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omments1.xml" ContentType="application/vnd.openxmlformats-officedocument.spreadsheetml.comments+xml"/>
  <Override PartName="/xl/drawings/drawing8.xml" ContentType="application/vnd.openxmlformats-officedocument.drawing+xml"/>
  <Override PartName="/xl/drawings/drawing9.xml" ContentType="application/vnd.openxmlformats-officedocument.drawing+xml"/>
  <Override PartName="/xl/comments2.xml" ContentType="application/vnd.openxmlformats-officedocument.spreadsheetml.comments+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0" yWindow="0" windowWidth="20490" windowHeight="7620" tabRatio="790" firstSheet="35" activeTab="35"/>
  </bookViews>
  <sheets>
    <sheet name="thưởng 300" sheetId="309" state="hidden" r:id="rId1"/>
    <sheet name="PLC   (2)" sheetId="288" state="hidden" r:id="rId2"/>
    <sheet name="PCNC BUN " sheetId="296" state="hidden" r:id="rId3"/>
    <sheet name="LƯƠNG GIA THUỘC THÁNG 11" sheetId="289" state="hidden" r:id="rId4"/>
    <sheet name="CHẤM CÔNG Axit" sheetId="252" state="hidden" r:id="rId5"/>
    <sheet name="MỦ XIRUM" sheetId="279" state="hidden" r:id="rId6"/>
    <sheet name="MỦ DÂY" sheetId="278" state="hidden" r:id="rId7"/>
    <sheet name="DS CN MOI UP" sheetId="112" state="hidden" r:id="rId8"/>
    <sheet name="BCSX T6 CHỈNH SỬA" sheetId="321" state="hidden" r:id="rId9"/>
    <sheet name="CÔNG CHĂM SÓC" sheetId="311" state="hidden" r:id="rId10"/>
    <sheet name="BCSX T6" sheetId="332" state="hidden" r:id="rId11"/>
    <sheet name="TTTX" sheetId="331" state="hidden" r:id="rId12"/>
    <sheet name="CHẤM CÔNG XĂNG" sheetId="330" state="hidden" r:id="rId13"/>
    <sheet name="Thanh toán mủ dây" sheetId="329" state="hidden" r:id="rId14"/>
    <sheet name="THUÊ TNCN" sheetId="328" state="hidden" r:id="rId15"/>
    <sheet name="Phụ cấp người việt" sheetId="326" state="hidden" r:id="rId16"/>
    <sheet name="chấm công  nv đội 6" sheetId="327" state="hidden" r:id="rId17"/>
    <sheet name="Phu cấp cây non" sheetId="325" state="hidden" r:id="rId18"/>
    <sheet name="Biểu 2 TH MỦ dây" sheetId="323" state="hidden" r:id="rId19"/>
    <sheet name="Biểu 1 TH CÔNG" sheetId="324" state="hidden" r:id="rId20"/>
    <sheet name="Biểu 2 TH MỦ TẠP" sheetId="322" state="hidden" r:id="rId21"/>
    <sheet name="sản lượng" sheetId="249" state="hidden" r:id="rId22"/>
    <sheet name="CHẤM CÔNG " sheetId="231" state="hidden" r:id="rId23"/>
    <sheet name="Công cây non" sheetId="247" state="hidden" r:id="rId24"/>
    <sheet name="THCKT" sheetId="115" state="hidden" r:id="rId25"/>
    <sheet name="PLC  " sheetId="229" state="hidden" r:id="rId26"/>
    <sheet name="bảng kê công" sheetId="307" state="hidden" r:id="rId27"/>
    <sheet name="Đội 3" sheetId="261" state="hidden" r:id="rId28"/>
    <sheet name="Đ3 - TC" sheetId="258" state="hidden" r:id="rId29"/>
    <sheet name="Đ3 - XC" sheetId="263" state="hidden" r:id="rId30"/>
    <sheet name="Đội 4" sheetId="265" state="hidden" r:id="rId31"/>
    <sheet name="Đội 5" sheetId="264" state="hidden" r:id="rId32"/>
    <sheet name="Đội 5 - KV71ha" sheetId="266" state="hidden" r:id="rId33"/>
    <sheet name="Đội 6" sheetId="262" state="hidden" r:id="rId34"/>
    <sheet name="TRẠM CÁN" sheetId="81" state="hidden" r:id="rId35"/>
    <sheet name="LƯƠNG KT" sheetId="31" r:id="rId36"/>
    <sheet name="LƯƠNG CNTT" sheetId="5" r:id="rId37"/>
    <sheet name="BCC BẢO VỆ" sheetId="320" state="hidden" r:id="rId38"/>
    <sheet name="LƯƠNG BV9THUC" sheetId="30" r:id="rId39"/>
    <sheet name="CÁCH TÍNH LƯƠNG" sheetId="187" state="hidden" r:id="rId40"/>
    <sheet name="THPT" sheetId="283" state="hidden" r:id="rId41"/>
    <sheet name="BẢNG PHÂN TOÁN" sheetId="235" state="hidden" r:id="rId42"/>
    <sheet name="BẢNG PHÂN TOÁN " sheetId="317" r:id="rId43"/>
    <sheet name="CV KHÁC" sheetId="56" state="hidden" r:id="rId44"/>
    <sheet name="THMSC" sheetId="84" state="hidden" r:id="rId45"/>
    <sheet name="CCCNSCM" sheetId="83" state="hidden" r:id="rId46"/>
    <sheet name="TH LƯƠNG NT1" sheetId="76" state="hidden" r:id="rId47"/>
    <sheet name="Vigo" sheetId="206" state="hidden" r:id="rId48"/>
    <sheet name="DS NỘP THUẾ" sheetId="290" state="hidden" r:id="rId49"/>
    <sheet name="BẢNG PHÂN TOÁN (2)" sheetId="291" state="hidden" r:id="rId50"/>
    <sheet name="PC XĂNG XE" sheetId="281" state="hidden" r:id="rId51"/>
    <sheet name="Chấm công CB" sheetId="108" state="hidden" r:id="rId52"/>
    <sheet name="Chấm công XĂNG XE" sheetId="304" state="hidden" r:id="rId53"/>
    <sheet name="PCXĂNG XE" sheetId="319" state="hidden" r:id="rId54"/>
    <sheet name="KTCB" sheetId="54" state="hidden" r:id="rId55"/>
    <sheet name="Chấm công BV" sheetId="280" state="hidden" r:id="rId56"/>
    <sheet name="CCBVL" sheetId="9"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s>
  <definedNames>
    <definedName name="_Fill" localSheetId="8" hidden="1">#REF!</definedName>
    <definedName name="_xlnm._FilterDatabase" localSheetId="26" hidden="1">'bảng kê công'!$A$12:$AZ$467</definedName>
    <definedName name="_xlnm._FilterDatabase" localSheetId="20" hidden="1">'Biểu 2 TH MỦ TẠP'!$A$10:$AT$91</definedName>
    <definedName name="_xlnm._FilterDatabase" localSheetId="22" hidden="1">'CHẤM CÔNG '!$A$12:$AU$90</definedName>
    <definedName name="_xlnm._FilterDatabase" localSheetId="7" hidden="1">'DS CN MOI UP'!$A$9:$G$389</definedName>
    <definedName name="_xlnm._FilterDatabase" localSheetId="27" hidden="1">'Đội 3'!$A$14:$AL$107</definedName>
    <definedName name="_xlnm._FilterDatabase" localSheetId="31" hidden="1">'Đội 5'!$AD$10:$AE$88</definedName>
    <definedName name="_xlnm._FilterDatabase" localSheetId="33" hidden="1">'Đội 6'!$A$14:$AK$84</definedName>
    <definedName name="_xlnm._FilterDatabase" localSheetId="35" hidden="1">'LƯƠNG KT'!$A$15:$Y$98</definedName>
    <definedName name="_xlnm._FilterDatabase" localSheetId="21" hidden="1">'sản lượng'!$A$11:$AV$90</definedName>
    <definedName name="_xlnm._FilterDatabase" localSheetId="24" hidden="1">THCKT!$A$12:$AR$471</definedName>
    <definedName name="a" localSheetId="8">#REF!</definedName>
    <definedName name="aí6" localSheetId="8">#REF!</definedName>
    <definedName name="kh" localSheetId="8" hidden="1">#REF!</definedName>
    <definedName name="_xlnm.Print_Area" localSheetId="10">'BCSX T6'!$A$1:$O$83</definedName>
    <definedName name="_xlnm.Print_Area" localSheetId="19">'Biểu 1 TH CÔNG'!$A$1:$AP$98</definedName>
    <definedName name="_xlnm.Print_Area" localSheetId="18">'Biểu 2 TH MỦ dây'!$A$1:$AM$99</definedName>
    <definedName name="_xlnm.Print_Area" localSheetId="20">'Biểu 2 TH MỦ TẠP'!$A$1:$AM$120</definedName>
    <definedName name="_xlnm.Print_Area" localSheetId="56">CCBVL!$A:$AI</definedName>
    <definedName name="_xlnm.Print_Area" localSheetId="45">CCCNSCM!$A$1:$AJ$29</definedName>
    <definedName name="_xlnm.Print_Area" localSheetId="43">'CV KHÁC'!$A$1:$H$25</definedName>
    <definedName name="_xlnm.Print_Area" localSheetId="16">'chấm công  nv đội 6'!$A$1:$AU$31</definedName>
    <definedName name="_xlnm.Print_Area" localSheetId="12">'CHẤM CÔNG XĂNG'!$A$1:$AN$26</definedName>
    <definedName name="_xlnm.Print_Area" localSheetId="28">'Đ3 - TC'!$A$1:$AG$75</definedName>
    <definedName name="_xlnm.Print_Area" localSheetId="29">'Đ3 - XC'!$A$1:$AG$71</definedName>
    <definedName name="_xlnm.Print_Area" localSheetId="27">'Đội 3'!$A$1:$AG$151</definedName>
    <definedName name="_xlnm.Print_Area" localSheetId="30">'Đội 4'!$A$1:$AG$149</definedName>
    <definedName name="_xlnm.Print_Area" localSheetId="31">'Đội 5'!$A$1:$AG$135</definedName>
    <definedName name="_xlnm.Print_Area" localSheetId="32">'Đội 5 - KV71ha'!$A$1:$AG$71</definedName>
    <definedName name="_xlnm.Print_Area" localSheetId="33">'Đội 6'!$A$1:$AF$128</definedName>
    <definedName name="_xlnm.Print_Area" localSheetId="54">KTCB!$A$1:$G$28</definedName>
    <definedName name="_xlnm.Print_Area" localSheetId="3">'LƯƠNG GIA THUỘC THÁNG 11'!$A$1:$N$2647</definedName>
    <definedName name="_xlnm.Print_Area" localSheetId="15">'Phụ cấp người việt'!$A$1:$J$24</definedName>
    <definedName name="_xlnm.Print_Area" localSheetId="21">'sản lượng'!$A$1:$AM$110</definedName>
    <definedName name="_xlnm.Print_Area" localSheetId="11">TTTX!$A$1:$G$34</definedName>
    <definedName name="_xlnm.Print_Area" localSheetId="13">'Thanh toán mủ dây'!$A$1:$AJ$101</definedName>
    <definedName name="_xlnm.Print_Area" localSheetId="44">THMSC!$A$1:$AJ$29</definedName>
    <definedName name="_xlnm.Print_Area" localSheetId="34">'TRẠM CÁN'!$A$1:$X$36</definedName>
    <definedName name="_xlnm.Print_Titles" localSheetId="26">'bảng kê công'!$8:$9</definedName>
    <definedName name="_xlnm.Print_Titles" localSheetId="41">'BẢNG PHÂN TOÁN'!$12:$12</definedName>
    <definedName name="_xlnm.Print_Titles" localSheetId="42">'BẢNG PHÂN TOÁN '!$11:$11</definedName>
    <definedName name="_xlnm.Print_Titles" localSheetId="49">'BẢNG PHÂN TOÁN (2)'!$10:$10</definedName>
    <definedName name="_xlnm.Print_Titles" localSheetId="10">'BCSX T6'!$10:$11</definedName>
    <definedName name="_xlnm.Print_Titles" localSheetId="8">'BCSX T6 CHỈNH SỬA'!$10:$11</definedName>
    <definedName name="_xlnm.Print_Titles" localSheetId="19">'Biểu 1 TH CÔNG'!$9:$10</definedName>
    <definedName name="_xlnm.Print_Titles" localSheetId="18">'Biểu 2 TH MỦ dây'!$9:$10</definedName>
    <definedName name="_xlnm.Print_Titles" localSheetId="20">'Biểu 2 TH MỦ TẠP'!$9:$10</definedName>
    <definedName name="_xlnm.Print_Titles" localSheetId="39">'CÁCH TÍNH LƯƠNG'!$10:$10</definedName>
    <definedName name="_xlnm.Print_Titles" localSheetId="56">CCBVL!$6:$7</definedName>
    <definedName name="_xlnm.Print_Titles" localSheetId="23">'Công cây non'!$6:$8</definedName>
    <definedName name="_xlnm.Print_Titles" localSheetId="43">'CV KHÁC'!$9:$10</definedName>
    <definedName name="_xlnm.Print_Titles" localSheetId="22">'CHẤM CÔNG '!$10:$11</definedName>
    <definedName name="_xlnm.Print_Titles" localSheetId="16">'chấm công  nv đội 6'!$9:$10</definedName>
    <definedName name="_xlnm.Print_Titles" localSheetId="4">'CHẤM CÔNG Axit'!$6:$8</definedName>
    <definedName name="_xlnm.Print_Titles" localSheetId="55">'Chấm công BV'!$9:$9</definedName>
    <definedName name="_xlnm.Print_Titles" localSheetId="51">'Chấm công CB'!$9:$10</definedName>
    <definedName name="_xlnm.Print_Titles" localSheetId="52">'Chấm công XĂNG XE'!$9:$10</definedName>
    <definedName name="_xlnm.Print_Titles" localSheetId="7">'DS CN MOI UP'!$7:$7</definedName>
    <definedName name="_xlnm.Print_Titles" localSheetId="48">'DS NỘP THUẾ'!$9:$9</definedName>
    <definedName name="_xlnm.Print_Titles" localSheetId="28">'Đ3 - TC'!$10:$13</definedName>
    <definedName name="_xlnm.Print_Titles" localSheetId="29">'Đ3 - XC'!$10:$13</definedName>
    <definedName name="_xlnm.Print_Titles" localSheetId="27">'Đội 3'!$10:$14</definedName>
    <definedName name="_xlnm.Print_Titles" localSheetId="30">'Đội 4'!$10:$13</definedName>
    <definedName name="_xlnm.Print_Titles" localSheetId="31">'Đội 5'!$10:$13</definedName>
    <definedName name="_xlnm.Print_Titles" localSheetId="32">'Đội 5 - KV71ha'!$10:$13</definedName>
    <definedName name="_xlnm.Print_Titles" localSheetId="33">'Đội 6'!$10:$14</definedName>
    <definedName name="_xlnm.Print_Titles" localSheetId="54">KTCB!$9:$11</definedName>
    <definedName name="_xlnm.Print_Titles" localSheetId="38">'LƯƠNG BV9THUC'!$9:$10</definedName>
    <definedName name="_xlnm.Print_Titles" localSheetId="36">'LƯƠNG CNTT'!$B:$E,'LƯƠNG CNTT'!$10:$12</definedName>
    <definedName name="_xlnm.Print_Titles" localSheetId="3">'LƯƠNG GIA THUỘC THÁNG 11'!$A:$D,'LƯƠNG GIA THUỘC THÁNG 11'!$10:$12</definedName>
    <definedName name="_xlnm.Print_Titles" localSheetId="35">'LƯƠNG KT'!$10:$12</definedName>
    <definedName name="_xlnm.Print_Titles" localSheetId="6">'MỦ DÂY'!$6:$8</definedName>
    <definedName name="_xlnm.Print_Titles" localSheetId="5">'MỦ XIRUM'!$6:$8</definedName>
    <definedName name="_xlnm.Print_Titles" localSheetId="50">'PC XĂNG XE'!$9:$10</definedName>
    <definedName name="_xlnm.Print_Titles" localSheetId="2">'PCNC BUN '!$10:$11</definedName>
    <definedName name="_xlnm.Print_Titles" localSheetId="53">'PCXĂNG XE'!$9:$10</definedName>
    <definedName name="_xlnm.Print_Titles" localSheetId="21">'sản lượng'!$9:$10</definedName>
    <definedName name="_xlnm.Print_Titles" localSheetId="46">'TH LƯƠNG NT1'!$6:$6</definedName>
    <definedName name="_xlnm.Print_Titles" localSheetId="13">'Thanh toán mủ dây'!$11:$12</definedName>
    <definedName name="_xlnm.Print_Titles" localSheetId="24">THCKT!$8:$9</definedName>
    <definedName name="_xlnm.Print_Titles" localSheetId="40">THPT!$12:$12</definedName>
    <definedName name="_xlnm.Print_Titles" localSheetId="0">'thưởng 300'!$10:$10</definedName>
    <definedName name="_xlnm.Print_Titles" localSheetId="34">'TRẠM CÁN'!$9:$11</definedName>
    <definedName name="So_XN">[1]PHATSINH!$B$6:$B$2093</definedName>
  </definedNames>
  <calcPr calcId="144525"/>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12" i="187" l="1"/>
  <c r="R93" i="31" l="1"/>
  <c r="R94" i="31"/>
  <c r="R15" i="31"/>
  <c r="L15" i="31"/>
  <c r="AO45" i="322"/>
  <c r="AK11" i="322"/>
  <c r="AJ11" i="322"/>
  <c r="D15" i="317"/>
  <c r="AI93" i="329" l="1"/>
  <c r="AG93" i="329"/>
  <c r="AL89" i="324"/>
  <c r="AL47" i="324"/>
  <c r="AL48" i="324"/>
  <c r="AL49" i="324"/>
  <c r="AL50" i="324"/>
  <c r="AL51" i="324"/>
  <c r="AL52" i="324"/>
  <c r="AL53" i="324"/>
  <c r="AL54" i="324"/>
  <c r="AL55" i="324"/>
  <c r="AL56" i="324"/>
  <c r="AL57" i="324"/>
  <c r="AL58" i="324"/>
  <c r="AL59" i="324"/>
  <c r="AL60" i="324"/>
  <c r="AL61" i="324"/>
  <c r="AL62" i="324"/>
  <c r="AL63" i="324"/>
  <c r="AL64" i="324"/>
  <c r="AL65" i="324"/>
  <c r="AL66" i="324"/>
  <c r="AL67" i="324"/>
  <c r="AL68" i="324"/>
  <c r="AL69" i="324"/>
  <c r="AL70" i="324"/>
  <c r="AL71" i="324"/>
  <c r="AL72" i="324"/>
  <c r="AL73" i="324"/>
  <c r="AL74" i="324"/>
  <c r="AL75" i="324"/>
  <c r="AL76" i="324"/>
  <c r="AL77" i="324"/>
  <c r="AL78" i="324"/>
  <c r="AL79" i="324"/>
  <c r="AL80" i="324"/>
  <c r="AL81" i="324"/>
  <c r="AL82" i="324"/>
  <c r="AL83" i="324"/>
  <c r="AL84" i="324"/>
  <c r="AL85" i="324"/>
  <c r="AL86" i="324"/>
  <c r="AL87" i="324"/>
  <c r="AL88" i="324"/>
  <c r="AL46" i="324"/>
  <c r="M18" i="30" l="1"/>
  <c r="M19" i="30" s="1"/>
  <c r="N18" i="30"/>
  <c r="H104" i="5" l="1"/>
  <c r="I104" i="5"/>
  <c r="K104" i="5"/>
  <c r="L104" i="5"/>
  <c r="M103" i="5"/>
  <c r="J103" i="5"/>
  <c r="G103" i="5"/>
  <c r="L101" i="5"/>
  <c r="I101" i="5"/>
  <c r="H101" i="5"/>
  <c r="K99" i="5"/>
  <c r="K101" i="5" s="1"/>
  <c r="H98" i="5"/>
  <c r="I98" i="5"/>
  <c r="K98" i="5"/>
  <c r="L98" i="5"/>
  <c r="G95" i="5"/>
  <c r="J95" i="5" s="1"/>
  <c r="M95" i="5" s="1"/>
  <c r="G96" i="5"/>
  <c r="J96" i="5" s="1"/>
  <c r="M96" i="5" s="1"/>
  <c r="G97" i="5"/>
  <c r="J97" i="5" s="1"/>
  <c r="M97" i="5" s="1"/>
  <c r="G94" i="5"/>
  <c r="G98" i="5" s="1"/>
  <c r="F16" i="54"/>
  <c r="F13" i="54"/>
  <c r="F14" i="54"/>
  <c r="F15" i="54"/>
  <c r="D16" i="54"/>
  <c r="F12" i="54"/>
  <c r="J94" i="5" l="1"/>
  <c r="J98" i="5" l="1"/>
  <c r="M94" i="5"/>
  <c r="M98" i="5" s="1"/>
  <c r="D29" i="317" l="1"/>
  <c r="F29" i="317" s="1"/>
  <c r="D28" i="317"/>
  <c r="F28" i="317" s="1"/>
  <c r="F27" i="317" s="1"/>
  <c r="D27" i="317" l="1"/>
  <c r="F13" i="56" l="1"/>
  <c r="D12" i="56"/>
  <c r="D11" i="56"/>
  <c r="K93" i="5" l="1"/>
  <c r="L93" i="5"/>
  <c r="I8" i="317"/>
  <c r="E17" i="317" s="1"/>
  <c r="E20" i="317" l="1"/>
  <c r="E23" i="317"/>
  <c r="E15" i="317"/>
  <c r="E16" i="317"/>
  <c r="AO12" i="324"/>
  <c r="AO13" i="324"/>
  <c r="AO14" i="324"/>
  <c r="AO15" i="324"/>
  <c r="AO16" i="324"/>
  <c r="AO17" i="324"/>
  <c r="AO18" i="324"/>
  <c r="AO19" i="324"/>
  <c r="AO20" i="324"/>
  <c r="AO21" i="324"/>
  <c r="AO22" i="324"/>
  <c r="AO23" i="324"/>
  <c r="AO24" i="324"/>
  <c r="AO25" i="324"/>
  <c r="AO26" i="324"/>
  <c r="AO27" i="324"/>
  <c r="AO28" i="324"/>
  <c r="AO29" i="324"/>
  <c r="AO30" i="324"/>
  <c r="AO31" i="324"/>
  <c r="AO32" i="324"/>
  <c r="AO33" i="324"/>
  <c r="AO34" i="324"/>
  <c r="AO35" i="324"/>
  <c r="AO36" i="324"/>
  <c r="AO37" i="324"/>
  <c r="AO38" i="324"/>
  <c r="AO39" i="324"/>
  <c r="AO40" i="324"/>
  <c r="AO41" i="324"/>
  <c r="AO42" i="324"/>
  <c r="AO43" i="324"/>
  <c r="AO44" i="324"/>
  <c r="AO45" i="324"/>
  <c r="AO11" i="324"/>
  <c r="AL45" i="324"/>
  <c r="AI90" i="329" l="1"/>
  <c r="AI91" i="329"/>
  <c r="AI92" i="329"/>
  <c r="N69" i="332"/>
  <c r="N68" i="332"/>
  <c r="N67" i="332"/>
  <c r="N66" i="332"/>
  <c r="M62" i="332"/>
  <c r="N62" i="332" s="1"/>
  <c r="N61" i="332" s="1"/>
  <c r="N59" i="332"/>
  <c r="N58" i="332" s="1"/>
  <c r="M59" i="332"/>
  <c r="N55" i="332"/>
  <c r="M55" i="332"/>
  <c r="D55" i="332"/>
  <c r="D54" i="332"/>
  <c r="N54" i="332" s="1"/>
  <c r="M53" i="332"/>
  <c r="N53" i="332" s="1"/>
  <c r="D53" i="332"/>
  <c r="M49" i="332"/>
  <c r="N49" i="332" s="1"/>
  <c r="D48" i="332"/>
  <c r="N48" i="332" s="1"/>
  <c r="D47" i="332"/>
  <c r="N47" i="332" s="1"/>
  <c r="N44" i="332"/>
  <c r="M44" i="332"/>
  <c r="D44" i="332"/>
  <c r="M42" i="332"/>
  <c r="N42" i="332" s="1"/>
  <c r="N37" i="332" s="1"/>
  <c r="D42" i="332"/>
  <c r="N40" i="332"/>
  <c r="M40" i="332"/>
  <c r="N39" i="332"/>
  <c r="D39" i="332"/>
  <c r="N38" i="332"/>
  <c r="D38" i="332"/>
  <c r="M35" i="332"/>
  <c r="N35" i="332" s="1"/>
  <c r="N32" i="332" s="1"/>
  <c r="D35" i="332"/>
  <c r="N34" i="332"/>
  <c r="D34" i="332"/>
  <c r="N33" i="332"/>
  <c r="D33" i="332"/>
  <c r="M30" i="332"/>
  <c r="D30" i="332"/>
  <c r="N30" i="332" s="1"/>
  <c r="M28" i="332"/>
  <c r="Q29" i="332" s="1"/>
  <c r="Q27" i="332"/>
  <c r="N26" i="332"/>
  <c r="M26" i="332"/>
  <c r="N25" i="332"/>
  <c r="D25" i="332"/>
  <c r="N24" i="332"/>
  <c r="D24" i="332"/>
  <c r="N17" i="332"/>
  <c r="P14" i="332"/>
  <c r="N46" i="332" l="1"/>
  <c r="N52" i="332"/>
  <c r="Q30" i="332"/>
  <c r="N57" i="332"/>
  <c r="N28" i="332"/>
  <c r="N23" i="332" s="1"/>
  <c r="N22" i="332" s="1"/>
  <c r="N12" i="332" s="1"/>
  <c r="N71" i="332" s="1"/>
  <c r="R29" i="332"/>
  <c r="C15" i="331" l="1"/>
  <c r="E15" i="331" s="1"/>
  <c r="C14" i="331"/>
  <c r="E14" i="331" s="1"/>
  <c r="C13" i="331"/>
  <c r="E13" i="331" s="1"/>
  <c r="C12" i="331"/>
  <c r="E12" i="331" s="1"/>
  <c r="C11" i="331"/>
  <c r="E11" i="331" s="1"/>
  <c r="C10" i="331"/>
  <c r="E10" i="331" s="1"/>
  <c r="AI18" i="330"/>
  <c r="AH18" i="330"/>
  <c r="AG18" i="330"/>
  <c r="AF18" i="330"/>
  <c r="AE18" i="330"/>
  <c r="AD18" i="330"/>
  <c r="AC18" i="330"/>
  <c r="AB18" i="330"/>
  <c r="AA18" i="330"/>
  <c r="Z18" i="330"/>
  <c r="Y18" i="330"/>
  <c r="X18" i="330"/>
  <c r="W18" i="330"/>
  <c r="V18" i="330"/>
  <c r="U18" i="330"/>
  <c r="T18" i="330"/>
  <c r="S18" i="330"/>
  <c r="AK17" i="330"/>
  <c r="AM17" i="330" s="1"/>
  <c r="AJ17" i="330"/>
  <c r="AJ16" i="330"/>
  <c r="AM16" i="330" s="1"/>
  <c r="AL15" i="330"/>
  <c r="AJ15" i="330"/>
  <c r="AK15" i="330" s="1"/>
  <c r="AL14" i="330"/>
  <c r="AJ14" i="330"/>
  <c r="AK14" i="330" s="1"/>
  <c r="AK13" i="330"/>
  <c r="AJ13" i="330"/>
  <c r="AM13" i="330" s="1"/>
  <c r="AK12" i="330"/>
  <c r="AK18" i="330" s="1"/>
  <c r="AJ12" i="330"/>
  <c r="AI11" i="330"/>
  <c r="AF11" i="330"/>
  <c r="AE11" i="330"/>
  <c r="AD11" i="330"/>
  <c r="AC11" i="330"/>
  <c r="AB11" i="330"/>
  <c r="AA11" i="330"/>
  <c r="Z11" i="330"/>
  <c r="Y11" i="330"/>
  <c r="X11" i="330"/>
  <c r="W11" i="330"/>
  <c r="V11" i="330"/>
  <c r="U11" i="330"/>
  <c r="T11" i="330"/>
  <c r="S11" i="330"/>
  <c r="R11" i="330"/>
  <c r="Q11" i="330"/>
  <c r="P11" i="330"/>
  <c r="O11" i="330"/>
  <c r="N11" i="330"/>
  <c r="M11" i="330"/>
  <c r="L11" i="330"/>
  <c r="K11" i="330"/>
  <c r="J11" i="330"/>
  <c r="I11" i="330"/>
  <c r="H11" i="330"/>
  <c r="G11" i="330"/>
  <c r="F11" i="330"/>
  <c r="E11" i="330"/>
  <c r="AG10" i="330"/>
  <c r="AG11" i="330" s="1"/>
  <c r="C93" i="329"/>
  <c r="D93" i="329"/>
  <c r="E93" i="329"/>
  <c r="F93" i="329"/>
  <c r="G93" i="329"/>
  <c r="H93" i="329"/>
  <c r="I93" i="329"/>
  <c r="J93" i="329"/>
  <c r="K93" i="329"/>
  <c r="L93" i="329"/>
  <c r="M93" i="329"/>
  <c r="N93" i="329"/>
  <c r="O93" i="329"/>
  <c r="P93" i="329"/>
  <c r="Q93" i="329"/>
  <c r="R93" i="329"/>
  <c r="S93" i="329"/>
  <c r="T93" i="329"/>
  <c r="U93" i="329"/>
  <c r="V93" i="329"/>
  <c r="W93" i="329"/>
  <c r="X93" i="329"/>
  <c r="Y93" i="329"/>
  <c r="Z93" i="329"/>
  <c r="AA93" i="329"/>
  <c r="AB93" i="329"/>
  <c r="AC93" i="329"/>
  <c r="AD93" i="329"/>
  <c r="AE93" i="329"/>
  <c r="AF93" i="329"/>
  <c r="AW18" i="327"/>
  <c r="AK18" i="327"/>
  <c r="AI18" i="327"/>
  <c r="AH17" i="327"/>
  <c r="AF17" i="327"/>
  <c r="AE17" i="327"/>
  <c r="AD17" i="327"/>
  <c r="AC17" i="327"/>
  <c r="AB17" i="327"/>
  <c r="AA17" i="327"/>
  <c r="Z17" i="327"/>
  <c r="Y17" i="327"/>
  <c r="X17" i="327"/>
  <c r="W17" i="327"/>
  <c r="V17" i="327"/>
  <c r="U17" i="327"/>
  <c r="T17" i="327"/>
  <c r="S17" i="327"/>
  <c r="R17" i="327"/>
  <c r="Q17" i="327"/>
  <c r="P17" i="327"/>
  <c r="O17" i="327"/>
  <c r="N17" i="327"/>
  <c r="M17" i="327"/>
  <c r="L17" i="327"/>
  <c r="K17" i="327"/>
  <c r="J17" i="327"/>
  <c r="I17" i="327"/>
  <c r="H17" i="327"/>
  <c r="G17" i="327"/>
  <c r="F17" i="327"/>
  <c r="E17" i="327"/>
  <c r="AH16" i="327"/>
  <c r="AF16" i="327"/>
  <c r="AE16" i="327"/>
  <c r="AD16" i="327"/>
  <c r="AC16" i="327"/>
  <c r="AB16" i="327"/>
  <c r="AA16" i="327"/>
  <c r="Z16" i="327"/>
  <c r="Y16" i="327"/>
  <c r="X16" i="327"/>
  <c r="W16" i="327"/>
  <c r="V16" i="327"/>
  <c r="U16" i="327"/>
  <c r="T16" i="327"/>
  <c r="S16" i="327"/>
  <c r="R16" i="327"/>
  <c r="Q16" i="327"/>
  <c r="P16" i="327"/>
  <c r="O16" i="327"/>
  <c r="N16" i="327"/>
  <c r="M16" i="327"/>
  <c r="L16" i="327"/>
  <c r="K16" i="327"/>
  <c r="J16" i="327"/>
  <c r="I16" i="327"/>
  <c r="H16" i="327"/>
  <c r="G16" i="327"/>
  <c r="F16" i="327"/>
  <c r="AH15" i="327"/>
  <c r="AF15" i="327"/>
  <c r="AE15" i="327"/>
  <c r="AD15" i="327"/>
  <c r="AC15" i="327"/>
  <c r="AB15" i="327"/>
  <c r="AA15" i="327"/>
  <c r="Z15" i="327"/>
  <c r="Y15" i="327"/>
  <c r="X15" i="327"/>
  <c r="W15" i="327"/>
  <c r="V15" i="327"/>
  <c r="U15" i="327"/>
  <c r="T15" i="327"/>
  <c r="S15" i="327"/>
  <c r="R15" i="327"/>
  <c r="Q15" i="327"/>
  <c r="P15" i="327"/>
  <c r="O15" i="327"/>
  <c r="N15" i="327"/>
  <c r="M15" i="327"/>
  <c r="L15" i="327"/>
  <c r="K15" i="327"/>
  <c r="J15" i="327"/>
  <c r="I15" i="327"/>
  <c r="H15" i="327"/>
  <c r="G15" i="327"/>
  <c r="F15" i="327"/>
  <c r="E15" i="327"/>
  <c r="AH14" i="327"/>
  <c r="AF14" i="327"/>
  <c r="Z14" i="327"/>
  <c r="U14" i="327"/>
  <c r="T14" i="327"/>
  <c r="S14" i="327"/>
  <c r="R14" i="327"/>
  <c r="Q14" i="327"/>
  <c r="P14" i="327"/>
  <c r="O14" i="327"/>
  <c r="N14" i="327"/>
  <c r="M14" i="327"/>
  <c r="L14" i="327"/>
  <c r="K14" i="327"/>
  <c r="J14" i="327"/>
  <c r="I14" i="327"/>
  <c r="H14" i="327"/>
  <c r="G14" i="327"/>
  <c r="F14" i="327"/>
  <c r="E14" i="327"/>
  <c r="AF13" i="327"/>
  <c r="AE13" i="327"/>
  <c r="AD13" i="327"/>
  <c r="AC13" i="327"/>
  <c r="AB13" i="327"/>
  <c r="AA13" i="327"/>
  <c r="Z13" i="327"/>
  <c r="Y13" i="327"/>
  <c r="X13" i="327"/>
  <c r="W13" i="327"/>
  <c r="V13" i="327"/>
  <c r="U13" i="327"/>
  <c r="T13" i="327"/>
  <c r="S13" i="327"/>
  <c r="L13" i="327"/>
  <c r="J13" i="327"/>
  <c r="I13" i="327"/>
  <c r="H13" i="327"/>
  <c r="G13" i="327"/>
  <c r="F13" i="327"/>
  <c r="E13" i="327"/>
  <c r="AH12" i="327"/>
  <c r="AF12" i="327"/>
  <c r="AE12" i="327"/>
  <c r="AD12" i="327"/>
  <c r="AC12" i="327"/>
  <c r="AB12" i="327"/>
  <c r="AA12" i="327"/>
  <c r="Z12" i="327"/>
  <c r="Y12" i="327"/>
  <c r="X12" i="327"/>
  <c r="W12" i="327"/>
  <c r="V12" i="327"/>
  <c r="U12" i="327"/>
  <c r="T12" i="327"/>
  <c r="S12" i="327"/>
  <c r="R12" i="327"/>
  <c r="Q12" i="327"/>
  <c r="P12" i="327"/>
  <c r="O12" i="327"/>
  <c r="O18" i="327" s="1"/>
  <c r="N12" i="327"/>
  <c r="M12" i="327"/>
  <c r="L12" i="327"/>
  <c r="K12" i="327"/>
  <c r="K18" i="327" s="1"/>
  <c r="J12" i="327"/>
  <c r="E12" i="327"/>
  <c r="AH11" i="327"/>
  <c r="AF11" i="327"/>
  <c r="AF18" i="327" s="1"/>
  <c r="AE11" i="327"/>
  <c r="AD11" i="327"/>
  <c r="AC11" i="327"/>
  <c r="AB11" i="327"/>
  <c r="AB18" i="327" s="1"/>
  <c r="AA11" i="327"/>
  <c r="Z11" i="327"/>
  <c r="Y11" i="327"/>
  <c r="X11" i="327"/>
  <c r="X18" i="327" s="1"/>
  <c r="W11" i="327"/>
  <c r="V11" i="327"/>
  <c r="U11" i="327"/>
  <c r="T11" i="327"/>
  <c r="T18" i="327" s="1"/>
  <c r="S11" i="327"/>
  <c r="R11" i="327"/>
  <c r="L11" i="327"/>
  <c r="J11" i="327"/>
  <c r="J18" i="327" s="1"/>
  <c r="I11" i="327"/>
  <c r="H11" i="327"/>
  <c r="G11" i="327"/>
  <c r="G18" i="327" s="1"/>
  <c r="F11" i="327"/>
  <c r="F18" i="327" s="1"/>
  <c r="E11" i="327"/>
  <c r="AI10" i="327"/>
  <c r="AH10" i="327"/>
  <c r="AF10" i="327"/>
  <c r="AE10" i="327"/>
  <c r="AD10" i="327"/>
  <c r="AC10" i="327"/>
  <c r="AB10" i="327"/>
  <c r="AA10" i="327"/>
  <c r="Z10" i="327"/>
  <c r="Y10" i="327"/>
  <c r="X10" i="327"/>
  <c r="W10" i="327"/>
  <c r="V10" i="327"/>
  <c r="U10" i="327"/>
  <c r="T10" i="327"/>
  <c r="S10" i="327"/>
  <c r="R10" i="327"/>
  <c r="Q10" i="327"/>
  <c r="P10" i="327"/>
  <c r="O10" i="327"/>
  <c r="N10" i="327"/>
  <c r="M10" i="327"/>
  <c r="L10" i="327"/>
  <c r="K10" i="327"/>
  <c r="J10" i="327"/>
  <c r="I10" i="327"/>
  <c r="H10" i="327"/>
  <c r="G10" i="327"/>
  <c r="F10" i="327"/>
  <c r="E10" i="327"/>
  <c r="AG9" i="327"/>
  <c r="AG11" i="327" s="1"/>
  <c r="E7" i="327"/>
  <c r="L18" i="327" l="1"/>
  <c r="Y18" i="327"/>
  <c r="AH18" i="327"/>
  <c r="E18" i="327"/>
  <c r="I18" i="327"/>
  <c r="S18" i="327"/>
  <c r="W18" i="327"/>
  <c r="AA18" i="327"/>
  <c r="AE18" i="327"/>
  <c r="N18" i="327"/>
  <c r="U18" i="327"/>
  <c r="AC18" i="327"/>
  <c r="P18" i="327"/>
  <c r="H18" i="327"/>
  <c r="R18" i="327"/>
  <c r="V18" i="327"/>
  <c r="Z18" i="327"/>
  <c r="AD18" i="327"/>
  <c r="M18" i="327"/>
  <c r="Q18" i="327"/>
  <c r="E16" i="331"/>
  <c r="C16" i="331"/>
  <c r="AJ18" i="330"/>
  <c r="AL12" i="330"/>
  <c r="AL18" i="330" s="1"/>
  <c r="AM14" i="330"/>
  <c r="AM15" i="330"/>
  <c r="AG12" i="327"/>
  <c r="AJ12" i="327" s="1"/>
  <c r="AJ11" i="327"/>
  <c r="AG14" i="327"/>
  <c r="AJ14" i="327" s="1"/>
  <c r="AG17" i="327"/>
  <c r="AJ17" i="327" s="1"/>
  <c r="AG10" i="327"/>
  <c r="AK11" i="327"/>
  <c r="AW11" i="327" s="1"/>
  <c r="AG13" i="327"/>
  <c r="AJ13" i="327" s="1"/>
  <c r="AG15" i="327"/>
  <c r="AK15" i="327" s="1"/>
  <c r="AW15" i="327" s="1"/>
  <c r="AG16" i="327"/>
  <c r="AJ16" i="327" s="1"/>
  <c r="AK13" i="327" l="1"/>
  <c r="AW13" i="327" s="1"/>
  <c r="AG18" i="327"/>
  <c r="AM12" i="330"/>
  <c r="AM18" i="330" s="1"/>
  <c r="AK17" i="327"/>
  <c r="AW17" i="327" s="1"/>
  <c r="AK12" i="327"/>
  <c r="AW12" i="327" s="1"/>
  <c r="AJ15" i="327"/>
  <c r="AJ18" i="327" s="1"/>
  <c r="AK14" i="327"/>
  <c r="AW14" i="327" s="1"/>
  <c r="B13" i="326" l="1"/>
  <c r="D13" i="326" s="1"/>
  <c r="B12" i="326"/>
  <c r="D12" i="326" s="1"/>
  <c r="E22" i="317"/>
  <c r="E14" i="5"/>
  <c r="E15" i="5"/>
  <c r="E16" i="5"/>
  <c r="E17" i="5"/>
  <c r="E18" i="5"/>
  <c r="E19" i="5"/>
  <c r="E20" i="5"/>
  <c r="E21" i="5"/>
  <c r="E22" i="5"/>
  <c r="E23" i="5"/>
  <c r="E24" i="5"/>
  <c r="E25" i="5"/>
  <c r="E26" i="5"/>
  <c r="E27" i="5"/>
  <c r="E28" i="5"/>
  <c r="E29" i="5"/>
  <c r="E30" i="5"/>
  <c r="E31" i="5"/>
  <c r="E32" i="5"/>
  <c r="E33" i="5"/>
  <c r="E34"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13" i="5"/>
  <c r="F13" i="326" l="1"/>
  <c r="D13" i="328" s="1"/>
  <c r="E13" i="328" s="1"/>
  <c r="D14" i="326"/>
  <c r="F12" i="326"/>
  <c r="D12" i="328" s="1"/>
  <c r="E12" i="328" l="1"/>
  <c r="E14" i="328" s="1"/>
  <c r="D14" i="328"/>
  <c r="G13" i="326"/>
  <c r="H13" i="326" s="1"/>
  <c r="F14" i="326"/>
  <c r="F31" i="317" s="1"/>
  <c r="G12" i="326"/>
  <c r="G14" i="326" l="1"/>
  <c r="H12" i="326"/>
  <c r="H14" i="326" s="1"/>
  <c r="Q90" i="31" l="1"/>
  <c r="P16" i="31"/>
  <c r="P17" i="31"/>
  <c r="P18" i="31"/>
  <c r="P19" i="31"/>
  <c r="P20" i="31"/>
  <c r="P21" i="31"/>
  <c r="P22" i="31"/>
  <c r="P23" i="31"/>
  <c r="P24" i="31"/>
  <c r="P25" i="31"/>
  <c r="P26" i="31"/>
  <c r="P27" i="31"/>
  <c r="P28" i="31"/>
  <c r="P29" i="31"/>
  <c r="P30" i="31"/>
  <c r="P31" i="31"/>
  <c r="P32" i="31"/>
  <c r="P33" i="31"/>
  <c r="P34" i="31"/>
  <c r="P35" i="31"/>
  <c r="P36" i="31"/>
  <c r="P37" i="31"/>
  <c r="P38" i="31"/>
  <c r="P39" i="31"/>
  <c r="P40" i="31"/>
  <c r="P41" i="31"/>
  <c r="P42" i="31"/>
  <c r="P43" i="31"/>
  <c r="P44" i="31"/>
  <c r="P45" i="31"/>
  <c r="P46" i="31"/>
  <c r="P47" i="31"/>
  <c r="P48" i="31"/>
  <c r="P15" i="31"/>
  <c r="O16" i="31"/>
  <c r="O17" i="31"/>
  <c r="O18" i="31"/>
  <c r="O19" i="31"/>
  <c r="O20" i="31"/>
  <c r="O21" i="31"/>
  <c r="O22" i="31"/>
  <c r="O23" i="31"/>
  <c r="O24" i="31"/>
  <c r="O25" i="31"/>
  <c r="O26" i="31"/>
  <c r="O27" i="31"/>
  <c r="O28" i="31"/>
  <c r="O29" i="31"/>
  <c r="O30" i="31"/>
  <c r="O31" i="31"/>
  <c r="O32" i="31"/>
  <c r="O33" i="31"/>
  <c r="O34" i="31"/>
  <c r="O35" i="31"/>
  <c r="O36" i="31"/>
  <c r="O37" i="31"/>
  <c r="O38" i="31"/>
  <c r="O39" i="31"/>
  <c r="O40" i="31"/>
  <c r="O41" i="31"/>
  <c r="O42" i="31"/>
  <c r="O43" i="31"/>
  <c r="O44" i="31"/>
  <c r="O45" i="31"/>
  <c r="O46" i="31"/>
  <c r="O47" i="31"/>
  <c r="O48" i="31"/>
  <c r="O49" i="31"/>
  <c r="O15" i="31"/>
  <c r="N16" i="31"/>
  <c r="N17" i="31"/>
  <c r="N18" i="31"/>
  <c r="N19" i="31"/>
  <c r="N20" i="31"/>
  <c r="N21" i="31"/>
  <c r="N22" i="31"/>
  <c r="N23" i="31"/>
  <c r="N24" i="31"/>
  <c r="N25" i="31"/>
  <c r="N26" i="31"/>
  <c r="N27" i="31"/>
  <c r="N28" i="31"/>
  <c r="N29" i="31"/>
  <c r="N30" i="31"/>
  <c r="N31" i="31"/>
  <c r="N32" i="31"/>
  <c r="N33" i="31"/>
  <c r="N34" i="31"/>
  <c r="N35" i="31"/>
  <c r="N36" i="31"/>
  <c r="N37" i="31"/>
  <c r="N38" i="31"/>
  <c r="N39" i="31"/>
  <c r="N40" i="31"/>
  <c r="N41" i="31"/>
  <c r="N42" i="31"/>
  <c r="N43" i="31"/>
  <c r="N44" i="31"/>
  <c r="N45" i="31"/>
  <c r="N46" i="31"/>
  <c r="N47" i="31"/>
  <c r="N48" i="31"/>
  <c r="N49" i="31"/>
  <c r="N15" i="31"/>
  <c r="M16" i="31"/>
  <c r="M17" i="31"/>
  <c r="M18" i="31"/>
  <c r="R18" i="31" s="1"/>
  <c r="M19" i="31"/>
  <c r="M20" i="31"/>
  <c r="M21" i="31"/>
  <c r="M22" i="31"/>
  <c r="R22" i="31" s="1"/>
  <c r="M23" i="31"/>
  <c r="M24" i="31"/>
  <c r="M25" i="31"/>
  <c r="M26" i="31"/>
  <c r="R26" i="31" s="1"/>
  <c r="M27" i="31"/>
  <c r="M28" i="31"/>
  <c r="M29" i="31"/>
  <c r="M30" i="31"/>
  <c r="R30" i="31" s="1"/>
  <c r="M31" i="31"/>
  <c r="M32" i="31"/>
  <c r="M33" i="31"/>
  <c r="M34" i="31"/>
  <c r="R34" i="31" s="1"/>
  <c r="M35" i="31"/>
  <c r="M36" i="31"/>
  <c r="M37" i="31"/>
  <c r="M38" i="31"/>
  <c r="R38" i="31" s="1"/>
  <c r="M39" i="31"/>
  <c r="M40" i="31"/>
  <c r="M41" i="31"/>
  <c r="M42" i="31"/>
  <c r="R42" i="31" s="1"/>
  <c r="M43" i="31"/>
  <c r="M44" i="31"/>
  <c r="M45" i="31"/>
  <c r="M46" i="31"/>
  <c r="R46" i="31" s="1"/>
  <c r="M47" i="31"/>
  <c r="M48" i="31"/>
  <c r="M49" i="31"/>
  <c r="M15" i="31"/>
  <c r="L93" i="31"/>
  <c r="L94" i="31"/>
  <c r="H92" i="5" s="1"/>
  <c r="K15" i="31"/>
  <c r="AH17" i="325"/>
  <c r="B17" i="325"/>
  <c r="AH16" i="325"/>
  <c r="B16" i="325"/>
  <c r="AH15" i="325"/>
  <c r="B15" i="325"/>
  <c r="AH14" i="325"/>
  <c r="B14" i="325"/>
  <c r="AH13" i="325"/>
  <c r="B13" i="325"/>
  <c r="AH12" i="325"/>
  <c r="B12" i="325"/>
  <c r="Q87" i="31" s="1"/>
  <c r="AH11" i="325"/>
  <c r="AH18" i="325" s="1"/>
  <c r="AG11" i="325"/>
  <c r="AG18" i="325" s="1"/>
  <c r="AF11" i="325"/>
  <c r="AF18" i="325" s="1"/>
  <c r="AE11" i="325"/>
  <c r="AE18" i="325" s="1"/>
  <c r="AD11" i="325"/>
  <c r="AD18" i="325" s="1"/>
  <c r="AC11" i="325"/>
  <c r="AC18" i="325" s="1"/>
  <c r="AB11" i="325"/>
  <c r="AB18" i="325" s="1"/>
  <c r="AA11" i="325"/>
  <c r="AA18" i="325" s="1"/>
  <c r="Z11" i="325"/>
  <c r="Z18" i="325" s="1"/>
  <c r="Y11" i="325"/>
  <c r="Y18" i="325" s="1"/>
  <c r="X11" i="325"/>
  <c r="X18" i="325" s="1"/>
  <c r="W11" i="325"/>
  <c r="W18" i="325" s="1"/>
  <c r="V11" i="325"/>
  <c r="V18" i="325" s="1"/>
  <c r="U11" i="325"/>
  <c r="U18" i="325" s="1"/>
  <c r="T11" i="325"/>
  <c r="T18" i="325" s="1"/>
  <c r="S11" i="325"/>
  <c r="S18" i="325" s="1"/>
  <c r="R11" i="325"/>
  <c r="R18" i="325" s="1"/>
  <c r="Q11" i="325"/>
  <c r="Q18" i="325" s="1"/>
  <c r="P11" i="325"/>
  <c r="P18" i="325" s="1"/>
  <c r="O11" i="325"/>
  <c r="O18" i="325" s="1"/>
  <c r="N11" i="325"/>
  <c r="N18" i="325" s="1"/>
  <c r="M11" i="325"/>
  <c r="M18" i="325" s="1"/>
  <c r="L11" i="325"/>
  <c r="L18" i="325" s="1"/>
  <c r="K11" i="325"/>
  <c r="K18" i="325" s="1"/>
  <c r="J11" i="325"/>
  <c r="J18" i="325" s="1"/>
  <c r="I11" i="325"/>
  <c r="I18" i="325" s="1"/>
  <c r="H11" i="325"/>
  <c r="H18" i="325" s="1"/>
  <c r="G11" i="325"/>
  <c r="G18" i="325" s="1"/>
  <c r="F11" i="325"/>
  <c r="F18" i="325" s="1"/>
  <c r="E11" i="325"/>
  <c r="E18" i="325" s="1"/>
  <c r="D11" i="325"/>
  <c r="D18" i="325" s="1"/>
  <c r="C11" i="325"/>
  <c r="C18" i="325" s="1"/>
  <c r="AH89" i="324"/>
  <c r="AG89" i="324"/>
  <c r="AF89" i="324"/>
  <c r="AE89" i="324"/>
  <c r="AD89" i="324"/>
  <c r="AC89" i="324"/>
  <c r="AB89" i="324"/>
  <c r="AA89" i="324"/>
  <c r="Z89" i="324"/>
  <c r="Y89" i="324"/>
  <c r="X89" i="324"/>
  <c r="W89" i="324"/>
  <c r="V89" i="324"/>
  <c r="U89" i="324"/>
  <c r="T89" i="324"/>
  <c r="S89" i="324"/>
  <c r="R89" i="324"/>
  <c r="Q89" i="324"/>
  <c r="P89" i="324"/>
  <c r="O89" i="324"/>
  <c r="N89" i="324"/>
  <c r="M89" i="324"/>
  <c r="L89" i="324"/>
  <c r="K89" i="324"/>
  <c r="J89" i="324"/>
  <c r="I89" i="324"/>
  <c r="H89" i="324"/>
  <c r="G89" i="324"/>
  <c r="F89" i="324"/>
  <c r="E89" i="324"/>
  <c r="D89" i="324"/>
  <c r="AN88" i="324"/>
  <c r="AM88" i="324"/>
  <c r="O92" i="31"/>
  <c r="AK88" i="324"/>
  <c r="AJ88" i="324"/>
  <c r="N92" i="31" s="1"/>
  <c r="AI88" i="324"/>
  <c r="AN87" i="324"/>
  <c r="AM87" i="324"/>
  <c r="O91" i="31"/>
  <c r="AK87" i="324"/>
  <c r="AJ87" i="324"/>
  <c r="N91" i="31" s="1"/>
  <c r="AI87" i="324"/>
  <c r="AN86" i="324"/>
  <c r="AM86" i="324"/>
  <c r="O90" i="31"/>
  <c r="AK86" i="324"/>
  <c r="AJ86" i="324"/>
  <c r="N90" i="31" s="1"/>
  <c r="AI86" i="324"/>
  <c r="AN85" i="324"/>
  <c r="AM85" i="324"/>
  <c r="O89" i="31"/>
  <c r="AK85" i="324"/>
  <c r="AJ85" i="324"/>
  <c r="N89" i="31" s="1"/>
  <c r="AI85" i="324"/>
  <c r="AN84" i="324"/>
  <c r="AM84" i="324"/>
  <c r="O88" i="31"/>
  <c r="AK84" i="324"/>
  <c r="AJ84" i="324"/>
  <c r="N88" i="31" s="1"/>
  <c r="AI84" i="324"/>
  <c r="AN83" i="324"/>
  <c r="AM83" i="324"/>
  <c r="O87" i="31"/>
  <c r="AK83" i="324"/>
  <c r="AJ83" i="324"/>
  <c r="N87" i="31" s="1"/>
  <c r="AI83" i="324"/>
  <c r="AN82" i="324"/>
  <c r="AM82" i="324"/>
  <c r="O86" i="31"/>
  <c r="AK82" i="324"/>
  <c r="AJ82" i="324"/>
  <c r="N86" i="31" s="1"/>
  <c r="AI82" i="324"/>
  <c r="AN81" i="324"/>
  <c r="AM81" i="324"/>
  <c r="O85" i="31"/>
  <c r="AK81" i="324"/>
  <c r="AJ81" i="324"/>
  <c r="N85" i="31" s="1"/>
  <c r="AI81" i="324"/>
  <c r="AN80" i="324"/>
  <c r="AM80" i="324"/>
  <c r="O84" i="31"/>
  <c r="AK80" i="324"/>
  <c r="AJ80" i="324"/>
  <c r="AI80" i="324"/>
  <c r="AN79" i="324"/>
  <c r="AM79" i="324"/>
  <c r="O83" i="31"/>
  <c r="AK79" i="324"/>
  <c r="AJ79" i="324"/>
  <c r="N83" i="31" s="1"/>
  <c r="AI79" i="324"/>
  <c r="AN78" i="324"/>
  <c r="AM78" i="324"/>
  <c r="O82" i="31"/>
  <c r="AK78" i="324"/>
  <c r="AJ78" i="324"/>
  <c r="N82" i="31" s="1"/>
  <c r="AI78" i="324"/>
  <c r="AN77" i="324"/>
  <c r="AM77" i="324"/>
  <c r="O81" i="31"/>
  <c r="AK77" i="324"/>
  <c r="AJ77" i="324"/>
  <c r="N81" i="31" s="1"/>
  <c r="AI77" i="324"/>
  <c r="AN76" i="324"/>
  <c r="AM76" i="324"/>
  <c r="O80" i="31"/>
  <c r="AK76" i="324"/>
  <c r="AJ76" i="324"/>
  <c r="AI76" i="324"/>
  <c r="AN75" i="324"/>
  <c r="AM75" i="324"/>
  <c r="O79" i="31"/>
  <c r="AK75" i="324"/>
  <c r="AJ75" i="324"/>
  <c r="N79" i="31" s="1"/>
  <c r="AI75" i="324"/>
  <c r="AN74" i="324"/>
  <c r="AM74" i="324"/>
  <c r="O78" i="31"/>
  <c r="AK74" i="324"/>
  <c r="AJ74" i="324"/>
  <c r="N78" i="31" s="1"/>
  <c r="AI74" i="324"/>
  <c r="AN73" i="324"/>
  <c r="AM73" i="324"/>
  <c r="O77" i="31"/>
  <c r="AK73" i="324"/>
  <c r="AJ73" i="324"/>
  <c r="N77" i="31" s="1"/>
  <c r="AI73" i="324"/>
  <c r="AN72" i="324"/>
  <c r="AM72" i="324"/>
  <c r="O76" i="31"/>
  <c r="AK72" i="324"/>
  <c r="AJ72" i="324"/>
  <c r="AI72" i="324"/>
  <c r="AN71" i="324"/>
  <c r="AM71" i="324"/>
  <c r="O75" i="31"/>
  <c r="AK71" i="324"/>
  <c r="AJ71" i="324"/>
  <c r="N75" i="31" s="1"/>
  <c r="AI71" i="324"/>
  <c r="AN70" i="324"/>
  <c r="AM70" i="324"/>
  <c r="O74" i="31"/>
  <c r="AK70" i="324"/>
  <c r="AJ70" i="324"/>
  <c r="N74" i="31" s="1"/>
  <c r="AI70" i="324"/>
  <c r="AN69" i="324"/>
  <c r="AM69" i="324"/>
  <c r="O73" i="31"/>
  <c r="AK69" i="324"/>
  <c r="AJ69" i="324"/>
  <c r="N73" i="31" s="1"/>
  <c r="AI69" i="324"/>
  <c r="AN68" i="324"/>
  <c r="AM68" i="324"/>
  <c r="O72" i="31"/>
  <c r="AK68" i="324"/>
  <c r="AJ68" i="324"/>
  <c r="N72" i="31" s="1"/>
  <c r="AI68" i="324"/>
  <c r="AN67" i="324"/>
  <c r="AM67" i="324"/>
  <c r="O71" i="31"/>
  <c r="AK67" i="324"/>
  <c r="AJ67" i="324"/>
  <c r="N71" i="31" s="1"/>
  <c r="AI67" i="324"/>
  <c r="AN66" i="324"/>
  <c r="AM66" i="324"/>
  <c r="O70" i="31"/>
  <c r="AK66" i="324"/>
  <c r="AJ66" i="324"/>
  <c r="N70" i="31" s="1"/>
  <c r="AI66" i="324"/>
  <c r="AN65" i="324"/>
  <c r="AM65" i="324"/>
  <c r="O69" i="31"/>
  <c r="AK65" i="324"/>
  <c r="AJ65" i="324"/>
  <c r="N69" i="31" s="1"/>
  <c r="AI65" i="324"/>
  <c r="AN64" i="324"/>
  <c r="AM64" i="324"/>
  <c r="O68" i="31"/>
  <c r="AK64" i="324"/>
  <c r="AJ64" i="324"/>
  <c r="N68" i="31" s="1"/>
  <c r="AI64" i="324"/>
  <c r="AN63" i="324"/>
  <c r="AM63" i="324"/>
  <c r="O67" i="31"/>
  <c r="AK63" i="324"/>
  <c r="AJ63" i="324"/>
  <c r="N67" i="31" s="1"/>
  <c r="AI63" i="324"/>
  <c r="AN62" i="324"/>
  <c r="AM62" i="324"/>
  <c r="O66" i="31"/>
  <c r="AK62" i="324"/>
  <c r="AJ62" i="324"/>
  <c r="N66" i="31" s="1"/>
  <c r="AI62" i="324"/>
  <c r="AN61" i="324"/>
  <c r="AM61" i="324"/>
  <c r="O65" i="31"/>
  <c r="AK61" i="324"/>
  <c r="AJ61" i="324"/>
  <c r="N65" i="31" s="1"/>
  <c r="AI61" i="324"/>
  <c r="AN60" i="324"/>
  <c r="AM60" i="324"/>
  <c r="O64" i="31"/>
  <c r="AK60" i="324"/>
  <c r="AJ60" i="324"/>
  <c r="N64" i="31" s="1"/>
  <c r="AI60" i="324"/>
  <c r="AN59" i="324"/>
  <c r="AM59" i="324"/>
  <c r="O63" i="31"/>
  <c r="AK59" i="324"/>
  <c r="AJ59" i="324"/>
  <c r="N63" i="31" s="1"/>
  <c r="AI59" i="324"/>
  <c r="AN58" i="324"/>
  <c r="AM58" i="324"/>
  <c r="O62" i="31"/>
  <c r="AK58" i="324"/>
  <c r="AJ58" i="324"/>
  <c r="N62" i="31" s="1"/>
  <c r="AI58" i="324"/>
  <c r="AN57" i="324"/>
  <c r="AM57" i="324"/>
  <c r="O61" i="31"/>
  <c r="AK57" i="324"/>
  <c r="AJ57" i="324"/>
  <c r="N61" i="31" s="1"/>
  <c r="AI57" i="324"/>
  <c r="AN56" i="324"/>
  <c r="AM56" i="324"/>
  <c r="O60" i="31"/>
  <c r="AK56" i="324"/>
  <c r="AJ56" i="324"/>
  <c r="N60" i="31" s="1"/>
  <c r="AI56" i="324"/>
  <c r="AN55" i="324"/>
  <c r="AM55" i="324"/>
  <c r="O59" i="31"/>
  <c r="AK55" i="324"/>
  <c r="AJ55" i="324"/>
  <c r="N59" i="31" s="1"/>
  <c r="AI55" i="324"/>
  <c r="AN54" i="324"/>
  <c r="AM54" i="324"/>
  <c r="O58" i="31"/>
  <c r="AK54" i="324"/>
  <c r="AJ54" i="324"/>
  <c r="N58" i="31" s="1"/>
  <c r="AI54" i="324"/>
  <c r="AN53" i="324"/>
  <c r="AM53" i="324"/>
  <c r="O57" i="31"/>
  <c r="AK53" i="324"/>
  <c r="AJ53" i="324"/>
  <c r="N57" i="31" s="1"/>
  <c r="AI53" i="324"/>
  <c r="AN52" i="324"/>
  <c r="AM52" i="324"/>
  <c r="O56" i="31"/>
  <c r="AK52" i="324"/>
  <c r="AJ52" i="324"/>
  <c r="N56" i="31" s="1"/>
  <c r="AI52" i="324"/>
  <c r="AN51" i="324"/>
  <c r="AM51" i="324"/>
  <c r="O55" i="31"/>
  <c r="AK51" i="324"/>
  <c r="AJ51" i="324"/>
  <c r="N55" i="31" s="1"/>
  <c r="AI51" i="324"/>
  <c r="AN50" i="324"/>
  <c r="AM50" i="324"/>
  <c r="O54" i="31"/>
  <c r="AK50" i="324"/>
  <c r="AJ50" i="324"/>
  <c r="N54" i="31" s="1"/>
  <c r="AI50" i="324"/>
  <c r="AN49" i="324"/>
  <c r="AM49" i="324"/>
  <c r="O53" i="31"/>
  <c r="AK49" i="324"/>
  <c r="AJ49" i="324"/>
  <c r="N53" i="31" s="1"/>
  <c r="AI49" i="324"/>
  <c r="AN48" i="324"/>
  <c r="AM48" i="324"/>
  <c r="O52" i="31"/>
  <c r="AK48" i="324"/>
  <c r="AJ48" i="324"/>
  <c r="AI48" i="324"/>
  <c r="AN47" i="324"/>
  <c r="AM47" i="324"/>
  <c r="O51" i="31"/>
  <c r="AK47" i="324"/>
  <c r="AJ47" i="324"/>
  <c r="N51" i="31" s="1"/>
  <c r="AI47" i="324"/>
  <c r="AN46" i="324"/>
  <c r="AM46" i="324"/>
  <c r="O50" i="31"/>
  <c r="AK46" i="324"/>
  <c r="AJ46" i="324"/>
  <c r="N50" i="31" s="1"/>
  <c r="AI46" i="324"/>
  <c r="AO46" i="324" s="1"/>
  <c r="AN45" i="324"/>
  <c r="AM45" i="324"/>
  <c r="AJ45" i="324"/>
  <c r="AI45" i="324"/>
  <c r="AN44" i="324"/>
  <c r="AM44" i="324"/>
  <c r="AL44" i="324"/>
  <c r="AJ44" i="324"/>
  <c r="AI44" i="324"/>
  <c r="AN43" i="324"/>
  <c r="AM43" i="324"/>
  <c r="AL43" i="324"/>
  <c r="AK43" i="324"/>
  <c r="AJ43" i="324"/>
  <c r="AI43" i="324"/>
  <c r="AN42" i="324"/>
  <c r="AM42" i="324"/>
  <c r="AL42" i="324"/>
  <c r="AK42" i="324"/>
  <c r="AJ42" i="324"/>
  <c r="AI42" i="324"/>
  <c r="AN41" i="324"/>
  <c r="AM41" i="324"/>
  <c r="AL41" i="324"/>
  <c r="AJ41" i="324"/>
  <c r="AI41" i="324"/>
  <c r="AN40" i="324"/>
  <c r="AM40" i="324"/>
  <c r="AL40" i="324"/>
  <c r="AJ40" i="324"/>
  <c r="AI40" i="324"/>
  <c r="AN39" i="324"/>
  <c r="AM39" i="324"/>
  <c r="AL39" i="324"/>
  <c r="AK39" i="324"/>
  <c r="AJ39" i="324"/>
  <c r="AI39" i="324"/>
  <c r="AN38" i="324"/>
  <c r="AM38" i="324"/>
  <c r="AL38" i="324"/>
  <c r="AK38" i="324"/>
  <c r="AJ38" i="324"/>
  <c r="AI38" i="324"/>
  <c r="AN37" i="324"/>
  <c r="AM37" i="324"/>
  <c r="AL37" i="324"/>
  <c r="AJ37" i="324"/>
  <c r="AI37" i="324"/>
  <c r="AN36" i="324"/>
  <c r="AM36" i="324"/>
  <c r="AL36" i="324"/>
  <c r="AJ36" i="324"/>
  <c r="AI36" i="324"/>
  <c r="AN35" i="324"/>
  <c r="AM35" i="324"/>
  <c r="AL35" i="324"/>
  <c r="AK35" i="324"/>
  <c r="AJ35" i="324"/>
  <c r="AI35" i="324"/>
  <c r="AN34" i="324"/>
  <c r="AM34" i="324"/>
  <c r="AL34" i="324"/>
  <c r="AK34" i="324"/>
  <c r="AJ34" i="324"/>
  <c r="AI34" i="324"/>
  <c r="AN33" i="324"/>
  <c r="AM33" i="324"/>
  <c r="AL33" i="324"/>
  <c r="AJ33" i="324"/>
  <c r="AI33" i="324"/>
  <c r="AN32" i="324"/>
  <c r="AM32" i="324"/>
  <c r="AL32" i="324"/>
  <c r="AJ32" i="324"/>
  <c r="AI32" i="324"/>
  <c r="AN31" i="324"/>
  <c r="AM31" i="324"/>
  <c r="AL31" i="324"/>
  <c r="AK31" i="324"/>
  <c r="AJ31" i="324"/>
  <c r="AI31" i="324"/>
  <c r="AN30" i="324"/>
  <c r="AM30" i="324"/>
  <c r="AL30" i="324"/>
  <c r="AK30" i="324"/>
  <c r="AJ30" i="324"/>
  <c r="AI30" i="324"/>
  <c r="AN29" i="324"/>
  <c r="AM29" i="324"/>
  <c r="AL29" i="324"/>
  <c r="AJ29" i="324"/>
  <c r="AI29" i="324"/>
  <c r="AN28" i="324"/>
  <c r="AM28" i="324"/>
  <c r="AL28" i="324"/>
  <c r="AJ28" i="324"/>
  <c r="AI28" i="324"/>
  <c r="AN27" i="324"/>
  <c r="AM27" i="324"/>
  <c r="AL27" i="324"/>
  <c r="AK27" i="324"/>
  <c r="AJ27" i="324"/>
  <c r="AI27" i="324"/>
  <c r="AN26" i="324"/>
  <c r="AM26" i="324"/>
  <c r="AL26" i="324"/>
  <c r="AK26" i="324"/>
  <c r="AJ26" i="324"/>
  <c r="AI26" i="324"/>
  <c r="AN25" i="324"/>
  <c r="AM25" i="324"/>
  <c r="AL25" i="324"/>
  <c r="AJ25" i="324"/>
  <c r="AI25" i="324"/>
  <c r="AN24" i="324"/>
  <c r="AM24" i="324"/>
  <c r="AL24" i="324"/>
  <c r="AJ24" i="324"/>
  <c r="AI24" i="324"/>
  <c r="AN23" i="324"/>
  <c r="AM23" i="324"/>
  <c r="AL23" i="324"/>
  <c r="AK23" i="324"/>
  <c r="AJ23" i="324"/>
  <c r="AI23" i="324"/>
  <c r="AN22" i="324"/>
  <c r="AM22" i="324"/>
  <c r="AL22" i="324"/>
  <c r="AK22" i="324"/>
  <c r="AJ22" i="324"/>
  <c r="AI22" i="324"/>
  <c r="AN21" i="324"/>
  <c r="AM21" i="324"/>
  <c r="AL21" i="324"/>
  <c r="AJ21" i="324"/>
  <c r="AI21" i="324"/>
  <c r="AN20" i="324"/>
  <c r="AM20" i="324"/>
  <c r="AL20" i="324"/>
  <c r="AJ20" i="324"/>
  <c r="AI20" i="324"/>
  <c r="AN19" i="324"/>
  <c r="AM19" i="324"/>
  <c r="AL19" i="324"/>
  <c r="AK19" i="324"/>
  <c r="AJ19" i="324"/>
  <c r="AI19" i="324"/>
  <c r="AN18" i="324"/>
  <c r="AM18" i="324"/>
  <c r="AL18" i="324"/>
  <c r="AK18" i="324"/>
  <c r="AJ18" i="324"/>
  <c r="AI18" i="324"/>
  <c r="AN17" i="324"/>
  <c r="AM17" i="324"/>
  <c r="AL17" i="324"/>
  <c r="AJ17" i="324"/>
  <c r="AI17" i="324"/>
  <c r="AN16" i="324"/>
  <c r="AM16" i="324"/>
  <c r="AL16" i="324"/>
  <c r="AJ16" i="324"/>
  <c r="AI16" i="324"/>
  <c r="AN15" i="324"/>
  <c r="AM15" i="324"/>
  <c r="AL15" i="324"/>
  <c r="AK15" i="324"/>
  <c r="AJ15" i="324"/>
  <c r="AI15" i="324"/>
  <c r="AN14" i="324"/>
  <c r="AM14" i="324"/>
  <c r="AL14" i="324"/>
  <c r="AK14" i="324"/>
  <c r="AJ14" i="324"/>
  <c r="AI14" i="324"/>
  <c r="AN13" i="324"/>
  <c r="AM13" i="324"/>
  <c r="AL13" i="324"/>
  <c r="AJ13" i="324"/>
  <c r="AI13" i="324"/>
  <c r="AN12" i="324"/>
  <c r="AM12" i="324"/>
  <c r="AL12" i="324"/>
  <c r="AJ12" i="324"/>
  <c r="AI12" i="324"/>
  <c r="AN11" i="324"/>
  <c r="AM11" i="324"/>
  <c r="AL11" i="324"/>
  <c r="AK11" i="324"/>
  <c r="AJ11" i="324"/>
  <c r="AI11" i="324"/>
  <c r="AH88" i="323"/>
  <c r="AG88" i="323"/>
  <c r="AF88" i="323"/>
  <c r="AE88" i="323"/>
  <c r="AD88" i="323"/>
  <c r="AC88" i="323"/>
  <c r="AB88" i="323"/>
  <c r="AA88" i="323"/>
  <c r="Z88" i="323"/>
  <c r="Y88" i="323"/>
  <c r="X88" i="323"/>
  <c r="W88" i="323"/>
  <c r="V88" i="323"/>
  <c r="U88" i="323"/>
  <c r="T88" i="323"/>
  <c r="S88" i="323"/>
  <c r="R88" i="323"/>
  <c r="Q88" i="323"/>
  <c r="P88" i="323"/>
  <c r="O88" i="323"/>
  <c r="N88" i="323"/>
  <c r="M88" i="323"/>
  <c r="L88" i="323"/>
  <c r="K88" i="323"/>
  <c r="J88" i="323"/>
  <c r="I88" i="323"/>
  <c r="H88" i="323"/>
  <c r="G88" i="323"/>
  <c r="F88" i="323"/>
  <c r="E88" i="323"/>
  <c r="D88" i="323"/>
  <c r="AI87" i="323"/>
  <c r="AK87" i="323" s="1"/>
  <c r="C87" i="323"/>
  <c r="AI86" i="323"/>
  <c r="AK86" i="323" s="1"/>
  <c r="C86" i="323"/>
  <c r="AI85" i="323"/>
  <c r="AK85" i="323" s="1"/>
  <c r="C85" i="323"/>
  <c r="AI84" i="323"/>
  <c r="AK84" i="323" s="1"/>
  <c r="C84" i="323"/>
  <c r="AI83" i="323"/>
  <c r="AK83" i="323" s="1"/>
  <c r="C83" i="323"/>
  <c r="AI82" i="323"/>
  <c r="AK82" i="323" s="1"/>
  <c r="C82" i="323"/>
  <c r="AI81" i="323"/>
  <c r="AK81" i="323" s="1"/>
  <c r="C81" i="323"/>
  <c r="AI80" i="323"/>
  <c r="AK80" i="323" s="1"/>
  <c r="C80" i="323"/>
  <c r="AI79" i="323"/>
  <c r="AK79" i="323" s="1"/>
  <c r="C79" i="323"/>
  <c r="AI78" i="323"/>
  <c r="AK78" i="323" s="1"/>
  <c r="C78" i="323"/>
  <c r="AI77" i="323"/>
  <c r="AK77" i="323" s="1"/>
  <c r="C77" i="323"/>
  <c r="AI76" i="323"/>
  <c r="AK76" i="323" s="1"/>
  <c r="C76" i="323"/>
  <c r="AI75" i="323"/>
  <c r="AK75" i="323" s="1"/>
  <c r="C75" i="323"/>
  <c r="AK74" i="323"/>
  <c r="AI74" i="323"/>
  <c r="C74" i="323"/>
  <c r="AI73" i="323"/>
  <c r="AK73" i="323" s="1"/>
  <c r="C73" i="323"/>
  <c r="AI72" i="323"/>
  <c r="AK72" i="323" s="1"/>
  <c r="C72" i="323"/>
  <c r="AI71" i="323"/>
  <c r="AK71" i="323" s="1"/>
  <c r="C71" i="323"/>
  <c r="AI70" i="323"/>
  <c r="AK70" i="323" s="1"/>
  <c r="C70" i="323"/>
  <c r="AI69" i="323"/>
  <c r="AK69" i="323" s="1"/>
  <c r="C69" i="323"/>
  <c r="AI68" i="323"/>
  <c r="AK68" i="323" s="1"/>
  <c r="C68" i="323"/>
  <c r="AI67" i="323"/>
  <c r="AK67" i="323" s="1"/>
  <c r="C67" i="323"/>
  <c r="AI66" i="323"/>
  <c r="AK66" i="323" s="1"/>
  <c r="C66" i="323"/>
  <c r="AI65" i="323"/>
  <c r="AK65" i="323" s="1"/>
  <c r="C65" i="323"/>
  <c r="AI64" i="323"/>
  <c r="AK64" i="323" s="1"/>
  <c r="C64" i="323"/>
  <c r="AI63" i="323"/>
  <c r="AK63" i="323" s="1"/>
  <c r="C63" i="323"/>
  <c r="AK62" i="323"/>
  <c r="AI62" i="323"/>
  <c r="C62" i="323"/>
  <c r="AI61" i="323"/>
  <c r="AK61" i="323" s="1"/>
  <c r="C61" i="323"/>
  <c r="AI60" i="323"/>
  <c r="AK60" i="323" s="1"/>
  <c r="C60" i="323"/>
  <c r="AI59" i="323"/>
  <c r="AK59" i="323" s="1"/>
  <c r="C59" i="323"/>
  <c r="AI58" i="323"/>
  <c r="AK58" i="323" s="1"/>
  <c r="C58" i="323"/>
  <c r="AI57" i="323"/>
  <c r="AK57" i="323" s="1"/>
  <c r="C57" i="323"/>
  <c r="AI56" i="323"/>
  <c r="AK56" i="323" s="1"/>
  <c r="C56" i="323"/>
  <c r="AI55" i="323"/>
  <c r="AK55" i="323" s="1"/>
  <c r="C55" i="323"/>
  <c r="AI54" i="323"/>
  <c r="AK54" i="323" s="1"/>
  <c r="C54" i="323"/>
  <c r="AI53" i="323"/>
  <c r="AK53" i="323" s="1"/>
  <c r="C53" i="323"/>
  <c r="AI52" i="323"/>
  <c r="AK52" i="323" s="1"/>
  <c r="C52" i="323"/>
  <c r="AI51" i="323"/>
  <c r="AK51" i="323" s="1"/>
  <c r="C51" i="323"/>
  <c r="AI50" i="323"/>
  <c r="AK50" i="323" s="1"/>
  <c r="C50" i="323"/>
  <c r="AK49" i="323"/>
  <c r="AI49" i="323"/>
  <c r="C49" i="323"/>
  <c r="AI48" i="323"/>
  <c r="AK48" i="323" s="1"/>
  <c r="C48" i="323"/>
  <c r="AN47" i="323"/>
  <c r="AI47" i="323"/>
  <c r="AK47" i="323" s="1"/>
  <c r="C47" i="323"/>
  <c r="AI46" i="323"/>
  <c r="AK46" i="323" s="1"/>
  <c r="C46" i="323"/>
  <c r="AK45" i="323"/>
  <c r="AI45" i="323"/>
  <c r="C45" i="323"/>
  <c r="AI44" i="323"/>
  <c r="AK44" i="323" s="1"/>
  <c r="C44" i="323"/>
  <c r="AI43" i="323"/>
  <c r="AK43" i="323" s="1"/>
  <c r="C43" i="323"/>
  <c r="AI42" i="323"/>
  <c r="AK42" i="323" s="1"/>
  <c r="C42" i="323"/>
  <c r="AI41" i="323"/>
  <c r="AK41" i="323" s="1"/>
  <c r="C41" i="323"/>
  <c r="AI40" i="323"/>
  <c r="AK40" i="323" s="1"/>
  <c r="C40" i="323"/>
  <c r="AI39" i="323"/>
  <c r="AK39" i="323" s="1"/>
  <c r="C39" i="323"/>
  <c r="AI38" i="323"/>
  <c r="AK38" i="323" s="1"/>
  <c r="C38" i="323"/>
  <c r="AI37" i="323"/>
  <c r="AK37" i="323" s="1"/>
  <c r="C37" i="323"/>
  <c r="AI36" i="323"/>
  <c r="AK36" i="323" s="1"/>
  <c r="C36" i="323"/>
  <c r="AI35" i="323"/>
  <c r="AK35" i="323" s="1"/>
  <c r="C35" i="323"/>
  <c r="AI34" i="323"/>
  <c r="AK34" i="323" s="1"/>
  <c r="C34" i="323"/>
  <c r="AI33" i="323"/>
  <c r="AK33" i="323" s="1"/>
  <c r="C33" i="323"/>
  <c r="AI32" i="323"/>
  <c r="AK32" i="323" s="1"/>
  <c r="C32" i="323"/>
  <c r="AI31" i="323"/>
  <c r="AK31" i="323" s="1"/>
  <c r="C31" i="323"/>
  <c r="AK30" i="323"/>
  <c r="AI30" i="323"/>
  <c r="C30" i="323"/>
  <c r="AI29" i="323"/>
  <c r="AK29" i="323" s="1"/>
  <c r="C29" i="323"/>
  <c r="AI28" i="323"/>
  <c r="AK28" i="323" s="1"/>
  <c r="C28" i="323"/>
  <c r="AI27" i="323"/>
  <c r="AK27" i="323" s="1"/>
  <c r="C27" i="323"/>
  <c r="AI26" i="323"/>
  <c r="AK26" i="323" s="1"/>
  <c r="C26" i="323"/>
  <c r="AI25" i="323"/>
  <c r="AK25" i="323" s="1"/>
  <c r="C25" i="323"/>
  <c r="AI24" i="323"/>
  <c r="AK24" i="323" s="1"/>
  <c r="C24" i="323"/>
  <c r="AI23" i="323"/>
  <c r="AK23" i="323" s="1"/>
  <c r="C23" i="323"/>
  <c r="AI22" i="323"/>
  <c r="AK22" i="323" s="1"/>
  <c r="C22" i="323"/>
  <c r="AI21" i="323"/>
  <c r="AK21" i="323" s="1"/>
  <c r="C21" i="323"/>
  <c r="AI20" i="323"/>
  <c r="AK20" i="323" s="1"/>
  <c r="C20" i="323"/>
  <c r="AI19" i="323"/>
  <c r="AK19" i="323" s="1"/>
  <c r="C19" i="323"/>
  <c r="AI18" i="323"/>
  <c r="AK18" i="323" s="1"/>
  <c r="C18" i="323"/>
  <c r="AI17" i="323"/>
  <c r="AK17" i="323" s="1"/>
  <c r="C17" i="323"/>
  <c r="AI16" i="323"/>
  <c r="AK16" i="323" s="1"/>
  <c r="C16" i="323"/>
  <c r="AI15" i="323"/>
  <c r="AK15" i="323" s="1"/>
  <c r="C15" i="323"/>
  <c r="AK14" i="323"/>
  <c r="AI14" i="323"/>
  <c r="C14" i="323"/>
  <c r="AO13" i="323"/>
  <c r="AK13" i="323"/>
  <c r="AI13" i="323"/>
  <c r="C13" i="323"/>
  <c r="AI12" i="323"/>
  <c r="AK12" i="323" s="1"/>
  <c r="C12" i="323"/>
  <c r="AI11" i="323"/>
  <c r="C11" i="323"/>
  <c r="W98" i="322"/>
  <c r="Q98" i="322"/>
  <c r="D98" i="322"/>
  <c r="D96" i="322"/>
  <c r="D95" i="322"/>
  <c r="AH91" i="322"/>
  <c r="AG91" i="322"/>
  <c r="AF91" i="322"/>
  <c r="AE91" i="322"/>
  <c r="AD91" i="322"/>
  <c r="AC91" i="322"/>
  <c r="AB91" i="322"/>
  <c r="AA91" i="322"/>
  <c r="Z91" i="322"/>
  <c r="Y91" i="322"/>
  <c r="X91" i="322"/>
  <c r="W91" i="322"/>
  <c r="V91" i="322"/>
  <c r="U91" i="322"/>
  <c r="T91" i="322"/>
  <c r="S91" i="322"/>
  <c r="R91" i="322"/>
  <c r="Q91" i="322"/>
  <c r="P91" i="322"/>
  <c r="O91" i="322"/>
  <c r="N91" i="322"/>
  <c r="M91" i="322"/>
  <c r="L91" i="322"/>
  <c r="K91" i="322"/>
  <c r="J91" i="322"/>
  <c r="I91" i="322"/>
  <c r="H91" i="322"/>
  <c r="G91" i="322"/>
  <c r="F91" i="322"/>
  <c r="E91" i="322"/>
  <c r="D91" i="322"/>
  <c r="AJ90" i="322"/>
  <c r="AI90" i="322"/>
  <c r="AK90" i="322" s="1"/>
  <c r="C90" i="322"/>
  <c r="AJ89" i="322"/>
  <c r="AI89" i="322"/>
  <c r="AK89" i="322" s="1"/>
  <c r="C89" i="322"/>
  <c r="AJ88" i="322"/>
  <c r="AI88" i="322"/>
  <c r="C88" i="322"/>
  <c r="AJ87" i="322"/>
  <c r="AI87" i="322"/>
  <c r="C87" i="322"/>
  <c r="AJ86" i="322"/>
  <c r="AI86" i="322"/>
  <c r="C86" i="322"/>
  <c r="AJ85" i="322"/>
  <c r="AI85" i="322"/>
  <c r="C85" i="322"/>
  <c r="AJ84" i="322"/>
  <c r="AK84" i="322" s="1"/>
  <c r="AI84" i="322"/>
  <c r="C84" i="322"/>
  <c r="AJ83" i="322"/>
  <c r="AI83" i="322"/>
  <c r="C83" i="322"/>
  <c r="AJ82" i="322"/>
  <c r="AI82" i="322"/>
  <c r="C82" i="322"/>
  <c r="AJ81" i="322"/>
  <c r="AI81" i="322"/>
  <c r="C81" i="322"/>
  <c r="AJ80" i="322"/>
  <c r="AK80" i="322" s="1"/>
  <c r="AI80" i="322"/>
  <c r="C80" i="322"/>
  <c r="AJ79" i="322"/>
  <c r="AI79" i="322"/>
  <c r="C79" i="322"/>
  <c r="AJ78" i="322"/>
  <c r="AI78" i="322"/>
  <c r="C78" i="322"/>
  <c r="AJ77" i="322"/>
  <c r="AI77" i="322"/>
  <c r="C77" i="322"/>
  <c r="AJ76" i="322"/>
  <c r="AK76" i="322" s="1"/>
  <c r="AI76" i="322"/>
  <c r="C76" i="322"/>
  <c r="AJ75" i="322"/>
  <c r="AI75" i="322"/>
  <c r="C75" i="322"/>
  <c r="AJ74" i="322"/>
  <c r="AI74" i="322"/>
  <c r="C74" i="322"/>
  <c r="AJ73" i="322"/>
  <c r="AI73" i="322"/>
  <c r="C73" i="322"/>
  <c r="AJ72" i="322"/>
  <c r="AK72" i="322" s="1"/>
  <c r="AI72" i="322"/>
  <c r="C72" i="322"/>
  <c r="AJ71" i="322"/>
  <c r="AI71" i="322"/>
  <c r="C71" i="322"/>
  <c r="AJ70" i="322"/>
  <c r="AI70" i="322"/>
  <c r="AK70" i="322" s="1"/>
  <c r="C70" i="322"/>
  <c r="AJ69" i="322"/>
  <c r="AI69" i="322"/>
  <c r="AK69" i="322" s="1"/>
  <c r="C69" i="322"/>
  <c r="AJ68" i="322"/>
  <c r="AI68" i="322"/>
  <c r="AK68" i="322" s="1"/>
  <c r="C68" i="322"/>
  <c r="AJ67" i="322"/>
  <c r="AI67" i="322"/>
  <c r="AK67" i="322" s="1"/>
  <c r="C67" i="322"/>
  <c r="AJ66" i="322"/>
  <c r="AI66" i="322"/>
  <c r="AK66" i="322" s="1"/>
  <c r="C66" i="322"/>
  <c r="AJ65" i="322"/>
  <c r="AI65" i="322"/>
  <c r="AK65" i="322" s="1"/>
  <c r="C65" i="322"/>
  <c r="AJ64" i="322"/>
  <c r="AI64" i="322"/>
  <c r="AK64" i="322" s="1"/>
  <c r="C64" i="322"/>
  <c r="AJ63" i="322"/>
  <c r="AI63" i="322"/>
  <c r="AK63" i="322" s="1"/>
  <c r="C63" i="322"/>
  <c r="AJ62" i="322"/>
  <c r="AI62" i="322"/>
  <c r="AK62" i="322" s="1"/>
  <c r="C62" i="322"/>
  <c r="AJ61" i="322"/>
  <c r="AI61" i="322"/>
  <c r="AK61" i="322" s="1"/>
  <c r="C61" i="322"/>
  <c r="AJ60" i="322"/>
  <c r="AI60" i="322"/>
  <c r="AK60" i="322" s="1"/>
  <c r="C60" i="322"/>
  <c r="AJ59" i="322"/>
  <c r="AI59" i="322"/>
  <c r="AK59" i="322" s="1"/>
  <c r="C59" i="322"/>
  <c r="AJ58" i="322"/>
  <c r="AI58" i="322"/>
  <c r="AK58" i="322" s="1"/>
  <c r="C58" i="322"/>
  <c r="AJ57" i="322"/>
  <c r="AI57" i="322"/>
  <c r="AK57" i="322" s="1"/>
  <c r="C57" i="322"/>
  <c r="AJ56" i="322"/>
  <c r="AI56" i="322"/>
  <c r="AK56" i="322" s="1"/>
  <c r="C56" i="322"/>
  <c r="AJ55" i="322"/>
  <c r="AI55" i="322"/>
  <c r="AK55" i="322" s="1"/>
  <c r="C55" i="322"/>
  <c r="AJ54" i="322"/>
  <c r="AI54" i="322"/>
  <c r="AK54" i="322" s="1"/>
  <c r="C54" i="322"/>
  <c r="AJ53" i="322"/>
  <c r="AI53" i="322"/>
  <c r="AK53" i="322" s="1"/>
  <c r="C53" i="322"/>
  <c r="AJ52" i="322"/>
  <c r="AI52" i="322"/>
  <c r="AK52" i="322" s="1"/>
  <c r="C52" i="322"/>
  <c r="AJ51" i="322"/>
  <c r="AI51" i="322"/>
  <c r="AK51" i="322" s="1"/>
  <c r="C51" i="322"/>
  <c r="AJ50" i="322"/>
  <c r="AI50" i="322"/>
  <c r="AK50" i="322" s="1"/>
  <c r="C50" i="322"/>
  <c r="AJ49" i="322"/>
  <c r="AI49" i="322"/>
  <c r="AK49" i="322" s="1"/>
  <c r="C49" i="322"/>
  <c r="AJ48" i="322"/>
  <c r="AI48" i="322"/>
  <c r="AK48" i="322" s="1"/>
  <c r="C48" i="322"/>
  <c r="AJ47" i="322"/>
  <c r="AI47" i="322"/>
  <c r="AK47" i="322" s="1"/>
  <c r="C47" i="322"/>
  <c r="AJ46" i="322"/>
  <c r="AI46" i="322"/>
  <c r="C46" i="322"/>
  <c r="AJ45" i="322"/>
  <c r="AI45" i="322"/>
  <c r="C45" i="322"/>
  <c r="AJ44" i="322"/>
  <c r="AI44" i="322"/>
  <c r="C44" i="322"/>
  <c r="AJ43" i="322"/>
  <c r="AI43" i="322"/>
  <c r="C43" i="322"/>
  <c r="AJ42" i="322"/>
  <c r="AK42" i="322" s="1"/>
  <c r="AI42" i="322"/>
  <c r="C42" i="322"/>
  <c r="AJ41" i="322"/>
  <c r="AI41" i="322"/>
  <c r="C41" i="322"/>
  <c r="AJ40" i="322"/>
  <c r="AI40" i="322"/>
  <c r="C40" i="322"/>
  <c r="AJ39" i="322"/>
  <c r="AI39" i="322"/>
  <c r="C39" i="322"/>
  <c r="AJ38" i="322"/>
  <c r="AK38" i="322" s="1"/>
  <c r="AI38" i="322"/>
  <c r="C38" i="322"/>
  <c r="AJ37" i="322"/>
  <c r="AI37" i="322"/>
  <c r="C37" i="322"/>
  <c r="AJ36" i="322"/>
  <c r="AI36" i="322"/>
  <c r="C36" i="322"/>
  <c r="AJ35" i="322"/>
  <c r="AI35" i="322"/>
  <c r="C35" i="322"/>
  <c r="AJ34" i="322"/>
  <c r="AK34" i="322" s="1"/>
  <c r="AI34" i="322"/>
  <c r="C34" i="322"/>
  <c r="AJ33" i="322"/>
  <c r="AI33" i="322"/>
  <c r="C33" i="322"/>
  <c r="AJ32" i="322"/>
  <c r="AI32" i="322"/>
  <c r="C32" i="322"/>
  <c r="AJ31" i="322"/>
  <c r="AI31" i="322"/>
  <c r="C31" i="322"/>
  <c r="AJ30" i="322"/>
  <c r="AK30" i="322" s="1"/>
  <c r="AI30" i="322"/>
  <c r="C30" i="322"/>
  <c r="AJ29" i="322"/>
  <c r="AI29" i="322"/>
  <c r="C29" i="322"/>
  <c r="AJ28" i="322"/>
  <c r="AI28" i="322"/>
  <c r="C28" i="322"/>
  <c r="AJ27" i="322"/>
  <c r="AI27" i="322"/>
  <c r="C27" i="322"/>
  <c r="AJ26" i="322"/>
  <c r="AK26" i="322" s="1"/>
  <c r="AI26" i="322"/>
  <c r="C26" i="322"/>
  <c r="AJ25" i="322"/>
  <c r="AI25" i="322"/>
  <c r="C25" i="322"/>
  <c r="AJ24" i="322"/>
  <c r="AI24" i="322"/>
  <c r="Q97" i="322" s="1"/>
  <c r="C24" i="322"/>
  <c r="AJ23" i="322"/>
  <c r="AI23" i="322"/>
  <c r="C23" i="322"/>
  <c r="AJ22" i="322"/>
  <c r="AK22" i="322" s="1"/>
  <c r="AI22" i="322"/>
  <c r="C22" i="322"/>
  <c r="AJ21" i="322"/>
  <c r="AI21" i="322"/>
  <c r="C21" i="322"/>
  <c r="AJ20" i="322"/>
  <c r="AI20" i="322"/>
  <c r="AK20" i="322" s="1"/>
  <c r="C20" i="322"/>
  <c r="AJ19" i="322"/>
  <c r="AI19" i="322"/>
  <c r="AK19" i="322" s="1"/>
  <c r="C19" i="322"/>
  <c r="AJ18" i="322"/>
  <c r="AI18" i="322"/>
  <c r="AK18" i="322" s="1"/>
  <c r="C18" i="322"/>
  <c r="AJ17" i="322"/>
  <c r="AI17" i="322"/>
  <c r="AK17" i="322" s="1"/>
  <c r="C17" i="322"/>
  <c r="AJ16" i="322"/>
  <c r="AI16" i="322"/>
  <c r="C16" i="322"/>
  <c r="AJ15" i="322"/>
  <c r="AI15" i="322"/>
  <c r="AK15" i="322" s="1"/>
  <c r="C15" i="322"/>
  <c r="AJ14" i="322"/>
  <c r="AI14" i="322"/>
  <c r="AK14" i="322" s="1"/>
  <c r="C14" i="322"/>
  <c r="AJ13" i="322"/>
  <c r="AI13" i="322"/>
  <c r="AK13" i="322" s="1"/>
  <c r="C13" i="322"/>
  <c r="AJ12" i="322"/>
  <c r="AI12" i="322"/>
  <c r="AK12" i="322" s="1"/>
  <c r="C12" i="322"/>
  <c r="H64" i="31" s="1"/>
  <c r="AI11" i="322"/>
  <c r="C11" i="322"/>
  <c r="R47" i="31" l="1"/>
  <c r="R43" i="31"/>
  <c r="R39" i="31"/>
  <c r="R35" i="31"/>
  <c r="R31" i="31"/>
  <c r="R27" i="31"/>
  <c r="R23" i="31"/>
  <c r="R19" i="31"/>
  <c r="R45" i="31"/>
  <c r="R41" i="31"/>
  <c r="R37" i="31"/>
  <c r="R33" i="31"/>
  <c r="R29" i="31"/>
  <c r="R25" i="31"/>
  <c r="R21" i="31"/>
  <c r="R17" i="31"/>
  <c r="R48" i="31"/>
  <c r="R44" i="31"/>
  <c r="R40" i="31"/>
  <c r="R36" i="31"/>
  <c r="R32" i="31"/>
  <c r="R28" i="31"/>
  <c r="R24" i="31"/>
  <c r="R20" i="31"/>
  <c r="R16" i="31"/>
  <c r="H91" i="5"/>
  <c r="AK88" i="322"/>
  <c r="AK23" i="322"/>
  <c r="AK27" i="322"/>
  <c r="AK31" i="322"/>
  <c r="AK35" i="322"/>
  <c r="J39" i="31" s="1"/>
  <c r="AK39" i="322"/>
  <c r="AK43" i="322"/>
  <c r="D101" i="322"/>
  <c r="AK73" i="322"/>
  <c r="AK77" i="322"/>
  <c r="AK81" i="322"/>
  <c r="AK85" i="322"/>
  <c r="J89" i="31" s="1"/>
  <c r="Q95" i="322"/>
  <c r="AK21" i="322"/>
  <c r="AK29" i="322"/>
  <c r="AK37" i="322"/>
  <c r="J41" i="31" s="1"/>
  <c r="W100" i="322"/>
  <c r="AO97" i="322" s="1"/>
  <c r="AQ97" i="322" s="1"/>
  <c r="AR97" i="322" s="1"/>
  <c r="Q96" i="322"/>
  <c r="AK24" i="322"/>
  <c r="AK28" i="322"/>
  <c r="J32" i="31" s="1"/>
  <c r="AK32" i="322"/>
  <c r="AK36" i="322"/>
  <c r="AK40" i="322"/>
  <c r="AK44" i="322"/>
  <c r="J48" i="31" s="1"/>
  <c r="AK46" i="322"/>
  <c r="AK74" i="322"/>
  <c r="AK78" i="322"/>
  <c r="J82" i="31" s="1"/>
  <c r="AK82" i="322"/>
  <c r="Q100" i="322"/>
  <c r="AK25" i="322"/>
  <c r="AK33" i="322"/>
  <c r="AK41" i="322"/>
  <c r="AK71" i="322"/>
  <c r="AK75" i="322"/>
  <c r="J79" i="31" s="1"/>
  <c r="AK79" i="322"/>
  <c r="AK83" i="322"/>
  <c r="M52" i="31"/>
  <c r="AO48" i="324"/>
  <c r="AO50" i="324"/>
  <c r="M56" i="31"/>
  <c r="AO52" i="324"/>
  <c r="AO54" i="324"/>
  <c r="M60" i="31"/>
  <c r="AO56" i="324"/>
  <c r="AO58" i="324"/>
  <c r="AO60" i="324"/>
  <c r="AO62" i="324"/>
  <c r="AO64" i="324"/>
  <c r="AO66" i="324"/>
  <c r="AO68" i="324"/>
  <c r="AO70" i="324"/>
  <c r="M76" i="31"/>
  <c r="AO72" i="324"/>
  <c r="AO74" i="324"/>
  <c r="M80" i="31"/>
  <c r="AO76" i="324"/>
  <c r="AO78" i="324"/>
  <c r="M84" i="31"/>
  <c r="AO80" i="324"/>
  <c r="P86" i="31"/>
  <c r="AO82" i="324"/>
  <c r="AO84" i="324"/>
  <c r="AO86" i="324"/>
  <c r="AO88" i="324"/>
  <c r="P76" i="31"/>
  <c r="P80" i="31"/>
  <c r="AO47" i="324"/>
  <c r="M53" i="31"/>
  <c r="AO49" i="324"/>
  <c r="AO51" i="324"/>
  <c r="M57" i="31"/>
  <c r="AO53" i="324"/>
  <c r="AO55" i="324"/>
  <c r="M61" i="31"/>
  <c r="AO57" i="324"/>
  <c r="AO59" i="324"/>
  <c r="M65" i="31"/>
  <c r="AO61" i="324"/>
  <c r="AO63" i="324"/>
  <c r="M69" i="31"/>
  <c r="AO65" i="324"/>
  <c r="AO67" i="324"/>
  <c r="M73" i="31"/>
  <c r="AO69" i="324"/>
  <c r="AO71" i="324"/>
  <c r="M77" i="31"/>
  <c r="AO73" i="324"/>
  <c r="AO75" i="324"/>
  <c r="M81" i="31"/>
  <c r="AO77" i="324"/>
  <c r="AO79" i="324"/>
  <c r="M85" i="31"/>
  <c r="AO81" i="324"/>
  <c r="AO83" i="324"/>
  <c r="M89" i="31"/>
  <c r="AO85" i="324"/>
  <c r="AO87" i="324"/>
  <c r="AI89" i="324"/>
  <c r="AM89" i="324"/>
  <c r="AI88" i="323"/>
  <c r="AK11" i="323"/>
  <c r="H80" i="31"/>
  <c r="K35" i="31"/>
  <c r="K43" i="31"/>
  <c r="K51" i="31"/>
  <c r="K67" i="31"/>
  <c r="K79" i="31"/>
  <c r="L79" i="31" s="1"/>
  <c r="K91" i="31"/>
  <c r="L91" i="31" s="1"/>
  <c r="J26" i="31"/>
  <c r="J34" i="31"/>
  <c r="J46" i="31"/>
  <c r="J58" i="31"/>
  <c r="J70" i="31"/>
  <c r="H20" i="31"/>
  <c r="H36" i="31"/>
  <c r="H44" i="31"/>
  <c r="H56" i="31"/>
  <c r="K19" i="31"/>
  <c r="K23" i="31"/>
  <c r="K27" i="31"/>
  <c r="K31" i="31"/>
  <c r="K39" i="31"/>
  <c r="K47" i="31"/>
  <c r="K55" i="31"/>
  <c r="K63" i="31"/>
  <c r="K71" i="31"/>
  <c r="K75" i="31"/>
  <c r="K83" i="31"/>
  <c r="J18" i="31"/>
  <c r="J30" i="31"/>
  <c r="J42" i="31"/>
  <c r="J54" i="31"/>
  <c r="J66" i="31"/>
  <c r="J78" i="31"/>
  <c r="H24" i="31"/>
  <c r="H32" i="31"/>
  <c r="H40" i="31"/>
  <c r="H52" i="31"/>
  <c r="K59" i="31"/>
  <c r="K87" i="31"/>
  <c r="J22" i="31"/>
  <c r="J38" i="31"/>
  <c r="J50" i="31"/>
  <c r="J62" i="31"/>
  <c r="J74" i="31"/>
  <c r="J86" i="31"/>
  <c r="H16" i="31"/>
  <c r="H28" i="31"/>
  <c r="H48" i="31"/>
  <c r="H60" i="31"/>
  <c r="H92" i="31"/>
  <c r="H76" i="31"/>
  <c r="H88" i="31"/>
  <c r="H72" i="31"/>
  <c r="K16" i="31"/>
  <c r="H84" i="31"/>
  <c r="H68" i="31"/>
  <c r="AG44" i="329"/>
  <c r="AI44" i="329" s="1"/>
  <c r="AG17" i="329"/>
  <c r="AI17" i="329" s="1"/>
  <c r="AG21" i="329"/>
  <c r="AI21" i="329" s="1"/>
  <c r="AG25" i="329"/>
  <c r="AI25" i="329" s="1"/>
  <c r="AG29" i="329"/>
  <c r="AI29" i="329" s="1"/>
  <c r="AG33" i="329"/>
  <c r="AI33" i="329" s="1"/>
  <c r="AG37" i="329"/>
  <c r="AI37" i="329" s="1"/>
  <c r="AG41" i="329"/>
  <c r="AI41" i="329" s="1"/>
  <c r="AG45" i="329"/>
  <c r="AI45" i="329" s="1"/>
  <c r="AG48" i="329"/>
  <c r="AI48" i="329" s="1"/>
  <c r="AG52" i="329"/>
  <c r="AI52" i="329" s="1"/>
  <c r="AG56" i="329"/>
  <c r="AI56" i="329" s="1"/>
  <c r="AG60" i="329"/>
  <c r="AI60" i="329" s="1"/>
  <c r="AG64" i="329"/>
  <c r="AI64" i="329" s="1"/>
  <c r="AG68" i="329"/>
  <c r="AI68" i="329" s="1"/>
  <c r="AG72" i="329"/>
  <c r="AI72" i="329" s="1"/>
  <c r="AG76" i="329"/>
  <c r="AI76" i="329" s="1"/>
  <c r="AG80" i="329"/>
  <c r="AI80" i="329" s="1"/>
  <c r="AG84" i="329"/>
  <c r="AI84" i="329" s="1"/>
  <c r="AG88" i="329"/>
  <c r="AI88" i="329" s="1"/>
  <c r="AG14" i="329"/>
  <c r="AI14" i="329" s="1"/>
  <c r="AG18" i="329"/>
  <c r="AI18" i="329" s="1"/>
  <c r="AG22" i="329"/>
  <c r="AI22" i="329" s="1"/>
  <c r="AG26" i="329"/>
  <c r="AI26" i="329" s="1"/>
  <c r="AG30" i="329"/>
  <c r="AI30" i="329" s="1"/>
  <c r="AG34" i="329"/>
  <c r="AI34" i="329" s="1"/>
  <c r="AG42" i="329"/>
  <c r="AI42" i="329" s="1"/>
  <c r="AG46" i="329"/>
  <c r="AI46" i="329" s="1"/>
  <c r="AG49" i="329"/>
  <c r="AI49" i="329" s="1"/>
  <c r="AG53" i="329"/>
  <c r="AI53" i="329" s="1"/>
  <c r="AG57" i="329"/>
  <c r="AI57" i="329" s="1"/>
  <c r="AG61" i="329"/>
  <c r="AI61" i="329" s="1"/>
  <c r="AG65" i="329"/>
  <c r="AI65" i="329" s="1"/>
  <c r="AG69" i="329"/>
  <c r="AI69" i="329" s="1"/>
  <c r="AG73" i="329"/>
  <c r="AI73" i="329" s="1"/>
  <c r="AG77" i="329"/>
  <c r="AI77" i="329" s="1"/>
  <c r="AG81" i="329"/>
  <c r="AI81" i="329" s="1"/>
  <c r="AG89" i="329"/>
  <c r="AI89" i="329" s="1"/>
  <c r="AG38" i="329"/>
  <c r="AI38" i="329" s="1"/>
  <c r="AG85" i="329"/>
  <c r="AI85" i="329" s="1"/>
  <c r="AG15" i="329"/>
  <c r="AI15" i="329" s="1"/>
  <c r="AG19" i="329"/>
  <c r="AI19" i="329" s="1"/>
  <c r="AG23" i="329"/>
  <c r="AI23" i="329" s="1"/>
  <c r="AG27" i="329"/>
  <c r="AI27" i="329" s="1"/>
  <c r="AG31" i="329"/>
  <c r="AI31" i="329" s="1"/>
  <c r="AG35" i="329"/>
  <c r="AI35" i="329" s="1"/>
  <c r="AG39" i="329"/>
  <c r="AI39" i="329" s="1"/>
  <c r="AG43" i="329"/>
  <c r="AI43" i="329" s="1"/>
  <c r="AG50" i="329"/>
  <c r="AI50" i="329" s="1"/>
  <c r="AG54" i="329"/>
  <c r="AI54" i="329" s="1"/>
  <c r="AG58" i="329"/>
  <c r="AI58" i="329" s="1"/>
  <c r="AG62" i="329"/>
  <c r="AI62" i="329" s="1"/>
  <c r="AG66" i="329"/>
  <c r="AI66" i="329" s="1"/>
  <c r="AG70" i="329"/>
  <c r="AI70" i="329" s="1"/>
  <c r="AG74" i="329"/>
  <c r="AI74" i="329" s="1"/>
  <c r="AG78" i="329"/>
  <c r="AI78" i="329" s="1"/>
  <c r="AG82" i="329"/>
  <c r="AI82" i="329" s="1"/>
  <c r="AG86" i="329"/>
  <c r="AI86" i="329" s="1"/>
  <c r="AG13" i="329"/>
  <c r="AG16" i="329"/>
  <c r="AI16" i="329" s="1"/>
  <c r="AG20" i="329"/>
  <c r="AI20" i="329" s="1"/>
  <c r="AG24" i="329"/>
  <c r="AI24" i="329" s="1"/>
  <c r="AG28" i="329"/>
  <c r="AI28" i="329" s="1"/>
  <c r="AG32" i="329"/>
  <c r="AI32" i="329" s="1"/>
  <c r="AG36" i="329"/>
  <c r="AI36" i="329" s="1"/>
  <c r="AG40" i="329"/>
  <c r="AI40" i="329" s="1"/>
  <c r="AG47" i="329"/>
  <c r="AI47" i="329" s="1"/>
  <c r="AG51" i="329"/>
  <c r="AI51" i="329" s="1"/>
  <c r="AG55" i="329"/>
  <c r="AI55" i="329" s="1"/>
  <c r="AG59" i="329"/>
  <c r="AI59" i="329" s="1"/>
  <c r="AG63" i="329"/>
  <c r="AI63" i="329" s="1"/>
  <c r="AG67" i="329"/>
  <c r="AI67" i="329" s="1"/>
  <c r="AG71" i="329"/>
  <c r="AI71" i="329" s="1"/>
  <c r="AG75" i="329"/>
  <c r="AI75" i="329" s="1"/>
  <c r="AG79" i="329"/>
  <c r="AI79" i="329" s="1"/>
  <c r="AG83" i="329"/>
  <c r="AI83" i="329" s="1"/>
  <c r="AG87" i="329"/>
  <c r="AI87" i="329" s="1"/>
  <c r="H91" i="31"/>
  <c r="H87" i="31"/>
  <c r="H83" i="31"/>
  <c r="H79" i="31"/>
  <c r="H75" i="31"/>
  <c r="H71" i="31"/>
  <c r="H67" i="31"/>
  <c r="H63" i="31"/>
  <c r="H59" i="31"/>
  <c r="H55" i="31"/>
  <c r="H51" i="31"/>
  <c r="H47" i="31"/>
  <c r="H43" i="31"/>
  <c r="H39" i="31"/>
  <c r="H35" i="31"/>
  <c r="H31" i="31"/>
  <c r="H27" i="31"/>
  <c r="H23" i="31"/>
  <c r="H19" i="31"/>
  <c r="J85" i="31"/>
  <c r="J81" i="31"/>
  <c r="J77" i="31"/>
  <c r="J73" i="31"/>
  <c r="J69" i="31"/>
  <c r="J65" i="31"/>
  <c r="J61" i="31"/>
  <c r="J57" i="31"/>
  <c r="J53" i="31"/>
  <c r="J45" i="31"/>
  <c r="J37" i="31"/>
  <c r="J33" i="31"/>
  <c r="J29" i="31"/>
  <c r="J25" i="31"/>
  <c r="J21" i="31"/>
  <c r="J17" i="31"/>
  <c r="K90" i="31"/>
  <c r="L90" i="31" s="1"/>
  <c r="K86" i="31"/>
  <c r="L86" i="31" s="1"/>
  <c r="K82" i="31"/>
  <c r="L82" i="31" s="1"/>
  <c r="K78" i="31"/>
  <c r="L78" i="31" s="1"/>
  <c r="K74" i="31"/>
  <c r="K70" i="31"/>
  <c r="K66" i="31"/>
  <c r="K62" i="31"/>
  <c r="K58" i="31"/>
  <c r="K54" i="31"/>
  <c r="K50" i="31"/>
  <c r="L50" i="31" s="1"/>
  <c r="K46" i="31"/>
  <c r="K42" i="31"/>
  <c r="K38" i="31"/>
  <c r="L38" i="31" s="1"/>
  <c r="K34" i="31"/>
  <c r="K30" i="31"/>
  <c r="L30" i="31" s="1"/>
  <c r="K26" i="31"/>
  <c r="K22" i="31"/>
  <c r="K18" i="31"/>
  <c r="Q89" i="31"/>
  <c r="H90" i="31"/>
  <c r="H86" i="31"/>
  <c r="H82" i="31"/>
  <c r="H78" i="31"/>
  <c r="H74" i="31"/>
  <c r="H70" i="31"/>
  <c r="H66" i="31"/>
  <c r="H62" i="31"/>
  <c r="H58" i="31"/>
  <c r="H54" i="31"/>
  <c r="H50" i="31"/>
  <c r="H46" i="31"/>
  <c r="H42" i="31"/>
  <c r="H38" i="31"/>
  <c r="H34" i="31"/>
  <c r="H30" i="31"/>
  <c r="H26" i="31"/>
  <c r="H22" i="31"/>
  <c r="H18" i="31"/>
  <c r="J92" i="31"/>
  <c r="J88" i="31"/>
  <c r="J84" i="31"/>
  <c r="J80" i="31"/>
  <c r="J76" i="31"/>
  <c r="J72" i="31"/>
  <c r="J68" i="31"/>
  <c r="J64" i="31"/>
  <c r="J60" i="31"/>
  <c r="J56" i="31"/>
  <c r="J52" i="31"/>
  <c r="J44" i="31"/>
  <c r="J40" i="31"/>
  <c r="J36" i="31"/>
  <c r="J28" i="31"/>
  <c r="J24" i="31"/>
  <c r="J16" i="31"/>
  <c r="K89" i="31"/>
  <c r="K85" i="31"/>
  <c r="L85" i="31" s="1"/>
  <c r="K81" i="31"/>
  <c r="L81" i="31" s="1"/>
  <c r="K77" i="31"/>
  <c r="K73" i="31"/>
  <c r="K69" i="31"/>
  <c r="L69" i="31" s="1"/>
  <c r="K65" i="31"/>
  <c r="L65" i="31" s="1"/>
  <c r="K61" i="31"/>
  <c r="K57" i="31"/>
  <c r="K53" i="31"/>
  <c r="L53" i="31" s="1"/>
  <c r="K49" i="31"/>
  <c r="L49" i="31" s="1"/>
  <c r="K45" i="31"/>
  <c r="K41" i="31"/>
  <c r="K37" i="31"/>
  <c r="K33" i="31"/>
  <c r="K29" i="31"/>
  <c r="L29" i="31" s="1"/>
  <c r="K25" i="31"/>
  <c r="K21" i="31"/>
  <c r="K17" i="31"/>
  <c r="Q92" i="31"/>
  <c r="Q88" i="31"/>
  <c r="H15" i="31"/>
  <c r="H89" i="31"/>
  <c r="H85" i="31"/>
  <c r="H81" i="31"/>
  <c r="H77" i="31"/>
  <c r="H73" i="31"/>
  <c r="H69" i="31"/>
  <c r="H65" i="31"/>
  <c r="H61" i="31"/>
  <c r="H57" i="31"/>
  <c r="H53" i="31"/>
  <c r="H49" i="31"/>
  <c r="H45" i="31"/>
  <c r="H41" i="31"/>
  <c r="H37" i="31"/>
  <c r="H33" i="31"/>
  <c r="H29" i="31"/>
  <c r="H25" i="31"/>
  <c r="H21" i="31"/>
  <c r="H17" i="31"/>
  <c r="J87" i="31"/>
  <c r="J83" i="31"/>
  <c r="J75" i="31"/>
  <c r="J71" i="31"/>
  <c r="J67" i="31"/>
  <c r="J63" i="31"/>
  <c r="J59" i="31"/>
  <c r="J55" i="31"/>
  <c r="J51" i="31"/>
  <c r="J47" i="31"/>
  <c r="J43" i="31"/>
  <c r="J35" i="31"/>
  <c r="J31" i="31"/>
  <c r="J27" i="31"/>
  <c r="J23" i="31"/>
  <c r="J19" i="31"/>
  <c r="K92" i="31"/>
  <c r="K88" i="31"/>
  <c r="L88" i="31" s="1"/>
  <c r="K84" i="31"/>
  <c r="K80" i="31"/>
  <c r="K76" i="31"/>
  <c r="K72" i="31"/>
  <c r="L72" i="31" s="1"/>
  <c r="K68" i="31"/>
  <c r="K64" i="31"/>
  <c r="K60" i="31"/>
  <c r="K56" i="31"/>
  <c r="L56" i="31" s="1"/>
  <c r="K52" i="31"/>
  <c r="K48" i="31"/>
  <c r="K44" i="31"/>
  <c r="K40" i="31"/>
  <c r="K36" i="31"/>
  <c r="K32" i="31"/>
  <c r="K28" i="31"/>
  <c r="L28" i="31" s="1"/>
  <c r="K24" i="31"/>
  <c r="L24" i="31" s="1"/>
  <c r="K20" i="31"/>
  <c r="Q91" i="31"/>
  <c r="P54" i="31"/>
  <c r="P58" i="31"/>
  <c r="P61" i="31"/>
  <c r="P62" i="31"/>
  <c r="P64" i="31"/>
  <c r="P65" i="31"/>
  <c r="P66" i="31"/>
  <c r="P68" i="31"/>
  <c r="P69" i="31"/>
  <c r="P70" i="31"/>
  <c r="P72" i="31"/>
  <c r="P73" i="31"/>
  <c r="P74" i="31"/>
  <c r="P77" i="31"/>
  <c r="P78" i="31"/>
  <c r="P81" i="31"/>
  <c r="P82" i="31"/>
  <c r="P85" i="31"/>
  <c r="P88" i="31"/>
  <c r="P89" i="31"/>
  <c r="P90" i="31"/>
  <c r="P92" i="31"/>
  <c r="M90" i="31"/>
  <c r="M86" i="31"/>
  <c r="M82" i="31"/>
  <c r="R82" i="31" s="1"/>
  <c r="M78" i="31"/>
  <c r="M74" i="31"/>
  <c r="M70" i="31"/>
  <c r="M66" i="31"/>
  <c r="M62" i="31"/>
  <c r="R62" i="31" s="1"/>
  <c r="M58" i="31"/>
  <c r="M54" i="31"/>
  <c r="AN89" i="324"/>
  <c r="P52" i="31"/>
  <c r="P84" i="31"/>
  <c r="P51" i="31"/>
  <c r="P53" i="31"/>
  <c r="P55" i="31"/>
  <c r="P56" i="31"/>
  <c r="P57" i="31"/>
  <c r="P59" i="31"/>
  <c r="P60" i="31"/>
  <c r="P63" i="31"/>
  <c r="P67" i="31"/>
  <c r="P71" i="31"/>
  <c r="P75" i="31"/>
  <c r="P79" i="31"/>
  <c r="P83" i="31"/>
  <c r="P87" i="31"/>
  <c r="P91" i="31"/>
  <c r="M92" i="31"/>
  <c r="M88" i="31"/>
  <c r="M72" i="31"/>
  <c r="M68" i="31"/>
  <c r="R68" i="31" s="1"/>
  <c r="M64" i="31"/>
  <c r="M91" i="31"/>
  <c r="M87" i="31"/>
  <c r="R87" i="31" s="1"/>
  <c r="M83" i="31"/>
  <c r="R83" i="31" s="1"/>
  <c r="M79" i="31"/>
  <c r="M75" i="31"/>
  <c r="M71" i="31"/>
  <c r="R71" i="31" s="1"/>
  <c r="M67" i="31"/>
  <c r="R67" i="31" s="1"/>
  <c r="M63" i="31"/>
  <c r="R63" i="31" s="1"/>
  <c r="M59" i="31"/>
  <c r="M55" i="31"/>
  <c r="M51" i="31"/>
  <c r="R51" i="31" s="1"/>
  <c r="N84" i="31"/>
  <c r="N80" i="31"/>
  <c r="N76" i="31"/>
  <c r="N52" i="31"/>
  <c r="AJ89" i="324"/>
  <c r="P50" i="31"/>
  <c r="M50" i="31"/>
  <c r="R50" i="31" s="1"/>
  <c r="AQ46" i="324"/>
  <c r="AQ88" i="324"/>
  <c r="P49" i="31"/>
  <c r="R49" i="31" s="1"/>
  <c r="AK13" i="324"/>
  <c r="AK17" i="324"/>
  <c r="AK21" i="324"/>
  <c r="AK25" i="324"/>
  <c r="AK29" i="324"/>
  <c r="AK33" i="324"/>
  <c r="AK37" i="324"/>
  <c r="AK41" i="324"/>
  <c r="AK45" i="324"/>
  <c r="AK12" i="324"/>
  <c r="AK89" i="324" s="1"/>
  <c r="AK16" i="324"/>
  <c r="AK20" i="324"/>
  <c r="AK24" i="324"/>
  <c r="AK28" i="324"/>
  <c r="AK32" i="324"/>
  <c r="AK36" i="324"/>
  <c r="AK40" i="324"/>
  <c r="AK44" i="324"/>
  <c r="AK16" i="322"/>
  <c r="J20" i="31" s="1"/>
  <c r="AI91" i="322"/>
  <c r="R79" i="31" l="1"/>
  <c r="R78" i="31"/>
  <c r="R72" i="31"/>
  <c r="R66" i="31"/>
  <c r="L60" i="31"/>
  <c r="L92" i="31"/>
  <c r="R88" i="31"/>
  <c r="I86" i="5" s="1"/>
  <c r="L57" i="31"/>
  <c r="L73" i="31"/>
  <c r="L26" i="31"/>
  <c r="L74" i="31"/>
  <c r="L39" i="31"/>
  <c r="L17" i="31"/>
  <c r="L33" i="31"/>
  <c r="L87" i="31"/>
  <c r="L55" i="31"/>
  <c r="L43" i="31"/>
  <c r="R69" i="31"/>
  <c r="R53" i="31"/>
  <c r="R76" i="31"/>
  <c r="R56" i="31"/>
  <c r="L76" i="31"/>
  <c r="L22" i="31"/>
  <c r="H20" i="5" s="1"/>
  <c r="L70" i="31"/>
  <c r="H68" i="5" s="1"/>
  <c r="L16" i="31"/>
  <c r="L59" i="31"/>
  <c r="L75" i="31"/>
  <c r="L23" i="31"/>
  <c r="L35" i="31"/>
  <c r="R89" i="31"/>
  <c r="R73" i="31"/>
  <c r="R57" i="31"/>
  <c r="R80" i="31"/>
  <c r="L18" i="31"/>
  <c r="L34" i="31"/>
  <c r="H32" i="5" s="1"/>
  <c r="R85" i="31"/>
  <c r="L44" i="31"/>
  <c r="L21" i="31"/>
  <c r="H19" i="5" s="1"/>
  <c r="L37" i="31"/>
  <c r="H35" i="5" s="1"/>
  <c r="R60" i="31"/>
  <c r="R75" i="31"/>
  <c r="R54" i="31"/>
  <c r="R70" i="31"/>
  <c r="R86" i="31"/>
  <c r="L32" i="31"/>
  <c r="L48" i="31"/>
  <c r="H46" i="5" s="1"/>
  <c r="L64" i="31"/>
  <c r="H62" i="5" s="1"/>
  <c r="L80" i="31"/>
  <c r="H53" i="5"/>
  <c r="L25" i="31"/>
  <c r="L41" i="31"/>
  <c r="H39" i="5" s="1"/>
  <c r="L89" i="31"/>
  <c r="L42" i="31"/>
  <c r="L58" i="31"/>
  <c r="H56" i="5" s="1"/>
  <c r="L71" i="31"/>
  <c r="L19" i="31"/>
  <c r="L67" i="31"/>
  <c r="H65" i="5" s="1"/>
  <c r="R77" i="31"/>
  <c r="R61" i="31"/>
  <c r="R84" i="31"/>
  <c r="L40" i="31"/>
  <c r="H38" i="5" s="1"/>
  <c r="L66" i="31"/>
  <c r="H64" i="5" s="1"/>
  <c r="L83" i="31"/>
  <c r="H81" i="5" s="1"/>
  <c r="L27" i="31"/>
  <c r="H25" i="5" s="1"/>
  <c r="R55" i="31"/>
  <c r="L54" i="31"/>
  <c r="H52" i="5" s="1"/>
  <c r="L47" i="31"/>
  <c r="H45" i="5" s="1"/>
  <c r="R59" i="31"/>
  <c r="R91" i="31"/>
  <c r="R64" i="31"/>
  <c r="R92" i="31"/>
  <c r="R58" i="31"/>
  <c r="R74" i="31"/>
  <c r="R90" i="31"/>
  <c r="I88" i="5" s="1"/>
  <c r="L20" i="31"/>
  <c r="H18" i="5" s="1"/>
  <c r="L36" i="31"/>
  <c r="H34" i="5" s="1"/>
  <c r="L52" i="31"/>
  <c r="H50" i="5" s="1"/>
  <c r="L68" i="31"/>
  <c r="H66" i="5" s="1"/>
  <c r="L84" i="31"/>
  <c r="H82" i="5" s="1"/>
  <c r="L45" i="31"/>
  <c r="L61" i="31"/>
  <c r="H59" i="5" s="1"/>
  <c r="L77" i="31"/>
  <c r="H75" i="5" s="1"/>
  <c r="H44" i="5"/>
  <c r="L46" i="31"/>
  <c r="L62" i="31"/>
  <c r="L63" i="31"/>
  <c r="H61" i="5" s="1"/>
  <c r="L31" i="31"/>
  <c r="H29" i="5" s="1"/>
  <c r="L51" i="31"/>
  <c r="R81" i="31"/>
  <c r="R65" i="31"/>
  <c r="R52" i="31"/>
  <c r="H51" i="5"/>
  <c r="H67" i="5"/>
  <c r="H83" i="5"/>
  <c r="H78" i="5"/>
  <c r="H23" i="5"/>
  <c r="H55" i="5"/>
  <c r="H71" i="5"/>
  <c r="H24" i="5"/>
  <c r="H72" i="5"/>
  <c r="H57" i="5"/>
  <c r="H22" i="5"/>
  <c r="H28" i="5"/>
  <c r="H60" i="5"/>
  <c r="H76" i="5"/>
  <c r="H70" i="5"/>
  <c r="H86" i="5"/>
  <c r="H54" i="5"/>
  <c r="H48" i="5"/>
  <c r="H63" i="5"/>
  <c r="H73" i="5"/>
  <c r="H37" i="5"/>
  <c r="Q101" i="322"/>
  <c r="H87" i="5"/>
  <c r="H30" i="5"/>
  <c r="H27" i="5"/>
  <c r="H43" i="5"/>
  <c r="H80" i="5"/>
  <c r="H58" i="5"/>
  <c r="H90" i="5"/>
  <c r="D16" i="317"/>
  <c r="F16" i="317" s="1"/>
  <c r="H69" i="5"/>
  <c r="H47" i="5"/>
  <c r="H79" i="5"/>
  <c r="H36" i="5"/>
  <c r="H84" i="5"/>
  <c r="W97" i="322"/>
  <c r="D17" i="317"/>
  <c r="H15" i="5"/>
  <c r="H31" i="5"/>
  <c r="W95" i="322"/>
  <c r="AO95" i="322" s="1"/>
  <c r="AQ95" i="322" s="1"/>
  <c r="AR95" i="322" s="1"/>
  <c r="AO87" i="322" s="1"/>
  <c r="H26" i="5"/>
  <c r="H42" i="5"/>
  <c r="H74" i="5"/>
  <c r="H40" i="5"/>
  <c r="H88" i="5"/>
  <c r="J15" i="31"/>
  <c r="I87" i="5"/>
  <c r="I85" i="5"/>
  <c r="I90" i="5"/>
  <c r="AI13" i="329"/>
  <c r="Q95" i="31"/>
  <c r="D22" i="317" s="1"/>
  <c r="F22" i="317" s="1"/>
  <c r="H49" i="5"/>
  <c r="H21" i="5"/>
  <c r="H89" i="5"/>
  <c r="H41" i="5"/>
  <c r="K95" i="31"/>
  <c r="H14" i="5"/>
  <c r="H17" i="5"/>
  <c r="H77" i="5"/>
  <c r="H33" i="5"/>
  <c r="H85" i="5"/>
  <c r="I89" i="5"/>
  <c r="AO89" i="324"/>
  <c r="AO91" i="324" s="1"/>
  <c r="W96" i="322"/>
  <c r="AK91" i="322"/>
  <c r="L95" i="31" l="1"/>
  <c r="X93" i="31" s="1"/>
  <c r="H16" i="5"/>
  <c r="W101" i="322"/>
  <c r="AC98" i="322" s="1"/>
  <c r="AO96" i="322"/>
  <c r="AQ96" i="322" s="1"/>
  <c r="AR96" i="322" s="1"/>
  <c r="AO86" i="322" s="1"/>
  <c r="AK93" i="329"/>
  <c r="AM94" i="329"/>
  <c r="AQ45" i="324"/>
  <c r="H14" i="317" l="1"/>
  <c r="AC95" i="322"/>
  <c r="AC100" i="322"/>
  <c r="AC99" i="322" s="1"/>
  <c r="AC97" i="322"/>
  <c r="AC94" i="322" s="1"/>
  <c r="AC101" i="322" s="1"/>
  <c r="AC96" i="322"/>
  <c r="G16" i="31" l="1"/>
  <c r="G17" i="31"/>
  <c r="G18" i="31"/>
  <c r="G19" i="31"/>
  <c r="G20" i="31"/>
  <c r="G21" i="31"/>
  <c r="G22" i="31"/>
  <c r="G23" i="31"/>
  <c r="G24" i="31"/>
  <c r="G25" i="31"/>
  <c r="G26" i="31"/>
  <c r="G27" i="31"/>
  <c r="G28" i="31"/>
  <c r="G29" i="31"/>
  <c r="G30" i="31"/>
  <c r="G31" i="31"/>
  <c r="G32" i="31"/>
  <c r="G33" i="31"/>
  <c r="G34" i="31"/>
  <c r="G35" i="31"/>
  <c r="G36" i="31"/>
  <c r="G37" i="31"/>
  <c r="G38" i="31"/>
  <c r="G39" i="31"/>
  <c r="G40" i="31"/>
  <c r="G41" i="31"/>
  <c r="G42" i="31"/>
  <c r="G43" i="31"/>
  <c r="G44" i="31"/>
  <c r="G45" i="31"/>
  <c r="G46" i="31"/>
  <c r="G47" i="31"/>
  <c r="G48" i="31"/>
  <c r="G49" i="31"/>
  <c r="G50" i="31"/>
  <c r="G48" i="5" s="1"/>
  <c r="G51" i="31"/>
  <c r="G49" i="5" s="1"/>
  <c r="G52" i="31"/>
  <c r="G50" i="5" s="1"/>
  <c r="G53" i="31"/>
  <c r="G51" i="5" s="1"/>
  <c r="G54" i="31"/>
  <c r="G52" i="5" s="1"/>
  <c r="G55" i="31"/>
  <c r="G53" i="5" s="1"/>
  <c r="G56" i="31"/>
  <c r="G54" i="5" s="1"/>
  <c r="G57" i="31"/>
  <c r="G55" i="5" s="1"/>
  <c r="G58" i="31"/>
  <c r="G59" i="31"/>
  <c r="G60" i="31"/>
  <c r="G61" i="31"/>
  <c r="G62" i="31"/>
  <c r="G63" i="31"/>
  <c r="G64" i="31"/>
  <c r="G65" i="31"/>
  <c r="G66" i="31"/>
  <c r="G67" i="31"/>
  <c r="G68" i="31"/>
  <c r="G69" i="31"/>
  <c r="G70" i="31"/>
  <c r="G71" i="31"/>
  <c r="G72" i="31"/>
  <c r="G73" i="31"/>
  <c r="G74" i="31"/>
  <c r="G75" i="31"/>
  <c r="G76" i="31"/>
  <c r="G77" i="31"/>
  <c r="G78" i="31"/>
  <c r="G79" i="31"/>
  <c r="G80" i="31"/>
  <c r="G81" i="31"/>
  <c r="G82" i="31"/>
  <c r="G83" i="31"/>
  <c r="G84" i="31"/>
  <c r="G85" i="31"/>
  <c r="G86" i="31"/>
  <c r="G87" i="31"/>
  <c r="G88" i="31"/>
  <c r="G89" i="31"/>
  <c r="G90" i="31"/>
  <c r="G91" i="31"/>
  <c r="G92" i="31"/>
  <c r="G93" i="31"/>
  <c r="G94" i="31"/>
  <c r="I91" i="5"/>
  <c r="I92" i="5"/>
  <c r="I14" i="5"/>
  <c r="I15" i="5"/>
  <c r="I16" i="5"/>
  <c r="I18" i="5"/>
  <c r="I19" i="5"/>
  <c r="I20" i="5"/>
  <c r="I22" i="5"/>
  <c r="I23" i="5"/>
  <c r="I24" i="5"/>
  <c r="I26" i="5"/>
  <c r="I27" i="5"/>
  <c r="I28" i="5"/>
  <c r="I30" i="5"/>
  <c r="I31" i="5"/>
  <c r="I32" i="5"/>
  <c r="I34" i="5"/>
  <c r="I35" i="5"/>
  <c r="I36" i="5"/>
  <c r="I37" i="5"/>
  <c r="I40" i="5"/>
  <c r="I42" i="5"/>
  <c r="I43" i="5"/>
  <c r="I44" i="5"/>
  <c r="I46" i="5"/>
  <c r="I48" i="5"/>
  <c r="I50" i="5"/>
  <c r="I52" i="5"/>
  <c r="I53" i="5"/>
  <c r="I56" i="5"/>
  <c r="I57" i="5"/>
  <c r="I60" i="5"/>
  <c r="I61" i="5"/>
  <c r="I64" i="5"/>
  <c r="I65" i="5"/>
  <c r="I68" i="5"/>
  <c r="I69" i="5"/>
  <c r="I72" i="5"/>
  <c r="I73" i="5"/>
  <c r="S87" i="31"/>
  <c r="S88" i="31"/>
  <c r="S89" i="31"/>
  <c r="S90" i="31"/>
  <c r="S91" i="31"/>
  <c r="I13" i="5"/>
  <c r="T95" i="31"/>
  <c r="F95" i="31"/>
  <c r="U90" i="31" l="1"/>
  <c r="O88" i="5" s="1"/>
  <c r="U89" i="31"/>
  <c r="O87" i="5" s="1"/>
  <c r="U91" i="31"/>
  <c r="O89" i="5" s="1"/>
  <c r="U87" i="31"/>
  <c r="O85" i="5" s="1"/>
  <c r="U88" i="31"/>
  <c r="O86" i="5" s="1"/>
  <c r="J53" i="5"/>
  <c r="M53" i="5" s="1"/>
  <c r="J46" i="5"/>
  <c r="M46" i="5" s="1"/>
  <c r="J40" i="5"/>
  <c r="M40" i="5" s="1"/>
  <c r="J34" i="5"/>
  <c r="M34" i="5" s="1"/>
  <c r="J52" i="5"/>
  <c r="M52" i="5" s="1"/>
  <c r="J44" i="5"/>
  <c r="M44" i="5" s="1"/>
  <c r="J37" i="5"/>
  <c r="M37" i="5" s="1"/>
  <c r="J32" i="5"/>
  <c r="M32" i="5" s="1"/>
  <c r="J50" i="5"/>
  <c r="M50" i="5" s="1"/>
  <c r="J43" i="5"/>
  <c r="M43" i="5" s="1"/>
  <c r="J36" i="5"/>
  <c r="M36" i="5" s="1"/>
  <c r="J31" i="5"/>
  <c r="M31" i="5" s="1"/>
  <c r="J48" i="5"/>
  <c r="M48" i="5" s="1"/>
  <c r="J42" i="5"/>
  <c r="M42" i="5" s="1"/>
  <c r="J35" i="5"/>
  <c r="M35" i="5" s="1"/>
  <c r="J30" i="5"/>
  <c r="M30" i="5" s="1"/>
  <c r="S35" i="31"/>
  <c r="U35" i="31" s="1"/>
  <c r="O33" i="5" s="1"/>
  <c r="I33" i="5"/>
  <c r="S31" i="31"/>
  <c r="I29" i="5"/>
  <c r="S27" i="31"/>
  <c r="U27" i="31" s="1"/>
  <c r="O25" i="5" s="1"/>
  <c r="I25" i="5"/>
  <c r="S23" i="31"/>
  <c r="I21" i="5"/>
  <c r="S19" i="31"/>
  <c r="U19" i="31" s="1"/>
  <c r="O17" i="5" s="1"/>
  <c r="I17" i="5"/>
  <c r="S84" i="31"/>
  <c r="I82" i="5"/>
  <c r="S80" i="31"/>
  <c r="I78" i="5"/>
  <c r="S76" i="31"/>
  <c r="I74" i="5"/>
  <c r="S86" i="31"/>
  <c r="I84" i="5"/>
  <c r="S82" i="31"/>
  <c r="I80" i="5"/>
  <c r="S78" i="31"/>
  <c r="I76" i="5"/>
  <c r="S85" i="31"/>
  <c r="I83" i="5"/>
  <c r="S81" i="31"/>
  <c r="I79" i="5"/>
  <c r="S77" i="31"/>
  <c r="I75" i="5"/>
  <c r="S51" i="31"/>
  <c r="I49" i="5"/>
  <c r="S47" i="31"/>
  <c r="U47" i="31" s="1"/>
  <c r="O45" i="5" s="1"/>
  <c r="I45" i="5"/>
  <c r="S43" i="31"/>
  <c r="U43" i="31" s="1"/>
  <c r="O41" i="5" s="1"/>
  <c r="I41" i="5"/>
  <c r="S83" i="31"/>
  <c r="I81" i="5"/>
  <c r="S79" i="31"/>
  <c r="I77" i="5"/>
  <c r="S53" i="31"/>
  <c r="U53" i="31" s="1"/>
  <c r="O51" i="5" s="1"/>
  <c r="I51" i="5"/>
  <c r="S49" i="31"/>
  <c r="I47" i="5"/>
  <c r="S41" i="31"/>
  <c r="I39" i="5"/>
  <c r="S94" i="31"/>
  <c r="U94" i="31" s="1"/>
  <c r="O92" i="5" s="1"/>
  <c r="S54" i="31"/>
  <c r="U54" i="31" s="1"/>
  <c r="O52" i="5" s="1"/>
  <c r="S46" i="31"/>
  <c r="U46" i="31" s="1"/>
  <c r="O44" i="5" s="1"/>
  <c r="S42" i="31"/>
  <c r="S38" i="31"/>
  <c r="U38" i="31" s="1"/>
  <c r="O36" i="5" s="1"/>
  <c r="S34" i="31"/>
  <c r="U34" i="31" s="1"/>
  <c r="O32" i="5" s="1"/>
  <c r="S30" i="31"/>
  <c r="S26" i="31"/>
  <c r="S22" i="31"/>
  <c r="S18" i="31"/>
  <c r="U18" i="31" s="1"/>
  <c r="O16" i="5" s="1"/>
  <c r="S93" i="31"/>
  <c r="U93" i="31" s="1"/>
  <c r="O91" i="5" s="1"/>
  <c r="S45" i="31"/>
  <c r="U45" i="31" s="1"/>
  <c r="O43" i="5" s="1"/>
  <c r="S37" i="31"/>
  <c r="S33" i="31"/>
  <c r="U33" i="31" s="1"/>
  <c r="O31" i="5" s="1"/>
  <c r="S29" i="31"/>
  <c r="S25" i="31"/>
  <c r="U25" i="31" s="1"/>
  <c r="O23" i="5" s="1"/>
  <c r="S21" i="31"/>
  <c r="S17" i="31"/>
  <c r="U17" i="31" s="1"/>
  <c r="O15" i="5" s="1"/>
  <c r="S52" i="31"/>
  <c r="S48" i="31"/>
  <c r="S44" i="31"/>
  <c r="S36" i="31"/>
  <c r="S32" i="31"/>
  <c r="U32" i="31" s="1"/>
  <c r="O30" i="5" s="1"/>
  <c r="S28" i="31"/>
  <c r="S24" i="31"/>
  <c r="U24" i="31" s="1"/>
  <c r="O22" i="5" s="1"/>
  <c r="S20" i="31"/>
  <c r="S16" i="31"/>
  <c r="U16" i="31" s="1"/>
  <c r="O14" i="5" s="1"/>
  <c r="I38" i="5"/>
  <c r="I67" i="5"/>
  <c r="S92" i="31"/>
  <c r="S75" i="31"/>
  <c r="S67" i="31"/>
  <c r="S63" i="31"/>
  <c r="S59" i="31"/>
  <c r="U59" i="31" s="1"/>
  <c r="O57" i="5" s="1"/>
  <c r="S74" i="31"/>
  <c r="S70" i="31"/>
  <c r="S66" i="31"/>
  <c r="S62" i="31"/>
  <c r="S58" i="31"/>
  <c r="S71" i="31"/>
  <c r="S55" i="31"/>
  <c r="S50" i="31"/>
  <c r="U50" i="31" s="1"/>
  <c r="O48" i="5" s="1"/>
  <c r="S39" i="31"/>
  <c r="U39" i="31" s="1"/>
  <c r="O37" i="5" s="1"/>
  <c r="H95" i="31"/>
  <c r="J95" i="31"/>
  <c r="I13" i="187" s="1"/>
  <c r="AR90" i="231"/>
  <c r="AP88" i="231"/>
  <c r="AP90" i="231"/>
  <c r="AP13" i="231"/>
  <c r="AP14" i="231"/>
  <c r="AP15" i="231"/>
  <c r="AP16" i="231"/>
  <c r="AP17" i="231"/>
  <c r="AP18" i="231"/>
  <c r="AP19" i="231"/>
  <c r="AP20" i="231"/>
  <c r="AP21" i="231"/>
  <c r="AP22" i="231"/>
  <c r="AP23" i="231"/>
  <c r="AP24" i="231"/>
  <c r="AP25" i="231"/>
  <c r="AP26" i="231"/>
  <c r="AP27" i="231"/>
  <c r="AP28" i="231"/>
  <c r="AP29" i="231"/>
  <c r="AP30" i="231"/>
  <c r="AP31" i="231"/>
  <c r="AP32" i="231"/>
  <c r="AP33" i="231"/>
  <c r="AP34" i="231"/>
  <c r="AP35" i="231"/>
  <c r="AP36" i="231"/>
  <c r="AP37" i="231"/>
  <c r="AP38" i="231"/>
  <c r="AP39" i="231"/>
  <c r="AP40" i="231"/>
  <c r="AP41" i="231"/>
  <c r="AP42" i="231"/>
  <c r="AP43" i="231"/>
  <c r="AP44" i="231"/>
  <c r="AP45" i="231"/>
  <c r="AP46" i="231"/>
  <c r="AP47" i="231"/>
  <c r="AP48" i="231"/>
  <c r="AP49" i="231"/>
  <c r="AP50" i="231"/>
  <c r="AP51" i="231"/>
  <c r="AP52" i="231"/>
  <c r="AP53" i="231"/>
  <c r="AP54" i="231"/>
  <c r="AP55" i="231"/>
  <c r="AP56" i="231"/>
  <c r="AP57" i="231"/>
  <c r="AP58" i="231"/>
  <c r="AP59" i="231"/>
  <c r="AP60" i="231"/>
  <c r="AP61" i="231"/>
  <c r="AP62" i="231"/>
  <c r="AP63" i="231"/>
  <c r="AP64" i="231"/>
  <c r="AP65" i="231"/>
  <c r="AP66" i="231"/>
  <c r="AP67" i="231"/>
  <c r="AP68" i="231"/>
  <c r="AP69" i="231"/>
  <c r="AP70" i="231"/>
  <c r="AP71" i="231"/>
  <c r="AP72" i="231"/>
  <c r="AP73" i="231"/>
  <c r="AP74" i="231"/>
  <c r="AP75" i="231"/>
  <c r="AP76" i="231"/>
  <c r="AP77" i="231"/>
  <c r="AP78" i="231"/>
  <c r="AP79" i="231"/>
  <c r="AP80" i="231"/>
  <c r="AP81" i="231"/>
  <c r="AP82" i="231"/>
  <c r="AP83" i="231"/>
  <c r="AP84" i="231"/>
  <c r="AP85" i="231"/>
  <c r="AP86" i="231"/>
  <c r="AP87" i="231"/>
  <c r="AP89" i="231"/>
  <c r="AL90" i="231"/>
  <c r="AM90" i="231"/>
  <c r="AN90" i="231"/>
  <c r="AO90" i="231"/>
  <c r="AK13" i="231"/>
  <c r="AK14" i="231"/>
  <c r="AK15" i="231"/>
  <c r="AK16" i="231"/>
  <c r="AK17" i="231"/>
  <c r="AK18" i="231"/>
  <c r="AK19" i="231"/>
  <c r="AK20" i="231"/>
  <c r="AK21" i="231"/>
  <c r="AK22" i="231"/>
  <c r="AK23" i="231"/>
  <c r="AK24" i="231"/>
  <c r="AK25" i="231"/>
  <c r="AK26" i="231"/>
  <c r="AK27" i="231"/>
  <c r="AK28" i="231"/>
  <c r="AK29" i="231"/>
  <c r="AK30" i="231"/>
  <c r="AK31" i="231"/>
  <c r="AK32" i="231"/>
  <c r="AK33" i="231"/>
  <c r="AK34" i="231"/>
  <c r="AK35" i="231"/>
  <c r="AK36" i="231"/>
  <c r="AK37" i="231"/>
  <c r="AK38" i="231"/>
  <c r="AK39" i="231"/>
  <c r="AK40" i="231"/>
  <c r="AK41" i="231"/>
  <c r="AK42" i="231"/>
  <c r="AK43" i="231"/>
  <c r="AK44" i="231"/>
  <c r="AK45" i="231"/>
  <c r="AK46" i="231"/>
  <c r="AK47" i="231"/>
  <c r="AK48" i="231"/>
  <c r="AK49" i="231"/>
  <c r="AK50" i="231"/>
  <c r="AK51" i="231"/>
  <c r="AK52" i="231"/>
  <c r="AK53" i="231"/>
  <c r="AK54" i="231"/>
  <c r="AK55" i="231"/>
  <c r="AK56" i="231"/>
  <c r="AK57" i="231"/>
  <c r="AK58" i="231"/>
  <c r="AK59" i="231"/>
  <c r="AK60" i="231"/>
  <c r="AK61" i="231"/>
  <c r="AK62" i="231"/>
  <c r="AK63" i="231"/>
  <c r="AK64" i="231"/>
  <c r="AK65" i="231"/>
  <c r="AK66" i="231"/>
  <c r="AK67" i="231"/>
  <c r="AK68" i="231"/>
  <c r="AK69" i="231"/>
  <c r="AK70" i="231"/>
  <c r="AK71" i="231"/>
  <c r="AK72" i="231"/>
  <c r="AK73" i="231"/>
  <c r="AK74" i="231"/>
  <c r="AK75" i="231"/>
  <c r="AK76" i="231"/>
  <c r="AK77" i="231"/>
  <c r="AK90" i="231" s="1"/>
  <c r="AK78" i="231"/>
  <c r="AK79" i="231"/>
  <c r="AK80" i="231"/>
  <c r="AK81" i="231"/>
  <c r="AK82" i="231"/>
  <c r="AK83" i="231"/>
  <c r="AK84" i="231"/>
  <c r="AK85" i="231"/>
  <c r="AK86" i="231"/>
  <c r="AK87" i="231"/>
  <c r="AK88" i="231"/>
  <c r="AK89" i="231"/>
  <c r="AK12" i="231"/>
  <c r="AM13" i="231"/>
  <c r="AM14" i="231"/>
  <c r="AM15" i="231"/>
  <c r="AM16" i="231"/>
  <c r="AM17" i="231"/>
  <c r="AM18" i="231"/>
  <c r="AM19" i="231"/>
  <c r="AM20" i="231"/>
  <c r="AM21" i="231"/>
  <c r="AM22" i="231"/>
  <c r="AM23" i="231"/>
  <c r="AM24" i="231"/>
  <c r="AM25" i="231"/>
  <c r="AM26" i="231"/>
  <c r="AM27" i="231"/>
  <c r="AM28" i="231"/>
  <c r="AM29" i="231"/>
  <c r="AM30" i="231"/>
  <c r="AM31" i="231"/>
  <c r="AM32" i="231"/>
  <c r="AM33" i="231"/>
  <c r="AM34" i="231"/>
  <c r="AM35" i="231"/>
  <c r="AM36" i="231"/>
  <c r="AM37" i="231"/>
  <c r="AM38" i="231"/>
  <c r="AM39" i="231"/>
  <c r="AM40" i="231"/>
  <c r="AM41" i="231"/>
  <c r="AM42" i="231"/>
  <c r="AM43" i="231"/>
  <c r="AM44" i="231"/>
  <c r="AM45" i="231"/>
  <c r="AM46" i="231"/>
  <c r="AM47" i="231"/>
  <c r="AM48" i="231"/>
  <c r="AM49" i="231"/>
  <c r="AM50" i="231"/>
  <c r="AM51" i="231"/>
  <c r="AM52" i="231"/>
  <c r="AM53" i="231"/>
  <c r="AM54" i="231"/>
  <c r="AM55" i="231"/>
  <c r="AM56" i="231"/>
  <c r="AM57" i="231"/>
  <c r="AM58" i="231"/>
  <c r="AM59" i="231"/>
  <c r="AM60" i="231"/>
  <c r="AM61" i="231"/>
  <c r="AM62" i="231"/>
  <c r="AM63" i="231"/>
  <c r="AM64" i="231"/>
  <c r="AM65" i="231"/>
  <c r="AM66" i="231"/>
  <c r="AM67" i="231"/>
  <c r="AM68" i="231"/>
  <c r="AM69" i="231"/>
  <c r="AM70" i="231"/>
  <c r="AM71" i="231"/>
  <c r="AM72" i="231"/>
  <c r="AM73" i="231"/>
  <c r="AM74" i="231"/>
  <c r="AM75" i="231"/>
  <c r="AM76" i="231"/>
  <c r="AM77" i="231"/>
  <c r="AM78" i="231"/>
  <c r="AM79" i="231"/>
  <c r="AM80" i="231"/>
  <c r="AM81" i="231"/>
  <c r="AM82" i="231"/>
  <c r="AM83" i="231"/>
  <c r="AM84" i="231"/>
  <c r="AM85" i="231"/>
  <c r="AM86" i="231"/>
  <c r="AM87" i="231"/>
  <c r="AM88" i="231"/>
  <c r="AM89" i="231"/>
  <c r="AM12" i="231"/>
  <c r="AL13" i="231"/>
  <c r="AL14" i="231"/>
  <c r="AL15" i="231"/>
  <c r="AL16" i="231"/>
  <c r="AL17" i="231"/>
  <c r="AL18" i="231"/>
  <c r="AL19" i="231"/>
  <c r="AL20" i="231"/>
  <c r="AL21" i="231"/>
  <c r="AL22" i="231"/>
  <c r="AL23" i="231"/>
  <c r="AL24" i="231"/>
  <c r="AL25" i="231"/>
  <c r="AL26" i="231"/>
  <c r="AL27" i="231"/>
  <c r="AL28" i="231"/>
  <c r="AL29" i="231"/>
  <c r="AL30" i="231"/>
  <c r="AL31" i="231"/>
  <c r="AL32" i="231"/>
  <c r="AL33" i="231"/>
  <c r="AL34" i="231"/>
  <c r="AL35" i="231"/>
  <c r="AL36" i="231"/>
  <c r="AL37" i="231"/>
  <c r="AL38" i="231"/>
  <c r="AL39" i="231"/>
  <c r="AL40" i="231"/>
  <c r="AL41" i="231"/>
  <c r="AL42" i="231"/>
  <c r="AL43" i="231"/>
  <c r="AL44" i="231"/>
  <c r="AL45" i="231"/>
  <c r="AL46" i="231"/>
  <c r="AL47" i="231"/>
  <c r="AL48" i="231"/>
  <c r="AL49" i="231"/>
  <c r="AL50" i="231"/>
  <c r="AL51" i="231"/>
  <c r="AL52" i="231"/>
  <c r="AL53" i="231"/>
  <c r="AL54" i="231"/>
  <c r="AL55" i="231"/>
  <c r="AL56" i="231"/>
  <c r="AL57" i="231"/>
  <c r="AL58" i="231"/>
  <c r="AL59" i="231"/>
  <c r="AL60" i="231"/>
  <c r="AL61" i="231"/>
  <c r="AL62" i="231"/>
  <c r="AL63" i="231"/>
  <c r="AL64" i="231"/>
  <c r="AL65" i="231"/>
  <c r="AL66" i="231"/>
  <c r="AL67" i="231"/>
  <c r="AL68" i="231"/>
  <c r="AL69" i="231"/>
  <c r="AL70" i="231"/>
  <c r="AL71" i="231"/>
  <c r="AL72" i="231"/>
  <c r="AL73" i="231"/>
  <c r="AL74" i="231"/>
  <c r="AL75" i="231"/>
  <c r="AL76" i="231"/>
  <c r="AL77" i="231"/>
  <c r="AL78" i="231"/>
  <c r="AL79" i="231"/>
  <c r="AL80" i="231"/>
  <c r="AL81" i="231"/>
  <c r="AL82" i="231"/>
  <c r="AL83" i="231"/>
  <c r="AL84" i="231"/>
  <c r="AL85" i="231"/>
  <c r="AL86" i="231"/>
  <c r="AL87" i="231"/>
  <c r="AL88" i="231"/>
  <c r="AL89" i="231"/>
  <c r="AL12" i="231"/>
  <c r="F97" i="249"/>
  <c r="F96" i="249"/>
  <c r="F95" i="249"/>
  <c r="F98" i="249"/>
  <c r="T98" i="249"/>
  <c r="AA98" i="249"/>
  <c r="G90" i="249"/>
  <c r="H90" i="249"/>
  <c r="I90" i="249"/>
  <c r="J90" i="249"/>
  <c r="K90" i="249"/>
  <c r="L90" i="249"/>
  <c r="M90" i="249"/>
  <c r="N90" i="249"/>
  <c r="O90" i="249"/>
  <c r="P90" i="249"/>
  <c r="Q90" i="249"/>
  <c r="R90" i="249"/>
  <c r="S90" i="249"/>
  <c r="T90" i="249"/>
  <c r="U90" i="249"/>
  <c r="V90" i="249"/>
  <c r="W90" i="249"/>
  <c r="X90" i="249"/>
  <c r="Y90" i="249"/>
  <c r="Z90" i="249"/>
  <c r="AA90" i="249"/>
  <c r="AB90" i="249"/>
  <c r="AC90" i="249"/>
  <c r="AD90" i="249"/>
  <c r="AE90" i="249"/>
  <c r="AF90" i="249"/>
  <c r="AG90" i="249"/>
  <c r="AH90" i="249"/>
  <c r="AI90" i="249"/>
  <c r="AJ90" i="249"/>
  <c r="F90" i="249"/>
  <c r="AK13" i="249"/>
  <c r="AK14" i="249"/>
  <c r="AK15" i="249"/>
  <c r="AK16" i="249"/>
  <c r="AK17" i="249"/>
  <c r="T95" i="249" s="1"/>
  <c r="AK18" i="249"/>
  <c r="AK19" i="249"/>
  <c r="AK20" i="249"/>
  <c r="AK21" i="249"/>
  <c r="AK22" i="249"/>
  <c r="AK23" i="249"/>
  <c r="AK24" i="249"/>
  <c r="AK25" i="249"/>
  <c r="T97" i="249" s="1"/>
  <c r="AK26" i="249"/>
  <c r="AK27" i="249"/>
  <c r="AK28" i="249"/>
  <c r="AK29" i="249"/>
  <c r="AK30" i="249"/>
  <c r="AK31" i="249"/>
  <c r="AK32" i="249"/>
  <c r="AK33" i="249"/>
  <c r="AK34" i="249"/>
  <c r="AK35" i="249"/>
  <c r="AK36" i="249"/>
  <c r="AK37" i="249"/>
  <c r="AK38" i="249"/>
  <c r="AK39" i="249"/>
  <c r="AK40" i="249"/>
  <c r="AK41" i="249"/>
  <c r="AK42" i="249"/>
  <c r="AK43" i="249"/>
  <c r="AK44" i="249"/>
  <c r="AK45" i="249"/>
  <c r="AK46" i="249"/>
  <c r="T99" i="249" s="1"/>
  <c r="AK47" i="249"/>
  <c r="AK48" i="249"/>
  <c r="AK49" i="249"/>
  <c r="AK50" i="249"/>
  <c r="AK51" i="249"/>
  <c r="AK52" i="249"/>
  <c r="AK53" i="249"/>
  <c r="AK54" i="249"/>
  <c r="AK55" i="249"/>
  <c r="AK56" i="249"/>
  <c r="AK57" i="249"/>
  <c r="AK58" i="249"/>
  <c r="AK59" i="249"/>
  <c r="AK60" i="249"/>
  <c r="AK61" i="249"/>
  <c r="AK62" i="249"/>
  <c r="AK63" i="249"/>
  <c r="AK64" i="249"/>
  <c r="AK65" i="249"/>
  <c r="AK66" i="249"/>
  <c r="AK67" i="249"/>
  <c r="AK68" i="249"/>
  <c r="AK69" i="249"/>
  <c r="AK70" i="249"/>
  <c r="AK71" i="249"/>
  <c r="AK72" i="249"/>
  <c r="AK73" i="249"/>
  <c r="AK74" i="249"/>
  <c r="AK75" i="249"/>
  <c r="AK76" i="249"/>
  <c r="AK77" i="249"/>
  <c r="AK78" i="249"/>
  <c r="AK79" i="249"/>
  <c r="AK80" i="249"/>
  <c r="AK81" i="249"/>
  <c r="AK82" i="249"/>
  <c r="AK83" i="249"/>
  <c r="AK84" i="249"/>
  <c r="AK85" i="249"/>
  <c r="AK86" i="249"/>
  <c r="AK87" i="249"/>
  <c r="AK88" i="249"/>
  <c r="AK89" i="249"/>
  <c r="AK12" i="249"/>
  <c r="T96" i="249" s="1"/>
  <c r="U55" i="31" l="1"/>
  <c r="O53" i="5" s="1"/>
  <c r="U66" i="31"/>
  <c r="O64" i="5" s="1"/>
  <c r="U63" i="31"/>
  <c r="O61" i="5" s="1"/>
  <c r="U44" i="31"/>
  <c r="O42" i="5" s="1"/>
  <c r="P42" i="5" s="1"/>
  <c r="U21" i="31"/>
  <c r="O19" i="5" s="1"/>
  <c r="U37" i="31"/>
  <c r="O35" i="5" s="1"/>
  <c r="P35" i="5" s="1"/>
  <c r="U22" i="31"/>
  <c r="O20" i="5" s="1"/>
  <c r="U49" i="31"/>
  <c r="O47" i="5" s="1"/>
  <c r="U79" i="31"/>
  <c r="O77" i="5" s="1"/>
  <c r="U51" i="31"/>
  <c r="O49" i="5" s="1"/>
  <c r="U78" i="31"/>
  <c r="O76" i="5" s="1"/>
  <c r="U86" i="31"/>
  <c r="O84" i="5" s="1"/>
  <c r="U80" i="31"/>
  <c r="O78" i="5" s="1"/>
  <c r="U42" i="31"/>
  <c r="O40" i="5" s="1"/>
  <c r="P40" i="5" s="1"/>
  <c r="U62" i="31"/>
  <c r="O60" i="5" s="1"/>
  <c r="U92" i="31"/>
  <c r="O90" i="5" s="1"/>
  <c r="U20" i="31"/>
  <c r="O18" i="5" s="1"/>
  <c r="U36" i="31"/>
  <c r="O34" i="5" s="1"/>
  <c r="P34" i="5" s="1"/>
  <c r="U81" i="31"/>
  <c r="O79" i="5" s="1"/>
  <c r="U71" i="31"/>
  <c r="O69" i="5" s="1"/>
  <c r="U70" i="31"/>
  <c r="O68" i="5" s="1"/>
  <c r="U67" i="31"/>
  <c r="O65" i="5" s="1"/>
  <c r="U28" i="31"/>
  <c r="O26" i="5" s="1"/>
  <c r="U48" i="31"/>
  <c r="O46" i="5" s="1"/>
  <c r="P46" i="5" s="1"/>
  <c r="U26" i="31"/>
  <c r="O24" i="5" s="1"/>
  <c r="U58" i="31"/>
  <c r="O56" i="5" s="1"/>
  <c r="U74" i="31"/>
  <c r="O72" i="5" s="1"/>
  <c r="U75" i="31"/>
  <c r="O73" i="5" s="1"/>
  <c r="U52" i="31"/>
  <c r="O50" i="5" s="1"/>
  <c r="U29" i="31"/>
  <c r="O27" i="5" s="1"/>
  <c r="U30" i="31"/>
  <c r="O28" i="5" s="1"/>
  <c r="U41" i="31"/>
  <c r="O39" i="5" s="1"/>
  <c r="U83" i="31"/>
  <c r="O81" i="5" s="1"/>
  <c r="U77" i="31"/>
  <c r="O75" i="5" s="1"/>
  <c r="U85" i="31"/>
  <c r="O83" i="5" s="1"/>
  <c r="U82" i="31"/>
  <c r="O80" i="5" s="1"/>
  <c r="U76" i="31"/>
  <c r="O74" i="5" s="1"/>
  <c r="U84" i="31"/>
  <c r="O82" i="5" s="1"/>
  <c r="U23" i="31"/>
  <c r="O21" i="5" s="1"/>
  <c r="U31" i="31"/>
  <c r="O29" i="5" s="1"/>
  <c r="P36" i="5"/>
  <c r="P32" i="5"/>
  <c r="P44" i="5"/>
  <c r="P52" i="5"/>
  <c r="P53" i="5"/>
  <c r="J49" i="5"/>
  <c r="M49" i="5" s="1"/>
  <c r="J33" i="5"/>
  <c r="M33" i="5" s="1"/>
  <c r="P33" i="5" s="1"/>
  <c r="P50" i="5"/>
  <c r="P31" i="5"/>
  <c r="J47" i="5"/>
  <c r="M47" i="5" s="1"/>
  <c r="J41" i="5"/>
  <c r="M41" i="5" s="1"/>
  <c r="P41" i="5" s="1"/>
  <c r="I14" i="187"/>
  <c r="J14" i="187" s="1"/>
  <c r="M14" i="187" s="1"/>
  <c r="N14" i="187" s="1"/>
  <c r="I16" i="187"/>
  <c r="I15" i="187"/>
  <c r="J15" i="187" s="1"/>
  <c r="P48" i="5"/>
  <c r="P43" i="5"/>
  <c r="J51" i="5"/>
  <c r="M51" i="5" s="1"/>
  <c r="P51" i="5" s="1"/>
  <c r="J38" i="5"/>
  <c r="M38" i="5" s="1"/>
  <c r="J39" i="5"/>
  <c r="M39" i="5" s="1"/>
  <c r="J45" i="5"/>
  <c r="M45" i="5" s="1"/>
  <c r="P45" i="5" s="1"/>
  <c r="P37" i="5"/>
  <c r="P30" i="5"/>
  <c r="S40" i="31"/>
  <c r="U40" i="31" s="1"/>
  <c r="O38" i="5" s="1"/>
  <c r="S61" i="31"/>
  <c r="I59" i="5"/>
  <c r="S65" i="31"/>
  <c r="I63" i="5"/>
  <c r="S56" i="31"/>
  <c r="I54" i="5"/>
  <c r="S72" i="31"/>
  <c r="I70" i="5"/>
  <c r="S60" i="31"/>
  <c r="I58" i="5"/>
  <c r="S57" i="31"/>
  <c r="I55" i="5"/>
  <c r="S73" i="31"/>
  <c r="I71" i="5"/>
  <c r="S64" i="31"/>
  <c r="I62" i="5"/>
  <c r="S68" i="31"/>
  <c r="I66" i="5"/>
  <c r="S69" i="31"/>
  <c r="T94" i="249"/>
  <c r="T100" i="249" s="1"/>
  <c r="F94" i="249"/>
  <c r="Q97" i="249" s="1"/>
  <c r="AK90" i="249"/>
  <c r="AQ10" i="249" s="1"/>
  <c r="P39" i="5" l="1"/>
  <c r="U69" i="31"/>
  <c r="O67" i="5" s="1"/>
  <c r="U64" i="31"/>
  <c r="O62" i="5" s="1"/>
  <c r="U72" i="31"/>
  <c r="O70" i="5" s="1"/>
  <c r="U65" i="31"/>
  <c r="O63" i="5" s="1"/>
  <c r="U57" i="31"/>
  <c r="O55" i="5" s="1"/>
  <c r="U68" i="31"/>
  <c r="O66" i="5" s="1"/>
  <c r="U73" i="31"/>
  <c r="O71" i="5" s="1"/>
  <c r="U60" i="31"/>
  <c r="O58" i="5" s="1"/>
  <c r="U56" i="31"/>
  <c r="O54" i="5" s="1"/>
  <c r="U61" i="31"/>
  <c r="O59" i="5" s="1"/>
  <c r="P47" i="5"/>
  <c r="P49" i="5"/>
  <c r="M15" i="187"/>
  <c r="N15" i="187" s="1"/>
  <c r="P38" i="5"/>
  <c r="J16" i="187"/>
  <c r="M16" i="187" s="1"/>
  <c r="N16" i="187" s="1"/>
  <c r="I17" i="187"/>
  <c r="J55" i="5"/>
  <c r="M55" i="5" s="1"/>
  <c r="J54" i="5"/>
  <c r="M54" i="5" s="1"/>
  <c r="P54" i="5" s="1"/>
  <c r="I93" i="5"/>
  <c r="Q95" i="249"/>
  <c r="F100" i="249"/>
  <c r="Q98" i="249"/>
  <c r="Q96" i="249"/>
  <c r="P55" i="5" l="1"/>
  <c r="I18" i="187"/>
  <c r="J18" i="187" s="1"/>
  <c r="M18" i="187" s="1"/>
  <c r="J17" i="187"/>
  <c r="Q94" i="249"/>
  <c r="M17" i="187" l="1"/>
  <c r="N17" i="187" s="1"/>
  <c r="N18" i="187"/>
  <c r="W22" i="9"/>
  <c r="W21" i="9"/>
  <c r="AH19" i="9"/>
  <c r="AH18" i="9"/>
  <c r="AH17" i="9"/>
  <c r="AH16" i="9"/>
  <c r="AH15" i="9"/>
  <c r="AH14" i="9"/>
  <c r="AH13" i="9"/>
  <c r="AH12" i="9"/>
  <c r="AH11" i="9"/>
  <c r="AH10" i="9"/>
  <c r="AH9" i="9"/>
  <c r="AH8" i="9"/>
  <c r="AK16" i="280"/>
  <c r="AJ16" i="280"/>
  <c r="AI16" i="280"/>
  <c r="AH16" i="280"/>
  <c r="AG16" i="280"/>
  <c r="AF16" i="280"/>
  <c r="AE16" i="280"/>
  <c r="AD16" i="280"/>
  <c r="AC16" i="280"/>
  <c r="AB16" i="280"/>
  <c r="AA16" i="280"/>
  <c r="Z16" i="280"/>
  <c r="Y16" i="280"/>
  <c r="X16" i="280"/>
  <c r="W16" i="280"/>
  <c r="V16" i="280"/>
  <c r="U16" i="280"/>
  <c r="T16" i="280"/>
  <c r="S16" i="280"/>
  <c r="R16" i="280"/>
  <c r="Q16" i="280"/>
  <c r="P16" i="280"/>
  <c r="O16" i="280"/>
  <c r="N16" i="280"/>
  <c r="M16" i="280"/>
  <c r="L16" i="280"/>
  <c r="K16" i="280"/>
  <c r="J16" i="280"/>
  <c r="I16" i="280"/>
  <c r="H16" i="280"/>
  <c r="G16" i="280"/>
  <c r="F16" i="280"/>
  <c r="E16" i="280"/>
  <c r="AK15" i="280"/>
  <c r="AJ15" i="280"/>
  <c r="AK14" i="280"/>
  <c r="AJ14" i="280"/>
  <c r="AK13" i="280"/>
  <c r="AJ13" i="280"/>
  <c r="AK12" i="280"/>
  <c r="AJ12" i="280"/>
  <c r="AK11" i="280"/>
  <c r="AJ11" i="280"/>
  <c r="AK10" i="280"/>
  <c r="AJ10" i="280"/>
  <c r="J16" i="54"/>
  <c r="R10" i="54"/>
  <c r="V24" i="319"/>
  <c r="T23" i="319"/>
  <c r="W22" i="319"/>
  <c r="W21" i="319"/>
  <c r="V21" i="319"/>
  <c r="T21" i="319"/>
  <c r="Q21" i="319"/>
  <c r="P21" i="319"/>
  <c r="O21" i="319"/>
  <c r="N21" i="319"/>
  <c r="M21" i="319"/>
  <c r="L21" i="319"/>
  <c r="K21" i="319"/>
  <c r="J21" i="319"/>
  <c r="F21" i="319"/>
  <c r="Q20" i="319"/>
  <c r="M20" i="319"/>
  <c r="J20" i="319"/>
  <c r="F20" i="319"/>
  <c r="Q19" i="319"/>
  <c r="M19" i="319"/>
  <c r="J19" i="319"/>
  <c r="F19" i="319"/>
  <c r="Q18" i="319"/>
  <c r="M18" i="319"/>
  <c r="J18" i="319"/>
  <c r="F18" i="319"/>
  <c r="Q17" i="319"/>
  <c r="M17" i="319"/>
  <c r="J17" i="319"/>
  <c r="F17" i="319"/>
  <c r="Q16" i="319"/>
  <c r="M16" i="319"/>
  <c r="J16" i="319"/>
  <c r="F16" i="319"/>
  <c r="Q15" i="319"/>
  <c r="M15" i="319"/>
  <c r="J15" i="319"/>
  <c r="F15" i="319"/>
  <c r="Q14" i="319"/>
  <c r="M14" i="319"/>
  <c r="J14" i="319"/>
  <c r="F14" i="319"/>
  <c r="Q13" i="319"/>
  <c r="M13" i="319"/>
  <c r="J13" i="319"/>
  <c r="F13" i="319"/>
  <c r="Q12" i="319"/>
  <c r="M12" i="319"/>
  <c r="J12" i="319"/>
  <c r="F12" i="319"/>
  <c r="Q11" i="319"/>
  <c r="M11" i="319"/>
  <c r="J11" i="319"/>
  <c r="F11" i="319"/>
  <c r="AV21" i="304"/>
  <c r="AJ21" i="304"/>
  <c r="AI21" i="304"/>
  <c r="AH21" i="304"/>
  <c r="AG21" i="304"/>
  <c r="AF21" i="304"/>
  <c r="AE21" i="304"/>
  <c r="AD21" i="304"/>
  <c r="AC21" i="304"/>
  <c r="AB21" i="304"/>
  <c r="AA21" i="304"/>
  <c r="Z21" i="304"/>
  <c r="Y21" i="304"/>
  <c r="X21" i="304"/>
  <c r="W21" i="304"/>
  <c r="V21" i="304"/>
  <c r="U21" i="304"/>
  <c r="T21" i="304"/>
  <c r="S21" i="304"/>
  <c r="R21" i="304"/>
  <c r="Q21" i="304"/>
  <c r="P21" i="304"/>
  <c r="O21" i="304"/>
  <c r="N21" i="304"/>
  <c r="M21" i="304"/>
  <c r="L21" i="304"/>
  <c r="K21" i="304"/>
  <c r="J21" i="304"/>
  <c r="I21" i="304"/>
  <c r="H21" i="304"/>
  <c r="G21" i="304"/>
  <c r="F21" i="304"/>
  <c r="E21" i="304"/>
  <c r="AV20" i="304"/>
  <c r="AJ20" i="304"/>
  <c r="AV19" i="304"/>
  <c r="AJ19" i="304"/>
  <c r="AV18" i="304"/>
  <c r="AJ18" i="304"/>
  <c r="AV17" i="304"/>
  <c r="AJ17" i="304"/>
  <c r="AV16" i="304"/>
  <c r="AJ16" i="304"/>
  <c r="AV15" i="304"/>
  <c r="AJ15" i="304"/>
  <c r="AV14" i="304"/>
  <c r="AJ14" i="304"/>
  <c r="AV13" i="304"/>
  <c r="AJ13" i="304"/>
  <c r="AV12" i="304"/>
  <c r="AJ12" i="304"/>
  <c r="AV11" i="304"/>
  <c r="AJ11" i="304"/>
  <c r="AI10" i="304"/>
  <c r="AH10" i="304"/>
  <c r="AG10" i="304"/>
  <c r="AF10" i="304"/>
  <c r="AE10" i="304"/>
  <c r="AD10" i="304"/>
  <c r="AC10" i="304"/>
  <c r="AB10" i="304"/>
  <c r="AA10" i="304"/>
  <c r="Z10" i="304"/>
  <c r="Y10" i="304"/>
  <c r="X10" i="304"/>
  <c r="W10" i="304"/>
  <c r="V10" i="304"/>
  <c r="U10" i="304"/>
  <c r="T10" i="304"/>
  <c r="S10" i="304"/>
  <c r="R10" i="304"/>
  <c r="Q10" i="304"/>
  <c r="P10" i="304"/>
  <c r="O10" i="304"/>
  <c r="N10" i="304"/>
  <c r="M10" i="304"/>
  <c r="L10" i="304"/>
  <c r="K10" i="304"/>
  <c r="J10" i="304"/>
  <c r="I10" i="304"/>
  <c r="H10" i="304"/>
  <c r="G10" i="304"/>
  <c r="F10" i="304"/>
  <c r="E10" i="304"/>
  <c r="AG9" i="304"/>
  <c r="E7" i="304"/>
  <c r="AW55" i="108"/>
  <c r="AW51" i="108"/>
  <c r="AI51" i="108"/>
  <c r="AH50" i="108"/>
  <c r="AG50" i="108"/>
  <c r="AF50" i="108"/>
  <c r="AE50" i="108"/>
  <c r="AD50" i="108"/>
  <c r="AC50" i="108"/>
  <c r="AB50" i="108"/>
  <c r="AA50" i="108"/>
  <c r="Z50" i="108"/>
  <c r="Y50" i="108"/>
  <c r="X50" i="108"/>
  <c r="W50" i="108"/>
  <c r="V50" i="108"/>
  <c r="U50" i="108"/>
  <c r="T50" i="108"/>
  <c r="S50" i="108"/>
  <c r="R50" i="108"/>
  <c r="Q50" i="108"/>
  <c r="P50" i="108"/>
  <c r="O50" i="108"/>
  <c r="N50" i="108"/>
  <c r="M50" i="108"/>
  <c r="L50" i="108"/>
  <c r="K50" i="108"/>
  <c r="J50" i="108"/>
  <c r="I50" i="108"/>
  <c r="H50" i="108"/>
  <c r="G50" i="108"/>
  <c r="F50" i="108"/>
  <c r="E50" i="108"/>
  <c r="AX49" i="108"/>
  <c r="AH49" i="108"/>
  <c r="AH46" i="108" s="1"/>
  <c r="AG49" i="108"/>
  <c r="AF49" i="108"/>
  <c r="AE49" i="108"/>
  <c r="AD49" i="108"/>
  <c r="AD46" i="108" s="1"/>
  <c r="AC49" i="108"/>
  <c r="AB49" i="108"/>
  <c r="AA49" i="108"/>
  <c r="Z49" i="108"/>
  <c r="Z46" i="108" s="1"/>
  <c r="Y49" i="108"/>
  <c r="X49" i="108"/>
  <c r="W49" i="108"/>
  <c r="V49" i="108"/>
  <c r="V46" i="108" s="1"/>
  <c r="U49" i="108"/>
  <c r="T49" i="108"/>
  <c r="S49" i="108"/>
  <c r="R49" i="108"/>
  <c r="R46" i="108" s="1"/>
  <c r="Q49" i="108"/>
  <c r="P49" i="108"/>
  <c r="O49" i="108"/>
  <c r="N49" i="108"/>
  <c r="N46" i="108" s="1"/>
  <c r="M49" i="108"/>
  <c r="L49" i="108"/>
  <c r="K49" i="108"/>
  <c r="J49" i="108"/>
  <c r="J46" i="108" s="1"/>
  <c r="I49" i="108"/>
  <c r="H49" i="108"/>
  <c r="G49" i="108"/>
  <c r="F49" i="108"/>
  <c r="F46" i="108" s="1"/>
  <c r="E49" i="108"/>
  <c r="AH48" i="108"/>
  <c r="AG48" i="108"/>
  <c r="AF48" i="108"/>
  <c r="AF46" i="108" s="1"/>
  <c r="AE48" i="108"/>
  <c r="AD48" i="108"/>
  <c r="AC48" i="108"/>
  <c r="AB48" i="108"/>
  <c r="AB46" i="108" s="1"/>
  <c r="AA48" i="108"/>
  <c r="Z48" i="108"/>
  <c r="Y48" i="108"/>
  <c r="X48" i="108"/>
  <c r="X46" i="108" s="1"/>
  <c r="W48" i="108"/>
  <c r="V48" i="108"/>
  <c r="U48" i="108"/>
  <c r="T48" i="108"/>
  <c r="S48" i="108"/>
  <c r="R48" i="108"/>
  <c r="Q48" i="108"/>
  <c r="P48" i="108"/>
  <c r="O48" i="108"/>
  <c r="N48" i="108"/>
  <c r="M48" i="108"/>
  <c r="L48" i="108"/>
  <c r="K48" i="108"/>
  <c r="J48" i="108"/>
  <c r="I48" i="108"/>
  <c r="H48" i="108"/>
  <c r="G48" i="108"/>
  <c r="F48" i="108"/>
  <c r="E48" i="108"/>
  <c r="T47" i="108"/>
  <c r="S47" i="108"/>
  <c r="R47" i="108"/>
  <c r="Q47" i="108"/>
  <c r="P47" i="108"/>
  <c r="P46" i="108" s="1"/>
  <c r="O47" i="108"/>
  <c r="N47" i="108"/>
  <c r="M47" i="108"/>
  <c r="L47" i="108"/>
  <c r="L46" i="108" s="1"/>
  <c r="K47" i="108"/>
  <c r="J47" i="108"/>
  <c r="I47" i="108"/>
  <c r="H47" i="108"/>
  <c r="H46" i="108" s="1"/>
  <c r="G47" i="108"/>
  <c r="F47" i="108"/>
  <c r="E47" i="108"/>
  <c r="BJ46" i="108"/>
  <c r="T46" i="108"/>
  <c r="AH45" i="108"/>
  <c r="AH44" i="108" s="1"/>
  <c r="AG45" i="108"/>
  <c r="AG44" i="108" s="1"/>
  <c r="AF45" i="108"/>
  <c r="AE45" i="108"/>
  <c r="AE44" i="108" s="1"/>
  <c r="AD45" i="108"/>
  <c r="AD44" i="108" s="1"/>
  <c r="AC45" i="108"/>
  <c r="AB45" i="108"/>
  <c r="AB44" i="108" s="1"/>
  <c r="AA45" i="108"/>
  <c r="AA44" i="108" s="1"/>
  <c r="Z45" i="108"/>
  <c r="Z44" i="108" s="1"/>
  <c r="Y45" i="108"/>
  <c r="Y44" i="108" s="1"/>
  <c r="X45" i="108"/>
  <c r="W45" i="108"/>
  <c r="W44" i="108" s="1"/>
  <c r="V45" i="108"/>
  <c r="V44" i="108" s="1"/>
  <c r="U45" i="108"/>
  <c r="U44" i="108" s="1"/>
  <c r="T45" i="108"/>
  <c r="T44" i="108" s="1"/>
  <c r="S45" i="108"/>
  <c r="S44" i="108" s="1"/>
  <c r="R45" i="108"/>
  <c r="R44" i="108" s="1"/>
  <c r="Q45" i="108"/>
  <c r="P45" i="108"/>
  <c r="P44" i="108" s="1"/>
  <c r="O45" i="108"/>
  <c r="O44" i="108" s="1"/>
  <c r="J45" i="108"/>
  <c r="J44" i="108" s="1"/>
  <c r="I45" i="108"/>
  <c r="I44" i="108" s="1"/>
  <c r="H45" i="108"/>
  <c r="G45" i="108"/>
  <c r="G44" i="108" s="1"/>
  <c r="F45" i="108"/>
  <c r="F44" i="108" s="1"/>
  <c r="E45" i="108"/>
  <c r="E44" i="108" s="1"/>
  <c r="BI44" i="108"/>
  <c r="AF44" i="108"/>
  <c r="AC44" i="108"/>
  <c r="X44" i="108"/>
  <c r="Q44" i="108"/>
  <c r="N44" i="108"/>
  <c r="M44" i="108"/>
  <c r="L44" i="108"/>
  <c r="K44" i="108"/>
  <c r="H44" i="108"/>
  <c r="AE43" i="108"/>
  <c r="X43" i="108"/>
  <c r="L43" i="108"/>
  <c r="K43" i="108"/>
  <c r="J43" i="108"/>
  <c r="I43" i="108"/>
  <c r="H43" i="108"/>
  <c r="G43" i="108"/>
  <c r="F43" i="108"/>
  <c r="E43" i="108"/>
  <c r="AH42" i="108"/>
  <c r="AG42" i="108"/>
  <c r="AF42" i="108"/>
  <c r="AE42" i="108"/>
  <c r="AD42" i="108"/>
  <c r="AC42" i="108"/>
  <c r="AB42" i="108"/>
  <c r="AA42" i="108"/>
  <c r="Z42" i="108"/>
  <c r="Y42" i="108"/>
  <c r="X42" i="108"/>
  <c r="W42" i="108"/>
  <c r="V42" i="108"/>
  <c r="U42" i="108"/>
  <c r="T42" i="108"/>
  <c r="S42" i="108"/>
  <c r="R42" i="108"/>
  <c r="Q42" i="108"/>
  <c r="P42" i="108"/>
  <c r="O42" i="108"/>
  <c r="N42" i="108"/>
  <c r="M42" i="108"/>
  <c r="L42" i="108"/>
  <c r="K42" i="108"/>
  <c r="J42" i="108"/>
  <c r="I42" i="108"/>
  <c r="H42" i="108"/>
  <c r="G42" i="108"/>
  <c r="F42" i="108"/>
  <c r="E42" i="108"/>
  <c r="AH41" i="108"/>
  <c r="AG41" i="108"/>
  <c r="AF41" i="108"/>
  <c r="AE41" i="108"/>
  <c r="AD41" i="108"/>
  <c r="AC41" i="108"/>
  <c r="AB41" i="108"/>
  <c r="AA41" i="108"/>
  <c r="Z41" i="108"/>
  <c r="Y41" i="108"/>
  <c r="X41" i="108"/>
  <c r="W41" i="108"/>
  <c r="V41" i="108"/>
  <c r="U41" i="108"/>
  <c r="T41" i="108"/>
  <c r="S41" i="108"/>
  <c r="R41" i="108"/>
  <c r="Q41" i="108"/>
  <c r="P41" i="108"/>
  <c r="O41" i="108"/>
  <c r="N41" i="108"/>
  <c r="M41" i="108"/>
  <c r="L41" i="108"/>
  <c r="K41" i="108"/>
  <c r="J41" i="108"/>
  <c r="I41" i="108"/>
  <c r="H41" i="108"/>
  <c r="G41" i="108"/>
  <c r="F41" i="108"/>
  <c r="E41" i="108"/>
  <c r="AH40" i="108"/>
  <c r="AG40" i="108"/>
  <c r="AG39" i="108" s="1"/>
  <c r="AF40" i="108"/>
  <c r="AE40" i="108"/>
  <c r="AD40" i="108"/>
  <c r="AC40" i="108"/>
  <c r="AB40" i="108"/>
  <c r="AA40" i="108"/>
  <c r="Z40" i="108"/>
  <c r="Y40" i="108"/>
  <c r="X40" i="108"/>
  <c r="W40" i="108"/>
  <c r="V40" i="108"/>
  <c r="U40" i="108"/>
  <c r="T40" i="108"/>
  <c r="S40" i="108"/>
  <c r="R40" i="108"/>
  <c r="Q40" i="108"/>
  <c r="P40" i="108"/>
  <c r="O40" i="108"/>
  <c r="N40" i="108"/>
  <c r="M40" i="108"/>
  <c r="M39" i="108" s="1"/>
  <c r="L40" i="108"/>
  <c r="K40" i="108"/>
  <c r="J40" i="108"/>
  <c r="I40" i="108"/>
  <c r="H40" i="108"/>
  <c r="G40" i="108"/>
  <c r="F40" i="108"/>
  <c r="E40" i="108"/>
  <c r="BI39" i="108"/>
  <c r="AH38" i="108"/>
  <c r="AG38" i="108"/>
  <c r="AF38" i="108"/>
  <c r="AE38" i="108"/>
  <c r="AD38" i="108"/>
  <c r="AC38" i="108"/>
  <c r="AB38" i="108"/>
  <c r="AA38" i="108"/>
  <c r="Z38" i="108"/>
  <c r="Y38" i="108"/>
  <c r="X38" i="108"/>
  <c r="W38" i="108"/>
  <c r="V38" i="108"/>
  <c r="U38" i="108"/>
  <c r="T38" i="108"/>
  <c r="S38" i="108"/>
  <c r="R38" i="108"/>
  <c r="Q38" i="108"/>
  <c r="P38" i="108"/>
  <c r="O38" i="108"/>
  <c r="N38" i="108"/>
  <c r="M38" i="108"/>
  <c r="L38" i="108"/>
  <c r="K38" i="108"/>
  <c r="J38" i="108"/>
  <c r="I38" i="108"/>
  <c r="H38" i="108"/>
  <c r="G38" i="108"/>
  <c r="F38" i="108"/>
  <c r="E38" i="108"/>
  <c r="AH37" i="108"/>
  <c r="AG37" i="108"/>
  <c r="AF37" i="108"/>
  <c r="AE37" i="108"/>
  <c r="AD37" i="108"/>
  <c r="AC37" i="108"/>
  <c r="AB37" i="108"/>
  <c r="AA37" i="108"/>
  <c r="Z37" i="108"/>
  <c r="Y37" i="108"/>
  <c r="X37" i="108"/>
  <c r="W37" i="108"/>
  <c r="V37" i="108"/>
  <c r="U37" i="108"/>
  <c r="T37" i="108"/>
  <c r="S37" i="108"/>
  <c r="R37" i="108"/>
  <c r="Q37" i="108"/>
  <c r="P37" i="108"/>
  <c r="O37" i="108"/>
  <c r="N37" i="108"/>
  <c r="M37" i="108"/>
  <c r="L37" i="108"/>
  <c r="K37" i="108"/>
  <c r="J37" i="108"/>
  <c r="I37" i="108"/>
  <c r="H37" i="108"/>
  <c r="G37" i="108"/>
  <c r="F37" i="108"/>
  <c r="E37" i="108"/>
  <c r="AH36" i="108"/>
  <c r="AG36" i="108"/>
  <c r="AF36" i="108"/>
  <c r="AE36" i="108"/>
  <c r="AD36" i="108"/>
  <c r="AC36" i="108"/>
  <c r="AB36" i="108"/>
  <c r="AA36" i="108"/>
  <c r="Z36" i="108"/>
  <c r="Y36" i="108"/>
  <c r="X36" i="108"/>
  <c r="W36" i="108"/>
  <c r="V36" i="108"/>
  <c r="U36" i="108"/>
  <c r="T36" i="108"/>
  <c r="S36" i="108"/>
  <c r="R36" i="108"/>
  <c r="Q36" i="108"/>
  <c r="P36" i="108"/>
  <c r="O36" i="108"/>
  <c r="N36" i="108"/>
  <c r="M36" i="108"/>
  <c r="L36" i="108"/>
  <c r="K36" i="108"/>
  <c r="J36" i="108"/>
  <c r="I36" i="108"/>
  <c r="H36" i="108"/>
  <c r="G36" i="108"/>
  <c r="F36" i="108"/>
  <c r="E36" i="108"/>
  <c r="BI35" i="108"/>
  <c r="AH35" i="108"/>
  <c r="AG35" i="108"/>
  <c r="AF35" i="108"/>
  <c r="AE35" i="108"/>
  <c r="AD35" i="108"/>
  <c r="AC35" i="108"/>
  <c r="AB35" i="108"/>
  <c r="AA35" i="108"/>
  <c r="Z35" i="108"/>
  <c r="Y35" i="108"/>
  <c r="X35" i="108"/>
  <c r="W35" i="108"/>
  <c r="V35" i="108"/>
  <c r="U35" i="108"/>
  <c r="T35" i="108"/>
  <c r="S35" i="108"/>
  <c r="R35" i="108"/>
  <c r="Q35" i="108"/>
  <c r="P35" i="108"/>
  <c r="O35" i="108"/>
  <c r="N35" i="108"/>
  <c r="M35" i="108"/>
  <c r="L35" i="108"/>
  <c r="K35" i="108"/>
  <c r="J35" i="108"/>
  <c r="I35" i="108"/>
  <c r="H35" i="108"/>
  <c r="G35" i="108"/>
  <c r="F35" i="108"/>
  <c r="E35" i="108"/>
  <c r="AH34" i="108"/>
  <c r="AG34" i="108"/>
  <c r="AF34" i="108"/>
  <c r="AE34" i="108"/>
  <c r="AD34" i="108"/>
  <c r="AC34" i="108"/>
  <c r="AB34" i="108"/>
  <c r="AA34" i="108"/>
  <c r="Z34" i="108"/>
  <c r="Y34" i="108"/>
  <c r="X34" i="108"/>
  <c r="W34" i="108"/>
  <c r="V34" i="108"/>
  <c r="U34" i="108"/>
  <c r="T34" i="108"/>
  <c r="S34" i="108"/>
  <c r="R34" i="108"/>
  <c r="Q34" i="108"/>
  <c r="P34" i="108"/>
  <c r="O34" i="108"/>
  <c r="N34" i="108"/>
  <c r="M34" i="108"/>
  <c r="L34" i="108"/>
  <c r="K34" i="108"/>
  <c r="J34" i="108"/>
  <c r="I34" i="108"/>
  <c r="H34" i="108"/>
  <c r="G34" i="108"/>
  <c r="F34" i="108"/>
  <c r="E34" i="108"/>
  <c r="AH33" i="108"/>
  <c r="AG33" i="108"/>
  <c r="AF33" i="108"/>
  <c r="AE33" i="108"/>
  <c r="AD33" i="108"/>
  <c r="AC33" i="108"/>
  <c r="AB33" i="108"/>
  <c r="AA33" i="108"/>
  <c r="Z33" i="108"/>
  <c r="Y33" i="108"/>
  <c r="X33" i="108"/>
  <c r="W33" i="108"/>
  <c r="V33" i="108"/>
  <c r="U33" i="108"/>
  <c r="T33" i="108"/>
  <c r="S33" i="108"/>
  <c r="R33" i="108"/>
  <c r="Q33" i="108"/>
  <c r="P33" i="108"/>
  <c r="O33" i="108"/>
  <c r="N33" i="108"/>
  <c r="M33" i="108"/>
  <c r="L33" i="108"/>
  <c r="K33" i="108"/>
  <c r="J33" i="108"/>
  <c r="I33" i="108"/>
  <c r="H33" i="108"/>
  <c r="G33" i="108"/>
  <c r="F33" i="108"/>
  <c r="E33" i="108"/>
  <c r="AH32" i="108"/>
  <c r="AG32" i="108"/>
  <c r="AF32" i="108"/>
  <c r="AE32" i="108"/>
  <c r="AD32" i="108"/>
  <c r="AC32" i="108"/>
  <c r="AB32" i="108"/>
  <c r="AA32" i="108"/>
  <c r="Z32" i="108"/>
  <c r="Y32" i="108"/>
  <c r="X32" i="108"/>
  <c r="W32" i="108"/>
  <c r="V32" i="108"/>
  <c r="U32" i="108"/>
  <c r="T32" i="108"/>
  <c r="S32" i="108"/>
  <c r="R32" i="108"/>
  <c r="Q32" i="108"/>
  <c r="P32" i="108"/>
  <c r="O32" i="108"/>
  <c r="N32" i="108"/>
  <c r="M32" i="108"/>
  <c r="L32" i="108"/>
  <c r="K32" i="108"/>
  <c r="J32" i="108"/>
  <c r="I32" i="108"/>
  <c r="H32" i="108"/>
  <c r="G32" i="108"/>
  <c r="F32" i="108"/>
  <c r="E32" i="108"/>
  <c r="AH30" i="108"/>
  <c r="AG30" i="108"/>
  <c r="AF30" i="108"/>
  <c r="AE30" i="108"/>
  <c r="AD30" i="108"/>
  <c r="AC30" i="108"/>
  <c r="AB30" i="108"/>
  <c r="AA30" i="108"/>
  <c r="Z30" i="108"/>
  <c r="Y30" i="108"/>
  <c r="X30" i="108"/>
  <c r="W30" i="108"/>
  <c r="V30" i="108"/>
  <c r="U30" i="108"/>
  <c r="T30" i="108"/>
  <c r="S30" i="108"/>
  <c r="R30" i="108"/>
  <c r="Q30" i="108"/>
  <c r="P30" i="108"/>
  <c r="O30" i="108"/>
  <c r="N30" i="108"/>
  <c r="M30" i="108"/>
  <c r="L30" i="108"/>
  <c r="K30" i="108"/>
  <c r="J30" i="108"/>
  <c r="I30" i="108"/>
  <c r="H30" i="108"/>
  <c r="G30" i="108"/>
  <c r="F30" i="108"/>
  <c r="E30" i="108"/>
  <c r="AH29" i="108"/>
  <c r="AG29" i="108"/>
  <c r="AF29" i="108"/>
  <c r="AE29" i="108"/>
  <c r="AD29" i="108"/>
  <c r="AC29" i="108"/>
  <c r="AB29" i="108"/>
  <c r="AA29" i="108"/>
  <c r="Z29" i="108"/>
  <c r="Y29" i="108"/>
  <c r="X29" i="108"/>
  <c r="W29" i="108"/>
  <c r="V29" i="108"/>
  <c r="U29" i="108"/>
  <c r="T29" i="108"/>
  <c r="S29" i="108"/>
  <c r="R29" i="108"/>
  <c r="Q29" i="108"/>
  <c r="P29" i="108"/>
  <c r="O29" i="108"/>
  <c r="N29" i="108"/>
  <c r="M29" i="108"/>
  <c r="L29" i="108"/>
  <c r="K29" i="108"/>
  <c r="J29" i="108"/>
  <c r="I29" i="108"/>
  <c r="H29" i="108"/>
  <c r="G29" i="108"/>
  <c r="F29" i="108"/>
  <c r="E29" i="108"/>
  <c r="AH28" i="108"/>
  <c r="AG28" i="108"/>
  <c r="AF28" i="108"/>
  <c r="AE28" i="108"/>
  <c r="AD28" i="108"/>
  <c r="AC28" i="108"/>
  <c r="AB28" i="108"/>
  <c r="AA28" i="108"/>
  <c r="Z28" i="108"/>
  <c r="Y28" i="108"/>
  <c r="X28" i="108"/>
  <c r="W28" i="108"/>
  <c r="V28" i="108"/>
  <c r="U28" i="108"/>
  <c r="T28" i="108"/>
  <c r="S28" i="108"/>
  <c r="R28" i="108"/>
  <c r="Q28" i="108"/>
  <c r="P28" i="108"/>
  <c r="O28" i="108"/>
  <c r="N28" i="108"/>
  <c r="M28" i="108"/>
  <c r="L28" i="108"/>
  <c r="K28" i="108"/>
  <c r="J28" i="108"/>
  <c r="I28" i="108"/>
  <c r="H28" i="108"/>
  <c r="G28" i="108"/>
  <c r="F28" i="108"/>
  <c r="E28" i="108"/>
  <c r="AH27" i="108"/>
  <c r="AG27" i="108"/>
  <c r="AF27" i="108"/>
  <c r="AE27" i="108"/>
  <c r="AD27" i="108"/>
  <c r="AC27" i="108"/>
  <c r="AB27" i="108"/>
  <c r="AA27" i="108"/>
  <c r="Z27" i="108"/>
  <c r="Y27" i="108"/>
  <c r="X27" i="108"/>
  <c r="W27" i="108"/>
  <c r="V27" i="108"/>
  <c r="U27" i="108"/>
  <c r="T27" i="108"/>
  <c r="S27" i="108"/>
  <c r="R27" i="108"/>
  <c r="Q27" i="108"/>
  <c r="P27" i="108"/>
  <c r="O27" i="108"/>
  <c r="N27" i="108"/>
  <c r="M27" i="108"/>
  <c r="L27" i="108"/>
  <c r="K27" i="108"/>
  <c r="J27" i="108"/>
  <c r="I27" i="108"/>
  <c r="H27" i="108"/>
  <c r="G27" i="108"/>
  <c r="F27" i="108"/>
  <c r="E27" i="108"/>
  <c r="AH26" i="108"/>
  <c r="AG26" i="108"/>
  <c r="AF26" i="108"/>
  <c r="AE26" i="108"/>
  <c r="AD26" i="108"/>
  <c r="AC26" i="108"/>
  <c r="AB26" i="108"/>
  <c r="AA26" i="108"/>
  <c r="Z26" i="108"/>
  <c r="Y26" i="108"/>
  <c r="X26" i="108"/>
  <c r="W26" i="108"/>
  <c r="V26" i="108"/>
  <c r="U26" i="108"/>
  <c r="T26" i="108"/>
  <c r="S26" i="108"/>
  <c r="R26" i="108"/>
  <c r="Q26" i="108"/>
  <c r="P26" i="108"/>
  <c r="O26" i="108"/>
  <c r="N26" i="108"/>
  <c r="M26" i="108"/>
  <c r="L26" i="108"/>
  <c r="K26" i="108"/>
  <c r="J26" i="108"/>
  <c r="I26" i="108"/>
  <c r="H26" i="108"/>
  <c r="G26" i="108"/>
  <c r="F26" i="108"/>
  <c r="E26" i="108"/>
  <c r="AH25" i="108"/>
  <c r="AG25" i="108"/>
  <c r="AF25" i="108"/>
  <c r="AE25" i="108"/>
  <c r="AD25" i="108"/>
  <c r="AC25" i="108"/>
  <c r="AB25" i="108"/>
  <c r="AA25" i="108"/>
  <c r="Z25" i="108"/>
  <c r="Y25" i="108"/>
  <c r="X25" i="108"/>
  <c r="W25" i="108"/>
  <c r="V25" i="108"/>
  <c r="U25" i="108"/>
  <c r="T25" i="108"/>
  <c r="S25" i="108"/>
  <c r="R25" i="108"/>
  <c r="Q25" i="108"/>
  <c r="P25" i="108"/>
  <c r="O25" i="108"/>
  <c r="N25" i="108"/>
  <c r="M25" i="108"/>
  <c r="L25" i="108"/>
  <c r="K25" i="108"/>
  <c r="J25" i="108"/>
  <c r="I25" i="108"/>
  <c r="H25" i="108"/>
  <c r="G25" i="108"/>
  <c r="F25" i="108"/>
  <c r="E25" i="108"/>
  <c r="AH24" i="108"/>
  <c r="AG24" i="108"/>
  <c r="AF24" i="108"/>
  <c r="AE24" i="108"/>
  <c r="AD24" i="108"/>
  <c r="AC24" i="108"/>
  <c r="AB24" i="108"/>
  <c r="AA24" i="108"/>
  <c r="Z24" i="108"/>
  <c r="Y24" i="108"/>
  <c r="X24" i="108"/>
  <c r="W24" i="108"/>
  <c r="V24" i="108"/>
  <c r="U24" i="108"/>
  <c r="T24" i="108"/>
  <c r="S24" i="108"/>
  <c r="R24" i="108"/>
  <c r="Q24" i="108"/>
  <c r="P24" i="108"/>
  <c r="O24" i="108"/>
  <c r="N24" i="108"/>
  <c r="M24" i="108"/>
  <c r="L24" i="108"/>
  <c r="K24" i="108"/>
  <c r="J24" i="108"/>
  <c r="I24" i="108"/>
  <c r="H24" i="108"/>
  <c r="G24" i="108"/>
  <c r="F24" i="108"/>
  <c r="E24" i="108"/>
  <c r="AH23" i="108"/>
  <c r="AG23" i="108"/>
  <c r="AF23" i="108"/>
  <c r="AE23" i="108"/>
  <c r="AD23" i="108"/>
  <c r="AC23" i="108"/>
  <c r="AB23" i="108"/>
  <c r="AA23" i="108"/>
  <c r="Z23" i="108"/>
  <c r="Y23" i="108"/>
  <c r="X23" i="108"/>
  <c r="W23" i="108"/>
  <c r="V23" i="108"/>
  <c r="U23" i="108"/>
  <c r="T23" i="108"/>
  <c r="S23" i="108"/>
  <c r="R23" i="108"/>
  <c r="Q23" i="108"/>
  <c r="P23" i="108"/>
  <c r="O23" i="108"/>
  <c r="N23" i="108"/>
  <c r="M23" i="108"/>
  <c r="L23" i="108"/>
  <c r="K23" i="108"/>
  <c r="J23" i="108"/>
  <c r="I23" i="108"/>
  <c r="H23" i="108"/>
  <c r="G23" i="108"/>
  <c r="F23" i="108"/>
  <c r="E23" i="108"/>
  <c r="AH22" i="108"/>
  <c r="AG22" i="108"/>
  <c r="AF22" i="108"/>
  <c r="AE22" i="108"/>
  <c r="AD22" i="108"/>
  <c r="AC22" i="108"/>
  <c r="AB22" i="108"/>
  <c r="AA22" i="108"/>
  <c r="Z22" i="108"/>
  <c r="Y22" i="108"/>
  <c r="X22" i="108"/>
  <c r="W22" i="108"/>
  <c r="V22" i="108"/>
  <c r="U22" i="108"/>
  <c r="T22" i="108"/>
  <c r="S22" i="108"/>
  <c r="R22" i="108"/>
  <c r="Q22" i="108"/>
  <c r="P22" i="108"/>
  <c r="O22" i="108"/>
  <c r="N22" i="108"/>
  <c r="M22" i="108"/>
  <c r="L22" i="108"/>
  <c r="K22" i="108"/>
  <c r="J22" i="108"/>
  <c r="I22" i="108"/>
  <c r="H22" i="108"/>
  <c r="G22" i="108"/>
  <c r="F22" i="108"/>
  <c r="E22" i="108"/>
  <c r="AH21" i="108"/>
  <c r="AG21" i="108"/>
  <c r="AF21" i="108"/>
  <c r="AE21" i="108"/>
  <c r="AD21" i="108"/>
  <c r="AC21" i="108"/>
  <c r="AB21" i="108"/>
  <c r="AA21" i="108"/>
  <c r="Z21" i="108"/>
  <c r="Y21" i="108"/>
  <c r="X21" i="108"/>
  <c r="W21" i="108"/>
  <c r="V21" i="108"/>
  <c r="U21" i="108"/>
  <c r="T21" i="108"/>
  <c r="S21" i="108"/>
  <c r="R21" i="108"/>
  <c r="Q21" i="108"/>
  <c r="P21" i="108"/>
  <c r="O21" i="108"/>
  <c r="N21" i="108"/>
  <c r="M21" i="108"/>
  <c r="L21" i="108"/>
  <c r="K21" i="108"/>
  <c r="J21" i="108"/>
  <c r="I21" i="108"/>
  <c r="H21" i="108"/>
  <c r="G21" i="108"/>
  <c r="F21" i="108"/>
  <c r="E21" i="108"/>
  <c r="AH20" i="108"/>
  <c r="AG20" i="108"/>
  <c r="AF20" i="108"/>
  <c r="AE20" i="108"/>
  <c r="AD20" i="108"/>
  <c r="AC20" i="108"/>
  <c r="AB20" i="108"/>
  <c r="AA20" i="108"/>
  <c r="Z20" i="108"/>
  <c r="Y20" i="108"/>
  <c r="X20" i="108"/>
  <c r="W20" i="108"/>
  <c r="V20" i="108"/>
  <c r="U20" i="108"/>
  <c r="T20" i="108"/>
  <c r="S20" i="108"/>
  <c r="R20" i="108"/>
  <c r="Q20" i="108"/>
  <c r="P20" i="108"/>
  <c r="O20" i="108"/>
  <c r="N20" i="108"/>
  <c r="M20" i="108"/>
  <c r="L20" i="108"/>
  <c r="K20" i="108"/>
  <c r="J20" i="108"/>
  <c r="I20" i="108"/>
  <c r="H20" i="108"/>
  <c r="G20" i="108"/>
  <c r="F20" i="108"/>
  <c r="E20" i="108"/>
  <c r="AH19" i="108"/>
  <c r="AG19" i="108"/>
  <c r="AF19" i="108"/>
  <c r="AE19" i="108"/>
  <c r="AD19" i="108"/>
  <c r="AC19" i="108"/>
  <c r="AB19" i="108"/>
  <c r="AA19" i="108"/>
  <c r="Z19" i="108"/>
  <c r="Y19" i="108"/>
  <c r="X19" i="108"/>
  <c r="W19" i="108"/>
  <c r="V19" i="108"/>
  <c r="U19" i="108"/>
  <c r="T19" i="108"/>
  <c r="S19" i="108"/>
  <c r="R19" i="108"/>
  <c r="Q19" i="108"/>
  <c r="P19" i="108"/>
  <c r="O19" i="108"/>
  <c r="N19" i="108"/>
  <c r="M19" i="108"/>
  <c r="L19" i="108"/>
  <c r="K19" i="108"/>
  <c r="J19" i="108"/>
  <c r="I19" i="108"/>
  <c r="H19" i="108"/>
  <c r="G19" i="108"/>
  <c r="F19" i="108"/>
  <c r="E19" i="108"/>
  <c r="AH18" i="108"/>
  <c r="AG18" i="108"/>
  <c r="AF18" i="108"/>
  <c r="AE18" i="108"/>
  <c r="AD18" i="108"/>
  <c r="AC18" i="108"/>
  <c r="AB18" i="108"/>
  <c r="AA18" i="108"/>
  <c r="Z18" i="108"/>
  <c r="Y18" i="108"/>
  <c r="X18" i="108"/>
  <c r="W18" i="108"/>
  <c r="V18" i="108"/>
  <c r="U18" i="108"/>
  <c r="T18" i="108"/>
  <c r="S18" i="108"/>
  <c r="R18" i="108"/>
  <c r="Q18" i="108"/>
  <c r="P18" i="108"/>
  <c r="O18" i="108"/>
  <c r="N18" i="108"/>
  <c r="M18" i="108"/>
  <c r="L18" i="108"/>
  <c r="K18" i="108"/>
  <c r="J18" i="108"/>
  <c r="I18" i="108"/>
  <c r="H18" i="108"/>
  <c r="G18" i="108"/>
  <c r="F18" i="108"/>
  <c r="E18" i="108"/>
  <c r="AH17" i="108"/>
  <c r="AG17" i="108"/>
  <c r="AF17" i="108"/>
  <c r="AE17" i="108"/>
  <c r="AD17" i="108"/>
  <c r="AC17" i="108"/>
  <c r="AB17" i="108"/>
  <c r="AA17" i="108"/>
  <c r="Z17" i="108"/>
  <c r="Y17" i="108"/>
  <c r="X17" i="108"/>
  <c r="W17" i="108"/>
  <c r="V17" i="108"/>
  <c r="U17" i="108"/>
  <c r="T17" i="108"/>
  <c r="S17" i="108"/>
  <c r="R17" i="108"/>
  <c r="Q17" i="108"/>
  <c r="P17" i="108"/>
  <c r="O17" i="108"/>
  <c r="N17" i="108"/>
  <c r="M17" i="108"/>
  <c r="L17" i="108"/>
  <c r="K17" i="108"/>
  <c r="J17" i="108"/>
  <c r="I17" i="108"/>
  <c r="H17" i="108"/>
  <c r="G17" i="108"/>
  <c r="F17" i="108"/>
  <c r="E17" i="108"/>
  <c r="AH16" i="108"/>
  <c r="AG16" i="108"/>
  <c r="AF16" i="108"/>
  <c r="AE16" i="108"/>
  <c r="AD16" i="108"/>
  <c r="AC16" i="108"/>
  <c r="AB16" i="108"/>
  <c r="AA16" i="108"/>
  <c r="Z16" i="108"/>
  <c r="Y16" i="108"/>
  <c r="X16" i="108"/>
  <c r="W16" i="108"/>
  <c r="V16" i="108"/>
  <c r="U16" i="108"/>
  <c r="T16" i="108"/>
  <c r="S16" i="108"/>
  <c r="R16" i="108"/>
  <c r="Q16" i="108"/>
  <c r="P16" i="108"/>
  <c r="O16" i="108"/>
  <c r="N16" i="108"/>
  <c r="M16" i="108"/>
  <c r="L16" i="108"/>
  <c r="K16" i="108"/>
  <c r="J16" i="108"/>
  <c r="I16" i="108"/>
  <c r="H16" i="108"/>
  <c r="G16" i="108"/>
  <c r="F16" i="108"/>
  <c r="E16" i="108"/>
  <c r="AH15" i="108"/>
  <c r="AG15" i="108"/>
  <c r="AF15" i="108"/>
  <c r="AE15" i="108"/>
  <c r="AD15" i="108"/>
  <c r="AC15" i="108"/>
  <c r="AB15" i="108"/>
  <c r="AA15" i="108"/>
  <c r="Z15" i="108"/>
  <c r="Y15" i="108"/>
  <c r="X15" i="108"/>
  <c r="W15" i="108"/>
  <c r="V15" i="108"/>
  <c r="U15" i="108"/>
  <c r="T15" i="108"/>
  <c r="S15" i="108"/>
  <c r="R15" i="108"/>
  <c r="Q15" i="108"/>
  <c r="P15" i="108"/>
  <c r="O15" i="108"/>
  <c r="N15" i="108"/>
  <c r="M15" i="108"/>
  <c r="L15" i="108"/>
  <c r="K15" i="108"/>
  <c r="J15" i="108"/>
  <c r="I15" i="108"/>
  <c r="H15" i="108"/>
  <c r="G15" i="108"/>
  <c r="F15" i="108"/>
  <c r="E15" i="108"/>
  <c r="AH14" i="108"/>
  <c r="AG14" i="108"/>
  <c r="AF14" i="108"/>
  <c r="AE14" i="108"/>
  <c r="AD14" i="108"/>
  <c r="AC14" i="108"/>
  <c r="Y14" i="108"/>
  <c r="X14" i="108"/>
  <c r="W14" i="108"/>
  <c r="V14" i="108"/>
  <c r="U14" i="108"/>
  <c r="T14" i="108"/>
  <c r="S14" i="108"/>
  <c r="R14" i="108"/>
  <c r="Q14" i="108"/>
  <c r="P14" i="108"/>
  <c r="O14" i="108"/>
  <c r="N14" i="108"/>
  <c r="M14" i="108"/>
  <c r="L14" i="108"/>
  <c r="K14" i="108"/>
  <c r="J14" i="108"/>
  <c r="I14" i="108"/>
  <c r="H14" i="108"/>
  <c r="G14" i="108"/>
  <c r="F14" i="108"/>
  <c r="E14" i="108"/>
  <c r="AH13" i="108"/>
  <c r="AG13" i="108"/>
  <c r="AF13" i="108"/>
  <c r="AE13" i="108"/>
  <c r="AD13" i="108"/>
  <c r="Z13" i="108"/>
  <c r="Y13" i="108"/>
  <c r="X13" i="108"/>
  <c r="W13" i="108"/>
  <c r="V13" i="108"/>
  <c r="U13" i="108"/>
  <c r="T13" i="108"/>
  <c r="S13" i="108"/>
  <c r="R13" i="108"/>
  <c r="R11" i="108" s="1"/>
  <c r="Q13" i="108"/>
  <c r="P13" i="108"/>
  <c r="O13" i="108"/>
  <c r="N13" i="108"/>
  <c r="M13" i="108"/>
  <c r="L13" i="108"/>
  <c r="K13" i="108"/>
  <c r="J13" i="108"/>
  <c r="I13" i="108"/>
  <c r="H13" i="108"/>
  <c r="G13" i="108"/>
  <c r="F13" i="108"/>
  <c r="E13" i="108"/>
  <c r="AH12" i="108"/>
  <c r="AG12" i="108"/>
  <c r="AF12" i="108"/>
  <c r="AE12" i="108"/>
  <c r="AD12" i="108"/>
  <c r="AC12" i="108"/>
  <c r="AB12" i="108"/>
  <c r="AA12" i="108"/>
  <c r="Z12" i="108"/>
  <c r="Y12" i="108"/>
  <c r="X12" i="108"/>
  <c r="W12" i="108"/>
  <c r="V12" i="108"/>
  <c r="U12" i="108"/>
  <c r="T12" i="108"/>
  <c r="S12" i="108"/>
  <c r="R12" i="108"/>
  <c r="Q12" i="108"/>
  <c r="P12" i="108"/>
  <c r="O12" i="108"/>
  <c r="N12" i="108"/>
  <c r="M12" i="108"/>
  <c r="L12" i="108"/>
  <c r="K12" i="108"/>
  <c r="J12" i="108"/>
  <c r="I12" i="108"/>
  <c r="H12" i="108"/>
  <c r="G12" i="108"/>
  <c r="F12" i="108"/>
  <c r="E12" i="108"/>
  <c r="AU11" i="108"/>
  <c r="AT11" i="108"/>
  <c r="AS11" i="108"/>
  <c r="AR11" i="108"/>
  <c r="AQ11" i="108"/>
  <c r="AP11" i="108"/>
  <c r="AO11" i="108"/>
  <c r="AN11" i="108"/>
  <c r="AM11" i="108"/>
  <c r="AI11" i="108"/>
  <c r="AI10" i="108"/>
  <c r="AH10" i="108"/>
  <c r="AG10" i="108"/>
  <c r="AF10" i="108"/>
  <c r="AE10" i="108"/>
  <c r="AD10" i="108"/>
  <c r="AC10" i="108"/>
  <c r="AB10" i="108"/>
  <c r="AA10" i="108"/>
  <c r="Z10" i="108"/>
  <c r="Y10" i="108"/>
  <c r="X10" i="108"/>
  <c r="W10" i="108"/>
  <c r="V10" i="108"/>
  <c r="U10" i="108"/>
  <c r="T10" i="108"/>
  <c r="S10" i="108"/>
  <c r="R10" i="108"/>
  <c r="Q10" i="108"/>
  <c r="P10" i="108"/>
  <c r="O10" i="108"/>
  <c r="N10" i="108"/>
  <c r="M10" i="108"/>
  <c r="L10" i="108"/>
  <c r="K10" i="108"/>
  <c r="J10" i="108"/>
  <c r="I10" i="108"/>
  <c r="H10" i="108"/>
  <c r="G10" i="108"/>
  <c r="F10" i="108"/>
  <c r="E10" i="108"/>
  <c r="AG9" i="108"/>
  <c r="E7" i="108"/>
  <c r="V43" i="281"/>
  <c r="T42" i="281"/>
  <c r="W41" i="281"/>
  <c r="W40" i="281"/>
  <c r="V40" i="281"/>
  <c r="T40" i="281"/>
  <c r="Q40" i="281"/>
  <c r="P40" i="281"/>
  <c r="O40" i="281"/>
  <c r="N40" i="281"/>
  <c r="M40" i="281"/>
  <c r="L40" i="281"/>
  <c r="K40" i="281"/>
  <c r="J40" i="281"/>
  <c r="F40" i="281"/>
  <c r="Q39" i="281"/>
  <c r="M39" i="281"/>
  <c r="J39" i="281"/>
  <c r="F39" i="281"/>
  <c r="X38" i="281"/>
  <c r="Q38" i="281"/>
  <c r="M38" i="281"/>
  <c r="J38" i="281"/>
  <c r="F38" i="281"/>
  <c r="Q37" i="281"/>
  <c r="M37" i="281"/>
  <c r="J37" i="281"/>
  <c r="F37" i="281"/>
  <c r="Q36" i="281"/>
  <c r="M36" i="281"/>
  <c r="J36" i="281"/>
  <c r="F36" i="281"/>
  <c r="Q35" i="281"/>
  <c r="M35" i="281"/>
  <c r="J35" i="281"/>
  <c r="F35" i="281"/>
  <c r="Q34" i="281"/>
  <c r="M34" i="281"/>
  <c r="J34" i="281"/>
  <c r="F34" i="281"/>
  <c r="Q33" i="281"/>
  <c r="M33" i="281"/>
  <c r="J33" i="281"/>
  <c r="F33" i="281"/>
  <c r="Q32" i="281"/>
  <c r="M32" i="281"/>
  <c r="J32" i="281"/>
  <c r="F32" i="281"/>
  <c r="Q31" i="281"/>
  <c r="M31" i="281"/>
  <c r="J31" i="281"/>
  <c r="F31" i="281"/>
  <c r="Q30" i="281"/>
  <c r="M30" i="281"/>
  <c r="J30" i="281"/>
  <c r="F30" i="281"/>
  <c r="Q29" i="281"/>
  <c r="M29" i="281"/>
  <c r="J29" i="281"/>
  <c r="F29" i="281"/>
  <c r="Q28" i="281"/>
  <c r="M28" i="281"/>
  <c r="J28" i="281"/>
  <c r="F28" i="281"/>
  <c r="Q27" i="281"/>
  <c r="M27" i="281"/>
  <c r="J27" i="281"/>
  <c r="F27" i="281"/>
  <c r="Q26" i="281"/>
  <c r="M26" i="281"/>
  <c r="J26" i="281"/>
  <c r="F26" i="281"/>
  <c r="Q25" i="281"/>
  <c r="M25" i="281"/>
  <c r="J25" i="281"/>
  <c r="F25" i="281"/>
  <c r="Q24" i="281"/>
  <c r="M24" i="281"/>
  <c r="J24" i="281"/>
  <c r="F24" i="281"/>
  <c r="Q23" i="281"/>
  <c r="M23" i="281"/>
  <c r="J23" i="281"/>
  <c r="F23" i="281"/>
  <c r="Q22" i="281"/>
  <c r="M22" i="281"/>
  <c r="J22" i="281"/>
  <c r="F22" i="281"/>
  <c r="Q21" i="281"/>
  <c r="M21" i="281"/>
  <c r="J21" i="281"/>
  <c r="F21" i="281"/>
  <c r="Q20" i="281"/>
  <c r="M20" i="281"/>
  <c r="J20" i="281"/>
  <c r="F20" i="281"/>
  <c r="Q19" i="281"/>
  <c r="M19" i="281"/>
  <c r="J19" i="281"/>
  <c r="F19" i="281"/>
  <c r="Q18" i="281"/>
  <c r="M18" i="281"/>
  <c r="J18" i="281"/>
  <c r="F18" i="281"/>
  <c r="Q17" i="281"/>
  <c r="M17" i="281"/>
  <c r="J17" i="281"/>
  <c r="F17" i="281"/>
  <c r="Q16" i="281"/>
  <c r="M16" i="281"/>
  <c r="J16" i="281"/>
  <c r="F16" i="281"/>
  <c r="Q15" i="281"/>
  <c r="M15" i="281"/>
  <c r="J15" i="281"/>
  <c r="F15" i="281"/>
  <c r="Q14" i="281"/>
  <c r="M14" i="281"/>
  <c r="J14" i="281"/>
  <c r="F14" i="281"/>
  <c r="Q13" i="281"/>
  <c r="M13" i="281"/>
  <c r="J13" i="281"/>
  <c r="F13" i="281"/>
  <c r="Q12" i="281"/>
  <c r="M12" i="281"/>
  <c r="J12" i="281"/>
  <c r="F12" i="281"/>
  <c r="Q11" i="281"/>
  <c r="M11" i="281"/>
  <c r="J11" i="281"/>
  <c r="F11" i="281"/>
  <c r="F15" i="291"/>
  <c r="C15" i="291"/>
  <c r="C14" i="291"/>
  <c r="C11" i="291"/>
  <c r="L21" i="290"/>
  <c r="I20" i="290"/>
  <c r="L19" i="290"/>
  <c r="L18" i="290"/>
  <c r="K18" i="290"/>
  <c r="I18" i="290"/>
  <c r="G18" i="290"/>
  <c r="F18" i="290"/>
  <c r="K21" i="290" s="1"/>
  <c r="G17" i="290"/>
  <c r="F17" i="290"/>
  <c r="G16" i="290"/>
  <c r="F16" i="290"/>
  <c r="G15" i="290"/>
  <c r="F15" i="290"/>
  <c r="G14" i="290"/>
  <c r="F14" i="290"/>
  <c r="G13" i="290"/>
  <c r="F13" i="290"/>
  <c r="G12" i="290"/>
  <c r="F12" i="290"/>
  <c r="G11" i="290"/>
  <c r="F11" i="290"/>
  <c r="G10" i="290"/>
  <c r="F10" i="290"/>
  <c r="D14" i="206"/>
  <c r="Y5" i="206"/>
  <c r="X5" i="206"/>
  <c r="W5" i="206"/>
  <c r="F70" i="76"/>
  <c r="G68" i="76"/>
  <c r="G67" i="76"/>
  <c r="G66" i="76"/>
  <c r="G64" i="76"/>
  <c r="G62" i="76"/>
  <c r="G58" i="76"/>
  <c r="D58" i="76"/>
  <c r="G57" i="76"/>
  <c r="G55" i="76"/>
  <c r="G54" i="76"/>
  <c r="G53" i="76"/>
  <c r="G52" i="76"/>
  <c r="G51" i="76"/>
  <c r="G48" i="76"/>
  <c r="G47" i="76"/>
  <c r="G46" i="76"/>
  <c r="G45" i="76"/>
  <c r="G44" i="76"/>
  <c r="G43" i="76"/>
  <c r="G42" i="76"/>
  <c r="G41" i="76"/>
  <c r="G40" i="76"/>
  <c r="G39" i="76"/>
  <c r="G38" i="76"/>
  <c r="G37" i="76"/>
  <c r="G35" i="76"/>
  <c r="G33" i="76"/>
  <c r="G32" i="76"/>
  <c r="G30" i="76"/>
  <c r="G29" i="76"/>
  <c r="G28" i="76" s="1"/>
  <c r="G27" i="76"/>
  <c r="G26" i="76"/>
  <c r="G25" i="76"/>
  <c r="D25" i="76"/>
  <c r="G24" i="76"/>
  <c r="D24" i="76"/>
  <c r="G23" i="76"/>
  <c r="D23" i="76"/>
  <c r="E22" i="76"/>
  <c r="G22" i="76" s="1"/>
  <c r="D22" i="76"/>
  <c r="E21" i="76"/>
  <c r="G21" i="76" s="1"/>
  <c r="D21" i="76"/>
  <c r="E20" i="76"/>
  <c r="G20" i="76" s="1"/>
  <c r="D20" i="76"/>
  <c r="E19" i="76"/>
  <c r="G19" i="76" s="1"/>
  <c r="D19" i="76"/>
  <c r="E18" i="76"/>
  <c r="G18" i="76" s="1"/>
  <c r="D18" i="76"/>
  <c r="E17" i="76"/>
  <c r="G17" i="76" s="1"/>
  <c r="D17" i="76"/>
  <c r="E16" i="76"/>
  <c r="G16" i="76" s="1"/>
  <c r="D16" i="76"/>
  <c r="M15" i="76"/>
  <c r="E15" i="76"/>
  <c r="G15" i="76" s="1"/>
  <c r="D15" i="76"/>
  <c r="M14" i="76"/>
  <c r="E14" i="76"/>
  <c r="G14" i="76" s="1"/>
  <c r="D14" i="76"/>
  <c r="M13" i="76"/>
  <c r="E13" i="76"/>
  <c r="G13" i="76" s="1"/>
  <c r="D13" i="76"/>
  <c r="M12" i="76"/>
  <c r="M17" i="76" s="1"/>
  <c r="E12" i="76"/>
  <c r="G12" i="76" s="1"/>
  <c r="D12" i="76"/>
  <c r="E11" i="76"/>
  <c r="G11" i="76" s="1"/>
  <c r="G10" i="76" s="1"/>
  <c r="G9" i="76" s="1"/>
  <c r="G8" i="76" s="1"/>
  <c r="D11" i="76"/>
  <c r="D10" i="76"/>
  <c r="G7" i="76"/>
  <c r="AI16" i="83"/>
  <c r="AH16" i="83"/>
  <c r="AG16" i="83"/>
  <c r="AF16" i="83"/>
  <c r="AE16" i="83"/>
  <c r="AD16" i="83"/>
  <c r="AC16" i="83"/>
  <c r="AB16" i="83"/>
  <c r="AA16" i="83"/>
  <c r="Z16" i="83"/>
  <c r="Y16" i="83"/>
  <c r="X16" i="83"/>
  <c r="W16" i="83"/>
  <c r="V16" i="83"/>
  <c r="U16" i="83"/>
  <c r="T16" i="83"/>
  <c r="S16" i="83"/>
  <c r="R16" i="83"/>
  <c r="Q16" i="83"/>
  <c r="P16" i="83"/>
  <c r="O16" i="83"/>
  <c r="N16" i="83"/>
  <c r="M16" i="83"/>
  <c r="L16" i="83"/>
  <c r="K16" i="83"/>
  <c r="J16" i="83"/>
  <c r="I16" i="83"/>
  <c r="H16" i="83"/>
  <c r="G16" i="83"/>
  <c r="F16" i="83"/>
  <c r="E16" i="83"/>
  <c r="D16" i="83"/>
  <c r="AI15" i="83"/>
  <c r="AI14" i="83"/>
  <c r="AI13" i="83"/>
  <c r="AI12" i="83"/>
  <c r="AI11" i="83"/>
  <c r="AI10" i="83"/>
  <c r="AI9" i="83"/>
  <c r="AI8" i="83"/>
  <c r="AI7" i="83"/>
  <c r="AI16" i="84"/>
  <c r="AH16" i="84"/>
  <c r="AG16" i="84"/>
  <c r="AF16" i="84"/>
  <c r="AE16" i="84"/>
  <c r="AD16" i="84"/>
  <c r="AC16" i="84"/>
  <c r="AB16" i="84"/>
  <c r="AA16" i="84"/>
  <c r="Z16" i="84"/>
  <c r="Y16" i="84"/>
  <c r="X16" i="84"/>
  <c r="W16" i="84"/>
  <c r="V16" i="84"/>
  <c r="U16" i="84"/>
  <c r="T16" i="84"/>
  <c r="S16" i="84"/>
  <c r="R16" i="84"/>
  <c r="Q16" i="84"/>
  <c r="P16" i="84"/>
  <c r="O16" i="84"/>
  <c r="N16" i="84"/>
  <c r="M16" i="84"/>
  <c r="L16" i="84"/>
  <c r="K16" i="84"/>
  <c r="J16" i="84"/>
  <c r="I16" i="84"/>
  <c r="H16" i="84"/>
  <c r="G16" i="84"/>
  <c r="F16" i="84"/>
  <c r="E16" i="84"/>
  <c r="D16" i="84"/>
  <c r="AK15" i="84"/>
  <c r="AI15" i="84"/>
  <c r="AK14" i="84"/>
  <c r="AI14" i="84"/>
  <c r="AK13" i="84"/>
  <c r="AI13" i="84"/>
  <c r="AK12" i="84"/>
  <c r="AI12" i="84"/>
  <c r="AK11" i="84"/>
  <c r="AI11" i="84"/>
  <c r="AK10" i="84"/>
  <c r="AI10" i="84"/>
  <c r="AK9" i="84"/>
  <c r="AI9" i="84"/>
  <c r="AI8" i="84"/>
  <c r="AK7" i="84"/>
  <c r="AI7" i="84"/>
  <c r="D13" i="56"/>
  <c r="F12" i="56"/>
  <c r="F11" i="56"/>
  <c r="C12" i="291" s="1"/>
  <c r="F30" i="317"/>
  <c r="E21" i="317"/>
  <c r="E18" i="317"/>
  <c r="D18" i="317"/>
  <c r="D14" i="317" s="1"/>
  <c r="J11" i="317"/>
  <c r="I57" i="235"/>
  <c r="G57" i="235"/>
  <c r="G56" i="235"/>
  <c r="I55" i="235"/>
  <c r="G55" i="235"/>
  <c r="D53" i="235"/>
  <c r="G53" i="235" s="1"/>
  <c r="G52" i="235" s="1"/>
  <c r="G50" i="235"/>
  <c r="D50" i="235"/>
  <c r="D49" i="235"/>
  <c r="G49" i="235" s="1"/>
  <c r="D48" i="235"/>
  <c r="G48" i="235" s="1"/>
  <c r="D47" i="235"/>
  <c r="G47" i="235" s="1"/>
  <c r="I46" i="235"/>
  <c r="D46" i="235"/>
  <c r="D45" i="235"/>
  <c r="D44" i="235"/>
  <c r="D43" i="235"/>
  <c r="E38" i="235"/>
  <c r="I24" i="235"/>
  <c r="I23" i="235"/>
  <c r="I22" i="235"/>
  <c r="I20" i="235"/>
  <c r="J10" i="235"/>
  <c r="J9" i="235"/>
  <c r="F43" i="235" s="1"/>
  <c r="H84" i="283"/>
  <c r="G84" i="283"/>
  <c r="H83" i="283"/>
  <c r="G83" i="283"/>
  <c r="E82" i="283"/>
  <c r="D80" i="283"/>
  <c r="G80" i="283" s="1"/>
  <c r="H77" i="283"/>
  <c r="G77" i="283"/>
  <c r="D77" i="283"/>
  <c r="D76" i="283"/>
  <c r="G76" i="283" s="1"/>
  <c r="H76" i="283" s="1"/>
  <c r="D75" i="283"/>
  <c r="G75" i="283" s="1"/>
  <c r="H75" i="283" s="1"/>
  <c r="D74" i="283"/>
  <c r="D73" i="283"/>
  <c r="D72" i="283"/>
  <c r="D71" i="283"/>
  <c r="D70" i="283"/>
  <c r="G70" i="283" s="1"/>
  <c r="H70" i="283" s="1"/>
  <c r="E65" i="283"/>
  <c r="E64" i="283"/>
  <c r="E63" i="283"/>
  <c r="K62" i="283"/>
  <c r="K63" i="283" s="1"/>
  <c r="E62" i="283"/>
  <c r="E61" i="283"/>
  <c r="E60" i="283"/>
  <c r="E59" i="283"/>
  <c r="K58" i="283"/>
  <c r="K59" i="283" s="1"/>
  <c r="E58" i="283"/>
  <c r="E57" i="283"/>
  <c r="E56" i="283"/>
  <c r="K55" i="283"/>
  <c r="E55" i="283"/>
  <c r="E54" i="283"/>
  <c r="E53" i="283"/>
  <c r="E52" i="283"/>
  <c r="E51" i="283"/>
  <c r="K50" i="283"/>
  <c r="K51" i="283" s="1"/>
  <c r="E50" i="283"/>
  <c r="E49" i="283"/>
  <c r="E21" i="235" s="1"/>
  <c r="E46" i="283"/>
  <c r="E33" i="235" s="1"/>
  <c r="E45" i="283"/>
  <c r="E32" i="235" s="1"/>
  <c r="E44" i="283"/>
  <c r="E31" i="235" s="1"/>
  <c r="E43" i="283"/>
  <c r="E42" i="283"/>
  <c r="E41" i="283"/>
  <c r="E36" i="283"/>
  <c r="E24" i="235" s="1"/>
  <c r="E35" i="283"/>
  <c r="E23" i="235" s="1"/>
  <c r="E34" i="283"/>
  <c r="E22" i="235" s="1"/>
  <c r="E33" i="283"/>
  <c r="E31" i="283"/>
  <c r="E30" i="283"/>
  <c r="E29" i="283"/>
  <c r="E28" i="283"/>
  <c r="E27" i="283"/>
  <c r="E26" i="283"/>
  <c r="E25" i="283"/>
  <c r="E24" i="283"/>
  <c r="E23" i="283"/>
  <c r="E22" i="283"/>
  <c r="N21" i="283"/>
  <c r="M21" i="283"/>
  <c r="L21" i="283"/>
  <c r="E21" i="283"/>
  <c r="N20" i="283"/>
  <c r="M20" i="283"/>
  <c r="E20" i="283"/>
  <c r="N19" i="283"/>
  <c r="M19" i="283"/>
  <c r="L19" i="283"/>
  <c r="E19" i="283"/>
  <c r="E19" i="235" s="1"/>
  <c r="N18" i="283"/>
  <c r="M18" i="283"/>
  <c r="L18" i="283"/>
  <c r="E18" i="283"/>
  <c r="N17" i="283"/>
  <c r="M17" i="283"/>
  <c r="L17" i="283"/>
  <c r="E17" i="283"/>
  <c r="N16" i="283"/>
  <c r="M16" i="283"/>
  <c r="L16" i="283"/>
  <c r="E16" i="283"/>
  <c r="N15" i="283"/>
  <c r="M15" i="283"/>
  <c r="L15" i="283"/>
  <c r="N14" i="283"/>
  <c r="M14" i="283"/>
  <c r="L14" i="283"/>
  <c r="N13" i="283"/>
  <c r="M13" i="283"/>
  <c r="L10" i="283"/>
  <c r="L9" i="283"/>
  <c r="F82" i="283" s="1"/>
  <c r="G82" i="283" s="1"/>
  <c r="L2576" i="289"/>
  <c r="J2576" i="289"/>
  <c r="O2578" i="289"/>
  <c r="L102" i="5"/>
  <c r="K102" i="5"/>
  <c r="C92" i="5"/>
  <c r="C91" i="5"/>
  <c r="C90" i="5"/>
  <c r="C89" i="5"/>
  <c r="C88" i="5"/>
  <c r="C87" i="5"/>
  <c r="C86" i="5"/>
  <c r="C85" i="5"/>
  <c r="C84" i="5"/>
  <c r="C83" i="5"/>
  <c r="C82" i="5"/>
  <c r="C81" i="5"/>
  <c r="C80" i="5"/>
  <c r="C79" i="5"/>
  <c r="C78" i="5"/>
  <c r="C77" i="5"/>
  <c r="C76" i="5"/>
  <c r="C75" i="5"/>
  <c r="C74" i="5"/>
  <c r="C73" i="5"/>
  <c r="C72" i="5"/>
  <c r="C71" i="5"/>
  <c r="C70" i="5"/>
  <c r="C69" i="5"/>
  <c r="C68" i="5"/>
  <c r="C67" i="5"/>
  <c r="C66" i="5"/>
  <c r="C65" i="5"/>
  <c r="C64" i="5"/>
  <c r="C63" i="5"/>
  <c r="C62" i="5"/>
  <c r="C61" i="5"/>
  <c r="C60" i="5"/>
  <c r="C59" i="5"/>
  <c r="C58" i="5"/>
  <c r="C57" i="5"/>
  <c r="C56" i="5"/>
  <c r="C29" i="5"/>
  <c r="C28" i="5"/>
  <c r="C27" i="5"/>
  <c r="C26" i="5"/>
  <c r="C25" i="5"/>
  <c r="C24" i="5"/>
  <c r="C23" i="5"/>
  <c r="C22" i="5"/>
  <c r="C21" i="5"/>
  <c r="C20" i="5"/>
  <c r="C19" i="5"/>
  <c r="C18" i="5"/>
  <c r="C17" i="5"/>
  <c r="C16" i="5"/>
  <c r="C15" i="5"/>
  <c r="G9" i="5"/>
  <c r="Q19" i="187"/>
  <c r="Q20" i="187" s="1"/>
  <c r="Q21" i="187" s="1"/>
  <c r="L12" i="187"/>
  <c r="AW13" i="320"/>
  <c r="AK13" i="320"/>
  <c r="AI13" i="320"/>
  <c r="AH13" i="320"/>
  <c r="AG13" i="320"/>
  <c r="AF13" i="320"/>
  <c r="AE13" i="320"/>
  <c r="AD13" i="320"/>
  <c r="AC13" i="320"/>
  <c r="AB13" i="320"/>
  <c r="AA13" i="320"/>
  <c r="Z13" i="320"/>
  <c r="Y13" i="320"/>
  <c r="X13" i="320"/>
  <c r="W13" i="320"/>
  <c r="V13" i="320"/>
  <c r="U13" i="320"/>
  <c r="T13" i="320"/>
  <c r="S13" i="320"/>
  <c r="R13" i="320"/>
  <c r="Q13" i="320"/>
  <c r="P13" i="320"/>
  <c r="O13" i="320"/>
  <c r="N13" i="320"/>
  <c r="M13" i="320"/>
  <c r="L13" i="320"/>
  <c r="K13" i="320"/>
  <c r="J13" i="320"/>
  <c r="I13" i="320"/>
  <c r="H13" i="320"/>
  <c r="G13" i="320"/>
  <c r="F13" i="320"/>
  <c r="E13" i="320"/>
  <c r="AK12" i="320"/>
  <c r="AW12" i="320" s="1"/>
  <c r="AJ12" i="320"/>
  <c r="G12" i="30" s="1"/>
  <c r="AK11" i="320"/>
  <c r="AW11" i="320" s="1"/>
  <c r="AJ11" i="320"/>
  <c r="AJ13" i="320" s="1"/>
  <c r="AI10" i="320"/>
  <c r="AH10" i="320"/>
  <c r="AF10" i="320"/>
  <c r="AE10" i="320"/>
  <c r="AD10" i="320"/>
  <c r="AC10" i="320"/>
  <c r="AB10" i="320"/>
  <c r="AA10" i="320"/>
  <c r="Z10" i="320"/>
  <c r="Y10" i="320"/>
  <c r="X10" i="320"/>
  <c r="W10" i="320"/>
  <c r="V10" i="320"/>
  <c r="U10" i="320"/>
  <c r="T10" i="320"/>
  <c r="S10" i="320"/>
  <c r="R10" i="320"/>
  <c r="Q10" i="320"/>
  <c r="P10" i="320"/>
  <c r="O10" i="320"/>
  <c r="N10" i="320"/>
  <c r="M10" i="320"/>
  <c r="L10" i="320"/>
  <c r="K10" i="320"/>
  <c r="J10" i="320"/>
  <c r="I10" i="320"/>
  <c r="H10" i="320"/>
  <c r="G10" i="320"/>
  <c r="F10" i="320"/>
  <c r="E10" i="320"/>
  <c r="AG9" i="320"/>
  <c r="AG10" i="320" s="1"/>
  <c r="E7" i="320"/>
  <c r="G108" i="31"/>
  <c r="I91" i="31"/>
  <c r="I90" i="31"/>
  <c r="I89" i="31"/>
  <c r="G92" i="5"/>
  <c r="I88" i="31"/>
  <c r="G91" i="5"/>
  <c r="I87" i="31"/>
  <c r="G90" i="5"/>
  <c r="I86" i="31"/>
  <c r="G89" i="5"/>
  <c r="I85" i="31"/>
  <c r="G88" i="5"/>
  <c r="I84" i="31"/>
  <c r="G87" i="5"/>
  <c r="I83" i="31"/>
  <c r="G86" i="5"/>
  <c r="I82" i="31"/>
  <c r="G85" i="5"/>
  <c r="I81" i="31"/>
  <c r="G84" i="5"/>
  <c r="I80" i="31"/>
  <c r="G83" i="5"/>
  <c r="I79" i="31"/>
  <c r="G82" i="5"/>
  <c r="I78" i="31"/>
  <c r="G81" i="5"/>
  <c r="I77" i="31"/>
  <c r="G80" i="5"/>
  <c r="I76" i="31"/>
  <c r="G79" i="5"/>
  <c r="I54" i="31"/>
  <c r="G78" i="5"/>
  <c r="I53" i="31"/>
  <c r="G77" i="5"/>
  <c r="I52" i="31"/>
  <c r="G76" i="5"/>
  <c r="I51" i="31"/>
  <c r="G75" i="5"/>
  <c r="I50" i="31"/>
  <c r="G74" i="5"/>
  <c r="I49" i="31"/>
  <c r="G73" i="5"/>
  <c r="I48" i="31"/>
  <c r="G72" i="5"/>
  <c r="I47" i="31"/>
  <c r="G71" i="5"/>
  <c r="I46" i="31"/>
  <c r="G70" i="5"/>
  <c r="I45" i="31"/>
  <c r="G69" i="5"/>
  <c r="I44" i="31"/>
  <c r="G68" i="5"/>
  <c r="I43" i="31"/>
  <c r="G67" i="5"/>
  <c r="I42" i="31"/>
  <c r="G66" i="5"/>
  <c r="I41" i="31"/>
  <c r="G65" i="5"/>
  <c r="I38" i="31"/>
  <c r="I37" i="31"/>
  <c r="I36" i="31"/>
  <c r="I35" i="31"/>
  <c r="I34" i="31"/>
  <c r="I33" i="31"/>
  <c r="I32" i="31"/>
  <c r="I31" i="31"/>
  <c r="I30" i="31"/>
  <c r="I29" i="31"/>
  <c r="I28" i="31"/>
  <c r="I27" i="31"/>
  <c r="I26" i="31"/>
  <c r="I25" i="31"/>
  <c r="I24" i="31"/>
  <c r="I23" i="31"/>
  <c r="I22" i="31"/>
  <c r="I21" i="31"/>
  <c r="I20" i="31"/>
  <c r="I19" i="31"/>
  <c r="I18" i="31"/>
  <c r="I17" i="31"/>
  <c r="I16" i="31"/>
  <c r="I15" i="31"/>
  <c r="Y24" i="81"/>
  <c r="Y21" i="81"/>
  <c r="Y20" i="81"/>
  <c r="X20" i="81"/>
  <c r="W20" i="81"/>
  <c r="V20" i="81"/>
  <c r="U20" i="81"/>
  <c r="T20" i="81"/>
  <c r="S20" i="81"/>
  <c r="R20" i="81"/>
  <c r="P20" i="81"/>
  <c r="O20" i="81"/>
  <c r="K20" i="81"/>
  <c r="H20" i="81"/>
  <c r="X19" i="81"/>
  <c r="T19" i="81"/>
  <c r="O19" i="81"/>
  <c r="M19" i="81"/>
  <c r="X18" i="81"/>
  <c r="W18" i="81"/>
  <c r="V18" i="81"/>
  <c r="U18" i="81"/>
  <c r="T18" i="81"/>
  <c r="S18" i="81"/>
  <c r="R18" i="81"/>
  <c r="Q18" i="81"/>
  <c r="P18" i="81"/>
  <c r="O18" i="81"/>
  <c r="M18" i="81"/>
  <c r="I18" i="81"/>
  <c r="H18" i="81"/>
  <c r="X17" i="81"/>
  <c r="U17" i="81"/>
  <c r="T17" i="81"/>
  <c r="O17" i="81"/>
  <c r="M17" i="81"/>
  <c r="H17" i="81"/>
  <c r="X16" i="81"/>
  <c r="U16" i="81"/>
  <c r="T16" i="81"/>
  <c r="O16" i="81"/>
  <c r="M16" i="81"/>
  <c r="H16" i="81"/>
  <c r="X15" i="81"/>
  <c r="U15" i="81"/>
  <c r="T15" i="81"/>
  <c r="O15" i="81"/>
  <c r="M15" i="81"/>
  <c r="H15" i="81"/>
  <c r="X14" i="81"/>
  <c r="U14" i="81"/>
  <c r="T14" i="81"/>
  <c r="O14" i="81"/>
  <c r="M14" i="81"/>
  <c r="H14" i="81"/>
  <c r="X13" i="81"/>
  <c r="W13" i="81"/>
  <c r="V13" i="81"/>
  <c r="U13" i="81"/>
  <c r="T13" i="81"/>
  <c r="S13" i="81"/>
  <c r="R13" i="81"/>
  <c r="Q13" i="81"/>
  <c r="P13" i="81"/>
  <c r="O13" i="81"/>
  <c r="M13" i="81"/>
  <c r="K13" i="81"/>
  <c r="I13" i="81"/>
  <c r="H13" i="81"/>
  <c r="AA12" i="81"/>
  <c r="AG89" i="262"/>
  <c r="AH82" i="262"/>
  <c r="AH81" i="262"/>
  <c r="AH80" i="262"/>
  <c r="AG80" i="262"/>
  <c r="AH79" i="262"/>
  <c r="AG79" i="262"/>
  <c r="AH78" i="262"/>
  <c r="AF78" i="262"/>
  <c r="AB78" i="262"/>
  <c r="AA78" i="262"/>
  <c r="J78" i="262"/>
  <c r="I78" i="262"/>
  <c r="H78" i="262"/>
  <c r="Z77" i="262"/>
  <c r="Y77" i="262"/>
  <c r="X77" i="262"/>
  <c r="W77" i="262"/>
  <c r="V77" i="262"/>
  <c r="U77" i="262"/>
  <c r="T77" i="262"/>
  <c r="S77" i="262"/>
  <c r="R77" i="262"/>
  <c r="M77" i="262"/>
  <c r="L77" i="262"/>
  <c r="F77" i="262"/>
  <c r="G77" i="262" s="1"/>
  <c r="B77" i="262"/>
  <c r="Z76" i="262"/>
  <c r="Y76" i="262"/>
  <c r="X76" i="262"/>
  <c r="W76" i="262"/>
  <c r="V76" i="262"/>
  <c r="U76" i="262"/>
  <c r="T76" i="262"/>
  <c r="S76" i="262"/>
  <c r="R76" i="262"/>
  <c r="M76" i="262"/>
  <c r="L76" i="262"/>
  <c r="F76" i="262"/>
  <c r="G76" i="262" s="1"/>
  <c r="B76" i="262"/>
  <c r="Z75" i="262"/>
  <c r="Y75" i="262"/>
  <c r="X75" i="262"/>
  <c r="W75" i="262"/>
  <c r="V75" i="262"/>
  <c r="U75" i="262"/>
  <c r="T75" i="262"/>
  <c r="S75" i="262"/>
  <c r="R75" i="262"/>
  <c r="M75" i="262"/>
  <c r="L75" i="262"/>
  <c r="F75" i="262"/>
  <c r="G75" i="262" s="1"/>
  <c r="B75" i="262"/>
  <c r="Z74" i="262"/>
  <c r="Y74" i="262"/>
  <c r="X74" i="262"/>
  <c r="W74" i="262"/>
  <c r="V74" i="262"/>
  <c r="U74" i="262"/>
  <c r="T74" i="262"/>
  <c r="S74" i="262"/>
  <c r="R74" i="262"/>
  <c r="M74" i="262"/>
  <c r="L74" i="262"/>
  <c r="F74" i="262"/>
  <c r="G74" i="262" s="1"/>
  <c r="B74" i="262"/>
  <c r="Z73" i="262"/>
  <c r="Y73" i="262"/>
  <c r="X73" i="262"/>
  <c r="W73" i="262"/>
  <c r="V73" i="262"/>
  <c r="U73" i="262"/>
  <c r="T73" i="262"/>
  <c r="S73" i="262"/>
  <c r="R73" i="262"/>
  <c r="M73" i="262"/>
  <c r="L73" i="262"/>
  <c r="F73" i="262"/>
  <c r="G73" i="262" s="1"/>
  <c r="B73" i="262"/>
  <c r="Z72" i="262"/>
  <c r="Y72" i="262"/>
  <c r="X72" i="262"/>
  <c r="W72" i="262"/>
  <c r="V72" i="262"/>
  <c r="U72" i="262"/>
  <c r="T72" i="262"/>
  <c r="S72" i="262"/>
  <c r="R72" i="262"/>
  <c r="M72" i="262"/>
  <c r="L72" i="262"/>
  <c r="F72" i="262"/>
  <c r="G72" i="262" s="1"/>
  <c r="B72" i="262"/>
  <c r="Z71" i="262"/>
  <c r="Y71" i="262"/>
  <c r="X71" i="262"/>
  <c r="W71" i="262"/>
  <c r="V71" i="262"/>
  <c r="U71" i="262"/>
  <c r="T71" i="262"/>
  <c r="S71" i="262"/>
  <c r="R71" i="262"/>
  <c r="M71" i="262"/>
  <c r="L71" i="262"/>
  <c r="F71" i="262"/>
  <c r="G71" i="262" s="1"/>
  <c r="B71" i="262"/>
  <c r="Z70" i="262"/>
  <c r="Y70" i="262"/>
  <c r="X70" i="262"/>
  <c r="W70" i="262"/>
  <c r="V70" i="262"/>
  <c r="U70" i="262"/>
  <c r="T70" i="262"/>
  <c r="S70" i="262"/>
  <c r="R70" i="262"/>
  <c r="M70" i="262"/>
  <c r="L70" i="262"/>
  <c r="F70" i="262"/>
  <c r="G70" i="262" s="1"/>
  <c r="B70" i="262"/>
  <c r="Z69" i="262"/>
  <c r="Y69" i="262"/>
  <c r="X69" i="262"/>
  <c r="W69" i="262"/>
  <c r="V69" i="262"/>
  <c r="U69" i="262"/>
  <c r="T69" i="262"/>
  <c r="S69" i="262"/>
  <c r="R69" i="262"/>
  <c r="M69" i="262"/>
  <c r="L69" i="262"/>
  <c r="F69" i="262"/>
  <c r="G69" i="262" s="1"/>
  <c r="B69" i="262"/>
  <c r="Z68" i="262"/>
  <c r="Y68" i="262"/>
  <c r="X68" i="262"/>
  <c r="W68" i="262"/>
  <c r="V68" i="262"/>
  <c r="U68" i="262"/>
  <c r="T68" i="262"/>
  <c r="S68" i="262"/>
  <c r="R68" i="262"/>
  <c r="M68" i="262"/>
  <c r="L68" i="262"/>
  <c r="F68" i="262"/>
  <c r="G68" i="262" s="1"/>
  <c r="B68" i="262"/>
  <c r="Z67" i="262"/>
  <c r="Y67" i="262"/>
  <c r="X67" i="262"/>
  <c r="W67" i="262"/>
  <c r="V67" i="262"/>
  <c r="U67" i="262"/>
  <c r="T67" i="262"/>
  <c r="S67" i="262"/>
  <c r="R67" i="262"/>
  <c r="M67" i="262"/>
  <c r="L67" i="262"/>
  <c r="F67" i="262"/>
  <c r="G67" i="262" s="1"/>
  <c r="B67" i="262"/>
  <c r="Z66" i="262"/>
  <c r="Y66" i="262"/>
  <c r="X66" i="262"/>
  <c r="W66" i="262"/>
  <c r="V66" i="262"/>
  <c r="U66" i="262"/>
  <c r="T66" i="262"/>
  <c r="S66" i="262"/>
  <c r="R66" i="262"/>
  <c r="M66" i="262"/>
  <c r="L66" i="262"/>
  <c r="F66" i="262"/>
  <c r="G66" i="262" s="1"/>
  <c r="B66" i="262"/>
  <c r="Z65" i="262"/>
  <c r="Y65" i="262"/>
  <c r="X65" i="262"/>
  <c r="W65" i="262"/>
  <c r="V65" i="262"/>
  <c r="U65" i="262"/>
  <c r="T65" i="262"/>
  <c r="S65" i="262"/>
  <c r="R65" i="262"/>
  <c r="M65" i="262"/>
  <c r="L65" i="262"/>
  <c r="F65" i="262"/>
  <c r="G65" i="262" s="1"/>
  <c r="B65" i="262"/>
  <c r="Z64" i="262"/>
  <c r="Y64" i="262"/>
  <c r="X64" i="262"/>
  <c r="W64" i="262"/>
  <c r="V64" i="262"/>
  <c r="U64" i="262"/>
  <c r="T64" i="262"/>
  <c r="S64" i="262"/>
  <c r="R64" i="262"/>
  <c r="M64" i="262"/>
  <c r="L64" i="262"/>
  <c r="F64" i="262"/>
  <c r="G64" i="262" s="1"/>
  <c r="B64" i="262"/>
  <c r="Z63" i="262"/>
  <c r="Y63" i="262"/>
  <c r="X63" i="262"/>
  <c r="W63" i="262"/>
  <c r="V63" i="262"/>
  <c r="U63" i="262"/>
  <c r="T63" i="262"/>
  <c r="S63" i="262"/>
  <c r="R63" i="262"/>
  <c r="M63" i="262"/>
  <c r="L63" i="262"/>
  <c r="F63" i="262"/>
  <c r="G63" i="262" s="1"/>
  <c r="B63" i="262"/>
  <c r="Z62" i="262"/>
  <c r="Y62" i="262"/>
  <c r="X62" i="262"/>
  <c r="W62" i="262"/>
  <c r="V62" i="262"/>
  <c r="U62" i="262"/>
  <c r="T62" i="262"/>
  <c r="S62" i="262"/>
  <c r="R62" i="262"/>
  <c r="M62" i="262"/>
  <c r="L62" i="262"/>
  <c r="F62" i="262"/>
  <c r="G62" i="262" s="1"/>
  <c r="B62" i="262"/>
  <c r="Z61" i="262"/>
  <c r="Y61" i="262"/>
  <c r="X61" i="262"/>
  <c r="W61" i="262"/>
  <c r="V61" i="262"/>
  <c r="U61" i="262"/>
  <c r="T61" i="262"/>
  <c r="S61" i="262"/>
  <c r="R61" i="262"/>
  <c r="M61" i="262"/>
  <c r="L61" i="262"/>
  <c r="F61" i="262"/>
  <c r="G61" i="262" s="1"/>
  <c r="B61" i="262"/>
  <c r="Z60" i="262"/>
  <c r="Y60" i="262"/>
  <c r="X60" i="262"/>
  <c r="W60" i="262"/>
  <c r="V60" i="262"/>
  <c r="U60" i="262"/>
  <c r="T60" i="262"/>
  <c r="S60" i="262"/>
  <c r="R60" i="262"/>
  <c r="M60" i="262"/>
  <c r="L60" i="262"/>
  <c r="F60" i="262"/>
  <c r="G60" i="262" s="1"/>
  <c r="B60" i="262"/>
  <c r="Z59" i="262"/>
  <c r="Y59" i="262"/>
  <c r="X59" i="262"/>
  <c r="W59" i="262"/>
  <c r="V59" i="262"/>
  <c r="U59" i="262"/>
  <c r="T59" i="262"/>
  <c r="S59" i="262"/>
  <c r="R59" i="262"/>
  <c r="M59" i="262"/>
  <c r="L59" i="262"/>
  <c r="F59" i="262"/>
  <c r="G59" i="262" s="1"/>
  <c r="B59" i="262"/>
  <c r="Z58" i="262"/>
  <c r="Y58" i="262"/>
  <c r="X58" i="262"/>
  <c r="W58" i="262"/>
  <c r="V58" i="262"/>
  <c r="U58" i="262"/>
  <c r="T58" i="262"/>
  <c r="S58" i="262"/>
  <c r="R58" i="262"/>
  <c r="M58" i="262"/>
  <c r="L58" i="262"/>
  <c r="F58" i="262"/>
  <c r="G58" i="262" s="1"/>
  <c r="B58" i="262"/>
  <c r="Z57" i="262"/>
  <c r="Y57" i="262"/>
  <c r="X57" i="262"/>
  <c r="W57" i="262"/>
  <c r="V57" i="262"/>
  <c r="U57" i="262"/>
  <c r="T57" i="262"/>
  <c r="S57" i="262"/>
  <c r="R57" i="262"/>
  <c r="M57" i="262"/>
  <c r="L57" i="262"/>
  <c r="F57" i="262"/>
  <c r="G57" i="262" s="1"/>
  <c r="B57" i="262"/>
  <c r="Z56" i="262"/>
  <c r="Y56" i="262"/>
  <c r="X56" i="262"/>
  <c r="W56" i="262"/>
  <c r="V56" i="262"/>
  <c r="U56" i="262"/>
  <c r="T56" i="262"/>
  <c r="S56" i="262"/>
  <c r="R56" i="262"/>
  <c r="M56" i="262"/>
  <c r="L56" i="262"/>
  <c r="F56" i="262"/>
  <c r="G56" i="262" s="1"/>
  <c r="B56" i="262"/>
  <c r="Z55" i="262"/>
  <c r="Y55" i="262"/>
  <c r="X55" i="262"/>
  <c r="W55" i="262"/>
  <c r="V55" i="262"/>
  <c r="U55" i="262"/>
  <c r="T55" i="262"/>
  <c r="S55" i="262"/>
  <c r="R55" i="262"/>
  <c r="M55" i="262"/>
  <c r="L55" i="262"/>
  <c r="F55" i="262"/>
  <c r="G55" i="262" s="1"/>
  <c r="B55" i="262"/>
  <c r="Z54" i="262"/>
  <c r="Y54" i="262"/>
  <c r="X54" i="262"/>
  <c r="W54" i="262"/>
  <c r="V54" i="262"/>
  <c r="U54" i="262"/>
  <c r="T54" i="262"/>
  <c r="S54" i="262"/>
  <c r="R54" i="262"/>
  <c r="M54" i="262"/>
  <c r="L54" i="262"/>
  <c r="F54" i="262"/>
  <c r="G54" i="262" s="1"/>
  <c r="B54" i="262"/>
  <c r="Z53" i="262"/>
  <c r="Y53" i="262"/>
  <c r="X53" i="262"/>
  <c r="W53" i="262"/>
  <c r="V53" i="262"/>
  <c r="U53" i="262"/>
  <c r="T53" i="262"/>
  <c r="S53" i="262"/>
  <c r="R53" i="262"/>
  <c r="M53" i="262"/>
  <c r="L53" i="262"/>
  <c r="F53" i="262"/>
  <c r="G53" i="262" s="1"/>
  <c r="B53" i="262"/>
  <c r="Z52" i="262"/>
  <c r="Y52" i="262"/>
  <c r="X52" i="262"/>
  <c r="W52" i="262"/>
  <c r="V52" i="262"/>
  <c r="U52" i="262"/>
  <c r="T52" i="262"/>
  <c r="S52" i="262"/>
  <c r="R52" i="262"/>
  <c r="M52" i="262"/>
  <c r="L52" i="262"/>
  <c r="F52" i="262"/>
  <c r="G52" i="262" s="1"/>
  <c r="B52" i="262"/>
  <c r="Z51" i="262"/>
  <c r="Y51" i="262"/>
  <c r="X51" i="262"/>
  <c r="W51" i="262"/>
  <c r="V51" i="262"/>
  <c r="U51" i="262"/>
  <c r="T51" i="262"/>
  <c r="S51" i="262"/>
  <c r="R51" i="262"/>
  <c r="M51" i="262"/>
  <c r="L51" i="262"/>
  <c r="F51" i="262"/>
  <c r="G51" i="262" s="1"/>
  <c r="B51" i="262"/>
  <c r="Z50" i="262"/>
  <c r="Y50" i="262"/>
  <c r="X50" i="262"/>
  <c r="W50" i="262"/>
  <c r="V50" i="262"/>
  <c r="U50" i="262"/>
  <c r="T50" i="262"/>
  <c r="S50" i="262"/>
  <c r="R50" i="262"/>
  <c r="M50" i="262"/>
  <c r="L50" i="262"/>
  <c r="F50" i="262"/>
  <c r="G50" i="262" s="1"/>
  <c r="B50" i="262"/>
  <c r="Z49" i="262"/>
  <c r="Y49" i="262"/>
  <c r="X49" i="262"/>
  <c r="W49" i="262"/>
  <c r="V49" i="262"/>
  <c r="U49" i="262"/>
  <c r="T49" i="262"/>
  <c r="S49" i="262"/>
  <c r="R49" i="262"/>
  <c r="M49" i="262"/>
  <c r="L49" i="262"/>
  <c r="F49" i="262"/>
  <c r="G49" i="262" s="1"/>
  <c r="B49" i="262"/>
  <c r="Z48" i="262"/>
  <c r="Y48" i="262"/>
  <c r="X48" i="262"/>
  <c r="W48" i="262"/>
  <c r="V48" i="262"/>
  <c r="U48" i="262"/>
  <c r="T48" i="262"/>
  <c r="S48" i="262"/>
  <c r="R48" i="262"/>
  <c r="M48" i="262"/>
  <c r="L48" i="262"/>
  <c r="F48" i="262"/>
  <c r="G48" i="262" s="1"/>
  <c r="B48" i="262"/>
  <c r="Z47" i="262"/>
  <c r="Y47" i="262"/>
  <c r="X47" i="262"/>
  <c r="W47" i="262"/>
  <c r="V47" i="262"/>
  <c r="U47" i="262"/>
  <c r="T47" i="262"/>
  <c r="S47" i="262"/>
  <c r="R47" i="262"/>
  <c r="M47" i="262"/>
  <c r="L47" i="262"/>
  <c r="F47" i="262"/>
  <c r="G47" i="262" s="1"/>
  <c r="B47" i="262"/>
  <c r="Z46" i="262"/>
  <c r="Y46" i="262"/>
  <c r="X46" i="262"/>
  <c r="W46" i="262"/>
  <c r="V46" i="262"/>
  <c r="U46" i="262"/>
  <c r="T46" i="262"/>
  <c r="S46" i="262"/>
  <c r="R46" i="262"/>
  <c r="M46" i="262"/>
  <c r="L46" i="262"/>
  <c r="F46" i="262"/>
  <c r="G46" i="262" s="1"/>
  <c r="B46" i="262"/>
  <c r="Z45" i="262"/>
  <c r="Y45" i="262"/>
  <c r="X45" i="262"/>
  <c r="W45" i="262"/>
  <c r="V45" i="262"/>
  <c r="U45" i="262"/>
  <c r="T45" i="262"/>
  <c r="S45" i="262"/>
  <c r="R45" i="262"/>
  <c r="M45" i="262"/>
  <c r="L45" i="262"/>
  <c r="F45" i="262"/>
  <c r="G45" i="262" s="1"/>
  <c r="B45" i="262"/>
  <c r="Z44" i="262"/>
  <c r="Y44" i="262"/>
  <c r="X44" i="262"/>
  <c r="W44" i="262"/>
  <c r="V44" i="262"/>
  <c r="U44" i="262"/>
  <c r="T44" i="262"/>
  <c r="S44" i="262"/>
  <c r="R44" i="262"/>
  <c r="M44" i="262"/>
  <c r="L44" i="262"/>
  <c r="F44" i="262"/>
  <c r="G44" i="262" s="1"/>
  <c r="B44" i="262"/>
  <c r="Z43" i="262"/>
  <c r="Y43" i="262"/>
  <c r="X43" i="262"/>
  <c r="W43" i="262"/>
  <c r="V43" i="262"/>
  <c r="U43" i="262"/>
  <c r="T43" i="262"/>
  <c r="S43" i="262"/>
  <c r="R43" i="262"/>
  <c r="M43" i="262"/>
  <c r="L43" i="262"/>
  <c r="F43" i="262"/>
  <c r="G43" i="262" s="1"/>
  <c r="B43" i="262"/>
  <c r="Z42" i="262"/>
  <c r="Y42" i="262"/>
  <c r="X42" i="262"/>
  <c r="W42" i="262"/>
  <c r="V42" i="262"/>
  <c r="U42" i="262"/>
  <c r="T42" i="262"/>
  <c r="S42" i="262"/>
  <c r="R42" i="262"/>
  <c r="M42" i="262"/>
  <c r="L42" i="262"/>
  <c r="F42" i="262"/>
  <c r="G42" i="262" s="1"/>
  <c r="B42" i="262"/>
  <c r="Z41" i="262"/>
  <c r="Y41" i="262"/>
  <c r="X41" i="262"/>
  <c r="W41" i="262"/>
  <c r="V41" i="262"/>
  <c r="U41" i="262"/>
  <c r="T41" i="262"/>
  <c r="S41" i="262"/>
  <c r="R41" i="262"/>
  <c r="M41" i="262"/>
  <c r="L41" i="262"/>
  <c r="F41" i="262"/>
  <c r="G41" i="262" s="1"/>
  <c r="B41" i="262"/>
  <c r="Z40" i="262"/>
  <c r="Y40" i="262"/>
  <c r="X40" i="262"/>
  <c r="W40" i="262"/>
  <c r="V40" i="262"/>
  <c r="U40" i="262"/>
  <c r="T40" i="262"/>
  <c r="S40" i="262"/>
  <c r="R40" i="262"/>
  <c r="M40" i="262"/>
  <c r="L40" i="262"/>
  <c r="F40" i="262"/>
  <c r="G40" i="262" s="1"/>
  <c r="B40" i="262"/>
  <c r="Z39" i="262"/>
  <c r="Y39" i="262"/>
  <c r="X39" i="262"/>
  <c r="W39" i="262"/>
  <c r="V39" i="262"/>
  <c r="U39" i="262"/>
  <c r="T39" i="262"/>
  <c r="S39" i="262"/>
  <c r="R39" i="262"/>
  <c r="M39" i="262"/>
  <c r="L39" i="262"/>
  <c r="F39" i="262"/>
  <c r="G39" i="262" s="1"/>
  <c r="B39" i="262"/>
  <c r="Z38" i="262"/>
  <c r="Y38" i="262"/>
  <c r="X38" i="262"/>
  <c r="W38" i="262"/>
  <c r="V38" i="262"/>
  <c r="U38" i="262"/>
  <c r="T38" i="262"/>
  <c r="S38" i="262"/>
  <c r="R38" i="262"/>
  <c r="M38" i="262"/>
  <c r="L38" i="262"/>
  <c r="F38" i="262"/>
  <c r="G38" i="262" s="1"/>
  <c r="B38" i="262"/>
  <c r="Z37" i="262"/>
  <c r="Y37" i="262"/>
  <c r="X37" i="262"/>
  <c r="W37" i="262"/>
  <c r="V37" i="262"/>
  <c r="U37" i="262"/>
  <c r="T37" i="262"/>
  <c r="S37" i="262"/>
  <c r="R37" i="262"/>
  <c r="M37" i="262"/>
  <c r="L37" i="262"/>
  <c r="F37" i="262"/>
  <c r="G37" i="262" s="1"/>
  <c r="B37" i="262"/>
  <c r="Z36" i="262"/>
  <c r="Y36" i="262"/>
  <c r="X36" i="262"/>
  <c r="W36" i="262"/>
  <c r="V36" i="262"/>
  <c r="U36" i="262"/>
  <c r="T36" i="262"/>
  <c r="S36" i="262"/>
  <c r="R36" i="262"/>
  <c r="M36" i="262"/>
  <c r="L36" i="262"/>
  <c r="F36" i="262"/>
  <c r="G36" i="262" s="1"/>
  <c r="B36" i="262"/>
  <c r="Z35" i="262"/>
  <c r="Y35" i="262"/>
  <c r="X35" i="262"/>
  <c r="W35" i="262"/>
  <c r="V35" i="262"/>
  <c r="U35" i="262"/>
  <c r="T35" i="262"/>
  <c r="S35" i="262"/>
  <c r="R35" i="262"/>
  <c r="M35" i="262"/>
  <c r="L35" i="262"/>
  <c r="F35" i="262"/>
  <c r="G35" i="262" s="1"/>
  <c r="B35" i="262"/>
  <c r="Z34" i="262"/>
  <c r="Y34" i="262"/>
  <c r="X34" i="262"/>
  <c r="W34" i="262"/>
  <c r="V34" i="262"/>
  <c r="U34" i="262"/>
  <c r="T34" i="262"/>
  <c r="S34" i="262"/>
  <c r="R34" i="262"/>
  <c r="M34" i="262"/>
  <c r="L34" i="262"/>
  <c r="F34" i="262"/>
  <c r="G34" i="262" s="1"/>
  <c r="B34" i="262"/>
  <c r="Z33" i="262"/>
  <c r="Y33" i="262"/>
  <c r="X33" i="262"/>
  <c r="W33" i="262"/>
  <c r="V33" i="262"/>
  <c r="U33" i="262"/>
  <c r="T33" i="262"/>
  <c r="S33" i="262"/>
  <c r="R33" i="262"/>
  <c r="M33" i="262"/>
  <c r="L33" i="262"/>
  <c r="F33" i="262"/>
  <c r="G33" i="262" s="1"/>
  <c r="B33" i="262"/>
  <c r="Z32" i="262"/>
  <c r="Y32" i="262"/>
  <c r="X32" i="262"/>
  <c r="W32" i="262"/>
  <c r="V32" i="262"/>
  <c r="U32" i="262"/>
  <c r="T32" i="262"/>
  <c r="S32" i="262"/>
  <c r="R32" i="262"/>
  <c r="M32" i="262"/>
  <c r="L32" i="262"/>
  <c r="F32" i="262"/>
  <c r="G32" i="262" s="1"/>
  <c r="B32" i="262"/>
  <c r="Z31" i="262"/>
  <c r="Y31" i="262"/>
  <c r="X31" i="262"/>
  <c r="W31" i="262"/>
  <c r="V31" i="262"/>
  <c r="U31" i="262"/>
  <c r="T31" i="262"/>
  <c r="S31" i="262"/>
  <c r="R31" i="262"/>
  <c r="M31" i="262"/>
  <c r="L31" i="262"/>
  <c r="F31" i="262"/>
  <c r="G31" i="262" s="1"/>
  <c r="B31" i="262"/>
  <c r="Z30" i="262"/>
  <c r="Y30" i="262"/>
  <c r="X30" i="262"/>
  <c r="W30" i="262"/>
  <c r="V30" i="262"/>
  <c r="U30" i="262"/>
  <c r="T30" i="262"/>
  <c r="S30" i="262"/>
  <c r="R30" i="262"/>
  <c r="M30" i="262"/>
  <c r="L30" i="262"/>
  <c r="F30" i="262"/>
  <c r="G30" i="262" s="1"/>
  <c r="B30" i="262"/>
  <c r="Z29" i="262"/>
  <c r="Y29" i="262"/>
  <c r="X29" i="262"/>
  <c r="W29" i="262"/>
  <c r="V29" i="262"/>
  <c r="U29" i="262"/>
  <c r="T29" i="262"/>
  <c r="S29" i="262"/>
  <c r="R29" i="262"/>
  <c r="M29" i="262"/>
  <c r="L29" i="262"/>
  <c r="F29" i="262"/>
  <c r="G29" i="262" s="1"/>
  <c r="B29" i="262"/>
  <c r="Z28" i="262"/>
  <c r="Y28" i="262"/>
  <c r="X28" i="262"/>
  <c r="W28" i="262"/>
  <c r="V28" i="262"/>
  <c r="U28" i="262"/>
  <c r="T28" i="262"/>
  <c r="S28" i="262"/>
  <c r="R28" i="262"/>
  <c r="M28" i="262"/>
  <c r="L28" i="262"/>
  <c r="F28" i="262"/>
  <c r="G28" i="262" s="1"/>
  <c r="B28" i="262"/>
  <c r="Z27" i="262"/>
  <c r="Y27" i="262"/>
  <c r="X27" i="262"/>
  <c r="W27" i="262"/>
  <c r="V27" i="262"/>
  <c r="U27" i="262"/>
  <c r="T27" i="262"/>
  <c r="S27" i="262"/>
  <c r="R27" i="262"/>
  <c r="M27" i="262"/>
  <c r="L27" i="262"/>
  <c r="F27" i="262"/>
  <c r="G27" i="262" s="1"/>
  <c r="B27" i="262"/>
  <c r="Z26" i="262"/>
  <c r="Y26" i="262"/>
  <c r="X26" i="262"/>
  <c r="W26" i="262"/>
  <c r="V26" i="262"/>
  <c r="U26" i="262"/>
  <c r="T26" i="262"/>
  <c r="S26" i="262"/>
  <c r="R26" i="262"/>
  <c r="M26" i="262"/>
  <c r="L26" i="262"/>
  <c r="F26" i="262"/>
  <c r="G26" i="262" s="1"/>
  <c r="B26" i="262"/>
  <c r="Z25" i="262"/>
  <c r="Y25" i="262"/>
  <c r="X25" i="262"/>
  <c r="W25" i="262"/>
  <c r="V25" i="262"/>
  <c r="U25" i="262"/>
  <c r="T25" i="262"/>
  <c r="S25" i="262"/>
  <c r="R25" i="262"/>
  <c r="M25" i="262"/>
  <c r="L25" i="262"/>
  <c r="F25" i="262"/>
  <c r="G25" i="262" s="1"/>
  <c r="B25" i="262"/>
  <c r="Z24" i="262"/>
  <c r="Y24" i="262"/>
  <c r="X24" i="262"/>
  <c r="W24" i="262"/>
  <c r="V24" i="262"/>
  <c r="U24" i="262"/>
  <c r="T24" i="262"/>
  <c r="S24" i="262"/>
  <c r="R24" i="262"/>
  <c r="M24" i="262"/>
  <c r="L24" i="262"/>
  <c r="F24" i="262"/>
  <c r="G24" i="262" s="1"/>
  <c r="B24" i="262"/>
  <c r="Z23" i="262"/>
  <c r="Y23" i="262"/>
  <c r="X23" i="262"/>
  <c r="W23" i="262"/>
  <c r="V23" i="262"/>
  <c r="U23" i="262"/>
  <c r="T23" i="262"/>
  <c r="S23" i="262"/>
  <c r="R23" i="262"/>
  <c r="M23" i="262"/>
  <c r="L23" i="262"/>
  <c r="F23" i="262"/>
  <c r="G23" i="262" s="1"/>
  <c r="B23" i="262"/>
  <c r="Z22" i="262"/>
  <c r="Y22" i="262"/>
  <c r="X22" i="262"/>
  <c r="W22" i="262"/>
  <c r="V22" i="262"/>
  <c r="U22" i="262"/>
  <c r="T22" i="262"/>
  <c r="S22" i="262"/>
  <c r="R22" i="262"/>
  <c r="M22" i="262"/>
  <c r="L22" i="262"/>
  <c r="F22" i="262"/>
  <c r="G22" i="262" s="1"/>
  <c r="B22" i="262"/>
  <c r="Z21" i="262"/>
  <c r="Y21" i="262"/>
  <c r="X21" i="262"/>
  <c r="W21" i="262"/>
  <c r="V21" i="262"/>
  <c r="U21" i="262"/>
  <c r="T21" i="262"/>
  <c r="S21" i="262"/>
  <c r="R21" i="262"/>
  <c r="M21" i="262"/>
  <c r="L21" i="262"/>
  <c r="F21" i="262"/>
  <c r="G21" i="262" s="1"/>
  <c r="B21" i="262"/>
  <c r="Z20" i="262"/>
  <c r="Y20" i="262"/>
  <c r="X20" i="262"/>
  <c r="W20" i="262"/>
  <c r="V20" i="262"/>
  <c r="U20" i="262"/>
  <c r="T20" i="262"/>
  <c r="S20" i="262"/>
  <c r="R20" i="262"/>
  <c r="M20" i="262"/>
  <c r="L20" i="262"/>
  <c r="F20" i="262"/>
  <c r="G20" i="262" s="1"/>
  <c r="B20" i="262"/>
  <c r="Z19" i="262"/>
  <c r="Y19" i="262"/>
  <c r="X19" i="262"/>
  <c r="W19" i="262"/>
  <c r="V19" i="262"/>
  <c r="U19" i="262"/>
  <c r="T19" i="262"/>
  <c r="S19" i="262"/>
  <c r="R19" i="262"/>
  <c r="M19" i="262"/>
  <c r="L19" i="262"/>
  <c r="F19" i="262"/>
  <c r="G19" i="262" s="1"/>
  <c r="B19" i="262"/>
  <c r="Z18" i="262"/>
  <c r="Y18" i="262"/>
  <c r="X18" i="262"/>
  <c r="W18" i="262"/>
  <c r="V18" i="262"/>
  <c r="U18" i="262"/>
  <c r="T18" i="262"/>
  <c r="S18" i="262"/>
  <c r="R18" i="262"/>
  <c r="M18" i="262"/>
  <c r="L18" i="262"/>
  <c r="F18" i="262"/>
  <c r="G18" i="262" s="1"/>
  <c r="B18" i="262"/>
  <c r="Z17" i="262"/>
  <c r="Y17" i="262"/>
  <c r="X17" i="262"/>
  <c r="W17" i="262"/>
  <c r="V17" i="262"/>
  <c r="U17" i="262"/>
  <c r="T17" i="262"/>
  <c r="S17" i="262"/>
  <c r="R17" i="262"/>
  <c r="M17" i="262"/>
  <c r="L17" i="262"/>
  <c r="F17" i="262"/>
  <c r="G17" i="262" s="1"/>
  <c r="B17" i="262"/>
  <c r="Z16" i="262"/>
  <c r="Y16" i="262"/>
  <c r="X16" i="262"/>
  <c r="W16" i="262"/>
  <c r="V16" i="262"/>
  <c r="U16" i="262"/>
  <c r="T16" i="262"/>
  <c r="S16" i="262"/>
  <c r="R16" i="262"/>
  <c r="M16" i="262"/>
  <c r="L16" i="262"/>
  <c r="F16" i="262"/>
  <c r="G16" i="262" s="1"/>
  <c r="B16" i="262"/>
  <c r="Z15" i="262"/>
  <c r="Z78" i="262" s="1"/>
  <c r="Y15" i="262"/>
  <c r="Y78" i="262" s="1"/>
  <c r="X15" i="262"/>
  <c r="X78" i="262" s="1"/>
  <c r="W15" i="262"/>
  <c r="W78" i="262" s="1"/>
  <c r="V15" i="262"/>
  <c r="U15" i="262"/>
  <c r="U78" i="262" s="1"/>
  <c r="T15" i="262"/>
  <c r="T78" i="262" s="1"/>
  <c r="S15" i="262"/>
  <c r="S78" i="262" s="1"/>
  <c r="R15" i="262"/>
  <c r="M15" i="262"/>
  <c r="L15" i="262"/>
  <c r="F15" i="262"/>
  <c r="G15" i="262" s="1"/>
  <c r="B15" i="262"/>
  <c r="Z14" i="262"/>
  <c r="Y14" i="262"/>
  <c r="X14" i="262"/>
  <c r="W14" i="262"/>
  <c r="V14" i="262"/>
  <c r="U14" i="262"/>
  <c r="T14" i="262"/>
  <c r="S14" i="262"/>
  <c r="R14" i="262"/>
  <c r="F9" i="262"/>
  <c r="AH8" i="262"/>
  <c r="R8" i="262"/>
  <c r="F8" i="262"/>
  <c r="AH7" i="262"/>
  <c r="AH6" i="262"/>
  <c r="AH32" i="266"/>
  <c r="AI25" i="266"/>
  <c r="AI24" i="266"/>
  <c r="AH24" i="266"/>
  <c r="AI23" i="266"/>
  <c r="AI22" i="266"/>
  <c r="AB21" i="266"/>
  <c r="AA21" i="266"/>
  <c r="J21" i="266"/>
  <c r="I21" i="266"/>
  <c r="H21" i="266"/>
  <c r="Z20" i="266"/>
  <c r="Y20" i="266"/>
  <c r="X20" i="266"/>
  <c r="W20" i="266"/>
  <c r="V20" i="266"/>
  <c r="U20" i="266"/>
  <c r="T20" i="266"/>
  <c r="S20" i="266"/>
  <c r="R20" i="266"/>
  <c r="M20" i="266"/>
  <c r="L20" i="266"/>
  <c r="F20" i="266"/>
  <c r="G20" i="266" s="1"/>
  <c r="B20" i="266"/>
  <c r="Z19" i="266"/>
  <c r="Y19" i="266"/>
  <c r="X19" i="266"/>
  <c r="W19" i="266"/>
  <c r="V19" i="266"/>
  <c r="U19" i="266"/>
  <c r="T19" i="266"/>
  <c r="S19" i="266"/>
  <c r="R19" i="266"/>
  <c r="M19" i="266"/>
  <c r="L19" i="266"/>
  <c r="F19" i="266"/>
  <c r="G19" i="266" s="1"/>
  <c r="B19" i="266"/>
  <c r="Z18" i="266"/>
  <c r="Y18" i="266"/>
  <c r="X18" i="266"/>
  <c r="W18" i="266"/>
  <c r="V18" i="266"/>
  <c r="U18" i="266"/>
  <c r="T18" i="266"/>
  <c r="S18" i="266"/>
  <c r="R18" i="266"/>
  <c r="M18" i="266"/>
  <c r="L18" i="266"/>
  <c r="F18" i="266"/>
  <c r="G18" i="266" s="1"/>
  <c r="B18" i="266"/>
  <c r="Z17" i="266"/>
  <c r="Y17" i="266"/>
  <c r="X17" i="266"/>
  <c r="W17" i="266"/>
  <c r="V17" i="266"/>
  <c r="U17" i="266"/>
  <c r="T17" i="266"/>
  <c r="S17" i="266"/>
  <c r="R17" i="266"/>
  <c r="M17" i="266"/>
  <c r="L17" i="266"/>
  <c r="F17" i="266"/>
  <c r="G17" i="266" s="1"/>
  <c r="B17" i="266"/>
  <c r="Z16" i="266"/>
  <c r="Y16" i="266"/>
  <c r="X16" i="266"/>
  <c r="W16" i="266"/>
  <c r="V16" i="266"/>
  <c r="U16" i="266"/>
  <c r="T16" i="266"/>
  <c r="S16" i="266"/>
  <c r="R16" i="266"/>
  <c r="M16" i="266"/>
  <c r="L16" i="266"/>
  <c r="F16" i="266"/>
  <c r="G16" i="266" s="1"/>
  <c r="B16" i="266"/>
  <c r="Z15" i="266"/>
  <c r="Y15" i="266"/>
  <c r="X15" i="266"/>
  <c r="W15" i="266"/>
  <c r="V15" i="266"/>
  <c r="V111" i="266" s="1"/>
  <c r="U15" i="266"/>
  <c r="T15" i="266"/>
  <c r="S15" i="266"/>
  <c r="R15" i="266"/>
  <c r="M15" i="266"/>
  <c r="L15" i="266"/>
  <c r="F15" i="266"/>
  <c r="G15" i="266" s="1"/>
  <c r="B15" i="266"/>
  <c r="Z14" i="266"/>
  <c r="Z21" i="266" s="1"/>
  <c r="Y14" i="266"/>
  <c r="Y21" i="266" s="1"/>
  <c r="X14" i="266"/>
  <c r="X21" i="266" s="1"/>
  <c r="W14" i="266"/>
  <c r="W21" i="266" s="1"/>
  <c r="V14" i="266"/>
  <c r="V21" i="266" s="1"/>
  <c r="U14" i="266"/>
  <c r="U21" i="266" s="1"/>
  <c r="T14" i="266"/>
  <c r="T21" i="266" s="1"/>
  <c r="S14" i="266"/>
  <c r="S21" i="266" s="1"/>
  <c r="R14" i="266"/>
  <c r="M14" i="266"/>
  <c r="L14" i="266"/>
  <c r="F14" i="266"/>
  <c r="G14" i="266" s="1"/>
  <c r="B14" i="266"/>
  <c r="F9" i="266"/>
  <c r="AI8" i="266"/>
  <c r="F8" i="266"/>
  <c r="AI7" i="266"/>
  <c r="AI6" i="266"/>
  <c r="AH96" i="264"/>
  <c r="AI89" i="264"/>
  <c r="AI88" i="264"/>
  <c r="AH88" i="264"/>
  <c r="AI87" i="264"/>
  <c r="AI86" i="264"/>
  <c r="AF85" i="264"/>
  <c r="AB85" i="264"/>
  <c r="AA85" i="264"/>
  <c r="J85" i="264"/>
  <c r="I85" i="264"/>
  <c r="H85" i="264"/>
  <c r="AF84" i="264"/>
  <c r="Z84" i="264"/>
  <c r="Y84" i="264"/>
  <c r="X84" i="264"/>
  <c r="W84" i="264"/>
  <c r="V84" i="264"/>
  <c r="U84" i="264"/>
  <c r="T84" i="264"/>
  <c r="S84" i="264"/>
  <c r="R84" i="264"/>
  <c r="M84" i="264"/>
  <c r="L84" i="264"/>
  <c r="F84" i="264"/>
  <c r="G84" i="264" s="1"/>
  <c r="B84" i="264"/>
  <c r="AF83" i="264"/>
  <c r="Z83" i="264"/>
  <c r="Y83" i="264"/>
  <c r="X83" i="264"/>
  <c r="W83" i="264"/>
  <c r="V83" i="264"/>
  <c r="U83" i="264"/>
  <c r="T83" i="264"/>
  <c r="S83" i="264"/>
  <c r="R83" i="264"/>
  <c r="M83" i="264"/>
  <c r="L83" i="264"/>
  <c r="F83" i="264"/>
  <c r="G83" i="264" s="1"/>
  <c r="B83" i="264"/>
  <c r="AF82" i="264"/>
  <c r="Z82" i="264"/>
  <c r="Y82" i="264"/>
  <c r="X82" i="264"/>
  <c r="W82" i="264"/>
  <c r="V82" i="264"/>
  <c r="U82" i="264"/>
  <c r="T82" i="264"/>
  <c r="S82" i="264"/>
  <c r="R82" i="264"/>
  <c r="M82" i="264"/>
  <c r="L82" i="264"/>
  <c r="F82" i="264"/>
  <c r="G82" i="264" s="1"/>
  <c r="B82" i="264"/>
  <c r="AF81" i="264"/>
  <c r="Z81" i="264"/>
  <c r="Y81" i="264"/>
  <c r="X81" i="264"/>
  <c r="W81" i="264"/>
  <c r="V81" i="264"/>
  <c r="U81" i="264"/>
  <c r="T81" i="264"/>
  <c r="S81" i="264"/>
  <c r="R81" i="264"/>
  <c r="M81" i="264"/>
  <c r="L81" i="264"/>
  <c r="F81" i="264"/>
  <c r="G81" i="264" s="1"/>
  <c r="B81" i="264"/>
  <c r="AF80" i="264"/>
  <c r="Z80" i="264"/>
  <c r="Y80" i="264"/>
  <c r="X80" i="264"/>
  <c r="W80" i="264"/>
  <c r="V80" i="264"/>
  <c r="U80" i="264"/>
  <c r="T80" i="264"/>
  <c r="S80" i="264"/>
  <c r="R80" i="264"/>
  <c r="M80" i="264"/>
  <c r="L80" i="264"/>
  <c r="F80" i="264"/>
  <c r="G80" i="264" s="1"/>
  <c r="B80" i="264"/>
  <c r="AF79" i="264"/>
  <c r="Z79" i="264"/>
  <c r="Y79" i="264"/>
  <c r="X79" i="264"/>
  <c r="W79" i="264"/>
  <c r="V79" i="264"/>
  <c r="U79" i="264"/>
  <c r="T79" i="264"/>
  <c r="S79" i="264"/>
  <c r="R79" i="264"/>
  <c r="M79" i="264"/>
  <c r="L79" i="264"/>
  <c r="F79" i="264"/>
  <c r="G79" i="264" s="1"/>
  <c r="B79" i="264"/>
  <c r="AF78" i="264"/>
  <c r="Z78" i="264"/>
  <c r="Y78" i="264"/>
  <c r="X78" i="264"/>
  <c r="W78" i="264"/>
  <c r="V78" i="264"/>
  <c r="U78" i="264"/>
  <c r="T78" i="264"/>
  <c r="S78" i="264"/>
  <c r="R78" i="264"/>
  <c r="M78" i="264"/>
  <c r="L78" i="264"/>
  <c r="F78" i="264"/>
  <c r="G78" i="264" s="1"/>
  <c r="B78" i="264"/>
  <c r="AF77" i="264"/>
  <c r="Z77" i="264"/>
  <c r="Y77" i="264"/>
  <c r="X77" i="264"/>
  <c r="W77" i="264"/>
  <c r="V77" i="264"/>
  <c r="U77" i="264"/>
  <c r="T77" i="264"/>
  <c r="S77" i="264"/>
  <c r="R77" i="264"/>
  <c r="M77" i="264"/>
  <c r="L77" i="264"/>
  <c r="F77" i="264"/>
  <c r="G77" i="264" s="1"/>
  <c r="B77" i="264"/>
  <c r="AF76" i="264"/>
  <c r="Z76" i="264"/>
  <c r="Y76" i="264"/>
  <c r="X76" i="264"/>
  <c r="W76" i="264"/>
  <c r="V76" i="264"/>
  <c r="U76" i="264"/>
  <c r="T76" i="264"/>
  <c r="S76" i="264"/>
  <c r="R76" i="264"/>
  <c r="M76" i="264"/>
  <c r="L76" i="264"/>
  <c r="F76" i="264"/>
  <c r="G76" i="264" s="1"/>
  <c r="B76" i="264"/>
  <c r="AF75" i="264"/>
  <c r="Z75" i="264"/>
  <c r="Y75" i="264"/>
  <c r="X75" i="264"/>
  <c r="W75" i="264"/>
  <c r="V75" i="264"/>
  <c r="U75" i="264"/>
  <c r="T75" i="264"/>
  <c r="S75" i="264"/>
  <c r="R75" i="264"/>
  <c r="M75" i="264"/>
  <c r="L75" i="264"/>
  <c r="F75" i="264"/>
  <c r="G75" i="264" s="1"/>
  <c r="B75" i="264"/>
  <c r="AF74" i="264"/>
  <c r="Z74" i="264"/>
  <c r="Y74" i="264"/>
  <c r="X74" i="264"/>
  <c r="W74" i="264"/>
  <c r="V74" i="264"/>
  <c r="U74" i="264"/>
  <c r="T74" i="264"/>
  <c r="S74" i="264"/>
  <c r="R74" i="264"/>
  <c r="M74" i="264"/>
  <c r="L74" i="264"/>
  <c r="F74" i="264"/>
  <c r="G74" i="264" s="1"/>
  <c r="B74" i="264"/>
  <c r="AF73" i="264"/>
  <c r="Z73" i="264"/>
  <c r="Y73" i="264"/>
  <c r="X73" i="264"/>
  <c r="W73" i="264"/>
  <c r="V73" i="264"/>
  <c r="U73" i="264"/>
  <c r="T73" i="264"/>
  <c r="S73" i="264"/>
  <c r="R73" i="264"/>
  <c r="M73" i="264"/>
  <c r="L73" i="264"/>
  <c r="F73" i="264"/>
  <c r="G73" i="264" s="1"/>
  <c r="B73" i="264"/>
  <c r="AF72" i="264"/>
  <c r="Z72" i="264"/>
  <c r="Y72" i="264"/>
  <c r="X72" i="264"/>
  <c r="W72" i="264"/>
  <c r="V72" i="264"/>
  <c r="U72" i="264"/>
  <c r="T72" i="264"/>
  <c r="S72" i="264"/>
  <c r="R72" i="264"/>
  <c r="M72" i="264"/>
  <c r="L72" i="264"/>
  <c r="F72" i="264"/>
  <c r="G72" i="264" s="1"/>
  <c r="B72" i="264"/>
  <c r="AF71" i="264"/>
  <c r="Z71" i="264"/>
  <c r="Y71" i="264"/>
  <c r="X71" i="264"/>
  <c r="W71" i="264"/>
  <c r="V71" i="264"/>
  <c r="U71" i="264"/>
  <c r="T71" i="264"/>
  <c r="S71" i="264"/>
  <c r="R71" i="264"/>
  <c r="M71" i="264"/>
  <c r="L71" i="264"/>
  <c r="F71" i="264"/>
  <c r="G71" i="264" s="1"/>
  <c r="B71" i="264"/>
  <c r="AF70" i="264"/>
  <c r="Z70" i="264"/>
  <c r="Y70" i="264"/>
  <c r="X70" i="264"/>
  <c r="W70" i="264"/>
  <c r="V70" i="264"/>
  <c r="U70" i="264"/>
  <c r="T70" i="264"/>
  <c r="S70" i="264"/>
  <c r="R70" i="264"/>
  <c r="M70" i="264"/>
  <c r="L70" i="264"/>
  <c r="F70" i="264"/>
  <c r="G70" i="264" s="1"/>
  <c r="B70" i="264"/>
  <c r="AF69" i="264"/>
  <c r="Z69" i="264"/>
  <c r="Y69" i="264"/>
  <c r="X69" i="264"/>
  <c r="W69" i="264"/>
  <c r="V69" i="264"/>
  <c r="U69" i="264"/>
  <c r="T69" i="264"/>
  <c r="S69" i="264"/>
  <c r="R69" i="264"/>
  <c r="M69" i="264"/>
  <c r="L69" i="264"/>
  <c r="F69" i="264"/>
  <c r="G69" i="264" s="1"/>
  <c r="B69" i="264"/>
  <c r="AF68" i="264"/>
  <c r="Z68" i="264"/>
  <c r="Y68" i="264"/>
  <c r="X68" i="264"/>
  <c r="W68" i="264"/>
  <c r="V68" i="264"/>
  <c r="U68" i="264"/>
  <c r="T68" i="264"/>
  <c r="S68" i="264"/>
  <c r="R68" i="264"/>
  <c r="M68" i="264"/>
  <c r="L68" i="264"/>
  <c r="F68" i="264"/>
  <c r="G68" i="264" s="1"/>
  <c r="B68" i="264"/>
  <c r="AF67" i="264"/>
  <c r="Z67" i="264"/>
  <c r="Y67" i="264"/>
  <c r="X67" i="264"/>
  <c r="W67" i="264"/>
  <c r="V67" i="264"/>
  <c r="U67" i="264"/>
  <c r="T67" i="264"/>
  <c r="S67" i="264"/>
  <c r="R67" i="264"/>
  <c r="M67" i="264"/>
  <c r="L67" i="264"/>
  <c r="F67" i="264"/>
  <c r="G67" i="264" s="1"/>
  <c r="B67" i="264"/>
  <c r="AF66" i="264"/>
  <c r="Z66" i="264"/>
  <c r="Y66" i="264"/>
  <c r="X66" i="264"/>
  <c r="W66" i="264"/>
  <c r="V66" i="264"/>
  <c r="U66" i="264"/>
  <c r="T66" i="264"/>
  <c r="S66" i="264"/>
  <c r="R66" i="264"/>
  <c r="M66" i="264"/>
  <c r="L66" i="264"/>
  <c r="F66" i="264"/>
  <c r="G66" i="264" s="1"/>
  <c r="B66" i="264"/>
  <c r="AF65" i="264"/>
  <c r="Z65" i="264"/>
  <c r="Y65" i="264"/>
  <c r="X65" i="264"/>
  <c r="W65" i="264"/>
  <c r="V65" i="264"/>
  <c r="U65" i="264"/>
  <c r="T65" i="264"/>
  <c r="S65" i="264"/>
  <c r="R65" i="264"/>
  <c r="M65" i="264"/>
  <c r="L65" i="264"/>
  <c r="F65" i="264"/>
  <c r="G65" i="264" s="1"/>
  <c r="B65" i="264"/>
  <c r="AF64" i="264"/>
  <c r="Z64" i="264"/>
  <c r="Y64" i="264"/>
  <c r="X64" i="264"/>
  <c r="W64" i="264"/>
  <c r="V64" i="264"/>
  <c r="U64" i="264"/>
  <c r="T64" i="264"/>
  <c r="S64" i="264"/>
  <c r="R64" i="264"/>
  <c r="M64" i="264"/>
  <c r="L64" i="264"/>
  <c r="F64" i="264"/>
  <c r="G64" i="264" s="1"/>
  <c r="B64" i="264"/>
  <c r="AF63" i="264"/>
  <c r="Z63" i="264"/>
  <c r="Y63" i="264"/>
  <c r="X63" i="264"/>
  <c r="W63" i="264"/>
  <c r="V63" i="264"/>
  <c r="U63" i="264"/>
  <c r="T63" i="264"/>
  <c r="S63" i="264"/>
  <c r="R63" i="264"/>
  <c r="M63" i="264"/>
  <c r="L63" i="264"/>
  <c r="F63" i="264"/>
  <c r="G63" i="264" s="1"/>
  <c r="B63" i="264"/>
  <c r="AF62" i="264"/>
  <c r="Z62" i="264"/>
  <c r="Y62" i="264"/>
  <c r="X62" i="264"/>
  <c r="W62" i="264"/>
  <c r="V62" i="264"/>
  <c r="U62" i="264"/>
  <c r="T62" i="264"/>
  <c r="S62" i="264"/>
  <c r="R62" i="264"/>
  <c r="M62" i="264"/>
  <c r="L62" i="264"/>
  <c r="F62" i="264"/>
  <c r="G62" i="264" s="1"/>
  <c r="B62" i="264"/>
  <c r="AF61" i="264"/>
  <c r="Z61" i="264"/>
  <c r="Y61" i="264"/>
  <c r="X61" i="264"/>
  <c r="W61" i="264"/>
  <c r="V61" i="264"/>
  <c r="U61" i="264"/>
  <c r="T61" i="264"/>
  <c r="S61" i="264"/>
  <c r="R61" i="264"/>
  <c r="M61" i="264"/>
  <c r="L61" i="264"/>
  <c r="F61" i="264"/>
  <c r="G61" i="264" s="1"/>
  <c r="B61" i="264"/>
  <c r="AF60" i="264"/>
  <c r="Z60" i="264"/>
  <c r="Y60" i="264"/>
  <c r="X60" i="264"/>
  <c r="W60" i="264"/>
  <c r="V60" i="264"/>
  <c r="U60" i="264"/>
  <c r="T60" i="264"/>
  <c r="S60" i="264"/>
  <c r="R60" i="264"/>
  <c r="M60" i="264"/>
  <c r="L60" i="264"/>
  <c r="F60" i="264"/>
  <c r="G60" i="264" s="1"/>
  <c r="B60" i="264"/>
  <c r="AF59" i="264"/>
  <c r="Z59" i="264"/>
  <c r="Y59" i="264"/>
  <c r="X59" i="264"/>
  <c r="W59" i="264"/>
  <c r="V59" i="264"/>
  <c r="U59" i="264"/>
  <c r="T59" i="264"/>
  <c r="S59" i="264"/>
  <c r="R59" i="264"/>
  <c r="M59" i="264"/>
  <c r="L59" i="264"/>
  <c r="F59" i="264"/>
  <c r="G59" i="264" s="1"/>
  <c r="B59" i="264"/>
  <c r="AF58" i="264"/>
  <c r="Z58" i="264"/>
  <c r="Y58" i="264"/>
  <c r="X58" i="264"/>
  <c r="W58" i="264"/>
  <c r="V58" i="264"/>
  <c r="U58" i="264"/>
  <c r="T58" i="264"/>
  <c r="S58" i="264"/>
  <c r="R58" i="264"/>
  <c r="M58" i="264"/>
  <c r="L58" i="264"/>
  <c r="F58" i="264"/>
  <c r="G58" i="264" s="1"/>
  <c r="B58" i="264"/>
  <c r="AF57" i="264"/>
  <c r="Z57" i="264"/>
  <c r="Y57" i="264"/>
  <c r="X57" i="264"/>
  <c r="W57" i="264"/>
  <c r="V57" i="264"/>
  <c r="U57" i="264"/>
  <c r="T57" i="264"/>
  <c r="S57" i="264"/>
  <c r="R57" i="264"/>
  <c r="M57" i="264"/>
  <c r="L57" i="264"/>
  <c r="F57" i="264"/>
  <c r="G57" i="264" s="1"/>
  <c r="B57" i="264"/>
  <c r="AF56" i="264"/>
  <c r="Z56" i="264"/>
  <c r="Y56" i="264"/>
  <c r="X56" i="264"/>
  <c r="W56" i="264"/>
  <c r="V56" i="264"/>
  <c r="U56" i="264"/>
  <c r="T56" i="264"/>
  <c r="S56" i="264"/>
  <c r="R56" i="264"/>
  <c r="M56" i="264"/>
  <c r="L56" i="264"/>
  <c r="F56" i="264"/>
  <c r="G56" i="264" s="1"/>
  <c r="B56" i="264"/>
  <c r="AF55" i="264"/>
  <c r="Z55" i="264"/>
  <c r="Y55" i="264"/>
  <c r="X55" i="264"/>
  <c r="W55" i="264"/>
  <c r="V55" i="264"/>
  <c r="U55" i="264"/>
  <c r="T55" i="264"/>
  <c r="S55" i="264"/>
  <c r="R55" i="264"/>
  <c r="M55" i="264"/>
  <c r="L55" i="264"/>
  <c r="F55" i="264"/>
  <c r="G55" i="264" s="1"/>
  <c r="B55" i="264"/>
  <c r="AF54" i="264"/>
  <c r="Z54" i="264"/>
  <c r="Y54" i="264"/>
  <c r="X54" i="264"/>
  <c r="W54" i="264"/>
  <c r="V54" i="264"/>
  <c r="U54" i="264"/>
  <c r="T54" i="264"/>
  <c r="S54" i="264"/>
  <c r="R54" i="264"/>
  <c r="M54" i="264"/>
  <c r="L54" i="264"/>
  <c r="F54" i="264"/>
  <c r="G54" i="264" s="1"/>
  <c r="B54" i="264"/>
  <c r="AF53" i="264"/>
  <c r="Z53" i="264"/>
  <c r="Y53" i="264"/>
  <c r="X53" i="264"/>
  <c r="W53" i="264"/>
  <c r="V53" i="264"/>
  <c r="U53" i="264"/>
  <c r="T53" i="264"/>
  <c r="S53" i="264"/>
  <c r="R53" i="264"/>
  <c r="M53" i="264"/>
  <c r="L53" i="264"/>
  <c r="F53" i="264"/>
  <c r="G53" i="264" s="1"/>
  <c r="B53" i="264"/>
  <c r="AF52" i="264"/>
  <c r="Z52" i="264"/>
  <c r="Y52" i="264"/>
  <c r="X52" i="264"/>
  <c r="W52" i="264"/>
  <c r="V52" i="264"/>
  <c r="U52" i="264"/>
  <c r="T52" i="264"/>
  <c r="S52" i="264"/>
  <c r="R52" i="264"/>
  <c r="M52" i="264"/>
  <c r="L52" i="264"/>
  <c r="F52" i="264"/>
  <c r="G52" i="264" s="1"/>
  <c r="B52" i="264"/>
  <c r="AF51" i="264"/>
  <c r="Z51" i="264"/>
  <c r="Y51" i="264"/>
  <c r="X51" i="264"/>
  <c r="W51" i="264"/>
  <c r="V51" i="264"/>
  <c r="U51" i="264"/>
  <c r="T51" i="264"/>
  <c r="S51" i="264"/>
  <c r="R51" i="264"/>
  <c r="M51" i="264"/>
  <c r="L51" i="264"/>
  <c r="F51" i="264"/>
  <c r="G51" i="264" s="1"/>
  <c r="B51" i="264"/>
  <c r="AF50" i="264"/>
  <c r="Z50" i="264"/>
  <c r="Y50" i="264"/>
  <c r="X50" i="264"/>
  <c r="W50" i="264"/>
  <c r="V50" i="264"/>
  <c r="U50" i="264"/>
  <c r="T50" i="264"/>
  <c r="S50" i="264"/>
  <c r="R50" i="264"/>
  <c r="M50" i="264"/>
  <c r="L50" i="264"/>
  <c r="F50" i="264"/>
  <c r="G50" i="264" s="1"/>
  <c r="B50" i="264"/>
  <c r="AF49" i="264"/>
  <c r="Z49" i="264"/>
  <c r="Y49" i="264"/>
  <c r="X49" i="264"/>
  <c r="W49" i="264"/>
  <c r="V49" i="264"/>
  <c r="U49" i="264"/>
  <c r="T49" i="264"/>
  <c r="S49" i="264"/>
  <c r="R49" i="264"/>
  <c r="M49" i="264"/>
  <c r="L49" i="264"/>
  <c r="F49" i="264"/>
  <c r="G49" i="264" s="1"/>
  <c r="B49" i="264"/>
  <c r="AF48" i="264"/>
  <c r="Z48" i="264"/>
  <c r="Y48" i="264"/>
  <c r="X48" i="264"/>
  <c r="W48" i="264"/>
  <c r="V48" i="264"/>
  <c r="U48" i="264"/>
  <c r="T48" i="264"/>
  <c r="S48" i="264"/>
  <c r="R48" i="264"/>
  <c r="M48" i="264"/>
  <c r="L48" i="264"/>
  <c r="F48" i="264"/>
  <c r="G48" i="264" s="1"/>
  <c r="B48" i="264"/>
  <c r="AF47" i="264"/>
  <c r="Z47" i="264"/>
  <c r="Y47" i="264"/>
  <c r="X47" i="264"/>
  <c r="W47" i="264"/>
  <c r="V47" i="264"/>
  <c r="U47" i="264"/>
  <c r="T47" i="264"/>
  <c r="S47" i="264"/>
  <c r="R47" i="264"/>
  <c r="M47" i="264"/>
  <c r="L47" i="264"/>
  <c r="F47" i="264"/>
  <c r="G47" i="264" s="1"/>
  <c r="B47" i="264"/>
  <c r="AF46" i="264"/>
  <c r="Z46" i="264"/>
  <c r="Y46" i="264"/>
  <c r="X46" i="264"/>
  <c r="W46" i="264"/>
  <c r="V46" i="264"/>
  <c r="U46" i="264"/>
  <c r="T46" i="264"/>
  <c r="S46" i="264"/>
  <c r="R46" i="264"/>
  <c r="M46" i="264"/>
  <c r="L46" i="264"/>
  <c r="F46" i="264"/>
  <c r="G46" i="264" s="1"/>
  <c r="B46" i="264"/>
  <c r="AF45" i="264"/>
  <c r="Z45" i="264"/>
  <c r="Y45" i="264"/>
  <c r="X45" i="264"/>
  <c r="W45" i="264"/>
  <c r="V45" i="264"/>
  <c r="U45" i="264"/>
  <c r="T45" i="264"/>
  <c r="S45" i="264"/>
  <c r="R45" i="264"/>
  <c r="M45" i="264"/>
  <c r="L45" i="264"/>
  <c r="F45" i="264"/>
  <c r="G45" i="264" s="1"/>
  <c r="B45" i="264"/>
  <c r="AF44" i="264"/>
  <c r="Z44" i="264"/>
  <c r="Y44" i="264"/>
  <c r="X44" i="264"/>
  <c r="W44" i="264"/>
  <c r="V44" i="264"/>
  <c r="U44" i="264"/>
  <c r="T44" i="264"/>
  <c r="S44" i="264"/>
  <c r="R44" i="264"/>
  <c r="M44" i="264"/>
  <c r="L44" i="264"/>
  <c r="F44" i="264"/>
  <c r="G44" i="264" s="1"/>
  <c r="B44" i="264"/>
  <c r="AF43" i="264"/>
  <c r="Z43" i="264"/>
  <c r="Y43" i="264"/>
  <c r="X43" i="264"/>
  <c r="W43" i="264"/>
  <c r="V43" i="264"/>
  <c r="U43" i="264"/>
  <c r="T43" i="264"/>
  <c r="S43" i="264"/>
  <c r="R43" i="264"/>
  <c r="M43" i="264"/>
  <c r="L43" i="264"/>
  <c r="F43" i="264"/>
  <c r="G43" i="264" s="1"/>
  <c r="B43" i="264"/>
  <c r="AF42" i="264"/>
  <c r="Z42" i="264"/>
  <c r="Y42" i="264"/>
  <c r="X42" i="264"/>
  <c r="W42" i="264"/>
  <c r="V42" i="264"/>
  <c r="U42" i="264"/>
  <c r="T42" i="264"/>
  <c r="S42" i="264"/>
  <c r="R42" i="264"/>
  <c r="M42" i="264"/>
  <c r="L42" i="264"/>
  <c r="F42" i="264"/>
  <c r="G42" i="264" s="1"/>
  <c r="B42" i="264"/>
  <c r="AF41" i="264"/>
  <c r="Z41" i="264"/>
  <c r="Y41" i="264"/>
  <c r="X41" i="264"/>
  <c r="W41" i="264"/>
  <c r="V41" i="264"/>
  <c r="U41" i="264"/>
  <c r="T41" i="264"/>
  <c r="S41" i="264"/>
  <c r="R41" i="264"/>
  <c r="M41" i="264"/>
  <c r="L41" i="264"/>
  <c r="F41" i="264"/>
  <c r="G41" i="264" s="1"/>
  <c r="B41" i="264"/>
  <c r="AF40" i="264"/>
  <c r="Z40" i="264"/>
  <c r="Y40" i="264"/>
  <c r="X40" i="264"/>
  <c r="W40" i="264"/>
  <c r="V40" i="264"/>
  <c r="U40" i="264"/>
  <c r="T40" i="264"/>
  <c r="S40" i="264"/>
  <c r="R40" i="264"/>
  <c r="M40" i="264"/>
  <c r="L40" i="264"/>
  <c r="F40" i="264"/>
  <c r="G40" i="264" s="1"/>
  <c r="B40" i="264"/>
  <c r="AF39" i="264"/>
  <c r="Z39" i="264"/>
  <c r="Y39" i="264"/>
  <c r="X39" i="264"/>
  <c r="W39" i="264"/>
  <c r="V39" i="264"/>
  <c r="U39" i="264"/>
  <c r="T39" i="264"/>
  <c r="S39" i="264"/>
  <c r="R39" i="264"/>
  <c r="M39" i="264"/>
  <c r="L39" i="264"/>
  <c r="F39" i="264"/>
  <c r="G39" i="264" s="1"/>
  <c r="B39" i="264"/>
  <c r="AF38" i="264"/>
  <c r="Z38" i="264"/>
  <c r="Y38" i="264"/>
  <c r="X38" i="264"/>
  <c r="W38" i="264"/>
  <c r="V38" i="264"/>
  <c r="U38" i="264"/>
  <c r="T38" i="264"/>
  <c r="S38" i="264"/>
  <c r="R38" i="264"/>
  <c r="M38" i="264"/>
  <c r="L38" i="264"/>
  <c r="F38" i="264"/>
  <c r="G38" i="264" s="1"/>
  <c r="B38" i="264"/>
  <c r="AF37" i="264"/>
  <c r="Z37" i="264"/>
  <c r="Y37" i="264"/>
  <c r="X37" i="264"/>
  <c r="W37" i="264"/>
  <c r="V37" i="264"/>
  <c r="U37" i="264"/>
  <c r="T37" i="264"/>
  <c r="S37" i="264"/>
  <c r="R37" i="264"/>
  <c r="M37" i="264"/>
  <c r="L37" i="264"/>
  <c r="F37" i="264"/>
  <c r="G37" i="264" s="1"/>
  <c r="B37" i="264"/>
  <c r="AF36" i="264"/>
  <c r="Z36" i="264"/>
  <c r="Y36" i="264"/>
  <c r="X36" i="264"/>
  <c r="W36" i="264"/>
  <c r="V36" i="264"/>
  <c r="U36" i="264"/>
  <c r="T36" i="264"/>
  <c r="S36" i="264"/>
  <c r="R36" i="264"/>
  <c r="M36" i="264"/>
  <c r="L36" i="264"/>
  <c r="F36" i="264"/>
  <c r="G36" i="264" s="1"/>
  <c r="B36" i="264"/>
  <c r="AF35" i="264"/>
  <c r="Z35" i="264"/>
  <c r="Y35" i="264"/>
  <c r="X35" i="264"/>
  <c r="W35" i="264"/>
  <c r="V35" i="264"/>
  <c r="U35" i="264"/>
  <c r="T35" i="264"/>
  <c r="S35" i="264"/>
  <c r="R35" i="264"/>
  <c r="M35" i="264"/>
  <c r="L35" i="264"/>
  <c r="F35" i="264"/>
  <c r="G35" i="264" s="1"/>
  <c r="B35" i="264"/>
  <c r="AF34" i="264"/>
  <c r="Z34" i="264"/>
  <c r="Y34" i="264"/>
  <c r="X34" i="264"/>
  <c r="W34" i="264"/>
  <c r="V34" i="264"/>
  <c r="U34" i="264"/>
  <c r="T34" i="264"/>
  <c r="S34" i="264"/>
  <c r="R34" i="264"/>
  <c r="M34" i="264"/>
  <c r="L34" i="264"/>
  <c r="F34" i="264"/>
  <c r="G34" i="264" s="1"/>
  <c r="B34" i="264"/>
  <c r="AF33" i="264"/>
  <c r="Z33" i="264"/>
  <c r="Y33" i="264"/>
  <c r="X33" i="264"/>
  <c r="W33" i="264"/>
  <c r="V33" i="264"/>
  <c r="U33" i="264"/>
  <c r="T33" i="264"/>
  <c r="S33" i="264"/>
  <c r="R33" i="264"/>
  <c r="M33" i="264"/>
  <c r="L33" i="264"/>
  <c r="F33" i="264"/>
  <c r="G33" i="264" s="1"/>
  <c r="B33" i="264"/>
  <c r="AF32" i="264"/>
  <c r="Z32" i="264"/>
  <c r="Y32" i="264"/>
  <c r="X32" i="264"/>
  <c r="W32" i="264"/>
  <c r="V32" i="264"/>
  <c r="U32" i="264"/>
  <c r="T32" i="264"/>
  <c r="S32" i="264"/>
  <c r="R32" i="264"/>
  <c r="M32" i="264"/>
  <c r="L32" i="264"/>
  <c r="F32" i="264"/>
  <c r="G32" i="264" s="1"/>
  <c r="B32" i="264"/>
  <c r="AF31" i="264"/>
  <c r="Z31" i="264"/>
  <c r="Y31" i="264"/>
  <c r="X31" i="264"/>
  <c r="W31" i="264"/>
  <c r="V31" i="264"/>
  <c r="U31" i="264"/>
  <c r="T31" i="264"/>
  <c r="S31" i="264"/>
  <c r="R31" i="264"/>
  <c r="M31" i="264"/>
  <c r="L31" i="264"/>
  <c r="F31" i="264"/>
  <c r="G31" i="264" s="1"/>
  <c r="B31" i="264"/>
  <c r="AF30" i="264"/>
  <c r="Z30" i="264"/>
  <c r="Y30" i="264"/>
  <c r="X30" i="264"/>
  <c r="W30" i="264"/>
  <c r="V30" i="264"/>
  <c r="U30" i="264"/>
  <c r="T30" i="264"/>
  <c r="S30" i="264"/>
  <c r="R30" i="264"/>
  <c r="M30" i="264"/>
  <c r="L30" i="264"/>
  <c r="F30" i="264"/>
  <c r="G30" i="264" s="1"/>
  <c r="B30" i="264"/>
  <c r="AF29" i="264"/>
  <c r="Z29" i="264"/>
  <c r="Y29" i="264"/>
  <c r="X29" i="264"/>
  <c r="W29" i="264"/>
  <c r="V29" i="264"/>
  <c r="U29" i="264"/>
  <c r="T29" i="264"/>
  <c r="S29" i="264"/>
  <c r="R29" i="264"/>
  <c r="M29" i="264"/>
  <c r="L29" i="264"/>
  <c r="F29" i="264"/>
  <c r="G29" i="264" s="1"/>
  <c r="B29" i="264"/>
  <c r="AF28" i="264"/>
  <c r="Z28" i="264"/>
  <c r="Y28" i="264"/>
  <c r="X28" i="264"/>
  <c r="W28" i="264"/>
  <c r="V28" i="264"/>
  <c r="U28" i="264"/>
  <c r="T28" i="264"/>
  <c r="S28" i="264"/>
  <c r="R28" i="264"/>
  <c r="M28" i="264"/>
  <c r="L28" i="264"/>
  <c r="F28" i="264"/>
  <c r="G28" i="264" s="1"/>
  <c r="B28" i="264"/>
  <c r="AF27" i="264"/>
  <c r="Z27" i="264"/>
  <c r="Y27" i="264"/>
  <c r="X27" i="264"/>
  <c r="W27" i="264"/>
  <c r="V27" i="264"/>
  <c r="U27" i="264"/>
  <c r="T27" i="264"/>
  <c r="S27" i="264"/>
  <c r="R27" i="264"/>
  <c r="M27" i="264"/>
  <c r="L27" i="264"/>
  <c r="F27" i="264"/>
  <c r="G27" i="264" s="1"/>
  <c r="B27" i="264"/>
  <c r="AF26" i="264"/>
  <c r="Z26" i="264"/>
  <c r="Y26" i="264"/>
  <c r="X26" i="264"/>
  <c r="W26" i="264"/>
  <c r="V26" i="264"/>
  <c r="U26" i="264"/>
  <c r="T26" i="264"/>
  <c r="S26" i="264"/>
  <c r="R26" i="264"/>
  <c r="M26" i="264"/>
  <c r="L26" i="264"/>
  <c r="F26" i="264"/>
  <c r="G26" i="264" s="1"/>
  <c r="B26" i="264"/>
  <c r="AF25" i="264"/>
  <c r="Z25" i="264"/>
  <c r="Y25" i="264"/>
  <c r="X25" i="264"/>
  <c r="W25" i="264"/>
  <c r="V25" i="264"/>
  <c r="U25" i="264"/>
  <c r="T25" i="264"/>
  <c r="S25" i="264"/>
  <c r="R25" i="264"/>
  <c r="M25" i="264"/>
  <c r="L25" i="264"/>
  <c r="F25" i="264"/>
  <c r="G25" i="264" s="1"/>
  <c r="B25" i="264"/>
  <c r="AF24" i="264"/>
  <c r="Z24" i="264"/>
  <c r="Y24" i="264"/>
  <c r="X24" i="264"/>
  <c r="W24" i="264"/>
  <c r="V24" i="264"/>
  <c r="U24" i="264"/>
  <c r="T24" i="264"/>
  <c r="S24" i="264"/>
  <c r="R24" i="264"/>
  <c r="M24" i="264"/>
  <c r="L24" i="264"/>
  <c r="F24" i="264"/>
  <c r="G24" i="264" s="1"/>
  <c r="B24" i="264"/>
  <c r="AF23" i="264"/>
  <c r="Z23" i="264"/>
  <c r="Y23" i="264"/>
  <c r="X23" i="264"/>
  <c r="W23" i="264"/>
  <c r="V23" i="264"/>
  <c r="U23" i="264"/>
  <c r="T23" i="264"/>
  <c r="S23" i="264"/>
  <c r="R23" i="264"/>
  <c r="M23" i="264"/>
  <c r="L23" i="264"/>
  <c r="F23" i="264"/>
  <c r="G23" i="264" s="1"/>
  <c r="B23" i="264"/>
  <c r="AF22" i="264"/>
  <c r="Z22" i="264"/>
  <c r="Y22" i="264"/>
  <c r="X22" i="264"/>
  <c r="W22" i="264"/>
  <c r="V22" i="264"/>
  <c r="U22" i="264"/>
  <c r="T22" i="264"/>
  <c r="S22" i="264"/>
  <c r="R22" i="264"/>
  <c r="M22" i="264"/>
  <c r="L22" i="264"/>
  <c r="F22" i="264"/>
  <c r="G22" i="264" s="1"/>
  <c r="B22" i="264"/>
  <c r="AF21" i="264"/>
  <c r="Z21" i="264"/>
  <c r="Y21" i="264"/>
  <c r="X21" i="264"/>
  <c r="W21" i="264"/>
  <c r="V21" i="264"/>
  <c r="U21" i="264"/>
  <c r="T21" i="264"/>
  <c r="S21" i="264"/>
  <c r="R21" i="264"/>
  <c r="M21" i="264"/>
  <c r="L21" i="264"/>
  <c r="F21" i="264"/>
  <c r="G21" i="264" s="1"/>
  <c r="B21" i="264"/>
  <c r="AF20" i="264"/>
  <c r="Z20" i="264"/>
  <c r="Y20" i="264"/>
  <c r="X20" i="264"/>
  <c r="W20" i="264"/>
  <c r="V20" i="264"/>
  <c r="U20" i="264"/>
  <c r="T20" i="264"/>
  <c r="S20" i="264"/>
  <c r="R20" i="264"/>
  <c r="M20" i="264"/>
  <c r="L20" i="264"/>
  <c r="F20" i="264"/>
  <c r="G20" i="264" s="1"/>
  <c r="B20" i="264"/>
  <c r="AF19" i="264"/>
  <c r="Z19" i="264"/>
  <c r="Y19" i="264"/>
  <c r="X19" i="264"/>
  <c r="W19" i="264"/>
  <c r="V19" i="264"/>
  <c r="U19" i="264"/>
  <c r="T19" i="264"/>
  <c r="S19" i="264"/>
  <c r="R19" i="264"/>
  <c r="M19" i="264"/>
  <c r="L19" i="264"/>
  <c r="F19" i="264"/>
  <c r="G19" i="264" s="1"/>
  <c r="B19" i="264"/>
  <c r="AF18" i="264"/>
  <c r="Z18" i="264"/>
  <c r="Y18" i="264"/>
  <c r="X18" i="264"/>
  <c r="W18" i="264"/>
  <c r="V18" i="264"/>
  <c r="U18" i="264"/>
  <c r="T18" i="264"/>
  <c r="S18" i="264"/>
  <c r="R18" i="264"/>
  <c r="M18" i="264"/>
  <c r="L18" i="264"/>
  <c r="F18" i="264"/>
  <c r="G18" i="264" s="1"/>
  <c r="B18" i="264"/>
  <c r="AI17" i="264"/>
  <c r="AF17" i="264"/>
  <c r="Z17" i="264"/>
  <c r="Y17" i="264"/>
  <c r="X17" i="264"/>
  <c r="W17" i="264"/>
  <c r="V17" i="264"/>
  <c r="U17" i="264"/>
  <c r="T17" i="264"/>
  <c r="S17" i="264"/>
  <c r="R17" i="264"/>
  <c r="M17" i="264"/>
  <c r="L17" i="264"/>
  <c r="F17" i="264"/>
  <c r="G17" i="264" s="1"/>
  <c r="B17" i="264"/>
  <c r="AF16" i="264"/>
  <c r="Z16" i="264"/>
  <c r="Y16" i="264"/>
  <c r="X16" i="264"/>
  <c r="W16" i="264"/>
  <c r="V16" i="264"/>
  <c r="U16" i="264"/>
  <c r="T16" i="264"/>
  <c r="S16" i="264"/>
  <c r="R16" i="264"/>
  <c r="M16" i="264"/>
  <c r="L16" i="264"/>
  <c r="F16" i="264"/>
  <c r="G16" i="264" s="1"/>
  <c r="B16" i="264"/>
  <c r="AF15" i="264"/>
  <c r="Z15" i="264"/>
  <c r="Y15" i="264"/>
  <c r="X15" i="264"/>
  <c r="W15" i="264"/>
  <c r="V15" i="264"/>
  <c r="V109" i="264" s="1"/>
  <c r="U15" i="264"/>
  <c r="T15" i="264"/>
  <c r="S15" i="264"/>
  <c r="R15" i="264"/>
  <c r="M15" i="264"/>
  <c r="L15" i="264"/>
  <c r="F15" i="264"/>
  <c r="G15" i="264" s="1"/>
  <c r="B15" i="264"/>
  <c r="AF14" i="264"/>
  <c r="Z14" i="264"/>
  <c r="Z85" i="264" s="1"/>
  <c r="Y14" i="264"/>
  <c r="Y85" i="264" s="1"/>
  <c r="X14" i="264"/>
  <c r="X85" i="264" s="1"/>
  <c r="W14" i="264"/>
  <c r="W85" i="264" s="1"/>
  <c r="V14" i="264"/>
  <c r="V85" i="264" s="1"/>
  <c r="U14" i="264"/>
  <c r="U85" i="264" s="1"/>
  <c r="T14" i="264"/>
  <c r="T85" i="264" s="1"/>
  <c r="S14" i="264"/>
  <c r="S85" i="264" s="1"/>
  <c r="R14" i="264"/>
  <c r="R85" i="264" s="1"/>
  <c r="M14" i="264"/>
  <c r="L14" i="264"/>
  <c r="F14" i="264"/>
  <c r="B14" i="264"/>
  <c r="F9" i="264"/>
  <c r="AI8" i="264"/>
  <c r="F8" i="264"/>
  <c r="AI7" i="264"/>
  <c r="AI6" i="264"/>
  <c r="AH110" i="265"/>
  <c r="AI103" i="265"/>
  <c r="AI102" i="265"/>
  <c r="AH102" i="265"/>
  <c r="AI101" i="265"/>
  <c r="AI100" i="265"/>
  <c r="AF99" i="265"/>
  <c r="AB99" i="265"/>
  <c r="AA99" i="265"/>
  <c r="J99" i="265"/>
  <c r="I99" i="265"/>
  <c r="H99" i="265"/>
  <c r="Z98" i="265"/>
  <c r="Y98" i="265"/>
  <c r="X98" i="265"/>
  <c r="W98" i="265"/>
  <c r="V98" i="265"/>
  <c r="U98" i="265"/>
  <c r="T98" i="265"/>
  <c r="S98" i="265"/>
  <c r="R98" i="265"/>
  <c r="P98" i="265"/>
  <c r="N98" i="265"/>
  <c r="M98" i="265"/>
  <c r="L98" i="265"/>
  <c r="K98" i="265"/>
  <c r="AI97" i="265" s="1"/>
  <c r="F98" i="265"/>
  <c r="G98" i="265" s="1"/>
  <c r="B98" i="265"/>
  <c r="Z97" i="265"/>
  <c r="Y97" i="265"/>
  <c r="X97" i="265"/>
  <c r="W97" i="265"/>
  <c r="V97" i="265"/>
  <c r="U97" i="265"/>
  <c r="T97" i="265"/>
  <c r="S97" i="265"/>
  <c r="R97" i="265"/>
  <c r="P97" i="265"/>
  <c r="M97" i="265"/>
  <c r="L97" i="265"/>
  <c r="F97" i="265"/>
  <c r="G97" i="265" s="1"/>
  <c r="B97" i="265"/>
  <c r="Z96" i="265"/>
  <c r="Y96" i="265"/>
  <c r="X96" i="265"/>
  <c r="W96" i="265"/>
  <c r="V96" i="265"/>
  <c r="U96" i="265"/>
  <c r="T96" i="265"/>
  <c r="S96" i="265"/>
  <c r="R96" i="265"/>
  <c r="P96" i="265"/>
  <c r="M96" i="265"/>
  <c r="L96" i="265"/>
  <c r="F96" i="265"/>
  <c r="G96" i="265" s="1"/>
  <c r="B96" i="265"/>
  <c r="Z95" i="265"/>
  <c r="Y95" i="265"/>
  <c r="X95" i="265"/>
  <c r="W95" i="265"/>
  <c r="V95" i="265"/>
  <c r="U95" i="265"/>
  <c r="T95" i="265"/>
  <c r="S95" i="265"/>
  <c r="R95" i="265"/>
  <c r="M95" i="265"/>
  <c r="L95" i="265"/>
  <c r="F95" i="265"/>
  <c r="G95" i="265" s="1"/>
  <c r="B95" i="265"/>
  <c r="Z94" i="265"/>
  <c r="Y94" i="265"/>
  <c r="X94" i="265"/>
  <c r="W94" i="265"/>
  <c r="V94" i="265"/>
  <c r="U94" i="265"/>
  <c r="T94" i="265"/>
  <c r="S94" i="265"/>
  <c r="R94" i="265"/>
  <c r="M94" i="265"/>
  <c r="L94" i="265"/>
  <c r="F94" i="265"/>
  <c r="G94" i="265" s="1"/>
  <c r="B94" i="265"/>
  <c r="Z93" i="265"/>
  <c r="Y93" i="265"/>
  <c r="X93" i="265"/>
  <c r="W93" i="265"/>
  <c r="V93" i="265"/>
  <c r="U93" i="265"/>
  <c r="T93" i="265"/>
  <c r="S93" i="265"/>
  <c r="R93" i="265"/>
  <c r="M93" i="265"/>
  <c r="L93" i="265"/>
  <c r="F93" i="265"/>
  <c r="G93" i="265" s="1"/>
  <c r="B93" i="265"/>
  <c r="Z92" i="265"/>
  <c r="Y92" i="265"/>
  <c r="X92" i="265"/>
  <c r="W92" i="265"/>
  <c r="V92" i="265"/>
  <c r="U92" i="265"/>
  <c r="T92" i="265"/>
  <c r="S92" i="265"/>
  <c r="R92" i="265"/>
  <c r="M92" i="265"/>
  <c r="L92" i="265"/>
  <c r="F92" i="265"/>
  <c r="G92" i="265" s="1"/>
  <c r="B92" i="265"/>
  <c r="Z91" i="265"/>
  <c r="Y91" i="265"/>
  <c r="X91" i="265"/>
  <c r="W91" i="265"/>
  <c r="V91" i="265"/>
  <c r="U91" i="265"/>
  <c r="T91" i="265"/>
  <c r="S91" i="265"/>
  <c r="R91" i="265"/>
  <c r="M91" i="265"/>
  <c r="L91" i="265"/>
  <c r="F91" i="265"/>
  <c r="G91" i="265" s="1"/>
  <c r="B91" i="265"/>
  <c r="Z90" i="265"/>
  <c r="Y90" i="265"/>
  <c r="X90" i="265"/>
  <c r="W90" i="265"/>
  <c r="V90" i="265"/>
  <c r="U90" i="265"/>
  <c r="T90" i="265"/>
  <c r="S90" i="265"/>
  <c r="R90" i="265"/>
  <c r="M90" i="265"/>
  <c r="L90" i="265"/>
  <c r="F90" i="265"/>
  <c r="G90" i="265" s="1"/>
  <c r="B90" i="265"/>
  <c r="Z89" i="265"/>
  <c r="Y89" i="265"/>
  <c r="X89" i="265"/>
  <c r="W89" i="265"/>
  <c r="V89" i="265"/>
  <c r="U89" i="265"/>
  <c r="T89" i="265"/>
  <c r="S89" i="265"/>
  <c r="R89" i="265"/>
  <c r="M89" i="265"/>
  <c r="L89" i="265"/>
  <c r="F89" i="265"/>
  <c r="G89" i="265" s="1"/>
  <c r="B89" i="265"/>
  <c r="Z88" i="265"/>
  <c r="Y88" i="265"/>
  <c r="X88" i="265"/>
  <c r="W88" i="265"/>
  <c r="V88" i="265"/>
  <c r="U88" i="265"/>
  <c r="T88" i="265"/>
  <c r="S88" i="265"/>
  <c r="R88" i="265"/>
  <c r="M88" i="265"/>
  <c r="L88" i="265"/>
  <c r="F88" i="265"/>
  <c r="G88" i="265" s="1"/>
  <c r="B88" i="265"/>
  <c r="Z87" i="265"/>
  <c r="Y87" i="265"/>
  <c r="X87" i="265"/>
  <c r="W87" i="265"/>
  <c r="V87" i="265"/>
  <c r="U87" i="265"/>
  <c r="T87" i="265"/>
  <c r="S87" i="265"/>
  <c r="R87" i="265"/>
  <c r="M87" i="265"/>
  <c r="L87" i="265"/>
  <c r="F87" i="265"/>
  <c r="G87" i="265" s="1"/>
  <c r="B87" i="265"/>
  <c r="Z86" i="265"/>
  <c r="Y86" i="265"/>
  <c r="X86" i="265"/>
  <c r="W86" i="265"/>
  <c r="V86" i="265"/>
  <c r="U86" i="265"/>
  <c r="T86" i="265"/>
  <c r="S86" i="265"/>
  <c r="R86" i="265"/>
  <c r="M86" i="265"/>
  <c r="L86" i="265"/>
  <c r="F86" i="265"/>
  <c r="G86" i="265" s="1"/>
  <c r="B86" i="265"/>
  <c r="Z85" i="265"/>
  <c r="Y85" i="265"/>
  <c r="X85" i="265"/>
  <c r="W85" i="265"/>
  <c r="V85" i="265"/>
  <c r="U85" i="265"/>
  <c r="T85" i="265"/>
  <c r="S85" i="265"/>
  <c r="R85" i="265"/>
  <c r="M85" i="265"/>
  <c r="L85" i="265"/>
  <c r="F85" i="265"/>
  <c r="G85" i="265" s="1"/>
  <c r="B85" i="265"/>
  <c r="Z84" i="265"/>
  <c r="Y84" i="265"/>
  <c r="X84" i="265"/>
  <c r="W84" i="265"/>
  <c r="V84" i="265"/>
  <c r="U84" i="265"/>
  <c r="T84" i="265"/>
  <c r="S84" i="265"/>
  <c r="R84" i="265"/>
  <c r="M84" i="265"/>
  <c r="L84" i="265"/>
  <c r="F84" i="265"/>
  <c r="G84" i="265" s="1"/>
  <c r="B84" i="265"/>
  <c r="Z83" i="265"/>
  <c r="Y83" i="265"/>
  <c r="X83" i="265"/>
  <c r="W83" i="265"/>
  <c r="V83" i="265"/>
  <c r="U83" i="265"/>
  <c r="T83" i="265"/>
  <c r="S83" i="265"/>
  <c r="R83" i="265"/>
  <c r="M83" i="265"/>
  <c r="L83" i="265"/>
  <c r="F83" i="265"/>
  <c r="G83" i="265" s="1"/>
  <c r="B83" i="265"/>
  <c r="Z82" i="265"/>
  <c r="Y82" i="265"/>
  <c r="X82" i="265"/>
  <c r="W82" i="265"/>
  <c r="V82" i="265"/>
  <c r="U82" i="265"/>
  <c r="T82" i="265"/>
  <c r="S82" i="265"/>
  <c r="R82" i="265"/>
  <c r="M82" i="265"/>
  <c r="L82" i="265"/>
  <c r="F82" i="265"/>
  <c r="G82" i="265" s="1"/>
  <c r="B82" i="265"/>
  <c r="Z81" i="265"/>
  <c r="Y81" i="265"/>
  <c r="X81" i="265"/>
  <c r="W81" i="265"/>
  <c r="V81" i="265"/>
  <c r="U81" i="265"/>
  <c r="T81" i="265"/>
  <c r="S81" i="265"/>
  <c r="R81" i="265"/>
  <c r="M81" i="265"/>
  <c r="L81" i="265"/>
  <c r="F81" i="265"/>
  <c r="G81" i="265" s="1"/>
  <c r="B81" i="265"/>
  <c r="Z80" i="265"/>
  <c r="Y80" i="265"/>
  <c r="X80" i="265"/>
  <c r="W80" i="265"/>
  <c r="V80" i="265"/>
  <c r="U80" i="265"/>
  <c r="T80" i="265"/>
  <c r="S80" i="265"/>
  <c r="R80" i="265"/>
  <c r="M80" i="265"/>
  <c r="L80" i="265"/>
  <c r="F80" i="265"/>
  <c r="G80" i="265" s="1"/>
  <c r="B80" i="265"/>
  <c r="Z79" i="265"/>
  <c r="Y79" i="265"/>
  <c r="X79" i="265"/>
  <c r="W79" i="265"/>
  <c r="V79" i="265"/>
  <c r="U79" i="265"/>
  <c r="T79" i="265"/>
  <c r="S79" i="265"/>
  <c r="R79" i="265"/>
  <c r="M79" i="265"/>
  <c r="L79" i="265"/>
  <c r="F79" i="265"/>
  <c r="G79" i="265" s="1"/>
  <c r="B79" i="265"/>
  <c r="Z78" i="265"/>
  <c r="Y78" i="265"/>
  <c r="X78" i="265"/>
  <c r="W78" i="265"/>
  <c r="V78" i="265"/>
  <c r="U78" i="265"/>
  <c r="T78" i="265"/>
  <c r="S78" i="265"/>
  <c r="R78" i="265"/>
  <c r="M78" i="265"/>
  <c r="L78" i="265"/>
  <c r="F78" i="265"/>
  <c r="G78" i="265" s="1"/>
  <c r="B78" i="265"/>
  <c r="Z77" i="265"/>
  <c r="Y77" i="265"/>
  <c r="X77" i="265"/>
  <c r="W77" i="265"/>
  <c r="V77" i="265"/>
  <c r="U77" i="265"/>
  <c r="T77" i="265"/>
  <c r="S77" i="265"/>
  <c r="R77" i="265"/>
  <c r="M77" i="265"/>
  <c r="L77" i="265"/>
  <c r="F77" i="265"/>
  <c r="G77" i="265" s="1"/>
  <c r="B77" i="265"/>
  <c r="Z76" i="265"/>
  <c r="Y76" i="265"/>
  <c r="X76" i="265"/>
  <c r="W76" i="265"/>
  <c r="V76" i="265"/>
  <c r="U76" i="265"/>
  <c r="T76" i="265"/>
  <c r="S76" i="265"/>
  <c r="R76" i="265"/>
  <c r="M76" i="265"/>
  <c r="L76" i="265"/>
  <c r="F76" i="265"/>
  <c r="G76" i="265" s="1"/>
  <c r="B76" i="265"/>
  <c r="Z75" i="265"/>
  <c r="Y75" i="265"/>
  <c r="X75" i="265"/>
  <c r="W75" i="265"/>
  <c r="V75" i="265"/>
  <c r="U75" i="265"/>
  <c r="T75" i="265"/>
  <c r="S75" i="265"/>
  <c r="R75" i="265"/>
  <c r="M75" i="265"/>
  <c r="L75" i="265"/>
  <c r="F75" i="265"/>
  <c r="G75" i="265" s="1"/>
  <c r="B75" i="265"/>
  <c r="Z74" i="265"/>
  <c r="Y74" i="265"/>
  <c r="X74" i="265"/>
  <c r="W74" i="265"/>
  <c r="V74" i="265"/>
  <c r="U74" i="265"/>
  <c r="T74" i="265"/>
  <c r="S74" i="265"/>
  <c r="R74" i="265"/>
  <c r="M74" i="265"/>
  <c r="L74" i="265"/>
  <c r="F74" i="265"/>
  <c r="G74" i="265" s="1"/>
  <c r="B74" i="265"/>
  <c r="Z73" i="265"/>
  <c r="Y73" i="265"/>
  <c r="X73" i="265"/>
  <c r="W73" i="265"/>
  <c r="V73" i="265"/>
  <c r="U73" i="265"/>
  <c r="T73" i="265"/>
  <c r="S73" i="265"/>
  <c r="R73" i="265"/>
  <c r="M73" i="265"/>
  <c r="L73" i="265"/>
  <c r="F73" i="265"/>
  <c r="G73" i="265" s="1"/>
  <c r="B73" i="265"/>
  <c r="Z72" i="265"/>
  <c r="Y72" i="265"/>
  <c r="X72" i="265"/>
  <c r="W72" i="265"/>
  <c r="V72" i="265"/>
  <c r="U72" i="265"/>
  <c r="T72" i="265"/>
  <c r="S72" i="265"/>
  <c r="R72" i="265"/>
  <c r="M72" i="265"/>
  <c r="L72" i="265"/>
  <c r="F72" i="265"/>
  <c r="G72" i="265" s="1"/>
  <c r="B72" i="265"/>
  <c r="Z71" i="265"/>
  <c r="Y71" i="265"/>
  <c r="X71" i="265"/>
  <c r="W71" i="265"/>
  <c r="V71" i="265"/>
  <c r="U71" i="265"/>
  <c r="T71" i="265"/>
  <c r="S71" i="265"/>
  <c r="R71" i="265"/>
  <c r="M71" i="265"/>
  <c r="L71" i="265"/>
  <c r="F71" i="265"/>
  <c r="G71" i="265" s="1"/>
  <c r="B71" i="265"/>
  <c r="Z70" i="265"/>
  <c r="Y70" i="265"/>
  <c r="X70" i="265"/>
  <c r="W70" i="265"/>
  <c r="V70" i="265"/>
  <c r="U70" i="265"/>
  <c r="T70" i="265"/>
  <c r="S70" i="265"/>
  <c r="R70" i="265"/>
  <c r="M70" i="265"/>
  <c r="L70" i="265"/>
  <c r="F70" i="265"/>
  <c r="G70" i="265" s="1"/>
  <c r="B70" i="265"/>
  <c r="Z69" i="265"/>
  <c r="Y69" i="265"/>
  <c r="X69" i="265"/>
  <c r="W69" i="265"/>
  <c r="V69" i="265"/>
  <c r="U69" i="265"/>
  <c r="T69" i="265"/>
  <c r="S69" i="265"/>
  <c r="R69" i="265"/>
  <c r="M69" i="265"/>
  <c r="L69" i="265"/>
  <c r="F69" i="265"/>
  <c r="G69" i="265" s="1"/>
  <c r="B69" i="265"/>
  <c r="Z68" i="265"/>
  <c r="Y68" i="265"/>
  <c r="X68" i="265"/>
  <c r="W68" i="265"/>
  <c r="V68" i="265"/>
  <c r="U68" i="265"/>
  <c r="T68" i="265"/>
  <c r="S68" i="265"/>
  <c r="R68" i="265"/>
  <c r="M68" i="265"/>
  <c r="L68" i="265"/>
  <c r="F68" i="265"/>
  <c r="G68" i="265" s="1"/>
  <c r="B68" i="265"/>
  <c r="Z67" i="265"/>
  <c r="Y67" i="265"/>
  <c r="X67" i="265"/>
  <c r="W67" i="265"/>
  <c r="V67" i="265"/>
  <c r="U67" i="265"/>
  <c r="T67" i="265"/>
  <c r="S67" i="265"/>
  <c r="R67" i="265"/>
  <c r="M67" i="265"/>
  <c r="L67" i="265"/>
  <c r="F67" i="265"/>
  <c r="G67" i="265" s="1"/>
  <c r="B67" i="265"/>
  <c r="Z66" i="265"/>
  <c r="Y66" i="265"/>
  <c r="X66" i="265"/>
  <c r="W66" i="265"/>
  <c r="V66" i="265"/>
  <c r="U66" i="265"/>
  <c r="T66" i="265"/>
  <c r="S66" i="265"/>
  <c r="R66" i="265"/>
  <c r="M66" i="265"/>
  <c r="L66" i="265"/>
  <c r="F66" i="265"/>
  <c r="G66" i="265" s="1"/>
  <c r="B66" i="265"/>
  <c r="Z65" i="265"/>
  <c r="Y65" i="265"/>
  <c r="X65" i="265"/>
  <c r="W65" i="265"/>
  <c r="V65" i="265"/>
  <c r="U65" i="265"/>
  <c r="T65" i="265"/>
  <c r="S65" i="265"/>
  <c r="R65" i="265"/>
  <c r="M65" i="265"/>
  <c r="L65" i="265"/>
  <c r="F65" i="265"/>
  <c r="G65" i="265" s="1"/>
  <c r="B65" i="265"/>
  <c r="Z64" i="265"/>
  <c r="Y64" i="265"/>
  <c r="X64" i="265"/>
  <c r="W64" i="265"/>
  <c r="V64" i="265"/>
  <c r="U64" i="265"/>
  <c r="T64" i="265"/>
  <c r="S64" i="265"/>
  <c r="R64" i="265"/>
  <c r="M64" i="265"/>
  <c r="L64" i="265"/>
  <c r="F64" i="265"/>
  <c r="G64" i="265" s="1"/>
  <c r="B64" i="265"/>
  <c r="Z63" i="265"/>
  <c r="Y63" i="265"/>
  <c r="X63" i="265"/>
  <c r="W63" i="265"/>
  <c r="V63" i="265"/>
  <c r="U63" i="265"/>
  <c r="T63" i="265"/>
  <c r="S63" i="265"/>
  <c r="R63" i="265"/>
  <c r="M63" i="265"/>
  <c r="L63" i="265"/>
  <c r="F63" i="265"/>
  <c r="G63" i="265" s="1"/>
  <c r="B63" i="265"/>
  <c r="Z62" i="265"/>
  <c r="Y62" i="265"/>
  <c r="X62" i="265"/>
  <c r="W62" i="265"/>
  <c r="V62" i="265"/>
  <c r="U62" i="265"/>
  <c r="T62" i="265"/>
  <c r="S62" i="265"/>
  <c r="R62" i="265"/>
  <c r="M62" i="265"/>
  <c r="L62" i="265"/>
  <c r="F62" i="265"/>
  <c r="G62" i="265" s="1"/>
  <c r="B62" i="265"/>
  <c r="Z61" i="265"/>
  <c r="Y61" i="265"/>
  <c r="X61" i="265"/>
  <c r="W61" i="265"/>
  <c r="V61" i="265"/>
  <c r="U61" i="265"/>
  <c r="T61" i="265"/>
  <c r="S61" i="265"/>
  <c r="R61" i="265"/>
  <c r="M61" i="265"/>
  <c r="L61" i="265"/>
  <c r="F61" i="265"/>
  <c r="G61" i="265" s="1"/>
  <c r="B61" i="265"/>
  <c r="Z60" i="265"/>
  <c r="Y60" i="265"/>
  <c r="X60" i="265"/>
  <c r="W60" i="265"/>
  <c r="V60" i="265"/>
  <c r="U60" i="265"/>
  <c r="T60" i="265"/>
  <c r="S60" i="265"/>
  <c r="R60" i="265"/>
  <c r="M60" i="265"/>
  <c r="L60" i="265"/>
  <c r="F60" i="265"/>
  <c r="G60" i="265" s="1"/>
  <c r="B60" i="265"/>
  <c r="Z59" i="265"/>
  <c r="Y59" i="265"/>
  <c r="X59" i="265"/>
  <c r="W59" i="265"/>
  <c r="V59" i="265"/>
  <c r="U59" i="265"/>
  <c r="T59" i="265"/>
  <c r="S59" i="265"/>
  <c r="R59" i="265"/>
  <c r="M59" i="265"/>
  <c r="L59" i="265"/>
  <c r="F59" i="265"/>
  <c r="G59" i="265" s="1"/>
  <c r="B59" i="265"/>
  <c r="Z58" i="265"/>
  <c r="Y58" i="265"/>
  <c r="X58" i="265"/>
  <c r="W58" i="265"/>
  <c r="V58" i="265"/>
  <c r="U58" i="265"/>
  <c r="T58" i="265"/>
  <c r="S58" i="265"/>
  <c r="R58" i="265"/>
  <c r="M58" i="265"/>
  <c r="L58" i="265"/>
  <c r="F58" i="265"/>
  <c r="G58" i="265" s="1"/>
  <c r="B58" i="265"/>
  <c r="Z57" i="265"/>
  <c r="Y57" i="265"/>
  <c r="X57" i="265"/>
  <c r="W57" i="265"/>
  <c r="V57" i="265"/>
  <c r="U57" i="265"/>
  <c r="T57" i="265"/>
  <c r="S57" i="265"/>
  <c r="R57" i="265"/>
  <c r="M57" i="265"/>
  <c r="L57" i="265"/>
  <c r="F57" i="265"/>
  <c r="G57" i="265" s="1"/>
  <c r="B57" i="265"/>
  <c r="Z56" i="265"/>
  <c r="Y56" i="265"/>
  <c r="X56" i="265"/>
  <c r="W56" i="265"/>
  <c r="V56" i="265"/>
  <c r="U56" i="265"/>
  <c r="T56" i="265"/>
  <c r="S56" i="265"/>
  <c r="R56" i="265"/>
  <c r="M56" i="265"/>
  <c r="L56" i="265"/>
  <c r="F56" i="265"/>
  <c r="G56" i="265" s="1"/>
  <c r="B56" i="265"/>
  <c r="Z55" i="265"/>
  <c r="Y55" i="265"/>
  <c r="X55" i="265"/>
  <c r="W55" i="265"/>
  <c r="V55" i="265"/>
  <c r="U55" i="265"/>
  <c r="T55" i="265"/>
  <c r="S55" i="265"/>
  <c r="R55" i="265"/>
  <c r="M55" i="265"/>
  <c r="L55" i="265"/>
  <c r="F55" i="265"/>
  <c r="G55" i="265" s="1"/>
  <c r="B55" i="265"/>
  <c r="Z54" i="265"/>
  <c r="Y54" i="265"/>
  <c r="X54" i="265"/>
  <c r="W54" i="265"/>
  <c r="V54" i="265"/>
  <c r="U54" i="265"/>
  <c r="T54" i="265"/>
  <c r="S54" i="265"/>
  <c r="R54" i="265"/>
  <c r="M54" i="265"/>
  <c r="L54" i="265"/>
  <c r="F54" i="265"/>
  <c r="G54" i="265" s="1"/>
  <c r="B54" i="265"/>
  <c r="Z53" i="265"/>
  <c r="Y53" i="265"/>
  <c r="X53" i="265"/>
  <c r="W53" i="265"/>
  <c r="V53" i="265"/>
  <c r="U53" i="265"/>
  <c r="T53" i="265"/>
  <c r="S53" i="265"/>
  <c r="R53" i="265"/>
  <c r="M53" i="265"/>
  <c r="L53" i="265"/>
  <c r="F53" i="265"/>
  <c r="G53" i="265" s="1"/>
  <c r="B53" i="265"/>
  <c r="Z52" i="265"/>
  <c r="Y52" i="265"/>
  <c r="X52" i="265"/>
  <c r="W52" i="265"/>
  <c r="V52" i="265"/>
  <c r="U52" i="265"/>
  <c r="T52" i="265"/>
  <c r="S52" i="265"/>
  <c r="R52" i="265"/>
  <c r="M52" i="265"/>
  <c r="L52" i="265"/>
  <c r="F52" i="265"/>
  <c r="G52" i="265" s="1"/>
  <c r="B52" i="265"/>
  <c r="Z51" i="265"/>
  <c r="Y51" i="265"/>
  <c r="X51" i="265"/>
  <c r="W51" i="265"/>
  <c r="V51" i="265"/>
  <c r="U51" i="265"/>
  <c r="T51" i="265"/>
  <c r="S51" i="265"/>
  <c r="R51" i="265"/>
  <c r="M51" i="265"/>
  <c r="L51" i="265"/>
  <c r="F51" i="265"/>
  <c r="G51" i="265" s="1"/>
  <c r="B51" i="265"/>
  <c r="Z50" i="265"/>
  <c r="Y50" i="265"/>
  <c r="X50" i="265"/>
  <c r="W50" i="265"/>
  <c r="V50" i="265"/>
  <c r="U50" i="265"/>
  <c r="T50" i="265"/>
  <c r="S50" i="265"/>
  <c r="R50" i="265"/>
  <c r="M50" i="265"/>
  <c r="L50" i="265"/>
  <c r="F50" i="265"/>
  <c r="G50" i="265" s="1"/>
  <c r="B50" i="265"/>
  <c r="Z49" i="265"/>
  <c r="Y49" i="265"/>
  <c r="X49" i="265"/>
  <c r="W49" i="265"/>
  <c r="V49" i="265"/>
  <c r="U49" i="265"/>
  <c r="T49" i="265"/>
  <c r="S49" i="265"/>
  <c r="R49" i="265"/>
  <c r="M49" i="265"/>
  <c r="L49" i="265"/>
  <c r="F49" i="265"/>
  <c r="G49" i="265" s="1"/>
  <c r="B49" i="265"/>
  <c r="Z48" i="265"/>
  <c r="Y48" i="265"/>
  <c r="X48" i="265"/>
  <c r="W48" i="265"/>
  <c r="V48" i="265"/>
  <c r="U48" i="265"/>
  <c r="T48" i="265"/>
  <c r="S48" i="265"/>
  <c r="R48" i="265"/>
  <c r="M48" i="265"/>
  <c r="L48" i="265"/>
  <c r="F48" i="265"/>
  <c r="G48" i="265" s="1"/>
  <c r="B48" i="265"/>
  <c r="Z47" i="265"/>
  <c r="Y47" i="265"/>
  <c r="X47" i="265"/>
  <c r="W47" i="265"/>
  <c r="V47" i="265"/>
  <c r="U47" i="265"/>
  <c r="T47" i="265"/>
  <c r="S47" i="265"/>
  <c r="R47" i="265"/>
  <c r="M47" i="265"/>
  <c r="L47" i="265"/>
  <c r="F47" i="265"/>
  <c r="G47" i="265" s="1"/>
  <c r="B47" i="265"/>
  <c r="Z46" i="265"/>
  <c r="Y46" i="265"/>
  <c r="X46" i="265"/>
  <c r="W46" i="265"/>
  <c r="V46" i="265"/>
  <c r="U46" i="265"/>
  <c r="T46" i="265"/>
  <c r="S46" i="265"/>
  <c r="R46" i="265"/>
  <c r="M46" i="265"/>
  <c r="L46" i="265"/>
  <c r="F46" i="265"/>
  <c r="G46" i="265" s="1"/>
  <c r="B46" i="265"/>
  <c r="Z45" i="265"/>
  <c r="Y45" i="265"/>
  <c r="X45" i="265"/>
  <c r="W45" i="265"/>
  <c r="V45" i="265"/>
  <c r="U45" i="265"/>
  <c r="T45" i="265"/>
  <c r="S45" i="265"/>
  <c r="R45" i="265"/>
  <c r="M45" i="265"/>
  <c r="L45" i="265"/>
  <c r="F45" i="265"/>
  <c r="G45" i="265" s="1"/>
  <c r="B45" i="265"/>
  <c r="Z44" i="265"/>
  <c r="Y44" i="265"/>
  <c r="X44" i="265"/>
  <c r="W44" i="265"/>
  <c r="V44" i="265"/>
  <c r="U44" i="265"/>
  <c r="T44" i="265"/>
  <c r="S44" i="265"/>
  <c r="R44" i="265"/>
  <c r="M44" i="265"/>
  <c r="L44" i="265"/>
  <c r="F44" i="265"/>
  <c r="G44" i="265" s="1"/>
  <c r="B44" i="265"/>
  <c r="Z43" i="265"/>
  <c r="Y43" i="265"/>
  <c r="X43" i="265"/>
  <c r="W43" i="265"/>
  <c r="V43" i="265"/>
  <c r="U43" i="265"/>
  <c r="T43" i="265"/>
  <c r="S43" i="265"/>
  <c r="R43" i="265"/>
  <c r="M43" i="265"/>
  <c r="L43" i="265"/>
  <c r="F43" i="265"/>
  <c r="G43" i="265" s="1"/>
  <c r="B43" i="265"/>
  <c r="Z42" i="265"/>
  <c r="Y42" i="265"/>
  <c r="X42" i="265"/>
  <c r="W42" i="265"/>
  <c r="V42" i="265"/>
  <c r="U42" i="265"/>
  <c r="T42" i="265"/>
  <c r="S42" i="265"/>
  <c r="R42" i="265"/>
  <c r="M42" i="265"/>
  <c r="L42" i="265"/>
  <c r="F42" i="265"/>
  <c r="G42" i="265" s="1"/>
  <c r="B42" i="265"/>
  <c r="Z41" i="265"/>
  <c r="Y41" i="265"/>
  <c r="X41" i="265"/>
  <c r="W41" i="265"/>
  <c r="V41" i="265"/>
  <c r="U41" i="265"/>
  <c r="T41" i="265"/>
  <c r="S41" i="265"/>
  <c r="R41" i="265"/>
  <c r="M41" i="265"/>
  <c r="L41" i="265"/>
  <c r="F41" i="265"/>
  <c r="G41" i="265" s="1"/>
  <c r="B41" i="265"/>
  <c r="Z40" i="265"/>
  <c r="Y40" i="265"/>
  <c r="X40" i="265"/>
  <c r="W40" i="265"/>
  <c r="V40" i="265"/>
  <c r="U40" i="265"/>
  <c r="T40" i="265"/>
  <c r="S40" i="265"/>
  <c r="R40" i="265"/>
  <c r="M40" i="265"/>
  <c r="L40" i="265"/>
  <c r="F40" i="265"/>
  <c r="G40" i="265" s="1"/>
  <c r="B40" i="265"/>
  <c r="Z39" i="265"/>
  <c r="Y39" i="265"/>
  <c r="X39" i="265"/>
  <c r="W39" i="265"/>
  <c r="V39" i="265"/>
  <c r="U39" i="265"/>
  <c r="T39" i="265"/>
  <c r="S39" i="265"/>
  <c r="R39" i="265"/>
  <c r="M39" i="265"/>
  <c r="L39" i="265"/>
  <c r="F39" i="265"/>
  <c r="G39" i="265" s="1"/>
  <c r="B39" i="265"/>
  <c r="Z38" i="265"/>
  <c r="Y38" i="265"/>
  <c r="X38" i="265"/>
  <c r="W38" i="265"/>
  <c r="V38" i="265"/>
  <c r="U38" i="265"/>
  <c r="T38" i="265"/>
  <c r="S38" i="265"/>
  <c r="R38" i="265"/>
  <c r="M38" i="265"/>
  <c r="L38" i="265"/>
  <c r="F38" i="265"/>
  <c r="G38" i="265" s="1"/>
  <c r="B38" i="265"/>
  <c r="Z37" i="265"/>
  <c r="Y37" i="265"/>
  <c r="X37" i="265"/>
  <c r="W37" i="265"/>
  <c r="V37" i="265"/>
  <c r="U37" i="265"/>
  <c r="T37" i="265"/>
  <c r="S37" i="265"/>
  <c r="R37" i="265"/>
  <c r="M37" i="265"/>
  <c r="L37" i="265"/>
  <c r="F37" i="265"/>
  <c r="G37" i="265" s="1"/>
  <c r="B37" i="265"/>
  <c r="Z36" i="265"/>
  <c r="Y36" i="265"/>
  <c r="X36" i="265"/>
  <c r="W36" i="265"/>
  <c r="V36" i="265"/>
  <c r="U36" i="265"/>
  <c r="T36" i="265"/>
  <c r="S36" i="265"/>
  <c r="R36" i="265"/>
  <c r="M36" i="265"/>
  <c r="L36" i="265"/>
  <c r="F36" i="265"/>
  <c r="G36" i="265" s="1"/>
  <c r="B36" i="265"/>
  <c r="Z35" i="265"/>
  <c r="Y35" i="265"/>
  <c r="X35" i="265"/>
  <c r="W35" i="265"/>
  <c r="V35" i="265"/>
  <c r="U35" i="265"/>
  <c r="T35" i="265"/>
  <c r="S35" i="265"/>
  <c r="R35" i="265"/>
  <c r="M35" i="265"/>
  <c r="L35" i="265"/>
  <c r="F35" i="265"/>
  <c r="G35" i="265" s="1"/>
  <c r="B35" i="265"/>
  <c r="Z34" i="265"/>
  <c r="Y34" i="265"/>
  <c r="X34" i="265"/>
  <c r="W34" i="265"/>
  <c r="V34" i="265"/>
  <c r="U34" i="265"/>
  <c r="T34" i="265"/>
  <c r="S34" i="265"/>
  <c r="R34" i="265"/>
  <c r="M34" i="265"/>
  <c r="L34" i="265"/>
  <c r="F34" i="265"/>
  <c r="G34" i="265" s="1"/>
  <c r="B34" i="265"/>
  <c r="Z33" i="265"/>
  <c r="Y33" i="265"/>
  <c r="X33" i="265"/>
  <c r="W33" i="265"/>
  <c r="V33" i="265"/>
  <c r="U33" i="265"/>
  <c r="T33" i="265"/>
  <c r="S33" i="265"/>
  <c r="R33" i="265"/>
  <c r="M33" i="265"/>
  <c r="L33" i="265"/>
  <c r="F33" i="265"/>
  <c r="G33" i="265" s="1"/>
  <c r="B33" i="265"/>
  <c r="Z32" i="265"/>
  <c r="Y32" i="265"/>
  <c r="X32" i="265"/>
  <c r="W32" i="265"/>
  <c r="V32" i="265"/>
  <c r="U32" i="265"/>
  <c r="T32" i="265"/>
  <c r="S32" i="265"/>
  <c r="R32" i="265"/>
  <c r="M32" i="265"/>
  <c r="L32" i="265"/>
  <c r="F32" i="265"/>
  <c r="G32" i="265" s="1"/>
  <c r="B32" i="265"/>
  <c r="Z31" i="265"/>
  <c r="Y31" i="265"/>
  <c r="X31" i="265"/>
  <c r="W31" i="265"/>
  <c r="V31" i="265"/>
  <c r="U31" i="265"/>
  <c r="T31" i="265"/>
  <c r="S31" i="265"/>
  <c r="R31" i="265"/>
  <c r="M31" i="265"/>
  <c r="L31" i="265"/>
  <c r="F31" i="265"/>
  <c r="G31" i="265" s="1"/>
  <c r="B31" i="265"/>
  <c r="Z30" i="265"/>
  <c r="Y30" i="265"/>
  <c r="X30" i="265"/>
  <c r="W30" i="265"/>
  <c r="V30" i="265"/>
  <c r="U30" i="265"/>
  <c r="T30" i="265"/>
  <c r="S30" i="265"/>
  <c r="R30" i="265"/>
  <c r="M30" i="265"/>
  <c r="L30" i="265"/>
  <c r="F30" i="265"/>
  <c r="G30" i="265" s="1"/>
  <c r="B30" i="265"/>
  <c r="Z29" i="265"/>
  <c r="Y29" i="265"/>
  <c r="X29" i="265"/>
  <c r="W29" i="265"/>
  <c r="V29" i="265"/>
  <c r="U29" i="265"/>
  <c r="T29" i="265"/>
  <c r="S29" i="265"/>
  <c r="R29" i="265"/>
  <c r="M29" i="265"/>
  <c r="L29" i="265"/>
  <c r="F29" i="265"/>
  <c r="G29" i="265" s="1"/>
  <c r="B29" i="265"/>
  <c r="Z28" i="265"/>
  <c r="Y28" i="265"/>
  <c r="X28" i="265"/>
  <c r="W28" i="265"/>
  <c r="V28" i="265"/>
  <c r="U28" i="265"/>
  <c r="T28" i="265"/>
  <c r="S28" i="265"/>
  <c r="R28" i="265"/>
  <c r="M28" i="265"/>
  <c r="L28" i="265"/>
  <c r="F28" i="265"/>
  <c r="G28" i="265" s="1"/>
  <c r="B28" i="265"/>
  <c r="Z27" i="265"/>
  <c r="Y27" i="265"/>
  <c r="X27" i="265"/>
  <c r="W27" i="265"/>
  <c r="V27" i="265"/>
  <c r="U27" i="265"/>
  <c r="T27" i="265"/>
  <c r="S27" i="265"/>
  <c r="R27" i="265"/>
  <c r="M27" i="265"/>
  <c r="L27" i="265"/>
  <c r="F27" i="265"/>
  <c r="G27" i="265" s="1"/>
  <c r="B27" i="265"/>
  <c r="Z26" i="265"/>
  <c r="Y26" i="265"/>
  <c r="X26" i="265"/>
  <c r="W26" i="265"/>
  <c r="V26" i="265"/>
  <c r="U26" i="265"/>
  <c r="T26" i="265"/>
  <c r="S26" i="265"/>
  <c r="R26" i="265"/>
  <c r="M26" i="265"/>
  <c r="L26" i="265"/>
  <c r="F26" i="265"/>
  <c r="G26" i="265" s="1"/>
  <c r="B26" i="265"/>
  <c r="Z25" i="265"/>
  <c r="Y25" i="265"/>
  <c r="X25" i="265"/>
  <c r="W25" i="265"/>
  <c r="V25" i="265"/>
  <c r="U25" i="265"/>
  <c r="T25" i="265"/>
  <c r="S25" i="265"/>
  <c r="R25" i="265"/>
  <c r="M25" i="265"/>
  <c r="L25" i="265"/>
  <c r="F25" i="265"/>
  <c r="G25" i="265" s="1"/>
  <c r="B25" i="265"/>
  <c r="Z24" i="265"/>
  <c r="Y24" i="265"/>
  <c r="X24" i="265"/>
  <c r="W24" i="265"/>
  <c r="V24" i="265"/>
  <c r="U24" i="265"/>
  <c r="T24" i="265"/>
  <c r="S24" i="265"/>
  <c r="R24" i="265"/>
  <c r="M24" i="265"/>
  <c r="L24" i="265"/>
  <c r="F24" i="265"/>
  <c r="G24" i="265" s="1"/>
  <c r="B24" i="265"/>
  <c r="Z23" i="265"/>
  <c r="Y23" i="265"/>
  <c r="X23" i="265"/>
  <c r="W23" i="265"/>
  <c r="V23" i="265"/>
  <c r="U23" i="265"/>
  <c r="T23" i="265"/>
  <c r="S23" i="265"/>
  <c r="R23" i="265"/>
  <c r="M23" i="265"/>
  <c r="L23" i="265"/>
  <c r="F23" i="265"/>
  <c r="G23" i="265" s="1"/>
  <c r="B23" i="265"/>
  <c r="Z22" i="265"/>
  <c r="Y22" i="265"/>
  <c r="X22" i="265"/>
  <c r="W22" i="265"/>
  <c r="V22" i="265"/>
  <c r="U22" i="265"/>
  <c r="T22" i="265"/>
  <c r="S22" i="265"/>
  <c r="R22" i="265"/>
  <c r="M22" i="265"/>
  <c r="L22" i="265"/>
  <c r="F22" i="265"/>
  <c r="G22" i="265" s="1"/>
  <c r="B22" i="265"/>
  <c r="Z21" i="265"/>
  <c r="Y21" i="265"/>
  <c r="X21" i="265"/>
  <c r="W21" i="265"/>
  <c r="V21" i="265"/>
  <c r="U21" i="265"/>
  <c r="T21" i="265"/>
  <c r="S21" i="265"/>
  <c r="R21" i="265"/>
  <c r="M21" i="265"/>
  <c r="L21" i="265"/>
  <c r="F21" i="265"/>
  <c r="G21" i="265" s="1"/>
  <c r="B21" i="265"/>
  <c r="Z20" i="265"/>
  <c r="Y20" i="265"/>
  <c r="X20" i="265"/>
  <c r="W20" i="265"/>
  <c r="V20" i="265"/>
  <c r="U20" i="265"/>
  <c r="T20" i="265"/>
  <c r="S20" i="265"/>
  <c r="R20" i="265"/>
  <c r="M20" i="265"/>
  <c r="L20" i="265"/>
  <c r="F20" i="265"/>
  <c r="G20" i="265" s="1"/>
  <c r="B20" i="265"/>
  <c r="Z19" i="265"/>
  <c r="Y19" i="265"/>
  <c r="X19" i="265"/>
  <c r="W19" i="265"/>
  <c r="V19" i="265"/>
  <c r="U19" i="265"/>
  <c r="T19" i="265"/>
  <c r="S19" i="265"/>
  <c r="R19" i="265"/>
  <c r="M19" i="265"/>
  <c r="L19" i="265"/>
  <c r="F19" i="265"/>
  <c r="G19" i="265" s="1"/>
  <c r="B19" i="265"/>
  <c r="Z18" i="265"/>
  <c r="Y18" i="265"/>
  <c r="X18" i="265"/>
  <c r="W18" i="265"/>
  <c r="V18" i="265"/>
  <c r="U18" i="265"/>
  <c r="T18" i="265"/>
  <c r="S18" i="265"/>
  <c r="R18" i="265"/>
  <c r="M18" i="265"/>
  <c r="L18" i="265"/>
  <c r="F18" i="265"/>
  <c r="G18" i="265" s="1"/>
  <c r="B18" i="265"/>
  <c r="Z17" i="265"/>
  <c r="Y17" i="265"/>
  <c r="X17" i="265"/>
  <c r="W17" i="265"/>
  <c r="V17" i="265"/>
  <c r="U17" i="265"/>
  <c r="T17" i="265"/>
  <c r="S17" i="265"/>
  <c r="R17" i="265"/>
  <c r="M17" i="265"/>
  <c r="L17" i="265"/>
  <c r="F17" i="265"/>
  <c r="G17" i="265" s="1"/>
  <c r="B17" i="265"/>
  <c r="Z16" i="265"/>
  <c r="Y16" i="265"/>
  <c r="X16" i="265"/>
  <c r="W16" i="265"/>
  <c r="V16" i="265"/>
  <c r="U16" i="265"/>
  <c r="T16" i="265"/>
  <c r="S16" i="265"/>
  <c r="R16" i="265"/>
  <c r="M16" i="265"/>
  <c r="L16" i="265"/>
  <c r="F16" i="265"/>
  <c r="G16" i="265" s="1"/>
  <c r="B16" i="265"/>
  <c r="AI15" i="265"/>
  <c r="Z15" i="265"/>
  <c r="Y15" i="265"/>
  <c r="X15" i="265"/>
  <c r="W15" i="265"/>
  <c r="V15" i="265"/>
  <c r="U15" i="265"/>
  <c r="T15" i="265"/>
  <c r="S15" i="265"/>
  <c r="R15" i="265"/>
  <c r="M15" i="265"/>
  <c r="L15" i="265"/>
  <c r="F15" i="265"/>
  <c r="G15" i="265" s="1"/>
  <c r="B15" i="265"/>
  <c r="Z14" i="265"/>
  <c r="Z99" i="265" s="1"/>
  <c r="Y14" i="265"/>
  <c r="Y99" i="265" s="1"/>
  <c r="X14" i="265"/>
  <c r="X99" i="265" s="1"/>
  <c r="W14" i="265"/>
  <c r="W99" i="265" s="1"/>
  <c r="V14" i="265"/>
  <c r="V99" i="265" s="1"/>
  <c r="U14" i="265"/>
  <c r="U99" i="265" s="1"/>
  <c r="T14" i="265"/>
  <c r="T99" i="265" s="1"/>
  <c r="S14" i="265"/>
  <c r="S99" i="265" s="1"/>
  <c r="R14" i="265"/>
  <c r="R99" i="265" s="1"/>
  <c r="M14" i="265"/>
  <c r="L14" i="265"/>
  <c r="F14" i="265"/>
  <c r="G14" i="265" s="1"/>
  <c r="B14" i="265"/>
  <c r="F9" i="265"/>
  <c r="AI8" i="265"/>
  <c r="F8" i="265"/>
  <c r="AI7" i="265"/>
  <c r="AI6" i="265"/>
  <c r="AH32" i="263"/>
  <c r="AI25" i="263"/>
  <c r="AI24" i="263"/>
  <c r="AH24" i="263"/>
  <c r="AI23" i="263"/>
  <c r="AI22" i="263"/>
  <c r="AF21" i="263"/>
  <c r="AB21" i="263"/>
  <c r="AA21" i="263"/>
  <c r="J21" i="263"/>
  <c r="I21" i="263"/>
  <c r="H21" i="263"/>
  <c r="Z20" i="263"/>
  <c r="Y20" i="263"/>
  <c r="X20" i="263"/>
  <c r="W20" i="263"/>
  <c r="V20" i="263"/>
  <c r="U20" i="263"/>
  <c r="T20" i="263"/>
  <c r="S20" i="263"/>
  <c r="R20" i="263"/>
  <c r="M20" i="263"/>
  <c r="L20" i="263"/>
  <c r="F20" i="263"/>
  <c r="G20" i="263" s="1"/>
  <c r="B20" i="263"/>
  <c r="Z19" i="263"/>
  <c r="Y19" i="263"/>
  <c r="X19" i="263"/>
  <c r="W19" i="263"/>
  <c r="V19" i="263"/>
  <c r="U19" i="263"/>
  <c r="T19" i="263"/>
  <c r="S19" i="263"/>
  <c r="R19" i="263"/>
  <c r="M19" i="263"/>
  <c r="L19" i="263"/>
  <c r="F19" i="263"/>
  <c r="G19" i="263" s="1"/>
  <c r="B19" i="263"/>
  <c r="Z18" i="263"/>
  <c r="Y18" i="263"/>
  <c r="X18" i="263"/>
  <c r="W18" i="263"/>
  <c r="V18" i="263"/>
  <c r="U18" i="263"/>
  <c r="T18" i="263"/>
  <c r="S18" i="263"/>
  <c r="R18" i="263"/>
  <c r="M18" i="263"/>
  <c r="L18" i="263"/>
  <c r="F18" i="263"/>
  <c r="G18" i="263" s="1"/>
  <c r="B18" i="263"/>
  <c r="Z17" i="263"/>
  <c r="Y17" i="263"/>
  <c r="X17" i="263"/>
  <c r="W17" i="263"/>
  <c r="V17" i="263"/>
  <c r="U17" i="263"/>
  <c r="T17" i="263"/>
  <c r="S17" i="263"/>
  <c r="R17" i="263"/>
  <c r="M17" i="263"/>
  <c r="L17" i="263"/>
  <c r="F17" i="263"/>
  <c r="G17" i="263" s="1"/>
  <c r="B17" i="263"/>
  <c r="Z16" i="263"/>
  <c r="Y16" i="263"/>
  <c r="X16" i="263"/>
  <c r="W16" i="263"/>
  <c r="V16" i="263"/>
  <c r="U16" i="263"/>
  <c r="T16" i="263"/>
  <c r="S16" i="263"/>
  <c r="R16" i="263"/>
  <c r="M16" i="263"/>
  <c r="L16" i="263"/>
  <c r="F16" i="263"/>
  <c r="G16" i="263" s="1"/>
  <c r="B16" i="263"/>
  <c r="AI15" i="263"/>
  <c r="Z15" i="263"/>
  <c r="Y15" i="263"/>
  <c r="X15" i="263"/>
  <c r="W15" i="263"/>
  <c r="V15" i="263"/>
  <c r="V111" i="263" s="1"/>
  <c r="U15" i="263"/>
  <c r="T15" i="263"/>
  <c r="S15" i="263"/>
  <c r="R15" i="263"/>
  <c r="M15" i="263"/>
  <c r="L15" i="263"/>
  <c r="F15" i="263"/>
  <c r="G15" i="263" s="1"/>
  <c r="B15" i="263"/>
  <c r="Z14" i="263"/>
  <c r="Z21" i="263" s="1"/>
  <c r="Y14" i="263"/>
  <c r="Y21" i="263" s="1"/>
  <c r="X14" i="263"/>
  <c r="X21" i="263" s="1"/>
  <c r="W14" i="263"/>
  <c r="W21" i="263" s="1"/>
  <c r="V14" i="263"/>
  <c r="V21" i="263" s="1"/>
  <c r="U14" i="263"/>
  <c r="U21" i="263" s="1"/>
  <c r="T14" i="263"/>
  <c r="T21" i="263" s="1"/>
  <c r="S14" i="263"/>
  <c r="S21" i="263" s="1"/>
  <c r="R14" i="263"/>
  <c r="R21" i="263" s="1"/>
  <c r="M14" i="263"/>
  <c r="L14" i="263"/>
  <c r="F14" i="263"/>
  <c r="B14" i="263"/>
  <c r="F9" i="263"/>
  <c r="AI8" i="263"/>
  <c r="F8" i="263"/>
  <c r="AI7" i="263"/>
  <c r="AI6" i="263"/>
  <c r="AH36" i="258"/>
  <c r="AI29" i="258"/>
  <c r="AI28" i="258"/>
  <c r="AH28" i="258"/>
  <c r="AI27" i="258"/>
  <c r="AI26" i="258"/>
  <c r="AF25" i="258"/>
  <c r="AB25" i="258"/>
  <c r="AA25" i="258"/>
  <c r="J25" i="258"/>
  <c r="I25" i="258"/>
  <c r="H25" i="258"/>
  <c r="Z24" i="258"/>
  <c r="Y24" i="258"/>
  <c r="X24" i="258"/>
  <c r="W24" i="258"/>
  <c r="V24" i="258"/>
  <c r="U24" i="258"/>
  <c r="T24" i="258"/>
  <c r="S24" i="258"/>
  <c r="R24" i="258"/>
  <c r="M24" i="258"/>
  <c r="L24" i="258"/>
  <c r="F24" i="258"/>
  <c r="G24" i="258" s="1"/>
  <c r="B24" i="258"/>
  <c r="Z23" i="258"/>
  <c r="Y23" i="258"/>
  <c r="X23" i="258"/>
  <c r="W23" i="258"/>
  <c r="V23" i="258"/>
  <c r="U23" i="258"/>
  <c r="T23" i="258"/>
  <c r="S23" i="258"/>
  <c r="R23" i="258"/>
  <c r="M23" i="258"/>
  <c r="L23" i="258"/>
  <c r="F23" i="258"/>
  <c r="G23" i="258" s="1"/>
  <c r="B23" i="258"/>
  <c r="Z22" i="258"/>
  <c r="Y22" i="258"/>
  <c r="X22" i="258"/>
  <c r="W22" i="258"/>
  <c r="V22" i="258"/>
  <c r="U22" i="258"/>
  <c r="T22" i="258"/>
  <c r="S22" i="258"/>
  <c r="R22" i="258"/>
  <c r="M22" i="258"/>
  <c r="L22" i="258"/>
  <c r="F22" i="258"/>
  <c r="G22" i="258" s="1"/>
  <c r="B22" i="258"/>
  <c r="Z21" i="258"/>
  <c r="Y21" i="258"/>
  <c r="X21" i="258"/>
  <c r="W21" i="258"/>
  <c r="V21" i="258"/>
  <c r="U21" i="258"/>
  <c r="T21" i="258"/>
  <c r="S21" i="258"/>
  <c r="R21" i="258"/>
  <c r="M21" i="258"/>
  <c r="L21" i="258"/>
  <c r="F21" i="258"/>
  <c r="G21" i="258" s="1"/>
  <c r="B21" i="258"/>
  <c r="Z20" i="258"/>
  <c r="Y20" i="258"/>
  <c r="X20" i="258"/>
  <c r="W20" i="258"/>
  <c r="V20" i="258"/>
  <c r="U20" i="258"/>
  <c r="T20" i="258"/>
  <c r="S20" i="258"/>
  <c r="R20" i="258"/>
  <c r="M20" i="258"/>
  <c r="L20" i="258"/>
  <c r="F20" i="258"/>
  <c r="G20" i="258" s="1"/>
  <c r="B20" i="258"/>
  <c r="Z19" i="258"/>
  <c r="Y19" i="258"/>
  <c r="X19" i="258"/>
  <c r="W19" i="258"/>
  <c r="V19" i="258"/>
  <c r="U19" i="258"/>
  <c r="T19" i="258"/>
  <c r="S19" i="258"/>
  <c r="R19" i="258"/>
  <c r="M19" i="258"/>
  <c r="L19" i="258"/>
  <c r="F19" i="258"/>
  <c r="G19" i="258" s="1"/>
  <c r="B19" i="258"/>
  <c r="Z18" i="258"/>
  <c r="Y18" i="258"/>
  <c r="X18" i="258"/>
  <c r="W18" i="258"/>
  <c r="V18" i="258"/>
  <c r="U18" i="258"/>
  <c r="T18" i="258"/>
  <c r="S18" i="258"/>
  <c r="R18" i="258"/>
  <c r="M18" i="258"/>
  <c r="L18" i="258"/>
  <c r="F18" i="258"/>
  <c r="G18" i="258" s="1"/>
  <c r="B18" i="258"/>
  <c r="Z17" i="258"/>
  <c r="Y17" i="258"/>
  <c r="X17" i="258"/>
  <c r="W17" i="258"/>
  <c r="V17" i="258"/>
  <c r="U17" i="258"/>
  <c r="T17" i="258"/>
  <c r="S17" i="258"/>
  <c r="R17" i="258"/>
  <c r="M17" i="258"/>
  <c r="L17" i="258"/>
  <c r="F17" i="258"/>
  <c r="G17" i="258" s="1"/>
  <c r="B17" i="258"/>
  <c r="Z16" i="258"/>
  <c r="Y16" i="258"/>
  <c r="X16" i="258"/>
  <c r="W16" i="258"/>
  <c r="V16" i="258"/>
  <c r="U16" i="258"/>
  <c r="T16" i="258"/>
  <c r="S16" i="258"/>
  <c r="R16" i="258"/>
  <c r="M16" i="258"/>
  <c r="L16" i="258"/>
  <c r="F16" i="258"/>
  <c r="G16" i="258" s="1"/>
  <c r="B16" i="258"/>
  <c r="AI15" i="258"/>
  <c r="Z15" i="258"/>
  <c r="Y15" i="258"/>
  <c r="X15" i="258"/>
  <c r="W15" i="258"/>
  <c r="V15" i="258"/>
  <c r="V111" i="258" s="1"/>
  <c r="U15" i="258"/>
  <c r="T15" i="258"/>
  <c r="S15" i="258"/>
  <c r="R15" i="258"/>
  <c r="M15" i="258"/>
  <c r="L15" i="258"/>
  <c r="F15" i="258"/>
  <c r="G15" i="258" s="1"/>
  <c r="B15" i="258"/>
  <c r="Z14" i="258"/>
  <c r="Z25" i="258" s="1"/>
  <c r="Y14" i="258"/>
  <c r="Y25" i="258" s="1"/>
  <c r="X14" i="258"/>
  <c r="X25" i="258" s="1"/>
  <c r="W14" i="258"/>
  <c r="W25" i="258" s="1"/>
  <c r="V14" i="258"/>
  <c r="V25" i="258" s="1"/>
  <c r="U14" i="258"/>
  <c r="U25" i="258" s="1"/>
  <c r="T14" i="258"/>
  <c r="T25" i="258" s="1"/>
  <c r="S14" i="258"/>
  <c r="R14" i="258"/>
  <c r="R25" i="258" s="1"/>
  <c r="M14" i="258"/>
  <c r="L14" i="258"/>
  <c r="F14" i="258"/>
  <c r="B14" i="258"/>
  <c r="AI8" i="258"/>
  <c r="F8" i="258"/>
  <c r="AI7" i="258"/>
  <c r="AI6" i="258"/>
  <c r="AH112" i="261"/>
  <c r="AI105" i="261"/>
  <c r="AI104" i="261"/>
  <c r="AH104" i="261"/>
  <c r="AI103" i="261"/>
  <c r="AI102" i="261"/>
  <c r="AF101" i="261"/>
  <c r="AB101" i="261"/>
  <c r="AA101" i="261"/>
  <c r="J101" i="261"/>
  <c r="I101" i="261"/>
  <c r="H101" i="261"/>
  <c r="Z100" i="261"/>
  <c r="Y100" i="261"/>
  <c r="X100" i="261"/>
  <c r="W100" i="261"/>
  <c r="V100" i="261"/>
  <c r="U100" i="261"/>
  <c r="T100" i="261"/>
  <c r="S100" i="261"/>
  <c r="R100" i="261"/>
  <c r="M100" i="261"/>
  <c r="L100" i="261"/>
  <c r="F100" i="261"/>
  <c r="G100" i="261" s="1"/>
  <c r="B100" i="261"/>
  <c r="Z99" i="261"/>
  <c r="Y99" i="261"/>
  <c r="X99" i="261"/>
  <c r="W99" i="261"/>
  <c r="V99" i="261"/>
  <c r="U99" i="261"/>
  <c r="T99" i="261"/>
  <c r="S99" i="261"/>
  <c r="R99" i="261"/>
  <c r="M99" i="261"/>
  <c r="L99" i="261"/>
  <c r="F99" i="261"/>
  <c r="G99" i="261" s="1"/>
  <c r="B99" i="261"/>
  <c r="Z98" i="261"/>
  <c r="Y98" i="261"/>
  <c r="X98" i="261"/>
  <c r="W98" i="261"/>
  <c r="V98" i="261"/>
  <c r="U98" i="261"/>
  <c r="T98" i="261"/>
  <c r="S98" i="261"/>
  <c r="R98" i="261"/>
  <c r="M98" i="261"/>
  <c r="L98" i="261"/>
  <c r="F98" i="261"/>
  <c r="G98" i="261" s="1"/>
  <c r="B98" i="261"/>
  <c r="Z97" i="261"/>
  <c r="Y97" i="261"/>
  <c r="X97" i="261"/>
  <c r="W97" i="261"/>
  <c r="V97" i="261"/>
  <c r="U97" i="261"/>
  <c r="T97" i="261"/>
  <c r="S97" i="261"/>
  <c r="R97" i="261"/>
  <c r="M97" i="261"/>
  <c r="L97" i="261"/>
  <c r="F97" i="261"/>
  <c r="G97" i="261" s="1"/>
  <c r="B97" i="261"/>
  <c r="Z96" i="261"/>
  <c r="Y96" i="261"/>
  <c r="X96" i="261"/>
  <c r="W96" i="261"/>
  <c r="V96" i="261"/>
  <c r="U96" i="261"/>
  <c r="T96" i="261"/>
  <c r="S96" i="261"/>
  <c r="R96" i="261"/>
  <c r="M96" i="261"/>
  <c r="L96" i="261"/>
  <c r="F96" i="261"/>
  <c r="G96" i="261" s="1"/>
  <c r="B96" i="261"/>
  <c r="Z95" i="261"/>
  <c r="Y95" i="261"/>
  <c r="X95" i="261"/>
  <c r="W95" i="261"/>
  <c r="V95" i="261"/>
  <c r="U95" i="261"/>
  <c r="T95" i="261"/>
  <c r="S95" i="261"/>
  <c r="R95" i="261"/>
  <c r="M95" i="261"/>
  <c r="L95" i="261"/>
  <c r="F95" i="261"/>
  <c r="G95" i="261" s="1"/>
  <c r="B95" i="261"/>
  <c r="Z94" i="261"/>
  <c r="Y94" i="261"/>
  <c r="X94" i="261"/>
  <c r="W94" i="261"/>
  <c r="V94" i="261"/>
  <c r="U94" i="261"/>
  <c r="T94" i="261"/>
  <c r="S94" i="261"/>
  <c r="R94" i="261"/>
  <c r="M94" i="261"/>
  <c r="L94" i="261"/>
  <c r="F94" i="261"/>
  <c r="G94" i="261" s="1"/>
  <c r="B94" i="261"/>
  <c r="Z93" i="261"/>
  <c r="Y93" i="261"/>
  <c r="X93" i="261"/>
  <c r="W93" i="261"/>
  <c r="V93" i="261"/>
  <c r="U93" i="261"/>
  <c r="T93" i="261"/>
  <c r="S93" i="261"/>
  <c r="R93" i="261"/>
  <c r="M93" i="261"/>
  <c r="L93" i="261"/>
  <c r="F93" i="261"/>
  <c r="G93" i="261" s="1"/>
  <c r="B93" i="261"/>
  <c r="Z92" i="261"/>
  <c r="Y92" i="261"/>
  <c r="X92" i="261"/>
  <c r="W92" i="261"/>
  <c r="V92" i="261"/>
  <c r="U92" i="261"/>
  <c r="T92" i="261"/>
  <c r="S92" i="261"/>
  <c r="R92" i="261"/>
  <c r="M92" i="261"/>
  <c r="L92" i="261"/>
  <c r="F92" i="261"/>
  <c r="G92" i="261" s="1"/>
  <c r="B92" i="261"/>
  <c r="Z91" i="261"/>
  <c r="Y91" i="261"/>
  <c r="X91" i="261"/>
  <c r="W91" i="261"/>
  <c r="V91" i="261"/>
  <c r="U91" i="261"/>
  <c r="T91" i="261"/>
  <c r="S91" i="261"/>
  <c r="R91" i="261"/>
  <c r="M91" i="261"/>
  <c r="L91" i="261"/>
  <c r="F91" i="261"/>
  <c r="G91" i="261" s="1"/>
  <c r="B91" i="261"/>
  <c r="Z90" i="261"/>
  <c r="Y90" i="261"/>
  <c r="X90" i="261"/>
  <c r="W90" i="261"/>
  <c r="V90" i="261"/>
  <c r="U90" i="261"/>
  <c r="T90" i="261"/>
  <c r="S90" i="261"/>
  <c r="R90" i="261"/>
  <c r="M90" i="261"/>
  <c r="L90" i="261"/>
  <c r="F90" i="261"/>
  <c r="G90" i="261" s="1"/>
  <c r="B90" i="261"/>
  <c r="Z89" i="261"/>
  <c r="Y89" i="261"/>
  <c r="X89" i="261"/>
  <c r="W89" i="261"/>
  <c r="V89" i="261"/>
  <c r="U89" i="261"/>
  <c r="T89" i="261"/>
  <c r="S89" i="261"/>
  <c r="R89" i="261"/>
  <c r="M89" i="261"/>
  <c r="L89" i="261"/>
  <c r="F89" i="261"/>
  <c r="G89" i="261" s="1"/>
  <c r="B89" i="261"/>
  <c r="Z88" i="261"/>
  <c r="Y88" i="261"/>
  <c r="X88" i="261"/>
  <c r="W88" i="261"/>
  <c r="V88" i="261"/>
  <c r="U88" i="261"/>
  <c r="T88" i="261"/>
  <c r="S88" i="261"/>
  <c r="R88" i="261"/>
  <c r="M88" i="261"/>
  <c r="L88" i="261"/>
  <c r="F88" i="261"/>
  <c r="G88" i="261" s="1"/>
  <c r="B88" i="261"/>
  <c r="Z87" i="261"/>
  <c r="Y87" i="261"/>
  <c r="X87" i="261"/>
  <c r="W87" i="261"/>
  <c r="V87" i="261"/>
  <c r="U87" i="261"/>
  <c r="T87" i="261"/>
  <c r="S87" i="261"/>
  <c r="R87" i="261"/>
  <c r="M87" i="261"/>
  <c r="L87" i="261"/>
  <c r="F87" i="261"/>
  <c r="G87" i="261" s="1"/>
  <c r="B87" i="261"/>
  <c r="Z86" i="261"/>
  <c r="Y86" i="261"/>
  <c r="X86" i="261"/>
  <c r="W86" i="261"/>
  <c r="V86" i="261"/>
  <c r="U86" i="261"/>
  <c r="T86" i="261"/>
  <c r="S86" i="261"/>
  <c r="R86" i="261"/>
  <c r="M86" i="261"/>
  <c r="L86" i="261"/>
  <c r="F86" i="261"/>
  <c r="G86" i="261" s="1"/>
  <c r="B86" i="261"/>
  <c r="Z85" i="261"/>
  <c r="Y85" i="261"/>
  <c r="X85" i="261"/>
  <c r="W85" i="261"/>
  <c r="V85" i="261"/>
  <c r="U85" i="261"/>
  <c r="T85" i="261"/>
  <c r="S85" i="261"/>
  <c r="R85" i="261"/>
  <c r="M85" i="261"/>
  <c r="L85" i="261"/>
  <c r="F85" i="261"/>
  <c r="G85" i="261" s="1"/>
  <c r="B85" i="261"/>
  <c r="Z84" i="261"/>
  <c r="Y84" i="261"/>
  <c r="X84" i="261"/>
  <c r="W84" i="261"/>
  <c r="V84" i="261"/>
  <c r="U84" i="261"/>
  <c r="T84" i="261"/>
  <c r="S84" i="261"/>
  <c r="R84" i="261"/>
  <c r="M84" i="261"/>
  <c r="L84" i="261"/>
  <c r="F84" i="261"/>
  <c r="G84" i="261" s="1"/>
  <c r="B84" i="261"/>
  <c r="Z83" i="261"/>
  <c r="Y83" i="261"/>
  <c r="X83" i="261"/>
  <c r="W83" i="261"/>
  <c r="V83" i="261"/>
  <c r="U83" i="261"/>
  <c r="T83" i="261"/>
  <c r="S83" i="261"/>
  <c r="R83" i="261"/>
  <c r="M83" i="261"/>
  <c r="L83" i="261"/>
  <c r="F83" i="261"/>
  <c r="G83" i="261" s="1"/>
  <c r="B83" i="261"/>
  <c r="Z82" i="261"/>
  <c r="Y82" i="261"/>
  <c r="X82" i="261"/>
  <c r="W82" i="261"/>
  <c r="V82" i="261"/>
  <c r="U82" i="261"/>
  <c r="T82" i="261"/>
  <c r="S82" i="261"/>
  <c r="R82" i="261"/>
  <c r="M82" i="261"/>
  <c r="L82" i="261"/>
  <c r="F82" i="261"/>
  <c r="G82" i="261" s="1"/>
  <c r="B82" i="261"/>
  <c r="Z81" i="261"/>
  <c r="Y81" i="261"/>
  <c r="X81" i="261"/>
  <c r="W81" i="261"/>
  <c r="V81" i="261"/>
  <c r="U81" i="261"/>
  <c r="T81" i="261"/>
  <c r="S81" i="261"/>
  <c r="R81" i="261"/>
  <c r="M81" i="261"/>
  <c r="L81" i="261"/>
  <c r="F81" i="261"/>
  <c r="G81" i="261" s="1"/>
  <c r="B81" i="261"/>
  <c r="Z80" i="261"/>
  <c r="Y80" i="261"/>
  <c r="X80" i="261"/>
  <c r="W80" i="261"/>
  <c r="V80" i="261"/>
  <c r="U80" i="261"/>
  <c r="T80" i="261"/>
  <c r="S80" i="261"/>
  <c r="R80" i="261"/>
  <c r="M80" i="261"/>
  <c r="L80" i="261"/>
  <c r="F80" i="261"/>
  <c r="G80" i="261" s="1"/>
  <c r="B80" i="261"/>
  <c r="Z79" i="261"/>
  <c r="Y79" i="261"/>
  <c r="X79" i="261"/>
  <c r="W79" i="261"/>
  <c r="V79" i="261"/>
  <c r="U79" i="261"/>
  <c r="T79" i="261"/>
  <c r="S79" i="261"/>
  <c r="R79" i="261"/>
  <c r="M79" i="261"/>
  <c r="L79" i="261"/>
  <c r="F79" i="261"/>
  <c r="G79" i="261" s="1"/>
  <c r="B79" i="261"/>
  <c r="Z78" i="261"/>
  <c r="Y78" i="261"/>
  <c r="X78" i="261"/>
  <c r="W78" i="261"/>
  <c r="V78" i="261"/>
  <c r="U78" i="261"/>
  <c r="T78" i="261"/>
  <c r="S78" i="261"/>
  <c r="R78" i="261"/>
  <c r="M78" i="261"/>
  <c r="L78" i="261"/>
  <c r="F78" i="261"/>
  <c r="G78" i="261" s="1"/>
  <c r="B78" i="261"/>
  <c r="Z77" i="261"/>
  <c r="Y77" i="261"/>
  <c r="X77" i="261"/>
  <c r="W77" i="261"/>
  <c r="V77" i="261"/>
  <c r="U77" i="261"/>
  <c r="T77" i="261"/>
  <c r="S77" i="261"/>
  <c r="R77" i="261"/>
  <c r="M77" i="261"/>
  <c r="L77" i="261"/>
  <c r="F77" i="261"/>
  <c r="G77" i="261" s="1"/>
  <c r="B77" i="261"/>
  <c r="Z76" i="261"/>
  <c r="Y76" i="261"/>
  <c r="X76" i="261"/>
  <c r="W76" i="261"/>
  <c r="V76" i="261"/>
  <c r="U76" i="261"/>
  <c r="T76" i="261"/>
  <c r="S76" i="261"/>
  <c r="R76" i="261"/>
  <c r="M76" i="261"/>
  <c r="L76" i="261"/>
  <c r="F76" i="261"/>
  <c r="G76" i="261" s="1"/>
  <c r="B76" i="261"/>
  <c r="Z75" i="261"/>
  <c r="Y75" i="261"/>
  <c r="X75" i="261"/>
  <c r="W75" i="261"/>
  <c r="V75" i="261"/>
  <c r="U75" i="261"/>
  <c r="T75" i="261"/>
  <c r="S75" i="261"/>
  <c r="R75" i="261"/>
  <c r="M75" i="261"/>
  <c r="L75" i="261"/>
  <c r="F75" i="261"/>
  <c r="G75" i="261" s="1"/>
  <c r="B75" i="261"/>
  <c r="Z74" i="261"/>
  <c r="Y74" i="261"/>
  <c r="X74" i="261"/>
  <c r="W74" i="261"/>
  <c r="V74" i="261"/>
  <c r="U74" i="261"/>
  <c r="T74" i="261"/>
  <c r="S74" i="261"/>
  <c r="R74" i="261"/>
  <c r="M74" i="261"/>
  <c r="L74" i="261"/>
  <c r="F74" i="261"/>
  <c r="G74" i="261" s="1"/>
  <c r="B74" i="261"/>
  <c r="Z73" i="261"/>
  <c r="Y73" i="261"/>
  <c r="X73" i="261"/>
  <c r="W73" i="261"/>
  <c r="V73" i="261"/>
  <c r="U73" i="261"/>
  <c r="T73" i="261"/>
  <c r="S73" i="261"/>
  <c r="R73" i="261"/>
  <c r="M73" i="261"/>
  <c r="L73" i="261"/>
  <c r="F73" i="261"/>
  <c r="G73" i="261" s="1"/>
  <c r="B73" i="261"/>
  <c r="Z72" i="261"/>
  <c r="Y72" i="261"/>
  <c r="X72" i="261"/>
  <c r="W72" i="261"/>
  <c r="V72" i="261"/>
  <c r="U72" i="261"/>
  <c r="T72" i="261"/>
  <c r="S72" i="261"/>
  <c r="R72" i="261"/>
  <c r="M72" i="261"/>
  <c r="L72" i="261"/>
  <c r="F72" i="261"/>
  <c r="G72" i="261" s="1"/>
  <c r="B72" i="261"/>
  <c r="Z71" i="261"/>
  <c r="Y71" i="261"/>
  <c r="X71" i="261"/>
  <c r="W71" i="261"/>
  <c r="V71" i="261"/>
  <c r="U71" i="261"/>
  <c r="T71" i="261"/>
  <c r="S71" i="261"/>
  <c r="R71" i="261"/>
  <c r="M71" i="261"/>
  <c r="L71" i="261"/>
  <c r="F71" i="261"/>
  <c r="G71" i="261" s="1"/>
  <c r="B71" i="261"/>
  <c r="Z70" i="261"/>
  <c r="Y70" i="261"/>
  <c r="X70" i="261"/>
  <c r="W70" i="261"/>
  <c r="V70" i="261"/>
  <c r="U70" i="261"/>
  <c r="T70" i="261"/>
  <c r="S70" i="261"/>
  <c r="R70" i="261"/>
  <c r="M70" i="261"/>
  <c r="L70" i="261"/>
  <c r="F70" i="261"/>
  <c r="G70" i="261" s="1"/>
  <c r="B70" i="261"/>
  <c r="Z69" i="261"/>
  <c r="Y69" i="261"/>
  <c r="X69" i="261"/>
  <c r="W69" i="261"/>
  <c r="V69" i="261"/>
  <c r="U69" i="261"/>
  <c r="T69" i="261"/>
  <c r="S69" i="261"/>
  <c r="R69" i="261"/>
  <c r="M69" i="261"/>
  <c r="L69" i="261"/>
  <c r="F69" i="261"/>
  <c r="G69" i="261" s="1"/>
  <c r="B69" i="261"/>
  <c r="Z68" i="261"/>
  <c r="Y68" i="261"/>
  <c r="X68" i="261"/>
  <c r="W68" i="261"/>
  <c r="V68" i="261"/>
  <c r="U68" i="261"/>
  <c r="T68" i="261"/>
  <c r="S68" i="261"/>
  <c r="R68" i="261"/>
  <c r="M68" i="261"/>
  <c r="L68" i="261"/>
  <c r="F68" i="261"/>
  <c r="G68" i="261" s="1"/>
  <c r="B68" i="261"/>
  <c r="Z67" i="261"/>
  <c r="Y67" i="261"/>
  <c r="X67" i="261"/>
  <c r="W67" i="261"/>
  <c r="V67" i="261"/>
  <c r="U67" i="261"/>
  <c r="T67" i="261"/>
  <c r="S67" i="261"/>
  <c r="R67" i="261"/>
  <c r="M67" i="261"/>
  <c r="L67" i="261"/>
  <c r="F67" i="261"/>
  <c r="G67" i="261" s="1"/>
  <c r="B67" i="261"/>
  <c r="Z66" i="261"/>
  <c r="Y66" i="261"/>
  <c r="X66" i="261"/>
  <c r="W66" i="261"/>
  <c r="V66" i="261"/>
  <c r="U66" i="261"/>
  <c r="T66" i="261"/>
  <c r="S66" i="261"/>
  <c r="R66" i="261"/>
  <c r="M66" i="261"/>
  <c r="L66" i="261"/>
  <c r="F66" i="261"/>
  <c r="G66" i="261" s="1"/>
  <c r="B66" i="261"/>
  <c r="Z65" i="261"/>
  <c r="Y65" i="261"/>
  <c r="X65" i="261"/>
  <c r="W65" i="261"/>
  <c r="V65" i="261"/>
  <c r="U65" i="261"/>
  <c r="T65" i="261"/>
  <c r="S65" i="261"/>
  <c r="R65" i="261"/>
  <c r="M65" i="261"/>
  <c r="L65" i="261"/>
  <c r="F65" i="261"/>
  <c r="G65" i="261" s="1"/>
  <c r="B65" i="261"/>
  <c r="Z64" i="261"/>
  <c r="Y64" i="261"/>
  <c r="X64" i="261"/>
  <c r="W64" i="261"/>
  <c r="V64" i="261"/>
  <c r="U64" i="261"/>
  <c r="T64" i="261"/>
  <c r="S64" i="261"/>
  <c r="R64" i="261"/>
  <c r="M64" i="261"/>
  <c r="L64" i="261"/>
  <c r="F64" i="261"/>
  <c r="G64" i="261" s="1"/>
  <c r="B64" i="261"/>
  <c r="Z63" i="261"/>
  <c r="Y63" i="261"/>
  <c r="X63" i="261"/>
  <c r="W63" i="261"/>
  <c r="V63" i="261"/>
  <c r="U63" i="261"/>
  <c r="T63" i="261"/>
  <c r="S63" i="261"/>
  <c r="R63" i="261"/>
  <c r="M63" i="261"/>
  <c r="L63" i="261"/>
  <c r="F63" i="261"/>
  <c r="G63" i="261" s="1"/>
  <c r="B63" i="261"/>
  <c r="Z62" i="261"/>
  <c r="Y62" i="261"/>
  <c r="X62" i="261"/>
  <c r="W62" i="261"/>
  <c r="V62" i="261"/>
  <c r="U62" i="261"/>
  <c r="T62" i="261"/>
  <c r="S62" i="261"/>
  <c r="R62" i="261"/>
  <c r="M62" i="261"/>
  <c r="L62" i="261"/>
  <c r="F62" i="261"/>
  <c r="G62" i="261" s="1"/>
  <c r="B62" i="261"/>
  <c r="Z61" i="261"/>
  <c r="Y61" i="261"/>
  <c r="X61" i="261"/>
  <c r="W61" i="261"/>
  <c r="V61" i="261"/>
  <c r="U61" i="261"/>
  <c r="T61" i="261"/>
  <c r="S61" i="261"/>
  <c r="R61" i="261"/>
  <c r="M61" i="261"/>
  <c r="L61" i="261"/>
  <c r="F61" i="261"/>
  <c r="G61" i="261" s="1"/>
  <c r="B61" i="261"/>
  <c r="Z60" i="261"/>
  <c r="Y60" i="261"/>
  <c r="X60" i="261"/>
  <c r="W60" i="261"/>
  <c r="V60" i="261"/>
  <c r="U60" i="261"/>
  <c r="T60" i="261"/>
  <c r="S60" i="261"/>
  <c r="R60" i="261"/>
  <c r="M60" i="261"/>
  <c r="L60" i="261"/>
  <c r="F60" i="261"/>
  <c r="G60" i="261" s="1"/>
  <c r="B60" i="261"/>
  <c r="Z59" i="261"/>
  <c r="Y59" i="261"/>
  <c r="X59" i="261"/>
  <c r="W59" i="261"/>
  <c r="V59" i="261"/>
  <c r="U59" i="261"/>
  <c r="T59" i="261"/>
  <c r="S59" i="261"/>
  <c r="R59" i="261"/>
  <c r="M59" i="261"/>
  <c r="L59" i="261"/>
  <c r="F59" i="261"/>
  <c r="G59" i="261" s="1"/>
  <c r="B59" i="261"/>
  <c r="Z58" i="261"/>
  <c r="Y58" i="261"/>
  <c r="X58" i="261"/>
  <c r="W58" i="261"/>
  <c r="V58" i="261"/>
  <c r="U58" i="261"/>
  <c r="T58" i="261"/>
  <c r="S58" i="261"/>
  <c r="R58" i="261"/>
  <c r="M58" i="261"/>
  <c r="L58" i="261"/>
  <c r="F58" i="261"/>
  <c r="G58" i="261" s="1"/>
  <c r="B58" i="261"/>
  <c r="Z57" i="261"/>
  <c r="Y57" i="261"/>
  <c r="X57" i="261"/>
  <c r="W57" i="261"/>
  <c r="V57" i="261"/>
  <c r="U57" i="261"/>
  <c r="T57" i="261"/>
  <c r="S57" i="261"/>
  <c r="R57" i="261"/>
  <c r="M57" i="261"/>
  <c r="L57" i="261"/>
  <c r="F57" i="261"/>
  <c r="G57" i="261" s="1"/>
  <c r="B57" i="261"/>
  <c r="Z56" i="261"/>
  <c r="Y56" i="261"/>
  <c r="X56" i="261"/>
  <c r="W56" i="261"/>
  <c r="V56" i="261"/>
  <c r="U56" i="261"/>
  <c r="T56" i="261"/>
  <c r="S56" i="261"/>
  <c r="R56" i="261"/>
  <c r="M56" i="261"/>
  <c r="L56" i="261"/>
  <c r="F56" i="261"/>
  <c r="G56" i="261" s="1"/>
  <c r="B56" i="261"/>
  <c r="Z55" i="261"/>
  <c r="Y55" i="261"/>
  <c r="X55" i="261"/>
  <c r="W55" i="261"/>
  <c r="V55" i="261"/>
  <c r="U55" i="261"/>
  <c r="T55" i="261"/>
  <c r="S55" i="261"/>
  <c r="R55" i="261"/>
  <c r="M55" i="261"/>
  <c r="L55" i="261"/>
  <c r="F55" i="261"/>
  <c r="G55" i="261" s="1"/>
  <c r="B55" i="261"/>
  <c r="Z54" i="261"/>
  <c r="Y54" i="261"/>
  <c r="X54" i="261"/>
  <c r="W54" i="261"/>
  <c r="V54" i="261"/>
  <c r="U54" i="261"/>
  <c r="T54" i="261"/>
  <c r="S54" i="261"/>
  <c r="R54" i="261"/>
  <c r="M54" i="261"/>
  <c r="L54" i="261"/>
  <c r="F54" i="261"/>
  <c r="G54" i="261" s="1"/>
  <c r="B54" i="261"/>
  <c r="Z53" i="261"/>
  <c r="Y53" i="261"/>
  <c r="X53" i="261"/>
  <c r="W53" i="261"/>
  <c r="V53" i="261"/>
  <c r="U53" i="261"/>
  <c r="T53" i="261"/>
  <c r="S53" i="261"/>
  <c r="R53" i="261"/>
  <c r="M53" i="261"/>
  <c r="L53" i="261"/>
  <c r="F53" i="261"/>
  <c r="G53" i="261" s="1"/>
  <c r="B53" i="261"/>
  <c r="Z52" i="261"/>
  <c r="Y52" i="261"/>
  <c r="X52" i="261"/>
  <c r="W52" i="261"/>
  <c r="V52" i="261"/>
  <c r="U52" i="261"/>
  <c r="T52" i="261"/>
  <c r="S52" i="261"/>
  <c r="R52" i="261"/>
  <c r="M52" i="261"/>
  <c r="L52" i="261"/>
  <c r="F52" i="261"/>
  <c r="G52" i="261" s="1"/>
  <c r="B52" i="261"/>
  <c r="Z51" i="261"/>
  <c r="Y51" i="261"/>
  <c r="X51" i="261"/>
  <c r="W51" i="261"/>
  <c r="V51" i="261"/>
  <c r="U51" i="261"/>
  <c r="T51" i="261"/>
  <c r="S51" i="261"/>
  <c r="R51" i="261"/>
  <c r="M51" i="261"/>
  <c r="L51" i="261"/>
  <c r="F51" i="261"/>
  <c r="G51" i="261" s="1"/>
  <c r="B51" i="261"/>
  <c r="Z50" i="261"/>
  <c r="Y50" i="261"/>
  <c r="X50" i="261"/>
  <c r="W50" i="261"/>
  <c r="V50" i="261"/>
  <c r="U50" i="261"/>
  <c r="T50" i="261"/>
  <c r="S50" i="261"/>
  <c r="R50" i="261"/>
  <c r="M50" i="261"/>
  <c r="L50" i="261"/>
  <c r="F50" i="261"/>
  <c r="G50" i="261" s="1"/>
  <c r="B50" i="261"/>
  <c r="Z49" i="261"/>
  <c r="Y49" i="261"/>
  <c r="X49" i="261"/>
  <c r="W49" i="261"/>
  <c r="V49" i="261"/>
  <c r="U49" i="261"/>
  <c r="T49" i="261"/>
  <c r="S49" i="261"/>
  <c r="R49" i="261"/>
  <c r="M49" i="261"/>
  <c r="L49" i="261"/>
  <c r="F49" i="261"/>
  <c r="G49" i="261" s="1"/>
  <c r="B49" i="261"/>
  <c r="Z48" i="261"/>
  <c r="Y48" i="261"/>
  <c r="X48" i="261"/>
  <c r="W48" i="261"/>
  <c r="V48" i="261"/>
  <c r="U48" i="261"/>
  <c r="T48" i="261"/>
  <c r="S48" i="261"/>
  <c r="R48" i="261"/>
  <c r="M48" i="261"/>
  <c r="L48" i="261"/>
  <c r="F48" i="261"/>
  <c r="G48" i="261" s="1"/>
  <c r="B48" i="261"/>
  <c r="Z47" i="261"/>
  <c r="Y47" i="261"/>
  <c r="X47" i="261"/>
  <c r="W47" i="261"/>
  <c r="V47" i="261"/>
  <c r="U47" i="261"/>
  <c r="T47" i="261"/>
  <c r="S47" i="261"/>
  <c r="R47" i="261"/>
  <c r="M47" i="261"/>
  <c r="L47" i="261"/>
  <c r="F47" i="261"/>
  <c r="G47" i="261" s="1"/>
  <c r="B47" i="261"/>
  <c r="Z46" i="261"/>
  <c r="Y46" i="261"/>
  <c r="X46" i="261"/>
  <c r="W46" i="261"/>
  <c r="V46" i="261"/>
  <c r="U46" i="261"/>
  <c r="T46" i="261"/>
  <c r="S46" i="261"/>
  <c r="R46" i="261"/>
  <c r="M46" i="261"/>
  <c r="L46" i="261"/>
  <c r="F46" i="261"/>
  <c r="G46" i="261" s="1"/>
  <c r="B46" i="261"/>
  <c r="Z45" i="261"/>
  <c r="Y45" i="261"/>
  <c r="X45" i="261"/>
  <c r="W45" i="261"/>
  <c r="V45" i="261"/>
  <c r="U45" i="261"/>
  <c r="T45" i="261"/>
  <c r="S45" i="261"/>
  <c r="R45" i="261"/>
  <c r="M45" i="261"/>
  <c r="L45" i="261"/>
  <c r="F45" i="261"/>
  <c r="G45" i="261" s="1"/>
  <c r="B45" i="261"/>
  <c r="Z44" i="261"/>
  <c r="Y44" i="261"/>
  <c r="X44" i="261"/>
  <c r="W44" i="261"/>
  <c r="V44" i="261"/>
  <c r="U44" i="261"/>
  <c r="T44" i="261"/>
  <c r="S44" i="261"/>
  <c r="R44" i="261"/>
  <c r="M44" i="261"/>
  <c r="L44" i="261"/>
  <c r="F44" i="261"/>
  <c r="G44" i="261" s="1"/>
  <c r="B44" i="261"/>
  <c r="Z43" i="261"/>
  <c r="Y43" i="261"/>
  <c r="X43" i="261"/>
  <c r="W43" i="261"/>
  <c r="V43" i="261"/>
  <c r="U43" i="261"/>
  <c r="T43" i="261"/>
  <c r="S43" i="261"/>
  <c r="R43" i="261"/>
  <c r="M43" i="261"/>
  <c r="L43" i="261"/>
  <c r="F43" i="261"/>
  <c r="G43" i="261" s="1"/>
  <c r="B43" i="261"/>
  <c r="Z42" i="261"/>
  <c r="Y42" i="261"/>
  <c r="X42" i="261"/>
  <c r="W42" i="261"/>
  <c r="V42" i="261"/>
  <c r="U42" i="261"/>
  <c r="T42" i="261"/>
  <c r="S42" i="261"/>
  <c r="R42" i="261"/>
  <c r="M42" i="261"/>
  <c r="L42" i="261"/>
  <c r="F42" i="261"/>
  <c r="G42" i="261" s="1"/>
  <c r="B42" i="261"/>
  <c r="Z41" i="261"/>
  <c r="Y41" i="261"/>
  <c r="X41" i="261"/>
  <c r="W41" i="261"/>
  <c r="V41" i="261"/>
  <c r="U41" i="261"/>
  <c r="T41" i="261"/>
  <c r="S41" i="261"/>
  <c r="R41" i="261"/>
  <c r="M41" i="261"/>
  <c r="L41" i="261"/>
  <c r="F41" i="261"/>
  <c r="G41" i="261" s="1"/>
  <c r="B41" i="261"/>
  <c r="Z40" i="261"/>
  <c r="Y40" i="261"/>
  <c r="X40" i="261"/>
  <c r="W40" i="261"/>
  <c r="V40" i="261"/>
  <c r="U40" i="261"/>
  <c r="T40" i="261"/>
  <c r="S40" i="261"/>
  <c r="R40" i="261"/>
  <c r="M40" i="261"/>
  <c r="L40" i="261"/>
  <c r="F40" i="261"/>
  <c r="G40" i="261" s="1"/>
  <c r="B40" i="261"/>
  <c r="Z39" i="261"/>
  <c r="Y39" i="261"/>
  <c r="X39" i="261"/>
  <c r="W39" i="261"/>
  <c r="V39" i="261"/>
  <c r="U39" i="261"/>
  <c r="T39" i="261"/>
  <c r="S39" i="261"/>
  <c r="R39" i="261"/>
  <c r="M39" i="261"/>
  <c r="L39" i="261"/>
  <c r="F39" i="261"/>
  <c r="G39" i="261" s="1"/>
  <c r="B39" i="261"/>
  <c r="Z38" i="261"/>
  <c r="Y38" i="261"/>
  <c r="X38" i="261"/>
  <c r="W38" i="261"/>
  <c r="V38" i="261"/>
  <c r="U38" i="261"/>
  <c r="T38" i="261"/>
  <c r="S38" i="261"/>
  <c r="R38" i="261"/>
  <c r="M38" i="261"/>
  <c r="L38" i="261"/>
  <c r="F38" i="261"/>
  <c r="G38" i="261" s="1"/>
  <c r="B38" i="261"/>
  <c r="Z37" i="261"/>
  <c r="Y37" i="261"/>
  <c r="X37" i="261"/>
  <c r="W37" i="261"/>
  <c r="V37" i="261"/>
  <c r="U37" i="261"/>
  <c r="T37" i="261"/>
  <c r="S37" i="261"/>
  <c r="R37" i="261"/>
  <c r="M37" i="261"/>
  <c r="L37" i="261"/>
  <c r="F37" i="261"/>
  <c r="G37" i="261" s="1"/>
  <c r="B37" i="261"/>
  <c r="Z36" i="261"/>
  <c r="Y36" i="261"/>
  <c r="X36" i="261"/>
  <c r="W36" i="261"/>
  <c r="V36" i="261"/>
  <c r="U36" i="261"/>
  <c r="T36" i="261"/>
  <c r="S36" i="261"/>
  <c r="R36" i="261"/>
  <c r="M36" i="261"/>
  <c r="L36" i="261"/>
  <c r="F36" i="261"/>
  <c r="G36" i="261" s="1"/>
  <c r="B36" i="261"/>
  <c r="Z35" i="261"/>
  <c r="Y35" i="261"/>
  <c r="X35" i="261"/>
  <c r="W35" i="261"/>
  <c r="V35" i="261"/>
  <c r="U35" i="261"/>
  <c r="T35" i="261"/>
  <c r="S35" i="261"/>
  <c r="R35" i="261"/>
  <c r="M35" i="261"/>
  <c r="L35" i="261"/>
  <c r="F35" i="261"/>
  <c r="G35" i="261" s="1"/>
  <c r="B35" i="261"/>
  <c r="Z34" i="261"/>
  <c r="Y34" i="261"/>
  <c r="X34" i="261"/>
  <c r="W34" i="261"/>
  <c r="V34" i="261"/>
  <c r="U34" i="261"/>
  <c r="T34" i="261"/>
  <c r="S34" i="261"/>
  <c r="R34" i="261"/>
  <c r="M34" i="261"/>
  <c r="L34" i="261"/>
  <c r="F34" i="261"/>
  <c r="G34" i="261" s="1"/>
  <c r="B34" i="261"/>
  <c r="Z33" i="261"/>
  <c r="Y33" i="261"/>
  <c r="X33" i="261"/>
  <c r="W33" i="261"/>
  <c r="V33" i="261"/>
  <c r="U33" i="261"/>
  <c r="T33" i="261"/>
  <c r="S33" i="261"/>
  <c r="R33" i="261"/>
  <c r="M33" i="261"/>
  <c r="L33" i="261"/>
  <c r="F33" i="261"/>
  <c r="G33" i="261" s="1"/>
  <c r="B33" i="261"/>
  <c r="Z32" i="261"/>
  <c r="Y32" i="261"/>
  <c r="X32" i="261"/>
  <c r="W32" i="261"/>
  <c r="V32" i="261"/>
  <c r="U32" i="261"/>
  <c r="T32" i="261"/>
  <c r="S32" i="261"/>
  <c r="R32" i="261"/>
  <c r="M32" i="261"/>
  <c r="L32" i="261"/>
  <c r="F32" i="261"/>
  <c r="G32" i="261" s="1"/>
  <c r="B32" i="261"/>
  <c r="Z31" i="261"/>
  <c r="Y31" i="261"/>
  <c r="X31" i="261"/>
  <c r="W31" i="261"/>
  <c r="V31" i="261"/>
  <c r="U31" i="261"/>
  <c r="T31" i="261"/>
  <c r="S31" i="261"/>
  <c r="R31" i="261"/>
  <c r="M31" i="261"/>
  <c r="L31" i="261"/>
  <c r="F31" i="261"/>
  <c r="G31" i="261" s="1"/>
  <c r="B31" i="261"/>
  <c r="Z30" i="261"/>
  <c r="Y30" i="261"/>
  <c r="X30" i="261"/>
  <c r="W30" i="261"/>
  <c r="V30" i="261"/>
  <c r="U30" i="261"/>
  <c r="T30" i="261"/>
  <c r="S30" i="261"/>
  <c r="R30" i="261"/>
  <c r="M30" i="261"/>
  <c r="L30" i="261"/>
  <c r="F30" i="261"/>
  <c r="G30" i="261" s="1"/>
  <c r="B30" i="261"/>
  <c r="Z29" i="261"/>
  <c r="Y29" i="261"/>
  <c r="X29" i="261"/>
  <c r="W29" i="261"/>
  <c r="V29" i="261"/>
  <c r="U29" i="261"/>
  <c r="T29" i="261"/>
  <c r="S29" i="261"/>
  <c r="R29" i="261"/>
  <c r="M29" i="261"/>
  <c r="L29" i="261"/>
  <c r="F29" i="261"/>
  <c r="G29" i="261" s="1"/>
  <c r="B29" i="261"/>
  <c r="Z28" i="261"/>
  <c r="Y28" i="261"/>
  <c r="X28" i="261"/>
  <c r="W28" i="261"/>
  <c r="V28" i="261"/>
  <c r="U28" i="261"/>
  <c r="T28" i="261"/>
  <c r="S28" i="261"/>
  <c r="R28" i="261"/>
  <c r="M28" i="261"/>
  <c r="L28" i="261"/>
  <c r="F28" i="261"/>
  <c r="G28" i="261" s="1"/>
  <c r="B28" i="261"/>
  <c r="Z27" i="261"/>
  <c r="Y27" i="261"/>
  <c r="X27" i="261"/>
  <c r="W27" i="261"/>
  <c r="V27" i="261"/>
  <c r="U27" i="261"/>
  <c r="T27" i="261"/>
  <c r="S27" i="261"/>
  <c r="R27" i="261"/>
  <c r="M27" i="261"/>
  <c r="L27" i="261"/>
  <c r="F27" i="261"/>
  <c r="G27" i="261" s="1"/>
  <c r="B27" i="261"/>
  <c r="Z26" i="261"/>
  <c r="Y26" i="261"/>
  <c r="X26" i="261"/>
  <c r="W26" i="261"/>
  <c r="V26" i="261"/>
  <c r="U26" i="261"/>
  <c r="T26" i="261"/>
  <c r="S26" i="261"/>
  <c r="R26" i="261"/>
  <c r="M26" i="261"/>
  <c r="L26" i="261"/>
  <c r="F26" i="261"/>
  <c r="G26" i="261" s="1"/>
  <c r="B26" i="261"/>
  <c r="Z25" i="261"/>
  <c r="Y25" i="261"/>
  <c r="X25" i="261"/>
  <c r="W25" i="261"/>
  <c r="V25" i="261"/>
  <c r="U25" i="261"/>
  <c r="T25" i="261"/>
  <c r="S25" i="261"/>
  <c r="R25" i="261"/>
  <c r="M25" i="261"/>
  <c r="L25" i="261"/>
  <c r="F25" i="261"/>
  <c r="G25" i="261" s="1"/>
  <c r="B25" i="261"/>
  <c r="Z24" i="261"/>
  <c r="Y24" i="261"/>
  <c r="X24" i="261"/>
  <c r="W24" i="261"/>
  <c r="V24" i="261"/>
  <c r="U24" i="261"/>
  <c r="T24" i="261"/>
  <c r="S24" i="261"/>
  <c r="R24" i="261"/>
  <c r="M24" i="261"/>
  <c r="L24" i="261"/>
  <c r="F24" i="261"/>
  <c r="G24" i="261" s="1"/>
  <c r="B24" i="261"/>
  <c r="Z23" i="261"/>
  <c r="Y23" i="261"/>
  <c r="X23" i="261"/>
  <c r="W23" i="261"/>
  <c r="V23" i="261"/>
  <c r="U23" i="261"/>
  <c r="T23" i="261"/>
  <c r="S23" i="261"/>
  <c r="R23" i="261"/>
  <c r="M23" i="261"/>
  <c r="L23" i="261"/>
  <c r="F23" i="261"/>
  <c r="G23" i="261" s="1"/>
  <c r="B23" i="261"/>
  <c r="Z22" i="261"/>
  <c r="Y22" i="261"/>
  <c r="X22" i="261"/>
  <c r="W22" i="261"/>
  <c r="V22" i="261"/>
  <c r="U22" i="261"/>
  <c r="T22" i="261"/>
  <c r="S22" i="261"/>
  <c r="R22" i="261"/>
  <c r="M22" i="261"/>
  <c r="L22" i="261"/>
  <c r="F22" i="261"/>
  <c r="G22" i="261" s="1"/>
  <c r="B22" i="261"/>
  <c r="Z21" i="261"/>
  <c r="Y21" i="261"/>
  <c r="X21" i="261"/>
  <c r="W21" i="261"/>
  <c r="V21" i="261"/>
  <c r="U21" i="261"/>
  <c r="T21" i="261"/>
  <c r="S21" i="261"/>
  <c r="R21" i="261"/>
  <c r="M21" i="261"/>
  <c r="L21" i="261"/>
  <c r="F21" i="261"/>
  <c r="G21" i="261" s="1"/>
  <c r="B21" i="261"/>
  <c r="Z20" i="261"/>
  <c r="Y20" i="261"/>
  <c r="X20" i="261"/>
  <c r="W20" i="261"/>
  <c r="V20" i="261"/>
  <c r="U20" i="261"/>
  <c r="T20" i="261"/>
  <c r="S20" i="261"/>
  <c r="R20" i="261"/>
  <c r="M20" i="261"/>
  <c r="L20" i="261"/>
  <c r="F20" i="261"/>
  <c r="G20" i="261" s="1"/>
  <c r="B20" i="261"/>
  <c r="Z19" i="261"/>
  <c r="Y19" i="261"/>
  <c r="X19" i="261"/>
  <c r="W19" i="261"/>
  <c r="V19" i="261"/>
  <c r="U19" i="261"/>
  <c r="T19" i="261"/>
  <c r="S19" i="261"/>
  <c r="R19" i="261"/>
  <c r="M19" i="261"/>
  <c r="L19" i="261"/>
  <c r="F19" i="261"/>
  <c r="G19" i="261" s="1"/>
  <c r="B19" i="261"/>
  <c r="Z18" i="261"/>
  <c r="Y18" i="261"/>
  <c r="X18" i="261"/>
  <c r="W18" i="261"/>
  <c r="V18" i="261"/>
  <c r="U18" i="261"/>
  <c r="T18" i="261"/>
  <c r="S18" i="261"/>
  <c r="R18" i="261"/>
  <c r="M18" i="261"/>
  <c r="L18" i="261"/>
  <c r="F18" i="261"/>
  <c r="G18" i="261" s="1"/>
  <c r="B18" i="261"/>
  <c r="Z17" i="261"/>
  <c r="Y17" i="261"/>
  <c r="X17" i="261"/>
  <c r="W17" i="261"/>
  <c r="V17" i="261"/>
  <c r="U17" i="261"/>
  <c r="T17" i="261"/>
  <c r="S17" i="261"/>
  <c r="R17" i="261"/>
  <c r="M17" i="261"/>
  <c r="L17" i="261"/>
  <c r="F17" i="261"/>
  <c r="G17" i="261" s="1"/>
  <c r="B17" i="261"/>
  <c r="Z16" i="261"/>
  <c r="Y16" i="261"/>
  <c r="X16" i="261"/>
  <c r="W16" i="261"/>
  <c r="V16" i="261"/>
  <c r="U16" i="261"/>
  <c r="T16" i="261"/>
  <c r="S16" i="261"/>
  <c r="R16" i="261"/>
  <c r="M16" i="261"/>
  <c r="L16" i="261"/>
  <c r="F16" i="261"/>
  <c r="G16" i="261" s="1"/>
  <c r="B16" i="261"/>
  <c r="Z15" i="261"/>
  <c r="Z101" i="261" s="1"/>
  <c r="Y15" i="261"/>
  <c r="Y101" i="261" s="1"/>
  <c r="X15" i="261"/>
  <c r="X101" i="261" s="1"/>
  <c r="W15" i="261"/>
  <c r="W101" i="261" s="1"/>
  <c r="V15" i="261"/>
  <c r="V101" i="261" s="1"/>
  <c r="U15" i="261"/>
  <c r="U101" i="261" s="1"/>
  <c r="T15" i="261"/>
  <c r="T101" i="261" s="1"/>
  <c r="S15" i="261"/>
  <c r="S101" i="261" s="1"/>
  <c r="R15" i="261"/>
  <c r="R101" i="261" s="1"/>
  <c r="M15" i="261"/>
  <c r="L15" i="261"/>
  <c r="F15" i="261"/>
  <c r="B15" i="261"/>
  <c r="F9" i="261"/>
  <c r="AI8" i="261"/>
  <c r="F8" i="261"/>
  <c r="AI7" i="261"/>
  <c r="AI6" i="261"/>
  <c r="G62" i="5"/>
  <c r="G60" i="5"/>
  <c r="G59" i="5"/>
  <c r="G58" i="5"/>
  <c r="G56" i="5"/>
  <c r="G29" i="5"/>
  <c r="G28" i="5"/>
  <c r="G26" i="5"/>
  <c r="G25" i="5"/>
  <c r="G24" i="5"/>
  <c r="G22" i="5"/>
  <c r="G21" i="5"/>
  <c r="G20" i="5"/>
  <c r="G18" i="5"/>
  <c r="G17" i="5"/>
  <c r="G16" i="5"/>
  <c r="G14" i="5"/>
  <c r="N470" i="307"/>
  <c r="M470" i="307"/>
  <c r="L470" i="307"/>
  <c r="K470" i="307"/>
  <c r="J470" i="307"/>
  <c r="I470" i="307"/>
  <c r="H470" i="307"/>
  <c r="G470" i="307"/>
  <c r="F470" i="307"/>
  <c r="E470" i="307"/>
  <c r="M467" i="307"/>
  <c r="L467" i="307"/>
  <c r="K467" i="307"/>
  <c r="J467" i="307"/>
  <c r="I467" i="307"/>
  <c r="H467" i="307"/>
  <c r="G467" i="307"/>
  <c r="F467" i="307"/>
  <c r="E467" i="307"/>
  <c r="M466" i="307"/>
  <c r="L466" i="307"/>
  <c r="K466" i="307"/>
  <c r="J466" i="307"/>
  <c r="I466" i="307"/>
  <c r="H466" i="307"/>
  <c r="G466" i="307"/>
  <c r="F466" i="307"/>
  <c r="E466" i="307"/>
  <c r="W463" i="307"/>
  <c r="K462" i="307"/>
  <c r="K459" i="307"/>
  <c r="G459" i="307"/>
  <c r="F459" i="307"/>
  <c r="K458" i="307"/>
  <c r="H458" i="307"/>
  <c r="L457" i="307"/>
  <c r="M456" i="307"/>
  <c r="L456" i="307"/>
  <c r="K456" i="307"/>
  <c r="J456" i="307"/>
  <c r="I456" i="307"/>
  <c r="H456" i="307"/>
  <c r="G456" i="307"/>
  <c r="F456" i="307"/>
  <c r="E456" i="307"/>
  <c r="M455" i="307"/>
  <c r="L455" i="307"/>
  <c r="K455" i="307"/>
  <c r="J455" i="307"/>
  <c r="I455" i="307"/>
  <c r="H455" i="307"/>
  <c r="G455" i="307"/>
  <c r="F455" i="307"/>
  <c r="E455" i="307"/>
  <c r="AV445" i="307"/>
  <c r="AU445" i="307"/>
  <c r="AS445" i="307"/>
  <c r="AR445" i="307"/>
  <c r="AQ445" i="307"/>
  <c r="AP445" i="307"/>
  <c r="AM445" i="307"/>
  <c r="AL445" i="307"/>
  <c r="AG445" i="307"/>
  <c r="AF445" i="307"/>
  <c r="AA445" i="307"/>
  <c r="Z445" i="307"/>
  <c r="Y445" i="307"/>
  <c r="X445" i="307"/>
  <c r="W445" i="307"/>
  <c r="V445" i="307"/>
  <c r="U445" i="307"/>
  <c r="T445" i="307"/>
  <c r="S445" i="307"/>
  <c r="R445" i="307"/>
  <c r="Q445" i="307"/>
  <c r="P445" i="307"/>
  <c r="O445" i="307"/>
  <c r="N445" i="307"/>
  <c r="M445" i="307"/>
  <c r="L445" i="307"/>
  <c r="K445" i="307"/>
  <c r="J445" i="307"/>
  <c r="I445" i="307"/>
  <c r="H445" i="307"/>
  <c r="G445" i="307"/>
  <c r="F445" i="307"/>
  <c r="E445" i="307"/>
  <c r="AO444" i="307"/>
  <c r="AN444" i="307"/>
  <c r="AJ444" i="307"/>
  <c r="AI444" i="307"/>
  <c r="AH444" i="307"/>
  <c r="AE444" i="307"/>
  <c r="AA444" i="307"/>
  <c r="V444" i="307"/>
  <c r="U444" i="307"/>
  <c r="T444" i="307"/>
  <c r="S444" i="307"/>
  <c r="R444" i="307"/>
  <c r="Q444" i="307"/>
  <c r="P444" i="307"/>
  <c r="O444" i="307"/>
  <c r="N444" i="307"/>
  <c r="B444" i="307"/>
  <c r="AO443" i="307"/>
  <c r="AN443" i="307"/>
  <c r="AJ443" i="307"/>
  <c r="AI443" i="307"/>
  <c r="AH443" i="307"/>
  <c r="AE443" i="307"/>
  <c r="AA443" i="307"/>
  <c r="V443" i="307"/>
  <c r="U443" i="307"/>
  <c r="T443" i="307"/>
  <c r="S443" i="307"/>
  <c r="R443" i="307"/>
  <c r="Q443" i="307"/>
  <c r="P443" i="307"/>
  <c r="O443" i="307"/>
  <c r="N443" i="307"/>
  <c r="B443" i="307"/>
  <c r="AO442" i="307"/>
  <c r="AN442" i="307"/>
  <c r="AJ442" i="307"/>
  <c r="AI442" i="307"/>
  <c r="AH442" i="307"/>
  <c r="AE442" i="307"/>
  <c r="AA442" i="307"/>
  <c r="V442" i="307"/>
  <c r="U442" i="307"/>
  <c r="T442" i="307"/>
  <c r="S442" i="307"/>
  <c r="R442" i="307"/>
  <c r="Q442" i="307"/>
  <c r="P442" i="307"/>
  <c r="O442" i="307"/>
  <c r="N442" i="307"/>
  <c r="B442" i="307"/>
  <c r="AO441" i="307"/>
  <c r="AN441" i="307"/>
  <c r="AJ441" i="307"/>
  <c r="AI441" i="307"/>
  <c r="AH441" i="307"/>
  <c r="AE441" i="307"/>
  <c r="AA441" i="307"/>
  <c r="V441" i="307"/>
  <c r="U441" i="307"/>
  <c r="T441" i="307"/>
  <c r="S441" i="307"/>
  <c r="R441" i="307"/>
  <c r="Q441" i="307"/>
  <c r="P441" i="307"/>
  <c r="O441" i="307"/>
  <c r="N441" i="307"/>
  <c r="B441" i="307"/>
  <c r="AO440" i="307"/>
  <c r="AN440" i="307"/>
  <c r="AJ440" i="307"/>
  <c r="AI440" i="307"/>
  <c r="AH440" i="307"/>
  <c r="AE440" i="307"/>
  <c r="AA440" i="307"/>
  <c r="V440" i="307"/>
  <c r="U440" i="307"/>
  <c r="T440" i="307"/>
  <c r="S440" i="307"/>
  <c r="R440" i="307"/>
  <c r="Q440" i="307"/>
  <c r="P440" i="307"/>
  <c r="O440" i="307"/>
  <c r="N440" i="307"/>
  <c r="B440" i="307"/>
  <c r="AT439" i="307"/>
  <c r="AO439" i="307"/>
  <c r="AN439" i="307"/>
  <c r="AJ439" i="307"/>
  <c r="AI439" i="307"/>
  <c r="AB439" i="307"/>
  <c r="AE439" i="307" s="1"/>
  <c r="AH439" i="307" s="1"/>
  <c r="AA439" i="307"/>
  <c r="V439" i="307"/>
  <c r="U439" i="307"/>
  <c r="T439" i="307"/>
  <c r="S439" i="307"/>
  <c r="R439" i="307"/>
  <c r="Q439" i="307"/>
  <c r="P439" i="307"/>
  <c r="O439" i="307"/>
  <c r="N439" i="307"/>
  <c r="B439" i="307"/>
  <c r="AT438" i="307"/>
  <c r="AO438" i="307"/>
  <c r="AN438" i="307"/>
  <c r="AJ438" i="307"/>
  <c r="AI438" i="307"/>
  <c r="AB438" i="307"/>
  <c r="AE438" i="307" s="1"/>
  <c r="AH438" i="307" s="1"/>
  <c r="AA438" i="307"/>
  <c r="V438" i="307"/>
  <c r="U438" i="307"/>
  <c r="T438" i="307"/>
  <c r="S438" i="307"/>
  <c r="R438" i="307"/>
  <c r="Q438" i="307"/>
  <c r="P438" i="307"/>
  <c r="O438" i="307"/>
  <c r="N438" i="307"/>
  <c r="B438" i="307"/>
  <c r="AT437" i="307"/>
  <c r="AO437" i="307"/>
  <c r="AN437" i="307"/>
  <c r="AJ437" i="307"/>
  <c r="AI437" i="307"/>
  <c r="AB437" i="307"/>
  <c r="AE437" i="307" s="1"/>
  <c r="AH437" i="307" s="1"/>
  <c r="AA437" i="307"/>
  <c r="V437" i="307"/>
  <c r="U437" i="307"/>
  <c r="T437" i="307"/>
  <c r="S437" i="307"/>
  <c r="R437" i="307"/>
  <c r="Q437" i="307"/>
  <c r="P437" i="307"/>
  <c r="O437" i="307"/>
  <c r="N437" i="307"/>
  <c r="B437" i="307"/>
  <c r="AT436" i="307"/>
  <c r="AO436" i="307"/>
  <c r="AN436" i="307"/>
  <c r="AJ436" i="307"/>
  <c r="AI436" i="307"/>
  <c r="AB436" i="307"/>
  <c r="AE436" i="307" s="1"/>
  <c r="AH436" i="307" s="1"/>
  <c r="AA436" i="307"/>
  <c r="V436" i="307"/>
  <c r="U436" i="307"/>
  <c r="T436" i="307"/>
  <c r="S436" i="307"/>
  <c r="R436" i="307"/>
  <c r="Q436" i="307"/>
  <c r="P436" i="307"/>
  <c r="O436" i="307"/>
  <c r="N436" i="307"/>
  <c r="B436" i="307"/>
  <c r="AT435" i="307"/>
  <c r="AO435" i="307"/>
  <c r="AN435" i="307"/>
  <c r="AJ435" i="307"/>
  <c r="AI435" i="307"/>
  <c r="AB435" i="307"/>
  <c r="AE435" i="307" s="1"/>
  <c r="AH435" i="307" s="1"/>
  <c r="AA435" i="307"/>
  <c r="V435" i="307"/>
  <c r="U435" i="307"/>
  <c r="T435" i="307"/>
  <c r="S435" i="307"/>
  <c r="R435" i="307"/>
  <c r="Q435" i="307"/>
  <c r="P435" i="307"/>
  <c r="O435" i="307"/>
  <c r="N435" i="307"/>
  <c r="B435" i="307"/>
  <c r="AT434" i="307"/>
  <c r="AO434" i="307"/>
  <c r="AN434" i="307"/>
  <c r="AJ434" i="307"/>
  <c r="AI434" i="307"/>
  <c r="AB434" i="307"/>
  <c r="AE434" i="307" s="1"/>
  <c r="AH434" i="307" s="1"/>
  <c r="AA434" i="307"/>
  <c r="V434" i="307"/>
  <c r="U434" i="307"/>
  <c r="T434" i="307"/>
  <c r="S434" i="307"/>
  <c r="R434" i="307"/>
  <c r="Q434" i="307"/>
  <c r="P434" i="307"/>
  <c r="O434" i="307"/>
  <c r="N434" i="307"/>
  <c r="B434" i="307"/>
  <c r="AT433" i="307"/>
  <c r="AO433" i="307"/>
  <c r="AN433" i="307"/>
  <c r="AJ433" i="307"/>
  <c r="AI433" i="307"/>
  <c r="AB433" i="307"/>
  <c r="AE433" i="307" s="1"/>
  <c r="AH433" i="307" s="1"/>
  <c r="AA433" i="307"/>
  <c r="V433" i="307"/>
  <c r="U433" i="307"/>
  <c r="T433" i="307"/>
  <c r="S433" i="307"/>
  <c r="R433" i="307"/>
  <c r="Q433" i="307"/>
  <c r="P433" i="307"/>
  <c r="O433" i="307"/>
  <c r="N433" i="307"/>
  <c r="B433" i="307"/>
  <c r="AT432" i="307"/>
  <c r="AO432" i="307"/>
  <c r="AN432" i="307"/>
  <c r="AJ432" i="307"/>
  <c r="AI432" i="307"/>
  <c r="AB432" i="307"/>
  <c r="AE432" i="307" s="1"/>
  <c r="AH432" i="307" s="1"/>
  <c r="AA432" i="307"/>
  <c r="V432" i="307"/>
  <c r="U432" i="307"/>
  <c r="T432" i="307"/>
  <c r="S432" i="307"/>
  <c r="R432" i="307"/>
  <c r="Q432" i="307"/>
  <c r="P432" i="307"/>
  <c r="O432" i="307"/>
  <c r="N432" i="307"/>
  <c r="B432" i="307"/>
  <c r="AT431" i="307"/>
  <c r="AO431" i="307"/>
  <c r="AN431" i="307"/>
  <c r="AJ431" i="307"/>
  <c r="AI431" i="307"/>
  <c r="AB431" i="307"/>
  <c r="AE431" i="307" s="1"/>
  <c r="AH431" i="307" s="1"/>
  <c r="AA431" i="307"/>
  <c r="V431" i="307"/>
  <c r="U431" i="307"/>
  <c r="T431" i="307"/>
  <c r="S431" i="307"/>
  <c r="R431" i="307"/>
  <c r="Q431" i="307"/>
  <c r="P431" i="307"/>
  <c r="O431" i="307"/>
  <c r="N431" i="307"/>
  <c r="B431" i="307"/>
  <c r="AT430" i="307"/>
  <c r="AO430" i="307"/>
  <c r="AN430" i="307"/>
  <c r="AJ430" i="307"/>
  <c r="AI430" i="307"/>
  <c r="AB430" i="307"/>
  <c r="AE430" i="307" s="1"/>
  <c r="AH430" i="307" s="1"/>
  <c r="AA430" i="307"/>
  <c r="V430" i="307"/>
  <c r="U430" i="307"/>
  <c r="T430" i="307"/>
  <c r="S430" i="307"/>
  <c r="R430" i="307"/>
  <c r="Q430" i="307"/>
  <c r="P430" i="307"/>
  <c r="O430" i="307"/>
  <c r="N430" i="307"/>
  <c r="B430" i="307"/>
  <c r="AT429" i="307"/>
  <c r="AO429" i="307"/>
  <c r="AN429" i="307"/>
  <c r="AJ429" i="307"/>
  <c r="AI429" i="307"/>
  <c r="AB429" i="307"/>
  <c r="AE429" i="307" s="1"/>
  <c r="AH429" i="307" s="1"/>
  <c r="AA429" i="307"/>
  <c r="V429" i="307"/>
  <c r="U429" i="307"/>
  <c r="T429" i="307"/>
  <c r="S429" i="307"/>
  <c r="R429" i="307"/>
  <c r="Q429" i="307"/>
  <c r="P429" i="307"/>
  <c r="O429" i="307"/>
  <c r="N429" i="307"/>
  <c r="B429" i="307"/>
  <c r="AT428" i="307"/>
  <c r="AO428" i="307"/>
  <c r="AN428" i="307"/>
  <c r="AJ428" i="307"/>
  <c r="AI428" i="307"/>
  <c r="AE428" i="307"/>
  <c r="AH428" i="307" s="1"/>
  <c r="AB428" i="307"/>
  <c r="AA428" i="307"/>
  <c r="V428" i="307"/>
  <c r="U428" i="307"/>
  <c r="T428" i="307"/>
  <c r="S428" i="307"/>
  <c r="R428" i="307"/>
  <c r="Q428" i="307"/>
  <c r="P428" i="307"/>
  <c r="O428" i="307"/>
  <c r="N428" i="307"/>
  <c r="B428" i="307"/>
  <c r="AT427" i="307"/>
  <c r="AO427" i="307"/>
  <c r="AN427" i="307"/>
  <c r="AJ427" i="307"/>
  <c r="AI427" i="307"/>
  <c r="AB427" i="307"/>
  <c r="AE427" i="307" s="1"/>
  <c r="AH427" i="307" s="1"/>
  <c r="AA427" i="307"/>
  <c r="V427" i="307"/>
  <c r="U427" i="307"/>
  <c r="T427" i="307"/>
  <c r="S427" i="307"/>
  <c r="R427" i="307"/>
  <c r="Q427" i="307"/>
  <c r="P427" i="307"/>
  <c r="O427" i="307"/>
  <c r="N427" i="307"/>
  <c r="B427" i="307"/>
  <c r="AT426" i="307"/>
  <c r="AO426" i="307"/>
  <c r="AN426" i="307"/>
  <c r="AJ426" i="307"/>
  <c r="AI426" i="307"/>
  <c r="AB426" i="307"/>
  <c r="AE426" i="307" s="1"/>
  <c r="AH426" i="307" s="1"/>
  <c r="AA426" i="307"/>
  <c r="V426" i="307"/>
  <c r="U426" i="307"/>
  <c r="T426" i="307"/>
  <c r="S426" i="307"/>
  <c r="R426" i="307"/>
  <c r="Q426" i="307"/>
  <c r="P426" i="307"/>
  <c r="O426" i="307"/>
  <c r="N426" i="307"/>
  <c r="B426" i="307"/>
  <c r="AT425" i="307"/>
  <c r="AO425" i="307"/>
  <c r="AN425" i="307"/>
  <c r="AJ425" i="307"/>
  <c r="AI425" i="307"/>
  <c r="AB425" i="307"/>
  <c r="AE425" i="307" s="1"/>
  <c r="AH425" i="307" s="1"/>
  <c r="AA425" i="307"/>
  <c r="V425" i="307"/>
  <c r="U425" i="307"/>
  <c r="T425" i="307"/>
  <c r="S425" i="307"/>
  <c r="R425" i="307"/>
  <c r="Q425" i="307"/>
  <c r="P425" i="307"/>
  <c r="O425" i="307"/>
  <c r="N425" i="307"/>
  <c r="B425" i="307"/>
  <c r="AT424" i="307"/>
  <c r="AO424" i="307"/>
  <c r="AN424" i="307"/>
  <c r="AJ424" i="307"/>
  <c r="AI424" i="307"/>
  <c r="AB424" i="307"/>
  <c r="AE424" i="307" s="1"/>
  <c r="AH424" i="307" s="1"/>
  <c r="AA424" i="307"/>
  <c r="V424" i="307"/>
  <c r="U424" i="307"/>
  <c r="T424" i="307"/>
  <c r="S424" i="307"/>
  <c r="R424" i="307"/>
  <c r="Q424" i="307"/>
  <c r="P424" i="307"/>
  <c r="O424" i="307"/>
  <c r="N424" i="307"/>
  <c r="B424" i="307"/>
  <c r="AT423" i="307"/>
  <c r="AO423" i="307"/>
  <c r="AN423" i="307"/>
  <c r="AJ423" i="307"/>
  <c r="AI423" i="307"/>
  <c r="AB423" i="307"/>
  <c r="AE423" i="307" s="1"/>
  <c r="AH423" i="307" s="1"/>
  <c r="AA423" i="307"/>
  <c r="V423" i="307"/>
  <c r="U423" i="307"/>
  <c r="T423" i="307"/>
  <c r="S423" i="307"/>
  <c r="R423" i="307"/>
  <c r="Q423" i="307"/>
  <c r="P423" i="307"/>
  <c r="O423" i="307"/>
  <c r="N423" i="307"/>
  <c r="B423" i="307"/>
  <c r="AT422" i="307"/>
  <c r="AO422" i="307"/>
  <c r="AN422" i="307"/>
  <c r="AJ422" i="307"/>
  <c r="AI422" i="307"/>
  <c r="AB422" i="307"/>
  <c r="AE422" i="307" s="1"/>
  <c r="AH422" i="307" s="1"/>
  <c r="AA422" i="307"/>
  <c r="V422" i="307"/>
  <c r="U422" i="307"/>
  <c r="T422" i="307"/>
  <c r="S422" i="307"/>
  <c r="R422" i="307"/>
  <c r="Q422" i="307"/>
  <c r="P422" i="307"/>
  <c r="O422" i="307"/>
  <c r="N422" i="307"/>
  <c r="B422" i="307"/>
  <c r="AT421" i="307"/>
  <c r="AO421" i="307"/>
  <c r="AN421" i="307"/>
  <c r="AJ421" i="307"/>
  <c r="AI421" i="307"/>
  <c r="AB421" i="307"/>
  <c r="AE421" i="307" s="1"/>
  <c r="AH421" i="307" s="1"/>
  <c r="AA421" i="307"/>
  <c r="V421" i="307"/>
  <c r="U421" i="307"/>
  <c r="T421" i="307"/>
  <c r="S421" i="307"/>
  <c r="R421" i="307"/>
  <c r="Q421" i="307"/>
  <c r="P421" i="307"/>
  <c r="O421" i="307"/>
  <c r="N421" i="307"/>
  <c r="B421" i="307"/>
  <c r="AT420" i="307"/>
  <c r="AO420" i="307"/>
  <c r="AN420" i="307"/>
  <c r="AJ420" i="307"/>
  <c r="AI420" i="307"/>
  <c r="AB420" i="307"/>
  <c r="AE420" i="307" s="1"/>
  <c r="AH420" i="307" s="1"/>
  <c r="AA420" i="307"/>
  <c r="V420" i="307"/>
  <c r="U420" i="307"/>
  <c r="T420" i="307"/>
  <c r="S420" i="307"/>
  <c r="R420" i="307"/>
  <c r="Q420" i="307"/>
  <c r="P420" i="307"/>
  <c r="O420" i="307"/>
  <c r="N420" i="307"/>
  <c r="B420" i="307"/>
  <c r="AT419" i="307"/>
  <c r="AO419" i="307"/>
  <c r="AN419" i="307"/>
  <c r="AJ419" i="307"/>
  <c r="AI419" i="307"/>
  <c r="AB419" i="307"/>
  <c r="AE419" i="307" s="1"/>
  <c r="AH419" i="307" s="1"/>
  <c r="AA419" i="307"/>
  <c r="V419" i="307"/>
  <c r="U419" i="307"/>
  <c r="T419" i="307"/>
  <c r="S419" i="307"/>
  <c r="R419" i="307"/>
  <c r="Q419" i="307"/>
  <c r="P419" i="307"/>
  <c r="O419" i="307"/>
  <c r="N419" i="307"/>
  <c r="B419" i="307"/>
  <c r="AT418" i="307"/>
  <c r="AO418" i="307"/>
  <c r="AN418" i="307"/>
  <c r="AJ418" i="307"/>
  <c r="AI418" i="307"/>
  <c r="AB418" i="307"/>
  <c r="AE418" i="307" s="1"/>
  <c r="AH418" i="307" s="1"/>
  <c r="AA418" i="307"/>
  <c r="V418" i="307"/>
  <c r="U418" i="307"/>
  <c r="T418" i="307"/>
  <c r="S418" i="307"/>
  <c r="R418" i="307"/>
  <c r="Q418" i="307"/>
  <c r="P418" i="307"/>
  <c r="O418" i="307"/>
  <c r="N418" i="307"/>
  <c r="B418" i="307"/>
  <c r="AT417" i="307"/>
  <c r="AO417" i="307"/>
  <c r="AN417" i="307"/>
  <c r="AJ417" i="307"/>
  <c r="AI417" i="307"/>
  <c r="AB417" i="307"/>
  <c r="AE417" i="307" s="1"/>
  <c r="AH417" i="307" s="1"/>
  <c r="AA417" i="307"/>
  <c r="V417" i="307"/>
  <c r="U417" i="307"/>
  <c r="T417" i="307"/>
  <c r="S417" i="307"/>
  <c r="R417" i="307"/>
  <c r="Q417" i="307"/>
  <c r="P417" i="307"/>
  <c r="O417" i="307"/>
  <c r="N417" i="307"/>
  <c r="B417" i="307"/>
  <c r="AT416" i="307"/>
  <c r="AO416" i="307"/>
  <c r="AN416" i="307"/>
  <c r="AJ416" i="307"/>
  <c r="AI416" i="307"/>
  <c r="AB416" i="307"/>
  <c r="AE416" i="307" s="1"/>
  <c r="AH416" i="307" s="1"/>
  <c r="AA416" i="307"/>
  <c r="V416" i="307"/>
  <c r="U416" i="307"/>
  <c r="T416" i="307"/>
  <c r="S416" i="307"/>
  <c r="R416" i="307"/>
  <c r="Q416" i="307"/>
  <c r="P416" i="307"/>
  <c r="O416" i="307"/>
  <c r="N416" i="307"/>
  <c r="B416" i="307"/>
  <c r="AT415" i="307"/>
  <c r="AO415" i="307"/>
  <c r="AN415" i="307"/>
  <c r="AJ415" i="307"/>
  <c r="AI415" i="307"/>
  <c r="AB415" i="307"/>
  <c r="AE415" i="307" s="1"/>
  <c r="AH415" i="307" s="1"/>
  <c r="AA415" i="307"/>
  <c r="V415" i="307"/>
  <c r="U415" i="307"/>
  <c r="T415" i="307"/>
  <c r="S415" i="307"/>
  <c r="R415" i="307"/>
  <c r="Q415" i="307"/>
  <c r="P415" i="307"/>
  <c r="O415" i="307"/>
  <c r="N415" i="307"/>
  <c r="B415" i="307"/>
  <c r="AT414" i="307"/>
  <c r="AO414" i="307"/>
  <c r="AN414" i="307"/>
  <c r="AJ414" i="307"/>
  <c r="AI414" i="307"/>
  <c r="AB414" i="307"/>
  <c r="AE414" i="307" s="1"/>
  <c r="AH414" i="307" s="1"/>
  <c r="AA414" i="307"/>
  <c r="V414" i="307"/>
  <c r="U414" i="307"/>
  <c r="T414" i="307"/>
  <c r="S414" i="307"/>
  <c r="R414" i="307"/>
  <c r="Q414" i="307"/>
  <c r="P414" i="307"/>
  <c r="O414" i="307"/>
  <c r="N414" i="307"/>
  <c r="B414" i="307"/>
  <c r="AT413" i="307"/>
  <c r="AO413" i="307"/>
  <c r="AN413" i="307"/>
  <c r="AJ413" i="307"/>
  <c r="AI413" i="307"/>
  <c r="AB413" i="307"/>
  <c r="AE413" i="307" s="1"/>
  <c r="AH413" i="307" s="1"/>
  <c r="AA413" i="307"/>
  <c r="V413" i="307"/>
  <c r="U413" i="307"/>
  <c r="T413" i="307"/>
  <c r="S413" i="307"/>
  <c r="R413" i="307"/>
  <c r="Q413" i="307"/>
  <c r="P413" i="307"/>
  <c r="O413" i="307"/>
  <c r="N413" i="307"/>
  <c r="B413" i="307"/>
  <c r="AT412" i="307"/>
  <c r="AO412" i="307"/>
  <c r="AN412" i="307"/>
  <c r="AJ412" i="307"/>
  <c r="AI412" i="307"/>
  <c r="AE412" i="307"/>
  <c r="AH412" i="307" s="1"/>
  <c r="AB412" i="307"/>
  <c r="AA412" i="307"/>
  <c r="V412" i="307"/>
  <c r="U412" i="307"/>
  <c r="T412" i="307"/>
  <c r="S412" i="307"/>
  <c r="R412" i="307"/>
  <c r="Q412" i="307"/>
  <c r="P412" i="307"/>
  <c r="O412" i="307"/>
  <c r="N412" i="307"/>
  <c r="B412" i="307"/>
  <c r="AT411" i="307"/>
  <c r="AO411" i="307"/>
  <c r="AN411" i="307"/>
  <c r="AJ411" i="307"/>
  <c r="AI411" i="307"/>
  <c r="AE411" i="307"/>
  <c r="AH411" i="307" s="1"/>
  <c r="AB411" i="307"/>
  <c r="AA411" i="307"/>
  <c r="V411" i="307"/>
  <c r="U411" i="307"/>
  <c r="T411" i="307"/>
  <c r="S411" i="307"/>
  <c r="R411" i="307"/>
  <c r="Q411" i="307"/>
  <c r="P411" i="307"/>
  <c r="O411" i="307"/>
  <c r="N411" i="307"/>
  <c r="B411" i="307"/>
  <c r="AT410" i="307"/>
  <c r="AO410" i="307"/>
  <c r="AN410" i="307"/>
  <c r="AJ410" i="307"/>
  <c r="AI410" i="307"/>
  <c r="AB410" i="307"/>
  <c r="AE410" i="307" s="1"/>
  <c r="AH410" i="307" s="1"/>
  <c r="AA410" i="307"/>
  <c r="V410" i="307"/>
  <c r="U410" i="307"/>
  <c r="T410" i="307"/>
  <c r="S410" i="307"/>
  <c r="R410" i="307"/>
  <c r="Q410" i="307"/>
  <c r="P410" i="307"/>
  <c r="O410" i="307"/>
  <c r="N410" i="307"/>
  <c r="B410" i="307"/>
  <c r="AT409" i="307"/>
  <c r="AO409" i="307"/>
  <c r="AN409" i="307"/>
  <c r="AJ409" i="307"/>
  <c r="AI409" i="307"/>
  <c r="AB409" i="307"/>
  <c r="AE409" i="307" s="1"/>
  <c r="AH409" i="307" s="1"/>
  <c r="AA409" i="307"/>
  <c r="V409" i="307"/>
  <c r="U409" i="307"/>
  <c r="T409" i="307"/>
  <c r="S409" i="307"/>
  <c r="R409" i="307"/>
  <c r="Q409" i="307"/>
  <c r="P409" i="307"/>
  <c r="O409" i="307"/>
  <c r="N409" i="307"/>
  <c r="B409" i="307"/>
  <c r="AT408" i="307"/>
  <c r="AO408" i="307"/>
  <c r="AN408" i="307"/>
  <c r="AJ408" i="307"/>
  <c r="AI408" i="307"/>
  <c r="AB408" i="307"/>
  <c r="AE408" i="307" s="1"/>
  <c r="AH408" i="307" s="1"/>
  <c r="AA408" i="307"/>
  <c r="V408" i="307"/>
  <c r="U408" i="307"/>
  <c r="T408" i="307"/>
  <c r="S408" i="307"/>
  <c r="R408" i="307"/>
  <c r="Q408" i="307"/>
  <c r="P408" i="307"/>
  <c r="O408" i="307"/>
  <c r="N408" i="307"/>
  <c r="B408" i="307"/>
  <c r="AT407" i="307"/>
  <c r="AO407" i="307"/>
  <c r="AN407" i="307"/>
  <c r="AJ407" i="307"/>
  <c r="AI407" i="307"/>
  <c r="AE407" i="307"/>
  <c r="AH407" i="307" s="1"/>
  <c r="AB407" i="307"/>
  <c r="AA407" i="307"/>
  <c r="V407" i="307"/>
  <c r="U407" i="307"/>
  <c r="T407" i="307"/>
  <c r="S407" i="307"/>
  <c r="R407" i="307"/>
  <c r="Q407" i="307"/>
  <c r="P407" i="307"/>
  <c r="O407" i="307"/>
  <c r="N407" i="307"/>
  <c r="B407" i="307"/>
  <c r="AT406" i="307"/>
  <c r="AO406" i="307"/>
  <c r="AN406" i="307"/>
  <c r="AJ406" i="307"/>
  <c r="AI406" i="307"/>
  <c r="AB406" i="307"/>
  <c r="AE406" i="307" s="1"/>
  <c r="AH406" i="307" s="1"/>
  <c r="AA406" i="307"/>
  <c r="V406" i="307"/>
  <c r="U406" i="307"/>
  <c r="T406" i="307"/>
  <c r="S406" i="307"/>
  <c r="R406" i="307"/>
  <c r="Q406" i="307"/>
  <c r="P406" i="307"/>
  <c r="O406" i="307"/>
  <c r="N406" i="307"/>
  <c r="B406" i="307"/>
  <c r="AT405" i="307"/>
  <c r="AO405" i="307"/>
  <c r="AN405" i="307"/>
  <c r="AJ405" i="307"/>
  <c r="AI405" i="307"/>
  <c r="AB405" i="307"/>
  <c r="AE405" i="307" s="1"/>
  <c r="AH405" i="307" s="1"/>
  <c r="AA405" i="307"/>
  <c r="V405" i="307"/>
  <c r="U405" i="307"/>
  <c r="T405" i="307"/>
  <c r="S405" i="307"/>
  <c r="R405" i="307"/>
  <c r="Q405" i="307"/>
  <c r="P405" i="307"/>
  <c r="O405" i="307"/>
  <c r="N405" i="307"/>
  <c r="B405" i="307"/>
  <c r="AT404" i="307"/>
  <c r="AO404" i="307"/>
  <c r="AN404" i="307"/>
  <c r="AJ404" i="307"/>
  <c r="AI404" i="307"/>
  <c r="AB404" i="307"/>
  <c r="AE404" i="307" s="1"/>
  <c r="AH404" i="307" s="1"/>
  <c r="AA404" i="307"/>
  <c r="V404" i="307"/>
  <c r="U404" i="307"/>
  <c r="T404" i="307"/>
  <c r="S404" i="307"/>
  <c r="R404" i="307"/>
  <c r="Q404" i="307"/>
  <c r="P404" i="307"/>
  <c r="O404" i="307"/>
  <c r="N404" i="307"/>
  <c r="B404" i="307"/>
  <c r="AT403" i="307"/>
  <c r="AO403" i="307"/>
  <c r="AN403" i="307"/>
  <c r="AJ403" i="307"/>
  <c r="AI403" i="307"/>
  <c r="AE403" i="307"/>
  <c r="AH403" i="307" s="1"/>
  <c r="AB403" i="307"/>
  <c r="AA403" i="307"/>
  <c r="V403" i="307"/>
  <c r="U403" i="307"/>
  <c r="T403" i="307"/>
  <c r="S403" i="307"/>
  <c r="R403" i="307"/>
  <c r="Q403" i="307"/>
  <c r="P403" i="307"/>
  <c r="O403" i="307"/>
  <c r="N403" i="307"/>
  <c r="B403" i="307"/>
  <c r="AT402" i="307"/>
  <c r="AO402" i="307"/>
  <c r="AN402" i="307"/>
  <c r="AJ402" i="307"/>
  <c r="AI402" i="307"/>
  <c r="AB402" i="307"/>
  <c r="AE402" i="307" s="1"/>
  <c r="AH402" i="307" s="1"/>
  <c r="AA402" i="307"/>
  <c r="V402" i="307"/>
  <c r="U402" i="307"/>
  <c r="T402" i="307"/>
  <c r="S402" i="307"/>
  <c r="R402" i="307"/>
  <c r="Q402" i="307"/>
  <c r="P402" i="307"/>
  <c r="O402" i="307"/>
  <c r="N402" i="307"/>
  <c r="B402" i="307"/>
  <c r="AT401" i="307"/>
  <c r="AO401" i="307"/>
  <c r="AN401" i="307"/>
  <c r="AJ401" i="307"/>
  <c r="AI401" i="307"/>
  <c r="AB401" i="307"/>
  <c r="AE401" i="307" s="1"/>
  <c r="AH401" i="307" s="1"/>
  <c r="AA401" i="307"/>
  <c r="V401" i="307"/>
  <c r="U401" i="307"/>
  <c r="T401" i="307"/>
  <c r="S401" i="307"/>
  <c r="R401" i="307"/>
  <c r="Q401" i="307"/>
  <c r="P401" i="307"/>
  <c r="O401" i="307"/>
  <c r="N401" i="307"/>
  <c r="B401" i="307"/>
  <c r="AT400" i="307"/>
  <c r="AO400" i="307"/>
  <c r="AN400" i="307"/>
  <c r="AJ400" i="307"/>
  <c r="AI400" i="307"/>
  <c r="AB400" i="307"/>
  <c r="AE400" i="307" s="1"/>
  <c r="AH400" i="307" s="1"/>
  <c r="AA400" i="307"/>
  <c r="V400" i="307"/>
  <c r="U400" i="307"/>
  <c r="T400" i="307"/>
  <c r="S400" i="307"/>
  <c r="R400" i="307"/>
  <c r="Q400" i="307"/>
  <c r="P400" i="307"/>
  <c r="O400" i="307"/>
  <c r="N400" i="307"/>
  <c r="B400" i="307"/>
  <c r="AT399" i="307"/>
  <c r="AO399" i="307"/>
  <c r="AN399" i="307"/>
  <c r="AJ399" i="307"/>
  <c r="AI399" i="307"/>
  <c r="AB399" i="307"/>
  <c r="AE399" i="307" s="1"/>
  <c r="AH399" i="307" s="1"/>
  <c r="AA399" i="307"/>
  <c r="V399" i="307"/>
  <c r="U399" i="307"/>
  <c r="T399" i="307"/>
  <c r="S399" i="307"/>
  <c r="R399" i="307"/>
  <c r="Q399" i="307"/>
  <c r="P399" i="307"/>
  <c r="O399" i="307"/>
  <c r="N399" i="307"/>
  <c r="B399" i="307"/>
  <c r="AT398" i="307"/>
  <c r="AO398" i="307"/>
  <c r="AN398" i="307"/>
  <c r="AJ398" i="307"/>
  <c r="AI398" i="307"/>
  <c r="AB398" i="307"/>
  <c r="AE398" i="307" s="1"/>
  <c r="AH398" i="307" s="1"/>
  <c r="AA398" i="307"/>
  <c r="V398" i="307"/>
  <c r="U398" i="307"/>
  <c r="T398" i="307"/>
  <c r="S398" i="307"/>
  <c r="R398" i="307"/>
  <c r="Q398" i="307"/>
  <c r="P398" i="307"/>
  <c r="O398" i="307"/>
  <c r="N398" i="307"/>
  <c r="B398" i="307"/>
  <c r="AT397" i="307"/>
  <c r="AO397" i="307"/>
  <c r="AN397" i="307"/>
  <c r="AJ397" i="307"/>
  <c r="AI397" i="307"/>
  <c r="AB397" i="307"/>
  <c r="AE397" i="307" s="1"/>
  <c r="AH397" i="307" s="1"/>
  <c r="AA397" i="307"/>
  <c r="V397" i="307"/>
  <c r="U397" i="307"/>
  <c r="T397" i="307"/>
  <c r="S397" i="307"/>
  <c r="R397" i="307"/>
  <c r="Q397" i="307"/>
  <c r="P397" i="307"/>
  <c r="O397" i="307"/>
  <c r="N397" i="307"/>
  <c r="B397" i="307"/>
  <c r="AT396" i="307"/>
  <c r="AO396" i="307"/>
  <c r="AN396" i="307"/>
  <c r="AJ396" i="307"/>
  <c r="AI396" i="307"/>
  <c r="AE396" i="307"/>
  <c r="AH396" i="307" s="1"/>
  <c r="AB396" i="307"/>
  <c r="AA396" i="307"/>
  <c r="V396" i="307"/>
  <c r="U396" i="307"/>
  <c r="T396" i="307"/>
  <c r="S396" i="307"/>
  <c r="R396" i="307"/>
  <c r="Q396" i="307"/>
  <c r="P396" i="307"/>
  <c r="O396" i="307"/>
  <c r="N396" i="307"/>
  <c r="B396" i="307"/>
  <c r="AT395" i="307"/>
  <c r="AO395" i="307"/>
  <c r="AN395" i="307"/>
  <c r="AJ395" i="307"/>
  <c r="AI395" i="307"/>
  <c r="AB395" i="307"/>
  <c r="AE395" i="307" s="1"/>
  <c r="AH395" i="307" s="1"/>
  <c r="AA395" i="307"/>
  <c r="V395" i="307"/>
  <c r="U395" i="307"/>
  <c r="T395" i="307"/>
  <c r="S395" i="307"/>
  <c r="R395" i="307"/>
  <c r="Q395" i="307"/>
  <c r="P395" i="307"/>
  <c r="O395" i="307"/>
  <c r="N395" i="307"/>
  <c r="B395" i="307"/>
  <c r="AT394" i="307"/>
  <c r="AO394" i="307"/>
  <c r="AN394" i="307"/>
  <c r="AJ394" i="307"/>
  <c r="AI394" i="307"/>
  <c r="AB394" i="307"/>
  <c r="AE394" i="307" s="1"/>
  <c r="AH394" i="307" s="1"/>
  <c r="AA394" i="307"/>
  <c r="V394" i="307"/>
  <c r="U394" i="307"/>
  <c r="T394" i="307"/>
  <c r="S394" i="307"/>
  <c r="R394" i="307"/>
  <c r="Q394" i="307"/>
  <c r="P394" i="307"/>
  <c r="O394" i="307"/>
  <c r="N394" i="307"/>
  <c r="B394" i="307"/>
  <c r="AT393" i="307"/>
  <c r="AO393" i="307"/>
  <c r="AN393" i="307"/>
  <c r="AJ393" i="307"/>
  <c r="AI393" i="307"/>
  <c r="AB393" i="307"/>
  <c r="AE393" i="307" s="1"/>
  <c r="AH393" i="307" s="1"/>
  <c r="AA393" i="307"/>
  <c r="V393" i="307"/>
  <c r="U393" i="307"/>
  <c r="T393" i="307"/>
  <c r="S393" i="307"/>
  <c r="R393" i="307"/>
  <c r="Q393" i="307"/>
  <c r="P393" i="307"/>
  <c r="O393" i="307"/>
  <c r="N393" i="307"/>
  <c r="B393" i="307"/>
  <c r="AT392" i="307"/>
  <c r="AO392" i="307"/>
  <c r="AN392" i="307"/>
  <c r="AJ392" i="307"/>
  <c r="AI392" i="307"/>
  <c r="AE392" i="307"/>
  <c r="AH392" i="307" s="1"/>
  <c r="AB392" i="307"/>
  <c r="AA392" i="307"/>
  <c r="V392" i="307"/>
  <c r="U392" i="307"/>
  <c r="T392" i="307"/>
  <c r="S392" i="307"/>
  <c r="R392" i="307"/>
  <c r="Q392" i="307"/>
  <c r="P392" i="307"/>
  <c r="O392" i="307"/>
  <c r="N392" i="307"/>
  <c r="B392" i="307"/>
  <c r="AT391" i="307"/>
  <c r="AO391" i="307"/>
  <c r="AN391" i="307"/>
  <c r="AJ391" i="307"/>
  <c r="AI391" i="307"/>
  <c r="AE391" i="307"/>
  <c r="AH391" i="307" s="1"/>
  <c r="AB391" i="307"/>
  <c r="AA391" i="307"/>
  <c r="V391" i="307"/>
  <c r="U391" i="307"/>
  <c r="T391" i="307"/>
  <c r="S391" i="307"/>
  <c r="R391" i="307"/>
  <c r="Q391" i="307"/>
  <c r="P391" i="307"/>
  <c r="O391" i="307"/>
  <c r="N391" i="307"/>
  <c r="B391" i="307"/>
  <c r="AT390" i="307"/>
  <c r="AO390" i="307"/>
  <c r="AN390" i="307"/>
  <c r="AJ390" i="307"/>
  <c r="AI390" i="307"/>
  <c r="AB390" i="307"/>
  <c r="AE390" i="307" s="1"/>
  <c r="AH390" i="307" s="1"/>
  <c r="AA390" i="307"/>
  <c r="V390" i="307"/>
  <c r="U390" i="307"/>
  <c r="T390" i="307"/>
  <c r="S390" i="307"/>
  <c r="R390" i="307"/>
  <c r="Q390" i="307"/>
  <c r="P390" i="307"/>
  <c r="O390" i="307"/>
  <c r="N390" i="307"/>
  <c r="B390" i="307"/>
  <c r="AT389" i="307"/>
  <c r="AO389" i="307"/>
  <c r="AN389" i="307"/>
  <c r="AJ389" i="307"/>
  <c r="AI389" i="307"/>
  <c r="AB389" i="307"/>
  <c r="AE389" i="307" s="1"/>
  <c r="AH389" i="307" s="1"/>
  <c r="AA389" i="307"/>
  <c r="V389" i="307"/>
  <c r="U389" i="307"/>
  <c r="T389" i="307"/>
  <c r="S389" i="307"/>
  <c r="R389" i="307"/>
  <c r="Q389" i="307"/>
  <c r="P389" i="307"/>
  <c r="O389" i="307"/>
  <c r="N389" i="307"/>
  <c r="B389" i="307"/>
  <c r="AT388" i="307"/>
  <c r="AO388" i="307"/>
  <c r="AN388" i="307"/>
  <c r="AJ388" i="307"/>
  <c r="AI388" i="307"/>
  <c r="AB388" i="307"/>
  <c r="AE388" i="307" s="1"/>
  <c r="AH388" i="307" s="1"/>
  <c r="AA388" i="307"/>
  <c r="V388" i="307"/>
  <c r="U388" i="307"/>
  <c r="T388" i="307"/>
  <c r="S388" i="307"/>
  <c r="R388" i="307"/>
  <c r="Q388" i="307"/>
  <c r="P388" i="307"/>
  <c r="O388" i="307"/>
  <c r="N388" i="307"/>
  <c r="B388" i="307"/>
  <c r="AT387" i="307"/>
  <c r="AO387" i="307"/>
  <c r="AN387" i="307"/>
  <c r="AJ387" i="307"/>
  <c r="AI387" i="307"/>
  <c r="AB387" i="307"/>
  <c r="AE387" i="307" s="1"/>
  <c r="AH387" i="307" s="1"/>
  <c r="AA387" i="307"/>
  <c r="V387" i="307"/>
  <c r="U387" i="307"/>
  <c r="T387" i="307"/>
  <c r="S387" i="307"/>
  <c r="R387" i="307"/>
  <c r="Q387" i="307"/>
  <c r="P387" i="307"/>
  <c r="O387" i="307"/>
  <c r="N387" i="307"/>
  <c r="B387" i="307"/>
  <c r="AT386" i="307"/>
  <c r="AO386" i="307"/>
  <c r="AN386" i="307"/>
  <c r="AJ386" i="307"/>
  <c r="AI386" i="307"/>
  <c r="AB386" i="307"/>
  <c r="AE386" i="307" s="1"/>
  <c r="AH386" i="307" s="1"/>
  <c r="AA386" i="307"/>
  <c r="V386" i="307"/>
  <c r="U386" i="307"/>
  <c r="T386" i="307"/>
  <c r="S386" i="307"/>
  <c r="R386" i="307"/>
  <c r="Q386" i="307"/>
  <c r="P386" i="307"/>
  <c r="O386" i="307"/>
  <c r="N386" i="307"/>
  <c r="B386" i="307"/>
  <c r="AT385" i="307"/>
  <c r="AO385" i="307"/>
  <c r="AN385" i="307"/>
  <c r="AJ385" i="307"/>
  <c r="AI385" i="307"/>
  <c r="AB385" i="307"/>
  <c r="AE385" i="307" s="1"/>
  <c r="AH385" i="307" s="1"/>
  <c r="AA385" i="307"/>
  <c r="V385" i="307"/>
  <c r="U385" i="307"/>
  <c r="T385" i="307"/>
  <c r="S385" i="307"/>
  <c r="R385" i="307"/>
  <c r="Q385" i="307"/>
  <c r="P385" i="307"/>
  <c r="O385" i="307"/>
  <c r="N385" i="307"/>
  <c r="B385" i="307"/>
  <c r="AT384" i="307"/>
  <c r="AO384" i="307"/>
  <c r="AN384" i="307"/>
  <c r="AJ384" i="307"/>
  <c r="AI384" i="307"/>
  <c r="AE384" i="307"/>
  <c r="AH384" i="307" s="1"/>
  <c r="AB384" i="307"/>
  <c r="AA384" i="307"/>
  <c r="V384" i="307"/>
  <c r="U384" i="307"/>
  <c r="T384" i="307"/>
  <c r="S384" i="307"/>
  <c r="R384" i="307"/>
  <c r="Q384" i="307"/>
  <c r="P384" i="307"/>
  <c r="O384" i="307"/>
  <c r="N384" i="307"/>
  <c r="B384" i="307"/>
  <c r="AT383" i="307"/>
  <c r="AO383" i="307"/>
  <c r="AN383" i="307"/>
  <c r="AJ383" i="307"/>
  <c r="AI383" i="307"/>
  <c r="AI381" i="307" s="1"/>
  <c r="AE383" i="307"/>
  <c r="AH383" i="307" s="1"/>
  <c r="AB383" i="307"/>
  <c r="AA383" i="307"/>
  <c r="V383" i="307"/>
  <c r="U383" i="307"/>
  <c r="T383" i="307"/>
  <c r="S383" i="307"/>
  <c r="R383" i="307"/>
  <c r="Q383" i="307"/>
  <c r="P383" i="307"/>
  <c r="O383" i="307"/>
  <c r="N383" i="307"/>
  <c r="B383" i="307"/>
  <c r="AT382" i="307"/>
  <c r="AO382" i="307"/>
  <c r="AN382" i="307"/>
  <c r="AN381" i="307" s="1"/>
  <c r="AJ382" i="307"/>
  <c r="AI382" i="307"/>
  <c r="AB382" i="307"/>
  <c r="AE382" i="307" s="1"/>
  <c r="AA382" i="307"/>
  <c r="V382" i="307"/>
  <c r="U382" i="307"/>
  <c r="T382" i="307"/>
  <c r="S382" i="307"/>
  <c r="R382" i="307"/>
  <c r="Q382" i="307"/>
  <c r="P382" i="307"/>
  <c r="O382" i="307"/>
  <c r="N382" i="307"/>
  <c r="B382" i="307"/>
  <c r="AS381" i="307"/>
  <c r="AR381" i="307"/>
  <c r="AQ381" i="307"/>
  <c r="AP381" i="307"/>
  <c r="AO381" i="307"/>
  <c r="AM381" i="307"/>
  <c r="AK381" i="307"/>
  <c r="AG381" i="307"/>
  <c r="AD381" i="307"/>
  <c r="AC381" i="307"/>
  <c r="AA381" i="307"/>
  <c r="Z381" i="307"/>
  <c r="Y381" i="307"/>
  <c r="X381" i="307"/>
  <c r="W381" i="307"/>
  <c r="V381" i="307"/>
  <c r="U381" i="307"/>
  <c r="T381" i="307"/>
  <c r="S381" i="307"/>
  <c r="R381" i="307"/>
  <c r="Q381" i="307"/>
  <c r="P381" i="307"/>
  <c r="O381" i="307"/>
  <c r="N381" i="307"/>
  <c r="M381" i="307"/>
  <c r="L381" i="307"/>
  <c r="K381" i="307"/>
  <c r="J381" i="307"/>
  <c r="I381" i="307"/>
  <c r="H381" i="307"/>
  <c r="G381" i="307"/>
  <c r="F381" i="307"/>
  <c r="E381" i="307"/>
  <c r="AT380" i="307"/>
  <c r="AO380" i="307"/>
  <c r="AN380" i="307"/>
  <c r="AJ380" i="307"/>
  <c r="AI380" i="307"/>
  <c r="AE380" i="307"/>
  <c r="AH380" i="307" s="1"/>
  <c r="AB380" i="307"/>
  <c r="AA380" i="307"/>
  <c r="V380" i="307"/>
  <c r="U380" i="307"/>
  <c r="T380" i="307"/>
  <c r="S380" i="307"/>
  <c r="R380" i="307"/>
  <c r="Q380" i="307"/>
  <c r="P380" i="307"/>
  <c r="O380" i="307"/>
  <c r="N380" i="307"/>
  <c r="B380" i="307"/>
  <c r="AT379" i="307"/>
  <c r="AO379" i="307"/>
  <c r="AN379" i="307"/>
  <c r="AJ379" i="307"/>
  <c r="AI379" i="307"/>
  <c r="AE379" i="307"/>
  <c r="AH379" i="307" s="1"/>
  <c r="AB379" i="307"/>
  <c r="AA379" i="307"/>
  <c r="V379" i="307"/>
  <c r="U379" i="307"/>
  <c r="T379" i="307"/>
  <c r="S379" i="307"/>
  <c r="R379" i="307"/>
  <c r="Q379" i="307"/>
  <c r="P379" i="307"/>
  <c r="O379" i="307"/>
  <c r="N379" i="307"/>
  <c r="B379" i="307"/>
  <c r="AT378" i="307"/>
  <c r="AO378" i="307"/>
  <c r="AN378" i="307"/>
  <c r="AJ378" i="307"/>
  <c r="AI378" i="307"/>
  <c r="AE378" i="307"/>
  <c r="AH378" i="307" s="1"/>
  <c r="AB378" i="307"/>
  <c r="AA378" i="307"/>
  <c r="V378" i="307"/>
  <c r="U378" i="307"/>
  <c r="T378" i="307"/>
  <c r="S378" i="307"/>
  <c r="R378" i="307"/>
  <c r="Q378" i="307"/>
  <c r="P378" i="307"/>
  <c r="O378" i="307"/>
  <c r="N378" i="307"/>
  <c r="B378" i="307"/>
  <c r="AT377" i="307"/>
  <c r="AO377" i="307"/>
  <c r="AN377" i="307"/>
  <c r="AJ377" i="307"/>
  <c r="AI377" i="307"/>
  <c r="AE377" i="307"/>
  <c r="AH377" i="307" s="1"/>
  <c r="AB377" i="307"/>
  <c r="AA377" i="307"/>
  <c r="V377" i="307"/>
  <c r="U377" i="307"/>
  <c r="T377" i="307"/>
  <c r="S377" i="307"/>
  <c r="R377" i="307"/>
  <c r="Q377" i="307"/>
  <c r="P377" i="307"/>
  <c r="O377" i="307"/>
  <c r="N377" i="307"/>
  <c r="B377" i="307"/>
  <c r="AT376" i="307"/>
  <c r="AO376" i="307"/>
  <c r="AN376" i="307"/>
  <c r="AJ376" i="307"/>
  <c r="AI376" i="307"/>
  <c r="AH376" i="307"/>
  <c r="AE376" i="307"/>
  <c r="AB376" i="307"/>
  <c r="AA376" i="307"/>
  <c r="V376" i="307"/>
  <c r="U376" i="307"/>
  <c r="T376" i="307"/>
  <c r="S376" i="307"/>
  <c r="R376" i="307"/>
  <c r="Q376" i="307"/>
  <c r="P376" i="307"/>
  <c r="O376" i="307"/>
  <c r="N376" i="307"/>
  <c r="B376" i="307"/>
  <c r="AT375" i="307"/>
  <c r="AO375" i="307"/>
  <c r="AN375" i="307"/>
  <c r="AJ375" i="307"/>
  <c r="AI375" i="307"/>
  <c r="AE375" i="307"/>
  <c r="AH375" i="307" s="1"/>
  <c r="AB375" i="307"/>
  <c r="AA375" i="307"/>
  <c r="V375" i="307"/>
  <c r="U375" i="307"/>
  <c r="T375" i="307"/>
  <c r="S375" i="307"/>
  <c r="R375" i="307"/>
  <c r="Q375" i="307"/>
  <c r="P375" i="307"/>
  <c r="O375" i="307"/>
  <c r="N375" i="307"/>
  <c r="B375" i="307"/>
  <c r="AT374" i="307"/>
  <c r="AO374" i="307"/>
  <c r="AN374" i="307"/>
  <c r="AJ374" i="307"/>
  <c r="AI374" i="307"/>
  <c r="AE374" i="307"/>
  <c r="AH374" i="307" s="1"/>
  <c r="AB374" i="307"/>
  <c r="AA374" i="307"/>
  <c r="V374" i="307"/>
  <c r="U374" i="307"/>
  <c r="T374" i="307"/>
  <c r="S374" i="307"/>
  <c r="R374" i="307"/>
  <c r="Q374" i="307"/>
  <c r="P374" i="307"/>
  <c r="O374" i="307"/>
  <c r="N374" i="307"/>
  <c r="B374" i="307"/>
  <c r="AX373" i="307"/>
  <c r="AT373" i="307"/>
  <c r="AO373" i="307"/>
  <c r="AN373" i="307"/>
  <c r="AJ373" i="307"/>
  <c r="AI373" i="307"/>
  <c r="AE373" i="307"/>
  <c r="AH373" i="307" s="1"/>
  <c r="AB373" i="307"/>
  <c r="AA373" i="307"/>
  <c r="V373" i="307"/>
  <c r="U373" i="307"/>
  <c r="T373" i="307"/>
  <c r="S373" i="307"/>
  <c r="R373" i="307"/>
  <c r="Q373" i="307"/>
  <c r="P373" i="307"/>
  <c r="O373" i="307"/>
  <c r="N373" i="307"/>
  <c r="B373" i="307"/>
  <c r="AX372" i="307"/>
  <c r="AT372" i="307"/>
  <c r="AO372" i="307"/>
  <c r="AN372" i="307"/>
  <c r="AJ372" i="307"/>
  <c r="AI372" i="307"/>
  <c r="AE372" i="307"/>
  <c r="AH372" i="307" s="1"/>
  <c r="AB372" i="307"/>
  <c r="AA372" i="307"/>
  <c r="V372" i="307"/>
  <c r="U372" i="307"/>
  <c r="T372" i="307"/>
  <c r="S372" i="307"/>
  <c r="R372" i="307"/>
  <c r="Q372" i="307"/>
  <c r="P372" i="307"/>
  <c r="O372" i="307"/>
  <c r="N372" i="307"/>
  <c r="B372" i="307"/>
  <c r="AX371" i="307"/>
  <c r="AT371" i="307"/>
  <c r="AO371" i="307"/>
  <c r="AN371" i="307"/>
  <c r="AJ371" i="307"/>
  <c r="AI371" i="307"/>
  <c r="AE371" i="307"/>
  <c r="AH371" i="307" s="1"/>
  <c r="AB371" i="307"/>
  <c r="AA371" i="307"/>
  <c r="V371" i="307"/>
  <c r="U371" i="307"/>
  <c r="T371" i="307"/>
  <c r="S371" i="307"/>
  <c r="R371" i="307"/>
  <c r="Q371" i="307"/>
  <c r="P371" i="307"/>
  <c r="O371" i="307"/>
  <c r="N371" i="307"/>
  <c r="B371" i="307"/>
  <c r="AX370" i="307"/>
  <c r="AT370" i="307"/>
  <c r="AO370" i="307"/>
  <c r="AN370" i="307"/>
  <c r="AJ370" i="307"/>
  <c r="AI370" i="307"/>
  <c r="AE370" i="307"/>
  <c r="AH370" i="307" s="1"/>
  <c r="AB370" i="307"/>
  <c r="AA370" i="307"/>
  <c r="V370" i="307"/>
  <c r="U370" i="307"/>
  <c r="T370" i="307"/>
  <c r="S370" i="307"/>
  <c r="R370" i="307"/>
  <c r="Q370" i="307"/>
  <c r="P370" i="307"/>
  <c r="O370" i="307"/>
  <c r="N370" i="307"/>
  <c r="B370" i="307"/>
  <c r="AX369" i="307"/>
  <c r="AT369" i="307"/>
  <c r="AO369" i="307"/>
  <c r="AN369" i="307"/>
  <c r="AJ369" i="307"/>
  <c r="AI369" i="307"/>
  <c r="AE369" i="307"/>
  <c r="AH369" i="307" s="1"/>
  <c r="AB369" i="307"/>
  <c r="AA369" i="307"/>
  <c r="V369" i="307"/>
  <c r="U369" i="307"/>
  <c r="T369" i="307"/>
  <c r="S369" i="307"/>
  <c r="R369" i="307"/>
  <c r="Q369" i="307"/>
  <c r="P369" i="307"/>
  <c r="O369" i="307"/>
  <c r="N369" i="307"/>
  <c r="B369" i="307"/>
  <c r="AX368" i="307"/>
  <c r="AT368" i="307"/>
  <c r="AO368" i="307"/>
  <c r="AN368" i="307"/>
  <c r="AJ368" i="307"/>
  <c r="AI368" i="307"/>
  <c r="AE368" i="307"/>
  <c r="AH368" i="307" s="1"/>
  <c r="AB368" i="307"/>
  <c r="AA368" i="307"/>
  <c r="V368" i="307"/>
  <c r="U368" i="307"/>
  <c r="T368" i="307"/>
  <c r="S368" i="307"/>
  <c r="R368" i="307"/>
  <c r="Q368" i="307"/>
  <c r="P368" i="307"/>
  <c r="O368" i="307"/>
  <c r="N368" i="307"/>
  <c r="B368" i="307"/>
  <c r="AX367" i="307"/>
  <c r="AT367" i="307"/>
  <c r="AO367" i="307"/>
  <c r="AN367" i="307"/>
  <c r="AJ367" i="307"/>
  <c r="AI367" i="307"/>
  <c r="AE367" i="307"/>
  <c r="AH367" i="307" s="1"/>
  <c r="AB367" i="307"/>
  <c r="AA367" i="307"/>
  <c r="V367" i="307"/>
  <c r="U367" i="307"/>
  <c r="T367" i="307"/>
  <c r="S367" i="307"/>
  <c r="R367" i="307"/>
  <c r="Q367" i="307"/>
  <c r="P367" i="307"/>
  <c r="O367" i="307"/>
  <c r="N367" i="307"/>
  <c r="B367" i="307"/>
  <c r="AX366" i="307"/>
  <c r="AT366" i="307"/>
  <c r="AO366" i="307"/>
  <c r="AN366" i="307"/>
  <c r="AJ366" i="307"/>
  <c r="AI366" i="307"/>
  <c r="AE366" i="307"/>
  <c r="AH366" i="307" s="1"/>
  <c r="AB366" i="307"/>
  <c r="AA366" i="307"/>
  <c r="V366" i="307"/>
  <c r="U366" i="307"/>
  <c r="T366" i="307"/>
  <c r="S366" i="307"/>
  <c r="R366" i="307"/>
  <c r="Q366" i="307"/>
  <c r="P366" i="307"/>
  <c r="O366" i="307"/>
  <c r="N366" i="307"/>
  <c r="B366" i="307"/>
  <c r="AX365" i="307"/>
  <c r="AT365" i="307"/>
  <c r="AO365" i="307"/>
  <c r="AN365" i="307"/>
  <c r="AJ365" i="307"/>
  <c r="AI365" i="307"/>
  <c r="AE365" i="307"/>
  <c r="AH365" i="307" s="1"/>
  <c r="AB365" i="307"/>
  <c r="AA365" i="307"/>
  <c r="V365" i="307"/>
  <c r="U365" i="307"/>
  <c r="T365" i="307"/>
  <c r="S365" i="307"/>
  <c r="R365" i="307"/>
  <c r="Q365" i="307"/>
  <c r="P365" i="307"/>
  <c r="O365" i="307"/>
  <c r="N365" i="307"/>
  <c r="B365" i="307"/>
  <c r="AX364" i="307"/>
  <c r="AT364" i="307"/>
  <c r="AO364" i="307"/>
  <c r="AN364" i="307"/>
  <c r="AJ364" i="307"/>
  <c r="AI364" i="307"/>
  <c r="AE364" i="307"/>
  <c r="AH364" i="307" s="1"/>
  <c r="AB364" i="307"/>
  <c r="AA364" i="307"/>
  <c r="V364" i="307"/>
  <c r="U364" i="307"/>
  <c r="T364" i="307"/>
  <c r="S364" i="307"/>
  <c r="R364" i="307"/>
  <c r="Q364" i="307"/>
  <c r="P364" i="307"/>
  <c r="O364" i="307"/>
  <c r="N364" i="307"/>
  <c r="B364" i="307"/>
  <c r="AX363" i="307"/>
  <c r="AT363" i="307"/>
  <c r="AO363" i="307"/>
  <c r="AN363" i="307"/>
  <c r="AJ363" i="307"/>
  <c r="AI363" i="307"/>
  <c r="AE363" i="307"/>
  <c r="AH363" i="307" s="1"/>
  <c r="AB363" i="307"/>
  <c r="AA363" i="307"/>
  <c r="V363" i="307"/>
  <c r="U363" i="307"/>
  <c r="T363" i="307"/>
  <c r="S363" i="307"/>
  <c r="R363" i="307"/>
  <c r="Q363" i="307"/>
  <c r="P363" i="307"/>
  <c r="O363" i="307"/>
  <c r="N363" i="307"/>
  <c r="B363" i="307"/>
  <c r="AX362" i="307"/>
  <c r="AT362" i="307"/>
  <c r="AO362" i="307"/>
  <c r="AN362" i="307"/>
  <c r="AJ362" i="307"/>
  <c r="AI362" i="307"/>
  <c r="AE362" i="307"/>
  <c r="AH362" i="307" s="1"/>
  <c r="AB362" i="307"/>
  <c r="AA362" i="307"/>
  <c r="V362" i="307"/>
  <c r="U362" i="307"/>
  <c r="T362" i="307"/>
  <c r="S362" i="307"/>
  <c r="R362" i="307"/>
  <c r="Q362" i="307"/>
  <c r="P362" i="307"/>
  <c r="O362" i="307"/>
  <c r="N362" i="307"/>
  <c r="B362" i="307"/>
  <c r="AX361" i="307"/>
  <c r="AT361" i="307"/>
  <c r="AO361" i="307"/>
  <c r="AN361" i="307"/>
  <c r="AJ361" i="307"/>
  <c r="AI361" i="307"/>
  <c r="AE361" i="307"/>
  <c r="AH361" i="307" s="1"/>
  <c r="AB361" i="307"/>
  <c r="AA361" i="307"/>
  <c r="V361" i="307"/>
  <c r="U361" i="307"/>
  <c r="T361" i="307"/>
  <c r="S361" i="307"/>
  <c r="R361" i="307"/>
  <c r="Q361" i="307"/>
  <c r="P361" i="307"/>
  <c r="O361" i="307"/>
  <c r="N361" i="307"/>
  <c r="B361" i="307"/>
  <c r="AX360" i="307"/>
  <c r="AT360" i="307"/>
  <c r="AO360" i="307"/>
  <c r="AN360" i="307"/>
  <c r="AJ360" i="307"/>
  <c r="AI360" i="307"/>
  <c r="AE360" i="307"/>
  <c r="AH360" i="307" s="1"/>
  <c r="AB360" i="307"/>
  <c r="AA360" i="307"/>
  <c r="V360" i="307"/>
  <c r="U360" i="307"/>
  <c r="T360" i="307"/>
  <c r="S360" i="307"/>
  <c r="R360" i="307"/>
  <c r="Q360" i="307"/>
  <c r="P360" i="307"/>
  <c r="O360" i="307"/>
  <c r="N360" i="307"/>
  <c r="B360" i="307"/>
  <c r="AX359" i="307"/>
  <c r="AT359" i="307"/>
  <c r="AO359" i="307"/>
  <c r="AN359" i="307"/>
  <c r="AJ359" i="307"/>
  <c r="AI359" i="307"/>
  <c r="AE359" i="307"/>
  <c r="AH359" i="307" s="1"/>
  <c r="AB359" i="307"/>
  <c r="AA359" i="307"/>
  <c r="V359" i="307"/>
  <c r="U359" i="307"/>
  <c r="T359" i="307"/>
  <c r="S359" i="307"/>
  <c r="R359" i="307"/>
  <c r="Q359" i="307"/>
  <c r="P359" i="307"/>
  <c r="O359" i="307"/>
  <c r="N359" i="307"/>
  <c r="B359" i="307"/>
  <c r="AX358" i="307"/>
  <c r="AT358" i="307"/>
  <c r="AO358" i="307"/>
  <c r="AN358" i="307"/>
  <c r="AJ358" i="307"/>
  <c r="AI358" i="307"/>
  <c r="AE358" i="307"/>
  <c r="AH358" i="307" s="1"/>
  <c r="AB358" i="307"/>
  <c r="AA358" i="307"/>
  <c r="V358" i="307"/>
  <c r="U358" i="307"/>
  <c r="T358" i="307"/>
  <c r="S358" i="307"/>
  <c r="R358" i="307"/>
  <c r="Q358" i="307"/>
  <c r="P358" i="307"/>
  <c r="O358" i="307"/>
  <c r="N358" i="307"/>
  <c r="B358" i="307"/>
  <c r="AX357" i="307"/>
  <c r="AT357" i="307"/>
  <c r="AO357" i="307"/>
  <c r="AN357" i="307"/>
  <c r="AJ357" i="307"/>
  <c r="AI357" i="307"/>
  <c r="AE357" i="307"/>
  <c r="AH357" i="307" s="1"/>
  <c r="AB357" i="307"/>
  <c r="AA357" i="307"/>
  <c r="V357" i="307"/>
  <c r="U357" i="307"/>
  <c r="T357" i="307"/>
  <c r="S357" i="307"/>
  <c r="R357" i="307"/>
  <c r="Q357" i="307"/>
  <c r="P357" i="307"/>
  <c r="O357" i="307"/>
  <c r="N357" i="307"/>
  <c r="B357" i="307"/>
  <c r="AX356" i="307"/>
  <c r="AT356" i="307"/>
  <c r="AO356" i="307"/>
  <c r="AN356" i="307"/>
  <c r="AJ356" i="307"/>
  <c r="AI356" i="307"/>
  <c r="AE356" i="307"/>
  <c r="AH356" i="307" s="1"/>
  <c r="AB356" i="307"/>
  <c r="AA356" i="307"/>
  <c r="V356" i="307"/>
  <c r="U356" i="307"/>
  <c r="T356" i="307"/>
  <c r="S356" i="307"/>
  <c r="R356" i="307"/>
  <c r="Q356" i="307"/>
  <c r="P356" i="307"/>
  <c r="O356" i="307"/>
  <c r="N356" i="307"/>
  <c r="B356" i="307"/>
  <c r="AX355" i="307"/>
  <c r="AT355" i="307"/>
  <c r="AO355" i="307"/>
  <c r="AN355" i="307"/>
  <c r="AJ355" i="307"/>
  <c r="AI355" i="307"/>
  <c r="AE355" i="307"/>
  <c r="AH355" i="307" s="1"/>
  <c r="AB355" i="307"/>
  <c r="AA355" i="307"/>
  <c r="V355" i="307"/>
  <c r="U355" i="307"/>
  <c r="T355" i="307"/>
  <c r="S355" i="307"/>
  <c r="R355" i="307"/>
  <c r="Q355" i="307"/>
  <c r="P355" i="307"/>
  <c r="O355" i="307"/>
  <c r="N355" i="307"/>
  <c r="B355" i="307"/>
  <c r="AX354" i="307"/>
  <c r="AT354" i="307"/>
  <c r="AO354" i="307"/>
  <c r="AN354" i="307"/>
  <c r="AJ354" i="307"/>
  <c r="AI354" i="307"/>
  <c r="AE354" i="307"/>
  <c r="AH354" i="307" s="1"/>
  <c r="AB354" i="307"/>
  <c r="AA354" i="307"/>
  <c r="V354" i="307"/>
  <c r="U354" i="307"/>
  <c r="T354" i="307"/>
  <c r="S354" i="307"/>
  <c r="R354" i="307"/>
  <c r="Q354" i="307"/>
  <c r="P354" i="307"/>
  <c r="O354" i="307"/>
  <c r="N354" i="307"/>
  <c r="B354" i="307"/>
  <c r="AX353" i="307"/>
  <c r="AT353" i="307"/>
  <c r="AO353" i="307"/>
  <c r="AN353" i="307"/>
  <c r="AJ353" i="307"/>
  <c r="AI353" i="307"/>
  <c r="AE353" i="307"/>
  <c r="AH353" i="307" s="1"/>
  <c r="AB353" i="307"/>
  <c r="AA353" i="307"/>
  <c r="V353" i="307"/>
  <c r="U353" i="307"/>
  <c r="T353" i="307"/>
  <c r="S353" i="307"/>
  <c r="R353" i="307"/>
  <c r="Q353" i="307"/>
  <c r="P353" i="307"/>
  <c r="O353" i="307"/>
  <c r="N353" i="307"/>
  <c r="B353" i="307"/>
  <c r="AX352" i="307"/>
  <c r="AT352" i="307"/>
  <c r="AO352" i="307"/>
  <c r="AN352" i="307"/>
  <c r="AJ352" i="307"/>
  <c r="AI352" i="307"/>
  <c r="AE352" i="307"/>
  <c r="AH352" i="307" s="1"/>
  <c r="AB352" i="307"/>
  <c r="AA352" i="307"/>
  <c r="V352" i="307"/>
  <c r="U352" i="307"/>
  <c r="T352" i="307"/>
  <c r="S352" i="307"/>
  <c r="R352" i="307"/>
  <c r="Q352" i="307"/>
  <c r="P352" i="307"/>
  <c r="O352" i="307"/>
  <c r="N352" i="307"/>
  <c r="B352" i="307"/>
  <c r="AX351" i="307"/>
  <c r="AT351" i="307"/>
  <c r="AO351" i="307"/>
  <c r="AN351" i="307"/>
  <c r="AJ351" i="307"/>
  <c r="AI351" i="307"/>
  <c r="AE351" i="307"/>
  <c r="AH351" i="307" s="1"/>
  <c r="AB351" i="307"/>
  <c r="AA351" i="307"/>
  <c r="V351" i="307"/>
  <c r="U351" i="307"/>
  <c r="T351" i="307"/>
  <c r="S351" i="307"/>
  <c r="R351" i="307"/>
  <c r="Q351" i="307"/>
  <c r="P351" i="307"/>
  <c r="O351" i="307"/>
  <c r="N351" i="307"/>
  <c r="B351" i="307"/>
  <c r="AX350" i="307"/>
  <c r="AT350" i="307"/>
  <c r="AO350" i="307"/>
  <c r="AN350" i="307"/>
  <c r="AJ350" i="307"/>
  <c r="AI350" i="307"/>
  <c r="AE350" i="307"/>
  <c r="AH350" i="307" s="1"/>
  <c r="AB350" i="307"/>
  <c r="AA350" i="307"/>
  <c r="V350" i="307"/>
  <c r="U350" i="307"/>
  <c r="T350" i="307"/>
  <c r="S350" i="307"/>
  <c r="R350" i="307"/>
  <c r="Q350" i="307"/>
  <c r="P350" i="307"/>
  <c r="O350" i="307"/>
  <c r="N350" i="307"/>
  <c r="B350" i="307"/>
  <c r="AX349" i="307"/>
  <c r="AT349" i="307"/>
  <c r="AO349" i="307"/>
  <c r="AN349" i="307"/>
  <c r="AJ349" i="307"/>
  <c r="AI349" i="307"/>
  <c r="AE349" i="307"/>
  <c r="AH349" i="307" s="1"/>
  <c r="AB349" i="307"/>
  <c r="AA349" i="307"/>
  <c r="V349" i="307"/>
  <c r="U349" i="307"/>
  <c r="T349" i="307"/>
  <c r="S349" i="307"/>
  <c r="R349" i="307"/>
  <c r="Q349" i="307"/>
  <c r="P349" i="307"/>
  <c r="O349" i="307"/>
  <c r="N349" i="307"/>
  <c r="B349" i="307"/>
  <c r="AX348" i="307"/>
  <c r="AT348" i="307"/>
  <c r="AO348" i="307"/>
  <c r="AN348" i="307"/>
  <c r="AJ348" i="307"/>
  <c r="AI348" i="307"/>
  <c r="AE348" i="307"/>
  <c r="AH348" i="307" s="1"/>
  <c r="AB348" i="307"/>
  <c r="AA348" i="307"/>
  <c r="V348" i="307"/>
  <c r="U348" i="307"/>
  <c r="T348" i="307"/>
  <c r="S348" i="307"/>
  <c r="R348" i="307"/>
  <c r="Q348" i="307"/>
  <c r="P348" i="307"/>
  <c r="O348" i="307"/>
  <c r="N348" i="307"/>
  <c r="B348" i="307"/>
  <c r="AX347" i="307"/>
  <c r="AT347" i="307"/>
  <c r="AO347" i="307"/>
  <c r="AN347" i="307"/>
  <c r="AJ347" i="307"/>
  <c r="AI347" i="307"/>
  <c r="AE347" i="307"/>
  <c r="AH347" i="307" s="1"/>
  <c r="AB347" i="307"/>
  <c r="AA347" i="307"/>
  <c r="V347" i="307"/>
  <c r="U347" i="307"/>
  <c r="T347" i="307"/>
  <c r="S347" i="307"/>
  <c r="R347" i="307"/>
  <c r="Q347" i="307"/>
  <c r="P347" i="307"/>
  <c r="O347" i="307"/>
  <c r="N347" i="307"/>
  <c r="B347" i="307"/>
  <c r="AX346" i="307"/>
  <c r="AT346" i="307"/>
  <c r="AO346" i="307"/>
  <c r="AN346" i="307"/>
  <c r="AJ346" i="307"/>
  <c r="AI346" i="307"/>
  <c r="AE346" i="307"/>
  <c r="AH346" i="307" s="1"/>
  <c r="AB346" i="307"/>
  <c r="AA346" i="307"/>
  <c r="V346" i="307"/>
  <c r="U346" i="307"/>
  <c r="T346" i="307"/>
  <c r="S346" i="307"/>
  <c r="R346" i="307"/>
  <c r="Q346" i="307"/>
  <c r="P346" i="307"/>
  <c r="O346" i="307"/>
  <c r="N346" i="307"/>
  <c r="B346" i="307"/>
  <c r="AX345" i="307"/>
  <c r="AT345" i="307"/>
  <c r="AO345" i="307"/>
  <c r="AN345" i="307"/>
  <c r="AJ345" i="307"/>
  <c r="AI345" i="307"/>
  <c r="AE345" i="307"/>
  <c r="AH345" i="307" s="1"/>
  <c r="AB345" i="307"/>
  <c r="AA345" i="307"/>
  <c r="V345" i="307"/>
  <c r="U345" i="307"/>
  <c r="T345" i="307"/>
  <c r="S345" i="307"/>
  <c r="R345" i="307"/>
  <c r="Q345" i="307"/>
  <c r="P345" i="307"/>
  <c r="O345" i="307"/>
  <c r="N345" i="307"/>
  <c r="B345" i="307"/>
  <c r="AX344" i="307"/>
  <c r="AT344" i="307"/>
  <c r="AO344" i="307"/>
  <c r="AN344" i="307"/>
  <c r="AJ344" i="307"/>
  <c r="AI344" i="307"/>
  <c r="AE344" i="307"/>
  <c r="AH344" i="307" s="1"/>
  <c r="AB344" i="307"/>
  <c r="AA344" i="307"/>
  <c r="V344" i="307"/>
  <c r="U344" i="307"/>
  <c r="T344" i="307"/>
  <c r="S344" i="307"/>
  <c r="R344" i="307"/>
  <c r="Q344" i="307"/>
  <c r="P344" i="307"/>
  <c r="O344" i="307"/>
  <c r="N344" i="307"/>
  <c r="B344" i="307"/>
  <c r="AX343" i="307"/>
  <c r="AT343" i="307"/>
  <c r="AO343" i="307"/>
  <c r="AN343" i="307"/>
  <c r="AJ343" i="307"/>
  <c r="AI343" i="307"/>
  <c r="AE343" i="307"/>
  <c r="AH343" i="307" s="1"/>
  <c r="AB343" i="307"/>
  <c r="AA343" i="307"/>
  <c r="V343" i="307"/>
  <c r="U343" i="307"/>
  <c r="T343" i="307"/>
  <c r="S343" i="307"/>
  <c r="R343" i="307"/>
  <c r="Q343" i="307"/>
  <c r="P343" i="307"/>
  <c r="O343" i="307"/>
  <c r="N343" i="307"/>
  <c r="B343" i="307"/>
  <c r="AX342" i="307"/>
  <c r="AT342" i="307"/>
  <c r="AO342" i="307"/>
  <c r="AN342" i="307"/>
  <c r="AJ342" i="307"/>
  <c r="AI342" i="307"/>
  <c r="AE342" i="307"/>
  <c r="AH342" i="307" s="1"/>
  <c r="AB342" i="307"/>
  <c r="AA342" i="307"/>
  <c r="V342" i="307"/>
  <c r="U342" i="307"/>
  <c r="T342" i="307"/>
  <c r="S342" i="307"/>
  <c r="R342" i="307"/>
  <c r="Q342" i="307"/>
  <c r="P342" i="307"/>
  <c r="O342" i="307"/>
  <c r="N342" i="307"/>
  <c r="B342" i="307"/>
  <c r="AX341" i="307"/>
  <c r="AT341" i="307"/>
  <c r="AO341" i="307"/>
  <c r="AN341" i="307"/>
  <c r="AJ341" i="307"/>
  <c r="AI341" i="307"/>
  <c r="AE341" i="307"/>
  <c r="AH341" i="307" s="1"/>
  <c r="AB341" i="307"/>
  <c r="AA341" i="307"/>
  <c r="V341" i="307"/>
  <c r="U341" i="307"/>
  <c r="T341" i="307"/>
  <c r="S341" i="307"/>
  <c r="R341" i="307"/>
  <c r="Q341" i="307"/>
  <c r="P341" i="307"/>
  <c r="O341" i="307"/>
  <c r="N341" i="307"/>
  <c r="B341" i="307"/>
  <c r="AX340" i="307"/>
  <c r="AT340" i="307"/>
  <c r="AO340" i="307"/>
  <c r="AN340" i="307"/>
  <c r="AJ340" i="307"/>
  <c r="AI340" i="307"/>
  <c r="AE340" i="307"/>
  <c r="AH340" i="307" s="1"/>
  <c r="AB340" i="307"/>
  <c r="AA340" i="307"/>
  <c r="V340" i="307"/>
  <c r="U340" i="307"/>
  <c r="T340" i="307"/>
  <c r="S340" i="307"/>
  <c r="R340" i="307"/>
  <c r="Q340" i="307"/>
  <c r="P340" i="307"/>
  <c r="O340" i="307"/>
  <c r="N340" i="307"/>
  <c r="B340" i="307"/>
  <c r="AX339" i="307"/>
  <c r="AT339" i="307"/>
  <c r="AO339" i="307"/>
  <c r="AN339" i="307"/>
  <c r="AJ339" i="307"/>
  <c r="AI339" i="307"/>
  <c r="AE339" i="307"/>
  <c r="AH339" i="307" s="1"/>
  <c r="AB339" i="307"/>
  <c r="AA339" i="307"/>
  <c r="V339" i="307"/>
  <c r="U339" i="307"/>
  <c r="T339" i="307"/>
  <c r="S339" i="307"/>
  <c r="R339" i="307"/>
  <c r="Q339" i="307"/>
  <c r="P339" i="307"/>
  <c r="O339" i="307"/>
  <c r="N339" i="307"/>
  <c r="B339" i="307"/>
  <c r="AX338" i="307"/>
  <c r="AT338" i="307"/>
  <c r="AO338" i="307"/>
  <c r="AN338" i="307"/>
  <c r="AJ338" i="307"/>
  <c r="AI338" i="307"/>
  <c r="AE338" i="307"/>
  <c r="AH338" i="307" s="1"/>
  <c r="AB338" i="307"/>
  <c r="AA338" i="307"/>
  <c r="V338" i="307"/>
  <c r="U338" i="307"/>
  <c r="T338" i="307"/>
  <c r="S338" i="307"/>
  <c r="R338" i="307"/>
  <c r="Q338" i="307"/>
  <c r="P338" i="307"/>
  <c r="O338" i="307"/>
  <c r="N338" i="307"/>
  <c r="B338" i="307"/>
  <c r="AX337" i="307"/>
  <c r="AT337" i="307"/>
  <c r="AO337" i="307"/>
  <c r="AN337" i="307"/>
  <c r="AJ337" i="307"/>
  <c r="AI337" i="307"/>
  <c r="AE337" i="307"/>
  <c r="AH337" i="307" s="1"/>
  <c r="AB337" i="307"/>
  <c r="AA337" i="307"/>
  <c r="V337" i="307"/>
  <c r="U337" i="307"/>
  <c r="T337" i="307"/>
  <c r="S337" i="307"/>
  <c r="R337" i="307"/>
  <c r="Q337" i="307"/>
  <c r="P337" i="307"/>
  <c r="O337" i="307"/>
  <c r="N337" i="307"/>
  <c r="B337" i="307"/>
  <c r="AX336" i="307"/>
  <c r="AT336" i="307"/>
  <c r="AO336" i="307"/>
  <c r="AN336" i="307"/>
  <c r="AJ336" i="307"/>
  <c r="AI336" i="307"/>
  <c r="AE336" i="307"/>
  <c r="AH336" i="307" s="1"/>
  <c r="AB336" i="307"/>
  <c r="AA336" i="307"/>
  <c r="V336" i="307"/>
  <c r="U336" i="307"/>
  <c r="T336" i="307"/>
  <c r="S336" i="307"/>
  <c r="R336" i="307"/>
  <c r="Q336" i="307"/>
  <c r="P336" i="307"/>
  <c r="O336" i="307"/>
  <c r="N336" i="307"/>
  <c r="B336" i="307"/>
  <c r="AX335" i="307"/>
  <c r="AT335" i="307"/>
  <c r="AO335" i="307"/>
  <c r="AN335" i="307"/>
  <c r="AJ335" i="307"/>
  <c r="AI335" i="307"/>
  <c r="AE335" i="307"/>
  <c r="AH335" i="307" s="1"/>
  <c r="AB335" i="307"/>
  <c r="AA335" i="307"/>
  <c r="V335" i="307"/>
  <c r="U335" i="307"/>
  <c r="T335" i="307"/>
  <c r="S335" i="307"/>
  <c r="R335" i="307"/>
  <c r="Q335" i="307"/>
  <c r="P335" i="307"/>
  <c r="O335" i="307"/>
  <c r="N335" i="307"/>
  <c r="B335" i="307"/>
  <c r="AX334" i="307"/>
  <c r="AT334" i="307"/>
  <c r="AO334" i="307"/>
  <c r="AN334" i="307"/>
  <c r="AJ334" i="307"/>
  <c r="AI334" i="307"/>
  <c r="AE334" i="307"/>
  <c r="AH334" i="307" s="1"/>
  <c r="AB334" i="307"/>
  <c r="AA334" i="307"/>
  <c r="V334" i="307"/>
  <c r="U334" i="307"/>
  <c r="T334" i="307"/>
  <c r="S334" i="307"/>
  <c r="R334" i="307"/>
  <c r="Q334" i="307"/>
  <c r="P334" i="307"/>
  <c r="O334" i="307"/>
  <c r="N334" i="307"/>
  <c r="B334" i="307"/>
  <c r="AX333" i="307"/>
  <c r="AT333" i="307"/>
  <c r="AO333" i="307"/>
  <c r="AN333" i="307"/>
  <c r="AJ333" i="307"/>
  <c r="AI333" i="307"/>
  <c r="AE333" i="307"/>
  <c r="AH333" i="307" s="1"/>
  <c r="AB333" i="307"/>
  <c r="AA333" i="307"/>
  <c r="V333" i="307"/>
  <c r="U333" i="307"/>
  <c r="T333" i="307"/>
  <c r="S333" i="307"/>
  <c r="R333" i="307"/>
  <c r="Q333" i="307"/>
  <c r="P333" i="307"/>
  <c r="O333" i="307"/>
  <c r="N333" i="307"/>
  <c r="B333" i="307"/>
  <c r="AX332" i="307"/>
  <c r="AT332" i="307"/>
  <c r="AO332" i="307"/>
  <c r="AN332" i="307"/>
  <c r="AJ332" i="307"/>
  <c r="AI332" i="307"/>
  <c r="AE332" i="307"/>
  <c r="AH332" i="307" s="1"/>
  <c r="AB332" i="307"/>
  <c r="AA332" i="307"/>
  <c r="V332" i="307"/>
  <c r="U332" i="307"/>
  <c r="T332" i="307"/>
  <c r="S332" i="307"/>
  <c r="R332" i="307"/>
  <c r="Q332" i="307"/>
  <c r="P332" i="307"/>
  <c r="O332" i="307"/>
  <c r="N332" i="307"/>
  <c r="B332" i="307"/>
  <c r="AX331" i="307"/>
  <c r="AT331" i="307"/>
  <c r="AO331" i="307"/>
  <c r="AN331" i="307"/>
  <c r="AJ331" i="307"/>
  <c r="AI331" i="307"/>
  <c r="AE331" i="307"/>
  <c r="AH331" i="307" s="1"/>
  <c r="AB331" i="307"/>
  <c r="AA331" i="307"/>
  <c r="V331" i="307"/>
  <c r="U331" i="307"/>
  <c r="T331" i="307"/>
  <c r="S331" i="307"/>
  <c r="R331" i="307"/>
  <c r="Q331" i="307"/>
  <c r="P331" i="307"/>
  <c r="O331" i="307"/>
  <c r="N331" i="307"/>
  <c r="B331" i="307"/>
  <c r="AX330" i="307"/>
  <c r="AT330" i="307"/>
  <c r="AO330" i="307"/>
  <c r="AN330" i="307"/>
  <c r="AJ330" i="307"/>
  <c r="AI330" i="307"/>
  <c r="AE330" i="307"/>
  <c r="AH330" i="307" s="1"/>
  <c r="AB330" i="307"/>
  <c r="AA330" i="307"/>
  <c r="V330" i="307"/>
  <c r="U330" i="307"/>
  <c r="T330" i="307"/>
  <c r="S330" i="307"/>
  <c r="R330" i="307"/>
  <c r="Q330" i="307"/>
  <c r="P330" i="307"/>
  <c r="O330" i="307"/>
  <c r="N330" i="307"/>
  <c r="B330" i="307"/>
  <c r="AX329" i="307"/>
  <c r="AT329" i="307"/>
  <c r="AO329" i="307"/>
  <c r="AN329" i="307"/>
  <c r="AJ329" i="307"/>
  <c r="AI329" i="307"/>
  <c r="AE329" i="307"/>
  <c r="AH329" i="307" s="1"/>
  <c r="AB329" i="307"/>
  <c r="AA329" i="307"/>
  <c r="V329" i="307"/>
  <c r="U329" i="307"/>
  <c r="T329" i="307"/>
  <c r="S329" i="307"/>
  <c r="R329" i="307"/>
  <c r="Q329" i="307"/>
  <c r="P329" i="307"/>
  <c r="O329" i="307"/>
  <c r="N329" i="307"/>
  <c r="B329" i="307"/>
  <c r="AX328" i="307"/>
  <c r="AT328" i="307"/>
  <c r="AO328" i="307"/>
  <c r="AN328" i="307"/>
  <c r="AJ328" i="307"/>
  <c r="AI328" i="307"/>
  <c r="AE328" i="307"/>
  <c r="AH328" i="307" s="1"/>
  <c r="AB328" i="307"/>
  <c r="AA328" i="307"/>
  <c r="V328" i="307"/>
  <c r="U328" i="307"/>
  <c r="T328" i="307"/>
  <c r="S328" i="307"/>
  <c r="R328" i="307"/>
  <c r="Q328" i="307"/>
  <c r="P328" i="307"/>
  <c r="O328" i="307"/>
  <c r="N328" i="307"/>
  <c r="B328" i="307"/>
  <c r="AX327" i="307"/>
  <c r="AT327" i="307"/>
  <c r="AO327" i="307"/>
  <c r="AN327" i="307"/>
  <c r="AJ327" i="307"/>
  <c r="AI327" i="307"/>
  <c r="AE327" i="307"/>
  <c r="AH327" i="307" s="1"/>
  <c r="AB327" i="307"/>
  <c r="AA327" i="307"/>
  <c r="V327" i="307"/>
  <c r="U327" i="307"/>
  <c r="T327" i="307"/>
  <c r="S327" i="307"/>
  <c r="R327" i="307"/>
  <c r="Q327" i="307"/>
  <c r="P327" i="307"/>
  <c r="O327" i="307"/>
  <c r="N327" i="307"/>
  <c r="B327" i="307"/>
  <c r="AX326" i="307"/>
  <c r="AT326" i="307"/>
  <c r="AO326" i="307"/>
  <c r="AN326" i="307"/>
  <c r="AJ326" i="307"/>
  <c r="AI326" i="307"/>
  <c r="AE326" i="307"/>
  <c r="AH326" i="307" s="1"/>
  <c r="AB326" i="307"/>
  <c r="AA326" i="307"/>
  <c r="V326" i="307"/>
  <c r="U326" i="307"/>
  <c r="T326" i="307"/>
  <c r="S326" i="307"/>
  <c r="R326" i="307"/>
  <c r="Q326" i="307"/>
  <c r="P326" i="307"/>
  <c r="O326" i="307"/>
  <c r="N326" i="307"/>
  <c r="B326" i="307"/>
  <c r="AX325" i="307"/>
  <c r="AT325" i="307"/>
  <c r="AO325" i="307"/>
  <c r="AN325" i="307"/>
  <c r="AJ325" i="307"/>
  <c r="AI325" i="307"/>
  <c r="AE325" i="307"/>
  <c r="AH325" i="307" s="1"/>
  <c r="AB325" i="307"/>
  <c r="AA325" i="307"/>
  <c r="V325" i="307"/>
  <c r="U325" i="307"/>
  <c r="T325" i="307"/>
  <c r="S325" i="307"/>
  <c r="R325" i="307"/>
  <c r="Q325" i="307"/>
  <c r="P325" i="307"/>
  <c r="O325" i="307"/>
  <c r="N325" i="307"/>
  <c r="B325" i="307"/>
  <c r="AX324" i="307"/>
  <c r="AT324" i="307"/>
  <c r="AO324" i="307"/>
  <c r="AN324" i="307"/>
  <c r="AJ324" i="307"/>
  <c r="AI324" i="307"/>
  <c r="AE324" i="307"/>
  <c r="AH324" i="307" s="1"/>
  <c r="AB324" i="307"/>
  <c r="AA324" i="307"/>
  <c r="V324" i="307"/>
  <c r="U324" i="307"/>
  <c r="T324" i="307"/>
  <c r="S324" i="307"/>
  <c r="R324" i="307"/>
  <c r="Q324" i="307"/>
  <c r="P324" i="307"/>
  <c r="O324" i="307"/>
  <c r="N324" i="307"/>
  <c r="B324" i="307"/>
  <c r="AX323" i="307"/>
  <c r="AT323" i="307"/>
  <c r="AO323" i="307"/>
  <c r="AN323" i="307"/>
  <c r="AJ323" i="307"/>
  <c r="AI323" i="307"/>
  <c r="AE323" i="307"/>
  <c r="AH323" i="307" s="1"/>
  <c r="AB323" i="307"/>
  <c r="AA323" i="307"/>
  <c r="V323" i="307"/>
  <c r="U323" i="307"/>
  <c r="T323" i="307"/>
  <c r="S323" i="307"/>
  <c r="R323" i="307"/>
  <c r="Q323" i="307"/>
  <c r="P323" i="307"/>
  <c r="O323" i="307"/>
  <c r="N323" i="307"/>
  <c r="B323" i="307"/>
  <c r="AX322" i="307"/>
  <c r="AT322" i="307"/>
  <c r="AO322" i="307"/>
  <c r="AN322" i="307"/>
  <c r="AJ322" i="307"/>
  <c r="AI322" i="307"/>
  <c r="AE322" i="307"/>
  <c r="AH322" i="307" s="1"/>
  <c r="AB322" i="307"/>
  <c r="AA322" i="307"/>
  <c r="V322" i="307"/>
  <c r="U322" i="307"/>
  <c r="T322" i="307"/>
  <c r="S322" i="307"/>
  <c r="R322" i="307"/>
  <c r="Q322" i="307"/>
  <c r="P322" i="307"/>
  <c r="O322" i="307"/>
  <c r="N322" i="307"/>
  <c r="B322" i="307"/>
  <c r="AX321" i="307"/>
  <c r="AT321" i="307"/>
  <c r="AO321" i="307"/>
  <c r="AN321" i="307"/>
  <c r="AJ321" i="307"/>
  <c r="AI321" i="307"/>
  <c r="AE321" i="307"/>
  <c r="AH321" i="307" s="1"/>
  <c r="AB321" i="307"/>
  <c r="AA321" i="307"/>
  <c r="V321" i="307"/>
  <c r="U321" i="307"/>
  <c r="T321" i="307"/>
  <c r="S321" i="307"/>
  <c r="R321" i="307"/>
  <c r="Q321" i="307"/>
  <c r="P321" i="307"/>
  <c r="O321" i="307"/>
  <c r="N321" i="307"/>
  <c r="B321" i="307"/>
  <c r="AX320" i="307"/>
  <c r="AT320" i="307"/>
  <c r="AO320" i="307"/>
  <c r="AN320" i="307"/>
  <c r="AJ320" i="307"/>
  <c r="AI320" i="307"/>
  <c r="AE320" i="307"/>
  <c r="AH320" i="307" s="1"/>
  <c r="AB320" i="307"/>
  <c r="AA320" i="307"/>
  <c r="V320" i="307"/>
  <c r="U320" i="307"/>
  <c r="T320" i="307"/>
  <c r="S320" i="307"/>
  <c r="R320" i="307"/>
  <c r="Q320" i="307"/>
  <c r="P320" i="307"/>
  <c r="O320" i="307"/>
  <c r="N320" i="307"/>
  <c r="B320" i="307"/>
  <c r="AX319" i="307"/>
  <c r="AT319" i="307"/>
  <c r="AO319" i="307"/>
  <c r="AN319" i="307"/>
  <c r="AJ319" i="307"/>
  <c r="AI319" i="307"/>
  <c r="AE319" i="307"/>
  <c r="AH319" i="307" s="1"/>
  <c r="AB319" i="307"/>
  <c r="AA319" i="307"/>
  <c r="V319" i="307"/>
  <c r="U319" i="307"/>
  <c r="T319" i="307"/>
  <c r="S319" i="307"/>
  <c r="R319" i="307"/>
  <c r="Q319" i="307"/>
  <c r="P319" i="307"/>
  <c r="O319" i="307"/>
  <c r="N319" i="307"/>
  <c r="B319" i="307"/>
  <c r="AX318" i="307"/>
  <c r="AT318" i="307"/>
  <c r="AO318" i="307"/>
  <c r="AN318" i="307"/>
  <c r="AJ318" i="307"/>
  <c r="AI318" i="307"/>
  <c r="AE318" i="307"/>
  <c r="AH318" i="307" s="1"/>
  <c r="AB318" i="307"/>
  <c r="AA318" i="307"/>
  <c r="V318" i="307"/>
  <c r="U318" i="307"/>
  <c r="T318" i="307"/>
  <c r="S318" i="307"/>
  <c r="R318" i="307"/>
  <c r="Q318" i="307"/>
  <c r="P318" i="307"/>
  <c r="O318" i="307"/>
  <c r="N318" i="307"/>
  <c r="B318" i="307"/>
  <c r="AX317" i="307"/>
  <c r="AT317" i="307"/>
  <c r="AO317" i="307"/>
  <c r="AN317" i="307"/>
  <c r="AJ317" i="307"/>
  <c r="AI317" i="307"/>
  <c r="AE317" i="307"/>
  <c r="AH317" i="307" s="1"/>
  <c r="AB317" i="307"/>
  <c r="AA317" i="307"/>
  <c r="V317" i="307"/>
  <c r="U317" i="307"/>
  <c r="T317" i="307"/>
  <c r="S317" i="307"/>
  <c r="R317" i="307"/>
  <c r="Q317" i="307"/>
  <c r="P317" i="307"/>
  <c r="O317" i="307"/>
  <c r="N317" i="307"/>
  <c r="B317" i="307"/>
  <c r="AX316" i="307"/>
  <c r="AT316" i="307"/>
  <c r="AO316" i="307"/>
  <c r="AN316" i="307"/>
  <c r="AJ316" i="307"/>
  <c r="AI316" i="307"/>
  <c r="AE316" i="307"/>
  <c r="AH316" i="307" s="1"/>
  <c r="AB316" i="307"/>
  <c r="AA316" i="307"/>
  <c r="V316" i="307"/>
  <c r="U316" i="307"/>
  <c r="T316" i="307"/>
  <c r="S316" i="307"/>
  <c r="R316" i="307"/>
  <c r="Q316" i="307"/>
  <c r="P316" i="307"/>
  <c r="O316" i="307"/>
  <c r="N316" i="307"/>
  <c r="B316" i="307"/>
  <c r="AX315" i="307"/>
  <c r="AT315" i="307"/>
  <c r="AO315" i="307"/>
  <c r="AN315" i="307"/>
  <c r="AJ315" i="307"/>
  <c r="AI315" i="307"/>
  <c r="AE315" i="307"/>
  <c r="AH315" i="307" s="1"/>
  <c r="AB315" i="307"/>
  <c r="AA315" i="307"/>
  <c r="V315" i="307"/>
  <c r="U315" i="307"/>
  <c r="T315" i="307"/>
  <c r="S315" i="307"/>
  <c r="R315" i="307"/>
  <c r="Q315" i="307"/>
  <c r="P315" i="307"/>
  <c r="O315" i="307"/>
  <c r="N315" i="307"/>
  <c r="B315" i="307"/>
  <c r="AX314" i="307"/>
  <c r="AT314" i="307"/>
  <c r="AO314" i="307"/>
  <c r="AN314" i="307"/>
  <c r="AJ314" i="307"/>
  <c r="AI314" i="307"/>
  <c r="AE314" i="307"/>
  <c r="AH314" i="307" s="1"/>
  <c r="AB314" i="307"/>
  <c r="AA314" i="307"/>
  <c r="V314" i="307"/>
  <c r="U314" i="307"/>
  <c r="T314" i="307"/>
  <c r="S314" i="307"/>
  <c r="R314" i="307"/>
  <c r="Q314" i="307"/>
  <c r="P314" i="307"/>
  <c r="O314" i="307"/>
  <c r="N314" i="307"/>
  <c r="B314" i="307"/>
  <c r="AX313" i="307"/>
  <c r="AT313" i="307"/>
  <c r="AO313" i="307"/>
  <c r="AN313" i="307"/>
  <c r="AJ313" i="307"/>
  <c r="AI313" i="307"/>
  <c r="AE313" i="307"/>
  <c r="AH313" i="307" s="1"/>
  <c r="AB313" i="307"/>
  <c r="AA313" i="307"/>
  <c r="V313" i="307"/>
  <c r="U313" i="307"/>
  <c r="T313" i="307"/>
  <c r="S313" i="307"/>
  <c r="R313" i="307"/>
  <c r="Q313" i="307"/>
  <c r="P313" i="307"/>
  <c r="O313" i="307"/>
  <c r="N313" i="307"/>
  <c r="B313" i="307"/>
  <c r="AX312" i="307"/>
  <c r="AT312" i="307"/>
  <c r="AO312" i="307"/>
  <c r="AN312" i="307"/>
  <c r="AJ312" i="307"/>
  <c r="AI312" i="307"/>
  <c r="AE312" i="307"/>
  <c r="AH312" i="307" s="1"/>
  <c r="AB312" i="307"/>
  <c r="AA312" i="307"/>
  <c r="V312" i="307"/>
  <c r="U312" i="307"/>
  <c r="T312" i="307"/>
  <c r="S312" i="307"/>
  <c r="R312" i="307"/>
  <c r="Q312" i="307"/>
  <c r="P312" i="307"/>
  <c r="O312" i="307"/>
  <c r="N312" i="307"/>
  <c r="B312" i="307"/>
  <c r="AX311" i="307"/>
  <c r="AT311" i="307"/>
  <c r="AO311" i="307"/>
  <c r="AN311" i="307"/>
  <c r="AJ311" i="307"/>
  <c r="AI311" i="307"/>
  <c r="AE311" i="307"/>
  <c r="AH311" i="307" s="1"/>
  <c r="AB311" i="307"/>
  <c r="AA311" i="307"/>
  <c r="V311" i="307"/>
  <c r="U311" i="307"/>
  <c r="T311" i="307"/>
  <c r="S311" i="307"/>
  <c r="R311" i="307"/>
  <c r="Q311" i="307"/>
  <c r="P311" i="307"/>
  <c r="O311" i="307"/>
  <c r="N311" i="307"/>
  <c r="B311" i="307"/>
  <c r="AX310" i="307"/>
  <c r="AT310" i="307"/>
  <c r="AO310" i="307"/>
  <c r="AN310" i="307"/>
  <c r="AJ310" i="307"/>
  <c r="AI310" i="307"/>
  <c r="AE310" i="307"/>
  <c r="AH310" i="307" s="1"/>
  <c r="AB310" i="307"/>
  <c r="AA310" i="307"/>
  <c r="V310" i="307"/>
  <c r="U310" i="307"/>
  <c r="T310" i="307"/>
  <c r="S310" i="307"/>
  <c r="R310" i="307"/>
  <c r="Q310" i="307"/>
  <c r="P310" i="307"/>
  <c r="O310" i="307"/>
  <c r="N310" i="307"/>
  <c r="B310" i="307"/>
  <c r="AX309" i="307"/>
  <c r="AT309" i="307"/>
  <c r="AO309" i="307"/>
  <c r="AN309" i="307"/>
  <c r="AJ309" i="307"/>
  <c r="AI309" i="307"/>
  <c r="AE309" i="307"/>
  <c r="AH309" i="307" s="1"/>
  <c r="AB309" i="307"/>
  <c r="AA309" i="307"/>
  <c r="V309" i="307"/>
  <c r="U309" i="307"/>
  <c r="T309" i="307"/>
  <c r="S309" i="307"/>
  <c r="R309" i="307"/>
  <c r="Q309" i="307"/>
  <c r="P309" i="307"/>
  <c r="O309" i="307"/>
  <c r="N309" i="307"/>
  <c r="B309" i="307"/>
  <c r="AX308" i="307"/>
  <c r="AT308" i="307"/>
  <c r="AO308" i="307"/>
  <c r="AN308" i="307"/>
  <c r="AJ308" i="307"/>
  <c r="AI308" i="307"/>
  <c r="AE308" i="307"/>
  <c r="AH308" i="307" s="1"/>
  <c r="AB308" i="307"/>
  <c r="AA308" i="307"/>
  <c r="V308" i="307"/>
  <c r="U308" i="307"/>
  <c r="T308" i="307"/>
  <c r="S308" i="307"/>
  <c r="R308" i="307"/>
  <c r="Q308" i="307"/>
  <c r="P308" i="307"/>
  <c r="O308" i="307"/>
  <c r="N308" i="307"/>
  <c r="B308" i="307"/>
  <c r="AX307" i="307"/>
  <c r="AT307" i="307"/>
  <c r="AO307" i="307"/>
  <c r="AN307" i="307"/>
  <c r="AJ307" i="307"/>
  <c r="AI307" i="307"/>
  <c r="AE307" i="307"/>
  <c r="AH307" i="307" s="1"/>
  <c r="AB307" i="307"/>
  <c r="AA307" i="307"/>
  <c r="V307" i="307"/>
  <c r="U307" i="307"/>
  <c r="T307" i="307"/>
  <c r="S307" i="307"/>
  <c r="R307" i="307"/>
  <c r="Q307" i="307"/>
  <c r="P307" i="307"/>
  <c r="O307" i="307"/>
  <c r="N307" i="307"/>
  <c r="B307" i="307"/>
  <c r="AX306" i="307"/>
  <c r="AT306" i="307"/>
  <c r="AT302" i="307" s="1"/>
  <c r="AO306" i="307"/>
  <c r="AN306" i="307"/>
  <c r="AJ306" i="307"/>
  <c r="AI306" i="307"/>
  <c r="AI302" i="307" s="1"/>
  <c r="AE306" i="307"/>
  <c r="AH306" i="307" s="1"/>
  <c r="AB306" i="307"/>
  <c r="AA306" i="307"/>
  <c r="V306" i="307"/>
  <c r="U306" i="307"/>
  <c r="T306" i="307"/>
  <c r="S306" i="307"/>
  <c r="R306" i="307"/>
  <c r="Q306" i="307"/>
  <c r="P306" i="307"/>
  <c r="O306" i="307"/>
  <c r="N306" i="307"/>
  <c r="B306" i="307"/>
  <c r="AX305" i="307"/>
  <c r="AT305" i="307"/>
  <c r="AO305" i="307"/>
  <c r="AN305" i="307"/>
  <c r="AJ305" i="307"/>
  <c r="AI305" i="307"/>
  <c r="AE305" i="307"/>
  <c r="AH305" i="307" s="1"/>
  <c r="AB305" i="307"/>
  <c r="AA305" i="307"/>
  <c r="V305" i="307"/>
  <c r="U305" i="307"/>
  <c r="T305" i="307"/>
  <c r="S305" i="307"/>
  <c r="R305" i="307"/>
  <c r="Q305" i="307"/>
  <c r="P305" i="307"/>
  <c r="O305" i="307"/>
  <c r="N305" i="307"/>
  <c r="B305" i="307"/>
  <c r="AV304" i="307"/>
  <c r="AT304" i="307"/>
  <c r="AO304" i="307"/>
  <c r="AN304" i="307"/>
  <c r="AJ304" i="307"/>
  <c r="AI304" i="307"/>
  <c r="AE304" i="307"/>
  <c r="AH304" i="307" s="1"/>
  <c r="AB304" i="307"/>
  <c r="AA304" i="307"/>
  <c r="V304" i="307"/>
  <c r="U304" i="307"/>
  <c r="T304" i="307"/>
  <c r="S304" i="307"/>
  <c r="R304" i="307"/>
  <c r="Q304" i="307"/>
  <c r="P304" i="307"/>
  <c r="O304" i="307"/>
  <c r="N304" i="307"/>
  <c r="B304" i="307"/>
  <c r="AZ303" i="307"/>
  <c r="AV303" i="307"/>
  <c r="AT303" i="307"/>
  <c r="AO303" i="307"/>
  <c r="AN303" i="307"/>
  <c r="AJ303" i="307"/>
  <c r="AI303" i="307"/>
  <c r="AE303" i="307"/>
  <c r="AB303" i="307"/>
  <c r="AB302" i="307" s="1"/>
  <c r="AA303" i="307"/>
  <c r="V303" i="307"/>
  <c r="U303" i="307"/>
  <c r="T303" i="307"/>
  <c r="S303" i="307"/>
  <c r="R303" i="307"/>
  <c r="Q303" i="307"/>
  <c r="P303" i="307"/>
  <c r="O303" i="307"/>
  <c r="N303" i="307"/>
  <c r="B303" i="307"/>
  <c r="AZ302" i="307"/>
  <c r="AV302" i="307"/>
  <c r="AS302" i="307"/>
  <c r="AR302" i="307"/>
  <c r="AQ302" i="307"/>
  <c r="AP302" i="307"/>
  <c r="AM302" i="307"/>
  <c r="AJ302" i="307"/>
  <c r="AG302" i="307"/>
  <c r="AD302" i="307"/>
  <c r="AC302" i="307"/>
  <c r="AA302" i="307"/>
  <c r="Z302" i="307"/>
  <c r="Y302" i="307"/>
  <c r="X302" i="307"/>
  <c r="W302" i="307"/>
  <c r="V302" i="307"/>
  <c r="U302" i="307"/>
  <c r="T302" i="307"/>
  <c r="S302" i="307"/>
  <c r="R302" i="307"/>
  <c r="Q302" i="307"/>
  <c r="P302" i="307"/>
  <c r="O302" i="307"/>
  <c r="N302" i="307"/>
  <c r="M302" i="307"/>
  <c r="L302" i="307"/>
  <c r="K302" i="307"/>
  <c r="J302" i="307"/>
  <c r="I302" i="307"/>
  <c r="H302" i="307"/>
  <c r="G302" i="307"/>
  <c r="F302" i="307"/>
  <c r="E302" i="307"/>
  <c r="AX301" i="307"/>
  <c r="AT301" i="307"/>
  <c r="AO301" i="307"/>
  <c r="AN301" i="307"/>
  <c r="AJ301" i="307"/>
  <c r="AI301" i="307"/>
  <c r="AE301" i="307"/>
  <c r="AV301" i="307" s="1"/>
  <c r="AB301" i="307"/>
  <c r="AA301" i="307"/>
  <c r="V301" i="307"/>
  <c r="U301" i="307"/>
  <c r="T301" i="307"/>
  <c r="S301" i="307"/>
  <c r="R301" i="307"/>
  <c r="Q301" i="307"/>
  <c r="P301" i="307"/>
  <c r="O301" i="307"/>
  <c r="N301" i="307"/>
  <c r="B301" i="307"/>
  <c r="AX300" i="307"/>
  <c r="AT300" i="307"/>
  <c r="AO300" i="307"/>
  <c r="AN300" i="307"/>
  <c r="AJ300" i="307"/>
  <c r="AI300" i="307"/>
  <c r="AE300" i="307"/>
  <c r="AV300" i="307" s="1"/>
  <c r="AB300" i="307"/>
  <c r="AA300" i="307"/>
  <c r="V300" i="307"/>
  <c r="U300" i="307"/>
  <c r="T300" i="307"/>
  <c r="S300" i="307"/>
  <c r="R300" i="307"/>
  <c r="Q300" i="307"/>
  <c r="P300" i="307"/>
  <c r="O300" i="307"/>
  <c r="N300" i="307"/>
  <c r="B300" i="307"/>
  <c r="AX299" i="307"/>
  <c r="AT299" i="307"/>
  <c r="AO299" i="307"/>
  <c r="AN299" i="307"/>
  <c r="AJ299" i="307"/>
  <c r="AI299" i="307"/>
  <c r="AE299" i="307"/>
  <c r="AV299" i="307" s="1"/>
  <c r="AB299" i="307"/>
  <c r="AA299" i="307"/>
  <c r="V299" i="307"/>
  <c r="U299" i="307"/>
  <c r="T299" i="307"/>
  <c r="S299" i="307"/>
  <c r="R299" i="307"/>
  <c r="Q299" i="307"/>
  <c r="P299" i="307"/>
  <c r="O299" i="307"/>
  <c r="N299" i="307"/>
  <c r="B299" i="307"/>
  <c r="AX298" i="307"/>
  <c r="AT298" i="307"/>
  <c r="AO298" i="307"/>
  <c r="AN298" i="307"/>
  <c r="AJ298" i="307"/>
  <c r="AI298" i="307"/>
  <c r="AE298" i="307"/>
  <c r="AH298" i="307" s="1"/>
  <c r="AB298" i="307"/>
  <c r="AA298" i="307"/>
  <c r="V298" i="307"/>
  <c r="U298" i="307"/>
  <c r="T298" i="307"/>
  <c r="S298" i="307"/>
  <c r="R298" i="307"/>
  <c r="Q298" i="307"/>
  <c r="P298" i="307"/>
  <c r="O298" i="307"/>
  <c r="N298" i="307"/>
  <c r="B298" i="307"/>
  <c r="AX297" i="307"/>
  <c r="AT297" i="307"/>
  <c r="AO297" i="307"/>
  <c r="AN297" i="307"/>
  <c r="AJ297" i="307"/>
  <c r="AI297" i="307"/>
  <c r="AE297" i="307"/>
  <c r="AH297" i="307" s="1"/>
  <c r="AB297" i="307"/>
  <c r="AA297" i="307"/>
  <c r="V297" i="307"/>
  <c r="U297" i="307"/>
  <c r="T297" i="307"/>
  <c r="S297" i="307"/>
  <c r="R297" i="307"/>
  <c r="Q297" i="307"/>
  <c r="P297" i="307"/>
  <c r="O297" i="307"/>
  <c r="N297" i="307"/>
  <c r="B297" i="307"/>
  <c r="AX296" i="307"/>
  <c r="AT296" i="307"/>
  <c r="AO296" i="307"/>
  <c r="AN296" i="307"/>
  <c r="AJ296" i="307"/>
  <c r="AI296" i="307"/>
  <c r="AE296" i="307"/>
  <c r="AV296" i="307" s="1"/>
  <c r="AB296" i="307"/>
  <c r="AA296" i="307"/>
  <c r="V296" i="307"/>
  <c r="U296" i="307"/>
  <c r="T296" i="307"/>
  <c r="S296" i="307"/>
  <c r="R296" i="307"/>
  <c r="Q296" i="307"/>
  <c r="P296" i="307"/>
  <c r="O296" i="307"/>
  <c r="N296" i="307"/>
  <c r="B296" i="307"/>
  <c r="AX295" i="307"/>
  <c r="AT295" i="307"/>
  <c r="AO295" i="307"/>
  <c r="AN295" i="307"/>
  <c r="AJ295" i="307"/>
  <c r="AI295" i="307"/>
  <c r="AE295" i="307"/>
  <c r="AH295" i="307" s="1"/>
  <c r="AB295" i="307"/>
  <c r="AA295" i="307"/>
  <c r="V295" i="307"/>
  <c r="U295" i="307"/>
  <c r="T295" i="307"/>
  <c r="S295" i="307"/>
  <c r="R295" i="307"/>
  <c r="Q295" i="307"/>
  <c r="P295" i="307"/>
  <c r="O295" i="307"/>
  <c r="N295" i="307"/>
  <c r="B295" i="307"/>
  <c r="AX294" i="307"/>
  <c r="AT294" i="307"/>
  <c r="AO294" i="307"/>
  <c r="AN294" i="307"/>
  <c r="AJ294" i="307"/>
  <c r="AI294" i="307"/>
  <c r="AE294" i="307"/>
  <c r="AH294" i="307" s="1"/>
  <c r="AB294" i="307"/>
  <c r="AA294" i="307"/>
  <c r="V294" i="307"/>
  <c r="U294" i="307"/>
  <c r="T294" i="307"/>
  <c r="S294" i="307"/>
  <c r="R294" i="307"/>
  <c r="Q294" i="307"/>
  <c r="P294" i="307"/>
  <c r="O294" i="307"/>
  <c r="N294" i="307"/>
  <c r="B294" i="307"/>
  <c r="AX293" i="307"/>
  <c r="AT293" i="307"/>
  <c r="AO293" i="307"/>
  <c r="AN293" i="307"/>
  <c r="AJ293" i="307"/>
  <c r="AI293" i="307"/>
  <c r="AE293" i="307"/>
  <c r="AH293" i="307" s="1"/>
  <c r="AB293" i="307"/>
  <c r="AA293" i="307"/>
  <c r="V293" i="307"/>
  <c r="U293" i="307"/>
  <c r="T293" i="307"/>
  <c r="S293" i="307"/>
  <c r="R293" i="307"/>
  <c r="Q293" i="307"/>
  <c r="P293" i="307"/>
  <c r="O293" i="307"/>
  <c r="N293" i="307"/>
  <c r="B293" i="307"/>
  <c r="AX292" i="307"/>
  <c r="AT292" i="307"/>
  <c r="AO292" i="307"/>
  <c r="AN292" i="307"/>
  <c r="AJ292" i="307"/>
  <c r="AI292" i="307"/>
  <c r="AE292" i="307"/>
  <c r="AV292" i="307" s="1"/>
  <c r="AB292" i="307"/>
  <c r="AA292" i="307"/>
  <c r="V292" i="307"/>
  <c r="U292" i="307"/>
  <c r="T292" i="307"/>
  <c r="S292" i="307"/>
  <c r="R292" i="307"/>
  <c r="Q292" i="307"/>
  <c r="P292" i="307"/>
  <c r="O292" i="307"/>
  <c r="N292" i="307"/>
  <c r="B292" i="307"/>
  <c r="AX291" i="307"/>
  <c r="AT291" i="307"/>
  <c r="AO291" i="307"/>
  <c r="AN291" i="307"/>
  <c r="AJ291" i="307"/>
  <c r="AI291" i="307"/>
  <c r="AE291" i="307"/>
  <c r="AH291" i="307" s="1"/>
  <c r="AB291" i="307"/>
  <c r="AA291" i="307"/>
  <c r="V291" i="307"/>
  <c r="U291" i="307"/>
  <c r="T291" i="307"/>
  <c r="S291" i="307"/>
  <c r="R291" i="307"/>
  <c r="Q291" i="307"/>
  <c r="P291" i="307"/>
  <c r="O291" i="307"/>
  <c r="N291" i="307"/>
  <c r="B291" i="307"/>
  <c r="AX290" i="307"/>
  <c r="AT290" i="307"/>
  <c r="AO290" i="307"/>
  <c r="AN290" i="307"/>
  <c r="AJ290" i="307"/>
  <c r="AI290" i="307"/>
  <c r="AE290" i="307"/>
  <c r="AH290" i="307" s="1"/>
  <c r="AB290" i="307"/>
  <c r="AA290" i="307"/>
  <c r="V290" i="307"/>
  <c r="U290" i="307"/>
  <c r="T290" i="307"/>
  <c r="S290" i="307"/>
  <c r="R290" i="307"/>
  <c r="Q290" i="307"/>
  <c r="P290" i="307"/>
  <c r="O290" i="307"/>
  <c r="N290" i="307"/>
  <c r="B290" i="307"/>
  <c r="AX289" i="307"/>
  <c r="AT289" i="307"/>
  <c r="AO289" i="307"/>
  <c r="AN289" i="307"/>
  <c r="AJ289" i="307"/>
  <c r="AI289" i="307"/>
  <c r="AE289" i="307"/>
  <c r="AH289" i="307" s="1"/>
  <c r="AB289" i="307"/>
  <c r="AA289" i="307"/>
  <c r="V289" i="307"/>
  <c r="U289" i="307"/>
  <c r="T289" i="307"/>
  <c r="S289" i="307"/>
  <c r="R289" i="307"/>
  <c r="Q289" i="307"/>
  <c r="P289" i="307"/>
  <c r="O289" i="307"/>
  <c r="N289" i="307"/>
  <c r="B289" i="307"/>
  <c r="AX288" i="307"/>
  <c r="AT288" i="307"/>
  <c r="AO288" i="307"/>
  <c r="AN288" i="307"/>
  <c r="AJ288" i="307"/>
  <c r="AI288" i="307"/>
  <c r="AE288" i="307"/>
  <c r="AV288" i="307" s="1"/>
  <c r="AB288" i="307"/>
  <c r="AA288" i="307"/>
  <c r="V288" i="307"/>
  <c r="U288" i="307"/>
  <c r="T288" i="307"/>
  <c r="S288" i="307"/>
  <c r="R288" i="307"/>
  <c r="Q288" i="307"/>
  <c r="P288" i="307"/>
  <c r="O288" i="307"/>
  <c r="N288" i="307"/>
  <c r="B288" i="307"/>
  <c r="AX287" i="307"/>
  <c r="AT287" i="307"/>
  <c r="AO287" i="307"/>
  <c r="AN287" i="307"/>
  <c r="AJ287" i="307"/>
  <c r="AI287" i="307"/>
  <c r="AE287" i="307"/>
  <c r="AH287" i="307" s="1"/>
  <c r="AB287" i="307"/>
  <c r="AA287" i="307"/>
  <c r="V287" i="307"/>
  <c r="U287" i="307"/>
  <c r="T287" i="307"/>
  <c r="S287" i="307"/>
  <c r="R287" i="307"/>
  <c r="Q287" i="307"/>
  <c r="P287" i="307"/>
  <c r="O287" i="307"/>
  <c r="N287" i="307"/>
  <c r="B287" i="307"/>
  <c r="AX286" i="307"/>
  <c r="AT286" i="307"/>
  <c r="AO286" i="307"/>
  <c r="AN286" i="307"/>
  <c r="AJ286" i="307"/>
  <c r="AI286" i="307"/>
  <c r="AE286" i="307"/>
  <c r="AH286" i="307" s="1"/>
  <c r="AB286" i="307"/>
  <c r="AA286" i="307"/>
  <c r="V286" i="307"/>
  <c r="U286" i="307"/>
  <c r="T286" i="307"/>
  <c r="S286" i="307"/>
  <c r="R286" i="307"/>
  <c r="Q286" i="307"/>
  <c r="P286" i="307"/>
  <c r="O286" i="307"/>
  <c r="N286" i="307"/>
  <c r="B286" i="307"/>
  <c r="AX285" i="307"/>
  <c r="AT285" i="307"/>
  <c r="AO285" i="307"/>
  <c r="AN285" i="307"/>
  <c r="AJ285" i="307"/>
  <c r="AI285" i="307"/>
  <c r="AE285" i="307"/>
  <c r="AH285" i="307" s="1"/>
  <c r="AB285" i="307"/>
  <c r="AA285" i="307"/>
  <c r="V285" i="307"/>
  <c r="U285" i="307"/>
  <c r="T285" i="307"/>
  <c r="S285" i="307"/>
  <c r="R285" i="307"/>
  <c r="Q285" i="307"/>
  <c r="P285" i="307"/>
  <c r="O285" i="307"/>
  <c r="N285" i="307"/>
  <c r="B285" i="307"/>
  <c r="AX284" i="307"/>
  <c r="AT284" i="307"/>
  <c r="AO284" i="307"/>
  <c r="AN284" i="307"/>
  <c r="AJ284" i="307"/>
  <c r="AI284" i="307"/>
  <c r="AE284" i="307"/>
  <c r="AV284" i="307" s="1"/>
  <c r="AB284" i="307"/>
  <c r="AA284" i="307"/>
  <c r="V284" i="307"/>
  <c r="U284" i="307"/>
  <c r="T284" i="307"/>
  <c r="S284" i="307"/>
  <c r="R284" i="307"/>
  <c r="Q284" i="307"/>
  <c r="P284" i="307"/>
  <c r="O284" i="307"/>
  <c r="N284" i="307"/>
  <c r="B284" i="307"/>
  <c r="AX283" i="307"/>
  <c r="AT283" i="307"/>
  <c r="AO283" i="307"/>
  <c r="AN283" i="307"/>
  <c r="AJ283" i="307"/>
  <c r="AI283" i="307"/>
  <c r="AE283" i="307"/>
  <c r="AH283" i="307" s="1"/>
  <c r="AB283" i="307"/>
  <c r="AA283" i="307"/>
  <c r="V283" i="307"/>
  <c r="U283" i="307"/>
  <c r="T283" i="307"/>
  <c r="S283" i="307"/>
  <c r="R283" i="307"/>
  <c r="Q283" i="307"/>
  <c r="P283" i="307"/>
  <c r="O283" i="307"/>
  <c r="N283" i="307"/>
  <c r="B283" i="307"/>
  <c r="AX282" i="307"/>
  <c r="AT282" i="307"/>
  <c r="AO282" i="307"/>
  <c r="AN282" i="307"/>
  <c r="AJ282" i="307"/>
  <c r="AI282" i="307"/>
  <c r="AE282" i="307"/>
  <c r="AH282" i="307" s="1"/>
  <c r="AB282" i="307"/>
  <c r="AA282" i="307"/>
  <c r="V282" i="307"/>
  <c r="U282" i="307"/>
  <c r="T282" i="307"/>
  <c r="S282" i="307"/>
  <c r="R282" i="307"/>
  <c r="Q282" i="307"/>
  <c r="P282" i="307"/>
  <c r="O282" i="307"/>
  <c r="N282" i="307"/>
  <c r="B282" i="307"/>
  <c r="AX281" i="307"/>
  <c r="AT281" i="307"/>
  <c r="AO281" i="307"/>
  <c r="AN281" i="307"/>
  <c r="AJ281" i="307"/>
  <c r="AI281" i="307"/>
  <c r="AE281" i="307"/>
  <c r="AH281" i="307" s="1"/>
  <c r="AB281" i="307"/>
  <c r="AA281" i="307"/>
  <c r="V281" i="307"/>
  <c r="U281" i="307"/>
  <c r="T281" i="307"/>
  <c r="S281" i="307"/>
  <c r="R281" i="307"/>
  <c r="Q281" i="307"/>
  <c r="P281" i="307"/>
  <c r="O281" i="307"/>
  <c r="N281" i="307"/>
  <c r="B281" i="307"/>
  <c r="AX280" i="307"/>
  <c r="AT280" i="307"/>
  <c r="AO280" i="307"/>
  <c r="AN280" i="307"/>
  <c r="AJ280" i="307"/>
  <c r="AI280" i="307"/>
  <c r="AE280" i="307"/>
  <c r="AV280" i="307" s="1"/>
  <c r="AB280" i="307"/>
  <c r="AA280" i="307"/>
  <c r="V280" i="307"/>
  <c r="U280" i="307"/>
  <c r="T280" i="307"/>
  <c r="S280" i="307"/>
  <c r="R280" i="307"/>
  <c r="Q280" i="307"/>
  <c r="P280" i="307"/>
  <c r="O280" i="307"/>
  <c r="N280" i="307"/>
  <c r="B280" i="307"/>
  <c r="AX279" i="307"/>
  <c r="AT279" i="307"/>
  <c r="AO279" i="307"/>
  <c r="AN279" i="307"/>
  <c r="AJ279" i="307"/>
  <c r="AI279" i="307"/>
  <c r="AE279" i="307"/>
  <c r="AH279" i="307" s="1"/>
  <c r="AB279" i="307"/>
  <c r="AA279" i="307"/>
  <c r="V279" i="307"/>
  <c r="U279" i="307"/>
  <c r="T279" i="307"/>
  <c r="S279" i="307"/>
  <c r="R279" i="307"/>
  <c r="Q279" i="307"/>
  <c r="P279" i="307"/>
  <c r="O279" i="307"/>
  <c r="N279" i="307"/>
  <c r="B279" i="307"/>
  <c r="AX278" i="307"/>
  <c r="AT278" i="307"/>
  <c r="AO278" i="307"/>
  <c r="AN278" i="307"/>
  <c r="AJ278" i="307"/>
  <c r="AI278" i="307"/>
  <c r="AE278" i="307"/>
  <c r="AH278" i="307" s="1"/>
  <c r="AB278" i="307"/>
  <c r="AA278" i="307"/>
  <c r="V278" i="307"/>
  <c r="U278" i="307"/>
  <c r="T278" i="307"/>
  <c r="S278" i="307"/>
  <c r="R278" i="307"/>
  <c r="Q278" i="307"/>
  <c r="P278" i="307"/>
  <c r="O278" i="307"/>
  <c r="N278" i="307"/>
  <c r="B278" i="307"/>
  <c r="AX277" i="307"/>
  <c r="AT277" i="307"/>
  <c r="AO277" i="307"/>
  <c r="AN277" i="307"/>
  <c r="AJ277" i="307"/>
  <c r="AI277" i="307"/>
  <c r="AE277" i="307"/>
  <c r="AH277" i="307" s="1"/>
  <c r="AB277" i="307"/>
  <c r="AA277" i="307"/>
  <c r="V277" i="307"/>
  <c r="U277" i="307"/>
  <c r="T277" i="307"/>
  <c r="S277" i="307"/>
  <c r="R277" i="307"/>
  <c r="Q277" i="307"/>
  <c r="P277" i="307"/>
  <c r="O277" i="307"/>
  <c r="N277" i="307"/>
  <c r="B277" i="307"/>
  <c r="AX276" i="307"/>
  <c r="AT276" i="307"/>
  <c r="AO276" i="307"/>
  <c r="AN276" i="307"/>
  <c r="AJ276" i="307"/>
  <c r="AI276" i="307"/>
  <c r="AE276" i="307"/>
  <c r="AV276" i="307" s="1"/>
  <c r="AB276" i="307"/>
  <c r="AA276" i="307"/>
  <c r="V276" i="307"/>
  <c r="U276" i="307"/>
  <c r="T276" i="307"/>
  <c r="S276" i="307"/>
  <c r="R276" i="307"/>
  <c r="Q276" i="307"/>
  <c r="P276" i="307"/>
  <c r="O276" i="307"/>
  <c r="N276" i="307"/>
  <c r="B276" i="307"/>
  <c r="AX275" i="307"/>
  <c r="AT275" i="307"/>
  <c r="AO275" i="307"/>
  <c r="AN275" i="307"/>
  <c r="AJ275" i="307"/>
  <c r="AI275" i="307"/>
  <c r="AE275" i="307"/>
  <c r="AH275" i="307" s="1"/>
  <c r="AB275" i="307"/>
  <c r="AA275" i="307"/>
  <c r="V275" i="307"/>
  <c r="U275" i="307"/>
  <c r="T275" i="307"/>
  <c r="S275" i="307"/>
  <c r="R275" i="307"/>
  <c r="Q275" i="307"/>
  <c r="P275" i="307"/>
  <c r="O275" i="307"/>
  <c r="N275" i="307"/>
  <c r="B275" i="307"/>
  <c r="AX274" i="307"/>
  <c r="AT274" i="307"/>
  <c r="AO274" i="307"/>
  <c r="AN274" i="307"/>
  <c r="AJ274" i="307"/>
  <c r="AI274" i="307"/>
  <c r="AE274" i="307"/>
  <c r="AH274" i="307" s="1"/>
  <c r="AB274" i="307"/>
  <c r="AA274" i="307"/>
  <c r="V274" i="307"/>
  <c r="U274" i="307"/>
  <c r="T274" i="307"/>
  <c r="S274" i="307"/>
  <c r="R274" i="307"/>
  <c r="Q274" i="307"/>
  <c r="P274" i="307"/>
  <c r="O274" i="307"/>
  <c r="N274" i="307"/>
  <c r="B274" i="307"/>
  <c r="AX273" i="307"/>
  <c r="AT273" i="307"/>
  <c r="AO273" i="307"/>
  <c r="AN273" i="307"/>
  <c r="AJ273" i="307"/>
  <c r="AI273" i="307"/>
  <c r="AE273" i="307"/>
  <c r="AH273" i="307" s="1"/>
  <c r="AB273" i="307"/>
  <c r="AA273" i="307"/>
  <c r="V273" i="307"/>
  <c r="U273" i="307"/>
  <c r="T273" i="307"/>
  <c r="S273" i="307"/>
  <c r="R273" i="307"/>
  <c r="Q273" i="307"/>
  <c r="P273" i="307"/>
  <c r="O273" i="307"/>
  <c r="N273" i="307"/>
  <c r="B273" i="307"/>
  <c r="AX272" i="307"/>
  <c r="AT272" i="307"/>
  <c r="AO272" i="307"/>
  <c r="AN272" i="307"/>
  <c r="AJ272" i="307"/>
  <c r="AI272" i="307"/>
  <c r="AE272" i="307"/>
  <c r="AV272" i="307" s="1"/>
  <c r="AB272" i="307"/>
  <c r="AA272" i="307"/>
  <c r="V272" i="307"/>
  <c r="U272" i="307"/>
  <c r="T272" i="307"/>
  <c r="S272" i="307"/>
  <c r="R272" i="307"/>
  <c r="Q272" i="307"/>
  <c r="P272" i="307"/>
  <c r="O272" i="307"/>
  <c r="N272" i="307"/>
  <c r="B272" i="307"/>
  <c r="AX271" i="307"/>
  <c r="AT271" i="307"/>
  <c r="AO271" i="307"/>
  <c r="AN271" i="307"/>
  <c r="AJ271" i="307"/>
  <c r="AI271" i="307"/>
  <c r="AE271" i="307"/>
  <c r="AH271" i="307" s="1"/>
  <c r="AB271" i="307"/>
  <c r="AA271" i="307"/>
  <c r="V271" i="307"/>
  <c r="U271" i="307"/>
  <c r="T271" i="307"/>
  <c r="S271" i="307"/>
  <c r="R271" i="307"/>
  <c r="Q271" i="307"/>
  <c r="P271" i="307"/>
  <c r="O271" i="307"/>
  <c r="N271" i="307"/>
  <c r="B271" i="307"/>
  <c r="AX270" i="307"/>
  <c r="AT270" i="307"/>
  <c r="AO270" i="307"/>
  <c r="AN270" i="307"/>
  <c r="AJ270" i="307"/>
  <c r="AI270" i="307"/>
  <c r="AE270" i="307"/>
  <c r="AH270" i="307" s="1"/>
  <c r="AB270" i="307"/>
  <c r="AA270" i="307"/>
  <c r="V270" i="307"/>
  <c r="U270" i="307"/>
  <c r="T270" i="307"/>
  <c r="S270" i="307"/>
  <c r="R270" i="307"/>
  <c r="Q270" i="307"/>
  <c r="P270" i="307"/>
  <c r="O270" i="307"/>
  <c r="N270" i="307"/>
  <c r="B270" i="307"/>
  <c r="AX269" i="307"/>
  <c r="AT269" i="307"/>
  <c r="AO269" i="307"/>
  <c r="AN269" i="307"/>
  <c r="AJ269" i="307"/>
  <c r="AI269" i="307"/>
  <c r="AE269" i="307"/>
  <c r="AH269" i="307" s="1"/>
  <c r="AB269" i="307"/>
  <c r="AA269" i="307"/>
  <c r="V269" i="307"/>
  <c r="U269" i="307"/>
  <c r="T269" i="307"/>
  <c r="S269" i="307"/>
  <c r="R269" i="307"/>
  <c r="Q269" i="307"/>
  <c r="P269" i="307"/>
  <c r="O269" i="307"/>
  <c r="N269" i="307"/>
  <c r="B269" i="307"/>
  <c r="AX268" i="307"/>
  <c r="AT268" i="307"/>
  <c r="AO268" i="307"/>
  <c r="AN268" i="307"/>
  <c r="AJ268" i="307"/>
  <c r="AI268" i="307"/>
  <c r="AE268" i="307"/>
  <c r="AV268" i="307" s="1"/>
  <c r="AB268" i="307"/>
  <c r="AA268" i="307"/>
  <c r="V268" i="307"/>
  <c r="U268" i="307"/>
  <c r="T268" i="307"/>
  <c r="S268" i="307"/>
  <c r="R268" i="307"/>
  <c r="Q268" i="307"/>
  <c r="P268" i="307"/>
  <c r="O268" i="307"/>
  <c r="N268" i="307"/>
  <c r="B268" i="307"/>
  <c r="AX267" i="307"/>
  <c r="AT267" i="307"/>
  <c r="AO267" i="307"/>
  <c r="AN267" i="307"/>
  <c r="AJ267" i="307"/>
  <c r="AI267" i="307"/>
  <c r="AE267" i="307"/>
  <c r="AH267" i="307" s="1"/>
  <c r="AB267" i="307"/>
  <c r="AA267" i="307"/>
  <c r="V267" i="307"/>
  <c r="U267" i="307"/>
  <c r="T267" i="307"/>
  <c r="S267" i="307"/>
  <c r="R267" i="307"/>
  <c r="Q267" i="307"/>
  <c r="P267" i="307"/>
  <c r="O267" i="307"/>
  <c r="N267" i="307"/>
  <c r="B267" i="307"/>
  <c r="AX266" i="307"/>
  <c r="AT266" i="307"/>
  <c r="AO266" i="307"/>
  <c r="AN266" i="307"/>
  <c r="AJ266" i="307"/>
  <c r="AI266" i="307"/>
  <c r="AE266" i="307"/>
  <c r="AH266" i="307" s="1"/>
  <c r="AB266" i="307"/>
  <c r="AA266" i="307"/>
  <c r="V266" i="307"/>
  <c r="U266" i="307"/>
  <c r="T266" i="307"/>
  <c r="S266" i="307"/>
  <c r="R266" i="307"/>
  <c r="Q266" i="307"/>
  <c r="P266" i="307"/>
  <c r="O266" i="307"/>
  <c r="N266" i="307"/>
  <c r="B266" i="307"/>
  <c r="AX265" i="307"/>
  <c r="AT265" i="307"/>
  <c r="AO265" i="307"/>
  <c r="AN265" i="307"/>
  <c r="AJ265" i="307"/>
  <c r="AI265" i="307"/>
  <c r="AE265" i="307"/>
  <c r="AH265" i="307" s="1"/>
  <c r="AB265" i="307"/>
  <c r="AA265" i="307"/>
  <c r="V265" i="307"/>
  <c r="U265" i="307"/>
  <c r="T265" i="307"/>
  <c r="S265" i="307"/>
  <c r="R265" i="307"/>
  <c r="Q265" i="307"/>
  <c r="P265" i="307"/>
  <c r="O265" i="307"/>
  <c r="N265" i="307"/>
  <c r="B265" i="307"/>
  <c r="AX264" i="307"/>
  <c r="AT264" i="307"/>
  <c r="AO264" i="307"/>
  <c r="AN264" i="307"/>
  <c r="AJ264" i="307"/>
  <c r="AI264" i="307"/>
  <c r="AE264" i="307"/>
  <c r="AV264" i="307" s="1"/>
  <c r="AB264" i="307"/>
  <c r="AA264" i="307"/>
  <c r="V264" i="307"/>
  <c r="U264" i="307"/>
  <c r="T264" i="307"/>
  <c r="S264" i="307"/>
  <c r="R264" i="307"/>
  <c r="Q264" i="307"/>
  <c r="P264" i="307"/>
  <c r="O264" i="307"/>
  <c r="N264" i="307"/>
  <c r="B264" i="307"/>
  <c r="AX263" i="307"/>
  <c r="AT263" i="307"/>
  <c r="AO263" i="307"/>
  <c r="AN263" i="307"/>
  <c r="AJ263" i="307"/>
  <c r="AI263" i="307"/>
  <c r="AE263" i="307"/>
  <c r="AH263" i="307" s="1"/>
  <c r="AB263" i="307"/>
  <c r="AA263" i="307"/>
  <c r="V263" i="307"/>
  <c r="U263" i="307"/>
  <c r="T263" i="307"/>
  <c r="S263" i="307"/>
  <c r="R263" i="307"/>
  <c r="Q263" i="307"/>
  <c r="P263" i="307"/>
  <c r="O263" i="307"/>
  <c r="N263" i="307"/>
  <c r="B263" i="307"/>
  <c r="AX262" i="307"/>
  <c r="AT262" i="307"/>
  <c r="AO262" i="307"/>
  <c r="AN262" i="307"/>
  <c r="AJ262" i="307"/>
  <c r="AI262" i="307"/>
  <c r="AE262" i="307"/>
  <c r="AH262" i="307" s="1"/>
  <c r="AB262" i="307"/>
  <c r="AA262" i="307"/>
  <c r="V262" i="307"/>
  <c r="U262" i="307"/>
  <c r="T262" i="307"/>
  <c r="S262" i="307"/>
  <c r="R262" i="307"/>
  <c r="Q262" i="307"/>
  <c r="P262" i="307"/>
  <c r="O262" i="307"/>
  <c r="N262" i="307"/>
  <c r="B262" i="307"/>
  <c r="AX261" i="307"/>
  <c r="AT261" i="307"/>
  <c r="AO261" i="307"/>
  <c r="AN261" i="307"/>
  <c r="AJ261" i="307"/>
  <c r="AI261" i="307"/>
  <c r="AE261" i="307"/>
  <c r="AH261" i="307" s="1"/>
  <c r="AB261" i="307"/>
  <c r="AA261" i="307"/>
  <c r="V261" i="307"/>
  <c r="U261" i="307"/>
  <c r="T261" i="307"/>
  <c r="S261" i="307"/>
  <c r="R261" i="307"/>
  <c r="Q261" i="307"/>
  <c r="P261" i="307"/>
  <c r="O261" i="307"/>
  <c r="N261" i="307"/>
  <c r="B261" i="307"/>
  <c r="AX260" i="307"/>
  <c r="AT260" i="307"/>
  <c r="AO260" i="307"/>
  <c r="AN260" i="307"/>
  <c r="AJ260" i="307"/>
  <c r="AI260" i="307"/>
  <c r="AE260" i="307"/>
  <c r="AV260" i="307" s="1"/>
  <c r="AB260" i="307"/>
  <c r="AA260" i="307"/>
  <c r="V260" i="307"/>
  <c r="U260" i="307"/>
  <c r="T260" i="307"/>
  <c r="S260" i="307"/>
  <c r="R260" i="307"/>
  <c r="Q260" i="307"/>
  <c r="P260" i="307"/>
  <c r="O260" i="307"/>
  <c r="N260" i="307"/>
  <c r="B260" i="307"/>
  <c r="AX259" i="307"/>
  <c r="AT259" i="307"/>
  <c r="AO259" i="307"/>
  <c r="AN259" i="307"/>
  <c r="AJ259" i="307"/>
  <c r="AI259" i="307"/>
  <c r="AE259" i="307"/>
  <c r="AH259" i="307" s="1"/>
  <c r="AB259" i="307"/>
  <c r="AA259" i="307"/>
  <c r="V259" i="307"/>
  <c r="U259" i="307"/>
  <c r="T259" i="307"/>
  <c r="S259" i="307"/>
  <c r="R259" i="307"/>
  <c r="Q259" i="307"/>
  <c r="P259" i="307"/>
  <c r="O259" i="307"/>
  <c r="N259" i="307"/>
  <c r="B259" i="307"/>
  <c r="AX258" i="307"/>
  <c r="AT258" i="307"/>
  <c r="AO258" i="307"/>
  <c r="AN258" i="307"/>
  <c r="AJ258" i="307"/>
  <c r="AI258" i="307"/>
  <c r="AE258" i="307"/>
  <c r="AH258" i="307" s="1"/>
  <c r="AB258" i="307"/>
  <c r="AA258" i="307"/>
  <c r="V258" i="307"/>
  <c r="U258" i="307"/>
  <c r="T258" i="307"/>
  <c r="S258" i="307"/>
  <c r="R258" i="307"/>
  <c r="Q258" i="307"/>
  <c r="P258" i="307"/>
  <c r="O258" i="307"/>
  <c r="N258" i="307"/>
  <c r="B258" i="307"/>
  <c r="AX257" i="307"/>
  <c r="AT257" i="307"/>
  <c r="AO257" i="307"/>
  <c r="AN257" i="307"/>
  <c r="AJ257" i="307"/>
  <c r="AI257" i="307"/>
  <c r="AE257" i="307"/>
  <c r="AH257" i="307" s="1"/>
  <c r="AB257" i="307"/>
  <c r="AA257" i="307"/>
  <c r="V257" i="307"/>
  <c r="U257" i="307"/>
  <c r="T257" i="307"/>
  <c r="S257" i="307"/>
  <c r="R257" i="307"/>
  <c r="Q257" i="307"/>
  <c r="P257" i="307"/>
  <c r="O257" i="307"/>
  <c r="N257" i="307"/>
  <c r="B257" i="307"/>
  <c r="AX256" i="307"/>
  <c r="AT256" i="307"/>
  <c r="AO256" i="307"/>
  <c r="AN256" i="307"/>
  <c r="AJ256" i="307"/>
  <c r="AI256" i="307"/>
  <c r="AE256" i="307"/>
  <c r="AV256" i="307" s="1"/>
  <c r="AB256" i="307"/>
  <c r="AA256" i="307"/>
  <c r="V256" i="307"/>
  <c r="U256" i="307"/>
  <c r="T256" i="307"/>
  <c r="S256" i="307"/>
  <c r="R256" i="307"/>
  <c r="Q256" i="307"/>
  <c r="P256" i="307"/>
  <c r="O256" i="307"/>
  <c r="N256" i="307"/>
  <c r="B256" i="307"/>
  <c r="AX255" i="307"/>
  <c r="AT255" i="307"/>
  <c r="AO255" i="307"/>
  <c r="AN255" i="307"/>
  <c r="AJ255" i="307"/>
  <c r="AI255" i="307"/>
  <c r="AE255" i="307"/>
  <c r="AH255" i="307" s="1"/>
  <c r="AB255" i="307"/>
  <c r="AA255" i="307"/>
  <c r="V255" i="307"/>
  <c r="U255" i="307"/>
  <c r="T255" i="307"/>
  <c r="S255" i="307"/>
  <c r="R255" i="307"/>
  <c r="Q255" i="307"/>
  <c r="P255" i="307"/>
  <c r="O255" i="307"/>
  <c r="N255" i="307"/>
  <c r="B255" i="307"/>
  <c r="AX254" i="307"/>
  <c r="AT254" i="307"/>
  <c r="AO254" i="307"/>
  <c r="AN254" i="307"/>
  <c r="AJ254" i="307"/>
  <c r="AI254" i="307"/>
  <c r="AE254" i="307"/>
  <c r="AH254" i="307" s="1"/>
  <c r="AB254" i="307"/>
  <c r="AA254" i="307"/>
  <c r="V254" i="307"/>
  <c r="U254" i="307"/>
  <c r="T254" i="307"/>
  <c r="S254" i="307"/>
  <c r="R254" i="307"/>
  <c r="Q254" i="307"/>
  <c r="P254" i="307"/>
  <c r="O254" i="307"/>
  <c r="N254" i="307"/>
  <c r="B254" i="307"/>
  <c r="AX253" i="307"/>
  <c r="AT253" i="307"/>
  <c r="AO253" i="307"/>
  <c r="AN253" i="307"/>
  <c r="AJ253" i="307"/>
  <c r="AI253" i="307"/>
  <c r="AE253" i="307"/>
  <c r="AH253" i="307" s="1"/>
  <c r="AB253" i="307"/>
  <c r="AA253" i="307"/>
  <c r="V253" i="307"/>
  <c r="U253" i="307"/>
  <c r="T253" i="307"/>
  <c r="S253" i="307"/>
  <c r="R253" i="307"/>
  <c r="Q253" i="307"/>
  <c r="P253" i="307"/>
  <c r="O253" i="307"/>
  <c r="N253" i="307"/>
  <c r="B253" i="307"/>
  <c r="AX252" i="307"/>
  <c r="AT252" i="307"/>
  <c r="AO252" i="307"/>
  <c r="AN252" i="307"/>
  <c r="AJ252" i="307"/>
  <c r="AI252" i="307"/>
  <c r="AE252" i="307"/>
  <c r="AV252" i="307" s="1"/>
  <c r="AB252" i="307"/>
  <c r="AA252" i="307"/>
  <c r="V252" i="307"/>
  <c r="U252" i="307"/>
  <c r="T252" i="307"/>
  <c r="S252" i="307"/>
  <c r="R252" i="307"/>
  <c r="Q252" i="307"/>
  <c r="P252" i="307"/>
  <c r="O252" i="307"/>
  <c r="N252" i="307"/>
  <c r="B252" i="307"/>
  <c r="AX251" i="307"/>
  <c r="AT251" i="307"/>
  <c r="AO251" i="307"/>
  <c r="AN251" i="307"/>
  <c r="AJ251" i="307"/>
  <c r="AI251" i="307"/>
  <c r="AE251" i="307"/>
  <c r="AH251" i="307" s="1"/>
  <c r="AB251" i="307"/>
  <c r="AA251" i="307"/>
  <c r="V251" i="307"/>
  <c r="U251" i="307"/>
  <c r="T251" i="307"/>
  <c r="S251" i="307"/>
  <c r="R251" i="307"/>
  <c r="Q251" i="307"/>
  <c r="P251" i="307"/>
  <c r="O251" i="307"/>
  <c r="N251" i="307"/>
  <c r="B251" i="307"/>
  <c r="AX250" i="307"/>
  <c r="AT250" i="307"/>
  <c r="AO250" i="307"/>
  <c r="AN250" i="307"/>
  <c r="AJ250" i="307"/>
  <c r="AI250" i="307"/>
  <c r="AE250" i="307"/>
  <c r="AH250" i="307" s="1"/>
  <c r="AB250" i="307"/>
  <c r="AA250" i="307"/>
  <c r="V250" i="307"/>
  <c r="U250" i="307"/>
  <c r="T250" i="307"/>
  <c r="S250" i="307"/>
  <c r="R250" i="307"/>
  <c r="Q250" i="307"/>
  <c r="P250" i="307"/>
  <c r="O250" i="307"/>
  <c r="N250" i="307"/>
  <c r="B250" i="307"/>
  <c r="AX249" i="307"/>
  <c r="AT249" i="307"/>
  <c r="AO249" i="307"/>
  <c r="AN249" i="307"/>
  <c r="AJ249" i="307"/>
  <c r="AI249" i="307"/>
  <c r="AE249" i="307"/>
  <c r="AH249" i="307" s="1"/>
  <c r="AB249" i="307"/>
  <c r="AA249" i="307"/>
  <c r="V249" i="307"/>
  <c r="U249" i="307"/>
  <c r="T249" i="307"/>
  <c r="S249" i="307"/>
  <c r="R249" i="307"/>
  <c r="Q249" i="307"/>
  <c r="P249" i="307"/>
  <c r="O249" i="307"/>
  <c r="N249" i="307"/>
  <c r="B249" i="307"/>
  <c r="AX248" i="307"/>
  <c r="AT248" i="307"/>
  <c r="AO248" i="307"/>
  <c r="AN248" i="307"/>
  <c r="AJ248" i="307"/>
  <c r="AI248" i="307"/>
  <c r="AE248" i="307"/>
  <c r="AB248" i="307"/>
  <c r="AA248" i="307"/>
  <c r="V248" i="307"/>
  <c r="U248" i="307"/>
  <c r="T248" i="307"/>
  <c r="S248" i="307"/>
  <c r="R248" i="307"/>
  <c r="Q248" i="307"/>
  <c r="P248" i="307"/>
  <c r="O248" i="307"/>
  <c r="N248" i="307"/>
  <c r="B248" i="307"/>
  <c r="AX247" i="307"/>
  <c r="AT247" i="307"/>
  <c r="AO247" i="307"/>
  <c r="AN247" i="307"/>
  <c r="AJ247" i="307"/>
  <c r="AI247" i="307"/>
  <c r="AE247" i="307"/>
  <c r="AH247" i="307" s="1"/>
  <c r="AB247" i="307"/>
  <c r="AA247" i="307"/>
  <c r="V247" i="307"/>
  <c r="U247" i="307"/>
  <c r="T247" i="307"/>
  <c r="S247" i="307"/>
  <c r="R247" i="307"/>
  <c r="Q247" i="307"/>
  <c r="P247" i="307"/>
  <c r="O247" i="307"/>
  <c r="N247" i="307"/>
  <c r="B247" i="307"/>
  <c r="AX246" i="307"/>
  <c r="AT246" i="307"/>
  <c r="AO246" i="307"/>
  <c r="AN246" i="307"/>
  <c r="AJ246" i="307"/>
  <c r="AI246" i="307"/>
  <c r="AE246" i="307"/>
  <c r="AH246" i="307" s="1"/>
  <c r="AB246" i="307"/>
  <c r="AA246" i="307"/>
  <c r="V246" i="307"/>
  <c r="U246" i="307"/>
  <c r="T246" i="307"/>
  <c r="S246" i="307"/>
  <c r="R246" i="307"/>
  <c r="Q246" i="307"/>
  <c r="P246" i="307"/>
  <c r="O246" i="307"/>
  <c r="N246" i="307"/>
  <c r="B246" i="307"/>
  <c r="AX245" i="307"/>
  <c r="AT245" i="307"/>
  <c r="AO245" i="307"/>
  <c r="AN245" i="307"/>
  <c r="AJ245" i="307"/>
  <c r="AI245" i="307"/>
  <c r="AE245" i="307"/>
  <c r="AH245" i="307" s="1"/>
  <c r="AB245" i="307"/>
  <c r="AA245" i="307"/>
  <c r="V245" i="307"/>
  <c r="U245" i="307"/>
  <c r="T245" i="307"/>
  <c r="S245" i="307"/>
  <c r="R245" i="307"/>
  <c r="Q245" i="307"/>
  <c r="P245" i="307"/>
  <c r="O245" i="307"/>
  <c r="N245" i="307"/>
  <c r="B245" i="307"/>
  <c r="AX244" i="307"/>
  <c r="AT244" i="307"/>
  <c r="AO244" i="307"/>
  <c r="AN244" i="307"/>
  <c r="AJ244" i="307"/>
  <c r="AI244" i="307"/>
  <c r="AE244" i="307"/>
  <c r="AB244" i="307"/>
  <c r="AA244" i="307"/>
  <c r="V244" i="307"/>
  <c r="U244" i="307"/>
  <c r="T244" i="307"/>
  <c r="S244" i="307"/>
  <c r="R244" i="307"/>
  <c r="Q244" i="307"/>
  <c r="P244" i="307"/>
  <c r="O244" i="307"/>
  <c r="N244" i="307"/>
  <c r="B244" i="307"/>
  <c r="AX243" i="307"/>
  <c r="AT243" i="307"/>
  <c r="AO243" i="307"/>
  <c r="AN243" i="307"/>
  <c r="AJ243" i="307"/>
  <c r="AI243" i="307"/>
  <c r="AE243" i="307"/>
  <c r="AH243" i="307" s="1"/>
  <c r="AB243" i="307"/>
  <c r="AA243" i="307"/>
  <c r="V243" i="307"/>
  <c r="U243" i="307"/>
  <c r="T243" i="307"/>
  <c r="S243" i="307"/>
  <c r="R243" i="307"/>
  <c r="Q243" i="307"/>
  <c r="P243" i="307"/>
  <c r="O243" i="307"/>
  <c r="N243" i="307"/>
  <c r="B243" i="307"/>
  <c r="AX242" i="307"/>
  <c r="AT242" i="307"/>
  <c r="AO242" i="307"/>
  <c r="AN242" i="307"/>
  <c r="AJ242" i="307"/>
  <c r="AI242" i="307"/>
  <c r="AE242" i="307"/>
  <c r="AH242" i="307" s="1"/>
  <c r="AB242" i="307"/>
  <c r="AA242" i="307"/>
  <c r="V242" i="307"/>
  <c r="U242" i="307"/>
  <c r="T242" i="307"/>
  <c r="S242" i="307"/>
  <c r="R242" i="307"/>
  <c r="Q242" i="307"/>
  <c r="P242" i="307"/>
  <c r="O242" i="307"/>
  <c r="N242" i="307"/>
  <c r="B242" i="307"/>
  <c r="AX241" i="307"/>
  <c r="AT241" i="307"/>
  <c r="AO241" i="307"/>
  <c r="AN241" i="307"/>
  <c r="AJ241" i="307"/>
  <c r="AI241" i="307"/>
  <c r="AE241" i="307"/>
  <c r="AH241" i="307" s="1"/>
  <c r="AB241" i="307"/>
  <c r="AA241" i="307"/>
  <c r="V241" i="307"/>
  <c r="U241" i="307"/>
  <c r="T241" i="307"/>
  <c r="S241" i="307"/>
  <c r="R241" i="307"/>
  <c r="Q241" i="307"/>
  <c r="P241" i="307"/>
  <c r="O241" i="307"/>
  <c r="N241" i="307"/>
  <c r="B241" i="307"/>
  <c r="AX240" i="307"/>
  <c r="AT240" i="307"/>
  <c r="AO240" i="307"/>
  <c r="AN240" i="307"/>
  <c r="AJ240" i="307"/>
  <c r="AI240" i="307"/>
  <c r="AE240" i="307"/>
  <c r="AB240" i="307"/>
  <c r="AA240" i="307"/>
  <c r="V240" i="307"/>
  <c r="U240" i="307"/>
  <c r="T240" i="307"/>
  <c r="S240" i="307"/>
  <c r="R240" i="307"/>
  <c r="Q240" i="307"/>
  <c r="P240" i="307"/>
  <c r="O240" i="307"/>
  <c r="N240" i="307"/>
  <c r="B240" i="307"/>
  <c r="AX239" i="307"/>
  <c r="AT239" i="307"/>
  <c r="AO239" i="307"/>
  <c r="AN239" i="307"/>
  <c r="AJ239" i="307"/>
  <c r="AI239" i="307"/>
  <c r="AE239" i="307"/>
  <c r="AH239" i="307" s="1"/>
  <c r="AB239" i="307"/>
  <c r="AA239" i="307"/>
  <c r="V239" i="307"/>
  <c r="U239" i="307"/>
  <c r="T239" i="307"/>
  <c r="S239" i="307"/>
  <c r="R239" i="307"/>
  <c r="Q239" i="307"/>
  <c r="P239" i="307"/>
  <c r="O239" i="307"/>
  <c r="N239" i="307"/>
  <c r="B239" i="307"/>
  <c r="AX238" i="307"/>
  <c r="AT238" i="307"/>
  <c r="AO238" i="307"/>
  <c r="AN238" i="307"/>
  <c r="AJ238" i="307"/>
  <c r="AI238" i="307"/>
  <c r="AE238" i="307"/>
  <c r="AH238" i="307" s="1"/>
  <c r="AB238" i="307"/>
  <c r="AA238" i="307"/>
  <c r="V238" i="307"/>
  <c r="U238" i="307"/>
  <c r="T238" i="307"/>
  <c r="S238" i="307"/>
  <c r="R238" i="307"/>
  <c r="Q238" i="307"/>
  <c r="P238" i="307"/>
  <c r="O238" i="307"/>
  <c r="N238" i="307"/>
  <c r="B238" i="307"/>
  <c r="AX237" i="307"/>
  <c r="AT237" i="307"/>
  <c r="AO237" i="307"/>
  <c r="AN237" i="307"/>
  <c r="AJ237" i="307"/>
  <c r="AI237" i="307"/>
  <c r="AE237" i="307"/>
  <c r="AH237" i="307" s="1"/>
  <c r="AB237" i="307"/>
  <c r="AA237" i="307"/>
  <c r="V237" i="307"/>
  <c r="U237" i="307"/>
  <c r="T237" i="307"/>
  <c r="S237" i="307"/>
  <c r="R237" i="307"/>
  <c r="Q237" i="307"/>
  <c r="P237" i="307"/>
  <c r="O237" i="307"/>
  <c r="N237" i="307"/>
  <c r="B237" i="307"/>
  <c r="AX236" i="307"/>
  <c r="AT236" i="307"/>
  <c r="AO236" i="307"/>
  <c r="AN236" i="307"/>
  <c r="AJ236" i="307"/>
  <c r="AI236" i="307"/>
  <c r="AE236" i="307"/>
  <c r="AB236" i="307"/>
  <c r="AA236" i="307"/>
  <c r="V236" i="307"/>
  <c r="U236" i="307"/>
  <c r="T236" i="307"/>
  <c r="S236" i="307"/>
  <c r="R236" i="307"/>
  <c r="Q236" i="307"/>
  <c r="P236" i="307"/>
  <c r="O236" i="307"/>
  <c r="N236" i="307"/>
  <c r="B236" i="307"/>
  <c r="AX235" i="307"/>
  <c r="AT235" i="307"/>
  <c r="AO235" i="307"/>
  <c r="AN235" i="307"/>
  <c r="AJ235" i="307"/>
  <c r="AI235" i="307"/>
  <c r="AE235" i="307"/>
  <c r="AH235" i="307" s="1"/>
  <c r="AB235" i="307"/>
  <c r="AA235" i="307"/>
  <c r="V235" i="307"/>
  <c r="U235" i="307"/>
  <c r="T235" i="307"/>
  <c r="S235" i="307"/>
  <c r="R235" i="307"/>
  <c r="Q235" i="307"/>
  <c r="P235" i="307"/>
  <c r="O235" i="307"/>
  <c r="N235" i="307"/>
  <c r="B235" i="307"/>
  <c r="AX234" i="307"/>
  <c r="AT234" i="307"/>
  <c r="AO234" i="307"/>
  <c r="AN234" i="307"/>
  <c r="AJ234" i="307"/>
  <c r="AI234" i="307"/>
  <c r="AE234" i="307"/>
  <c r="AB234" i="307"/>
  <c r="AA234" i="307"/>
  <c r="V234" i="307"/>
  <c r="U234" i="307"/>
  <c r="T234" i="307"/>
  <c r="S234" i="307"/>
  <c r="R234" i="307"/>
  <c r="Q234" i="307"/>
  <c r="P234" i="307"/>
  <c r="O234" i="307"/>
  <c r="N234" i="307"/>
  <c r="B234" i="307"/>
  <c r="AX233" i="307"/>
  <c r="AT233" i="307"/>
  <c r="AO233" i="307"/>
  <c r="AN233" i="307"/>
  <c r="AJ233" i="307"/>
  <c r="AI233" i="307"/>
  <c r="AE233" i="307"/>
  <c r="AH233" i="307" s="1"/>
  <c r="AB233" i="307"/>
  <c r="AA233" i="307"/>
  <c r="V233" i="307"/>
  <c r="U233" i="307"/>
  <c r="T233" i="307"/>
  <c r="S233" i="307"/>
  <c r="R233" i="307"/>
  <c r="Q233" i="307"/>
  <c r="P233" i="307"/>
  <c r="O233" i="307"/>
  <c r="N233" i="307"/>
  <c r="B233" i="307"/>
  <c r="AX232" i="307"/>
  <c r="AT232" i="307"/>
  <c r="AO232" i="307"/>
  <c r="AN232" i="307"/>
  <c r="AJ232" i="307"/>
  <c r="AI232" i="307"/>
  <c r="AE232" i="307"/>
  <c r="AB232" i="307"/>
  <c r="AA232" i="307"/>
  <c r="V232" i="307"/>
  <c r="U232" i="307"/>
  <c r="T232" i="307"/>
  <c r="S232" i="307"/>
  <c r="R232" i="307"/>
  <c r="Q232" i="307"/>
  <c r="P232" i="307"/>
  <c r="O232" i="307"/>
  <c r="N232" i="307"/>
  <c r="B232" i="307"/>
  <c r="AX231" i="307"/>
  <c r="AT231" i="307"/>
  <c r="AO231" i="307"/>
  <c r="AN231" i="307"/>
  <c r="AJ231" i="307"/>
  <c r="AI231" i="307"/>
  <c r="AE231" i="307"/>
  <c r="AH231" i="307" s="1"/>
  <c r="AB231" i="307"/>
  <c r="AA231" i="307"/>
  <c r="V231" i="307"/>
  <c r="U231" i="307"/>
  <c r="T231" i="307"/>
  <c r="S231" i="307"/>
  <c r="R231" i="307"/>
  <c r="Q231" i="307"/>
  <c r="P231" i="307"/>
  <c r="O231" i="307"/>
  <c r="N231" i="307"/>
  <c r="B231" i="307"/>
  <c r="AX230" i="307"/>
  <c r="AT230" i="307"/>
  <c r="AO230" i="307"/>
  <c r="AN230" i="307"/>
  <c r="AJ230" i="307"/>
  <c r="AI230" i="307"/>
  <c r="AE230" i="307"/>
  <c r="AV230" i="307" s="1"/>
  <c r="AB230" i="307"/>
  <c r="AA230" i="307"/>
  <c r="V230" i="307"/>
  <c r="U230" i="307"/>
  <c r="T230" i="307"/>
  <c r="S230" i="307"/>
  <c r="R230" i="307"/>
  <c r="Q230" i="307"/>
  <c r="P230" i="307"/>
  <c r="O230" i="307"/>
  <c r="N230" i="307"/>
  <c r="B230" i="307"/>
  <c r="AX229" i="307"/>
  <c r="AT229" i="307"/>
  <c r="AO229" i="307"/>
  <c r="AN229" i="307"/>
  <c r="AJ229" i="307"/>
  <c r="AI229" i="307"/>
  <c r="AH229" i="307"/>
  <c r="AE229" i="307"/>
  <c r="AV229" i="307" s="1"/>
  <c r="AB229" i="307"/>
  <c r="AA229" i="307"/>
  <c r="V229" i="307"/>
  <c r="U229" i="307"/>
  <c r="T229" i="307"/>
  <c r="S229" i="307"/>
  <c r="R229" i="307"/>
  <c r="Q229" i="307"/>
  <c r="P229" i="307"/>
  <c r="O229" i="307"/>
  <c r="N229" i="307"/>
  <c r="B229" i="307"/>
  <c r="AX228" i="307"/>
  <c r="AT228" i="307"/>
  <c r="AO228" i="307"/>
  <c r="AN228" i="307"/>
  <c r="AJ228" i="307"/>
  <c r="AI228" i="307"/>
  <c r="AE228" i="307"/>
  <c r="AH228" i="307" s="1"/>
  <c r="AB228" i="307"/>
  <c r="AA228" i="307"/>
  <c r="V228" i="307"/>
  <c r="U228" i="307"/>
  <c r="T228" i="307"/>
  <c r="S228" i="307"/>
  <c r="R228" i="307"/>
  <c r="Q228" i="307"/>
  <c r="P228" i="307"/>
  <c r="O228" i="307"/>
  <c r="N228" i="307"/>
  <c r="B228" i="307"/>
  <c r="AX227" i="307"/>
  <c r="AT227" i="307"/>
  <c r="AO227" i="307"/>
  <c r="AN227" i="307"/>
  <c r="AJ227" i="307"/>
  <c r="AI227" i="307"/>
  <c r="AE227" i="307"/>
  <c r="AH227" i="307" s="1"/>
  <c r="AB227" i="307"/>
  <c r="AA227" i="307"/>
  <c r="V227" i="307"/>
  <c r="U227" i="307"/>
  <c r="T227" i="307"/>
  <c r="S227" i="307"/>
  <c r="R227" i="307"/>
  <c r="Q227" i="307"/>
  <c r="P227" i="307"/>
  <c r="O227" i="307"/>
  <c r="N227" i="307"/>
  <c r="B227" i="307"/>
  <c r="AX226" i="307"/>
  <c r="AT226" i="307"/>
  <c r="AO226" i="307"/>
  <c r="AN226" i="307"/>
  <c r="AJ226" i="307"/>
  <c r="AI226" i="307"/>
  <c r="AE226" i="307"/>
  <c r="AV226" i="307" s="1"/>
  <c r="AB226" i="307"/>
  <c r="AA226" i="307"/>
  <c r="V226" i="307"/>
  <c r="U226" i="307"/>
  <c r="T226" i="307"/>
  <c r="S226" i="307"/>
  <c r="R226" i="307"/>
  <c r="Q226" i="307"/>
  <c r="P226" i="307"/>
  <c r="O226" i="307"/>
  <c r="N226" i="307"/>
  <c r="B226" i="307"/>
  <c r="AX225" i="307"/>
  <c r="AT225" i="307"/>
  <c r="AO225" i="307"/>
  <c r="AN225" i="307"/>
  <c r="AJ225" i="307"/>
  <c r="AI225" i="307"/>
  <c r="AH225" i="307"/>
  <c r="AE225" i="307"/>
  <c r="AV225" i="307" s="1"/>
  <c r="AB225" i="307"/>
  <c r="AA225" i="307"/>
  <c r="V225" i="307"/>
  <c r="U225" i="307"/>
  <c r="T225" i="307"/>
  <c r="S225" i="307"/>
  <c r="R225" i="307"/>
  <c r="Q225" i="307"/>
  <c r="P225" i="307"/>
  <c r="O225" i="307"/>
  <c r="N225" i="307"/>
  <c r="B225" i="307"/>
  <c r="AX224" i="307"/>
  <c r="AT224" i="307"/>
  <c r="AO224" i="307"/>
  <c r="AN224" i="307"/>
  <c r="AJ224" i="307"/>
  <c r="AI224" i="307"/>
  <c r="AE224" i="307"/>
  <c r="AH224" i="307" s="1"/>
  <c r="AB224" i="307"/>
  <c r="AA224" i="307"/>
  <c r="V224" i="307"/>
  <c r="U224" i="307"/>
  <c r="T224" i="307"/>
  <c r="S224" i="307"/>
  <c r="R224" i="307"/>
  <c r="Q224" i="307"/>
  <c r="P224" i="307"/>
  <c r="O224" i="307"/>
  <c r="N224" i="307"/>
  <c r="B224" i="307"/>
  <c r="AX223" i="307"/>
  <c r="AT223" i="307"/>
  <c r="AO223" i="307"/>
  <c r="AN223" i="307"/>
  <c r="AJ223" i="307"/>
  <c r="AI223" i="307"/>
  <c r="AE223" i="307"/>
  <c r="AV223" i="307" s="1"/>
  <c r="AB223" i="307"/>
  <c r="AA223" i="307"/>
  <c r="V223" i="307"/>
  <c r="U223" i="307"/>
  <c r="T223" i="307"/>
  <c r="S223" i="307"/>
  <c r="R223" i="307"/>
  <c r="Q223" i="307"/>
  <c r="P223" i="307"/>
  <c r="O223" i="307"/>
  <c r="N223" i="307"/>
  <c r="B223" i="307"/>
  <c r="AX222" i="307"/>
  <c r="AT222" i="307"/>
  <c r="AO222" i="307"/>
  <c r="AN222" i="307"/>
  <c r="AJ222" i="307"/>
  <c r="AI222" i="307"/>
  <c r="AE222" i="307"/>
  <c r="AV222" i="307" s="1"/>
  <c r="AB222" i="307"/>
  <c r="AA222" i="307"/>
  <c r="V222" i="307"/>
  <c r="U222" i="307"/>
  <c r="T222" i="307"/>
  <c r="S222" i="307"/>
  <c r="R222" i="307"/>
  <c r="Q222" i="307"/>
  <c r="P222" i="307"/>
  <c r="O222" i="307"/>
  <c r="N222" i="307"/>
  <c r="B222" i="307"/>
  <c r="AX221" i="307"/>
  <c r="AV221" i="307"/>
  <c r="AT221" i="307"/>
  <c r="AO221" i="307"/>
  <c r="AN221" i="307"/>
  <c r="AJ221" i="307"/>
  <c r="AI221" i="307"/>
  <c r="AH221" i="307"/>
  <c r="AE221" i="307"/>
  <c r="AB221" i="307"/>
  <c r="AA221" i="307"/>
  <c r="V221" i="307"/>
  <c r="U221" i="307"/>
  <c r="T221" i="307"/>
  <c r="S221" i="307"/>
  <c r="R221" i="307"/>
  <c r="Q221" i="307"/>
  <c r="P221" i="307"/>
  <c r="O221" i="307"/>
  <c r="N221" i="307"/>
  <c r="B221" i="307"/>
  <c r="AX220" i="307"/>
  <c r="AV220" i="307"/>
  <c r="AT220" i="307"/>
  <c r="AO220" i="307"/>
  <c r="AN220" i="307"/>
  <c r="AJ220" i="307"/>
  <c r="AI220" i="307"/>
  <c r="AE220" i="307"/>
  <c r="AH220" i="307" s="1"/>
  <c r="AB220" i="307"/>
  <c r="AA220" i="307"/>
  <c r="V220" i="307"/>
  <c r="U220" i="307"/>
  <c r="T220" i="307"/>
  <c r="S220" i="307"/>
  <c r="R220" i="307"/>
  <c r="Q220" i="307"/>
  <c r="P220" i="307"/>
  <c r="O220" i="307"/>
  <c r="N220" i="307"/>
  <c r="B220" i="307"/>
  <c r="AZ219" i="307"/>
  <c r="AY219" i="307"/>
  <c r="AX219" i="307"/>
  <c r="AW219" i="307"/>
  <c r="AU219" i="307"/>
  <c r="AS219" i="307"/>
  <c r="AR219" i="307"/>
  <c r="AQ219" i="307"/>
  <c r="AP219" i="307"/>
  <c r="AM219" i="307"/>
  <c r="AK219" i="307"/>
  <c r="AG219" i="307"/>
  <c r="AD219" i="307"/>
  <c r="AC219" i="307"/>
  <c r="AA219" i="307"/>
  <c r="Z219" i="307"/>
  <c r="Y219" i="307"/>
  <c r="X219" i="307"/>
  <c r="W219" i="307"/>
  <c r="V219" i="307"/>
  <c r="U219" i="307"/>
  <c r="T219" i="307"/>
  <c r="S219" i="307"/>
  <c r="R219" i="307"/>
  <c r="Q219" i="307"/>
  <c r="P219" i="307"/>
  <c r="O219" i="307"/>
  <c r="N219" i="307"/>
  <c r="M219" i="307"/>
  <c r="L219" i="307"/>
  <c r="K219" i="307"/>
  <c r="J219" i="307"/>
  <c r="H219" i="307"/>
  <c r="G219" i="307"/>
  <c r="F219" i="307"/>
  <c r="E219" i="307"/>
  <c r="AT218" i="307"/>
  <c r="AO218" i="307"/>
  <c r="AN218" i="307"/>
  <c r="AJ218" i="307"/>
  <c r="AI218" i="307"/>
  <c r="AB218" i="307"/>
  <c r="AE218" i="307" s="1"/>
  <c r="AH218" i="307" s="1"/>
  <c r="AA218" i="307"/>
  <c r="V218" i="307"/>
  <c r="U218" i="307"/>
  <c r="T218" i="307"/>
  <c r="S218" i="307"/>
  <c r="R218" i="307"/>
  <c r="Q218" i="307"/>
  <c r="P218" i="307"/>
  <c r="O218" i="307"/>
  <c r="N218" i="307"/>
  <c r="B218" i="307"/>
  <c r="AT217" i="307"/>
  <c r="AO217" i="307"/>
  <c r="AN217" i="307"/>
  <c r="AJ217" i="307"/>
  <c r="AI217" i="307"/>
  <c r="AB217" i="307"/>
  <c r="AE217" i="307" s="1"/>
  <c r="AH217" i="307" s="1"/>
  <c r="AA217" i="307"/>
  <c r="V217" i="307"/>
  <c r="U217" i="307"/>
  <c r="T217" i="307"/>
  <c r="S217" i="307"/>
  <c r="R217" i="307"/>
  <c r="Q217" i="307"/>
  <c r="P217" i="307"/>
  <c r="O217" i="307"/>
  <c r="N217" i="307"/>
  <c r="B217" i="307"/>
  <c r="AT216" i="307"/>
  <c r="AO216" i="307"/>
  <c r="AN216" i="307"/>
  <c r="AJ216" i="307"/>
  <c r="AI216" i="307"/>
  <c r="AB216" i="307"/>
  <c r="AE216" i="307" s="1"/>
  <c r="AH216" i="307" s="1"/>
  <c r="AA216" i="307"/>
  <c r="V216" i="307"/>
  <c r="U216" i="307"/>
  <c r="T216" i="307"/>
  <c r="S216" i="307"/>
  <c r="R216" i="307"/>
  <c r="Q216" i="307"/>
  <c r="P216" i="307"/>
  <c r="O216" i="307"/>
  <c r="N216" i="307"/>
  <c r="B216" i="307"/>
  <c r="AT215" i="307"/>
  <c r="AO215" i="307"/>
  <c r="AN215" i="307"/>
  <c r="AJ215" i="307"/>
  <c r="AI215" i="307"/>
  <c r="AH215" i="307"/>
  <c r="AE215" i="307"/>
  <c r="AA215" i="307"/>
  <c r="V215" i="307"/>
  <c r="U215" i="307"/>
  <c r="T215" i="307"/>
  <c r="S215" i="307"/>
  <c r="R215" i="307"/>
  <c r="Q215" i="307"/>
  <c r="P215" i="307"/>
  <c r="O215" i="307"/>
  <c r="N215" i="307"/>
  <c r="B215" i="307"/>
  <c r="AT214" i="307"/>
  <c r="AO214" i="307"/>
  <c r="AN214" i="307"/>
  <c r="AJ214" i="307"/>
  <c r="AI214" i="307"/>
  <c r="AH214" i="307"/>
  <c r="AE214" i="307"/>
  <c r="AA214" i="307"/>
  <c r="V214" i="307"/>
  <c r="U214" i="307"/>
  <c r="T214" i="307"/>
  <c r="S214" i="307"/>
  <c r="R214" i="307"/>
  <c r="Q214" i="307"/>
  <c r="P214" i="307"/>
  <c r="O214" i="307"/>
  <c r="N214" i="307"/>
  <c r="B214" i="307"/>
  <c r="AT213" i="307"/>
  <c r="AO213" i="307"/>
  <c r="AN213" i="307"/>
  <c r="AJ213" i="307"/>
  <c r="AI213" i="307"/>
  <c r="AB213" i="307"/>
  <c r="AE213" i="307" s="1"/>
  <c r="AH213" i="307" s="1"/>
  <c r="AA213" i="307"/>
  <c r="V213" i="307"/>
  <c r="U213" i="307"/>
  <c r="T213" i="307"/>
  <c r="S213" i="307"/>
  <c r="R213" i="307"/>
  <c r="Q213" i="307"/>
  <c r="P213" i="307"/>
  <c r="O213" i="307"/>
  <c r="N213" i="307"/>
  <c r="B213" i="307"/>
  <c r="AT212" i="307"/>
  <c r="AO212" i="307"/>
  <c r="AN212" i="307"/>
  <c r="AJ212" i="307"/>
  <c r="AI212" i="307"/>
  <c r="AB212" i="307"/>
  <c r="AE212" i="307" s="1"/>
  <c r="AH212" i="307" s="1"/>
  <c r="AA212" i="307"/>
  <c r="V212" i="307"/>
  <c r="U212" i="307"/>
  <c r="T212" i="307"/>
  <c r="S212" i="307"/>
  <c r="R212" i="307"/>
  <c r="Q212" i="307"/>
  <c r="P212" i="307"/>
  <c r="O212" i="307"/>
  <c r="N212" i="307"/>
  <c r="B212" i="307"/>
  <c r="AT211" i="307"/>
  <c r="AO211" i="307"/>
  <c r="AN211" i="307"/>
  <c r="AJ211" i="307"/>
  <c r="AI211" i="307"/>
  <c r="AB211" i="307"/>
  <c r="AE211" i="307" s="1"/>
  <c r="AH211" i="307" s="1"/>
  <c r="AA211" i="307"/>
  <c r="V211" i="307"/>
  <c r="U211" i="307"/>
  <c r="T211" i="307"/>
  <c r="S211" i="307"/>
  <c r="R211" i="307"/>
  <c r="Q211" i="307"/>
  <c r="P211" i="307"/>
  <c r="O211" i="307"/>
  <c r="N211" i="307"/>
  <c r="B211" i="307"/>
  <c r="AT210" i="307"/>
  <c r="AO210" i="307"/>
  <c r="AN210" i="307"/>
  <c r="AJ210" i="307"/>
  <c r="AI210" i="307"/>
  <c r="AB210" i="307"/>
  <c r="AE210" i="307" s="1"/>
  <c r="AH210" i="307" s="1"/>
  <c r="AA210" i="307"/>
  <c r="V210" i="307"/>
  <c r="U210" i="307"/>
  <c r="T210" i="307"/>
  <c r="S210" i="307"/>
  <c r="R210" i="307"/>
  <c r="Q210" i="307"/>
  <c r="P210" i="307"/>
  <c r="O210" i="307"/>
  <c r="N210" i="307"/>
  <c r="B210" i="307"/>
  <c r="AT209" i="307"/>
  <c r="AO209" i="307"/>
  <c r="AN209" i="307"/>
  <c r="AJ209" i="307"/>
  <c r="AI209" i="307"/>
  <c r="AB209" i="307"/>
  <c r="AE209" i="307" s="1"/>
  <c r="AH209" i="307" s="1"/>
  <c r="AA209" i="307"/>
  <c r="V209" i="307"/>
  <c r="U209" i="307"/>
  <c r="T209" i="307"/>
  <c r="S209" i="307"/>
  <c r="R209" i="307"/>
  <c r="Q209" i="307"/>
  <c r="P209" i="307"/>
  <c r="O209" i="307"/>
  <c r="N209" i="307"/>
  <c r="B209" i="307"/>
  <c r="AT208" i="307"/>
  <c r="AO208" i="307"/>
  <c r="AN208" i="307"/>
  <c r="AJ208" i="307"/>
  <c r="AI208" i="307"/>
  <c r="AB208" i="307"/>
  <c r="AE208" i="307" s="1"/>
  <c r="AH208" i="307" s="1"/>
  <c r="AA208" i="307"/>
  <c r="V208" i="307"/>
  <c r="U208" i="307"/>
  <c r="T208" i="307"/>
  <c r="S208" i="307"/>
  <c r="R208" i="307"/>
  <c r="Q208" i="307"/>
  <c r="P208" i="307"/>
  <c r="O208" i="307"/>
  <c r="N208" i="307"/>
  <c r="B208" i="307"/>
  <c r="AT207" i="307"/>
  <c r="AO207" i="307"/>
  <c r="AN207" i="307"/>
  <c r="AJ207" i="307"/>
  <c r="AI207" i="307"/>
  <c r="AB207" i="307"/>
  <c r="AE207" i="307" s="1"/>
  <c r="AH207" i="307" s="1"/>
  <c r="AA207" i="307"/>
  <c r="V207" i="307"/>
  <c r="U207" i="307"/>
  <c r="T207" i="307"/>
  <c r="S207" i="307"/>
  <c r="R207" i="307"/>
  <c r="Q207" i="307"/>
  <c r="P207" i="307"/>
  <c r="O207" i="307"/>
  <c r="N207" i="307"/>
  <c r="B207" i="307"/>
  <c r="AT206" i="307"/>
  <c r="AO206" i="307"/>
  <c r="AN206" i="307"/>
  <c r="AJ206" i="307"/>
  <c r="AI206" i="307"/>
  <c r="AH206" i="307"/>
  <c r="AE206" i="307"/>
  <c r="AA206" i="307"/>
  <c r="V206" i="307"/>
  <c r="U206" i="307"/>
  <c r="T206" i="307"/>
  <c r="S206" i="307"/>
  <c r="R206" i="307"/>
  <c r="Q206" i="307"/>
  <c r="P206" i="307"/>
  <c r="O206" i="307"/>
  <c r="N206" i="307"/>
  <c r="B206" i="307"/>
  <c r="AT205" i="307"/>
  <c r="AO205" i="307"/>
  <c r="AN205" i="307"/>
  <c r="AJ205" i="307"/>
  <c r="AI205" i="307"/>
  <c r="AH205" i="307"/>
  <c r="AE205" i="307"/>
  <c r="AA205" i="307"/>
  <c r="V205" i="307"/>
  <c r="U205" i="307"/>
  <c r="T205" i="307"/>
  <c r="S205" i="307"/>
  <c r="R205" i="307"/>
  <c r="Q205" i="307"/>
  <c r="P205" i="307"/>
  <c r="O205" i="307"/>
  <c r="N205" i="307"/>
  <c r="B205" i="307"/>
  <c r="AT204" i="307"/>
  <c r="AO204" i="307"/>
  <c r="AN204" i="307"/>
  <c r="AJ204" i="307"/>
  <c r="AI204" i="307"/>
  <c r="AB204" i="307"/>
  <c r="AE204" i="307" s="1"/>
  <c r="AH204" i="307" s="1"/>
  <c r="AA204" i="307"/>
  <c r="V204" i="307"/>
  <c r="U204" i="307"/>
  <c r="T204" i="307"/>
  <c r="S204" i="307"/>
  <c r="R204" i="307"/>
  <c r="Q204" i="307"/>
  <c r="P204" i="307"/>
  <c r="O204" i="307"/>
  <c r="N204" i="307"/>
  <c r="B204" i="307"/>
  <c r="AT203" i="307"/>
  <c r="AO203" i="307"/>
  <c r="AN203" i="307"/>
  <c r="AJ203" i="307"/>
  <c r="AI203" i="307"/>
  <c r="AB203" i="307"/>
  <c r="AE203" i="307" s="1"/>
  <c r="AH203" i="307" s="1"/>
  <c r="AA203" i="307"/>
  <c r="V203" i="307"/>
  <c r="U203" i="307"/>
  <c r="T203" i="307"/>
  <c r="S203" i="307"/>
  <c r="R203" i="307"/>
  <c r="Q203" i="307"/>
  <c r="P203" i="307"/>
  <c r="O203" i="307"/>
  <c r="N203" i="307"/>
  <c r="B203" i="307"/>
  <c r="AT202" i="307"/>
  <c r="AO202" i="307"/>
  <c r="AN202" i="307"/>
  <c r="AJ202" i="307"/>
  <c r="AI202" i="307"/>
  <c r="AB202" i="307"/>
  <c r="AE202" i="307" s="1"/>
  <c r="AH202" i="307" s="1"/>
  <c r="AA202" i="307"/>
  <c r="V202" i="307"/>
  <c r="U202" i="307"/>
  <c r="T202" i="307"/>
  <c r="S202" i="307"/>
  <c r="R202" i="307"/>
  <c r="Q202" i="307"/>
  <c r="P202" i="307"/>
  <c r="O202" i="307"/>
  <c r="N202" i="307"/>
  <c r="B202" i="307"/>
  <c r="AT201" i="307"/>
  <c r="AO201" i="307"/>
  <c r="AN201" i="307"/>
  <c r="AJ201" i="307"/>
  <c r="AI201" i="307"/>
  <c r="AB201" i="307"/>
  <c r="AE201" i="307" s="1"/>
  <c r="AH201" i="307" s="1"/>
  <c r="AA201" i="307"/>
  <c r="V201" i="307"/>
  <c r="U201" i="307"/>
  <c r="T201" i="307"/>
  <c r="S201" i="307"/>
  <c r="R201" i="307"/>
  <c r="Q201" i="307"/>
  <c r="P201" i="307"/>
  <c r="O201" i="307"/>
  <c r="N201" i="307"/>
  <c r="B201" i="307"/>
  <c r="AT200" i="307"/>
  <c r="AO200" i="307"/>
  <c r="AN200" i="307"/>
  <c r="AJ200" i="307"/>
  <c r="AI200" i="307"/>
  <c r="AB200" i="307"/>
  <c r="AE200" i="307" s="1"/>
  <c r="AH200" i="307" s="1"/>
  <c r="AA200" i="307"/>
  <c r="V200" i="307"/>
  <c r="U200" i="307"/>
  <c r="T200" i="307"/>
  <c r="S200" i="307"/>
  <c r="R200" i="307"/>
  <c r="Q200" i="307"/>
  <c r="P200" i="307"/>
  <c r="O200" i="307"/>
  <c r="N200" i="307"/>
  <c r="B200" i="307"/>
  <c r="AT199" i="307"/>
  <c r="AO199" i="307"/>
  <c r="AN199" i="307"/>
  <c r="AJ199" i="307"/>
  <c r="AI199" i="307"/>
  <c r="AE199" i="307"/>
  <c r="AH199" i="307" s="1"/>
  <c r="AB199" i="307"/>
  <c r="AA199" i="307"/>
  <c r="V199" i="307"/>
  <c r="U199" i="307"/>
  <c r="T199" i="307"/>
  <c r="S199" i="307"/>
  <c r="R199" i="307"/>
  <c r="Q199" i="307"/>
  <c r="P199" i="307"/>
  <c r="O199" i="307"/>
  <c r="N199" i="307"/>
  <c r="B199" i="307"/>
  <c r="AT198" i="307"/>
  <c r="AO198" i="307"/>
  <c r="AN198" i="307"/>
  <c r="AJ198" i="307"/>
  <c r="AI198" i="307"/>
  <c r="AB198" i="307"/>
  <c r="AE198" i="307" s="1"/>
  <c r="AH198" i="307" s="1"/>
  <c r="AA198" i="307"/>
  <c r="V198" i="307"/>
  <c r="U198" i="307"/>
  <c r="T198" i="307"/>
  <c r="S198" i="307"/>
  <c r="R198" i="307"/>
  <c r="Q198" i="307"/>
  <c r="P198" i="307"/>
  <c r="O198" i="307"/>
  <c r="N198" i="307"/>
  <c r="B198" i="307"/>
  <c r="AT197" i="307"/>
  <c r="AO197" i="307"/>
  <c r="AN197" i="307"/>
  <c r="AJ197" i="307"/>
  <c r="AI197" i="307"/>
  <c r="AB197" i="307"/>
  <c r="AE197" i="307" s="1"/>
  <c r="AH197" i="307" s="1"/>
  <c r="AA197" i="307"/>
  <c r="V197" i="307"/>
  <c r="U197" i="307"/>
  <c r="T197" i="307"/>
  <c r="S197" i="307"/>
  <c r="R197" i="307"/>
  <c r="Q197" i="307"/>
  <c r="P197" i="307"/>
  <c r="O197" i="307"/>
  <c r="N197" i="307"/>
  <c r="B197" i="307"/>
  <c r="AT196" i="307"/>
  <c r="AO196" i="307"/>
  <c r="AN196" i="307"/>
  <c r="AJ196" i="307"/>
  <c r="AI196" i="307"/>
  <c r="AB196" i="307"/>
  <c r="AE196" i="307" s="1"/>
  <c r="AH196" i="307" s="1"/>
  <c r="AA196" i="307"/>
  <c r="V196" i="307"/>
  <c r="U196" i="307"/>
  <c r="T196" i="307"/>
  <c r="S196" i="307"/>
  <c r="R196" i="307"/>
  <c r="Q196" i="307"/>
  <c r="P196" i="307"/>
  <c r="O196" i="307"/>
  <c r="N196" i="307"/>
  <c r="B196" i="307"/>
  <c r="AA195" i="307"/>
  <c r="V195" i="307"/>
  <c r="U195" i="307"/>
  <c r="T195" i="307"/>
  <c r="S195" i="307"/>
  <c r="R195" i="307"/>
  <c r="Q195" i="307"/>
  <c r="P195" i="307"/>
  <c r="O195" i="307"/>
  <c r="N195" i="307"/>
  <c r="AA194" i="307"/>
  <c r="V194" i="307"/>
  <c r="U194" i="307"/>
  <c r="T194" i="307"/>
  <c r="S194" i="307"/>
  <c r="R194" i="307"/>
  <c r="Q194" i="307"/>
  <c r="P194" i="307"/>
  <c r="O194" i="307"/>
  <c r="N194" i="307"/>
  <c r="AA193" i="307"/>
  <c r="V193" i="307"/>
  <c r="U193" i="307"/>
  <c r="T193" i="307"/>
  <c r="S193" i="307"/>
  <c r="R193" i="307"/>
  <c r="Q193" i="307"/>
  <c r="P193" i="307"/>
  <c r="O193" i="307"/>
  <c r="N193" i="307"/>
  <c r="AA192" i="307"/>
  <c r="V192" i="307"/>
  <c r="U192" i="307"/>
  <c r="T192" i="307"/>
  <c r="S192" i="307"/>
  <c r="R192" i="307"/>
  <c r="Q192" i="307"/>
  <c r="P192" i="307"/>
  <c r="O192" i="307"/>
  <c r="N192" i="307"/>
  <c r="AA191" i="307"/>
  <c r="V191" i="307"/>
  <c r="U191" i="307"/>
  <c r="T191" i="307"/>
  <c r="S191" i="307"/>
  <c r="R191" i="307"/>
  <c r="Q191" i="307"/>
  <c r="P191" i="307"/>
  <c r="O191" i="307"/>
  <c r="N191" i="307"/>
  <c r="AA190" i="307"/>
  <c r="V190" i="307"/>
  <c r="U190" i="307"/>
  <c r="T190" i="307"/>
  <c r="S190" i="307"/>
  <c r="R190" i="307"/>
  <c r="Q190" i="307"/>
  <c r="P190" i="307"/>
  <c r="O190" i="307"/>
  <c r="N190" i="307"/>
  <c r="AA189" i="307"/>
  <c r="V189" i="307"/>
  <c r="U189" i="307"/>
  <c r="T189" i="307"/>
  <c r="S189" i="307"/>
  <c r="R189" i="307"/>
  <c r="Q189" i="307"/>
  <c r="P189" i="307"/>
  <c r="O189" i="307"/>
  <c r="N189" i="307"/>
  <c r="AA188" i="307"/>
  <c r="V188" i="307"/>
  <c r="U188" i="307"/>
  <c r="T188" i="307"/>
  <c r="S188" i="307"/>
  <c r="R188" i="307"/>
  <c r="Q188" i="307"/>
  <c r="P188" i="307"/>
  <c r="O188" i="307"/>
  <c r="N188" i="307"/>
  <c r="AA187" i="307"/>
  <c r="V187" i="307"/>
  <c r="U187" i="307"/>
  <c r="T187" i="307"/>
  <c r="S187" i="307"/>
  <c r="R187" i="307"/>
  <c r="Q187" i="307"/>
  <c r="P187" i="307"/>
  <c r="O187" i="307"/>
  <c r="N187" i="307"/>
  <c r="AA186" i="307"/>
  <c r="V186" i="307"/>
  <c r="U186" i="307"/>
  <c r="T186" i="307"/>
  <c r="S186" i="307"/>
  <c r="R186" i="307"/>
  <c r="Q186" i="307"/>
  <c r="P186" i="307"/>
  <c r="O186" i="307"/>
  <c r="N186" i="307"/>
  <c r="AA185" i="307"/>
  <c r="V185" i="307"/>
  <c r="U185" i="307"/>
  <c r="T185" i="307"/>
  <c r="S185" i="307"/>
  <c r="R185" i="307"/>
  <c r="Q185" i="307"/>
  <c r="P185" i="307"/>
  <c r="O185" i="307"/>
  <c r="N185" i="307"/>
  <c r="AA184" i="307"/>
  <c r="V184" i="307"/>
  <c r="U184" i="307"/>
  <c r="T184" i="307"/>
  <c r="S184" i="307"/>
  <c r="R184" i="307"/>
  <c r="Q184" i="307"/>
  <c r="P184" i="307"/>
  <c r="O184" i="307"/>
  <c r="N184" i="307"/>
  <c r="AA183" i="307"/>
  <c r="V183" i="307"/>
  <c r="U183" i="307"/>
  <c r="T183" i="307"/>
  <c r="S183" i="307"/>
  <c r="R183" i="307"/>
  <c r="Q183" i="307"/>
  <c r="P183" i="307"/>
  <c r="O183" i="307"/>
  <c r="N183" i="307"/>
  <c r="AA182" i="307"/>
  <c r="V182" i="307"/>
  <c r="U182" i="307"/>
  <c r="T182" i="307"/>
  <c r="S182" i="307"/>
  <c r="R182" i="307"/>
  <c r="Q182" i="307"/>
  <c r="P182" i="307"/>
  <c r="O182" i="307"/>
  <c r="N182" i="307"/>
  <c r="AA181" i="307"/>
  <c r="V181" i="307"/>
  <c r="U181" i="307"/>
  <c r="T181" i="307"/>
  <c r="S181" i="307"/>
  <c r="R181" i="307"/>
  <c r="Q181" i="307"/>
  <c r="P181" i="307"/>
  <c r="O181" i="307"/>
  <c r="N181" i="307"/>
  <c r="AA180" i="307"/>
  <c r="V180" i="307"/>
  <c r="U180" i="307"/>
  <c r="T180" i="307"/>
  <c r="S180" i="307"/>
  <c r="R180" i="307"/>
  <c r="Q180" i="307"/>
  <c r="P180" i="307"/>
  <c r="O180" i="307"/>
  <c r="N180" i="307"/>
  <c r="AA179" i="307"/>
  <c r="V179" i="307"/>
  <c r="U179" i="307"/>
  <c r="T179" i="307"/>
  <c r="S179" i="307"/>
  <c r="R179" i="307"/>
  <c r="Q179" i="307"/>
  <c r="P179" i="307"/>
  <c r="O179" i="307"/>
  <c r="N179" i="307"/>
  <c r="AA178" i="307"/>
  <c r="V178" i="307"/>
  <c r="U178" i="307"/>
  <c r="T178" i="307"/>
  <c r="S178" i="307"/>
  <c r="R178" i="307"/>
  <c r="Q178" i="307"/>
  <c r="P178" i="307"/>
  <c r="O178" i="307"/>
  <c r="N178" i="307"/>
  <c r="AA177" i="307"/>
  <c r="V177" i="307"/>
  <c r="U177" i="307"/>
  <c r="T177" i="307"/>
  <c r="S177" i="307"/>
  <c r="R177" i="307"/>
  <c r="Q177" i="307"/>
  <c r="P177" i="307"/>
  <c r="O177" i="307"/>
  <c r="N177" i="307"/>
  <c r="AA176" i="307"/>
  <c r="V176" i="307"/>
  <c r="U176" i="307"/>
  <c r="T176" i="307"/>
  <c r="S176" i="307"/>
  <c r="R176" i="307"/>
  <c r="Q176" i="307"/>
  <c r="P176" i="307"/>
  <c r="O176" i="307"/>
  <c r="N176" i="307"/>
  <c r="AA175" i="307"/>
  <c r="V175" i="307"/>
  <c r="U175" i="307"/>
  <c r="T175" i="307"/>
  <c r="S175" i="307"/>
  <c r="R175" i="307"/>
  <c r="Q175" i="307"/>
  <c r="P175" i="307"/>
  <c r="O175" i="307"/>
  <c r="N175" i="307"/>
  <c r="AT174" i="307"/>
  <c r="AO174" i="307"/>
  <c r="AN174" i="307"/>
  <c r="AJ174" i="307"/>
  <c r="AI174" i="307"/>
  <c r="AE174" i="307"/>
  <c r="AH174" i="307" s="1"/>
  <c r="AB174" i="307"/>
  <c r="AA174" i="307"/>
  <c r="V174" i="307"/>
  <c r="U174" i="307"/>
  <c r="T174" i="307"/>
  <c r="S174" i="307"/>
  <c r="R174" i="307"/>
  <c r="Q174" i="307"/>
  <c r="P174" i="307"/>
  <c r="O174" i="307"/>
  <c r="N174" i="307"/>
  <c r="B174" i="307"/>
  <c r="AT173" i="307"/>
  <c r="AO173" i="307"/>
  <c r="AN173" i="307"/>
  <c r="AJ173" i="307"/>
  <c r="AI173" i="307"/>
  <c r="AE173" i="307"/>
  <c r="AH173" i="307" s="1"/>
  <c r="AB173" i="307"/>
  <c r="AA173" i="307"/>
  <c r="V173" i="307"/>
  <c r="U173" i="307"/>
  <c r="T173" i="307"/>
  <c r="S173" i="307"/>
  <c r="R173" i="307"/>
  <c r="Q173" i="307"/>
  <c r="P173" i="307"/>
  <c r="O173" i="307"/>
  <c r="N173" i="307"/>
  <c r="B173" i="307"/>
  <c r="AT172" i="307"/>
  <c r="AO172" i="307"/>
  <c r="AN172" i="307"/>
  <c r="AJ172" i="307"/>
  <c r="AI172" i="307"/>
  <c r="AE172" i="307"/>
  <c r="AH172" i="307" s="1"/>
  <c r="AB172" i="307"/>
  <c r="AA172" i="307"/>
  <c r="V172" i="307"/>
  <c r="U172" i="307"/>
  <c r="T172" i="307"/>
  <c r="S172" i="307"/>
  <c r="R172" i="307"/>
  <c r="Q172" i="307"/>
  <c r="P172" i="307"/>
  <c r="O172" i="307"/>
  <c r="N172" i="307"/>
  <c r="B172" i="307"/>
  <c r="AT171" i="307"/>
  <c r="AO171" i="307"/>
  <c r="AN171" i="307"/>
  <c r="AJ171" i="307"/>
  <c r="AI171" i="307"/>
  <c r="AE171" i="307"/>
  <c r="AH171" i="307" s="1"/>
  <c r="AB171" i="307"/>
  <c r="AA171" i="307"/>
  <c r="V171" i="307"/>
  <c r="U171" i="307"/>
  <c r="T171" i="307"/>
  <c r="S171" i="307"/>
  <c r="R171" i="307"/>
  <c r="Q171" i="307"/>
  <c r="P171" i="307"/>
  <c r="O171" i="307"/>
  <c r="N171" i="307"/>
  <c r="B171" i="307"/>
  <c r="AT170" i="307"/>
  <c r="AO170" i="307"/>
  <c r="AN170" i="307"/>
  <c r="AJ170" i="307"/>
  <c r="AI170" i="307"/>
  <c r="AE170" i="307"/>
  <c r="AH170" i="307" s="1"/>
  <c r="AB170" i="307"/>
  <c r="AA170" i="307"/>
  <c r="V170" i="307"/>
  <c r="U170" i="307"/>
  <c r="T170" i="307"/>
  <c r="S170" i="307"/>
  <c r="R170" i="307"/>
  <c r="Q170" i="307"/>
  <c r="P170" i="307"/>
  <c r="O170" i="307"/>
  <c r="N170" i="307"/>
  <c r="B170" i="307"/>
  <c r="AT169" i="307"/>
  <c r="AO169" i="307"/>
  <c r="AN169" i="307"/>
  <c r="AJ169" i="307"/>
  <c r="AI169" i="307"/>
  <c r="AH169" i="307"/>
  <c r="AE169" i="307"/>
  <c r="AB169" i="307"/>
  <c r="AA169" i="307"/>
  <c r="V169" i="307"/>
  <c r="U169" i="307"/>
  <c r="T169" i="307"/>
  <c r="S169" i="307"/>
  <c r="R169" i="307"/>
  <c r="Q169" i="307"/>
  <c r="P169" i="307"/>
  <c r="O169" i="307"/>
  <c r="N169" i="307"/>
  <c r="B169" i="307"/>
  <c r="AT168" i="307"/>
  <c r="AO168" i="307"/>
  <c r="AN168" i="307"/>
  <c r="AJ168" i="307"/>
  <c r="AI168" i="307"/>
  <c r="AE168" i="307"/>
  <c r="AH168" i="307" s="1"/>
  <c r="AB168" i="307"/>
  <c r="AA168" i="307"/>
  <c r="V168" i="307"/>
  <c r="U168" i="307"/>
  <c r="T168" i="307"/>
  <c r="S168" i="307"/>
  <c r="R168" i="307"/>
  <c r="Q168" i="307"/>
  <c r="P168" i="307"/>
  <c r="O168" i="307"/>
  <c r="N168" i="307"/>
  <c r="B168" i="307"/>
  <c r="AT167" i="307"/>
  <c r="AO167" i="307"/>
  <c r="AN167" i="307"/>
  <c r="AJ167" i="307"/>
  <c r="AI167" i="307"/>
  <c r="AE167" i="307"/>
  <c r="AH167" i="307" s="1"/>
  <c r="AB167" i="307"/>
  <c r="AA167" i="307"/>
  <c r="V167" i="307"/>
  <c r="U167" i="307"/>
  <c r="T167" i="307"/>
  <c r="S167" i="307"/>
  <c r="R167" i="307"/>
  <c r="Q167" i="307"/>
  <c r="P167" i="307"/>
  <c r="O167" i="307"/>
  <c r="N167" i="307"/>
  <c r="B167" i="307"/>
  <c r="AT166" i="307"/>
  <c r="AO166" i="307"/>
  <c r="AN166" i="307"/>
  <c r="AJ166" i="307"/>
  <c r="AI166" i="307"/>
  <c r="AE166" i="307"/>
  <c r="AH166" i="307" s="1"/>
  <c r="AB166" i="307"/>
  <c r="AA166" i="307"/>
  <c r="V166" i="307"/>
  <c r="U166" i="307"/>
  <c r="T166" i="307"/>
  <c r="S166" i="307"/>
  <c r="R166" i="307"/>
  <c r="Q166" i="307"/>
  <c r="P166" i="307"/>
  <c r="O166" i="307"/>
  <c r="N166" i="307"/>
  <c r="B166" i="307"/>
  <c r="AT165" i="307"/>
  <c r="AO165" i="307"/>
  <c r="AN165" i="307"/>
  <c r="AJ165" i="307"/>
  <c r="AI165" i="307"/>
  <c r="AE165" i="307"/>
  <c r="AH165" i="307" s="1"/>
  <c r="AB165" i="307"/>
  <c r="AA165" i="307"/>
  <c r="V165" i="307"/>
  <c r="U165" i="307"/>
  <c r="T165" i="307"/>
  <c r="S165" i="307"/>
  <c r="R165" i="307"/>
  <c r="Q165" i="307"/>
  <c r="P165" i="307"/>
  <c r="O165" i="307"/>
  <c r="N165" i="307"/>
  <c r="B165" i="307"/>
  <c r="AT164" i="307"/>
  <c r="AO164" i="307"/>
  <c r="AN164" i="307"/>
  <c r="AJ164" i="307"/>
  <c r="AI164" i="307"/>
  <c r="AE164" i="307"/>
  <c r="AH164" i="307" s="1"/>
  <c r="AB164" i="307"/>
  <c r="AA164" i="307"/>
  <c r="V164" i="307"/>
  <c r="U164" i="307"/>
  <c r="T164" i="307"/>
  <c r="S164" i="307"/>
  <c r="R164" i="307"/>
  <c r="Q164" i="307"/>
  <c r="P164" i="307"/>
  <c r="O164" i="307"/>
  <c r="N164" i="307"/>
  <c r="B164" i="307"/>
  <c r="AT163" i="307"/>
  <c r="AO163" i="307"/>
  <c r="AN163" i="307"/>
  <c r="AJ163" i="307"/>
  <c r="AI163" i="307"/>
  <c r="AE163" i="307"/>
  <c r="AH163" i="307" s="1"/>
  <c r="AB163" i="307"/>
  <c r="AA163" i="307"/>
  <c r="V163" i="307"/>
  <c r="U163" i="307"/>
  <c r="T163" i="307"/>
  <c r="S163" i="307"/>
  <c r="R163" i="307"/>
  <c r="Q163" i="307"/>
  <c r="P163" i="307"/>
  <c r="O163" i="307"/>
  <c r="N163" i="307"/>
  <c r="B163" i="307"/>
  <c r="AT162" i="307"/>
  <c r="AO162" i="307"/>
  <c r="AN162" i="307"/>
  <c r="AJ162" i="307"/>
  <c r="AI162" i="307"/>
  <c r="AE162" i="307"/>
  <c r="AH162" i="307" s="1"/>
  <c r="AB162" i="307"/>
  <c r="AA162" i="307"/>
  <c r="V162" i="307"/>
  <c r="U162" i="307"/>
  <c r="T162" i="307"/>
  <c r="S162" i="307"/>
  <c r="R162" i="307"/>
  <c r="Q162" i="307"/>
  <c r="P162" i="307"/>
  <c r="O162" i="307"/>
  <c r="N162" i="307"/>
  <c r="B162" i="307"/>
  <c r="AT161" i="307"/>
  <c r="AO161" i="307"/>
  <c r="AN161" i="307"/>
  <c r="AJ161" i="307"/>
  <c r="AI161" i="307"/>
  <c r="AH161" i="307"/>
  <c r="AE161" i="307"/>
  <c r="AB161" i="307"/>
  <c r="AA161" i="307"/>
  <c r="V161" i="307"/>
  <c r="U161" i="307"/>
  <c r="T161" i="307"/>
  <c r="S161" i="307"/>
  <c r="R161" i="307"/>
  <c r="Q161" i="307"/>
  <c r="P161" i="307"/>
  <c r="O161" i="307"/>
  <c r="N161" i="307"/>
  <c r="B161" i="307"/>
  <c r="AT160" i="307"/>
  <c r="AO160" i="307"/>
  <c r="AN160" i="307"/>
  <c r="AJ160" i="307"/>
  <c r="AI160" i="307"/>
  <c r="AE160" i="307"/>
  <c r="AH160" i="307" s="1"/>
  <c r="AB160" i="307"/>
  <c r="AA160" i="307"/>
  <c r="V160" i="307"/>
  <c r="U160" i="307"/>
  <c r="T160" i="307"/>
  <c r="S160" i="307"/>
  <c r="R160" i="307"/>
  <c r="Q160" i="307"/>
  <c r="P160" i="307"/>
  <c r="O160" i="307"/>
  <c r="N160" i="307"/>
  <c r="B160" i="307"/>
  <c r="AT159" i="307"/>
  <c r="AO159" i="307"/>
  <c r="AN159" i="307"/>
  <c r="AJ159" i="307"/>
  <c r="AI159" i="307"/>
  <c r="AE159" i="307"/>
  <c r="AH159" i="307" s="1"/>
  <c r="AB159" i="307"/>
  <c r="AA159" i="307"/>
  <c r="V159" i="307"/>
  <c r="U159" i="307"/>
  <c r="T159" i="307"/>
  <c r="S159" i="307"/>
  <c r="R159" i="307"/>
  <c r="Q159" i="307"/>
  <c r="P159" i="307"/>
  <c r="O159" i="307"/>
  <c r="N159" i="307"/>
  <c r="B159" i="307"/>
  <c r="AT158" i="307"/>
  <c r="AO158" i="307"/>
  <c r="AN158" i="307"/>
  <c r="AJ158" i="307"/>
  <c r="AI158" i="307"/>
  <c r="AE158" i="307"/>
  <c r="AH158" i="307" s="1"/>
  <c r="AB158" i="307"/>
  <c r="AA158" i="307"/>
  <c r="V158" i="307"/>
  <c r="U158" i="307"/>
  <c r="T158" i="307"/>
  <c r="S158" i="307"/>
  <c r="R158" i="307"/>
  <c r="Q158" i="307"/>
  <c r="P158" i="307"/>
  <c r="O158" i="307"/>
  <c r="N158" i="307"/>
  <c r="B158" i="307"/>
  <c r="AT157" i="307"/>
  <c r="AO157" i="307"/>
  <c r="AN157" i="307"/>
  <c r="AJ157" i="307"/>
  <c r="AI157" i="307"/>
  <c r="AE157" i="307"/>
  <c r="AH157" i="307" s="1"/>
  <c r="AB157" i="307"/>
  <c r="AA157" i="307"/>
  <c r="V157" i="307"/>
  <c r="U157" i="307"/>
  <c r="T157" i="307"/>
  <c r="S157" i="307"/>
  <c r="R157" i="307"/>
  <c r="Q157" i="307"/>
  <c r="P157" i="307"/>
  <c r="O157" i="307"/>
  <c r="N157" i="307"/>
  <c r="B157" i="307"/>
  <c r="AT156" i="307"/>
  <c r="AO156" i="307"/>
  <c r="AN156" i="307"/>
  <c r="AJ156" i="307"/>
  <c r="AI156" i="307"/>
  <c r="AE156" i="307"/>
  <c r="AH156" i="307" s="1"/>
  <c r="AB156" i="307"/>
  <c r="AA156" i="307"/>
  <c r="V156" i="307"/>
  <c r="U156" i="307"/>
  <c r="T156" i="307"/>
  <c r="S156" i="307"/>
  <c r="R156" i="307"/>
  <c r="Q156" i="307"/>
  <c r="P156" i="307"/>
  <c r="O156" i="307"/>
  <c r="N156" i="307"/>
  <c r="B156" i="307"/>
  <c r="AT155" i="307"/>
  <c r="AO155" i="307"/>
  <c r="AN155" i="307"/>
  <c r="AJ155" i="307"/>
  <c r="AI155" i="307"/>
  <c r="AE155" i="307"/>
  <c r="AH155" i="307" s="1"/>
  <c r="AB155" i="307"/>
  <c r="AA155" i="307"/>
  <c r="V155" i="307"/>
  <c r="U155" i="307"/>
  <c r="T155" i="307"/>
  <c r="S155" i="307"/>
  <c r="R155" i="307"/>
  <c r="Q155" i="307"/>
  <c r="P155" i="307"/>
  <c r="O155" i="307"/>
  <c r="N155" i="307"/>
  <c r="B155" i="307"/>
  <c r="AT154" i="307"/>
  <c r="AO154" i="307"/>
  <c r="AN154" i="307"/>
  <c r="AJ154" i="307"/>
  <c r="AI154" i="307"/>
  <c r="AE154" i="307"/>
  <c r="AH154" i="307" s="1"/>
  <c r="AB154" i="307"/>
  <c r="AA154" i="307"/>
  <c r="V154" i="307"/>
  <c r="U154" i="307"/>
  <c r="T154" i="307"/>
  <c r="S154" i="307"/>
  <c r="R154" i="307"/>
  <c r="Q154" i="307"/>
  <c r="P154" i="307"/>
  <c r="O154" i="307"/>
  <c r="N154" i="307"/>
  <c r="B154" i="307"/>
  <c r="AT153" i="307"/>
  <c r="AO153" i="307"/>
  <c r="AN153" i="307"/>
  <c r="AJ153" i="307"/>
  <c r="AI153" i="307"/>
  <c r="AE153" i="307"/>
  <c r="AH153" i="307" s="1"/>
  <c r="AB153" i="307"/>
  <c r="AA153" i="307"/>
  <c r="V153" i="307"/>
  <c r="U153" i="307"/>
  <c r="T153" i="307"/>
  <c r="S153" i="307"/>
  <c r="R153" i="307"/>
  <c r="Q153" i="307"/>
  <c r="P153" i="307"/>
  <c r="O153" i="307"/>
  <c r="N153" i="307"/>
  <c r="B153" i="307"/>
  <c r="AT152" i="307"/>
  <c r="AO152" i="307"/>
  <c r="AN152" i="307"/>
  <c r="AJ152" i="307"/>
  <c r="AI152" i="307"/>
  <c r="AE152" i="307"/>
  <c r="AH152" i="307" s="1"/>
  <c r="AB152" i="307"/>
  <c r="AA152" i="307"/>
  <c r="V152" i="307"/>
  <c r="U152" i="307"/>
  <c r="T152" i="307"/>
  <c r="S152" i="307"/>
  <c r="R152" i="307"/>
  <c r="Q152" i="307"/>
  <c r="P152" i="307"/>
  <c r="O152" i="307"/>
  <c r="N152" i="307"/>
  <c r="B152" i="307"/>
  <c r="AT151" i="307"/>
  <c r="AO151" i="307"/>
  <c r="AN151" i="307"/>
  <c r="AJ151" i="307"/>
  <c r="AI151" i="307"/>
  <c r="AE151" i="307"/>
  <c r="AH151" i="307" s="1"/>
  <c r="AB151" i="307"/>
  <c r="AA151" i="307"/>
  <c r="V151" i="307"/>
  <c r="U151" i="307"/>
  <c r="T151" i="307"/>
  <c r="S151" i="307"/>
  <c r="R151" i="307"/>
  <c r="Q151" i="307"/>
  <c r="P151" i="307"/>
  <c r="O151" i="307"/>
  <c r="N151" i="307"/>
  <c r="B151" i="307"/>
  <c r="AT150" i="307"/>
  <c r="AO150" i="307"/>
  <c r="AN150" i="307"/>
  <c r="AJ150" i="307"/>
  <c r="AI150" i="307"/>
  <c r="AE150" i="307"/>
  <c r="AH150" i="307" s="1"/>
  <c r="AB150" i="307"/>
  <c r="AA150" i="307"/>
  <c r="V150" i="307"/>
  <c r="U150" i="307"/>
  <c r="T150" i="307"/>
  <c r="S150" i="307"/>
  <c r="R150" i="307"/>
  <c r="Q150" i="307"/>
  <c r="P150" i="307"/>
  <c r="O150" i="307"/>
  <c r="N150" i="307"/>
  <c r="B150" i="307"/>
  <c r="AT149" i="307"/>
  <c r="AO149" i="307"/>
  <c r="AN149" i="307"/>
  <c r="AJ149" i="307"/>
  <c r="AI149" i="307"/>
  <c r="AH149" i="307"/>
  <c r="AE149" i="307"/>
  <c r="AB149" i="307"/>
  <c r="AA149" i="307"/>
  <c r="V149" i="307"/>
  <c r="U149" i="307"/>
  <c r="T149" i="307"/>
  <c r="S149" i="307"/>
  <c r="R149" i="307"/>
  <c r="Q149" i="307"/>
  <c r="P149" i="307"/>
  <c r="O149" i="307"/>
  <c r="N149" i="307"/>
  <c r="B149" i="307"/>
  <c r="AT148" i="307"/>
  <c r="AO148" i="307"/>
  <c r="AN148" i="307"/>
  <c r="AJ148" i="307"/>
  <c r="AI148" i="307"/>
  <c r="AE148" i="307"/>
  <c r="AH148" i="307" s="1"/>
  <c r="AB148" i="307"/>
  <c r="AA148" i="307"/>
  <c r="V148" i="307"/>
  <c r="U148" i="307"/>
  <c r="T148" i="307"/>
  <c r="S148" i="307"/>
  <c r="R148" i="307"/>
  <c r="Q148" i="307"/>
  <c r="P148" i="307"/>
  <c r="O148" i="307"/>
  <c r="N148" i="307"/>
  <c r="B148" i="307"/>
  <c r="AT147" i="307"/>
  <c r="AO147" i="307"/>
  <c r="AN147" i="307"/>
  <c r="AJ147" i="307"/>
  <c r="AI147" i="307"/>
  <c r="AE147" i="307"/>
  <c r="AH147" i="307" s="1"/>
  <c r="AB147" i="307"/>
  <c r="AA147" i="307"/>
  <c r="V147" i="307"/>
  <c r="U147" i="307"/>
  <c r="T147" i="307"/>
  <c r="S147" i="307"/>
  <c r="R147" i="307"/>
  <c r="Q147" i="307"/>
  <c r="P147" i="307"/>
  <c r="O147" i="307"/>
  <c r="N147" i="307"/>
  <c r="B147" i="307"/>
  <c r="AT146" i="307"/>
  <c r="AO146" i="307"/>
  <c r="AN146" i="307"/>
  <c r="AJ146" i="307"/>
  <c r="AI146" i="307"/>
  <c r="AE146" i="307"/>
  <c r="AH146" i="307" s="1"/>
  <c r="AB146" i="307"/>
  <c r="AA146" i="307"/>
  <c r="V146" i="307"/>
  <c r="U146" i="307"/>
  <c r="T146" i="307"/>
  <c r="S146" i="307"/>
  <c r="R146" i="307"/>
  <c r="Q146" i="307"/>
  <c r="P146" i="307"/>
  <c r="O146" i="307"/>
  <c r="N146" i="307"/>
  <c r="B146" i="307"/>
  <c r="AT145" i="307"/>
  <c r="AO145" i="307"/>
  <c r="AN145" i="307"/>
  <c r="AJ145" i="307"/>
  <c r="AI145" i="307"/>
  <c r="AH145" i="307"/>
  <c r="AE145" i="307"/>
  <c r="AB145" i="307"/>
  <c r="AA145" i="307"/>
  <c r="V145" i="307"/>
  <c r="U145" i="307"/>
  <c r="T145" i="307"/>
  <c r="S145" i="307"/>
  <c r="R145" i="307"/>
  <c r="Q145" i="307"/>
  <c r="P145" i="307"/>
  <c r="O145" i="307"/>
  <c r="N145" i="307"/>
  <c r="B145" i="307"/>
  <c r="AT144" i="307"/>
  <c r="AO144" i="307"/>
  <c r="AN144" i="307"/>
  <c r="AJ144" i="307"/>
  <c r="AI144" i="307"/>
  <c r="AE144" i="307"/>
  <c r="AH144" i="307" s="1"/>
  <c r="AB144" i="307"/>
  <c r="AA144" i="307"/>
  <c r="V144" i="307"/>
  <c r="U144" i="307"/>
  <c r="T144" i="307"/>
  <c r="S144" i="307"/>
  <c r="R144" i="307"/>
  <c r="Q144" i="307"/>
  <c r="P144" i="307"/>
  <c r="O144" i="307"/>
  <c r="N144" i="307"/>
  <c r="B144" i="307"/>
  <c r="AT143" i="307"/>
  <c r="AO143" i="307"/>
  <c r="AN143" i="307"/>
  <c r="AJ143" i="307"/>
  <c r="AI143" i="307"/>
  <c r="AE143" i="307"/>
  <c r="AH143" i="307" s="1"/>
  <c r="AB143" i="307"/>
  <c r="AA143" i="307"/>
  <c r="V143" i="307"/>
  <c r="U143" i="307"/>
  <c r="T143" i="307"/>
  <c r="S143" i="307"/>
  <c r="R143" i="307"/>
  <c r="Q143" i="307"/>
  <c r="P143" i="307"/>
  <c r="O143" i="307"/>
  <c r="N143" i="307"/>
  <c r="B143" i="307"/>
  <c r="AT142" i="307"/>
  <c r="AO142" i="307"/>
  <c r="AN142" i="307"/>
  <c r="AJ142" i="307"/>
  <c r="AI142" i="307"/>
  <c r="AE142" i="307"/>
  <c r="AH142" i="307" s="1"/>
  <c r="AB142" i="307"/>
  <c r="AA142" i="307"/>
  <c r="V142" i="307"/>
  <c r="U142" i="307"/>
  <c r="T142" i="307"/>
  <c r="S142" i="307"/>
  <c r="R142" i="307"/>
  <c r="Q142" i="307"/>
  <c r="P142" i="307"/>
  <c r="O142" i="307"/>
  <c r="N142" i="307"/>
  <c r="B142" i="307"/>
  <c r="AT141" i="307"/>
  <c r="AO141" i="307"/>
  <c r="AN141" i="307"/>
  <c r="AJ141" i="307"/>
  <c r="AI141" i="307"/>
  <c r="AH141" i="307"/>
  <c r="AE141" i="307"/>
  <c r="AB141" i="307"/>
  <c r="AA141" i="307"/>
  <c r="V141" i="307"/>
  <c r="U141" i="307"/>
  <c r="T141" i="307"/>
  <c r="S141" i="307"/>
  <c r="R141" i="307"/>
  <c r="Q141" i="307"/>
  <c r="P141" i="307"/>
  <c r="O141" i="307"/>
  <c r="N141" i="307"/>
  <c r="B141" i="307"/>
  <c r="AT140" i="307"/>
  <c r="AO140" i="307"/>
  <c r="AN140" i="307"/>
  <c r="AJ140" i="307"/>
  <c r="AI140" i="307"/>
  <c r="AE140" i="307"/>
  <c r="AH140" i="307" s="1"/>
  <c r="AB140" i="307"/>
  <c r="AA140" i="307"/>
  <c r="V140" i="307"/>
  <c r="U140" i="307"/>
  <c r="T140" i="307"/>
  <c r="S140" i="307"/>
  <c r="R140" i="307"/>
  <c r="Q140" i="307"/>
  <c r="P140" i="307"/>
  <c r="O140" i="307"/>
  <c r="N140" i="307"/>
  <c r="B140" i="307"/>
  <c r="AT139" i="307"/>
  <c r="AO139" i="307"/>
  <c r="AN139" i="307"/>
  <c r="AJ139" i="307"/>
  <c r="AI139" i="307"/>
  <c r="AE139" i="307"/>
  <c r="AH139" i="307" s="1"/>
  <c r="AB139" i="307"/>
  <c r="AA139" i="307"/>
  <c r="V139" i="307"/>
  <c r="U139" i="307"/>
  <c r="T139" i="307"/>
  <c r="S139" i="307"/>
  <c r="R139" i="307"/>
  <c r="Q139" i="307"/>
  <c r="P139" i="307"/>
  <c r="O139" i="307"/>
  <c r="N139" i="307"/>
  <c r="B139" i="307"/>
  <c r="AT138" i="307"/>
  <c r="AO138" i="307"/>
  <c r="AN138" i="307"/>
  <c r="AJ138" i="307"/>
  <c r="AI138" i="307"/>
  <c r="AE138" i="307"/>
  <c r="AH138" i="307" s="1"/>
  <c r="AB138" i="307"/>
  <c r="AA138" i="307"/>
  <c r="V138" i="307"/>
  <c r="U138" i="307"/>
  <c r="T138" i="307"/>
  <c r="S138" i="307"/>
  <c r="R138" i="307"/>
  <c r="Q138" i="307"/>
  <c r="P138" i="307"/>
  <c r="O138" i="307"/>
  <c r="N138" i="307"/>
  <c r="B138" i="307"/>
  <c r="AT137" i="307"/>
  <c r="AO137" i="307"/>
  <c r="AN137" i="307"/>
  <c r="AJ137" i="307"/>
  <c r="AI137" i="307"/>
  <c r="AE137" i="307"/>
  <c r="AH137" i="307" s="1"/>
  <c r="AB137" i="307"/>
  <c r="AA137" i="307"/>
  <c r="V137" i="307"/>
  <c r="U137" i="307"/>
  <c r="T137" i="307"/>
  <c r="S137" i="307"/>
  <c r="R137" i="307"/>
  <c r="Q137" i="307"/>
  <c r="P137" i="307"/>
  <c r="O137" i="307"/>
  <c r="N137" i="307"/>
  <c r="B137" i="307"/>
  <c r="AT136" i="307"/>
  <c r="AO136" i="307"/>
  <c r="AN136" i="307"/>
  <c r="AJ136" i="307"/>
  <c r="AI136" i="307"/>
  <c r="AE136" i="307"/>
  <c r="AH136" i="307" s="1"/>
  <c r="AB136" i="307"/>
  <c r="AA136" i="307"/>
  <c r="V136" i="307"/>
  <c r="U136" i="307"/>
  <c r="T136" i="307"/>
  <c r="S136" i="307"/>
  <c r="R136" i="307"/>
  <c r="Q136" i="307"/>
  <c r="P136" i="307"/>
  <c r="O136" i="307"/>
  <c r="N136" i="307"/>
  <c r="B136" i="307"/>
  <c r="AT135" i="307"/>
  <c r="AO135" i="307"/>
  <c r="AN135" i="307"/>
  <c r="AJ135" i="307"/>
  <c r="AI135" i="307"/>
  <c r="AE135" i="307"/>
  <c r="AH135" i="307" s="1"/>
  <c r="AB135" i="307"/>
  <c r="AA135" i="307"/>
  <c r="V135" i="307"/>
  <c r="U135" i="307"/>
  <c r="T135" i="307"/>
  <c r="S135" i="307"/>
  <c r="R135" i="307"/>
  <c r="Q135" i="307"/>
  <c r="P135" i="307"/>
  <c r="O135" i="307"/>
  <c r="N135" i="307"/>
  <c r="B135" i="307"/>
  <c r="AT134" i="307"/>
  <c r="AO134" i="307"/>
  <c r="AN134" i="307"/>
  <c r="AJ134" i="307"/>
  <c r="AI134" i="307"/>
  <c r="AE134" i="307"/>
  <c r="AH134" i="307" s="1"/>
  <c r="AB134" i="307"/>
  <c r="AA134" i="307"/>
  <c r="V134" i="307"/>
  <c r="U134" i="307"/>
  <c r="T134" i="307"/>
  <c r="S134" i="307"/>
  <c r="R134" i="307"/>
  <c r="Q134" i="307"/>
  <c r="P134" i="307"/>
  <c r="O134" i="307"/>
  <c r="N134" i="307"/>
  <c r="B134" i="307"/>
  <c r="AT133" i="307"/>
  <c r="AO133" i="307"/>
  <c r="AN133" i="307"/>
  <c r="AJ133" i="307"/>
  <c r="AI133" i="307"/>
  <c r="AH133" i="307"/>
  <c r="AE133" i="307"/>
  <c r="AB133" i="307"/>
  <c r="AA133" i="307"/>
  <c r="V133" i="307"/>
  <c r="U133" i="307"/>
  <c r="T133" i="307"/>
  <c r="S133" i="307"/>
  <c r="R133" i="307"/>
  <c r="Q133" i="307"/>
  <c r="P133" i="307"/>
  <c r="O133" i="307"/>
  <c r="N133" i="307"/>
  <c r="B133" i="307"/>
  <c r="AT132" i="307"/>
  <c r="AO132" i="307"/>
  <c r="AN132" i="307"/>
  <c r="AJ132" i="307"/>
  <c r="AI132" i="307"/>
  <c r="AE132" i="307"/>
  <c r="AH132" i="307" s="1"/>
  <c r="AB132" i="307"/>
  <c r="AA132" i="307"/>
  <c r="V132" i="307"/>
  <c r="U132" i="307"/>
  <c r="T132" i="307"/>
  <c r="S132" i="307"/>
  <c r="R132" i="307"/>
  <c r="Q132" i="307"/>
  <c r="P132" i="307"/>
  <c r="O132" i="307"/>
  <c r="N132" i="307"/>
  <c r="B132" i="307"/>
  <c r="AT131" i="307"/>
  <c r="AO131" i="307"/>
  <c r="AN131" i="307"/>
  <c r="AJ131" i="307"/>
  <c r="AI131" i="307"/>
  <c r="AE131" i="307"/>
  <c r="AH131" i="307" s="1"/>
  <c r="AB131" i="307"/>
  <c r="AA131" i="307"/>
  <c r="V131" i="307"/>
  <c r="U131" i="307"/>
  <c r="T131" i="307"/>
  <c r="S131" i="307"/>
  <c r="R131" i="307"/>
  <c r="Q131" i="307"/>
  <c r="P131" i="307"/>
  <c r="O131" i="307"/>
  <c r="N131" i="307"/>
  <c r="B131" i="307"/>
  <c r="AT130" i="307"/>
  <c r="AO130" i="307"/>
  <c r="AN130" i="307"/>
  <c r="AJ130" i="307"/>
  <c r="AI130" i="307"/>
  <c r="AE130" i="307"/>
  <c r="AH130" i="307" s="1"/>
  <c r="AB130" i="307"/>
  <c r="AA130" i="307"/>
  <c r="V130" i="307"/>
  <c r="U130" i="307"/>
  <c r="T130" i="307"/>
  <c r="S130" i="307"/>
  <c r="R130" i="307"/>
  <c r="Q130" i="307"/>
  <c r="P130" i="307"/>
  <c r="O130" i="307"/>
  <c r="N130" i="307"/>
  <c r="B130" i="307"/>
  <c r="AT129" i="307"/>
  <c r="AO129" i="307"/>
  <c r="AN129" i="307"/>
  <c r="AJ129" i="307"/>
  <c r="AI129" i="307"/>
  <c r="AH129" i="307"/>
  <c r="AE129" i="307"/>
  <c r="AB129" i="307"/>
  <c r="AA129" i="307"/>
  <c r="V129" i="307"/>
  <c r="U129" i="307"/>
  <c r="T129" i="307"/>
  <c r="S129" i="307"/>
  <c r="R129" i="307"/>
  <c r="Q129" i="307"/>
  <c r="P129" i="307"/>
  <c r="O129" i="307"/>
  <c r="N129" i="307"/>
  <c r="B129" i="307"/>
  <c r="AT128" i="307"/>
  <c r="AO128" i="307"/>
  <c r="AN128" i="307"/>
  <c r="AJ128" i="307"/>
  <c r="AI128" i="307"/>
  <c r="AE128" i="307"/>
  <c r="AH128" i="307" s="1"/>
  <c r="AB128" i="307"/>
  <c r="AA128" i="307"/>
  <c r="V128" i="307"/>
  <c r="U128" i="307"/>
  <c r="T128" i="307"/>
  <c r="S128" i="307"/>
  <c r="R128" i="307"/>
  <c r="Q128" i="307"/>
  <c r="P128" i="307"/>
  <c r="O128" i="307"/>
  <c r="N128" i="307"/>
  <c r="B128" i="307"/>
  <c r="AT127" i="307"/>
  <c r="AO127" i="307"/>
  <c r="AN127" i="307"/>
  <c r="AJ127" i="307"/>
  <c r="AI127" i="307"/>
  <c r="AE127" i="307"/>
  <c r="AH127" i="307" s="1"/>
  <c r="AB127" i="307"/>
  <c r="AA127" i="307"/>
  <c r="V127" i="307"/>
  <c r="U127" i="307"/>
  <c r="T127" i="307"/>
  <c r="S127" i="307"/>
  <c r="R127" i="307"/>
  <c r="Q127" i="307"/>
  <c r="P127" i="307"/>
  <c r="O127" i="307"/>
  <c r="N127" i="307"/>
  <c r="B127" i="307"/>
  <c r="AT126" i="307"/>
  <c r="AO126" i="307"/>
  <c r="AN126" i="307"/>
  <c r="AJ126" i="307"/>
  <c r="AI126" i="307"/>
  <c r="AE126" i="307"/>
  <c r="AH126" i="307" s="1"/>
  <c r="AB126" i="307"/>
  <c r="AA126" i="307"/>
  <c r="V126" i="307"/>
  <c r="U126" i="307"/>
  <c r="T126" i="307"/>
  <c r="S126" i="307"/>
  <c r="R126" i="307"/>
  <c r="Q126" i="307"/>
  <c r="P126" i="307"/>
  <c r="O126" i="307"/>
  <c r="N126" i="307"/>
  <c r="B126" i="307"/>
  <c r="AT125" i="307"/>
  <c r="AO125" i="307"/>
  <c r="AN125" i="307"/>
  <c r="AJ125" i="307"/>
  <c r="AI125" i="307"/>
  <c r="AE125" i="307"/>
  <c r="AH125" i="307" s="1"/>
  <c r="AB125" i="307"/>
  <c r="AA125" i="307"/>
  <c r="V125" i="307"/>
  <c r="U125" i="307"/>
  <c r="T125" i="307"/>
  <c r="S125" i="307"/>
  <c r="R125" i="307"/>
  <c r="Q125" i="307"/>
  <c r="P125" i="307"/>
  <c r="O125" i="307"/>
  <c r="N125" i="307"/>
  <c r="B125" i="307"/>
  <c r="AT124" i="307"/>
  <c r="AO124" i="307"/>
  <c r="AN124" i="307"/>
  <c r="AJ124" i="307"/>
  <c r="AI124" i="307"/>
  <c r="AH124" i="307"/>
  <c r="AE124" i="307"/>
  <c r="AB124" i="307"/>
  <c r="AA124" i="307"/>
  <c r="V124" i="307"/>
  <c r="U124" i="307"/>
  <c r="T124" i="307"/>
  <c r="S124" i="307"/>
  <c r="R124" i="307"/>
  <c r="Q124" i="307"/>
  <c r="P124" i="307"/>
  <c r="O124" i="307"/>
  <c r="N124" i="307"/>
  <c r="B124" i="307"/>
  <c r="AT123" i="307"/>
  <c r="AO123" i="307"/>
  <c r="AN123" i="307"/>
  <c r="AJ123" i="307"/>
  <c r="AI123" i="307"/>
  <c r="AE123" i="307"/>
  <c r="AH123" i="307" s="1"/>
  <c r="AB123" i="307"/>
  <c r="AA123" i="307"/>
  <c r="V123" i="307"/>
  <c r="U123" i="307"/>
  <c r="T123" i="307"/>
  <c r="S123" i="307"/>
  <c r="R123" i="307"/>
  <c r="Q123" i="307"/>
  <c r="P123" i="307"/>
  <c r="O123" i="307"/>
  <c r="N123" i="307"/>
  <c r="B123" i="307"/>
  <c r="AT122" i="307"/>
  <c r="AO122" i="307"/>
  <c r="AN122" i="307"/>
  <c r="AJ122" i="307"/>
  <c r="AI122" i="307"/>
  <c r="AE122" i="307"/>
  <c r="AH122" i="307" s="1"/>
  <c r="AB122" i="307"/>
  <c r="AA122" i="307"/>
  <c r="V122" i="307"/>
  <c r="U122" i="307"/>
  <c r="T122" i="307"/>
  <c r="S122" i="307"/>
  <c r="R122" i="307"/>
  <c r="Q122" i="307"/>
  <c r="P122" i="307"/>
  <c r="O122" i="307"/>
  <c r="N122" i="307"/>
  <c r="B122" i="307"/>
  <c r="AT121" i="307"/>
  <c r="AO121" i="307"/>
  <c r="AN121" i="307"/>
  <c r="AJ121" i="307"/>
  <c r="AI121" i="307"/>
  <c r="AE121" i="307"/>
  <c r="AH121" i="307" s="1"/>
  <c r="AB121" i="307"/>
  <c r="AA121" i="307"/>
  <c r="V121" i="307"/>
  <c r="U121" i="307"/>
  <c r="T121" i="307"/>
  <c r="S121" i="307"/>
  <c r="R121" i="307"/>
  <c r="Q121" i="307"/>
  <c r="P121" i="307"/>
  <c r="O121" i="307"/>
  <c r="N121" i="307"/>
  <c r="B121" i="307"/>
  <c r="AT120" i="307"/>
  <c r="AO120" i="307"/>
  <c r="AN120" i="307"/>
  <c r="AJ120" i="307"/>
  <c r="AI120" i="307"/>
  <c r="AE120" i="307"/>
  <c r="AH120" i="307" s="1"/>
  <c r="AB120" i="307"/>
  <c r="AA120" i="307"/>
  <c r="V120" i="307"/>
  <c r="U120" i="307"/>
  <c r="T120" i="307"/>
  <c r="S120" i="307"/>
  <c r="R120" i="307"/>
  <c r="Q120" i="307"/>
  <c r="P120" i="307"/>
  <c r="O120" i="307"/>
  <c r="N120" i="307"/>
  <c r="B120" i="307"/>
  <c r="AT119" i="307"/>
  <c r="AO119" i="307"/>
  <c r="AN119" i="307"/>
  <c r="AJ119" i="307"/>
  <c r="AI119" i="307"/>
  <c r="AE119" i="307"/>
  <c r="AH119" i="307" s="1"/>
  <c r="AB119" i="307"/>
  <c r="AA119" i="307"/>
  <c r="V119" i="307"/>
  <c r="U119" i="307"/>
  <c r="T119" i="307"/>
  <c r="S119" i="307"/>
  <c r="R119" i="307"/>
  <c r="Q119" i="307"/>
  <c r="P119" i="307"/>
  <c r="O119" i="307"/>
  <c r="N119" i="307"/>
  <c r="B119" i="307"/>
  <c r="AT118" i="307"/>
  <c r="AO118" i="307"/>
  <c r="AN118" i="307"/>
  <c r="AJ118" i="307"/>
  <c r="AI118" i="307"/>
  <c r="AE118" i="307"/>
  <c r="AB118" i="307"/>
  <c r="AA118" i="307"/>
  <c r="V118" i="307"/>
  <c r="U118" i="307"/>
  <c r="T118" i="307"/>
  <c r="S118" i="307"/>
  <c r="R118" i="307"/>
  <c r="Q118" i="307"/>
  <c r="P118" i="307"/>
  <c r="O118" i="307"/>
  <c r="N118" i="307"/>
  <c r="B118" i="307"/>
  <c r="AT117" i="307"/>
  <c r="AO117" i="307"/>
  <c r="AN117" i="307"/>
  <c r="AJ117" i="307"/>
  <c r="AI117" i="307"/>
  <c r="AE117" i="307"/>
  <c r="AH117" i="307" s="1"/>
  <c r="AB117" i="307"/>
  <c r="AA117" i="307"/>
  <c r="V117" i="307"/>
  <c r="U117" i="307"/>
  <c r="T117" i="307"/>
  <c r="S117" i="307"/>
  <c r="R117" i="307"/>
  <c r="Q117" i="307"/>
  <c r="P117" i="307"/>
  <c r="O117" i="307"/>
  <c r="N117" i="307"/>
  <c r="B117" i="307"/>
  <c r="AT116" i="307"/>
  <c r="AO116" i="307"/>
  <c r="AN116" i="307"/>
  <c r="AJ116" i="307"/>
  <c r="AI116" i="307"/>
  <c r="AH116" i="307"/>
  <c r="AE116" i="307"/>
  <c r="AB116" i="307"/>
  <c r="AA116" i="307"/>
  <c r="V116" i="307"/>
  <c r="U116" i="307"/>
  <c r="T116" i="307"/>
  <c r="S116" i="307"/>
  <c r="R116" i="307"/>
  <c r="Q116" i="307"/>
  <c r="P116" i="307"/>
  <c r="O116" i="307"/>
  <c r="N116" i="307"/>
  <c r="B116" i="307"/>
  <c r="AT115" i="307"/>
  <c r="AO115" i="307"/>
  <c r="AN115" i="307"/>
  <c r="AJ115" i="307"/>
  <c r="AI115" i="307"/>
  <c r="AE115" i="307"/>
  <c r="AH115" i="307" s="1"/>
  <c r="AB115" i="307"/>
  <c r="AA115" i="307"/>
  <c r="V115" i="307"/>
  <c r="U115" i="307"/>
  <c r="T115" i="307"/>
  <c r="S115" i="307"/>
  <c r="R115" i="307"/>
  <c r="Q115" i="307"/>
  <c r="P115" i="307"/>
  <c r="O115" i="307"/>
  <c r="N115" i="307"/>
  <c r="B115" i="307"/>
  <c r="AS114" i="307"/>
  <c r="AR114" i="307"/>
  <c r="AQ114" i="307"/>
  <c r="AP114" i="307"/>
  <c r="AM114" i="307"/>
  <c r="AL114" i="307"/>
  <c r="AK114" i="307"/>
  <c r="AG114" i="307"/>
  <c r="AF114" i="307"/>
  <c r="AD114" i="307"/>
  <c r="AC114" i="307"/>
  <c r="AA114" i="307"/>
  <c r="Z114" i="307"/>
  <c r="Y114" i="307"/>
  <c r="X114" i="307"/>
  <c r="W114" i="307"/>
  <c r="V114" i="307"/>
  <c r="U114" i="307"/>
  <c r="T114" i="307"/>
  <c r="S114" i="307"/>
  <c r="R114" i="307"/>
  <c r="Q114" i="307"/>
  <c r="P114" i="307"/>
  <c r="O114" i="307"/>
  <c r="N114" i="307"/>
  <c r="M114" i="307"/>
  <c r="L114" i="307"/>
  <c r="K114" i="307"/>
  <c r="J114" i="307"/>
  <c r="I114" i="307"/>
  <c r="H114" i="307"/>
  <c r="G114" i="307"/>
  <c r="F114" i="307"/>
  <c r="E114" i="307"/>
  <c r="AO113" i="307"/>
  <c r="AN113" i="307"/>
  <c r="AJ113" i="307"/>
  <c r="AI113" i="307"/>
  <c r="AD113" i="307"/>
  <c r="AC113" i="307"/>
  <c r="AB113" i="307"/>
  <c r="AE113" i="307" s="1"/>
  <c r="AH113" i="307" s="1"/>
  <c r="AA113" i="307"/>
  <c r="V113" i="307"/>
  <c r="U113" i="307"/>
  <c r="T113" i="307"/>
  <c r="S113" i="307"/>
  <c r="R113" i="307"/>
  <c r="Q113" i="307"/>
  <c r="P113" i="307"/>
  <c r="O113" i="307"/>
  <c r="N113" i="307"/>
  <c r="B113" i="307"/>
  <c r="AO112" i="307"/>
  <c r="AN112" i="307"/>
  <c r="AJ112" i="307"/>
  <c r="AI112" i="307"/>
  <c r="AD112" i="307"/>
  <c r="AC112" i="307"/>
  <c r="AB112" i="307"/>
  <c r="AA112" i="307"/>
  <c r="V112" i="307"/>
  <c r="U112" i="307"/>
  <c r="T112" i="307"/>
  <c r="S112" i="307"/>
  <c r="R112" i="307"/>
  <c r="Q112" i="307"/>
  <c r="P112" i="307"/>
  <c r="O112" i="307"/>
  <c r="N112" i="307"/>
  <c r="B112" i="307"/>
  <c r="AT111" i="307"/>
  <c r="AO111" i="307"/>
  <c r="AN111" i="307"/>
  <c r="AJ111" i="307"/>
  <c r="AI111" i="307"/>
  <c r="AD111" i="307"/>
  <c r="AC111" i="307"/>
  <c r="AB111" i="307"/>
  <c r="AA111" i="307"/>
  <c r="V111" i="307"/>
  <c r="U111" i="307"/>
  <c r="T111" i="307"/>
  <c r="S111" i="307"/>
  <c r="R111" i="307"/>
  <c r="Q111" i="307"/>
  <c r="P111" i="307"/>
  <c r="O111" i="307"/>
  <c r="N111" i="307"/>
  <c r="B111" i="307"/>
  <c r="AT110" i="307"/>
  <c r="AO110" i="307"/>
  <c r="AN110" i="307"/>
  <c r="AJ110" i="307"/>
  <c r="AI110" i="307"/>
  <c r="AD110" i="307"/>
  <c r="AC110" i="307"/>
  <c r="AB110" i="307"/>
  <c r="AA110" i="307"/>
  <c r="V110" i="307"/>
  <c r="U110" i="307"/>
  <c r="T110" i="307"/>
  <c r="S110" i="307"/>
  <c r="R110" i="307"/>
  <c r="Q110" i="307"/>
  <c r="P110" i="307"/>
  <c r="O110" i="307"/>
  <c r="N110" i="307"/>
  <c r="B110" i="307"/>
  <c r="AT109" i="307"/>
  <c r="AO109" i="307"/>
  <c r="AN109" i="307"/>
  <c r="AJ109" i="307"/>
  <c r="AI109" i="307"/>
  <c r="AD109" i="307"/>
  <c r="AC109" i="307"/>
  <c r="AB109" i="307"/>
  <c r="AA109" i="307"/>
  <c r="V109" i="307"/>
  <c r="U109" i="307"/>
  <c r="T109" i="307"/>
  <c r="S109" i="307"/>
  <c r="R109" i="307"/>
  <c r="Q109" i="307"/>
  <c r="P109" i="307"/>
  <c r="O109" i="307"/>
  <c r="N109" i="307"/>
  <c r="B109" i="307"/>
  <c r="AT108" i="307"/>
  <c r="AO108" i="307"/>
  <c r="AN108" i="307"/>
  <c r="AJ108" i="307"/>
  <c r="AI108" i="307"/>
  <c r="AD108" i="307"/>
  <c r="AC108" i="307"/>
  <c r="AB108" i="307"/>
  <c r="AE108" i="307" s="1"/>
  <c r="AH108" i="307" s="1"/>
  <c r="AA108" i="307"/>
  <c r="V108" i="307"/>
  <c r="U108" i="307"/>
  <c r="T108" i="307"/>
  <c r="S108" i="307"/>
  <c r="R108" i="307"/>
  <c r="Q108" i="307"/>
  <c r="P108" i="307"/>
  <c r="O108" i="307"/>
  <c r="N108" i="307"/>
  <c r="B108" i="307"/>
  <c r="AT107" i="307"/>
  <c r="AO107" i="307"/>
  <c r="AN107" i="307"/>
  <c r="AJ107" i="307"/>
  <c r="AI107" i="307"/>
  <c r="AD107" i="307"/>
  <c r="AC107" i="307"/>
  <c r="AB107" i="307"/>
  <c r="AA107" i="307"/>
  <c r="V107" i="307"/>
  <c r="U107" i="307"/>
  <c r="T107" i="307"/>
  <c r="S107" i="307"/>
  <c r="R107" i="307"/>
  <c r="Q107" i="307"/>
  <c r="P107" i="307"/>
  <c r="O107" i="307"/>
  <c r="N107" i="307"/>
  <c r="B107" i="307"/>
  <c r="AT106" i="307"/>
  <c r="AO106" i="307"/>
  <c r="AN106" i="307"/>
  <c r="AJ106" i="307"/>
  <c r="AI106" i="307"/>
  <c r="AD106" i="307"/>
  <c r="AC106" i="307"/>
  <c r="AB106" i="307"/>
  <c r="AA106" i="307"/>
  <c r="V106" i="307"/>
  <c r="U106" i="307"/>
  <c r="T106" i="307"/>
  <c r="S106" i="307"/>
  <c r="R106" i="307"/>
  <c r="Q106" i="307"/>
  <c r="P106" i="307"/>
  <c r="O106" i="307"/>
  <c r="N106" i="307"/>
  <c r="B106" i="307"/>
  <c r="AT105" i="307"/>
  <c r="AO105" i="307"/>
  <c r="AN105" i="307"/>
  <c r="AJ105" i="307"/>
  <c r="AI105" i="307"/>
  <c r="AD105" i="307"/>
  <c r="AC105" i="307"/>
  <c r="AB105" i="307"/>
  <c r="AA105" i="307"/>
  <c r="V105" i="307"/>
  <c r="U105" i="307"/>
  <c r="T105" i="307"/>
  <c r="S105" i="307"/>
  <c r="R105" i="307"/>
  <c r="Q105" i="307"/>
  <c r="P105" i="307"/>
  <c r="O105" i="307"/>
  <c r="N105" i="307"/>
  <c r="B105" i="307"/>
  <c r="AT104" i="307"/>
  <c r="AO104" i="307"/>
  <c r="AN104" i="307"/>
  <c r="AJ104" i="307"/>
  <c r="AI104" i="307"/>
  <c r="AD104" i="307"/>
  <c r="AC104" i="307"/>
  <c r="AB104" i="307"/>
  <c r="AA104" i="307"/>
  <c r="V104" i="307"/>
  <c r="U104" i="307"/>
  <c r="T104" i="307"/>
  <c r="S104" i="307"/>
  <c r="R104" i="307"/>
  <c r="Q104" i="307"/>
  <c r="P104" i="307"/>
  <c r="O104" i="307"/>
  <c r="N104" i="307"/>
  <c r="B104" i="307"/>
  <c r="AT103" i="307"/>
  <c r="AO103" i="307"/>
  <c r="AN103" i="307"/>
  <c r="AJ103" i="307"/>
  <c r="AI103" i="307"/>
  <c r="AD103" i="307"/>
  <c r="AC103" i="307"/>
  <c r="AB103" i="307"/>
  <c r="AA103" i="307"/>
  <c r="V103" i="307"/>
  <c r="U103" i="307"/>
  <c r="T103" i="307"/>
  <c r="S103" i="307"/>
  <c r="R103" i="307"/>
  <c r="Q103" i="307"/>
  <c r="P103" i="307"/>
  <c r="O103" i="307"/>
  <c r="N103" i="307"/>
  <c r="B103" i="307"/>
  <c r="AT102" i="307"/>
  <c r="AO102" i="307"/>
  <c r="AN102" i="307"/>
  <c r="AJ102" i="307"/>
  <c r="AI102" i="307"/>
  <c r="AD102" i="307"/>
  <c r="AC102" i="307"/>
  <c r="AB102" i="307"/>
  <c r="AA102" i="307"/>
  <c r="V102" i="307"/>
  <c r="U102" i="307"/>
  <c r="T102" i="307"/>
  <c r="S102" i="307"/>
  <c r="R102" i="307"/>
  <c r="Q102" i="307"/>
  <c r="P102" i="307"/>
  <c r="O102" i="307"/>
  <c r="N102" i="307"/>
  <c r="B102" i="307"/>
  <c r="AT101" i="307"/>
  <c r="AO101" i="307"/>
  <c r="AN101" i="307"/>
  <c r="AJ101" i="307"/>
  <c r="AI101" i="307"/>
  <c r="AD101" i="307"/>
  <c r="AC101" i="307"/>
  <c r="AB101" i="307"/>
  <c r="AA101" i="307"/>
  <c r="V101" i="307"/>
  <c r="U101" i="307"/>
  <c r="T101" i="307"/>
  <c r="S101" i="307"/>
  <c r="R101" i="307"/>
  <c r="Q101" i="307"/>
  <c r="P101" i="307"/>
  <c r="O101" i="307"/>
  <c r="N101" i="307"/>
  <c r="B101" i="307"/>
  <c r="AT100" i="307"/>
  <c r="AO100" i="307"/>
  <c r="AN100" i="307"/>
  <c r="AJ100" i="307"/>
  <c r="AI100" i="307"/>
  <c r="AD100" i="307"/>
  <c r="AC100" i="307"/>
  <c r="AE100" i="307" s="1"/>
  <c r="AH100" i="307" s="1"/>
  <c r="AB100" i="307"/>
  <c r="AA100" i="307"/>
  <c r="V100" i="307"/>
  <c r="U100" i="307"/>
  <c r="T100" i="307"/>
  <c r="S100" i="307"/>
  <c r="R100" i="307"/>
  <c r="Q100" i="307"/>
  <c r="P100" i="307"/>
  <c r="O100" i="307"/>
  <c r="N100" i="307"/>
  <c r="B100" i="307"/>
  <c r="AT99" i="307"/>
  <c r="AO99" i="307"/>
  <c r="AN99" i="307"/>
  <c r="AJ99" i="307"/>
  <c r="AI99" i="307"/>
  <c r="AD99" i="307"/>
  <c r="AC99" i="307"/>
  <c r="AB99" i="307"/>
  <c r="AE99" i="307" s="1"/>
  <c r="AH99" i="307" s="1"/>
  <c r="AA99" i="307"/>
  <c r="V99" i="307"/>
  <c r="U99" i="307"/>
  <c r="T99" i="307"/>
  <c r="S99" i="307"/>
  <c r="R99" i="307"/>
  <c r="Q99" i="307"/>
  <c r="P99" i="307"/>
  <c r="O99" i="307"/>
  <c r="N99" i="307"/>
  <c r="B99" i="307"/>
  <c r="AT98" i="307"/>
  <c r="AO98" i="307"/>
  <c r="AN98" i="307"/>
  <c r="AJ98" i="307"/>
  <c r="AI98" i="307"/>
  <c r="AD98" i="307"/>
  <c r="AC98" i="307"/>
  <c r="AB98" i="307"/>
  <c r="AA98" i="307"/>
  <c r="V98" i="307"/>
  <c r="U98" i="307"/>
  <c r="T98" i="307"/>
  <c r="S98" i="307"/>
  <c r="R98" i="307"/>
  <c r="Q98" i="307"/>
  <c r="P98" i="307"/>
  <c r="O98" i="307"/>
  <c r="N98" i="307"/>
  <c r="B98" i="307"/>
  <c r="AT97" i="307"/>
  <c r="AO97" i="307"/>
  <c r="AN97" i="307"/>
  <c r="AJ97" i="307"/>
  <c r="AI97" i="307"/>
  <c r="AD97" i="307"/>
  <c r="AE97" i="307" s="1"/>
  <c r="AH97" i="307" s="1"/>
  <c r="AC97" i="307"/>
  <c r="AB97" i="307"/>
  <c r="AA97" i="307"/>
  <c r="V97" i="307"/>
  <c r="U97" i="307"/>
  <c r="T97" i="307"/>
  <c r="S97" i="307"/>
  <c r="R97" i="307"/>
  <c r="Q97" i="307"/>
  <c r="P97" i="307"/>
  <c r="O97" i="307"/>
  <c r="N97" i="307"/>
  <c r="B97" i="307"/>
  <c r="AT96" i="307"/>
  <c r="AO96" i="307"/>
  <c r="AN96" i="307"/>
  <c r="AJ96" i="307"/>
  <c r="AI96" i="307"/>
  <c r="AD96" i="307"/>
  <c r="AC96" i="307"/>
  <c r="AB96" i="307"/>
  <c r="AA96" i="307"/>
  <c r="V96" i="307"/>
  <c r="U96" i="307"/>
  <c r="T96" i="307"/>
  <c r="S96" i="307"/>
  <c r="R96" i="307"/>
  <c r="Q96" i="307"/>
  <c r="P96" i="307"/>
  <c r="O96" i="307"/>
  <c r="N96" i="307"/>
  <c r="B96" i="307"/>
  <c r="AT95" i="307"/>
  <c r="AO95" i="307"/>
  <c r="AN95" i="307"/>
  <c r="AJ95" i="307"/>
  <c r="AI95" i="307"/>
  <c r="AD95" i="307"/>
  <c r="AC95" i="307"/>
  <c r="AB95" i="307"/>
  <c r="AA95" i="307"/>
  <c r="V95" i="307"/>
  <c r="U95" i="307"/>
  <c r="T95" i="307"/>
  <c r="S95" i="307"/>
  <c r="R95" i="307"/>
  <c r="Q95" i="307"/>
  <c r="P95" i="307"/>
  <c r="O95" i="307"/>
  <c r="N95" i="307"/>
  <c r="B95" i="307"/>
  <c r="AT94" i="307"/>
  <c r="AO94" i="307"/>
  <c r="AN94" i="307"/>
  <c r="AJ94" i="307"/>
  <c r="AI94" i="307"/>
  <c r="AD94" i="307"/>
  <c r="AC94" i="307"/>
  <c r="AB94" i="307"/>
  <c r="AA94" i="307"/>
  <c r="V94" i="307"/>
  <c r="U94" i="307"/>
  <c r="T94" i="307"/>
  <c r="S94" i="307"/>
  <c r="R94" i="307"/>
  <c r="Q94" i="307"/>
  <c r="P94" i="307"/>
  <c r="O94" i="307"/>
  <c r="N94" i="307"/>
  <c r="B94" i="307"/>
  <c r="AT93" i="307"/>
  <c r="AO93" i="307"/>
  <c r="AN93" i="307"/>
  <c r="AJ93" i="307"/>
  <c r="AI93" i="307"/>
  <c r="AD93" i="307"/>
  <c r="AC93" i="307"/>
  <c r="AB93" i="307"/>
  <c r="AA93" i="307"/>
  <c r="V93" i="307"/>
  <c r="U93" i="307"/>
  <c r="T93" i="307"/>
  <c r="S93" i="307"/>
  <c r="R93" i="307"/>
  <c r="Q93" i="307"/>
  <c r="P93" i="307"/>
  <c r="O93" i="307"/>
  <c r="N93" i="307"/>
  <c r="B93" i="307"/>
  <c r="AT92" i="307"/>
  <c r="AO92" i="307"/>
  <c r="AN92" i="307"/>
  <c r="AJ92" i="307"/>
  <c r="AI92" i="307"/>
  <c r="AD92" i="307"/>
  <c r="AC92" i="307"/>
  <c r="AB92" i="307"/>
  <c r="AE92" i="307" s="1"/>
  <c r="AH92" i="307" s="1"/>
  <c r="AA92" i="307"/>
  <c r="V92" i="307"/>
  <c r="U92" i="307"/>
  <c r="T92" i="307"/>
  <c r="S92" i="307"/>
  <c r="R92" i="307"/>
  <c r="Q92" i="307"/>
  <c r="P92" i="307"/>
  <c r="O92" i="307"/>
  <c r="N92" i="307"/>
  <c r="B92" i="307"/>
  <c r="AT91" i="307"/>
  <c r="AO91" i="307"/>
  <c r="AN91" i="307"/>
  <c r="AJ91" i="307"/>
  <c r="AI91" i="307"/>
  <c r="AD91" i="307"/>
  <c r="AC91" i="307"/>
  <c r="AB91" i="307"/>
  <c r="AA91" i="307"/>
  <c r="V91" i="307"/>
  <c r="U91" i="307"/>
  <c r="T91" i="307"/>
  <c r="S91" i="307"/>
  <c r="R91" i="307"/>
  <c r="Q91" i="307"/>
  <c r="P91" i="307"/>
  <c r="O91" i="307"/>
  <c r="N91" i="307"/>
  <c r="B91" i="307"/>
  <c r="AT90" i="307"/>
  <c r="AO90" i="307"/>
  <c r="AN90" i="307"/>
  <c r="AJ90" i="307"/>
  <c r="AI90" i="307"/>
  <c r="AD90" i="307"/>
  <c r="AC90" i="307"/>
  <c r="AB90" i="307"/>
  <c r="AA90" i="307"/>
  <c r="V90" i="307"/>
  <c r="U90" i="307"/>
  <c r="T90" i="307"/>
  <c r="S90" i="307"/>
  <c r="R90" i="307"/>
  <c r="Q90" i="307"/>
  <c r="P90" i="307"/>
  <c r="O90" i="307"/>
  <c r="N90" i="307"/>
  <c r="B90" i="307"/>
  <c r="AT89" i="307"/>
  <c r="AO89" i="307"/>
  <c r="AN89" i="307"/>
  <c r="AJ89" i="307"/>
  <c r="AI89" i="307"/>
  <c r="AD89" i="307"/>
  <c r="AC89" i="307"/>
  <c r="AB89" i="307"/>
  <c r="AA89" i="307"/>
  <c r="V89" i="307"/>
  <c r="U89" i="307"/>
  <c r="T89" i="307"/>
  <c r="S89" i="307"/>
  <c r="R89" i="307"/>
  <c r="Q89" i="307"/>
  <c r="P89" i="307"/>
  <c r="O89" i="307"/>
  <c r="N89" i="307"/>
  <c r="B89" i="307"/>
  <c r="AT88" i="307"/>
  <c r="AO88" i="307"/>
  <c r="AN88" i="307"/>
  <c r="AJ88" i="307"/>
  <c r="AI88" i="307"/>
  <c r="AD88" i="307"/>
  <c r="AC88" i="307"/>
  <c r="AB88" i="307"/>
  <c r="AA88" i="307"/>
  <c r="V88" i="307"/>
  <c r="U88" i="307"/>
  <c r="T88" i="307"/>
  <c r="S88" i="307"/>
  <c r="R88" i="307"/>
  <c r="Q88" i="307"/>
  <c r="P88" i="307"/>
  <c r="O88" i="307"/>
  <c r="N88" i="307"/>
  <c r="B88" i="307"/>
  <c r="AT87" i="307"/>
  <c r="AO87" i="307"/>
  <c r="AN87" i="307"/>
  <c r="AJ87" i="307"/>
  <c r="AI87" i="307"/>
  <c r="AD87" i="307"/>
  <c r="AC87" i="307"/>
  <c r="AB87" i="307"/>
  <c r="AA87" i="307"/>
  <c r="V87" i="307"/>
  <c r="U87" i="307"/>
  <c r="T87" i="307"/>
  <c r="S87" i="307"/>
  <c r="R87" i="307"/>
  <c r="Q87" i="307"/>
  <c r="P87" i="307"/>
  <c r="O87" i="307"/>
  <c r="N87" i="307"/>
  <c r="B87" i="307"/>
  <c r="AT86" i="307"/>
  <c r="AO86" i="307"/>
  <c r="AN86" i="307"/>
  <c r="AJ86" i="307"/>
  <c r="AI86" i="307"/>
  <c r="AD86" i="307"/>
  <c r="AC86" i="307"/>
  <c r="AB86" i="307"/>
  <c r="AA86" i="307"/>
  <c r="V86" i="307"/>
  <c r="U86" i="307"/>
  <c r="T86" i="307"/>
  <c r="S86" i="307"/>
  <c r="R86" i="307"/>
  <c r="Q86" i="307"/>
  <c r="P86" i="307"/>
  <c r="O86" i="307"/>
  <c r="N86" i="307"/>
  <c r="B86" i="307"/>
  <c r="AT85" i="307"/>
  <c r="AO85" i="307"/>
  <c r="AN85" i="307"/>
  <c r="AJ85" i="307"/>
  <c r="AI85" i="307"/>
  <c r="AD85" i="307"/>
  <c r="AC85" i="307"/>
  <c r="AB85" i="307"/>
  <c r="AA85" i="307"/>
  <c r="V85" i="307"/>
  <c r="U85" i="307"/>
  <c r="T85" i="307"/>
  <c r="S85" i="307"/>
  <c r="R85" i="307"/>
  <c r="Q85" i="307"/>
  <c r="P85" i="307"/>
  <c r="O85" i="307"/>
  <c r="N85" i="307"/>
  <c r="B85" i="307"/>
  <c r="AT84" i="307"/>
  <c r="AO84" i="307"/>
  <c r="AN84" i="307"/>
  <c r="AJ84" i="307"/>
  <c r="AI84" i="307"/>
  <c r="AD84" i="307"/>
  <c r="AC84" i="307"/>
  <c r="AB84" i="307"/>
  <c r="AA84" i="307"/>
  <c r="V84" i="307"/>
  <c r="U84" i="307"/>
  <c r="T84" i="307"/>
  <c r="S84" i="307"/>
  <c r="R84" i="307"/>
  <c r="Q84" i="307"/>
  <c r="P84" i="307"/>
  <c r="O84" i="307"/>
  <c r="N84" i="307"/>
  <c r="B84" i="307"/>
  <c r="AT83" i="307"/>
  <c r="AO83" i="307"/>
  <c r="AN83" i="307"/>
  <c r="AJ83" i="307"/>
  <c r="AI83" i="307"/>
  <c r="AD83" i="307"/>
  <c r="AC83" i="307"/>
  <c r="AB83" i="307"/>
  <c r="AA83" i="307"/>
  <c r="V83" i="307"/>
  <c r="U83" i="307"/>
  <c r="T83" i="307"/>
  <c r="S83" i="307"/>
  <c r="R83" i="307"/>
  <c r="Q83" i="307"/>
  <c r="P83" i="307"/>
  <c r="O83" i="307"/>
  <c r="N83" i="307"/>
  <c r="B83" i="307"/>
  <c r="AT82" i="307"/>
  <c r="AO82" i="307"/>
  <c r="AN82" i="307"/>
  <c r="AJ82" i="307"/>
  <c r="AI82" i="307"/>
  <c r="AD82" i="307"/>
  <c r="AC82" i="307"/>
  <c r="AB82" i="307"/>
  <c r="AA82" i="307"/>
  <c r="V82" i="307"/>
  <c r="U82" i="307"/>
  <c r="T82" i="307"/>
  <c r="S82" i="307"/>
  <c r="R82" i="307"/>
  <c r="Q82" i="307"/>
  <c r="P82" i="307"/>
  <c r="O82" i="307"/>
  <c r="N82" i="307"/>
  <c r="B82" i="307"/>
  <c r="AT81" i="307"/>
  <c r="AO81" i="307"/>
  <c r="AN81" i="307"/>
  <c r="AJ81" i="307"/>
  <c r="AI81" i="307"/>
  <c r="AD81" i="307"/>
  <c r="AE81" i="307" s="1"/>
  <c r="AH81" i="307" s="1"/>
  <c r="AC81" i="307"/>
  <c r="AB81" i="307"/>
  <c r="AA81" i="307"/>
  <c r="V81" i="307"/>
  <c r="U81" i="307"/>
  <c r="T81" i="307"/>
  <c r="S81" i="307"/>
  <c r="R81" i="307"/>
  <c r="Q81" i="307"/>
  <c r="P81" i="307"/>
  <c r="O81" i="307"/>
  <c r="N81" i="307"/>
  <c r="B81" i="307"/>
  <c r="AT80" i="307"/>
  <c r="AO80" i="307"/>
  <c r="AN80" i="307"/>
  <c r="AJ80" i="307"/>
  <c r="AI80" i="307"/>
  <c r="AD80" i="307"/>
  <c r="AC80" i="307"/>
  <c r="AB80" i="307"/>
  <c r="AA80" i="307"/>
  <c r="V80" i="307"/>
  <c r="U80" i="307"/>
  <c r="T80" i="307"/>
  <c r="S80" i="307"/>
  <c r="R80" i="307"/>
  <c r="Q80" i="307"/>
  <c r="P80" i="307"/>
  <c r="O80" i="307"/>
  <c r="N80" i="307"/>
  <c r="B80" i="307"/>
  <c r="AT79" i="307"/>
  <c r="AO79" i="307"/>
  <c r="AN79" i="307"/>
  <c r="AJ79" i="307"/>
  <c r="AI79" i="307"/>
  <c r="AD79" i="307"/>
  <c r="AC79" i="307"/>
  <c r="AB79" i="307"/>
  <c r="AA79" i="307"/>
  <c r="V79" i="307"/>
  <c r="U79" i="307"/>
  <c r="T79" i="307"/>
  <c r="S79" i="307"/>
  <c r="R79" i="307"/>
  <c r="Q79" i="307"/>
  <c r="P79" i="307"/>
  <c r="O79" i="307"/>
  <c r="N79" i="307"/>
  <c r="B79" i="307"/>
  <c r="AT78" i="307"/>
  <c r="AO78" i="307"/>
  <c r="AN78" i="307"/>
  <c r="AJ78" i="307"/>
  <c r="AI78" i="307"/>
  <c r="AD78" i="307"/>
  <c r="AC78" i="307"/>
  <c r="AB78" i="307"/>
  <c r="AA78" i="307"/>
  <c r="V78" i="307"/>
  <c r="U78" i="307"/>
  <c r="T78" i="307"/>
  <c r="S78" i="307"/>
  <c r="R78" i="307"/>
  <c r="Q78" i="307"/>
  <c r="P78" i="307"/>
  <c r="O78" i="307"/>
  <c r="N78" i="307"/>
  <c r="B78" i="307"/>
  <c r="AT77" i="307"/>
  <c r="AO77" i="307"/>
  <c r="AN77" i="307"/>
  <c r="AJ77" i="307"/>
  <c r="AI77" i="307"/>
  <c r="AD77" i="307"/>
  <c r="AC77" i="307"/>
  <c r="AB77" i="307"/>
  <c r="AA77" i="307"/>
  <c r="V77" i="307"/>
  <c r="U77" i="307"/>
  <c r="T77" i="307"/>
  <c r="S77" i="307"/>
  <c r="R77" i="307"/>
  <c r="Q77" i="307"/>
  <c r="P77" i="307"/>
  <c r="O77" i="307"/>
  <c r="N77" i="307"/>
  <c r="B77" i="307"/>
  <c r="AT76" i="307"/>
  <c r="AO76" i="307"/>
  <c r="AN76" i="307"/>
  <c r="AJ76" i="307"/>
  <c r="AI76" i="307"/>
  <c r="AD76" i="307"/>
  <c r="AC76" i="307"/>
  <c r="AB76" i="307"/>
  <c r="AA76" i="307"/>
  <c r="V76" i="307"/>
  <c r="U76" i="307"/>
  <c r="T76" i="307"/>
  <c r="S76" i="307"/>
  <c r="R76" i="307"/>
  <c r="Q76" i="307"/>
  <c r="P76" i="307"/>
  <c r="O76" i="307"/>
  <c r="N76" i="307"/>
  <c r="B76" i="307"/>
  <c r="AT75" i="307"/>
  <c r="AO75" i="307"/>
  <c r="AN75" i="307"/>
  <c r="AJ75" i="307"/>
  <c r="AI75" i="307"/>
  <c r="AD75" i="307"/>
  <c r="AC75" i="307"/>
  <c r="AB75" i="307"/>
  <c r="AA75" i="307"/>
  <c r="V75" i="307"/>
  <c r="U75" i="307"/>
  <c r="T75" i="307"/>
  <c r="S75" i="307"/>
  <c r="R75" i="307"/>
  <c r="Q75" i="307"/>
  <c r="P75" i="307"/>
  <c r="O75" i="307"/>
  <c r="N75" i="307"/>
  <c r="B75" i="307"/>
  <c r="AT74" i="307"/>
  <c r="AO74" i="307"/>
  <c r="AN74" i="307"/>
  <c r="AJ74" i="307"/>
  <c r="AI74" i="307"/>
  <c r="AD74" i="307"/>
  <c r="AC74" i="307"/>
  <c r="AB74" i="307"/>
  <c r="AA74" i="307"/>
  <c r="V74" i="307"/>
  <c r="U74" i="307"/>
  <c r="T74" i="307"/>
  <c r="S74" i="307"/>
  <c r="R74" i="307"/>
  <c r="Q74" i="307"/>
  <c r="P74" i="307"/>
  <c r="O74" i="307"/>
  <c r="N74" i="307"/>
  <c r="B74" i="307"/>
  <c r="AT73" i="307"/>
  <c r="AO73" i="307"/>
  <c r="AN73" i="307"/>
  <c r="AJ73" i="307"/>
  <c r="AI73" i="307"/>
  <c r="AD73" i="307"/>
  <c r="AC73" i="307"/>
  <c r="AB73" i="307"/>
  <c r="AA73" i="307"/>
  <c r="V73" i="307"/>
  <c r="U73" i="307"/>
  <c r="T73" i="307"/>
  <c r="S73" i="307"/>
  <c r="R73" i="307"/>
  <c r="Q73" i="307"/>
  <c r="P73" i="307"/>
  <c r="O73" i="307"/>
  <c r="N73" i="307"/>
  <c r="B73" i="307"/>
  <c r="AT72" i="307"/>
  <c r="AO72" i="307"/>
  <c r="AN72" i="307"/>
  <c r="AJ72" i="307"/>
  <c r="AI72" i="307"/>
  <c r="AD72" i="307"/>
  <c r="AC72" i="307"/>
  <c r="AB72" i="307"/>
  <c r="AA72" i="307"/>
  <c r="V72" i="307"/>
  <c r="U72" i="307"/>
  <c r="T72" i="307"/>
  <c r="S72" i="307"/>
  <c r="R72" i="307"/>
  <c r="Q72" i="307"/>
  <c r="P72" i="307"/>
  <c r="O72" i="307"/>
  <c r="N72" i="307"/>
  <c r="B72" i="307"/>
  <c r="AT71" i="307"/>
  <c r="AO71" i="307"/>
  <c r="AN71" i="307"/>
  <c r="AJ71" i="307"/>
  <c r="AI71" i="307"/>
  <c r="AD71" i="307"/>
  <c r="AC71" i="307"/>
  <c r="AB71" i="307"/>
  <c r="AA71" i="307"/>
  <c r="V71" i="307"/>
  <c r="U71" i="307"/>
  <c r="T71" i="307"/>
  <c r="S71" i="307"/>
  <c r="R71" i="307"/>
  <c r="Q71" i="307"/>
  <c r="P71" i="307"/>
  <c r="O71" i="307"/>
  <c r="N71" i="307"/>
  <c r="B71" i="307"/>
  <c r="AT70" i="307"/>
  <c r="AO70" i="307"/>
  <c r="AN70" i="307"/>
  <c r="AJ70" i="307"/>
  <c r="AI70" i="307"/>
  <c r="AD70" i="307"/>
  <c r="AC70" i="307"/>
  <c r="AB70" i="307"/>
  <c r="AA70" i="307"/>
  <c r="V70" i="307"/>
  <c r="U70" i="307"/>
  <c r="T70" i="307"/>
  <c r="S70" i="307"/>
  <c r="R70" i="307"/>
  <c r="Q70" i="307"/>
  <c r="P70" i="307"/>
  <c r="O70" i="307"/>
  <c r="N70" i="307"/>
  <c r="B70" i="307"/>
  <c r="AT69" i="307"/>
  <c r="AO69" i="307"/>
  <c r="AN69" i="307"/>
  <c r="AJ69" i="307"/>
  <c r="AI69" i="307"/>
  <c r="AD69" i="307"/>
  <c r="AE69" i="307" s="1"/>
  <c r="AH69" i="307" s="1"/>
  <c r="AC69" i="307"/>
  <c r="AB69" i="307"/>
  <c r="AA69" i="307"/>
  <c r="V69" i="307"/>
  <c r="U69" i="307"/>
  <c r="T69" i="307"/>
  <c r="S69" i="307"/>
  <c r="R69" i="307"/>
  <c r="Q69" i="307"/>
  <c r="P69" i="307"/>
  <c r="O69" i="307"/>
  <c r="N69" i="307"/>
  <c r="B69" i="307"/>
  <c r="AT68" i="307"/>
  <c r="AO68" i="307"/>
  <c r="AN68" i="307"/>
  <c r="AJ68" i="307"/>
  <c r="AI68" i="307"/>
  <c r="AD68" i="307"/>
  <c r="AC68" i="307"/>
  <c r="AB68" i="307"/>
  <c r="AA68" i="307"/>
  <c r="V68" i="307"/>
  <c r="U68" i="307"/>
  <c r="T68" i="307"/>
  <c r="S68" i="307"/>
  <c r="R68" i="307"/>
  <c r="Q68" i="307"/>
  <c r="P68" i="307"/>
  <c r="O68" i="307"/>
  <c r="N68" i="307"/>
  <c r="B68" i="307"/>
  <c r="AT67" i="307"/>
  <c r="AO67" i="307"/>
  <c r="AN67" i="307"/>
  <c r="AJ67" i="307"/>
  <c r="AI67" i="307"/>
  <c r="AD67" i="307"/>
  <c r="AC67" i="307"/>
  <c r="AB67" i="307"/>
  <c r="AA67" i="307"/>
  <c r="V67" i="307"/>
  <c r="U67" i="307"/>
  <c r="T67" i="307"/>
  <c r="S67" i="307"/>
  <c r="R67" i="307"/>
  <c r="Q67" i="307"/>
  <c r="P67" i="307"/>
  <c r="O67" i="307"/>
  <c r="N67" i="307"/>
  <c r="B67" i="307"/>
  <c r="AT66" i="307"/>
  <c r="AO66" i="307"/>
  <c r="AN66" i="307"/>
  <c r="AJ66" i="307"/>
  <c r="AI66" i="307"/>
  <c r="AD66" i="307"/>
  <c r="AC66" i="307"/>
  <c r="AB66" i="307"/>
  <c r="AA66" i="307"/>
  <c r="V66" i="307"/>
  <c r="U66" i="307"/>
  <c r="T66" i="307"/>
  <c r="S66" i="307"/>
  <c r="R66" i="307"/>
  <c r="Q66" i="307"/>
  <c r="P66" i="307"/>
  <c r="O66" i="307"/>
  <c r="N66" i="307"/>
  <c r="B66" i="307"/>
  <c r="AT65" i="307"/>
  <c r="AO65" i="307"/>
  <c r="AN65" i="307"/>
  <c r="AJ65" i="307"/>
  <c r="AI65" i="307"/>
  <c r="AD65" i="307"/>
  <c r="AC65" i="307"/>
  <c r="AB65" i="307"/>
  <c r="AA65" i="307"/>
  <c r="V65" i="307"/>
  <c r="U65" i="307"/>
  <c r="T65" i="307"/>
  <c r="S65" i="307"/>
  <c r="R65" i="307"/>
  <c r="Q65" i="307"/>
  <c r="P65" i="307"/>
  <c r="O65" i="307"/>
  <c r="N65" i="307"/>
  <c r="B65" i="307"/>
  <c r="AT64" i="307"/>
  <c r="AO64" i="307"/>
  <c r="AN64" i="307"/>
  <c r="AJ64" i="307"/>
  <c r="AI64" i="307"/>
  <c r="AE64" i="307"/>
  <c r="AH64" i="307" s="1"/>
  <c r="AD64" i="307"/>
  <c r="AC64" i="307"/>
  <c r="AB64" i="307"/>
  <c r="AA64" i="307"/>
  <c r="V64" i="307"/>
  <c r="U64" i="307"/>
  <c r="T64" i="307"/>
  <c r="S64" i="307"/>
  <c r="R64" i="307"/>
  <c r="Q64" i="307"/>
  <c r="P64" i="307"/>
  <c r="O64" i="307"/>
  <c r="N64" i="307"/>
  <c r="B64" i="307"/>
  <c r="AT63" i="307"/>
  <c r="AO63" i="307"/>
  <c r="AN63" i="307"/>
  <c r="AJ63" i="307"/>
  <c r="AI63" i="307"/>
  <c r="AD63" i="307"/>
  <c r="AC63" i="307"/>
  <c r="AB63" i="307"/>
  <c r="AA63" i="307"/>
  <c r="V63" i="307"/>
  <c r="U63" i="307"/>
  <c r="T63" i="307"/>
  <c r="S63" i="307"/>
  <c r="R63" i="307"/>
  <c r="Q63" i="307"/>
  <c r="P63" i="307"/>
  <c r="O63" i="307"/>
  <c r="N63" i="307"/>
  <c r="B63" i="307"/>
  <c r="AT62" i="307"/>
  <c r="AO62" i="307"/>
  <c r="AN62" i="307"/>
  <c r="AJ62" i="307"/>
  <c r="AI62" i="307"/>
  <c r="AD62" i="307"/>
  <c r="AC62" i="307"/>
  <c r="AE62" i="307" s="1"/>
  <c r="AH62" i="307" s="1"/>
  <c r="AB62" i="307"/>
  <c r="AA62" i="307"/>
  <c r="V62" i="307"/>
  <c r="U62" i="307"/>
  <c r="T62" i="307"/>
  <c r="S62" i="307"/>
  <c r="R62" i="307"/>
  <c r="Q62" i="307"/>
  <c r="P62" i="307"/>
  <c r="O62" i="307"/>
  <c r="N62" i="307"/>
  <c r="B62" i="307"/>
  <c r="AT61" i="307"/>
  <c r="AO61" i="307"/>
  <c r="AN61" i="307"/>
  <c r="AJ61" i="307"/>
  <c r="AI61" i="307"/>
  <c r="AD61" i="307"/>
  <c r="AC61" i="307"/>
  <c r="AB61" i="307"/>
  <c r="AE61" i="307" s="1"/>
  <c r="AH61" i="307" s="1"/>
  <c r="AA61" i="307"/>
  <c r="V61" i="307"/>
  <c r="U61" i="307"/>
  <c r="T61" i="307"/>
  <c r="S61" i="307"/>
  <c r="R61" i="307"/>
  <c r="Q61" i="307"/>
  <c r="P61" i="307"/>
  <c r="O61" i="307"/>
  <c r="N61" i="307"/>
  <c r="B61" i="307"/>
  <c r="AT60" i="307"/>
  <c r="AO60" i="307"/>
  <c r="AN60" i="307"/>
  <c r="AJ60" i="307"/>
  <c r="AI60" i="307"/>
  <c r="AD60" i="307"/>
  <c r="AC60" i="307"/>
  <c r="AB60" i="307"/>
  <c r="AA60" i="307"/>
  <c r="V60" i="307"/>
  <c r="U60" i="307"/>
  <c r="T60" i="307"/>
  <c r="S60" i="307"/>
  <c r="R60" i="307"/>
  <c r="Q60" i="307"/>
  <c r="P60" i="307"/>
  <c r="O60" i="307"/>
  <c r="N60" i="307"/>
  <c r="B60" i="307"/>
  <c r="AT59" i="307"/>
  <c r="AO59" i="307"/>
  <c r="AN59" i="307"/>
  <c r="AJ59" i="307"/>
  <c r="AI59" i="307"/>
  <c r="AD59" i="307"/>
  <c r="AC59" i="307"/>
  <c r="AB59" i="307"/>
  <c r="AA59" i="307"/>
  <c r="V59" i="307"/>
  <c r="U59" i="307"/>
  <c r="T59" i="307"/>
  <c r="S59" i="307"/>
  <c r="R59" i="307"/>
  <c r="Q59" i="307"/>
  <c r="P59" i="307"/>
  <c r="O59" i="307"/>
  <c r="N59" i="307"/>
  <c r="B59" i="307"/>
  <c r="AT58" i="307"/>
  <c r="AO58" i="307"/>
  <c r="AN58" i="307"/>
  <c r="AJ58" i="307"/>
  <c r="AI58" i="307"/>
  <c r="AD58" i="307"/>
  <c r="AC58" i="307"/>
  <c r="AB58" i="307"/>
  <c r="AA58" i="307"/>
  <c r="V58" i="307"/>
  <c r="U58" i="307"/>
  <c r="T58" i="307"/>
  <c r="S58" i="307"/>
  <c r="R58" i="307"/>
  <c r="Q58" i="307"/>
  <c r="P58" i="307"/>
  <c r="O58" i="307"/>
  <c r="N58" i="307"/>
  <c r="B58" i="307"/>
  <c r="AT57" i="307"/>
  <c r="AO57" i="307"/>
  <c r="AN57" i="307"/>
  <c r="AJ57" i="307"/>
  <c r="AI57" i="307"/>
  <c r="AI56" i="307" s="1"/>
  <c r="AD57" i="307"/>
  <c r="AC57" i="307"/>
  <c r="AB57" i="307"/>
  <c r="AA57" i="307"/>
  <c r="V57" i="307"/>
  <c r="U57" i="307"/>
  <c r="T57" i="307"/>
  <c r="S57" i="307"/>
  <c r="R57" i="307"/>
  <c r="Q57" i="307"/>
  <c r="P57" i="307"/>
  <c r="O57" i="307"/>
  <c r="N57" i="307"/>
  <c r="B57" i="307"/>
  <c r="AS56" i="307"/>
  <c r="AR56" i="307"/>
  <c r="AQ56" i="307"/>
  <c r="AP56" i="307"/>
  <c r="AM56" i="307"/>
  <c r="AK56" i="307"/>
  <c r="AG56" i="307"/>
  <c r="AA56" i="307"/>
  <c r="Z56" i="307"/>
  <c r="Y56" i="307"/>
  <c r="X56" i="307"/>
  <c r="W56" i="307"/>
  <c r="V56" i="307"/>
  <c r="U56" i="307"/>
  <c r="T56" i="307"/>
  <c r="S56" i="307"/>
  <c r="R56" i="307"/>
  <c r="Q56" i="307"/>
  <c r="P56" i="307"/>
  <c r="O56" i="307"/>
  <c r="N56" i="307"/>
  <c r="M56" i="307"/>
  <c r="L56" i="307"/>
  <c r="K56" i="307"/>
  <c r="J56" i="307"/>
  <c r="I56" i="307"/>
  <c r="H56" i="307"/>
  <c r="G56" i="307"/>
  <c r="F56" i="307"/>
  <c r="E56" i="307"/>
  <c r="AT55" i="307"/>
  <c r="AO55" i="307"/>
  <c r="AN55" i="307"/>
  <c r="AJ55" i="307"/>
  <c r="AI55" i="307"/>
  <c r="AD55" i="307"/>
  <c r="AE55" i="307" s="1"/>
  <c r="AH55" i="307" s="1"/>
  <c r="AA55" i="307"/>
  <c r="V55" i="307"/>
  <c r="U55" i="307"/>
  <c r="T55" i="307"/>
  <c r="S55" i="307"/>
  <c r="R55" i="307"/>
  <c r="Q55" i="307"/>
  <c r="P55" i="307"/>
  <c r="O55" i="307"/>
  <c r="N55" i="307"/>
  <c r="B55" i="307"/>
  <c r="AT54" i="307"/>
  <c r="AO54" i="307"/>
  <c r="AN54" i="307"/>
  <c r="AJ54" i="307"/>
  <c r="AI54" i="307"/>
  <c r="AD54" i="307"/>
  <c r="AE54" i="307" s="1"/>
  <c r="AH54" i="307" s="1"/>
  <c r="AA54" i="307"/>
  <c r="V54" i="307"/>
  <c r="U54" i="307"/>
  <c r="T54" i="307"/>
  <c r="S54" i="307"/>
  <c r="R54" i="307"/>
  <c r="Q54" i="307"/>
  <c r="P54" i="307"/>
  <c r="O54" i="307"/>
  <c r="N54" i="307"/>
  <c r="B54" i="307"/>
  <c r="AT53" i="307"/>
  <c r="AO53" i="307"/>
  <c r="AN53" i="307"/>
  <c r="AJ53" i="307"/>
  <c r="AI53" i="307"/>
  <c r="AD53" i="307"/>
  <c r="AE53" i="307" s="1"/>
  <c r="AH53" i="307" s="1"/>
  <c r="AA53" i="307"/>
  <c r="V53" i="307"/>
  <c r="U53" i="307"/>
  <c r="T53" i="307"/>
  <c r="S53" i="307"/>
  <c r="R53" i="307"/>
  <c r="Q53" i="307"/>
  <c r="P53" i="307"/>
  <c r="O53" i="307"/>
  <c r="N53" i="307"/>
  <c r="B53" i="307"/>
  <c r="AT52" i="307"/>
  <c r="AO52" i="307"/>
  <c r="AN52" i="307"/>
  <c r="AJ52" i="307"/>
  <c r="AI52" i="307"/>
  <c r="AD52" i="307"/>
  <c r="AE52" i="307" s="1"/>
  <c r="AH52" i="307" s="1"/>
  <c r="AA52" i="307"/>
  <c r="V52" i="307"/>
  <c r="U52" i="307"/>
  <c r="T52" i="307"/>
  <c r="S52" i="307"/>
  <c r="R52" i="307"/>
  <c r="Q52" i="307"/>
  <c r="P52" i="307"/>
  <c r="O52" i="307"/>
  <c r="N52" i="307"/>
  <c r="B52" i="307"/>
  <c r="AT51" i="307"/>
  <c r="AO51" i="307"/>
  <c r="AN51" i="307"/>
  <c r="AJ51" i="307"/>
  <c r="AI51" i="307"/>
  <c r="AD51" i="307"/>
  <c r="AE51" i="307" s="1"/>
  <c r="AH51" i="307" s="1"/>
  <c r="AA51" i="307"/>
  <c r="V51" i="307"/>
  <c r="U51" i="307"/>
  <c r="T51" i="307"/>
  <c r="S51" i="307"/>
  <c r="R51" i="307"/>
  <c r="Q51" i="307"/>
  <c r="P51" i="307"/>
  <c r="O51" i="307"/>
  <c r="N51" i="307"/>
  <c r="B51" i="307"/>
  <c r="AT50" i="307"/>
  <c r="AO50" i="307"/>
  <c r="AN50" i="307"/>
  <c r="AJ50" i="307"/>
  <c r="AI50" i="307"/>
  <c r="AD50" i="307"/>
  <c r="AE50" i="307" s="1"/>
  <c r="AH50" i="307" s="1"/>
  <c r="AA50" i="307"/>
  <c r="V50" i="307"/>
  <c r="U50" i="307"/>
  <c r="T50" i="307"/>
  <c r="S50" i="307"/>
  <c r="R50" i="307"/>
  <c r="Q50" i="307"/>
  <c r="P50" i="307"/>
  <c r="O50" i="307"/>
  <c r="N50" i="307"/>
  <c r="B50" i="307"/>
  <c r="AT49" i="307"/>
  <c r="AO49" i="307"/>
  <c r="AN49" i="307"/>
  <c r="AJ49" i="307"/>
  <c r="AI49" i="307"/>
  <c r="AD49" i="307"/>
  <c r="AE49" i="307" s="1"/>
  <c r="AH49" i="307" s="1"/>
  <c r="AA49" i="307"/>
  <c r="V49" i="307"/>
  <c r="U49" i="307"/>
  <c r="T49" i="307"/>
  <c r="S49" i="307"/>
  <c r="R49" i="307"/>
  <c r="Q49" i="307"/>
  <c r="P49" i="307"/>
  <c r="O49" i="307"/>
  <c r="N49" i="307"/>
  <c r="B49" i="307"/>
  <c r="AT48" i="307"/>
  <c r="AO48" i="307"/>
  <c r="AN48" i="307"/>
  <c r="AJ48" i="307"/>
  <c r="AI48" i="307"/>
  <c r="AD48" i="307"/>
  <c r="AE48" i="307" s="1"/>
  <c r="AH48" i="307" s="1"/>
  <c r="AA48" i="307"/>
  <c r="V48" i="307"/>
  <c r="U48" i="307"/>
  <c r="T48" i="307"/>
  <c r="S48" i="307"/>
  <c r="R48" i="307"/>
  <c r="Q48" i="307"/>
  <c r="P48" i="307"/>
  <c r="O48" i="307"/>
  <c r="N48" i="307"/>
  <c r="B48" i="307"/>
  <c r="AT47" i="307"/>
  <c r="AO47" i="307"/>
  <c r="AN47" i="307"/>
  <c r="AJ47" i="307"/>
  <c r="AI47" i="307"/>
  <c r="AD47" i="307"/>
  <c r="AE47" i="307" s="1"/>
  <c r="AH47" i="307" s="1"/>
  <c r="AA47" i="307"/>
  <c r="V47" i="307"/>
  <c r="U47" i="307"/>
  <c r="T47" i="307"/>
  <c r="S47" i="307"/>
  <c r="R47" i="307"/>
  <c r="Q47" i="307"/>
  <c r="P47" i="307"/>
  <c r="O47" i="307"/>
  <c r="N47" i="307"/>
  <c r="B47" i="307"/>
  <c r="AT46" i="307"/>
  <c r="AO46" i="307"/>
  <c r="AN46" i="307"/>
  <c r="AJ46" i="307"/>
  <c r="AI46" i="307"/>
  <c r="AD46" i="307"/>
  <c r="AE46" i="307" s="1"/>
  <c r="AH46" i="307" s="1"/>
  <c r="AA46" i="307"/>
  <c r="V46" i="307"/>
  <c r="U46" i="307"/>
  <c r="T46" i="307"/>
  <c r="S46" i="307"/>
  <c r="R46" i="307"/>
  <c r="Q46" i="307"/>
  <c r="P46" i="307"/>
  <c r="O46" i="307"/>
  <c r="N46" i="307"/>
  <c r="B46" i="307"/>
  <c r="AT45" i="307"/>
  <c r="AO45" i="307"/>
  <c r="AN45" i="307"/>
  <c r="AJ45" i="307"/>
  <c r="AI45" i="307"/>
  <c r="AD45" i="307"/>
  <c r="AE45" i="307" s="1"/>
  <c r="AH45" i="307" s="1"/>
  <c r="AA45" i="307"/>
  <c r="V45" i="307"/>
  <c r="U45" i="307"/>
  <c r="T45" i="307"/>
  <c r="S45" i="307"/>
  <c r="R45" i="307"/>
  <c r="Q45" i="307"/>
  <c r="P45" i="307"/>
  <c r="O45" i="307"/>
  <c r="N45" i="307"/>
  <c r="B45" i="307"/>
  <c r="AT44" i="307"/>
  <c r="AO44" i="307"/>
  <c r="AN44" i="307"/>
  <c r="AJ44" i="307"/>
  <c r="AI44" i="307"/>
  <c r="AK44" i="307" s="1"/>
  <c r="AD44" i="307"/>
  <c r="AE44" i="307" s="1"/>
  <c r="AH44" i="307" s="1"/>
  <c r="AA44" i="307"/>
  <c r="V44" i="307"/>
  <c r="U44" i="307"/>
  <c r="T44" i="307"/>
  <c r="S44" i="307"/>
  <c r="R44" i="307"/>
  <c r="Q44" i="307"/>
  <c r="P44" i="307"/>
  <c r="O44" i="307"/>
  <c r="N44" i="307"/>
  <c r="B44" i="307"/>
  <c r="AT43" i="307"/>
  <c r="AO43" i="307"/>
  <c r="AN43" i="307"/>
  <c r="AJ43" i="307"/>
  <c r="AI43" i="307"/>
  <c r="AD43" i="307"/>
  <c r="AE43" i="307" s="1"/>
  <c r="AH43" i="307" s="1"/>
  <c r="AA43" i="307"/>
  <c r="V43" i="307"/>
  <c r="U43" i="307"/>
  <c r="T43" i="307"/>
  <c r="S43" i="307"/>
  <c r="R43" i="307"/>
  <c r="Q43" i="307"/>
  <c r="P43" i="307"/>
  <c r="O43" i="307"/>
  <c r="N43" i="307"/>
  <c r="B43" i="307"/>
  <c r="AT42" i="307"/>
  <c r="AO42" i="307"/>
  <c r="AN42" i="307"/>
  <c r="AJ42" i="307"/>
  <c r="AI42" i="307"/>
  <c r="AE42" i="307"/>
  <c r="AH42" i="307" s="1"/>
  <c r="AD42" i="307"/>
  <c r="AA42" i="307"/>
  <c r="V42" i="307"/>
  <c r="U42" i="307"/>
  <c r="T42" i="307"/>
  <c r="S42" i="307"/>
  <c r="R42" i="307"/>
  <c r="Q42" i="307"/>
  <c r="P42" i="307"/>
  <c r="O42" i="307"/>
  <c r="N42" i="307"/>
  <c r="B42" i="307"/>
  <c r="AT41" i="307"/>
  <c r="AO41" i="307"/>
  <c r="AN41" i="307"/>
  <c r="AJ41" i="307"/>
  <c r="AI41" i="307"/>
  <c r="AD41" i="307"/>
  <c r="AE41" i="307" s="1"/>
  <c r="AH41" i="307" s="1"/>
  <c r="AA41" i="307"/>
  <c r="V41" i="307"/>
  <c r="U41" i="307"/>
  <c r="T41" i="307"/>
  <c r="S41" i="307"/>
  <c r="R41" i="307"/>
  <c r="Q41" i="307"/>
  <c r="P41" i="307"/>
  <c r="O41" i="307"/>
  <c r="N41" i="307"/>
  <c r="B41" i="307"/>
  <c r="AT40" i="307"/>
  <c r="AO40" i="307"/>
  <c r="AN40" i="307"/>
  <c r="AJ40" i="307"/>
  <c r="AI40" i="307"/>
  <c r="AE40" i="307"/>
  <c r="AH40" i="307" s="1"/>
  <c r="AD40" i="307"/>
  <c r="AA40" i="307"/>
  <c r="V40" i="307"/>
  <c r="U40" i="307"/>
  <c r="T40" i="307"/>
  <c r="S40" i="307"/>
  <c r="R40" i="307"/>
  <c r="Q40" i="307"/>
  <c r="P40" i="307"/>
  <c r="O40" i="307"/>
  <c r="N40" i="307"/>
  <c r="B40" i="307"/>
  <c r="AT39" i="307"/>
  <c r="AO39" i="307"/>
  <c r="AN39" i="307"/>
  <c r="AJ39" i="307"/>
  <c r="AI39" i="307"/>
  <c r="AD39" i="307"/>
  <c r="AE39" i="307" s="1"/>
  <c r="AH39" i="307" s="1"/>
  <c r="AA39" i="307"/>
  <c r="V39" i="307"/>
  <c r="U39" i="307"/>
  <c r="T39" i="307"/>
  <c r="S39" i="307"/>
  <c r="R39" i="307"/>
  <c r="Q39" i="307"/>
  <c r="P39" i="307"/>
  <c r="O39" i="307"/>
  <c r="N39" i="307"/>
  <c r="B39" i="307"/>
  <c r="AT38" i="307"/>
  <c r="AO38" i="307"/>
  <c r="AN38" i="307"/>
  <c r="AJ38" i="307"/>
  <c r="AI38" i="307"/>
  <c r="AD38" i="307"/>
  <c r="AE38" i="307" s="1"/>
  <c r="AH38" i="307" s="1"/>
  <c r="AA38" i="307"/>
  <c r="V38" i="307"/>
  <c r="U38" i="307"/>
  <c r="T38" i="307"/>
  <c r="S38" i="307"/>
  <c r="R38" i="307"/>
  <c r="Q38" i="307"/>
  <c r="P38" i="307"/>
  <c r="O38" i="307"/>
  <c r="N38" i="307"/>
  <c r="B38" i="307"/>
  <c r="AT37" i="307"/>
  <c r="AO37" i="307"/>
  <c r="AN37" i="307"/>
  <c r="AJ37" i="307"/>
  <c r="AI37" i="307"/>
  <c r="AD37" i="307"/>
  <c r="AE37" i="307" s="1"/>
  <c r="AH37" i="307" s="1"/>
  <c r="AA37" i="307"/>
  <c r="V37" i="307"/>
  <c r="U37" i="307"/>
  <c r="T37" i="307"/>
  <c r="S37" i="307"/>
  <c r="R37" i="307"/>
  <c r="Q37" i="307"/>
  <c r="P37" i="307"/>
  <c r="O37" i="307"/>
  <c r="N37" i="307"/>
  <c r="B37" i="307"/>
  <c r="AT36" i="307"/>
  <c r="AO36" i="307"/>
  <c r="AN36" i="307"/>
  <c r="AJ36" i="307"/>
  <c r="AI36" i="307"/>
  <c r="AE36" i="307"/>
  <c r="AH36" i="307" s="1"/>
  <c r="AD36" i="307"/>
  <c r="AA36" i="307"/>
  <c r="V36" i="307"/>
  <c r="U36" i="307"/>
  <c r="T36" i="307"/>
  <c r="S36" i="307"/>
  <c r="R36" i="307"/>
  <c r="Q36" i="307"/>
  <c r="P36" i="307"/>
  <c r="O36" i="307"/>
  <c r="N36" i="307"/>
  <c r="B36" i="307"/>
  <c r="AT35" i="307"/>
  <c r="AO35" i="307"/>
  <c r="AN35" i="307"/>
  <c r="AJ35" i="307"/>
  <c r="AI35" i="307"/>
  <c r="AE35" i="307"/>
  <c r="AH35" i="307" s="1"/>
  <c r="AD35" i="307"/>
  <c r="AA35" i="307"/>
  <c r="V35" i="307"/>
  <c r="U35" i="307"/>
  <c r="T35" i="307"/>
  <c r="S35" i="307"/>
  <c r="R35" i="307"/>
  <c r="Q35" i="307"/>
  <c r="P35" i="307"/>
  <c r="O35" i="307"/>
  <c r="N35" i="307"/>
  <c r="AT34" i="307"/>
  <c r="AO34" i="307"/>
  <c r="AN34" i="307"/>
  <c r="AJ34" i="307"/>
  <c r="AI34" i="307"/>
  <c r="AD34" i="307"/>
  <c r="AE34" i="307" s="1"/>
  <c r="AH34" i="307" s="1"/>
  <c r="AA34" i="307"/>
  <c r="V34" i="307"/>
  <c r="U34" i="307"/>
  <c r="T34" i="307"/>
  <c r="S34" i="307"/>
  <c r="R34" i="307"/>
  <c r="Q34" i="307"/>
  <c r="P34" i="307"/>
  <c r="O34" i="307"/>
  <c r="N34" i="307"/>
  <c r="B34" i="307"/>
  <c r="AT33" i="307"/>
  <c r="AO33" i="307"/>
  <c r="AN33" i="307"/>
  <c r="AJ33" i="307"/>
  <c r="AI33" i="307"/>
  <c r="AD33" i="307"/>
  <c r="AE33" i="307" s="1"/>
  <c r="AH33" i="307" s="1"/>
  <c r="AA33" i="307"/>
  <c r="V33" i="307"/>
  <c r="U33" i="307"/>
  <c r="T33" i="307"/>
  <c r="S33" i="307"/>
  <c r="R33" i="307"/>
  <c r="Q33" i="307"/>
  <c r="P33" i="307"/>
  <c r="O33" i="307"/>
  <c r="N33" i="307"/>
  <c r="B33" i="307"/>
  <c r="AT32" i="307"/>
  <c r="AO32" i="307"/>
  <c r="AN32" i="307"/>
  <c r="AJ32" i="307"/>
  <c r="AI32" i="307"/>
  <c r="AD32" i="307"/>
  <c r="AE32" i="307" s="1"/>
  <c r="AH32" i="307" s="1"/>
  <c r="AA32" i="307"/>
  <c r="V32" i="307"/>
  <c r="U32" i="307"/>
  <c r="T32" i="307"/>
  <c r="S32" i="307"/>
  <c r="R32" i="307"/>
  <c r="Q32" i="307"/>
  <c r="P32" i="307"/>
  <c r="O32" i="307"/>
  <c r="N32" i="307"/>
  <c r="B32" i="307"/>
  <c r="AT31" i="307"/>
  <c r="AO31" i="307"/>
  <c r="AN31" i="307"/>
  <c r="AJ31" i="307"/>
  <c r="AI31" i="307"/>
  <c r="AD31" i="307"/>
  <c r="AE31" i="307" s="1"/>
  <c r="AH31" i="307" s="1"/>
  <c r="AA31" i="307"/>
  <c r="V31" i="307"/>
  <c r="U31" i="307"/>
  <c r="T31" i="307"/>
  <c r="S31" i="307"/>
  <c r="R31" i="307"/>
  <c r="Q31" i="307"/>
  <c r="P31" i="307"/>
  <c r="O31" i="307"/>
  <c r="N31" i="307"/>
  <c r="B31" i="307"/>
  <c r="AT30" i="307"/>
  <c r="AO30" i="307"/>
  <c r="AN30" i="307"/>
  <c r="AJ30" i="307"/>
  <c r="AI30" i="307"/>
  <c r="AD30" i="307"/>
  <c r="AE30" i="307" s="1"/>
  <c r="AH30" i="307" s="1"/>
  <c r="AA30" i="307"/>
  <c r="V30" i="307"/>
  <c r="U30" i="307"/>
  <c r="T30" i="307"/>
  <c r="S30" i="307"/>
  <c r="R30" i="307"/>
  <c r="Q30" i="307"/>
  <c r="P30" i="307"/>
  <c r="O30" i="307"/>
  <c r="N30" i="307"/>
  <c r="B30" i="307"/>
  <c r="AT29" i="307"/>
  <c r="AO29" i="307"/>
  <c r="AN29" i="307"/>
  <c r="AJ29" i="307"/>
  <c r="AI29" i="307"/>
  <c r="AE29" i="307"/>
  <c r="AH29" i="307" s="1"/>
  <c r="AD29" i="307"/>
  <c r="AA29" i="307"/>
  <c r="V29" i="307"/>
  <c r="U29" i="307"/>
  <c r="T29" i="307"/>
  <c r="S29" i="307"/>
  <c r="R29" i="307"/>
  <c r="Q29" i="307"/>
  <c r="P29" i="307"/>
  <c r="O29" i="307"/>
  <c r="N29" i="307"/>
  <c r="B29" i="307"/>
  <c r="AX28" i="307"/>
  <c r="AT28" i="307"/>
  <c r="AO28" i="307"/>
  <c r="AN28" i="307"/>
  <c r="AJ28" i="307"/>
  <c r="AI28" i="307"/>
  <c r="AE28" i="307"/>
  <c r="AH28" i="307" s="1"/>
  <c r="AD28" i="307"/>
  <c r="AA28" i="307"/>
  <c r="V28" i="307"/>
  <c r="U28" i="307"/>
  <c r="T28" i="307"/>
  <c r="S28" i="307"/>
  <c r="R28" i="307"/>
  <c r="Q28" i="307"/>
  <c r="P28" i="307"/>
  <c r="O28" i="307"/>
  <c r="N28" i="307"/>
  <c r="B28" i="307"/>
  <c r="AX27" i="307"/>
  <c r="AV27" i="307"/>
  <c r="AT27" i="307"/>
  <c r="AO27" i="307"/>
  <c r="AN27" i="307"/>
  <c r="AJ27" i="307"/>
  <c r="AI27" i="307"/>
  <c r="AD27" i="307"/>
  <c r="AE27" i="307" s="1"/>
  <c r="AH27" i="307" s="1"/>
  <c r="AA27" i="307"/>
  <c r="V27" i="307"/>
  <c r="U27" i="307"/>
  <c r="T27" i="307"/>
  <c r="S27" i="307"/>
  <c r="R27" i="307"/>
  <c r="Q27" i="307"/>
  <c r="P27" i="307"/>
  <c r="O27" i="307"/>
  <c r="N27" i="307"/>
  <c r="B27" i="307"/>
  <c r="AX26" i="307"/>
  <c r="AV26" i="307"/>
  <c r="AT26" i="307"/>
  <c r="AO26" i="307"/>
  <c r="AN26" i="307"/>
  <c r="AJ26" i="307"/>
  <c r="AI26" i="307"/>
  <c r="AD26" i="307"/>
  <c r="AE26" i="307" s="1"/>
  <c r="AH26" i="307" s="1"/>
  <c r="AA26" i="307"/>
  <c r="V26" i="307"/>
  <c r="U26" i="307"/>
  <c r="T26" i="307"/>
  <c r="S26" i="307"/>
  <c r="R26" i="307"/>
  <c r="Q26" i="307"/>
  <c r="P26" i="307"/>
  <c r="O26" i="307"/>
  <c r="N26" i="307"/>
  <c r="B26" i="307"/>
  <c r="AX25" i="307"/>
  <c r="AV25" i="307"/>
  <c r="AT25" i="307"/>
  <c r="AO25" i="307"/>
  <c r="AN25" i="307"/>
  <c r="AJ25" i="307"/>
  <c r="AI25" i="307"/>
  <c r="AD25" i="307"/>
  <c r="AE25" i="307" s="1"/>
  <c r="AH25" i="307" s="1"/>
  <c r="AA25" i="307"/>
  <c r="V25" i="307"/>
  <c r="U25" i="307"/>
  <c r="T25" i="307"/>
  <c r="S25" i="307"/>
  <c r="R25" i="307"/>
  <c r="Q25" i="307"/>
  <c r="P25" i="307"/>
  <c r="O25" i="307"/>
  <c r="N25" i="307"/>
  <c r="B25" i="307"/>
  <c r="AX24" i="307"/>
  <c r="AV24" i="307"/>
  <c r="AT24" i="307"/>
  <c r="AO24" i="307"/>
  <c r="AN24" i="307"/>
  <c r="AJ24" i="307"/>
  <c r="AI24" i="307"/>
  <c r="AD24" i="307"/>
  <c r="AE24" i="307" s="1"/>
  <c r="AH24" i="307" s="1"/>
  <c r="AA24" i="307"/>
  <c r="V24" i="307"/>
  <c r="U24" i="307"/>
  <c r="T24" i="307"/>
  <c r="S24" i="307"/>
  <c r="R24" i="307"/>
  <c r="Q24" i="307"/>
  <c r="P24" i="307"/>
  <c r="O24" i="307"/>
  <c r="N24" i="307"/>
  <c r="B24" i="307"/>
  <c r="AX23" i="307"/>
  <c r="AV23" i="307"/>
  <c r="AT23" i="307"/>
  <c r="AO23" i="307"/>
  <c r="AN23" i="307"/>
  <c r="AJ23" i="307"/>
  <c r="AI23" i="307"/>
  <c r="AD23" i="307"/>
  <c r="AE23" i="307" s="1"/>
  <c r="AH23" i="307" s="1"/>
  <c r="AA23" i="307"/>
  <c r="V23" i="307"/>
  <c r="U23" i="307"/>
  <c r="T23" i="307"/>
  <c r="S23" i="307"/>
  <c r="R23" i="307"/>
  <c r="Q23" i="307"/>
  <c r="P23" i="307"/>
  <c r="O23" i="307"/>
  <c r="N23" i="307"/>
  <c r="B23" i="307"/>
  <c r="AX22" i="307"/>
  <c r="AV22" i="307"/>
  <c r="AT22" i="307"/>
  <c r="AO22" i="307"/>
  <c r="AN22" i="307"/>
  <c r="AJ22" i="307"/>
  <c r="AI22" i="307"/>
  <c r="AD22" i="307"/>
  <c r="AE22" i="307" s="1"/>
  <c r="AH22" i="307" s="1"/>
  <c r="AA22" i="307"/>
  <c r="V22" i="307"/>
  <c r="U22" i="307"/>
  <c r="T22" i="307"/>
  <c r="S22" i="307"/>
  <c r="R22" i="307"/>
  <c r="Q22" i="307"/>
  <c r="P22" i="307"/>
  <c r="O22" i="307"/>
  <c r="N22" i="307"/>
  <c r="B22" i="307"/>
  <c r="BB21" i="307"/>
  <c r="BA21" i="307"/>
  <c r="AV21" i="307"/>
  <c r="AT21" i="307"/>
  <c r="AO21" i="307"/>
  <c r="AN21" i="307"/>
  <c r="AJ21" i="307"/>
  <c r="AI21" i="307"/>
  <c r="AD21" i="307"/>
  <c r="AE21" i="307" s="1"/>
  <c r="AH21" i="307" s="1"/>
  <c r="AA21" i="307"/>
  <c r="V21" i="307"/>
  <c r="U21" i="307"/>
  <c r="T21" i="307"/>
  <c r="S21" i="307"/>
  <c r="R21" i="307"/>
  <c r="Q21" i="307"/>
  <c r="P21" i="307"/>
  <c r="O21" i="307"/>
  <c r="N21" i="307"/>
  <c r="B21" i="307"/>
  <c r="BB20" i="307"/>
  <c r="BA20" i="307"/>
  <c r="AV20" i="307"/>
  <c r="AT20" i="307"/>
  <c r="AO20" i="307"/>
  <c r="AN20" i="307"/>
  <c r="AJ20" i="307"/>
  <c r="AI20" i="307"/>
  <c r="AD20" i="307"/>
  <c r="AE20" i="307" s="1"/>
  <c r="AH20" i="307" s="1"/>
  <c r="AA20" i="307"/>
  <c r="V20" i="307"/>
  <c r="U20" i="307"/>
  <c r="T20" i="307"/>
  <c r="S20" i="307"/>
  <c r="R20" i="307"/>
  <c r="Q20" i="307"/>
  <c r="P20" i="307"/>
  <c r="O20" i="307"/>
  <c r="N20" i="307"/>
  <c r="B20" i="307"/>
  <c r="BB19" i="307"/>
  <c r="BA19" i="307"/>
  <c r="AV19" i="307"/>
  <c r="AT19" i="307"/>
  <c r="AO19" i="307"/>
  <c r="AN19" i="307"/>
  <c r="AJ19" i="307"/>
  <c r="AI19" i="307"/>
  <c r="AD19" i="307"/>
  <c r="AE19" i="307" s="1"/>
  <c r="AH19" i="307" s="1"/>
  <c r="AA19" i="307"/>
  <c r="V19" i="307"/>
  <c r="U19" i="307"/>
  <c r="T19" i="307"/>
  <c r="S19" i="307"/>
  <c r="R19" i="307"/>
  <c r="Q19" i="307"/>
  <c r="P19" i="307"/>
  <c r="O19" i="307"/>
  <c r="N19" i="307"/>
  <c r="B19" i="307"/>
  <c r="BB18" i="307"/>
  <c r="BA18" i="307"/>
  <c r="AV18" i="307"/>
  <c r="AT18" i="307"/>
  <c r="AO18" i="307"/>
  <c r="AN18" i="307"/>
  <c r="AJ18" i="307"/>
  <c r="AI18" i="307"/>
  <c r="AE18" i="307"/>
  <c r="AH18" i="307" s="1"/>
  <c r="AD18" i="307"/>
  <c r="AA18" i="307"/>
  <c r="V18" i="307"/>
  <c r="U18" i="307"/>
  <c r="T18" i="307"/>
  <c r="S18" i="307"/>
  <c r="R18" i="307"/>
  <c r="Q18" i="307"/>
  <c r="P18" i="307"/>
  <c r="O18" i="307"/>
  <c r="N18" i="307"/>
  <c r="B18" i="307"/>
  <c r="BB17" i="307"/>
  <c r="BA17" i="307"/>
  <c r="AV17" i="307"/>
  <c r="AT17" i="307"/>
  <c r="AO17" i="307"/>
  <c r="AN17" i="307"/>
  <c r="AJ17" i="307"/>
  <c r="AI17" i="307"/>
  <c r="AD17" i="307"/>
  <c r="AE17" i="307" s="1"/>
  <c r="AH17" i="307" s="1"/>
  <c r="AA17" i="307"/>
  <c r="V17" i="307"/>
  <c r="U17" i="307"/>
  <c r="T17" i="307"/>
  <c r="S17" i="307"/>
  <c r="R17" i="307"/>
  <c r="Q17" i="307"/>
  <c r="P17" i="307"/>
  <c r="O17" i="307"/>
  <c r="N17" i="307"/>
  <c r="B17" i="307"/>
  <c r="BB16" i="307"/>
  <c r="BA16" i="307"/>
  <c r="AV16" i="307"/>
  <c r="AT16" i="307"/>
  <c r="AO16" i="307"/>
  <c r="AN16" i="307"/>
  <c r="AJ16" i="307"/>
  <c r="AI16" i="307"/>
  <c r="AK16" i="307" s="1"/>
  <c r="AD16" i="307"/>
  <c r="AE16" i="307" s="1"/>
  <c r="AH16" i="307" s="1"/>
  <c r="AA16" i="307"/>
  <c r="V16" i="307"/>
  <c r="U16" i="307"/>
  <c r="T16" i="307"/>
  <c r="S16" i="307"/>
  <c r="R16" i="307"/>
  <c r="Q16" i="307"/>
  <c r="P16" i="307"/>
  <c r="O16" i="307"/>
  <c r="N16" i="307"/>
  <c r="B16" i="307"/>
  <c r="BB15" i="307"/>
  <c r="BA15" i="307"/>
  <c r="AV15" i="307"/>
  <c r="AT15" i="307"/>
  <c r="AO15" i="307"/>
  <c r="AN15" i="307"/>
  <c r="AJ15" i="307"/>
  <c r="AI15" i="307"/>
  <c r="AE15" i="307"/>
  <c r="AH15" i="307" s="1"/>
  <c r="AD15" i="307"/>
  <c r="AA15" i="307"/>
  <c r="V15" i="307"/>
  <c r="U15" i="307"/>
  <c r="T15" i="307"/>
  <c r="S15" i="307"/>
  <c r="R15" i="307"/>
  <c r="Q15" i="307"/>
  <c r="P15" i="307"/>
  <c r="O15" i="307"/>
  <c r="N15" i="307"/>
  <c r="B15" i="307"/>
  <c r="BB14" i="307"/>
  <c r="BA14" i="307"/>
  <c r="AV14" i="307"/>
  <c r="AT14" i="307"/>
  <c r="AO14" i="307"/>
  <c r="AN14" i="307"/>
  <c r="AJ14" i="307"/>
  <c r="AI14" i="307"/>
  <c r="AD14" i="307"/>
  <c r="AE14" i="307" s="1"/>
  <c r="AH14" i="307" s="1"/>
  <c r="AA14" i="307"/>
  <c r="V14" i="307"/>
  <c r="U14" i="307"/>
  <c r="T14" i="307"/>
  <c r="S14" i="307"/>
  <c r="R14" i="307"/>
  <c r="Q14" i="307"/>
  <c r="P14" i="307"/>
  <c r="O14" i="307"/>
  <c r="N14" i="307"/>
  <c r="B14" i="307"/>
  <c r="BB13" i="307"/>
  <c r="BA13" i="307"/>
  <c r="AV13" i="307"/>
  <c r="AT13" i="307"/>
  <c r="AO13" i="307"/>
  <c r="AN13" i="307"/>
  <c r="AJ13" i="307"/>
  <c r="AI13" i="307"/>
  <c r="AD13" i="307"/>
  <c r="AE13" i="307" s="1"/>
  <c r="AA13" i="307"/>
  <c r="V13" i="307"/>
  <c r="U13" i="307"/>
  <c r="T13" i="307"/>
  <c r="S13" i="307"/>
  <c r="R13" i="307"/>
  <c r="Q13" i="307"/>
  <c r="P13" i="307"/>
  <c r="O13" i="307"/>
  <c r="N13" i="307"/>
  <c r="B13" i="307"/>
  <c r="AS11" i="307"/>
  <c r="AR11" i="307"/>
  <c r="AQ11" i="307"/>
  <c r="AP11" i="307"/>
  <c r="AM11" i="307"/>
  <c r="AL11" i="307"/>
  <c r="AG11" i="307"/>
  <c r="AC11" i="307"/>
  <c r="AB11" i="307"/>
  <c r="AA11" i="307"/>
  <c r="Z11" i="307"/>
  <c r="Y11" i="307"/>
  <c r="X11" i="307"/>
  <c r="W11" i="307"/>
  <c r="V11" i="307"/>
  <c r="U11" i="307"/>
  <c r="T11" i="307"/>
  <c r="S11" i="307"/>
  <c r="R11" i="307"/>
  <c r="Q11" i="307"/>
  <c r="P11" i="307"/>
  <c r="O11" i="307"/>
  <c r="N11" i="307"/>
  <c r="M11" i="307"/>
  <c r="L11" i="307"/>
  <c r="K11" i="307"/>
  <c r="J11" i="307"/>
  <c r="I11" i="307"/>
  <c r="H11" i="307"/>
  <c r="G11" i="307"/>
  <c r="F11" i="307"/>
  <c r="E11" i="307"/>
  <c r="AS10" i="307"/>
  <c r="AR10" i="307"/>
  <c r="AQ10" i="307"/>
  <c r="AP10" i="307"/>
  <c r="AM10" i="307"/>
  <c r="AL10" i="307"/>
  <c r="AG10" i="307"/>
  <c r="AF10" i="307"/>
  <c r="AA10" i="307"/>
  <c r="Z10" i="307"/>
  <c r="Y10" i="307"/>
  <c r="X10" i="307"/>
  <c r="W10" i="307"/>
  <c r="V10" i="307"/>
  <c r="U10" i="307"/>
  <c r="T10" i="307"/>
  <c r="S10" i="307"/>
  <c r="R10" i="307"/>
  <c r="Q10" i="307"/>
  <c r="P10" i="307"/>
  <c r="O10" i="307"/>
  <c r="N10" i="307"/>
  <c r="M10" i="307"/>
  <c r="L10" i="307"/>
  <c r="K10" i="307"/>
  <c r="J10" i="307"/>
  <c r="I10" i="307"/>
  <c r="H10" i="307"/>
  <c r="G10" i="307"/>
  <c r="F10" i="307"/>
  <c r="E10" i="307"/>
  <c r="R8" i="307"/>
  <c r="AV7" i="307"/>
  <c r="D3846" i="229"/>
  <c r="D3845" i="229"/>
  <c r="C3845" i="229"/>
  <c r="C3844" i="229"/>
  <c r="D3844" i="229" s="1"/>
  <c r="C3843" i="229"/>
  <c r="C3842" i="229"/>
  <c r="D3842" i="229" s="1"/>
  <c r="C3841" i="229"/>
  <c r="C3840" i="229"/>
  <c r="C3839" i="229"/>
  <c r="D3839" i="229" s="1"/>
  <c r="C3838" i="229"/>
  <c r="C3837" i="229"/>
  <c r="C3836" i="229"/>
  <c r="D3836" i="229" s="1"/>
  <c r="D3848" i="229" s="1"/>
  <c r="G3834" i="229"/>
  <c r="A3834" i="229"/>
  <c r="J3830" i="229"/>
  <c r="D3830" i="229"/>
  <c r="J3829" i="229"/>
  <c r="I3829" i="229"/>
  <c r="D3829" i="229"/>
  <c r="C3829" i="229"/>
  <c r="I3828" i="229"/>
  <c r="J3828" i="229" s="1"/>
  <c r="C3828" i="229"/>
  <c r="D3828" i="229" s="1"/>
  <c r="I3827" i="229"/>
  <c r="C3827" i="229"/>
  <c r="I3826" i="229"/>
  <c r="J3826" i="229" s="1"/>
  <c r="C3826" i="229"/>
  <c r="D3826" i="229" s="1"/>
  <c r="I3825" i="229"/>
  <c r="C3825" i="229"/>
  <c r="I3824" i="229"/>
  <c r="C3824" i="229"/>
  <c r="I3823" i="229"/>
  <c r="J3823" i="229" s="1"/>
  <c r="C3823" i="229"/>
  <c r="D3823" i="229" s="1"/>
  <c r="I3822" i="229"/>
  <c r="C3822" i="229"/>
  <c r="I3821" i="229"/>
  <c r="C3821" i="229"/>
  <c r="I3820" i="229"/>
  <c r="J3820" i="229" s="1"/>
  <c r="J3832" i="229" s="1"/>
  <c r="C3820" i="229"/>
  <c r="D3820" i="229" s="1"/>
  <c r="D3832" i="229" s="1"/>
  <c r="G3818" i="229"/>
  <c r="A3818" i="229"/>
  <c r="J3814" i="229"/>
  <c r="D3814" i="229"/>
  <c r="J3813" i="229"/>
  <c r="I3813" i="229"/>
  <c r="D3813" i="229"/>
  <c r="C3813" i="229"/>
  <c r="I3812" i="229"/>
  <c r="J3812" i="229" s="1"/>
  <c r="C3812" i="229"/>
  <c r="D3812" i="229" s="1"/>
  <c r="I3811" i="229"/>
  <c r="C3811" i="229"/>
  <c r="I3810" i="229"/>
  <c r="J3810" i="229" s="1"/>
  <c r="C3810" i="229"/>
  <c r="D3810" i="229" s="1"/>
  <c r="I3809" i="229"/>
  <c r="C3809" i="229"/>
  <c r="I3808" i="229"/>
  <c r="C3808" i="229"/>
  <c r="I3807" i="229"/>
  <c r="J3807" i="229" s="1"/>
  <c r="C3807" i="229"/>
  <c r="D3807" i="229" s="1"/>
  <c r="I3806" i="229"/>
  <c r="C3806" i="229"/>
  <c r="I3805" i="229"/>
  <c r="C3805" i="229"/>
  <c r="I3804" i="229"/>
  <c r="J3804" i="229" s="1"/>
  <c r="J3816" i="229" s="1"/>
  <c r="C3804" i="229"/>
  <c r="D3804" i="229" s="1"/>
  <c r="G3802" i="229"/>
  <c r="A3802" i="229"/>
  <c r="J3796" i="229"/>
  <c r="D3796" i="229"/>
  <c r="J3795" i="229"/>
  <c r="I3795" i="229"/>
  <c r="D3795" i="229"/>
  <c r="C3795" i="229"/>
  <c r="I3794" i="229"/>
  <c r="J3794" i="229" s="1"/>
  <c r="C3794" i="229"/>
  <c r="D3794" i="229" s="1"/>
  <c r="I3793" i="229"/>
  <c r="C3793" i="229"/>
  <c r="I3792" i="229"/>
  <c r="J3792" i="229" s="1"/>
  <c r="C3792" i="229"/>
  <c r="D3792" i="229" s="1"/>
  <c r="I3791" i="229"/>
  <c r="C3791" i="229"/>
  <c r="I3790" i="229"/>
  <c r="C3790" i="229"/>
  <c r="I3789" i="229"/>
  <c r="J3789" i="229" s="1"/>
  <c r="C3789" i="229"/>
  <c r="D3789" i="229" s="1"/>
  <c r="I3788" i="229"/>
  <c r="C3788" i="229"/>
  <c r="I3787" i="229"/>
  <c r="C3787" i="229"/>
  <c r="I3786" i="229"/>
  <c r="J3786" i="229" s="1"/>
  <c r="C3786" i="229"/>
  <c r="D3786" i="229" s="1"/>
  <c r="D3798" i="229" s="1"/>
  <c r="G3784" i="229"/>
  <c r="A3784" i="229"/>
  <c r="J3779" i="229"/>
  <c r="D3779" i="229"/>
  <c r="J3778" i="229"/>
  <c r="I3778" i="229"/>
  <c r="D3778" i="229"/>
  <c r="C3778" i="229"/>
  <c r="I3777" i="229"/>
  <c r="J3777" i="229" s="1"/>
  <c r="C3777" i="229"/>
  <c r="D3777" i="229" s="1"/>
  <c r="I3776" i="229"/>
  <c r="C3776" i="229"/>
  <c r="I3775" i="229"/>
  <c r="J3775" i="229" s="1"/>
  <c r="C3775" i="229"/>
  <c r="D3775" i="229" s="1"/>
  <c r="I3774" i="229"/>
  <c r="C3774" i="229"/>
  <c r="I3773" i="229"/>
  <c r="C3773" i="229"/>
  <c r="I3772" i="229"/>
  <c r="J3772" i="229" s="1"/>
  <c r="C3772" i="229"/>
  <c r="D3772" i="229" s="1"/>
  <c r="I3771" i="229"/>
  <c r="C3771" i="229"/>
  <c r="I3770" i="229"/>
  <c r="C3770" i="229"/>
  <c r="I3769" i="229"/>
  <c r="J3769" i="229" s="1"/>
  <c r="J3781" i="229" s="1"/>
  <c r="C3769" i="229"/>
  <c r="D3769" i="229" s="1"/>
  <c r="D3781" i="229" s="1"/>
  <c r="G3767" i="229"/>
  <c r="A3767" i="229"/>
  <c r="J3763" i="229"/>
  <c r="D3763" i="229"/>
  <c r="J3762" i="229"/>
  <c r="I3762" i="229"/>
  <c r="D3762" i="229"/>
  <c r="C3762" i="229"/>
  <c r="I3761" i="229"/>
  <c r="J3761" i="229" s="1"/>
  <c r="C3761" i="229"/>
  <c r="D3761" i="229" s="1"/>
  <c r="I3760" i="229"/>
  <c r="C3760" i="229"/>
  <c r="I3759" i="229"/>
  <c r="J3759" i="229" s="1"/>
  <c r="C3759" i="229"/>
  <c r="D3759" i="229" s="1"/>
  <c r="I3758" i="229"/>
  <c r="C3758" i="229"/>
  <c r="I3757" i="229"/>
  <c r="C3757" i="229"/>
  <c r="I3756" i="229"/>
  <c r="J3756" i="229" s="1"/>
  <c r="C3756" i="229"/>
  <c r="D3756" i="229" s="1"/>
  <c r="I3755" i="229"/>
  <c r="C3755" i="229"/>
  <c r="I3754" i="229"/>
  <c r="C3754" i="229"/>
  <c r="I3753" i="229"/>
  <c r="J3753" i="229" s="1"/>
  <c r="J3765" i="229" s="1"/>
  <c r="C3753" i="229"/>
  <c r="D3753" i="229" s="1"/>
  <c r="D3765" i="229" s="1"/>
  <c r="G3751" i="229"/>
  <c r="A3751" i="229"/>
  <c r="J3746" i="229"/>
  <c r="D3746" i="229"/>
  <c r="J3745" i="229"/>
  <c r="I3745" i="229"/>
  <c r="D3745" i="229"/>
  <c r="C3745" i="229"/>
  <c r="I3744" i="229"/>
  <c r="J3744" i="229" s="1"/>
  <c r="C3744" i="229"/>
  <c r="D3744" i="229" s="1"/>
  <c r="I3743" i="229"/>
  <c r="C3743" i="229"/>
  <c r="I3742" i="229"/>
  <c r="J3742" i="229" s="1"/>
  <c r="C3742" i="229"/>
  <c r="D3742" i="229" s="1"/>
  <c r="I3741" i="229"/>
  <c r="C3741" i="229"/>
  <c r="I3740" i="229"/>
  <c r="C3740" i="229"/>
  <c r="I3739" i="229"/>
  <c r="J3739" i="229" s="1"/>
  <c r="C3739" i="229"/>
  <c r="D3739" i="229" s="1"/>
  <c r="I3738" i="229"/>
  <c r="C3738" i="229"/>
  <c r="I3737" i="229"/>
  <c r="C3737" i="229"/>
  <c r="I3736" i="229"/>
  <c r="J3736" i="229" s="1"/>
  <c r="J3748" i="229" s="1"/>
  <c r="C3736" i="229"/>
  <c r="D3736" i="229" s="1"/>
  <c r="D3748" i="229" s="1"/>
  <c r="G3734" i="229"/>
  <c r="A3734" i="229"/>
  <c r="J3729" i="229"/>
  <c r="D3729" i="229"/>
  <c r="J3728" i="229"/>
  <c r="I3728" i="229"/>
  <c r="D3728" i="229"/>
  <c r="C3728" i="229"/>
  <c r="I3727" i="229"/>
  <c r="J3727" i="229" s="1"/>
  <c r="C3727" i="229"/>
  <c r="D3727" i="229" s="1"/>
  <c r="I3726" i="229"/>
  <c r="C3726" i="229"/>
  <c r="I3725" i="229"/>
  <c r="J3725" i="229" s="1"/>
  <c r="C3725" i="229"/>
  <c r="D3725" i="229" s="1"/>
  <c r="I3724" i="229"/>
  <c r="C3724" i="229"/>
  <c r="I3723" i="229"/>
  <c r="C3723" i="229"/>
  <c r="I3722" i="229"/>
  <c r="J3722" i="229" s="1"/>
  <c r="C3722" i="229"/>
  <c r="D3722" i="229" s="1"/>
  <c r="I3721" i="229"/>
  <c r="C3721" i="229"/>
  <c r="I3720" i="229"/>
  <c r="C3720" i="229"/>
  <c r="I3719" i="229"/>
  <c r="J3719" i="229" s="1"/>
  <c r="J3731" i="229" s="1"/>
  <c r="C3719" i="229"/>
  <c r="D3719" i="229" s="1"/>
  <c r="D3731" i="229" s="1"/>
  <c r="G3717" i="229"/>
  <c r="A3717" i="229"/>
  <c r="J3713" i="229"/>
  <c r="D3713" i="229"/>
  <c r="J3712" i="229"/>
  <c r="I3712" i="229"/>
  <c r="D3712" i="229"/>
  <c r="C3712" i="229"/>
  <c r="I3711" i="229"/>
  <c r="J3711" i="229" s="1"/>
  <c r="C3711" i="229"/>
  <c r="D3711" i="229" s="1"/>
  <c r="N3710" i="229"/>
  <c r="I3710" i="229"/>
  <c r="C3710" i="229"/>
  <c r="I3709" i="229"/>
  <c r="J3709" i="229" s="1"/>
  <c r="C3709" i="229"/>
  <c r="D3709" i="229" s="1"/>
  <c r="I3708" i="229"/>
  <c r="C3708" i="229"/>
  <c r="N3707" i="229"/>
  <c r="I3707" i="229"/>
  <c r="C3707" i="229"/>
  <c r="N3706" i="229"/>
  <c r="I3706" i="229"/>
  <c r="J3706" i="229" s="1"/>
  <c r="C3706" i="229"/>
  <c r="D3706" i="229" s="1"/>
  <c r="I3705" i="229"/>
  <c r="C3705" i="229"/>
  <c r="N3704" i="229"/>
  <c r="I3704" i="229"/>
  <c r="C3704" i="229"/>
  <c r="M3703" i="229"/>
  <c r="I3703" i="229"/>
  <c r="J3703" i="229" s="1"/>
  <c r="J3715" i="229" s="1"/>
  <c r="C3703" i="229"/>
  <c r="D3703" i="229" s="1"/>
  <c r="D3715" i="229" s="1"/>
  <c r="G3701" i="229"/>
  <c r="A3701" i="229"/>
  <c r="J3696" i="229"/>
  <c r="D3696" i="229"/>
  <c r="J3695" i="229"/>
  <c r="I3695" i="229"/>
  <c r="D3695" i="229"/>
  <c r="C3695" i="229"/>
  <c r="I3694" i="229"/>
  <c r="J3694" i="229" s="1"/>
  <c r="C3694" i="229"/>
  <c r="D3694" i="229" s="1"/>
  <c r="I3693" i="229"/>
  <c r="C3693" i="229"/>
  <c r="I3692" i="229"/>
  <c r="J3692" i="229" s="1"/>
  <c r="C3692" i="229"/>
  <c r="D3692" i="229" s="1"/>
  <c r="I3691" i="229"/>
  <c r="C3691" i="229"/>
  <c r="I3690" i="229"/>
  <c r="C3690" i="229"/>
  <c r="I3689" i="229"/>
  <c r="J3689" i="229" s="1"/>
  <c r="C3689" i="229"/>
  <c r="D3689" i="229" s="1"/>
  <c r="I3688" i="229"/>
  <c r="C3688" i="229"/>
  <c r="I3687" i="229"/>
  <c r="C3687" i="229"/>
  <c r="I3686" i="229"/>
  <c r="J3686" i="229" s="1"/>
  <c r="J3698" i="229" s="1"/>
  <c r="C3686" i="229"/>
  <c r="D3686" i="229" s="1"/>
  <c r="D3698" i="229" s="1"/>
  <c r="G3684" i="229"/>
  <c r="A3684" i="229"/>
  <c r="J3679" i="229"/>
  <c r="D3679" i="229"/>
  <c r="J3678" i="229"/>
  <c r="I3678" i="229"/>
  <c r="D3678" i="229"/>
  <c r="C3678" i="229"/>
  <c r="I3677" i="229"/>
  <c r="J3677" i="229" s="1"/>
  <c r="C3677" i="229"/>
  <c r="D3677" i="229" s="1"/>
  <c r="I3676" i="229"/>
  <c r="C3676" i="229"/>
  <c r="I3675" i="229"/>
  <c r="J3675" i="229" s="1"/>
  <c r="C3675" i="229"/>
  <c r="D3675" i="229" s="1"/>
  <c r="I3674" i="229"/>
  <c r="C3674" i="229"/>
  <c r="I3673" i="229"/>
  <c r="C3673" i="229"/>
  <c r="I3672" i="229"/>
  <c r="J3672" i="229" s="1"/>
  <c r="C3672" i="229"/>
  <c r="D3672" i="229" s="1"/>
  <c r="I3671" i="229"/>
  <c r="C3671" i="229"/>
  <c r="I3670" i="229"/>
  <c r="C3670" i="229"/>
  <c r="I3669" i="229"/>
  <c r="J3669" i="229" s="1"/>
  <c r="J3681" i="229" s="1"/>
  <c r="C3669" i="229"/>
  <c r="D3669" i="229" s="1"/>
  <c r="D3681" i="229" s="1"/>
  <c r="G3667" i="229"/>
  <c r="A3667" i="229"/>
  <c r="J3663" i="229"/>
  <c r="D3663" i="229"/>
  <c r="J3662" i="229"/>
  <c r="I3662" i="229"/>
  <c r="D3662" i="229"/>
  <c r="C3662" i="229"/>
  <c r="I3661" i="229"/>
  <c r="J3661" i="229" s="1"/>
  <c r="C3661" i="229"/>
  <c r="D3661" i="229" s="1"/>
  <c r="I3660" i="229"/>
  <c r="C3660" i="229"/>
  <c r="I3659" i="229"/>
  <c r="J3659" i="229" s="1"/>
  <c r="C3659" i="229"/>
  <c r="D3659" i="229" s="1"/>
  <c r="I3658" i="229"/>
  <c r="C3658" i="229"/>
  <c r="I3657" i="229"/>
  <c r="C3657" i="229"/>
  <c r="I3656" i="229"/>
  <c r="J3656" i="229" s="1"/>
  <c r="C3656" i="229"/>
  <c r="D3656" i="229" s="1"/>
  <c r="I3655" i="229"/>
  <c r="C3655" i="229"/>
  <c r="I3654" i="229"/>
  <c r="C3654" i="229"/>
  <c r="I3653" i="229"/>
  <c r="J3653" i="229" s="1"/>
  <c r="J3665" i="229" s="1"/>
  <c r="C3653" i="229"/>
  <c r="D3653" i="229" s="1"/>
  <c r="D3665" i="229" s="1"/>
  <c r="G3651" i="229"/>
  <c r="A3651" i="229"/>
  <c r="J3647" i="229"/>
  <c r="D3647" i="229"/>
  <c r="J3646" i="229"/>
  <c r="I3646" i="229"/>
  <c r="D3646" i="229"/>
  <c r="C3646" i="229"/>
  <c r="I3645" i="229"/>
  <c r="J3645" i="229" s="1"/>
  <c r="C3645" i="229"/>
  <c r="D3645" i="229" s="1"/>
  <c r="I3644" i="229"/>
  <c r="C3644" i="229"/>
  <c r="I3643" i="229"/>
  <c r="J3643" i="229" s="1"/>
  <c r="C3643" i="229"/>
  <c r="D3643" i="229" s="1"/>
  <c r="I3642" i="229"/>
  <c r="C3642" i="229"/>
  <c r="I3641" i="229"/>
  <c r="C3641" i="229"/>
  <c r="I3640" i="229"/>
  <c r="J3640" i="229" s="1"/>
  <c r="C3640" i="229"/>
  <c r="D3640" i="229" s="1"/>
  <c r="I3639" i="229"/>
  <c r="C3639" i="229"/>
  <c r="I3638" i="229"/>
  <c r="C3638" i="229"/>
  <c r="I3637" i="229"/>
  <c r="J3637" i="229" s="1"/>
  <c r="J3649" i="229" s="1"/>
  <c r="C3637" i="229"/>
  <c r="D3637" i="229" s="1"/>
  <c r="D3649" i="229" s="1"/>
  <c r="G3635" i="229"/>
  <c r="A3635" i="229"/>
  <c r="J3630" i="229"/>
  <c r="D3630" i="229"/>
  <c r="J3629" i="229"/>
  <c r="I3629" i="229"/>
  <c r="D3629" i="229"/>
  <c r="C3629" i="229"/>
  <c r="I3628" i="229"/>
  <c r="J3628" i="229" s="1"/>
  <c r="C3628" i="229"/>
  <c r="D3628" i="229" s="1"/>
  <c r="I3627" i="229"/>
  <c r="C3627" i="229"/>
  <c r="I3626" i="229"/>
  <c r="J3626" i="229" s="1"/>
  <c r="C3626" i="229"/>
  <c r="D3626" i="229" s="1"/>
  <c r="I3625" i="229"/>
  <c r="C3625" i="229"/>
  <c r="I3624" i="229"/>
  <c r="C3624" i="229"/>
  <c r="I3623" i="229"/>
  <c r="J3623" i="229" s="1"/>
  <c r="C3623" i="229"/>
  <c r="D3623" i="229" s="1"/>
  <c r="I3622" i="229"/>
  <c r="C3622" i="229"/>
  <c r="I3621" i="229"/>
  <c r="C3621" i="229"/>
  <c r="I3620" i="229"/>
  <c r="J3620" i="229" s="1"/>
  <c r="J3632" i="229" s="1"/>
  <c r="C3620" i="229"/>
  <c r="D3620" i="229" s="1"/>
  <c r="D3632" i="229" s="1"/>
  <c r="G3618" i="229"/>
  <c r="A3618" i="229"/>
  <c r="J3613" i="229"/>
  <c r="D3613" i="229"/>
  <c r="J3612" i="229"/>
  <c r="I3612" i="229"/>
  <c r="D3612" i="229"/>
  <c r="C3612" i="229"/>
  <c r="I3611" i="229"/>
  <c r="J3611" i="229" s="1"/>
  <c r="C3611" i="229"/>
  <c r="D3611" i="229" s="1"/>
  <c r="I3610" i="229"/>
  <c r="C3610" i="229"/>
  <c r="I3609" i="229"/>
  <c r="J3609" i="229" s="1"/>
  <c r="C3609" i="229"/>
  <c r="D3609" i="229" s="1"/>
  <c r="I3608" i="229"/>
  <c r="C3608" i="229"/>
  <c r="I3607" i="229"/>
  <c r="C3607" i="229"/>
  <c r="I3606" i="229"/>
  <c r="J3606" i="229" s="1"/>
  <c r="C3606" i="229"/>
  <c r="D3606" i="229" s="1"/>
  <c r="I3605" i="229"/>
  <c r="C3605" i="229"/>
  <c r="I3604" i="229"/>
  <c r="C3604" i="229"/>
  <c r="I3603" i="229"/>
  <c r="J3603" i="229" s="1"/>
  <c r="J3615" i="229" s="1"/>
  <c r="C3603" i="229"/>
  <c r="D3603" i="229" s="1"/>
  <c r="D3615" i="229" s="1"/>
  <c r="G3601" i="229"/>
  <c r="A3601" i="229"/>
  <c r="J3596" i="229"/>
  <c r="D3596" i="229"/>
  <c r="J3595" i="229"/>
  <c r="I3595" i="229"/>
  <c r="D3595" i="229"/>
  <c r="C3595" i="229"/>
  <c r="I3594" i="229"/>
  <c r="J3594" i="229" s="1"/>
  <c r="C3594" i="229"/>
  <c r="D3594" i="229" s="1"/>
  <c r="I3593" i="229"/>
  <c r="C3593" i="229"/>
  <c r="I3592" i="229"/>
  <c r="J3592" i="229" s="1"/>
  <c r="C3592" i="229"/>
  <c r="D3592" i="229" s="1"/>
  <c r="I3591" i="229"/>
  <c r="C3591" i="229"/>
  <c r="I3590" i="229"/>
  <c r="C3590" i="229"/>
  <c r="I3589" i="229"/>
  <c r="J3589" i="229" s="1"/>
  <c r="C3589" i="229"/>
  <c r="D3589" i="229" s="1"/>
  <c r="I3588" i="229"/>
  <c r="C3588" i="229"/>
  <c r="I3587" i="229"/>
  <c r="C3587" i="229"/>
  <c r="I3586" i="229"/>
  <c r="J3586" i="229" s="1"/>
  <c r="J3598" i="229" s="1"/>
  <c r="C3586" i="229"/>
  <c r="D3586" i="229" s="1"/>
  <c r="D3598" i="229" s="1"/>
  <c r="G3584" i="229"/>
  <c r="A3584" i="229"/>
  <c r="J3579" i="229"/>
  <c r="D3579" i="229"/>
  <c r="J3578" i="229"/>
  <c r="I3578" i="229"/>
  <c r="D3578" i="229"/>
  <c r="C3578" i="229"/>
  <c r="I3577" i="229"/>
  <c r="J3577" i="229" s="1"/>
  <c r="C3577" i="229"/>
  <c r="D3577" i="229" s="1"/>
  <c r="I3576" i="229"/>
  <c r="C3576" i="229"/>
  <c r="I3575" i="229"/>
  <c r="J3575" i="229" s="1"/>
  <c r="C3575" i="229"/>
  <c r="D3575" i="229" s="1"/>
  <c r="I3574" i="229"/>
  <c r="C3574" i="229"/>
  <c r="I3573" i="229"/>
  <c r="C3573" i="229"/>
  <c r="I3572" i="229"/>
  <c r="J3572" i="229" s="1"/>
  <c r="C3572" i="229"/>
  <c r="D3572" i="229" s="1"/>
  <c r="I3571" i="229"/>
  <c r="C3571" i="229"/>
  <c r="I3570" i="229"/>
  <c r="C3570" i="229"/>
  <c r="I3569" i="229"/>
  <c r="J3569" i="229" s="1"/>
  <c r="J3581" i="229" s="1"/>
  <c r="C3569" i="229"/>
  <c r="D3569" i="229" s="1"/>
  <c r="D3581" i="229" s="1"/>
  <c r="G3567" i="229"/>
  <c r="A3567" i="229"/>
  <c r="J3562" i="229"/>
  <c r="D3562" i="229"/>
  <c r="J3561" i="229"/>
  <c r="I3561" i="229"/>
  <c r="D3561" i="229"/>
  <c r="C3561" i="229"/>
  <c r="I3560" i="229"/>
  <c r="J3560" i="229" s="1"/>
  <c r="C3560" i="229"/>
  <c r="D3560" i="229" s="1"/>
  <c r="I3559" i="229"/>
  <c r="C3559" i="229"/>
  <c r="I3558" i="229"/>
  <c r="J3558" i="229" s="1"/>
  <c r="C3558" i="229"/>
  <c r="D3558" i="229" s="1"/>
  <c r="I3557" i="229"/>
  <c r="C3557" i="229"/>
  <c r="I3556" i="229"/>
  <c r="C3556" i="229"/>
  <c r="I3555" i="229"/>
  <c r="J3555" i="229" s="1"/>
  <c r="C3555" i="229"/>
  <c r="D3555" i="229" s="1"/>
  <c r="I3554" i="229"/>
  <c r="C3554" i="229"/>
  <c r="I3553" i="229"/>
  <c r="C3553" i="229"/>
  <c r="I3552" i="229"/>
  <c r="J3552" i="229" s="1"/>
  <c r="J3564" i="229" s="1"/>
  <c r="C3552" i="229"/>
  <c r="D3552" i="229" s="1"/>
  <c r="D3564" i="229" s="1"/>
  <c r="G3550" i="229"/>
  <c r="A3550" i="229"/>
  <c r="J3545" i="229"/>
  <c r="D3545" i="229"/>
  <c r="J3544" i="229"/>
  <c r="I3544" i="229"/>
  <c r="D3544" i="229"/>
  <c r="C3544" i="229"/>
  <c r="I3543" i="229"/>
  <c r="J3543" i="229" s="1"/>
  <c r="C3543" i="229"/>
  <c r="D3543" i="229" s="1"/>
  <c r="I3542" i="229"/>
  <c r="C3542" i="229"/>
  <c r="I3541" i="229"/>
  <c r="J3541" i="229" s="1"/>
  <c r="C3541" i="229"/>
  <c r="D3541" i="229" s="1"/>
  <c r="I3540" i="229"/>
  <c r="C3540" i="229"/>
  <c r="I3539" i="229"/>
  <c r="C3539" i="229"/>
  <c r="I3538" i="229"/>
  <c r="J3538" i="229" s="1"/>
  <c r="C3538" i="229"/>
  <c r="D3538" i="229" s="1"/>
  <c r="I3537" i="229"/>
  <c r="C3537" i="229"/>
  <c r="I3536" i="229"/>
  <c r="C3536" i="229"/>
  <c r="I3535" i="229"/>
  <c r="J3535" i="229" s="1"/>
  <c r="J3547" i="229" s="1"/>
  <c r="C3535" i="229"/>
  <c r="D3535" i="229" s="1"/>
  <c r="D3547" i="229" s="1"/>
  <c r="G3533" i="229"/>
  <c r="A3533" i="229"/>
  <c r="J3528" i="229"/>
  <c r="D3528" i="229"/>
  <c r="J3527" i="229"/>
  <c r="I3527" i="229"/>
  <c r="D3527" i="229"/>
  <c r="C3527" i="229"/>
  <c r="I3526" i="229"/>
  <c r="J3526" i="229" s="1"/>
  <c r="C3526" i="229"/>
  <c r="D3526" i="229" s="1"/>
  <c r="I3525" i="229"/>
  <c r="C3525" i="229"/>
  <c r="I3524" i="229"/>
  <c r="J3524" i="229" s="1"/>
  <c r="C3524" i="229"/>
  <c r="D3524" i="229" s="1"/>
  <c r="I3523" i="229"/>
  <c r="C3523" i="229"/>
  <c r="I3522" i="229"/>
  <c r="C3522" i="229"/>
  <c r="I3521" i="229"/>
  <c r="J3521" i="229" s="1"/>
  <c r="C3521" i="229"/>
  <c r="D3521" i="229" s="1"/>
  <c r="I3520" i="229"/>
  <c r="C3520" i="229"/>
  <c r="I3519" i="229"/>
  <c r="C3519" i="229"/>
  <c r="I3518" i="229"/>
  <c r="J3518" i="229" s="1"/>
  <c r="J3530" i="229" s="1"/>
  <c r="C3518" i="229"/>
  <c r="D3518" i="229" s="1"/>
  <c r="D3530" i="229" s="1"/>
  <c r="G3516" i="229"/>
  <c r="A3516" i="229"/>
  <c r="J3510" i="229"/>
  <c r="D3510" i="229"/>
  <c r="J3509" i="229"/>
  <c r="I3509" i="229"/>
  <c r="D3509" i="229"/>
  <c r="C3509" i="229"/>
  <c r="I3508" i="229"/>
  <c r="J3508" i="229" s="1"/>
  <c r="C3508" i="229"/>
  <c r="D3508" i="229" s="1"/>
  <c r="I3507" i="229"/>
  <c r="C3507" i="229"/>
  <c r="I3506" i="229"/>
  <c r="J3506" i="229" s="1"/>
  <c r="C3506" i="229"/>
  <c r="D3506" i="229" s="1"/>
  <c r="I3505" i="229"/>
  <c r="C3505" i="229"/>
  <c r="I3504" i="229"/>
  <c r="C3504" i="229"/>
  <c r="I3503" i="229"/>
  <c r="J3503" i="229" s="1"/>
  <c r="C3503" i="229"/>
  <c r="D3503" i="229" s="1"/>
  <c r="I3502" i="229"/>
  <c r="C3502" i="229"/>
  <c r="I3501" i="229"/>
  <c r="C3501" i="229"/>
  <c r="I3500" i="229"/>
  <c r="J3500" i="229" s="1"/>
  <c r="J3512" i="229" s="1"/>
  <c r="C3500" i="229"/>
  <c r="D3500" i="229" s="1"/>
  <c r="D3512" i="229" s="1"/>
  <c r="G3498" i="229"/>
  <c r="A3498" i="229"/>
  <c r="J3493" i="229"/>
  <c r="D3493" i="229"/>
  <c r="J3492" i="229"/>
  <c r="I3492" i="229"/>
  <c r="D3492" i="229"/>
  <c r="C3492" i="229"/>
  <c r="I3491" i="229"/>
  <c r="J3491" i="229" s="1"/>
  <c r="C3491" i="229"/>
  <c r="D3491" i="229" s="1"/>
  <c r="I3490" i="229"/>
  <c r="C3490" i="229"/>
  <c r="I3489" i="229"/>
  <c r="J3489" i="229" s="1"/>
  <c r="C3489" i="229"/>
  <c r="D3489" i="229" s="1"/>
  <c r="I3488" i="229"/>
  <c r="C3488" i="229"/>
  <c r="I3487" i="229"/>
  <c r="C3487" i="229"/>
  <c r="I3486" i="229"/>
  <c r="J3486" i="229" s="1"/>
  <c r="C3486" i="229"/>
  <c r="D3486" i="229" s="1"/>
  <c r="I3485" i="229"/>
  <c r="C3485" i="229"/>
  <c r="I3484" i="229"/>
  <c r="C3484" i="229"/>
  <c r="I3483" i="229"/>
  <c r="J3483" i="229" s="1"/>
  <c r="J3495" i="229" s="1"/>
  <c r="C3483" i="229"/>
  <c r="D3483" i="229" s="1"/>
  <c r="D3495" i="229" s="1"/>
  <c r="G3481" i="229"/>
  <c r="A3481" i="229"/>
  <c r="J3476" i="229"/>
  <c r="D3476" i="229"/>
  <c r="J3475" i="229"/>
  <c r="I3475" i="229"/>
  <c r="D3475" i="229"/>
  <c r="C3475" i="229"/>
  <c r="I3474" i="229"/>
  <c r="J3474" i="229" s="1"/>
  <c r="C3474" i="229"/>
  <c r="D3474" i="229" s="1"/>
  <c r="I3473" i="229"/>
  <c r="C3473" i="229"/>
  <c r="I3472" i="229"/>
  <c r="J3472" i="229" s="1"/>
  <c r="C3472" i="229"/>
  <c r="D3472" i="229" s="1"/>
  <c r="I3471" i="229"/>
  <c r="C3471" i="229"/>
  <c r="I3470" i="229"/>
  <c r="C3470" i="229"/>
  <c r="I3469" i="229"/>
  <c r="J3469" i="229" s="1"/>
  <c r="C3469" i="229"/>
  <c r="D3469" i="229" s="1"/>
  <c r="I3468" i="229"/>
  <c r="C3468" i="229"/>
  <c r="I3467" i="229"/>
  <c r="C3467" i="229"/>
  <c r="I3466" i="229"/>
  <c r="J3466" i="229" s="1"/>
  <c r="J3478" i="229" s="1"/>
  <c r="C3466" i="229"/>
  <c r="D3466" i="229" s="1"/>
  <c r="D3478" i="229" s="1"/>
  <c r="G3464" i="229"/>
  <c r="A3464" i="229"/>
  <c r="J3459" i="229"/>
  <c r="D3459" i="229"/>
  <c r="J3458" i="229"/>
  <c r="I3458" i="229"/>
  <c r="D3458" i="229"/>
  <c r="C3458" i="229"/>
  <c r="I3457" i="229"/>
  <c r="J3457" i="229" s="1"/>
  <c r="C3457" i="229"/>
  <c r="D3457" i="229" s="1"/>
  <c r="I3456" i="229"/>
  <c r="C3456" i="229"/>
  <c r="I3455" i="229"/>
  <c r="J3455" i="229" s="1"/>
  <c r="C3455" i="229"/>
  <c r="D3455" i="229" s="1"/>
  <c r="I3454" i="229"/>
  <c r="C3454" i="229"/>
  <c r="I3453" i="229"/>
  <c r="C3453" i="229"/>
  <c r="I3452" i="229"/>
  <c r="J3452" i="229" s="1"/>
  <c r="C3452" i="229"/>
  <c r="D3452" i="229" s="1"/>
  <c r="I3451" i="229"/>
  <c r="C3451" i="229"/>
  <c r="I3450" i="229"/>
  <c r="C3450" i="229"/>
  <c r="I3449" i="229"/>
  <c r="J3449" i="229" s="1"/>
  <c r="J3461" i="229" s="1"/>
  <c r="C3449" i="229"/>
  <c r="D3449" i="229" s="1"/>
  <c r="D3461" i="229" s="1"/>
  <c r="G3447" i="229"/>
  <c r="A3447" i="229"/>
  <c r="J3441" i="229"/>
  <c r="D3441" i="229"/>
  <c r="J3440" i="229"/>
  <c r="I3440" i="229"/>
  <c r="D3440" i="229"/>
  <c r="C3440" i="229"/>
  <c r="I3439" i="229"/>
  <c r="J3439" i="229" s="1"/>
  <c r="C3439" i="229"/>
  <c r="D3439" i="229" s="1"/>
  <c r="I3438" i="229"/>
  <c r="C3438" i="229"/>
  <c r="I3437" i="229"/>
  <c r="J3437" i="229" s="1"/>
  <c r="C3437" i="229"/>
  <c r="D3437" i="229" s="1"/>
  <c r="I3436" i="229"/>
  <c r="C3436" i="229"/>
  <c r="I3435" i="229"/>
  <c r="C3435" i="229"/>
  <c r="I3434" i="229"/>
  <c r="J3434" i="229" s="1"/>
  <c r="C3434" i="229"/>
  <c r="D3434" i="229" s="1"/>
  <c r="I3433" i="229"/>
  <c r="C3433" i="229"/>
  <c r="I3432" i="229"/>
  <c r="C3432" i="229"/>
  <c r="I3431" i="229"/>
  <c r="J3431" i="229" s="1"/>
  <c r="J3443" i="229" s="1"/>
  <c r="C3431" i="229"/>
  <c r="D3431" i="229" s="1"/>
  <c r="D3443" i="229" s="1"/>
  <c r="G3429" i="229"/>
  <c r="A3429" i="229"/>
  <c r="J3424" i="229"/>
  <c r="D3424" i="229"/>
  <c r="J3423" i="229"/>
  <c r="I3423" i="229"/>
  <c r="D3423" i="229"/>
  <c r="C3423" i="229"/>
  <c r="I3422" i="229"/>
  <c r="J3422" i="229" s="1"/>
  <c r="C3422" i="229"/>
  <c r="D3422" i="229" s="1"/>
  <c r="I3421" i="229"/>
  <c r="C3421" i="229"/>
  <c r="I3420" i="229"/>
  <c r="J3420" i="229" s="1"/>
  <c r="C3420" i="229"/>
  <c r="D3420" i="229" s="1"/>
  <c r="I3419" i="229"/>
  <c r="C3419" i="229"/>
  <c r="I3418" i="229"/>
  <c r="C3418" i="229"/>
  <c r="I3417" i="229"/>
  <c r="J3417" i="229" s="1"/>
  <c r="C3417" i="229"/>
  <c r="D3417" i="229" s="1"/>
  <c r="I3416" i="229"/>
  <c r="C3416" i="229"/>
  <c r="I3415" i="229"/>
  <c r="C3415" i="229"/>
  <c r="I3414" i="229"/>
  <c r="J3414" i="229" s="1"/>
  <c r="J3426" i="229" s="1"/>
  <c r="C3414" i="229"/>
  <c r="D3414" i="229" s="1"/>
  <c r="D3426" i="229" s="1"/>
  <c r="G3412" i="229"/>
  <c r="A3412" i="229"/>
  <c r="J3407" i="229"/>
  <c r="D3407" i="229"/>
  <c r="J3406" i="229"/>
  <c r="I3406" i="229"/>
  <c r="D3406" i="229"/>
  <c r="C3406" i="229"/>
  <c r="I3405" i="229"/>
  <c r="J3405" i="229" s="1"/>
  <c r="C3405" i="229"/>
  <c r="D3405" i="229" s="1"/>
  <c r="I3404" i="229"/>
  <c r="C3404" i="229"/>
  <c r="I3403" i="229"/>
  <c r="J3403" i="229" s="1"/>
  <c r="C3403" i="229"/>
  <c r="D3403" i="229" s="1"/>
  <c r="I3402" i="229"/>
  <c r="C3402" i="229"/>
  <c r="I3401" i="229"/>
  <c r="C3401" i="229"/>
  <c r="I3400" i="229"/>
  <c r="J3400" i="229" s="1"/>
  <c r="C3400" i="229"/>
  <c r="D3400" i="229" s="1"/>
  <c r="I3399" i="229"/>
  <c r="C3399" i="229"/>
  <c r="I3398" i="229"/>
  <c r="C3398" i="229"/>
  <c r="I3397" i="229"/>
  <c r="J3397" i="229" s="1"/>
  <c r="J3409" i="229" s="1"/>
  <c r="C3397" i="229"/>
  <c r="D3397" i="229" s="1"/>
  <c r="D3409" i="229" s="1"/>
  <c r="G3395" i="229"/>
  <c r="A3395" i="229"/>
  <c r="J3390" i="229"/>
  <c r="D3390" i="229"/>
  <c r="J3389" i="229"/>
  <c r="I3389" i="229"/>
  <c r="D3389" i="229"/>
  <c r="C3389" i="229"/>
  <c r="I3388" i="229"/>
  <c r="J3388" i="229" s="1"/>
  <c r="C3388" i="229"/>
  <c r="D3388" i="229" s="1"/>
  <c r="I3387" i="229"/>
  <c r="C3387" i="229"/>
  <c r="I3386" i="229"/>
  <c r="J3386" i="229" s="1"/>
  <c r="C3386" i="229"/>
  <c r="D3386" i="229" s="1"/>
  <c r="I3385" i="229"/>
  <c r="C3385" i="229"/>
  <c r="I3384" i="229"/>
  <c r="C3384" i="229"/>
  <c r="I3383" i="229"/>
  <c r="J3383" i="229" s="1"/>
  <c r="C3383" i="229"/>
  <c r="D3383" i="229" s="1"/>
  <c r="I3382" i="229"/>
  <c r="C3382" i="229"/>
  <c r="I3381" i="229"/>
  <c r="C3381" i="229"/>
  <c r="I3380" i="229"/>
  <c r="J3380" i="229" s="1"/>
  <c r="J3392" i="229" s="1"/>
  <c r="C3380" i="229"/>
  <c r="D3380" i="229" s="1"/>
  <c r="D3392" i="229" s="1"/>
  <c r="G3378" i="229"/>
  <c r="A3378" i="229"/>
  <c r="J3372" i="229"/>
  <c r="D3372" i="229"/>
  <c r="J3371" i="229"/>
  <c r="I3371" i="229"/>
  <c r="D3371" i="229"/>
  <c r="C3371" i="229"/>
  <c r="I3370" i="229"/>
  <c r="J3370" i="229" s="1"/>
  <c r="C3370" i="229"/>
  <c r="D3370" i="229" s="1"/>
  <c r="I3369" i="229"/>
  <c r="C3369" i="229"/>
  <c r="I3368" i="229"/>
  <c r="J3368" i="229" s="1"/>
  <c r="C3368" i="229"/>
  <c r="D3368" i="229" s="1"/>
  <c r="I3367" i="229"/>
  <c r="C3367" i="229"/>
  <c r="I3366" i="229"/>
  <c r="C3366" i="229"/>
  <c r="I3365" i="229"/>
  <c r="J3365" i="229" s="1"/>
  <c r="C3365" i="229"/>
  <c r="D3365" i="229" s="1"/>
  <c r="I3364" i="229"/>
  <c r="C3364" i="229"/>
  <c r="I3363" i="229"/>
  <c r="C3363" i="229"/>
  <c r="I3362" i="229"/>
  <c r="J3362" i="229" s="1"/>
  <c r="J3374" i="229" s="1"/>
  <c r="C3362" i="229"/>
  <c r="D3362" i="229" s="1"/>
  <c r="D3374" i="229" s="1"/>
  <c r="G3360" i="229"/>
  <c r="A3360" i="229"/>
  <c r="J3355" i="229"/>
  <c r="D3355" i="229"/>
  <c r="J3354" i="229"/>
  <c r="I3354" i="229"/>
  <c r="D3354" i="229"/>
  <c r="C3354" i="229"/>
  <c r="I3353" i="229"/>
  <c r="J3353" i="229" s="1"/>
  <c r="C3353" i="229"/>
  <c r="D3353" i="229" s="1"/>
  <c r="I3352" i="229"/>
  <c r="C3352" i="229"/>
  <c r="I3351" i="229"/>
  <c r="J3351" i="229" s="1"/>
  <c r="C3351" i="229"/>
  <c r="D3351" i="229" s="1"/>
  <c r="I3350" i="229"/>
  <c r="C3350" i="229"/>
  <c r="I3349" i="229"/>
  <c r="C3349" i="229"/>
  <c r="I3348" i="229"/>
  <c r="J3348" i="229" s="1"/>
  <c r="C3348" i="229"/>
  <c r="D3348" i="229" s="1"/>
  <c r="I3347" i="229"/>
  <c r="C3347" i="229"/>
  <c r="I3346" i="229"/>
  <c r="C3346" i="229"/>
  <c r="I3345" i="229"/>
  <c r="J3345" i="229" s="1"/>
  <c r="J3357" i="229" s="1"/>
  <c r="C3345" i="229"/>
  <c r="D3345" i="229" s="1"/>
  <c r="D3357" i="229" s="1"/>
  <c r="G3343" i="229"/>
  <c r="A3343" i="229"/>
  <c r="J3338" i="229"/>
  <c r="D3338" i="229"/>
  <c r="J3337" i="229"/>
  <c r="I3337" i="229"/>
  <c r="D3337" i="229"/>
  <c r="C3337" i="229"/>
  <c r="I3336" i="229"/>
  <c r="J3336" i="229" s="1"/>
  <c r="C3336" i="229"/>
  <c r="D3336" i="229" s="1"/>
  <c r="I3335" i="229"/>
  <c r="C3335" i="229"/>
  <c r="I3334" i="229"/>
  <c r="J3334" i="229" s="1"/>
  <c r="C3334" i="229"/>
  <c r="D3334" i="229" s="1"/>
  <c r="I3333" i="229"/>
  <c r="C3333" i="229"/>
  <c r="I3332" i="229"/>
  <c r="C3332" i="229"/>
  <c r="I3331" i="229"/>
  <c r="J3331" i="229" s="1"/>
  <c r="C3331" i="229"/>
  <c r="D3331" i="229" s="1"/>
  <c r="I3330" i="229"/>
  <c r="C3330" i="229"/>
  <c r="I3329" i="229"/>
  <c r="C3329" i="229"/>
  <c r="I3328" i="229"/>
  <c r="J3328" i="229" s="1"/>
  <c r="J3340" i="229" s="1"/>
  <c r="C3328" i="229"/>
  <c r="D3328" i="229" s="1"/>
  <c r="D3340" i="229" s="1"/>
  <c r="G3326" i="229"/>
  <c r="A3326" i="229"/>
  <c r="J3321" i="229"/>
  <c r="D3321" i="229"/>
  <c r="J3320" i="229"/>
  <c r="I3320" i="229"/>
  <c r="D3320" i="229"/>
  <c r="C3320" i="229"/>
  <c r="I3319" i="229"/>
  <c r="J3319" i="229" s="1"/>
  <c r="C3319" i="229"/>
  <c r="D3319" i="229" s="1"/>
  <c r="I3318" i="229"/>
  <c r="C3318" i="229"/>
  <c r="I3317" i="229"/>
  <c r="J3317" i="229" s="1"/>
  <c r="C3317" i="229"/>
  <c r="D3317" i="229" s="1"/>
  <c r="I3316" i="229"/>
  <c r="C3316" i="229"/>
  <c r="I3315" i="229"/>
  <c r="C3315" i="229"/>
  <c r="I3314" i="229"/>
  <c r="J3314" i="229" s="1"/>
  <c r="C3314" i="229"/>
  <c r="D3314" i="229" s="1"/>
  <c r="I3313" i="229"/>
  <c r="C3313" i="229"/>
  <c r="I3312" i="229"/>
  <c r="C3312" i="229"/>
  <c r="I3311" i="229"/>
  <c r="J3311" i="229" s="1"/>
  <c r="J3323" i="229" s="1"/>
  <c r="C3311" i="229"/>
  <c r="D3311" i="229" s="1"/>
  <c r="D3323" i="229" s="1"/>
  <c r="G3309" i="229"/>
  <c r="A3309" i="229"/>
  <c r="J3305" i="229"/>
  <c r="D3302" i="229"/>
  <c r="D3301" i="229"/>
  <c r="C3301" i="229"/>
  <c r="C3300" i="229"/>
  <c r="D3300" i="229" s="1"/>
  <c r="C3299" i="229"/>
  <c r="C3298" i="229"/>
  <c r="C3297" i="229"/>
  <c r="D3297" i="229" s="1"/>
  <c r="C3296" i="229"/>
  <c r="C3295" i="229"/>
  <c r="C3294" i="229"/>
  <c r="D3294" i="229" s="1"/>
  <c r="D3305" i="229" s="1"/>
  <c r="G3292" i="229"/>
  <c r="A3292" i="229"/>
  <c r="J3286" i="229"/>
  <c r="D3286" i="229"/>
  <c r="J3285" i="229"/>
  <c r="I3285" i="229"/>
  <c r="D3285" i="229"/>
  <c r="C3285" i="229"/>
  <c r="I3284" i="229"/>
  <c r="J3284" i="229" s="1"/>
  <c r="C3284" i="229"/>
  <c r="D3284" i="229" s="1"/>
  <c r="I3283" i="229"/>
  <c r="C3283" i="229"/>
  <c r="I3282" i="229"/>
  <c r="C3282" i="229"/>
  <c r="I3281" i="229"/>
  <c r="J3281" i="229" s="1"/>
  <c r="C3281" i="229"/>
  <c r="D3281" i="229" s="1"/>
  <c r="I3280" i="229"/>
  <c r="C3280" i="229"/>
  <c r="I3279" i="229"/>
  <c r="C3279" i="229"/>
  <c r="I3278" i="229"/>
  <c r="J3278" i="229" s="1"/>
  <c r="J3289" i="229" s="1"/>
  <c r="C3278" i="229"/>
  <c r="D3278" i="229" s="1"/>
  <c r="D3289" i="229" s="1"/>
  <c r="G3276" i="229"/>
  <c r="A3276" i="229"/>
  <c r="J3270" i="229"/>
  <c r="D3270" i="229"/>
  <c r="J3269" i="229"/>
  <c r="I3269" i="229"/>
  <c r="D3269" i="229"/>
  <c r="C3269" i="229"/>
  <c r="I3268" i="229"/>
  <c r="J3268" i="229" s="1"/>
  <c r="C3268" i="229"/>
  <c r="D3268" i="229" s="1"/>
  <c r="I3267" i="229"/>
  <c r="C3267" i="229"/>
  <c r="I3266" i="229"/>
  <c r="C3266" i="229"/>
  <c r="I3265" i="229"/>
  <c r="J3265" i="229" s="1"/>
  <c r="C3265" i="229"/>
  <c r="D3265" i="229" s="1"/>
  <c r="I3264" i="229"/>
  <c r="C3264" i="229"/>
  <c r="I3263" i="229"/>
  <c r="C3263" i="229"/>
  <c r="I3262" i="229"/>
  <c r="J3262" i="229" s="1"/>
  <c r="J3273" i="229" s="1"/>
  <c r="C3262" i="229"/>
  <c r="D3262" i="229" s="1"/>
  <c r="D3273" i="229" s="1"/>
  <c r="G3260" i="229"/>
  <c r="A3260" i="229"/>
  <c r="J3254" i="229"/>
  <c r="D3254" i="229"/>
  <c r="J3253" i="229"/>
  <c r="I3253" i="229"/>
  <c r="D3253" i="229"/>
  <c r="C3253" i="229"/>
  <c r="I3252" i="229"/>
  <c r="J3252" i="229" s="1"/>
  <c r="C3252" i="229"/>
  <c r="D3252" i="229" s="1"/>
  <c r="I3251" i="229"/>
  <c r="C3251" i="229"/>
  <c r="I3250" i="229"/>
  <c r="C3250" i="229"/>
  <c r="I3249" i="229"/>
  <c r="J3249" i="229" s="1"/>
  <c r="C3249" i="229"/>
  <c r="D3249" i="229" s="1"/>
  <c r="I3248" i="229"/>
  <c r="C3248" i="229"/>
  <c r="I3247" i="229"/>
  <c r="C3247" i="229"/>
  <c r="I3246" i="229"/>
  <c r="J3246" i="229" s="1"/>
  <c r="J3257" i="229" s="1"/>
  <c r="C3246" i="229"/>
  <c r="D3246" i="229" s="1"/>
  <c r="D3257" i="229" s="1"/>
  <c r="G3244" i="229"/>
  <c r="A3244" i="229"/>
  <c r="J3240" i="229"/>
  <c r="D3237" i="229"/>
  <c r="D3236" i="229"/>
  <c r="C3236" i="229"/>
  <c r="C3235" i="229"/>
  <c r="D3235" i="229" s="1"/>
  <c r="C3234" i="229"/>
  <c r="C3233" i="229"/>
  <c r="C3232" i="229"/>
  <c r="D3232" i="229" s="1"/>
  <c r="C3231" i="229"/>
  <c r="C3230" i="229"/>
  <c r="C3229" i="229"/>
  <c r="D3229" i="229" s="1"/>
  <c r="D3240" i="229" s="1"/>
  <c r="G3227" i="229"/>
  <c r="A3227" i="229"/>
  <c r="J3221" i="229"/>
  <c r="D3221" i="229"/>
  <c r="J3220" i="229"/>
  <c r="I3220" i="229"/>
  <c r="D3220" i="229"/>
  <c r="C3220" i="229"/>
  <c r="I3219" i="229"/>
  <c r="J3219" i="229" s="1"/>
  <c r="C3219" i="229"/>
  <c r="D3219" i="229" s="1"/>
  <c r="I3218" i="229"/>
  <c r="C3218" i="229"/>
  <c r="I3217" i="229"/>
  <c r="C3217" i="229"/>
  <c r="I3216" i="229"/>
  <c r="J3216" i="229" s="1"/>
  <c r="C3216" i="229"/>
  <c r="D3216" i="229" s="1"/>
  <c r="I3215" i="229"/>
  <c r="C3215" i="229"/>
  <c r="I3214" i="229"/>
  <c r="C3214" i="229"/>
  <c r="I3213" i="229"/>
  <c r="J3213" i="229" s="1"/>
  <c r="J3224" i="229" s="1"/>
  <c r="C3213" i="229"/>
  <c r="D3213" i="229" s="1"/>
  <c r="D3224" i="229" s="1"/>
  <c r="G3211" i="229"/>
  <c r="A3211" i="229"/>
  <c r="J3205" i="229"/>
  <c r="D3205" i="229"/>
  <c r="J3204" i="229"/>
  <c r="I3204" i="229"/>
  <c r="D3204" i="229"/>
  <c r="C3204" i="229"/>
  <c r="I3203" i="229"/>
  <c r="J3203" i="229" s="1"/>
  <c r="C3203" i="229"/>
  <c r="D3203" i="229" s="1"/>
  <c r="I3202" i="229"/>
  <c r="C3202" i="229"/>
  <c r="I3201" i="229"/>
  <c r="C3201" i="229"/>
  <c r="I3200" i="229"/>
  <c r="J3200" i="229" s="1"/>
  <c r="C3200" i="229"/>
  <c r="D3200" i="229" s="1"/>
  <c r="I3199" i="229"/>
  <c r="C3199" i="229"/>
  <c r="I3198" i="229"/>
  <c r="C3198" i="229"/>
  <c r="I3197" i="229"/>
  <c r="J3197" i="229" s="1"/>
  <c r="J3208" i="229" s="1"/>
  <c r="C3197" i="229"/>
  <c r="D3197" i="229" s="1"/>
  <c r="D3208" i="229" s="1"/>
  <c r="G3195" i="229"/>
  <c r="A3195" i="229"/>
  <c r="J3189" i="229"/>
  <c r="D3189" i="229"/>
  <c r="J3188" i="229"/>
  <c r="I3188" i="229"/>
  <c r="D3188" i="229"/>
  <c r="C3188" i="229"/>
  <c r="I3187" i="229"/>
  <c r="J3187" i="229" s="1"/>
  <c r="C3187" i="229"/>
  <c r="D3187" i="229" s="1"/>
  <c r="I3186" i="229"/>
  <c r="C3186" i="229"/>
  <c r="I3185" i="229"/>
  <c r="C3185" i="229"/>
  <c r="I3184" i="229"/>
  <c r="J3184" i="229" s="1"/>
  <c r="C3184" i="229"/>
  <c r="D3184" i="229" s="1"/>
  <c r="I3183" i="229"/>
  <c r="C3183" i="229"/>
  <c r="I3182" i="229"/>
  <c r="C3182" i="229"/>
  <c r="I3181" i="229"/>
  <c r="J3181" i="229" s="1"/>
  <c r="J3192" i="229" s="1"/>
  <c r="C3181" i="229"/>
  <c r="D3181" i="229" s="1"/>
  <c r="D3192" i="229" s="1"/>
  <c r="G3179" i="229"/>
  <c r="A3179" i="229"/>
  <c r="J3172" i="229"/>
  <c r="D3172" i="229"/>
  <c r="J3171" i="229"/>
  <c r="I3171" i="229"/>
  <c r="D3171" i="229"/>
  <c r="C3171" i="229"/>
  <c r="I3170" i="229"/>
  <c r="J3170" i="229" s="1"/>
  <c r="C3170" i="229"/>
  <c r="D3170" i="229" s="1"/>
  <c r="I3169" i="229"/>
  <c r="C3169" i="229"/>
  <c r="I3168" i="229"/>
  <c r="C3168" i="229"/>
  <c r="I3167" i="229"/>
  <c r="J3167" i="229" s="1"/>
  <c r="C3167" i="229"/>
  <c r="D3167" i="229" s="1"/>
  <c r="I3166" i="229"/>
  <c r="C3166" i="229"/>
  <c r="I3165" i="229"/>
  <c r="C3165" i="229"/>
  <c r="I3164" i="229"/>
  <c r="J3164" i="229" s="1"/>
  <c r="J3175" i="229" s="1"/>
  <c r="C3164" i="229"/>
  <c r="D3164" i="229" s="1"/>
  <c r="D3175" i="229" s="1"/>
  <c r="G3162" i="229"/>
  <c r="A3162" i="229"/>
  <c r="J3156" i="229"/>
  <c r="D3156" i="229"/>
  <c r="J3155" i="229"/>
  <c r="I3155" i="229"/>
  <c r="D3155" i="229"/>
  <c r="C3155" i="229"/>
  <c r="I3154" i="229"/>
  <c r="J3154" i="229" s="1"/>
  <c r="C3154" i="229"/>
  <c r="D3154" i="229" s="1"/>
  <c r="I3153" i="229"/>
  <c r="C3153" i="229"/>
  <c r="I3152" i="229"/>
  <c r="C3152" i="229"/>
  <c r="I3151" i="229"/>
  <c r="J3151" i="229" s="1"/>
  <c r="C3151" i="229"/>
  <c r="D3151" i="229" s="1"/>
  <c r="I3150" i="229"/>
  <c r="C3150" i="229"/>
  <c r="I3149" i="229"/>
  <c r="C3149" i="229"/>
  <c r="I3148" i="229"/>
  <c r="J3148" i="229" s="1"/>
  <c r="J3159" i="229" s="1"/>
  <c r="C3148" i="229"/>
  <c r="D3148" i="229" s="1"/>
  <c r="D3159" i="229" s="1"/>
  <c r="G3146" i="229"/>
  <c r="A3146" i="229"/>
  <c r="J3140" i="229"/>
  <c r="D3140" i="229"/>
  <c r="J3139" i="229"/>
  <c r="I3139" i="229"/>
  <c r="D3139" i="229"/>
  <c r="C3139" i="229"/>
  <c r="I3138" i="229"/>
  <c r="J3138" i="229" s="1"/>
  <c r="C3138" i="229"/>
  <c r="D3138" i="229" s="1"/>
  <c r="I3137" i="229"/>
  <c r="C3137" i="229"/>
  <c r="I3136" i="229"/>
  <c r="C3136" i="229"/>
  <c r="I3135" i="229"/>
  <c r="J3135" i="229" s="1"/>
  <c r="C3135" i="229"/>
  <c r="D3135" i="229" s="1"/>
  <c r="I3134" i="229"/>
  <c r="C3134" i="229"/>
  <c r="I3133" i="229"/>
  <c r="C3133" i="229"/>
  <c r="I3132" i="229"/>
  <c r="J3132" i="229" s="1"/>
  <c r="J3143" i="229" s="1"/>
  <c r="C3132" i="229"/>
  <c r="D3132" i="229" s="1"/>
  <c r="D3143" i="229" s="1"/>
  <c r="G3130" i="229"/>
  <c r="A3130" i="229"/>
  <c r="J3124" i="229"/>
  <c r="D3124" i="229"/>
  <c r="J3123" i="229"/>
  <c r="I3123" i="229"/>
  <c r="D3123" i="229"/>
  <c r="C3123" i="229"/>
  <c r="I3122" i="229"/>
  <c r="J3122" i="229" s="1"/>
  <c r="C3122" i="229"/>
  <c r="D3122" i="229" s="1"/>
  <c r="I3121" i="229"/>
  <c r="C3121" i="229"/>
  <c r="I3120" i="229"/>
  <c r="C3120" i="229"/>
  <c r="I3119" i="229"/>
  <c r="J3119" i="229" s="1"/>
  <c r="C3119" i="229"/>
  <c r="D3119" i="229" s="1"/>
  <c r="I3118" i="229"/>
  <c r="C3118" i="229"/>
  <c r="I3117" i="229"/>
  <c r="C3117" i="229"/>
  <c r="I3116" i="229"/>
  <c r="J3116" i="229" s="1"/>
  <c r="J3127" i="229" s="1"/>
  <c r="C3116" i="229"/>
  <c r="D3116" i="229" s="1"/>
  <c r="D3127" i="229" s="1"/>
  <c r="G3114" i="229"/>
  <c r="A3114" i="229"/>
  <c r="J3107" i="229"/>
  <c r="D3107" i="229"/>
  <c r="J3106" i="229"/>
  <c r="I3106" i="229"/>
  <c r="D3106" i="229"/>
  <c r="C3106" i="229"/>
  <c r="I3105" i="229"/>
  <c r="J3105" i="229" s="1"/>
  <c r="C3105" i="229"/>
  <c r="D3105" i="229" s="1"/>
  <c r="I3104" i="229"/>
  <c r="C3104" i="229"/>
  <c r="I3103" i="229"/>
  <c r="C3103" i="229"/>
  <c r="I3102" i="229"/>
  <c r="J3102" i="229" s="1"/>
  <c r="C3102" i="229"/>
  <c r="D3102" i="229" s="1"/>
  <c r="I3101" i="229"/>
  <c r="C3101" i="229"/>
  <c r="I3100" i="229"/>
  <c r="C3100" i="229"/>
  <c r="I3099" i="229"/>
  <c r="J3099" i="229" s="1"/>
  <c r="J3110" i="229" s="1"/>
  <c r="C3099" i="229"/>
  <c r="D3099" i="229" s="1"/>
  <c r="D3110" i="229" s="1"/>
  <c r="G3097" i="229"/>
  <c r="A3097" i="229"/>
  <c r="J3091" i="229"/>
  <c r="D3091" i="229"/>
  <c r="J3090" i="229"/>
  <c r="I3090" i="229"/>
  <c r="D3090" i="229"/>
  <c r="C3090" i="229"/>
  <c r="I3089" i="229"/>
  <c r="J3089" i="229" s="1"/>
  <c r="C3089" i="229"/>
  <c r="D3089" i="229" s="1"/>
  <c r="I3088" i="229"/>
  <c r="C3088" i="229"/>
  <c r="I3087" i="229"/>
  <c r="C3087" i="229"/>
  <c r="I3086" i="229"/>
  <c r="J3086" i="229" s="1"/>
  <c r="C3086" i="229"/>
  <c r="D3086" i="229" s="1"/>
  <c r="I3085" i="229"/>
  <c r="C3085" i="229"/>
  <c r="I3084" i="229"/>
  <c r="C3084" i="229"/>
  <c r="I3083" i="229"/>
  <c r="J3083" i="229" s="1"/>
  <c r="J3094" i="229" s="1"/>
  <c r="C3083" i="229"/>
  <c r="D3083" i="229" s="1"/>
  <c r="D3094" i="229" s="1"/>
  <c r="G3081" i="229"/>
  <c r="A3081" i="229"/>
  <c r="J3075" i="229"/>
  <c r="D3075" i="229"/>
  <c r="J3074" i="229"/>
  <c r="I3074" i="229"/>
  <c r="D3074" i="229"/>
  <c r="C3074" i="229"/>
  <c r="I3073" i="229"/>
  <c r="J3073" i="229" s="1"/>
  <c r="C3073" i="229"/>
  <c r="D3073" i="229" s="1"/>
  <c r="I3072" i="229"/>
  <c r="C3072" i="229"/>
  <c r="I3071" i="229"/>
  <c r="C3071" i="229"/>
  <c r="I3070" i="229"/>
  <c r="J3070" i="229" s="1"/>
  <c r="C3070" i="229"/>
  <c r="D3070" i="229" s="1"/>
  <c r="I3069" i="229"/>
  <c r="C3069" i="229"/>
  <c r="I3068" i="229"/>
  <c r="C3068" i="229"/>
  <c r="I3067" i="229"/>
  <c r="J3067" i="229" s="1"/>
  <c r="J3078" i="229" s="1"/>
  <c r="C3067" i="229"/>
  <c r="D3067" i="229" s="1"/>
  <c r="D3078" i="229" s="1"/>
  <c r="G3065" i="229"/>
  <c r="A3065" i="229"/>
  <c r="J3059" i="229"/>
  <c r="D3059" i="229"/>
  <c r="J3058" i="229"/>
  <c r="I3058" i="229"/>
  <c r="D3058" i="229"/>
  <c r="C3058" i="229"/>
  <c r="I3057" i="229"/>
  <c r="J3057" i="229" s="1"/>
  <c r="C3057" i="229"/>
  <c r="D3057" i="229" s="1"/>
  <c r="I3056" i="229"/>
  <c r="C3056" i="229"/>
  <c r="I3055" i="229"/>
  <c r="C3055" i="229"/>
  <c r="I3054" i="229"/>
  <c r="J3054" i="229" s="1"/>
  <c r="C3054" i="229"/>
  <c r="D3054" i="229" s="1"/>
  <c r="I3053" i="229"/>
  <c r="C3053" i="229"/>
  <c r="I3052" i="229"/>
  <c r="C3052" i="229"/>
  <c r="I3051" i="229"/>
  <c r="J3051" i="229" s="1"/>
  <c r="J3062" i="229" s="1"/>
  <c r="C3051" i="229"/>
  <c r="D3051" i="229" s="1"/>
  <c r="D3062" i="229" s="1"/>
  <c r="G3049" i="229"/>
  <c r="A3049" i="229"/>
  <c r="J3042" i="229"/>
  <c r="D3042" i="229"/>
  <c r="J3041" i="229"/>
  <c r="I3041" i="229"/>
  <c r="D3041" i="229"/>
  <c r="C3041" i="229"/>
  <c r="I3040" i="229"/>
  <c r="J3040" i="229" s="1"/>
  <c r="C3040" i="229"/>
  <c r="D3040" i="229" s="1"/>
  <c r="I3039" i="229"/>
  <c r="C3039" i="229"/>
  <c r="I3038" i="229"/>
  <c r="C3038" i="229"/>
  <c r="I3037" i="229"/>
  <c r="J3037" i="229" s="1"/>
  <c r="C3037" i="229"/>
  <c r="D3037" i="229" s="1"/>
  <c r="I3036" i="229"/>
  <c r="C3036" i="229"/>
  <c r="I3035" i="229"/>
  <c r="C3035" i="229"/>
  <c r="I3034" i="229"/>
  <c r="J3034" i="229" s="1"/>
  <c r="J3045" i="229" s="1"/>
  <c r="C3034" i="229"/>
  <c r="D3034" i="229" s="1"/>
  <c r="D3045" i="229" s="1"/>
  <c r="G3032" i="229"/>
  <c r="A3032" i="229"/>
  <c r="J3026" i="229"/>
  <c r="D3026" i="229"/>
  <c r="J3025" i="229"/>
  <c r="I3025" i="229"/>
  <c r="D3025" i="229"/>
  <c r="C3025" i="229"/>
  <c r="I3024" i="229"/>
  <c r="J3024" i="229" s="1"/>
  <c r="C3024" i="229"/>
  <c r="D3024" i="229" s="1"/>
  <c r="I3023" i="229"/>
  <c r="C3023" i="229"/>
  <c r="I3022" i="229"/>
  <c r="C3022" i="229"/>
  <c r="I3021" i="229"/>
  <c r="J3021" i="229" s="1"/>
  <c r="C3021" i="229"/>
  <c r="D3021" i="229" s="1"/>
  <c r="I3020" i="229"/>
  <c r="C3020" i="229"/>
  <c r="I3019" i="229"/>
  <c r="C3019" i="229"/>
  <c r="I3018" i="229"/>
  <c r="J3018" i="229" s="1"/>
  <c r="J3029" i="229" s="1"/>
  <c r="C3018" i="229"/>
  <c r="D3018" i="229" s="1"/>
  <c r="D3029" i="229" s="1"/>
  <c r="G3016" i="229"/>
  <c r="A3016" i="229"/>
  <c r="J3010" i="229"/>
  <c r="D3010" i="229"/>
  <c r="J3009" i="229"/>
  <c r="I3009" i="229"/>
  <c r="D3009" i="229"/>
  <c r="C3009" i="229"/>
  <c r="I3008" i="229"/>
  <c r="J3008" i="229" s="1"/>
  <c r="C3008" i="229"/>
  <c r="D3008" i="229" s="1"/>
  <c r="I3007" i="229"/>
  <c r="C3007" i="229"/>
  <c r="I3006" i="229"/>
  <c r="C3006" i="229"/>
  <c r="I3005" i="229"/>
  <c r="J3005" i="229" s="1"/>
  <c r="C3005" i="229"/>
  <c r="D3005" i="229" s="1"/>
  <c r="I3004" i="229"/>
  <c r="C3004" i="229"/>
  <c r="I3003" i="229"/>
  <c r="C3003" i="229"/>
  <c r="I3002" i="229"/>
  <c r="J3002" i="229" s="1"/>
  <c r="J3013" i="229" s="1"/>
  <c r="C3002" i="229"/>
  <c r="D3002" i="229" s="1"/>
  <c r="D3013" i="229" s="1"/>
  <c r="G3000" i="229"/>
  <c r="A3000" i="229"/>
  <c r="J2994" i="229"/>
  <c r="D2994" i="229"/>
  <c r="J2993" i="229"/>
  <c r="I2993" i="229"/>
  <c r="D2993" i="229"/>
  <c r="C2993" i="229"/>
  <c r="I2992" i="229"/>
  <c r="J2992" i="229" s="1"/>
  <c r="C2992" i="229"/>
  <c r="D2992" i="229" s="1"/>
  <c r="I2991" i="229"/>
  <c r="C2991" i="229"/>
  <c r="I2990" i="229"/>
  <c r="C2990" i="229"/>
  <c r="I2989" i="229"/>
  <c r="J2989" i="229" s="1"/>
  <c r="C2989" i="229"/>
  <c r="D2989" i="229" s="1"/>
  <c r="I2988" i="229"/>
  <c r="C2988" i="229"/>
  <c r="I2987" i="229"/>
  <c r="C2987" i="229"/>
  <c r="I2986" i="229"/>
  <c r="J2986" i="229" s="1"/>
  <c r="J2997" i="229" s="1"/>
  <c r="C2986" i="229"/>
  <c r="D2986" i="229" s="1"/>
  <c r="D2997" i="229" s="1"/>
  <c r="G2984" i="229"/>
  <c r="A2984" i="229"/>
  <c r="J2977" i="229"/>
  <c r="D2977" i="229"/>
  <c r="J2976" i="229"/>
  <c r="I2976" i="229"/>
  <c r="D2976" i="229"/>
  <c r="C2976" i="229"/>
  <c r="I2975" i="229"/>
  <c r="J2975" i="229" s="1"/>
  <c r="C2975" i="229"/>
  <c r="D2975" i="229" s="1"/>
  <c r="I2974" i="229"/>
  <c r="C2974" i="229"/>
  <c r="I2973" i="229"/>
  <c r="C2973" i="229"/>
  <c r="I2972" i="229"/>
  <c r="J2972" i="229" s="1"/>
  <c r="C2972" i="229"/>
  <c r="D2972" i="229" s="1"/>
  <c r="I2971" i="229"/>
  <c r="C2971" i="229"/>
  <c r="I2970" i="229"/>
  <c r="C2970" i="229"/>
  <c r="I2969" i="229"/>
  <c r="J2969" i="229" s="1"/>
  <c r="J2980" i="229" s="1"/>
  <c r="C2969" i="229"/>
  <c r="D2969" i="229" s="1"/>
  <c r="D2980" i="229" s="1"/>
  <c r="G2967" i="229"/>
  <c r="A2967" i="229"/>
  <c r="J2961" i="229"/>
  <c r="D2961" i="229"/>
  <c r="J2960" i="229"/>
  <c r="I2960" i="229"/>
  <c r="D2960" i="229"/>
  <c r="C2960" i="229"/>
  <c r="I2959" i="229"/>
  <c r="J2959" i="229" s="1"/>
  <c r="C2959" i="229"/>
  <c r="D2959" i="229" s="1"/>
  <c r="I2958" i="229"/>
  <c r="C2958" i="229"/>
  <c r="I2957" i="229"/>
  <c r="C2957" i="229"/>
  <c r="I2956" i="229"/>
  <c r="J2956" i="229" s="1"/>
  <c r="C2956" i="229"/>
  <c r="D2956" i="229" s="1"/>
  <c r="I2955" i="229"/>
  <c r="C2955" i="229"/>
  <c r="I2954" i="229"/>
  <c r="C2954" i="229"/>
  <c r="I2953" i="229"/>
  <c r="J2953" i="229" s="1"/>
  <c r="J2964" i="229" s="1"/>
  <c r="C2953" i="229"/>
  <c r="D2953" i="229" s="1"/>
  <c r="D2964" i="229" s="1"/>
  <c r="G2951" i="229"/>
  <c r="A2951" i="229"/>
  <c r="J2945" i="229"/>
  <c r="D2945" i="229"/>
  <c r="J2944" i="229"/>
  <c r="I2944" i="229"/>
  <c r="D2944" i="229"/>
  <c r="C2944" i="229"/>
  <c r="I2943" i="229"/>
  <c r="J2943" i="229" s="1"/>
  <c r="C2943" i="229"/>
  <c r="D2943" i="229" s="1"/>
  <c r="I2942" i="229"/>
  <c r="C2942" i="229"/>
  <c r="I2941" i="229"/>
  <c r="C2941" i="229"/>
  <c r="I2940" i="229"/>
  <c r="J2940" i="229" s="1"/>
  <c r="C2940" i="229"/>
  <c r="D2940" i="229" s="1"/>
  <c r="I2939" i="229"/>
  <c r="C2939" i="229"/>
  <c r="I2938" i="229"/>
  <c r="C2938" i="229"/>
  <c r="I2937" i="229"/>
  <c r="J2937" i="229" s="1"/>
  <c r="J2948" i="229" s="1"/>
  <c r="C2937" i="229"/>
  <c r="D2937" i="229" s="1"/>
  <c r="D2948" i="229" s="1"/>
  <c r="G2935" i="229"/>
  <c r="A2935" i="229"/>
  <c r="J2929" i="229"/>
  <c r="D2929" i="229"/>
  <c r="J2928" i="229"/>
  <c r="I2928" i="229"/>
  <c r="D2928" i="229"/>
  <c r="C2928" i="229"/>
  <c r="I2927" i="229"/>
  <c r="J2927" i="229" s="1"/>
  <c r="C2927" i="229"/>
  <c r="D2927" i="229" s="1"/>
  <c r="I2926" i="229"/>
  <c r="C2926" i="229"/>
  <c r="I2925" i="229"/>
  <c r="C2925" i="229"/>
  <c r="I2924" i="229"/>
  <c r="J2924" i="229" s="1"/>
  <c r="C2924" i="229"/>
  <c r="D2924" i="229" s="1"/>
  <c r="I2923" i="229"/>
  <c r="C2923" i="229"/>
  <c r="I2922" i="229"/>
  <c r="C2922" i="229"/>
  <c r="I2921" i="229"/>
  <c r="J2921" i="229" s="1"/>
  <c r="J2932" i="229" s="1"/>
  <c r="C2921" i="229"/>
  <c r="D2921" i="229" s="1"/>
  <c r="D2932" i="229" s="1"/>
  <c r="G2919" i="229"/>
  <c r="A2919" i="229"/>
  <c r="J2912" i="229"/>
  <c r="D2912" i="229"/>
  <c r="J2911" i="229"/>
  <c r="I2911" i="229"/>
  <c r="D2911" i="229"/>
  <c r="C2911" i="229"/>
  <c r="I2910" i="229"/>
  <c r="J2910" i="229" s="1"/>
  <c r="C2910" i="229"/>
  <c r="D2910" i="229" s="1"/>
  <c r="I2909" i="229"/>
  <c r="C2909" i="229"/>
  <c r="I2908" i="229"/>
  <c r="C2908" i="229"/>
  <c r="I2907" i="229"/>
  <c r="J2907" i="229" s="1"/>
  <c r="C2907" i="229"/>
  <c r="D2907" i="229" s="1"/>
  <c r="I2906" i="229"/>
  <c r="C2906" i="229"/>
  <c r="I2905" i="229"/>
  <c r="C2905" i="229"/>
  <c r="I2904" i="229"/>
  <c r="J2904" i="229" s="1"/>
  <c r="J2915" i="229" s="1"/>
  <c r="C2904" i="229"/>
  <c r="D2904" i="229" s="1"/>
  <c r="D2915" i="229" s="1"/>
  <c r="G2902" i="229"/>
  <c r="A2902" i="229"/>
  <c r="J2896" i="229"/>
  <c r="D2896" i="229"/>
  <c r="J2895" i="229"/>
  <c r="I2895" i="229"/>
  <c r="D2895" i="229"/>
  <c r="C2895" i="229"/>
  <c r="I2894" i="229"/>
  <c r="J2894" i="229" s="1"/>
  <c r="C2894" i="229"/>
  <c r="D2894" i="229" s="1"/>
  <c r="I2893" i="229"/>
  <c r="C2893" i="229"/>
  <c r="I2892" i="229"/>
  <c r="C2892" i="229"/>
  <c r="I2891" i="229"/>
  <c r="J2891" i="229" s="1"/>
  <c r="C2891" i="229"/>
  <c r="D2891" i="229" s="1"/>
  <c r="I2890" i="229"/>
  <c r="C2890" i="229"/>
  <c r="I2889" i="229"/>
  <c r="C2889" i="229"/>
  <c r="I2888" i="229"/>
  <c r="J2888" i="229" s="1"/>
  <c r="J2899" i="229" s="1"/>
  <c r="C2888" i="229"/>
  <c r="D2888" i="229" s="1"/>
  <c r="D2899" i="229" s="1"/>
  <c r="G2886" i="229"/>
  <c r="A2886" i="229"/>
  <c r="J2880" i="229"/>
  <c r="D2880" i="229"/>
  <c r="J2879" i="229"/>
  <c r="I2879" i="229"/>
  <c r="D2879" i="229"/>
  <c r="C2879" i="229"/>
  <c r="I2878" i="229"/>
  <c r="J2878" i="229" s="1"/>
  <c r="C2878" i="229"/>
  <c r="D2878" i="229" s="1"/>
  <c r="I2877" i="229"/>
  <c r="C2877" i="229"/>
  <c r="I2876" i="229"/>
  <c r="C2876" i="229"/>
  <c r="I2875" i="229"/>
  <c r="J2875" i="229" s="1"/>
  <c r="C2875" i="229"/>
  <c r="D2875" i="229" s="1"/>
  <c r="I2874" i="229"/>
  <c r="C2874" i="229"/>
  <c r="I2873" i="229"/>
  <c r="C2873" i="229"/>
  <c r="I2872" i="229"/>
  <c r="J2872" i="229" s="1"/>
  <c r="J2883" i="229" s="1"/>
  <c r="C2872" i="229"/>
  <c r="D2872" i="229" s="1"/>
  <c r="D2883" i="229" s="1"/>
  <c r="G2870" i="229"/>
  <c r="A2870" i="229"/>
  <c r="J2864" i="229"/>
  <c r="D2864" i="229"/>
  <c r="J2863" i="229"/>
  <c r="I2863" i="229"/>
  <c r="D2863" i="229"/>
  <c r="C2863" i="229"/>
  <c r="I2862" i="229"/>
  <c r="J2862" i="229" s="1"/>
  <c r="C2862" i="229"/>
  <c r="D2862" i="229" s="1"/>
  <c r="I2861" i="229"/>
  <c r="C2861" i="229"/>
  <c r="I2860" i="229"/>
  <c r="C2860" i="229"/>
  <c r="I2859" i="229"/>
  <c r="J2859" i="229" s="1"/>
  <c r="C2859" i="229"/>
  <c r="D2859" i="229" s="1"/>
  <c r="I2858" i="229"/>
  <c r="C2858" i="229"/>
  <c r="I2857" i="229"/>
  <c r="C2857" i="229"/>
  <c r="I2856" i="229"/>
  <c r="J2856" i="229" s="1"/>
  <c r="J2867" i="229" s="1"/>
  <c r="C2856" i="229"/>
  <c r="D2856" i="229" s="1"/>
  <c r="D2867" i="229" s="1"/>
  <c r="G2854" i="229"/>
  <c r="A2854" i="229"/>
  <c r="J2847" i="229"/>
  <c r="D2847" i="229"/>
  <c r="J2846" i="229"/>
  <c r="I2846" i="229"/>
  <c r="D2846" i="229"/>
  <c r="C2846" i="229"/>
  <c r="I2845" i="229"/>
  <c r="J2845" i="229" s="1"/>
  <c r="C2845" i="229"/>
  <c r="D2845" i="229" s="1"/>
  <c r="I2844" i="229"/>
  <c r="C2844" i="229"/>
  <c r="I2843" i="229"/>
  <c r="C2843" i="229"/>
  <c r="I2842" i="229"/>
  <c r="J2842" i="229" s="1"/>
  <c r="C2842" i="229"/>
  <c r="D2842" i="229" s="1"/>
  <c r="I2841" i="229"/>
  <c r="C2841" i="229"/>
  <c r="I2840" i="229"/>
  <c r="C2840" i="229"/>
  <c r="I2839" i="229"/>
  <c r="J2839" i="229" s="1"/>
  <c r="J2850" i="229" s="1"/>
  <c r="C2839" i="229"/>
  <c r="D2839" i="229" s="1"/>
  <c r="D2850" i="229" s="1"/>
  <c r="G2837" i="229"/>
  <c r="A2837" i="229"/>
  <c r="J2831" i="229"/>
  <c r="D2831" i="229"/>
  <c r="J2830" i="229"/>
  <c r="I2830" i="229"/>
  <c r="D2830" i="229"/>
  <c r="C2830" i="229"/>
  <c r="I2829" i="229"/>
  <c r="J2829" i="229" s="1"/>
  <c r="C2829" i="229"/>
  <c r="D2829" i="229" s="1"/>
  <c r="I2828" i="229"/>
  <c r="C2828" i="229"/>
  <c r="I2827" i="229"/>
  <c r="C2827" i="229"/>
  <c r="I2826" i="229"/>
  <c r="J2826" i="229" s="1"/>
  <c r="C2826" i="229"/>
  <c r="D2826" i="229" s="1"/>
  <c r="I2825" i="229"/>
  <c r="C2825" i="229"/>
  <c r="I2824" i="229"/>
  <c r="C2824" i="229"/>
  <c r="I2823" i="229"/>
  <c r="J2823" i="229" s="1"/>
  <c r="J2834" i="229" s="1"/>
  <c r="C2823" i="229"/>
  <c r="D2823" i="229" s="1"/>
  <c r="D2834" i="229" s="1"/>
  <c r="G2821" i="229"/>
  <c r="A2821" i="229"/>
  <c r="J2815" i="229"/>
  <c r="D2815" i="229"/>
  <c r="J2814" i="229"/>
  <c r="I2814" i="229"/>
  <c r="D2814" i="229"/>
  <c r="C2814" i="229"/>
  <c r="I2813" i="229"/>
  <c r="J2813" i="229" s="1"/>
  <c r="C2813" i="229"/>
  <c r="D2813" i="229" s="1"/>
  <c r="I2812" i="229"/>
  <c r="C2812" i="229"/>
  <c r="I2811" i="229"/>
  <c r="C2811" i="229"/>
  <c r="I2810" i="229"/>
  <c r="J2810" i="229" s="1"/>
  <c r="C2810" i="229"/>
  <c r="D2810" i="229" s="1"/>
  <c r="I2809" i="229"/>
  <c r="C2809" i="229"/>
  <c r="I2808" i="229"/>
  <c r="C2808" i="229"/>
  <c r="I2807" i="229"/>
  <c r="J2807" i="229" s="1"/>
  <c r="J2818" i="229" s="1"/>
  <c r="C2807" i="229"/>
  <c r="D2807" i="229" s="1"/>
  <c r="D2818" i="229" s="1"/>
  <c r="G2805" i="229"/>
  <c r="A2805" i="229"/>
  <c r="J2799" i="229"/>
  <c r="D2799" i="229"/>
  <c r="J2798" i="229"/>
  <c r="I2798" i="229"/>
  <c r="D2798" i="229"/>
  <c r="C2798" i="229"/>
  <c r="I2797" i="229"/>
  <c r="J2797" i="229" s="1"/>
  <c r="C2797" i="229"/>
  <c r="D2797" i="229" s="1"/>
  <c r="I2796" i="229"/>
  <c r="C2796" i="229"/>
  <c r="I2795" i="229"/>
  <c r="C2795" i="229"/>
  <c r="I2794" i="229"/>
  <c r="J2794" i="229" s="1"/>
  <c r="C2794" i="229"/>
  <c r="D2794" i="229" s="1"/>
  <c r="I2793" i="229"/>
  <c r="C2793" i="229"/>
  <c r="I2792" i="229"/>
  <c r="C2792" i="229"/>
  <c r="I2791" i="229"/>
  <c r="J2791" i="229" s="1"/>
  <c r="J2802" i="229" s="1"/>
  <c r="C2791" i="229"/>
  <c r="D2791" i="229" s="1"/>
  <c r="D2802" i="229" s="1"/>
  <c r="G2789" i="229"/>
  <c r="A2789" i="229"/>
  <c r="J2782" i="229"/>
  <c r="D2782" i="229"/>
  <c r="J2781" i="229"/>
  <c r="I2781" i="229"/>
  <c r="D2781" i="229"/>
  <c r="C2781" i="229"/>
  <c r="I2780" i="229"/>
  <c r="J2780" i="229" s="1"/>
  <c r="C2780" i="229"/>
  <c r="D2780" i="229" s="1"/>
  <c r="I2779" i="229"/>
  <c r="C2779" i="229"/>
  <c r="I2778" i="229"/>
  <c r="C2778" i="229"/>
  <c r="I2777" i="229"/>
  <c r="J2777" i="229" s="1"/>
  <c r="C2777" i="229"/>
  <c r="D2777" i="229" s="1"/>
  <c r="I2776" i="229"/>
  <c r="C2776" i="229"/>
  <c r="I2775" i="229"/>
  <c r="C2775" i="229"/>
  <c r="I2774" i="229"/>
  <c r="J2774" i="229" s="1"/>
  <c r="J2785" i="229" s="1"/>
  <c r="C2774" i="229"/>
  <c r="D2774" i="229" s="1"/>
  <c r="D2785" i="229" s="1"/>
  <c r="G2772" i="229"/>
  <c r="A2772" i="229"/>
  <c r="J2766" i="229"/>
  <c r="D2766" i="229"/>
  <c r="J2765" i="229"/>
  <c r="I2765" i="229"/>
  <c r="D2765" i="229"/>
  <c r="C2765" i="229"/>
  <c r="I2764" i="229"/>
  <c r="J2764" i="229" s="1"/>
  <c r="C2764" i="229"/>
  <c r="D2764" i="229" s="1"/>
  <c r="I2763" i="229"/>
  <c r="C2763" i="229"/>
  <c r="I2762" i="229"/>
  <c r="C2762" i="229"/>
  <c r="I2761" i="229"/>
  <c r="J2761" i="229" s="1"/>
  <c r="C2761" i="229"/>
  <c r="D2761" i="229" s="1"/>
  <c r="I2760" i="229"/>
  <c r="C2760" i="229"/>
  <c r="I2759" i="229"/>
  <c r="C2759" i="229"/>
  <c r="I2758" i="229"/>
  <c r="J2758" i="229" s="1"/>
  <c r="J2769" i="229" s="1"/>
  <c r="C2758" i="229"/>
  <c r="D2758" i="229" s="1"/>
  <c r="D2769" i="229" s="1"/>
  <c r="G2756" i="229"/>
  <c r="A2756" i="229"/>
  <c r="J2750" i="229"/>
  <c r="D2750" i="229"/>
  <c r="J2749" i="229"/>
  <c r="I2749" i="229"/>
  <c r="D2749" i="229"/>
  <c r="C2749" i="229"/>
  <c r="I2748" i="229"/>
  <c r="J2748" i="229" s="1"/>
  <c r="C2748" i="229"/>
  <c r="D2748" i="229" s="1"/>
  <c r="I2747" i="229"/>
  <c r="C2747" i="229"/>
  <c r="I2746" i="229"/>
  <c r="C2746" i="229"/>
  <c r="I2745" i="229"/>
  <c r="J2745" i="229" s="1"/>
  <c r="C2745" i="229"/>
  <c r="D2745" i="229" s="1"/>
  <c r="I2744" i="229"/>
  <c r="C2744" i="229"/>
  <c r="I2743" i="229"/>
  <c r="C2743" i="229"/>
  <c r="I2742" i="229"/>
  <c r="J2742" i="229" s="1"/>
  <c r="J2753" i="229" s="1"/>
  <c r="C2742" i="229"/>
  <c r="D2742" i="229" s="1"/>
  <c r="D2753" i="229" s="1"/>
  <c r="G2740" i="229"/>
  <c r="A2740" i="229"/>
  <c r="J2734" i="229"/>
  <c r="D2734" i="229"/>
  <c r="J2733" i="229"/>
  <c r="I2733" i="229"/>
  <c r="D2733" i="229"/>
  <c r="C2733" i="229"/>
  <c r="I2732" i="229"/>
  <c r="J2732" i="229" s="1"/>
  <c r="C2732" i="229"/>
  <c r="D2732" i="229" s="1"/>
  <c r="I2731" i="229"/>
  <c r="C2731" i="229"/>
  <c r="I2730" i="229"/>
  <c r="C2730" i="229"/>
  <c r="I2729" i="229"/>
  <c r="J2729" i="229" s="1"/>
  <c r="C2729" i="229"/>
  <c r="D2729" i="229" s="1"/>
  <c r="I2728" i="229"/>
  <c r="C2728" i="229"/>
  <c r="I2727" i="229"/>
  <c r="C2727" i="229"/>
  <c r="I2726" i="229"/>
  <c r="J2726" i="229" s="1"/>
  <c r="J2737" i="229" s="1"/>
  <c r="C2726" i="229"/>
  <c r="D2726" i="229" s="1"/>
  <c r="D2737" i="229" s="1"/>
  <c r="G2724" i="229"/>
  <c r="A2724" i="229"/>
  <c r="J2717" i="229"/>
  <c r="D2717" i="229"/>
  <c r="J2716" i="229"/>
  <c r="I2716" i="229"/>
  <c r="D2716" i="229"/>
  <c r="C2716" i="229"/>
  <c r="I2715" i="229"/>
  <c r="J2715" i="229" s="1"/>
  <c r="C2715" i="229"/>
  <c r="D2715" i="229" s="1"/>
  <c r="I2714" i="229"/>
  <c r="C2714" i="229"/>
  <c r="I2713" i="229"/>
  <c r="C2713" i="229"/>
  <c r="I2712" i="229"/>
  <c r="J2712" i="229" s="1"/>
  <c r="C2712" i="229"/>
  <c r="D2712" i="229" s="1"/>
  <c r="I2711" i="229"/>
  <c r="C2711" i="229"/>
  <c r="I2710" i="229"/>
  <c r="C2710" i="229"/>
  <c r="I2709" i="229"/>
  <c r="J2709" i="229" s="1"/>
  <c r="J2720" i="229" s="1"/>
  <c r="C2709" i="229"/>
  <c r="D2709" i="229" s="1"/>
  <c r="D2720" i="229" s="1"/>
  <c r="G2707" i="229"/>
  <c r="A2707" i="229"/>
  <c r="J2701" i="229"/>
  <c r="D2701" i="229"/>
  <c r="J2700" i="229"/>
  <c r="I2700" i="229"/>
  <c r="D2700" i="229"/>
  <c r="C2700" i="229"/>
  <c r="I2699" i="229"/>
  <c r="J2699" i="229" s="1"/>
  <c r="C2699" i="229"/>
  <c r="D2699" i="229" s="1"/>
  <c r="I2698" i="229"/>
  <c r="C2698" i="229"/>
  <c r="I2697" i="229"/>
  <c r="C2697" i="229"/>
  <c r="I2696" i="229"/>
  <c r="J2696" i="229" s="1"/>
  <c r="C2696" i="229"/>
  <c r="D2696" i="229" s="1"/>
  <c r="I2695" i="229"/>
  <c r="C2695" i="229"/>
  <c r="I2694" i="229"/>
  <c r="C2694" i="229"/>
  <c r="I2693" i="229"/>
  <c r="J2693" i="229" s="1"/>
  <c r="J2704" i="229" s="1"/>
  <c r="C2693" i="229"/>
  <c r="D2693" i="229" s="1"/>
  <c r="D2704" i="229" s="1"/>
  <c r="G2691" i="229"/>
  <c r="A2691" i="229"/>
  <c r="J2685" i="229"/>
  <c r="D2685" i="229"/>
  <c r="J2684" i="229"/>
  <c r="I2684" i="229"/>
  <c r="D2684" i="229"/>
  <c r="C2684" i="229"/>
  <c r="I2683" i="229"/>
  <c r="J2683" i="229" s="1"/>
  <c r="C2683" i="229"/>
  <c r="D2683" i="229" s="1"/>
  <c r="I2682" i="229"/>
  <c r="C2682" i="229"/>
  <c r="I2681" i="229"/>
  <c r="C2681" i="229"/>
  <c r="I2680" i="229"/>
  <c r="J2680" i="229" s="1"/>
  <c r="C2680" i="229"/>
  <c r="D2680" i="229" s="1"/>
  <c r="I2679" i="229"/>
  <c r="C2679" i="229"/>
  <c r="I2678" i="229"/>
  <c r="C2678" i="229"/>
  <c r="I2677" i="229"/>
  <c r="J2677" i="229" s="1"/>
  <c r="J2688" i="229" s="1"/>
  <c r="C2677" i="229"/>
  <c r="D2677" i="229" s="1"/>
  <c r="D2688" i="229" s="1"/>
  <c r="G2675" i="229"/>
  <c r="A2675" i="229"/>
  <c r="J2669" i="229"/>
  <c r="D2669" i="229"/>
  <c r="J2668" i="229"/>
  <c r="I2668" i="229"/>
  <c r="D2668" i="229"/>
  <c r="C2668" i="229"/>
  <c r="I2667" i="229"/>
  <c r="J2667" i="229" s="1"/>
  <c r="C2667" i="229"/>
  <c r="D2667" i="229" s="1"/>
  <c r="I2666" i="229"/>
  <c r="C2666" i="229"/>
  <c r="I2665" i="229"/>
  <c r="C2665" i="229"/>
  <c r="I2664" i="229"/>
  <c r="J2664" i="229" s="1"/>
  <c r="C2664" i="229"/>
  <c r="D2664" i="229" s="1"/>
  <c r="I2663" i="229"/>
  <c r="C2663" i="229"/>
  <c r="I2662" i="229"/>
  <c r="C2662" i="229"/>
  <c r="I2661" i="229"/>
  <c r="J2661" i="229" s="1"/>
  <c r="J2672" i="229" s="1"/>
  <c r="C2661" i="229"/>
  <c r="D2661" i="229" s="1"/>
  <c r="D2672" i="229" s="1"/>
  <c r="G2659" i="229"/>
  <c r="A2659" i="229"/>
  <c r="J2656" i="229"/>
  <c r="D2656" i="229"/>
  <c r="G2643" i="229"/>
  <c r="A2643" i="229"/>
  <c r="J2640" i="229"/>
  <c r="D2640" i="229"/>
  <c r="G2627" i="229"/>
  <c r="A2627" i="229"/>
  <c r="M2620" i="229"/>
  <c r="J2616" i="229"/>
  <c r="I2616" i="229"/>
  <c r="D2616" i="229"/>
  <c r="C2616" i="229"/>
  <c r="I2615" i="229"/>
  <c r="J2615" i="229" s="1"/>
  <c r="C2615" i="229"/>
  <c r="D2615" i="229" s="1"/>
  <c r="I2614" i="229"/>
  <c r="C2614" i="229"/>
  <c r="I2613" i="229"/>
  <c r="C2613" i="229"/>
  <c r="I2612" i="229"/>
  <c r="J2612" i="229" s="1"/>
  <c r="C2612" i="229"/>
  <c r="D2612" i="229" s="1"/>
  <c r="I2611" i="229"/>
  <c r="C2611" i="229"/>
  <c r="I2610" i="229"/>
  <c r="C2610" i="229"/>
  <c r="I2609" i="229"/>
  <c r="J2609" i="229" s="1"/>
  <c r="C2609" i="229"/>
  <c r="D2609" i="229" s="1"/>
  <c r="G2607" i="229"/>
  <c r="A2607" i="229"/>
  <c r="J2600" i="229"/>
  <c r="D2600" i="229"/>
  <c r="J2599" i="229"/>
  <c r="I2599" i="229"/>
  <c r="D2599" i="229"/>
  <c r="C2599" i="229"/>
  <c r="I2598" i="229"/>
  <c r="J2598" i="229" s="1"/>
  <c r="C2598" i="229"/>
  <c r="D2598" i="229" s="1"/>
  <c r="I2597" i="229"/>
  <c r="C2597" i="229"/>
  <c r="I2596" i="229"/>
  <c r="C2596" i="229"/>
  <c r="I2595" i="229"/>
  <c r="J2595" i="229" s="1"/>
  <c r="C2595" i="229"/>
  <c r="D2595" i="229" s="1"/>
  <c r="I2594" i="229"/>
  <c r="C2594" i="229"/>
  <c r="I2593" i="229"/>
  <c r="C2593" i="229"/>
  <c r="I2592" i="229"/>
  <c r="J2592" i="229" s="1"/>
  <c r="C2592" i="229"/>
  <c r="D2592" i="229" s="1"/>
  <c r="D2603" i="229" s="1"/>
  <c r="G2590" i="229"/>
  <c r="A2590" i="229"/>
  <c r="D2584" i="229"/>
  <c r="D2583" i="229"/>
  <c r="C2583" i="229"/>
  <c r="I2582" i="229"/>
  <c r="J2582" i="229" s="1"/>
  <c r="C2582" i="229"/>
  <c r="D2582" i="229" s="1"/>
  <c r="I2581" i="229"/>
  <c r="C2581" i="229"/>
  <c r="I2580" i="229"/>
  <c r="C2580" i="229"/>
  <c r="I2579" i="229"/>
  <c r="J2579" i="229" s="1"/>
  <c r="C2579" i="229"/>
  <c r="D2579" i="229" s="1"/>
  <c r="I2578" i="229"/>
  <c r="C2578" i="229"/>
  <c r="I2577" i="229"/>
  <c r="C2577" i="229"/>
  <c r="C2576" i="229"/>
  <c r="D2576" i="229" s="1"/>
  <c r="D2587" i="229" s="1"/>
  <c r="G2574" i="229"/>
  <c r="A2574" i="229"/>
  <c r="J2568" i="229"/>
  <c r="D2568" i="229"/>
  <c r="J2567" i="229"/>
  <c r="I2567" i="229"/>
  <c r="D2567" i="229"/>
  <c r="C2567" i="229"/>
  <c r="I2566" i="229"/>
  <c r="J2566" i="229" s="1"/>
  <c r="C2566" i="229"/>
  <c r="D2566" i="229" s="1"/>
  <c r="I2565" i="229"/>
  <c r="C2565" i="229"/>
  <c r="I2564" i="229"/>
  <c r="C2564" i="229"/>
  <c r="I2563" i="229"/>
  <c r="J2563" i="229" s="1"/>
  <c r="C2563" i="229"/>
  <c r="D2563" i="229" s="1"/>
  <c r="I2562" i="229"/>
  <c r="C2562" i="229"/>
  <c r="I2561" i="229"/>
  <c r="C2561" i="229"/>
  <c r="I2560" i="229"/>
  <c r="J2560" i="229" s="1"/>
  <c r="J2571" i="229" s="1"/>
  <c r="C2560" i="229"/>
  <c r="D2560" i="229" s="1"/>
  <c r="D2571" i="229" s="1"/>
  <c r="G2558" i="229"/>
  <c r="A2558" i="229"/>
  <c r="J2552" i="229"/>
  <c r="D2552" i="229"/>
  <c r="J2551" i="229"/>
  <c r="I2551" i="229"/>
  <c r="D2551" i="229"/>
  <c r="C2551" i="229"/>
  <c r="I2550" i="229"/>
  <c r="J2550" i="229" s="1"/>
  <c r="C2550" i="229"/>
  <c r="D2550" i="229" s="1"/>
  <c r="I2549" i="229"/>
  <c r="C2549" i="229"/>
  <c r="I2548" i="229"/>
  <c r="C2548" i="229"/>
  <c r="I2547" i="229"/>
  <c r="J2547" i="229" s="1"/>
  <c r="C2547" i="229"/>
  <c r="D2547" i="229" s="1"/>
  <c r="I2546" i="229"/>
  <c r="C2546" i="229"/>
  <c r="I2545" i="229"/>
  <c r="C2545" i="229"/>
  <c r="I2544" i="229"/>
  <c r="J2544" i="229" s="1"/>
  <c r="J2555" i="229" s="1"/>
  <c r="C2544" i="229"/>
  <c r="D2544" i="229" s="1"/>
  <c r="D2555" i="229" s="1"/>
  <c r="G2542" i="229"/>
  <c r="A2542" i="229"/>
  <c r="J2535" i="229"/>
  <c r="D2535" i="229"/>
  <c r="J2534" i="229"/>
  <c r="I2534" i="229"/>
  <c r="D2534" i="229"/>
  <c r="C2534" i="229"/>
  <c r="I2533" i="229"/>
  <c r="J2533" i="229" s="1"/>
  <c r="C2533" i="229"/>
  <c r="D2533" i="229" s="1"/>
  <c r="I2532" i="229"/>
  <c r="C2532" i="229"/>
  <c r="I2531" i="229"/>
  <c r="C2531" i="229"/>
  <c r="I2530" i="229"/>
  <c r="J2530" i="229" s="1"/>
  <c r="C2530" i="229"/>
  <c r="D2530" i="229" s="1"/>
  <c r="I2529" i="229"/>
  <c r="C2529" i="229"/>
  <c r="I2528" i="229"/>
  <c r="C2528" i="229"/>
  <c r="I2527" i="229"/>
  <c r="J2527" i="229" s="1"/>
  <c r="J2538" i="229" s="1"/>
  <c r="C2527" i="229"/>
  <c r="D2527" i="229" s="1"/>
  <c r="D2538" i="229" s="1"/>
  <c r="G2525" i="229"/>
  <c r="A2525" i="229"/>
  <c r="J2519" i="229"/>
  <c r="D2519" i="229"/>
  <c r="J2518" i="229"/>
  <c r="I2518" i="229"/>
  <c r="D2518" i="229"/>
  <c r="C2518" i="229"/>
  <c r="I2517" i="229"/>
  <c r="J2517" i="229" s="1"/>
  <c r="C2517" i="229"/>
  <c r="D2517" i="229" s="1"/>
  <c r="I2516" i="229"/>
  <c r="C2516" i="229"/>
  <c r="I2515" i="229"/>
  <c r="C2515" i="229"/>
  <c r="I2514" i="229"/>
  <c r="J2514" i="229" s="1"/>
  <c r="C2514" i="229"/>
  <c r="D2514" i="229" s="1"/>
  <c r="I2513" i="229"/>
  <c r="C2513" i="229"/>
  <c r="I2512" i="229"/>
  <c r="C2512" i="229"/>
  <c r="I2511" i="229"/>
  <c r="J2511" i="229" s="1"/>
  <c r="J2522" i="229" s="1"/>
  <c r="C2511" i="229"/>
  <c r="D2511" i="229" s="1"/>
  <c r="D2522" i="229" s="1"/>
  <c r="G2509" i="229"/>
  <c r="A2509" i="229"/>
  <c r="J2503" i="229"/>
  <c r="D2503" i="229"/>
  <c r="J2502" i="229"/>
  <c r="I2502" i="229"/>
  <c r="D2502" i="229"/>
  <c r="C2502" i="229"/>
  <c r="I2501" i="229"/>
  <c r="J2501" i="229" s="1"/>
  <c r="C2501" i="229"/>
  <c r="D2501" i="229" s="1"/>
  <c r="I2500" i="229"/>
  <c r="C2500" i="229"/>
  <c r="I2499" i="229"/>
  <c r="C2499" i="229"/>
  <c r="I2498" i="229"/>
  <c r="J2498" i="229" s="1"/>
  <c r="C2498" i="229"/>
  <c r="D2498" i="229" s="1"/>
  <c r="I2497" i="229"/>
  <c r="C2497" i="229"/>
  <c r="I2496" i="229"/>
  <c r="C2496" i="229"/>
  <c r="I2495" i="229"/>
  <c r="J2495" i="229" s="1"/>
  <c r="J2506" i="229" s="1"/>
  <c r="C2495" i="229"/>
  <c r="D2495" i="229" s="1"/>
  <c r="D2506" i="229" s="1"/>
  <c r="G2493" i="229"/>
  <c r="A2493" i="229"/>
  <c r="J2487" i="229"/>
  <c r="D2487" i="229"/>
  <c r="J2486" i="229"/>
  <c r="I2486" i="229"/>
  <c r="D2486" i="229"/>
  <c r="C2486" i="229"/>
  <c r="I2485" i="229"/>
  <c r="J2485" i="229" s="1"/>
  <c r="C2485" i="229"/>
  <c r="D2485" i="229" s="1"/>
  <c r="I2484" i="229"/>
  <c r="C2484" i="229"/>
  <c r="I2483" i="229"/>
  <c r="C2483" i="229"/>
  <c r="I2482" i="229"/>
  <c r="J2482" i="229" s="1"/>
  <c r="C2482" i="229"/>
  <c r="D2482" i="229" s="1"/>
  <c r="I2481" i="229"/>
  <c r="C2481" i="229"/>
  <c r="I2480" i="229"/>
  <c r="C2480" i="229"/>
  <c r="I2479" i="229"/>
  <c r="J2479" i="229" s="1"/>
  <c r="J2490" i="229" s="1"/>
  <c r="C2479" i="229"/>
  <c r="D2479" i="229" s="1"/>
  <c r="D2490" i="229" s="1"/>
  <c r="G2477" i="229"/>
  <c r="A2477" i="229"/>
  <c r="J2470" i="229"/>
  <c r="D2470" i="229"/>
  <c r="J2469" i="229"/>
  <c r="I2469" i="229"/>
  <c r="D2469" i="229"/>
  <c r="C2469" i="229"/>
  <c r="I2468" i="229"/>
  <c r="J2468" i="229" s="1"/>
  <c r="C2468" i="229"/>
  <c r="D2468" i="229" s="1"/>
  <c r="I2467" i="229"/>
  <c r="C2467" i="229"/>
  <c r="I2466" i="229"/>
  <c r="C2466" i="229"/>
  <c r="I2465" i="229"/>
  <c r="J2465" i="229" s="1"/>
  <c r="C2465" i="229"/>
  <c r="D2465" i="229" s="1"/>
  <c r="I2464" i="229"/>
  <c r="C2464" i="229"/>
  <c r="I2463" i="229"/>
  <c r="C2463" i="229"/>
  <c r="I2462" i="229"/>
  <c r="J2462" i="229" s="1"/>
  <c r="J2473" i="229" s="1"/>
  <c r="C2462" i="229"/>
  <c r="D2462" i="229" s="1"/>
  <c r="D2473" i="229" s="1"/>
  <c r="G2460" i="229"/>
  <c r="A2460" i="229"/>
  <c r="J2454" i="229"/>
  <c r="D2454" i="229"/>
  <c r="J2453" i="229"/>
  <c r="I2453" i="229"/>
  <c r="D2453" i="229"/>
  <c r="C2453" i="229"/>
  <c r="I2452" i="229"/>
  <c r="J2452" i="229" s="1"/>
  <c r="C2452" i="229"/>
  <c r="D2452" i="229" s="1"/>
  <c r="I2451" i="229"/>
  <c r="C2451" i="229"/>
  <c r="I2450" i="229"/>
  <c r="C2450" i="229"/>
  <c r="I2449" i="229"/>
  <c r="J2449" i="229" s="1"/>
  <c r="C2449" i="229"/>
  <c r="D2449" i="229" s="1"/>
  <c r="I2448" i="229"/>
  <c r="C2448" i="229"/>
  <c r="I2447" i="229"/>
  <c r="C2447" i="229"/>
  <c r="I2446" i="229"/>
  <c r="J2446" i="229" s="1"/>
  <c r="J2457" i="229" s="1"/>
  <c r="C2446" i="229"/>
  <c r="D2446" i="229" s="1"/>
  <c r="D2457" i="229" s="1"/>
  <c r="G2444" i="229"/>
  <c r="A2444" i="229"/>
  <c r="J2438" i="229"/>
  <c r="D2438" i="229"/>
  <c r="J2437" i="229"/>
  <c r="I2437" i="229"/>
  <c r="D2437" i="229"/>
  <c r="C2437" i="229"/>
  <c r="I2436" i="229"/>
  <c r="J2436" i="229" s="1"/>
  <c r="C2436" i="229"/>
  <c r="D2436" i="229" s="1"/>
  <c r="I2435" i="229"/>
  <c r="C2435" i="229"/>
  <c r="I2434" i="229"/>
  <c r="C2434" i="229"/>
  <c r="I2433" i="229"/>
  <c r="J2433" i="229" s="1"/>
  <c r="C2433" i="229"/>
  <c r="D2433" i="229" s="1"/>
  <c r="I2432" i="229"/>
  <c r="C2432" i="229"/>
  <c r="I2431" i="229"/>
  <c r="C2431" i="229"/>
  <c r="I2430" i="229"/>
  <c r="J2430" i="229" s="1"/>
  <c r="J2441" i="229" s="1"/>
  <c r="C2430" i="229"/>
  <c r="D2430" i="229" s="1"/>
  <c r="D2441" i="229" s="1"/>
  <c r="G2428" i="229"/>
  <c r="A2428" i="229"/>
  <c r="J2422" i="229"/>
  <c r="D2422" i="229"/>
  <c r="J2421" i="229"/>
  <c r="I2421" i="229"/>
  <c r="D2421" i="229"/>
  <c r="C2421" i="229"/>
  <c r="I2420" i="229"/>
  <c r="J2420" i="229" s="1"/>
  <c r="C2420" i="229"/>
  <c r="D2420" i="229" s="1"/>
  <c r="I2419" i="229"/>
  <c r="C2419" i="229"/>
  <c r="I2418" i="229"/>
  <c r="C2418" i="229"/>
  <c r="I2417" i="229"/>
  <c r="J2417" i="229" s="1"/>
  <c r="C2417" i="229"/>
  <c r="D2417" i="229" s="1"/>
  <c r="I2416" i="229"/>
  <c r="C2416" i="229"/>
  <c r="I2415" i="229"/>
  <c r="C2415" i="229"/>
  <c r="I2414" i="229"/>
  <c r="J2414" i="229" s="1"/>
  <c r="J2425" i="229" s="1"/>
  <c r="C2414" i="229"/>
  <c r="D2414" i="229" s="1"/>
  <c r="D2425" i="229" s="1"/>
  <c r="G2412" i="229"/>
  <c r="A2412" i="229"/>
  <c r="J2405" i="229"/>
  <c r="D2405" i="229"/>
  <c r="J2404" i="229"/>
  <c r="I2404" i="229"/>
  <c r="D2404" i="229"/>
  <c r="C2404" i="229"/>
  <c r="I2403" i="229"/>
  <c r="J2403" i="229" s="1"/>
  <c r="C2403" i="229"/>
  <c r="D2403" i="229" s="1"/>
  <c r="I2402" i="229"/>
  <c r="C2402" i="229"/>
  <c r="I2401" i="229"/>
  <c r="C2401" i="229"/>
  <c r="I2400" i="229"/>
  <c r="J2400" i="229" s="1"/>
  <c r="C2400" i="229"/>
  <c r="D2400" i="229" s="1"/>
  <c r="I2399" i="229"/>
  <c r="C2399" i="229"/>
  <c r="I2398" i="229"/>
  <c r="C2398" i="229"/>
  <c r="I2397" i="229"/>
  <c r="J2397" i="229" s="1"/>
  <c r="J2408" i="229" s="1"/>
  <c r="C2397" i="229"/>
  <c r="D2397" i="229" s="1"/>
  <c r="D2408" i="229" s="1"/>
  <c r="G2395" i="229"/>
  <c r="A2395" i="229"/>
  <c r="J2389" i="229"/>
  <c r="D2389" i="229"/>
  <c r="J2388" i="229"/>
  <c r="I2388" i="229"/>
  <c r="D2388" i="229"/>
  <c r="C2388" i="229"/>
  <c r="I2387" i="229"/>
  <c r="J2387" i="229" s="1"/>
  <c r="C2387" i="229"/>
  <c r="D2387" i="229" s="1"/>
  <c r="I2386" i="229"/>
  <c r="C2386" i="229"/>
  <c r="I2385" i="229"/>
  <c r="C2385" i="229"/>
  <c r="I2384" i="229"/>
  <c r="J2384" i="229" s="1"/>
  <c r="C2384" i="229"/>
  <c r="D2384" i="229" s="1"/>
  <c r="I2383" i="229"/>
  <c r="C2383" i="229"/>
  <c r="I2382" i="229"/>
  <c r="C2382" i="229"/>
  <c r="I2381" i="229"/>
  <c r="J2381" i="229" s="1"/>
  <c r="J2392" i="229" s="1"/>
  <c r="C2381" i="229"/>
  <c r="D2381" i="229" s="1"/>
  <c r="D2392" i="229" s="1"/>
  <c r="G2379" i="229"/>
  <c r="A2379" i="229"/>
  <c r="J2373" i="229"/>
  <c r="D2373" i="229"/>
  <c r="J2372" i="229"/>
  <c r="I2372" i="229"/>
  <c r="D2372" i="229"/>
  <c r="C2372" i="229"/>
  <c r="I2371" i="229"/>
  <c r="J2371" i="229" s="1"/>
  <c r="C2371" i="229"/>
  <c r="D2371" i="229" s="1"/>
  <c r="I2370" i="229"/>
  <c r="C2370" i="229"/>
  <c r="I2369" i="229"/>
  <c r="C2369" i="229"/>
  <c r="I2368" i="229"/>
  <c r="J2368" i="229" s="1"/>
  <c r="C2368" i="229"/>
  <c r="D2368" i="229" s="1"/>
  <c r="I2367" i="229"/>
  <c r="C2367" i="229"/>
  <c r="I2366" i="229"/>
  <c r="C2366" i="229"/>
  <c r="I2365" i="229"/>
  <c r="J2365" i="229" s="1"/>
  <c r="J2376" i="229" s="1"/>
  <c r="C2365" i="229"/>
  <c r="D2365" i="229" s="1"/>
  <c r="D2376" i="229" s="1"/>
  <c r="G2363" i="229"/>
  <c r="A2363" i="229"/>
  <c r="J2357" i="229"/>
  <c r="D2357" i="229"/>
  <c r="J2356" i="229"/>
  <c r="I2356" i="229"/>
  <c r="D2356" i="229"/>
  <c r="C2356" i="229"/>
  <c r="I2355" i="229"/>
  <c r="J2355" i="229" s="1"/>
  <c r="C2355" i="229"/>
  <c r="D2355" i="229" s="1"/>
  <c r="I2354" i="229"/>
  <c r="C2354" i="229"/>
  <c r="I2353" i="229"/>
  <c r="C2353" i="229"/>
  <c r="I2352" i="229"/>
  <c r="J2352" i="229" s="1"/>
  <c r="C2352" i="229"/>
  <c r="D2352" i="229" s="1"/>
  <c r="I2351" i="229"/>
  <c r="C2351" i="229"/>
  <c r="I2350" i="229"/>
  <c r="C2350" i="229"/>
  <c r="I2349" i="229"/>
  <c r="J2349" i="229" s="1"/>
  <c r="J2360" i="229" s="1"/>
  <c r="C2349" i="229"/>
  <c r="D2349" i="229" s="1"/>
  <c r="D2360" i="229" s="1"/>
  <c r="G2347" i="229"/>
  <c r="A2347" i="229"/>
  <c r="J2340" i="229"/>
  <c r="D2340" i="229"/>
  <c r="J2339" i="229"/>
  <c r="I2339" i="229"/>
  <c r="D2339" i="229"/>
  <c r="C2339" i="229"/>
  <c r="I2338" i="229"/>
  <c r="J2338" i="229" s="1"/>
  <c r="C2338" i="229"/>
  <c r="D2338" i="229" s="1"/>
  <c r="I2337" i="229"/>
  <c r="C2337" i="229"/>
  <c r="I2336" i="229"/>
  <c r="C2336" i="229"/>
  <c r="I2335" i="229"/>
  <c r="J2335" i="229" s="1"/>
  <c r="C2335" i="229"/>
  <c r="D2335" i="229" s="1"/>
  <c r="I2334" i="229"/>
  <c r="C2334" i="229"/>
  <c r="I2333" i="229"/>
  <c r="C2333" i="229"/>
  <c r="I2332" i="229"/>
  <c r="J2332" i="229" s="1"/>
  <c r="J2343" i="229" s="1"/>
  <c r="C2332" i="229"/>
  <c r="D2332" i="229" s="1"/>
  <c r="D2343" i="229" s="1"/>
  <c r="G2330" i="229"/>
  <c r="A2330" i="229"/>
  <c r="J2324" i="229"/>
  <c r="D2324" i="229"/>
  <c r="J2323" i="229"/>
  <c r="I2323" i="229"/>
  <c r="D2323" i="229"/>
  <c r="C2323" i="229"/>
  <c r="I2322" i="229"/>
  <c r="J2322" i="229" s="1"/>
  <c r="C2322" i="229"/>
  <c r="D2322" i="229" s="1"/>
  <c r="I2321" i="229"/>
  <c r="C2321" i="229"/>
  <c r="I2320" i="229"/>
  <c r="C2320" i="229"/>
  <c r="I2319" i="229"/>
  <c r="J2319" i="229" s="1"/>
  <c r="C2319" i="229"/>
  <c r="D2319" i="229" s="1"/>
  <c r="I2318" i="229"/>
  <c r="C2318" i="229"/>
  <c r="I2317" i="229"/>
  <c r="C2317" i="229"/>
  <c r="I2316" i="229"/>
  <c r="J2316" i="229" s="1"/>
  <c r="J2327" i="229" s="1"/>
  <c r="C2316" i="229"/>
  <c r="D2316" i="229" s="1"/>
  <c r="D2327" i="229" s="1"/>
  <c r="G2314" i="229"/>
  <c r="A2314" i="229"/>
  <c r="J2308" i="229"/>
  <c r="D2308" i="229"/>
  <c r="J2307" i="229"/>
  <c r="I2307" i="229"/>
  <c r="D2307" i="229"/>
  <c r="C2307" i="229"/>
  <c r="I2306" i="229"/>
  <c r="J2306" i="229" s="1"/>
  <c r="C2306" i="229"/>
  <c r="D2306" i="229" s="1"/>
  <c r="I2305" i="229"/>
  <c r="C2305" i="229"/>
  <c r="I2304" i="229"/>
  <c r="C2304" i="229"/>
  <c r="I2303" i="229"/>
  <c r="J2303" i="229" s="1"/>
  <c r="C2303" i="229"/>
  <c r="D2303" i="229" s="1"/>
  <c r="I2302" i="229"/>
  <c r="C2302" i="229"/>
  <c r="I2301" i="229"/>
  <c r="C2301" i="229"/>
  <c r="I2300" i="229"/>
  <c r="J2300" i="229" s="1"/>
  <c r="J2311" i="229" s="1"/>
  <c r="C2300" i="229"/>
  <c r="D2300" i="229" s="1"/>
  <c r="D2311" i="229" s="1"/>
  <c r="G2298" i="229"/>
  <c r="A2298" i="229"/>
  <c r="J2292" i="229"/>
  <c r="D2292" i="229"/>
  <c r="J2291" i="229"/>
  <c r="I2291" i="229"/>
  <c r="D2291" i="229"/>
  <c r="C2291" i="229"/>
  <c r="I2290" i="229"/>
  <c r="J2290" i="229" s="1"/>
  <c r="C2290" i="229"/>
  <c r="D2290" i="229" s="1"/>
  <c r="I2289" i="229"/>
  <c r="C2289" i="229"/>
  <c r="I2288" i="229"/>
  <c r="C2288" i="229"/>
  <c r="I2287" i="229"/>
  <c r="J2287" i="229" s="1"/>
  <c r="C2287" i="229"/>
  <c r="D2287" i="229" s="1"/>
  <c r="I2286" i="229"/>
  <c r="C2286" i="229"/>
  <c r="I2285" i="229"/>
  <c r="C2285" i="229"/>
  <c r="I2284" i="229"/>
  <c r="J2284" i="229" s="1"/>
  <c r="J2295" i="229" s="1"/>
  <c r="C2284" i="229"/>
  <c r="D2284" i="229" s="1"/>
  <c r="D2295" i="229" s="1"/>
  <c r="G2282" i="229"/>
  <c r="A2282" i="229"/>
  <c r="J2275" i="229"/>
  <c r="D2275" i="229"/>
  <c r="J2274" i="229"/>
  <c r="I2274" i="229"/>
  <c r="D2274" i="229"/>
  <c r="C2274" i="229"/>
  <c r="I2273" i="229"/>
  <c r="J2273" i="229" s="1"/>
  <c r="C2273" i="229"/>
  <c r="D2273" i="229" s="1"/>
  <c r="I2272" i="229"/>
  <c r="C2272" i="229"/>
  <c r="I2271" i="229"/>
  <c r="C2271" i="229"/>
  <c r="I2270" i="229"/>
  <c r="J2270" i="229" s="1"/>
  <c r="C2270" i="229"/>
  <c r="D2270" i="229" s="1"/>
  <c r="I2269" i="229"/>
  <c r="C2269" i="229"/>
  <c r="I2268" i="229"/>
  <c r="C2268" i="229"/>
  <c r="I2267" i="229"/>
  <c r="J2267" i="229" s="1"/>
  <c r="J2278" i="229" s="1"/>
  <c r="C2267" i="229"/>
  <c r="D2267" i="229" s="1"/>
  <c r="D2278" i="229" s="1"/>
  <c r="G2265" i="229"/>
  <c r="A2265" i="229"/>
  <c r="J2259" i="229"/>
  <c r="D2259" i="229"/>
  <c r="J2258" i="229"/>
  <c r="I2258" i="229"/>
  <c r="D2258" i="229"/>
  <c r="C2258" i="229"/>
  <c r="I2257" i="229"/>
  <c r="J2257" i="229" s="1"/>
  <c r="C2257" i="229"/>
  <c r="D2257" i="229" s="1"/>
  <c r="I2256" i="229"/>
  <c r="C2256" i="229"/>
  <c r="I2255" i="229"/>
  <c r="C2255" i="229"/>
  <c r="I2254" i="229"/>
  <c r="J2254" i="229" s="1"/>
  <c r="C2254" i="229"/>
  <c r="D2254" i="229" s="1"/>
  <c r="I2253" i="229"/>
  <c r="C2253" i="229"/>
  <c r="I2252" i="229"/>
  <c r="C2252" i="229"/>
  <c r="I2251" i="229"/>
  <c r="J2251" i="229" s="1"/>
  <c r="J2262" i="229" s="1"/>
  <c r="C2251" i="229"/>
  <c r="D2251" i="229" s="1"/>
  <c r="D2262" i="229" s="1"/>
  <c r="G2249" i="229"/>
  <c r="A2249" i="229"/>
  <c r="J2243" i="229"/>
  <c r="D2243" i="229"/>
  <c r="J2242" i="229"/>
  <c r="I2242" i="229"/>
  <c r="D2242" i="229"/>
  <c r="C2242" i="229"/>
  <c r="I2241" i="229"/>
  <c r="J2241" i="229" s="1"/>
  <c r="C2241" i="229"/>
  <c r="D2241" i="229" s="1"/>
  <c r="I2240" i="229"/>
  <c r="C2240" i="229"/>
  <c r="I2239" i="229"/>
  <c r="C2239" i="229"/>
  <c r="I2238" i="229"/>
  <c r="J2238" i="229" s="1"/>
  <c r="C2238" i="229"/>
  <c r="D2238" i="229" s="1"/>
  <c r="I2237" i="229"/>
  <c r="C2237" i="229"/>
  <c r="I2236" i="229"/>
  <c r="C2236" i="229"/>
  <c r="I2235" i="229"/>
  <c r="J2235" i="229" s="1"/>
  <c r="J2246" i="229" s="1"/>
  <c r="C2235" i="229"/>
  <c r="D2235" i="229" s="1"/>
  <c r="D2246" i="229" s="1"/>
  <c r="G2233" i="229"/>
  <c r="A2233" i="229"/>
  <c r="J2227" i="229"/>
  <c r="D2227" i="229"/>
  <c r="J2226" i="229"/>
  <c r="I2226" i="229"/>
  <c r="D2226" i="229"/>
  <c r="C2226" i="229"/>
  <c r="I2225" i="229"/>
  <c r="J2225" i="229" s="1"/>
  <c r="C2225" i="229"/>
  <c r="D2225" i="229" s="1"/>
  <c r="I2224" i="229"/>
  <c r="C2224" i="229"/>
  <c r="I2223" i="229"/>
  <c r="C2223" i="229"/>
  <c r="I2222" i="229"/>
  <c r="J2222" i="229" s="1"/>
  <c r="C2222" i="229"/>
  <c r="D2222" i="229" s="1"/>
  <c r="I2221" i="229"/>
  <c r="C2221" i="229"/>
  <c r="I2220" i="229"/>
  <c r="C2220" i="229"/>
  <c r="I2219" i="229"/>
  <c r="J2219" i="229" s="1"/>
  <c r="J2230" i="229" s="1"/>
  <c r="C2219" i="229"/>
  <c r="D2219" i="229" s="1"/>
  <c r="D2230" i="229" s="1"/>
  <c r="G2217" i="229"/>
  <c r="A2217" i="229"/>
  <c r="J2210" i="229"/>
  <c r="D2210" i="229"/>
  <c r="J2209" i="229"/>
  <c r="I2209" i="229"/>
  <c r="D2209" i="229"/>
  <c r="C2209" i="229"/>
  <c r="I2208" i="229"/>
  <c r="J2208" i="229" s="1"/>
  <c r="C2208" i="229"/>
  <c r="D2208" i="229" s="1"/>
  <c r="I2207" i="229"/>
  <c r="C2207" i="229"/>
  <c r="I2206" i="229"/>
  <c r="C2206" i="229"/>
  <c r="I2205" i="229"/>
  <c r="J2205" i="229" s="1"/>
  <c r="C2205" i="229"/>
  <c r="D2205" i="229" s="1"/>
  <c r="I2204" i="229"/>
  <c r="C2204" i="229"/>
  <c r="I2203" i="229"/>
  <c r="C2203" i="229"/>
  <c r="I2202" i="229"/>
  <c r="J2202" i="229" s="1"/>
  <c r="J2213" i="229" s="1"/>
  <c r="C2202" i="229"/>
  <c r="D2202" i="229" s="1"/>
  <c r="D2213" i="229" s="1"/>
  <c r="G2200" i="229"/>
  <c r="A2200" i="229"/>
  <c r="J2194" i="229"/>
  <c r="D2194" i="229"/>
  <c r="J2193" i="229"/>
  <c r="I2193" i="229"/>
  <c r="D2193" i="229"/>
  <c r="C2193" i="229"/>
  <c r="I2192" i="229"/>
  <c r="J2192" i="229" s="1"/>
  <c r="C2192" i="229"/>
  <c r="D2192" i="229" s="1"/>
  <c r="I2191" i="229"/>
  <c r="C2191" i="229"/>
  <c r="I2190" i="229"/>
  <c r="C2190" i="229"/>
  <c r="I2189" i="229"/>
  <c r="J2189" i="229" s="1"/>
  <c r="C2189" i="229"/>
  <c r="D2189" i="229" s="1"/>
  <c r="I2188" i="229"/>
  <c r="C2188" i="229"/>
  <c r="I2187" i="229"/>
  <c r="C2187" i="229"/>
  <c r="I2186" i="229"/>
  <c r="J2186" i="229" s="1"/>
  <c r="J2197" i="229" s="1"/>
  <c r="C2186" i="229"/>
  <c r="D2186" i="229" s="1"/>
  <c r="D2197" i="229" s="1"/>
  <c r="G2184" i="229"/>
  <c r="A2184" i="229"/>
  <c r="J2178" i="229"/>
  <c r="D2178" i="229"/>
  <c r="J2177" i="229"/>
  <c r="I2177" i="229"/>
  <c r="D2177" i="229"/>
  <c r="C2177" i="229"/>
  <c r="I2176" i="229"/>
  <c r="J2176" i="229" s="1"/>
  <c r="C2176" i="229"/>
  <c r="D2176" i="229" s="1"/>
  <c r="I2175" i="229"/>
  <c r="C2175" i="229"/>
  <c r="I2174" i="229"/>
  <c r="C2174" i="229"/>
  <c r="I2173" i="229"/>
  <c r="J2173" i="229" s="1"/>
  <c r="C2173" i="229"/>
  <c r="D2173" i="229" s="1"/>
  <c r="I2172" i="229"/>
  <c r="C2172" i="229"/>
  <c r="I2171" i="229"/>
  <c r="C2171" i="229"/>
  <c r="I2170" i="229"/>
  <c r="J2170" i="229" s="1"/>
  <c r="J2181" i="229" s="1"/>
  <c r="C2170" i="229"/>
  <c r="D2170" i="229" s="1"/>
  <c r="G2168" i="229"/>
  <c r="A2168" i="229"/>
  <c r="J2162" i="229"/>
  <c r="D2162" i="229"/>
  <c r="J2161" i="229"/>
  <c r="I2161" i="229"/>
  <c r="D2161" i="229"/>
  <c r="C2161" i="229"/>
  <c r="I2160" i="229"/>
  <c r="J2160" i="229" s="1"/>
  <c r="C2160" i="229"/>
  <c r="D2160" i="229" s="1"/>
  <c r="I2159" i="229"/>
  <c r="C2159" i="229"/>
  <c r="I2158" i="229"/>
  <c r="C2158" i="229"/>
  <c r="I2157" i="229"/>
  <c r="J2157" i="229" s="1"/>
  <c r="C2157" i="229"/>
  <c r="D2157" i="229" s="1"/>
  <c r="I2156" i="229"/>
  <c r="C2156" i="229"/>
  <c r="I2155" i="229"/>
  <c r="C2155" i="229"/>
  <c r="I2154" i="229"/>
  <c r="J2154" i="229" s="1"/>
  <c r="J2165" i="229" s="1"/>
  <c r="C2154" i="229"/>
  <c r="D2154" i="229" s="1"/>
  <c r="D2165" i="229" s="1"/>
  <c r="G2152" i="229"/>
  <c r="A2152" i="229"/>
  <c r="J2145" i="229"/>
  <c r="D2145" i="229"/>
  <c r="J2144" i="229"/>
  <c r="I2144" i="229"/>
  <c r="D2144" i="229"/>
  <c r="C2144" i="229"/>
  <c r="I2143" i="229"/>
  <c r="J2143" i="229" s="1"/>
  <c r="C2143" i="229"/>
  <c r="D2143" i="229" s="1"/>
  <c r="I2142" i="229"/>
  <c r="C2142" i="229"/>
  <c r="I2141" i="229"/>
  <c r="C2141" i="229"/>
  <c r="I2140" i="229"/>
  <c r="J2140" i="229" s="1"/>
  <c r="C2140" i="229"/>
  <c r="D2140" i="229" s="1"/>
  <c r="I2139" i="229"/>
  <c r="C2139" i="229"/>
  <c r="I2138" i="229"/>
  <c r="C2138" i="229"/>
  <c r="I2137" i="229"/>
  <c r="J2137" i="229" s="1"/>
  <c r="J2148" i="229" s="1"/>
  <c r="C2137" i="229"/>
  <c r="D2137" i="229" s="1"/>
  <c r="D2148" i="229" s="1"/>
  <c r="G2135" i="229"/>
  <c r="A2135" i="229"/>
  <c r="J2129" i="229"/>
  <c r="D2129" i="229"/>
  <c r="J2128" i="229"/>
  <c r="I2128" i="229"/>
  <c r="D2128" i="229"/>
  <c r="C2128" i="229"/>
  <c r="I2127" i="229"/>
  <c r="J2127" i="229" s="1"/>
  <c r="C2127" i="229"/>
  <c r="D2127" i="229" s="1"/>
  <c r="I2126" i="229"/>
  <c r="C2126" i="229"/>
  <c r="I2125" i="229"/>
  <c r="C2125" i="229"/>
  <c r="I2124" i="229"/>
  <c r="J2124" i="229" s="1"/>
  <c r="C2124" i="229"/>
  <c r="D2124" i="229" s="1"/>
  <c r="I2123" i="229"/>
  <c r="C2123" i="229"/>
  <c r="I2122" i="229"/>
  <c r="C2122" i="229"/>
  <c r="I2121" i="229"/>
  <c r="J2121" i="229" s="1"/>
  <c r="J2132" i="229" s="1"/>
  <c r="C2121" i="229"/>
  <c r="D2121" i="229" s="1"/>
  <c r="D2132" i="229" s="1"/>
  <c r="G2119" i="229"/>
  <c r="A2119" i="229"/>
  <c r="J2113" i="229"/>
  <c r="D2113" i="229"/>
  <c r="J2112" i="229"/>
  <c r="I2112" i="229"/>
  <c r="D2112" i="229"/>
  <c r="C2112" i="229"/>
  <c r="I2111" i="229"/>
  <c r="J2111" i="229" s="1"/>
  <c r="C2111" i="229"/>
  <c r="D2111" i="229" s="1"/>
  <c r="I2110" i="229"/>
  <c r="C2110" i="229"/>
  <c r="I2109" i="229"/>
  <c r="C2109" i="229"/>
  <c r="I2108" i="229"/>
  <c r="J2108" i="229" s="1"/>
  <c r="C2108" i="229"/>
  <c r="D2108" i="229" s="1"/>
  <c r="I2107" i="229"/>
  <c r="C2107" i="229"/>
  <c r="I2106" i="229"/>
  <c r="C2106" i="229"/>
  <c r="I2105" i="229"/>
  <c r="J2105" i="229" s="1"/>
  <c r="J2116" i="229" s="1"/>
  <c r="C2105" i="229"/>
  <c r="D2105" i="229" s="1"/>
  <c r="D2116" i="229" s="1"/>
  <c r="G2103" i="229"/>
  <c r="A2103" i="229"/>
  <c r="J2097" i="229"/>
  <c r="D2097" i="229"/>
  <c r="J2096" i="229"/>
  <c r="I2096" i="229"/>
  <c r="D2096" i="229"/>
  <c r="C2096" i="229"/>
  <c r="I2095" i="229"/>
  <c r="J2095" i="229" s="1"/>
  <c r="C2095" i="229"/>
  <c r="D2095" i="229" s="1"/>
  <c r="I2094" i="229"/>
  <c r="C2094" i="229"/>
  <c r="I2093" i="229"/>
  <c r="C2093" i="229"/>
  <c r="I2092" i="229"/>
  <c r="J2092" i="229" s="1"/>
  <c r="C2092" i="229"/>
  <c r="D2092" i="229" s="1"/>
  <c r="I2091" i="229"/>
  <c r="C2091" i="229"/>
  <c r="I2090" i="229"/>
  <c r="C2090" i="229"/>
  <c r="I2089" i="229"/>
  <c r="J2089" i="229" s="1"/>
  <c r="J2100" i="229" s="1"/>
  <c r="C2089" i="229"/>
  <c r="D2089" i="229" s="1"/>
  <c r="D2100" i="229" s="1"/>
  <c r="G2087" i="229"/>
  <c r="A2087" i="229"/>
  <c r="J2080" i="229"/>
  <c r="D2080" i="229"/>
  <c r="J2079" i="229"/>
  <c r="I2079" i="229"/>
  <c r="D2079" i="229"/>
  <c r="C2079" i="229"/>
  <c r="I2078" i="229"/>
  <c r="J2078" i="229" s="1"/>
  <c r="C2078" i="229"/>
  <c r="D2078" i="229" s="1"/>
  <c r="I2077" i="229"/>
  <c r="C2077" i="229"/>
  <c r="I2076" i="229"/>
  <c r="C2076" i="229"/>
  <c r="I2075" i="229"/>
  <c r="J2075" i="229" s="1"/>
  <c r="C2075" i="229"/>
  <c r="D2075" i="229" s="1"/>
  <c r="I2074" i="229"/>
  <c r="C2074" i="229"/>
  <c r="I2073" i="229"/>
  <c r="C2073" i="229"/>
  <c r="I2072" i="229"/>
  <c r="J2072" i="229" s="1"/>
  <c r="J2083" i="229" s="1"/>
  <c r="C2072" i="229"/>
  <c r="D2072" i="229" s="1"/>
  <c r="D2083" i="229" s="1"/>
  <c r="G2070" i="229"/>
  <c r="A2070" i="229"/>
  <c r="J2064" i="229"/>
  <c r="D2064" i="229"/>
  <c r="J2063" i="229"/>
  <c r="I2063" i="229"/>
  <c r="D2063" i="229"/>
  <c r="C2063" i="229"/>
  <c r="I2062" i="229"/>
  <c r="J2062" i="229" s="1"/>
  <c r="C2062" i="229"/>
  <c r="D2062" i="229" s="1"/>
  <c r="I2061" i="229"/>
  <c r="C2061" i="229"/>
  <c r="I2060" i="229"/>
  <c r="C2060" i="229"/>
  <c r="I2059" i="229"/>
  <c r="J2059" i="229" s="1"/>
  <c r="C2059" i="229"/>
  <c r="D2059" i="229" s="1"/>
  <c r="I2058" i="229"/>
  <c r="C2058" i="229"/>
  <c r="I2057" i="229"/>
  <c r="C2057" i="229"/>
  <c r="I2056" i="229"/>
  <c r="J2056" i="229" s="1"/>
  <c r="J2067" i="229" s="1"/>
  <c r="C2056" i="229"/>
  <c r="D2056" i="229" s="1"/>
  <c r="D2067" i="229" s="1"/>
  <c r="G2054" i="229"/>
  <c r="A2054" i="229"/>
  <c r="J2048" i="229"/>
  <c r="D2048" i="229"/>
  <c r="J2047" i="229"/>
  <c r="I2047" i="229"/>
  <c r="D2047" i="229"/>
  <c r="C2047" i="229"/>
  <c r="I2046" i="229"/>
  <c r="J2046" i="229" s="1"/>
  <c r="C2046" i="229"/>
  <c r="D2046" i="229" s="1"/>
  <c r="I2045" i="229"/>
  <c r="C2045" i="229"/>
  <c r="I2044" i="229"/>
  <c r="C2044" i="229"/>
  <c r="I2043" i="229"/>
  <c r="J2043" i="229" s="1"/>
  <c r="C2043" i="229"/>
  <c r="D2043" i="229" s="1"/>
  <c r="I2042" i="229"/>
  <c r="C2042" i="229"/>
  <c r="I2041" i="229"/>
  <c r="C2041" i="229"/>
  <c r="I2040" i="229"/>
  <c r="J2040" i="229" s="1"/>
  <c r="J2051" i="229" s="1"/>
  <c r="C2040" i="229"/>
  <c r="D2040" i="229" s="1"/>
  <c r="D2051" i="229" s="1"/>
  <c r="G2038" i="229"/>
  <c r="A2038" i="229"/>
  <c r="J2032" i="229"/>
  <c r="D2032" i="229"/>
  <c r="J2031" i="229"/>
  <c r="I2031" i="229"/>
  <c r="D2031" i="229"/>
  <c r="C2031" i="229"/>
  <c r="I2030" i="229"/>
  <c r="J2030" i="229" s="1"/>
  <c r="C2030" i="229"/>
  <c r="D2030" i="229" s="1"/>
  <c r="I2029" i="229"/>
  <c r="C2029" i="229"/>
  <c r="I2028" i="229"/>
  <c r="C2028" i="229"/>
  <c r="I2027" i="229"/>
  <c r="J2027" i="229" s="1"/>
  <c r="C2027" i="229"/>
  <c r="D2027" i="229" s="1"/>
  <c r="I2026" i="229"/>
  <c r="C2026" i="229"/>
  <c r="I2025" i="229"/>
  <c r="C2025" i="229"/>
  <c r="I2024" i="229"/>
  <c r="J2024" i="229" s="1"/>
  <c r="J2035" i="229" s="1"/>
  <c r="C2024" i="229"/>
  <c r="D2024" i="229" s="1"/>
  <c r="D2035" i="229" s="1"/>
  <c r="G2022" i="229"/>
  <c r="A2022" i="229"/>
  <c r="J2015" i="229"/>
  <c r="D2015" i="229"/>
  <c r="J2014" i="229"/>
  <c r="I2014" i="229"/>
  <c r="D2014" i="229"/>
  <c r="C2014" i="229"/>
  <c r="I2013" i="229"/>
  <c r="J2013" i="229" s="1"/>
  <c r="C2013" i="229"/>
  <c r="D2013" i="229" s="1"/>
  <c r="I2012" i="229"/>
  <c r="C2012" i="229"/>
  <c r="I2011" i="229"/>
  <c r="C2011" i="229"/>
  <c r="I2010" i="229"/>
  <c r="J2010" i="229" s="1"/>
  <c r="C2010" i="229"/>
  <c r="D2010" i="229" s="1"/>
  <c r="I2009" i="229"/>
  <c r="C2009" i="229"/>
  <c r="I2008" i="229"/>
  <c r="C2008" i="229"/>
  <c r="I2007" i="229"/>
  <c r="J2007" i="229" s="1"/>
  <c r="J2018" i="229" s="1"/>
  <c r="C2007" i="229"/>
  <c r="D2007" i="229" s="1"/>
  <c r="D2018" i="229" s="1"/>
  <c r="G2005" i="229"/>
  <c r="A2005" i="229"/>
  <c r="J1999" i="229"/>
  <c r="D1999" i="229"/>
  <c r="J1998" i="229"/>
  <c r="I1998" i="229"/>
  <c r="D1998" i="229"/>
  <c r="C1998" i="229"/>
  <c r="I1997" i="229"/>
  <c r="J1997" i="229" s="1"/>
  <c r="C1997" i="229"/>
  <c r="D1997" i="229" s="1"/>
  <c r="I1996" i="229"/>
  <c r="C1996" i="229"/>
  <c r="I1995" i="229"/>
  <c r="C1995" i="229"/>
  <c r="I1994" i="229"/>
  <c r="J1994" i="229" s="1"/>
  <c r="C1994" i="229"/>
  <c r="D1994" i="229" s="1"/>
  <c r="I1993" i="229"/>
  <c r="C1993" i="229"/>
  <c r="I1992" i="229"/>
  <c r="C1992" i="229"/>
  <c r="I1991" i="229"/>
  <c r="J1991" i="229" s="1"/>
  <c r="J2002" i="229" s="1"/>
  <c r="C1991" i="229"/>
  <c r="D1991" i="229" s="1"/>
  <c r="G1989" i="229"/>
  <c r="A1989" i="229"/>
  <c r="J1983" i="229"/>
  <c r="D1983" i="229"/>
  <c r="J1982" i="229"/>
  <c r="I1982" i="229"/>
  <c r="D1982" i="229"/>
  <c r="C1982" i="229"/>
  <c r="I1981" i="229"/>
  <c r="J1981" i="229" s="1"/>
  <c r="C1981" i="229"/>
  <c r="D1981" i="229" s="1"/>
  <c r="I1980" i="229"/>
  <c r="C1980" i="229"/>
  <c r="I1979" i="229"/>
  <c r="C1979" i="229"/>
  <c r="I1978" i="229"/>
  <c r="J1978" i="229" s="1"/>
  <c r="C1978" i="229"/>
  <c r="D1978" i="229" s="1"/>
  <c r="I1977" i="229"/>
  <c r="C1977" i="229"/>
  <c r="I1976" i="229"/>
  <c r="C1976" i="229"/>
  <c r="I1975" i="229"/>
  <c r="J1975" i="229" s="1"/>
  <c r="J1986" i="229" s="1"/>
  <c r="C1975" i="229"/>
  <c r="D1975" i="229" s="1"/>
  <c r="D1986" i="229" s="1"/>
  <c r="G1973" i="229"/>
  <c r="A1973" i="229"/>
  <c r="J1967" i="229"/>
  <c r="D1967" i="229"/>
  <c r="J1966" i="229"/>
  <c r="I1966" i="229"/>
  <c r="D1966" i="229"/>
  <c r="C1966" i="229"/>
  <c r="I1965" i="229"/>
  <c r="J1965" i="229" s="1"/>
  <c r="C1965" i="229"/>
  <c r="D1965" i="229" s="1"/>
  <c r="I1964" i="229"/>
  <c r="C1964" i="229"/>
  <c r="I1963" i="229"/>
  <c r="C1963" i="229"/>
  <c r="I1962" i="229"/>
  <c r="J1962" i="229" s="1"/>
  <c r="C1962" i="229"/>
  <c r="D1962" i="229" s="1"/>
  <c r="I1961" i="229"/>
  <c r="C1961" i="229"/>
  <c r="I1960" i="229"/>
  <c r="C1960" i="229"/>
  <c r="I1959" i="229"/>
  <c r="J1959" i="229" s="1"/>
  <c r="J1970" i="229" s="1"/>
  <c r="C1959" i="229"/>
  <c r="D1959" i="229" s="1"/>
  <c r="D1970" i="229" s="1"/>
  <c r="G1957" i="229"/>
  <c r="A1957" i="229"/>
  <c r="J1950" i="229"/>
  <c r="D1950" i="229"/>
  <c r="J1949" i="229"/>
  <c r="I1949" i="229"/>
  <c r="D1949" i="229"/>
  <c r="C1949" i="229"/>
  <c r="I1948" i="229"/>
  <c r="J1948" i="229" s="1"/>
  <c r="C1948" i="229"/>
  <c r="D1948" i="229" s="1"/>
  <c r="I1947" i="229"/>
  <c r="C1947" i="229"/>
  <c r="I1946" i="229"/>
  <c r="C1946" i="229"/>
  <c r="I1945" i="229"/>
  <c r="J1945" i="229" s="1"/>
  <c r="C1945" i="229"/>
  <c r="D1945" i="229" s="1"/>
  <c r="I1944" i="229"/>
  <c r="C1944" i="229"/>
  <c r="I1943" i="229"/>
  <c r="C1943" i="229"/>
  <c r="I1942" i="229"/>
  <c r="J1942" i="229" s="1"/>
  <c r="J1953" i="229" s="1"/>
  <c r="C1942" i="229"/>
  <c r="D1942" i="229" s="1"/>
  <c r="D1953" i="229" s="1"/>
  <c r="G1940" i="229"/>
  <c r="A1940" i="229"/>
  <c r="J1934" i="229"/>
  <c r="D1934" i="229"/>
  <c r="J1933" i="229"/>
  <c r="I1933" i="229"/>
  <c r="D1933" i="229"/>
  <c r="C1933" i="229"/>
  <c r="I1932" i="229"/>
  <c r="J1932" i="229" s="1"/>
  <c r="C1932" i="229"/>
  <c r="D1932" i="229" s="1"/>
  <c r="I1931" i="229"/>
  <c r="C1931" i="229"/>
  <c r="I1930" i="229"/>
  <c r="C1930" i="229"/>
  <c r="I1929" i="229"/>
  <c r="J1929" i="229" s="1"/>
  <c r="C1929" i="229"/>
  <c r="D1929" i="229" s="1"/>
  <c r="I1928" i="229"/>
  <c r="C1928" i="229"/>
  <c r="I1927" i="229"/>
  <c r="C1927" i="229"/>
  <c r="I1926" i="229"/>
  <c r="J1926" i="229" s="1"/>
  <c r="J1937" i="229" s="1"/>
  <c r="C1926" i="229"/>
  <c r="D1926" i="229" s="1"/>
  <c r="D1937" i="229" s="1"/>
  <c r="G1924" i="229"/>
  <c r="A1924" i="229"/>
  <c r="J1918" i="229"/>
  <c r="D1918" i="229"/>
  <c r="J1917" i="229"/>
  <c r="I1917" i="229"/>
  <c r="D1917" i="229"/>
  <c r="C1917" i="229"/>
  <c r="I1916" i="229"/>
  <c r="J1916" i="229" s="1"/>
  <c r="C1916" i="229"/>
  <c r="D1916" i="229" s="1"/>
  <c r="I1915" i="229"/>
  <c r="C1915" i="229"/>
  <c r="I1914" i="229"/>
  <c r="C1914" i="229"/>
  <c r="I1913" i="229"/>
  <c r="J1913" i="229" s="1"/>
  <c r="C1913" i="229"/>
  <c r="D1913" i="229" s="1"/>
  <c r="I1912" i="229"/>
  <c r="C1912" i="229"/>
  <c r="I1911" i="229"/>
  <c r="C1911" i="229"/>
  <c r="I1910" i="229"/>
  <c r="J1910" i="229" s="1"/>
  <c r="J1921" i="229" s="1"/>
  <c r="C1910" i="229"/>
  <c r="D1910" i="229" s="1"/>
  <c r="D1921" i="229" s="1"/>
  <c r="G1908" i="229"/>
  <c r="A1908" i="229"/>
  <c r="J1902" i="229"/>
  <c r="D1902" i="229"/>
  <c r="J1901" i="229"/>
  <c r="I1901" i="229"/>
  <c r="D1901" i="229"/>
  <c r="C1901" i="229"/>
  <c r="I1900" i="229"/>
  <c r="J1900" i="229" s="1"/>
  <c r="C1900" i="229"/>
  <c r="D1900" i="229" s="1"/>
  <c r="I1899" i="229"/>
  <c r="C1899" i="229"/>
  <c r="I1898" i="229"/>
  <c r="C1898" i="229"/>
  <c r="I1897" i="229"/>
  <c r="J1897" i="229" s="1"/>
  <c r="C1897" i="229"/>
  <c r="D1897" i="229" s="1"/>
  <c r="I1896" i="229"/>
  <c r="C1896" i="229"/>
  <c r="I1895" i="229"/>
  <c r="C1895" i="229"/>
  <c r="I1894" i="229"/>
  <c r="J1894" i="229" s="1"/>
  <c r="J1905" i="229" s="1"/>
  <c r="C1894" i="229"/>
  <c r="D1894" i="229" s="1"/>
  <c r="D1905" i="229" s="1"/>
  <c r="G1892" i="229"/>
  <c r="A1892" i="229"/>
  <c r="J1857" i="229"/>
  <c r="D1857" i="229"/>
  <c r="J1856" i="229"/>
  <c r="I1856" i="229"/>
  <c r="D1856" i="229"/>
  <c r="C1856" i="229"/>
  <c r="I1855" i="229"/>
  <c r="J1855" i="229" s="1"/>
  <c r="C1855" i="229"/>
  <c r="D1855" i="229" s="1"/>
  <c r="I1854" i="229"/>
  <c r="C1854" i="229"/>
  <c r="I1853" i="229"/>
  <c r="C1853" i="229"/>
  <c r="I1852" i="229"/>
  <c r="J1852" i="229" s="1"/>
  <c r="C1852" i="229"/>
  <c r="D1852" i="229" s="1"/>
  <c r="I1851" i="229"/>
  <c r="C1851" i="229"/>
  <c r="I1850" i="229"/>
  <c r="C1850" i="229"/>
  <c r="I1849" i="229"/>
  <c r="J1849" i="229" s="1"/>
  <c r="C1849" i="229"/>
  <c r="D1849" i="229" s="1"/>
  <c r="D1860" i="229" s="1"/>
  <c r="G1847" i="229"/>
  <c r="A1847" i="229"/>
  <c r="J1841" i="229"/>
  <c r="D1841" i="229"/>
  <c r="J1840" i="229"/>
  <c r="I1840" i="229"/>
  <c r="D1840" i="229"/>
  <c r="C1840" i="229"/>
  <c r="I1839" i="229"/>
  <c r="J1839" i="229" s="1"/>
  <c r="C1839" i="229"/>
  <c r="D1839" i="229" s="1"/>
  <c r="I1838" i="229"/>
  <c r="C1838" i="229"/>
  <c r="I1837" i="229"/>
  <c r="C1837" i="229"/>
  <c r="I1836" i="229"/>
  <c r="J1836" i="229" s="1"/>
  <c r="C1836" i="229"/>
  <c r="D1836" i="229" s="1"/>
  <c r="I1835" i="229"/>
  <c r="C1835" i="229"/>
  <c r="I1834" i="229"/>
  <c r="C1834" i="229"/>
  <c r="I1833" i="229"/>
  <c r="J1833" i="229" s="1"/>
  <c r="J1844" i="229" s="1"/>
  <c r="C1833" i="229"/>
  <c r="D1833" i="229" s="1"/>
  <c r="D1844" i="229" s="1"/>
  <c r="G1831" i="229"/>
  <c r="A1831" i="229"/>
  <c r="J1824" i="229"/>
  <c r="D1824" i="229"/>
  <c r="J1823" i="229"/>
  <c r="I1823" i="229"/>
  <c r="D1823" i="229"/>
  <c r="C1823" i="229"/>
  <c r="I1822" i="229"/>
  <c r="J1822" i="229" s="1"/>
  <c r="C1822" i="229"/>
  <c r="D1822" i="229" s="1"/>
  <c r="I1821" i="229"/>
  <c r="C1821" i="229"/>
  <c r="I1820" i="229"/>
  <c r="C1820" i="229"/>
  <c r="I1819" i="229"/>
  <c r="J1819" i="229" s="1"/>
  <c r="C1819" i="229"/>
  <c r="D1819" i="229" s="1"/>
  <c r="I1818" i="229"/>
  <c r="C1818" i="229"/>
  <c r="I1817" i="229"/>
  <c r="C1817" i="229"/>
  <c r="I1816" i="229"/>
  <c r="J1816" i="229" s="1"/>
  <c r="J1827" i="229" s="1"/>
  <c r="C1816" i="229"/>
  <c r="D1816" i="229" s="1"/>
  <c r="D1827" i="229" s="1"/>
  <c r="G1814" i="229"/>
  <c r="A1814" i="229"/>
  <c r="J1808" i="229"/>
  <c r="D1808" i="229"/>
  <c r="J1807" i="229"/>
  <c r="I1807" i="229"/>
  <c r="D1807" i="229"/>
  <c r="C1807" i="229"/>
  <c r="I1806" i="229"/>
  <c r="J1806" i="229" s="1"/>
  <c r="C1806" i="229"/>
  <c r="D1806" i="229" s="1"/>
  <c r="I1805" i="229"/>
  <c r="C1805" i="229"/>
  <c r="I1804" i="229"/>
  <c r="C1804" i="229"/>
  <c r="I1803" i="229"/>
  <c r="J1803" i="229" s="1"/>
  <c r="C1803" i="229"/>
  <c r="D1803" i="229" s="1"/>
  <c r="I1802" i="229"/>
  <c r="C1802" i="229"/>
  <c r="I1801" i="229"/>
  <c r="C1801" i="229"/>
  <c r="I1800" i="229"/>
  <c r="J1800" i="229" s="1"/>
  <c r="J1811" i="229" s="1"/>
  <c r="C1800" i="229"/>
  <c r="D1800" i="229" s="1"/>
  <c r="D1811" i="229" s="1"/>
  <c r="G1798" i="229"/>
  <c r="A1798" i="229"/>
  <c r="J1792" i="229"/>
  <c r="D1792" i="229"/>
  <c r="J1791" i="229"/>
  <c r="I1791" i="229"/>
  <c r="D1791" i="229"/>
  <c r="C1791" i="229"/>
  <c r="I1790" i="229"/>
  <c r="J1790" i="229" s="1"/>
  <c r="C1790" i="229"/>
  <c r="D1790" i="229" s="1"/>
  <c r="I1789" i="229"/>
  <c r="C1789" i="229"/>
  <c r="I1788" i="229"/>
  <c r="C1788" i="229"/>
  <c r="I1787" i="229"/>
  <c r="J1787" i="229" s="1"/>
  <c r="C1787" i="229"/>
  <c r="D1787" i="229" s="1"/>
  <c r="I1786" i="229"/>
  <c r="C1786" i="229"/>
  <c r="I1785" i="229"/>
  <c r="C1785" i="229"/>
  <c r="I1784" i="229"/>
  <c r="J1784" i="229" s="1"/>
  <c r="C1784" i="229"/>
  <c r="D1784" i="229" s="1"/>
  <c r="D1795" i="229" s="1"/>
  <c r="G1782" i="229"/>
  <c r="A1782" i="229"/>
  <c r="J1776" i="229"/>
  <c r="D1776" i="229"/>
  <c r="J1775" i="229"/>
  <c r="I1775" i="229"/>
  <c r="D1775" i="229"/>
  <c r="C1775" i="229"/>
  <c r="I1774" i="229"/>
  <c r="J1774" i="229" s="1"/>
  <c r="C1774" i="229"/>
  <c r="D1774" i="229" s="1"/>
  <c r="I1773" i="229"/>
  <c r="C1773" i="229"/>
  <c r="I1772" i="229"/>
  <c r="C1772" i="229"/>
  <c r="I1771" i="229"/>
  <c r="J1771" i="229" s="1"/>
  <c r="C1771" i="229"/>
  <c r="D1771" i="229" s="1"/>
  <c r="I1770" i="229"/>
  <c r="C1770" i="229"/>
  <c r="I1769" i="229"/>
  <c r="C1769" i="229"/>
  <c r="I1768" i="229"/>
  <c r="J1768" i="229" s="1"/>
  <c r="J1779" i="229" s="1"/>
  <c r="C1768" i="229"/>
  <c r="D1768" i="229" s="1"/>
  <c r="D1779" i="229" s="1"/>
  <c r="G1766" i="229"/>
  <c r="A1766" i="229"/>
  <c r="J1759" i="229"/>
  <c r="D1759" i="229"/>
  <c r="J1758" i="229"/>
  <c r="I1758" i="229"/>
  <c r="D1758" i="229"/>
  <c r="C1758" i="229"/>
  <c r="I1757" i="229"/>
  <c r="J1757" i="229" s="1"/>
  <c r="C1757" i="229"/>
  <c r="D1757" i="229" s="1"/>
  <c r="I1756" i="229"/>
  <c r="C1756" i="229"/>
  <c r="I1755" i="229"/>
  <c r="C1755" i="229"/>
  <c r="I1754" i="229"/>
  <c r="J1754" i="229" s="1"/>
  <c r="C1754" i="229"/>
  <c r="D1754" i="229" s="1"/>
  <c r="I1753" i="229"/>
  <c r="C1753" i="229"/>
  <c r="I1752" i="229"/>
  <c r="C1752" i="229"/>
  <c r="I1751" i="229"/>
  <c r="J1751" i="229" s="1"/>
  <c r="J1762" i="229" s="1"/>
  <c r="C1751" i="229"/>
  <c r="D1751" i="229" s="1"/>
  <c r="D1762" i="229" s="1"/>
  <c r="G1749" i="229"/>
  <c r="A1749" i="229"/>
  <c r="J1743" i="229"/>
  <c r="D1743" i="229"/>
  <c r="J1742" i="229"/>
  <c r="I1742" i="229"/>
  <c r="D1742" i="229"/>
  <c r="C1742" i="229"/>
  <c r="I1741" i="229"/>
  <c r="J1741" i="229" s="1"/>
  <c r="C1741" i="229"/>
  <c r="D1741" i="229" s="1"/>
  <c r="I1740" i="229"/>
  <c r="C1740" i="229"/>
  <c r="I1739" i="229"/>
  <c r="C1739" i="229"/>
  <c r="I1738" i="229"/>
  <c r="J1738" i="229" s="1"/>
  <c r="C1738" i="229"/>
  <c r="D1738" i="229" s="1"/>
  <c r="I1737" i="229"/>
  <c r="C1737" i="229"/>
  <c r="I1736" i="229"/>
  <c r="C1736" i="229"/>
  <c r="I1735" i="229"/>
  <c r="J1735" i="229" s="1"/>
  <c r="J1746" i="229" s="1"/>
  <c r="C1735" i="229"/>
  <c r="D1735" i="229" s="1"/>
  <c r="D1746" i="229" s="1"/>
  <c r="G1733" i="229"/>
  <c r="A1733" i="229"/>
  <c r="J1727" i="229"/>
  <c r="D1727" i="229"/>
  <c r="J1726" i="229"/>
  <c r="I1726" i="229"/>
  <c r="D1726" i="229"/>
  <c r="C1726" i="229"/>
  <c r="I1725" i="229"/>
  <c r="J1725" i="229" s="1"/>
  <c r="C1725" i="229"/>
  <c r="D1725" i="229" s="1"/>
  <c r="I1724" i="229"/>
  <c r="C1724" i="229"/>
  <c r="I1723" i="229"/>
  <c r="C1723" i="229"/>
  <c r="I1722" i="229"/>
  <c r="J1722" i="229" s="1"/>
  <c r="C1722" i="229"/>
  <c r="D1722" i="229" s="1"/>
  <c r="I1721" i="229"/>
  <c r="C1721" i="229"/>
  <c r="I1720" i="229"/>
  <c r="C1720" i="229"/>
  <c r="I1719" i="229"/>
  <c r="J1719" i="229" s="1"/>
  <c r="J1730" i="229" s="1"/>
  <c r="C1719" i="229"/>
  <c r="D1719" i="229" s="1"/>
  <c r="D1730" i="229" s="1"/>
  <c r="G1717" i="229"/>
  <c r="A1717" i="229"/>
  <c r="J1711" i="229"/>
  <c r="D1711" i="229"/>
  <c r="J1710" i="229"/>
  <c r="I1710" i="229"/>
  <c r="D1710" i="229"/>
  <c r="C1710" i="229"/>
  <c r="I1709" i="229"/>
  <c r="J1709" i="229" s="1"/>
  <c r="C1709" i="229"/>
  <c r="D1709" i="229" s="1"/>
  <c r="I1708" i="229"/>
  <c r="C1708" i="229"/>
  <c r="I1707" i="229"/>
  <c r="C1707" i="229"/>
  <c r="I1706" i="229"/>
  <c r="J1706" i="229" s="1"/>
  <c r="C1706" i="229"/>
  <c r="D1706" i="229" s="1"/>
  <c r="I1705" i="229"/>
  <c r="C1705" i="229"/>
  <c r="I1704" i="229"/>
  <c r="C1704" i="229"/>
  <c r="I1703" i="229"/>
  <c r="J1703" i="229" s="1"/>
  <c r="J1714" i="229" s="1"/>
  <c r="C1703" i="229"/>
  <c r="D1703" i="229" s="1"/>
  <c r="D1714" i="229" s="1"/>
  <c r="G1701" i="229"/>
  <c r="A1701" i="229"/>
  <c r="D1697" i="229"/>
  <c r="L1694" i="229"/>
  <c r="G1684" i="229"/>
  <c r="A1684" i="229"/>
  <c r="J1681" i="229"/>
  <c r="D1681" i="229"/>
  <c r="G1668" i="229"/>
  <c r="A1668" i="229"/>
  <c r="J1665" i="229"/>
  <c r="D1665" i="229"/>
  <c r="G1652" i="229"/>
  <c r="A1652" i="229"/>
  <c r="J1649" i="229"/>
  <c r="D1649" i="229"/>
  <c r="G1636" i="229"/>
  <c r="A1636" i="229"/>
  <c r="J1632" i="229"/>
  <c r="D1632" i="229"/>
  <c r="G1619" i="229"/>
  <c r="A1619" i="229"/>
  <c r="J1613" i="229"/>
  <c r="D1613" i="229"/>
  <c r="J1612" i="229"/>
  <c r="I1612" i="229"/>
  <c r="D1612" i="229"/>
  <c r="C1612" i="229"/>
  <c r="I1611" i="229"/>
  <c r="J1611" i="229" s="1"/>
  <c r="C1611" i="229"/>
  <c r="D1611" i="229" s="1"/>
  <c r="I1610" i="229"/>
  <c r="C1610" i="229"/>
  <c r="I1609" i="229"/>
  <c r="C1609" i="229"/>
  <c r="I1608" i="229"/>
  <c r="J1608" i="229" s="1"/>
  <c r="C1608" i="229"/>
  <c r="D1608" i="229" s="1"/>
  <c r="I1607" i="229"/>
  <c r="C1607" i="229"/>
  <c r="I1606" i="229"/>
  <c r="C1606" i="229"/>
  <c r="I1605" i="229"/>
  <c r="J1605" i="229" s="1"/>
  <c r="J1616" i="229" s="1"/>
  <c r="C1605" i="229"/>
  <c r="D1605" i="229" s="1"/>
  <c r="D1616" i="229" s="1"/>
  <c r="G1603" i="229"/>
  <c r="A1603" i="229"/>
  <c r="J1597" i="229"/>
  <c r="D1597" i="229"/>
  <c r="J1596" i="229"/>
  <c r="I1596" i="229"/>
  <c r="D1596" i="229"/>
  <c r="C1596" i="229"/>
  <c r="I1595" i="229"/>
  <c r="J1595" i="229" s="1"/>
  <c r="C1595" i="229"/>
  <c r="D1595" i="229" s="1"/>
  <c r="I1594" i="229"/>
  <c r="C1594" i="229"/>
  <c r="I1593" i="229"/>
  <c r="C1593" i="229"/>
  <c r="I1592" i="229"/>
  <c r="J1592" i="229" s="1"/>
  <c r="C1592" i="229"/>
  <c r="D1592" i="229" s="1"/>
  <c r="I1591" i="229"/>
  <c r="C1591" i="229"/>
  <c r="I1590" i="229"/>
  <c r="C1590" i="229"/>
  <c r="I1589" i="229"/>
  <c r="J1589" i="229" s="1"/>
  <c r="J1600" i="229" s="1"/>
  <c r="C1589" i="229"/>
  <c r="D1589" i="229" s="1"/>
  <c r="D1600" i="229" s="1"/>
  <c r="G1587" i="229"/>
  <c r="A1587" i="229"/>
  <c r="J1581" i="229"/>
  <c r="D1581" i="229"/>
  <c r="J1580" i="229"/>
  <c r="I1580" i="229"/>
  <c r="D1580" i="229"/>
  <c r="C1580" i="229"/>
  <c r="I1579" i="229"/>
  <c r="J1579" i="229" s="1"/>
  <c r="C1579" i="229"/>
  <c r="D1579" i="229" s="1"/>
  <c r="I1578" i="229"/>
  <c r="C1578" i="229"/>
  <c r="I1577" i="229"/>
  <c r="C1577" i="229"/>
  <c r="I1576" i="229"/>
  <c r="J1576" i="229" s="1"/>
  <c r="C1576" i="229"/>
  <c r="D1576" i="229" s="1"/>
  <c r="I1575" i="229"/>
  <c r="C1575" i="229"/>
  <c r="I1574" i="229"/>
  <c r="C1574" i="229"/>
  <c r="I1573" i="229"/>
  <c r="J1573" i="229" s="1"/>
  <c r="J1584" i="229" s="1"/>
  <c r="C1573" i="229"/>
  <c r="D1573" i="229" s="1"/>
  <c r="D1584" i="229" s="1"/>
  <c r="G1571" i="229"/>
  <c r="A1571" i="229"/>
  <c r="J1564" i="229"/>
  <c r="D1564" i="229"/>
  <c r="J1563" i="229"/>
  <c r="I1563" i="229"/>
  <c r="D1563" i="229"/>
  <c r="C1563" i="229"/>
  <c r="I1562" i="229"/>
  <c r="J1562" i="229" s="1"/>
  <c r="C1562" i="229"/>
  <c r="D1562" i="229" s="1"/>
  <c r="I1561" i="229"/>
  <c r="C1561" i="229"/>
  <c r="I1560" i="229"/>
  <c r="C1560" i="229"/>
  <c r="I1559" i="229"/>
  <c r="J1559" i="229" s="1"/>
  <c r="C1559" i="229"/>
  <c r="D1559" i="229" s="1"/>
  <c r="I1558" i="229"/>
  <c r="C1558" i="229"/>
  <c r="I1557" i="229"/>
  <c r="C1557" i="229"/>
  <c r="I1556" i="229"/>
  <c r="J1556" i="229" s="1"/>
  <c r="J1567" i="229" s="1"/>
  <c r="C1556" i="229"/>
  <c r="D1556" i="229" s="1"/>
  <c r="D1567" i="229" s="1"/>
  <c r="G1554" i="229"/>
  <c r="A1554" i="229"/>
  <c r="J1548" i="229"/>
  <c r="D1548" i="229"/>
  <c r="J1547" i="229"/>
  <c r="I1547" i="229"/>
  <c r="D1547" i="229"/>
  <c r="C1547" i="229"/>
  <c r="I1546" i="229"/>
  <c r="J1546" i="229" s="1"/>
  <c r="C1546" i="229"/>
  <c r="D1546" i="229" s="1"/>
  <c r="I1545" i="229"/>
  <c r="C1545" i="229"/>
  <c r="I1544" i="229"/>
  <c r="C1544" i="229"/>
  <c r="I1543" i="229"/>
  <c r="J1543" i="229" s="1"/>
  <c r="C1543" i="229"/>
  <c r="D1543" i="229" s="1"/>
  <c r="I1542" i="229"/>
  <c r="C1542" i="229"/>
  <c r="I1541" i="229"/>
  <c r="C1541" i="229"/>
  <c r="I1540" i="229"/>
  <c r="J1540" i="229" s="1"/>
  <c r="J1551" i="229" s="1"/>
  <c r="C1540" i="229"/>
  <c r="D1540" i="229" s="1"/>
  <c r="D1551" i="229" s="1"/>
  <c r="G1538" i="229"/>
  <c r="A1538" i="229"/>
  <c r="J1532" i="229"/>
  <c r="D1532" i="229"/>
  <c r="J1531" i="229"/>
  <c r="I1531" i="229"/>
  <c r="D1531" i="229"/>
  <c r="C1531" i="229"/>
  <c r="I1530" i="229"/>
  <c r="J1530" i="229" s="1"/>
  <c r="C1530" i="229"/>
  <c r="D1530" i="229" s="1"/>
  <c r="I1529" i="229"/>
  <c r="C1529" i="229"/>
  <c r="I1528" i="229"/>
  <c r="C1528" i="229"/>
  <c r="I1527" i="229"/>
  <c r="J1527" i="229" s="1"/>
  <c r="C1527" i="229"/>
  <c r="D1527" i="229" s="1"/>
  <c r="I1526" i="229"/>
  <c r="C1526" i="229"/>
  <c r="I1525" i="229"/>
  <c r="C1525" i="229"/>
  <c r="I1524" i="229"/>
  <c r="J1524" i="229" s="1"/>
  <c r="J1535" i="229" s="1"/>
  <c r="C1524" i="229"/>
  <c r="D1524" i="229" s="1"/>
  <c r="D1535" i="229" s="1"/>
  <c r="G1522" i="229"/>
  <c r="A1522" i="229"/>
  <c r="J1516" i="229"/>
  <c r="D1516" i="229"/>
  <c r="J1515" i="229"/>
  <c r="I1515" i="229"/>
  <c r="D1515" i="229"/>
  <c r="C1515" i="229"/>
  <c r="I1514" i="229"/>
  <c r="J1514" i="229" s="1"/>
  <c r="C1514" i="229"/>
  <c r="D1514" i="229" s="1"/>
  <c r="I1513" i="229"/>
  <c r="C1513" i="229"/>
  <c r="I1512" i="229"/>
  <c r="C1512" i="229"/>
  <c r="I1511" i="229"/>
  <c r="J1511" i="229" s="1"/>
  <c r="C1511" i="229"/>
  <c r="D1511" i="229" s="1"/>
  <c r="I1510" i="229"/>
  <c r="C1510" i="229"/>
  <c r="I1509" i="229"/>
  <c r="C1509" i="229"/>
  <c r="I1508" i="229"/>
  <c r="J1508" i="229" s="1"/>
  <c r="J1519" i="229" s="1"/>
  <c r="C1508" i="229"/>
  <c r="D1508" i="229" s="1"/>
  <c r="D1519" i="229" s="1"/>
  <c r="G1506" i="229"/>
  <c r="A1506" i="229"/>
  <c r="J1499" i="229"/>
  <c r="D1499" i="229"/>
  <c r="J1498" i="229"/>
  <c r="I1498" i="229"/>
  <c r="D1498" i="229"/>
  <c r="C1498" i="229"/>
  <c r="I1497" i="229"/>
  <c r="J1497" i="229" s="1"/>
  <c r="C1497" i="229"/>
  <c r="D1497" i="229" s="1"/>
  <c r="I1496" i="229"/>
  <c r="C1496" i="229"/>
  <c r="I1495" i="229"/>
  <c r="C1495" i="229"/>
  <c r="I1494" i="229"/>
  <c r="J1494" i="229" s="1"/>
  <c r="C1494" i="229"/>
  <c r="D1494" i="229" s="1"/>
  <c r="I1493" i="229"/>
  <c r="C1493" i="229"/>
  <c r="I1492" i="229"/>
  <c r="C1492" i="229"/>
  <c r="I1491" i="229"/>
  <c r="J1491" i="229" s="1"/>
  <c r="J1502" i="229" s="1"/>
  <c r="C1491" i="229"/>
  <c r="D1491" i="229" s="1"/>
  <c r="D1502" i="229" s="1"/>
  <c r="G1489" i="229"/>
  <c r="A1489" i="229"/>
  <c r="J1483" i="229"/>
  <c r="D1483" i="229"/>
  <c r="J1482" i="229"/>
  <c r="I1482" i="229"/>
  <c r="D1482" i="229"/>
  <c r="C1482" i="229"/>
  <c r="I1481" i="229"/>
  <c r="J1481" i="229" s="1"/>
  <c r="C1481" i="229"/>
  <c r="D1481" i="229" s="1"/>
  <c r="I1480" i="229"/>
  <c r="C1480" i="229"/>
  <c r="I1479" i="229"/>
  <c r="C1479" i="229"/>
  <c r="I1478" i="229"/>
  <c r="J1478" i="229" s="1"/>
  <c r="C1478" i="229"/>
  <c r="D1478" i="229" s="1"/>
  <c r="I1477" i="229"/>
  <c r="C1477" i="229"/>
  <c r="I1476" i="229"/>
  <c r="C1476" i="229"/>
  <c r="I1475" i="229"/>
  <c r="J1475" i="229" s="1"/>
  <c r="J1486" i="229" s="1"/>
  <c r="C1475" i="229"/>
  <c r="D1475" i="229" s="1"/>
  <c r="D1486" i="229" s="1"/>
  <c r="G1473" i="229"/>
  <c r="A1473" i="229"/>
  <c r="J1467" i="229"/>
  <c r="D1467" i="229"/>
  <c r="J1466" i="229"/>
  <c r="I1466" i="229"/>
  <c r="D1466" i="229"/>
  <c r="C1466" i="229"/>
  <c r="I1465" i="229"/>
  <c r="J1465" i="229" s="1"/>
  <c r="C1465" i="229"/>
  <c r="D1465" i="229" s="1"/>
  <c r="I1464" i="229"/>
  <c r="C1464" i="229"/>
  <c r="I1463" i="229"/>
  <c r="C1463" i="229"/>
  <c r="I1462" i="229"/>
  <c r="J1462" i="229" s="1"/>
  <c r="C1462" i="229"/>
  <c r="D1462" i="229" s="1"/>
  <c r="I1461" i="229"/>
  <c r="C1461" i="229"/>
  <c r="I1460" i="229"/>
  <c r="C1460" i="229"/>
  <c r="I1459" i="229"/>
  <c r="J1459" i="229" s="1"/>
  <c r="J1470" i="229" s="1"/>
  <c r="C1459" i="229"/>
  <c r="D1459" i="229" s="1"/>
  <c r="D1470" i="229" s="1"/>
  <c r="G1457" i="229"/>
  <c r="A1457" i="229"/>
  <c r="J1451" i="229"/>
  <c r="D1451" i="229"/>
  <c r="J1450" i="229"/>
  <c r="I1450" i="229"/>
  <c r="D1450" i="229"/>
  <c r="C1450" i="229"/>
  <c r="I1449" i="229"/>
  <c r="J1449" i="229" s="1"/>
  <c r="C1449" i="229"/>
  <c r="D1449" i="229" s="1"/>
  <c r="I1448" i="229"/>
  <c r="C1448" i="229"/>
  <c r="I1447" i="229"/>
  <c r="C1447" i="229"/>
  <c r="I1446" i="229"/>
  <c r="J1446" i="229" s="1"/>
  <c r="C1446" i="229"/>
  <c r="D1446" i="229" s="1"/>
  <c r="I1445" i="229"/>
  <c r="C1445" i="229"/>
  <c r="I1444" i="229"/>
  <c r="C1444" i="229"/>
  <c r="I1443" i="229"/>
  <c r="J1443" i="229" s="1"/>
  <c r="J1454" i="229" s="1"/>
  <c r="C1443" i="229"/>
  <c r="D1443" i="229" s="1"/>
  <c r="D1454" i="229" s="1"/>
  <c r="G1441" i="229"/>
  <c r="A1441" i="229"/>
  <c r="J1434" i="229"/>
  <c r="D1434" i="229"/>
  <c r="J1433" i="229"/>
  <c r="I1433" i="229"/>
  <c r="D1433" i="229"/>
  <c r="C1433" i="229"/>
  <c r="I1432" i="229"/>
  <c r="J1432" i="229" s="1"/>
  <c r="C1432" i="229"/>
  <c r="D1432" i="229" s="1"/>
  <c r="I1431" i="229"/>
  <c r="C1431" i="229"/>
  <c r="I1430" i="229"/>
  <c r="C1430" i="229"/>
  <c r="I1429" i="229"/>
  <c r="J1429" i="229" s="1"/>
  <c r="C1429" i="229"/>
  <c r="D1429" i="229" s="1"/>
  <c r="I1428" i="229"/>
  <c r="C1428" i="229"/>
  <c r="I1427" i="229"/>
  <c r="C1427" i="229"/>
  <c r="I1426" i="229"/>
  <c r="J1426" i="229" s="1"/>
  <c r="J1437" i="229" s="1"/>
  <c r="C1426" i="229"/>
  <c r="D1426" i="229" s="1"/>
  <c r="D1437" i="229" s="1"/>
  <c r="G1424" i="229"/>
  <c r="A1424" i="229"/>
  <c r="J1418" i="229"/>
  <c r="D1418" i="229"/>
  <c r="J1417" i="229"/>
  <c r="I1417" i="229"/>
  <c r="D1417" i="229"/>
  <c r="C1417" i="229"/>
  <c r="I1416" i="229"/>
  <c r="J1416" i="229" s="1"/>
  <c r="C1416" i="229"/>
  <c r="D1416" i="229" s="1"/>
  <c r="I1415" i="229"/>
  <c r="C1415" i="229"/>
  <c r="I1414" i="229"/>
  <c r="C1414" i="229"/>
  <c r="I1413" i="229"/>
  <c r="J1413" i="229" s="1"/>
  <c r="C1413" i="229"/>
  <c r="D1413" i="229" s="1"/>
  <c r="I1412" i="229"/>
  <c r="C1412" i="229"/>
  <c r="I1411" i="229"/>
  <c r="C1411" i="229"/>
  <c r="I1410" i="229"/>
  <c r="J1410" i="229" s="1"/>
  <c r="J1421" i="229" s="1"/>
  <c r="C1410" i="229"/>
  <c r="D1410" i="229" s="1"/>
  <c r="D1421" i="229" s="1"/>
  <c r="G1408" i="229"/>
  <c r="A1408" i="229"/>
  <c r="J1402" i="229"/>
  <c r="D1402" i="229"/>
  <c r="J1401" i="229"/>
  <c r="I1401" i="229"/>
  <c r="D1401" i="229"/>
  <c r="C1401" i="229"/>
  <c r="I1400" i="229"/>
  <c r="J1400" i="229" s="1"/>
  <c r="C1400" i="229"/>
  <c r="D1400" i="229" s="1"/>
  <c r="I1399" i="229"/>
  <c r="C1399" i="229"/>
  <c r="I1398" i="229"/>
  <c r="C1398" i="229"/>
  <c r="I1397" i="229"/>
  <c r="J1397" i="229" s="1"/>
  <c r="C1397" i="229"/>
  <c r="D1397" i="229" s="1"/>
  <c r="I1396" i="229"/>
  <c r="C1396" i="229"/>
  <c r="I1395" i="229"/>
  <c r="C1395" i="229"/>
  <c r="I1394" i="229"/>
  <c r="J1394" i="229" s="1"/>
  <c r="J1405" i="229" s="1"/>
  <c r="C1394" i="229"/>
  <c r="D1394" i="229" s="1"/>
  <c r="D1405" i="229" s="1"/>
  <c r="G1392" i="229"/>
  <c r="A1392" i="229"/>
  <c r="J1386" i="229"/>
  <c r="D1386" i="229"/>
  <c r="J1385" i="229"/>
  <c r="I1385" i="229"/>
  <c r="D1385" i="229"/>
  <c r="C1385" i="229"/>
  <c r="I1384" i="229"/>
  <c r="J1384" i="229" s="1"/>
  <c r="C1384" i="229"/>
  <c r="D1384" i="229" s="1"/>
  <c r="I1383" i="229"/>
  <c r="C1383" i="229"/>
  <c r="I1382" i="229"/>
  <c r="C1382" i="229"/>
  <c r="I1381" i="229"/>
  <c r="J1381" i="229" s="1"/>
  <c r="C1381" i="229"/>
  <c r="D1381" i="229" s="1"/>
  <c r="I1380" i="229"/>
  <c r="C1380" i="229"/>
  <c r="I1379" i="229"/>
  <c r="C1379" i="229"/>
  <c r="I1378" i="229"/>
  <c r="J1378" i="229" s="1"/>
  <c r="J1389" i="229" s="1"/>
  <c r="C1378" i="229"/>
  <c r="D1378" i="229" s="1"/>
  <c r="D1389" i="229" s="1"/>
  <c r="G1376" i="229"/>
  <c r="A1376" i="229"/>
  <c r="J1369" i="229"/>
  <c r="D1369" i="229"/>
  <c r="J1368" i="229"/>
  <c r="I1368" i="229"/>
  <c r="D1368" i="229"/>
  <c r="C1368" i="229"/>
  <c r="I1367" i="229"/>
  <c r="J1367" i="229" s="1"/>
  <c r="C1367" i="229"/>
  <c r="D1367" i="229" s="1"/>
  <c r="I1366" i="229"/>
  <c r="C1366" i="229"/>
  <c r="I1365" i="229"/>
  <c r="C1365" i="229"/>
  <c r="I1364" i="229"/>
  <c r="J1364" i="229" s="1"/>
  <c r="C1364" i="229"/>
  <c r="D1364" i="229" s="1"/>
  <c r="I1363" i="229"/>
  <c r="C1363" i="229"/>
  <c r="I1362" i="229"/>
  <c r="C1362" i="229"/>
  <c r="I1361" i="229"/>
  <c r="J1361" i="229" s="1"/>
  <c r="J1372" i="229" s="1"/>
  <c r="C1361" i="229"/>
  <c r="D1361" i="229" s="1"/>
  <c r="D1372" i="229" s="1"/>
  <c r="G1359" i="229"/>
  <c r="A1359" i="229"/>
  <c r="J1353" i="229"/>
  <c r="D1353" i="229"/>
  <c r="J1352" i="229"/>
  <c r="I1352" i="229"/>
  <c r="D1352" i="229"/>
  <c r="C1352" i="229"/>
  <c r="I1351" i="229"/>
  <c r="J1351" i="229" s="1"/>
  <c r="C1351" i="229"/>
  <c r="D1351" i="229" s="1"/>
  <c r="I1350" i="229"/>
  <c r="C1350" i="229"/>
  <c r="I1349" i="229"/>
  <c r="C1349" i="229"/>
  <c r="I1348" i="229"/>
  <c r="J1348" i="229" s="1"/>
  <c r="C1348" i="229"/>
  <c r="D1348" i="229" s="1"/>
  <c r="I1347" i="229"/>
  <c r="C1347" i="229"/>
  <c r="I1346" i="229"/>
  <c r="C1346" i="229"/>
  <c r="I1345" i="229"/>
  <c r="J1345" i="229" s="1"/>
  <c r="J1356" i="229" s="1"/>
  <c r="C1345" i="229"/>
  <c r="D1345" i="229" s="1"/>
  <c r="D1356" i="229" s="1"/>
  <c r="G1343" i="229"/>
  <c r="A1343" i="229"/>
  <c r="J1337" i="229"/>
  <c r="D1337" i="229"/>
  <c r="J1336" i="229"/>
  <c r="I1336" i="229"/>
  <c r="D1336" i="229"/>
  <c r="C1336" i="229"/>
  <c r="I1335" i="229"/>
  <c r="J1335" i="229" s="1"/>
  <c r="C1335" i="229"/>
  <c r="D1335" i="229" s="1"/>
  <c r="I1334" i="229"/>
  <c r="C1334" i="229"/>
  <c r="I1333" i="229"/>
  <c r="C1333" i="229"/>
  <c r="I1332" i="229"/>
  <c r="J1332" i="229" s="1"/>
  <c r="C1332" i="229"/>
  <c r="D1332" i="229" s="1"/>
  <c r="I1331" i="229"/>
  <c r="C1331" i="229"/>
  <c r="I1330" i="229"/>
  <c r="C1330" i="229"/>
  <c r="I1329" i="229"/>
  <c r="J1329" i="229" s="1"/>
  <c r="J1340" i="229" s="1"/>
  <c r="C1329" i="229"/>
  <c r="D1329" i="229" s="1"/>
  <c r="D1340" i="229" s="1"/>
  <c r="G1327" i="229"/>
  <c r="A1327" i="229"/>
  <c r="J1321" i="229"/>
  <c r="D1321" i="229"/>
  <c r="J1320" i="229"/>
  <c r="I1320" i="229"/>
  <c r="D1320" i="229"/>
  <c r="C1320" i="229"/>
  <c r="I1319" i="229"/>
  <c r="J1319" i="229" s="1"/>
  <c r="C1319" i="229"/>
  <c r="D1319" i="229" s="1"/>
  <c r="I1318" i="229"/>
  <c r="C1318" i="229"/>
  <c r="I1317" i="229"/>
  <c r="C1317" i="229"/>
  <c r="I1316" i="229"/>
  <c r="J1316" i="229" s="1"/>
  <c r="C1316" i="229"/>
  <c r="D1316" i="229" s="1"/>
  <c r="I1315" i="229"/>
  <c r="C1315" i="229"/>
  <c r="I1314" i="229"/>
  <c r="C1314" i="229"/>
  <c r="I1313" i="229"/>
  <c r="J1313" i="229" s="1"/>
  <c r="J1324" i="229" s="1"/>
  <c r="C1313" i="229"/>
  <c r="D1313" i="229" s="1"/>
  <c r="D1324" i="229" s="1"/>
  <c r="G1311" i="229"/>
  <c r="A1311" i="229"/>
  <c r="J1304" i="229"/>
  <c r="D1304" i="229"/>
  <c r="J1303" i="229"/>
  <c r="I1303" i="229"/>
  <c r="D1303" i="229"/>
  <c r="C1303" i="229"/>
  <c r="I1302" i="229"/>
  <c r="J1302" i="229" s="1"/>
  <c r="C1302" i="229"/>
  <c r="D1302" i="229" s="1"/>
  <c r="I1301" i="229"/>
  <c r="C1301" i="229"/>
  <c r="I1300" i="229"/>
  <c r="C1300" i="229"/>
  <c r="I1299" i="229"/>
  <c r="J1299" i="229" s="1"/>
  <c r="C1299" i="229"/>
  <c r="D1299" i="229" s="1"/>
  <c r="I1298" i="229"/>
  <c r="C1298" i="229"/>
  <c r="I1297" i="229"/>
  <c r="C1297" i="229"/>
  <c r="I1296" i="229"/>
  <c r="J1296" i="229" s="1"/>
  <c r="J1307" i="229" s="1"/>
  <c r="C1296" i="229"/>
  <c r="D1296" i="229" s="1"/>
  <c r="D1307" i="229" s="1"/>
  <c r="G1294" i="229"/>
  <c r="A1294" i="229"/>
  <c r="J1288" i="229"/>
  <c r="D1288" i="229"/>
  <c r="J1287" i="229"/>
  <c r="I1287" i="229"/>
  <c r="D1287" i="229"/>
  <c r="C1287" i="229"/>
  <c r="I1286" i="229"/>
  <c r="J1286" i="229" s="1"/>
  <c r="C1286" i="229"/>
  <c r="D1286" i="229" s="1"/>
  <c r="I1285" i="229"/>
  <c r="C1285" i="229"/>
  <c r="I1284" i="229"/>
  <c r="C1284" i="229"/>
  <c r="I1283" i="229"/>
  <c r="J1283" i="229" s="1"/>
  <c r="C1283" i="229"/>
  <c r="D1283" i="229" s="1"/>
  <c r="I1282" i="229"/>
  <c r="C1282" i="229"/>
  <c r="I1281" i="229"/>
  <c r="C1281" i="229"/>
  <c r="I1280" i="229"/>
  <c r="J1280" i="229" s="1"/>
  <c r="J1291" i="229" s="1"/>
  <c r="C1280" i="229"/>
  <c r="D1280" i="229" s="1"/>
  <c r="D1291" i="229" s="1"/>
  <c r="G1278" i="229"/>
  <c r="A1278" i="229"/>
  <c r="J1272" i="229"/>
  <c r="D1272" i="229"/>
  <c r="J1271" i="229"/>
  <c r="I1271" i="229"/>
  <c r="D1271" i="229"/>
  <c r="C1271" i="229"/>
  <c r="I1270" i="229"/>
  <c r="J1270" i="229" s="1"/>
  <c r="C1270" i="229"/>
  <c r="D1270" i="229" s="1"/>
  <c r="I1269" i="229"/>
  <c r="C1269" i="229"/>
  <c r="I1268" i="229"/>
  <c r="C1268" i="229"/>
  <c r="I1267" i="229"/>
  <c r="J1267" i="229" s="1"/>
  <c r="C1267" i="229"/>
  <c r="D1267" i="229" s="1"/>
  <c r="I1266" i="229"/>
  <c r="C1266" i="229"/>
  <c r="I1265" i="229"/>
  <c r="C1265" i="229"/>
  <c r="I1264" i="229"/>
  <c r="J1264" i="229" s="1"/>
  <c r="J1275" i="229" s="1"/>
  <c r="C1264" i="229"/>
  <c r="D1264" i="229" s="1"/>
  <c r="D1275" i="229" s="1"/>
  <c r="G1262" i="229"/>
  <c r="A1262" i="229"/>
  <c r="J1256" i="229"/>
  <c r="D1256" i="229"/>
  <c r="J1255" i="229"/>
  <c r="I1255" i="229"/>
  <c r="D1255" i="229"/>
  <c r="C1255" i="229"/>
  <c r="I1254" i="229"/>
  <c r="J1254" i="229" s="1"/>
  <c r="C1254" i="229"/>
  <c r="D1254" i="229" s="1"/>
  <c r="I1253" i="229"/>
  <c r="C1253" i="229"/>
  <c r="I1252" i="229"/>
  <c r="C1252" i="229"/>
  <c r="I1251" i="229"/>
  <c r="J1251" i="229" s="1"/>
  <c r="C1251" i="229"/>
  <c r="D1251" i="229" s="1"/>
  <c r="I1250" i="229"/>
  <c r="C1250" i="229"/>
  <c r="I1249" i="229"/>
  <c r="C1249" i="229"/>
  <c r="I1248" i="229"/>
  <c r="J1248" i="229" s="1"/>
  <c r="J1259" i="229" s="1"/>
  <c r="C1248" i="229"/>
  <c r="D1248" i="229" s="1"/>
  <c r="D1259" i="229" s="1"/>
  <c r="G1246" i="229"/>
  <c r="A1246" i="229"/>
  <c r="J1239" i="229"/>
  <c r="D1239" i="229"/>
  <c r="J1238" i="229"/>
  <c r="I1238" i="229"/>
  <c r="D1238" i="229"/>
  <c r="C1238" i="229"/>
  <c r="I1237" i="229"/>
  <c r="J1237" i="229" s="1"/>
  <c r="C1237" i="229"/>
  <c r="D1237" i="229" s="1"/>
  <c r="I1236" i="229"/>
  <c r="C1236" i="229"/>
  <c r="I1235" i="229"/>
  <c r="C1235" i="229"/>
  <c r="I1234" i="229"/>
  <c r="J1234" i="229" s="1"/>
  <c r="C1234" i="229"/>
  <c r="D1234" i="229" s="1"/>
  <c r="I1233" i="229"/>
  <c r="C1233" i="229"/>
  <c r="I1232" i="229"/>
  <c r="C1232" i="229"/>
  <c r="I1231" i="229"/>
  <c r="J1231" i="229" s="1"/>
  <c r="J1242" i="229" s="1"/>
  <c r="C1231" i="229"/>
  <c r="D1231" i="229" s="1"/>
  <c r="D1242" i="229" s="1"/>
  <c r="G1229" i="229"/>
  <c r="A1229" i="229"/>
  <c r="J1223" i="229"/>
  <c r="D1223" i="229"/>
  <c r="J1222" i="229"/>
  <c r="I1222" i="229"/>
  <c r="D1222" i="229"/>
  <c r="C1222" i="229"/>
  <c r="I1221" i="229"/>
  <c r="J1221" i="229" s="1"/>
  <c r="C1221" i="229"/>
  <c r="D1221" i="229" s="1"/>
  <c r="I1220" i="229"/>
  <c r="C1220" i="229"/>
  <c r="I1219" i="229"/>
  <c r="C1219" i="229"/>
  <c r="I1218" i="229"/>
  <c r="J1218" i="229" s="1"/>
  <c r="C1218" i="229"/>
  <c r="D1218" i="229" s="1"/>
  <c r="I1217" i="229"/>
  <c r="C1217" i="229"/>
  <c r="I1216" i="229"/>
  <c r="C1216" i="229"/>
  <c r="I1215" i="229"/>
  <c r="J1215" i="229" s="1"/>
  <c r="J1226" i="229" s="1"/>
  <c r="C1215" i="229"/>
  <c r="D1215" i="229" s="1"/>
  <c r="D1226" i="229" s="1"/>
  <c r="G1213" i="229"/>
  <c r="A1213" i="229"/>
  <c r="J1207" i="229"/>
  <c r="D1207" i="229"/>
  <c r="J1206" i="229"/>
  <c r="I1206" i="229"/>
  <c r="D1206" i="229"/>
  <c r="C1206" i="229"/>
  <c r="I1205" i="229"/>
  <c r="J1205" i="229" s="1"/>
  <c r="C1205" i="229"/>
  <c r="D1205" i="229" s="1"/>
  <c r="I1204" i="229"/>
  <c r="C1204" i="229"/>
  <c r="I1203" i="229"/>
  <c r="C1203" i="229"/>
  <c r="I1202" i="229"/>
  <c r="J1202" i="229" s="1"/>
  <c r="C1202" i="229"/>
  <c r="D1202" i="229" s="1"/>
  <c r="I1201" i="229"/>
  <c r="C1201" i="229"/>
  <c r="I1200" i="229"/>
  <c r="C1200" i="229"/>
  <c r="I1199" i="229"/>
  <c r="J1199" i="229" s="1"/>
  <c r="J1210" i="229" s="1"/>
  <c r="C1199" i="229"/>
  <c r="D1199" i="229" s="1"/>
  <c r="D1210" i="229" s="1"/>
  <c r="G1197" i="229"/>
  <c r="A1197" i="229"/>
  <c r="J1191" i="229"/>
  <c r="D1191" i="229"/>
  <c r="J1190" i="229"/>
  <c r="I1190" i="229"/>
  <c r="D1190" i="229"/>
  <c r="C1190" i="229"/>
  <c r="I1189" i="229"/>
  <c r="J1189" i="229" s="1"/>
  <c r="C1189" i="229"/>
  <c r="D1189" i="229" s="1"/>
  <c r="I1188" i="229"/>
  <c r="C1188" i="229"/>
  <c r="I1187" i="229"/>
  <c r="C1187" i="229"/>
  <c r="I1186" i="229"/>
  <c r="J1186" i="229" s="1"/>
  <c r="C1186" i="229"/>
  <c r="D1186" i="229" s="1"/>
  <c r="I1185" i="229"/>
  <c r="C1185" i="229"/>
  <c r="I1184" i="229"/>
  <c r="C1184" i="229"/>
  <c r="I1183" i="229"/>
  <c r="J1183" i="229" s="1"/>
  <c r="J1194" i="229" s="1"/>
  <c r="C1183" i="229"/>
  <c r="D1183" i="229" s="1"/>
  <c r="D1194" i="229" s="1"/>
  <c r="G1181" i="229"/>
  <c r="A1181" i="229"/>
  <c r="J1174" i="229"/>
  <c r="D1174" i="229"/>
  <c r="J1173" i="229"/>
  <c r="I1173" i="229"/>
  <c r="D1173" i="229"/>
  <c r="C1173" i="229"/>
  <c r="I1172" i="229"/>
  <c r="J1172" i="229" s="1"/>
  <c r="C1172" i="229"/>
  <c r="D1172" i="229" s="1"/>
  <c r="I1171" i="229"/>
  <c r="C1171" i="229"/>
  <c r="I1170" i="229"/>
  <c r="C1170" i="229"/>
  <c r="I1169" i="229"/>
  <c r="J1169" i="229" s="1"/>
  <c r="C1169" i="229"/>
  <c r="D1169" i="229" s="1"/>
  <c r="I1168" i="229"/>
  <c r="C1168" i="229"/>
  <c r="I1167" i="229"/>
  <c r="C1167" i="229"/>
  <c r="I1166" i="229"/>
  <c r="J1166" i="229" s="1"/>
  <c r="J1177" i="229" s="1"/>
  <c r="C1166" i="229"/>
  <c r="D1166" i="229" s="1"/>
  <c r="D1177" i="229" s="1"/>
  <c r="G1164" i="229"/>
  <c r="A1164" i="229"/>
  <c r="J1158" i="229"/>
  <c r="D1158" i="229"/>
  <c r="J1157" i="229"/>
  <c r="I1157" i="229"/>
  <c r="D1157" i="229"/>
  <c r="C1157" i="229"/>
  <c r="I1156" i="229"/>
  <c r="J1156" i="229" s="1"/>
  <c r="C1156" i="229"/>
  <c r="D1156" i="229" s="1"/>
  <c r="I1155" i="229"/>
  <c r="C1155" i="229"/>
  <c r="I1154" i="229"/>
  <c r="C1154" i="229"/>
  <c r="I1153" i="229"/>
  <c r="J1153" i="229" s="1"/>
  <c r="C1153" i="229"/>
  <c r="D1153" i="229" s="1"/>
  <c r="I1152" i="229"/>
  <c r="C1152" i="229"/>
  <c r="I1151" i="229"/>
  <c r="C1151" i="229"/>
  <c r="I1150" i="229"/>
  <c r="J1150" i="229" s="1"/>
  <c r="J1161" i="229" s="1"/>
  <c r="C1150" i="229"/>
  <c r="D1150" i="229" s="1"/>
  <c r="D1161" i="229" s="1"/>
  <c r="G1148" i="229"/>
  <c r="A1148" i="229"/>
  <c r="J1142" i="229"/>
  <c r="D1142" i="229"/>
  <c r="J1141" i="229"/>
  <c r="I1141" i="229"/>
  <c r="D1141" i="229"/>
  <c r="C1141" i="229"/>
  <c r="I1140" i="229"/>
  <c r="J1140" i="229" s="1"/>
  <c r="C1140" i="229"/>
  <c r="D1140" i="229" s="1"/>
  <c r="I1139" i="229"/>
  <c r="C1139" i="229"/>
  <c r="I1138" i="229"/>
  <c r="C1138" i="229"/>
  <c r="I1137" i="229"/>
  <c r="J1137" i="229" s="1"/>
  <c r="C1137" i="229"/>
  <c r="D1137" i="229" s="1"/>
  <c r="I1136" i="229"/>
  <c r="C1136" i="229"/>
  <c r="I1135" i="229"/>
  <c r="C1135" i="229"/>
  <c r="I1134" i="229"/>
  <c r="J1134" i="229" s="1"/>
  <c r="J1145" i="229" s="1"/>
  <c r="C1134" i="229"/>
  <c r="D1134" i="229" s="1"/>
  <c r="D1145" i="229" s="1"/>
  <c r="G1132" i="229"/>
  <c r="A1132" i="229"/>
  <c r="J1126" i="229"/>
  <c r="D1126" i="229"/>
  <c r="J1125" i="229"/>
  <c r="I1125" i="229"/>
  <c r="D1125" i="229"/>
  <c r="C1125" i="229"/>
  <c r="I1124" i="229"/>
  <c r="J1124" i="229" s="1"/>
  <c r="C1124" i="229"/>
  <c r="D1124" i="229" s="1"/>
  <c r="I1123" i="229"/>
  <c r="C1123" i="229"/>
  <c r="I1122" i="229"/>
  <c r="C1122" i="229"/>
  <c r="I1121" i="229"/>
  <c r="J1121" i="229" s="1"/>
  <c r="C1121" i="229"/>
  <c r="D1121" i="229" s="1"/>
  <c r="I1120" i="229"/>
  <c r="C1120" i="229"/>
  <c r="I1119" i="229"/>
  <c r="C1119" i="229"/>
  <c r="I1118" i="229"/>
  <c r="J1118" i="229" s="1"/>
  <c r="J1129" i="229" s="1"/>
  <c r="C1118" i="229"/>
  <c r="D1118" i="229" s="1"/>
  <c r="D1129" i="229" s="1"/>
  <c r="G1116" i="229"/>
  <c r="A1116" i="229"/>
  <c r="J1109" i="229"/>
  <c r="D1109" i="229"/>
  <c r="J1108" i="229"/>
  <c r="I1108" i="229"/>
  <c r="D1108" i="229"/>
  <c r="C1108" i="229"/>
  <c r="I1107" i="229"/>
  <c r="J1107" i="229" s="1"/>
  <c r="C1107" i="229"/>
  <c r="D1107" i="229" s="1"/>
  <c r="I1106" i="229"/>
  <c r="C1106" i="229"/>
  <c r="I1105" i="229"/>
  <c r="C1105" i="229"/>
  <c r="I1104" i="229"/>
  <c r="J1104" i="229" s="1"/>
  <c r="C1104" i="229"/>
  <c r="D1104" i="229" s="1"/>
  <c r="I1103" i="229"/>
  <c r="C1103" i="229"/>
  <c r="I1102" i="229"/>
  <c r="C1102" i="229"/>
  <c r="I1101" i="229"/>
  <c r="J1101" i="229" s="1"/>
  <c r="J1112" i="229" s="1"/>
  <c r="C1101" i="229"/>
  <c r="D1101" i="229" s="1"/>
  <c r="D1112" i="229" s="1"/>
  <c r="G1099" i="229"/>
  <c r="A1099" i="229"/>
  <c r="J1093" i="229"/>
  <c r="D1093" i="229"/>
  <c r="J1092" i="229"/>
  <c r="I1092" i="229"/>
  <c r="D1092" i="229"/>
  <c r="C1092" i="229"/>
  <c r="I1091" i="229"/>
  <c r="J1091" i="229" s="1"/>
  <c r="C1091" i="229"/>
  <c r="D1091" i="229" s="1"/>
  <c r="I1090" i="229"/>
  <c r="C1090" i="229"/>
  <c r="I1089" i="229"/>
  <c r="C1089" i="229"/>
  <c r="I1088" i="229"/>
  <c r="J1088" i="229" s="1"/>
  <c r="C1088" i="229"/>
  <c r="D1088" i="229" s="1"/>
  <c r="I1087" i="229"/>
  <c r="C1087" i="229"/>
  <c r="I1086" i="229"/>
  <c r="C1086" i="229"/>
  <c r="I1085" i="229"/>
  <c r="J1085" i="229" s="1"/>
  <c r="J1096" i="229" s="1"/>
  <c r="C1085" i="229"/>
  <c r="D1085" i="229" s="1"/>
  <c r="D1096" i="229" s="1"/>
  <c r="G1083" i="229"/>
  <c r="A1083" i="229"/>
  <c r="J1077" i="229"/>
  <c r="D1077" i="229"/>
  <c r="J1076" i="229"/>
  <c r="I1076" i="229"/>
  <c r="D1076" i="229"/>
  <c r="C1076" i="229"/>
  <c r="I1075" i="229"/>
  <c r="J1075" i="229" s="1"/>
  <c r="C1075" i="229"/>
  <c r="D1075" i="229" s="1"/>
  <c r="I1074" i="229"/>
  <c r="C1074" i="229"/>
  <c r="I1073" i="229"/>
  <c r="C1073" i="229"/>
  <c r="I1072" i="229"/>
  <c r="J1072" i="229" s="1"/>
  <c r="C1072" i="229"/>
  <c r="D1072" i="229" s="1"/>
  <c r="I1071" i="229"/>
  <c r="C1071" i="229"/>
  <c r="I1070" i="229"/>
  <c r="C1070" i="229"/>
  <c r="I1069" i="229"/>
  <c r="J1069" i="229" s="1"/>
  <c r="J1080" i="229" s="1"/>
  <c r="C1069" i="229"/>
  <c r="D1069" i="229" s="1"/>
  <c r="D1080" i="229" s="1"/>
  <c r="G1067" i="229"/>
  <c r="A1067" i="229"/>
  <c r="J1061" i="229"/>
  <c r="D1061" i="229"/>
  <c r="J1060" i="229"/>
  <c r="I1060" i="229"/>
  <c r="D1060" i="229"/>
  <c r="C1060" i="229"/>
  <c r="I1059" i="229"/>
  <c r="J1059" i="229" s="1"/>
  <c r="C1059" i="229"/>
  <c r="D1059" i="229" s="1"/>
  <c r="I1058" i="229"/>
  <c r="C1058" i="229"/>
  <c r="I1057" i="229"/>
  <c r="C1057" i="229"/>
  <c r="I1056" i="229"/>
  <c r="J1056" i="229" s="1"/>
  <c r="C1056" i="229"/>
  <c r="D1056" i="229" s="1"/>
  <c r="I1055" i="229"/>
  <c r="C1055" i="229"/>
  <c r="I1054" i="229"/>
  <c r="C1054" i="229"/>
  <c r="I1053" i="229"/>
  <c r="J1053" i="229" s="1"/>
  <c r="J1064" i="229" s="1"/>
  <c r="C1053" i="229"/>
  <c r="D1053" i="229" s="1"/>
  <c r="D1064" i="229" s="1"/>
  <c r="G1051" i="229"/>
  <c r="A1051" i="229"/>
  <c r="J1044" i="229"/>
  <c r="D1044" i="229"/>
  <c r="J1043" i="229"/>
  <c r="I1043" i="229"/>
  <c r="D1043" i="229"/>
  <c r="C1043" i="229"/>
  <c r="I1042" i="229"/>
  <c r="J1042" i="229" s="1"/>
  <c r="C1042" i="229"/>
  <c r="D1042" i="229" s="1"/>
  <c r="I1041" i="229"/>
  <c r="C1041" i="229"/>
  <c r="I1040" i="229"/>
  <c r="C1040" i="229"/>
  <c r="I1039" i="229"/>
  <c r="J1039" i="229" s="1"/>
  <c r="C1039" i="229"/>
  <c r="D1039" i="229" s="1"/>
  <c r="I1038" i="229"/>
  <c r="C1038" i="229"/>
  <c r="I1037" i="229"/>
  <c r="C1037" i="229"/>
  <c r="I1036" i="229"/>
  <c r="J1036" i="229" s="1"/>
  <c r="J1047" i="229" s="1"/>
  <c r="C1036" i="229"/>
  <c r="D1036" i="229" s="1"/>
  <c r="D1047" i="229" s="1"/>
  <c r="G1034" i="229"/>
  <c r="A1034" i="229"/>
  <c r="J1028" i="229"/>
  <c r="D1028" i="229"/>
  <c r="J1027" i="229"/>
  <c r="I1027" i="229"/>
  <c r="D1027" i="229"/>
  <c r="C1027" i="229"/>
  <c r="I1026" i="229"/>
  <c r="J1026" i="229" s="1"/>
  <c r="C1026" i="229"/>
  <c r="D1026" i="229" s="1"/>
  <c r="I1025" i="229"/>
  <c r="C1025" i="229"/>
  <c r="I1024" i="229"/>
  <c r="C1024" i="229"/>
  <c r="I1023" i="229"/>
  <c r="J1023" i="229" s="1"/>
  <c r="C1023" i="229"/>
  <c r="D1023" i="229" s="1"/>
  <c r="I1022" i="229"/>
  <c r="C1022" i="229"/>
  <c r="I1021" i="229"/>
  <c r="C1021" i="229"/>
  <c r="I1020" i="229"/>
  <c r="J1020" i="229" s="1"/>
  <c r="J1031" i="229" s="1"/>
  <c r="C1020" i="229"/>
  <c r="D1020" i="229" s="1"/>
  <c r="D1031" i="229" s="1"/>
  <c r="G1018" i="229"/>
  <c r="A1018" i="229"/>
  <c r="J1012" i="229"/>
  <c r="D1012" i="229"/>
  <c r="J1011" i="229"/>
  <c r="I1011" i="229"/>
  <c r="D1011" i="229"/>
  <c r="C1011" i="229"/>
  <c r="I1010" i="229"/>
  <c r="J1010" i="229" s="1"/>
  <c r="C1010" i="229"/>
  <c r="D1010" i="229" s="1"/>
  <c r="I1009" i="229"/>
  <c r="C1009" i="229"/>
  <c r="I1008" i="229"/>
  <c r="C1008" i="229"/>
  <c r="I1007" i="229"/>
  <c r="J1007" i="229" s="1"/>
  <c r="C1007" i="229"/>
  <c r="D1007" i="229" s="1"/>
  <c r="I1006" i="229"/>
  <c r="C1006" i="229"/>
  <c r="I1005" i="229"/>
  <c r="C1005" i="229"/>
  <c r="I1004" i="229"/>
  <c r="J1004" i="229" s="1"/>
  <c r="J1015" i="229" s="1"/>
  <c r="C1004" i="229"/>
  <c r="D1004" i="229" s="1"/>
  <c r="D1015" i="229" s="1"/>
  <c r="G1002" i="229"/>
  <c r="A1002" i="229"/>
  <c r="J996" i="229"/>
  <c r="D996" i="229"/>
  <c r="J995" i="229"/>
  <c r="I995" i="229"/>
  <c r="D995" i="229"/>
  <c r="C995" i="229"/>
  <c r="I994" i="229"/>
  <c r="J994" i="229" s="1"/>
  <c r="C994" i="229"/>
  <c r="D994" i="229" s="1"/>
  <c r="I993" i="229"/>
  <c r="C993" i="229"/>
  <c r="I992" i="229"/>
  <c r="C992" i="229"/>
  <c r="I991" i="229"/>
  <c r="J991" i="229" s="1"/>
  <c r="C991" i="229"/>
  <c r="D991" i="229" s="1"/>
  <c r="I990" i="229"/>
  <c r="C990" i="229"/>
  <c r="I989" i="229"/>
  <c r="C989" i="229"/>
  <c r="I988" i="229"/>
  <c r="J988" i="229" s="1"/>
  <c r="J999" i="229" s="1"/>
  <c r="C988" i="229"/>
  <c r="D988" i="229" s="1"/>
  <c r="D999" i="229" s="1"/>
  <c r="G986" i="229"/>
  <c r="A986" i="229"/>
  <c r="J979" i="229"/>
  <c r="D979" i="229"/>
  <c r="J978" i="229"/>
  <c r="I978" i="229"/>
  <c r="D978" i="229"/>
  <c r="C978" i="229"/>
  <c r="I977" i="229"/>
  <c r="J977" i="229" s="1"/>
  <c r="C977" i="229"/>
  <c r="D977" i="229" s="1"/>
  <c r="I976" i="229"/>
  <c r="C976" i="229"/>
  <c r="I975" i="229"/>
  <c r="C975" i="229"/>
  <c r="I974" i="229"/>
  <c r="J974" i="229" s="1"/>
  <c r="C974" i="229"/>
  <c r="D974" i="229" s="1"/>
  <c r="I973" i="229"/>
  <c r="C973" i="229"/>
  <c r="I972" i="229"/>
  <c r="C972" i="229"/>
  <c r="I971" i="229"/>
  <c r="J971" i="229" s="1"/>
  <c r="J982" i="229" s="1"/>
  <c r="C971" i="229"/>
  <c r="D971" i="229" s="1"/>
  <c r="D982" i="229" s="1"/>
  <c r="G969" i="229"/>
  <c r="A969" i="229"/>
  <c r="J963" i="229"/>
  <c r="D963" i="229"/>
  <c r="J962" i="229"/>
  <c r="I962" i="229"/>
  <c r="D962" i="229"/>
  <c r="C962" i="229"/>
  <c r="I961" i="229"/>
  <c r="J961" i="229" s="1"/>
  <c r="C961" i="229"/>
  <c r="D961" i="229" s="1"/>
  <c r="I960" i="229"/>
  <c r="C960" i="229"/>
  <c r="I959" i="229"/>
  <c r="C959" i="229"/>
  <c r="I958" i="229"/>
  <c r="J958" i="229" s="1"/>
  <c r="C958" i="229"/>
  <c r="D958" i="229" s="1"/>
  <c r="I957" i="229"/>
  <c r="C957" i="229"/>
  <c r="I956" i="229"/>
  <c r="C956" i="229"/>
  <c r="I955" i="229"/>
  <c r="J955" i="229" s="1"/>
  <c r="J966" i="229" s="1"/>
  <c r="C955" i="229"/>
  <c r="D955" i="229" s="1"/>
  <c r="D966" i="229" s="1"/>
  <c r="G953" i="229"/>
  <c r="A953" i="229"/>
  <c r="J947" i="229"/>
  <c r="D947" i="229"/>
  <c r="J946" i="229"/>
  <c r="I946" i="229"/>
  <c r="D946" i="229"/>
  <c r="C946" i="229"/>
  <c r="I945" i="229"/>
  <c r="J945" i="229" s="1"/>
  <c r="C945" i="229"/>
  <c r="D945" i="229" s="1"/>
  <c r="I944" i="229"/>
  <c r="C944" i="229"/>
  <c r="I943" i="229"/>
  <c r="C943" i="229"/>
  <c r="I942" i="229"/>
  <c r="J942" i="229" s="1"/>
  <c r="C942" i="229"/>
  <c r="D942" i="229" s="1"/>
  <c r="I941" i="229"/>
  <c r="C941" i="229"/>
  <c r="I940" i="229"/>
  <c r="C940" i="229"/>
  <c r="I939" i="229"/>
  <c r="J939" i="229" s="1"/>
  <c r="J950" i="229" s="1"/>
  <c r="C939" i="229"/>
  <c r="D939" i="229" s="1"/>
  <c r="D950" i="229" s="1"/>
  <c r="G937" i="229"/>
  <c r="A937" i="229"/>
  <c r="J931" i="229"/>
  <c r="D931" i="229"/>
  <c r="J930" i="229"/>
  <c r="I930" i="229"/>
  <c r="D930" i="229"/>
  <c r="C930" i="229"/>
  <c r="I929" i="229"/>
  <c r="J929" i="229" s="1"/>
  <c r="C929" i="229"/>
  <c r="D929" i="229" s="1"/>
  <c r="I928" i="229"/>
  <c r="C928" i="229"/>
  <c r="I927" i="229"/>
  <c r="C927" i="229"/>
  <c r="I926" i="229"/>
  <c r="J926" i="229" s="1"/>
  <c r="C926" i="229"/>
  <c r="D926" i="229" s="1"/>
  <c r="I925" i="229"/>
  <c r="C925" i="229"/>
  <c r="I924" i="229"/>
  <c r="C924" i="229"/>
  <c r="I923" i="229"/>
  <c r="J923" i="229" s="1"/>
  <c r="J934" i="229" s="1"/>
  <c r="C923" i="229"/>
  <c r="D923" i="229" s="1"/>
  <c r="D934" i="229" s="1"/>
  <c r="G921" i="229"/>
  <c r="A921" i="229"/>
  <c r="J914" i="229"/>
  <c r="D914" i="229"/>
  <c r="J913" i="229"/>
  <c r="I913" i="229"/>
  <c r="D913" i="229"/>
  <c r="C913" i="229"/>
  <c r="I912" i="229"/>
  <c r="J912" i="229" s="1"/>
  <c r="C912" i="229"/>
  <c r="D912" i="229" s="1"/>
  <c r="I911" i="229"/>
  <c r="C911" i="229"/>
  <c r="I910" i="229"/>
  <c r="C910" i="229"/>
  <c r="I909" i="229"/>
  <c r="J909" i="229" s="1"/>
  <c r="C909" i="229"/>
  <c r="D909" i="229" s="1"/>
  <c r="I908" i="229"/>
  <c r="C908" i="229"/>
  <c r="I907" i="229"/>
  <c r="C907" i="229"/>
  <c r="I906" i="229"/>
  <c r="J906" i="229" s="1"/>
  <c r="J917" i="229" s="1"/>
  <c r="C906" i="229"/>
  <c r="D906" i="229" s="1"/>
  <c r="D917" i="229" s="1"/>
  <c r="G904" i="229"/>
  <c r="A904" i="229"/>
  <c r="L903" i="229"/>
  <c r="J898" i="229"/>
  <c r="D898" i="229"/>
  <c r="J897" i="229"/>
  <c r="I897" i="229"/>
  <c r="D897" i="229"/>
  <c r="C897" i="229"/>
  <c r="I896" i="229"/>
  <c r="J896" i="229" s="1"/>
  <c r="C896" i="229"/>
  <c r="D896" i="229" s="1"/>
  <c r="I895" i="229"/>
  <c r="C895" i="229"/>
  <c r="I894" i="229"/>
  <c r="C894" i="229"/>
  <c r="I893" i="229"/>
  <c r="J893" i="229" s="1"/>
  <c r="C893" i="229"/>
  <c r="D893" i="229" s="1"/>
  <c r="I892" i="229"/>
  <c r="C892" i="229"/>
  <c r="I891" i="229"/>
  <c r="C891" i="229"/>
  <c r="I890" i="229"/>
  <c r="J890" i="229" s="1"/>
  <c r="J901" i="229" s="1"/>
  <c r="C890" i="229"/>
  <c r="D890" i="229" s="1"/>
  <c r="D901" i="229" s="1"/>
  <c r="G888" i="229"/>
  <c r="A888" i="229"/>
  <c r="J882" i="229"/>
  <c r="D882" i="229"/>
  <c r="J881" i="229"/>
  <c r="I881" i="229"/>
  <c r="D881" i="229"/>
  <c r="C881" i="229"/>
  <c r="I880" i="229"/>
  <c r="J880" i="229" s="1"/>
  <c r="C880" i="229"/>
  <c r="D880" i="229" s="1"/>
  <c r="I879" i="229"/>
  <c r="C879" i="229"/>
  <c r="I878" i="229"/>
  <c r="C878" i="229"/>
  <c r="I877" i="229"/>
  <c r="J877" i="229" s="1"/>
  <c r="C877" i="229"/>
  <c r="D877" i="229" s="1"/>
  <c r="I876" i="229"/>
  <c r="C876" i="229"/>
  <c r="I875" i="229"/>
  <c r="C875" i="229"/>
  <c r="I874" i="229"/>
  <c r="J874" i="229" s="1"/>
  <c r="J885" i="229" s="1"/>
  <c r="C874" i="229"/>
  <c r="D874" i="229" s="1"/>
  <c r="D885" i="229" s="1"/>
  <c r="G872" i="229"/>
  <c r="A872" i="229"/>
  <c r="J866" i="229"/>
  <c r="D866" i="229"/>
  <c r="J865" i="229"/>
  <c r="I865" i="229"/>
  <c r="D865" i="229"/>
  <c r="C865" i="229"/>
  <c r="I864" i="229"/>
  <c r="J864" i="229" s="1"/>
  <c r="C864" i="229"/>
  <c r="D864" i="229" s="1"/>
  <c r="I863" i="229"/>
  <c r="C863" i="229"/>
  <c r="I862" i="229"/>
  <c r="C862" i="229"/>
  <c r="I861" i="229"/>
  <c r="J861" i="229" s="1"/>
  <c r="C861" i="229"/>
  <c r="D861" i="229" s="1"/>
  <c r="I860" i="229"/>
  <c r="C860" i="229"/>
  <c r="I859" i="229"/>
  <c r="C859" i="229"/>
  <c r="I858" i="229"/>
  <c r="J858" i="229" s="1"/>
  <c r="J869" i="229" s="1"/>
  <c r="C858" i="229"/>
  <c r="D858" i="229" s="1"/>
  <c r="D869" i="229" s="1"/>
  <c r="G856" i="229"/>
  <c r="A856" i="229"/>
  <c r="J849" i="229"/>
  <c r="D849" i="229"/>
  <c r="J848" i="229"/>
  <c r="I848" i="229"/>
  <c r="D848" i="229"/>
  <c r="C848" i="229"/>
  <c r="I847" i="229"/>
  <c r="J847" i="229" s="1"/>
  <c r="C847" i="229"/>
  <c r="D847" i="229" s="1"/>
  <c r="I846" i="229"/>
  <c r="C846" i="229"/>
  <c r="I845" i="229"/>
  <c r="C845" i="229"/>
  <c r="I844" i="229"/>
  <c r="J844" i="229" s="1"/>
  <c r="C844" i="229"/>
  <c r="D844" i="229" s="1"/>
  <c r="I843" i="229"/>
  <c r="C843" i="229"/>
  <c r="I842" i="229"/>
  <c r="C842" i="229"/>
  <c r="I841" i="229"/>
  <c r="J841" i="229" s="1"/>
  <c r="J852" i="229" s="1"/>
  <c r="C841" i="229"/>
  <c r="D841" i="229" s="1"/>
  <c r="D852" i="229" s="1"/>
  <c r="G839" i="229"/>
  <c r="A839" i="229"/>
  <c r="J833" i="229"/>
  <c r="D833" i="229"/>
  <c r="J832" i="229"/>
  <c r="I832" i="229"/>
  <c r="D832" i="229"/>
  <c r="C832" i="229"/>
  <c r="I831" i="229"/>
  <c r="J831" i="229" s="1"/>
  <c r="C831" i="229"/>
  <c r="D831" i="229" s="1"/>
  <c r="I830" i="229"/>
  <c r="C830" i="229"/>
  <c r="I829" i="229"/>
  <c r="C829" i="229"/>
  <c r="I828" i="229"/>
  <c r="J828" i="229" s="1"/>
  <c r="C828" i="229"/>
  <c r="D828" i="229" s="1"/>
  <c r="I827" i="229"/>
  <c r="C827" i="229"/>
  <c r="I826" i="229"/>
  <c r="C826" i="229"/>
  <c r="I825" i="229"/>
  <c r="J825" i="229" s="1"/>
  <c r="J836" i="229" s="1"/>
  <c r="C825" i="229"/>
  <c r="D825" i="229" s="1"/>
  <c r="D836" i="229" s="1"/>
  <c r="G823" i="229"/>
  <c r="A823" i="229"/>
  <c r="J817" i="229"/>
  <c r="D817" i="229"/>
  <c r="J816" i="229"/>
  <c r="I816" i="229"/>
  <c r="D816" i="229"/>
  <c r="C816" i="229"/>
  <c r="I815" i="229"/>
  <c r="J815" i="229" s="1"/>
  <c r="C815" i="229"/>
  <c r="D815" i="229" s="1"/>
  <c r="I814" i="229"/>
  <c r="C814" i="229"/>
  <c r="I813" i="229"/>
  <c r="C813" i="229"/>
  <c r="I812" i="229"/>
  <c r="J812" i="229" s="1"/>
  <c r="C812" i="229"/>
  <c r="D812" i="229" s="1"/>
  <c r="I811" i="229"/>
  <c r="C811" i="229"/>
  <c r="I810" i="229"/>
  <c r="C810" i="229"/>
  <c r="I809" i="229"/>
  <c r="J809" i="229" s="1"/>
  <c r="J820" i="229" s="1"/>
  <c r="C809" i="229"/>
  <c r="D809" i="229" s="1"/>
  <c r="D820" i="229" s="1"/>
  <c r="G807" i="229"/>
  <c r="A807" i="229"/>
  <c r="J801" i="229"/>
  <c r="D801" i="229"/>
  <c r="J800" i="229"/>
  <c r="I800" i="229"/>
  <c r="D800" i="229"/>
  <c r="C800" i="229"/>
  <c r="I799" i="229"/>
  <c r="J799" i="229" s="1"/>
  <c r="C799" i="229"/>
  <c r="D799" i="229" s="1"/>
  <c r="I798" i="229"/>
  <c r="C798" i="229"/>
  <c r="I797" i="229"/>
  <c r="C797" i="229"/>
  <c r="I796" i="229"/>
  <c r="J796" i="229" s="1"/>
  <c r="C796" i="229"/>
  <c r="D796" i="229" s="1"/>
  <c r="I795" i="229"/>
  <c r="C795" i="229"/>
  <c r="I794" i="229"/>
  <c r="C794" i="229"/>
  <c r="I793" i="229"/>
  <c r="J793" i="229" s="1"/>
  <c r="J804" i="229" s="1"/>
  <c r="C793" i="229"/>
  <c r="D793" i="229" s="1"/>
  <c r="D804" i="229" s="1"/>
  <c r="G791" i="229"/>
  <c r="A791" i="229"/>
  <c r="J784" i="229"/>
  <c r="D784" i="229"/>
  <c r="J783" i="229"/>
  <c r="I783" i="229"/>
  <c r="D783" i="229"/>
  <c r="C783" i="229"/>
  <c r="I782" i="229"/>
  <c r="J782" i="229" s="1"/>
  <c r="C782" i="229"/>
  <c r="D782" i="229" s="1"/>
  <c r="I781" i="229"/>
  <c r="C781" i="229"/>
  <c r="I780" i="229"/>
  <c r="C780" i="229"/>
  <c r="I779" i="229"/>
  <c r="J779" i="229" s="1"/>
  <c r="C779" i="229"/>
  <c r="D779" i="229" s="1"/>
  <c r="I778" i="229"/>
  <c r="C778" i="229"/>
  <c r="I777" i="229"/>
  <c r="C777" i="229"/>
  <c r="I776" i="229"/>
  <c r="J776" i="229" s="1"/>
  <c r="J787" i="229" s="1"/>
  <c r="C776" i="229"/>
  <c r="D776" i="229" s="1"/>
  <c r="D787" i="229" s="1"/>
  <c r="G774" i="229"/>
  <c r="A774" i="229"/>
  <c r="J768" i="229"/>
  <c r="D768" i="229"/>
  <c r="J767" i="229"/>
  <c r="I767" i="229"/>
  <c r="D767" i="229"/>
  <c r="C767" i="229"/>
  <c r="I766" i="229"/>
  <c r="J766" i="229" s="1"/>
  <c r="C766" i="229"/>
  <c r="D766" i="229" s="1"/>
  <c r="I765" i="229"/>
  <c r="C765" i="229"/>
  <c r="I764" i="229"/>
  <c r="C764" i="229"/>
  <c r="I763" i="229"/>
  <c r="J763" i="229" s="1"/>
  <c r="C763" i="229"/>
  <c r="D763" i="229" s="1"/>
  <c r="I762" i="229"/>
  <c r="C762" i="229"/>
  <c r="I761" i="229"/>
  <c r="C761" i="229"/>
  <c r="I760" i="229"/>
  <c r="J760" i="229" s="1"/>
  <c r="J771" i="229" s="1"/>
  <c r="C760" i="229"/>
  <c r="D760" i="229" s="1"/>
  <c r="D771" i="229" s="1"/>
  <c r="G758" i="229"/>
  <c r="A758" i="229"/>
  <c r="J752" i="229"/>
  <c r="D752" i="229"/>
  <c r="J751" i="229"/>
  <c r="I751" i="229"/>
  <c r="D751" i="229"/>
  <c r="C751" i="229"/>
  <c r="I750" i="229"/>
  <c r="J750" i="229" s="1"/>
  <c r="C750" i="229"/>
  <c r="D750" i="229" s="1"/>
  <c r="I749" i="229"/>
  <c r="C749" i="229"/>
  <c r="I748" i="229"/>
  <c r="C748" i="229"/>
  <c r="I747" i="229"/>
  <c r="J747" i="229" s="1"/>
  <c r="C747" i="229"/>
  <c r="D747" i="229" s="1"/>
  <c r="I746" i="229"/>
  <c r="C746" i="229"/>
  <c r="I745" i="229"/>
  <c r="C745" i="229"/>
  <c r="I744" i="229"/>
  <c r="J744" i="229" s="1"/>
  <c r="J755" i="229" s="1"/>
  <c r="C744" i="229"/>
  <c r="D744" i="229" s="1"/>
  <c r="D755" i="229" s="1"/>
  <c r="G742" i="229"/>
  <c r="A742" i="229"/>
  <c r="J736" i="229"/>
  <c r="D736" i="229"/>
  <c r="J735" i="229"/>
  <c r="I735" i="229"/>
  <c r="D735" i="229"/>
  <c r="C735" i="229"/>
  <c r="I734" i="229"/>
  <c r="J734" i="229" s="1"/>
  <c r="C734" i="229"/>
  <c r="D734" i="229" s="1"/>
  <c r="I733" i="229"/>
  <c r="C733" i="229"/>
  <c r="I732" i="229"/>
  <c r="C732" i="229"/>
  <c r="I731" i="229"/>
  <c r="J731" i="229" s="1"/>
  <c r="C731" i="229"/>
  <c r="D731" i="229" s="1"/>
  <c r="I730" i="229"/>
  <c r="C730" i="229"/>
  <c r="I729" i="229"/>
  <c r="C729" i="229"/>
  <c r="I728" i="229"/>
  <c r="J728" i="229" s="1"/>
  <c r="J739" i="229" s="1"/>
  <c r="C728" i="229"/>
  <c r="D728" i="229" s="1"/>
  <c r="D739" i="229" s="1"/>
  <c r="G726" i="229"/>
  <c r="A726" i="229"/>
  <c r="J719" i="229"/>
  <c r="D719" i="229"/>
  <c r="J718" i="229"/>
  <c r="I718" i="229"/>
  <c r="D718" i="229"/>
  <c r="C718" i="229"/>
  <c r="I717" i="229"/>
  <c r="J717" i="229" s="1"/>
  <c r="C717" i="229"/>
  <c r="D717" i="229" s="1"/>
  <c r="I716" i="229"/>
  <c r="C716" i="229"/>
  <c r="I715" i="229"/>
  <c r="C715" i="229"/>
  <c r="I714" i="229"/>
  <c r="J714" i="229" s="1"/>
  <c r="C714" i="229"/>
  <c r="D714" i="229" s="1"/>
  <c r="I713" i="229"/>
  <c r="C713" i="229"/>
  <c r="I712" i="229"/>
  <c r="C712" i="229"/>
  <c r="I711" i="229"/>
  <c r="J711" i="229" s="1"/>
  <c r="J722" i="229" s="1"/>
  <c r="C711" i="229"/>
  <c r="D711" i="229" s="1"/>
  <c r="D722" i="229" s="1"/>
  <c r="G709" i="229"/>
  <c r="A709" i="229"/>
  <c r="J703" i="229"/>
  <c r="D703" i="229"/>
  <c r="J702" i="229"/>
  <c r="I702" i="229"/>
  <c r="D702" i="229"/>
  <c r="C702" i="229"/>
  <c r="I701" i="229"/>
  <c r="J701" i="229" s="1"/>
  <c r="C701" i="229"/>
  <c r="D701" i="229" s="1"/>
  <c r="I700" i="229"/>
  <c r="C700" i="229"/>
  <c r="I699" i="229"/>
  <c r="C699" i="229"/>
  <c r="I698" i="229"/>
  <c r="J698" i="229" s="1"/>
  <c r="C698" i="229"/>
  <c r="D698" i="229" s="1"/>
  <c r="I697" i="229"/>
  <c r="C697" i="229"/>
  <c r="I696" i="229"/>
  <c r="C696" i="229"/>
  <c r="I695" i="229"/>
  <c r="J695" i="229" s="1"/>
  <c r="J706" i="229" s="1"/>
  <c r="C695" i="229"/>
  <c r="D695" i="229" s="1"/>
  <c r="D706" i="229" s="1"/>
  <c r="G693" i="229"/>
  <c r="A693" i="229"/>
  <c r="J687" i="229"/>
  <c r="D687" i="229"/>
  <c r="J686" i="229"/>
  <c r="I686" i="229"/>
  <c r="D686" i="229"/>
  <c r="C686" i="229"/>
  <c r="I685" i="229"/>
  <c r="J685" i="229" s="1"/>
  <c r="C685" i="229"/>
  <c r="D685" i="229" s="1"/>
  <c r="I684" i="229"/>
  <c r="C684" i="229"/>
  <c r="I683" i="229"/>
  <c r="C683" i="229"/>
  <c r="I682" i="229"/>
  <c r="J682" i="229" s="1"/>
  <c r="C682" i="229"/>
  <c r="D682" i="229" s="1"/>
  <c r="I681" i="229"/>
  <c r="C681" i="229"/>
  <c r="I680" i="229"/>
  <c r="C680" i="229"/>
  <c r="I679" i="229"/>
  <c r="J679" i="229" s="1"/>
  <c r="J690" i="229" s="1"/>
  <c r="C679" i="229"/>
  <c r="D679" i="229" s="1"/>
  <c r="D690" i="229" s="1"/>
  <c r="G677" i="229"/>
  <c r="A677" i="229"/>
  <c r="J671" i="229"/>
  <c r="D671" i="229"/>
  <c r="J670" i="229"/>
  <c r="I670" i="229"/>
  <c r="D670" i="229"/>
  <c r="C670" i="229"/>
  <c r="I669" i="229"/>
  <c r="J669" i="229" s="1"/>
  <c r="C669" i="229"/>
  <c r="D669" i="229" s="1"/>
  <c r="I668" i="229"/>
  <c r="C668" i="229"/>
  <c r="I667" i="229"/>
  <c r="C667" i="229"/>
  <c r="I666" i="229"/>
  <c r="J666" i="229" s="1"/>
  <c r="C666" i="229"/>
  <c r="D666" i="229" s="1"/>
  <c r="I665" i="229"/>
  <c r="C665" i="229"/>
  <c r="I664" i="229"/>
  <c r="C664" i="229"/>
  <c r="I663" i="229"/>
  <c r="J663" i="229" s="1"/>
  <c r="J674" i="229" s="1"/>
  <c r="C663" i="229"/>
  <c r="D663" i="229" s="1"/>
  <c r="D674" i="229" s="1"/>
  <c r="G661" i="229"/>
  <c r="A661" i="229"/>
  <c r="J654" i="229"/>
  <c r="D654" i="229"/>
  <c r="J653" i="229"/>
  <c r="I653" i="229"/>
  <c r="D653" i="229"/>
  <c r="C653" i="229"/>
  <c r="I652" i="229"/>
  <c r="J652" i="229" s="1"/>
  <c r="C652" i="229"/>
  <c r="D652" i="229" s="1"/>
  <c r="I651" i="229"/>
  <c r="C651" i="229"/>
  <c r="I650" i="229"/>
  <c r="C650" i="229"/>
  <c r="I649" i="229"/>
  <c r="J649" i="229" s="1"/>
  <c r="C649" i="229"/>
  <c r="D649" i="229" s="1"/>
  <c r="I648" i="229"/>
  <c r="C648" i="229"/>
  <c r="I647" i="229"/>
  <c r="C647" i="229"/>
  <c r="I646" i="229"/>
  <c r="J646" i="229" s="1"/>
  <c r="J657" i="229" s="1"/>
  <c r="C646" i="229"/>
  <c r="D646" i="229" s="1"/>
  <c r="D657" i="229" s="1"/>
  <c r="G644" i="229"/>
  <c r="A644" i="229"/>
  <c r="J638" i="229"/>
  <c r="D638" i="229"/>
  <c r="J637" i="229"/>
  <c r="I637" i="229"/>
  <c r="D637" i="229"/>
  <c r="C637" i="229"/>
  <c r="I636" i="229"/>
  <c r="J636" i="229" s="1"/>
  <c r="C636" i="229"/>
  <c r="D636" i="229" s="1"/>
  <c r="I635" i="229"/>
  <c r="C635" i="229"/>
  <c r="I634" i="229"/>
  <c r="C634" i="229"/>
  <c r="I633" i="229"/>
  <c r="J633" i="229" s="1"/>
  <c r="C633" i="229"/>
  <c r="D633" i="229" s="1"/>
  <c r="I632" i="229"/>
  <c r="C632" i="229"/>
  <c r="I631" i="229"/>
  <c r="C631" i="229"/>
  <c r="I630" i="229"/>
  <c r="J630" i="229" s="1"/>
  <c r="J641" i="229" s="1"/>
  <c r="C630" i="229"/>
  <c r="D630" i="229" s="1"/>
  <c r="D641" i="229" s="1"/>
  <c r="G628" i="229"/>
  <c r="A628" i="229"/>
  <c r="J622" i="229"/>
  <c r="D622" i="229"/>
  <c r="J621" i="229"/>
  <c r="I621" i="229"/>
  <c r="D621" i="229"/>
  <c r="C621" i="229"/>
  <c r="I620" i="229"/>
  <c r="J620" i="229" s="1"/>
  <c r="C620" i="229"/>
  <c r="D620" i="229" s="1"/>
  <c r="I619" i="229"/>
  <c r="C619" i="229"/>
  <c r="I618" i="229"/>
  <c r="C618" i="229"/>
  <c r="I617" i="229"/>
  <c r="J617" i="229" s="1"/>
  <c r="C617" i="229"/>
  <c r="D617" i="229" s="1"/>
  <c r="I616" i="229"/>
  <c r="C616" i="229"/>
  <c r="I615" i="229"/>
  <c r="C615" i="229"/>
  <c r="I614" i="229"/>
  <c r="J614" i="229" s="1"/>
  <c r="J625" i="229" s="1"/>
  <c r="C614" i="229"/>
  <c r="D614" i="229" s="1"/>
  <c r="D625" i="229" s="1"/>
  <c r="G612" i="229"/>
  <c r="A612" i="229"/>
  <c r="J606" i="229"/>
  <c r="D606" i="229"/>
  <c r="J605" i="229"/>
  <c r="I605" i="229"/>
  <c r="D605" i="229"/>
  <c r="C605" i="229"/>
  <c r="I604" i="229"/>
  <c r="J604" i="229" s="1"/>
  <c r="C604" i="229"/>
  <c r="D604" i="229" s="1"/>
  <c r="I603" i="229"/>
  <c r="C603" i="229"/>
  <c r="I602" i="229"/>
  <c r="C602" i="229"/>
  <c r="I601" i="229"/>
  <c r="J601" i="229" s="1"/>
  <c r="C601" i="229"/>
  <c r="D601" i="229" s="1"/>
  <c r="I600" i="229"/>
  <c r="C600" i="229"/>
  <c r="I599" i="229"/>
  <c r="C599" i="229"/>
  <c r="I598" i="229"/>
  <c r="J598" i="229" s="1"/>
  <c r="J609" i="229" s="1"/>
  <c r="C598" i="229"/>
  <c r="D598" i="229" s="1"/>
  <c r="D609" i="229" s="1"/>
  <c r="G596" i="229"/>
  <c r="A596" i="229"/>
  <c r="J589" i="229"/>
  <c r="D589" i="229"/>
  <c r="J588" i="229"/>
  <c r="I588" i="229"/>
  <c r="D588" i="229"/>
  <c r="C588" i="229"/>
  <c r="I587" i="229"/>
  <c r="J587" i="229" s="1"/>
  <c r="C587" i="229"/>
  <c r="D587" i="229" s="1"/>
  <c r="I586" i="229"/>
  <c r="C586" i="229"/>
  <c r="I585" i="229"/>
  <c r="C585" i="229"/>
  <c r="I584" i="229"/>
  <c r="J584" i="229" s="1"/>
  <c r="C584" i="229"/>
  <c r="D584" i="229" s="1"/>
  <c r="I583" i="229"/>
  <c r="C583" i="229"/>
  <c r="I582" i="229"/>
  <c r="C582" i="229"/>
  <c r="I581" i="229"/>
  <c r="J581" i="229" s="1"/>
  <c r="J592" i="229" s="1"/>
  <c r="C581" i="229"/>
  <c r="D581" i="229" s="1"/>
  <c r="D592" i="229" s="1"/>
  <c r="G579" i="229"/>
  <c r="A579" i="229"/>
  <c r="J573" i="229"/>
  <c r="D573" i="229"/>
  <c r="J572" i="229"/>
  <c r="I572" i="229"/>
  <c r="D572" i="229"/>
  <c r="C572" i="229"/>
  <c r="I571" i="229"/>
  <c r="J571" i="229" s="1"/>
  <c r="C571" i="229"/>
  <c r="D571" i="229" s="1"/>
  <c r="I570" i="229"/>
  <c r="C570" i="229"/>
  <c r="I569" i="229"/>
  <c r="C569" i="229"/>
  <c r="I568" i="229"/>
  <c r="J568" i="229" s="1"/>
  <c r="C568" i="229"/>
  <c r="D568" i="229" s="1"/>
  <c r="I567" i="229"/>
  <c r="C567" i="229"/>
  <c r="I566" i="229"/>
  <c r="C566" i="229"/>
  <c r="I565" i="229"/>
  <c r="J565" i="229" s="1"/>
  <c r="J576" i="229" s="1"/>
  <c r="C565" i="229"/>
  <c r="D565" i="229" s="1"/>
  <c r="D576" i="229" s="1"/>
  <c r="G563" i="229"/>
  <c r="A563" i="229"/>
  <c r="J557" i="229"/>
  <c r="D557" i="229"/>
  <c r="J556" i="229"/>
  <c r="I556" i="229"/>
  <c r="D556" i="229"/>
  <c r="C556" i="229"/>
  <c r="I555" i="229"/>
  <c r="J555" i="229" s="1"/>
  <c r="C555" i="229"/>
  <c r="D555" i="229" s="1"/>
  <c r="I554" i="229"/>
  <c r="C554" i="229"/>
  <c r="I553" i="229"/>
  <c r="C553" i="229"/>
  <c r="I552" i="229"/>
  <c r="J552" i="229" s="1"/>
  <c r="C552" i="229"/>
  <c r="D552" i="229" s="1"/>
  <c r="I551" i="229"/>
  <c r="C551" i="229"/>
  <c r="I550" i="229"/>
  <c r="C550" i="229"/>
  <c r="I549" i="229"/>
  <c r="J549" i="229" s="1"/>
  <c r="J560" i="229" s="1"/>
  <c r="C549" i="229"/>
  <c r="D549" i="229" s="1"/>
  <c r="D560" i="229" s="1"/>
  <c r="G547" i="229"/>
  <c r="A547" i="229"/>
  <c r="J541" i="229"/>
  <c r="D541" i="229"/>
  <c r="J540" i="229"/>
  <c r="I540" i="229"/>
  <c r="D540" i="229"/>
  <c r="C540" i="229"/>
  <c r="I539" i="229"/>
  <c r="J539" i="229" s="1"/>
  <c r="C539" i="229"/>
  <c r="D539" i="229" s="1"/>
  <c r="I538" i="229"/>
  <c r="C538" i="229"/>
  <c r="I537" i="229"/>
  <c r="C537" i="229"/>
  <c r="I536" i="229"/>
  <c r="J536" i="229" s="1"/>
  <c r="C536" i="229"/>
  <c r="D536" i="229" s="1"/>
  <c r="I535" i="229"/>
  <c r="C535" i="229"/>
  <c r="I534" i="229"/>
  <c r="C534" i="229"/>
  <c r="I533" i="229"/>
  <c r="J533" i="229" s="1"/>
  <c r="J544" i="229" s="1"/>
  <c r="C533" i="229"/>
  <c r="D533" i="229" s="1"/>
  <c r="D544" i="229" s="1"/>
  <c r="G531" i="229"/>
  <c r="A531" i="229"/>
  <c r="J524" i="229"/>
  <c r="D524" i="229"/>
  <c r="J523" i="229"/>
  <c r="I523" i="229"/>
  <c r="D523" i="229"/>
  <c r="C523" i="229"/>
  <c r="I522" i="229"/>
  <c r="J522" i="229" s="1"/>
  <c r="C522" i="229"/>
  <c r="D522" i="229" s="1"/>
  <c r="I521" i="229"/>
  <c r="C521" i="229"/>
  <c r="I520" i="229"/>
  <c r="C520" i="229"/>
  <c r="I519" i="229"/>
  <c r="J519" i="229" s="1"/>
  <c r="C519" i="229"/>
  <c r="D519" i="229" s="1"/>
  <c r="I518" i="229"/>
  <c r="C518" i="229"/>
  <c r="I517" i="229"/>
  <c r="C517" i="229"/>
  <c r="I516" i="229"/>
  <c r="J516" i="229" s="1"/>
  <c r="J527" i="229" s="1"/>
  <c r="C516" i="229"/>
  <c r="D516" i="229" s="1"/>
  <c r="D527" i="229" s="1"/>
  <c r="G514" i="229"/>
  <c r="A514" i="229"/>
  <c r="J508" i="229"/>
  <c r="D508" i="229"/>
  <c r="J507" i="229"/>
  <c r="I507" i="229"/>
  <c r="D507" i="229"/>
  <c r="C507" i="229"/>
  <c r="I506" i="229"/>
  <c r="J506" i="229" s="1"/>
  <c r="C506" i="229"/>
  <c r="D506" i="229" s="1"/>
  <c r="I505" i="229"/>
  <c r="C505" i="229"/>
  <c r="I504" i="229"/>
  <c r="C504" i="229"/>
  <c r="I503" i="229"/>
  <c r="J503" i="229" s="1"/>
  <c r="C503" i="229"/>
  <c r="D503" i="229" s="1"/>
  <c r="I502" i="229"/>
  <c r="C502" i="229"/>
  <c r="I501" i="229"/>
  <c r="C501" i="229"/>
  <c r="I500" i="229"/>
  <c r="J500" i="229" s="1"/>
  <c r="J511" i="229" s="1"/>
  <c r="C500" i="229"/>
  <c r="D500" i="229" s="1"/>
  <c r="D511" i="229" s="1"/>
  <c r="G498" i="229"/>
  <c r="A498" i="229"/>
  <c r="J492" i="229"/>
  <c r="D492" i="229"/>
  <c r="J491" i="229"/>
  <c r="I491" i="229"/>
  <c r="D491" i="229"/>
  <c r="C491" i="229"/>
  <c r="I490" i="229"/>
  <c r="J490" i="229" s="1"/>
  <c r="C490" i="229"/>
  <c r="D490" i="229" s="1"/>
  <c r="I489" i="229"/>
  <c r="C489" i="229"/>
  <c r="I488" i="229"/>
  <c r="C488" i="229"/>
  <c r="I487" i="229"/>
  <c r="J487" i="229" s="1"/>
  <c r="C487" i="229"/>
  <c r="D487" i="229" s="1"/>
  <c r="I486" i="229"/>
  <c r="C486" i="229"/>
  <c r="I485" i="229"/>
  <c r="C485" i="229"/>
  <c r="I484" i="229"/>
  <c r="J484" i="229" s="1"/>
  <c r="J495" i="229" s="1"/>
  <c r="C484" i="229"/>
  <c r="D484" i="229" s="1"/>
  <c r="D495" i="229" s="1"/>
  <c r="G482" i="229"/>
  <c r="A482" i="229"/>
  <c r="J476" i="229"/>
  <c r="D476" i="229"/>
  <c r="J475" i="229"/>
  <c r="I475" i="229"/>
  <c r="D475" i="229"/>
  <c r="C475" i="229"/>
  <c r="I474" i="229"/>
  <c r="J474" i="229" s="1"/>
  <c r="C474" i="229"/>
  <c r="D474" i="229" s="1"/>
  <c r="I473" i="229"/>
  <c r="C473" i="229"/>
  <c r="I472" i="229"/>
  <c r="C472" i="229"/>
  <c r="I471" i="229"/>
  <c r="J471" i="229" s="1"/>
  <c r="C471" i="229"/>
  <c r="D471" i="229" s="1"/>
  <c r="I470" i="229"/>
  <c r="C470" i="229"/>
  <c r="I469" i="229"/>
  <c r="C469" i="229"/>
  <c r="I468" i="229"/>
  <c r="J468" i="229" s="1"/>
  <c r="J479" i="229" s="1"/>
  <c r="C468" i="229"/>
  <c r="D468" i="229" s="1"/>
  <c r="D479" i="229" s="1"/>
  <c r="G466" i="229"/>
  <c r="A466" i="229"/>
  <c r="G454" i="229"/>
  <c r="A454" i="229"/>
  <c r="D449" i="229"/>
  <c r="D448" i="229"/>
  <c r="C448" i="229"/>
  <c r="C447" i="229"/>
  <c r="D447" i="229" s="1"/>
  <c r="C446" i="229"/>
  <c r="C445" i="229"/>
  <c r="C444" i="229"/>
  <c r="D444" i="229" s="1"/>
  <c r="C443" i="229"/>
  <c r="C442" i="229"/>
  <c r="C441" i="229"/>
  <c r="D441" i="229" s="1"/>
  <c r="D452" i="229" s="1"/>
  <c r="G439" i="229"/>
  <c r="A439" i="229"/>
  <c r="I432" i="229"/>
  <c r="C432" i="229"/>
  <c r="I431" i="229"/>
  <c r="J431" i="229" s="1"/>
  <c r="J432" i="229" s="1"/>
  <c r="C431" i="229"/>
  <c r="D431" i="229" s="1"/>
  <c r="D432" i="229" s="1"/>
  <c r="I430" i="229"/>
  <c r="J430" i="229" s="1"/>
  <c r="C430" i="229"/>
  <c r="D430" i="229" s="1"/>
  <c r="I429" i="229"/>
  <c r="C429" i="229"/>
  <c r="I428" i="229"/>
  <c r="C428" i="229"/>
  <c r="I427" i="229"/>
  <c r="J427" i="229" s="1"/>
  <c r="C427" i="229"/>
  <c r="D427" i="229" s="1"/>
  <c r="G425" i="229"/>
  <c r="A425" i="229"/>
  <c r="G411" i="229"/>
  <c r="A411" i="229"/>
  <c r="G396" i="229"/>
  <c r="A396" i="229"/>
  <c r="J395" i="229"/>
  <c r="G382" i="229"/>
  <c r="A382" i="229"/>
  <c r="J379" i="229"/>
  <c r="D376" i="229"/>
  <c r="C375" i="229"/>
  <c r="C374" i="229"/>
  <c r="D374" i="229" s="1"/>
  <c r="C373" i="229"/>
  <c r="C372" i="229"/>
  <c r="C371" i="229"/>
  <c r="D371" i="229" s="1"/>
  <c r="C370" i="229"/>
  <c r="C369" i="229"/>
  <c r="C368" i="229"/>
  <c r="D368" i="229" s="1"/>
  <c r="D379" i="229" s="1"/>
  <c r="G366" i="229"/>
  <c r="A366" i="229"/>
  <c r="J360" i="229"/>
  <c r="D360" i="229"/>
  <c r="J359" i="229"/>
  <c r="I359" i="229"/>
  <c r="D359" i="229"/>
  <c r="C359" i="229"/>
  <c r="I358" i="229"/>
  <c r="J358" i="229" s="1"/>
  <c r="C358" i="229"/>
  <c r="D358" i="229" s="1"/>
  <c r="I357" i="229"/>
  <c r="C357" i="229"/>
  <c r="I356" i="229"/>
  <c r="C356" i="229"/>
  <c r="I355" i="229"/>
  <c r="J355" i="229" s="1"/>
  <c r="C355" i="229"/>
  <c r="D355" i="229" s="1"/>
  <c r="I354" i="229"/>
  <c r="C354" i="229"/>
  <c r="I353" i="229"/>
  <c r="C353" i="229"/>
  <c r="I352" i="229"/>
  <c r="J352" i="229" s="1"/>
  <c r="J363" i="229" s="1"/>
  <c r="C352" i="229"/>
  <c r="D352" i="229" s="1"/>
  <c r="D363" i="229" s="1"/>
  <c r="G350" i="229"/>
  <c r="A350" i="229"/>
  <c r="J343" i="229"/>
  <c r="D343" i="229"/>
  <c r="J342" i="229"/>
  <c r="I342" i="229"/>
  <c r="C342" i="229"/>
  <c r="I341" i="229"/>
  <c r="J341" i="229" s="1"/>
  <c r="C341" i="229"/>
  <c r="D341" i="229" s="1"/>
  <c r="I340" i="229"/>
  <c r="C340" i="229"/>
  <c r="I339" i="229"/>
  <c r="C339" i="229"/>
  <c r="I338" i="229"/>
  <c r="J338" i="229" s="1"/>
  <c r="C338" i="229"/>
  <c r="D338" i="229" s="1"/>
  <c r="I337" i="229"/>
  <c r="C337" i="229"/>
  <c r="I336" i="229"/>
  <c r="C336" i="229"/>
  <c r="I335" i="229"/>
  <c r="J335" i="229" s="1"/>
  <c r="J346" i="229" s="1"/>
  <c r="C335" i="229"/>
  <c r="D335" i="229" s="1"/>
  <c r="D346" i="229" s="1"/>
  <c r="G333" i="229"/>
  <c r="A333" i="229"/>
  <c r="J327" i="229"/>
  <c r="D327" i="229"/>
  <c r="J326" i="229"/>
  <c r="I326" i="229"/>
  <c r="D326" i="229"/>
  <c r="C326" i="229"/>
  <c r="I325" i="229"/>
  <c r="J325" i="229" s="1"/>
  <c r="C325" i="229"/>
  <c r="D325" i="229" s="1"/>
  <c r="I324" i="229"/>
  <c r="C324" i="229"/>
  <c r="I323" i="229"/>
  <c r="C323" i="229"/>
  <c r="I322" i="229"/>
  <c r="J322" i="229" s="1"/>
  <c r="C322" i="229"/>
  <c r="D322" i="229" s="1"/>
  <c r="I321" i="229"/>
  <c r="C321" i="229"/>
  <c r="I320" i="229"/>
  <c r="C320" i="229"/>
  <c r="I319" i="229"/>
  <c r="J319" i="229" s="1"/>
  <c r="J330" i="229" s="1"/>
  <c r="C319" i="229"/>
  <c r="D319" i="229" s="1"/>
  <c r="D330" i="229" s="1"/>
  <c r="G317" i="229"/>
  <c r="A317" i="229"/>
  <c r="J311" i="229"/>
  <c r="D311" i="229"/>
  <c r="J310" i="229"/>
  <c r="I310" i="229"/>
  <c r="D310" i="229"/>
  <c r="C310" i="229"/>
  <c r="I309" i="229"/>
  <c r="J309" i="229" s="1"/>
  <c r="C309" i="229"/>
  <c r="D309" i="229" s="1"/>
  <c r="I308" i="229"/>
  <c r="C308" i="229"/>
  <c r="I307" i="229"/>
  <c r="C307" i="229"/>
  <c r="I306" i="229"/>
  <c r="J306" i="229" s="1"/>
  <c r="C306" i="229"/>
  <c r="D306" i="229" s="1"/>
  <c r="I305" i="229"/>
  <c r="C305" i="229"/>
  <c r="I304" i="229"/>
  <c r="C304" i="229"/>
  <c r="I303" i="229"/>
  <c r="J303" i="229" s="1"/>
  <c r="J314" i="229" s="1"/>
  <c r="C303" i="229"/>
  <c r="D303" i="229" s="1"/>
  <c r="D314" i="229" s="1"/>
  <c r="G301" i="229"/>
  <c r="A301" i="229"/>
  <c r="J295" i="229"/>
  <c r="D295" i="229"/>
  <c r="J294" i="229"/>
  <c r="I294" i="229"/>
  <c r="D294" i="229"/>
  <c r="C294" i="229"/>
  <c r="I293" i="229"/>
  <c r="J293" i="229" s="1"/>
  <c r="C293" i="229"/>
  <c r="D293" i="229" s="1"/>
  <c r="I292" i="229"/>
  <c r="C292" i="229"/>
  <c r="I291" i="229"/>
  <c r="C291" i="229"/>
  <c r="I290" i="229"/>
  <c r="J290" i="229" s="1"/>
  <c r="C290" i="229"/>
  <c r="D290" i="229" s="1"/>
  <c r="I289" i="229"/>
  <c r="C289" i="229"/>
  <c r="I288" i="229"/>
  <c r="C288" i="229"/>
  <c r="I287" i="229"/>
  <c r="J287" i="229" s="1"/>
  <c r="J298" i="229" s="1"/>
  <c r="C287" i="229"/>
  <c r="D287" i="229" s="1"/>
  <c r="D298" i="229" s="1"/>
  <c r="G285" i="229"/>
  <c r="A285" i="229"/>
  <c r="J278" i="229"/>
  <c r="D278" i="229"/>
  <c r="I277" i="229"/>
  <c r="D277" i="229"/>
  <c r="C277" i="229"/>
  <c r="I276" i="229"/>
  <c r="J276" i="229" s="1"/>
  <c r="C276" i="229"/>
  <c r="D276" i="229" s="1"/>
  <c r="I275" i="229"/>
  <c r="C275" i="229"/>
  <c r="I274" i="229"/>
  <c r="C274" i="229"/>
  <c r="I273" i="229"/>
  <c r="J273" i="229" s="1"/>
  <c r="C273" i="229"/>
  <c r="D273" i="229" s="1"/>
  <c r="I272" i="229"/>
  <c r="C272" i="229"/>
  <c r="I271" i="229"/>
  <c r="C271" i="229"/>
  <c r="I270" i="229"/>
  <c r="J270" i="229" s="1"/>
  <c r="J281" i="229" s="1"/>
  <c r="C270" i="229"/>
  <c r="D270" i="229" s="1"/>
  <c r="D281" i="229" s="1"/>
  <c r="G268" i="229"/>
  <c r="A268" i="229"/>
  <c r="J262" i="229"/>
  <c r="D262" i="229"/>
  <c r="J261" i="229"/>
  <c r="I261" i="229"/>
  <c r="D261" i="229"/>
  <c r="C261" i="229"/>
  <c r="I260" i="229"/>
  <c r="J260" i="229" s="1"/>
  <c r="C260" i="229"/>
  <c r="D260" i="229" s="1"/>
  <c r="I259" i="229"/>
  <c r="C259" i="229"/>
  <c r="I258" i="229"/>
  <c r="C258" i="229"/>
  <c r="I257" i="229"/>
  <c r="J257" i="229" s="1"/>
  <c r="C257" i="229"/>
  <c r="D257" i="229" s="1"/>
  <c r="I256" i="229"/>
  <c r="C256" i="229"/>
  <c r="I255" i="229"/>
  <c r="C255" i="229"/>
  <c r="I254" i="229"/>
  <c r="J254" i="229" s="1"/>
  <c r="J265" i="229" s="1"/>
  <c r="C254" i="229"/>
  <c r="D254" i="229" s="1"/>
  <c r="D265" i="229" s="1"/>
  <c r="G252" i="229"/>
  <c r="A252" i="229"/>
  <c r="J246" i="229"/>
  <c r="D246" i="229"/>
  <c r="J245" i="229"/>
  <c r="I245" i="229"/>
  <c r="D245" i="229"/>
  <c r="C245" i="229"/>
  <c r="I244" i="229"/>
  <c r="J244" i="229" s="1"/>
  <c r="C244" i="229"/>
  <c r="D244" i="229" s="1"/>
  <c r="I243" i="229"/>
  <c r="C243" i="229"/>
  <c r="I242" i="229"/>
  <c r="C242" i="229"/>
  <c r="I241" i="229"/>
  <c r="J241" i="229" s="1"/>
  <c r="C241" i="229"/>
  <c r="D241" i="229" s="1"/>
  <c r="I240" i="229"/>
  <c r="C240" i="229"/>
  <c r="I239" i="229"/>
  <c r="C239" i="229"/>
  <c r="I238" i="229"/>
  <c r="J238" i="229" s="1"/>
  <c r="J249" i="229" s="1"/>
  <c r="C238" i="229"/>
  <c r="D238" i="229" s="1"/>
  <c r="D249" i="229" s="1"/>
  <c r="G236" i="229"/>
  <c r="A236" i="229"/>
  <c r="D230" i="229"/>
  <c r="D229" i="229"/>
  <c r="C229" i="229"/>
  <c r="I228" i="229"/>
  <c r="J228" i="229" s="1"/>
  <c r="C228" i="229"/>
  <c r="D228" i="229" s="1"/>
  <c r="I227" i="229"/>
  <c r="C227" i="229"/>
  <c r="I226" i="229"/>
  <c r="C226" i="229"/>
  <c r="I225" i="229"/>
  <c r="J225" i="229" s="1"/>
  <c r="C225" i="229"/>
  <c r="D225" i="229" s="1"/>
  <c r="I224" i="229"/>
  <c r="C224" i="229"/>
  <c r="I223" i="229"/>
  <c r="C223" i="229"/>
  <c r="I222" i="229"/>
  <c r="J222" i="229" s="1"/>
  <c r="C222" i="229"/>
  <c r="D222" i="229" s="1"/>
  <c r="D233" i="229" s="1"/>
  <c r="G220" i="229"/>
  <c r="A220" i="229"/>
  <c r="J213" i="229"/>
  <c r="D213" i="229"/>
  <c r="J212" i="229"/>
  <c r="I212" i="229"/>
  <c r="C212" i="229"/>
  <c r="I211" i="229"/>
  <c r="J211" i="229" s="1"/>
  <c r="C211" i="229"/>
  <c r="D211" i="229" s="1"/>
  <c r="I210" i="229"/>
  <c r="C210" i="229"/>
  <c r="I209" i="229"/>
  <c r="C209" i="229"/>
  <c r="I208" i="229"/>
  <c r="J208" i="229" s="1"/>
  <c r="C208" i="229"/>
  <c r="D208" i="229" s="1"/>
  <c r="I207" i="229"/>
  <c r="C207" i="229"/>
  <c r="I206" i="229"/>
  <c r="C206" i="229"/>
  <c r="I205" i="229"/>
  <c r="J205" i="229" s="1"/>
  <c r="J216" i="229" s="1"/>
  <c r="C205" i="229"/>
  <c r="D205" i="229" s="1"/>
  <c r="D216" i="229" s="1"/>
  <c r="G203" i="229"/>
  <c r="A203" i="229"/>
  <c r="J197" i="229"/>
  <c r="D197" i="229"/>
  <c r="J196" i="229"/>
  <c r="I196" i="229"/>
  <c r="D196" i="229"/>
  <c r="C196" i="229"/>
  <c r="I195" i="229"/>
  <c r="J195" i="229" s="1"/>
  <c r="C195" i="229"/>
  <c r="D195" i="229" s="1"/>
  <c r="I194" i="229"/>
  <c r="C194" i="229"/>
  <c r="I193" i="229"/>
  <c r="C193" i="229"/>
  <c r="I192" i="229"/>
  <c r="J192" i="229" s="1"/>
  <c r="C192" i="229"/>
  <c r="D192" i="229" s="1"/>
  <c r="I191" i="229"/>
  <c r="C191" i="229"/>
  <c r="I190" i="229"/>
  <c r="C190" i="229"/>
  <c r="I189" i="229"/>
  <c r="J189" i="229" s="1"/>
  <c r="J200" i="229" s="1"/>
  <c r="C189" i="229"/>
  <c r="D189" i="229" s="1"/>
  <c r="D200" i="229" s="1"/>
  <c r="G187" i="229"/>
  <c r="A187" i="229"/>
  <c r="J181" i="229"/>
  <c r="D181" i="229"/>
  <c r="J180" i="229"/>
  <c r="I180" i="229"/>
  <c r="D180" i="229"/>
  <c r="C180" i="229"/>
  <c r="I179" i="229"/>
  <c r="J179" i="229" s="1"/>
  <c r="C179" i="229"/>
  <c r="D179" i="229" s="1"/>
  <c r="I178" i="229"/>
  <c r="C178" i="229"/>
  <c r="I177" i="229"/>
  <c r="C177" i="229"/>
  <c r="I176" i="229"/>
  <c r="J176" i="229" s="1"/>
  <c r="C176" i="229"/>
  <c r="D176" i="229" s="1"/>
  <c r="I175" i="229"/>
  <c r="C175" i="229"/>
  <c r="I174" i="229"/>
  <c r="C174" i="229"/>
  <c r="I173" i="229"/>
  <c r="J173" i="229" s="1"/>
  <c r="J184" i="229" s="1"/>
  <c r="C173" i="229"/>
  <c r="D173" i="229" s="1"/>
  <c r="D184" i="229" s="1"/>
  <c r="G171" i="229"/>
  <c r="A171" i="229"/>
  <c r="J155" i="229"/>
  <c r="D155" i="229"/>
  <c r="J154" i="229"/>
  <c r="I154" i="229"/>
  <c r="D154" i="229"/>
  <c r="C154" i="229"/>
  <c r="I153" i="229"/>
  <c r="J153" i="229" s="1"/>
  <c r="C153" i="229"/>
  <c r="D153" i="229" s="1"/>
  <c r="I152" i="229"/>
  <c r="C152" i="229"/>
  <c r="I151" i="229"/>
  <c r="C151" i="229"/>
  <c r="I150" i="229"/>
  <c r="J150" i="229" s="1"/>
  <c r="C150" i="229"/>
  <c r="D150" i="229" s="1"/>
  <c r="I149" i="229"/>
  <c r="C149" i="229"/>
  <c r="I148" i="229"/>
  <c r="C148" i="229"/>
  <c r="I147" i="229"/>
  <c r="J147" i="229" s="1"/>
  <c r="J158" i="229" s="1"/>
  <c r="C147" i="229"/>
  <c r="D147" i="229" s="1"/>
  <c r="D158" i="229" s="1"/>
  <c r="G145" i="229"/>
  <c r="A145" i="229"/>
  <c r="J138" i="229"/>
  <c r="D138" i="229"/>
  <c r="J137" i="229"/>
  <c r="I137" i="229"/>
  <c r="D137" i="229"/>
  <c r="C137" i="229"/>
  <c r="I136" i="229"/>
  <c r="J136" i="229" s="1"/>
  <c r="C136" i="229"/>
  <c r="D136" i="229" s="1"/>
  <c r="I135" i="229"/>
  <c r="C135" i="229"/>
  <c r="I134" i="229"/>
  <c r="C134" i="229"/>
  <c r="I133" i="229"/>
  <c r="J133" i="229" s="1"/>
  <c r="C133" i="229"/>
  <c r="D133" i="229" s="1"/>
  <c r="I132" i="229"/>
  <c r="C132" i="229"/>
  <c r="I131" i="229"/>
  <c r="C131" i="229"/>
  <c r="I130" i="229"/>
  <c r="J130" i="229" s="1"/>
  <c r="J141" i="229" s="1"/>
  <c r="C130" i="229"/>
  <c r="D130" i="229" s="1"/>
  <c r="D141" i="229" s="1"/>
  <c r="G128" i="229"/>
  <c r="A128" i="229"/>
  <c r="J122" i="229"/>
  <c r="J121" i="229"/>
  <c r="I121" i="229"/>
  <c r="I120" i="229"/>
  <c r="J120" i="229" s="1"/>
  <c r="C120" i="229"/>
  <c r="D120" i="229" s="1"/>
  <c r="I119" i="229"/>
  <c r="C119" i="229"/>
  <c r="I118" i="229"/>
  <c r="C118" i="229"/>
  <c r="I117" i="229"/>
  <c r="J117" i="229" s="1"/>
  <c r="C117" i="229"/>
  <c r="D117" i="229" s="1"/>
  <c r="I116" i="229"/>
  <c r="C116" i="229"/>
  <c r="I115" i="229"/>
  <c r="C115" i="229"/>
  <c r="I114" i="229"/>
  <c r="J114" i="229" s="1"/>
  <c r="J125" i="229" s="1"/>
  <c r="C114" i="229"/>
  <c r="D114" i="229" s="1"/>
  <c r="G112" i="229"/>
  <c r="A112" i="229"/>
  <c r="J99" i="229"/>
  <c r="D99" i="229"/>
  <c r="J98" i="229"/>
  <c r="I98" i="229"/>
  <c r="C98" i="229"/>
  <c r="I97" i="229"/>
  <c r="J97" i="229" s="1"/>
  <c r="C97" i="229"/>
  <c r="D97" i="229" s="1"/>
  <c r="I96" i="229"/>
  <c r="C96" i="229"/>
  <c r="I95" i="229"/>
  <c r="C95" i="229"/>
  <c r="I94" i="229"/>
  <c r="J94" i="229" s="1"/>
  <c r="C94" i="229"/>
  <c r="D94" i="229" s="1"/>
  <c r="I93" i="229"/>
  <c r="C93" i="229"/>
  <c r="I92" i="229"/>
  <c r="C92" i="229"/>
  <c r="I91" i="229"/>
  <c r="J91" i="229" s="1"/>
  <c r="J102" i="229" s="1"/>
  <c r="C91" i="229"/>
  <c r="D91" i="229" s="1"/>
  <c r="D102" i="229" s="1"/>
  <c r="G89" i="229"/>
  <c r="A89" i="229"/>
  <c r="J83" i="229"/>
  <c r="D83" i="229"/>
  <c r="J82" i="229"/>
  <c r="I82" i="229"/>
  <c r="D82" i="229"/>
  <c r="C82" i="229"/>
  <c r="I81" i="229"/>
  <c r="J81" i="229" s="1"/>
  <c r="C81" i="229"/>
  <c r="D81" i="229" s="1"/>
  <c r="I80" i="229"/>
  <c r="C80" i="229"/>
  <c r="I79" i="229"/>
  <c r="C79" i="229"/>
  <c r="I78" i="229"/>
  <c r="J78" i="229" s="1"/>
  <c r="C78" i="229"/>
  <c r="D78" i="229" s="1"/>
  <c r="I77" i="229"/>
  <c r="C77" i="229"/>
  <c r="I76" i="229"/>
  <c r="C76" i="229"/>
  <c r="I75" i="229"/>
  <c r="J75" i="229" s="1"/>
  <c r="J86" i="229" s="1"/>
  <c r="C75" i="229"/>
  <c r="D75" i="229" s="1"/>
  <c r="D86" i="229" s="1"/>
  <c r="G73" i="229"/>
  <c r="A73" i="229"/>
  <c r="J66" i="229"/>
  <c r="D66" i="229"/>
  <c r="J65" i="229"/>
  <c r="I65" i="229"/>
  <c r="D65" i="229"/>
  <c r="C65" i="229"/>
  <c r="I64" i="229"/>
  <c r="J64" i="229" s="1"/>
  <c r="C64" i="229"/>
  <c r="D64" i="229" s="1"/>
  <c r="I63" i="229"/>
  <c r="C63" i="229"/>
  <c r="I62" i="229"/>
  <c r="C62" i="229"/>
  <c r="I61" i="229"/>
  <c r="J61" i="229" s="1"/>
  <c r="C61" i="229"/>
  <c r="D61" i="229" s="1"/>
  <c r="I60" i="229"/>
  <c r="C60" i="229"/>
  <c r="I59" i="229"/>
  <c r="C59" i="229"/>
  <c r="I58" i="229"/>
  <c r="J58" i="229" s="1"/>
  <c r="J69" i="229" s="1"/>
  <c r="C58" i="229"/>
  <c r="D58" i="229" s="1"/>
  <c r="D69" i="229" s="1"/>
  <c r="G56" i="229"/>
  <c r="A56" i="229"/>
  <c r="J44" i="229"/>
  <c r="D44" i="229"/>
  <c r="J43" i="229"/>
  <c r="I43" i="229"/>
  <c r="C43" i="229"/>
  <c r="I42" i="229"/>
  <c r="J42" i="229" s="1"/>
  <c r="C42" i="229"/>
  <c r="D42" i="229" s="1"/>
  <c r="I41" i="229"/>
  <c r="C41" i="229"/>
  <c r="I40" i="229"/>
  <c r="C40" i="229"/>
  <c r="I39" i="229"/>
  <c r="J39" i="229" s="1"/>
  <c r="C39" i="229"/>
  <c r="D39" i="229" s="1"/>
  <c r="I38" i="229"/>
  <c r="C38" i="229"/>
  <c r="I37" i="229"/>
  <c r="C37" i="229"/>
  <c r="I36" i="229"/>
  <c r="J36" i="229" s="1"/>
  <c r="J47" i="229" s="1"/>
  <c r="C36" i="229"/>
  <c r="D36" i="229" s="1"/>
  <c r="D47" i="229" s="1"/>
  <c r="M35" i="229"/>
  <c r="G34" i="229"/>
  <c r="A34" i="229"/>
  <c r="M30" i="229"/>
  <c r="N29" i="229"/>
  <c r="M29" i="229"/>
  <c r="J28" i="229"/>
  <c r="D28" i="229"/>
  <c r="I27" i="229"/>
  <c r="D27" i="229"/>
  <c r="C27" i="229"/>
  <c r="I26" i="229"/>
  <c r="J26" i="229" s="1"/>
  <c r="C26" i="229"/>
  <c r="D26" i="229" s="1"/>
  <c r="M25" i="229"/>
  <c r="I25" i="229"/>
  <c r="C25" i="229"/>
  <c r="M24" i="229"/>
  <c r="I24" i="229"/>
  <c r="C24" i="229"/>
  <c r="M23" i="229"/>
  <c r="I23" i="229"/>
  <c r="J23" i="229" s="1"/>
  <c r="C23" i="229"/>
  <c r="D23" i="229" s="1"/>
  <c r="I22" i="229"/>
  <c r="C22" i="229"/>
  <c r="I21" i="229"/>
  <c r="C21" i="229"/>
  <c r="I20" i="229"/>
  <c r="J20" i="229" s="1"/>
  <c r="J31" i="229" s="1"/>
  <c r="C20" i="229"/>
  <c r="D20" i="229" s="1"/>
  <c r="D31" i="229" s="1"/>
  <c r="G18" i="229"/>
  <c r="A18" i="229"/>
  <c r="N12" i="229"/>
  <c r="J12" i="229"/>
  <c r="D12" i="229"/>
  <c r="N11" i="229"/>
  <c r="J11" i="229"/>
  <c r="I11" i="229"/>
  <c r="D11" i="229"/>
  <c r="C11" i="229"/>
  <c r="N10" i="229"/>
  <c r="I10" i="229"/>
  <c r="J10" i="229" s="1"/>
  <c r="C10" i="229"/>
  <c r="D10" i="229" s="1"/>
  <c r="N9" i="229"/>
  <c r="I9" i="229"/>
  <c r="C9" i="229"/>
  <c r="N8" i="229"/>
  <c r="I8" i="229"/>
  <c r="C8" i="229"/>
  <c r="N7" i="229"/>
  <c r="I7" i="229"/>
  <c r="J7" i="229" s="1"/>
  <c r="C7" i="229"/>
  <c r="D7" i="229" s="1"/>
  <c r="N6" i="229"/>
  <c r="I6" i="229"/>
  <c r="C6" i="229"/>
  <c r="N5" i="229"/>
  <c r="I5" i="229"/>
  <c r="C5" i="229"/>
  <c r="N4" i="229"/>
  <c r="I4" i="229"/>
  <c r="J4" i="229" s="1"/>
  <c r="J15" i="229" s="1"/>
  <c r="C4" i="229"/>
  <c r="D4" i="229" s="1"/>
  <c r="D15" i="229" s="1"/>
  <c r="L3" i="229"/>
  <c r="L5" i="229" s="1"/>
  <c r="G2" i="229"/>
  <c r="A2" i="229"/>
  <c r="O481" i="115"/>
  <c r="O480" i="115"/>
  <c r="AA478" i="115"/>
  <c r="S478" i="115"/>
  <c r="AA477" i="115"/>
  <c r="S477" i="115"/>
  <c r="AL476" i="115"/>
  <c r="AL475" i="115"/>
  <c r="AK475" i="115"/>
  <c r="AJ475" i="115"/>
  <c r="AI475" i="115"/>
  <c r="AH475" i="115"/>
  <c r="AG475" i="115"/>
  <c r="AF475" i="115"/>
  <c r="AE475" i="115"/>
  <c r="AD475" i="115"/>
  <c r="AC475" i="115"/>
  <c r="AB475" i="115"/>
  <c r="AA475" i="115"/>
  <c r="X475" i="115"/>
  <c r="W475" i="115"/>
  <c r="S475" i="115"/>
  <c r="AG474" i="115"/>
  <c r="AE474" i="115"/>
  <c r="AB474" i="115"/>
  <c r="AA474" i="115"/>
  <c r="S473" i="115"/>
  <c r="AE471" i="115"/>
  <c r="X470" i="115"/>
  <c r="H469" i="115"/>
  <c r="E469" i="115"/>
  <c r="S468" i="115"/>
  <c r="M468" i="115"/>
  <c r="H468" i="115"/>
  <c r="S467" i="115"/>
  <c r="N467" i="115"/>
  <c r="M467" i="115"/>
  <c r="L467" i="115"/>
  <c r="H467" i="115"/>
  <c r="G467" i="115"/>
  <c r="Y466" i="115"/>
  <c r="X466" i="115"/>
  <c r="AH464" i="115"/>
  <c r="AG464" i="115"/>
  <c r="AF464" i="115"/>
  <c r="AD464" i="115"/>
  <c r="Z463" i="115"/>
  <c r="AA463" i="115" s="1"/>
  <c r="AN461" i="115"/>
  <c r="AM461" i="115"/>
  <c r="AK461" i="115"/>
  <c r="AJ461" i="115"/>
  <c r="AH461" i="115"/>
  <c r="AG461" i="115"/>
  <c r="AF461" i="115"/>
  <c r="AE461" i="115"/>
  <c r="AD461" i="115"/>
  <c r="S461" i="115"/>
  <c r="R461" i="115"/>
  <c r="Q461" i="115"/>
  <c r="P461" i="115"/>
  <c r="O461" i="115"/>
  <c r="N461" i="115"/>
  <c r="M461" i="115"/>
  <c r="L461" i="115"/>
  <c r="K461" i="115"/>
  <c r="J461" i="115"/>
  <c r="I461" i="115"/>
  <c r="H461" i="115"/>
  <c r="G461" i="115"/>
  <c r="F461" i="115"/>
  <c r="E461" i="115"/>
  <c r="S460" i="115"/>
  <c r="AL459" i="115"/>
  <c r="P77" i="262" s="1"/>
  <c r="Q77" i="262" s="1"/>
  <c r="AB459" i="115"/>
  <c r="AA459" i="115"/>
  <c r="AI459" i="115" s="1"/>
  <c r="T459" i="115"/>
  <c r="W459" i="115" s="1"/>
  <c r="K77" i="262" s="1"/>
  <c r="N77" i="262" s="1"/>
  <c r="S459" i="115"/>
  <c r="E459" i="115"/>
  <c r="B459" i="115"/>
  <c r="AL458" i="115"/>
  <c r="P76" i="262" s="1"/>
  <c r="Q76" i="262" s="1"/>
  <c r="AB458" i="115"/>
  <c r="AA458" i="115"/>
  <c r="AI458" i="115" s="1"/>
  <c r="T458" i="115"/>
  <c r="W458" i="115" s="1"/>
  <c r="K76" i="262" s="1"/>
  <c r="N76" i="262" s="1"/>
  <c r="S458" i="115"/>
  <c r="E458" i="115"/>
  <c r="B458" i="115"/>
  <c r="AL457" i="115"/>
  <c r="P75" i="262" s="1"/>
  <c r="Q75" i="262" s="1"/>
  <c r="AB457" i="115"/>
  <c r="AA457" i="115"/>
  <c r="AI457" i="115" s="1"/>
  <c r="T457" i="115"/>
  <c r="W457" i="115" s="1"/>
  <c r="K75" i="262" s="1"/>
  <c r="S457" i="115"/>
  <c r="E457" i="115"/>
  <c r="B457" i="115"/>
  <c r="AL456" i="115"/>
  <c r="P74" i="262" s="1"/>
  <c r="Q74" i="262" s="1"/>
  <c r="AB456" i="115"/>
  <c r="AA456" i="115"/>
  <c r="AI456" i="115" s="1"/>
  <c r="T456" i="115"/>
  <c r="W456" i="115" s="1"/>
  <c r="K74" i="262" s="1"/>
  <c r="S456" i="115"/>
  <c r="E456" i="115"/>
  <c r="B456" i="115"/>
  <c r="AL455" i="115"/>
  <c r="P73" i="262" s="1"/>
  <c r="Q73" i="262" s="1"/>
  <c r="AB455" i="115"/>
  <c r="AA455" i="115"/>
  <c r="AI455" i="115" s="1"/>
  <c r="T455" i="115"/>
  <c r="W455" i="115" s="1"/>
  <c r="K73" i="262" s="1"/>
  <c r="S455" i="115"/>
  <c r="E455" i="115"/>
  <c r="B455" i="115"/>
  <c r="AL454" i="115"/>
  <c r="P72" i="262" s="1"/>
  <c r="Q72" i="262" s="1"/>
  <c r="AB454" i="115"/>
  <c r="AA454" i="115"/>
  <c r="AI454" i="115" s="1"/>
  <c r="T454" i="115"/>
  <c r="W454" i="115" s="1"/>
  <c r="K72" i="262" s="1"/>
  <c r="S454" i="115"/>
  <c r="E454" i="115"/>
  <c r="B454" i="115"/>
  <c r="AL453" i="115"/>
  <c r="P71" i="262" s="1"/>
  <c r="Q71" i="262" s="1"/>
  <c r="AB453" i="115"/>
  <c r="AA453" i="115"/>
  <c r="AI453" i="115" s="1"/>
  <c r="T453" i="115"/>
  <c r="W453" i="115" s="1"/>
  <c r="K71" i="262" s="1"/>
  <c r="N71" i="262" s="1"/>
  <c r="S453" i="115"/>
  <c r="E453" i="115"/>
  <c r="B453" i="115"/>
  <c r="AL452" i="115"/>
  <c r="P70" i="262" s="1"/>
  <c r="Q70" i="262" s="1"/>
  <c r="AB452" i="115"/>
  <c r="AA452" i="115"/>
  <c r="AI452" i="115" s="1"/>
  <c r="T452" i="115"/>
  <c r="W452" i="115" s="1"/>
  <c r="K70" i="262" s="1"/>
  <c r="N70" i="262" s="1"/>
  <c r="S452" i="115"/>
  <c r="E452" i="115"/>
  <c r="B452" i="115"/>
  <c r="AL451" i="115"/>
  <c r="P69" i="262" s="1"/>
  <c r="Q69" i="262" s="1"/>
  <c r="AB451" i="115"/>
  <c r="AA451" i="115"/>
  <c r="AI451" i="115" s="1"/>
  <c r="T451" i="115"/>
  <c r="W451" i="115" s="1"/>
  <c r="K69" i="262" s="1"/>
  <c r="N69" i="262" s="1"/>
  <c r="S451" i="115"/>
  <c r="E451" i="115"/>
  <c r="B451" i="115"/>
  <c r="AL450" i="115"/>
  <c r="P68" i="262" s="1"/>
  <c r="Q68" i="262" s="1"/>
  <c r="AB450" i="115"/>
  <c r="AA450" i="115"/>
  <c r="AI450" i="115" s="1"/>
  <c r="T450" i="115"/>
  <c r="W450" i="115" s="1"/>
  <c r="K68" i="262" s="1"/>
  <c r="N68" i="262" s="1"/>
  <c r="S450" i="115"/>
  <c r="E450" i="115"/>
  <c r="B450" i="115"/>
  <c r="AL449" i="115"/>
  <c r="P67" i="262" s="1"/>
  <c r="Q67" i="262" s="1"/>
  <c r="AB449" i="115"/>
  <c r="AA449" i="115"/>
  <c r="AI449" i="115" s="1"/>
  <c r="W449" i="115"/>
  <c r="K67" i="262" s="1"/>
  <c r="N67" i="262" s="1"/>
  <c r="T449" i="115"/>
  <c r="S449" i="115"/>
  <c r="E449" i="115"/>
  <c r="B449" i="115"/>
  <c r="AL448" i="115"/>
  <c r="P66" i="262" s="1"/>
  <c r="Q66" i="262" s="1"/>
  <c r="AB448" i="115"/>
  <c r="AA448" i="115"/>
  <c r="AI448" i="115" s="1"/>
  <c r="T448" i="115"/>
  <c r="W448" i="115" s="1"/>
  <c r="K66" i="262" s="1"/>
  <c r="N66" i="262" s="1"/>
  <c r="S448" i="115"/>
  <c r="E448" i="115"/>
  <c r="B448" i="115"/>
  <c r="AL447" i="115"/>
  <c r="P65" i="262" s="1"/>
  <c r="Q65" i="262" s="1"/>
  <c r="AB447" i="115"/>
  <c r="AA447" i="115"/>
  <c r="AI447" i="115" s="1"/>
  <c r="T447" i="115"/>
  <c r="W447" i="115" s="1"/>
  <c r="K65" i="262" s="1"/>
  <c r="N65" i="262" s="1"/>
  <c r="S447" i="115"/>
  <c r="E447" i="115"/>
  <c r="B447" i="115"/>
  <c r="AL446" i="115"/>
  <c r="P64" i="262" s="1"/>
  <c r="Q64" i="262" s="1"/>
  <c r="AB446" i="115"/>
  <c r="AA446" i="115"/>
  <c r="AI446" i="115" s="1"/>
  <c r="T446" i="115"/>
  <c r="W446" i="115" s="1"/>
  <c r="K64" i="262" s="1"/>
  <c r="N64" i="262" s="1"/>
  <c r="S446" i="115"/>
  <c r="E446" i="115"/>
  <c r="B446" i="115"/>
  <c r="AL445" i="115"/>
  <c r="P63" i="262" s="1"/>
  <c r="Q63" i="262" s="1"/>
  <c r="AB445" i="115"/>
  <c r="AA445" i="115"/>
  <c r="AI445" i="115" s="1"/>
  <c r="T445" i="115"/>
  <c r="W445" i="115" s="1"/>
  <c r="K63" i="262" s="1"/>
  <c r="N63" i="262" s="1"/>
  <c r="S445" i="115"/>
  <c r="E445" i="115"/>
  <c r="B445" i="115"/>
  <c r="AL444" i="115"/>
  <c r="P62" i="262" s="1"/>
  <c r="Q62" i="262" s="1"/>
  <c r="AB444" i="115"/>
  <c r="AA444" i="115"/>
  <c r="AI444" i="115" s="1"/>
  <c r="T444" i="115"/>
  <c r="W444" i="115" s="1"/>
  <c r="K62" i="262" s="1"/>
  <c r="N62" i="262" s="1"/>
  <c r="S444" i="115"/>
  <c r="E444" i="115"/>
  <c r="B444" i="115"/>
  <c r="AL443" i="115"/>
  <c r="P61" i="262" s="1"/>
  <c r="Q61" i="262" s="1"/>
  <c r="AB443" i="115"/>
  <c r="AA443" i="115"/>
  <c r="AI443" i="115" s="1"/>
  <c r="T443" i="115"/>
  <c r="W443" i="115" s="1"/>
  <c r="K61" i="262" s="1"/>
  <c r="N61" i="262" s="1"/>
  <c r="S443" i="115"/>
  <c r="E443" i="115"/>
  <c r="B443" i="115"/>
  <c r="AL442" i="115"/>
  <c r="P60" i="262" s="1"/>
  <c r="Q60" i="262" s="1"/>
  <c r="AB442" i="115"/>
  <c r="AA442" i="115"/>
  <c r="AI442" i="115" s="1"/>
  <c r="AI396" i="115" s="1"/>
  <c r="AI10" i="115" s="1"/>
  <c r="AI461" i="115" s="1"/>
  <c r="AI464" i="115" s="1"/>
  <c r="T442" i="115"/>
  <c r="W442" i="115" s="1"/>
  <c r="K60" i="262" s="1"/>
  <c r="N60" i="262" s="1"/>
  <c r="S442" i="115"/>
  <c r="E442" i="115"/>
  <c r="B442" i="115"/>
  <c r="AL441" i="115"/>
  <c r="P59" i="262" s="1"/>
  <c r="Q59" i="262" s="1"/>
  <c r="AE441" i="115"/>
  <c r="AB441" i="115"/>
  <c r="AA441" i="115"/>
  <c r="W441" i="115"/>
  <c r="K59" i="262" s="1"/>
  <c r="N59" i="262" s="1"/>
  <c r="T441" i="115"/>
  <c r="S441" i="115"/>
  <c r="E441" i="115"/>
  <c r="B441" i="115"/>
  <c r="AL440" i="115"/>
  <c r="P58" i="262" s="1"/>
  <c r="Q58" i="262" s="1"/>
  <c r="AB440" i="115"/>
  <c r="AA440" i="115"/>
  <c r="T440" i="115"/>
  <c r="W440" i="115" s="1"/>
  <c r="S440" i="115"/>
  <c r="E440" i="115"/>
  <c r="B440" i="115"/>
  <c r="AL439" i="115"/>
  <c r="P57" i="262" s="1"/>
  <c r="Q57" i="262" s="1"/>
  <c r="AB439" i="115"/>
  <c r="AA439" i="115"/>
  <c r="T439" i="115"/>
  <c r="W439" i="115" s="1"/>
  <c r="K57" i="262" s="1"/>
  <c r="N57" i="262" s="1"/>
  <c r="S439" i="115"/>
  <c r="E439" i="115"/>
  <c r="B439" i="115"/>
  <c r="AL438" i="115"/>
  <c r="P56" i="262" s="1"/>
  <c r="Q56" i="262" s="1"/>
  <c r="AB438" i="115"/>
  <c r="AA438" i="115"/>
  <c r="T438" i="115"/>
  <c r="W438" i="115" s="1"/>
  <c r="S438" i="115"/>
  <c r="E438" i="115"/>
  <c r="B438" i="115"/>
  <c r="AL437" i="115"/>
  <c r="P55" i="262" s="1"/>
  <c r="Q55" i="262" s="1"/>
  <c r="AB437" i="115"/>
  <c r="AA437" i="115"/>
  <c r="T437" i="115"/>
  <c r="W437" i="115" s="1"/>
  <c r="K55" i="262" s="1"/>
  <c r="N55" i="262" s="1"/>
  <c r="S437" i="115"/>
  <c r="E437" i="115"/>
  <c r="B437" i="115"/>
  <c r="AL436" i="115"/>
  <c r="P54" i="262" s="1"/>
  <c r="Q54" i="262" s="1"/>
  <c r="AB436" i="115"/>
  <c r="AA436" i="115"/>
  <c r="T436" i="115"/>
  <c r="W436" i="115" s="1"/>
  <c r="S436" i="115"/>
  <c r="E436" i="115"/>
  <c r="B436" i="115"/>
  <c r="AL435" i="115"/>
  <c r="P53" i="262" s="1"/>
  <c r="Q53" i="262" s="1"/>
  <c r="AB435" i="115"/>
  <c r="AA435" i="115"/>
  <c r="T435" i="115"/>
  <c r="W435" i="115" s="1"/>
  <c r="K53" i="262" s="1"/>
  <c r="N53" i="262" s="1"/>
  <c r="S435" i="115"/>
  <c r="E435" i="115"/>
  <c r="B435" i="115"/>
  <c r="AL434" i="115"/>
  <c r="P52" i="262" s="1"/>
  <c r="Q52" i="262" s="1"/>
  <c r="AB434" i="115"/>
  <c r="AA434" i="115"/>
  <c r="T434" i="115"/>
  <c r="W434" i="115" s="1"/>
  <c r="S434" i="115"/>
  <c r="E434" i="115"/>
  <c r="B434" i="115"/>
  <c r="AL433" i="115"/>
  <c r="P51" i="262" s="1"/>
  <c r="Q51" i="262" s="1"/>
  <c r="AB433" i="115"/>
  <c r="AA433" i="115"/>
  <c r="T433" i="115"/>
  <c r="W433" i="115" s="1"/>
  <c r="K51" i="262" s="1"/>
  <c r="N51" i="262" s="1"/>
  <c r="S433" i="115"/>
  <c r="E433" i="115"/>
  <c r="B433" i="115"/>
  <c r="AL432" i="115"/>
  <c r="P50" i="262" s="1"/>
  <c r="Q50" i="262" s="1"/>
  <c r="AB432" i="115"/>
  <c r="AA432" i="115"/>
  <c r="T432" i="115"/>
  <c r="W432" i="115" s="1"/>
  <c r="S432" i="115"/>
  <c r="E432" i="115"/>
  <c r="B432" i="115"/>
  <c r="AL431" i="115"/>
  <c r="P49" i="262" s="1"/>
  <c r="Q49" i="262" s="1"/>
  <c r="AB431" i="115"/>
  <c r="AA431" i="115"/>
  <c r="T431" i="115"/>
  <c r="W431" i="115" s="1"/>
  <c r="K49" i="262" s="1"/>
  <c r="N49" i="262" s="1"/>
  <c r="S431" i="115"/>
  <c r="E431" i="115"/>
  <c r="B431" i="115"/>
  <c r="AL430" i="115"/>
  <c r="P48" i="262" s="1"/>
  <c r="Q48" i="262" s="1"/>
  <c r="AB430" i="115"/>
  <c r="AA430" i="115"/>
  <c r="T430" i="115"/>
  <c r="W430" i="115" s="1"/>
  <c r="S430" i="115"/>
  <c r="E430" i="115"/>
  <c r="B430" i="115"/>
  <c r="AL429" i="115"/>
  <c r="P47" i="262" s="1"/>
  <c r="Q47" i="262" s="1"/>
  <c r="AB429" i="115"/>
  <c r="AA429" i="115"/>
  <c r="T429" i="115"/>
  <c r="W429" i="115" s="1"/>
  <c r="K47" i="262" s="1"/>
  <c r="N47" i="262" s="1"/>
  <c r="S429" i="115"/>
  <c r="E429" i="115"/>
  <c r="B429" i="115"/>
  <c r="AL428" i="115"/>
  <c r="P46" i="262" s="1"/>
  <c r="Q46" i="262" s="1"/>
  <c r="AB428" i="115"/>
  <c r="AA428" i="115"/>
  <c r="T428" i="115"/>
  <c r="W428" i="115" s="1"/>
  <c r="S428" i="115"/>
  <c r="E428" i="115"/>
  <c r="B428" i="115"/>
  <c r="AL427" i="115"/>
  <c r="P45" i="262" s="1"/>
  <c r="Q45" i="262" s="1"/>
  <c r="AB427" i="115"/>
  <c r="AA427" i="115"/>
  <c r="T427" i="115"/>
  <c r="W427" i="115" s="1"/>
  <c r="K45" i="262" s="1"/>
  <c r="N45" i="262" s="1"/>
  <c r="S427" i="115"/>
  <c r="E427" i="115"/>
  <c r="B427" i="115"/>
  <c r="AL426" i="115"/>
  <c r="P44" i="262" s="1"/>
  <c r="Q44" i="262" s="1"/>
  <c r="AB426" i="115"/>
  <c r="AA426" i="115"/>
  <c r="T426" i="115"/>
  <c r="W426" i="115" s="1"/>
  <c r="S426" i="115"/>
  <c r="E426" i="115"/>
  <c r="B426" i="115"/>
  <c r="AL425" i="115"/>
  <c r="P43" i="262" s="1"/>
  <c r="Q43" i="262" s="1"/>
  <c r="AB425" i="115"/>
  <c r="AA425" i="115"/>
  <c r="T425" i="115"/>
  <c r="W425" i="115" s="1"/>
  <c r="K43" i="262" s="1"/>
  <c r="N43" i="262" s="1"/>
  <c r="S425" i="115"/>
  <c r="E425" i="115"/>
  <c r="B425" i="115"/>
  <c r="AL424" i="115"/>
  <c r="P42" i="262" s="1"/>
  <c r="Q42" i="262" s="1"/>
  <c r="AB424" i="115"/>
  <c r="AA424" i="115"/>
  <c r="T424" i="115"/>
  <c r="W424" i="115" s="1"/>
  <c r="S424" i="115"/>
  <c r="E424" i="115"/>
  <c r="B424" i="115"/>
  <c r="AL423" i="115"/>
  <c r="P41" i="262" s="1"/>
  <c r="Q41" i="262" s="1"/>
  <c r="AB423" i="115"/>
  <c r="AA423" i="115"/>
  <c r="T423" i="115"/>
  <c r="W423" i="115" s="1"/>
  <c r="K41" i="262" s="1"/>
  <c r="N41" i="262" s="1"/>
  <c r="S423" i="115"/>
  <c r="E423" i="115"/>
  <c r="B423" i="115"/>
  <c r="AL422" i="115"/>
  <c r="P40" i="262" s="1"/>
  <c r="Q40" i="262" s="1"/>
  <c r="AB422" i="115"/>
  <c r="AA422" i="115"/>
  <c r="T422" i="115"/>
  <c r="W422" i="115" s="1"/>
  <c r="S422" i="115"/>
  <c r="E422" i="115"/>
  <c r="B422" i="115"/>
  <c r="AL421" i="115"/>
  <c r="P39" i="262" s="1"/>
  <c r="Q39" i="262" s="1"/>
  <c r="AB421" i="115"/>
  <c r="AA421" i="115"/>
  <c r="T421" i="115"/>
  <c r="W421" i="115" s="1"/>
  <c r="K39" i="262" s="1"/>
  <c r="N39" i="262" s="1"/>
  <c r="S421" i="115"/>
  <c r="E421" i="115"/>
  <c r="B421" i="115"/>
  <c r="AL420" i="115"/>
  <c r="P38" i="262" s="1"/>
  <c r="Q38" i="262" s="1"/>
  <c r="AB420" i="115"/>
  <c r="AA420" i="115"/>
  <c r="T420" i="115"/>
  <c r="W420" i="115" s="1"/>
  <c r="S420" i="115"/>
  <c r="E420" i="115"/>
  <c r="B420" i="115"/>
  <c r="AL419" i="115"/>
  <c r="P37" i="262" s="1"/>
  <c r="Q37" i="262" s="1"/>
  <c r="AB419" i="115"/>
  <c r="AA419" i="115"/>
  <c r="T419" i="115"/>
  <c r="W419" i="115" s="1"/>
  <c r="K37" i="262" s="1"/>
  <c r="N37" i="262" s="1"/>
  <c r="S419" i="115"/>
  <c r="E419" i="115"/>
  <c r="B419" i="115"/>
  <c r="AL418" i="115"/>
  <c r="P36" i="262" s="1"/>
  <c r="Q36" i="262" s="1"/>
  <c r="AB418" i="115"/>
  <c r="AA418" i="115"/>
  <c r="T418" i="115"/>
  <c r="W418" i="115" s="1"/>
  <c r="S418" i="115"/>
  <c r="G418" i="115"/>
  <c r="F418" i="115"/>
  <c r="E418" i="115"/>
  <c r="B418" i="115"/>
  <c r="AL417" i="115"/>
  <c r="P35" i="262" s="1"/>
  <c r="Q35" i="262" s="1"/>
  <c r="AB417" i="115"/>
  <c r="AA417" i="115"/>
  <c r="T417" i="115"/>
  <c r="W417" i="115" s="1"/>
  <c r="K35" i="262" s="1"/>
  <c r="N35" i="262" s="1"/>
  <c r="S417" i="115"/>
  <c r="E417" i="115"/>
  <c r="B417" i="115"/>
  <c r="AL416" i="115"/>
  <c r="P34" i="262" s="1"/>
  <c r="Q34" i="262" s="1"/>
  <c r="AB416" i="115"/>
  <c r="AA416" i="115"/>
  <c r="T416" i="115"/>
  <c r="W416" i="115" s="1"/>
  <c r="S416" i="115"/>
  <c r="E416" i="115"/>
  <c r="B416" i="115"/>
  <c r="AL415" i="115"/>
  <c r="P33" i="262" s="1"/>
  <c r="Q33" i="262" s="1"/>
  <c r="AB415" i="115"/>
  <c r="AA415" i="115"/>
  <c r="T415" i="115"/>
  <c r="W415" i="115" s="1"/>
  <c r="K33" i="262" s="1"/>
  <c r="N33" i="262" s="1"/>
  <c r="S415" i="115"/>
  <c r="E415" i="115"/>
  <c r="B415" i="115"/>
  <c r="AL414" i="115"/>
  <c r="P32" i="262" s="1"/>
  <c r="Q32" i="262" s="1"/>
  <c r="AB414" i="115"/>
  <c r="AA414" i="115"/>
  <c r="T414" i="115"/>
  <c r="W414" i="115" s="1"/>
  <c r="S414" i="115"/>
  <c r="E414" i="115"/>
  <c r="B414" i="115"/>
  <c r="AL413" i="115"/>
  <c r="P31" i="262" s="1"/>
  <c r="Q31" i="262" s="1"/>
  <c r="AB413" i="115"/>
  <c r="AA413" i="115"/>
  <c r="T413" i="115"/>
  <c r="W413" i="115" s="1"/>
  <c r="K31" i="262" s="1"/>
  <c r="N31" i="262" s="1"/>
  <c r="S413" i="115"/>
  <c r="E413" i="115"/>
  <c r="B413" i="115"/>
  <c r="AL412" i="115"/>
  <c r="P30" i="262" s="1"/>
  <c r="Q30" i="262" s="1"/>
  <c r="AB412" i="115"/>
  <c r="AA412" i="115"/>
  <c r="T412" i="115"/>
  <c r="W412" i="115" s="1"/>
  <c r="S412" i="115"/>
  <c r="E412" i="115"/>
  <c r="B412" i="115"/>
  <c r="AL411" i="115"/>
  <c r="P29" i="262" s="1"/>
  <c r="Q29" i="262" s="1"/>
  <c r="AB411" i="115"/>
  <c r="AA411" i="115"/>
  <c r="T411" i="115"/>
  <c r="W411" i="115" s="1"/>
  <c r="K29" i="262" s="1"/>
  <c r="N29" i="262" s="1"/>
  <c r="S411" i="115"/>
  <c r="E411" i="115"/>
  <c r="B411" i="115"/>
  <c r="AL410" i="115"/>
  <c r="P28" i="262" s="1"/>
  <c r="Q28" i="262" s="1"/>
  <c r="AB410" i="115"/>
  <c r="AA410" i="115"/>
  <c r="T410" i="115"/>
  <c r="W410" i="115" s="1"/>
  <c r="S410" i="115"/>
  <c r="E410" i="115"/>
  <c r="B410" i="115"/>
  <c r="AL409" i="115"/>
  <c r="P27" i="262" s="1"/>
  <c r="Q27" i="262" s="1"/>
  <c r="AB409" i="115"/>
  <c r="AA409" i="115"/>
  <c r="T409" i="115"/>
  <c r="W409" i="115" s="1"/>
  <c r="K27" i="262" s="1"/>
  <c r="N27" i="262" s="1"/>
  <c r="S409" i="115"/>
  <c r="E409" i="115"/>
  <c r="B409" i="115"/>
  <c r="AL408" i="115"/>
  <c r="P26" i="262" s="1"/>
  <c r="Q26" i="262" s="1"/>
  <c r="AB408" i="115"/>
  <c r="AA408" i="115"/>
  <c r="T408" i="115"/>
  <c r="W408" i="115" s="1"/>
  <c r="S408" i="115"/>
  <c r="E408" i="115"/>
  <c r="B408" i="115"/>
  <c r="AL407" i="115"/>
  <c r="P25" i="262" s="1"/>
  <c r="Q25" i="262" s="1"/>
  <c r="AB407" i="115"/>
  <c r="AA407" i="115"/>
  <c r="T407" i="115"/>
  <c r="W407" i="115" s="1"/>
  <c r="K25" i="262" s="1"/>
  <c r="N25" i="262" s="1"/>
  <c r="S407" i="115"/>
  <c r="E407" i="115"/>
  <c r="B407" i="115"/>
  <c r="AL406" i="115"/>
  <c r="P24" i="262" s="1"/>
  <c r="Q24" i="262" s="1"/>
  <c r="AB406" i="115"/>
  <c r="AA406" i="115"/>
  <c r="T406" i="115"/>
  <c r="W406" i="115" s="1"/>
  <c r="S406" i="115"/>
  <c r="E406" i="115"/>
  <c r="B406" i="115"/>
  <c r="AL405" i="115"/>
  <c r="P23" i="262" s="1"/>
  <c r="Q23" i="262" s="1"/>
  <c r="AB405" i="115"/>
  <c r="AA405" i="115"/>
  <c r="T405" i="115"/>
  <c r="W405" i="115" s="1"/>
  <c r="K23" i="262" s="1"/>
  <c r="N23" i="262" s="1"/>
  <c r="S405" i="115"/>
  <c r="E405" i="115"/>
  <c r="B405" i="115"/>
  <c r="AL404" i="115"/>
  <c r="P22" i="262" s="1"/>
  <c r="Q22" i="262" s="1"/>
  <c r="AB404" i="115"/>
  <c r="AA404" i="115"/>
  <c r="T404" i="115"/>
  <c r="W404" i="115" s="1"/>
  <c r="S404" i="115"/>
  <c r="E404" i="115"/>
  <c r="B404" i="115"/>
  <c r="AL403" i="115"/>
  <c r="P21" i="262" s="1"/>
  <c r="Q21" i="262" s="1"/>
  <c r="AB403" i="115"/>
  <c r="AA403" i="115"/>
  <c r="T403" i="115"/>
  <c r="W403" i="115" s="1"/>
  <c r="K21" i="262" s="1"/>
  <c r="N21" i="262" s="1"/>
  <c r="S403" i="115"/>
  <c r="E403" i="115"/>
  <c r="B403" i="115"/>
  <c r="AL402" i="115"/>
  <c r="P20" i="262" s="1"/>
  <c r="Q20" i="262" s="1"/>
  <c r="AB402" i="115"/>
  <c r="AA402" i="115"/>
  <c r="T402" i="115"/>
  <c r="W402" i="115" s="1"/>
  <c r="S402" i="115"/>
  <c r="E402" i="115"/>
  <c r="B402" i="115"/>
  <c r="AL401" i="115"/>
  <c r="P19" i="262" s="1"/>
  <c r="Q19" i="262" s="1"/>
  <c r="AB401" i="115"/>
  <c r="AA401" i="115"/>
  <c r="T401" i="115"/>
  <c r="W401" i="115" s="1"/>
  <c r="K19" i="262" s="1"/>
  <c r="N19" i="262" s="1"/>
  <c r="S401" i="115"/>
  <c r="E401" i="115"/>
  <c r="B401" i="115"/>
  <c r="AL400" i="115"/>
  <c r="P18" i="262" s="1"/>
  <c r="Q18" i="262" s="1"/>
  <c r="AB400" i="115"/>
  <c r="AA400" i="115"/>
  <c r="T400" i="115"/>
  <c r="W400" i="115" s="1"/>
  <c r="S400" i="115"/>
  <c r="E400" i="115"/>
  <c r="B400" i="115"/>
  <c r="AL399" i="115"/>
  <c r="P17" i="262" s="1"/>
  <c r="Q17" i="262" s="1"/>
  <c r="AB399" i="115"/>
  <c r="AA399" i="115"/>
  <c r="T399" i="115"/>
  <c r="W399" i="115" s="1"/>
  <c r="K17" i="262" s="1"/>
  <c r="N17" i="262" s="1"/>
  <c r="S399" i="115"/>
  <c r="E399" i="115"/>
  <c r="B399" i="115"/>
  <c r="AL398" i="115"/>
  <c r="P16" i="262" s="1"/>
  <c r="Q16" i="262" s="1"/>
  <c r="AB398" i="115"/>
  <c r="AA398" i="115"/>
  <c r="T398" i="115"/>
  <c r="W398" i="115" s="1"/>
  <c r="S398" i="115"/>
  <c r="E398" i="115"/>
  <c r="B398" i="115"/>
  <c r="AL397" i="115"/>
  <c r="P15" i="262" s="1"/>
  <c r="AB397" i="115"/>
  <c r="AB396" i="115" s="1"/>
  <c r="AA397" i="115"/>
  <c r="AA396" i="115" s="1"/>
  <c r="T397" i="115"/>
  <c r="T396" i="115" s="1"/>
  <c r="S397" i="115"/>
  <c r="E397" i="115"/>
  <c r="B397" i="115"/>
  <c r="AL396" i="115"/>
  <c r="AK396" i="115"/>
  <c r="AJ396" i="115"/>
  <c r="AE396" i="115"/>
  <c r="AC396" i="115"/>
  <c r="V396" i="115"/>
  <c r="U396" i="115"/>
  <c r="S396" i="115"/>
  <c r="R396" i="115"/>
  <c r="Q396" i="115"/>
  <c r="P396" i="115"/>
  <c r="O396" i="115"/>
  <c r="N396" i="115"/>
  <c r="M396" i="115"/>
  <c r="L396" i="115"/>
  <c r="K396" i="115"/>
  <c r="J396" i="115"/>
  <c r="I396" i="115"/>
  <c r="H396" i="115"/>
  <c r="G396" i="115"/>
  <c r="F396" i="115"/>
  <c r="E396" i="115"/>
  <c r="AL395" i="115"/>
  <c r="Z395" i="115"/>
  <c r="S395" i="115"/>
  <c r="AL394" i="115"/>
  <c r="P20" i="266" s="1"/>
  <c r="Q20" i="266" s="1"/>
  <c r="AB394" i="115"/>
  <c r="AA394" i="115"/>
  <c r="W394" i="115"/>
  <c r="K20" i="266" s="1"/>
  <c r="N20" i="266" s="1"/>
  <c r="T394" i="115"/>
  <c r="S394" i="115"/>
  <c r="E394" i="115"/>
  <c r="B394" i="115"/>
  <c r="AL393" i="115"/>
  <c r="P19" i="266" s="1"/>
  <c r="Q19" i="266" s="1"/>
  <c r="AB393" i="115"/>
  <c r="AA393" i="115"/>
  <c r="W393" i="115"/>
  <c r="K19" i="266" s="1"/>
  <c r="N19" i="266" s="1"/>
  <c r="T393" i="115"/>
  <c r="S393" i="115"/>
  <c r="E393" i="115"/>
  <c r="B393" i="115"/>
  <c r="AL392" i="115"/>
  <c r="P18" i="266" s="1"/>
  <c r="Q18" i="266" s="1"/>
  <c r="AB392" i="115"/>
  <c r="AA392" i="115"/>
  <c r="W392" i="115"/>
  <c r="K18" i="266" s="1"/>
  <c r="N18" i="266" s="1"/>
  <c r="T392" i="115"/>
  <c r="S392" i="115"/>
  <c r="E392" i="115"/>
  <c r="B392" i="115"/>
  <c r="AL391" i="115"/>
  <c r="P17" i="266" s="1"/>
  <c r="Q17" i="266" s="1"/>
  <c r="AB391" i="115"/>
  <c r="AA391" i="115"/>
  <c r="W391" i="115"/>
  <c r="K17" i="266" s="1"/>
  <c r="N17" i="266" s="1"/>
  <c r="T391" i="115"/>
  <c r="S391" i="115"/>
  <c r="E391" i="115"/>
  <c r="B391" i="115"/>
  <c r="AL390" i="115"/>
  <c r="P16" i="266" s="1"/>
  <c r="Q16" i="266" s="1"/>
  <c r="AB390" i="115"/>
  <c r="AA390" i="115"/>
  <c r="W390" i="115"/>
  <c r="K16" i="266" s="1"/>
  <c r="N16" i="266" s="1"/>
  <c r="T390" i="115"/>
  <c r="S390" i="115"/>
  <c r="E390" i="115"/>
  <c r="B390" i="115"/>
  <c r="AL389" i="115"/>
  <c r="P15" i="266" s="1"/>
  <c r="Q15" i="266" s="1"/>
  <c r="AB389" i="115"/>
  <c r="AA389" i="115"/>
  <c r="W389" i="115"/>
  <c r="K15" i="266" s="1"/>
  <c r="N15" i="266" s="1"/>
  <c r="T389" i="115"/>
  <c r="S389" i="115"/>
  <c r="E389" i="115"/>
  <c r="B389" i="115"/>
  <c r="AL388" i="115"/>
  <c r="P14" i="266" s="1"/>
  <c r="AB388" i="115"/>
  <c r="AA388" i="115"/>
  <c r="W388" i="115"/>
  <c r="K14" i="266" s="1"/>
  <c r="T388" i="115"/>
  <c r="S388" i="115"/>
  <c r="E388" i="115"/>
  <c r="B388" i="115"/>
  <c r="AP387" i="115"/>
  <c r="AL387" i="115"/>
  <c r="P84" i="264" s="1"/>
  <c r="Q84" i="264" s="1"/>
  <c r="AE387" i="115"/>
  <c r="AB387" i="115"/>
  <c r="AA387" i="115"/>
  <c r="W387" i="115"/>
  <c r="K84" i="264" s="1"/>
  <c r="N84" i="264" s="1"/>
  <c r="T387" i="115"/>
  <c r="S387" i="115"/>
  <c r="E387" i="115"/>
  <c r="B387" i="115"/>
  <c r="AP386" i="115"/>
  <c r="AL386" i="115"/>
  <c r="P83" i="264" s="1"/>
  <c r="Q83" i="264" s="1"/>
  <c r="AE386" i="115"/>
  <c r="AB386" i="115"/>
  <c r="AA386" i="115"/>
  <c r="W386" i="115"/>
  <c r="K83" i="264" s="1"/>
  <c r="N83" i="264" s="1"/>
  <c r="T386" i="115"/>
  <c r="S386" i="115"/>
  <c r="E386" i="115"/>
  <c r="B386" i="115"/>
  <c r="AP385" i="115"/>
  <c r="AL385" i="115"/>
  <c r="P82" i="264" s="1"/>
  <c r="Q82" i="264" s="1"/>
  <c r="AB385" i="115"/>
  <c r="AA385" i="115"/>
  <c r="W385" i="115"/>
  <c r="K82" i="264" s="1"/>
  <c r="N82" i="264" s="1"/>
  <c r="T385" i="115"/>
  <c r="S385" i="115"/>
  <c r="E385" i="115"/>
  <c r="B385" i="115"/>
  <c r="AP384" i="115"/>
  <c r="AL384" i="115"/>
  <c r="P81" i="264" s="1"/>
  <c r="Q81" i="264" s="1"/>
  <c r="AB384" i="115"/>
  <c r="AA384" i="115"/>
  <c r="W384" i="115"/>
  <c r="K81" i="264" s="1"/>
  <c r="N81" i="264" s="1"/>
  <c r="T384" i="115"/>
  <c r="S384" i="115"/>
  <c r="E384" i="115"/>
  <c r="B384" i="115"/>
  <c r="AP383" i="115"/>
  <c r="AL383" i="115"/>
  <c r="P80" i="264" s="1"/>
  <c r="Q80" i="264" s="1"/>
  <c r="AB383" i="115"/>
  <c r="AA383" i="115"/>
  <c r="W383" i="115"/>
  <c r="K80" i="264" s="1"/>
  <c r="N80" i="264" s="1"/>
  <c r="T383" i="115"/>
  <c r="S383" i="115"/>
  <c r="E383" i="115"/>
  <c r="B383" i="115"/>
  <c r="AP382" i="115"/>
  <c r="AL382" i="115"/>
  <c r="P79" i="264" s="1"/>
  <c r="Q79" i="264" s="1"/>
  <c r="AB382" i="115"/>
  <c r="AA382" i="115"/>
  <c r="W382" i="115"/>
  <c r="K79" i="264" s="1"/>
  <c r="N79" i="264" s="1"/>
  <c r="T382" i="115"/>
  <c r="S382" i="115"/>
  <c r="E382" i="115"/>
  <c r="B382" i="115"/>
  <c r="AP381" i="115"/>
  <c r="AL381" i="115"/>
  <c r="P78" i="264" s="1"/>
  <c r="Q78" i="264" s="1"/>
  <c r="AB381" i="115"/>
  <c r="AA381" i="115"/>
  <c r="W381" i="115"/>
  <c r="K78" i="264" s="1"/>
  <c r="N78" i="264" s="1"/>
  <c r="T381" i="115"/>
  <c r="S381" i="115"/>
  <c r="E381" i="115"/>
  <c r="B381" i="115"/>
  <c r="AP380" i="115"/>
  <c r="AL380" i="115"/>
  <c r="P77" i="264" s="1"/>
  <c r="Q77" i="264" s="1"/>
  <c r="AB380" i="115"/>
  <c r="AA380" i="115"/>
  <c r="W380" i="115"/>
  <c r="K77" i="264" s="1"/>
  <c r="N77" i="264" s="1"/>
  <c r="T380" i="115"/>
  <c r="S380" i="115"/>
  <c r="E380" i="115"/>
  <c r="B380" i="115"/>
  <c r="AP379" i="115"/>
  <c r="AL379" i="115"/>
  <c r="P76" i="264" s="1"/>
  <c r="Q76" i="264" s="1"/>
  <c r="AB379" i="115"/>
  <c r="AA379" i="115"/>
  <c r="W379" i="115"/>
  <c r="K76" i="264" s="1"/>
  <c r="N76" i="264" s="1"/>
  <c r="T379" i="115"/>
  <c r="S379" i="115"/>
  <c r="E379" i="115"/>
  <c r="B379" i="115"/>
  <c r="AP378" i="115"/>
  <c r="AL378" i="115"/>
  <c r="P75" i="264" s="1"/>
  <c r="Q75" i="264" s="1"/>
  <c r="AB378" i="115"/>
  <c r="AA378" i="115"/>
  <c r="W378" i="115"/>
  <c r="K75" i="264" s="1"/>
  <c r="N75" i="264" s="1"/>
  <c r="T378" i="115"/>
  <c r="S378" i="115"/>
  <c r="E378" i="115"/>
  <c r="B378" i="115"/>
  <c r="AP377" i="115"/>
  <c r="AL377" i="115"/>
  <c r="P74" i="264" s="1"/>
  <c r="Q74" i="264" s="1"/>
  <c r="AB377" i="115"/>
  <c r="AA377" i="115"/>
  <c r="W377" i="115"/>
  <c r="K74" i="264" s="1"/>
  <c r="N74" i="264" s="1"/>
  <c r="T377" i="115"/>
  <c r="S377" i="115"/>
  <c r="E377" i="115"/>
  <c r="B377" i="115"/>
  <c r="AP376" i="115"/>
  <c r="AL376" i="115"/>
  <c r="P73" i="264" s="1"/>
  <c r="Q73" i="264" s="1"/>
  <c r="AB376" i="115"/>
  <c r="AA376" i="115"/>
  <c r="W376" i="115"/>
  <c r="K73" i="264" s="1"/>
  <c r="N73" i="264" s="1"/>
  <c r="T376" i="115"/>
  <c r="S376" i="115"/>
  <c r="E376" i="115"/>
  <c r="B376" i="115"/>
  <c r="AP375" i="115"/>
  <c r="AL375" i="115"/>
  <c r="P72" i="264" s="1"/>
  <c r="Q72" i="264" s="1"/>
  <c r="AB375" i="115"/>
  <c r="AA375" i="115"/>
  <c r="W375" i="115"/>
  <c r="K72" i="264" s="1"/>
  <c r="N72" i="264" s="1"/>
  <c r="T375" i="115"/>
  <c r="S375" i="115"/>
  <c r="E375" i="115"/>
  <c r="B375" i="115"/>
  <c r="AP374" i="115"/>
  <c r="AL374" i="115"/>
  <c r="P71" i="264" s="1"/>
  <c r="Q71" i="264" s="1"/>
  <c r="AB374" i="115"/>
  <c r="AA374" i="115"/>
  <c r="W374" i="115"/>
  <c r="K71" i="264" s="1"/>
  <c r="N71" i="264" s="1"/>
  <c r="T374" i="115"/>
  <c r="S374" i="115"/>
  <c r="E374" i="115"/>
  <c r="B374" i="115"/>
  <c r="AP373" i="115"/>
  <c r="AL373" i="115"/>
  <c r="P70" i="264" s="1"/>
  <c r="Q70" i="264" s="1"/>
  <c r="AB373" i="115"/>
  <c r="AA373" i="115"/>
  <c r="W373" i="115"/>
  <c r="K70" i="264" s="1"/>
  <c r="N70" i="264" s="1"/>
  <c r="T373" i="115"/>
  <c r="S373" i="115"/>
  <c r="E373" i="115"/>
  <c r="B373" i="115"/>
  <c r="AP372" i="115"/>
  <c r="AL372" i="115"/>
  <c r="P69" i="264" s="1"/>
  <c r="Q69" i="264" s="1"/>
  <c r="AB372" i="115"/>
  <c r="AA372" i="115"/>
  <c r="W372" i="115"/>
  <c r="K69" i="264" s="1"/>
  <c r="N69" i="264" s="1"/>
  <c r="T372" i="115"/>
  <c r="S372" i="115"/>
  <c r="E372" i="115"/>
  <c r="B372" i="115"/>
  <c r="AP371" i="115"/>
  <c r="AL371" i="115"/>
  <c r="P68" i="264" s="1"/>
  <c r="Q68" i="264" s="1"/>
  <c r="AB371" i="115"/>
  <c r="AA371" i="115"/>
  <c r="W371" i="115"/>
  <c r="K68" i="264" s="1"/>
  <c r="N68" i="264" s="1"/>
  <c r="T371" i="115"/>
  <c r="S371" i="115"/>
  <c r="E371" i="115"/>
  <c r="B371" i="115"/>
  <c r="AP370" i="115"/>
  <c r="AL370" i="115"/>
  <c r="P67" i="264" s="1"/>
  <c r="Q67" i="264" s="1"/>
  <c r="AB370" i="115"/>
  <c r="AA370" i="115"/>
  <c r="W370" i="115"/>
  <c r="K67" i="264" s="1"/>
  <c r="N67" i="264" s="1"/>
  <c r="T370" i="115"/>
  <c r="S370" i="115"/>
  <c r="E370" i="115"/>
  <c r="B370" i="115"/>
  <c r="AP369" i="115"/>
  <c r="AL369" i="115"/>
  <c r="P66" i="264" s="1"/>
  <c r="Q66" i="264" s="1"/>
  <c r="AB369" i="115"/>
  <c r="AA369" i="115"/>
  <c r="W369" i="115"/>
  <c r="K66" i="264" s="1"/>
  <c r="N66" i="264" s="1"/>
  <c r="T369" i="115"/>
  <c r="S369" i="115"/>
  <c r="E369" i="115"/>
  <c r="B369" i="115"/>
  <c r="AP368" i="115"/>
  <c r="AL368" i="115"/>
  <c r="P65" i="264" s="1"/>
  <c r="Q65" i="264" s="1"/>
  <c r="AB368" i="115"/>
  <c r="AA368" i="115"/>
  <c r="W368" i="115"/>
  <c r="K65" i="264" s="1"/>
  <c r="N65" i="264" s="1"/>
  <c r="T368" i="115"/>
  <c r="S368" i="115"/>
  <c r="E368" i="115"/>
  <c r="B368" i="115"/>
  <c r="AP367" i="115"/>
  <c r="AL367" i="115"/>
  <c r="P64" i="264" s="1"/>
  <c r="Q64" i="264" s="1"/>
  <c r="AB367" i="115"/>
  <c r="AA367" i="115"/>
  <c r="W367" i="115"/>
  <c r="K64" i="264" s="1"/>
  <c r="N64" i="264" s="1"/>
  <c r="T367" i="115"/>
  <c r="S367" i="115"/>
  <c r="E367" i="115"/>
  <c r="B367" i="115"/>
  <c r="AP366" i="115"/>
  <c r="AL366" i="115"/>
  <c r="P63" i="264" s="1"/>
  <c r="Q63" i="264" s="1"/>
  <c r="AB366" i="115"/>
  <c r="AA366" i="115"/>
  <c r="W366" i="115"/>
  <c r="K63" i="264" s="1"/>
  <c r="N63" i="264" s="1"/>
  <c r="T366" i="115"/>
  <c r="S366" i="115"/>
  <c r="E366" i="115"/>
  <c r="B366" i="115"/>
  <c r="AP365" i="115"/>
  <c r="AL365" i="115"/>
  <c r="P62" i="264" s="1"/>
  <c r="Q62" i="264" s="1"/>
  <c r="AB365" i="115"/>
  <c r="AA365" i="115"/>
  <c r="W365" i="115"/>
  <c r="K62" i="264" s="1"/>
  <c r="N62" i="264" s="1"/>
  <c r="T365" i="115"/>
  <c r="S365" i="115"/>
  <c r="E365" i="115"/>
  <c r="B365" i="115"/>
  <c r="AP364" i="115"/>
  <c r="AL364" i="115"/>
  <c r="P61" i="264" s="1"/>
  <c r="Q61" i="264" s="1"/>
  <c r="AB364" i="115"/>
  <c r="AA364" i="115"/>
  <c r="W364" i="115"/>
  <c r="K61" i="264" s="1"/>
  <c r="N61" i="264" s="1"/>
  <c r="T364" i="115"/>
  <c r="S364" i="115"/>
  <c r="E364" i="115"/>
  <c r="B364" i="115"/>
  <c r="AP363" i="115"/>
  <c r="AL363" i="115"/>
  <c r="P60" i="264" s="1"/>
  <c r="Q60" i="264" s="1"/>
  <c r="AB363" i="115"/>
  <c r="AA363" i="115"/>
  <c r="W363" i="115"/>
  <c r="K60" i="264" s="1"/>
  <c r="N60" i="264" s="1"/>
  <c r="T363" i="115"/>
  <c r="S363" i="115"/>
  <c r="E363" i="115"/>
  <c r="B363" i="115"/>
  <c r="AP362" i="115"/>
  <c r="AL362" i="115"/>
  <c r="P59" i="264" s="1"/>
  <c r="Q59" i="264" s="1"/>
  <c r="AB362" i="115"/>
  <c r="AA362" i="115"/>
  <c r="W362" i="115"/>
  <c r="K59" i="264" s="1"/>
  <c r="N59" i="264" s="1"/>
  <c r="T362" i="115"/>
  <c r="S362" i="115"/>
  <c r="E362" i="115"/>
  <c r="B362" i="115"/>
  <c r="AP361" i="115"/>
  <c r="AL361" i="115"/>
  <c r="P58" i="264" s="1"/>
  <c r="Q58" i="264" s="1"/>
  <c r="AB361" i="115"/>
  <c r="AA361" i="115"/>
  <c r="W361" i="115"/>
  <c r="K58" i="264" s="1"/>
  <c r="N58" i="264" s="1"/>
  <c r="T361" i="115"/>
  <c r="S361" i="115"/>
  <c r="E361" i="115"/>
  <c r="B361" i="115"/>
  <c r="AP360" i="115"/>
  <c r="AL360" i="115"/>
  <c r="P57" i="264" s="1"/>
  <c r="Q57" i="264" s="1"/>
  <c r="AB360" i="115"/>
  <c r="AA360" i="115"/>
  <c r="W360" i="115"/>
  <c r="K57" i="264" s="1"/>
  <c r="N57" i="264" s="1"/>
  <c r="T360" i="115"/>
  <c r="S360" i="115"/>
  <c r="E360" i="115"/>
  <c r="B360" i="115"/>
  <c r="AP359" i="115"/>
  <c r="AL359" i="115"/>
  <c r="P56" i="264" s="1"/>
  <c r="Q56" i="264" s="1"/>
  <c r="AB359" i="115"/>
  <c r="AA359" i="115"/>
  <c r="W359" i="115"/>
  <c r="K56" i="264" s="1"/>
  <c r="N56" i="264" s="1"/>
  <c r="T359" i="115"/>
  <c r="S359" i="115"/>
  <c r="E359" i="115"/>
  <c r="B359" i="115"/>
  <c r="AP358" i="115"/>
  <c r="AL358" i="115"/>
  <c r="P55" i="264" s="1"/>
  <c r="Q55" i="264" s="1"/>
  <c r="AB358" i="115"/>
  <c r="AA358" i="115"/>
  <c r="W358" i="115"/>
  <c r="K55" i="264" s="1"/>
  <c r="N55" i="264" s="1"/>
  <c r="T358" i="115"/>
  <c r="S358" i="115"/>
  <c r="E358" i="115"/>
  <c r="B358" i="115"/>
  <c r="AP357" i="115"/>
  <c r="AL357" i="115"/>
  <c r="P54" i="264" s="1"/>
  <c r="Q54" i="264" s="1"/>
  <c r="AB357" i="115"/>
  <c r="AA357" i="115"/>
  <c r="W357" i="115"/>
  <c r="K54" i="264" s="1"/>
  <c r="N54" i="264" s="1"/>
  <c r="T357" i="115"/>
  <c r="S357" i="115"/>
  <c r="E357" i="115"/>
  <c r="B357" i="115"/>
  <c r="AP356" i="115"/>
  <c r="AL356" i="115"/>
  <c r="P53" i="264" s="1"/>
  <c r="Q53" i="264" s="1"/>
  <c r="AB356" i="115"/>
  <c r="AA356" i="115"/>
  <c r="W356" i="115"/>
  <c r="K53" i="264" s="1"/>
  <c r="N53" i="264" s="1"/>
  <c r="T356" i="115"/>
  <c r="S356" i="115"/>
  <c r="E356" i="115"/>
  <c r="B356" i="115"/>
  <c r="AP355" i="115"/>
  <c r="AL355" i="115"/>
  <c r="P52" i="264" s="1"/>
  <c r="Q52" i="264" s="1"/>
  <c r="AB355" i="115"/>
  <c r="AA355" i="115"/>
  <c r="W355" i="115"/>
  <c r="K52" i="264" s="1"/>
  <c r="N52" i="264" s="1"/>
  <c r="T355" i="115"/>
  <c r="S355" i="115"/>
  <c r="E355" i="115"/>
  <c r="B355" i="115"/>
  <c r="AP354" i="115"/>
  <c r="AL354" i="115"/>
  <c r="P51" i="264" s="1"/>
  <c r="Q51" i="264" s="1"/>
  <c r="AB354" i="115"/>
  <c r="AA354" i="115"/>
  <c r="W354" i="115"/>
  <c r="K51" i="264" s="1"/>
  <c r="N51" i="264" s="1"/>
  <c r="T354" i="115"/>
  <c r="S354" i="115"/>
  <c r="E354" i="115"/>
  <c r="B354" i="115"/>
  <c r="AP353" i="115"/>
  <c r="AL353" i="115"/>
  <c r="P50" i="264" s="1"/>
  <c r="Q50" i="264" s="1"/>
  <c r="AB353" i="115"/>
  <c r="AA353" i="115"/>
  <c r="W353" i="115"/>
  <c r="K50" i="264" s="1"/>
  <c r="N50" i="264" s="1"/>
  <c r="T353" i="115"/>
  <c r="S353" i="115"/>
  <c r="E353" i="115"/>
  <c r="B353" i="115"/>
  <c r="AP352" i="115"/>
  <c r="AL352" i="115"/>
  <c r="P49" i="264" s="1"/>
  <c r="Q49" i="264" s="1"/>
  <c r="AB352" i="115"/>
  <c r="AA352" i="115"/>
  <c r="W352" i="115"/>
  <c r="K49" i="264" s="1"/>
  <c r="N49" i="264" s="1"/>
  <c r="T352" i="115"/>
  <c r="S352" i="115"/>
  <c r="E352" i="115"/>
  <c r="B352" i="115"/>
  <c r="AP351" i="115"/>
  <c r="AL351" i="115"/>
  <c r="P48" i="264" s="1"/>
  <c r="Q48" i="264" s="1"/>
  <c r="AB351" i="115"/>
  <c r="AA351" i="115"/>
  <c r="W351" i="115"/>
  <c r="K48" i="264" s="1"/>
  <c r="N48" i="264" s="1"/>
  <c r="T351" i="115"/>
  <c r="S351" i="115"/>
  <c r="E351" i="115"/>
  <c r="B351" i="115"/>
  <c r="AP350" i="115"/>
  <c r="AL350" i="115"/>
  <c r="P47" i="264" s="1"/>
  <c r="Q47" i="264" s="1"/>
  <c r="AB350" i="115"/>
  <c r="AA350" i="115"/>
  <c r="W350" i="115"/>
  <c r="K47" i="264" s="1"/>
  <c r="N47" i="264" s="1"/>
  <c r="T350" i="115"/>
  <c r="S350" i="115"/>
  <c r="E350" i="115"/>
  <c r="B350" i="115"/>
  <c r="AP349" i="115"/>
  <c r="AL349" i="115"/>
  <c r="P46" i="264" s="1"/>
  <c r="Q46" i="264" s="1"/>
  <c r="AB349" i="115"/>
  <c r="AA349" i="115"/>
  <c r="W349" i="115"/>
  <c r="K46" i="264" s="1"/>
  <c r="N46" i="264" s="1"/>
  <c r="T349" i="115"/>
  <c r="S349" i="115"/>
  <c r="E349" i="115"/>
  <c r="B349" i="115"/>
  <c r="AP348" i="115"/>
  <c r="AL348" i="115"/>
  <c r="P45" i="264" s="1"/>
  <c r="Q45" i="264" s="1"/>
  <c r="AB348" i="115"/>
  <c r="AA348" i="115"/>
  <c r="W348" i="115"/>
  <c r="K45" i="264" s="1"/>
  <c r="N45" i="264" s="1"/>
  <c r="T348" i="115"/>
  <c r="S348" i="115"/>
  <c r="E348" i="115"/>
  <c r="B348" i="115"/>
  <c r="AP347" i="115"/>
  <c r="AL347" i="115"/>
  <c r="P44" i="264" s="1"/>
  <c r="Q44" i="264" s="1"/>
  <c r="AB347" i="115"/>
  <c r="AA347" i="115"/>
  <c r="W347" i="115"/>
  <c r="K44" i="264" s="1"/>
  <c r="N44" i="264" s="1"/>
  <c r="T347" i="115"/>
  <c r="S347" i="115"/>
  <c r="E347" i="115"/>
  <c r="B347" i="115"/>
  <c r="AP346" i="115"/>
  <c r="AL346" i="115"/>
  <c r="P43" i="264" s="1"/>
  <c r="Q43" i="264" s="1"/>
  <c r="AB346" i="115"/>
  <c r="AA346" i="115"/>
  <c r="W346" i="115"/>
  <c r="K43" i="264" s="1"/>
  <c r="N43" i="264" s="1"/>
  <c r="T346" i="115"/>
  <c r="S346" i="115"/>
  <c r="E346" i="115"/>
  <c r="B346" i="115"/>
  <c r="AP345" i="115"/>
  <c r="AL345" i="115"/>
  <c r="P42" i="264" s="1"/>
  <c r="Q42" i="264" s="1"/>
  <c r="AB345" i="115"/>
  <c r="AA345" i="115"/>
  <c r="W345" i="115"/>
  <c r="K42" i="264" s="1"/>
  <c r="N42" i="264" s="1"/>
  <c r="T345" i="115"/>
  <c r="S345" i="115"/>
  <c r="E345" i="115"/>
  <c r="B345" i="115"/>
  <c r="AP344" i="115"/>
  <c r="AL344" i="115"/>
  <c r="P41" i="264" s="1"/>
  <c r="Q41" i="264" s="1"/>
  <c r="AB344" i="115"/>
  <c r="AA344" i="115"/>
  <c r="W344" i="115"/>
  <c r="K41" i="264" s="1"/>
  <c r="N41" i="264" s="1"/>
  <c r="T344" i="115"/>
  <c r="S344" i="115"/>
  <c r="E344" i="115"/>
  <c r="B344" i="115"/>
  <c r="AP343" i="115"/>
  <c r="AL343" i="115"/>
  <c r="P40" i="264" s="1"/>
  <c r="Q40" i="264" s="1"/>
  <c r="AB343" i="115"/>
  <c r="AA343" i="115"/>
  <c r="W343" i="115"/>
  <c r="K40" i="264" s="1"/>
  <c r="N40" i="264" s="1"/>
  <c r="T343" i="115"/>
  <c r="S343" i="115"/>
  <c r="E343" i="115"/>
  <c r="B343" i="115"/>
  <c r="AP342" i="115"/>
  <c r="AL342" i="115"/>
  <c r="P39" i="264" s="1"/>
  <c r="Q39" i="264" s="1"/>
  <c r="AB342" i="115"/>
  <c r="AA342" i="115"/>
  <c r="W342" i="115"/>
  <c r="K39" i="264" s="1"/>
  <c r="N39" i="264" s="1"/>
  <c r="T342" i="115"/>
  <c r="S342" i="115"/>
  <c r="E342" i="115"/>
  <c r="B342" i="115"/>
  <c r="AP341" i="115"/>
  <c r="AL341" i="115"/>
  <c r="P38" i="264" s="1"/>
  <c r="Q38" i="264" s="1"/>
  <c r="AB341" i="115"/>
  <c r="AA341" i="115"/>
  <c r="W341" i="115"/>
  <c r="K38" i="264" s="1"/>
  <c r="N38" i="264" s="1"/>
  <c r="T341" i="115"/>
  <c r="S341" i="115"/>
  <c r="E341" i="115"/>
  <c r="B341" i="115"/>
  <c r="AP340" i="115"/>
  <c r="AL340" i="115"/>
  <c r="P37" i="264" s="1"/>
  <c r="Q37" i="264" s="1"/>
  <c r="AB340" i="115"/>
  <c r="AA340" i="115"/>
  <c r="W340" i="115"/>
  <c r="K37" i="264" s="1"/>
  <c r="N37" i="264" s="1"/>
  <c r="T340" i="115"/>
  <c r="S340" i="115"/>
  <c r="E340" i="115"/>
  <c r="B340" i="115"/>
  <c r="AP339" i="115"/>
  <c r="AL339" i="115"/>
  <c r="P36" i="264" s="1"/>
  <c r="Q36" i="264" s="1"/>
  <c r="AB339" i="115"/>
  <c r="AA339" i="115"/>
  <c r="W339" i="115"/>
  <c r="K36" i="264" s="1"/>
  <c r="N36" i="264" s="1"/>
  <c r="T339" i="115"/>
  <c r="S339" i="115"/>
  <c r="E339" i="115"/>
  <c r="B339" i="115"/>
  <c r="AP338" i="115"/>
  <c r="AL338" i="115"/>
  <c r="P35" i="264" s="1"/>
  <c r="Q35" i="264" s="1"/>
  <c r="AB338" i="115"/>
  <c r="AA338" i="115"/>
  <c r="W338" i="115"/>
  <c r="K35" i="264" s="1"/>
  <c r="N35" i="264" s="1"/>
  <c r="T338" i="115"/>
  <c r="S338" i="115"/>
  <c r="E338" i="115"/>
  <c r="B338" i="115"/>
  <c r="AP337" i="115"/>
  <c r="AL337" i="115"/>
  <c r="P34" i="264" s="1"/>
  <c r="Q34" i="264" s="1"/>
  <c r="AB337" i="115"/>
  <c r="AA337" i="115"/>
  <c r="W337" i="115"/>
  <c r="K34" i="264" s="1"/>
  <c r="N34" i="264" s="1"/>
  <c r="T337" i="115"/>
  <c r="S337" i="115"/>
  <c r="E337" i="115"/>
  <c r="B337" i="115"/>
  <c r="AP336" i="115"/>
  <c r="AL336" i="115"/>
  <c r="P33" i="264" s="1"/>
  <c r="Q33" i="264" s="1"/>
  <c r="AB336" i="115"/>
  <c r="AA336" i="115"/>
  <c r="W336" i="115"/>
  <c r="K33" i="264" s="1"/>
  <c r="N33" i="264" s="1"/>
  <c r="T336" i="115"/>
  <c r="S336" i="115"/>
  <c r="E336" i="115"/>
  <c r="B336" i="115"/>
  <c r="AP335" i="115"/>
  <c r="AL335" i="115"/>
  <c r="P32" i="264" s="1"/>
  <c r="Q32" i="264" s="1"/>
  <c r="AB335" i="115"/>
  <c r="AA335" i="115"/>
  <c r="W335" i="115"/>
  <c r="K32" i="264" s="1"/>
  <c r="N32" i="264" s="1"/>
  <c r="T335" i="115"/>
  <c r="S335" i="115"/>
  <c r="E335" i="115"/>
  <c r="B335" i="115"/>
  <c r="AP334" i="115"/>
  <c r="AL334" i="115"/>
  <c r="P31" i="264" s="1"/>
  <c r="Q31" i="264" s="1"/>
  <c r="AB334" i="115"/>
  <c r="AA334" i="115"/>
  <c r="W334" i="115"/>
  <c r="K31" i="264" s="1"/>
  <c r="N31" i="264" s="1"/>
  <c r="T334" i="115"/>
  <c r="S334" i="115"/>
  <c r="E334" i="115"/>
  <c r="B334" i="115"/>
  <c r="AP333" i="115"/>
  <c r="AL333" i="115"/>
  <c r="P30" i="264" s="1"/>
  <c r="Q30" i="264" s="1"/>
  <c r="AB333" i="115"/>
  <c r="AA333" i="115"/>
  <c r="W333" i="115"/>
  <c r="K30" i="264" s="1"/>
  <c r="N30" i="264" s="1"/>
  <c r="T333" i="115"/>
  <c r="S333" i="115"/>
  <c r="E333" i="115"/>
  <c r="B333" i="115"/>
  <c r="AP332" i="115"/>
  <c r="AL332" i="115"/>
  <c r="P29" i="264" s="1"/>
  <c r="Q29" i="264" s="1"/>
  <c r="AB332" i="115"/>
  <c r="AA332" i="115"/>
  <c r="W332" i="115"/>
  <c r="K29" i="264" s="1"/>
  <c r="N29" i="264" s="1"/>
  <c r="T332" i="115"/>
  <c r="S332" i="115"/>
  <c r="E332" i="115"/>
  <c r="B332" i="115"/>
  <c r="AP331" i="115"/>
  <c r="AL331" i="115"/>
  <c r="P28" i="264" s="1"/>
  <c r="Q28" i="264" s="1"/>
  <c r="AB331" i="115"/>
  <c r="AA331" i="115"/>
  <c r="W331" i="115"/>
  <c r="T331" i="115"/>
  <c r="S331" i="115"/>
  <c r="E331" i="115"/>
  <c r="B331" i="115"/>
  <c r="AP330" i="115"/>
  <c r="AL330" i="115"/>
  <c r="P27" i="264" s="1"/>
  <c r="Q27" i="264" s="1"/>
  <c r="AB330" i="115"/>
  <c r="AA330" i="115"/>
  <c r="W330" i="115"/>
  <c r="K27" i="264" s="1"/>
  <c r="N27" i="264" s="1"/>
  <c r="T330" i="115"/>
  <c r="S330" i="115"/>
  <c r="E330" i="115"/>
  <c r="B330" i="115"/>
  <c r="AP329" i="115"/>
  <c r="AL329" i="115"/>
  <c r="P26" i="264" s="1"/>
  <c r="Q26" i="264" s="1"/>
  <c r="AB329" i="115"/>
  <c r="AA329" i="115"/>
  <c r="W329" i="115"/>
  <c r="T329" i="115"/>
  <c r="S329" i="115"/>
  <c r="E329" i="115"/>
  <c r="B329" i="115"/>
  <c r="AP328" i="115"/>
  <c r="AL328" i="115"/>
  <c r="P25" i="264" s="1"/>
  <c r="Q25" i="264" s="1"/>
  <c r="AB328" i="115"/>
  <c r="AA328" i="115"/>
  <c r="W328" i="115"/>
  <c r="K25" i="264" s="1"/>
  <c r="N25" i="264" s="1"/>
  <c r="T328" i="115"/>
  <c r="S328" i="115"/>
  <c r="E328" i="115"/>
  <c r="B328" i="115"/>
  <c r="AP327" i="115"/>
  <c r="AL327" i="115"/>
  <c r="P24" i="264" s="1"/>
  <c r="Q24" i="264" s="1"/>
  <c r="AB327" i="115"/>
  <c r="AA327" i="115"/>
  <c r="W327" i="115"/>
  <c r="T327" i="115"/>
  <c r="S327" i="115"/>
  <c r="E327" i="115"/>
  <c r="B327" i="115"/>
  <c r="AP326" i="115"/>
  <c r="AL326" i="115"/>
  <c r="P23" i="264" s="1"/>
  <c r="Q23" i="264" s="1"/>
  <c r="AB326" i="115"/>
  <c r="AA326" i="115"/>
  <c r="W326" i="115"/>
  <c r="K23" i="264" s="1"/>
  <c r="N23" i="264" s="1"/>
  <c r="T326" i="115"/>
  <c r="S326" i="115"/>
  <c r="E326" i="115"/>
  <c r="B326" i="115"/>
  <c r="AP325" i="115"/>
  <c r="AL325" i="115"/>
  <c r="P22" i="264" s="1"/>
  <c r="Q22" i="264" s="1"/>
  <c r="AB325" i="115"/>
  <c r="AA325" i="115"/>
  <c r="W325" i="115"/>
  <c r="T325" i="115"/>
  <c r="S325" i="115"/>
  <c r="E325" i="115"/>
  <c r="B325" i="115"/>
  <c r="AP324" i="115"/>
  <c r="AL324" i="115"/>
  <c r="P21" i="264" s="1"/>
  <c r="Q21" i="264" s="1"/>
  <c r="AB324" i="115"/>
  <c r="AA324" i="115"/>
  <c r="W324" i="115"/>
  <c r="K21" i="264" s="1"/>
  <c r="N21" i="264" s="1"/>
  <c r="T324" i="115"/>
  <c r="S324" i="115"/>
  <c r="E324" i="115"/>
  <c r="B324" i="115"/>
  <c r="AP323" i="115"/>
  <c r="AL323" i="115"/>
  <c r="P20" i="264" s="1"/>
  <c r="Q20" i="264" s="1"/>
  <c r="AB323" i="115"/>
  <c r="AA323" i="115"/>
  <c r="W323" i="115"/>
  <c r="T323" i="115"/>
  <c r="S323" i="115"/>
  <c r="E323" i="115"/>
  <c r="B323" i="115"/>
  <c r="AP322" i="115"/>
  <c r="AL322" i="115"/>
  <c r="P19" i="264" s="1"/>
  <c r="Q19" i="264" s="1"/>
  <c r="AB322" i="115"/>
  <c r="AA322" i="115"/>
  <c r="W322" i="115"/>
  <c r="K19" i="264" s="1"/>
  <c r="N19" i="264" s="1"/>
  <c r="T322" i="115"/>
  <c r="S322" i="115"/>
  <c r="E322" i="115"/>
  <c r="B322" i="115"/>
  <c r="AP321" i="115"/>
  <c r="AL321" i="115"/>
  <c r="P18" i="264" s="1"/>
  <c r="Q18" i="264" s="1"/>
  <c r="AB321" i="115"/>
  <c r="AA321" i="115"/>
  <c r="W321" i="115"/>
  <c r="T321" i="115"/>
  <c r="S321" i="115"/>
  <c r="E321" i="115"/>
  <c r="B321" i="115"/>
  <c r="AP320" i="115"/>
  <c r="AL320" i="115"/>
  <c r="P17" i="264" s="1"/>
  <c r="Q17" i="264" s="1"/>
  <c r="AB320" i="115"/>
  <c r="AA320" i="115"/>
  <c r="W320" i="115"/>
  <c r="T320" i="115"/>
  <c r="S320" i="115"/>
  <c r="E320" i="115"/>
  <c r="B320" i="115"/>
  <c r="AP319" i="115"/>
  <c r="AL319" i="115"/>
  <c r="P16" i="264" s="1"/>
  <c r="Q16" i="264" s="1"/>
  <c r="AB319" i="115"/>
  <c r="AA319" i="115"/>
  <c r="W319" i="115"/>
  <c r="T319" i="115"/>
  <c r="S319" i="115"/>
  <c r="E319" i="115"/>
  <c r="B319" i="115"/>
  <c r="AN318" i="115"/>
  <c r="AL318" i="115"/>
  <c r="P15" i="264" s="1"/>
  <c r="Q15" i="264" s="1"/>
  <c r="AB318" i="115"/>
  <c r="AA318" i="115"/>
  <c r="W318" i="115"/>
  <c r="T318" i="115"/>
  <c r="S318" i="115"/>
  <c r="E318" i="115"/>
  <c r="B318" i="115"/>
  <c r="AR317" i="115"/>
  <c r="AN317" i="115"/>
  <c r="AL317" i="115"/>
  <c r="P14" i="264" s="1"/>
  <c r="AB317" i="115"/>
  <c r="AQ317" i="115" s="1"/>
  <c r="AQ316" i="115" s="1"/>
  <c r="AA317" i="115"/>
  <c r="AP317" i="115" s="1"/>
  <c r="AP316" i="115" s="1"/>
  <c r="W317" i="115"/>
  <c r="K14" i="264" s="1"/>
  <c r="T317" i="115"/>
  <c r="T316" i="115" s="1"/>
  <c r="S317" i="115"/>
  <c r="E317" i="115"/>
  <c r="B317" i="115"/>
  <c r="AR316" i="115"/>
  <c r="AN316" i="115"/>
  <c r="AL316" i="115"/>
  <c r="AK316" i="115"/>
  <c r="AJ316" i="115"/>
  <c r="AI316" i="115"/>
  <c r="AE316" i="115"/>
  <c r="W316" i="115"/>
  <c r="V316" i="115"/>
  <c r="U316" i="115"/>
  <c r="S316" i="115"/>
  <c r="R316" i="115"/>
  <c r="Q316" i="115"/>
  <c r="P316" i="115"/>
  <c r="O316" i="115"/>
  <c r="N316" i="115"/>
  <c r="M316" i="115"/>
  <c r="L316" i="115"/>
  <c r="K316" i="115"/>
  <c r="J316" i="115"/>
  <c r="I316" i="115"/>
  <c r="H316" i="115"/>
  <c r="G316" i="115"/>
  <c r="F316" i="115"/>
  <c r="E316" i="115"/>
  <c r="AN315" i="115"/>
  <c r="AL315" i="115"/>
  <c r="Z315" i="115"/>
  <c r="S315" i="115"/>
  <c r="AN314" i="115"/>
  <c r="AL314" i="115"/>
  <c r="Z314" i="115"/>
  <c r="S314" i="115"/>
  <c r="B314" i="115"/>
  <c r="AL313" i="115"/>
  <c r="AA313" i="115"/>
  <c r="W313" i="115"/>
  <c r="K97" i="265" s="1"/>
  <c r="N97" i="265" s="1"/>
  <c r="T313" i="115"/>
  <c r="S313" i="115"/>
  <c r="B313" i="115"/>
  <c r="AL312" i="115"/>
  <c r="AB312" i="115"/>
  <c r="AA312" i="115"/>
  <c r="W312" i="115"/>
  <c r="T312" i="115"/>
  <c r="S312" i="115"/>
  <c r="B312" i="115"/>
  <c r="AP311" i="115"/>
  <c r="AL311" i="115"/>
  <c r="P95" i="265" s="1"/>
  <c r="Q95" i="265" s="1"/>
  <c r="AB311" i="115"/>
  <c r="AA311" i="115"/>
  <c r="W311" i="115"/>
  <c r="T311" i="115"/>
  <c r="S311" i="115"/>
  <c r="E311" i="115"/>
  <c r="B311" i="115"/>
  <c r="AP310" i="115"/>
  <c r="AL310" i="115"/>
  <c r="P94" i="265" s="1"/>
  <c r="Q94" i="265" s="1"/>
  <c r="AB310" i="115"/>
  <c r="AA310" i="115"/>
  <c r="W310" i="115"/>
  <c r="K94" i="265" s="1"/>
  <c r="N94" i="265" s="1"/>
  <c r="T310" i="115"/>
  <c r="S310" i="115"/>
  <c r="E310" i="115"/>
  <c r="B310" i="115"/>
  <c r="AP309" i="115"/>
  <c r="AL309" i="115"/>
  <c r="P93" i="265" s="1"/>
  <c r="Q93" i="265" s="1"/>
  <c r="AB309" i="115"/>
  <c r="AA309" i="115"/>
  <c r="W309" i="115"/>
  <c r="T309" i="115"/>
  <c r="S309" i="115"/>
  <c r="E309" i="115"/>
  <c r="B309" i="115"/>
  <c r="AP308" i="115"/>
  <c r="AL308" i="115"/>
  <c r="P92" i="265" s="1"/>
  <c r="Q92" i="265" s="1"/>
  <c r="AB308" i="115"/>
  <c r="AA308" i="115"/>
  <c r="W308" i="115"/>
  <c r="K92" i="265" s="1"/>
  <c r="N92" i="265" s="1"/>
  <c r="T308" i="115"/>
  <c r="S308" i="115"/>
  <c r="E308" i="115"/>
  <c r="B308" i="115"/>
  <c r="AP307" i="115"/>
  <c r="AL307" i="115"/>
  <c r="P91" i="265" s="1"/>
  <c r="Q91" i="265" s="1"/>
  <c r="AB307" i="115"/>
  <c r="AA307" i="115"/>
  <c r="W307" i="115"/>
  <c r="T307" i="115"/>
  <c r="S307" i="115"/>
  <c r="E307" i="115"/>
  <c r="B307" i="115"/>
  <c r="AP306" i="115"/>
  <c r="AL306" i="115"/>
  <c r="P90" i="265" s="1"/>
  <c r="Q90" i="265" s="1"/>
  <c r="AB306" i="115"/>
  <c r="AA306" i="115"/>
  <c r="W306" i="115"/>
  <c r="K90" i="265" s="1"/>
  <c r="N90" i="265" s="1"/>
  <c r="T306" i="115"/>
  <c r="S306" i="115"/>
  <c r="E306" i="115"/>
  <c r="B306" i="115"/>
  <c r="AP305" i="115"/>
  <c r="AL305" i="115"/>
  <c r="P89" i="265" s="1"/>
  <c r="Q89" i="265" s="1"/>
  <c r="AB305" i="115"/>
  <c r="AA305" i="115"/>
  <c r="W305" i="115"/>
  <c r="T305" i="115"/>
  <c r="S305" i="115"/>
  <c r="E305" i="115"/>
  <c r="B305" i="115"/>
  <c r="AP304" i="115"/>
  <c r="AL304" i="115"/>
  <c r="P88" i="265" s="1"/>
  <c r="Q88" i="265" s="1"/>
  <c r="AB304" i="115"/>
  <c r="AA304" i="115"/>
  <c r="W304" i="115"/>
  <c r="K88" i="265" s="1"/>
  <c r="N88" i="265" s="1"/>
  <c r="O88" i="265" s="1"/>
  <c r="T304" i="115"/>
  <c r="S304" i="115"/>
  <c r="E304" i="115"/>
  <c r="B304" i="115"/>
  <c r="AP303" i="115"/>
  <c r="AL303" i="115"/>
  <c r="P87" i="265" s="1"/>
  <c r="Q87" i="265" s="1"/>
  <c r="AB303" i="115"/>
  <c r="AA303" i="115"/>
  <c r="W303" i="115"/>
  <c r="T303" i="115"/>
  <c r="S303" i="115"/>
  <c r="E303" i="115"/>
  <c r="B303" i="115"/>
  <c r="AP302" i="115"/>
  <c r="AL302" i="115"/>
  <c r="P86" i="265" s="1"/>
  <c r="Q86" i="265" s="1"/>
  <c r="AB302" i="115"/>
  <c r="AA302" i="115"/>
  <c r="W302" i="115"/>
  <c r="K86" i="265" s="1"/>
  <c r="N86" i="265" s="1"/>
  <c r="O86" i="265" s="1"/>
  <c r="T302" i="115"/>
  <c r="S302" i="115"/>
  <c r="E302" i="115"/>
  <c r="B302" i="115"/>
  <c r="AP301" i="115"/>
  <c r="AL301" i="115"/>
  <c r="P85" i="265" s="1"/>
  <c r="Q85" i="265" s="1"/>
  <c r="AB301" i="115"/>
  <c r="AA301" i="115"/>
  <c r="W301" i="115"/>
  <c r="T301" i="115"/>
  <c r="S301" i="115"/>
  <c r="E301" i="115"/>
  <c r="B301" i="115"/>
  <c r="AP300" i="115"/>
  <c r="AL300" i="115"/>
  <c r="P84" i="265" s="1"/>
  <c r="Q84" i="265" s="1"/>
  <c r="AB300" i="115"/>
  <c r="AA300" i="115"/>
  <c r="W300" i="115"/>
  <c r="K84" i="265" s="1"/>
  <c r="N84" i="265" s="1"/>
  <c r="T300" i="115"/>
  <c r="S300" i="115"/>
  <c r="E300" i="115"/>
  <c r="B300" i="115"/>
  <c r="AP299" i="115"/>
  <c r="AL299" i="115"/>
  <c r="P83" i="265" s="1"/>
  <c r="Q83" i="265" s="1"/>
  <c r="AB299" i="115"/>
  <c r="AA299" i="115"/>
  <c r="W299" i="115"/>
  <c r="T299" i="115"/>
  <c r="S299" i="115"/>
  <c r="E299" i="115"/>
  <c r="B299" i="115"/>
  <c r="AP298" i="115"/>
  <c r="AL298" i="115"/>
  <c r="P82" i="265" s="1"/>
  <c r="Q82" i="265" s="1"/>
  <c r="AB298" i="115"/>
  <c r="AA298" i="115"/>
  <c r="W298" i="115"/>
  <c r="K82" i="265" s="1"/>
  <c r="N82" i="265" s="1"/>
  <c r="T298" i="115"/>
  <c r="S298" i="115"/>
  <c r="E298" i="115"/>
  <c r="B298" i="115"/>
  <c r="AP297" i="115"/>
  <c r="AL297" i="115"/>
  <c r="P81" i="265" s="1"/>
  <c r="Q81" i="265" s="1"/>
  <c r="AB297" i="115"/>
  <c r="AA297" i="115"/>
  <c r="W297" i="115"/>
  <c r="T297" i="115"/>
  <c r="S297" i="115"/>
  <c r="E297" i="115"/>
  <c r="B297" i="115"/>
  <c r="AP296" i="115"/>
  <c r="AL296" i="115"/>
  <c r="P80" i="265" s="1"/>
  <c r="Q80" i="265" s="1"/>
  <c r="AB296" i="115"/>
  <c r="AA296" i="115"/>
  <c r="W296" i="115"/>
  <c r="K80" i="265" s="1"/>
  <c r="N80" i="265" s="1"/>
  <c r="T296" i="115"/>
  <c r="S296" i="115"/>
  <c r="E296" i="115"/>
  <c r="B296" i="115"/>
  <c r="AP295" i="115"/>
  <c r="AL295" i="115"/>
  <c r="P79" i="265" s="1"/>
  <c r="Q79" i="265" s="1"/>
  <c r="AB295" i="115"/>
  <c r="AA295" i="115"/>
  <c r="W295" i="115"/>
  <c r="T295" i="115"/>
  <c r="S295" i="115"/>
  <c r="E295" i="115"/>
  <c r="B295" i="115"/>
  <c r="AP294" i="115"/>
  <c r="AL294" i="115"/>
  <c r="P78" i="265" s="1"/>
  <c r="Q78" i="265" s="1"/>
  <c r="AB294" i="115"/>
  <c r="AA294" i="115"/>
  <c r="W294" i="115"/>
  <c r="K78" i="265" s="1"/>
  <c r="N78" i="265" s="1"/>
  <c r="O78" i="265" s="1"/>
  <c r="T294" i="115"/>
  <c r="S294" i="115"/>
  <c r="E294" i="115"/>
  <c r="B294" i="115"/>
  <c r="AP293" i="115"/>
  <c r="AL293" i="115"/>
  <c r="P77" i="265" s="1"/>
  <c r="Q77" i="265" s="1"/>
  <c r="AB293" i="115"/>
  <c r="AA293" i="115"/>
  <c r="W293" i="115"/>
  <c r="T293" i="115"/>
  <c r="S293" i="115"/>
  <c r="E293" i="115"/>
  <c r="B293" i="115"/>
  <c r="AP292" i="115"/>
  <c r="AL292" i="115"/>
  <c r="P76" i="265" s="1"/>
  <c r="Q76" i="265" s="1"/>
  <c r="AB292" i="115"/>
  <c r="AA292" i="115"/>
  <c r="W292" i="115"/>
  <c r="K76" i="265" s="1"/>
  <c r="N76" i="265" s="1"/>
  <c r="O76" i="265" s="1"/>
  <c r="T292" i="115"/>
  <c r="S292" i="115"/>
  <c r="E292" i="115"/>
  <c r="B292" i="115"/>
  <c r="AP291" i="115"/>
  <c r="AL291" i="115"/>
  <c r="P75" i="265" s="1"/>
  <c r="Q75" i="265" s="1"/>
  <c r="AB291" i="115"/>
  <c r="AA291" i="115"/>
  <c r="W291" i="115"/>
  <c r="T291" i="115"/>
  <c r="S291" i="115"/>
  <c r="E291" i="115"/>
  <c r="B291" i="115"/>
  <c r="AP290" i="115"/>
  <c r="AL290" i="115"/>
  <c r="P74" i="265" s="1"/>
  <c r="Q74" i="265" s="1"/>
  <c r="AB290" i="115"/>
  <c r="AA290" i="115"/>
  <c r="W290" i="115"/>
  <c r="K74" i="265" s="1"/>
  <c r="N74" i="265" s="1"/>
  <c r="O74" i="265" s="1"/>
  <c r="T290" i="115"/>
  <c r="S290" i="115"/>
  <c r="E290" i="115"/>
  <c r="B290" i="115"/>
  <c r="AP289" i="115"/>
  <c r="AL289" i="115"/>
  <c r="P73" i="265" s="1"/>
  <c r="Q73" i="265" s="1"/>
  <c r="AB289" i="115"/>
  <c r="AA289" i="115"/>
  <c r="W289" i="115"/>
  <c r="T289" i="115"/>
  <c r="S289" i="115"/>
  <c r="E289" i="115"/>
  <c r="B289" i="115"/>
  <c r="AP288" i="115"/>
  <c r="AL288" i="115"/>
  <c r="P72" i="265" s="1"/>
  <c r="Q72" i="265" s="1"/>
  <c r="AB288" i="115"/>
  <c r="AA288" i="115"/>
  <c r="W288" i="115"/>
  <c r="K72" i="265" s="1"/>
  <c r="N72" i="265" s="1"/>
  <c r="T288" i="115"/>
  <c r="S288" i="115"/>
  <c r="E288" i="115"/>
  <c r="B288" i="115"/>
  <c r="AP287" i="115"/>
  <c r="AL287" i="115"/>
  <c r="P71" i="265" s="1"/>
  <c r="Q71" i="265" s="1"/>
  <c r="AB287" i="115"/>
  <c r="AA287" i="115"/>
  <c r="W287" i="115"/>
  <c r="T287" i="115"/>
  <c r="S287" i="115"/>
  <c r="E287" i="115"/>
  <c r="B287" i="115"/>
  <c r="AP286" i="115"/>
  <c r="AL286" i="115"/>
  <c r="P70" i="265" s="1"/>
  <c r="Q70" i="265" s="1"/>
  <c r="AB286" i="115"/>
  <c r="AA286" i="115"/>
  <c r="W286" i="115"/>
  <c r="K70" i="265" s="1"/>
  <c r="N70" i="265" s="1"/>
  <c r="O70" i="265" s="1"/>
  <c r="T286" i="115"/>
  <c r="S286" i="115"/>
  <c r="E286" i="115"/>
  <c r="B286" i="115"/>
  <c r="AP285" i="115"/>
  <c r="AL285" i="115"/>
  <c r="P69" i="265" s="1"/>
  <c r="Q69" i="265" s="1"/>
  <c r="AB285" i="115"/>
  <c r="AA285" i="115"/>
  <c r="W285" i="115"/>
  <c r="T285" i="115"/>
  <c r="S285" i="115"/>
  <c r="E285" i="115"/>
  <c r="B285" i="115"/>
  <c r="AP284" i="115"/>
  <c r="AL284" i="115"/>
  <c r="P68" i="265" s="1"/>
  <c r="Q68" i="265" s="1"/>
  <c r="AB284" i="115"/>
  <c r="AA284" i="115"/>
  <c r="W284" i="115"/>
  <c r="K68" i="265" s="1"/>
  <c r="N68" i="265" s="1"/>
  <c r="T284" i="115"/>
  <c r="S284" i="115"/>
  <c r="E284" i="115"/>
  <c r="B284" i="115"/>
  <c r="AP283" i="115"/>
  <c r="AL283" i="115"/>
  <c r="P67" i="265" s="1"/>
  <c r="Q67" i="265" s="1"/>
  <c r="AB283" i="115"/>
  <c r="AA283" i="115"/>
  <c r="W283" i="115"/>
  <c r="T283" i="115"/>
  <c r="S283" i="115"/>
  <c r="E283" i="115"/>
  <c r="B283" i="115"/>
  <c r="AP282" i="115"/>
  <c r="AL282" i="115"/>
  <c r="P66" i="265" s="1"/>
  <c r="Q66" i="265" s="1"/>
  <c r="AB282" i="115"/>
  <c r="AA282" i="115"/>
  <c r="W282" i="115"/>
  <c r="K66" i="265" s="1"/>
  <c r="N66" i="265" s="1"/>
  <c r="T282" i="115"/>
  <c r="S282" i="115"/>
  <c r="E282" i="115"/>
  <c r="B282" i="115"/>
  <c r="AP281" i="115"/>
  <c r="AL281" i="115"/>
  <c r="P65" i="265" s="1"/>
  <c r="Q65" i="265" s="1"/>
  <c r="AB281" i="115"/>
  <c r="AA281" i="115"/>
  <c r="W281" i="115"/>
  <c r="T281" i="115"/>
  <c r="S281" i="115"/>
  <c r="E281" i="115"/>
  <c r="B281" i="115"/>
  <c r="AP280" i="115"/>
  <c r="AL280" i="115"/>
  <c r="P64" i="265" s="1"/>
  <c r="Q64" i="265" s="1"/>
  <c r="AB280" i="115"/>
  <c r="AA280" i="115"/>
  <c r="W280" i="115"/>
  <c r="K64" i="265" s="1"/>
  <c r="N64" i="265" s="1"/>
  <c r="T280" i="115"/>
  <c r="S280" i="115"/>
  <c r="E280" i="115"/>
  <c r="B280" i="115"/>
  <c r="AP279" i="115"/>
  <c r="AL279" i="115"/>
  <c r="P63" i="265" s="1"/>
  <c r="Q63" i="265" s="1"/>
  <c r="AB279" i="115"/>
  <c r="AA279" i="115"/>
  <c r="W279" i="115"/>
  <c r="T279" i="115"/>
  <c r="S279" i="115"/>
  <c r="E279" i="115"/>
  <c r="B279" i="115"/>
  <c r="AP278" i="115"/>
  <c r="AL278" i="115"/>
  <c r="P62" i="265" s="1"/>
  <c r="Q62" i="265" s="1"/>
  <c r="AB278" i="115"/>
  <c r="AA278" i="115"/>
  <c r="W278" i="115"/>
  <c r="K62" i="265" s="1"/>
  <c r="N62" i="265" s="1"/>
  <c r="O62" i="265" s="1"/>
  <c r="T278" i="115"/>
  <c r="S278" i="115"/>
  <c r="E278" i="115"/>
  <c r="B278" i="115"/>
  <c r="AP277" i="115"/>
  <c r="AL277" i="115"/>
  <c r="P61" i="265" s="1"/>
  <c r="Q61" i="265" s="1"/>
  <c r="AB277" i="115"/>
  <c r="AA277" i="115"/>
  <c r="W277" i="115"/>
  <c r="T277" i="115"/>
  <c r="S277" i="115"/>
  <c r="E277" i="115"/>
  <c r="B277" i="115"/>
  <c r="AP276" i="115"/>
  <c r="AL276" i="115"/>
  <c r="P60" i="265" s="1"/>
  <c r="Q60" i="265" s="1"/>
  <c r="AB276" i="115"/>
  <c r="AA276" i="115"/>
  <c r="W276" i="115"/>
  <c r="K60" i="265" s="1"/>
  <c r="N60" i="265" s="1"/>
  <c r="T276" i="115"/>
  <c r="S276" i="115"/>
  <c r="E276" i="115"/>
  <c r="B276" i="115"/>
  <c r="AP275" i="115"/>
  <c r="AL275" i="115"/>
  <c r="P59" i="265" s="1"/>
  <c r="Q59" i="265" s="1"/>
  <c r="AB275" i="115"/>
  <c r="AA275" i="115"/>
  <c r="W275" i="115"/>
  <c r="T275" i="115"/>
  <c r="S275" i="115"/>
  <c r="E275" i="115"/>
  <c r="B275" i="115"/>
  <c r="AP274" i="115"/>
  <c r="AL274" i="115"/>
  <c r="P58" i="265" s="1"/>
  <c r="Q58" i="265" s="1"/>
  <c r="AB274" i="115"/>
  <c r="AA274" i="115"/>
  <c r="W274" i="115"/>
  <c r="K58" i="265" s="1"/>
  <c r="N58" i="265" s="1"/>
  <c r="T274" i="115"/>
  <c r="S274" i="115"/>
  <c r="E274" i="115"/>
  <c r="B274" i="115"/>
  <c r="AP273" i="115"/>
  <c r="AL273" i="115"/>
  <c r="P57" i="265" s="1"/>
  <c r="Q57" i="265" s="1"/>
  <c r="AB273" i="115"/>
  <c r="AA273" i="115"/>
  <c r="W273" i="115"/>
  <c r="T273" i="115"/>
  <c r="S273" i="115"/>
  <c r="E273" i="115"/>
  <c r="B273" i="115"/>
  <c r="AP272" i="115"/>
  <c r="AL272" i="115"/>
  <c r="P56" i="265" s="1"/>
  <c r="Q56" i="265" s="1"/>
  <c r="AB272" i="115"/>
  <c r="AA272" i="115"/>
  <c r="W272" i="115"/>
  <c r="K56" i="265" s="1"/>
  <c r="N56" i="265" s="1"/>
  <c r="T272" i="115"/>
  <c r="S272" i="115"/>
  <c r="E272" i="115"/>
  <c r="B272" i="115"/>
  <c r="AP271" i="115"/>
  <c r="AL271" i="115"/>
  <c r="P55" i="265" s="1"/>
  <c r="Q55" i="265" s="1"/>
  <c r="AB271" i="115"/>
  <c r="AA271" i="115"/>
  <c r="W271" i="115"/>
  <c r="T271" i="115"/>
  <c r="S271" i="115"/>
  <c r="E271" i="115"/>
  <c r="B271" i="115"/>
  <c r="AP270" i="115"/>
  <c r="AL270" i="115"/>
  <c r="P54" i="265" s="1"/>
  <c r="Q54" i="265" s="1"/>
  <c r="AB270" i="115"/>
  <c r="AA270" i="115"/>
  <c r="W270" i="115"/>
  <c r="K54" i="265" s="1"/>
  <c r="N54" i="265" s="1"/>
  <c r="T270" i="115"/>
  <c r="S270" i="115"/>
  <c r="E270" i="115"/>
  <c r="B270" i="115"/>
  <c r="AP269" i="115"/>
  <c r="AL269" i="115"/>
  <c r="P53" i="265" s="1"/>
  <c r="Q53" i="265" s="1"/>
  <c r="AB269" i="115"/>
  <c r="AA269" i="115"/>
  <c r="W269" i="115"/>
  <c r="T269" i="115"/>
  <c r="S269" i="115"/>
  <c r="E269" i="115"/>
  <c r="B269" i="115"/>
  <c r="AP268" i="115"/>
  <c r="AL268" i="115"/>
  <c r="P52" i="265" s="1"/>
  <c r="Q52" i="265" s="1"/>
  <c r="AB268" i="115"/>
  <c r="AA268" i="115"/>
  <c r="W268" i="115"/>
  <c r="K52" i="265" s="1"/>
  <c r="N52" i="265" s="1"/>
  <c r="T268" i="115"/>
  <c r="S268" i="115"/>
  <c r="E268" i="115"/>
  <c r="B268" i="115"/>
  <c r="AP267" i="115"/>
  <c r="AL267" i="115"/>
  <c r="P51" i="265" s="1"/>
  <c r="Q51" i="265" s="1"/>
  <c r="AB267" i="115"/>
  <c r="AA267" i="115"/>
  <c r="W267" i="115"/>
  <c r="T267" i="115"/>
  <c r="S267" i="115"/>
  <c r="E267" i="115"/>
  <c r="B267" i="115"/>
  <c r="AP266" i="115"/>
  <c r="AL266" i="115"/>
  <c r="P50" i="265" s="1"/>
  <c r="Q50" i="265" s="1"/>
  <c r="AB266" i="115"/>
  <c r="AA266" i="115"/>
  <c r="W266" i="115"/>
  <c r="K50" i="265" s="1"/>
  <c r="N50" i="265" s="1"/>
  <c r="T266" i="115"/>
  <c r="S266" i="115"/>
  <c r="E266" i="115"/>
  <c r="B266" i="115"/>
  <c r="AP265" i="115"/>
  <c r="AL265" i="115"/>
  <c r="P49" i="265" s="1"/>
  <c r="Q49" i="265" s="1"/>
  <c r="AB265" i="115"/>
  <c r="AA265" i="115"/>
  <c r="W265" i="115"/>
  <c r="T265" i="115"/>
  <c r="S265" i="115"/>
  <c r="E265" i="115"/>
  <c r="B265" i="115"/>
  <c r="AP264" i="115"/>
  <c r="AL264" i="115"/>
  <c r="P48" i="265" s="1"/>
  <c r="Q48" i="265" s="1"/>
  <c r="AB264" i="115"/>
  <c r="AA264" i="115"/>
  <c r="W264" i="115"/>
  <c r="K48" i="265" s="1"/>
  <c r="N48" i="265" s="1"/>
  <c r="T264" i="115"/>
  <c r="S264" i="115"/>
  <c r="E264" i="115"/>
  <c r="B264" i="115"/>
  <c r="AP263" i="115"/>
  <c r="AL263" i="115"/>
  <c r="P47" i="265" s="1"/>
  <c r="Q47" i="265" s="1"/>
  <c r="AB263" i="115"/>
  <c r="AA263" i="115"/>
  <c r="W263" i="115"/>
  <c r="T263" i="115"/>
  <c r="S263" i="115"/>
  <c r="E263" i="115"/>
  <c r="B263" i="115"/>
  <c r="AP262" i="115"/>
  <c r="AL262" i="115"/>
  <c r="P46" i="265" s="1"/>
  <c r="Q46" i="265" s="1"/>
  <c r="AB262" i="115"/>
  <c r="AA262" i="115"/>
  <c r="W262" i="115"/>
  <c r="T262" i="115"/>
  <c r="S262" i="115"/>
  <c r="E262" i="115"/>
  <c r="B262" i="115"/>
  <c r="AP261" i="115"/>
  <c r="AL261" i="115"/>
  <c r="P45" i="265" s="1"/>
  <c r="Q45" i="265" s="1"/>
  <c r="AB261" i="115"/>
  <c r="AA261" i="115"/>
  <c r="W261" i="115"/>
  <c r="T261" i="115"/>
  <c r="S261" i="115"/>
  <c r="E261" i="115"/>
  <c r="B261" i="115"/>
  <c r="AP260" i="115"/>
  <c r="AL260" i="115"/>
  <c r="P44" i="265" s="1"/>
  <c r="Q44" i="265" s="1"/>
  <c r="AB260" i="115"/>
  <c r="AA260" i="115"/>
  <c r="W260" i="115"/>
  <c r="T260" i="115"/>
  <c r="S260" i="115"/>
  <c r="E260" i="115"/>
  <c r="B260" i="115"/>
  <c r="AP259" i="115"/>
  <c r="AL259" i="115"/>
  <c r="P43" i="265" s="1"/>
  <c r="Q43" i="265" s="1"/>
  <c r="AB259" i="115"/>
  <c r="AA259" i="115"/>
  <c r="W259" i="115"/>
  <c r="T259" i="115"/>
  <c r="S259" i="115"/>
  <c r="E259" i="115"/>
  <c r="B259" i="115"/>
  <c r="AP258" i="115"/>
  <c r="AL258" i="115"/>
  <c r="P42" i="265" s="1"/>
  <c r="Q42" i="265" s="1"/>
  <c r="AB258" i="115"/>
  <c r="AA258" i="115"/>
  <c r="W258" i="115"/>
  <c r="T258" i="115"/>
  <c r="S258" i="115"/>
  <c r="E258" i="115"/>
  <c r="B258" i="115"/>
  <c r="AP257" i="115"/>
  <c r="AL257" i="115"/>
  <c r="P41" i="265" s="1"/>
  <c r="Q41" i="265" s="1"/>
  <c r="AB257" i="115"/>
  <c r="AA257" i="115"/>
  <c r="W257" i="115"/>
  <c r="T257" i="115"/>
  <c r="S257" i="115"/>
  <c r="E257" i="115"/>
  <c r="B257" i="115"/>
  <c r="AP256" i="115"/>
  <c r="AL256" i="115"/>
  <c r="P40" i="265" s="1"/>
  <c r="Q40" i="265" s="1"/>
  <c r="AB256" i="115"/>
  <c r="AA256" i="115"/>
  <c r="W256" i="115"/>
  <c r="T256" i="115"/>
  <c r="S256" i="115"/>
  <c r="E256" i="115"/>
  <c r="B256" i="115"/>
  <c r="AP255" i="115"/>
  <c r="AL255" i="115"/>
  <c r="P39" i="265" s="1"/>
  <c r="Q39" i="265" s="1"/>
  <c r="AB255" i="115"/>
  <c r="AA255" i="115"/>
  <c r="W255" i="115"/>
  <c r="T255" i="115"/>
  <c r="S255" i="115"/>
  <c r="E255" i="115"/>
  <c r="B255" i="115"/>
  <c r="AP254" i="115"/>
  <c r="AL254" i="115"/>
  <c r="P38" i="265" s="1"/>
  <c r="Q38" i="265" s="1"/>
  <c r="AB254" i="115"/>
  <c r="AA254" i="115"/>
  <c r="W254" i="115"/>
  <c r="T254" i="115"/>
  <c r="S254" i="115"/>
  <c r="E254" i="115"/>
  <c r="B254" i="115"/>
  <c r="AP253" i="115"/>
  <c r="AL253" i="115"/>
  <c r="P37" i="265" s="1"/>
  <c r="Q37" i="265" s="1"/>
  <c r="AB253" i="115"/>
  <c r="AA253" i="115"/>
  <c r="W253" i="115"/>
  <c r="T253" i="115"/>
  <c r="S253" i="115"/>
  <c r="E253" i="115"/>
  <c r="B253" i="115"/>
  <c r="AP252" i="115"/>
  <c r="AL252" i="115"/>
  <c r="P36" i="265" s="1"/>
  <c r="Q36" i="265" s="1"/>
  <c r="AB252" i="115"/>
  <c r="AA252" i="115"/>
  <c r="W252" i="115"/>
  <c r="T252" i="115"/>
  <c r="S252" i="115"/>
  <c r="E252" i="115"/>
  <c r="B252" i="115"/>
  <c r="AP251" i="115"/>
  <c r="AL251" i="115"/>
  <c r="P35" i="265" s="1"/>
  <c r="Q35" i="265" s="1"/>
  <c r="AB251" i="115"/>
  <c r="AA251" i="115"/>
  <c r="W251" i="115"/>
  <c r="T251" i="115"/>
  <c r="S251" i="115"/>
  <c r="E251" i="115"/>
  <c r="B251" i="115"/>
  <c r="AP250" i="115"/>
  <c r="AL250" i="115"/>
  <c r="P34" i="265" s="1"/>
  <c r="Q34" i="265" s="1"/>
  <c r="AB250" i="115"/>
  <c r="AA250" i="115"/>
  <c r="W250" i="115"/>
  <c r="T250" i="115"/>
  <c r="S250" i="115"/>
  <c r="E250" i="115"/>
  <c r="B250" i="115"/>
  <c r="AP249" i="115"/>
  <c r="AL249" i="115"/>
  <c r="P33" i="265" s="1"/>
  <c r="Q33" i="265" s="1"/>
  <c r="AB249" i="115"/>
  <c r="AA249" i="115"/>
  <c r="W249" i="115"/>
  <c r="T249" i="115"/>
  <c r="S249" i="115"/>
  <c r="E249" i="115"/>
  <c r="B249" i="115"/>
  <c r="AP248" i="115"/>
  <c r="AL248" i="115"/>
  <c r="P32" i="265" s="1"/>
  <c r="Q32" i="265" s="1"/>
  <c r="AB248" i="115"/>
  <c r="AA248" i="115"/>
  <c r="W248" i="115"/>
  <c r="T248" i="115"/>
  <c r="S248" i="115"/>
  <c r="E248" i="115"/>
  <c r="B248" i="115"/>
  <c r="AP247" i="115"/>
  <c r="AL247" i="115"/>
  <c r="P31" i="265" s="1"/>
  <c r="Q31" i="265" s="1"/>
  <c r="AB247" i="115"/>
  <c r="AA247" i="115"/>
  <c r="W247" i="115"/>
  <c r="T247" i="115"/>
  <c r="S247" i="115"/>
  <c r="E247" i="115"/>
  <c r="B247" i="115"/>
  <c r="AP246" i="115"/>
  <c r="AL246" i="115"/>
  <c r="P30" i="265" s="1"/>
  <c r="Q30" i="265" s="1"/>
  <c r="AB246" i="115"/>
  <c r="AA246" i="115"/>
  <c r="W246" i="115"/>
  <c r="T246" i="115"/>
  <c r="S246" i="115"/>
  <c r="E246" i="115"/>
  <c r="B246" i="115"/>
  <c r="AP245" i="115"/>
  <c r="AL245" i="115"/>
  <c r="P29" i="265" s="1"/>
  <c r="Q29" i="265" s="1"/>
  <c r="AB245" i="115"/>
  <c r="AA245" i="115"/>
  <c r="W245" i="115"/>
  <c r="T245" i="115"/>
  <c r="S245" i="115"/>
  <c r="E245" i="115"/>
  <c r="B245" i="115"/>
  <c r="AP244" i="115"/>
  <c r="AL244" i="115"/>
  <c r="P28" i="265" s="1"/>
  <c r="Q28" i="265" s="1"/>
  <c r="AB244" i="115"/>
  <c r="AA244" i="115"/>
  <c r="W244" i="115"/>
  <c r="T244" i="115"/>
  <c r="S244" i="115"/>
  <c r="E244" i="115"/>
  <c r="B244" i="115"/>
  <c r="AP243" i="115"/>
  <c r="AL243" i="115"/>
  <c r="P27" i="265" s="1"/>
  <c r="Q27" i="265" s="1"/>
  <c r="AB243" i="115"/>
  <c r="AA243" i="115"/>
  <c r="W243" i="115"/>
  <c r="T243" i="115"/>
  <c r="S243" i="115"/>
  <c r="E243" i="115"/>
  <c r="B243" i="115"/>
  <c r="AP242" i="115"/>
  <c r="AL242" i="115"/>
  <c r="P26" i="265" s="1"/>
  <c r="Q26" i="265" s="1"/>
  <c r="AB242" i="115"/>
  <c r="AA242" i="115"/>
  <c r="W242" i="115"/>
  <c r="T242" i="115"/>
  <c r="S242" i="115"/>
  <c r="E242" i="115"/>
  <c r="B242" i="115"/>
  <c r="AP241" i="115"/>
  <c r="AL241" i="115"/>
  <c r="P25" i="265" s="1"/>
  <c r="Q25" i="265" s="1"/>
  <c r="AB241" i="115"/>
  <c r="AA241" i="115"/>
  <c r="W241" i="115"/>
  <c r="T241" i="115"/>
  <c r="S241" i="115"/>
  <c r="E241" i="115"/>
  <c r="B241" i="115"/>
  <c r="AP240" i="115"/>
  <c r="AL240" i="115"/>
  <c r="P24" i="265" s="1"/>
  <c r="Q24" i="265" s="1"/>
  <c r="AB240" i="115"/>
  <c r="AA240" i="115"/>
  <c r="W240" i="115"/>
  <c r="T240" i="115"/>
  <c r="S240" i="115"/>
  <c r="E240" i="115"/>
  <c r="B240" i="115"/>
  <c r="AP239" i="115"/>
  <c r="AL239" i="115"/>
  <c r="P23" i="265" s="1"/>
  <c r="Q23" i="265" s="1"/>
  <c r="AB239" i="115"/>
  <c r="AA239" i="115"/>
  <c r="W239" i="115"/>
  <c r="T239" i="115"/>
  <c r="S239" i="115"/>
  <c r="E239" i="115"/>
  <c r="B239" i="115"/>
  <c r="AP238" i="115"/>
  <c r="AL238" i="115"/>
  <c r="P22" i="265" s="1"/>
  <c r="Q22" i="265" s="1"/>
  <c r="AB238" i="115"/>
  <c r="AA238" i="115"/>
  <c r="W238" i="115"/>
  <c r="T238" i="115"/>
  <c r="S238" i="115"/>
  <c r="E238" i="115"/>
  <c r="B238" i="115"/>
  <c r="AP237" i="115"/>
  <c r="AL237" i="115"/>
  <c r="P21" i="265" s="1"/>
  <c r="Q21" i="265" s="1"/>
  <c r="AB237" i="115"/>
  <c r="AA237" i="115"/>
  <c r="W237" i="115"/>
  <c r="T237" i="115"/>
  <c r="S237" i="115"/>
  <c r="E237" i="115"/>
  <c r="B237" i="115"/>
  <c r="AP236" i="115"/>
  <c r="AL236" i="115"/>
  <c r="P20" i="265" s="1"/>
  <c r="Q20" i="265" s="1"/>
  <c r="AB236" i="115"/>
  <c r="AA236" i="115"/>
  <c r="W236" i="115"/>
  <c r="T236" i="115"/>
  <c r="S236" i="115"/>
  <c r="E236" i="115"/>
  <c r="B236" i="115"/>
  <c r="AP235" i="115"/>
  <c r="AL235" i="115"/>
  <c r="P19" i="265" s="1"/>
  <c r="Q19" i="265" s="1"/>
  <c r="AB235" i="115"/>
  <c r="AA235" i="115"/>
  <c r="W235" i="115"/>
  <c r="T235" i="115"/>
  <c r="S235" i="115"/>
  <c r="E235" i="115"/>
  <c r="B235" i="115"/>
  <c r="AP234" i="115"/>
  <c r="AL234" i="115"/>
  <c r="P18" i="265" s="1"/>
  <c r="Q18" i="265" s="1"/>
  <c r="AB234" i="115"/>
  <c r="AA234" i="115"/>
  <c r="W234" i="115"/>
  <c r="T234" i="115"/>
  <c r="S234" i="115"/>
  <c r="E234" i="115"/>
  <c r="B234" i="115"/>
  <c r="AP233" i="115"/>
  <c r="AL233" i="115"/>
  <c r="P17" i="265" s="1"/>
  <c r="Q17" i="265" s="1"/>
  <c r="AB233" i="115"/>
  <c r="AA233" i="115"/>
  <c r="W233" i="115"/>
  <c r="T233" i="115"/>
  <c r="S233" i="115"/>
  <c r="E233" i="115"/>
  <c r="B233" i="115"/>
  <c r="AP232" i="115"/>
  <c r="AL232" i="115"/>
  <c r="P16" i="265" s="1"/>
  <c r="Q16" i="265" s="1"/>
  <c r="AB232" i="115"/>
  <c r="AA232" i="115"/>
  <c r="W232" i="115"/>
  <c r="T232" i="115"/>
  <c r="S232" i="115"/>
  <c r="E232" i="115"/>
  <c r="B232" i="115"/>
  <c r="AP231" i="115"/>
  <c r="AL231" i="115"/>
  <c r="P15" i="265" s="1"/>
  <c r="Q15" i="265" s="1"/>
  <c r="AB231" i="115"/>
  <c r="AA231" i="115"/>
  <c r="W231" i="115"/>
  <c r="T231" i="115"/>
  <c r="S231" i="115"/>
  <c r="E231" i="115"/>
  <c r="B231" i="115"/>
  <c r="AP230" i="115"/>
  <c r="AL230" i="115"/>
  <c r="AB230" i="115"/>
  <c r="AB229" i="115" s="1"/>
  <c r="AA230" i="115"/>
  <c r="AA229" i="115" s="1"/>
  <c r="W230" i="115"/>
  <c r="W229" i="115" s="1"/>
  <c r="T230" i="115"/>
  <c r="T229" i="115" s="1"/>
  <c r="S230" i="115"/>
  <c r="E230" i="115"/>
  <c r="B230" i="115"/>
  <c r="AR229" i="115"/>
  <c r="AQ229" i="115"/>
  <c r="AP229" i="115"/>
  <c r="AO229" i="115"/>
  <c r="AM229" i="115"/>
  <c r="AK229" i="115"/>
  <c r="AJ229" i="115"/>
  <c r="AI229" i="115"/>
  <c r="AE229" i="115"/>
  <c r="AC229" i="115"/>
  <c r="V229" i="115"/>
  <c r="U229" i="115"/>
  <c r="S229" i="115"/>
  <c r="R229" i="115"/>
  <c r="Q229" i="115"/>
  <c r="P229" i="115"/>
  <c r="O229" i="115"/>
  <c r="N229" i="115"/>
  <c r="M229" i="115"/>
  <c r="L229" i="115"/>
  <c r="K229" i="115"/>
  <c r="J229" i="115"/>
  <c r="I229" i="115"/>
  <c r="H229" i="115"/>
  <c r="G229" i="115"/>
  <c r="F229" i="115"/>
  <c r="E229" i="115"/>
  <c r="AL228" i="115"/>
  <c r="P20" i="263" s="1"/>
  <c r="Q20" i="263" s="1"/>
  <c r="AB228" i="115"/>
  <c r="AA228" i="115"/>
  <c r="T228" i="115"/>
  <c r="W228" i="115" s="1"/>
  <c r="S228" i="115"/>
  <c r="E228" i="115"/>
  <c r="B228" i="115"/>
  <c r="AL227" i="115"/>
  <c r="P19" i="263" s="1"/>
  <c r="Q19" i="263" s="1"/>
  <c r="AB227" i="115"/>
  <c r="AA227" i="115"/>
  <c r="T227" i="115"/>
  <c r="W227" i="115" s="1"/>
  <c r="K19" i="263" s="1"/>
  <c r="N19" i="263" s="1"/>
  <c r="S227" i="115"/>
  <c r="E227" i="115"/>
  <c r="B227" i="115"/>
  <c r="AL226" i="115"/>
  <c r="P18" i="263" s="1"/>
  <c r="Q18" i="263" s="1"/>
  <c r="AB226" i="115"/>
  <c r="AA226" i="115"/>
  <c r="T226" i="115"/>
  <c r="W226" i="115" s="1"/>
  <c r="S226" i="115"/>
  <c r="E226" i="115"/>
  <c r="B226" i="115"/>
  <c r="AL225" i="115"/>
  <c r="P17" i="263" s="1"/>
  <c r="Q17" i="263" s="1"/>
  <c r="AB225" i="115"/>
  <c r="AA225" i="115"/>
  <c r="T225" i="115"/>
  <c r="W225" i="115" s="1"/>
  <c r="K17" i="263" s="1"/>
  <c r="N17" i="263" s="1"/>
  <c r="S225" i="115"/>
  <c r="E225" i="115"/>
  <c r="B225" i="115"/>
  <c r="AL224" i="115"/>
  <c r="P16" i="263" s="1"/>
  <c r="Q16" i="263" s="1"/>
  <c r="AB224" i="115"/>
  <c r="AA224" i="115"/>
  <c r="T224" i="115"/>
  <c r="W224" i="115" s="1"/>
  <c r="S224" i="115"/>
  <c r="E224" i="115"/>
  <c r="B224" i="115"/>
  <c r="AL223" i="115"/>
  <c r="P15" i="263" s="1"/>
  <c r="Q15" i="263" s="1"/>
  <c r="AB223" i="115"/>
  <c r="AA223" i="115"/>
  <c r="T223" i="115"/>
  <c r="W223" i="115" s="1"/>
  <c r="K15" i="263" s="1"/>
  <c r="N15" i="263" s="1"/>
  <c r="S223" i="115"/>
  <c r="E223" i="115"/>
  <c r="B223" i="115"/>
  <c r="AL222" i="115"/>
  <c r="AB222" i="115"/>
  <c r="AB221" i="115" s="1"/>
  <c r="AA222" i="115"/>
  <c r="AA221" i="115" s="1"/>
  <c r="T222" i="115"/>
  <c r="W222" i="115" s="1"/>
  <c r="W221" i="115" s="1"/>
  <c r="S222" i="115"/>
  <c r="E222" i="115"/>
  <c r="B222" i="115"/>
  <c r="AK221" i="115"/>
  <c r="AJ221" i="115"/>
  <c r="AI221" i="115"/>
  <c r="AE221" i="115"/>
  <c r="AC221" i="115"/>
  <c r="V221" i="115"/>
  <c r="U221" i="115"/>
  <c r="S221" i="115"/>
  <c r="R221" i="115"/>
  <c r="Q221" i="115"/>
  <c r="P221" i="115"/>
  <c r="O221" i="115"/>
  <c r="N221" i="115"/>
  <c r="M221" i="115"/>
  <c r="L221" i="115"/>
  <c r="K221" i="115"/>
  <c r="J221" i="115"/>
  <c r="I221" i="115"/>
  <c r="H221" i="115"/>
  <c r="G221" i="115"/>
  <c r="F221" i="115"/>
  <c r="E221" i="115"/>
  <c r="AL220" i="115"/>
  <c r="P24" i="258" s="1"/>
  <c r="Q24" i="258" s="1"/>
  <c r="AB220" i="115"/>
  <c r="AA220" i="115"/>
  <c r="V220" i="115"/>
  <c r="W220" i="115" s="1"/>
  <c r="K24" i="258" s="1"/>
  <c r="S220" i="115"/>
  <c r="E220" i="115"/>
  <c r="B220" i="115"/>
  <c r="AL219" i="115"/>
  <c r="P23" i="258" s="1"/>
  <c r="Q23" i="258" s="1"/>
  <c r="AB219" i="115"/>
  <c r="AA219" i="115"/>
  <c r="V219" i="115"/>
  <c r="W219" i="115" s="1"/>
  <c r="S219" i="115"/>
  <c r="E219" i="115"/>
  <c r="B219" i="115"/>
  <c r="AL218" i="115"/>
  <c r="P22" i="258" s="1"/>
  <c r="Q22" i="258" s="1"/>
  <c r="AB218" i="115"/>
  <c r="AA218" i="115"/>
  <c r="T218" i="115"/>
  <c r="W218" i="115" s="1"/>
  <c r="K22" i="258" s="1"/>
  <c r="S218" i="115"/>
  <c r="E218" i="115"/>
  <c r="B218" i="115"/>
  <c r="AL217" i="115"/>
  <c r="P21" i="258" s="1"/>
  <c r="Q21" i="258" s="1"/>
  <c r="AB217" i="115"/>
  <c r="AA217" i="115"/>
  <c r="T217" i="115"/>
  <c r="W217" i="115" s="1"/>
  <c r="S217" i="115"/>
  <c r="E217" i="115"/>
  <c r="B217" i="115"/>
  <c r="AL216" i="115"/>
  <c r="P20" i="258" s="1"/>
  <c r="Q20" i="258" s="1"/>
  <c r="AB216" i="115"/>
  <c r="AA216" i="115"/>
  <c r="T216" i="115"/>
  <c r="W216" i="115" s="1"/>
  <c r="K20" i="258" s="1"/>
  <c r="S216" i="115"/>
  <c r="E216" i="115"/>
  <c r="B216" i="115"/>
  <c r="AL215" i="115"/>
  <c r="P19" i="258" s="1"/>
  <c r="Q19" i="258" s="1"/>
  <c r="AB215" i="115"/>
  <c r="AA215" i="115"/>
  <c r="W215" i="115"/>
  <c r="T215" i="115"/>
  <c r="S215" i="115"/>
  <c r="E215" i="115"/>
  <c r="B215" i="115"/>
  <c r="AL214" i="115"/>
  <c r="P18" i="258" s="1"/>
  <c r="Q18" i="258" s="1"/>
  <c r="AB214" i="115"/>
  <c r="AA214" i="115"/>
  <c r="T214" i="115"/>
  <c r="W214" i="115" s="1"/>
  <c r="K18" i="258" s="1"/>
  <c r="S214" i="115"/>
  <c r="E214" i="115"/>
  <c r="B214" i="115"/>
  <c r="AL213" i="115"/>
  <c r="P17" i="258" s="1"/>
  <c r="Q17" i="258" s="1"/>
  <c r="AB213" i="115"/>
  <c r="AA213" i="115"/>
  <c r="T213" i="115"/>
  <c r="W213" i="115" s="1"/>
  <c r="S213" i="115"/>
  <c r="E213" i="115"/>
  <c r="B213" i="115"/>
  <c r="AL212" i="115"/>
  <c r="P16" i="258" s="1"/>
  <c r="Q16" i="258" s="1"/>
  <c r="AB212" i="115"/>
  <c r="AA212" i="115"/>
  <c r="T212" i="115"/>
  <c r="W212" i="115" s="1"/>
  <c r="K16" i="258" s="1"/>
  <c r="S212" i="115"/>
  <c r="E212" i="115"/>
  <c r="B212" i="115"/>
  <c r="AL211" i="115"/>
  <c r="P15" i="258" s="1"/>
  <c r="Q15" i="258" s="1"/>
  <c r="AB211" i="115"/>
  <c r="AA211" i="115"/>
  <c r="T211" i="115"/>
  <c r="W211" i="115" s="1"/>
  <c r="S211" i="115"/>
  <c r="E211" i="115"/>
  <c r="B211" i="115"/>
  <c r="AL210" i="115"/>
  <c r="P14" i="258" s="1"/>
  <c r="AB210" i="115"/>
  <c r="AB209" i="115" s="1"/>
  <c r="AA210" i="115"/>
  <c r="AA209" i="115" s="1"/>
  <c r="T210" i="115"/>
  <c r="W210" i="115" s="1"/>
  <c r="S210" i="115"/>
  <c r="E210" i="115"/>
  <c r="B210" i="115"/>
  <c r="AK209" i="115"/>
  <c r="AJ209" i="115"/>
  <c r="AI209" i="115"/>
  <c r="AE209" i="115"/>
  <c r="AC209" i="115"/>
  <c r="U209" i="115"/>
  <c r="S209" i="115"/>
  <c r="R209" i="115"/>
  <c r="Q209" i="115"/>
  <c r="P209" i="115"/>
  <c r="O209" i="115"/>
  <c r="N209" i="115"/>
  <c r="M209" i="115"/>
  <c r="L209" i="115"/>
  <c r="K209" i="115"/>
  <c r="J209" i="115"/>
  <c r="I209" i="115"/>
  <c r="H209" i="115"/>
  <c r="G209" i="115"/>
  <c r="F209" i="115"/>
  <c r="E209" i="115"/>
  <c r="B209" i="115"/>
  <c r="AL208" i="115"/>
  <c r="Z208" i="115"/>
  <c r="S208" i="115"/>
  <c r="AL207" i="115"/>
  <c r="P100" i="261" s="1"/>
  <c r="Q100" i="261" s="1"/>
  <c r="AB207" i="115"/>
  <c r="AA207" i="115"/>
  <c r="W207" i="115"/>
  <c r="T207" i="115"/>
  <c r="S207" i="115"/>
  <c r="E207" i="115"/>
  <c r="B207" i="115"/>
  <c r="AL206" i="115"/>
  <c r="P99" i="261" s="1"/>
  <c r="Q99" i="261" s="1"/>
  <c r="AB206" i="115"/>
  <c r="AA206" i="115"/>
  <c r="W206" i="115"/>
  <c r="K99" i="261" s="1"/>
  <c r="N99" i="261" s="1"/>
  <c r="T206" i="115"/>
  <c r="S206" i="115"/>
  <c r="E206" i="115"/>
  <c r="B206" i="115"/>
  <c r="AL205" i="115"/>
  <c r="P98" i="261" s="1"/>
  <c r="Q98" i="261" s="1"/>
  <c r="AB205" i="115"/>
  <c r="AA205" i="115"/>
  <c r="W205" i="115"/>
  <c r="T205" i="115"/>
  <c r="S205" i="115"/>
  <c r="E205" i="115"/>
  <c r="B205" i="115"/>
  <c r="AL204" i="115"/>
  <c r="P97" i="261" s="1"/>
  <c r="Q97" i="261" s="1"/>
  <c r="AB204" i="115"/>
  <c r="AA204" i="115"/>
  <c r="W204" i="115"/>
  <c r="T204" i="115"/>
  <c r="S204" i="115"/>
  <c r="E204" i="115"/>
  <c r="B204" i="115"/>
  <c r="AL203" i="115"/>
  <c r="P96" i="261" s="1"/>
  <c r="Q96" i="261" s="1"/>
  <c r="AB203" i="115"/>
  <c r="AA203" i="115"/>
  <c r="W203" i="115"/>
  <c r="T203" i="115"/>
  <c r="S203" i="115"/>
  <c r="E203" i="115"/>
  <c r="B203" i="115"/>
  <c r="AL202" i="115"/>
  <c r="P95" i="261" s="1"/>
  <c r="Q95" i="261" s="1"/>
  <c r="AB202" i="115"/>
  <c r="AA202" i="115"/>
  <c r="W202" i="115"/>
  <c r="K95" i="261" s="1"/>
  <c r="N95" i="261" s="1"/>
  <c r="T202" i="115"/>
  <c r="S202" i="115"/>
  <c r="E202" i="115"/>
  <c r="B202" i="115"/>
  <c r="AL201" i="115"/>
  <c r="P94" i="261" s="1"/>
  <c r="Q94" i="261" s="1"/>
  <c r="AB201" i="115"/>
  <c r="AA201" i="115"/>
  <c r="W201" i="115"/>
  <c r="T201" i="115"/>
  <c r="S201" i="115"/>
  <c r="E201" i="115"/>
  <c r="B201" i="115"/>
  <c r="AL200" i="115"/>
  <c r="P93" i="261" s="1"/>
  <c r="Q93" i="261" s="1"/>
  <c r="AB200" i="115"/>
  <c r="AA200" i="115"/>
  <c r="W200" i="115"/>
  <c r="K93" i="261" s="1"/>
  <c r="N93" i="261" s="1"/>
  <c r="T200" i="115"/>
  <c r="S200" i="115"/>
  <c r="E200" i="115"/>
  <c r="B200" i="115"/>
  <c r="AL199" i="115"/>
  <c r="P92" i="261" s="1"/>
  <c r="Q92" i="261" s="1"/>
  <c r="AB199" i="115"/>
  <c r="AA199" i="115"/>
  <c r="W199" i="115"/>
  <c r="T199" i="115"/>
  <c r="S199" i="115"/>
  <c r="E199" i="115"/>
  <c r="B199" i="115"/>
  <c r="AL198" i="115"/>
  <c r="P91" i="261" s="1"/>
  <c r="Q91" i="261" s="1"/>
  <c r="AB198" i="115"/>
  <c r="AA198" i="115"/>
  <c r="W198" i="115"/>
  <c r="K91" i="261" s="1"/>
  <c r="N91" i="261" s="1"/>
  <c r="T198" i="115"/>
  <c r="S198" i="115"/>
  <c r="E198" i="115"/>
  <c r="B198" i="115"/>
  <c r="AL197" i="115"/>
  <c r="P90" i="261" s="1"/>
  <c r="Q90" i="261" s="1"/>
  <c r="AB197" i="115"/>
  <c r="AA197" i="115"/>
  <c r="W197" i="115"/>
  <c r="T197" i="115"/>
  <c r="S197" i="115"/>
  <c r="E197" i="115"/>
  <c r="B197" i="115"/>
  <c r="AL196" i="115"/>
  <c r="P89" i="261" s="1"/>
  <c r="Q89" i="261" s="1"/>
  <c r="AB196" i="115"/>
  <c r="AA196" i="115"/>
  <c r="W196" i="115"/>
  <c r="T196" i="115"/>
  <c r="S196" i="115"/>
  <c r="E196" i="115"/>
  <c r="B196" i="115"/>
  <c r="AL195" i="115"/>
  <c r="P88" i="261" s="1"/>
  <c r="Q88" i="261" s="1"/>
  <c r="AB195" i="115"/>
  <c r="AA195" i="115"/>
  <c r="W195" i="115"/>
  <c r="T195" i="115"/>
  <c r="S195" i="115"/>
  <c r="E195" i="115"/>
  <c r="B195" i="115"/>
  <c r="AL194" i="115"/>
  <c r="P87" i="261" s="1"/>
  <c r="Q87" i="261" s="1"/>
  <c r="AB194" i="115"/>
  <c r="AA194" i="115"/>
  <c r="W194" i="115"/>
  <c r="T194" i="115"/>
  <c r="S194" i="115"/>
  <c r="E194" i="115"/>
  <c r="B194" i="115"/>
  <c r="AL193" i="115"/>
  <c r="P86" i="261" s="1"/>
  <c r="Q86" i="261" s="1"/>
  <c r="AB193" i="115"/>
  <c r="AA193" i="115"/>
  <c r="W193" i="115"/>
  <c r="T193" i="115"/>
  <c r="S193" i="115"/>
  <c r="E193" i="115"/>
  <c r="B193" i="115"/>
  <c r="AL192" i="115"/>
  <c r="P85" i="261" s="1"/>
  <c r="Q85" i="261" s="1"/>
  <c r="AB192" i="115"/>
  <c r="AA192" i="115"/>
  <c r="W192" i="115"/>
  <c r="K85" i="261" s="1"/>
  <c r="N85" i="261" s="1"/>
  <c r="T192" i="115"/>
  <c r="S192" i="115"/>
  <c r="E192" i="115"/>
  <c r="B192" i="115"/>
  <c r="AL191" i="115"/>
  <c r="P84" i="261" s="1"/>
  <c r="Q84" i="261" s="1"/>
  <c r="AB191" i="115"/>
  <c r="AA191" i="115"/>
  <c r="W191" i="115"/>
  <c r="T191" i="115"/>
  <c r="S191" i="115"/>
  <c r="E191" i="115"/>
  <c r="B191" i="115"/>
  <c r="AL190" i="115"/>
  <c r="P83" i="261" s="1"/>
  <c r="Q83" i="261" s="1"/>
  <c r="AB190" i="115"/>
  <c r="AA190" i="115"/>
  <c r="W190" i="115"/>
  <c r="K83" i="261" s="1"/>
  <c r="N83" i="261" s="1"/>
  <c r="T190" i="115"/>
  <c r="S190" i="115"/>
  <c r="E190" i="115"/>
  <c r="B190" i="115"/>
  <c r="AL189" i="115"/>
  <c r="P82" i="261" s="1"/>
  <c r="Q82" i="261" s="1"/>
  <c r="AB189" i="115"/>
  <c r="AA189" i="115"/>
  <c r="W189" i="115"/>
  <c r="T189" i="115"/>
  <c r="S189" i="115"/>
  <c r="E189" i="115"/>
  <c r="B189" i="115"/>
  <c r="AL188" i="115"/>
  <c r="P81" i="261" s="1"/>
  <c r="Q81" i="261" s="1"/>
  <c r="AB188" i="115"/>
  <c r="AA188" i="115"/>
  <c r="W188" i="115"/>
  <c r="T188" i="115"/>
  <c r="S188" i="115"/>
  <c r="E188" i="115"/>
  <c r="B188" i="115"/>
  <c r="AL187" i="115"/>
  <c r="P80" i="261" s="1"/>
  <c r="Q80" i="261" s="1"/>
  <c r="AB187" i="115"/>
  <c r="AA187" i="115"/>
  <c r="W187" i="115"/>
  <c r="T187" i="115"/>
  <c r="S187" i="115"/>
  <c r="E187" i="115"/>
  <c r="B187" i="115"/>
  <c r="AL186" i="115"/>
  <c r="P79" i="261" s="1"/>
  <c r="Q79" i="261" s="1"/>
  <c r="AB186" i="115"/>
  <c r="AA186" i="115"/>
  <c r="W186" i="115"/>
  <c r="K79" i="261" s="1"/>
  <c r="N79" i="261" s="1"/>
  <c r="T186" i="115"/>
  <c r="S186" i="115"/>
  <c r="E186" i="115"/>
  <c r="B186" i="115"/>
  <c r="AL185" i="115"/>
  <c r="P78" i="261" s="1"/>
  <c r="Q78" i="261" s="1"/>
  <c r="AB185" i="115"/>
  <c r="AA185" i="115"/>
  <c r="W185" i="115"/>
  <c r="T185" i="115"/>
  <c r="S185" i="115"/>
  <c r="E185" i="115"/>
  <c r="B185" i="115"/>
  <c r="AL184" i="115"/>
  <c r="P77" i="261" s="1"/>
  <c r="Q77" i="261" s="1"/>
  <c r="AB184" i="115"/>
  <c r="AA184" i="115"/>
  <c r="W184" i="115"/>
  <c r="K77" i="261" s="1"/>
  <c r="N77" i="261" s="1"/>
  <c r="T184" i="115"/>
  <c r="S184" i="115"/>
  <c r="E184" i="115"/>
  <c r="B184" i="115"/>
  <c r="AL183" i="115"/>
  <c r="P76" i="261" s="1"/>
  <c r="Q76" i="261" s="1"/>
  <c r="AB183" i="115"/>
  <c r="AA183" i="115"/>
  <c r="W183" i="115"/>
  <c r="T183" i="115"/>
  <c r="S183" i="115"/>
  <c r="E183" i="115"/>
  <c r="B183" i="115"/>
  <c r="AL182" i="115"/>
  <c r="P75" i="261" s="1"/>
  <c r="Q75" i="261" s="1"/>
  <c r="AB182" i="115"/>
  <c r="AA182" i="115"/>
  <c r="W182" i="115"/>
  <c r="K75" i="261" s="1"/>
  <c r="N75" i="261" s="1"/>
  <c r="T182" i="115"/>
  <c r="S182" i="115"/>
  <c r="E182" i="115"/>
  <c r="B182" i="115"/>
  <c r="AL181" i="115"/>
  <c r="P74" i="261" s="1"/>
  <c r="Q74" i="261" s="1"/>
  <c r="AB181" i="115"/>
  <c r="AA181" i="115"/>
  <c r="W181" i="115"/>
  <c r="T181" i="115"/>
  <c r="S181" i="115"/>
  <c r="E181" i="115"/>
  <c r="B181" i="115"/>
  <c r="AL180" i="115"/>
  <c r="P73" i="261" s="1"/>
  <c r="Q73" i="261" s="1"/>
  <c r="AB180" i="115"/>
  <c r="AA180" i="115"/>
  <c r="W180" i="115"/>
  <c r="T180" i="115"/>
  <c r="S180" i="115"/>
  <c r="E180" i="115"/>
  <c r="B180" i="115"/>
  <c r="AL179" i="115"/>
  <c r="P72" i="261" s="1"/>
  <c r="Q72" i="261" s="1"/>
  <c r="AB179" i="115"/>
  <c r="AA179" i="115"/>
  <c r="W179" i="115"/>
  <c r="T179" i="115"/>
  <c r="S179" i="115"/>
  <c r="E179" i="115"/>
  <c r="B179" i="115"/>
  <c r="AL178" i="115"/>
  <c r="P71" i="261" s="1"/>
  <c r="Q71" i="261" s="1"/>
  <c r="AB178" i="115"/>
  <c r="AA178" i="115"/>
  <c r="W178" i="115"/>
  <c r="K71" i="261" s="1"/>
  <c r="N71" i="261" s="1"/>
  <c r="T178" i="115"/>
  <c r="S178" i="115"/>
  <c r="E178" i="115"/>
  <c r="B178" i="115"/>
  <c r="AL177" i="115"/>
  <c r="P70" i="261" s="1"/>
  <c r="Q70" i="261" s="1"/>
  <c r="AB177" i="115"/>
  <c r="AA177" i="115"/>
  <c r="W177" i="115"/>
  <c r="T177" i="115"/>
  <c r="S177" i="115"/>
  <c r="E177" i="115"/>
  <c r="B177" i="115"/>
  <c r="AL176" i="115"/>
  <c r="P69" i="261" s="1"/>
  <c r="Q69" i="261" s="1"/>
  <c r="AB176" i="115"/>
  <c r="AA176" i="115"/>
  <c r="W176" i="115"/>
  <c r="T176" i="115"/>
  <c r="S176" i="115"/>
  <c r="E176" i="115"/>
  <c r="B176" i="115"/>
  <c r="AL175" i="115"/>
  <c r="P68" i="261" s="1"/>
  <c r="Q68" i="261" s="1"/>
  <c r="AB175" i="115"/>
  <c r="AA175" i="115"/>
  <c r="W175" i="115"/>
  <c r="T175" i="115"/>
  <c r="S175" i="115"/>
  <c r="E175" i="115"/>
  <c r="B175" i="115"/>
  <c r="AL174" i="115"/>
  <c r="P67" i="261" s="1"/>
  <c r="Q67" i="261" s="1"/>
  <c r="AB174" i="115"/>
  <c r="AA174" i="115"/>
  <c r="W174" i="115"/>
  <c r="K67" i="261" s="1"/>
  <c r="N67" i="261" s="1"/>
  <c r="T174" i="115"/>
  <c r="S174" i="115"/>
  <c r="E174" i="115"/>
  <c r="B174" i="115"/>
  <c r="AL173" i="115"/>
  <c r="P66" i="261" s="1"/>
  <c r="Q66" i="261" s="1"/>
  <c r="AB173" i="115"/>
  <c r="AA173" i="115"/>
  <c r="W173" i="115"/>
  <c r="T173" i="115"/>
  <c r="S173" i="115"/>
  <c r="E173" i="115"/>
  <c r="B173" i="115"/>
  <c r="AL172" i="115"/>
  <c r="P65" i="261" s="1"/>
  <c r="Q65" i="261" s="1"/>
  <c r="AB172" i="115"/>
  <c r="AA172" i="115"/>
  <c r="W172" i="115"/>
  <c r="T172" i="115"/>
  <c r="S172" i="115"/>
  <c r="E172" i="115"/>
  <c r="B172" i="115"/>
  <c r="AL171" i="115"/>
  <c r="P64" i="261" s="1"/>
  <c r="Q64" i="261" s="1"/>
  <c r="AB171" i="115"/>
  <c r="AA171" i="115"/>
  <c r="W171" i="115"/>
  <c r="T171" i="115"/>
  <c r="S171" i="115"/>
  <c r="E171" i="115"/>
  <c r="B171" i="115"/>
  <c r="AL170" i="115"/>
  <c r="P63" i="261" s="1"/>
  <c r="Q63" i="261" s="1"/>
  <c r="AB170" i="115"/>
  <c r="AA170" i="115"/>
  <c r="W170" i="115"/>
  <c r="K63" i="261" s="1"/>
  <c r="N63" i="261" s="1"/>
  <c r="T170" i="115"/>
  <c r="S170" i="115"/>
  <c r="E170" i="115"/>
  <c r="B170" i="115"/>
  <c r="AL169" i="115"/>
  <c r="P62" i="261" s="1"/>
  <c r="Q62" i="261" s="1"/>
  <c r="AB169" i="115"/>
  <c r="AA169" i="115"/>
  <c r="W169" i="115"/>
  <c r="T169" i="115"/>
  <c r="S169" i="115"/>
  <c r="E169" i="115"/>
  <c r="B169" i="115"/>
  <c r="AL168" i="115"/>
  <c r="P61" i="261" s="1"/>
  <c r="Q61" i="261" s="1"/>
  <c r="AB168" i="115"/>
  <c r="AA168" i="115"/>
  <c r="W168" i="115"/>
  <c r="T168" i="115"/>
  <c r="S168" i="115"/>
  <c r="E168" i="115"/>
  <c r="B168" i="115"/>
  <c r="AL167" i="115"/>
  <c r="P60" i="261" s="1"/>
  <c r="Q60" i="261" s="1"/>
  <c r="AB167" i="115"/>
  <c r="AA167" i="115"/>
  <c r="W167" i="115"/>
  <c r="T167" i="115"/>
  <c r="S167" i="115"/>
  <c r="E167" i="115"/>
  <c r="B167" i="115"/>
  <c r="AL166" i="115"/>
  <c r="P59" i="261" s="1"/>
  <c r="Q59" i="261" s="1"/>
  <c r="AB166" i="115"/>
  <c r="AA166" i="115"/>
  <c r="W166" i="115"/>
  <c r="K59" i="261" s="1"/>
  <c r="N59" i="261" s="1"/>
  <c r="T166" i="115"/>
  <c r="S166" i="115"/>
  <c r="E166" i="115"/>
  <c r="B166" i="115"/>
  <c r="AL165" i="115"/>
  <c r="P58" i="261" s="1"/>
  <c r="Q58" i="261" s="1"/>
  <c r="AB165" i="115"/>
  <c r="AA165" i="115"/>
  <c r="W165" i="115"/>
  <c r="T165" i="115"/>
  <c r="S165" i="115"/>
  <c r="E165" i="115"/>
  <c r="B165" i="115"/>
  <c r="AL164" i="115"/>
  <c r="P57" i="261" s="1"/>
  <c r="Q57" i="261" s="1"/>
  <c r="AB164" i="115"/>
  <c r="AA164" i="115"/>
  <c r="W164" i="115"/>
  <c r="T164" i="115"/>
  <c r="S164" i="115"/>
  <c r="E164" i="115"/>
  <c r="B164" i="115"/>
  <c r="AL163" i="115"/>
  <c r="P56" i="261" s="1"/>
  <c r="Q56" i="261" s="1"/>
  <c r="AB163" i="115"/>
  <c r="AA163" i="115"/>
  <c r="W163" i="115"/>
  <c r="T163" i="115"/>
  <c r="S163" i="115"/>
  <c r="E163" i="115"/>
  <c r="B163" i="115"/>
  <c r="AL162" i="115"/>
  <c r="P55" i="261" s="1"/>
  <c r="Q55" i="261" s="1"/>
  <c r="AB162" i="115"/>
  <c r="AA162" i="115"/>
  <c r="W162" i="115"/>
  <c r="T162" i="115"/>
  <c r="S162" i="115"/>
  <c r="E162" i="115"/>
  <c r="B162" i="115"/>
  <c r="AL161" i="115"/>
  <c r="P54" i="261" s="1"/>
  <c r="Q54" i="261" s="1"/>
  <c r="AB161" i="115"/>
  <c r="AA161" i="115"/>
  <c r="W161" i="115"/>
  <c r="T161" i="115"/>
  <c r="S161" i="115"/>
  <c r="E161" i="115"/>
  <c r="B161" i="115"/>
  <c r="AL160" i="115"/>
  <c r="P53" i="261" s="1"/>
  <c r="Q53" i="261" s="1"/>
  <c r="AB160" i="115"/>
  <c r="AA160" i="115"/>
  <c r="W160" i="115"/>
  <c r="T160" i="115"/>
  <c r="S160" i="115"/>
  <c r="E160" i="115"/>
  <c r="B160" i="115"/>
  <c r="AL159" i="115"/>
  <c r="P52" i="261" s="1"/>
  <c r="Q52" i="261" s="1"/>
  <c r="AB159" i="115"/>
  <c r="AA159" i="115"/>
  <c r="W159" i="115"/>
  <c r="T159" i="115"/>
  <c r="S159" i="115"/>
  <c r="E159" i="115"/>
  <c r="B159" i="115"/>
  <c r="AL158" i="115"/>
  <c r="P51" i="261" s="1"/>
  <c r="Q51" i="261" s="1"/>
  <c r="AB158" i="115"/>
  <c r="AA158" i="115"/>
  <c r="W158" i="115"/>
  <c r="K51" i="261" s="1"/>
  <c r="N51" i="261" s="1"/>
  <c r="T158" i="115"/>
  <c r="S158" i="115"/>
  <c r="E158" i="115"/>
  <c r="B158" i="115"/>
  <c r="AL157" i="115"/>
  <c r="P50" i="261" s="1"/>
  <c r="Q50" i="261" s="1"/>
  <c r="AB157" i="115"/>
  <c r="AA157" i="115"/>
  <c r="W157" i="115"/>
  <c r="T157" i="115"/>
  <c r="S157" i="115"/>
  <c r="E157" i="115"/>
  <c r="B157" i="115"/>
  <c r="AL156" i="115"/>
  <c r="P49" i="261" s="1"/>
  <c r="Q49" i="261" s="1"/>
  <c r="AB156" i="115"/>
  <c r="AA156" i="115"/>
  <c r="W156" i="115"/>
  <c r="T156" i="115"/>
  <c r="S156" i="115"/>
  <c r="E156" i="115"/>
  <c r="B156" i="115"/>
  <c r="AL155" i="115"/>
  <c r="P48" i="261" s="1"/>
  <c r="Q48" i="261" s="1"/>
  <c r="AB155" i="115"/>
  <c r="AA155" i="115"/>
  <c r="W155" i="115"/>
  <c r="T155" i="115"/>
  <c r="S155" i="115"/>
  <c r="E155" i="115"/>
  <c r="B155" i="115"/>
  <c r="AL154" i="115"/>
  <c r="P47" i="261" s="1"/>
  <c r="Q47" i="261" s="1"/>
  <c r="AB154" i="115"/>
  <c r="AA154" i="115"/>
  <c r="W154" i="115"/>
  <c r="K47" i="261" s="1"/>
  <c r="N47" i="261" s="1"/>
  <c r="T154" i="115"/>
  <c r="S154" i="115"/>
  <c r="E154" i="115"/>
  <c r="B154" i="115"/>
  <c r="AL153" i="115"/>
  <c r="P46" i="261" s="1"/>
  <c r="Q46" i="261" s="1"/>
  <c r="AB153" i="115"/>
  <c r="AA153" i="115"/>
  <c r="W153" i="115"/>
  <c r="T153" i="115"/>
  <c r="S153" i="115"/>
  <c r="E153" i="115"/>
  <c r="B153" i="115"/>
  <c r="AL152" i="115"/>
  <c r="P45" i="261" s="1"/>
  <c r="Q45" i="261" s="1"/>
  <c r="AB152" i="115"/>
  <c r="AA152" i="115"/>
  <c r="W152" i="115"/>
  <c r="T152" i="115"/>
  <c r="S152" i="115"/>
  <c r="E152" i="115"/>
  <c r="B152" i="115"/>
  <c r="AL151" i="115"/>
  <c r="P44" i="261" s="1"/>
  <c r="Q44" i="261" s="1"/>
  <c r="AB151" i="115"/>
  <c r="AA151" i="115"/>
  <c r="W151" i="115"/>
  <c r="K44" i="261" s="1"/>
  <c r="N44" i="261" s="1"/>
  <c r="T151" i="115"/>
  <c r="S151" i="115"/>
  <c r="E151" i="115"/>
  <c r="B151" i="115"/>
  <c r="AL150" i="115"/>
  <c r="P43" i="261" s="1"/>
  <c r="Q43" i="261" s="1"/>
  <c r="AB150" i="115"/>
  <c r="AA150" i="115"/>
  <c r="W150" i="115"/>
  <c r="T150" i="115"/>
  <c r="S150" i="115"/>
  <c r="E150" i="115"/>
  <c r="B150" i="115"/>
  <c r="AL149" i="115"/>
  <c r="P42" i="261" s="1"/>
  <c r="Q42" i="261" s="1"/>
  <c r="AB149" i="115"/>
  <c r="AA149" i="115"/>
  <c r="W149" i="115"/>
  <c r="T149" i="115"/>
  <c r="S149" i="115"/>
  <c r="E149" i="115"/>
  <c r="B149" i="115"/>
  <c r="AL148" i="115"/>
  <c r="P41" i="261" s="1"/>
  <c r="Q41" i="261" s="1"/>
  <c r="AB148" i="115"/>
  <c r="AA148" i="115"/>
  <c r="W148" i="115"/>
  <c r="T148" i="115"/>
  <c r="S148" i="115"/>
  <c r="E148" i="115"/>
  <c r="B148" i="115"/>
  <c r="AL147" i="115"/>
  <c r="P40" i="261" s="1"/>
  <c r="Q40" i="261" s="1"/>
  <c r="AB147" i="115"/>
  <c r="AA147" i="115"/>
  <c r="W147" i="115"/>
  <c r="K40" i="261" s="1"/>
  <c r="N40" i="261" s="1"/>
  <c r="T147" i="115"/>
  <c r="S147" i="115"/>
  <c r="E147" i="115"/>
  <c r="B147" i="115"/>
  <c r="AL146" i="115"/>
  <c r="P39" i="261" s="1"/>
  <c r="Q39" i="261" s="1"/>
  <c r="AB146" i="115"/>
  <c r="AA146" i="115"/>
  <c r="W146" i="115"/>
  <c r="T146" i="115"/>
  <c r="S146" i="115"/>
  <c r="E146" i="115"/>
  <c r="B146" i="115"/>
  <c r="AL145" i="115"/>
  <c r="P38" i="261" s="1"/>
  <c r="Q38" i="261" s="1"/>
  <c r="AB145" i="115"/>
  <c r="AA145" i="115"/>
  <c r="W145" i="115"/>
  <c r="T145" i="115"/>
  <c r="S145" i="115"/>
  <c r="E145" i="115"/>
  <c r="B145" i="115"/>
  <c r="AL144" i="115"/>
  <c r="P37" i="261" s="1"/>
  <c r="Q37" i="261" s="1"/>
  <c r="AB144" i="115"/>
  <c r="AA144" i="115"/>
  <c r="W144" i="115"/>
  <c r="T144" i="115"/>
  <c r="S144" i="115"/>
  <c r="E144" i="115"/>
  <c r="B144" i="115"/>
  <c r="AL143" i="115"/>
  <c r="P36" i="261" s="1"/>
  <c r="Q36" i="261" s="1"/>
  <c r="AB143" i="115"/>
  <c r="AA143" i="115"/>
  <c r="W143" i="115"/>
  <c r="K36" i="261" s="1"/>
  <c r="N36" i="261" s="1"/>
  <c r="T143" i="115"/>
  <c r="S143" i="115"/>
  <c r="E143" i="115"/>
  <c r="B143" i="115"/>
  <c r="AL142" i="115"/>
  <c r="P35" i="261" s="1"/>
  <c r="Q35" i="261" s="1"/>
  <c r="AB142" i="115"/>
  <c r="AA142" i="115"/>
  <c r="W142" i="115"/>
  <c r="T142" i="115"/>
  <c r="S142" i="115"/>
  <c r="E142" i="115"/>
  <c r="B142" i="115"/>
  <c r="AL141" i="115"/>
  <c r="P34" i="261" s="1"/>
  <c r="Q34" i="261" s="1"/>
  <c r="AB141" i="115"/>
  <c r="AA141" i="115"/>
  <c r="W141" i="115"/>
  <c r="T141" i="115"/>
  <c r="S141" i="115"/>
  <c r="E141" i="115"/>
  <c r="B141" i="115"/>
  <c r="AL140" i="115"/>
  <c r="P33" i="261" s="1"/>
  <c r="Q33" i="261" s="1"/>
  <c r="AB140" i="115"/>
  <c r="AA140" i="115"/>
  <c r="W140" i="115"/>
  <c r="T140" i="115"/>
  <c r="S140" i="115"/>
  <c r="E140" i="115"/>
  <c r="B140" i="115"/>
  <c r="AL139" i="115"/>
  <c r="P32" i="261" s="1"/>
  <c r="Q32" i="261" s="1"/>
  <c r="AB139" i="115"/>
  <c r="AA139" i="115"/>
  <c r="W139" i="115"/>
  <c r="T139" i="115"/>
  <c r="S139" i="115"/>
  <c r="E139" i="115"/>
  <c r="B139" i="115"/>
  <c r="AL138" i="115"/>
  <c r="P31" i="261" s="1"/>
  <c r="Q31" i="261" s="1"/>
  <c r="AB138" i="115"/>
  <c r="AA138" i="115"/>
  <c r="W138" i="115"/>
  <c r="T138" i="115"/>
  <c r="S138" i="115"/>
  <c r="E138" i="115"/>
  <c r="B138" i="115"/>
  <c r="AL137" i="115"/>
  <c r="P30" i="261" s="1"/>
  <c r="Q30" i="261" s="1"/>
  <c r="AB137" i="115"/>
  <c r="AA137" i="115"/>
  <c r="W137" i="115"/>
  <c r="T137" i="115"/>
  <c r="S137" i="115"/>
  <c r="E137" i="115"/>
  <c r="B137" i="115"/>
  <c r="AL136" i="115"/>
  <c r="P29" i="261" s="1"/>
  <c r="Q29" i="261" s="1"/>
  <c r="AB136" i="115"/>
  <c r="AA136" i="115"/>
  <c r="W136" i="115"/>
  <c r="T136" i="115"/>
  <c r="S136" i="115"/>
  <c r="E136" i="115"/>
  <c r="B136" i="115"/>
  <c r="AL135" i="115"/>
  <c r="P28" i="261" s="1"/>
  <c r="Q28" i="261" s="1"/>
  <c r="AB135" i="115"/>
  <c r="AA135" i="115"/>
  <c r="W135" i="115"/>
  <c r="T135" i="115"/>
  <c r="S135" i="115"/>
  <c r="E135" i="115"/>
  <c r="B135" i="115"/>
  <c r="AL134" i="115"/>
  <c r="P27" i="261" s="1"/>
  <c r="Q27" i="261" s="1"/>
  <c r="AB134" i="115"/>
  <c r="AA134" i="115"/>
  <c r="W134" i="115"/>
  <c r="T134" i="115"/>
  <c r="S134" i="115"/>
  <c r="E134" i="115"/>
  <c r="B134" i="115"/>
  <c r="AL133" i="115"/>
  <c r="P26" i="261" s="1"/>
  <c r="Q26" i="261" s="1"/>
  <c r="AB133" i="115"/>
  <c r="AA133" i="115"/>
  <c r="W133" i="115"/>
  <c r="T133" i="115"/>
  <c r="S133" i="115"/>
  <c r="E133" i="115"/>
  <c r="B133" i="115"/>
  <c r="AL132" i="115"/>
  <c r="P25" i="261" s="1"/>
  <c r="Q25" i="261" s="1"/>
  <c r="AB132" i="115"/>
  <c r="AA132" i="115"/>
  <c r="W132" i="115"/>
  <c r="T132" i="115"/>
  <c r="S132" i="115"/>
  <c r="E132" i="115"/>
  <c r="B132" i="115"/>
  <c r="AL131" i="115"/>
  <c r="P24" i="261" s="1"/>
  <c r="Q24" i="261" s="1"/>
  <c r="AB131" i="115"/>
  <c r="AA131" i="115"/>
  <c r="W131" i="115"/>
  <c r="K24" i="261" s="1"/>
  <c r="N24" i="261" s="1"/>
  <c r="T131" i="115"/>
  <c r="S131" i="115"/>
  <c r="E131" i="115"/>
  <c r="B131" i="115"/>
  <c r="AL130" i="115"/>
  <c r="P23" i="261" s="1"/>
  <c r="Q23" i="261" s="1"/>
  <c r="AB130" i="115"/>
  <c r="AA130" i="115"/>
  <c r="W130" i="115"/>
  <c r="T130" i="115"/>
  <c r="S130" i="115"/>
  <c r="E130" i="115"/>
  <c r="B130" i="115"/>
  <c r="AL129" i="115"/>
  <c r="P22" i="261" s="1"/>
  <c r="Q22" i="261" s="1"/>
  <c r="AB129" i="115"/>
  <c r="AA129" i="115"/>
  <c r="W129" i="115"/>
  <c r="T129" i="115"/>
  <c r="S129" i="115"/>
  <c r="E129" i="115"/>
  <c r="B129" i="115"/>
  <c r="AL128" i="115"/>
  <c r="P21" i="261" s="1"/>
  <c r="Q21" i="261" s="1"/>
  <c r="AB128" i="115"/>
  <c r="AA128" i="115"/>
  <c r="W128" i="115"/>
  <c r="T128" i="115"/>
  <c r="S128" i="115"/>
  <c r="E128" i="115"/>
  <c r="B128" i="115"/>
  <c r="AL127" i="115"/>
  <c r="P20" i="261" s="1"/>
  <c r="Q20" i="261" s="1"/>
  <c r="AB127" i="115"/>
  <c r="AA127" i="115"/>
  <c r="W127" i="115"/>
  <c r="K20" i="261" s="1"/>
  <c r="N20" i="261" s="1"/>
  <c r="T127" i="115"/>
  <c r="S127" i="115"/>
  <c r="E127" i="115"/>
  <c r="B127" i="115"/>
  <c r="AL126" i="115"/>
  <c r="P19" i="261" s="1"/>
  <c r="Q19" i="261" s="1"/>
  <c r="AB126" i="115"/>
  <c r="AA126" i="115"/>
  <c r="W126" i="115"/>
  <c r="T126" i="115"/>
  <c r="S126" i="115"/>
  <c r="E126" i="115"/>
  <c r="B126" i="115"/>
  <c r="AL125" i="115"/>
  <c r="P18" i="261" s="1"/>
  <c r="Q18" i="261" s="1"/>
  <c r="AB125" i="115"/>
  <c r="AA125" i="115"/>
  <c r="W125" i="115"/>
  <c r="T125" i="115"/>
  <c r="S125" i="115"/>
  <c r="E125" i="115"/>
  <c r="B125" i="115"/>
  <c r="AL124" i="115"/>
  <c r="P17" i="261" s="1"/>
  <c r="Q17" i="261" s="1"/>
  <c r="AB124" i="115"/>
  <c r="AA124" i="115"/>
  <c r="W124" i="115"/>
  <c r="T124" i="115"/>
  <c r="S124" i="115"/>
  <c r="E124" i="115"/>
  <c r="B124" i="115"/>
  <c r="AL123" i="115"/>
  <c r="P16" i="261" s="1"/>
  <c r="Q16" i="261" s="1"/>
  <c r="AB123" i="115"/>
  <c r="AA123" i="115"/>
  <c r="W123" i="115"/>
  <c r="K16" i="261" s="1"/>
  <c r="N16" i="261" s="1"/>
  <c r="T123" i="115"/>
  <c r="S123" i="115"/>
  <c r="E123" i="115"/>
  <c r="B123" i="115"/>
  <c r="AL122" i="115"/>
  <c r="AB122" i="115"/>
  <c r="AA122" i="115"/>
  <c r="W122" i="115"/>
  <c r="T122" i="115"/>
  <c r="T121" i="115" s="1"/>
  <c r="S122" i="115"/>
  <c r="E122" i="115"/>
  <c r="B122" i="115"/>
  <c r="AK121" i="115"/>
  <c r="AJ121" i="115"/>
  <c r="AI121" i="115"/>
  <c r="AE121" i="115"/>
  <c r="AC121" i="115"/>
  <c r="AB121" i="115"/>
  <c r="AA121" i="115"/>
  <c r="W121" i="115"/>
  <c r="V121" i="115"/>
  <c r="U121" i="115"/>
  <c r="S121" i="115"/>
  <c r="R121" i="115"/>
  <c r="Q121" i="115"/>
  <c r="P121" i="115"/>
  <c r="O121" i="115"/>
  <c r="N121" i="115"/>
  <c r="M121" i="115"/>
  <c r="L121" i="115"/>
  <c r="K121" i="115"/>
  <c r="J121" i="115"/>
  <c r="I121" i="115"/>
  <c r="H121" i="115"/>
  <c r="G121" i="115"/>
  <c r="F121" i="115"/>
  <c r="E121" i="115"/>
  <c r="AL120" i="115"/>
  <c r="Z120" i="115"/>
  <c r="Y120" i="115"/>
  <c r="S120" i="115"/>
  <c r="AL119" i="115"/>
  <c r="V119" i="115"/>
  <c r="U119" i="115"/>
  <c r="T119" i="115"/>
  <c r="W119" i="115" s="1"/>
  <c r="Z119" i="115" s="1"/>
  <c r="S119" i="115"/>
  <c r="B119" i="115"/>
  <c r="AL118" i="115"/>
  <c r="V118" i="115"/>
  <c r="U118" i="115"/>
  <c r="T118" i="115"/>
  <c r="W118" i="115" s="1"/>
  <c r="Z118" i="115" s="1"/>
  <c r="S118" i="115"/>
  <c r="B118" i="115"/>
  <c r="AL117" i="115"/>
  <c r="V117" i="115"/>
  <c r="U117" i="115"/>
  <c r="T117" i="115"/>
  <c r="W117" i="115" s="1"/>
  <c r="Z117" i="115" s="1"/>
  <c r="S117" i="115"/>
  <c r="B117" i="115"/>
  <c r="AL116" i="115"/>
  <c r="V116" i="115"/>
  <c r="U116" i="115"/>
  <c r="T116" i="115"/>
  <c r="W116" i="115" s="1"/>
  <c r="Z116" i="115" s="1"/>
  <c r="S116" i="115"/>
  <c r="B116" i="115"/>
  <c r="AL115" i="115"/>
  <c r="V115" i="115"/>
  <c r="U115" i="115"/>
  <c r="T115" i="115"/>
  <c r="W115" i="115" s="1"/>
  <c r="Z115" i="115" s="1"/>
  <c r="S115" i="115"/>
  <c r="B115" i="115"/>
  <c r="AL114" i="115"/>
  <c r="AE114" i="115"/>
  <c r="AB114" i="115"/>
  <c r="AA114" i="115"/>
  <c r="V114" i="115"/>
  <c r="U114" i="115"/>
  <c r="T114" i="115"/>
  <c r="W114" i="115" s="1"/>
  <c r="Z114" i="115" s="1"/>
  <c r="S114" i="115"/>
  <c r="E114" i="115"/>
  <c r="B114" i="115"/>
  <c r="AL113" i="115"/>
  <c r="AE113" i="115"/>
  <c r="AB113" i="115"/>
  <c r="AA113" i="115"/>
  <c r="V113" i="115"/>
  <c r="U113" i="115"/>
  <c r="T113" i="115"/>
  <c r="W113" i="115" s="1"/>
  <c r="Z113" i="115" s="1"/>
  <c r="S113" i="115"/>
  <c r="E113" i="115"/>
  <c r="B113" i="115"/>
  <c r="AL112" i="115"/>
  <c r="AB112" i="115"/>
  <c r="AA112" i="115"/>
  <c r="V112" i="115"/>
  <c r="U112" i="115"/>
  <c r="T112" i="115"/>
  <c r="W112" i="115" s="1"/>
  <c r="Z112" i="115" s="1"/>
  <c r="S112" i="115"/>
  <c r="E112" i="115"/>
  <c r="B112" i="115"/>
  <c r="AL111" i="115"/>
  <c r="AB111" i="115"/>
  <c r="AA111" i="115"/>
  <c r="V111" i="115"/>
  <c r="U111" i="115"/>
  <c r="T111" i="115"/>
  <c r="W111" i="115" s="1"/>
  <c r="Z111" i="115" s="1"/>
  <c r="S111" i="115"/>
  <c r="E111" i="115"/>
  <c r="B111" i="115"/>
  <c r="AL110" i="115"/>
  <c r="AB110" i="115"/>
  <c r="AA110" i="115"/>
  <c r="V110" i="115"/>
  <c r="U110" i="115"/>
  <c r="T110" i="115"/>
  <c r="W110" i="115" s="1"/>
  <c r="Z110" i="115" s="1"/>
  <c r="S110" i="115"/>
  <c r="E110" i="115"/>
  <c r="B110" i="115"/>
  <c r="AL109" i="115"/>
  <c r="AB109" i="115"/>
  <c r="AA109" i="115"/>
  <c r="V109" i="115"/>
  <c r="U109" i="115"/>
  <c r="T109" i="115"/>
  <c r="W109" i="115" s="1"/>
  <c r="Z109" i="115" s="1"/>
  <c r="S109" i="115"/>
  <c r="E109" i="115"/>
  <c r="B109" i="115"/>
  <c r="AL108" i="115"/>
  <c r="AB108" i="115"/>
  <c r="AA108" i="115"/>
  <c r="V108" i="115"/>
  <c r="U108" i="115"/>
  <c r="T108" i="115"/>
  <c r="W108" i="115" s="1"/>
  <c r="Z108" i="115" s="1"/>
  <c r="S108" i="115"/>
  <c r="E108" i="115"/>
  <c r="B108" i="115"/>
  <c r="AL107" i="115"/>
  <c r="AB107" i="115"/>
  <c r="AA107" i="115"/>
  <c r="V107" i="115"/>
  <c r="U107" i="115"/>
  <c r="T107" i="115"/>
  <c r="W107" i="115" s="1"/>
  <c r="Z107" i="115" s="1"/>
  <c r="S107" i="115"/>
  <c r="E107" i="115"/>
  <c r="B107" i="115"/>
  <c r="AL106" i="115"/>
  <c r="AB106" i="115"/>
  <c r="AA106" i="115"/>
  <c r="V106" i="115"/>
  <c r="U106" i="115"/>
  <c r="T106" i="115"/>
  <c r="W106" i="115" s="1"/>
  <c r="Z106" i="115" s="1"/>
  <c r="S106" i="115"/>
  <c r="E106" i="115"/>
  <c r="B106" i="115"/>
  <c r="AL105" i="115"/>
  <c r="AB105" i="115"/>
  <c r="AA105" i="115"/>
  <c r="V105" i="115"/>
  <c r="U105" i="115"/>
  <c r="T105" i="115"/>
  <c r="W105" i="115" s="1"/>
  <c r="Z105" i="115" s="1"/>
  <c r="S105" i="115"/>
  <c r="E105" i="115"/>
  <c r="B105" i="115"/>
  <c r="AL104" i="115"/>
  <c r="AB104" i="115"/>
  <c r="AA104" i="115"/>
  <c r="V104" i="115"/>
  <c r="U104" i="115"/>
  <c r="T104" i="115"/>
  <c r="W104" i="115" s="1"/>
  <c r="Z104" i="115" s="1"/>
  <c r="S104" i="115"/>
  <c r="E104" i="115"/>
  <c r="B104" i="115"/>
  <c r="AL103" i="115"/>
  <c r="AB103" i="115"/>
  <c r="AA103" i="115"/>
  <c r="V103" i="115"/>
  <c r="U103" i="115"/>
  <c r="T103" i="115"/>
  <c r="W103" i="115" s="1"/>
  <c r="Z103" i="115" s="1"/>
  <c r="S103" i="115"/>
  <c r="E103" i="115"/>
  <c r="B103" i="115"/>
  <c r="AL102" i="115"/>
  <c r="AB102" i="115"/>
  <c r="AA102" i="115"/>
  <c r="V102" i="115"/>
  <c r="U102" i="115"/>
  <c r="T102" i="115"/>
  <c r="W102" i="115" s="1"/>
  <c r="Z102" i="115" s="1"/>
  <c r="S102" i="115"/>
  <c r="E102" i="115"/>
  <c r="B102" i="115"/>
  <c r="AL101" i="115"/>
  <c r="AB101" i="115"/>
  <c r="AA101" i="115"/>
  <c r="V101" i="115"/>
  <c r="U101" i="115"/>
  <c r="T101" i="115"/>
  <c r="W101" i="115" s="1"/>
  <c r="Z101" i="115" s="1"/>
  <c r="S101" i="115"/>
  <c r="E101" i="115"/>
  <c r="B101" i="115"/>
  <c r="AL100" i="115"/>
  <c r="AB100" i="115"/>
  <c r="AA100" i="115"/>
  <c r="V100" i="115"/>
  <c r="U100" i="115"/>
  <c r="T100" i="115"/>
  <c r="W100" i="115" s="1"/>
  <c r="Z100" i="115" s="1"/>
  <c r="S100" i="115"/>
  <c r="E100" i="115"/>
  <c r="B100" i="115"/>
  <c r="AL99" i="115"/>
  <c r="AB99" i="115"/>
  <c r="AA99" i="115"/>
  <c r="V99" i="115"/>
  <c r="U99" i="115"/>
  <c r="T99" i="115"/>
  <c r="W99" i="115" s="1"/>
  <c r="Z99" i="115" s="1"/>
  <c r="S99" i="115"/>
  <c r="E99" i="115"/>
  <c r="B99" i="115"/>
  <c r="AL98" i="115"/>
  <c r="AB98" i="115"/>
  <c r="AA98" i="115"/>
  <c r="V98" i="115"/>
  <c r="U98" i="115"/>
  <c r="T98" i="115"/>
  <c r="W98" i="115" s="1"/>
  <c r="Z98" i="115" s="1"/>
  <c r="S98" i="115"/>
  <c r="E98" i="115"/>
  <c r="B98" i="115"/>
  <c r="AL97" i="115"/>
  <c r="AB97" i="115"/>
  <c r="AA97" i="115"/>
  <c r="V97" i="115"/>
  <c r="U97" i="115"/>
  <c r="T97" i="115"/>
  <c r="W97" i="115" s="1"/>
  <c r="Z97" i="115" s="1"/>
  <c r="S97" i="115"/>
  <c r="E97" i="115"/>
  <c r="B97" i="115"/>
  <c r="AL96" i="115"/>
  <c r="AB96" i="115"/>
  <c r="AA96" i="115"/>
  <c r="V96" i="115"/>
  <c r="U96" i="115"/>
  <c r="T96" i="115"/>
  <c r="W96" i="115" s="1"/>
  <c r="Z96" i="115" s="1"/>
  <c r="S96" i="115"/>
  <c r="E96" i="115"/>
  <c r="B96" i="115"/>
  <c r="AL95" i="115"/>
  <c r="AB95" i="115"/>
  <c r="AA95" i="115"/>
  <c r="V95" i="115"/>
  <c r="U95" i="115"/>
  <c r="T95" i="115"/>
  <c r="W95" i="115" s="1"/>
  <c r="Z95" i="115" s="1"/>
  <c r="S95" i="115"/>
  <c r="E95" i="115"/>
  <c r="B95" i="115"/>
  <c r="AL94" i="115"/>
  <c r="AB94" i="115"/>
  <c r="AA94" i="115"/>
  <c r="V94" i="115"/>
  <c r="U94" i="115"/>
  <c r="T94" i="115"/>
  <c r="W94" i="115" s="1"/>
  <c r="Z94" i="115" s="1"/>
  <c r="S94" i="115"/>
  <c r="E94" i="115"/>
  <c r="B94" i="115"/>
  <c r="AL93" i="115"/>
  <c r="AB93" i="115"/>
  <c r="AA93" i="115"/>
  <c r="V93" i="115"/>
  <c r="U93" i="115"/>
  <c r="T93" i="115"/>
  <c r="W93" i="115" s="1"/>
  <c r="Z93" i="115" s="1"/>
  <c r="S93" i="115"/>
  <c r="E93" i="115"/>
  <c r="B93" i="115"/>
  <c r="AL92" i="115"/>
  <c r="AB92" i="115"/>
  <c r="AA92" i="115"/>
  <c r="V92" i="115"/>
  <c r="U92" i="115"/>
  <c r="T92" i="115"/>
  <c r="W92" i="115" s="1"/>
  <c r="Z92" i="115" s="1"/>
  <c r="S92" i="115"/>
  <c r="E92" i="115"/>
  <c r="B92" i="115"/>
  <c r="AL91" i="115"/>
  <c r="AB91" i="115"/>
  <c r="AA91" i="115"/>
  <c r="V91" i="115"/>
  <c r="U91" i="115"/>
  <c r="T91" i="115"/>
  <c r="W91" i="115" s="1"/>
  <c r="Z91" i="115" s="1"/>
  <c r="S91" i="115"/>
  <c r="E91" i="115"/>
  <c r="B91" i="115"/>
  <c r="AL90" i="115"/>
  <c r="AB90" i="115"/>
  <c r="AA90" i="115"/>
  <c r="V90" i="115"/>
  <c r="U90" i="115"/>
  <c r="T90" i="115"/>
  <c r="W90" i="115" s="1"/>
  <c r="Z90" i="115" s="1"/>
  <c r="S90" i="115"/>
  <c r="E90" i="115"/>
  <c r="B90" i="115"/>
  <c r="AL89" i="115"/>
  <c r="AB89" i="115"/>
  <c r="AA89" i="115"/>
  <c r="V89" i="115"/>
  <c r="U89" i="115"/>
  <c r="T89" i="115"/>
  <c r="W89" i="115" s="1"/>
  <c r="Z89" i="115" s="1"/>
  <c r="S89" i="115"/>
  <c r="E89" i="115"/>
  <c r="B89" i="115"/>
  <c r="AL88" i="115"/>
  <c r="AB88" i="115"/>
  <c r="AA88" i="115"/>
  <c r="V88" i="115"/>
  <c r="U88" i="115"/>
  <c r="T88" i="115"/>
  <c r="W88" i="115" s="1"/>
  <c r="Z88" i="115" s="1"/>
  <c r="S88" i="115"/>
  <c r="E88" i="115"/>
  <c r="B88" i="115"/>
  <c r="AL87" i="115"/>
  <c r="AB87" i="115"/>
  <c r="AA87" i="115"/>
  <c r="V87" i="115"/>
  <c r="U87" i="115"/>
  <c r="T87" i="115"/>
  <c r="W87" i="115" s="1"/>
  <c r="Z87" i="115" s="1"/>
  <c r="S87" i="115"/>
  <c r="E87" i="115"/>
  <c r="B87" i="115"/>
  <c r="AL86" i="115"/>
  <c r="AB86" i="115"/>
  <c r="AA86" i="115"/>
  <c r="V86" i="115"/>
  <c r="U86" i="115"/>
  <c r="T86" i="115"/>
  <c r="W86" i="115" s="1"/>
  <c r="Z86" i="115" s="1"/>
  <c r="S86" i="115"/>
  <c r="E86" i="115"/>
  <c r="B86" i="115"/>
  <c r="AL85" i="115"/>
  <c r="AB85" i="115"/>
  <c r="AA85" i="115"/>
  <c r="V85" i="115"/>
  <c r="U85" i="115"/>
  <c r="T85" i="115"/>
  <c r="W85" i="115" s="1"/>
  <c r="Z85" i="115" s="1"/>
  <c r="S85" i="115"/>
  <c r="E85" i="115"/>
  <c r="B85" i="115"/>
  <c r="AL84" i="115"/>
  <c r="AB84" i="115"/>
  <c r="AA84" i="115"/>
  <c r="V84" i="115"/>
  <c r="U84" i="115"/>
  <c r="T84" i="115"/>
  <c r="W84" i="115" s="1"/>
  <c r="Z84" i="115" s="1"/>
  <c r="S84" i="115"/>
  <c r="E84" i="115"/>
  <c r="B84" i="115"/>
  <c r="AL83" i="115"/>
  <c r="AB83" i="115"/>
  <c r="AA83" i="115"/>
  <c r="V83" i="115"/>
  <c r="U83" i="115"/>
  <c r="T83" i="115"/>
  <c r="W83" i="115" s="1"/>
  <c r="Z83" i="115" s="1"/>
  <c r="S83" i="115"/>
  <c r="E83" i="115"/>
  <c r="B83" i="115"/>
  <c r="AL82" i="115"/>
  <c r="AB82" i="115"/>
  <c r="AA82" i="115"/>
  <c r="V82" i="115"/>
  <c r="U82" i="115"/>
  <c r="T82" i="115"/>
  <c r="W82" i="115" s="1"/>
  <c r="Z82" i="115" s="1"/>
  <c r="S82" i="115"/>
  <c r="E82" i="115"/>
  <c r="B82" i="115"/>
  <c r="AL81" i="115"/>
  <c r="AB81" i="115"/>
  <c r="AA81" i="115"/>
  <c r="V81" i="115"/>
  <c r="U81" i="115"/>
  <c r="T81" i="115"/>
  <c r="W81" i="115" s="1"/>
  <c r="Z81" i="115" s="1"/>
  <c r="S81" i="115"/>
  <c r="E81" i="115"/>
  <c r="B81" i="115"/>
  <c r="AL80" i="115"/>
  <c r="AB80" i="115"/>
  <c r="AA80" i="115"/>
  <c r="V80" i="115"/>
  <c r="U80" i="115"/>
  <c r="T80" i="115"/>
  <c r="W80" i="115" s="1"/>
  <c r="Z80" i="115" s="1"/>
  <c r="S80" i="115"/>
  <c r="E80" i="115"/>
  <c r="B80" i="115"/>
  <c r="AL79" i="115"/>
  <c r="AB79" i="115"/>
  <c r="AA79" i="115"/>
  <c r="V79" i="115"/>
  <c r="U79" i="115"/>
  <c r="T79" i="115"/>
  <c r="W79" i="115" s="1"/>
  <c r="Z79" i="115" s="1"/>
  <c r="S79" i="115"/>
  <c r="E79" i="115"/>
  <c r="B79" i="115"/>
  <c r="AL78" i="115"/>
  <c r="AB78" i="115"/>
  <c r="AA78" i="115"/>
  <c r="V78" i="115"/>
  <c r="U78" i="115"/>
  <c r="T78" i="115"/>
  <c r="W78" i="115" s="1"/>
  <c r="Z78" i="115" s="1"/>
  <c r="S78" i="115"/>
  <c r="E78" i="115"/>
  <c r="B78" i="115"/>
  <c r="AL77" i="115"/>
  <c r="AB77" i="115"/>
  <c r="AA77" i="115"/>
  <c r="V77" i="115"/>
  <c r="U77" i="115"/>
  <c r="T77" i="115"/>
  <c r="W77" i="115" s="1"/>
  <c r="Z77" i="115" s="1"/>
  <c r="S77" i="115"/>
  <c r="E77" i="115"/>
  <c r="B77" i="115"/>
  <c r="AL76" i="115"/>
  <c r="AB76" i="115"/>
  <c r="AA76" i="115"/>
  <c r="V76" i="115"/>
  <c r="U76" i="115"/>
  <c r="T76" i="115"/>
  <c r="W76" i="115" s="1"/>
  <c r="Z76" i="115" s="1"/>
  <c r="S76" i="115"/>
  <c r="E76" i="115"/>
  <c r="B76" i="115"/>
  <c r="AL75" i="115"/>
  <c r="AB75" i="115"/>
  <c r="AA75" i="115"/>
  <c r="V75" i="115"/>
  <c r="U75" i="115"/>
  <c r="T75" i="115"/>
  <c r="W75" i="115" s="1"/>
  <c r="Z75" i="115" s="1"/>
  <c r="S75" i="115"/>
  <c r="E75" i="115"/>
  <c r="B75" i="115"/>
  <c r="AL74" i="115"/>
  <c r="AB74" i="115"/>
  <c r="AA74" i="115"/>
  <c r="V74" i="115"/>
  <c r="U74" i="115"/>
  <c r="T74" i="115"/>
  <c r="W74" i="115" s="1"/>
  <c r="Z74" i="115" s="1"/>
  <c r="S74" i="115"/>
  <c r="E74" i="115"/>
  <c r="B74" i="115"/>
  <c r="AL73" i="115"/>
  <c r="AB73" i="115"/>
  <c r="AA73" i="115"/>
  <c r="V73" i="115"/>
  <c r="U73" i="115"/>
  <c r="T73" i="115"/>
  <c r="W73" i="115" s="1"/>
  <c r="Z73" i="115" s="1"/>
  <c r="S73" i="115"/>
  <c r="E73" i="115"/>
  <c r="B73" i="115"/>
  <c r="AL72" i="115"/>
  <c r="AB72" i="115"/>
  <c r="AA72" i="115"/>
  <c r="V72" i="115"/>
  <c r="U72" i="115"/>
  <c r="T72" i="115"/>
  <c r="W72" i="115" s="1"/>
  <c r="Z72" i="115" s="1"/>
  <c r="S72" i="115"/>
  <c r="E72" i="115"/>
  <c r="B72" i="115"/>
  <c r="AL71" i="115"/>
  <c r="AB71" i="115"/>
  <c r="AA71" i="115"/>
  <c r="V71" i="115"/>
  <c r="U71" i="115"/>
  <c r="T71" i="115"/>
  <c r="W71" i="115" s="1"/>
  <c r="Z71" i="115" s="1"/>
  <c r="S71" i="115"/>
  <c r="E71" i="115"/>
  <c r="B71" i="115"/>
  <c r="AL70" i="115"/>
  <c r="AB70" i="115"/>
  <c r="AA70" i="115"/>
  <c r="V70" i="115"/>
  <c r="U70" i="115"/>
  <c r="T70" i="115"/>
  <c r="W70" i="115" s="1"/>
  <c r="Z70" i="115" s="1"/>
  <c r="S70" i="115"/>
  <c r="E70" i="115"/>
  <c r="B70" i="115"/>
  <c r="AL69" i="115"/>
  <c r="AB69" i="115"/>
  <c r="AA69" i="115"/>
  <c r="V69" i="115"/>
  <c r="U69" i="115"/>
  <c r="T69" i="115"/>
  <c r="W69" i="115" s="1"/>
  <c r="Z69" i="115" s="1"/>
  <c r="S69" i="115"/>
  <c r="E69" i="115"/>
  <c r="B69" i="115"/>
  <c r="AL68" i="115"/>
  <c r="AB68" i="115"/>
  <c r="AA68" i="115"/>
  <c r="V68" i="115"/>
  <c r="U68" i="115"/>
  <c r="T68" i="115"/>
  <c r="W68" i="115" s="1"/>
  <c r="Z68" i="115" s="1"/>
  <c r="S68" i="115"/>
  <c r="E68" i="115"/>
  <c r="B68" i="115"/>
  <c r="AL67" i="115"/>
  <c r="AB67" i="115"/>
  <c r="AA67" i="115"/>
  <c r="V67" i="115"/>
  <c r="U67" i="115"/>
  <c r="T67" i="115"/>
  <c r="W67" i="115" s="1"/>
  <c r="Z67" i="115" s="1"/>
  <c r="S67" i="115"/>
  <c r="E67" i="115"/>
  <c r="B67" i="115"/>
  <c r="AL66" i="115"/>
  <c r="AB66" i="115"/>
  <c r="AA66" i="115"/>
  <c r="V66" i="115"/>
  <c r="U66" i="115"/>
  <c r="T66" i="115"/>
  <c r="W66" i="115" s="1"/>
  <c r="Z66" i="115" s="1"/>
  <c r="S66" i="115"/>
  <c r="E66" i="115"/>
  <c r="B66" i="115"/>
  <c r="AL65" i="115"/>
  <c r="AB65" i="115"/>
  <c r="AA65" i="115"/>
  <c r="V65" i="115"/>
  <c r="U65" i="115"/>
  <c r="T65" i="115"/>
  <c r="W65" i="115" s="1"/>
  <c r="Z65" i="115" s="1"/>
  <c r="S65" i="115"/>
  <c r="E65" i="115"/>
  <c r="B65" i="115"/>
  <c r="AL64" i="115"/>
  <c r="AB64" i="115"/>
  <c r="AA64" i="115"/>
  <c r="V64" i="115"/>
  <c r="U64" i="115"/>
  <c r="T64" i="115"/>
  <c r="W64" i="115" s="1"/>
  <c r="Z64" i="115" s="1"/>
  <c r="S64" i="115"/>
  <c r="E64" i="115"/>
  <c r="B64" i="115"/>
  <c r="AL63" i="115"/>
  <c r="AB63" i="115"/>
  <c r="AA63" i="115"/>
  <c r="V63" i="115"/>
  <c r="U63" i="115"/>
  <c r="T63" i="115"/>
  <c r="W63" i="115" s="1"/>
  <c r="Z63" i="115" s="1"/>
  <c r="S63" i="115"/>
  <c r="E63" i="115"/>
  <c r="B63" i="115"/>
  <c r="AL62" i="115"/>
  <c r="AB62" i="115"/>
  <c r="AA62" i="115"/>
  <c r="V62" i="115"/>
  <c r="U62" i="115"/>
  <c r="T62" i="115"/>
  <c r="W62" i="115" s="1"/>
  <c r="Z62" i="115" s="1"/>
  <c r="S62" i="115"/>
  <c r="E62" i="115"/>
  <c r="B62" i="115"/>
  <c r="AL61" i="115"/>
  <c r="AB61" i="115"/>
  <c r="AA61" i="115"/>
  <c r="V61" i="115"/>
  <c r="U61" i="115"/>
  <c r="T61" i="115"/>
  <c r="W61" i="115" s="1"/>
  <c r="Z61" i="115" s="1"/>
  <c r="S61" i="115"/>
  <c r="E61" i="115"/>
  <c r="B61" i="115"/>
  <c r="AL60" i="115"/>
  <c r="AB60" i="115"/>
  <c r="AA60" i="115"/>
  <c r="V60" i="115"/>
  <c r="U60" i="115"/>
  <c r="T60" i="115"/>
  <c r="W60" i="115" s="1"/>
  <c r="Z60" i="115" s="1"/>
  <c r="S60" i="115"/>
  <c r="E60" i="115"/>
  <c r="B60" i="115"/>
  <c r="AL59" i="115"/>
  <c r="AB59" i="115"/>
  <c r="AA59" i="115"/>
  <c r="V59" i="115"/>
  <c r="U59" i="115"/>
  <c r="T59" i="115"/>
  <c r="W59" i="115" s="1"/>
  <c r="Z59" i="115" s="1"/>
  <c r="S59" i="115"/>
  <c r="E59" i="115"/>
  <c r="B59" i="115"/>
  <c r="AL58" i="115"/>
  <c r="AL57" i="115" s="1"/>
  <c r="AB58" i="115"/>
  <c r="AB57" i="115" s="1"/>
  <c r="AA58" i="115"/>
  <c r="V58" i="115"/>
  <c r="V57" i="115" s="1"/>
  <c r="U58" i="115"/>
  <c r="U57" i="115" s="1"/>
  <c r="U10" i="115" s="1"/>
  <c r="U461" i="115" s="1"/>
  <c r="U469" i="115" s="1"/>
  <c r="T58" i="115"/>
  <c r="W58" i="115" s="1"/>
  <c r="S58" i="115"/>
  <c r="E58" i="115"/>
  <c r="B58" i="115"/>
  <c r="AK57" i="115"/>
  <c r="AJ57" i="115"/>
  <c r="AI57" i="115"/>
  <c r="AE57" i="115"/>
  <c r="AC57" i="115"/>
  <c r="AA57" i="115"/>
  <c r="S57" i="115"/>
  <c r="R57" i="115"/>
  <c r="Q57" i="115"/>
  <c r="P57" i="115"/>
  <c r="O57" i="115"/>
  <c r="N57" i="115"/>
  <c r="M57" i="115"/>
  <c r="L57" i="115"/>
  <c r="K57" i="115"/>
  <c r="J57" i="115"/>
  <c r="I57" i="115"/>
  <c r="H57" i="115"/>
  <c r="G57" i="115"/>
  <c r="F57" i="115"/>
  <c r="E57" i="115"/>
  <c r="Z56" i="115"/>
  <c r="S56" i="115"/>
  <c r="AL55" i="115"/>
  <c r="AB55" i="115"/>
  <c r="AA55" i="115"/>
  <c r="AC55" i="115" s="1"/>
  <c r="V55" i="115"/>
  <c r="W55" i="115" s="1"/>
  <c r="Z55" i="115" s="1"/>
  <c r="S55" i="115"/>
  <c r="E55" i="115"/>
  <c r="B55" i="115"/>
  <c r="AL54" i="115"/>
  <c r="AB54" i="115"/>
  <c r="AA54" i="115"/>
  <c r="V54" i="115"/>
  <c r="W54" i="115" s="1"/>
  <c r="Z54" i="115" s="1"/>
  <c r="S54" i="115"/>
  <c r="E54" i="115"/>
  <c r="B54" i="115"/>
  <c r="AL53" i="115"/>
  <c r="AB53" i="115"/>
  <c r="AA53" i="115"/>
  <c r="V53" i="115"/>
  <c r="W53" i="115" s="1"/>
  <c r="Z53" i="115" s="1"/>
  <c r="S53" i="115"/>
  <c r="E53" i="115"/>
  <c r="B53" i="115"/>
  <c r="AL52" i="115"/>
  <c r="AB52" i="115"/>
  <c r="AA52" i="115"/>
  <c r="V52" i="115"/>
  <c r="W52" i="115" s="1"/>
  <c r="Z52" i="115" s="1"/>
  <c r="S52" i="115"/>
  <c r="E52" i="115"/>
  <c r="B52" i="115"/>
  <c r="AL51" i="115"/>
  <c r="AB51" i="115"/>
  <c r="AA51" i="115"/>
  <c r="AC51" i="115" s="1"/>
  <c r="V51" i="115"/>
  <c r="W51" i="115" s="1"/>
  <c r="Z51" i="115" s="1"/>
  <c r="S51" i="115"/>
  <c r="E51" i="115"/>
  <c r="B51" i="115"/>
  <c r="AL50" i="115"/>
  <c r="AB50" i="115"/>
  <c r="AA50" i="115"/>
  <c r="V50" i="115"/>
  <c r="W50" i="115" s="1"/>
  <c r="Z50" i="115" s="1"/>
  <c r="S50" i="115"/>
  <c r="E50" i="115"/>
  <c r="B50" i="115"/>
  <c r="AL49" i="115"/>
  <c r="AB49" i="115"/>
  <c r="AA49" i="115"/>
  <c r="V49" i="115"/>
  <c r="W49" i="115" s="1"/>
  <c r="Z49" i="115" s="1"/>
  <c r="S49" i="115"/>
  <c r="E49" i="115"/>
  <c r="B49" i="115"/>
  <c r="AL48" i="115"/>
  <c r="AB48" i="115"/>
  <c r="AA48" i="115"/>
  <c r="V48" i="115"/>
  <c r="W48" i="115" s="1"/>
  <c r="Z48" i="115" s="1"/>
  <c r="S48" i="115"/>
  <c r="E48" i="115"/>
  <c r="B48" i="115"/>
  <c r="AL47" i="115"/>
  <c r="AB47" i="115"/>
  <c r="AA47" i="115"/>
  <c r="V47" i="115"/>
  <c r="W47" i="115" s="1"/>
  <c r="Z47" i="115" s="1"/>
  <c r="S47" i="115"/>
  <c r="E47" i="115"/>
  <c r="B47" i="115"/>
  <c r="AL46" i="115"/>
  <c r="AB46" i="115"/>
  <c r="AA46" i="115"/>
  <c r="V46" i="115"/>
  <c r="W46" i="115" s="1"/>
  <c r="Z46" i="115" s="1"/>
  <c r="S46" i="115"/>
  <c r="E46" i="115"/>
  <c r="B46" i="115"/>
  <c r="AL45" i="115"/>
  <c r="AB45" i="115"/>
  <c r="AA45" i="115"/>
  <c r="V45" i="115"/>
  <c r="W45" i="115" s="1"/>
  <c r="Z45" i="115" s="1"/>
  <c r="S45" i="115"/>
  <c r="E45" i="115"/>
  <c r="B45" i="115"/>
  <c r="AL44" i="115"/>
  <c r="AB44" i="115"/>
  <c r="AA44" i="115"/>
  <c r="AC44" i="115" s="1"/>
  <c r="V44" i="115"/>
  <c r="W44" i="115" s="1"/>
  <c r="Z44" i="115" s="1"/>
  <c r="S44" i="115"/>
  <c r="E44" i="115"/>
  <c r="B44" i="115"/>
  <c r="AL43" i="115"/>
  <c r="AB43" i="115"/>
  <c r="AA43" i="115"/>
  <c r="V43" i="115"/>
  <c r="W43" i="115" s="1"/>
  <c r="Z43" i="115" s="1"/>
  <c r="S43" i="115"/>
  <c r="E43" i="115"/>
  <c r="B43" i="115"/>
  <c r="AL42" i="115"/>
  <c r="AB42" i="115"/>
  <c r="AA42" i="115"/>
  <c r="V42" i="115"/>
  <c r="W42" i="115" s="1"/>
  <c r="Z42" i="115" s="1"/>
  <c r="S42" i="115"/>
  <c r="E42" i="115"/>
  <c r="B42" i="115"/>
  <c r="AL41" i="115"/>
  <c r="AB41" i="115"/>
  <c r="AA41" i="115"/>
  <c r="V41" i="115"/>
  <c r="W41" i="115" s="1"/>
  <c r="Z41" i="115" s="1"/>
  <c r="S41" i="115"/>
  <c r="E41" i="115"/>
  <c r="B41" i="115"/>
  <c r="AL40" i="115"/>
  <c r="AB40" i="115"/>
  <c r="AA40" i="115"/>
  <c r="V40" i="115"/>
  <c r="W40" i="115" s="1"/>
  <c r="Z40" i="115" s="1"/>
  <c r="S40" i="115"/>
  <c r="E40" i="115"/>
  <c r="B40" i="115"/>
  <c r="AL39" i="115"/>
  <c r="AB39" i="115"/>
  <c r="AA39" i="115"/>
  <c r="V39" i="115"/>
  <c r="W39" i="115" s="1"/>
  <c r="Z39" i="115" s="1"/>
  <c r="S39" i="115"/>
  <c r="E39" i="115"/>
  <c r="B39" i="115"/>
  <c r="AL38" i="115"/>
  <c r="AB38" i="115"/>
  <c r="AA38" i="115"/>
  <c r="V38" i="115"/>
  <c r="W38" i="115" s="1"/>
  <c r="Z38" i="115" s="1"/>
  <c r="S38" i="115"/>
  <c r="E38" i="115"/>
  <c r="B38" i="115"/>
  <c r="AL37" i="115"/>
  <c r="AB37" i="115"/>
  <c r="AA37" i="115"/>
  <c r="V37" i="115"/>
  <c r="W37" i="115" s="1"/>
  <c r="Z37" i="115" s="1"/>
  <c r="S37" i="115"/>
  <c r="E37" i="115"/>
  <c r="B37" i="115"/>
  <c r="AL36" i="115"/>
  <c r="AB36" i="115"/>
  <c r="AA36" i="115"/>
  <c r="V36" i="115"/>
  <c r="W36" i="115" s="1"/>
  <c r="Z36" i="115" s="1"/>
  <c r="S36" i="115"/>
  <c r="E36" i="115"/>
  <c r="B36" i="115"/>
  <c r="AL35" i="115"/>
  <c r="AB35" i="115"/>
  <c r="AA35" i="115"/>
  <c r="AC35" i="115" s="1"/>
  <c r="V35" i="115"/>
  <c r="W35" i="115" s="1"/>
  <c r="Z35" i="115" s="1"/>
  <c r="S35" i="115"/>
  <c r="E35" i="115"/>
  <c r="AL34" i="115"/>
  <c r="AB34" i="115"/>
  <c r="AA34" i="115"/>
  <c r="V34" i="115"/>
  <c r="W34" i="115" s="1"/>
  <c r="Z34" i="115" s="1"/>
  <c r="S34" i="115"/>
  <c r="E34" i="115"/>
  <c r="B34" i="115"/>
  <c r="AL33" i="115"/>
  <c r="AB33" i="115"/>
  <c r="AA33" i="115"/>
  <c r="V33" i="115"/>
  <c r="W33" i="115" s="1"/>
  <c r="Z33" i="115" s="1"/>
  <c r="S33" i="115"/>
  <c r="E33" i="115"/>
  <c r="B33" i="115"/>
  <c r="AL32" i="115"/>
  <c r="AB32" i="115"/>
  <c r="AA32" i="115"/>
  <c r="V32" i="115"/>
  <c r="W32" i="115" s="1"/>
  <c r="Z32" i="115" s="1"/>
  <c r="S32" i="115"/>
  <c r="E32" i="115"/>
  <c r="B32" i="115"/>
  <c r="AL31" i="115"/>
  <c r="AB31" i="115"/>
  <c r="AA31" i="115"/>
  <c r="V31" i="115"/>
  <c r="W31" i="115" s="1"/>
  <c r="Z31" i="115" s="1"/>
  <c r="S31" i="115"/>
  <c r="E31" i="115"/>
  <c r="B31" i="115"/>
  <c r="AL30" i="115"/>
  <c r="AE30" i="115"/>
  <c r="AB30" i="115"/>
  <c r="AA30" i="115"/>
  <c r="V30" i="115"/>
  <c r="W30" i="115" s="1"/>
  <c r="Z30" i="115" s="1"/>
  <c r="S30" i="115"/>
  <c r="E30" i="115"/>
  <c r="B30" i="115"/>
  <c r="AL29" i="115"/>
  <c r="AB29" i="115"/>
  <c r="AA29" i="115"/>
  <c r="V29" i="115"/>
  <c r="W29" i="115" s="1"/>
  <c r="Z29" i="115" s="1"/>
  <c r="S29" i="115"/>
  <c r="E29" i="115"/>
  <c r="B29" i="115"/>
  <c r="AL28" i="115"/>
  <c r="AB28" i="115"/>
  <c r="AA28" i="115"/>
  <c r="V28" i="115"/>
  <c r="W28" i="115" s="1"/>
  <c r="Z28" i="115" s="1"/>
  <c r="S28" i="115"/>
  <c r="E28" i="115"/>
  <c r="B28" i="115"/>
  <c r="AL27" i="115"/>
  <c r="AB27" i="115"/>
  <c r="AA27" i="115"/>
  <c r="V27" i="115"/>
  <c r="W27" i="115" s="1"/>
  <c r="Z27" i="115" s="1"/>
  <c r="S27" i="115"/>
  <c r="E27" i="115"/>
  <c r="B27" i="115"/>
  <c r="AL26" i="115"/>
  <c r="AB26" i="115"/>
  <c r="AA26" i="115"/>
  <c r="V26" i="115"/>
  <c r="W26" i="115" s="1"/>
  <c r="Z26" i="115" s="1"/>
  <c r="S26" i="115"/>
  <c r="E26" i="115"/>
  <c r="B26" i="115"/>
  <c r="AL25" i="115"/>
  <c r="AB25" i="115"/>
  <c r="AA25" i="115"/>
  <c r="V25" i="115"/>
  <c r="W25" i="115" s="1"/>
  <c r="Z25" i="115" s="1"/>
  <c r="S25" i="115"/>
  <c r="E25" i="115"/>
  <c r="B25" i="115"/>
  <c r="AL24" i="115"/>
  <c r="AB24" i="115"/>
  <c r="AA24" i="115"/>
  <c r="V24" i="115"/>
  <c r="W24" i="115" s="1"/>
  <c r="Z24" i="115" s="1"/>
  <c r="S24" i="115"/>
  <c r="E24" i="115"/>
  <c r="B24" i="115"/>
  <c r="AL23" i="115"/>
  <c r="AB23" i="115"/>
  <c r="AA23" i="115"/>
  <c r="AC23" i="115" s="1"/>
  <c r="V23" i="115"/>
  <c r="W23" i="115" s="1"/>
  <c r="Z23" i="115" s="1"/>
  <c r="S23" i="115"/>
  <c r="E23" i="115"/>
  <c r="B23" i="115"/>
  <c r="AL22" i="115"/>
  <c r="AB22" i="115"/>
  <c r="AA22" i="115"/>
  <c r="V22" i="115"/>
  <c r="W22" i="115" s="1"/>
  <c r="Z22" i="115" s="1"/>
  <c r="S22" i="115"/>
  <c r="E22" i="115"/>
  <c r="B22" i="115"/>
  <c r="AT21" i="115"/>
  <c r="AS21" i="115"/>
  <c r="AN21" i="115"/>
  <c r="AL21" i="115"/>
  <c r="AB21" i="115"/>
  <c r="AA21" i="115"/>
  <c r="V21" i="115"/>
  <c r="W21" i="115" s="1"/>
  <c r="Z21" i="115" s="1"/>
  <c r="S21" i="115"/>
  <c r="E21" i="115"/>
  <c r="B21" i="115"/>
  <c r="AT20" i="115"/>
  <c r="AL20" i="115"/>
  <c r="AB20" i="115"/>
  <c r="AA20" i="115"/>
  <c r="V20" i="115"/>
  <c r="W20" i="115" s="1"/>
  <c r="Z20" i="115" s="1"/>
  <c r="S20" i="115"/>
  <c r="E20" i="115"/>
  <c r="B20" i="115"/>
  <c r="AT19" i="115"/>
  <c r="AS19" i="115"/>
  <c r="AN19" i="115"/>
  <c r="AL19" i="115"/>
  <c r="AB19" i="115"/>
  <c r="AA19" i="115"/>
  <c r="V19" i="115"/>
  <c r="W19" i="115" s="1"/>
  <c r="Z19" i="115" s="1"/>
  <c r="S19" i="115"/>
  <c r="E19" i="115"/>
  <c r="B19" i="115"/>
  <c r="AT18" i="115"/>
  <c r="AS18" i="115"/>
  <c r="AN18" i="115"/>
  <c r="AL18" i="115"/>
  <c r="AB18" i="115"/>
  <c r="AA18" i="115"/>
  <c r="V18" i="115"/>
  <c r="W18" i="115" s="1"/>
  <c r="Z18" i="115" s="1"/>
  <c r="S18" i="115"/>
  <c r="E18" i="115"/>
  <c r="B18" i="115"/>
  <c r="AT17" i="115"/>
  <c r="AS17" i="115"/>
  <c r="AN17" i="115"/>
  <c r="AL17" i="115"/>
  <c r="AB17" i="115"/>
  <c r="AA17" i="115"/>
  <c r="AC17" i="115" s="1"/>
  <c r="V17" i="115"/>
  <c r="W17" i="115" s="1"/>
  <c r="Z17" i="115" s="1"/>
  <c r="S17" i="115"/>
  <c r="E17" i="115"/>
  <c r="B17" i="115"/>
  <c r="AT16" i="115"/>
  <c r="AS16" i="115"/>
  <c r="AN16" i="115"/>
  <c r="AL16" i="115"/>
  <c r="AB16" i="115"/>
  <c r="AA16" i="115"/>
  <c r="AC16" i="115" s="1"/>
  <c r="AC11" i="115" s="1"/>
  <c r="AC10" i="115" s="1"/>
  <c r="AC461" i="115" s="1"/>
  <c r="AC464" i="115" s="1"/>
  <c r="V16" i="115"/>
  <c r="W16" i="115" s="1"/>
  <c r="Z16" i="115" s="1"/>
  <c r="S16" i="115"/>
  <c r="E16" i="115"/>
  <c r="B16" i="115"/>
  <c r="AT15" i="115"/>
  <c r="AS15" i="115"/>
  <c r="AN15" i="115"/>
  <c r="AL15" i="115"/>
  <c r="AB15" i="115"/>
  <c r="AA15" i="115"/>
  <c r="V15" i="115"/>
  <c r="W15" i="115" s="1"/>
  <c r="Z15" i="115" s="1"/>
  <c r="S15" i="115"/>
  <c r="E15" i="115"/>
  <c r="B15" i="115"/>
  <c r="AT14" i="115"/>
  <c r="AS14" i="115"/>
  <c r="AN14" i="115"/>
  <c r="AL14" i="115"/>
  <c r="AB14" i="115"/>
  <c r="AA14" i="115"/>
  <c r="V14" i="115"/>
  <c r="W14" i="115" s="1"/>
  <c r="Z14" i="115" s="1"/>
  <c r="S14" i="115"/>
  <c r="E14" i="115"/>
  <c r="B14" i="115"/>
  <c r="AT13" i="115"/>
  <c r="AS13" i="115"/>
  <c r="AL13" i="115"/>
  <c r="AB13" i="115"/>
  <c r="AB11" i="115" s="1"/>
  <c r="AA13" i="115"/>
  <c r="AA11" i="115" s="1"/>
  <c r="V13" i="115"/>
  <c r="S13" i="115"/>
  <c r="E13" i="115"/>
  <c r="B13" i="115"/>
  <c r="AK11" i="115"/>
  <c r="AJ11" i="115"/>
  <c r="AI11" i="115"/>
  <c r="AH11" i="115"/>
  <c r="AG11" i="115"/>
  <c r="AF11" i="115"/>
  <c r="AE11" i="115"/>
  <c r="AD11" i="115"/>
  <c r="Y11" i="115"/>
  <c r="X11" i="115"/>
  <c r="U11" i="115"/>
  <c r="T11" i="115"/>
  <c r="S11" i="115"/>
  <c r="R11" i="115"/>
  <c r="Q11" i="115"/>
  <c r="P11" i="115"/>
  <c r="O11" i="115"/>
  <c r="N11" i="115"/>
  <c r="M11" i="115"/>
  <c r="L11" i="115"/>
  <c r="K11" i="115"/>
  <c r="J11" i="115"/>
  <c r="I11" i="115"/>
  <c r="H11" i="115"/>
  <c r="G11" i="115"/>
  <c r="F11" i="115"/>
  <c r="E11" i="115"/>
  <c r="AK10" i="115"/>
  <c r="AJ10" i="115"/>
  <c r="AH10" i="115"/>
  <c r="AG10" i="115"/>
  <c r="AF10" i="115"/>
  <c r="AE10" i="115"/>
  <c r="AD10" i="115"/>
  <c r="Y10" i="115"/>
  <c r="X10" i="115"/>
  <c r="S10" i="115"/>
  <c r="R10" i="115"/>
  <c r="Q10" i="115"/>
  <c r="P10" i="115"/>
  <c r="O10" i="115"/>
  <c r="N10" i="115"/>
  <c r="M10" i="115"/>
  <c r="L10" i="115"/>
  <c r="K10" i="115"/>
  <c r="J10" i="115"/>
  <c r="I10" i="115"/>
  <c r="H10" i="115"/>
  <c r="G10" i="115"/>
  <c r="F10" i="115"/>
  <c r="E10" i="115"/>
  <c r="R9" i="115"/>
  <c r="AN7" i="115"/>
  <c r="AJ29" i="247"/>
  <c r="AI29" i="247"/>
  <c r="AH29" i="247"/>
  <c r="AG29" i="247"/>
  <c r="AF29" i="247"/>
  <c r="AE29" i="247"/>
  <c r="AD29" i="247"/>
  <c r="AC29" i="247"/>
  <c r="AB29" i="247"/>
  <c r="AA29" i="247"/>
  <c r="Z29" i="247"/>
  <c r="Y29" i="247"/>
  <c r="X29" i="247"/>
  <c r="W29" i="247"/>
  <c r="V29" i="247"/>
  <c r="U29" i="247"/>
  <c r="T29" i="247"/>
  <c r="S29" i="247"/>
  <c r="R29" i="247"/>
  <c r="Q29" i="247"/>
  <c r="P29" i="247"/>
  <c r="O29" i="247"/>
  <c r="N29" i="247"/>
  <c r="M29" i="247"/>
  <c r="L29" i="247"/>
  <c r="K29" i="247"/>
  <c r="J29" i="247"/>
  <c r="I29" i="247"/>
  <c r="H29" i="247"/>
  <c r="G29" i="247"/>
  <c r="F29" i="247"/>
  <c r="E29" i="247"/>
  <c r="D29" i="247"/>
  <c r="AM28" i="247"/>
  <c r="AJ28" i="247"/>
  <c r="AI28" i="247"/>
  <c r="AM27" i="247"/>
  <c r="AJ27" i="247"/>
  <c r="AI27" i="247"/>
  <c r="AM26" i="247"/>
  <c r="AJ26" i="247"/>
  <c r="AI26" i="247"/>
  <c r="AM25" i="247"/>
  <c r="AJ25" i="247"/>
  <c r="AI25" i="247"/>
  <c r="AM24" i="247"/>
  <c r="AJ24" i="247"/>
  <c r="AI24" i="247"/>
  <c r="AM23" i="247"/>
  <c r="AJ23" i="247"/>
  <c r="AI23" i="247"/>
  <c r="AM22" i="247"/>
  <c r="AJ22" i="247"/>
  <c r="AI22" i="247"/>
  <c r="AM21" i="247"/>
  <c r="AJ21" i="247"/>
  <c r="AI21" i="247"/>
  <c r="AM20" i="247"/>
  <c r="AJ20" i="247"/>
  <c r="AI20" i="247"/>
  <c r="AM19" i="247"/>
  <c r="AJ19" i="247"/>
  <c r="AI19" i="247"/>
  <c r="AM18" i="247"/>
  <c r="AJ18" i="247"/>
  <c r="AI18" i="247"/>
  <c r="AM17" i="247"/>
  <c r="AJ17" i="247"/>
  <c r="AI17" i="247"/>
  <c r="AM16" i="247"/>
  <c r="AJ16" i="247"/>
  <c r="AI16" i="247"/>
  <c r="AM15" i="247"/>
  <c r="AJ15" i="247"/>
  <c r="AI15" i="247"/>
  <c r="B15" i="247"/>
  <c r="AM14" i="247"/>
  <c r="AJ14" i="247"/>
  <c r="AI14" i="247"/>
  <c r="B14" i="247"/>
  <c r="AM13" i="247"/>
  <c r="AJ13" i="247"/>
  <c r="AI13" i="247"/>
  <c r="B13" i="247"/>
  <c r="AM12" i="247"/>
  <c r="AJ12" i="247"/>
  <c r="AI12" i="247"/>
  <c r="B12" i="247"/>
  <c r="AM11" i="247"/>
  <c r="AJ11" i="247"/>
  <c r="AI11" i="247"/>
  <c r="B11" i="247"/>
  <c r="AM10" i="247"/>
  <c r="AJ10" i="247"/>
  <c r="AI10" i="247"/>
  <c r="B10" i="247"/>
  <c r="AJ9" i="247"/>
  <c r="AI9" i="247"/>
  <c r="AH9" i="247"/>
  <c r="AG9" i="247"/>
  <c r="AF9" i="247"/>
  <c r="AE9" i="247"/>
  <c r="AD9" i="247"/>
  <c r="AC9" i="247"/>
  <c r="AB9" i="247"/>
  <c r="AA9" i="247"/>
  <c r="Z9" i="247"/>
  <c r="Y9" i="247"/>
  <c r="X9" i="247"/>
  <c r="W9" i="247"/>
  <c r="V9" i="247"/>
  <c r="U9" i="247"/>
  <c r="T9" i="247"/>
  <c r="S9" i="247"/>
  <c r="R9" i="247"/>
  <c r="Q9" i="247"/>
  <c r="P9" i="247"/>
  <c r="O9" i="247"/>
  <c r="N9" i="247"/>
  <c r="M9" i="247"/>
  <c r="L9" i="247"/>
  <c r="K9" i="247"/>
  <c r="J9" i="247"/>
  <c r="I9" i="247"/>
  <c r="H9" i="247"/>
  <c r="G9" i="247"/>
  <c r="F9" i="247"/>
  <c r="E9" i="247"/>
  <c r="D9" i="247"/>
  <c r="AJ90" i="231"/>
  <c r="AI90" i="231"/>
  <c r="AH90" i="231"/>
  <c r="AG90" i="231"/>
  <c r="AF90" i="231"/>
  <c r="AE90" i="231"/>
  <c r="AD90" i="231"/>
  <c r="AC90" i="231"/>
  <c r="AB90" i="231"/>
  <c r="AA90" i="231"/>
  <c r="Z90" i="231"/>
  <c r="Y90" i="231"/>
  <c r="X90" i="231"/>
  <c r="W90" i="231"/>
  <c r="V90" i="231"/>
  <c r="U90" i="231"/>
  <c r="T90" i="231"/>
  <c r="S90" i="231"/>
  <c r="R90" i="231"/>
  <c r="Q90" i="231"/>
  <c r="P90" i="231"/>
  <c r="O90" i="231"/>
  <c r="N90" i="231"/>
  <c r="M90" i="231"/>
  <c r="L90" i="231"/>
  <c r="K90" i="231"/>
  <c r="J90" i="231"/>
  <c r="I90" i="231"/>
  <c r="H90" i="231"/>
  <c r="G90" i="231"/>
  <c r="F90" i="231"/>
  <c r="AO89" i="231"/>
  <c r="AN89" i="231"/>
  <c r="AO88" i="231"/>
  <c r="AN88" i="231"/>
  <c r="AO87" i="231"/>
  <c r="AN87" i="231"/>
  <c r="AO86" i="231"/>
  <c r="AN86" i="231"/>
  <c r="AO85" i="231"/>
  <c r="AN85" i="231"/>
  <c r="AO84" i="231"/>
  <c r="AN84" i="231"/>
  <c r="AO83" i="231"/>
  <c r="AN83" i="231"/>
  <c r="AO82" i="231"/>
  <c r="AN82" i="231"/>
  <c r="AO81" i="231"/>
  <c r="AN81" i="231"/>
  <c r="AO80" i="231"/>
  <c r="AN80" i="231"/>
  <c r="AO79" i="231"/>
  <c r="AN79" i="231"/>
  <c r="AO78" i="231"/>
  <c r="AN78" i="231"/>
  <c r="C121" i="229"/>
  <c r="AO53" i="231"/>
  <c r="AN53" i="231"/>
  <c r="AO52" i="231"/>
  <c r="AN52" i="231"/>
  <c r="AO51" i="231"/>
  <c r="AN51" i="231"/>
  <c r="I229" i="229"/>
  <c r="AO50" i="231"/>
  <c r="AN50" i="231"/>
  <c r="AO49" i="231"/>
  <c r="AN49" i="231"/>
  <c r="AO48" i="231"/>
  <c r="AN48" i="231"/>
  <c r="AO47" i="231"/>
  <c r="AN47" i="231"/>
  <c r="AO46" i="231"/>
  <c r="AN46" i="231"/>
  <c r="AO45" i="231"/>
  <c r="AN45" i="231"/>
  <c r="AO44" i="231"/>
  <c r="AN44" i="231"/>
  <c r="AO43" i="231"/>
  <c r="AN43" i="231"/>
  <c r="AO42" i="231"/>
  <c r="AN42" i="231"/>
  <c r="AO41" i="231"/>
  <c r="AN41" i="231"/>
  <c r="AR40" i="231"/>
  <c r="AO40" i="231"/>
  <c r="AN40" i="231"/>
  <c r="AO39" i="231"/>
  <c r="AN39" i="231"/>
  <c r="AO38" i="231"/>
  <c r="AN38" i="231"/>
  <c r="AO37" i="231"/>
  <c r="AN37" i="231"/>
  <c r="AO36" i="231"/>
  <c r="AN36" i="231"/>
  <c r="AO35" i="231"/>
  <c r="AN35" i="231"/>
  <c r="AO34" i="231"/>
  <c r="AN34" i="231"/>
  <c r="AO33" i="231"/>
  <c r="AN33" i="231"/>
  <c r="AO32" i="231"/>
  <c r="AN32" i="231"/>
  <c r="AO31" i="231"/>
  <c r="AN31" i="231"/>
  <c r="AO30" i="231"/>
  <c r="AN30" i="231"/>
  <c r="AO29" i="231"/>
  <c r="AN29" i="231"/>
  <c r="AO28" i="231"/>
  <c r="AN28" i="231"/>
  <c r="AO27" i="231"/>
  <c r="AN27" i="231"/>
  <c r="AO26" i="231"/>
  <c r="AN26" i="231"/>
  <c r="AO25" i="231"/>
  <c r="AN25" i="231"/>
  <c r="AO24" i="231"/>
  <c r="AN24" i="231"/>
  <c r="AO23" i="231"/>
  <c r="AN23" i="231"/>
  <c r="AO22" i="231"/>
  <c r="AN22" i="231"/>
  <c r="AO21" i="231"/>
  <c r="AN21" i="231"/>
  <c r="AO20" i="231"/>
  <c r="AN20" i="231"/>
  <c r="AO19" i="231"/>
  <c r="AN19" i="231"/>
  <c r="AO18" i="231"/>
  <c r="AN18" i="231"/>
  <c r="AO17" i="231"/>
  <c r="AN17" i="231"/>
  <c r="AO16" i="231"/>
  <c r="AN16" i="231"/>
  <c r="AO15" i="231"/>
  <c r="AN15" i="231"/>
  <c r="AO14" i="231"/>
  <c r="AN14" i="231"/>
  <c r="AO13" i="231"/>
  <c r="AN13" i="231"/>
  <c r="AO12" i="231"/>
  <c r="AN12" i="231"/>
  <c r="AO90" i="249"/>
  <c r="AN90" i="249"/>
  <c r="W470" i="115"/>
  <c r="M67" i="311"/>
  <c r="L67" i="311"/>
  <c r="K67" i="311"/>
  <c r="J67" i="311"/>
  <c r="I67" i="311"/>
  <c r="H67" i="311"/>
  <c r="G67" i="311"/>
  <c r="F67" i="311"/>
  <c r="E67" i="311"/>
  <c r="D67" i="311"/>
  <c r="C67" i="311"/>
  <c r="M66" i="311"/>
  <c r="M65" i="311"/>
  <c r="M64" i="311"/>
  <c r="M63" i="311"/>
  <c r="M62" i="311"/>
  <c r="M61" i="311"/>
  <c r="M60" i="311"/>
  <c r="M59" i="311"/>
  <c r="M58" i="311"/>
  <c r="M57" i="311"/>
  <c r="M56" i="311"/>
  <c r="M55" i="311"/>
  <c r="M54" i="311"/>
  <c r="M53" i="311"/>
  <c r="M52" i="311"/>
  <c r="M51" i="311"/>
  <c r="M50" i="311"/>
  <c r="M49" i="311"/>
  <c r="M48" i="311"/>
  <c r="M47" i="311"/>
  <c r="M46" i="311"/>
  <c r="M45" i="311"/>
  <c r="M44" i="311"/>
  <c r="M43" i="311"/>
  <c r="M42" i="311"/>
  <c r="M41" i="311"/>
  <c r="M40" i="311"/>
  <c r="M39" i="311"/>
  <c r="M38" i="311"/>
  <c r="M37" i="311"/>
  <c r="M36" i="311"/>
  <c r="M35" i="311"/>
  <c r="M34" i="311"/>
  <c r="L34" i="311"/>
  <c r="K34" i="311"/>
  <c r="J34" i="311"/>
  <c r="I34" i="311"/>
  <c r="H34" i="311"/>
  <c r="G34" i="311"/>
  <c r="F34" i="311"/>
  <c r="E34" i="311"/>
  <c r="D34" i="311"/>
  <c r="C34" i="311"/>
  <c r="M33" i="311"/>
  <c r="M32" i="311"/>
  <c r="D32" i="311"/>
  <c r="M31" i="311"/>
  <c r="M30" i="311"/>
  <c r="M29" i="311"/>
  <c r="M28" i="311"/>
  <c r="M27" i="311"/>
  <c r="M26" i="311"/>
  <c r="M25" i="311"/>
  <c r="M24" i="311"/>
  <c r="M23" i="311"/>
  <c r="M22" i="311"/>
  <c r="M21" i="311"/>
  <c r="M20" i="311"/>
  <c r="M19" i="311"/>
  <c r="M18" i="311"/>
  <c r="M17" i="311"/>
  <c r="M16" i="311"/>
  <c r="M15" i="311"/>
  <c r="M14" i="311"/>
  <c r="M13" i="311"/>
  <c r="M12" i="311"/>
  <c r="M11" i="311"/>
  <c r="M10" i="311"/>
  <c r="M9" i="311"/>
  <c r="M8" i="311"/>
  <c r="M7" i="311"/>
  <c r="L7" i="311"/>
  <c r="K7" i="311"/>
  <c r="J7" i="311"/>
  <c r="I7" i="311"/>
  <c r="H7" i="311"/>
  <c r="G7" i="311"/>
  <c r="F7" i="311"/>
  <c r="E7" i="311"/>
  <c r="D7" i="311"/>
  <c r="C7" i="311"/>
  <c r="O52" i="321"/>
  <c r="O50" i="321"/>
  <c r="O49" i="321"/>
  <c r="O47" i="321"/>
  <c r="O46" i="321"/>
  <c r="M46" i="321"/>
  <c r="J46" i="321"/>
  <c r="D46" i="321"/>
  <c r="Q43" i="321"/>
  <c r="O43" i="321"/>
  <c r="M43" i="321"/>
  <c r="F43" i="321"/>
  <c r="D43" i="321"/>
  <c r="O42" i="321"/>
  <c r="O41" i="321"/>
  <c r="M41" i="321"/>
  <c r="D41" i="321"/>
  <c r="O38" i="321"/>
  <c r="M38" i="321"/>
  <c r="D38" i="321"/>
  <c r="Q36" i="321"/>
  <c r="O36" i="321"/>
  <c r="M36" i="321"/>
  <c r="F36" i="321"/>
  <c r="D36" i="321"/>
  <c r="O35" i="321"/>
  <c r="M35" i="321"/>
  <c r="O34" i="321"/>
  <c r="Q33" i="321"/>
  <c r="O33" i="321"/>
  <c r="Q32" i="321"/>
  <c r="O32" i="321"/>
  <c r="M32" i="321"/>
  <c r="D32" i="321"/>
  <c r="O30" i="321"/>
  <c r="O29" i="321"/>
  <c r="O28" i="321"/>
  <c r="R26" i="321"/>
  <c r="Q26" i="321"/>
  <c r="O26" i="321"/>
  <c r="M26" i="321"/>
  <c r="D26" i="321"/>
  <c r="O24" i="321"/>
  <c r="Q23" i="321"/>
  <c r="O23" i="321"/>
  <c r="O22" i="321"/>
  <c r="R21" i="321"/>
  <c r="Q21" i="321"/>
  <c r="O21" i="321"/>
  <c r="O20" i="321"/>
  <c r="O19" i="321"/>
  <c r="O18" i="321"/>
  <c r="O17" i="321"/>
  <c r="Q15" i="321"/>
  <c r="Q14" i="321"/>
  <c r="O12" i="321"/>
  <c r="E123" i="112"/>
  <c r="E122" i="112"/>
  <c r="E121" i="112"/>
  <c r="AN453" i="278"/>
  <c r="AN451" i="278"/>
  <c r="AM451" i="278"/>
  <c r="AK451" i="278"/>
  <c r="AJ451" i="278"/>
  <c r="AI451" i="278"/>
  <c r="AH451" i="278"/>
  <c r="AG451" i="278"/>
  <c r="AF451" i="278"/>
  <c r="AE451" i="278"/>
  <c r="AD451" i="278"/>
  <c r="AC451" i="278"/>
  <c r="AB451" i="278"/>
  <c r="AA451" i="278"/>
  <c r="Z451" i="278"/>
  <c r="Y451" i="278"/>
  <c r="X451" i="278"/>
  <c r="W451" i="278"/>
  <c r="V451" i="278"/>
  <c r="U451" i="278"/>
  <c r="T451" i="278"/>
  <c r="S451" i="278"/>
  <c r="R451" i="278"/>
  <c r="Q451" i="278"/>
  <c r="P451" i="278"/>
  <c r="O451" i="278"/>
  <c r="N451" i="278"/>
  <c r="M451" i="278"/>
  <c r="L451" i="278"/>
  <c r="K451" i="278"/>
  <c r="J451" i="278"/>
  <c r="I451" i="278"/>
  <c r="H451" i="278"/>
  <c r="G451" i="278"/>
  <c r="F451" i="278"/>
  <c r="E451" i="278"/>
  <c r="AK450" i="278"/>
  <c r="AJ450" i="278"/>
  <c r="C450" i="278"/>
  <c r="AK449" i="278"/>
  <c r="AJ449" i="278"/>
  <c r="C449" i="278"/>
  <c r="AK448" i="278"/>
  <c r="AJ448" i="278"/>
  <c r="C448" i="278"/>
  <c r="AK447" i="278"/>
  <c r="AJ447" i="278"/>
  <c r="C447" i="278"/>
  <c r="AK446" i="278"/>
  <c r="AJ446" i="278"/>
  <c r="C446" i="278"/>
  <c r="AK445" i="278"/>
  <c r="AJ445" i="278"/>
  <c r="C445" i="278"/>
  <c r="AK444" i="278"/>
  <c r="AJ444" i="278"/>
  <c r="C444" i="278"/>
  <c r="AK443" i="278"/>
  <c r="AJ443" i="278"/>
  <c r="C443" i="278"/>
  <c r="AK442" i="278"/>
  <c r="AJ442" i="278"/>
  <c r="C442" i="278"/>
  <c r="AK441" i="278"/>
  <c r="AJ441" i="278"/>
  <c r="C441" i="278"/>
  <c r="AK440" i="278"/>
  <c r="AJ440" i="278"/>
  <c r="C440" i="278"/>
  <c r="AK439" i="278"/>
  <c r="AJ439" i="278"/>
  <c r="C439" i="278"/>
  <c r="AK438" i="278"/>
  <c r="AJ438" i="278"/>
  <c r="C438" i="278"/>
  <c r="AK437" i="278"/>
  <c r="AJ437" i="278"/>
  <c r="C437" i="278"/>
  <c r="AK436" i="278"/>
  <c r="AJ436" i="278"/>
  <c r="C436" i="278"/>
  <c r="AK435" i="278"/>
  <c r="AJ435" i="278"/>
  <c r="C435" i="278"/>
  <c r="AK434" i="278"/>
  <c r="AJ434" i="278"/>
  <c r="C434" i="278"/>
  <c r="AK433" i="278"/>
  <c r="AJ433" i="278"/>
  <c r="C433" i="278"/>
  <c r="AK432" i="278"/>
  <c r="AJ432" i="278"/>
  <c r="C432" i="278"/>
  <c r="AK431" i="278"/>
  <c r="AJ431" i="278"/>
  <c r="C431" i="278"/>
  <c r="AK430" i="278"/>
  <c r="AJ430" i="278"/>
  <c r="C430" i="278"/>
  <c r="AK429" i="278"/>
  <c r="AJ429" i="278"/>
  <c r="C429" i="278"/>
  <c r="AK428" i="278"/>
  <c r="AJ428" i="278"/>
  <c r="C428" i="278"/>
  <c r="AK427" i="278"/>
  <c r="AJ427" i="278"/>
  <c r="C427" i="278"/>
  <c r="AK426" i="278"/>
  <c r="AJ426" i="278"/>
  <c r="C426" i="278"/>
  <c r="AK425" i="278"/>
  <c r="AJ425" i="278"/>
  <c r="C425" i="278"/>
  <c r="AK424" i="278"/>
  <c r="AJ424" i="278"/>
  <c r="C424" i="278"/>
  <c r="AK423" i="278"/>
  <c r="AJ423" i="278"/>
  <c r="C423" i="278"/>
  <c r="AK422" i="278"/>
  <c r="AJ422" i="278"/>
  <c r="C422" i="278"/>
  <c r="AK421" i="278"/>
  <c r="AJ421" i="278"/>
  <c r="C421" i="278"/>
  <c r="AK420" i="278"/>
  <c r="AJ420" i="278"/>
  <c r="C420" i="278"/>
  <c r="AK419" i="278"/>
  <c r="AJ419" i="278"/>
  <c r="C419" i="278"/>
  <c r="AK418" i="278"/>
  <c r="AJ418" i="278"/>
  <c r="C418" i="278"/>
  <c r="AK417" i="278"/>
  <c r="AJ417" i="278"/>
  <c r="C417" i="278"/>
  <c r="AK416" i="278"/>
  <c r="AJ416" i="278"/>
  <c r="C416" i="278"/>
  <c r="AK415" i="278"/>
  <c r="AJ415" i="278"/>
  <c r="C415" i="278"/>
  <c r="AK414" i="278"/>
  <c r="AJ414" i="278"/>
  <c r="C414" i="278"/>
  <c r="AK413" i="278"/>
  <c r="AJ413" i="278"/>
  <c r="C413" i="278"/>
  <c r="AK412" i="278"/>
  <c r="AJ412" i="278"/>
  <c r="C412" i="278"/>
  <c r="AK411" i="278"/>
  <c r="AJ411" i="278"/>
  <c r="C411" i="278"/>
  <c r="AK410" i="278"/>
  <c r="AJ410" i="278"/>
  <c r="C410" i="278"/>
  <c r="AK409" i="278"/>
  <c r="AJ409" i="278"/>
  <c r="C409" i="278"/>
  <c r="AK408" i="278"/>
  <c r="AJ408" i="278"/>
  <c r="C408" i="278"/>
  <c r="AK407" i="278"/>
  <c r="AJ407" i="278"/>
  <c r="C407" i="278"/>
  <c r="AK406" i="278"/>
  <c r="AJ406" i="278"/>
  <c r="C406" i="278"/>
  <c r="AK405" i="278"/>
  <c r="AJ405" i="278"/>
  <c r="C405" i="278"/>
  <c r="AK404" i="278"/>
  <c r="AJ404" i="278"/>
  <c r="C404" i="278"/>
  <c r="AK403" i="278"/>
  <c r="AJ403" i="278"/>
  <c r="C403" i="278"/>
  <c r="AK402" i="278"/>
  <c r="AJ402" i="278"/>
  <c r="C402" i="278"/>
  <c r="AK401" i="278"/>
  <c r="AJ401" i="278"/>
  <c r="C401" i="278"/>
  <c r="AK400" i="278"/>
  <c r="AJ400" i="278"/>
  <c r="C400" i="278"/>
  <c r="AK399" i="278"/>
  <c r="AJ399" i="278"/>
  <c r="C399" i="278"/>
  <c r="AK398" i="278"/>
  <c r="AJ398" i="278"/>
  <c r="C398" i="278"/>
  <c r="AK397" i="278"/>
  <c r="AJ397" i="278"/>
  <c r="C397" i="278"/>
  <c r="AK396" i="278"/>
  <c r="AJ396" i="278"/>
  <c r="C396" i="278"/>
  <c r="AK395" i="278"/>
  <c r="AJ395" i="278"/>
  <c r="C395" i="278"/>
  <c r="AK394" i="278"/>
  <c r="AJ394" i="278"/>
  <c r="C394" i="278"/>
  <c r="AK393" i="278"/>
  <c r="AJ393" i="278"/>
  <c r="C393" i="278"/>
  <c r="AK392" i="278"/>
  <c r="AJ392" i="278"/>
  <c r="C392" i="278"/>
  <c r="AK391" i="278"/>
  <c r="AJ391" i="278"/>
  <c r="C391" i="278"/>
  <c r="AK390" i="278"/>
  <c r="AJ390" i="278"/>
  <c r="C390" i="278"/>
  <c r="AK389" i="278"/>
  <c r="AJ389" i="278"/>
  <c r="C389" i="278"/>
  <c r="AK388" i="278"/>
  <c r="AJ388" i="278"/>
  <c r="C388" i="278"/>
  <c r="AK387" i="278"/>
  <c r="AJ387" i="278"/>
  <c r="C387" i="278"/>
  <c r="AK386" i="278"/>
  <c r="AJ386" i="278"/>
  <c r="C386" i="278"/>
  <c r="AK385" i="278"/>
  <c r="AJ385" i="278"/>
  <c r="C385" i="278"/>
  <c r="AK384" i="278"/>
  <c r="AJ384" i="278"/>
  <c r="C384" i="278"/>
  <c r="AK383" i="278"/>
  <c r="AJ383" i="278"/>
  <c r="C383" i="278"/>
  <c r="AK382" i="278"/>
  <c r="AJ382" i="278"/>
  <c r="C382" i="278"/>
  <c r="AK381" i="278"/>
  <c r="AJ381" i="278"/>
  <c r="C381" i="278"/>
  <c r="AK380" i="278"/>
  <c r="AJ380" i="278"/>
  <c r="C380" i="278"/>
  <c r="AK379" i="278"/>
  <c r="AJ379" i="278"/>
  <c r="C379" i="278"/>
  <c r="AK378" i="278"/>
  <c r="AJ378" i="278"/>
  <c r="C378" i="278"/>
  <c r="AK377" i="278"/>
  <c r="AJ377" i="278"/>
  <c r="C377" i="278"/>
  <c r="AK376" i="278"/>
  <c r="AJ376" i="278"/>
  <c r="C376" i="278"/>
  <c r="AK375" i="278"/>
  <c r="AJ375" i="278"/>
  <c r="C375" i="278"/>
  <c r="AK374" i="278"/>
  <c r="AJ374" i="278"/>
  <c r="C374" i="278"/>
  <c r="AK373" i="278"/>
  <c r="AJ373" i="278"/>
  <c r="C373" i="278"/>
  <c r="AK372" i="278"/>
  <c r="AJ372" i="278"/>
  <c r="C372" i="278"/>
  <c r="AK371" i="278"/>
  <c r="AJ371" i="278"/>
  <c r="C371" i="278"/>
  <c r="AK370" i="278"/>
  <c r="AJ370" i="278"/>
  <c r="C370" i="278"/>
  <c r="AK369" i="278"/>
  <c r="AJ369" i="278"/>
  <c r="C369" i="278"/>
  <c r="AK368" i="278"/>
  <c r="AJ368" i="278"/>
  <c r="C368" i="278"/>
  <c r="AK367" i="278"/>
  <c r="AJ367" i="278"/>
  <c r="C367" i="278"/>
  <c r="AK366" i="278"/>
  <c r="AJ366" i="278"/>
  <c r="C366" i="278"/>
  <c r="AK365" i="278"/>
  <c r="AJ365" i="278"/>
  <c r="C365" i="278"/>
  <c r="AK364" i="278"/>
  <c r="AJ364" i="278"/>
  <c r="C364" i="278"/>
  <c r="AK363" i="278"/>
  <c r="AJ363" i="278"/>
  <c r="C363" i="278"/>
  <c r="AK362" i="278"/>
  <c r="AJ362" i="278"/>
  <c r="C362" i="278"/>
  <c r="AK361" i="278"/>
  <c r="AJ361" i="278"/>
  <c r="C361" i="278"/>
  <c r="AK360" i="278"/>
  <c r="AJ360" i="278"/>
  <c r="C360" i="278"/>
  <c r="AK359" i="278"/>
  <c r="AJ359" i="278"/>
  <c r="C359" i="278"/>
  <c r="AK358" i="278"/>
  <c r="AJ358" i="278"/>
  <c r="C358" i="278"/>
  <c r="AK357" i="278"/>
  <c r="AJ357" i="278"/>
  <c r="C357" i="278"/>
  <c r="AK356" i="278"/>
  <c r="AJ356" i="278"/>
  <c r="C356" i="278"/>
  <c r="AK355" i="278"/>
  <c r="AJ355" i="278"/>
  <c r="C355" i="278"/>
  <c r="AK354" i="278"/>
  <c r="AJ354" i="278"/>
  <c r="C354" i="278"/>
  <c r="AK353" i="278"/>
  <c r="AJ353" i="278"/>
  <c r="C353" i="278"/>
  <c r="AK352" i="278"/>
  <c r="AJ352" i="278"/>
  <c r="C352" i="278"/>
  <c r="AK351" i="278"/>
  <c r="AJ351" i="278"/>
  <c r="C351" i="278"/>
  <c r="AK350" i="278"/>
  <c r="AJ350" i="278"/>
  <c r="C350" i="278"/>
  <c r="AK349" i="278"/>
  <c r="AJ349" i="278"/>
  <c r="C349" i="278"/>
  <c r="AK348" i="278"/>
  <c r="AJ348" i="278"/>
  <c r="C348" i="278"/>
  <c r="AK347" i="278"/>
  <c r="AJ347" i="278"/>
  <c r="C347" i="278"/>
  <c r="AK346" i="278"/>
  <c r="AJ346" i="278"/>
  <c r="C346" i="278"/>
  <c r="AK345" i="278"/>
  <c r="AJ345" i="278"/>
  <c r="C345" i="278"/>
  <c r="AK344" i="278"/>
  <c r="AJ344" i="278"/>
  <c r="C344" i="278"/>
  <c r="AK343" i="278"/>
  <c r="AJ343" i="278"/>
  <c r="C343" i="278"/>
  <c r="AK342" i="278"/>
  <c r="AJ342" i="278"/>
  <c r="C342" i="278"/>
  <c r="AK341" i="278"/>
  <c r="AJ341" i="278"/>
  <c r="C341" i="278"/>
  <c r="AK340" i="278"/>
  <c r="AJ340" i="278"/>
  <c r="C340" i="278"/>
  <c r="AK339" i="278"/>
  <c r="AJ339" i="278"/>
  <c r="C339" i="278"/>
  <c r="AK338" i="278"/>
  <c r="AJ338" i="278"/>
  <c r="C338" i="278"/>
  <c r="AK337" i="278"/>
  <c r="AJ337" i="278"/>
  <c r="C337" i="278"/>
  <c r="AK336" i="278"/>
  <c r="AJ336" i="278"/>
  <c r="C336" i="278"/>
  <c r="AK335" i="278"/>
  <c r="AJ335" i="278"/>
  <c r="C335" i="278"/>
  <c r="AK334" i="278"/>
  <c r="AJ334" i="278"/>
  <c r="C334" i="278"/>
  <c r="AK333" i="278"/>
  <c r="AJ333" i="278"/>
  <c r="C333" i="278"/>
  <c r="AK332" i="278"/>
  <c r="AJ332" i="278"/>
  <c r="C332" i="278"/>
  <c r="AK331" i="278"/>
  <c r="AJ331" i="278"/>
  <c r="C331" i="278"/>
  <c r="AK330" i="278"/>
  <c r="AJ330" i="278"/>
  <c r="C330" i="278"/>
  <c r="AK329" i="278"/>
  <c r="AJ329" i="278"/>
  <c r="C329" i="278"/>
  <c r="AK328" i="278"/>
  <c r="AJ328" i="278"/>
  <c r="C328" i="278"/>
  <c r="AK327" i="278"/>
  <c r="AJ327" i="278"/>
  <c r="C327" i="278"/>
  <c r="AK326" i="278"/>
  <c r="AJ326" i="278"/>
  <c r="C326" i="278"/>
  <c r="AK325" i="278"/>
  <c r="AJ325" i="278"/>
  <c r="C325" i="278"/>
  <c r="AK324" i="278"/>
  <c r="AJ324" i="278"/>
  <c r="C324" i="278"/>
  <c r="AK323" i="278"/>
  <c r="AJ323" i="278"/>
  <c r="C323" i="278"/>
  <c r="AK322" i="278"/>
  <c r="AJ322" i="278"/>
  <c r="C322" i="278"/>
  <c r="AK321" i="278"/>
  <c r="AJ321" i="278"/>
  <c r="C321" i="278"/>
  <c r="AK320" i="278"/>
  <c r="AJ320" i="278"/>
  <c r="C320" i="278"/>
  <c r="AK319" i="278"/>
  <c r="AJ319" i="278"/>
  <c r="C319" i="278"/>
  <c r="AK318" i="278"/>
  <c r="AJ318" i="278"/>
  <c r="C318" i="278"/>
  <c r="AK317" i="278"/>
  <c r="AJ317" i="278"/>
  <c r="C317" i="278"/>
  <c r="AK316" i="278"/>
  <c r="AJ316" i="278"/>
  <c r="C316" i="278"/>
  <c r="AK315" i="278"/>
  <c r="AJ315" i="278"/>
  <c r="C315" i="278"/>
  <c r="AK314" i="278"/>
  <c r="AJ314" i="278"/>
  <c r="C314" i="278"/>
  <c r="AK313" i="278"/>
  <c r="AJ313" i="278"/>
  <c r="C313" i="278"/>
  <c r="AK312" i="278"/>
  <c r="AJ312" i="278"/>
  <c r="C312" i="278"/>
  <c r="AK311" i="278"/>
  <c r="AJ311" i="278"/>
  <c r="C311" i="278"/>
  <c r="AK310" i="278"/>
  <c r="AJ310" i="278"/>
  <c r="C310" i="278"/>
  <c r="AK309" i="278"/>
  <c r="AJ309" i="278"/>
  <c r="C309" i="278"/>
  <c r="AK308" i="278"/>
  <c r="AJ308" i="278"/>
  <c r="C308" i="278"/>
  <c r="AK307" i="278"/>
  <c r="AJ307" i="278"/>
  <c r="C307" i="278"/>
  <c r="AK306" i="278"/>
  <c r="AJ306" i="278"/>
  <c r="C306" i="278"/>
  <c r="AK305" i="278"/>
  <c r="AJ305" i="278"/>
  <c r="C305" i="278"/>
  <c r="AK304" i="278"/>
  <c r="AJ304" i="278"/>
  <c r="C304" i="278"/>
  <c r="AK303" i="278"/>
  <c r="AJ303" i="278"/>
  <c r="C303" i="278"/>
  <c r="AK302" i="278"/>
  <c r="AJ302" i="278"/>
  <c r="C302" i="278"/>
  <c r="AK301" i="278"/>
  <c r="AJ301" i="278"/>
  <c r="C301" i="278"/>
  <c r="AK300" i="278"/>
  <c r="AJ300" i="278"/>
  <c r="C300" i="278"/>
  <c r="AK299" i="278"/>
  <c r="AJ299" i="278"/>
  <c r="C299" i="278"/>
  <c r="AK298" i="278"/>
  <c r="AJ298" i="278"/>
  <c r="C298" i="278"/>
  <c r="AK297" i="278"/>
  <c r="AJ297" i="278"/>
  <c r="C297" i="278"/>
  <c r="AK296" i="278"/>
  <c r="AJ296" i="278"/>
  <c r="C296" i="278"/>
  <c r="AK295" i="278"/>
  <c r="AJ295" i="278"/>
  <c r="C295" i="278"/>
  <c r="AK294" i="278"/>
  <c r="AJ294" i="278"/>
  <c r="C294" i="278"/>
  <c r="AK293" i="278"/>
  <c r="AJ293" i="278"/>
  <c r="C293" i="278"/>
  <c r="AK292" i="278"/>
  <c r="AJ292" i="278"/>
  <c r="C292" i="278"/>
  <c r="AK291" i="278"/>
  <c r="AJ291" i="278"/>
  <c r="C291" i="278"/>
  <c r="AK290" i="278"/>
  <c r="AJ290" i="278"/>
  <c r="C290" i="278"/>
  <c r="AK289" i="278"/>
  <c r="AJ289" i="278"/>
  <c r="C289" i="278"/>
  <c r="AK288" i="278"/>
  <c r="AJ288" i="278"/>
  <c r="C288" i="278"/>
  <c r="AK287" i="278"/>
  <c r="AJ287" i="278"/>
  <c r="C287" i="278"/>
  <c r="AK286" i="278"/>
  <c r="AJ286" i="278"/>
  <c r="C286" i="278"/>
  <c r="AK285" i="278"/>
  <c r="AJ285" i="278"/>
  <c r="C285" i="278"/>
  <c r="AK284" i="278"/>
  <c r="AJ284" i="278"/>
  <c r="C284" i="278"/>
  <c r="AK283" i="278"/>
  <c r="AJ283" i="278"/>
  <c r="C283" i="278"/>
  <c r="AK282" i="278"/>
  <c r="AJ282" i="278"/>
  <c r="C282" i="278"/>
  <c r="AK281" i="278"/>
  <c r="AJ281" i="278"/>
  <c r="C281" i="278"/>
  <c r="AK280" i="278"/>
  <c r="AJ280" i="278"/>
  <c r="C280" i="278"/>
  <c r="AK279" i="278"/>
  <c r="AJ279" i="278"/>
  <c r="C279" i="278"/>
  <c r="AK278" i="278"/>
  <c r="AJ278" i="278"/>
  <c r="C278" i="278"/>
  <c r="AK277" i="278"/>
  <c r="AJ277" i="278"/>
  <c r="C277" i="278"/>
  <c r="AK276" i="278"/>
  <c r="AJ276" i="278"/>
  <c r="C276" i="278"/>
  <c r="AK275" i="278"/>
  <c r="AJ275" i="278"/>
  <c r="C275" i="278"/>
  <c r="AK274" i="278"/>
  <c r="AJ274" i="278"/>
  <c r="C274" i="278"/>
  <c r="AK273" i="278"/>
  <c r="AJ273" i="278"/>
  <c r="C273" i="278"/>
  <c r="AK272" i="278"/>
  <c r="AJ272" i="278"/>
  <c r="C272" i="278"/>
  <c r="AK271" i="278"/>
  <c r="AJ271" i="278"/>
  <c r="C271" i="278"/>
  <c r="AK270" i="278"/>
  <c r="AJ270" i="278"/>
  <c r="C270" i="278"/>
  <c r="AK269" i="278"/>
  <c r="AJ269" i="278"/>
  <c r="C269" i="278"/>
  <c r="AK268" i="278"/>
  <c r="AJ268" i="278"/>
  <c r="C268" i="278"/>
  <c r="AK267" i="278"/>
  <c r="AJ267" i="278"/>
  <c r="C267" i="278"/>
  <c r="AK266" i="278"/>
  <c r="AJ266" i="278"/>
  <c r="C266" i="278"/>
  <c r="AK265" i="278"/>
  <c r="AJ265" i="278"/>
  <c r="C265" i="278"/>
  <c r="AK264" i="278"/>
  <c r="AJ264" i="278"/>
  <c r="C264" i="278"/>
  <c r="AK263" i="278"/>
  <c r="AJ263" i="278"/>
  <c r="C263" i="278"/>
  <c r="AK262" i="278"/>
  <c r="AJ262" i="278"/>
  <c r="C262" i="278"/>
  <c r="AK261" i="278"/>
  <c r="AJ261" i="278"/>
  <c r="C261" i="278"/>
  <c r="AK260" i="278"/>
  <c r="AJ260" i="278"/>
  <c r="C260" i="278"/>
  <c r="AK259" i="278"/>
  <c r="AJ259" i="278"/>
  <c r="C259" i="278"/>
  <c r="AK258" i="278"/>
  <c r="AJ258" i="278"/>
  <c r="C258" i="278"/>
  <c r="AK257" i="278"/>
  <c r="AJ257" i="278"/>
  <c r="C257" i="278"/>
  <c r="AK256" i="278"/>
  <c r="AJ256" i="278"/>
  <c r="C256" i="278"/>
  <c r="AK255" i="278"/>
  <c r="AJ255" i="278"/>
  <c r="C255" i="278"/>
  <c r="AK254" i="278"/>
  <c r="AJ254" i="278"/>
  <c r="C254" i="278"/>
  <c r="AK253" i="278"/>
  <c r="AJ253" i="278"/>
  <c r="C253" i="278"/>
  <c r="AK252" i="278"/>
  <c r="AJ252" i="278"/>
  <c r="C252" i="278"/>
  <c r="AK251" i="278"/>
  <c r="AJ251" i="278"/>
  <c r="C251" i="278"/>
  <c r="AK250" i="278"/>
  <c r="AJ250" i="278"/>
  <c r="C250" i="278"/>
  <c r="AK249" i="278"/>
  <c r="AJ249" i="278"/>
  <c r="C249" i="278"/>
  <c r="AK248" i="278"/>
  <c r="AJ248" i="278"/>
  <c r="C248" i="278"/>
  <c r="AK247" i="278"/>
  <c r="AJ247" i="278"/>
  <c r="C247" i="278"/>
  <c r="AK246" i="278"/>
  <c r="AJ246" i="278"/>
  <c r="C246" i="278"/>
  <c r="AK245" i="278"/>
  <c r="AJ245" i="278"/>
  <c r="C245" i="278"/>
  <c r="AK244" i="278"/>
  <c r="AJ244" i="278"/>
  <c r="C244" i="278"/>
  <c r="AK243" i="278"/>
  <c r="AJ243" i="278"/>
  <c r="C243" i="278"/>
  <c r="AK242" i="278"/>
  <c r="AJ242" i="278"/>
  <c r="C242" i="278"/>
  <c r="AK241" i="278"/>
  <c r="AJ241" i="278"/>
  <c r="C241" i="278"/>
  <c r="AK240" i="278"/>
  <c r="AJ240" i="278"/>
  <c r="C240" i="278"/>
  <c r="AK239" i="278"/>
  <c r="AJ239" i="278"/>
  <c r="C239" i="278"/>
  <c r="AK238" i="278"/>
  <c r="AJ238" i="278"/>
  <c r="C238" i="278"/>
  <c r="AK237" i="278"/>
  <c r="AJ237" i="278"/>
  <c r="C237" i="278"/>
  <c r="AK236" i="278"/>
  <c r="AJ236" i="278"/>
  <c r="C236" i="278"/>
  <c r="AK235" i="278"/>
  <c r="AJ235" i="278"/>
  <c r="C235" i="278"/>
  <c r="AK234" i="278"/>
  <c r="AJ234" i="278"/>
  <c r="C234" i="278"/>
  <c r="AK233" i="278"/>
  <c r="AJ233" i="278"/>
  <c r="C233" i="278"/>
  <c r="AK232" i="278"/>
  <c r="AJ232" i="278"/>
  <c r="C232" i="278"/>
  <c r="AK231" i="278"/>
  <c r="AJ231" i="278"/>
  <c r="C231" i="278"/>
  <c r="AK230" i="278"/>
  <c r="AJ230" i="278"/>
  <c r="C230" i="278"/>
  <c r="AK229" i="278"/>
  <c r="AJ229" i="278"/>
  <c r="C229" i="278"/>
  <c r="AK228" i="278"/>
  <c r="AJ228" i="278"/>
  <c r="C228" i="278"/>
  <c r="AK227" i="278"/>
  <c r="AJ227" i="278"/>
  <c r="C227" i="278"/>
  <c r="AK226" i="278"/>
  <c r="AJ226" i="278"/>
  <c r="C226" i="278"/>
  <c r="AK225" i="278"/>
  <c r="AJ225" i="278"/>
  <c r="C225" i="278"/>
  <c r="AK224" i="278"/>
  <c r="AJ224" i="278"/>
  <c r="C224" i="278"/>
  <c r="AK223" i="278"/>
  <c r="AJ223" i="278"/>
  <c r="C223" i="278"/>
  <c r="AK222" i="278"/>
  <c r="AJ222" i="278"/>
  <c r="C222" i="278"/>
  <c r="AK221" i="278"/>
  <c r="AJ221" i="278"/>
  <c r="C221" i="278"/>
  <c r="AK220" i="278"/>
  <c r="AJ220" i="278"/>
  <c r="C220" i="278"/>
  <c r="AK219" i="278"/>
  <c r="AJ219" i="278"/>
  <c r="C219" i="278"/>
  <c r="AK218" i="278"/>
  <c r="AJ218" i="278"/>
  <c r="C218" i="278"/>
  <c r="AK217" i="278"/>
  <c r="AJ217" i="278"/>
  <c r="C217" i="278"/>
  <c r="AK216" i="278"/>
  <c r="AJ216" i="278"/>
  <c r="C216" i="278"/>
  <c r="AK215" i="278"/>
  <c r="AJ215" i="278"/>
  <c r="C215" i="278"/>
  <c r="AK214" i="278"/>
  <c r="AJ214" i="278"/>
  <c r="C214" i="278"/>
  <c r="AK213" i="278"/>
  <c r="AJ213" i="278"/>
  <c r="C213" i="278"/>
  <c r="AK212" i="278"/>
  <c r="AJ212" i="278"/>
  <c r="C212" i="278"/>
  <c r="AK211" i="278"/>
  <c r="AJ211" i="278"/>
  <c r="C211" i="278"/>
  <c r="AK210" i="278"/>
  <c r="AJ210" i="278"/>
  <c r="C210" i="278"/>
  <c r="AK209" i="278"/>
  <c r="AJ209" i="278"/>
  <c r="C209" i="278"/>
  <c r="AK208" i="278"/>
  <c r="AJ208" i="278"/>
  <c r="C208" i="278"/>
  <c r="AK207" i="278"/>
  <c r="AJ207" i="278"/>
  <c r="C207" i="278"/>
  <c r="AK206" i="278"/>
  <c r="AJ206" i="278"/>
  <c r="C206" i="278"/>
  <c r="AK205" i="278"/>
  <c r="AJ205" i="278"/>
  <c r="C205" i="278"/>
  <c r="AK204" i="278"/>
  <c r="AJ204" i="278"/>
  <c r="C204" i="278"/>
  <c r="AK203" i="278"/>
  <c r="AJ203" i="278"/>
  <c r="C203" i="278"/>
  <c r="AK202" i="278"/>
  <c r="AJ202" i="278"/>
  <c r="C202" i="278"/>
  <c r="AK201" i="278"/>
  <c r="AJ201" i="278"/>
  <c r="C201" i="278"/>
  <c r="AK200" i="278"/>
  <c r="AJ200" i="278"/>
  <c r="C200" i="278"/>
  <c r="AK199" i="278"/>
  <c r="AJ199" i="278"/>
  <c r="C199" i="278"/>
  <c r="AK198" i="278"/>
  <c r="AJ198" i="278"/>
  <c r="C198" i="278"/>
  <c r="AK197" i="278"/>
  <c r="AJ197" i="278"/>
  <c r="C197" i="278"/>
  <c r="AK196" i="278"/>
  <c r="AJ196" i="278"/>
  <c r="C196" i="278"/>
  <c r="AK195" i="278"/>
  <c r="AJ195" i="278"/>
  <c r="C195" i="278"/>
  <c r="AK194" i="278"/>
  <c r="AJ194" i="278"/>
  <c r="C194" i="278"/>
  <c r="AK193" i="278"/>
  <c r="AJ193" i="278"/>
  <c r="C193" i="278"/>
  <c r="AK192" i="278"/>
  <c r="AJ192" i="278"/>
  <c r="C192" i="278"/>
  <c r="AK191" i="278"/>
  <c r="AJ191" i="278"/>
  <c r="C191" i="278"/>
  <c r="AK190" i="278"/>
  <c r="AJ190" i="278"/>
  <c r="C190" i="278"/>
  <c r="AK189" i="278"/>
  <c r="AJ189" i="278"/>
  <c r="C189" i="278"/>
  <c r="AK188" i="278"/>
  <c r="AJ188" i="278"/>
  <c r="C188" i="278"/>
  <c r="AK187" i="278"/>
  <c r="AJ187" i="278"/>
  <c r="C187" i="278"/>
  <c r="AK186" i="278"/>
  <c r="AJ186" i="278"/>
  <c r="C186" i="278"/>
  <c r="AK185" i="278"/>
  <c r="AJ185" i="278"/>
  <c r="C185" i="278"/>
  <c r="AK184" i="278"/>
  <c r="AJ184" i="278"/>
  <c r="C184" i="278"/>
  <c r="AK183" i="278"/>
  <c r="AJ183" i="278"/>
  <c r="C183" i="278"/>
  <c r="AK182" i="278"/>
  <c r="AJ182" i="278"/>
  <c r="C182" i="278"/>
  <c r="AK181" i="278"/>
  <c r="AJ181" i="278"/>
  <c r="C181" i="278"/>
  <c r="AK180" i="278"/>
  <c r="AJ180" i="278"/>
  <c r="C180" i="278"/>
  <c r="AK179" i="278"/>
  <c r="AJ179" i="278"/>
  <c r="C179" i="278"/>
  <c r="AK178" i="278"/>
  <c r="AJ178" i="278"/>
  <c r="C178" i="278"/>
  <c r="AK177" i="278"/>
  <c r="AJ177" i="278"/>
  <c r="C177" i="278"/>
  <c r="AK176" i="278"/>
  <c r="AJ176" i="278"/>
  <c r="C176" i="278"/>
  <c r="AK175" i="278"/>
  <c r="AJ175" i="278"/>
  <c r="C175" i="278"/>
  <c r="AK174" i="278"/>
  <c r="AJ174" i="278"/>
  <c r="C174" i="278"/>
  <c r="AK173" i="278"/>
  <c r="AJ173" i="278"/>
  <c r="C173" i="278"/>
  <c r="AK172" i="278"/>
  <c r="AJ172" i="278"/>
  <c r="C172" i="278"/>
  <c r="AK171" i="278"/>
  <c r="AJ171" i="278"/>
  <c r="C171" i="278"/>
  <c r="AK170" i="278"/>
  <c r="AJ170" i="278"/>
  <c r="C170" i="278"/>
  <c r="AK169" i="278"/>
  <c r="AJ169" i="278"/>
  <c r="C169" i="278"/>
  <c r="AK168" i="278"/>
  <c r="AJ168" i="278"/>
  <c r="C168" i="278"/>
  <c r="AK167" i="278"/>
  <c r="AJ167" i="278"/>
  <c r="C167" i="278"/>
  <c r="AK166" i="278"/>
  <c r="AJ166" i="278"/>
  <c r="C166" i="278"/>
  <c r="AK165" i="278"/>
  <c r="AJ165" i="278"/>
  <c r="C165" i="278"/>
  <c r="AK164" i="278"/>
  <c r="AJ164" i="278"/>
  <c r="C164" i="278"/>
  <c r="AK163" i="278"/>
  <c r="AJ163" i="278"/>
  <c r="C163" i="278"/>
  <c r="AK162" i="278"/>
  <c r="AJ162" i="278"/>
  <c r="C162" i="278"/>
  <c r="AK161" i="278"/>
  <c r="AJ161" i="278"/>
  <c r="C161" i="278"/>
  <c r="AK160" i="278"/>
  <c r="AJ160" i="278"/>
  <c r="C160" i="278"/>
  <c r="AK159" i="278"/>
  <c r="AJ159" i="278"/>
  <c r="C159" i="278"/>
  <c r="AK158" i="278"/>
  <c r="AJ158" i="278"/>
  <c r="C158" i="278"/>
  <c r="AK157" i="278"/>
  <c r="AJ157" i="278"/>
  <c r="C157" i="278"/>
  <c r="AK156" i="278"/>
  <c r="AJ156" i="278"/>
  <c r="C156" i="278"/>
  <c r="AK155" i="278"/>
  <c r="AJ155" i="278"/>
  <c r="C155" i="278"/>
  <c r="AK154" i="278"/>
  <c r="AJ154" i="278"/>
  <c r="C154" i="278"/>
  <c r="AK153" i="278"/>
  <c r="AJ153" i="278"/>
  <c r="C153" i="278"/>
  <c r="AK152" i="278"/>
  <c r="AJ152" i="278"/>
  <c r="C152" i="278"/>
  <c r="AK151" i="278"/>
  <c r="AJ151" i="278"/>
  <c r="C151" i="278"/>
  <c r="AK150" i="278"/>
  <c r="AJ150" i="278"/>
  <c r="C150" i="278"/>
  <c r="AK149" i="278"/>
  <c r="AJ149" i="278"/>
  <c r="C149" i="278"/>
  <c r="AK148" i="278"/>
  <c r="AJ148" i="278"/>
  <c r="C148" i="278"/>
  <c r="AK147" i="278"/>
  <c r="AJ147" i="278"/>
  <c r="C147" i="278"/>
  <c r="AK146" i="278"/>
  <c r="AJ146" i="278"/>
  <c r="C146" i="278"/>
  <c r="AK145" i="278"/>
  <c r="AJ145" i="278"/>
  <c r="C145" i="278"/>
  <c r="AK144" i="278"/>
  <c r="AJ144" i="278"/>
  <c r="C144" i="278"/>
  <c r="AK143" i="278"/>
  <c r="AJ143" i="278"/>
  <c r="C143" i="278"/>
  <c r="AK142" i="278"/>
  <c r="AJ142" i="278"/>
  <c r="C142" i="278"/>
  <c r="AK141" i="278"/>
  <c r="AJ141" i="278"/>
  <c r="C141" i="278"/>
  <c r="AK140" i="278"/>
  <c r="AJ140" i="278"/>
  <c r="C140" i="278"/>
  <c r="AK139" i="278"/>
  <c r="AJ139" i="278"/>
  <c r="C139" i="278"/>
  <c r="AK138" i="278"/>
  <c r="AJ138" i="278"/>
  <c r="C138" i="278"/>
  <c r="AK137" i="278"/>
  <c r="AJ137" i="278"/>
  <c r="C137" i="278"/>
  <c r="AK136" i="278"/>
  <c r="AJ136" i="278"/>
  <c r="C136" i="278"/>
  <c r="AK135" i="278"/>
  <c r="AJ135" i="278"/>
  <c r="C135" i="278"/>
  <c r="AK134" i="278"/>
  <c r="AJ134" i="278"/>
  <c r="C134" i="278"/>
  <c r="AK133" i="278"/>
  <c r="AJ133" i="278"/>
  <c r="C133" i="278"/>
  <c r="AK132" i="278"/>
  <c r="AJ132" i="278"/>
  <c r="C132" i="278"/>
  <c r="AK131" i="278"/>
  <c r="AJ131" i="278"/>
  <c r="C131" i="278"/>
  <c r="AK130" i="278"/>
  <c r="AJ130" i="278"/>
  <c r="C130" i="278"/>
  <c r="AK129" i="278"/>
  <c r="AJ129" i="278"/>
  <c r="C129" i="278"/>
  <c r="AK128" i="278"/>
  <c r="AJ128" i="278"/>
  <c r="C128" i="278"/>
  <c r="AK127" i="278"/>
  <c r="AJ127" i="278"/>
  <c r="C127" i="278"/>
  <c r="AK126" i="278"/>
  <c r="AJ126" i="278"/>
  <c r="C126" i="278"/>
  <c r="AK125" i="278"/>
  <c r="AJ125" i="278"/>
  <c r="C125" i="278"/>
  <c r="AK124" i="278"/>
  <c r="AJ124" i="278"/>
  <c r="C124" i="278"/>
  <c r="AK123" i="278"/>
  <c r="AJ123" i="278"/>
  <c r="C123" i="278"/>
  <c r="AK122" i="278"/>
  <c r="AJ122" i="278"/>
  <c r="C122" i="278"/>
  <c r="AK121" i="278"/>
  <c r="AJ121" i="278"/>
  <c r="C121" i="278"/>
  <c r="AK120" i="278"/>
  <c r="AJ120" i="278"/>
  <c r="C120" i="278"/>
  <c r="AK119" i="278"/>
  <c r="AJ119" i="278"/>
  <c r="C119" i="278"/>
  <c r="AK118" i="278"/>
  <c r="AJ118" i="278"/>
  <c r="C118" i="278"/>
  <c r="AK117" i="278"/>
  <c r="AJ117" i="278"/>
  <c r="C117" i="278"/>
  <c r="AK116" i="278"/>
  <c r="AJ116" i="278"/>
  <c r="C116" i="278"/>
  <c r="AK115" i="278"/>
  <c r="AJ115" i="278"/>
  <c r="C115" i="278"/>
  <c r="AK114" i="278"/>
  <c r="AJ114" i="278"/>
  <c r="C114" i="278"/>
  <c r="AK113" i="278"/>
  <c r="AJ113" i="278"/>
  <c r="C113" i="278"/>
  <c r="AK112" i="278"/>
  <c r="AJ112" i="278"/>
  <c r="C112" i="278"/>
  <c r="AK111" i="278"/>
  <c r="AJ111" i="278"/>
  <c r="C111" i="278"/>
  <c r="AK110" i="278"/>
  <c r="AJ110" i="278"/>
  <c r="C110" i="278"/>
  <c r="AN109" i="278"/>
  <c r="AM109" i="278"/>
  <c r="AK109" i="278"/>
  <c r="AJ109" i="278"/>
  <c r="C109" i="278"/>
  <c r="AN108" i="278"/>
  <c r="AM108" i="278"/>
  <c r="AK108" i="278"/>
  <c r="AJ108" i="278"/>
  <c r="C108" i="278"/>
  <c r="AN107" i="278"/>
  <c r="AM107" i="278"/>
  <c r="AK107" i="278"/>
  <c r="AJ107" i="278"/>
  <c r="C107" i="278"/>
  <c r="AN106" i="278"/>
  <c r="AM106" i="278"/>
  <c r="AK106" i="278"/>
  <c r="AJ106" i="278"/>
  <c r="C106" i="278"/>
  <c r="AN105" i="278"/>
  <c r="AM105" i="278"/>
  <c r="AK105" i="278"/>
  <c r="AJ105" i="278"/>
  <c r="C105" i="278"/>
  <c r="AN104" i="278"/>
  <c r="AM104" i="278"/>
  <c r="AK104" i="278"/>
  <c r="AJ104" i="278"/>
  <c r="C104" i="278"/>
  <c r="AN103" i="278"/>
  <c r="AM103" i="278"/>
  <c r="AK103" i="278"/>
  <c r="AJ103" i="278"/>
  <c r="C103" i="278"/>
  <c r="AN102" i="278"/>
  <c r="AM102" i="278"/>
  <c r="AK102" i="278"/>
  <c r="AJ102" i="278"/>
  <c r="C102" i="278"/>
  <c r="AN101" i="278"/>
  <c r="AM101" i="278"/>
  <c r="AK101" i="278"/>
  <c r="AJ101" i="278"/>
  <c r="C101" i="278"/>
  <c r="AN100" i="278"/>
  <c r="AM100" i="278"/>
  <c r="AK100" i="278"/>
  <c r="AJ100" i="278"/>
  <c r="C100" i="278"/>
  <c r="AN99" i="278"/>
  <c r="AM99" i="278"/>
  <c r="AK99" i="278"/>
  <c r="AJ99" i="278"/>
  <c r="C99" i="278"/>
  <c r="AN98" i="278"/>
  <c r="AM98" i="278"/>
  <c r="AK98" i="278"/>
  <c r="AJ98" i="278"/>
  <c r="C98" i="278"/>
  <c r="AN97" i="278"/>
  <c r="AM97" i="278"/>
  <c r="AK97" i="278"/>
  <c r="AJ97" i="278"/>
  <c r="C97" i="278"/>
  <c r="AN96" i="278"/>
  <c r="AM96" i="278"/>
  <c r="AK96" i="278"/>
  <c r="AJ96" i="278"/>
  <c r="C96" i="278"/>
  <c r="AN95" i="278"/>
  <c r="AM95" i="278"/>
  <c r="AK95" i="278"/>
  <c r="AJ95" i="278"/>
  <c r="C95" i="278"/>
  <c r="AN94" i="278"/>
  <c r="AM94" i="278"/>
  <c r="AK94" i="278"/>
  <c r="AJ94" i="278"/>
  <c r="C94" i="278"/>
  <c r="AN93" i="278"/>
  <c r="AM93" i="278"/>
  <c r="AK93" i="278"/>
  <c r="AJ93" i="278"/>
  <c r="C93" i="278"/>
  <c r="AN92" i="278"/>
  <c r="AM92" i="278"/>
  <c r="AK92" i="278"/>
  <c r="AJ92" i="278"/>
  <c r="C92" i="278"/>
  <c r="AN91" i="278"/>
  <c r="AM91" i="278"/>
  <c r="AK91" i="278"/>
  <c r="AJ91" i="278"/>
  <c r="C91" i="278"/>
  <c r="AN90" i="278"/>
  <c r="AM90" i="278"/>
  <c r="AK90" i="278"/>
  <c r="AJ90" i="278"/>
  <c r="C90" i="278"/>
  <c r="AN89" i="278"/>
  <c r="AM89" i="278"/>
  <c r="AK89" i="278"/>
  <c r="AJ89" i="278"/>
  <c r="C89" i="278"/>
  <c r="AN88" i="278"/>
  <c r="AM88" i="278"/>
  <c r="AK88" i="278"/>
  <c r="AJ88" i="278"/>
  <c r="C88" i="278"/>
  <c r="AN87" i="278"/>
  <c r="AM87" i="278"/>
  <c r="AK87" i="278"/>
  <c r="AJ87" i="278"/>
  <c r="C87" i="278"/>
  <c r="AN86" i="278"/>
  <c r="AM86" i="278"/>
  <c r="AK86" i="278"/>
  <c r="AJ86" i="278"/>
  <c r="C86" i="278"/>
  <c r="AN85" i="278"/>
  <c r="AM85" i="278"/>
  <c r="AK85" i="278"/>
  <c r="AJ85" i="278"/>
  <c r="C85" i="278"/>
  <c r="AN84" i="278"/>
  <c r="AM84" i="278"/>
  <c r="AK84" i="278"/>
  <c r="AJ84" i="278"/>
  <c r="C84" i="278"/>
  <c r="AN83" i="278"/>
  <c r="AM83" i="278"/>
  <c r="AK83" i="278"/>
  <c r="AJ83" i="278"/>
  <c r="C83" i="278"/>
  <c r="AN82" i="278"/>
  <c r="AM82" i="278"/>
  <c r="AK82" i="278"/>
  <c r="AJ82" i="278"/>
  <c r="C82" i="278"/>
  <c r="AN81" i="278"/>
  <c r="AM81" i="278"/>
  <c r="AK81" i="278"/>
  <c r="AJ81" i="278"/>
  <c r="C81" i="278"/>
  <c r="AN80" i="278"/>
  <c r="AM80" i="278"/>
  <c r="AK80" i="278"/>
  <c r="AJ80" i="278"/>
  <c r="C80" i="278"/>
  <c r="AN79" i="278"/>
  <c r="AM79" i="278"/>
  <c r="AK79" i="278"/>
  <c r="AJ79" i="278"/>
  <c r="C79" i="278"/>
  <c r="AN78" i="278"/>
  <c r="AM78" i="278"/>
  <c r="AK78" i="278"/>
  <c r="AJ78" i="278"/>
  <c r="C78" i="278"/>
  <c r="AN77" i="278"/>
  <c r="AM77" i="278"/>
  <c r="AK77" i="278"/>
  <c r="AJ77" i="278"/>
  <c r="C77" i="278"/>
  <c r="AN76" i="278"/>
  <c r="AM76" i="278"/>
  <c r="AK76" i="278"/>
  <c r="AJ76" i="278"/>
  <c r="C76" i="278"/>
  <c r="AN75" i="278"/>
  <c r="AM75" i="278"/>
  <c r="AK75" i="278"/>
  <c r="AJ75" i="278"/>
  <c r="C75" i="278"/>
  <c r="AN74" i="278"/>
  <c r="AM74" i="278"/>
  <c r="AK74" i="278"/>
  <c r="AJ74" i="278"/>
  <c r="C74" i="278"/>
  <c r="AN73" i="278"/>
  <c r="AM73" i="278"/>
  <c r="AK73" i="278"/>
  <c r="AJ73" i="278"/>
  <c r="C73" i="278"/>
  <c r="AN72" i="278"/>
  <c r="AM72" i="278"/>
  <c r="AK72" i="278"/>
  <c r="AJ72" i="278"/>
  <c r="C72" i="278"/>
  <c r="AN71" i="278"/>
  <c r="AM71" i="278"/>
  <c r="AK71" i="278"/>
  <c r="AJ71" i="278"/>
  <c r="C71" i="278"/>
  <c r="AN70" i="278"/>
  <c r="AM70" i="278"/>
  <c r="AK70" i="278"/>
  <c r="AJ70" i="278"/>
  <c r="C70" i="278"/>
  <c r="AN69" i="278"/>
  <c r="AM69" i="278"/>
  <c r="AK69" i="278"/>
  <c r="AJ69" i="278"/>
  <c r="C69" i="278"/>
  <c r="AN68" i="278"/>
  <c r="AM68" i="278"/>
  <c r="AK68" i="278"/>
  <c r="AJ68" i="278"/>
  <c r="C68" i="278"/>
  <c r="AN67" i="278"/>
  <c r="AM67" i="278"/>
  <c r="AK67" i="278"/>
  <c r="AJ67" i="278"/>
  <c r="C67" i="278"/>
  <c r="AN66" i="278"/>
  <c r="AM66" i="278"/>
  <c r="AK66" i="278"/>
  <c r="AJ66" i="278"/>
  <c r="C66" i="278"/>
  <c r="AN65" i="278"/>
  <c r="AM65" i="278"/>
  <c r="AK65" i="278"/>
  <c r="AJ65" i="278"/>
  <c r="C65" i="278"/>
  <c r="AN64" i="278"/>
  <c r="AM64" i="278"/>
  <c r="AK64" i="278"/>
  <c r="AJ64" i="278"/>
  <c r="C64" i="278"/>
  <c r="AN63" i="278"/>
  <c r="AM63" i="278"/>
  <c r="AK63" i="278"/>
  <c r="AJ63" i="278"/>
  <c r="C63" i="278"/>
  <c r="AN62" i="278"/>
  <c r="AM62" i="278"/>
  <c r="AK62" i="278"/>
  <c r="AJ62" i="278"/>
  <c r="C62" i="278"/>
  <c r="AN61" i="278"/>
  <c r="AM61" i="278"/>
  <c r="AK61" i="278"/>
  <c r="AJ61" i="278"/>
  <c r="C61" i="278"/>
  <c r="AN60" i="278"/>
  <c r="AM60" i="278"/>
  <c r="AK60" i="278"/>
  <c r="AJ60" i="278"/>
  <c r="C60" i="278"/>
  <c r="AN59" i="278"/>
  <c r="AM59" i="278"/>
  <c r="AK59" i="278"/>
  <c r="AJ59" i="278"/>
  <c r="C59" i="278"/>
  <c r="AN58" i="278"/>
  <c r="AM58" i="278"/>
  <c r="AK58" i="278"/>
  <c r="AJ58" i="278"/>
  <c r="C58" i="278"/>
  <c r="AN57" i="278"/>
  <c r="AM57" i="278"/>
  <c r="AK57" i="278"/>
  <c r="AJ57" i="278"/>
  <c r="C57" i="278"/>
  <c r="AN56" i="278"/>
  <c r="AM56" i="278"/>
  <c r="AK56" i="278"/>
  <c r="AJ56" i="278"/>
  <c r="C56" i="278"/>
  <c r="AN55" i="278"/>
  <c r="AM55" i="278"/>
  <c r="AK55" i="278"/>
  <c r="AJ55" i="278"/>
  <c r="C55" i="278"/>
  <c r="AN54" i="278"/>
  <c r="AM54" i="278"/>
  <c r="AK54" i="278"/>
  <c r="AJ54" i="278"/>
  <c r="C54" i="278"/>
  <c r="AK53" i="278"/>
  <c r="AJ53" i="278"/>
  <c r="C53" i="278"/>
  <c r="AK52" i="278"/>
  <c r="AJ52" i="278"/>
  <c r="C52" i="278"/>
  <c r="AK51" i="278"/>
  <c r="AJ51" i="278"/>
  <c r="C51" i="278"/>
  <c r="AK50" i="278"/>
  <c r="AJ50" i="278"/>
  <c r="C50" i="278"/>
  <c r="AK49" i="278"/>
  <c r="AJ49" i="278"/>
  <c r="C49" i="278"/>
  <c r="AK48" i="278"/>
  <c r="AJ48" i="278"/>
  <c r="C48" i="278"/>
  <c r="AK47" i="278"/>
  <c r="AJ47" i="278"/>
  <c r="C47" i="278"/>
  <c r="AK46" i="278"/>
  <c r="AJ46" i="278"/>
  <c r="C46" i="278"/>
  <c r="AK45" i="278"/>
  <c r="AJ45" i="278"/>
  <c r="C45" i="278"/>
  <c r="AK44" i="278"/>
  <c r="AJ44" i="278"/>
  <c r="C44" i="278"/>
  <c r="AK43" i="278"/>
  <c r="AJ43" i="278"/>
  <c r="C43" i="278"/>
  <c r="AK42" i="278"/>
  <c r="AJ42" i="278"/>
  <c r="C42" i="278"/>
  <c r="AK41" i="278"/>
  <c r="AJ41" i="278"/>
  <c r="C41" i="278"/>
  <c r="AK40" i="278"/>
  <c r="AJ40" i="278"/>
  <c r="C40" i="278"/>
  <c r="AK39" i="278"/>
  <c r="AJ39" i="278"/>
  <c r="C39" i="278"/>
  <c r="AK38" i="278"/>
  <c r="AJ38" i="278"/>
  <c r="C38" i="278"/>
  <c r="AK37" i="278"/>
  <c r="AJ37" i="278"/>
  <c r="C37" i="278"/>
  <c r="AK36" i="278"/>
  <c r="AJ36" i="278"/>
  <c r="C36" i="278"/>
  <c r="AK35" i="278"/>
  <c r="AJ35" i="278"/>
  <c r="C35" i="278"/>
  <c r="AK34" i="278"/>
  <c r="AJ34" i="278"/>
  <c r="C34" i="278"/>
  <c r="AK33" i="278"/>
  <c r="AJ33" i="278"/>
  <c r="C33" i="278"/>
  <c r="AK32" i="278"/>
  <c r="AJ32" i="278"/>
  <c r="C32" i="278"/>
  <c r="AK31" i="278"/>
  <c r="AJ31" i="278"/>
  <c r="C31" i="278"/>
  <c r="AK30" i="278"/>
  <c r="AJ30" i="278"/>
  <c r="C30" i="278"/>
  <c r="AK29" i="278"/>
  <c r="AJ29" i="278"/>
  <c r="C29" i="278"/>
  <c r="AK28" i="278"/>
  <c r="AJ28" i="278"/>
  <c r="C28" i="278"/>
  <c r="AK27" i="278"/>
  <c r="AJ27" i="278"/>
  <c r="C27" i="278"/>
  <c r="AK26" i="278"/>
  <c r="AJ26" i="278"/>
  <c r="C26" i="278"/>
  <c r="AK25" i="278"/>
  <c r="AJ25" i="278"/>
  <c r="C25" i="278"/>
  <c r="AK24" i="278"/>
  <c r="AJ24" i="278"/>
  <c r="C24" i="278"/>
  <c r="AK23" i="278"/>
  <c r="AJ23" i="278"/>
  <c r="C23" i="278"/>
  <c r="AK22" i="278"/>
  <c r="AJ22" i="278"/>
  <c r="C22" i="278"/>
  <c r="AK21" i="278"/>
  <c r="AJ21" i="278"/>
  <c r="C21" i="278"/>
  <c r="AK20" i="278"/>
  <c r="AJ20" i="278"/>
  <c r="C20" i="278"/>
  <c r="AK19" i="278"/>
  <c r="AJ19" i="278"/>
  <c r="C19" i="278"/>
  <c r="AK18" i="278"/>
  <c r="AJ18" i="278"/>
  <c r="C18" i="278"/>
  <c r="AK17" i="278"/>
  <c r="AJ17" i="278"/>
  <c r="C17" i="278"/>
  <c r="AK16" i="278"/>
  <c r="AJ16" i="278"/>
  <c r="C16" i="278"/>
  <c r="AK15" i="278"/>
  <c r="AJ15" i="278"/>
  <c r="C15" i="278"/>
  <c r="AK14" i="278"/>
  <c r="AJ14" i="278"/>
  <c r="C14" i="278"/>
  <c r="AK13" i="278"/>
  <c r="AJ13" i="278"/>
  <c r="C13" i="278"/>
  <c r="AK12" i="278"/>
  <c r="AJ12" i="278"/>
  <c r="C12" i="278"/>
  <c r="AK11" i="278"/>
  <c r="AJ11" i="278"/>
  <c r="C11" i="278"/>
  <c r="AK10" i="278"/>
  <c r="AJ10" i="278"/>
  <c r="C10" i="278"/>
  <c r="AK9" i="278"/>
  <c r="AJ9" i="278"/>
  <c r="AI9" i="278"/>
  <c r="AH9" i="278"/>
  <c r="AG9" i="278"/>
  <c r="AF9" i="278"/>
  <c r="AE9" i="278"/>
  <c r="AD9" i="278"/>
  <c r="AC9" i="278"/>
  <c r="AB9" i="278"/>
  <c r="AA9" i="278"/>
  <c r="Z9" i="278"/>
  <c r="Y9" i="278"/>
  <c r="X9" i="278"/>
  <c r="W9" i="278"/>
  <c r="V9" i="278"/>
  <c r="U9" i="278"/>
  <c r="T9" i="278"/>
  <c r="S9" i="278"/>
  <c r="R9" i="278"/>
  <c r="Q9" i="278"/>
  <c r="P9" i="278"/>
  <c r="O9" i="278"/>
  <c r="N9" i="278"/>
  <c r="M9" i="278"/>
  <c r="L9" i="278"/>
  <c r="K9" i="278"/>
  <c r="J9" i="278"/>
  <c r="I9" i="278"/>
  <c r="H9" i="278"/>
  <c r="G9" i="278"/>
  <c r="F9" i="278"/>
  <c r="E9" i="278"/>
  <c r="AK19" i="279"/>
  <c r="AJ19" i="279"/>
  <c r="AI19" i="279"/>
  <c r="AH19" i="279"/>
  <c r="AG19" i="279"/>
  <c r="AF19" i="279"/>
  <c r="AE19" i="279"/>
  <c r="AD19" i="279"/>
  <c r="AC19" i="279"/>
  <c r="AB19" i="279"/>
  <c r="AA19" i="279"/>
  <c r="Z19" i="279"/>
  <c r="Y19" i="279"/>
  <c r="X19" i="279"/>
  <c r="W19" i="279"/>
  <c r="V19" i="279"/>
  <c r="U19" i="279"/>
  <c r="T19" i="279"/>
  <c r="S19" i="279"/>
  <c r="R19" i="279"/>
  <c r="Q19" i="279"/>
  <c r="P19" i="279"/>
  <c r="O19" i="279"/>
  <c r="N19" i="279"/>
  <c r="M19" i="279"/>
  <c r="L19" i="279"/>
  <c r="K19" i="279"/>
  <c r="J19" i="279"/>
  <c r="I19" i="279"/>
  <c r="H19" i="279"/>
  <c r="G19" i="279"/>
  <c r="F19" i="279"/>
  <c r="E19" i="279"/>
  <c r="AK18" i="279"/>
  <c r="AJ18" i="279"/>
  <c r="AK17" i="279"/>
  <c r="AJ17" i="279"/>
  <c r="AI17" i="279"/>
  <c r="AH17" i="279"/>
  <c r="AG17" i="279"/>
  <c r="AF17" i="279"/>
  <c r="AE17" i="279"/>
  <c r="AD17" i="279"/>
  <c r="AC17" i="279"/>
  <c r="AB17" i="279"/>
  <c r="AA17" i="279"/>
  <c r="Z17" i="279"/>
  <c r="Y17" i="279"/>
  <c r="X17" i="279"/>
  <c r="W17" i="279"/>
  <c r="V17" i="279"/>
  <c r="U17" i="279"/>
  <c r="T17" i="279"/>
  <c r="S17" i="279"/>
  <c r="R17" i="279"/>
  <c r="Q17" i="279"/>
  <c r="P17" i="279"/>
  <c r="O17" i="279"/>
  <c r="N17" i="279"/>
  <c r="M17" i="279"/>
  <c r="L17" i="279"/>
  <c r="K17" i="279"/>
  <c r="J17" i="279"/>
  <c r="I17" i="279"/>
  <c r="H17" i="279"/>
  <c r="G17" i="279"/>
  <c r="F17" i="279"/>
  <c r="E17" i="279"/>
  <c r="AK16" i="279"/>
  <c r="AJ16" i="279"/>
  <c r="AM15" i="279"/>
  <c r="AK15" i="279"/>
  <c r="AJ15" i="279"/>
  <c r="AI15" i="279"/>
  <c r="AH15" i="279"/>
  <c r="AG15" i="279"/>
  <c r="AF15" i="279"/>
  <c r="AE15" i="279"/>
  <c r="AD15" i="279"/>
  <c r="AC15" i="279"/>
  <c r="AB15" i="279"/>
  <c r="AA15" i="279"/>
  <c r="Z15" i="279"/>
  <c r="Y15" i="279"/>
  <c r="X15" i="279"/>
  <c r="W15" i="279"/>
  <c r="V15" i="279"/>
  <c r="U15" i="279"/>
  <c r="T15" i="279"/>
  <c r="S15" i="279"/>
  <c r="R15" i="279"/>
  <c r="Q15" i="279"/>
  <c r="P15" i="279"/>
  <c r="O15" i="279"/>
  <c r="N15" i="279"/>
  <c r="M15" i="279"/>
  <c r="L15" i="279"/>
  <c r="K15" i="279"/>
  <c r="J15" i="279"/>
  <c r="I15" i="279"/>
  <c r="H15" i="279"/>
  <c r="G15" i="279"/>
  <c r="F15" i="279"/>
  <c r="E15" i="279"/>
  <c r="AK14" i="279"/>
  <c r="AJ14" i="279"/>
  <c r="AK13" i="279"/>
  <c r="AJ13" i="279"/>
  <c r="AI13" i="279"/>
  <c r="AH13" i="279"/>
  <c r="AG13" i="279"/>
  <c r="AF13" i="279"/>
  <c r="AE13" i="279"/>
  <c r="AD13" i="279"/>
  <c r="AC13" i="279"/>
  <c r="AB13" i="279"/>
  <c r="AA13" i="279"/>
  <c r="Z13" i="279"/>
  <c r="Y13" i="279"/>
  <c r="X13" i="279"/>
  <c r="W13" i="279"/>
  <c r="V13" i="279"/>
  <c r="U13" i="279"/>
  <c r="T13" i="279"/>
  <c r="S13" i="279"/>
  <c r="R13" i="279"/>
  <c r="Q13" i="279"/>
  <c r="P13" i="279"/>
  <c r="O13" i="279"/>
  <c r="N13" i="279"/>
  <c r="M13" i="279"/>
  <c r="L13" i="279"/>
  <c r="K13" i="279"/>
  <c r="J13" i="279"/>
  <c r="I13" i="279"/>
  <c r="H13" i="279"/>
  <c r="G13" i="279"/>
  <c r="F13" i="279"/>
  <c r="E13" i="279"/>
  <c r="AM12" i="279"/>
  <c r="AK12" i="279"/>
  <c r="AJ12" i="279"/>
  <c r="AK11" i="279"/>
  <c r="AJ11" i="279"/>
  <c r="AI11" i="279"/>
  <c r="AH11" i="279"/>
  <c r="AG11" i="279"/>
  <c r="AF11" i="279"/>
  <c r="AE11" i="279"/>
  <c r="AD11" i="279"/>
  <c r="AC11" i="279"/>
  <c r="AB11" i="279"/>
  <c r="AA11" i="279"/>
  <c r="Z11" i="279"/>
  <c r="Y11" i="279"/>
  <c r="X11" i="279"/>
  <c r="W11" i="279"/>
  <c r="V11" i="279"/>
  <c r="U11" i="279"/>
  <c r="T11" i="279"/>
  <c r="S11" i="279"/>
  <c r="R11" i="279"/>
  <c r="Q11" i="279"/>
  <c r="P11" i="279"/>
  <c r="O11" i="279"/>
  <c r="N11" i="279"/>
  <c r="M11" i="279"/>
  <c r="L11" i="279"/>
  <c r="K11" i="279"/>
  <c r="J11" i="279"/>
  <c r="I11" i="279"/>
  <c r="H11" i="279"/>
  <c r="G11" i="279"/>
  <c r="F11" i="279"/>
  <c r="E11" i="279"/>
  <c r="AM10" i="279"/>
  <c r="AK10" i="279"/>
  <c r="AJ10" i="279"/>
  <c r="AK9" i="279"/>
  <c r="AJ9" i="279"/>
  <c r="AI9" i="279"/>
  <c r="AH9" i="279"/>
  <c r="AG9" i="279"/>
  <c r="AF9" i="279"/>
  <c r="AE9" i="279"/>
  <c r="AD9" i="279"/>
  <c r="AC9" i="279"/>
  <c r="AB9" i="279"/>
  <c r="AA9" i="279"/>
  <c r="Z9" i="279"/>
  <c r="Y9" i="279"/>
  <c r="X9" i="279"/>
  <c r="W9" i="279"/>
  <c r="V9" i="279"/>
  <c r="U9" i="279"/>
  <c r="T9" i="279"/>
  <c r="S9" i="279"/>
  <c r="R9" i="279"/>
  <c r="Q9" i="279"/>
  <c r="P9" i="279"/>
  <c r="O9" i="279"/>
  <c r="N9" i="279"/>
  <c r="M9" i="279"/>
  <c r="L9" i="279"/>
  <c r="K9" i="279"/>
  <c r="J9" i="279"/>
  <c r="I9" i="279"/>
  <c r="H9" i="279"/>
  <c r="G9" i="279"/>
  <c r="F9" i="279"/>
  <c r="E9" i="279"/>
  <c r="AR450" i="252"/>
  <c r="AI448" i="252"/>
  <c r="AH448" i="252"/>
  <c r="AG448" i="252"/>
  <c r="AF448" i="252"/>
  <c r="AE448" i="252"/>
  <c r="AD448" i="252"/>
  <c r="AC448" i="252"/>
  <c r="AB448" i="252"/>
  <c r="AA448" i="252"/>
  <c r="Z448" i="252"/>
  <c r="Y448" i="252"/>
  <c r="X448" i="252"/>
  <c r="W448" i="252"/>
  <c r="V448" i="252"/>
  <c r="U448" i="252"/>
  <c r="T448" i="252"/>
  <c r="S448" i="252"/>
  <c r="R448" i="252"/>
  <c r="Q448" i="252"/>
  <c r="P448" i="252"/>
  <c r="O448" i="252"/>
  <c r="N448" i="252"/>
  <c r="M448" i="252"/>
  <c r="L448" i="252"/>
  <c r="K448" i="252"/>
  <c r="J448" i="252"/>
  <c r="I448" i="252"/>
  <c r="H448" i="252"/>
  <c r="G448" i="252"/>
  <c r="F448" i="252"/>
  <c r="E448" i="252"/>
  <c r="D448" i="252"/>
  <c r="AI447" i="252"/>
  <c r="B447" i="252"/>
  <c r="AI446" i="252"/>
  <c r="B446" i="252"/>
  <c r="AI445" i="252"/>
  <c r="B445" i="252"/>
  <c r="AI444" i="252"/>
  <c r="B444" i="252"/>
  <c r="AI443" i="252"/>
  <c r="B443" i="252"/>
  <c r="AI442" i="252"/>
  <c r="B442" i="252"/>
  <c r="AI441" i="252"/>
  <c r="B441" i="252"/>
  <c r="AI440" i="252"/>
  <c r="AH440" i="252"/>
  <c r="AG440" i="252"/>
  <c r="AF440" i="252"/>
  <c r="AE440" i="252"/>
  <c r="AD440" i="252"/>
  <c r="AC440" i="252"/>
  <c r="AB440" i="252"/>
  <c r="AA440" i="252"/>
  <c r="Z440" i="252"/>
  <c r="Y440" i="252"/>
  <c r="X440" i="252"/>
  <c r="W440" i="252"/>
  <c r="V440" i="252"/>
  <c r="U440" i="252"/>
  <c r="T440" i="252"/>
  <c r="S440" i="252"/>
  <c r="R440" i="252"/>
  <c r="Q440" i="252"/>
  <c r="P440" i="252"/>
  <c r="O440" i="252"/>
  <c r="N440" i="252"/>
  <c r="M440" i="252"/>
  <c r="L440" i="252"/>
  <c r="K440" i="252"/>
  <c r="J440" i="252"/>
  <c r="I440" i="252"/>
  <c r="H440" i="252"/>
  <c r="G440" i="252"/>
  <c r="F440" i="252"/>
  <c r="E440" i="252"/>
  <c r="D440" i="252"/>
  <c r="B440" i="252"/>
  <c r="AI439" i="252"/>
  <c r="B439" i="252"/>
  <c r="AI438" i="252"/>
  <c r="B438" i="252"/>
  <c r="AI437" i="252"/>
  <c r="B437" i="252"/>
  <c r="AI436" i="252"/>
  <c r="B436" i="252"/>
  <c r="AI435" i="252"/>
  <c r="B435" i="252"/>
  <c r="AI434" i="252"/>
  <c r="B434" i="252"/>
  <c r="AI433" i="252"/>
  <c r="B433" i="252"/>
  <c r="AI432" i="252"/>
  <c r="B432" i="252"/>
  <c r="AI431" i="252"/>
  <c r="B431" i="252"/>
  <c r="AI430" i="252"/>
  <c r="B430" i="252"/>
  <c r="AI429" i="252"/>
  <c r="B429" i="252"/>
  <c r="AI428" i="252"/>
  <c r="B428" i="252"/>
  <c r="AI427" i="252"/>
  <c r="B427" i="252"/>
  <c r="AI426" i="252"/>
  <c r="B426" i="252"/>
  <c r="AI425" i="252"/>
  <c r="B425" i="252"/>
  <c r="AI424" i="252"/>
  <c r="B424" i="252"/>
  <c r="AI423" i="252"/>
  <c r="B423" i="252"/>
  <c r="AI422" i="252"/>
  <c r="B422" i="252"/>
  <c r="AI421" i="252"/>
  <c r="B421" i="252"/>
  <c r="AI420" i="252"/>
  <c r="B420" i="252"/>
  <c r="AI419" i="252"/>
  <c r="B419" i="252"/>
  <c r="AI418" i="252"/>
  <c r="B418" i="252"/>
  <c r="AI417" i="252"/>
  <c r="B417" i="252"/>
  <c r="AI416" i="252"/>
  <c r="B416" i="252"/>
  <c r="AI415" i="252"/>
  <c r="B415" i="252"/>
  <c r="AI414" i="252"/>
  <c r="B414" i="252"/>
  <c r="AI413" i="252"/>
  <c r="B413" i="252"/>
  <c r="AI412" i="252"/>
  <c r="B412" i="252"/>
  <c r="AI411" i="252"/>
  <c r="B411" i="252"/>
  <c r="AI410" i="252"/>
  <c r="B410" i="252"/>
  <c r="AI409" i="252"/>
  <c r="B409" i="252"/>
  <c r="AI408" i="252"/>
  <c r="B408" i="252"/>
  <c r="AI407" i="252"/>
  <c r="B407" i="252"/>
  <c r="AI406" i="252"/>
  <c r="B406" i="252"/>
  <c r="AI405" i="252"/>
  <c r="B405" i="252"/>
  <c r="AI404" i="252"/>
  <c r="B404" i="252"/>
  <c r="AI403" i="252"/>
  <c r="B403" i="252"/>
  <c r="AI402" i="252"/>
  <c r="B402" i="252"/>
  <c r="AI401" i="252"/>
  <c r="B401" i="252"/>
  <c r="AI400" i="252"/>
  <c r="B400" i="252"/>
  <c r="AI399" i="252"/>
  <c r="B399" i="252"/>
  <c r="AI398" i="252"/>
  <c r="B398" i="252"/>
  <c r="AI397" i="252"/>
  <c r="B397" i="252"/>
  <c r="AI396" i="252"/>
  <c r="B396" i="252"/>
  <c r="AI395" i="252"/>
  <c r="B395" i="252"/>
  <c r="AI394" i="252"/>
  <c r="B394" i="252"/>
  <c r="AI393" i="252"/>
  <c r="B393" i="252"/>
  <c r="AI392" i="252"/>
  <c r="B392" i="252"/>
  <c r="AI391" i="252"/>
  <c r="B391" i="252"/>
  <c r="AI390" i="252"/>
  <c r="B390" i="252"/>
  <c r="AI389" i="252"/>
  <c r="B389" i="252"/>
  <c r="AI388" i="252"/>
  <c r="B388" i="252"/>
  <c r="AI387" i="252"/>
  <c r="B387" i="252"/>
  <c r="AI386" i="252"/>
  <c r="B386" i="252"/>
  <c r="AI385" i="252"/>
  <c r="B385" i="252"/>
  <c r="AI384" i="252"/>
  <c r="B384" i="252"/>
  <c r="AI383" i="252"/>
  <c r="B383" i="252"/>
  <c r="AI382" i="252"/>
  <c r="AG382" i="252"/>
  <c r="AF382" i="252"/>
  <c r="AE382" i="252"/>
  <c r="AD382" i="252"/>
  <c r="AC382" i="252"/>
  <c r="AB382" i="252"/>
  <c r="AA382" i="252"/>
  <c r="Z382" i="252"/>
  <c r="Y382" i="252"/>
  <c r="X382" i="252"/>
  <c r="W382" i="252"/>
  <c r="V382" i="252"/>
  <c r="U382" i="252"/>
  <c r="T382" i="252"/>
  <c r="S382" i="252"/>
  <c r="R382" i="252"/>
  <c r="Q382" i="252"/>
  <c r="P382" i="252"/>
  <c r="O382" i="252"/>
  <c r="N382" i="252"/>
  <c r="M382" i="252"/>
  <c r="L382" i="252"/>
  <c r="K382" i="252"/>
  <c r="J382" i="252"/>
  <c r="I382" i="252"/>
  <c r="H382" i="252"/>
  <c r="G382" i="252"/>
  <c r="F382" i="252"/>
  <c r="E382" i="252"/>
  <c r="D382" i="252"/>
  <c r="B382" i="252"/>
  <c r="AI381" i="252"/>
  <c r="B381" i="252"/>
  <c r="AI380" i="252"/>
  <c r="B380" i="252"/>
  <c r="AI379" i="252"/>
  <c r="B379" i="252"/>
  <c r="AI378" i="252"/>
  <c r="B378" i="252"/>
  <c r="AI377" i="252"/>
  <c r="B377" i="252"/>
  <c r="AI376" i="252"/>
  <c r="B376" i="252"/>
  <c r="AI375" i="252"/>
  <c r="B375" i="252"/>
  <c r="AI374" i="252"/>
  <c r="B374" i="252"/>
  <c r="AI373" i="252"/>
  <c r="B373" i="252"/>
  <c r="AI372" i="252"/>
  <c r="B372" i="252"/>
  <c r="AI371" i="252"/>
  <c r="B371" i="252"/>
  <c r="AI370" i="252"/>
  <c r="B370" i="252"/>
  <c r="AI369" i="252"/>
  <c r="B369" i="252"/>
  <c r="AI368" i="252"/>
  <c r="B368" i="252"/>
  <c r="AI367" i="252"/>
  <c r="B367" i="252"/>
  <c r="AI366" i="252"/>
  <c r="B366" i="252"/>
  <c r="AI365" i="252"/>
  <c r="B365" i="252"/>
  <c r="AI364" i="252"/>
  <c r="B364" i="252"/>
  <c r="AI363" i="252"/>
  <c r="B363" i="252"/>
  <c r="AI362" i="252"/>
  <c r="B362" i="252"/>
  <c r="AI361" i="252"/>
  <c r="B361" i="252"/>
  <c r="AI360" i="252"/>
  <c r="B360" i="252"/>
  <c r="AI359" i="252"/>
  <c r="B359" i="252"/>
  <c r="AI358" i="252"/>
  <c r="B358" i="252"/>
  <c r="AI357" i="252"/>
  <c r="B357" i="252"/>
  <c r="AI356" i="252"/>
  <c r="B356" i="252"/>
  <c r="AI355" i="252"/>
  <c r="B355" i="252"/>
  <c r="AI354" i="252"/>
  <c r="B354" i="252"/>
  <c r="AI353" i="252"/>
  <c r="B353" i="252"/>
  <c r="AI352" i="252"/>
  <c r="B352" i="252"/>
  <c r="AI351" i="252"/>
  <c r="B351" i="252"/>
  <c r="AI350" i="252"/>
  <c r="B350" i="252"/>
  <c r="AI349" i="252"/>
  <c r="B349" i="252"/>
  <c r="AI348" i="252"/>
  <c r="B348" i="252"/>
  <c r="AI347" i="252"/>
  <c r="B347" i="252"/>
  <c r="AI346" i="252"/>
  <c r="B346" i="252"/>
  <c r="AI345" i="252"/>
  <c r="B345" i="252"/>
  <c r="AI344" i="252"/>
  <c r="B344" i="252"/>
  <c r="AI343" i="252"/>
  <c r="B343" i="252"/>
  <c r="AI342" i="252"/>
  <c r="B342" i="252"/>
  <c r="AI341" i="252"/>
  <c r="B341" i="252"/>
  <c r="AI340" i="252"/>
  <c r="B340" i="252"/>
  <c r="AI339" i="252"/>
  <c r="B339" i="252"/>
  <c r="AI338" i="252"/>
  <c r="B338" i="252"/>
  <c r="AI337" i="252"/>
  <c r="B337" i="252"/>
  <c r="AI336" i="252"/>
  <c r="B336" i="252"/>
  <c r="AI335" i="252"/>
  <c r="B335" i="252"/>
  <c r="AI334" i="252"/>
  <c r="B334" i="252"/>
  <c r="AI333" i="252"/>
  <c r="B333" i="252"/>
  <c r="AI332" i="252"/>
  <c r="B332" i="252"/>
  <c r="AI331" i="252"/>
  <c r="B331" i="252"/>
  <c r="AI330" i="252"/>
  <c r="B330" i="252"/>
  <c r="AI329" i="252"/>
  <c r="B329" i="252"/>
  <c r="AI328" i="252"/>
  <c r="B328" i="252"/>
  <c r="AI327" i="252"/>
  <c r="B327" i="252"/>
  <c r="AI326" i="252"/>
  <c r="B326" i="252"/>
  <c r="AI325" i="252"/>
  <c r="B325" i="252"/>
  <c r="AI324" i="252"/>
  <c r="B324" i="252"/>
  <c r="AI323" i="252"/>
  <c r="B323" i="252"/>
  <c r="AI322" i="252"/>
  <c r="B322" i="252"/>
  <c r="AI321" i="252"/>
  <c r="B321" i="252"/>
  <c r="AI320" i="252"/>
  <c r="B320" i="252"/>
  <c r="AI319" i="252"/>
  <c r="B319" i="252"/>
  <c r="AI318" i="252"/>
  <c r="B318" i="252"/>
  <c r="AI317" i="252"/>
  <c r="B317" i="252"/>
  <c r="AI316" i="252"/>
  <c r="B316" i="252"/>
  <c r="AI315" i="252"/>
  <c r="B315" i="252"/>
  <c r="AI314" i="252"/>
  <c r="B314" i="252"/>
  <c r="AI313" i="252"/>
  <c r="B313" i="252"/>
  <c r="AI312" i="252"/>
  <c r="B312" i="252"/>
  <c r="AI311" i="252"/>
  <c r="B311" i="252"/>
  <c r="AI310" i="252"/>
  <c r="B310" i="252"/>
  <c r="AI309" i="252"/>
  <c r="AH309" i="252"/>
  <c r="AG309" i="252"/>
  <c r="AF309" i="252"/>
  <c r="AE309" i="252"/>
  <c r="AD309" i="252"/>
  <c r="AC309" i="252"/>
  <c r="AB309" i="252"/>
  <c r="AA309" i="252"/>
  <c r="Z309" i="252"/>
  <c r="Y309" i="252"/>
  <c r="X309" i="252"/>
  <c r="W309" i="252"/>
  <c r="V309" i="252"/>
  <c r="U309" i="252"/>
  <c r="T309" i="252"/>
  <c r="S309" i="252"/>
  <c r="R309" i="252"/>
  <c r="Q309" i="252"/>
  <c r="P309" i="252"/>
  <c r="O309" i="252"/>
  <c r="N309" i="252"/>
  <c r="M309" i="252"/>
  <c r="L309" i="252"/>
  <c r="K309" i="252"/>
  <c r="J309" i="252"/>
  <c r="I309" i="252"/>
  <c r="H309" i="252"/>
  <c r="G309" i="252"/>
  <c r="F309" i="252"/>
  <c r="E309" i="252"/>
  <c r="D309" i="252"/>
  <c r="B309" i="252"/>
  <c r="AI308" i="252"/>
  <c r="B308" i="252"/>
  <c r="AI307" i="252"/>
  <c r="B307" i="252"/>
  <c r="AI306" i="252"/>
  <c r="B306" i="252"/>
  <c r="AI305" i="252"/>
  <c r="B305" i="252"/>
  <c r="AI304" i="252"/>
  <c r="B304" i="252"/>
  <c r="AI303" i="252"/>
  <c r="B303" i="252"/>
  <c r="AI302" i="252"/>
  <c r="B302" i="252"/>
  <c r="AI301" i="252"/>
  <c r="B301" i="252"/>
  <c r="AI300" i="252"/>
  <c r="B300" i="252"/>
  <c r="AI299" i="252"/>
  <c r="B299" i="252"/>
  <c r="AI298" i="252"/>
  <c r="B298" i="252"/>
  <c r="AI297" i="252"/>
  <c r="B297" i="252"/>
  <c r="AI296" i="252"/>
  <c r="B296" i="252"/>
  <c r="AI295" i="252"/>
  <c r="B295" i="252"/>
  <c r="AI294" i="252"/>
  <c r="B294" i="252"/>
  <c r="AI293" i="252"/>
  <c r="B293" i="252"/>
  <c r="AI292" i="252"/>
  <c r="B292" i="252"/>
  <c r="AI291" i="252"/>
  <c r="B291" i="252"/>
  <c r="AI290" i="252"/>
  <c r="B290" i="252"/>
  <c r="AI289" i="252"/>
  <c r="B289" i="252"/>
  <c r="AI288" i="252"/>
  <c r="B288" i="252"/>
  <c r="AI287" i="252"/>
  <c r="B287" i="252"/>
  <c r="AI286" i="252"/>
  <c r="B286" i="252"/>
  <c r="AI285" i="252"/>
  <c r="B285" i="252"/>
  <c r="AI284" i="252"/>
  <c r="B284" i="252"/>
  <c r="AI283" i="252"/>
  <c r="B283" i="252"/>
  <c r="AI282" i="252"/>
  <c r="B282" i="252"/>
  <c r="AI281" i="252"/>
  <c r="B281" i="252"/>
  <c r="AI280" i="252"/>
  <c r="B280" i="252"/>
  <c r="AI279" i="252"/>
  <c r="B279" i="252"/>
  <c r="AI278" i="252"/>
  <c r="B278" i="252"/>
  <c r="AI277" i="252"/>
  <c r="B277" i="252"/>
  <c r="AI276" i="252"/>
  <c r="B276" i="252"/>
  <c r="AI275" i="252"/>
  <c r="B275" i="252"/>
  <c r="AI274" i="252"/>
  <c r="B274" i="252"/>
  <c r="AI273" i="252"/>
  <c r="B273" i="252"/>
  <c r="AI272" i="252"/>
  <c r="B272" i="252"/>
  <c r="AI271" i="252"/>
  <c r="B271" i="252"/>
  <c r="AI270" i="252"/>
  <c r="B270" i="252"/>
  <c r="AI269" i="252"/>
  <c r="B269" i="252"/>
  <c r="AI268" i="252"/>
  <c r="B268" i="252"/>
  <c r="AI267" i="252"/>
  <c r="B267" i="252"/>
  <c r="AI266" i="252"/>
  <c r="B266" i="252"/>
  <c r="AI265" i="252"/>
  <c r="B265" i="252"/>
  <c r="AI264" i="252"/>
  <c r="B264" i="252"/>
  <c r="AI263" i="252"/>
  <c r="B263" i="252"/>
  <c r="AI262" i="252"/>
  <c r="B262" i="252"/>
  <c r="AI261" i="252"/>
  <c r="B261" i="252"/>
  <c r="AI260" i="252"/>
  <c r="B260" i="252"/>
  <c r="AI259" i="252"/>
  <c r="B259" i="252"/>
  <c r="AI258" i="252"/>
  <c r="B258" i="252"/>
  <c r="AI257" i="252"/>
  <c r="B257" i="252"/>
  <c r="AI256" i="252"/>
  <c r="B256" i="252"/>
  <c r="AI255" i="252"/>
  <c r="B255" i="252"/>
  <c r="AI254" i="252"/>
  <c r="B254" i="252"/>
  <c r="AI253" i="252"/>
  <c r="B253" i="252"/>
  <c r="AI252" i="252"/>
  <c r="B252" i="252"/>
  <c r="AI251" i="252"/>
  <c r="B251" i="252"/>
  <c r="AI250" i="252"/>
  <c r="B250" i="252"/>
  <c r="AI249" i="252"/>
  <c r="B249" i="252"/>
  <c r="AI248" i="252"/>
  <c r="B248" i="252"/>
  <c r="AI247" i="252"/>
  <c r="B247" i="252"/>
  <c r="AI246" i="252"/>
  <c r="B246" i="252"/>
  <c r="AI245" i="252"/>
  <c r="B245" i="252"/>
  <c r="AI244" i="252"/>
  <c r="B244" i="252"/>
  <c r="AI243" i="252"/>
  <c r="B243" i="252"/>
  <c r="AI242" i="252"/>
  <c r="B242" i="252"/>
  <c r="AI241" i="252"/>
  <c r="B241" i="252"/>
  <c r="AI240" i="252"/>
  <c r="B240" i="252"/>
  <c r="AI239" i="252"/>
  <c r="B239" i="252"/>
  <c r="AI238" i="252"/>
  <c r="B238" i="252"/>
  <c r="AI237" i="252"/>
  <c r="B237" i="252"/>
  <c r="AI236" i="252"/>
  <c r="B236" i="252"/>
  <c r="AI235" i="252"/>
  <c r="B235" i="252"/>
  <c r="AI234" i="252"/>
  <c r="B234" i="252"/>
  <c r="AI233" i="252"/>
  <c r="B233" i="252"/>
  <c r="AI232" i="252"/>
  <c r="B232" i="252"/>
  <c r="AI231" i="252"/>
  <c r="B231" i="252"/>
  <c r="AI230" i="252"/>
  <c r="B230" i="252"/>
  <c r="AI229" i="252"/>
  <c r="B229" i="252"/>
  <c r="AI228" i="252"/>
  <c r="B228" i="252"/>
  <c r="AI227" i="252"/>
  <c r="B227" i="252"/>
  <c r="AI226" i="252"/>
  <c r="B226" i="252"/>
  <c r="AI225" i="252"/>
  <c r="B225" i="252"/>
  <c r="AI224" i="252"/>
  <c r="AH224" i="252"/>
  <c r="AG224" i="252"/>
  <c r="AF224" i="252"/>
  <c r="AE224" i="252"/>
  <c r="AD224" i="252"/>
  <c r="AC224" i="252"/>
  <c r="AB224" i="252"/>
  <c r="AA224" i="252"/>
  <c r="Z224" i="252"/>
  <c r="Y224" i="252"/>
  <c r="X224" i="252"/>
  <c r="W224" i="252"/>
  <c r="V224" i="252"/>
  <c r="U224" i="252"/>
  <c r="T224" i="252"/>
  <c r="S224" i="252"/>
  <c r="R224" i="252"/>
  <c r="Q224" i="252"/>
  <c r="P224" i="252"/>
  <c r="O224" i="252"/>
  <c r="N224" i="252"/>
  <c r="M224" i="252"/>
  <c r="L224" i="252"/>
  <c r="K224" i="252"/>
  <c r="J224" i="252"/>
  <c r="I224" i="252"/>
  <c r="H224" i="252"/>
  <c r="G224" i="252"/>
  <c r="F224" i="252"/>
  <c r="E224" i="252"/>
  <c r="D224" i="252"/>
  <c r="B224" i="252"/>
  <c r="AI223" i="252"/>
  <c r="B223" i="252"/>
  <c r="AI222" i="252"/>
  <c r="B222" i="252"/>
  <c r="AI221" i="252"/>
  <c r="B221" i="252"/>
  <c r="AI220" i="252"/>
  <c r="B220" i="252"/>
  <c r="AI219" i="252"/>
  <c r="B219" i="252"/>
  <c r="AI218" i="252"/>
  <c r="B218" i="252"/>
  <c r="AI217" i="252"/>
  <c r="B217" i="252"/>
  <c r="AI216" i="252"/>
  <c r="AH216" i="252"/>
  <c r="AG216" i="252"/>
  <c r="AF216" i="252"/>
  <c r="AE216" i="252"/>
  <c r="AD216" i="252"/>
  <c r="AC216" i="252"/>
  <c r="AB216" i="252"/>
  <c r="AA216" i="252"/>
  <c r="Z216" i="252"/>
  <c r="Y216" i="252"/>
  <c r="X216" i="252"/>
  <c r="W216" i="252"/>
  <c r="V216" i="252"/>
  <c r="U216" i="252"/>
  <c r="T216" i="252"/>
  <c r="S216" i="252"/>
  <c r="R216" i="252"/>
  <c r="Q216" i="252"/>
  <c r="P216" i="252"/>
  <c r="O216" i="252"/>
  <c r="N216" i="252"/>
  <c r="M216" i="252"/>
  <c r="L216" i="252"/>
  <c r="K216" i="252"/>
  <c r="J216" i="252"/>
  <c r="I216" i="252"/>
  <c r="H216" i="252"/>
  <c r="G216" i="252"/>
  <c r="F216" i="252"/>
  <c r="E216" i="252"/>
  <c r="D216" i="252"/>
  <c r="B216" i="252"/>
  <c r="AI215" i="252"/>
  <c r="B215" i="252"/>
  <c r="AI214" i="252"/>
  <c r="B214" i="252"/>
  <c r="AI213" i="252"/>
  <c r="B213" i="252"/>
  <c r="AI212" i="252"/>
  <c r="B212" i="252"/>
  <c r="AI211" i="252"/>
  <c r="B211" i="252"/>
  <c r="AI210" i="252"/>
  <c r="B210" i="252"/>
  <c r="AI209" i="252"/>
  <c r="B209" i="252"/>
  <c r="AI208" i="252"/>
  <c r="B208" i="252"/>
  <c r="AI207" i="252"/>
  <c r="B207" i="252"/>
  <c r="AI206" i="252"/>
  <c r="B206" i="252"/>
  <c r="AI205" i="252"/>
  <c r="B205" i="252"/>
  <c r="AI204" i="252"/>
  <c r="AH204" i="252"/>
  <c r="AG204" i="252"/>
  <c r="AF204" i="252"/>
  <c r="AE204" i="252"/>
  <c r="AD204" i="252"/>
  <c r="AC204" i="252"/>
  <c r="AB204" i="252"/>
  <c r="AA204" i="252"/>
  <c r="Z204" i="252"/>
  <c r="Y204" i="252"/>
  <c r="X204" i="252"/>
  <c r="W204" i="252"/>
  <c r="V204" i="252"/>
  <c r="U204" i="252"/>
  <c r="T204" i="252"/>
  <c r="S204" i="252"/>
  <c r="R204" i="252"/>
  <c r="Q204" i="252"/>
  <c r="P204" i="252"/>
  <c r="O204" i="252"/>
  <c r="N204" i="252"/>
  <c r="M204" i="252"/>
  <c r="L204" i="252"/>
  <c r="K204" i="252"/>
  <c r="J204" i="252"/>
  <c r="I204" i="252"/>
  <c r="H204" i="252"/>
  <c r="G204" i="252"/>
  <c r="F204" i="252"/>
  <c r="E204" i="252"/>
  <c r="D204" i="252"/>
  <c r="B204" i="252"/>
  <c r="AI203" i="252"/>
  <c r="B203" i="252"/>
  <c r="AI202" i="252"/>
  <c r="B202" i="252"/>
  <c r="AI201" i="252"/>
  <c r="B201" i="252"/>
  <c r="AI200" i="252"/>
  <c r="B200" i="252"/>
  <c r="AI199" i="252"/>
  <c r="B199" i="252"/>
  <c r="AI198" i="252"/>
  <c r="B198" i="252"/>
  <c r="AI197" i="252"/>
  <c r="B197" i="252"/>
  <c r="AI196" i="252"/>
  <c r="B196" i="252"/>
  <c r="AI195" i="252"/>
  <c r="B195" i="252"/>
  <c r="AI194" i="252"/>
  <c r="B194" i="252"/>
  <c r="AI193" i="252"/>
  <c r="B193" i="252"/>
  <c r="AI192" i="252"/>
  <c r="B192" i="252"/>
  <c r="AI191" i="252"/>
  <c r="B191" i="252"/>
  <c r="AI190" i="252"/>
  <c r="B190" i="252"/>
  <c r="AI189" i="252"/>
  <c r="B189" i="252"/>
  <c r="AI188" i="252"/>
  <c r="B188" i="252"/>
  <c r="AI187" i="252"/>
  <c r="B187" i="252"/>
  <c r="AI186" i="252"/>
  <c r="B186" i="252"/>
  <c r="AI185" i="252"/>
  <c r="B185" i="252"/>
  <c r="AI184" i="252"/>
  <c r="B184" i="252"/>
  <c r="AI183" i="252"/>
  <c r="B183" i="252"/>
  <c r="AI182" i="252"/>
  <c r="B182" i="252"/>
  <c r="AI181" i="252"/>
  <c r="B181" i="252"/>
  <c r="AI180" i="252"/>
  <c r="B180" i="252"/>
  <c r="AI179" i="252"/>
  <c r="B179" i="252"/>
  <c r="AI178" i="252"/>
  <c r="B178" i="252"/>
  <c r="AI177" i="252"/>
  <c r="B177" i="252"/>
  <c r="AI176" i="252"/>
  <c r="B176" i="252"/>
  <c r="AI175" i="252"/>
  <c r="B175" i="252"/>
  <c r="AI174" i="252"/>
  <c r="B174" i="252"/>
  <c r="AI173" i="252"/>
  <c r="B173" i="252"/>
  <c r="AI172" i="252"/>
  <c r="B172" i="252"/>
  <c r="AI171" i="252"/>
  <c r="B171" i="252"/>
  <c r="AI170" i="252"/>
  <c r="B170" i="252"/>
  <c r="AI169" i="252"/>
  <c r="B169" i="252"/>
  <c r="AI168" i="252"/>
  <c r="B168" i="252"/>
  <c r="AI167" i="252"/>
  <c r="B167" i="252"/>
  <c r="AI166" i="252"/>
  <c r="B166" i="252"/>
  <c r="AI165" i="252"/>
  <c r="B165" i="252"/>
  <c r="AI164" i="252"/>
  <c r="B164" i="252"/>
  <c r="AI163" i="252"/>
  <c r="B163" i="252"/>
  <c r="AI162" i="252"/>
  <c r="B162" i="252"/>
  <c r="AI161" i="252"/>
  <c r="B161" i="252"/>
  <c r="AI160" i="252"/>
  <c r="B160" i="252"/>
  <c r="AI159" i="252"/>
  <c r="B159" i="252"/>
  <c r="AI158" i="252"/>
  <c r="B158" i="252"/>
  <c r="AI157" i="252"/>
  <c r="B157" i="252"/>
  <c r="AI156" i="252"/>
  <c r="B156" i="252"/>
  <c r="AI155" i="252"/>
  <c r="B155" i="252"/>
  <c r="AI154" i="252"/>
  <c r="B154" i="252"/>
  <c r="AI153" i="252"/>
  <c r="B153" i="252"/>
  <c r="AI152" i="252"/>
  <c r="B152" i="252"/>
  <c r="AI151" i="252"/>
  <c r="B151" i="252"/>
  <c r="AI150" i="252"/>
  <c r="B150" i="252"/>
  <c r="AI149" i="252"/>
  <c r="B149" i="252"/>
  <c r="AI148" i="252"/>
  <c r="B148" i="252"/>
  <c r="AI147" i="252"/>
  <c r="B147" i="252"/>
  <c r="AI146" i="252"/>
  <c r="B146" i="252"/>
  <c r="AI145" i="252"/>
  <c r="B145" i="252"/>
  <c r="AI144" i="252"/>
  <c r="B144" i="252"/>
  <c r="AI143" i="252"/>
  <c r="B143" i="252"/>
  <c r="AI142" i="252"/>
  <c r="B142" i="252"/>
  <c r="AI141" i="252"/>
  <c r="B141" i="252"/>
  <c r="AI140" i="252"/>
  <c r="B140" i="252"/>
  <c r="AI139" i="252"/>
  <c r="B139" i="252"/>
  <c r="AI138" i="252"/>
  <c r="B138" i="252"/>
  <c r="AI137" i="252"/>
  <c r="B137" i="252"/>
  <c r="AI136" i="252"/>
  <c r="B136" i="252"/>
  <c r="AI135" i="252"/>
  <c r="B135" i="252"/>
  <c r="AI134" i="252"/>
  <c r="B134" i="252"/>
  <c r="AI133" i="252"/>
  <c r="B133" i="252"/>
  <c r="AI132" i="252"/>
  <c r="B132" i="252"/>
  <c r="AI131" i="252"/>
  <c r="B131" i="252"/>
  <c r="AI130" i="252"/>
  <c r="B130" i="252"/>
  <c r="AI129" i="252"/>
  <c r="B129" i="252"/>
  <c r="AI128" i="252"/>
  <c r="B128" i="252"/>
  <c r="AI127" i="252"/>
  <c r="B127" i="252"/>
  <c r="AI126" i="252"/>
  <c r="B126" i="252"/>
  <c r="AI125" i="252"/>
  <c r="B125" i="252"/>
  <c r="AI124" i="252"/>
  <c r="B124" i="252"/>
  <c r="AI123" i="252"/>
  <c r="B123" i="252"/>
  <c r="AI122" i="252"/>
  <c r="B122" i="252"/>
  <c r="AI121" i="252"/>
  <c r="B121" i="252"/>
  <c r="AI120" i="252"/>
  <c r="B120" i="252"/>
  <c r="AI119" i="252"/>
  <c r="B119" i="252"/>
  <c r="AI118" i="252"/>
  <c r="B118" i="252"/>
  <c r="AI117" i="252"/>
  <c r="B117" i="252"/>
  <c r="AI116" i="252"/>
  <c r="B116" i="252"/>
  <c r="AI115" i="252"/>
  <c r="B115" i="252"/>
  <c r="AI114" i="252"/>
  <c r="B114" i="252"/>
  <c r="AI113" i="252"/>
  <c r="B113" i="252"/>
  <c r="AI112" i="252"/>
  <c r="B112" i="252"/>
  <c r="AI111" i="252"/>
  <c r="B111" i="252"/>
  <c r="AI110" i="252"/>
  <c r="B110" i="252"/>
  <c r="AI109" i="252"/>
  <c r="AH109" i="252"/>
  <c r="AG109" i="252"/>
  <c r="AF109" i="252"/>
  <c r="AE109" i="252"/>
  <c r="AD109" i="252"/>
  <c r="AC109" i="252"/>
  <c r="AB109" i="252"/>
  <c r="AA109" i="252"/>
  <c r="Z109" i="252"/>
  <c r="Y109" i="252"/>
  <c r="X109" i="252"/>
  <c r="W109" i="252"/>
  <c r="V109" i="252"/>
  <c r="U109" i="252"/>
  <c r="T109" i="252"/>
  <c r="S109" i="252"/>
  <c r="R109" i="252"/>
  <c r="Q109" i="252"/>
  <c r="P109" i="252"/>
  <c r="O109" i="252"/>
  <c r="N109" i="252"/>
  <c r="M109" i="252"/>
  <c r="L109" i="252"/>
  <c r="K109" i="252"/>
  <c r="J109" i="252"/>
  <c r="I109" i="252"/>
  <c r="H109" i="252"/>
  <c r="G109" i="252"/>
  <c r="F109" i="252"/>
  <c r="E109" i="252"/>
  <c r="D109" i="252"/>
  <c r="B109" i="252"/>
  <c r="AI108" i="252"/>
  <c r="B108" i="252"/>
  <c r="AI107" i="252"/>
  <c r="B107" i="252"/>
  <c r="AI106" i="252"/>
  <c r="B106" i="252"/>
  <c r="AI105" i="252"/>
  <c r="B105" i="252"/>
  <c r="AI104" i="252"/>
  <c r="B104" i="252"/>
  <c r="AI103" i="252"/>
  <c r="B103" i="252"/>
  <c r="AI102" i="252"/>
  <c r="B102" i="252"/>
  <c r="AI101" i="252"/>
  <c r="B101" i="252"/>
  <c r="AI100" i="252"/>
  <c r="B100" i="252"/>
  <c r="AI99" i="252"/>
  <c r="B99" i="252"/>
  <c r="AI98" i="252"/>
  <c r="B98" i="252"/>
  <c r="AI97" i="252"/>
  <c r="B97" i="252"/>
  <c r="AI96" i="252"/>
  <c r="B96" i="252"/>
  <c r="AI95" i="252"/>
  <c r="B95" i="252"/>
  <c r="AI94" i="252"/>
  <c r="B94" i="252"/>
  <c r="AI93" i="252"/>
  <c r="B93" i="252"/>
  <c r="AI92" i="252"/>
  <c r="B92" i="252"/>
  <c r="AI91" i="252"/>
  <c r="B91" i="252"/>
  <c r="AI90" i="252"/>
  <c r="B90" i="252"/>
  <c r="AI89" i="252"/>
  <c r="B89" i="252"/>
  <c r="AI88" i="252"/>
  <c r="B88" i="252"/>
  <c r="AI87" i="252"/>
  <c r="B87" i="252"/>
  <c r="AI86" i="252"/>
  <c r="B86" i="252"/>
  <c r="AI85" i="252"/>
  <c r="B85" i="252"/>
  <c r="AI84" i="252"/>
  <c r="B84" i="252"/>
  <c r="AI83" i="252"/>
  <c r="B83" i="252"/>
  <c r="AI82" i="252"/>
  <c r="B82" i="252"/>
  <c r="AI81" i="252"/>
  <c r="B81" i="252"/>
  <c r="AI80" i="252"/>
  <c r="B80" i="252"/>
  <c r="AI79" i="252"/>
  <c r="B79" i="252"/>
  <c r="AI78" i="252"/>
  <c r="B78" i="252"/>
  <c r="AI77" i="252"/>
  <c r="B77" i="252"/>
  <c r="AI76" i="252"/>
  <c r="B76" i="252"/>
  <c r="AI75" i="252"/>
  <c r="B75" i="252"/>
  <c r="AI74" i="252"/>
  <c r="B74" i="252"/>
  <c r="AI73" i="252"/>
  <c r="B73" i="252"/>
  <c r="AI72" i="252"/>
  <c r="B72" i="252"/>
  <c r="AI71" i="252"/>
  <c r="B71" i="252"/>
  <c r="AI70" i="252"/>
  <c r="B70" i="252"/>
  <c r="AI69" i="252"/>
  <c r="B69" i="252"/>
  <c r="AI68" i="252"/>
  <c r="B68" i="252"/>
  <c r="AI67" i="252"/>
  <c r="B67" i="252"/>
  <c r="AI66" i="252"/>
  <c r="B66" i="252"/>
  <c r="AI65" i="252"/>
  <c r="B65" i="252"/>
  <c r="AI64" i="252"/>
  <c r="B64" i="252"/>
  <c r="AI63" i="252"/>
  <c r="B63" i="252"/>
  <c r="AI62" i="252"/>
  <c r="B62" i="252"/>
  <c r="AI61" i="252"/>
  <c r="B61" i="252"/>
  <c r="AI60" i="252"/>
  <c r="B60" i="252"/>
  <c r="AI59" i="252"/>
  <c r="B59" i="252"/>
  <c r="AI58" i="252"/>
  <c r="B58" i="252"/>
  <c r="AI57" i="252"/>
  <c r="B57" i="252"/>
  <c r="AI56" i="252"/>
  <c r="B56" i="252"/>
  <c r="AI55" i="252"/>
  <c r="B55" i="252"/>
  <c r="AI54" i="252"/>
  <c r="B54" i="252"/>
  <c r="AI53" i="252"/>
  <c r="AH53" i="252"/>
  <c r="AG53" i="252"/>
  <c r="AF53" i="252"/>
  <c r="AE53" i="252"/>
  <c r="AD53" i="252"/>
  <c r="AC53" i="252"/>
  <c r="AB53" i="252"/>
  <c r="AA53" i="252"/>
  <c r="Z53" i="252"/>
  <c r="Y53" i="252"/>
  <c r="X53" i="252"/>
  <c r="W53" i="252"/>
  <c r="V53" i="252"/>
  <c r="U53" i="252"/>
  <c r="T53" i="252"/>
  <c r="S53" i="252"/>
  <c r="R53" i="252"/>
  <c r="Q53" i="252"/>
  <c r="P53" i="252"/>
  <c r="O53" i="252"/>
  <c r="N53" i="252"/>
  <c r="M53" i="252"/>
  <c r="L53" i="252"/>
  <c r="K53" i="252"/>
  <c r="J53" i="252"/>
  <c r="I53" i="252"/>
  <c r="H53" i="252"/>
  <c r="G53" i="252"/>
  <c r="F53" i="252"/>
  <c r="E53" i="252"/>
  <c r="D53" i="252"/>
  <c r="B53" i="252"/>
  <c r="AI52" i="252"/>
  <c r="B52" i="252"/>
  <c r="AI51" i="252"/>
  <c r="B51" i="252"/>
  <c r="AI50" i="252"/>
  <c r="B50" i="252"/>
  <c r="AI49" i="252"/>
  <c r="B49" i="252"/>
  <c r="AI48" i="252"/>
  <c r="B48" i="252"/>
  <c r="AI47" i="252"/>
  <c r="B47" i="252"/>
  <c r="AI46" i="252"/>
  <c r="B46" i="252"/>
  <c r="AI45" i="252"/>
  <c r="B45" i="252"/>
  <c r="AI44" i="252"/>
  <c r="B44" i="252"/>
  <c r="AI43" i="252"/>
  <c r="B43" i="252"/>
  <c r="AI42" i="252"/>
  <c r="B42" i="252"/>
  <c r="AI41" i="252"/>
  <c r="B41" i="252"/>
  <c r="AI40" i="252"/>
  <c r="B40" i="252"/>
  <c r="AI39" i="252"/>
  <c r="B39" i="252"/>
  <c r="AI38" i="252"/>
  <c r="B38" i="252"/>
  <c r="AI37" i="252"/>
  <c r="B37" i="252"/>
  <c r="AI36" i="252"/>
  <c r="B36" i="252"/>
  <c r="AI35" i="252"/>
  <c r="B35" i="252"/>
  <c r="AI34" i="252"/>
  <c r="B34" i="252"/>
  <c r="AI33" i="252"/>
  <c r="B33" i="252"/>
  <c r="AI32" i="252"/>
  <c r="B32" i="252"/>
  <c r="AI31" i="252"/>
  <c r="B31" i="252"/>
  <c r="AI30" i="252"/>
  <c r="B30" i="252"/>
  <c r="AI29" i="252"/>
  <c r="B29" i="252"/>
  <c r="AI28" i="252"/>
  <c r="B28" i="252"/>
  <c r="AI27" i="252"/>
  <c r="B27" i="252"/>
  <c r="AI26" i="252"/>
  <c r="B26" i="252"/>
  <c r="AI25" i="252"/>
  <c r="B25" i="252"/>
  <c r="AI24" i="252"/>
  <c r="B24" i="252"/>
  <c r="AI23" i="252"/>
  <c r="B23" i="252"/>
  <c r="AI22" i="252"/>
  <c r="B22" i="252"/>
  <c r="AI21" i="252"/>
  <c r="B21" i="252"/>
  <c r="AI20" i="252"/>
  <c r="B20" i="252"/>
  <c r="AI19" i="252"/>
  <c r="B19" i="252"/>
  <c r="AI18" i="252"/>
  <c r="B18" i="252"/>
  <c r="AI17" i="252"/>
  <c r="B17" i="252"/>
  <c r="AI16" i="252"/>
  <c r="B16" i="252"/>
  <c r="AI15" i="252"/>
  <c r="B15" i="252"/>
  <c r="AI14" i="252"/>
  <c r="B14" i="252"/>
  <c r="AI13" i="252"/>
  <c r="B13" i="252"/>
  <c r="AI12" i="252"/>
  <c r="B12" i="252"/>
  <c r="AI11" i="252"/>
  <c r="B11" i="252"/>
  <c r="AI10" i="252"/>
  <c r="B10" i="252"/>
  <c r="AI9" i="252"/>
  <c r="AH9" i="252"/>
  <c r="AG9" i="252"/>
  <c r="AF9" i="252"/>
  <c r="AE9" i="252"/>
  <c r="AD9" i="252"/>
  <c r="AC9" i="252"/>
  <c r="AB9" i="252"/>
  <c r="AA9" i="252"/>
  <c r="Z9" i="252"/>
  <c r="Y9" i="252"/>
  <c r="X9" i="252"/>
  <c r="W9" i="252"/>
  <c r="V9" i="252"/>
  <c r="U9" i="252"/>
  <c r="T9" i="252"/>
  <c r="S9" i="252"/>
  <c r="R9" i="252"/>
  <c r="Q9" i="252"/>
  <c r="P9" i="252"/>
  <c r="O9" i="252"/>
  <c r="N9" i="252"/>
  <c r="M9" i="252"/>
  <c r="L9" i="252"/>
  <c r="K9" i="252"/>
  <c r="J9" i="252"/>
  <c r="I9" i="252"/>
  <c r="H9" i="252"/>
  <c r="G9" i="252"/>
  <c r="F9" i="252"/>
  <c r="E9" i="252"/>
  <c r="D9" i="252"/>
  <c r="K2646" i="289"/>
  <c r="I2634" i="289"/>
  <c r="H2634" i="289"/>
  <c r="G2634" i="289"/>
  <c r="G2633" i="289"/>
  <c r="O2632" i="289"/>
  <c r="I2632" i="289"/>
  <c r="H2632" i="289"/>
  <c r="G2632" i="289"/>
  <c r="M2631" i="289"/>
  <c r="L2631" i="289"/>
  <c r="K2631" i="289"/>
  <c r="J2631" i="289"/>
  <c r="M2630" i="289"/>
  <c r="L2630" i="289"/>
  <c r="K2630" i="289"/>
  <c r="J2630" i="289"/>
  <c r="I2630" i="289"/>
  <c r="H2630" i="289"/>
  <c r="G2630" i="289"/>
  <c r="L2628" i="289"/>
  <c r="K2628" i="289"/>
  <c r="J2628" i="289"/>
  <c r="L2627" i="289"/>
  <c r="K2627" i="289"/>
  <c r="J2627" i="289"/>
  <c r="O2626" i="289"/>
  <c r="L2626" i="289"/>
  <c r="K2626" i="289"/>
  <c r="J2626" i="289"/>
  <c r="L2625" i="289"/>
  <c r="K2625" i="289"/>
  <c r="J2625" i="289"/>
  <c r="L2624" i="289"/>
  <c r="K2624" i="289"/>
  <c r="J2624" i="289"/>
  <c r="L2623" i="289"/>
  <c r="L2629" i="289" s="1"/>
  <c r="L2633" i="289" s="1"/>
  <c r="K2623" i="289"/>
  <c r="K2629" i="289" s="1"/>
  <c r="K2633" i="289" s="1"/>
  <c r="J2623" i="289"/>
  <c r="I2622" i="289"/>
  <c r="H2622" i="289"/>
  <c r="G2622" i="289"/>
  <c r="M2621" i="289"/>
  <c r="L2621" i="289"/>
  <c r="K2621" i="289"/>
  <c r="J2621" i="289"/>
  <c r="M2620" i="289"/>
  <c r="K2620" i="289"/>
  <c r="M2619" i="289"/>
  <c r="K2619" i="289"/>
  <c r="M2618" i="289"/>
  <c r="K2618" i="289"/>
  <c r="M2617" i="289"/>
  <c r="K2617" i="289"/>
  <c r="M2616" i="289"/>
  <c r="K2616" i="289"/>
  <c r="M2615" i="289"/>
  <c r="K2615" i="289"/>
  <c r="M2614" i="289"/>
  <c r="K2614" i="289"/>
  <c r="M2613" i="289"/>
  <c r="K2613" i="289"/>
  <c r="M2612" i="289"/>
  <c r="K2612" i="289"/>
  <c r="M2611" i="289"/>
  <c r="K2611" i="289"/>
  <c r="M2610" i="289"/>
  <c r="K2610" i="289"/>
  <c r="M2609" i="289"/>
  <c r="K2609" i="289"/>
  <c r="M2608" i="289"/>
  <c r="K2608" i="289"/>
  <c r="M2607" i="289"/>
  <c r="K2607" i="289"/>
  <c r="M2606" i="289"/>
  <c r="K2606" i="289"/>
  <c r="M2605" i="289"/>
  <c r="K2605" i="289"/>
  <c r="M2604" i="289"/>
  <c r="K2604" i="289"/>
  <c r="M2603" i="289"/>
  <c r="K2603" i="289"/>
  <c r="M2602" i="289"/>
  <c r="K2602" i="289"/>
  <c r="M2601" i="289"/>
  <c r="K2601" i="289"/>
  <c r="M2600" i="289"/>
  <c r="K2600" i="289"/>
  <c r="M2599" i="289"/>
  <c r="K2599" i="289"/>
  <c r="M2598" i="289"/>
  <c r="K2598" i="289"/>
  <c r="M2597" i="289"/>
  <c r="K2597" i="289"/>
  <c r="M2596" i="289"/>
  <c r="K2596" i="289"/>
  <c r="M2595" i="289"/>
  <c r="K2595" i="289"/>
  <c r="M2594" i="289"/>
  <c r="K2594" i="289"/>
  <c r="M2593" i="289"/>
  <c r="K2593" i="289"/>
  <c r="M2592" i="289"/>
  <c r="K2592" i="289"/>
  <c r="M2591" i="289"/>
  <c r="K2591" i="289"/>
  <c r="M2590" i="289"/>
  <c r="K2590" i="289"/>
  <c r="M2589" i="289"/>
  <c r="K2589" i="289"/>
  <c r="M2588" i="289"/>
  <c r="K2588" i="289"/>
  <c r="M2587" i="289"/>
  <c r="K2587" i="289"/>
  <c r="M2586" i="289"/>
  <c r="K2586" i="289"/>
  <c r="M2585" i="289"/>
  <c r="K2585" i="289"/>
  <c r="M2584" i="289"/>
  <c r="K2584" i="289"/>
  <c r="M2583" i="289"/>
  <c r="K2583" i="289"/>
  <c r="M2582" i="289"/>
  <c r="K2582" i="289"/>
  <c r="M2581" i="289"/>
  <c r="K2581" i="289"/>
  <c r="M2580" i="289"/>
  <c r="K2580" i="289"/>
  <c r="M2579" i="289"/>
  <c r="K2579" i="289"/>
  <c r="P2578" i="289"/>
  <c r="L2577" i="289"/>
  <c r="K2577" i="289"/>
  <c r="J2577" i="289"/>
  <c r="K2576" i="289"/>
  <c r="L2575" i="289"/>
  <c r="K2575" i="289"/>
  <c r="J2575" i="289"/>
  <c r="L2574" i="289"/>
  <c r="K2574" i="289"/>
  <c r="J2574" i="289"/>
  <c r="K2573" i="289"/>
  <c r="K2578" i="289" s="1"/>
  <c r="K2622" i="289" s="1"/>
  <c r="K2632" i="289" s="1"/>
  <c r="K2634" i="289" s="1"/>
  <c r="J2573" i="289"/>
  <c r="J2578" i="289" s="1"/>
  <c r="M2572" i="289"/>
  <c r="L2572" i="289"/>
  <c r="K2572" i="289"/>
  <c r="J2572" i="289"/>
  <c r="M2571" i="289"/>
  <c r="K2571" i="289"/>
  <c r="M2570" i="289"/>
  <c r="K2570" i="289"/>
  <c r="M2569" i="289"/>
  <c r="K2569" i="289"/>
  <c r="M2568" i="289"/>
  <c r="K2568" i="289"/>
  <c r="M2567" i="289"/>
  <c r="K2567" i="289"/>
  <c r="M2566" i="289"/>
  <c r="K2566" i="289"/>
  <c r="M2565" i="289"/>
  <c r="K2565" i="289"/>
  <c r="M2564" i="289"/>
  <c r="K2564" i="289"/>
  <c r="M2563" i="289"/>
  <c r="K2563" i="289"/>
  <c r="M2562" i="289"/>
  <c r="K2562" i="289"/>
  <c r="M2561" i="289"/>
  <c r="K2561" i="289"/>
  <c r="M2560" i="289"/>
  <c r="K2560" i="289"/>
  <c r="M2559" i="289"/>
  <c r="K2559" i="289"/>
  <c r="M2558" i="289"/>
  <c r="K2558" i="289"/>
  <c r="M2557" i="289"/>
  <c r="K2557" i="289"/>
  <c r="M2556" i="289"/>
  <c r="K2556" i="289"/>
  <c r="M2555" i="289"/>
  <c r="K2555" i="289"/>
  <c r="M2554" i="289"/>
  <c r="K2554" i="289"/>
  <c r="M2553" i="289"/>
  <c r="K2553" i="289"/>
  <c r="Q2552" i="289"/>
  <c r="Q2553" i="289" s="1"/>
  <c r="P2552" i="289"/>
  <c r="P2553" i="289" s="1"/>
  <c r="O2552" i="289"/>
  <c r="O2553" i="289" s="1"/>
  <c r="M2552" i="289"/>
  <c r="L2552" i="289"/>
  <c r="K2552" i="289"/>
  <c r="J2552" i="289"/>
  <c r="I2552" i="289"/>
  <c r="H2552" i="289"/>
  <c r="G2552" i="289"/>
  <c r="M2551" i="289"/>
  <c r="J2551" i="289"/>
  <c r="B2551" i="289"/>
  <c r="M2550" i="289"/>
  <c r="J2550" i="289"/>
  <c r="B2550" i="289"/>
  <c r="M2549" i="289"/>
  <c r="J2549" i="289"/>
  <c r="B2549" i="289"/>
  <c r="M2548" i="289"/>
  <c r="J2548" i="289"/>
  <c r="B2548" i="289"/>
  <c r="M2547" i="289"/>
  <c r="J2547" i="289"/>
  <c r="B2547" i="289"/>
  <c r="M2546" i="289"/>
  <c r="J2546" i="289"/>
  <c r="B2546" i="289"/>
  <c r="M2545" i="289"/>
  <c r="J2545" i="289"/>
  <c r="B2545" i="289"/>
  <c r="M2544" i="289"/>
  <c r="J2544" i="289"/>
  <c r="B2544" i="289"/>
  <c r="M2543" i="289"/>
  <c r="J2543" i="289"/>
  <c r="B2543" i="289"/>
  <c r="M2542" i="289"/>
  <c r="J2542" i="289"/>
  <c r="B2542" i="289"/>
  <c r="M2541" i="289"/>
  <c r="J2541" i="289"/>
  <c r="B2541" i="289"/>
  <c r="M2540" i="289"/>
  <c r="J2540" i="289"/>
  <c r="B2540" i="289"/>
  <c r="M2539" i="289"/>
  <c r="J2539" i="289"/>
  <c r="B2539" i="289"/>
  <c r="M2538" i="289"/>
  <c r="J2538" i="289"/>
  <c r="B2538" i="289"/>
  <c r="M2537" i="289"/>
  <c r="J2537" i="289"/>
  <c r="B2537" i="289"/>
  <c r="M2536" i="289"/>
  <c r="J2536" i="289"/>
  <c r="B2536" i="289"/>
  <c r="M2535" i="289"/>
  <c r="J2535" i="289"/>
  <c r="B2535" i="289"/>
  <c r="M2534" i="289"/>
  <c r="J2534" i="289"/>
  <c r="B2534" i="289"/>
  <c r="M2533" i="289"/>
  <c r="J2533" i="289"/>
  <c r="B2533" i="289"/>
  <c r="M2532" i="289"/>
  <c r="J2532" i="289"/>
  <c r="B2532" i="289"/>
  <c r="M2531" i="289"/>
  <c r="J2531" i="289"/>
  <c r="B2531" i="289"/>
  <c r="M2530" i="289"/>
  <c r="J2530" i="289"/>
  <c r="B2530" i="289"/>
  <c r="M2529" i="289"/>
  <c r="J2529" i="289"/>
  <c r="B2529" i="289"/>
  <c r="M2528" i="289"/>
  <c r="J2528" i="289"/>
  <c r="B2528" i="289"/>
  <c r="M2527" i="289"/>
  <c r="J2527" i="289"/>
  <c r="B2527" i="289"/>
  <c r="M2526" i="289"/>
  <c r="J2526" i="289"/>
  <c r="B2526" i="289"/>
  <c r="M2525" i="289"/>
  <c r="J2525" i="289"/>
  <c r="B2525" i="289"/>
  <c r="M2524" i="289"/>
  <c r="J2524" i="289"/>
  <c r="B2524" i="289"/>
  <c r="M2523" i="289"/>
  <c r="J2523" i="289"/>
  <c r="B2523" i="289"/>
  <c r="M2522" i="289"/>
  <c r="J2522" i="289"/>
  <c r="B2522" i="289"/>
  <c r="M2521" i="289"/>
  <c r="J2521" i="289"/>
  <c r="B2521" i="289"/>
  <c r="M2520" i="289"/>
  <c r="J2520" i="289"/>
  <c r="B2520" i="289"/>
  <c r="M2519" i="289"/>
  <c r="J2519" i="289"/>
  <c r="B2519" i="289"/>
  <c r="M2518" i="289"/>
  <c r="J2518" i="289"/>
  <c r="B2518" i="289"/>
  <c r="M2517" i="289"/>
  <c r="J2517" i="289"/>
  <c r="B2517" i="289"/>
  <c r="M2516" i="289"/>
  <c r="J2516" i="289"/>
  <c r="B2516" i="289"/>
  <c r="M2515" i="289"/>
  <c r="J2515" i="289"/>
  <c r="B2515" i="289"/>
  <c r="M2514" i="289"/>
  <c r="J2514" i="289"/>
  <c r="B2514" i="289"/>
  <c r="M2513" i="289"/>
  <c r="J2513" i="289"/>
  <c r="B2513" i="289"/>
  <c r="M2512" i="289"/>
  <c r="J2512" i="289"/>
  <c r="B2512" i="289"/>
  <c r="M2511" i="289"/>
  <c r="J2511" i="289"/>
  <c r="B2511" i="289"/>
  <c r="M2510" i="289"/>
  <c r="J2510" i="289"/>
  <c r="B2510" i="289"/>
  <c r="M2509" i="289"/>
  <c r="J2509" i="289"/>
  <c r="B2509" i="289"/>
  <c r="M2508" i="289"/>
  <c r="J2508" i="289"/>
  <c r="B2508" i="289"/>
  <c r="M2507" i="289"/>
  <c r="J2507" i="289"/>
  <c r="B2507" i="289"/>
  <c r="M2506" i="289"/>
  <c r="J2506" i="289"/>
  <c r="B2506" i="289"/>
  <c r="M2505" i="289"/>
  <c r="J2505" i="289"/>
  <c r="B2505" i="289"/>
  <c r="M2504" i="289"/>
  <c r="J2504" i="289"/>
  <c r="B2504" i="289"/>
  <c r="M2503" i="289"/>
  <c r="J2503" i="289"/>
  <c r="B2503" i="289"/>
  <c r="M2502" i="289"/>
  <c r="J2502" i="289"/>
  <c r="B2502" i="289"/>
  <c r="M2501" i="289"/>
  <c r="J2501" i="289"/>
  <c r="B2501" i="289"/>
  <c r="M2500" i="289"/>
  <c r="J2500" i="289"/>
  <c r="B2500" i="289"/>
  <c r="M2499" i="289"/>
  <c r="J2499" i="289"/>
  <c r="B2499" i="289"/>
  <c r="M2498" i="289"/>
  <c r="J2498" i="289"/>
  <c r="B2498" i="289"/>
  <c r="M2497" i="289"/>
  <c r="J2497" i="289"/>
  <c r="B2497" i="289"/>
  <c r="M2496" i="289"/>
  <c r="J2496" i="289"/>
  <c r="B2496" i="289"/>
  <c r="M2495" i="289"/>
  <c r="J2495" i="289"/>
  <c r="B2495" i="289"/>
  <c r="M2494" i="289"/>
  <c r="J2494" i="289"/>
  <c r="B2494" i="289"/>
  <c r="M2493" i="289"/>
  <c r="J2493" i="289"/>
  <c r="B2493" i="289"/>
  <c r="M2492" i="289"/>
  <c r="J2492" i="289"/>
  <c r="B2492" i="289"/>
  <c r="M2491" i="289"/>
  <c r="J2491" i="289"/>
  <c r="B2491" i="289"/>
  <c r="M2490" i="289"/>
  <c r="J2490" i="289"/>
  <c r="B2490" i="289"/>
  <c r="M2489" i="289"/>
  <c r="J2489" i="289"/>
  <c r="B2489" i="289"/>
  <c r="M2488" i="289"/>
  <c r="J2488" i="289"/>
  <c r="B2488" i="289"/>
  <c r="M2487" i="289"/>
  <c r="J2487" i="289"/>
  <c r="B2487" i="289"/>
  <c r="M2486" i="289"/>
  <c r="J2486" i="289"/>
  <c r="B2486" i="289"/>
  <c r="M2485" i="289"/>
  <c r="J2485" i="289"/>
  <c r="B2485" i="289"/>
  <c r="M2484" i="289"/>
  <c r="J2484" i="289"/>
  <c r="B2484" i="289"/>
  <c r="M2483" i="289"/>
  <c r="J2483" i="289"/>
  <c r="B2483" i="289"/>
  <c r="M2482" i="289"/>
  <c r="J2482" i="289"/>
  <c r="B2482" i="289"/>
  <c r="M2481" i="289"/>
  <c r="J2481" i="289"/>
  <c r="B2481" i="289"/>
  <c r="M2480" i="289"/>
  <c r="J2480" i="289"/>
  <c r="B2480" i="289"/>
  <c r="M2479" i="289"/>
  <c r="J2479" i="289"/>
  <c r="B2479" i="289"/>
  <c r="M2478" i="289"/>
  <c r="J2478" i="289"/>
  <c r="B2478" i="289"/>
  <c r="M2477" i="289"/>
  <c r="J2477" i="289"/>
  <c r="B2477" i="289"/>
  <c r="M2476" i="289"/>
  <c r="J2476" i="289"/>
  <c r="B2476" i="289"/>
  <c r="M2475" i="289"/>
  <c r="J2475" i="289"/>
  <c r="B2475" i="289"/>
  <c r="M2474" i="289"/>
  <c r="J2474" i="289"/>
  <c r="B2474" i="289"/>
  <c r="M2473" i="289"/>
  <c r="J2473" i="289"/>
  <c r="B2473" i="289"/>
  <c r="M2472" i="289"/>
  <c r="J2472" i="289"/>
  <c r="B2472" i="289"/>
  <c r="M2471" i="289"/>
  <c r="J2471" i="289"/>
  <c r="B2471" i="289"/>
  <c r="M2470" i="289"/>
  <c r="J2470" i="289"/>
  <c r="B2470" i="289"/>
  <c r="M2469" i="289"/>
  <c r="J2469" i="289"/>
  <c r="B2469" i="289"/>
  <c r="M2468" i="289"/>
  <c r="J2468" i="289"/>
  <c r="B2468" i="289"/>
  <c r="M2467" i="289"/>
  <c r="J2467" i="289"/>
  <c r="B2467" i="289"/>
  <c r="M2466" i="289"/>
  <c r="J2466" i="289"/>
  <c r="B2466" i="289"/>
  <c r="M2465" i="289"/>
  <c r="J2465" i="289"/>
  <c r="B2465" i="289"/>
  <c r="M2464" i="289"/>
  <c r="J2464" i="289"/>
  <c r="B2464" i="289"/>
  <c r="M2463" i="289"/>
  <c r="J2463" i="289"/>
  <c r="B2463" i="289"/>
  <c r="M2462" i="289"/>
  <c r="J2462" i="289"/>
  <c r="B2462" i="289"/>
  <c r="M2461" i="289"/>
  <c r="J2461" i="289"/>
  <c r="B2461" i="289"/>
  <c r="M2460" i="289"/>
  <c r="J2460" i="289"/>
  <c r="B2460" i="289"/>
  <c r="M2459" i="289"/>
  <c r="J2459" i="289"/>
  <c r="B2459" i="289"/>
  <c r="M2458" i="289"/>
  <c r="J2458" i="289"/>
  <c r="B2458" i="289"/>
  <c r="M2457" i="289"/>
  <c r="J2457" i="289"/>
  <c r="B2457" i="289"/>
  <c r="M2456" i="289"/>
  <c r="J2456" i="289"/>
  <c r="B2456" i="289"/>
  <c r="M2455" i="289"/>
  <c r="J2455" i="289"/>
  <c r="B2455" i="289"/>
  <c r="M2454" i="289"/>
  <c r="J2454" i="289"/>
  <c r="B2454" i="289"/>
  <c r="M2453" i="289"/>
  <c r="J2453" i="289"/>
  <c r="B2453" i="289"/>
  <c r="M2452" i="289"/>
  <c r="J2452" i="289"/>
  <c r="B2452" i="289"/>
  <c r="M2451" i="289"/>
  <c r="J2451" i="289"/>
  <c r="B2451" i="289"/>
  <c r="M2450" i="289"/>
  <c r="J2450" i="289"/>
  <c r="B2450" i="289"/>
  <c r="M2449" i="289"/>
  <c r="J2449" i="289"/>
  <c r="B2449" i="289"/>
  <c r="M2448" i="289"/>
  <c r="J2448" i="289"/>
  <c r="B2448" i="289"/>
  <c r="M2447" i="289"/>
  <c r="J2447" i="289"/>
  <c r="B2447" i="289"/>
  <c r="M2446" i="289"/>
  <c r="J2446" i="289"/>
  <c r="B2446" i="289"/>
  <c r="M2445" i="289"/>
  <c r="J2445" i="289"/>
  <c r="B2445" i="289"/>
  <c r="M2444" i="289"/>
  <c r="J2444" i="289"/>
  <c r="B2444" i="289"/>
  <c r="M2443" i="289"/>
  <c r="J2443" i="289"/>
  <c r="B2443" i="289"/>
  <c r="M2442" i="289"/>
  <c r="J2442" i="289"/>
  <c r="B2442" i="289"/>
  <c r="M2441" i="289"/>
  <c r="J2441" i="289"/>
  <c r="B2441" i="289"/>
  <c r="M2440" i="289"/>
  <c r="J2440" i="289"/>
  <c r="B2440" i="289"/>
  <c r="M2439" i="289"/>
  <c r="J2439" i="289"/>
  <c r="B2439" i="289"/>
  <c r="M2438" i="289"/>
  <c r="J2438" i="289"/>
  <c r="B2438" i="289"/>
  <c r="M2437" i="289"/>
  <c r="J2437" i="289"/>
  <c r="B2437" i="289"/>
  <c r="M2436" i="289"/>
  <c r="J2436" i="289"/>
  <c r="B2436" i="289"/>
  <c r="M2435" i="289"/>
  <c r="J2435" i="289"/>
  <c r="B2435" i="289"/>
  <c r="M2434" i="289"/>
  <c r="J2434" i="289"/>
  <c r="B2434" i="289"/>
  <c r="M2433" i="289"/>
  <c r="J2433" i="289"/>
  <c r="B2433" i="289"/>
  <c r="M2432" i="289"/>
  <c r="J2432" i="289"/>
  <c r="B2432" i="289"/>
  <c r="M2431" i="289"/>
  <c r="J2431" i="289"/>
  <c r="B2431" i="289"/>
  <c r="M2430" i="289"/>
  <c r="J2430" i="289"/>
  <c r="B2430" i="289"/>
  <c r="M2429" i="289"/>
  <c r="J2429" i="289"/>
  <c r="B2429" i="289"/>
  <c r="M2428" i="289"/>
  <c r="J2428" i="289"/>
  <c r="B2428" i="289"/>
  <c r="M2427" i="289"/>
  <c r="J2427" i="289"/>
  <c r="B2427" i="289"/>
  <c r="M2426" i="289"/>
  <c r="J2426" i="289"/>
  <c r="B2426" i="289"/>
  <c r="M2425" i="289"/>
  <c r="J2425" i="289"/>
  <c r="B2425" i="289"/>
  <c r="M2424" i="289"/>
  <c r="J2424" i="289"/>
  <c r="B2424" i="289"/>
  <c r="M2423" i="289"/>
  <c r="J2423" i="289"/>
  <c r="B2423" i="289"/>
  <c r="M2422" i="289"/>
  <c r="J2422" i="289"/>
  <c r="B2422" i="289"/>
  <c r="M2421" i="289"/>
  <c r="J2421" i="289"/>
  <c r="B2421" i="289"/>
  <c r="M2420" i="289"/>
  <c r="J2420" i="289"/>
  <c r="B2420" i="289"/>
  <c r="M2419" i="289"/>
  <c r="J2419" i="289"/>
  <c r="B2419" i="289"/>
  <c r="M2418" i="289"/>
  <c r="J2418" i="289"/>
  <c r="B2418" i="289"/>
  <c r="M2417" i="289"/>
  <c r="J2417" i="289"/>
  <c r="B2417" i="289"/>
  <c r="M2416" i="289"/>
  <c r="J2416" i="289"/>
  <c r="B2416" i="289"/>
  <c r="M2415" i="289"/>
  <c r="J2415" i="289"/>
  <c r="B2415" i="289"/>
  <c r="M2414" i="289"/>
  <c r="J2414" i="289"/>
  <c r="B2414" i="289"/>
  <c r="M2413" i="289"/>
  <c r="J2413" i="289"/>
  <c r="B2413" i="289"/>
  <c r="M2412" i="289"/>
  <c r="J2412" i="289"/>
  <c r="B2412" i="289"/>
  <c r="M2411" i="289"/>
  <c r="J2411" i="289"/>
  <c r="B2411" i="289"/>
  <c r="M2410" i="289"/>
  <c r="J2410" i="289"/>
  <c r="B2410" i="289"/>
  <c r="M2409" i="289"/>
  <c r="J2409" i="289"/>
  <c r="B2409" i="289"/>
  <c r="M2408" i="289"/>
  <c r="J2408" i="289"/>
  <c r="B2408" i="289"/>
  <c r="M2407" i="289"/>
  <c r="J2407" i="289"/>
  <c r="B2407" i="289"/>
  <c r="M2406" i="289"/>
  <c r="J2406" i="289"/>
  <c r="B2406" i="289"/>
  <c r="M2405" i="289"/>
  <c r="J2405" i="289"/>
  <c r="B2405" i="289"/>
  <c r="M2404" i="289"/>
  <c r="J2404" i="289"/>
  <c r="B2404" i="289"/>
  <c r="M2403" i="289"/>
  <c r="J2403" i="289"/>
  <c r="B2403" i="289"/>
  <c r="M2402" i="289"/>
  <c r="J2402" i="289"/>
  <c r="B2402" i="289"/>
  <c r="M2401" i="289"/>
  <c r="J2401" i="289"/>
  <c r="B2401" i="289"/>
  <c r="M2400" i="289"/>
  <c r="J2400" i="289"/>
  <c r="B2400" i="289"/>
  <c r="M2399" i="289"/>
  <c r="J2399" i="289"/>
  <c r="B2399" i="289"/>
  <c r="M2398" i="289"/>
  <c r="J2398" i="289"/>
  <c r="B2398" i="289"/>
  <c r="M2397" i="289"/>
  <c r="J2397" i="289"/>
  <c r="B2397" i="289"/>
  <c r="M2396" i="289"/>
  <c r="J2396" i="289"/>
  <c r="B2396" i="289"/>
  <c r="M2395" i="289"/>
  <c r="J2395" i="289"/>
  <c r="B2395" i="289"/>
  <c r="M2394" i="289"/>
  <c r="J2394" i="289"/>
  <c r="B2394" i="289"/>
  <c r="M2393" i="289"/>
  <c r="J2393" i="289"/>
  <c r="B2393" i="289"/>
  <c r="M2392" i="289"/>
  <c r="J2392" i="289"/>
  <c r="B2392" i="289"/>
  <c r="M2391" i="289"/>
  <c r="J2391" i="289"/>
  <c r="B2391" i="289"/>
  <c r="M2390" i="289"/>
  <c r="J2390" i="289"/>
  <c r="B2390" i="289"/>
  <c r="M2389" i="289"/>
  <c r="J2389" i="289"/>
  <c r="I2389" i="289"/>
  <c r="B2389" i="289"/>
  <c r="M2388" i="289"/>
  <c r="J2388" i="289"/>
  <c r="B2388" i="289"/>
  <c r="M2387" i="289"/>
  <c r="J2387" i="289"/>
  <c r="B2387" i="289"/>
  <c r="M2386" i="289"/>
  <c r="J2386" i="289"/>
  <c r="B2386" i="289"/>
  <c r="M2385" i="289"/>
  <c r="J2385" i="289"/>
  <c r="B2385" i="289"/>
  <c r="M2384" i="289"/>
  <c r="J2384" i="289"/>
  <c r="B2384" i="289"/>
  <c r="M2383" i="289"/>
  <c r="J2383" i="289"/>
  <c r="B2383" i="289"/>
  <c r="M2382" i="289"/>
  <c r="J2382" i="289"/>
  <c r="B2382" i="289"/>
  <c r="M2381" i="289"/>
  <c r="J2381" i="289"/>
  <c r="B2381" i="289"/>
  <c r="M2380" i="289"/>
  <c r="J2380" i="289"/>
  <c r="B2380" i="289"/>
  <c r="M2379" i="289"/>
  <c r="J2379" i="289"/>
  <c r="B2379" i="289"/>
  <c r="M2378" i="289"/>
  <c r="J2378" i="289"/>
  <c r="B2378" i="289"/>
  <c r="M2377" i="289"/>
  <c r="J2377" i="289"/>
  <c r="B2377" i="289"/>
  <c r="M2376" i="289"/>
  <c r="J2376" i="289"/>
  <c r="B2376" i="289"/>
  <c r="M2375" i="289"/>
  <c r="J2375" i="289"/>
  <c r="B2375" i="289"/>
  <c r="M2374" i="289"/>
  <c r="J2374" i="289"/>
  <c r="B2374" i="289"/>
  <c r="M2373" i="289"/>
  <c r="J2373" i="289"/>
  <c r="B2373" i="289"/>
  <c r="M2372" i="289"/>
  <c r="J2372" i="289"/>
  <c r="B2372" i="289"/>
  <c r="M2371" i="289"/>
  <c r="J2371" i="289"/>
  <c r="B2371" i="289"/>
  <c r="M2370" i="289"/>
  <c r="J2370" i="289"/>
  <c r="B2370" i="289"/>
  <c r="M2369" i="289"/>
  <c r="J2369" i="289"/>
  <c r="B2369" i="289"/>
  <c r="M2368" i="289"/>
  <c r="J2368" i="289"/>
  <c r="B2368" i="289"/>
  <c r="M2367" i="289"/>
  <c r="J2367" i="289"/>
  <c r="B2367" i="289"/>
  <c r="M2366" i="289"/>
  <c r="J2366" i="289"/>
  <c r="B2366" i="289"/>
  <c r="M2365" i="289"/>
  <c r="J2365" i="289"/>
  <c r="B2365" i="289"/>
  <c r="M2364" i="289"/>
  <c r="J2364" i="289"/>
  <c r="B2364" i="289"/>
  <c r="M2363" i="289"/>
  <c r="J2363" i="289"/>
  <c r="B2363" i="289"/>
  <c r="M2362" i="289"/>
  <c r="J2362" i="289"/>
  <c r="B2362" i="289"/>
  <c r="M2361" i="289"/>
  <c r="J2361" i="289"/>
  <c r="B2361" i="289"/>
  <c r="M2360" i="289"/>
  <c r="J2360" i="289"/>
  <c r="B2360" i="289"/>
  <c r="M2359" i="289"/>
  <c r="J2359" i="289"/>
  <c r="B2359" i="289"/>
  <c r="M2358" i="289"/>
  <c r="J2358" i="289"/>
  <c r="B2358" i="289"/>
  <c r="M2357" i="289"/>
  <c r="J2357" i="289"/>
  <c r="B2357" i="289"/>
  <c r="M2356" i="289"/>
  <c r="J2356" i="289"/>
  <c r="B2356" i="289"/>
  <c r="M2355" i="289"/>
  <c r="J2355" i="289"/>
  <c r="B2355" i="289"/>
  <c r="M2354" i="289"/>
  <c r="J2354" i="289"/>
  <c r="B2354" i="289"/>
  <c r="M2353" i="289"/>
  <c r="J2353" i="289"/>
  <c r="B2353" i="289"/>
  <c r="M2352" i="289"/>
  <c r="J2352" i="289"/>
  <c r="B2352" i="289"/>
  <c r="M2351" i="289"/>
  <c r="J2351" i="289"/>
  <c r="B2351" i="289"/>
  <c r="M2350" i="289"/>
  <c r="J2350" i="289"/>
  <c r="B2350" i="289"/>
  <c r="M2349" i="289"/>
  <c r="J2349" i="289"/>
  <c r="B2349" i="289"/>
  <c r="M2348" i="289"/>
  <c r="J2348" i="289"/>
  <c r="B2348" i="289"/>
  <c r="M2347" i="289"/>
  <c r="J2347" i="289"/>
  <c r="B2347" i="289"/>
  <c r="M2346" i="289"/>
  <c r="J2346" i="289"/>
  <c r="B2346" i="289"/>
  <c r="M2345" i="289"/>
  <c r="J2345" i="289"/>
  <c r="B2345" i="289"/>
  <c r="M2344" i="289"/>
  <c r="J2344" i="289"/>
  <c r="B2344" i="289"/>
  <c r="M2343" i="289"/>
  <c r="J2343" i="289"/>
  <c r="B2343" i="289"/>
  <c r="M2342" i="289"/>
  <c r="J2342" i="289"/>
  <c r="B2342" i="289"/>
  <c r="M2341" i="289"/>
  <c r="J2341" i="289"/>
  <c r="B2341" i="289"/>
  <c r="M2340" i="289"/>
  <c r="J2340" i="289"/>
  <c r="B2340" i="289"/>
  <c r="M2339" i="289"/>
  <c r="J2339" i="289"/>
  <c r="B2339" i="289"/>
  <c r="M2338" i="289"/>
  <c r="J2338" i="289"/>
  <c r="B2338" i="289"/>
  <c r="M2337" i="289"/>
  <c r="J2337" i="289"/>
  <c r="B2337" i="289"/>
  <c r="M2336" i="289"/>
  <c r="J2336" i="289"/>
  <c r="B2336" i="289"/>
  <c r="M2335" i="289"/>
  <c r="J2335" i="289"/>
  <c r="B2335" i="289"/>
  <c r="M2334" i="289"/>
  <c r="J2334" i="289"/>
  <c r="B2334" i="289"/>
  <c r="M2333" i="289"/>
  <c r="J2333" i="289"/>
  <c r="B2333" i="289"/>
  <c r="M2332" i="289"/>
  <c r="J2332" i="289"/>
  <c r="B2332" i="289"/>
  <c r="M2331" i="289"/>
  <c r="J2331" i="289"/>
  <c r="B2331" i="289"/>
  <c r="M2330" i="289"/>
  <c r="J2330" i="289"/>
  <c r="B2330" i="289"/>
  <c r="M2329" i="289"/>
  <c r="J2329" i="289"/>
  <c r="B2329" i="289"/>
  <c r="M2328" i="289"/>
  <c r="J2328" i="289"/>
  <c r="B2328" i="289"/>
  <c r="M2327" i="289"/>
  <c r="J2327" i="289"/>
  <c r="B2327" i="289"/>
  <c r="M2326" i="289"/>
  <c r="J2326" i="289"/>
  <c r="B2326" i="289"/>
  <c r="M2325" i="289"/>
  <c r="J2325" i="289"/>
  <c r="B2325" i="289"/>
  <c r="M2324" i="289"/>
  <c r="J2324" i="289"/>
  <c r="B2324" i="289"/>
  <c r="M2323" i="289"/>
  <c r="J2323" i="289"/>
  <c r="B2323" i="289"/>
  <c r="M2322" i="289"/>
  <c r="J2322" i="289"/>
  <c r="B2322" i="289"/>
  <c r="M2321" i="289"/>
  <c r="J2321" i="289"/>
  <c r="B2321" i="289"/>
  <c r="M2320" i="289"/>
  <c r="J2320" i="289"/>
  <c r="B2320" i="289"/>
  <c r="M2319" i="289"/>
  <c r="J2319" i="289"/>
  <c r="B2319" i="289"/>
  <c r="M2318" i="289"/>
  <c r="J2318" i="289"/>
  <c r="B2318" i="289"/>
  <c r="M2317" i="289"/>
  <c r="J2317" i="289"/>
  <c r="B2317" i="289"/>
  <c r="M2316" i="289"/>
  <c r="J2316" i="289"/>
  <c r="B2316" i="289"/>
  <c r="M2315" i="289"/>
  <c r="J2315" i="289"/>
  <c r="B2315" i="289"/>
  <c r="M2314" i="289"/>
  <c r="J2314" i="289"/>
  <c r="B2314" i="289"/>
  <c r="M2313" i="289"/>
  <c r="J2313" i="289"/>
  <c r="B2313" i="289"/>
  <c r="M2312" i="289"/>
  <c r="J2312" i="289"/>
  <c r="B2312" i="289"/>
  <c r="M2311" i="289"/>
  <c r="J2311" i="289"/>
  <c r="B2311" i="289"/>
  <c r="M2310" i="289"/>
  <c r="J2310" i="289"/>
  <c r="B2310" i="289"/>
  <c r="M2309" i="289"/>
  <c r="J2309" i="289"/>
  <c r="B2309" i="289"/>
  <c r="M2308" i="289"/>
  <c r="J2308" i="289"/>
  <c r="B2308" i="289"/>
  <c r="M2307" i="289"/>
  <c r="J2307" i="289"/>
  <c r="B2307" i="289"/>
  <c r="M2306" i="289"/>
  <c r="J2306" i="289"/>
  <c r="B2306" i="289"/>
  <c r="M2305" i="289"/>
  <c r="J2305" i="289"/>
  <c r="B2305" i="289"/>
  <c r="M2304" i="289"/>
  <c r="J2304" i="289"/>
  <c r="B2304" i="289"/>
  <c r="M2303" i="289"/>
  <c r="J2303" i="289"/>
  <c r="B2303" i="289"/>
  <c r="M2302" i="289"/>
  <c r="J2302" i="289"/>
  <c r="B2302" i="289"/>
  <c r="M2301" i="289"/>
  <c r="J2301" i="289"/>
  <c r="B2301" i="289"/>
  <c r="M2300" i="289"/>
  <c r="J2300" i="289"/>
  <c r="B2300" i="289"/>
  <c r="M2299" i="289"/>
  <c r="J2299" i="289"/>
  <c r="B2299" i="289"/>
  <c r="M2298" i="289"/>
  <c r="J2298" i="289"/>
  <c r="B2298" i="289"/>
  <c r="M2297" i="289"/>
  <c r="J2297" i="289"/>
  <c r="B2297" i="289"/>
  <c r="M2296" i="289"/>
  <c r="J2296" i="289"/>
  <c r="B2296" i="289"/>
  <c r="M2295" i="289"/>
  <c r="J2295" i="289"/>
  <c r="B2295" i="289"/>
  <c r="M2294" i="289"/>
  <c r="J2294" i="289"/>
  <c r="B2294" i="289"/>
  <c r="M2293" i="289"/>
  <c r="J2293" i="289"/>
  <c r="B2293" i="289"/>
  <c r="M2292" i="289"/>
  <c r="J2292" i="289"/>
  <c r="B2292" i="289"/>
  <c r="M2291" i="289"/>
  <c r="J2291" i="289"/>
  <c r="B2291" i="289"/>
  <c r="M2290" i="289"/>
  <c r="J2290" i="289"/>
  <c r="B2290" i="289"/>
  <c r="M2289" i="289"/>
  <c r="J2289" i="289"/>
  <c r="B2289" i="289"/>
  <c r="M2288" i="289"/>
  <c r="J2288" i="289"/>
  <c r="B2288" i="289"/>
  <c r="M2287" i="289"/>
  <c r="J2287" i="289"/>
  <c r="B2287" i="289"/>
  <c r="M2286" i="289"/>
  <c r="J2286" i="289"/>
  <c r="B2286" i="289"/>
  <c r="M2285" i="289"/>
  <c r="J2285" i="289"/>
  <c r="B2285" i="289"/>
  <c r="M2284" i="289"/>
  <c r="J2284" i="289"/>
  <c r="B2284" i="289"/>
  <c r="M2283" i="289"/>
  <c r="J2283" i="289"/>
  <c r="B2283" i="289"/>
  <c r="M2282" i="289"/>
  <c r="J2282" i="289"/>
  <c r="B2282" i="289"/>
  <c r="M2281" i="289"/>
  <c r="J2281" i="289"/>
  <c r="B2281" i="289"/>
  <c r="M2280" i="289"/>
  <c r="J2280" i="289"/>
  <c r="B2280" i="289"/>
  <c r="M2279" i="289"/>
  <c r="J2279" i="289"/>
  <c r="B2279" i="289"/>
  <c r="M2278" i="289"/>
  <c r="J2278" i="289"/>
  <c r="B2278" i="289"/>
  <c r="M2277" i="289"/>
  <c r="J2277" i="289"/>
  <c r="B2277" i="289"/>
  <c r="M2276" i="289"/>
  <c r="J2276" i="289"/>
  <c r="B2276" i="289"/>
  <c r="M2275" i="289"/>
  <c r="J2275" i="289"/>
  <c r="B2275" i="289"/>
  <c r="M2274" i="289"/>
  <c r="J2274" i="289"/>
  <c r="B2274" i="289"/>
  <c r="M2273" i="289"/>
  <c r="J2273" i="289"/>
  <c r="B2273" i="289"/>
  <c r="M2272" i="289"/>
  <c r="J2272" i="289"/>
  <c r="B2272" i="289"/>
  <c r="M2271" i="289"/>
  <c r="J2271" i="289"/>
  <c r="B2271" i="289"/>
  <c r="M2270" i="289"/>
  <c r="J2270" i="289"/>
  <c r="B2270" i="289"/>
  <c r="M2269" i="289"/>
  <c r="J2269" i="289"/>
  <c r="B2269" i="289"/>
  <c r="M2268" i="289"/>
  <c r="J2268" i="289"/>
  <c r="B2268" i="289"/>
  <c r="M2267" i="289"/>
  <c r="J2267" i="289"/>
  <c r="B2267" i="289"/>
  <c r="M2266" i="289"/>
  <c r="J2266" i="289"/>
  <c r="B2266" i="289"/>
  <c r="M2265" i="289"/>
  <c r="J2265" i="289"/>
  <c r="B2265" i="289"/>
  <c r="M2264" i="289"/>
  <c r="J2264" i="289"/>
  <c r="B2264" i="289"/>
  <c r="M2263" i="289"/>
  <c r="J2263" i="289"/>
  <c r="B2263" i="289"/>
  <c r="M2262" i="289"/>
  <c r="J2262" i="289"/>
  <c r="B2262" i="289"/>
  <c r="M2261" i="289"/>
  <c r="J2261" i="289"/>
  <c r="B2261" i="289"/>
  <c r="M2260" i="289"/>
  <c r="J2260" i="289"/>
  <c r="B2260" i="289"/>
  <c r="M2259" i="289"/>
  <c r="J2259" i="289"/>
  <c r="B2259" i="289"/>
  <c r="M2258" i="289"/>
  <c r="J2258" i="289"/>
  <c r="B2258" i="289"/>
  <c r="M2257" i="289"/>
  <c r="J2257" i="289"/>
  <c r="B2257" i="289"/>
  <c r="M2256" i="289"/>
  <c r="J2256" i="289"/>
  <c r="B2256" i="289"/>
  <c r="M2255" i="289"/>
  <c r="J2255" i="289"/>
  <c r="B2255" i="289"/>
  <c r="M2254" i="289"/>
  <c r="J2254" i="289"/>
  <c r="B2254" i="289"/>
  <c r="M2253" i="289"/>
  <c r="J2253" i="289"/>
  <c r="B2253" i="289"/>
  <c r="M2252" i="289"/>
  <c r="J2252" i="289"/>
  <c r="B2252" i="289"/>
  <c r="M2251" i="289"/>
  <c r="J2251" i="289"/>
  <c r="B2251" i="289"/>
  <c r="M2250" i="289"/>
  <c r="J2250" i="289"/>
  <c r="B2250" i="289"/>
  <c r="M2249" i="289"/>
  <c r="J2249" i="289"/>
  <c r="B2249" i="289"/>
  <c r="M2248" i="289"/>
  <c r="J2248" i="289"/>
  <c r="B2248" i="289"/>
  <c r="M2247" i="289"/>
  <c r="J2247" i="289"/>
  <c r="B2247" i="289"/>
  <c r="M2246" i="289"/>
  <c r="J2246" i="289"/>
  <c r="B2246" i="289"/>
  <c r="M2245" i="289"/>
  <c r="J2245" i="289"/>
  <c r="B2245" i="289"/>
  <c r="M2244" i="289"/>
  <c r="J2244" i="289"/>
  <c r="B2244" i="289"/>
  <c r="M2243" i="289"/>
  <c r="J2243" i="289"/>
  <c r="B2243" i="289"/>
  <c r="M2242" i="289"/>
  <c r="J2242" i="289"/>
  <c r="B2242" i="289"/>
  <c r="M2241" i="289"/>
  <c r="J2241" i="289"/>
  <c r="B2241" i="289"/>
  <c r="M2240" i="289"/>
  <c r="J2240" i="289"/>
  <c r="B2240" i="289"/>
  <c r="M2239" i="289"/>
  <c r="J2239" i="289"/>
  <c r="B2239" i="289"/>
  <c r="M2238" i="289"/>
  <c r="J2238" i="289"/>
  <c r="B2238" i="289"/>
  <c r="M2237" i="289"/>
  <c r="J2237" i="289"/>
  <c r="B2237" i="289"/>
  <c r="M2236" i="289"/>
  <c r="J2236" i="289"/>
  <c r="B2236" i="289"/>
  <c r="M2235" i="289"/>
  <c r="J2235" i="289"/>
  <c r="B2235" i="289"/>
  <c r="M2234" i="289"/>
  <c r="J2234" i="289"/>
  <c r="B2234" i="289"/>
  <c r="M2233" i="289"/>
  <c r="J2233" i="289"/>
  <c r="B2233" i="289"/>
  <c r="M2232" i="289"/>
  <c r="J2232" i="289"/>
  <c r="B2232" i="289"/>
  <c r="M2231" i="289"/>
  <c r="J2231" i="289"/>
  <c r="B2231" i="289"/>
  <c r="M2230" i="289"/>
  <c r="J2230" i="289"/>
  <c r="B2230" i="289"/>
  <c r="M2229" i="289"/>
  <c r="J2229" i="289"/>
  <c r="B2229" i="289"/>
  <c r="M2228" i="289"/>
  <c r="J2228" i="289"/>
  <c r="B2228" i="289"/>
  <c r="M2227" i="289"/>
  <c r="J2227" i="289"/>
  <c r="B2227" i="289"/>
  <c r="M2226" i="289"/>
  <c r="J2226" i="289"/>
  <c r="B2226" i="289"/>
  <c r="M2225" i="289"/>
  <c r="J2225" i="289"/>
  <c r="B2225" i="289"/>
  <c r="M2224" i="289"/>
  <c r="J2224" i="289"/>
  <c r="B2224" i="289"/>
  <c r="M2223" i="289"/>
  <c r="J2223" i="289"/>
  <c r="B2223" i="289"/>
  <c r="M2222" i="289"/>
  <c r="J2222" i="289"/>
  <c r="B2222" i="289"/>
  <c r="M2221" i="289"/>
  <c r="J2221" i="289"/>
  <c r="B2221" i="289"/>
  <c r="M2220" i="289"/>
  <c r="J2220" i="289"/>
  <c r="B2220" i="289"/>
  <c r="M2219" i="289"/>
  <c r="J2219" i="289"/>
  <c r="B2219" i="289"/>
  <c r="M2218" i="289"/>
  <c r="J2218" i="289"/>
  <c r="B2218" i="289"/>
  <c r="M2217" i="289"/>
  <c r="J2217" i="289"/>
  <c r="B2217" i="289"/>
  <c r="M2216" i="289"/>
  <c r="J2216" i="289"/>
  <c r="B2216" i="289"/>
  <c r="M2215" i="289"/>
  <c r="J2215" i="289"/>
  <c r="B2215" i="289"/>
  <c r="M2214" i="289"/>
  <c r="J2214" i="289"/>
  <c r="B2214" i="289"/>
  <c r="M2213" i="289"/>
  <c r="J2213" i="289"/>
  <c r="B2213" i="289"/>
  <c r="M2212" i="289"/>
  <c r="J2212" i="289"/>
  <c r="B2212" i="289"/>
  <c r="M2211" i="289"/>
  <c r="J2211" i="289"/>
  <c r="B2211" i="289"/>
  <c r="M2210" i="289"/>
  <c r="J2210" i="289"/>
  <c r="B2210" i="289"/>
  <c r="M2209" i="289"/>
  <c r="J2209" i="289"/>
  <c r="B2209" i="289"/>
  <c r="M2208" i="289"/>
  <c r="J2208" i="289"/>
  <c r="B2208" i="289"/>
  <c r="M2207" i="289"/>
  <c r="J2207" i="289"/>
  <c r="B2207" i="289"/>
  <c r="M2206" i="289"/>
  <c r="J2206" i="289"/>
  <c r="B2206" i="289"/>
  <c r="M2205" i="289"/>
  <c r="J2205" i="289"/>
  <c r="B2205" i="289"/>
  <c r="M2204" i="289"/>
  <c r="J2204" i="289"/>
  <c r="B2204" i="289"/>
  <c r="M2203" i="289"/>
  <c r="J2203" i="289"/>
  <c r="B2203" i="289"/>
  <c r="M2202" i="289"/>
  <c r="J2202" i="289"/>
  <c r="B2202" i="289"/>
  <c r="M2201" i="289"/>
  <c r="J2201" i="289"/>
  <c r="B2201" i="289"/>
  <c r="M2200" i="289"/>
  <c r="J2200" i="289"/>
  <c r="B2200" i="289"/>
  <c r="M2199" i="289"/>
  <c r="J2199" i="289"/>
  <c r="B2199" i="289"/>
  <c r="M2198" i="289"/>
  <c r="J2198" i="289"/>
  <c r="B2198" i="289"/>
  <c r="M2197" i="289"/>
  <c r="J2197" i="289"/>
  <c r="B2197" i="289"/>
  <c r="M2196" i="289"/>
  <c r="J2196" i="289"/>
  <c r="B2196" i="289"/>
  <c r="M2195" i="289"/>
  <c r="J2195" i="289"/>
  <c r="B2195" i="289"/>
  <c r="M2194" i="289"/>
  <c r="J2194" i="289"/>
  <c r="B2194" i="289"/>
  <c r="M2193" i="289"/>
  <c r="J2193" i="289"/>
  <c r="B2193" i="289"/>
  <c r="M2192" i="289"/>
  <c r="J2192" i="289"/>
  <c r="B2192" i="289"/>
  <c r="M2191" i="289"/>
  <c r="J2191" i="289"/>
  <c r="B2191" i="289"/>
  <c r="M2190" i="289"/>
  <c r="J2190" i="289"/>
  <c r="B2190" i="289"/>
  <c r="M2189" i="289"/>
  <c r="J2189" i="289"/>
  <c r="B2189" i="289"/>
  <c r="M2188" i="289"/>
  <c r="J2188" i="289"/>
  <c r="B2188" i="289"/>
  <c r="M2187" i="289"/>
  <c r="J2187" i="289"/>
  <c r="B2187" i="289"/>
  <c r="M2186" i="289"/>
  <c r="J2186" i="289"/>
  <c r="B2186" i="289"/>
  <c r="M2185" i="289"/>
  <c r="J2185" i="289"/>
  <c r="B2185" i="289"/>
  <c r="M2184" i="289"/>
  <c r="J2184" i="289"/>
  <c r="B2184" i="289"/>
  <c r="M2183" i="289"/>
  <c r="J2183" i="289"/>
  <c r="B2183" i="289"/>
  <c r="M2182" i="289"/>
  <c r="J2182" i="289"/>
  <c r="B2182" i="289"/>
  <c r="M2181" i="289"/>
  <c r="J2181" i="289"/>
  <c r="B2181" i="289"/>
  <c r="M2180" i="289"/>
  <c r="J2180" i="289"/>
  <c r="B2180" i="289"/>
  <c r="M2179" i="289"/>
  <c r="J2179" i="289"/>
  <c r="B2179" i="289"/>
  <c r="M2178" i="289"/>
  <c r="J2178" i="289"/>
  <c r="B2178" i="289"/>
  <c r="M2177" i="289"/>
  <c r="J2177" i="289"/>
  <c r="B2177" i="289"/>
  <c r="M2176" i="289"/>
  <c r="J2176" i="289"/>
  <c r="B2176" i="289"/>
  <c r="M2175" i="289"/>
  <c r="J2175" i="289"/>
  <c r="B2175" i="289"/>
  <c r="M2174" i="289"/>
  <c r="J2174" i="289"/>
  <c r="B2174" i="289"/>
  <c r="M2173" i="289"/>
  <c r="J2173" i="289"/>
  <c r="B2173" i="289"/>
  <c r="M2172" i="289"/>
  <c r="J2172" i="289"/>
  <c r="B2172" i="289"/>
  <c r="M2171" i="289"/>
  <c r="J2171" i="289"/>
  <c r="B2171" i="289"/>
  <c r="M2170" i="289"/>
  <c r="J2170" i="289"/>
  <c r="B2170" i="289"/>
  <c r="M2169" i="289"/>
  <c r="J2169" i="289"/>
  <c r="B2169" i="289"/>
  <c r="M2168" i="289"/>
  <c r="J2168" i="289"/>
  <c r="B2168" i="289"/>
  <c r="M2167" i="289"/>
  <c r="J2167" i="289"/>
  <c r="B2167" i="289"/>
  <c r="M2166" i="289"/>
  <c r="J2166" i="289"/>
  <c r="B2166" i="289"/>
  <c r="M2165" i="289"/>
  <c r="J2165" i="289"/>
  <c r="B2165" i="289"/>
  <c r="M2164" i="289"/>
  <c r="J2164" i="289"/>
  <c r="B2164" i="289"/>
  <c r="M2163" i="289"/>
  <c r="J2163" i="289"/>
  <c r="B2163" i="289"/>
  <c r="Q2162" i="289"/>
  <c r="Q2163" i="289" s="1"/>
  <c r="P2162" i="289"/>
  <c r="P2163" i="289" s="1"/>
  <c r="O2162" i="289"/>
  <c r="O2163" i="289" s="1"/>
  <c r="M2162" i="289"/>
  <c r="L2162" i="289"/>
  <c r="K2162" i="289"/>
  <c r="J2162" i="289"/>
  <c r="I2162" i="289"/>
  <c r="H2162" i="289"/>
  <c r="G2162" i="289"/>
  <c r="B2162" i="289"/>
  <c r="M2161" i="289"/>
  <c r="J2161" i="289"/>
  <c r="B2161" i="289"/>
  <c r="M2160" i="289"/>
  <c r="J2160" i="289"/>
  <c r="B2160" i="289"/>
  <c r="M2159" i="289"/>
  <c r="J2159" i="289"/>
  <c r="B2159" i="289"/>
  <c r="M2158" i="289"/>
  <c r="J2158" i="289"/>
  <c r="B2158" i="289"/>
  <c r="M2157" i="289"/>
  <c r="J2157" i="289"/>
  <c r="B2157" i="289"/>
  <c r="M2156" i="289"/>
  <c r="J2156" i="289"/>
  <c r="B2156" i="289"/>
  <c r="M2155" i="289"/>
  <c r="J2155" i="289"/>
  <c r="B2155" i="289"/>
  <c r="M2154" i="289"/>
  <c r="J2154" i="289"/>
  <c r="B2154" i="289"/>
  <c r="M2153" i="289"/>
  <c r="J2153" i="289"/>
  <c r="B2153" i="289"/>
  <c r="M2152" i="289"/>
  <c r="J2152" i="289"/>
  <c r="B2152" i="289"/>
  <c r="M2151" i="289"/>
  <c r="J2151" i="289"/>
  <c r="B2151" i="289"/>
  <c r="M2150" i="289"/>
  <c r="J2150" i="289"/>
  <c r="B2150" i="289"/>
  <c r="M2149" i="289"/>
  <c r="J2149" i="289"/>
  <c r="B2149" i="289"/>
  <c r="M2148" i="289"/>
  <c r="J2148" i="289"/>
  <c r="B2148" i="289"/>
  <c r="M2147" i="289"/>
  <c r="J2147" i="289"/>
  <c r="B2147" i="289"/>
  <c r="M2146" i="289"/>
  <c r="J2146" i="289"/>
  <c r="B2146" i="289"/>
  <c r="M2145" i="289"/>
  <c r="J2145" i="289"/>
  <c r="B2145" i="289"/>
  <c r="M2144" i="289"/>
  <c r="J2144" i="289"/>
  <c r="B2144" i="289"/>
  <c r="M2143" i="289"/>
  <c r="J2143" i="289"/>
  <c r="B2143" i="289"/>
  <c r="M2142" i="289"/>
  <c r="J2142" i="289"/>
  <c r="B2142" i="289"/>
  <c r="M2141" i="289"/>
  <c r="J2141" i="289"/>
  <c r="B2141" i="289"/>
  <c r="M2140" i="289"/>
  <c r="J2140" i="289"/>
  <c r="B2140" i="289"/>
  <c r="M2139" i="289"/>
  <c r="J2139" i="289"/>
  <c r="B2139" i="289"/>
  <c r="M2138" i="289"/>
  <c r="J2138" i="289"/>
  <c r="B2138" i="289"/>
  <c r="M2137" i="289"/>
  <c r="J2137" i="289"/>
  <c r="B2137" i="289"/>
  <c r="M2136" i="289"/>
  <c r="J2136" i="289"/>
  <c r="B2136" i="289"/>
  <c r="M2135" i="289"/>
  <c r="J2135" i="289"/>
  <c r="B2135" i="289"/>
  <c r="M2134" i="289"/>
  <c r="J2134" i="289"/>
  <c r="B2134" i="289"/>
  <c r="M2133" i="289"/>
  <c r="J2133" i="289"/>
  <c r="B2133" i="289"/>
  <c r="M2132" i="289"/>
  <c r="J2132" i="289"/>
  <c r="B2132" i="289"/>
  <c r="M2131" i="289"/>
  <c r="J2131" i="289"/>
  <c r="B2131" i="289"/>
  <c r="M2130" i="289"/>
  <c r="J2130" i="289"/>
  <c r="B2130" i="289"/>
  <c r="M2129" i="289"/>
  <c r="J2129" i="289"/>
  <c r="B2129" i="289"/>
  <c r="M2128" i="289"/>
  <c r="J2128" i="289"/>
  <c r="B2128" i="289"/>
  <c r="M2127" i="289"/>
  <c r="J2127" i="289"/>
  <c r="B2127" i="289"/>
  <c r="M2126" i="289"/>
  <c r="J2126" i="289"/>
  <c r="B2126" i="289"/>
  <c r="M2125" i="289"/>
  <c r="J2125" i="289"/>
  <c r="B2125" i="289"/>
  <c r="M2124" i="289"/>
  <c r="J2124" i="289"/>
  <c r="B2124" i="289"/>
  <c r="M2123" i="289"/>
  <c r="J2123" i="289"/>
  <c r="B2123" i="289"/>
  <c r="M2122" i="289"/>
  <c r="J2122" i="289"/>
  <c r="B2122" i="289"/>
  <c r="M2121" i="289"/>
  <c r="J2121" i="289"/>
  <c r="B2121" i="289"/>
  <c r="M2120" i="289"/>
  <c r="J2120" i="289"/>
  <c r="B2120" i="289"/>
  <c r="M2119" i="289"/>
  <c r="J2119" i="289"/>
  <c r="B2119" i="289"/>
  <c r="M2118" i="289"/>
  <c r="J2118" i="289"/>
  <c r="B2118" i="289"/>
  <c r="M2117" i="289"/>
  <c r="J2117" i="289"/>
  <c r="B2117" i="289"/>
  <c r="M2116" i="289"/>
  <c r="J2116" i="289"/>
  <c r="B2116" i="289"/>
  <c r="M2115" i="289"/>
  <c r="J2115" i="289"/>
  <c r="B2115" i="289"/>
  <c r="M2114" i="289"/>
  <c r="J2114" i="289"/>
  <c r="B2114" i="289"/>
  <c r="M2113" i="289"/>
  <c r="J2113" i="289"/>
  <c r="B2113" i="289"/>
  <c r="M2112" i="289"/>
  <c r="J2112" i="289"/>
  <c r="B2112" i="289"/>
  <c r="M2111" i="289"/>
  <c r="J2111" i="289"/>
  <c r="B2111" i="289"/>
  <c r="M2110" i="289"/>
  <c r="J2110" i="289"/>
  <c r="B2110" i="289"/>
  <c r="M2109" i="289"/>
  <c r="J2109" i="289"/>
  <c r="B2109" i="289"/>
  <c r="M2108" i="289"/>
  <c r="J2108" i="289"/>
  <c r="B2108" i="289"/>
  <c r="M2107" i="289"/>
  <c r="J2107" i="289"/>
  <c r="B2107" i="289"/>
  <c r="M2106" i="289"/>
  <c r="J2106" i="289"/>
  <c r="B2106" i="289"/>
  <c r="M2105" i="289"/>
  <c r="J2105" i="289"/>
  <c r="B2105" i="289"/>
  <c r="M2104" i="289"/>
  <c r="J2104" i="289"/>
  <c r="B2104" i="289"/>
  <c r="M2103" i="289"/>
  <c r="J2103" i="289"/>
  <c r="B2103" i="289"/>
  <c r="M2102" i="289"/>
  <c r="J2102" i="289"/>
  <c r="B2102" i="289"/>
  <c r="M2101" i="289"/>
  <c r="J2101" i="289"/>
  <c r="B2101" i="289"/>
  <c r="M2100" i="289"/>
  <c r="J2100" i="289"/>
  <c r="B2100" i="289"/>
  <c r="M2099" i="289"/>
  <c r="J2099" i="289"/>
  <c r="B2099" i="289"/>
  <c r="M2098" i="289"/>
  <c r="J2098" i="289"/>
  <c r="B2098" i="289"/>
  <c r="M2097" i="289"/>
  <c r="J2097" i="289"/>
  <c r="B2097" i="289"/>
  <c r="M2096" i="289"/>
  <c r="J2096" i="289"/>
  <c r="B2096" i="289"/>
  <c r="M2095" i="289"/>
  <c r="J2095" i="289"/>
  <c r="B2095" i="289"/>
  <c r="M2094" i="289"/>
  <c r="J2094" i="289"/>
  <c r="B2094" i="289"/>
  <c r="M2093" i="289"/>
  <c r="J2093" i="289"/>
  <c r="B2093" i="289"/>
  <c r="M2092" i="289"/>
  <c r="J2092" i="289"/>
  <c r="B2092" i="289"/>
  <c r="M2091" i="289"/>
  <c r="J2091" i="289"/>
  <c r="B2091" i="289"/>
  <c r="M2090" i="289"/>
  <c r="J2090" i="289"/>
  <c r="B2090" i="289"/>
  <c r="M2089" i="289"/>
  <c r="J2089" i="289"/>
  <c r="B2089" i="289"/>
  <c r="M2088" i="289"/>
  <c r="J2088" i="289"/>
  <c r="B2088" i="289"/>
  <c r="M2087" i="289"/>
  <c r="J2087" i="289"/>
  <c r="B2087" i="289"/>
  <c r="M2086" i="289"/>
  <c r="J2086" i="289"/>
  <c r="B2086" i="289"/>
  <c r="M2085" i="289"/>
  <c r="J2085" i="289"/>
  <c r="B2085" i="289"/>
  <c r="M2084" i="289"/>
  <c r="J2084" i="289"/>
  <c r="B2084" i="289"/>
  <c r="M2083" i="289"/>
  <c r="J2083" i="289"/>
  <c r="B2083" i="289"/>
  <c r="M2082" i="289"/>
  <c r="J2082" i="289"/>
  <c r="B2082" i="289"/>
  <c r="M2081" i="289"/>
  <c r="J2081" i="289"/>
  <c r="B2081" i="289"/>
  <c r="M2080" i="289"/>
  <c r="J2080" i="289"/>
  <c r="B2080" i="289"/>
  <c r="M2079" i="289"/>
  <c r="J2079" i="289"/>
  <c r="B2079" i="289"/>
  <c r="M2078" i="289"/>
  <c r="J2078" i="289"/>
  <c r="B2078" i="289"/>
  <c r="M2077" i="289"/>
  <c r="J2077" i="289"/>
  <c r="B2077" i="289"/>
  <c r="M2076" i="289"/>
  <c r="J2076" i="289"/>
  <c r="B2076" i="289"/>
  <c r="M2075" i="289"/>
  <c r="J2075" i="289"/>
  <c r="B2075" i="289"/>
  <c r="M2074" i="289"/>
  <c r="J2074" i="289"/>
  <c r="B2074" i="289"/>
  <c r="M2073" i="289"/>
  <c r="J2073" i="289"/>
  <c r="B2073" i="289"/>
  <c r="M2072" i="289"/>
  <c r="J2072" i="289"/>
  <c r="B2072" i="289"/>
  <c r="M2071" i="289"/>
  <c r="J2071" i="289"/>
  <c r="B2071" i="289"/>
  <c r="M2070" i="289"/>
  <c r="J2070" i="289"/>
  <c r="B2070" i="289"/>
  <c r="M2069" i="289"/>
  <c r="J2069" i="289"/>
  <c r="B2069" i="289"/>
  <c r="M2068" i="289"/>
  <c r="J2068" i="289"/>
  <c r="B2068" i="289"/>
  <c r="M2067" i="289"/>
  <c r="J2067" i="289"/>
  <c r="B2067" i="289"/>
  <c r="M2066" i="289"/>
  <c r="J2066" i="289"/>
  <c r="B2066" i="289"/>
  <c r="M2065" i="289"/>
  <c r="J2065" i="289"/>
  <c r="B2065" i="289"/>
  <c r="M2064" i="289"/>
  <c r="J2064" i="289"/>
  <c r="B2064" i="289"/>
  <c r="M2063" i="289"/>
  <c r="J2063" i="289"/>
  <c r="B2063" i="289"/>
  <c r="M2062" i="289"/>
  <c r="J2062" i="289"/>
  <c r="B2062" i="289"/>
  <c r="M2061" i="289"/>
  <c r="J2061" i="289"/>
  <c r="B2061" i="289"/>
  <c r="M2060" i="289"/>
  <c r="J2060" i="289"/>
  <c r="B2060" i="289"/>
  <c r="M2059" i="289"/>
  <c r="J2059" i="289"/>
  <c r="B2059" i="289"/>
  <c r="M2058" i="289"/>
  <c r="J2058" i="289"/>
  <c r="B2058" i="289"/>
  <c r="M2057" i="289"/>
  <c r="J2057" i="289"/>
  <c r="B2057" i="289"/>
  <c r="M2056" i="289"/>
  <c r="J2056" i="289"/>
  <c r="B2056" i="289"/>
  <c r="M2055" i="289"/>
  <c r="J2055" i="289"/>
  <c r="B2055" i="289"/>
  <c r="M2054" i="289"/>
  <c r="J2054" i="289"/>
  <c r="B2054" i="289"/>
  <c r="M2053" i="289"/>
  <c r="J2053" i="289"/>
  <c r="B2053" i="289"/>
  <c r="M2052" i="289"/>
  <c r="J2052" i="289"/>
  <c r="B2052" i="289"/>
  <c r="M2051" i="289"/>
  <c r="J2051" i="289"/>
  <c r="B2051" i="289"/>
  <c r="M2050" i="289"/>
  <c r="J2050" i="289"/>
  <c r="B2050" i="289"/>
  <c r="M2049" i="289"/>
  <c r="J2049" i="289"/>
  <c r="B2049" i="289"/>
  <c r="M2048" i="289"/>
  <c r="J2048" i="289"/>
  <c r="B2048" i="289"/>
  <c r="M2047" i="289"/>
  <c r="J2047" i="289"/>
  <c r="B2047" i="289"/>
  <c r="M2046" i="289"/>
  <c r="J2046" i="289"/>
  <c r="B2046" i="289"/>
  <c r="M2045" i="289"/>
  <c r="J2045" i="289"/>
  <c r="B2045" i="289"/>
  <c r="M2044" i="289"/>
  <c r="J2044" i="289"/>
  <c r="B2044" i="289"/>
  <c r="M2043" i="289"/>
  <c r="J2043" i="289"/>
  <c r="B2043" i="289"/>
  <c r="M2042" i="289"/>
  <c r="J2042" i="289"/>
  <c r="B2042" i="289"/>
  <c r="M2041" i="289"/>
  <c r="J2041" i="289"/>
  <c r="B2041" i="289"/>
  <c r="M2040" i="289"/>
  <c r="J2040" i="289"/>
  <c r="B2040" i="289"/>
  <c r="M2039" i="289"/>
  <c r="J2039" i="289"/>
  <c r="B2039" i="289"/>
  <c r="M2038" i="289"/>
  <c r="J2038" i="289"/>
  <c r="B2038" i="289"/>
  <c r="M2037" i="289"/>
  <c r="J2037" i="289"/>
  <c r="B2037" i="289"/>
  <c r="M2036" i="289"/>
  <c r="J2036" i="289"/>
  <c r="B2036" i="289"/>
  <c r="M2035" i="289"/>
  <c r="J2035" i="289"/>
  <c r="B2035" i="289"/>
  <c r="M2034" i="289"/>
  <c r="J2034" i="289"/>
  <c r="B2034" i="289"/>
  <c r="M2033" i="289"/>
  <c r="J2033" i="289"/>
  <c r="B2033" i="289"/>
  <c r="M2032" i="289"/>
  <c r="J2032" i="289"/>
  <c r="B2032" i="289"/>
  <c r="M2031" i="289"/>
  <c r="J2031" i="289"/>
  <c r="B2031" i="289"/>
  <c r="M2030" i="289"/>
  <c r="J2030" i="289"/>
  <c r="B2030" i="289"/>
  <c r="M2029" i="289"/>
  <c r="J2029" i="289"/>
  <c r="B2029" i="289"/>
  <c r="M2028" i="289"/>
  <c r="J2028" i="289"/>
  <c r="B2028" i="289"/>
  <c r="M2027" i="289"/>
  <c r="J2027" i="289"/>
  <c r="B2027" i="289"/>
  <c r="M2026" i="289"/>
  <c r="J2026" i="289"/>
  <c r="B2026" i="289"/>
  <c r="M2025" i="289"/>
  <c r="J2025" i="289"/>
  <c r="B2025" i="289"/>
  <c r="M2024" i="289"/>
  <c r="J2024" i="289"/>
  <c r="B2024" i="289"/>
  <c r="M2023" i="289"/>
  <c r="J2023" i="289"/>
  <c r="B2023" i="289"/>
  <c r="M2022" i="289"/>
  <c r="J2022" i="289"/>
  <c r="B2022" i="289"/>
  <c r="M2021" i="289"/>
  <c r="J2021" i="289"/>
  <c r="B2021" i="289"/>
  <c r="M2020" i="289"/>
  <c r="J2020" i="289"/>
  <c r="B2020" i="289"/>
  <c r="M2019" i="289"/>
  <c r="J2019" i="289"/>
  <c r="B2019" i="289"/>
  <c r="M2018" i="289"/>
  <c r="J2018" i="289"/>
  <c r="B2018" i="289"/>
  <c r="M2017" i="289"/>
  <c r="J2017" i="289"/>
  <c r="B2017" i="289"/>
  <c r="M2016" i="289"/>
  <c r="J2016" i="289"/>
  <c r="B2016" i="289"/>
  <c r="M2015" i="289"/>
  <c r="J2015" i="289"/>
  <c r="B2015" i="289"/>
  <c r="M2014" i="289"/>
  <c r="J2014" i="289"/>
  <c r="B2014" i="289"/>
  <c r="M2013" i="289"/>
  <c r="J2013" i="289"/>
  <c r="B2013" i="289"/>
  <c r="M2012" i="289"/>
  <c r="J2012" i="289"/>
  <c r="B2012" i="289"/>
  <c r="M2011" i="289"/>
  <c r="J2011" i="289"/>
  <c r="B2011" i="289"/>
  <c r="M2010" i="289"/>
  <c r="J2010" i="289"/>
  <c r="B2010" i="289"/>
  <c r="M2009" i="289"/>
  <c r="J2009" i="289"/>
  <c r="B2009" i="289"/>
  <c r="M2008" i="289"/>
  <c r="J2008" i="289"/>
  <c r="B2008" i="289"/>
  <c r="M2007" i="289"/>
  <c r="J2007" i="289"/>
  <c r="B2007" i="289"/>
  <c r="M2006" i="289"/>
  <c r="J2006" i="289"/>
  <c r="B2006" i="289"/>
  <c r="M2005" i="289"/>
  <c r="J2005" i="289"/>
  <c r="B2005" i="289"/>
  <c r="M2004" i="289"/>
  <c r="J2004" i="289"/>
  <c r="B2004" i="289"/>
  <c r="M2003" i="289"/>
  <c r="J2003" i="289"/>
  <c r="B2003" i="289"/>
  <c r="M2002" i="289"/>
  <c r="J2002" i="289"/>
  <c r="B2002" i="289"/>
  <c r="M2001" i="289"/>
  <c r="J2001" i="289"/>
  <c r="B2001" i="289"/>
  <c r="M2000" i="289"/>
  <c r="J2000" i="289"/>
  <c r="B2000" i="289"/>
  <c r="M1999" i="289"/>
  <c r="J1999" i="289"/>
  <c r="B1999" i="289"/>
  <c r="M1998" i="289"/>
  <c r="J1998" i="289"/>
  <c r="B1998" i="289"/>
  <c r="M1997" i="289"/>
  <c r="J1997" i="289"/>
  <c r="B1997" i="289"/>
  <c r="M1996" i="289"/>
  <c r="J1996" i="289"/>
  <c r="B1996" i="289"/>
  <c r="M1995" i="289"/>
  <c r="J1995" i="289"/>
  <c r="B1995" i="289"/>
  <c r="M1994" i="289"/>
  <c r="J1994" i="289"/>
  <c r="B1994" i="289"/>
  <c r="M1993" i="289"/>
  <c r="J1993" i="289"/>
  <c r="B1993" i="289"/>
  <c r="M1992" i="289"/>
  <c r="J1992" i="289"/>
  <c r="B1992" i="289"/>
  <c r="M1991" i="289"/>
  <c r="J1991" i="289"/>
  <c r="B1991" i="289"/>
  <c r="M1990" i="289"/>
  <c r="J1990" i="289"/>
  <c r="B1990" i="289"/>
  <c r="M1989" i="289"/>
  <c r="J1989" i="289"/>
  <c r="B1989" i="289"/>
  <c r="M1988" i="289"/>
  <c r="J1988" i="289"/>
  <c r="B1988" i="289"/>
  <c r="M1987" i="289"/>
  <c r="J1987" i="289"/>
  <c r="B1987" i="289"/>
  <c r="M1986" i="289"/>
  <c r="J1986" i="289"/>
  <c r="B1986" i="289"/>
  <c r="M1985" i="289"/>
  <c r="J1985" i="289"/>
  <c r="B1985" i="289"/>
  <c r="M1984" i="289"/>
  <c r="J1984" i="289"/>
  <c r="B1984" i="289"/>
  <c r="M1983" i="289"/>
  <c r="J1983" i="289"/>
  <c r="B1983" i="289"/>
  <c r="M1982" i="289"/>
  <c r="J1982" i="289"/>
  <c r="B1982" i="289"/>
  <c r="M1981" i="289"/>
  <c r="J1981" i="289"/>
  <c r="B1981" i="289"/>
  <c r="M1980" i="289"/>
  <c r="J1980" i="289"/>
  <c r="B1980" i="289"/>
  <c r="M1979" i="289"/>
  <c r="J1979" i="289"/>
  <c r="B1979" i="289"/>
  <c r="M1978" i="289"/>
  <c r="J1978" i="289"/>
  <c r="B1978" i="289"/>
  <c r="M1977" i="289"/>
  <c r="J1977" i="289"/>
  <c r="B1977" i="289"/>
  <c r="M1976" i="289"/>
  <c r="J1976" i="289"/>
  <c r="B1976" i="289"/>
  <c r="M1975" i="289"/>
  <c r="J1975" i="289"/>
  <c r="B1975" i="289"/>
  <c r="M1974" i="289"/>
  <c r="J1974" i="289"/>
  <c r="B1974" i="289"/>
  <c r="M1973" i="289"/>
  <c r="J1973" i="289"/>
  <c r="B1973" i="289"/>
  <c r="M1972" i="289"/>
  <c r="J1972" i="289"/>
  <c r="B1972" i="289"/>
  <c r="M1971" i="289"/>
  <c r="J1971" i="289"/>
  <c r="B1971" i="289"/>
  <c r="M1970" i="289"/>
  <c r="J1970" i="289"/>
  <c r="B1970" i="289"/>
  <c r="M1969" i="289"/>
  <c r="J1969" i="289"/>
  <c r="B1969" i="289"/>
  <c r="M1968" i="289"/>
  <c r="J1968" i="289"/>
  <c r="B1968" i="289"/>
  <c r="M1967" i="289"/>
  <c r="J1967" i="289"/>
  <c r="B1967" i="289"/>
  <c r="M1966" i="289"/>
  <c r="J1966" i="289"/>
  <c r="B1966" i="289"/>
  <c r="M1965" i="289"/>
  <c r="J1965" i="289"/>
  <c r="B1965" i="289"/>
  <c r="M1964" i="289"/>
  <c r="J1964" i="289"/>
  <c r="B1964" i="289"/>
  <c r="M1963" i="289"/>
  <c r="J1963" i="289"/>
  <c r="B1963" i="289"/>
  <c r="M1962" i="289"/>
  <c r="J1962" i="289"/>
  <c r="B1962" i="289"/>
  <c r="M1961" i="289"/>
  <c r="J1961" i="289"/>
  <c r="B1961" i="289"/>
  <c r="M1960" i="289"/>
  <c r="J1960" i="289"/>
  <c r="B1960" i="289"/>
  <c r="M1959" i="289"/>
  <c r="J1959" i="289"/>
  <c r="B1959" i="289"/>
  <c r="M1958" i="289"/>
  <c r="J1958" i="289"/>
  <c r="B1958" i="289"/>
  <c r="M1957" i="289"/>
  <c r="J1957" i="289"/>
  <c r="B1957" i="289"/>
  <c r="M1956" i="289"/>
  <c r="J1956" i="289"/>
  <c r="B1956" i="289"/>
  <c r="M1955" i="289"/>
  <c r="J1955" i="289"/>
  <c r="B1955" i="289"/>
  <c r="M1954" i="289"/>
  <c r="J1954" i="289"/>
  <c r="B1954" i="289"/>
  <c r="M1953" i="289"/>
  <c r="J1953" i="289"/>
  <c r="B1953" i="289"/>
  <c r="M1952" i="289"/>
  <c r="J1952" i="289"/>
  <c r="B1952" i="289"/>
  <c r="M1951" i="289"/>
  <c r="J1951" i="289"/>
  <c r="B1951" i="289"/>
  <c r="M1950" i="289"/>
  <c r="J1950" i="289"/>
  <c r="B1950" i="289"/>
  <c r="M1949" i="289"/>
  <c r="J1949" i="289"/>
  <c r="B1949" i="289"/>
  <c r="M1948" i="289"/>
  <c r="J1948" i="289"/>
  <c r="B1948" i="289"/>
  <c r="M1947" i="289"/>
  <c r="J1947" i="289"/>
  <c r="B1947" i="289"/>
  <c r="M1946" i="289"/>
  <c r="J1946" i="289"/>
  <c r="B1946" i="289"/>
  <c r="M1945" i="289"/>
  <c r="J1945" i="289"/>
  <c r="B1945" i="289"/>
  <c r="M1944" i="289"/>
  <c r="J1944" i="289"/>
  <c r="B1944" i="289"/>
  <c r="M1943" i="289"/>
  <c r="J1943" i="289"/>
  <c r="B1943" i="289"/>
  <c r="M1942" i="289"/>
  <c r="J1942" i="289"/>
  <c r="B1942" i="289"/>
  <c r="M1941" i="289"/>
  <c r="J1941" i="289"/>
  <c r="B1941" i="289"/>
  <c r="M1940" i="289"/>
  <c r="J1940" i="289"/>
  <c r="B1940" i="289"/>
  <c r="M1939" i="289"/>
  <c r="J1939" i="289"/>
  <c r="B1939" i="289"/>
  <c r="M1938" i="289"/>
  <c r="J1938" i="289"/>
  <c r="B1938" i="289"/>
  <c r="M1937" i="289"/>
  <c r="J1937" i="289"/>
  <c r="B1937" i="289"/>
  <c r="M1936" i="289"/>
  <c r="J1936" i="289"/>
  <c r="B1936" i="289"/>
  <c r="M1935" i="289"/>
  <c r="J1935" i="289"/>
  <c r="B1935" i="289"/>
  <c r="M1934" i="289"/>
  <c r="J1934" i="289"/>
  <c r="B1934" i="289"/>
  <c r="M1933" i="289"/>
  <c r="J1933" i="289"/>
  <c r="B1933" i="289"/>
  <c r="M1932" i="289"/>
  <c r="J1932" i="289"/>
  <c r="B1932" i="289"/>
  <c r="M1931" i="289"/>
  <c r="J1931" i="289"/>
  <c r="B1931" i="289"/>
  <c r="M1930" i="289"/>
  <c r="J1930" i="289"/>
  <c r="B1930" i="289"/>
  <c r="M1929" i="289"/>
  <c r="J1929" i="289"/>
  <c r="B1929" i="289"/>
  <c r="M1928" i="289"/>
  <c r="J1928" i="289"/>
  <c r="B1928" i="289"/>
  <c r="M1927" i="289"/>
  <c r="J1927" i="289"/>
  <c r="B1927" i="289"/>
  <c r="M1926" i="289"/>
  <c r="J1926" i="289"/>
  <c r="B1926" i="289"/>
  <c r="M1925" i="289"/>
  <c r="J1925" i="289"/>
  <c r="B1925" i="289"/>
  <c r="M1924" i="289"/>
  <c r="J1924" i="289"/>
  <c r="B1924" i="289"/>
  <c r="M1923" i="289"/>
  <c r="J1923" i="289"/>
  <c r="B1923" i="289"/>
  <c r="M1922" i="289"/>
  <c r="J1922" i="289"/>
  <c r="B1922" i="289"/>
  <c r="M1921" i="289"/>
  <c r="J1921" i="289"/>
  <c r="B1921" i="289"/>
  <c r="M1920" i="289"/>
  <c r="J1920" i="289"/>
  <c r="B1920" i="289"/>
  <c r="M1919" i="289"/>
  <c r="J1919" i="289"/>
  <c r="B1919" i="289"/>
  <c r="M1918" i="289"/>
  <c r="J1918" i="289"/>
  <c r="B1918" i="289"/>
  <c r="M1917" i="289"/>
  <c r="J1917" i="289"/>
  <c r="B1917" i="289"/>
  <c r="M1916" i="289"/>
  <c r="J1916" i="289"/>
  <c r="B1916" i="289"/>
  <c r="M1915" i="289"/>
  <c r="J1915" i="289"/>
  <c r="B1915" i="289"/>
  <c r="M1914" i="289"/>
  <c r="J1914" i="289"/>
  <c r="B1914" i="289"/>
  <c r="M1913" i="289"/>
  <c r="J1913" i="289"/>
  <c r="B1913" i="289"/>
  <c r="M1912" i="289"/>
  <c r="J1912" i="289"/>
  <c r="B1912" i="289"/>
  <c r="M1911" i="289"/>
  <c r="J1911" i="289"/>
  <c r="B1911" i="289"/>
  <c r="M1910" i="289"/>
  <c r="J1910" i="289"/>
  <c r="B1910" i="289"/>
  <c r="M1909" i="289"/>
  <c r="J1909" i="289"/>
  <c r="B1909" i="289"/>
  <c r="M1908" i="289"/>
  <c r="J1908" i="289"/>
  <c r="B1908" i="289"/>
  <c r="M1907" i="289"/>
  <c r="J1907" i="289"/>
  <c r="B1907" i="289"/>
  <c r="M1906" i="289"/>
  <c r="J1906" i="289"/>
  <c r="B1906" i="289"/>
  <c r="M1905" i="289"/>
  <c r="J1905" i="289"/>
  <c r="B1905" i="289"/>
  <c r="M1904" i="289"/>
  <c r="J1904" i="289"/>
  <c r="B1904" i="289"/>
  <c r="M1903" i="289"/>
  <c r="J1903" i="289"/>
  <c r="B1903" i="289"/>
  <c r="M1902" i="289"/>
  <c r="J1902" i="289"/>
  <c r="B1902" i="289"/>
  <c r="M1901" i="289"/>
  <c r="J1901" i="289"/>
  <c r="B1901" i="289"/>
  <c r="M1900" i="289"/>
  <c r="J1900" i="289"/>
  <c r="B1900" i="289"/>
  <c r="M1899" i="289"/>
  <c r="J1899" i="289"/>
  <c r="B1899" i="289"/>
  <c r="M1898" i="289"/>
  <c r="J1898" i="289"/>
  <c r="B1898" i="289"/>
  <c r="M1897" i="289"/>
  <c r="J1897" i="289"/>
  <c r="B1897" i="289"/>
  <c r="M1896" i="289"/>
  <c r="J1896" i="289"/>
  <c r="B1896" i="289"/>
  <c r="M1895" i="289"/>
  <c r="J1895" i="289"/>
  <c r="B1895" i="289"/>
  <c r="M1894" i="289"/>
  <c r="J1894" i="289"/>
  <c r="B1894" i="289"/>
  <c r="M1893" i="289"/>
  <c r="J1893" i="289"/>
  <c r="B1893" i="289"/>
  <c r="M1892" i="289"/>
  <c r="J1892" i="289"/>
  <c r="B1892" i="289"/>
  <c r="M1891" i="289"/>
  <c r="J1891" i="289"/>
  <c r="B1891" i="289"/>
  <c r="M1890" i="289"/>
  <c r="J1890" i="289"/>
  <c r="B1890" i="289"/>
  <c r="M1889" i="289"/>
  <c r="J1889" i="289"/>
  <c r="B1889" i="289"/>
  <c r="M1888" i="289"/>
  <c r="J1888" i="289"/>
  <c r="B1888" i="289"/>
  <c r="M1887" i="289"/>
  <c r="J1887" i="289"/>
  <c r="B1887" i="289"/>
  <c r="M1886" i="289"/>
  <c r="J1886" i="289"/>
  <c r="B1886" i="289"/>
  <c r="M1885" i="289"/>
  <c r="J1885" i="289"/>
  <c r="B1885" i="289"/>
  <c r="M1884" i="289"/>
  <c r="J1884" i="289"/>
  <c r="B1884" i="289"/>
  <c r="M1883" i="289"/>
  <c r="J1883" i="289"/>
  <c r="B1883" i="289"/>
  <c r="M1882" i="289"/>
  <c r="J1882" i="289"/>
  <c r="B1882" i="289"/>
  <c r="M1881" i="289"/>
  <c r="J1881" i="289"/>
  <c r="B1881" i="289"/>
  <c r="M1880" i="289"/>
  <c r="J1880" i="289"/>
  <c r="B1880" i="289"/>
  <c r="M1879" i="289"/>
  <c r="J1879" i="289"/>
  <c r="B1879" i="289"/>
  <c r="M1878" i="289"/>
  <c r="J1878" i="289"/>
  <c r="B1878" i="289"/>
  <c r="M1877" i="289"/>
  <c r="J1877" i="289"/>
  <c r="B1877" i="289"/>
  <c r="M1876" i="289"/>
  <c r="J1876" i="289"/>
  <c r="B1876" i="289"/>
  <c r="M1875" i="289"/>
  <c r="J1875" i="289"/>
  <c r="B1875" i="289"/>
  <c r="M1874" i="289"/>
  <c r="J1874" i="289"/>
  <c r="B1874" i="289"/>
  <c r="M1873" i="289"/>
  <c r="J1873" i="289"/>
  <c r="B1873" i="289"/>
  <c r="M1872" i="289"/>
  <c r="J1872" i="289"/>
  <c r="B1872" i="289"/>
  <c r="M1871" i="289"/>
  <c r="J1871" i="289"/>
  <c r="B1871" i="289"/>
  <c r="M1870" i="289"/>
  <c r="J1870" i="289"/>
  <c r="B1870" i="289"/>
  <c r="M1869" i="289"/>
  <c r="J1869" i="289"/>
  <c r="B1869" i="289"/>
  <c r="M1868" i="289"/>
  <c r="J1868" i="289"/>
  <c r="B1868" i="289"/>
  <c r="M1867" i="289"/>
  <c r="J1867" i="289"/>
  <c r="B1867" i="289"/>
  <c r="M1866" i="289"/>
  <c r="J1866" i="289"/>
  <c r="B1866" i="289"/>
  <c r="M1865" i="289"/>
  <c r="J1865" i="289"/>
  <c r="B1865" i="289"/>
  <c r="M1864" i="289"/>
  <c r="J1864" i="289"/>
  <c r="B1864" i="289"/>
  <c r="M1863" i="289"/>
  <c r="J1863" i="289"/>
  <c r="B1863" i="289"/>
  <c r="M1862" i="289"/>
  <c r="J1862" i="289"/>
  <c r="B1862" i="289"/>
  <c r="M1861" i="289"/>
  <c r="J1861" i="289"/>
  <c r="B1861" i="289"/>
  <c r="M1860" i="289"/>
  <c r="J1860" i="289"/>
  <c r="B1860" i="289"/>
  <c r="M1859" i="289"/>
  <c r="J1859" i="289"/>
  <c r="B1859" i="289"/>
  <c r="M1858" i="289"/>
  <c r="J1858" i="289"/>
  <c r="B1858" i="289"/>
  <c r="M1857" i="289"/>
  <c r="J1857" i="289"/>
  <c r="B1857" i="289"/>
  <c r="M1856" i="289"/>
  <c r="J1856" i="289"/>
  <c r="B1856" i="289"/>
  <c r="M1855" i="289"/>
  <c r="J1855" i="289"/>
  <c r="B1855" i="289"/>
  <c r="M1854" i="289"/>
  <c r="J1854" i="289"/>
  <c r="B1854" i="289"/>
  <c r="M1853" i="289"/>
  <c r="J1853" i="289"/>
  <c r="B1853" i="289"/>
  <c r="M1852" i="289"/>
  <c r="J1852" i="289"/>
  <c r="B1852" i="289"/>
  <c r="M1851" i="289"/>
  <c r="J1851" i="289"/>
  <c r="B1851" i="289"/>
  <c r="M1850" i="289"/>
  <c r="J1850" i="289"/>
  <c r="B1850" i="289"/>
  <c r="M1849" i="289"/>
  <c r="J1849" i="289"/>
  <c r="B1849" i="289"/>
  <c r="M1848" i="289"/>
  <c r="J1848" i="289"/>
  <c r="B1848" i="289"/>
  <c r="M1847" i="289"/>
  <c r="J1847" i="289"/>
  <c r="B1847" i="289"/>
  <c r="M1846" i="289"/>
  <c r="J1846" i="289"/>
  <c r="B1846" i="289"/>
  <c r="M1845" i="289"/>
  <c r="J1845" i="289"/>
  <c r="B1845" i="289"/>
  <c r="M1844" i="289"/>
  <c r="J1844" i="289"/>
  <c r="B1844" i="289"/>
  <c r="M1843" i="289"/>
  <c r="J1843" i="289"/>
  <c r="B1843" i="289"/>
  <c r="M1842" i="289"/>
  <c r="J1842" i="289"/>
  <c r="B1842" i="289"/>
  <c r="M1841" i="289"/>
  <c r="J1841" i="289"/>
  <c r="B1841" i="289"/>
  <c r="M1840" i="289"/>
  <c r="J1840" i="289"/>
  <c r="B1840" i="289"/>
  <c r="M1839" i="289"/>
  <c r="J1839" i="289"/>
  <c r="B1839" i="289"/>
  <c r="M1838" i="289"/>
  <c r="J1838" i="289"/>
  <c r="B1838" i="289"/>
  <c r="M1837" i="289"/>
  <c r="J1837" i="289"/>
  <c r="B1837" i="289"/>
  <c r="M1836" i="289"/>
  <c r="J1836" i="289"/>
  <c r="B1836" i="289"/>
  <c r="M1835" i="289"/>
  <c r="J1835" i="289"/>
  <c r="B1835" i="289"/>
  <c r="M1834" i="289"/>
  <c r="J1834" i="289"/>
  <c r="B1834" i="289"/>
  <c r="M1833" i="289"/>
  <c r="J1833" i="289"/>
  <c r="B1833" i="289"/>
  <c r="M1832" i="289"/>
  <c r="J1832" i="289"/>
  <c r="B1832" i="289"/>
  <c r="M1831" i="289"/>
  <c r="J1831" i="289"/>
  <c r="B1831" i="289"/>
  <c r="M1830" i="289"/>
  <c r="J1830" i="289"/>
  <c r="B1830" i="289"/>
  <c r="M1829" i="289"/>
  <c r="J1829" i="289"/>
  <c r="B1829" i="289"/>
  <c r="M1828" i="289"/>
  <c r="J1828" i="289"/>
  <c r="B1828" i="289"/>
  <c r="M1827" i="289"/>
  <c r="J1827" i="289"/>
  <c r="B1827" i="289"/>
  <c r="M1826" i="289"/>
  <c r="J1826" i="289"/>
  <c r="B1826" i="289"/>
  <c r="M1825" i="289"/>
  <c r="J1825" i="289"/>
  <c r="B1825" i="289"/>
  <c r="M1824" i="289"/>
  <c r="J1824" i="289"/>
  <c r="B1824" i="289"/>
  <c r="M1823" i="289"/>
  <c r="J1823" i="289"/>
  <c r="B1823" i="289"/>
  <c r="M1822" i="289"/>
  <c r="J1822" i="289"/>
  <c r="B1822" i="289"/>
  <c r="M1821" i="289"/>
  <c r="J1821" i="289"/>
  <c r="B1821" i="289"/>
  <c r="M1820" i="289"/>
  <c r="J1820" i="289"/>
  <c r="I1820" i="289"/>
  <c r="B1820" i="289"/>
  <c r="M1819" i="289"/>
  <c r="J1819" i="289"/>
  <c r="B1819" i="289"/>
  <c r="M1818" i="289"/>
  <c r="J1818" i="289"/>
  <c r="B1818" i="289"/>
  <c r="M1817" i="289"/>
  <c r="J1817" i="289"/>
  <c r="B1817" i="289"/>
  <c r="M1816" i="289"/>
  <c r="J1816" i="289"/>
  <c r="B1816" i="289"/>
  <c r="M1815" i="289"/>
  <c r="J1815" i="289"/>
  <c r="B1815" i="289"/>
  <c r="M1814" i="289"/>
  <c r="J1814" i="289"/>
  <c r="B1814" i="289"/>
  <c r="M1813" i="289"/>
  <c r="J1813" i="289"/>
  <c r="B1813" i="289"/>
  <c r="M1812" i="289"/>
  <c r="J1812" i="289"/>
  <c r="B1812" i="289"/>
  <c r="M1811" i="289"/>
  <c r="J1811" i="289"/>
  <c r="B1811" i="289"/>
  <c r="M1810" i="289"/>
  <c r="J1810" i="289"/>
  <c r="B1810" i="289"/>
  <c r="M1809" i="289"/>
  <c r="J1809" i="289"/>
  <c r="B1809" i="289"/>
  <c r="M1808" i="289"/>
  <c r="J1808" i="289"/>
  <c r="B1808" i="289"/>
  <c r="M1807" i="289"/>
  <c r="J1807" i="289"/>
  <c r="B1807" i="289"/>
  <c r="M1806" i="289"/>
  <c r="J1806" i="289"/>
  <c r="B1806" i="289"/>
  <c r="M1805" i="289"/>
  <c r="J1805" i="289"/>
  <c r="B1805" i="289"/>
  <c r="M1804" i="289"/>
  <c r="J1804" i="289"/>
  <c r="B1804" i="289"/>
  <c r="M1803" i="289"/>
  <c r="J1803" i="289"/>
  <c r="B1803" i="289"/>
  <c r="M1802" i="289"/>
  <c r="J1802" i="289"/>
  <c r="B1802" i="289"/>
  <c r="M1801" i="289"/>
  <c r="J1801" i="289"/>
  <c r="B1801" i="289"/>
  <c r="M1800" i="289"/>
  <c r="J1800" i="289"/>
  <c r="B1800" i="289"/>
  <c r="M1799" i="289"/>
  <c r="J1799" i="289"/>
  <c r="B1799" i="289"/>
  <c r="M1798" i="289"/>
  <c r="J1798" i="289"/>
  <c r="B1798" i="289"/>
  <c r="M1797" i="289"/>
  <c r="J1797" i="289"/>
  <c r="B1797" i="289"/>
  <c r="M1796" i="289"/>
  <c r="J1796" i="289"/>
  <c r="B1796" i="289"/>
  <c r="M1795" i="289"/>
  <c r="J1795" i="289"/>
  <c r="B1795" i="289"/>
  <c r="M1794" i="289"/>
  <c r="J1794" i="289"/>
  <c r="B1794" i="289"/>
  <c r="M1793" i="289"/>
  <c r="J1793" i="289"/>
  <c r="B1793" i="289"/>
  <c r="M1792" i="289"/>
  <c r="J1792" i="289"/>
  <c r="B1792" i="289"/>
  <c r="M1791" i="289"/>
  <c r="J1791" i="289"/>
  <c r="B1791" i="289"/>
  <c r="M1790" i="289"/>
  <c r="J1790" i="289"/>
  <c r="B1790" i="289"/>
  <c r="M1789" i="289"/>
  <c r="J1789" i="289"/>
  <c r="B1789" i="289"/>
  <c r="M1788" i="289"/>
  <c r="J1788" i="289"/>
  <c r="B1788" i="289"/>
  <c r="M1787" i="289"/>
  <c r="J1787" i="289"/>
  <c r="B1787" i="289"/>
  <c r="M1786" i="289"/>
  <c r="J1786" i="289"/>
  <c r="B1786" i="289"/>
  <c r="M1785" i="289"/>
  <c r="J1785" i="289"/>
  <c r="B1785" i="289"/>
  <c r="M1784" i="289"/>
  <c r="J1784" i="289"/>
  <c r="B1784" i="289"/>
  <c r="M1783" i="289"/>
  <c r="J1783" i="289"/>
  <c r="B1783" i="289"/>
  <c r="M1782" i="289"/>
  <c r="J1782" i="289"/>
  <c r="B1782" i="289"/>
  <c r="M1781" i="289"/>
  <c r="J1781" i="289"/>
  <c r="B1781" i="289"/>
  <c r="M1780" i="289"/>
  <c r="J1780" i="289"/>
  <c r="B1780" i="289"/>
  <c r="M1779" i="289"/>
  <c r="J1779" i="289"/>
  <c r="B1779" i="289"/>
  <c r="M1778" i="289"/>
  <c r="J1778" i="289"/>
  <c r="B1778" i="289"/>
  <c r="M1777" i="289"/>
  <c r="J1777" i="289"/>
  <c r="B1777" i="289"/>
  <c r="M1776" i="289"/>
  <c r="J1776" i="289"/>
  <c r="B1776" i="289"/>
  <c r="M1775" i="289"/>
  <c r="J1775" i="289"/>
  <c r="B1775" i="289"/>
  <c r="M1774" i="289"/>
  <c r="J1774" i="289"/>
  <c r="B1774" i="289"/>
  <c r="M1773" i="289"/>
  <c r="J1773" i="289"/>
  <c r="B1773" i="289"/>
  <c r="M1772" i="289"/>
  <c r="J1772" i="289"/>
  <c r="B1772" i="289"/>
  <c r="M1771" i="289"/>
  <c r="J1771" i="289"/>
  <c r="B1771" i="289"/>
  <c r="M1770" i="289"/>
  <c r="J1770" i="289"/>
  <c r="B1770" i="289"/>
  <c r="M1769" i="289"/>
  <c r="J1769" i="289"/>
  <c r="B1769" i="289"/>
  <c r="M1768" i="289"/>
  <c r="J1768" i="289"/>
  <c r="B1768" i="289"/>
  <c r="M1767" i="289"/>
  <c r="J1767" i="289"/>
  <c r="B1767" i="289"/>
  <c r="M1766" i="289"/>
  <c r="J1766" i="289"/>
  <c r="B1766" i="289"/>
  <c r="M1765" i="289"/>
  <c r="J1765" i="289"/>
  <c r="B1765" i="289"/>
  <c r="M1764" i="289"/>
  <c r="J1764" i="289"/>
  <c r="B1764" i="289"/>
  <c r="M1763" i="289"/>
  <c r="J1763" i="289"/>
  <c r="B1763" i="289"/>
  <c r="M1762" i="289"/>
  <c r="J1762" i="289"/>
  <c r="B1762" i="289"/>
  <c r="M1761" i="289"/>
  <c r="J1761" i="289"/>
  <c r="B1761" i="289"/>
  <c r="M1760" i="289"/>
  <c r="J1760" i="289"/>
  <c r="B1760" i="289"/>
  <c r="M1759" i="289"/>
  <c r="J1759" i="289"/>
  <c r="B1759" i="289"/>
  <c r="M1758" i="289"/>
  <c r="J1758" i="289"/>
  <c r="B1758" i="289"/>
  <c r="M1757" i="289"/>
  <c r="J1757" i="289"/>
  <c r="B1757" i="289"/>
  <c r="M1756" i="289"/>
  <c r="J1756" i="289"/>
  <c r="B1756" i="289"/>
  <c r="M1755" i="289"/>
  <c r="J1755" i="289"/>
  <c r="B1755" i="289"/>
  <c r="M1754" i="289"/>
  <c r="J1754" i="289"/>
  <c r="B1754" i="289"/>
  <c r="M1753" i="289"/>
  <c r="J1753" i="289"/>
  <c r="B1753" i="289"/>
  <c r="M1752" i="289"/>
  <c r="J1752" i="289"/>
  <c r="B1752" i="289"/>
  <c r="M1751" i="289"/>
  <c r="J1751" i="289"/>
  <c r="B1751" i="289"/>
  <c r="M1750" i="289"/>
  <c r="J1750" i="289"/>
  <c r="B1750" i="289"/>
  <c r="M1749" i="289"/>
  <c r="J1749" i="289"/>
  <c r="B1749" i="289"/>
  <c r="M1748" i="289"/>
  <c r="J1748" i="289"/>
  <c r="B1748" i="289"/>
  <c r="M1747" i="289"/>
  <c r="J1747" i="289"/>
  <c r="B1747" i="289"/>
  <c r="M1746" i="289"/>
  <c r="J1746" i="289"/>
  <c r="B1746" i="289"/>
  <c r="M1745" i="289"/>
  <c r="J1745" i="289"/>
  <c r="B1745" i="289"/>
  <c r="M1744" i="289"/>
  <c r="J1744" i="289"/>
  <c r="B1744" i="289"/>
  <c r="M1743" i="289"/>
  <c r="J1743" i="289"/>
  <c r="B1743" i="289"/>
  <c r="M1742" i="289"/>
  <c r="J1742" i="289"/>
  <c r="B1742" i="289"/>
  <c r="M1741" i="289"/>
  <c r="J1741" i="289"/>
  <c r="B1741" i="289"/>
  <c r="M1740" i="289"/>
  <c r="J1740" i="289"/>
  <c r="B1740" i="289"/>
  <c r="M1739" i="289"/>
  <c r="J1739" i="289"/>
  <c r="B1739" i="289"/>
  <c r="M1738" i="289"/>
  <c r="J1738" i="289"/>
  <c r="B1738" i="289"/>
  <c r="M1737" i="289"/>
  <c r="J1737" i="289"/>
  <c r="B1737" i="289"/>
  <c r="M1736" i="289"/>
  <c r="J1736" i="289"/>
  <c r="B1736" i="289"/>
  <c r="M1735" i="289"/>
  <c r="J1735" i="289"/>
  <c r="B1735" i="289"/>
  <c r="M1734" i="289"/>
  <c r="J1734" i="289"/>
  <c r="B1734" i="289"/>
  <c r="M1733" i="289"/>
  <c r="J1733" i="289"/>
  <c r="B1733" i="289"/>
  <c r="M1732" i="289"/>
  <c r="J1732" i="289"/>
  <c r="B1732" i="289"/>
  <c r="M1731" i="289"/>
  <c r="J1731" i="289"/>
  <c r="B1731" i="289"/>
  <c r="M1730" i="289"/>
  <c r="J1730" i="289"/>
  <c r="B1730" i="289"/>
  <c r="M1729" i="289"/>
  <c r="J1729" i="289"/>
  <c r="B1729" i="289"/>
  <c r="M1728" i="289"/>
  <c r="J1728" i="289"/>
  <c r="B1728" i="289"/>
  <c r="M1727" i="289"/>
  <c r="J1727" i="289"/>
  <c r="B1727" i="289"/>
  <c r="M1726" i="289"/>
  <c r="J1726" i="289"/>
  <c r="B1726" i="289"/>
  <c r="M1725" i="289"/>
  <c r="J1725" i="289"/>
  <c r="B1725" i="289"/>
  <c r="M1724" i="289"/>
  <c r="J1724" i="289"/>
  <c r="B1724" i="289"/>
  <c r="M1723" i="289"/>
  <c r="J1723" i="289"/>
  <c r="B1723" i="289"/>
  <c r="M1722" i="289"/>
  <c r="J1722" i="289"/>
  <c r="B1722" i="289"/>
  <c r="M1721" i="289"/>
  <c r="J1721" i="289"/>
  <c r="B1721" i="289"/>
  <c r="M1720" i="289"/>
  <c r="J1720" i="289"/>
  <c r="B1720" i="289"/>
  <c r="M1719" i="289"/>
  <c r="J1719" i="289"/>
  <c r="B1719" i="289"/>
  <c r="M1718" i="289"/>
  <c r="J1718" i="289"/>
  <c r="B1718" i="289"/>
  <c r="M1717" i="289"/>
  <c r="J1717" i="289"/>
  <c r="B1717" i="289"/>
  <c r="M1716" i="289"/>
  <c r="J1716" i="289"/>
  <c r="B1716" i="289"/>
  <c r="M1715" i="289"/>
  <c r="J1715" i="289"/>
  <c r="B1715" i="289"/>
  <c r="M1714" i="289"/>
  <c r="J1714" i="289"/>
  <c r="B1714" i="289"/>
  <c r="M1713" i="289"/>
  <c r="J1713" i="289"/>
  <c r="B1713" i="289"/>
  <c r="M1712" i="289"/>
  <c r="J1712" i="289"/>
  <c r="B1712" i="289"/>
  <c r="M1711" i="289"/>
  <c r="J1711" i="289"/>
  <c r="B1711" i="289"/>
  <c r="M1710" i="289"/>
  <c r="J1710" i="289"/>
  <c r="B1710" i="289"/>
  <c r="M1709" i="289"/>
  <c r="J1709" i="289"/>
  <c r="B1709" i="289"/>
  <c r="M1708" i="289"/>
  <c r="J1708" i="289"/>
  <c r="B1708" i="289"/>
  <c r="M1707" i="289"/>
  <c r="J1707" i="289"/>
  <c r="B1707" i="289"/>
  <c r="M1706" i="289"/>
  <c r="J1706" i="289"/>
  <c r="B1706" i="289"/>
  <c r="M1705" i="289"/>
  <c r="J1705" i="289"/>
  <c r="B1705" i="289"/>
  <c r="M1704" i="289"/>
  <c r="J1704" i="289"/>
  <c r="B1704" i="289"/>
  <c r="M1703" i="289"/>
  <c r="J1703" i="289"/>
  <c r="B1703" i="289"/>
  <c r="M1702" i="289"/>
  <c r="J1702" i="289"/>
  <c r="B1702" i="289"/>
  <c r="M1701" i="289"/>
  <c r="J1701" i="289"/>
  <c r="B1701" i="289"/>
  <c r="M1700" i="289"/>
  <c r="J1700" i="289"/>
  <c r="B1700" i="289"/>
  <c r="M1699" i="289"/>
  <c r="J1699" i="289"/>
  <c r="B1699" i="289"/>
  <c r="M1698" i="289"/>
  <c r="J1698" i="289"/>
  <c r="B1698" i="289"/>
  <c r="M1697" i="289"/>
  <c r="J1697" i="289"/>
  <c r="B1697" i="289"/>
  <c r="M1696" i="289"/>
  <c r="J1696" i="289"/>
  <c r="B1696" i="289"/>
  <c r="M1695" i="289"/>
  <c r="J1695" i="289"/>
  <c r="B1695" i="289"/>
  <c r="R1694" i="289"/>
  <c r="Q1694" i="289"/>
  <c r="Q1695" i="289" s="1"/>
  <c r="P1694" i="289"/>
  <c r="P1695" i="289" s="1"/>
  <c r="O1694" i="289"/>
  <c r="O1695" i="289" s="1"/>
  <c r="M1694" i="289"/>
  <c r="L1694" i="289"/>
  <c r="K1694" i="289"/>
  <c r="J1694" i="289"/>
  <c r="I1694" i="289"/>
  <c r="H1694" i="289"/>
  <c r="G1694" i="289"/>
  <c r="B1694" i="289"/>
  <c r="M1693" i="289"/>
  <c r="J1693" i="289"/>
  <c r="M1692" i="289"/>
  <c r="J1692" i="289"/>
  <c r="M1691" i="289"/>
  <c r="J1691" i="289"/>
  <c r="M1690" i="289"/>
  <c r="J1690" i="289"/>
  <c r="M1689" i="289"/>
  <c r="J1689" i="289"/>
  <c r="M1688" i="289"/>
  <c r="J1688" i="289"/>
  <c r="M1687" i="289"/>
  <c r="J1687" i="289"/>
  <c r="M1686" i="289"/>
  <c r="J1686" i="289"/>
  <c r="M1685" i="289"/>
  <c r="J1685" i="289"/>
  <c r="M1684" i="289"/>
  <c r="J1684" i="289"/>
  <c r="M1683" i="289"/>
  <c r="J1683" i="289"/>
  <c r="M1682" i="289"/>
  <c r="J1682" i="289"/>
  <c r="M1681" i="289"/>
  <c r="J1681" i="289"/>
  <c r="M1680" i="289"/>
  <c r="J1680" i="289"/>
  <c r="M1679" i="289"/>
  <c r="J1679" i="289"/>
  <c r="M1678" i="289"/>
  <c r="J1678" i="289"/>
  <c r="M1677" i="289"/>
  <c r="J1677" i="289"/>
  <c r="M1676" i="289"/>
  <c r="J1676" i="289"/>
  <c r="M1675" i="289"/>
  <c r="J1675" i="289"/>
  <c r="M1674" i="289"/>
  <c r="J1674" i="289"/>
  <c r="M1673" i="289"/>
  <c r="J1673" i="289"/>
  <c r="M1672" i="289"/>
  <c r="J1672" i="289"/>
  <c r="M1671" i="289"/>
  <c r="J1671" i="289"/>
  <c r="M1670" i="289"/>
  <c r="J1670" i="289"/>
  <c r="M1669" i="289"/>
  <c r="J1669" i="289"/>
  <c r="M1668" i="289"/>
  <c r="J1668" i="289"/>
  <c r="M1667" i="289"/>
  <c r="J1667" i="289"/>
  <c r="M1666" i="289"/>
  <c r="J1666" i="289"/>
  <c r="M1665" i="289"/>
  <c r="J1665" i="289"/>
  <c r="M1664" i="289"/>
  <c r="J1664" i="289"/>
  <c r="M1663" i="289"/>
  <c r="J1663" i="289"/>
  <c r="M1662" i="289"/>
  <c r="J1662" i="289"/>
  <c r="M1661" i="289"/>
  <c r="J1661" i="289"/>
  <c r="M1660" i="289"/>
  <c r="J1660" i="289"/>
  <c r="M1659" i="289"/>
  <c r="J1659" i="289"/>
  <c r="M1658" i="289"/>
  <c r="J1658" i="289"/>
  <c r="M1657" i="289"/>
  <c r="J1657" i="289"/>
  <c r="M1656" i="289"/>
  <c r="J1656" i="289"/>
  <c r="M1655" i="289"/>
  <c r="J1655" i="289"/>
  <c r="M1654" i="289"/>
  <c r="J1654" i="289"/>
  <c r="M1653" i="289"/>
  <c r="J1653" i="289"/>
  <c r="M1652" i="289"/>
  <c r="J1652" i="289"/>
  <c r="M1651" i="289"/>
  <c r="J1651" i="289"/>
  <c r="M1650" i="289"/>
  <c r="J1650" i="289"/>
  <c r="M1649" i="289"/>
  <c r="J1649" i="289"/>
  <c r="M1648" i="289"/>
  <c r="J1648" i="289"/>
  <c r="M1647" i="289"/>
  <c r="J1647" i="289"/>
  <c r="M1646" i="289"/>
  <c r="J1646" i="289"/>
  <c r="M1645" i="289"/>
  <c r="J1645" i="289"/>
  <c r="M1644" i="289"/>
  <c r="J1644" i="289"/>
  <c r="M1643" i="289"/>
  <c r="J1643" i="289"/>
  <c r="B1643" i="289"/>
  <c r="M1642" i="289"/>
  <c r="J1642" i="289"/>
  <c r="B1642" i="289"/>
  <c r="M1641" i="289"/>
  <c r="J1641" i="289"/>
  <c r="B1641" i="289"/>
  <c r="M1640" i="289"/>
  <c r="J1640" i="289"/>
  <c r="B1640" i="289"/>
  <c r="M1639" i="289"/>
  <c r="J1639" i="289"/>
  <c r="B1639" i="289"/>
  <c r="M1638" i="289"/>
  <c r="J1638" i="289"/>
  <c r="B1638" i="289"/>
  <c r="M1637" i="289"/>
  <c r="J1637" i="289"/>
  <c r="B1637" i="289"/>
  <c r="M1636" i="289"/>
  <c r="J1636" i="289"/>
  <c r="B1636" i="289"/>
  <c r="M1635" i="289"/>
  <c r="J1635" i="289"/>
  <c r="B1635" i="289"/>
  <c r="M1634" i="289"/>
  <c r="J1634" i="289"/>
  <c r="B1634" i="289"/>
  <c r="M1633" i="289"/>
  <c r="J1633" i="289"/>
  <c r="B1633" i="289"/>
  <c r="M1632" i="289"/>
  <c r="J1632" i="289"/>
  <c r="B1632" i="289"/>
  <c r="M1631" i="289"/>
  <c r="J1631" i="289"/>
  <c r="B1631" i="289"/>
  <c r="M1630" i="289"/>
  <c r="J1630" i="289"/>
  <c r="B1630" i="289"/>
  <c r="M1629" i="289"/>
  <c r="J1629" i="289"/>
  <c r="B1629" i="289"/>
  <c r="M1628" i="289"/>
  <c r="J1628" i="289"/>
  <c r="B1628" i="289"/>
  <c r="M1627" i="289"/>
  <c r="J1627" i="289"/>
  <c r="B1627" i="289"/>
  <c r="M1626" i="289"/>
  <c r="J1626" i="289"/>
  <c r="B1626" i="289"/>
  <c r="M1625" i="289"/>
  <c r="J1625" i="289"/>
  <c r="B1625" i="289"/>
  <c r="M1624" i="289"/>
  <c r="J1624" i="289"/>
  <c r="B1624" i="289"/>
  <c r="M1623" i="289"/>
  <c r="J1623" i="289"/>
  <c r="B1623" i="289"/>
  <c r="M1622" i="289"/>
  <c r="J1622" i="289"/>
  <c r="B1622" i="289"/>
  <c r="M1621" i="289"/>
  <c r="J1621" i="289"/>
  <c r="B1621" i="289"/>
  <c r="M1620" i="289"/>
  <c r="J1620" i="289"/>
  <c r="B1620" i="289"/>
  <c r="M1619" i="289"/>
  <c r="J1619" i="289"/>
  <c r="B1619" i="289"/>
  <c r="M1618" i="289"/>
  <c r="J1618" i="289"/>
  <c r="B1618" i="289"/>
  <c r="M1617" i="289"/>
  <c r="J1617" i="289"/>
  <c r="B1617" i="289"/>
  <c r="M1616" i="289"/>
  <c r="J1616" i="289"/>
  <c r="B1616" i="289"/>
  <c r="M1615" i="289"/>
  <c r="J1615" i="289"/>
  <c r="B1615" i="289"/>
  <c r="M1614" i="289"/>
  <c r="J1614" i="289"/>
  <c r="B1614" i="289"/>
  <c r="M1613" i="289"/>
  <c r="J1613" i="289"/>
  <c r="B1613" i="289"/>
  <c r="M1612" i="289"/>
  <c r="J1612" i="289"/>
  <c r="B1612" i="289"/>
  <c r="M1611" i="289"/>
  <c r="J1611" i="289"/>
  <c r="B1611" i="289"/>
  <c r="M1610" i="289"/>
  <c r="J1610" i="289"/>
  <c r="B1610" i="289"/>
  <c r="M1609" i="289"/>
  <c r="J1609" i="289"/>
  <c r="B1609" i="289"/>
  <c r="M1608" i="289"/>
  <c r="J1608" i="289"/>
  <c r="B1608" i="289"/>
  <c r="M1607" i="289"/>
  <c r="J1607" i="289"/>
  <c r="B1607" i="289"/>
  <c r="M1606" i="289"/>
  <c r="J1606" i="289"/>
  <c r="B1606" i="289"/>
  <c r="M1605" i="289"/>
  <c r="J1605" i="289"/>
  <c r="B1605" i="289"/>
  <c r="M1604" i="289"/>
  <c r="J1604" i="289"/>
  <c r="B1604" i="289"/>
  <c r="M1603" i="289"/>
  <c r="J1603" i="289"/>
  <c r="B1603" i="289"/>
  <c r="M1602" i="289"/>
  <c r="J1602" i="289"/>
  <c r="B1602" i="289"/>
  <c r="M1601" i="289"/>
  <c r="J1601" i="289"/>
  <c r="B1601" i="289"/>
  <c r="M1600" i="289"/>
  <c r="J1600" i="289"/>
  <c r="B1600" i="289"/>
  <c r="M1599" i="289"/>
  <c r="J1599" i="289"/>
  <c r="B1599" i="289"/>
  <c r="M1598" i="289"/>
  <c r="J1598" i="289"/>
  <c r="B1598" i="289"/>
  <c r="M1597" i="289"/>
  <c r="J1597" i="289"/>
  <c r="B1597" i="289"/>
  <c r="M1596" i="289"/>
  <c r="J1596" i="289"/>
  <c r="B1596" i="289"/>
  <c r="M1595" i="289"/>
  <c r="J1595" i="289"/>
  <c r="B1595" i="289"/>
  <c r="M1594" i="289"/>
  <c r="J1594" i="289"/>
  <c r="B1594" i="289"/>
  <c r="M1593" i="289"/>
  <c r="J1593" i="289"/>
  <c r="B1593" i="289"/>
  <c r="M1592" i="289"/>
  <c r="J1592" i="289"/>
  <c r="B1592" i="289"/>
  <c r="M1591" i="289"/>
  <c r="J1591" i="289"/>
  <c r="B1591" i="289"/>
  <c r="M1590" i="289"/>
  <c r="J1590" i="289"/>
  <c r="B1590" i="289"/>
  <c r="M1589" i="289"/>
  <c r="J1589" i="289"/>
  <c r="B1589" i="289"/>
  <c r="M1588" i="289"/>
  <c r="J1588" i="289"/>
  <c r="B1588" i="289"/>
  <c r="M1587" i="289"/>
  <c r="J1587" i="289"/>
  <c r="B1587" i="289"/>
  <c r="M1586" i="289"/>
  <c r="J1586" i="289"/>
  <c r="B1586" i="289"/>
  <c r="M1585" i="289"/>
  <c r="J1585" i="289"/>
  <c r="B1585" i="289"/>
  <c r="M1584" i="289"/>
  <c r="J1584" i="289"/>
  <c r="B1584" i="289"/>
  <c r="M1583" i="289"/>
  <c r="J1583" i="289"/>
  <c r="B1583" i="289"/>
  <c r="M1582" i="289"/>
  <c r="J1582" i="289"/>
  <c r="B1582" i="289"/>
  <c r="M1581" i="289"/>
  <c r="J1581" i="289"/>
  <c r="B1581" i="289"/>
  <c r="M1580" i="289"/>
  <c r="J1580" i="289"/>
  <c r="B1580" i="289"/>
  <c r="M1579" i="289"/>
  <c r="J1579" i="289"/>
  <c r="B1579" i="289"/>
  <c r="M1578" i="289"/>
  <c r="J1578" i="289"/>
  <c r="B1578" i="289"/>
  <c r="M1577" i="289"/>
  <c r="J1577" i="289"/>
  <c r="B1577" i="289"/>
  <c r="M1576" i="289"/>
  <c r="J1576" i="289"/>
  <c r="B1576" i="289"/>
  <c r="M1575" i="289"/>
  <c r="J1575" i="289"/>
  <c r="B1575" i="289"/>
  <c r="M1574" i="289"/>
  <c r="J1574" i="289"/>
  <c r="B1574" i="289"/>
  <c r="M1573" i="289"/>
  <c r="J1573" i="289"/>
  <c r="B1573" i="289"/>
  <c r="M1572" i="289"/>
  <c r="J1572" i="289"/>
  <c r="B1572" i="289"/>
  <c r="M1571" i="289"/>
  <c r="J1571" i="289"/>
  <c r="B1571" i="289"/>
  <c r="M1570" i="289"/>
  <c r="J1570" i="289"/>
  <c r="B1570" i="289"/>
  <c r="M1569" i="289"/>
  <c r="J1569" i="289"/>
  <c r="B1569" i="289"/>
  <c r="M1568" i="289"/>
  <c r="J1568" i="289"/>
  <c r="B1568" i="289"/>
  <c r="M1567" i="289"/>
  <c r="J1567" i="289"/>
  <c r="B1567" i="289"/>
  <c r="M1566" i="289"/>
  <c r="J1566" i="289"/>
  <c r="B1566" i="289"/>
  <c r="M1565" i="289"/>
  <c r="J1565" i="289"/>
  <c r="B1565" i="289"/>
  <c r="M1564" i="289"/>
  <c r="J1564" i="289"/>
  <c r="B1564" i="289"/>
  <c r="M1563" i="289"/>
  <c r="J1563" i="289"/>
  <c r="B1563" i="289"/>
  <c r="M1562" i="289"/>
  <c r="J1562" i="289"/>
  <c r="B1562" i="289"/>
  <c r="M1561" i="289"/>
  <c r="J1561" i="289"/>
  <c r="B1561" i="289"/>
  <c r="M1560" i="289"/>
  <c r="J1560" i="289"/>
  <c r="B1560" i="289"/>
  <c r="M1559" i="289"/>
  <c r="J1559" i="289"/>
  <c r="B1559" i="289"/>
  <c r="M1558" i="289"/>
  <c r="J1558" i="289"/>
  <c r="B1558" i="289"/>
  <c r="M1557" i="289"/>
  <c r="J1557" i="289"/>
  <c r="B1557" i="289"/>
  <c r="M1556" i="289"/>
  <c r="J1556" i="289"/>
  <c r="B1556" i="289"/>
  <c r="M1555" i="289"/>
  <c r="J1555" i="289"/>
  <c r="B1555" i="289"/>
  <c r="M1554" i="289"/>
  <c r="J1554" i="289"/>
  <c r="B1554" i="289"/>
  <c r="M1553" i="289"/>
  <c r="J1553" i="289"/>
  <c r="B1553" i="289"/>
  <c r="M1552" i="289"/>
  <c r="J1552" i="289"/>
  <c r="B1552" i="289"/>
  <c r="M1551" i="289"/>
  <c r="J1551" i="289"/>
  <c r="B1551" i="289"/>
  <c r="M1550" i="289"/>
  <c r="J1550" i="289"/>
  <c r="B1550" i="289"/>
  <c r="M1549" i="289"/>
  <c r="J1549" i="289"/>
  <c r="B1549" i="289"/>
  <c r="M1548" i="289"/>
  <c r="J1548" i="289"/>
  <c r="B1548" i="289"/>
  <c r="M1547" i="289"/>
  <c r="J1547" i="289"/>
  <c r="B1547" i="289"/>
  <c r="M1546" i="289"/>
  <c r="J1546" i="289"/>
  <c r="B1546" i="289"/>
  <c r="M1545" i="289"/>
  <c r="J1545" i="289"/>
  <c r="B1545" i="289"/>
  <c r="M1544" i="289"/>
  <c r="J1544" i="289"/>
  <c r="B1544" i="289"/>
  <c r="M1543" i="289"/>
  <c r="J1543" i="289"/>
  <c r="B1543" i="289"/>
  <c r="M1542" i="289"/>
  <c r="J1542" i="289"/>
  <c r="B1542" i="289"/>
  <c r="M1541" i="289"/>
  <c r="J1541" i="289"/>
  <c r="B1541" i="289"/>
  <c r="M1540" i="289"/>
  <c r="J1540" i="289"/>
  <c r="B1540" i="289"/>
  <c r="M1539" i="289"/>
  <c r="J1539" i="289"/>
  <c r="B1539" i="289"/>
  <c r="M1538" i="289"/>
  <c r="J1538" i="289"/>
  <c r="B1538" i="289"/>
  <c r="M1537" i="289"/>
  <c r="J1537" i="289"/>
  <c r="B1537" i="289"/>
  <c r="M1536" i="289"/>
  <c r="J1536" i="289"/>
  <c r="B1536" i="289"/>
  <c r="M1535" i="289"/>
  <c r="J1535" i="289"/>
  <c r="B1535" i="289"/>
  <c r="M1534" i="289"/>
  <c r="J1534" i="289"/>
  <c r="B1534" i="289"/>
  <c r="M1533" i="289"/>
  <c r="J1533" i="289"/>
  <c r="B1533" i="289"/>
  <c r="M1532" i="289"/>
  <c r="J1532" i="289"/>
  <c r="B1532" i="289"/>
  <c r="M1531" i="289"/>
  <c r="J1531" i="289"/>
  <c r="B1531" i="289"/>
  <c r="M1530" i="289"/>
  <c r="J1530" i="289"/>
  <c r="B1530" i="289"/>
  <c r="M1529" i="289"/>
  <c r="J1529" i="289"/>
  <c r="B1529" i="289"/>
  <c r="M1528" i="289"/>
  <c r="J1528" i="289"/>
  <c r="B1528" i="289"/>
  <c r="M1527" i="289"/>
  <c r="J1527" i="289"/>
  <c r="B1527" i="289"/>
  <c r="M1526" i="289"/>
  <c r="J1526" i="289"/>
  <c r="B1526" i="289"/>
  <c r="M1525" i="289"/>
  <c r="J1525" i="289"/>
  <c r="B1525" i="289"/>
  <c r="M1524" i="289"/>
  <c r="J1524" i="289"/>
  <c r="B1524" i="289"/>
  <c r="M1523" i="289"/>
  <c r="J1523" i="289"/>
  <c r="B1523" i="289"/>
  <c r="M1522" i="289"/>
  <c r="J1522" i="289"/>
  <c r="B1522" i="289"/>
  <c r="M1521" i="289"/>
  <c r="J1521" i="289"/>
  <c r="B1521" i="289"/>
  <c r="M1520" i="289"/>
  <c r="J1520" i="289"/>
  <c r="B1520" i="289"/>
  <c r="M1519" i="289"/>
  <c r="J1519" i="289"/>
  <c r="B1519" i="289"/>
  <c r="M1518" i="289"/>
  <c r="J1518" i="289"/>
  <c r="B1518" i="289"/>
  <c r="M1517" i="289"/>
  <c r="J1517" i="289"/>
  <c r="B1517" i="289"/>
  <c r="M1516" i="289"/>
  <c r="J1516" i="289"/>
  <c r="B1516" i="289"/>
  <c r="M1515" i="289"/>
  <c r="J1515" i="289"/>
  <c r="B1515" i="289"/>
  <c r="M1514" i="289"/>
  <c r="J1514" i="289"/>
  <c r="B1514" i="289"/>
  <c r="M1513" i="289"/>
  <c r="J1513" i="289"/>
  <c r="B1513" i="289"/>
  <c r="M1512" i="289"/>
  <c r="J1512" i="289"/>
  <c r="B1512" i="289"/>
  <c r="M1511" i="289"/>
  <c r="J1511" i="289"/>
  <c r="B1511" i="289"/>
  <c r="M1510" i="289"/>
  <c r="J1510" i="289"/>
  <c r="B1510" i="289"/>
  <c r="M1509" i="289"/>
  <c r="J1509" i="289"/>
  <c r="B1509" i="289"/>
  <c r="M1508" i="289"/>
  <c r="J1508" i="289"/>
  <c r="B1508" i="289"/>
  <c r="M1507" i="289"/>
  <c r="J1507" i="289"/>
  <c r="B1507" i="289"/>
  <c r="M1506" i="289"/>
  <c r="J1506" i="289"/>
  <c r="B1506" i="289"/>
  <c r="M1505" i="289"/>
  <c r="J1505" i="289"/>
  <c r="B1505" i="289"/>
  <c r="M1504" i="289"/>
  <c r="J1504" i="289"/>
  <c r="B1504" i="289"/>
  <c r="M1503" i="289"/>
  <c r="J1503" i="289"/>
  <c r="B1503" i="289"/>
  <c r="M1502" i="289"/>
  <c r="J1502" i="289"/>
  <c r="B1502" i="289"/>
  <c r="M1501" i="289"/>
  <c r="J1501" i="289"/>
  <c r="B1501" i="289"/>
  <c r="M1500" i="289"/>
  <c r="J1500" i="289"/>
  <c r="B1500" i="289"/>
  <c r="M1499" i="289"/>
  <c r="J1499" i="289"/>
  <c r="B1499" i="289"/>
  <c r="M1498" i="289"/>
  <c r="J1498" i="289"/>
  <c r="B1498" i="289"/>
  <c r="M1497" i="289"/>
  <c r="J1497" i="289"/>
  <c r="B1497" i="289"/>
  <c r="M1496" i="289"/>
  <c r="J1496" i="289"/>
  <c r="B1496" i="289"/>
  <c r="M1495" i="289"/>
  <c r="J1495" i="289"/>
  <c r="B1495" i="289"/>
  <c r="M1494" i="289"/>
  <c r="J1494" i="289"/>
  <c r="B1494" i="289"/>
  <c r="M1493" i="289"/>
  <c r="J1493" i="289"/>
  <c r="B1493" i="289"/>
  <c r="M1492" i="289"/>
  <c r="J1492" i="289"/>
  <c r="B1492" i="289"/>
  <c r="M1491" i="289"/>
  <c r="J1491" i="289"/>
  <c r="B1491" i="289"/>
  <c r="M1490" i="289"/>
  <c r="J1490" i="289"/>
  <c r="B1490" i="289"/>
  <c r="M1489" i="289"/>
  <c r="J1489" i="289"/>
  <c r="B1489" i="289"/>
  <c r="M1488" i="289"/>
  <c r="J1488" i="289"/>
  <c r="B1488" i="289"/>
  <c r="M1487" i="289"/>
  <c r="J1487" i="289"/>
  <c r="B1487" i="289"/>
  <c r="M1486" i="289"/>
  <c r="J1486" i="289"/>
  <c r="B1486" i="289"/>
  <c r="M1485" i="289"/>
  <c r="J1485" i="289"/>
  <c r="B1485" i="289"/>
  <c r="M1484" i="289"/>
  <c r="J1484" i="289"/>
  <c r="B1484" i="289"/>
  <c r="M1483" i="289"/>
  <c r="J1483" i="289"/>
  <c r="B1483" i="289"/>
  <c r="M1482" i="289"/>
  <c r="J1482" i="289"/>
  <c r="B1482" i="289"/>
  <c r="M1481" i="289"/>
  <c r="J1481" i="289"/>
  <c r="B1481" i="289"/>
  <c r="M1480" i="289"/>
  <c r="J1480" i="289"/>
  <c r="B1480" i="289"/>
  <c r="M1479" i="289"/>
  <c r="J1479" i="289"/>
  <c r="B1479" i="289"/>
  <c r="M1478" i="289"/>
  <c r="J1478" i="289"/>
  <c r="B1478" i="289"/>
  <c r="M1477" i="289"/>
  <c r="J1477" i="289"/>
  <c r="B1477" i="289"/>
  <c r="M1476" i="289"/>
  <c r="J1476" i="289"/>
  <c r="B1476" i="289"/>
  <c r="M1475" i="289"/>
  <c r="J1475" i="289"/>
  <c r="B1475" i="289"/>
  <c r="M1474" i="289"/>
  <c r="J1474" i="289"/>
  <c r="B1474" i="289"/>
  <c r="M1473" i="289"/>
  <c r="J1473" i="289"/>
  <c r="B1473" i="289"/>
  <c r="M1472" i="289"/>
  <c r="J1472" i="289"/>
  <c r="B1472" i="289"/>
  <c r="M1471" i="289"/>
  <c r="J1471" i="289"/>
  <c r="B1471" i="289"/>
  <c r="M1470" i="289"/>
  <c r="J1470" i="289"/>
  <c r="B1470" i="289"/>
  <c r="M1469" i="289"/>
  <c r="J1469" i="289"/>
  <c r="B1469" i="289"/>
  <c r="M1468" i="289"/>
  <c r="J1468" i="289"/>
  <c r="B1468" i="289"/>
  <c r="M1467" i="289"/>
  <c r="J1467" i="289"/>
  <c r="B1467" i="289"/>
  <c r="M1466" i="289"/>
  <c r="J1466" i="289"/>
  <c r="B1466" i="289"/>
  <c r="M1465" i="289"/>
  <c r="J1465" i="289"/>
  <c r="B1465" i="289"/>
  <c r="M1464" i="289"/>
  <c r="J1464" i="289"/>
  <c r="B1464" i="289"/>
  <c r="M1463" i="289"/>
  <c r="J1463" i="289"/>
  <c r="B1463" i="289"/>
  <c r="M1462" i="289"/>
  <c r="J1462" i="289"/>
  <c r="B1462" i="289"/>
  <c r="M1461" i="289"/>
  <c r="J1461" i="289"/>
  <c r="B1461" i="289"/>
  <c r="M1460" i="289"/>
  <c r="J1460" i="289"/>
  <c r="B1460" i="289"/>
  <c r="M1459" i="289"/>
  <c r="J1459" i="289"/>
  <c r="B1459" i="289"/>
  <c r="M1458" i="289"/>
  <c r="J1458" i="289"/>
  <c r="B1458" i="289"/>
  <c r="M1457" i="289"/>
  <c r="J1457" i="289"/>
  <c r="B1457" i="289"/>
  <c r="M1456" i="289"/>
  <c r="J1456" i="289"/>
  <c r="B1456" i="289"/>
  <c r="M1455" i="289"/>
  <c r="J1455" i="289"/>
  <c r="B1455" i="289"/>
  <c r="M1454" i="289"/>
  <c r="J1454" i="289"/>
  <c r="B1454" i="289"/>
  <c r="M1453" i="289"/>
  <c r="J1453" i="289"/>
  <c r="B1453" i="289"/>
  <c r="M1452" i="289"/>
  <c r="J1452" i="289"/>
  <c r="B1452" i="289"/>
  <c r="M1451" i="289"/>
  <c r="J1451" i="289"/>
  <c r="B1451" i="289"/>
  <c r="M1450" i="289"/>
  <c r="J1450" i="289"/>
  <c r="B1450" i="289"/>
  <c r="M1449" i="289"/>
  <c r="J1449" i="289"/>
  <c r="B1449" i="289"/>
  <c r="M1448" i="289"/>
  <c r="J1448" i="289"/>
  <c r="B1448" i="289"/>
  <c r="M1447" i="289"/>
  <c r="J1447" i="289"/>
  <c r="B1447" i="289"/>
  <c r="M1446" i="289"/>
  <c r="J1446" i="289"/>
  <c r="B1446" i="289"/>
  <c r="M1445" i="289"/>
  <c r="J1445" i="289"/>
  <c r="B1445" i="289"/>
  <c r="M1444" i="289"/>
  <c r="J1444" i="289"/>
  <c r="B1444" i="289"/>
  <c r="M1443" i="289"/>
  <c r="J1443" i="289"/>
  <c r="B1443" i="289"/>
  <c r="M1442" i="289"/>
  <c r="J1442" i="289"/>
  <c r="B1442" i="289"/>
  <c r="M1441" i="289"/>
  <c r="J1441" i="289"/>
  <c r="B1441" i="289"/>
  <c r="M1440" i="289"/>
  <c r="J1440" i="289"/>
  <c r="B1440" i="289"/>
  <c r="M1439" i="289"/>
  <c r="J1439" i="289"/>
  <c r="B1439" i="289"/>
  <c r="M1438" i="289"/>
  <c r="J1438" i="289"/>
  <c r="B1438" i="289"/>
  <c r="M1437" i="289"/>
  <c r="J1437" i="289"/>
  <c r="B1437" i="289"/>
  <c r="M1436" i="289"/>
  <c r="J1436" i="289"/>
  <c r="B1436" i="289"/>
  <c r="M1435" i="289"/>
  <c r="J1435" i="289"/>
  <c r="B1435" i="289"/>
  <c r="M1434" i="289"/>
  <c r="J1434" i="289"/>
  <c r="B1434" i="289"/>
  <c r="M1433" i="289"/>
  <c r="J1433" i="289"/>
  <c r="B1433" i="289"/>
  <c r="M1432" i="289"/>
  <c r="J1432" i="289"/>
  <c r="B1432" i="289"/>
  <c r="M1431" i="289"/>
  <c r="J1431" i="289"/>
  <c r="B1431" i="289"/>
  <c r="M1430" i="289"/>
  <c r="J1430" i="289"/>
  <c r="B1430" i="289"/>
  <c r="M1429" i="289"/>
  <c r="J1429" i="289"/>
  <c r="B1429" i="289"/>
  <c r="M1428" i="289"/>
  <c r="J1428" i="289"/>
  <c r="B1428" i="289"/>
  <c r="M1427" i="289"/>
  <c r="J1427" i="289"/>
  <c r="B1427" i="289"/>
  <c r="M1426" i="289"/>
  <c r="J1426" i="289"/>
  <c r="B1426" i="289"/>
  <c r="M1425" i="289"/>
  <c r="J1425" i="289"/>
  <c r="B1425" i="289"/>
  <c r="M1424" i="289"/>
  <c r="J1424" i="289"/>
  <c r="B1424" i="289"/>
  <c r="M1423" i="289"/>
  <c r="J1423" i="289"/>
  <c r="B1423" i="289"/>
  <c r="M1422" i="289"/>
  <c r="J1422" i="289"/>
  <c r="B1422" i="289"/>
  <c r="M1421" i="289"/>
  <c r="J1421" i="289"/>
  <c r="B1421" i="289"/>
  <c r="M1420" i="289"/>
  <c r="J1420" i="289"/>
  <c r="B1420" i="289"/>
  <c r="M1419" i="289"/>
  <c r="J1419" i="289"/>
  <c r="B1419" i="289"/>
  <c r="M1418" i="289"/>
  <c r="J1418" i="289"/>
  <c r="B1418" i="289"/>
  <c r="M1417" i="289"/>
  <c r="J1417" i="289"/>
  <c r="B1417" i="289"/>
  <c r="M1416" i="289"/>
  <c r="J1416" i="289"/>
  <c r="B1416" i="289"/>
  <c r="M1415" i="289"/>
  <c r="J1415" i="289"/>
  <c r="B1415" i="289"/>
  <c r="M1414" i="289"/>
  <c r="J1414" i="289"/>
  <c r="B1414" i="289"/>
  <c r="M1413" i="289"/>
  <c r="J1413" i="289"/>
  <c r="B1413" i="289"/>
  <c r="M1412" i="289"/>
  <c r="J1412" i="289"/>
  <c r="B1412" i="289"/>
  <c r="M1411" i="289"/>
  <c r="J1411" i="289"/>
  <c r="B1411" i="289"/>
  <c r="M1410" i="289"/>
  <c r="J1410" i="289"/>
  <c r="B1410" i="289"/>
  <c r="M1409" i="289"/>
  <c r="J1409" i="289"/>
  <c r="B1409" i="289"/>
  <c r="M1408" i="289"/>
  <c r="J1408" i="289"/>
  <c r="B1408" i="289"/>
  <c r="M1407" i="289"/>
  <c r="J1407" i="289"/>
  <c r="B1407" i="289"/>
  <c r="M1406" i="289"/>
  <c r="J1406" i="289"/>
  <c r="B1406" i="289"/>
  <c r="M1405" i="289"/>
  <c r="J1405" i="289"/>
  <c r="B1405" i="289"/>
  <c r="M1404" i="289"/>
  <c r="J1404" i="289"/>
  <c r="B1404" i="289"/>
  <c r="M1403" i="289"/>
  <c r="J1403" i="289"/>
  <c r="B1403" i="289"/>
  <c r="M1402" i="289"/>
  <c r="J1402" i="289"/>
  <c r="B1402" i="289"/>
  <c r="M1401" i="289"/>
  <c r="J1401" i="289"/>
  <c r="B1401" i="289"/>
  <c r="M1400" i="289"/>
  <c r="J1400" i="289"/>
  <c r="B1400" i="289"/>
  <c r="M1399" i="289"/>
  <c r="J1399" i="289"/>
  <c r="B1399" i="289"/>
  <c r="M1398" i="289"/>
  <c r="J1398" i="289"/>
  <c r="B1398" i="289"/>
  <c r="M1397" i="289"/>
  <c r="J1397" i="289"/>
  <c r="B1397" i="289"/>
  <c r="M1396" i="289"/>
  <c r="J1396" i="289"/>
  <c r="B1396" i="289"/>
  <c r="M1395" i="289"/>
  <c r="J1395" i="289"/>
  <c r="B1395" i="289"/>
  <c r="M1394" i="289"/>
  <c r="J1394" i="289"/>
  <c r="B1394" i="289"/>
  <c r="M1393" i="289"/>
  <c r="J1393" i="289"/>
  <c r="B1393" i="289"/>
  <c r="M1392" i="289"/>
  <c r="J1392" i="289"/>
  <c r="B1392" i="289"/>
  <c r="M1391" i="289"/>
  <c r="J1391" i="289"/>
  <c r="B1391" i="289"/>
  <c r="M1390" i="289"/>
  <c r="J1390" i="289"/>
  <c r="B1390" i="289"/>
  <c r="M1389" i="289"/>
  <c r="J1389" i="289"/>
  <c r="B1389" i="289"/>
  <c r="M1388" i="289"/>
  <c r="J1388" i="289"/>
  <c r="B1388" i="289"/>
  <c r="M1387" i="289"/>
  <c r="J1387" i="289"/>
  <c r="B1387" i="289"/>
  <c r="M1386" i="289"/>
  <c r="J1386" i="289"/>
  <c r="B1386" i="289"/>
  <c r="M1385" i="289"/>
  <c r="J1385" i="289"/>
  <c r="B1385" i="289"/>
  <c r="M1384" i="289"/>
  <c r="J1384" i="289"/>
  <c r="B1384" i="289"/>
  <c r="M1383" i="289"/>
  <c r="J1383" i="289"/>
  <c r="B1383" i="289"/>
  <c r="M1382" i="289"/>
  <c r="J1382" i="289"/>
  <c r="B1382" i="289"/>
  <c r="M1381" i="289"/>
  <c r="J1381" i="289"/>
  <c r="B1381" i="289"/>
  <c r="M1380" i="289"/>
  <c r="J1380" i="289"/>
  <c r="B1380" i="289"/>
  <c r="M1379" i="289"/>
  <c r="J1379" i="289"/>
  <c r="B1379" i="289"/>
  <c r="M1378" i="289"/>
  <c r="J1378" i="289"/>
  <c r="B1378" i="289"/>
  <c r="M1377" i="289"/>
  <c r="J1377" i="289"/>
  <c r="B1377" i="289"/>
  <c r="M1376" i="289"/>
  <c r="J1376" i="289"/>
  <c r="B1376" i="289"/>
  <c r="M1375" i="289"/>
  <c r="J1375" i="289"/>
  <c r="B1375" i="289"/>
  <c r="M1374" i="289"/>
  <c r="J1374" i="289"/>
  <c r="B1374" i="289"/>
  <c r="M1373" i="289"/>
  <c r="J1373" i="289"/>
  <c r="B1373" i="289"/>
  <c r="M1372" i="289"/>
  <c r="J1372" i="289"/>
  <c r="B1372" i="289"/>
  <c r="M1371" i="289"/>
  <c r="J1371" i="289"/>
  <c r="B1371" i="289"/>
  <c r="M1370" i="289"/>
  <c r="J1370" i="289"/>
  <c r="B1370" i="289"/>
  <c r="M1369" i="289"/>
  <c r="J1369" i="289"/>
  <c r="B1369" i="289"/>
  <c r="M1368" i="289"/>
  <c r="J1368" i="289"/>
  <c r="B1368" i="289"/>
  <c r="M1367" i="289"/>
  <c r="J1367" i="289"/>
  <c r="B1367" i="289"/>
  <c r="M1366" i="289"/>
  <c r="J1366" i="289"/>
  <c r="B1366" i="289"/>
  <c r="M1365" i="289"/>
  <c r="J1365" i="289"/>
  <c r="B1365" i="289"/>
  <c r="M1364" i="289"/>
  <c r="J1364" i="289"/>
  <c r="B1364" i="289"/>
  <c r="M1363" i="289"/>
  <c r="J1363" i="289"/>
  <c r="B1363" i="289"/>
  <c r="M1362" i="289"/>
  <c r="J1362" i="289"/>
  <c r="B1362" i="289"/>
  <c r="M1361" i="289"/>
  <c r="J1361" i="289"/>
  <c r="B1361" i="289"/>
  <c r="M1360" i="289"/>
  <c r="J1360" i="289"/>
  <c r="B1360" i="289"/>
  <c r="M1359" i="289"/>
  <c r="J1359" i="289"/>
  <c r="B1359" i="289"/>
  <c r="M1358" i="289"/>
  <c r="J1358" i="289"/>
  <c r="B1358" i="289"/>
  <c r="M1357" i="289"/>
  <c r="J1357" i="289"/>
  <c r="B1357" i="289"/>
  <c r="M1356" i="289"/>
  <c r="J1356" i="289"/>
  <c r="B1356" i="289"/>
  <c r="M1355" i="289"/>
  <c r="J1355" i="289"/>
  <c r="B1355" i="289"/>
  <c r="M1354" i="289"/>
  <c r="J1354" i="289"/>
  <c r="B1354" i="289"/>
  <c r="M1353" i="289"/>
  <c r="J1353" i="289"/>
  <c r="B1353" i="289"/>
  <c r="M1352" i="289"/>
  <c r="J1352" i="289"/>
  <c r="B1352" i="289"/>
  <c r="M1351" i="289"/>
  <c r="J1351" i="289"/>
  <c r="B1351" i="289"/>
  <c r="M1350" i="289"/>
  <c r="J1350" i="289"/>
  <c r="B1350" i="289"/>
  <c r="M1349" i="289"/>
  <c r="J1349" i="289"/>
  <c r="B1349" i="289"/>
  <c r="M1348" i="289"/>
  <c r="J1348" i="289"/>
  <c r="B1348" i="289"/>
  <c r="M1347" i="289"/>
  <c r="J1347" i="289"/>
  <c r="B1347" i="289"/>
  <c r="M1346" i="289"/>
  <c r="J1346" i="289"/>
  <c r="B1346" i="289"/>
  <c r="M1345" i="289"/>
  <c r="J1345" i="289"/>
  <c r="B1345" i="289"/>
  <c r="M1344" i="289"/>
  <c r="J1344" i="289"/>
  <c r="B1344" i="289"/>
  <c r="M1343" i="289"/>
  <c r="J1343" i="289"/>
  <c r="B1343" i="289"/>
  <c r="M1342" i="289"/>
  <c r="J1342" i="289"/>
  <c r="B1342" i="289"/>
  <c r="M1341" i="289"/>
  <c r="J1341" i="289"/>
  <c r="B1341" i="289"/>
  <c r="M1340" i="289"/>
  <c r="J1340" i="289"/>
  <c r="B1340" i="289"/>
  <c r="M1339" i="289"/>
  <c r="J1339" i="289"/>
  <c r="B1339" i="289"/>
  <c r="M1338" i="289"/>
  <c r="J1338" i="289"/>
  <c r="B1338" i="289"/>
  <c r="M1337" i="289"/>
  <c r="J1337" i="289"/>
  <c r="B1337" i="289"/>
  <c r="M1336" i="289"/>
  <c r="J1336" i="289"/>
  <c r="B1336" i="289"/>
  <c r="M1335" i="289"/>
  <c r="J1335" i="289"/>
  <c r="B1335" i="289"/>
  <c r="M1334" i="289"/>
  <c r="J1334" i="289"/>
  <c r="B1334" i="289"/>
  <c r="M1333" i="289"/>
  <c r="J1333" i="289"/>
  <c r="B1333" i="289"/>
  <c r="M1332" i="289"/>
  <c r="J1332" i="289"/>
  <c r="B1332" i="289"/>
  <c r="M1331" i="289"/>
  <c r="J1331" i="289"/>
  <c r="B1331" i="289"/>
  <c r="M1330" i="289"/>
  <c r="J1330" i="289"/>
  <c r="B1330" i="289"/>
  <c r="M1329" i="289"/>
  <c r="J1329" i="289"/>
  <c r="B1329" i="289"/>
  <c r="M1328" i="289"/>
  <c r="J1328" i="289"/>
  <c r="B1328" i="289"/>
  <c r="M1327" i="289"/>
  <c r="J1327" i="289"/>
  <c r="B1327" i="289"/>
  <c r="M1326" i="289"/>
  <c r="J1326" i="289"/>
  <c r="B1326" i="289"/>
  <c r="M1325" i="289"/>
  <c r="J1325" i="289"/>
  <c r="B1325" i="289"/>
  <c r="M1324" i="289"/>
  <c r="J1324" i="289"/>
  <c r="B1324" i="289"/>
  <c r="M1323" i="289"/>
  <c r="J1323" i="289"/>
  <c r="B1323" i="289"/>
  <c r="M1322" i="289"/>
  <c r="J1322" i="289"/>
  <c r="B1322" i="289"/>
  <c r="M1321" i="289"/>
  <c r="J1321" i="289"/>
  <c r="B1321" i="289"/>
  <c r="M1320" i="289"/>
  <c r="J1320" i="289"/>
  <c r="B1320" i="289"/>
  <c r="M1319" i="289"/>
  <c r="J1319" i="289"/>
  <c r="B1319" i="289"/>
  <c r="M1318" i="289"/>
  <c r="J1318" i="289"/>
  <c r="B1318" i="289"/>
  <c r="M1317" i="289"/>
  <c r="J1317" i="289"/>
  <c r="B1317" i="289"/>
  <c r="M1316" i="289"/>
  <c r="J1316" i="289"/>
  <c r="B1316" i="289"/>
  <c r="M1315" i="289"/>
  <c r="J1315" i="289"/>
  <c r="B1315" i="289"/>
  <c r="M1314" i="289"/>
  <c r="J1314" i="289"/>
  <c r="B1314" i="289"/>
  <c r="M1313" i="289"/>
  <c r="J1313" i="289"/>
  <c r="B1313" i="289"/>
  <c r="M1312" i="289"/>
  <c r="J1312" i="289"/>
  <c r="B1312" i="289"/>
  <c r="M1311" i="289"/>
  <c r="J1311" i="289"/>
  <c r="B1311" i="289"/>
  <c r="M1310" i="289"/>
  <c r="J1310" i="289"/>
  <c r="B1310" i="289"/>
  <c r="M1309" i="289"/>
  <c r="J1309" i="289"/>
  <c r="B1309" i="289"/>
  <c r="M1308" i="289"/>
  <c r="J1308" i="289"/>
  <c r="B1308" i="289"/>
  <c r="M1307" i="289"/>
  <c r="J1307" i="289"/>
  <c r="B1307" i="289"/>
  <c r="M1306" i="289"/>
  <c r="J1306" i="289"/>
  <c r="B1306" i="289"/>
  <c r="M1305" i="289"/>
  <c r="J1305" i="289"/>
  <c r="B1305" i="289"/>
  <c r="M1304" i="289"/>
  <c r="J1304" i="289"/>
  <c r="B1304" i="289"/>
  <c r="M1303" i="289"/>
  <c r="J1303" i="289"/>
  <c r="B1303" i="289"/>
  <c r="M1302" i="289"/>
  <c r="J1302" i="289"/>
  <c r="B1302" i="289"/>
  <c r="M1301" i="289"/>
  <c r="J1301" i="289"/>
  <c r="B1301" i="289"/>
  <c r="M1300" i="289"/>
  <c r="J1300" i="289"/>
  <c r="B1300" i="289"/>
  <c r="M1299" i="289"/>
  <c r="J1299" i="289"/>
  <c r="B1299" i="289"/>
  <c r="M1298" i="289"/>
  <c r="J1298" i="289"/>
  <c r="B1298" i="289"/>
  <c r="M1297" i="289"/>
  <c r="J1297" i="289"/>
  <c r="B1297" i="289"/>
  <c r="M1296" i="289"/>
  <c r="J1296" i="289"/>
  <c r="B1296" i="289"/>
  <c r="M1295" i="289"/>
  <c r="J1295" i="289"/>
  <c r="B1295" i="289"/>
  <c r="M1294" i="289"/>
  <c r="J1294" i="289"/>
  <c r="B1294" i="289"/>
  <c r="M1293" i="289"/>
  <c r="J1293" i="289"/>
  <c r="B1293" i="289"/>
  <c r="M1292" i="289"/>
  <c r="J1292" i="289"/>
  <c r="B1292" i="289"/>
  <c r="M1291" i="289"/>
  <c r="J1291" i="289"/>
  <c r="B1291" i="289"/>
  <c r="M1290" i="289"/>
  <c r="J1290" i="289"/>
  <c r="B1290" i="289"/>
  <c r="M1289" i="289"/>
  <c r="J1289" i="289"/>
  <c r="B1289" i="289"/>
  <c r="M1288" i="289"/>
  <c r="J1288" i="289"/>
  <c r="B1288" i="289"/>
  <c r="M1287" i="289"/>
  <c r="J1287" i="289"/>
  <c r="B1287" i="289"/>
  <c r="M1286" i="289"/>
  <c r="J1286" i="289"/>
  <c r="B1286" i="289"/>
  <c r="M1285" i="289"/>
  <c r="J1285" i="289"/>
  <c r="B1285" i="289"/>
  <c r="M1284" i="289"/>
  <c r="J1284" i="289"/>
  <c r="B1284" i="289"/>
  <c r="M1283" i="289"/>
  <c r="J1283" i="289"/>
  <c r="B1283" i="289"/>
  <c r="M1282" i="289"/>
  <c r="J1282" i="289"/>
  <c r="B1282" i="289"/>
  <c r="M1281" i="289"/>
  <c r="J1281" i="289"/>
  <c r="B1281" i="289"/>
  <c r="M1280" i="289"/>
  <c r="J1280" i="289"/>
  <c r="B1280" i="289"/>
  <c r="M1279" i="289"/>
  <c r="J1279" i="289"/>
  <c r="B1279" i="289"/>
  <c r="M1278" i="289"/>
  <c r="J1278" i="289"/>
  <c r="B1278" i="289"/>
  <c r="M1277" i="289"/>
  <c r="J1277" i="289"/>
  <c r="B1277" i="289"/>
  <c r="M1276" i="289"/>
  <c r="J1276" i="289"/>
  <c r="B1276" i="289"/>
  <c r="M1275" i="289"/>
  <c r="J1275" i="289"/>
  <c r="B1275" i="289"/>
  <c r="M1274" i="289"/>
  <c r="J1274" i="289"/>
  <c r="B1274" i="289"/>
  <c r="M1273" i="289"/>
  <c r="J1273" i="289"/>
  <c r="B1273" i="289"/>
  <c r="M1272" i="289"/>
  <c r="J1272" i="289"/>
  <c r="B1272" i="289"/>
  <c r="M1271" i="289"/>
  <c r="J1271" i="289"/>
  <c r="B1271" i="289"/>
  <c r="M1270" i="289"/>
  <c r="J1270" i="289"/>
  <c r="B1270" i="289"/>
  <c r="M1269" i="289"/>
  <c r="J1269" i="289"/>
  <c r="B1269" i="289"/>
  <c r="M1268" i="289"/>
  <c r="J1268" i="289"/>
  <c r="B1268" i="289"/>
  <c r="M1267" i="289"/>
  <c r="J1267" i="289"/>
  <c r="B1267" i="289"/>
  <c r="M1266" i="289"/>
  <c r="J1266" i="289"/>
  <c r="B1266" i="289"/>
  <c r="M1265" i="289"/>
  <c r="J1265" i="289"/>
  <c r="B1265" i="289"/>
  <c r="M1264" i="289"/>
  <c r="J1264" i="289"/>
  <c r="B1264" i="289"/>
  <c r="M1263" i="289"/>
  <c r="J1263" i="289"/>
  <c r="B1263" i="289"/>
  <c r="M1262" i="289"/>
  <c r="J1262" i="289"/>
  <c r="B1262" i="289"/>
  <c r="M1261" i="289"/>
  <c r="J1261" i="289"/>
  <c r="B1261" i="289"/>
  <c r="M1260" i="289"/>
  <c r="J1260" i="289"/>
  <c r="B1260" i="289"/>
  <c r="M1259" i="289"/>
  <c r="J1259" i="289"/>
  <c r="B1259" i="289"/>
  <c r="M1258" i="289"/>
  <c r="J1258" i="289"/>
  <c r="B1258" i="289"/>
  <c r="M1257" i="289"/>
  <c r="J1257" i="289"/>
  <c r="B1257" i="289"/>
  <c r="M1256" i="289"/>
  <c r="J1256" i="289"/>
  <c r="B1256" i="289"/>
  <c r="M1255" i="289"/>
  <c r="J1255" i="289"/>
  <c r="B1255" i="289"/>
  <c r="M1254" i="289"/>
  <c r="J1254" i="289"/>
  <c r="B1254" i="289"/>
  <c r="M1253" i="289"/>
  <c r="J1253" i="289"/>
  <c r="B1253" i="289"/>
  <c r="M1252" i="289"/>
  <c r="J1252" i="289"/>
  <c r="B1252" i="289"/>
  <c r="M1251" i="289"/>
  <c r="J1251" i="289"/>
  <c r="B1251" i="289"/>
  <c r="M1250" i="289"/>
  <c r="J1250" i="289"/>
  <c r="B1250" i="289"/>
  <c r="M1249" i="289"/>
  <c r="J1249" i="289"/>
  <c r="B1249" i="289"/>
  <c r="M1248" i="289"/>
  <c r="J1248" i="289"/>
  <c r="B1248" i="289"/>
  <c r="M1247" i="289"/>
  <c r="J1247" i="289"/>
  <c r="B1247" i="289"/>
  <c r="M1246" i="289"/>
  <c r="J1246" i="289"/>
  <c r="B1246" i="289"/>
  <c r="M1245" i="289"/>
  <c r="J1245" i="289"/>
  <c r="B1245" i="289"/>
  <c r="M1244" i="289"/>
  <c r="J1244" i="289"/>
  <c r="B1244" i="289"/>
  <c r="M1243" i="289"/>
  <c r="J1243" i="289"/>
  <c r="B1243" i="289"/>
  <c r="M1242" i="289"/>
  <c r="J1242" i="289"/>
  <c r="B1242" i="289"/>
  <c r="M1241" i="289"/>
  <c r="J1241" i="289"/>
  <c r="B1241" i="289"/>
  <c r="M1240" i="289"/>
  <c r="J1240" i="289"/>
  <c r="B1240" i="289"/>
  <c r="M1239" i="289"/>
  <c r="J1239" i="289"/>
  <c r="B1239" i="289"/>
  <c r="M1238" i="289"/>
  <c r="J1238" i="289"/>
  <c r="B1238" i="289"/>
  <c r="M1237" i="289"/>
  <c r="J1237" i="289"/>
  <c r="B1237" i="289"/>
  <c r="M1236" i="289"/>
  <c r="J1236" i="289"/>
  <c r="B1236" i="289"/>
  <c r="M1235" i="289"/>
  <c r="J1235" i="289"/>
  <c r="B1235" i="289"/>
  <c r="M1234" i="289"/>
  <c r="J1234" i="289"/>
  <c r="B1234" i="289"/>
  <c r="M1233" i="289"/>
  <c r="J1233" i="289"/>
  <c r="B1233" i="289"/>
  <c r="M1232" i="289"/>
  <c r="J1232" i="289"/>
  <c r="B1232" i="289"/>
  <c r="M1231" i="289"/>
  <c r="J1231" i="289"/>
  <c r="B1231" i="289"/>
  <c r="M1230" i="289"/>
  <c r="J1230" i="289"/>
  <c r="B1230" i="289"/>
  <c r="M1229" i="289"/>
  <c r="J1229" i="289"/>
  <c r="B1229" i="289"/>
  <c r="M1228" i="289"/>
  <c r="J1228" i="289"/>
  <c r="B1228" i="289"/>
  <c r="M1227" i="289"/>
  <c r="J1227" i="289"/>
  <c r="B1227" i="289"/>
  <c r="M1226" i="289"/>
  <c r="J1226" i="289"/>
  <c r="B1226" i="289"/>
  <c r="M1225" i="289"/>
  <c r="J1225" i="289"/>
  <c r="B1225" i="289"/>
  <c r="M1224" i="289"/>
  <c r="J1224" i="289"/>
  <c r="B1224" i="289"/>
  <c r="M1223" i="289"/>
  <c r="J1223" i="289"/>
  <c r="B1223" i="289"/>
  <c r="M1222" i="289"/>
  <c r="J1222" i="289"/>
  <c r="B1222" i="289"/>
  <c r="M1221" i="289"/>
  <c r="J1221" i="289"/>
  <c r="B1221" i="289"/>
  <c r="M1220" i="289"/>
  <c r="J1220" i="289"/>
  <c r="B1220" i="289"/>
  <c r="M1219" i="289"/>
  <c r="J1219" i="289"/>
  <c r="B1219" i="289"/>
  <c r="M1218" i="289"/>
  <c r="J1218" i="289"/>
  <c r="B1218" i="289"/>
  <c r="M1217" i="289"/>
  <c r="J1217" i="289"/>
  <c r="B1217" i="289"/>
  <c r="M1216" i="289"/>
  <c r="J1216" i="289"/>
  <c r="B1216" i="289"/>
  <c r="M1215" i="289"/>
  <c r="J1215" i="289"/>
  <c r="B1215" i="289"/>
  <c r="M1214" i="289"/>
  <c r="J1214" i="289"/>
  <c r="B1214" i="289"/>
  <c r="M1213" i="289"/>
  <c r="J1213" i="289"/>
  <c r="B1213" i="289"/>
  <c r="M1212" i="289"/>
  <c r="J1212" i="289"/>
  <c r="B1212" i="289"/>
  <c r="M1211" i="289"/>
  <c r="J1211" i="289"/>
  <c r="B1211" i="289"/>
  <c r="M1210" i="289"/>
  <c r="J1210" i="289"/>
  <c r="B1210" i="289"/>
  <c r="M1209" i="289"/>
  <c r="J1209" i="289"/>
  <c r="B1209" i="289"/>
  <c r="M1208" i="289"/>
  <c r="J1208" i="289"/>
  <c r="B1208" i="289"/>
  <c r="M1207" i="289"/>
  <c r="J1207" i="289"/>
  <c r="B1207" i="289"/>
  <c r="M1206" i="289"/>
  <c r="J1206" i="289"/>
  <c r="B1206" i="289"/>
  <c r="M1205" i="289"/>
  <c r="J1205" i="289"/>
  <c r="B1205" i="289"/>
  <c r="M1204" i="289"/>
  <c r="J1204" i="289"/>
  <c r="B1204" i="289"/>
  <c r="M1203" i="289"/>
  <c r="J1203" i="289"/>
  <c r="B1203" i="289"/>
  <c r="M1202" i="289"/>
  <c r="J1202" i="289"/>
  <c r="B1202" i="289"/>
  <c r="M1201" i="289"/>
  <c r="J1201" i="289"/>
  <c r="B1201" i="289"/>
  <c r="M1200" i="289"/>
  <c r="J1200" i="289"/>
  <c r="B1200" i="289"/>
  <c r="M1199" i="289"/>
  <c r="J1199" i="289"/>
  <c r="B1199" i="289"/>
  <c r="M1198" i="289"/>
  <c r="J1198" i="289"/>
  <c r="B1198" i="289"/>
  <c r="M1197" i="289"/>
  <c r="J1197" i="289"/>
  <c r="B1197" i="289"/>
  <c r="M1196" i="289"/>
  <c r="J1196" i="289"/>
  <c r="B1196" i="289"/>
  <c r="M1195" i="289"/>
  <c r="J1195" i="289"/>
  <c r="B1195" i="289"/>
  <c r="M1194" i="289"/>
  <c r="J1194" i="289"/>
  <c r="B1194" i="289"/>
  <c r="M1193" i="289"/>
  <c r="J1193" i="289"/>
  <c r="B1193" i="289"/>
  <c r="M1192" i="289"/>
  <c r="J1192" i="289"/>
  <c r="B1192" i="289"/>
  <c r="M1191" i="289"/>
  <c r="J1191" i="289"/>
  <c r="B1191" i="289"/>
  <c r="M1190" i="289"/>
  <c r="J1190" i="289"/>
  <c r="B1190" i="289"/>
  <c r="M1189" i="289"/>
  <c r="J1189" i="289"/>
  <c r="B1189" i="289"/>
  <c r="M1188" i="289"/>
  <c r="J1188" i="289"/>
  <c r="B1188" i="289"/>
  <c r="M1187" i="289"/>
  <c r="J1187" i="289"/>
  <c r="B1187" i="289"/>
  <c r="M1186" i="289"/>
  <c r="J1186" i="289"/>
  <c r="B1186" i="289"/>
  <c r="M1185" i="289"/>
  <c r="J1185" i="289"/>
  <c r="B1185" i="289"/>
  <c r="M1184" i="289"/>
  <c r="J1184" i="289"/>
  <c r="B1184" i="289"/>
  <c r="Q1183" i="289"/>
  <c r="Q1184" i="289" s="1"/>
  <c r="P1183" i="289"/>
  <c r="P1184" i="289" s="1"/>
  <c r="O1183" i="289"/>
  <c r="O1184" i="289" s="1"/>
  <c r="M1183" i="289"/>
  <c r="L1183" i="289"/>
  <c r="K1183" i="289"/>
  <c r="J1183" i="289"/>
  <c r="I1183" i="289"/>
  <c r="H1183" i="289"/>
  <c r="G1183" i="289"/>
  <c r="B1183" i="289"/>
  <c r="M1182" i="289"/>
  <c r="J1182" i="289"/>
  <c r="M1181" i="289"/>
  <c r="J1181" i="289"/>
  <c r="M1180" i="289"/>
  <c r="J1180" i="289"/>
  <c r="M1179" i="289"/>
  <c r="J1179" i="289"/>
  <c r="M1178" i="289"/>
  <c r="J1178" i="289"/>
  <c r="M1177" i="289"/>
  <c r="J1177" i="289"/>
  <c r="M1176" i="289"/>
  <c r="J1176" i="289"/>
  <c r="M1175" i="289"/>
  <c r="J1175" i="289"/>
  <c r="M1174" i="289"/>
  <c r="J1174" i="289"/>
  <c r="M1173" i="289"/>
  <c r="J1173" i="289"/>
  <c r="M1172" i="289"/>
  <c r="J1172" i="289"/>
  <c r="M1171" i="289"/>
  <c r="J1171" i="289"/>
  <c r="M1170" i="289"/>
  <c r="J1170" i="289"/>
  <c r="M1169" i="289"/>
  <c r="J1169" i="289"/>
  <c r="M1168" i="289"/>
  <c r="J1168" i="289"/>
  <c r="M1167" i="289"/>
  <c r="J1167" i="289"/>
  <c r="M1166" i="289"/>
  <c r="J1166" i="289"/>
  <c r="M1165" i="289"/>
  <c r="J1165" i="289"/>
  <c r="M1164" i="289"/>
  <c r="J1164" i="289"/>
  <c r="M1163" i="289"/>
  <c r="J1163" i="289"/>
  <c r="M1162" i="289"/>
  <c r="J1162" i="289"/>
  <c r="B1162" i="289"/>
  <c r="M1161" i="289"/>
  <c r="J1161" i="289"/>
  <c r="B1161" i="289"/>
  <c r="M1160" i="289"/>
  <c r="J1160" i="289"/>
  <c r="B1160" i="289"/>
  <c r="M1159" i="289"/>
  <c r="J1159" i="289"/>
  <c r="B1159" i="289"/>
  <c r="M1158" i="289"/>
  <c r="J1158" i="289"/>
  <c r="B1158" i="289"/>
  <c r="M1157" i="289"/>
  <c r="J1157" i="289"/>
  <c r="B1157" i="289"/>
  <c r="M1156" i="289"/>
  <c r="J1156" i="289"/>
  <c r="B1156" i="289"/>
  <c r="M1155" i="289"/>
  <c r="J1155" i="289"/>
  <c r="B1155" i="289"/>
  <c r="M1154" i="289"/>
  <c r="J1154" i="289"/>
  <c r="B1154" i="289"/>
  <c r="M1153" i="289"/>
  <c r="J1153" i="289"/>
  <c r="B1153" i="289"/>
  <c r="M1152" i="289"/>
  <c r="J1152" i="289"/>
  <c r="B1152" i="289"/>
  <c r="M1151" i="289"/>
  <c r="J1151" i="289"/>
  <c r="B1151" i="289"/>
  <c r="M1150" i="289"/>
  <c r="J1150" i="289"/>
  <c r="B1150" i="289"/>
  <c r="M1149" i="289"/>
  <c r="J1149" i="289"/>
  <c r="B1149" i="289"/>
  <c r="M1148" i="289"/>
  <c r="J1148" i="289"/>
  <c r="B1148" i="289"/>
  <c r="M1147" i="289"/>
  <c r="J1147" i="289"/>
  <c r="B1147" i="289"/>
  <c r="M1146" i="289"/>
  <c r="J1146" i="289"/>
  <c r="B1146" i="289"/>
  <c r="R1145" i="289"/>
  <c r="M1145" i="289"/>
  <c r="J1145" i="289"/>
  <c r="B1145" i="289"/>
  <c r="M1144" i="289"/>
  <c r="J1144" i="289"/>
  <c r="B1144" i="289"/>
  <c r="M1143" i="289"/>
  <c r="J1143" i="289"/>
  <c r="B1143" i="289"/>
  <c r="M1142" i="289"/>
  <c r="J1142" i="289"/>
  <c r="B1142" i="289"/>
  <c r="Q1141" i="289"/>
  <c r="Q1145" i="289" s="1"/>
  <c r="P1141" i="289"/>
  <c r="P1142" i="289" s="1"/>
  <c r="O1141" i="289"/>
  <c r="O1145" i="289" s="1"/>
  <c r="M1141" i="289"/>
  <c r="L1141" i="289"/>
  <c r="K1141" i="289"/>
  <c r="J1141" i="289"/>
  <c r="I1141" i="289"/>
  <c r="H1141" i="289"/>
  <c r="G1141" i="289"/>
  <c r="B1141" i="289"/>
  <c r="M1140" i="289"/>
  <c r="J1140" i="289"/>
  <c r="B1140" i="289"/>
  <c r="M1139" i="289"/>
  <c r="J1139" i="289"/>
  <c r="B1139" i="289"/>
  <c r="M1138" i="289"/>
  <c r="J1138" i="289"/>
  <c r="B1138" i="289"/>
  <c r="M1137" i="289"/>
  <c r="J1137" i="289"/>
  <c r="B1137" i="289"/>
  <c r="M1136" i="289"/>
  <c r="J1136" i="289"/>
  <c r="B1136" i="289"/>
  <c r="M1135" i="289"/>
  <c r="J1135" i="289"/>
  <c r="B1135" i="289"/>
  <c r="M1134" i="289"/>
  <c r="J1134" i="289"/>
  <c r="B1134" i="289"/>
  <c r="M1133" i="289"/>
  <c r="J1133" i="289"/>
  <c r="B1133" i="289"/>
  <c r="M1132" i="289"/>
  <c r="J1132" i="289"/>
  <c r="B1132" i="289"/>
  <c r="M1131" i="289"/>
  <c r="J1131" i="289"/>
  <c r="B1131" i="289"/>
  <c r="M1130" i="289"/>
  <c r="J1130" i="289"/>
  <c r="B1130" i="289"/>
  <c r="M1129" i="289"/>
  <c r="J1129" i="289"/>
  <c r="B1129" i="289"/>
  <c r="M1128" i="289"/>
  <c r="J1128" i="289"/>
  <c r="B1128" i="289"/>
  <c r="M1127" i="289"/>
  <c r="J1127" i="289"/>
  <c r="B1127" i="289"/>
  <c r="M1126" i="289"/>
  <c r="J1126" i="289"/>
  <c r="B1126" i="289"/>
  <c r="M1125" i="289"/>
  <c r="J1125" i="289"/>
  <c r="B1125" i="289"/>
  <c r="M1124" i="289"/>
  <c r="J1124" i="289"/>
  <c r="B1124" i="289"/>
  <c r="M1123" i="289"/>
  <c r="J1123" i="289"/>
  <c r="B1123" i="289"/>
  <c r="M1122" i="289"/>
  <c r="J1122" i="289"/>
  <c r="B1122" i="289"/>
  <c r="M1121" i="289"/>
  <c r="J1121" i="289"/>
  <c r="B1121" i="289"/>
  <c r="M1120" i="289"/>
  <c r="J1120" i="289"/>
  <c r="B1120" i="289"/>
  <c r="M1119" i="289"/>
  <c r="J1119" i="289"/>
  <c r="B1119" i="289"/>
  <c r="M1118" i="289"/>
  <c r="J1118" i="289"/>
  <c r="B1118" i="289"/>
  <c r="M1117" i="289"/>
  <c r="J1117" i="289"/>
  <c r="B1117" i="289"/>
  <c r="M1116" i="289"/>
  <c r="J1116" i="289"/>
  <c r="B1116" i="289"/>
  <c r="M1115" i="289"/>
  <c r="J1115" i="289"/>
  <c r="B1115" i="289"/>
  <c r="M1114" i="289"/>
  <c r="J1114" i="289"/>
  <c r="B1114" i="289"/>
  <c r="M1113" i="289"/>
  <c r="J1113" i="289"/>
  <c r="B1113" i="289"/>
  <c r="M1112" i="289"/>
  <c r="J1112" i="289"/>
  <c r="B1112" i="289"/>
  <c r="M1111" i="289"/>
  <c r="J1111" i="289"/>
  <c r="B1111" i="289"/>
  <c r="M1110" i="289"/>
  <c r="J1110" i="289"/>
  <c r="B1110" i="289"/>
  <c r="M1109" i="289"/>
  <c r="J1109" i="289"/>
  <c r="B1109" i="289"/>
  <c r="M1108" i="289"/>
  <c r="J1108" i="289"/>
  <c r="B1108" i="289"/>
  <c r="M1107" i="289"/>
  <c r="J1107" i="289"/>
  <c r="B1107" i="289"/>
  <c r="M1106" i="289"/>
  <c r="J1106" i="289"/>
  <c r="B1106" i="289"/>
  <c r="M1105" i="289"/>
  <c r="J1105" i="289"/>
  <c r="B1105" i="289"/>
  <c r="M1104" i="289"/>
  <c r="J1104" i="289"/>
  <c r="B1104" i="289"/>
  <c r="M1103" i="289"/>
  <c r="J1103" i="289"/>
  <c r="B1103" i="289"/>
  <c r="M1102" i="289"/>
  <c r="J1102" i="289"/>
  <c r="B1102" i="289"/>
  <c r="M1101" i="289"/>
  <c r="J1101" i="289"/>
  <c r="B1101" i="289"/>
  <c r="M1100" i="289"/>
  <c r="J1100" i="289"/>
  <c r="B1100" i="289"/>
  <c r="M1099" i="289"/>
  <c r="J1099" i="289"/>
  <c r="B1099" i="289"/>
  <c r="M1098" i="289"/>
  <c r="J1098" i="289"/>
  <c r="B1098" i="289"/>
  <c r="Q1097" i="289"/>
  <c r="Q1098" i="289" s="1"/>
  <c r="P1097" i="289"/>
  <c r="P1098" i="289" s="1"/>
  <c r="O1097" i="289"/>
  <c r="O1098" i="289" s="1"/>
  <c r="M1097" i="289"/>
  <c r="L1097" i="289"/>
  <c r="K1097" i="289"/>
  <c r="J1097" i="289"/>
  <c r="I1097" i="289"/>
  <c r="H1097" i="289"/>
  <c r="G1097" i="289"/>
  <c r="B1097" i="289"/>
  <c r="M1096" i="289"/>
  <c r="J1096" i="289"/>
  <c r="M1095" i="289"/>
  <c r="J1095" i="289"/>
  <c r="M1094" i="289"/>
  <c r="J1094" i="289"/>
  <c r="M1093" i="289"/>
  <c r="J1093" i="289"/>
  <c r="M1092" i="289"/>
  <c r="J1092" i="289"/>
  <c r="M1091" i="289"/>
  <c r="J1091" i="289"/>
  <c r="M1090" i="289"/>
  <c r="J1090" i="289"/>
  <c r="M1089" i="289"/>
  <c r="J1089" i="289"/>
  <c r="M1088" i="289"/>
  <c r="J1088" i="289"/>
  <c r="M1087" i="289"/>
  <c r="J1087" i="289"/>
  <c r="M1086" i="289"/>
  <c r="J1086" i="289"/>
  <c r="M1085" i="289"/>
  <c r="J1085" i="289"/>
  <c r="M1084" i="289"/>
  <c r="J1084" i="289"/>
  <c r="M1083" i="289"/>
  <c r="J1083" i="289"/>
  <c r="M1082" i="289"/>
  <c r="J1082" i="289"/>
  <c r="M1081" i="289"/>
  <c r="J1081" i="289"/>
  <c r="M1080" i="289"/>
  <c r="J1080" i="289"/>
  <c r="M1079" i="289"/>
  <c r="J1079" i="289"/>
  <c r="M1078" i="289"/>
  <c r="J1078" i="289"/>
  <c r="M1077" i="289"/>
  <c r="J1077" i="289"/>
  <c r="M1076" i="289"/>
  <c r="J1076" i="289"/>
  <c r="M1075" i="289"/>
  <c r="J1075" i="289"/>
  <c r="M1074" i="289"/>
  <c r="J1074" i="289"/>
  <c r="M1073" i="289"/>
  <c r="J1073" i="289"/>
  <c r="M1072" i="289"/>
  <c r="J1072" i="289"/>
  <c r="M1071" i="289"/>
  <c r="J1071" i="289"/>
  <c r="M1070" i="289"/>
  <c r="J1070" i="289"/>
  <c r="M1069" i="289"/>
  <c r="J1069" i="289"/>
  <c r="M1068" i="289"/>
  <c r="J1068" i="289"/>
  <c r="M1067" i="289"/>
  <c r="J1067" i="289"/>
  <c r="M1066" i="289"/>
  <c r="J1066" i="289"/>
  <c r="M1065" i="289"/>
  <c r="J1065" i="289"/>
  <c r="M1064" i="289"/>
  <c r="J1064" i="289"/>
  <c r="M1063" i="289"/>
  <c r="J1063" i="289"/>
  <c r="M1062" i="289"/>
  <c r="J1062" i="289"/>
  <c r="M1061" i="289"/>
  <c r="J1061" i="289"/>
  <c r="M1060" i="289"/>
  <c r="J1060" i="289"/>
  <c r="M1059" i="289"/>
  <c r="J1059" i="289"/>
  <c r="M1058" i="289"/>
  <c r="J1058" i="289"/>
  <c r="M1057" i="289"/>
  <c r="J1057" i="289"/>
  <c r="M1056" i="289"/>
  <c r="J1056" i="289"/>
  <c r="M1055" i="289"/>
  <c r="J1055" i="289"/>
  <c r="M1054" i="289"/>
  <c r="J1054" i="289"/>
  <c r="M1053" i="289"/>
  <c r="J1053" i="289"/>
  <c r="M1052" i="289"/>
  <c r="J1052" i="289"/>
  <c r="M1051" i="289"/>
  <c r="J1051" i="289"/>
  <c r="M1050" i="289"/>
  <c r="J1050" i="289"/>
  <c r="M1049" i="289"/>
  <c r="J1049" i="289"/>
  <c r="M1048" i="289"/>
  <c r="J1048" i="289"/>
  <c r="M1047" i="289"/>
  <c r="J1047" i="289"/>
  <c r="M1046" i="289"/>
  <c r="J1046" i="289"/>
  <c r="M1045" i="289"/>
  <c r="J1045" i="289"/>
  <c r="M1044" i="289"/>
  <c r="J1044" i="289"/>
  <c r="M1043" i="289"/>
  <c r="J1043" i="289"/>
  <c r="M1042" i="289"/>
  <c r="J1042" i="289"/>
  <c r="M1041" i="289"/>
  <c r="J1041" i="289"/>
  <c r="M1040" i="289"/>
  <c r="J1040" i="289"/>
  <c r="M1039" i="289"/>
  <c r="J1039" i="289"/>
  <c r="M1038" i="289"/>
  <c r="J1038" i="289"/>
  <c r="M1037" i="289"/>
  <c r="J1037" i="289"/>
  <c r="M1036" i="289"/>
  <c r="J1036" i="289"/>
  <c r="M1035" i="289"/>
  <c r="J1035" i="289"/>
  <c r="M1034" i="289"/>
  <c r="J1034" i="289"/>
  <c r="M1033" i="289"/>
  <c r="J1033" i="289"/>
  <c r="M1032" i="289"/>
  <c r="J1032" i="289"/>
  <c r="M1031" i="289"/>
  <c r="J1031" i="289"/>
  <c r="M1030" i="289"/>
  <c r="J1030" i="289"/>
  <c r="M1029" i="289"/>
  <c r="J1029" i="289"/>
  <c r="M1028" i="289"/>
  <c r="J1028" i="289"/>
  <c r="M1027" i="289"/>
  <c r="J1027" i="289"/>
  <c r="M1026" i="289"/>
  <c r="J1026" i="289"/>
  <c r="M1025" i="289"/>
  <c r="J1025" i="289"/>
  <c r="M1024" i="289"/>
  <c r="J1024" i="289"/>
  <c r="M1023" i="289"/>
  <c r="J1023" i="289"/>
  <c r="M1022" i="289"/>
  <c r="J1022" i="289"/>
  <c r="M1021" i="289"/>
  <c r="J1021" i="289"/>
  <c r="M1020" i="289"/>
  <c r="J1020" i="289"/>
  <c r="M1019" i="289"/>
  <c r="J1019" i="289"/>
  <c r="M1018" i="289"/>
  <c r="J1018" i="289"/>
  <c r="M1017" i="289"/>
  <c r="J1017" i="289"/>
  <c r="M1016" i="289"/>
  <c r="J1016" i="289"/>
  <c r="M1015" i="289"/>
  <c r="J1015" i="289"/>
  <c r="M1014" i="289"/>
  <c r="J1014" i="289"/>
  <c r="M1013" i="289"/>
  <c r="J1013" i="289"/>
  <c r="M1012" i="289"/>
  <c r="J1012" i="289"/>
  <c r="M1011" i="289"/>
  <c r="J1011" i="289"/>
  <c r="M1010" i="289"/>
  <c r="J1010" i="289"/>
  <c r="M1009" i="289"/>
  <c r="J1009" i="289"/>
  <c r="M1008" i="289"/>
  <c r="J1008" i="289"/>
  <c r="M1007" i="289"/>
  <c r="J1007" i="289"/>
  <c r="M1006" i="289"/>
  <c r="J1006" i="289"/>
  <c r="M1005" i="289"/>
  <c r="J1005" i="289"/>
  <c r="M1004" i="289"/>
  <c r="J1004" i="289"/>
  <c r="M1003" i="289"/>
  <c r="J1003" i="289"/>
  <c r="M1002" i="289"/>
  <c r="J1002" i="289"/>
  <c r="M1001" i="289"/>
  <c r="J1001" i="289"/>
  <c r="M1000" i="289"/>
  <c r="J1000" i="289"/>
  <c r="M999" i="289"/>
  <c r="J999" i="289"/>
  <c r="M998" i="289"/>
  <c r="J998" i="289"/>
  <c r="M997" i="289"/>
  <c r="J997" i="289"/>
  <c r="M996" i="289"/>
  <c r="J996" i="289"/>
  <c r="M995" i="289"/>
  <c r="J995" i="289"/>
  <c r="M994" i="289"/>
  <c r="J994" i="289"/>
  <c r="M993" i="289"/>
  <c r="J993" i="289"/>
  <c r="M992" i="289"/>
  <c r="J992" i="289"/>
  <c r="M991" i="289"/>
  <c r="J991" i="289"/>
  <c r="M990" i="289"/>
  <c r="J990" i="289"/>
  <c r="M989" i="289"/>
  <c r="J989" i="289"/>
  <c r="M988" i="289"/>
  <c r="J988" i="289"/>
  <c r="M987" i="289"/>
  <c r="J987" i="289"/>
  <c r="M986" i="289"/>
  <c r="J986" i="289"/>
  <c r="M985" i="289"/>
  <c r="J985" i="289"/>
  <c r="M984" i="289"/>
  <c r="J984" i="289"/>
  <c r="M983" i="289"/>
  <c r="J983" i="289"/>
  <c r="M982" i="289"/>
  <c r="J982" i="289"/>
  <c r="M981" i="289"/>
  <c r="J981" i="289"/>
  <c r="M980" i="289"/>
  <c r="J980" i="289"/>
  <c r="M979" i="289"/>
  <c r="J979" i="289"/>
  <c r="M978" i="289"/>
  <c r="J978" i="289"/>
  <c r="M977" i="289"/>
  <c r="J977" i="289"/>
  <c r="M976" i="289"/>
  <c r="J976" i="289"/>
  <c r="M975" i="289"/>
  <c r="J975" i="289"/>
  <c r="M974" i="289"/>
  <c r="J974" i="289"/>
  <c r="M973" i="289"/>
  <c r="J973" i="289"/>
  <c r="M972" i="289"/>
  <c r="J972" i="289"/>
  <c r="M971" i="289"/>
  <c r="J971" i="289"/>
  <c r="M970" i="289"/>
  <c r="J970" i="289"/>
  <c r="M969" i="289"/>
  <c r="J969" i="289"/>
  <c r="M968" i="289"/>
  <c r="J968" i="289"/>
  <c r="M967" i="289"/>
  <c r="J967" i="289"/>
  <c r="M966" i="289"/>
  <c r="J966" i="289"/>
  <c r="M965" i="289"/>
  <c r="J965" i="289"/>
  <c r="M964" i="289"/>
  <c r="J964" i="289"/>
  <c r="M963" i="289"/>
  <c r="J963" i="289"/>
  <c r="M962" i="289"/>
  <c r="J962" i="289"/>
  <c r="M961" i="289"/>
  <c r="J961" i="289"/>
  <c r="M960" i="289"/>
  <c r="J960" i="289"/>
  <c r="M959" i="289"/>
  <c r="J959" i="289"/>
  <c r="M958" i="289"/>
  <c r="J958" i="289"/>
  <c r="M957" i="289"/>
  <c r="J957" i="289"/>
  <c r="M956" i="289"/>
  <c r="J956" i="289"/>
  <c r="M955" i="289"/>
  <c r="J955" i="289"/>
  <c r="M954" i="289"/>
  <c r="J954" i="289"/>
  <c r="M953" i="289"/>
  <c r="J953" i="289"/>
  <c r="M952" i="289"/>
  <c r="J952" i="289"/>
  <c r="M951" i="289"/>
  <c r="J951" i="289"/>
  <c r="M950" i="289"/>
  <c r="J950" i="289"/>
  <c r="M949" i="289"/>
  <c r="J949" i="289"/>
  <c r="M948" i="289"/>
  <c r="J948" i="289"/>
  <c r="M947" i="289"/>
  <c r="J947" i="289"/>
  <c r="M946" i="289"/>
  <c r="J946" i="289"/>
  <c r="M945" i="289"/>
  <c r="J945" i="289"/>
  <c r="M944" i="289"/>
  <c r="J944" i="289"/>
  <c r="M943" i="289"/>
  <c r="J943" i="289"/>
  <c r="M942" i="289"/>
  <c r="J942" i="289"/>
  <c r="M941" i="289"/>
  <c r="J941" i="289"/>
  <c r="M940" i="289"/>
  <c r="J940" i="289"/>
  <c r="M939" i="289"/>
  <c r="J939" i="289"/>
  <c r="M938" i="289"/>
  <c r="J938" i="289"/>
  <c r="M937" i="289"/>
  <c r="J937" i="289"/>
  <c r="M936" i="289"/>
  <c r="J936" i="289"/>
  <c r="M935" i="289"/>
  <c r="J935" i="289"/>
  <c r="M934" i="289"/>
  <c r="J934" i="289"/>
  <c r="M933" i="289"/>
  <c r="J933" i="289"/>
  <c r="M932" i="289"/>
  <c r="J932" i="289"/>
  <c r="M931" i="289"/>
  <c r="J931" i="289"/>
  <c r="M930" i="289"/>
  <c r="J930" i="289"/>
  <c r="M929" i="289"/>
  <c r="J929" i="289"/>
  <c r="M928" i="289"/>
  <c r="J928" i="289"/>
  <c r="M927" i="289"/>
  <c r="J927" i="289"/>
  <c r="M926" i="289"/>
  <c r="J926" i="289"/>
  <c r="M925" i="289"/>
  <c r="J925" i="289"/>
  <c r="M924" i="289"/>
  <c r="J924" i="289"/>
  <c r="M923" i="289"/>
  <c r="J923" i="289"/>
  <c r="M922" i="289"/>
  <c r="J922" i="289"/>
  <c r="M921" i="289"/>
  <c r="J921" i="289"/>
  <c r="M920" i="289"/>
  <c r="J920" i="289"/>
  <c r="M919" i="289"/>
  <c r="J919" i="289"/>
  <c r="M918" i="289"/>
  <c r="J918" i="289"/>
  <c r="M917" i="289"/>
  <c r="J917" i="289"/>
  <c r="M916" i="289"/>
  <c r="J916" i="289"/>
  <c r="M915" i="289"/>
  <c r="J915" i="289"/>
  <c r="M914" i="289"/>
  <c r="J914" i="289"/>
  <c r="M913" i="289"/>
  <c r="J913" i="289"/>
  <c r="M912" i="289"/>
  <c r="J912" i="289"/>
  <c r="M911" i="289"/>
  <c r="J911" i="289"/>
  <c r="M910" i="289"/>
  <c r="J910" i="289"/>
  <c r="M909" i="289"/>
  <c r="J909" i="289"/>
  <c r="M908" i="289"/>
  <c r="J908" i="289"/>
  <c r="M907" i="289"/>
  <c r="J907" i="289"/>
  <c r="M906" i="289"/>
  <c r="J906" i="289"/>
  <c r="M905" i="289"/>
  <c r="J905" i="289"/>
  <c r="M904" i="289"/>
  <c r="J904" i="289"/>
  <c r="M903" i="289"/>
  <c r="J903" i="289"/>
  <c r="M902" i="289"/>
  <c r="J902" i="289"/>
  <c r="M901" i="289"/>
  <c r="J901" i="289"/>
  <c r="M900" i="289"/>
  <c r="J900" i="289"/>
  <c r="M899" i="289"/>
  <c r="J899" i="289"/>
  <c r="M898" i="289"/>
  <c r="J898" i="289"/>
  <c r="M897" i="289"/>
  <c r="J897" i="289"/>
  <c r="M896" i="289"/>
  <c r="J896" i="289"/>
  <c r="M895" i="289"/>
  <c r="J895" i="289"/>
  <c r="M894" i="289"/>
  <c r="J894" i="289"/>
  <c r="M893" i="289"/>
  <c r="J893" i="289"/>
  <c r="M892" i="289"/>
  <c r="J892" i="289"/>
  <c r="M891" i="289"/>
  <c r="J891" i="289"/>
  <c r="M890" i="289"/>
  <c r="J890" i="289"/>
  <c r="M889" i="289"/>
  <c r="J889" i="289"/>
  <c r="M888" i="289"/>
  <c r="J888" i="289"/>
  <c r="M887" i="289"/>
  <c r="J887" i="289"/>
  <c r="M886" i="289"/>
  <c r="J886" i="289"/>
  <c r="M885" i="289"/>
  <c r="J885" i="289"/>
  <c r="M884" i="289"/>
  <c r="J884" i="289"/>
  <c r="M883" i="289"/>
  <c r="J883" i="289"/>
  <c r="M882" i="289"/>
  <c r="J882" i="289"/>
  <c r="M881" i="289"/>
  <c r="J881" i="289"/>
  <c r="M880" i="289"/>
  <c r="J880" i="289"/>
  <c r="M879" i="289"/>
  <c r="J879" i="289"/>
  <c r="M878" i="289"/>
  <c r="J878" i="289"/>
  <c r="M877" i="289"/>
  <c r="J877" i="289"/>
  <c r="M876" i="289"/>
  <c r="J876" i="289"/>
  <c r="M875" i="289"/>
  <c r="J875" i="289"/>
  <c r="M874" i="289"/>
  <c r="J874" i="289"/>
  <c r="M873" i="289"/>
  <c r="J873" i="289"/>
  <c r="M872" i="289"/>
  <c r="J872" i="289"/>
  <c r="M871" i="289"/>
  <c r="J871" i="289"/>
  <c r="M870" i="289"/>
  <c r="J870" i="289"/>
  <c r="M869" i="289"/>
  <c r="J869" i="289"/>
  <c r="M868" i="289"/>
  <c r="J868" i="289"/>
  <c r="M867" i="289"/>
  <c r="J867" i="289"/>
  <c r="M866" i="289"/>
  <c r="J866" i="289"/>
  <c r="M865" i="289"/>
  <c r="J865" i="289"/>
  <c r="M864" i="289"/>
  <c r="J864" i="289"/>
  <c r="M863" i="289"/>
  <c r="J863" i="289"/>
  <c r="M862" i="289"/>
  <c r="J862" i="289"/>
  <c r="M861" i="289"/>
  <c r="J861" i="289"/>
  <c r="M860" i="289"/>
  <c r="J860" i="289"/>
  <c r="M859" i="289"/>
  <c r="J859" i="289"/>
  <c r="M858" i="289"/>
  <c r="J858" i="289"/>
  <c r="M857" i="289"/>
  <c r="J857" i="289"/>
  <c r="M856" i="289"/>
  <c r="J856" i="289"/>
  <c r="M855" i="289"/>
  <c r="J855" i="289"/>
  <c r="M854" i="289"/>
  <c r="J854" i="289"/>
  <c r="M853" i="289"/>
  <c r="J853" i="289"/>
  <c r="M852" i="289"/>
  <c r="J852" i="289"/>
  <c r="M851" i="289"/>
  <c r="J851" i="289"/>
  <c r="M850" i="289"/>
  <c r="J850" i="289"/>
  <c r="M849" i="289"/>
  <c r="J849" i="289"/>
  <c r="M848" i="289"/>
  <c r="J848" i="289"/>
  <c r="M847" i="289"/>
  <c r="J847" i="289"/>
  <c r="M846" i="289"/>
  <c r="J846" i="289"/>
  <c r="M845" i="289"/>
  <c r="J845" i="289"/>
  <c r="M844" i="289"/>
  <c r="J844" i="289"/>
  <c r="M843" i="289"/>
  <c r="J843" i="289"/>
  <c r="M842" i="289"/>
  <c r="J842" i="289"/>
  <c r="M841" i="289"/>
  <c r="J841" i="289"/>
  <c r="M840" i="289"/>
  <c r="J840" i="289"/>
  <c r="M839" i="289"/>
  <c r="J839" i="289"/>
  <c r="M838" i="289"/>
  <c r="J838" i="289"/>
  <c r="M837" i="289"/>
  <c r="J837" i="289"/>
  <c r="M836" i="289"/>
  <c r="J836" i="289"/>
  <c r="M835" i="289"/>
  <c r="J835" i="289"/>
  <c r="M834" i="289"/>
  <c r="J834" i="289"/>
  <c r="M833" i="289"/>
  <c r="J833" i="289"/>
  <c r="M832" i="289"/>
  <c r="J832" i="289"/>
  <c r="M831" i="289"/>
  <c r="J831" i="289"/>
  <c r="M830" i="289"/>
  <c r="J830" i="289"/>
  <c r="M829" i="289"/>
  <c r="J829" i="289"/>
  <c r="M828" i="289"/>
  <c r="J828" i="289"/>
  <c r="M827" i="289"/>
  <c r="J827" i="289"/>
  <c r="M826" i="289"/>
  <c r="J826" i="289"/>
  <c r="M825" i="289"/>
  <c r="J825" i="289"/>
  <c r="M824" i="289"/>
  <c r="J824" i="289"/>
  <c r="M823" i="289"/>
  <c r="J823" i="289"/>
  <c r="M822" i="289"/>
  <c r="J822" i="289"/>
  <c r="B822" i="289"/>
  <c r="M821" i="289"/>
  <c r="J821" i="289"/>
  <c r="B821" i="289"/>
  <c r="M820" i="289"/>
  <c r="J820" i="289"/>
  <c r="B820" i="289"/>
  <c r="M819" i="289"/>
  <c r="J819" i="289"/>
  <c r="B819" i="289"/>
  <c r="M818" i="289"/>
  <c r="J818" i="289"/>
  <c r="B818" i="289"/>
  <c r="M817" i="289"/>
  <c r="J817" i="289"/>
  <c r="B817" i="289"/>
  <c r="M816" i="289"/>
  <c r="J816" i="289"/>
  <c r="B816" i="289"/>
  <c r="M815" i="289"/>
  <c r="J815" i="289"/>
  <c r="B815" i="289"/>
  <c r="M814" i="289"/>
  <c r="J814" i="289"/>
  <c r="B814" i="289"/>
  <c r="M813" i="289"/>
  <c r="J813" i="289"/>
  <c r="B813" i="289"/>
  <c r="M812" i="289"/>
  <c r="J812" i="289"/>
  <c r="B812" i="289"/>
  <c r="M811" i="289"/>
  <c r="J811" i="289"/>
  <c r="B811" i="289"/>
  <c r="M810" i="289"/>
  <c r="J810" i="289"/>
  <c r="B810" i="289"/>
  <c r="M809" i="289"/>
  <c r="J809" i="289"/>
  <c r="B809" i="289"/>
  <c r="M808" i="289"/>
  <c r="J808" i="289"/>
  <c r="B808" i="289"/>
  <c r="M807" i="289"/>
  <c r="J807" i="289"/>
  <c r="B807" i="289"/>
  <c r="M806" i="289"/>
  <c r="J806" i="289"/>
  <c r="B806" i="289"/>
  <c r="M805" i="289"/>
  <c r="J805" i="289"/>
  <c r="B805" i="289"/>
  <c r="M804" i="289"/>
  <c r="J804" i="289"/>
  <c r="B804" i="289"/>
  <c r="M803" i="289"/>
  <c r="J803" i="289"/>
  <c r="B803" i="289"/>
  <c r="M802" i="289"/>
  <c r="J802" i="289"/>
  <c r="B802" i="289"/>
  <c r="M801" i="289"/>
  <c r="J801" i="289"/>
  <c r="B801" i="289"/>
  <c r="M800" i="289"/>
  <c r="J800" i="289"/>
  <c r="B800" i="289"/>
  <c r="M799" i="289"/>
  <c r="J799" i="289"/>
  <c r="B799" i="289"/>
  <c r="M798" i="289"/>
  <c r="J798" i="289"/>
  <c r="M797" i="289"/>
  <c r="J797" i="289"/>
  <c r="B797" i="289"/>
  <c r="M796" i="289"/>
  <c r="J796" i="289"/>
  <c r="B796" i="289"/>
  <c r="M795" i="289"/>
  <c r="J795" i="289"/>
  <c r="B795" i="289"/>
  <c r="M794" i="289"/>
  <c r="J794" i="289"/>
  <c r="B794" i="289"/>
  <c r="M793" i="289"/>
  <c r="J793" i="289"/>
  <c r="B793" i="289"/>
  <c r="M792" i="289"/>
  <c r="J792" i="289"/>
  <c r="B792" i="289"/>
  <c r="M791" i="289"/>
  <c r="J791" i="289"/>
  <c r="B791" i="289"/>
  <c r="M790" i="289"/>
  <c r="J790" i="289"/>
  <c r="B790" i="289"/>
  <c r="M789" i="289"/>
  <c r="J789" i="289"/>
  <c r="B789" i="289"/>
  <c r="M788" i="289"/>
  <c r="J788" i="289"/>
  <c r="B788" i="289"/>
  <c r="M787" i="289"/>
  <c r="J787" i="289"/>
  <c r="B787" i="289"/>
  <c r="M786" i="289"/>
  <c r="J786" i="289"/>
  <c r="B786" i="289"/>
  <c r="M785" i="289"/>
  <c r="J785" i="289"/>
  <c r="B785" i="289"/>
  <c r="M784" i="289"/>
  <c r="J784" i="289"/>
  <c r="B784" i="289"/>
  <c r="M783" i="289"/>
  <c r="J783" i="289"/>
  <c r="B783" i="289"/>
  <c r="M782" i="289"/>
  <c r="J782" i="289"/>
  <c r="B782" i="289"/>
  <c r="M781" i="289"/>
  <c r="J781" i="289"/>
  <c r="B781" i="289"/>
  <c r="M780" i="289"/>
  <c r="J780" i="289"/>
  <c r="B780" i="289"/>
  <c r="M779" i="289"/>
  <c r="J779" i="289"/>
  <c r="B779" i="289"/>
  <c r="M778" i="289"/>
  <c r="J778" i="289"/>
  <c r="B778" i="289"/>
  <c r="M777" i="289"/>
  <c r="J777" i="289"/>
  <c r="B777" i="289"/>
  <c r="M776" i="289"/>
  <c r="J776" i="289"/>
  <c r="B776" i="289"/>
  <c r="M775" i="289"/>
  <c r="J775" i="289"/>
  <c r="B775" i="289"/>
  <c r="M774" i="289"/>
  <c r="J774" i="289"/>
  <c r="B774" i="289"/>
  <c r="M773" i="289"/>
  <c r="J773" i="289"/>
  <c r="B773" i="289"/>
  <c r="M772" i="289"/>
  <c r="J772" i="289"/>
  <c r="B772" i="289"/>
  <c r="M771" i="289"/>
  <c r="J771" i="289"/>
  <c r="B771" i="289"/>
  <c r="M770" i="289"/>
  <c r="J770" i="289"/>
  <c r="B770" i="289"/>
  <c r="M769" i="289"/>
  <c r="J769" i="289"/>
  <c r="B769" i="289"/>
  <c r="M768" i="289"/>
  <c r="J768" i="289"/>
  <c r="B768" i="289"/>
  <c r="M767" i="289"/>
  <c r="J767" i="289"/>
  <c r="B767" i="289"/>
  <c r="M766" i="289"/>
  <c r="J766" i="289"/>
  <c r="B766" i="289"/>
  <c r="M765" i="289"/>
  <c r="J765" i="289"/>
  <c r="B765" i="289"/>
  <c r="M764" i="289"/>
  <c r="J764" i="289"/>
  <c r="B764" i="289"/>
  <c r="M763" i="289"/>
  <c r="J763" i="289"/>
  <c r="B763" i="289"/>
  <c r="M762" i="289"/>
  <c r="J762" i="289"/>
  <c r="B762" i="289"/>
  <c r="M761" i="289"/>
  <c r="J761" i="289"/>
  <c r="B761" i="289"/>
  <c r="M760" i="289"/>
  <c r="J760" i="289"/>
  <c r="B760" i="289"/>
  <c r="M759" i="289"/>
  <c r="J759" i="289"/>
  <c r="B759" i="289"/>
  <c r="M758" i="289"/>
  <c r="J758" i="289"/>
  <c r="B758" i="289"/>
  <c r="M757" i="289"/>
  <c r="J757" i="289"/>
  <c r="B757" i="289"/>
  <c r="M756" i="289"/>
  <c r="J756" i="289"/>
  <c r="M755" i="289"/>
  <c r="J755" i="289"/>
  <c r="B755" i="289"/>
  <c r="M754" i="289"/>
  <c r="J754" i="289"/>
  <c r="B754" i="289"/>
  <c r="M753" i="289"/>
  <c r="J753" i="289"/>
  <c r="B753" i="289"/>
  <c r="M752" i="289"/>
  <c r="J752" i="289"/>
  <c r="B752" i="289"/>
  <c r="M751" i="289"/>
  <c r="J751" i="289"/>
  <c r="B751" i="289"/>
  <c r="M750" i="289"/>
  <c r="J750" i="289"/>
  <c r="B750" i="289"/>
  <c r="M749" i="289"/>
  <c r="J749" i="289"/>
  <c r="B749" i="289"/>
  <c r="M748" i="289"/>
  <c r="J748" i="289"/>
  <c r="B748" i="289"/>
  <c r="M747" i="289"/>
  <c r="J747" i="289"/>
  <c r="B747" i="289"/>
  <c r="M746" i="289"/>
  <c r="J746" i="289"/>
  <c r="B746" i="289"/>
  <c r="M745" i="289"/>
  <c r="J745" i="289"/>
  <c r="B745" i="289"/>
  <c r="M744" i="289"/>
  <c r="J744" i="289"/>
  <c r="B744" i="289"/>
  <c r="M743" i="289"/>
  <c r="J743" i="289"/>
  <c r="B743" i="289"/>
  <c r="M742" i="289"/>
  <c r="J742" i="289"/>
  <c r="B742" i="289"/>
  <c r="M741" i="289"/>
  <c r="J741" i="289"/>
  <c r="B741" i="289"/>
  <c r="M740" i="289"/>
  <c r="J740" i="289"/>
  <c r="B740" i="289"/>
  <c r="M739" i="289"/>
  <c r="J739" i="289"/>
  <c r="B739" i="289"/>
  <c r="M738" i="289"/>
  <c r="J738" i="289"/>
  <c r="B738" i="289"/>
  <c r="M737" i="289"/>
  <c r="J737" i="289"/>
  <c r="B737" i="289"/>
  <c r="M736" i="289"/>
  <c r="J736" i="289"/>
  <c r="B736" i="289"/>
  <c r="M735" i="289"/>
  <c r="J735" i="289"/>
  <c r="B735" i="289"/>
  <c r="M734" i="289"/>
  <c r="J734" i="289"/>
  <c r="B734" i="289"/>
  <c r="M733" i="289"/>
  <c r="J733" i="289"/>
  <c r="B733" i="289"/>
  <c r="M732" i="289"/>
  <c r="J732" i="289"/>
  <c r="B732" i="289"/>
  <c r="M731" i="289"/>
  <c r="J731" i="289"/>
  <c r="B731" i="289"/>
  <c r="M730" i="289"/>
  <c r="J730" i="289"/>
  <c r="B730" i="289"/>
  <c r="M729" i="289"/>
  <c r="J729" i="289"/>
  <c r="B729" i="289"/>
  <c r="M728" i="289"/>
  <c r="J728" i="289"/>
  <c r="B728" i="289"/>
  <c r="M727" i="289"/>
  <c r="J727" i="289"/>
  <c r="B727" i="289"/>
  <c r="M726" i="289"/>
  <c r="J726" i="289"/>
  <c r="B726" i="289"/>
  <c r="M725" i="289"/>
  <c r="J725" i="289"/>
  <c r="B725" i="289"/>
  <c r="M724" i="289"/>
  <c r="J724" i="289"/>
  <c r="B724" i="289"/>
  <c r="M723" i="289"/>
  <c r="J723" i="289"/>
  <c r="B723" i="289"/>
  <c r="M722" i="289"/>
  <c r="J722" i="289"/>
  <c r="B722" i="289"/>
  <c r="M721" i="289"/>
  <c r="J721" i="289"/>
  <c r="B721" i="289"/>
  <c r="M720" i="289"/>
  <c r="J720" i="289"/>
  <c r="B720" i="289"/>
  <c r="M719" i="289"/>
  <c r="J719" i="289"/>
  <c r="B719" i="289"/>
  <c r="M718" i="289"/>
  <c r="J718" i="289"/>
  <c r="B718" i="289"/>
  <c r="M717" i="289"/>
  <c r="J717" i="289"/>
  <c r="B717" i="289"/>
  <c r="M716" i="289"/>
  <c r="J716" i="289"/>
  <c r="B716" i="289"/>
  <c r="M715" i="289"/>
  <c r="J715" i="289"/>
  <c r="B715" i="289"/>
  <c r="M714" i="289"/>
  <c r="J714" i="289"/>
  <c r="M713" i="289"/>
  <c r="J713" i="289"/>
  <c r="B713" i="289"/>
  <c r="M712" i="289"/>
  <c r="J712" i="289"/>
  <c r="B712" i="289"/>
  <c r="M711" i="289"/>
  <c r="J711" i="289"/>
  <c r="B711" i="289"/>
  <c r="M710" i="289"/>
  <c r="J710" i="289"/>
  <c r="B710" i="289"/>
  <c r="M709" i="289"/>
  <c r="J709" i="289"/>
  <c r="B709" i="289"/>
  <c r="M708" i="289"/>
  <c r="J708" i="289"/>
  <c r="B708" i="289"/>
  <c r="M707" i="289"/>
  <c r="J707" i="289"/>
  <c r="B707" i="289"/>
  <c r="M706" i="289"/>
  <c r="J706" i="289"/>
  <c r="B706" i="289"/>
  <c r="M705" i="289"/>
  <c r="J705" i="289"/>
  <c r="B705" i="289"/>
  <c r="M704" i="289"/>
  <c r="J704" i="289"/>
  <c r="B704" i="289"/>
  <c r="M703" i="289"/>
  <c r="J703" i="289"/>
  <c r="B703" i="289"/>
  <c r="M702" i="289"/>
  <c r="J702" i="289"/>
  <c r="B702" i="289"/>
  <c r="M701" i="289"/>
  <c r="J701" i="289"/>
  <c r="B701" i="289"/>
  <c r="M700" i="289"/>
  <c r="J700" i="289"/>
  <c r="B700" i="289"/>
  <c r="M699" i="289"/>
  <c r="J699" i="289"/>
  <c r="B699" i="289"/>
  <c r="M698" i="289"/>
  <c r="J698" i="289"/>
  <c r="B698" i="289"/>
  <c r="M697" i="289"/>
  <c r="J697" i="289"/>
  <c r="B697" i="289"/>
  <c r="M696" i="289"/>
  <c r="J696" i="289"/>
  <c r="B696" i="289"/>
  <c r="M695" i="289"/>
  <c r="J695" i="289"/>
  <c r="B695" i="289"/>
  <c r="M694" i="289"/>
  <c r="J694" i="289"/>
  <c r="B694" i="289"/>
  <c r="M693" i="289"/>
  <c r="J693" i="289"/>
  <c r="B693" i="289"/>
  <c r="M692" i="289"/>
  <c r="J692" i="289"/>
  <c r="B692" i="289"/>
  <c r="M691" i="289"/>
  <c r="J691" i="289"/>
  <c r="B691" i="289"/>
  <c r="M690" i="289"/>
  <c r="J690" i="289"/>
  <c r="B690" i="289"/>
  <c r="M689" i="289"/>
  <c r="J689" i="289"/>
  <c r="B689" i="289"/>
  <c r="M688" i="289"/>
  <c r="J688" i="289"/>
  <c r="B688" i="289"/>
  <c r="M687" i="289"/>
  <c r="J687" i="289"/>
  <c r="B687" i="289"/>
  <c r="M686" i="289"/>
  <c r="J686" i="289"/>
  <c r="B686" i="289"/>
  <c r="M685" i="289"/>
  <c r="J685" i="289"/>
  <c r="B685" i="289"/>
  <c r="M684" i="289"/>
  <c r="J684" i="289"/>
  <c r="B684" i="289"/>
  <c r="M683" i="289"/>
  <c r="J683" i="289"/>
  <c r="B683" i="289"/>
  <c r="M682" i="289"/>
  <c r="J682" i="289"/>
  <c r="B682" i="289"/>
  <c r="M681" i="289"/>
  <c r="J681" i="289"/>
  <c r="B681" i="289"/>
  <c r="M680" i="289"/>
  <c r="J680" i="289"/>
  <c r="B680" i="289"/>
  <c r="M679" i="289"/>
  <c r="J679" i="289"/>
  <c r="B679" i="289"/>
  <c r="M678" i="289"/>
  <c r="J678" i="289"/>
  <c r="B678" i="289"/>
  <c r="M677" i="289"/>
  <c r="J677" i="289"/>
  <c r="B677" i="289"/>
  <c r="M676" i="289"/>
  <c r="J676" i="289"/>
  <c r="B676" i="289"/>
  <c r="M675" i="289"/>
  <c r="J675" i="289"/>
  <c r="B675" i="289"/>
  <c r="M674" i="289"/>
  <c r="J674" i="289"/>
  <c r="B674" i="289"/>
  <c r="M673" i="289"/>
  <c r="J673" i="289"/>
  <c r="B673" i="289"/>
  <c r="M672" i="289"/>
  <c r="J672" i="289"/>
  <c r="Q671" i="289"/>
  <c r="P671" i="289"/>
  <c r="O671" i="289"/>
  <c r="M671" i="289"/>
  <c r="J671" i="289"/>
  <c r="B671" i="289"/>
  <c r="M670" i="289"/>
  <c r="J670" i="289"/>
  <c r="B670" i="289"/>
  <c r="M669" i="289"/>
  <c r="J669" i="289"/>
  <c r="B669" i="289"/>
  <c r="M668" i="289"/>
  <c r="J668" i="289"/>
  <c r="B668" i="289"/>
  <c r="M667" i="289"/>
  <c r="J667" i="289"/>
  <c r="B667" i="289"/>
  <c r="M666" i="289"/>
  <c r="J666" i="289"/>
  <c r="B666" i="289"/>
  <c r="M665" i="289"/>
  <c r="J665" i="289"/>
  <c r="B665" i="289"/>
  <c r="M664" i="289"/>
  <c r="J664" i="289"/>
  <c r="B664" i="289"/>
  <c r="M663" i="289"/>
  <c r="J663" i="289"/>
  <c r="B663" i="289"/>
  <c r="M662" i="289"/>
  <c r="J662" i="289"/>
  <c r="B662" i="289"/>
  <c r="M661" i="289"/>
  <c r="J661" i="289"/>
  <c r="B661" i="289"/>
  <c r="M660" i="289"/>
  <c r="J660" i="289"/>
  <c r="B660" i="289"/>
  <c r="M659" i="289"/>
  <c r="J659" i="289"/>
  <c r="B659" i="289"/>
  <c r="M658" i="289"/>
  <c r="J658" i="289"/>
  <c r="B658" i="289"/>
  <c r="M657" i="289"/>
  <c r="J657" i="289"/>
  <c r="B657" i="289"/>
  <c r="M656" i="289"/>
  <c r="J656" i="289"/>
  <c r="B656" i="289"/>
  <c r="M655" i="289"/>
  <c r="J655" i="289"/>
  <c r="B655" i="289"/>
  <c r="M654" i="289"/>
  <c r="J654" i="289"/>
  <c r="B654" i="289"/>
  <c r="M653" i="289"/>
  <c r="J653" i="289"/>
  <c r="B653" i="289"/>
  <c r="M652" i="289"/>
  <c r="J652" i="289"/>
  <c r="M651" i="289"/>
  <c r="J651" i="289"/>
  <c r="B651" i="289"/>
  <c r="M650" i="289"/>
  <c r="J650" i="289"/>
  <c r="B650" i="289"/>
  <c r="M649" i="289"/>
  <c r="J649" i="289"/>
  <c r="B649" i="289"/>
  <c r="M648" i="289"/>
  <c r="J648" i="289"/>
  <c r="B648" i="289"/>
  <c r="M647" i="289"/>
  <c r="J647" i="289"/>
  <c r="B647" i="289"/>
  <c r="M646" i="289"/>
  <c r="J646" i="289"/>
  <c r="B646" i="289"/>
  <c r="M645" i="289"/>
  <c r="J645" i="289"/>
  <c r="B645" i="289"/>
  <c r="M644" i="289"/>
  <c r="J644" i="289"/>
  <c r="B644" i="289"/>
  <c r="M643" i="289"/>
  <c r="J643" i="289"/>
  <c r="B643" i="289"/>
  <c r="M642" i="289"/>
  <c r="J642" i="289"/>
  <c r="B642" i="289"/>
  <c r="M641" i="289"/>
  <c r="J641" i="289"/>
  <c r="B641" i="289"/>
  <c r="M640" i="289"/>
  <c r="J640" i="289"/>
  <c r="B640" i="289"/>
  <c r="M639" i="289"/>
  <c r="J639" i="289"/>
  <c r="B639" i="289"/>
  <c r="M638" i="289"/>
  <c r="J638" i="289"/>
  <c r="B638" i="289"/>
  <c r="M637" i="289"/>
  <c r="J637" i="289"/>
  <c r="B637" i="289"/>
  <c r="M636" i="289"/>
  <c r="J636" i="289"/>
  <c r="B636" i="289"/>
  <c r="M635" i="289"/>
  <c r="J635" i="289"/>
  <c r="B635" i="289"/>
  <c r="M634" i="289"/>
  <c r="J634" i="289"/>
  <c r="B634" i="289"/>
  <c r="M633" i="289"/>
  <c r="J633" i="289"/>
  <c r="B633" i="289"/>
  <c r="M632" i="289"/>
  <c r="J632" i="289"/>
  <c r="B632" i="289"/>
  <c r="M631" i="289"/>
  <c r="J631" i="289"/>
  <c r="B631" i="289"/>
  <c r="M630" i="289"/>
  <c r="J630" i="289"/>
  <c r="B630" i="289"/>
  <c r="M629" i="289"/>
  <c r="J629" i="289"/>
  <c r="B629" i="289"/>
  <c r="M628" i="289"/>
  <c r="J628" i="289"/>
  <c r="B628" i="289"/>
  <c r="M627" i="289"/>
  <c r="J627" i="289"/>
  <c r="B627" i="289"/>
  <c r="M626" i="289"/>
  <c r="J626" i="289"/>
  <c r="B626" i="289"/>
  <c r="M625" i="289"/>
  <c r="J625" i="289"/>
  <c r="B625" i="289"/>
  <c r="M624" i="289"/>
  <c r="J624" i="289"/>
  <c r="B624" i="289"/>
  <c r="M623" i="289"/>
  <c r="J623" i="289"/>
  <c r="B623" i="289"/>
  <c r="M622" i="289"/>
  <c r="J622" i="289"/>
  <c r="B622" i="289"/>
  <c r="M621" i="289"/>
  <c r="J621" i="289"/>
  <c r="B621" i="289"/>
  <c r="M620" i="289"/>
  <c r="J620" i="289"/>
  <c r="B620" i="289"/>
  <c r="M619" i="289"/>
  <c r="J619" i="289"/>
  <c r="B619" i="289"/>
  <c r="M618" i="289"/>
  <c r="J618" i="289"/>
  <c r="B618" i="289"/>
  <c r="M617" i="289"/>
  <c r="J617" i="289"/>
  <c r="B617" i="289"/>
  <c r="M616" i="289"/>
  <c r="J616" i="289"/>
  <c r="B616" i="289"/>
  <c r="M615" i="289"/>
  <c r="J615" i="289"/>
  <c r="B615" i="289"/>
  <c r="M614" i="289"/>
  <c r="J614" i="289"/>
  <c r="B614" i="289"/>
  <c r="M613" i="289"/>
  <c r="J613" i="289"/>
  <c r="B613" i="289"/>
  <c r="M612" i="289"/>
  <c r="J612" i="289"/>
  <c r="B612" i="289"/>
  <c r="M611" i="289"/>
  <c r="J611" i="289"/>
  <c r="B611" i="289"/>
  <c r="M610" i="289"/>
  <c r="J610" i="289"/>
  <c r="M609" i="289"/>
  <c r="J609" i="289"/>
  <c r="B609" i="289"/>
  <c r="M608" i="289"/>
  <c r="J608" i="289"/>
  <c r="B608" i="289"/>
  <c r="M607" i="289"/>
  <c r="J607" i="289"/>
  <c r="B607" i="289"/>
  <c r="M606" i="289"/>
  <c r="J606" i="289"/>
  <c r="B606" i="289"/>
  <c r="M605" i="289"/>
  <c r="J605" i="289"/>
  <c r="B605" i="289"/>
  <c r="M604" i="289"/>
  <c r="J604" i="289"/>
  <c r="B604" i="289"/>
  <c r="M603" i="289"/>
  <c r="J603" i="289"/>
  <c r="B603" i="289"/>
  <c r="M602" i="289"/>
  <c r="J602" i="289"/>
  <c r="B602" i="289"/>
  <c r="M601" i="289"/>
  <c r="J601" i="289"/>
  <c r="B601" i="289"/>
  <c r="M600" i="289"/>
  <c r="J600" i="289"/>
  <c r="B600" i="289"/>
  <c r="M599" i="289"/>
  <c r="J599" i="289"/>
  <c r="B599" i="289"/>
  <c r="M598" i="289"/>
  <c r="J598" i="289"/>
  <c r="B598" i="289"/>
  <c r="M597" i="289"/>
  <c r="J597" i="289"/>
  <c r="B597" i="289"/>
  <c r="M596" i="289"/>
  <c r="J596" i="289"/>
  <c r="B596" i="289"/>
  <c r="M595" i="289"/>
  <c r="J595" i="289"/>
  <c r="B595" i="289"/>
  <c r="M594" i="289"/>
  <c r="J594" i="289"/>
  <c r="B594" i="289"/>
  <c r="M593" i="289"/>
  <c r="J593" i="289"/>
  <c r="B593" i="289"/>
  <c r="M592" i="289"/>
  <c r="J592" i="289"/>
  <c r="B592" i="289"/>
  <c r="M591" i="289"/>
  <c r="J591" i="289"/>
  <c r="B591" i="289"/>
  <c r="M590" i="289"/>
  <c r="J590" i="289"/>
  <c r="B590" i="289"/>
  <c r="M589" i="289"/>
  <c r="J589" i="289"/>
  <c r="B589" i="289"/>
  <c r="M588" i="289"/>
  <c r="J588" i="289"/>
  <c r="B588" i="289"/>
  <c r="M587" i="289"/>
  <c r="J587" i="289"/>
  <c r="B587" i="289"/>
  <c r="M586" i="289"/>
  <c r="J586" i="289"/>
  <c r="B586" i="289"/>
  <c r="M585" i="289"/>
  <c r="J585" i="289"/>
  <c r="B585" i="289"/>
  <c r="M584" i="289"/>
  <c r="J584" i="289"/>
  <c r="B584" i="289"/>
  <c r="M583" i="289"/>
  <c r="J583" i="289"/>
  <c r="B583" i="289"/>
  <c r="M582" i="289"/>
  <c r="J582" i="289"/>
  <c r="B582" i="289"/>
  <c r="M581" i="289"/>
  <c r="J581" i="289"/>
  <c r="B581" i="289"/>
  <c r="M580" i="289"/>
  <c r="J580" i="289"/>
  <c r="B580" i="289"/>
  <c r="M579" i="289"/>
  <c r="J579" i="289"/>
  <c r="B579" i="289"/>
  <c r="M578" i="289"/>
  <c r="J578" i="289"/>
  <c r="B578" i="289"/>
  <c r="M577" i="289"/>
  <c r="J577" i="289"/>
  <c r="B577" i="289"/>
  <c r="M576" i="289"/>
  <c r="J576" i="289"/>
  <c r="B576" i="289"/>
  <c r="M575" i="289"/>
  <c r="J575" i="289"/>
  <c r="B575" i="289"/>
  <c r="M574" i="289"/>
  <c r="J574" i="289"/>
  <c r="B574" i="289"/>
  <c r="M573" i="289"/>
  <c r="J573" i="289"/>
  <c r="B573" i="289"/>
  <c r="M572" i="289"/>
  <c r="J572" i="289"/>
  <c r="B572" i="289"/>
  <c r="M571" i="289"/>
  <c r="J571" i="289"/>
  <c r="B571" i="289"/>
  <c r="M570" i="289"/>
  <c r="J570" i="289"/>
  <c r="B570" i="289"/>
  <c r="M569" i="289"/>
  <c r="J569" i="289"/>
  <c r="B569" i="289"/>
  <c r="M568" i="289"/>
  <c r="J568" i="289"/>
  <c r="M567" i="289"/>
  <c r="J567" i="289"/>
  <c r="B567" i="289"/>
  <c r="M566" i="289"/>
  <c r="J566" i="289"/>
  <c r="B566" i="289"/>
  <c r="M565" i="289"/>
  <c r="J565" i="289"/>
  <c r="B565" i="289"/>
  <c r="M564" i="289"/>
  <c r="J564" i="289"/>
  <c r="B564" i="289"/>
  <c r="M563" i="289"/>
  <c r="J563" i="289"/>
  <c r="B563" i="289"/>
  <c r="M562" i="289"/>
  <c r="J562" i="289"/>
  <c r="B562" i="289"/>
  <c r="M561" i="289"/>
  <c r="J561" i="289"/>
  <c r="B561" i="289"/>
  <c r="M560" i="289"/>
  <c r="J560" i="289"/>
  <c r="B560" i="289"/>
  <c r="M559" i="289"/>
  <c r="J559" i="289"/>
  <c r="B559" i="289"/>
  <c r="M558" i="289"/>
  <c r="J558" i="289"/>
  <c r="B558" i="289"/>
  <c r="M557" i="289"/>
  <c r="J557" i="289"/>
  <c r="B557" i="289"/>
  <c r="M556" i="289"/>
  <c r="J556" i="289"/>
  <c r="B556" i="289"/>
  <c r="M555" i="289"/>
  <c r="J555" i="289"/>
  <c r="B555" i="289"/>
  <c r="M554" i="289"/>
  <c r="J554" i="289"/>
  <c r="B554" i="289"/>
  <c r="M553" i="289"/>
  <c r="J553" i="289"/>
  <c r="B553" i="289"/>
  <c r="M552" i="289"/>
  <c r="J552" i="289"/>
  <c r="B552" i="289"/>
  <c r="M551" i="289"/>
  <c r="J551" i="289"/>
  <c r="B551" i="289"/>
  <c r="M550" i="289"/>
  <c r="J550" i="289"/>
  <c r="B550" i="289"/>
  <c r="M549" i="289"/>
  <c r="J549" i="289"/>
  <c r="B549" i="289"/>
  <c r="M548" i="289"/>
  <c r="J548" i="289"/>
  <c r="B548" i="289"/>
  <c r="M547" i="289"/>
  <c r="J547" i="289"/>
  <c r="B547" i="289"/>
  <c r="M546" i="289"/>
  <c r="J546" i="289"/>
  <c r="B546" i="289"/>
  <c r="M545" i="289"/>
  <c r="J545" i="289"/>
  <c r="B545" i="289"/>
  <c r="M544" i="289"/>
  <c r="J544" i="289"/>
  <c r="B544" i="289"/>
  <c r="M543" i="289"/>
  <c r="J543" i="289"/>
  <c r="B543" i="289"/>
  <c r="M542" i="289"/>
  <c r="J542" i="289"/>
  <c r="B542" i="289"/>
  <c r="M541" i="289"/>
  <c r="J541" i="289"/>
  <c r="B541" i="289"/>
  <c r="M540" i="289"/>
  <c r="J540" i="289"/>
  <c r="B540" i="289"/>
  <c r="M539" i="289"/>
  <c r="J539" i="289"/>
  <c r="B539" i="289"/>
  <c r="M538" i="289"/>
  <c r="J538" i="289"/>
  <c r="B538" i="289"/>
  <c r="M537" i="289"/>
  <c r="J537" i="289"/>
  <c r="B537" i="289"/>
  <c r="M536" i="289"/>
  <c r="J536" i="289"/>
  <c r="B536" i="289"/>
  <c r="M535" i="289"/>
  <c r="J535" i="289"/>
  <c r="B535" i="289"/>
  <c r="M534" i="289"/>
  <c r="J534" i="289"/>
  <c r="B534" i="289"/>
  <c r="M533" i="289"/>
  <c r="J533" i="289"/>
  <c r="B533" i="289"/>
  <c r="M532" i="289"/>
  <c r="J532" i="289"/>
  <c r="B532" i="289"/>
  <c r="M531" i="289"/>
  <c r="J531" i="289"/>
  <c r="B531" i="289"/>
  <c r="M530" i="289"/>
  <c r="J530" i="289"/>
  <c r="B530" i="289"/>
  <c r="M529" i="289"/>
  <c r="J529" i="289"/>
  <c r="B529" i="289"/>
  <c r="M528" i="289"/>
  <c r="J528" i="289"/>
  <c r="B528" i="289"/>
  <c r="M527" i="289"/>
  <c r="J527" i="289"/>
  <c r="B527" i="289"/>
  <c r="M526" i="289"/>
  <c r="J526" i="289"/>
  <c r="M525" i="289"/>
  <c r="J525" i="289"/>
  <c r="B525" i="289"/>
  <c r="M524" i="289"/>
  <c r="L524" i="289"/>
  <c r="K524" i="289"/>
  <c r="J524" i="289"/>
  <c r="I524" i="289"/>
  <c r="H524" i="289"/>
  <c r="G524" i="289"/>
  <c r="B524" i="289"/>
  <c r="M523" i="289"/>
  <c r="J523" i="289"/>
  <c r="M522" i="289"/>
  <c r="J522" i="289"/>
  <c r="M521" i="289"/>
  <c r="J521" i="289"/>
  <c r="G521" i="289"/>
  <c r="M520" i="289"/>
  <c r="J520" i="289"/>
  <c r="M519" i="289"/>
  <c r="J519" i="289"/>
  <c r="M518" i="289"/>
  <c r="J518" i="289"/>
  <c r="M517" i="289"/>
  <c r="J517" i="289"/>
  <c r="M516" i="289"/>
  <c r="J516" i="289"/>
  <c r="M515" i="289"/>
  <c r="J515" i="289"/>
  <c r="M514" i="289"/>
  <c r="J514" i="289"/>
  <c r="M513" i="289"/>
  <c r="J513" i="289"/>
  <c r="M512" i="289"/>
  <c r="J512" i="289"/>
  <c r="M511" i="289"/>
  <c r="J511" i="289"/>
  <c r="M510" i="289"/>
  <c r="J510" i="289"/>
  <c r="H510" i="289"/>
  <c r="M509" i="289"/>
  <c r="J509" i="289"/>
  <c r="M508" i="289"/>
  <c r="J508" i="289"/>
  <c r="M507" i="289"/>
  <c r="J507" i="289"/>
  <c r="M506" i="289"/>
  <c r="J506" i="289"/>
  <c r="M505" i="289"/>
  <c r="J505" i="289"/>
  <c r="M504" i="289"/>
  <c r="J504" i="289"/>
  <c r="M503" i="289"/>
  <c r="J503" i="289"/>
  <c r="M502" i="289"/>
  <c r="J502" i="289"/>
  <c r="M501" i="289"/>
  <c r="J501" i="289"/>
  <c r="M500" i="289"/>
  <c r="J500" i="289"/>
  <c r="M499" i="289"/>
  <c r="J499" i="289"/>
  <c r="M498" i="289"/>
  <c r="J498" i="289"/>
  <c r="M497" i="289"/>
  <c r="J497" i="289"/>
  <c r="M496" i="289"/>
  <c r="J496" i="289"/>
  <c r="M495" i="289"/>
  <c r="J495" i="289"/>
  <c r="M494" i="289"/>
  <c r="J494" i="289"/>
  <c r="M493" i="289"/>
  <c r="J493" i="289"/>
  <c r="M492" i="289"/>
  <c r="J492" i="289"/>
  <c r="M491" i="289"/>
  <c r="J491" i="289"/>
  <c r="M490" i="289"/>
  <c r="J490" i="289"/>
  <c r="M489" i="289"/>
  <c r="J489" i="289"/>
  <c r="M488" i="289"/>
  <c r="J488" i="289"/>
  <c r="M487" i="289"/>
  <c r="J487" i="289"/>
  <c r="M486" i="289"/>
  <c r="J486" i="289"/>
  <c r="M485" i="289"/>
  <c r="J485" i="289"/>
  <c r="M484" i="289"/>
  <c r="J484" i="289"/>
  <c r="M483" i="289"/>
  <c r="J483" i="289"/>
  <c r="M482" i="289"/>
  <c r="J482" i="289"/>
  <c r="M481" i="289"/>
  <c r="J481" i="289"/>
  <c r="M480" i="289"/>
  <c r="J480" i="289"/>
  <c r="M479" i="289"/>
  <c r="J479" i="289"/>
  <c r="M478" i="289"/>
  <c r="J478" i="289"/>
  <c r="M477" i="289"/>
  <c r="J477" i="289"/>
  <c r="M476" i="289"/>
  <c r="J476" i="289"/>
  <c r="M475" i="289"/>
  <c r="J475" i="289"/>
  <c r="M474" i="289"/>
  <c r="J474" i="289"/>
  <c r="M473" i="289"/>
  <c r="J473" i="289"/>
  <c r="M472" i="289"/>
  <c r="J472" i="289"/>
  <c r="M471" i="289"/>
  <c r="J471" i="289"/>
  <c r="M470" i="289"/>
  <c r="J470" i="289"/>
  <c r="M469" i="289"/>
  <c r="J469" i="289"/>
  <c r="M468" i="289"/>
  <c r="J468" i="289"/>
  <c r="M467" i="289"/>
  <c r="J467" i="289"/>
  <c r="M466" i="289"/>
  <c r="J466" i="289"/>
  <c r="M465" i="289"/>
  <c r="J465" i="289"/>
  <c r="M464" i="289"/>
  <c r="J464" i="289"/>
  <c r="M463" i="289"/>
  <c r="J463" i="289"/>
  <c r="M462" i="289"/>
  <c r="J462" i="289"/>
  <c r="M461" i="289"/>
  <c r="J461" i="289"/>
  <c r="M460" i="289"/>
  <c r="J460" i="289"/>
  <c r="M459" i="289"/>
  <c r="J459" i="289"/>
  <c r="M458" i="289"/>
  <c r="J458" i="289"/>
  <c r="M457" i="289"/>
  <c r="J457" i="289"/>
  <c r="M456" i="289"/>
  <c r="J456" i="289"/>
  <c r="M455" i="289"/>
  <c r="J455" i="289"/>
  <c r="M454" i="289"/>
  <c r="J454" i="289"/>
  <c r="M453" i="289"/>
  <c r="J453" i="289"/>
  <c r="M452" i="289"/>
  <c r="J452" i="289"/>
  <c r="M451" i="289"/>
  <c r="J451" i="289"/>
  <c r="M450" i="289"/>
  <c r="J450" i="289"/>
  <c r="M449" i="289"/>
  <c r="J449" i="289"/>
  <c r="M448" i="289"/>
  <c r="J448" i="289"/>
  <c r="M447" i="289"/>
  <c r="J447" i="289"/>
  <c r="M446" i="289"/>
  <c r="J446" i="289"/>
  <c r="M445" i="289"/>
  <c r="J445" i="289"/>
  <c r="M444" i="289"/>
  <c r="J444" i="289"/>
  <c r="M443" i="289"/>
  <c r="J443" i="289"/>
  <c r="M442" i="289"/>
  <c r="J442" i="289"/>
  <c r="M441" i="289"/>
  <c r="J441" i="289"/>
  <c r="M440" i="289"/>
  <c r="J440" i="289"/>
  <c r="M439" i="289"/>
  <c r="J439" i="289"/>
  <c r="M438" i="289"/>
  <c r="J438" i="289"/>
  <c r="M437" i="289"/>
  <c r="J437" i="289"/>
  <c r="M436" i="289"/>
  <c r="J436" i="289"/>
  <c r="M435" i="289"/>
  <c r="J435" i="289"/>
  <c r="M434" i="289"/>
  <c r="J434" i="289"/>
  <c r="M433" i="289"/>
  <c r="J433" i="289"/>
  <c r="M432" i="289"/>
  <c r="J432" i="289"/>
  <c r="M431" i="289"/>
  <c r="J431" i="289"/>
  <c r="B431" i="289"/>
  <c r="M430" i="289"/>
  <c r="J430" i="289"/>
  <c r="B430" i="289"/>
  <c r="M429" i="289"/>
  <c r="J429" i="289"/>
  <c r="B429" i="289"/>
  <c r="M428" i="289"/>
  <c r="J428" i="289"/>
  <c r="B428" i="289"/>
  <c r="M427" i="289"/>
  <c r="J427" i="289"/>
  <c r="B427" i="289"/>
  <c r="M426" i="289"/>
  <c r="J426" i="289"/>
  <c r="B426" i="289"/>
  <c r="M425" i="289"/>
  <c r="J425" i="289"/>
  <c r="B425" i="289"/>
  <c r="M424" i="289"/>
  <c r="J424" i="289"/>
  <c r="B424" i="289"/>
  <c r="M423" i="289"/>
  <c r="J423" i="289"/>
  <c r="B423" i="289"/>
  <c r="M422" i="289"/>
  <c r="J422" i="289"/>
  <c r="B422" i="289"/>
  <c r="M421" i="289"/>
  <c r="J421" i="289"/>
  <c r="B421" i="289"/>
  <c r="M420" i="289"/>
  <c r="J420" i="289"/>
  <c r="B420" i="289"/>
  <c r="M419" i="289"/>
  <c r="J419" i="289"/>
  <c r="B419" i="289"/>
  <c r="M418" i="289"/>
  <c r="J418" i="289"/>
  <c r="B418" i="289"/>
  <c r="M417" i="289"/>
  <c r="J417" i="289"/>
  <c r="B417" i="289"/>
  <c r="M416" i="289"/>
  <c r="J416" i="289"/>
  <c r="B416" i="289"/>
  <c r="M415" i="289"/>
  <c r="J415" i="289"/>
  <c r="B415" i="289"/>
  <c r="M414" i="289"/>
  <c r="J414" i="289"/>
  <c r="B414" i="289"/>
  <c r="M413" i="289"/>
  <c r="J413" i="289"/>
  <c r="B413" i="289"/>
  <c r="M412" i="289"/>
  <c r="J412" i="289"/>
  <c r="B412" i="289"/>
  <c r="M411" i="289"/>
  <c r="J411" i="289"/>
  <c r="B411" i="289"/>
  <c r="M410" i="289"/>
  <c r="J410" i="289"/>
  <c r="B410" i="289"/>
  <c r="M409" i="289"/>
  <c r="J409" i="289"/>
  <c r="B409" i="289"/>
  <c r="M408" i="289"/>
  <c r="J408" i="289"/>
  <c r="B408" i="289"/>
  <c r="M407" i="289"/>
  <c r="J407" i="289"/>
  <c r="B407" i="289"/>
  <c r="M406" i="289"/>
  <c r="J406" i="289"/>
  <c r="B406" i="289"/>
  <c r="M405" i="289"/>
  <c r="J405" i="289"/>
  <c r="B405" i="289"/>
  <c r="M404" i="289"/>
  <c r="J404" i="289"/>
  <c r="B404" i="289"/>
  <c r="M403" i="289"/>
  <c r="J403" i="289"/>
  <c r="B403" i="289"/>
  <c r="M402" i="289"/>
  <c r="J402" i="289"/>
  <c r="B402" i="289"/>
  <c r="M401" i="289"/>
  <c r="J401" i="289"/>
  <c r="B401" i="289"/>
  <c r="M400" i="289"/>
  <c r="J400" i="289"/>
  <c r="B400" i="289"/>
  <c r="M399" i="289"/>
  <c r="J399" i="289"/>
  <c r="B399" i="289"/>
  <c r="M398" i="289"/>
  <c r="J398" i="289"/>
  <c r="B398" i="289"/>
  <c r="M397" i="289"/>
  <c r="J397" i="289"/>
  <c r="B397" i="289"/>
  <c r="M396" i="289"/>
  <c r="J396" i="289"/>
  <c r="B396" i="289"/>
  <c r="M395" i="289"/>
  <c r="J395" i="289"/>
  <c r="B395" i="289"/>
  <c r="M394" i="289"/>
  <c r="J394" i="289"/>
  <c r="B394" i="289"/>
  <c r="M393" i="289"/>
  <c r="J393" i="289"/>
  <c r="B393" i="289"/>
  <c r="M392" i="289"/>
  <c r="J392" i="289"/>
  <c r="B392" i="289"/>
  <c r="M391" i="289"/>
  <c r="J391" i="289"/>
  <c r="B391" i="289"/>
  <c r="M390" i="289"/>
  <c r="J390" i="289"/>
  <c r="B390" i="289"/>
  <c r="M389" i="289"/>
  <c r="J389" i="289"/>
  <c r="B389" i="289"/>
  <c r="M388" i="289"/>
  <c r="J388" i="289"/>
  <c r="B388" i="289"/>
  <c r="M387" i="289"/>
  <c r="J387" i="289"/>
  <c r="B387" i="289"/>
  <c r="M386" i="289"/>
  <c r="J386" i="289"/>
  <c r="B386" i="289"/>
  <c r="M385" i="289"/>
  <c r="J385" i="289"/>
  <c r="B385" i="289"/>
  <c r="M384" i="289"/>
  <c r="J384" i="289"/>
  <c r="B384" i="289"/>
  <c r="M383" i="289"/>
  <c r="J383" i="289"/>
  <c r="B383" i="289"/>
  <c r="M382" i="289"/>
  <c r="J382" i="289"/>
  <c r="B382" i="289"/>
  <c r="M381" i="289"/>
  <c r="J381" i="289"/>
  <c r="B381" i="289"/>
  <c r="M380" i="289"/>
  <c r="J380" i="289"/>
  <c r="B380" i="289"/>
  <c r="M379" i="289"/>
  <c r="J379" i="289"/>
  <c r="B379" i="289"/>
  <c r="M378" i="289"/>
  <c r="J378" i="289"/>
  <c r="B378" i="289"/>
  <c r="M377" i="289"/>
  <c r="J377" i="289"/>
  <c r="B377" i="289"/>
  <c r="M376" i="289"/>
  <c r="J376" i="289"/>
  <c r="B376" i="289"/>
  <c r="M375" i="289"/>
  <c r="J375" i="289"/>
  <c r="B375" i="289"/>
  <c r="M374" i="289"/>
  <c r="J374" i="289"/>
  <c r="B374" i="289"/>
  <c r="M373" i="289"/>
  <c r="J373" i="289"/>
  <c r="B373" i="289"/>
  <c r="M372" i="289"/>
  <c r="J372" i="289"/>
  <c r="M371" i="289"/>
  <c r="J371" i="289"/>
  <c r="B371" i="289"/>
  <c r="M370" i="289"/>
  <c r="J370" i="289"/>
  <c r="B370" i="289"/>
  <c r="M369" i="289"/>
  <c r="J369" i="289"/>
  <c r="B369" i="289"/>
  <c r="M368" i="289"/>
  <c r="J368" i="289"/>
  <c r="B368" i="289"/>
  <c r="M367" i="289"/>
  <c r="J367" i="289"/>
  <c r="B367" i="289"/>
  <c r="M366" i="289"/>
  <c r="J366" i="289"/>
  <c r="B366" i="289"/>
  <c r="M365" i="289"/>
  <c r="J365" i="289"/>
  <c r="B365" i="289"/>
  <c r="M364" i="289"/>
  <c r="J364" i="289"/>
  <c r="B364" i="289"/>
  <c r="M363" i="289"/>
  <c r="J363" i="289"/>
  <c r="B363" i="289"/>
  <c r="M362" i="289"/>
  <c r="J362" i="289"/>
  <c r="B362" i="289"/>
  <c r="M361" i="289"/>
  <c r="J361" i="289"/>
  <c r="B361" i="289"/>
  <c r="M360" i="289"/>
  <c r="J360" i="289"/>
  <c r="B360" i="289"/>
  <c r="M359" i="289"/>
  <c r="J359" i="289"/>
  <c r="B359" i="289"/>
  <c r="M358" i="289"/>
  <c r="J358" i="289"/>
  <c r="B358" i="289"/>
  <c r="M357" i="289"/>
  <c r="J357" i="289"/>
  <c r="B357" i="289"/>
  <c r="M356" i="289"/>
  <c r="J356" i="289"/>
  <c r="B356" i="289"/>
  <c r="M355" i="289"/>
  <c r="J355" i="289"/>
  <c r="B355" i="289"/>
  <c r="M354" i="289"/>
  <c r="J354" i="289"/>
  <c r="B354" i="289"/>
  <c r="M353" i="289"/>
  <c r="J353" i="289"/>
  <c r="B353" i="289"/>
  <c r="M352" i="289"/>
  <c r="J352" i="289"/>
  <c r="B352" i="289"/>
  <c r="M351" i="289"/>
  <c r="J351" i="289"/>
  <c r="B351" i="289"/>
  <c r="M350" i="289"/>
  <c r="J350" i="289"/>
  <c r="B350" i="289"/>
  <c r="M349" i="289"/>
  <c r="J349" i="289"/>
  <c r="B349" i="289"/>
  <c r="M348" i="289"/>
  <c r="J348" i="289"/>
  <c r="B348" i="289"/>
  <c r="M347" i="289"/>
  <c r="J347" i="289"/>
  <c r="B347" i="289"/>
  <c r="M346" i="289"/>
  <c r="J346" i="289"/>
  <c r="B346" i="289"/>
  <c r="M345" i="289"/>
  <c r="J345" i="289"/>
  <c r="B345" i="289"/>
  <c r="M344" i="289"/>
  <c r="J344" i="289"/>
  <c r="B344" i="289"/>
  <c r="M343" i="289"/>
  <c r="J343" i="289"/>
  <c r="B343" i="289"/>
  <c r="M342" i="289"/>
  <c r="J342" i="289"/>
  <c r="B342" i="289"/>
  <c r="M341" i="289"/>
  <c r="J341" i="289"/>
  <c r="B341" i="289"/>
  <c r="M340" i="289"/>
  <c r="J340" i="289"/>
  <c r="B340" i="289"/>
  <c r="M339" i="289"/>
  <c r="J339" i="289"/>
  <c r="B339" i="289"/>
  <c r="M338" i="289"/>
  <c r="J338" i="289"/>
  <c r="B338" i="289"/>
  <c r="M337" i="289"/>
  <c r="J337" i="289"/>
  <c r="B337" i="289"/>
  <c r="M336" i="289"/>
  <c r="J336" i="289"/>
  <c r="B336" i="289"/>
  <c r="M335" i="289"/>
  <c r="J335" i="289"/>
  <c r="B335" i="289"/>
  <c r="M334" i="289"/>
  <c r="J334" i="289"/>
  <c r="B334" i="289"/>
  <c r="M333" i="289"/>
  <c r="J333" i="289"/>
  <c r="B333" i="289"/>
  <c r="M332" i="289"/>
  <c r="J332" i="289"/>
  <c r="B332" i="289"/>
  <c r="M331" i="289"/>
  <c r="J331" i="289"/>
  <c r="B331" i="289"/>
  <c r="M330" i="289"/>
  <c r="J330" i="289"/>
  <c r="B330" i="289"/>
  <c r="M329" i="289"/>
  <c r="J329" i="289"/>
  <c r="B329" i="289"/>
  <c r="M328" i="289"/>
  <c r="J328" i="289"/>
  <c r="B328" i="289"/>
  <c r="M327" i="289"/>
  <c r="J327" i="289"/>
  <c r="B327" i="289"/>
  <c r="M326" i="289"/>
  <c r="J326" i="289"/>
  <c r="B326" i="289"/>
  <c r="M325" i="289"/>
  <c r="J325" i="289"/>
  <c r="B325" i="289"/>
  <c r="M324" i="289"/>
  <c r="J324" i="289"/>
  <c r="B324" i="289"/>
  <c r="M323" i="289"/>
  <c r="J323" i="289"/>
  <c r="B323" i="289"/>
  <c r="M322" i="289"/>
  <c r="J322" i="289"/>
  <c r="B322" i="289"/>
  <c r="M321" i="289"/>
  <c r="J321" i="289"/>
  <c r="M320" i="289"/>
  <c r="J320" i="289"/>
  <c r="B320" i="289"/>
  <c r="M319" i="289"/>
  <c r="J319" i="289"/>
  <c r="B319" i="289"/>
  <c r="M318" i="289"/>
  <c r="J318" i="289"/>
  <c r="B318" i="289"/>
  <c r="M317" i="289"/>
  <c r="J317" i="289"/>
  <c r="B317" i="289"/>
  <c r="M316" i="289"/>
  <c r="J316" i="289"/>
  <c r="B316" i="289"/>
  <c r="M315" i="289"/>
  <c r="J315" i="289"/>
  <c r="B315" i="289"/>
  <c r="M314" i="289"/>
  <c r="J314" i="289"/>
  <c r="B314" i="289"/>
  <c r="M313" i="289"/>
  <c r="J313" i="289"/>
  <c r="B313" i="289"/>
  <c r="M312" i="289"/>
  <c r="J312" i="289"/>
  <c r="B312" i="289"/>
  <c r="M311" i="289"/>
  <c r="J311" i="289"/>
  <c r="B311" i="289"/>
  <c r="M310" i="289"/>
  <c r="J310" i="289"/>
  <c r="B310" i="289"/>
  <c r="M309" i="289"/>
  <c r="J309" i="289"/>
  <c r="B309" i="289"/>
  <c r="M308" i="289"/>
  <c r="J308" i="289"/>
  <c r="B308" i="289"/>
  <c r="M307" i="289"/>
  <c r="J307" i="289"/>
  <c r="B307" i="289"/>
  <c r="M306" i="289"/>
  <c r="J306" i="289"/>
  <c r="B306" i="289"/>
  <c r="M305" i="289"/>
  <c r="J305" i="289"/>
  <c r="B305" i="289"/>
  <c r="M304" i="289"/>
  <c r="J304" i="289"/>
  <c r="B304" i="289"/>
  <c r="M303" i="289"/>
  <c r="J303" i="289"/>
  <c r="B303" i="289"/>
  <c r="M302" i="289"/>
  <c r="J302" i="289"/>
  <c r="B302" i="289"/>
  <c r="M301" i="289"/>
  <c r="J301" i="289"/>
  <c r="B301" i="289"/>
  <c r="M300" i="289"/>
  <c r="J300" i="289"/>
  <c r="B300" i="289"/>
  <c r="M299" i="289"/>
  <c r="J299" i="289"/>
  <c r="B299" i="289"/>
  <c r="M298" i="289"/>
  <c r="J298" i="289"/>
  <c r="B298" i="289"/>
  <c r="M297" i="289"/>
  <c r="J297" i="289"/>
  <c r="B297" i="289"/>
  <c r="M296" i="289"/>
  <c r="J296" i="289"/>
  <c r="B296" i="289"/>
  <c r="M295" i="289"/>
  <c r="J295" i="289"/>
  <c r="B295" i="289"/>
  <c r="M294" i="289"/>
  <c r="J294" i="289"/>
  <c r="B294" i="289"/>
  <c r="M293" i="289"/>
  <c r="J293" i="289"/>
  <c r="B293" i="289"/>
  <c r="M292" i="289"/>
  <c r="J292" i="289"/>
  <c r="B292" i="289"/>
  <c r="M291" i="289"/>
  <c r="J291" i="289"/>
  <c r="B291" i="289"/>
  <c r="M290" i="289"/>
  <c r="J290" i="289"/>
  <c r="B290" i="289"/>
  <c r="M289" i="289"/>
  <c r="J289" i="289"/>
  <c r="B289" i="289"/>
  <c r="M288" i="289"/>
  <c r="J288" i="289"/>
  <c r="B288" i="289"/>
  <c r="M287" i="289"/>
  <c r="J287" i="289"/>
  <c r="B287" i="289"/>
  <c r="M286" i="289"/>
  <c r="J286" i="289"/>
  <c r="B286" i="289"/>
  <c r="M285" i="289"/>
  <c r="J285" i="289"/>
  <c r="B285" i="289"/>
  <c r="M284" i="289"/>
  <c r="J284" i="289"/>
  <c r="B284" i="289"/>
  <c r="M283" i="289"/>
  <c r="J283" i="289"/>
  <c r="B283" i="289"/>
  <c r="M282" i="289"/>
  <c r="J282" i="289"/>
  <c r="B282" i="289"/>
  <c r="M281" i="289"/>
  <c r="J281" i="289"/>
  <c r="B281" i="289"/>
  <c r="M280" i="289"/>
  <c r="J280" i="289"/>
  <c r="B280" i="289"/>
  <c r="M279" i="289"/>
  <c r="J279" i="289"/>
  <c r="M278" i="289"/>
  <c r="J278" i="289"/>
  <c r="B278" i="289"/>
  <c r="M277" i="289"/>
  <c r="J277" i="289"/>
  <c r="B277" i="289"/>
  <c r="M276" i="289"/>
  <c r="J276" i="289"/>
  <c r="B276" i="289"/>
  <c r="M275" i="289"/>
  <c r="J275" i="289"/>
  <c r="B275" i="289"/>
  <c r="M274" i="289"/>
  <c r="J274" i="289"/>
  <c r="B274" i="289"/>
  <c r="M273" i="289"/>
  <c r="J273" i="289"/>
  <c r="B273" i="289"/>
  <c r="M272" i="289"/>
  <c r="J272" i="289"/>
  <c r="B272" i="289"/>
  <c r="M271" i="289"/>
  <c r="J271" i="289"/>
  <c r="B271" i="289"/>
  <c r="M270" i="289"/>
  <c r="J270" i="289"/>
  <c r="B270" i="289"/>
  <c r="M269" i="289"/>
  <c r="J269" i="289"/>
  <c r="B269" i="289"/>
  <c r="M268" i="289"/>
  <c r="J268" i="289"/>
  <c r="B268" i="289"/>
  <c r="M267" i="289"/>
  <c r="J267" i="289"/>
  <c r="B267" i="289"/>
  <c r="M266" i="289"/>
  <c r="J266" i="289"/>
  <c r="B266" i="289"/>
  <c r="M265" i="289"/>
  <c r="J265" i="289"/>
  <c r="B265" i="289"/>
  <c r="M264" i="289"/>
  <c r="J264" i="289"/>
  <c r="B264" i="289"/>
  <c r="M263" i="289"/>
  <c r="J263" i="289"/>
  <c r="B263" i="289"/>
  <c r="M262" i="289"/>
  <c r="J262" i="289"/>
  <c r="B262" i="289"/>
  <c r="M261" i="289"/>
  <c r="J261" i="289"/>
  <c r="B261" i="289"/>
  <c r="M260" i="289"/>
  <c r="J260" i="289"/>
  <c r="B260" i="289"/>
  <c r="M259" i="289"/>
  <c r="J259" i="289"/>
  <c r="B259" i="289"/>
  <c r="M258" i="289"/>
  <c r="J258" i="289"/>
  <c r="B258" i="289"/>
  <c r="M257" i="289"/>
  <c r="J257" i="289"/>
  <c r="B257" i="289"/>
  <c r="M256" i="289"/>
  <c r="J256" i="289"/>
  <c r="B256" i="289"/>
  <c r="M255" i="289"/>
  <c r="J255" i="289"/>
  <c r="B255" i="289"/>
  <c r="M254" i="289"/>
  <c r="J254" i="289"/>
  <c r="B254" i="289"/>
  <c r="M253" i="289"/>
  <c r="J253" i="289"/>
  <c r="B253" i="289"/>
  <c r="M252" i="289"/>
  <c r="J252" i="289"/>
  <c r="B252" i="289"/>
  <c r="M251" i="289"/>
  <c r="J251" i="289"/>
  <c r="B251" i="289"/>
  <c r="M250" i="289"/>
  <c r="J250" i="289"/>
  <c r="B250" i="289"/>
  <c r="M249" i="289"/>
  <c r="J249" i="289"/>
  <c r="B249" i="289"/>
  <c r="M248" i="289"/>
  <c r="J248" i="289"/>
  <c r="B248" i="289"/>
  <c r="M247" i="289"/>
  <c r="J247" i="289"/>
  <c r="B247" i="289"/>
  <c r="M246" i="289"/>
  <c r="J246" i="289"/>
  <c r="B246" i="289"/>
  <c r="M245" i="289"/>
  <c r="J245" i="289"/>
  <c r="B245" i="289"/>
  <c r="M244" i="289"/>
  <c r="J244" i="289"/>
  <c r="B244" i="289"/>
  <c r="M243" i="289"/>
  <c r="J243" i="289"/>
  <c r="B243" i="289"/>
  <c r="M242" i="289"/>
  <c r="J242" i="289"/>
  <c r="B242" i="289"/>
  <c r="M241" i="289"/>
  <c r="J241" i="289"/>
  <c r="B241" i="289"/>
  <c r="M240" i="289"/>
  <c r="J240" i="289"/>
  <c r="B240" i="289"/>
  <c r="M239" i="289"/>
  <c r="J239" i="289"/>
  <c r="B239" i="289"/>
  <c r="M238" i="289"/>
  <c r="J238" i="289"/>
  <c r="B238" i="289"/>
  <c r="M237" i="289"/>
  <c r="J237" i="289"/>
  <c r="M236" i="289"/>
  <c r="J236" i="289"/>
  <c r="B236" i="289"/>
  <c r="M235" i="289"/>
  <c r="J235" i="289"/>
  <c r="B235" i="289"/>
  <c r="M234" i="289"/>
  <c r="J234" i="289"/>
  <c r="B234" i="289"/>
  <c r="M233" i="289"/>
  <c r="J233" i="289"/>
  <c r="B233" i="289"/>
  <c r="M232" i="289"/>
  <c r="J232" i="289"/>
  <c r="B232" i="289"/>
  <c r="M231" i="289"/>
  <c r="J231" i="289"/>
  <c r="B231" i="289"/>
  <c r="M230" i="289"/>
  <c r="J230" i="289"/>
  <c r="B230" i="289"/>
  <c r="M229" i="289"/>
  <c r="J229" i="289"/>
  <c r="B229" i="289"/>
  <c r="M228" i="289"/>
  <c r="J228" i="289"/>
  <c r="B228" i="289"/>
  <c r="M227" i="289"/>
  <c r="J227" i="289"/>
  <c r="B227" i="289"/>
  <c r="M226" i="289"/>
  <c r="J226" i="289"/>
  <c r="B226" i="289"/>
  <c r="M225" i="289"/>
  <c r="J225" i="289"/>
  <c r="B225" i="289"/>
  <c r="M224" i="289"/>
  <c r="J224" i="289"/>
  <c r="B224" i="289"/>
  <c r="M223" i="289"/>
  <c r="J223" i="289"/>
  <c r="B223" i="289"/>
  <c r="M222" i="289"/>
  <c r="J222" i="289"/>
  <c r="B222" i="289"/>
  <c r="M221" i="289"/>
  <c r="J221" i="289"/>
  <c r="B221" i="289"/>
  <c r="M220" i="289"/>
  <c r="J220" i="289"/>
  <c r="B220" i="289"/>
  <c r="M219" i="289"/>
  <c r="J219" i="289"/>
  <c r="B219" i="289"/>
  <c r="M218" i="289"/>
  <c r="J218" i="289"/>
  <c r="B218" i="289"/>
  <c r="M217" i="289"/>
  <c r="J217" i="289"/>
  <c r="B217" i="289"/>
  <c r="M216" i="289"/>
  <c r="J216" i="289"/>
  <c r="B216" i="289"/>
  <c r="M215" i="289"/>
  <c r="J215" i="289"/>
  <c r="B215" i="289"/>
  <c r="M214" i="289"/>
  <c r="J214" i="289"/>
  <c r="B214" i="289"/>
  <c r="M213" i="289"/>
  <c r="J213" i="289"/>
  <c r="B213" i="289"/>
  <c r="M212" i="289"/>
  <c r="J212" i="289"/>
  <c r="B212" i="289"/>
  <c r="M211" i="289"/>
  <c r="J211" i="289"/>
  <c r="B211" i="289"/>
  <c r="M210" i="289"/>
  <c r="J210" i="289"/>
  <c r="B210" i="289"/>
  <c r="M209" i="289"/>
  <c r="J209" i="289"/>
  <c r="B209" i="289"/>
  <c r="M208" i="289"/>
  <c r="J208" i="289"/>
  <c r="B208" i="289"/>
  <c r="M207" i="289"/>
  <c r="J207" i="289"/>
  <c r="B207" i="289"/>
  <c r="M206" i="289"/>
  <c r="J206" i="289"/>
  <c r="B206" i="289"/>
  <c r="M205" i="289"/>
  <c r="J205" i="289"/>
  <c r="B205" i="289"/>
  <c r="M204" i="289"/>
  <c r="J204" i="289"/>
  <c r="B204" i="289"/>
  <c r="M203" i="289"/>
  <c r="J203" i="289"/>
  <c r="B203" i="289"/>
  <c r="M202" i="289"/>
  <c r="J202" i="289"/>
  <c r="B202" i="289"/>
  <c r="M201" i="289"/>
  <c r="J201" i="289"/>
  <c r="B201" i="289"/>
  <c r="M200" i="289"/>
  <c r="J200" i="289"/>
  <c r="B200" i="289"/>
  <c r="M199" i="289"/>
  <c r="J199" i="289"/>
  <c r="B199" i="289"/>
  <c r="M198" i="289"/>
  <c r="J198" i="289"/>
  <c r="B198" i="289"/>
  <c r="M197" i="289"/>
  <c r="J197" i="289"/>
  <c r="B197" i="289"/>
  <c r="M196" i="289"/>
  <c r="J196" i="289"/>
  <c r="B196" i="289"/>
  <c r="M195" i="289"/>
  <c r="J195" i="289"/>
  <c r="M194" i="289"/>
  <c r="J194" i="289"/>
  <c r="B194" i="289"/>
  <c r="M193" i="289"/>
  <c r="L193" i="289"/>
  <c r="K193" i="289"/>
  <c r="J193" i="289"/>
  <c r="I193" i="289"/>
  <c r="H193" i="289"/>
  <c r="G193" i="289"/>
  <c r="B193" i="289"/>
  <c r="M192" i="289"/>
  <c r="J192" i="289"/>
  <c r="M191" i="289"/>
  <c r="J191" i="289"/>
  <c r="M190" i="289"/>
  <c r="J190" i="289"/>
  <c r="M189" i="289"/>
  <c r="J189" i="289"/>
  <c r="M188" i="289"/>
  <c r="J188" i="289"/>
  <c r="M187" i="289"/>
  <c r="J187" i="289"/>
  <c r="M186" i="289"/>
  <c r="J186" i="289"/>
  <c r="H186" i="289"/>
  <c r="M185" i="289"/>
  <c r="J185" i="289"/>
  <c r="M184" i="289"/>
  <c r="J184" i="289"/>
  <c r="M183" i="289"/>
  <c r="J183" i="289"/>
  <c r="M182" i="289"/>
  <c r="J182" i="289"/>
  <c r="M181" i="289"/>
  <c r="J181" i="289"/>
  <c r="M180" i="289"/>
  <c r="J180" i="289"/>
  <c r="M179" i="289"/>
  <c r="J179" i="289"/>
  <c r="M178" i="289"/>
  <c r="J178" i="289"/>
  <c r="M177" i="289"/>
  <c r="J177" i="289"/>
  <c r="M176" i="289"/>
  <c r="J176" i="289"/>
  <c r="M175" i="289"/>
  <c r="J175" i="289"/>
  <c r="M174" i="289"/>
  <c r="J174" i="289"/>
  <c r="M173" i="289"/>
  <c r="J173" i="289"/>
  <c r="M172" i="289"/>
  <c r="J172" i="289"/>
  <c r="M171" i="289"/>
  <c r="J171" i="289"/>
  <c r="M170" i="289"/>
  <c r="J170" i="289"/>
  <c r="M169" i="289"/>
  <c r="J169" i="289"/>
  <c r="H169" i="289"/>
  <c r="M168" i="289"/>
  <c r="J168" i="289"/>
  <c r="M167" i="289"/>
  <c r="J167" i="289"/>
  <c r="M166" i="289"/>
  <c r="J166" i="289"/>
  <c r="M165" i="289"/>
  <c r="J165" i="289"/>
  <c r="M164" i="289"/>
  <c r="J164" i="289"/>
  <c r="M163" i="289"/>
  <c r="J163" i="289"/>
  <c r="M162" i="289"/>
  <c r="J162" i="289"/>
  <c r="G162" i="289"/>
  <c r="B162" i="289"/>
  <c r="M161" i="289"/>
  <c r="J161" i="289"/>
  <c r="G161" i="289"/>
  <c r="B161" i="289"/>
  <c r="M160" i="289"/>
  <c r="J160" i="289"/>
  <c r="G160" i="289"/>
  <c r="B160" i="289"/>
  <c r="M159" i="289"/>
  <c r="J159" i="289"/>
  <c r="G159" i="289"/>
  <c r="B159" i="289"/>
  <c r="M158" i="289"/>
  <c r="J158" i="289"/>
  <c r="G158" i="289"/>
  <c r="B158" i="289"/>
  <c r="M157" i="289"/>
  <c r="J157" i="289"/>
  <c r="G157" i="289"/>
  <c r="B157" i="289"/>
  <c r="M156" i="289"/>
  <c r="J156" i="289"/>
  <c r="G156" i="289"/>
  <c r="B156" i="289"/>
  <c r="M155" i="289"/>
  <c r="J155" i="289"/>
  <c r="G155" i="289"/>
  <c r="B155" i="289"/>
  <c r="M154" i="289"/>
  <c r="J154" i="289"/>
  <c r="B154" i="289"/>
  <c r="M153" i="289"/>
  <c r="J153" i="289"/>
  <c r="B153" i="289"/>
  <c r="M152" i="289"/>
  <c r="J152" i="289"/>
  <c r="B152" i="289"/>
  <c r="M151" i="289"/>
  <c r="J151" i="289"/>
  <c r="B151" i="289"/>
  <c r="M150" i="289"/>
  <c r="J150" i="289"/>
  <c r="B150" i="289"/>
  <c r="M149" i="289"/>
  <c r="J149" i="289"/>
  <c r="B149" i="289"/>
  <c r="M148" i="289"/>
  <c r="J148" i="289"/>
  <c r="B148" i="289"/>
  <c r="M147" i="289"/>
  <c r="J147" i="289"/>
  <c r="B147" i="289"/>
  <c r="M146" i="289"/>
  <c r="J146" i="289"/>
  <c r="B146" i="289"/>
  <c r="M145" i="289"/>
  <c r="J145" i="289"/>
  <c r="B145" i="289"/>
  <c r="M144" i="289"/>
  <c r="J144" i="289"/>
  <c r="B144" i="289"/>
  <c r="M143" i="289"/>
  <c r="J143" i="289"/>
  <c r="B143" i="289"/>
  <c r="M142" i="289"/>
  <c r="J142" i="289"/>
  <c r="B142" i="289"/>
  <c r="M141" i="289"/>
  <c r="J141" i="289"/>
  <c r="B141" i="289"/>
  <c r="M140" i="289"/>
  <c r="J140" i="289"/>
  <c r="M139" i="289"/>
  <c r="J139" i="289"/>
  <c r="B139" i="289"/>
  <c r="M138" i="289"/>
  <c r="J138" i="289"/>
  <c r="B138" i="289"/>
  <c r="M137" i="289"/>
  <c r="J137" i="289"/>
  <c r="B137" i="289"/>
  <c r="M136" i="289"/>
  <c r="J136" i="289"/>
  <c r="B136" i="289"/>
  <c r="M135" i="289"/>
  <c r="J135" i="289"/>
  <c r="B135" i="289"/>
  <c r="M134" i="289"/>
  <c r="J134" i="289"/>
  <c r="B134" i="289"/>
  <c r="M133" i="289"/>
  <c r="J133" i="289"/>
  <c r="B133" i="289"/>
  <c r="M132" i="289"/>
  <c r="J132" i="289"/>
  <c r="B132" i="289"/>
  <c r="M131" i="289"/>
  <c r="J131" i="289"/>
  <c r="B131" i="289"/>
  <c r="M130" i="289"/>
  <c r="J130" i="289"/>
  <c r="B130" i="289"/>
  <c r="M129" i="289"/>
  <c r="J129" i="289"/>
  <c r="B129" i="289"/>
  <c r="M128" i="289"/>
  <c r="J128" i="289"/>
  <c r="B128" i="289"/>
  <c r="M127" i="289"/>
  <c r="J127" i="289"/>
  <c r="B127" i="289"/>
  <c r="M126" i="289"/>
  <c r="J126" i="289"/>
  <c r="B126" i="289"/>
  <c r="M125" i="289"/>
  <c r="J125" i="289"/>
  <c r="B125" i="289"/>
  <c r="M124" i="289"/>
  <c r="J124" i="289"/>
  <c r="B124" i="289"/>
  <c r="M123" i="289"/>
  <c r="J123" i="289"/>
  <c r="B123" i="289"/>
  <c r="M122" i="289"/>
  <c r="J122" i="289"/>
  <c r="B122" i="289"/>
  <c r="M121" i="289"/>
  <c r="J121" i="289"/>
  <c r="B121" i="289"/>
  <c r="M120" i="289"/>
  <c r="J120" i="289"/>
  <c r="B120" i="289"/>
  <c r="M119" i="289"/>
  <c r="J119" i="289"/>
  <c r="B119" i="289"/>
  <c r="M118" i="289"/>
  <c r="J118" i="289"/>
  <c r="B118" i="289"/>
  <c r="M117" i="289"/>
  <c r="J117" i="289"/>
  <c r="B117" i="289"/>
  <c r="M116" i="289"/>
  <c r="J116" i="289"/>
  <c r="B116" i="289"/>
  <c r="M115" i="289"/>
  <c r="J115" i="289"/>
  <c r="B115" i="289"/>
  <c r="M114" i="289"/>
  <c r="J114" i="289"/>
  <c r="B114" i="289"/>
  <c r="M113" i="289"/>
  <c r="J113" i="289"/>
  <c r="B113" i="289"/>
  <c r="M112" i="289"/>
  <c r="J112" i="289"/>
  <c r="B112" i="289"/>
  <c r="M111" i="289"/>
  <c r="J111" i="289"/>
  <c r="B111" i="289"/>
  <c r="M110" i="289"/>
  <c r="J110" i="289"/>
  <c r="B110" i="289"/>
  <c r="M109" i="289"/>
  <c r="J109" i="289"/>
  <c r="B109" i="289"/>
  <c r="M108" i="289"/>
  <c r="J108" i="289"/>
  <c r="B108" i="289"/>
  <c r="M107" i="289"/>
  <c r="J107" i="289"/>
  <c r="B107" i="289"/>
  <c r="M106" i="289"/>
  <c r="J106" i="289"/>
  <c r="B106" i="289"/>
  <c r="M105" i="289"/>
  <c r="J105" i="289"/>
  <c r="B105" i="289"/>
  <c r="M104" i="289"/>
  <c r="J104" i="289"/>
  <c r="B104" i="289"/>
  <c r="M103" i="289"/>
  <c r="J103" i="289"/>
  <c r="B103" i="289"/>
  <c r="M102" i="289"/>
  <c r="J102" i="289"/>
  <c r="B102" i="289"/>
  <c r="M101" i="289"/>
  <c r="J101" i="289"/>
  <c r="B101" i="289"/>
  <c r="M100" i="289"/>
  <c r="J100" i="289"/>
  <c r="B100" i="289"/>
  <c r="M99" i="289"/>
  <c r="J99" i="289"/>
  <c r="B99" i="289"/>
  <c r="M98" i="289"/>
  <c r="J98" i="289"/>
  <c r="M97" i="289"/>
  <c r="J97" i="289"/>
  <c r="B97" i="289"/>
  <c r="M96" i="289"/>
  <c r="J96" i="289"/>
  <c r="B96" i="289"/>
  <c r="M95" i="289"/>
  <c r="J95" i="289"/>
  <c r="B95" i="289"/>
  <c r="M94" i="289"/>
  <c r="J94" i="289"/>
  <c r="B94" i="289"/>
  <c r="M93" i="289"/>
  <c r="J93" i="289"/>
  <c r="B93" i="289"/>
  <c r="M92" i="289"/>
  <c r="J92" i="289"/>
  <c r="B92" i="289"/>
  <c r="M91" i="289"/>
  <c r="J91" i="289"/>
  <c r="B91" i="289"/>
  <c r="M90" i="289"/>
  <c r="J90" i="289"/>
  <c r="B90" i="289"/>
  <c r="M89" i="289"/>
  <c r="J89" i="289"/>
  <c r="B89" i="289"/>
  <c r="M88" i="289"/>
  <c r="J88" i="289"/>
  <c r="B88" i="289"/>
  <c r="M87" i="289"/>
  <c r="J87" i="289"/>
  <c r="B87" i="289"/>
  <c r="M86" i="289"/>
  <c r="J86" i="289"/>
  <c r="B86" i="289"/>
  <c r="M85" i="289"/>
  <c r="J85" i="289"/>
  <c r="B85" i="289"/>
  <c r="M84" i="289"/>
  <c r="J84" i="289"/>
  <c r="B84" i="289"/>
  <c r="M83" i="289"/>
  <c r="J83" i="289"/>
  <c r="B83" i="289"/>
  <c r="M82" i="289"/>
  <c r="J82" i="289"/>
  <c r="B82" i="289"/>
  <c r="M81" i="289"/>
  <c r="J81" i="289"/>
  <c r="B81" i="289"/>
  <c r="M80" i="289"/>
  <c r="J80" i="289"/>
  <c r="B80" i="289"/>
  <c r="M79" i="289"/>
  <c r="J79" i="289"/>
  <c r="B79" i="289"/>
  <c r="M78" i="289"/>
  <c r="J78" i="289"/>
  <c r="B78" i="289"/>
  <c r="M77" i="289"/>
  <c r="J77" i="289"/>
  <c r="B77" i="289"/>
  <c r="M76" i="289"/>
  <c r="J76" i="289"/>
  <c r="B76" i="289"/>
  <c r="M75" i="289"/>
  <c r="J75" i="289"/>
  <c r="B75" i="289"/>
  <c r="M74" i="289"/>
  <c r="J74" i="289"/>
  <c r="B74" i="289"/>
  <c r="M73" i="289"/>
  <c r="J73" i="289"/>
  <c r="B73" i="289"/>
  <c r="M72" i="289"/>
  <c r="J72" i="289"/>
  <c r="B72" i="289"/>
  <c r="M71" i="289"/>
  <c r="J71" i="289"/>
  <c r="B71" i="289"/>
  <c r="M70" i="289"/>
  <c r="J70" i="289"/>
  <c r="B70" i="289"/>
  <c r="M69" i="289"/>
  <c r="J69" i="289"/>
  <c r="B69" i="289"/>
  <c r="M68" i="289"/>
  <c r="J68" i="289"/>
  <c r="B68" i="289"/>
  <c r="M67" i="289"/>
  <c r="J67" i="289"/>
  <c r="B67" i="289"/>
  <c r="M66" i="289"/>
  <c r="J66" i="289"/>
  <c r="B66" i="289"/>
  <c r="M65" i="289"/>
  <c r="J65" i="289"/>
  <c r="B65" i="289"/>
  <c r="M64" i="289"/>
  <c r="J64" i="289"/>
  <c r="B64" i="289"/>
  <c r="M63" i="289"/>
  <c r="J63" i="289"/>
  <c r="B63" i="289"/>
  <c r="M62" i="289"/>
  <c r="J62" i="289"/>
  <c r="B62" i="289"/>
  <c r="M61" i="289"/>
  <c r="J61" i="289"/>
  <c r="B61" i="289"/>
  <c r="M60" i="289"/>
  <c r="J60" i="289"/>
  <c r="B60" i="289"/>
  <c r="M59" i="289"/>
  <c r="J59" i="289"/>
  <c r="B59" i="289"/>
  <c r="M58" i="289"/>
  <c r="J58" i="289"/>
  <c r="B58" i="289"/>
  <c r="M57" i="289"/>
  <c r="J57" i="289"/>
  <c r="B57" i="289"/>
  <c r="M56" i="289"/>
  <c r="J56" i="289"/>
  <c r="M55" i="289"/>
  <c r="J55" i="289"/>
  <c r="B55" i="289"/>
  <c r="M54" i="289"/>
  <c r="J54" i="289"/>
  <c r="B54" i="289"/>
  <c r="M53" i="289"/>
  <c r="J53" i="289"/>
  <c r="B53" i="289"/>
  <c r="M52" i="289"/>
  <c r="J52" i="289"/>
  <c r="B52" i="289"/>
  <c r="M51" i="289"/>
  <c r="J51" i="289"/>
  <c r="B51" i="289"/>
  <c r="M50" i="289"/>
  <c r="J50" i="289"/>
  <c r="B50" i="289"/>
  <c r="M49" i="289"/>
  <c r="J49" i="289"/>
  <c r="B49" i="289"/>
  <c r="M48" i="289"/>
  <c r="J48" i="289"/>
  <c r="B48" i="289"/>
  <c r="M47" i="289"/>
  <c r="J47" i="289"/>
  <c r="B47" i="289"/>
  <c r="M46" i="289"/>
  <c r="J46" i="289"/>
  <c r="B46" i="289"/>
  <c r="M45" i="289"/>
  <c r="J45" i="289"/>
  <c r="B45" i="289"/>
  <c r="M44" i="289"/>
  <c r="J44" i="289"/>
  <c r="B44" i="289"/>
  <c r="M43" i="289"/>
  <c r="J43" i="289"/>
  <c r="B43" i="289"/>
  <c r="M42" i="289"/>
  <c r="J42" i="289"/>
  <c r="B42" i="289"/>
  <c r="M41" i="289"/>
  <c r="J41" i="289"/>
  <c r="B41" i="289"/>
  <c r="M40" i="289"/>
  <c r="J40" i="289"/>
  <c r="B40" i="289"/>
  <c r="M39" i="289"/>
  <c r="J39" i="289"/>
  <c r="B39" i="289"/>
  <c r="M38" i="289"/>
  <c r="J38" i="289"/>
  <c r="B38" i="289"/>
  <c r="M37" i="289"/>
  <c r="J37" i="289"/>
  <c r="B37" i="289"/>
  <c r="M36" i="289"/>
  <c r="J36" i="289"/>
  <c r="B36" i="289"/>
  <c r="M35" i="289"/>
  <c r="J35" i="289"/>
  <c r="B35" i="289"/>
  <c r="M34" i="289"/>
  <c r="J34" i="289"/>
  <c r="B34" i="289"/>
  <c r="M33" i="289"/>
  <c r="J33" i="289"/>
  <c r="B33" i="289"/>
  <c r="M32" i="289"/>
  <c r="J32" i="289"/>
  <c r="B32" i="289"/>
  <c r="M31" i="289"/>
  <c r="J31" i="289"/>
  <c r="B31" i="289"/>
  <c r="M30" i="289"/>
  <c r="J30" i="289"/>
  <c r="B30" i="289"/>
  <c r="M29" i="289"/>
  <c r="J29" i="289"/>
  <c r="B29" i="289"/>
  <c r="M28" i="289"/>
  <c r="J28" i="289"/>
  <c r="B28" i="289"/>
  <c r="M27" i="289"/>
  <c r="J27" i="289"/>
  <c r="B27" i="289"/>
  <c r="M26" i="289"/>
  <c r="J26" i="289"/>
  <c r="B26" i="289"/>
  <c r="M25" i="289"/>
  <c r="J25" i="289"/>
  <c r="B25" i="289"/>
  <c r="M24" i="289"/>
  <c r="J24" i="289"/>
  <c r="B24" i="289"/>
  <c r="M23" i="289"/>
  <c r="J23" i="289"/>
  <c r="B23" i="289"/>
  <c r="M22" i="289"/>
  <c r="J22" i="289"/>
  <c r="B22" i="289"/>
  <c r="M21" i="289"/>
  <c r="J21" i="289"/>
  <c r="B21" i="289"/>
  <c r="M20" i="289"/>
  <c r="J20" i="289"/>
  <c r="B20" i="289"/>
  <c r="M19" i="289"/>
  <c r="J19" i="289"/>
  <c r="B19" i="289"/>
  <c r="M18" i="289"/>
  <c r="J18" i="289"/>
  <c r="B18" i="289"/>
  <c r="M17" i="289"/>
  <c r="J17" i="289"/>
  <c r="B17" i="289"/>
  <c r="M16" i="289"/>
  <c r="J16" i="289"/>
  <c r="B16" i="289"/>
  <c r="M15" i="289"/>
  <c r="J15" i="289"/>
  <c r="B15" i="289"/>
  <c r="O14" i="289"/>
  <c r="M14" i="289"/>
  <c r="J14" i="289"/>
  <c r="O13" i="289"/>
  <c r="M13" i="289"/>
  <c r="J13" i="289"/>
  <c r="P462" i="296"/>
  <c r="L454" i="296"/>
  <c r="K454" i="296"/>
  <c r="J454" i="296"/>
  <c r="I454" i="296"/>
  <c r="H454" i="296"/>
  <c r="G454" i="296"/>
  <c r="L453" i="296"/>
  <c r="K453" i="296"/>
  <c r="L452" i="296"/>
  <c r="K452" i="296"/>
  <c r="L451" i="296"/>
  <c r="K451" i="296"/>
  <c r="L450" i="296"/>
  <c r="K450" i="296"/>
  <c r="L449" i="296"/>
  <c r="K449" i="296"/>
  <c r="L448" i="296"/>
  <c r="K448" i="296"/>
  <c r="L447" i="296"/>
  <c r="K447" i="296"/>
  <c r="L446" i="296"/>
  <c r="K446" i="296"/>
  <c r="L445" i="296"/>
  <c r="K445" i="296"/>
  <c r="L444" i="296"/>
  <c r="K444" i="296"/>
  <c r="J444" i="296"/>
  <c r="I444" i="296"/>
  <c r="H444" i="296"/>
  <c r="G444" i="296"/>
  <c r="L443" i="296"/>
  <c r="K443" i="296"/>
  <c r="L442" i="296"/>
  <c r="K442" i="296"/>
  <c r="L441" i="296"/>
  <c r="K441" i="296"/>
  <c r="L440" i="296"/>
  <c r="K440" i="296"/>
  <c r="L439" i="296"/>
  <c r="K439" i="296"/>
  <c r="L438" i="296"/>
  <c r="K438" i="296"/>
  <c r="L437" i="296"/>
  <c r="K437" i="296"/>
  <c r="L436" i="296"/>
  <c r="K436" i="296"/>
  <c r="L435" i="296"/>
  <c r="K435" i="296"/>
  <c r="L434" i="296"/>
  <c r="K434" i="296"/>
  <c r="L433" i="296"/>
  <c r="K433" i="296"/>
  <c r="L432" i="296"/>
  <c r="K432" i="296"/>
  <c r="L431" i="296"/>
  <c r="K431" i="296"/>
  <c r="L430" i="296"/>
  <c r="K430" i="296"/>
  <c r="L429" i="296"/>
  <c r="K429" i="296"/>
  <c r="L428" i="296"/>
  <c r="K428" i="296"/>
  <c r="L427" i="296"/>
  <c r="K427" i="296"/>
  <c r="L426" i="296"/>
  <c r="K426" i="296"/>
  <c r="L425" i="296"/>
  <c r="K425" i="296"/>
  <c r="L424" i="296"/>
  <c r="K424" i="296"/>
  <c r="L423" i="296"/>
  <c r="K423" i="296"/>
  <c r="L422" i="296"/>
  <c r="K422" i="296"/>
  <c r="L421" i="296"/>
  <c r="K421" i="296"/>
  <c r="L420" i="296"/>
  <c r="K420" i="296"/>
  <c r="L419" i="296"/>
  <c r="K419" i="296"/>
  <c r="L418" i="296"/>
  <c r="K418" i="296"/>
  <c r="L417" i="296"/>
  <c r="K417" i="296"/>
  <c r="L416" i="296"/>
  <c r="K416" i="296"/>
  <c r="L415" i="296"/>
  <c r="K415" i="296"/>
  <c r="L414" i="296"/>
  <c r="K414" i="296"/>
  <c r="L413" i="296"/>
  <c r="K413" i="296"/>
  <c r="L412" i="296"/>
  <c r="K412" i="296"/>
  <c r="L411" i="296"/>
  <c r="K411" i="296"/>
  <c r="L410" i="296"/>
  <c r="K410" i="296"/>
  <c r="L409" i="296"/>
  <c r="K409" i="296"/>
  <c r="L408" i="296"/>
  <c r="K408" i="296"/>
  <c r="L407" i="296"/>
  <c r="K407" i="296"/>
  <c r="L406" i="296"/>
  <c r="K406" i="296"/>
  <c r="L405" i="296"/>
  <c r="K405" i="296"/>
  <c r="L404" i="296"/>
  <c r="K404" i="296"/>
  <c r="L403" i="296"/>
  <c r="K403" i="296"/>
  <c r="L402" i="296"/>
  <c r="K402" i="296"/>
  <c r="L401" i="296"/>
  <c r="K401" i="296"/>
  <c r="L400" i="296"/>
  <c r="K400" i="296"/>
  <c r="L399" i="296"/>
  <c r="K399" i="296"/>
  <c r="L398" i="296"/>
  <c r="K398" i="296"/>
  <c r="L397" i="296"/>
  <c r="K397" i="296"/>
  <c r="L396" i="296"/>
  <c r="K396" i="296"/>
  <c r="L395" i="296"/>
  <c r="K395" i="296"/>
  <c r="L394" i="296"/>
  <c r="K394" i="296"/>
  <c r="L393" i="296"/>
  <c r="K393" i="296"/>
  <c r="L392" i="296"/>
  <c r="K392" i="296"/>
  <c r="L391" i="296"/>
  <c r="K391" i="296"/>
  <c r="L390" i="296"/>
  <c r="K390" i="296"/>
  <c r="L389" i="296"/>
  <c r="K389" i="296"/>
  <c r="L388" i="296"/>
  <c r="K388" i="296"/>
  <c r="L387" i="296"/>
  <c r="K387" i="296"/>
  <c r="J387" i="296"/>
  <c r="I387" i="296"/>
  <c r="H387" i="296"/>
  <c r="G387" i="296"/>
  <c r="L386" i="296"/>
  <c r="K386" i="296"/>
  <c r="L385" i="296"/>
  <c r="K385" i="296"/>
  <c r="L384" i="296"/>
  <c r="K384" i="296"/>
  <c r="L383" i="296"/>
  <c r="K383" i="296"/>
  <c r="L382" i="296"/>
  <c r="K382" i="296"/>
  <c r="L381" i="296"/>
  <c r="K381" i="296"/>
  <c r="L380" i="296"/>
  <c r="K380" i="296"/>
  <c r="L379" i="296"/>
  <c r="K379" i="296"/>
  <c r="J379" i="296"/>
  <c r="I379" i="296"/>
  <c r="H379" i="296"/>
  <c r="G379" i="296"/>
  <c r="L378" i="296"/>
  <c r="K378" i="296"/>
  <c r="L377" i="296"/>
  <c r="K377" i="296"/>
  <c r="L376" i="296"/>
  <c r="K376" i="296"/>
  <c r="L375" i="296"/>
  <c r="K375" i="296"/>
  <c r="L374" i="296"/>
  <c r="K374" i="296"/>
  <c r="L373" i="296"/>
  <c r="K373" i="296"/>
  <c r="L372" i="296"/>
  <c r="K372" i="296"/>
  <c r="L371" i="296"/>
  <c r="K371" i="296"/>
  <c r="L370" i="296"/>
  <c r="K370" i="296"/>
  <c r="L369" i="296"/>
  <c r="K369" i="296"/>
  <c r="L368" i="296"/>
  <c r="K368" i="296"/>
  <c r="L367" i="296"/>
  <c r="K367" i="296"/>
  <c r="L366" i="296"/>
  <c r="K366" i="296"/>
  <c r="L365" i="296"/>
  <c r="K365" i="296"/>
  <c r="L364" i="296"/>
  <c r="K364" i="296"/>
  <c r="L363" i="296"/>
  <c r="K363" i="296"/>
  <c r="L362" i="296"/>
  <c r="K362" i="296"/>
  <c r="L361" i="296"/>
  <c r="K361" i="296"/>
  <c r="L360" i="296"/>
  <c r="K360" i="296"/>
  <c r="L359" i="296"/>
  <c r="K359" i="296"/>
  <c r="L358" i="296"/>
  <c r="K358" i="296"/>
  <c r="L357" i="296"/>
  <c r="K357" i="296"/>
  <c r="L356" i="296"/>
  <c r="K356" i="296"/>
  <c r="L355" i="296"/>
  <c r="K355" i="296"/>
  <c r="L354" i="296"/>
  <c r="K354" i="296"/>
  <c r="L353" i="296"/>
  <c r="K353" i="296"/>
  <c r="L352" i="296"/>
  <c r="K352" i="296"/>
  <c r="L351" i="296"/>
  <c r="K351" i="296"/>
  <c r="L350" i="296"/>
  <c r="K350" i="296"/>
  <c r="L349" i="296"/>
  <c r="K349" i="296"/>
  <c r="L348" i="296"/>
  <c r="K348" i="296"/>
  <c r="L347" i="296"/>
  <c r="K347" i="296"/>
  <c r="L346" i="296"/>
  <c r="K346" i="296"/>
  <c r="L345" i="296"/>
  <c r="K345" i="296"/>
  <c r="L344" i="296"/>
  <c r="K344" i="296"/>
  <c r="L343" i="296"/>
  <c r="K343" i="296"/>
  <c r="L342" i="296"/>
  <c r="K342" i="296"/>
  <c r="L341" i="296"/>
  <c r="K341" i="296"/>
  <c r="L340" i="296"/>
  <c r="K340" i="296"/>
  <c r="L339" i="296"/>
  <c r="K339" i="296"/>
  <c r="L338" i="296"/>
  <c r="K338" i="296"/>
  <c r="L337" i="296"/>
  <c r="K337" i="296"/>
  <c r="L336" i="296"/>
  <c r="K336" i="296"/>
  <c r="L335" i="296"/>
  <c r="K335" i="296"/>
  <c r="L334" i="296"/>
  <c r="K334" i="296"/>
  <c r="L333" i="296"/>
  <c r="K333" i="296"/>
  <c r="L332" i="296"/>
  <c r="K332" i="296"/>
  <c r="L331" i="296"/>
  <c r="K331" i="296"/>
  <c r="L330" i="296"/>
  <c r="K330" i="296"/>
  <c r="L329" i="296"/>
  <c r="K329" i="296"/>
  <c r="L328" i="296"/>
  <c r="K328" i="296"/>
  <c r="L327" i="296"/>
  <c r="K327" i="296"/>
  <c r="L326" i="296"/>
  <c r="K326" i="296"/>
  <c r="L325" i="296"/>
  <c r="K325" i="296"/>
  <c r="L324" i="296"/>
  <c r="K324" i="296"/>
  <c r="L323" i="296"/>
  <c r="K323" i="296"/>
  <c r="L322" i="296"/>
  <c r="K322" i="296"/>
  <c r="L321" i="296"/>
  <c r="K321" i="296"/>
  <c r="L320" i="296"/>
  <c r="K320" i="296"/>
  <c r="L319" i="296"/>
  <c r="K319" i="296"/>
  <c r="L318" i="296"/>
  <c r="K318" i="296"/>
  <c r="L317" i="296"/>
  <c r="K317" i="296"/>
  <c r="L316" i="296"/>
  <c r="K316" i="296"/>
  <c r="L315" i="296"/>
  <c r="K315" i="296"/>
  <c r="L314" i="296"/>
  <c r="K314" i="296"/>
  <c r="L313" i="296"/>
  <c r="K313" i="296"/>
  <c r="L312" i="296"/>
  <c r="K312" i="296"/>
  <c r="L311" i="296"/>
  <c r="K311" i="296"/>
  <c r="L310" i="296"/>
  <c r="K310" i="296"/>
  <c r="L309" i="296"/>
  <c r="K309" i="296"/>
  <c r="J309" i="296"/>
  <c r="I309" i="296"/>
  <c r="H309" i="296"/>
  <c r="G309" i="296"/>
  <c r="L308" i="296"/>
  <c r="K308" i="296"/>
  <c r="L307" i="296"/>
  <c r="K307" i="296"/>
  <c r="L306" i="296"/>
  <c r="K306" i="296"/>
  <c r="L305" i="296"/>
  <c r="K305" i="296"/>
  <c r="L304" i="296"/>
  <c r="K304" i="296"/>
  <c r="L303" i="296"/>
  <c r="K303" i="296"/>
  <c r="L302" i="296"/>
  <c r="K302" i="296"/>
  <c r="L301" i="296"/>
  <c r="K301" i="296"/>
  <c r="L300" i="296"/>
  <c r="K300" i="296"/>
  <c r="L299" i="296"/>
  <c r="K299" i="296"/>
  <c r="L298" i="296"/>
  <c r="K298" i="296"/>
  <c r="L297" i="296"/>
  <c r="K297" i="296"/>
  <c r="L296" i="296"/>
  <c r="K296" i="296"/>
  <c r="L295" i="296"/>
  <c r="K295" i="296"/>
  <c r="L294" i="296"/>
  <c r="K294" i="296"/>
  <c r="L293" i="296"/>
  <c r="K293" i="296"/>
  <c r="L292" i="296"/>
  <c r="K292" i="296"/>
  <c r="L291" i="296"/>
  <c r="K291" i="296"/>
  <c r="L290" i="296"/>
  <c r="K290" i="296"/>
  <c r="L289" i="296"/>
  <c r="K289" i="296"/>
  <c r="L288" i="296"/>
  <c r="K288" i="296"/>
  <c r="L287" i="296"/>
  <c r="K287" i="296"/>
  <c r="L286" i="296"/>
  <c r="K286" i="296"/>
  <c r="L285" i="296"/>
  <c r="K285" i="296"/>
  <c r="L284" i="296"/>
  <c r="K284" i="296"/>
  <c r="L283" i="296"/>
  <c r="K283" i="296"/>
  <c r="L282" i="296"/>
  <c r="K282" i="296"/>
  <c r="L281" i="296"/>
  <c r="K281" i="296"/>
  <c r="L280" i="296"/>
  <c r="K280" i="296"/>
  <c r="L279" i="296"/>
  <c r="K279" i="296"/>
  <c r="L278" i="296"/>
  <c r="K278" i="296"/>
  <c r="L277" i="296"/>
  <c r="K277" i="296"/>
  <c r="L276" i="296"/>
  <c r="K276" i="296"/>
  <c r="L275" i="296"/>
  <c r="K275" i="296"/>
  <c r="L274" i="296"/>
  <c r="K274" i="296"/>
  <c r="L273" i="296"/>
  <c r="K273" i="296"/>
  <c r="L272" i="296"/>
  <c r="K272" i="296"/>
  <c r="L271" i="296"/>
  <c r="K271" i="296"/>
  <c r="L270" i="296"/>
  <c r="K270" i="296"/>
  <c r="L269" i="296"/>
  <c r="K269" i="296"/>
  <c r="L268" i="296"/>
  <c r="K268" i="296"/>
  <c r="L267" i="296"/>
  <c r="K267" i="296"/>
  <c r="L266" i="296"/>
  <c r="K266" i="296"/>
  <c r="L265" i="296"/>
  <c r="K265" i="296"/>
  <c r="L264" i="296"/>
  <c r="K264" i="296"/>
  <c r="L263" i="296"/>
  <c r="K263" i="296"/>
  <c r="L262" i="296"/>
  <c r="K262" i="296"/>
  <c r="L261" i="296"/>
  <c r="K261" i="296"/>
  <c r="L260" i="296"/>
  <c r="K260" i="296"/>
  <c r="L259" i="296"/>
  <c r="K259" i="296"/>
  <c r="L258" i="296"/>
  <c r="K258" i="296"/>
  <c r="L257" i="296"/>
  <c r="K257" i="296"/>
  <c r="L256" i="296"/>
  <c r="K256" i="296"/>
  <c r="L255" i="296"/>
  <c r="K255" i="296"/>
  <c r="L254" i="296"/>
  <c r="K254" i="296"/>
  <c r="L253" i="296"/>
  <c r="K253" i="296"/>
  <c r="L252" i="296"/>
  <c r="K252" i="296"/>
  <c r="L251" i="296"/>
  <c r="K251" i="296"/>
  <c r="L250" i="296"/>
  <c r="K250" i="296"/>
  <c r="L249" i="296"/>
  <c r="K249" i="296"/>
  <c r="L248" i="296"/>
  <c r="K248" i="296"/>
  <c r="L247" i="296"/>
  <c r="K247" i="296"/>
  <c r="L246" i="296"/>
  <c r="K246" i="296"/>
  <c r="L245" i="296"/>
  <c r="K245" i="296"/>
  <c r="L244" i="296"/>
  <c r="K244" i="296"/>
  <c r="L243" i="296"/>
  <c r="K243" i="296"/>
  <c r="L242" i="296"/>
  <c r="K242" i="296"/>
  <c r="L241" i="296"/>
  <c r="K241" i="296"/>
  <c r="L240" i="296"/>
  <c r="K240" i="296"/>
  <c r="L239" i="296"/>
  <c r="K239" i="296"/>
  <c r="L238" i="296"/>
  <c r="K238" i="296"/>
  <c r="L237" i="296"/>
  <c r="K237" i="296"/>
  <c r="L236" i="296"/>
  <c r="K236" i="296"/>
  <c r="L235" i="296"/>
  <c r="K235" i="296"/>
  <c r="L234" i="296"/>
  <c r="K234" i="296"/>
  <c r="L233" i="296"/>
  <c r="K233" i="296"/>
  <c r="L232" i="296"/>
  <c r="K232" i="296"/>
  <c r="L231" i="296"/>
  <c r="K231" i="296"/>
  <c r="L230" i="296"/>
  <c r="K230" i="296"/>
  <c r="L229" i="296"/>
  <c r="K229" i="296"/>
  <c r="L228" i="296"/>
  <c r="K228" i="296"/>
  <c r="L227" i="296"/>
  <c r="K227" i="296"/>
  <c r="L226" i="296"/>
  <c r="K226" i="296"/>
  <c r="J226" i="296"/>
  <c r="I226" i="296"/>
  <c r="H226" i="296"/>
  <c r="G226" i="296"/>
  <c r="L225" i="296"/>
  <c r="K225" i="296"/>
  <c r="L224" i="296"/>
  <c r="K224" i="296"/>
  <c r="L223" i="296"/>
  <c r="K223" i="296"/>
  <c r="L222" i="296"/>
  <c r="K222" i="296"/>
  <c r="L221" i="296"/>
  <c r="K221" i="296"/>
  <c r="L220" i="296"/>
  <c r="K220" i="296"/>
  <c r="L219" i="296"/>
  <c r="K219" i="296"/>
  <c r="L218" i="296"/>
  <c r="K218" i="296"/>
  <c r="J218" i="296"/>
  <c r="I218" i="296"/>
  <c r="H218" i="296"/>
  <c r="G218" i="296"/>
  <c r="L217" i="296"/>
  <c r="K217" i="296"/>
  <c r="L216" i="296"/>
  <c r="K216" i="296"/>
  <c r="L215" i="296"/>
  <c r="K215" i="296"/>
  <c r="L214" i="296"/>
  <c r="K214" i="296"/>
  <c r="L213" i="296"/>
  <c r="K213" i="296"/>
  <c r="L212" i="296"/>
  <c r="K212" i="296"/>
  <c r="L211" i="296"/>
  <c r="K211" i="296"/>
  <c r="L210" i="296"/>
  <c r="K210" i="296"/>
  <c r="L209" i="296"/>
  <c r="K209" i="296"/>
  <c r="L208" i="296"/>
  <c r="K208" i="296"/>
  <c r="L207" i="296"/>
  <c r="K207" i="296"/>
  <c r="L206" i="296"/>
  <c r="K206" i="296"/>
  <c r="J206" i="296"/>
  <c r="I206" i="296"/>
  <c r="H206" i="296"/>
  <c r="G206" i="296"/>
  <c r="L205" i="296"/>
  <c r="K205" i="296"/>
  <c r="L204" i="296"/>
  <c r="K204" i="296"/>
  <c r="L203" i="296"/>
  <c r="K203" i="296"/>
  <c r="L202" i="296"/>
  <c r="K202" i="296"/>
  <c r="L201" i="296"/>
  <c r="K201" i="296"/>
  <c r="L200" i="296"/>
  <c r="K200" i="296"/>
  <c r="L199" i="296"/>
  <c r="K199" i="296"/>
  <c r="L198" i="296"/>
  <c r="K198" i="296"/>
  <c r="L197" i="296"/>
  <c r="K197" i="296"/>
  <c r="L196" i="296"/>
  <c r="K196" i="296"/>
  <c r="L195" i="296"/>
  <c r="K195" i="296"/>
  <c r="L194" i="296"/>
  <c r="K194" i="296"/>
  <c r="L193" i="296"/>
  <c r="K193" i="296"/>
  <c r="L192" i="296"/>
  <c r="K192" i="296"/>
  <c r="L191" i="296"/>
  <c r="K191" i="296"/>
  <c r="L190" i="296"/>
  <c r="K190" i="296"/>
  <c r="L189" i="296"/>
  <c r="K189" i="296"/>
  <c r="L188" i="296"/>
  <c r="K188" i="296"/>
  <c r="L187" i="296"/>
  <c r="K187" i="296"/>
  <c r="L186" i="296"/>
  <c r="K186" i="296"/>
  <c r="L185" i="296"/>
  <c r="K185" i="296"/>
  <c r="L184" i="296"/>
  <c r="K184" i="296"/>
  <c r="L183" i="296"/>
  <c r="K183" i="296"/>
  <c r="L182" i="296"/>
  <c r="K182" i="296"/>
  <c r="L181" i="296"/>
  <c r="K181" i="296"/>
  <c r="L180" i="296"/>
  <c r="K180" i="296"/>
  <c r="L179" i="296"/>
  <c r="K179" i="296"/>
  <c r="L178" i="296"/>
  <c r="K178" i="296"/>
  <c r="L177" i="296"/>
  <c r="K177" i="296"/>
  <c r="L176" i="296"/>
  <c r="K176" i="296"/>
  <c r="L175" i="296"/>
  <c r="K175" i="296"/>
  <c r="L174" i="296"/>
  <c r="K174" i="296"/>
  <c r="L173" i="296"/>
  <c r="K173" i="296"/>
  <c r="L172" i="296"/>
  <c r="K172" i="296"/>
  <c r="L171" i="296"/>
  <c r="K171" i="296"/>
  <c r="L170" i="296"/>
  <c r="K170" i="296"/>
  <c r="L169" i="296"/>
  <c r="K169" i="296"/>
  <c r="L168" i="296"/>
  <c r="K168" i="296"/>
  <c r="L167" i="296"/>
  <c r="K167" i="296"/>
  <c r="L166" i="296"/>
  <c r="K166" i="296"/>
  <c r="L165" i="296"/>
  <c r="K165" i="296"/>
  <c r="L164" i="296"/>
  <c r="K164" i="296"/>
  <c r="L163" i="296"/>
  <c r="K163" i="296"/>
  <c r="L162" i="296"/>
  <c r="K162" i="296"/>
  <c r="L161" i="296"/>
  <c r="K161" i="296"/>
  <c r="L160" i="296"/>
  <c r="K160" i="296"/>
  <c r="L159" i="296"/>
  <c r="K159" i="296"/>
  <c r="L158" i="296"/>
  <c r="K158" i="296"/>
  <c r="L157" i="296"/>
  <c r="K157" i="296"/>
  <c r="L156" i="296"/>
  <c r="K156" i="296"/>
  <c r="L155" i="296"/>
  <c r="K155" i="296"/>
  <c r="L154" i="296"/>
  <c r="K154" i="296"/>
  <c r="L153" i="296"/>
  <c r="K153" i="296"/>
  <c r="L152" i="296"/>
  <c r="K152" i="296"/>
  <c r="L151" i="296"/>
  <c r="K151" i="296"/>
  <c r="L150" i="296"/>
  <c r="K150" i="296"/>
  <c r="L149" i="296"/>
  <c r="K149" i="296"/>
  <c r="L148" i="296"/>
  <c r="K148" i="296"/>
  <c r="L147" i="296"/>
  <c r="K147" i="296"/>
  <c r="L146" i="296"/>
  <c r="K146" i="296"/>
  <c r="L145" i="296"/>
  <c r="K145" i="296"/>
  <c r="L144" i="296"/>
  <c r="K144" i="296"/>
  <c r="L143" i="296"/>
  <c r="K143" i="296"/>
  <c r="L142" i="296"/>
  <c r="K142" i="296"/>
  <c r="L141" i="296"/>
  <c r="K141" i="296"/>
  <c r="L140" i="296"/>
  <c r="K140" i="296"/>
  <c r="L139" i="296"/>
  <c r="K139" i="296"/>
  <c r="L138" i="296"/>
  <c r="K138" i="296"/>
  <c r="L137" i="296"/>
  <c r="K137" i="296"/>
  <c r="L136" i="296"/>
  <c r="K136" i="296"/>
  <c r="L135" i="296"/>
  <c r="K135" i="296"/>
  <c r="L134" i="296"/>
  <c r="K134" i="296"/>
  <c r="L133" i="296"/>
  <c r="K133" i="296"/>
  <c r="L132" i="296"/>
  <c r="K132" i="296"/>
  <c r="L131" i="296"/>
  <c r="K131" i="296"/>
  <c r="L130" i="296"/>
  <c r="K130" i="296"/>
  <c r="L129" i="296"/>
  <c r="K129" i="296"/>
  <c r="L128" i="296"/>
  <c r="K128" i="296"/>
  <c r="L127" i="296"/>
  <c r="K127" i="296"/>
  <c r="L126" i="296"/>
  <c r="K126" i="296"/>
  <c r="L125" i="296"/>
  <c r="K125" i="296"/>
  <c r="L124" i="296"/>
  <c r="K124" i="296"/>
  <c r="L123" i="296"/>
  <c r="K123" i="296"/>
  <c r="L122" i="296"/>
  <c r="K122" i="296"/>
  <c r="L121" i="296"/>
  <c r="K121" i="296"/>
  <c r="L120" i="296"/>
  <c r="K120" i="296"/>
  <c r="L119" i="296"/>
  <c r="K119" i="296"/>
  <c r="L118" i="296"/>
  <c r="K118" i="296"/>
  <c r="L117" i="296"/>
  <c r="K117" i="296"/>
  <c r="L116" i="296"/>
  <c r="K116" i="296"/>
  <c r="R115" i="296"/>
  <c r="L115" i="296"/>
  <c r="K115" i="296"/>
  <c r="R114" i="296"/>
  <c r="L114" i="296"/>
  <c r="K114" i="296"/>
  <c r="R113" i="296"/>
  <c r="L113" i="296"/>
  <c r="K113" i="296"/>
  <c r="R112" i="296"/>
  <c r="Q112" i="296"/>
  <c r="P112" i="296"/>
  <c r="O112" i="296"/>
  <c r="L112" i="296"/>
  <c r="K112" i="296"/>
  <c r="J112" i="296"/>
  <c r="I112" i="296"/>
  <c r="H112" i="296"/>
  <c r="G112" i="296"/>
  <c r="L111" i="296"/>
  <c r="K111" i="296"/>
  <c r="L110" i="296"/>
  <c r="K110" i="296"/>
  <c r="L109" i="296"/>
  <c r="K109" i="296"/>
  <c r="L108" i="296"/>
  <c r="K108" i="296"/>
  <c r="L107" i="296"/>
  <c r="K107" i="296"/>
  <c r="L106" i="296"/>
  <c r="K106" i="296"/>
  <c r="L105" i="296"/>
  <c r="K105" i="296"/>
  <c r="L104" i="296"/>
  <c r="K104" i="296"/>
  <c r="L103" i="296"/>
  <c r="K103" i="296"/>
  <c r="L102" i="296"/>
  <c r="K102" i="296"/>
  <c r="L101" i="296"/>
  <c r="K101" i="296"/>
  <c r="L100" i="296"/>
  <c r="K100" i="296"/>
  <c r="L99" i="296"/>
  <c r="K99" i="296"/>
  <c r="L98" i="296"/>
  <c r="K98" i="296"/>
  <c r="L97" i="296"/>
  <c r="K97" i="296"/>
  <c r="L96" i="296"/>
  <c r="K96" i="296"/>
  <c r="L95" i="296"/>
  <c r="K95" i="296"/>
  <c r="L94" i="296"/>
  <c r="K94" i="296"/>
  <c r="L93" i="296"/>
  <c r="K93" i="296"/>
  <c r="L92" i="296"/>
  <c r="K92" i="296"/>
  <c r="L91" i="296"/>
  <c r="K91" i="296"/>
  <c r="L90" i="296"/>
  <c r="K90" i="296"/>
  <c r="L89" i="296"/>
  <c r="K89" i="296"/>
  <c r="L88" i="296"/>
  <c r="K88" i="296"/>
  <c r="L87" i="296"/>
  <c r="K87" i="296"/>
  <c r="L86" i="296"/>
  <c r="K86" i="296"/>
  <c r="L85" i="296"/>
  <c r="K85" i="296"/>
  <c r="L84" i="296"/>
  <c r="K84" i="296"/>
  <c r="L83" i="296"/>
  <c r="K83" i="296"/>
  <c r="L82" i="296"/>
  <c r="K82" i="296"/>
  <c r="L81" i="296"/>
  <c r="K81" i="296"/>
  <c r="L80" i="296"/>
  <c r="K80" i="296"/>
  <c r="L79" i="296"/>
  <c r="K79" i="296"/>
  <c r="L78" i="296"/>
  <c r="K78" i="296"/>
  <c r="L77" i="296"/>
  <c r="K77" i="296"/>
  <c r="L76" i="296"/>
  <c r="K76" i="296"/>
  <c r="L75" i="296"/>
  <c r="K75" i="296"/>
  <c r="L74" i="296"/>
  <c r="K74" i="296"/>
  <c r="L73" i="296"/>
  <c r="K73" i="296"/>
  <c r="L72" i="296"/>
  <c r="K72" i="296"/>
  <c r="L71" i="296"/>
  <c r="K71" i="296"/>
  <c r="L70" i="296"/>
  <c r="K70" i="296"/>
  <c r="L69" i="296"/>
  <c r="K69" i="296"/>
  <c r="L68" i="296"/>
  <c r="K68" i="296"/>
  <c r="L67" i="296"/>
  <c r="K67" i="296"/>
  <c r="L66" i="296"/>
  <c r="K66" i="296"/>
  <c r="L65" i="296"/>
  <c r="K65" i="296"/>
  <c r="L64" i="296"/>
  <c r="K64" i="296"/>
  <c r="P63" i="296"/>
  <c r="L63" i="296"/>
  <c r="K63" i="296"/>
  <c r="P62" i="296"/>
  <c r="L62" i="296"/>
  <c r="K62" i="296"/>
  <c r="P61" i="296"/>
  <c r="L61" i="296"/>
  <c r="K61" i="296"/>
  <c r="L60" i="296"/>
  <c r="K60" i="296"/>
  <c r="L59" i="296"/>
  <c r="K59" i="296"/>
  <c r="L58" i="296"/>
  <c r="K58" i="296"/>
  <c r="L57" i="296"/>
  <c r="K57" i="296"/>
  <c r="L56" i="296"/>
  <c r="K56" i="296"/>
  <c r="J56" i="296"/>
  <c r="I56" i="296"/>
  <c r="H56" i="296"/>
  <c r="G56" i="296"/>
  <c r="L55" i="296"/>
  <c r="K55" i="296"/>
  <c r="L54" i="296"/>
  <c r="K54" i="296"/>
  <c r="L53" i="296"/>
  <c r="K53" i="296"/>
  <c r="L52" i="296"/>
  <c r="K52" i="296"/>
  <c r="L51" i="296"/>
  <c r="K51" i="296"/>
  <c r="L50" i="296"/>
  <c r="K50" i="296"/>
  <c r="L49" i="296"/>
  <c r="K49" i="296"/>
  <c r="L48" i="296"/>
  <c r="K48" i="296"/>
  <c r="L47" i="296"/>
  <c r="K47" i="296"/>
  <c r="L46" i="296"/>
  <c r="K46" i="296"/>
  <c r="L45" i="296"/>
  <c r="K45" i="296"/>
  <c r="L44" i="296"/>
  <c r="K44" i="296"/>
  <c r="L43" i="296"/>
  <c r="K43" i="296"/>
  <c r="L42" i="296"/>
  <c r="K42" i="296"/>
  <c r="L41" i="296"/>
  <c r="K41" i="296"/>
  <c r="L40" i="296"/>
  <c r="K40" i="296"/>
  <c r="L39" i="296"/>
  <c r="K39" i="296"/>
  <c r="L38" i="296"/>
  <c r="K38" i="296"/>
  <c r="L37" i="296"/>
  <c r="K37" i="296"/>
  <c r="L36" i="296"/>
  <c r="K36" i="296"/>
  <c r="L35" i="296"/>
  <c r="K35" i="296"/>
  <c r="L34" i="296"/>
  <c r="K34" i="296"/>
  <c r="L33" i="296"/>
  <c r="K33" i="296"/>
  <c r="L32" i="296"/>
  <c r="K32" i="296"/>
  <c r="L31" i="296"/>
  <c r="K31" i="296"/>
  <c r="L30" i="296"/>
  <c r="K30" i="296"/>
  <c r="L29" i="296"/>
  <c r="K29" i="296"/>
  <c r="L28" i="296"/>
  <c r="K28" i="296"/>
  <c r="L27" i="296"/>
  <c r="K27" i="296"/>
  <c r="L26" i="296"/>
  <c r="K26" i="296"/>
  <c r="L25" i="296"/>
  <c r="K25" i="296"/>
  <c r="L24" i="296"/>
  <c r="K24" i="296"/>
  <c r="L23" i="296"/>
  <c r="K23" i="296"/>
  <c r="L22" i="296"/>
  <c r="K22" i="296"/>
  <c r="L21" i="296"/>
  <c r="K21" i="296"/>
  <c r="L20" i="296"/>
  <c r="K20" i="296"/>
  <c r="L19" i="296"/>
  <c r="K19" i="296"/>
  <c r="L18" i="296"/>
  <c r="K18" i="296"/>
  <c r="L17" i="296"/>
  <c r="K17" i="296"/>
  <c r="L16" i="296"/>
  <c r="K16" i="296"/>
  <c r="L15" i="296"/>
  <c r="K15" i="296"/>
  <c r="L14" i="296"/>
  <c r="K14" i="296"/>
  <c r="L13" i="296"/>
  <c r="K13" i="296"/>
  <c r="L12" i="296"/>
  <c r="K12" i="296"/>
  <c r="J12" i="296"/>
  <c r="I12" i="296"/>
  <c r="H12" i="296"/>
  <c r="G12" i="296"/>
  <c r="I3369" i="288"/>
  <c r="C3369" i="288"/>
  <c r="I3368" i="288"/>
  <c r="J3368" i="288" s="1"/>
  <c r="J3369" i="288" s="1"/>
  <c r="C3368" i="288"/>
  <c r="D3368" i="288" s="1"/>
  <c r="D3369" i="288" s="1"/>
  <c r="J3367" i="288"/>
  <c r="D3367" i="288"/>
  <c r="I3366" i="288"/>
  <c r="J3366" i="288" s="1"/>
  <c r="C3366" i="288"/>
  <c r="D3366" i="288" s="1"/>
  <c r="I3365" i="288"/>
  <c r="J3365" i="288" s="1"/>
  <c r="C3365" i="288"/>
  <c r="D3365" i="288" s="1"/>
  <c r="I3364" i="288"/>
  <c r="J3364" i="288" s="1"/>
  <c r="C3364" i="288"/>
  <c r="D3364" i="288" s="1"/>
  <c r="I3363" i="288"/>
  <c r="J3363" i="288" s="1"/>
  <c r="C3363" i="288"/>
  <c r="D3363" i="288" s="1"/>
  <c r="I3362" i="288"/>
  <c r="J3362" i="288" s="1"/>
  <c r="C3362" i="288"/>
  <c r="D3362" i="288" s="1"/>
  <c r="G3360" i="288"/>
  <c r="A3360" i="288"/>
  <c r="I3353" i="288"/>
  <c r="C3353" i="288"/>
  <c r="I3352" i="288"/>
  <c r="J3352" i="288" s="1"/>
  <c r="J3353" i="288" s="1"/>
  <c r="C3352" i="288"/>
  <c r="D3352" i="288" s="1"/>
  <c r="D3353" i="288" s="1"/>
  <c r="I3351" i="288"/>
  <c r="J3351" i="288" s="1"/>
  <c r="C3351" i="288"/>
  <c r="D3351" i="288" s="1"/>
  <c r="C3350" i="288"/>
  <c r="D3350" i="288" s="1"/>
  <c r="I3349" i="288"/>
  <c r="J3349" i="288" s="1"/>
  <c r="C3349" i="288"/>
  <c r="D3349" i="288" s="1"/>
  <c r="C3348" i="288"/>
  <c r="D3348" i="288" s="1"/>
  <c r="I3347" i="288"/>
  <c r="J3347" i="288" s="1"/>
  <c r="C3347" i="288"/>
  <c r="D3347" i="288" s="1"/>
  <c r="I3346" i="288"/>
  <c r="J3346" i="288" s="1"/>
  <c r="C3346" i="288"/>
  <c r="D3346" i="288" s="1"/>
  <c r="D3356" i="288" s="1"/>
  <c r="G3344" i="288"/>
  <c r="A3344" i="288"/>
  <c r="I3338" i="288"/>
  <c r="C3338" i="288"/>
  <c r="I3337" i="288"/>
  <c r="J3337" i="288" s="1"/>
  <c r="J3338" i="288" s="1"/>
  <c r="C3337" i="288"/>
  <c r="D3337" i="288" s="1"/>
  <c r="D3338" i="288" s="1"/>
  <c r="I3336" i="288"/>
  <c r="J3336" i="288" s="1"/>
  <c r="C3336" i="288"/>
  <c r="D3336" i="288" s="1"/>
  <c r="I3335" i="288"/>
  <c r="J3335" i="288" s="1"/>
  <c r="C3335" i="288"/>
  <c r="D3335" i="288" s="1"/>
  <c r="I3334" i="288"/>
  <c r="J3334" i="288" s="1"/>
  <c r="C3334" i="288"/>
  <c r="D3334" i="288" s="1"/>
  <c r="I3333" i="288"/>
  <c r="J3333" i="288" s="1"/>
  <c r="C3333" i="288"/>
  <c r="D3333" i="288" s="1"/>
  <c r="I3332" i="288"/>
  <c r="J3332" i="288" s="1"/>
  <c r="C3332" i="288"/>
  <c r="D3332" i="288" s="1"/>
  <c r="I3331" i="288"/>
  <c r="J3331" i="288" s="1"/>
  <c r="J3341" i="288" s="1"/>
  <c r="C3331" i="288"/>
  <c r="D3331" i="288" s="1"/>
  <c r="D3341" i="288" s="1"/>
  <c r="G3329" i="288"/>
  <c r="A3329" i="288"/>
  <c r="I3324" i="288"/>
  <c r="C3324" i="288"/>
  <c r="I3323" i="288"/>
  <c r="J3323" i="288" s="1"/>
  <c r="J3324" i="288" s="1"/>
  <c r="C3323" i="288"/>
  <c r="D3323" i="288" s="1"/>
  <c r="D3324" i="288" s="1"/>
  <c r="I3322" i="288"/>
  <c r="J3322" i="288" s="1"/>
  <c r="C3322" i="288"/>
  <c r="D3322" i="288" s="1"/>
  <c r="I3321" i="288"/>
  <c r="J3321" i="288" s="1"/>
  <c r="C3321" i="288"/>
  <c r="D3321" i="288" s="1"/>
  <c r="I3320" i="288"/>
  <c r="J3320" i="288" s="1"/>
  <c r="C3320" i="288"/>
  <c r="D3320" i="288" s="1"/>
  <c r="I3319" i="288"/>
  <c r="J3319" i="288" s="1"/>
  <c r="C3319" i="288"/>
  <c r="D3319" i="288" s="1"/>
  <c r="I3318" i="288"/>
  <c r="J3318" i="288" s="1"/>
  <c r="C3318" i="288"/>
  <c r="D3318" i="288" s="1"/>
  <c r="I3317" i="288"/>
  <c r="J3317" i="288" s="1"/>
  <c r="J3327" i="288" s="1"/>
  <c r="C3317" i="288"/>
  <c r="D3317" i="288" s="1"/>
  <c r="D3327" i="288" s="1"/>
  <c r="G3315" i="288"/>
  <c r="A3315" i="288"/>
  <c r="I3310" i="288"/>
  <c r="C3310" i="288"/>
  <c r="I3309" i="288"/>
  <c r="J3309" i="288" s="1"/>
  <c r="J3310" i="288" s="1"/>
  <c r="C3309" i="288"/>
  <c r="D3309" i="288" s="1"/>
  <c r="D3310" i="288" s="1"/>
  <c r="I3308" i="288"/>
  <c r="J3308" i="288" s="1"/>
  <c r="C3308" i="288"/>
  <c r="D3308" i="288" s="1"/>
  <c r="I3307" i="288"/>
  <c r="J3307" i="288" s="1"/>
  <c r="C3307" i="288"/>
  <c r="D3307" i="288" s="1"/>
  <c r="I3306" i="288"/>
  <c r="J3306" i="288" s="1"/>
  <c r="C3306" i="288"/>
  <c r="D3306" i="288" s="1"/>
  <c r="I3305" i="288"/>
  <c r="J3305" i="288" s="1"/>
  <c r="C3305" i="288"/>
  <c r="D3305" i="288" s="1"/>
  <c r="I3304" i="288"/>
  <c r="J3304" i="288" s="1"/>
  <c r="C3304" i="288"/>
  <c r="D3304" i="288" s="1"/>
  <c r="I3303" i="288"/>
  <c r="J3303" i="288" s="1"/>
  <c r="J3313" i="288" s="1"/>
  <c r="C3303" i="288"/>
  <c r="D3303" i="288" s="1"/>
  <c r="D3313" i="288" s="1"/>
  <c r="G3301" i="288"/>
  <c r="A3301" i="288"/>
  <c r="I3295" i="288"/>
  <c r="C3295" i="288"/>
  <c r="I3294" i="288"/>
  <c r="J3294" i="288" s="1"/>
  <c r="J3295" i="288" s="1"/>
  <c r="C3294" i="288"/>
  <c r="D3294" i="288" s="1"/>
  <c r="D3295" i="288" s="1"/>
  <c r="I3293" i="288"/>
  <c r="J3293" i="288" s="1"/>
  <c r="C3293" i="288"/>
  <c r="D3293" i="288" s="1"/>
  <c r="I3292" i="288"/>
  <c r="J3292" i="288" s="1"/>
  <c r="C3292" i="288"/>
  <c r="D3292" i="288" s="1"/>
  <c r="I3291" i="288"/>
  <c r="J3291" i="288" s="1"/>
  <c r="C3291" i="288"/>
  <c r="D3291" i="288" s="1"/>
  <c r="I3290" i="288"/>
  <c r="J3290" i="288" s="1"/>
  <c r="C3290" i="288"/>
  <c r="D3290" i="288" s="1"/>
  <c r="I3289" i="288"/>
  <c r="J3289" i="288" s="1"/>
  <c r="C3289" i="288"/>
  <c r="D3289" i="288" s="1"/>
  <c r="I3288" i="288"/>
  <c r="J3288" i="288" s="1"/>
  <c r="J3298" i="288" s="1"/>
  <c r="C3288" i="288"/>
  <c r="D3288" i="288" s="1"/>
  <c r="D3298" i="288" s="1"/>
  <c r="G3286" i="288"/>
  <c r="A3286" i="288"/>
  <c r="I3281" i="288"/>
  <c r="C3281" i="288"/>
  <c r="I3280" i="288"/>
  <c r="J3280" i="288" s="1"/>
  <c r="J3281" i="288" s="1"/>
  <c r="C3280" i="288"/>
  <c r="D3280" i="288" s="1"/>
  <c r="D3281" i="288" s="1"/>
  <c r="I3279" i="288"/>
  <c r="J3279" i="288" s="1"/>
  <c r="C3279" i="288"/>
  <c r="D3279" i="288" s="1"/>
  <c r="N3278" i="288"/>
  <c r="I3278" i="288"/>
  <c r="J3278" i="288" s="1"/>
  <c r="C3278" i="288"/>
  <c r="D3278" i="288" s="1"/>
  <c r="N3277" i="288"/>
  <c r="I3277" i="288"/>
  <c r="J3277" i="288" s="1"/>
  <c r="C3277" i="288"/>
  <c r="D3277" i="288" s="1"/>
  <c r="I3276" i="288"/>
  <c r="J3276" i="288" s="1"/>
  <c r="C3276" i="288"/>
  <c r="D3276" i="288" s="1"/>
  <c r="N3275" i="288"/>
  <c r="I3275" i="288"/>
  <c r="J3275" i="288" s="1"/>
  <c r="C3275" i="288"/>
  <c r="D3275" i="288" s="1"/>
  <c r="N3274" i="288"/>
  <c r="M3274" i="288"/>
  <c r="I3274" i="288"/>
  <c r="J3274" i="288" s="1"/>
  <c r="J3284" i="288" s="1"/>
  <c r="C3274" i="288"/>
  <c r="D3274" i="288" s="1"/>
  <c r="D3284" i="288" s="1"/>
  <c r="N3273" i="288"/>
  <c r="N3281" i="288" s="1"/>
  <c r="G3272" i="288"/>
  <c r="A3272" i="288"/>
  <c r="I3267" i="288"/>
  <c r="C3267" i="288"/>
  <c r="I3266" i="288"/>
  <c r="J3266" i="288" s="1"/>
  <c r="J3267" i="288" s="1"/>
  <c r="C3266" i="288"/>
  <c r="D3266" i="288" s="1"/>
  <c r="D3267" i="288" s="1"/>
  <c r="I3265" i="288"/>
  <c r="J3265" i="288" s="1"/>
  <c r="C3265" i="288"/>
  <c r="D3265" i="288" s="1"/>
  <c r="I3264" i="288"/>
  <c r="J3264" i="288" s="1"/>
  <c r="C3264" i="288"/>
  <c r="D3264" i="288" s="1"/>
  <c r="I3263" i="288"/>
  <c r="J3263" i="288" s="1"/>
  <c r="C3263" i="288"/>
  <c r="D3263" i="288" s="1"/>
  <c r="I3262" i="288"/>
  <c r="J3262" i="288" s="1"/>
  <c r="C3262" i="288"/>
  <c r="D3262" i="288" s="1"/>
  <c r="I3261" i="288"/>
  <c r="J3261" i="288" s="1"/>
  <c r="C3261" i="288"/>
  <c r="D3261" i="288" s="1"/>
  <c r="I3260" i="288"/>
  <c r="J3260" i="288" s="1"/>
  <c r="J3270" i="288" s="1"/>
  <c r="C3260" i="288"/>
  <c r="D3260" i="288" s="1"/>
  <c r="D3270" i="288" s="1"/>
  <c r="G3258" i="288"/>
  <c r="A3258" i="288"/>
  <c r="I3252" i="288"/>
  <c r="C3252" i="288"/>
  <c r="I3251" i="288"/>
  <c r="J3251" i="288" s="1"/>
  <c r="J3252" i="288" s="1"/>
  <c r="C3251" i="288"/>
  <c r="D3251" i="288" s="1"/>
  <c r="D3252" i="288" s="1"/>
  <c r="I3250" i="288"/>
  <c r="J3250" i="288" s="1"/>
  <c r="C3250" i="288"/>
  <c r="D3250" i="288" s="1"/>
  <c r="I3249" i="288"/>
  <c r="J3249" i="288" s="1"/>
  <c r="C3249" i="288"/>
  <c r="D3249" i="288" s="1"/>
  <c r="I3248" i="288"/>
  <c r="J3248" i="288" s="1"/>
  <c r="C3248" i="288"/>
  <c r="D3248" i="288" s="1"/>
  <c r="I3247" i="288"/>
  <c r="J3247" i="288" s="1"/>
  <c r="C3247" i="288"/>
  <c r="D3247" i="288" s="1"/>
  <c r="I3246" i="288"/>
  <c r="J3246" i="288" s="1"/>
  <c r="C3246" i="288"/>
  <c r="D3246" i="288" s="1"/>
  <c r="I3245" i="288"/>
  <c r="J3245" i="288" s="1"/>
  <c r="J3255" i="288" s="1"/>
  <c r="C3245" i="288"/>
  <c r="D3245" i="288" s="1"/>
  <c r="D3255" i="288" s="1"/>
  <c r="G3243" i="288"/>
  <c r="A3243" i="288"/>
  <c r="I3237" i="288"/>
  <c r="C3237" i="288"/>
  <c r="I3236" i="288"/>
  <c r="J3236" i="288" s="1"/>
  <c r="J3237" i="288" s="1"/>
  <c r="C3236" i="288"/>
  <c r="D3236" i="288" s="1"/>
  <c r="D3237" i="288" s="1"/>
  <c r="I3235" i="288"/>
  <c r="J3235" i="288" s="1"/>
  <c r="D3235" i="288"/>
  <c r="I3234" i="288"/>
  <c r="J3234" i="288" s="1"/>
  <c r="C3234" i="288"/>
  <c r="D3234" i="288" s="1"/>
  <c r="I3233" i="288"/>
  <c r="J3233" i="288" s="1"/>
  <c r="C3233" i="288"/>
  <c r="D3233" i="288" s="1"/>
  <c r="I3232" i="288"/>
  <c r="J3232" i="288" s="1"/>
  <c r="C3232" i="288"/>
  <c r="D3232" i="288" s="1"/>
  <c r="I3231" i="288"/>
  <c r="J3231" i="288" s="1"/>
  <c r="C3231" i="288"/>
  <c r="D3231" i="288" s="1"/>
  <c r="I3230" i="288"/>
  <c r="J3230" i="288" s="1"/>
  <c r="J3240" i="288" s="1"/>
  <c r="C3230" i="288"/>
  <c r="D3230" i="288" s="1"/>
  <c r="D3240" i="288" s="1"/>
  <c r="G3228" i="288"/>
  <c r="A3228" i="288"/>
  <c r="I3223" i="288"/>
  <c r="C3223" i="288"/>
  <c r="I3222" i="288"/>
  <c r="J3222" i="288" s="1"/>
  <c r="J3223" i="288" s="1"/>
  <c r="C3222" i="288"/>
  <c r="D3222" i="288" s="1"/>
  <c r="D3223" i="288" s="1"/>
  <c r="J3221" i="288"/>
  <c r="D3221" i="288"/>
  <c r="I3220" i="288"/>
  <c r="J3220" i="288" s="1"/>
  <c r="C3220" i="288"/>
  <c r="D3220" i="288" s="1"/>
  <c r="I3219" i="288"/>
  <c r="J3219" i="288" s="1"/>
  <c r="C3219" i="288"/>
  <c r="D3219" i="288" s="1"/>
  <c r="I3218" i="288"/>
  <c r="J3218" i="288" s="1"/>
  <c r="C3218" i="288"/>
  <c r="D3218" i="288" s="1"/>
  <c r="I3217" i="288"/>
  <c r="J3217" i="288" s="1"/>
  <c r="C3217" i="288"/>
  <c r="D3217" i="288" s="1"/>
  <c r="I3216" i="288"/>
  <c r="J3216" i="288" s="1"/>
  <c r="J3226" i="288" s="1"/>
  <c r="C3216" i="288"/>
  <c r="D3216" i="288" s="1"/>
  <c r="D3226" i="288" s="1"/>
  <c r="G3214" i="288"/>
  <c r="A3214" i="288"/>
  <c r="J3210" i="288"/>
  <c r="D3210" i="288"/>
  <c r="I3207" i="288"/>
  <c r="C3207" i="288"/>
  <c r="I3206" i="288"/>
  <c r="J3206" i="288" s="1"/>
  <c r="J3207" i="288" s="1"/>
  <c r="C3206" i="288"/>
  <c r="D3206" i="288" s="1"/>
  <c r="D3207" i="288" s="1"/>
  <c r="I3205" i="288"/>
  <c r="J3205" i="288" s="1"/>
  <c r="C3205" i="288"/>
  <c r="D3205" i="288" s="1"/>
  <c r="I3204" i="288"/>
  <c r="J3204" i="288" s="1"/>
  <c r="C3204" i="288"/>
  <c r="D3204" i="288" s="1"/>
  <c r="I3203" i="288"/>
  <c r="J3203" i="288" s="1"/>
  <c r="C3203" i="288"/>
  <c r="D3203" i="288" s="1"/>
  <c r="I3202" i="288"/>
  <c r="J3202" i="288" s="1"/>
  <c r="C3202" i="288"/>
  <c r="D3202" i="288" s="1"/>
  <c r="I3201" i="288"/>
  <c r="J3201" i="288" s="1"/>
  <c r="J3211" i="288" s="1"/>
  <c r="C3201" i="288"/>
  <c r="D3201" i="288" s="1"/>
  <c r="D3211" i="288" s="1"/>
  <c r="G3199" i="288"/>
  <c r="A3199" i="288"/>
  <c r="J3195" i="288"/>
  <c r="D3195" i="288"/>
  <c r="I3192" i="288"/>
  <c r="C3192" i="288"/>
  <c r="I3191" i="288"/>
  <c r="J3191" i="288" s="1"/>
  <c r="J3192" i="288" s="1"/>
  <c r="C3191" i="288"/>
  <c r="D3191" i="288" s="1"/>
  <c r="D3192" i="288" s="1"/>
  <c r="I3190" i="288"/>
  <c r="J3190" i="288" s="1"/>
  <c r="C3190" i="288"/>
  <c r="D3190" i="288" s="1"/>
  <c r="I3189" i="288"/>
  <c r="J3189" i="288" s="1"/>
  <c r="C3189" i="288"/>
  <c r="D3189" i="288" s="1"/>
  <c r="I3188" i="288"/>
  <c r="J3188" i="288" s="1"/>
  <c r="C3188" i="288"/>
  <c r="D3188" i="288" s="1"/>
  <c r="I3187" i="288"/>
  <c r="J3187" i="288" s="1"/>
  <c r="C3187" i="288"/>
  <c r="D3187" i="288" s="1"/>
  <c r="I3186" i="288"/>
  <c r="J3186" i="288" s="1"/>
  <c r="J3196" i="288" s="1"/>
  <c r="C3186" i="288"/>
  <c r="D3186" i="288" s="1"/>
  <c r="D3196" i="288" s="1"/>
  <c r="G3184" i="288"/>
  <c r="A3184" i="288"/>
  <c r="J3180" i="288"/>
  <c r="D3180" i="288"/>
  <c r="I3177" i="288"/>
  <c r="C3177" i="288"/>
  <c r="I3176" i="288"/>
  <c r="J3176" i="288" s="1"/>
  <c r="J3177" i="288" s="1"/>
  <c r="C3176" i="288"/>
  <c r="D3176" i="288" s="1"/>
  <c r="D3177" i="288" s="1"/>
  <c r="I3175" i="288"/>
  <c r="J3175" i="288" s="1"/>
  <c r="C3175" i="288"/>
  <c r="D3175" i="288" s="1"/>
  <c r="I3174" i="288"/>
  <c r="J3174" i="288" s="1"/>
  <c r="C3174" i="288"/>
  <c r="D3174" i="288" s="1"/>
  <c r="I3173" i="288"/>
  <c r="J3173" i="288" s="1"/>
  <c r="C3173" i="288"/>
  <c r="D3173" i="288" s="1"/>
  <c r="I3172" i="288"/>
  <c r="J3172" i="288" s="1"/>
  <c r="C3172" i="288"/>
  <c r="D3172" i="288" s="1"/>
  <c r="I3171" i="288"/>
  <c r="J3171" i="288" s="1"/>
  <c r="J3181" i="288" s="1"/>
  <c r="C3171" i="288"/>
  <c r="D3171" i="288" s="1"/>
  <c r="D3181" i="288" s="1"/>
  <c r="G3169" i="288"/>
  <c r="A3169" i="288"/>
  <c r="J3166" i="288"/>
  <c r="D3166" i="288"/>
  <c r="I3163" i="288"/>
  <c r="C3163" i="288"/>
  <c r="I3162" i="288"/>
  <c r="J3162" i="288" s="1"/>
  <c r="J3163" i="288" s="1"/>
  <c r="C3162" i="288"/>
  <c r="D3162" i="288" s="1"/>
  <c r="D3163" i="288" s="1"/>
  <c r="I3161" i="288"/>
  <c r="J3161" i="288" s="1"/>
  <c r="C3161" i="288"/>
  <c r="D3161" i="288" s="1"/>
  <c r="I3160" i="288"/>
  <c r="J3160" i="288" s="1"/>
  <c r="C3160" i="288"/>
  <c r="D3160" i="288" s="1"/>
  <c r="I3159" i="288"/>
  <c r="J3159" i="288" s="1"/>
  <c r="C3159" i="288"/>
  <c r="D3159" i="288" s="1"/>
  <c r="I3158" i="288"/>
  <c r="J3158" i="288" s="1"/>
  <c r="C3158" i="288"/>
  <c r="D3158" i="288" s="1"/>
  <c r="I3157" i="288"/>
  <c r="J3157" i="288" s="1"/>
  <c r="J3167" i="288" s="1"/>
  <c r="C3157" i="288"/>
  <c r="D3157" i="288" s="1"/>
  <c r="D3167" i="288" s="1"/>
  <c r="G3155" i="288"/>
  <c r="A3155" i="288"/>
  <c r="J3151" i="288"/>
  <c r="D3151" i="288"/>
  <c r="I3148" i="288"/>
  <c r="C3148" i="288"/>
  <c r="I3147" i="288"/>
  <c r="J3147" i="288" s="1"/>
  <c r="J3148" i="288" s="1"/>
  <c r="C3147" i="288"/>
  <c r="D3147" i="288" s="1"/>
  <c r="D3148" i="288" s="1"/>
  <c r="I3146" i="288"/>
  <c r="J3146" i="288" s="1"/>
  <c r="C3146" i="288"/>
  <c r="D3146" i="288" s="1"/>
  <c r="I3145" i="288"/>
  <c r="J3145" i="288" s="1"/>
  <c r="C3145" i="288"/>
  <c r="D3145" i="288" s="1"/>
  <c r="I3144" i="288"/>
  <c r="J3144" i="288" s="1"/>
  <c r="C3144" i="288"/>
  <c r="D3144" i="288" s="1"/>
  <c r="I3143" i="288"/>
  <c r="J3143" i="288" s="1"/>
  <c r="C3143" i="288"/>
  <c r="D3143" i="288" s="1"/>
  <c r="I3142" i="288"/>
  <c r="J3142" i="288" s="1"/>
  <c r="J3152" i="288" s="1"/>
  <c r="C3142" i="288"/>
  <c r="D3142" i="288" s="1"/>
  <c r="D3152" i="288" s="1"/>
  <c r="G3140" i="288"/>
  <c r="A3140" i="288"/>
  <c r="J3136" i="288"/>
  <c r="D3136" i="288"/>
  <c r="I3133" i="288"/>
  <c r="C3133" i="288"/>
  <c r="I3132" i="288"/>
  <c r="J3132" i="288" s="1"/>
  <c r="J3133" i="288" s="1"/>
  <c r="C3132" i="288"/>
  <c r="D3132" i="288" s="1"/>
  <c r="D3133" i="288" s="1"/>
  <c r="I3131" i="288"/>
  <c r="J3131" i="288" s="1"/>
  <c r="C3131" i="288"/>
  <c r="D3131" i="288" s="1"/>
  <c r="I3130" i="288"/>
  <c r="J3130" i="288" s="1"/>
  <c r="C3130" i="288"/>
  <c r="D3130" i="288" s="1"/>
  <c r="I3129" i="288"/>
  <c r="J3129" i="288" s="1"/>
  <c r="C3129" i="288"/>
  <c r="D3129" i="288" s="1"/>
  <c r="I3128" i="288"/>
  <c r="J3128" i="288" s="1"/>
  <c r="C3128" i="288"/>
  <c r="D3128" i="288" s="1"/>
  <c r="I3127" i="288"/>
  <c r="J3127" i="288" s="1"/>
  <c r="J3137" i="288" s="1"/>
  <c r="C3127" i="288"/>
  <c r="D3127" i="288" s="1"/>
  <c r="D3137" i="288" s="1"/>
  <c r="G3125" i="288"/>
  <c r="A3125" i="288"/>
  <c r="J3121" i="288"/>
  <c r="D3121" i="288"/>
  <c r="I3118" i="288"/>
  <c r="C3118" i="288"/>
  <c r="I3117" i="288"/>
  <c r="J3117" i="288" s="1"/>
  <c r="J3118" i="288" s="1"/>
  <c r="C3117" i="288"/>
  <c r="D3117" i="288" s="1"/>
  <c r="D3118" i="288" s="1"/>
  <c r="I3116" i="288"/>
  <c r="J3116" i="288" s="1"/>
  <c r="C3116" i="288"/>
  <c r="D3116" i="288" s="1"/>
  <c r="I3115" i="288"/>
  <c r="J3115" i="288" s="1"/>
  <c r="C3115" i="288"/>
  <c r="D3115" i="288" s="1"/>
  <c r="I3114" i="288"/>
  <c r="J3114" i="288" s="1"/>
  <c r="C3114" i="288"/>
  <c r="D3114" i="288" s="1"/>
  <c r="I3113" i="288"/>
  <c r="J3113" i="288" s="1"/>
  <c r="C3113" i="288"/>
  <c r="D3113" i="288" s="1"/>
  <c r="I3112" i="288"/>
  <c r="J3112" i="288" s="1"/>
  <c r="J3122" i="288" s="1"/>
  <c r="C3112" i="288"/>
  <c r="D3112" i="288" s="1"/>
  <c r="D3122" i="288" s="1"/>
  <c r="G3110" i="288"/>
  <c r="A3110" i="288"/>
  <c r="J3105" i="288"/>
  <c r="D3105" i="288"/>
  <c r="I3102" i="288"/>
  <c r="C3102" i="288"/>
  <c r="I3101" i="288"/>
  <c r="J3101" i="288" s="1"/>
  <c r="J3102" i="288" s="1"/>
  <c r="C3101" i="288"/>
  <c r="D3101" i="288" s="1"/>
  <c r="D3102" i="288" s="1"/>
  <c r="I3100" i="288"/>
  <c r="J3100" i="288" s="1"/>
  <c r="C3100" i="288"/>
  <c r="D3100" i="288" s="1"/>
  <c r="I3099" i="288"/>
  <c r="J3099" i="288" s="1"/>
  <c r="C3099" i="288"/>
  <c r="D3099" i="288" s="1"/>
  <c r="I3098" i="288"/>
  <c r="J3098" i="288" s="1"/>
  <c r="C3098" i="288"/>
  <c r="D3098" i="288" s="1"/>
  <c r="I3097" i="288"/>
  <c r="J3097" i="288" s="1"/>
  <c r="C3097" i="288"/>
  <c r="D3097" i="288" s="1"/>
  <c r="I3096" i="288"/>
  <c r="J3096" i="288" s="1"/>
  <c r="J3106" i="288" s="1"/>
  <c r="C3096" i="288"/>
  <c r="D3096" i="288" s="1"/>
  <c r="D3106" i="288" s="1"/>
  <c r="G3094" i="288"/>
  <c r="A3094" i="288"/>
  <c r="J3090" i="288"/>
  <c r="D3090" i="288"/>
  <c r="I3087" i="288"/>
  <c r="C3087" i="288"/>
  <c r="I3086" i="288"/>
  <c r="J3086" i="288" s="1"/>
  <c r="J3087" i="288" s="1"/>
  <c r="C3086" i="288"/>
  <c r="D3086" i="288" s="1"/>
  <c r="D3087" i="288" s="1"/>
  <c r="I3085" i="288"/>
  <c r="J3085" i="288" s="1"/>
  <c r="C3085" i="288"/>
  <c r="D3085" i="288" s="1"/>
  <c r="I3084" i="288"/>
  <c r="J3084" i="288" s="1"/>
  <c r="C3084" i="288"/>
  <c r="D3084" i="288" s="1"/>
  <c r="I3083" i="288"/>
  <c r="J3083" i="288" s="1"/>
  <c r="C3083" i="288"/>
  <c r="D3083" i="288" s="1"/>
  <c r="I3082" i="288"/>
  <c r="J3082" i="288" s="1"/>
  <c r="C3082" i="288"/>
  <c r="D3082" i="288" s="1"/>
  <c r="I3081" i="288"/>
  <c r="J3081" i="288" s="1"/>
  <c r="J3091" i="288" s="1"/>
  <c r="C3081" i="288"/>
  <c r="D3081" i="288" s="1"/>
  <c r="D3091" i="288" s="1"/>
  <c r="G3079" i="288"/>
  <c r="A3079" i="288"/>
  <c r="J3075" i="288"/>
  <c r="D3075" i="288"/>
  <c r="I3072" i="288"/>
  <c r="C3072" i="288"/>
  <c r="I3071" i="288"/>
  <c r="J3071" i="288" s="1"/>
  <c r="J3072" i="288" s="1"/>
  <c r="C3071" i="288"/>
  <c r="D3071" i="288" s="1"/>
  <c r="D3072" i="288" s="1"/>
  <c r="I3070" i="288"/>
  <c r="J3070" i="288" s="1"/>
  <c r="C3070" i="288"/>
  <c r="D3070" i="288" s="1"/>
  <c r="I3069" i="288"/>
  <c r="J3069" i="288" s="1"/>
  <c r="C3069" i="288"/>
  <c r="D3069" i="288" s="1"/>
  <c r="I3068" i="288"/>
  <c r="J3068" i="288" s="1"/>
  <c r="C3068" i="288"/>
  <c r="D3068" i="288" s="1"/>
  <c r="I3067" i="288"/>
  <c r="J3067" i="288" s="1"/>
  <c r="C3067" i="288"/>
  <c r="D3067" i="288" s="1"/>
  <c r="I3066" i="288"/>
  <c r="J3066" i="288" s="1"/>
  <c r="J3076" i="288" s="1"/>
  <c r="C3066" i="288"/>
  <c r="D3066" i="288" s="1"/>
  <c r="D3076" i="288" s="1"/>
  <c r="G3064" i="288"/>
  <c r="A3064" i="288"/>
  <c r="J3060" i="288"/>
  <c r="D3060" i="288"/>
  <c r="I3057" i="288"/>
  <c r="C3057" i="288"/>
  <c r="I3056" i="288"/>
  <c r="J3056" i="288" s="1"/>
  <c r="J3057" i="288" s="1"/>
  <c r="C3056" i="288"/>
  <c r="D3056" i="288" s="1"/>
  <c r="D3057" i="288" s="1"/>
  <c r="I3055" i="288"/>
  <c r="J3055" i="288" s="1"/>
  <c r="C3055" i="288"/>
  <c r="D3055" i="288" s="1"/>
  <c r="I3054" i="288"/>
  <c r="J3054" i="288" s="1"/>
  <c r="C3054" i="288"/>
  <c r="D3054" i="288" s="1"/>
  <c r="I3053" i="288"/>
  <c r="J3053" i="288" s="1"/>
  <c r="C3053" i="288"/>
  <c r="D3053" i="288" s="1"/>
  <c r="I3052" i="288"/>
  <c r="J3052" i="288" s="1"/>
  <c r="C3052" i="288"/>
  <c r="D3052" i="288" s="1"/>
  <c r="I3051" i="288"/>
  <c r="J3051" i="288" s="1"/>
  <c r="J3061" i="288" s="1"/>
  <c r="C3051" i="288"/>
  <c r="D3051" i="288" s="1"/>
  <c r="D3061" i="288" s="1"/>
  <c r="G3049" i="288"/>
  <c r="A3049" i="288"/>
  <c r="J3044" i="288"/>
  <c r="D3044" i="288"/>
  <c r="I3041" i="288"/>
  <c r="C3041" i="288"/>
  <c r="I3040" i="288"/>
  <c r="J3040" i="288" s="1"/>
  <c r="J3041" i="288" s="1"/>
  <c r="C3040" i="288"/>
  <c r="D3040" i="288" s="1"/>
  <c r="D3041" i="288" s="1"/>
  <c r="I3039" i="288"/>
  <c r="J3039" i="288" s="1"/>
  <c r="C3039" i="288"/>
  <c r="D3039" i="288" s="1"/>
  <c r="I3038" i="288"/>
  <c r="J3038" i="288" s="1"/>
  <c r="C3038" i="288"/>
  <c r="D3038" i="288" s="1"/>
  <c r="I3037" i="288"/>
  <c r="J3037" i="288" s="1"/>
  <c r="C3037" i="288"/>
  <c r="D3037" i="288" s="1"/>
  <c r="I3036" i="288"/>
  <c r="J3036" i="288" s="1"/>
  <c r="C3036" i="288"/>
  <c r="D3036" i="288" s="1"/>
  <c r="I3035" i="288"/>
  <c r="J3035" i="288" s="1"/>
  <c r="J3045" i="288" s="1"/>
  <c r="C3035" i="288"/>
  <c r="D3035" i="288" s="1"/>
  <c r="D3045" i="288" s="1"/>
  <c r="G3033" i="288"/>
  <c r="A3033" i="288"/>
  <c r="J3029" i="288"/>
  <c r="D3029" i="288"/>
  <c r="I3026" i="288"/>
  <c r="C3026" i="288"/>
  <c r="I3025" i="288"/>
  <c r="J3025" i="288" s="1"/>
  <c r="J3026" i="288" s="1"/>
  <c r="C3025" i="288"/>
  <c r="D3025" i="288" s="1"/>
  <c r="D3026" i="288" s="1"/>
  <c r="I3024" i="288"/>
  <c r="J3024" i="288" s="1"/>
  <c r="C3024" i="288"/>
  <c r="D3024" i="288" s="1"/>
  <c r="I3023" i="288"/>
  <c r="J3023" i="288" s="1"/>
  <c r="C3023" i="288"/>
  <c r="D3023" i="288" s="1"/>
  <c r="I3022" i="288"/>
  <c r="J3022" i="288" s="1"/>
  <c r="C3022" i="288"/>
  <c r="D3022" i="288" s="1"/>
  <c r="I3021" i="288"/>
  <c r="J3021" i="288" s="1"/>
  <c r="C3021" i="288"/>
  <c r="D3021" i="288" s="1"/>
  <c r="I3020" i="288"/>
  <c r="J3020" i="288" s="1"/>
  <c r="J3030" i="288" s="1"/>
  <c r="C3020" i="288"/>
  <c r="D3020" i="288" s="1"/>
  <c r="D3030" i="288" s="1"/>
  <c r="G3018" i="288"/>
  <c r="A3018" i="288"/>
  <c r="J3014" i="288"/>
  <c r="D3014" i="288"/>
  <c r="I3011" i="288"/>
  <c r="C3011" i="288"/>
  <c r="I3010" i="288"/>
  <c r="J3010" i="288" s="1"/>
  <c r="J3011" i="288" s="1"/>
  <c r="C3010" i="288"/>
  <c r="D3010" i="288" s="1"/>
  <c r="D3011" i="288" s="1"/>
  <c r="I3009" i="288"/>
  <c r="J3009" i="288" s="1"/>
  <c r="C3009" i="288"/>
  <c r="D3009" i="288" s="1"/>
  <c r="I3008" i="288"/>
  <c r="J3008" i="288" s="1"/>
  <c r="C3008" i="288"/>
  <c r="D3008" i="288" s="1"/>
  <c r="I3007" i="288"/>
  <c r="J3007" i="288" s="1"/>
  <c r="C3007" i="288"/>
  <c r="D3007" i="288" s="1"/>
  <c r="I3006" i="288"/>
  <c r="J3006" i="288" s="1"/>
  <c r="C3006" i="288"/>
  <c r="D3006" i="288" s="1"/>
  <c r="I3005" i="288"/>
  <c r="J3005" i="288" s="1"/>
  <c r="J3015" i="288" s="1"/>
  <c r="C3005" i="288"/>
  <c r="D3005" i="288" s="1"/>
  <c r="D3015" i="288" s="1"/>
  <c r="G3003" i="288"/>
  <c r="A3003" i="288"/>
  <c r="J2999" i="288"/>
  <c r="D2999" i="288"/>
  <c r="I2996" i="288"/>
  <c r="C2996" i="288"/>
  <c r="I2995" i="288"/>
  <c r="J2995" i="288" s="1"/>
  <c r="J2996" i="288" s="1"/>
  <c r="C2995" i="288"/>
  <c r="D2995" i="288" s="1"/>
  <c r="D2996" i="288" s="1"/>
  <c r="I2994" i="288"/>
  <c r="J2994" i="288" s="1"/>
  <c r="C2994" i="288"/>
  <c r="D2994" i="288" s="1"/>
  <c r="I2993" i="288"/>
  <c r="J2993" i="288" s="1"/>
  <c r="C2993" i="288"/>
  <c r="D2993" i="288" s="1"/>
  <c r="I2992" i="288"/>
  <c r="J2992" i="288" s="1"/>
  <c r="C2992" i="288"/>
  <c r="D2992" i="288" s="1"/>
  <c r="I2991" i="288"/>
  <c r="J2991" i="288" s="1"/>
  <c r="C2991" i="288"/>
  <c r="D2991" i="288" s="1"/>
  <c r="I2990" i="288"/>
  <c r="J2990" i="288" s="1"/>
  <c r="J3000" i="288" s="1"/>
  <c r="C2990" i="288"/>
  <c r="D2990" i="288" s="1"/>
  <c r="D3000" i="288" s="1"/>
  <c r="G2988" i="288"/>
  <c r="A2988" i="288"/>
  <c r="J2983" i="288"/>
  <c r="D2983" i="288"/>
  <c r="I2980" i="288"/>
  <c r="C2980" i="288"/>
  <c r="I2979" i="288"/>
  <c r="J2979" i="288" s="1"/>
  <c r="J2980" i="288" s="1"/>
  <c r="C2979" i="288"/>
  <c r="D2979" i="288" s="1"/>
  <c r="D2980" i="288" s="1"/>
  <c r="I2978" i="288"/>
  <c r="J2978" i="288" s="1"/>
  <c r="C2978" i="288"/>
  <c r="D2978" i="288" s="1"/>
  <c r="I2977" i="288"/>
  <c r="J2977" i="288" s="1"/>
  <c r="C2977" i="288"/>
  <c r="D2977" i="288" s="1"/>
  <c r="I2976" i="288"/>
  <c r="J2976" i="288" s="1"/>
  <c r="C2976" i="288"/>
  <c r="D2976" i="288" s="1"/>
  <c r="I2975" i="288"/>
  <c r="J2975" i="288" s="1"/>
  <c r="C2975" i="288"/>
  <c r="D2975" i="288" s="1"/>
  <c r="I2974" i="288"/>
  <c r="J2974" i="288" s="1"/>
  <c r="J2984" i="288" s="1"/>
  <c r="C2974" i="288"/>
  <c r="D2974" i="288" s="1"/>
  <c r="D2984" i="288" s="1"/>
  <c r="G2972" i="288"/>
  <c r="A2972" i="288"/>
  <c r="J2968" i="288"/>
  <c r="D2968" i="288"/>
  <c r="I2965" i="288"/>
  <c r="C2965" i="288"/>
  <c r="I2964" i="288"/>
  <c r="J2964" i="288" s="1"/>
  <c r="J2965" i="288" s="1"/>
  <c r="C2964" i="288"/>
  <c r="D2964" i="288" s="1"/>
  <c r="D2965" i="288" s="1"/>
  <c r="I2963" i="288"/>
  <c r="J2963" i="288" s="1"/>
  <c r="C2963" i="288"/>
  <c r="D2963" i="288" s="1"/>
  <c r="I2962" i="288"/>
  <c r="J2962" i="288" s="1"/>
  <c r="C2962" i="288"/>
  <c r="D2962" i="288" s="1"/>
  <c r="I2961" i="288"/>
  <c r="J2961" i="288" s="1"/>
  <c r="C2961" i="288"/>
  <c r="D2961" i="288" s="1"/>
  <c r="I2960" i="288"/>
  <c r="J2960" i="288" s="1"/>
  <c r="C2960" i="288"/>
  <c r="D2960" i="288" s="1"/>
  <c r="I2959" i="288"/>
  <c r="J2959" i="288" s="1"/>
  <c r="J2969" i="288" s="1"/>
  <c r="C2959" i="288"/>
  <c r="D2959" i="288" s="1"/>
  <c r="D2969" i="288" s="1"/>
  <c r="G2957" i="288"/>
  <c r="A2957" i="288"/>
  <c r="J2953" i="288"/>
  <c r="D2953" i="288"/>
  <c r="I2950" i="288"/>
  <c r="C2950" i="288"/>
  <c r="I2949" i="288"/>
  <c r="J2949" i="288" s="1"/>
  <c r="J2950" i="288" s="1"/>
  <c r="C2949" i="288"/>
  <c r="D2949" i="288" s="1"/>
  <c r="D2950" i="288" s="1"/>
  <c r="I2948" i="288"/>
  <c r="J2948" i="288" s="1"/>
  <c r="C2948" i="288"/>
  <c r="D2948" i="288" s="1"/>
  <c r="I2947" i="288"/>
  <c r="J2947" i="288" s="1"/>
  <c r="C2947" i="288"/>
  <c r="D2947" i="288" s="1"/>
  <c r="I2946" i="288"/>
  <c r="J2946" i="288" s="1"/>
  <c r="C2946" i="288"/>
  <c r="D2946" i="288" s="1"/>
  <c r="I2945" i="288"/>
  <c r="J2945" i="288" s="1"/>
  <c r="C2945" i="288"/>
  <c r="D2945" i="288" s="1"/>
  <c r="I2944" i="288"/>
  <c r="J2944" i="288" s="1"/>
  <c r="J2954" i="288" s="1"/>
  <c r="C2944" i="288"/>
  <c r="D2944" i="288" s="1"/>
  <c r="D2954" i="288" s="1"/>
  <c r="G2942" i="288"/>
  <c r="A2942" i="288"/>
  <c r="J2938" i="288"/>
  <c r="D2938" i="288"/>
  <c r="I2935" i="288"/>
  <c r="C2935" i="288"/>
  <c r="I2934" i="288"/>
  <c r="J2934" i="288" s="1"/>
  <c r="J2935" i="288" s="1"/>
  <c r="C2934" i="288"/>
  <c r="D2934" i="288" s="1"/>
  <c r="D2935" i="288" s="1"/>
  <c r="I2933" i="288"/>
  <c r="J2933" i="288" s="1"/>
  <c r="C2933" i="288"/>
  <c r="D2933" i="288" s="1"/>
  <c r="I2932" i="288"/>
  <c r="J2932" i="288" s="1"/>
  <c r="C2932" i="288"/>
  <c r="D2932" i="288" s="1"/>
  <c r="I2931" i="288"/>
  <c r="J2931" i="288" s="1"/>
  <c r="C2931" i="288"/>
  <c r="D2931" i="288" s="1"/>
  <c r="I2930" i="288"/>
  <c r="J2930" i="288" s="1"/>
  <c r="C2930" i="288"/>
  <c r="D2930" i="288" s="1"/>
  <c r="I2929" i="288"/>
  <c r="J2929" i="288" s="1"/>
  <c r="J2939" i="288" s="1"/>
  <c r="C2929" i="288"/>
  <c r="D2929" i="288" s="1"/>
  <c r="D2939" i="288" s="1"/>
  <c r="G2927" i="288"/>
  <c r="A2927" i="288"/>
  <c r="D2922" i="288"/>
  <c r="I2919" i="288"/>
  <c r="C2919" i="288"/>
  <c r="I2918" i="288"/>
  <c r="J2918" i="288" s="1"/>
  <c r="J2919" i="288" s="1"/>
  <c r="C2918" i="288"/>
  <c r="D2918" i="288" s="1"/>
  <c r="D2919" i="288" s="1"/>
  <c r="I2917" i="288"/>
  <c r="J2917" i="288" s="1"/>
  <c r="C2917" i="288"/>
  <c r="D2917" i="288" s="1"/>
  <c r="I2916" i="288"/>
  <c r="J2916" i="288" s="1"/>
  <c r="C2916" i="288"/>
  <c r="D2916" i="288" s="1"/>
  <c r="I2915" i="288"/>
  <c r="J2915" i="288" s="1"/>
  <c r="C2915" i="288"/>
  <c r="D2915" i="288" s="1"/>
  <c r="I2914" i="288"/>
  <c r="J2914" i="288" s="1"/>
  <c r="C2914" i="288"/>
  <c r="D2914" i="288" s="1"/>
  <c r="D2923" i="288" s="1"/>
  <c r="G2912" i="288"/>
  <c r="A2912" i="288"/>
  <c r="J2908" i="288"/>
  <c r="D2908" i="288"/>
  <c r="I2905" i="288"/>
  <c r="C2905" i="288"/>
  <c r="I2904" i="288"/>
  <c r="J2904" i="288" s="1"/>
  <c r="J2905" i="288" s="1"/>
  <c r="C2904" i="288"/>
  <c r="D2904" i="288" s="1"/>
  <c r="D2905" i="288" s="1"/>
  <c r="I2903" i="288"/>
  <c r="J2903" i="288" s="1"/>
  <c r="C2903" i="288"/>
  <c r="D2903" i="288" s="1"/>
  <c r="I2902" i="288"/>
  <c r="J2902" i="288" s="1"/>
  <c r="C2902" i="288"/>
  <c r="D2902" i="288" s="1"/>
  <c r="I2901" i="288"/>
  <c r="J2901" i="288" s="1"/>
  <c r="C2901" i="288"/>
  <c r="D2901" i="288" s="1"/>
  <c r="I2900" i="288"/>
  <c r="J2900" i="288" s="1"/>
  <c r="J2909" i="288" s="1"/>
  <c r="C2900" i="288"/>
  <c r="D2900" i="288" s="1"/>
  <c r="D2909" i="288" s="1"/>
  <c r="G2898" i="288"/>
  <c r="A2898" i="288"/>
  <c r="J2894" i="288"/>
  <c r="D2894" i="288"/>
  <c r="I2891" i="288"/>
  <c r="C2891" i="288"/>
  <c r="I2890" i="288"/>
  <c r="J2890" i="288" s="1"/>
  <c r="J2891" i="288" s="1"/>
  <c r="C2890" i="288"/>
  <c r="D2890" i="288" s="1"/>
  <c r="D2891" i="288" s="1"/>
  <c r="I2889" i="288"/>
  <c r="J2889" i="288" s="1"/>
  <c r="C2889" i="288"/>
  <c r="D2889" i="288" s="1"/>
  <c r="I2888" i="288"/>
  <c r="J2888" i="288" s="1"/>
  <c r="C2888" i="288"/>
  <c r="D2888" i="288" s="1"/>
  <c r="I2887" i="288"/>
  <c r="J2887" i="288" s="1"/>
  <c r="C2887" i="288"/>
  <c r="D2887" i="288" s="1"/>
  <c r="I2886" i="288"/>
  <c r="J2886" i="288" s="1"/>
  <c r="J2895" i="288" s="1"/>
  <c r="C2886" i="288"/>
  <c r="D2886" i="288" s="1"/>
  <c r="D2895" i="288" s="1"/>
  <c r="G2884" i="288"/>
  <c r="A2884" i="288"/>
  <c r="J2880" i="288"/>
  <c r="D2880" i="288"/>
  <c r="I2877" i="288"/>
  <c r="C2877" i="288"/>
  <c r="I2876" i="288"/>
  <c r="J2876" i="288" s="1"/>
  <c r="J2877" i="288" s="1"/>
  <c r="C2876" i="288"/>
  <c r="D2876" i="288" s="1"/>
  <c r="D2877" i="288" s="1"/>
  <c r="I2875" i="288"/>
  <c r="J2875" i="288" s="1"/>
  <c r="C2875" i="288"/>
  <c r="D2875" i="288" s="1"/>
  <c r="I2874" i="288"/>
  <c r="J2874" i="288" s="1"/>
  <c r="C2874" i="288"/>
  <c r="D2874" i="288" s="1"/>
  <c r="I2873" i="288"/>
  <c r="J2873" i="288" s="1"/>
  <c r="C2873" i="288"/>
  <c r="D2873" i="288" s="1"/>
  <c r="I2872" i="288"/>
  <c r="J2872" i="288" s="1"/>
  <c r="J2881" i="288" s="1"/>
  <c r="C2872" i="288"/>
  <c r="D2872" i="288" s="1"/>
  <c r="D2881" i="288" s="1"/>
  <c r="G2870" i="288"/>
  <c r="A2870" i="288"/>
  <c r="J2865" i="288"/>
  <c r="D2865" i="288"/>
  <c r="I2862" i="288"/>
  <c r="C2862" i="288"/>
  <c r="I2861" i="288"/>
  <c r="J2861" i="288" s="1"/>
  <c r="J2862" i="288" s="1"/>
  <c r="C2861" i="288"/>
  <c r="D2861" i="288" s="1"/>
  <c r="D2862" i="288" s="1"/>
  <c r="I2860" i="288"/>
  <c r="J2860" i="288" s="1"/>
  <c r="C2860" i="288"/>
  <c r="D2860" i="288" s="1"/>
  <c r="I2859" i="288"/>
  <c r="J2859" i="288" s="1"/>
  <c r="C2859" i="288"/>
  <c r="D2859" i="288" s="1"/>
  <c r="I2858" i="288"/>
  <c r="J2858" i="288" s="1"/>
  <c r="C2858" i="288"/>
  <c r="D2858" i="288" s="1"/>
  <c r="I2857" i="288"/>
  <c r="J2857" i="288" s="1"/>
  <c r="J2866" i="288" s="1"/>
  <c r="C2857" i="288"/>
  <c r="D2857" i="288" s="1"/>
  <c r="D2866" i="288" s="1"/>
  <c r="G2855" i="288"/>
  <c r="A2855" i="288"/>
  <c r="J2851" i="288"/>
  <c r="D2851" i="288"/>
  <c r="I2848" i="288"/>
  <c r="C2848" i="288"/>
  <c r="I2847" i="288"/>
  <c r="J2847" i="288" s="1"/>
  <c r="J2848" i="288" s="1"/>
  <c r="C2847" i="288"/>
  <c r="D2847" i="288" s="1"/>
  <c r="D2848" i="288" s="1"/>
  <c r="I2846" i="288"/>
  <c r="J2846" i="288" s="1"/>
  <c r="C2846" i="288"/>
  <c r="D2846" i="288" s="1"/>
  <c r="I2845" i="288"/>
  <c r="J2845" i="288" s="1"/>
  <c r="C2845" i="288"/>
  <c r="D2845" i="288" s="1"/>
  <c r="I2844" i="288"/>
  <c r="J2844" i="288" s="1"/>
  <c r="C2844" i="288"/>
  <c r="D2844" i="288" s="1"/>
  <c r="I2843" i="288"/>
  <c r="J2843" i="288" s="1"/>
  <c r="J2852" i="288" s="1"/>
  <c r="C2843" i="288"/>
  <c r="D2843" i="288" s="1"/>
  <c r="D2852" i="288" s="1"/>
  <c r="G2841" i="288"/>
  <c r="A2841" i="288"/>
  <c r="J2837" i="288"/>
  <c r="D2837" i="288"/>
  <c r="I2834" i="288"/>
  <c r="C2834" i="288"/>
  <c r="I2833" i="288"/>
  <c r="J2833" i="288" s="1"/>
  <c r="J2834" i="288" s="1"/>
  <c r="C2833" i="288"/>
  <c r="D2833" i="288" s="1"/>
  <c r="D2834" i="288" s="1"/>
  <c r="I2832" i="288"/>
  <c r="J2832" i="288" s="1"/>
  <c r="C2832" i="288"/>
  <c r="D2832" i="288" s="1"/>
  <c r="I2831" i="288"/>
  <c r="J2831" i="288" s="1"/>
  <c r="C2831" i="288"/>
  <c r="D2831" i="288" s="1"/>
  <c r="I2830" i="288"/>
  <c r="J2830" i="288" s="1"/>
  <c r="C2830" i="288"/>
  <c r="D2830" i="288" s="1"/>
  <c r="I2829" i="288"/>
  <c r="J2829" i="288" s="1"/>
  <c r="J2838" i="288" s="1"/>
  <c r="C2829" i="288"/>
  <c r="D2829" i="288" s="1"/>
  <c r="D2838" i="288" s="1"/>
  <c r="G2827" i="288"/>
  <c r="A2827" i="288"/>
  <c r="J2823" i="288"/>
  <c r="D2823" i="288"/>
  <c r="I2820" i="288"/>
  <c r="C2820" i="288"/>
  <c r="I2819" i="288"/>
  <c r="J2819" i="288" s="1"/>
  <c r="J2820" i="288" s="1"/>
  <c r="C2819" i="288"/>
  <c r="D2819" i="288" s="1"/>
  <c r="D2820" i="288" s="1"/>
  <c r="I2818" i="288"/>
  <c r="J2818" i="288" s="1"/>
  <c r="C2818" i="288"/>
  <c r="D2818" i="288" s="1"/>
  <c r="I2817" i="288"/>
  <c r="J2817" i="288" s="1"/>
  <c r="C2817" i="288"/>
  <c r="D2817" i="288" s="1"/>
  <c r="I2816" i="288"/>
  <c r="J2816" i="288" s="1"/>
  <c r="C2816" i="288"/>
  <c r="D2816" i="288" s="1"/>
  <c r="I2815" i="288"/>
  <c r="J2815" i="288" s="1"/>
  <c r="J2824" i="288" s="1"/>
  <c r="C2815" i="288"/>
  <c r="D2815" i="288" s="1"/>
  <c r="D2824" i="288" s="1"/>
  <c r="G2813" i="288"/>
  <c r="A2813" i="288"/>
  <c r="J2808" i="288"/>
  <c r="D2808" i="288"/>
  <c r="I2805" i="288"/>
  <c r="C2805" i="288"/>
  <c r="I2804" i="288"/>
  <c r="J2804" i="288" s="1"/>
  <c r="J2805" i="288" s="1"/>
  <c r="C2804" i="288"/>
  <c r="D2804" i="288" s="1"/>
  <c r="D2805" i="288" s="1"/>
  <c r="I2803" i="288"/>
  <c r="J2803" i="288" s="1"/>
  <c r="C2803" i="288"/>
  <c r="D2803" i="288" s="1"/>
  <c r="I2802" i="288"/>
  <c r="J2802" i="288" s="1"/>
  <c r="C2802" i="288"/>
  <c r="D2802" i="288" s="1"/>
  <c r="I2801" i="288"/>
  <c r="J2801" i="288" s="1"/>
  <c r="C2801" i="288"/>
  <c r="D2801" i="288" s="1"/>
  <c r="I2800" i="288"/>
  <c r="J2800" i="288" s="1"/>
  <c r="J2809" i="288" s="1"/>
  <c r="C2800" i="288"/>
  <c r="D2800" i="288" s="1"/>
  <c r="D2809" i="288" s="1"/>
  <c r="G2798" i="288"/>
  <c r="A2798" i="288"/>
  <c r="J2794" i="288"/>
  <c r="D2794" i="288"/>
  <c r="I2791" i="288"/>
  <c r="C2791" i="288"/>
  <c r="I2790" i="288"/>
  <c r="J2790" i="288" s="1"/>
  <c r="J2791" i="288" s="1"/>
  <c r="C2790" i="288"/>
  <c r="D2790" i="288" s="1"/>
  <c r="D2791" i="288" s="1"/>
  <c r="I2789" i="288"/>
  <c r="J2789" i="288" s="1"/>
  <c r="C2789" i="288"/>
  <c r="D2789" i="288" s="1"/>
  <c r="I2788" i="288"/>
  <c r="J2788" i="288" s="1"/>
  <c r="C2788" i="288"/>
  <c r="D2788" i="288" s="1"/>
  <c r="I2787" i="288"/>
  <c r="J2787" i="288" s="1"/>
  <c r="C2787" i="288"/>
  <c r="D2787" i="288" s="1"/>
  <c r="I2786" i="288"/>
  <c r="J2786" i="288" s="1"/>
  <c r="J2795" i="288" s="1"/>
  <c r="C2786" i="288"/>
  <c r="D2786" i="288" s="1"/>
  <c r="D2795" i="288" s="1"/>
  <c r="G2784" i="288"/>
  <c r="A2784" i="288"/>
  <c r="J2780" i="288"/>
  <c r="D2780" i="288"/>
  <c r="I2777" i="288"/>
  <c r="C2777" i="288"/>
  <c r="I2776" i="288"/>
  <c r="J2776" i="288" s="1"/>
  <c r="J2777" i="288" s="1"/>
  <c r="C2776" i="288"/>
  <c r="D2776" i="288" s="1"/>
  <c r="D2777" i="288" s="1"/>
  <c r="I2775" i="288"/>
  <c r="J2775" i="288" s="1"/>
  <c r="C2775" i="288"/>
  <c r="D2775" i="288" s="1"/>
  <c r="I2774" i="288"/>
  <c r="J2774" i="288" s="1"/>
  <c r="C2774" i="288"/>
  <c r="D2774" i="288" s="1"/>
  <c r="I2773" i="288"/>
  <c r="J2773" i="288" s="1"/>
  <c r="C2773" i="288"/>
  <c r="D2773" i="288" s="1"/>
  <c r="I2772" i="288"/>
  <c r="J2772" i="288" s="1"/>
  <c r="J2781" i="288" s="1"/>
  <c r="C2772" i="288"/>
  <c r="D2772" i="288" s="1"/>
  <c r="D2781" i="288" s="1"/>
  <c r="G2770" i="288"/>
  <c r="A2770" i="288"/>
  <c r="J2766" i="288"/>
  <c r="D2766" i="288"/>
  <c r="I2763" i="288"/>
  <c r="C2763" i="288"/>
  <c r="I2762" i="288"/>
  <c r="J2762" i="288" s="1"/>
  <c r="J2763" i="288" s="1"/>
  <c r="C2762" i="288"/>
  <c r="D2762" i="288" s="1"/>
  <c r="D2763" i="288" s="1"/>
  <c r="I2761" i="288"/>
  <c r="J2761" i="288" s="1"/>
  <c r="C2761" i="288"/>
  <c r="D2761" i="288" s="1"/>
  <c r="I2760" i="288"/>
  <c r="J2760" i="288" s="1"/>
  <c r="C2760" i="288"/>
  <c r="D2760" i="288" s="1"/>
  <c r="I2759" i="288"/>
  <c r="J2759" i="288" s="1"/>
  <c r="C2759" i="288"/>
  <c r="D2759" i="288" s="1"/>
  <c r="I2758" i="288"/>
  <c r="J2758" i="288" s="1"/>
  <c r="J2767" i="288" s="1"/>
  <c r="C2758" i="288"/>
  <c r="D2758" i="288" s="1"/>
  <c r="D2767" i="288" s="1"/>
  <c r="G2756" i="288"/>
  <c r="A2756" i="288"/>
  <c r="J2751" i="288"/>
  <c r="D2751" i="288"/>
  <c r="I2748" i="288"/>
  <c r="C2748" i="288"/>
  <c r="I2747" i="288"/>
  <c r="J2747" i="288" s="1"/>
  <c r="J2748" i="288" s="1"/>
  <c r="C2747" i="288"/>
  <c r="D2747" i="288" s="1"/>
  <c r="D2748" i="288" s="1"/>
  <c r="I2746" i="288"/>
  <c r="J2746" i="288" s="1"/>
  <c r="C2746" i="288"/>
  <c r="D2746" i="288" s="1"/>
  <c r="I2745" i="288"/>
  <c r="J2745" i="288" s="1"/>
  <c r="C2745" i="288"/>
  <c r="D2745" i="288" s="1"/>
  <c r="I2744" i="288"/>
  <c r="J2744" i="288" s="1"/>
  <c r="C2744" i="288"/>
  <c r="D2744" i="288" s="1"/>
  <c r="I2743" i="288"/>
  <c r="J2743" i="288" s="1"/>
  <c r="J2752" i="288" s="1"/>
  <c r="C2743" i="288"/>
  <c r="D2743" i="288" s="1"/>
  <c r="D2752" i="288" s="1"/>
  <c r="G2741" i="288"/>
  <c r="A2741" i="288"/>
  <c r="J2737" i="288"/>
  <c r="D2737" i="288"/>
  <c r="I2734" i="288"/>
  <c r="C2734" i="288"/>
  <c r="I2733" i="288"/>
  <c r="J2733" i="288" s="1"/>
  <c r="J2734" i="288" s="1"/>
  <c r="C2733" i="288"/>
  <c r="D2733" i="288" s="1"/>
  <c r="D2734" i="288" s="1"/>
  <c r="I2732" i="288"/>
  <c r="J2732" i="288" s="1"/>
  <c r="C2732" i="288"/>
  <c r="D2732" i="288" s="1"/>
  <c r="I2731" i="288"/>
  <c r="J2731" i="288" s="1"/>
  <c r="C2731" i="288"/>
  <c r="D2731" i="288" s="1"/>
  <c r="I2730" i="288"/>
  <c r="J2730" i="288" s="1"/>
  <c r="C2730" i="288"/>
  <c r="D2730" i="288" s="1"/>
  <c r="I2729" i="288"/>
  <c r="J2729" i="288" s="1"/>
  <c r="J2738" i="288" s="1"/>
  <c r="C2729" i="288"/>
  <c r="D2729" i="288" s="1"/>
  <c r="D2738" i="288" s="1"/>
  <c r="G2727" i="288"/>
  <c r="A2727" i="288"/>
  <c r="J2723" i="288"/>
  <c r="D2723" i="288"/>
  <c r="I2720" i="288"/>
  <c r="C2720" i="288"/>
  <c r="I2719" i="288"/>
  <c r="J2719" i="288" s="1"/>
  <c r="J2720" i="288" s="1"/>
  <c r="C2719" i="288"/>
  <c r="D2719" i="288" s="1"/>
  <c r="D2720" i="288" s="1"/>
  <c r="I2718" i="288"/>
  <c r="J2718" i="288" s="1"/>
  <c r="C2718" i="288"/>
  <c r="D2718" i="288" s="1"/>
  <c r="I2717" i="288"/>
  <c r="J2717" i="288" s="1"/>
  <c r="C2717" i="288"/>
  <c r="D2717" i="288" s="1"/>
  <c r="I2716" i="288"/>
  <c r="J2716" i="288" s="1"/>
  <c r="C2716" i="288"/>
  <c r="D2716" i="288" s="1"/>
  <c r="I2715" i="288"/>
  <c r="J2715" i="288" s="1"/>
  <c r="J2724" i="288" s="1"/>
  <c r="C2715" i="288"/>
  <c r="D2715" i="288" s="1"/>
  <c r="D2724" i="288" s="1"/>
  <c r="G2713" i="288"/>
  <c r="A2713" i="288"/>
  <c r="J2709" i="288"/>
  <c r="D2709" i="288"/>
  <c r="I2706" i="288"/>
  <c r="C2706" i="288"/>
  <c r="I2705" i="288"/>
  <c r="J2705" i="288" s="1"/>
  <c r="J2706" i="288" s="1"/>
  <c r="C2705" i="288"/>
  <c r="D2705" i="288" s="1"/>
  <c r="D2706" i="288" s="1"/>
  <c r="I2704" i="288"/>
  <c r="J2704" i="288" s="1"/>
  <c r="C2704" i="288"/>
  <c r="D2704" i="288" s="1"/>
  <c r="I2703" i="288"/>
  <c r="J2703" i="288" s="1"/>
  <c r="C2703" i="288"/>
  <c r="D2703" i="288" s="1"/>
  <c r="I2702" i="288"/>
  <c r="J2702" i="288" s="1"/>
  <c r="C2702" i="288"/>
  <c r="D2702" i="288" s="1"/>
  <c r="I2701" i="288"/>
  <c r="J2701" i="288" s="1"/>
  <c r="J2710" i="288" s="1"/>
  <c r="C2701" i="288"/>
  <c r="D2701" i="288" s="1"/>
  <c r="D2710" i="288" s="1"/>
  <c r="G2699" i="288"/>
  <c r="A2699" i="288"/>
  <c r="J2694" i="288"/>
  <c r="D2694" i="288"/>
  <c r="I2691" i="288"/>
  <c r="C2691" i="288"/>
  <c r="I2690" i="288"/>
  <c r="J2690" i="288" s="1"/>
  <c r="J2691" i="288" s="1"/>
  <c r="C2690" i="288"/>
  <c r="D2690" i="288" s="1"/>
  <c r="D2691" i="288" s="1"/>
  <c r="I2689" i="288"/>
  <c r="J2689" i="288" s="1"/>
  <c r="C2689" i="288"/>
  <c r="D2689" i="288" s="1"/>
  <c r="I2688" i="288"/>
  <c r="J2688" i="288" s="1"/>
  <c r="C2688" i="288"/>
  <c r="D2688" i="288" s="1"/>
  <c r="I2687" i="288"/>
  <c r="J2687" i="288" s="1"/>
  <c r="C2687" i="288"/>
  <c r="D2687" i="288" s="1"/>
  <c r="I2686" i="288"/>
  <c r="J2686" i="288" s="1"/>
  <c r="J2695" i="288" s="1"/>
  <c r="C2686" i="288"/>
  <c r="D2686" i="288" s="1"/>
  <c r="D2695" i="288" s="1"/>
  <c r="G2684" i="288"/>
  <c r="A2684" i="288"/>
  <c r="J2680" i="288"/>
  <c r="D2680" i="288"/>
  <c r="I2677" i="288"/>
  <c r="C2677" i="288"/>
  <c r="I2676" i="288"/>
  <c r="J2676" i="288" s="1"/>
  <c r="J2677" i="288" s="1"/>
  <c r="C2676" i="288"/>
  <c r="D2676" i="288" s="1"/>
  <c r="D2677" i="288" s="1"/>
  <c r="I2675" i="288"/>
  <c r="J2675" i="288" s="1"/>
  <c r="C2675" i="288"/>
  <c r="D2675" i="288" s="1"/>
  <c r="I2674" i="288"/>
  <c r="J2674" i="288" s="1"/>
  <c r="C2674" i="288"/>
  <c r="D2674" i="288" s="1"/>
  <c r="I2673" i="288"/>
  <c r="J2673" i="288" s="1"/>
  <c r="C2673" i="288"/>
  <c r="D2673" i="288" s="1"/>
  <c r="I2672" i="288"/>
  <c r="J2672" i="288" s="1"/>
  <c r="J2681" i="288" s="1"/>
  <c r="C2672" i="288"/>
  <c r="D2672" i="288" s="1"/>
  <c r="D2681" i="288" s="1"/>
  <c r="G2670" i="288"/>
  <c r="A2670" i="288"/>
  <c r="J2666" i="288"/>
  <c r="D2666" i="288"/>
  <c r="I2663" i="288"/>
  <c r="C2663" i="288"/>
  <c r="I2662" i="288"/>
  <c r="J2662" i="288" s="1"/>
  <c r="J2663" i="288" s="1"/>
  <c r="C2662" i="288"/>
  <c r="D2662" i="288" s="1"/>
  <c r="D2663" i="288" s="1"/>
  <c r="I2661" i="288"/>
  <c r="J2661" i="288" s="1"/>
  <c r="C2661" i="288"/>
  <c r="D2661" i="288" s="1"/>
  <c r="I2660" i="288"/>
  <c r="J2660" i="288" s="1"/>
  <c r="C2660" i="288"/>
  <c r="D2660" i="288" s="1"/>
  <c r="I2659" i="288"/>
  <c r="J2659" i="288" s="1"/>
  <c r="C2659" i="288"/>
  <c r="D2659" i="288" s="1"/>
  <c r="I2658" i="288"/>
  <c r="J2658" i="288" s="1"/>
  <c r="J2667" i="288" s="1"/>
  <c r="C2658" i="288"/>
  <c r="D2658" i="288" s="1"/>
  <c r="D2667" i="288" s="1"/>
  <c r="G2656" i="288"/>
  <c r="A2656" i="288"/>
  <c r="J2652" i="288"/>
  <c r="D2652" i="288"/>
  <c r="I2649" i="288"/>
  <c r="C2649" i="288"/>
  <c r="I2648" i="288"/>
  <c r="J2648" i="288" s="1"/>
  <c r="J2649" i="288" s="1"/>
  <c r="C2648" i="288"/>
  <c r="D2648" i="288" s="1"/>
  <c r="D2649" i="288" s="1"/>
  <c r="I2647" i="288"/>
  <c r="J2647" i="288" s="1"/>
  <c r="C2647" i="288"/>
  <c r="D2647" i="288" s="1"/>
  <c r="I2646" i="288"/>
  <c r="J2646" i="288" s="1"/>
  <c r="C2646" i="288"/>
  <c r="D2646" i="288" s="1"/>
  <c r="I2645" i="288"/>
  <c r="J2645" i="288" s="1"/>
  <c r="C2645" i="288"/>
  <c r="D2645" i="288" s="1"/>
  <c r="I2644" i="288"/>
  <c r="J2644" i="288" s="1"/>
  <c r="J2653" i="288" s="1"/>
  <c r="C2644" i="288"/>
  <c r="D2644" i="288" s="1"/>
  <c r="D2653" i="288" s="1"/>
  <c r="G2642" i="288"/>
  <c r="A2642" i="288"/>
  <c r="J2637" i="288"/>
  <c r="D2637" i="288"/>
  <c r="I2634" i="288"/>
  <c r="C2634" i="288"/>
  <c r="I2633" i="288"/>
  <c r="J2633" i="288" s="1"/>
  <c r="J2634" i="288" s="1"/>
  <c r="C2633" i="288"/>
  <c r="D2633" i="288" s="1"/>
  <c r="D2634" i="288" s="1"/>
  <c r="I2632" i="288"/>
  <c r="J2632" i="288" s="1"/>
  <c r="C2632" i="288"/>
  <c r="D2632" i="288" s="1"/>
  <c r="I2631" i="288"/>
  <c r="J2631" i="288" s="1"/>
  <c r="C2631" i="288"/>
  <c r="D2631" i="288" s="1"/>
  <c r="I2630" i="288"/>
  <c r="J2630" i="288" s="1"/>
  <c r="C2630" i="288"/>
  <c r="D2630" i="288" s="1"/>
  <c r="I2629" i="288"/>
  <c r="J2629" i="288" s="1"/>
  <c r="J2638" i="288" s="1"/>
  <c r="C2629" i="288"/>
  <c r="D2629" i="288" s="1"/>
  <c r="D2638" i="288" s="1"/>
  <c r="G2627" i="288"/>
  <c r="A2627" i="288"/>
  <c r="J2623" i="288"/>
  <c r="D2623" i="288"/>
  <c r="I2620" i="288"/>
  <c r="C2620" i="288"/>
  <c r="I2619" i="288"/>
  <c r="J2619" i="288" s="1"/>
  <c r="J2620" i="288" s="1"/>
  <c r="C2619" i="288"/>
  <c r="D2619" i="288" s="1"/>
  <c r="D2620" i="288" s="1"/>
  <c r="I2618" i="288"/>
  <c r="J2618" i="288" s="1"/>
  <c r="C2618" i="288"/>
  <c r="D2618" i="288" s="1"/>
  <c r="I2617" i="288"/>
  <c r="J2617" i="288" s="1"/>
  <c r="C2617" i="288"/>
  <c r="D2617" i="288" s="1"/>
  <c r="I2616" i="288"/>
  <c r="J2616" i="288" s="1"/>
  <c r="C2616" i="288"/>
  <c r="D2616" i="288" s="1"/>
  <c r="I2615" i="288"/>
  <c r="J2615" i="288" s="1"/>
  <c r="J2624" i="288" s="1"/>
  <c r="C2615" i="288"/>
  <c r="D2615" i="288" s="1"/>
  <c r="D2624" i="288" s="1"/>
  <c r="G2613" i="288"/>
  <c r="A2613" i="288"/>
  <c r="J2609" i="288"/>
  <c r="D2609" i="288"/>
  <c r="I2606" i="288"/>
  <c r="C2606" i="288"/>
  <c r="I2605" i="288"/>
  <c r="J2605" i="288" s="1"/>
  <c r="J2606" i="288" s="1"/>
  <c r="C2605" i="288"/>
  <c r="D2605" i="288" s="1"/>
  <c r="D2606" i="288" s="1"/>
  <c r="I2604" i="288"/>
  <c r="J2604" i="288" s="1"/>
  <c r="C2604" i="288"/>
  <c r="D2604" i="288" s="1"/>
  <c r="I2603" i="288"/>
  <c r="J2603" i="288" s="1"/>
  <c r="C2603" i="288"/>
  <c r="D2603" i="288" s="1"/>
  <c r="I2602" i="288"/>
  <c r="J2602" i="288" s="1"/>
  <c r="C2602" i="288"/>
  <c r="D2602" i="288" s="1"/>
  <c r="I2601" i="288"/>
  <c r="J2601" i="288" s="1"/>
  <c r="J2610" i="288" s="1"/>
  <c r="C2601" i="288"/>
  <c r="D2601" i="288" s="1"/>
  <c r="D2610" i="288" s="1"/>
  <c r="G2599" i="288"/>
  <c r="A2599" i="288"/>
  <c r="J2595" i="288"/>
  <c r="D2595" i="288"/>
  <c r="I2592" i="288"/>
  <c r="C2592" i="288"/>
  <c r="I2591" i="288"/>
  <c r="J2591" i="288" s="1"/>
  <c r="J2592" i="288" s="1"/>
  <c r="C2591" i="288"/>
  <c r="D2591" i="288" s="1"/>
  <c r="D2592" i="288" s="1"/>
  <c r="I2590" i="288"/>
  <c r="J2590" i="288" s="1"/>
  <c r="C2590" i="288"/>
  <c r="D2590" i="288" s="1"/>
  <c r="I2589" i="288"/>
  <c r="J2589" i="288" s="1"/>
  <c r="C2589" i="288"/>
  <c r="D2589" i="288" s="1"/>
  <c r="I2588" i="288"/>
  <c r="J2588" i="288" s="1"/>
  <c r="C2588" i="288"/>
  <c r="D2588" i="288" s="1"/>
  <c r="I2587" i="288"/>
  <c r="J2587" i="288" s="1"/>
  <c r="J2596" i="288" s="1"/>
  <c r="C2587" i="288"/>
  <c r="D2587" i="288" s="1"/>
  <c r="D2596" i="288" s="1"/>
  <c r="G2585" i="288"/>
  <c r="A2585" i="288"/>
  <c r="J2580" i="288"/>
  <c r="D2580" i="288"/>
  <c r="I2577" i="288"/>
  <c r="C2577" i="288"/>
  <c r="I2576" i="288"/>
  <c r="J2576" i="288" s="1"/>
  <c r="J2577" i="288" s="1"/>
  <c r="C2576" i="288"/>
  <c r="D2576" i="288" s="1"/>
  <c r="D2577" i="288" s="1"/>
  <c r="I2575" i="288"/>
  <c r="J2575" i="288" s="1"/>
  <c r="C2575" i="288"/>
  <c r="D2575" i="288" s="1"/>
  <c r="I2574" i="288"/>
  <c r="J2574" i="288" s="1"/>
  <c r="C2574" i="288"/>
  <c r="D2574" i="288" s="1"/>
  <c r="I2573" i="288"/>
  <c r="J2573" i="288" s="1"/>
  <c r="C2573" i="288"/>
  <c r="D2573" i="288" s="1"/>
  <c r="I2572" i="288"/>
  <c r="J2572" i="288" s="1"/>
  <c r="J2581" i="288" s="1"/>
  <c r="C2572" i="288"/>
  <c r="D2572" i="288" s="1"/>
  <c r="D2581" i="288" s="1"/>
  <c r="G2570" i="288"/>
  <c r="A2570" i="288"/>
  <c r="J2566" i="288"/>
  <c r="D2566" i="288"/>
  <c r="I2563" i="288"/>
  <c r="C2563" i="288"/>
  <c r="I2562" i="288"/>
  <c r="J2562" i="288" s="1"/>
  <c r="J2563" i="288" s="1"/>
  <c r="C2562" i="288"/>
  <c r="D2562" i="288" s="1"/>
  <c r="D2563" i="288" s="1"/>
  <c r="I2561" i="288"/>
  <c r="J2561" i="288" s="1"/>
  <c r="C2561" i="288"/>
  <c r="D2561" i="288" s="1"/>
  <c r="I2560" i="288"/>
  <c r="J2560" i="288" s="1"/>
  <c r="C2560" i="288"/>
  <c r="D2560" i="288" s="1"/>
  <c r="I2559" i="288"/>
  <c r="J2559" i="288" s="1"/>
  <c r="C2559" i="288"/>
  <c r="D2559" i="288" s="1"/>
  <c r="I2558" i="288"/>
  <c r="J2558" i="288" s="1"/>
  <c r="J2567" i="288" s="1"/>
  <c r="C2558" i="288"/>
  <c r="D2558" i="288" s="1"/>
  <c r="D2567" i="288" s="1"/>
  <c r="G2556" i="288"/>
  <c r="A2556" i="288"/>
  <c r="J2552" i="288"/>
  <c r="D2552" i="288"/>
  <c r="I2549" i="288"/>
  <c r="C2549" i="288"/>
  <c r="I2548" i="288"/>
  <c r="J2548" i="288" s="1"/>
  <c r="J2549" i="288" s="1"/>
  <c r="C2548" i="288"/>
  <c r="D2548" i="288" s="1"/>
  <c r="D2549" i="288" s="1"/>
  <c r="I2547" i="288"/>
  <c r="J2547" i="288" s="1"/>
  <c r="C2547" i="288"/>
  <c r="D2547" i="288" s="1"/>
  <c r="I2546" i="288"/>
  <c r="J2546" i="288" s="1"/>
  <c r="C2546" i="288"/>
  <c r="D2546" i="288" s="1"/>
  <c r="I2545" i="288"/>
  <c r="J2545" i="288" s="1"/>
  <c r="C2545" i="288"/>
  <c r="D2545" i="288" s="1"/>
  <c r="I2544" i="288"/>
  <c r="J2544" i="288" s="1"/>
  <c r="J2553" i="288" s="1"/>
  <c r="C2544" i="288"/>
  <c r="D2544" i="288" s="1"/>
  <c r="D2553" i="288" s="1"/>
  <c r="G2542" i="288"/>
  <c r="A2542" i="288"/>
  <c r="J2538" i="288"/>
  <c r="D2538" i="288"/>
  <c r="I2535" i="288"/>
  <c r="C2535" i="288"/>
  <c r="I2534" i="288"/>
  <c r="J2534" i="288" s="1"/>
  <c r="J2535" i="288" s="1"/>
  <c r="C2534" i="288"/>
  <c r="D2534" i="288" s="1"/>
  <c r="D2535" i="288" s="1"/>
  <c r="I2533" i="288"/>
  <c r="J2533" i="288" s="1"/>
  <c r="C2533" i="288"/>
  <c r="D2533" i="288" s="1"/>
  <c r="I2532" i="288"/>
  <c r="J2532" i="288" s="1"/>
  <c r="C2532" i="288"/>
  <c r="D2532" i="288" s="1"/>
  <c r="I2531" i="288"/>
  <c r="J2531" i="288" s="1"/>
  <c r="C2531" i="288"/>
  <c r="D2531" i="288" s="1"/>
  <c r="I2530" i="288"/>
  <c r="J2530" i="288" s="1"/>
  <c r="J2539" i="288" s="1"/>
  <c r="C2530" i="288"/>
  <c r="D2530" i="288" s="1"/>
  <c r="D2539" i="288" s="1"/>
  <c r="G2528" i="288"/>
  <c r="A2528" i="288"/>
  <c r="J2523" i="288"/>
  <c r="D2523" i="288"/>
  <c r="I2520" i="288"/>
  <c r="C2520" i="288"/>
  <c r="I2519" i="288"/>
  <c r="J2519" i="288" s="1"/>
  <c r="J2520" i="288" s="1"/>
  <c r="C2519" i="288"/>
  <c r="D2519" i="288" s="1"/>
  <c r="D2520" i="288" s="1"/>
  <c r="I2518" i="288"/>
  <c r="J2518" i="288" s="1"/>
  <c r="C2518" i="288"/>
  <c r="D2518" i="288" s="1"/>
  <c r="I2517" i="288"/>
  <c r="J2517" i="288" s="1"/>
  <c r="C2517" i="288"/>
  <c r="D2517" i="288" s="1"/>
  <c r="I2516" i="288"/>
  <c r="J2516" i="288" s="1"/>
  <c r="C2516" i="288"/>
  <c r="D2516" i="288" s="1"/>
  <c r="I2515" i="288"/>
  <c r="J2515" i="288" s="1"/>
  <c r="J2524" i="288" s="1"/>
  <c r="C2515" i="288"/>
  <c r="D2515" i="288" s="1"/>
  <c r="D2524" i="288" s="1"/>
  <c r="G2513" i="288"/>
  <c r="A2513" i="288"/>
  <c r="J2509" i="288"/>
  <c r="D2509" i="288"/>
  <c r="I2506" i="288"/>
  <c r="C2506" i="288"/>
  <c r="I2505" i="288"/>
  <c r="J2505" i="288" s="1"/>
  <c r="J2506" i="288" s="1"/>
  <c r="C2505" i="288"/>
  <c r="D2505" i="288" s="1"/>
  <c r="D2506" i="288" s="1"/>
  <c r="I2504" i="288"/>
  <c r="J2504" i="288" s="1"/>
  <c r="C2504" i="288"/>
  <c r="D2504" i="288" s="1"/>
  <c r="I2503" i="288"/>
  <c r="J2503" i="288" s="1"/>
  <c r="C2503" i="288"/>
  <c r="D2503" i="288" s="1"/>
  <c r="I2502" i="288"/>
  <c r="J2502" i="288" s="1"/>
  <c r="C2502" i="288"/>
  <c r="D2502" i="288" s="1"/>
  <c r="I2501" i="288"/>
  <c r="J2501" i="288" s="1"/>
  <c r="J2510" i="288" s="1"/>
  <c r="C2501" i="288"/>
  <c r="D2501" i="288" s="1"/>
  <c r="D2510" i="288" s="1"/>
  <c r="G2499" i="288"/>
  <c r="A2499" i="288"/>
  <c r="J2495" i="288"/>
  <c r="D2495" i="288"/>
  <c r="I2492" i="288"/>
  <c r="C2492" i="288"/>
  <c r="I2491" i="288"/>
  <c r="J2491" i="288" s="1"/>
  <c r="J2492" i="288" s="1"/>
  <c r="C2491" i="288"/>
  <c r="D2491" i="288" s="1"/>
  <c r="D2492" i="288" s="1"/>
  <c r="I2490" i="288"/>
  <c r="J2490" i="288" s="1"/>
  <c r="C2490" i="288"/>
  <c r="D2490" i="288" s="1"/>
  <c r="I2489" i="288"/>
  <c r="J2489" i="288" s="1"/>
  <c r="C2489" i="288"/>
  <c r="D2489" i="288" s="1"/>
  <c r="I2488" i="288"/>
  <c r="J2488" i="288" s="1"/>
  <c r="C2488" i="288"/>
  <c r="D2488" i="288" s="1"/>
  <c r="I2487" i="288"/>
  <c r="J2487" i="288" s="1"/>
  <c r="J2496" i="288" s="1"/>
  <c r="C2487" i="288"/>
  <c r="D2487" i="288" s="1"/>
  <c r="D2496" i="288" s="1"/>
  <c r="G2485" i="288"/>
  <c r="A2485" i="288"/>
  <c r="J2481" i="288"/>
  <c r="D2481" i="288"/>
  <c r="I2478" i="288"/>
  <c r="C2478" i="288"/>
  <c r="I2477" i="288"/>
  <c r="J2477" i="288" s="1"/>
  <c r="J2478" i="288" s="1"/>
  <c r="C2477" i="288"/>
  <c r="D2477" i="288" s="1"/>
  <c r="D2478" i="288" s="1"/>
  <c r="I2476" i="288"/>
  <c r="J2476" i="288" s="1"/>
  <c r="C2476" i="288"/>
  <c r="D2476" i="288" s="1"/>
  <c r="I2475" i="288"/>
  <c r="J2475" i="288" s="1"/>
  <c r="C2475" i="288"/>
  <c r="D2475" i="288" s="1"/>
  <c r="I2474" i="288"/>
  <c r="J2474" i="288" s="1"/>
  <c r="C2474" i="288"/>
  <c r="D2474" i="288" s="1"/>
  <c r="I2473" i="288"/>
  <c r="J2473" i="288" s="1"/>
  <c r="J2482" i="288" s="1"/>
  <c r="C2473" i="288"/>
  <c r="D2473" i="288" s="1"/>
  <c r="D2482" i="288" s="1"/>
  <c r="G2471" i="288"/>
  <c r="A2471" i="288"/>
  <c r="J2466" i="288"/>
  <c r="D2466" i="288"/>
  <c r="I2463" i="288"/>
  <c r="C2463" i="288"/>
  <c r="I2462" i="288"/>
  <c r="J2462" i="288" s="1"/>
  <c r="J2463" i="288" s="1"/>
  <c r="C2462" i="288"/>
  <c r="D2462" i="288" s="1"/>
  <c r="D2463" i="288" s="1"/>
  <c r="I2461" i="288"/>
  <c r="J2461" i="288" s="1"/>
  <c r="C2461" i="288"/>
  <c r="D2461" i="288" s="1"/>
  <c r="I2460" i="288"/>
  <c r="J2460" i="288" s="1"/>
  <c r="C2460" i="288"/>
  <c r="D2460" i="288" s="1"/>
  <c r="I2459" i="288"/>
  <c r="J2459" i="288" s="1"/>
  <c r="C2459" i="288"/>
  <c r="D2459" i="288" s="1"/>
  <c r="I2458" i="288"/>
  <c r="J2458" i="288" s="1"/>
  <c r="J2467" i="288" s="1"/>
  <c r="C2458" i="288"/>
  <c r="D2458" i="288" s="1"/>
  <c r="D2467" i="288" s="1"/>
  <c r="G2456" i="288"/>
  <c r="A2456" i="288"/>
  <c r="J2452" i="288"/>
  <c r="D2452" i="288"/>
  <c r="I2449" i="288"/>
  <c r="C2449" i="288"/>
  <c r="I2448" i="288"/>
  <c r="J2448" i="288" s="1"/>
  <c r="J2449" i="288" s="1"/>
  <c r="C2448" i="288"/>
  <c r="D2448" i="288" s="1"/>
  <c r="D2449" i="288" s="1"/>
  <c r="I2447" i="288"/>
  <c r="J2447" i="288" s="1"/>
  <c r="C2447" i="288"/>
  <c r="D2447" i="288" s="1"/>
  <c r="I2446" i="288"/>
  <c r="J2446" i="288" s="1"/>
  <c r="C2446" i="288"/>
  <c r="D2446" i="288" s="1"/>
  <c r="I2445" i="288"/>
  <c r="J2445" i="288" s="1"/>
  <c r="C2445" i="288"/>
  <c r="D2445" i="288" s="1"/>
  <c r="I2444" i="288"/>
  <c r="J2444" i="288" s="1"/>
  <c r="J2453" i="288" s="1"/>
  <c r="C2444" i="288"/>
  <c r="D2444" i="288" s="1"/>
  <c r="D2453" i="288" s="1"/>
  <c r="G2442" i="288"/>
  <c r="A2442" i="288"/>
  <c r="J2438" i="288"/>
  <c r="D2438" i="288"/>
  <c r="I2435" i="288"/>
  <c r="C2435" i="288"/>
  <c r="I2434" i="288"/>
  <c r="J2434" i="288" s="1"/>
  <c r="J2435" i="288" s="1"/>
  <c r="C2434" i="288"/>
  <c r="D2434" i="288" s="1"/>
  <c r="D2435" i="288" s="1"/>
  <c r="I2433" i="288"/>
  <c r="J2433" i="288" s="1"/>
  <c r="C2433" i="288"/>
  <c r="D2433" i="288" s="1"/>
  <c r="I2432" i="288"/>
  <c r="J2432" i="288" s="1"/>
  <c r="C2432" i="288"/>
  <c r="D2432" i="288" s="1"/>
  <c r="I2431" i="288"/>
  <c r="J2431" i="288" s="1"/>
  <c r="C2431" i="288"/>
  <c r="D2431" i="288" s="1"/>
  <c r="I2430" i="288"/>
  <c r="J2430" i="288" s="1"/>
  <c r="J2439" i="288" s="1"/>
  <c r="C2430" i="288"/>
  <c r="D2430" i="288" s="1"/>
  <c r="D2439" i="288" s="1"/>
  <c r="G2428" i="288"/>
  <c r="A2428" i="288"/>
  <c r="J2424" i="288"/>
  <c r="D2424" i="288"/>
  <c r="I2421" i="288"/>
  <c r="C2421" i="288"/>
  <c r="I2420" i="288"/>
  <c r="J2420" i="288" s="1"/>
  <c r="J2421" i="288" s="1"/>
  <c r="C2420" i="288"/>
  <c r="D2420" i="288" s="1"/>
  <c r="D2421" i="288" s="1"/>
  <c r="I2419" i="288"/>
  <c r="J2419" i="288" s="1"/>
  <c r="C2419" i="288"/>
  <c r="D2419" i="288" s="1"/>
  <c r="I2418" i="288"/>
  <c r="J2418" i="288" s="1"/>
  <c r="C2418" i="288"/>
  <c r="D2418" i="288" s="1"/>
  <c r="I2417" i="288"/>
  <c r="J2417" i="288" s="1"/>
  <c r="C2417" i="288"/>
  <c r="D2417" i="288" s="1"/>
  <c r="I2416" i="288"/>
  <c r="J2416" i="288" s="1"/>
  <c r="J2425" i="288" s="1"/>
  <c r="C2416" i="288"/>
  <c r="D2416" i="288" s="1"/>
  <c r="D2425" i="288" s="1"/>
  <c r="G2414" i="288"/>
  <c r="A2414" i="288"/>
  <c r="J2409" i="288"/>
  <c r="D2409" i="288"/>
  <c r="I2406" i="288"/>
  <c r="C2406" i="288"/>
  <c r="I2405" i="288"/>
  <c r="J2405" i="288" s="1"/>
  <c r="J2406" i="288" s="1"/>
  <c r="C2405" i="288"/>
  <c r="D2405" i="288" s="1"/>
  <c r="D2406" i="288" s="1"/>
  <c r="I2404" i="288"/>
  <c r="J2404" i="288" s="1"/>
  <c r="C2404" i="288"/>
  <c r="D2404" i="288" s="1"/>
  <c r="I2403" i="288"/>
  <c r="J2403" i="288" s="1"/>
  <c r="C2403" i="288"/>
  <c r="D2403" i="288" s="1"/>
  <c r="I2402" i="288"/>
  <c r="J2402" i="288" s="1"/>
  <c r="C2402" i="288"/>
  <c r="D2402" i="288" s="1"/>
  <c r="I2401" i="288"/>
  <c r="J2401" i="288" s="1"/>
  <c r="J2410" i="288" s="1"/>
  <c r="C2401" i="288"/>
  <c r="D2401" i="288" s="1"/>
  <c r="D2410" i="288" s="1"/>
  <c r="G2399" i="288"/>
  <c r="A2399" i="288"/>
  <c r="J2395" i="288"/>
  <c r="D2395" i="288"/>
  <c r="I2392" i="288"/>
  <c r="C2392" i="288"/>
  <c r="I2391" i="288"/>
  <c r="J2391" i="288" s="1"/>
  <c r="J2392" i="288" s="1"/>
  <c r="C2391" i="288"/>
  <c r="D2391" i="288" s="1"/>
  <c r="D2392" i="288" s="1"/>
  <c r="I2390" i="288"/>
  <c r="J2390" i="288" s="1"/>
  <c r="C2390" i="288"/>
  <c r="D2390" i="288" s="1"/>
  <c r="I2389" i="288"/>
  <c r="J2389" i="288" s="1"/>
  <c r="C2389" i="288"/>
  <c r="D2389" i="288" s="1"/>
  <c r="I2388" i="288"/>
  <c r="J2388" i="288" s="1"/>
  <c r="C2388" i="288"/>
  <c r="D2388" i="288" s="1"/>
  <c r="I2387" i="288"/>
  <c r="J2387" i="288" s="1"/>
  <c r="J2396" i="288" s="1"/>
  <c r="C2387" i="288"/>
  <c r="D2387" i="288" s="1"/>
  <c r="D2396" i="288" s="1"/>
  <c r="G2385" i="288"/>
  <c r="A2385" i="288"/>
  <c r="J2381" i="288"/>
  <c r="D2381" i="288"/>
  <c r="I2378" i="288"/>
  <c r="C2378" i="288"/>
  <c r="I2377" i="288"/>
  <c r="J2377" i="288" s="1"/>
  <c r="J2378" i="288" s="1"/>
  <c r="C2377" i="288"/>
  <c r="D2377" i="288" s="1"/>
  <c r="D2378" i="288" s="1"/>
  <c r="I2376" i="288"/>
  <c r="J2376" i="288" s="1"/>
  <c r="C2376" i="288"/>
  <c r="D2376" i="288" s="1"/>
  <c r="I2375" i="288"/>
  <c r="J2375" i="288" s="1"/>
  <c r="C2375" i="288"/>
  <c r="D2375" i="288" s="1"/>
  <c r="I2374" i="288"/>
  <c r="J2374" i="288" s="1"/>
  <c r="C2374" i="288"/>
  <c r="D2374" i="288" s="1"/>
  <c r="I2373" i="288"/>
  <c r="J2373" i="288" s="1"/>
  <c r="J2382" i="288" s="1"/>
  <c r="C2373" i="288"/>
  <c r="D2373" i="288" s="1"/>
  <c r="D2382" i="288" s="1"/>
  <c r="G2371" i="288"/>
  <c r="A2371" i="288"/>
  <c r="J2367" i="288"/>
  <c r="D2367" i="288"/>
  <c r="I2364" i="288"/>
  <c r="C2364" i="288"/>
  <c r="I2363" i="288"/>
  <c r="J2363" i="288" s="1"/>
  <c r="J2364" i="288" s="1"/>
  <c r="C2363" i="288"/>
  <c r="D2363" i="288" s="1"/>
  <c r="D2364" i="288" s="1"/>
  <c r="I2362" i="288"/>
  <c r="J2362" i="288" s="1"/>
  <c r="C2362" i="288"/>
  <c r="D2362" i="288" s="1"/>
  <c r="I2361" i="288"/>
  <c r="J2361" i="288" s="1"/>
  <c r="C2361" i="288"/>
  <c r="D2361" i="288" s="1"/>
  <c r="I2360" i="288"/>
  <c r="J2360" i="288" s="1"/>
  <c r="C2360" i="288"/>
  <c r="D2360" i="288" s="1"/>
  <c r="I2359" i="288"/>
  <c r="J2359" i="288" s="1"/>
  <c r="J2368" i="288" s="1"/>
  <c r="C2359" i="288"/>
  <c r="D2359" i="288" s="1"/>
  <c r="D2368" i="288" s="1"/>
  <c r="G2357" i="288"/>
  <c r="A2357" i="288"/>
  <c r="G2300" i="288"/>
  <c r="A2300" i="288"/>
  <c r="I2292" i="288"/>
  <c r="C2292" i="288"/>
  <c r="I2291" i="288"/>
  <c r="J2291" i="288" s="1"/>
  <c r="J2292" i="288" s="1"/>
  <c r="C2291" i="288"/>
  <c r="D2291" i="288" s="1"/>
  <c r="D2292" i="288" s="1"/>
  <c r="I2290" i="288"/>
  <c r="J2290" i="288" s="1"/>
  <c r="C2290" i="288"/>
  <c r="D2290" i="288" s="1"/>
  <c r="I2289" i="288"/>
  <c r="J2289" i="288" s="1"/>
  <c r="C2289" i="288"/>
  <c r="D2289" i="288" s="1"/>
  <c r="I2288" i="288"/>
  <c r="J2288" i="288" s="1"/>
  <c r="C2288" i="288"/>
  <c r="D2288" i="288" s="1"/>
  <c r="I2287" i="288"/>
  <c r="J2287" i="288" s="1"/>
  <c r="C2287" i="288"/>
  <c r="D2287" i="288" s="1"/>
  <c r="D2296" i="288" s="1"/>
  <c r="G2285" i="288"/>
  <c r="A2285" i="288"/>
  <c r="J2281" i="288"/>
  <c r="D2281" i="288"/>
  <c r="I2278" i="288"/>
  <c r="C2278" i="288"/>
  <c r="C2277" i="288"/>
  <c r="D2277" i="288" s="1"/>
  <c r="D2278" i="288" s="1"/>
  <c r="I2276" i="288"/>
  <c r="J2276" i="288" s="1"/>
  <c r="C2276" i="288"/>
  <c r="D2276" i="288" s="1"/>
  <c r="C2275" i="288"/>
  <c r="D2275" i="288" s="1"/>
  <c r="C2274" i="288"/>
  <c r="D2274" i="288" s="1"/>
  <c r="C2273" i="288"/>
  <c r="D2273" i="288" s="1"/>
  <c r="D2282" i="288" s="1"/>
  <c r="G2271" i="288"/>
  <c r="A2271" i="288"/>
  <c r="J2267" i="288"/>
  <c r="D2267" i="288"/>
  <c r="I2264" i="288"/>
  <c r="C2264" i="288"/>
  <c r="I2263" i="288"/>
  <c r="J2263" i="288" s="1"/>
  <c r="J2264" i="288" s="1"/>
  <c r="C2263" i="288"/>
  <c r="D2263" i="288" s="1"/>
  <c r="D2264" i="288" s="1"/>
  <c r="I2262" i="288"/>
  <c r="J2262" i="288" s="1"/>
  <c r="C2262" i="288"/>
  <c r="D2262" i="288" s="1"/>
  <c r="I2261" i="288"/>
  <c r="J2261" i="288" s="1"/>
  <c r="C2261" i="288"/>
  <c r="D2261" i="288" s="1"/>
  <c r="I2260" i="288"/>
  <c r="J2260" i="288" s="1"/>
  <c r="C2260" i="288"/>
  <c r="D2260" i="288" s="1"/>
  <c r="I2259" i="288"/>
  <c r="J2259" i="288" s="1"/>
  <c r="J2268" i="288" s="1"/>
  <c r="C2259" i="288"/>
  <c r="D2259" i="288" s="1"/>
  <c r="D2268" i="288" s="1"/>
  <c r="G2257" i="288"/>
  <c r="A2257" i="288"/>
  <c r="J2253" i="288"/>
  <c r="D2253" i="288"/>
  <c r="I2250" i="288"/>
  <c r="C2250" i="288"/>
  <c r="I2249" i="288"/>
  <c r="J2249" i="288" s="1"/>
  <c r="J2250" i="288" s="1"/>
  <c r="C2249" i="288"/>
  <c r="D2249" i="288" s="1"/>
  <c r="D2250" i="288" s="1"/>
  <c r="I2248" i="288"/>
  <c r="J2248" i="288" s="1"/>
  <c r="C2248" i="288"/>
  <c r="D2248" i="288" s="1"/>
  <c r="I2247" i="288"/>
  <c r="J2247" i="288" s="1"/>
  <c r="C2247" i="288"/>
  <c r="D2247" i="288" s="1"/>
  <c r="I2246" i="288"/>
  <c r="J2246" i="288" s="1"/>
  <c r="C2246" i="288"/>
  <c r="D2246" i="288" s="1"/>
  <c r="I2245" i="288"/>
  <c r="J2245" i="288" s="1"/>
  <c r="J2254" i="288" s="1"/>
  <c r="C2245" i="288"/>
  <c r="D2245" i="288" s="1"/>
  <c r="D2254" i="288" s="1"/>
  <c r="G2243" i="288"/>
  <c r="A2243" i="288"/>
  <c r="J2238" i="288"/>
  <c r="D2238" i="288"/>
  <c r="I2235" i="288"/>
  <c r="C2235" i="288"/>
  <c r="I2234" i="288"/>
  <c r="J2234" i="288" s="1"/>
  <c r="J2235" i="288" s="1"/>
  <c r="C2234" i="288"/>
  <c r="D2234" i="288" s="1"/>
  <c r="D2235" i="288" s="1"/>
  <c r="I2233" i="288"/>
  <c r="J2233" i="288" s="1"/>
  <c r="C2233" i="288"/>
  <c r="D2233" i="288" s="1"/>
  <c r="I2232" i="288"/>
  <c r="J2232" i="288" s="1"/>
  <c r="C2232" i="288"/>
  <c r="D2232" i="288" s="1"/>
  <c r="I2231" i="288"/>
  <c r="J2231" i="288" s="1"/>
  <c r="C2231" i="288"/>
  <c r="D2231" i="288" s="1"/>
  <c r="I2230" i="288"/>
  <c r="J2230" i="288" s="1"/>
  <c r="J2239" i="288" s="1"/>
  <c r="C2230" i="288"/>
  <c r="D2230" i="288" s="1"/>
  <c r="D2239" i="288" s="1"/>
  <c r="G2228" i="288"/>
  <c r="A2228" i="288"/>
  <c r="J2224" i="288"/>
  <c r="D2224" i="288"/>
  <c r="I2221" i="288"/>
  <c r="C2221" i="288"/>
  <c r="I2220" i="288"/>
  <c r="J2220" i="288" s="1"/>
  <c r="J2221" i="288" s="1"/>
  <c r="C2220" i="288"/>
  <c r="D2220" i="288" s="1"/>
  <c r="D2221" i="288" s="1"/>
  <c r="I2219" i="288"/>
  <c r="J2219" i="288" s="1"/>
  <c r="C2219" i="288"/>
  <c r="D2219" i="288" s="1"/>
  <c r="I2218" i="288"/>
  <c r="J2218" i="288" s="1"/>
  <c r="C2218" i="288"/>
  <c r="D2218" i="288" s="1"/>
  <c r="I2217" i="288"/>
  <c r="J2217" i="288" s="1"/>
  <c r="C2217" i="288"/>
  <c r="D2217" i="288" s="1"/>
  <c r="I2216" i="288"/>
  <c r="J2216" i="288" s="1"/>
  <c r="J2225" i="288" s="1"/>
  <c r="C2216" i="288"/>
  <c r="D2216" i="288" s="1"/>
  <c r="D2225" i="288" s="1"/>
  <c r="G2214" i="288"/>
  <c r="A2214" i="288"/>
  <c r="J2210" i="288"/>
  <c r="D2210" i="288"/>
  <c r="I2207" i="288"/>
  <c r="C2207" i="288"/>
  <c r="I2206" i="288"/>
  <c r="J2206" i="288" s="1"/>
  <c r="J2207" i="288" s="1"/>
  <c r="C2206" i="288"/>
  <c r="D2206" i="288" s="1"/>
  <c r="D2207" i="288" s="1"/>
  <c r="I2205" i="288"/>
  <c r="J2205" i="288" s="1"/>
  <c r="C2205" i="288"/>
  <c r="D2205" i="288" s="1"/>
  <c r="I2204" i="288"/>
  <c r="J2204" i="288" s="1"/>
  <c r="C2204" i="288"/>
  <c r="D2204" i="288" s="1"/>
  <c r="I2203" i="288"/>
  <c r="J2203" i="288" s="1"/>
  <c r="C2203" i="288"/>
  <c r="D2203" i="288" s="1"/>
  <c r="I2202" i="288"/>
  <c r="J2202" i="288" s="1"/>
  <c r="J2211" i="288" s="1"/>
  <c r="C2202" i="288"/>
  <c r="D2202" i="288" s="1"/>
  <c r="D2211" i="288" s="1"/>
  <c r="G2200" i="288"/>
  <c r="A2200" i="288"/>
  <c r="J2196" i="288"/>
  <c r="D2196" i="288"/>
  <c r="I2193" i="288"/>
  <c r="C2193" i="288"/>
  <c r="I2192" i="288"/>
  <c r="J2192" i="288" s="1"/>
  <c r="J2193" i="288" s="1"/>
  <c r="C2192" i="288"/>
  <c r="D2192" i="288" s="1"/>
  <c r="D2193" i="288" s="1"/>
  <c r="I2191" i="288"/>
  <c r="J2191" i="288" s="1"/>
  <c r="C2191" i="288"/>
  <c r="D2191" i="288" s="1"/>
  <c r="I2190" i="288"/>
  <c r="J2190" i="288" s="1"/>
  <c r="C2190" i="288"/>
  <c r="D2190" i="288" s="1"/>
  <c r="I2189" i="288"/>
  <c r="J2189" i="288" s="1"/>
  <c r="C2189" i="288"/>
  <c r="D2189" i="288" s="1"/>
  <c r="I2188" i="288"/>
  <c r="J2188" i="288" s="1"/>
  <c r="J2197" i="288" s="1"/>
  <c r="C2188" i="288"/>
  <c r="D2188" i="288" s="1"/>
  <c r="D2197" i="288" s="1"/>
  <c r="G2186" i="288"/>
  <c r="A2186" i="288"/>
  <c r="J2181" i="288"/>
  <c r="D2181" i="288"/>
  <c r="I2178" i="288"/>
  <c r="C2178" i="288"/>
  <c r="I2177" i="288"/>
  <c r="J2177" i="288" s="1"/>
  <c r="J2178" i="288" s="1"/>
  <c r="C2177" i="288"/>
  <c r="D2177" i="288" s="1"/>
  <c r="D2178" i="288" s="1"/>
  <c r="I2176" i="288"/>
  <c r="J2176" i="288" s="1"/>
  <c r="C2176" i="288"/>
  <c r="D2176" i="288" s="1"/>
  <c r="I2175" i="288"/>
  <c r="J2175" i="288" s="1"/>
  <c r="C2175" i="288"/>
  <c r="D2175" i="288" s="1"/>
  <c r="I2174" i="288"/>
  <c r="J2174" i="288" s="1"/>
  <c r="C2174" i="288"/>
  <c r="D2174" i="288" s="1"/>
  <c r="I2173" i="288"/>
  <c r="J2173" i="288" s="1"/>
  <c r="J2182" i="288" s="1"/>
  <c r="C2173" i="288"/>
  <c r="D2173" i="288" s="1"/>
  <c r="D2182" i="288" s="1"/>
  <c r="G2171" i="288"/>
  <c r="A2171" i="288"/>
  <c r="J2167" i="288"/>
  <c r="D2167" i="288"/>
  <c r="I2164" i="288"/>
  <c r="C2164" i="288"/>
  <c r="I2163" i="288"/>
  <c r="J2163" i="288" s="1"/>
  <c r="J2164" i="288" s="1"/>
  <c r="C2163" i="288"/>
  <c r="D2163" i="288" s="1"/>
  <c r="D2164" i="288" s="1"/>
  <c r="I2162" i="288"/>
  <c r="J2162" i="288" s="1"/>
  <c r="C2162" i="288"/>
  <c r="D2162" i="288" s="1"/>
  <c r="I2161" i="288"/>
  <c r="J2161" i="288" s="1"/>
  <c r="C2161" i="288"/>
  <c r="D2161" i="288" s="1"/>
  <c r="I2160" i="288"/>
  <c r="J2160" i="288" s="1"/>
  <c r="C2160" i="288"/>
  <c r="D2160" i="288" s="1"/>
  <c r="I2159" i="288"/>
  <c r="J2159" i="288" s="1"/>
  <c r="J2168" i="288" s="1"/>
  <c r="C2159" i="288"/>
  <c r="D2159" i="288" s="1"/>
  <c r="D2168" i="288" s="1"/>
  <c r="G2157" i="288"/>
  <c r="A2157" i="288"/>
  <c r="J2153" i="288"/>
  <c r="D2153" i="288"/>
  <c r="I2150" i="288"/>
  <c r="C2150" i="288"/>
  <c r="I2149" i="288"/>
  <c r="J2149" i="288" s="1"/>
  <c r="J2150" i="288" s="1"/>
  <c r="C2149" i="288"/>
  <c r="D2149" i="288" s="1"/>
  <c r="D2150" i="288" s="1"/>
  <c r="I2148" i="288"/>
  <c r="J2148" i="288" s="1"/>
  <c r="C2148" i="288"/>
  <c r="D2148" i="288" s="1"/>
  <c r="I2147" i="288"/>
  <c r="J2147" i="288" s="1"/>
  <c r="C2147" i="288"/>
  <c r="D2147" i="288" s="1"/>
  <c r="I2146" i="288"/>
  <c r="J2146" i="288" s="1"/>
  <c r="C2146" i="288"/>
  <c r="D2146" i="288" s="1"/>
  <c r="I2145" i="288"/>
  <c r="J2145" i="288" s="1"/>
  <c r="J2154" i="288" s="1"/>
  <c r="C2145" i="288"/>
  <c r="D2145" i="288" s="1"/>
  <c r="D2154" i="288" s="1"/>
  <c r="G2143" i="288"/>
  <c r="A2143" i="288"/>
  <c r="J2139" i="288"/>
  <c r="D2139" i="288"/>
  <c r="I2136" i="288"/>
  <c r="C2136" i="288"/>
  <c r="I2135" i="288"/>
  <c r="J2135" i="288" s="1"/>
  <c r="J2136" i="288" s="1"/>
  <c r="C2135" i="288"/>
  <c r="D2135" i="288" s="1"/>
  <c r="D2136" i="288" s="1"/>
  <c r="I2134" i="288"/>
  <c r="J2134" i="288" s="1"/>
  <c r="C2134" i="288"/>
  <c r="D2134" i="288" s="1"/>
  <c r="I2133" i="288"/>
  <c r="J2133" i="288" s="1"/>
  <c r="C2133" i="288"/>
  <c r="D2133" i="288" s="1"/>
  <c r="I2132" i="288"/>
  <c r="J2132" i="288" s="1"/>
  <c r="C2132" i="288"/>
  <c r="D2132" i="288" s="1"/>
  <c r="I2131" i="288"/>
  <c r="J2131" i="288" s="1"/>
  <c r="J2140" i="288" s="1"/>
  <c r="C2131" i="288"/>
  <c r="D2131" i="288" s="1"/>
  <c r="D2140" i="288" s="1"/>
  <c r="G2129" i="288"/>
  <c r="A2129" i="288"/>
  <c r="J2124" i="288"/>
  <c r="D2124" i="288"/>
  <c r="I2121" i="288"/>
  <c r="C2121" i="288"/>
  <c r="I2120" i="288"/>
  <c r="J2120" i="288" s="1"/>
  <c r="J2121" i="288" s="1"/>
  <c r="C2120" i="288"/>
  <c r="D2120" i="288" s="1"/>
  <c r="D2121" i="288" s="1"/>
  <c r="I2119" i="288"/>
  <c r="J2119" i="288" s="1"/>
  <c r="C2119" i="288"/>
  <c r="D2119" i="288" s="1"/>
  <c r="I2118" i="288"/>
  <c r="J2118" i="288" s="1"/>
  <c r="C2118" i="288"/>
  <c r="D2118" i="288" s="1"/>
  <c r="I2117" i="288"/>
  <c r="J2117" i="288" s="1"/>
  <c r="C2117" i="288"/>
  <c r="D2117" i="288" s="1"/>
  <c r="I2116" i="288"/>
  <c r="J2116" i="288" s="1"/>
  <c r="J2125" i="288" s="1"/>
  <c r="C2116" i="288"/>
  <c r="D2116" i="288" s="1"/>
  <c r="D2125" i="288" s="1"/>
  <c r="G2114" i="288"/>
  <c r="A2114" i="288"/>
  <c r="J2110" i="288"/>
  <c r="D2110" i="288"/>
  <c r="I2107" i="288"/>
  <c r="C2107" i="288"/>
  <c r="I2106" i="288"/>
  <c r="J2106" i="288" s="1"/>
  <c r="J2107" i="288" s="1"/>
  <c r="C2106" i="288"/>
  <c r="D2106" i="288" s="1"/>
  <c r="D2107" i="288" s="1"/>
  <c r="I2105" i="288"/>
  <c r="J2105" i="288" s="1"/>
  <c r="C2105" i="288"/>
  <c r="D2105" i="288" s="1"/>
  <c r="I2104" i="288"/>
  <c r="J2104" i="288" s="1"/>
  <c r="C2104" i="288"/>
  <c r="D2104" i="288" s="1"/>
  <c r="I2103" i="288"/>
  <c r="J2103" i="288" s="1"/>
  <c r="C2103" i="288"/>
  <c r="D2103" i="288" s="1"/>
  <c r="I2102" i="288"/>
  <c r="J2102" i="288" s="1"/>
  <c r="J2111" i="288" s="1"/>
  <c r="C2102" i="288"/>
  <c r="D2102" i="288" s="1"/>
  <c r="D2111" i="288" s="1"/>
  <c r="G2100" i="288"/>
  <c r="A2100" i="288"/>
  <c r="J2096" i="288"/>
  <c r="D2096" i="288"/>
  <c r="I2093" i="288"/>
  <c r="C2093" i="288"/>
  <c r="I2092" i="288"/>
  <c r="J2092" i="288" s="1"/>
  <c r="J2093" i="288" s="1"/>
  <c r="C2092" i="288"/>
  <c r="D2092" i="288" s="1"/>
  <c r="D2093" i="288" s="1"/>
  <c r="I2091" i="288"/>
  <c r="J2091" i="288" s="1"/>
  <c r="C2091" i="288"/>
  <c r="D2091" i="288" s="1"/>
  <c r="I2090" i="288"/>
  <c r="J2090" i="288" s="1"/>
  <c r="C2090" i="288"/>
  <c r="D2090" i="288" s="1"/>
  <c r="I2089" i="288"/>
  <c r="J2089" i="288" s="1"/>
  <c r="C2089" i="288"/>
  <c r="D2089" i="288" s="1"/>
  <c r="I2088" i="288"/>
  <c r="J2088" i="288" s="1"/>
  <c r="J2097" i="288" s="1"/>
  <c r="C2088" i="288"/>
  <c r="D2088" i="288" s="1"/>
  <c r="D2097" i="288" s="1"/>
  <c r="G2086" i="288"/>
  <c r="A2086" i="288"/>
  <c r="J2082" i="288"/>
  <c r="D2082" i="288"/>
  <c r="I2079" i="288"/>
  <c r="C2079" i="288"/>
  <c r="I2078" i="288"/>
  <c r="J2078" i="288" s="1"/>
  <c r="J2079" i="288" s="1"/>
  <c r="C2078" i="288"/>
  <c r="D2078" i="288" s="1"/>
  <c r="D2079" i="288" s="1"/>
  <c r="I2077" i="288"/>
  <c r="J2077" i="288" s="1"/>
  <c r="C2077" i="288"/>
  <c r="D2077" i="288" s="1"/>
  <c r="I2076" i="288"/>
  <c r="J2076" i="288" s="1"/>
  <c r="C2076" i="288"/>
  <c r="D2076" i="288" s="1"/>
  <c r="I2075" i="288"/>
  <c r="J2075" i="288" s="1"/>
  <c r="C2075" i="288"/>
  <c r="D2075" i="288" s="1"/>
  <c r="I2074" i="288"/>
  <c r="J2074" i="288" s="1"/>
  <c r="J2083" i="288" s="1"/>
  <c r="C2074" i="288"/>
  <c r="D2074" i="288" s="1"/>
  <c r="D2083" i="288" s="1"/>
  <c r="G2072" i="288"/>
  <c r="A2072" i="288"/>
  <c r="J2067" i="288"/>
  <c r="D2067" i="288"/>
  <c r="I2064" i="288"/>
  <c r="C2064" i="288"/>
  <c r="I2063" i="288"/>
  <c r="J2063" i="288" s="1"/>
  <c r="J2064" i="288" s="1"/>
  <c r="C2063" i="288"/>
  <c r="D2063" i="288" s="1"/>
  <c r="D2064" i="288" s="1"/>
  <c r="I2062" i="288"/>
  <c r="J2062" i="288" s="1"/>
  <c r="C2062" i="288"/>
  <c r="D2062" i="288" s="1"/>
  <c r="I2061" i="288"/>
  <c r="J2061" i="288" s="1"/>
  <c r="C2061" i="288"/>
  <c r="D2061" i="288" s="1"/>
  <c r="I2060" i="288"/>
  <c r="J2060" i="288" s="1"/>
  <c r="C2060" i="288"/>
  <c r="D2060" i="288" s="1"/>
  <c r="I2059" i="288"/>
  <c r="J2059" i="288" s="1"/>
  <c r="J2068" i="288" s="1"/>
  <c r="C2059" i="288"/>
  <c r="D2059" i="288" s="1"/>
  <c r="D2068" i="288" s="1"/>
  <c r="G2057" i="288"/>
  <c r="A2057" i="288"/>
  <c r="J2053" i="288"/>
  <c r="D2053" i="288"/>
  <c r="I2050" i="288"/>
  <c r="C2050" i="288"/>
  <c r="I2049" i="288"/>
  <c r="J2049" i="288" s="1"/>
  <c r="J2050" i="288" s="1"/>
  <c r="C2049" i="288"/>
  <c r="D2049" i="288" s="1"/>
  <c r="D2050" i="288" s="1"/>
  <c r="I2048" i="288"/>
  <c r="J2048" i="288" s="1"/>
  <c r="C2048" i="288"/>
  <c r="D2048" i="288" s="1"/>
  <c r="I2047" i="288"/>
  <c r="J2047" i="288" s="1"/>
  <c r="C2047" i="288"/>
  <c r="D2047" i="288" s="1"/>
  <c r="I2046" i="288"/>
  <c r="J2046" i="288" s="1"/>
  <c r="C2046" i="288"/>
  <c r="D2046" i="288" s="1"/>
  <c r="I2045" i="288"/>
  <c r="J2045" i="288" s="1"/>
  <c r="J2054" i="288" s="1"/>
  <c r="C2045" i="288"/>
  <c r="D2045" i="288" s="1"/>
  <c r="D2054" i="288" s="1"/>
  <c r="G2043" i="288"/>
  <c r="A2043" i="288"/>
  <c r="J2039" i="288"/>
  <c r="D2039" i="288"/>
  <c r="I2036" i="288"/>
  <c r="C2036" i="288"/>
  <c r="I2035" i="288"/>
  <c r="J2035" i="288" s="1"/>
  <c r="J2036" i="288" s="1"/>
  <c r="C2035" i="288"/>
  <c r="D2035" i="288" s="1"/>
  <c r="D2036" i="288" s="1"/>
  <c r="I2034" i="288"/>
  <c r="J2034" i="288" s="1"/>
  <c r="C2034" i="288"/>
  <c r="D2034" i="288" s="1"/>
  <c r="I2033" i="288"/>
  <c r="J2033" i="288" s="1"/>
  <c r="C2033" i="288"/>
  <c r="D2033" i="288" s="1"/>
  <c r="I2032" i="288"/>
  <c r="J2032" i="288" s="1"/>
  <c r="C2032" i="288"/>
  <c r="D2032" i="288" s="1"/>
  <c r="I2031" i="288"/>
  <c r="J2031" i="288" s="1"/>
  <c r="J2040" i="288" s="1"/>
  <c r="C2031" i="288"/>
  <c r="D2031" i="288" s="1"/>
  <c r="D2040" i="288" s="1"/>
  <c r="G2029" i="288"/>
  <c r="A2029" i="288"/>
  <c r="J2025" i="288"/>
  <c r="D2025" i="288"/>
  <c r="I2022" i="288"/>
  <c r="C2022" i="288"/>
  <c r="I2021" i="288"/>
  <c r="J2021" i="288" s="1"/>
  <c r="J2022" i="288" s="1"/>
  <c r="C2021" i="288"/>
  <c r="D2021" i="288" s="1"/>
  <c r="D2022" i="288" s="1"/>
  <c r="I2020" i="288"/>
  <c r="J2020" i="288" s="1"/>
  <c r="C2020" i="288"/>
  <c r="D2020" i="288" s="1"/>
  <c r="I2019" i="288"/>
  <c r="J2019" i="288" s="1"/>
  <c r="C2019" i="288"/>
  <c r="D2019" i="288" s="1"/>
  <c r="I2018" i="288"/>
  <c r="J2018" i="288" s="1"/>
  <c r="C2018" i="288"/>
  <c r="D2018" i="288" s="1"/>
  <c r="I2017" i="288"/>
  <c r="J2017" i="288" s="1"/>
  <c r="J2026" i="288" s="1"/>
  <c r="C2017" i="288"/>
  <c r="D2017" i="288" s="1"/>
  <c r="D2026" i="288" s="1"/>
  <c r="G2015" i="288"/>
  <c r="A2015" i="288"/>
  <c r="J2010" i="288"/>
  <c r="D2010" i="288"/>
  <c r="I2007" i="288"/>
  <c r="C2007" i="288"/>
  <c r="I2006" i="288"/>
  <c r="J2006" i="288" s="1"/>
  <c r="J2007" i="288" s="1"/>
  <c r="C2006" i="288"/>
  <c r="D2006" i="288" s="1"/>
  <c r="D2007" i="288" s="1"/>
  <c r="I2005" i="288"/>
  <c r="J2005" i="288" s="1"/>
  <c r="C2005" i="288"/>
  <c r="D2005" i="288" s="1"/>
  <c r="I2004" i="288"/>
  <c r="J2004" i="288" s="1"/>
  <c r="C2004" i="288"/>
  <c r="D2004" i="288" s="1"/>
  <c r="I2003" i="288"/>
  <c r="J2003" i="288" s="1"/>
  <c r="C2003" i="288"/>
  <c r="D2003" i="288" s="1"/>
  <c r="I2002" i="288"/>
  <c r="J2002" i="288" s="1"/>
  <c r="J2011" i="288" s="1"/>
  <c r="C2002" i="288"/>
  <c r="D2002" i="288" s="1"/>
  <c r="D2011" i="288" s="1"/>
  <c r="G2000" i="288"/>
  <c r="A2000" i="288"/>
  <c r="J1996" i="288"/>
  <c r="D1996" i="288"/>
  <c r="I1993" i="288"/>
  <c r="C1993" i="288"/>
  <c r="I1992" i="288"/>
  <c r="J1992" i="288" s="1"/>
  <c r="J1993" i="288" s="1"/>
  <c r="C1992" i="288"/>
  <c r="D1992" i="288" s="1"/>
  <c r="D1993" i="288" s="1"/>
  <c r="I1991" i="288"/>
  <c r="J1991" i="288" s="1"/>
  <c r="C1991" i="288"/>
  <c r="D1991" i="288" s="1"/>
  <c r="I1990" i="288"/>
  <c r="J1990" i="288" s="1"/>
  <c r="C1990" i="288"/>
  <c r="D1990" i="288" s="1"/>
  <c r="I1989" i="288"/>
  <c r="J1989" i="288" s="1"/>
  <c r="C1989" i="288"/>
  <c r="D1989" i="288" s="1"/>
  <c r="I1988" i="288"/>
  <c r="J1988" i="288" s="1"/>
  <c r="J1997" i="288" s="1"/>
  <c r="C1988" i="288"/>
  <c r="D1988" i="288" s="1"/>
  <c r="D1997" i="288" s="1"/>
  <c r="G1986" i="288"/>
  <c r="A1986" i="288"/>
  <c r="J1982" i="288"/>
  <c r="D1982" i="288"/>
  <c r="I1979" i="288"/>
  <c r="C1979" i="288"/>
  <c r="I1978" i="288"/>
  <c r="J1978" i="288" s="1"/>
  <c r="J1979" i="288" s="1"/>
  <c r="C1978" i="288"/>
  <c r="D1978" i="288" s="1"/>
  <c r="D1979" i="288" s="1"/>
  <c r="I1977" i="288"/>
  <c r="J1977" i="288" s="1"/>
  <c r="C1977" i="288"/>
  <c r="D1977" i="288" s="1"/>
  <c r="I1976" i="288"/>
  <c r="J1976" i="288" s="1"/>
  <c r="C1976" i="288"/>
  <c r="D1976" i="288" s="1"/>
  <c r="I1975" i="288"/>
  <c r="J1975" i="288" s="1"/>
  <c r="C1975" i="288"/>
  <c r="D1975" i="288" s="1"/>
  <c r="I1974" i="288"/>
  <c r="J1974" i="288" s="1"/>
  <c r="J1983" i="288" s="1"/>
  <c r="C1974" i="288"/>
  <c r="D1974" i="288" s="1"/>
  <c r="D1983" i="288" s="1"/>
  <c r="G1972" i="288"/>
  <c r="A1972" i="288"/>
  <c r="J1968" i="288"/>
  <c r="D1968" i="288"/>
  <c r="I1965" i="288"/>
  <c r="C1965" i="288"/>
  <c r="I1964" i="288"/>
  <c r="J1964" i="288" s="1"/>
  <c r="J1965" i="288" s="1"/>
  <c r="C1964" i="288"/>
  <c r="D1964" i="288" s="1"/>
  <c r="D1965" i="288" s="1"/>
  <c r="I1963" i="288"/>
  <c r="J1963" i="288" s="1"/>
  <c r="C1963" i="288"/>
  <c r="D1963" i="288" s="1"/>
  <c r="I1962" i="288"/>
  <c r="J1962" i="288" s="1"/>
  <c r="C1962" i="288"/>
  <c r="D1962" i="288" s="1"/>
  <c r="I1961" i="288"/>
  <c r="J1961" i="288" s="1"/>
  <c r="C1961" i="288"/>
  <c r="D1961" i="288" s="1"/>
  <c r="I1960" i="288"/>
  <c r="J1960" i="288" s="1"/>
  <c r="J1969" i="288" s="1"/>
  <c r="C1960" i="288"/>
  <c r="D1960" i="288" s="1"/>
  <c r="D1969" i="288" s="1"/>
  <c r="G1958" i="288"/>
  <c r="A1958" i="288"/>
  <c r="J1953" i="288"/>
  <c r="D1953" i="288"/>
  <c r="I1950" i="288"/>
  <c r="C1950" i="288"/>
  <c r="I1949" i="288"/>
  <c r="J1949" i="288" s="1"/>
  <c r="J1950" i="288" s="1"/>
  <c r="C1949" i="288"/>
  <c r="D1949" i="288" s="1"/>
  <c r="D1950" i="288" s="1"/>
  <c r="I1948" i="288"/>
  <c r="J1948" i="288" s="1"/>
  <c r="C1948" i="288"/>
  <c r="D1948" i="288" s="1"/>
  <c r="I1947" i="288"/>
  <c r="J1947" i="288" s="1"/>
  <c r="C1947" i="288"/>
  <c r="D1947" i="288" s="1"/>
  <c r="I1946" i="288"/>
  <c r="J1946" i="288" s="1"/>
  <c r="C1946" i="288"/>
  <c r="D1946" i="288" s="1"/>
  <c r="I1945" i="288"/>
  <c r="J1945" i="288" s="1"/>
  <c r="J1954" i="288" s="1"/>
  <c r="C1945" i="288"/>
  <c r="D1945" i="288" s="1"/>
  <c r="D1954" i="288" s="1"/>
  <c r="G1943" i="288"/>
  <c r="A1943" i="288"/>
  <c r="J1939" i="288"/>
  <c r="D1939" i="288"/>
  <c r="I1936" i="288"/>
  <c r="C1936" i="288"/>
  <c r="I1935" i="288"/>
  <c r="J1935" i="288" s="1"/>
  <c r="J1936" i="288" s="1"/>
  <c r="C1935" i="288"/>
  <c r="D1935" i="288" s="1"/>
  <c r="D1936" i="288" s="1"/>
  <c r="I1934" i="288"/>
  <c r="J1934" i="288" s="1"/>
  <c r="C1934" i="288"/>
  <c r="D1934" i="288" s="1"/>
  <c r="I1933" i="288"/>
  <c r="J1933" i="288" s="1"/>
  <c r="C1933" i="288"/>
  <c r="D1933" i="288" s="1"/>
  <c r="I1932" i="288"/>
  <c r="J1932" i="288" s="1"/>
  <c r="C1932" i="288"/>
  <c r="D1932" i="288" s="1"/>
  <c r="I1931" i="288"/>
  <c r="J1931" i="288" s="1"/>
  <c r="J1940" i="288" s="1"/>
  <c r="C1931" i="288"/>
  <c r="D1931" i="288" s="1"/>
  <c r="D1940" i="288" s="1"/>
  <c r="G1929" i="288"/>
  <c r="A1929" i="288"/>
  <c r="J1925" i="288"/>
  <c r="I1922" i="288"/>
  <c r="C1922" i="288"/>
  <c r="I1921" i="288"/>
  <c r="J1921" i="288" s="1"/>
  <c r="J1922" i="288" s="1"/>
  <c r="C1921" i="288"/>
  <c r="D1921" i="288" s="1"/>
  <c r="D1922" i="288" s="1"/>
  <c r="I1920" i="288"/>
  <c r="J1920" i="288" s="1"/>
  <c r="C1920" i="288"/>
  <c r="D1920" i="288" s="1"/>
  <c r="I1919" i="288"/>
  <c r="J1919" i="288" s="1"/>
  <c r="C1919" i="288"/>
  <c r="D1919" i="288" s="1"/>
  <c r="I1918" i="288"/>
  <c r="J1918" i="288" s="1"/>
  <c r="C1918" i="288"/>
  <c r="D1918" i="288" s="1"/>
  <c r="I1917" i="288"/>
  <c r="J1917" i="288" s="1"/>
  <c r="J1926" i="288" s="1"/>
  <c r="C1917" i="288"/>
  <c r="D1917" i="288" s="1"/>
  <c r="G1915" i="288"/>
  <c r="A1915" i="288"/>
  <c r="J1911" i="288"/>
  <c r="D1911" i="288"/>
  <c r="I1908" i="288"/>
  <c r="C1908" i="288"/>
  <c r="I1907" i="288"/>
  <c r="J1907" i="288" s="1"/>
  <c r="J1908" i="288" s="1"/>
  <c r="C1907" i="288"/>
  <c r="D1907" i="288" s="1"/>
  <c r="D1908" i="288" s="1"/>
  <c r="I1906" i="288"/>
  <c r="J1906" i="288" s="1"/>
  <c r="C1906" i="288"/>
  <c r="D1906" i="288" s="1"/>
  <c r="I1905" i="288"/>
  <c r="J1905" i="288" s="1"/>
  <c r="C1905" i="288"/>
  <c r="D1905" i="288" s="1"/>
  <c r="I1904" i="288"/>
  <c r="J1904" i="288" s="1"/>
  <c r="C1904" i="288"/>
  <c r="D1904" i="288" s="1"/>
  <c r="I1903" i="288"/>
  <c r="J1903" i="288" s="1"/>
  <c r="J1912" i="288" s="1"/>
  <c r="C1903" i="288"/>
  <c r="D1903" i="288" s="1"/>
  <c r="D1912" i="288" s="1"/>
  <c r="G1901" i="288"/>
  <c r="A1901" i="288"/>
  <c r="J1896" i="288"/>
  <c r="D1896" i="288"/>
  <c r="I1893" i="288"/>
  <c r="C1893" i="288"/>
  <c r="I1892" i="288"/>
  <c r="J1892" i="288" s="1"/>
  <c r="J1893" i="288" s="1"/>
  <c r="C1892" i="288"/>
  <c r="D1892" i="288" s="1"/>
  <c r="D1893" i="288" s="1"/>
  <c r="I1891" i="288"/>
  <c r="J1891" i="288" s="1"/>
  <c r="C1891" i="288"/>
  <c r="D1891" i="288" s="1"/>
  <c r="I1890" i="288"/>
  <c r="J1890" i="288" s="1"/>
  <c r="C1890" i="288"/>
  <c r="D1890" i="288" s="1"/>
  <c r="I1889" i="288"/>
  <c r="J1889" i="288" s="1"/>
  <c r="C1889" i="288"/>
  <c r="D1889" i="288" s="1"/>
  <c r="I1888" i="288"/>
  <c r="J1888" i="288" s="1"/>
  <c r="J1897" i="288" s="1"/>
  <c r="C1888" i="288"/>
  <c r="D1888" i="288" s="1"/>
  <c r="D1897" i="288" s="1"/>
  <c r="G1886" i="288"/>
  <c r="A1886" i="288"/>
  <c r="J1882" i="288"/>
  <c r="D1882" i="288"/>
  <c r="I1879" i="288"/>
  <c r="C1879" i="288"/>
  <c r="I1878" i="288"/>
  <c r="J1878" i="288" s="1"/>
  <c r="J1879" i="288" s="1"/>
  <c r="C1878" i="288"/>
  <c r="D1878" i="288" s="1"/>
  <c r="D1879" i="288" s="1"/>
  <c r="I1877" i="288"/>
  <c r="J1877" i="288" s="1"/>
  <c r="C1877" i="288"/>
  <c r="D1877" i="288" s="1"/>
  <c r="I1876" i="288"/>
  <c r="J1876" i="288" s="1"/>
  <c r="C1876" i="288"/>
  <c r="D1876" i="288" s="1"/>
  <c r="I1875" i="288"/>
  <c r="J1875" i="288" s="1"/>
  <c r="C1875" i="288"/>
  <c r="D1875" i="288" s="1"/>
  <c r="I1874" i="288"/>
  <c r="J1874" i="288" s="1"/>
  <c r="J1883" i="288" s="1"/>
  <c r="C1874" i="288"/>
  <c r="D1874" i="288" s="1"/>
  <c r="D1883" i="288" s="1"/>
  <c r="G1872" i="288"/>
  <c r="A1872" i="288"/>
  <c r="J1868" i="288"/>
  <c r="D1868" i="288"/>
  <c r="I1865" i="288"/>
  <c r="C1865" i="288"/>
  <c r="I1864" i="288"/>
  <c r="J1864" i="288" s="1"/>
  <c r="J1865" i="288" s="1"/>
  <c r="C1864" i="288"/>
  <c r="D1864" i="288" s="1"/>
  <c r="D1865" i="288" s="1"/>
  <c r="I1863" i="288"/>
  <c r="J1863" i="288" s="1"/>
  <c r="C1863" i="288"/>
  <c r="D1863" i="288" s="1"/>
  <c r="I1862" i="288"/>
  <c r="J1862" i="288" s="1"/>
  <c r="C1862" i="288"/>
  <c r="D1862" i="288" s="1"/>
  <c r="I1861" i="288"/>
  <c r="J1861" i="288" s="1"/>
  <c r="C1861" i="288"/>
  <c r="D1861" i="288" s="1"/>
  <c r="I1860" i="288"/>
  <c r="J1860" i="288" s="1"/>
  <c r="J1869" i="288" s="1"/>
  <c r="C1860" i="288"/>
  <c r="D1860" i="288" s="1"/>
  <c r="D1869" i="288" s="1"/>
  <c r="G1858" i="288"/>
  <c r="A1858" i="288"/>
  <c r="J1854" i="288"/>
  <c r="D1854" i="288"/>
  <c r="I1851" i="288"/>
  <c r="C1851" i="288"/>
  <c r="I1850" i="288"/>
  <c r="J1850" i="288" s="1"/>
  <c r="J1851" i="288" s="1"/>
  <c r="C1850" i="288"/>
  <c r="D1850" i="288" s="1"/>
  <c r="D1851" i="288" s="1"/>
  <c r="I1849" i="288"/>
  <c r="J1849" i="288" s="1"/>
  <c r="C1849" i="288"/>
  <c r="D1849" i="288" s="1"/>
  <c r="I1848" i="288"/>
  <c r="J1848" i="288" s="1"/>
  <c r="C1848" i="288"/>
  <c r="D1848" i="288" s="1"/>
  <c r="I1847" i="288"/>
  <c r="J1847" i="288" s="1"/>
  <c r="C1847" i="288"/>
  <c r="D1847" i="288" s="1"/>
  <c r="I1846" i="288"/>
  <c r="J1846" i="288" s="1"/>
  <c r="J1855" i="288" s="1"/>
  <c r="C1846" i="288"/>
  <c r="D1846" i="288" s="1"/>
  <c r="D1855" i="288" s="1"/>
  <c r="G1844" i="288"/>
  <c r="A1844" i="288"/>
  <c r="J1839" i="288"/>
  <c r="D1839" i="288"/>
  <c r="I1836" i="288"/>
  <c r="C1836" i="288"/>
  <c r="I1835" i="288"/>
  <c r="J1835" i="288" s="1"/>
  <c r="J1836" i="288" s="1"/>
  <c r="C1835" i="288"/>
  <c r="D1835" i="288" s="1"/>
  <c r="D1836" i="288" s="1"/>
  <c r="I1834" i="288"/>
  <c r="J1834" i="288" s="1"/>
  <c r="C1834" i="288"/>
  <c r="D1834" i="288" s="1"/>
  <c r="I1833" i="288"/>
  <c r="J1833" i="288" s="1"/>
  <c r="C1833" i="288"/>
  <c r="D1833" i="288" s="1"/>
  <c r="I1832" i="288"/>
  <c r="J1832" i="288" s="1"/>
  <c r="C1832" i="288"/>
  <c r="D1832" i="288" s="1"/>
  <c r="I1831" i="288"/>
  <c r="J1831" i="288" s="1"/>
  <c r="J1840" i="288" s="1"/>
  <c r="C1831" i="288"/>
  <c r="D1831" i="288" s="1"/>
  <c r="D1840" i="288" s="1"/>
  <c r="G1829" i="288"/>
  <c r="A1829" i="288"/>
  <c r="J1825" i="288"/>
  <c r="D1825" i="288"/>
  <c r="I1822" i="288"/>
  <c r="C1822" i="288"/>
  <c r="I1821" i="288"/>
  <c r="J1821" i="288" s="1"/>
  <c r="J1822" i="288" s="1"/>
  <c r="C1821" i="288"/>
  <c r="D1821" i="288" s="1"/>
  <c r="D1822" i="288" s="1"/>
  <c r="I1820" i="288"/>
  <c r="J1820" i="288" s="1"/>
  <c r="C1820" i="288"/>
  <c r="D1820" i="288" s="1"/>
  <c r="I1819" i="288"/>
  <c r="J1819" i="288" s="1"/>
  <c r="C1819" i="288"/>
  <c r="D1819" i="288" s="1"/>
  <c r="I1818" i="288"/>
  <c r="J1818" i="288" s="1"/>
  <c r="C1818" i="288"/>
  <c r="D1818" i="288" s="1"/>
  <c r="I1817" i="288"/>
  <c r="J1817" i="288" s="1"/>
  <c r="J1826" i="288" s="1"/>
  <c r="C1817" i="288"/>
  <c r="D1817" i="288" s="1"/>
  <c r="D1826" i="288" s="1"/>
  <c r="G1815" i="288"/>
  <c r="A1815" i="288"/>
  <c r="J1811" i="288"/>
  <c r="D1811" i="288"/>
  <c r="I1808" i="288"/>
  <c r="C1808" i="288"/>
  <c r="I1807" i="288"/>
  <c r="J1807" i="288" s="1"/>
  <c r="J1808" i="288" s="1"/>
  <c r="C1807" i="288"/>
  <c r="D1807" i="288" s="1"/>
  <c r="D1808" i="288" s="1"/>
  <c r="I1806" i="288"/>
  <c r="J1806" i="288" s="1"/>
  <c r="C1806" i="288"/>
  <c r="D1806" i="288" s="1"/>
  <c r="I1805" i="288"/>
  <c r="J1805" i="288" s="1"/>
  <c r="C1805" i="288"/>
  <c r="D1805" i="288" s="1"/>
  <c r="I1804" i="288"/>
  <c r="J1804" i="288" s="1"/>
  <c r="C1804" i="288"/>
  <c r="D1804" i="288" s="1"/>
  <c r="I1803" i="288"/>
  <c r="J1803" i="288" s="1"/>
  <c r="J1812" i="288" s="1"/>
  <c r="C1803" i="288"/>
  <c r="D1803" i="288" s="1"/>
  <c r="D1812" i="288" s="1"/>
  <c r="G1801" i="288"/>
  <c r="A1801" i="288"/>
  <c r="J1797" i="288"/>
  <c r="D1797" i="288"/>
  <c r="I1794" i="288"/>
  <c r="C1794" i="288"/>
  <c r="I1793" i="288"/>
  <c r="J1793" i="288" s="1"/>
  <c r="J1794" i="288" s="1"/>
  <c r="C1793" i="288"/>
  <c r="D1793" i="288" s="1"/>
  <c r="D1794" i="288" s="1"/>
  <c r="I1792" i="288"/>
  <c r="J1792" i="288" s="1"/>
  <c r="C1792" i="288"/>
  <c r="D1792" i="288" s="1"/>
  <c r="I1791" i="288"/>
  <c r="J1791" i="288" s="1"/>
  <c r="C1791" i="288"/>
  <c r="D1791" i="288" s="1"/>
  <c r="I1790" i="288"/>
  <c r="J1790" i="288" s="1"/>
  <c r="C1790" i="288"/>
  <c r="D1790" i="288" s="1"/>
  <c r="I1789" i="288"/>
  <c r="J1789" i="288" s="1"/>
  <c r="J1798" i="288" s="1"/>
  <c r="C1789" i="288"/>
  <c r="D1789" i="288" s="1"/>
  <c r="D1798" i="288" s="1"/>
  <c r="G1787" i="288"/>
  <c r="A1787" i="288"/>
  <c r="J1782" i="288"/>
  <c r="D1782" i="288"/>
  <c r="I1779" i="288"/>
  <c r="C1779" i="288"/>
  <c r="I1778" i="288"/>
  <c r="J1778" i="288" s="1"/>
  <c r="J1779" i="288" s="1"/>
  <c r="C1778" i="288"/>
  <c r="D1778" i="288" s="1"/>
  <c r="D1779" i="288" s="1"/>
  <c r="I1777" i="288"/>
  <c r="J1777" i="288" s="1"/>
  <c r="C1777" i="288"/>
  <c r="D1777" i="288" s="1"/>
  <c r="I1776" i="288"/>
  <c r="J1776" i="288" s="1"/>
  <c r="C1776" i="288"/>
  <c r="D1776" i="288" s="1"/>
  <c r="I1775" i="288"/>
  <c r="J1775" i="288" s="1"/>
  <c r="C1775" i="288"/>
  <c r="D1775" i="288" s="1"/>
  <c r="I1774" i="288"/>
  <c r="J1774" i="288" s="1"/>
  <c r="J1783" i="288" s="1"/>
  <c r="C1774" i="288"/>
  <c r="D1774" i="288" s="1"/>
  <c r="D1783" i="288" s="1"/>
  <c r="G1772" i="288"/>
  <c r="A1772" i="288"/>
  <c r="J1768" i="288"/>
  <c r="I1765" i="288"/>
  <c r="C1765" i="288"/>
  <c r="I1764" i="288"/>
  <c r="J1764" i="288" s="1"/>
  <c r="J1765" i="288" s="1"/>
  <c r="C1764" i="288"/>
  <c r="D1764" i="288" s="1"/>
  <c r="D1765" i="288" s="1"/>
  <c r="I1763" i="288"/>
  <c r="J1763" i="288" s="1"/>
  <c r="C1763" i="288"/>
  <c r="D1763" i="288" s="1"/>
  <c r="I1762" i="288"/>
  <c r="J1762" i="288" s="1"/>
  <c r="C1762" i="288"/>
  <c r="D1762" i="288" s="1"/>
  <c r="I1761" i="288"/>
  <c r="J1761" i="288" s="1"/>
  <c r="C1761" i="288"/>
  <c r="D1761" i="288" s="1"/>
  <c r="I1760" i="288"/>
  <c r="J1760" i="288" s="1"/>
  <c r="J1769" i="288" s="1"/>
  <c r="C1760" i="288"/>
  <c r="D1760" i="288" s="1"/>
  <c r="G1758" i="288"/>
  <c r="A1758" i="288"/>
  <c r="J1754" i="288"/>
  <c r="D1754" i="288"/>
  <c r="I1751" i="288"/>
  <c r="C1751" i="288"/>
  <c r="I1750" i="288"/>
  <c r="J1750" i="288" s="1"/>
  <c r="J1751" i="288" s="1"/>
  <c r="C1750" i="288"/>
  <c r="D1750" i="288" s="1"/>
  <c r="D1751" i="288" s="1"/>
  <c r="I1749" i="288"/>
  <c r="J1749" i="288" s="1"/>
  <c r="C1749" i="288"/>
  <c r="D1749" i="288" s="1"/>
  <c r="I1748" i="288"/>
  <c r="J1748" i="288" s="1"/>
  <c r="C1748" i="288"/>
  <c r="D1748" i="288" s="1"/>
  <c r="I1747" i="288"/>
  <c r="J1747" i="288" s="1"/>
  <c r="C1747" i="288"/>
  <c r="D1747" i="288" s="1"/>
  <c r="I1746" i="288"/>
  <c r="J1746" i="288" s="1"/>
  <c r="J1755" i="288" s="1"/>
  <c r="C1746" i="288"/>
  <c r="D1746" i="288" s="1"/>
  <c r="D1755" i="288" s="1"/>
  <c r="G1744" i="288"/>
  <c r="A1744" i="288"/>
  <c r="J1740" i="288"/>
  <c r="D1740" i="288"/>
  <c r="I1737" i="288"/>
  <c r="C1737" i="288"/>
  <c r="I1736" i="288"/>
  <c r="J1736" i="288" s="1"/>
  <c r="J1737" i="288" s="1"/>
  <c r="C1736" i="288"/>
  <c r="D1736" i="288" s="1"/>
  <c r="D1737" i="288" s="1"/>
  <c r="I1735" i="288"/>
  <c r="J1735" i="288" s="1"/>
  <c r="C1735" i="288"/>
  <c r="D1735" i="288" s="1"/>
  <c r="I1734" i="288"/>
  <c r="J1734" i="288" s="1"/>
  <c r="C1734" i="288"/>
  <c r="D1734" i="288" s="1"/>
  <c r="I1733" i="288"/>
  <c r="J1733" i="288" s="1"/>
  <c r="C1733" i="288"/>
  <c r="D1733" i="288" s="1"/>
  <c r="I1732" i="288"/>
  <c r="J1732" i="288" s="1"/>
  <c r="J1741" i="288" s="1"/>
  <c r="C1732" i="288"/>
  <c r="D1732" i="288" s="1"/>
  <c r="D1741" i="288" s="1"/>
  <c r="G1730" i="288"/>
  <c r="A1730" i="288"/>
  <c r="J1725" i="288"/>
  <c r="D1725" i="288"/>
  <c r="I1722" i="288"/>
  <c r="C1722" i="288"/>
  <c r="I1721" i="288"/>
  <c r="J1721" i="288" s="1"/>
  <c r="J1722" i="288" s="1"/>
  <c r="C1721" i="288"/>
  <c r="D1721" i="288" s="1"/>
  <c r="D1722" i="288" s="1"/>
  <c r="I1720" i="288"/>
  <c r="J1720" i="288" s="1"/>
  <c r="C1720" i="288"/>
  <c r="D1720" i="288" s="1"/>
  <c r="I1719" i="288"/>
  <c r="J1719" i="288" s="1"/>
  <c r="C1719" i="288"/>
  <c r="D1719" i="288" s="1"/>
  <c r="I1718" i="288"/>
  <c r="J1718" i="288" s="1"/>
  <c r="C1718" i="288"/>
  <c r="D1718" i="288" s="1"/>
  <c r="I1717" i="288"/>
  <c r="J1717" i="288" s="1"/>
  <c r="J1726" i="288" s="1"/>
  <c r="C1717" i="288"/>
  <c r="D1717" i="288" s="1"/>
  <c r="D1726" i="288" s="1"/>
  <c r="G1715" i="288"/>
  <c r="A1715" i="288"/>
  <c r="J1711" i="288"/>
  <c r="D1711" i="288"/>
  <c r="I1708" i="288"/>
  <c r="C1708" i="288"/>
  <c r="I1707" i="288"/>
  <c r="J1707" i="288" s="1"/>
  <c r="J1708" i="288" s="1"/>
  <c r="C1707" i="288"/>
  <c r="D1707" i="288" s="1"/>
  <c r="D1708" i="288" s="1"/>
  <c r="I1706" i="288"/>
  <c r="J1706" i="288" s="1"/>
  <c r="C1706" i="288"/>
  <c r="D1706" i="288" s="1"/>
  <c r="I1705" i="288"/>
  <c r="J1705" i="288" s="1"/>
  <c r="C1705" i="288"/>
  <c r="D1705" i="288" s="1"/>
  <c r="I1704" i="288"/>
  <c r="J1704" i="288" s="1"/>
  <c r="C1704" i="288"/>
  <c r="D1704" i="288" s="1"/>
  <c r="I1703" i="288"/>
  <c r="J1703" i="288" s="1"/>
  <c r="J1712" i="288" s="1"/>
  <c r="C1703" i="288"/>
  <c r="D1703" i="288" s="1"/>
  <c r="D1712" i="288" s="1"/>
  <c r="G1701" i="288"/>
  <c r="A1701" i="288"/>
  <c r="J1697" i="288"/>
  <c r="D1697" i="288"/>
  <c r="I1694" i="288"/>
  <c r="C1694" i="288"/>
  <c r="I1693" i="288"/>
  <c r="J1693" i="288" s="1"/>
  <c r="J1694" i="288" s="1"/>
  <c r="C1693" i="288"/>
  <c r="D1693" i="288" s="1"/>
  <c r="D1694" i="288" s="1"/>
  <c r="I1692" i="288"/>
  <c r="J1692" i="288" s="1"/>
  <c r="C1692" i="288"/>
  <c r="D1692" i="288" s="1"/>
  <c r="I1691" i="288"/>
  <c r="J1691" i="288" s="1"/>
  <c r="C1691" i="288"/>
  <c r="D1691" i="288" s="1"/>
  <c r="I1690" i="288"/>
  <c r="J1690" i="288" s="1"/>
  <c r="C1690" i="288"/>
  <c r="D1690" i="288" s="1"/>
  <c r="I1689" i="288"/>
  <c r="J1689" i="288" s="1"/>
  <c r="J1698" i="288" s="1"/>
  <c r="C1689" i="288"/>
  <c r="D1689" i="288" s="1"/>
  <c r="D1698" i="288" s="1"/>
  <c r="G1687" i="288"/>
  <c r="A1687" i="288"/>
  <c r="J1683" i="288"/>
  <c r="D1683" i="288"/>
  <c r="I1680" i="288"/>
  <c r="C1680" i="288"/>
  <c r="I1679" i="288"/>
  <c r="J1679" i="288" s="1"/>
  <c r="J1680" i="288" s="1"/>
  <c r="C1679" i="288"/>
  <c r="D1679" i="288" s="1"/>
  <c r="D1680" i="288" s="1"/>
  <c r="I1678" i="288"/>
  <c r="J1678" i="288" s="1"/>
  <c r="C1678" i="288"/>
  <c r="D1678" i="288" s="1"/>
  <c r="I1677" i="288"/>
  <c r="J1677" i="288" s="1"/>
  <c r="C1677" i="288"/>
  <c r="D1677" i="288" s="1"/>
  <c r="I1676" i="288"/>
  <c r="J1676" i="288" s="1"/>
  <c r="C1676" i="288"/>
  <c r="D1676" i="288" s="1"/>
  <c r="I1675" i="288"/>
  <c r="J1675" i="288" s="1"/>
  <c r="J1684" i="288" s="1"/>
  <c r="C1675" i="288"/>
  <c r="D1675" i="288" s="1"/>
  <c r="D1684" i="288" s="1"/>
  <c r="G1673" i="288"/>
  <c r="A1673" i="288"/>
  <c r="D1640" i="288"/>
  <c r="I1637" i="288"/>
  <c r="C1637" i="288"/>
  <c r="I1636" i="288"/>
  <c r="J1636" i="288" s="1"/>
  <c r="J1637" i="288" s="1"/>
  <c r="C1636" i="288"/>
  <c r="D1636" i="288" s="1"/>
  <c r="D1637" i="288" s="1"/>
  <c r="I1635" i="288"/>
  <c r="J1635" i="288" s="1"/>
  <c r="C1635" i="288"/>
  <c r="D1635" i="288" s="1"/>
  <c r="I1634" i="288"/>
  <c r="J1634" i="288" s="1"/>
  <c r="C1634" i="288"/>
  <c r="D1634" i="288" s="1"/>
  <c r="I1633" i="288"/>
  <c r="J1633" i="288" s="1"/>
  <c r="C1633" i="288"/>
  <c r="D1633" i="288" s="1"/>
  <c r="I1632" i="288"/>
  <c r="J1632" i="288" s="1"/>
  <c r="C1632" i="288"/>
  <c r="D1632" i="288" s="1"/>
  <c r="D1641" i="288" s="1"/>
  <c r="G1630" i="288"/>
  <c r="A1630" i="288"/>
  <c r="J1626" i="288"/>
  <c r="D1626" i="288"/>
  <c r="I1623" i="288"/>
  <c r="C1623" i="288"/>
  <c r="I1622" i="288"/>
  <c r="J1622" i="288" s="1"/>
  <c r="J1623" i="288" s="1"/>
  <c r="C1622" i="288"/>
  <c r="D1622" i="288" s="1"/>
  <c r="D1623" i="288" s="1"/>
  <c r="I1621" i="288"/>
  <c r="J1621" i="288" s="1"/>
  <c r="C1621" i="288"/>
  <c r="D1621" i="288" s="1"/>
  <c r="I1620" i="288"/>
  <c r="J1620" i="288" s="1"/>
  <c r="C1620" i="288"/>
  <c r="D1620" i="288" s="1"/>
  <c r="I1619" i="288"/>
  <c r="J1619" i="288" s="1"/>
  <c r="C1619" i="288"/>
  <c r="D1619" i="288" s="1"/>
  <c r="I1618" i="288"/>
  <c r="J1618" i="288" s="1"/>
  <c r="J1627" i="288" s="1"/>
  <c r="C1618" i="288"/>
  <c r="D1618" i="288" s="1"/>
  <c r="D1627" i="288" s="1"/>
  <c r="G1616" i="288"/>
  <c r="A1616" i="288"/>
  <c r="J1611" i="288"/>
  <c r="D1611" i="288"/>
  <c r="I1608" i="288"/>
  <c r="C1608" i="288"/>
  <c r="I1607" i="288"/>
  <c r="J1607" i="288" s="1"/>
  <c r="J1608" i="288" s="1"/>
  <c r="C1607" i="288"/>
  <c r="D1607" i="288" s="1"/>
  <c r="D1608" i="288" s="1"/>
  <c r="I1606" i="288"/>
  <c r="J1606" i="288" s="1"/>
  <c r="C1606" i="288"/>
  <c r="D1606" i="288" s="1"/>
  <c r="I1605" i="288"/>
  <c r="J1605" i="288" s="1"/>
  <c r="C1605" i="288"/>
  <c r="D1605" i="288" s="1"/>
  <c r="I1604" i="288"/>
  <c r="J1604" i="288" s="1"/>
  <c r="C1604" i="288"/>
  <c r="D1604" i="288" s="1"/>
  <c r="I1603" i="288"/>
  <c r="J1603" i="288" s="1"/>
  <c r="J1612" i="288" s="1"/>
  <c r="C1603" i="288"/>
  <c r="D1603" i="288" s="1"/>
  <c r="D1612" i="288" s="1"/>
  <c r="G1601" i="288"/>
  <c r="A1601" i="288"/>
  <c r="J1597" i="288"/>
  <c r="D1597" i="288"/>
  <c r="I1594" i="288"/>
  <c r="C1594" i="288"/>
  <c r="I1593" i="288"/>
  <c r="J1593" i="288" s="1"/>
  <c r="J1594" i="288" s="1"/>
  <c r="C1593" i="288"/>
  <c r="D1593" i="288" s="1"/>
  <c r="D1594" i="288" s="1"/>
  <c r="I1592" i="288"/>
  <c r="J1592" i="288" s="1"/>
  <c r="C1592" i="288"/>
  <c r="D1592" i="288" s="1"/>
  <c r="I1591" i="288"/>
  <c r="J1591" i="288" s="1"/>
  <c r="C1591" i="288"/>
  <c r="D1591" i="288" s="1"/>
  <c r="I1590" i="288"/>
  <c r="J1590" i="288" s="1"/>
  <c r="C1590" i="288"/>
  <c r="D1590" i="288" s="1"/>
  <c r="I1589" i="288"/>
  <c r="J1589" i="288" s="1"/>
  <c r="J1598" i="288" s="1"/>
  <c r="C1589" i="288"/>
  <c r="D1589" i="288" s="1"/>
  <c r="D1598" i="288" s="1"/>
  <c r="G1587" i="288"/>
  <c r="A1587" i="288"/>
  <c r="D1583" i="288"/>
  <c r="I1580" i="288"/>
  <c r="C1580" i="288"/>
  <c r="I1579" i="288"/>
  <c r="J1579" i="288" s="1"/>
  <c r="J1580" i="288" s="1"/>
  <c r="C1579" i="288"/>
  <c r="D1579" i="288" s="1"/>
  <c r="D1580" i="288" s="1"/>
  <c r="I1578" i="288"/>
  <c r="J1578" i="288" s="1"/>
  <c r="C1578" i="288"/>
  <c r="D1578" i="288" s="1"/>
  <c r="I1577" i="288"/>
  <c r="J1577" i="288" s="1"/>
  <c r="C1577" i="288"/>
  <c r="D1577" i="288" s="1"/>
  <c r="I1576" i="288"/>
  <c r="J1576" i="288" s="1"/>
  <c r="C1576" i="288"/>
  <c r="D1576" i="288" s="1"/>
  <c r="I1575" i="288"/>
  <c r="J1575" i="288" s="1"/>
  <c r="C1575" i="288"/>
  <c r="D1575" i="288" s="1"/>
  <c r="D1584" i="288" s="1"/>
  <c r="G1573" i="288"/>
  <c r="A1573" i="288"/>
  <c r="J1569" i="288"/>
  <c r="D1569" i="288"/>
  <c r="I1566" i="288"/>
  <c r="C1566" i="288"/>
  <c r="I1565" i="288"/>
  <c r="J1565" i="288" s="1"/>
  <c r="J1566" i="288" s="1"/>
  <c r="C1565" i="288"/>
  <c r="D1565" i="288" s="1"/>
  <c r="D1566" i="288" s="1"/>
  <c r="I1564" i="288"/>
  <c r="J1564" i="288" s="1"/>
  <c r="C1564" i="288"/>
  <c r="D1564" i="288" s="1"/>
  <c r="I1563" i="288"/>
  <c r="J1563" i="288" s="1"/>
  <c r="C1563" i="288"/>
  <c r="D1563" i="288" s="1"/>
  <c r="I1562" i="288"/>
  <c r="J1562" i="288" s="1"/>
  <c r="C1562" i="288"/>
  <c r="D1562" i="288" s="1"/>
  <c r="I1561" i="288"/>
  <c r="J1561" i="288" s="1"/>
  <c r="J1570" i="288" s="1"/>
  <c r="C1561" i="288"/>
  <c r="D1561" i="288" s="1"/>
  <c r="D1570" i="288" s="1"/>
  <c r="G1559" i="288"/>
  <c r="A1559" i="288"/>
  <c r="J1554" i="288"/>
  <c r="D1554" i="288"/>
  <c r="I1551" i="288"/>
  <c r="C1551" i="288"/>
  <c r="I1550" i="288"/>
  <c r="J1550" i="288" s="1"/>
  <c r="J1551" i="288" s="1"/>
  <c r="C1550" i="288"/>
  <c r="D1550" i="288" s="1"/>
  <c r="D1551" i="288" s="1"/>
  <c r="I1549" i="288"/>
  <c r="J1549" i="288" s="1"/>
  <c r="C1549" i="288"/>
  <c r="D1549" i="288" s="1"/>
  <c r="I1548" i="288"/>
  <c r="J1548" i="288" s="1"/>
  <c r="C1548" i="288"/>
  <c r="D1548" i="288" s="1"/>
  <c r="I1547" i="288"/>
  <c r="J1547" i="288" s="1"/>
  <c r="C1547" i="288"/>
  <c r="D1547" i="288" s="1"/>
  <c r="I1546" i="288"/>
  <c r="J1546" i="288" s="1"/>
  <c r="J1555" i="288" s="1"/>
  <c r="C1546" i="288"/>
  <c r="D1546" i="288" s="1"/>
  <c r="D1555" i="288" s="1"/>
  <c r="G1544" i="288"/>
  <c r="A1544" i="288"/>
  <c r="J1540" i="288"/>
  <c r="D1540" i="288"/>
  <c r="I1537" i="288"/>
  <c r="C1537" i="288"/>
  <c r="I1536" i="288"/>
  <c r="J1536" i="288" s="1"/>
  <c r="J1537" i="288" s="1"/>
  <c r="C1536" i="288"/>
  <c r="D1536" i="288" s="1"/>
  <c r="D1537" i="288" s="1"/>
  <c r="I1535" i="288"/>
  <c r="J1535" i="288" s="1"/>
  <c r="C1535" i="288"/>
  <c r="D1535" i="288" s="1"/>
  <c r="I1534" i="288"/>
  <c r="J1534" i="288" s="1"/>
  <c r="C1534" i="288"/>
  <c r="D1534" i="288" s="1"/>
  <c r="I1533" i="288"/>
  <c r="J1533" i="288" s="1"/>
  <c r="C1533" i="288"/>
  <c r="D1533" i="288" s="1"/>
  <c r="I1532" i="288"/>
  <c r="J1532" i="288" s="1"/>
  <c r="J1541" i="288" s="1"/>
  <c r="C1532" i="288"/>
  <c r="D1532" i="288" s="1"/>
  <c r="D1541" i="288" s="1"/>
  <c r="G1530" i="288"/>
  <c r="A1530" i="288"/>
  <c r="J1526" i="288"/>
  <c r="D1526" i="288"/>
  <c r="I1523" i="288"/>
  <c r="C1523" i="288"/>
  <c r="I1522" i="288"/>
  <c r="J1522" i="288" s="1"/>
  <c r="J1523" i="288" s="1"/>
  <c r="C1522" i="288"/>
  <c r="D1522" i="288" s="1"/>
  <c r="D1523" i="288" s="1"/>
  <c r="I1521" i="288"/>
  <c r="J1521" i="288" s="1"/>
  <c r="C1521" i="288"/>
  <c r="D1521" i="288" s="1"/>
  <c r="I1520" i="288"/>
  <c r="J1520" i="288" s="1"/>
  <c r="C1520" i="288"/>
  <c r="D1520" i="288" s="1"/>
  <c r="I1519" i="288"/>
  <c r="J1519" i="288" s="1"/>
  <c r="C1519" i="288"/>
  <c r="D1519" i="288" s="1"/>
  <c r="I1518" i="288"/>
  <c r="J1518" i="288" s="1"/>
  <c r="J1527" i="288" s="1"/>
  <c r="C1518" i="288"/>
  <c r="D1518" i="288" s="1"/>
  <c r="D1527" i="288" s="1"/>
  <c r="G1516" i="288"/>
  <c r="A1516" i="288"/>
  <c r="J1512" i="288"/>
  <c r="D1512" i="288"/>
  <c r="I1509" i="288"/>
  <c r="C1509" i="288"/>
  <c r="I1508" i="288"/>
  <c r="J1508" i="288" s="1"/>
  <c r="J1509" i="288" s="1"/>
  <c r="C1508" i="288"/>
  <c r="D1508" i="288" s="1"/>
  <c r="D1509" i="288" s="1"/>
  <c r="I1507" i="288"/>
  <c r="J1507" i="288" s="1"/>
  <c r="C1507" i="288"/>
  <c r="D1507" i="288" s="1"/>
  <c r="I1506" i="288"/>
  <c r="J1506" i="288" s="1"/>
  <c r="C1506" i="288"/>
  <c r="D1506" i="288" s="1"/>
  <c r="I1505" i="288"/>
  <c r="J1505" i="288" s="1"/>
  <c r="C1505" i="288"/>
  <c r="D1505" i="288" s="1"/>
  <c r="I1504" i="288"/>
  <c r="J1504" i="288" s="1"/>
  <c r="J1513" i="288" s="1"/>
  <c r="C1504" i="288"/>
  <c r="D1504" i="288" s="1"/>
  <c r="D1513" i="288" s="1"/>
  <c r="G1502" i="288"/>
  <c r="A1502" i="288"/>
  <c r="D1497" i="288"/>
  <c r="L1495" i="288"/>
  <c r="I1494" i="288"/>
  <c r="C1494" i="288"/>
  <c r="I1493" i="288"/>
  <c r="J1493" i="288" s="1"/>
  <c r="J1494" i="288" s="1"/>
  <c r="C1493" i="288"/>
  <c r="D1493" i="288" s="1"/>
  <c r="D1494" i="288" s="1"/>
  <c r="I1492" i="288"/>
  <c r="J1492" i="288" s="1"/>
  <c r="C1492" i="288"/>
  <c r="D1492" i="288" s="1"/>
  <c r="I1491" i="288"/>
  <c r="J1491" i="288" s="1"/>
  <c r="C1491" i="288"/>
  <c r="D1491" i="288" s="1"/>
  <c r="I1490" i="288"/>
  <c r="J1490" i="288" s="1"/>
  <c r="C1490" i="288"/>
  <c r="D1490" i="288" s="1"/>
  <c r="I1489" i="288"/>
  <c r="J1489" i="288" s="1"/>
  <c r="C1489" i="288"/>
  <c r="D1489" i="288" s="1"/>
  <c r="D1498" i="288" s="1"/>
  <c r="G1487" i="288"/>
  <c r="A1487" i="288"/>
  <c r="J1483" i="288"/>
  <c r="D1483" i="288"/>
  <c r="I1480" i="288"/>
  <c r="C1480" i="288"/>
  <c r="I1479" i="288"/>
  <c r="J1479" i="288" s="1"/>
  <c r="J1480" i="288" s="1"/>
  <c r="C1479" i="288"/>
  <c r="D1479" i="288" s="1"/>
  <c r="D1480" i="288" s="1"/>
  <c r="I1478" i="288"/>
  <c r="J1478" i="288" s="1"/>
  <c r="C1478" i="288"/>
  <c r="D1478" i="288" s="1"/>
  <c r="I1477" i="288"/>
  <c r="J1477" i="288" s="1"/>
  <c r="C1477" i="288"/>
  <c r="D1477" i="288" s="1"/>
  <c r="I1476" i="288"/>
  <c r="J1476" i="288" s="1"/>
  <c r="C1476" i="288"/>
  <c r="D1476" i="288" s="1"/>
  <c r="I1475" i="288"/>
  <c r="J1475" i="288" s="1"/>
  <c r="J1484" i="288" s="1"/>
  <c r="C1475" i="288"/>
  <c r="D1475" i="288" s="1"/>
  <c r="D1484" i="288" s="1"/>
  <c r="G1473" i="288"/>
  <c r="A1473" i="288"/>
  <c r="J1469" i="288"/>
  <c r="D1469" i="288"/>
  <c r="I1466" i="288"/>
  <c r="C1466" i="288"/>
  <c r="I1465" i="288"/>
  <c r="J1465" i="288" s="1"/>
  <c r="J1466" i="288" s="1"/>
  <c r="C1465" i="288"/>
  <c r="D1465" i="288" s="1"/>
  <c r="D1466" i="288" s="1"/>
  <c r="I1464" i="288"/>
  <c r="J1464" i="288" s="1"/>
  <c r="C1464" i="288"/>
  <c r="D1464" i="288" s="1"/>
  <c r="I1463" i="288"/>
  <c r="J1463" i="288" s="1"/>
  <c r="C1463" i="288"/>
  <c r="D1463" i="288" s="1"/>
  <c r="I1462" i="288"/>
  <c r="J1462" i="288" s="1"/>
  <c r="C1462" i="288"/>
  <c r="D1462" i="288" s="1"/>
  <c r="I1461" i="288"/>
  <c r="J1461" i="288" s="1"/>
  <c r="J1470" i="288" s="1"/>
  <c r="C1461" i="288"/>
  <c r="D1461" i="288" s="1"/>
  <c r="D1470" i="288" s="1"/>
  <c r="G1459" i="288"/>
  <c r="A1459" i="288"/>
  <c r="J1455" i="288"/>
  <c r="D1455" i="288"/>
  <c r="I1452" i="288"/>
  <c r="C1452" i="288"/>
  <c r="I1451" i="288"/>
  <c r="J1451" i="288" s="1"/>
  <c r="J1452" i="288" s="1"/>
  <c r="C1451" i="288"/>
  <c r="D1451" i="288" s="1"/>
  <c r="D1452" i="288" s="1"/>
  <c r="I1450" i="288"/>
  <c r="J1450" i="288" s="1"/>
  <c r="C1450" i="288"/>
  <c r="D1450" i="288" s="1"/>
  <c r="I1449" i="288"/>
  <c r="J1449" i="288" s="1"/>
  <c r="C1449" i="288"/>
  <c r="D1449" i="288" s="1"/>
  <c r="I1448" i="288"/>
  <c r="J1448" i="288" s="1"/>
  <c r="C1448" i="288"/>
  <c r="D1448" i="288" s="1"/>
  <c r="I1447" i="288"/>
  <c r="J1447" i="288" s="1"/>
  <c r="J1456" i="288" s="1"/>
  <c r="C1447" i="288"/>
  <c r="D1447" i="288" s="1"/>
  <c r="D1456" i="288" s="1"/>
  <c r="G1445" i="288"/>
  <c r="A1445" i="288"/>
  <c r="J1440" i="288"/>
  <c r="D1440" i="288"/>
  <c r="I1437" i="288"/>
  <c r="C1437" i="288"/>
  <c r="I1436" i="288"/>
  <c r="J1436" i="288" s="1"/>
  <c r="J1437" i="288" s="1"/>
  <c r="C1436" i="288"/>
  <c r="D1436" i="288" s="1"/>
  <c r="D1437" i="288" s="1"/>
  <c r="I1435" i="288"/>
  <c r="J1435" i="288" s="1"/>
  <c r="C1435" i="288"/>
  <c r="D1435" i="288" s="1"/>
  <c r="I1434" i="288"/>
  <c r="J1434" i="288" s="1"/>
  <c r="C1434" i="288"/>
  <c r="D1434" i="288" s="1"/>
  <c r="I1433" i="288"/>
  <c r="J1433" i="288" s="1"/>
  <c r="C1433" i="288"/>
  <c r="D1433" i="288" s="1"/>
  <c r="I1432" i="288"/>
  <c r="J1432" i="288" s="1"/>
  <c r="J1441" i="288" s="1"/>
  <c r="C1432" i="288"/>
  <c r="D1432" i="288" s="1"/>
  <c r="D1441" i="288" s="1"/>
  <c r="G1430" i="288"/>
  <c r="A1430" i="288"/>
  <c r="J1426" i="288"/>
  <c r="D1426" i="288"/>
  <c r="I1423" i="288"/>
  <c r="C1423" i="288"/>
  <c r="I1422" i="288"/>
  <c r="J1422" i="288" s="1"/>
  <c r="J1423" i="288" s="1"/>
  <c r="C1422" i="288"/>
  <c r="D1422" i="288" s="1"/>
  <c r="D1423" i="288" s="1"/>
  <c r="I1421" i="288"/>
  <c r="J1421" i="288" s="1"/>
  <c r="C1421" i="288"/>
  <c r="D1421" i="288" s="1"/>
  <c r="I1420" i="288"/>
  <c r="J1420" i="288" s="1"/>
  <c r="C1420" i="288"/>
  <c r="D1420" i="288" s="1"/>
  <c r="I1419" i="288"/>
  <c r="J1419" i="288" s="1"/>
  <c r="C1419" i="288"/>
  <c r="D1419" i="288" s="1"/>
  <c r="I1418" i="288"/>
  <c r="J1418" i="288" s="1"/>
  <c r="J1427" i="288" s="1"/>
  <c r="C1418" i="288"/>
  <c r="D1418" i="288" s="1"/>
  <c r="D1427" i="288" s="1"/>
  <c r="G1416" i="288"/>
  <c r="A1416" i="288"/>
  <c r="J1412" i="288"/>
  <c r="D1412" i="288"/>
  <c r="I1409" i="288"/>
  <c r="C1409" i="288"/>
  <c r="I1408" i="288"/>
  <c r="J1408" i="288" s="1"/>
  <c r="J1409" i="288" s="1"/>
  <c r="C1408" i="288"/>
  <c r="D1408" i="288" s="1"/>
  <c r="D1409" i="288" s="1"/>
  <c r="I1407" i="288"/>
  <c r="J1407" i="288" s="1"/>
  <c r="C1407" i="288"/>
  <c r="D1407" i="288" s="1"/>
  <c r="I1406" i="288"/>
  <c r="J1406" i="288" s="1"/>
  <c r="C1406" i="288"/>
  <c r="D1406" i="288" s="1"/>
  <c r="I1405" i="288"/>
  <c r="J1405" i="288" s="1"/>
  <c r="C1405" i="288"/>
  <c r="D1405" i="288" s="1"/>
  <c r="I1404" i="288"/>
  <c r="J1404" i="288" s="1"/>
  <c r="J1413" i="288" s="1"/>
  <c r="C1404" i="288"/>
  <c r="D1404" i="288" s="1"/>
  <c r="D1413" i="288" s="1"/>
  <c r="G1402" i="288"/>
  <c r="A1402" i="288"/>
  <c r="J1398" i="288"/>
  <c r="D1398" i="288"/>
  <c r="I1395" i="288"/>
  <c r="C1395" i="288"/>
  <c r="I1394" i="288"/>
  <c r="J1394" i="288" s="1"/>
  <c r="J1395" i="288" s="1"/>
  <c r="C1394" i="288"/>
  <c r="D1394" i="288" s="1"/>
  <c r="D1395" i="288" s="1"/>
  <c r="I1393" i="288"/>
  <c r="J1393" i="288" s="1"/>
  <c r="C1393" i="288"/>
  <c r="D1393" i="288" s="1"/>
  <c r="I1392" i="288"/>
  <c r="J1392" i="288" s="1"/>
  <c r="C1392" i="288"/>
  <c r="D1392" i="288" s="1"/>
  <c r="I1391" i="288"/>
  <c r="J1391" i="288" s="1"/>
  <c r="C1391" i="288"/>
  <c r="D1391" i="288" s="1"/>
  <c r="I1390" i="288"/>
  <c r="J1390" i="288" s="1"/>
  <c r="J1399" i="288" s="1"/>
  <c r="C1390" i="288"/>
  <c r="D1390" i="288" s="1"/>
  <c r="D1399" i="288" s="1"/>
  <c r="G1388" i="288"/>
  <c r="A1388" i="288"/>
  <c r="J1383" i="288"/>
  <c r="D1383" i="288"/>
  <c r="I1380" i="288"/>
  <c r="C1380" i="288"/>
  <c r="I1379" i="288"/>
  <c r="J1379" i="288" s="1"/>
  <c r="J1380" i="288" s="1"/>
  <c r="C1379" i="288"/>
  <c r="D1379" i="288" s="1"/>
  <c r="D1380" i="288" s="1"/>
  <c r="I1378" i="288"/>
  <c r="J1378" i="288" s="1"/>
  <c r="C1378" i="288"/>
  <c r="D1378" i="288" s="1"/>
  <c r="I1377" i="288"/>
  <c r="J1377" i="288" s="1"/>
  <c r="C1377" i="288"/>
  <c r="D1377" i="288" s="1"/>
  <c r="I1376" i="288"/>
  <c r="J1376" i="288" s="1"/>
  <c r="C1376" i="288"/>
  <c r="D1376" i="288" s="1"/>
  <c r="I1375" i="288"/>
  <c r="J1375" i="288" s="1"/>
  <c r="J1384" i="288" s="1"/>
  <c r="C1375" i="288"/>
  <c r="D1375" i="288" s="1"/>
  <c r="D1384" i="288" s="1"/>
  <c r="G1373" i="288"/>
  <c r="A1373" i="288"/>
  <c r="J1369" i="288"/>
  <c r="D1369" i="288"/>
  <c r="I1366" i="288"/>
  <c r="C1366" i="288"/>
  <c r="I1365" i="288"/>
  <c r="J1365" i="288" s="1"/>
  <c r="J1366" i="288" s="1"/>
  <c r="C1365" i="288"/>
  <c r="D1365" i="288" s="1"/>
  <c r="D1366" i="288" s="1"/>
  <c r="I1364" i="288"/>
  <c r="J1364" i="288" s="1"/>
  <c r="C1364" i="288"/>
  <c r="D1364" i="288" s="1"/>
  <c r="I1363" i="288"/>
  <c r="J1363" i="288" s="1"/>
  <c r="C1363" i="288"/>
  <c r="D1363" i="288" s="1"/>
  <c r="I1362" i="288"/>
  <c r="J1362" i="288" s="1"/>
  <c r="C1362" i="288"/>
  <c r="D1362" i="288" s="1"/>
  <c r="I1361" i="288"/>
  <c r="J1361" i="288" s="1"/>
  <c r="J1370" i="288" s="1"/>
  <c r="C1361" i="288"/>
  <c r="D1361" i="288" s="1"/>
  <c r="D1370" i="288" s="1"/>
  <c r="G1359" i="288"/>
  <c r="A1359" i="288"/>
  <c r="J1355" i="288"/>
  <c r="D1355" i="288"/>
  <c r="I1352" i="288"/>
  <c r="C1352" i="288"/>
  <c r="I1351" i="288"/>
  <c r="J1351" i="288" s="1"/>
  <c r="J1352" i="288" s="1"/>
  <c r="C1351" i="288"/>
  <c r="D1351" i="288" s="1"/>
  <c r="D1352" i="288" s="1"/>
  <c r="I1350" i="288"/>
  <c r="J1350" i="288" s="1"/>
  <c r="C1350" i="288"/>
  <c r="D1350" i="288" s="1"/>
  <c r="I1349" i="288"/>
  <c r="J1349" i="288" s="1"/>
  <c r="C1349" i="288"/>
  <c r="D1349" i="288" s="1"/>
  <c r="I1348" i="288"/>
  <c r="J1348" i="288" s="1"/>
  <c r="C1348" i="288"/>
  <c r="D1348" i="288" s="1"/>
  <c r="I1347" i="288"/>
  <c r="J1347" i="288" s="1"/>
  <c r="J1356" i="288" s="1"/>
  <c r="C1347" i="288"/>
  <c r="D1347" i="288" s="1"/>
  <c r="D1356" i="288" s="1"/>
  <c r="G1345" i="288"/>
  <c r="A1345" i="288"/>
  <c r="J1341" i="288"/>
  <c r="D1341" i="288"/>
  <c r="I1338" i="288"/>
  <c r="C1338" i="288"/>
  <c r="I1337" i="288"/>
  <c r="J1337" i="288" s="1"/>
  <c r="J1338" i="288" s="1"/>
  <c r="C1337" i="288"/>
  <c r="D1337" i="288" s="1"/>
  <c r="D1338" i="288" s="1"/>
  <c r="I1336" i="288"/>
  <c r="J1336" i="288" s="1"/>
  <c r="C1336" i="288"/>
  <c r="D1336" i="288" s="1"/>
  <c r="I1335" i="288"/>
  <c r="J1335" i="288" s="1"/>
  <c r="C1335" i="288"/>
  <c r="D1335" i="288" s="1"/>
  <c r="I1334" i="288"/>
  <c r="J1334" i="288" s="1"/>
  <c r="C1334" i="288"/>
  <c r="D1334" i="288" s="1"/>
  <c r="I1333" i="288"/>
  <c r="J1333" i="288" s="1"/>
  <c r="J1342" i="288" s="1"/>
  <c r="C1333" i="288"/>
  <c r="D1333" i="288" s="1"/>
  <c r="D1342" i="288" s="1"/>
  <c r="G1331" i="288"/>
  <c r="A1331" i="288"/>
  <c r="J1326" i="288"/>
  <c r="D1326" i="288"/>
  <c r="I1323" i="288"/>
  <c r="C1323" i="288"/>
  <c r="I1322" i="288"/>
  <c r="J1322" i="288" s="1"/>
  <c r="J1323" i="288" s="1"/>
  <c r="C1322" i="288"/>
  <c r="D1322" i="288" s="1"/>
  <c r="D1323" i="288" s="1"/>
  <c r="I1321" i="288"/>
  <c r="J1321" i="288" s="1"/>
  <c r="C1321" i="288"/>
  <c r="D1321" i="288" s="1"/>
  <c r="I1320" i="288"/>
  <c r="J1320" i="288" s="1"/>
  <c r="C1320" i="288"/>
  <c r="D1320" i="288" s="1"/>
  <c r="I1319" i="288"/>
  <c r="J1319" i="288" s="1"/>
  <c r="C1319" i="288"/>
  <c r="D1319" i="288" s="1"/>
  <c r="I1318" i="288"/>
  <c r="J1318" i="288" s="1"/>
  <c r="J1327" i="288" s="1"/>
  <c r="C1318" i="288"/>
  <c r="D1318" i="288" s="1"/>
  <c r="D1327" i="288" s="1"/>
  <c r="G1316" i="288"/>
  <c r="A1316" i="288"/>
  <c r="J1312" i="288"/>
  <c r="D1312" i="288"/>
  <c r="I1309" i="288"/>
  <c r="C1309" i="288"/>
  <c r="I1308" i="288"/>
  <c r="J1308" i="288" s="1"/>
  <c r="J1309" i="288" s="1"/>
  <c r="C1308" i="288"/>
  <c r="D1308" i="288" s="1"/>
  <c r="D1309" i="288" s="1"/>
  <c r="I1307" i="288"/>
  <c r="J1307" i="288" s="1"/>
  <c r="C1307" i="288"/>
  <c r="D1307" i="288" s="1"/>
  <c r="I1306" i="288"/>
  <c r="J1306" i="288" s="1"/>
  <c r="C1306" i="288"/>
  <c r="D1306" i="288" s="1"/>
  <c r="I1305" i="288"/>
  <c r="J1305" i="288" s="1"/>
  <c r="C1305" i="288"/>
  <c r="D1305" i="288" s="1"/>
  <c r="I1304" i="288"/>
  <c r="J1304" i="288" s="1"/>
  <c r="J1313" i="288" s="1"/>
  <c r="C1304" i="288"/>
  <c r="D1304" i="288" s="1"/>
  <c r="D1313" i="288" s="1"/>
  <c r="G1302" i="288"/>
  <c r="A1302" i="288"/>
  <c r="J1298" i="288"/>
  <c r="D1298" i="288"/>
  <c r="I1295" i="288"/>
  <c r="C1295" i="288"/>
  <c r="I1294" i="288"/>
  <c r="J1294" i="288" s="1"/>
  <c r="J1295" i="288" s="1"/>
  <c r="C1294" i="288"/>
  <c r="D1294" i="288" s="1"/>
  <c r="D1295" i="288" s="1"/>
  <c r="I1293" i="288"/>
  <c r="J1293" i="288" s="1"/>
  <c r="C1293" i="288"/>
  <c r="D1293" i="288" s="1"/>
  <c r="I1292" i="288"/>
  <c r="J1292" i="288" s="1"/>
  <c r="C1292" i="288"/>
  <c r="D1292" i="288" s="1"/>
  <c r="I1291" i="288"/>
  <c r="J1291" i="288" s="1"/>
  <c r="C1291" i="288"/>
  <c r="D1291" i="288" s="1"/>
  <c r="I1290" i="288"/>
  <c r="J1290" i="288" s="1"/>
  <c r="J1299" i="288" s="1"/>
  <c r="C1290" i="288"/>
  <c r="D1290" i="288" s="1"/>
  <c r="D1299" i="288" s="1"/>
  <c r="G1288" i="288"/>
  <c r="A1288" i="288"/>
  <c r="J1284" i="288"/>
  <c r="D1284" i="288"/>
  <c r="I1281" i="288"/>
  <c r="C1281" i="288"/>
  <c r="I1280" i="288"/>
  <c r="J1280" i="288" s="1"/>
  <c r="J1281" i="288" s="1"/>
  <c r="C1280" i="288"/>
  <c r="D1280" i="288" s="1"/>
  <c r="D1281" i="288" s="1"/>
  <c r="I1279" i="288"/>
  <c r="J1279" i="288" s="1"/>
  <c r="C1279" i="288"/>
  <c r="D1279" i="288" s="1"/>
  <c r="I1278" i="288"/>
  <c r="J1278" i="288" s="1"/>
  <c r="C1278" i="288"/>
  <c r="D1278" i="288" s="1"/>
  <c r="I1277" i="288"/>
  <c r="J1277" i="288" s="1"/>
  <c r="C1277" i="288"/>
  <c r="D1277" i="288" s="1"/>
  <c r="I1276" i="288"/>
  <c r="J1276" i="288" s="1"/>
  <c r="J1285" i="288" s="1"/>
  <c r="C1276" i="288"/>
  <c r="D1276" i="288" s="1"/>
  <c r="D1285" i="288" s="1"/>
  <c r="G1274" i="288"/>
  <c r="A1274" i="288"/>
  <c r="J1269" i="288"/>
  <c r="D1269" i="288"/>
  <c r="I1266" i="288"/>
  <c r="C1266" i="288"/>
  <c r="I1265" i="288"/>
  <c r="J1265" i="288" s="1"/>
  <c r="J1266" i="288" s="1"/>
  <c r="C1265" i="288"/>
  <c r="D1265" i="288" s="1"/>
  <c r="D1266" i="288" s="1"/>
  <c r="I1264" i="288"/>
  <c r="J1264" i="288" s="1"/>
  <c r="C1264" i="288"/>
  <c r="D1264" i="288" s="1"/>
  <c r="I1263" i="288"/>
  <c r="J1263" i="288" s="1"/>
  <c r="C1263" i="288"/>
  <c r="D1263" i="288" s="1"/>
  <c r="I1262" i="288"/>
  <c r="J1262" i="288" s="1"/>
  <c r="C1262" i="288"/>
  <c r="D1262" i="288" s="1"/>
  <c r="I1261" i="288"/>
  <c r="J1261" i="288" s="1"/>
  <c r="J1270" i="288" s="1"/>
  <c r="C1261" i="288"/>
  <c r="D1261" i="288" s="1"/>
  <c r="D1270" i="288" s="1"/>
  <c r="G1259" i="288"/>
  <c r="A1259" i="288"/>
  <c r="J1255" i="288"/>
  <c r="D1255" i="288"/>
  <c r="I1252" i="288"/>
  <c r="C1252" i="288"/>
  <c r="I1251" i="288"/>
  <c r="J1251" i="288" s="1"/>
  <c r="J1252" i="288" s="1"/>
  <c r="C1251" i="288"/>
  <c r="D1251" i="288" s="1"/>
  <c r="D1252" i="288" s="1"/>
  <c r="I1250" i="288"/>
  <c r="J1250" i="288" s="1"/>
  <c r="C1250" i="288"/>
  <c r="D1250" i="288" s="1"/>
  <c r="I1249" i="288"/>
  <c r="J1249" i="288" s="1"/>
  <c r="C1249" i="288"/>
  <c r="D1249" i="288" s="1"/>
  <c r="I1248" i="288"/>
  <c r="J1248" i="288" s="1"/>
  <c r="C1248" i="288"/>
  <c r="D1248" i="288" s="1"/>
  <c r="I1247" i="288"/>
  <c r="J1247" i="288" s="1"/>
  <c r="J1256" i="288" s="1"/>
  <c r="C1247" i="288"/>
  <c r="D1247" i="288" s="1"/>
  <c r="D1256" i="288" s="1"/>
  <c r="G1245" i="288"/>
  <c r="A1245" i="288"/>
  <c r="J1241" i="288"/>
  <c r="D1241" i="288"/>
  <c r="I1238" i="288"/>
  <c r="C1238" i="288"/>
  <c r="I1237" i="288"/>
  <c r="J1237" i="288" s="1"/>
  <c r="J1238" i="288" s="1"/>
  <c r="C1237" i="288"/>
  <c r="D1237" i="288" s="1"/>
  <c r="D1238" i="288" s="1"/>
  <c r="I1236" i="288"/>
  <c r="J1236" i="288" s="1"/>
  <c r="C1236" i="288"/>
  <c r="D1236" i="288" s="1"/>
  <c r="I1235" i="288"/>
  <c r="J1235" i="288" s="1"/>
  <c r="C1235" i="288"/>
  <c r="D1235" i="288" s="1"/>
  <c r="I1234" i="288"/>
  <c r="J1234" i="288" s="1"/>
  <c r="C1234" i="288"/>
  <c r="D1234" i="288" s="1"/>
  <c r="I1233" i="288"/>
  <c r="J1233" i="288" s="1"/>
  <c r="J1242" i="288" s="1"/>
  <c r="C1233" i="288"/>
  <c r="D1233" i="288" s="1"/>
  <c r="D1242" i="288" s="1"/>
  <c r="G1231" i="288"/>
  <c r="A1231" i="288"/>
  <c r="J1227" i="288"/>
  <c r="D1227" i="288"/>
  <c r="I1224" i="288"/>
  <c r="C1224" i="288"/>
  <c r="I1223" i="288"/>
  <c r="J1223" i="288" s="1"/>
  <c r="J1224" i="288" s="1"/>
  <c r="C1223" i="288"/>
  <c r="D1223" i="288" s="1"/>
  <c r="D1224" i="288" s="1"/>
  <c r="I1222" i="288"/>
  <c r="J1222" i="288" s="1"/>
  <c r="C1222" i="288"/>
  <c r="D1222" i="288" s="1"/>
  <c r="I1221" i="288"/>
  <c r="J1221" i="288" s="1"/>
  <c r="C1221" i="288"/>
  <c r="D1221" i="288" s="1"/>
  <c r="I1220" i="288"/>
  <c r="J1220" i="288" s="1"/>
  <c r="C1220" i="288"/>
  <c r="D1220" i="288" s="1"/>
  <c r="I1219" i="288"/>
  <c r="J1219" i="288" s="1"/>
  <c r="J1228" i="288" s="1"/>
  <c r="C1219" i="288"/>
  <c r="D1219" i="288" s="1"/>
  <c r="D1228" i="288" s="1"/>
  <c r="G1217" i="288"/>
  <c r="A1217" i="288"/>
  <c r="J1212" i="288"/>
  <c r="D1212" i="288"/>
  <c r="I1209" i="288"/>
  <c r="C1209" i="288"/>
  <c r="I1208" i="288"/>
  <c r="J1208" i="288" s="1"/>
  <c r="J1209" i="288" s="1"/>
  <c r="C1208" i="288"/>
  <c r="D1208" i="288" s="1"/>
  <c r="D1209" i="288" s="1"/>
  <c r="I1207" i="288"/>
  <c r="J1207" i="288" s="1"/>
  <c r="C1207" i="288"/>
  <c r="D1207" i="288" s="1"/>
  <c r="I1206" i="288"/>
  <c r="J1206" i="288" s="1"/>
  <c r="C1206" i="288"/>
  <c r="D1206" i="288" s="1"/>
  <c r="I1205" i="288"/>
  <c r="J1205" i="288" s="1"/>
  <c r="C1205" i="288"/>
  <c r="D1205" i="288" s="1"/>
  <c r="I1204" i="288"/>
  <c r="J1204" i="288" s="1"/>
  <c r="J1213" i="288" s="1"/>
  <c r="C1204" i="288"/>
  <c r="D1204" i="288" s="1"/>
  <c r="D1213" i="288" s="1"/>
  <c r="G1202" i="288"/>
  <c r="A1202" i="288"/>
  <c r="J1198" i="288"/>
  <c r="D1198" i="288"/>
  <c r="I1195" i="288"/>
  <c r="C1195" i="288"/>
  <c r="I1194" i="288"/>
  <c r="J1194" i="288" s="1"/>
  <c r="J1195" i="288" s="1"/>
  <c r="C1194" i="288"/>
  <c r="D1194" i="288" s="1"/>
  <c r="D1195" i="288" s="1"/>
  <c r="I1193" i="288"/>
  <c r="J1193" i="288" s="1"/>
  <c r="C1193" i="288"/>
  <c r="D1193" i="288" s="1"/>
  <c r="I1192" i="288"/>
  <c r="J1192" i="288" s="1"/>
  <c r="C1192" i="288"/>
  <c r="D1192" i="288" s="1"/>
  <c r="I1191" i="288"/>
  <c r="J1191" i="288" s="1"/>
  <c r="C1191" i="288"/>
  <c r="D1191" i="288" s="1"/>
  <c r="I1190" i="288"/>
  <c r="J1190" i="288" s="1"/>
  <c r="J1199" i="288" s="1"/>
  <c r="C1190" i="288"/>
  <c r="D1190" i="288" s="1"/>
  <c r="D1199" i="288" s="1"/>
  <c r="G1188" i="288"/>
  <c r="A1188" i="288"/>
  <c r="J1184" i="288"/>
  <c r="D1184" i="288"/>
  <c r="I1181" i="288"/>
  <c r="C1181" i="288"/>
  <c r="I1180" i="288"/>
  <c r="J1180" i="288" s="1"/>
  <c r="J1181" i="288" s="1"/>
  <c r="C1180" i="288"/>
  <c r="D1180" i="288" s="1"/>
  <c r="D1181" i="288" s="1"/>
  <c r="I1179" i="288"/>
  <c r="J1179" i="288" s="1"/>
  <c r="C1179" i="288"/>
  <c r="D1179" i="288" s="1"/>
  <c r="I1178" i="288"/>
  <c r="J1178" i="288" s="1"/>
  <c r="C1178" i="288"/>
  <c r="D1178" i="288" s="1"/>
  <c r="I1177" i="288"/>
  <c r="J1177" i="288" s="1"/>
  <c r="C1177" i="288"/>
  <c r="D1177" i="288" s="1"/>
  <c r="I1176" i="288"/>
  <c r="J1176" i="288" s="1"/>
  <c r="J1185" i="288" s="1"/>
  <c r="C1176" i="288"/>
  <c r="D1176" i="288" s="1"/>
  <c r="D1185" i="288" s="1"/>
  <c r="G1174" i="288"/>
  <c r="A1174" i="288"/>
  <c r="J1170" i="288"/>
  <c r="D1170" i="288"/>
  <c r="I1167" i="288"/>
  <c r="C1167" i="288"/>
  <c r="I1166" i="288"/>
  <c r="J1166" i="288" s="1"/>
  <c r="J1167" i="288" s="1"/>
  <c r="C1166" i="288"/>
  <c r="D1166" i="288" s="1"/>
  <c r="D1167" i="288" s="1"/>
  <c r="I1165" i="288"/>
  <c r="J1165" i="288" s="1"/>
  <c r="C1165" i="288"/>
  <c r="D1165" i="288" s="1"/>
  <c r="I1164" i="288"/>
  <c r="J1164" i="288" s="1"/>
  <c r="C1164" i="288"/>
  <c r="D1164" i="288" s="1"/>
  <c r="I1163" i="288"/>
  <c r="J1163" i="288" s="1"/>
  <c r="C1163" i="288"/>
  <c r="D1163" i="288" s="1"/>
  <c r="I1162" i="288"/>
  <c r="J1162" i="288" s="1"/>
  <c r="J1171" i="288" s="1"/>
  <c r="C1162" i="288"/>
  <c r="D1162" i="288" s="1"/>
  <c r="D1171" i="288" s="1"/>
  <c r="G1160" i="288"/>
  <c r="A1160" i="288"/>
  <c r="J1155" i="288"/>
  <c r="D1155" i="288"/>
  <c r="I1152" i="288"/>
  <c r="C1152" i="288"/>
  <c r="I1151" i="288"/>
  <c r="J1151" i="288" s="1"/>
  <c r="J1152" i="288" s="1"/>
  <c r="C1151" i="288"/>
  <c r="D1151" i="288" s="1"/>
  <c r="D1152" i="288" s="1"/>
  <c r="I1150" i="288"/>
  <c r="J1150" i="288" s="1"/>
  <c r="C1150" i="288"/>
  <c r="D1150" i="288" s="1"/>
  <c r="I1149" i="288"/>
  <c r="J1149" i="288" s="1"/>
  <c r="C1149" i="288"/>
  <c r="D1149" i="288" s="1"/>
  <c r="I1148" i="288"/>
  <c r="J1148" i="288" s="1"/>
  <c r="C1148" i="288"/>
  <c r="D1148" i="288" s="1"/>
  <c r="I1147" i="288"/>
  <c r="J1147" i="288" s="1"/>
  <c r="J1156" i="288" s="1"/>
  <c r="C1147" i="288"/>
  <c r="D1147" i="288" s="1"/>
  <c r="D1156" i="288" s="1"/>
  <c r="G1145" i="288"/>
  <c r="A1145" i="288"/>
  <c r="J1141" i="288"/>
  <c r="D1141" i="288"/>
  <c r="I1138" i="288"/>
  <c r="C1138" i="288"/>
  <c r="I1137" i="288"/>
  <c r="J1137" i="288" s="1"/>
  <c r="J1138" i="288" s="1"/>
  <c r="C1137" i="288"/>
  <c r="D1137" i="288" s="1"/>
  <c r="D1138" i="288" s="1"/>
  <c r="I1136" i="288"/>
  <c r="J1136" i="288" s="1"/>
  <c r="C1136" i="288"/>
  <c r="D1136" i="288" s="1"/>
  <c r="I1135" i="288"/>
  <c r="J1135" i="288" s="1"/>
  <c r="C1135" i="288"/>
  <c r="D1135" i="288" s="1"/>
  <c r="I1134" i="288"/>
  <c r="J1134" i="288" s="1"/>
  <c r="C1134" i="288"/>
  <c r="D1134" i="288" s="1"/>
  <c r="I1133" i="288"/>
  <c r="J1133" i="288" s="1"/>
  <c r="J1142" i="288" s="1"/>
  <c r="C1133" i="288"/>
  <c r="D1133" i="288" s="1"/>
  <c r="D1142" i="288" s="1"/>
  <c r="G1131" i="288"/>
  <c r="A1131" i="288"/>
  <c r="J1127" i="288"/>
  <c r="D1127" i="288"/>
  <c r="I1124" i="288"/>
  <c r="C1124" i="288"/>
  <c r="I1123" i="288"/>
  <c r="J1123" i="288" s="1"/>
  <c r="J1124" i="288" s="1"/>
  <c r="C1123" i="288"/>
  <c r="D1123" i="288" s="1"/>
  <c r="D1124" i="288" s="1"/>
  <c r="I1122" i="288"/>
  <c r="J1122" i="288" s="1"/>
  <c r="C1122" i="288"/>
  <c r="D1122" i="288" s="1"/>
  <c r="I1121" i="288"/>
  <c r="J1121" i="288" s="1"/>
  <c r="C1121" i="288"/>
  <c r="D1121" i="288" s="1"/>
  <c r="I1120" i="288"/>
  <c r="J1120" i="288" s="1"/>
  <c r="C1120" i="288"/>
  <c r="D1120" i="288" s="1"/>
  <c r="I1119" i="288"/>
  <c r="J1119" i="288" s="1"/>
  <c r="J1128" i="288" s="1"/>
  <c r="C1119" i="288"/>
  <c r="D1119" i="288" s="1"/>
  <c r="D1128" i="288" s="1"/>
  <c r="G1117" i="288"/>
  <c r="A1117" i="288"/>
  <c r="J1113" i="288"/>
  <c r="D1113" i="288"/>
  <c r="I1110" i="288"/>
  <c r="C1110" i="288"/>
  <c r="I1109" i="288"/>
  <c r="J1109" i="288" s="1"/>
  <c r="J1110" i="288" s="1"/>
  <c r="C1109" i="288"/>
  <c r="D1109" i="288" s="1"/>
  <c r="D1110" i="288" s="1"/>
  <c r="I1108" i="288"/>
  <c r="J1108" i="288" s="1"/>
  <c r="C1108" i="288"/>
  <c r="D1108" i="288" s="1"/>
  <c r="I1107" i="288"/>
  <c r="J1107" i="288" s="1"/>
  <c r="C1107" i="288"/>
  <c r="D1107" i="288" s="1"/>
  <c r="I1106" i="288"/>
  <c r="J1106" i="288" s="1"/>
  <c r="C1106" i="288"/>
  <c r="D1106" i="288" s="1"/>
  <c r="I1105" i="288"/>
  <c r="J1105" i="288" s="1"/>
  <c r="J1114" i="288" s="1"/>
  <c r="C1105" i="288"/>
  <c r="D1105" i="288" s="1"/>
  <c r="D1114" i="288" s="1"/>
  <c r="G1103" i="288"/>
  <c r="A1103" i="288"/>
  <c r="J1098" i="288"/>
  <c r="D1098" i="288"/>
  <c r="I1095" i="288"/>
  <c r="C1095" i="288"/>
  <c r="I1094" i="288"/>
  <c r="J1094" i="288" s="1"/>
  <c r="J1095" i="288" s="1"/>
  <c r="C1094" i="288"/>
  <c r="D1094" i="288" s="1"/>
  <c r="D1095" i="288" s="1"/>
  <c r="I1093" i="288"/>
  <c r="J1093" i="288" s="1"/>
  <c r="C1093" i="288"/>
  <c r="D1093" i="288" s="1"/>
  <c r="I1092" i="288"/>
  <c r="J1092" i="288" s="1"/>
  <c r="C1092" i="288"/>
  <c r="D1092" i="288" s="1"/>
  <c r="I1091" i="288"/>
  <c r="J1091" i="288" s="1"/>
  <c r="C1091" i="288"/>
  <c r="D1091" i="288" s="1"/>
  <c r="I1090" i="288"/>
  <c r="J1090" i="288" s="1"/>
  <c r="J1099" i="288" s="1"/>
  <c r="C1090" i="288"/>
  <c r="D1090" i="288" s="1"/>
  <c r="D1099" i="288" s="1"/>
  <c r="G1088" i="288"/>
  <c r="A1088" i="288"/>
  <c r="J1084" i="288"/>
  <c r="D1084" i="288"/>
  <c r="I1081" i="288"/>
  <c r="C1081" i="288"/>
  <c r="I1080" i="288"/>
  <c r="J1080" i="288" s="1"/>
  <c r="J1081" i="288" s="1"/>
  <c r="C1080" i="288"/>
  <c r="D1080" i="288" s="1"/>
  <c r="D1081" i="288" s="1"/>
  <c r="I1079" i="288"/>
  <c r="J1079" i="288" s="1"/>
  <c r="C1079" i="288"/>
  <c r="D1079" i="288" s="1"/>
  <c r="I1078" i="288"/>
  <c r="J1078" i="288" s="1"/>
  <c r="C1078" i="288"/>
  <c r="D1078" i="288" s="1"/>
  <c r="I1077" i="288"/>
  <c r="J1077" i="288" s="1"/>
  <c r="C1077" i="288"/>
  <c r="D1077" i="288" s="1"/>
  <c r="I1076" i="288"/>
  <c r="J1076" i="288" s="1"/>
  <c r="J1085" i="288" s="1"/>
  <c r="C1076" i="288"/>
  <c r="D1076" i="288" s="1"/>
  <c r="D1085" i="288" s="1"/>
  <c r="G1074" i="288"/>
  <c r="A1074" i="288"/>
  <c r="J1070" i="288"/>
  <c r="D1070" i="288"/>
  <c r="I1067" i="288"/>
  <c r="C1067" i="288"/>
  <c r="I1066" i="288"/>
  <c r="J1066" i="288" s="1"/>
  <c r="J1067" i="288" s="1"/>
  <c r="C1066" i="288"/>
  <c r="D1066" i="288" s="1"/>
  <c r="D1067" i="288" s="1"/>
  <c r="I1065" i="288"/>
  <c r="J1065" i="288" s="1"/>
  <c r="C1065" i="288"/>
  <c r="D1065" i="288" s="1"/>
  <c r="I1064" i="288"/>
  <c r="J1064" i="288" s="1"/>
  <c r="C1064" i="288"/>
  <c r="D1064" i="288" s="1"/>
  <c r="I1063" i="288"/>
  <c r="J1063" i="288" s="1"/>
  <c r="C1063" i="288"/>
  <c r="D1063" i="288" s="1"/>
  <c r="I1062" i="288"/>
  <c r="J1062" i="288" s="1"/>
  <c r="J1071" i="288" s="1"/>
  <c r="C1062" i="288"/>
  <c r="D1062" i="288" s="1"/>
  <c r="D1071" i="288" s="1"/>
  <c r="G1060" i="288"/>
  <c r="A1060" i="288"/>
  <c r="J1056" i="288"/>
  <c r="D1056" i="288"/>
  <c r="I1053" i="288"/>
  <c r="C1053" i="288"/>
  <c r="I1052" i="288"/>
  <c r="J1052" i="288" s="1"/>
  <c r="J1053" i="288" s="1"/>
  <c r="C1052" i="288"/>
  <c r="D1052" i="288" s="1"/>
  <c r="D1053" i="288" s="1"/>
  <c r="I1051" i="288"/>
  <c r="J1051" i="288" s="1"/>
  <c r="C1051" i="288"/>
  <c r="D1051" i="288" s="1"/>
  <c r="I1050" i="288"/>
  <c r="J1050" i="288" s="1"/>
  <c r="C1050" i="288"/>
  <c r="D1050" i="288" s="1"/>
  <c r="I1049" i="288"/>
  <c r="J1049" i="288" s="1"/>
  <c r="C1049" i="288"/>
  <c r="D1049" i="288" s="1"/>
  <c r="I1048" i="288"/>
  <c r="J1048" i="288" s="1"/>
  <c r="J1057" i="288" s="1"/>
  <c r="C1048" i="288"/>
  <c r="D1048" i="288" s="1"/>
  <c r="D1057" i="288" s="1"/>
  <c r="G1046" i="288"/>
  <c r="A1046" i="288"/>
  <c r="J1041" i="288"/>
  <c r="D1041" i="288"/>
  <c r="I1038" i="288"/>
  <c r="C1038" i="288"/>
  <c r="I1037" i="288"/>
  <c r="J1037" i="288" s="1"/>
  <c r="J1038" i="288" s="1"/>
  <c r="C1037" i="288"/>
  <c r="D1037" i="288" s="1"/>
  <c r="D1038" i="288" s="1"/>
  <c r="I1036" i="288"/>
  <c r="J1036" i="288" s="1"/>
  <c r="C1036" i="288"/>
  <c r="D1036" i="288" s="1"/>
  <c r="I1035" i="288"/>
  <c r="J1035" i="288" s="1"/>
  <c r="C1035" i="288"/>
  <c r="D1035" i="288" s="1"/>
  <c r="I1034" i="288"/>
  <c r="J1034" i="288" s="1"/>
  <c r="C1034" i="288"/>
  <c r="D1034" i="288" s="1"/>
  <c r="I1033" i="288"/>
  <c r="J1033" i="288" s="1"/>
  <c r="J1042" i="288" s="1"/>
  <c r="C1033" i="288"/>
  <c r="D1033" i="288" s="1"/>
  <c r="D1042" i="288" s="1"/>
  <c r="G1031" i="288"/>
  <c r="A1031" i="288"/>
  <c r="J1027" i="288"/>
  <c r="D1027" i="288"/>
  <c r="I1024" i="288"/>
  <c r="C1024" i="288"/>
  <c r="I1023" i="288"/>
  <c r="J1023" i="288" s="1"/>
  <c r="J1024" i="288" s="1"/>
  <c r="C1023" i="288"/>
  <c r="D1023" i="288" s="1"/>
  <c r="D1024" i="288" s="1"/>
  <c r="I1022" i="288"/>
  <c r="J1022" i="288" s="1"/>
  <c r="C1022" i="288"/>
  <c r="D1022" i="288" s="1"/>
  <c r="I1021" i="288"/>
  <c r="J1021" i="288" s="1"/>
  <c r="C1021" i="288"/>
  <c r="D1021" i="288" s="1"/>
  <c r="I1020" i="288"/>
  <c r="J1020" i="288" s="1"/>
  <c r="C1020" i="288"/>
  <c r="D1020" i="288" s="1"/>
  <c r="I1019" i="288"/>
  <c r="J1019" i="288" s="1"/>
  <c r="J1028" i="288" s="1"/>
  <c r="C1019" i="288"/>
  <c r="D1019" i="288" s="1"/>
  <c r="D1028" i="288" s="1"/>
  <c r="G1017" i="288"/>
  <c r="A1017" i="288"/>
  <c r="J1013" i="288"/>
  <c r="D1013" i="288"/>
  <c r="I1010" i="288"/>
  <c r="C1010" i="288"/>
  <c r="I1009" i="288"/>
  <c r="J1009" i="288" s="1"/>
  <c r="J1010" i="288" s="1"/>
  <c r="C1009" i="288"/>
  <c r="D1009" i="288" s="1"/>
  <c r="D1010" i="288" s="1"/>
  <c r="I1008" i="288"/>
  <c r="J1008" i="288" s="1"/>
  <c r="C1008" i="288"/>
  <c r="D1008" i="288" s="1"/>
  <c r="I1007" i="288"/>
  <c r="J1007" i="288" s="1"/>
  <c r="C1007" i="288"/>
  <c r="D1007" i="288" s="1"/>
  <c r="I1006" i="288"/>
  <c r="J1006" i="288" s="1"/>
  <c r="C1006" i="288"/>
  <c r="D1006" i="288" s="1"/>
  <c r="I1005" i="288"/>
  <c r="J1005" i="288" s="1"/>
  <c r="J1014" i="288" s="1"/>
  <c r="C1005" i="288"/>
  <c r="D1005" i="288" s="1"/>
  <c r="D1014" i="288" s="1"/>
  <c r="G1003" i="288"/>
  <c r="A1003" i="288"/>
  <c r="J999" i="288"/>
  <c r="D999" i="288"/>
  <c r="I996" i="288"/>
  <c r="C996" i="288"/>
  <c r="I995" i="288"/>
  <c r="J995" i="288" s="1"/>
  <c r="J996" i="288" s="1"/>
  <c r="C995" i="288"/>
  <c r="D995" i="288" s="1"/>
  <c r="D996" i="288" s="1"/>
  <c r="I994" i="288"/>
  <c r="J994" i="288" s="1"/>
  <c r="C994" i="288"/>
  <c r="D994" i="288" s="1"/>
  <c r="I993" i="288"/>
  <c r="J993" i="288" s="1"/>
  <c r="C993" i="288"/>
  <c r="D993" i="288" s="1"/>
  <c r="I992" i="288"/>
  <c r="J992" i="288" s="1"/>
  <c r="C992" i="288"/>
  <c r="D992" i="288" s="1"/>
  <c r="I991" i="288"/>
  <c r="J991" i="288" s="1"/>
  <c r="J1000" i="288" s="1"/>
  <c r="C991" i="288"/>
  <c r="D991" i="288" s="1"/>
  <c r="D1000" i="288" s="1"/>
  <c r="G989" i="288"/>
  <c r="A989" i="288"/>
  <c r="J984" i="288"/>
  <c r="D984" i="288"/>
  <c r="I981" i="288"/>
  <c r="C981" i="288"/>
  <c r="I980" i="288"/>
  <c r="J980" i="288" s="1"/>
  <c r="J981" i="288" s="1"/>
  <c r="C980" i="288"/>
  <c r="D980" i="288" s="1"/>
  <c r="D981" i="288" s="1"/>
  <c r="I979" i="288"/>
  <c r="J979" i="288" s="1"/>
  <c r="C979" i="288"/>
  <c r="D979" i="288" s="1"/>
  <c r="I978" i="288"/>
  <c r="J978" i="288" s="1"/>
  <c r="C978" i="288"/>
  <c r="D978" i="288" s="1"/>
  <c r="I977" i="288"/>
  <c r="J977" i="288" s="1"/>
  <c r="C977" i="288"/>
  <c r="D977" i="288" s="1"/>
  <c r="I976" i="288"/>
  <c r="J976" i="288" s="1"/>
  <c r="J985" i="288" s="1"/>
  <c r="C976" i="288"/>
  <c r="D976" i="288" s="1"/>
  <c r="D985" i="288" s="1"/>
  <c r="G974" i="288"/>
  <c r="A974" i="288"/>
  <c r="J970" i="288"/>
  <c r="D970" i="288"/>
  <c r="I967" i="288"/>
  <c r="C967" i="288"/>
  <c r="I966" i="288"/>
  <c r="J966" i="288" s="1"/>
  <c r="J967" i="288" s="1"/>
  <c r="C966" i="288"/>
  <c r="D966" i="288" s="1"/>
  <c r="D967" i="288" s="1"/>
  <c r="I965" i="288"/>
  <c r="J965" i="288" s="1"/>
  <c r="C965" i="288"/>
  <c r="D965" i="288" s="1"/>
  <c r="I964" i="288"/>
  <c r="J964" i="288" s="1"/>
  <c r="C964" i="288"/>
  <c r="D964" i="288" s="1"/>
  <c r="I963" i="288"/>
  <c r="J963" i="288" s="1"/>
  <c r="C963" i="288"/>
  <c r="D963" i="288" s="1"/>
  <c r="I962" i="288"/>
  <c r="J962" i="288" s="1"/>
  <c r="J971" i="288" s="1"/>
  <c r="C962" i="288"/>
  <c r="D962" i="288" s="1"/>
  <c r="D971" i="288" s="1"/>
  <c r="G960" i="288"/>
  <c r="A960" i="288"/>
  <c r="J956" i="288"/>
  <c r="D956" i="288"/>
  <c r="I953" i="288"/>
  <c r="C953" i="288"/>
  <c r="I952" i="288"/>
  <c r="J952" i="288" s="1"/>
  <c r="J953" i="288" s="1"/>
  <c r="C952" i="288"/>
  <c r="D952" i="288" s="1"/>
  <c r="D953" i="288" s="1"/>
  <c r="I951" i="288"/>
  <c r="J951" i="288" s="1"/>
  <c r="C951" i="288"/>
  <c r="D951" i="288" s="1"/>
  <c r="I950" i="288"/>
  <c r="J950" i="288" s="1"/>
  <c r="C950" i="288"/>
  <c r="D950" i="288" s="1"/>
  <c r="I949" i="288"/>
  <c r="J949" i="288" s="1"/>
  <c r="C949" i="288"/>
  <c r="D949" i="288" s="1"/>
  <c r="I948" i="288"/>
  <c r="J948" i="288" s="1"/>
  <c r="J957" i="288" s="1"/>
  <c r="C948" i="288"/>
  <c r="D948" i="288" s="1"/>
  <c r="D957" i="288" s="1"/>
  <c r="G946" i="288"/>
  <c r="A946" i="288"/>
  <c r="J942" i="288"/>
  <c r="D942" i="288"/>
  <c r="I939" i="288"/>
  <c r="C939" i="288"/>
  <c r="I938" i="288"/>
  <c r="J938" i="288" s="1"/>
  <c r="J939" i="288" s="1"/>
  <c r="C938" i="288"/>
  <c r="D938" i="288" s="1"/>
  <c r="D939" i="288" s="1"/>
  <c r="I937" i="288"/>
  <c r="J937" i="288" s="1"/>
  <c r="C937" i="288"/>
  <c r="D937" i="288" s="1"/>
  <c r="I936" i="288"/>
  <c r="J936" i="288" s="1"/>
  <c r="C936" i="288"/>
  <c r="D936" i="288" s="1"/>
  <c r="I935" i="288"/>
  <c r="J935" i="288" s="1"/>
  <c r="C935" i="288"/>
  <c r="D935" i="288" s="1"/>
  <c r="I934" i="288"/>
  <c r="J934" i="288" s="1"/>
  <c r="J943" i="288" s="1"/>
  <c r="C934" i="288"/>
  <c r="D934" i="288" s="1"/>
  <c r="D943" i="288" s="1"/>
  <c r="G932" i="288"/>
  <c r="A932" i="288"/>
  <c r="J927" i="288"/>
  <c r="D927" i="288"/>
  <c r="I924" i="288"/>
  <c r="C924" i="288"/>
  <c r="I923" i="288"/>
  <c r="J923" i="288" s="1"/>
  <c r="J924" i="288" s="1"/>
  <c r="C923" i="288"/>
  <c r="D923" i="288" s="1"/>
  <c r="D924" i="288" s="1"/>
  <c r="I922" i="288"/>
  <c r="J922" i="288" s="1"/>
  <c r="C922" i="288"/>
  <c r="D922" i="288" s="1"/>
  <c r="I921" i="288"/>
  <c r="J921" i="288" s="1"/>
  <c r="C921" i="288"/>
  <c r="D921" i="288" s="1"/>
  <c r="I920" i="288"/>
  <c r="J920" i="288" s="1"/>
  <c r="C920" i="288"/>
  <c r="D920" i="288" s="1"/>
  <c r="I919" i="288"/>
  <c r="J919" i="288" s="1"/>
  <c r="J928" i="288" s="1"/>
  <c r="C919" i="288"/>
  <c r="D919" i="288" s="1"/>
  <c r="D928" i="288" s="1"/>
  <c r="G917" i="288"/>
  <c r="A917" i="288"/>
  <c r="J913" i="288"/>
  <c r="D913" i="288"/>
  <c r="I910" i="288"/>
  <c r="C910" i="288"/>
  <c r="I909" i="288"/>
  <c r="J909" i="288" s="1"/>
  <c r="J910" i="288" s="1"/>
  <c r="C909" i="288"/>
  <c r="D909" i="288" s="1"/>
  <c r="D910" i="288" s="1"/>
  <c r="I908" i="288"/>
  <c r="J908" i="288" s="1"/>
  <c r="C908" i="288"/>
  <c r="D908" i="288" s="1"/>
  <c r="I907" i="288"/>
  <c r="J907" i="288" s="1"/>
  <c r="C907" i="288"/>
  <c r="D907" i="288" s="1"/>
  <c r="I906" i="288"/>
  <c r="J906" i="288" s="1"/>
  <c r="C906" i="288"/>
  <c r="D906" i="288" s="1"/>
  <c r="I905" i="288"/>
  <c r="J905" i="288" s="1"/>
  <c r="J914" i="288" s="1"/>
  <c r="C905" i="288"/>
  <c r="D905" i="288" s="1"/>
  <c r="D914" i="288" s="1"/>
  <c r="G903" i="288"/>
  <c r="A903" i="288"/>
  <c r="J899" i="288"/>
  <c r="D899" i="288"/>
  <c r="C896" i="288"/>
  <c r="C895" i="288"/>
  <c r="D895" i="288" s="1"/>
  <c r="D896" i="288" s="1"/>
  <c r="I894" i="288"/>
  <c r="J894" i="288" s="1"/>
  <c r="C894" i="288"/>
  <c r="D894" i="288" s="1"/>
  <c r="C893" i="288"/>
  <c r="D893" i="288" s="1"/>
  <c r="C892" i="288"/>
  <c r="D892" i="288" s="1"/>
  <c r="C891" i="288"/>
  <c r="D891" i="288" s="1"/>
  <c r="D900" i="288" s="1"/>
  <c r="G889" i="288"/>
  <c r="A889" i="288"/>
  <c r="J885" i="288"/>
  <c r="D885" i="288"/>
  <c r="I882" i="288"/>
  <c r="C882" i="288"/>
  <c r="I881" i="288"/>
  <c r="J881" i="288" s="1"/>
  <c r="J882" i="288" s="1"/>
  <c r="C881" i="288"/>
  <c r="D881" i="288" s="1"/>
  <c r="D882" i="288" s="1"/>
  <c r="I880" i="288"/>
  <c r="J880" i="288" s="1"/>
  <c r="C880" i="288"/>
  <c r="D880" i="288" s="1"/>
  <c r="I879" i="288"/>
  <c r="J879" i="288" s="1"/>
  <c r="C879" i="288"/>
  <c r="D879" i="288" s="1"/>
  <c r="I878" i="288"/>
  <c r="J878" i="288" s="1"/>
  <c r="C878" i="288"/>
  <c r="D878" i="288" s="1"/>
  <c r="I877" i="288"/>
  <c r="J877" i="288" s="1"/>
  <c r="J886" i="288" s="1"/>
  <c r="C877" i="288"/>
  <c r="D877" i="288" s="1"/>
  <c r="D886" i="288" s="1"/>
  <c r="G875" i="288"/>
  <c r="A875" i="288"/>
  <c r="J870" i="288"/>
  <c r="D870" i="288"/>
  <c r="I867" i="288"/>
  <c r="C867" i="288"/>
  <c r="I866" i="288"/>
  <c r="J866" i="288" s="1"/>
  <c r="J867" i="288" s="1"/>
  <c r="C866" i="288"/>
  <c r="D866" i="288" s="1"/>
  <c r="D867" i="288" s="1"/>
  <c r="I865" i="288"/>
  <c r="J865" i="288" s="1"/>
  <c r="C865" i="288"/>
  <c r="D865" i="288" s="1"/>
  <c r="I864" i="288"/>
  <c r="J864" i="288" s="1"/>
  <c r="C864" i="288"/>
  <c r="D864" i="288" s="1"/>
  <c r="I863" i="288"/>
  <c r="J863" i="288" s="1"/>
  <c r="C863" i="288"/>
  <c r="D863" i="288" s="1"/>
  <c r="I862" i="288"/>
  <c r="J862" i="288" s="1"/>
  <c r="J871" i="288" s="1"/>
  <c r="C862" i="288"/>
  <c r="D862" i="288" s="1"/>
  <c r="D871" i="288" s="1"/>
  <c r="G860" i="288"/>
  <c r="A860" i="288"/>
  <c r="J856" i="288"/>
  <c r="D856" i="288"/>
  <c r="I853" i="288"/>
  <c r="C853" i="288"/>
  <c r="I852" i="288"/>
  <c r="J852" i="288" s="1"/>
  <c r="J853" i="288" s="1"/>
  <c r="C852" i="288"/>
  <c r="D852" i="288" s="1"/>
  <c r="D853" i="288" s="1"/>
  <c r="I851" i="288"/>
  <c r="J851" i="288" s="1"/>
  <c r="C851" i="288"/>
  <c r="D851" i="288" s="1"/>
  <c r="I850" i="288"/>
  <c r="J850" i="288" s="1"/>
  <c r="C850" i="288"/>
  <c r="D850" i="288" s="1"/>
  <c r="I849" i="288"/>
  <c r="J849" i="288" s="1"/>
  <c r="C849" i="288"/>
  <c r="D849" i="288" s="1"/>
  <c r="I848" i="288"/>
  <c r="J848" i="288" s="1"/>
  <c r="J857" i="288" s="1"/>
  <c r="C848" i="288"/>
  <c r="D848" i="288" s="1"/>
  <c r="D857" i="288" s="1"/>
  <c r="G846" i="288"/>
  <c r="A846" i="288"/>
  <c r="J842" i="288"/>
  <c r="D842" i="288"/>
  <c r="I839" i="288"/>
  <c r="C839" i="288"/>
  <c r="I838" i="288"/>
  <c r="J838" i="288" s="1"/>
  <c r="J839" i="288" s="1"/>
  <c r="C838" i="288"/>
  <c r="D838" i="288" s="1"/>
  <c r="D839" i="288" s="1"/>
  <c r="I837" i="288"/>
  <c r="J837" i="288" s="1"/>
  <c r="C837" i="288"/>
  <c r="D837" i="288" s="1"/>
  <c r="I836" i="288"/>
  <c r="J836" i="288" s="1"/>
  <c r="C836" i="288"/>
  <c r="D836" i="288" s="1"/>
  <c r="I835" i="288"/>
  <c r="J835" i="288" s="1"/>
  <c r="C835" i="288"/>
  <c r="D835" i="288" s="1"/>
  <c r="I834" i="288"/>
  <c r="J834" i="288" s="1"/>
  <c r="J843" i="288" s="1"/>
  <c r="C834" i="288"/>
  <c r="D834" i="288" s="1"/>
  <c r="D843" i="288" s="1"/>
  <c r="G832" i="288"/>
  <c r="A832" i="288"/>
  <c r="J828" i="288"/>
  <c r="D828" i="288"/>
  <c r="I825" i="288"/>
  <c r="C825" i="288"/>
  <c r="I824" i="288"/>
  <c r="J824" i="288" s="1"/>
  <c r="J825" i="288" s="1"/>
  <c r="C824" i="288"/>
  <c r="D824" i="288" s="1"/>
  <c r="D825" i="288" s="1"/>
  <c r="I823" i="288"/>
  <c r="J823" i="288" s="1"/>
  <c r="C823" i="288"/>
  <c r="D823" i="288" s="1"/>
  <c r="I822" i="288"/>
  <c r="J822" i="288" s="1"/>
  <c r="C822" i="288"/>
  <c r="D822" i="288" s="1"/>
  <c r="I821" i="288"/>
  <c r="J821" i="288" s="1"/>
  <c r="C821" i="288"/>
  <c r="D821" i="288" s="1"/>
  <c r="I820" i="288"/>
  <c r="J820" i="288" s="1"/>
  <c r="J829" i="288" s="1"/>
  <c r="C820" i="288"/>
  <c r="D820" i="288" s="1"/>
  <c r="D829" i="288" s="1"/>
  <c r="G818" i="288"/>
  <c r="A818" i="288"/>
  <c r="J813" i="288"/>
  <c r="D813" i="288"/>
  <c r="D812" i="288"/>
  <c r="I810" i="288"/>
  <c r="C810" i="288"/>
  <c r="I809" i="288"/>
  <c r="J809" i="288" s="1"/>
  <c r="J810" i="288" s="1"/>
  <c r="C809" i="288"/>
  <c r="D809" i="288" s="1"/>
  <c r="D810" i="288" s="1"/>
  <c r="I808" i="288"/>
  <c r="J808" i="288" s="1"/>
  <c r="C808" i="288"/>
  <c r="D808" i="288" s="1"/>
  <c r="I807" i="288"/>
  <c r="J807" i="288" s="1"/>
  <c r="C807" i="288"/>
  <c r="D807" i="288" s="1"/>
  <c r="I806" i="288"/>
  <c r="J806" i="288" s="1"/>
  <c r="C806" i="288"/>
  <c r="D806" i="288" s="1"/>
  <c r="I805" i="288"/>
  <c r="J805" i="288" s="1"/>
  <c r="J814" i="288" s="1"/>
  <c r="C805" i="288"/>
  <c r="D805" i="288" s="1"/>
  <c r="D814" i="288" s="1"/>
  <c r="G803" i="288"/>
  <c r="A803" i="288"/>
  <c r="J799" i="288"/>
  <c r="D799" i="288"/>
  <c r="J798" i="288"/>
  <c r="D798" i="288"/>
  <c r="I796" i="288"/>
  <c r="C796" i="288"/>
  <c r="I795" i="288"/>
  <c r="J795" i="288" s="1"/>
  <c r="J796" i="288" s="1"/>
  <c r="C795" i="288"/>
  <c r="D795" i="288" s="1"/>
  <c r="D796" i="288" s="1"/>
  <c r="I794" i="288"/>
  <c r="J794" i="288" s="1"/>
  <c r="C794" i="288"/>
  <c r="D794" i="288" s="1"/>
  <c r="I793" i="288"/>
  <c r="J793" i="288" s="1"/>
  <c r="C793" i="288"/>
  <c r="D793" i="288" s="1"/>
  <c r="I792" i="288"/>
  <c r="J792" i="288" s="1"/>
  <c r="C792" i="288"/>
  <c r="D792" i="288" s="1"/>
  <c r="I791" i="288"/>
  <c r="J791" i="288" s="1"/>
  <c r="J800" i="288" s="1"/>
  <c r="C791" i="288"/>
  <c r="D791" i="288" s="1"/>
  <c r="D800" i="288" s="1"/>
  <c r="G789" i="288"/>
  <c r="A789" i="288"/>
  <c r="J785" i="288"/>
  <c r="D785" i="288"/>
  <c r="J784" i="288"/>
  <c r="D784" i="288"/>
  <c r="I782" i="288"/>
  <c r="C782" i="288"/>
  <c r="I781" i="288"/>
  <c r="J781" i="288" s="1"/>
  <c r="J782" i="288" s="1"/>
  <c r="C781" i="288"/>
  <c r="D781" i="288" s="1"/>
  <c r="D782" i="288" s="1"/>
  <c r="I780" i="288"/>
  <c r="J780" i="288" s="1"/>
  <c r="C780" i="288"/>
  <c r="D780" i="288" s="1"/>
  <c r="I779" i="288"/>
  <c r="J779" i="288" s="1"/>
  <c r="C779" i="288"/>
  <c r="D779" i="288" s="1"/>
  <c r="I778" i="288"/>
  <c r="J778" i="288" s="1"/>
  <c r="C778" i="288"/>
  <c r="D778" i="288" s="1"/>
  <c r="I777" i="288"/>
  <c r="J777" i="288" s="1"/>
  <c r="J786" i="288" s="1"/>
  <c r="C777" i="288"/>
  <c r="D777" i="288" s="1"/>
  <c r="D786" i="288" s="1"/>
  <c r="G775" i="288"/>
  <c r="A775" i="288"/>
  <c r="J771" i="288"/>
  <c r="D771" i="288"/>
  <c r="J770" i="288"/>
  <c r="D770" i="288"/>
  <c r="I768" i="288"/>
  <c r="C768" i="288"/>
  <c r="I767" i="288"/>
  <c r="J767" i="288" s="1"/>
  <c r="J768" i="288" s="1"/>
  <c r="C767" i="288"/>
  <c r="D767" i="288" s="1"/>
  <c r="D768" i="288" s="1"/>
  <c r="I766" i="288"/>
  <c r="J766" i="288" s="1"/>
  <c r="C766" i="288"/>
  <c r="D766" i="288" s="1"/>
  <c r="I765" i="288"/>
  <c r="J765" i="288" s="1"/>
  <c r="C765" i="288"/>
  <c r="D765" i="288" s="1"/>
  <c r="I764" i="288"/>
  <c r="J764" i="288" s="1"/>
  <c r="C764" i="288"/>
  <c r="D764" i="288" s="1"/>
  <c r="I763" i="288"/>
  <c r="J763" i="288" s="1"/>
  <c r="J772" i="288" s="1"/>
  <c r="C763" i="288"/>
  <c r="D763" i="288" s="1"/>
  <c r="D772" i="288" s="1"/>
  <c r="G761" i="288"/>
  <c r="A761" i="288"/>
  <c r="J756" i="288"/>
  <c r="D756" i="288"/>
  <c r="J755" i="288"/>
  <c r="D755" i="288"/>
  <c r="I753" i="288"/>
  <c r="C753" i="288"/>
  <c r="I752" i="288"/>
  <c r="J752" i="288" s="1"/>
  <c r="J753" i="288" s="1"/>
  <c r="C752" i="288"/>
  <c r="D752" i="288" s="1"/>
  <c r="D753" i="288" s="1"/>
  <c r="I751" i="288"/>
  <c r="J751" i="288" s="1"/>
  <c r="C751" i="288"/>
  <c r="D751" i="288" s="1"/>
  <c r="I750" i="288"/>
  <c r="J750" i="288" s="1"/>
  <c r="C750" i="288"/>
  <c r="D750" i="288" s="1"/>
  <c r="I749" i="288"/>
  <c r="J749" i="288" s="1"/>
  <c r="C749" i="288"/>
  <c r="D749" i="288" s="1"/>
  <c r="I748" i="288"/>
  <c r="J748" i="288" s="1"/>
  <c r="J757" i="288" s="1"/>
  <c r="C748" i="288"/>
  <c r="D748" i="288" s="1"/>
  <c r="D757" i="288" s="1"/>
  <c r="G746" i="288"/>
  <c r="A746" i="288"/>
  <c r="J742" i="288"/>
  <c r="D742" i="288"/>
  <c r="J741" i="288"/>
  <c r="D741" i="288"/>
  <c r="I739" i="288"/>
  <c r="C739" i="288"/>
  <c r="I738" i="288"/>
  <c r="J738" i="288" s="1"/>
  <c r="J739" i="288" s="1"/>
  <c r="C738" i="288"/>
  <c r="D738" i="288" s="1"/>
  <c r="D739" i="288" s="1"/>
  <c r="I737" i="288"/>
  <c r="J737" i="288" s="1"/>
  <c r="C737" i="288"/>
  <c r="D737" i="288" s="1"/>
  <c r="I736" i="288"/>
  <c r="J736" i="288" s="1"/>
  <c r="C736" i="288"/>
  <c r="D736" i="288" s="1"/>
  <c r="I735" i="288"/>
  <c r="J735" i="288" s="1"/>
  <c r="C735" i="288"/>
  <c r="D735" i="288" s="1"/>
  <c r="I734" i="288"/>
  <c r="J734" i="288" s="1"/>
  <c r="J743" i="288" s="1"/>
  <c r="C734" i="288"/>
  <c r="D734" i="288" s="1"/>
  <c r="D743" i="288" s="1"/>
  <c r="G732" i="288"/>
  <c r="A732" i="288"/>
  <c r="J728" i="288"/>
  <c r="D728" i="288"/>
  <c r="J727" i="288"/>
  <c r="D727" i="288"/>
  <c r="I725" i="288"/>
  <c r="C725" i="288"/>
  <c r="I724" i="288"/>
  <c r="J724" i="288" s="1"/>
  <c r="J725" i="288" s="1"/>
  <c r="C724" i="288"/>
  <c r="D724" i="288" s="1"/>
  <c r="D725" i="288" s="1"/>
  <c r="I723" i="288"/>
  <c r="J723" i="288" s="1"/>
  <c r="C723" i="288"/>
  <c r="D723" i="288" s="1"/>
  <c r="I722" i="288"/>
  <c r="J722" i="288" s="1"/>
  <c r="C722" i="288"/>
  <c r="D722" i="288" s="1"/>
  <c r="I721" i="288"/>
  <c r="J721" i="288" s="1"/>
  <c r="C721" i="288"/>
  <c r="D721" i="288" s="1"/>
  <c r="I720" i="288"/>
  <c r="J720" i="288" s="1"/>
  <c r="J729" i="288" s="1"/>
  <c r="C720" i="288"/>
  <c r="D720" i="288" s="1"/>
  <c r="D729" i="288" s="1"/>
  <c r="G718" i="288"/>
  <c r="A718" i="288"/>
  <c r="J714" i="288"/>
  <c r="D714" i="288"/>
  <c r="J713" i="288"/>
  <c r="D713" i="288"/>
  <c r="I711" i="288"/>
  <c r="C711" i="288"/>
  <c r="I710" i="288"/>
  <c r="J710" i="288" s="1"/>
  <c r="J711" i="288" s="1"/>
  <c r="C710" i="288"/>
  <c r="D710" i="288" s="1"/>
  <c r="D711" i="288" s="1"/>
  <c r="I709" i="288"/>
  <c r="J709" i="288" s="1"/>
  <c r="C709" i="288"/>
  <c r="D709" i="288" s="1"/>
  <c r="I708" i="288"/>
  <c r="J708" i="288" s="1"/>
  <c r="C708" i="288"/>
  <c r="D708" i="288" s="1"/>
  <c r="I707" i="288"/>
  <c r="J707" i="288" s="1"/>
  <c r="C707" i="288"/>
  <c r="D707" i="288" s="1"/>
  <c r="I706" i="288"/>
  <c r="J706" i="288" s="1"/>
  <c r="J715" i="288" s="1"/>
  <c r="C706" i="288"/>
  <c r="D706" i="288" s="1"/>
  <c r="D715" i="288" s="1"/>
  <c r="G704" i="288"/>
  <c r="A704" i="288"/>
  <c r="J699" i="288"/>
  <c r="D699" i="288"/>
  <c r="J698" i="288"/>
  <c r="D698" i="288"/>
  <c r="I696" i="288"/>
  <c r="C696" i="288"/>
  <c r="I695" i="288"/>
  <c r="J695" i="288" s="1"/>
  <c r="J696" i="288" s="1"/>
  <c r="C695" i="288"/>
  <c r="D695" i="288" s="1"/>
  <c r="D696" i="288" s="1"/>
  <c r="I694" i="288"/>
  <c r="J694" i="288" s="1"/>
  <c r="C694" i="288"/>
  <c r="D694" i="288" s="1"/>
  <c r="I693" i="288"/>
  <c r="J693" i="288" s="1"/>
  <c r="C693" i="288"/>
  <c r="D693" i="288" s="1"/>
  <c r="I692" i="288"/>
  <c r="J692" i="288" s="1"/>
  <c r="C692" i="288"/>
  <c r="D692" i="288" s="1"/>
  <c r="I691" i="288"/>
  <c r="J691" i="288" s="1"/>
  <c r="J700" i="288" s="1"/>
  <c r="C691" i="288"/>
  <c r="D691" i="288" s="1"/>
  <c r="D700" i="288" s="1"/>
  <c r="G689" i="288"/>
  <c r="A689" i="288"/>
  <c r="J685" i="288"/>
  <c r="D685" i="288"/>
  <c r="J684" i="288"/>
  <c r="D684" i="288"/>
  <c r="I682" i="288"/>
  <c r="C682" i="288"/>
  <c r="I681" i="288"/>
  <c r="J681" i="288" s="1"/>
  <c r="J682" i="288" s="1"/>
  <c r="C681" i="288"/>
  <c r="D681" i="288" s="1"/>
  <c r="D682" i="288" s="1"/>
  <c r="I680" i="288"/>
  <c r="J680" i="288" s="1"/>
  <c r="C680" i="288"/>
  <c r="D680" i="288" s="1"/>
  <c r="I679" i="288"/>
  <c r="J679" i="288" s="1"/>
  <c r="C679" i="288"/>
  <c r="D679" i="288" s="1"/>
  <c r="I678" i="288"/>
  <c r="J678" i="288" s="1"/>
  <c r="C678" i="288"/>
  <c r="D678" i="288" s="1"/>
  <c r="I677" i="288"/>
  <c r="J677" i="288" s="1"/>
  <c r="J686" i="288" s="1"/>
  <c r="C677" i="288"/>
  <c r="D677" i="288" s="1"/>
  <c r="D686" i="288" s="1"/>
  <c r="G675" i="288"/>
  <c r="A675" i="288"/>
  <c r="J671" i="288"/>
  <c r="D671" i="288"/>
  <c r="J670" i="288"/>
  <c r="D670" i="288"/>
  <c r="I668" i="288"/>
  <c r="C668" i="288"/>
  <c r="I667" i="288"/>
  <c r="J667" i="288" s="1"/>
  <c r="J668" i="288" s="1"/>
  <c r="C667" i="288"/>
  <c r="D667" i="288" s="1"/>
  <c r="D668" i="288" s="1"/>
  <c r="I666" i="288"/>
  <c r="J666" i="288" s="1"/>
  <c r="C666" i="288"/>
  <c r="D666" i="288" s="1"/>
  <c r="I665" i="288"/>
  <c r="J665" i="288" s="1"/>
  <c r="C665" i="288"/>
  <c r="D665" i="288" s="1"/>
  <c r="I664" i="288"/>
  <c r="J664" i="288" s="1"/>
  <c r="C664" i="288"/>
  <c r="D664" i="288" s="1"/>
  <c r="I663" i="288"/>
  <c r="J663" i="288" s="1"/>
  <c r="J672" i="288" s="1"/>
  <c r="C663" i="288"/>
  <c r="D663" i="288" s="1"/>
  <c r="D672" i="288" s="1"/>
  <c r="G661" i="288"/>
  <c r="A661" i="288"/>
  <c r="J657" i="288"/>
  <c r="D657" i="288"/>
  <c r="J656" i="288"/>
  <c r="D656" i="288"/>
  <c r="I654" i="288"/>
  <c r="C654" i="288"/>
  <c r="I653" i="288"/>
  <c r="J653" i="288" s="1"/>
  <c r="J654" i="288" s="1"/>
  <c r="C653" i="288"/>
  <c r="D653" i="288" s="1"/>
  <c r="D654" i="288" s="1"/>
  <c r="I652" i="288"/>
  <c r="J652" i="288" s="1"/>
  <c r="C652" i="288"/>
  <c r="D652" i="288" s="1"/>
  <c r="I651" i="288"/>
  <c r="J651" i="288" s="1"/>
  <c r="C651" i="288"/>
  <c r="D651" i="288" s="1"/>
  <c r="I650" i="288"/>
  <c r="J650" i="288" s="1"/>
  <c r="C650" i="288"/>
  <c r="D650" i="288" s="1"/>
  <c r="I649" i="288"/>
  <c r="J649" i="288" s="1"/>
  <c r="J658" i="288" s="1"/>
  <c r="C649" i="288"/>
  <c r="D649" i="288" s="1"/>
  <c r="D658" i="288" s="1"/>
  <c r="G647" i="288"/>
  <c r="A647" i="288"/>
  <c r="J642" i="288"/>
  <c r="D642" i="288"/>
  <c r="J641" i="288"/>
  <c r="D641" i="288"/>
  <c r="I639" i="288"/>
  <c r="C639" i="288"/>
  <c r="I638" i="288"/>
  <c r="J638" i="288" s="1"/>
  <c r="J639" i="288" s="1"/>
  <c r="C638" i="288"/>
  <c r="D638" i="288" s="1"/>
  <c r="D639" i="288" s="1"/>
  <c r="I637" i="288"/>
  <c r="J637" i="288" s="1"/>
  <c r="C637" i="288"/>
  <c r="D637" i="288" s="1"/>
  <c r="I636" i="288"/>
  <c r="J636" i="288" s="1"/>
  <c r="C636" i="288"/>
  <c r="D636" i="288" s="1"/>
  <c r="I635" i="288"/>
  <c r="J635" i="288" s="1"/>
  <c r="C635" i="288"/>
  <c r="D635" i="288" s="1"/>
  <c r="I634" i="288"/>
  <c r="J634" i="288" s="1"/>
  <c r="J643" i="288" s="1"/>
  <c r="C634" i="288"/>
  <c r="D634" i="288" s="1"/>
  <c r="D643" i="288" s="1"/>
  <c r="G632" i="288"/>
  <c r="A632" i="288"/>
  <c r="J628" i="288"/>
  <c r="D628" i="288"/>
  <c r="J627" i="288"/>
  <c r="D627" i="288"/>
  <c r="I625" i="288"/>
  <c r="C625" i="288"/>
  <c r="I624" i="288"/>
  <c r="J624" i="288" s="1"/>
  <c r="J625" i="288" s="1"/>
  <c r="C624" i="288"/>
  <c r="D624" i="288" s="1"/>
  <c r="D625" i="288" s="1"/>
  <c r="I623" i="288"/>
  <c r="J623" i="288" s="1"/>
  <c r="C623" i="288"/>
  <c r="D623" i="288" s="1"/>
  <c r="I622" i="288"/>
  <c r="J622" i="288" s="1"/>
  <c r="C622" i="288"/>
  <c r="D622" i="288" s="1"/>
  <c r="I621" i="288"/>
  <c r="J621" i="288" s="1"/>
  <c r="C621" i="288"/>
  <c r="D621" i="288" s="1"/>
  <c r="I620" i="288"/>
  <c r="J620" i="288" s="1"/>
  <c r="J629" i="288" s="1"/>
  <c r="C620" i="288"/>
  <c r="D620" i="288" s="1"/>
  <c r="D629" i="288" s="1"/>
  <c r="G618" i="288"/>
  <c r="A618" i="288"/>
  <c r="J614" i="288"/>
  <c r="D614" i="288"/>
  <c r="J613" i="288"/>
  <c r="D613" i="288"/>
  <c r="I611" i="288"/>
  <c r="C611" i="288"/>
  <c r="I610" i="288"/>
  <c r="J610" i="288" s="1"/>
  <c r="J611" i="288" s="1"/>
  <c r="C610" i="288"/>
  <c r="D610" i="288" s="1"/>
  <c r="D611" i="288" s="1"/>
  <c r="I609" i="288"/>
  <c r="J609" i="288" s="1"/>
  <c r="C609" i="288"/>
  <c r="D609" i="288" s="1"/>
  <c r="I608" i="288"/>
  <c r="J608" i="288" s="1"/>
  <c r="C608" i="288"/>
  <c r="D608" i="288" s="1"/>
  <c r="I607" i="288"/>
  <c r="J607" i="288" s="1"/>
  <c r="C607" i="288"/>
  <c r="D607" i="288" s="1"/>
  <c r="I606" i="288"/>
  <c r="J606" i="288" s="1"/>
  <c r="J615" i="288" s="1"/>
  <c r="C606" i="288"/>
  <c r="D606" i="288" s="1"/>
  <c r="D615" i="288" s="1"/>
  <c r="G604" i="288"/>
  <c r="A604" i="288"/>
  <c r="J600" i="288"/>
  <c r="D600" i="288"/>
  <c r="J599" i="288"/>
  <c r="D599" i="288"/>
  <c r="I597" i="288"/>
  <c r="C597" i="288"/>
  <c r="I596" i="288"/>
  <c r="J596" i="288" s="1"/>
  <c r="J597" i="288" s="1"/>
  <c r="C596" i="288"/>
  <c r="D596" i="288" s="1"/>
  <c r="D597" i="288" s="1"/>
  <c r="I595" i="288"/>
  <c r="J595" i="288" s="1"/>
  <c r="C595" i="288"/>
  <c r="D595" i="288" s="1"/>
  <c r="I594" i="288"/>
  <c r="J594" i="288" s="1"/>
  <c r="C594" i="288"/>
  <c r="D594" i="288" s="1"/>
  <c r="I593" i="288"/>
  <c r="J593" i="288" s="1"/>
  <c r="C593" i="288"/>
  <c r="D593" i="288" s="1"/>
  <c r="I592" i="288"/>
  <c r="J592" i="288" s="1"/>
  <c r="J601" i="288" s="1"/>
  <c r="C592" i="288"/>
  <c r="D592" i="288" s="1"/>
  <c r="D601" i="288" s="1"/>
  <c r="G590" i="288"/>
  <c r="A590" i="288"/>
  <c r="J585" i="288"/>
  <c r="D585" i="288"/>
  <c r="J584" i="288"/>
  <c r="D584" i="288"/>
  <c r="I582" i="288"/>
  <c r="C582" i="288"/>
  <c r="I581" i="288"/>
  <c r="J581" i="288" s="1"/>
  <c r="J582" i="288" s="1"/>
  <c r="C581" i="288"/>
  <c r="D581" i="288" s="1"/>
  <c r="D582" i="288" s="1"/>
  <c r="I580" i="288"/>
  <c r="J580" i="288" s="1"/>
  <c r="C580" i="288"/>
  <c r="D580" i="288" s="1"/>
  <c r="I579" i="288"/>
  <c r="J579" i="288" s="1"/>
  <c r="C579" i="288"/>
  <c r="D579" i="288" s="1"/>
  <c r="I578" i="288"/>
  <c r="J578" i="288" s="1"/>
  <c r="C578" i="288"/>
  <c r="D578" i="288" s="1"/>
  <c r="I577" i="288"/>
  <c r="J577" i="288" s="1"/>
  <c r="J586" i="288" s="1"/>
  <c r="C577" i="288"/>
  <c r="D577" i="288" s="1"/>
  <c r="D586" i="288" s="1"/>
  <c r="G575" i="288"/>
  <c r="A575" i="288"/>
  <c r="J571" i="288"/>
  <c r="D571" i="288"/>
  <c r="J570" i="288"/>
  <c r="D570" i="288"/>
  <c r="I568" i="288"/>
  <c r="C568" i="288"/>
  <c r="I567" i="288"/>
  <c r="J567" i="288" s="1"/>
  <c r="J568" i="288" s="1"/>
  <c r="C567" i="288"/>
  <c r="D567" i="288" s="1"/>
  <c r="D568" i="288" s="1"/>
  <c r="I566" i="288"/>
  <c r="J566" i="288" s="1"/>
  <c r="C566" i="288"/>
  <c r="D566" i="288" s="1"/>
  <c r="I565" i="288"/>
  <c r="J565" i="288" s="1"/>
  <c r="C565" i="288"/>
  <c r="D565" i="288" s="1"/>
  <c r="I564" i="288"/>
  <c r="J564" i="288" s="1"/>
  <c r="C564" i="288"/>
  <c r="D564" i="288" s="1"/>
  <c r="I563" i="288"/>
  <c r="J563" i="288" s="1"/>
  <c r="J572" i="288" s="1"/>
  <c r="C563" i="288"/>
  <c r="D563" i="288" s="1"/>
  <c r="D572" i="288" s="1"/>
  <c r="G561" i="288"/>
  <c r="A561" i="288"/>
  <c r="J557" i="288"/>
  <c r="D557" i="288"/>
  <c r="J556" i="288"/>
  <c r="D556" i="288"/>
  <c r="I554" i="288"/>
  <c r="C554" i="288"/>
  <c r="I553" i="288"/>
  <c r="J553" i="288" s="1"/>
  <c r="J554" i="288" s="1"/>
  <c r="C553" i="288"/>
  <c r="D553" i="288" s="1"/>
  <c r="D554" i="288" s="1"/>
  <c r="I552" i="288"/>
  <c r="J552" i="288" s="1"/>
  <c r="C552" i="288"/>
  <c r="D552" i="288" s="1"/>
  <c r="I551" i="288"/>
  <c r="J551" i="288" s="1"/>
  <c r="C551" i="288"/>
  <c r="D551" i="288" s="1"/>
  <c r="I550" i="288"/>
  <c r="J550" i="288" s="1"/>
  <c r="C550" i="288"/>
  <c r="D550" i="288" s="1"/>
  <c r="I549" i="288"/>
  <c r="J549" i="288" s="1"/>
  <c r="J558" i="288" s="1"/>
  <c r="C549" i="288"/>
  <c r="D549" i="288" s="1"/>
  <c r="D558" i="288" s="1"/>
  <c r="G547" i="288"/>
  <c r="A547" i="288"/>
  <c r="J543" i="288"/>
  <c r="D543" i="288"/>
  <c r="J542" i="288"/>
  <c r="D542" i="288"/>
  <c r="I540" i="288"/>
  <c r="C540" i="288"/>
  <c r="I539" i="288"/>
  <c r="J539" i="288" s="1"/>
  <c r="J540" i="288" s="1"/>
  <c r="C539" i="288"/>
  <c r="D539" i="288" s="1"/>
  <c r="D540" i="288" s="1"/>
  <c r="I538" i="288"/>
  <c r="J538" i="288" s="1"/>
  <c r="C538" i="288"/>
  <c r="D538" i="288" s="1"/>
  <c r="I537" i="288"/>
  <c r="J537" i="288" s="1"/>
  <c r="C537" i="288"/>
  <c r="D537" i="288" s="1"/>
  <c r="I536" i="288"/>
  <c r="J536" i="288" s="1"/>
  <c r="C536" i="288"/>
  <c r="D536" i="288" s="1"/>
  <c r="I535" i="288"/>
  <c r="J535" i="288" s="1"/>
  <c r="J544" i="288" s="1"/>
  <c r="C535" i="288"/>
  <c r="D535" i="288" s="1"/>
  <c r="D544" i="288" s="1"/>
  <c r="G533" i="288"/>
  <c r="A533" i="288"/>
  <c r="J528" i="288"/>
  <c r="D528" i="288"/>
  <c r="J527" i="288"/>
  <c r="D527" i="288"/>
  <c r="I525" i="288"/>
  <c r="C525" i="288"/>
  <c r="I524" i="288"/>
  <c r="J524" i="288" s="1"/>
  <c r="J525" i="288" s="1"/>
  <c r="C524" i="288"/>
  <c r="D524" i="288" s="1"/>
  <c r="D525" i="288" s="1"/>
  <c r="I523" i="288"/>
  <c r="J523" i="288" s="1"/>
  <c r="C523" i="288"/>
  <c r="D523" i="288" s="1"/>
  <c r="I522" i="288"/>
  <c r="J522" i="288" s="1"/>
  <c r="C522" i="288"/>
  <c r="D522" i="288" s="1"/>
  <c r="I521" i="288"/>
  <c r="J521" i="288" s="1"/>
  <c r="C521" i="288"/>
  <c r="D521" i="288" s="1"/>
  <c r="I520" i="288"/>
  <c r="J520" i="288" s="1"/>
  <c r="J529" i="288" s="1"/>
  <c r="C520" i="288"/>
  <c r="D520" i="288" s="1"/>
  <c r="D529" i="288" s="1"/>
  <c r="G518" i="288"/>
  <c r="A518" i="288"/>
  <c r="J514" i="288"/>
  <c r="D514" i="288"/>
  <c r="J513" i="288"/>
  <c r="D513" i="288"/>
  <c r="I511" i="288"/>
  <c r="C511" i="288"/>
  <c r="I510" i="288"/>
  <c r="J510" i="288" s="1"/>
  <c r="J511" i="288" s="1"/>
  <c r="C510" i="288"/>
  <c r="D510" i="288" s="1"/>
  <c r="D511" i="288" s="1"/>
  <c r="I509" i="288"/>
  <c r="J509" i="288" s="1"/>
  <c r="C509" i="288"/>
  <c r="D509" i="288" s="1"/>
  <c r="I508" i="288"/>
  <c r="J508" i="288" s="1"/>
  <c r="C508" i="288"/>
  <c r="D508" i="288" s="1"/>
  <c r="I507" i="288"/>
  <c r="J507" i="288" s="1"/>
  <c r="C507" i="288"/>
  <c r="D507" i="288" s="1"/>
  <c r="I506" i="288"/>
  <c r="J506" i="288" s="1"/>
  <c r="J515" i="288" s="1"/>
  <c r="C506" i="288"/>
  <c r="D506" i="288" s="1"/>
  <c r="D515" i="288" s="1"/>
  <c r="G504" i="288"/>
  <c r="A504" i="288"/>
  <c r="J500" i="288"/>
  <c r="D500" i="288"/>
  <c r="J499" i="288"/>
  <c r="D499" i="288"/>
  <c r="I497" i="288"/>
  <c r="C497" i="288"/>
  <c r="I496" i="288"/>
  <c r="J496" i="288" s="1"/>
  <c r="J497" i="288" s="1"/>
  <c r="C496" i="288"/>
  <c r="D496" i="288" s="1"/>
  <c r="D497" i="288" s="1"/>
  <c r="I495" i="288"/>
  <c r="J495" i="288" s="1"/>
  <c r="C495" i="288"/>
  <c r="D495" i="288" s="1"/>
  <c r="I494" i="288"/>
  <c r="J494" i="288" s="1"/>
  <c r="C494" i="288"/>
  <c r="D494" i="288" s="1"/>
  <c r="I493" i="288"/>
  <c r="J493" i="288" s="1"/>
  <c r="C493" i="288"/>
  <c r="D493" i="288" s="1"/>
  <c r="I492" i="288"/>
  <c r="J492" i="288" s="1"/>
  <c r="J501" i="288" s="1"/>
  <c r="C492" i="288"/>
  <c r="D492" i="288" s="1"/>
  <c r="D501" i="288" s="1"/>
  <c r="G490" i="288"/>
  <c r="A490" i="288"/>
  <c r="J486" i="288"/>
  <c r="D486" i="288"/>
  <c r="J485" i="288"/>
  <c r="D485" i="288"/>
  <c r="I483" i="288"/>
  <c r="C483" i="288"/>
  <c r="I482" i="288"/>
  <c r="J482" i="288" s="1"/>
  <c r="J483" i="288" s="1"/>
  <c r="C482" i="288"/>
  <c r="D482" i="288" s="1"/>
  <c r="D483" i="288" s="1"/>
  <c r="I481" i="288"/>
  <c r="J481" i="288" s="1"/>
  <c r="C481" i="288"/>
  <c r="D481" i="288" s="1"/>
  <c r="I480" i="288"/>
  <c r="J480" i="288" s="1"/>
  <c r="C480" i="288"/>
  <c r="D480" i="288" s="1"/>
  <c r="I479" i="288"/>
  <c r="J479" i="288" s="1"/>
  <c r="C479" i="288"/>
  <c r="D479" i="288" s="1"/>
  <c r="I478" i="288"/>
  <c r="J478" i="288" s="1"/>
  <c r="J487" i="288" s="1"/>
  <c r="C478" i="288"/>
  <c r="D478" i="288" s="1"/>
  <c r="D487" i="288" s="1"/>
  <c r="G476" i="288"/>
  <c r="A476" i="288"/>
  <c r="J471" i="288"/>
  <c r="D471" i="288"/>
  <c r="J470" i="288"/>
  <c r="D470" i="288"/>
  <c r="I468" i="288"/>
  <c r="C468" i="288"/>
  <c r="I467" i="288"/>
  <c r="J467" i="288" s="1"/>
  <c r="J468" i="288" s="1"/>
  <c r="C467" i="288"/>
  <c r="D467" i="288" s="1"/>
  <c r="D468" i="288" s="1"/>
  <c r="I466" i="288"/>
  <c r="J466" i="288" s="1"/>
  <c r="C466" i="288"/>
  <c r="D466" i="288" s="1"/>
  <c r="I465" i="288"/>
  <c r="J465" i="288" s="1"/>
  <c r="C465" i="288"/>
  <c r="D465" i="288" s="1"/>
  <c r="I464" i="288"/>
  <c r="J464" i="288" s="1"/>
  <c r="C464" i="288"/>
  <c r="D464" i="288" s="1"/>
  <c r="I463" i="288"/>
  <c r="J463" i="288" s="1"/>
  <c r="J472" i="288" s="1"/>
  <c r="C463" i="288"/>
  <c r="D463" i="288" s="1"/>
  <c r="D472" i="288" s="1"/>
  <c r="G461" i="288"/>
  <c r="A461" i="288"/>
  <c r="J457" i="288"/>
  <c r="D457" i="288"/>
  <c r="J456" i="288"/>
  <c r="D456" i="288"/>
  <c r="I454" i="288"/>
  <c r="C454" i="288"/>
  <c r="I453" i="288"/>
  <c r="J453" i="288" s="1"/>
  <c r="J454" i="288" s="1"/>
  <c r="C453" i="288"/>
  <c r="D453" i="288" s="1"/>
  <c r="D454" i="288" s="1"/>
  <c r="I452" i="288"/>
  <c r="J452" i="288" s="1"/>
  <c r="C452" i="288"/>
  <c r="D452" i="288" s="1"/>
  <c r="I451" i="288"/>
  <c r="J451" i="288" s="1"/>
  <c r="C451" i="288"/>
  <c r="D451" i="288" s="1"/>
  <c r="I450" i="288"/>
  <c r="J450" i="288" s="1"/>
  <c r="C450" i="288"/>
  <c r="D450" i="288" s="1"/>
  <c r="I449" i="288"/>
  <c r="J449" i="288" s="1"/>
  <c r="J458" i="288" s="1"/>
  <c r="C449" i="288"/>
  <c r="D449" i="288" s="1"/>
  <c r="D458" i="288" s="1"/>
  <c r="G447" i="288"/>
  <c r="A447" i="288"/>
  <c r="J443" i="288"/>
  <c r="D443" i="288"/>
  <c r="J442" i="288"/>
  <c r="D442" i="288"/>
  <c r="I440" i="288"/>
  <c r="C440" i="288"/>
  <c r="I439" i="288"/>
  <c r="J439" i="288" s="1"/>
  <c r="J440" i="288" s="1"/>
  <c r="C439" i="288"/>
  <c r="D439" i="288" s="1"/>
  <c r="D440" i="288" s="1"/>
  <c r="I438" i="288"/>
  <c r="J438" i="288" s="1"/>
  <c r="C438" i="288"/>
  <c r="D438" i="288" s="1"/>
  <c r="I437" i="288"/>
  <c r="J437" i="288" s="1"/>
  <c r="C437" i="288"/>
  <c r="D437" i="288" s="1"/>
  <c r="I436" i="288"/>
  <c r="J436" i="288" s="1"/>
  <c r="C436" i="288"/>
  <c r="D436" i="288" s="1"/>
  <c r="I435" i="288"/>
  <c r="J435" i="288" s="1"/>
  <c r="J444" i="288" s="1"/>
  <c r="C435" i="288"/>
  <c r="D435" i="288" s="1"/>
  <c r="D444" i="288" s="1"/>
  <c r="G433" i="288"/>
  <c r="A433" i="288"/>
  <c r="J429" i="288"/>
  <c r="D429" i="288"/>
  <c r="J428" i="288"/>
  <c r="D428" i="288"/>
  <c r="I426" i="288"/>
  <c r="C426" i="288"/>
  <c r="I425" i="288"/>
  <c r="J425" i="288" s="1"/>
  <c r="J426" i="288" s="1"/>
  <c r="C425" i="288"/>
  <c r="D425" i="288" s="1"/>
  <c r="D426" i="288" s="1"/>
  <c r="I424" i="288"/>
  <c r="J424" i="288" s="1"/>
  <c r="C424" i="288"/>
  <c r="D424" i="288" s="1"/>
  <c r="I423" i="288"/>
  <c r="J423" i="288" s="1"/>
  <c r="C423" i="288"/>
  <c r="D423" i="288" s="1"/>
  <c r="I422" i="288"/>
  <c r="J422" i="288" s="1"/>
  <c r="C422" i="288"/>
  <c r="D422" i="288" s="1"/>
  <c r="I421" i="288"/>
  <c r="J421" i="288" s="1"/>
  <c r="J430" i="288" s="1"/>
  <c r="C421" i="288"/>
  <c r="D421" i="288" s="1"/>
  <c r="D430" i="288" s="1"/>
  <c r="G419" i="288"/>
  <c r="A419" i="288"/>
  <c r="G404" i="288"/>
  <c r="A404" i="288"/>
  <c r="G390" i="288"/>
  <c r="A390" i="288"/>
  <c r="I383" i="288"/>
  <c r="C383" i="288"/>
  <c r="I382" i="288"/>
  <c r="J382" i="288" s="1"/>
  <c r="J383" i="288" s="1"/>
  <c r="C382" i="288"/>
  <c r="D382" i="288" s="1"/>
  <c r="D383" i="288" s="1"/>
  <c r="I381" i="288"/>
  <c r="J381" i="288" s="1"/>
  <c r="C381" i="288"/>
  <c r="D381" i="288" s="1"/>
  <c r="I380" i="288"/>
  <c r="J380" i="288" s="1"/>
  <c r="C380" i="288"/>
  <c r="D380" i="288" s="1"/>
  <c r="I379" i="288"/>
  <c r="J379" i="288" s="1"/>
  <c r="C379" i="288"/>
  <c r="D379" i="288" s="1"/>
  <c r="I378" i="288"/>
  <c r="J378" i="288" s="1"/>
  <c r="C378" i="288"/>
  <c r="D378" i="288" s="1"/>
  <c r="G376" i="288"/>
  <c r="A376" i="288"/>
  <c r="G362" i="288"/>
  <c r="A362" i="288"/>
  <c r="G347" i="288"/>
  <c r="A347" i="288"/>
  <c r="G333" i="288"/>
  <c r="A333" i="288"/>
  <c r="D329" i="288"/>
  <c r="D328" i="288"/>
  <c r="I326" i="288"/>
  <c r="C326" i="288"/>
  <c r="I325" i="288"/>
  <c r="J325" i="288" s="1"/>
  <c r="J326" i="288" s="1"/>
  <c r="C325" i="288"/>
  <c r="D325" i="288" s="1"/>
  <c r="I324" i="288"/>
  <c r="J324" i="288" s="1"/>
  <c r="C324" i="288"/>
  <c r="D324" i="288" s="1"/>
  <c r="I323" i="288"/>
  <c r="J323" i="288" s="1"/>
  <c r="C323" i="288"/>
  <c r="D323" i="288" s="1"/>
  <c r="I322" i="288"/>
  <c r="J322" i="288" s="1"/>
  <c r="C322" i="288"/>
  <c r="D322" i="288" s="1"/>
  <c r="I321" i="288"/>
  <c r="J321" i="288" s="1"/>
  <c r="C321" i="288"/>
  <c r="D321" i="288" s="1"/>
  <c r="D330" i="288" s="1"/>
  <c r="G319" i="288"/>
  <c r="A319" i="288"/>
  <c r="J315" i="288"/>
  <c r="D315" i="288"/>
  <c r="J314" i="288"/>
  <c r="D314" i="288"/>
  <c r="I312" i="288"/>
  <c r="C312" i="288"/>
  <c r="I311" i="288"/>
  <c r="J311" i="288" s="1"/>
  <c r="J312" i="288" s="1"/>
  <c r="C311" i="288"/>
  <c r="D311" i="288" s="1"/>
  <c r="D312" i="288" s="1"/>
  <c r="I310" i="288"/>
  <c r="J310" i="288" s="1"/>
  <c r="C310" i="288"/>
  <c r="D310" i="288" s="1"/>
  <c r="I309" i="288"/>
  <c r="J309" i="288" s="1"/>
  <c r="C309" i="288"/>
  <c r="D309" i="288" s="1"/>
  <c r="I308" i="288"/>
  <c r="J308" i="288" s="1"/>
  <c r="C308" i="288"/>
  <c r="D308" i="288" s="1"/>
  <c r="I307" i="288"/>
  <c r="J307" i="288" s="1"/>
  <c r="J316" i="288" s="1"/>
  <c r="C307" i="288"/>
  <c r="D307" i="288" s="1"/>
  <c r="D316" i="288" s="1"/>
  <c r="G305" i="288"/>
  <c r="A305" i="288"/>
  <c r="J300" i="288"/>
  <c r="D300" i="288"/>
  <c r="J299" i="288"/>
  <c r="D299" i="288"/>
  <c r="I297" i="288"/>
  <c r="C297" i="288"/>
  <c r="I296" i="288"/>
  <c r="J296" i="288" s="1"/>
  <c r="J297" i="288" s="1"/>
  <c r="C296" i="288"/>
  <c r="D296" i="288" s="1"/>
  <c r="I295" i="288"/>
  <c r="J295" i="288" s="1"/>
  <c r="C295" i="288"/>
  <c r="D295" i="288" s="1"/>
  <c r="I294" i="288"/>
  <c r="J294" i="288" s="1"/>
  <c r="C294" i="288"/>
  <c r="D294" i="288" s="1"/>
  <c r="I293" i="288"/>
  <c r="J293" i="288" s="1"/>
  <c r="C293" i="288"/>
  <c r="D293" i="288" s="1"/>
  <c r="I292" i="288"/>
  <c r="J292" i="288" s="1"/>
  <c r="J301" i="288" s="1"/>
  <c r="C292" i="288"/>
  <c r="D292" i="288" s="1"/>
  <c r="D301" i="288" s="1"/>
  <c r="G290" i="288"/>
  <c r="A290" i="288"/>
  <c r="J286" i="288"/>
  <c r="D286" i="288"/>
  <c r="J285" i="288"/>
  <c r="D285" i="288"/>
  <c r="I283" i="288"/>
  <c r="C283" i="288"/>
  <c r="I282" i="288"/>
  <c r="J282" i="288" s="1"/>
  <c r="J283" i="288" s="1"/>
  <c r="C282" i="288"/>
  <c r="D282" i="288" s="1"/>
  <c r="D283" i="288" s="1"/>
  <c r="I281" i="288"/>
  <c r="J281" i="288" s="1"/>
  <c r="C281" i="288"/>
  <c r="D281" i="288" s="1"/>
  <c r="I280" i="288"/>
  <c r="J280" i="288" s="1"/>
  <c r="C280" i="288"/>
  <c r="D280" i="288" s="1"/>
  <c r="I279" i="288"/>
  <c r="J279" i="288" s="1"/>
  <c r="C279" i="288"/>
  <c r="D279" i="288" s="1"/>
  <c r="I278" i="288"/>
  <c r="J278" i="288" s="1"/>
  <c r="J287" i="288" s="1"/>
  <c r="C278" i="288"/>
  <c r="D278" i="288" s="1"/>
  <c r="D287" i="288" s="1"/>
  <c r="G276" i="288"/>
  <c r="A276" i="288"/>
  <c r="J272" i="288"/>
  <c r="D272" i="288"/>
  <c r="J271" i="288"/>
  <c r="D271" i="288"/>
  <c r="I269" i="288"/>
  <c r="C269" i="288"/>
  <c r="I268" i="288"/>
  <c r="J268" i="288" s="1"/>
  <c r="J269" i="288" s="1"/>
  <c r="C268" i="288"/>
  <c r="D268" i="288" s="1"/>
  <c r="D269" i="288" s="1"/>
  <c r="I267" i="288"/>
  <c r="J267" i="288" s="1"/>
  <c r="C267" i="288"/>
  <c r="D267" i="288" s="1"/>
  <c r="I266" i="288"/>
  <c r="J266" i="288" s="1"/>
  <c r="C266" i="288"/>
  <c r="D266" i="288" s="1"/>
  <c r="I265" i="288"/>
  <c r="J265" i="288" s="1"/>
  <c r="C265" i="288"/>
  <c r="D265" i="288" s="1"/>
  <c r="I264" i="288"/>
  <c r="J264" i="288" s="1"/>
  <c r="J273" i="288" s="1"/>
  <c r="C264" i="288"/>
  <c r="D264" i="288" s="1"/>
  <c r="D273" i="288" s="1"/>
  <c r="G262" i="288"/>
  <c r="A262" i="288"/>
  <c r="J258" i="288"/>
  <c r="D258" i="288"/>
  <c r="J257" i="288"/>
  <c r="D257" i="288"/>
  <c r="I255" i="288"/>
  <c r="C255" i="288"/>
  <c r="I254" i="288"/>
  <c r="J254" i="288" s="1"/>
  <c r="J255" i="288" s="1"/>
  <c r="C254" i="288"/>
  <c r="D254" i="288" s="1"/>
  <c r="D255" i="288" s="1"/>
  <c r="I253" i="288"/>
  <c r="J253" i="288" s="1"/>
  <c r="C253" i="288"/>
  <c r="D253" i="288" s="1"/>
  <c r="I252" i="288"/>
  <c r="J252" i="288" s="1"/>
  <c r="C252" i="288"/>
  <c r="D252" i="288" s="1"/>
  <c r="I251" i="288"/>
  <c r="J251" i="288" s="1"/>
  <c r="C251" i="288"/>
  <c r="D251" i="288" s="1"/>
  <c r="I250" i="288"/>
  <c r="J250" i="288" s="1"/>
  <c r="J259" i="288" s="1"/>
  <c r="C250" i="288"/>
  <c r="D250" i="288" s="1"/>
  <c r="D259" i="288" s="1"/>
  <c r="G248" i="288"/>
  <c r="A248" i="288"/>
  <c r="J243" i="288"/>
  <c r="D243" i="288"/>
  <c r="J242" i="288"/>
  <c r="D242" i="288"/>
  <c r="I240" i="288"/>
  <c r="C240" i="288"/>
  <c r="I239" i="288"/>
  <c r="J239" i="288" s="1"/>
  <c r="C239" i="288"/>
  <c r="D239" i="288" s="1"/>
  <c r="D240" i="288" s="1"/>
  <c r="I238" i="288"/>
  <c r="J238" i="288" s="1"/>
  <c r="C238" i="288"/>
  <c r="D238" i="288" s="1"/>
  <c r="I237" i="288"/>
  <c r="J237" i="288" s="1"/>
  <c r="C237" i="288"/>
  <c r="D237" i="288" s="1"/>
  <c r="I236" i="288"/>
  <c r="J236" i="288" s="1"/>
  <c r="C236" i="288"/>
  <c r="D236" i="288" s="1"/>
  <c r="I235" i="288"/>
  <c r="J235" i="288" s="1"/>
  <c r="J244" i="288" s="1"/>
  <c r="C235" i="288"/>
  <c r="D235" i="288" s="1"/>
  <c r="D244" i="288" s="1"/>
  <c r="G233" i="288"/>
  <c r="A233" i="288"/>
  <c r="J229" i="288"/>
  <c r="D229" i="288"/>
  <c r="J228" i="288"/>
  <c r="D228" i="288"/>
  <c r="I226" i="288"/>
  <c r="C226" i="288"/>
  <c r="I225" i="288"/>
  <c r="J225" i="288" s="1"/>
  <c r="J226" i="288" s="1"/>
  <c r="C225" i="288"/>
  <c r="D225" i="288" s="1"/>
  <c r="D226" i="288" s="1"/>
  <c r="I224" i="288"/>
  <c r="J224" i="288" s="1"/>
  <c r="C224" i="288"/>
  <c r="D224" i="288" s="1"/>
  <c r="I223" i="288"/>
  <c r="J223" i="288" s="1"/>
  <c r="C223" i="288"/>
  <c r="D223" i="288" s="1"/>
  <c r="I222" i="288"/>
  <c r="J222" i="288" s="1"/>
  <c r="C222" i="288"/>
  <c r="D222" i="288" s="1"/>
  <c r="I221" i="288"/>
  <c r="J221" i="288" s="1"/>
  <c r="J230" i="288" s="1"/>
  <c r="C221" i="288"/>
  <c r="D221" i="288" s="1"/>
  <c r="D230" i="288" s="1"/>
  <c r="G219" i="288"/>
  <c r="A219" i="288"/>
  <c r="J215" i="288"/>
  <c r="D215" i="288"/>
  <c r="J214" i="288"/>
  <c r="D214" i="288"/>
  <c r="I212" i="288"/>
  <c r="C212" i="288"/>
  <c r="I211" i="288"/>
  <c r="J211" i="288" s="1"/>
  <c r="J212" i="288" s="1"/>
  <c r="C211" i="288"/>
  <c r="D211" i="288" s="1"/>
  <c r="D212" i="288" s="1"/>
  <c r="I210" i="288"/>
  <c r="J210" i="288" s="1"/>
  <c r="C210" i="288"/>
  <c r="D210" i="288" s="1"/>
  <c r="I209" i="288"/>
  <c r="J209" i="288" s="1"/>
  <c r="C209" i="288"/>
  <c r="D209" i="288" s="1"/>
  <c r="I208" i="288"/>
  <c r="J208" i="288" s="1"/>
  <c r="C208" i="288"/>
  <c r="D208" i="288" s="1"/>
  <c r="I207" i="288"/>
  <c r="J207" i="288" s="1"/>
  <c r="J216" i="288" s="1"/>
  <c r="C207" i="288"/>
  <c r="D207" i="288" s="1"/>
  <c r="D216" i="288" s="1"/>
  <c r="G205" i="288"/>
  <c r="A205" i="288"/>
  <c r="J201" i="288"/>
  <c r="D201" i="288"/>
  <c r="J200" i="288"/>
  <c r="D200" i="288"/>
  <c r="I198" i="288"/>
  <c r="C198" i="288"/>
  <c r="C197" i="288"/>
  <c r="D197" i="288" s="1"/>
  <c r="D198" i="288" s="1"/>
  <c r="I196" i="288"/>
  <c r="J196" i="288" s="1"/>
  <c r="C196" i="288"/>
  <c r="D196" i="288" s="1"/>
  <c r="C195" i="288"/>
  <c r="D195" i="288" s="1"/>
  <c r="C194" i="288"/>
  <c r="D194" i="288" s="1"/>
  <c r="I193" i="288"/>
  <c r="J193" i="288" s="1"/>
  <c r="C193" i="288"/>
  <c r="D193" i="288" s="1"/>
  <c r="D202" i="288" s="1"/>
  <c r="G191" i="288"/>
  <c r="A191" i="288"/>
  <c r="J186" i="288"/>
  <c r="D186" i="288"/>
  <c r="J185" i="288"/>
  <c r="D185" i="288"/>
  <c r="I183" i="288"/>
  <c r="C183" i="288"/>
  <c r="I182" i="288"/>
  <c r="J182" i="288" s="1"/>
  <c r="J183" i="288" s="1"/>
  <c r="C182" i="288"/>
  <c r="D182" i="288" s="1"/>
  <c r="I181" i="288"/>
  <c r="J181" i="288" s="1"/>
  <c r="C181" i="288"/>
  <c r="D181" i="288" s="1"/>
  <c r="I180" i="288"/>
  <c r="J180" i="288" s="1"/>
  <c r="C180" i="288"/>
  <c r="D180" i="288" s="1"/>
  <c r="I179" i="288"/>
  <c r="J179" i="288" s="1"/>
  <c r="C179" i="288"/>
  <c r="D179" i="288" s="1"/>
  <c r="I178" i="288"/>
  <c r="J178" i="288" s="1"/>
  <c r="J187" i="288" s="1"/>
  <c r="C178" i="288"/>
  <c r="D178" i="288" s="1"/>
  <c r="D187" i="288" s="1"/>
  <c r="G176" i="288"/>
  <c r="A176" i="288"/>
  <c r="J172" i="288"/>
  <c r="D172" i="288"/>
  <c r="J171" i="288"/>
  <c r="D171" i="288"/>
  <c r="I169" i="288"/>
  <c r="C169" i="288"/>
  <c r="I168" i="288"/>
  <c r="J168" i="288" s="1"/>
  <c r="J169" i="288" s="1"/>
  <c r="C168" i="288"/>
  <c r="D168" i="288" s="1"/>
  <c r="D169" i="288" s="1"/>
  <c r="I167" i="288"/>
  <c r="J167" i="288" s="1"/>
  <c r="C167" i="288"/>
  <c r="D167" i="288" s="1"/>
  <c r="I166" i="288"/>
  <c r="J166" i="288" s="1"/>
  <c r="C166" i="288"/>
  <c r="D166" i="288" s="1"/>
  <c r="I165" i="288"/>
  <c r="J165" i="288" s="1"/>
  <c r="C165" i="288"/>
  <c r="D165" i="288" s="1"/>
  <c r="I164" i="288"/>
  <c r="J164" i="288" s="1"/>
  <c r="J173" i="288" s="1"/>
  <c r="C164" i="288"/>
  <c r="D164" i="288" s="1"/>
  <c r="D173" i="288" s="1"/>
  <c r="G162" i="288"/>
  <c r="A162" i="288"/>
  <c r="J158" i="288"/>
  <c r="D158" i="288"/>
  <c r="J157" i="288"/>
  <c r="D157" i="288"/>
  <c r="I155" i="288"/>
  <c r="C155" i="288"/>
  <c r="I154" i="288"/>
  <c r="J154" i="288" s="1"/>
  <c r="J155" i="288" s="1"/>
  <c r="C154" i="288"/>
  <c r="D154" i="288" s="1"/>
  <c r="D155" i="288" s="1"/>
  <c r="I153" i="288"/>
  <c r="J153" i="288" s="1"/>
  <c r="C153" i="288"/>
  <c r="D153" i="288" s="1"/>
  <c r="I152" i="288"/>
  <c r="J152" i="288" s="1"/>
  <c r="C152" i="288"/>
  <c r="D152" i="288" s="1"/>
  <c r="I151" i="288"/>
  <c r="J151" i="288" s="1"/>
  <c r="C151" i="288"/>
  <c r="D151" i="288" s="1"/>
  <c r="I150" i="288"/>
  <c r="J150" i="288" s="1"/>
  <c r="J159" i="288" s="1"/>
  <c r="C150" i="288"/>
  <c r="D150" i="288" s="1"/>
  <c r="D159" i="288" s="1"/>
  <c r="G148" i="288"/>
  <c r="A148" i="288"/>
  <c r="J144" i="288"/>
  <c r="D144" i="288"/>
  <c r="J143" i="288"/>
  <c r="D143" i="288"/>
  <c r="I141" i="288"/>
  <c r="C141" i="288"/>
  <c r="I140" i="288"/>
  <c r="J140" i="288" s="1"/>
  <c r="J141" i="288" s="1"/>
  <c r="C140" i="288"/>
  <c r="D140" i="288" s="1"/>
  <c r="D141" i="288" s="1"/>
  <c r="I137" i="288"/>
  <c r="J137" i="288" s="1"/>
  <c r="C137" i="288"/>
  <c r="D137" i="288" s="1"/>
  <c r="I136" i="288"/>
  <c r="J136" i="288" s="1"/>
  <c r="C136" i="288"/>
  <c r="D136" i="288" s="1"/>
  <c r="I135" i="288"/>
  <c r="J135" i="288" s="1"/>
  <c r="C135" i="288"/>
  <c r="D135" i="288" s="1"/>
  <c r="I134" i="288"/>
  <c r="J134" i="288" s="1"/>
  <c r="J145" i="288" s="1"/>
  <c r="C134" i="288"/>
  <c r="D134" i="288" s="1"/>
  <c r="D145" i="288" s="1"/>
  <c r="G132" i="288"/>
  <c r="A132" i="288"/>
  <c r="J127" i="288"/>
  <c r="D127" i="288"/>
  <c r="J126" i="288"/>
  <c r="D126" i="288"/>
  <c r="I124" i="288"/>
  <c r="C124" i="288"/>
  <c r="I123" i="288"/>
  <c r="J123" i="288" s="1"/>
  <c r="J124" i="288" s="1"/>
  <c r="C123" i="288"/>
  <c r="D123" i="288" s="1"/>
  <c r="D124" i="288" s="1"/>
  <c r="I120" i="288"/>
  <c r="J120" i="288" s="1"/>
  <c r="C120" i="288"/>
  <c r="D120" i="288" s="1"/>
  <c r="I119" i="288"/>
  <c r="J119" i="288" s="1"/>
  <c r="C119" i="288"/>
  <c r="D119" i="288" s="1"/>
  <c r="I118" i="288"/>
  <c r="J118" i="288" s="1"/>
  <c r="C118" i="288"/>
  <c r="D118" i="288" s="1"/>
  <c r="I117" i="288"/>
  <c r="J117" i="288" s="1"/>
  <c r="J128" i="288" s="1"/>
  <c r="C117" i="288"/>
  <c r="D117" i="288" s="1"/>
  <c r="D128" i="288" s="1"/>
  <c r="G115" i="288"/>
  <c r="A115" i="288"/>
  <c r="J111" i="288"/>
  <c r="D111" i="288"/>
  <c r="J110" i="288"/>
  <c r="D110" i="288"/>
  <c r="I108" i="288"/>
  <c r="C108" i="288"/>
  <c r="I107" i="288"/>
  <c r="J107" i="288" s="1"/>
  <c r="J108" i="288" s="1"/>
  <c r="I104" i="288"/>
  <c r="J104" i="288" s="1"/>
  <c r="C104" i="288"/>
  <c r="D104" i="288" s="1"/>
  <c r="I103" i="288"/>
  <c r="J103" i="288" s="1"/>
  <c r="I102" i="288"/>
  <c r="J102" i="288" s="1"/>
  <c r="I101" i="288"/>
  <c r="J101" i="288" s="1"/>
  <c r="J112" i="288" s="1"/>
  <c r="C101" i="288"/>
  <c r="D101" i="288" s="1"/>
  <c r="G99" i="288"/>
  <c r="A99" i="288"/>
  <c r="J95" i="288"/>
  <c r="D95" i="288"/>
  <c r="J94" i="288"/>
  <c r="D94" i="288"/>
  <c r="I92" i="288"/>
  <c r="C92" i="288"/>
  <c r="I91" i="288"/>
  <c r="J91" i="288" s="1"/>
  <c r="J92" i="288" s="1"/>
  <c r="C91" i="288"/>
  <c r="D91" i="288" s="1"/>
  <c r="I88" i="288"/>
  <c r="J88" i="288" s="1"/>
  <c r="C88" i="288"/>
  <c r="D88" i="288" s="1"/>
  <c r="I87" i="288"/>
  <c r="J87" i="288" s="1"/>
  <c r="C87" i="288"/>
  <c r="D87" i="288" s="1"/>
  <c r="I86" i="288"/>
  <c r="J86" i="288" s="1"/>
  <c r="C86" i="288"/>
  <c r="D86" i="288" s="1"/>
  <c r="I85" i="288"/>
  <c r="J85" i="288" s="1"/>
  <c r="J96" i="288" s="1"/>
  <c r="C85" i="288"/>
  <c r="D85" i="288" s="1"/>
  <c r="D96" i="288" s="1"/>
  <c r="G83" i="288"/>
  <c r="A83" i="288"/>
  <c r="J79" i="288"/>
  <c r="D79" i="288"/>
  <c r="J78" i="288"/>
  <c r="D78" i="288"/>
  <c r="I76" i="288"/>
  <c r="C76" i="288"/>
  <c r="I75" i="288"/>
  <c r="J75" i="288" s="1"/>
  <c r="J76" i="288" s="1"/>
  <c r="C75" i="288"/>
  <c r="D75" i="288" s="1"/>
  <c r="D76" i="288" s="1"/>
  <c r="I72" i="288"/>
  <c r="J72" i="288" s="1"/>
  <c r="C72" i="288"/>
  <c r="D72" i="288" s="1"/>
  <c r="I71" i="288"/>
  <c r="J71" i="288" s="1"/>
  <c r="C71" i="288"/>
  <c r="D71" i="288" s="1"/>
  <c r="I70" i="288"/>
  <c r="J70" i="288" s="1"/>
  <c r="C70" i="288"/>
  <c r="D70" i="288" s="1"/>
  <c r="I69" i="288"/>
  <c r="J69" i="288" s="1"/>
  <c r="J80" i="288" s="1"/>
  <c r="C69" i="288"/>
  <c r="D69" i="288" s="1"/>
  <c r="D80" i="288" s="1"/>
  <c r="G67" i="288"/>
  <c r="A67" i="288"/>
  <c r="J62" i="288"/>
  <c r="D62" i="288"/>
  <c r="J61" i="288"/>
  <c r="D61" i="288"/>
  <c r="I59" i="288"/>
  <c r="C59" i="288"/>
  <c r="I58" i="288"/>
  <c r="J58" i="288" s="1"/>
  <c r="J59" i="288" s="1"/>
  <c r="C58" i="288"/>
  <c r="D58" i="288" s="1"/>
  <c r="D59" i="288" s="1"/>
  <c r="I55" i="288"/>
  <c r="J55" i="288" s="1"/>
  <c r="C55" i="288"/>
  <c r="D55" i="288" s="1"/>
  <c r="I54" i="288"/>
  <c r="J54" i="288" s="1"/>
  <c r="C54" i="288"/>
  <c r="D54" i="288" s="1"/>
  <c r="I53" i="288"/>
  <c r="J53" i="288" s="1"/>
  <c r="C53" i="288"/>
  <c r="D53" i="288" s="1"/>
  <c r="I52" i="288"/>
  <c r="J52" i="288" s="1"/>
  <c r="J63" i="288" s="1"/>
  <c r="C52" i="288"/>
  <c r="D52" i="288" s="1"/>
  <c r="D63" i="288" s="1"/>
  <c r="G50" i="288"/>
  <c r="A50" i="288"/>
  <c r="J46" i="288"/>
  <c r="D46" i="288"/>
  <c r="J45" i="288"/>
  <c r="D45" i="288"/>
  <c r="I43" i="288"/>
  <c r="C43" i="288"/>
  <c r="I42" i="288"/>
  <c r="J42" i="288" s="1"/>
  <c r="J43" i="288" s="1"/>
  <c r="C42" i="288"/>
  <c r="D42" i="288" s="1"/>
  <c r="I39" i="288"/>
  <c r="J39" i="288" s="1"/>
  <c r="C39" i="288"/>
  <c r="D39" i="288" s="1"/>
  <c r="I38" i="288"/>
  <c r="J38" i="288" s="1"/>
  <c r="C38" i="288"/>
  <c r="D38" i="288" s="1"/>
  <c r="I37" i="288"/>
  <c r="J37" i="288" s="1"/>
  <c r="C37" i="288"/>
  <c r="D37" i="288" s="1"/>
  <c r="I36" i="288"/>
  <c r="J36" i="288" s="1"/>
  <c r="J47" i="288" s="1"/>
  <c r="C36" i="288"/>
  <c r="D36" i="288" s="1"/>
  <c r="D47" i="288" s="1"/>
  <c r="G34" i="288"/>
  <c r="A34" i="288"/>
  <c r="M30" i="288"/>
  <c r="J30" i="288"/>
  <c r="D30" i="288"/>
  <c r="N29" i="288"/>
  <c r="M29" i="288"/>
  <c r="J29" i="288"/>
  <c r="D29" i="288"/>
  <c r="I27" i="288"/>
  <c r="C27" i="288"/>
  <c r="I26" i="288"/>
  <c r="J26" i="288" s="1"/>
  <c r="C26" i="288"/>
  <c r="D26" i="288" s="1"/>
  <c r="D27" i="288" s="1"/>
  <c r="M25" i="288"/>
  <c r="I25" i="288"/>
  <c r="J25" i="288" s="1"/>
  <c r="C25" i="288"/>
  <c r="D25" i="288" s="1"/>
  <c r="M24" i="288"/>
  <c r="I24" i="288"/>
  <c r="J24" i="288" s="1"/>
  <c r="C24" i="288"/>
  <c r="D24" i="288" s="1"/>
  <c r="M23" i="288"/>
  <c r="I23" i="288"/>
  <c r="J23" i="288" s="1"/>
  <c r="C23" i="288"/>
  <c r="D23" i="288" s="1"/>
  <c r="I22" i="288"/>
  <c r="J22" i="288" s="1"/>
  <c r="C22" i="288"/>
  <c r="D22" i="288" s="1"/>
  <c r="I21" i="288"/>
  <c r="J21" i="288" s="1"/>
  <c r="C21" i="288"/>
  <c r="D21" i="288" s="1"/>
  <c r="I20" i="288"/>
  <c r="J20" i="288" s="1"/>
  <c r="J31" i="288" s="1"/>
  <c r="C20" i="288"/>
  <c r="D20" i="288" s="1"/>
  <c r="D31" i="288" s="1"/>
  <c r="G18" i="288"/>
  <c r="A18" i="288"/>
  <c r="J14" i="288"/>
  <c r="D14" i="288"/>
  <c r="J13" i="288"/>
  <c r="D13" i="288"/>
  <c r="I11" i="288"/>
  <c r="C11" i="288"/>
  <c r="I10" i="288"/>
  <c r="J10" i="288" s="1"/>
  <c r="J11" i="288" s="1"/>
  <c r="C10" i="288"/>
  <c r="D10" i="288" s="1"/>
  <c r="D11" i="288" s="1"/>
  <c r="L9" i="288"/>
  <c r="I9" i="288"/>
  <c r="J9" i="288" s="1"/>
  <c r="C9" i="288"/>
  <c r="D9" i="288" s="1"/>
  <c r="L8" i="288"/>
  <c r="I8" i="288"/>
  <c r="J8" i="288" s="1"/>
  <c r="C8" i="288"/>
  <c r="D8" i="288" s="1"/>
  <c r="L7" i="288"/>
  <c r="I7" i="288"/>
  <c r="J7" i="288" s="1"/>
  <c r="C7" i="288"/>
  <c r="D7" i="288" s="1"/>
  <c r="I6" i="288"/>
  <c r="J6" i="288" s="1"/>
  <c r="C6" i="288"/>
  <c r="D6" i="288" s="1"/>
  <c r="L5" i="288"/>
  <c r="I5" i="288"/>
  <c r="J5" i="288" s="1"/>
  <c r="C5" i="288"/>
  <c r="D5" i="288" s="1"/>
  <c r="L4" i="288"/>
  <c r="I4" i="288"/>
  <c r="J4" i="288" s="1"/>
  <c r="J15" i="288" s="1"/>
  <c r="C4" i="288"/>
  <c r="D4" i="288" s="1"/>
  <c r="D15" i="288" s="1"/>
  <c r="G2" i="288"/>
  <c r="A2" i="288"/>
  <c r="G447" i="309"/>
  <c r="I446" i="309"/>
  <c r="I445" i="309"/>
  <c r="I444" i="309"/>
  <c r="I443" i="309"/>
  <c r="I442" i="309"/>
  <c r="I441" i="309"/>
  <c r="I440" i="309"/>
  <c r="I439" i="309"/>
  <c r="I438" i="309"/>
  <c r="M437" i="309"/>
  <c r="I437" i="309"/>
  <c r="I436" i="309"/>
  <c r="I435" i="309"/>
  <c r="I434" i="309"/>
  <c r="I433" i="309"/>
  <c r="I432" i="309"/>
  <c r="I431" i="309"/>
  <c r="I430" i="309"/>
  <c r="I429" i="309"/>
  <c r="I428" i="309"/>
  <c r="I427" i="309"/>
  <c r="I426" i="309"/>
  <c r="I425" i="309"/>
  <c r="I424" i="309"/>
  <c r="I423" i="309"/>
  <c r="I422" i="309"/>
  <c r="I421" i="309"/>
  <c r="I420" i="309"/>
  <c r="I419" i="309"/>
  <c r="I418" i="309"/>
  <c r="I417" i="309"/>
  <c r="I416" i="309"/>
  <c r="I415" i="309"/>
  <c r="I414" i="309"/>
  <c r="I413" i="309"/>
  <c r="I412" i="309"/>
  <c r="I411" i="309"/>
  <c r="I410" i="309"/>
  <c r="I409" i="309"/>
  <c r="I408" i="309"/>
  <c r="I407" i="309"/>
  <c r="I406" i="309"/>
  <c r="I405" i="309"/>
  <c r="I404" i="309"/>
  <c r="I403" i="309"/>
  <c r="I402" i="309"/>
  <c r="I401" i="309"/>
  <c r="I400" i="309"/>
  <c r="I399" i="309"/>
  <c r="I398" i="309"/>
  <c r="I397" i="309"/>
  <c r="I396" i="309"/>
  <c r="I395" i="309"/>
  <c r="I394" i="309"/>
  <c r="I393" i="309"/>
  <c r="I392" i="309"/>
  <c r="I391" i="309"/>
  <c r="I390" i="309"/>
  <c r="I389" i="309"/>
  <c r="I388" i="309"/>
  <c r="I387" i="309"/>
  <c r="I386" i="309"/>
  <c r="I385" i="309"/>
  <c r="I384" i="309"/>
  <c r="I383" i="309"/>
  <c r="G383" i="309"/>
  <c r="I382" i="309"/>
  <c r="I381" i="309"/>
  <c r="I380" i="309"/>
  <c r="I379" i="309"/>
  <c r="I378" i="309"/>
  <c r="I377" i="309"/>
  <c r="I376" i="309"/>
  <c r="I375" i="309"/>
  <c r="G375" i="309"/>
  <c r="I374" i="309"/>
  <c r="I373" i="309"/>
  <c r="I372" i="309"/>
  <c r="I371" i="309"/>
  <c r="I370" i="309"/>
  <c r="I369" i="309"/>
  <c r="I368" i="309"/>
  <c r="I367" i="309"/>
  <c r="I366" i="309"/>
  <c r="I365" i="309"/>
  <c r="I364" i="309"/>
  <c r="I363" i="309"/>
  <c r="I362" i="309"/>
  <c r="I361" i="309"/>
  <c r="I360" i="309"/>
  <c r="I359" i="309"/>
  <c r="I358" i="309"/>
  <c r="I357" i="309"/>
  <c r="I356" i="309"/>
  <c r="I355" i="309"/>
  <c r="I354" i="309"/>
  <c r="I353" i="309"/>
  <c r="I352" i="309"/>
  <c r="I351" i="309"/>
  <c r="I350" i="309"/>
  <c r="I349" i="309"/>
  <c r="I348" i="309"/>
  <c r="I347" i="309"/>
  <c r="I346" i="309"/>
  <c r="I345" i="309"/>
  <c r="I344" i="309"/>
  <c r="I343" i="309"/>
  <c r="I342" i="309"/>
  <c r="I341" i="309"/>
  <c r="I340" i="309"/>
  <c r="I339" i="309"/>
  <c r="I338" i="309"/>
  <c r="I337" i="309"/>
  <c r="I336" i="309"/>
  <c r="I335" i="309"/>
  <c r="I334" i="309"/>
  <c r="I333" i="309"/>
  <c r="I332" i="309"/>
  <c r="I331" i="309"/>
  <c r="I330" i="309"/>
  <c r="I329" i="309"/>
  <c r="I328" i="309"/>
  <c r="I327" i="309"/>
  <c r="I326" i="309"/>
  <c r="I325" i="309"/>
  <c r="I324" i="309"/>
  <c r="I323" i="309"/>
  <c r="I322" i="309"/>
  <c r="I321" i="309"/>
  <c r="I320" i="309"/>
  <c r="I319" i="309"/>
  <c r="I318" i="309"/>
  <c r="I317" i="309"/>
  <c r="I316" i="309"/>
  <c r="I315" i="309"/>
  <c r="I314" i="309"/>
  <c r="I313" i="309"/>
  <c r="I312" i="309"/>
  <c r="I311" i="309"/>
  <c r="I310" i="309"/>
  <c r="I309" i="309"/>
  <c r="I308" i="309"/>
  <c r="I307" i="309"/>
  <c r="I306" i="309"/>
  <c r="I305" i="309"/>
  <c r="I304" i="309"/>
  <c r="I303" i="309"/>
  <c r="G303" i="309"/>
  <c r="I302" i="309"/>
  <c r="I301" i="309"/>
  <c r="I300" i="309"/>
  <c r="I299" i="309"/>
  <c r="I298" i="309"/>
  <c r="I297" i="309"/>
  <c r="I296" i="309"/>
  <c r="I295" i="309"/>
  <c r="I294" i="309"/>
  <c r="I293" i="309"/>
  <c r="I292" i="309"/>
  <c r="I291" i="309"/>
  <c r="I290" i="309"/>
  <c r="I289" i="309"/>
  <c r="I288" i="309"/>
  <c r="I287" i="309"/>
  <c r="I286" i="309"/>
  <c r="I285" i="309"/>
  <c r="I284" i="309"/>
  <c r="I283" i="309"/>
  <c r="I282" i="309"/>
  <c r="I281" i="309"/>
  <c r="I280" i="309"/>
  <c r="I279" i="309"/>
  <c r="I278" i="309"/>
  <c r="I277" i="309"/>
  <c r="I276" i="309"/>
  <c r="I275" i="309"/>
  <c r="I274" i="309"/>
  <c r="I273" i="309"/>
  <c r="I272" i="309"/>
  <c r="I271" i="309"/>
  <c r="I270" i="309"/>
  <c r="I269" i="309"/>
  <c r="I268" i="309"/>
  <c r="I267" i="309"/>
  <c r="I266" i="309"/>
  <c r="I265" i="309"/>
  <c r="I264" i="309"/>
  <c r="I263" i="309"/>
  <c r="I262" i="309"/>
  <c r="I261" i="309"/>
  <c r="I260" i="309"/>
  <c r="I259" i="309"/>
  <c r="I258" i="309"/>
  <c r="I257" i="309"/>
  <c r="I256" i="309"/>
  <c r="I255" i="309"/>
  <c r="I254" i="309"/>
  <c r="I253" i="309"/>
  <c r="I252" i="309"/>
  <c r="I251" i="309"/>
  <c r="I250" i="309"/>
  <c r="I249" i="309"/>
  <c r="I248" i="309"/>
  <c r="I247" i="309"/>
  <c r="I246" i="309"/>
  <c r="I245" i="309"/>
  <c r="I244" i="309"/>
  <c r="I243" i="309"/>
  <c r="I242" i="309"/>
  <c r="I241" i="309"/>
  <c r="I240" i="309"/>
  <c r="I239" i="309"/>
  <c r="I238" i="309"/>
  <c r="I237" i="309"/>
  <c r="I236" i="309"/>
  <c r="I235" i="309"/>
  <c r="I234" i="309"/>
  <c r="I233" i="309"/>
  <c r="I232" i="309"/>
  <c r="I231" i="309"/>
  <c r="I230" i="309"/>
  <c r="I229" i="309"/>
  <c r="I228" i="309"/>
  <c r="I227" i="309"/>
  <c r="I226" i="309"/>
  <c r="I225" i="309"/>
  <c r="I224" i="309"/>
  <c r="I223" i="309"/>
  <c r="I222" i="309"/>
  <c r="I221" i="309"/>
  <c r="I220" i="309"/>
  <c r="G220" i="309"/>
  <c r="I219" i="309"/>
  <c r="I218" i="309"/>
  <c r="I217" i="309"/>
  <c r="I216" i="309"/>
  <c r="I215" i="309"/>
  <c r="I214" i="309"/>
  <c r="I213" i="309"/>
  <c r="I212" i="309"/>
  <c r="G212" i="309"/>
  <c r="I211" i="309"/>
  <c r="I210" i="309"/>
  <c r="I209" i="309"/>
  <c r="I208" i="309"/>
  <c r="I207" i="309"/>
  <c r="I206" i="309"/>
  <c r="I205" i="309"/>
  <c r="I204" i="309"/>
  <c r="I203" i="309"/>
  <c r="I202" i="309"/>
  <c r="I201" i="309"/>
  <c r="G200" i="309"/>
  <c r="I199" i="309"/>
  <c r="I198" i="309"/>
  <c r="I197" i="309"/>
  <c r="I196" i="309"/>
  <c r="I195" i="309"/>
  <c r="I194" i="309"/>
  <c r="I193" i="309"/>
  <c r="I192" i="309"/>
  <c r="I191" i="309"/>
  <c r="I190" i="309"/>
  <c r="I189" i="309"/>
  <c r="I188" i="309"/>
  <c r="I187" i="309"/>
  <c r="I186" i="309"/>
  <c r="I185" i="309"/>
  <c r="I184" i="309"/>
  <c r="I183" i="309"/>
  <c r="I182" i="309"/>
  <c r="I181" i="309"/>
  <c r="I180" i="309"/>
  <c r="I179" i="309"/>
  <c r="I178" i="309"/>
  <c r="I177" i="309"/>
  <c r="I176" i="309"/>
  <c r="I175" i="309"/>
  <c r="I174" i="309"/>
  <c r="I173" i="309"/>
  <c r="I172" i="309"/>
  <c r="I171" i="309"/>
  <c r="I170" i="309"/>
  <c r="I169" i="309"/>
  <c r="I168" i="309"/>
  <c r="I167" i="309"/>
  <c r="I166" i="309"/>
  <c r="I165" i="309"/>
  <c r="I164" i="309"/>
  <c r="I163" i="309"/>
  <c r="I162" i="309"/>
  <c r="I161" i="309"/>
  <c r="I160" i="309"/>
  <c r="Q159" i="309"/>
  <c r="I159" i="309"/>
  <c r="Q158" i="309"/>
  <c r="I158" i="309"/>
  <c r="I157" i="309"/>
  <c r="I156" i="309"/>
  <c r="I155" i="309"/>
  <c r="I154" i="309"/>
  <c r="I153" i="309"/>
  <c r="I152" i="309"/>
  <c r="I151" i="309"/>
  <c r="I150" i="309"/>
  <c r="I149" i="309"/>
  <c r="I148" i="309"/>
  <c r="I147" i="309"/>
  <c r="I146" i="309"/>
  <c r="I145" i="309"/>
  <c r="I144" i="309"/>
  <c r="I143" i="309"/>
  <c r="I142" i="309"/>
  <c r="I141" i="309"/>
  <c r="I140" i="309"/>
  <c r="I139" i="309"/>
  <c r="I138" i="309"/>
  <c r="I137" i="309"/>
  <c r="I136" i="309"/>
  <c r="I135" i="309"/>
  <c r="I134" i="309"/>
  <c r="I133" i="309"/>
  <c r="I132" i="309"/>
  <c r="I131" i="309"/>
  <c r="I130" i="309"/>
  <c r="I129" i="309"/>
  <c r="I128" i="309"/>
  <c r="I127" i="309"/>
  <c r="I126" i="309"/>
  <c r="I125" i="309"/>
  <c r="I124" i="309"/>
  <c r="I123" i="309"/>
  <c r="I122" i="309"/>
  <c r="I121" i="309"/>
  <c r="I120" i="309"/>
  <c r="I119" i="309"/>
  <c r="I118" i="309"/>
  <c r="I117" i="309"/>
  <c r="I116" i="309"/>
  <c r="I115" i="309"/>
  <c r="I114" i="309"/>
  <c r="G113" i="309"/>
  <c r="I112" i="309"/>
  <c r="I111" i="309"/>
  <c r="I110" i="309"/>
  <c r="I109" i="309"/>
  <c r="I108" i="309"/>
  <c r="I107" i="309"/>
  <c r="I106" i="309"/>
  <c r="I105" i="309"/>
  <c r="I104" i="309"/>
  <c r="I103" i="309"/>
  <c r="I102" i="309"/>
  <c r="Q101" i="309"/>
  <c r="I101" i="309"/>
  <c r="Q100" i="309"/>
  <c r="I100" i="309"/>
  <c r="I99" i="309"/>
  <c r="I98" i="309"/>
  <c r="I97" i="309"/>
  <c r="I96" i="309"/>
  <c r="I95" i="309"/>
  <c r="I94" i="309"/>
  <c r="I93" i="309"/>
  <c r="I92" i="309"/>
  <c r="I91" i="309"/>
  <c r="I90" i="309"/>
  <c r="I89" i="309"/>
  <c r="I88" i="309"/>
  <c r="I87" i="309"/>
  <c r="I86" i="309"/>
  <c r="I85" i="309"/>
  <c r="I84" i="309"/>
  <c r="I83" i="309"/>
  <c r="I82" i="309"/>
  <c r="I81" i="309"/>
  <c r="I80" i="309"/>
  <c r="I79" i="309"/>
  <c r="I78" i="309"/>
  <c r="I77" i="309"/>
  <c r="I76" i="309"/>
  <c r="I75" i="309"/>
  <c r="I74" i="309"/>
  <c r="I73" i="309"/>
  <c r="I72" i="309"/>
  <c r="I71" i="309"/>
  <c r="I70" i="309"/>
  <c r="I69" i="309"/>
  <c r="I68" i="309"/>
  <c r="I67" i="309"/>
  <c r="I66" i="309"/>
  <c r="I65" i="309"/>
  <c r="I64" i="309"/>
  <c r="I63" i="309"/>
  <c r="I62" i="309"/>
  <c r="I61" i="309"/>
  <c r="I60" i="309"/>
  <c r="I59" i="309"/>
  <c r="I58" i="309"/>
  <c r="I57" i="309"/>
  <c r="I56" i="309"/>
  <c r="G55" i="309"/>
  <c r="I54" i="309"/>
  <c r="I53" i="309"/>
  <c r="I52" i="309"/>
  <c r="I51" i="309"/>
  <c r="I50" i="309"/>
  <c r="I49" i="309"/>
  <c r="I48" i="309"/>
  <c r="I47" i="309"/>
  <c r="I46" i="309"/>
  <c r="I45" i="309"/>
  <c r="I44" i="309"/>
  <c r="I43" i="309"/>
  <c r="I42" i="309"/>
  <c r="I41" i="309"/>
  <c r="I40" i="309"/>
  <c r="I39" i="309"/>
  <c r="I38" i="309"/>
  <c r="I37" i="309"/>
  <c r="I36" i="309"/>
  <c r="I35" i="309"/>
  <c r="I34" i="309"/>
  <c r="I33" i="309"/>
  <c r="I32" i="309"/>
  <c r="I31" i="309"/>
  <c r="I30" i="309"/>
  <c r="I29" i="309"/>
  <c r="I28" i="309"/>
  <c r="I27" i="309"/>
  <c r="I26" i="309"/>
  <c r="I25" i="309"/>
  <c r="I24" i="309"/>
  <c r="I23" i="309"/>
  <c r="I22" i="309"/>
  <c r="I21" i="309"/>
  <c r="I20" i="309"/>
  <c r="I19" i="309"/>
  <c r="I18" i="309"/>
  <c r="I17" i="309"/>
  <c r="I16" i="309"/>
  <c r="I15" i="309"/>
  <c r="I14" i="309"/>
  <c r="I13" i="309"/>
  <c r="I12" i="309"/>
  <c r="G11" i="309"/>
  <c r="AC11" i="108" l="1"/>
  <c r="AK35" i="307"/>
  <c r="AK11" i="307" s="1"/>
  <c r="AK10" i="307" s="1"/>
  <c r="AK445" i="307" s="1"/>
  <c r="AK51" i="307"/>
  <c r="AN56" i="307"/>
  <c r="AE60" i="307"/>
  <c r="AH60" i="307" s="1"/>
  <c r="AE82" i="307"/>
  <c r="AH82" i="307" s="1"/>
  <c r="AE90" i="307"/>
  <c r="AH90" i="307" s="1"/>
  <c r="AV227" i="307"/>
  <c r="AV228" i="307"/>
  <c r="AE302" i="307"/>
  <c r="AU304" i="307" s="1"/>
  <c r="AU303" i="307"/>
  <c r="AU302" i="307" s="1"/>
  <c r="AO302" i="307"/>
  <c r="AE76" i="307"/>
  <c r="AH76" i="307" s="1"/>
  <c r="AE80" i="307"/>
  <c r="AH80" i="307" s="1"/>
  <c r="AE88" i="307"/>
  <c r="AH88" i="307" s="1"/>
  <c r="AE98" i="307"/>
  <c r="AH98" i="307" s="1"/>
  <c r="AE106" i="307"/>
  <c r="AH106" i="307" s="1"/>
  <c r="AI219" i="307"/>
  <c r="AX303" i="307"/>
  <c r="AX302" i="307" s="1"/>
  <c r="AJ381" i="307"/>
  <c r="AE68" i="307"/>
  <c r="AH68" i="307" s="1"/>
  <c r="AE71" i="307"/>
  <c r="AH71" i="307" s="1"/>
  <c r="AE75" i="307"/>
  <c r="AH75" i="307" s="1"/>
  <c r="AE83" i="307"/>
  <c r="AH83" i="307" s="1"/>
  <c r="AE84" i="307"/>
  <c r="AH84" i="307" s="1"/>
  <c r="AE96" i="307"/>
  <c r="AH96" i="307" s="1"/>
  <c r="AE104" i="307"/>
  <c r="AH104" i="307" s="1"/>
  <c r="AY303" i="307"/>
  <c r="AY302" i="307" s="1"/>
  <c r="L31" i="108"/>
  <c r="AB31" i="108"/>
  <c r="AB51" i="108" s="1"/>
  <c r="O11" i="108"/>
  <c r="AH11" i="108"/>
  <c r="F39" i="108"/>
  <c r="AK47" i="108"/>
  <c r="AW47" i="108" s="1"/>
  <c r="I46" i="108"/>
  <c r="M46" i="108"/>
  <c r="Q46" i="108"/>
  <c r="AJ48" i="108"/>
  <c r="U46" i="108"/>
  <c r="Y46" i="108"/>
  <c r="AC46" i="108"/>
  <c r="AG46" i="108"/>
  <c r="AJ49" i="108"/>
  <c r="G39" i="108"/>
  <c r="K39" i="108"/>
  <c r="O39" i="108"/>
  <c r="O51" i="108" s="1"/>
  <c r="S39" i="108"/>
  <c r="W39" i="108"/>
  <c r="AA39" i="108"/>
  <c r="E39" i="108"/>
  <c r="I39" i="108"/>
  <c r="Q39" i="108"/>
  <c r="U39" i="108"/>
  <c r="Y39" i="108"/>
  <c r="Y51" i="108" s="1"/>
  <c r="AC39" i="108"/>
  <c r="H80" i="283"/>
  <c r="G79" i="283"/>
  <c r="H79" i="283" s="1"/>
  <c r="K103" i="5"/>
  <c r="AN11" i="307"/>
  <c r="AK17" i="307"/>
  <c r="AD56" i="307"/>
  <c r="AT56" i="307"/>
  <c r="AE59" i="307"/>
  <c r="AH59" i="307" s="1"/>
  <c r="AE65" i="307"/>
  <c r="AH65" i="307" s="1"/>
  <c r="AE66" i="307"/>
  <c r="AH66" i="307" s="1"/>
  <c r="AN114" i="307"/>
  <c r="AH118" i="307"/>
  <c r="AE114" i="307"/>
  <c r="AE73" i="307"/>
  <c r="AH73" i="307" s="1"/>
  <c r="AE74" i="307"/>
  <c r="AH74" i="307" s="1"/>
  <c r="AE112" i="307"/>
  <c r="AH112" i="307" s="1"/>
  <c r="AK23" i="307"/>
  <c r="AE57" i="307"/>
  <c r="AJ56" i="307"/>
  <c r="AC56" i="307"/>
  <c r="AC10" i="307" s="1"/>
  <c r="AC445" i="307" s="1"/>
  <c r="AO56" i="307"/>
  <c r="AE67" i="307"/>
  <c r="AH67" i="307" s="1"/>
  <c r="AE72" i="307"/>
  <c r="AH72" i="307" s="1"/>
  <c r="AI114" i="307"/>
  <c r="AK55" i="307"/>
  <c r="AE63" i="307"/>
  <c r="AH63" i="307" s="1"/>
  <c r="AE70" i="307"/>
  <c r="AH70" i="307" s="1"/>
  <c r="AE77" i="307"/>
  <c r="AH77" i="307" s="1"/>
  <c r="AE79" i="307"/>
  <c r="AH79" i="307" s="1"/>
  <c r="AE86" i="307"/>
  <c r="AH86" i="307" s="1"/>
  <c r="AE93" i="307"/>
  <c r="AH93" i="307" s="1"/>
  <c r="AE95" i="307"/>
  <c r="AH95" i="307" s="1"/>
  <c r="AE101" i="307"/>
  <c r="AH101" i="307" s="1"/>
  <c r="AE102" i="307"/>
  <c r="AH102" i="307" s="1"/>
  <c r="AE109" i="307"/>
  <c r="AH109" i="307" s="1"/>
  <c r="AE111" i="307"/>
  <c r="AH111" i="307" s="1"/>
  <c r="AB114" i="307"/>
  <c r="AV231" i="307"/>
  <c r="AV233" i="307"/>
  <c r="AV235" i="307"/>
  <c r="AV237" i="307"/>
  <c r="AV239" i="307"/>
  <c r="AV241" i="307"/>
  <c r="AV243" i="307"/>
  <c r="AV245" i="307"/>
  <c r="AV247" i="307"/>
  <c r="AV249" i="307"/>
  <c r="AV251" i="307"/>
  <c r="AV253" i="307"/>
  <c r="AV255" i="307"/>
  <c r="AV257" i="307"/>
  <c r="AV259" i="307"/>
  <c r="AV261" i="307"/>
  <c r="AV263" i="307"/>
  <c r="AV265" i="307"/>
  <c r="AV267" i="307"/>
  <c r="AV269" i="307"/>
  <c r="AV271" i="307"/>
  <c r="AV273" i="307"/>
  <c r="AV275" i="307"/>
  <c r="AV277" i="307"/>
  <c r="AV279" i="307"/>
  <c r="AV281" i="307"/>
  <c r="AV283" i="307"/>
  <c r="AV285" i="307"/>
  <c r="AV287" i="307"/>
  <c r="AV289" i="307"/>
  <c r="AV291" i="307"/>
  <c r="AV293" i="307"/>
  <c r="AV295" i="307"/>
  <c r="AV297" i="307"/>
  <c r="AK32" i="108"/>
  <c r="I31" i="108"/>
  <c r="M31" i="108"/>
  <c r="Q31" i="108"/>
  <c r="U31" i="108"/>
  <c r="Y31" i="108"/>
  <c r="AC31" i="108"/>
  <c r="AG31" i="108"/>
  <c r="AG51" i="108" s="1"/>
  <c r="G31" i="108"/>
  <c r="O31" i="108"/>
  <c r="S31" i="108"/>
  <c r="W31" i="108"/>
  <c r="W51" i="108" s="1"/>
  <c r="AE31" i="108"/>
  <c r="AK34" i="108"/>
  <c r="AW34" i="108" s="1"/>
  <c r="AJ35" i="108"/>
  <c r="H31" i="108"/>
  <c r="H51" i="108" s="1"/>
  <c r="T31" i="108"/>
  <c r="AH301" i="307"/>
  <c r="AE78" i="307"/>
  <c r="AH78" i="307" s="1"/>
  <c r="AE85" i="307"/>
  <c r="AH85" i="307" s="1"/>
  <c r="AE87" i="307"/>
  <c r="AH87" i="307" s="1"/>
  <c r="AE94" i="307"/>
  <c r="AH94" i="307" s="1"/>
  <c r="AE103" i="307"/>
  <c r="AH103" i="307" s="1"/>
  <c r="AE110" i="307"/>
  <c r="AH110" i="307" s="1"/>
  <c r="AO114" i="307"/>
  <c r="AJ219" i="307"/>
  <c r="AH222" i="307"/>
  <c r="AO219" i="307"/>
  <c r="AH223" i="307"/>
  <c r="AH230" i="307"/>
  <c r="AH299" i="307"/>
  <c r="AN302" i="307"/>
  <c r="AN10" i="307" s="1"/>
  <c r="AN445" i="307" s="1"/>
  <c r="M11" i="108"/>
  <c r="G11" i="108"/>
  <c r="S11" i="108"/>
  <c r="W11" i="108"/>
  <c r="V39" i="108"/>
  <c r="AE89" i="307"/>
  <c r="AH89" i="307" s="1"/>
  <c r="AE91" i="307"/>
  <c r="AH91" i="307" s="1"/>
  <c r="AE105" i="307"/>
  <c r="AH105" i="307" s="1"/>
  <c r="AE107" i="307"/>
  <c r="AH107" i="307" s="1"/>
  <c r="AT114" i="307"/>
  <c r="AJ114" i="307"/>
  <c r="AE219" i="307"/>
  <c r="AB219" i="307"/>
  <c r="AN219" i="307"/>
  <c r="AH303" i="307"/>
  <c r="AW303" i="307" s="1"/>
  <c r="AW302" i="307" s="1"/>
  <c r="F11" i="108"/>
  <c r="J11" i="108"/>
  <c r="N11" i="108"/>
  <c r="V11" i="108"/>
  <c r="Z11" i="108"/>
  <c r="AD11" i="108"/>
  <c r="AJ13" i="108"/>
  <c r="AE11" i="108"/>
  <c r="AK14" i="108"/>
  <c r="AW14" i="108" s="1"/>
  <c r="I11" i="108"/>
  <c r="U11" i="108"/>
  <c r="Y11" i="108"/>
  <c r="AJ15" i="108"/>
  <c r="AJ19" i="108"/>
  <c r="AK22" i="108"/>
  <c r="AW22" i="108" s="1"/>
  <c r="AK26" i="108"/>
  <c r="AW26" i="108" s="1"/>
  <c r="AK30" i="108"/>
  <c r="AW30" i="108" s="1"/>
  <c r="R31" i="108"/>
  <c r="L2573" i="289"/>
  <c r="L2578" i="289" s="1"/>
  <c r="L2622" i="289" s="1"/>
  <c r="L2632" i="289" s="1"/>
  <c r="L2634" i="289" s="1"/>
  <c r="J16" i="5"/>
  <c r="M16" i="5" s="1"/>
  <c r="P16" i="5" s="1"/>
  <c r="J21" i="5"/>
  <c r="M21" i="5" s="1"/>
  <c r="P21" i="5" s="1"/>
  <c r="J26" i="5"/>
  <c r="M26" i="5" s="1"/>
  <c r="P26" i="5" s="1"/>
  <c r="J58" i="5"/>
  <c r="M58" i="5" s="1"/>
  <c r="P58" i="5" s="1"/>
  <c r="J17" i="5"/>
  <c r="M17" i="5" s="1"/>
  <c r="P17" i="5" s="1"/>
  <c r="J22" i="5"/>
  <c r="M22" i="5" s="1"/>
  <c r="P22" i="5" s="1"/>
  <c r="J28" i="5"/>
  <c r="M28" i="5" s="1"/>
  <c r="P28" i="5" s="1"/>
  <c r="J59" i="5"/>
  <c r="M59" i="5" s="1"/>
  <c r="P59" i="5" s="1"/>
  <c r="J65" i="5"/>
  <c r="M65" i="5" s="1"/>
  <c r="P65" i="5" s="1"/>
  <c r="J67" i="5"/>
  <c r="M67" i="5" s="1"/>
  <c r="P67" i="5" s="1"/>
  <c r="J69" i="5"/>
  <c r="M69" i="5" s="1"/>
  <c r="P69" i="5" s="1"/>
  <c r="J71" i="5"/>
  <c r="M71" i="5" s="1"/>
  <c r="P71" i="5" s="1"/>
  <c r="J73" i="5"/>
  <c r="M73" i="5" s="1"/>
  <c r="P73" i="5" s="1"/>
  <c r="J75" i="5"/>
  <c r="M75" i="5" s="1"/>
  <c r="P75" i="5" s="1"/>
  <c r="J77" i="5"/>
  <c r="M77" i="5" s="1"/>
  <c r="P77" i="5" s="1"/>
  <c r="J79" i="5"/>
  <c r="M79" i="5" s="1"/>
  <c r="P79" i="5" s="1"/>
  <c r="J81" i="5"/>
  <c r="M81" i="5" s="1"/>
  <c r="P81" i="5" s="1"/>
  <c r="J83" i="5"/>
  <c r="M83" i="5" s="1"/>
  <c r="P83" i="5" s="1"/>
  <c r="J85" i="5"/>
  <c r="M85" i="5" s="1"/>
  <c r="P85" i="5" s="1"/>
  <c r="J87" i="5"/>
  <c r="M87" i="5" s="1"/>
  <c r="P87" i="5" s="1"/>
  <c r="J89" i="5"/>
  <c r="M89" i="5" s="1"/>
  <c r="P89" i="5" s="1"/>
  <c r="J91" i="5"/>
  <c r="M91" i="5" s="1"/>
  <c r="P91" i="5" s="1"/>
  <c r="J18" i="5"/>
  <c r="M18" i="5" s="1"/>
  <c r="P18" i="5" s="1"/>
  <c r="J24" i="5"/>
  <c r="M24" i="5" s="1"/>
  <c r="P24" i="5" s="1"/>
  <c r="J29" i="5"/>
  <c r="M29" i="5" s="1"/>
  <c r="P29" i="5" s="1"/>
  <c r="J60" i="5"/>
  <c r="M60" i="5" s="1"/>
  <c r="P60" i="5" s="1"/>
  <c r="J14" i="5"/>
  <c r="M14" i="5" s="1"/>
  <c r="P14" i="5" s="1"/>
  <c r="J20" i="5"/>
  <c r="M20" i="5" s="1"/>
  <c r="P20" i="5" s="1"/>
  <c r="J25" i="5"/>
  <c r="M25" i="5" s="1"/>
  <c r="P25" i="5" s="1"/>
  <c r="J56" i="5"/>
  <c r="M56" i="5" s="1"/>
  <c r="P56" i="5" s="1"/>
  <c r="J62" i="5"/>
  <c r="M62" i="5" s="1"/>
  <c r="P62" i="5" s="1"/>
  <c r="J66" i="5"/>
  <c r="M66" i="5" s="1"/>
  <c r="P66" i="5" s="1"/>
  <c r="J68" i="5"/>
  <c r="M68" i="5" s="1"/>
  <c r="P68" i="5" s="1"/>
  <c r="J70" i="5"/>
  <c r="M70" i="5" s="1"/>
  <c r="P70" i="5" s="1"/>
  <c r="J72" i="5"/>
  <c r="M72" i="5" s="1"/>
  <c r="P72" i="5" s="1"/>
  <c r="J74" i="5"/>
  <c r="M74" i="5" s="1"/>
  <c r="P74" i="5" s="1"/>
  <c r="J76" i="5"/>
  <c r="M76" i="5" s="1"/>
  <c r="P76" i="5" s="1"/>
  <c r="J78" i="5"/>
  <c r="M78" i="5" s="1"/>
  <c r="P78" i="5" s="1"/>
  <c r="J80" i="5"/>
  <c r="M80" i="5" s="1"/>
  <c r="P80" i="5" s="1"/>
  <c r="J82" i="5"/>
  <c r="M82" i="5" s="1"/>
  <c r="P82" i="5" s="1"/>
  <c r="J84" i="5"/>
  <c r="M84" i="5" s="1"/>
  <c r="P84" i="5" s="1"/>
  <c r="J86" i="5"/>
  <c r="M86" i="5" s="1"/>
  <c r="P86" i="5" s="1"/>
  <c r="J88" i="5"/>
  <c r="M88" i="5" s="1"/>
  <c r="P88" i="5" s="1"/>
  <c r="J90" i="5"/>
  <c r="M90" i="5" s="1"/>
  <c r="P90" i="5" s="1"/>
  <c r="J92" i="5"/>
  <c r="M92" i="5" s="1"/>
  <c r="P92" i="5" s="1"/>
  <c r="AD11" i="307"/>
  <c r="AD10" i="307" s="1"/>
  <c r="AD445" i="307" s="1"/>
  <c r="AJ11" i="307"/>
  <c r="AH57" i="307"/>
  <c r="AH13" i="307"/>
  <c r="AH11" i="307" s="1"/>
  <c r="AE11" i="307"/>
  <c r="AO11" i="307"/>
  <c r="AH114" i="307"/>
  <c r="AO10" i="307"/>
  <c r="AO445" i="307" s="1"/>
  <c r="AI11" i="307"/>
  <c r="AB56" i="307"/>
  <c r="AE58" i="307"/>
  <c r="AH58" i="307" s="1"/>
  <c r="AV224" i="307"/>
  <c r="AH226" i="307"/>
  <c r="AT219" i="307"/>
  <c r="AV232" i="307"/>
  <c r="AH232" i="307"/>
  <c r="AH234" i="307"/>
  <c r="AV234" i="307"/>
  <c r="AV236" i="307"/>
  <c r="AH236" i="307"/>
  <c r="AV240" i="307"/>
  <c r="AH240" i="307"/>
  <c r="AV244" i="307"/>
  <c r="AH244" i="307"/>
  <c r="AV248" i="307"/>
  <c r="AH248" i="307"/>
  <c r="AV238" i="307"/>
  <c r="AV242" i="307"/>
  <c r="AV246" i="307"/>
  <c r="AV250" i="307"/>
  <c r="AH252" i="307"/>
  <c r="AV254" i="307"/>
  <c r="AH256" i="307"/>
  <c r="AV258" i="307"/>
  <c r="AH260" i="307"/>
  <c r="AV262" i="307"/>
  <c r="AH264" i="307"/>
  <c r="AV266" i="307"/>
  <c r="AH268" i="307"/>
  <c r="AV270" i="307"/>
  <c r="AH272" i="307"/>
  <c r="AV274" i="307"/>
  <c r="AH276" i="307"/>
  <c r="AV278" i="307"/>
  <c r="AH280" i="307"/>
  <c r="AV282" i="307"/>
  <c r="AH284" i="307"/>
  <c r="AV286" i="307"/>
  <c r="AH288" i="307"/>
  <c r="AV290" i="307"/>
  <c r="AH292" i="307"/>
  <c r="AV294" i="307"/>
  <c r="AH296" i="307"/>
  <c r="AV298" i="307"/>
  <c r="AH300" i="307"/>
  <c r="AE381" i="307"/>
  <c r="AH382" i="307"/>
  <c r="AH381" i="307" s="1"/>
  <c r="AH302" i="307"/>
  <c r="AW304" i="307" s="1"/>
  <c r="AB381" i="307"/>
  <c r="AB10" i="307" s="1"/>
  <c r="AB445" i="307" s="1"/>
  <c r="X31" i="108"/>
  <c r="J31" i="108"/>
  <c r="N31" i="108"/>
  <c r="Z31" i="108"/>
  <c r="AD31" i="108"/>
  <c r="K46" i="108"/>
  <c r="O46" i="108"/>
  <c r="S46" i="108"/>
  <c r="S51" i="108" s="1"/>
  <c r="W46" i="108"/>
  <c r="AA46" i="108"/>
  <c r="AE46" i="108"/>
  <c r="K11" i="108"/>
  <c r="K51" i="108" s="1"/>
  <c r="AA11" i="108"/>
  <c r="Q11" i="108"/>
  <c r="V31" i="108"/>
  <c r="P31" i="108"/>
  <c r="AF31" i="108"/>
  <c r="AG11" i="108"/>
  <c r="K31" i="108"/>
  <c r="AA31" i="108"/>
  <c r="J39" i="108"/>
  <c r="N39" i="108"/>
  <c r="R39" i="108"/>
  <c r="Z39" i="108"/>
  <c r="Z51" i="108" s="1"/>
  <c r="AD39" i="108"/>
  <c r="AH39" i="108"/>
  <c r="AE39" i="108"/>
  <c r="AE51" i="108"/>
  <c r="N51" i="108"/>
  <c r="R51" i="108"/>
  <c r="AK13" i="108"/>
  <c r="AW13" i="108" s="1"/>
  <c r="AK16" i="108"/>
  <c r="AW16" i="108" s="1"/>
  <c r="AK18" i="108"/>
  <c r="AW18" i="108" s="1"/>
  <c r="AK20" i="108"/>
  <c r="AW20" i="108" s="1"/>
  <c r="AJ22" i="108"/>
  <c r="AJ23" i="108"/>
  <c r="AK24" i="108"/>
  <c r="AW24" i="108" s="1"/>
  <c r="AJ26" i="108"/>
  <c r="AJ27" i="108"/>
  <c r="AK28" i="108"/>
  <c r="AW28" i="108" s="1"/>
  <c r="AJ30" i="108"/>
  <c r="AJ32" i="108"/>
  <c r="AH31" i="108"/>
  <c r="AH51" i="108" s="1"/>
  <c r="AK36" i="108"/>
  <c r="AW36" i="108" s="1"/>
  <c r="AK43" i="108"/>
  <c r="AW43" i="108" s="1"/>
  <c r="E46" i="108"/>
  <c r="AK50" i="108"/>
  <c r="AW50" i="108" s="1"/>
  <c r="V51" i="108"/>
  <c r="E11" i="108"/>
  <c r="H11" i="108"/>
  <c r="L11" i="108"/>
  <c r="P11" i="108"/>
  <c r="T11" i="108"/>
  <c r="X11" i="108"/>
  <c r="X51" i="108" s="1"/>
  <c r="AB11" i="108"/>
  <c r="AF11" i="108"/>
  <c r="AJ24" i="108"/>
  <c r="AK33" i="108"/>
  <c r="AW33" i="108" s="1"/>
  <c r="AJ38" i="108"/>
  <c r="H39" i="108"/>
  <c r="L39" i="108"/>
  <c r="P39" i="108"/>
  <c r="P51" i="108" s="1"/>
  <c r="T39" i="108"/>
  <c r="X39" i="108"/>
  <c r="AB39" i="108"/>
  <c r="AF39" i="108"/>
  <c r="AK41" i="108"/>
  <c r="AW41" i="108" s="1"/>
  <c r="AK49" i="108"/>
  <c r="AW49" i="108" s="1"/>
  <c r="AA51" i="108"/>
  <c r="J51" i="108"/>
  <c r="AD51" i="108"/>
  <c r="AK12" i="108"/>
  <c r="AW12" i="108" s="1"/>
  <c r="AK17" i="108"/>
  <c r="AW17" i="108" s="1"/>
  <c r="AK21" i="108"/>
  <c r="AW21" i="108" s="1"/>
  <c r="AK25" i="108"/>
  <c r="AW25" i="108" s="1"/>
  <c r="AK29" i="108"/>
  <c r="AW29" i="108" s="1"/>
  <c r="F31" i="108"/>
  <c r="F51" i="108" s="1"/>
  <c r="AK37" i="108"/>
  <c r="AW37" i="108" s="1"/>
  <c r="AK40" i="108"/>
  <c r="AJ41" i="108"/>
  <c r="AK42" i="108"/>
  <c r="AW42" i="108" s="1"/>
  <c r="AK45" i="108"/>
  <c r="G46" i="108"/>
  <c r="G51" i="108" s="1"/>
  <c r="AK48" i="108"/>
  <c r="AW48" i="108" s="1"/>
  <c r="F18" i="317"/>
  <c r="M2577" i="289"/>
  <c r="M2574" i="289"/>
  <c r="Q1142" i="289"/>
  <c r="P1145" i="289"/>
  <c r="M2576" i="289"/>
  <c r="M2575" i="289"/>
  <c r="O2579" i="289"/>
  <c r="J2622" i="289"/>
  <c r="J2632" i="289" s="1"/>
  <c r="J2634" i="289" s="1"/>
  <c r="J2644" i="289" s="1"/>
  <c r="O2621" i="289"/>
  <c r="O2622" i="289" s="1"/>
  <c r="O1142" i="289"/>
  <c r="L51" i="108"/>
  <c r="I51" i="108"/>
  <c r="AC51" i="108"/>
  <c r="AW40" i="108"/>
  <c r="T51" i="108"/>
  <c r="AK44" i="108"/>
  <c r="AW45" i="108"/>
  <c r="AW32" i="108"/>
  <c r="U51" i="108"/>
  <c r="AF51" i="108"/>
  <c r="M51" i="108"/>
  <c r="Q51" i="108"/>
  <c r="AK15" i="108"/>
  <c r="AW15" i="108" s="1"/>
  <c r="AJ16" i="108"/>
  <c r="AK19" i="108"/>
  <c r="AW19" i="108" s="1"/>
  <c r="AJ20" i="108"/>
  <c r="AK23" i="108"/>
  <c r="AW23" i="108" s="1"/>
  <c r="AK27" i="108"/>
  <c r="AW27" i="108" s="1"/>
  <c r="AJ28" i="108"/>
  <c r="AK35" i="108"/>
  <c r="AW35" i="108" s="1"/>
  <c r="AK38" i="108"/>
  <c r="AW38" i="108" s="1"/>
  <c r="AJ42" i="108"/>
  <c r="AJ45" i="108"/>
  <c r="AJ44" i="108" s="1"/>
  <c r="AJ17" i="108"/>
  <c r="AJ21" i="108"/>
  <c r="AJ25" i="108"/>
  <c r="AJ29" i="108"/>
  <c r="E31" i="108"/>
  <c r="AJ33" i="108"/>
  <c r="AJ36" i="108"/>
  <c r="AJ43" i="108"/>
  <c r="AJ47" i="108"/>
  <c r="AJ50" i="108"/>
  <c r="AJ12" i="108"/>
  <c r="AJ14" i="108"/>
  <c r="AJ18" i="108"/>
  <c r="AJ34" i="108"/>
  <c r="AJ37" i="108"/>
  <c r="AJ40" i="108"/>
  <c r="I12" i="30"/>
  <c r="H12" i="30"/>
  <c r="G11" i="30"/>
  <c r="N14" i="76"/>
  <c r="N15" i="76"/>
  <c r="G43" i="235"/>
  <c r="AB463" i="115"/>
  <c r="I95" i="31"/>
  <c r="F18" i="235"/>
  <c r="E37" i="235"/>
  <c r="E17" i="235"/>
  <c r="F41" i="235"/>
  <c r="F45" i="235"/>
  <c r="G45" i="235" s="1"/>
  <c r="O14" i="76"/>
  <c r="F32" i="235"/>
  <c r="G32" i="235" s="1"/>
  <c r="E10" i="76"/>
  <c r="L10" i="76" s="1"/>
  <c r="O15" i="76"/>
  <c r="F17" i="283"/>
  <c r="G17" i="283" s="1"/>
  <c r="H17" i="283" s="1"/>
  <c r="E18" i="235"/>
  <c r="G18" i="235" s="1"/>
  <c r="F29" i="235"/>
  <c r="G29" i="235" s="1"/>
  <c r="D77" i="229"/>
  <c r="J116" i="229"/>
  <c r="J149" i="229"/>
  <c r="J191" i="229"/>
  <c r="D6" i="229"/>
  <c r="D22" i="229"/>
  <c r="D38" i="229"/>
  <c r="J77" i="229"/>
  <c r="D132" i="229"/>
  <c r="D175" i="229"/>
  <c r="D207" i="229"/>
  <c r="J240" i="229"/>
  <c r="J6" i="229"/>
  <c r="L7" i="229"/>
  <c r="J3576" i="229" s="1"/>
  <c r="L8" i="229"/>
  <c r="J1268" i="229" s="1"/>
  <c r="L9" i="229"/>
  <c r="J22" i="229"/>
  <c r="J38" i="229"/>
  <c r="D60" i="229"/>
  <c r="D93" i="229"/>
  <c r="J132" i="229"/>
  <c r="L4" i="229"/>
  <c r="D469" i="229" s="1"/>
  <c r="J60" i="229"/>
  <c r="J93" i="229"/>
  <c r="D116" i="229"/>
  <c r="D149" i="229"/>
  <c r="D191" i="229"/>
  <c r="J224" i="229"/>
  <c r="D240" i="229"/>
  <c r="D272" i="229"/>
  <c r="J305" i="229"/>
  <c r="J337" i="229"/>
  <c r="D354" i="229"/>
  <c r="D370" i="229"/>
  <c r="J486" i="229"/>
  <c r="J518" i="229"/>
  <c r="J551" i="229"/>
  <c r="J583" i="229"/>
  <c r="J616" i="229"/>
  <c r="J648" i="229"/>
  <c r="J681" i="229"/>
  <c r="J713" i="229"/>
  <c r="J746" i="229"/>
  <c r="J778" i="229"/>
  <c r="J811" i="229"/>
  <c r="J843" i="229"/>
  <c r="J876" i="229"/>
  <c r="D908" i="229"/>
  <c r="D941" i="229"/>
  <c r="D973" i="229"/>
  <c r="D1006" i="229"/>
  <c r="D1038" i="229"/>
  <c r="D1071" i="229"/>
  <c r="D1103" i="229"/>
  <c r="D1136" i="229"/>
  <c r="D1168" i="229"/>
  <c r="D1201" i="229"/>
  <c r="D1233" i="229"/>
  <c r="D1266" i="229"/>
  <c r="D1298" i="229"/>
  <c r="D1331" i="229"/>
  <c r="D1363" i="229"/>
  <c r="D1396" i="229"/>
  <c r="D1428" i="229"/>
  <c r="D1461" i="229"/>
  <c r="D1493" i="229"/>
  <c r="D1526" i="229"/>
  <c r="D1558" i="229"/>
  <c r="D1591" i="229"/>
  <c r="D1705" i="229"/>
  <c r="D1737" i="229"/>
  <c r="J272" i="229"/>
  <c r="D289" i="229"/>
  <c r="D321" i="229"/>
  <c r="J354" i="229"/>
  <c r="D429" i="229"/>
  <c r="D443" i="229"/>
  <c r="D470" i="229"/>
  <c r="D502" i="229"/>
  <c r="D535" i="229"/>
  <c r="D567" i="229"/>
  <c r="D600" i="229"/>
  <c r="D632" i="229"/>
  <c r="D665" i="229"/>
  <c r="D697" i="229"/>
  <c r="D699" i="229"/>
  <c r="D730" i="229"/>
  <c r="D762" i="229"/>
  <c r="D795" i="229"/>
  <c r="D827" i="229"/>
  <c r="D860" i="229"/>
  <c r="D892" i="229"/>
  <c r="J908" i="229"/>
  <c r="J941" i="229"/>
  <c r="J973" i="229"/>
  <c r="J1006" i="229"/>
  <c r="J1008" i="229"/>
  <c r="J1038" i="229"/>
  <c r="J1071" i="229"/>
  <c r="J1103" i="229"/>
  <c r="J1136" i="229"/>
  <c r="J1168" i="229"/>
  <c r="J1201" i="229"/>
  <c r="J1233" i="229"/>
  <c r="J1266" i="229"/>
  <c r="J1298" i="229"/>
  <c r="J1331" i="229"/>
  <c r="J1363" i="229"/>
  <c r="J1396" i="229"/>
  <c r="J1415" i="229"/>
  <c r="J1428" i="229"/>
  <c r="J1461" i="229"/>
  <c r="J1493" i="229"/>
  <c r="J1526" i="229"/>
  <c r="J1558" i="229"/>
  <c r="J1591" i="229"/>
  <c r="J1705" i="229"/>
  <c r="J1737" i="229"/>
  <c r="J1770" i="229"/>
  <c r="J175" i="229"/>
  <c r="J207" i="229"/>
  <c r="D224" i="229"/>
  <c r="D256" i="229"/>
  <c r="J289" i="229"/>
  <c r="J321" i="229"/>
  <c r="J429" i="229"/>
  <c r="J470" i="229"/>
  <c r="J502" i="229"/>
  <c r="J535" i="229"/>
  <c r="J567" i="229"/>
  <c r="J600" i="229"/>
  <c r="J632" i="229"/>
  <c r="J665" i="229"/>
  <c r="J697" i="229"/>
  <c r="J730" i="229"/>
  <c r="J762" i="229"/>
  <c r="J795" i="229"/>
  <c r="J827" i="229"/>
  <c r="J860" i="229"/>
  <c r="J892" i="229"/>
  <c r="D925" i="229"/>
  <c r="D957" i="229"/>
  <c r="D990" i="229"/>
  <c r="D1022" i="229"/>
  <c r="D1055" i="229"/>
  <c r="D1074" i="229"/>
  <c r="D1087" i="229"/>
  <c r="D1120" i="229"/>
  <c r="D1152" i="229"/>
  <c r="D1185" i="229"/>
  <c r="D1217" i="229"/>
  <c r="D1250" i="229"/>
  <c r="D1282" i="229"/>
  <c r="D1315" i="229"/>
  <c r="D1347" i="229"/>
  <c r="D1380" i="229"/>
  <c r="D1412" i="229"/>
  <c r="D1414" i="229"/>
  <c r="D1445" i="229"/>
  <c r="D1477" i="229"/>
  <c r="D1510" i="229"/>
  <c r="D1542" i="229"/>
  <c r="D1575" i="229"/>
  <c r="D1607" i="229"/>
  <c r="J256" i="229"/>
  <c r="D305" i="229"/>
  <c r="D337" i="229"/>
  <c r="D486" i="229"/>
  <c r="D488" i="229"/>
  <c r="D518" i="229"/>
  <c r="D551" i="229"/>
  <c r="D583" i="229"/>
  <c r="D616" i="229"/>
  <c r="D648" i="229"/>
  <c r="D681" i="229"/>
  <c r="D713" i="229"/>
  <c r="D746" i="229"/>
  <c r="D778" i="229"/>
  <c r="D811" i="229"/>
  <c r="D843" i="229"/>
  <c r="D876" i="229"/>
  <c r="J907" i="229"/>
  <c r="J925" i="229"/>
  <c r="J957" i="229"/>
  <c r="J990" i="229"/>
  <c r="J1022" i="229"/>
  <c r="J1055" i="229"/>
  <c r="J1087" i="229"/>
  <c r="J1120" i="229"/>
  <c r="J1152" i="229"/>
  <c r="J1185" i="229"/>
  <c r="J1217" i="229"/>
  <c r="J1250" i="229"/>
  <c r="J1282" i="229"/>
  <c r="J1315" i="229"/>
  <c r="J1347" i="229"/>
  <c r="J1380" i="229"/>
  <c r="J1412" i="229"/>
  <c r="J1445" i="229"/>
  <c r="J1477" i="229"/>
  <c r="J1510" i="229"/>
  <c r="J1542" i="229"/>
  <c r="J1575" i="229"/>
  <c r="J1607" i="229"/>
  <c r="J1721" i="229"/>
  <c r="D1770" i="229"/>
  <c r="D1802" i="229"/>
  <c r="D1835" i="229"/>
  <c r="D1896" i="229"/>
  <c r="D1928" i="229"/>
  <c r="D1961" i="229"/>
  <c r="D1993" i="229"/>
  <c r="D2026" i="229"/>
  <c r="D2058" i="229"/>
  <c r="D2091" i="229"/>
  <c r="D2123" i="229"/>
  <c r="D2156" i="229"/>
  <c r="D2188" i="229"/>
  <c r="D2221" i="229"/>
  <c r="D2253" i="229"/>
  <c r="D2286" i="229"/>
  <c r="D2318" i="229"/>
  <c r="D2351" i="229"/>
  <c r="D2383" i="229"/>
  <c r="D2416" i="229"/>
  <c r="J1802" i="229"/>
  <c r="J1835" i="229"/>
  <c r="J1896" i="229"/>
  <c r="J1928" i="229"/>
  <c r="J1961" i="229"/>
  <c r="J1993" i="229"/>
  <c r="J2026" i="229"/>
  <c r="J2058" i="229"/>
  <c r="J2091" i="229"/>
  <c r="J2093" i="229"/>
  <c r="J2123" i="229"/>
  <c r="J2156" i="229"/>
  <c r="J2188" i="229"/>
  <c r="J2221" i="229"/>
  <c r="J2253" i="229"/>
  <c r="J2286" i="229"/>
  <c r="J2318" i="229"/>
  <c r="J2351" i="229"/>
  <c r="J2383" i="229"/>
  <c r="J2416" i="229"/>
  <c r="J2448" i="229"/>
  <c r="J2481" i="229"/>
  <c r="D1721" i="229"/>
  <c r="D1753" i="229"/>
  <c r="D1786" i="229"/>
  <c r="D1818" i="229"/>
  <c r="D1834" i="229"/>
  <c r="D1851" i="229"/>
  <c r="D1912" i="229"/>
  <c r="D1944" i="229"/>
  <c r="D1977" i="229"/>
  <c r="D2009" i="229"/>
  <c r="D2042" i="229"/>
  <c r="D2074" i="229"/>
  <c r="D2107" i="229"/>
  <c r="D2139" i="229"/>
  <c r="D2172" i="229"/>
  <c r="D2204" i="229"/>
  <c r="D2237" i="229"/>
  <c r="D2269" i="229"/>
  <c r="D2302" i="229"/>
  <c r="D2334" i="229"/>
  <c r="D2367" i="229"/>
  <c r="J1753" i="229"/>
  <c r="J1786" i="229"/>
  <c r="J1818" i="229"/>
  <c r="J1851" i="229"/>
  <c r="J1912" i="229"/>
  <c r="J1944" i="229"/>
  <c r="J1977" i="229"/>
  <c r="J2009" i="229"/>
  <c r="J2042" i="229"/>
  <c r="J2074" i="229"/>
  <c r="J2107" i="229"/>
  <c r="J2139" i="229"/>
  <c r="J2172" i="229"/>
  <c r="J2204" i="229"/>
  <c r="J2237" i="229"/>
  <c r="J2269" i="229"/>
  <c r="J2302" i="229"/>
  <c r="J2334" i="229"/>
  <c r="J2367" i="229"/>
  <c r="J2399" i="229"/>
  <c r="J2432" i="229"/>
  <c r="J2464" i="229"/>
  <c r="D2448" i="229"/>
  <c r="D2481" i="229"/>
  <c r="D2513" i="229"/>
  <c r="D2546" i="229"/>
  <c r="J2578" i="229"/>
  <c r="D2611" i="229"/>
  <c r="J2679" i="229"/>
  <c r="J2711" i="229"/>
  <c r="J2744" i="229"/>
  <c r="J2776" i="229"/>
  <c r="J2809" i="229"/>
  <c r="J2841" i="229"/>
  <c r="J2874" i="229"/>
  <c r="J2906" i="229"/>
  <c r="J2939" i="229"/>
  <c r="J2971" i="229"/>
  <c r="J2973" i="229"/>
  <c r="J3004" i="229"/>
  <c r="J3036" i="229"/>
  <c r="J3069" i="229"/>
  <c r="J3101" i="229"/>
  <c r="J3134" i="229"/>
  <c r="J3166" i="229"/>
  <c r="J2513" i="229"/>
  <c r="J2546" i="229"/>
  <c r="J2611" i="229"/>
  <c r="D2663" i="229"/>
  <c r="D2695" i="229"/>
  <c r="D2728" i="229"/>
  <c r="D2760" i="229"/>
  <c r="D2793" i="229"/>
  <c r="D2825" i="229"/>
  <c r="D2858" i="229"/>
  <c r="D2890" i="229"/>
  <c r="D2923" i="229"/>
  <c r="D2955" i="229"/>
  <c r="D2988" i="229"/>
  <c r="D3020" i="229"/>
  <c r="D3053" i="229"/>
  <c r="D3085" i="229"/>
  <c r="D3118" i="229"/>
  <c r="D3150" i="229"/>
  <c r="D3183" i="229"/>
  <c r="D2399" i="229"/>
  <c r="D2432" i="229"/>
  <c r="D2464" i="229"/>
  <c r="D2497" i="229"/>
  <c r="D2529" i="229"/>
  <c r="D2562" i="229"/>
  <c r="D2594" i="229"/>
  <c r="J2663" i="229"/>
  <c r="J2695" i="229"/>
  <c r="J2728" i="229"/>
  <c r="J2760" i="229"/>
  <c r="J2793" i="229"/>
  <c r="J2825" i="229"/>
  <c r="J2840" i="229"/>
  <c r="J2858" i="229"/>
  <c r="J2890" i="229"/>
  <c r="J2923" i="229"/>
  <c r="J2955" i="229"/>
  <c r="J2988" i="229"/>
  <c r="J3020" i="229"/>
  <c r="J3053" i="229"/>
  <c r="J3085" i="229"/>
  <c r="J2497" i="229"/>
  <c r="J2529" i="229"/>
  <c r="J2562" i="229"/>
  <c r="D2578" i="229"/>
  <c r="J2594" i="229"/>
  <c r="D2679" i="229"/>
  <c r="D2694" i="229"/>
  <c r="D2711" i="229"/>
  <c r="D2744" i="229"/>
  <c r="D2776" i="229"/>
  <c r="D2809" i="229"/>
  <c r="D2841" i="229"/>
  <c r="D2874" i="229"/>
  <c r="D2906" i="229"/>
  <c r="D2939" i="229"/>
  <c r="D2971" i="229"/>
  <c r="D3004" i="229"/>
  <c r="D3036" i="229"/>
  <c r="D3069" i="229"/>
  <c r="D3101" i="229"/>
  <c r="D3134" i="229"/>
  <c r="D3166" i="229"/>
  <c r="J3199" i="229"/>
  <c r="D3248" i="229"/>
  <c r="D3280" i="229"/>
  <c r="D3296" i="229"/>
  <c r="J3313" i="229"/>
  <c r="J3347" i="229"/>
  <c r="J3369" i="229"/>
  <c r="J3382" i="229"/>
  <c r="J3416" i="229"/>
  <c r="J3451" i="229"/>
  <c r="J3485" i="229"/>
  <c r="J3520" i="229"/>
  <c r="J3540" i="229"/>
  <c r="J3554" i="229"/>
  <c r="J3588" i="229"/>
  <c r="J3622" i="229"/>
  <c r="J3655" i="229"/>
  <c r="J3688" i="229"/>
  <c r="J3705" i="229"/>
  <c r="H82" i="283"/>
  <c r="H81" i="283" s="1"/>
  <c r="G81" i="283"/>
  <c r="D3215" i="229"/>
  <c r="D3231" i="229"/>
  <c r="J3248" i="229"/>
  <c r="J3280" i="229"/>
  <c r="D3330" i="229"/>
  <c r="D3364" i="229"/>
  <c r="D3385" i="229"/>
  <c r="D3399" i="229"/>
  <c r="D3401" i="229"/>
  <c r="D3433" i="229"/>
  <c r="D3435" i="229"/>
  <c r="D3468" i="229"/>
  <c r="D3470" i="229"/>
  <c r="D3502" i="229"/>
  <c r="D3504" i="229"/>
  <c r="D3519" i="229"/>
  <c r="D3537" i="229"/>
  <c r="D3539" i="229"/>
  <c r="D3571" i="229"/>
  <c r="D3573" i="229"/>
  <c r="D3605" i="229"/>
  <c r="D3607" i="229"/>
  <c r="D3639" i="229"/>
  <c r="D3641" i="229"/>
  <c r="D3654" i="229"/>
  <c r="D3658" i="229"/>
  <c r="D3671" i="229"/>
  <c r="J3118" i="229"/>
  <c r="J3150" i="229"/>
  <c r="J3183" i="229"/>
  <c r="J3198" i="229"/>
  <c r="J3215" i="229"/>
  <c r="D3264" i="229"/>
  <c r="J3330" i="229"/>
  <c r="J3364" i="229"/>
  <c r="J3385" i="229"/>
  <c r="J3399" i="229"/>
  <c r="J3433" i="229"/>
  <c r="J3468" i="229"/>
  <c r="J3502" i="229"/>
  <c r="J3523" i="229"/>
  <c r="J3537" i="229"/>
  <c r="J3553" i="229"/>
  <c r="J3571" i="229"/>
  <c r="J3605" i="229"/>
  <c r="J3639" i="229"/>
  <c r="J3658" i="229"/>
  <c r="J3671" i="229"/>
  <c r="D3199" i="229"/>
  <c r="D3218" i="229"/>
  <c r="J3264" i="229"/>
  <c r="D3313" i="229"/>
  <c r="D3347" i="229"/>
  <c r="D3382" i="229"/>
  <c r="D3416" i="229"/>
  <c r="D3436" i="229"/>
  <c r="D3451" i="229"/>
  <c r="D3485" i="229"/>
  <c r="D3520" i="229"/>
  <c r="D3554" i="229"/>
  <c r="D3574" i="229"/>
  <c r="D3588" i="229"/>
  <c r="D3622" i="229"/>
  <c r="D3655" i="229"/>
  <c r="D3688" i="229"/>
  <c r="D3705" i="229"/>
  <c r="D3708" i="229"/>
  <c r="E30" i="235"/>
  <c r="D3738" i="229"/>
  <c r="D3771" i="229"/>
  <c r="D3791" i="229"/>
  <c r="D3806" i="229"/>
  <c r="F18" i="283"/>
  <c r="G18" i="283" s="1"/>
  <c r="H18" i="283" s="1"/>
  <c r="F21" i="283"/>
  <c r="G21" i="283" s="1"/>
  <c r="H21" i="283" s="1"/>
  <c r="F40" i="283"/>
  <c r="F42" i="283"/>
  <c r="G42" i="283" s="1"/>
  <c r="H42" i="283" s="1"/>
  <c r="F44" i="283"/>
  <c r="G44" i="283" s="1"/>
  <c r="H44" i="283" s="1"/>
  <c r="F45" i="283"/>
  <c r="G45" i="283" s="1"/>
  <c r="H45" i="283" s="1"/>
  <c r="F46" i="283"/>
  <c r="G46" i="283" s="1"/>
  <c r="H46" i="283" s="1"/>
  <c r="F59" i="283"/>
  <c r="G59" i="283" s="1"/>
  <c r="H59" i="283" s="1"/>
  <c r="F19" i="235"/>
  <c r="G19" i="235" s="1"/>
  <c r="F22" i="235"/>
  <c r="G22" i="235" s="1"/>
  <c r="F24" i="235"/>
  <c r="G24" i="235" s="1"/>
  <c r="F28" i="235"/>
  <c r="F33" i="235"/>
  <c r="G33" i="235" s="1"/>
  <c r="F37" i="235"/>
  <c r="G37" i="235" s="1"/>
  <c r="F40" i="235"/>
  <c r="F46" i="235"/>
  <c r="G46" i="235" s="1"/>
  <c r="N12" i="76"/>
  <c r="J3726" i="229"/>
  <c r="J3738" i="229"/>
  <c r="J3758" i="229"/>
  <c r="J3771" i="229"/>
  <c r="J3791" i="229"/>
  <c r="J3806" i="229"/>
  <c r="D3837" i="229"/>
  <c r="D3841" i="229"/>
  <c r="F34" i="283"/>
  <c r="F36" i="283"/>
  <c r="F49" i="283"/>
  <c r="F60" i="283"/>
  <c r="G60" i="283" s="1"/>
  <c r="H60" i="283" s="1"/>
  <c r="F61" i="283"/>
  <c r="G61" i="283" s="1"/>
  <c r="H61" i="283" s="1"/>
  <c r="F62" i="283"/>
  <c r="G62" i="283" s="1"/>
  <c r="H62" i="283" s="1"/>
  <c r="F68" i="283"/>
  <c r="E36" i="235"/>
  <c r="D3721" i="229"/>
  <c r="D3741" i="229"/>
  <c r="D3755" i="229"/>
  <c r="D3788" i="229"/>
  <c r="D3822" i="229"/>
  <c r="D3838" i="229"/>
  <c r="F16" i="283"/>
  <c r="G16" i="283" s="1"/>
  <c r="F20" i="283"/>
  <c r="G20" i="283" s="1"/>
  <c r="H20" i="283" s="1"/>
  <c r="F38" i="283"/>
  <c r="F41" i="283"/>
  <c r="G41" i="283" s="1"/>
  <c r="H41" i="283" s="1"/>
  <c r="F43" i="283"/>
  <c r="G43" i="283" s="1"/>
  <c r="H43" i="283" s="1"/>
  <c r="F51" i="283"/>
  <c r="G51" i="283" s="1"/>
  <c r="H51" i="283" s="1"/>
  <c r="F53" i="283"/>
  <c r="G53" i="283" s="1"/>
  <c r="H53" i="283" s="1"/>
  <c r="F54" i="283"/>
  <c r="G54" i="283" s="1"/>
  <c r="H54" i="283" s="1"/>
  <c r="F55" i="283"/>
  <c r="G55" i="283" s="1"/>
  <c r="H55" i="283" s="1"/>
  <c r="F63" i="283"/>
  <c r="G63" i="283" s="1"/>
  <c r="H63" i="283" s="1"/>
  <c r="F66" i="283"/>
  <c r="G66" i="283" s="1"/>
  <c r="H66" i="283" s="1"/>
  <c r="F69" i="283"/>
  <c r="E16" i="235"/>
  <c r="F17" i="235"/>
  <c r="F23" i="235"/>
  <c r="G23" i="235" s="1"/>
  <c r="F26" i="235"/>
  <c r="F31" i="235"/>
  <c r="G31" i="235" s="1"/>
  <c r="G30" i="235" s="1"/>
  <c r="F34" i="235"/>
  <c r="F36" i="235"/>
  <c r="F38" i="235"/>
  <c r="G38" i="235" s="1"/>
  <c r="F44" i="235"/>
  <c r="G44" i="235" s="1"/>
  <c r="N13" i="76"/>
  <c r="O13" i="76" s="1"/>
  <c r="J3721" i="229"/>
  <c r="J3741" i="229"/>
  <c r="J3755" i="229"/>
  <c r="J3774" i="229"/>
  <c r="J3788" i="229"/>
  <c r="J3809" i="229"/>
  <c r="J3822" i="229"/>
  <c r="K105" i="5"/>
  <c r="E15" i="283"/>
  <c r="J16" i="283" s="1"/>
  <c r="J17" i="283" s="1"/>
  <c r="F19" i="283"/>
  <c r="G19" i="283" s="1"/>
  <c r="H19" i="283" s="1"/>
  <c r="F22" i="283"/>
  <c r="G22" i="283" s="1"/>
  <c r="H22" i="283" s="1"/>
  <c r="F23" i="283"/>
  <c r="G23" i="283" s="1"/>
  <c r="H23" i="283" s="1"/>
  <c r="F24" i="283"/>
  <c r="G24" i="283" s="1"/>
  <c r="H24" i="283" s="1"/>
  <c r="F25" i="283"/>
  <c r="G25" i="283" s="1"/>
  <c r="H25" i="283" s="1"/>
  <c r="F26" i="283"/>
  <c r="G26" i="283" s="1"/>
  <c r="H26" i="283" s="1"/>
  <c r="F27" i="283"/>
  <c r="G27" i="283" s="1"/>
  <c r="H27" i="283" s="1"/>
  <c r="F28" i="283"/>
  <c r="G28" i="283" s="1"/>
  <c r="H28" i="283" s="1"/>
  <c r="F29" i="283"/>
  <c r="G29" i="283" s="1"/>
  <c r="H29" i="283" s="1"/>
  <c r="F30" i="283"/>
  <c r="G30" i="283" s="1"/>
  <c r="H30" i="283" s="1"/>
  <c r="F31" i="283"/>
  <c r="G31" i="283" s="1"/>
  <c r="H31" i="283" s="1"/>
  <c r="F33" i="283"/>
  <c r="G33" i="283" s="1"/>
  <c r="F35" i="283"/>
  <c r="F39" i="283"/>
  <c r="F47" i="283"/>
  <c r="F50" i="283"/>
  <c r="G50" i="283" s="1"/>
  <c r="H50" i="283" s="1"/>
  <c r="F56" i="283"/>
  <c r="G56" i="283" s="1"/>
  <c r="H56" i="283" s="1"/>
  <c r="F57" i="283"/>
  <c r="G57" i="283" s="1"/>
  <c r="H57" i="283" s="1"/>
  <c r="F58" i="283"/>
  <c r="G58" i="283" s="1"/>
  <c r="H58" i="283" s="1"/>
  <c r="F64" i="283"/>
  <c r="G64" i="283" s="1"/>
  <c r="H64" i="283" s="1"/>
  <c r="F65" i="283"/>
  <c r="G65" i="283" s="1"/>
  <c r="H65" i="283" s="1"/>
  <c r="F71" i="283"/>
  <c r="G71" i="283" s="1"/>
  <c r="H71" i="283" s="1"/>
  <c r="F72" i="283"/>
  <c r="G72" i="283" s="1"/>
  <c r="H72" i="283" s="1"/>
  <c r="F73" i="283"/>
  <c r="G73" i="283" s="1"/>
  <c r="H73" i="283" s="1"/>
  <c r="F74" i="283"/>
  <c r="G74" i="283" s="1"/>
  <c r="H74" i="283" s="1"/>
  <c r="F16" i="235"/>
  <c r="F21" i="235"/>
  <c r="F27" i="235"/>
  <c r="AE463" i="115"/>
  <c r="AE464" i="115" s="1"/>
  <c r="G15" i="5"/>
  <c r="G19" i="5"/>
  <c r="G23" i="5"/>
  <c r="G27" i="5"/>
  <c r="G61" i="5"/>
  <c r="AA316" i="115"/>
  <c r="AP318" i="115" s="1"/>
  <c r="AB316" i="115"/>
  <c r="AQ318" i="115" s="1"/>
  <c r="N95" i="31"/>
  <c r="D21" i="317" s="1"/>
  <c r="F21" i="317" s="1"/>
  <c r="AP12" i="231"/>
  <c r="J230" i="229"/>
  <c r="AB313" i="115"/>
  <c r="AN89" i="249"/>
  <c r="Z147" i="115"/>
  <c r="Z154" i="115"/>
  <c r="Z178" i="115"/>
  <c r="AC67" i="262"/>
  <c r="AD67" i="262" s="1"/>
  <c r="AE67" i="262" s="1"/>
  <c r="AG67" i="262" s="1"/>
  <c r="AC71" i="262"/>
  <c r="AC76" i="262"/>
  <c r="AD76" i="262" s="1"/>
  <c r="AE76" i="262" s="1"/>
  <c r="AG76" i="262" s="1"/>
  <c r="AC77" i="262"/>
  <c r="AD77" i="262" s="1"/>
  <c r="AE77" i="262" s="1"/>
  <c r="AG77" i="262" s="1"/>
  <c r="AC94" i="261"/>
  <c r="AD94" i="261" s="1"/>
  <c r="AE94" i="261" s="1"/>
  <c r="AC99" i="261"/>
  <c r="Z123" i="115"/>
  <c r="Z186" i="115"/>
  <c r="Z389" i="115"/>
  <c r="W397" i="115"/>
  <c r="K15" i="262" s="1"/>
  <c r="AC37" i="265"/>
  <c r="AD37" i="265" s="1"/>
  <c r="AE37" i="265" s="1"/>
  <c r="AC41" i="265"/>
  <c r="AD41" i="265" s="1"/>
  <c r="AE41" i="265" s="1"/>
  <c r="AC45" i="265"/>
  <c r="AD45" i="265" s="1"/>
  <c r="AE45" i="265" s="1"/>
  <c r="M21" i="266"/>
  <c r="AC17" i="261"/>
  <c r="AD17" i="261" s="1"/>
  <c r="AE17" i="261" s="1"/>
  <c r="AC81" i="264"/>
  <c r="AG81" i="264" s="1"/>
  <c r="AC82" i="264"/>
  <c r="AG82" i="264" s="1"/>
  <c r="AC84" i="264"/>
  <c r="K55" i="261"/>
  <c r="N55" i="261" s="1"/>
  <c r="Z162" i="115"/>
  <c r="AN87" i="249"/>
  <c r="Z131" i="115"/>
  <c r="K32" i="261"/>
  <c r="N32" i="261" s="1"/>
  <c r="Z139" i="115"/>
  <c r="K87" i="261"/>
  <c r="N87" i="261" s="1"/>
  <c r="Z194" i="115"/>
  <c r="AN88" i="249"/>
  <c r="AC52" i="262"/>
  <c r="AD52" i="262" s="1"/>
  <c r="AE52" i="262" s="1"/>
  <c r="AG52" i="262" s="1"/>
  <c r="AC53" i="262"/>
  <c r="M2626" i="289"/>
  <c r="M2627" i="289"/>
  <c r="Z170" i="115"/>
  <c r="Z202" i="115"/>
  <c r="AC83" i="261"/>
  <c r="AD83" i="261" s="1"/>
  <c r="AE83" i="261" s="1"/>
  <c r="AC88" i="265"/>
  <c r="AD88" i="265" s="1"/>
  <c r="AE88" i="265" s="1"/>
  <c r="AC15" i="266"/>
  <c r="AD15" i="266" s="1"/>
  <c r="AE15" i="266" s="1"/>
  <c r="AC20" i="262"/>
  <c r="AD20" i="262" s="1"/>
  <c r="AE20" i="262" s="1"/>
  <c r="AG20" i="262" s="1"/>
  <c r="AC21" i="262"/>
  <c r="AD21" i="262" s="1"/>
  <c r="AE21" i="262" s="1"/>
  <c r="AG21" i="262" s="1"/>
  <c r="G36" i="283"/>
  <c r="H36" i="283" s="1"/>
  <c r="K28" i="261"/>
  <c r="N28" i="261" s="1"/>
  <c r="Z135" i="115"/>
  <c r="D326" i="288"/>
  <c r="J27" i="288"/>
  <c r="D43" i="288"/>
  <c r="D297" i="288"/>
  <c r="Z127" i="115"/>
  <c r="Z143" i="115"/>
  <c r="Z158" i="115"/>
  <c r="Z174" i="115"/>
  <c r="Z190" i="115"/>
  <c r="Z206" i="115"/>
  <c r="V209" i="115"/>
  <c r="AL209" i="115"/>
  <c r="T221" i="115"/>
  <c r="Z313" i="115"/>
  <c r="AN313" i="115"/>
  <c r="Z317" i="115"/>
  <c r="Z316" i="115" s="1"/>
  <c r="AM317" i="115"/>
  <c r="AM316" i="115" s="1"/>
  <c r="J27" i="229"/>
  <c r="Z151" i="115"/>
  <c r="Z166" i="115"/>
  <c r="Z182" i="115"/>
  <c r="Z198" i="115"/>
  <c r="Z310" i="115"/>
  <c r="AN310" i="115"/>
  <c r="Z387" i="115"/>
  <c r="O84" i="264"/>
  <c r="Z391" i="115"/>
  <c r="D43" i="229"/>
  <c r="D212" i="229"/>
  <c r="J277" i="229"/>
  <c r="AC26" i="261"/>
  <c r="AD26" i="261" s="1"/>
  <c r="AE26" i="261" s="1"/>
  <c r="AC30" i="261"/>
  <c r="AC34" i="261"/>
  <c r="AD34" i="261" s="1"/>
  <c r="AE34" i="261" s="1"/>
  <c r="AC38" i="261"/>
  <c r="AD38" i="261" s="1"/>
  <c r="AE38" i="261" s="1"/>
  <c r="AC42" i="261"/>
  <c r="AD42" i="261" s="1"/>
  <c r="AE42" i="261" s="1"/>
  <c r="AC46" i="261"/>
  <c r="AD46" i="261" s="1"/>
  <c r="AE46" i="261" s="1"/>
  <c r="AC50" i="261"/>
  <c r="AD50" i="261" s="1"/>
  <c r="AE50" i="261" s="1"/>
  <c r="AC54" i="261"/>
  <c r="AD54" i="261" s="1"/>
  <c r="AE54" i="261" s="1"/>
  <c r="AC58" i="261"/>
  <c r="AD58" i="261" s="1"/>
  <c r="AE58" i="261" s="1"/>
  <c r="AC74" i="261"/>
  <c r="AD74" i="261" s="1"/>
  <c r="AE74" i="261" s="1"/>
  <c r="AC77" i="261"/>
  <c r="AD77" i="261" s="1"/>
  <c r="AE77" i="261" s="1"/>
  <c r="L21" i="263"/>
  <c r="AC19" i="265"/>
  <c r="AD19" i="265" s="1"/>
  <c r="AE19" i="265" s="1"/>
  <c r="AC20" i="265"/>
  <c r="AD20" i="265" s="1"/>
  <c r="AE20" i="265" s="1"/>
  <c r="AC25" i="265"/>
  <c r="AD25" i="265" s="1"/>
  <c r="AE25" i="265" s="1"/>
  <c r="AC26" i="265"/>
  <c r="AD26" i="265" s="1"/>
  <c r="AE26" i="265" s="1"/>
  <c r="AC83" i="265"/>
  <c r="AD83" i="265" s="1"/>
  <c r="AE83" i="265" s="1"/>
  <c r="F85" i="264"/>
  <c r="AC19" i="264"/>
  <c r="AD19" i="264" s="1"/>
  <c r="AE19" i="264" s="1"/>
  <c r="AC21" i="264"/>
  <c r="AG21" i="264" s="1"/>
  <c r="AC23" i="264"/>
  <c r="AG23" i="264" s="1"/>
  <c r="AC25" i="264"/>
  <c r="AD25" i="264" s="1"/>
  <c r="AE25" i="264" s="1"/>
  <c r="AC36" i="264"/>
  <c r="AD36" i="264" s="1"/>
  <c r="AE36" i="264" s="1"/>
  <c r="AC62" i="264"/>
  <c r="AG62" i="264" s="1"/>
  <c r="AC76" i="264"/>
  <c r="AG76" i="264" s="1"/>
  <c r="AC77" i="264"/>
  <c r="AG77" i="264" s="1"/>
  <c r="AC18" i="262"/>
  <c r="AD18" i="262" s="1"/>
  <c r="AE18" i="262" s="1"/>
  <c r="AG18" i="262" s="1"/>
  <c r="AC43" i="262"/>
  <c r="AD43" i="262" s="1"/>
  <c r="AE43" i="262" s="1"/>
  <c r="AG43" i="262" s="1"/>
  <c r="AC50" i="262"/>
  <c r="AD50" i="262" s="1"/>
  <c r="AE50" i="262" s="1"/>
  <c r="AG50" i="262" s="1"/>
  <c r="AC60" i="262"/>
  <c r="AD60" i="262" s="1"/>
  <c r="AE60" i="262" s="1"/>
  <c r="AG60" i="262" s="1"/>
  <c r="AC61" i="262"/>
  <c r="AD61" i="262" s="1"/>
  <c r="AE61" i="262" s="1"/>
  <c r="AG61" i="262" s="1"/>
  <c r="AC21" i="261"/>
  <c r="AD21" i="261" s="1"/>
  <c r="AE21" i="261" s="1"/>
  <c r="AC86" i="261"/>
  <c r="AD86" i="261" s="1"/>
  <c r="AE86" i="261" s="1"/>
  <c r="AC91" i="261"/>
  <c r="AD91" i="261" s="1"/>
  <c r="AE91" i="261" s="1"/>
  <c r="M25" i="258"/>
  <c r="AC15" i="258"/>
  <c r="AD15" i="258" s="1"/>
  <c r="AE15" i="258" s="1"/>
  <c r="AC18" i="258"/>
  <c r="AD18" i="258" s="1"/>
  <c r="AE18" i="258" s="1"/>
  <c r="AC22" i="258"/>
  <c r="AD22" i="258" s="1"/>
  <c r="AE22" i="258" s="1"/>
  <c r="M21" i="263"/>
  <c r="AC15" i="263"/>
  <c r="AD15" i="263" s="1"/>
  <c r="AE15" i="263" s="1"/>
  <c r="AC29" i="265"/>
  <c r="AD29" i="265" s="1"/>
  <c r="AE29" i="265" s="1"/>
  <c r="AC30" i="265"/>
  <c r="AD30" i="265" s="1"/>
  <c r="AE30" i="265" s="1"/>
  <c r="AC39" i="265"/>
  <c r="AD39" i="265" s="1"/>
  <c r="AE39" i="265" s="1"/>
  <c r="AC43" i="265"/>
  <c r="AD43" i="265" s="1"/>
  <c r="AE43" i="265" s="1"/>
  <c r="AC53" i="265"/>
  <c r="AD53" i="265" s="1"/>
  <c r="AE53" i="265" s="1"/>
  <c r="AC57" i="265"/>
  <c r="AC65" i="265"/>
  <c r="AD65" i="265" s="1"/>
  <c r="AE65" i="265" s="1"/>
  <c r="AC69" i="265"/>
  <c r="AD69" i="265" s="1"/>
  <c r="AE69" i="265" s="1"/>
  <c r="AC73" i="265"/>
  <c r="AD73" i="265" s="1"/>
  <c r="AE73" i="265" s="1"/>
  <c r="AC77" i="265"/>
  <c r="AD77" i="265" s="1"/>
  <c r="AE77" i="265" s="1"/>
  <c r="AC80" i="265"/>
  <c r="AD80" i="265" s="1"/>
  <c r="AE80" i="265" s="1"/>
  <c r="AC94" i="265"/>
  <c r="AD94" i="265" s="1"/>
  <c r="AE94" i="265" s="1"/>
  <c r="AC96" i="265"/>
  <c r="AC33" i="264"/>
  <c r="AG33" i="264" s="1"/>
  <c r="AC43" i="264"/>
  <c r="AG43" i="264" s="1"/>
  <c r="AC56" i="264"/>
  <c r="AD56" i="264" s="1"/>
  <c r="AE56" i="264" s="1"/>
  <c r="AC58" i="264"/>
  <c r="AD58" i="264" s="1"/>
  <c r="AE58" i="264" s="1"/>
  <c r="AC72" i="264"/>
  <c r="AD72" i="264" s="1"/>
  <c r="AE72" i="264" s="1"/>
  <c r="AC74" i="264"/>
  <c r="AD74" i="264" s="1"/>
  <c r="AE74" i="264" s="1"/>
  <c r="AC36" i="262"/>
  <c r="AD36" i="262" s="1"/>
  <c r="AE36" i="262" s="1"/>
  <c r="AG36" i="262" s="1"/>
  <c r="AC37" i="262"/>
  <c r="AD37" i="262" s="1"/>
  <c r="AE37" i="262" s="1"/>
  <c r="AG37" i="262" s="1"/>
  <c r="AC58" i="262"/>
  <c r="AD58" i="262" s="1"/>
  <c r="AE58" i="262" s="1"/>
  <c r="AG58" i="262" s="1"/>
  <c r="AC19" i="261"/>
  <c r="AD19" i="261" s="1"/>
  <c r="AE19" i="261" s="1"/>
  <c r="AC47" i="265"/>
  <c r="AD47" i="265" s="1"/>
  <c r="AE47" i="265" s="1"/>
  <c r="AC91" i="265"/>
  <c r="AD91" i="265" s="1"/>
  <c r="AE91" i="265" s="1"/>
  <c r="AC50" i="264"/>
  <c r="AD50" i="264" s="1"/>
  <c r="AE50" i="264" s="1"/>
  <c r="AC66" i="264"/>
  <c r="AG66" i="264" s="1"/>
  <c r="AC18" i="266"/>
  <c r="AD18" i="266" s="1"/>
  <c r="AE18" i="266" s="1"/>
  <c r="AC19" i="266"/>
  <c r="AD19" i="266" s="1"/>
  <c r="AE19" i="266" s="1"/>
  <c r="AC27" i="262"/>
  <c r="AD27" i="262" s="1"/>
  <c r="AE27" i="262" s="1"/>
  <c r="AG27" i="262" s="1"/>
  <c r="AC34" i="262"/>
  <c r="AD34" i="262" s="1"/>
  <c r="AE34" i="262" s="1"/>
  <c r="AG34" i="262" s="1"/>
  <c r="E32" i="283"/>
  <c r="K26" i="261"/>
  <c r="N26" i="261" s="1"/>
  <c r="Z133" i="115"/>
  <c r="K42" i="261"/>
  <c r="N42" i="261" s="1"/>
  <c r="Z149" i="115"/>
  <c r="K57" i="261"/>
  <c r="N57" i="261" s="1"/>
  <c r="Z164" i="115"/>
  <c r="K73" i="261"/>
  <c r="N73" i="261" s="1"/>
  <c r="Z180" i="115"/>
  <c r="K89" i="261"/>
  <c r="N89" i="261" s="1"/>
  <c r="Z196" i="115"/>
  <c r="K14" i="265"/>
  <c r="AN230" i="115"/>
  <c r="AN229" i="115" s="1"/>
  <c r="Z230" i="115"/>
  <c r="Z229" i="115" s="1"/>
  <c r="K18" i="265"/>
  <c r="N18" i="265" s="1"/>
  <c r="AN234" i="115"/>
  <c r="Z234" i="115"/>
  <c r="K22" i="265"/>
  <c r="N22" i="265" s="1"/>
  <c r="AN238" i="115"/>
  <c r="Z238" i="115"/>
  <c r="K26" i="265"/>
  <c r="N26" i="265" s="1"/>
  <c r="AN242" i="115"/>
  <c r="Z242" i="115"/>
  <c r="K30" i="265"/>
  <c r="N30" i="265" s="1"/>
  <c r="AN246" i="115"/>
  <c r="Z246" i="115"/>
  <c r="K34" i="265"/>
  <c r="N34" i="265" s="1"/>
  <c r="AN250" i="115"/>
  <c r="Z250" i="115"/>
  <c r="K38" i="265"/>
  <c r="N38" i="265" s="1"/>
  <c r="AN254" i="115"/>
  <c r="Z254" i="115"/>
  <c r="K42" i="265"/>
  <c r="N42" i="265" s="1"/>
  <c r="AN258" i="115"/>
  <c r="Z258" i="115"/>
  <c r="K46" i="265"/>
  <c r="N46" i="265" s="1"/>
  <c r="AN262" i="115"/>
  <c r="Z262" i="115"/>
  <c r="D183" i="288"/>
  <c r="K30" i="261"/>
  <c r="N30" i="261" s="1"/>
  <c r="Z137" i="115"/>
  <c r="K45" i="261"/>
  <c r="N45" i="261" s="1"/>
  <c r="Z152" i="115"/>
  <c r="K61" i="261"/>
  <c r="N61" i="261" s="1"/>
  <c r="Z168" i="115"/>
  <c r="D92" i="288"/>
  <c r="J240" i="288"/>
  <c r="M2628" i="289"/>
  <c r="K18" i="261"/>
  <c r="N18" i="261" s="1"/>
  <c r="Z125" i="115"/>
  <c r="K34" i="261"/>
  <c r="N34" i="261" s="1"/>
  <c r="Z141" i="115"/>
  <c r="K49" i="261"/>
  <c r="N49" i="261" s="1"/>
  <c r="Z156" i="115"/>
  <c r="K65" i="261"/>
  <c r="N65" i="261" s="1"/>
  <c r="Z172" i="115"/>
  <c r="K81" i="261"/>
  <c r="N81" i="261" s="1"/>
  <c r="Z188" i="115"/>
  <c r="K97" i="261"/>
  <c r="N97" i="261" s="1"/>
  <c r="Z204" i="115"/>
  <c r="K16" i="265"/>
  <c r="N16" i="265" s="1"/>
  <c r="AN232" i="115"/>
  <c r="Z232" i="115"/>
  <c r="K20" i="265"/>
  <c r="N20" i="265" s="1"/>
  <c r="AN236" i="115"/>
  <c r="Z236" i="115"/>
  <c r="K24" i="265"/>
  <c r="N24" i="265" s="1"/>
  <c r="AN240" i="115"/>
  <c r="Z240" i="115"/>
  <c r="K28" i="265"/>
  <c r="N28" i="265" s="1"/>
  <c r="AN244" i="115"/>
  <c r="Z244" i="115"/>
  <c r="K32" i="265"/>
  <c r="N32" i="265" s="1"/>
  <c r="AN248" i="115"/>
  <c r="Z248" i="115"/>
  <c r="K36" i="265"/>
  <c r="N36" i="265" s="1"/>
  <c r="AN252" i="115"/>
  <c r="Z252" i="115"/>
  <c r="K40" i="265"/>
  <c r="N40" i="265" s="1"/>
  <c r="AN256" i="115"/>
  <c r="Z256" i="115"/>
  <c r="K44" i="265"/>
  <c r="N44" i="265" s="1"/>
  <c r="AN260" i="115"/>
  <c r="Z260" i="115"/>
  <c r="W57" i="115"/>
  <c r="Z58" i="115"/>
  <c r="Z57" i="115" s="1"/>
  <c r="K22" i="261"/>
  <c r="N22" i="261" s="1"/>
  <c r="Z129" i="115"/>
  <c r="K38" i="261"/>
  <c r="N38" i="261" s="1"/>
  <c r="Z145" i="115"/>
  <c r="K53" i="261"/>
  <c r="N53" i="261" s="1"/>
  <c r="Z160" i="115"/>
  <c r="K69" i="261"/>
  <c r="N69" i="261" s="1"/>
  <c r="Z176" i="115"/>
  <c r="P14" i="265"/>
  <c r="AL229" i="115"/>
  <c r="D375" i="229"/>
  <c r="Z264" i="115"/>
  <c r="AN264" i="115"/>
  <c r="Z266" i="115"/>
  <c r="AN266" i="115"/>
  <c r="Z268" i="115"/>
  <c r="AN268" i="115"/>
  <c r="Z270" i="115"/>
  <c r="AN270" i="115"/>
  <c r="Z272" i="115"/>
  <c r="AN272" i="115"/>
  <c r="Z274" i="115"/>
  <c r="AN274" i="115"/>
  <c r="Z276" i="115"/>
  <c r="AN276" i="115"/>
  <c r="Z278" i="115"/>
  <c r="AN278" i="115"/>
  <c r="Z280" i="115"/>
  <c r="AN280" i="115"/>
  <c r="Z282" i="115"/>
  <c r="AN282" i="115"/>
  <c r="Z284" i="115"/>
  <c r="AN284" i="115"/>
  <c r="Z286" i="115"/>
  <c r="AN286" i="115"/>
  <c r="Z288" i="115"/>
  <c r="AN288" i="115"/>
  <c r="Z290" i="115"/>
  <c r="AN290" i="115"/>
  <c r="Z292" i="115"/>
  <c r="AN292" i="115"/>
  <c r="Z294" i="115"/>
  <c r="AN294" i="115"/>
  <c r="Z296" i="115"/>
  <c r="AN296" i="115"/>
  <c r="Z298" i="115"/>
  <c r="AN298" i="115"/>
  <c r="Z300" i="115"/>
  <c r="AN300" i="115"/>
  <c r="Z302" i="115"/>
  <c r="AN302" i="115"/>
  <c r="Z304" i="115"/>
  <c r="AN304" i="115"/>
  <c r="Z306" i="115"/>
  <c r="AN306" i="115"/>
  <c r="Z308" i="115"/>
  <c r="AN308" i="115"/>
  <c r="D98" i="229"/>
  <c r="Z393" i="115"/>
  <c r="J21" i="229"/>
  <c r="D342" i="229"/>
  <c r="Z184" i="115"/>
  <c r="Z192" i="115"/>
  <c r="Z200" i="115"/>
  <c r="Z223" i="115"/>
  <c r="Z225" i="115"/>
  <c r="Z227" i="115"/>
  <c r="W396" i="115"/>
  <c r="AC23" i="261"/>
  <c r="AD23" i="261" s="1"/>
  <c r="AE23" i="261" s="1"/>
  <c r="AC27" i="261"/>
  <c r="AD27" i="261" s="1"/>
  <c r="AE27" i="261" s="1"/>
  <c r="AC31" i="261"/>
  <c r="AD31" i="261" s="1"/>
  <c r="AE31" i="261" s="1"/>
  <c r="AC35" i="261"/>
  <c r="AD35" i="261" s="1"/>
  <c r="AE35" i="261" s="1"/>
  <c r="AC39" i="261"/>
  <c r="AD39" i="261" s="1"/>
  <c r="AE39" i="261" s="1"/>
  <c r="AC43" i="261"/>
  <c r="AD43" i="261" s="1"/>
  <c r="AE43" i="261" s="1"/>
  <c r="AC47" i="261"/>
  <c r="AD47" i="261" s="1"/>
  <c r="AE47" i="261" s="1"/>
  <c r="AC51" i="261"/>
  <c r="AD51" i="261" s="1"/>
  <c r="AE51" i="261" s="1"/>
  <c r="AC55" i="261"/>
  <c r="AD55" i="261" s="1"/>
  <c r="AE55" i="261" s="1"/>
  <c r="AC59" i="261"/>
  <c r="AD59" i="261" s="1"/>
  <c r="AE59" i="261" s="1"/>
  <c r="AC63" i="261"/>
  <c r="AD63" i="261" s="1"/>
  <c r="AE63" i="261" s="1"/>
  <c r="AC64" i="261"/>
  <c r="AD64" i="261" s="1"/>
  <c r="AE64" i="261" s="1"/>
  <c r="AC67" i="261"/>
  <c r="AD67" i="261" s="1"/>
  <c r="AE67" i="261" s="1"/>
  <c r="AC68" i="261"/>
  <c r="AD68" i="261" s="1"/>
  <c r="AE68" i="261" s="1"/>
  <c r="AC71" i="261"/>
  <c r="AD71" i="261" s="1"/>
  <c r="AE71" i="261" s="1"/>
  <c r="AC72" i="261"/>
  <c r="AD72" i="261" s="1"/>
  <c r="AE72" i="261" s="1"/>
  <c r="AC75" i="261"/>
  <c r="AD75" i="261" s="1"/>
  <c r="AE75" i="261" s="1"/>
  <c r="AC78" i="261"/>
  <c r="AD78" i="261" s="1"/>
  <c r="AE78" i="261" s="1"/>
  <c r="AC81" i="261"/>
  <c r="AD81" i="261" s="1"/>
  <c r="AE81" i="261" s="1"/>
  <c r="AC84" i="261"/>
  <c r="AD84" i="261" s="1"/>
  <c r="AE84" i="261" s="1"/>
  <c r="AC89" i="261"/>
  <c r="AD89" i="261" s="1"/>
  <c r="AE89" i="261" s="1"/>
  <c r="AC92" i="261"/>
  <c r="AD92" i="261" s="1"/>
  <c r="AE92" i="261" s="1"/>
  <c r="AC97" i="261"/>
  <c r="AD97" i="261" s="1"/>
  <c r="AE97" i="261" s="1"/>
  <c r="AC100" i="261"/>
  <c r="AD100" i="261" s="1"/>
  <c r="AE100" i="261" s="1"/>
  <c r="F25" i="258"/>
  <c r="AC19" i="258"/>
  <c r="AD19" i="258" s="1"/>
  <c r="AE19" i="258" s="1"/>
  <c r="AC23" i="258"/>
  <c r="AD23" i="258" s="1"/>
  <c r="AE23" i="258" s="1"/>
  <c r="AC24" i="258"/>
  <c r="AD24" i="258" s="1"/>
  <c r="AE24" i="258" s="1"/>
  <c r="AJ21" i="263"/>
  <c r="AC18" i="263"/>
  <c r="AD18" i="263" s="1"/>
  <c r="AE18" i="263" s="1"/>
  <c r="AC19" i="263"/>
  <c r="AD19" i="263" s="1"/>
  <c r="AE19" i="263" s="1"/>
  <c r="AC15" i="265"/>
  <c r="AD15" i="265" s="1"/>
  <c r="AE15" i="265" s="1"/>
  <c r="AC17" i="265"/>
  <c r="AD17" i="265" s="1"/>
  <c r="AE17" i="265" s="1"/>
  <c r="AC18" i="265"/>
  <c r="AD18" i="265" s="1"/>
  <c r="AE18" i="265" s="1"/>
  <c r="J3798" i="229"/>
  <c r="AC18" i="261"/>
  <c r="AD18" i="261" s="1"/>
  <c r="AE18" i="261" s="1"/>
  <c r="AC20" i="261"/>
  <c r="AD20" i="261" s="1"/>
  <c r="AE20" i="261" s="1"/>
  <c r="AC24" i="261"/>
  <c r="AD24" i="261" s="1"/>
  <c r="AE24" i="261" s="1"/>
  <c r="AC28" i="261"/>
  <c r="AD28" i="261" s="1"/>
  <c r="AE28" i="261" s="1"/>
  <c r="AC32" i="261"/>
  <c r="AD32" i="261" s="1"/>
  <c r="AE32" i="261" s="1"/>
  <c r="AC36" i="261"/>
  <c r="AD36" i="261" s="1"/>
  <c r="AE36" i="261" s="1"/>
  <c r="AC40" i="261"/>
  <c r="AD40" i="261" s="1"/>
  <c r="AE40" i="261" s="1"/>
  <c r="AC44" i="261"/>
  <c r="AD44" i="261" s="1"/>
  <c r="AE44" i="261" s="1"/>
  <c r="AC48" i="261"/>
  <c r="AD48" i="261" s="1"/>
  <c r="AE48" i="261" s="1"/>
  <c r="AC52" i="261"/>
  <c r="AD52" i="261" s="1"/>
  <c r="AE52" i="261" s="1"/>
  <c r="AC56" i="261"/>
  <c r="AD56" i="261" s="1"/>
  <c r="AE56" i="261" s="1"/>
  <c r="AC60" i="261"/>
  <c r="AD60" i="261" s="1"/>
  <c r="AE60" i="261" s="1"/>
  <c r="AC82" i="261"/>
  <c r="AD82" i="261" s="1"/>
  <c r="AE82" i="261" s="1"/>
  <c r="AC87" i="261"/>
  <c r="AD87" i="261" s="1"/>
  <c r="AE87" i="261" s="1"/>
  <c r="AC90" i="261"/>
  <c r="AD90" i="261" s="1"/>
  <c r="AE90" i="261" s="1"/>
  <c r="AC95" i="261"/>
  <c r="AD95" i="261" s="1"/>
  <c r="AE95" i="261" s="1"/>
  <c r="AC98" i="261"/>
  <c r="AD98" i="261" s="1"/>
  <c r="AE98" i="261" s="1"/>
  <c r="G14" i="258"/>
  <c r="AC14" i="258"/>
  <c r="AC25" i="258" s="1"/>
  <c r="AC16" i="258"/>
  <c r="AD16" i="258" s="1"/>
  <c r="AE16" i="258" s="1"/>
  <c r="AC20" i="258"/>
  <c r="AD20" i="258" s="1"/>
  <c r="AE20" i="258" s="1"/>
  <c r="F21" i="263"/>
  <c r="AC16" i="263"/>
  <c r="AD16" i="263" s="1"/>
  <c r="AE16" i="263" s="1"/>
  <c r="AC25" i="261"/>
  <c r="AD25" i="261" s="1"/>
  <c r="AE25" i="261" s="1"/>
  <c r="AC29" i="261"/>
  <c r="AD29" i="261" s="1"/>
  <c r="AE29" i="261" s="1"/>
  <c r="AC33" i="261"/>
  <c r="AD33" i="261" s="1"/>
  <c r="AE33" i="261" s="1"/>
  <c r="AC37" i="261"/>
  <c r="AD37" i="261" s="1"/>
  <c r="AE37" i="261" s="1"/>
  <c r="AC41" i="261"/>
  <c r="AD41" i="261" s="1"/>
  <c r="AE41" i="261" s="1"/>
  <c r="AC45" i="261"/>
  <c r="AD45" i="261" s="1"/>
  <c r="AE45" i="261" s="1"/>
  <c r="AC49" i="261"/>
  <c r="AD49" i="261" s="1"/>
  <c r="AE49" i="261" s="1"/>
  <c r="AC53" i="261"/>
  <c r="AD53" i="261" s="1"/>
  <c r="AE53" i="261" s="1"/>
  <c r="AC57" i="261"/>
  <c r="AD57" i="261" s="1"/>
  <c r="AE57" i="261" s="1"/>
  <c r="AC61" i="261"/>
  <c r="AD61" i="261" s="1"/>
  <c r="AE61" i="261" s="1"/>
  <c r="AC62" i="261"/>
  <c r="AD62" i="261" s="1"/>
  <c r="AE62" i="261" s="1"/>
  <c r="AC65" i="261"/>
  <c r="AD65" i="261" s="1"/>
  <c r="AE65" i="261" s="1"/>
  <c r="AC66" i="261"/>
  <c r="AD66" i="261" s="1"/>
  <c r="AE66" i="261" s="1"/>
  <c r="AC69" i="261"/>
  <c r="AD69" i="261" s="1"/>
  <c r="AE69" i="261" s="1"/>
  <c r="AC70" i="261"/>
  <c r="AD70" i="261" s="1"/>
  <c r="AE70" i="261" s="1"/>
  <c r="AC73" i="261"/>
  <c r="AD73" i="261" s="1"/>
  <c r="AE73" i="261" s="1"/>
  <c r="AC76" i="261"/>
  <c r="AD76" i="261" s="1"/>
  <c r="AE76" i="261" s="1"/>
  <c r="AC79" i="261"/>
  <c r="AD79" i="261" s="1"/>
  <c r="AE79" i="261" s="1"/>
  <c r="AC80" i="261"/>
  <c r="AD80" i="261" s="1"/>
  <c r="AE80" i="261" s="1"/>
  <c r="AC85" i="261"/>
  <c r="AD85" i="261" s="1"/>
  <c r="AE85" i="261" s="1"/>
  <c r="AC88" i="261"/>
  <c r="AD88" i="261" s="1"/>
  <c r="AE88" i="261" s="1"/>
  <c r="AC93" i="261"/>
  <c r="AD93" i="261" s="1"/>
  <c r="AE93" i="261" s="1"/>
  <c r="AC96" i="261"/>
  <c r="AD96" i="261" s="1"/>
  <c r="AE96" i="261" s="1"/>
  <c r="L25" i="258"/>
  <c r="AC17" i="258"/>
  <c r="AD17" i="258" s="1"/>
  <c r="AE17" i="258" s="1"/>
  <c r="AC21" i="258"/>
  <c r="AD21" i="258" s="1"/>
  <c r="AE21" i="258" s="1"/>
  <c r="AC17" i="263"/>
  <c r="AD17" i="263" s="1"/>
  <c r="AE17" i="263" s="1"/>
  <c r="AC20" i="263"/>
  <c r="AD20" i="263" s="1"/>
  <c r="AE20" i="263" s="1"/>
  <c r="AJ99" i="265"/>
  <c r="AC21" i="265"/>
  <c r="AD21" i="265" s="1"/>
  <c r="AE21" i="265" s="1"/>
  <c r="AC22" i="265"/>
  <c r="AD22" i="265" s="1"/>
  <c r="AE22" i="265" s="1"/>
  <c r="AC27" i="265"/>
  <c r="AD27" i="265" s="1"/>
  <c r="AE27" i="265" s="1"/>
  <c r="AC28" i="265"/>
  <c r="AD28" i="265" s="1"/>
  <c r="AE28" i="265" s="1"/>
  <c r="AC50" i="265"/>
  <c r="AD50" i="265" s="1"/>
  <c r="AE50" i="265" s="1"/>
  <c r="AC54" i="265"/>
  <c r="AD54" i="265" s="1"/>
  <c r="AE54" i="265" s="1"/>
  <c r="AC58" i="265"/>
  <c r="AD58" i="265" s="1"/>
  <c r="AE58" i="265" s="1"/>
  <c r="AC62" i="265"/>
  <c r="AD62" i="265" s="1"/>
  <c r="AE62" i="265" s="1"/>
  <c r="AC66" i="265"/>
  <c r="AD66" i="265" s="1"/>
  <c r="AE66" i="265" s="1"/>
  <c r="AC70" i="265"/>
  <c r="AD70" i="265" s="1"/>
  <c r="AE70" i="265" s="1"/>
  <c r="AC74" i="265"/>
  <c r="AD74" i="265" s="1"/>
  <c r="AE74" i="265" s="1"/>
  <c r="AC78" i="265"/>
  <c r="AD78" i="265" s="1"/>
  <c r="AE78" i="265" s="1"/>
  <c r="AC81" i="265"/>
  <c r="AD81" i="265" s="1"/>
  <c r="AE81" i="265" s="1"/>
  <c r="AC86" i="265"/>
  <c r="AD86" i="265" s="1"/>
  <c r="AE86" i="265" s="1"/>
  <c r="AC89" i="265"/>
  <c r="AD89" i="265" s="1"/>
  <c r="AE89" i="265" s="1"/>
  <c r="AC92" i="265"/>
  <c r="AD92" i="265" s="1"/>
  <c r="AE92" i="265" s="1"/>
  <c r="Q97" i="265"/>
  <c r="AC15" i="264"/>
  <c r="AD15" i="264" s="1"/>
  <c r="AE15" i="264" s="1"/>
  <c r="AC29" i="264"/>
  <c r="AG29" i="264" s="1"/>
  <c r="AC30" i="264"/>
  <c r="AG30" i="264" s="1"/>
  <c r="AC39" i="264"/>
  <c r="AG39" i="264" s="1"/>
  <c r="AC40" i="264"/>
  <c r="AD40" i="264" s="1"/>
  <c r="AE40" i="264" s="1"/>
  <c r="AC42" i="264"/>
  <c r="AD42" i="264" s="1"/>
  <c r="AE42" i="264" s="1"/>
  <c r="AC49" i="264"/>
  <c r="AD49" i="264" s="1"/>
  <c r="AE49" i="264" s="1"/>
  <c r="AC53" i="264"/>
  <c r="AG53" i="264" s="1"/>
  <c r="AC65" i="264"/>
  <c r="AD65" i="264" s="1"/>
  <c r="AE65" i="264" s="1"/>
  <c r="AC69" i="264"/>
  <c r="AD69" i="264" s="1"/>
  <c r="AE69" i="264" s="1"/>
  <c r="AC71" i="264"/>
  <c r="AG71" i="264" s="1"/>
  <c r="AC75" i="264"/>
  <c r="AG75" i="264" s="1"/>
  <c r="AC78" i="264"/>
  <c r="AD78" i="264" s="1"/>
  <c r="AE78" i="264" s="1"/>
  <c r="AC79" i="264"/>
  <c r="AD79" i="264" s="1"/>
  <c r="AE79" i="264" s="1"/>
  <c r="AC22" i="262"/>
  <c r="AD22" i="262" s="1"/>
  <c r="AE22" i="262" s="1"/>
  <c r="AG22" i="262" s="1"/>
  <c r="AC24" i="262"/>
  <c r="AD24" i="262" s="1"/>
  <c r="AE24" i="262" s="1"/>
  <c r="AG24" i="262" s="1"/>
  <c r="AC25" i="262"/>
  <c r="AD25" i="262" s="1"/>
  <c r="AE25" i="262" s="1"/>
  <c r="AG25" i="262" s="1"/>
  <c r="AC31" i="262"/>
  <c r="AD31" i="262" s="1"/>
  <c r="AE31" i="262" s="1"/>
  <c r="AG31" i="262" s="1"/>
  <c r="AC38" i="262"/>
  <c r="AD38" i="262" s="1"/>
  <c r="AE38" i="262" s="1"/>
  <c r="AG38" i="262" s="1"/>
  <c r="AC40" i="262"/>
  <c r="AD40" i="262" s="1"/>
  <c r="AE40" i="262" s="1"/>
  <c r="AG40" i="262" s="1"/>
  <c r="AC41" i="262"/>
  <c r="AD41" i="262" s="1"/>
  <c r="AE41" i="262" s="1"/>
  <c r="AG41" i="262" s="1"/>
  <c r="AC47" i="262"/>
  <c r="AD47" i="262" s="1"/>
  <c r="AE47" i="262" s="1"/>
  <c r="AG47" i="262" s="1"/>
  <c r="AC54" i="262"/>
  <c r="AD54" i="262" s="1"/>
  <c r="AE54" i="262" s="1"/>
  <c r="AG54" i="262" s="1"/>
  <c r="AC56" i="262"/>
  <c r="AD56" i="262" s="1"/>
  <c r="AE56" i="262" s="1"/>
  <c r="AG56" i="262" s="1"/>
  <c r="AC57" i="262"/>
  <c r="AD57" i="262" s="1"/>
  <c r="AE57" i="262" s="1"/>
  <c r="AG57" i="262" s="1"/>
  <c r="AC63" i="262"/>
  <c r="AD63" i="262" s="1"/>
  <c r="AE63" i="262" s="1"/>
  <c r="AG63" i="262" s="1"/>
  <c r="AC69" i="262"/>
  <c r="AD69" i="262" s="1"/>
  <c r="AE69" i="262" s="1"/>
  <c r="AG69" i="262" s="1"/>
  <c r="AC74" i="262"/>
  <c r="AD74" i="262" s="1"/>
  <c r="AE74" i="262" s="1"/>
  <c r="AG74" i="262" s="1"/>
  <c r="AC33" i="265"/>
  <c r="AD33" i="265" s="1"/>
  <c r="AE33" i="265" s="1"/>
  <c r="AC35" i="265"/>
  <c r="AD35" i="265" s="1"/>
  <c r="AE35" i="265" s="1"/>
  <c r="AC36" i="265"/>
  <c r="AD36" i="265" s="1"/>
  <c r="AE36" i="265" s="1"/>
  <c r="AC38" i="265"/>
  <c r="AD38" i="265" s="1"/>
  <c r="AE38" i="265" s="1"/>
  <c r="AC40" i="265"/>
  <c r="AD40" i="265" s="1"/>
  <c r="AE40" i="265" s="1"/>
  <c r="AC42" i="265"/>
  <c r="AD42" i="265" s="1"/>
  <c r="AE42" i="265" s="1"/>
  <c r="AC44" i="265"/>
  <c r="AD44" i="265" s="1"/>
  <c r="AE44" i="265" s="1"/>
  <c r="AC48" i="265"/>
  <c r="AD48" i="265" s="1"/>
  <c r="AE48" i="265" s="1"/>
  <c r="AC51" i="265"/>
  <c r="AD51" i="265" s="1"/>
  <c r="AE51" i="265" s="1"/>
  <c r="AC55" i="265"/>
  <c r="AD55" i="265" s="1"/>
  <c r="AE55" i="265" s="1"/>
  <c r="AC59" i="265"/>
  <c r="AD59" i="265" s="1"/>
  <c r="AE59" i="265" s="1"/>
  <c r="AC63" i="265"/>
  <c r="AD63" i="265" s="1"/>
  <c r="AE63" i="265" s="1"/>
  <c r="AC67" i="265"/>
  <c r="AD67" i="265" s="1"/>
  <c r="AE67" i="265" s="1"/>
  <c r="AC71" i="265"/>
  <c r="AD71" i="265" s="1"/>
  <c r="AE71" i="265" s="1"/>
  <c r="AC75" i="265"/>
  <c r="AD75" i="265" s="1"/>
  <c r="AE75" i="265" s="1"/>
  <c r="AC79" i="265"/>
  <c r="AD79" i="265" s="1"/>
  <c r="AE79" i="265" s="1"/>
  <c r="AC84" i="265"/>
  <c r="AD84" i="265" s="1"/>
  <c r="AE84" i="265" s="1"/>
  <c r="AC87" i="265"/>
  <c r="AD87" i="265" s="1"/>
  <c r="AE87" i="265" s="1"/>
  <c r="AC90" i="265"/>
  <c r="AD90" i="265" s="1"/>
  <c r="AE90" i="265" s="1"/>
  <c r="AC95" i="265"/>
  <c r="AD95" i="265" s="1"/>
  <c r="AE95" i="265" s="1"/>
  <c r="M85" i="264"/>
  <c r="AC17" i="264"/>
  <c r="AG17" i="264" s="1"/>
  <c r="AC18" i="264"/>
  <c r="AD18" i="264" s="1"/>
  <c r="AE18" i="264" s="1"/>
  <c r="AC20" i="264"/>
  <c r="AD20" i="264" s="1"/>
  <c r="AE20" i="264" s="1"/>
  <c r="AC22" i="264"/>
  <c r="AG22" i="264" s="1"/>
  <c r="AC24" i="264"/>
  <c r="AD24" i="264" s="1"/>
  <c r="AE24" i="264" s="1"/>
  <c r="AC26" i="264"/>
  <c r="AG26" i="264" s="1"/>
  <c r="AC27" i="264"/>
  <c r="AD27" i="264" s="1"/>
  <c r="AE27" i="264" s="1"/>
  <c r="AC38" i="264"/>
  <c r="AG38" i="264" s="1"/>
  <c r="AC41" i="264"/>
  <c r="AD41" i="264" s="1"/>
  <c r="AE41" i="264" s="1"/>
  <c r="AC45" i="264"/>
  <c r="AD45" i="264" s="1"/>
  <c r="AE45" i="264" s="1"/>
  <c r="AC46" i="264"/>
  <c r="AG46" i="264" s="1"/>
  <c r="AC48" i="264"/>
  <c r="AD48" i="264" s="1"/>
  <c r="AE48" i="264" s="1"/>
  <c r="AC54" i="264"/>
  <c r="AD54" i="264" s="1"/>
  <c r="AE54" i="264" s="1"/>
  <c r="AC55" i="264"/>
  <c r="AD55" i="264" s="1"/>
  <c r="AE55" i="264" s="1"/>
  <c r="AC57" i="264"/>
  <c r="AG57" i="264" s="1"/>
  <c r="AC59" i="264"/>
  <c r="AG59" i="264" s="1"/>
  <c r="AC64" i="264"/>
  <c r="AD64" i="264" s="1"/>
  <c r="AE64" i="264" s="1"/>
  <c r="AC73" i="264"/>
  <c r="AD73" i="264" s="1"/>
  <c r="AE73" i="264" s="1"/>
  <c r="AC83" i="264"/>
  <c r="AD83" i="264" s="1"/>
  <c r="AE83" i="264" s="1"/>
  <c r="G21" i="266"/>
  <c r="AC20" i="266"/>
  <c r="AD20" i="266" s="1"/>
  <c r="AE20" i="266" s="1"/>
  <c r="G78" i="262"/>
  <c r="AC19" i="262"/>
  <c r="AD19" i="262" s="1"/>
  <c r="AE19" i="262" s="1"/>
  <c r="AG19" i="262" s="1"/>
  <c r="AC26" i="262"/>
  <c r="AD26" i="262" s="1"/>
  <c r="AE26" i="262" s="1"/>
  <c r="AG26" i="262" s="1"/>
  <c r="AC28" i="262"/>
  <c r="AD28" i="262" s="1"/>
  <c r="AE28" i="262" s="1"/>
  <c r="AG28" i="262" s="1"/>
  <c r="AC29" i="262"/>
  <c r="AD29" i="262" s="1"/>
  <c r="AE29" i="262" s="1"/>
  <c r="AG29" i="262" s="1"/>
  <c r="AC35" i="262"/>
  <c r="AD35" i="262" s="1"/>
  <c r="AE35" i="262" s="1"/>
  <c r="AG35" i="262" s="1"/>
  <c r="AC42" i="262"/>
  <c r="AD42" i="262" s="1"/>
  <c r="AE42" i="262" s="1"/>
  <c r="AG42" i="262" s="1"/>
  <c r="AC44" i="262"/>
  <c r="AD44" i="262" s="1"/>
  <c r="AE44" i="262" s="1"/>
  <c r="AG44" i="262" s="1"/>
  <c r="AC45" i="262"/>
  <c r="AD45" i="262" s="1"/>
  <c r="AE45" i="262" s="1"/>
  <c r="AG45" i="262" s="1"/>
  <c r="AC51" i="262"/>
  <c r="AD51" i="262" s="1"/>
  <c r="AE51" i="262" s="1"/>
  <c r="AG51" i="262" s="1"/>
  <c r="AC16" i="265"/>
  <c r="AD16" i="265" s="1"/>
  <c r="AE16" i="265" s="1"/>
  <c r="AC23" i="265"/>
  <c r="AD23" i="265" s="1"/>
  <c r="AE23" i="265" s="1"/>
  <c r="AC24" i="265"/>
  <c r="AD24" i="265" s="1"/>
  <c r="AE24" i="265" s="1"/>
  <c r="AC31" i="265"/>
  <c r="AD31" i="265" s="1"/>
  <c r="AE31" i="265" s="1"/>
  <c r="AC32" i="265"/>
  <c r="AD32" i="265" s="1"/>
  <c r="AE32" i="265" s="1"/>
  <c r="AC34" i="265"/>
  <c r="AD34" i="265" s="1"/>
  <c r="AE34" i="265" s="1"/>
  <c r="AC46" i="265"/>
  <c r="AD46" i="265" s="1"/>
  <c r="AE46" i="265" s="1"/>
  <c r="AC49" i="265"/>
  <c r="AD49" i="265" s="1"/>
  <c r="AE49" i="265" s="1"/>
  <c r="AC52" i="265"/>
  <c r="AD52" i="265" s="1"/>
  <c r="AE52" i="265" s="1"/>
  <c r="AC56" i="265"/>
  <c r="AD56" i="265" s="1"/>
  <c r="AE56" i="265" s="1"/>
  <c r="AC60" i="265"/>
  <c r="AD60" i="265" s="1"/>
  <c r="AE60" i="265" s="1"/>
  <c r="AC64" i="265"/>
  <c r="AD64" i="265" s="1"/>
  <c r="AE64" i="265" s="1"/>
  <c r="AC68" i="265"/>
  <c r="AD68" i="265" s="1"/>
  <c r="AE68" i="265" s="1"/>
  <c r="AC72" i="265"/>
  <c r="AD72" i="265" s="1"/>
  <c r="AE72" i="265" s="1"/>
  <c r="AC76" i="265"/>
  <c r="AD76" i="265" s="1"/>
  <c r="AE76" i="265" s="1"/>
  <c r="AC82" i="265"/>
  <c r="AD82" i="265" s="1"/>
  <c r="AE82" i="265" s="1"/>
  <c r="AC85" i="265"/>
  <c r="AD85" i="265" s="1"/>
  <c r="AE85" i="265" s="1"/>
  <c r="AC93" i="265"/>
  <c r="AD93" i="265" s="1"/>
  <c r="AE93" i="265" s="1"/>
  <c r="AC97" i="265"/>
  <c r="AD97" i="265" s="1"/>
  <c r="AE97" i="265" s="1"/>
  <c r="Q98" i="265"/>
  <c r="AC98" i="265"/>
  <c r="AD98" i="265" s="1"/>
  <c r="AE98" i="265" s="1"/>
  <c r="AC16" i="264"/>
  <c r="AG16" i="264" s="1"/>
  <c r="AC28" i="264"/>
  <c r="AG28" i="264" s="1"/>
  <c r="AC34" i="264"/>
  <c r="AG34" i="264" s="1"/>
  <c r="AC35" i="264"/>
  <c r="AD35" i="264" s="1"/>
  <c r="AE35" i="264" s="1"/>
  <c r="AC37" i="264"/>
  <c r="AD37" i="264" s="1"/>
  <c r="AE37" i="264" s="1"/>
  <c r="AC44" i="264"/>
  <c r="AG44" i="264" s="1"/>
  <c r="AC47" i="264"/>
  <c r="AG47" i="264" s="1"/>
  <c r="AC51" i="264"/>
  <c r="AG51" i="264" s="1"/>
  <c r="AC52" i="264"/>
  <c r="AD52" i="264" s="1"/>
  <c r="AE52" i="264" s="1"/>
  <c r="AC60" i="264"/>
  <c r="AG60" i="264" s="1"/>
  <c r="AC61" i="264"/>
  <c r="AD61" i="264" s="1"/>
  <c r="AE61" i="264" s="1"/>
  <c r="AC63" i="264"/>
  <c r="AG63" i="264" s="1"/>
  <c r="AC67" i="264"/>
  <c r="AG67" i="264" s="1"/>
  <c r="AC68" i="264"/>
  <c r="AD68" i="264" s="1"/>
  <c r="AE68" i="264" s="1"/>
  <c r="AC70" i="264"/>
  <c r="AD70" i="264" s="1"/>
  <c r="AE70" i="264" s="1"/>
  <c r="AC80" i="264"/>
  <c r="AG80" i="264" s="1"/>
  <c r="L21" i="266"/>
  <c r="AC14" i="262"/>
  <c r="AC16" i="262"/>
  <c r="AD16" i="262" s="1"/>
  <c r="AE16" i="262" s="1"/>
  <c r="AG16" i="262" s="1"/>
  <c r="AC23" i="262"/>
  <c r="AD23" i="262" s="1"/>
  <c r="AE23" i="262" s="1"/>
  <c r="AG23" i="262" s="1"/>
  <c r="AC30" i="262"/>
  <c r="AD30" i="262" s="1"/>
  <c r="AE30" i="262" s="1"/>
  <c r="AG30" i="262" s="1"/>
  <c r="AC32" i="262"/>
  <c r="AD32" i="262" s="1"/>
  <c r="AE32" i="262" s="1"/>
  <c r="AG32" i="262" s="1"/>
  <c r="AC33" i="262"/>
  <c r="AD33" i="262" s="1"/>
  <c r="AE33" i="262" s="1"/>
  <c r="AG33" i="262" s="1"/>
  <c r="AC39" i="262"/>
  <c r="AD39" i="262" s="1"/>
  <c r="AE39" i="262" s="1"/>
  <c r="AG39" i="262" s="1"/>
  <c r="AC46" i="262"/>
  <c r="AD46" i="262" s="1"/>
  <c r="AE46" i="262" s="1"/>
  <c r="AG46" i="262" s="1"/>
  <c r="AC48" i="262"/>
  <c r="AD48" i="262" s="1"/>
  <c r="AE48" i="262" s="1"/>
  <c r="AG48" i="262" s="1"/>
  <c r="AC49" i="262"/>
  <c r="AD49" i="262" s="1"/>
  <c r="AE49" i="262" s="1"/>
  <c r="AG49" i="262" s="1"/>
  <c r="AC55" i="262"/>
  <c r="AD55" i="262" s="1"/>
  <c r="AE55" i="262" s="1"/>
  <c r="AG55" i="262" s="1"/>
  <c r="AC62" i="262"/>
  <c r="AD62" i="262" s="1"/>
  <c r="AE62" i="262" s="1"/>
  <c r="AG62" i="262" s="1"/>
  <c r="AC64" i="262"/>
  <c r="AD64" i="262" s="1"/>
  <c r="AE64" i="262" s="1"/>
  <c r="AG64" i="262" s="1"/>
  <c r="AC65" i="262"/>
  <c r="AD65" i="262" s="1"/>
  <c r="AE65" i="262" s="1"/>
  <c r="AG65" i="262" s="1"/>
  <c r="AC70" i="262"/>
  <c r="AD70" i="262" s="1"/>
  <c r="AE70" i="262" s="1"/>
  <c r="AG70" i="262" s="1"/>
  <c r="AC72" i="262"/>
  <c r="AD72" i="262" s="1"/>
  <c r="AE72" i="262" s="1"/>
  <c r="AG72" i="262" s="1"/>
  <c r="AC73" i="262"/>
  <c r="AD73" i="262" s="1"/>
  <c r="AE73" i="262" s="1"/>
  <c r="AG73" i="262" s="1"/>
  <c r="AC75" i="262"/>
  <c r="AD75" i="262" s="1"/>
  <c r="AE75" i="262" s="1"/>
  <c r="AG75" i="262" s="1"/>
  <c r="AC59" i="262"/>
  <c r="AD59" i="262" s="1"/>
  <c r="AE59" i="262" s="1"/>
  <c r="AG59" i="262" s="1"/>
  <c r="AC66" i="262"/>
  <c r="AD66" i="262" s="1"/>
  <c r="AE66" i="262" s="1"/>
  <c r="AG66" i="262" s="1"/>
  <c r="AC68" i="262"/>
  <c r="AD68" i="262" s="1"/>
  <c r="AE68" i="262" s="1"/>
  <c r="AG68" i="262" s="1"/>
  <c r="L1582" i="288"/>
  <c r="L3280" i="288" s="1"/>
  <c r="L801" i="288"/>
  <c r="L3274" i="288" s="1"/>
  <c r="O3274" i="288" s="1"/>
  <c r="L1631" i="288"/>
  <c r="L3279" i="288" s="1"/>
  <c r="L2919" i="288"/>
  <c r="L3277" i="288" s="1"/>
  <c r="M2623" i="289"/>
  <c r="M2629" i="289" s="1"/>
  <c r="M2633" i="289" s="1"/>
  <c r="J2629" i="289"/>
  <c r="J2633" i="289" s="1"/>
  <c r="K17" i="261"/>
  <c r="N17" i="261" s="1"/>
  <c r="Z124" i="115"/>
  <c r="K25" i="261"/>
  <c r="N25" i="261" s="1"/>
  <c r="Z132" i="115"/>
  <c r="K33" i="261"/>
  <c r="N33" i="261" s="1"/>
  <c r="Z140" i="115"/>
  <c r="K41" i="261"/>
  <c r="N41" i="261" s="1"/>
  <c r="Z148" i="115"/>
  <c r="K46" i="261"/>
  <c r="N46" i="261" s="1"/>
  <c r="Z153" i="115"/>
  <c r="K54" i="261"/>
  <c r="N54" i="261" s="1"/>
  <c r="Z161" i="115"/>
  <c r="K62" i="261"/>
  <c r="N62" i="261" s="1"/>
  <c r="Z169" i="115"/>
  <c r="K70" i="261"/>
  <c r="N70" i="261" s="1"/>
  <c r="Z177" i="115"/>
  <c r="K78" i="261"/>
  <c r="N78" i="261" s="1"/>
  <c r="Z185" i="115"/>
  <c r="K86" i="261"/>
  <c r="N86" i="261" s="1"/>
  <c r="Z193" i="115"/>
  <c r="K94" i="261"/>
  <c r="N94" i="261" s="1"/>
  <c r="Z201" i="115"/>
  <c r="K14" i="263"/>
  <c r="Z222" i="115"/>
  <c r="Z221" i="115" s="1"/>
  <c r="K16" i="263"/>
  <c r="N16" i="263" s="1"/>
  <c r="Z224" i="115"/>
  <c r="K18" i="263"/>
  <c r="N18" i="263" s="1"/>
  <c r="Z226" i="115"/>
  <c r="K20" i="263"/>
  <c r="N20" i="263" s="1"/>
  <c r="Z228" i="115"/>
  <c r="AM318" i="115"/>
  <c r="K18" i="264"/>
  <c r="N18" i="264" s="1"/>
  <c r="Z321" i="115"/>
  <c r="K22" i="264"/>
  <c r="N22" i="264" s="1"/>
  <c r="Z325" i="115"/>
  <c r="K26" i="264"/>
  <c r="N26" i="264" s="1"/>
  <c r="Z329" i="115"/>
  <c r="K20" i="262"/>
  <c r="N20" i="262" s="1"/>
  <c r="Z402" i="115"/>
  <c r="K28" i="262"/>
  <c r="N28" i="262" s="1"/>
  <c r="Z410" i="115"/>
  <c r="K40" i="262"/>
  <c r="N40" i="262" s="1"/>
  <c r="Z422" i="115"/>
  <c r="K48" i="262"/>
  <c r="N48" i="262" s="1"/>
  <c r="Z430" i="115"/>
  <c r="K56" i="262"/>
  <c r="N56" i="262" s="1"/>
  <c r="Z438" i="115"/>
  <c r="W13" i="115"/>
  <c r="V11" i="115"/>
  <c r="V10" i="115" s="1"/>
  <c r="V461" i="115" s="1"/>
  <c r="V469" i="115" s="1"/>
  <c r="K19" i="261"/>
  <c r="N19" i="261" s="1"/>
  <c r="O19" i="261" s="1"/>
  <c r="Z126" i="115"/>
  <c r="K27" i="261"/>
  <c r="N27" i="261" s="1"/>
  <c r="O27" i="261" s="1"/>
  <c r="Z134" i="115"/>
  <c r="K35" i="261"/>
  <c r="N35" i="261" s="1"/>
  <c r="O35" i="261" s="1"/>
  <c r="Z142" i="115"/>
  <c r="K43" i="261"/>
  <c r="N43" i="261" s="1"/>
  <c r="O43" i="261" s="1"/>
  <c r="Z150" i="115"/>
  <c r="K48" i="261"/>
  <c r="N48" i="261" s="1"/>
  <c r="O48" i="261" s="1"/>
  <c r="Z155" i="115"/>
  <c r="K56" i="261"/>
  <c r="N56" i="261" s="1"/>
  <c r="O56" i="261" s="1"/>
  <c r="Z163" i="115"/>
  <c r="K64" i="261"/>
  <c r="N64" i="261" s="1"/>
  <c r="O64" i="261" s="1"/>
  <c r="Z171" i="115"/>
  <c r="K72" i="261"/>
  <c r="N72" i="261" s="1"/>
  <c r="O72" i="261" s="1"/>
  <c r="Z179" i="115"/>
  <c r="K80" i="261"/>
  <c r="N80" i="261" s="1"/>
  <c r="O80" i="261" s="1"/>
  <c r="Z187" i="115"/>
  <c r="K88" i="261"/>
  <c r="N88" i="261" s="1"/>
  <c r="O88" i="261" s="1"/>
  <c r="Z195" i="115"/>
  <c r="K96" i="261"/>
  <c r="N96" i="261" s="1"/>
  <c r="O96" i="261" s="1"/>
  <c r="Z203" i="115"/>
  <c r="K14" i="258"/>
  <c r="K25" i="258" s="1"/>
  <c r="W209" i="115"/>
  <c r="K15" i="265"/>
  <c r="N15" i="265" s="1"/>
  <c r="AN231" i="115"/>
  <c r="Z231" i="115"/>
  <c r="K17" i="265"/>
  <c r="N17" i="265" s="1"/>
  <c r="O17" i="265" s="1"/>
  <c r="AN233" i="115"/>
  <c r="Z233" i="115"/>
  <c r="K19" i="265"/>
  <c r="N19" i="265" s="1"/>
  <c r="O19" i="265" s="1"/>
  <c r="AN235" i="115"/>
  <c r="Z235" i="115"/>
  <c r="K21" i="265"/>
  <c r="N21" i="265" s="1"/>
  <c r="O21" i="265" s="1"/>
  <c r="AN237" i="115"/>
  <c r="Z237" i="115"/>
  <c r="K23" i="265"/>
  <c r="N23" i="265" s="1"/>
  <c r="O23" i="265" s="1"/>
  <c r="AN239" i="115"/>
  <c r="Z239" i="115"/>
  <c r="K25" i="265"/>
  <c r="N25" i="265" s="1"/>
  <c r="O25" i="265" s="1"/>
  <c r="AN241" i="115"/>
  <c r="Z241" i="115"/>
  <c r="K27" i="265"/>
  <c r="N27" i="265" s="1"/>
  <c r="O27" i="265" s="1"/>
  <c r="AN243" i="115"/>
  <c r="Z243" i="115"/>
  <c r="K29" i="265"/>
  <c r="N29" i="265" s="1"/>
  <c r="O29" i="265" s="1"/>
  <c r="AN245" i="115"/>
  <c r="Z245" i="115"/>
  <c r="K31" i="265"/>
  <c r="N31" i="265" s="1"/>
  <c r="O31" i="265" s="1"/>
  <c r="AN247" i="115"/>
  <c r="Z247" i="115"/>
  <c r="K33" i="265"/>
  <c r="N33" i="265" s="1"/>
  <c r="AN249" i="115"/>
  <c r="Z249" i="115"/>
  <c r="K35" i="265"/>
  <c r="N35" i="265" s="1"/>
  <c r="AN251" i="115"/>
  <c r="Z251" i="115"/>
  <c r="K37" i="265"/>
  <c r="N37" i="265" s="1"/>
  <c r="AN253" i="115"/>
  <c r="Z253" i="115"/>
  <c r="K39" i="265"/>
  <c r="N39" i="265" s="1"/>
  <c r="O39" i="265" s="1"/>
  <c r="AN255" i="115"/>
  <c r="Z255" i="115"/>
  <c r="K41" i="265"/>
  <c r="N41" i="265" s="1"/>
  <c r="O41" i="265" s="1"/>
  <c r="AN257" i="115"/>
  <c r="Z257" i="115"/>
  <c r="K43" i="265"/>
  <c r="N43" i="265" s="1"/>
  <c r="O43" i="265" s="1"/>
  <c r="AN259" i="115"/>
  <c r="Z259" i="115"/>
  <c r="K45" i="265"/>
  <c r="N45" i="265" s="1"/>
  <c r="O45" i="265" s="1"/>
  <c r="AN261" i="115"/>
  <c r="Z261" i="115"/>
  <c r="K47" i="265"/>
  <c r="N47" i="265" s="1"/>
  <c r="O47" i="265" s="1"/>
  <c r="AN263" i="115"/>
  <c r="Z263" i="115"/>
  <c r="K49" i="265"/>
  <c r="N49" i="265" s="1"/>
  <c r="AN265" i="115"/>
  <c r="Z265" i="115"/>
  <c r="K51" i="265"/>
  <c r="N51" i="265" s="1"/>
  <c r="AN267" i="115"/>
  <c r="Z267" i="115"/>
  <c r="K53" i="265"/>
  <c r="N53" i="265" s="1"/>
  <c r="O53" i="265" s="1"/>
  <c r="AN269" i="115"/>
  <c r="Z269" i="115"/>
  <c r="K55" i="265"/>
  <c r="N55" i="265" s="1"/>
  <c r="AN271" i="115"/>
  <c r="Z271" i="115"/>
  <c r="K57" i="265"/>
  <c r="N57" i="265" s="1"/>
  <c r="O57" i="265" s="1"/>
  <c r="AN273" i="115"/>
  <c r="Z273" i="115"/>
  <c r="K59" i="265"/>
  <c r="N59" i="265" s="1"/>
  <c r="O59" i="265" s="1"/>
  <c r="AN275" i="115"/>
  <c r="Z275" i="115"/>
  <c r="K61" i="265"/>
  <c r="N61" i="265" s="1"/>
  <c r="O61" i="265" s="1"/>
  <c r="AN277" i="115"/>
  <c r="Z277" i="115"/>
  <c r="K63" i="265"/>
  <c r="N63" i="265" s="1"/>
  <c r="O63" i="265" s="1"/>
  <c r="AN279" i="115"/>
  <c r="Z279" i="115"/>
  <c r="K65" i="265"/>
  <c r="N65" i="265" s="1"/>
  <c r="AN281" i="115"/>
  <c r="Z281" i="115"/>
  <c r="K67" i="265"/>
  <c r="N67" i="265" s="1"/>
  <c r="AN283" i="115"/>
  <c r="Z283" i="115"/>
  <c r="K69" i="265"/>
  <c r="N69" i="265" s="1"/>
  <c r="O69" i="265" s="1"/>
  <c r="AN285" i="115"/>
  <c r="Z285" i="115"/>
  <c r="K71" i="265"/>
  <c r="N71" i="265" s="1"/>
  <c r="O71" i="265" s="1"/>
  <c r="AN287" i="115"/>
  <c r="Z287" i="115"/>
  <c r="K73" i="265"/>
  <c r="N73" i="265" s="1"/>
  <c r="O73" i="265" s="1"/>
  <c r="AN289" i="115"/>
  <c r="Z289" i="115"/>
  <c r="K75" i="265"/>
  <c r="N75" i="265" s="1"/>
  <c r="O75" i="265" s="1"/>
  <c r="AN291" i="115"/>
  <c r="Z291" i="115"/>
  <c r="K77" i="265"/>
  <c r="N77" i="265" s="1"/>
  <c r="O77" i="265" s="1"/>
  <c r="AN293" i="115"/>
  <c r="Z293" i="115"/>
  <c r="K79" i="265"/>
  <c r="N79" i="265" s="1"/>
  <c r="O79" i="265" s="1"/>
  <c r="AN295" i="115"/>
  <c r="Z295" i="115"/>
  <c r="K81" i="265"/>
  <c r="N81" i="265" s="1"/>
  <c r="O81" i="265" s="1"/>
  <c r="AN297" i="115"/>
  <c r="Z297" i="115"/>
  <c r="K83" i="265"/>
  <c r="N83" i="265" s="1"/>
  <c r="O83" i="265" s="1"/>
  <c r="AN299" i="115"/>
  <c r="Z299" i="115"/>
  <c r="K85" i="265"/>
  <c r="N85" i="265" s="1"/>
  <c r="AN301" i="115"/>
  <c r="Z301" i="115"/>
  <c r="K87" i="265"/>
  <c r="N87" i="265" s="1"/>
  <c r="O87" i="265" s="1"/>
  <c r="AN303" i="115"/>
  <c r="Z303" i="115"/>
  <c r="K89" i="265"/>
  <c r="N89" i="265" s="1"/>
  <c r="O89" i="265" s="1"/>
  <c r="AN305" i="115"/>
  <c r="Z305" i="115"/>
  <c r="K91" i="265"/>
  <c r="N91" i="265" s="1"/>
  <c r="O91" i="265" s="1"/>
  <c r="AN307" i="115"/>
  <c r="Z307" i="115"/>
  <c r="K93" i="265"/>
  <c r="N93" i="265" s="1"/>
  <c r="AN309" i="115"/>
  <c r="Z309" i="115"/>
  <c r="K95" i="265"/>
  <c r="N95" i="265" s="1"/>
  <c r="O95" i="265" s="1"/>
  <c r="AN311" i="115"/>
  <c r="Z311" i="115"/>
  <c r="K96" i="265"/>
  <c r="N96" i="265" s="1"/>
  <c r="AN312" i="115"/>
  <c r="Z312" i="115"/>
  <c r="K18" i="262"/>
  <c r="N18" i="262" s="1"/>
  <c r="Z400" i="115"/>
  <c r="K26" i="262"/>
  <c r="N26" i="262" s="1"/>
  <c r="O26" i="262" s="1"/>
  <c r="Z408" i="115"/>
  <c r="K34" i="262"/>
  <c r="N34" i="262" s="1"/>
  <c r="O34" i="262" s="1"/>
  <c r="Z416" i="115"/>
  <c r="K38" i="262"/>
  <c r="N38" i="262" s="1"/>
  <c r="O38" i="262" s="1"/>
  <c r="Z420" i="115"/>
  <c r="K46" i="262"/>
  <c r="N46" i="262" s="1"/>
  <c r="O46" i="262" s="1"/>
  <c r="Z428" i="115"/>
  <c r="K54" i="262"/>
  <c r="N54" i="262" s="1"/>
  <c r="O54" i="262" s="1"/>
  <c r="Z436" i="115"/>
  <c r="L902" i="229"/>
  <c r="M2625" i="289"/>
  <c r="T57" i="115"/>
  <c r="P15" i="261"/>
  <c r="AL121" i="115"/>
  <c r="K21" i="261"/>
  <c r="N21" i="261" s="1"/>
  <c r="O21" i="261" s="1"/>
  <c r="Z128" i="115"/>
  <c r="K29" i="261"/>
  <c r="N29" i="261" s="1"/>
  <c r="O29" i="261" s="1"/>
  <c r="Z136" i="115"/>
  <c r="K37" i="261"/>
  <c r="N37" i="261" s="1"/>
  <c r="O37" i="261" s="1"/>
  <c r="Z144" i="115"/>
  <c r="K50" i="261"/>
  <c r="N50" i="261" s="1"/>
  <c r="O50" i="261" s="1"/>
  <c r="Z157" i="115"/>
  <c r="K58" i="261"/>
  <c r="N58" i="261" s="1"/>
  <c r="O58" i="261" s="1"/>
  <c r="Z165" i="115"/>
  <c r="K66" i="261"/>
  <c r="N66" i="261" s="1"/>
  <c r="O66" i="261" s="1"/>
  <c r="Z173" i="115"/>
  <c r="K74" i="261"/>
  <c r="N74" i="261" s="1"/>
  <c r="O74" i="261" s="1"/>
  <c r="Z181" i="115"/>
  <c r="K82" i="261"/>
  <c r="N82" i="261" s="1"/>
  <c r="O82" i="261" s="1"/>
  <c r="Z189" i="115"/>
  <c r="K90" i="261"/>
  <c r="N90" i="261" s="1"/>
  <c r="O90" i="261" s="1"/>
  <c r="Z197" i="115"/>
  <c r="K98" i="261"/>
  <c r="N98" i="261" s="1"/>
  <c r="O98" i="261" s="1"/>
  <c r="Z205" i="115"/>
  <c r="T209" i="115"/>
  <c r="Z210" i="115"/>
  <c r="Z209" i="115" s="1"/>
  <c r="K15" i="258"/>
  <c r="Z211" i="115"/>
  <c r="Z212" i="115"/>
  <c r="K17" i="258"/>
  <c r="Z213" i="115"/>
  <c r="Z214" i="115"/>
  <c r="K19" i="258"/>
  <c r="Z215" i="115"/>
  <c r="Z216" i="115"/>
  <c r="K21" i="258"/>
  <c r="Z217" i="115"/>
  <c r="Z218" i="115"/>
  <c r="K23" i="258"/>
  <c r="Z219" i="115"/>
  <c r="Z220" i="115"/>
  <c r="K16" i="264"/>
  <c r="N16" i="264" s="1"/>
  <c r="O16" i="264" s="1"/>
  <c r="Z319" i="115"/>
  <c r="K20" i="264"/>
  <c r="N20" i="264" s="1"/>
  <c r="O20" i="264" s="1"/>
  <c r="Z323" i="115"/>
  <c r="K24" i="264"/>
  <c r="N24" i="264" s="1"/>
  <c r="O24" i="264" s="1"/>
  <c r="Z327" i="115"/>
  <c r="K28" i="264"/>
  <c r="N28" i="264" s="1"/>
  <c r="Z331" i="115"/>
  <c r="K16" i="262"/>
  <c r="N16" i="262" s="1"/>
  <c r="O16" i="262" s="1"/>
  <c r="Z398" i="115"/>
  <c r="K24" i="262"/>
  <c r="N24" i="262" s="1"/>
  <c r="O24" i="262" s="1"/>
  <c r="Z406" i="115"/>
  <c r="K32" i="262"/>
  <c r="N32" i="262" s="1"/>
  <c r="O32" i="262" s="1"/>
  <c r="Z414" i="115"/>
  <c r="K36" i="262"/>
  <c r="N36" i="262" s="1"/>
  <c r="O36" i="262" s="1"/>
  <c r="Z418" i="115"/>
  <c r="K44" i="262"/>
  <c r="N44" i="262" s="1"/>
  <c r="O44" i="262" s="1"/>
  <c r="Z426" i="115"/>
  <c r="K52" i="262"/>
  <c r="N52" i="262" s="1"/>
  <c r="O52" i="262" s="1"/>
  <c r="Z434" i="115"/>
  <c r="M2624" i="289"/>
  <c r="K15" i="261"/>
  <c r="Z122" i="115"/>
  <c r="Z121" i="115" s="1"/>
  <c r="O17" i="261"/>
  <c r="K23" i="261"/>
  <c r="N23" i="261" s="1"/>
  <c r="Z130" i="115"/>
  <c r="O25" i="261"/>
  <c r="K31" i="261"/>
  <c r="N31" i="261" s="1"/>
  <c r="O31" i="261" s="1"/>
  <c r="Z138" i="115"/>
  <c r="O33" i="261"/>
  <c r="K39" i="261"/>
  <c r="N39" i="261" s="1"/>
  <c r="O39" i="261" s="1"/>
  <c r="Z146" i="115"/>
  <c r="O41" i="261"/>
  <c r="O46" i="261"/>
  <c r="K52" i="261"/>
  <c r="N52" i="261" s="1"/>
  <c r="O52" i="261" s="1"/>
  <c r="Z159" i="115"/>
  <c r="O54" i="261"/>
  <c r="K60" i="261"/>
  <c r="N60" i="261" s="1"/>
  <c r="O60" i="261" s="1"/>
  <c r="Z167" i="115"/>
  <c r="O62" i="261"/>
  <c r="K68" i="261"/>
  <c r="N68" i="261" s="1"/>
  <c r="O68" i="261" s="1"/>
  <c r="Z175" i="115"/>
  <c r="O70" i="261"/>
  <c r="K76" i="261"/>
  <c r="N76" i="261" s="1"/>
  <c r="O76" i="261" s="1"/>
  <c r="Z183" i="115"/>
  <c r="O78" i="261"/>
  <c r="K84" i="261"/>
  <c r="N84" i="261" s="1"/>
  <c r="O84" i="261" s="1"/>
  <c r="Z191" i="115"/>
  <c r="O86" i="261"/>
  <c r="K92" i="261"/>
  <c r="N92" i="261" s="1"/>
  <c r="O92" i="261" s="1"/>
  <c r="Z199" i="115"/>
  <c r="O94" i="261"/>
  <c r="K100" i="261"/>
  <c r="N100" i="261" s="1"/>
  <c r="O100" i="261" s="1"/>
  <c r="Z207" i="115"/>
  <c r="P14" i="263"/>
  <c r="AL221" i="115"/>
  <c r="O16" i="263"/>
  <c r="O18" i="263"/>
  <c r="O20" i="263"/>
  <c r="AO317" i="115"/>
  <c r="AO316" i="115" s="1"/>
  <c r="K15" i="264"/>
  <c r="N15" i="264" s="1"/>
  <c r="O15" i="264" s="1"/>
  <c r="Z318" i="115"/>
  <c r="K17" i="264"/>
  <c r="N17" i="264" s="1"/>
  <c r="O17" i="264" s="1"/>
  <c r="Z320" i="115"/>
  <c r="O22" i="264"/>
  <c r="O26" i="264"/>
  <c r="K22" i="262"/>
  <c r="N22" i="262" s="1"/>
  <c r="O22" i="262" s="1"/>
  <c r="Z404" i="115"/>
  <c r="K30" i="262"/>
  <c r="N30" i="262" s="1"/>
  <c r="O30" i="262" s="1"/>
  <c r="Z412" i="115"/>
  <c r="K42" i="262"/>
  <c r="N42" i="262" s="1"/>
  <c r="O42" i="262" s="1"/>
  <c r="Z424" i="115"/>
  <c r="K50" i="262"/>
  <c r="N50" i="262" s="1"/>
  <c r="O50" i="262" s="1"/>
  <c r="Z432" i="115"/>
  <c r="K58" i="262"/>
  <c r="N58" i="262" s="1"/>
  <c r="O58" i="262" s="1"/>
  <c r="Z440" i="115"/>
  <c r="O19" i="264"/>
  <c r="O21" i="264"/>
  <c r="O23" i="264"/>
  <c r="O25" i="264"/>
  <c r="O29" i="264"/>
  <c r="O33" i="264"/>
  <c r="O37" i="264"/>
  <c r="O39" i="264"/>
  <c r="O43" i="264"/>
  <c r="O45" i="264"/>
  <c r="O49" i="264"/>
  <c r="O51" i="264"/>
  <c r="O53" i="264"/>
  <c r="O57" i="264"/>
  <c r="O59" i="264"/>
  <c r="O63" i="264"/>
  <c r="O65" i="264"/>
  <c r="O67" i="264"/>
  <c r="O69" i="264"/>
  <c r="O73" i="264"/>
  <c r="O16" i="266"/>
  <c r="O20" i="266"/>
  <c r="K78" i="262"/>
  <c r="N15" i="262"/>
  <c r="N78" i="262" s="1"/>
  <c r="P78" i="262"/>
  <c r="Q15" i="262"/>
  <c r="O19" i="262"/>
  <c r="O23" i="262"/>
  <c r="O27" i="262"/>
  <c r="O31" i="262"/>
  <c r="O35" i="262"/>
  <c r="O37" i="262"/>
  <c r="O41" i="262"/>
  <c r="O45" i="262"/>
  <c r="O49" i="262"/>
  <c r="O53" i="262"/>
  <c r="O57" i="262"/>
  <c r="M1692" i="229"/>
  <c r="AN12" i="249"/>
  <c r="AN13" i="249"/>
  <c r="AN14" i="249"/>
  <c r="AN15" i="249"/>
  <c r="AN16" i="249"/>
  <c r="AN17" i="249"/>
  <c r="AN18" i="249"/>
  <c r="AN19" i="249"/>
  <c r="AN20" i="249"/>
  <c r="AN21" i="249"/>
  <c r="AN22" i="249"/>
  <c r="AN23" i="249"/>
  <c r="AN24" i="249"/>
  <c r="AN25" i="249"/>
  <c r="AN26" i="249"/>
  <c r="AN27" i="249"/>
  <c r="AN28" i="249"/>
  <c r="AN29" i="249"/>
  <c r="AN30" i="249"/>
  <c r="AN31" i="249"/>
  <c r="AN32" i="249"/>
  <c r="AN33" i="249"/>
  <c r="AN34" i="249"/>
  <c r="AN35" i="249"/>
  <c r="AN36" i="249"/>
  <c r="AN37" i="249"/>
  <c r="AN38" i="249"/>
  <c r="AN39" i="249"/>
  <c r="AN40" i="249"/>
  <c r="AN41" i="249"/>
  <c r="AN42" i="249"/>
  <c r="AN43" i="249"/>
  <c r="AN76" i="249"/>
  <c r="AN77" i="249"/>
  <c r="AN78" i="249"/>
  <c r="AN79" i="249"/>
  <c r="AN80" i="249"/>
  <c r="AN81" i="249"/>
  <c r="AN82" i="249"/>
  <c r="AN83" i="249"/>
  <c r="AN84" i="249"/>
  <c r="AN85" i="249"/>
  <c r="AN86" i="249"/>
  <c r="O16" i="261"/>
  <c r="O20" i="261"/>
  <c r="O24" i="261"/>
  <c r="O28" i="261"/>
  <c r="O32" i="261"/>
  <c r="O36" i="261"/>
  <c r="O40" i="261"/>
  <c r="O44" i="261"/>
  <c r="O47" i="261"/>
  <c r="O51" i="261"/>
  <c r="O55" i="261"/>
  <c r="O59" i="261"/>
  <c r="O63" i="261"/>
  <c r="O67" i="261"/>
  <c r="O71" i="261"/>
  <c r="O75" i="261"/>
  <c r="O79" i="261"/>
  <c r="O83" i="261"/>
  <c r="O87" i="261"/>
  <c r="O91" i="261"/>
  <c r="O95" i="261"/>
  <c r="O99" i="261"/>
  <c r="O17" i="263"/>
  <c r="O16" i="265"/>
  <c r="O20" i="265"/>
  <c r="O40" i="265"/>
  <c r="O44" i="265"/>
  <c r="O48" i="265"/>
  <c r="O52" i="265"/>
  <c r="O56" i="265"/>
  <c r="O60" i="265"/>
  <c r="O64" i="265"/>
  <c r="O68" i="265"/>
  <c r="O72" i="265"/>
  <c r="O80" i="265"/>
  <c r="O84" i="265"/>
  <c r="K85" i="264"/>
  <c r="N14" i="264"/>
  <c r="N85" i="264" s="1"/>
  <c r="AI16" i="264" s="1"/>
  <c r="P85" i="264"/>
  <c r="Q14" i="264"/>
  <c r="Z322" i="115"/>
  <c r="Z324" i="115"/>
  <c r="Z326" i="115"/>
  <c r="Z328" i="115"/>
  <c r="Z330" i="115"/>
  <c r="Z332" i="115"/>
  <c r="Z334" i="115"/>
  <c r="Z336" i="115"/>
  <c r="Z338" i="115"/>
  <c r="Z340" i="115"/>
  <c r="Z342" i="115"/>
  <c r="Z344" i="115"/>
  <c r="Z346" i="115"/>
  <c r="Z348" i="115"/>
  <c r="Z350" i="115"/>
  <c r="Z352" i="115"/>
  <c r="Z354" i="115"/>
  <c r="Z356" i="115"/>
  <c r="Z358" i="115"/>
  <c r="Z360" i="115"/>
  <c r="Z362" i="115"/>
  <c r="Z364" i="115"/>
  <c r="Z366" i="115"/>
  <c r="Z368" i="115"/>
  <c r="Z370" i="115"/>
  <c r="Z372" i="115"/>
  <c r="Z374" i="115"/>
  <c r="Z376" i="115"/>
  <c r="Z378" i="115"/>
  <c r="Z380" i="115"/>
  <c r="Z382" i="115"/>
  <c r="Z384" i="115"/>
  <c r="Z386" i="115"/>
  <c r="O83" i="264"/>
  <c r="Z390" i="115"/>
  <c r="O17" i="266"/>
  <c r="Z394" i="115"/>
  <c r="Z397" i="115"/>
  <c r="Z396" i="115" s="1"/>
  <c r="Z401" i="115"/>
  <c r="O20" i="262"/>
  <c r="Z405" i="115"/>
  <c r="Z409" i="115"/>
  <c r="O28" i="262"/>
  <c r="Z413" i="115"/>
  <c r="Z417" i="115"/>
  <c r="Z419" i="115"/>
  <c r="Z423" i="115"/>
  <c r="Z427" i="115"/>
  <c r="Z431" i="115"/>
  <c r="Z435" i="115"/>
  <c r="Z439" i="115"/>
  <c r="Z442" i="115"/>
  <c r="O60" i="262"/>
  <c r="Z444" i="115"/>
  <c r="O62" i="262"/>
  <c r="Z446" i="115"/>
  <c r="O64" i="262"/>
  <c r="Z448" i="115"/>
  <c r="O66" i="262"/>
  <c r="Z450" i="115"/>
  <c r="O68" i="262"/>
  <c r="Z452" i="115"/>
  <c r="O70" i="262"/>
  <c r="Z454" i="115"/>
  <c r="N72" i="262" s="1"/>
  <c r="O72" i="262" s="1"/>
  <c r="Z456" i="115"/>
  <c r="N74" i="262" s="1"/>
  <c r="O74" i="262" s="1"/>
  <c r="Z458" i="115"/>
  <c r="O76" i="262"/>
  <c r="D92" i="229"/>
  <c r="D206" i="229"/>
  <c r="D336" i="229"/>
  <c r="L1793" i="229"/>
  <c r="L3709" i="229" s="1"/>
  <c r="O30" i="264"/>
  <c r="O32" i="264"/>
  <c r="O34" i="264"/>
  <c r="O38" i="264"/>
  <c r="O42" i="264"/>
  <c r="O44" i="264"/>
  <c r="O48" i="264"/>
  <c r="O50" i="264"/>
  <c r="O56" i="264"/>
  <c r="O58" i="264"/>
  <c r="O64" i="264"/>
  <c r="O66" i="264"/>
  <c r="O70" i="264"/>
  <c r="O74" i="264"/>
  <c r="O76" i="264"/>
  <c r="O80" i="264"/>
  <c r="K21" i="266"/>
  <c r="AH16" i="266" s="1"/>
  <c r="N14" i="266"/>
  <c r="N21" i="266" s="1"/>
  <c r="P21" i="266"/>
  <c r="Q14" i="266"/>
  <c r="O18" i="266"/>
  <c r="O17" i="262"/>
  <c r="O21" i="262"/>
  <c r="O25" i="262"/>
  <c r="O29" i="262"/>
  <c r="O33" i="262"/>
  <c r="O39" i="262"/>
  <c r="O43" i="262"/>
  <c r="O47" i="262"/>
  <c r="O51" i="262"/>
  <c r="O55" i="262"/>
  <c r="L1848" i="229"/>
  <c r="O18" i="261"/>
  <c r="O22" i="261"/>
  <c r="O26" i="261"/>
  <c r="O30" i="261"/>
  <c r="O34" i="261"/>
  <c r="O38" i="261"/>
  <c r="O42" i="261"/>
  <c r="O45" i="261"/>
  <c r="O49" i="261"/>
  <c r="O53" i="261"/>
  <c r="O57" i="261"/>
  <c r="O61" i="261"/>
  <c r="O65" i="261"/>
  <c r="O69" i="261"/>
  <c r="O73" i="261"/>
  <c r="O77" i="261"/>
  <c r="O81" i="261"/>
  <c r="O85" i="261"/>
  <c r="O89" i="261"/>
  <c r="O93" i="261"/>
  <c r="O97" i="261"/>
  <c r="P25" i="258"/>
  <c r="Q14" i="258"/>
  <c r="Q25" i="258" s="1"/>
  <c r="O15" i="263"/>
  <c r="O19" i="263"/>
  <c r="K99" i="265"/>
  <c r="N14" i="265"/>
  <c r="N99" i="265" s="1"/>
  <c r="P99" i="265"/>
  <c r="Q14" i="265"/>
  <c r="Q99" i="265" s="1"/>
  <c r="O22" i="265"/>
  <c r="O42" i="265"/>
  <c r="O46" i="265"/>
  <c r="O50" i="265"/>
  <c r="O54" i="265"/>
  <c r="O58" i="265"/>
  <c r="O66" i="265"/>
  <c r="O82" i="265"/>
  <c r="O90" i="265"/>
  <c r="O94" i="265"/>
  <c r="Z333" i="115"/>
  <c r="Z335" i="115"/>
  <c r="Z337" i="115"/>
  <c r="Z339" i="115"/>
  <c r="Z341" i="115"/>
  <c r="Z343" i="115"/>
  <c r="Z345" i="115"/>
  <c r="Z347" i="115"/>
  <c r="Z349" i="115"/>
  <c r="Z351" i="115"/>
  <c r="Z353" i="115"/>
  <c r="Z355" i="115"/>
  <c r="Z357" i="115"/>
  <c r="Z359" i="115"/>
  <c r="Z361" i="115"/>
  <c r="Z363" i="115"/>
  <c r="Z365" i="115"/>
  <c r="Z367" i="115"/>
  <c r="Z369" i="115"/>
  <c r="Z371" i="115"/>
  <c r="Z373" i="115"/>
  <c r="Z375" i="115"/>
  <c r="Z377" i="115"/>
  <c r="Z379" i="115"/>
  <c r="Z381" i="115"/>
  <c r="Z383" i="115"/>
  <c r="Z385" i="115"/>
  <c r="Z388" i="115"/>
  <c r="O15" i="266"/>
  <c r="Z392" i="115"/>
  <c r="O19" i="266"/>
  <c r="Z399" i="115"/>
  <c r="O18" i="262"/>
  <c r="Z403" i="115"/>
  <c r="Z407" i="115"/>
  <c r="Z411" i="115"/>
  <c r="Z415" i="115"/>
  <c r="Z421" i="115"/>
  <c r="O40" i="262"/>
  <c r="Z425" i="115"/>
  <c r="Z429" i="115"/>
  <c r="O48" i="262"/>
  <c r="Z433" i="115"/>
  <c r="Z437" i="115"/>
  <c r="O56" i="262"/>
  <c r="Z441" i="115"/>
  <c r="O59" i="262"/>
  <c r="Z443" i="115"/>
  <c r="O61" i="262"/>
  <c r="Z445" i="115"/>
  <c r="O63" i="262"/>
  <c r="Z447" i="115"/>
  <c r="O65" i="262"/>
  <c r="Z449" i="115"/>
  <c r="O67" i="262"/>
  <c r="Z451" i="115"/>
  <c r="O69" i="262"/>
  <c r="Z453" i="115"/>
  <c r="O71" i="262"/>
  <c r="Z455" i="115"/>
  <c r="N73" i="262" s="1"/>
  <c r="O73" i="262" s="1"/>
  <c r="Z457" i="115"/>
  <c r="N75" i="262" s="1"/>
  <c r="O75" i="262" s="1"/>
  <c r="Z459" i="115"/>
  <c r="O77" i="262"/>
  <c r="D37" i="229"/>
  <c r="J271" i="229"/>
  <c r="D369" i="229"/>
  <c r="L3301" i="229"/>
  <c r="L3706" i="229" s="1"/>
  <c r="AC15" i="261"/>
  <c r="I896" i="288"/>
  <c r="AC16" i="261"/>
  <c r="AD16" i="261" s="1"/>
  <c r="AE16" i="261" s="1"/>
  <c r="AC22" i="261"/>
  <c r="AD22" i="261" s="1"/>
  <c r="AE22" i="261" s="1"/>
  <c r="AD30" i="261"/>
  <c r="AE30" i="261" s="1"/>
  <c r="L101" i="261"/>
  <c r="O24" i="265"/>
  <c r="O32" i="265"/>
  <c r="O34" i="265"/>
  <c r="O49" i="265"/>
  <c r="F101" i="261"/>
  <c r="M101" i="261"/>
  <c r="G25" i="258"/>
  <c r="O30" i="265"/>
  <c r="O37" i="265"/>
  <c r="G15" i="261"/>
  <c r="G101" i="261" s="1"/>
  <c r="O15" i="265"/>
  <c r="O28" i="265"/>
  <c r="O33" i="265"/>
  <c r="O35" i="265"/>
  <c r="O51" i="265"/>
  <c r="AD99" i="261"/>
  <c r="AE99" i="261" s="1"/>
  <c r="N24" i="258"/>
  <c r="O18" i="265"/>
  <c r="O26" i="265"/>
  <c r="O36" i="265"/>
  <c r="O38" i="265"/>
  <c r="O55" i="265"/>
  <c r="AD57" i="265"/>
  <c r="AE57" i="265" s="1"/>
  <c r="G14" i="263"/>
  <c r="G21" i="263" s="1"/>
  <c r="AC14" i="265"/>
  <c r="S25" i="258"/>
  <c r="AC14" i="263"/>
  <c r="L99" i="265"/>
  <c r="O65" i="265"/>
  <c r="O96" i="265"/>
  <c r="F99" i="265"/>
  <c r="M99" i="265"/>
  <c r="O97" i="265"/>
  <c r="G99" i="265"/>
  <c r="AC61" i="265"/>
  <c r="AD61" i="265" s="1"/>
  <c r="AE61" i="265" s="1"/>
  <c r="O67" i="265"/>
  <c r="O85" i="265"/>
  <c r="O92" i="265"/>
  <c r="O93" i="265"/>
  <c r="AC14" i="264"/>
  <c r="AC32" i="264"/>
  <c r="Q96" i="265"/>
  <c r="L85" i="264"/>
  <c r="AC31" i="264"/>
  <c r="G14" i="264"/>
  <c r="G85" i="264" s="1"/>
  <c r="AD43" i="264"/>
  <c r="AE43" i="264" s="1"/>
  <c r="AG50" i="264"/>
  <c r="AD84" i="264"/>
  <c r="AE84" i="264" s="1"/>
  <c r="AG84" i="264"/>
  <c r="AC16" i="266"/>
  <c r="AD16" i="266" s="1"/>
  <c r="AE16" i="266" s="1"/>
  <c r="R21" i="266"/>
  <c r="AC14" i="266"/>
  <c r="F21" i="266"/>
  <c r="AC17" i="266"/>
  <c r="AD17" i="266" s="1"/>
  <c r="AE17" i="266" s="1"/>
  <c r="AC17" i="262"/>
  <c r="AD17" i="262" s="1"/>
  <c r="AE17" i="262" s="1"/>
  <c r="AG17" i="262" s="1"/>
  <c r="R78" i="262"/>
  <c r="AI78" i="262" s="1"/>
  <c r="AC15" i="262"/>
  <c r="V78" i="262"/>
  <c r="V115" i="262"/>
  <c r="AD53" i="262"/>
  <c r="AE53" i="262" s="1"/>
  <c r="AG53" i="262" s="1"/>
  <c r="AD71" i="262"/>
  <c r="AE71" i="262" s="1"/>
  <c r="AG71" i="262" s="1"/>
  <c r="L78" i="262"/>
  <c r="F78" i="262"/>
  <c r="M78" i="262"/>
  <c r="D25" i="317"/>
  <c r="F25" i="317" s="1"/>
  <c r="G63" i="5"/>
  <c r="G64" i="5"/>
  <c r="G34" i="283"/>
  <c r="H34" i="283" s="1"/>
  <c r="G35" i="283"/>
  <c r="H35" i="283" s="1"/>
  <c r="E48" i="283"/>
  <c r="L48" i="283" s="1"/>
  <c r="G49" i="283"/>
  <c r="G52" i="283"/>
  <c r="H52" i="283" s="1"/>
  <c r="E20" i="235"/>
  <c r="G21" i="235"/>
  <c r="G20" i="235" s="1"/>
  <c r="AD23" i="264" l="1"/>
  <c r="AE23" i="264" s="1"/>
  <c r="E51" i="108"/>
  <c r="AY304" i="307"/>
  <c r="AJ39" i="108"/>
  <c r="AI10" i="307"/>
  <c r="AI445" i="307" s="1"/>
  <c r="AJ10" i="307"/>
  <c r="AJ445" i="307" s="1"/>
  <c r="AX304" i="307"/>
  <c r="AH219" i="307"/>
  <c r="AV219" i="307"/>
  <c r="M2573" i="289"/>
  <c r="M2578" i="289" s="1"/>
  <c r="M2622" i="289" s="1"/>
  <c r="M2632" i="289" s="1"/>
  <c r="M2634" i="289" s="1"/>
  <c r="J27" i="5"/>
  <c r="M27" i="5" s="1"/>
  <c r="P27" i="5" s="1"/>
  <c r="J63" i="5"/>
  <c r="M63" i="5" s="1"/>
  <c r="P63" i="5" s="1"/>
  <c r="J23" i="5"/>
  <c r="M23" i="5" s="1"/>
  <c r="P23" i="5" s="1"/>
  <c r="J19" i="5"/>
  <c r="M19" i="5" s="1"/>
  <c r="P19" i="5" s="1"/>
  <c r="J64" i="5"/>
  <c r="M64" i="5" s="1"/>
  <c r="P64" i="5" s="1"/>
  <c r="J61" i="5"/>
  <c r="M61" i="5" s="1"/>
  <c r="P61" i="5" s="1"/>
  <c r="J15" i="5"/>
  <c r="M15" i="5" s="1"/>
  <c r="P15" i="5" s="1"/>
  <c r="AK39" i="108"/>
  <c r="AW39" i="108" s="1"/>
  <c r="AE56" i="307"/>
  <c r="AE10" i="307" s="1"/>
  <c r="AH56" i="307"/>
  <c r="AH10" i="307" s="1"/>
  <c r="AH445" i="307" s="1"/>
  <c r="J3760" i="229"/>
  <c r="D3787" i="229"/>
  <c r="D3644" i="229"/>
  <c r="D3279" i="229"/>
  <c r="D3687" i="229"/>
  <c r="D3553" i="229"/>
  <c r="D3415" i="229"/>
  <c r="J3638" i="229"/>
  <c r="D2545" i="229"/>
  <c r="D3003" i="229"/>
  <c r="J2727" i="229"/>
  <c r="J2382" i="229"/>
  <c r="J2025" i="229"/>
  <c r="D2333" i="229"/>
  <c r="J3793" i="229"/>
  <c r="D3821" i="229"/>
  <c r="D3570" i="229"/>
  <c r="D3473" i="229"/>
  <c r="D3398" i="229"/>
  <c r="D3295" i="229"/>
  <c r="J3593" i="229"/>
  <c r="D3587" i="229"/>
  <c r="D3450" i="229"/>
  <c r="D3346" i="229"/>
  <c r="D2743" i="229"/>
  <c r="J3149" i="229"/>
  <c r="D2382" i="229"/>
  <c r="J2463" i="229"/>
  <c r="D2073" i="229"/>
  <c r="J1590" i="229"/>
  <c r="D3776" i="229"/>
  <c r="D3604" i="229"/>
  <c r="J3519" i="229"/>
  <c r="J3421" i="229"/>
  <c r="J3346" i="229"/>
  <c r="J3133" i="229"/>
  <c r="D3621" i="229"/>
  <c r="D3484" i="229"/>
  <c r="J3507" i="229"/>
  <c r="D3052" i="229"/>
  <c r="D2954" i="229"/>
  <c r="J3100" i="229"/>
  <c r="D2122" i="229"/>
  <c r="J2203" i="229"/>
  <c r="J1850" i="229"/>
  <c r="AD76" i="264"/>
  <c r="AE76" i="264" s="1"/>
  <c r="AG58" i="264"/>
  <c r="AD82" i="264"/>
  <c r="AE82" i="264" s="1"/>
  <c r="AG72" i="264"/>
  <c r="AG25" i="264"/>
  <c r="AD77" i="264"/>
  <c r="AE77" i="264" s="1"/>
  <c r="AK46" i="108"/>
  <c r="AW46" i="108" s="1"/>
  <c r="AJ11" i="108"/>
  <c r="AJ31" i="108"/>
  <c r="J12" i="30"/>
  <c r="AJ46" i="108"/>
  <c r="AJ51" i="108" s="1"/>
  <c r="AW44" i="108"/>
  <c r="AK31" i="108"/>
  <c r="AW31" i="108" s="1"/>
  <c r="AK11" i="108"/>
  <c r="I11" i="30"/>
  <c r="I13" i="30" s="1"/>
  <c r="K115" i="5" s="1"/>
  <c r="G13" i="30"/>
  <c r="H11" i="30"/>
  <c r="J3811" i="229"/>
  <c r="J3776" i="229"/>
  <c r="J3743" i="229"/>
  <c r="G17" i="235"/>
  <c r="D3811" i="229"/>
  <c r="D3770" i="229"/>
  <c r="D3737" i="229"/>
  <c r="J3827" i="229"/>
  <c r="J3720" i="229"/>
  <c r="D3726" i="229"/>
  <c r="D3710" i="229"/>
  <c r="D3676" i="229"/>
  <c r="D3638" i="229"/>
  <c r="D3507" i="229"/>
  <c r="D3467" i="229"/>
  <c r="D3432" i="229"/>
  <c r="D3335" i="229"/>
  <c r="J3279" i="229"/>
  <c r="D3214" i="229"/>
  <c r="J3660" i="229"/>
  <c r="J3627" i="229"/>
  <c r="J3587" i="229"/>
  <c r="J3456" i="229"/>
  <c r="J3415" i="229"/>
  <c r="J3381" i="229"/>
  <c r="D3381" i="229"/>
  <c r="J3263" i="229"/>
  <c r="J3676" i="229"/>
  <c r="J3542" i="229"/>
  <c r="J3501" i="229"/>
  <c r="J3363" i="229"/>
  <c r="D3117" i="229"/>
  <c r="D2759" i="229"/>
  <c r="J2905" i="229"/>
  <c r="D2610" i="229"/>
  <c r="D3068" i="229"/>
  <c r="D2808" i="229"/>
  <c r="J2528" i="229"/>
  <c r="J2792" i="229"/>
  <c r="D2496" i="229"/>
  <c r="J2447" i="229"/>
  <c r="J2090" i="229"/>
  <c r="J1801" i="229"/>
  <c r="D2187" i="229"/>
  <c r="D1927" i="229"/>
  <c r="D1736" i="229"/>
  <c r="J2268" i="229"/>
  <c r="J1943" i="229"/>
  <c r="D2398" i="229"/>
  <c r="D2138" i="229"/>
  <c r="D1850" i="229"/>
  <c r="J1736" i="229"/>
  <c r="J972" i="229"/>
  <c r="D1232" i="229"/>
  <c r="D3805" i="229"/>
  <c r="D3816" i="229" s="1"/>
  <c r="L3698" i="229" s="1"/>
  <c r="L3707" i="229" s="1"/>
  <c r="J3821" i="229"/>
  <c r="J3787" i="229"/>
  <c r="J3754" i="229"/>
  <c r="D3793" i="229"/>
  <c r="D3760" i="229"/>
  <c r="D3720" i="229"/>
  <c r="D3670" i="229"/>
  <c r="D3576" i="229"/>
  <c r="D3542" i="229"/>
  <c r="D3501" i="229"/>
  <c r="D3369" i="229"/>
  <c r="D3329" i="229"/>
  <c r="J3621" i="229"/>
  <c r="J3525" i="229"/>
  <c r="J3490" i="229"/>
  <c r="J3450" i="229"/>
  <c r="J3318" i="229"/>
  <c r="D3247" i="229"/>
  <c r="J3165" i="229"/>
  <c r="J3704" i="229"/>
  <c r="D3660" i="229"/>
  <c r="D3318" i="229"/>
  <c r="J3670" i="229"/>
  <c r="J3404" i="229"/>
  <c r="D3182" i="229"/>
  <c r="D2824" i="229"/>
  <c r="J2512" i="229"/>
  <c r="J2970" i="229"/>
  <c r="J2710" i="229"/>
  <c r="D2415" i="229"/>
  <c r="D3133" i="229"/>
  <c r="D2873" i="229"/>
  <c r="J2593" i="229"/>
  <c r="J3019" i="229"/>
  <c r="J2857" i="229"/>
  <c r="D2561" i="229"/>
  <c r="J2155" i="229"/>
  <c r="J1895" i="229"/>
  <c r="D2252" i="229"/>
  <c r="D1992" i="229"/>
  <c r="D1801" i="229"/>
  <c r="J2333" i="229"/>
  <c r="J2008" i="229"/>
  <c r="D2203" i="229"/>
  <c r="D1943" i="229"/>
  <c r="J1037" i="229"/>
  <c r="D1297" i="229"/>
  <c r="D875" i="229"/>
  <c r="D3843" i="229"/>
  <c r="J3805" i="229"/>
  <c r="J3770" i="229"/>
  <c r="J3737" i="229"/>
  <c r="D3743" i="229"/>
  <c r="D3827" i="229"/>
  <c r="D3754" i="229"/>
  <c r="J3693" i="229"/>
  <c r="D3610" i="229"/>
  <c r="D3536" i="229"/>
  <c r="D3438" i="229"/>
  <c r="D3404" i="229"/>
  <c r="D3363" i="229"/>
  <c r="J3247" i="229"/>
  <c r="J3687" i="229"/>
  <c r="J3654" i="229"/>
  <c r="J3559" i="229"/>
  <c r="J3484" i="229"/>
  <c r="J3387" i="229"/>
  <c r="J3352" i="229"/>
  <c r="J3312" i="229"/>
  <c r="D3693" i="229"/>
  <c r="D3627" i="229"/>
  <c r="D3593" i="229"/>
  <c r="D3559" i="229"/>
  <c r="D3525" i="229"/>
  <c r="D3490" i="229"/>
  <c r="D3456" i="229"/>
  <c r="D3421" i="229"/>
  <c r="D3387" i="229"/>
  <c r="D3352" i="229"/>
  <c r="D3312" i="229"/>
  <c r="J3467" i="229"/>
  <c r="J3329" i="229"/>
  <c r="D3263" i="229"/>
  <c r="D2889" i="229"/>
  <c r="J3035" i="229"/>
  <c r="J2775" i="229"/>
  <c r="D2480" i="229"/>
  <c r="D2938" i="229"/>
  <c r="D2678" i="229"/>
  <c r="D2577" i="229"/>
  <c r="J3084" i="229"/>
  <c r="J2922" i="229"/>
  <c r="J2662" i="229"/>
  <c r="J2317" i="229"/>
  <c r="J2220" i="229"/>
  <c r="J1960" i="229"/>
  <c r="D2317" i="229"/>
  <c r="D2057" i="229"/>
  <c r="J2398" i="229"/>
  <c r="J2138" i="229"/>
  <c r="J2073" i="229"/>
  <c r="J1785" i="229"/>
  <c r="D2268" i="229"/>
  <c r="D2008" i="229"/>
  <c r="AD96" i="265"/>
  <c r="AE96" i="265" s="1"/>
  <c r="J2925" i="229"/>
  <c r="J2271" i="229"/>
  <c r="D2385" i="229"/>
  <c r="D3773" i="229"/>
  <c r="D3740" i="229"/>
  <c r="D3707" i="229"/>
  <c r="D3006" i="229"/>
  <c r="D3185" i="229"/>
  <c r="D2369" i="229"/>
  <c r="D1837" i="229"/>
  <c r="J1577" i="229"/>
  <c r="D1300" i="229"/>
  <c r="J3757" i="229"/>
  <c r="D3840" i="229"/>
  <c r="D2665" i="229"/>
  <c r="D1820" i="229"/>
  <c r="J1057" i="229"/>
  <c r="D59" i="229"/>
  <c r="J761" i="229"/>
  <c r="D1281" i="229"/>
  <c r="D271" i="229"/>
  <c r="J336" i="229"/>
  <c r="J485" i="229"/>
  <c r="J550" i="229"/>
  <c r="J615" i="229"/>
  <c r="J680" i="229"/>
  <c r="J745" i="229"/>
  <c r="J810" i="229"/>
  <c r="J875" i="229"/>
  <c r="D940" i="229"/>
  <c r="D1005" i="229"/>
  <c r="D1070" i="229"/>
  <c r="D1427" i="229"/>
  <c r="D1492" i="229"/>
  <c r="D1557" i="229"/>
  <c r="D534" i="229"/>
  <c r="D599" i="229"/>
  <c r="D664" i="229"/>
  <c r="D729" i="229"/>
  <c r="D794" i="229"/>
  <c r="D859" i="229"/>
  <c r="J1102" i="229"/>
  <c r="J1167" i="229"/>
  <c r="J1232" i="229"/>
  <c r="J1297" i="229"/>
  <c r="J1362" i="229"/>
  <c r="J1427" i="229"/>
  <c r="J1492" i="229"/>
  <c r="J1557" i="229"/>
  <c r="D1752" i="229"/>
  <c r="D1817" i="229"/>
  <c r="J320" i="229"/>
  <c r="J469" i="229"/>
  <c r="J566" i="229"/>
  <c r="J891" i="229"/>
  <c r="J148" i="229"/>
  <c r="D353" i="229"/>
  <c r="D1135" i="229"/>
  <c r="D1200" i="229"/>
  <c r="D1265" i="229"/>
  <c r="D1330" i="229"/>
  <c r="D1395" i="229"/>
  <c r="D288" i="229"/>
  <c r="J353" i="229"/>
  <c r="J940" i="229"/>
  <c r="J1005" i="229"/>
  <c r="J1704" i="229"/>
  <c r="D1911" i="229"/>
  <c r="D1976" i="229"/>
  <c r="D2041" i="229"/>
  <c r="D2106" i="229"/>
  <c r="D2171" i="229"/>
  <c r="D2236" i="229"/>
  <c r="D2301" i="229"/>
  <c r="D2366" i="229"/>
  <c r="J1817" i="229"/>
  <c r="J1911" i="229"/>
  <c r="J1976" i="229"/>
  <c r="J2041" i="229"/>
  <c r="D1895" i="229"/>
  <c r="D1960" i="229"/>
  <c r="D2025" i="229"/>
  <c r="D2090" i="229"/>
  <c r="D2155" i="229"/>
  <c r="D2220" i="229"/>
  <c r="D2285" i="229"/>
  <c r="D2350" i="229"/>
  <c r="J2285" i="229"/>
  <c r="J2350" i="229"/>
  <c r="J2415" i="229"/>
  <c r="J2987" i="229"/>
  <c r="J3052" i="229"/>
  <c r="J3117" i="229"/>
  <c r="J3182" i="229"/>
  <c r="D3198" i="229"/>
  <c r="D2447" i="229"/>
  <c r="D2512" i="229"/>
  <c r="J2577" i="229"/>
  <c r="J2678" i="229"/>
  <c r="J2743" i="229"/>
  <c r="J2808" i="229"/>
  <c r="J2873" i="229"/>
  <c r="J2480" i="229"/>
  <c r="J2545" i="229"/>
  <c r="J2610" i="229"/>
  <c r="D3019" i="229"/>
  <c r="D3084" i="229"/>
  <c r="D3149" i="229"/>
  <c r="J3214" i="229"/>
  <c r="J3432" i="229"/>
  <c r="J3604" i="229"/>
  <c r="D1021" i="229"/>
  <c r="D1411" i="229"/>
  <c r="D239" i="229"/>
  <c r="J304" i="229"/>
  <c r="J517" i="229"/>
  <c r="J582" i="229"/>
  <c r="J647" i="229"/>
  <c r="J712" i="229"/>
  <c r="J777" i="229"/>
  <c r="J842" i="229"/>
  <c r="D907" i="229"/>
  <c r="D972" i="229"/>
  <c r="D1037" i="229"/>
  <c r="D1460" i="229"/>
  <c r="D1525" i="229"/>
  <c r="D1590" i="229"/>
  <c r="D428" i="229"/>
  <c r="D501" i="229"/>
  <c r="D566" i="229"/>
  <c r="D631" i="229"/>
  <c r="D696" i="229"/>
  <c r="D761" i="229"/>
  <c r="D826" i="229"/>
  <c r="D891" i="229"/>
  <c r="J1070" i="229"/>
  <c r="J1135" i="229"/>
  <c r="J1200" i="229"/>
  <c r="J1265" i="229"/>
  <c r="J1330" i="229"/>
  <c r="J1395" i="229"/>
  <c r="J1460" i="229"/>
  <c r="J1525" i="229"/>
  <c r="D1785" i="229"/>
  <c r="D2431" i="229"/>
  <c r="J2106" i="229"/>
  <c r="J2171" i="229"/>
  <c r="J2236" i="229"/>
  <c r="J2301" i="229"/>
  <c r="J2366" i="229"/>
  <c r="J2431" i="229"/>
  <c r="D1704" i="229"/>
  <c r="D1769" i="229"/>
  <c r="J1769" i="229"/>
  <c r="J1834" i="229"/>
  <c r="J1927" i="229"/>
  <c r="J1992" i="229"/>
  <c r="J2057" i="229"/>
  <c r="J2122" i="229"/>
  <c r="J2187" i="229"/>
  <c r="J2252" i="229"/>
  <c r="D2463" i="229"/>
  <c r="D2528" i="229"/>
  <c r="D2593" i="229"/>
  <c r="J2694" i="229"/>
  <c r="J2759" i="229"/>
  <c r="J2824" i="229"/>
  <c r="J2889" i="229"/>
  <c r="J2954" i="229"/>
  <c r="J2496" i="229"/>
  <c r="J2561" i="229"/>
  <c r="D2710" i="229"/>
  <c r="D2775" i="229"/>
  <c r="D2840" i="229"/>
  <c r="D2905" i="229"/>
  <c r="D2970" i="229"/>
  <c r="D3035" i="229"/>
  <c r="D3100" i="229"/>
  <c r="D3165" i="229"/>
  <c r="J2938" i="229"/>
  <c r="J3003" i="229"/>
  <c r="J3068" i="229"/>
  <c r="D2662" i="229"/>
  <c r="D2727" i="229"/>
  <c r="D2792" i="229"/>
  <c r="D2857" i="229"/>
  <c r="D2922" i="229"/>
  <c r="D2987" i="229"/>
  <c r="D3230" i="229"/>
  <c r="J3398" i="229"/>
  <c r="J3536" i="229"/>
  <c r="J3570" i="229"/>
  <c r="D3704" i="229"/>
  <c r="J3335" i="229"/>
  <c r="J3473" i="229"/>
  <c r="J3644" i="229"/>
  <c r="J3710" i="229"/>
  <c r="J3438" i="229"/>
  <c r="J3610" i="229"/>
  <c r="D320" i="229"/>
  <c r="D1362" i="229"/>
  <c r="D1102" i="229"/>
  <c r="J190" i="229"/>
  <c r="D1167" i="229"/>
  <c r="D1151" i="229"/>
  <c r="D8" i="229"/>
  <c r="D151" i="229"/>
  <c r="D1495" i="229"/>
  <c r="J1463" i="229"/>
  <c r="J1528" i="229"/>
  <c r="J1593" i="229"/>
  <c r="J1739" i="229"/>
  <c r="D1382" i="229"/>
  <c r="D1512" i="229"/>
  <c r="D445" i="229"/>
  <c r="D585" i="229"/>
  <c r="D715" i="229"/>
  <c r="D845" i="229"/>
  <c r="J1024" i="229"/>
  <c r="J1154" i="229"/>
  <c r="J1284" i="229"/>
  <c r="J1414" i="229"/>
  <c r="J1544" i="229"/>
  <c r="D1804" i="229"/>
  <c r="D1963" i="229"/>
  <c r="D2093" i="229"/>
  <c r="D2223" i="229"/>
  <c r="D2353" i="229"/>
  <c r="J1772" i="229"/>
  <c r="J1930" i="229"/>
  <c r="J2060" i="229"/>
  <c r="J2190" i="229"/>
  <c r="J2320" i="229"/>
  <c r="J2450" i="229"/>
  <c r="D1788" i="229"/>
  <c r="D1946" i="229"/>
  <c r="D2076" i="229"/>
  <c r="D2206" i="229"/>
  <c r="D2336" i="229"/>
  <c r="J1820" i="229"/>
  <c r="J1979" i="229"/>
  <c r="J2109" i="229"/>
  <c r="J2239" i="229"/>
  <c r="J2369" i="229"/>
  <c r="D2515" i="229"/>
  <c r="J2681" i="229"/>
  <c r="J2811" i="229"/>
  <c r="J2941" i="229"/>
  <c r="J3071" i="229"/>
  <c r="J2548" i="229"/>
  <c r="D2762" i="229"/>
  <c r="D2892" i="229"/>
  <c r="D3022" i="229"/>
  <c r="D3152" i="229"/>
  <c r="D2466" i="229"/>
  <c r="D2596" i="229"/>
  <c r="J2762" i="229"/>
  <c r="J2892" i="229"/>
  <c r="J3022" i="229"/>
  <c r="J2466" i="229"/>
  <c r="D2713" i="229"/>
  <c r="D2843" i="229"/>
  <c r="D2973" i="229"/>
  <c r="D3103" i="229"/>
  <c r="D3282" i="229"/>
  <c r="J3556" i="229"/>
  <c r="J3590" i="229"/>
  <c r="J3624" i="229"/>
  <c r="J3657" i="229"/>
  <c r="J3690" i="229"/>
  <c r="D3217" i="229"/>
  <c r="D3673" i="229"/>
  <c r="J3707" i="229"/>
  <c r="J3185" i="229"/>
  <c r="D3298" i="229"/>
  <c r="J3332" i="229"/>
  <c r="J3366" i="229"/>
  <c r="J3266" i="229"/>
  <c r="D3315" i="229"/>
  <c r="D3349" i="229"/>
  <c r="D3384" i="229"/>
  <c r="D3418" i="229"/>
  <c r="D910" i="229"/>
  <c r="D1170" i="229"/>
  <c r="D1430" i="229"/>
  <c r="J356" i="229"/>
  <c r="D472" i="229"/>
  <c r="D537" i="229"/>
  <c r="D602" i="229"/>
  <c r="D667" i="229"/>
  <c r="D732" i="229"/>
  <c r="D797" i="229"/>
  <c r="J910" i="229"/>
  <c r="J975" i="229"/>
  <c r="J1040" i="229"/>
  <c r="J1105" i="229"/>
  <c r="J1170" i="229"/>
  <c r="J1235" i="229"/>
  <c r="J1300" i="229"/>
  <c r="J1365" i="229"/>
  <c r="D1349" i="229"/>
  <c r="D1479" i="229"/>
  <c r="D1609" i="229"/>
  <c r="D339" i="229"/>
  <c r="D553" i="229"/>
  <c r="D683" i="229"/>
  <c r="D813" i="229"/>
  <c r="J992" i="229"/>
  <c r="J1122" i="229"/>
  <c r="J1252" i="229"/>
  <c r="J1382" i="229"/>
  <c r="J1512" i="229"/>
  <c r="J1723" i="229"/>
  <c r="D1772" i="229"/>
  <c r="D1930" i="229"/>
  <c r="D2060" i="229"/>
  <c r="D2190" i="229"/>
  <c r="D2320" i="229"/>
  <c r="J1898" i="229"/>
  <c r="J2028" i="229"/>
  <c r="J2158" i="229"/>
  <c r="J2288" i="229"/>
  <c r="J2418" i="229"/>
  <c r="D1755" i="229"/>
  <c r="D1914" i="229"/>
  <c r="D2044" i="229"/>
  <c r="D2174" i="229"/>
  <c r="D2304" i="229"/>
  <c r="J1788" i="229"/>
  <c r="J1946" i="229"/>
  <c r="J2076" i="229"/>
  <c r="J2206" i="229"/>
  <c r="J2336" i="229"/>
  <c r="D2483" i="229"/>
  <c r="D2613" i="229"/>
  <c r="J2778" i="229"/>
  <c r="J2908" i="229"/>
  <c r="J3038" i="229"/>
  <c r="J3168" i="229"/>
  <c r="J2515" i="229"/>
  <c r="J2613" i="229"/>
  <c r="D2730" i="229"/>
  <c r="D2860" i="229"/>
  <c r="D2990" i="229"/>
  <c r="D3120" i="229"/>
  <c r="D2434" i="229"/>
  <c r="D2564" i="229"/>
  <c r="J2730" i="229"/>
  <c r="J2860" i="229"/>
  <c r="J2990" i="229"/>
  <c r="J2564" i="229"/>
  <c r="J2596" i="229"/>
  <c r="D2681" i="229"/>
  <c r="D2811" i="229"/>
  <c r="D2941" i="229"/>
  <c r="D3071" i="229"/>
  <c r="J3201" i="229"/>
  <c r="D3250" i="229"/>
  <c r="J3152" i="229"/>
  <c r="J3401" i="229"/>
  <c r="J3435" i="229"/>
  <c r="J3470" i="229"/>
  <c r="J3504" i="229"/>
  <c r="D3233" i="229"/>
  <c r="D3453" i="229"/>
  <c r="D3487" i="229"/>
  <c r="D3522" i="229"/>
  <c r="D118" i="229"/>
  <c r="D1707" i="229"/>
  <c r="J1430" i="229"/>
  <c r="J1495" i="229"/>
  <c r="J1560" i="229"/>
  <c r="J1707" i="229"/>
  <c r="D1447" i="229"/>
  <c r="D1577" i="229"/>
  <c r="D307" i="229"/>
  <c r="D520" i="229"/>
  <c r="D650" i="229"/>
  <c r="D780" i="229"/>
  <c r="J959" i="229"/>
  <c r="J1089" i="229"/>
  <c r="J1219" i="229"/>
  <c r="J1349" i="229"/>
  <c r="J1479" i="229"/>
  <c r="J1609" i="229"/>
  <c r="D1898" i="229"/>
  <c r="D2028" i="229"/>
  <c r="D2158" i="229"/>
  <c r="D2288" i="229"/>
  <c r="D2418" i="229"/>
  <c r="J1837" i="229"/>
  <c r="J1995" i="229"/>
  <c r="J2125" i="229"/>
  <c r="J2255" i="229"/>
  <c r="J2385" i="229"/>
  <c r="D1723" i="229"/>
  <c r="D1853" i="229"/>
  <c r="D2011" i="229"/>
  <c r="D2141" i="229"/>
  <c r="D2271" i="229"/>
  <c r="J1755" i="229"/>
  <c r="J1914" i="229"/>
  <c r="J2044" i="229"/>
  <c r="J2174" i="229"/>
  <c r="J2304" i="229"/>
  <c r="J2434" i="229"/>
  <c r="D2450" i="229"/>
  <c r="J2580" i="229"/>
  <c r="J2746" i="229"/>
  <c r="J2876" i="229"/>
  <c r="J3006" i="229"/>
  <c r="J3136" i="229"/>
  <c r="D2697" i="229"/>
  <c r="D2827" i="229"/>
  <c r="D2957" i="229"/>
  <c r="D3087" i="229"/>
  <c r="D2401" i="229"/>
  <c r="D2531" i="229"/>
  <c r="J2697" i="229"/>
  <c r="J2827" i="229"/>
  <c r="J2957" i="229"/>
  <c r="J3087" i="229"/>
  <c r="J2531" i="229"/>
  <c r="D2778" i="229"/>
  <c r="D2908" i="229"/>
  <c r="D3038" i="229"/>
  <c r="D3168" i="229"/>
  <c r="J3282" i="229"/>
  <c r="D3332" i="229"/>
  <c r="D3366" i="229"/>
  <c r="J3120" i="229"/>
  <c r="D3266" i="229"/>
  <c r="J3539" i="229"/>
  <c r="J3573" i="229"/>
  <c r="J3607" i="229"/>
  <c r="J3641" i="229"/>
  <c r="D3201" i="229"/>
  <c r="D3590" i="229"/>
  <c r="J3723" i="229"/>
  <c r="J3808" i="229"/>
  <c r="D3690" i="229"/>
  <c r="D3657" i="229"/>
  <c r="D3624" i="229"/>
  <c r="D3556" i="229"/>
  <c r="J3673" i="229"/>
  <c r="J3217" i="229"/>
  <c r="J3250" i="229"/>
  <c r="D2876" i="229"/>
  <c r="J2499" i="229"/>
  <c r="J2795" i="229"/>
  <c r="D3055" i="229"/>
  <c r="J2843" i="229"/>
  <c r="J2141" i="229"/>
  <c r="D2239" i="229"/>
  <c r="J2483" i="229"/>
  <c r="J1963" i="229"/>
  <c r="D2255" i="229"/>
  <c r="J1447" i="229"/>
  <c r="J927" i="229"/>
  <c r="D878" i="229"/>
  <c r="J258" i="229"/>
  <c r="J1333" i="229"/>
  <c r="J1073" i="229"/>
  <c r="D764" i="229"/>
  <c r="D504" i="229"/>
  <c r="J3824" i="229"/>
  <c r="D3824" i="229"/>
  <c r="D3790" i="229"/>
  <c r="D3757" i="229"/>
  <c r="J3773" i="229"/>
  <c r="D2746" i="229"/>
  <c r="J2665" i="229"/>
  <c r="D2925" i="229"/>
  <c r="J2713" i="229"/>
  <c r="J2011" i="229"/>
  <c r="D2109" i="229"/>
  <c r="J2353" i="229"/>
  <c r="J1804" i="229"/>
  <c r="D2125" i="229"/>
  <c r="J1317" i="229"/>
  <c r="D748" i="229"/>
  <c r="D372" i="229"/>
  <c r="J1398" i="229"/>
  <c r="J1138" i="229"/>
  <c r="D894" i="229"/>
  <c r="D829" i="229"/>
  <c r="D569" i="229"/>
  <c r="D1560" i="229"/>
  <c r="J780" i="229"/>
  <c r="J3790" i="229"/>
  <c r="D3723" i="229"/>
  <c r="J3740" i="229"/>
  <c r="D3808" i="229"/>
  <c r="J3522" i="229"/>
  <c r="J3487" i="229"/>
  <c r="J3453" i="229"/>
  <c r="J3418" i="229"/>
  <c r="J3384" i="229"/>
  <c r="J3349" i="229"/>
  <c r="J3315" i="229"/>
  <c r="D3136" i="229"/>
  <c r="D2580" i="229"/>
  <c r="J3055" i="229"/>
  <c r="D2499" i="229"/>
  <c r="D2795" i="229"/>
  <c r="J3103" i="229"/>
  <c r="D2548" i="229"/>
  <c r="J2401" i="229"/>
  <c r="J1853" i="229"/>
  <c r="D1979" i="229"/>
  <c r="J2223" i="229"/>
  <c r="D1995" i="229"/>
  <c r="J1187" i="229"/>
  <c r="D618" i="229"/>
  <c r="D1544" i="229"/>
  <c r="J1203" i="229"/>
  <c r="J943" i="229"/>
  <c r="D634" i="229"/>
  <c r="D323" i="229"/>
  <c r="D1040" i="229"/>
  <c r="D96" i="229"/>
  <c r="J505" i="229"/>
  <c r="D1480" i="229"/>
  <c r="D1578" i="229"/>
  <c r="J993" i="229"/>
  <c r="J1123" i="229"/>
  <c r="J1253" i="229"/>
  <c r="J1383" i="229"/>
  <c r="J1513" i="229"/>
  <c r="J1724" i="229"/>
  <c r="D275" i="229"/>
  <c r="D357" i="229"/>
  <c r="J521" i="229"/>
  <c r="J651" i="229"/>
  <c r="J781" i="229"/>
  <c r="D1545" i="229"/>
  <c r="D1724" i="229"/>
  <c r="D308" i="229"/>
  <c r="J960" i="229"/>
  <c r="J1090" i="229"/>
  <c r="J1220" i="229"/>
  <c r="J1350" i="229"/>
  <c r="J1480" i="229"/>
  <c r="J1610" i="229"/>
  <c r="J194" i="229"/>
  <c r="D243" i="229"/>
  <c r="J489" i="229"/>
  <c r="J619" i="229"/>
  <c r="J749" i="229"/>
  <c r="J879" i="229"/>
  <c r="D1009" i="229"/>
  <c r="D1139" i="229"/>
  <c r="D1269" i="229"/>
  <c r="J911" i="229"/>
  <c r="J944" i="229"/>
  <c r="J976" i="229"/>
  <c r="J1009" i="229"/>
  <c r="J1041" i="229"/>
  <c r="J1074" i="229"/>
  <c r="J1106" i="229"/>
  <c r="J1139" i="229"/>
  <c r="J1171" i="229"/>
  <c r="J1204" i="229"/>
  <c r="J1236" i="229"/>
  <c r="J1269" i="229"/>
  <c r="J1301" i="229"/>
  <c r="J1334" i="229"/>
  <c r="J1366" i="229"/>
  <c r="J1399" i="229"/>
  <c r="J1431" i="229"/>
  <c r="J1464" i="229"/>
  <c r="J1496" i="229"/>
  <c r="J1529" i="229"/>
  <c r="J1561" i="229"/>
  <c r="J1594" i="229"/>
  <c r="J1708" i="229"/>
  <c r="J1740" i="229"/>
  <c r="J1789" i="229"/>
  <c r="J1821" i="229"/>
  <c r="J1854" i="229"/>
  <c r="J1915" i="229"/>
  <c r="J1947" i="229"/>
  <c r="J1980" i="229"/>
  <c r="J2012" i="229"/>
  <c r="J2045" i="229"/>
  <c r="J2077" i="229"/>
  <c r="J2110" i="229"/>
  <c r="J2142" i="229"/>
  <c r="J2175" i="229"/>
  <c r="J2207" i="229"/>
  <c r="J2240" i="229"/>
  <c r="J2272" i="229"/>
  <c r="J2305" i="229"/>
  <c r="J2337" i="229"/>
  <c r="J2370" i="229"/>
  <c r="J2402" i="229"/>
  <c r="J2435" i="229"/>
  <c r="J2467" i="229"/>
  <c r="D1708" i="229"/>
  <c r="D1740" i="229"/>
  <c r="D1773" i="229"/>
  <c r="D1805" i="229"/>
  <c r="D1838" i="229"/>
  <c r="D1899" i="229"/>
  <c r="D1931" i="229"/>
  <c r="D1964" i="229"/>
  <c r="D1996" i="229"/>
  <c r="D2029" i="229"/>
  <c r="D2061" i="229"/>
  <c r="D2094" i="229"/>
  <c r="D2126" i="229"/>
  <c r="D2159" i="229"/>
  <c r="D2191" i="229"/>
  <c r="D2224" i="229"/>
  <c r="D2256" i="229"/>
  <c r="D2289" i="229"/>
  <c r="D2321" i="229"/>
  <c r="D2354" i="229"/>
  <c r="D2386" i="229"/>
  <c r="J1773" i="229"/>
  <c r="J473" i="229"/>
  <c r="D1610" i="229"/>
  <c r="J928" i="229"/>
  <c r="J1058" i="229"/>
  <c r="J1188" i="229"/>
  <c r="J1318" i="229"/>
  <c r="J1448" i="229"/>
  <c r="J1578" i="229"/>
  <c r="J152" i="229"/>
  <c r="J340" i="229"/>
  <c r="J586" i="229"/>
  <c r="J716" i="229"/>
  <c r="J846" i="229"/>
  <c r="D976" i="229"/>
  <c r="D1106" i="229"/>
  <c r="D1236" i="229"/>
  <c r="D292" i="229"/>
  <c r="D324" i="229"/>
  <c r="J357" i="229"/>
  <c r="D1513" i="229"/>
  <c r="J1025" i="229"/>
  <c r="J1545" i="229"/>
  <c r="D1041" i="229"/>
  <c r="D1301" i="229"/>
  <c r="J275" i="229"/>
  <c r="D373" i="229"/>
  <c r="D473" i="229"/>
  <c r="D505" i="229"/>
  <c r="D538" i="229"/>
  <c r="D570" i="229"/>
  <c r="D603" i="229"/>
  <c r="D635" i="229"/>
  <c r="D668" i="229"/>
  <c r="D700" i="229"/>
  <c r="D733" i="229"/>
  <c r="D765" i="229"/>
  <c r="D798" i="229"/>
  <c r="D830" i="229"/>
  <c r="D863" i="229"/>
  <c r="D895" i="229"/>
  <c r="D1756" i="229"/>
  <c r="D1789" i="229"/>
  <c r="D1821" i="229"/>
  <c r="D1854" i="229"/>
  <c r="D1915" i="229"/>
  <c r="D1947" i="229"/>
  <c r="D1980" i="229"/>
  <c r="D2012" i="229"/>
  <c r="D2045" i="229"/>
  <c r="D2077" i="229"/>
  <c r="D2110" i="229"/>
  <c r="D2142" i="229"/>
  <c r="D2175" i="229"/>
  <c r="D2207" i="229"/>
  <c r="D2240" i="229"/>
  <c r="D2272" i="229"/>
  <c r="D2305" i="229"/>
  <c r="D2337" i="229"/>
  <c r="D2370" i="229"/>
  <c r="D2402" i="229"/>
  <c r="D2419" i="229"/>
  <c r="D2451" i="229"/>
  <c r="D2484" i="229"/>
  <c r="D2516" i="229"/>
  <c r="D2549" i="229"/>
  <c r="J2581" i="229"/>
  <c r="D2614" i="229"/>
  <c r="J2682" i="229"/>
  <c r="J2714" i="229"/>
  <c r="J2747" i="229"/>
  <c r="J2779" i="229"/>
  <c r="J2812" i="229"/>
  <c r="J2844" i="229"/>
  <c r="J2877" i="229"/>
  <c r="J2909" i="229"/>
  <c r="J2942" i="229"/>
  <c r="J2974" i="229"/>
  <c r="J3007" i="229"/>
  <c r="J3039" i="229"/>
  <c r="J3072" i="229"/>
  <c r="D2666" i="229"/>
  <c r="D2698" i="229"/>
  <c r="D2731" i="229"/>
  <c r="D2763" i="229"/>
  <c r="D2796" i="229"/>
  <c r="D2828" i="229"/>
  <c r="D2861" i="229"/>
  <c r="D2893" i="229"/>
  <c r="D2926" i="229"/>
  <c r="D2958" i="229"/>
  <c r="D2991" i="229"/>
  <c r="D3023" i="229"/>
  <c r="D3056" i="229"/>
  <c r="D3088" i="229"/>
  <c r="D3121" i="229"/>
  <c r="D3153" i="229"/>
  <c r="D3186" i="229"/>
  <c r="J3218" i="229"/>
  <c r="J3436" i="229"/>
  <c r="J3574" i="229"/>
  <c r="D3419" i="229"/>
  <c r="D3557" i="229"/>
  <c r="D3691" i="229"/>
  <c r="J3104" i="229"/>
  <c r="J1155" i="229"/>
  <c r="J1756" i="229"/>
  <c r="J308" i="229"/>
  <c r="J554" i="229"/>
  <c r="D944" i="229"/>
  <c r="D1204" i="229"/>
  <c r="D2435" i="229"/>
  <c r="D2467" i="229"/>
  <c r="D2500" i="229"/>
  <c r="D2532" i="229"/>
  <c r="D2565" i="229"/>
  <c r="D2597" i="229"/>
  <c r="J2666" i="229"/>
  <c r="J2698" i="229"/>
  <c r="J2731" i="229"/>
  <c r="J2763" i="229"/>
  <c r="J2796" i="229"/>
  <c r="J2828" i="229"/>
  <c r="J2861" i="229"/>
  <c r="J2893" i="229"/>
  <c r="J2926" i="229"/>
  <c r="J2958" i="229"/>
  <c r="J2991" i="229"/>
  <c r="J3023" i="229"/>
  <c r="J3056" i="229"/>
  <c r="J3088" i="229"/>
  <c r="J3121" i="229"/>
  <c r="J3153" i="229"/>
  <c r="J3186" i="229"/>
  <c r="D2581" i="229"/>
  <c r="D2682" i="229"/>
  <c r="D2714" i="229"/>
  <c r="D2747" i="229"/>
  <c r="D2779" i="229"/>
  <c r="D2812" i="229"/>
  <c r="D2844" i="229"/>
  <c r="D2877" i="229"/>
  <c r="D2909" i="229"/>
  <c r="D2942" i="229"/>
  <c r="D2974" i="229"/>
  <c r="D3007" i="229"/>
  <c r="D3039" i="229"/>
  <c r="D3072" i="229"/>
  <c r="D3104" i="229"/>
  <c r="D3137" i="229"/>
  <c r="D3169" i="229"/>
  <c r="J3333" i="229"/>
  <c r="J3471" i="229"/>
  <c r="J3608" i="229"/>
  <c r="J3267" i="229"/>
  <c r="D3316" i="229"/>
  <c r="J1285" i="229"/>
  <c r="J684" i="229"/>
  <c r="D911" i="229"/>
  <c r="D1171" i="229"/>
  <c r="J2484" i="229"/>
  <c r="J2516" i="229"/>
  <c r="J2549" i="229"/>
  <c r="J2614" i="229"/>
  <c r="D3234" i="229"/>
  <c r="D3267" i="229"/>
  <c r="J3367" i="229"/>
  <c r="J3505" i="229"/>
  <c r="J3642" i="229"/>
  <c r="J3708" i="229"/>
  <c r="D3202" i="229"/>
  <c r="D3350" i="229"/>
  <c r="D3488" i="229"/>
  <c r="D3625" i="229"/>
  <c r="D3758" i="229"/>
  <c r="J3691" i="229"/>
  <c r="D3674" i="229"/>
  <c r="D3540" i="229"/>
  <c r="D3402" i="229"/>
  <c r="J3283" i="229"/>
  <c r="J3251" i="229"/>
  <c r="J3625" i="229"/>
  <c r="J3488" i="229"/>
  <c r="J3350" i="229"/>
  <c r="D3283" i="229"/>
  <c r="D3251" i="229"/>
  <c r="J3202" i="229"/>
  <c r="J3169" i="229"/>
  <c r="J3137" i="229"/>
  <c r="D3591" i="229"/>
  <c r="J3402" i="229"/>
  <c r="J814" i="229"/>
  <c r="D3809" i="229"/>
  <c r="J3724" i="229"/>
  <c r="D3724" i="229"/>
  <c r="D3642" i="229"/>
  <c r="D3505" i="229"/>
  <c r="D3367" i="229"/>
  <c r="J3591" i="229"/>
  <c r="J3454" i="229"/>
  <c r="J3316" i="229"/>
  <c r="D3523" i="229"/>
  <c r="J2565" i="229"/>
  <c r="J2532" i="229"/>
  <c r="J2500" i="229"/>
  <c r="D3774" i="229"/>
  <c r="J3825" i="229"/>
  <c r="D3825" i="229"/>
  <c r="D3608" i="229"/>
  <c r="D3471" i="229"/>
  <c r="D3333" i="229"/>
  <c r="D3299" i="229"/>
  <c r="J3557" i="229"/>
  <c r="J3419" i="229"/>
  <c r="D3454" i="229"/>
  <c r="J3674" i="229"/>
  <c r="J2597" i="229"/>
  <c r="J2451" i="229"/>
  <c r="J2419" i="229"/>
  <c r="J2386" i="229"/>
  <c r="J2354" i="229"/>
  <c r="J2321" i="229"/>
  <c r="J2289" i="229"/>
  <c r="J2256" i="229"/>
  <c r="J2224" i="229"/>
  <c r="J2191" i="229"/>
  <c r="J2159" i="229"/>
  <c r="J2126" i="229"/>
  <c r="J2094" i="229"/>
  <c r="J2061" i="229"/>
  <c r="J2029" i="229"/>
  <c r="J1996" i="229"/>
  <c r="J1964" i="229"/>
  <c r="J1931" i="229"/>
  <c r="J1899" i="229"/>
  <c r="J1838" i="229"/>
  <c r="J1805" i="229"/>
  <c r="D1594" i="229"/>
  <c r="D1561" i="229"/>
  <c r="D1529" i="229"/>
  <c r="D1496" i="229"/>
  <c r="D1464" i="229"/>
  <c r="D1431" i="229"/>
  <c r="D1399" i="229"/>
  <c r="D1366" i="229"/>
  <c r="D1334" i="229"/>
  <c r="D210" i="229"/>
  <c r="AG56" i="264"/>
  <c r="AD62" i="264"/>
  <c r="AE62" i="264" s="1"/>
  <c r="AD21" i="264"/>
  <c r="AE21" i="264" s="1"/>
  <c r="AD66" i="264"/>
  <c r="AE66" i="264" s="1"/>
  <c r="AG74" i="264"/>
  <c r="AG70" i="264"/>
  <c r="AD39" i="264"/>
  <c r="AE39" i="264" s="1"/>
  <c r="AD34" i="264"/>
  <c r="AE34" i="264" s="1"/>
  <c r="AG61" i="264"/>
  <c r="AD47" i="264"/>
  <c r="AE47" i="264" s="1"/>
  <c r="AD75" i="264"/>
  <c r="AE75" i="264" s="1"/>
  <c r="AG20" i="264"/>
  <c r="AG19" i="264"/>
  <c r="AG36" i="264"/>
  <c r="AD81" i="264"/>
  <c r="AE81" i="264" s="1"/>
  <c r="AG79" i="264"/>
  <c r="M95" i="31"/>
  <c r="D20" i="317" s="1"/>
  <c r="I2583" i="229"/>
  <c r="O95" i="31"/>
  <c r="D23" i="317" s="1"/>
  <c r="F23" i="317" s="1"/>
  <c r="AG69" i="264"/>
  <c r="J209" i="229"/>
  <c r="J177" i="229"/>
  <c r="D862" i="229"/>
  <c r="J274" i="229"/>
  <c r="D1593" i="229"/>
  <c r="D1463" i="229"/>
  <c r="D1365" i="229"/>
  <c r="D1314" i="229"/>
  <c r="D1268" i="229"/>
  <c r="D1203" i="229"/>
  <c r="D1105" i="229"/>
  <c r="D1054" i="229"/>
  <c r="D1008" i="229"/>
  <c r="D943" i="229"/>
  <c r="J845" i="229"/>
  <c r="J794" i="229"/>
  <c r="J748" i="229"/>
  <c r="J683" i="229"/>
  <c r="J631" i="229"/>
  <c r="D255" i="229"/>
  <c r="D193" i="229"/>
  <c r="D95" i="229"/>
  <c r="D1317" i="229"/>
  <c r="D1284" i="229"/>
  <c r="D1252" i="229"/>
  <c r="D1219" i="229"/>
  <c r="D1187" i="229"/>
  <c r="D1154" i="229"/>
  <c r="D1122" i="229"/>
  <c r="D1089" i="229"/>
  <c r="D1057" i="229"/>
  <c r="D1024" i="229"/>
  <c r="D992" i="229"/>
  <c r="D959" i="229"/>
  <c r="D927" i="229"/>
  <c r="J894" i="229"/>
  <c r="J862" i="229"/>
  <c r="J829" i="229"/>
  <c r="J797" i="229"/>
  <c r="J764" i="229"/>
  <c r="J732" i="229"/>
  <c r="J699" i="229"/>
  <c r="J667" i="229"/>
  <c r="J634" i="229"/>
  <c r="J602" i="229"/>
  <c r="J569" i="229"/>
  <c r="J537" i="229"/>
  <c r="J504" i="229"/>
  <c r="J472" i="229"/>
  <c r="J323" i="229"/>
  <c r="J291" i="229"/>
  <c r="D258" i="229"/>
  <c r="D226" i="229"/>
  <c r="J1752" i="229"/>
  <c r="J1720" i="229"/>
  <c r="J1606" i="229"/>
  <c r="J1574" i="229"/>
  <c r="J1541" i="229"/>
  <c r="J1509" i="229"/>
  <c r="J1476" i="229"/>
  <c r="J1444" i="229"/>
  <c r="J1411" i="229"/>
  <c r="J1379" i="229"/>
  <c r="J1346" i="229"/>
  <c r="J1314" i="229"/>
  <c r="J1281" i="229"/>
  <c r="J1249" i="229"/>
  <c r="J1216" i="229"/>
  <c r="J1184" i="229"/>
  <c r="J1151" i="229"/>
  <c r="J1119" i="229"/>
  <c r="J1086" i="229"/>
  <c r="J1054" i="229"/>
  <c r="J1021" i="229"/>
  <c r="J989" i="229"/>
  <c r="J956" i="229"/>
  <c r="J924" i="229"/>
  <c r="D842" i="229"/>
  <c r="D291" i="229"/>
  <c r="D1739" i="229"/>
  <c r="D1528" i="229"/>
  <c r="D1444" i="229"/>
  <c r="D1398" i="229"/>
  <c r="D1333" i="229"/>
  <c r="D1235" i="229"/>
  <c r="D1184" i="229"/>
  <c r="D1138" i="229"/>
  <c r="D1073" i="229"/>
  <c r="D975" i="229"/>
  <c r="D924" i="229"/>
  <c r="J878" i="229"/>
  <c r="J813" i="229"/>
  <c r="J715" i="229"/>
  <c r="J664" i="229"/>
  <c r="D174" i="229"/>
  <c r="J134" i="229"/>
  <c r="D62" i="229"/>
  <c r="AD30" i="264"/>
  <c r="AE30" i="264" s="1"/>
  <c r="AD71" i="264"/>
  <c r="AE71" i="264" s="1"/>
  <c r="AD26" i="264"/>
  <c r="AE26" i="264" s="1"/>
  <c r="AG55" i="264"/>
  <c r="AD60" i="264"/>
  <c r="AE60" i="264" s="1"/>
  <c r="AG73" i="264"/>
  <c r="AG45" i="264"/>
  <c r="AG49" i="264"/>
  <c r="AD28" i="264"/>
  <c r="AE28" i="264" s="1"/>
  <c r="AG18" i="264"/>
  <c r="AG68" i="264"/>
  <c r="AD44" i="264"/>
  <c r="AE44" i="264" s="1"/>
  <c r="AG24" i="264"/>
  <c r="AG42" i="264"/>
  <c r="AD16" i="264"/>
  <c r="AE16" i="264" s="1"/>
  <c r="AD29" i="264"/>
  <c r="AE29" i="264" s="1"/>
  <c r="AD22" i="264"/>
  <c r="AE22" i="264" s="1"/>
  <c r="AG65" i="264"/>
  <c r="AG41" i="264"/>
  <c r="AD17" i="264"/>
  <c r="AE17" i="264" s="1"/>
  <c r="AG54" i="264"/>
  <c r="AG37" i="264"/>
  <c r="AG64" i="264"/>
  <c r="AD51" i="264"/>
  <c r="AE51" i="264" s="1"/>
  <c r="AD59" i="264"/>
  <c r="AE59" i="264" s="1"/>
  <c r="AG40" i="264"/>
  <c r="AD63" i="264"/>
  <c r="AE63" i="264" s="1"/>
  <c r="AG48" i="264"/>
  <c r="AD38" i="264"/>
  <c r="AE38" i="264" s="1"/>
  <c r="AG78" i="264"/>
  <c r="AG15" i="264"/>
  <c r="AD80" i="264"/>
  <c r="AE80" i="264" s="1"/>
  <c r="AG35" i="264"/>
  <c r="J229" i="229"/>
  <c r="I194" i="288"/>
  <c r="J194" i="288" s="1"/>
  <c r="AD67" i="264"/>
  <c r="AE67" i="264" s="1"/>
  <c r="AD53" i="264"/>
  <c r="AE53" i="264" s="1"/>
  <c r="AG27" i="264"/>
  <c r="D879" i="229"/>
  <c r="D846" i="229"/>
  <c r="D814" i="229"/>
  <c r="D781" i="229"/>
  <c r="D749" i="229"/>
  <c r="D716" i="229"/>
  <c r="D684" i="229"/>
  <c r="D651" i="229"/>
  <c r="D619" i="229"/>
  <c r="D586" i="229"/>
  <c r="D554" i="229"/>
  <c r="D521" i="229"/>
  <c r="D489" i="229"/>
  <c r="D340" i="229"/>
  <c r="D304" i="229"/>
  <c r="D1720" i="229"/>
  <c r="D1606" i="229"/>
  <c r="D1574" i="229"/>
  <c r="D1541" i="229"/>
  <c r="D1509" i="229"/>
  <c r="D1476" i="229"/>
  <c r="D1346" i="229"/>
  <c r="D1216" i="229"/>
  <c r="D1086" i="229"/>
  <c r="D956" i="229"/>
  <c r="J826" i="229"/>
  <c r="J696" i="229"/>
  <c r="J603" i="229"/>
  <c r="J501" i="229"/>
  <c r="D442" i="229"/>
  <c r="J288" i="229"/>
  <c r="J243" i="229"/>
  <c r="D810" i="229"/>
  <c r="D777" i="229"/>
  <c r="D745" i="229"/>
  <c r="D712" i="229"/>
  <c r="D680" i="229"/>
  <c r="D647" i="229"/>
  <c r="D615" i="229"/>
  <c r="D582" i="229"/>
  <c r="D550" i="229"/>
  <c r="D517" i="229"/>
  <c r="D485" i="229"/>
  <c r="D1379" i="229"/>
  <c r="D1249" i="229"/>
  <c r="D1119" i="229"/>
  <c r="D989" i="229"/>
  <c r="J859" i="229"/>
  <c r="J729" i="229"/>
  <c r="J635" i="229"/>
  <c r="J599" i="229"/>
  <c r="J534" i="229"/>
  <c r="J428" i="229"/>
  <c r="J324" i="229"/>
  <c r="J239" i="229"/>
  <c r="D131" i="229"/>
  <c r="AG52" i="264"/>
  <c r="D1448" i="229"/>
  <c r="D1415" i="229"/>
  <c r="D1383" i="229"/>
  <c r="D1350" i="229"/>
  <c r="D1318" i="229"/>
  <c r="D1285" i="229"/>
  <c r="D1253" i="229"/>
  <c r="D1220" i="229"/>
  <c r="D1188" i="229"/>
  <c r="D1155" i="229"/>
  <c r="D1123" i="229"/>
  <c r="D1090" i="229"/>
  <c r="D1058" i="229"/>
  <c r="D1025" i="229"/>
  <c r="D993" i="229"/>
  <c r="D960" i="229"/>
  <c r="D928" i="229"/>
  <c r="J895" i="229"/>
  <c r="J863" i="229"/>
  <c r="J830" i="229"/>
  <c r="J798" i="229"/>
  <c r="J765" i="229"/>
  <c r="J733" i="229"/>
  <c r="J700" i="229"/>
  <c r="J668" i="229"/>
  <c r="J538" i="229"/>
  <c r="D446" i="229"/>
  <c r="D259" i="229"/>
  <c r="D41" i="229"/>
  <c r="J570" i="229"/>
  <c r="J292" i="229"/>
  <c r="D178" i="229"/>
  <c r="D135" i="229"/>
  <c r="J25" i="229"/>
  <c r="J80" i="229"/>
  <c r="J259" i="229"/>
  <c r="D194" i="229"/>
  <c r="D119" i="229"/>
  <c r="J9" i="229"/>
  <c r="J227" i="229"/>
  <c r="D152" i="229"/>
  <c r="D227" i="229"/>
  <c r="J37" i="229"/>
  <c r="H16" i="283"/>
  <c r="H15" i="283" s="1"/>
  <c r="G15" i="283"/>
  <c r="H33" i="283"/>
  <c r="G32" i="283"/>
  <c r="H32" i="283" s="1"/>
  <c r="G16" i="235"/>
  <c r="G15" i="235" s="1"/>
  <c r="I18" i="235" s="1"/>
  <c r="E15" i="235"/>
  <c r="J650" i="229"/>
  <c r="J618" i="229"/>
  <c r="J585" i="229"/>
  <c r="J553" i="229"/>
  <c r="J520" i="229"/>
  <c r="J488" i="229"/>
  <c r="D356" i="229"/>
  <c r="J115" i="229"/>
  <c r="D76" i="229"/>
  <c r="J5" i="229"/>
  <c r="J92" i="229"/>
  <c r="J59" i="229"/>
  <c r="D5" i="229"/>
  <c r="J206" i="229"/>
  <c r="J174" i="229"/>
  <c r="J131" i="229"/>
  <c r="D79" i="229"/>
  <c r="J41" i="229"/>
  <c r="N17" i="76"/>
  <c r="O12" i="76"/>
  <c r="J79" i="229"/>
  <c r="D40" i="229"/>
  <c r="J193" i="229"/>
  <c r="J151" i="229"/>
  <c r="J118" i="229"/>
  <c r="G36" i="235"/>
  <c r="G35" i="235" s="1"/>
  <c r="E35" i="235"/>
  <c r="J339" i="229"/>
  <c r="J307" i="229"/>
  <c r="D274" i="229"/>
  <c r="D242" i="229"/>
  <c r="J226" i="229"/>
  <c r="J76" i="229"/>
  <c r="J24" i="229"/>
  <c r="D24" i="229"/>
  <c r="J255" i="229"/>
  <c r="J223" i="229"/>
  <c r="J233" i="229" s="1"/>
  <c r="D190" i="229"/>
  <c r="D148" i="229"/>
  <c r="D115" i="229"/>
  <c r="D125" i="229" s="1"/>
  <c r="J8" i="229"/>
  <c r="D223" i="229"/>
  <c r="D63" i="229"/>
  <c r="D9" i="229"/>
  <c r="J95" i="229"/>
  <c r="J62" i="229"/>
  <c r="D21" i="229"/>
  <c r="J119" i="229"/>
  <c r="D80" i="229"/>
  <c r="J40" i="229"/>
  <c r="J242" i="229"/>
  <c r="D209" i="229"/>
  <c r="D177" i="229"/>
  <c r="D134" i="229"/>
  <c r="J96" i="229"/>
  <c r="J63" i="229"/>
  <c r="D25" i="229"/>
  <c r="J210" i="229"/>
  <c r="J178" i="229"/>
  <c r="J135" i="229"/>
  <c r="AG83" i="264"/>
  <c r="AD57" i="264"/>
  <c r="AE57" i="264" s="1"/>
  <c r="AD46" i="264"/>
  <c r="AE46" i="264" s="1"/>
  <c r="AD33" i="264"/>
  <c r="AE33" i="264" s="1"/>
  <c r="G57" i="5"/>
  <c r="I891" i="288"/>
  <c r="J891" i="288" s="1"/>
  <c r="G15" i="31"/>
  <c r="I2273" i="288"/>
  <c r="J2273" i="288" s="1"/>
  <c r="D122" i="229"/>
  <c r="AS91" i="231"/>
  <c r="AB10" i="115"/>
  <c r="AB461" i="115" s="1"/>
  <c r="AB464" i="115" s="1"/>
  <c r="D41" i="235"/>
  <c r="G41" i="235" s="1"/>
  <c r="AA10" i="115"/>
  <c r="AA461" i="115" s="1"/>
  <c r="AR14" i="231"/>
  <c r="AA465" i="115"/>
  <c r="AA464" i="115"/>
  <c r="AP10" i="249"/>
  <c r="O14" i="265"/>
  <c r="O99" i="265" s="1"/>
  <c r="T10" i="115"/>
  <c r="T461" i="115" s="1"/>
  <c r="T469" i="115" s="1"/>
  <c r="E47" i="283"/>
  <c r="G47" i="283" s="1"/>
  <c r="H47" i="283" s="1"/>
  <c r="E38" i="283"/>
  <c r="E26" i="235" s="1"/>
  <c r="E40" i="283"/>
  <c r="G40" i="283" s="1"/>
  <c r="H40" i="283" s="1"/>
  <c r="AC21" i="266"/>
  <c r="AD14" i="266"/>
  <c r="AG32" i="264"/>
  <c r="AD32" i="264"/>
  <c r="AE32" i="264" s="1"/>
  <c r="N3705" i="229"/>
  <c r="N3276" i="288"/>
  <c r="AG31" i="264"/>
  <c r="AD31" i="264"/>
  <c r="AE31" i="264" s="1"/>
  <c r="AC21" i="263"/>
  <c r="O24" i="258"/>
  <c r="O25" i="258" s="1"/>
  <c r="N25" i="258"/>
  <c r="E39" i="283"/>
  <c r="K101" i="261"/>
  <c r="AI16" i="261" s="1"/>
  <c r="N15" i="261"/>
  <c r="N101" i="261" s="1"/>
  <c r="L3703" i="229"/>
  <c r="O3703" i="229" s="1"/>
  <c r="P3703" i="229" s="1"/>
  <c r="L904" i="229"/>
  <c r="AO318" i="115"/>
  <c r="K21" i="263"/>
  <c r="N14" i="263"/>
  <c r="N21" i="263" s="1"/>
  <c r="AC78" i="262"/>
  <c r="AD15" i="262"/>
  <c r="AC99" i="265"/>
  <c r="AD14" i="265"/>
  <c r="AD14" i="258"/>
  <c r="G48" i="283"/>
  <c r="H49" i="283"/>
  <c r="H48" i="283" s="1"/>
  <c r="D69" i="283"/>
  <c r="G69" i="283" s="1"/>
  <c r="H69" i="283" s="1"/>
  <c r="E34" i="235"/>
  <c r="G34" i="235" s="1"/>
  <c r="L3708" i="229"/>
  <c r="L1850" i="229"/>
  <c r="O14" i="266"/>
  <c r="O21" i="266" s="1"/>
  <c r="Q21" i="266"/>
  <c r="I3350" i="288"/>
  <c r="J3350" i="288" s="1"/>
  <c r="I3348" i="288"/>
  <c r="J3348" i="288" s="1"/>
  <c r="P101" i="261"/>
  <c r="Q15" i="261"/>
  <c r="AD15" i="261" s="1"/>
  <c r="Z13" i="115"/>
  <c r="Z11" i="115" s="1"/>
  <c r="Z10" i="115" s="1"/>
  <c r="W11" i="115"/>
  <c r="W10" i="115" s="1"/>
  <c r="AC85" i="264"/>
  <c r="AD14" i="264"/>
  <c r="AG14" i="264"/>
  <c r="AC101" i="261"/>
  <c r="Q85" i="264"/>
  <c r="O14" i="264"/>
  <c r="O85" i="264" s="1"/>
  <c r="L3704" i="229"/>
  <c r="L1693" i="229"/>
  <c r="Q78" i="262"/>
  <c r="O15" i="262"/>
  <c r="O78" i="262" s="1"/>
  <c r="P21" i="263"/>
  <c r="Q14" i="263"/>
  <c r="G100" i="5" l="1"/>
  <c r="J100" i="5"/>
  <c r="M100" i="5" s="1"/>
  <c r="P2632" i="289"/>
  <c r="J57" i="5"/>
  <c r="M57" i="5" s="1"/>
  <c r="AE445" i="307"/>
  <c r="AU144" i="307"/>
  <c r="AK51" i="108"/>
  <c r="H13" i="30"/>
  <c r="J11" i="30"/>
  <c r="S15" i="31"/>
  <c r="U15" i="31" s="1"/>
  <c r="O13" i="5" s="1"/>
  <c r="G95" i="31"/>
  <c r="L427" i="229"/>
  <c r="L3702" i="229" s="1"/>
  <c r="L3710" i="229" s="1"/>
  <c r="L3714" i="229" s="1"/>
  <c r="D121" i="229"/>
  <c r="C102" i="288"/>
  <c r="D102" i="288" s="1"/>
  <c r="I2576" i="229"/>
  <c r="J2576" i="229" s="1"/>
  <c r="J2587" i="229" s="1"/>
  <c r="L2618" i="229" s="1"/>
  <c r="L3705" i="229" s="1"/>
  <c r="G13" i="5"/>
  <c r="AH85" i="264"/>
  <c r="AA466" i="115"/>
  <c r="P95" i="31"/>
  <c r="D24" i="317" s="1"/>
  <c r="I892" i="288"/>
  <c r="J892" i="288" s="1"/>
  <c r="F20" i="317"/>
  <c r="D40" i="235"/>
  <c r="G40" i="235" s="1"/>
  <c r="D68" i="283"/>
  <c r="G68" i="283" s="1"/>
  <c r="H68" i="283" s="1"/>
  <c r="H67" i="283" s="1"/>
  <c r="H14" i="283" s="1"/>
  <c r="AF90" i="264"/>
  <c r="AF91" i="264" s="1"/>
  <c r="AL16" i="249"/>
  <c r="AO16" i="249" s="1"/>
  <c r="AL44" i="249"/>
  <c r="AL56" i="249"/>
  <c r="AL68" i="249"/>
  <c r="AL76" i="249"/>
  <c r="AO76" i="249" s="1"/>
  <c r="AL88" i="249"/>
  <c r="AO88" i="249" s="1"/>
  <c r="AL18" i="249"/>
  <c r="AO18" i="249" s="1"/>
  <c r="AL22" i="249"/>
  <c r="AO22" i="249" s="1"/>
  <c r="AL26" i="249"/>
  <c r="AO26" i="249" s="1"/>
  <c r="AL34" i="249"/>
  <c r="AO34" i="249" s="1"/>
  <c r="AL38" i="249"/>
  <c r="AO38" i="249" s="1"/>
  <c r="AL42" i="249"/>
  <c r="AO42" i="249" s="1"/>
  <c r="AL50" i="249"/>
  <c r="AL58" i="249"/>
  <c r="AL66" i="249"/>
  <c r="AL70" i="249"/>
  <c r="AL78" i="249"/>
  <c r="AO78" i="249" s="1"/>
  <c r="AL86" i="249"/>
  <c r="AO86" i="249" s="1"/>
  <c r="AL14" i="249"/>
  <c r="AO14" i="249" s="1"/>
  <c r="AL30" i="249"/>
  <c r="AO30" i="249" s="1"/>
  <c r="AL46" i="249"/>
  <c r="AA99" i="249" s="1"/>
  <c r="AL54" i="249"/>
  <c r="AL62" i="249"/>
  <c r="AL74" i="249"/>
  <c r="AL82" i="249"/>
  <c r="AO82" i="249" s="1"/>
  <c r="AL20" i="249"/>
  <c r="AO20" i="249" s="1"/>
  <c r="AL24" i="249"/>
  <c r="AO24" i="249" s="1"/>
  <c r="AL28" i="249"/>
  <c r="AO28" i="249" s="1"/>
  <c r="AL32" i="249"/>
  <c r="AO32" i="249" s="1"/>
  <c r="AL36" i="249"/>
  <c r="AL40" i="249"/>
  <c r="AL48" i="249"/>
  <c r="AL52" i="249"/>
  <c r="AL60" i="249"/>
  <c r="AL64" i="249"/>
  <c r="AL72" i="249"/>
  <c r="AL80" i="249"/>
  <c r="AO80" i="249" s="1"/>
  <c r="AL84" i="249"/>
  <c r="AO84" i="249" s="1"/>
  <c r="AL83" i="249"/>
  <c r="AO83" i="249" s="1"/>
  <c r="AL55" i="249"/>
  <c r="AL89" i="249"/>
  <c r="AO89" i="249" s="1"/>
  <c r="AL73" i="249"/>
  <c r="AL57" i="249"/>
  <c r="AL41" i="249"/>
  <c r="AO41" i="249" s="1"/>
  <c r="AL25" i="249"/>
  <c r="AA97" i="249" s="1"/>
  <c r="AL87" i="249"/>
  <c r="AO87" i="249" s="1"/>
  <c r="AL51" i="249"/>
  <c r="AL23" i="249"/>
  <c r="AO23" i="249" s="1"/>
  <c r="AL39" i="249"/>
  <c r="AL65" i="249"/>
  <c r="AL33" i="249"/>
  <c r="AO33" i="249" s="1"/>
  <c r="AL71" i="249"/>
  <c r="AL15" i="249"/>
  <c r="AO15" i="249" s="1"/>
  <c r="AL75" i="249"/>
  <c r="AL47" i="249"/>
  <c r="AL85" i="249"/>
  <c r="AO85" i="249" s="1"/>
  <c r="AL69" i="249"/>
  <c r="AL53" i="249"/>
  <c r="AL37" i="249"/>
  <c r="AO37" i="249" s="1"/>
  <c r="AL21" i="249"/>
  <c r="AO21" i="249" s="1"/>
  <c r="AL79" i="249"/>
  <c r="AO79" i="249" s="1"/>
  <c r="AL43" i="249"/>
  <c r="AO43" i="249" s="1"/>
  <c r="AL19" i="249"/>
  <c r="AO19" i="249" s="1"/>
  <c r="AL67" i="249"/>
  <c r="AL81" i="249"/>
  <c r="AO81" i="249" s="1"/>
  <c r="AL49" i="249"/>
  <c r="AL17" i="249"/>
  <c r="AL35" i="249"/>
  <c r="AO35" i="249" s="1"/>
  <c r="AL63" i="249"/>
  <c r="AL27" i="249"/>
  <c r="AO27" i="249" s="1"/>
  <c r="AL77" i="249"/>
  <c r="AO77" i="249" s="1"/>
  <c r="AL61" i="249"/>
  <c r="AL45" i="249"/>
  <c r="AL29" i="249"/>
  <c r="AO29" i="249" s="1"/>
  <c r="AL13" i="249"/>
  <c r="AO13" i="249" s="1"/>
  <c r="AL59" i="249"/>
  <c r="AL31" i="249"/>
  <c r="AO31" i="249" s="1"/>
  <c r="AL12" i="249"/>
  <c r="G26" i="235"/>
  <c r="G25" i="235" s="1"/>
  <c r="E25" i="235"/>
  <c r="G38" i="283"/>
  <c r="H38" i="283" s="1"/>
  <c r="E28" i="235"/>
  <c r="G28" i="235" s="1"/>
  <c r="W461" i="115"/>
  <c r="AM151" i="115"/>
  <c r="K12" i="235"/>
  <c r="K13" i="235" s="1"/>
  <c r="Z461" i="115"/>
  <c r="X474" i="115" s="1"/>
  <c r="G39" i="283"/>
  <c r="E27" i="235"/>
  <c r="G27" i="235" s="1"/>
  <c r="Q101" i="261"/>
  <c r="O15" i="261"/>
  <c r="O101" i="261" s="1"/>
  <c r="AO12" i="249"/>
  <c r="O14" i="263"/>
  <c r="O21" i="263" s="1"/>
  <c r="Q21" i="263"/>
  <c r="AD85" i="264"/>
  <c r="AE14" i="264"/>
  <c r="AE85" i="264" s="1"/>
  <c r="E37" i="283"/>
  <c r="AD78" i="262"/>
  <c r="AE15" i="262"/>
  <c r="AD14" i="263"/>
  <c r="AD101" i="261"/>
  <c r="AE15" i="261"/>
  <c r="AE101" i="261" s="1"/>
  <c r="F17" i="317"/>
  <c r="J3356" i="288"/>
  <c r="L3270" i="288" s="1"/>
  <c r="L3278" i="288" s="1"/>
  <c r="AD25" i="258"/>
  <c r="AE14" i="258"/>
  <c r="AE25" i="258" s="1"/>
  <c r="AD99" i="265"/>
  <c r="AE14" i="265"/>
  <c r="AE99" i="265" s="1"/>
  <c r="AD21" i="266"/>
  <c r="AE14" i="266"/>
  <c r="AE21" i="266" s="1"/>
  <c r="J99" i="5" l="1"/>
  <c r="G99" i="5"/>
  <c r="G101" i="5" s="1"/>
  <c r="G104" i="5" s="1"/>
  <c r="P57" i="5"/>
  <c r="G93" i="5"/>
  <c r="O193" i="289"/>
  <c r="O194" i="289" s="1"/>
  <c r="J13" i="30"/>
  <c r="N17" i="30" s="1"/>
  <c r="N19" i="30" s="1"/>
  <c r="D39" i="235"/>
  <c r="G67" i="283"/>
  <c r="G14" i="283" s="1"/>
  <c r="D67" i="283"/>
  <c r="J2584" i="229"/>
  <c r="I102" i="5"/>
  <c r="AA95" i="249"/>
  <c r="AA96" i="249"/>
  <c r="AO17" i="249"/>
  <c r="AO39" i="249"/>
  <c r="AO25" i="249"/>
  <c r="F15" i="317"/>
  <c r="F14" i="317" s="1"/>
  <c r="AL90" i="249"/>
  <c r="AM19" i="279" s="1"/>
  <c r="AO40" i="249"/>
  <c r="AO36" i="249"/>
  <c r="I197" i="288"/>
  <c r="J197" i="288" s="1"/>
  <c r="J198" i="288" s="1"/>
  <c r="H39" i="283"/>
  <c r="H37" i="283" s="1"/>
  <c r="G37" i="283"/>
  <c r="T13" i="187"/>
  <c r="AF87" i="264"/>
  <c r="AF86" i="264"/>
  <c r="AG85" i="264" s="1"/>
  <c r="M3706" i="229"/>
  <c r="O3706" i="229" s="1"/>
  <c r="P3706" i="229" s="1"/>
  <c r="M3277" i="288"/>
  <c r="O3277" i="288" s="1"/>
  <c r="W466" i="115"/>
  <c r="W471" i="115"/>
  <c r="AE78" i="262"/>
  <c r="AG15" i="262"/>
  <c r="AG25" i="258"/>
  <c r="M3709" i="229"/>
  <c r="O3709" i="229" s="1"/>
  <c r="M3280" i="288"/>
  <c r="O3280" i="288" s="1"/>
  <c r="AF102" i="265"/>
  <c r="AG99" i="265"/>
  <c r="M3705" i="229"/>
  <c r="O3705" i="229" s="1"/>
  <c r="P3705" i="229" s="1"/>
  <c r="L2619" i="229"/>
  <c r="L2620" i="229" s="1"/>
  <c r="M3276" i="288"/>
  <c r="C107" i="288"/>
  <c r="D107" i="288" s="1"/>
  <c r="D108" i="288" s="1"/>
  <c r="AF106" i="261"/>
  <c r="AG101" i="261"/>
  <c r="AF103" i="261"/>
  <c r="M3704" i="229"/>
  <c r="O3704" i="229" s="1"/>
  <c r="P3704" i="229" s="1"/>
  <c r="M1693" i="229"/>
  <c r="M1694" i="229" s="1"/>
  <c r="M3275" i="288"/>
  <c r="H13" i="5"/>
  <c r="I2277" i="288"/>
  <c r="J2277" i="288" s="1"/>
  <c r="J2278" i="288" s="1"/>
  <c r="AE14" i="263"/>
  <c r="AE21" i="263" s="1"/>
  <c r="AD21" i="263"/>
  <c r="I15" i="317" l="1"/>
  <c r="H15" i="317"/>
  <c r="J101" i="5"/>
  <c r="J104" i="5" s="1"/>
  <c r="M99" i="5"/>
  <c r="M101" i="5" s="1"/>
  <c r="M104" i="5" s="1"/>
  <c r="H93" i="5"/>
  <c r="J13" i="5"/>
  <c r="J93" i="5" s="1"/>
  <c r="G102" i="5"/>
  <c r="G105" i="5" s="1"/>
  <c r="O524" i="289"/>
  <c r="O525" i="289" s="1"/>
  <c r="AH100" i="265"/>
  <c r="AH101" i="265" s="1"/>
  <c r="D26" i="317"/>
  <c r="F26" i="317" s="1"/>
  <c r="AH22" i="266"/>
  <c r="AH23" i="266" s="1"/>
  <c r="AH26" i="258"/>
  <c r="AH27" i="258" s="1"/>
  <c r="D78" i="283"/>
  <c r="AH86" i="264"/>
  <c r="AH87" i="264" s="1"/>
  <c r="AH22" i="263"/>
  <c r="AH23" i="263" s="1"/>
  <c r="D51" i="235"/>
  <c r="O103" i="5"/>
  <c r="AH102" i="261"/>
  <c r="AH103" i="261" s="1"/>
  <c r="R95" i="31"/>
  <c r="Q193" i="289"/>
  <c r="Q194" i="289" s="1"/>
  <c r="Q341" i="289" s="1"/>
  <c r="J2583" i="229"/>
  <c r="I2274" i="288"/>
  <c r="J2274" i="288" s="1"/>
  <c r="D42" i="235"/>
  <c r="G42" i="235" s="1"/>
  <c r="G39" i="235" s="1"/>
  <c r="Q524" i="289"/>
  <c r="Q525" i="289" s="1"/>
  <c r="AA94" i="249"/>
  <c r="I895" i="288"/>
  <c r="J895" i="288" s="1"/>
  <c r="J896" i="288" s="1"/>
  <c r="I2275" i="288"/>
  <c r="J2275" i="288" s="1"/>
  <c r="J13" i="187"/>
  <c r="M13" i="187" s="1"/>
  <c r="M12" i="187" s="1"/>
  <c r="AF22" i="263"/>
  <c r="AG21" i="263"/>
  <c r="M3708" i="229"/>
  <c r="O3708" i="229" s="1"/>
  <c r="M3279" i="288"/>
  <c r="O3279" i="288" s="1"/>
  <c r="AG78" i="262"/>
  <c r="AF81" i="262"/>
  <c r="AG81" i="262" s="1"/>
  <c r="M3707" i="229"/>
  <c r="O3707" i="229" s="1"/>
  <c r="P3707" i="229" s="1"/>
  <c r="L3699" i="229"/>
  <c r="L3700" i="229" s="1"/>
  <c r="M3278" i="288"/>
  <c r="O3278" i="288" s="1"/>
  <c r="O103" i="31" l="1"/>
  <c r="H20" i="317"/>
  <c r="O2631" i="289"/>
  <c r="P2631" i="289" s="1"/>
  <c r="W95" i="31"/>
  <c r="M13" i="5"/>
  <c r="O2572" i="289"/>
  <c r="O2573" i="289" s="1"/>
  <c r="F51" i="235"/>
  <c r="G51" i="235" s="1"/>
  <c r="F78" i="283"/>
  <c r="G78" i="283" s="1"/>
  <c r="S95" i="31"/>
  <c r="O102" i="5" s="1"/>
  <c r="C103" i="288"/>
  <c r="D103" i="288" s="1"/>
  <c r="D112" i="288" s="1"/>
  <c r="I195" i="288"/>
  <c r="J195" i="288" s="1"/>
  <c r="J202" i="288" s="1"/>
  <c r="I39" i="235"/>
  <c r="I40" i="235" s="1"/>
  <c r="J2282" i="288"/>
  <c r="L2311" i="288" s="1"/>
  <c r="L3276" i="288" s="1"/>
  <c r="O3276" i="288" s="1"/>
  <c r="F24" i="317"/>
  <c r="F19" i="317" s="1"/>
  <c r="D19" i="317"/>
  <c r="G14" i="235"/>
  <c r="I19" i="235"/>
  <c r="AA100" i="249"/>
  <c r="AH98" i="249"/>
  <c r="AH95" i="249"/>
  <c r="AH96" i="249"/>
  <c r="AH97" i="249"/>
  <c r="P193" i="289"/>
  <c r="P194" i="289" s="1"/>
  <c r="N13" i="187"/>
  <c r="N12" i="187" s="1"/>
  <c r="U95" i="31"/>
  <c r="I13" i="317" s="1"/>
  <c r="I893" i="288"/>
  <c r="J893" i="288" s="1"/>
  <c r="J900" i="288" s="1"/>
  <c r="L1493" i="288" s="1"/>
  <c r="L3275" i="288" s="1"/>
  <c r="O3275" i="288" s="1"/>
  <c r="M3702" i="229"/>
  <c r="L428" i="229"/>
  <c r="L429" i="229" s="1"/>
  <c r="L430" i="229" s="1"/>
  <c r="L379" i="288"/>
  <c r="M3273" i="288"/>
  <c r="H102" i="5"/>
  <c r="I15" i="235"/>
  <c r="I16" i="235" s="1"/>
  <c r="H21" i="317" l="1"/>
  <c r="M93" i="5"/>
  <c r="P93" i="5" s="1"/>
  <c r="P13" i="5"/>
  <c r="I19" i="317"/>
  <c r="H78" i="283"/>
  <c r="H13" i="283" s="1"/>
  <c r="H85" i="283" s="1"/>
  <c r="N90" i="283" s="1"/>
  <c r="N100" i="283" s="1"/>
  <c r="G13" i="283"/>
  <c r="G85" i="283" s="1"/>
  <c r="L378" i="288"/>
  <c r="L3273" i="288" s="1"/>
  <c r="L3281" i="288" s="1"/>
  <c r="L3283" i="288" s="1"/>
  <c r="I105" i="5"/>
  <c r="J20" i="235"/>
  <c r="G13" i="235"/>
  <c r="AH94" i="249"/>
  <c r="M3710" i="229"/>
  <c r="O3702" i="229"/>
  <c r="P3702" i="229" s="1"/>
  <c r="H105" i="5"/>
  <c r="P524" i="289"/>
  <c r="P525" i="289" s="1"/>
  <c r="M3281" i="288"/>
  <c r="I14" i="235"/>
  <c r="J14" i="235" s="1"/>
  <c r="J14" i="283"/>
  <c r="J15" i="283" s="1"/>
  <c r="J102" i="5"/>
  <c r="J105" i="5" s="1"/>
  <c r="R193" i="289"/>
  <c r="M102" i="5" l="1"/>
  <c r="M105" i="5" s="1"/>
  <c r="F13" i="317"/>
  <c r="L380" i="288"/>
  <c r="L381" i="288" s="1"/>
  <c r="O3273" i="288"/>
  <c r="R524" i="289"/>
  <c r="N3282" i="288"/>
  <c r="O3282" i="288" s="1"/>
  <c r="O3281" i="288"/>
  <c r="N3712" i="229"/>
  <c r="O3712" i="229" s="1"/>
  <c r="O3710" i="229"/>
  <c r="F12" i="317" l="1"/>
  <c r="F32" i="317" s="1"/>
  <c r="H32" i="317"/>
  <c r="H33" i="317" s="1"/>
  <c r="O2630" i="289"/>
  <c r="P2630" i="289" s="1"/>
  <c r="I58" i="235"/>
  <c r="J63" i="235" s="1"/>
  <c r="J66" i="235" s="1"/>
  <c r="K68" i="76"/>
  <c r="K54" i="235"/>
  <c r="H34" i="317" l="1"/>
  <c r="K85" i="283"/>
  <c r="O2634" i="289"/>
  <c r="L105" i="5" l="1"/>
  <c r="I54" i="235"/>
  <c r="G54" i="235"/>
  <c r="O105" i="5"/>
  <c r="P105" i="5" s="1"/>
  <c r="O2635" i="289"/>
  <c r="O2638" i="289" s="1"/>
  <c r="P2634" i="289"/>
  <c r="L85" i="283"/>
  <c r="K86" i="283"/>
  <c r="M85" i="283" s="1"/>
  <c r="I21" i="235" l="1"/>
  <c r="I25" i="235" s="1"/>
  <c r="G58" i="235"/>
  <c r="O2633" i="289"/>
  <c r="P2633" i="289" s="1"/>
  <c r="K55" i="235" l="1"/>
  <c r="I26" i="235"/>
  <c r="I59" i="235"/>
  <c r="K58" i="235" s="1"/>
  <c r="I47" i="235"/>
  <c r="J58" i="235"/>
</calcChain>
</file>

<file path=xl/comments1.xml><?xml version="1.0" encoding="utf-8"?>
<comments xmlns="http://schemas.openxmlformats.org/spreadsheetml/2006/main">
  <authors>
    <author>Os</author>
  </authors>
  <commentList>
    <comment ref="F39" authorId="0">
      <text>
        <r>
          <rPr>
            <b/>
            <sz val="9"/>
            <rFont val="Times New Roman"/>
            <family val="1"/>
          </rPr>
          <t>Os:</t>
        </r>
        <r>
          <rPr>
            <sz val="9"/>
            <rFont val="Times New Roman"/>
            <family val="1"/>
          </rPr>
          <t xml:space="preserve">
sửa lại dấu phẩy</t>
        </r>
      </text>
    </comment>
  </commentList>
</comments>
</file>

<file path=xl/comments2.xml><?xml version="1.0" encoding="utf-8"?>
<comments xmlns="http://schemas.openxmlformats.org/spreadsheetml/2006/main">
  <authors>
    <author>pc</author>
  </authors>
  <commentList>
    <comment ref="C8" authorId="0">
      <text>
        <r>
          <rPr>
            <b/>
            <sz val="9"/>
            <color indexed="81"/>
            <rFont val="Tahoma"/>
            <family val="2"/>
            <charset val="163"/>
          </rPr>
          <t>Điền số năm vào đây</t>
        </r>
      </text>
    </comment>
    <comment ref="C9" authorId="0">
      <text>
        <r>
          <rPr>
            <b/>
            <sz val="9"/>
            <color indexed="81"/>
            <rFont val="Tahoma"/>
            <family val="2"/>
            <charset val="163"/>
          </rPr>
          <t>Điền số tháng vào đây</t>
        </r>
      </text>
    </comment>
  </commentList>
</comments>
</file>

<file path=xl/sharedStrings.xml><?xml version="1.0" encoding="utf-8"?>
<sst xmlns="http://schemas.openxmlformats.org/spreadsheetml/2006/main" count="46301" uniqueCount="3507">
  <si>
    <t>CỘNG HÒA DÂN CHỦ NHÂN DÂN LÀO</t>
  </si>
  <si>
    <t>Hòa Bình - Độc Lập - Dân Chủ - Thống Nhất - Thịnh Vượng</t>
  </si>
  <si>
    <t>-----oOo-----</t>
  </si>
  <si>
    <t>CÔNG TY TNHH CỔ PHẦN QUASA - GERUCO LÀO</t>
  </si>
  <si>
    <t xml:space="preserve"> ĐƠN VỊ: NÔNG TRƯỜNG 1</t>
  </si>
  <si>
    <t>BẢNG THANH TOÁN PHỤ CẤP TRANG BỊ VẬT TƯ - XÃ MIỆNG CẠO CHO CÔNG NHÂN KHAI THÁC</t>
  </si>
  <si>
    <t>STT</t>
  </si>
  <si>
    <t>Mã số nhân viên</t>
  </si>
  <si>
    <t>Tên công nhân</t>
  </si>
  <si>
    <t>Chức vụ</t>
  </si>
  <si>
    <t>Thành tiền(kíp)</t>
  </si>
  <si>
    <t>Kí Nhận</t>
  </si>
  <si>
    <t>Ghi chú</t>
  </si>
  <si>
    <t xml:space="preserve"> ĐỘI 1</t>
  </si>
  <si>
    <t>Bôn</t>
  </si>
  <si>
    <t>CNKT</t>
  </si>
  <si>
    <t>E</t>
  </si>
  <si>
    <t>Khương (3)</t>
  </si>
  <si>
    <t>Nít Ni Lanh</t>
  </si>
  <si>
    <t>Khăm Đeng</t>
  </si>
  <si>
    <t>Nàng  Năt</t>
  </si>
  <si>
    <t>Xay (3)</t>
  </si>
  <si>
    <t>Xôn</t>
  </si>
  <si>
    <t>Phum Hom</t>
  </si>
  <si>
    <t>Pa Lay</t>
  </si>
  <si>
    <t>Măm</t>
  </si>
  <si>
    <t>Muôi</t>
  </si>
  <si>
    <t>Vat Sa Na</t>
  </si>
  <si>
    <t>Xi La</t>
  </si>
  <si>
    <t>Me Nhon</t>
  </si>
  <si>
    <t>Ten (3)</t>
  </si>
  <si>
    <t>Ki</t>
  </si>
  <si>
    <t>Phết (3)</t>
  </si>
  <si>
    <t>Phon (3)</t>
  </si>
  <si>
    <t>Nang Vone</t>
  </si>
  <si>
    <t>Lăng A</t>
  </si>
  <si>
    <t>Nút</t>
  </si>
  <si>
    <t>Xit</t>
  </si>
  <si>
    <t>Kum Man</t>
  </si>
  <si>
    <t>Xai Ta</t>
  </si>
  <si>
    <t>Lươn</t>
  </si>
  <si>
    <t>Nàng Lên</t>
  </si>
  <si>
    <t>Nọi (3)</t>
  </si>
  <si>
    <t>Lên</t>
  </si>
  <si>
    <t>Khắn</t>
  </si>
  <si>
    <t>XumMai</t>
  </si>
  <si>
    <t>Nang Ny</t>
  </si>
  <si>
    <t>Kẹo Ta</t>
  </si>
  <si>
    <t>Pom</t>
  </si>
  <si>
    <t>Cong</t>
  </si>
  <si>
    <t>Khăm B</t>
  </si>
  <si>
    <t>Khôn</t>
  </si>
  <si>
    <t>Xing</t>
  </si>
  <si>
    <t>Kị To</t>
  </si>
  <si>
    <t>Thảo Ký</t>
  </si>
  <si>
    <t>Nam Phon</t>
  </si>
  <si>
    <t>Lon</t>
  </si>
  <si>
    <t>Me Son</t>
  </si>
  <si>
    <t xml:space="preserve"> ĐỘI 2</t>
  </si>
  <si>
    <t>Nít</t>
  </si>
  <si>
    <t>Nui</t>
  </si>
  <si>
    <t>Đuông Chăn</t>
  </si>
  <si>
    <t>Đăm (3)</t>
  </si>
  <si>
    <t>Hăm Nọi A</t>
  </si>
  <si>
    <t>Hip</t>
  </si>
  <si>
    <t>Hăm Noi B</t>
  </si>
  <si>
    <t>Tụp</t>
  </si>
  <si>
    <t>S Ting</t>
  </si>
  <si>
    <t>Tom</t>
  </si>
  <si>
    <t>Nang Py</t>
  </si>
  <si>
    <t>Ô</t>
  </si>
  <si>
    <t>Văn Thong</t>
  </si>
  <si>
    <t>Va</t>
  </si>
  <si>
    <t xml:space="preserve"> ĐỘI 3</t>
  </si>
  <si>
    <t>Pông</t>
  </si>
  <si>
    <t>Nang Híp</t>
  </si>
  <si>
    <t>Khăn Ma</t>
  </si>
  <si>
    <t>Nàng Son</t>
  </si>
  <si>
    <t>Khăm Bun</t>
  </si>
  <si>
    <t>Chọt</t>
  </si>
  <si>
    <t>Đen</t>
  </si>
  <si>
    <t>Tà (3)</t>
  </si>
  <si>
    <t>Nang Hắc</t>
  </si>
  <si>
    <t>Tia</t>
  </si>
  <si>
    <t>Lăm Phon (3)</t>
  </si>
  <si>
    <t xml:space="preserve">Chít </t>
  </si>
  <si>
    <t>Lay</t>
  </si>
  <si>
    <t>Thá</t>
  </si>
  <si>
    <t>Lệ</t>
  </si>
  <si>
    <t>Ling</t>
  </si>
  <si>
    <t>Loi</t>
  </si>
  <si>
    <t>Thảo Pha</t>
  </si>
  <si>
    <t>Ka Te</t>
  </si>
  <si>
    <t>In Đia</t>
  </si>
  <si>
    <t>Khăm Mừn</t>
  </si>
  <si>
    <t>Choi (3)</t>
  </si>
  <si>
    <t>Xi No</t>
  </si>
  <si>
    <t>Lói</t>
  </si>
  <si>
    <t>Ót</t>
  </si>
  <si>
    <t xml:space="preserve">Son </t>
  </si>
  <si>
    <t>Sét</t>
  </si>
  <si>
    <t>Lan (3)</t>
  </si>
  <si>
    <t>Tha Mon Ta</t>
  </si>
  <si>
    <t>Trạm cán</t>
  </si>
  <si>
    <t xml:space="preserve">Thon </t>
  </si>
  <si>
    <t>Nhon</t>
  </si>
  <si>
    <t>Nàng Núi</t>
  </si>
  <si>
    <t>Nàng Nú</t>
  </si>
  <si>
    <t>Khăm</t>
  </si>
  <si>
    <t>Nàng Bát</t>
  </si>
  <si>
    <t>Dộc</t>
  </si>
  <si>
    <t>Chăn (3)</t>
  </si>
  <si>
    <t>Hát</t>
  </si>
  <si>
    <t>Bun (3)</t>
  </si>
  <si>
    <t>Hông Khăm</t>
  </si>
  <si>
    <t>Xưởng Cưa</t>
  </si>
  <si>
    <t>Pan</t>
  </si>
  <si>
    <t>Vi Say</t>
  </si>
  <si>
    <t xml:space="preserve">Ka Púc </t>
  </si>
  <si>
    <t>Chay Đi</t>
  </si>
  <si>
    <t>Lăng B</t>
  </si>
  <si>
    <t>Tuc</t>
  </si>
  <si>
    <t>On</t>
  </si>
  <si>
    <t>Đội 4</t>
  </si>
  <si>
    <t>Sốt</t>
  </si>
  <si>
    <t>Thảo A Tiền</t>
  </si>
  <si>
    <t>Sít</t>
  </si>
  <si>
    <t>Nghiệp</t>
  </si>
  <si>
    <t>Bun Theo</t>
  </si>
  <si>
    <t>Núi</t>
  </si>
  <si>
    <t>Xa Mon</t>
  </si>
  <si>
    <t>Thảo Thúc</t>
  </si>
  <si>
    <t>Bo Loi</t>
  </si>
  <si>
    <t>Xoong</t>
  </si>
  <si>
    <t>Ta Văn</t>
  </si>
  <si>
    <t>Khăm Măn</t>
  </si>
  <si>
    <t>Vôn</t>
  </si>
  <si>
    <t>Khăm Thạ Von</t>
  </si>
  <si>
    <t>Minh</t>
  </si>
  <si>
    <t>Đan</t>
  </si>
  <si>
    <t>Nội</t>
  </si>
  <si>
    <t>Keo La</t>
  </si>
  <si>
    <t>Chăn Thi</t>
  </si>
  <si>
    <t xml:space="preserve">Đon </t>
  </si>
  <si>
    <t>Thảo Con Khăm</t>
  </si>
  <si>
    <t>Bun Ma Tu</t>
  </si>
  <si>
    <t>Nay (4)</t>
  </si>
  <si>
    <t>Ta Phúc</t>
  </si>
  <si>
    <t>Mơ</t>
  </si>
  <si>
    <t>Bun Ma (4)</t>
  </si>
  <si>
    <t>Đuông Ma La</t>
  </si>
  <si>
    <t>Lâm B</t>
  </si>
  <si>
    <t>Lâm A</t>
  </si>
  <si>
    <t>Bun Phong</t>
  </si>
  <si>
    <t>Keo (4)</t>
  </si>
  <si>
    <t>Van Ta</t>
  </si>
  <si>
    <t>Peng</t>
  </si>
  <si>
    <t>Coi</t>
  </si>
  <si>
    <t>Khăm Lã</t>
  </si>
  <si>
    <t>Boóc</t>
  </si>
  <si>
    <t>Bun Ta</t>
  </si>
  <si>
    <t>Túc</t>
  </si>
  <si>
    <t>Sái Khăm</t>
  </si>
  <si>
    <t>Xi Đa (4)</t>
  </si>
  <si>
    <t>Bon</t>
  </si>
  <si>
    <t>In</t>
  </si>
  <si>
    <t>Lai</t>
  </si>
  <si>
    <t>Sui</t>
  </si>
  <si>
    <t>Pong (4)</t>
  </si>
  <si>
    <t>Lắt</t>
  </si>
  <si>
    <t>Thái</t>
  </si>
  <si>
    <t>Chăn (4)</t>
  </si>
  <si>
    <t>Si</t>
  </si>
  <si>
    <t>Pheng Ta</t>
  </si>
  <si>
    <t>Sệ</t>
  </si>
  <si>
    <t>Bà</t>
  </si>
  <si>
    <t>Xay Du</t>
  </si>
  <si>
    <t>Lẹ</t>
  </si>
  <si>
    <t>Bà B</t>
  </si>
  <si>
    <t>Muôn</t>
  </si>
  <si>
    <t>Pha</t>
  </si>
  <si>
    <t>Nét (4)</t>
  </si>
  <si>
    <t>Sun</t>
  </si>
  <si>
    <t>Phon (4)</t>
  </si>
  <si>
    <t>Thên</t>
  </si>
  <si>
    <t>Na Linh</t>
  </si>
  <si>
    <t>Hải</t>
  </si>
  <si>
    <t>Bun Khăm</t>
  </si>
  <si>
    <t>Nàng Nang</t>
  </si>
  <si>
    <t>Kong Ta</t>
  </si>
  <si>
    <t>Ni Đa</t>
  </si>
  <si>
    <t>Ninh</t>
  </si>
  <si>
    <t>Hắc Xa Mi</t>
  </si>
  <si>
    <t>Mi (4)</t>
  </si>
  <si>
    <t>Phô Phi Xít</t>
  </si>
  <si>
    <t>Mom</t>
  </si>
  <si>
    <t>Ben</t>
  </si>
  <si>
    <t>A Cum (4)</t>
  </si>
  <si>
    <t>Thông Đeng</t>
  </si>
  <si>
    <t>Phu Vanh</t>
  </si>
  <si>
    <t>Ta</t>
  </si>
  <si>
    <t>Khôn (4)</t>
  </si>
  <si>
    <t>Thọ</t>
  </si>
  <si>
    <t>Ten (4)</t>
  </si>
  <si>
    <t>Văn (4)</t>
  </si>
  <si>
    <t>Khăm Lổ</t>
  </si>
  <si>
    <t>Nàng Mon</t>
  </si>
  <si>
    <t>Bun</t>
  </si>
  <si>
    <t>Xôm Bách</t>
  </si>
  <si>
    <t>Thảo Tịa</t>
  </si>
  <si>
    <t>Hám Lae</t>
  </si>
  <si>
    <t>Lan (5)</t>
  </si>
  <si>
    <t>Năm</t>
  </si>
  <si>
    <t>Thảo Sum</t>
  </si>
  <si>
    <t>A Sung</t>
  </si>
  <si>
    <t>Phết Sa Mon</t>
  </si>
  <si>
    <t xml:space="preserve">Nàng Von </t>
  </si>
  <si>
    <t>T. Chòi</t>
  </si>
  <si>
    <t>Văn (5)</t>
  </si>
  <si>
    <t>Thảo Khon</t>
  </si>
  <si>
    <t>A Tô</t>
  </si>
  <si>
    <t>Đoan</t>
  </si>
  <si>
    <t>Bun No</t>
  </si>
  <si>
    <t>Nét (5)</t>
  </si>
  <si>
    <t>Sen</t>
  </si>
  <si>
    <t>Thảo Núc</t>
  </si>
  <si>
    <t>A Đưng</t>
  </si>
  <si>
    <t>Nàng Nọi (5)</t>
  </si>
  <si>
    <t>Lúp</t>
  </si>
  <si>
    <t>Xai (5)</t>
  </si>
  <si>
    <t>A Bun Noi</t>
  </si>
  <si>
    <t>E (5)</t>
  </si>
  <si>
    <t>Bun Mi</t>
  </si>
  <si>
    <t>Thảo Văn</t>
  </si>
  <si>
    <t>Nàng Ngân</t>
  </si>
  <si>
    <t>Nàng Pha</t>
  </si>
  <si>
    <t>Thảo Ê</t>
  </si>
  <si>
    <t>Nàng Ăm</t>
  </si>
  <si>
    <t>Thảo Lợt</t>
  </si>
  <si>
    <t>ViSay</t>
  </si>
  <si>
    <t>Thảo Phơn</t>
  </si>
  <si>
    <t>Nàng Oi</t>
  </si>
  <si>
    <t>Nàng Ly</t>
  </si>
  <si>
    <t>Thảo Ú</t>
  </si>
  <si>
    <t>Bun Ùm</t>
  </si>
  <si>
    <t>Bun Ma (5)</t>
  </si>
  <si>
    <t>Keo (5)</t>
  </si>
  <si>
    <t>Khám Tan</t>
  </si>
  <si>
    <t>Nàng Súc</t>
  </si>
  <si>
    <t>Khắn Thong</t>
  </si>
  <si>
    <t>Keo Đăm</t>
  </si>
  <si>
    <t>Ka Luân</t>
  </si>
  <si>
    <t>Mừn</t>
  </si>
  <si>
    <t>N. Lâm</t>
  </si>
  <si>
    <t>T. Kợt</t>
  </si>
  <si>
    <t>Sôm Sa Núc</t>
  </si>
  <si>
    <t>Kay Thong</t>
  </si>
  <si>
    <t>A Vun</t>
  </si>
  <si>
    <t>T. Son</t>
  </si>
  <si>
    <t>Sắc</t>
  </si>
  <si>
    <t>Thảo Bơt</t>
  </si>
  <si>
    <t>Say (5)</t>
  </si>
  <si>
    <t>Đăm (5)</t>
  </si>
  <si>
    <t>Viêng</t>
  </si>
  <si>
    <t>Săn</t>
  </si>
  <si>
    <t>Nàng Loi</t>
  </si>
  <si>
    <t>A Săn</t>
  </si>
  <si>
    <t>Sa Máy</t>
  </si>
  <si>
    <t>Khăm Bay (5)</t>
  </si>
  <si>
    <t>Chôn</t>
  </si>
  <si>
    <t>Lâm Ngân</t>
  </si>
  <si>
    <t>A Nha</t>
  </si>
  <si>
    <t>Tảo Pheo</t>
  </si>
  <si>
    <t>P. Mong</t>
  </si>
  <si>
    <t>A Chon</t>
  </si>
  <si>
    <t>Thảo Khon B</t>
  </si>
  <si>
    <t>Nàng Chăn</t>
  </si>
  <si>
    <t>KV71ha</t>
  </si>
  <si>
    <t>Tà Lòi</t>
  </si>
  <si>
    <t>Lây</t>
  </si>
  <si>
    <t>Tà (5)</t>
  </si>
  <si>
    <t>Bay</t>
  </si>
  <si>
    <t>Xay (5)</t>
  </si>
  <si>
    <t>Lạc Khon</t>
  </si>
  <si>
    <t>Ka Tun</t>
  </si>
  <si>
    <t>Đội 6</t>
  </si>
  <si>
    <t>A Liên</t>
  </si>
  <si>
    <t>Phu Ngân</t>
  </si>
  <si>
    <t xml:space="preserve">Đăm </t>
  </si>
  <si>
    <t>La</t>
  </si>
  <si>
    <t>A Lua</t>
  </si>
  <si>
    <t>Múc</t>
  </si>
  <si>
    <t>Tia (6)</t>
  </si>
  <si>
    <t>Đa</t>
  </si>
  <si>
    <t>Lăm Say</t>
  </si>
  <si>
    <t>Nga</t>
  </si>
  <si>
    <t>Pong (6)</t>
  </si>
  <si>
    <t xml:space="preserve">Típ </t>
  </si>
  <si>
    <t>ÔĐay</t>
  </si>
  <si>
    <t xml:space="preserve">Nhầy </t>
  </si>
  <si>
    <t>Phôn</t>
  </si>
  <si>
    <t>Xi Đon</t>
  </si>
  <si>
    <t>Lăm (6)</t>
  </si>
  <si>
    <t>Nát</t>
  </si>
  <si>
    <t>Oi</t>
  </si>
  <si>
    <t>Phò Dông</t>
  </si>
  <si>
    <t>Cà Đăm (6)</t>
  </si>
  <si>
    <t>Hùng</t>
  </si>
  <si>
    <t>A Lem</t>
  </si>
  <si>
    <t>Bun Nhèng</t>
  </si>
  <si>
    <t>Tan</t>
  </si>
  <si>
    <t>Phò Keo</t>
  </si>
  <si>
    <t>Văn</t>
  </si>
  <si>
    <t>A Son</t>
  </si>
  <si>
    <t>Thôn</t>
  </si>
  <si>
    <t>Ka Lóc</t>
  </si>
  <si>
    <t>Kông Khăm</t>
  </si>
  <si>
    <t>A Chít</t>
  </si>
  <si>
    <t>Tím</t>
  </si>
  <si>
    <t>A Nhim</t>
  </si>
  <si>
    <t>Tơ</t>
  </si>
  <si>
    <t>Nàng Cum</t>
  </si>
  <si>
    <t>Chăn Tha La</t>
  </si>
  <si>
    <t>Bi</t>
  </si>
  <si>
    <t>Bun Na</t>
  </si>
  <si>
    <t>Ka Lít</t>
  </si>
  <si>
    <t>E (6)</t>
  </si>
  <si>
    <t>Năt</t>
  </si>
  <si>
    <t>Ly Ta</t>
  </si>
  <si>
    <t>Khăm Bay (6)</t>
  </si>
  <si>
    <t>Tụi</t>
  </si>
  <si>
    <t>Nục</t>
  </si>
  <si>
    <t>Khăm (6)</t>
  </si>
  <si>
    <t>Ký</t>
  </si>
  <si>
    <t>Khương (6)</t>
  </si>
  <si>
    <t>A Buôn</t>
  </si>
  <si>
    <t>Nay (6)</t>
  </si>
  <si>
    <t>Mách</t>
  </si>
  <si>
    <t>Sưa</t>
  </si>
  <si>
    <t>Bắt</t>
  </si>
  <si>
    <t>Bộ</t>
  </si>
  <si>
    <t>Beng</t>
  </si>
  <si>
    <t>A Xiên</t>
  </si>
  <si>
    <t>Phò E</t>
  </si>
  <si>
    <t>Xai (6)</t>
  </si>
  <si>
    <t>Si Le (6)</t>
  </si>
  <si>
    <t>Xi</t>
  </si>
  <si>
    <t>Phắt</t>
  </si>
  <si>
    <t>Hắm</t>
  </si>
  <si>
    <t>Tổng cộng</t>
  </si>
  <si>
    <t>Số tiền bằng chữ: Chín mươi bảy triệu, hai trăm nghìn kíp</t>
  </si>
  <si>
    <t>Huyện phìn, ngày 02 tháng 05 năm 2024</t>
  </si>
  <si>
    <t>PHÒNG KT - NN                                                                         GĐ. NÔNG TRƯỜNG</t>
  </si>
  <si>
    <t xml:space="preserve">      TỔNG GIÁM  ĐỐC                         PHÒNG TC - KT                                PHÒNG  TC - HC                </t>
  </si>
  <si>
    <t>ĐỘI 1</t>
  </si>
  <si>
    <t>THÁNG 09/2024</t>
  </si>
  <si>
    <t>Họ và tên</t>
  </si>
  <si>
    <t>Thô</t>
  </si>
  <si>
    <t>Mè Ta Van</t>
  </si>
  <si>
    <t>Công sản phẩm</t>
  </si>
  <si>
    <t>²½ìò©ªະພັນ</t>
  </si>
  <si>
    <t>Công đi cạo</t>
  </si>
  <si>
    <t>ໝວດໄປຂີດ</t>
  </si>
  <si>
    <t>Công  chủ nhật</t>
  </si>
  <si>
    <t>Công làm ngày chủ nhật</t>
  </si>
  <si>
    <t>ໝວດເຮັດວຽກວັນທິດ</t>
  </si>
  <si>
    <t>PC đánh axit</t>
  </si>
  <si>
    <t>Công nhỏ axit đánh đông</t>
  </si>
  <si>
    <t>PC cây non</t>
  </si>
  <si>
    <t>Phụ cấp cạo 2 lát</t>
  </si>
  <si>
    <t>Phụ cấp tiền lương</t>
  </si>
  <si>
    <t>Mủ dây</t>
  </si>
  <si>
    <t>ຢ່າງເສັ້ນ</t>
  </si>
  <si>
    <t>DRC mủ dây</t>
  </si>
  <si>
    <t>Sản lượng mủ</t>
  </si>
  <si>
    <t>ໝວດຂີດທັບເກັບຢາງ</t>
  </si>
  <si>
    <t>DRC mủ tạp</t>
  </si>
  <si>
    <t xml:space="preserve">Các khoản trừ </t>
  </si>
  <si>
    <t>ການຫັກລົບ</t>
  </si>
  <si>
    <t xml:space="preserve">Tạm ứng </t>
  </si>
  <si>
    <t>ຄວາມກ້າວໜ້າ</t>
  </si>
  <si>
    <t>Tổng trừ:</t>
  </si>
  <si>
    <t>ລວມທັງໝົດ</t>
  </si>
  <si>
    <t xml:space="preserve">Còn lãnh </t>
  </si>
  <si>
    <t>ຍັງເຫລືອ</t>
  </si>
  <si>
    <t>Ka Tho</t>
  </si>
  <si>
    <t>Xay</t>
  </si>
  <si>
    <t>Thảo In</t>
  </si>
  <si>
    <t>Cha La</t>
  </si>
  <si>
    <t>Nang Nga</t>
  </si>
  <si>
    <t>Khăm Đi</t>
  </si>
  <si>
    <t>Me Đuông</t>
  </si>
  <si>
    <t>Nang Môn</t>
  </si>
  <si>
    <t>Ziên</t>
  </si>
  <si>
    <t>Me Pê</t>
  </si>
  <si>
    <t>Thảo Chòi</t>
  </si>
  <si>
    <t>Tìng A</t>
  </si>
  <si>
    <t>Phò Set Tha</t>
  </si>
  <si>
    <t>Sắt</t>
  </si>
  <si>
    <t>Khăm (1)</t>
  </si>
  <si>
    <t>Nàng Ni</t>
  </si>
  <si>
    <t>Khu</t>
  </si>
  <si>
    <t>Nang Thôn</t>
  </si>
  <si>
    <t>Xeng</t>
  </si>
  <si>
    <t>Lăm Phiêng</t>
  </si>
  <si>
    <t>Nang Tìng B</t>
  </si>
  <si>
    <t>Lec</t>
  </si>
  <si>
    <t>Chun</t>
  </si>
  <si>
    <t>Nàng Nọi</t>
  </si>
  <si>
    <t>Xăm Phon</t>
  </si>
  <si>
    <t>Bun Nác</t>
  </si>
  <si>
    <t>Thảo Nọi (1)</t>
  </si>
  <si>
    <t>Thảo Công</t>
  </si>
  <si>
    <t>Phò Tham</t>
  </si>
  <si>
    <t xml:space="preserve">Xơi </t>
  </si>
  <si>
    <t>Nang Mi</t>
  </si>
  <si>
    <t>Xang</t>
  </si>
  <si>
    <t>Nuc</t>
  </si>
  <si>
    <t>Phò Thiên</t>
  </si>
  <si>
    <t>Nàng Chăn A</t>
  </si>
  <si>
    <t>Nang Thong</t>
  </si>
  <si>
    <t>Sủng</t>
  </si>
  <si>
    <t>Lat Sa Mi</t>
  </si>
  <si>
    <t>Nhông</t>
  </si>
  <si>
    <t>Mè Tham</t>
  </si>
  <si>
    <t>Nang Hỏm</t>
  </si>
  <si>
    <t>Dom</t>
  </si>
  <si>
    <t>Đội 1</t>
  </si>
  <si>
    <t>Si Le</t>
  </si>
  <si>
    <t>ĐỘI 2</t>
  </si>
  <si>
    <t>Lếc</t>
  </si>
  <si>
    <t>Hăm Lẹ</t>
  </si>
  <si>
    <t>Vông</t>
  </si>
  <si>
    <t>Ma Ni Son</t>
  </si>
  <si>
    <t>Cong Ma</t>
  </si>
  <si>
    <t>Két</t>
  </si>
  <si>
    <t>Măn</t>
  </si>
  <si>
    <t>Soi</t>
  </si>
  <si>
    <t>Pò Mòm</t>
  </si>
  <si>
    <t>Pệt</t>
  </si>
  <si>
    <t>Khay Khăm</t>
  </si>
  <si>
    <t>Ô Lích</t>
  </si>
  <si>
    <t>Va Khăm</t>
  </si>
  <si>
    <t>Căn Nha</t>
  </si>
  <si>
    <t>Nọi (2)</t>
  </si>
  <si>
    <t>Lợt</t>
  </si>
  <si>
    <t>Ếch</t>
  </si>
  <si>
    <t>Híp</t>
  </si>
  <si>
    <t>Pử</t>
  </si>
  <si>
    <t>Mi</t>
  </si>
  <si>
    <t>Ừm</t>
  </si>
  <si>
    <t>Thông May</t>
  </si>
  <si>
    <t>Su Ki</t>
  </si>
  <si>
    <t>Xút Chay</t>
  </si>
  <si>
    <t>Khăm Ma Ny</t>
  </si>
  <si>
    <t>Lúi</t>
  </si>
  <si>
    <t>Thong Đeng</t>
  </si>
  <si>
    <t>Choi (2)</t>
  </si>
  <si>
    <t>Bua Pha</t>
  </si>
  <si>
    <t>Thong La</t>
  </si>
  <si>
    <t>A Nan</t>
  </si>
  <si>
    <t>In Pon</t>
  </si>
  <si>
    <t>Xi Đa (2)</t>
  </si>
  <si>
    <t>Bun Sóng</t>
  </si>
  <si>
    <t>Tỏng</t>
  </si>
  <si>
    <t>Vá</t>
  </si>
  <si>
    <t>Su Ly</t>
  </si>
  <si>
    <t>Pò Vy</t>
  </si>
  <si>
    <t>Đeng</t>
  </si>
  <si>
    <t>Pừng</t>
  </si>
  <si>
    <t>Xi Chăn</t>
  </si>
  <si>
    <t>Na Ly</t>
  </si>
  <si>
    <t>Chăn Đi</t>
  </si>
  <si>
    <t>Phôm Ma</t>
  </si>
  <si>
    <t>Lăm (2)</t>
  </si>
  <si>
    <t>Lích</t>
  </si>
  <si>
    <t>Lăm Phon (2)</t>
  </si>
  <si>
    <t>Bun Thay</t>
  </si>
  <si>
    <t>Ta luông</t>
  </si>
  <si>
    <t>Phim Phon</t>
  </si>
  <si>
    <t>Tu La</t>
  </si>
  <si>
    <t>Noi</t>
  </si>
  <si>
    <t>Hắm Nọi</t>
  </si>
  <si>
    <t>Pheng Phăn</t>
  </si>
  <si>
    <t>Mủ xirum 2</t>
  </si>
  <si>
    <t>ĐỘI 3</t>
  </si>
  <si>
    <t>Khôn (3)</t>
  </si>
  <si>
    <t>Long</t>
  </si>
  <si>
    <t>Méo</t>
  </si>
  <si>
    <t>Chay</t>
  </si>
  <si>
    <t>Quy</t>
  </si>
  <si>
    <t>Nang Ta</t>
  </si>
  <si>
    <t>Hông</t>
  </si>
  <si>
    <t>Chinh</t>
  </si>
  <si>
    <t>Nhôn</t>
  </si>
  <si>
    <t>Mủ xirum 3</t>
  </si>
  <si>
    <t>Thon</t>
  </si>
  <si>
    <t>Hăm (3)</t>
  </si>
  <si>
    <t>Nang (3)</t>
  </si>
  <si>
    <t>My</t>
  </si>
  <si>
    <t>Pho Thông</t>
  </si>
  <si>
    <t>Ka Púc</t>
  </si>
  <si>
    <t>Xưởng cưa</t>
  </si>
  <si>
    <t>ĐỘI 4</t>
  </si>
  <si>
    <t>Hắc Sa Đi</t>
  </si>
  <si>
    <t>Phong</t>
  </si>
  <si>
    <t>Phương</t>
  </si>
  <si>
    <t>Mủ xirum 4</t>
  </si>
  <si>
    <t>Công bốc mủ</t>
  </si>
  <si>
    <t>ĐỘI 5</t>
  </si>
  <si>
    <t>Sin Thoang</t>
  </si>
  <si>
    <t xml:space="preserve">Thảo Súc </t>
  </si>
  <si>
    <t>Thảo Len</t>
  </si>
  <si>
    <t>Mủ xirum 5</t>
  </si>
  <si>
    <t>ĐỘI 6</t>
  </si>
  <si>
    <t>Phụ cấp VC năm nhất</t>
  </si>
  <si>
    <t>Pua Say</t>
  </si>
  <si>
    <t>A Cum (6)</t>
  </si>
  <si>
    <t>Ôđay</t>
  </si>
  <si>
    <t>Phụ cấp đồi 3 cầu</t>
  </si>
  <si>
    <t>Đội 2</t>
  </si>
  <si>
    <t>Đội 3</t>
  </si>
  <si>
    <t>Đội 5</t>
  </si>
  <si>
    <t>XC</t>
  </si>
  <si>
    <t>TC</t>
  </si>
  <si>
    <t>Tổng</t>
  </si>
  <si>
    <t>Phum</t>
  </si>
  <si>
    <t>Say</t>
  </si>
  <si>
    <t>BẢNG THANH TOÁN PHỤ CẤP NGÀY CÔNG CHO CÔNG NHÂN TRỰC TIẾP                                                                       THÁNG 11 NĂM 2024</t>
  </si>
  <si>
    <t>Ngày công</t>
  </si>
  <si>
    <t>Tổng công</t>
  </si>
  <si>
    <t xml:space="preserve">Ký nhận </t>
  </si>
  <si>
    <t>2/11</t>
  </si>
  <si>
    <t>3/11</t>
  </si>
  <si>
    <t>4/11</t>
  </si>
  <si>
    <t>5/11</t>
  </si>
  <si>
    <t>X</t>
  </si>
  <si>
    <t>Thảo chòi</t>
  </si>
  <si>
    <t>Kệt</t>
  </si>
  <si>
    <t>Phò Mom</t>
  </si>
  <si>
    <t>Nọi</t>
  </si>
  <si>
    <t>Éc ( Thỉa)</t>
  </si>
  <si>
    <t>Hắm ( Say)</t>
  </si>
  <si>
    <t>Ửm</t>
  </si>
  <si>
    <t>Khăm Ma Ni</t>
  </si>
  <si>
    <t>Choi</t>
  </si>
  <si>
    <t>Xi Đa</t>
  </si>
  <si>
    <t>Tông</t>
  </si>
  <si>
    <t>Phò Vy</t>
  </si>
  <si>
    <t>Na ly</t>
  </si>
  <si>
    <t>Lăm</t>
  </si>
  <si>
    <t>Lăm Phon</t>
  </si>
  <si>
    <t>Ta Long</t>
  </si>
  <si>
    <t>Hăm Nọi</t>
  </si>
  <si>
    <t>CN</t>
  </si>
  <si>
    <t>Khương</t>
  </si>
  <si>
    <t>Chec</t>
  </si>
  <si>
    <t>Tảnh</t>
  </si>
  <si>
    <t>TT</t>
  </si>
  <si>
    <t>Lan</t>
  </si>
  <si>
    <t xml:space="preserve">Sít </t>
  </si>
  <si>
    <t>XA Mon</t>
  </si>
  <si>
    <t>Tha Von</t>
  </si>
  <si>
    <t xml:space="preserve">Minh </t>
  </si>
  <si>
    <t>Keo la</t>
  </si>
  <si>
    <t>Nay</t>
  </si>
  <si>
    <t xml:space="preserve">Mở </t>
  </si>
  <si>
    <t>Bun Ma</t>
  </si>
  <si>
    <t xml:space="preserve">Lâm </t>
  </si>
  <si>
    <t xml:space="preserve"> Bun pheng</t>
  </si>
  <si>
    <t>Pong</t>
  </si>
  <si>
    <t xml:space="preserve">Thay </t>
  </si>
  <si>
    <t>Chăn</t>
  </si>
  <si>
    <t>Xay du</t>
  </si>
  <si>
    <t xml:space="preserve">Thêm </t>
  </si>
  <si>
    <t>Hac sa đi</t>
  </si>
  <si>
    <t>Bêm</t>
  </si>
  <si>
    <t xml:space="preserve">Khôn </t>
  </si>
  <si>
    <t>Tho</t>
  </si>
  <si>
    <t xml:space="preserve">Văn </t>
  </si>
  <si>
    <t>Nàng Mom</t>
  </si>
  <si>
    <t>Nàng Von</t>
  </si>
  <si>
    <t>Nét</t>
  </si>
  <si>
    <t>Xai</t>
  </si>
  <si>
    <t xml:space="preserve">E </t>
  </si>
  <si>
    <t>Keo</t>
  </si>
  <si>
    <t>N.Lâm</t>
  </si>
  <si>
    <t>T.Kợt</t>
  </si>
  <si>
    <t>T.Son</t>
  </si>
  <si>
    <t xml:space="preserve">Sắc </t>
  </si>
  <si>
    <t>Thảo Bợt</t>
  </si>
  <si>
    <t>Đăm</t>
  </si>
  <si>
    <t>Viên</t>
  </si>
  <si>
    <t>Sa May</t>
  </si>
  <si>
    <t>Khăm Bay</t>
  </si>
  <si>
    <t>P.Mong</t>
  </si>
  <si>
    <t>A.Chon</t>
  </si>
  <si>
    <t>LạC Khon</t>
  </si>
  <si>
    <t>Si le</t>
  </si>
  <si>
    <t>CN cán mủ</t>
  </si>
  <si>
    <t>Le</t>
  </si>
  <si>
    <t>An</t>
  </si>
  <si>
    <t>Nhắt</t>
  </si>
  <si>
    <t>Pô</t>
  </si>
  <si>
    <t>Cà đăm</t>
  </si>
  <si>
    <t>Mảy</t>
  </si>
  <si>
    <t>Bun su</t>
  </si>
  <si>
    <t>Tốt</t>
  </si>
  <si>
    <t>TỔNG</t>
  </si>
  <si>
    <t>(Số tiền bằng chữ: Một trăm năm mươi tám triệu, bốn trăm nghìn kíp)</t>
  </si>
  <si>
    <t>Huyện phìn, ngày 30 tháng 11 năm 2024</t>
  </si>
  <si>
    <t>NÔNG TRƯỜNG 1</t>
  </si>
  <si>
    <t>NGƯỜI LẬP</t>
  </si>
  <si>
    <t>Nguyễn Thị Thu Hiền</t>
  </si>
  <si>
    <t>TỔNG GIÁM ĐỐC</t>
  </si>
  <si>
    <t xml:space="preserve">                  PHÒNG TC - KT</t>
  </si>
  <si>
    <t>PHÒNG TC - HC</t>
  </si>
  <si>
    <t>CỘNG HOÀ DÂN CHỦ NHÂN DÂN LÀO</t>
  </si>
  <si>
    <t>Hoà bình - Độc lập - Dân chủ - Thống nhất - Thịnh vượng</t>
  </si>
  <si>
    <t>----oOo----</t>
  </si>
  <si>
    <t xml:space="preserve">               NÔNG TRƯỜNG CAO SU SỐ 1</t>
  </si>
  <si>
    <t>BẢNG LƯƠNG CB QUẢN LÝ &amp; CN TRỰC TIẾP NGƯỜI LÀO THÁNG 11 NĂM 2024</t>
  </si>
  <si>
    <t xml:space="preserve">Tỷ giá Bath qua Kip </t>
  </si>
  <si>
    <t>Stt</t>
  </si>
  <si>
    <t>Mã nhân viên</t>
  </si>
  <si>
    <t xml:space="preserve">Lào </t>
  </si>
  <si>
    <t>Việt Nam</t>
  </si>
  <si>
    <t>Ký tên</t>
  </si>
  <si>
    <t>Lương</t>
  </si>
  <si>
    <t>Tổng tiền lương</t>
  </si>
  <si>
    <t>Thưởng hoàn thanh nước rút</t>
  </si>
  <si>
    <t>Thuế
 TNCN</t>
  </si>
  <si>
    <t>Tiền lương còn lại</t>
  </si>
  <si>
    <t>Lương chăm sóc</t>
  </si>
  <si>
    <t>Lương 
sản lượng</t>
  </si>
  <si>
    <t xml:space="preserve">Lương phụ cấp 
</t>
  </si>
  <si>
    <t>ì©</t>
  </si>
  <si>
    <t>§ˆ²¾¦¾ì¾¸</t>
  </si>
  <si>
    <t>§ˆ²¾¦¾¹¸¼©</t>
  </si>
  <si>
    <t>ª¿ÁÎÈ¤</t>
  </si>
  <si>
    <t>¸ñ­¤¾­</t>
  </si>
  <si>
    <t>À¤ò­À©õº­ª¾
´°½ìò©ª½²ñ­</t>
  </si>
  <si>
    <t>º÷©Îø­¡ó©µ¾¤*</t>
  </si>
  <si>
    <t>ລວມເປັນເເງິນ</t>
  </si>
  <si>
    <t>ì¸´À¤ò­»ñ®</t>
  </si>
  <si>
    <t>º¾¡º­ì¾¨
Ä©É</t>
  </si>
  <si>
    <t>À¤ò­»ñ
®ªö¸¥ò¤</t>
  </si>
  <si>
    <t>ອ່ວນ</t>
  </si>
  <si>
    <t>ຕອງ</t>
  </si>
  <si>
    <t>Thảo Mút</t>
  </si>
  <si>
    <t>ຄຳບຸນ</t>
  </si>
  <si>
    <t>ນ ວັນ</t>
  </si>
  <si>
    <t>Khai Thong</t>
  </si>
  <si>
    <t>Nang Tìng</t>
  </si>
  <si>
    <t>ແຕງ</t>
  </si>
  <si>
    <t>LaC Khon</t>
  </si>
  <si>
    <t>Nang Nút</t>
  </si>
  <si>
    <t>Thảo Nọi</t>
  </si>
  <si>
    <t>Phò Thiêm</t>
  </si>
  <si>
    <t>Nàng Nun</t>
  </si>
  <si>
    <t>Thảo Bổ</t>
  </si>
  <si>
    <t>Nàng Tủi</t>
  </si>
  <si>
    <t>Nang Miu</t>
  </si>
  <si>
    <t>Hài</t>
  </si>
  <si>
    <t>Phò Đon</t>
  </si>
  <si>
    <t>Ngui</t>
  </si>
  <si>
    <t>Ca Lo</t>
  </si>
  <si>
    <t>Xa Thít</t>
  </si>
  <si>
    <t>Ting Nọi</t>
  </si>
  <si>
    <t>Văn Thai</t>
  </si>
  <si>
    <t>Ét</t>
  </si>
  <si>
    <t>Chăm Pa Thong</t>
  </si>
  <si>
    <t>Om</t>
  </si>
  <si>
    <t>Vay</t>
  </si>
  <si>
    <t>Thảo Vê</t>
  </si>
  <si>
    <t>Thảo Păng</t>
  </si>
  <si>
    <t>Na Đi</t>
  </si>
  <si>
    <t>Lâm Ngân (1)</t>
  </si>
  <si>
    <t xml:space="preserve">Nong Đeng </t>
  </si>
  <si>
    <t>Cong Li</t>
  </si>
  <si>
    <t xml:space="preserve">Cong </t>
  </si>
  <si>
    <t xml:space="preserve">Khăm Bun </t>
  </si>
  <si>
    <t xml:space="preserve">Bô Nát </t>
  </si>
  <si>
    <t>Xiểng Miệng</t>
  </si>
  <si>
    <t>Nang Vanh</t>
  </si>
  <si>
    <t xml:space="preserve">Nang </t>
  </si>
  <si>
    <t>Nàng Nga</t>
  </si>
  <si>
    <t>Nôm Khôm</t>
  </si>
  <si>
    <t>Sung</t>
  </si>
  <si>
    <t>Hăm</t>
  </si>
  <si>
    <t>Vanh</t>
  </si>
  <si>
    <t>Phet</t>
  </si>
  <si>
    <t>Phe</t>
  </si>
  <si>
    <t>Noy</t>
  </si>
  <si>
    <t>Khụ</t>
  </si>
  <si>
    <t>Phê</t>
  </si>
  <si>
    <t>Làm Phiềng</t>
  </si>
  <si>
    <t>Lam</t>
  </si>
  <si>
    <t>Pu</t>
  </si>
  <si>
    <t xml:space="preserve">Tôn </t>
  </si>
  <si>
    <t>Nàng Híp</t>
  </si>
  <si>
    <t>Khăn Ta</t>
  </si>
  <si>
    <t>Phươn</t>
  </si>
  <si>
    <t>Điêu</t>
  </si>
  <si>
    <t>Mút</t>
  </si>
  <si>
    <t>Phơi</t>
  </si>
  <si>
    <t>Lầm Xi</t>
  </si>
  <si>
    <t>Chum</t>
  </si>
  <si>
    <t>Chòi</t>
  </si>
  <si>
    <t>Kít Ling</t>
  </si>
  <si>
    <t>Chek</t>
  </si>
  <si>
    <t>T. Thô</t>
  </si>
  <si>
    <t xml:space="preserve">La </t>
  </si>
  <si>
    <t>Ni</t>
  </si>
  <si>
    <t>Nàng Mi</t>
  </si>
  <si>
    <t>Na Li</t>
  </si>
  <si>
    <t>Cha Lon</t>
  </si>
  <si>
    <t>Kong Chai</t>
  </si>
  <si>
    <t>Thảo Súc</t>
  </si>
  <si>
    <t xml:space="preserve">Thảo </t>
  </si>
  <si>
    <t>Hỏm</t>
  </si>
  <si>
    <t>Đon (1)</t>
  </si>
  <si>
    <t>Khom</t>
  </si>
  <si>
    <t>Đong</t>
  </si>
  <si>
    <t>Đao Vi</t>
  </si>
  <si>
    <t>Nàng Chăn B</t>
  </si>
  <si>
    <t>Pat Sa Đi</t>
  </si>
  <si>
    <t>Nin</t>
  </si>
  <si>
    <t>Nang</t>
  </si>
  <si>
    <t>Son (1)</t>
  </si>
  <si>
    <t>Xin</t>
  </si>
  <si>
    <t>Xen</t>
  </si>
  <si>
    <t>Sắc (1)</t>
  </si>
  <si>
    <t>Sin</t>
  </si>
  <si>
    <t>Pê</t>
  </si>
  <si>
    <t>Pon</t>
  </si>
  <si>
    <t>Phêt sa mon</t>
  </si>
  <si>
    <t xml:space="preserve">Phêt </t>
  </si>
  <si>
    <t>Póm</t>
  </si>
  <si>
    <t>N. Min Ta</t>
  </si>
  <si>
    <t>T. Ô Vên</t>
  </si>
  <si>
    <t>T. Sa Văn</t>
  </si>
  <si>
    <t>T. In Ta La</t>
  </si>
  <si>
    <t>N. Vạt</t>
  </si>
  <si>
    <t>T. A Lay</t>
  </si>
  <si>
    <t>T. Bi Ly</t>
  </si>
  <si>
    <t>N. Phôn 1</t>
  </si>
  <si>
    <t>T Căng</t>
  </si>
  <si>
    <t>N. Ky</t>
  </si>
  <si>
    <t>T. In Păn</t>
  </si>
  <si>
    <t>T. Bun Năm</t>
  </si>
  <si>
    <t>T. Thong Đon</t>
  </si>
  <si>
    <t>T. Hin</t>
  </si>
  <si>
    <t>T. Văn Na</t>
  </si>
  <si>
    <t>T. Xôm Va Nít</t>
  </si>
  <si>
    <t>N. La</t>
  </si>
  <si>
    <t>T. Đi</t>
  </si>
  <si>
    <t>T. Khăm Say.</t>
  </si>
  <si>
    <t>T. Ngôn</t>
  </si>
  <si>
    <t xml:space="preserve">N. Khăm </t>
  </si>
  <si>
    <t>N. Phôn</t>
  </si>
  <si>
    <t>KhămPhườn</t>
  </si>
  <si>
    <t xml:space="preserve">Nang On Teng </t>
  </si>
  <si>
    <t>T. Đôn Ma</t>
  </si>
  <si>
    <t>T Nôn</t>
  </si>
  <si>
    <t>N. Khăm..</t>
  </si>
  <si>
    <t>Nang La Ty</t>
  </si>
  <si>
    <t>C. Trang</t>
  </si>
  <si>
    <t>T. Ni On</t>
  </si>
  <si>
    <t>Thảo Lẹ</t>
  </si>
  <si>
    <t>t. Văn Na</t>
  </si>
  <si>
    <t>T Núc</t>
  </si>
  <si>
    <t>T. Phon</t>
  </si>
  <si>
    <t>T . Tom</t>
  </si>
  <si>
    <t>T. Son Sa May</t>
  </si>
  <si>
    <t>N. Lắt Sa Mi</t>
  </si>
  <si>
    <t>N Seng</t>
  </si>
  <si>
    <t>T. Pha Đi</t>
  </si>
  <si>
    <t>T . Kỷ</t>
  </si>
  <si>
    <t>Cong Ma Ny</t>
  </si>
  <si>
    <t>Khăm Phiêng</t>
  </si>
  <si>
    <t>Khiêng Khăm</t>
  </si>
  <si>
    <t>N. Tieng Na</t>
  </si>
  <si>
    <t>N. Sôm Phon</t>
  </si>
  <si>
    <t>ບົວຄຳ</t>
  </si>
  <si>
    <t>Khăn Hạ</t>
  </si>
  <si>
    <t>N. Xúc</t>
  </si>
  <si>
    <t>T. Nú</t>
  </si>
  <si>
    <t>T . Lú</t>
  </si>
  <si>
    <t>T. A lem</t>
  </si>
  <si>
    <t>T. Chăn</t>
  </si>
  <si>
    <t>T . Cổ</t>
  </si>
  <si>
    <t>N. Phim Pha</t>
  </si>
  <si>
    <t>T. A Ba</t>
  </si>
  <si>
    <t>T. Chỏ</t>
  </si>
  <si>
    <t>T. Lăm Phon</t>
  </si>
  <si>
    <t>N. Mom</t>
  </si>
  <si>
    <t>Xô La</t>
  </si>
  <si>
    <t>N. Teo</t>
  </si>
  <si>
    <t>T . Thau</t>
  </si>
  <si>
    <t xml:space="preserve">T. Vi </t>
  </si>
  <si>
    <t>Khâm Đi</t>
  </si>
  <si>
    <t>T. Ve</t>
  </si>
  <si>
    <t>T. Thèo</t>
  </si>
  <si>
    <t>Kèo Xột</t>
  </si>
  <si>
    <t>N. Chít</t>
  </si>
  <si>
    <t>N. Căn Da</t>
  </si>
  <si>
    <t>T. Phim</t>
  </si>
  <si>
    <t>T Chăn Thi</t>
  </si>
  <si>
    <t>N. Văn Thong</t>
  </si>
  <si>
    <t>N. Sủm</t>
  </si>
  <si>
    <t>T. Dở</t>
  </si>
  <si>
    <t>T. Pơn</t>
  </si>
  <si>
    <t>T. Tắt</t>
  </si>
  <si>
    <t>T Viêng</t>
  </si>
  <si>
    <t>T.Xê</t>
  </si>
  <si>
    <t>T. Hách</t>
  </si>
  <si>
    <t>N. Kẻ</t>
  </si>
  <si>
    <t>T.Mon</t>
  </si>
  <si>
    <t>T.Nuộc</t>
  </si>
  <si>
    <t>T Phết</t>
  </si>
  <si>
    <t>T. Mít</t>
  </si>
  <si>
    <t>Bông Tày</t>
  </si>
  <si>
    <t>N. Vay</t>
  </si>
  <si>
    <t>T. Đông</t>
  </si>
  <si>
    <t>N. Lay</t>
  </si>
  <si>
    <t>Lăm Phay.</t>
  </si>
  <si>
    <t>T. Sắc</t>
  </si>
  <si>
    <t>T Pết</t>
  </si>
  <si>
    <t>N. Khan</t>
  </si>
  <si>
    <t>Khăm Xúc</t>
  </si>
  <si>
    <t>T Cổ</t>
  </si>
  <si>
    <t>T. Be</t>
  </si>
  <si>
    <t>T . Mưn</t>
  </si>
  <si>
    <t>T. Ô</t>
  </si>
  <si>
    <t>N. Múc</t>
  </si>
  <si>
    <t>T. Nọi</t>
  </si>
  <si>
    <t>T. Mi</t>
  </si>
  <si>
    <t>Nàng Lao</t>
  </si>
  <si>
    <t>Thao Nhầy</t>
  </si>
  <si>
    <t>T. Xủm</t>
  </si>
  <si>
    <t>N.Phon</t>
  </si>
  <si>
    <t>T. Choi</t>
  </si>
  <si>
    <t>N. Lã</t>
  </si>
  <si>
    <t>Vông Chăn</t>
  </si>
  <si>
    <t>T. Pê</t>
  </si>
  <si>
    <t>N. Phút</t>
  </si>
  <si>
    <t>T. Ta Han</t>
  </si>
  <si>
    <t>T. Ỉa</t>
  </si>
  <si>
    <t>T. Khăm</t>
  </si>
  <si>
    <t>N. Muôn</t>
  </si>
  <si>
    <t xml:space="preserve">T. Xi </t>
  </si>
  <si>
    <t>T Ka Ly</t>
  </si>
  <si>
    <t>Phò Đào</t>
  </si>
  <si>
    <t>Phò Đừ</t>
  </si>
  <si>
    <t>A Rơ</t>
  </si>
  <si>
    <t>A Phưng</t>
  </si>
  <si>
    <t>Nun</t>
  </si>
  <si>
    <t xml:space="preserve">Xúc </t>
  </si>
  <si>
    <t>Van</t>
  </si>
  <si>
    <t>Mè Nang</t>
  </si>
  <si>
    <t>A Cát</t>
  </si>
  <si>
    <t>Côm</t>
  </si>
  <si>
    <t>Phò Văn</t>
  </si>
  <si>
    <t xml:space="preserve">Phò mai </t>
  </si>
  <si>
    <t>Han</t>
  </si>
  <si>
    <t>Xum Xay</t>
  </si>
  <si>
    <t>A Mế</t>
  </si>
  <si>
    <t>A Ca</t>
  </si>
  <si>
    <t xml:space="preserve">Phò Ka Đa </t>
  </si>
  <si>
    <t>Phò Lơ</t>
  </si>
  <si>
    <t>A Tày</t>
  </si>
  <si>
    <t>A Ky</t>
  </si>
  <si>
    <t>Then</t>
  </si>
  <si>
    <t>A Kỷ</t>
  </si>
  <si>
    <t xml:space="preserve">Tươi </t>
  </si>
  <si>
    <t>Ang</t>
  </si>
  <si>
    <t>A Pan</t>
  </si>
  <si>
    <t xml:space="preserve">Phút </t>
  </si>
  <si>
    <t>A Băn</t>
  </si>
  <si>
    <t xml:space="preserve">A kẻ </t>
  </si>
  <si>
    <t>A Têm</t>
  </si>
  <si>
    <t>A Cơ</t>
  </si>
  <si>
    <t>Phò Xiu</t>
  </si>
  <si>
    <t>A Siu</t>
  </si>
  <si>
    <t>Bô Li Phăn</t>
  </si>
  <si>
    <t>A Ma</t>
  </si>
  <si>
    <t>A Ngáy</t>
  </si>
  <si>
    <t>Thưng</t>
  </si>
  <si>
    <t>A Bốt A</t>
  </si>
  <si>
    <t>A Mư</t>
  </si>
  <si>
    <t>A Bã</t>
  </si>
  <si>
    <t>Chăn thô</t>
  </si>
  <si>
    <t>Khăm Mừng</t>
  </si>
  <si>
    <t>A Bốt B</t>
  </si>
  <si>
    <t>Veo</t>
  </si>
  <si>
    <t>Lớt</t>
  </si>
  <si>
    <t>A Nang</t>
  </si>
  <si>
    <t>Tỷ</t>
  </si>
  <si>
    <t>Sai Khăm</t>
  </si>
  <si>
    <t>Sối</t>
  </si>
  <si>
    <t>Vy</t>
  </si>
  <si>
    <t>Lay Viêng</t>
  </si>
  <si>
    <t>Chỏi</t>
  </si>
  <si>
    <t>Thỉa</t>
  </si>
  <si>
    <t>Nang Nọi (2)</t>
  </si>
  <si>
    <t>Nang Bun</t>
  </si>
  <si>
    <t>Ly</t>
  </si>
  <si>
    <t>My Na</t>
  </si>
  <si>
    <t>Ta Luông</t>
  </si>
  <si>
    <t>Đỏc Sỏn</t>
  </si>
  <si>
    <t>Ép</t>
  </si>
  <si>
    <t>ຕຸລາ</t>
  </si>
  <si>
    <t>Thong</t>
  </si>
  <si>
    <t>Hằng</t>
  </si>
  <si>
    <t>Tý</t>
  </si>
  <si>
    <t>Lâm</t>
  </si>
  <si>
    <t>Cợt</t>
  </si>
  <si>
    <t>ແວວ</t>
  </si>
  <si>
    <t>Cha Nang</t>
  </si>
  <si>
    <t>Khăm Le</t>
  </si>
  <si>
    <t>A Cả</t>
  </si>
  <si>
    <t>A Kết</t>
  </si>
  <si>
    <t>A Ba</t>
  </si>
  <si>
    <t>A Đôn</t>
  </si>
  <si>
    <t>A  Luân</t>
  </si>
  <si>
    <t>A xệt</t>
  </si>
  <si>
    <t>Cha Phau</t>
  </si>
  <si>
    <t>Khô</t>
  </si>
  <si>
    <t>Nàng Thi</t>
  </si>
  <si>
    <t>Nàng Na</t>
  </si>
  <si>
    <t>Thảo kỷ</t>
  </si>
  <si>
    <t>Nàng Lem</t>
  </si>
  <si>
    <t>Thảo Khăm</t>
  </si>
  <si>
    <t>A Bối</t>
  </si>
  <si>
    <t>A Côm</t>
  </si>
  <si>
    <t>A Nhớp</t>
  </si>
  <si>
    <t>Nàng cu Đạp</t>
  </si>
  <si>
    <t>Thảo Pôn</t>
  </si>
  <si>
    <t>Nàng Khung</t>
  </si>
  <si>
    <t>Mẹ Văn</t>
  </si>
  <si>
    <t>Phò Choi</t>
  </si>
  <si>
    <t>A Chăn</t>
  </si>
  <si>
    <t>A Nem</t>
  </si>
  <si>
    <t>Cha Pau</t>
  </si>
  <si>
    <t>Khăm Xén</t>
  </si>
  <si>
    <t>Phoong</t>
  </si>
  <si>
    <t>A Ra</t>
  </si>
  <si>
    <t>Thảo Sơm Mai</t>
  </si>
  <si>
    <t>Thảo Long</t>
  </si>
  <si>
    <t>Thảo Bùa Khăm</t>
  </si>
  <si>
    <t>Thảo Séng</t>
  </si>
  <si>
    <t>Thảo Pau</t>
  </si>
  <si>
    <t>Thảo Roan</t>
  </si>
  <si>
    <t>Thảo ớp p'Lúp</t>
  </si>
  <si>
    <t>Thảo Hắc</t>
  </si>
  <si>
    <t>Phò Thêm</t>
  </si>
  <si>
    <t>Thảo Chết</t>
  </si>
  <si>
    <t>A Pom</t>
  </si>
  <si>
    <t>Thảo Tà Pệc</t>
  </si>
  <si>
    <t>Thảo A Pên</t>
  </si>
  <si>
    <t>Thảo A Lai</t>
  </si>
  <si>
    <t>Thảo Phệ</t>
  </si>
  <si>
    <t>Thảo A Luốc</t>
  </si>
  <si>
    <t>Thảo Sâm Lết</t>
  </si>
  <si>
    <t>Thảo Việt</t>
  </si>
  <si>
    <t>Thảo Khêm</t>
  </si>
  <si>
    <t>A Đơm</t>
  </si>
  <si>
    <t>Manh</t>
  </si>
  <si>
    <t>A Lau</t>
  </si>
  <si>
    <t>A Tha</t>
  </si>
  <si>
    <t>Khăm Son</t>
  </si>
  <si>
    <t>Xin Xay</t>
  </si>
  <si>
    <t>Von</t>
  </si>
  <si>
    <t>Tà Mai</t>
  </si>
  <si>
    <t>Nàng Pa Têng</t>
  </si>
  <si>
    <t>A Seo</t>
  </si>
  <si>
    <t>Thảo Ụ</t>
  </si>
  <si>
    <t>Thảo Vắt</t>
  </si>
  <si>
    <t>Thảo ALuốc</t>
  </si>
  <si>
    <t>Thảo E</t>
  </si>
  <si>
    <t>A Đeng</t>
  </si>
  <si>
    <t>Thảo A Nhem</t>
  </si>
  <si>
    <t>A Sớt</t>
  </si>
  <si>
    <t>A Thuần</t>
  </si>
  <si>
    <t>A Nhung</t>
  </si>
  <si>
    <t>Bò Khiên</t>
  </si>
  <si>
    <t>A Thay</t>
  </si>
  <si>
    <t>A Thưng</t>
  </si>
  <si>
    <t>A Loong</t>
  </si>
  <si>
    <t>A Khươn</t>
  </si>
  <si>
    <t>A Hồng</t>
  </si>
  <si>
    <t>A Sing</t>
  </si>
  <si>
    <t>P.Măn</t>
  </si>
  <si>
    <t>A Xinh</t>
  </si>
  <si>
    <t>P.Thay</t>
  </si>
  <si>
    <t>Chiệp</t>
  </si>
  <si>
    <t>Ra Măn</t>
  </si>
  <si>
    <t>P.Xeng</t>
  </si>
  <si>
    <t>A Phương</t>
  </si>
  <si>
    <t>A Pa</t>
  </si>
  <si>
    <t>P.Ăm</t>
  </si>
  <si>
    <t>P.Khăm</t>
  </si>
  <si>
    <t>A Tè</t>
  </si>
  <si>
    <t>Đốt</t>
  </si>
  <si>
    <t>Phun Thong</t>
  </si>
  <si>
    <t>Thông Đăm</t>
  </si>
  <si>
    <t>A Bươi</t>
  </si>
  <si>
    <t>Lun</t>
  </si>
  <si>
    <t>Phò Xing</t>
  </si>
  <si>
    <t>Ta Lốt</t>
  </si>
  <si>
    <t>A Phay</t>
  </si>
  <si>
    <t>A Hing</t>
  </si>
  <si>
    <t>Ói</t>
  </si>
  <si>
    <t>Ta Dạt</t>
  </si>
  <si>
    <t>A Tốt</t>
  </si>
  <si>
    <t>Ta Học</t>
  </si>
  <si>
    <t>Phò Têng</t>
  </si>
  <si>
    <t>Ma</t>
  </si>
  <si>
    <t>Phò Thoong</t>
  </si>
  <si>
    <t>Cha Hô</t>
  </si>
  <si>
    <t>P Lăng</t>
  </si>
  <si>
    <t>A Lay</t>
  </si>
  <si>
    <t>A Lóc</t>
  </si>
  <si>
    <t>Ngân</t>
  </si>
  <si>
    <t>A Tay</t>
  </si>
  <si>
    <t>A Vêu</t>
  </si>
  <si>
    <t>A Long</t>
  </si>
  <si>
    <t>Tà Khơ</t>
  </si>
  <si>
    <t>Phò Xưa</t>
  </si>
  <si>
    <t>Thông Chăng</t>
  </si>
  <si>
    <t>A Bưng</t>
  </si>
  <si>
    <t>Phò viên</t>
  </si>
  <si>
    <t>Công Chay</t>
  </si>
  <si>
    <t>Souliya Chanthakhot</t>
  </si>
  <si>
    <t>Nang May</t>
  </si>
  <si>
    <t>Thảo Deng</t>
  </si>
  <si>
    <t>A Lựa</t>
  </si>
  <si>
    <t>Nang Chanh</t>
  </si>
  <si>
    <t>Thảo Si von</t>
  </si>
  <si>
    <t>Thảo Bun</t>
  </si>
  <si>
    <t>A Căm</t>
  </si>
  <si>
    <t>Thảo Ly</t>
  </si>
  <si>
    <t>Phò Lay</t>
  </si>
  <si>
    <t>Phò Hung</t>
  </si>
  <si>
    <t>Phò Núi</t>
  </si>
  <si>
    <t>Phò Linh</t>
  </si>
  <si>
    <t>Bun Ka</t>
  </si>
  <si>
    <t>Phò Bang</t>
  </si>
  <si>
    <t>Phò Đắc</t>
  </si>
  <si>
    <t>Thảo Chay</t>
  </si>
  <si>
    <t>Thao E</t>
  </si>
  <si>
    <t>Phò Súc</t>
  </si>
  <si>
    <t>A Ven</t>
  </si>
  <si>
    <t>Phò Lưa</t>
  </si>
  <si>
    <t>Cha Nuôi</t>
  </si>
  <si>
    <t>Thao Hải</t>
  </si>
  <si>
    <t>Thao Song</t>
  </si>
  <si>
    <t>Thao Nha</t>
  </si>
  <si>
    <t>Sút Chai</t>
  </si>
  <si>
    <t>Mon</t>
  </si>
  <si>
    <t>Thao Lúa</t>
  </si>
  <si>
    <t>Ông Mai</t>
  </si>
  <si>
    <t>Nang Luy</t>
  </si>
  <si>
    <t>Thảo La</t>
  </si>
  <si>
    <t>Thảo Lay</t>
  </si>
  <si>
    <t>Thảo Thong</t>
  </si>
  <si>
    <t>Thảo Chăn</t>
  </si>
  <si>
    <t>ກອຍ</t>
  </si>
  <si>
    <t>Tà</t>
  </si>
  <si>
    <t>Man</t>
  </si>
  <si>
    <t>Ten</t>
  </si>
  <si>
    <t>Xi No (3)</t>
  </si>
  <si>
    <t>Son (3)</t>
  </si>
  <si>
    <t>Nàng Ta</t>
  </si>
  <si>
    <t>Thảo Sone</t>
  </si>
  <si>
    <t>Thảo Pha (3)</t>
  </si>
  <si>
    <t>Than Va</t>
  </si>
  <si>
    <t>Phon</t>
  </si>
  <si>
    <t>Mai</t>
  </si>
  <si>
    <t>MaLy</t>
  </si>
  <si>
    <t>PaLay</t>
  </si>
  <si>
    <t>Văng Thong</t>
  </si>
  <si>
    <t>Khăm Đen</t>
  </si>
  <si>
    <t>Thảo Mõ</t>
  </si>
  <si>
    <t>Thảo Loi</t>
  </si>
  <si>
    <t>Nàng On</t>
  </si>
  <si>
    <t>Lăng Ki</t>
  </si>
  <si>
    <t>Thõng</t>
  </si>
  <si>
    <t>Nàng Vi</t>
  </si>
  <si>
    <t>Thảo Xà Núc</t>
  </si>
  <si>
    <t>Xing Xay</t>
  </si>
  <si>
    <t xml:space="preserve">Nàng Mom </t>
  </si>
  <si>
    <t>Thảo Kiên</t>
  </si>
  <si>
    <t>Lu Ka</t>
  </si>
  <si>
    <t>Thảo Thiên</t>
  </si>
  <si>
    <t>Nàng Viên</t>
  </si>
  <si>
    <t>Nàng Xiên</t>
  </si>
  <si>
    <t xml:space="preserve">Nàng Xăn </t>
  </si>
  <si>
    <t>Xi Von</t>
  </si>
  <si>
    <t>Õ</t>
  </si>
  <si>
    <t>Thảo Ngôn</t>
  </si>
  <si>
    <t>Nàng Xôn</t>
  </si>
  <si>
    <t xml:space="preserve">Đi Kan </t>
  </si>
  <si>
    <t>Thảo Cong</t>
  </si>
  <si>
    <t>Thảo Khắn</t>
  </si>
  <si>
    <t>Thảo Lục</t>
  </si>
  <si>
    <t>Nàng Lay</t>
  </si>
  <si>
    <t>Thảo Ngan</t>
  </si>
  <si>
    <t>Nàng Xan</t>
  </si>
  <si>
    <t>Thảo Xà On</t>
  </si>
  <si>
    <t>Thảo Ka Li</t>
  </si>
  <si>
    <t>Thảo On</t>
  </si>
  <si>
    <t>Nàng Xon Li</t>
  </si>
  <si>
    <t xml:space="preserve">Thảo Xi Xa Văn </t>
  </si>
  <si>
    <t>Nàng Ka Lan</t>
  </si>
  <si>
    <t>Thảo Non La</t>
  </si>
  <si>
    <t>Thảo Ling La</t>
  </si>
  <si>
    <t>Thảo Oi N</t>
  </si>
  <si>
    <t>Nàng Lá Khon</t>
  </si>
  <si>
    <t xml:space="preserve">Nàng Long Keo </t>
  </si>
  <si>
    <t xml:space="preserve">Cha Li </t>
  </si>
  <si>
    <t>Thảo Hon</t>
  </si>
  <si>
    <t>Thảo Le</t>
  </si>
  <si>
    <t>Thảo Xieng La</t>
  </si>
  <si>
    <t>Thảo Phon</t>
  </si>
  <si>
    <t>Xi Con</t>
  </si>
  <si>
    <t>Thui Nuôn Ta</t>
  </si>
  <si>
    <t>Thảo King</t>
  </si>
  <si>
    <t>Thảo Von Say</t>
  </si>
  <si>
    <t>Bua Lay</t>
  </si>
  <si>
    <t>Nàng Xoi</t>
  </si>
  <si>
    <t>Thảo Lo</t>
  </si>
  <si>
    <t xml:space="preserve">Nàng Oang </t>
  </si>
  <si>
    <t>Thảo Xu Lin</t>
  </si>
  <si>
    <t>Xi Thon</t>
  </si>
  <si>
    <t>Thảo Oan</t>
  </si>
  <si>
    <t>Nàng Phông</t>
  </si>
  <si>
    <t>Thảo Xăng Ma Li</t>
  </si>
  <si>
    <t>Thảo Thon</t>
  </si>
  <si>
    <t xml:space="preserve">Thảo Đuông </t>
  </si>
  <si>
    <t>Thảo Đay</t>
  </si>
  <si>
    <t>Thảo Ou Đay</t>
  </si>
  <si>
    <t>Thảo Kha</t>
  </si>
  <si>
    <t>Kun Ta</t>
  </si>
  <si>
    <t xml:space="preserve">Thảo Oang </t>
  </si>
  <si>
    <t>Thảo Vay</t>
  </si>
  <si>
    <t>Nàng La Kan</t>
  </si>
  <si>
    <t>Ban Tha</t>
  </si>
  <si>
    <t>Thảo La Bai</t>
  </si>
  <si>
    <t xml:space="preserve">Thảo Xu Ly </t>
  </si>
  <si>
    <t>Tịa Ban</t>
  </si>
  <si>
    <t xml:space="preserve">Thảo Lang </t>
  </si>
  <si>
    <t xml:space="preserve">Thảo Keo </t>
  </si>
  <si>
    <t>Nàng Meo</t>
  </si>
  <si>
    <t>Nàng Căm</t>
  </si>
  <si>
    <t>Khang La Khon</t>
  </si>
  <si>
    <t>Thảo Xon</t>
  </si>
  <si>
    <t>Chưn</t>
  </si>
  <si>
    <t>Kôm</t>
  </si>
  <si>
    <t>Thảo Ki</t>
  </si>
  <si>
    <t>Khăm A</t>
  </si>
  <si>
    <t>Ti Nơi</t>
  </si>
  <si>
    <t xml:space="preserve">Kết </t>
  </si>
  <si>
    <t>Đôn</t>
  </si>
  <si>
    <t>Phô Phi Sít</t>
  </si>
  <si>
    <t>Pan Đạnh</t>
  </si>
  <si>
    <t>Chổ</t>
  </si>
  <si>
    <t>Bua</t>
  </si>
  <si>
    <t>Xiềng</t>
  </si>
  <si>
    <t>Ta Tam</t>
  </si>
  <si>
    <t>Than Ly</t>
  </si>
  <si>
    <t>Sôm Xác</t>
  </si>
  <si>
    <t>Đon (4)</t>
  </si>
  <si>
    <t xml:space="preserve">Lai </t>
  </si>
  <si>
    <t>Tu</t>
  </si>
  <si>
    <t>Tân</t>
  </si>
  <si>
    <t>Khon Ty</t>
  </si>
  <si>
    <t>Sôm Bát</t>
  </si>
  <si>
    <t>Công Ta</t>
  </si>
  <si>
    <t>Nàng Tè</t>
  </si>
  <si>
    <t xml:space="preserve">Núc </t>
  </si>
  <si>
    <t xml:space="preserve">Tinh </t>
  </si>
  <si>
    <t>Xiêng</t>
  </si>
  <si>
    <t>Thảo Ty</t>
  </si>
  <si>
    <t>Xẻng Văn</t>
  </si>
  <si>
    <t>Tích</t>
  </si>
  <si>
    <t>Xôm Phon</t>
  </si>
  <si>
    <t xml:space="preserve">Khon </t>
  </si>
  <si>
    <t>Pheng</t>
  </si>
  <si>
    <t>Phu Văn</t>
  </si>
  <si>
    <t xml:space="preserve">Khai Khăm </t>
  </si>
  <si>
    <t xml:space="preserve">A Kết </t>
  </si>
  <si>
    <t>Phom Si</t>
  </si>
  <si>
    <t>Pa in</t>
  </si>
  <si>
    <t>On Ta</t>
  </si>
  <si>
    <t>Bo La Đi</t>
  </si>
  <si>
    <t>Cong Panh</t>
  </si>
  <si>
    <t>Bô Lọi</t>
  </si>
  <si>
    <t>Thông</t>
  </si>
  <si>
    <t>Đông</t>
  </si>
  <si>
    <t>La Ty</t>
  </si>
  <si>
    <t>Tum</t>
  </si>
  <si>
    <t>Sít Li</t>
  </si>
  <si>
    <t>Am Xip</t>
  </si>
  <si>
    <t>Kẹo Khăm</t>
  </si>
  <si>
    <t xml:space="preserve">Má </t>
  </si>
  <si>
    <t>Xay Xôn Phon</t>
  </si>
  <si>
    <t>Sôm Phong</t>
  </si>
  <si>
    <t xml:space="preserve">Theo </t>
  </si>
  <si>
    <t>Tich Ta (4)</t>
  </si>
  <si>
    <t>Côn Tay</t>
  </si>
  <si>
    <t>Tich Ti</t>
  </si>
  <si>
    <t>Khom Pheng</t>
  </si>
  <si>
    <t>May</t>
  </si>
  <si>
    <t>Nàng Pê</t>
  </si>
  <si>
    <t>Chăn Thì</t>
  </si>
  <si>
    <t>Lăm Phơn</t>
  </si>
  <si>
    <t>Lát Sa Mi Đăm</t>
  </si>
  <si>
    <t xml:space="preserve">Khăn Ty </t>
  </si>
  <si>
    <t>Keo Vi Đi</t>
  </si>
  <si>
    <t xml:space="preserve">Mai </t>
  </si>
  <si>
    <t>Âm Phon</t>
  </si>
  <si>
    <t>A Cum</t>
  </si>
  <si>
    <t>Pha Thong</t>
  </si>
  <si>
    <t>Kiêng Keo</t>
  </si>
  <si>
    <t>Sai Ta</t>
  </si>
  <si>
    <t>A Meo</t>
  </si>
  <si>
    <t>Nàng A Mi</t>
  </si>
  <si>
    <t>Phu Khuôn</t>
  </si>
  <si>
    <t>Không</t>
  </si>
  <si>
    <t xml:space="preserve">Thông Mai </t>
  </si>
  <si>
    <t>Thảo Đen</t>
  </si>
  <si>
    <t>Say Loi</t>
  </si>
  <si>
    <t>Mai Thông</t>
  </si>
  <si>
    <t>Xi A</t>
  </si>
  <si>
    <t>Khuôn</t>
  </si>
  <si>
    <t>A Mi</t>
  </si>
  <si>
    <t>Seng Phon</t>
  </si>
  <si>
    <t>Nọi C</t>
  </si>
  <si>
    <t>Thảo Lăm</t>
  </si>
  <si>
    <t>Thảo Lam</t>
  </si>
  <si>
    <t xml:space="preserve">Phong </t>
  </si>
  <si>
    <t>Thảo Han</t>
  </si>
  <si>
    <t>Thảo Ha</t>
  </si>
  <si>
    <t>Thảo Tý</t>
  </si>
  <si>
    <t>Chăn A</t>
  </si>
  <si>
    <t>Bun Mo</t>
  </si>
  <si>
    <t>Pho Nhai</t>
  </si>
  <si>
    <t>Khăm Li</t>
  </si>
  <si>
    <t>Lơi</t>
  </si>
  <si>
    <t>Su Đít</t>
  </si>
  <si>
    <t xml:space="preserve">Xeng </t>
  </si>
  <si>
    <t>Pêt</t>
  </si>
  <si>
    <t>Nốc</t>
  </si>
  <si>
    <t>Nông</t>
  </si>
  <si>
    <t>Khít</t>
  </si>
  <si>
    <t>Muội</t>
  </si>
  <si>
    <t>Nuội</t>
  </si>
  <si>
    <t>Bun Hiên</t>
  </si>
  <si>
    <t>Luynh</t>
  </si>
  <si>
    <t>Bun Dy</t>
  </si>
  <si>
    <t>Kê Sắc</t>
  </si>
  <si>
    <t>Khoăn</t>
  </si>
  <si>
    <t xml:space="preserve">Ma Ni </t>
  </si>
  <si>
    <t>Thảo Bit</t>
  </si>
  <si>
    <t>Nu</t>
  </si>
  <si>
    <t>Sát</t>
  </si>
  <si>
    <t>Lọi</t>
  </si>
  <si>
    <t>T.Đeng</t>
  </si>
  <si>
    <t>X.Phông</t>
  </si>
  <si>
    <t>Luôm Noi</t>
  </si>
  <si>
    <t>Bờm</t>
  </si>
  <si>
    <t>Tu Mi</t>
  </si>
  <si>
    <t>Lại</t>
  </si>
  <si>
    <t>Lăm Phay</t>
  </si>
  <si>
    <t>Đao</t>
  </si>
  <si>
    <t>Da</t>
  </si>
  <si>
    <t>Bơm</t>
  </si>
  <si>
    <t>Tô</t>
  </si>
  <si>
    <t>Len</t>
  </si>
  <si>
    <t>Xông</t>
  </si>
  <si>
    <t>X.Phen</t>
  </si>
  <si>
    <t>Seng</t>
  </si>
  <si>
    <t>Ô Lê</t>
  </si>
  <si>
    <t>Khum</t>
  </si>
  <si>
    <t>Khun</t>
  </si>
  <si>
    <t>Phon (5)</t>
  </si>
  <si>
    <t>A. Chinh</t>
  </si>
  <si>
    <t xml:space="preserve">Cô </t>
  </si>
  <si>
    <t>Ê</t>
  </si>
  <si>
    <t>Kỷ</t>
  </si>
  <si>
    <t>Phen</t>
  </si>
  <si>
    <t>E Nọi</t>
  </si>
  <si>
    <t>A.Tô</t>
  </si>
  <si>
    <t>A Nha (5)</t>
  </si>
  <si>
    <t xml:space="preserve">Ma </t>
  </si>
  <si>
    <t xml:space="preserve">Oi </t>
  </si>
  <si>
    <t>Mới</t>
  </si>
  <si>
    <t>A.Phẹt</t>
  </si>
  <si>
    <t>Thư</t>
  </si>
  <si>
    <t>Nú Na</t>
  </si>
  <si>
    <t>Ka Pí</t>
  </si>
  <si>
    <t>Ta Pa</t>
  </si>
  <si>
    <t xml:space="preserve">Nhum </t>
  </si>
  <si>
    <t>Xôm Phết</t>
  </si>
  <si>
    <t>Chăn Pa</t>
  </si>
  <si>
    <t xml:space="preserve">Thông </t>
  </si>
  <si>
    <t>Sa</t>
  </si>
  <si>
    <t>A.Ki</t>
  </si>
  <si>
    <t>Bùa Phăng</t>
  </si>
  <si>
    <t xml:space="preserve">Pheo </t>
  </si>
  <si>
    <t>Khăm Ba</t>
  </si>
  <si>
    <t>Pin</t>
  </si>
  <si>
    <t>Va Khim</t>
  </si>
  <si>
    <t>A.Hương</t>
  </si>
  <si>
    <t xml:space="preserve">Phương </t>
  </si>
  <si>
    <t xml:space="preserve">Sia </t>
  </si>
  <si>
    <t>Dia</t>
  </si>
  <si>
    <t>Pắt</t>
  </si>
  <si>
    <t>Si Thập</t>
  </si>
  <si>
    <t>Suc Chay</t>
  </si>
  <si>
    <t>Pay</t>
  </si>
  <si>
    <t>En Ni</t>
  </si>
  <si>
    <t>Si Đa</t>
  </si>
  <si>
    <t>Tè Òn</t>
  </si>
  <si>
    <t>Khen Khăm</t>
  </si>
  <si>
    <t>Nàng Pệt</t>
  </si>
  <si>
    <t>Pay Phon</t>
  </si>
  <si>
    <t>Nan</t>
  </si>
  <si>
    <t>Sỉ</t>
  </si>
  <si>
    <t>Sún</t>
  </si>
  <si>
    <t>A Sun</t>
  </si>
  <si>
    <t>A.Van</t>
  </si>
  <si>
    <t xml:space="preserve">Phen </t>
  </si>
  <si>
    <t>A.Khoan</t>
  </si>
  <si>
    <t>Phơn</t>
  </si>
  <si>
    <t xml:space="preserve">Phẹt </t>
  </si>
  <si>
    <t>Mè Then</t>
  </si>
  <si>
    <t>Khăm Vuôn</t>
  </si>
  <si>
    <t xml:space="preserve">Phơn </t>
  </si>
  <si>
    <t>Kế</t>
  </si>
  <si>
    <t>Ka Tun (5)</t>
  </si>
  <si>
    <t xml:space="preserve">Năm Tan </t>
  </si>
  <si>
    <t>En Mi</t>
  </si>
  <si>
    <t xml:space="preserve">Ven </t>
  </si>
  <si>
    <t>Ta Loi</t>
  </si>
  <si>
    <t>Súc</t>
  </si>
  <si>
    <t>Khim Pông</t>
  </si>
  <si>
    <t>Nhăng</t>
  </si>
  <si>
    <t>ນາງ</t>
  </si>
  <si>
    <t>Phôm</t>
  </si>
  <si>
    <t>Thảo Lơn</t>
  </si>
  <si>
    <t>Xiên</t>
  </si>
  <si>
    <t>Bim</t>
  </si>
  <si>
    <t>Ửi</t>
  </si>
  <si>
    <t>Đi</t>
  </si>
  <si>
    <t>Nàng Vanh</t>
  </si>
  <si>
    <t>Bùn</t>
  </si>
  <si>
    <t>Nàng Là</t>
  </si>
  <si>
    <t>Đội 3-Trạm cán</t>
  </si>
  <si>
    <t>Nàng La</t>
  </si>
  <si>
    <t>Cha Long</t>
  </si>
  <si>
    <t>Khen</t>
  </si>
  <si>
    <t>Thảo Tho</t>
  </si>
  <si>
    <t>Thảo Lát</t>
  </si>
  <si>
    <t>Thảo Lai</t>
  </si>
  <si>
    <t>Thảo Lao</t>
  </si>
  <si>
    <t>Thảo Lan</t>
  </si>
  <si>
    <t>Thảo Lanh</t>
  </si>
  <si>
    <t>Thảo Lon</t>
  </si>
  <si>
    <t>Đội 3- Xưởng cưa</t>
  </si>
  <si>
    <t xml:space="preserve">ຫລັ່ງ </t>
  </si>
  <si>
    <t>Thảo Linh</t>
  </si>
  <si>
    <t>ຄຳໝັ້ນ</t>
  </si>
  <si>
    <t>Thảo U</t>
  </si>
  <si>
    <t>ແພງຕາ</t>
  </si>
  <si>
    <t>Thảo Oi</t>
  </si>
  <si>
    <t>ນ ນາງ</t>
  </si>
  <si>
    <t>ຄຳຖາວອນ</t>
  </si>
  <si>
    <t>A.Then</t>
  </si>
  <si>
    <t>ສາຍຄຳ</t>
  </si>
  <si>
    <t>ສູນທອນ</t>
  </si>
  <si>
    <t>ດ່ານ</t>
  </si>
  <si>
    <t>ພາ</t>
  </si>
  <si>
    <t>ນຸ້ຍ</t>
  </si>
  <si>
    <t>Xúc</t>
  </si>
  <si>
    <t>ແປງ</t>
  </si>
  <si>
    <t>ບ໋ອກ</t>
  </si>
  <si>
    <t>A Nhiêm</t>
  </si>
  <si>
    <t>ໝີ</t>
  </si>
  <si>
    <t>ເລິມ</t>
  </si>
  <si>
    <t>ໂພພິສິດ</t>
  </si>
  <si>
    <t>Chút</t>
  </si>
  <si>
    <t>ຄຳຫລ້າ</t>
  </si>
  <si>
    <t>Lùn</t>
  </si>
  <si>
    <t>ທອງແດງ</t>
  </si>
  <si>
    <t>A.Pạt</t>
  </si>
  <si>
    <t>ບຸນມາ</t>
  </si>
  <si>
    <t>Hăm (6)</t>
  </si>
  <si>
    <t>A Nạt</t>
  </si>
  <si>
    <t xml:space="preserve">Múc </t>
  </si>
  <si>
    <t>A Von</t>
  </si>
  <si>
    <t>Thảo Ửi</t>
  </si>
  <si>
    <t xml:space="preserve">Teo </t>
  </si>
  <si>
    <t>ອິນ</t>
  </si>
  <si>
    <t>ໃຈດີ</t>
  </si>
  <si>
    <t>Kham Pai</t>
  </si>
  <si>
    <t>ດອນ</t>
  </si>
  <si>
    <t>Lăm Mút</t>
  </si>
  <si>
    <t>ດວງມາລາ</t>
  </si>
  <si>
    <t>A Then</t>
  </si>
  <si>
    <t>ມອມ</t>
  </si>
  <si>
    <t>ຕຸ</t>
  </si>
  <si>
    <t>ນາລິນ</t>
  </si>
  <si>
    <t>ຫັກສະດີ</t>
  </si>
  <si>
    <t xml:space="preserve">Keo </t>
  </si>
  <si>
    <t>ກອງຕາ</t>
  </si>
  <si>
    <t>ທັນວາ</t>
  </si>
  <si>
    <t>Moi</t>
  </si>
  <si>
    <t>ສິດ</t>
  </si>
  <si>
    <t>Hắc</t>
  </si>
  <si>
    <t>ວັນທອງ</t>
  </si>
  <si>
    <t xml:space="preserve">Nha </t>
  </si>
  <si>
    <t>ພູວັນ</t>
  </si>
  <si>
    <t>Thảo Nha</t>
  </si>
  <si>
    <t>ຊຽງ</t>
  </si>
  <si>
    <t>Lac</t>
  </si>
  <si>
    <t>ຊຽງວັນ</t>
  </si>
  <si>
    <t>Tích Ta</t>
  </si>
  <si>
    <t>ຕາ</t>
  </si>
  <si>
    <t>Xay Nua</t>
  </si>
  <si>
    <t>ວັນນິດາ</t>
  </si>
  <si>
    <t>ຄູນ</t>
  </si>
  <si>
    <t>ຕິກຕາ</t>
  </si>
  <si>
    <t>Ka Lic</t>
  </si>
  <si>
    <t>ເມີ</t>
  </si>
  <si>
    <t>ນ ເປ</t>
  </si>
  <si>
    <t>ຈັນທີ</t>
  </si>
  <si>
    <t>Mun</t>
  </si>
  <si>
    <t>ມ່ວນ</t>
  </si>
  <si>
    <t>Nọi (6)</t>
  </si>
  <si>
    <t>ລົດສະໝີດຳ</t>
  </si>
  <si>
    <t xml:space="preserve">Tang </t>
  </si>
  <si>
    <t>ຄຳໂລ້</t>
  </si>
  <si>
    <t>ອຳພອນ</t>
  </si>
  <si>
    <t>Xun</t>
  </si>
  <si>
    <t>ອາກຸມ</t>
  </si>
  <si>
    <t>ໄນ</t>
  </si>
  <si>
    <t xml:space="preserve">Thing </t>
  </si>
  <si>
    <t>ຫລາຍ</t>
  </si>
  <si>
    <t>ສ່ອງ</t>
  </si>
  <si>
    <t xml:space="preserve">Na </t>
  </si>
  <si>
    <t>ສີດາ</t>
  </si>
  <si>
    <t>Khăm Phù</t>
  </si>
  <si>
    <t>ຂົນ</t>
  </si>
  <si>
    <t>ບົວລອຍ</t>
  </si>
  <si>
    <t>Nàng Bun Mi</t>
  </si>
  <si>
    <t>Xon Ma Ni</t>
  </si>
  <si>
    <t>Nàng Kẹp</t>
  </si>
  <si>
    <t>Nàng Xon</t>
  </si>
  <si>
    <t>Nàng Khay</t>
  </si>
  <si>
    <t>Bun Chăn</t>
  </si>
  <si>
    <t>Phon Xi</t>
  </si>
  <si>
    <t>T. Vôn</t>
  </si>
  <si>
    <t>N. Pheng Mi</t>
  </si>
  <si>
    <t>T. Tích</t>
  </si>
  <si>
    <t>T . Bua Ngân</t>
  </si>
  <si>
    <t>N. Keo</t>
  </si>
  <si>
    <t>T. Lọi</t>
  </si>
  <si>
    <t>T. Phô Thong</t>
  </si>
  <si>
    <t>N. Soi</t>
  </si>
  <si>
    <t>N. Me Kha La</t>
  </si>
  <si>
    <t>N. Mon Khăm</t>
  </si>
  <si>
    <t>T. In</t>
  </si>
  <si>
    <t>T. Bin Ly.</t>
  </si>
  <si>
    <t>N. Phim Phon.</t>
  </si>
  <si>
    <t>N. Nong</t>
  </si>
  <si>
    <t>N. Tun 1</t>
  </si>
  <si>
    <t>T . Lốc</t>
  </si>
  <si>
    <t>N . Khâm (1)</t>
  </si>
  <si>
    <t>T . Phết</t>
  </si>
  <si>
    <t>T. Viêng Sa Văn</t>
  </si>
  <si>
    <t>T. Ca Te</t>
  </si>
  <si>
    <t>T. Lâm Phon</t>
  </si>
  <si>
    <t>T. Sô Đa</t>
  </si>
  <si>
    <t>T. Phu Ngân</t>
  </si>
  <si>
    <t>N. Tủn</t>
  </si>
  <si>
    <t>Ô lăng</t>
  </si>
  <si>
    <t>T. Lung</t>
  </si>
  <si>
    <t>N. Tinh</t>
  </si>
  <si>
    <t>N. Ba Say</t>
  </si>
  <si>
    <t>N. Đeng</t>
  </si>
  <si>
    <t>T. Tinh</t>
  </si>
  <si>
    <t>T. Pheng Ma</t>
  </si>
  <si>
    <t>Lăm Ngân</t>
  </si>
  <si>
    <t>N. Ting</t>
  </si>
  <si>
    <t>T. Lem</t>
  </si>
  <si>
    <t>T. Pông</t>
  </si>
  <si>
    <t>T. Chít</t>
  </si>
  <si>
    <t>N. On Xi</t>
  </si>
  <si>
    <t>Nang Keo</t>
  </si>
  <si>
    <t>Thảo Son</t>
  </si>
  <si>
    <t>Nang Xi Xay</t>
  </si>
  <si>
    <t>Nang on xi</t>
  </si>
  <si>
    <t>Khăm Muôn</t>
  </si>
  <si>
    <t>Xi Xon</t>
  </si>
  <si>
    <t>Khaăm La</t>
  </si>
  <si>
    <t>Sâmyphone</t>
  </si>
  <si>
    <t>Oilavanh</t>
  </si>
  <si>
    <t>Salem</t>
  </si>
  <si>
    <t>Vông chay</t>
  </si>
  <si>
    <t>Nang On</t>
  </si>
  <si>
    <t>Nang Chăn La</t>
  </si>
  <si>
    <t>Thảo Nhầy</t>
  </si>
  <si>
    <t>Thảo nọi</t>
  </si>
  <si>
    <t>In toong</t>
  </si>
  <si>
    <t>Nang Landa</t>
  </si>
  <si>
    <t>Thảo Xi Thoong</t>
  </si>
  <si>
    <t>Thảo Uôn</t>
  </si>
  <si>
    <t>Thảo Khòn</t>
  </si>
  <si>
    <t>T. Lốp</t>
  </si>
  <si>
    <t>T. Son Xay</t>
  </si>
  <si>
    <t>N. Lăm Phay</t>
  </si>
  <si>
    <t>T. Nhung</t>
  </si>
  <si>
    <t>N. In Ton</t>
  </si>
  <si>
    <t>N. Khay Chăn</t>
  </si>
  <si>
    <t>T Dăn</t>
  </si>
  <si>
    <t>T. Xợt</t>
  </si>
  <si>
    <t>T. Lăm Thong</t>
  </si>
  <si>
    <t>T. Cạp</t>
  </si>
  <si>
    <t>N. Phết</t>
  </si>
  <si>
    <t>N. Bua Hom</t>
  </si>
  <si>
    <t>N. Không</t>
  </si>
  <si>
    <t>T. Đèng</t>
  </si>
  <si>
    <t>T. May</t>
  </si>
  <si>
    <t>T. Văn Say</t>
  </si>
  <si>
    <t>T. Khăm Pao</t>
  </si>
  <si>
    <t>N. Đon</t>
  </si>
  <si>
    <t>T. Keo Ma Ni Son</t>
  </si>
  <si>
    <t>T Bun</t>
  </si>
  <si>
    <t>N. Xi</t>
  </si>
  <si>
    <t>N. Chay</t>
  </si>
  <si>
    <t>Nang lin</t>
  </si>
  <si>
    <t>Him</t>
  </si>
  <si>
    <t>ພອນ</t>
  </si>
  <si>
    <t>ເພັດສະໝອນ</t>
  </si>
  <si>
    <t>ດວ່ານ</t>
  </si>
  <si>
    <t>ອາ ເສົາ</t>
  </si>
  <si>
    <t>ອາຍາ</t>
  </si>
  <si>
    <t>ບຸນນໍ</t>
  </si>
  <si>
    <t>ໄກທອງ</t>
  </si>
  <si>
    <t>ໝື່ນ</t>
  </si>
  <si>
    <t>Xa</t>
  </si>
  <si>
    <t>ທຶ່ງ</t>
  </si>
  <si>
    <t>xe</t>
  </si>
  <si>
    <t>ອາວັນ</t>
  </si>
  <si>
    <t>xốt</t>
  </si>
  <si>
    <t>ຕາປາ</t>
  </si>
  <si>
    <t>A tên</t>
  </si>
  <si>
    <t>ສົມເພັດ</t>
  </si>
  <si>
    <t>Bon xum</t>
  </si>
  <si>
    <t>ອົ້ນ</t>
  </si>
  <si>
    <t>cợt</t>
  </si>
  <si>
    <t>ບຸນມີ</t>
  </si>
  <si>
    <t>cắm</t>
  </si>
  <si>
    <t>ລຳເງິນ</t>
  </si>
  <si>
    <t>dăm</t>
  </si>
  <si>
    <t>ນ ວອນ</t>
  </si>
  <si>
    <t>đăn</t>
  </si>
  <si>
    <t>ນ ລອຍ</t>
  </si>
  <si>
    <t>đuông</t>
  </si>
  <si>
    <t>ວຽງ</t>
  </si>
  <si>
    <t>đinh</t>
  </si>
  <si>
    <t>ອາບຸນນ້ອຍ</t>
  </si>
  <si>
    <t>en xin</t>
  </si>
  <si>
    <t>ທອງວັນ</t>
  </si>
  <si>
    <t>mu ton</t>
  </si>
  <si>
    <t>ສັກ</t>
  </si>
  <si>
    <t>xum xi</t>
  </si>
  <si>
    <t>ທ ເປີ້ນ</t>
  </si>
  <si>
    <t>ma ni</t>
  </si>
  <si>
    <t>ດຳ</t>
  </si>
  <si>
    <t>keo keo</t>
  </si>
  <si>
    <t>ຄຳໃບ</t>
  </si>
  <si>
    <t>an on</t>
  </si>
  <si>
    <t>ແກ້ວດຳ</t>
  </si>
  <si>
    <t>xum phon na</t>
  </si>
  <si>
    <t>ແຫ້ວ</t>
  </si>
  <si>
    <t>súp</t>
  </si>
  <si>
    <t>ບຸນ</t>
  </si>
  <si>
    <t>nit</t>
  </si>
  <si>
    <t>ໂຈນ</t>
  </si>
  <si>
    <t>vanh</t>
  </si>
  <si>
    <t>ສົມບັດ</t>
  </si>
  <si>
    <t>ໄຊ</t>
  </si>
  <si>
    <t>keo</t>
  </si>
  <si>
    <t>ກາລວນ</t>
  </si>
  <si>
    <t>xun xi</t>
  </si>
  <si>
    <t>ແສນ</t>
  </si>
  <si>
    <t>ôn</t>
  </si>
  <si>
    <t>ວັນ</t>
  </si>
  <si>
    <t>Nổ</t>
  </si>
  <si>
    <t>ທ ເຕ້ຍ</t>
  </si>
  <si>
    <t>chay xen</t>
  </si>
  <si>
    <t>ທ ສຸກ</t>
  </si>
  <si>
    <t>Heng</t>
  </si>
  <si>
    <t>ລັບ</t>
  </si>
  <si>
    <t>Ti Ta</t>
  </si>
  <si>
    <t>ທ ຈ່ອຍ</t>
  </si>
  <si>
    <t>N. Lắt Đa</t>
  </si>
  <si>
    <t>ທ ສອນ</t>
  </si>
  <si>
    <t>ທ ເຫລີມ</t>
  </si>
  <si>
    <t>T. Đăm</t>
  </si>
  <si>
    <t>ທ ເກີດ</t>
  </si>
  <si>
    <t>T. Công</t>
  </si>
  <si>
    <t>ນ ນ້ອຍ</t>
  </si>
  <si>
    <t>T. Sinh</t>
  </si>
  <si>
    <t>ທ ບຸນ</t>
  </si>
  <si>
    <t>T. Khăm Công</t>
  </si>
  <si>
    <t>ລ້ານ</t>
  </si>
  <si>
    <t>T. Ngon</t>
  </si>
  <si>
    <t>ສົມສະໜຸກ</t>
  </si>
  <si>
    <t xml:space="preserve">T. Thong </t>
  </si>
  <si>
    <t>ນຳ</t>
  </si>
  <si>
    <t>ໂຕໂຕ</t>
  </si>
  <si>
    <t>A Thinh</t>
  </si>
  <si>
    <t>ແອ</t>
  </si>
  <si>
    <t>ນ ມອນ</t>
  </si>
  <si>
    <t>Đa Ly</t>
  </si>
  <si>
    <t>Na Ly ...</t>
  </si>
  <si>
    <t>Lắc Xa Mi</t>
  </si>
  <si>
    <t>A Xít</t>
  </si>
  <si>
    <t>Bợt</t>
  </si>
  <si>
    <t>Đức Văn</t>
  </si>
  <si>
    <t>A Van</t>
  </si>
  <si>
    <t>A thít</t>
  </si>
  <si>
    <t>Món</t>
  </si>
  <si>
    <t>A tèng</t>
  </si>
  <si>
    <t>meng</t>
  </si>
  <si>
    <t>xi xa</t>
  </si>
  <si>
    <t>nô la</t>
  </si>
  <si>
    <t>mi ni</t>
  </si>
  <si>
    <t>Xun xen</t>
  </si>
  <si>
    <t>May a</t>
  </si>
  <si>
    <t>Lanta</t>
  </si>
  <si>
    <t>Mitti</t>
  </si>
  <si>
    <t>Sổm</t>
  </si>
  <si>
    <t>keo ki</t>
  </si>
  <si>
    <t>Ky</t>
  </si>
  <si>
    <t>lu</t>
  </si>
  <si>
    <t>neo</t>
  </si>
  <si>
    <t>khaăm sục</t>
  </si>
  <si>
    <t>ຕະລອຍ</t>
  </si>
  <si>
    <t>bun lăm</t>
  </si>
  <si>
    <t>phon sa mai</t>
  </si>
  <si>
    <t>Thun</t>
  </si>
  <si>
    <t>Khăm văn</t>
  </si>
  <si>
    <t>Jeng</t>
  </si>
  <si>
    <t>Bun Hăc</t>
  </si>
  <si>
    <t>Mi La Văn</t>
  </si>
  <si>
    <t>Tạ</t>
  </si>
  <si>
    <t>Kuij</t>
  </si>
  <si>
    <t>Kouk</t>
  </si>
  <si>
    <t>Hon</t>
  </si>
  <si>
    <t>nụt</t>
  </si>
  <si>
    <t>Năt đao</t>
  </si>
  <si>
    <t>Koi Chai</t>
  </si>
  <si>
    <t>Som sắc</t>
  </si>
  <si>
    <t>Pany</t>
  </si>
  <si>
    <t>Bun pheng</t>
  </si>
  <si>
    <t>Lui</t>
  </si>
  <si>
    <t>Phăn</t>
  </si>
  <si>
    <t>Tú</t>
  </si>
  <si>
    <t>Lun ni</t>
  </si>
  <si>
    <t>Ụi</t>
  </si>
  <si>
    <t>Kot</t>
  </si>
  <si>
    <t>Chang</t>
  </si>
  <si>
    <t>Khăm Lom</t>
  </si>
  <si>
    <t>thong phun</t>
  </si>
  <si>
    <t>pavady</t>
  </si>
  <si>
    <t>si sục</t>
  </si>
  <si>
    <t>khăm dy</t>
  </si>
  <si>
    <t>Nụi</t>
  </si>
  <si>
    <t>A luay</t>
  </si>
  <si>
    <t>Tụm</t>
  </si>
  <si>
    <t xml:space="preserve">Khăn </t>
  </si>
  <si>
    <t>Lùng</t>
  </si>
  <si>
    <t>Pụi</t>
  </si>
  <si>
    <t>Khăm lại</t>
  </si>
  <si>
    <t>Liw</t>
  </si>
  <si>
    <t>Pheng ma</t>
  </si>
  <si>
    <t>son khăm</t>
  </si>
  <si>
    <t>Hụi</t>
  </si>
  <si>
    <t>Tăc</t>
  </si>
  <si>
    <t>ting</t>
  </si>
  <si>
    <t>Pheng mi</t>
  </si>
  <si>
    <t xml:space="preserve">Lun  </t>
  </si>
  <si>
    <t>Nang ni</t>
  </si>
  <si>
    <t>Thong sa van</t>
  </si>
  <si>
    <t>Thăn</t>
  </si>
  <si>
    <t>Koi</t>
  </si>
  <si>
    <t xml:space="preserve">Pan </t>
  </si>
  <si>
    <t>Alanxay khamsouk</t>
  </si>
  <si>
    <t>Khăm Cợt</t>
  </si>
  <si>
    <t>Thảo Zét</t>
  </si>
  <si>
    <t>N.T.T Trang (1)</t>
  </si>
  <si>
    <t>T. Nả</t>
  </si>
  <si>
    <t>N. Sa Văn</t>
  </si>
  <si>
    <t>N. Chăn</t>
  </si>
  <si>
    <t>Nang nun mi</t>
  </si>
  <si>
    <t>N. Túc</t>
  </si>
  <si>
    <t>T. Say</t>
  </si>
  <si>
    <t>CNK</t>
  </si>
  <si>
    <t>T. Un</t>
  </si>
  <si>
    <t>T. Ôn</t>
  </si>
  <si>
    <t>N. Num</t>
  </si>
  <si>
    <t>Văn Đi</t>
  </si>
  <si>
    <t>T. U Đôm</t>
  </si>
  <si>
    <t>Thảo Sắc</t>
  </si>
  <si>
    <t>N. Seng</t>
  </si>
  <si>
    <t>T Đeng</t>
  </si>
  <si>
    <t>T . Keo</t>
  </si>
  <si>
    <t>Văn Na Nọi</t>
  </si>
  <si>
    <t>T. Ta</t>
  </si>
  <si>
    <t>Phon Xa Văn</t>
  </si>
  <si>
    <t>N. Nôn</t>
  </si>
  <si>
    <t>N. Công Say</t>
  </si>
  <si>
    <t>N. Xi Xộm</t>
  </si>
  <si>
    <t>T. Đuông</t>
  </si>
  <si>
    <t>T . Pheng</t>
  </si>
  <si>
    <t>T. Nọi Ê</t>
  </si>
  <si>
    <t>A Tền</t>
  </si>
  <si>
    <t>Xôm Phon 1</t>
  </si>
  <si>
    <t>C. Trang 1</t>
  </si>
  <si>
    <t>T. Thong A</t>
  </si>
  <si>
    <t>T Phù</t>
  </si>
  <si>
    <t>Viêng Khăm</t>
  </si>
  <si>
    <t>Veo Khăm</t>
  </si>
  <si>
    <t>T . Khon</t>
  </si>
  <si>
    <t>N. Nun</t>
  </si>
  <si>
    <t>In Pông</t>
  </si>
  <si>
    <t>A Nóc</t>
  </si>
  <si>
    <t>N. Lắc</t>
  </si>
  <si>
    <t>T. Xôm Phon</t>
  </si>
  <si>
    <t>T. Kỷ</t>
  </si>
  <si>
    <t>T. Vi Lai Văn</t>
  </si>
  <si>
    <t>T. Ê</t>
  </si>
  <si>
    <t>Saythavon</t>
  </si>
  <si>
    <t>Thảo Thúi</t>
  </si>
  <si>
    <t>Thong Say</t>
  </si>
  <si>
    <t>Bua chôm</t>
  </si>
  <si>
    <t>Đon Xi</t>
  </si>
  <si>
    <t>Thảo Mủ</t>
  </si>
  <si>
    <t>Vổ</t>
  </si>
  <si>
    <t>Móm</t>
  </si>
  <si>
    <t>Trĩ</t>
  </si>
  <si>
    <t>Thoắt</t>
  </si>
  <si>
    <t>Vẩu</t>
  </si>
  <si>
    <t>Lác</t>
  </si>
  <si>
    <t>Quẩy</t>
  </si>
  <si>
    <t>Thảo Văn Vông</t>
  </si>
  <si>
    <t>Mắn</t>
  </si>
  <si>
    <t>Vảy</t>
  </si>
  <si>
    <t>Bát</t>
  </si>
  <si>
    <t>Nhổ</t>
  </si>
  <si>
    <t>Phỉ</t>
  </si>
  <si>
    <t>Phây</t>
  </si>
  <si>
    <t>Tèn</t>
  </si>
  <si>
    <t>Ven</t>
  </si>
  <si>
    <t>Khoai</t>
  </si>
  <si>
    <t>Xịt</t>
  </si>
  <si>
    <t>Lít</t>
  </si>
  <si>
    <t>Bón</t>
  </si>
  <si>
    <t>Chan Thà</t>
  </si>
  <si>
    <t>Khaăm Đeng</t>
  </si>
  <si>
    <t>Silakhon</t>
  </si>
  <si>
    <t>Phinta</t>
  </si>
  <si>
    <t>Viêng Sa Mon</t>
  </si>
  <si>
    <t>Thavixay</t>
  </si>
  <si>
    <t>Be</t>
  </si>
  <si>
    <t>Phanida</t>
  </si>
  <si>
    <t>T. Cô</t>
  </si>
  <si>
    <t>N. Khoăn Ta</t>
  </si>
  <si>
    <t>xit</t>
  </si>
  <si>
    <t>mèng</t>
  </si>
  <si>
    <t>ten</t>
  </si>
  <si>
    <t>on xinh</t>
  </si>
  <si>
    <t>mi na</t>
  </si>
  <si>
    <t>lát xa</t>
  </si>
  <si>
    <t>lê</t>
  </si>
  <si>
    <t>N.. Đeng</t>
  </si>
  <si>
    <t>T. Cơ</t>
  </si>
  <si>
    <t>N. Lao</t>
  </si>
  <si>
    <t>N. Xum Xi</t>
  </si>
  <si>
    <t>T. Von</t>
  </si>
  <si>
    <t>T. Phút</t>
  </si>
  <si>
    <t>N. Lem</t>
  </si>
  <si>
    <t>T. Nọi (4)</t>
  </si>
  <si>
    <t>T. Lẹ</t>
  </si>
  <si>
    <t>N. Sum Kang</t>
  </si>
  <si>
    <t>N. Keo Khăm</t>
  </si>
  <si>
    <t>T. Mựt</t>
  </si>
  <si>
    <t>Bun Lôm</t>
  </si>
  <si>
    <t>T. Nhã</t>
  </si>
  <si>
    <t>Beo</t>
  </si>
  <si>
    <t>non</t>
  </si>
  <si>
    <t>teng</t>
  </si>
  <si>
    <t>xà</t>
  </si>
  <si>
    <t>đi</t>
  </si>
  <si>
    <t>căm</t>
  </si>
  <si>
    <t>khằn</t>
  </si>
  <si>
    <t>khăn</t>
  </si>
  <si>
    <t>chăn ly</t>
  </si>
  <si>
    <t>Lin</t>
  </si>
  <si>
    <t>Son B</t>
  </si>
  <si>
    <t>Tn xi</t>
  </si>
  <si>
    <t>Mun ni</t>
  </si>
  <si>
    <t>Xôm on ni</t>
  </si>
  <si>
    <t>buôn</t>
  </si>
  <si>
    <t>xa</t>
  </si>
  <si>
    <t>xẻ</t>
  </si>
  <si>
    <t>lơi</t>
  </si>
  <si>
    <t>ly</t>
  </si>
  <si>
    <t>mun</t>
  </si>
  <si>
    <t>xun</t>
  </si>
  <si>
    <t>đi ta</t>
  </si>
  <si>
    <t>naly</t>
  </si>
  <si>
    <t>Phun Xi</t>
  </si>
  <si>
    <t>ta</t>
  </si>
  <si>
    <t>kaly</t>
  </si>
  <si>
    <t>mon</t>
  </si>
  <si>
    <t>kỷ</t>
  </si>
  <si>
    <t>say</t>
  </si>
  <si>
    <t>may</t>
  </si>
  <si>
    <t>met</t>
  </si>
  <si>
    <t>mún</t>
  </si>
  <si>
    <t>tủn</t>
  </si>
  <si>
    <t>Đon</t>
  </si>
  <si>
    <t>phôn</t>
  </si>
  <si>
    <t>căng</t>
  </si>
  <si>
    <t>lọi</t>
  </si>
  <si>
    <t>nong</t>
  </si>
  <si>
    <t>phim</t>
  </si>
  <si>
    <t>phin</t>
  </si>
  <si>
    <t>in</t>
  </si>
  <si>
    <t>xi</t>
  </si>
  <si>
    <t>đeng</t>
  </si>
  <si>
    <t>nọi</t>
  </si>
  <si>
    <t>nung</t>
  </si>
  <si>
    <t>ທອງ</t>
  </si>
  <si>
    <t xml:space="preserve">Bảo vệ </t>
  </si>
  <si>
    <t>01966</t>
  </si>
  <si>
    <t>01967</t>
  </si>
  <si>
    <t>02073</t>
  </si>
  <si>
    <t>01858</t>
  </si>
  <si>
    <t>ພໍ່ຕຸ່ນ</t>
  </si>
  <si>
    <t>01859</t>
  </si>
  <si>
    <t>ທ ວີ</t>
  </si>
  <si>
    <t>01860</t>
  </si>
  <si>
    <t>ທ ດ່ານ</t>
  </si>
  <si>
    <t>Cong Khăm</t>
  </si>
  <si>
    <t>T. Chăn (4)</t>
  </si>
  <si>
    <t>Tẹo</t>
  </si>
  <si>
    <t>Bảo Vệ</t>
  </si>
  <si>
    <t>00894</t>
  </si>
  <si>
    <t>ສົມພັນ</t>
  </si>
  <si>
    <t>Sổm Phanh</t>
  </si>
  <si>
    <t>Lái xe</t>
  </si>
  <si>
    <t>00059</t>
  </si>
  <si>
    <t>ແສງແກ້ວ ສົມພັກ</t>
  </si>
  <si>
    <t>Sen Kẻo Som Phắc</t>
  </si>
  <si>
    <t>00937</t>
  </si>
  <si>
    <t>ບົວພາ</t>
  </si>
  <si>
    <t>Lóc</t>
  </si>
  <si>
    <t>Khanh</t>
  </si>
  <si>
    <t>01068</t>
  </si>
  <si>
    <t>Khăm Lả</t>
  </si>
  <si>
    <t xml:space="preserve"> Tiền lương lái xe vận chuyển mủ</t>
  </si>
  <si>
    <t>02349</t>
  </si>
  <si>
    <t>Bảo vệ</t>
  </si>
  <si>
    <t>01864</t>
  </si>
  <si>
    <t>ຝົນ</t>
  </si>
  <si>
    <t>CNTC</t>
  </si>
  <si>
    <t xml:space="preserve">Tu </t>
  </si>
  <si>
    <t>Địa</t>
  </si>
  <si>
    <t>Đỏm</t>
  </si>
  <si>
    <t>Kiêng</t>
  </si>
  <si>
    <t>Bứ</t>
  </si>
  <si>
    <t>Tioi</t>
  </si>
  <si>
    <t>I Nang</t>
  </si>
  <si>
    <t xml:space="preserve">Pui </t>
  </si>
  <si>
    <t>Lê NA</t>
  </si>
  <si>
    <t>An Na</t>
  </si>
  <si>
    <t>Đúi</t>
  </si>
  <si>
    <t>Thương</t>
  </si>
  <si>
    <t>Lê</t>
  </si>
  <si>
    <t>Lang</t>
  </si>
  <si>
    <t>T Niền</t>
  </si>
  <si>
    <t>Miềm</t>
  </si>
  <si>
    <t>Pỏng</t>
  </si>
  <si>
    <t>sửu</t>
  </si>
  <si>
    <t>Nhân</t>
  </si>
  <si>
    <t>Tiền lương cán mủ sơ chế</t>
  </si>
  <si>
    <t>Trạm cán Total</t>
  </si>
  <si>
    <t>Thảo Chăn Tho</t>
  </si>
  <si>
    <t>ĐT</t>
  </si>
  <si>
    <t>Thảo Văn ViSa</t>
  </si>
  <si>
    <t>ĐP</t>
  </si>
  <si>
    <t>Phasouk Nathavong</t>
  </si>
  <si>
    <t>Seng Kẹo Toy</t>
  </si>
  <si>
    <t>Sun Thong</t>
  </si>
  <si>
    <t xml:space="preserve"> Tiền lương CB - CNV người Lào</t>
  </si>
  <si>
    <t>Vườn cây kinh doanh (1)</t>
  </si>
  <si>
    <t>Bảo vệ vườn cây (2)</t>
  </si>
  <si>
    <t>Trạm cán (3)</t>
  </si>
  <si>
    <t xml:space="preserve"> Tiền lương CB - CNV người Lào (4)</t>
  </si>
  <si>
    <t>Tổng cộng = (1) + (2) + (3) + (4)</t>
  </si>
  <si>
    <t>(Bằng chữ: Ba tỷ, không trăm tám mươi triệu, bốn trăm năm mươi bốn nghìn, sáu trăm hai mươi bảy kíp)</t>
  </si>
  <si>
    <t xml:space="preserve">  Huyện Phìn, ngày 03 tháng 12 năm 2024</t>
  </si>
  <si>
    <t xml:space="preserve"> </t>
  </si>
  <si>
    <t>PHÒNG TC - KT</t>
  </si>
  <si>
    <t>GIÁM ĐỐC NT 1</t>
  </si>
  <si>
    <t>uighi</t>
  </si>
  <si>
    <t>Nguyễn Thị Liệu</t>
  </si>
  <si>
    <t xml:space="preserve">                         Võ Thị Phượng</t>
  </si>
  <si>
    <t xml:space="preserve">                         Nguyễn Thị Thu Hiền</t>
  </si>
  <si>
    <t>CÔNG TY TNHH CP QUASA-GERUCO</t>
  </si>
  <si>
    <t xml:space="preserve"> CỘNG HÒA DÂN CHỦ NHÂN DÂN LÀO</t>
  </si>
  <si>
    <t>NÔNG TRƯỜNG 1</t>
  </si>
  <si>
    <t>BẢNG CHẤM CÔNG THEO DÕI CHẤM CÔNG SỬ DỤNG AXIT ĐÁNH ĐÔNG THÁNG 06 NĂM 2024</t>
  </si>
  <si>
    <t>(Từ ngày 01 đến 30/06/2024)</t>
  </si>
  <si>
    <t>MSNV</t>
  </si>
  <si>
    <t>Tổng số ngày
làm việc</t>
  </si>
  <si>
    <t>Ký tên CN</t>
  </si>
  <si>
    <t>Tên Việt</t>
  </si>
  <si>
    <t>Tô Tộ</t>
  </si>
  <si>
    <t>Viêng (1)</t>
  </si>
  <si>
    <t>Căn Nha (1)</t>
  </si>
  <si>
    <t>T Cô</t>
  </si>
  <si>
    <t>Lăm Si</t>
  </si>
  <si>
    <t>Mủ xirum</t>
  </si>
  <si>
    <t>Đội 3- Trạm cán</t>
  </si>
  <si>
    <t>KV71</t>
  </si>
  <si>
    <t>Huyện phìn, ngày 31 tháng 07 năm 2024</t>
  </si>
  <si>
    <t xml:space="preserve">PHÒNG KT - NN </t>
  </si>
  <si>
    <t>GĐ. NÔNG TRƯỜNG</t>
  </si>
  <si>
    <t>TL. TC - KT</t>
  </si>
  <si>
    <t xml:space="preserve">TL. KH - NN </t>
  </si>
  <si>
    <t>CÔNG TY TNHH CP QUASA-GERUCO LÀO</t>
  </si>
  <si>
    <t>BẢNG THEO DÕI SẢN LƯỢNG MỦ TẠP THÁNG 09 NĂM 2024</t>
  </si>
  <si>
    <t>(Từ ngày 01 đến 31/07/2024)</t>
  </si>
  <si>
    <t>DRC</t>
  </si>
  <si>
    <t>Ngày</t>
  </si>
  <si>
    <t xml:space="preserve">Tổng mủ Xirum </t>
  </si>
  <si>
    <t>Quy khô</t>
  </si>
  <si>
    <t>Lát bốc</t>
  </si>
  <si>
    <t>B</t>
  </si>
  <si>
    <t>C</t>
  </si>
  <si>
    <t>A</t>
  </si>
  <si>
    <t>Mủ xirum 1</t>
  </si>
  <si>
    <t>Mủ serum Đội 3</t>
  </si>
  <si>
    <t>Mủ serum Đội 4</t>
  </si>
  <si>
    <t>Mủ serum Đội 5</t>
  </si>
  <si>
    <t>NGƯỜI LẬP BIỂU</t>
  </si>
  <si>
    <t>BẢNG THEO DÕI SẢN LƯỢNG MỦ TẠP THÁNG 07 NĂM 2024</t>
  </si>
  <si>
    <t>Tổng mủ dây</t>
  </si>
  <si>
    <t>Huyện phìn, ngày 30 tháng 06 năm 2024</t>
  </si>
  <si>
    <t>Hòa bình - Độc lập - Dân chủ - Thống nhất - Thịnh vượng</t>
  </si>
  <si>
    <t>DANH SÁCH CÔNG NHÂN KHAI THÁC + BẢO VỆ</t>
  </si>
  <si>
    <t>Giới tính</t>
  </si>
  <si>
    <t>Ngày tháng
năm sinh</t>
  </si>
  <si>
    <t>Nơi ở</t>
  </si>
  <si>
    <t>CÔNG NHÂN KHAI THÁC</t>
  </si>
  <si>
    <t>03319</t>
  </si>
  <si>
    <t>Nam</t>
  </si>
  <si>
    <t>Non Say</t>
  </si>
  <si>
    <t>03320</t>
  </si>
  <si>
    <t>02453</t>
  </si>
  <si>
    <t>02471</t>
  </si>
  <si>
    <t>02465</t>
  </si>
  <si>
    <t>03321</t>
  </si>
  <si>
    <t>Nữ</t>
  </si>
  <si>
    <t>03322</t>
  </si>
  <si>
    <t>02452</t>
  </si>
  <si>
    <t>02508</t>
  </si>
  <si>
    <t>03323</t>
  </si>
  <si>
    <t>02466</t>
  </si>
  <si>
    <t>02493</t>
  </si>
  <si>
    <t>03324</t>
  </si>
  <si>
    <t>Bản Na Phô</t>
  </si>
  <si>
    <t>03325</t>
  </si>
  <si>
    <t>03326</t>
  </si>
  <si>
    <t>02492</t>
  </si>
  <si>
    <t>02485</t>
  </si>
  <si>
    <t>02487</t>
  </si>
  <si>
    <t>03327</t>
  </si>
  <si>
    <t>02684</t>
  </si>
  <si>
    <t>02488</t>
  </si>
  <si>
    <t>02679</t>
  </si>
  <si>
    <t>03328</t>
  </si>
  <si>
    <t>02469</t>
  </si>
  <si>
    <t>02475</t>
  </si>
  <si>
    <t>02473</t>
  </si>
  <si>
    <t>Xi Bun Hương</t>
  </si>
  <si>
    <t>02510</t>
  </si>
  <si>
    <t>02513</t>
  </si>
  <si>
    <t>02470</t>
  </si>
  <si>
    <t>03329</t>
  </si>
  <si>
    <t>03330</t>
  </si>
  <si>
    <t>02455</t>
  </si>
  <si>
    <t>02459</t>
  </si>
  <si>
    <t>02506</t>
  </si>
  <si>
    <t>02507</t>
  </si>
  <si>
    <t>03331</t>
  </si>
  <si>
    <t>02467</t>
  </si>
  <si>
    <t>02483</t>
  </si>
  <si>
    <t>02512</t>
  </si>
  <si>
    <t>03332</t>
  </si>
  <si>
    <t>03333</t>
  </si>
  <si>
    <t>02474</t>
  </si>
  <si>
    <t>02500</t>
  </si>
  <si>
    <t>02451</t>
  </si>
  <si>
    <t>Thìn</t>
  </si>
  <si>
    <t>Ðuông Chăn</t>
  </si>
  <si>
    <t>02462</t>
  </si>
  <si>
    <t>02491</t>
  </si>
  <si>
    <t>02457</t>
  </si>
  <si>
    <t>Bản Phìn</t>
  </si>
  <si>
    <t>03334</t>
  </si>
  <si>
    <t>02486</t>
  </si>
  <si>
    <t>02479</t>
  </si>
  <si>
    <t>02515</t>
  </si>
  <si>
    <t>02498</t>
  </si>
  <si>
    <t>02685</t>
  </si>
  <si>
    <t>02450</t>
  </si>
  <si>
    <t>02454</t>
  </si>
  <si>
    <t>03335</t>
  </si>
  <si>
    <t>02460</t>
  </si>
  <si>
    <t>Bảnn Na Phô</t>
  </si>
  <si>
    <t>02683</t>
  </si>
  <si>
    <t>02681</t>
  </si>
  <si>
    <t>02504</t>
  </si>
  <si>
    <t>02686</t>
  </si>
  <si>
    <t>02478</t>
  </si>
  <si>
    <t>02499</t>
  </si>
  <si>
    <t>03336</t>
  </si>
  <si>
    <t>02682</t>
  </si>
  <si>
    <t>02482</t>
  </si>
  <si>
    <t>03337</t>
  </si>
  <si>
    <t>03338</t>
  </si>
  <si>
    <t>02481</t>
  </si>
  <si>
    <t>02463</t>
  </si>
  <si>
    <t>02464</t>
  </si>
  <si>
    <t>02456</t>
  </si>
  <si>
    <t>02461</t>
  </si>
  <si>
    <t>02680</t>
  </si>
  <si>
    <t>02501</t>
  </si>
  <si>
    <t>02503</t>
  </si>
  <si>
    <t>02468</t>
  </si>
  <si>
    <t>03339</t>
  </si>
  <si>
    <t>02494</t>
  </si>
  <si>
    <t>02476</t>
  </si>
  <si>
    <t>02496</t>
  </si>
  <si>
    <t>Son</t>
  </si>
  <si>
    <t>02502</t>
  </si>
  <si>
    <t>02514</t>
  </si>
  <si>
    <t>03340</t>
  </si>
  <si>
    <t>02497</t>
  </si>
  <si>
    <t>03341</t>
  </si>
  <si>
    <t>02511</t>
  </si>
  <si>
    <t>03342</t>
  </si>
  <si>
    <t>02484</t>
  </si>
  <si>
    <t>02509</t>
  </si>
  <si>
    <t>02458</t>
  </si>
  <si>
    <t>02480</t>
  </si>
  <si>
    <t>03346</t>
  </si>
  <si>
    <t>02472</t>
  </si>
  <si>
    <t>02477</t>
  </si>
  <si>
    <t>02495</t>
  </si>
  <si>
    <t>02505</t>
  </si>
  <si>
    <t>02516</t>
  </si>
  <si>
    <t>03347</t>
  </si>
  <si>
    <t>03343</t>
  </si>
  <si>
    <t>02444</t>
  </si>
  <si>
    <t>02447</t>
  </si>
  <si>
    <t>Xay Xăm Bun</t>
  </si>
  <si>
    <t>03344</t>
  </si>
  <si>
    <t>02449</t>
  </si>
  <si>
    <t>02445</t>
  </si>
  <si>
    <t>02446</t>
  </si>
  <si>
    <t>03345</t>
  </si>
  <si>
    <t>03854</t>
  </si>
  <si>
    <t>Chưa có HĐ</t>
  </si>
  <si>
    <t>03855</t>
  </si>
  <si>
    <t>Bản Cang</t>
  </si>
  <si>
    <t>03856</t>
  </si>
  <si>
    <t>03348</t>
  </si>
  <si>
    <t>03349</t>
  </si>
  <si>
    <t>Khọc Pun</t>
  </si>
  <si>
    <t>02543</t>
  </si>
  <si>
    <t>02693</t>
  </si>
  <si>
    <t>03350</t>
  </si>
  <si>
    <t>02526</t>
  </si>
  <si>
    <t>03351</t>
  </si>
  <si>
    <t>03352</t>
  </si>
  <si>
    <t>02567</t>
  </si>
  <si>
    <t>02564</t>
  </si>
  <si>
    <t>03353</t>
  </si>
  <si>
    <t>02518</t>
  </si>
  <si>
    <t>03354</t>
  </si>
  <si>
    <t>03355</t>
  </si>
  <si>
    <t>02521</t>
  </si>
  <si>
    <t>03356</t>
  </si>
  <si>
    <t>02524</t>
  </si>
  <si>
    <t>03357</t>
  </si>
  <si>
    <t>03358</t>
  </si>
  <si>
    <t>02556</t>
  </si>
  <si>
    <t>02537</t>
  </si>
  <si>
    <t>03359</t>
  </si>
  <si>
    <t>03360</t>
  </si>
  <si>
    <t>03413</t>
  </si>
  <si>
    <t>03361</t>
  </si>
  <si>
    <t>02554</t>
  </si>
  <si>
    <t>02534</t>
  </si>
  <si>
    <t>02538</t>
  </si>
  <si>
    <t>02530</t>
  </si>
  <si>
    <t>03362</t>
  </si>
  <si>
    <t>03363</t>
  </si>
  <si>
    <t>03364</t>
  </si>
  <si>
    <t>02536</t>
  </si>
  <si>
    <t>Thơm</t>
  </si>
  <si>
    <t>02527</t>
  </si>
  <si>
    <t>03365</t>
  </si>
  <si>
    <t>03366</t>
  </si>
  <si>
    <t>02532</t>
  </si>
  <si>
    <t>02528</t>
  </si>
  <si>
    <t>03367</t>
  </si>
  <si>
    <t>02517</t>
  </si>
  <si>
    <t>02522</t>
  </si>
  <si>
    <t>02565</t>
  </si>
  <si>
    <t>03368</t>
  </si>
  <si>
    <t>02535</t>
  </si>
  <si>
    <t>02563</t>
  </si>
  <si>
    <t>02688</t>
  </si>
  <si>
    <t>02551</t>
  </si>
  <si>
    <t>02523</t>
  </si>
  <si>
    <t>03369</t>
  </si>
  <si>
    <t>03371</t>
  </si>
  <si>
    <t>02519</t>
  </si>
  <si>
    <t>02692</t>
  </si>
  <si>
    <t>03372</t>
  </si>
  <si>
    <t>03373</t>
  </si>
  <si>
    <t>03374</t>
  </si>
  <si>
    <t>02557</t>
  </si>
  <si>
    <t>02525</t>
  </si>
  <si>
    <t>03375</t>
  </si>
  <si>
    <t>02691</t>
  </si>
  <si>
    <t>03376</t>
  </si>
  <si>
    <t>03377</t>
  </si>
  <si>
    <t>02541</t>
  </si>
  <si>
    <t>02690</t>
  </si>
  <si>
    <t>03378</t>
  </si>
  <si>
    <t>02520</t>
  </si>
  <si>
    <t>03379</t>
  </si>
  <si>
    <t>02545</t>
  </si>
  <si>
    <t>02542</t>
  </si>
  <si>
    <t>02529</t>
  </si>
  <si>
    <t>02531</t>
  </si>
  <si>
    <t>02539</t>
  </si>
  <si>
    <t>03380</t>
  </si>
  <si>
    <t>02561</t>
  </si>
  <si>
    <t>02533</t>
  </si>
  <si>
    <t>02547</t>
  </si>
  <si>
    <t>02550</t>
  </si>
  <si>
    <t>02566</t>
  </si>
  <si>
    <t>03381</t>
  </si>
  <si>
    <t>02689</t>
  </si>
  <si>
    <t>02546</t>
  </si>
  <si>
    <t>02559</t>
  </si>
  <si>
    <t>02615</t>
  </si>
  <si>
    <t xml:space="preserve">Sa Khuôn </t>
  </si>
  <si>
    <t>02594</t>
  </si>
  <si>
    <t>02596</t>
  </si>
  <si>
    <t>02601</t>
  </si>
  <si>
    <t>02697</t>
  </si>
  <si>
    <t>02610</t>
  </si>
  <si>
    <t>02611</t>
  </si>
  <si>
    <t>02602</t>
  </si>
  <si>
    <t>02609</t>
  </si>
  <si>
    <t>Sa Loi Nọi</t>
  </si>
  <si>
    <t>02569</t>
  </si>
  <si>
    <t>02583</t>
  </si>
  <si>
    <t>02604</t>
  </si>
  <si>
    <t>02600</t>
  </si>
  <si>
    <t>03382</t>
  </si>
  <si>
    <t>02571</t>
  </si>
  <si>
    <t>02570</t>
  </si>
  <si>
    <t>02573</t>
  </si>
  <si>
    <t>02695</t>
  </si>
  <si>
    <t>02599</t>
  </si>
  <si>
    <t>03383</t>
  </si>
  <si>
    <t>03384</t>
  </si>
  <si>
    <t>02608</t>
  </si>
  <si>
    <t>02603</t>
  </si>
  <si>
    <t>03385</t>
  </si>
  <si>
    <t>02586</t>
  </si>
  <si>
    <t>Pa Sum Say</t>
  </si>
  <si>
    <t>02614</t>
  </si>
  <si>
    <t>02581</t>
  </si>
  <si>
    <t>02613</t>
  </si>
  <si>
    <t>03386</t>
  </si>
  <si>
    <t>03387</t>
  </si>
  <si>
    <t>Sa Loi Nhâỳ</t>
  </si>
  <si>
    <t>03388</t>
  </si>
  <si>
    <t>03389</t>
  </si>
  <si>
    <t>03390</t>
  </si>
  <si>
    <t>03391</t>
  </si>
  <si>
    <t>02589</t>
  </si>
  <si>
    <t>03392</t>
  </si>
  <si>
    <t>03393</t>
  </si>
  <si>
    <t>03394</t>
  </si>
  <si>
    <t>03395</t>
  </si>
  <si>
    <t>03396</t>
  </si>
  <si>
    <t>02593</t>
  </si>
  <si>
    <t>02696</t>
  </si>
  <si>
    <t>03397</t>
  </si>
  <si>
    <t>03398</t>
  </si>
  <si>
    <t>02592</t>
  </si>
  <si>
    <t>02598</t>
  </si>
  <si>
    <t>02575</t>
  </si>
  <si>
    <t>02606</t>
  </si>
  <si>
    <t>02607</t>
  </si>
  <si>
    <t>02612</t>
  </si>
  <si>
    <t>02574</t>
  </si>
  <si>
    <t>02605</t>
  </si>
  <si>
    <t>02588</t>
  </si>
  <si>
    <t>02577</t>
  </si>
  <si>
    <t>03857</t>
  </si>
  <si>
    <t>Xạ Xuông</t>
  </si>
  <si>
    <t>02597</t>
  </si>
  <si>
    <t>02590</t>
  </si>
  <si>
    <t>02585</t>
  </si>
  <si>
    <t>03399</t>
  </si>
  <si>
    <t>Hủa Bun</t>
  </si>
  <si>
    <t>02584</t>
  </si>
  <si>
    <t>02698</t>
  </si>
  <si>
    <t>03858</t>
  </si>
  <si>
    <t>02591</t>
  </si>
  <si>
    <t>02595</t>
  </si>
  <si>
    <t>02582</t>
  </si>
  <si>
    <t>02572</t>
  </si>
  <si>
    <t>02694</t>
  </si>
  <si>
    <t>02699</t>
  </si>
  <si>
    <t>03400</t>
  </si>
  <si>
    <t>KV 71</t>
  </si>
  <si>
    <t>02658</t>
  </si>
  <si>
    <t>Buôn Tây</t>
  </si>
  <si>
    <t>02660</t>
  </si>
  <si>
    <t>Buôn</t>
  </si>
  <si>
    <t>02657</t>
  </si>
  <si>
    <t>A Cây</t>
  </si>
  <si>
    <t>02659</t>
  </si>
  <si>
    <t>Buôn Nưa</t>
  </si>
  <si>
    <t>02662</t>
  </si>
  <si>
    <t>02661</t>
  </si>
  <si>
    <t>02705</t>
  </si>
  <si>
    <t>02616</t>
  </si>
  <si>
    <t>02617</t>
  </si>
  <si>
    <t>02618</t>
  </si>
  <si>
    <t>03401</t>
  </si>
  <si>
    <t>03402</t>
  </si>
  <si>
    <t>02621</t>
  </si>
  <si>
    <t>02622</t>
  </si>
  <si>
    <t>03403</t>
  </si>
  <si>
    <t>02623</t>
  </si>
  <si>
    <t>02624</t>
  </si>
  <si>
    <t>03404</t>
  </si>
  <si>
    <t>02626</t>
  </si>
  <si>
    <t>02627</t>
  </si>
  <si>
    <t>02628</t>
  </si>
  <si>
    <t>03405</t>
  </si>
  <si>
    <t>02629</t>
  </si>
  <si>
    <t>02630</t>
  </si>
  <si>
    <t>02631</t>
  </si>
  <si>
    <t>02632</t>
  </si>
  <si>
    <t>02633</t>
  </si>
  <si>
    <t>02635</t>
  </si>
  <si>
    <t>02655</t>
  </si>
  <si>
    <t>02637</t>
  </si>
  <si>
    <t>02638</t>
  </si>
  <si>
    <t>02639</t>
  </si>
  <si>
    <t>02640</t>
  </si>
  <si>
    <t>02641</t>
  </si>
  <si>
    <t>03406</t>
  </si>
  <si>
    <t>02643</t>
  </si>
  <si>
    <t>03407</t>
  </si>
  <si>
    <t>03408</t>
  </si>
  <si>
    <t>02646</t>
  </si>
  <si>
    <t>02647</t>
  </si>
  <si>
    <t>02648</t>
  </si>
  <si>
    <t>02649</t>
  </si>
  <si>
    <t>02650</t>
  </si>
  <si>
    <t>02651</t>
  </si>
  <si>
    <t>02652</t>
  </si>
  <si>
    <t xml:space="preserve">Thít </t>
  </si>
  <si>
    <t>02653</t>
  </si>
  <si>
    <t>02654</t>
  </si>
  <si>
    <t>03859</t>
  </si>
  <si>
    <t>Bản Thìn</t>
  </si>
  <si>
    <t>03411</t>
  </si>
  <si>
    <t>Tút</t>
  </si>
  <si>
    <t>03860</t>
  </si>
  <si>
    <t>Đông Phu Ngân</t>
  </si>
  <si>
    <t>02625</t>
  </si>
  <si>
    <t>03861</t>
  </si>
  <si>
    <t>03862</t>
  </si>
  <si>
    <t>03414</t>
  </si>
  <si>
    <t>03415</t>
  </si>
  <si>
    <t>03416</t>
  </si>
  <si>
    <t>03417</t>
  </si>
  <si>
    <t>03418</t>
  </si>
  <si>
    <t>03419</t>
  </si>
  <si>
    <t>03420</t>
  </si>
  <si>
    <t>03422</t>
  </si>
  <si>
    <t>BẢO VỆ</t>
  </si>
  <si>
    <t xml:space="preserve">Phò Khăm </t>
  </si>
  <si>
    <t>08001</t>
  </si>
  <si>
    <t>Phò Ải</t>
  </si>
  <si>
    <t>08002</t>
  </si>
  <si>
    <t xml:space="preserve">Thảo Thoang </t>
  </si>
  <si>
    <t>08003</t>
  </si>
  <si>
    <t>08004</t>
  </si>
  <si>
    <t>08005</t>
  </si>
  <si>
    <t>Thảo Đan</t>
  </si>
  <si>
    <t>08006</t>
  </si>
  <si>
    <t>Sín Thong</t>
  </si>
  <si>
    <t>08007</t>
  </si>
  <si>
    <t>Chăm Pi</t>
  </si>
  <si>
    <t>08008</t>
  </si>
  <si>
    <t>08009</t>
  </si>
  <si>
    <t>08010</t>
  </si>
  <si>
    <t>Hăm Noi</t>
  </si>
  <si>
    <t>08011</t>
  </si>
  <si>
    <t>08012</t>
  </si>
  <si>
    <t>08013</t>
  </si>
  <si>
    <t>71ha</t>
  </si>
  <si>
    <t>ĐỘI PHÓ NGƯỜI LÀO</t>
  </si>
  <si>
    <t>Phakeo Phothisan</t>
  </si>
  <si>
    <t>09001</t>
  </si>
  <si>
    <t>09002</t>
  </si>
  <si>
    <t>09003</t>
  </si>
  <si>
    <t>Thảo Thoong</t>
  </si>
  <si>
    <t>09004</t>
  </si>
  <si>
    <t>Bunma</t>
  </si>
  <si>
    <t>09005</t>
  </si>
  <si>
    <t>Xay Thong</t>
  </si>
  <si>
    <t>09006</t>
  </si>
  <si>
    <t>09007</t>
  </si>
  <si>
    <t>D</t>
  </si>
  <si>
    <t>CÔNG NHÂN TRẠM CÁN</t>
  </si>
  <si>
    <t>Ting</t>
  </si>
  <si>
    <t>07001</t>
  </si>
  <si>
    <t>07002</t>
  </si>
  <si>
    <t>07003</t>
  </si>
  <si>
    <t>Mót</t>
  </si>
  <si>
    <t>07004</t>
  </si>
  <si>
    <t>Fon</t>
  </si>
  <si>
    <t>07005</t>
  </si>
  <si>
    <t>Nich</t>
  </si>
  <si>
    <t>07006</t>
  </si>
  <si>
    <t>Xớt</t>
  </si>
  <si>
    <t>07007</t>
  </si>
  <si>
    <t>Tok</t>
  </si>
  <si>
    <t>07008</t>
  </si>
  <si>
    <t>Ại(khăm lã)</t>
  </si>
  <si>
    <t>07009</t>
  </si>
  <si>
    <t>07010</t>
  </si>
  <si>
    <t>07011</t>
  </si>
  <si>
    <t>07012</t>
  </si>
  <si>
    <t>Tiên</t>
  </si>
  <si>
    <t>07013</t>
  </si>
  <si>
    <t>Núc</t>
  </si>
  <si>
    <t>07014</t>
  </si>
  <si>
    <t>Tin</t>
  </si>
  <si>
    <t>07015</t>
  </si>
  <si>
    <t>07016</t>
  </si>
  <si>
    <t>07017</t>
  </si>
  <si>
    <t>Somvang21</t>
  </si>
  <si>
    <t>07018</t>
  </si>
  <si>
    <t>Huyện Phìn, ngày 16 tháng 6 năm 2021</t>
  </si>
  <si>
    <t>GIÁM ĐỐC NT1</t>
  </si>
  <si>
    <t>Hoà Bình - Độc Lập - Dân Chủ - Thống Nhất - Thịnh Vượng</t>
  </si>
  <si>
    <t xml:space="preserve"> -----oOo-----</t>
  </si>
  <si>
    <t>CÔNG TY TNHH MTV QUASA- GERUCO LÀO</t>
  </si>
  <si>
    <t>Đội sản xuất số 8</t>
  </si>
  <si>
    <t>BÁO CÁO SẢN XUẤT THÁNG 06 NĂM 2025</t>
  </si>
  <si>
    <t>( Từ ngày 01 tháng 06 năm 2025 đến ngày 30 tháng 6 năm 2025 )</t>
  </si>
  <si>
    <t>DANH MỤC</t>
  </si>
  <si>
    <t>ĐVT</t>
  </si>
  <si>
    <t>Định
mức</t>
  </si>
  <si>
    <t>Địa điểm và khối lương thực hiện</t>
  </si>
  <si>
    <t>Tổng khối lượng</t>
  </si>
  <si>
    <t>Số 
lần</t>
  </si>
  <si>
    <t>Tên lô</t>
  </si>
  <si>
    <t>KL</t>
  </si>
  <si>
    <t>25.000 kíp</t>
  </si>
  <si>
    <t>VƯỜN CÂY KINH DOANH</t>
  </si>
  <si>
    <t>I</t>
  </si>
  <si>
    <t>SẢN LƯỢNG</t>
  </si>
  <si>
    <t>Kg</t>
  </si>
  <si>
    <t>1.1</t>
  </si>
  <si>
    <t>Mủ tạp (Quy khô)</t>
  </si>
  <si>
    <t>kg</t>
  </si>
  <si>
    <t>1.2</t>
  </si>
  <si>
    <t>Mủ dây ( Quy khô )</t>
  </si>
  <si>
    <t>1.3</t>
  </si>
  <si>
    <t>Mủ Sirum ( Quy khô)</t>
  </si>
  <si>
    <t xml:space="preserve">II </t>
  </si>
  <si>
    <t>PHỤ CẤP CẠO MỦ</t>
  </si>
  <si>
    <t>Công</t>
  </si>
  <si>
    <t>2.1</t>
  </si>
  <si>
    <t>Phụ cấp ngày công đi cạo</t>
  </si>
  <si>
    <t>công</t>
  </si>
  <si>
    <t>2.2</t>
  </si>
  <si>
    <t>Phụ cấp đi cạo ngày chủ nhật</t>
  </si>
  <si>
    <t>2.3</t>
  </si>
  <si>
    <t>Phu cấp ngày công cho công nhân vùng khó khăn</t>
  </si>
  <si>
    <t>III</t>
  </si>
  <si>
    <t>CHĂM SÓC</t>
  </si>
  <si>
    <t>Vườn cây kinh doanh năm 1</t>
  </si>
  <si>
    <t>Bôi thuốc kích thích</t>
  </si>
  <si>
    <t>phần</t>
  </si>
  <si>
    <t>Bôi thuốc phòng bệnh loét sọc miệng cạo</t>
  </si>
  <si>
    <t>Phun thuốc diệt cỏ đại trà</t>
  </si>
  <si>
    <t>Trạm 2</t>
  </si>
  <si>
    <t>ha</t>
  </si>
  <si>
    <t>20A</t>
  </si>
  <si>
    <t>22A</t>
  </si>
  <si>
    <t>14A</t>
  </si>
  <si>
    <t>21A</t>
  </si>
  <si>
    <t>15A</t>
  </si>
  <si>
    <t>16A</t>
  </si>
  <si>
    <t>20C</t>
  </si>
  <si>
    <t>17A</t>
  </si>
  <si>
    <t>Vườn cây kinh doanh năm 6</t>
  </si>
  <si>
    <t>Trạm 1</t>
  </si>
  <si>
    <t>13I</t>
  </si>
  <si>
    <t>Vườn cây kinh doanh năm 8</t>
  </si>
  <si>
    <t>3.1</t>
  </si>
  <si>
    <t>3.2</t>
  </si>
  <si>
    <t>3.3</t>
  </si>
  <si>
    <t>Phát chồi đại trà</t>
  </si>
  <si>
    <t>18E</t>
  </si>
  <si>
    <t>19K</t>
  </si>
  <si>
    <t>13J</t>
  </si>
  <si>
    <t>3.4</t>
  </si>
  <si>
    <t>15I</t>
  </si>
  <si>
    <t>16I</t>
  </si>
  <si>
    <t>15K</t>
  </si>
  <si>
    <t>14J</t>
  </si>
  <si>
    <t>14K</t>
  </si>
  <si>
    <t>16E</t>
  </si>
  <si>
    <t>17E</t>
  </si>
  <si>
    <t>18F</t>
  </si>
  <si>
    <t>18A</t>
  </si>
  <si>
    <t>Vườn cây tận thu</t>
  </si>
  <si>
    <t>4.1</t>
  </si>
  <si>
    <t>4.2</t>
  </si>
  <si>
    <t>VƯỜN CÂY KTCB</t>
  </si>
  <si>
    <t>Vườn cây năm 2018</t>
  </si>
  <si>
    <t>CÔNG BẢO VỆ</t>
  </si>
  <si>
    <t>Bảo vệ Lào</t>
  </si>
  <si>
    <t>4 người * 2,600.000 Kíp/tháng</t>
  </si>
  <si>
    <t>CÔNG VIỆC KHÁC</t>
  </si>
  <si>
    <t>TỔNG CÔNG SẢN PHẨM = A+B+C+D</t>
  </si>
  <si>
    <t>Huyện Noong, ngày      tháng        năm 2025</t>
  </si>
  <si>
    <t xml:space="preserve">PHÓ PHÒNG PHỤ TRÁCH </t>
  </si>
  <si>
    <t>ĐỘI TRƯỞNG</t>
  </si>
  <si>
    <t>THỐNG KÊ - TỔNG HỢP</t>
  </si>
  <si>
    <t>Hoàng Tấn Thảo</t>
  </si>
  <si>
    <t>Lương Đức Tính</t>
  </si>
  <si>
    <t>Lê Thị Mai Huân</t>
  </si>
  <si>
    <t>Đoàn nghiệm thu Công ty:</t>
  </si>
  <si>
    <t xml:space="preserve">                       TỔNG GIÁM ĐỐC                                 </t>
  </si>
  <si>
    <t>PHÒNG TC-KT</t>
  </si>
  <si>
    <t>PHÒNG TC-HC</t>
  </si>
  <si>
    <t>PHÒNG KH-XDCB</t>
  </si>
  <si>
    <t xml:space="preserve">      PHÒNG KT-NN</t>
  </si>
  <si>
    <t>BẢNG TỔNG HỢP CÁC CÔNG CHĂM SÓC</t>
  </si>
  <si>
    <t>Tên CN</t>
  </si>
  <si>
    <t>Tên công việc</t>
  </si>
  <si>
    <t>Bôi kích thích</t>
  </si>
  <si>
    <t>bôi loét sọc</t>
  </si>
  <si>
    <t>Phun cỏ</t>
  </si>
  <si>
    <t>Phát chồi</t>
  </si>
  <si>
    <t>Bấm mái chắn mưa</t>
  </si>
  <si>
    <t>Bấm mái chắn mưa HO4</t>
  </si>
  <si>
    <t>Bấm màng phủ chén</t>
  </si>
  <si>
    <t>Nhung</t>
  </si>
  <si>
    <t>Xăm Chết</t>
  </si>
  <si>
    <t>Thảo Po Mua</t>
  </si>
  <si>
    <t>Thảo Từn Vàng</t>
  </si>
  <si>
    <t>Thảo Cua Vư</t>
  </si>
  <si>
    <t>Mèo</t>
  </si>
  <si>
    <t>Cha</t>
  </si>
  <si>
    <t>Thọ Tinh</t>
  </si>
  <si>
    <t>Sinh Thoong</t>
  </si>
  <si>
    <t>Bố Nọi</t>
  </si>
  <si>
    <t>Xì xung</t>
  </si>
  <si>
    <t>Cha Chiệp</t>
  </si>
  <si>
    <t>Cha Măn</t>
  </si>
  <si>
    <t>A Hông</t>
  </si>
  <si>
    <t>Ka Văng</t>
  </si>
  <si>
    <t>Xăm Mái</t>
  </si>
  <si>
    <t>A Pót</t>
  </si>
  <si>
    <t>Gia cố mái chắn mưa</t>
  </si>
  <si>
    <t>A Pon</t>
  </si>
  <si>
    <t>Phò Lăng</t>
  </si>
  <si>
    <t>A Têng</t>
  </si>
  <si>
    <t>Cha Khuất</t>
  </si>
  <si>
    <t>Bang</t>
  </si>
  <si>
    <t>Bun Đương</t>
  </si>
  <si>
    <t>Phay</t>
  </si>
  <si>
    <t>Bươi</t>
  </si>
  <si>
    <t>A Bổ</t>
  </si>
  <si>
    <t>CÔNG TY TNHH MTV QUASA-GERUCO LÀO</t>
  </si>
  <si>
    <t>BẢNG TỔNG HỢP SẢN LƯỢNG MỦ TẠP THÁNG 06 NĂM 2025</t>
  </si>
  <si>
    <t>(Từ ngày 01 đến 30/06/2025)</t>
  </si>
  <si>
    <t>Tổng mủ tạp</t>
  </si>
  <si>
    <t>Mủ tạp quy khô</t>
  </si>
  <si>
    <t>Xếp hạng kỹ thuật</t>
  </si>
  <si>
    <t>DRC trạm 1</t>
  </si>
  <si>
    <t>Số công nhân</t>
  </si>
  <si>
    <t>Hạng kỹ thuật</t>
  </si>
  <si>
    <t>Sản lượng mủ (kg)</t>
  </si>
  <si>
    <t>Hạng</t>
  </si>
  <si>
    <t>Tỷ lệ %</t>
  </si>
  <si>
    <t xml:space="preserve">Mủ tạp </t>
  </si>
  <si>
    <t xml:space="preserve">Mủ quy khô </t>
  </si>
  <si>
    <t xml:space="preserve">Tỷ lệ % </t>
  </si>
  <si>
    <t xml:space="preserve"> CN chính thức</t>
  </si>
  <si>
    <t>CN thay thế</t>
  </si>
  <si>
    <t>C.</t>
  </si>
  <si>
    <t>Huyện Noong, ngày 01 tháng 07 năm 2025</t>
  </si>
  <si>
    <t xml:space="preserve">P.PHÒNG PHỤ TRÁCH </t>
  </si>
  <si>
    <t>Lương Đức Tính                    Lê Thị Mai Huân</t>
  </si>
  <si>
    <t>BẢNG CHẤM CÔNG CÔNG NHÂN KHAI THÁC THÁNG 06 NĂM 2025</t>
  </si>
  <si>
    <t>Ngày bình thường (x)</t>
  </si>
  <si>
    <t xml:space="preserve">Chủ
nhật (cn) </t>
  </si>
  <si>
    <t>Cạo 2 miệng</t>
  </si>
  <si>
    <t>Cạo 2 miệng chủ nhật (CT)</t>
  </si>
  <si>
    <t>cn</t>
  </si>
  <si>
    <t>x</t>
  </si>
  <si>
    <t>Ghi chú:</t>
  </si>
  <si>
    <t>x: ngày đi cạo bình thường</t>
  </si>
  <si>
    <t>cn: ngày đi cạo chủ nhật</t>
  </si>
  <si>
    <t>Đ: Cạo đúp 2 lát</t>
  </si>
  <si>
    <t>BẢNG CHẤM CÔNG PHỤ CẤP VƯỜN CÂY NĂM THỨ NHẤT THÁNG 11 NĂM 2024</t>
  </si>
  <si>
    <t>Số ngày
làm việc</t>
  </si>
  <si>
    <t>Nang Túc</t>
  </si>
  <si>
    <t>Lard</t>
  </si>
  <si>
    <t>CÔNG TY TNHH CỔ PHẦN QUASA - GERUCO</t>
  </si>
  <si>
    <t>NÔNG TRƯỜNG CAO SU SỐ 1</t>
  </si>
  <si>
    <t>BẢNG TỔNG HỢP CÔNG THỰC HIỆN THÁNG 12 NĂM 2021</t>
  </si>
  <si>
    <t>(Từ ngày 01 đến 31/12/2021)</t>
  </si>
  <si>
    <t>.</t>
  </si>
  <si>
    <t>DRC    =</t>
  </si>
  <si>
    <t>DRC mủ dây  =</t>
  </si>
  <si>
    <t>Họ và
Tên Lào</t>
  </si>
  <si>
    <t>Mủ tạp</t>
  </si>
  <si>
    <t>Gia cố mái</t>
  </si>
  <si>
    <t>Gắn mái mới</t>
  </si>
  <si>
    <t>Xã miệng cạo</t>
  </si>
  <si>
    <t>Trang bị vật tư</t>
  </si>
  <si>
    <t>Thiết kế mở cạo</t>
  </si>
  <si>
    <t>Vệ sinh chén</t>
  </si>
  <si>
    <t>Đi thước đứng</t>
  </si>
  <si>
    <t>Rập thiết kế</t>
  </si>
  <si>
    <t>Phun trị bệnh Botry</t>
  </si>
  <si>
    <t>ủi cục bộ</t>
  </si>
  <si>
    <t>ủi bao lô</t>
  </si>
  <si>
    <t>băm chồi hàng 2m</t>
  </si>
  <si>
    <t>Kiểm kê</t>
  </si>
  <si>
    <t>Cắt dây leo Đội 6</t>
  </si>
  <si>
    <t>Tổng
công</t>
  </si>
  <si>
    <t>VC bình thường</t>
  </si>
  <si>
    <t>VC khộp nhẹ</t>
  </si>
  <si>
    <t>VC khộp nặng</t>
  </si>
  <si>
    <t xml:space="preserve">Tổng Mủ tạp </t>
  </si>
  <si>
    <t>Mủ
dây</t>
  </si>
  <si>
    <t>Mủ
Sirum</t>
  </si>
  <si>
    <t xml:space="preserve">Quy Khô </t>
  </si>
  <si>
    <t>Ngày
công</t>
  </si>
  <si>
    <t>Phụ cấp
chủ nhật</t>
  </si>
  <si>
    <t xml:space="preserve">Phụ cấp vườn cây khộp nặng </t>
  </si>
  <si>
    <t>Phụ cấp đánh axit</t>
  </si>
  <si>
    <t>Phụ cấp cây non  cầu</t>
  </si>
  <si>
    <t xml:space="preserve">Phụ cấp cạo gia tăng </t>
  </si>
  <si>
    <t>Phụ cấp cạo gia tăng ngày CN</t>
  </si>
  <si>
    <t>Phụ cấp vườn cây khó khăn</t>
  </si>
  <si>
    <t>Xác Nhận</t>
  </si>
  <si>
    <t>mủ QK</t>
  </si>
  <si>
    <t>I./ VƯỜN CÂY KINH DOANH</t>
  </si>
  <si>
    <t>DRC mủ serum</t>
  </si>
  <si>
    <t>mủ tạp</t>
  </si>
  <si>
    <t>QK</t>
  </si>
  <si>
    <t>DRC Đội 1</t>
  </si>
  <si>
    <t>DRC Đội 2</t>
  </si>
  <si>
    <t>DRC Đội 3</t>
  </si>
  <si>
    <t>DRC Đội 4</t>
  </si>
  <si>
    <t>DRC Đội 5</t>
  </si>
  <si>
    <t>DRC Đội 6</t>
  </si>
  <si>
    <t>DRC XC</t>
  </si>
  <si>
    <t>DRC TC</t>
  </si>
  <si>
    <t>DRC 71ha</t>
  </si>
  <si>
    <t>Mủ serum Đội 1</t>
  </si>
  <si>
    <t>Mủ serum Đội 2</t>
  </si>
  <si>
    <t>Chek Ky</t>
  </si>
  <si>
    <t>Mủ serum Đội 6</t>
  </si>
  <si>
    <t>Thảo Chin</t>
  </si>
  <si>
    <t>01006</t>
  </si>
  <si>
    <t>Nang Tóy</t>
  </si>
  <si>
    <t>Khụt</t>
  </si>
  <si>
    <t>Si Thon</t>
  </si>
  <si>
    <t>Thảo Con</t>
  </si>
  <si>
    <t>Nang Khun</t>
  </si>
  <si>
    <t>Nàng</t>
  </si>
  <si>
    <t>Nang Vy</t>
  </si>
  <si>
    <t>Khâm Cợt</t>
  </si>
  <si>
    <t>Thảo Khun</t>
  </si>
  <si>
    <t>Thê</t>
  </si>
  <si>
    <t>Nang Tỵ</t>
  </si>
  <si>
    <t>Xay Khâm</t>
  </si>
  <si>
    <t>Ka</t>
  </si>
  <si>
    <t>Thảo Bin</t>
  </si>
  <si>
    <t>Phò Thon</t>
  </si>
  <si>
    <t>Thảo Uông</t>
  </si>
  <si>
    <t>Nang Khâm</t>
  </si>
  <si>
    <t>Tý (2)</t>
  </si>
  <si>
    <t>Tèo</t>
  </si>
  <si>
    <t>Loi (2)</t>
  </si>
  <si>
    <t>Lan (2)</t>
  </si>
  <si>
    <t>Thảo Lúi</t>
  </si>
  <si>
    <t>Me Ly</t>
  </si>
  <si>
    <t>Hơn</t>
  </si>
  <si>
    <t>Nam phon</t>
  </si>
  <si>
    <t>Lăm phon (3)</t>
  </si>
  <si>
    <t>Cheo</t>
  </si>
  <si>
    <t>Thảo Tom</t>
  </si>
  <si>
    <t>In (3)</t>
  </si>
  <si>
    <t>Tý (3)</t>
  </si>
  <si>
    <t>Đội 3 Trạm cán</t>
  </si>
  <si>
    <t>Đội 3 xưởng cưa</t>
  </si>
  <si>
    <t>Ô Lăng</t>
  </si>
  <si>
    <t>ô lăng</t>
  </si>
  <si>
    <t>Thảo Bay</t>
  </si>
  <si>
    <t>Huyện phìn, ngày 28 tháng 02 năm 2022</t>
  </si>
  <si>
    <t>TL. NÔNG NGHIỆP</t>
  </si>
  <si>
    <t>KH SL tháng</t>
  </si>
  <si>
    <t>KH SX</t>
  </si>
  <si>
    <t>THÁNG 04/2025</t>
  </si>
  <si>
    <t>ຜະລິດຕະພັນ</t>
  </si>
  <si>
    <t>ມື້ໄປເຮັດວຽກ</t>
  </si>
  <si>
    <t>ເຮັດວຽກວັນອາທິດ</t>
  </si>
  <si>
    <t>ອຸດໜູນເງິນເດືອນ</t>
  </si>
  <si>
    <t>Phụ cấp cạo 2 miệng</t>
  </si>
  <si>
    <t>ອຸດໜູນກີດ2ປາກຢາງ</t>
  </si>
  <si>
    <t>P/c cạo 2 miệng chủ nhật</t>
  </si>
  <si>
    <t>ອຸດໜູນກີດ2ປາກຢາງ ວັນອາທິດ</t>
  </si>
  <si>
    <t>P/c 2 miệng CN</t>
  </si>
  <si>
    <t>Phụ cấp nhỏ axit</t>
  </si>
  <si>
    <t>ອຸດໜູນຢອດນ້ຳກົດ</t>
  </si>
  <si>
    <t>P/c nhỏ axit</t>
  </si>
  <si>
    <t>ຜົນຜະລິດນ້ຳຢາງ</t>
  </si>
  <si>
    <t>Hạng kỷ thuật</t>
  </si>
  <si>
    <t>ເຕັກນິກ</t>
  </si>
  <si>
    <t>Tiếng Việt</t>
  </si>
  <si>
    <t>Tiếng Lào</t>
  </si>
  <si>
    <t>ຊື່ແລະນາມສະກຸນ</t>
  </si>
  <si>
    <t>Phụ cấp cạo 2 miệng chủ nhật</t>
  </si>
  <si>
    <t>Phụ cấp vườn cây năm nhất</t>
  </si>
  <si>
    <t>ອຸດໜູນສວນໄມ້ປີທຳອິດ</t>
  </si>
  <si>
    <t>Phụ cấp vùng xa khó khăn</t>
  </si>
  <si>
    <t>ອຸດໜູູນຄວາມຫຍຸ້ງຍາກ</t>
  </si>
  <si>
    <t>+</t>
  </si>
  <si>
    <t>Éc</t>
  </si>
  <si>
    <t>P/c cạo 2 miệng</t>
  </si>
  <si>
    <t>P/c cạo 2 miệng CN</t>
  </si>
  <si>
    <t>Thảo Ón</t>
  </si>
  <si>
    <t xml:space="preserve">Thảo Phết </t>
  </si>
  <si>
    <t xml:space="preserve">Thảo Ký </t>
  </si>
  <si>
    <t>ອຸດໝູນເປີດປາກສວນຢາງປີທຳອິດ</t>
  </si>
  <si>
    <t>P/c vườn cây năm nhất</t>
  </si>
  <si>
    <t>P/c vùng xa khó khăn</t>
  </si>
  <si>
    <t>Thiết kế cạo ngửa</t>
  </si>
  <si>
    <t>Thiết kế cạo úp</t>
  </si>
  <si>
    <t>Thiết kế cạo úp HO4</t>
  </si>
  <si>
    <t>Thay dây cột kiềng</t>
  </si>
  <si>
    <t>Bôi Vaselin khoá miệng cạo</t>
  </si>
  <si>
    <t>Rút máng vệ sinh máng dẫn mủ</t>
  </si>
  <si>
    <t>Gom MCM - MPC</t>
  </si>
  <si>
    <t xml:space="preserve">Gom kiềng miện cạo gia tăng </t>
  </si>
  <si>
    <t>Phụ cấp bốc mủ</t>
  </si>
  <si>
    <t>Phụ cấp cây non đòi 3 cầu</t>
  </si>
  <si>
    <t>Đội 3 - tổ 1</t>
  </si>
  <si>
    <t>3-1</t>
  </si>
  <si>
    <t>3-2</t>
  </si>
  <si>
    <t>So với số ở BC</t>
  </si>
  <si>
    <t>CÔNG TY TNHH MTV QUASA - GERUCO LÀO</t>
  </si>
  <si>
    <t>Tỷ giá Bath qua kíp</t>
  </si>
  <si>
    <t>Chức
 vụ</t>
  </si>
  <si>
    <t>LƯƠNG</t>
  </si>
  <si>
    <t>Tổng lương</t>
  </si>
  <si>
    <t xml:space="preserve">Tiền lương còn lại </t>
  </si>
  <si>
    <t>Ký nhận</t>
  </si>
  <si>
    <t>Lương chăm sóc (25.000 kíp/Công)</t>
  </si>
  <si>
    <t>Lương sản lượng</t>
  </si>
  <si>
    <t>Phụ cấp ngày công khai thác</t>
  </si>
  <si>
    <t>Thành 
tiền</t>
  </si>
  <si>
    <t>Mủ tạp (kg)</t>
  </si>
  <si>
    <t>Mủ xirum (Kg)</t>
  </si>
  <si>
    <t>Mủ quy khô (Kg)</t>
  </si>
  <si>
    <t>Hạng
kỹ
thuật</t>
  </si>
  <si>
    <t>Thành
tiền</t>
  </si>
  <si>
    <t xml:space="preserve"> Ngày công thường</t>
  </si>
  <si>
    <t xml:space="preserve"> Ngày công chủ nhật</t>
  </si>
  <si>
    <t>Thành tiền</t>
  </si>
  <si>
    <t>Tiền ứng</t>
  </si>
  <si>
    <t>À¤ò­»ñ®ªö¸¥ò¤</t>
  </si>
  <si>
    <t>À¯ñ­À¤ò­</t>
  </si>
  <si>
    <t>µ¾¤­Õ£ò©
ª¾´ºñ©ª¾
Á¹É¤</t>
  </si>
  <si>
    <t>§˜­Àªñ¡ ­ò¡</t>
  </si>
  <si>
    <t>º÷©Îø­ ¸ñ­¤¾­</t>
  </si>
  <si>
    <t>º÷©Îø­ ¸ñ­º¾êò©</t>
  </si>
  <si>
    <t>À§ñ­»ñ®</t>
  </si>
  <si>
    <t>Tạm ứng</t>
  </si>
  <si>
    <t>P.PHÒNG PHỤ TRÁCH</t>
  </si>
  <si>
    <t xml:space="preserve">              CÔNG TY TNHH CP QUASA - GERUCO LÀO</t>
  </si>
  <si>
    <t>BẢNG LƯƠNG KHAI THÁC ĐỘI 3 THÁNG 04 NĂM 2025</t>
  </si>
  <si>
    <t>Mủ dây (Kg)</t>
  </si>
  <si>
    <t>Mủ quy khô (Kg) ẩn</t>
  </si>
  <si>
    <t xml:space="preserve">Hạng
kỹ
thuật
</t>
  </si>
  <si>
    <t xml:space="preserve">Phụ cấp ngày công </t>
  </si>
  <si>
    <t>Phụ cấp ngày công chủ nhật</t>
  </si>
  <si>
    <t>Phụ cấp nhỏ axit đánh đông</t>
  </si>
  <si>
    <t>Phụ cấp vườn cây non</t>
  </si>
  <si>
    <t>Phụ cấp vườn cây khộp nặng</t>
  </si>
  <si>
    <t>Phụ cấp tiền lương (500.000 kip)</t>
  </si>
  <si>
    <t>d3</t>
  </si>
  <si>
    <t xml:space="preserve">ĐỘI 3 </t>
  </si>
  <si>
    <t>d4</t>
  </si>
  <si>
    <t>(Số tiền bằng chữ: Một trăm sáu mươi ba triệu, không trăm tám mươi nghìn, sáu trăm hai mươi chín kíp)</t>
  </si>
  <si>
    <t>Huyện Phìn, ngày 02 tháng 05 năm 2025</t>
  </si>
  <si>
    <t xml:space="preserve">   Võ Thị Phượng</t>
  </si>
  <si>
    <t>BẢNG LƯƠNG KHAI THÁC ĐỘI 3 - TRẠM CÁN THÁNG 04 NĂM 2025</t>
  </si>
  <si>
    <t>ĐỘI 3 TRẠM CÁN TOTAL</t>
  </si>
  <si>
    <t>(Số tiền bằng chữ: Mười sáu triệu, tám trăm tám mươi bảy nghìn, sáu trăm sáu mươi tám kíp)</t>
  </si>
  <si>
    <t xml:space="preserve">       Võ Thị Phượng</t>
  </si>
  <si>
    <t>BẢNG LƯƠNG KHAI THÁC ĐỘI 3 - XƯỞNG CƯA THÁNG 04 NĂM 2025</t>
  </si>
  <si>
    <t>ĐỘI 3 XƯỞNG CƯA TOTAL</t>
  </si>
  <si>
    <t>(Số tiền bằng chữ: Mười một triệu, chín trăm sáu mươi mốt nghìn, một trăm mười lăm kíp)</t>
  </si>
  <si>
    <t xml:space="preserve">            Võ Thị Phượng</t>
  </si>
  <si>
    <t>BẢNG LƯƠNG KHAI THÁC ĐỘI 4 THÁNG 04 NĂM 2025</t>
  </si>
  <si>
    <t>(Số tiền bằng chữ: Hai trăm chín mươi ba triệu, tám trăm ba mươi bảy nghìn, hai trăm mười tám kíp)</t>
  </si>
  <si>
    <t>,</t>
  </si>
  <si>
    <t xml:space="preserve">    Võ Thị Phượng</t>
  </si>
  <si>
    <t>BẢNG LƯƠNG KHAI THÁC ĐỘI 5 THÁNG 04 NĂM 2025</t>
  </si>
  <si>
    <t xml:space="preserve">ĐỘI 5 </t>
  </si>
  <si>
    <t>(Số tiền bằng chữ: Một trăm mười hai triệu, năm trăm ba mươi mốt nghìn, tám trăm chín mươi bốn kíp)</t>
  </si>
  <si>
    <t>\</t>
  </si>
  <si>
    <t xml:space="preserve">             Võ Thị Phượng</t>
  </si>
  <si>
    <t>BẢNG LƯƠNG KHAI THÁC ĐỘI 5 - KV71HA THÁNG 04 NĂM 2025</t>
  </si>
  <si>
    <t xml:space="preserve">ĐỘI 5 -KV71ha </t>
  </si>
  <si>
    <t>(Số tiền bằng chữ: Mười tám triệu, bảy trăm ba mươi nghìn, ba trăm chín mươi lăm kíp)</t>
  </si>
  <si>
    <t>Võ Thị Phượng</t>
  </si>
  <si>
    <t>BẢNG LƯƠNG KHAI THÁC ĐỘI 6 THÁNG 04 NĂM 2025</t>
  </si>
  <si>
    <t xml:space="preserve">ĐỘI 6 </t>
  </si>
  <si>
    <t>(Số tiền bằng chữ: Một trăm hai mươi bảy triệu, chín trăm hai mươi bảy nghìn, năm trăm chín mươi tám kíp)</t>
  </si>
  <si>
    <t xml:space="preserve"> NÔNG TRƯỜNG CAO SU SỐ 1</t>
  </si>
  <si>
    <t>BẢNG LƯƠNG TRẠM CÁN THÁNG 04 NĂM 2025</t>
  </si>
  <si>
    <t xml:space="preserve">Tỷ giá USD qua Kíp </t>
  </si>
  <si>
    <t xml:space="preserve"> Tiền lương còn lại </t>
  </si>
  <si>
    <t>Lương USD</t>
  </si>
  <si>
    <t>Lương cán mủ sơ chế</t>
  </si>
  <si>
    <t>Phụ cấp xăng xe (10.000 kíp/1 ngày)</t>
  </si>
  <si>
    <t>Tổng lương quy đổi</t>
  </si>
  <si>
    <t>Thuế TNCN</t>
  </si>
  <si>
    <t>Truy lĩnh Thuế TNCN tháng 01</t>
  </si>
  <si>
    <t>Mức lương</t>
  </si>
  <si>
    <t>Truy lĩnh lương tháng 11</t>
  </si>
  <si>
    <t>Phụ cấp</t>
  </si>
  <si>
    <t>Truy thu</t>
  </si>
  <si>
    <t>Tổnng lương</t>
  </si>
  <si>
    <t>Đvt</t>
  </si>
  <si>
    <t>Thành tiền (Kip)</t>
  </si>
  <si>
    <t>Mủ cán quy khô (tấn)</t>
  </si>
  <si>
    <t xml:space="preserve">Đơn gíá (Kip)
</t>
  </si>
  <si>
    <t>ì¾£¾</t>
  </si>
  <si>
    <t>À¤ò­À©õº­£ò©À¯ñ­À¤ò­¡ó®</t>
  </si>
  <si>
    <t>¦½¹¸ñ©©ó¡¾­</t>
  </si>
  <si>
    <t>£ñ¤¡¿´½®¾­</t>
  </si>
  <si>
    <t>»ñ®ªö¸¥ò¤</t>
  </si>
  <si>
    <t>USD</t>
  </si>
  <si>
    <t>Su Ban Tụi</t>
  </si>
  <si>
    <t>II</t>
  </si>
  <si>
    <t>Thảo Chơm</t>
  </si>
  <si>
    <t>Kip</t>
  </si>
  <si>
    <t>TRẠM CÁN NT 1</t>
  </si>
  <si>
    <t>(Số tiền bằng chữ: Ba mươi mốt triệu, tám trăm lẻ hai nghìn, chín trăm tám mươi kíp)</t>
  </si>
  <si>
    <t>BẢNG LƯƠNG KHAI THÁC THÁNG 06 NĂM 2025</t>
  </si>
  <si>
    <t>Đã chi trả hằng ngày</t>
  </si>
  <si>
    <t>Lương chăm sóc (25.000 kíp/công)</t>
  </si>
  <si>
    <t xml:space="preserve">Lương phụ cấp ngày công khai thác </t>
  </si>
  <si>
    <t>Mủ xirum (kg)</t>
  </si>
  <si>
    <t>Mủ quy khô (kg)</t>
  </si>
  <si>
    <t xml:space="preserve"> Vùng xa khó khăn</t>
  </si>
  <si>
    <t>Vườn cây kinh doanh</t>
  </si>
  <si>
    <t>Huyện Phìn, ngày 02 tháng 06 năm 2025</t>
  </si>
  <si>
    <t xml:space="preserve">    </t>
  </si>
  <si>
    <t>Hai</t>
  </si>
  <si>
    <t>Ba</t>
  </si>
  <si>
    <t>Tư</t>
  </si>
  <si>
    <t>Sáu</t>
  </si>
  <si>
    <t>Bảy</t>
  </si>
  <si>
    <t>BẢNG CHẤM CÔNG</t>
  </si>
  <si>
    <t>NĂM</t>
  </si>
  <si>
    <t>THÁNG</t>
  </si>
  <si>
    <t>Tổng công trực tết</t>
  </si>
  <si>
    <t xml:space="preserve">Tổng công </t>
  </si>
  <si>
    <t>X: ngày làm việc</t>
  </si>
  <si>
    <t>PHÒNG  TC - HC</t>
  </si>
  <si>
    <t>BẢNG LƯƠNG BẢO VỆ VƯỜN CÂY THÁNG 06 NĂM 2025</t>
  </si>
  <si>
    <t>Trạm</t>
  </si>
  <si>
    <r>
      <rPr>
        <b/>
        <sz val="13"/>
        <rFont val="Times New Roman"/>
        <family val="1"/>
      </rPr>
      <t xml:space="preserve">Đơn giá 
</t>
    </r>
    <r>
      <rPr>
        <sz val="13"/>
        <rFont val="Times New Roman"/>
        <family val="1"/>
      </rPr>
      <t>(2.000.000 kíp/tháng)</t>
    </r>
  </si>
  <si>
    <r>
      <rPr>
        <b/>
        <sz val="13"/>
        <rFont val="Times New Roman"/>
        <family val="1"/>
      </rPr>
      <t xml:space="preserve">Phụ cấp tiền xăng </t>
    </r>
    <r>
      <rPr>
        <sz val="13"/>
        <rFont val="Times New Roman"/>
        <family val="1"/>
      </rPr>
      <t>(600.000 kíp/tháng)</t>
    </r>
  </si>
  <si>
    <t>Ghi
chú</t>
  </si>
  <si>
    <t xml:space="preserve">Trạm 1 </t>
  </si>
  <si>
    <t xml:space="preserve">Đ3 </t>
  </si>
  <si>
    <t xml:space="preserve">  ĐỘI TRƯỞNG       NGƯỜI LẬP</t>
  </si>
  <si>
    <t>BẢNG TÍNH LƯƠNG CB.CNV ĐỘI SẢN XUẤT THÁNG 06 NĂM 2025</t>
  </si>
  <si>
    <t>Đơn vị tính</t>
  </si>
  <si>
    <t>Hệ số QLKT (K)</t>
  </si>
  <si>
    <t>Sản lượng giao kế hoạch tháng (tấn)</t>
  </si>
  <si>
    <t>Sản lượng thực hiện trong tháng (tấn)</t>
  </si>
  <si>
    <t>Tỷ lệ hoàn thành sản lượng (%)</t>
  </si>
  <si>
    <t>Lương theo bậc</t>
  </si>
  <si>
    <t>Lương tính theo tỷ lệ hoàn thành sản lượng và hạng kỹ thuật</t>
  </si>
  <si>
    <t>Lương thực hiện trong tháng</t>
  </si>
  <si>
    <t>(1)</t>
  </si>
  <si>
    <t>(2)</t>
  </si>
  <si>
    <t>(3)=(2)/(1)*100%</t>
  </si>
  <si>
    <t>(4)</t>
  </si>
  <si>
    <t>(5)=250*(3)</t>
  </si>
  <si>
    <t>(6)=(4)+(5)</t>
  </si>
  <si>
    <t>Đội trưởng</t>
  </si>
  <si>
    <t>Đội phó</t>
  </si>
  <si>
    <t>NVKT</t>
  </si>
  <si>
    <t>Kíp</t>
  </si>
  <si>
    <t xml:space="preserve"> PHÒNG KT-NN</t>
  </si>
  <si>
    <t>P. PHÒNG PHỤ TRÁCH</t>
  </si>
  <si>
    <t>Hoà bình - Độc Lập - Dân chủ - Thống nhất - Thịnh vượng</t>
  </si>
  <si>
    <t>BẢNG LƯƠNG CÁN BỘ QUẢN LÝ VÀ CÔNG NHÂN TRỰC TIẾP NGƯỜI LÀO THÁNG 06 NĂM 2025</t>
  </si>
  <si>
    <t>Bảo vệ vườn cây</t>
  </si>
  <si>
    <t>NV kỹ thuật</t>
  </si>
  <si>
    <t xml:space="preserve">VCKTCB </t>
  </si>
  <si>
    <t>Tổng tiền lương vườn cây kinh doanh (1)</t>
  </si>
  <si>
    <t>CÔNG TY TNHH CP QUASA - GERUCO LÀO</t>
  </si>
  <si>
    <t>BẢNG PHÂN TOÁN TIỀN LƯƠNG THÁNG 09 NĂM 2024</t>
  </si>
  <si>
    <t>( Từ ngày 01/08/2024 đến ngày 31/08/2024)</t>
  </si>
  <si>
    <t>TỶ giá</t>
  </si>
  <si>
    <t>Đvt: Kip</t>
  </si>
  <si>
    <t>Danh mục</t>
  </si>
  <si>
    <t>Số lượng</t>
  </si>
  <si>
    <t xml:space="preserve">Sản lượng thực hiện quy khô </t>
  </si>
  <si>
    <t>Đơn giá (kíp)</t>
  </si>
  <si>
    <t>Tổng tiền lương (KIP)</t>
  </si>
  <si>
    <t>Tổng tiền thực nhận  (KIP)</t>
  </si>
  <si>
    <t>TIỀN LƯƠNG KINH DOANH</t>
  </si>
  <si>
    <t>Tiền lương CN trực tiếp</t>
  </si>
  <si>
    <t>Sản lượng</t>
  </si>
  <si>
    <t>Xếp loại kỹ thuật A (đơn giá chuẩn)</t>
  </si>
  <si>
    <t>Xếp loại kỹ thuật B (đơn giá chuẩn)</t>
  </si>
  <si>
    <t>Xếp loại kỹ thuật C (đơn giá chuẩn)</t>
  </si>
  <si>
    <t>Xếp loại kỹ thuật D (đơn giá chuẩn)</t>
  </si>
  <si>
    <t>71Ha</t>
  </si>
  <si>
    <t>Sản lượng đội 2 (Diện tích khộp nhẹ)</t>
  </si>
  <si>
    <t xml:space="preserve">Xếp loại kỹ thuật A </t>
  </si>
  <si>
    <t xml:space="preserve">Xếp loại kỹ thuật B </t>
  </si>
  <si>
    <t xml:space="preserve">Xếp loại kỹ thuật C </t>
  </si>
  <si>
    <t>Xếp loại kỹ thuật D</t>
  </si>
  <si>
    <t>Sản lượng đội 1, Đội 2, TC 2P (Diện tích khộp nặng)</t>
  </si>
  <si>
    <t>Xếp loại kỹ thuật B</t>
  </si>
  <si>
    <t xml:space="preserve">Xếp loại kỹ thuật D </t>
  </si>
  <si>
    <t>Sản lượng Đội 6, Khu vực XC, TC - Đội 3, Đội 2 (Diện tích bình thường)</t>
  </si>
  <si>
    <t>Xếp loại kỹ thuật C</t>
  </si>
  <si>
    <t>Đơn giá mủ dây</t>
  </si>
  <si>
    <t>Đơn giá mủ xirum</t>
  </si>
  <si>
    <t>Phụ cấp ngày công</t>
  </si>
  <si>
    <t>Phụ cấp đánh đông axit</t>
  </si>
  <si>
    <t>Tiền lương chăm sóc vườn cây</t>
  </si>
  <si>
    <t>Vườn cây KTCB trồng năm 2017</t>
  </si>
  <si>
    <t>TIỀN LƯƠNG TRẠM CÁN</t>
  </si>
  <si>
    <t>Tiền lương CN sơ chế ( ca ngày )</t>
  </si>
  <si>
    <t>Tấn</t>
  </si>
  <si>
    <t>IV</t>
  </si>
  <si>
    <t>TIỀN LƯƠNG LÁI XE VẬN CHUYỂN MỦ</t>
  </si>
  <si>
    <t>TỔNG CỘNG:</t>
  </si>
  <si>
    <t>Số tiền bằng chữ: Hai tỷ, bốn trăm ba mươi ba triệu, không trăm tám mươi tám nghìn, bảy trăm bốn mươi kíp./.</t>
  </si>
  <si>
    <t xml:space="preserve"> Huyện Phìn, ngày 02 tháng 09 năm 2024</t>
  </si>
  <si>
    <t>CHI PHÍ THANH TOÁN THÁNG 07</t>
  </si>
  <si>
    <t>TỔNG GIÁM ĐỐC                          PHÒNG TC-KT                                 PHÒNG TC-HC                                    GIÁM ĐỐC NT</t>
  </si>
  <si>
    <t>Nội dung Thanh toán</t>
  </si>
  <si>
    <t>Số tiền</t>
  </si>
  <si>
    <t>Chi phí công việc khác</t>
  </si>
  <si>
    <t>Tiền chi phí nhập phân bón</t>
  </si>
  <si>
    <t>Ứng tiền SX tháng 8</t>
  </si>
  <si>
    <t>ĐỘI SẢN XUẤT SỐ 01</t>
  </si>
  <si>
    <t>BẢNG PHÂN TOÁN TIỀN LƯƠNG THÁNG 05 NĂM 2025</t>
  </si>
  <si>
    <t>Đơn giá (Kíp)</t>
  </si>
  <si>
    <t xml:space="preserve">Sản lượng đội 2 </t>
  </si>
  <si>
    <t>Sản lượng đội 1, Đội 2 (Diện tích khộp nặng)</t>
  </si>
  <si>
    <t>Sản lượng TC 2P (Diện tích khộp nặng)</t>
  </si>
  <si>
    <t>Phụ cấp tiền lương 500.000 kíp</t>
  </si>
  <si>
    <t>TIỀN LƯƠNG CB - CNV NGƯỜI LÀO</t>
  </si>
  <si>
    <t>Số tiền bằng chữ:  Một tỷ, không trăm hai mươi mốt triệu, chín trăm bốn mươi tám nghìn, hai trăm năm mươi tám kíp./.</t>
  </si>
  <si>
    <t xml:space="preserve"> Huyện Phìn, ngày 02 tháng 06 năm 2025</t>
  </si>
  <si>
    <t>TỔNG GIÁM ĐỐC                   PHÒNG TC-KT                     PHÒNG TC-HC                          ĐỘI TRƯỞNG</t>
  </si>
  <si>
    <t>BẢNG PHÂN TOÁN TIỀN LƯƠNG THÁNG 06 NĂM 2025</t>
  </si>
  <si>
    <t xml:space="preserve"> Huyện Noong, ngày 02 tháng 07 năm 2025</t>
  </si>
  <si>
    <t>TỔNG GIÁM ĐỐC             PHÒNG TC-KT                  PHÒNG TC-HC                 P. PHÒNG PHỤ TRÁCH                  ĐỘI TRƯỞNG</t>
  </si>
  <si>
    <t>HỌ VÀ TÊN</t>
  </si>
  <si>
    <t>CHỨC VỤ</t>
  </si>
  <si>
    <t>LƯƠNG (kip)</t>
  </si>
  <si>
    <t>THUẾ TNCN (kip)</t>
  </si>
  <si>
    <t>GHI CHÚ</t>
  </si>
  <si>
    <t>đội 3</t>
  </si>
  <si>
    <t>trạm cân</t>
  </si>
  <si>
    <t xml:space="preserve">PHÒNG TC - KT </t>
  </si>
  <si>
    <t>Đvt: kíp</t>
  </si>
  <si>
    <t>Hạng mục công việc</t>
  </si>
  <si>
    <t>Đơn giá</t>
  </si>
  <si>
    <t>Hòa Bình- Độc Lập- Dân Chủ- Thống Nhất- Thịnh Vượng</t>
  </si>
  <si>
    <t>BẢNG TỔNG HỢP KHỐI LƯỢNG MỦ SƠ CHẾ THÁNG 9 NĂM 2020</t>
  </si>
  <si>
    <t>Sản lượng làm trong ngày</t>
  </si>
  <si>
    <t>Hoï Teân</t>
  </si>
  <si>
    <t>Sang</t>
  </si>
  <si>
    <t>Aị (khăm Lả)</t>
  </si>
  <si>
    <t>Tui</t>
  </si>
  <si>
    <t>Sôt</t>
  </si>
  <si>
    <t>Chơm</t>
  </si>
  <si>
    <t>Huyện phìn, ngày 30 tháng 9 năm 2020</t>
  </si>
  <si>
    <t>GIÁM ĐỐC NÔNG TRƯỜNG</t>
  </si>
  <si>
    <t>ngày làm việc</t>
  </si>
  <si>
    <t>K</t>
  </si>
  <si>
    <t>Không làm việc</t>
  </si>
  <si>
    <t>HT</t>
  </si>
  <si>
    <t>Hội thao</t>
  </si>
  <si>
    <t>CT</t>
  </si>
  <si>
    <t>Công tác VN</t>
  </si>
  <si>
    <t>NL</t>
  </si>
  <si>
    <t>nghỉ lể</t>
  </si>
  <si>
    <t>P</t>
  </si>
  <si>
    <t>nghỉ phép</t>
  </si>
  <si>
    <t>PK</t>
  </si>
  <si>
    <t>nghỉ phép không lương</t>
  </si>
  <si>
    <t>TR</t>
  </si>
  <si>
    <t>trễ phép</t>
  </si>
  <si>
    <t>TS</t>
  </si>
  <si>
    <t>nghỉ thai sản</t>
  </si>
  <si>
    <t>HS</t>
  </si>
  <si>
    <t>lương hệ số</t>
  </si>
  <si>
    <r>
      <rPr>
        <b/>
        <sz val="13"/>
        <rFont val="Times New Roman"/>
        <family val="1"/>
      </rPr>
      <t xml:space="preserve">Hòa </t>
    </r>
    <r>
      <rPr>
        <b/>
        <u/>
        <sz val="13"/>
        <rFont val="Times New Roman"/>
        <family val="1"/>
      </rPr>
      <t>Bình- Độc Lập- Dân Chủ- Thống Nhất- Thịnh</t>
    </r>
    <r>
      <rPr>
        <b/>
        <sz val="13"/>
        <rFont val="Times New Roman"/>
        <family val="1"/>
      </rPr>
      <t xml:space="preserve"> Vượng</t>
    </r>
  </si>
  <si>
    <t>BẢNG CHẤM CÔNG CÔNG NHÂN SƠ CHẾ MỦ 06 NĂM 2019</t>
  </si>
  <si>
    <t>Ngày làm việc</t>
  </si>
  <si>
    <t>Lock</t>
  </si>
  <si>
    <t>Huyện phìn, ngày 01 tháng 07 năm 2019</t>
  </si>
  <si>
    <t>Chấm công</t>
  </si>
  <si>
    <t>CÔNG TY TNHH CP QUASA - GERUCO</t>
  </si>
  <si>
    <t>BẢNG PHÂN TOÁN TIỀN LƯƠNG THÁNG 08 NĂM 2020</t>
  </si>
  <si>
    <t>Danh mục</t>
  </si>
  <si>
    <t>Số lượng</t>
  </si>
  <si>
    <t>Sản lượng thực hiện quy chuẩn (quy khô)</t>
  </si>
  <si>
    <t>Tổng tiền quyết toán</t>
  </si>
  <si>
    <t>Đã ứng</t>
  </si>
  <si>
    <t xml:space="preserve">Còn nhận </t>
  </si>
  <si>
    <t>TIỀN LƯƠNG QUẢN LÝ NÔNG TRƯỜNG</t>
  </si>
  <si>
    <t>Người</t>
  </si>
  <si>
    <t>TIỀN LƯƠNG KINH DOANH</t>
  </si>
  <si>
    <t>Tiền lương trực tiếp</t>
  </si>
  <si>
    <t>Sản lượng</t>
  </si>
  <si>
    <t>Xếp loại kỹ thuật A (đơn giá chuẩn)</t>
  </si>
  <si>
    <t>Xếp loại kỹ thuật A (đơn giá phụ cấp KV Đội1)</t>
  </si>
  <si>
    <t>Hạng A</t>
  </si>
  <si>
    <t>Xếp loại kỹ thuật A (đơn giá phụ cấp KV Đội2)</t>
  </si>
  <si>
    <t>Hạng B</t>
  </si>
  <si>
    <t>Xếp loại kỹ thuật B (đơn giá chuẩn)</t>
  </si>
  <si>
    <t>Hạng C</t>
  </si>
  <si>
    <t>Xếp loại kỹ thuật B (đơn giá phụ cấp KV Đội1)</t>
  </si>
  <si>
    <t>Hạng D</t>
  </si>
  <si>
    <t>Xếp loại kỹ thuật B (đơn giá phụ cấp KV Đội2)</t>
  </si>
  <si>
    <t>Xếp loại kỹ thuật C (đơn giá chuẩn)</t>
  </si>
  <si>
    <t>Xếp loại kỹ thuật C (đơn giá phụ cấp KV Đội1)</t>
  </si>
  <si>
    <t>Xếp loại kỹ thuật C (đơn giá phụ cấp KV Đội2)</t>
  </si>
  <si>
    <t>Xếp loại kỹ thuật D (đơn giá chuẩn)</t>
  </si>
  <si>
    <t>Xếp loại kỹ thuật D (đơn giá phụ cấp KV Đội1)</t>
  </si>
  <si>
    <t>Xếp loại kỹ thuật D (đơn giá phụ cấp KV Đội2)</t>
  </si>
  <si>
    <t>Phụ cấp ngày công</t>
  </si>
  <si>
    <t>Ngày thường</t>
  </si>
  <si>
    <t>Ngày chủ nhật</t>
  </si>
  <si>
    <t>Phụ cấp khác</t>
  </si>
  <si>
    <t>Tiền lương chăm sóc vườn cây</t>
  </si>
  <si>
    <t>Lương tổ đội</t>
  </si>
  <si>
    <t>Tiền lương đội trưởng, đội phó</t>
  </si>
  <si>
    <t>Tiền lương bảo vệ (trạm thu mủ từng đội)</t>
  </si>
  <si>
    <t>Tiền thưởng</t>
  </si>
  <si>
    <t>TIỀN LƯƠNG KIẾN THIẾT CƠ BẢN</t>
  </si>
  <si>
    <t>Tiền lương vườn cây KTCB đúng tuổi</t>
  </si>
  <si>
    <t>Vườn cây tái canh năm 2018</t>
  </si>
  <si>
    <t>Vườn cây tái canh năm 2017</t>
  </si>
  <si>
    <t>Vườn cây năm 2015</t>
  </si>
  <si>
    <t>Vườn cây năm 2014</t>
  </si>
  <si>
    <t>Vườn cây năm 2013</t>
  </si>
  <si>
    <t>Vườn cây năm 2012</t>
  </si>
  <si>
    <t>Tiền lương vườn cây chăm sóc tối thiểu</t>
  </si>
  <si>
    <t>Vườn cây 2007</t>
  </si>
  <si>
    <t>Vườn cây 2008</t>
  </si>
  <si>
    <t>Vườn cây 2009</t>
  </si>
  <si>
    <t>Vườn cây 2010</t>
  </si>
  <si>
    <t>Vườn cây 2011</t>
  </si>
  <si>
    <t>Vườn cây 2012</t>
  </si>
  <si>
    <t>Vườn cây 2013</t>
  </si>
  <si>
    <t>Vườn cây 2014</t>
  </si>
  <si>
    <t>Vườn cây 2015</t>
  </si>
  <si>
    <t>Vườn cây 2017</t>
  </si>
  <si>
    <t>Tiền lương vườn cây chăm sóc kéo dài</t>
  </si>
  <si>
    <t>Tiền lương vườn cây keo lai</t>
  </si>
  <si>
    <t>Vườn cây 2018</t>
  </si>
  <si>
    <t>Tiền lương vườn ươm</t>
  </si>
  <si>
    <t>Tiền lương bảo vệ vườn cây KTCB</t>
  </si>
  <si>
    <t xml:space="preserve">TRẠM CÁN </t>
  </si>
  <si>
    <t>(A+B+C)</t>
  </si>
  <si>
    <t>BẢNG THANH TOÁN TIỀN HỔ TRỢ XE QUẢN LÝ THÁNG 04 NĂM 2025</t>
  </si>
  <si>
    <t>Họ tên</t>
  </si>
  <si>
    <t>Hà Văn Thành</t>
  </si>
  <si>
    <t>Tài xế</t>
  </si>
  <si>
    <t>Số tiền bằng chữ: Năm trăm ngàn kíp</t>
  </si>
  <si>
    <t xml:space="preserve">                                                                Huyện phìn, ngày 02 tháng 02 năm 2025</t>
  </si>
  <si>
    <t xml:space="preserve">  PHÒNG TC - KT</t>
  </si>
  <si>
    <t xml:space="preserve">       PHÒNG TC - HC</t>
  </si>
  <si>
    <t>GIÁM ĐỐC NÔNG TRƯỜNG</t>
  </si>
  <si>
    <t xml:space="preserve">       LẬP BIỂU</t>
  </si>
  <si>
    <t>DANH SÁCH CB - CNV NỘP THUẾ TNCN THÁNG 01/2025</t>
  </si>
  <si>
    <t>01852</t>
  </si>
  <si>
    <t>ເທືອດ</t>
  </si>
  <si>
    <t>đội 1</t>
  </si>
  <si>
    <t>đội 2</t>
  </si>
  <si>
    <t>(Bằng chữ: Hai triệu, sáu trăm năm mươi lăm nghìn, không trăm hai mươi mốt kíp.)</t>
  </si>
  <si>
    <t>Huyện Phìn, ngày 02 tháng 02 năm 2025</t>
  </si>
  <si>
    <t>PHÒNG TC - KT                  PHÒNG TC - HC</t>
  </si>
  <si>
    <t>GIÁM ĐỐC NT</t>
  </si>
  <si>
    <t>ĐỘI SẢN XUẤT SỐ 02</t>
  </si>
  <si>
    <t>BẢNG PHÂN TOÁN TỔNG HỢP CHI PHÍ KHÁC THÁNG 06 NĂM 2025</t>
  </si>
  <si>
    <t>Số tiền (kíp)</t>
  </si>
  <si>
    <t>Phụ cấp trưởng bản tháng 5</t>
  </si>
  <si>
    <t xml:space="preserve">Phụ cấp xăng xe </t>
  </si>
  <si>
    <t>Chi phí tiếp khách</t>
  </si>
  <si>
    <t>Chi phí nhiên liệu</t>
  </si>
  <si>
    <t>Số tiền bằng chữ: Hai mươi bốn triệu, hai trăm bốn mươi nghìn kíp./.</t>
  </si>
  <si>
    <t>TỔNG GIÁM ĐỐC                PHÒNG TC-KT                PHÒNG TC-HC                   P.PHÒNG PHỤ TRÁCH                  ĐỘI TRƯỞNG</t>
  </si>
  <si>
    <t>PHỤ CẤP XĂNG XE THÁNG 04 NĂM 2025</t>
  </si>
  <si>
    <t>Họ và Tên</t>
  </si>
  <si>
    <t>Phụ cấp xăng xe</t>
  </si>
  <si>
    <t>Tổng cộng 
thu nhập</t>
  </si>
  <si>
    <t>Truy lĩnh thuế TNCN tháng 01</t>
  </si>
  <si>
    <t>Trích KP
 Công Đoàn</t>
  </si>
  <si>
    <t>Thực 
Nhận</t>
  </si>
  <si>
    <t>Ký 
Nhận</t>
  </si>
  <si>
    <t>Ngày 
Công</t>
  </si>
  <si>
    <t>Đơn 
Giá</t>
  </si>
  <si>
    <t>Phụ 
cấp</t>
  </si>
  <si>
    <t>Thành
 Tiền</t>
  </si>
  <si>
    <t>Tổng lương quy đổi
 USD - Kip</t>
  </si>
  <si>
    <t>Trần Văn Lý</t>
  </si>
  <si>
    <t>Giám đốc</t>
  </si>
  <si>
    <t>Bùi Phước Tùng Lâm</t>
  </si>
  <si>
    <t>Phó giám đốc</t>
  </si>
  <si>
    <t>Đỗ Văn Đại</t>
  </si>
  <si>
    <t>TL. KH- NN</t>
  </si>
  <si>
    <t>Vũ Xuân Sơn</t>
  </si>
  <si>
    <t>TL. Bảo vệ</t>
  </si>
  <si>
    <t>Lê Chí Vàng</t>
  </si>
  <si>
    <t>NVNN</t>
  </si>
  <si>
    <t>Nguyễn Đoàn Ngọc Đức</t>
  </si>
  <si>
    <t>Vi Ngọc Thức</t>
  </si>
  <si>
    <t>Nguyễn Thị Khánh Ly</t>
  </si>
  <si>
    <t>Hà Văn Hòa</t>
  </si>
  <si>
    <t>Lê Thị Phương</t>
  </si>
  <si>
    <t>Nguyễn Ngọc Thắng</t>
  </si>
  <si>
    <t>Nguyễn Thanh Hải</t>
  </si>
  <si>
    <t>Sathsada Nanthavong</t>
  </si>
  <si>
    <t>Vongsykeo Oudomsay</t>
  </si>
  <si>
    <t>Nguyễn Hữu Liêm</t>
  </si>
  <si>
    <t>Võ Thành Minh</t>
  </si>
  <si>
    <t>Nguyễn Văn Cảm</t>
  </si>
  <si>
    <t>Nhân viên</t>
  </si>
  <si>
    <t>Nguyễn Cửu Vũ</t>
  </si>
  <si>
    <t>Hà Văn Thuận</t>
  </si>
  <si>
    <t>Hà Xuân Thắng</t>
  </si>
  <si>
    <t>Nguyễn Văn Hiếu</t>
  </si>
  <si>
    <t>ĐT Đội 2</t>
  </si>
  <si>
    <t>Lê Đình Tại</t>
  </si>
  <si>
    <t>ĐT Đội 3</t>
  </si>
  <si>
    <t>Nguyễn Văn Lập</t>
  </si>
  <si>
    <t>ĐT Đội 4</t>
  </si>
  <si>
    <t>Võ Nhất Linh</t>
  </si>
  <si>
    <t>ĐT Đội 5</t>
  </si>
  <si>
    <t>Đội Phó Đ1</t>
  </si>
  <si>
    <t>Đội trưởng Đ1</t>
  </si>
  <si>
    <t>Đội Phó Đ4</t>
  </si>
  <si>
    <t>Đội Phó Đ6</t>
  </si>
  <si>
    <t>(Bằng chữ: Mười sáu triệu, sáu trăm hai mươi nghìn kíp.)</t>
  </si>
  <si>
    <t xml:space="preserve">                     Ngày/thứ
Họ và tên</t>
  </si>
  <si>
    <t xml:space="preserve"> CÁN BỘ QUẢN LÝ NÔNG TRƯỜNG</t>
  </si>
  <si>
    <t>Trần Thị Lan Anh</t>
  </si>
  <si>
    <t>TK - TQ</t>
  </si>
  <si>
    <t>Nguyễn Thị Huệ</t>
  </si>
  <si>
    <t>Cấp dưỡng</t>
  </si>
  <si>
    <t>Lê Chí Cư</t>
  </si>
  <si>
    <t>Nguyễn Văn Việt</t>
  </si>
  <si>
    <t>CB QUẢN LÝ ĐỘI KHAI THÁC</t>
  </si>
  <si>
    <t>TRẠM CÁN</t>
  </si>
  <si>
    <t>Trần Tiến Thành</t>
  </si>
  <si>
    <t>PT trạm cán</t>
  </si>
  <si>
    <t>V</t>
  </si>
  <si>
    <t>NVNN, ĐỘI PHÓ (Lương kíp)</t>
  </si>
  <si>
    <t>Đội Phó</t>
  </si>
  <si>
    <t xml:space="preserve">Đội trưởng </t>
  </si>
  <si>
    <t>P: Phép</t>
  </si>
  <si>
    <t>TR: Trễ phép</t>
  </si>
  <si>
    <t>K: Không làm việc</t>
  </si>
  <si>
    <t>Huyện phìn, ngày 30 tháng 04 năm 2025</t>
  </si>
  <si>
    <t>BẢNG CHẤM CÔNG PHỤ CẤP XĂNG XE</t>
  </si>
  <si>
    <t>TH - TK</t>
  </si>
  <si>
    <t>SunThong Kengmala</t>
  </si>
  <si>
    <t>Huyện Phìn, ngày 01 tháng 06 năm 2025</t>
  </si>
  <si>
    <t>PHỤ CẤP XĂNG XE THÁNG 05 NĂM 2025</t>
  </si>
  <si>
    <t>(Bằng chữ: Ba triệu, ba trăm bốn mươi nghìn kíp.)</t>
  </si>
  <si>
    <t>TÊN CÔNG NHÂN</t>
  </si>
  <si>
    <t>TỔNG CÔNG</t>
  </si>
  <si>
    <t>ĐƠN GIÁ (Kíp)</t>
  </si>
  <si>
    <t>THÀNH TIỀN (Kíp)</t>
  </si>
  <si>
    <t>KÝ NHẬN</t>
  </si>
  <si>
    <t>BẢNG CHẤM CÔNG PHỤ CẤP XĂNG XETHÁNG 01 NĂM 2025</t>
  </si>
  <si>
    <t>Đ2</t>
  </si>
  <si>
    <t>Hà Minh Trí</t>
  </si>
  <si>
    <t>Đ4</t>
  </si>
  <si>
    <t>Đ5</t>
  </si>
  <si>
    <t>Đ1</t>
  </si>
  <si>
    <t>Huyện phìn, ngày 02 tháng 02 năm 2025</t>
  </si>
  <si>
    <t xml:space="preserve"> CỘNG HOÀ DÂN CHỦ NHÂN DÂN LÀO</t>
  </si>
  <si>
    <t>NÔNG TRƯỜNG  1</t>
  </si>
  <si>
    <t>Hoà Bình-Độc Lập-Dân Chủ-Thống Nhất-Thịnh Vượng</t>
  </si>
  <si>
    <t>BẢNG CHẤM CÔNG BẢO VỆ LÀO THÁNG 10 NĂM 2020</t>
  </si>
  <si>
    <t>Cộng</t>
  </si>
  <si>
    <t>Thượt</t>
  </si>
  <si>
    <t>Xay Thoong</t>
  </si>
  <si>
    <t>Phò Tun</t>
  </si>
  <si>
    <t>Thảo Vi</t>
  </si>
  <si>
    <t>Tà On</t>
  </si>
  <si>
    <r>
      <rPr>
        <u/>
        <sz val="10"/>
        <color theme="1"/>
        <rFont val="Times New Roman"/>
        <family val="1"/>
      </rPr>
      <t>Ghi chú</t>
    </r>
    <r>
      <rPr>
        <sz val="10"/>
        <color indexed="8"/>
        <rFont val="Times New Roman"/>
        <family val="1"/>
      </rPr>
      <t>: X là ngày làm việc; K là ngày không làm việc; CN là ngày chủ nhật</t>
    </r>
  </si>
  <si>
    <t>P. GIÁM ĐỐC NT1</t>
  </si>
  <si>
    <t>ĐỘI SẢN XUẤT SỐ 06</t>
  </si>
  <si>
    <t>Tà Lọt</t>
  </si>
  <si>
    <t>A Chan</t>
  </si>
  <si>
    <t>Phò Đưa</t>
  </si>
  <si>
    <t>Phơ</t>
  </si>
  <si>
    <t>A Phơ</t>
  </si>
  <si>
    <t>Phò Lấp</t>
  </si>
  <si>
    <t>Nang Sun</t>
  </si>
  <si>
    <t>A Nhem</t>
  </si>
  <si>
    <t>Ton</t>
  </si>
  <si>
    <t>Phò Thít</t>
  </si>
  <si>
    <t>A Bớp</t>
  </si>
  <si>
    <t>Võ Thị Nguyên</t>
  </si>
  <si>
    <t>Nguyễn Thị Thanh Trà</t>
  </si>
  <si>
    <t>A Han</t>
  </si>
  <si>
    <t>Thảo Bun Ten</t>
  </si>
  <si>
    <t>Nang Đào</t>
  </si>
  <si>
    <t>Phò Nhạt</t>
  </si>
  <si>
    <t>Nang Xây</t>
  </si>
  <si>
    <t>Thảo Anh</t>
  </si>
  <si>
    <t>Húc</t>
  </si>
  <si>
    <t>Thảo Nét</t>
  </si>
  <si>
    <t>Thảo út</t>
  </si>
  <si>
    <t>Nang Nhăn</t>
  </si>
  <si>
    <t>A Nghen</t>
  </si>
  <si>
    <t>Thảo Xâm</t>
  </si>
  <si>
    <t>Thảo Von</t>
  </si>
  <si>
    <t>Nang Phen</t>
  </si>
  <si>
    <t>Nang Bun Ten</t>
  </si>
  <si>
    <t>Thảo Ben</t>
  </si>
  <si>
    <t>Da Lây</t>
  </si>
  <si>
    <t>Thảo Xen</t>
  </si>
  <si>
    <t>Phò Nhuận</t>
  </si>
  <si>
    <t>Nàng Ăn</t>
  </si>
  <si>
    <t>Thảo Ơ</t>
  </si>
  <si>
    <t>Thảo Ui</t>
  </si>
  <si>
    <t>Thảo Tin</t>
  </si>
  <si>
    <t>Nàng Xái</t>
  </si>
  <si>
    <t>Thảo Phôn Xay</t>
  </si>
  <si>
    <t>Nàng Phêng</t>
  </si>
  <si>
    <t>Thảo Phíc</t>
  </si>
  <si>
    <t>Nàng Chai</t>
  </si>
  <si>
    <t>Nàng Xanh</t>
  </si>
  <si>
    <t>Thảo Xượm</t>
  </si>
  <si>
    <t>Thảo Tích</t>
  </si>
  <si>
    <t>Nàng Thoong</t>
  </si>
  <si>
    <t>Thảo Xoan Chay</t>
  </si>
  <si>
    <t>Nàng Út</t>
  </si>
  <si>
    <t>Thảo Xay Phôn</t>
  </si>
  <si>
    <t>Nàng Mui</t>
  </si>
  <si>
    <t>Ning Dung</t>
  </si>
  <si>
    <t>Mua Chăn</t>
  </si>
  <si>
    <t>Thảo Chọi 2</t>
  </si>
  <si>
    <t>Thảo Sing</t>
  </si>
  <si>
    <t>Thảo Phu</t>
  </si>
  <si>
    <t>Nàng Tịa</t>
  </si>
  <si>
    <t>Nàng Lếc</t>
  </si>
  <si>
    <t>Nàng Veo</t>
  </si>
  <si>
    <t>Thảo Chọi</t>
  </si>
  <si>
    <t>Thảo Uổn</t>
  </si>
  <si>
    <t>Nàng Văn</t>
  </si>
  <si>
    <t>Thảo Chanh</t>
  </si>
  <si>
    <t>Thảo Sa</t>
  </si>
  <si>
    <t>Nàng Phôn</t>
  </si>
  <si>
    <t>Thảo Mon</t>
  </si>
  <si>
    <t>Thảo Vông Xay</t>
  </si>
  <si>
    <t>Nàng Lun</t>
  </si>
  <si>
    <t>Thảo Vong</t>
  </si>
  <si>
    <t>Nàng Veng</t>
  </si>
  <si>
    <t>Thảo Đuông Chăn</t>
  </si>
  <si>
    <t>Nàng Peng</t>
  </si>
  <si>
    <t>Thảo Xay Tho</t>
  </si>
  <si>
    <t>Nàng Xia Lô</t>
  </si>
  <si>
    <t>04171</t>
  </si>
  <si>
    <t>04172</t>
  </si>
  <si>
    <t>04173</t>
  </si>
  <si>
    <t>04174</t>
  </si>
  <si>
    <t>04175</t>
  </si>
  <si>
    <t>04176</t>
  </si>
  <si>
    <t>04177</t>
  </si>
  <si>
    <t>04178</t>
  </si>
  <si>
    <t>04179</t>
  </si>
  <si>
    <t>04180</t>
  </si>
  <si>
    <t>04181</t>
  </si>
  <si>
    <t>04182</t>
  </si>
  <si>
    <t>04183</t>
  </si>
  <si>
    <t>04184</t>
  </si>
  <si>
    <t>04185</t>
  </si>
  <si>
    <t>04186</t>
  </si>
  <si>
    <t>04187</t>
  </si>
  <si>
    <t>04188</t>
  </si>
  <si>
    <t>04189</t>
  </si>
  <si>
    <t>04190</t>
  </si>
  <si>
    <t>04191</t>
  </si>
  <si>
    <t>04192</t>
  </si>
  <si>
    <t>04193</t>
  </si>
  <si>
    <t>04194</t>
  </si>
  <si>
    <t>04195</t>
  </si>
  <si>
    <t>04196</t>
  </si>
  <si>
    <t>04197</t>
  </si>
  <si>
    <t>04198</t>
  </si>
  <si>
    <t>04199</t>
  </si>
  <si>
    <t>04200</t>
  </si>
  <si>
    <t>04201</t>
  </si>
  <si>
    <t>04202</t>
  </si>
  <si>
    <t>04203</t>
  </si>
  <si>
    <t>04204</t>
  </si>
  <si>
    <t>04205</t>
  </si>
  <si>
    <t>04206</t>
  </si>
  <si>
    <t>04207</t>
  </si>
  <si>
    <t>04208</t>
  </si>
  <si>
    <t>04209</t>
  </si>
  <si>
    <t>04210</t>
  </si>
  <si>
    <t>04211</t>
  </si>
  <si>
    <t>04212</t>
  </si>
  <si>
    <t>04213</t>
  </si>
  <si>
    <t>03717</t>
  </si>
  <si>
    <t>03718</t>
  </si>
  <si>
    <t>03720</t>
  </si>
  <si>
    <t>02861</t>
  </si>
  <si>
    <t>02875</t>
  </si>
  <si>
    <t>04148</t>
  </si>
  <si>
    <t>04150</t>
  </si>
  <si>
    <t>04151</t>
  </si>
  <si>
    <t>04152</t>
  </si>
  <si>
    <t>04154</t>
  </si>
  <si>
    <t>04155</t>
  </si>
  <si>
    <t>04156</t>
  </si>
  <si>
    <t>04157</t>
  </si>
  <si>
    <t>04158</t>
  </si>
  <si>
    <t>04159</t>
  </si>
  <si>
    <t>04160</t>
  </si>
  <si>
    <t>04161</t>
  </si>
  <si>
    <t>04163</t>
  </si>
  <si>
    <t>04164</t>
  </si>
  <si>
    <t>04165</t>
  </si>
  <si>
    <t>04166</t>
  </si>
  <si>
    <t>04167</t>
  </si>
  <si>
    <t>04168</t>
  </si>
  <si>
    <t>04169</t>
  </si>
  <si>
    <t>04170</t>
  </si>
  <si>
    <t>Tổng Đội 6</t>
  </si>
  <si>
    <t xml:space="preserve">    ĐỘI TRƯỞNG</t>
  </si>
  <si>
    <t xml:space="preserve">   NGƯỜI LẬP</t>
  </si>
  <si>
    <t>Trần Quang Thiện           Hồ Dũng Cảm</t>
  </si>
  <si>
    <t>Huyện Noong, ngày 30 tháng 06 năm 2025</t>
  </si>
  <si>
    <t>Huyện Noong, ngày ... tháng ... năm 2025</t>
  </si>
  <si>
    <t xml:space="preserve">         TỔNG GIÁM ĐỐC</t>
  </si>
  <si>
    <t>đc</t>
  </si>
  <si>
    <t>Cạo 2 lát (đc)</t>
  </si>
  <si>
    <t>CNTT</t>
  </si>
  <si>
    <t>Cạo 2 lát chủ nhật</t>
  </si>
  <si>
    <t>Trần Quang Thiện</t>
  </si>
  <si>
    <t>ĐỘI TRƯỞNG             NGƯỜI LẬP</t>
  </si>
  <si>
    <t>A Bốt</t>
  </si>
  <si>
    <t>ĐỘI SẢN XUẤT SỐ 6</t>
  </si>
  <si>
    <t>BẢNG THEO DÕI SẢN LƯỢNG MỦ TẠP THÁNG 6 NĂM 2025</t>
  </si>
  <si>
    <t>Biểu 2</t>
  </si>
  <si>
    <t>DRC bình quân</t>
  </si>
  <si>
    <t>Mủ tạp quy khô (DRC công nhân)</t>
  </si>
  <si>
    <t>drc</t>
  </si>
  <si>
    <t>SỐ CÔNG NHÂN</t>
  </si>
  <si>
    <t>HẠNG KỸ THUẬT</t>
  </si>
  <si>
    <t>SẢN LƯỢNG MỦ TẠP (KG)</t>
  </si>
  <si>
    <t>SẢN LƯỢNG MỦ QUY KHÔ (KG)</t>
  </si>
  <si>
    <t>TỶ LỆ % THEO HẠNG KỸ THUẬT</t>
  </si>
  <si>
    <t>CN chính thức</t>
  </si>
  <si>
    <t>PHÒNG KT-NN</t>
  </si>
  <si>
    <t>PHÓ PHÒNG PHỤ TRÁCH</t>
  </si>
  <si>
    <t>Cuối tháng chốt 1 bản, ký công nhân và các thành phần đầy đủ, đóng giáp lai. Hàng tháng đều kẹp vào cuốn sổ đủ 12 tháng đóng cuốn lại. (Vì lý do công nhân sẽ có lúc thay đổi nên ko thể đóng đầu năm từ tháng 1-12)</t>
  </si>
  <si>
    <t>BẢNG THEO DÕI SẢN LƯỢNG MỦ DÂY THÁNG 6 NĂM 2025</t>
  </si>
  <si>
    <t>Mủ dây quy khô (DRC công nhân)</t>
  </si>
  <si>
    <t>BẢNG CHẤM CÔNG THEO DÕI CÔNG NHÂN KHAI THÁC THÁNG 6 NĂM 2025</t>
  </si>
  <si>
    <t>Biểu 1</t>
  </si>
  <si>
    <t>Trong đó</t>
  </si>
  <si>
    <t>Ngày công cạo thường (x)</t>
  </si>
  <si>
    <t>Ngày công chủ nhật (cn)</t>
  </si>
  <si>
    <t>Ngày công cạo đúp (đ)</t>
  </si>
  <si>
    <t>Cạo đúp chủ nhật (đc)</t>
  </si>
  <si>
    <t>Cạo 2 miệng (gt)</t>
  </si>
  <si>
    <t>Cạo 2 miệng chủ nhật (ct)</t>
  </si>
  <si>
    <t>Tổng ngày công đi cạo</t>
  </si>
  <si>
    <t>KX</t>
  </si>
  <si>
    <t>ST</t>
  </si>
  <si>
    <t>TỔNG CỘNG</t>
  </si>
  <si>
    <t>x: Ngày công cạo thường</t>
  </si>
  <si>
    <t>cn: Ngày công cạo chủ nhật</t>
  </si>
  <si>
    <t>đ: Ngày công cạo đúp</t>
  </si>
  <si>
    <t>đc: Ngày công chủ nhật đúp</t>
  </si>
  <si>
    <t>gt: Ngày công cạo 2 miệng</t>
  </si>
  <si>
    <t>ct: Ngày công cạo 2 miệng chủ nhật</t>
  </si>
  <si>
    <t>BẢNG CHẤM CÔNG PHỤ CẤP CÂY NON KHAI THÁC THÁNG 6 NĂM 2025</t>
  </si>
  <si>
    <t>TRẠM 2</t>
  </si>
  <si>
    <t>A Đen</t>
  </si>
  <si>
    <t>phụ cấp cây non</t>
  </si>
  <si>
    <t>Phò Mừng</t>
  </si>
  <si>
    <t>BV</t>
  </si>
  <si>
    <t>Hồ Dũng Cảm</t>
  </si>
  <si>
    <t>BẢNG CHẤM CÔNG BẢO VỆ</t>
  </si>
  <si>
    <t>(Bằng chữ: Năm triệu, hai trăm nghìn kíp.)</t>
  </si>
  <si>
    <t xml:space="preserve">BV </t>
  </si>
  <si>
    <t>Phụ cấp ngày công cạo bình thường</t>
  </si>
  <si>
    <t>Phụ cấp cạo 2 lát chủ nhật</t>
  </si>
  <si>
    <t>TIỀN LƯƠNG CB.CNV</t>
  </si>
  <si>
    <t>Lương phu cấp CNKT người Việt</t>
  </si>
  <si>
    <t>----- o0o-----</t>
  </si>
  <si>
    <t>ĐVT : Kíp</t>
  </si>
  <si>
    <t>Tên Công nhân</t>
  </si>
  <si>
    <t>Chức Vụ</t>
  </si>
  <si>
    <t>Thực nhận</t>
  </si>
  <si>
    <t>BẢNG THANH TOÁN TIỀN PHỤ CẤP THÁNG 06 NĂM 2025</t>
  </si>
  <si>
    <t>Trần Thanh Hải</t>
  </si>
  <si>
    <t>Vương Thành Long</t>
  </si>
  <si>
    <t>Thống kê - tổng hơp</t>
  </si>
  <si>
    <t>Nguyễn Tất Châu</t>
  </si>
  <si>
    <t>Nhân viên kỹ thuật</t>
  </si>
  <si>
    <t>Nguyễn Phúc Hào</t>
  </si>
  <si>
    <t xml:space="preserve">         NGƯỜI LẬP</t>
  </si>
  <si>
    <t>Thuế TNCN</t>
  </si>
  <si>
    <t>DANH SÁCH CB.CNV NỘP THUẾ TNCN THÁNG 06/2025</t>
  </si>
  <si>
    <t xml:space="preserve">Tổng </t>
  </si>
  <si>
    <t>Vương Thanh Long</t>
  </si>
  <si>
    <t>Đơn giá  ( Kíp)</t>
  </si>
  <si>
    <t>Hòa Bình -Độc Lập  - Dân Chủ - thống Nhất - Thịnh Vượng</t>
  </si>
  <si>
    <t xml:space="preserve">     ĐỘI SẢN XUẤT SỐ 6</t>
  </si>
  <si>
    <t>BẢNG CHẤM CÔNG PHỤ CẤP TIỀN XĂNG THÁNG 05 NĂM 2025</t>
  </si>
  <si>
    <t>05</t>
  </si>
  <si>
    <t>Mã NV</t>
  </si>
  <si>
    <t xml:space="preserve">                            Ngày/thứ
   Họ và tên</t>
  </si>
  <si>
    <t>Ngày 
công đi làm</t>
  </si>
  <si>
    <t>Ngày nghĩ phép</t>
  </si>
  <si>
    <t>Ngày công
 trực tết</t>
  </si>
  <si>
    <t xml:space="preserve">Tổng
 cộng </t>
  </si>
  <si>
    <t>Thống kê - tổng hợp</t>
  </si>
  <si>
    <t>Nhân viên kỷ thuật</t>
  </si>
  <si>
    <t xml:space="preserve"> Ghi chú:</t>
  </si>
  <si>
    <t>Huyện Noong, ngày 01 tháng 06 năm 2025</t>
  </si>
  <si>
    <t>Ngày công đi làm</t>
  </si>
  <si>
    <t>P .TC - HC</t>
  </si>
  <si>
    <t>P.PHÒNG KTNN PHỤ TRÁCH</t>
  </si>
  <si>
    <t>BẢNG THANH TOÁN TIỀN PHỤ CẤP TIỀN XĂNG CB.CNV 
THÁNG 05 NĂM 2025</t>
  </si>
  <si>
    <t xml:space="preserve">Số ngày </t>
  </si>
  <si>
    <t>Đơn giá 
( Kíp)</t>
  </si>
  <si>
    <t xml:space="preserve"> Thành tiền
( Kíp)</t>
  </si>
  <si>
    <t>Tộng cộng</t>
  </si>
  <si>
    <t>Bằng chữ: Ba triệu bảy trăm hai mươi nghìn kíp</t>
  </si>
  <si>
    <t>Huyện Nong, ngày 03 tháng 06 năm 2025</t>
  </si>
  <si>
    <t>PHÒNG TC - HC</t>
  </si>
  <si>
    <t>( Từ ngày 01 tháng 06 đến ngày 30 tháng 6 năm 2025 )</t>
  </si>
  <si>
    <t>2.4</t>
  </si>
  <si>
    <t>Phu cấp cạo cây non</t>
  </si>
  <si>
    <t>Bôi thuốc kích thích mủ</t>
  </si>
  <si>
    <t>Phần</t>
  </si>
  <si>
    <t>Bôi thuốc loét sọc miệng cạo</t>
  </si>
  <si>
    <t>Dọn cành nhánh trên lô</t>
  </si>
  <si>
    <t>X1</t>
  </si>
  <si>
    <t>X2</t>
  </si>
  <si>
    <t>X33</t>
  </si>
  <si>
    <t>X25</t>
  </si>
  <si>
    <t>1.4</t>
  </si>
  <si>
    <t>1.5</t>
  </si>
  <si>
    <t xml:space="preserve">Phát chồi đại trà </t>
  </si>
  <si>
    <t>Ha</t>
  </si>
  <si>
    <t>phun</t>
  </si>
  <si>
    <t>X22</t>
  </si>
  <si>
    <t>Vườn cây kinh doanh năm 2</t>
  </si>
  <si>
    <t>X29</t>
  </si>
  <si>
    <t>Vườn cây kinh doanh năm 4</t>
  </si>
  <si>
    <t>3.5</t>
  </si>
  <si>
    <t>X20a</t>
  </si>
  <si>
    <t>X20b</t>
  </si>
  <si>
    <t>3.6</t>
  </si>
  <si>
    <t>X23</t>
  </si>
  <si>
    <t>3.7</t>
  </si>
  <si>
    <t>4.6</t>
  </si>
  <si>
    <t>X8b</t>
  </si>
  <si>
    <t>X9b</t>
  </si>
  <si>
    <t>X10a</t>
  </si>
  <si>
    <t>X14</t>
  </si>
  <si>
    <t>X9a</t>
  </si>
  <si>
    <t>5.1</t>
  </si>
  <si>
    <t>5.2</t>
  </si>
  <si>
    <t>Bôi thuốc loét sọc miệng cạo ngữa</t>
  </si>
  <si>
    <t>5.5</t>
  </si>
  <si>
    <t>L4</t>
  </si>
  <si>
    <t>Vườn cây năm 2017</t>
  </si>
  <si>
    <t>X11b</t>
  </si>
  <si>
    <t>X15</t>
  </si>
  <si>
    <t>X18</t>
  </si>
  <si>
    <t>X12</t>
  </si>
  <si>
    <t>X10b</t>
  </si>
  <si>
    <t>X19</t>
  </si>
  <si>
    <t>X13</t>
  </si>
  <si>
    <t>X17</t>
  </si>
  <si>
    <t>2 người * 2,600.000 Kíp/tháng</t>
  </si>
  <si>
    <t>Đào hố rác khu vực 3 dãy nhà ở công nhân trạm 2</t>
  </si>
  <si>
    <t>hố</t>
  </si>
  <si>
    <t>Lót bạt vệ sinh hồ chứa mủ sirum</t>
  </si>
  <si>
    <t>Đội 6, ngày…...tháng…...năm 2025</t>
  </si>
  <si>
    <t xml:space="preserve">  TỔNG GIÁM ĐỐC                              </t>
  </si>
  <si>
    <t xml:space="preserve">  Huyện Noong, ngày 02 tháng 07 năm 2025</t>
  </si>
  <si>
    <t>Huyện Noong, ngày 02 tháng 07 năm 2025</t>
  </si>
  <si>
    <t xml:space="preserve">                 Huyện Noong, ngày 02 tháng 07 năm 2025</t>
  </si>
  <si>
    <t>Thảo Xây</t>
  </si>
  <si>
    <t>Thảo Vông</t>
  </si>
  <si>
    <t>( Bằng chữ: Bốn triệu, bốn trăm nghin kíp).</t>
  </si>
  <si>
    <t>TIỀN LƯƠNG KTCB</t>
  </si>
  <si>
    <t>Tiền lương chăm sóc năm 2017</t>
  </si>
  <si>
    <t>Tiền lương chăm sóc năm 2018</t>
  </si>
  <si>
    <t>Tổng tiền lương vườn cây kiến thiết cơ bản (2)</t>
  </si>
  <si>
    <t>Tổng tiền lương bảo vệ vườn cây (3)</t>
  </si>
  <si>
    <t>BẢNG LƯƠNG VƯỜN CÂY KTCB THÁNG 06 NĂM 2025</t>
  </si>
  <si>
    <t>Thảo Sôm Chay</t>
  </si>
  <si>
    <t xml:space="preserve">Thảo Chanh </t>
  </si>
  <si>
    <t>Thảo Lôm</t>
  </si>
  <si>
    <t>PHÒNG KT - TC</t>
  </si>
  <si>
    <t>Huyện Noong , ngày 02 tháng 07 năm 2025</t>
  </si>
  <si>
    <t>(Bằng chữ: Mười ba triệu, sáu trăm năm mươi hai nghìn, ba trăm tám mươi mốt kíp ).</t>
  </si>
  <si>
    <t>Tổng cộng (1) + (2) + (3)</t>
  </si>
  <si>
    <t>PHÒNG TC - HC     P. PHÒNG PHỤ TRÁCH           ĐỘI TRƯỞNG</t>
  </si>
  <si>
    <t>Số tiền bằng chữ: Bốn trăm bốn mươi triệu, ba trăm bốn mươi chín nghìn, sáu trăm bốn mươi kip./.</t>
  </si>
  <si>
    <t xml:space="preserve">   Hoàng Tấn Thảo                   Trần Quang Thiện</t>
  </si>
  <si>
    <t>Số tiền bằng chữ: Mười triệu bảy trăm nghìn kíp</t>
  </si>
  <si>
    <t>Sản lượng mủ dây</t>
  </si>
  <si>
    <t xml:space="preserve">         TỔNG GIÁM ĐỐC                  PHÒNG TC - KT        PHÒNG TC - HC     P.PHÒNG PHỤ TRÁCH       ĐỘI TRƯỞNG       NGƯỜI LẬP</t>
  </si>
  <si>
    <t xml:space="preserve">                   TỔNG GIÁM ĐỐC</t>
  </si>
  <si>
    <t>BẢNG THANH TOÁN TIỀN LƯƠNG MỦ DÂY THÁNG 06 NĂM 2025</t>
  </si>
  <si>
    <t>(Từ ngày 01 tháng 06 đến ngày 30 tháng 06 năm 2025)</t>
  </si>
  <si>
    <t>Số tiền bằng chữ: Một trăm mười nghìn kíp</t>
  </si>
  <si>
    <t xml:space="preserve">                  Huyện Noong, ngày 02 tháng 07 năm 2025</t>
  </si>
  <si>
    <t>(Số tiền bằng : Bốn trăm mười sáu triệu, tám trăm linh sáu nghìn, không trăm sáu mươi bảy kíp)</t>
  </si>
  <si>
    <t>(Bằng chữ: Bốn trăm ba mươi lăm triệu, sáu trăm năm mươi tám nghìn, bốn trăm bốn mươi tám kíp)</t>
  </si>
  <si>
    <t>Số tiền bằng chữ:  Bốn triệu tám trăm nghìn kíp</t>
  </si>
  <si>
    <t>BẢNG THANH TOÁN TIỀN CÔNG VIỆC KHÁC THÁNG 06 NĂM 2025</t>
  </si>
  <si>
    <t xml:space="preserve">  TỔNG GIÁM ĐỐC            PHÒNG TC - KT               PHÒNG TC - HC             P. PHÒNG PHỤ TRÁCH           ĐỘI TRƯỞNG           NGƯỜI LẬP</t>
  </si>
</sst>
</file>

<file path=xl/styles.xml><?xml version="1.0" encoding="utf-8"?>
<styleSheet xmlns="http://schemas.openxmlformats.org/spreadsheetml/2006/main" xmlns:mc="http://schemas.openxmlformats.org/markup-compatibility/2006" xmlns:x14ac="http://schemas.microsoft.com/office/spreadsheetml/2009/9/ac" mc:Ignorable="x14ac">
  <numFmts count="67">
    <numFmt numFmtId="41" formatCode="_-* #,##0\ _₫_-;\-* #,##0\ _₫_-;_-* &quot;-&quot;\ _₫_-;_-@_-"/>
    <numFmt numFmtId="44" formatCode="_-* #,##0.00\ &quot;₫&quot;_-;\-* #,##0.00\ &quot;₫&quot;_-;_-* &quot;-&quot;??\ &quot;₫&quot;_-;_-@_-"/>
    <numFmt numFmtId="43" formatCode="_-* #,##0.00\ _₫_-;\-* #,##0.00\ _₫_-;_-* &quot;-&quot;??\ _₫_-;_-@_-"/>
    <numFmt numFmtId="187" formatCode="_(* #,##0_);_(* \(#,##0\);_(* &quot;-&quot;_);_(@_)"/>
    <numFmt numFmtId="188" formatCode="_(* #,##0.00_);_(* \(#,##0.00\);_(* &quot;-&quot;??_);_(@_)"/>
    <numFmt numFmtId="189" formatCode="_(&quot;$&quot;* #,##0.00_);_(&quot;$&quot;* \(#,##0.00\);_(&quot;$&quot;* &quot;-&quot;??_);_(@_)"/>
    <numFmt numFmtId="190" formatCode="&quot;ß&quot;\t#,##0_);[Red]\(&quot;ß&quot;\t#,##0\)"/>
    <numFmt numFmtId="191" formatCode="_(* #,##0.000_);_(* \(#,##0.000\);_(* &quot;-&quot;??_);_(@_)"/>
    <numFmt numFmtId="192" formatCode=";;"/>
    <numFmt numFmtId="193" formatCode="0.000_)"/>
    <numFmt numFmtId="194" formatCode="_-* #,##0\ _€_-;\-* #,##0\ _€_-;_-* &quot;-&quot;\ _€_-;_-@_-"/>
    <numFmt numFmtId="195" formatCode="_-* #,##0.00\ _€_-;\-* #,##0.00\ _€_-;_-* &quot;-&quot;&quot;?&quot;&quot;?&quot;\ _€_-;_-@_-"/>
    <numFmt numFmtId="196" formatCode="_ * #,##0.00_)_₭_ ;_ * \(#,##0.00\)_₭_ ;_ * &quot;-&quot;??_)_₭_ ;_ @_ "/>
    <numFmt numFmtId="197" formatCode="_-* #,##0.00_-;\-* #,##0.00_-;_-* &quot;-&quot;??_-;_-@_-"/>
    <numFmt numFmtId="198" formatCode="0.0"/>
    <numFmt numFmtId="199" formatCode="_-* #,##0.00\ _₫_-;\-* #,##0.00\ _₫_-;_-* &quot;-&quot;&quot;?&quot;&quot;?&quot;\ _₫_-;_-@_-"/>
    <numFmt numFmtId="200" formatCode="_(* #,##0.00_);_(* \(#,##0.00\);_(* &quot;-&quot;&quot;?&quot;&quot;?&quot;_);_(@_)"/>
    <numFmt numFmtId="201" formatCode="_-&quot;฿&quot;* #,##0.00_-;\-&quot;฿&quot;* #,##0.00_-;_-&quot;฿&quot;* &quot;-&quot;??_-;_-@_-"/>
    <numFmt numFmtId="202" formatCode="&quot;$&quot;#,##0\ ;\(&quot;$&quot;#,##0\)"/>
    <numFmt numFmtId="203" formatCode="&quot;$&quot;\ \ \ \ #,##0_);\(&quot;$&quot;\ \ \ #,##0\)"/>
    <numFmt numFmtId="204" formatCode="&quot;$&quot;\ \ \ \ \ #,##0_);\(&quot;$&quot;\ \ \ \ \ #,##0\)"/>
    <numFmt numFmtId="205" formatCode="_-* #,##0_-;\-* #,##0_-;_-* &quot;-&quot;_-;_-@_-"/>
    <numFmt numFmtId="206" formatCode="&quot;\&quot;#,##0;[Red]\-&quot;\&quot;#,##0"/>
    <numFmt numFmtId="207" formatCode="&quot;\&quot;#,##0.00;\-&quot;\&quot;#,##0.00"/>
    <numFmt numFmtId="208" formatCode="0.00_)"/>
    <numFmt numFmtId="209" formatCode="#,##0\ &quot;DM&quot;;\-#,##0\ &quot;DM&quot;"/>
    <numFmt numFmtId="210" formatCode="0.000%"/>
    <numFmt numFmtId="211" formatCode="&quot;￥&quot;#,##0;&quot;￥&quot;\-#,##0"/>
    <numFmt numFmtId="212" formatCode="00.000"/>
    <numFmt numFmtId="213" formatCode="_-&quot;$&quot;* #,##0_-;\-&quot;$&quot;* #,##0_-;_-&quot;$&quot;* &quot;-&quot;_-;_-@_-"/>
    <numFmt numFmtId="214" formatCode="_-&quot;$&quot;* #,##0.00_-;\-&quot;$&quot;* #,##0.00_-;_-&quot;$&quot;* &quot;-&quot;??_-;_-@_-"/>
    <numFmt numFmtId="215" formatCode="#,##0;[Red]#,##0"/>
    <numFmt numFmtId="216" formatCode="_-* #,##0\ _₫_-;\-* #,##0\ _₫_-;_-* &quot;-&quot;??\ _₫_-;_-@_-"/>
    <numFmt numFmtId="217" formatCode="_(* #,##0_);_(* \(#,##0\);_(* &quot;-&quot;??_);_(@_)"/>
    <numFmt numFmtId="218" formatCode="0;[Red]0"/>
    <numFmt numFmtId="219" formatCode="_(* #,##0.0_);_(* \(#,##0.0\);_(* &quot;-&quot;??_);_(@_)"/>
    <numFmt numFmtId="220" formatCode="0.000"/>
    <numFmt numFmtId="221" formatCode="#,##0.0"/>
    <numFmt numFmtId="222" formatCode="_(* #,##0.000000_);_(* \(#,##0.000000\);_(* &quot;-&quot;??_);_(@_)"/>
    <numFmt numFmtId="223" formatCode="_(* #,##0.0000_);_(* \(#,##0.0000\);_(* &quot;-&quot;??_);_(@_)"/>
    <numFmt numFmtId="224" formatCode="_(* #,##0.0_);_(* \(#,##0.0\);_(* &quot;-&quot;&quot;?&quot;&quot;?&quot;_);_(@_)"/>
    <numFmt numFmtId="225" formatCode="_-* #,##0\ _₫_-;\-* #,##0\ _₫_-;_-* &quot;-&quot;&quot;?&quot;&quot;?&quot;\ _₫_-;_-@_-"/>
    <numFmt numFmtId="226" formatCode="_(* #,##0.000_);_(* \(#,##0.000\);_(* &quot;-&quot;&quot;?&quot;&quot;?&quot;_);_(@_)"/>
    <numFmt numFmtId="227" formatCode="_-* #,##0.0000\ _₫_-;\-* #,##0.0000\ _₫_-;_-* &quot;-&quot;&quot;?&quot;&quot;?&quot;\ _₫_-;_-@_-"/>
    <numFmt numFmtId="228" formatCode="_-* #,##0.0\ _₫_-;\-* #,##0.0\ _₫_-;_-* &quot;-&quot;??\ _₫_-;_-@_-"/>
    <numFmt numFmtId="229" formatCode="#,##0.00000000000"/>
    <numFmt numFmtId="230" formatCode="_(* #,##0.0000000_);_(* \(#,##0.0000000\);_(* &quot;-&quot;??_);_(@_)"/>
    <numFmt numFmtId="231" formatCode="#,##0.00000000000000"/>
    <numFmt numFmtId="232" formatCode="#,##0.00;[Red]#,##0.00"/>
    <numFmt numFmtId="233" formatCode="#,##0_ ;\-#,##0\ "/>
    <numFmt numFmtId="234" formatCode="#,##0.0000"/>
    <numFmt numFmtId="235" formatCode="0.00_);\(0.00\)"/>
    <numFmt numFmtId="236" formatCode="#,##0.00_ ;\-#,##0.00\ "/>
    <numFmt numFmtId="237" formatCode="0.0000"/>
    <numFmt numFmtId="238" formatCode="_-* #,##0.00000\ _₫_-;\-* #,##0.00000\ _₫_-;_-* &quot;-&quot;??\ _₫_-;_-@_-"/>
    <numFmt numFmtId="239" formatCode="#,##0.0;[Red]#,##0.0"/>
    <numFmt numFmtId="240" formatCode="#,##0.000"/>
    <numFmt numFmtId="241" formatCode="_-* #,##0.0000\ _₫_-;\-* #,##0.0000\ _₫_-;_-* &quot;-&quot;??\ _₫_-;_-@_-"/>
    <numFmt numFmtId="242" formatCode="[$-10491]dd/mm/yyyy;@"/>
    <numFmt numFmtId="243" formatCode="_(* #,##0.0_);_(* \(#,##0.0\);_(* &quot;-&quot;_);_(@_)"/>
    <numFmt numFmtId="244" formatCode="_(* #,##0.00_);_(* \(#,##0.00\);_(* &quot;-&quot;_);_(@_)"/>
    <numFmt numFmtId="245" formatCode="0.0000000"/>
    <numFmt numFmtId="246" formatCode="\$#,##0\ ;\(\$#,##0\)"/>
    <numFmt numFmtId="247" formatCode="_(* #,##0_);_(* \(#,##0\);_(* &quot;-&quot;&quot;?&quot;&quot;?&quot;_);_(@_)"/>
    <numFmt numFmtId="248" formatCode="###\ ###\ ###\ ##0"/>
    <numFmt numFmtId="249" formatCode="&quot;$&quot;#,##0.00_);[Red]\(&quot;$&quot;#,##0.00\)"/>
    <numFmt numFmtId="250" formatCode="_-* #,##0.00\ _€_-;\-* #,##0.00\ _€_-;_-* &quot;-&quot;??\ _€_-;_-@_-"/>
  </numFmts>
  <fonts count="318">
    <font>
      <sz val="11"/>
      <color theme="1"/>
      <name val="Calibri"/>
      <charset val="163"/>
    </font>
    <font>
      <b/>
      <sz val="13"/>
      <color theme="1"/>
      <name val="Times New Roman"/>
      <family val="1"/>
    </font>
    <font>
      <b/>
      <sz val="10"/>
      <color theme="1"/>
      <name val="Times New Roman"/>
      <family val="1"/>
    </font>
    <font>
      <sz val="10"/>
      <color theme="1"/>
      <name val="Times New Roman"/>
      <family val="1"/>
    </font>
    <font>
      <sz val="12"/>
      <color theme="1"/>
      <name val="Times New Roman"/>
      <family val="1"/>
    </font>
    <font>
      <b/>
      <sz val="12"/>
      <color theme="1"/>
      <name val="Times New Roman"/>
      <family val="1"/>
    </font>
    <font>
      <b/>
      <sz val="14"/>
      <color theme="1"/>
      <name val="Times New Roman"/>
      <family val="1"/>
    </font>
    <font>
      <sz val="11"/>
      <color theme="1"/>
      <name val="Times New Roman"/>
      <family val="1"/>
    </font>
    <font>
      <sz val="9"/>
      <name val="Times New Roman"/>
      <family val="1"/>
    </font>
    <font>
      <u/>
      <sz val="10"/>
      <color theme="1"/>
      <name val="Times New Roman"/>
      <family val="1"/>
    </font>
    <font>
      <u/>
      <sz val="12"/>
      <color theme="1"/>
      <name val="Times New Roman"/>
      <family val="1"/>
    </font>
    <font>
      <i/>
      <sz val="11"/>
      <color theme="1"/>
      <name val="Times New Roman"/>
      <family val="1"/>
    </font>
    <font>
      <i/>
      <sz val="12"/>
      <color theme="1"/>
      <name val="Times New Roman"/>
      <family val="1"/>
    </font>
    <font>
      <b/>
      <sz val="12"/>
      <name val="Times New Roman"/>
      <family val="1"/>
    </font>
    <font>
      <b/>
      <sz val="11"/>
      <name val="Times New Roman"/>
      <family val="1"/>
    </font>
    <font>
      <sz val="11"/>
      <name val="Times New Roman"/>
      <family val="1"/>
    </font>
    <font>
      <b/>
      <sz val="14"/>
      <name val="Times New Roman"/>
      <family val="1"/>
    </font>
    <font>
      <b/>
      <sz val="11"/>
      <color theme="0"/>
      <name val="Times New Roman"/>
      <family val="1"/>
    </font>
    <font>
      <b/>
      <sz val="11"/>
      <color rgb="FFFF0000"/>
      <name val="Times New Roman"/>
      <family val="1"/>
    </font>
    <font>
      <i/>
      <sz val="11"/>
      <name val="Times New Roman"/>
      <family val="1"/>
    </font>
    <font>
      <sz val="12"/>
      <name val="Times New Roman"/>
      <family val="1"/>
    </font>
    <font>
      <i/>
      <sz val="12"/>
      <name val="Times New Roman"/>
      <family val="1"/>
    </font>
    <font>
      <b/>
      <sz val="10"/>
      <name val="Times New Roman"/>
      <family val="1"/>
    </font>
    <font>
      <sz val="11"/>
      <color rgb="FFFF0000"/>
      <name val="Times New Roman"/>
      <family val="1"/>
    </font>
    <font>
      <b/>
      <sz val="12"/>
      <color theme="0"/>
      <name val="Times New Roman"/>
      <family val="1"/>
    </font>
    <font>
      <b/>
      <sz val="13"/>
      <name val="Times New Roman"/>
      <family val="1"/>
    </font>
    <font>
      <b/>
      <sz val="12"/>
      <name val="Saysettha OT"/>
      <family val="2"/>
    </font>
    <font>
      <b/>
      <i/>
      <sz val="11"/>
      <name val="Times New Roman"/>
      <family val="1"/>
    </font>
    <font>
      <b/>
      <i/>
      <u/>
      <sz val="11"/>
      <name val="Times New Roman"/>
      <family val="1"/>
    </font>
    <font>
      <sz val="8"/>
      <name val="Times New Roman"/>
      <family val="1"/>
    </font>
    <font>
      <sz val="13"/>
      <name val="Times New Roman"/>
      <family val="1"/>
    </font>
    <font>
      <b/>
      <sz val="16"/>
      <name val="Times New Roman"/>
      <family val="1"/>
    </font>
    <font>
      <i/>
      <sz val="13"/>
      <name val="Times New Roman"/>
      <family val="1"/>
    </font>
    <font>
      <b/>
      <i/>
      <sz val="13"/>
      <name val="Times New Roman"/>
      <family val="1"/>
    </font>
    <font>
      <sz val="13"/>
      <color indexed="8"/>
      <name val="Times New Roman"/>
      <family val="1"/>
    </font>
    <font>
      <b/>
      <sz val="10.5"/>
      <name val="Times New Roman"/>
      <family val="1"/>
    </font>
    <font>
      <sz val="10"/>
      <name val="Times New Roman"/>
      <family val="1"/>
    </font>
    <font>
      <b/>
      <i/>
      <sz val="12"/>
      <name val="Times New Roman"/>
      <family val="1"/>
    </font>
    <font>
      <b/>
      <sz val="9"/>
      <name val="Times New Roman"/>
      <family val="1"/>
    </font>
    <font>
      <b/>
      <sz val="8"/>
      <name val="Times New Roman"/>
      <family val="1"/>
    </font>
    <font>
      <sz val="11"/>
      <color indexed="8"/>
      <name val="Times New Roman"/>
      <family val="1"/>
    </font>
    <font>
      <sz val="13"/>
      <color theme="1"/>
      <name val="Calibri"/>
      <family val="2"/>
    </font>
    <font>
      <sz val="13"/>
      <color indexed="63"/>
      <name val="Times New Roman"/>
      <family val="1"/>
    </font>
    <font>
      <b/>
      <sz val="13"/>
      <color indexed="63"/>
      <name val="Times New Roman"/>
      <family val="1"/>
    </font>
    <font>
      <sz val="11"/>
      <color indexed="63"/>
      <name val="Times New Roman"/>
      <family val="1"/>
    </font>
    <font>
      <u/>
      <sz val="13"/>
      <name val="Times New Roman"/>
      <family val="1"/>
    </font>
    <font>
      <u/>
      <sz val="12"/>
      <name val="Times New Roman"/>
      <family val="1"/>
    </font>
    <font>
      <b/>
      <sz val="11"/>
      <color indexed="63"/>
      <name val="Times New Roman"/>
      <family val="1"/>
    </font>
    <font>
      <i/>
      <sz val="11"/>
      <color indexed="63"/>
      <name val="Times New Roman"/>
      <family val="1"/>
    </font>
    <font>
      <b/>
      <sz val="12"/>
      <color indexed="63"/>
      <name val="Times New Roman"/>
      <family val="1"/>
    </font>
    <font>
      <u/>
      <sz val="10"/>
      <name val="Times New Roman"/>
      <family val="1"/>
    </font>
    <font>
      <b/>
      <u/>
      <sz val="12"/>
      <color indexed="8"/>
      <name val="Times New Roman"/>
      <family val="1"/>
    </font>
    <font>
      <b/>
      <sz val="16"/>
      <color indexed="8"/>
      <name val="Times New Roman"/>
      <family val="1"/>
    </font>
    <font>
      <sz val="12"/>
      <color indexed="8"/>
      <name val="Times New Roman"/>
      <family val="1"/>
    </font>
    <font>
      <b/>
      <sz val="12"/>
      <color indexed="8"/>
      <name val="Times New Roman"/>
      <family val="1"/>
    </font>
    <font>
      <b/>
      <i/>
      <sz val="12"/>
      <color indexed="8"/>
      <name val="Times New Roman"/>
      <family val="1"/>
    </font>
    <font>
      <b/>
      <sz val="11"/>
      <color indexed="8"/>
      <name val="Times New Roman"/>
      <family val="1"/>
    </font>
    <font>
      <i/>
      <sz val="12"/>
      <color indexed="8"/>
      <name val="Times New Roman"/>
      <family val="1"/>
    </font>
    <font>
      <b/>
      <u/>
      <sz val="10"/>
      <name val="Times New Roman"/>
      <family val="1"/>
    </font>
    <font>
      <b/>
      <sz val="7"/>
      <name val="Times New Roman"/>
      <family val="1"/>
    </font>
    <font>
      <sz val="14"/>
      <name val="Times New Roman"/>
      <family val="1"/>
    </font>
    <font>
      <b/>
      <i/>
      <sz val="11"/>
      <name val="Tahoma"/>
      <family val="1"/>
      <scheme val="major"/>
    </font>
    <font>
      <sz val="14"/>
      <color theme="1"/>
      <name val="Calibri"/>
      <family val="2"/>
    </font>
    <font>
      <sz val="14"/>
      <color indexed="63"/>
      <name val="Times New Roman"/>
      <family val="1"/>
    </font>
    <font>
      <b/>
      <sz val="14"/>
      <color indexed="63"/>
      <name val="Times New Roman"/>
      <family val="1"/>
    </font>
    <font>
      <b/>
      <i/>
      <sz val="8"/>
      <name val="Times New Roman"/>
      <family val="1"/>
    </font>
    <font>
      <i/>
      <sz val="14"/>
      <name val="Times New Roman"/>
      <family val="1"/>
    </font>
    <font>
      <b/>
      <sz val="8"/>
      <color theme="1"/>
      <name val="Times New Roman"/>
      <family val="1"/>
    </font>
    <font>
      <sz val="7"/>
      <name val="Saysettha 95"/>
      <family val="2"/>
    </font>
    <font>
      <b/>
      <sz val="9"/>
      <color rgb="FF0000FF"/>
      <name val="Times New Roman"/>
      <family val="1"/>
    </font>
    <font>
      <sz val="13"/>
      <name val="Saysettha 95"/>
      <family val="2"/>
    </font>
    <font>
      <sz val="13"/>
      <name val="Saysettha OT"/>
      <family val="2"/>
    </font>
    <font>
      <b/>
      <i/>
      <sz val="10"/>
      <name val="Tahoma"/>
      <family val="1"/>
      <scheme val="major"/>
    </font>
    <font>
      <b/>
      <sz val="13"/>
      <name val="Saysettha 95"/>
      <family val="2"/>
    </font>
    <font>
      <sz val="13"/>
      <name val="Saysettha Lao"/>
      <family val="2"/>
    </font>
    <font>
      <b/>
      <sz val="12"/>
      <color rgb="FF0000FF"/>
      <name val="Times New Roman"/>
      <family val="1"/>
    </font>
    <font>
      <b/>
      <sz val="13"/>
      <color rgb="FF0000FF"/>
      <name val="Times New Roman"/>
      <family val="1"/>
    </font>
    <font>
      <b/>
      <i/>
      <sz val="10"/>
      <name val="Times New Roman"/>
      <family val="1"/>
    </font>
    <font>
      <b/>
      <i/>
      <sz val="13"/>
      <color rgb="FF0000FF"/>
      <name val="Times New Roman"/>
      <family val="1"/>
    </font>
    <font>
      <sz val="8"/>
      <color theme="0"/>
      <name val="Times New Roman"/>
      <family val="1"/>
    </font>
    <font>
      <sz val="11"/>
      <color theme="0"/>
      <name val="Times New Roman"/>
      <family val="1"/>
    </font>
    <font>
      <sz val="13"/>
      <color theme="1"/>
      <name val="Times New Roman"/>
      <family val="1"/>
    </font>
    <font>
      <i/>
      <sz val="10"/>
      <name val="Times New Roman"/>
      <family val="1"/>
    </font>
    <font>
      <i/>
      <sz val="9"/>
      <name val="Times New Roman"/>
      <family val="1"/>
    </font>
    <font>
      <sz val="8"/>
      <color theme="1"/>
      <name val="Times New Roman"/>
      <family val="1"/>
    </font>
    <font>
      <b/>
      <sz val="16"/>
      <color theme="1"/>
      <name val="Times New Roman"/>
      <family val="1"/>
    </font>
    <font>
      <sz val="14"/>
      <color theme="1"/>
      <name val="Times New Roman"/>
      <family val="1"/>
    </font>
    <font>
      <i/>
      <sz val="13"/>
      <color theme="1"/>
      <name val="Times New Roman"/>
      <family val="1"/>
    </font>
    <font>
      <b/>
      <sz val="13"/>
      <name val="Tahoma"/>
      <family val="1"/>
      <scheme val="major"/>
    </font>
    <font>
      <b/>
      <sz val="10"/>
      <name val="Tahoma"/>
      <family val="1"/>
      <scheme val="major"/>
    </font>
    <font>
      <b/>
      <sz val="12"/>
      <color rgb="FFFF0000"/>
      <name val="Times New Roman"/>
      <family val="1"/>
    </font>
    <font>
      <b/>
      <sz val="13"/>
      <color rgb="FFFF0000"/>
      <name val="Times New Roman"/>
      <family val="1"/>
    </font>
    <font>
      <sz val="8"/>
      <name val="Saysettha Lao"/>
      <family val="2"/>
    </font>
    <font>
      <sz val="9"/>
      <name val="Saysettha Lao"/>
      <family val="2"/>
    </font>
    <font>
      <b/>
      <sz val="11"/>
      <color indexed="10"/>
      <name val="Times New Roman"/>
      <family val="1"/>
    </font>
    <font>
      <sz val="12"/>
      <color indexed="10"/>
      <name val="Times New Roman"/>
      <family val="1"/>
    </font>
    <font>
      <sz val="10"/>
      <name val="Tahoma"/>
      <family val="1"/>
      <scheme val="major"/>
    </font>
    <font>
      <u/>
      <sz val="10"/>
      <name val="Tahoma"/>
      <family val="1"/>
      <scheme val="major"/>
    </font>
    <font>
      <sz val="10"/>
      <color rgb="FFFF0000"/>
      <name val="Tahoma"/>
      <family val="1"/>
      <scheme val="major"/>
    </font>
    <font>
      <i/>
      <sz val="10"/>
      <name val="Tahoma"/>
      <family val="1"/>
      <scheme val="major"/>
    </font>
    <font>
      <b/>
      <sz val="10"/>
      <color rgb="FFFF0000"/>
      <name val="Tahoma"/>
      <family val="1"/>
      <scheme val="major"/>
    </font>
    <font>
      <b/>
      <sz val="9"/>
      <name val="Saysettha Lao"/>
      <family val="2"/>
    </font>
    <font>
      <sz val="7"/>
      <color theme="1"/>
      <name val="Times New Roman"/>
      <family val="1"/>
    </font>
    <font>
      <u/>
      <sz val="9"/>
      <name val="Times New Roman"/>
      <family val="1"/>
    </font>
    <font>
      <b/>
      <u/>
      <sz val="9"/>
      <name val="Times New Roman"/>
      <family val="1"/>
    </font>
    <font>
      <b/>
      <sz val="9"/>
      <color rgb="FFFF0000"/>
      <name val="Times New Roman"/>
      <family val="1"/>
    </font>
    <font>
      <sz val="7.5"/>
      <color theme="1"/>
      <name val="Times New Roman"/>
      <family val="1"/>
    </font>
    <font>
      <sz val="8.5"/>
      <name val="Times New Roman"/>
      <family val="1"/>
    </font>
    <font>
      <sz val="10"/>
      <color rgb="FFFF0000"/>
      <name val="Times New Roman"/>
      <family val="1"/>
    </font>
    <font>
      <sz val="7"/>
      <name val="Times New Roman"/>
      <family val="1"/>
    </font>
    <font>
      <sz val="7"/>
      <color rgb="FFFF0000"/>
      <name val="Times New Roman"/>
      <family val="1"/>
    </font>
    <font>
      <sz val="12"/>
      <color rgb="FFFF0000"/>
      <name val="Times New Roman"/>
      <family val="1"/>
    </font>
    <font>
      <i/>
      <sz val="12"/>
      <name val="Times New Roman"/>
      <family val="1"/>
    </font>
    <font>
      <b/>
      <sz val="12"/>
      <name val="Times New Roman"/>
      <family val="1"/>
    </font>
    <font>
      <sz val="12"/>
      <name val="Times New Roman"/>
      <family val="1"/>
    </font>
    <font>
      <b/>
      <sz val="14"/>
      <name val="Times New Roman"/>
      <family val="1"/>
    </font>
    <font>
      <b/>
      <sz val="12"/>
      <color rgb="FFFF0000"/>
      <name val="Times New Roman"/>
      <family val="1"/>
    </font>
    <font>
      <b/>
      <i/>
      <sz val="12"/>
      <name val="Times New Roman"/>
      <family val="1"/>
    </font>
    <font>
      <sz val="12"/>
      <color rgb="FFFF0000"/>
      <name val="Times New Roman"/>
      <family val="1"/>
    </font>
    <font>
      <b/>
      <u/>
      <sz val="12"/>
      <name val="Times New Roman"/>
      <family val="1"/>
    </font>
    <font>
      <b/>
      <u val="singleAccounting"/>
      <sz val="12"/>
      <name val="Times New Roman"/>
      <family val="1"/>
    </font>
    <font>
      <u/>
      <sz val="11"/>
      <name val="Times New Roman"/>
      <family val="1"/>
    </font>
    <font>
      <sz val="8"/>
      <color indexed="8"/>
      <name val="Times New Roman"/>
      <family val="1"/>
    </font>
    <font>
      <b/>
      <sz val="6"/>
      <name val="Times New Roman"/>
      <family val="1"/>
    </font>
    <font>
      <sz val="8"/>
      <name val="Saysettha OT"/>
      <family val="2"/>
    </font>
    <font>
      <b/>
      <sz val="7"/>
      <name val="Saysettha 95"/>
      <family val="2"/>
    </font>
    <font>
      <sz val="8"/>
      <color theme="1"/>
      <name val="Saysettha Lao"/>
      <family val="2"/>
    </font>
    <font>
      <b/>
      <i/>
      <sz val="8"/>
      <color rgb="FF0000FF"/>
      <name val="Times New Roman"/>
      <family val="1"/>
    </font>
    <font>
      <b/>
      <sz val="8"/>
      <color rgb="FF0000FF"/>
      <name val="Times New Roman"/>
      <family val="1"/>
    </font>
    <font>
      <sz val="9"/>
      <color theme="0"/>
      <name val="Times New Roman"/>
      <family val="1"/>
    </font>
    <font>
      <b/>
      <sz val="11"/>
      <color theme="1"/>
      <name val="Calibri"/>
      <family val="2"/>
    </font>
    <font>
      <b/>
      <u/>
      <sz val="13"/>
      <name val="Times New Roman"/>
      <family val="1"/>
    </font>
    <font>
      <b/>
      <sz val="17"/>
      <name val="Times New Roman"/>
      <family val="1"/>
    </font>
    <font>
      <b/>
      <sz val="15"/>
      <name val="Times New Roman"/>
      <family val="1"/>
    </font>
    <font>
      <b/>
      <i/>
      <u/>
      <sz val="12"/>
      <name val="Times New Roman"/>
      <family val="1"/>
    </font>
    <font>
      <sz val="11"/>
      <color theme="1"/>
      <name val="Calibri"/>
      <family val="2"/>
    </font>
    <font>
      <sz val="11"/>
      <color indexed="8"/>
      <name val="Calibri"/>
      <family val="2"/>
    </font>
    <font>
      <sz val="11"/>
      <color theme="1"/>
      <name val="Tahoma"/>
      <family val="2"/>
      <scheme val="minor"/>
    </font>
    <font>
      <sz val="10"/>
      <name val="Arial"/>
      <family val="2"/>
    </font>
    <font>
      <sz val="11"/>
      <color indexed="8"/>
      <name val="Arial"/>
      <family val="2"/>
    </font>
    <font>
      <sz val="11"/>
      <color indexed="9"/>
      <name val="Calibri"/>
      <family val="2"/>
    </font>
    <font>
      <sz val="11"/>
      <color indexed="9"/>
      <name val="Arial"/>
      <family val="2"/>
    </font>
    <font>
      <sz val="12"/>
      <name val="¹UAAA¼"/>
      <charset val="129"/>
    </font>
    <font>
      <sz val="11"/>
      <color indexed="20"/>
      <name val="Calibri"/>
      <family val="2"/>
    </font>
    <font>
      <sz val="11"/>
      <color indexed="20"/>
      <name val="Arial"/>
      <family val="2"/>
    </font>
    <font>
      <sz val="12"/>
      <name val="Tms Rmn"/>
      <charset val="134"/>
    </font>
    <font>
      <sz val="12"/>
      <name val="±¼¸²Ã¼"/>
      <charset val="134"/>
    </font>
    <font>
      <sz val="11"/>
      <name val="µ¸¿ò"/>
      <charset val="134"/>
    </font>
    <font>
      <sz val="10"/>
      <name val="MS Sans Serif"/>
      <family val="2"/>
      <charset val="222"/>
    </font>
    <font>
      <b/>
      <sz val="11"/>
      <color indexed="52"/>
      <name val="Calibri"/>
      <family val="2"/>
    </font>
    <font>
      <b/>
      <sz val="11"/>
      <color indexed="52"/>
      <name val="Arial"/>
      <family val="2"/>
    </font>
    <font>
      <b/>
      <sz val="11"/>
      <color indexed="9"/>
      <name val="Calibri"/>
      <family val="2"/>
    </font>
    <font>
      <b/>
      <sz val="11"/>
      <color indexed="9"/>
      <name val="Arial"/>
      <family val="2"/>
    </font>
    <font>
      <sz val="11"/>
      <name val="Tms Rmn"/>
      <charset val="134"/>
    </font>
    <font>
      <sz val="10"/>
      <name val="VNI-Times"/>
      <charset val="134"/>
    </font>
    <font>
      <sz val="11"/>
      <color rgb="FF000000"/>
      <name val="Calibri"/>
      <family val="2"/>
    </font>
    <font>
      <sz val="11"/>
      <color indexed="63"/>
      <name val="Calibri"/>
      <family val="2"/>
    </font>
    <font>
      <sz val="10"/>
      <color indexed="8"/>
      <name val="Times New Roman"/>
      <family val="1"/>
    </font>
    <font>
      <sz val="10"/>
      <name val="MS Serif"/>
      <family val="1"/>
    </font>
    <font>
      <sz val="10"/>
      <color theme="1"/>
      <name val="Arial"/>
      <family val="2"/>
    </font>
    <font>
      <sz val="10"/>
      <color indexed="8"/>
      <name val="Arial"/>
      <family val="2"/>
    </font>
    <font>
      <sz val="10"/>
      <color indexed="16"/>
      <name val="MS Serif"/>
      <family val="1"/>
    </font>
    <font>
      <i/>
      <sz val="11"/>
      <color indexed="23"/>
      <name val="Calibri"/>
      <family val="2"/>
    </font>
    <font>
      <i/>
      <sz val="11"/>
      <color indexed="23"/>
      <name val="Arial"/>
      <family val="2"/>
    </font>
    <font>
      <sz val="11"/>
      <color indexed="17"/>
      <name val="Calibri"/>
      <family val="2"/>
    </font>
    <font>
      <sz val="11"/>
      <color indexed="17"/>
      <name val="Arial"/>
      <family val="2"/>
    </font>
    <font>
      <sz val="8"/>
      <name val="Arial"/>
      <family val="2"/>
    </font>
    <font>
      <b/>
      <sz val="12"/>
      <color indexed="9"/>
      <name val="Tms Rmn"/>
      <charset val="134"/>
    </font>
    <font>
      <b/>
      <sz val="12"/>
      <name val="Arial"/>
      <family val="2"/>
    </font>
    <font>
      <b/>
      <sz val="15"/>
      <color indexed="56"/>
      <name val="Calibri"/>
      <family val="2"/>
    </font>
    <font>
      <b/>
      <sz val="15"/>
      <color indexed="56"/>
      <name val="Arial"/>
      <family val="2"/>
    </font>
    <font>
      <b/>
      <sz val="13"/>
      <color indexed="56"/>
      <name val="Calibri"/>
      <family val="2"/>
    </font>
    <font>
      <b/>
      <sz val="13"/>
      <color indexed="56"/>
      <name val="Arial"/>
      <family val="2"/>
    </font>
    <font>
      <b/>
      <sz val="11"/>
      <color indexed="56"/>
      <name val="Calibri"/>
      <family val="2"/>
    </font>
    <font>
      <b/>
      <sz val="11"/>
      <color indexed="56"/>
      <name val="Arial"/>
      <family val="2"/>
    </font>
    <font>
      <b/>
      <sz val="8"/>
      <name val="MS Sans Serif"/>
      <family val="2"/>
      <charset val="222"/>
    </font>
    <font>
      <u/>
      <sz val="11"/>
      <color theme="10"/>
      <name val="Calibri"/>
      <family val="2"/>
    </font>
    <font>
      <u/>
      <sz val="10"/>
      <color theme="10"/>
      <name val="Arial"/>
      <family val="2"/>
    </font>
    <font>
      <u/>
      <sz val="12"/>
      <color theme="10"/>
      <name val="Times New Roman"/>
      <family val="1"/>
    </font>
    <font>
      <sz val="11"/>
      <color indexed="62"/>
      <name val="Calibri"/>
      <family val="2"/>
    </font>
    <font>
      <sz val="11"/>
      <color indexed="62"/>
      <name val="Arial"/>
      <family val="2"/>
    </font>
    <font>
      <sz val="11"/>
      <color indexed="52"/>
      <name val="Calibri"/>
      <family val="2"/>
    </font>
    <font>
      <sz val="11"/>
      <color indexed="52"/>
      <name val="Arial"/>
      <family val="2"/>
    </font>
    <font>
      <sz val="11"/>
      <color indexed="60"/>
      <name val="Calibri"/>
      <family val="2"/>
    </font>
    <font>
      <sz val="11"/>
      <color indexed="60"/>
      <name val="Arial"/>
      <family val="2"/>
    </font>
    <font>
      <b/>
      <i/>
      <sz val="16"/>
      <name val="Helv"/>
      <charset val="134"/>
    </font>
    <font>
      <sz val="13"/>
      <name val="Arial"/>
      <family val="2"/>
    </font>
    <font>
      <sz val="10"/>
      <name val="VNI-Helve-Condense"/>
      <charset val="134"/>
    </font>
    <font>
      <sz val="11"/>
      <color theme="1"/>
      <name val="Tahoma"/>
      <family val="2"/>
    </font>
    <font>
      <sz val="12"/>
      <name val="VNI-Times"/>
      <charset val="134"/>
    </font>
    <font>
      <b/>
      <sz val="11"/>
      <color indexed="63"/>
      <name val="Calibri"/>
      <family val="2"/>
    </font>
    <font>
      <b/>
      <sz val="11"/>
      <color indexed="63"/>
      <name val="Arial"/>
      <family val="2"/>
    </font>
    <font>
      <sz val="8"/>
      <name val="Wingdings"/>
      <charset val="2"/>
    </font>
    <font>
      <sz val="8"/>
      <name val="Helv"/>
      <charset val="134"/>
    </font>
    <font>
      <sz val="8"/>
      <name val="MS Sans Serif"/>
      <family val="2"/>
      <charset val="222"/>
    </font>
    <font>
      <b/>
      <sz val="8"/>
      <color indexed="8"/>
      <name val="Helv"/>
      <charset val="134"/>
    </font>
    <font>
      <b/>
      <sz val="18"/>
      <color indexed="56"/>
      <name val="Cambria"/>
      <family val="1"/>
    </font>
    <font>
      <b/>
      <sz val="18"/>
      <color indexed="56"/>
      <name val="Times New Roman"/>
      <family val="1"/>
    </font>
    <font>
      <b/>
      <sz val="11"/>
      <color indexed="8"/>
      <name val="Calibri"/>
      <family val="2"/>
    </font>
    <font>
      <b/>
      <sz val="11"/>
      <color indexed="8"/>
      <name val="Arial"/>
      <family val="2"/>
    </font>
    <font>
      <sz val="10"/>
      <name val=".VnAvant"/>
      <charset val="134"/>
    </font>
    <font>
      <sz val="11"/>
      <color indexed="10"/>
      <name val="Calibri"/>
      <family val="2"/>
    </font>
    <font>
      <sz val="11"/>
      <color indexed="10"/>
      <name val="Arial"/>
      <family val="2"/>
    </font>
    <font>
      <sz val="14"/>
      <name val="뼻뮝"/>
      <charset val="134"/>
    </font>
    <font>
      <sz val="12"/>
      <name val="바탕체"/>
      <charset val="134"/>
    </font>
    <font>
      <sz val="12"/>
      <name val="뼻뮝"/>
      <charset val="134"/>
    </font>
    <font>
      <sz val="11"/>
      <name val="돋움"/>
      <charset val="134"/>
    </font>
    <font>
      <sz val="10"/>
      <name val="굴림체"/>
      <charset val="134"/>
    </font>
    <font>
      <sz val="12"/>
      <name val="新細明體"/>
      <charset val="136"/>
    </font>
    <font>
      <sz val="14"/>
      <color theme="1"/>
      <name val="Times New Roman"/>
      <family val="1"/>
    </font>
    <font>
      <sz val="13"/>
      <color rgb="FFFF0000"/>
      <name val="Times New Roman"/>
      <family val="1"/>
    </font>
    <font>
      <sz val="13"/>
      <name val="Times New Roman"/>
      <family val="1"/>
    </font>
    <font>
      <sz val="11"/>
      <color theme="1"/>
      <name val="Tahoma"/>
      <family val="2"/>
      <charset val="1"/>
      <scheme val="minor"/>
    </font>
    <font>
      <sz val="15"/>
      <color theme="1"/>
      <name val="Times New Roman"/>
      <family val="1"/>
    </font>
    <font>
      <sz val="15"/>
      <name val="Times New Roman"/>
      <family val="1"/>
    </font>
    <font>
      <sz val="12"/>
      <name val="Times New Roman"/>
      <family val="1"/>
    </font>
    <font>
      <b/>
      <sz val="13"/>
      <color rgb="FFFF0000"/>
      <name val="Times New Roman"/>
      <family val="1"/>
    </font>
    <font>
      <b/>
      <sz val="11"/>
      <name val="Times New Roman"/>
      <family val="1"/>
    </font>
    <font>
      <sz val="11"/>
      <name val="Times New Roman"/>
      <family val="1"/>
    </font>
    <font>
      <b/>
      <sz val="11"/>
      <color rgb="FFFF0000"/>
      <name val="Times New Roman"/>
      <family val="1"/>
    </font>
    <font>
      <b/>
      <sz val="12"/>
      <name val="Times New Roman"/>
      <family val="1"/>
    </font>
    <font>
      <b/>
      <sz val="12"/>
      <color rgb="FFFF0000"/>
      <name val="Times New Roman"/>
      <family val="1"/>
    </font>
    <font>
      <i/>
      <sz val="13"/>
      <name val="Times New Roman"/>
      <family val="1"/>
    </font>
    <font>
      <sz val="11"/>
      <color indexed="63"/>
      <name val="Calibri"/>
      <family val="2"/>
      <charset val="163"/>
    </font>
    <font>
      <sz val="11"/>
      <color theme="1"/>
      <name val="Calibri"/>
      <family val="2"/>
      <charset val="163"/>
    </font>
    <font>
      <sz val="12"/>
      <color theme="1"/>
      <name val="Times New Roman"/>
      <family val="1"/>
    </font>
    <font>
      <b/>
      <sz val="10"/>
      <name val="Times New Roman"/>
      <family val="1"/>
    </font>
    <font>
      <b/>
      <sz val="28"/>
      <color theme="1"/>
      <name val="Times New Roman"/>
      <family val="1"/>
    </font>
    <font>
      <sz val="28"/>
      <color theme="1"/>
      <name val="Times New Roman"/>
      <family val="1"/>
    </font>
    <font>
      <b/>
      <u/>
      <sz val="28"/>
      <color theme="1"/>
      <name val="Times New Roman"/>
      <family val="1"/>
    </font>
    <font>
      <b/>
      <sz val="28"/>
      <color rgb="FFFF0000"/>
      <name val="Times New Roman"/>
      <family val="1"/>
    </font>
    <font>
      <sz val="18"/>
      <color theme="1"/>
      <name val="Times New Roman"/>
      <family val="1"/>
    </font>
    <font>
      <b/>
      <sz val="18"/>
      <color theme="1"/>
      <name val="Times New Roman"/>
      <family val="1"/>
    </font>
    <font>
      <b/>
      <sz val="14"/>
      <name val="Times New Roman"/>
      <family val="1"/>
    </font>
    <font>
      <b/>
      <sz val="20"/>
      <name val="Times New Roman"/>
      <family val="1"/>
    </font>
    <font>
      <b/>
      <sz val="14"/>
      <color theme="1"/>
      <name val="Times New Roman"/>
      <family val="1"/>
    </font>
    <font>
      <b/>
      <sz val="11"/>
      <color theme="1"/>
      <name val="Times New Roman"/>
      <family val="1"/>
    </font>
    <font>
      <b/>
      <sz val="13"/>
      <color theme="1"/>
      <name val="Times New Roman"/>
      <family val="1"/>
    </font>
    <font>
      <sz val="11"/>
      <color theme="1"/>
      <name val="Times New Roman"/>
      <family val="1"/>
    </font>
    <font>
      <sz val="16"/>
      <color theme="1"/>
      <name val="Times New Roman"/>
      <family val="1"/>
    </font>
    <font>
      <b/>
      <sz val="16"/>
      <color theme="1"/>
      <name val="Times New Roman"/>
      <family val="1"/>
    </font>
    <font>
      <b/>
      <sz val="20"/>
      <color theme="1"/>
      <name val="Times New Roman"/>
      <family val="1"/>
    </font>
    <font>
      <b/>
      <sz val="15"/>
      <color theme="1"/>
      <name val="Times New Roman"/>
      <family val="1"/>
    </font>
    <font>
      <b/>
      <sz val="15"/>
      <color rgb="FFFF0000"/>
      <name val="Times New Roman"/>
      <family val="1"/>
    </font>
    <font>
      <b/>
      <sz val="16"/>
      <color rgb="FFFF0000"/>
      <name val="Times New Roman"/>
      <family val="1"/>
    </font>
    <font>
      <b/>
      <sz val="9"/>
      <color theme="1"/>
      <name val="Times New Roman"/>
      <family val="1"/>
    </font>
    <font>
      <i/>
      <sz val="14"/>
      <color theme="1"/>
      <name val="Times New Roman"/>
      <family val="1"/>
    </font>
    <font>
      <b/>
      <i/>
      <sz val="14"/>
      <name val="Times New Roman"/>
      <family val="1"/>
    </font>
    <font>
      <b/>
      <sz val="18"/>
      <name val="Times New Roman"/>
      <family val="1"/>
    </font>
    <font>
      <sz val="8"/>
      <color theme="1"/>
      <name val="Times New Roman"/>
      <family val="1"/>
    </font>
    <font>
      <sz val="9"/>
      <color theme="1"/>
      <name val="Times New Roman"/>
      <family val="1"/>
    </font>
    <font>
      <sz val="10"/>
      <name val="Arial"/>
      <family val="2"/>
    </font>
    <font>
      <sz val="12"/>
      <name val="VNI-Times"/>
    </font>
    <font>
      <sz val="20"/>
      <color theme="1"/>
      <name val="Times New Roman"/>
      <family val="1"/>
    </font>
    <font>
      <b/>
      <u/>
      <sz val="20"/>
      <color theme="1"/>
      <name val="Times New Roman"/>
      <family val="1"/>
    </font>
    <font>
      <b/>
      <sz val="12"/>
      <color theme="1"/>
      <name val="Times New Roman"/>
      <family val="1"/>
    </font>
    <font>
      <b/>
      <i/>
      <u/>
      <sz val="12"/>
      <name val="Times New Roman"/>
      <family val="1"/>
    </font>
    <font>
      <b/>
      <i/>
      <sz val="12"/>
      <name val="Times New Roman"/>
      <family val="1"/>
    </font>
    <font>
      <sz val="10"/>
      <name val="Times New Roman"/>
      <family val="1"/>
    </font>
    <font>
      <b/>
      <sz val="13"/>
      <name val="Times New Roman"/>
      <family val="1"/>
    </font>
    <font>
      <b/>
      <sz val="12"/>
      <color rgb="FF0000FF"/>
      <name val="Times New Roman"/>
      <family val="1"/>
    </font>
    <font>
      <sz val="11"/>
      <color indexed="8"/>
      <name val="Calibri"/>
      <family val="2"/>
    </font>
    <font>
      <sz val="11"/>
      <color theme="1"/>
      <name val="Calibri"/>
      <family val="2"/>
    </font>
    <font>
      <sz val="13"/>
      <color indexed="63"/>
      <name val="Times New Roman"/>
      <family val="1"/>
    </font>
    <font>
      <u/>
      <sz val="13"/>
      <name val="Times New Roman"/>
      <family val="1"/>
    </font>
    <font>
      <sz val="13"/>
      <name val="Times New Roman"/>
      <family val="1"/>
      <charset val="163"/>
    </font>
    <font>
      <sz val="13"/>
      <color indexed="8"/>
      <name val="Times New Roman"/>
      <family val="1"/>
    </font>
    <font>
      <b/>
      <i/>
      <sz val="13"/>
      <color indexed="63"/>
      <name val="Times New Roman"/>
      <family val="1"/>
    </font>
    <font>
      <b/>
      <sz val="13"/>
      <color indexed="63"/>
      <name val="Times New Roman"/>
      <family val="1"/>
    </font>
    <font>
      <i/>
      <sz val="13"/>
      <color indexed="63"/>
      <name val="Times New Roman"/>
      <family val="1"/>
      <charset val="163"/>
    </font>
    <font>
      <sz val="11"/>
      <color theme="1"/>
      <name val="Tahoma"/>
      <family val="2"/>
      <scheme val="minor"/>
    </font>
    <font>
      <b/>
      <i/>
      <sz val="13"/>
      <name val="Times New Roman"/>
      <family val="1"/>
    </font>
    <font>
      <b/>
      <sz val="16"/>
      <name val="Times New Roman"/>
      <family val="1"/>
    </font>
    <font>
      <i/>
      <sz val="13"/>
      <color indexed="63"/>
      <name val="Times New Roman"/>
      <family val="1"/>
    </font>
    <font>
      <sz val="11"/>
      <color indexed="63"/>
      <name val="Calibri"/>
      <family val="2"/>
    </font>
    <font>
      <sz val="13"/>
      <color rgb="FF000000"/>
      <name val="Times New Roman"/>
      <family val="1"/>
    </font>
    <font>
      <b/>
      <sz val="13"/>
      <color indexed="8"/>
      <name val="Times New Roman"/>
      <family val="1"/>
    </font>
    <font>
      <b/>
      <sz val="12"/>
      <name val="Times New Roman"/>
      <family val="1"/>
      <charset val="163"/>
    </font>
    <font>
      <b/>
      <sz val="12"/>
      <color indexed="8"/>
      <name val="Times New Roman"/>
      <family val="1"/>
      <charset val="163"/>
    </font>
    <font>
      <sz val="11"/>
      <color theme="0"/>
      <name val="Times New Roman"/>
      <family val="1"/>
    </font>
    <font>
      <b/>
      <sz val="11"/>
      <color theme="0"/>
      <name val="Times New Roman"/>
      <family val="1"/>
    </font>
    <font>
      <i/>
      <sz val="12"/>
      <name val="Times New Roman"/>
      <family val="1"/>
      <charset val="163"/>
    </font>
    <font>
      <b/>
      <sz val="11"/>
      <name val="Times New Roman"/>
      <family val="1"/>
      <charset val="163"/>
    </font>
    <font>
      <b/>
      <i/>
      <u/>
      <sz val="11"/>
      <name val="Times New Roman"/>
      <family val="1"/>
      <charset val="163"/>
    </font>
    <font>
      <sz val="11"/>
      <color rgb="FFFF0000"/>
      <name val="Times New Roman"/>
      <family val="1"/>
    </font>
    <font>
      <i/>
      <sz val="12"/>
      <name val="Times New Roman"/>
      <family val="1"/>
    </font>
    <font>
      <i/>
      <sz val="11"/>
      <name val="Times New Roman"/>
      <family val="1"/>
    </font>
    <font>
      <b/>
      <sz val="9"/>
      <color indexed="81"/>
      <name val="Tahoma"/>
      <family val="2"/>
      <charset val="163"/>
    </font>
    <font>
      <sz val="8"/>
      <name val="Times New Roman"/>
      <family val="1"/>
    </font>
    <font>
      <b/>
      <sz val="15"/>
      <name val="Times New Roman"/>
      <family val="1"/>
    </font>
    <font>
      <b/>
      <i/>
      <sz val="11"/>
      <color theme="1"/>
      <name val="Times New Roman"/>
      <family val="1"/>
    </font>
    <font>
      <sz val="11"/>
      <color indexed="63"/>
      <name val="Times New Roman"/>
      <family val="1"/>
    </font>
    <font>
      <b/>
      <sz val="13"/>
      <name val="Times New Roman"/>
      <family val="1"/>
      <charset val="163"/>
    </font>
    <font>
      <sz val="12"/>
      <color theme="1"/>
      <name val="Times New Roman"/>
      <family val="2"/>
    </font>
    <font>
      <sz val="12"/>
      <name val="Times New Roman"/>
      <family val="2"/>
    </font>
    <font>
      <sz val="12"/>
      <name val="Times New Roman"/>
      <family val="1"/>
      <charset val="163"/>
    </font>
    <font>
      <b/>
      <u/>
      <sz val="12"/>
      <name val="Times New Roman"/>
      <family val="1"/>
      <charset val="163"/>
    </font>
    <font>
      <sz val="11"/>
      <name val="Tahoma"/>
      <family val="2"/>
      <scheme val="minor"/>
    </font>
    <font>
      <b/>
      <i/>
      <sz val="12"/>
      <name val="Times New Roman"/>
      <family val="1"/>
      <charset val="163"/>
    </font>
    <font>
      <sz val="10"/>
      <name val="VNI-Times"/>
    </font>
    <font>
      <i/>
      <sz val="13"/>
      <name val="Times New Roman"/>
      <family val="1"/>
      <charset val="163"/>
    </font>
    <font>
      <b/>
      <u/>
      <sz val="13"/>
      <name val="Times New Roman"/>
      <family val="1"/>
      <charset val="163"/>
    </font>
    <font>
      <sz val="11"/>
      <name val="VNI-Helve"/>
    </font>
    <font>
      <sz val="10"/>
      <name val="VNI-Helve-Condense"/>
    </font>
    <font>
      <sz val="12"/>
      <name val="VNI-Helve-Condense"/>
    </font>
    <font>
      <sz val="11"/>
      <color theme="1"/>
      <name val="Tahoma"/>
      <family val="2"/>
      <charset val="163"/>
      <scheme val="minor"/>
    </font>
    <font>
      <sz val="10"/>
      <color indexed="8"/>
      <name val="Times New Roman"/>
      <family val="2"/>
    </font>
    <font>
      <b/>
      <sz val="14"/>
      <name val=".VnTimeH"/>
      <family val="2"/>
    </font>
    <font>
      <sz val="9"/>
      <name val="Times New Roman"/>
      <family val="1"/>
    </font>
    <font>
      <sz val="9"/>
      <color theme="0"/>
      <name val="Times New Roman"/>
      <family val="1"/>
    </font>
    <font>
      <sz val="12"/>
      <color theme="0"/>
      <name val="Times New Roman"/>
      <family val="1"/>
    </font>
    <font>
      <b/>
      <sz val="13"/>
      <color rgb="FF000000"/>
      <name val="Times New Roman"/>
      <family val="1"/>
    </font>
    <font>
      <sz val="16"/>
      <name val="Times New Roman"/>
      <family val="1"/>
    </font>
    <font>
      <b/>
      <sz val="20"/>
      <color rgb="FFFF0000"/>
      <name val="Times New Roman"/>
      <family val="1"/>
    </font>
    <font>
      <b/>
      <i/>
      <sz val="20"/>
      <color theme="1"/>
      <name val="Times New Roman"/>
      <family val="1"/>
    </font>
    <font>
      <b/>
      <i/>
      <sz val="20"/>
      <name val="Times New Roman"/>
      <family val="1"/>
    </font>
    <font>
      <i/>
      <sz val="20"/>
      <color theme="1"/>
      <name val="Times New Roman"/>
      <family val="1"/>
    </font>
    <font>
      <sz val="20"/>
      <name val="Times New Roman"/>
      <family val="1"/>
    </font>
  </fonts>
  <fills count="38">
    <fill>
      <patternFill patternType="none"/>
    </fill>
    <fill>
      <patternFill patternType="gray125"/>
    </fill>
    <fill>
      <patternFill patternType="solid">
        <fgColor theme="0"/>
        <bgColor indexed="64"/>
      </patternFill>
    </fill>
    <fill>
      <patternFill patternType="solid">
        <fgColor indexed="9"/>
        <bgColor indexed="64"/>
      </patternFill>
    </fill>
    <fill>
      <patternFill patternType="solid">
        <fgColor theme="9" tint="0.79989013336588644"/>
        <bgColor indexed="64"/>
      </patternFill>
    </fill>
    <fill>
      <patternFill patternType="solid">
        <fgColor rgb="FFFFFF00"/>
        <bgColor indexed="64"/>
      </patternFill>
    </fill>
    <fill>
      <patternFill patternType="solid">
        <fgColor theme="8" tint="0.39988402966399123"/>
        <bgColor indexed="64"/>
      </patternFill>
    </fill>
    <fill>
      <patternFill patternType="solid">
        <fgColor rgb="FF00B0F0"/>
        <bgColor indexed="64"/>
      </patternFill>
    </fill>
    <fill>
      <patternFill patternType="solid">
        <fgColor theme="9" tint="0.59999389629810485"/>
        <bgColor indexed="64"/>
      </patternFill>
    </fill>
    <fill>
      <patternFill patternType="solid">
        <fgColor theme="6" tint="0.59999389629810485"/>
        <bgColor indexed="64"/>
      </patternFill>
    </fill>
    <fill>
      <patternFill patternType="solid">
        <fgColor theme="9" tint="0.39988402966399123"/>
        <bgColor indexed="64"/>
      </patternFill>
    </fill>
    <fill>
      <patternFill patternType="solid">
        <fgColor theme="8" tint="0.59999389629810485"/>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36"/>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65"/>
        <bgColor indexed="64"/>
      </patternFill>
    </fill>
    <fill>
      <patternFill patternType="solid">
        <fgColor indexed="26"/>
        <bgColor indexed="64"/>
      </patternFill>
    </fill>
    <fill>
      <patternFill patternType="solid">
        <fgColor indexed="43"/>
        <bgColor indexed="64"/>
      </patternFill>
    </fill>
    <fill>
      <patternFill patternType="darkVertical"/>
    </fill>
    <fill>
      <patternFill patternType="gray125"/>
    </fill>
    <fill>
      <patternFill patternType="solid">
        <fgColor theme="0" tint="-4.9989318521683403E-2"/>
        <bgColor indexed="64"/>
      </patternFill>
    </fill>
  </fills>
  <borders count="65">
    <border>
      <left/>
      <right/>
      <top/>
      <bottom/>
      <diagonal/>
    </border>
    <border>
      <left/>
      <right/>
      <top/>
      <bottom style="thin">
        <color auto="1"/>
      </bottom>
      <diagonal/>
    </border>
    <border>
      <left style="hair">
        <color auto="1"/>
      </left>
      <right style="hair">
        <color auto="1"/>
      </right>
      <top style="hair">
        <color auto="1"/>
      </top>
      <bottom style="hair">
        <color auto="1"/>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style="thin">
        <color auto="1"/>
      </right>
      <top/>
      <bottom style="thin">
        <color auto="1"/>
      </bottom>
      <diagonal/>
    </border>
    <border diagonalDown="1">
      <left style="thin">
        <color auto="1"/>
      </left>
      <right style="thin">
        <color auto="1"/>
      </right>
      <top style="thin">
        <color auto="1"/>
      </top>
      <bottom/>
      <diagonal style="thin">
        <color auto="1"/>
      </diagonal>
    </border>
    <border diagonalDown="1">
      <left style="thin">
        <color auto="1"/>
      </left>
      <right style="thin">
        <color auto="1"/>
      </right>
      <top/>
      <bottom style="thin">
        <color auto="1"/>
      </bottom>
      <diagonal style="thin">
        <color auto="1"/>
      </diagonal>
    </border>
    <border>
      <left style="thin">
        <color auto="1"/>
      </left>
      <right style="thin">
        <color auto="1"/>
      </right>
      <top style="thin">
        <color auto="1"/>
      </top>
      <bottom style="hair">
        <color auto="1"/>
      </bottom>
      <diagonal/>
    </border>
    <border>
      <left style="thin">
        <color auto="1"/>
      </left>
      <right/>
      <top/>
      <bottom/>
      <diagonal/>
    </border>
    <border>
      <left style="thin">
        <color auto="1"/>
      </left>
      <right style="thin">
        <color auto="1"/>
      </right>
      <top style="hair">
        <color auto="1"/>
      </top>
      <bottom/>
      <diagonal/>
    </border>
    <border>
      <left style="thin">
        <color auto="1"/>
      </left>
      <right style="thin">
        <color auto="1"/>
      </right>
      <top style="thin">
        <color auto="1"/>
      </top>
      <bottom style="dotted">
        <color auto="1"/>
      </bottom>
      <diagonal/>
    </border>
    <border>
      <left style="thin">
        <color auto="1"/>
      </left>
      <right style="thin">
        <color auto="1"/>
      </right>
      <top style="dotted">
        <color auto="1"/>
      </top>
      <bottom style="dotted">
        <color auto="1"/>
      </bottom>
      <diagonal/>
    </border>
    <border>
      <left style="thin">
        <color auto="1"/>
      </left>
      <right style="thin">
        <color auto="1"/>
      </right>
      <top style="dotted">
        <color auto="1"/>
      </top>
      <bottom/>
      <diagonal/>
    </border>
    <border>
      <left style="hair">
        <color auto="1"/>
      </left>
      <right style="hair">
        <color auto="1"/>
      </right>
      <top style="hair">
        <color auto="1"/>
      </top>
      <bottom/>
      <diagonal/>
    </border>
    <border>
      <left style="hair">
        <color auto="1"/>
      </left>
      <right/>
      <top style="hair">
        <color auto="1"/>
      </top>
      <bottom style="hair">
        <color auto="1"/>
      </bottom>
      <diagonal/>
    </border>
    <border>
      <left/>
      <right/>
      <top style="hair">
        <color auto="1"/>
      </top>
      <bottom style="hair">
        <color auto="1"/>
      </bottom>
      <diagonal/>
    </border>
    <border>
      <left style="hair">
        <color auto="1"/>
      </left>
      <right style="hair">
        <color auto="1"/>
      </right>
      <top/>
      <bottom style="hair">
        <color auto="1"/>
      </bottom>
      <diagonal/>
    </border>
    <border>
      <left/>
      <right style="hair">
        <color auto="1"/>
      </right>
      <top style="hair">
        <color auto="1"/>
      </top>
      <bottom style="hair">
        <color auto="1"/>
      </bottom>
      <diagonal/>
    </border>
    <border>
      <left style="dotted">
        <color auto="1"/>
      </left>
      <right style="dotted">
        <color auto="1"/>
      </right>
      <top style="dotted">
        <color auto="1"/>
      </top>
      <bottom style="dotted">
        <color auto="1"/>
      </bottom>
      <diagonal/>
    </border>
    <border>
      <left style="dotted">
        <color auto="1"/>
      </left>
      <right style="dotted">
        <color auto="1"/>
      </right>
      <top/>
      <bottom style="dotted">
        <color auto="1"/>
      </bottom>
      <diagonal/>
    </border>
    <border>
      <left/>
      <right style="dotted">
        <color auto="1"/>
      </right>
      <top style="dotted">
        <color auto="1"/>
      </top>
      <bottom style="dotted">
        <color auto="1"/>
      </bottom>
      <diagonal/>
    </border>
    <border>
      <left style="thin">
        <color auto="1"/>
      </left>
      <right style="thin">
        <color auto="1"/>
      </right>
      <top/>
      <bottom/>
      <diagonal/>
    </border>
    <border>
      <left/>
      <right/>
      <top style="thin">
        <color auto="1"/>
      </top>
      <bottom style="thin">
        <color auto="1"/>
      </bottom>
      <diagonal/>
    </border>
    <border>
      <left/>
      <right style="thin">
        <color auto="1"/>
      </right>
      <top/>
      <bottom/>
      <diagonal/>
    </border>
    <border>
      <left/>
      <right/>
      <top style="thin">
        <color auto="1"/>
      </top>
      <bottom/>
      <diagonal/>
    </border>
    <border>
      <left/>
      <right style="thin">
        <color auto="1"/>
      </right>
      <top style="thin">
        <color auto="1"/>
      </top>
      <bottom style="dotted">
        <color auto="1"/>
      </bottom>
      <diagonal/>
    </border>
    <border>
      <left/>
      <right style="thin">
        <color auto="1"/>
      </right>
      <top style="dotted">
        <color auto="1"/>
      </top>
      <bottom style="dotted">
        <color auto="1"/>
      </bottom>
      <diagonal/>
    </border>
    <border>
      <left style="thin">
        <color auto="1"/>
      </left>
      <right style="thin">
        <color auto="1"/>
      </right>
      <top style="thin">
        <color auto="1"/>
      </top>
      <bottom style="dashed">
        <color auto="1"/>
      </bottom>
      <diagonal/>
    </border>
    <border>
      <left style="thin">
        <color auto="1"/>
      </left>
      <right style="thin">
        <color auto="1"/>
      </right>
      <top style="dashed">
        <color auto="1"/>
      </top>
      <bottom style="dashed">
        <color auto="1"/>
      </bottom>
      <diagonal/>
    </border>
    <border>
      <left style="thin">
        <color auto="1"/>
      </left>
      <right style="thin">
        <color auto="1"/>
      </right>
      <top style="dashed">
        <color auto="1"/>
      </top>
      <bottom style="thin">
        <color auto="1"/>
      </bottom>
      <diagonal/>
    </border>
    <border>
      <left style="thin">
        <color auto="1"/>
      </left>
      <right style="thin">
        <color auto="1"/>
      </right>
      <top/>
      <bottom style="dotted">
        <color auto="1"/>
      </bottom>
      <diagonal/>
    </border>
    <border>
      <left style="thin">
        <color auto="1"/>
      </left>
      <right/>
      <top style="dotted">
        <color auto="1"/>
      </top>
      <bottom style="dotted">
        <color auto="1"/>
      </bottom>
      <diagonal/>
    </border>
    <border>
      <left style="thin">
        <color auto="1"/>
      </left>
      <right style="thin">
        <color auto="1"/>
      </right>
      <top style="dotted">
        <color auto="1"/>
      </top>
      <bottom style="thin">
        <color auto="1"/>
      </bottom>
      <diagonal/>
    </border>
    <border>
      <left/>
      <right style="thin">
        <color auto="1"/>
      </right>
      <top style="dotted">
        <color auto="1"/>
      </top>
      <bottom style="thin">
        <color auto="1"/>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medium">
        <color auto="1"/>
      </top>
      <bottom style="medium">
        <color auto="1"/>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medium">
        <color auto="1"/>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auto="1"/>
      </top>
      <bottom/>
      <diagonal/>
    </border>
    <border>
      <left/>
      <right/>
      <top style="thin">
        <color indexed="62"/>
      </top>
      <bottom style="double">
        <color indexed="62"/>
      </bottom>
      <diagonal/>
    </border>
    <border>
      <left style="medium">
        <color indexed="9"/>
      </left>
      <right style="medium">
        <color indexed="9"/>
      </right>
      <top style="medium">
        <color indexed="9"/>
      </top>
      <bottom style="medium">
        <color indexed="9"/>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rgb="FF000000"/>
      </left>
      <right/>
      <top style="thin">
        <color rgb="FF000000"/>
      </top>
      <bottom style="thin">
        <color rgb="FF000000"/>
      </bottom>
      <diagonal/>
    </border>
    <border>
      <left style="thin">
        <color auto="1"/>
      </left>
      <right style="thin">
        <color auto="1"/>
      </right>
      <top style="hair">
        <color auto="1"/>
      </top>
      <bottom style="hair">
        <color auto="1"/>
      </bottom>
      <diagonal/>
    </border>
    <border>
      <left/>
      <right/>
      <top style="dotted">
        <color indexed="64"/>
      </top>
      <bottom style="dotted">
        <color indexed="64"/>
      </bottom>
      <diagonal/>
    </border>
    <border>
      <left style="thin">
        <color indexed="64"/>
      </left>
      <right style="thin">
        <color indexed="64"/>
      </right>
      <top/>
      <bottom style="thin">
        <color rgb="FF000000"/>
      </bottom>
      <diagonal/>
    </border>
  </borders>
  <cellStyleXfs count="706">
    <xf numFmtId="0" fontId="0" fillId="0" borderId="0"/>
    <xf numFmtId="43" fontId="136" fillId="0" borderId="0" applyFont="0" applyFill="0" applyBorder="0" applyAlignment="0" applyProtection="0"/>
    <xf numFmtId="9" fontId="135" fillId="0" borderId="0" applyFont="0" applyFill="0" applyBorder="0" applyAlignment="0" applyProtection="0"/>
    <xf numFmtId="0" fontId="138" fillId="0" borderId="0"/>
    <xf numFmtId="0" fontId="138" fillId="0" borderId="0"/>
    <xf numFmtId="0" fontId="36" fillId="0" borderId="0"/>
    <xf numFmtId="0" fontId="136" fillId="12" borderId="0" applyNumberFormat="0" applyBorder="0" applyAlignment="0" applyProtection="0"/>
    <xf numFmtId="0" fontId="139" fillId="12" borderId="0" applyNumberFormat="0" applyBorder="0" applyAlignment="0" applyProtection="0"/>
    <xf numFmtId="0" fontId="136" fillId="13" borderId="0" applyNumberFormat="0" applyBorder="0" applyAlignment="0" applyProtection="0"/>
    <xf numFmtId="0" fontId="139" fillId="13" borderId="0" applyNumberFormat="0" applyBorder="0" applyAlignment="0" applyProtection="0"/>
    <xf numFmtId="0" fontId="136" fillId="14" borderId="0" applyNumberFormat="0" applyBorder="0" applyAlignment="0" applyProtection="0"/>
    <xf numFmtId="0" fontId="139" fillId="14" borderId="0" applyNumberFormat="0" applyBorder="0" applyAlignment="0" applyProtection="0"/>
    <xf numFmtId="0" fontId="136" fillId="15" borderId="0" applyNumberFormat="0" applyBorder="0" applyAlignment="0" applyProtection="0"/>
    <xf numFmtId="0" fontId="139" fillId="15" borderId="0" applyNumberFormat="0" applyBorder="0" applyAlignment="0" applyProtection="0"/>
    <xf numFmtId="0" fontId="136" fillId="16" borderId="0" applyNumberFormat="0" applyBorder="0" applyAlignment="0" applyProtection="0"/>
    <xf numFmtId="0" fontId="139" fillId="16" borderId="0" applyNumberFormat="0" applyBorder="0" applyAlignment="0" applyProtection="0"/>
    <xf numFmtId="0" fontId="136" fillId="17" borderId="0" applyNumberFormat="0" applyBorder="0" applyAlignment="0" applyProtection="0"/>
    <xf numFmtId="0" fontId="139" fillId="17" borderId="0" applyNumberFormat="0" applyBorder="0" applyAlignment="0" applyProtection="0"/>
    <xf numFmtId="0" fontId="136" fillId="18" borderId="0" applyNumberFormat="0" applyBorder="0" applyAlignment="0" applyProtection="0"/>
    <xf numFmtId="0" fontId="139" fillId="18" borderId="0" applyNumberFormat="0" applyBorder="0" applyAlignment="0" applyProtection="0"/>
    <xf numFmtId="0" fontId="136" fillId="19" borderId="0" applyNumberFormat="0" applyBorder="0" applyAlignment="0" applyProtection="0"/>
    <xf numFmtId="0" fontId="139" fillId="19" borderId="0" applyNumberFormat="0" applyBorder="0" applyAlignment="0" applyProtection="0"/>
    <xf numFmtId="0" fontId="136" fillId="20" borderId="0" applyNumberFormat="0" applyBorder="0" applyAlignment="0" applyProtection="0"/>
    <xf numFmtId="0" fontId="139" fillId="20" borderId="0" applyNumberFormat="0" applyBorder="0" applyAlignment="0" applyProtection="0"/>
    <xf numFmtId="0" fontId="136" fillId="15" borderId="0" applyNumberFormat="0" applyBorder="0" applyAlignment="0" applyProtection="0"/>
    <xf numFmtId="0" fontId="139" fillId="15" borderId="0" applyNumberFormat="0" applyBorder="0" applyAlignment="0" applyProtection="0"/>
    <xf numFmtId="0" fontId="136" fillId="18" borderId="0" applyNumberFormat="0" applyBorder="0" applyAlignment="0" applyProtection="0"/>
    <xf numFmtId="0" fontId="139" fillId="18" borderId="0" applyNumberFormat="0" applyBorder="0" applyAlignment="0" applyProtection="0"/>
    <xf numFmtId="0" fontId="136" fillId="21" borderId="0" applyNumberFormat="0" applyBorder="0" applyAlignment="0" applyProtection="0"/>
    <xf numFmtId="0" fontId="139" fillId="21" borderId="0" applyNumberFormat="0" applyBorder="0" applyAlignment="0" applyProtection="0"/>
    <xf numFmtId="0" fontId="140" fillId="22" borderId="0" applyNumberFormat="0" applyBorder="0" applyAlignment="0" applyProtection="0"/>
    <xf numFmtId="0" fontId="141" fillId="22" borderId="0" applyNumberFormat="0" applyBorder="0" applyAlignment="0" applyProtection="0"/>
    <xf numFmtId="0" fontId="140" fillId="19" borderId="0" applyNumberFormat="0" applyBorder="0" applyAlignment="0" applyProtection="0"/>
    <xf numFmtId="0" fontId="141" fillId="19" borderId="0" applyNumberFormat="0" applyBorder="0" applyAlignment="0" applyProtection="0"/>
    <xf numFmtId="0" fontId="140" fillId="20" borderId="0" applyNumberFormat="0" applyBorder="0" applyAlignment="0" applyProtection="0"/>
    <xf numFmtId="0" fontId="141" fillId="20" borderId="0" applyNumberFormat="0" applyBorder="0" applyAlignment="0" applyProtection="0"/>
    <xf numFmtId="0" fontId="140" fillId="23" borderId="0" applyNumberFormat="0" applyBorder="0" applyAlignment="0" applyProtection="0"/>
    <xf numFmtId="0" fontId="141" fillId="23" borderId="0" applyNumberFormat="0" applyBorder="0" applyAlignment="0" applyProtection="0"/>
    <xf numFmtId="0" fontId="140" fillId="24" borderId="0" applyNumberFormat="0" applyBorder="0" applyAlignment="0" applyProtection="0"/>
    <xf numFmtId="0" fontId="141" fillId="24" borderId="0" applyNumberFormat="0" applyBorder="0" applyAlignment="0" applyProtection="0"/>
    <xf numFmtId="0" fontId="140" fillId="25" borderId="0" applyNumberFormat="0" applyBorder="0" applyAlignment="0" applyProtection="0"/>
    <xf numFmtId="0" fontId="141" fillId="25" borderId="0" applyNumberFormat="0" applyBorder="0" applyAlignment="0" applyProtection="0"/>
    <xf numFmtId="0" fontId="140" fillId="26" borderId="0" applyNumberFormat="0" applyBorder="0" applyAlignment="0" applyProtection="0"/>
    <xf numFmtId="0" fontId="141" fillId="26" borderId="0" applyNumberFormat="0" applyBorder="0" applyAlignment="0" applyProtection="0"/>
    <xf numFmtId="0" fontId="140" fillId="27" borderId="0" applyNumberFormat="0" applyBorder="0" applyAlignment="0" applyProtection="0"/>
    <xf numFmtId="0" fontId="141" fillId="27" borderId="0" applyNumberFormat="0" applyBorder="0" applyAlignment="0" applyProtection="0"/>
    <xf numFmtId="0" fontId="140" fillId="28" borderId="0" applyNumberFormat="0" applyBorder="0" applyAlignment="0" applyProtection="0"/>
    <xf numFmtId="0" fontId="141" fillId="28" borderId="0" applyNumberFormat="0" applyBorder="0" applyAlignment="0" applyProtection="0"/>
    <xf numFmtId="0" fontId="140" fillId="23" borderId="0" applyNumberFormat="0" applyBorder="0" applyAlignment="0" applyProtection="0"/>
    <xf numFmtId="0" fontId="141" fillId="23" borderId="0" applyNumberFormat="0" applyBorder="0" applyAlignment="0" applyProtection="0"/>
    <xf numFmtId="0" fontId="140" fillId="24" borderId="0" applyNumberFormat="0" applyBorder="0" applyAlignment="0" applyProtection="0"/>
    <xf numFmtId="0" fontId="141" fillId="24" borderId="0" applyNumberFormat="0" applyBorder="0" applyAlignment="0" applyProtection="0"/>
    <xf numFmtId="0" fontId="140" fillId="29" borderId="0" applyNumberFormat="0" applyBorder="0" applyAlignment="0" applyProtection="0"/>
    <xf numFmtId="0" fontId="141" fillId="29" borderId="0" applyNumberFormat="0" applyBorder="0" applyAlignment="0" applyProtection="0"/>
    <xf numFmtId="0" fontId="29" fillId="0" borderId="0">
      <alignment horizontal="center" wrapText="1"/>
      <protection locked="0"/>
    </xf>
    <xf numFmtId="190" fontId="138" fillId="0" borderId="0" applyFont="0" applyFill="0" applyBorder="0" applyAlignment="0" applyProtection="0"/>
    <xf numFmtId="0" fontId="142" fillId="0" borderId="0" applyFont="0" applyFill="0" applyBorder="0" applyAlignment="0" applyProtection="0"/>
    <xf numFmtId="190" fontId="138" fillId="0" borderId="0" applyFont="0" applyFill="0" applyBorder="0" applyAlignment="0" applyProtection="0"/>
    <xf numFmtId="191" fontId="138" fillId="0" borderId="0" applyFont="0" applyFill="0" applyBorder="0" applyAlignment="0" applyProtection="0"/>
    <xf numFmtId="0" fontId="142" fillId="0" borderId="0" applyFont="0" applyFill="0" applyBorder="0" applyAlignment="0" applyProtection="0"/>
    <xf numFmtId="191" fontId="138" fillId="0" borderId="0" applyFont="0" applyFill="0" applyBorder="0" applyAlignment="0" applyProtection="0"/>
    <xf numFmtId="0" fontId="143" fillId="13" borderId="0" applyNumberFormat="0" applyBorder="0" applyAlignment="0" applyProtection="0"/>
    <xf numFmtId="0" fontId="144" fillId="13" borderId="0" applyNumberFormat="0" applyBorder="0" applyAlignment="0" applyProtection="0"/>
    <xf numFmtId="0" fontId="145" fillId="0" borderId="0" applyNumberFormat="0" applyFill="0" applyBorder="0" applyAlignment="0" applyProtection="0"/>
    <xf numFmtId="0" fontId="142" fillId="0" borderId="0"/>
    <xf numFmtId="0" fontId="146" fillId="0" borderId="0"/>
    <xf numFmtId="0" fontId="142" fillId="0" borderId="0"/>
    <xf numFmtId="0" fontId="147" fillId="0" borderId="0"/>
    <xf numFmtId="192" fontId="148" fillId="0" borderId="0" applyFill="0" applyBorder="0" applyAlignment="0"/>
    <xf numFmtId="0" fontId="149" fillId="30" borderId="41" applyNumberFormat="0" applyAlignment="0" applyProtection="0"/>
    <xf numFmtId="0" fontId="149" fillId="30" borderId="41" applyNumberFormat="0" applyAlignment="0" applyProtection="0"/>
    <xf numFmtId="0" fontId="150" fillId="30" borderId="41" applyNumberFormat="0" applyAlignment="0" applyProtection="0"/>
    <xf numFmtId="0" fontId="151" fillId="31" borderId="42" applyNumberFormat="0" applyAlignment="0" applyProtection="0"/>
    <xf numFmtId="0" fontId="152" fillId="31" borderId="42" applyNumberFormat="0" applyAlignment="0" applyProtection="0"/>
    <xf numFmtId="193" fontId="153" fillId="0" borderId="0"/>
    <xf numFmtId="193" fontId="153" fillId="0" borderId="0"/>
    <xf numFmtId="193" fontId="153" fillId="0" borderId="0"/>
    <xf numFmtId="193" fontId="153" fillId="0" borderId="0"/>
    <xf numFmtId="193" fontId="153" fillId="0" borderId="0"/>
    <xf numFmtId="193" fontId="153" fillId="0" borderId="0"/>
    <xf numFmtId="193" fontId="153" fillId="0" borderId="0"/>
    <xf numFmtId="193" fontId="153" fillId="0" borderId="0"/>
    <xf numFmtId="194" fontId="154" fillId="0" borderId="0" applyFont="0" applyFill="0" applyBorder="0" applyAlignment="0" applyProtection="0"/>
    <xf numFmtId="195" fontId="138" fillId="0" borderId="0" applyFont="0" applyFill="0" applyBorder="0" applyAlignment="0" applyProtection="0"/>
    <xf numFmtId="195" fontId="154" fillId="0" borderId="0" applyFont="0" applyFill="0" applyBorder="0" applyAlignment="0" applyProtection="0"/>
    <xf numFmtId="195" fontId="154" fillId="0" borderId="0" applyFont="0" applyFill="0" applyBorder="0" applyAlignment="0" applyProtection="0"/>
    <xf numFmtId="195" fontId="154" fillId="0" borderId="0" applyFont="0" applyFill="0" applyBorder="0" applyAlignment="0" applyProtection="0"/>
    <xf numFmtId="195" fontId="154" fillId="0" borderId="0" applyFont="0" applyFill="0" applyBorder="0" applyAlignment="0" applyProtection="0"/>
    <xf numFmtId="195" fontId="154" fillId="0" borderId="0" applyFont="0" applyFill="0" applyBorder="0" applyAlignment="0" applyProtection="0"/>
    <xf numFmtId="188" fontId="15" fillId="0" borderId="0" applyFont="0" applyFill="0" applyBorder="0" applyAlignment="0" applyProtection="0"/>
    <xf numFmtId="43" fontId="20" fillId="0" borderId="0" applyFont="0" applyFill="0" applyBorder="0" applyAlignment="0" applyProtection="0"/>
    <xf numFmtId="188" fontId="20" fillId="0" borderId="0" applyFont="0" applyFill="0" applyBorder="0" applyAlignment="0" applyProtection="0"/>
    <xf numFmtId="41" fontId="135" fillId="0" borderId="0" applyFont="0" applyFill="0" applyBorder="0" applyAlignment="0" applyProtection="0"/>
    <xf numFmtId="43" fontId="136" fillId="0" borderId="0" applyFont="0" applyFill="0" applyBorder="0" applyAlignment="0" applyProtection="0"/>
    <xf numFmtId="43" fontId="136" fillId="0" borderId="0" applyFont="0" applyFill="0" applyBorder="0" applyAlignment="0" applyProtection="0"/>
    <xf numFmtId="43" fontId="136" fillId="0" borderId="0" applyFont="0" applyFill="0" applyBorder="0" applyAlignment="0" applyProtection="0"/>
    <xf numFmtId="188" fontId="20" fillId="0" borderId="0" applyFont="0" applyFill="0" applyBorder="0" applyAlignment="0" applyProtection="0"/>
    <xf numFmtId="0" fontId="138" fillId="0" borderId="0" applyFont="0" applyFill="0" applyBorder="0" applyAlignment="0" applyProtection="0"/>
    <xf numFmtId="188" fontId="20" fillId="0" borderId="0" applyFont="0" applyFill="0" applyBorder="0" applyAlignment="0" applyProtection="0"/>
    <xf numFmtId="188" fontId="20" fillId="0" borderId="0" applyFont="0" applyFill="0" applyBorder="0" applyAlignment="0" applyProtection="0"/>
    <xf numFmtId="188" fontId="20" fillId="0" borderId="0" applyFont="0" applyFill="0" applyBorder="0" applyAlignment="0" applyProtection="0"/>
    <xf numFmtId="188" fontId="138" fillId="0" borderId="0" applyFont="0" applyFill="0" applyBorder="0" applyAlignment="0" applyProtection="0"/>
    <xf numFmtId="43" fontId="136" fillId="0" borderId="0" applyFont="0" applyFill="0" applyBorder="0" applyAlignment="0" applyProtection="0"/>
    <xf numFmtId="43" fontId="136" fillId="0" borderId="0" applyFont="0" applyFill="0" applyBorder="0" applyAlignment="0" applyProtection="0"/>
    <xf numFmtId="196" fontId="137" fillId="0" borderId="0" applyFont="0" applyFill="0" applyBorder="0" applyAlignment="0" applyProtection="0"/>
    <xf numFmtId="43" fontId="136" fillId="0" borderId="0" applyFont="0" applyFill="0" applyBorder="0" applyAlignment="0" applyProtection="0"/>
    <xf numFmtId="43" fontId="136" fillId="0" borderId="0" applyFont="0" applyFill="0" applyBorder="0" applyAlignment="0" applyProtection="0"/>
    <xf numFmtId="43" fontId="136" fillId="0" borderId="0" applyFont="0" applyFill="0" applyBorder="0" applyAlignment="0" applyProtection="0"/>
    <xf numFmtId="197" fontId="155" fillId="0" borderId="0" applyFont="0" applyFill="0" applyBorder="0" applyAlignment="0" applyProtection="0"/>
    <xf numFmtId="187" fontId="138" fillId="0" borderId="0" applyFont="0" applyFill="0" applyBorder="0" applyAlignment="0" applyProtection="0"/>
    <xf numFmtId="188" fontId="138" fillId="0" borderId="0" applyFont="0" applyFill="0" applyBorder="0" applyAlignment="0" applyProtection="0"/>
    <xf numFmtId="198" fontId="156" fillId="0" borderId="0" applyFont="0" applyFill="0" applyBorder="0" applyAlignment="0" applyProtection="0"/>
    <xf numFmtId="199" fontId="156" fillId="0" borderId="0" applyFont="0" applyFill="0" applyBorder="0" applyAlignment="0" applyProtection="0"/>
    <xf numFmtId="199" fontId="156" fillId="0" borderId="0" applyFont="0" applyFill="0" applyBorder="0" applyAlignment="0" applyProtection="0"/>
    <xf numFmtId="43" fontId="136" fillId="0" borderId="0" applyFont="0" applyFill="0" applyBorder="0" applyAlignment="0" applyProtection="0"/>
    <xf numFmtId="188" fontId="20" fillId="0" borderId="0" applyFont="0" applyFill="0" applyBorder="0" applyAlignment="0" applyProtection="0"/>
    <xf numFmtId="0" fontId="138" fillId="0" borderId="0" applyFont="0" applyFill="0" applyBorder="0" applyAlignment="0" applyProtection="0"/>
    <xf numFmtId="188" fontId="136" fillId="0" borderId="0" applyFont="0" applyFill="0" applyBorder="0" applyAlignment="0" applyProtection="0"/>
    <xf numFmtId="189" fontId="136" fillId="0" borderId="0" applyFont="0" applyFill="0" applyBorder="0" applyAlignment="0" applyProtection="0"/>
    <xf numFmtId="43" fontId="136" fillId="0" borderId="0" applyFont="0" applyFill="0" applyBorder="0" applyAlignment="0" applyProtection="0"/>
    <xf numFmtId="43" fontId="15" fillId="0" borderId="0" applyFont="0" applyFill="0" applyBorder="0" applyAlignment="0" applyProtection="0"/>
    <xf numFmtId="0" fontId="138" fillId="0" borderId="0" applyFont="0" applyFill="0" applyBorder="0" applyAlignment="0" applyProtection="0"/>
    <xf numFmtId="188" fontId="138" fillId="0" borderId="0" applyFont="0" applyFill="0" applyBorder="0" applyAlignment="0" applyProtection="0"/>
    <xf numFmtId="188" fontId="15" fillId="0" borderId="0" applyFont="0" applyFill="0" applyBorder="0" applyAlignment="0" applyProtection="0"/>
    <xf numFmtId="188" fontId="137" fillId="0" borderId="0" applyFont="0" applyFill="0" applyBorder="0" applyAlignment="0" applyProtection="0"/>
    <xf numFmtId="188" fontId="137" fillId="0" borderId="0" applyFont="0" applyFill="0" applyBorder="0" applyAlignment="0" applyProtection="0"/>
    <xf numFmtId="188" fontId="138" fillId="0" borderId="0" applyFont="0" applyFill="0" applyBorder="0" applyAlignment="0" applyProtection="0"/>
    <xf numFmtId="188" fontId="136" fillId="0" borderId="0" applyFont="0" applyFill="0" applyBorder="0" applyAlignment="0" applyProtection="0"/>
    <xf numFmtId="195" fontId="138" fillId="0" borderId="0" applyFont="0" applyFill="0" applyBorder="0" applyAlignment="0" applyProtection="0"/>
    <xf numFmtId="195" fontId="154" fillId="0" borderId="0" applyFont="0" applyFill="0" applyBorder="0" applyAlignment="0" applyProtection="0"/>
    <xf numFmtId="200" fontId="157" fillId="0" borderId="0" applyFont="0" applyFill="0" applyBorder="0" applyAlignment="0" applyProtection="0"/>
    <xf numFmtId="188" fontId="136" fillId="0" borderId="0" applyFont="0" applyFill="0" applyBorder="0" applyAlignment="0" applyProtection="0"/>
    <xf numFmtId="43" fontId="20" fillId="0" borderId="0" applyFont="0" applyFill="0" applyBorder="0" applyAlignment="0" applyProtection="0"/>
    <xf numFmtId="3" fontId="138" fillId="0" borderId="0" applyFont="0" applyFill="0" applyBorder="0" applyAlignment="0" applyProtection="0"/>
    <xf numFmtId="0" fontId="158" fillId="0" borderId="0" applyNumberFormat="0" applyAlignment="0">
      <alignment horizontal="left"/>
    </xf>
    <xf numFmtId="189" fontId="138" fillId="0" borderId="0" applyFont="0" applyFill="0" applyBorder="0" applyAlignment="0" applyProtection="0"/>
    <xf numFmtId="44" fontId="136" fillId="0" borderId="0" applyFont="0" applyFill="0" applyBorder="0" applyAlignment="0" applyProtection="0"/>
    <xf numFmtId="201" fontId="138" fillId="0" borderId="0" applyFont="0" applyFill="0" applyBorder="0" applyAlignment="0" applyProtection="0"/>
    <xf numFmtId="189" fontId="159" fillId="0" borderId="0" applyFont="0" applyFill="0" applyBorder="0" applyAlignment="0" applyProtection="0"/>
    <xf numFmtId="201" fontId="138" fillId="0" borderId="0" applyFont="0" applyFill="0" applyBorder="0" applyAlignment="0" applyProtection="0"/>
    <xf numFmtId="189" fontId="137" fillId="0" borderId="0" applyFont="0" applyFill="0" applyBorder="0" applyAlignment="0" applyProtection="0"/>
    <xf numFmtId="201" fontId="138" fillId="0" borderId="0" applyFont="0" applyFill="0" applyBorder="0" applyAlignment="0" applyProtection="0"/>
    <xf numFmtId="189" fontId="7" fillId="0" borderId="0" applyFont="0" applyFill="0" applyBorder="0" applyAlignment="0" applyProtection="0"/>
    <xf numFmtId="189" fontId="137" fillId="0" borderId="0" applyFont="0" applyFill="0" applyBorder="0" applyAlignment="0" applyProtection="0"/>
    <xf numFmtId="189" fontId="137" fillId="0" borderId="0" applyFont="0" applyFill="0" applyBorder="0" applyAlignment="0" applyProtection="0"/>
    <xf numFmtId="189" fontId="137" fillId="0" borderId="0" applyFont="0" applyFill="0" applyBorder="0" applyAlignment="0" applyProtection="0"/>
    <xf numFmtId="189" fontId="137" fillId="0" borderId="0" applyFont="0" applyFill="0" applyBorder="0" applyAlignment="0" applyProtection="0"/>
    <xf numFmtId="189" fontId="160" fillId="0" borderId="0" applyFont="0" applyFill="0" applyBorder="0" applyAlignment="0" applyProtection="0"/>
    <xf numFmtId="202" fontId="138" fillId="0" borderId="0" applyFont="0" applyFill="0" applyBorder="0" applyAlignment="0" applyProtection="0"/>
    <xf numFmtId="0" fontId="138" fillId="0" borderId="0" applyFont="0" applyFill="0" applyBorder="0" applyAlignment="0" applyProtection="0"/>
    <xf numFmtId="203" fontId="148" fillId="0" borderId="0" applyFont="0" applyFill="0" applyBorder="0" applyAlignment="0" applyProtection="0"/>
    <xf numFmtId="204" fontId="148" fillId="0" borderId="0" applyFont="0" applyFill="0" applyBorder="0" applyAlignment="0" applyProtection="0"/>
    <xf numFmtId="0" fontId="161" fillId="0" borderId="0" applyNumberFormat="0" applyAlignment="0">
      <alignment horizontal="left"/>
    </xf>
    <xf numFmtId="0" fontId="162" fillId="0" borderId="0" applyNumberFormat="0" applyFill="0" applyBorder="0" applyAlignment="0" applyProtection="0"/>
    <xf numFmtId="0" fontId="163" fillId="0" borderId="0" applyNumberFormat="0" applyFill="0" applyBorder="0" applyAlignment="0" applyProtection="0"/>
    <xf numFmtId="2" fontId="138" fillId="0" borderId="0" applyFont="0" applyFill="0" applyBorder="0" applyAlignment="0" applyProtection="0"/>
    <xf numFmtId="0" fontId="164" fillId="14" borderId="0" applyNumberFormat="0" applyBorder="0" applyAlignment="0" applyProtection="0"/>
    <xf numFmtId="0" fontId="165" fillId="14" borderId="0" applyNumberFormat="0" applyBorder="0" applyAlignment="0" applyProtection="0"/>
    <xf numFmtId="38" fontId="166" fillId="30" borderId="0" applyNumberFormat="0" applyBorder="0" applyAlignment="0" applyProtection="0"/>
    <xf numFmtId="0" fontId="167" fillId="32" borderId="0"/>
    <xf numFmtId="0" fontId="168" fillId="0" borderId="43" applyNumberFormat="0" applyAlignment="0" applyProtection="0">
      <alignment horizontal="left" vertical="center"/>
    </xf>
    <xf numFmtId="0" fontId="168" fillId="0" borderId="29">
      <alignment horizontal="left" vertical="center"/>
    </xf>
    <xf numFmtId="0" fontId="169" fillId="0" borderId="44" applyNumberFormat="0" applyFill="0" applyAlignment="0" applyProtection="0"/>
    <xf numFmtId="0" fontId="170" fillId="0" borderId="44" applyNumberFormat="0" applyFill="0" applyAlignment="0" applyProtection="0"/>
    <xf numFmtId="0" fontId="171" fillId="0" borderId="45" applyNumberFormat="0" applyFill="0" applyAlignment="0" applyProtection="0"/>
    <xf numFmtId="0" fontId="172" fillId="0" borderId="45" applyNumberFormat="0" applyFill="0" applyAlignment="0" applyProtection="0"/>
    <xf numFmtId="0" fontId="173" fillId="0" borderId="46" applyNumberFormat="0" applyFill="0" applyAlignment="0" applyProtection="0"/>
    <xf numFmtId="0" fontId="174" fillId="0" borderId="46" applyNumberFormat="0" applyFill="0" applyAlignment="0" applyProtection="0"/>
    <xf numFmtId="0" fontId="173" fillId="0" borderId="0" applyNumberFormat="0" applyFill="0" applyBorder="0" applyAlignment="0" applyProtection="0"/>
    <xf numFmtId="0" fontId="174" fillId="0" borderId="0" applyNumberFormat="0" applyFill="0" applyBorder="0" applyAlignment="0" applyProtection="0"/>
    <xf numFmtId="0" fontId="175" fillId="0" borderId="47">
      <alignment horizontal="center"/>
    </xf>
    <xf numFmtId="0" fontId="175" fillId="0" borderId="0">
      <alignment horizontal="center"/>
    </xf>
    <xf numFmtId="0" fontId="176" fillId="0" borderId="0" applyNumberFormat="0" applyFill="0" applyBorder="0" applyAlignment="0" applyProtection="0">
      <alignment vertical="top"/>
      <protection locked="0"/>
    </xf>
    <xf numFmtId="0" fontId="176" fillId="0" borderId="0" applyNumberFormat="0" applyFill="0" applyBorder="0" applyAlignment="0" applyProtection="0">
      <alignment vertical="top"/>
      <protection locked="0"/>
    </xf>
    <xf numFmtId="0" fontId="177" fillId="0" borderId="0" applyNumberFormat="0" applyFill="0" applyBorder="0" applyAlignment="0" applyProtection="0">
      <alignment vertical="top"/>
      <protection locked="0"/>
    </xf>
    <xf numFmtId="0" fontId="178" fillId="0" borderId="0" applyNumberFormat="0" applyFill="0" applyBorder="0" applyAlignment="0" applyProtection="0">
      <alignment vertical="top"/>
      <protection locked="0"/>
    </xf>
    <xf numFmtId="0" fontId="176" fillId="0" borderId="0" applyNumberFormat="0" applyFill="0" applyBorder="0" applyAlignment="0" applyProtection="0">
      <alignment vertical="top"/>
      <protection locked="0"/>
    </xf>
    <xf numFmtId="10" fontId="166" fillId="33" borderId="4" applyNumberFormat="0" applyBorder="0" applyAlignment="0" applyProtection="0"/>
    <xf numFmtId="0" fontId="179" fillId="17" borderId="41" applyNumberFormat="0" applyAlignment="0" applyProtection="0"/>
    <xf numFmtId="0" fontId="179" fillId="17" borderId="41" applyNumberFormat="0" applyAlignment="0" applyProtection="0"/>
    <xf numFmtId="0" fontId="180" fillId="17" borderId="41" applyNumberFormat="0" applyAlignment="0" applyProtection="0"/>
    <xf numFmtId="0" fontId="181" fillId="0" borderId="48" applyNumberFormat="0" applyFill="0" applyAlignment="0" applyProtection="0"/>
    <xf numFmtId="0" fontId="182" fillId="0" borderId="48" applyNumberFormat="0" applyFill="0" applyAlignment="0" applyProtection="0"/>
    <xf numFmtId="205" fontId="138" fillId="0" borderId="0" applyFont="0" applyFill="0" applyBorder="0" applyAlignment="0" applyProtection="0"/>
    <xf numFmtId="197" fontId="138" fillId="0" borderId="0" applyFont="0" applyFill="0" applyBorder="0" applyAlignment="0" applyProtection="0"/>
    <xf numFmtId="206" fontId="138" fillId="0" borderId="0" applyFont="0" applyFill="0" applyBorder="0" applyAlignment="0" applyProtection="0"/>
    <xf numFmtId="207" fontId="138" fillId="0" borderId="0" applyFont="0" applyFill="0" applyBorder="0" applyAlignment="0" applyProtection="0"/>
    <xf numFmtId="0" fontId="183" fillId="34" borderId="0" applyNumberFormat="0" applyBorder="0" applyAlignment="0" applyProtection="0"/>
    <xf numFmtId="0" fontId="184" fillId="34" borderId="0" applyNumberFormat="0" applyBorder="0" applyAlignment="0" applyProtection="0"/>
    <xf numFmtId="208" fontId="185" fillId="0" borderId="0"/>
    <xf numFmtId="0" fontId="154" fillId="0" borderId="0"/>
    <xf numFmtId="0" fontId="137" fillId="0" borderId="0"/>
    <xf numFmtId="0" fontId="138" fillId="0" borderId="0">
      <alignment vertical="top"/>
    </xf>
    <xf numFmtId="0" fontId="137" fillId="0" borderId="0"/>
    <xf numFmtId="0" fontId="137" fillId="0" borderId="0"/>
    <xf numFmtId="0" fontId="138" fillId="0" borderId="0"/>
    <xf numFmtId="0" fontId="137" fillId="0" borderId="0"/>
    <xf numFmtId="0" fontId="137" fillId="0" borderId="0"/>
    <xf numFmtId="0" fontId="137" fillId="0" borderId="0"/>
    <xf numFmtId="0" fontId="138" fillId="0" borderId="0"/>
    <xf numFmtId="0" fontId="137" fillId="0" borderId="0"/>
    <xf numFmtId="0" fontId="138" fillId="0" borderId="0"/>
    <xf numFmtId="0" fontId="137" fillId="0" borderId="0"/>
    <xf numFmtId="0" fontId="138" fillId="0" borderId="0">
      <alignment vertical="top"/>
    </xf>
    <xf numFmtId="0" fontId="138" fillId="0" borderId="0">
      <alignment vertical="top"/>
    </xf>
    <xf numFmtId="0" fontId="137" fillId="0" borderId="0"/>
    <xf numFmtId="0" fontId="138" fillId="0" borderId="0"/>
    <xf numFmtId="0" fontId="186" fillId="0" borderId="0"/>
    <xf numFmtId="0" fontId="136" fillId="0" borderId="0"/>
    <xf numFmtId="0" fontId="136" fillId="0" borderId="0"/>
    <xf numFmtId="0" fontId="15"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7"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7"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7"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87" fillId="0" borderId="0"/>
    <xf numFmtId="0" fontId="138" fillId="0" borderId="0">
      <alignment vertical="top"/>
    </xf>
    <xf numFmtId="0" fontId="155" fillId="0" borderId="0"/>
    <xf numFmtId="0" fontId="135" fillId="0" borderId="0"/>
    <xf numFmtId="0" fontId="138" fillId="0" borderId="0"/>
    <xf numFmtId="0" fontId="137" fillId="0" borderId="0"/>
    <xf numFmtId="0" fontId="135" fillId="0" borderId="0"/>
    <xf numFmtId="0" fontId="187" fillId="0" borderId="0"/>
    <xf numFmtId="0" fontId="135" fillId="0" borderId="0"/>
    <xf numFmtId="0" fontId="187" fillId="0" borderId="0"/>
    <xf numFmtId="0" fontId="135" fillId="0" borderId="0"/>
    <xf numFmtId="0" fontId="187" fillId="0" borderId="0"/>
    <xf numFmtId="0" fontId="135" fillId="0" borderId="0"/>
    <xf numFmtId="0" fontId="187" fillId="0" borderId="0"/>
    <xf numFmtId="0" fontId="135" fillId="0" borderId="0"/>
    <xf numFmtId="0" fontId="187" fillId="0" borderId="0"/>
    <xf numFmtId="0" fontId="187" fillId="0" borderId="0"/>
    <xf numFmtId="0" fontId="187" fillId="0" borderId="0"/>
    <xf numFmtId="0" fontId="135" fillId="0" borderId="0"/>
    <xf numFmtId="0" fontId="187" fillId="0" borderId="0"/>
    <xf numFmtId="0" fontId="135" fillId="0" borderId="0"/>
    <xf numFmtId="0" fontId="135" fillId="0" borderId="0"/>
    <xf numFmtId="0" fontId="187" fillId="0" borderId="0"/>
    <xf numFmtId="0" fontId="187" fillId="0" borderId="0"/>
    <xf numFmtId="0" fontId="135" fillId="0" borderId="0"/>
    <xf numFmtId="0" fontId="187" fillId="0" borderId="0"/>
    <xf numFmtId="0" fontId="187" fillId="0" borderId="0"/>
    <xf numFmtId="0" fontId="187" fillId="0" borderId="0"/>
    <xf numFmtId="0" fontId="135" fillId="0" borderId="0"/>
    <xf numFmtId="0" fontId="187" fillId="0" borderId="0"/>
    <xf numFmtId="0" fontId="135" fillId="0" borderId="0"/>
    <xf numFmtId="0" fontId="187" fillId="0" borderId="0"/>
    <xf numFmtId="0" fontId="135" fillId="0" borderId="0"/>
    <xf numFmtId="0" fontId="135" fillId="0" borderId="0"/>
    <xf numFmtId="0" fontId="135" fillId="0" borderId="0"/>
    <xf numFmtId="0" fontId="187" fillId="0" borderId="0"/>
    <xf numFmtId="0" fontId="135" fillId="0" borderId="0"/>
    <xf numFmtId="0" fontId="187" fillId="0" borderId="0"/>
    <xf numFmtId="0" fontId="187" fillId="0" borderId="0"/>
    <xf numFmtId="0" fontId="135" fillId="0" borderId="0"/>
    <xf numFmtId="0" fontId="187" fillId="0" borderId="0"/>
    <xf numFmtId="0" fontId="135" fillId="0" borderId="0"/>
    <xf numFmtId="0" fontId="135" fillId="0" borderId="0"/>
    <xf numFmtId="0" fontId="135" fillId="0" borderId="0"/>
    <xf numFmtId="0" fontId="187" fillId="0" borderId="0"/>
    <xf numFmtId="0" fontId="135" fillId="0" borderId="0"/>
    <xf numFmtId="0" fontId="187" fillId="0" borderId="0"/>
    <xf numFmtId="0" fontId="135" fillId="0" borderId="0"/>
    <xf numFmtId="0" fontId="187" fillId="0" borderId="0"/>
    <xf numFmtId="0" fontId="187" fillId="0" borderId="0"/>
    <xf numFmtId="0" fontId="187" fillId="0" borderId="0"/>
    <xf numFmtId="0" fontId="135" fillId="0" borderId="0"/>
    <xf numFmtId="0" fontId="187" fillId="0" borderId="0"/>
    <xf numFmtId="0" fontId="135" fillId="0" borderId="0"/>
    <xf numFmtId="0" fontId="135" fillId="0" borderId="0"/>
    <xf numFmtId="0" fontId="187" fillId="0" borderId="0"/>
    <xf numFmtId="0" fontId="187" fillId="0" borderId="0"/>
    <xf numFmtId="0" fontId="135" fillId="0" borderId="0"/>
    <xf numFmtId="0" fontId="187" fillId="0" borderId="0"/>
    <xf numFmtId="0" fontId="187" fillId="0" borderId="0"/>
    <xf numFmtId="0" fontId="187" fillId="0" borderId="0"/>
    <xf numFmtId="0" fontId="135" fillId="0" borderId="0"/>
    <xf numFmtId="0" fontId="187" fillId="0" borderId="0"/>
    <xf numFmtId="0" fontId="135" fillId="0" borderId="0"/>
    <xf numFmtId="0" fontId="187" fillId="0" borderId="0"/>
    <xf numFmtId="0" fontId="135" fillId="0" borderId="0"/>
    <xf numFmtId="0" fontId="187" fillId="0" borderId="0"/>
    <xf numFmtId="0" fontId="187" fillId="0" borderId="0"/>
    <xf numFmtId="0" fontId="187" fillId="0" borderId="0"/>
    <xf numFmtId="0" fontId="135" fillId="0" borderId="0"/>
    <xf numFmtId="0" fontId="187" fillId="0" borderId="0"/>
    <xf numFmtId="0" fontId="135" fillId="0" borderId="0"/>
    <xf numFmtId="0" fontId="135" fillId="0" borderId="0"/>
    <xf numFmtId="0" fontId="187" fillId="0" borderId="0"/>
    <xf numFmtId="0" fontId="187" fillId="0" borderId="0"/>
    <xf numFmtId="0" fontId="135" fillId="0" borderId="0"/>
    <xf numFmtId="0" fontId="187" fillId="0" borderId="0"/>
    <xf numFmtId="0" fontId="187" fillId="0" borderId="0"/>
    <xf numFmtId="0" fontId="187" fillId="0" borderId="0"/>
    <xf numFmtId="0" fontId="135" fillId="0" borderId="0"/>
    <xf numFmtId="0" fontId="187" fillId="0" borderId="0"/>
    <xf numFmtId="0" fontId="135" fillId="0" borderId="0"/>
    <xf numFmtId="0" fontId="187" fillId="0" borderId="0"/>
    <xf numFmtId="0" fontId="135" fillId="0" borderId="0"/>
    <xf numFmtId="0" fontId="135" fillId="0" borderId="0"/>
    <xf numFmtId="0" fontId="135" fillId="0" borderId="0"/>
    <xf numFmtId="0" fontId="187" fillId="0" borderId="0"/>
    <xf numFmtId="0" fontId="135" fillId="0" borderId="0"/>
    <xf numFmtId="0" fontId="187" fillId="0" borderId="0"/>
    <xf numFmtId="0" fontId="187" fillId="0" borderId="0"/>
    <xf numFmtId="0" fontId="135" fillId="0" borderId="0"/>
    <xf numFmtId="0" fontId="187" fillId="0" borderId="0"/>
    <xf numFmtId="0" fontId="135" fillId="0" borderId="0"/>
    <xf numFmtId="0" fontId="135" fillId="0" borderId="0"/>
    <xf numFmtId="0" fontId="135" fillId="0" borderId="0"/>
    <xf numFmtId="0" fontId="187" fillId="0" borderId="0"/>
    <xf numFmtId="0" fontId="135" fillId="0" borderId="0"/>
    <xf numFmtId="0" fontId="187" fillId="0" borderId="0"/>
    <xf numFmtId="0" fontId="135" fillId="0" borderId="0"/>
    <xf numFmtId="0" fontId="187" fillId="0" borderId="0"/>
    <xf numFmtId="0" fontId="135" fillId="0" borderId="0"/>
    <xf numFmtId="0" fontId="187" fillId="0" borderId="0"/>
    <xf numFmtId="0" fontId="187" fillId="0" borderId="0"/>
    <xf numFmtId="0" fontId="187" fillId="0" borderId="0"/>
    <xf numFmtId="0" fontId="135" fillId="0" borderId="0"/>
    <xf numFmtId="0" fontId="187" fillId="0" borderId="0"/>
    <xf numFmtId="0" fontId="135" fillId="0" borderId="0"/>
    <xf numFmtId="0" fontId="135" fillId="0" borderId="0"/>
    <xf numFmtId="0" fontId="187" fillId="0" borderId="0"/>
    <xf numFmtId="0" fontId="187" fillId="0" borderId="0"/>
    <xf numFmtId="0" fontId="135" fillId="0" borderId="0"/>
    <xf numFmtId="0" fontId="187" fillId="0" borderId="0"/>
    <xf numFmtId="0" fontId="187" fillId="0" borderId="0"/>
    <xf numFmtId="0" fontId="187" fillId="0" borderId="0"/>
    <xf numFmtId="0" fontId="135" fillId="0" borderId="0"/>
    <xf numFmtId="0" fontId="187" fillId="0" borderId="0"/>
    <xf numFmtId="0" fontId="135" fillId="0" borderId="0"/>
    <xf numFmtId="0" fontId="187" fillId="0" borderId="0"/>
    <xf numFmtId="0" fontId="135" fillId="0" borderId="0"/>
    <xf numFmtId="0" fontId="135" fillId="0" borderId="0"/>
    <xf numFmtId="0" fontId="135" fillId="0" borderId="0"/>
    <xf numFmtId="0" fontId="187" fillId="0" borderId="0"/>
    <xf numFmtId="0" fontId="135" fillId="0" borderId="0"/>
    <xf numFmtId="0" fontId="187" fillId="0" borderId="0"/>
    <xf numFmtId="0" fontId="187" fillId="0" borderId="0"/>
    <xf numFmtId="0" fontId="135" fillId="0" borderId="0"/>
    <xf numFmtId="0" fontId="187" fillId="0" borderId="0"/>
    <xf numFmtId="0" fontId="135" fillId="0" borderId="0"/>
    <xf numFmtId="0" fontId="135" fillId="0" borderId="0"/>
    <xf numFmtId="0" fontId="135" fillId="0" borderId="0"/>
    <xf numFmtId="0" fontId="187" fillId="0" borderId="0"/>
    <xf numFmtId="0" fontId="135" fillId="0" borderId="0"/>
    <xf numFmtId="0" fontId="187" fillId="0" borderId="0"/>
    <xf numFmtId="0" fontId="135" fillId="0" borderId="0"/>
    <xf numFmtId="0" fontId="187" fillId="0" borderId="0"/>
    <xf numFmtId="0" fontId="187" fillId="0" borderId="0"/>
    <xf numFmtId="0" fontId="187" fillId="0" borderId="0"/>
    <xf numFmtId="0" fontId="135" fillId="0" borderId="0"/>
    <xf numFmtId="0" fontId="187" fillId="0" borderId="0"/>
    <xf numFmtId="0" fontId="135" fillId="0" borderId="0"/>
    <xf numFmtId="0" fontId="135" fillId="0" borderId="0"/>
    <xf numFmtId="0" fontId="187" fillId="0" borderId="0"/>
    <xf numFmtId="0" fontId="137" fillId="0" borderId="0"/>
    <xf numFmtId="0" fontId="187" fillId="0" borderId="0"/>
    <xf numFmtId="0" fontId="135" fillId="0" borderId="0"/>
    <xf numFmtId="0" fontId="187" fillId="0" borderId="0"/>
    <xf numFmtId="0" fontId="187" fillId="0" borderId="0"/>
    <xf numFmtId="0" fontId="187" fillId="0" borderId="0"/>
    <xf numFmtId="0" fontId="138" fillId="0" borderId="0"/>
    <xf numFmtId="0" fontId="20" fillId="0" borderId="0"/>
    <xf numFmtId="0" fontId="138" fillId="0" borderId="0"/>
    <xf numFmtId="0" fontId="135" fillId="0" borderId="0"/>
    <xf numFmtId="0" fontId="187" fillId="0" borderId="0"/>
    <xf numFmtId="0" fontId="135" fillId="0" borderId="0"/>
    <xf numFmtId="0" fontId="187" fillId="0" borderId="0"/>
    <xf numFmtId="0" fontId="135" fillId="0" borderId="0"/>
    <xf numFmtId="0" fontId="187" fillId="0" borderId="0"/>
    <xf numFmtId="0" fontId="135" fillId="0" borderId="0"/>
    <xf numFmtId="0" fontId="187" fillId="0" borderId="0"/>
    <xf numFmtId="0" fontId="187" fillId="0" borderId="0"/>
    <xf numFmtId="0" fontId="187" fillId="0" borderId="0"/>
    <xf numFmtId="0" fontId="135" fillId="0" borderId="0"/>
    <xf numFmtId="0" fontId="187" fillId="0" borderId="0"/>
    <xf numFmtId="0" fontId="135" fillId="0" borderId="0"/>
    <xf numFmtId="0" fontId="135" fillId="0" borderId="0"/>
    <xf numFmtId="0" fontId="187" fillId="0" borderId="0"/>
    <xf numFmtId="0" fontId="187" fillId="0" borderId="0"/>
    <xf numFmtId="0" fontId="135" fillId="0" borderId="0"/>
    <xf numFmtId="0" fontId="187" fillId="0" borderId="0"/>
    <xf numFmtId="0" fontId="187" fillId="0" borderId="0"/>
    <xf numFmtId="0" fontId="187" fillId="0" borderId="0"/>
    <xf numFmtId="0" fontId="135" fillId="0" borderId="0"/>
    <xf numFmtId="0" fontId="187" fillId="0" borderId="0"/>
    <xf numFmtId="0" fontId="135" fillId="0" borderId="0"/>
    <xf numFmtId="0" fontId="187" fillId="0" borderId="0"/>
    <xf numFmtId="0" fontId="135" fillId="0" borderId="0"/>
    <xf numFmtId="0" fontId="135" fillId="0" borderId="0"/>
    <xf numFmtId="0" fontId="135" fillId="0" borderId="0"/>
    <xf numFmtId="0" fontId="187" fillId="0" borderId="0"/>
    <xf numFmtId="0" fontId="135" fillId="0" borderId="0"/>
    <xf numFmtId="0" fontId="187" fillId="0" borderId="0"/>
    <xf numFmtId="0" fontId="187" fillId="0" borderId="0"/>
    <xf numFmtId="0" fontId="135" fillId="0" borderId="0"/>
    <xf numFmtId="0" fontId="187" fillId="0" borderId="0"/>
    <xf numFmtId="0" fontId="135" fillId="0" borderId="0"/>
    <xf numFmtId="0" fontId="135" fillId="0" borderId="0"/>
    <xf numFmtId="0" fontId="135" fillId="0" borderId="0"/>
    <xf numFmtId="0" fontId="187" fillId="0" borderId="0"/>
    <xf numFmtId="0" fontId="135" fillId="0" borderId="0"/>
    <xf numFmtId="0" fontId="187" fillId="0" borderId="0"/>
    <xf numFmtId="0" fontId="135" fillId="0" borderId="0"/>
    <xf numFmtId="0" fontId="187" fillId="0" borderId="0"/>
    <xf numFmtId="0" fontId="187" fillId="0" borderId="0"/>
    <xf numFmtId="0" fontId="187" fillId="0" borderId="0"/>
    <xf numFmtId="0" fontId="135" fillId="0" borderId="0"/>
    <xf numFmtId="0" fontId="187" fillId="0" borderId="0"/>
    <xf numFmtId="0" fontId="135" fillId="0" borderId="0"/>
    <xf numFmtId="0" fontId="135" fillId="0" borderId="0"/>
    <xf numFmtId="0" fontId="187" fillId="0" borderId="0"/>
    <xf numFmtId="0" fontId="187" fillId="0" borderId="0"/>
    <xf numFmtId="0" fontId="135" fillId="0" borderId="0"/>
    <xf numFmtId="0" fontId="187" fillId="0" borderId="0"/>
    <xf numFmtId="0" fontId="187" fillId="0" borderId="0"/>
    <xf numFmtId="0" fontId="187" fillId="0" borderId="0"/>
    <xf numFmtId="0" fontId="135" fillId="0" borderId="0"/>
    <xf numFmtId="0" fontId="187" fillId="0" borderId="0"/>
    <xf numFmtId="0" fontId="135" fillId="0" borderId="0"/>
    <xf numFmtId="0" fontId="187" fillId="0" borderId="0"/>
    <xf numFmtId="0" fontId="135" fillId="0" borderId="0"/>
    <xf numFmtId="0" fontId="187" fillId="0" borderId="0"/>
    <xf numFmtId="0" fontId="187" fillId="0" borderId="0"/>
    <xf numFmtId="0" fontId="187" fillId="0" borderId="0"/>
    <xf numFmtId="0" fontId="135" fillId="0" borderId="0"/>
    <xf numFmtId="0" fontId="187" fillId="0" borderId="0"/>
    <xf numFmtId="0" fontId="135" fillId="0" borderId="0"/>
    <xf numFmtId="0" fontId="135" fillId="0" borderId="0"/>
    <xf numFmtId="0" fontId="187" fillId="0" borderId="0"/>
    <xf numFmtId="0" fontId="187" fillId="0" borderId="0"/>
    <xf numFmtId="0" fontId="135" fillId="0" borderId="0"/>
    <xf numFmtId="0" fontId="187" fillId="0" borderId="0"/>
    <xf numFmtId="0" fontId="187" fillId="0" borderId="0"/>
    <xf numFmtId="0" fontId="187" fillId="0" borderId="0"/>
    <xf numFmtId="0" fontId="135" fillId="0" borderId="0"/>
    <xf numFmtId="0" fontId="187" fillId="0" borderId="0"/>
    <xf numFmtId="0" fontId="135" fillId="0" borderId="0"/>
    <xf numFmtId="0" fontId="187" fillId="0" borderId="0"/>
    <xf numFmtId="0" fontId="135" fillId="0" borderId="0"/>
    <xf numFmtId="0" fontId="135" fillId="0" borderId="0"/>
    <xf numFmtId="0" fontId="135" fillId="0" borderId="0"/>
    <xf numFmtId="0" fontId="187" fillId="0" borderId="0"/>
    <xf numFmtId="0" fontId="135" fillId="0" borderId="0"/>
    <xf numFmtId="0" fontId="187" fillId="0" borderId="0"/>
    <xf numFmtId="0" fontId="187" fillId="0" borderId="0"/>
    <xf numFmtId="0" fontId="135" fillId="0" borderId="0"/>
    <xf numFmtId="0" fontId="187" fillId="0" borderId="0"/>
    <xf numFmtId="0" fontId="135" fillId="0" borderId="0"/>
    <xf numFmtId="0" fontId="135" fillId="0" borderId="0"/>
    <xf numFmtId="0" fontId="135" fillId="0" borderId="0"/>
    <xf numFmtId="0" fontId="138" fillId="0" borderId="0">
      <alignment vertical="top"/>
    </xf>
    <xf numFmtId="0" fontId="137" fillId="0" borderId="0"/>
    <xf numFmtId="0" fontId="20" fillId="0" borderId="0"/>
    <xf numFmtId="0" fontId="138" fillId="0" borderId="0">
      <alignment vertical="top"/>
    </xf>
    <xf numFmtId="0" fontId="137" fillId="0" borderId="0"/>
    <xf numFmtId="0" fontId="135" fillId="0" borderId="0"/>
    <xf numFmtId="0" fontId="20" fillId="0" borderId="0"/>
    <xf numFmtId="0" fontId="20" fillId="0" borderId="0"/>
    <xf numFmtId="0" fontId="135" fillId="0" borderId="0"/>
    <xf numFmtId="0" fontId="135" fillId="0" borderId="0"/>
    <xf numFmtId="0" fontId="138" fillId="0" borderId="0">
      <alignment vertical="top"/>
    </xf>
    <xf numFmtId="0" fontId="60" fillId="0" borderId="0"/>
    <xf numFmtId="0" fontId="159" fillId="0" borderId="0"/>
    <xf numFmtId="0" fontId="137" fillId="0" borderId="0"/>
    <xf numFmtId="0" fontId="60" fillId="0" borderId="0"/>
    <xf numFmtId="0" fontId="7" fillId="0" borderId="0"/>
    <xf numFmtId="0" fontId="20" fillId="0" borderId="0"/>
    <xf numFmtId="0" fontId="137" fillId="0" borderId="0"/>
    <xf numFmtId="0" fontId="138" fillId="0" borderId="0">
      <alignment vertical="top"/>
    </xf>
    <xf numFmtId="0" fontId="137" fillId="0" borderId="0"/>
    <xf numFmtId="0" fontId="20" fillId="0" borderId="0"/>
    <xf numFmtId="0" fontId="138" fillId="0" borderId="0"/>
    <xf numFmtId="0" fontId="137" fillId="0" borderId="0"/>
    <xf numFmtId="0" fontId="137" fillId="0" borderId="0"/>
    <xf numFmtId="0" fontId="137" fillId="0" borderId="0"/>
    <xf numFmtId="0" fontId="138" fillId="0" borderId="0"/>
    <xf numFmtId="0" fontId="137" fillId="0" borderId="0"/>
    <xf numFmtId="0" fontId="137" fillId="0" borderId="0"/>
    <xf numFmtId="0" fontId="138" fillId="0" borderId="0"/>
    <xf numFmtId="0" fontId="188" fillId="0" borderId="0"/>
    <xf numFmtId="0" fontId="137" fillId="0" borderId="0"/>
    <xf numFmtId="0" fontId="138" fillId="0" borderId="0"/>
    <xf numFmtId="0" fontId="137" fillId="0" borderId="0"/>
    <xf numFmtId="0" fontId="20" fillId="0" borderId="0"/>
    <xf numFmtId="0" fontId="138" fillId="0" borderId="0">
      <alignment vertical="top"/>
    </xf>
    <xf numFmtId="0" fontId="138" fillId="0" borderId="0">
      <alignment vertical="top"/>
    </xf>
    <xf numFmtId="0" fontId="137" fillId="0" borderId="0"/>
    <xf numFmtId="0" fontId="137" fillId="0" borderId="0"/>
    <xf numFmtId="0" fontId="137" fillId="0" borderId="0"/>
    <xf numFmtId="0" fontId="135" fillId="0" borderId="0"/>
    <xf numFmtId="0" fontId="135" fillId="0" borderId="0"/>
    <xf numFmtId="0" fontId="137" fillId="0" borderId="0"/>
    <xf numFmtId="0" fontId="137" fillId="0" borderId="0"/>
    <xf numFmtId="0" fontId="139" fillId="0" borderId="0"/>
    <xf numFmtId="0" fontId="7" fillId="0" borderId="0"/>
    <xf numFmtId="0" fontId="138" fillId="0" borderId="0">
      <alignment vertical="top"/>
    </xf>
    <xf numFmtId="0" fontId="135" fillId="0" borderId="0"/>
    <xf numFmtId="0" fontId="137" fillId="0" borderId="0"/>
    <xf numFmtId="0" fontId="135" fillId="0" borderId="0"/>
    <xf numFmtId="0" fontId="135" fillId="0" borderId="0"/>
    <xf numFmtId="0" fontId="135" fillId="0" borderId="0"/>
    <xf numFmtId="0" fontId="135" fillId="0" borderId="0"/>
    <xf numFmtId="0" fontId="135" fillId="0" borderId="0"/>
    <xf numFmtId="0" fontId="136" fillId="0" borderId="0"/>
    <xf numFmtId="0" fontId="135" fillId="0" borderId="0"/>
    <xf numFmtId="0" fontId="20" fillId="0" borderId="0"/>
    <xf numFmtId="0" fontId="4" fillId="0" borderId="0"/>
    <xf numFmtId="0" fontId="135" fillId="0" borderId="0"/>
    <xf numFmtId="0" fontId="135" fillId="0" borderId="0"/>
    <xf numFmtId="0" fontId="135" fillId="0" borderId="0"/>
    <xf numFmtId="0" fontId="135" fillId="0" borderId="0"/>
    <xf numFmtId="0" fontId="137" fillId="0" borderId="0"/>
    <xf numFmtId="0" fontId="135" fillId="0" borderId="0"/>
    <xf numFmtId="0" fontId="135" fillId="0" borderId="0"/>
    <xf numFmtId="0" fontId="135" fillId="0" borderId="0"/>
    <xf numFmtId="0" fontId="20" fillId="0" borderId="0"/>
    <xf numFmtId="0" fontId="138" fillId="0" borderId="0">
      <alignment vertical="top"/>
    </xf>
    <xf numFmtId="0" fontId="135" fillId="0" borderId="0"/>
    <xf numFmtId="0" fontId="137" fillId="0" borderId="0"/>
    <xf numFmtId="0" fontId="137" fillId="0" borderId="0"/>
    <xf numFmtId="0" fontId="20" fillId="0" borderId="0"/>
    <xf numFmtId="0" fontId="159" fillId="0" borderId="0"/>
    <xf numFmtId="0" fontId="138" fillId="0" borderId="0"/>
    <xf numFmtId="0" fontId="189" fillId="0" borderId="0"/>
    <xf numFmtId="0" fontId="156" fillId="0" borderId="0"/>
    <xf numFmtId="0" fontId="156" fillId="0" borderId="0"/>
    <xf numFmtId="0" fontId="138" fillId="0" borderId="0"/>
    <xf numFmtId="0" fontId="136" fillId="33" borderId="49" applyNumberFormat="0" applyFont="0" applyAlignment="0" applyProtection="0"/>
    <xf numFmtId="0" fontId="136" fillId="33" borderId="49" applyNumberFormat="0" applyFont="0" applyAlignment="0" applyProtection="0"/>
    <xf numFmtId="0" fontId="189" fillId="33" borderId="49" applyNumberFormat="0" applyFont="0" applyAlignment="0" applyProtection="0"/>
    <xf numFmtId="0" fontId="154" fillId="33" borderId="49" applyNumberFormat="0" applyFont="0" applyAlignment="0" applyProtection="0"/>
    <xf numFmtId="0" fontId="190" fillId="30" borderId="50" applyNumberFormat="0" applyAlignment="0" applyProtection="0"/>
    <xf numFmtId="0" fontId="190" fillId="30" borderId="50" applyNumberFormat="0" applyAlignment="0" applyProtection="0"/>
    <xf numFmtId="0" fontId="191" fillId="30" borderId="50" applyNumberFormat="0" applyAlignment="0" applyProtection="0"/>
    <xf numFmtId="14" fontId="29" fillId="0" borderId="0">
      <alignment horizontal="center" wrapText="1"/>
      <protection locked="0"/>
    </xf>
    <xf numFmtId="10" fontId="138" fillId="0" borderId="0" applyFont="0" applyFill="0" applyBorder="0" applyAlignment="0" applyProtection="0"/>
    <xf numFmtId="9" fontId="155" fillId="0" borderId="0" applyFont="0" applyFill="0" applyBorder="0" applyAlignment="0" applyProtection="0"/>
    <xf numFmtId="9" fontId="137" fillId="0" borderId="0" applyFont="0" applyFill="0" applyBorder="0" applyAlignment="0" applyProtection="0"/>
    <xf numFmtId="9" fontId="135" fillId="0" borderId="0" applyFont="0" applyFill="0" applyBorder="0" applyAlignment="0" applyProtection="0"/>
    <xf numFmtId="9" fontId="135" fillId="0" borderId="0" applyFont="0" applyFill="0" applyBorder="0" applyAlignment="0" applyProtection="0"/>
    <xf numFmtId="9" fontId="138" fillId="0" borderId="0" applyFont="0" applyFill="0" applyBorder="0" applyAlignment="0" applyProtection="0"/>
    <xf numFmtId="9" fontId="136" fillId="0" borderId="0" applyFont="0" applyFill="0" applyBorder="0" applyAlignment="0" applyProtection="0"/>
    <xf numFmtId="9" fontId="138" fillId="0" borderId="0" applyFont="0" applyFill="0" applyBorder="0" applyAlignment="0" applyProtection="0"/>
    <xf numFmtId="9" fontId="137" fillId="0" borderId="0" applyFont="0" applyFill="0" applyBorder="0" applyAlignment="0" applyProtection="0"/>
    <xf numFmtId="9" fontId="160" fillId="0" borderId="0" applyFont="0" applyFill="0" applyBorder="0" applyAlignment="0" applyProtection="0"/>
    <xf numFmtId="9" fontId="136" fillId="0" borderId="0" applyFont="0" applyFill="0" applyBorder="0" applyAlignment="0" applyProtection="0"/>
    <xf numFmtId="9" fontId="20" fillId="0" borderId="0" applyFont="0" applyFill="0" applyBorder="0" applyAlignment="0" applyProtection="0"/>
    <xf numFmtId="9" fontId="136" fillId="0" borderId="0" applyFont="0" applyFill="0" applyBorder="0" applyAlignment="0" applyProtection="0"/>
    <xf numFmtId="9" fontId="154" fillId="0" borderId="0" applyFont="0" applyFill="0" applyBorder="0" applyAlignment="0" applyProtection="0"/>
    <xf numFmtId="9" fontId="137" fillId="0" borderId="0" applyFont="0" applyFill="0" applyBorder="0" applyAlignment="0" applyProtection="0"/>
    <xf numFmtId="9" fontId="137" fillId="0" borderId="0" applyFont="0" applyFill="0" applyBorder="0" applyAlignment="0" applyProtection="0"/>
    <xf numFmtId="9" fontId="148" fillId="0" borderId="51" applyNumberFormat="0" applyBorder="0"/>
    <xf numFmtId="0" fontId="192" fillId="35" borderId="0" applyNumberFormat="0" applyFont="0" applyBorder="0" applyAlignment="0">
      <alignment horizontal="center"/>
    </xf>
    <xf numFmtId="14" fontId="193" fillId="0" borderId="0" applyNumberFormat="0" applyFill="0" applyBorder="0" applyAlignment="0" applyProtection="0">
      <alignment horizontal="left"/>
    </xf>
    <xf numFmtId="187" fontId="138" fillId="0" borderId="0" applyFont="0" applyFill="0" applyBorder="0" applyAlignment="0" applyProtection="0"/>
    <xf numFmtId="187" fontId="138" fillId="0" borderId="0" applyFont="0" applyFill="0" applyBorder="0" applyAlignment="0" applyProtection="0"/>
    <xf numFmtId="0" fontId="138" fillId="0" borderId="0"/>
    <xf numFmtId="0" fontId="192" fillId="36" borderId="29" applyNumberFormat="0" applyFont="0" applyAlignment="0">
      <alignment horizontal="center"/>
    </xf>
    <xf numFmtId="0" fontId="194" fillId="0" borderId="0" applyNumberFormat="0" applyFill="0" applyBorder="0" applyAlignment="0">
      <alignment horizontal="center"/>
    </xf>
    <xf numFmtId="0" fontId="138" fillId="0" borderId="0"/>
    <xf numFmtId="0" fontId="160" fillId="0" borderId="0">
      <alignment vertical="top"/>
    </xf>
    <xf numFmtId="0" fontId="160" fillId="0" borderId="0">
      <alignment vertical="top"/>
    </xf>
    <xf numFmtId="40" fontId="195" fillId="0" borderId="0" applyBorder="0">
      <alignment horizontal="right"/>
    </xf>
    <xf numFmtId="0" fontId="196" fillId="0" borderId="0" applyNumberFormat="0" applyFill="0" applyBorder="0" applyAlignment="0" applyProtection="0"/>
    <xf numFmtId="0" fontId="197" fillId="0" borderId="0" applyNumberFormat="0" applyFill="0" applyBorder="0" applyAlignment="0" applyProtection="0"/>
    <xf numFmtId="0" fontId="198" fillId="0" borderId="52" applyNumberFormat="0" applyFill="0" applyAlignment="0" applyProtection="0"/>
    <xf numFmtId="0" fontId="198" fillId="0" borderId="52" applyNumberFormat="0" applyFill="0" applyAlignment="0" applyProtection="0"/>
    <xf numFmtId="0" fontId="199" fillId="0" borderId="52" applyNumberFormat="0" applyFill="0" applyAlignment="0" applyProtection="0"/>
    <xf numFmtId="0" fontId="200" fillId="0" borderId="53" applyNumberFormat="0" applyAlignment="0">
      <alignment horizontal="center"/>
    </xf>
    <xf numFmtId="0" fontId="201" fillId="0" borderId="0" applyNumberFormat="0" applyFill="0" applyBorder="0" applyAlignment="0" applyProtection="0"/>
    <xf numFmtId="0" fontId="202" fillId="0" borderId="0" applyNumberFormat="0" applyFill="0" applyBorder="0" applyAlignment="0" applyProtection="0"/>
    <xf numFmtId="40" fontId="203" fillId="0" borderId="0" applyFont="0" applyFill="0" applyBorder="0" applyAlignment="0" applyProtection="0"/>
    <xf numFmtId="38" fontId="203" fillId="0" borderId="0" applyFont="0" applyFill="0" applyBorder="0" applyAlignment="0" applyProtection="0"/>
    <xf numFmtId="0" fontId="203" fillId="0" borderId="0" applyFont="0" applyFill="0" applyBorder="0" applyAlignment="0" applyProtection="0"/>
    <xf numFmtId="0" fontId="203" fillId="0" borderId="0" applyFont="0" applyFill="0" applyBorder="0" applyAlignment="0" applyProtection="0"/>
    <xf numFmtId="9" fontId="204" fillId="0" borderId="0" applyFont="0" applyFill="0" applyBorder="0" applyAlignment="0" applyProtection="0"/>
    <xf numFmtId="0" fontId="205" fillId="0" borderId="0"/>
    <xf numFmtId="209" fontId="206" fillId="0" borderId="0" applyFont="0" applyFill="0" applyBorder="0" applyAlignment="0" applyProtection="0"/>
    <xf numFmtId="210" fontId="206" fillId="0" borderId="0" applyFont="0" applyFill="0" applyBorder="0" applyAlignment="0" applyProtection="0"/>
    <xf numFmtId="211" fontId="206" fillId="0" borderId="0" applyFont="0" applyFill="0" applyBorder="0" applyAlignment="0" applyProtection="0"/>
    <xf numFmtId="212" fontId="206" fillId="0" borderId="0" applyFont="0" applyFill="0" applyBorder="0" applyAlignment="0" applyProtection="0"/>
    <xf numFmtId="0" fontId="207" fillId="0" borderId="0"/>
    <xf numFmtId="0" fontId="208" fillId="0" borderId="0"/>
    <xf numFmtId="205" fontId="208" fillId="0" borderId="0" applyFont="0" applyFill="0" applyBorder="0" applyAlignment="0" applyProtection="0"/>
    <xf numFmtId="197" fontId="208" fillId="0" borderId="0" applyFont="0" applyFill="0" applyBorder="0" applyAlignment="0" applyProtection="0"/>
    <xf numFmtId="213" fontId="208" fillId="0" borderId="0" applyFont="0" applyFill="0" applyBorder="0" applyAlignment="0" applyProtection="0"/>
    <xf numFmtId="214" fontId="208" fillId="0" borderId="0" applyFont="0" applyFill="0" applyBorder="0" applyAlignment="0" applyProtection="0"/>
    <xf numFmtId="0" fontId="20" fillId="0" borderId="0"/>
    <xf numFmtId="0" fontId="212" fillId="0" borderId="0"/>
    <xf numFmtId="0" fontId="223" fillId="0" borderId="0"/>
    <xf numFmtId="43" fontId="215" fillId="0" borderId="0" applyFont="0" applyFill="0" applyBorder="0" applyAlignment="0" applyProtection="0"/>
    <xf numFmtId="9" fontId="212" fillId="0" borderId="0" applyFont="0" applyFill="0" applyBorder="0" applyAlignment="0" applyProtection="0"/>
    <xf numFmtId="188" fontId="212" fillId="0" borderId="0" applyFont="0" applyFill="0" applyBorder="0" applyAlignment="0" applyProtection="0"/>
    <xf numFmtId="0" fontId="224" fillId="0" borderId="0"/>
    <xf numFmtId="3" fontId="251" fillId="0" borderId="0" applyFont="0" applyFill="0" applyBorder="0" applyAlignment="0" applyProtection="0"/>
    <xf numFmtId="246" fontId="251" fillId="0" borderId="0" applyFont="0" applyFill="0" applyBorder="0" applyAlignment="0" applyProtection="0"/>
    <xf numFmtId="0" fontId="251" fillId="0" borderId="0" applyFont="0" applyFill="0" applyBorder="0" applyAlignment="0" applyProtection="0"/>
    <xf numFmtId="188" fontId="252" fillId="0" borderId="0" applyFont="0" applyFill="0" applyBorder="0" applyAlignment="0" applyProtection="0"/>
    <xf numFmtId="2" fontId="251" fillId="0" borderId="0" applyFont="0" applyFill="0" applyBorder="0" applyAlignment="0" applyProtection="0"/>
    <xf numFmtId="43" fontId="261" fillId="0" borderId="0" applyFont="0" applyFill="0" applyBorder="0" applyAlignment="0" applyProtection="0"/>
    <xf numFmtId="0" fontId="262" fillId="0" borderId="0"/>
    <xf numFmtId="188" fontId="251" fillId="0" borderId="0" applyFont="0" applyFill="0" applyBorder="0" applyAlignment="0" applyProtection="0"/>
    <xf numFmtId="43" fontId="261" fillId="0" borderId="0" applyFont="0" applyFill="0" applyBorder="0" applyAlignment="0" applyProtection="0"/>
    <xf numFmtId="43" fontId="270" fillId="0" borderId="0" applyFont="0" applyFill="0" applyBorder="0" applyAlignment="0" applyProtection="0"/>
    <xf numFmtId="0" fontId="262" fillId="0" borderId="0"/>
    <xf numFmtId="0" fontId="262" fillId="0" borderId="0"/>
    <xf numFmtId="0" fontId="274" fillId="0" borderId="0"/>
    <xf numFmtId="0" fontId="270" fillId="0" borderId="0"/>
    <xf numFmtId="0" fontId="252" fillId="0" borderId="0"/>
    <xf numFmtId="0" fontId="293" fillId="0" borderId="0"/>
    <xf numFmtId="0" fontId="261" fillId="0" borderId="0"/>
    <xf numFmtId="188" fontId="293" fillId="0" borderId="0" applyFont="0" applyFill="0" applyBorder="0" applyAlignment="0" applyProtection="0"/>
    <xf numFmtId="0" fontId="270" fillId="0" borderId="0"/>
    <xf numFmtId="0" fontId="299" fillId="0" borderId="0"/>
    <xf numFmtId="248" fontId="302" fillId="0" borderId="0"/>
    <xf numFmtId="195" fontId="251" fillId="0" borderId="0" applyFont="0" applyFill="0" applyBorder="0" applyAlignment="0" applyProtection="0"/>
    <xf numFmtId="195" fontId="251" fillId="0" borderId="0" applyFont="0" applyFill="0" applyBorder="0" applyAlignment="0" applyProtection="0"/>
    <xf numFmtId="195" fontId="299" fillId="0" borderId="0" applyFont="0" applyFill="0" applyBorder="0" applyAlignment="0" applyProtection="0"/>
    <xf numFmtId="195" fontId="299" fillId="0" borderId="0" applyFont="0" applyFill="0" applyBorder="0" applyAlignment="0" applyProtection="0"/>
    <xf numFmtId="195" fontId="299" fillId="0" borderId="0" applyFont="0" applyFill="0" applyBorder="0" applyAlignment="0" applyProtection="0"/>
    <xf numFmtId="195" fontId="299" fillId="0" borderId="0" applyFont="0" applyFill="0" applyBorder="0" applyAlignment="0" applyProtection="0"/>
    <xf numFmtId="195" fontId="299" fillId="0" borderId="0" applyFont="0" applyFill="0" applyBorder="0" applyAlignment="0" applyProtection="0"/>
    <xf numFmtId="195" fontId="299" fillId="0" borderId="0" applyFont="0" applyFill="0" applyBorder="0" applyAlignment="0" applyProtection="0"/>
    <xf numFmtId="195" fontId="299" fillId="0" borderId="0" applyFont="0" applyFill="0" applyBorder="0" applyAlignment="0" applyProtection="0"/>
    <xf numFmtId="195" fontId="299" fillId="0" borderId="0" applyFont="0" applyFill="0" applyBorder="0" applyAlignment="0" applyProtection="0"/>
    <xf numFmtId="195" fontId="299" fillId="0" borderId="0" applyFont="0" applyFill="0" applyBorder="0" applyAlignment="0" applyProtection="0"/>
    <xf numFmtId="195" fontId="299" fillId="0" borderId="0" applyFont="0" applyFill="0" applyBorder="0" applyAlignment="0" applyProtection="0"/>
    <xf numFmtId="200" fontId="299" fillId="0" borderId="0" applyFont="0" applyFill="0" applyBorder="0" applyAlignment="0" applyProtection="0"/>
    <xf numFmtId="200" fontId="303" fillId="0" borderId="0" applyFont="0" applyFill="0" applyBorder="0" applyAlignment="0" applyProtection="0"/>
    <xf numFmtId="200" fontId="303" fillId="0" borderId="0" applyFont="0" applyFill="0" applyBorder="0" applyAlignment="0" applyProtection="0"/>
    <xf numFmtId="200" fontId="303" fillId="0" borderId="0" applyFont="0" applyFill="0" applyBorder="0" applyAlignment="0" applyProtection="0"/>
    <xf numFmtId="200" fontId="304" fillId="0" borderId="0" applyFont="0" applyFill="0" applyBorder="0" applyAlignment="0" applyProtection="0"/>
    <xf numFmtId="200" fontId="304" fillId="0" borderId="0" applyFont="0" applyFill="0" applyBorder="0" applyAlignment="0" applyProtection="0"/>
    <xf numFmtId="200" fontId="258" fillId="0" borderId="0" applyFont="0" applyFill="0" applyBorder="0" applyAlignment="0" applyProtection="0"/>
    <xf numFmtId="200" fontId="258" fillId="0" borderId="0" applyFont="0" applyFill="0" applyBorder="0" applyAlignment="0" applyProtection="0"/>
    <xf numFmtId="249" fontId="299" fillId="0" borderId="0" applyFont="0" applyFill="0" applyBorder="0" applyAlignment="0" applyProtection="0"/>
    <xf numFmtId="221" fontId="299" fillId="0" borderId="0" applyFont="0" applyFill="0" applyBorder="0" applyAlignment="0" applyProtection="0"/>
    <xf numFmtId="221" fontId="299" fillId="0" borderId="0" applyFont="0" applyFill="0" applyBorder="0" applyAlignment="0" applyProtection="0"/>
    <xf numFmtId="43" fontId="305" fillId="0" borderId="0" applyFont="0" applyFill="0" applyBorder="0" applyAlignment="0" applyProtection="0"/>
    <xf numFmtId="195" fontId="299" fillId="0" borderId="0" applyFont="0" applyFill="0" applyBorder="0" applyAlignment="0" applyProtection="0"/>
    <xf numFmtId="195" fontId="299" fillId="0" borderId="0" applyFont="0" applyFill="0" applyBorder="0" applyAlignment="0" applyProtection="0"/>
    <xf numFmtId="250" fontId="215" fillId="0" borderId="0" applyFont="0" applyFill="0" applyBorder="0" applyAlignment="0" applyProtection="0"/>
    <xf numFmtId="250" fontId="215" fillId="0" borderId="0" applyFont="0" applyFill="0" applyBorder="0" applyAlignment="0" applyProtection="0"/>
    <xf numFmtId="188" fontId="215" fillId="0" borderId="0" applyFont="0" applyFill="0" applyBorder="0" applyAlignment="0" applyProtection="0"/>
    <xf numFmtId="200" fontId="251" fillId="0" borderId="0" applyFont="0" applyFill="0" applyBorder="0" applyAlignment="0" applyProtection="0"/>
    <xf numFmtId="200" fontId="251" fillId="0" borderId="0" applyFont="0" applyFill="0" applyBorder="0" applyAlignment="0" applyProtection="0"/>
    <xf numFmtId="200" fontId="251" fillId="0" borderId="0" applyFont="0" applyFill="0" applyBorder="0" applyAlignment="0" applyProtection="0"/>
    <xf numFmtId="200" fontId="251" fillId="0" borderId="0" applyFont="0" applyFill="0" applyBorder="0" applyAlignment="0" applyProtection="0"/>
    <xf numFmtId="200" fontId="251" fillId="0" borderId="0" applyFont="0" applyFill="0" applyBorder="0" applyAlignment="0" applyProtection="0"/>
    <xf numFmtId="200" fontId="251" fillId="0" borderId="0" applyFont="0" applyFill="0" applyBorder="0" applyAlignment="0" applyProtection="0"/>
    <xf numFmtId="195" fontId="299" fillId="0" borderId="0" applyFont="0" applyFill="0" applyBorder="0" applyAlignment="0" applyProtection="0"/>
    <xf numFmtId="195" fontId="299" fillId="0" borderId="0" applyFont="0" applyFill="0" applyBorder="0" applyAlignment="0" applyProtection="0"/>
    <xf numFmtId="195" fontId="299" fillId="0" borderId="0" applyFont="0" applyFill="0" applyBorder="0" applyAlignment="0" applyProtection="0"/>
    <xf numFmtId="195" fontId="299" fillId="0" borderId="0" applyFont="0" applyFill="0" applyBorder="0" applyAlignment="0" applyProtection="0"/>
    <xf numFmtId="195" fontId="299" fillId="0" borderId="0" applyFont="0" applyFill="0" applyBorder="0" applyAlignment="0" applyProtection="0"/>
    <xf numFmtId="195" fontId="251" fillId="0" borderId="0" applyFont="0" applyFill="0" applyBorder="0" applyAlignment="0" applyProtection="0"/>
    <xf numFmtId="195" fontId="251" fillId="0" borderId="0" applyFont="0" applyFill="0" applyBorder="0" applyAlignment="0" applyProtection="0"/>
    <xf numFmtId="195" fontId="299" fillId="0" borderId="0" applyFont="0" applyFill="0" applyBorder="0" applyAlignment="0" applyProtection="0"/>
    <xf numFmtId="195" fontId="299" fillId="0" borderId="0" applyFont="0" applyFill="0" applyBorder="0" applyAlignment="0" applyProtection="0"/>
    <xf numFmtId="200" fontId="306" fillId="0" borderId="0" applyFont="0" applyFill="0" applyBorder="0" applyAlignment="0" applyProtection="0"/>
    <xf numFmtId="200" fontId="306" fillId="0" borderId="0" applyFont="0" applyFill="0" applyBorder="0" applyAlignment="0" applyProtection="0"/>
    <xf numFmtId="200" fontId="306" fillId="0" borderId="0" applyFont="0" applyFill="0" applyBorder="0" applyAlignment="0" applyProtection="0"/>
    <xf numFmtId="200" fontId="306" fillId="0" borderId="0" applyFont="0" applyFill="0" applyBorder="0" applyAlignment="0" applyProtection="0"/>
    <xf numFmtId="195" fontId="299" fillId="0" borderId="0" applyFont="0" applyFill="0" applyBorder="0" applyAlignment="0" applyProtection="0"/>
    <xf numFmtId="195" fontId="299" fillId="0" borderId="0" applyFont="0" applyFill="0" applyBorder="0" applyAlignment="0" applyProtection="0"/>
    <xf numFmtId="49" fontId="307" fillId="0" borderId="54">
      <alignment vertical="center"/>
    </xf>
    <xf numFmtId="0" fontId="299" fillId="0" borderId="0"/>
    <xf numFmtId="0" fontId="303" fillId="0" borderId="0"/>
  </cellStyleXfs>
  <cellXfs count="2954">
    <xf numFmtId="0" fontId="0" fillId="0" borderId="0" xfId="0"/>
    <xf numFmtId="0" fontId="1" fillId="0" borderId="0" xfId="0" applyFont="1"/>
    <xf numFmtId="0" fontId="2" fillId="0" borderId="0" xfId="0" applyFont="1"/>
    <xf numFmtId="0" fontId="3" fillId="0" borderId="0" xfId="0" applyFont="1" applyAlignment="1">
      <alignment horizontal="center"/>
    </xf>
    <xf numFmtId="0" fontId="3" fillId="0" borderId="1" xfId="0" applyFont="1" applyBorder="1" applyAlignment="1">
      <alignment horizontal="center"/>
    </xf>
    <xf numFmtId="0" fontId="2" fillId="0" borderId="0" xfId="0" applyFont="1" applyAlignment="1">
      <alignment horizontal="center"/>
    </xf>
    <xf numFmtId="0" fontId="4" fillId="0" borderId="0" xfId="0" applyFont="1"/>
    <xf numFmtId="0" fontId="5" fillId="0" borderId="0" xfId="0" applyFont="1"/>
    <xf numFmtId="0" fontId="3" fillId="0" borderId="0" xfId="0" applyFont="1"/>
    <xf numFmtId="215" fontId="3" fillId="0" borderId="0" xfId="0" applyNumberFormat="1" applyFont="1" applyAlignment="1">
      <alignment horizontal="center"/>
    </xf>
    <xf numFmtId="0" fontId="7" fillId="0" borderId="0" xfId="0" applyFont="1"/>
    <xf numFmtId="0" fontId="2" fillId="0" borderId="2" xfId="0" applyFont="1" applyBorder="1" applyAlignment="1">
      <alignment horizontal="center" vertical="center"/>
    </xf>
    <xf numFmtId="0" fontId="3" fillId="0" borderId="2" xfId="0" applyFont="1" applyBorder="1" applyAlignment="1">
      <alignment horizontal="center" vertical="center"/>
    </xf>
    <xf numFmtId="0" fontId="3" fillId="0" borderId="2" xfId="0" applyFont="1" applyBorder="1" applyAlignment="1">
      <alignment horizontal="left"/>
    </xf>
    <xf numFmtId="0" fontId="8" fillId="0" borderId="2" xfId="562" applyFont="1" applyBorder="1" applyAlignment="1">
      <alignment horizontal="center" vertical="center"/>
    </xf>
    <xf numFmtId="0" fontId="3" fillId="0" borderId="2" xfId="0" applyFont="1" applyBorder="1"/>
    <xf numFmtId="0" fontId="7" fillId="0" borderId="2" xfId="0" applyFont="1" applyBorder="1"/>
    <xf numFmtId="0" fontId="2" fillId="0" borderId="2" xfId="0" applyFont="1" applyBorder="1" applyAlignment="1">
      <alignment vertical="center"/>
    </xf>
    <xf numFmtId="0" fontId="9" fillId="0" borderId="0" xfId="0" applyFont="1"/>
    <xf numFmtId="0" fontId="10" fillId="0" borderId="0" xfId="0" applyFont="1"/>
    <xf numFmtId="0" fontId="12" fillId="0" borderId="0" xfId="0" applyFont="1"/>
    <xf numFmtId="215" fontId="2" fillId="0" borderId="0" xfId="0" applyNumberFormat="1" applyFont="1" applyAlignment="1">
      <alignment horizontal="center"/>
    </xf>
    <xf numFmtId="1" fontId="3" fillId="0" borderId="2" xfId="1" applyNumberFormat="1" applyFont="1" applyFill="1" applyBorder="1" applyAlignment="1">
      <alignment horizontal="center"/>
    </xf>
    <xf numFmtId="0" fontId="3" fillId="0" borderId="2" xfId="0" applyFont="1" applyBorder="1" applyAlignment="1">
      <alignment horizontal="center"/>
    </xf>
    <xf numFmtId="216" fontId="2" fillId="0" borderId="2" xfId="1" applyNumberFormat="1" applyFont="1" applyFill="1" applyBorder="1" applyAlignment="1">
      <alignment horizontal="center"/>
    </xf>
    <xf numFmtId="0" fontId="2" fillId="0" borderId="2" xfId="0" applyFont="1" applyBorder="1" applyAlignment="1">
      <alignment horizontal="center"/>
    </xf>
    <xf numFmtId="0" fontId="13" fillId="2" borderId="0" xfId="0" applyFont="1" applyFill="1" applyAlignment="1">
      <alignment vertical="center"/>
    </xf>
    <xf numFmtId="0" fontId="14" fillId="2" borderId="0" xfId="0" applyFont="1" applyFill="1" applyAlignment="1">
      <alignment vertical="center"/>
    </xf>
    <xf numFmtId="0" fontId="15" fillId="2" borderId="0" xfId="0" applyFont="1" applyFill="1" applyAlignment="1">
      <alignment vertical="center"/>
    </xf>
    <xf numFmtId="0" fontId="13" fillId="2" borderId="0" xfId="0" applyFont="1" applyFill="1" applyAlignment="1">
      <alignment horizontal="center" vertical="center"/>
    </xf>
    <xf numFmtId="0" fontId="17" fillId="2" borderId="0" xfId="0" applyFont="1" applyFill="1" applyAlignment="1">
      <alignment horizontal="center" vertical="center"/>
    </xf>
    <xf numFmtId="0" fontId="18" fillId="2" borderId="0" xfId="0" applyFont="1" applyFill="1" applyAlignment="1">
      <alignment horizontal="center" vertical="center"/>
    </xf>
    <xf numFmtId="0" fontId="14" fillId="2" borderId="3" xfId="0" applyFont="1" applyFill="1" applyBorder="1" applyAlignment="1">
      <alignment horizontal="center" vertical="center"/>
    </xf>
    <xf numFmtId="0" fontId="14" fillId="2" borderId="4" xfId="0" applyFont="1" applyFill="1" applyBorder="1" applyAlignment="1">
      <alignment horizontal="center" vertical="center" wrapText="1"/>
    </xf>
    <xf numFmtId="0" fontId="14" fillId="2" borderId="3" xfId="0" applyFont="1" applyFill="1" applyBorder="1" applyAlignment="1">
      <alignment horizontal="center" vertical="center" wrapText="1"/>
    </xf>
    <xf numFmtId="0" fontId="15" fillId="2" borderId="3" xfId="0" applyFont="1" applyFill="1" applyBorder="1" applyAlignment="1">
      <alignment horizontal="center" vertical="center"/>
    </xf>
    <xf numFmtId="0" fontId="15" fillId="2" borderId="4" xfId="0" applyFont="1" applyFill="1" applyBorder="1" applyAlignment="1">
      <alignment horizontal="center" vertical="center"/>
    </xf>
    <xf numFmtId="0" fontId="15" fillId="2" borderId="4" xfId="0" applyFont="1" applyFill="1" applyBorder="1" applyAlignment="1">
      <alignment vertical="center"/>
    </xf>
    <xf numFmtId="0" fontId="4" fillId="2" borderId="4" xfId="0" applyFont="1" applyFill="1" applyBorder="1" applyAlignment="1">
      <alignment horizontal="left" vertical="center"/>
    </xf>
    <xf numFmtId="0" fontId="14" fillId="2" borderId="6" xfId="0" applyFont="1" applyFill="1" applyBorder="1" applyAlignment="1">
      <alignment horizontal="center" vertical="center"/>
    </xf>
    <xf numFmtId="0" fontId="14" fillId="2" borderId="4" xfId="0" applyFont="1" applyFill="1" applyBorder="1" applyAlignment="1">
      <alignment vertical="center"/>
    </xf>
    <xf numFmtId="0" fontId="20" fillId="2" borderId="0" xfId="0" applyFont="1" applyFill="1" applyAlignment="1">
      <alignment vertical="center"/>
    </xf>
    <xf numFmtId="0" fontId="15" fillId="2" borderId="0" xfId="0" applyFont="1" applyFill="1" applyAlignment="1">
      <alignment horizontal="center" vertical="center"/>
    </xf>
    <xf numFmtId="0" fontId="14" fillId="2" borderId="0" xfId="0" applyFont="1" applyFill="1" applyAlignment="1">
      <alignment horizontal="center" vertical="center"/>
    </xf>
    <xf numFmtId="0" fontId="22" fillId="2" borderId="3" xfId="0" applyFont="1" applyFill="1" applyBorder="1" applyAlignment="1">
      <alignment horizontal="center" vertical="center" wrapText="1"/>
    </xf>
    <xf numFmtId="217" fontId="15" fillId="2" borderId="4" xfId="93" applyNumberFormat="1" applyFont="1" applyFill="1" applyBorder="1" applyAlignment="1">
      <alignment vertical="center"/>
    </xf>
    <xf numFmtId="217" fontId="14" fillId="2" borderId="4" xfId="0" applyNumberFormat="1" applyFont="1" applyFill="1" applyBorder="1" applyAlignment="1">
      <alignment vertical="center"/>
    </xf>
    <xf numFmtId="14" fontId="23" fillId="2" borderId="0" xfId="0" applyNumberFormat="1" applyFont="1" applyFill="1" applyAlignment="1">
      <alignment vertical="center"/>
    </xf>
    <xf numFmtId="0" fontId="5" fillId="2" borderId="0" xfId="0" applyFont="1" applyFill="1" applyAlignment="1">
      <alignment horizontal="center" vertical="center"/>
    </xf>
    <xf numFmtId="0" fontId="24" fillId="2" borderId="0" xfId="0" applyFont="1" applyFill="1" applyAlignment="1">
      <alignment horizontal="center" vertical="center"/>
    </xf>
    <xf numFmtId="0" fontId="7" fillId="2" borderId="0" xfId="0" applyFont="1" applyFill="1" applyAlignment="1">
      <alignment vertical="center"/>
    </xf>
    <xf numFmtId="0" fontId="3" fillId="2" borderId="4" xfId="0" applyFont="1" applyFill="1" applyBorder="1" applyAlignment="1">
      <alignment horizontal="center"/>
    </xf>
    <xf numFmtId="0" fontId="13" fillId="0" borderId="0" xfId="0" applyFont="1"/>
    <xf numFmtId="0" fontId="15" fillId="0" borderId="0" xfId="0" applyFont="1"/>
    <xf numFmtId="0" fontId="20" fillId="0" borderId="0" xfId="0" applyFont="1" applyAlignment="1">
      <alignment horizontal="center"/>
    </xf>
    <xf numFmtId="0" fontId="20" fillId="0" borderId="0" xfId="0" applyFont="1"/>
    <xf numFmtId="4" fontId="20" fillId="0" borderId="0" xfId="0" applyNumberFormat="1" applyFont="1" applyAlignment="1">
      <alignment horizontal="center"/>
    </xf>
    <xf numFmtId="4" fontId="20" fillId="0" borderId="0" xfId="0" applyNumberFormat="1" applyFont="1" applyAlignment="1">
      <alignment horizontal="right"/>
    </xf>
    <xf numFmtId="0" fontId="25" fillId="2" borderId="0" xfId="0" applyFont="1" applyFill="1" applyAlignment="1">
      <alignment horizontal="center" vertical="center"/>
    </xf>
    <xf numFmtId="0" fontId="13" fillId="0" borderId="0" xfId="0" applyFont="1" applyAlignment="1">
      <alignment horizontal="center" vertical="center" wrapText="1"/>
    </xf>
    <xf numFmtId="0" fontId="13" fillId="0" borderId="4" xfId="0" applyFont="1" applyBorder="1" applyAlignment="1">
      <alignment horizontal="center" vertical="center"/>
    </xf>
    <xf numFmtId="0" fontId="20" fillId="0" borderId="4" xfId="0" applyFont="1" applyBorder="1" applyAlignment="1">
      <alignment horizontal="center" vertical="center"/>
    </xf>
    <xf numFmtId="0" fontId="26" fillId="0" borderId="4" xfId="0" applyFont="1" applyBorder="1" applyAlignment="1">
      <alignment horizontal="center"/>
    </xf>
    <xf numFmtId="4" fontId="13" fillId="0" borderId="4" xfId="1" applyNumberFormat="1" applyFont="1" applyFill="1" applyBorder="1" applyAlignment="1">
      <alignment horizontal="right" vertical="center"/>
    </xf>
    <xf numFmtId="3" fontId="13" fillId="0" borderId="4" xfId="1" applyNumberFormat="1" applyFont="1" applyFill="1" applyBorder="1" applyAlignment="1">
      <alignment horizontal="right" vertical="center"/>
    </xf>
    <xf numFmtId="4" fontId="13" fillId="0" borderId="4" xfId="0" applyNumberFormat="1" applyFont="1" applyBorder="1" applyAlignment="1">
      <alignment horizontal="right" vertical="center"/>
    </xf>
    <xf numFmtId="0" fontId="13" fillId="0" borderId="0" xfId="0" applyFont="1" applyAlignment="1">
      <alignment horizontal="center"/>
    </xf>
    <xf numFmtId="0" fontId="14" fillId="0" borderId="0" xfId="0" applyFont="1"/>
    <xf numFmtId="0" fontId="15" fillId="0" borderId="0" xfId="0" applyFont="1" applyAlignment="1">
      <alignment horizontal="center"/>
    </xf>
    <xf numFmtId="4" fontId="15" fillId="0" borderId="0" xfId="0" applyNumberFormat="1" applyFont="1" applyAlignment="1">
      <alignment horizontal="center"/>
    </xf>
    <xf numFmtId="0" fontId="14" fillId="0" borderId="0" xfId="0" applyFont="1" applyAlignment="1">
      <alignment horizontal="center"/>
    </xf>
    <xf numFmtId="4" fontId="14" fillId="0" borderId="0" xfId="0" applyNumberFormat="1" applyFont="1" applyAlignment="1">
      <alignment horizontal="center"/>
    </xf>
    <xf numFmtId="0" fontId="27" fillId="0" borderId="0" xfId="0" applyFont="1"/>
    <xf numFmtId="4" fontId="14" fillId="0" borderId="0" xfId="0" applyNumberFormat="1" applyFont="1"/>
    <xf numFmtId="2" fontId="28" fillId="0" borderId="0" xfId="0" applyNumberFormat="1" applyFont="1"/>
    <xf numFmtId="2" fontId="13" fillId="0" borderId="0" xfId="0" applyNumberFormat="1" applyFont="1"/>
    <xf numFmtId="0" fontId="15" fillId="2" borderId="0" xfId="0" applyFont="1" applyFill="1" applyAlignment="1">
      <alignment horizontal="right" vertical="center"/>
    </xf>
    <xf numFmtId="0" fontId="22" fillId="2" borderId="0" xfId="0" applyFont="1" applyFill="1" applyAlignment="1">
      <alignment horizontal="right" vertical="center"/>
    </xf>
    <xf numFmtId="0" fontId="22" fillId="2" borderId="0" xfId="0" applyFont="1" applyFill="1" applyAlignment="1">
      <alignment vertical="center"/>
    </xf>
    <xf numFmtId="216" fontId="15" fillId="2" borderId="0" xfId="1" applyNumberFormat="1" applyFont="1" applyFill="1" applyAlignment="1">
      <alignment horizontal="right" vertical="center"/>
    </xf>
    <xf numFmtId="0" fontId="29" fillId="2" borderId="0" xfId="0" applyFont="1" applyFill="1" applyAlignment="1">
      <alignment vertical="center"/>
    </xf>
    <xf numFmtId="216" fontId="15" fillId="2" borderId="0" xfId="1" applyNumberFormat="1" applyFont="1" applyFill="1" applyAlignment="1">
      <alignment vertical="center"/>
    </xf>
    <xf numFmtId="0" fontId="15" fillId="2" borderId="0" xfId="0" applyFont="1" applyFill="1" applyAlignment="1">
      <alignment horizontal="left" vertical="center"/>
    </xf>
    <xf numFmtId="0" fontId="25" fillId="2" borderId="0" xfId="496" applyFont="1" applyFill="1" applyAlignment="1">
      <alignment vertical="center"/>
    </xf>
    <xf numFmtId="0" fontId="30" fillId="2" borderId="0" xfId="496" applyFont="1" applyFill="1" applyAlignment="1">
      <alignment horizontal="center" vertical="center"/>
    </xf>
    <xf numFmtId="0" fontId="25" fillId="2" borderId="0" xfId="0" applyFont="1" applyFill="1" applyAlignment="1">
      <alignment vertical="center"/>
    </xf>
    <xf numFmtId="0" fontId="30" fillId="2" borderId="0" xfId="0" applyFont="1" applyFill="1" applyAlignment="1">
      <alignment vertical="center"/>
    </xf>
    <xf numFmtId="0" fontId="30" fillId="2" borderId="0" xfId="496" applyFont="1" applyFill="1" applyAlignment="1">
      <alignment vertical="center"/>
    </xf>
    <xf numFmtId="0" fontId="25" fillId="2" borderId="0" xfId="496" applyFont="1" applyFill="1" applyAlignment="1">
      <alignment horizontal="center" vertical="center"/>
    </xf>
    <xf numFmtId="0" fontId="30" fillId="2" borderId="4" xfId="496" applyFont="1" applyFill="1" applyBorder="1" applyAlignment="1">
      <alignment horizontal="center" vertical="center"/>
    </xf>
    <xf numFmtId="0" fontId="30" fillId="2" borderId="4" xfId="496" applyFont="1" applyFill="1" applyBorder="1" applyAlignment="1" applyProtection="1">
      <alignment horizontal="center" vertical="center"/>
      <protection hidden="1"/>
    </xf>
    <xf numFmtId="0" fontId="30" fillId="2" borderId="4" xfId="496" applyFont="1" applyFill="1" applyBorder="1" applyAlignment="1">
      <alignment vertical="center"/>
    </xf>
    <xf numFmtId="0" fontId="30" fillId="2" borderId="4" xfId="496" applyFont="1" applyFill="1" applyBorder="1" applyAlignment="1">
      <alignment horizontal="left" vertical="center"/>
    </xf>
    <xf numFmtId="0" fontId="25" fillId="2" borderId="6" xfId="496" applyFont="1" applyFill="1" applyBorder="1" applyAlignment="1">
      <alignment horizontal="center" vertical="center"/>
    </xf>
    <xf numFmtId="0" fontId="25" fillId="2" borderId="4" xfId="496" applyFont="1" applyFill="1" applyBorder="1" applyAlignment="1">
      <alignment vertical="center"/>
    </xf>
    <xf numFmtId="217" fontId="30" fillId="2" borderId="4" xfId="93" applyNumberFormat="1" applyFont="1" applyFill="1" applyBorder="1" applyAlignment="1">
      <alignment vertical="center"/>
    </xf>
    <xf numFmtId="14" fontId="30" fillId="2" borderId="0" xfId="496" applyNumberFormat="1" applyFont="1" applyFill="1" applyAlignment="1">
      <alignment vertical="center"/>
    </xf>
    <xf numFmtId="217" fontId="30" fillId="2" borderId="0" xfId="496" applyNumberFormat="1" applyFont="1" applyFill="1" applyAlignment="1">
      <alignment vertical="center"/>
    </xf>
    <xf numFmtId="0" fontId="25" fillId="2" borderId="0" xfId="496" applyFont="1" applyFill="1"/>
    <xf numFmtId="0" fontId="30" fillId="2" borderId="0" xfId="496" applyFont="1" applyFill="1"/>
    <xf numFmtId="216" fontId="30" fillId="2" borderId="0" xfId="93" applyNumberFormat="1" applyFont="1" applyFill="1"/>
    <xf numFmtId="0" fontId="25" fillId="2" borderId="0" xfId="496" applyFont="1" applyFill="1" applyAlignment="1">
      <alignment horizontal="center"/>
    </xf>
    <xf numFmtId="0" fontId="25" fillId="2" borderId="4" xfId="496" applyFont="1" applyFill="1" applyBorder="1" applyAlignment="1">
      <alignment horizontal="center" vertical="center"/>
    </xf>
    <xf numFmtId="0" fontId="25" fillId="2" borderId="4" xfId="496" applyFont="1" applyFill="1" applyBorder="1" applyAlignment="1">
      <alignment horizontal="center" vertical="center" wrapText="1"/>
    </xf>
    <xf numFmtId="0" fontId="30" fillId="2" borderId="4" xfId="496" applyFont="1" applyFill="1" applyBorder="1" applyAlignment="1">
      <alignment horizontal="center" vertical="center" wrapText="1"/>
    </xf>
    <xf numFmtId="3" fontId="30" fillId="2" borderId="4" xfId="496" applyNumberFormat="1" applyFont="1" applyFill="1" applyBorder="1" applyAlignment="1">
      <alignment horizontal="center" vertical="center"/>
    </xf>
    <xf numFmtId="218" fontId="30" fillId="2" borderId="4" xfId="496" applyNumberFormat="1" applyFont="1" applyFill="1" applyBorder="1" applyAlignment="1">
      <alignment horizontal="center" vertical="center"/>
    </xf>
    <xf numFmtId="3" fontId="30" fillId="2" borderId="4" xfId="93" applyNumberFormat="1" applyFont="1" applyFill="1" applyBorder="1" applyAlignment="1">
      <alignment horizontal="center" vertical="center"/>
    </xf>
    <xf numFmtId="218" fontId="25" fillId="2" borderId="4" xfId="496" applyNumberFormat="1" applyFont="1" applyFill="1" applyBorder="1" applyAlignment="1">
      <alignment horizontal="center" vertical="center"/>
    </xf>
    <xf numFmtId="0" fontId="30" fillId="2" borderId="0" xfId="496" applyFont="1" applyFill="1" applyAlignment="1">
      <alignment horizontal="center"/>
    </xf>
    <xf numFmtId="0" fontId="30" fillId="2" borderId="0" xfId="496" applyFont="1" applyFill="1" applyAlignment="1">
      <alignment shrinkToFit="1"/>
    </xf>
    <xf numFmtId="219" fontId="30" fillId="2" borderId="0" xfId="93" applyNumberFormat="1" applyFont="1" applyFill="1"/>
    <xf numFmtId="216" fontId="25" fillId="2" borderId="4" xfId="93" applyNumberFormat="1" applyFont="1" applyFill="1" applyBorder="1" applyAlignment="1">
      <alignment horizontal="center" vertical="center" wrapText="1"/>
    </xf>
    <xf numFmtId="187" fontId="30" fillId="2" borderId="4" xfId="93" applyNumberFormat="1" applyFont="1" applyFill="1" applyBorder="1" applyAlignment="1">
      <alignment horizontal="right" vertical="center"/>
    </xf>
    <xf numFmtId="187" fontId="25" fillId="2" borderId="4" xfId="496" applyNumberFormat="1" applyFont="1" applyFill="1" applyBorder="1" applyAlignment="1">
      <alignment horizontal="right" vertical="center"/>
    </xf>
    <xf numFmtId="216" fontId="25" fillId="2" borderId="0" xfId="93" applyNumberFormat="1" applyFont="1" applyFill="1"/>
    <xf numFmtId="43" fontId="25" fillId="2" borderId="0" xfId="496" applyNumberFormat="1" applyFont="1" applyFill="1"/>
    <xf numFmtId="0" fontId="25" fillId="2" borderId="0" xfId="496" applyFont="1" applyFill="1" applyAlignment="1">
      <alignment horizontal="center" vertical="center" wrapText="1"/>
    </xf>
    <xf numFmtId="2" fontId="30" fillId="2" borderId="0" xfId="496" applyNumberFormat="1" applyFont="1" applyFill="1"/>
    <xf numFmtId="220" fontId="30" fillId="2" borderId="4" xfId="496" applyNumberFormat="1" applyFont="1" applyFill="1" applyBorder="1" applyAlignment="1">
      <alignment horizontal="center" vertical="center"/>
    </xf>
    <xf numFmtId="220" fontId="30" fillId="2" borderId="4" xfId="496" applyNumberFormat="1" applyFont="1" applyFill="1" applyBorder="1" applyAlignment="1">
      <alignment horizontal="left" vertical="center"/>
    </xf>
    <xf numFmtId="220" fontId="30" fillId="2" borderId="0" xfId="496" applyNumberFormat="1" applyFont="1" applyFill="1" applyAlignment="1">
      <alignment horizontal="left" vertical="center"/>
    </xf>
    <xf numFmtId="3" fontId="30" fillId="2" borderId="0" xfId="496" applyNumberFormat="1" applyFont="1" applyFill="1" applyAlignment="1">
      <alignment horizontal="center" vertical="center"/>
    </xf>
    <xf numFmtId="0" fontId="34" fillId="2" borderId="0" xfId="496" applyFont="1" applyFill="1" applyAlignment="1">
      <alignment horizontal="center" vertical="center"/>
    </xf>
    <xf numFmtId="2" fontId="25" fillId="2" borderId="0" xfId="496" applyNumberFormat="1" applyFont="1" applyFill="1" applyAlignment="1">
      <alignment horizontal="center" vertical="center"/>
    </xf>
    <xf numFmtId="215" fontId="25" fillId="2" borderId="0" xfId="496" applyNumberFormat="1" applyFont="1" applyFill="1" applyAlignment="1">
      <alignment horizontal="center" vertical="center"/>
    </xf>
    <xf numFmtId="3" fontId="25" fillId="2" borderId="0" xfId="496" applyNumberFormat="1" applyFont="1" applyFill="1" applyAlignment="1">
      <alignment horizontal="center" vertical="center"/>
    </xf>
    <xf numFmtId="215" fontId="25" fillId="2" borderId="0" xfId="496" applyNumberFormat="1" applyFont="1" applyFill="1"/>
    <xf numFmtId="4" fontId="25" fillId="2" borderId="0" xfId="496" applyNumberFormat="1" applyFont="1" applyFill="1"/>
    <xf numFmtId="217" fontId="32" fillId="2" borderId="0" xfId="496" applyNumberFormat="1" applyFont="1" applyFill="1" applyAlignment="1">
      <alignment horizontal="center"/>
    </xf>
    <xf numFmtId="217" fontId="30" fillId="2" borderId="0" xfId="496" applyNumberFormat="1" applyFont="1" applyFill="1"/>
    <xf numFmtId="0" fontId="30" fillId="2" borderId="0" xfId="0" applyFont="1" applyFill="1" applyAlignment="1">
      <alignment horizontal="center" vertical="center"/>
    </xf>
    <xf numFmtId="0" fontId="30" fillId="2" borderId="4" xfId="0" applyFont="1" applyFill="1" applyBorder="1" applyAlignment="1">
      <alignment horizontal="center" vertical="center"/>
    </xf>
    <xf numFmtId="0" fontId="30" fillId="2" borderId="4" xfId="0" applyFont="1" applyFill="1" applyBorder="1" applyAlignment="1" applyProtection="1">
      <alignment horizontal="center" vertical="center"/>
      <protection hidden="1"/>
    </xf>
    <xf numFmtId="0" fontId="30" fillId="2" borderId="4" xfId="0" applyFont="1" applyFill="1" applyBorder="1" applyAlignment="1">
      <alignment vertical="center"/>
    </xf>
    <xf numFmtId="0" fontId="30" fillId="2" borderId="4" xfId="0" applyFont="1" applyFill="1" applyBorder="1" applyAlignment="1">
      <alignment horizontal="left" vertical="center"/>
    </xf>
    <xf numFmtId="0" fontId="25" fillId="2" borderId="6" xfId="0" applyFont="1" applyFill="1" applyBorder="1" applyAlignment="1">
      <alignment horizontal="center" vertical="center"/>
    </xf>
    <xf numFmtId="0" fontId="25" fillId="2" borderId="4" xfId="0" applyFont="1" applyFill="1" applyBorder="1" applyAlignment="1">
      <alignment horizontal="center" vertical="center"/>
    </xf>
    <xf numFmtId="217" fontId="25" fillId="2" borderId="4" xfId="0" applyNumberFormat="1" applyFont="1" applyFill="1" applyBorder="1" applyAlignment="1">
      <alignment vertical="center"/>
    </xf>
    <xf numFmtId="0" fontId="25" fillId="2" borderId="4" xfId="0" applyFont="1" applyFill="1" applyBorder="1" applyAlignment="1">
      <alignment vertical="center"/>
    </xf>
    <xf numFmtId="14" fontId="30" fillId="2" borderId="0" xfId="0" applyNumberFormat="1" applyFont="1" applyFill="1" applyAlignment="1">
      <alignment vertical="center"/>
    </xf>
    <xf numFmtId="217" fontId="15" fillId="2" borderId="0" xfId="0" applyNumberFormat="1" applyFont="1" applyFill="1" applyAlignment="1">
      <alignment vertical="center"/>
    </xf>
    <xf numFmtId="0" fontId="23" fillId="2" borderId="0" xfId="0" applyFont="1" applyFill="1" applyAlignment="1">
      <alignment vertical="center"/>
    </xf>
    <xf numFmtId="0" fontId="14" fillId="2" borderId="7" xfId="0" applyFont="1" applyFill="1" applyBorder="1" applyAlignment="1">
      <alignment horizontal="center" vertical="center"/>
    </xf>
    <xf numFmtId="0" fontId="15" fillId="2" borderId="4" xfId="0" applyFont="1" applyFill="1" applyBorder="1" applyAlignment="1" applyProtection="1">
      <alignment horizontal="center" vertical="center"/>
      <protection hidden="1"/>
    </xf>
    <xf numFmtId="0" fontId="35" fillId="2" borderId="7" xfId="0" applyFont="1" applyFill="1" applyBorder="1" applyAlignment="1">
      <alignment horizontal="left" vertical="center"/>
    </xf>
    <xf numFmtId="0" fontId="14" fillId="2" borderId="7" xfId="0" applyFont="1" applyFill="1" applyBorder="1" applyAlignment="1">
      <alignment horizontal="left" vertical="center"/>
    </xf>
    <xf numFmtId="0" fontId="14" fillId="2" borderId="4" xfId="0" applyFont="1" applyFill="1" applyBorder="1" applyAlignment="1">
      <alignment horizontal="center" vertical="center"/>
    </xf>
    <xf numFmtId="0" fontId="20" fillId="2" borderId="4" xfId="0" applyFont="1" applyFill="1" applyBorder="1" applyAlignment="1">
      <alignment horizontal="left" vertical="center"/>
    </xf>
    <xf numFmtId="0" fontId="13" fillId="2" borderId="4" xfId="0" applyFont="1" applyFill="1" applyBorder="1" applyAlignment="1">
      <alignment horizontal="left" vertical="center"/>
    </xf>
    <xf numFmtId="0" fontId="23" fillId="2" borderId="4" xfId="0" applyFont="1" applyFill="1" applyBorder="1" applyAlignment="1">
      <alignment vertical="center"/>
    </xf>
    <xf numFmtId="217" fontId="22" fillId="2" borderId="7" xfId="0" applyNumberFormat="1" applyFont="1" applyFill="1" applyBorder="1" applyAlignment="1">
      <alignment horizontal="center" vertical="center" wrapText="1"/>
    </xf>
    <xf numFmtId="217" fontId="14" fillId="2" borderId="4" xfId="93" applyNumberFormat="1" applyFont="1" applyFill="1" applyBorder="1" applyAlignment="1">
      <alignment vertical="center"/>
    </xf>
    <xf numFmtId="217" fontId="23" fillId="2" borderId="4" xfId="93" applyNumberFormat="1" applyFont="1" applyFill="1" applyBorder="1" applyAlignment="1">
      <alignment vertical="center"/>
    </xf>
    <xf numFmtId="3" fontId="14" fillId="2" borderId="4" xfId="0" applyNumberFormat="1" applyFont="1" applyFill="1" applyBorder="1" applyAlignment="1">
      <alignment vertical="center"/>
    </xf>
    <xf numFmtId="14" fontId="15" fillId="2" borderId="0" xfId="0" applyNumberFormat="1" applyFont="1" applyFill="1" applyAlignment="1">
      <alignment vertical="center"/>
    </xf>
    <xf numFmtId="0" fontId="29" fillId="2" borderId="0" xfId="0" applyFont="1" applyFill="1"/>
    <xf numFmtId="0" fontId="14" fillId="2" borderId="0" xfId="0" applyFont="1" applyFill="1"/>
    <xf numFmtId="0" fontId="15" fillId="2" borderId="0" xfId="0" applyFont="1" applyFill="1"/>
    <xf numFmtId="216" fontId="15" fillId="2" borderId="0" xfId="93" applyNumberFormat="1" applyFont="1" applyFill="1"/>
    <xf numFmtId="0" fontId="14" fillId="2" borderId="0" xfId="0" applyFont="1" applyFill="1" applyAlignment="1">
      <alignment horizontal="center"/>
    </xf>
    <xf numFmtId="0" fontId="16" fillId="2" borderId="0" xfId="0" applyFont="1" applyFill="1" applyAlignment="1">
      <alignment horizontal="center"/>
    </xf>
    <xf numFmtId="0" fontId="22" fillId="2" borderId="4" xfId="0" applyFont="1" applyFill="1" applyBorder="1" applyAlignment="1">
      <alignment horizontal="center" vertical="center"/>
    </xf>
    <xf numFmtId="0" fontId="22" fillId="2" borderId="4" xfId="0" applyFont="1" applyFill="1" applyBorder="1" applyAlignment="1">
      <alignment horizontal="center" vertical="center" wrapText="1"/>
    </xf>
    <xf numFmtId="0" fontId="36" fillId="2" borderId="4" xfId="0" applyFont="1" applyFill="1" applyBorder="1" applyAlignment="1">
      <alignment horizontal="center" vertical="center" wrapText="1"/>
    </xf>
    <xf numFmtId="3" fontId="36" fillId="2" borderId="4" xfId="0" applyNumberFormat="1" applyFont="1" applyFill="1" applyBorder="1" applyAlignment="1">
      <alignment horizontal="center" vertical="center"/>
    </xf>
    <xf numFmtId="0" fontId="29" fillId="2" borderId="4" xfId="0" applyFont="1" applyFill="1" applyBorder="1" applyAlignment="1">
      <alignment horizontal="left" vertical="center"/>
    </xf>
    <xf numFmtId="0" fontId="36" fillId="2" borderId="4" xfId="0" applyFont="1" applyFill="1" applyBorder="1" applyAlignment="1">
      <alignment horizontal="left" vertical="center"/>
    </xf>
    <xf numFmtId="218" fontId="36" fillId="2" borderId="4" xfId="0" applyNumberFormat="1" applyFont="1" applyFill="1" applyBorder="1" applyAlignment="1">
      <alignment horizontal="center" vertical="center"/>
    </xf>
    <xf numFmtId="3" fontId="36" fillId="2" borderId="4" xfId="93" applyNumberFormat="1" applyFont="1" applyFill="1" applyBorder="1" applyAlignment="1">
      <alignment horizontal="center" vertical="center"/>
    </xf>
    <xf numFmtId="218" fontId="22" fillId="2" borderId="4" xfId="0" applyNumberFormat="1" applyFont="1" applyFill="1" applyBorder="1" applyAlignment="1">
      <alignment horizontal="center" vertical="center"/>
    </xf>
    <xf numFmtId="0" fontId="22" fillId="2" borderId="0" xfId="0" applyFont="1" applyFill="1" applyAlignment="1">
      <alignment horizontal="center"/>
    </xf>
    <xf numFmtId="0" fontId="15" fillId="2" borderId="0" xfId="0" applyFont="1" applyFill="1" applyAlignment="1">
      <alignment horizontal="center"/>
    </xf>
    <xf numFmtId="0" fontId="15" fillId="2" borderId="0" xfId="0" applyFont="1" applyFill="1" applyAlignment="1">
      <alignment shrinkToFit="1"/>
    </xf>
    <xf numFmtId="219" fontId="15" fillId="2" borderId="0" xfId="93" applyNumberFormat="1" applyFont="1" applyFill="1"/>
    <xf numFmtId="0" fontId="13" fillId="2" borderId="0" xfId="0" applyFont="1" applyFill="1" applyAlignment="1">
      <alignment horizontal="center"/>
    </xf>
    <xf numFmtId="0" fontId="13" fillId="2" borderId="0" xfId="0" applyFont="1" applyFill="1"/>
    <xf numFmtId="216" fontId="29" fillId="2" borderId="0" xfId="93" applyNumberFormat="1" applyFont="1" applyFill="1"/>
    <xf numFmtId="0" fontId="38" fillId="2" borderId="4" xfId="0" applyFont="1" applyFill="1" applyBorder="1" applyAlignment="1">
      <alignment horizontal="center" vertical="center" wrapText="1"/>
    </xf>
    <xf numFmtId="216" fontId="22" fillId="2" borderId="4" xfId="93" applyNumberFormat="1" applyFont="1" applyFill="1" applyBorder="1" applyAlignment="1">
      <alignment horizontal="center" vertical="center" wrapText="1"/>
    </xf>
    <xf numFmtId="187" fontId="36" fillId="2" borderId="4" xfId="93" applyNumberFormat="1" applyFont="1" applyFill="1" applyBorder="1" applyAlignment="1">
      <alignment horizontal="right" vertical="center"/>
    </xf>
    <xf numFmtId="187" fontId="22" fillId="2" borderId="4" xfId="0" applyNumberFormat="1" applyFont="1" applyFill="1" applyBorder="1" applyAlignment="1">
      <alignment horizontal="right" vertical="center"/>
    </xf>
    <xf numFmtId="217" fontId="21" fillId="2" borderId="0" xfId="0" applyNumberFormat="1" applyFont="1" applyFill="1" applyAlignment="1">
      <alignment horizontal="center"/>
    </xf>
    <xf numFmtId="216" fontId="14" fillId="2" borderId="0" xfId="93" applyNumberFormat="1" applyFont="1" applyFill="1"/>
    <xf numFmtId="43" fontId="39" fillId="2" borderId="0" xfId="0" applyNumberFormat="1" applyFont="1" applyFill="1"/>
    <xf numFmtId="0" fontId="22" fillId="2" borderId="0" xfId="0" applyFont="1" applyFill="1" applyAlignment="1">
      <alignment horizontal="center" vertical="center" wrapText="1"/>
    </xf>
    <xf numFmtId="0" fontId="22" fillId="2" borderId="0" xfId="0" applyFont="1" applyFill="1" applyAlignment="1">
      <alignment horizontal="center" vertical="center"/>
    </xf>
    <xf numFmtId="2" fontId="36" fillId="2" borderId="0" xfId="0" applyNumberFormat="1" applyFont="1" applyFill="1"/>
    <xf numFmtId="220" fontId="36" fillId="2" borderId="4" xfId="0" applyNumberFormat="1" applyFont="1" applyFill="1" applyBorder="1" applyAlignment="1">
      <alignment horizontal="center" vertical="center"/>
    </xf>
    <xf numFmtId="220" fontId="29" fillId="2" borderId="4" xfId="0" applyNumberFormat="1" applyFont="1" applyFill="1" applyBorder="1" applyAlignment="1">
      <alignment horizontal="left" vertical="center"/>
    </xf>
    <xf numFmtId="220" fontId="29" fillId="2" borderId="0" xfId="0" applyNumberFormat="1" applyFont="1" applyFill="1" applyAlignment="1">
      <alignment horizontal="left" vertical="center"/>
    </xf>
    <xf numFmtId="3" fontId="15" fillId="2" borderId="0" xfId="0" applyNumberFormat="1" applyFont="1" applyFill="1" applyAlignment="1">
      <alignment horizontal="center" vertical="center"/>
    </xf>
    <xf numFmtId="0" fontId="40" fillId="2" borderId="0" xfId="0" applyFont="1" applyFill="1" applyAlignment="1">
      <alignment horizontal="center" vertical="center"/>
    </xf>
    <xf numFmtId="0" fontId="36" fillId="2" borderId="4" xfId="0" applyFont="1" applyFill="1" applyBorder="1" applyAlignment="1">
      <alignment horizontal="center" vertical="center"/>
    </xf>
    <xf numFmtId="2" fontId="22" fillId="2" borderId="0" xfId="0" applyNumberFormat="1" applyFont="1" applyFill="1" applyAlignment="1">
      <alignment horizontal="center" vertical="center"/>
    </xf>
    <xf numFmtId="215" fontId="14" fillId="2" borderId="0" xfId="0" applyNumberFormat="1" applyFont="1" applyFill="1" applyAlignment="1">
      <alignment horizontal="center" vertical="center"/>
    </xf>
    <xf numFmtId="3" fontId="14" fillId="2" borderId="0" xfId="0" applyNumberFormat="1" applyFont="1" applyFill="1" applyAlignment="1">
      <alignment horizontal="center" vertical="center"/>
    </xf>
    <xf numFmtId="0" fontId="20" fillId="2" borderId="0" xfId="0" applyFont="1" applyFill="1" applyAlignment="1">
      <alignment horizontal="center"/>
    </xf>
    <xf numFmtId="215" fontId="14" fillId="2" borderId="0" xfId="0" applyNumberFormat="1" applyFont="1" applyFill="1"/>
    <xf numFmtId="4" fontId="14" fillId="2" borderId="0" xfId="0" applyNumberFormat="1" applyFont="1" applyFill="1"/>
    <xf numFmtId="217" fontId="15" fillId="2" borderId="0" xfId="0" applyNumberFormat="1" applyFont="1" applyFill="1"/>
    <xf numFmtId="2" fontId="15" fillId="2" borderId="0" xfId="0" applyNumberFormat="1" applyFont="1" applyFill="1"/>
    <xf numFmtId="0" fontId="25" fillId="2" borderId="0" xfId="490" applyFont="1" applyFill="1"/>
    <xf numFmtId="0" fontId="30" fillId="2" borderId="0" xfId="490" applyFont="1" applyFill="1" applyAlignment="1">
      <alignment vertical="center" wrapText="1"/>
    </xf>
    <xf numFmtId="0" fontId="30" fillId="2" borderId="0" xfId="490" applyFont="1" applyFill="1"/>
    <xf numFmtId="216" fontId="30" fillId="2" borderId="0" xfId="1" applyNumberFormat="1" applyFont="1" applyFill="1"/>
    <xf numFmtId="3" fontId="30" fillId="2" borderId="0" xfId="490" applyNumberFormat="1" applyFont="1" applyFill="1"/>
    <xf numFmtId="0" fontId="30" fillId="2" borderId="0" xfId="490" applyFont="1" applyFill="1" applyAlignment="1">
      <alignment horizontal="center"/>
    </xf>
    <xf numFmtId="216" fontId="25" fillId="2" borderId="0" xfId="1" applyNumberFormat="1" applyFont="1" applyFill="1" applyAlignment="1">
      <alignment horizontal="center"/>
    </xf>
    <xf numFmtId="3" fontId="25" fillId="2" borderId="0" xfId="490" applyNumberFormat="1" applyFont="1" applyFill="1" applyAlignment="1">
      <alignment horizontal="center"/>
    </xf>
    <xf numFmtId="216" fontId="30" fillId="2" borderId="0" xfId="1" applyNumberFormat="1" applyFont="1" applyFill="1" applyAlignment="1">
      <alignment horizontal="center"/>
    </xf>
    <xf numFmtId="3" fontId="30" fillId="2" borderId="0" xfId="490" applyNumberFormat="1" applyFont="1" applyFill="1" applyAlignment="1">
      <alignment horizontal="center"/>
    </xf>
    <xf numFmtId="0" fontId="31" fillId="2" borderId="0" xfId="490" applyFont="1" applyFill="1" applyAlignment="1">
      <alignment horizontal="center"/>
    </xf>
    <xf numFmtId="216" fontId="32" fillId="2" borderId="1" xfId="1" applyNumberFormat="1" applyFont="1" applyFill="1" applyBorder="1" applyAlignment="1">
      <alignment horizontal="center"/>
    </xf>
    <xf numFmtId="0" fontId="25" fillId="2" borderId="4" xfId="490" applyFont="1" applyFill="1" applyBorder="1" applyAlignment="1">
      <alignment horizontal="center" vertical="center" wrapText="1"/>
    </xf>
    <xf numFmtId="216" fontId="25" fillId="2" borderId="4" xfId="1" applyNumberFormat="1" applyFont="1" applyFill="1" applyBorder="1" applyAlignment="1">
      <alignment horizontal="center" vertical="center" wrapText="1"/>
    </xf>
    <xf numFmtId="3" fontId="25" fillId="2" borderId="4" xfId="490" applyNumberFormat="1" applyFont="1" applyFill="1" applyBorder="1" applyAlignment="1">
      <alignment horizontal="center" vertical="center" wrapText="1"/>
    </xf>
    <xf numFmtId="216" fontId="30" fillId="2" borderId="0" xfId="490" applyNumberFormat="1" applyFont="1" applyFill="1" applyAlignment="1">
      <alignment vertical="center" wrapText="1"/>
    </xf>
    <xf numFmtId="0" fontId="30" fillId="2" borderId="4" xfId="561" applyFont="1" applyFill="1" applyBorder="1" applyAlignment="1">
      <alignment horizontal="center" vertical="center"/>
    </xf>
    <xf numFmtId="0" fontId="30" fillId="2" borderId="4" xfId="561" applyFont="1" applyFill="1" applyBorder="1" applyAlignment="1">
      <alignment horizontal="left" vertical="center"/>
    </xf>
    <xf numFmtId="216" fontId="30" fillId="2" borderId="4" xfId="1" applyNumberFormat="1" applyFont="1" applyFill="1" applyBorder="1" applyAlignment="1">
      <alignment horizontal="center"/>
    </xf>
    <xf numFmtId="43" fontId="30" fillId="2" borderId="4" xfId="1" applyFont="1" applyFill="1" applyBorder="1" applyAlignment="1">
      <alignment horizontal="center"/>
    </xf>
    <xf numFmtId="187" fontId="30" fillId="2" borderId="0" xfId="490" applyNumberFormat="1" applyFont="1" applyFill="1"/>
    <xf numFmtId="4" fontId="30" fillId="2" borderId="0" xfId="490" applyNumberFormat="1" applyFont="1" applyFill="1"/>
    <xf numFmtId="216" fontId="30" fillId="2" borderId="0" xfId="490" applyNumberFormat="1" applyFont="1" applyFill="1"/>
    <xf numFmtId="188" fontId="30" fillId="2" borderId="0" xfId="91" applyFont="1" applyFill="1"/>
    <xf numFmtId="221" fontId="30" fillId="2" borderId="0" xfId="490" applyNumberFormat="1" applyFont="1" applyFill="1"/>
    <xf numFmtId="216" fontId="25" fillId="2" borderId="4" xfId="1" applyNumberFormat="1" applyFont="1" applyFill="1" applyBorder="1" applyAlignment="1">
      <alignment horizontal="center"/>
    </xf>
    <xf numFmtId="43" fontId="25" fillId="2" borderId="4" xfId="1" applyFont="1" applyFill="1" applyBorder="1" applyAlignment="1">
      <alignment horizontal="center"/>
    </xf>
    <xf numFmtId="0" fontId="41" fillId="2" borderId="0" xfId="527" applyFont="1" applyFill="1"/>
    <xf numFmtId="222" fontId="30" fillId="2" borderId="0" xfId="91" applyNumberFormat="1" applyFont="1" applyFill="1"/>
    <xf numFmtId="0" fontId="42" fillId="2" borderId="0" xfId="527" applyFont="1" applyFill="1"/>
    <xf numFmtId="216" fontId="42" fillId="2" borderId="0" xfId="1" applyNumberFormat="1" applyFont="1" applyFill="1"/>
    <xf numFmtId="3" fontId="42" fillId="2" borderId="0" xfId="527" applyNumberFormat="1" applyFont="1" applyFill="1"/>
    <xf numFmtId="0" fontId="43" fillId="2" borderId="0" xfId="527" applyFont="1" applyFill="1"/>
    <xf numFmtId="216" fontId="43" fillId="2" borderId="0" xfId="1" applyNumberFormat="1" applyFont="1" applyFill="1" applyAlignment="1"/>
    <xf numFmtId="0" fontId="43" fillId="2" borderId="0" xfId="527" applyFont="1" applyFill="1" applyAlignment="1">
      <alignment horizontal="center"/>
    </xf>
    <xf numFmtId="3" fontId="43" fillId="2" borderId="0" xfId="527" applyNumberFormat="1" applyFont="1" applyFill="1"/>
    <xf numFmtId="223" fontId="30" fillId="2" borderId="0" xfId="91" applyNumberFormat="1" applyFont="1" applyFill="1"/>
    <xf numFmtId="0" fontId="25" fillId="2" borderId="0" xfId="0" applyFont="1" applyFill="1"/>
    <xf numFmtId="0" fontId="30" fillId="2" borderId="0" xfId="0" applyFont="1" applyFill="1"/>
    <xf numFmtId="0" fontId="25" fillId="2" borderId="0" xfId="0" applyFont="1" applyFill="1" applyAlignment="1">
      <alignment horizontal="center"/>
    </xf>
    <xf numFmtId="0" fontId="25" fillId="2" borderId="0" xfId="0" applyFont="1" applyFill="1" applyAlignment="1">
      <alignment horizontal="left"/>
    </xf>
    <xf numFmtId="0" fontId="25" fillId="2" borderId="4" xfId="0" applyFont="1" applyFill="1" applyBorder="1" applyAlignment="1">
      <alignment horizontal="center" vertical="center" wrapText="1"/>
    </xf>
    <xf numFmtId="0" fontId="30" fillId="2" borderId="4" xfId="0" applyFont="1" applyFill="1" applyBorder="1" applyAlignment="1">
      <alignment horizontal="center" vertical="center" wrapText="1"/>
    </xf>
    <xf numFmtId="3" fontId="30" fillId="2" borderId="4" xfId="0" applyNumberFormat="1" applyFont="1" applyFill="1" applyBorder="1" applyAlignment="1">
      <alignment horizontal="center" vertical="center"/>
    </xf>
    <xf numFmtId="216" fontId="30" fillId="2" borderId="4" xfId="1" applyNumberFormat="1" applyFont="1" applyFill="1" applyBorder="1" applyAlignment="1">
      <alignment horizontal="center" vertical="center"/>
    </xf>
    <xf numFmtId="218" fontId="30" fillId="2" borderId="4" xfId="0" applyNumberFormat="1" applyFont="1" applyFill="1" applyBorder="1" applyAlignment="1">
      <alignment horizontal="center" vertical="center"/>
    </xf>
    <xf numFmtId="216" fontId="25" fillId="2" borderId="4" xfId="1" applyNumberFormat="1" applyFont="1" applyFill="1" applyBorder="1" applyAlignment="1">
      <alignment horizontal="center" vertical="center"/>
    </xf>
    <xf numFmtId="0" fontId="30" fillId="2" borderId="0" xfId="0" applyFont="1" applyFill="1" applyAlignment="1">
      <alignment horizontal="center"/>
    </xf>
    <xf numFmtId="0" fontId="30" fillId="2" borderId="0" xfId="0" applyFont="1" applyFill="1" applyAlignment="1">
      <alignment shrinkToFit="1"/>
    </xf>
    <xf numFmtId="43" fontId="25" fillId="2" borderId="0" xfId="0" applyNumberFormat="1" applyFont="1" applyFill="1"/>
    <xf numFmtId="0" fontId="25" fillId="2" borderId="0" xfId="0" applyFont="1" applyFill="1" applyAlignment="1">
      <alignment horizontal="center" vertical="center" wrapText="1"/>
    </xf>
    <xf numFmtId="220" fontId="30" fillId="2" borderId="0" xfId="0" applyNumberFormat="1" applyFont="1" applyFill="1" applyAlignment="1">
      <alignment horizontal="left" vertical="center"/>
    </xf>
    <xf numFmtId="3" fontId="30" fillId="2" borderId="0" xfId="0" applyNumberFormat="1" applyFont="1" applyFill="1" applyAlignment="1">
      <alignment horizontal="center" vertical="center"/>
    </xf>
    <xf numFmtId="0" fontId="34" fillId="2" borderId="0" xfId="0" applyFont="1" applyFill="1" applyAlignment="1">
      <alignment horizontal="center" vertical="center"/>
    </xf>
    <xf numFmtId="2" fontId="25" fillId="2" borderId="0" xfId="0" applyNumberFormat="1" applyFont="1" applyFill="1" applyAlignment="1">
      <alignment horizontal="center" vertical="center"/>
    </xf>
    <xf numFmtId="215" fontId="25" fillId="2" borderId="0" xfId="0" applyNumberFormat="1" applyFont="1" applyFill="1" applyAlignment="1">
      <alignment horizontal="center" vertical="center"/>
    </xf>
    <xf numFmtId="3" fontId="25" fillId="2" borderId="0" xfId="0" applyNumberFormat="1" applyFont="1" applyFill="1" applyAlignment="1">
      <alignment horizontal="center" vertical="center"/>
    </xf>
    <xf numFmtId="215" fontId="25" fillId="2" borderId="0" xfId="0" applyNumberFormat="1" applyFont="1" applyFill="1"/>
    <xf numFmtId="4" fontId="25" fillId="2" borderId="0" xfId="0" applyNumberFormat="1" applyFont="1" applyFill="1"/>
    <xf numFmtId="217" fontId="32" fillId="2" borderId="0" xfId="0" applyNumberFormat="1" applyFont="1" applyFill="1" applyAlignment="1">
      <alignment horizontal="center"/>
    </xf>
    <xf numFmtId="217" fontId="30" fillId="2" borderId="0" xfId="0" applyNumberFormat="1" applyFont="1" applyFill="1"/>
    <xf numFmtId="2" fontId="30" fillId="2" borderId="0" xfId="0" applyNumberFormat="1" applyFont="1" applyFill="1"/>
    <xf numFmtId="3" fontId="30" fillId="2" borderId="0" xfId="0" applyNumberFormat="1" applyFont="1" applyFill="1"/>
    <xf numFmtId="0" fontId="44" fillId="0" borderId="0" xfId="0" applyFont="1"/>
    <xf numFmtId="224" fontId="25" fillId="3" borderId="0" xfId="1" applyNumberFormat="1" applyFont="1" applyFill="1" applyAlignment="1"/>
    <xf numFmtId="224" fontId="45" fillId="3" borderId="0" xfId="1" applyNumberFormat="1" applyFont="1" applyFill="1" applyAlignment="1"/>
    <xf numFmtId="0" fontId="46" fillId="3" borderId="0" xfId="0" applyFont="1" applyFill="1"/>
    <xf numFmtId="0" fontId="20" fillId="3" borderId="0" xfId="0" applyFont="1" applyFill="1"/>
    <xf numFmtId="0" fontId="13" fillId="3" borderId="0" xfId="0" applyFont="1" applyFill="1"/>
    <xf numFmtId="0" fontId="13" fillId="3" borderId="0" xfId="0" applyFont="1" applyFill="1" applyAlignment="1">
      <alignment horizontal="center"/>
    </xf>
    <xf numFmtId="0" fontId="16" fillId="3" borderId="0" xfId="0" applyFont="1" applyFill="1" applyAlignment="1">
      <alignment wrapText="1"/>
    </xf>
    <xf numFmtId="0" fontId="36" fillId="0" borderId="0" xfId="0" applyFont="1" applyAlignment="1">
      <alignment horizontal="center" vertical="center"/>
    </xf>
    <xf numFmtId="0" fontId="36" fillId="0" borderId="0" xfId="0" applyFont="1" applyAlignment="1">
      <alignment vertical="center"/>
    </xf>
    <xf numFmtId="4" fontId="14" fillId="0" borderId="15" xfId="0" applyNumberFormat="1" applyFont="1" applyBorder="1" applyAlignment="1">
      <alignment vertical="center"/>
    </xf>
    <xf numFmtId="3" fontId="14" fillId="0" borderId="0" xfId="0" applyNumberFormat="1" applyFont="1" applyAlignment="1">
      <alignment vertical="center" wrapText="1"/>
    </xf>
    <xf numFmtId="4" fontId="15" fillId="0" borderId="15" xfId="0" applyNumberFormat="1" applyFont="1" applyBorder="1" applyAlignment="1">
      <alignment vertical="center"/>
    </xf>
    <xf numFmtId="0" fontId="20" fillId="0" borderId="3" xfId="0" applyFont="1" applyBorder="1" applyAlignment="1">
      <alignment horizontal="center" vertical="center"/>
    </xf>
    <xf numFmtId="0" fontId="20" fillId="0" borderId="3" xfId="0" applyFont="1" applyBorder="1" applyAlignment="1">
      <alignment horizontal="left" vertical="center"/>
    </xf>
    <xf numFmtId="4" fontId="20" fillId="0" borderId="14" xfId="0" applyNumberFormat="1" applyFont="1" applyBorder="1" applyAlignment="1">
      <alignment horizontal="center" vertical="center"/>
    </xf>
    <xf numFmtId="225" fontId="20" fillId="0" borderId="14" xfId="1" applyNumberFormat="1" applyFont="1" applyFill="1" applyBorder="1" applyAlignment="1">
      <alignment horizontal="center" vertical="center" wrapText="1"/>
    </xf>
    <xf numFmtId="4" fontId="15" fillId="0" borderId="0" xfId="0" applyNumberFormat="1" applyFont="1" applyAlignment="1">
      <alignment vertical="center"/>
    </xf>
    <xf numFmtId="4" fontId="15" fillId="0" borderId="0" xfId="0" applyNumberFormat="1" applyFont="1" applyAlignment="1">
      <alignment vertical="center" wrapText="1"/>
    </xf>
    <xf numFmtId="4" fontId="13" fillId="0" borderId="14" xfId="0" applyNumberFormat="1" applyFont="1" applyBorder="1" applyAlignment="1">
      <alignment horizontal="center" vertical="center"/>
    </xf>
    <xf numFmtId="3" fontId="13" fillId="0" borderId="14" xfId="0" applyNumberFormat="1" applyFont="1" applyBorder="1" applyAlignment="1">
      <alignment horizontal="right" vertical="center"/>
    </xf>
    <xf numFmtId="3" fontId="15" fillId="0" borderId="0" xfId="0" applyNumberFormat="1" applyFont="1" applyAlignment="1">
      <alignment vertical="center" wrapText="1"/>
    </xf>
    <xf numFmtId="0" fontId="49" fillId="0" borderId="0" xfId="0" applyFont="1" applyAlignment="1">
      <alignment horizontal="center"/>
    </xf>
    <xf numFmtId="0" fontId="47" fillId="0" borderId="0" xfId="0" applyFont="1" applyAlignment="1">
      <alignment horizontal="center"/>
    </xf>
    <xf numFmtId="0" fontId="20" fillId="3" borderId="0" xfId="0" applyFont="1" applyFill="1" applyAlignment="1">
      <alignment horizontal="center"/>
    </xf>
    <xf numFmtId="224" fontId="13" fillId="3" borderId="0" xfId="1" applyNumberFormat="1" applyFont="1" applyFill="1" applyAlignment="1"/>
    <xf numFmtId="224" fontId="50" fillId="3" borderId="0" xfId="1" applyNumberFormat="1" applyFont="1" applyFill="1" applyAlignment="1"/>
    <xf numFmtId="224" fontId="36" fillId="3" borderId="0" xfId="1" applyNumberFormat="1" applyFont="1" applyFill="1"/>
    <xf numFmtId="0" fontId="46" fillId="3" borderId="0" xfId="0" applyFont="1" applyFill="1" applyAlignment="1">
      <alignment horizontal="center"/>
    </xf>
    <xf numFmtId="226" fontId="36" fillId="3" borderId="0" xfId="1" applyNumberFormat="1" applyFont="1" applyFill="1"/>
    <xf numFmtId="227" fontId="50" fillId="3" borderId="0" xfId="1" applyNumberFormat="1" applyFont="1" applyFill="1" applyAlignment="1">
      <alignment horizontal="center"/>
    </xf>
    <xf numFmtId="224" fontId="50" fillId="3" borderId="0" xfId="1" applyNumberFormat="1" applyFont="1" applyFill="1" applyAlignment="1">
      <alignment horizontal="center"/>
    </xf>
    <xf numFmtId="0" fontId="16" fillId="3" borderId="0" xfId="0" applyFont="1" applyFill="1"/>
    <xf numFmtId="43" fontId="20" fillId="0" borderId="0" xfId="1" applyFont="1" applyFill="1" applyAlignment="1">
      <alignment horizontal="center"/>
    </xf>
    <xf numFmtId="3" fontId="14" fillId="0" borderId="0" xfId="0" applyNumberFormat="1" applyFont="1" applyAlignment="1">
      <alignment vertical="center"/>
    </xf>
    <xf numFmtId="3" fontId="15" fillId="0" borderId="0" xfId="0" applyNumberFormat="1" applyFont="1" applyAlignment="1">
      <alignment vertical="center"/>
    </xf>
    <xf numFmtId="224" fontId="20" fillId="3" borderId="0" xfId="1" applyNumberFormat="1" applyFont="1" applyFill="1"/>
    <xf numFmtId="2" fontId="44" fillId="0" borderId="0" xfId="0" applyNumberFormat="1" applyFont="1"/>
    <xf numFmtId="0" fontId="51" fillId="0" borderId="0" xfId="0" applyFont="1"/>
    <xf numFmtId="0" fontId="52" fillId="0" borderId="0" xfId="0" applyFont="1"/>
    <xf numFmtId="0" fontId="53" fillId="0" borderId="0" xfId="0" applyFont="1" applyAlignment="1">
      <alignment wrapText="1"/>
    </xf>
    <xf numFmtId="0" fontId="54" fillId="0" borderId="0" xfId="0" applyFont="1"/>
    <xf numFmtId="0" fontId="55" fillId="0" borderId="0" xfId="0" applyFont="1"/>
    <xf numFmtId="0" fontId="53" fillId="0" borderId="0" xfId="0" applyFont="1"/>
    <xf numFmtId="0" fontId="53" fillId="0" borderId="17" xfId="0" applyFont="1" applyBorder="1" applyAlignment="1">
      <alignment horizontal="center" vertical="center" wrapText="1"/>
    </xf>
    <xf numFmtId="0" fontId="54" fillId="0" borderId="18" xfId="0" applyFont="1" applyBorder="1" applyAlignment="1">
      <alignment horizontal="center" vertical="center"/>
    </xf>
    <xf numFmtId="0" fontId="56" fillId="0" borderId="18" xfId="0" applyFont="1" applyBorder="1"/>
    <xf numFmtId="3" fontId="54" fillId="0" borderId="18" xfId="0" applyNumberFormat="1" applyFont="1" applyBorder="1" applyAlignment="1">
      <alignment horizontal="center" vertical="center"/>
    </xf>
    <xf numFmtId="0" fontId="54" fillId="0" borderId="18" xfId="0" applyFont="1" applyBorder="1"/>
    <xf numFmtId="3" fontId="54" fillId="0" borderId="0" xfId="0" applyNumberFormat="1" applyFont="1"/>
    <xf numFmtId="0" fontId="55" fillId="0" borderId="18" xfId="0" applyFont="1" applyBorder="1" applyAlignment="1">
      <alignment horizontal="center" vertical="center"/>
    </xf>
    <xf numFmtId="0" fontId="55" fillId="0" borderId="18" xfId="0" applyFont="1" applyBorder="1"/>
    <xf numFmtId="3" fontId="55" fillId="0" borderId="18" xfId="0" applyNumberFormat="1" applyFont="1" applyBorder="1" applyAlignment="1">
      <alignment horizontal="center" vertical="center"/>
    </xf>
    <xf numFmtId="0" fontId="53" fillId="0" borderId="18" xfId="0" applyFont="1" applyBorder="1" applyAlignment="1">
      <alignment horizontal="center" vertical="center"/>
    </xf>
    <xf numFmtId="0" fontId="53" fillId="0" borderId="18" xfId="0" applyFont="1" applyBorder="1"/>
    <xf numFmtId="3" fontId="53" fillId="0" borderId="18" xfId="0" applyNumberFormat="1" applyFont="1" applyBorder="1" applyAlignment="1">
      <alignment horizontal="center" vertical="center"/>
    </xf>
    <xf numFmtId="3" fontId="53" fillId="0" borderId="0" xfId="0" applyNumberFormat="1" applyFont="1" applyAlignment="1">
      <alignment horizontal="center" vertical="center"/>
    </xf>
    <xf numFmtId="4" fontId="55" fillId="0" borderId="18" xfId="0" applyNumberFormat="1" applyFont="1" applyBorder="1" applyAlignment="1">
      <alignment horizontal="center" vertical="center"/>
    </xf>
    <xf numFmtId="4" fontId="53" fillId="0" borderId="18" xfId="0" applyNumberFormat="1" applyFont="1" applyBorder="1" applyAlignment="1">
      <alignment horizontal="center" vertical="center"/>
    </xf>
    <xf numFmtId="221" fontId="55" fillId="0" borderId="18" xfId="0" applyNumberFormat="1" applyFont="1" applyBorder="1" applyAlignment="1">
      <alignment horizontal="center" vertical="center"/>
    </xf>
    <xf numFmtId="3" fontId="53" fillId="0" borderId="0" xfId="0" applyNumberFormat="1" applyFont="1"/>
    <xf numFmtId="4" fontId="54" fillId="0" borderId="18" xfId="0" applyNumberFormat="1" applyFont="1" applyBorder="1" applyAlignment="1">
      <alignment horizontal="center" vertical="center"/>
    </xf>
    <xf numFmtId="3" fontId="55" fillId="0" borderId="0" xfId="0" applyNumberFormat="1" applyFont="1"/>
    <xf numFmtId="0" fontId="54" fillId="0" borderId="19" xfId="0" applyFont="1" applyBorder="1" applyAlignment="1">
      <alignment horizontal="center" vertical="center"/>
    </xf>
    <xf numFmtId="0" fontId="54" fillId="0" borderId="19" xfId="0" applyFont="1" applyBorder="1"/>
    <xf numFmtId="3" fontId="54" fillId="0" borderId="19" xfId="0" applyNumberFormat="1" applyFont="1" applyBorder="1" applyAlignment="1">
      <alignment horizontal="center" vertical="center"/>
    </xf>
    <xf numFmtId="0" fontId="54" fillId="0" borderId="4" xfId="0" applyFont="1" applyBorder="1" applyAlignment="1">
      <alignment horizontal="center" vertical="center"/>
    </xf>
    <xf numFmtId="0" fontId="54" fillId="0" borderId="4" xfId="0" applyFont="1" applyBorder="1"/>
    <xf numFmtId="3" fontId="54" fillId="0" borderId="4" xfId="0" applyNumberFormat="1" applyFont="1" applyBorder="1" applyAlignment="1">
      <alignment horizontal="center" vertical="center"/>
    </xf>
    <xf numFmtId="0" fontId="22" fillId="2" borderId="0" xfId="0" applyFont="1" applyFill="1"/>
    <xf numFmtId="0" fontId="36" fillId="2" borderId="0" xfId="0" applyFont="1" applyFill="1"/>
    <xf numFmtId="0" fontId="58" fillId="2" borderId="0" xfId="0" applyFont="1" applyFill="1" applyAlignment="1">
      <alignment horizontal="center"/>
    </xf>
    <xf numFmtId="0" fontId="14" fillId="2" borderId="2" xfId="0" applyFont="1" applyFill="1" applyBorder="1" applyAlignment="1">
      <alignment horizontal="center" vertical="center"/>
    </xf>
    <xf numFmtId="0" fontId="15" fillId="2" borderId="2" xfId="0" applyFont="1" applyFill="1" applyBorder="1" applyAlignment="1">
      <alignment horizontal="center" vertical="center"/>
    </xf>
    <xf numFmtId="0" fontId="36" fillId="0" borderId="4" xfId="0" applyFont="1" applyBorder="1" applyAlignment="1">
      <alignment horizontal="left"/>
    </xf>
    <xf numFmtId="0" fontId="36" fillId="2" borderId="2" xfId="0" applyFont="1" applyFill="1" applyBorder="1" applyAlignment="1">
      <alignment horizontal="left" vertical="center"/>
    </xf>
    <xf numFmtId="1" fontId="29" fillId="2" borderId="4" xfId="93" applyNumberFormat="1" applyFont="1" applyFill="1" applyBorder="1" applyAlignment="1">
      <alignment horizontal="center" vertical="center"/>
    </xf>
    <xf numFmtId="0" fontId="14" fillId="2" borderId="22" xfId="0" applyFont="1" applyFill="1" applyBorder="1" applyAlignment="1">
      <alignment vertical="center"/>
    </xf>
    <xf numFmtId="0" fontId="36" fillId="2" borderId="0" xfId="0" applyFont="1" applyFill="1" applyAlignment="1">
      <alignment horizontal="center"/>
    </xf>
    <xf numFmtId="0" fontId="36" fillId="2" borderId="0" xfId="0" applyFont="1" applyFill="1" applyAlignment="1">
      <alignment horizontal="left"/>
    </xf>
    <xf numFmtId="0" fontId="20" fillId="2" borderId="0" xfId="0" applyFont="1" applyFill="1" applyAlignment="1">
      <alignment horizontal="left"/>
    </xf>
    <xf numFmtId="0" fontId="20" fillId="2" borderId="0" xfId="0" applyFont="1" applyFill="1"/>
    <xf numFmtId="0" fontId="27" fillId="2" borderId="0" xfId="0" applyFont="1" applyFill="1"/>
    <xf numFmtId="0" fontId="19" fillId="2" borderId="2" xfId="0" applyFont="1" applyFill="1" applyBorder="1" applyAlignment="1">
      <alignment vertical="center"/>
    </xf>
    <xf numFmtId="0" fontId="15" fillId="2" borderId="2" xfId="0" applyFont="1" applyFill="1" applyBorder="1" applyAlignment="1">
      <alignment vertical="center"/>
    </xf>
    <xf numFmtId="0" fontId="22" fillId="0" borderId="0" xfId="0" applyFont="1" applyAlignment="1">
      <alignment vertical="center"/>
    </xf>
    <xf numFmtId="0" fontId="22" fillId="0" borderId="0" xfId="0" applyFont="1"/>
    <xf numFmtId="0" fontId="36" fillId="0" borderId="0" xfId="0" applyFont="1"/>
    <xf numFmtId="0" fontId="58" fillId="0" borderId="0" xfId="0" applyFont="1" applyAlignment="1">
      <alignment horizontal="center"/>
    </xf>
    <xf numFmtId="0" fontId="15" fillId="0" borderId="25" xfId="0" applyFont="1" applyBorder="1" applyAlignment="1">
      <alignment horizontal="center" vertical="center"/>
    </xf>
    <xf numFmtId="0" fontId="36" fillId="0" borderId="4" xfId="497" applyFont="1" applyBorder="1" applyAlignment="1">
      <alignment horizontal="left" vertical="center"/>
    </xf>
    <xf numFmtId="1" fontId="29" fillId="0" borderId="4" xfId="93" applyNumberFormat="1" applyFont="1" applyFill="1" applyBorder="1" applyAlignment="1">
      <alignment horizontal="center" vertical="center"/>
    </xf>
    <xf numFmtId="0" fontId="14" fillId="0" borderId="26" xfId="0" applyFont="1" applyBorder="1" applyAlignment="1">
      <alignment vertical="center"/>
    </xf>
    <xf numFmtId="1" fontId="59" fillId="0" borderId="26" xfId="0" applyNumberFormat="1" applyFont="1" applyBorder="1" applyAlignment="1">
      <alignment vertical="center"/>
    </xf>
    <xf numFmtId="0" fontId="14" fillId="0" borderId="0" xfId="0" applyFont="1" applyAlignment="1">
      <alignment horizontal="center" vertical="center"/>
    </xf>
    <xf numFmtId="0" fontId="36" fillId="0" borderId="0" xfId="0" applyFont="1" applyAlignment="1">
      <alignment horizontal="center"/>
    </xf>
    <xf numFmtId="0" fontId="36" fillId="0" borderId="0" xfId="0" applyFont="1" applyAlignment="1">
      <alignment horizontal="left"/>
    </xf>
    <xf numFmtId="0" fontId="20" fillId="0" borderId="0" xfId="0" applyFont="1" applyAlignment="1">
      <alignment horizontal="left"/>
    </xf>
    <xf numFmtId="0" fontId="22" fillId="0" borderId="0" xfId="0" applyFont="1" applyAlignment="1">
      <alignment horizontal="center"/>
    </xf>
    <xf numFmtId="216" fontId="15" fillId="0" borderId="24" xfId="1" applyNumberFormat="1" applyFont="1" applyFill="1" applyBorder="1" applyAlignment="1">
      <alignment horizontal="center" vertical="center"/>
    </xf>
    <xf numFmtId="0" fontId="19" fillId="0" borderId="2" xfId="0" applyFont="1" applyBorder="1" applyAlignment="1">
      <alignment vertical="center"/>
    </xf>
    <xf numFmtId="43" fontId="36" fillId="0" borderId="0" xfId="0" applyNumberFormat="1" applyFont="1"/>
    <xf numFmtId="216" fontId="14" fillId="0" borderId="24" xfId="1" applyNumberFormat="1" applyFont="1" applyFill="1" applyBorder="1" applyAlignment="1">
      <alignment horizontal="center" vertical="center"/>
    </xf>
    <xf numFmtId="0" fontId="15" fillId="0" borderId="2" xfId="0" applyFont="1" applyBorder="1" applyAlignment="1">
      <alignment vertical="center"/>
    </xf>
    <xf numFmtId="216" fontId="14" fillId="0" borderId="0" xfId="1" applyNumberFormat="1" applyFont="1" applyFill="1" applyBorder="1" applyAlignment="1">
      <alignment horizontal="center" vertical="center"/>
    </xf>
    <xf numFmtId="0" fontId="15" fillId="0" borderId="0" xfId="0" applyFont="1" applyAlignment="1">
      <alignment vertical="center"/>
    </xf>
    <xf numFmtId="0" fontId="30" fillId="0" borderId="0" xfId="0" applyFont="1"/>
    <xf numFmtId="0" fontId="30" fillId="0" borderId="0" xfId="0" applyFont="1" applyAlignment="1">
      <alignment horizontal="center"/>
    </xf>
    <xf numFmtId="4" fontId="30" fillId="0" borderId="0" xfId="0" applyNumberFormat="1" applyFont="1" applyAlignment="1">
      <alignment horizontal="center"/>
    </xf>
    <xf numFmtId="4" fontId="30" fillId="0" borderId="0" xfId="0" applyNumberFormat="1" applyFont="1" applyAlignment="1">
      <alignment horizontal="right"/>
    </xf>
    <xf numFmtId="0" fontId="30" fillId="0" borderId="0" xfId="0" applyFont="1" applyAlignment="1">
      <alignment vertical="center"/>
    </xf>
    <xf numFmtId="0" fontId="30" fillId="0" borderId="4" xfId="0" applyFont="1" applyBorder="1" applyAlignment="1">
      <alignment horizontal="center" vertical="center"/>
    </xf>
    <xf numFmtId="0" fontId="30" fillId="0" borderId="4" xfId="0" applyFont="1" applyBorder="1" applyAlignment="1">
      <alignment horizontal="left" vertical="center"/>
    </xf>
    <xf numFmtId="0" fontId="30" fillId="0" borderId="4" xfId="210" applyFont="1" applyBorder="1" applyAlignment="1">
      <alignment horizontal="left" vertical="center" wrapText="1"/>
    </xf>
    <xf numFmtId="4" fontId="30" fillId="0" borderId="4" xfId="210" applyNumberFormat="1" applyFont="1" applyBorder="1" applyAlignment="1">
      <alignment horizontal="right" vertical="center"/>
    </xf>
    <xf numFmtId="3" fontId="30" fillId="0" borderId="4" xfId="1" applyNumberFormat="1" applyFont="1" applyFill="1" applyBorder="1" applyAlignment="1">
      <alignment horizontal="right" vertical="center"/>
    </xf>
    <xf numFmtId="4" fontId="25" fillId="0" borderId="4" xfId="1" applyNumberFormat="1" applyFont="1" applyFill="1" applyBorder="1" applyAlignment="1">
      <alignment horizontal="right" vertical="center"/>
    </xf>
    <xf numFmtId="4" fontId="25" fillId="0" borderId="4" xfId="0" applyNumberFormat="1" applyFont="1" applyBorder="1" applyAlignment="1">
      <alignment horizontal="right" vertical="center"/>
    </xf>
    <xf numFmtId="3" fontId="25" fillId="0" borderId="4" xfId="0" applyNumberFormat="1" applyFont="1" applyBorder="1" applyAlignment="1">
      <alignment horizontal="center" vertical="center"/>
    </xf>
    <xf numFmtId="3" fontId="25" fillId="0" borderId="4" xfId="0" applyNumberFormat="1" applyFont="1" applyBorder="1" applyAlignment="1">
      <alignment horizontal="right" vertical="center"/>
    </xf>
    <xf numFmtId="0" fontId="25" fillId="0" borderId="0" xfId="0" applyFont="1"/>
    <xf numFmtId="0" fontId="32" fillId="0" borderId="0" xfId="0" applyFont="1" applyAlignment="1">
      <alignment horizontal="center"/>
    </xf>
    <xf numFmtId="2" fontId="30" fillId="0" borderId="0" xfId="0" applyNumberFormat="1" applyFont="1"/>
    <xf numFmtId="3" fontId="25" fillId="0" borderId="0" xfId="0" applyNumberFormat="1" applyFont="1"/>
    <xf numFmtId="3" fontId="14" fillId="0" borderId="0" xfId="0" applyNumberFormat="1" applyFont="1"/>
    <xf numFmtId="2" fontId="27" fillId="0" borderId="0" xfId="0" applyNumberFormat="1" applyFont="1"/>
    <xf numFmtId="4" fontId="13" fillId="0" borderId="0" xfId="0" applyNumberFormat="1" applyFont="1" applyAlignment="1">
      <alignment horizontal="right"/>
    </xf>
    <xf numFmtId="4" fontId="15" fillId="0" borderId="0" xfId="0" applyNumberFormat="1" applyFont="1"/>
    <xf numFmtId="215" fontId="14" fillId="0" borderId="0" xfId="0" applyNumberFormat="1" applyFont="1"/>
    <xf numFmtId="0" fontId="13" fillId="2" borderId="0" xfId="490" applyFont="1" applyFill="1"/>
    <xf numFmtId="0" fontId="30" fillId="2" borderId="25" xfId="490" applyFont="1" applyFill="1" applyBorder="1"/>
    <xf numFmtId="0" fontId="60" fillId="2" borderId="0" xfId="490" applyFont="1" applyFill="1"/>
    <xf numFmtId="0" fontId="20" fillId="2" borderId="0" xfId="490" applyFill="1"/>
    <xf numFmtId="4" fontId="20" fillId="2" borderId="0" xfId="490" applyNumberFormat="1" applyFill="1" applyAlignment="1">
      <alignment horizontal="center"/>
    </xf>
    <xf numFmtId="3" fontId="20" fillId="2" borderId="0" xfId="490" applyNumberFormat="1" applyFill="1"/>
    <xf numFmtId="216" fontId="20" fillId="2" borderId="0" xfId="1" applyNumberFormat="1" applyFont="1" applyFill="1"/>
    <xf numFmtId="3" fontId="25" fillId="2" borderId="0" xfId="490" applyNumberFormat="1" applyFont="1" applyFill="1"/>
    <xf numFmtId="4" fontId="20" fillId="2" borderId="0" xfId="91" applyNumberFormat="1" applyFont="1" applyFill="1" applyAlignment="1">
      <alignment horizontal="center"/>
    </xf>
    <xf numFmtId="216" fontId="20" fillId="2" borderId="0" xfId="1" applyNumberFormat="1" applyFont="1" applyFill="1" applyAlignment="1">
      <alignment horizontal="center"/>
    </xf>
    <xf numFmtId="3" fontId="20" fillId="2" borderId="0" xfId="490" applyNumberFormat="1" applyFill="1" applyAlignment="1">
      <alignment horizontal="center"/>
    </xf>
    <xf numFmtId="0" fontId="20" fillId="2" borderId="0" xfId="490" applyFill="1" applyAlignment="1">
      <alignment horizontal="center"/>
    </xf>
    <xf numFmtId="0" fontId="61" fillId="2" borderId="0" xfId="0" applyFont="1" applyFill="1"/>
    <xf numFmtId="4" fontId="25" fillId="2" borderId="4" xfId="490" applyNumberFormat="1" applyFont="1" applyFill="1" applyBorder="1" applyAlignment="1">
      <alignment horizontal="center" vertical="center" wrapText="1"/>
    </xf>
    <xf numFmtId="0" fontId="1" fillId="0" borderId="4" xfId="432" applyFont="1" applyBorder="1" applyAlignment="1">
      <alignment horizontal="center"/>
    </xf>
    <xf numFmtId="0" fontId="25" fillId="2" borderId="4" xfId="561" applyFont="1" applyFill="1" applyBorder="1" applyAlignment="1">
      <alignment horizontal="left" vertical="center"/>
    </xf>
    <xf numFmtId="4" fontId="25" fillId="2" borderId="4" xfId="91" applyNumberFormat="1" applyFont="1" applyFill="1" applyBorder="1" applyAlignment="1">
      <alignment horizontal="center"/>
    </xf>
    <xf numFmtId="216" fontId="25" fillId="2" borderId="0" xfId="490" applyNumberFormat="1" applyFont="1" applyFill="1"/>
    <xf numFmtId="3" fontId="30" fillId="2" borderId="4" xfId="91" applyNumberFormat="1" applyFont="1" applyFill="1" applyBorder="1" applyAlignment="1">
      <alignment horizontal="center"/>
    </xf>
    <xf numFmtId="3" fontId="30" fillId="2" borderId="4" xfId="490" applyNumberFormat="1" applyFont="1" applyFill="1" applyBorder="1" applyAlignment="1">
      <alignment horizontal="center"/>
    </xf>
    <xf numFmtId="221" fontId="30" fillId="2" borderId="4" xfId="490" applyNumberFormat="1" applyFont="1" applyFill="1" applyBorder="1" applyAlignment="1">
      <alignment horizontal="center"/>
    </xf>
    <xf numFmtId="216" fontId="30" fillId="2" borderId="4" xfId="1" applyNumberFormat="1" applyFont="1" applyFill="1" applyBorder="1" applyAlignment="1"/>
    <xf numFmtId="4" fontId="30" fillId="2" borderId="4" xfId="91" applyNumberFormat="1" applyFont="1" applyFill="1" applyBorder="1" applyAlignment="1">
      <alignment horizontal="center"/>
    </xf>
    <xf numFmtId="228" fontId="30" fillId="2" borderId="4" xfId="1" applyNumberFormat="1" applyFont="1" applyFill="1" applyBorder="1" applyAlignment="1">
      <alignment horizontal="center"/>
    </xf>
    <xf numFmtId="0" fontId="25" fillId="2" borderId="4" xfId="561" applyFont="1" applyFill="1" applyBorder="1" applyAlignment="1">
      <alignment horizontal="center" vertical="center"/>
    </xf>
    <xf numFmtId="4" fontId="30" fillId="2" borderId="4" xfId="490" applyNumberFormat="1" applyFont="1" applyFill="1" applyBorder="1" applyAlignment="1">
      <alignment horizontal="center"/>
    </xf>
    <xf numFmtId="0" fontId="62" fillId="2" borderId="0" xfId="528" applyFont="1" applyFill="1"/>
    <xf numFmtId="4" fontId="60" fillId="2" borderId="0" xfId="490" applyNumberFormat="1" applyFont="1" applyFill="1" applyAlignment="1">
      <alignment horizontal="center"/>
    </xf>
    <xf numFmtId="0" fontId="63" fillId="2" borderId="0" xfId="528" applyFont="1" applyFill="1"/>
    <xf numFmtId="4" fontId="63" fillId="2" borderId="0" xfId="528" applyNumberFormat="1" applyFont="1" applyFill="1"/>
    <xf numFmtId="3" fontId="60" fillId="2" borderId="0" xfId="490" applyNumberFormat="1" applyFont="1" applyFill="1"/>
    <xf numFmtId="216" fontId="63" fillId="2" borderId="0" xfId="1" applyNumberFormat="1" applyFont="1" applyFill="1"/>
    <xf numFmtId="3" fontId="63" fillId="2" borderId="0" xfId="528" applyNumberFormat="1" applyFont="1" applyFill="1"/>
    <xf numFmtId="0" fontId="43" fillId="2" borderId="0" xfId="528" applyFont="1" applyFill="1"/>
    <xf numFmtId="0" fontId="43" fillId="2" borderId="0" xfId="528" applyFont="1" applyFill="1" applyAlignment="1">
      <alignment horizontal="center"/>
    </xf>
    <xf numFmtId="216" fontId="44" fillId="2" borderId="0" xfId="1" applyNumberFormat="1" applyFont="1" applyFill="1"/>
    <xf numFmtId="216" fontId="47" fillId="2" borderId="0" xfId="1" applyNumberFormat="1" applyFont="1" applyFill="1" applyAlignment="1"/>
    <xf numFmtId="216" fontId="20" fillId="2" borderId="0" xfId="490" applyNumberFormat="1" applyFill="1"/>
    <xf numFmtId="10" fontId="65" fillId="2" borderId="0" xfId="577" applyNumberFormat="1" applyFont="1" applyFill="1"/>
    <xf numFmtId="216" fontId="60" fillId="2" borderId="0" xfId="490" applyNumberFormat="1" applyFont="1" applyFill="1"/>
    <xf numFmtId="0" fontId="20" fillId="2" borderId="0" xfId="490" applyFill="1" applyAlignment="1">
      <alignment vertical="center" wrapText="1"/>
    </xf>
    <xf numFmtId="0" fontId="20" fillId="2" borderId="25" xfId="490" applyFill="1" applyBorder="1"/>
    <xf numFmtId="0" fontId="16" fillId="2" borderId="0" xfId="490" applyFont="1" applyFill="1"/>
    <xf numFmtId="3" fontId="20" fillId="2" borderId="0" xfId="490" applyNumberFormat="1" applyFill="1" applyAlignment="1">
      <alignment horizontal="right"/>
    </xf>
    <xf numFmtId="0" fontId="13" fillId="2" borderId="0" xfId="490" applyFont="1" applyFill="1" applyAlignment="1">
      <alignment horizontal="center"/>
    </xf>
    <xf numFmtId="3" fontId="13" fillId="2" borderId="0" xfId="490" applyNumberFormat="1" applyFont="1" applyFill="1" applyAlignment="1">
      <alignment horizontal="right"/>
    </xf>
    <xf numFmtId="3" fontId="13" fillId="2" borderId="0" xfId="490" applyNumberFormat="1" applyFont="1" applyFill="1"/>
    <xf numFmtId="216" fontId="13" fillId="2" borderId="0" xfId="1" applyNumberFormat="1" applyFont="1" applyFill="1" applyAlignment="1">
      <alignment horizontal="center"/>
    </xf>
    <xf numFmtId="3" fontId="13" fillId="2" borderId="0" xfId="490" applyNumberFormat="1" applyFont="1" applyFill="1" applyAlignment="1">
      <alignment horizontal="center"/>
    </xf>
    <xf numFmtId="216" fontId="21" fillId="2" borderId="1" xfId="1" applyNumberFormat="1" applyFont="1" applyFill="1" applyBorder="1" applyAlignment="1">
      <alignment horizontal="center"/>
    </xf>
    <xf numFmtId="0" fontId="13" fillId="2" borderId="4" xfId="490" applyFont="1" applyFill="1" applyBorder="1" applyAlignment="1">
      <alignment horizontal="center" vertical="center" wrapText="1"/>
    </xf>
    <xf numFmtId="4" fontId="13" fillId="2" borderId="4" xfId="490" applyNumberFormat="1" applyFont="1" applyFill="1" applyBorder="1" applyAlignment="1">
      <alignment horizontal="center" vertical="center" wrapText="1"/>
    </xf>
    <xf numFmtId="3" fontId="13" fillId="2" borderId="4" xfId="490" applyNumberFormat="1" applyFont="1" applyFill="1" applyBorder="1" applyAlignment="1">
      <alignment horizontal="center" vertical="center" wrapText="1"/>
    </xf>
    <xf numFmtId="216" fontId="13" fillId="2" borderId="4" xfId="1" applyNumberFormat="1" applyFont="1" applyFill="1" applyBorder="1" applyAlignment="1">
      <alignment horizontal="center" vertical="center" wrapText="1"/>
    </xf>
    <xf numFmtId="0" fontId="13" fillId="2" borderId="4" xfId="561" applyFont="1" applyFill="1" applyBorder="1" applyAlignment="1">
      <alignment horizontal="center" vertical="center"/>
    </xf>
    <xf numFmtId="0" fontId="13" fillId="2" borderId="4" xfId="561" applyFont="1" applyFill="1" applyBorder="1" applyAlignment="1">
      <alignment horizontal="left" vertical="center"/>
    </xf>
    <xf numFmtId="4" fontId="13" fillId="2" borderId="4" xfId="91" applyNumberFormat="1" applyFont="1" applyFill="1" applyBorder="1" applyAlignment="1">
      <alignment horizontal="center"/>
    </xf>
    <xf numFmtId="216" fontId="13" fillId="2" borderId="4" xfId="1" applyNumberFormat="1" applyFont="1" applyFill="1" applyBorder="1" applyAlignment="1">
      <alignment horizontal="center"/>
    </xf>
    <xf numFmtId="43" fontId="13" fillId="2" borderId="4" xfId="1" applyFont="1" applyFill="1" applyBorder="1" applyAlignment="1">
      <alignment horizontal="center"/>
    </xf>
    <xf numFmtId="0" fontId="20" fillId="2" borderId="4" xfId="561" applyFont="1" applyFill="1" applyBorder="1" applyAlignment="1">
      <alignment horizontal="center" vertical="center"/>
    </xf>
    <xf numFmtId="0" fontId="20" fillId="2" borderId="4" xfId="561" applyFont="1" applyFill="1" applyBorder="1" applyAlignment="1">
      <alignment horizontal="left" vertical="center"/>
    </xf>
    <xf numFmtId="3" fontId="20" fillId="2" borderId="4" xfId="91" applyNumberFormat="1" applyFont="1" applyFill="1" applyBorder="1" applyAlignment="1">
      <alignment horizontal="center"/>
    </xf>
    <xf numFmtId="216" fontId="20" fillId="2" borderId="4" xfId="1" applyNumberFormat="1" applyFont="1" applyFill="1" applyBorder="1" applyAlignment="1">
      <alignment horizontal="center"/>
    </xf>
    <xf numFmtId="43" fontId="20" fillId="2" borderId="4" xfId="1" applyFont="1" applyFill="1" applyBorder="1" applyAlignment="1">
      <alignment horizontal="center"/>
    </xf>
    <xf numFmtId="3" fontId="20" fillId="2" borderId="4" xfId="490" applyNumberFormat="1" applyFill="1" applyBorder="1" applyAlignment="1">
      <alignment horizontal="center"/>
    </xf>
    <xf numFmtId="221" fontId="20" fillId="2" borderId="4" xfId="490" applyNumberFormat="1" applyFill="1" applyBorder="1" applyAlignment="1">
      <alignment horizontal="center"/>
    </xf>
    <xf numFmtId="216" fontId="20" fillId="2" borderId="4" xfId="1" applyNumberFormat="1" applyFont="1" applyFill="1" applyBorder="1" applyAlignment="1"/>
    <xf numFmtId="43" fontId="8" fillId="2" borderId="4" xfId="1" applyFont="1" applyFill="1" applyBorder="1" applyAlignment="1">
      <alignment horizontal="center"/>
    </xf>
    <xf numFmtId="4" fontId="20" fillId="2" borderId="4" xfId="91" applyNumberFormat="1" applyFont="1" applyFill="1" applyBorder="1" applyAlignment="1">
      <alignment horizontal="center"/>
    </xf>
    <xf numFmtId="228" fontId="20" fillId="2" borderId="4" xfId="1" applyNumberFormat="1" applyFont="1" applyFill="1" applyBorder="1" applyAlignment="1">
      <alignment horizontal="center"/>
    </xf>
    <xf numFmtId="0" fontId="14" fillId="2" borderId="4" xfId="561" applyFont="1" applyFill="1" applyBorder="1" applyAlignment="1">
      <alignment horizontal="left" vertical="center"/>
    </xf>
    <xf numFmtId="4" fontId="20" fillId="2" borderId="4" xfId="490" applyNumberFormat="1" applyFill="1" applyBorder="1" applyAlignment="1">
      <alignment horizontal="center"/>
    </xf>
    <xf numFmtId="0" fontId="62" fillId="2" borderId="0" xfId="527" applyFont="1" applyFill="1"/>
    <xf numFmtId="3" fontId="60" fillId="2" borderId="0" xfId="490" applyNumberFormat="1" applyFont="1" applyFill="1" applyAlignment="1">
      <alignment horizontal="right"/>
    </xf>
    <xf numFmtId="0" fontId="66" fillId="2" borderId="0" xfId="527" applyFont="1" applyFill="1" applyAlignment="1">
      <alignment horizontal="right"/>
    </xf>
    <xf numFmtId="0" fontId="63" fillId="2" borderId="0" xfId="527" applyFont="1" applyFill="1"/>
    <xf numFmtId="4" fontId="63" fillId="2" borderId="0" xfId="527" applyNumberFormat="1" applyFont="1" applyFill="1"/>
    <xf numFmtId="3" fontId="63" fillId="2" borderId="0" xfId="527" applyNumberFormat="1" applyFont="1" applyFill="1"/>
    <xf numFmtId="0" fontId="64" fillId="2" borderId="0" xfId="527" applyFont="1" applyFill="1"/>
    <xf numFmtId="216" fontId="64" fillId="2" borderId="0" xfId="1" applyNumberFormat="1" applyFont="1" applyFill="1" applyAlignment="1"/>
    <xf numFmtId="0" fontId="64" fillId="2" borderId="0" xfId="527" applyFont="1" applyFill="1" applyAlignment="1">
      <alignment horizontal="center"/>
    </xf>
    <xf numFmtId="10" fontId="65" fillId="2" borderId="0" xfId="2" applyNumberFormat="1" applyFont="1" applyFill="1"/>
    <xf numFmtId="216" fontId="20" fillId="2" borderId="0" xfId="490" applyNumberFormat="1" applyFill="1" applyAlignment="1">
      <alignment vertical="center" wrapText="1"/>
    </xf>
    <xf numFmtId="216" fontId="13" fillId="2" borderId="0" xfId="490" applyNumberFormat="1" applyFont="1" applyFill="1"/>
    <xf numFmtId="191" fontId="22" fillId="2" borderId="4" xfId="91" applyNumberFormat="1" applyFont="1" applyFill="1" applyBorder="1" applyAlignment="1">
      <alignment horizontal="right" vertical="center" shrinkToFit="1"/>
    </xf>
    <xf numFmtId="188" fontId="13" fillId="2" borderId="0" xfId="91" applyFont="1" applyFill="1"/>
    <xf numFmtId="43" fontId="20" fillId="2" borderId="0" xfId="490" applyNumberFormat="1" applyFill="1"/>
    <xf numFmtId="43" fontId="20" fillId="2" borderId="0" xfId="490" applyNumberFormat="1" applyFill="1" applyAlignment="1">
      <alignment horizontal="right"/>
    </xf>
    <xf numFmtId="217" fontId="20" fillId="2" borderId="0" xfId="490" applyNumberFormat="1" applyFill="1"/>
    <xf numFmtId="4" fontId="20" fillId="2" borderId="0" xfId="490" applyNumberFormat="1" applyFill="1" applyAlignment="1">
      <alignment horizontal="right"/>
    </xf>
    <xf numFmtId="4" fontId="20" fillId="2" borderId="0" xfId="490" applyNumberFormat="1" applyFill="1"/>
    <xf numFmtId="221" fontId="20" fillId="2" borderId="0" xfId="490" applyNumberFormat="1" applyFill="1"/>
    <xf numFmtId="223" fontId="20" fillId="2" borderId="0" xfId="91" applyNumberFormat="1" applyFont="1" applyFill="1"/>
    <xf numFmtId="187" fontId="20" fillId="2" borderId="0" xfId="490" applyNumberFormat="1" applyFill="1"/>
    <xf numFmtId="188" fontId="20" fillId="2" borderId="0" xfId="91" applyFont="1" applyFill="1"/>
    <xf numFmtId="217" fontId="20" fillId="2" borderId="0" xfId="91" applyNumberFormat="1" applyFont="1" applyFill="1"/>
    <xf numFmtId="216" fontId="20" fillId="2" borderId="27" xfId="490" applyNumberFormat="1" applyFill="1" applyBorder="1"/>
    <xf numFmtId="0" fontId="20" fillId="2" borderId="27" xfId="490" applyFill="1" applyBorder="1"/>
    <xf numFmtId="3" fontId="20" fillId="2" borderId="27" xfId="490" applyNumberFormat="1" applyFill="1" applyBorder="1"/>
    <xf numFmtId="216" fontId="20" fillId="2" borderId="0" xfId="490" applyNumberFormat="1" applyFill="1" applyAlignment="1">
      <alignment horizontal="right"/>
    </xf>
    <xf numFmtId="229" fontId="20" fillId="2" borderId="0" xfId="490" applyNumberFormat="1" applyFill="1"/>
    <xf numFmtId="222" fontId="60" fillId="2" borderId="0" xfId="91" applyNumberFormat="1" applyFont="1" applyFill="1"/>
    <xf numFmtId="216" fontId="16" fillId="2" borderId="0" xfId="1" applyNumberFormat="1" applyFont="1" applyFill="1"/>
    <xf numFmtId="0" fontId="44" fillId="2" borderId="0" xfId="527" applyFont="1" applyFill="1"/>
    <xf numFmtId="4" fontId="44" fillId="2" borderId="0" xfId="527" applyNumberFormat="1" applyFont="1" applyFill="1"/>
    <xf numFmtId="3" fontId="44" fillId="2" borderId="0" xfId="527" applyNumberFormat="1" applyFont="1" applyFill="1"/>
    <xf numFmtId="0" fontId="47" fillId="2" borderId="0" xfId="527" applyFont="1" applyFill="1"/>
    <xf numFmtId="3" fontId="47" fillId="2" borderId="0" xfId="527" applyNumberFormat="1" applyFont="1" applyFill="1"/>
    <xf numFmtId="0" fontId="20" fillId="4" borderId="0" xfId="490" applyFill="1"/>
    <xf numFmtId="0" fontId="20" fillId="5" borderId="0" xfId="490" applyFill="1"/>
    <xf numFmtId="43" fontId="20" fillId="2" borderId="4" xfId="1" applyFont="1" applyFill="1" applyBorder="1" applyAlignment="1">
      <alignment horizontal="right"/>
    </xf>
    <xf numFmtId="216" fontId="21" fillId="2" borderId="0" xfId="1" applyNumberFormat="1" applyFont="1" applyFill="1" applyBorder="1" applyAlignment="1">
      <alignment horizontal="center"/>
    </xf>
    <xf numFmtId="3" fontId="13" fillId="2" borderId="1" xfId="490" applyNumberFormat="1" applyFont="1" applyFill="1" applyBorder="1" applyAlignment="1">
      <alignment horizontal="center" vertical="center" wrapText="1"/>
    </xf>
    <xf numFmtId="0" fontId="13" fillId="6" borderId="0" xfId="0" applyFont="1" applyFill="1" applyAlignment="1">
      <alignment horizontal="center"/>
    </xf>
    <xf numFmtId="0" fontId="67" fillId="6" borderId="4" xfId="0" applyFont="1" applyFill="1" applyBorder="1"/>
    <xf numFmtId="10" fontId="67" fillId="6" borderId="4" xfId="2" applyNumberFormat="1" applyFont="1" applyFill="1" applyBorder="1"/>
    <xf numFmtId="0" fontId="13" fillId="6" borderId="4" xfId="0" applyFont="1" applyFill="1" applyBorder="1" applyAlignment="1">
      <alignment horizontal="center"/>
    </xf>
    <xf numFmtId="0" fontId="67" fillId="6" borderId="4" xfId="0" applyFont="1" applyFill="1" applyBorder="1" applyAlignment="1">
      <alignment vertical="center"/>
    </xf>
    <xf numFmtId="0" fontId="67" fillId="7" borderId="4" xfId="0" applyFont="1" applyFill="1" applyBorder="1"/>
    <xf numFmtId="43" fontId="20" fillId="2" borderId="0" xfId="1" applyFont="1" applyFill="1" applyBorder="1" applyAlignment="1">
      <alignment horizontal="center"/>
    </xf>
    <xf numFmtId="43" fontId="20" fillId="4" borderId="0" xfId="1" applyFont="1" applyFill="1" applyBorder="1" applyAlignment="1">
      <alignment horizontal="center"/>
    </xf>
    <xf numFmtId="223" fontId="20" fillId="4" borderId="0" xfId="91" applyNumberFormat="1" applyFont="1" applyFill="1"/>
    <xf numFmtId="187" fontId="20" fillId="4" borderId="0" xfId="490" applyNumberFormat="1" applyFill="1"/>
    <xf numFmtId="4" fontId="20" fillId="4" borderId="0" xfId="490" applyNumberFormat="1" applyFill="1"/>
    <xf numFmtId="3" fontId="20" fillId="4" borderId="0" xfId="490" applyNumberFormat="1" applyFill="1"/>
    <xf numFmtId="43" fontId="20" fillId="4" borderId="0" xfId="490" applyNumberFormat="1" applyFill="1"/>
    <xf numFmtId="43" fontId="20" fillId="5" borderId="0" xfId="1" applyFont="1" applyFill="1" applyBorder="1" applyAlignment="1">
      <alignment horizontal="center"/>
    </xf>
    <xf numFmtId="4" fontId="20" fillId="5" borderId="0" xfId="490" applyNumberFormat="1" applyFill="1"/>
    <xf numFmtId="3" fontId="20" fillId="5" borderId="0" xfId="490" applyNumberFormat="1" applyFill="1"/>
    <xf numFmtId="217" fontId="20" fillId="5" borderId="0" xfId="91" applyNumberFormat="1" applyFont="1" applyFill="1"/>
    <xf numFmtId="221" fontId="20" fillId="5" borderId="0" xfId="490" applyNumberFormat="1" applyFill="1"/>
    <xf numFmtId="223" fontId="20" fillId="5" borderId="0" xfId="91" applyNumberFormat="1" applyFont="1" applyFill="1"/>
    <xf numFmtId="43" fontId="8" fillId="2" borderId="0" xfId="1" applyFont="1" applyFill="1" applyBorder="1" applyAlignment="1">
      <alignment horizontal="center"/>
    </xf>
    <xf numFmtId="43" fontId="13" fillId="2" borderId="0" xfId="1" applyFont="1" applyFill="1" applyBorder="1" applyAlignment="1">
      <alignment horizontal="center"/>
    </xf>
    <xf numFmtId="0" fontId="37" fillId="2" borderId="0" xfId="490" applyFont="1" applyFill="1" applyAlignment="1">
      <alignment horizontal="center"/>
    </xf>
    <xf numFmtId="188" fontId="60" fillId="2" borderId="0" xfId="91" applyFont="1" applyFill="1"/>
    <xf numFmtId="230" fontId="60" fillId="2" borderId="0" xfId="490" applyNumberFormat="1" applyFont="1" applyFill="1"/>
    <xf numFmtId="216" fontId="16" fillId="2" borderId="4" xfId="1" applyNumberFormat="1" applyFont="1" applyFill="1" applyBorder="1"/>
    <xf numFmtId="0" fontId="16" fillId="2" borderId="4" xfId="490" applyFont="1" applyFill="1" applyBorder="1"/>
    <xf numFmtId="188" fontId="16" fillId="2" borderId="4" xfId="490" applyNumberFormat="1" applyFont="1" applyFill="1" applyBorder="1"/>
    <xf numFmtId="0" fontId="60" fillId="2" borderId="4" xfId="490" applyFont="1" applyFill="1" applyBorder="1" applyAlignment="1">
      <alignment horizontal="center"/>
    </xf>
    <xf numFmtId="0" fontId="60" fillId="2" borderId="4" xfId="490" applyFont="1" applyFill="1" applyBorder="1" applyAlignment="1">
      <alignment horizontal="left"/>
    </xf>
    <xf numFmtId="216" fontId="60" fillId="2" borderId="4" xfId="1" applyNumberFormat="1" applyFont="1" applyFill="1" applyBorder="1" applyAlignment="1">
      <alignment horizontal="center"/>
    </xf>
    <xf numFmtId="0" fontId="60" fillId="2" borderId="4" xfId="490" applyFont="1" applyFill="1" applyBorder="1"/>
    <xf numFmtId="216" fontId="16" fillId="2" borderId="4" xfId="490" applyNumberFormat="1" applyFont="1" applyFill="1" applyBorder="1"/>
    <xf numFmtId="0" fontId="68" fillId="2" borderId="0" xfId="0" applyFont="1" applyFill="1" applyAlignment="1">
      <alignment vertical="center"/>
    </xf>
    <xf numFmtId="0" fontId="8" fillId="2" borderId="0" xfId="0" applyFont="1" applyFill="1" applyAlignment="1">
      <alignment vertical="center"/>
    </xf>
    <xf numFmtId="0" fontId="38" fillId="2" borderId="0" xfId="0" applyFont="1" applyFill="1" applyAlignment="1">
      <alignment vertical="center"/>
    </xf>
    <xf numFmtId="0" fontId="69" fillId="2" borderId="0" xfId="0" applyFont="1" applyFill="1" applyAlignment="1">
      <alignment vertical="center"/>
    </xf>
    <xf numFmtId="0" fontId="20" fillId="2" borderId="0" xfId="0" applyFont="1" applyFill="1" applyAlignment="1">
      <alignment horizontal="center" vertical="center"/>
    </xf>
    <xf numFmtId="0" fontId="25" fillId="2" borderId="4" xfId="0" applyFont="1" applyFill="1" applyBorder="1" applyAlignment="1">
      <alignment horizontal="center" vertical="center" shrinkToFit="1"/>
    </xf>
    <xf numFmtId="0" fontId="70" fillId="2" borderId="4" xfId="0" applyFont="1" applyFill="1" applyBorder="1" applyAlignment="1">
      <alignment horizontal="center" vertical="center"/>
    </xf>
    <xf numFmtId="0" fontId="70" fillId="2" borderId="4" xfId="0" applyFont="1" applyFill="1" applyBorder="1" applyAlignment="1">
      <alignment horizontal="center" vertical="center" wrapText="1"/>
    </xf>
    <xf numFmtId="0" fontId="70" fillId="2" borderId="4" xfId="0" applyFont="1" applyFill="1" applyBorder="1" applyAlignment="1">
      <alignment horizontal="center" vertical="distributed" wrapText="1"/>
    </xf>
    <xf numFmtId="0" fontId="70" fillId="2" borderId="4" xfId="0" applyFont="1" applyFill="1" applyBorder="1" applyAlignment="1">
      <alignment horizontal="right" vertical="center" wrapText="1"/>
    </xf>
    <xf numFmtId="1" fontId="30" fillId="2" borderId="4" xfId="0" applyNumberFormat="1" applyFont="1" applyFill="1" applyBorder="1" applyAlignment="1">
      <alignment horizontal="center" vertical="center" wrapText="1"/>
    </xf>
    <xf numFmtId="0" fontId="71" fillId="2" borderId="4" xfId="0" applyFont="1" applyFill="1" applyBorder="1" applyAlignment="1">
      <alignment horizontal="left" vertical="center"/>
    </xf>
    <xf numFmtId="3" fontId="30" fillId="2" borderId="4" xfId="0" applyNumberFormat="1" applyFont="1" applyFill="1" applyBorder="1" applyAlignment="1">
      <alignment horizontal="left" vertical="center"/>
    </xf>
    <xf numFmtId="3" fontId="30" fillId="2" borderId="4" xfId="1" applyNumberFormat="1" applyFont="1" applyFill="1" applyBorder="1" applyAlignment="1">
      <alignment horizontal="right" vertical="center"/>
    </xf>
    <xf numFmtId="0" fontId="25" fillId="2" borderId="0" xfId="0" applyFont="1" applyFill="1" applyAlignment="1">
      <alignment horizontal="left" vertical="center"/>
    </xf>
    <xf numFmtId="215" fontId="15" fillId="2" borderId="0" xfId="0" applyNumberFormat="1" applyFont="1" applyFill="1" applyAlignment="1">
      <alignment vertical="center"/>
    </xf>
    <xf numFmtId="0" fontId="72" fillId="2" borderId="0" xfId="0" applyFont="1" applyFill="1"/>
    <xf numFmtId="0" fontId="70" fillId="2" borderId="4" xfId="0" applyFont="1" applyFill="1" applyBorder="1" applyAlignment="1">
      <alignment vertical="center" wrapText="1"/>
    </xf>
    <xf numFmtId="0" fontId="73" fillId="2" borderId="4" xfId="0" applyFont="1" applyFill="1" applyBorder="1" applyAlignment="1">
      <alignment horizontal="center" vertical="center"/>
    </xf>
    <xf numFmtId="3" fontId="30" fillId="2" borderId="4" xfId="0" applyNumberFormat="1" applyFont="1" applyFill="1" applyBorder="1" applyAlignment="1">
      <alignment horizontal="right" vertical="center"/>
    </xf>
    <xf numFmtId="3" fontId="8" fillId="2" borderId="0" xfId="0" applyNumberFormat="1" applyFont="1" applyFill="1" applyAlignment="1">
      <alignment vertical="center"/>
    </xf>
    <xf numFmtId="3" fontId="38" fillId="2" borderId="0" xfId="0" applyNumberFormat="1" applyFont="1" applyFill="1" applyAlignment="1">
      <alignment vertical="center"/>
    </xf>
    <xf numFmtId="3" fontId="25" fillId="2" borderId="4" xfId="1" applyNumberFormat="1" applyFont="1" applyFill="1" applyBorder="1" applyAlignment="1">
      <alignment horizontal="right" vertical="center"/>
    </xf>
    <xf numFmtId="0" fontId="74" fillId="2" borderId="4" xfId="0" applyFont="1" applyFill="1" applyBorder="1" applyAlignment="1">
      <alignment horizontal="left" vertical="center"/>
    </xf>
    <xf numFmtId="0" fontId="30" fillId="2" borderId="4" xfId="0" applyFont="1" applyFill="1" applyBorder="1" applyAlignment="1">
      <alignment horizontal="left" vertical="center" wrapText="1"/>
    </xf>
    <xf numFmtId="3" fontId="25" fillId="2" borderId="4" xfId="93" applyNumberFormat="1" applyFont="1" applyFill="1" applyBorder="1" applyAlignment="1">
      <alignment horizontal="right" vertical="center"/>
    </xf>
    <xf numFmtId="0" fontId="75" fillId="2" borderId="29" xfId="0" applyFont="1" applyFill="1" applyBorder="1" applyAlignment="1">
      <alignment horizontal="left" vertical="center"/>
    </xf>
    <xf numFmtId="0" fontId="75" fillId="2" borderId="6" xfId="0" applyFont="1" applyFill="1" applyBorder="1" applyAlignment="1">
      <alignment horizontal="left" vertical="center"/>
    </xf>
    <xf numFmtId="0" fontId="77" fillId="2" borderId="0" xfId="0" applyFont="1" applyFill="1" applyAlignment="1">
      <alignment horizontal="center"/>
    </xf>
    <xf numFmtId="4" fontId="15" fillId="2" borderId="0" xfId="0" applyNumberFormat="1" applyFont="1" applyFill="1" applyAlignment="1">
      <alignment vertical="center"/>
    </xf>
    <xf numFmtId="43" fontId="15" fillId="2" borderId="0" xfId="1" applyFont="1" applyFill="1" applyAlignment="1">
      <alignment horizontal="center" vertical="center"/>
    </xf>
    <xf numFmtId="3" fontId="15" fillId="2" borderId="0" xfId="0" applyNumberFormat="1" applyFont="1" applyFill="1" applyAlignment="1">
      <alignment horizontal="right" vertical="center"/>
    </xf>
    <xf numFmtId="43" fontId="15" fillId="2" borderId="0" xfId="0" applyNumberFormat="1" applyFont="1" applyFill="1" applyAlignment="1">
      <alignment horizontal="center" vertical="center"/>
    </xf>
    <xf numFmtId="3" fontId="29" fillId="2" borderId="0" xfId="0" applyNumberFormat="1" applyFont="1" applyFill="1" applyAlignment="1">
      <alignment horizontal="center" vertical="center"/>
    </xf>
    <xf numFmtId="3" fontId="29" fillId="2" borderId="0" xfId="0" applyNumberFormat="1" applyFont="1" applyFill="1" applyAlignment="1">
      <alignment horizontal="right" vertical="center"/>
    </xf>
    <xf numFmtId="3" fontId="14" fillId="2" borderId="0" xfId="0" applyNumberFormat="1" applyFont="1" applyFill="1" applyAlignment="1">
      <alignment vertical="center"/>
    </xf>
    <xf numFmtId="4" fontId="29" fillId="2" borderId="0" xfId="0" applyNumberFormat="1" applyFont="1" applyFill="1" applyAlignment="1">
      <alignment horizontal="center" vertical="center"/>
    </xf>
    <xf numFmtId="3" fontId="15" fillId="2" borderId="0" xfId="0" applyNumberFormat="1" applyFont="1" applyFill="1" applyAlignment="1">
      <alignment vertical="center"/>
    </xf>
    <xf numFmtId="3" fontId="30" fillId="2" borderId="4" xfId="93" applyNumberFormat="1" applyFont="1" applyFill="1" applyBorder="1" applyAlignment="1">
      <alignment horizontal="right" vertical="center"/>
    </xf>
    <xf numFmtId="3" fontId="25" fillId="2" borderId="4" xfId="93" applyNumberFormat="1" applyFont="1" applyFill="1" applyBorder="1" applyAlignment="1">
      <alignment horizontal="left" vertical="center"/>
    </xf>
    <xf numFmtId="0" fontId="78" fillId="2" borderId="4" xfId="0" applyFont="1" applyFill="1" applyBorder="1" applyAlignment="1">
      <alignment horizontal="left" vertical="center"/>
    </xf>
    <xf numFmtId="3" fontId="69" fillId="2" borderId="0" xfId="0" applyNumberFormat="1" applyFont="1" applyFill="1" applyAlignment="1">
      <alignment vertical="center"/>
    </xf>
    <xf numFmtId="3" fontId="76" fillId="2" borderId="4" xfId="0" applyNumberFormat="1" applyFont="1" applyFill="1" applyBorder="1" applyAlignment="1">
      <alignment horizontal="left" vertical="center"/>
    </xf>
    <xf numFmtId="187" fontId="69" fillId="2" borderId="0" xfId="0" applyNumberFormat="1" applyFont="1" applyFill="1" applyAlignment="1">
      <alignment vertical="center"/>
    </xf>
    <xf numFmtId="187" fontId="15" fillId="2" borderId="0" xfId="0" applyNumberFormat="1" applyFont="1" applyFill="1" applyAlignment="1">
      <alignment horizontal="center"/>
    </xf>
    <xf numFmtId="231" fontId="15" fillId="2" borderId="0" xfId="0" applyNumberFormat="1" applyFont="1" applyFill="1" applyAlignment="1">
      <alignment vertical="center"/>
    </xf>
    <xf numFmtId="4" fontId="15" fillId="2" borderId="0" xfId="0" applyNumberFormat="1" applyFont="1" applyFill="1" applyAlignment="1">
      <alignment horizontal="right" vertical="center"/>
    </xf>
    <xf numFmtId="41" fontId="15" fillId="2" borderId="0" xfId="0" applyNumberFormat="1" applyFont="1" applyFill="1" applyAlignment="1">
      <alignment vertical="center"/>
    </xf>
    <xf numFmtId="187" fontId="15" fillId="2" borderId="0" xfId="0" applyNumberFormat="1" applyFont="1" applyFill="1" applyAlignment="1">
      <alignment vertical="center"/>
    </xf>
    <xf numFmtId="3" fontId="29" fillId="2" borderId="0" xfId="0" applyNumberFormat="1" applyFont="1" applyFill="1" applyAlignment="1">
      <alignment vertical="center"/>
    </xf>
    <xf numFmtId="3" fontId="25" fillId="2" borderId="0" xfId="0" applyNumberFormat="1" applyFont="1" applyFill="1" applyAlignment="1">
      <alignment vertical="center"/>
    </xf>
    <xf numFmtId="41" fontId="14" fillId="2" borderId="0" xfId="0" applyNumberFormat="1" applyFont="1" applyFill="1" applyAlignment="1">
      <alignment vertical="center"/>
    </xf>
    <xf numFmtId="0" fontId="19" fillId="2" borderId="0" xfId="0" applyFont="1" applyFill="1" applyAlignment="1">
      <alignment vertical="center"/>
    </xf>
    <xf numFmtId="3" fontId="79" fillId="2" borderId="0" xfId="0" applyNumberFormat="1" applyFont="1" applyFill="1" applyAlignment="1">
      <alignment horizontal="center" vertical="center"/>
    </xf>
    <xf numFmtId="4" fontId="79" fillId="2" borderId="0" xfId="0" applyNumberFormat="1" applyFont="1" applyFill="1" applyAlignment="1">
      <alignment horizontal="center" vertical="center"/>
    </xf>
    <xf numFmtId="3" fontId="79" fillId="2" borderId="0" xfId="0" applyNumberFormat="1" applyFont="1" applyFill="1" applyAlignment="1">
      <alignment horizontal="right" vertical="center"/>
    </xf>
    <xf numFmtId="216" fontId="17" fillId="2" borderId="0" xfId="1" applyNumberFormat="1" applyFont="1" applyFill="1" applyAlignment="1">
      <alignment vertical="center"/>
    </xf>
    <xf numFmtId="3" fontId="79" fillId="2" borderId="0" xfId="0" applyNumberFormat="1" applyFont="1" applyFill="1" applyAlignment="1">
      <alignment vertical="center"/>
    </xf>
    <xf numFmtId="0" fontId="80" fillId="2" borderId="0" xfId="0" applyFont="1" applyFill="1" applyAlignment="1">
      <alignment horizontal="left" vertical="center"/>
    </xf>
    <xf numFmtId="0" fontId="4" fillId="2" borderId="0" xfId="0" applyFont="1" applyFill="1"/>
    <xf numFmtId="0" fontId="38" fillId="2" borderId="0" xfId="0" applyFont="1" applyFill="1" applyAlignment="1">
      <alignment horizontal="center" vertical="center"/>
    </xf>
    <xf numFmtId="0" fontId="8" fillId="2" borderId="0" xfId="0" applyFont="1" applyFill="1"/>
    <xf numFmtId="0" fontId="20" fillId="2" borderId="0" xfId="0" applyFont="1" applyFill="1" applyAlignment="1">
      <alignment shrinkToFit="1"/>
    </xf>
    <xf numFmtId="219" fontId="20" fillId="2" borderId="0" xfId="1" applyNumberFormat="1" applyFont="1" applyFill="1"/>
    <xf numFmtId="3" fontId="20" fillId="2" borderId="0" xfId="0" applyNumberFormat="1" applyFont="1" applyFill="1"/>
    <xf numFmtId="3" fontId="60" fillId="2" borderId="0" xfId="0" applyNumberFormat="1" applyFont="1" applyFill="1" applyAlignment="1">
      <alignment horizontal="right"/>
    </xf>
    <xf numFmtId="0" fontId="5" fillId="2" borderId="0" xfId="0" applyFont="1" applyFill="1" applyAlignment="1">
      <alignment horizontal="center"/>
    </xf>
    <xf numFmtId="0" fontId="81" fillId="2" borderId="0" xfId="0" applyFont="1" applyFill="1" applyAlignment="1">
      <alignment horizontal="center"/>
    </xf>
    <xf numFmtId="0" fontId="5" fillId="2" borderId="0" xfId="0" applyFont="1" applyFill="1"/>
    <xf numFmtId="0" fontId="15" fillId="2" borderId="1" xfId="0" applyFont="1" applyFill="1" applyBorder="1" applyAlignment="1">
      <alignment horizontal="center"/>
    </xf>
    <xf numFmtId="0" fontId="15" fillId="2" borderId="1" xfId="0" applyFont="1" applyFill="1" applyBorder="1"/>
    <xf numFmtId="217" fontId="30" fillId="2" borderId="0" xfId="1" applyNumberFormat="1" applyFont="1" applyFill="1"/>
    <xf numFmtId="216" fontId="15" fillId="2" borderId="0" xfId="1" applyNumberFormat="1" applyFont="1" applyFill="1" applyAlignment="1"/>
    <xf numFmtId="216" fontId="15" fillId="2" borderId="0" xfId="1" applyNumberFormat="1" applyFont="1" applyFill="1" applyAlignment="1">
      <alignment horizontal="center"/>
    </xf>
    <xf numFmtId="43" fontId="8" fillId="2" borderId="0" xfId="0" applyNumberFormat="1" applyFont="1" applyFill="1"/>
    <xf numFmtId="43" fontId="15" fillId="2" borderId="0" xfId="1" applyFont="1" applyFill="1" applyAlignment="1"/>
    <xf numFmtId="3" fontId="29" fillId="2" borderId="0" xfId="0" applyNumberFormat="1" applyFont="1" applyFill="1"/>
    <xf numFmtId="43" fontId="15" fillId="2" borderId="0" xfId="0" applyNumberFormat="1" applyFont="1" applyFill="1"/>
    <xf numFmtId="43" fontId="8" fillId="2" borderId="0" xfId="1" applyFont="1" applyFill="1" applyAlignment="1"/>
    <xf numFmtId="215" fontId="15" fillId="2" borderId="0" xfId="0" applyNumberFormat="1" applyFont="1" applyFill="1"/>
    <xf numFmtId="43" fontId="8" fillId="2" borderId="0" xfId="1" applyFont="1" applyFill="1" applyAlignment="1">
      <alignment horizontal="center"/>
    </xf>
    <xf numFmtId="3" fontId="15" fillId="2" borderId="0" xfId="0" applyNumberFormat="1" applyFont="1" applyFill="1"/>
    <xf numFmtId="43" fontId="8" fillId="2" borderId="0" xfId="1" applyFont="1" applyFill="1"/>
    <xf numFmtId="3" fontId="13" fillId="2" borderId="0" xfId="0" applyNumberFormat="1" applyFont="1" applyFill="1"/>
    <xf numFmtId="3" fontId="13" fillId="2" borderId="0" xfId="0" applyNumberFormat="1" applyFont="1" applyFill="1" applyAlignment="1">
      <alignment horizontal="center"/>
    </xf>
    <xf numFmtId="3" fontId="38" fillId="2" borderId="0" xfId="0" applyNumberFormat="1" applyFont="1" applyFill="1" applyAlignment="1">
      <alignment horizontal="center" vertical="center"/>
    </xf>
    <xf numFmtId="0" fontId="30" fillId="2" borderId="4" xfId="0" applyFont="1" applyFill="1" applyBorder="1" applyAlignment="1">
      <alignment vertical="center" wrapText="1"/>
    </xf>
    <xf numFmtId="0" fontId="8" fillId="2" borderId="6" xfId="0" applyFont="1" applyFill="1" applyBorder="1" applyAlignment="1">
      <alignment horizontal="center" vertical="center" wrapText="1"/>
    </xf>
    <xf numFmtId="3" fontId="13" fillId="2" borderId="2" xfId="0" applyNumberFormat="1" applyFont="1" applyFill="1" applyBorder="1" applyAlignment="1">
      <alignment horizontal="center" vertical="center"/>
    </xf>
    <xf numFmtId="217" fontId="38" fillId="2" borderId="4" xfId="0" applyNumberFormat="1" applyFont="1" applyFill="1" applyBorder="1" applyAlignment="1">
      <alignment horizontal="right" vertical="center"/>
    </xf>
    <xf numFmtId="217" fontId="39" fillId="2" borderId="0" xfId="0" applyNumberFormat="1" applyFont="1" applyFill="1" applyAlignment="1">
      <alignment vertical="center"/>
    </xf>
    <xf numFmtId="217" fontId="38" fillId="2" borderId="0" xfId="1" applyNumberFormat="1" applyFont="1" applyFill="1" applyBorder="1" applyAlignment="1">
      <alignment vertical="center" shrinkToFit="1"/>
    </xf>
    <xf numFmtId="217" fontId="38" fillId="2" borderId="0" xfId="0" applyNumberFormat="1" applyFont="1" applyFill="1" applyAlignment="1">
      <alignment horizontal="right" vertical="center"/>
    </xf>
    <xf numFmtId="217" fontId="83" fillId="2" borderId="0" xfId="0" applyNumberFormat="1" applyFont="1" applyFill="1" applyAlignment="1">
      <alignment vertical="center"/>
    </xf>
    <xf numFmtId="215" fontId="8" fillId="2" borderId="0" xfId="0" applyNumberFormat="1" applyFont="1" applyFill="1"/>
    <xf numFmtId="217" fontId="15" fillId="2" borderId="0" xfId="0" applyNumberFormat="1" applyFont="1" applyFill="1" applyAlignment="1">
      <alignment horizontal="center"/>
    </xf>
    <xf numFmtId="233" fontId="15" fillId="2" borderId="0" xfId="0" applyNumberFormat="1" applyFont="1" applyFill="1"/>
    <xf numFmtId="217" fontId="14" fillId="2" borderId="0" xfId="0" applyNumberFormat="1" applyFont="1" applyFill="1"/>
    <xf numFmtId="3" fontId="60" fillId="2" borderId="0" xfId="0" applyNumberFormat="1" applyFont="1" applyFill="1" applyAlignment="1">
      <alignment horizontal="right" vertical="center"/>
    </xf>
    <xf numFmtId="3" fontId="39" fillId="2" borderId="0" xfId="0" applyNumberFormat="1" applyFont="1" applyFill="1" applyAlignment="1">
      <alignment horizontal="right" vertical="center"/>
    </xf>
    <xf numFmtId="3" fontId="8" fillId="2" borderId="0" xfId="0" applyNumberFormat="1" applyFont="1" applyFill="1" applyAlignment="1">
      <alignment horizontal="right"/>
    </xf>
    <xf numFmtId="0" fontId="81" fillId="2" borderId="0" xfId="0" applyFont="1" applyFill="1"/>
    <xf numFmtId="0" fontId="84" fillId="2" borderId="0" xfId="0" applyFont="1" applyFill="1"/>
    <xf numFmtId="0" fontId="1" fillId="2" borderId="0" xfId="0" applyFont="1" applyFill="1"/>
    <xf numFmtId="0" fontId="3" fillId="2" borderId="0" xfId="0" applyFont="1" applyFill="1"/>
    <xf numFmtId="0" fontId="1" fillId="2" borderId="0" xfId="0" applyFont="1" applyFill="1" applyAlignment="1">
      <alignment horizontal="center"/>
    </xf>
    <xf numFmtId="0" fontId="86" fillId="2" borderId="0" xfId="0" applyFont="1" applyFill="1" applyAlignment="1">
      <alignment horizontal="center" vertical="center"/>
    </xf>
    <xf numFmtId="0" fontId="2" fillId="2" borderId="0" xfId="0" applyFont="1" applyFill="1" applyAlignment="1">
      <alignment horizontal="left" vertical="center"/>
    </xf>
    <xf numFmtId="234" fontId="2" fillId="2" borderId="0" xfId="0" applyNumberFormat="1" applyFont="1" applyFill="1" applyAlignment="1">
      <alignment horizontal="right" vertical="center"/>
    </xf>
    <xf numFmtId="0" fontId="5" fillId="2" borderId="4" xfId="0" applyFont="1" applyFill="1" applyBorder="1" applyAlignment="1">
      <alignment horizontal="center" vertical="center"/>
    </xf>
    <xf numFmtId="0" fontId="5" fillId="2" borderId="4" xfId="0" applyFont="1" applyFill="1" applyBorder="1" applyAlignment="1">
      <alignment horizontal="center" vertical="center" wrapText="1"/>
    </xf>
    <xf numFmtId="0" fontId="1" fillId="2" borderId="4" xfId="0" applyFont="1" applyFill="1" applyBorder="1" applyAlignment="1">
      <alignment vertical="center"/>
    </xf>
    <xf numFmtId="217" fontId="1" fillId="2" borderId="4" xfId="93" applyNumberFormat="1" applyFont="1" applyFill="1" applyBorder="1" applyAlignment="1">
      <alignment horizontal="center" vertical="center"/>
    </xf>
    <xf numFmtId="43" fontId="1" fillId="2" borderId="4" xfId="1" applyFont="1" applyFill="1" applyBorder="1" applyAlignment="1">
      <alignment horizontal="center" vertical="center"/>
    </xf>
    <xf numFmtId="0" fontId="1" fillId="2" borderId="4" xfId="0" applyFont="1" applyFill="1" applyBorder="1" applyAlignment="1">
      <alignment horizontal="center" vertical="center"/>
    </xf>
    <xf numFmtId="0" fontId="81" fillId="2" borderId="4" xfId="0" applyFont="1" applyFill="1" applyBorder="1" applyAlignment="1">
      <alignment horizontal="center" vertical="center"/>
    </xf>
    <xf numFmtId="0" fontId="30" fillId="2" borderId="4" xfId="515" applyFont="1" applyFill="1" applyBorder="1" applyAlignment="1">
      <alignment horizontal="left" vertical="center"/>
    </xf>
    <xf numFmtId="0" fontId="30" fillId="2" borderId="4" xfId="515" applyFont="1" applyFill="1" applyBorder="1" applyAlignment="1">
      <alignment horizontal="center" vertical="center"/>
    </xf>
    <xf numFmtId="217" fontId="81" fillId="2" borderId="4" xfId="93" applyNumberFormat="1" applyFont="1" applyFill="1" applyBorder="1" applyAlignment="1">
      <alignment horizontal="center" vertical="center"/>
    </xf>
    <xf numFmtId="228" fontId="81" fillId="2" borderId="4" xfId="1" applyNumberFormat="1" applyFont="1" applyFill="1" applyBorder="1" applyAlignment="1">
      <alignment horizontal="center" vertical="center"/>
    </xf>
    <xf numFmtId="43" fontId="30" fillId="2" borderId="4" xfId="1" applyFont="1" applyFill="1" applyBorder="1" applyAlignment="1">
      <alignment horizontal="center" vertical="center"/>
    </xf>
    <xf numFmtId="4" fontId="81" fillId="2" borderId="0" xfId="0" applyNumberFormat="1" applyFont="1" applyFill="1"/>
    <xf numFmtId="0" fontId="86" fillId="2" borderId="0" xfId="0" applyFont="1" applyFill="1" applyAlignment="1">
      <alignment vertical="center"/>
    </xf>
    <xf numFmtId="0" fontId="5" fillId="2" borderId="3" xfId="0" applyFont="1" applyFill="1" applyBorder="1" applyAlignment="1">
      <alignment horizontal="center" vertical="center" wrapText="1"/>
    </xf>
    <xf numFmtId="235" fontId="1" fillId="2" borderId="4" xfId="1" applyNumberFormat="1" applyFont="1" applyFill="1" applyBorder="1" applyAlignment="1">
      <alignment vertical="center"/>
    </xf>
    <xf numFmtId="43" fontId="1" fillId="2" borderId="4" xfId="1" applyFont="1" applyFill="1" applyBorder="1" applyAlignment="1">
      <alignment vertical="center"/>
    </xf>
    <xf numFmtId="43" fontId="30" fillId="2" borderId="4" xfId="1" applyFont="1" applyFill="1" applyBorder="1" applyAlignment="1">
      <alignment vertical="center"/>
    </xf>
    <xf numFmtId="10" fontId="30" fillId="2" borderId="4" xfId="2" applyNumberFormat="1" applyFont="1" applyFill="1" applyBorder="1" applyAlignment="1">
      <alignment horizontal="center" vertical="center"/>
    </xf>
    <xf numFmtId="43" fontId="81" fillId="2" borderId="4" xfId="1" applyFont="1" applyFill="1" applyBorder="1" applyAlignment="1">
      <alignment horizontal="center" vertical="center"/>
    </xf>
    <xf numFmtId="235" fontId="30" fillId="2" borderId="4" xfId="1" applyNumberFormat="1" applyFont="1" applyFill="1" applyBorder="1" applyAlignment="1">
      <alignment vertical="center"/>
    </xf>
    <xf numFmtId="0" fontId="87" fillId="2" borderId="0" xfId="0" applyFont="1" applyFill="1"/>
    <xf numFmtId="216" fontId="81" fillId="2" borderId="0" xfId="0" applyNumberFormat="1" applyFont="1" applyFill="1"/>
    <xf numFmtId="216" fontId="81" fillId="2" borderId="0" xfId="93" applyNumberFormat="1" applyFont="1" applyFill="1"/>
    <xf numFmtId="0" fontId="85" fillId="2" borderId="0" xfId="0" applyFont="1" applyFill="1" applyAlignment="1">
      <alignment horizontal="center"/>
    </xf>
    <xf numFmtId="0" fontId="85" fillId="2" borderId="0" xfId="0" applyFont="1" applyFill="1"/>
    <xf numFmtId="216" fontId="81" fillId="2" borderId="0" xfId="93" applyNumberFormat="1" applyFont="1" applyFill="1" applyAlignment="1">
      <alignment horizontal="center"/>
    </xf>
    <xf numFmtId="197" fontId="1" fillId="2" borderId="0" xfId="0" applyNumberFormat="1" applyFont="1" applyFill="1"/>
    <xf numFmtId="218" fontId="25" fillId="2" borderId="4" xfId="0" applyNumberFormat="1" applyFont="1" applyFill="1" applyBorder="1" applyAlignment="1">
      <alignment horizontal="center" vertical="center"/>
    </xf>
    <xf numFmtId="187" fontId="25" fillId="2" borderId="4" xfId="0" applyNumberFormat="1" applyFont="1" applyFill="1" applyBorder="1" applyAlignment="1">
      <alignment horizontal="right" vertical="center"/>
    </xf>
    <xf numFmtId="0" fontId="25" fillId="2" borderId="0" xfId="0" applyFont="1" applyFill="1" applyAlignment="1">
      <alignment horizontal="right"/>
    </xf>
    <xf numFmtId="0" fontId="22" fillId="2" borderId="0" xfId="0" applyFont="1" applyFill="1" applyAlignment="1"/>
    <xf numFmtId="0" fontId="14" fillId="2" borderId="0" xfId="0" applyFont="1" applyFill="1" applyAlignment="1">
      <alignment horizontal="right" vertical="center"/>
    </xf>
    <xf numFmtId="216" fontId="36" fillId="2" borderId="0" xfId="93" applyNumberFormat="1" applyFont="1" applyFill="1"/>
    <xf numFmtId="220" fontId="30" fillId="2" borderId="4" xfId="0" applyNumberFormat="1" applyFont="1" applyFill="1" applyBorder="1" applyAlignment="1">
      <alignment horizontal="left" vertical="center"/>
    </xf>
    <xf numFmtId="187" fontId="40" fillId="2" borderId="0" xfId="0" applyNumberFormat="1" applyFont="1" applyFill="1" applyAlignment="1">
      <alignment horizontal="center" vertical="center"/>
    </xf>
    <xf numFmtId="198" fontId="20" fillId="2" borderId="0" xfId="1" applyNumberFormat="1" applyFont="1" applyFill="1"/>
    <xf numFmtId="188" fontId="20" fillId="2" borderId="0" xfId="1" applyNumberFormat="1" applyFont="1" applyFill="1"/>
    <xf numFmtId="217" fontId="20" fillId="2" borderId="0" xfId="1" applyNumberFormat="1" applyFont="1" applyFill="1" applyAlignment="1">
      <alignment horizontal="center"/>
    </xf>
    <xf numFmtId="217" fontId="20" fillId="2" borderId="0" xfId="1" applyNumberFormat="1" applyFont="1" applyFill="1"/>
    <xf numFmtId="0" fontId="4" fillId="2" borderId="0" xfId="0" applyFont="1" applyFill="1" applyAlignment="1">
      <alignment horizontal="center"/>
    </xf>
    <xf numFmtId="198" fontId="13" fillId="2" borderId="0" xfId="1" applyNumberFormat="1" applyFont="1" applyFill="1" applyAlignment="1"/>
    <xf numFmtId="216" fontId="15" fillId="2" borderId="1" xfId="1" applyNumberFormat="1" applyFont="1" applyFill="1" applyBorder="1"/>
    <xf numFmtId="0" fontId="13" fillId="2" borderId="4" xfId="0" applyFont="1" applyFill="1" applyBorder="1" applyAlignment="1">
      <alignment horizontal="center" vertical="center" wrapText="1"/>
    </xf>
    <xf numFmtId="217" fontId="13" fillId="2" borderId="4" xfId="1" applyNumberFormat="1" applyFont="1" applyFill="1" applyBorder="1" applyAlignment="1">
      <alignment horizontal="center" vertical="center" wrapText="1"/>
    </xf>
    <xf numFmtId="0" fontId="13" fillId="2" borderId="7" xfId="0" applyFont="1" applyFill="1" applyBorder="1" applyAlignment="1">
      <alignment horizontal="center" vertical="center" shrinkToFit="1"/>
    </xf>
    <xf numFmtId="0" fontId="20" fillId="2" borderId="4" xfId="0" applyFont="1" applyFill="1" applyBorder="1" applyAlignment="1">
      <alignment horizontal="center" vertical="center" wrapText="1"/>
    </xf>
    <xf numFmtId="198" fontId="13" fillId="2" borderId="4" xfId="1" applyNumberFormat="1" applyFont="1" applyFill="1" applyBorder="1" applyAlignment="1">
      <alignment horizontal="center" vertical="center" wrapText="1"/>
    </xf>
    <xf numFmtId="0" fontId="13" fillId="2" borderId="4" xfId="0" applyFont="1" applyFill="1" applyBorder="1" applyAlignment="1">
      <alignment horizontal="center" vertical="center"/>
    </xf>
    <xf numFmtId="0" fontId="20" fillId="2" borderId="4" xfId="0" applyFont="1" applyFill="1" applyBorder="1" applyAlignment="1">
      <alignment horizontal="center" vertical="distributed" wrapText="1"/>
    </xf>
    <xf numFmtId="216" fontId="20" fillId="2" borderId="4" xfId="1" applyNumberFormat="1" applyFont="1" applyFill="1" applyBorder="1" applyAlignment="1">
      <alignment horizontal="center" vertical="distributed" wrapText="1"/>
    </xf>
    <xf numFmtId="198" fontId="20" fillId="2" borderId="4" xfId="1" applyNumberFormat="1" applyFont="1" applyFill="1" applyBorder="1" applyAlignment="1">
      <alignment horizontal="center" vertical="distributed" wrapText="1"/>
    </xf>
    <xf numFmtId="188" fontId="5" fillId="2" borderId="0" xfId="0" applyNumberFormat="1" applyFont="1" applyFill="1" applyAlignment="1">
      <alignment horizontal="center"/>
    </xf>
    <xf numFmtId="3" fontId="5" fillId="2" borderId="0" xfId="0" applyNumberFormat="1" applyFont="1" applyFill="1" applyAlignment="1">
      <alignment horizontal="center"/>
    </xf>
    <xf numFmtId="188" fontId="15" fillId="2" borderId="0" xfId="0" applyNumberFormat="1" applyFont="1" applyFill="1" applyAlignment="1">
      <alignment horizontal="right" vertical="center"/>
    </xf>
    <xf numFmtId="188" fontId="13" fillId="2" borderId="0" xfId="1" applyNumberFormat="1" applyFont="1" applyFill="1" applyAlignment="1"/>
    <xf numFmtId="217" fontId="13" fillId="2" borderId="0" xfId="1" applyNumberFormat="1" applyFont="1" applyFill="1" applyAlignment="1">
      <alignment horizontal="center"/>
    </xf>
    <xf numFmtId="217" fontId="13" fillId="2" borderId="0" xfId="1" applyNumberFormat="1" applyFont="1" applyFill="1" applyAlignment="1"/>
    <xf numFmtId="188" fontId="13" fillId="2" borderId="0" xfId="0" applyNumberFormat="1" applyFont="1" applyFill="1" applyAlignment="1">
      <alignment horizontal="center"/>
    </xf>
    <xf numFmtId="0" fontId="13" fillId="2" borderId="4" xfId="1" applyNumberFormat="1" applyFont="1" applyFill="1" applyBorder="1" applyAlignment="1">
      <alignment horizontal="center" vertical="center" wrapText="1"/>
    </xf>
    <xf numFmtId="188" fontId="13" fillId="2" borderId="4" xfId="1" applyNumberFormat="1" applyFont="1" applyFill="1" applyBorder="1" applyAlignment="1">
      <alignment horizontal="center" vertical="center" wrapText="1"/>
    </xf>
    <xf numFmtId="217" fontId="13" fillId="2" borderId="4" xfId="1" applyNumberFormat="1" applyFont="1" applyFill="1" applyBorder="1" applyAlignment="1">
      <alignment horizontal="center" vertical="top" wrapText="1"/>
    </xf>
    <xf numFmtId="3" fontId="13" fillId="2" borderId="4" xfId="1" applyNumberFormat="1" applyFont="1" applyFill="1" applyBorder="1" applyAlignment="1">
      <alignment horizontal="center" vertical="center" wrapText="1"/>
    </xf>
    <xf numFmtId="188" fontId="20" fillId="2" borderId="4" xfId="1" applyNumberFormat="1" applyFont="1" applyFill="1" applyBorder="1" applyAlignment="1">
      <alignment horizontal="center" vertical="distributed" wrapText="1"/>
    </xf>
    <xf numFmtId="3" fontId="20" fillId="2" borderId="4" xfId="0" applyNumberFormat="1" applyFont="1" applyFill="1" applyBorder="1" applyAlignment="1">
      <alignment horizontal="center" vertical="distributed" wrapText="1"/>
    </xf>
    <xf numFmtId="217" fontId="13" fillId="2" borderId="7" xfId="1" applyNumberFormat="1" applyFont="1" applyFill="1" applyBorder="1" applyAlignment="1">
      <alignment horizontal="center" vertical="center" wrapText="1"/>
    </xf>
    <xf numFmtId="0" fontId="20" fillId="2" borderId="4" xfId="0" applyFont="1" applyFill="1" applyBorder="1" applyAlignment="1">
      <alignment vertical="center" wrapText="1"/>
    </xf>
    <xf numFmtId="3" fontId="30" fillId="2" borderId="4" xfId="1" applyNumberFormat="1" applyFont="1" applyFill="1" applyBorder="1" applyAlignment="1">
      <alignment horizontal="right" vertical="center" shrinkToFit="1"/>
    </xf>
    <xf numFmtId="217" fontId="30" fillId="2" borderId="4" xfId="1" applyNumberFormat="1" applyFont="1" applyFill="1" applyBorder="1" applyAlignment="1">
      <alignment vertical="center" shrinkToFit="1"/>
    </xf>
    <xf numFmtId="3" fontId="13" fillId="2" borderId="4" xfId="1" applyNumberFormat="1" applyFont="1" applyFill="1" applyBorder="1" applyAlignment="1">
      <alignment horizontal="right" vertical="center"/>
    </xf>
    <xf numFmtId="216" fontId="30" fillId="2" borderId="0" xfId="1" applyNumberFormat="1" applyFont="1" applyFill="1" applyAlignment="1"/>
    <xf numFmtId="43" fontId="30" fillId="2" borderId="0" xfId="0" applyNumberFormat="1" applyFont="1" applyFill="1"/>
    <xf numFmtId="198" fontId="30" fillId="2" borderId="0" xfId="0" applyNumberFormat="1" applyFont="1" applyFill="1"/>
    <xf numFmtId="43" fontId="30" fillId="2" borderId="0" xfId="1" applyFont="1" applyFill="1" applyAlignment="1"/>
    <xf numFmtId="216" fontId="30" fillId="2" borderId="0" xfId="1" applyNumberFormat="1" applyFont="1" applyFill="1" applyBorder="1" applyAlignment="1"/>
    <xf numFmtId="216" fontId="30" fillId="2" borderId="0" xfId="0" applyNumberFormat="1" applyFont="1" applyFill="1" applyAlignment="1">
      <alignment horizontal="center"/>
    </xf>
    <xf numFmtId="215" fontId="30" fillId="2" borderId="0" xfId="0" applyNumberFormat="1" applyFont="1" applyFill="1"/>
    <xf numFmtId="216" fontId="8" fillId="2" borderId="0" xfId="1" applyNumberFormat="1" applyFont="1" applyFill="1"/>
    <xf numFmtId="198" fontId="15" fillId="2" borderId="0" xfId="0" applyNumberFormat="1" applyFont="1" applyFill="1"/>
    <xf numFmtId="188" fontId="30" fillId="2" borderId="0" xfId="1" applyNumberFormat="1" applyFont="1" applyFill="1"/>
    <xf numFmtId="217" fontId="30" fillId="2" borderId="0" xfId="1" applyNumberFormat="1" applyFont="1" applyFill="1" applyAlignment="1">
      <alignment horizontal="center"/>
    </xf>
    <xf numFmtId="188" fontId="30" fillId="2" borderId="0" xfId="0" applyNumberFormat="1" applyFont="1" applyFill="1"/>
    <xf numFmtId="43" fontId="30" fillId="2" borderId="0" xfId="1" applyFont="1" applyFill="1" applyAlignment="1">
      <alignment horizontal="center"/>
    </xf>
    <xf numFmtId="236" fontId="30" fillId="2" borderId="0" xfId="0" applyNumberFormat="1" applyFont="1" applyFill="1"/>
    <xf numFmtId="237" fontId="30" fillId="2" borderId="0" xfId="0" applyNumberFormat="1" applyFont="1" applyFill="1"/>
    <xf numFmtId="3" fontId="88" fillId="2" borderId="0" xfId="1" applyNumberFormat="1" applyFont="1" applyFill="1" applyBorder="1" applyAlignment="1">
      <alignment horizontal="right"/>
    </xf>
    <xf numFmtId="188" fontId="15" fillId="2" borderId="0" xfId="0" applyNumberFormat="1" applyFont="1" applyFill="1"/>
    <xf numFmtId="0" fontId="36" fillId="2" borderId="0" xfId="0" applyFont="1" applyFill="1" applyAlignment="1">
      <alignment vertical="center"/>
    </xf>
    <xf numFmtId="216" fontId="22" fillId="2" borderId="0" xfId="1" applyNumberFormat="1" applyFont="1" applyFill="1" applyAlignment="1">
      <alignment vertical="center"/>
    </xf>
    <xf numFmtId="216" fontId="38" fillId="2" borderId="0" xfId="1" applyNumberFormat="1" applyFont="1" applyFill="1" applyAlignment="1">
      <alignment vertical="center"/>
    </xf>
    <xf numFmtId="216" fontId="36" fillId="2" borderId="0" xfId="1" applyNumberFormat="1" applyFont="1" applyFill="1"/>
    <xf numFmtId="216" fontId="22" fillId="2" borderId="0" xfId="1" applyNumberFormat="1" applyFont="1" applyFill="1"/>
    <xf numFmtId="216" fontId="25" fillId="2" borderId="0" xfId="1" applyNumberFormat="1" applyFont="1" applyFill="1"/>
    <xf numFmtId="217" fontId="30" fillId="2" borderId="0" xfId="1" applyNumberFormat="1" applyFont="1" applyFill="1" applyAlignment="1">
      <alignment shrinkToFit="1"/>
    </xf>
    <xf numFmtId="188" fontId="30" fillId="2" borderId="0" xfId="1" applyNumberFormat="1" applyFont="1" applyFill="1" applyAlignment="1">
      <alignment shrinkToFit="1"/>
    </xf>
    <xf numFmtId="217" fontId="30" fillId="2" borderId="0" xfId="0" applyNumberFormat="1" applyFont="1" applyFill="1" applyAlignment="1">
      <alignment horizontal="center"/>
    </xf>
    <xf numFmtId="3" fontId="30" fillId="2" borderId="0" xfId="0" applyNumberFormat="1" applyFont="1" applyFill="1" applyAlignment="1">
      <alignment horizontal="center"/>
    </xf>
    <xf numFmtId="217" fontId="15" fillId="2" borderId="0" xfId="1" applyNumberFormat="1" applyFont="1" applyFill="1" applyAlignment="1">
      <alignment shrinkToFit="1"/>
    </xf>
    <xf numFmtId="216" fontId="15" fillId="2" borderId="0" xfId="1" applyNumberFormat="1" applyFont="1" applyFill="1"/>
    <xf numFmtId="233" fontId="15" fillId="2" borderId="0" xfId="0" applyNumberFormat="1" applyFont="1" applyFill="1" applyAlignment="1">
      <alignment horizontal="center"/>
    </xf>
    <xf numFmtId="236" fontId="15" fillId="2" borderId="0" xfId="0" applyNumberFormat="1" applyFont="1" applyFill="1"/>
    <xf numFmtId="188" fontId="15" fillId="2" borderId="0" xfId="0" applyNumberFormat="1" applyFont="1" applyFill="1" applyAlignment="1">
      <alignment horizontal="center"/>
    </xf>
    <xf numFmtId="188" fontId="29" fillId="2" borderId="0" xfId="0" applyNumberFormat="1" applyFont="1" applyFill="1" applyAlignment="1">
      <alignment horizontal="center"/>
    </xf>
    <xf numFmtId="2" fontId="15" fillId="2" borderId="0" xfId="0" applyNumberFormat="1" applyFont="1" applyFill="1" applyAlignment="1">
      <alignment horizontal="center"/>
    </xf>
    <xf numFmtId="188" fontId="15" fillId="2" borderId="0" xfId="1" applyNumberFormat="1" applyFont="1" applyFill="1"/>
    <xf numFmtId="3" fontId="89" fillId="2" borderId="0" xfId="1" applyNumberFormat="1" applyFont="1" applyFill="1" applyBorder="1" applyAlignment="1">
      <alignment horizontal="right"/>
    </xf>
    <xf numFmtId="0" fontId="90" fillId="2" borderId="4" xfId="0" applyFont="1" applyFill="1" applyBorder="1"/>
    <xf numFmtId="0" fontId="13" fillId="2" borderId="4" xfId="0" applyFont="1" applyFill="1" applyBorder="1" applyAlignment="1">
      <alignment horizontal="center"/>
    </xf>
    <xf numFmtId="3" fontId="90" fillId="2" borderId="4" xfId="0" applyNumberFormat="1" applyFont="1" applyFill="1" applyBorder="1" applyAlignment="1">
      <alignment horizontal="center"/>
    </xf>
    <xf numFmtId="9" fontId="90" fillId="2" borderId="4" xfId="2" applyFont="1" applyFill="1" applyBorder="1" applyAlignment="1">
      <alignment horizontal="center"/>
    </xf>
    <xf numFmtId="232" fontId="38" fillId="2" borderId="4" xfId="0" applyNumberFormat="1" applyFont="1" applyFill="1" applyBorder="1" applyAlignment="1">
      <alignment horizontal="right" vertical="center"/>
    </xf>
    <xf numFmtId="217" fontId="15" fillId="2" borderId="0" xfId="1" applyNumberFormat="1" applyFont="1" applyFill="1" applyBorder="1" applyAlignment="1">
      <alignment shrinkToFit="1"/>
    </xf>
    <xf numFmtId="0" fontId="38" fillId="0" borderId="0" xfId="0" applyFont="1" applyAlignment="1">
      <alignment horizontal="center" vertical="center"/>
    </xf>
    <xf numFmtId="0" fontId="13" fillId="0" borderId="0" xfId="0" applyFont="1" applyAlignment="1">
      <alignment horizontal="center" vertical="center"/>
    </xf>
    <xf numFmtId="1" fontId="13" fillId="0" borderId="0" xfId="0" applyNumberFormat="1" applyFont="1" applyAlignment="1">
      <alignment horizontal="center" vertical="center"/>
    </xf>
    <xf numFmtId="1" fontId="14" fillId="0" borderId="0" xfId="0" applyNumberFormat="1" applyFont="1" applyAlignment="1">
      <alignment horizontal="center" vertical="center"/>
    </xf>
    <xf numFmtId="0" fontId="37" fillId="0" borderId="0" xfId="0" applyFont="1"/>
    <xf numFmtId="0" fontId="20" fillId="0" borderId="0" xfId="0" applyFont="1" applyAlignment="1">
      <alignment shrinkToFit="1"/>
    </xf>
    <xf numFmtId="0" fontId="29" fillId="0" borderId="0" xfId="0" applyFont="1" applyAlignment="1">
      <alignment horizontal="left"/>
    </xf>
    <xf numFmtId="219" fontId="20" fillId="0" borderId="0" xfId="1" applyNumberFormat="1" applyFont="1" applyFill="1"/>
    <xf numFmtId="198" fontId="20" fillId="0" borderId="0" xfId="1" applyNumberFormat="1" applyFont="1" applyFill="1"/>
    <xf numFmtId="217" fontId="20" fillId="0" borderId="0" xfId="1" applyNumberFormat="1" applyFont="1" applyFill="1"/>
    <xf numFmtId="0" fontId="39" fillId="0" borderId="0" xfId="0" applyFont="1" applyAlignment="1">
      <alignment horizontal="left"/>
    </xf>
    <xf numFmtId="0" fontId="20" fillId="0" borderId="1" xfId="0" applyFont="1" applyBorder="1" applyAlignment="1">
      <alignment horizontal="center"/>
    </xf>
    <xf numFmtId="0" fontId="29" fillId="0" borderId="1" xfId="0" applyFont="1" applyBorder="1" applyAlignment="1">
      <alignment horizontal="left"/>
    </xf>
    <xf numFmtId="0" fontId="20" fillId="0" borderId="1" xfId="0" applyFont="1" applyBorder="1"/>
    <xf numFmtId="0" fontId="38" fillId="0" borderId="4" xfId="0" applyFont="1" applyBorder="1" applyAlignment="1">
      <alignment horizontal="center" vertical="center" wrapText="1"/>
    </xf>
    <xf numFmtId="219" fontId="38" fillId="0" borderId="5" xfId="1" applyNumberFormat="1" applyFont="1" applyFill="1" applyBorder="1" applyAlignment="1">
      <alignment horizontal="center" vertical="center" wrapText="1"/>
    </xf>
    <xf numFmtId="0" fontId="92" fillId="0" borderId="4" xfId="0" applyFont="1" applyBorder="1" applyAlignment="1">
      <alignment horizontal="center" vertical="distributed" wrapText="1"/>
    </xf>
    <xf numFmtId="0" fontId="92" fillId="0" borderId="4" xfId="0" applyFont="1" applyBorder="1" applyAlignment="1">
      <alignment horizontal="left" vertical="distributed" wrapText="1"/>
    </xf>
    <xf numFmtId="0" fontId="93" fillId="0" borderId="4" xfId="0" applyFont="1" applyBorder="1" applyAlignment="1">
      <alignment horizontal="center" vertical="center" wrapText="1"/>
    </xf>
    <xf numFmtId="1" fontId="22" fillId="0" borderId="4" xfId="0" applyNumberFormat="1" applyFont="1" applyBorder="1" applyAlignment="1">
      <alignment horizontal="center" vertical="center" wrapText="1"/>
    </xf>
    <xf numFmtId="1" fontId="39" fillId="0" borderId="4" xfId="0" applyNumberFormat="1" applyFont="1" applyBorder="1" applyAlignment="1">
      <alignment horizontal="left" vertical="center" wrapText="1"/>
    </xf>
    <xf numFmtId="3" fontId="22" fillId="0" borderId="4" xfId="0" applyNumberFormat="1" applyFont="1" applyBorder="1" applyAlignment="1">
      <alignment horizontal="right" vertical="center" wrapText="1"/>
    </xf>
    <xf numFmtId="1" fontId="15" fillId="0" borderId="4" xfId="0" applyNumberFormat="1" applyFont="1" applyBorder="1" applyAlignment="1">
      <alignment horizontal="center" vertical="center" wrapText="1"/>
    </xf>
    <xf numFmtId="3" fontId="15" fillId="0" borderId="4" xfId="0" applyNumberFormat="1" applyFont="1" applyBorder="1" applyAlignment="1">
      <alignment horizontal="center" vertical="center"/>
    </xf>
    <xf numFmtId="1" fontId="15" fillId="0" borderId="4" xfId="0" applyNumberFormat="1" applyFont="1" applyBorder="1" applyAlignment="1">
      <alignment horizontal="left" vertical="center" wrapText="1"/>
    </xf>
    <xf numFmtId="0" fontId="15" fillId="0" borderId="4" xfId="0" applyFont="1" applyBorder="1" applyAlignment="1">
      <alignment horizontal="left" vertical="center"/>
    </xf>
    <xf numFmtId="232" fontId="14" fillId="0" borderId="4" xfId="1" applyNumberFormat="1" applyFont="1" applyFill="1" applyBorder="1" applyAlignment="1">
      <alignment horizontal="right" vertical="center" wrapText="1"/>
    </xf>
    <xf numFmtId="215" fontId="15" fillId="0" borderId="4" xfId="93" applyNumberFormat="1" applyFont="1" applyFill="1" applyBorder="1" applyAlignment="1">
      <alignment horizontal="right" vertical="center" wrapText="1"/>
    </xf>
    <xf numFmtId="232" fontId="14" fillId="0" borderId="4" xfId="1" applyNumberFormat="1" applyFont="1" applyFill="1" applyBorder="1" applyAlignment="1">
      <alignment horizontal="center" vertical="center" wrapText="1"/>
    </xf>
    <xf numFmtId="1" fontId="14" fillId="0" borderId="4" xfId="0" applyNumberFormat="1" applyFont="1" applyBorder="1" applyAlignment="1">
      <alignment horizontal="center" vertical="center" wrapText="1"/>
    </xf>
    <xf numFmtId="3" fontId="14" fillId="0" borderId="4" xfId="0" applyNumberFormat="1" applyFont="1" applyBorder="1" applyAlignment="1">
      <alignment horizontal="center" vertical="center"/>
    </xf>
    <xf numFmtId="1" fontId="14" fillId="0" borderId="4" xfId="0" applyNumberFormat="1" applyFont="1" applyBorder="1" applyAlignment="1">
      <alignment horizontal="left" vertical="center" wrapText="1"/>
    </xf>
    <xf numFmtId="0" fontId="14" fillId="0" borderId="4" xfId="0" applyFont="1" applyBorder="1" applyAlignment="1">
      <alignment horizontal="left" vertical="center"/>
    </xf>
    <xf numFmtId="215" fontId="14" fillId="0" borderId="4" xfId="93" applyNumberFormat="1" applyFont="1" applyFill="1" applyBorder="1" applyAlignment="1">
      <alignment horizontal="right" vertical="center" wrapText="1"/>
    </xf>
    <xf numFmtId="215" fontId="14" fillId="0" borderId="4" xfId="1" applyNumberFormat="1" applyFont="1" applyFill="1" applyBorder="1" applyAlignment="1">
      <alignment horizontal="right" vertical="center" wrapText="1"/>
    </xf>
    <xf numFmtId="43" fontId="20" fillId="0" borderId="0" xfId="1" applyFont="1" applyFill="1"/>
    <xf numFmtId="217" fontId="20" fillId="0" borderId="0" xfId="0" applyNumberFormat="1" applyFont="1"/>
    <xf numFmtId="215" fontId="20" fillId="0" borderId="0" xfId="0" applyNumberFormat="1" applyFont="1"/>
    <xf numFmtId="238" fontId="20" fillId="0" borderId="0" xfId="1" applyNumberFormat="1" applyFont="1" applyFill="1"/>
    <xf numFmtId="0" fontId="37" fillId="0" borderId="0" xfId="0" applyFont="1" applyAlignment="1">
      <alignment horizontal="left"/>
    </xf>
    <xf numFmtId="215" fontId="37" fillId="0" borderId="0" xfId="0" applyNumberFormat="1" applyFont="1"/>
    <xf numFmtId="43" fontId="20" fillId="0" borderId="0" xfId="0" applyNumberFormat="1" applyFont="1"/>
    <xf numFmtId="217" fontId="20" fillId="0" borderId="0" xfId="0" applyNumberFormat="1" applyFont="1" applyAlignment="1">
      <alignment shrinkToFit="1"/>
    </xf>
    <xf numFmtId="0" fontId="20" fillId="0" borderId="0" xfId="0" applyFont="1" applyAlignment="1">
      <alignment horizontal="right"/>
    </xf>
    <xf numFmtId="43" fontId="29" fillId="0" borderId="0" xfId="1" applyFont="1" applyFill="1"/>
    <xf numFmtId="3" fontId="36" fillId="0" borderId="0" xfId="0" applyNumberFormat="1" applyFont="1"/>
    <xf numFmtId="3" fontId="36" fillId="0" borderId="0" xfId="0" applyNumberFormat="1" applyFont="1" applyAlignment="1">
      <alignment horizontal="center"/>
    </xf>
    <xf numFmtId="198" fontId="13" fillId="0" borderId="0" xfId="0" applyNumberFormat="1" applyFont="1" applyAlignment="1">
      <alignment horizontal="center"/>
    </xf>
    <xf numFmtId="4" fontId="36" fillId="0" borderId="0" xfId="0" applyNumberFormat="1" applyFont="1" applyAlignment="1">
      <alignment horizontal="center"/>
    </xf>
    <xf numFmtId="234" fontId="36" fillId="0" borderId="0" xfId="0" applyNumberFormat="1" applyFont="1" applyAlignment="1">
      <alignment horizontal="center"/>
    </xf>
    <xf numFmtId="198" fontId="20" fillId="0" borderId="1" xfId="1" applyNumberFormat="1" applyFont="1" applyFill="1" applyBorder="1" applyAlignment="1"/>
    <xf numFmtId="217" fontId="38" fillId="0" borderId="5" xfId="1" applyNumberFormat="1" applyFont="1" applyFill="1" applyBorder="1" applyAlignment="1">
      <alignment horizontal="center" vertical="center" wrapText="1"/>
    </xf>
    <xf numFmtId="198" fontId="22" fillId="0" borderId="4" xfId="1" applyNumberFormat="1" applyFont="1" applyFill="1" applyBorder="1" applyAlignment="1">
      <alignment horizontal="center" vertical="center" wrapText="1"/>
    </xf>
    <xf numFmtId="198" fontId="92" fillId="0" borderId="4" xfId="1" applyNumberFormat="1" applyFont="1" applyFill="1" applyBorder="1" applyAlignment="1">
      <alignment horizontal="center" vertical="distributed" wrapText="1"/>
    </xf>
    <xf numFmtId="1" fontId="15" fillId="0" borderId="4" xfId="0" applyNumberFormat="1" applyFont="1" applyBorder="1" applyAlignment="1">
      <alignment horizontal="right" vertical="center"/>
    </xf>
    <xf numFmtId="1" fontId="15" fillId="0" borderId="4" xfId="0" applyNumberFormat="1" applyFont="1" applyBorder="1" applyAlignment="1">
      <alignment horizontal="center" vertical="center"/>
    </xf>
    <xf numFmtId="3" fontId="15" fillId="0" borderId="4" xfId="0" applyNumberFormat="1" applyFont="1" applyBorder="1" applyAlignment="1">
      <alignment horizontal="right" vertical="center"/>
    </xf>
    <xf numFmtId="3" fontId="15" fillId="0" borderId="4" xfId="93" applyNumberFormat="1" applyFont="1" applyFill="1" applyBorder="1" applyAlignment="1">
      <alignment vertical="center" shrinkToFit="1"/>
    </xf>
    <xf numFmtId="3" fontId="15" fillId="0" borderId="4" xfId="93" applyNumberFormat="1" applyFont="1" applyFill="1" applyBorder="1" applyAlignment="1">
      <alignment horizontal="right" vertical="center" shrinkToFit="1"/>
    </xf>
    <xf numFmtId="232" fontId="14" fillId="0" borderId="4" xfId="93" applyNumberFormat="1" applyFont="1" applyFill="1" applyBorder="1" applyAlignment="1">
      <alignment horizontal="right" vertical="center" wrapText="1"/>
    </xf>
    <xf numFmtId="3" fontId="15" fillId="0" borderId="4" xfId="1" applyNumberFormat="1" applyFont="1" applyFill="1" applyBorder="1" applyAlignment="1">
      <alignment horizontal="right" vertical="center"/>
    </xf>
    <xf numFmtId="216" fontId="20" fillId="0" borderId="0" xfId="1" applyNumberFormat="1" applyFont="1" applyFill="1"/>
    <xf numFmtId="216" fontId="20" fillId="0" borderId="0" xfId="1" applyNumberFormat="1" applyFont="1" applyFill="1" applyAlignment="1">
      <alignment horizontal="left"/>
    </xf>
    <xf numFmtId="216" fontId="20" fillId="0" borderId="0" xfId="1" applyNumberFormat="1" applyFont="1" applyFill="1" applyAlignment="1"/>
    <xf numFmtId="216" fontId="14" fillId="2" borderId="0" xfId="0" applyNumberFormat="1" applyFont="1" applyFill="1"/>
    <xf numFmtId="43" fontId="20" fillId="0" borderId="0" xfId="0" applyNumberFormat="1" applyFont="1" applyAlignment="1">
      <alignment horizontal="center"/>
    </xf>
    <xf numFmtId="216" fontId="20" fillId="0" borderId="0" xfId="1" applyNumberFormat="1" applyFont="1" applyFill="1" applyAlignment="1">
      <alignment horizontal="center"/>
    </xf>
    <xf numFmtId="217" fontId="29" fillId="0" borderId="0" xfId="0" applyNumberFormat="1" applyFont="1"/>
    <xf numFmtId="217" fontId="29" fillId="0" borderId="0" xfId="1" applyNumberFormat="1" applyFont="1" applyFill="1"/>
    <xf numFmtId="217" fontId="20" fillId="0" borderId="1" xfId="1" applyNumberFormat="1" applyFont="1" applyFill="1" applyBorder="1" applyAlignment="1"/>
    <xf numFmtId="217" fontId="20" fillId="0" borderId="1" xfId="1" applyNumberFormat="1" applyFont="1" applyFill="1" applyBorder="1"/>
    <xf numFmtId="0" fontId="22" fillId="0" borderId="1" xfId="0" applyFont="1" applyBorder="1"/>
    <xf numFmtId="217" fontId="38" fillId="0" borderId="31" xfId="1" applyNumberFormat="1" applyFont="1" applyFill="1" applyBorder="1" applyAlignment="1">
      <alignment horizontal="center"/>
    </xf>
    <xf numFmtId="198" fontId="38" fillId="0" borderId="4" xfId="1" applyNumberFormat="1" applyFont="1" applyFill="1" applyBorder="1" applyAlignment="1">
      <alignment horizontal="center" vertical="center" wrapText="1"/>
    </xf>
    <xf numFmtId="217" fontId="38" fillId="0" borderId="4" xfId="1" applyNumberFormat="1" applyFont="1" applyFill="1" applyBorder="1" applyAlignment="1">
      <alignment horizontal="center" vertical="center" wrapText="1"/>
    </xf>
    <xf numFmtId="0" fontId="92" fillId="0" borderId="4" xfId="0" applyFont="1" applyBorder="1" applyAlignment="1">
      <alignment horizontal="center" vertical="center" wrapText="1"/>
    </xf>
    <xf numFmtId="3" fontId="40" fillId="2" borderId="4" xfId="93" applyNumberFormat="1" applyFont="1" applyFill="1" applyBorder="1" applyAlignment="1">
      <alignment vertical="center"/>
    </xf>
    <xf numFmtId="3" fontId="15" fillId="0" borderId="4" xfId="93" applyNumberFormat="1" applyFont="1" applyFill="1" applyBorder="1" applyAlignment="1">
      <alignment horizontal="right" vertical="center"/>
    </xf>
    <xf numFmtId="217" fontId="20" fillId="0" borderId="0" xfId="1" applyNumberFormat="1" applyFont="1" applyFill="1" applyAlignment="1">
      <alignment shrinkToFit="1"/>
    </xf>
    <xf numFmtId="216" fontId="13" fillId="0" borderId="0" xfId="1" applyNumberFormat="1" applyFont="1" applyFill="1"/>
    <xf numFmtId="2" fontId="20" fillId="2" borderId="0" xfId="0" applyNumberFormat="1" applyFont="1" applyFill="1" applyAlignment="1">
      <alignment horizontal="center"/>
    </xf>
    <xf numFmtId="217" fontId="20" fillId="2" borderId="0" xfId="0" applyNumberFormat="1" applyFont="1" applyFill="1"/>
    <xf numFmtId="2" fontId="20" fillId="0" borderId="0" xfId="0" applyNumberFormat="1" applyFont="1" applyAlignment="1">
      <alignment horizontal="center"/>
    </xf>
    <xf numFmtId="0" fontId="37" fillId="0" borderId="0" xfId="0" applyFont="1" applyAlignment="1">
      <alignment horizontal="center"/>
    </xf>
    <xf numFmtId="2" fontId="37" fillId="0" borderId="0" xfId="0" applyNumberFormat="1" applyFont="1"/>
    <xf numFmtId="220" fontId="37" fillId="0" borderId="0" xfId="0" applyNumberFormat="1" applyFont="1"/>
    <xf numFmtId="198" fontId="20" fillId="0" borderId="0" xfId="0" applyNumberFormat="1" applyFont="1"/>
    <xf numFmtId="1" fontId="20" fillId="0" borderId="0" xfId="0" applyNumberFormat="1" applyFont="1" applyAlignment="1">
      <alignment horizontal="center"/>
    </xf>
    <xf numFmtId="3" fontId="20" fillId="0" borderId="0" xfId="0" applyNumberFormat="1" applyFont="1"/>
    <xf numFmtId="43" fontId="15" fillId="0" borderId="0" xfId="0" applyNumberFormat="1" applyFont="1" applyAlignment="1">
      <alignment horizontal="center"/>
    </xf>
    <xf numFmtId="217" fontId="15" fillId="0" borderId="0" xfId="0" applyNumberFormat="1" applyFont="1" applyAlignment="1">
      <alignment horizontal="center"/>
    </xf>
    <xf numFmtId="43" fontId="13" fillId="0" borderId="0" xfId="1" applyFont="1" applyFill="1" applyAlignment="1">
      <alignment horizontal="center" vertical="center"/>
    </xf>
    <xf numFmtId="216" fontId="14" fillId="0" borderId="0" xfId="1" applyNumberFormat="1" applyFont="1" applyFill="1" applyAlignment="1">
      <alignment horizontal="center" vertical="center"/>
    </xf>
    <xf numFmtId="2" fontId="14" fillId="0" borderId="0" xfId="0" applyNumberFormat="1" applyFont="1" applyAlignment="1">
      <alignment horizontal="center" vertical="center"/>
    </xf>
    <xf numFmtId="228" fontId="14" fillId="0" borderId="0" xfId="1" applyNumberFormat="1" applyFont="1" applyFill="1" applyAlignment="1">
      <alignment horizontal="center" vertical="center"/>
    </xf>
    <xf numFmtId="0" fontId="94" fillId="0" borderId="0" xfId="0" applyFont="1" applyAlignment="1">
      <alignment horizontal="center" vertical="center"/>
    </xf>
    <xf numFmtId="217" fontId="95" fillId="0" borderId="0" xfId="0" applyNumberFormat="1" applyFont="1" applyAlignment="1">
      <alignment horizontal="center" vertical="center"/>
    </xf>
    <xf numFmtId="217" fontId="13" fillId="0" borderId="0" xfId="0" applyNumberFormat="1" applyFont="1"/>
    <xf numFmtId="188" fontId="20" fillId="0" borderId="0" xfId="0" applyNumberFormat="1" applyFont="1"/>
    <xf numFmtId="1" fontId="13" fillId="2" borderId="0" xfId="0" applyNumberFormat="1" applyFont="1" applyFill="1" applyAlignment="1">
      <alignment horizontal="center"/>
    </xf>
    <xf numFmtId="217" fontId="38" fillId="2" borderId="4" xfId="1" applyNumberFormat="1" applyFont="1" applyFill="1" applyBorder="1" applyAlignment="1">
      <alignment horizontal="center" vertical="center" wrapText="1"/>
    </xf>
    <xf numFmtId="0" fontId="39" fillId="2" borderId="4" xfId="0" applyFont="1" applyFill="1" applyBorder="1" applyAlignment="1">
      <alignment horizontal="center" vertical="center" wrapText="1"/>
    </xf>
    <xf numFmtId="0" fontId="38" fillId="2" borderId="4" xfId="0" applyFont="1" applyFill="1" applyBorder="1" applyAlignment="1">
      <alignment horizontal="center" vertical="center"/>
    </xf>
    <xf numFmtId="0" fontId="8" fillId="2" borderId="4" xfId="0" applyFont="1" applyFill="1" applyBorder="1" applyAlignment="1">
      <alignment horizontal="center" vertical="center" wrapText="1"/>
    </xf>
    <xf numFmtId="219" fontId="38" fillId="2" borderId="4" xfId="1" applyNumberFormat="1" applyFont="1" applyFill="1" applyBorder="1" applyAlignment="1">
      <alignment horizontal="center" vertical="center" wrapText="1"/>
    </xf>
    <xf numFmtId="4" fontId="89" fillId="2" borderId="2" xfId="0" applyNumberFormat="1" applyFont="1" applyFill="1" applyBorder="1" applyAlignment="1">
      <alignment horizontal="center" vertical="center" wrapText="1"/>
    </xf>
    <xf numFmtId="0" fontId="29" fillId="2" borderId="4" xfId="0" applyFont="1" applyFill="1" applyBorder="1" applyAlignment="1">
      <alignment horizontal="center" vertical="distributed" wrapText="1"/>
    </xf>
    <xf numFmtId="1" fontId="22" fillId="2" borderId="4" xfId="0" applyNumberFormat="1" applyFont="1" applyFill="1" applyBorder="1" applyAlignment="1">
      <alignment horizontal="center" wrapText="1"/>
    </xf>
    <xf numFmtId="0" fontId="8" fillId="2" borderId="4" xfId="0" applyFont="1" applyFill="1" applyBorder="1" applyAlignment="1">
      <alignment horizontal="center" vertical="center"/>
    </xf>
    <xf numFmtId="3" fontId="8" fillId="2" borderId="4" xfId="0" applyNumberFormat="1" applyFont="1" applyFill="1" applyBorder="1" applyAlignment="1">
      <alignment horizontal="center" vertical="center"/>
    </xf>
    <xf numFmtId="0" fontId="8" fillId="2" borderId="4" xfId="562" applyFont="1" applyFill="1" applyBorder="1" applyAlignment="1">
      <alignment horizontal="left" vertical="center" shrinkToFit="1"/>
    </xf>
    <xf numFmtId="0" fontId="8" fillId="2" borderId="4" xfId="0" applyFont="1" applyFill="1" applyBorder="1" applyAlignment="1">
      <alignment horizontal="left" shrinkToFit="1"/>
    </xf>
    <xf numFmtId="217" fontId="8" fillId="2" borderId="4" xfId="1" applyNumberFormat="1" applyFont="1" applyFill="1" applyBorder="1" applyAlignment="1">
      <alignment horizontal="right" vertical="center" shrinkToFit="1"/>
    </xf>
    <xf numFmtId="236" fontId="8" fillId="2" borderId="4" xfId="1" applyNumberFormat="1" applyFont="1" applyFill="1" applyBorder="1" applyAlignment="1">
      <alignment horizontal="right" vertical="center"/>
    </xf>
    <xf numFmtId="217" fontId="8" fillId="2" borderId="4" xfId="1" applyNumberFormat="1" applyFont="1" applyFill="1" applyBorder="1" applyAlignment="1">
      <alignment vertical="center"/>
    </xf>
    <xf numFmtId="0" fontId="8" fillId="2" borderId="4" xfId="0" applyFont="1" applyFill="1" applyBorder="1" applyAlignment="1">
      <alignment vertical="center"/>
    </xf>
    <xf numFmtId="188" fontId="15" fillId="2" borderId="0" xfId="0" applyNumberFormat="1" applyFont="1" applyFill="1" applyAlignment="1">
      <alignment vertical="center"/>
    </xf>
    <xf numFmtId="198" fontId="38" fillId="2" borderId="4" xfId="1" applyNumberFormat="1" applyFont="1" applyFill="1" applyBorder="1" applyAlignment="1">
      <alignment horizontal="center" vertical="center" wrapText="1"/>
    </xf>
    <xf numFmtId="188" fontId="38" fillId="2" borderId="4" xfId="1" applyNumberFormat="1" applyFont="1" applyFill="1" applyBorder="1" applyAlignment="1">
      <alignment horizontal="center" vertical="center" wrapText="1"/>
    </xf>
    <xf numFmtId="217" fontId="39" fillId="2" borderId="4" xfId="1" applyNumberFormat="1" applyFont="1" applyFill="1" applyBorder="1" applyAlignment="1">
      <alignment horizontal="center" vertical="top" wrapText="1"/>
    </xf>
    <xf numFmtId="198" fontId="29" fillId="2" borderId="4" xfId="1" applyNumberFormat="1" applyFont="1" applyFill="1" applyBorder="1" applyAlignment="1">
      <alignment horizontal="center" vertical="distributed" wrapText="1"/>
    </xf>
    <xf numFmtId="188" fontId="29" fillId="2" borderId="4" xfId="1" applyNumberFormat="1" applyFont="1" applyFill="1" applyBorder="1" applyAlignment="1">
      <alignment horizontal="center" vertical="distributed" wrapText="1"/>
    </xf>
    <xf numFmtId="188" fontId="22" fillId="2" borderId="4" xfId="0" applyNumberFormat="1" applyFont="1" applyFill="1" applyBorder="1" applyAlignment="1">
      <alignment horizontal="center" wrapText="1"/>
    </xf>
    <xf numFmtId="188" fontId="8" fillId="2" borderId="4" xfId="1" applyNumberFormat="1" applyFont="1" applyFill="1" applyBorder="1" applyAlignment="1">
      <alignment vertical="center"/>
    </xf>
    <xf numFmtId="217" fontId="8" fillId="2" borderId="4" xfId="1" applyNumberFormat="1" applyFont="1" applyFill="1" applyBorder="1" applyAlignment="1">
      <alignment horizontal="center" vertical="center"/>
    </xf>
    <xf numFmtId="0" fontId="39" fillId="2" borderId="4" xfId="1" applyNumberFormat="1" applyFont="1" applyFill="1" applyBorder="1" applyAlignment="1">
      <alignment horizontal="center" vertical="center" wrapText="1"/>
    </xf>
    <xf numFmtId="3" fontId="39" fillId="2" borderId="4" xfId="1" applyNumberFormat="1" applyFont="1" applyFill="1" applyBorder="1" applyAlignment="1">
      <alignment horizontal="center" vertical="center" wrapText="1"/>
    </xf>
    <xf numFmtId="217" fontId="8" fillId="2" borderId="4" xfId="93" applyNumberFormat="1" applyFont="1" applyFill="1" applyBorder="1" applyAlignment="1">
      <alignment vertical="center" shrinkToFit="1"/>
    </xf>
    <xf numFmtId="0" fontId="8" fillId="2" borderId="4" xfId="0" applyFont="1" applyFill="1" applyBorder="1" applyAlignment="1">
      <alignment vertical="center" wrapText="1"/>
    </xf>
    <xf numFmtId="217" fontId="8" fillId="2" borderId="4" xfId="1" applyNumberFormat="1" applyFont="1" applyFill="1" applyBorder="1" applyAlignment="1">
      <alignment vertical="center" shrinkToFit="1"/>
    </xf>
    <xf numFmtId="3" fontId="13" fillId="2" borderId="2" xfId="0" applyNumberFormat="1" applyFont="1" applyFill="1" applyBorder="1" applyAlignment="1">
      <alignment horizontal="center"/>
    </xf>
    <xf numFmtId="3" fontId="8" fillId="2" borderId="2" xfId="0" applyNumberFormat="1" applyFont="1" applyFill="1" applyBorder="1" applyAlignment="1">
      <alignment vertical="center"/>
    </xf>
    <xf numFmtId="3" fontId="90" fillId="2" borderId="4" xfId="0" applyNumberFormat="1" applyFont="1" applyFill="1" applyBorder="1"/>
    <xf numFmtId="4" fontId="90" fillId="2" borderId="4" xfId="0" applyNumberFormat="1" applyFont="1" applyFill="1" applyBorder="1"/>
    <xf numFmtId="0" fontId="38" fillId="2" borderId="4" xfId="0" applyFont="1" applyFill="1" applyBorder="1" applyAlignment="1">
      <alignment vertical="top"/>
    </xf>
    <xf numFmtId="0" fontId="38" fillId="2" borderId="4" xfId="0" applyFont="1" applyFill="1" applyBorder="1" applyAlignment="1">
      <alignment vertical="center" shrinkToFit="1"/>
    </xf>
    <xf numFmtId="233" fontId="39" fillId="2" borderId="4" xfId="0" applyNumberFormat="1" applyFont="1" applyFill="1" applyBorder="1" applyAlignment="1">
      <alignment vertical="center"/>
    </xf>
    <xf numFmtId="236" fontId="38" fillId="2" borderId="4" xfId="0" applyNumberFormat="1" applyFont="1" applyFill="1" applyBorder="1" applyAlignment="1">
      <alignment vertical="center"/>
    </xf>
    <xf numFmtId="233" fontId="38" fillId="2" borderId="4" xfId="0" applyNumberFormat="1" applyFont="1" applyFill="1" applyBorder="1" applyAlignment="1">
      <alignment vertical="center"/>
    </xf>
    <xf numFmtId="0" fontId="8" fillId="2" borderId="0" xfId="0" applyFont="1" applyFill="1" applyAlignment="1">
      <alignment horizontal="center"/>
    </xf>
    <xf numFmtId="0" fontId="8" fillId="2" borderId="0" xfId="0" applyFont="1" applyFill="1" applyAlignment="1">
      <alignment shrinkToFit="1"/>
    </xf>
    <xf numFmtId="43" fontId="29" fillId="2" borderId="0" xfId="1" applyFont="1" applyFill="1"/>
    <xf numFmtId="217" fontId="29" fillId="2" borderId="0" xfId="1" applyNumberFormat="1" applyFont="1" applyFill="1"/>
    <xf numFmtId="188" fontId="29" fillId="2" borderId="0" xfId="1" applyNumberFormat="1" applyFont="1" applyFill="1"/>
    <xf numFmtId="217" fontId="29" fillId="2" borderId="0" xfId="1" applyNumberFormat="1" applyFont="1" applyFill="1" applyAlignment="1">
      <alignment horizontal="center"/>
    </xf>
    <xf numFmtId="198" fontId="15" fillId="2" borderId="0" xfId="0" applyNumberFormat="1" applyFont="1" applyFill="1" applyAlignment="1">
      <alignment horizontal="center"/>
    </xf>
    <xf numFmtId="217" fontId="29" fillId="2" borderId="0" xfId="0" applyNumberFormat="1" applyFont="1" applyFill="1"/>
    <xf numFmtId="217" fontId="29" fillId="2" borderId="0" xfId="0" applyNumberFormat="1" applyFont="1" applyFill="1" applyAlignment="1">
      <alignment vertical="center"/>
    </xf>
    <xf numFmtId="4" fontId="15" fillId="2" borderId="0" xfId="0" applyNumberFormat="1" applyFont="1" applyFill="1" applyAlignment="1">
      <alignment horizontal="center"/>
    </xf>
    <xf numFmtId="216" fontId="15" fillId="2" borderId="0" xfId="0" applyNumberFormat="1" applyFont="1" applyFill="1"/>
    <xf numFmtId="4" fontId="89" fillId="4" borderId="2" xfId="0" applyNumberFormat="1" applyFont="1" applyFill="1" applyBorder="1" applyAlignment="1">
      <alignment horizontal="center" vertical="center" wrapText="1"/>
    </xf>
    <xf numFmtId="0" fontId="38" fillId="2" borderId="4" xfId="0" applyFont="1" applyFill="1" applyBorder="1" applyAlignment="1">
      <alignment vertical="center"/>
    </xf>
    <xf numFmtId="233" fontId="38" fillId="2" borderId="4" xfId="1" applyNumberFormat="1" applyFont="1" applyFill="1" applyBorder="1" applyAlignment="1">
      <alignment horizontal="right" vertical="center"/>
    </xf>
    <xf numFmtId="236" fontId="38" fillId="2" borderId="4" xfId="1" applyNumberFormat="1" applyFont="1" applyFill="1" applyBorder="1" applyAlignment="1">
      <alignment horizontal="right" vertical="center"/>
    </xf>
    <xf numFmtId="233" fontId="38" fillId="2" borderId="4" xfId="1" applyNumberFormat="1" applyFont="1" applyFill="1" applyBorder="1" applyAlignment="1">
      <alignment horizontal="center" vertical="center"/>
    </xf>
    <xf numFmtId="217" fontId="8" fillId="2" borderId="33" xfId="1" applyNumberFormat="1" applyFont="1" applyFill="1" applyBorder="1" applyAlignment="1">
      <alignment vertical="center"/>
    </xf>
    <xf numFmtId="217" fontId="38" fillId="2" borderId="33" xfId="1" applyNumberFormat="1" applyFont="1" applyFill="1" applyBorder="1" applyAlignment="1">
      <alignment vertical="center"/>
    </xf>
    <xf numFmtId="0" fontId="90" fillId="8" borderId="4" xfId="0" applyFont="1" applyFill="1" applyBorder="1"/>
    <xf numFmtId="3" fontId="90" fillId="8" borderId="4" xfId="0" applyNumberFormat="1" applyFont="1" applyFill="1" applyBorder="1"/>
    <xf numFmtId="4" fontId="90" fillId="8" borderId="4" xfId="0" applyNumberFormat="1" applyFont="1" applyFill="1" applyBorder="1"/>
    <xf numFmtId="3" fontId="90" fillId="8" borderId="4" xfId="0" applyNumberFormat="1" applyFont="1" applyFill="1" applyBorder="1" applyAlignment="1">
      <alignment horizontal="center"/>
    </xf>
    <xf numFmtId="9" fontId="90" fillId="8" borderId="4" xfId="2" applyFont="1" applyFill="1" applyBorder="1" applyAlignment="1">
      <alignment horizontal="center"/>
    </xf>
    <xf numFmtId="233" fontId="8" fillId="2" borderId="0" xfId="0" applyNumberFormat="1" applyFont="1" applyFill="1" applyAlignment="1">
      <alignment vertical="center"/>
    </xf>
    <xf numFmtId="217" fontId="8" fillId="2" borderId="0" xfId="0" applyNumberFormat="1" applyFont="1" applyFill="1" applyAlignment="1">
      <alignment vertical="center"/>
    </xf>
    <xf numFmtId="3" fontId="38" fillId="2" borderId="2" xfId="0" applyNumberFormat="1" applyFont="1" applyFill="1" applyBorder="1" applyAlignment="1">
      <alignment vertical="center"/>
    </xf>
    <xf numFmtId="3" fontId="16" fillId="2" borderId="0" xfId="0" applyNumberFormat="1" applyFont="1" applyFill="1" applyAlignment="1">
      <alignment horizontal="right" vertical="center"/>
    </xf>
    <xf numFmtId="3" fontId="14" fillId="2" borderId="0" xfId="0" applyNumberFormat="1" applyFont="1" applyFill="1"/>
    <xf numFmtId="217" fontId="8" fillId="2" borderId="32" xfId="1" applyNumberFormat="1" applyFont="1" applyFill="1" applyBorder="1" applyAlignment="1">
      <alignment vertical="center"/>
    </xf>
    <xf numFmtId="43" fontId="60" fillId="2" borderId="0" xfId="1" applyFont="1" applyFill="1" applyAlignment="1">
      <alignment horizontal="right" vertical="center"/>
    </xf>
    <xf numFmtId="233" fontId="38" fillId="2" borderId="0" xfId="0" applyNumberFormat="1" applyFont="1" applyFill="1" applyAlignment="1">
      <alignment vertical="center"/>
    </xf>
    <xf numFmtId="0" fontId="8" fillId="2" borderId="4" xfId="562" applyFont="1" applyFill="1" applyBorder="1" applyAlignment="1" applyProtection="1">
      <alignment vertical="center"/>
      <protection locked="0"/>
    </xf>
    <xf numFmtId="0" fontId="8" fillId="2" borderId="4" xfId="564" applyFont="1" applyFill="1" applyBorder="1" applyAlignment="1">
      <alignment vertical="center"/>
    </xf>
    <xf numFmtId="215" fontId="38" fillId="2" borderId="4" xfId="0" applyNumberFormat="1" applyFont="1" applyFill="1" applyBorder="1" applyAlignment="1">
      <alignment horizontal="right" vertical="center"/>
    </xf>
    <xf numFmtId="0" fontId="15" fillId="2" borderId="4" xfId="0" applyFont="1" applyFill="1" applyBorder="1"/>
    <xf numFmtId="215" fontId="38" fillId="2" borderId="4" xfId="1" applyNumberFormat="1" applyFont="1" applyFill="1" applyBorder="1" applyAlignment="1">
      <alignment vertical="center"/>
    </xf>
    <xf numFmtId="232" fontId="38" fillId="2" borderId="4" xfId="1" applyNumberFormat="1" applyFont="1" applyFill="1" applyBorder="1" applyAlignment="1">
      <alignment vertical="center"/>
    </xf>
    <xf numFmtId="232" fontId="15" fillId="2" borderId="0" xfId="0" applyNumberFormat="1" applyFont="1" applyFill="1"/>
    <xf numFmtId="239" fontId="38" fillId="2" borderId="6" xfId="1" applyNumberFormat="1" applyFont="1" applyFill="1" applyBorder="1" applyAlignment="1">
      <alignment vertical="center"/>
    </xf>
    <xf numFmtId="3" fontId="38" fillId="2" borderId="4" xfId="1" applyNumberFormat="1" applyFont="1" applyFill="1" applyBorder="1" applyAlignment="1">
      <alignment vertical="center"/>
    </xf>
    <xf numFmtId="215" fontId="38" fillId="2" borderId="4" xfId="1" applyNumberFormat="1" applyFont="1" applyFill="1" applyBorder="1" applyAlignment="1">
      <alignment horizontal="center" vertical="center"/>
    </xf>
    <xf numFmtId="1" fontId="22" fillId="2" borderId="6" xfId="0" applyNumberFormat="1" applyFont="1" applyFill="1" applyBorder="1" applyAlignment="1">
      <alignment horizontal="center" wrapText="1"/>
    </xf>
    <xf numFmtId="1" fontId="38" fillId="2" borderId="0" xfId="0" applyNumberFormat="1" applyFont="1" applyFill="1" applyAlignment="1">
      <alignment horizontal="center" vertical="center"/>
    </xf>
    <xf numFmtId="236" fontId="60" fillId="5" borderId="0" xfId="0" applyNumberFormat="1" applyFont="1" applyFill="1"/>
    <xf numFmtId="0" fontId="89" fillId="2" borderId="0" xfId="0" applyFont="1" applyFill="1"/>
    <xf numFmtId="0" fontId="96" fillId="2" borderId="4" xfId="0" applyFont="1" applyFill="1" applyBorder="1"/>
    <xf numFmtId="0" fontId="96" fillId="8" borderId="0" xfId="0" applyFont="1" applyFill="1"/>
    <xf numFmtId="0" fontId="96" fillId="2" borderId="0" xfId="0" applyFont="1" applyFill="1"/>
    <xf numFmtId="0" fontId="89" fillId="2" borderId="0" xfId="0" applyFont="1" applyFill="1" applyAlignment="1">
      <alignment horizontal="left"/>
    </xf>
    <xf numFmtId="0" fontId="97" fillId="2" borderId="0" xfId="0" applyFont="1" applyFill="1"/>
    <xf numFmtId="0" fontId="89" fillId="2" borderId="0" xfId="0" applyFont="1" applyFill="1" applyAlignment="1">
      <alignment horizontal="center"/>
    </xf>
    <xf numFmtId="0" fontId="96" fillId="2" borderId="0" xfId="0" applyFont="1" applyFill="1" applyAlignment="1">
      <alignment horizontal="center"/>
    </xf>
    <xf numFmtId="0" fontId="96" fillId="2" borderId="2" xfId="0" applyFont="1" applyFill="1" applyBorder="1" applyAlignment="1">
      <alignment horizontal="center" vertical="center" wrapText="1"/>
    </xf>
    <xf numFmtId="0" fontId="89" fillId="2" borderId="2" xfId="0" applyFont="1" applyFill="1" applyBorder="1" applyAlignment="1">
      <alignment horizontal="center" vertical="center" wrapText="1"/>
    </xf>
    <xf numFmtId="4" fontId="89" fillId="2" borderId="2" xfId="1" applyNumberFormat="1" applyFont="1" applyFill="1" applyBorder="1" applyAlignment="1">
      <alignment horizontal="right" vertical="center"/>
    </xf>
    <xf numFmtId="0" fontId="89" fillId="2" borderId="21" xfId="0" applyFont="1" applyFill="1" applyBorder="1" applyAlignment="1">
      <alignment vertical="center"/>
    </xf>
    <xf numFmtId="0" fontId="89" fillId="2" borderId="22" xfId="0" applyFont="1" applyFill="1" applyBorder="1" applyAlignment="1">
      <alignment vertical="center"/>
    </xf>
    <xf numFmtId="0" fontId="89" fillId="2" borderId="24" xfId="0" applyFont="1" applyFill="1" applyBorder="1" applyAlignment="1">
      <alignment vertical="center"/>
    </xf>
    <xf numFmtId="0" fontId="96" fillId="2" borderId="2" xfId="0" applyFont="1" applyFill="1" applyBorder="1" applyAlignment="1">
      <alignment horizontal="left" shrinkToFit="1"/>
    </xf>
    <xf numFmtId="0" fontId="96" fillId="2" borderId="2" xfId="0" applyFont="1" applyFill="1" applyBorder="1" applyAlignment="1">
      <alignment horizontal="left"/>
    </xf>
    <xf numFmtId="3" fontId="96" fillId="2" borderId="2" xfId="0" applyNumberFormat="1" applyFont="1" applyFill="1" applyBorder="1" applyAlignment="1">
      <alignment vertical="center"/>
    </xf>
    <xf numFmtId="4" fontId="96" fillId="2" borderId="2" xfId="0" applyNumberFormat="1" applyFont="1" applyFill="1" applyBorder="1" applyAlignment="1">
      <alignment horizontal="right" vertical="center" shrinkToFit="1"/>
    </xf>
    <xf numFmtId="3" fontId="98" fillId="2" borderId="2" xfId="0" applyNumberFormat="1" applyFont="1" applyFill="1" applyBorder="1" applyAlignment="1">
      <alignment vertical="center"/>
    </xf>
    <xf numFmtId="0" fontId="96" fillId="2" borderId="2" xfId="0" applyFont="1" applyFill="1" applyBorder="1" applyAlignment="1">
      <alignment vertical="center" wrapText="1"/>
    </xf>
    <xf numFmtId="0" fontId="96" fillId="2" borderId="2" xfId="0" applyFont="1" applyFill="1" applyBorder="1" applyAlignment="1">
      <alignment vertical="center"/>
    </xf>
    <xf numFmtId="0" fontId="98" fillId="2" borderId="2" xfId="0" applyFont="1" applyFill="1" applyBorder="1" applyAlignment="1">
      <alignment vertical="center"/>
    </xf>
    <xf numFmtId="0" fontId="89" fillId="2" borderId="21" xfId="0" applyFont="1" applyFill="1" applyBorder="1" applyAlignment="1">
      <alignment shrinkToFit="1"/>
    </xf>
    <xf numFmtId="0" fontId="89" fillId="2" borderId="22" xfId="0" applyFont="1" applyFill="1" applyBorder="1" applyAlignment="1">
      <alignment shrinkToFit="1"/>
    </xf>
    <xf numFmtId="0" fontId="89" fillId="2" borderId="24" xfId="0" applyFont="1" applyFill="1" applyBorder="1" applyAlignment="1">
      <alignment shrinkToFit="1"/>
    </xf>
    <xf numFmtId="4" fontId="89" fillId="2" borderId="2" xfId="1" applyNumberFormat="1" applyFont="1" applyFill="1" applyBorder="1" applyAlignment="1">
      <alignment horizontal="right" vertical="center" shrinkToFit="1"/>
    </xf>
    <xf numFmtId="1" fontId="96" fillId="2" borderId="2" xfId="0" applyNumberFormat="1" applyFont="1" applyFill="1" applyBorder="1" applyAlignment="1">
      <alignment horizontal="left" shrinkToFit="1"/>
    </xf>
    <xf numFmtId="0" fontId="96" fillId="2" borderId="2" xfId="0" applyFont="1" applyFill="1" applyBorder="1" applyAlignment="1">
      <alignment horizontal="left" vertical="center"/>
    </xf>
    <xf numFmtId="2" fontId="96" fillId="2" borderId="2" xfId="0" applyNumberFormat="1" applyFont="1" applyFill="1" applyBorder="1" applyAlignment="1">
      <alignment horizontal="left" shrinkToFit="1"/>
    </xf>
    <xf numFmtId="0" fontId="89" fillId="2" borderId="2" xfId="0" applyFont="1" applyFill="1" applyBorder="1" applyAlignment="1">
      <alignment vertical="center"/>
    </xf>
    <xf numFmtId="219" fontId="96" fillId="2" borderId="0" xfId="1" applyNumberFormat="1" applyFont="1" applyFill="1"/>
    <xf numFmtId="219" fontId="97" fillId="2" borderId="0" xfId="1" applyNumberFormat="1" applyFont="1" applyFill="1" applyAlignment="1">
      <alignment horizontal="center"/>
    </xf>
    <xf numFmtId="4" fontId="96" fillId="2" borderId="2" xfId="1" applyNumberFormat="1" applyFont="1" applyFill="1" applyBorder="1" applyAlignment="1">
      <alignment horizontal="right" vertical="center" shrinkToFit="1"/>
    </xf>
    <xf numFmtId="4" fontId="96" fillId="2" borderId="0" xfId="0" applyNumberFormat="1" applyFont="1" applyFill="1"/>
    <xf numFmtId="0" fontId="96" fillId="2" borderId="0" xfId="0" applyFont="1" applyFill="1" applyAlignment="1">
      <alignment horizontal="right"/>
    </xf>
    <xf numFmtId="10" fontId="96" fillId="2" borderId="0" xfId="576" applyNumberFormat="1" applyFont="1" applyFill="1"/>
    <xf numFmtId="0" fontId="89" fillId="2" borderId="2" xfId="0" applyFont="1" applyFill="1" applyBorder="1" applyAlignment="1">
      <alignment horizontal="center" vertical="justify"/>
    </xf>
    <xf numFmtId="9" fontId="90" fillId="2" borderId="4" xfId="576" applyFont="1" applyFill="1" applyBorder="1" applyAlignment="1">
      <alignment horizontal="center"/>
    </xf>
    <xf numFmtId="217" fontId="20" fillId="2" borderId="4" xfId="93" applyNumberFormat="1" applyFont="1" applyFill="1" applyBorder="1" applyAlignment="1">
      <alignment vertical="center" shrinkToFit="1"/>
    </xf>
    <xf numFmtId="198" fontId="89" fillId="2" borderId="2" xfId="0" applyNumberFormat="1" applyFont="1" applyFill="1" applyBorder="1" applyAlignment="1">
      <alignment horizontal="center" vertical="center" shrinkToFit="1"/>
    </xf>
    <xf numFmtId="0" fontId="67" fillId="2" borderId="4" xfId="0" applyFont="1" applyFill="1" applyBorder="1"/>
    <xf numFmtId="10" fontId="67" fillId="2" borderId="4" xfId="576" applyNumberFormat="1" applyFont="1" applyFill="1" applyBorder="1"/>
    <xf numFmtId="240" fontId="96" fillId="2" borderId="0" xfId="0" applyNumberFormat="1" applyFont="1" applyFill="1"/>
    <xf numFmtId="0" fontId="89" fillId="2" borderId="4" xfId="0" applyFont="1" applyFill="1" applyBorder="1"/>
    <xf numFmtId="0" fontId="0" fillId="2" borderId="0" xfId="0" applyFill="1"/>
    <xf numFmtId="10" fontId="96" fillId="2" borderId="4" xfId="0" applyNumberFormat="1" applyFont="1" applyFill="1" applyBorder="1"/>
    <xf numFmtId="1" fontId="13" fillId="2" borderId="4" xfId="0" applyNumberFormat="1" applyFont="1" applyFill="1" applyBorder="1" applyAlignment="1">
      <alignment horizontal="center" vertical="center"/>
    </xf>
    <xf numFmtId="2" fontId="13" fillId="2" borderId="4" xfId="0" applyNumberFormat="1" applyFont="1" applyFill="1" applyBorder="1" applyAlignment="1">
      <alignment horizontal="center" vertical="center"/>
    </xf>
    <xf numFmtId="0" fontId="96" fillId="2" borderId="2" xfId="0" applyFont="1" applyFill="1" applyBorder="1"/>
    <xf numFmtId="0" fontId="96" fillId="2" borderId="2" xfId="562" applyFont="1" applyFill="1" applyBorder="1" applyAlignment="1">
      <alignment horizontal="left" vertical="center" shrinkToFit="1"/>
    </xf>
    <xf numFmtId="0" fontId="89" fillId="2" borderId="21" xfId="0" applyFont="1" applyFill="1" applyBorder="1" applyAlignment="1">
      <alignment vertical="center" shrinkToFit="1"/>
    </xf>
    <xf numFmtId="0" fontId="89" fillId="2" borderId="22" xfId="0" applyFont="1" applyFill="1" applyBorder="1" applyAlignment="1">
      <alignment vertical="center" shrinkToFit="1"/>
    </xf>
    <xf numFmtId="0" fontId="89" fillId="2" borderId="24" xfId="0" applyFont="1" applyFill="1" applyBorder="1" applyAlignment="1">
      <alignment vertical="center" shrinkToFit="1"/>
    </xf>
    <xf numFmtId="1" fontId="96" fillId="2" borderId="2" xfId="0" applyNumberFormat="1" applyFont="1" applyFill="1" applyBorder="1" applyAlignment="1">
      <alignment horizontal="center" vertical="center" shrinkToFit="1"/>
    </xf>
    <xf numFmtId="2" fontId="96" fillId="2" borderId="2" xfId="0" applyNumberFormat="1" applyFont="1" applyFill="1" applyBorder="1" applyAlignment="1">
      <alignment horizontal="center" vertical="center" shrinkToFit="1"/>
    </xf>
    <xf numFmtId="0" fontId="96" fillId="2" borderId="2" xfId="562" applyFont="1" applyFill="1" applyBorder="1" applyProtection="1">
      <protection locked="0"/>
    </xf>
    <xf numFmtId="0" fontId="96" fillId="2" borderId="2" xfId="564" applyFont="1" applyFill="1" applyBorder="1"/>
    <xf numFmtId="3" fontId="96" fillId="2" borderId="2" xfId="0" applyNumberFormat="1" applyFont="1" applyFill="1" applyBorder="1"/>
    <xf numFmtId="0" fontId="15" fillId="2" borderId="18" xfId="0" applyFont="1" applyFill="1" applyBorder="1" applyAlignment="1">
      <alignment horizontal="left"/>
    </xf>
    <xf numFmtId="0" fontId="96" fillId="2" borderId="2" xfId="0" applyFont="1" applyFill="1" applyBorder="1" applyAlignment="1">
      <alignment horizontal="center" vertical="center" shrinkToFit="1"/>
    </xf>
    <xf numFmtId="4" fontId="89" fillId="2" borderId="2" xfId="0" applyNumberFormat="1" applyFont="1" applyFill="1" applyBorder="1" applyAlignment="1">
      <alignment horizontal="right" vertical="center" shrinkToFit="1"/>
    </xf>
    <xf numFmtId="4" fontId="89" fillId="5" borderId="2" xfId="1" applyNumberFormat="1" applyFont="1" applyFill="1" applyBorder="1" applyAlignment="1">
      <alignment horizontal="right"/>
    </xf>
    <xf numFmtId="4" fontId="89" fillId="2" borderId="2" xfId="1" applyNumberFormat="1" applyFont="1" applyFill="1" applyBorder="1" applyAlignment="1">
      <alignment horizontal="right"/>
    </xf>
    <xf numFmtId="2" fontId="96" fillId="2" borderId="0" xfId="0" applyNumberFormat="1" applyFont="1" applyFill="1"/>
    <xf numFmtId="0" fontId="89" fillId="2" borderId="4" xfId="0" applyFont="1" applyFill="1" applyBorder="1" applyAlignment="1">
      <alignment horizontal="center"/>
    </xf>
    <xf numFmtId="4" fontId="89" fillId="2" borderId="3" xfId="0" applyNumberFormat="1" applyFont="1" applyFill="1" applyBorder="1"/>
    <xf numFmtId="2" fontId="89" fillId="2" borderId="3" xfId="0" applyNumberFormat="1" applyFont="1" applyFill="1" applyBorder="1"/>
    <xf numFmtId="4" fontId="96" fillId="2" borderId="4" xfId="0" applyNumberFormat="1" applyFont="1" applyFill="1" applyBorder="1"/>
    <xf numFmtId="4" fontId="96" fillId="9" borderId="4" xfId="0" applyNumberFormat="1" applyFont="1" applyFill="1" applyBorder="1"/>
    <xf numFmtId="2" fontId="89" fillId="2" borderId="0" xfId="0" applyNumberFormat="1" applyFont="1" applyFill="1"/>
    <xf numFmtId="232" fontId="96" fillId="2" borderId="0" xfId="0" applyNumberFormat="1" applyFont="1" applyFill="1"/>
    <xf numFmtId="43" fontId="89" fillId="2" borderId="3" xfId="0" applyNumberFormat="1" applyFont="1" applyFill="1" applyBorder="1"/>
    <xf numFmtId="3" fontId="89" fillId="2" borderId="2" xfId="1" applyNumberFormat="1" applyFont="1" applyFill="1" applyBorder="1" applyAlignment="1">
      <alignment horizontal="right"/>
    </xf>
    <xf numFmtId="43" fontId="96" fillId="2" borderId="0" xfId="1" applyFont="1" applyFill="1"/>
    <xf numFmtId="217" fontId="96" fillId="2" borderId="0" xfId="1" applyNumberFormat="1" applyFont="1" applyFill="1"/>
    <xf numFmtId="43" fontId="89" fillId="2" borderId="4" xfId="0" applyNumberFormat="1" applyFont="1" applyFill="1" applyBorder="1" applyAlignment="1">
      <alignment horizontal="center"/>
    </xf>
    <xf numFmtId="0" fontId="99" fillId="2" borderId="4" xfId="0" applyFont="1" applyFill="1" applyBorder="1"/>
    <xf numFmtId="4" fontId="89" fillId="2" borderId="0" xfId="0" applyNumberFormat="1" applyFont="1" applyFill="1"/>
    <xf numFmtId="43" fontId="89" fillId="2" borderId="2" xfId="0" applyNumberFormat="1" applyFont="1" applyFill="1" applyBorder="1"/>
    <xf numFmtId="0" fontId="96" fillId="2" borderId="3" xfId="0" applyFont="1" applyFill="1" applyBorder="1"/>
    <xf numFmtId="0" fontId="96" fillId="2" borderId="7" xfId="0" applyFont="1" applyFill="1" applyBorder="1"/>
    <xf numFmtId="0" fontId="96" fillId="8" borderId="0" xfId="0" applyFont="1" applyFill="1" applyAlignment="1">
      <alignment horizontal="center"/>
    </xf>
    <xf numFmtId="4" fontId="96" fillId="8" borderId="4" xfId="0" applyNumberFormat="1" applyFont="1" applyFill="1" applyBorder="1"/>
    <xf numFmtId="16" fontId="96" fillId="2" borderId="0" xfId="0" applyNumberFormat="1" applyFont="1" applyFill="1" applyAlignment="1">
      <alignment horizontal="center"/>
    </xf>
    <xf numFmtId="43" fontId="96" fillId="2" borderId="0" xfId="1" applyFont="1" applyFill="1" applyAlignment="1">
      <alignment horizontal="center"/>
    </xf>
    <xf numFmtId="221" fontId="98" fillId="2" borderId="0" xfId="0" applyNumberFormat="1" applyFont="1" applyFill="1"/>
    <xf numFmtId="221" fontId="96" fillId="2" borderId="0" xfId="0" applyNumberFormat="1" applyFont="1" applyFill="1"/>
    <xf numFmtId="228" fontId="96" fillId="2" borderId="0" xfId="1" applyNumberFormat="1" applyFont="1" applyFill="1"/>
    <xf numFmtId="239" fontId="96" fillId="2" borderId="0" xfId="0" applyNumberFormat="1" applyFont="1" applyFill="1"/>
    <xf numFmtId="2" fontId="100" fillId="2" borderId="0" xfId="0" applyNumberFormat="1" applyFont="1" applyFill="1"/>
    <xf numFmtId="0" fontId="100" fillId="2" borderId="0" xfId="0" applyFont="1" applyFill="1" applyAlignment="1">
      <alignment horizontal="center"/>
    </xf>
    <xf numFmtId="43" fontId="100" fillId="2" borderId="0" xfId="0" applyNumberFormat="1" applyFont="1" applyFill="1"/>
    <xf numFmtId="43" fontId="100" fillId="2" borderId="0" xfId="1" applyFont="1" applyFill="1" applyAlignment="1"/>
    <xf numFmtId="197" fontId="100" fillId="2" borderId="0" xfId="0" applyNumberFormat="1" applyFont="1" applyFill="1"/>
    <xf numFmtId="2" fontId="72" fillId="2" borderId="0" xfId="0" applyNumberFormat="1" applyFont="1" applyFill="1"/>
    <xf numFmtId="2" fontId="96" fillId="8" borderId="0" xfId="0" applyNumberFormat="1" applyFont="1" applyFill="1"/>
    <xf numFmtId="3" fontId="96" fillId="2" borderId="0" xfId="0" applyNumberFormat="1" applyFont="1" applyFill="1"/>
    <xf numFmtId="10" fontId="72" fillId="2" borderId="0" xfId="576" applyNumberFormat="1" applyFont="1" applyFill="1"/>
    <xf numFmtId="43" fontId="89" fillId="2" borderId="0" xfId="1" applyFont="1" applyFill="1" applyAlignment="1"/>
    <xf numFmtId="2" fontId="72" fillId="8" borderId="0" xfId="0" applyNumberFormat="1" applyFont="1" applyFill="1"/>
    <xf numFmtId="0" fontId="96" fillId="8" borderId="4" xfId="0" applyFont="1" applyFill="1" applyBorder="1"/>
    <xf numFmtId="3" fontId="8" fillId="2" borderId="1" xfId="0" applyNumberFormat="1" applyFont="1" applyFill="1" applyBorder="1" applyAlignment="1">
      <alignment horizontal="center" vertical="center"/>
    </xf>
    <xf numFmtId="3" fontId="8" fillId="2" borderId="0" xfId="0" applyNumberFormat="1" applyFont="1" applyFill="1" applyAlignment="1">
      <alignment horizontal="center" vertical="center"/>
    </xf>
    <xf numFmtId="4" fontId="8" fillId="2" borderId="0" xfId="0" applyNumberFormat="1" applyFont="1" applyFill="1" applyAlignment="1">
      <alignment horizontal="center" vertical="center"/>
    </xf>
    <xf numFmtId="3" fontId="8" fillId="2" borderId="30" xfId="0" applyNumberFormat="1" applyFont="1" applyFill="1" applyBorder="1" applyAlignment="1">
      <alignment horizontal="center" vertical="center"/>
    </xf>
    <xf numFmtId="3" fontId="8" fillId="2" borderId="15" xfId="0" applyNumberFormat="1" applyFont="1" applyFill="1" applyBorder="1" applyAlignment="1">
      <alignment horizontal="center" vertical="center"/>
    </xf>
    <xf numFmtId="3" fontId="38" fillId="2" borderId="4" xfId="0" applyNumberFormat="1" applyFont="1" applyFill="1" applyBorder="1" applyAlignment="1">
      <alignment horizontal="center" vertical="center"/>
    </xf>
    <xf numFmtId="3" fontId="38" fillId="2" borderId="30" xfId="0" applyNumberFormat="1" applyFont="1" applyFill="1" applyBorder="1" applyAlignment="1">
      <alignment horizontal="center" vertical="center"/>
    </xf>
    <xf numFmtId="3" fontId="38" fillId="2" borderId="28" xfId="0" applyNumberFormat="1" applyFont="1" applyFill="1" applyBorder="1" applyAlignment="1">
      <alignment horizontal="center" vertical="center"/>
    </xf>
    <xf numFmtId="3" fontId="8" fillId="2" borderId="4" xfId="0" applyNumberFormat="1" applyFont="1" applyFill="1" applyBorder="1" applyAlignment="1">
      <alignment vertical="center"/>
    </xf>
    <xf numFmtId="3" fontId="39" fillId="2" borderId="4" xfId="0" applyNumberFormat="1" applyFont="1" applyFill="1" applyBorder="1" applyAlignment="1">
      <alignment horizontal="center" vertical="center"/>
    </xf>
    <xf numFmtId="3" fontId="101" fillId="2" borderId="30" xfId="0" applyNumberFormat="1" applyFont="1" applyFill="1" applyBorder="1" applyAlignment="1">
      <alignment horizontal="center" vertical="center"/>
    </xf>
    <xf numFmtId="3" fontId="39" fillId="2" borderId="28" xfId="0" applyNumberFormat="1" applyFont="1" applyFill="1" applyBorder="1" applyAlignment="1">
      <alignment vertical="center"/>
    </xf>
    <xf numFmtId="3" fontId="29" fillId="2" borderId="4" xfId="0" applyNumberFormat="1" applyFont="1" applyFill="1" applyBorder="1" applyAlignment="1">
      <alignment vertical="center"/>
    </xf>
    <xf numFmtId="0" fontId="84" fillId="0" borderId="4" xfId="0" applyFont="1" applyBorder="1"/>
    <xf numFmtId="4" fontId="8" fillId="2" borderId="4" xfId="0" applyNumberFormat="1" applyFont="1" applyFill="1" applyBorder="1" applyAlignment="1">
      <alignment vertical="center"/>
    </xf>
    <xf numFmtId="3" fontId="38" fillId="2" borderId="4" xfId="0" applyNumberFormat="1" applyFont="1" applyFill="1" applyBorder="1" applyAlignment="1">
      <alignment vertical="center"/>
    </xf>
    <xf numFmtId="3" fontId="38" fillId="2" borderId="28" xfId="0" applyNumberFormat="1" applyFont="1" applyFill="1" applyBorder="1" applyAlignment="1">
      <alignment vertical="center"/>
    </xf>
    <xf numFmtId="3" fontId="8" fillId="2" borderId="28" xfId="0" applyNumberFormat="1" applyFont="1" applyFill="1" applyBorder="1" applyAlignment="1">
      <alignment vertical="center"/>
    </xf>
    <xf numFmtId="0" fontId="102" fillId="0" borderId="4" xfId="0" applyFont="1" applyBorder="1"/>
    <xf numFmtId="3" fontId="8" fillId="2" borderId="28" xfId="0" applyNumberFormat="1" applyFont="1" applyFill="1" applyBorder="1" applyAlignment="1">
      <alignment horizontal="right" vertical="center"/>
    </xf>
    <xf numFmtId="4" fontId="38" fillId="2" borderId="4" xfId="0" applyNumberFormat="1" applyFont="1" applyFill="1" applyBorder="1" applyAlignment="1">
      <alignment horizontal="center" vertical="center"/>
    </xf>
    <xf numFmtId="3" fontId="8" fillId="2" borderId="28" xfId="0" applyNumberFormat="1" applyFont="1" applyFill="1" applyBorder="1" applyAlignment="1">
      <alignment horizontal="center" vertical="center"/>
    </xf>
    <xf numFmtId="3" fontId="8" fillId="2" borderId="4" xfId="0" applyNumberFormat="1" applyFont="1" applyFill="1" applyBorder="1" applyAlignment="1">
      <alignment horizontal="left" vertical="center"/>
    </xf>
    <xf numFmtId="3" fontId="38" fillId="2" borderId="28" xfId="0" applyNumberFormat="1" applyFont="1" applyFill="1" applyBorder="1" applyAlignment="1">
      <alignment horizontal="right" vertical="center"/>
    </xf>
    <xf numFmtId="3" fontId="38" fillId="2" borderId="3" xfId="0" applyNumberFormat="1" applyFont="1" applyFill="1" applyBorder="1" applyAlignment="1">
      <alignment vertical="center"/>
    </xf>
    <xf numFmtId="3" fontId="8" fillId="2" borderId="3" xfId="0" applyNumberFormat="1" applyFont="1" applyFill="1" applyBorder="1" applyAlignment="1">
      <alignment horizontal="center" vertical="center"/>
    </xf>
    <xf numFmtId="4" fontId="103" fillId="2" borderId="3" xfId="0" applyNumberFormat="1" applyFont="1" applyFill="1" applyBorder="1" applyAlignment="1">
      <alignment vertical="center"/>
    </xf>
    <xf numFmtId="3" fontId="104" fillId="2" borderId="3" xfId="0" applyNumberFormat="1" applyFont="1" applyFill="1" applyBorder="1" applyAlignment="1">
      <alignment vertical="center"/>
    </xf>
    <xf numFmtId="3" fontId="104" fillId="2" borderId="15" xfId="0" applyNumberFormat="1" applyFont="1" applyFill="1" applyBorder="1" applyAlignment="1">
      <alignment horizontal="right" vertical="center"/>
    </xf>
    <xf numFmtId="3" fontId="104" fillId="2" borderId="28" xfId="0" applyNumberFormat="1" applyFont="1" applyFill="1" applyBorder="1" applyAlignment="1">
      <alignment horizontal="right" vertical="center"/>
    </xf>
    <xf numFmtId="3" fontId="38" fillId="2" borderId="29" xfId="0" applyNumberFormat="1" applyFont="1" applyFill="1" applyBorder="1" applyAlignment="1">
      <alignment vertical="center"/>
    </xf>
    <xf numFmtId="3" fontId="8" fillId="2" borderId="29" xfId="0" applyNumberFormat="1" applyFont="1" applyFill="1" applyBorder="1" applyAlignment="1">
      <alignment horizontal="center" vertical="center"/>
    </xf>
    <xf numFmtId="4" fontId="103" fillId="2" borderId="29" xfId="0" applyNumberFormat="1" applyFont="1" applyFill="1" applyBorder="1" applyAlignment="1">
      <alignment horizontal="center" vertical="center"/>
    </xf>
    <xf numFmtId="3" fontId="104" fillId="2" borderId="29" xfId="0" applyNumberFormat="1" applyFont="1" applyFill="1" applyBorder="1" applyAlignment="1">
      <alignment horizontal="right" vertical="center"/>
    </xf>
    <xf numFmtId="3" fontId="104" fillId="2" borderId="5" xfId="0" applyNumberFormat="1" applyFont="1" applyFill="1" applyBorder="1" applyAlignment="1">
      <alignment horizontal="right" vertical="center"/>
    </xf>
    <xf numFmtId="4" fontId="8" fillId="2" borderId="29" xfId="0" applyNumberFormat="1" applyFont="1" applyFill="1" applyBorder="1" applyAlignment="1">
      <alignment horizontal="center" vertical="center"/>
    </xf>
    <xf numFmtId="3" fontId="38" fillId="2" borderId="29" xfId="0" applyNumberFormat="1" applyFont="1" applyFill="1" applyBorder="1" applyAlignment="1">
      <alignment horizontal="center" vertical="center"/>
    </xf>
    <xf numFmtId="3" fontId="8" fillId="2" borderId="5" xfId="0" applyNumberFormat="1" applyFont="1" applyFill="1" applyBorder="1" applyAlignment="1">
      <alignment horizontal="center" vertical="center"/>
    </xf>
    <xf numFmtId="240" fontId="105" fillId="5" borderId="0" xfId="0" applyNumberFormat="1" applyFont="1" applyFill="1" applyAlignment="1">
      <alignment horizontal="center" vertical="center"/>
    </xf>
    <xf numFmtId="240" fontId="8" fillId="5" borderId="0" xfId="0" applyNumberFormat="1" applyFont="1" applyFill="1" applyAlignment="1">
      <alignment horizontal="center" vertical="center"/>
    </xf>
    <xf numFmtId="3" fontId="105" fillId="2" borderId="0" xfId="0" applyNumberFormat="1" applyFont="1" applyFill="1" applyAlignment="1">
      <alignment horizontal="left" vertical="center"/>
    </xf>
    <xf numFmtId="3" fontId="105" fillId="2" borderId="0" xfId="0" applyNumberFormat="1" applyFont="1" applyFill="1" applyAlignment="1">
      <alignment horizontal="center" vertical="center"/>
    </xf>
    <xf numFmtId="3" fontId="105" fillId="2" borderId="4" xfId="0" applyNumberFormat="1" applyFont="1" applyFill="1" applyBorder="1" applyAlignment="1">
      <alignment horizontal="center" vertical="center"/>
    </xf>
    <xf numFmtId="4" fontId="105" fillId="2" borderId="4" xfId="0" applyNumberFormat="1" applyFont="1" applyFill="1" applyBorder="1" applyAlignment="1">
      <alignment horizontal="center" vertical="center"/>
    </xf>
    <xf numFmtId="240" fontId="8" fillId="2" borderId="0" xfId="0" applyNumberFormat="1" applyFont="1" applyFill="1" applyAlignment="1">
      <alignment horizontal="center" vertical="center"/>
    </xf>
    <xf numFmtId="3" fontId="93" fillId="2" borderId="4" xfId="0" applyNumberFormat="1" applyFont="1" applyFill="1" applyBorder="1" applyAlignment="1">
      <alignment horizontal="center" vertical="center"/>
    </xf>
    <xf numFmtId="3" fontId="105" fillId="5" borderId="0" xfId="0" applyNumberFormat="1" applyFont="1" applyFill="1" applyAlignment="1">
      <alignment horizontal="center" vertical="center"/>
    </xf>
    <xf numFmtId="4" fontId="103" fillId="2" borderId="4" xfId="0" applyNumberFormat="1" applyFont="1" applyFill="1" applyBorder="1" applyAlignment="1">
      <alignment vertical="center"/>
    </xf>
    <xf numFmtId="3" fontId="104" fillId="2" borderId="4" xfId="0" applyNumberFormat="1" applyFont="1" applyFill="1" applyBorder="1" applyAlignment="1">
      <alignment vertical="center"/>
    </xf>
    <xf numFmtId="3" fontId="38" fillId="5" borderId="4" xfId="0" applyNumberFormat="1" applyFont="1" applyFill="1" applyBorder="1" applyAlignment="1">
      <alignment vertical="center"/>
    </xf>
    <xf numFmtId="3" fontId="39" fillId="2" borderId="0" xfId="0" applyNumberFormat="1" applyFont="1" applyFill="1" applyAlignment="1">
      <alignment horizontal="center" vertical="center"/>
    </xf>
    <xf numFmtId="0" fontId="106" fillId="0" borderId="4" xfId="0" applyFont="1" applyBorder="1"/>
    <xf numFmtId="3" fontId="104" fillId="2" borderId="0" xfId="0" applyNumberFormat="1" applyFont="1" applyFill="1" applyAlignment="1">
      <alignment horizontal="right" vertical="center"/>
    </xf>
    <xf numFmtId="3" fontId="38" fillId="2" borderId="31" xfId="0" applyNumberFormat="1" applyFont="1" applyFill="1" applyBorder="1" applyAlignment="1">
      <alignment vertical="center"/>
    </xf>
    <xf numFmtId="3" fontId="8" fillId="2" borderId="31" xfId="0" applyNumberFormat="1" applyFont="1" applyFill="1" applyBorder="1" applyAlignment="1">
      <alignment horizontal="center" vertical="center"/>
    </xf>
    <xf numFmtId="4" fontId="103" fillId="2" borderId="31" xfId="0" applyNumberFormat="1" applyFont="1" applyFill="1" applyBorder="1" applyAlignment="1">
      <alignment vertical="center"/>
    </xf>
    <xf numFmtId="3" fontId="104" fillId="2" borderId="31" xfId="0" applyNumberFormat="1" applyFont="1" applyFill="1" applyBorder="1" applyAlignment="1">
      <alignment vertical="center"/>
    </xf>
    <xf numFmtId="3" fontId="105" fillId="10" borderId="0" xfId="0" applyNumberFormat="1" applyFont="1" applyFill="1" applyAlignment="1">
      <alignment horizontal="center" vertical="center"/>
    </xf>
    <xf numFmtId="240" fontId="105" fillId="10" borderId="0" xfId="0" applyNumberFormat="1" applyFont="1" applyFill="1" applyAlignment="1">
      <alignment horizontal="center" vertical="center"/>
    </xf>
    <xf numFmtId="0" fontId="96" fillId="5" borderId="0" xfId="0" applyFont="1" applyFill="1"/>
    <xf numFmtId="0" fontId="96" fillId="5" borderId="4" xfId="0" applyFont="1" applyFill="1" applyBorder="1"/>
    <xf numFmtId="0" fontId="96" fillId="11" borderId="0" xfId="0" applyFont="1" applyFill="1"/>
    <xf numFmtId="0" fontId="97" fillId="11" borderId="0" xfId="0" applyFont="1" applyFill="1"/>
    <xf numFmtId="0" fontId="96" fillId="11" borderId="0" xfId="0" applyFont="1" applyFill="1" applyAlignment="1">
      <alignment horizontal="center"/>
    </xf>
    <xf numFmtId="4" fontId="89" fillId="11" borderId="2" xfId="0" applyNumberFormat="1" applyFont="1" applyFill="1" applyBorder="1" applyAlignment="1">
      <alignment horizontal="center" vertical="center" wrapText="1"/>
    </xf>
    <xf numFmtId="4" fontId="89" fillId="11" borderId="2" xfId="1" applyNumberFormat="1" applyFont="1" applyFill="1" applyBorder="1" applyAlignment="1">
      <alignment horizontal="right" vertical="center"/>
    </xf>
    <xf numFmtId="4" fontId="96" fillId="11" borderId="2" xfId="0" applyNumberFormat="1" applyFont="1" applyFill="1" applyBorder="1" applyAlignment="1">
      <alignment horizontal="right" vertical="center" shrinkToFit="1"/>
    </xf>
    <xf numFmtId="0" fontId="96" fillId="5" borderId="2" xfId="0" applyFont="1" applyFill="1" applyBorder="1" applyAlignment="1">
      <alignment horizontal="left" shrinkToFit="1"/>
    </xf>
    <xf numFmtId="0" fontId="96" fillId="5" borderId="2" xfId="0" applyFont="1" applyFill="1" applyBorder="1" applyAlignment="1">
      <alignment horizontal="left"/>
    </xf>
    <xf numFmtId="0" fontId="96" fillId="5" borderId="2" xfId="0" applyFont="1" applyFill="1" applyBorder="1" applyAlignment="1">
      <alignment vertical="center" wrapText="1"/>
    </xf>
    <xf numFmtId="4" fontId="96" fillId="5" borderId="2" xfId="0" applyNumberFormat="1" applyFont="1" applyFill="1" applyBorder="1" applyAlignment="1">
      <alignment horizontal="right" vertical="center" shrinkToFit="1"/>
    </xf>
    <xf numFmtId="0" fontId="96" fillId="5" borderId="2" xfId="0" applyFont="1" applyFill="1" applyBorder="1" applyAlignment="1">
      <alignment vertical="center"/>
    </xf>
    <xf numFmtId="0" fontId="98" fillId="5" borderId="2" xfId="0" applyFont="1" applyFill="1" applyBorder="1" applyAlignment="1">
      <alignment vertical="center"/>
    </xf>
    <xf numFmtId="4" fontId="89" fillId="11" borderId="2" xfId="1" applyNumberFormat="1" applyFont="1" applyFill="1" applyBorder="1" applyAlignment="1">
      <alignment horizontal="right" vertical="center" shrinkToFit="1"/>
    </xf>
    <xf numFmtId="4" fontId="96" fillId="10" borderId="2" xfId="0" applyNumberFormat="1" applyFont="1" applyFill="1" applyBorder="1" applyAlignment="1">
      <alignment horizontal="right" vertical="center" shrinkToFit="1"/>
    </xf>
    <xf numFmtId="4" fontId="89" fillId="5" borderId="2" xfId="1" applyNumberFormat="1" applyFont="1" applyFill="1" applyBorder="1" applyAlignment="1">
      <alignment horizontal="right" vertical="center"/>
    </xf>
    <xf numFmtId="4" fontId="96" fillId="5" borderId="2" xfId="1" applyNumberFormat="1" applyFont="1" applyFill="1" applyBorder="1" applyAlignment="1">
      <alignment horizontal="right" vertical="center" shrinkToFit="1"/>
    </xf>
    <xf numFmtId="4" fontId="96" fillId="5" borderId="0" xfId="0" applyNumberFormat="1" applyFont="1" applyFill="1"/>
    <xf numFmtId="4" fontId="89" fillId="5" borderId="2" xfId="1" applyNumberFormat="1" applyFont="1" applyFill="1" applyBorder="1" applyAlignment="1">
      <alignment horizontal="right" vertical="center" shrinkToFit="1"/>
    </xf>
    <xf numFmtId="240" fontId="89" fillId="2" borderId="2" xfId="1" applyNumberFormat="1" applyFont="1" applyFill="1" applyBorder="1" applyAlignment="1">
      <alignment horizontal="right" vertical="center"/>
    </xf>
    <xf numFmtId="10" fontId="96" fillId="5" borderId="0" xfId="2" applyNumberFormat="1" applyFont="1" applyFill="1"/>
    <xf numFmtId="198" fontId="89" fillId="5" borderId="2" xfId="0" applyNumberFormat="1" applyFont="1" applyFill="1" applyBorder="1" applyAlignment="1">
      <alignment horizontal="center" vertical="center" shrinkToFit="1"/>
    </xf>
    <xf numFmtId="0" fontId="67" fillId="5" borderId="4" xfId="0" applyFont="1" applyFill="1" applyBorder="1"/>
    <xf numFmtId="10" fontId="96" fillId="2" borderId="0" xfId="2" applyNumberFormat="1" applyFont="1" applyFill="1"/>
    <xf numFmtId="0" fontId="13" fillId="5" borderId="4" xfId="0" applyFont="1" applyFill="1" applyBorder="1" applyAlignment="1">
      <alignment horizontal="center"/>
    </xf>
    <xf numFmtId="0" fontId="13" fillId="5" borderId="4" xfId="0" applyFont="1" applyFill="1" applyBorder="1" applyAlignment="1">
      <alignment horizontal="center" vertical="center"/>
    </xf>
    <xf numFmtId="0" fontId="13" fillId="6" borderId="4" xfId="0" applyFont="1" applyFill="1" applyBorder="1" applyAlignment="1">
      <alignment horizontal="center" vertical="center"/>
    </xf>
    <xf numFmtId="1" fontId="13" fillId="6" borderId="4" xfId="0" applyNumberFormat="1" applyFont="1" applyFill="1" applyBorder="1" applyAlignment="1">
      <alignment horizontal="center" vertical="center"/>
    </xf>
    <xf numFmtId="2" fontId="13" fillId="6" borderId="4" xfId="0" applyNumberFormat="1" applyFont="1" applyFill="1" applyBorder="1" applyAlignment="1">
      <alignment horizontal="center" vertical="center"/>
    </xf>
    <xf numFmtId="4" fontId="89" fillId="6" borderId="2" xfId="1" applyNumberFormat="1" applyFont="1" applyFill="1" applyBorder="1" applyAlignment="1">
      <alignment horizontal="right" vertical="center" shrinkToFit="1"/>
    </xf>
    <xf numFmtId="0" fontId="22" fillId="2" borderId="21" xfId="0" applyFont="1" applyFill="1" applyBorder="1" applyAlignment="1">
      <alignment shrinkToFit="1"/>
    </xf>
    <xf numFmtId="0" fontId="22" fillId="2" borderId="2" xfId="562" applyFont="1" applyFill="1" applyBorder="1" applyAlignment="1">
      <alignment horizontal="left" vertical="center" shrinkToFit="1"/>
    </xf>
    <xf numFmtId="0" fontId="22" fillId="2" borderId="2" xfId="0" applyFont="1" applyFill="1" applyBorder="1" applyAlignment="1">
      <alignment horizontal="left" shrinkToFit="1"/>
    </xf>
    <xf numFmtId="4" fontId="22" fillId="2" borderId="2" xfId="0" applyNumberFormat="1" applyFont="1" applyFill="1" applyBorder="1" applyAlignment="1">
      <alignment horizontal="right" vertical="center" shrinkToFit="1"/>
    </xf>
    <xf numFmtId="4" fontId="22" fillId="11" borderId="2" xfId="0" applyNumberFormat="1" applyFont="1" applyFill="1" applyBorder="1" applyAlignment="1">
      <alignment horizontal="right" vertical="center" shrinkToFit="1"/>
    </xf>
    <xf numFmtId="4" fontId="36" fillId="2" borderId="2" xfId="0" applyNumberFormat="1" applyFont="1" applyFill="1" applyBorder="1" applyAlignment="1">
      <alignment horizontal="right" vertical="center" shrinkToFit="1"/>
    </xf>
    <xf numFmtId="0" fontId="22" fillId="2" borderId="4" xfId="0" applyFont="1" applyFill="1" applyBorder="1"/>
    <xf numFmtId="2" fontId="96" fillId="2" borderId="2" xfId="0" applyNumberFormat="1" applyFont="1" applyFill="1" applyBorder="1" applyAlignment="1">
      <alignment vertical="center" shrinkToFit="1"/>
    </xf>
    <xf numFmtId="0" fontId="96" fillId="2" borderId="2" xfId="0" applyFont="1" applyFill="1" applyBorder="1" applyAlignment="1">
      <alignment vertical="center" shrinkToFit="1"/>
    </xf>
    <xf numFmtId="4" fontId="89" fillId="11" borderId="2" xfId="0" applyNumberFormat="1" applyFont="1" applyFill="1" applyBorder="1" applyAlignment="1">
      <alignment horizontal="right" vertical="center" shrinkToFit="1"/>
    </xf>
    <xf numFmtId="0" fontId="96" fillId="5" borderId="2" xfId="562" applyFont="1" applyFill="1" applyBorder="1" applyAlignment="1">
      <alignment horizontal="left" vertical="center" shrinkToFit="1"/>
    </xf>
    <xf numFmtId="4" fontId="89" fillId="11" borderId="2" xfId="1" applyNumberFormat="1" applyFont="1" applyFill="1" applyBorder="1" applyAlignment="1">
      <alignment horizontal="right"/>
    </xf>
    <xf numFmtId="4" fontId="89" fillId="2" borderId="0" xfId="1" applyNumberFormat="1" applyFont="1" applyFill="1" applyBorder="1" applyAlignment="1">
      <alignment horizontal="right"/>
    </xf>
    <xf numFmtId="4" fontId="89" fillId="11" borderId="0" xfId="1" applyNumberFormat="1" applyFont="1" applyFill="1" applyBorder="1" applyAlignment="1">
      <alignment horizontal="right"/>
    </xf>
    <xf numFmtId="0" fontId="89" fillId="5" borderId="4" xfId="0" applyFont="1" applyFill="1" applyBorder="1" applyAlignment="1">
      <alignment horizontal="center"/>
    </xf>
    <xf numFmtId="0" fontId="89" fillId="5" borderId="4" xfId="0" applyFont="1" applyFill="1" applyBorder="1"/>
    <xf numFmtId="4" fontId="89" fillId="5" borderId="4" xfId="0" applyNumberFormat="1" applyFont="1" applyFill="1" applyBorder="1"/>
    <xf numFmtId="2" fontId="89" fillId="5" borderId="4" xfId="0" applyNumberFormat="1" applyFont="1" applyFill="1" applyBorder="1"/>
    <xf numFmtId="4" fontId="96" fillId="11" borderId="0" xfId="0" applyNumberFormat="1" applyFont="1" applyFill="1"/>
    <xf numFmtId="4" fontId="89" fillId="11" borderId="0" xfId="0" applyNumberFormat="1" applyFont="1" applyFill="1"/>
    <xf numFmtId="216" fontId="96" fillId="2" borderId="0" xfId="1" applyNumberFormat="1" applyFont="1" applyFill="1" applyAlignment="1"/>
    <xf numFmtId="220" fontId="96" fillId="11" borderId="0" xfId="0" applyNumberFormat="1" applyFont="1" applyFill="1"/>
    <xf numFmtId="2" fontId="96" fillId="11" borderId="0" xfId="0" applyNumberFormat="1" applyFont="1" applyFill="1"/>
    <xf numFmtId="0" fontId="72" fillId="11" borderId="0" xfId="0" applyFont="1" applyFill="1"/>
    <xf numFmtId="2" fontId="96" fillId="5" borderId="0" xfId="0" applyNumberFormat="1" applyFont="1" applyFill="1"/>
    <xf numFmtId="43" fontId="89" fillId="5" borderId="4" xfId="0" applyNumberFormat="1" applyFont="1" applyFill="1" applyBorder="1"/>
    <xf numFmtId="228" fontId="96" fillId="2" borderId="0" xfId="1" applyNumberFormat="1" applyFont="1" applyFill="1" applyAlignment="1"/>
    <xf numFmtId="43" fontId="96" fillId="2" borderId="0" xfId="0" applyNumberFormat="1" applyFont="1" applyFill="1"/>
    <xf numFmtId="43" fontId="89" fillId="5" borderId="4" xfId="0" applyNumberFormat="1" applyFont="1" applyFill="1" applyBorder="1" applyAlignment="1">
      <alignment horizontal="center"/>
    </xf>
    <xf numFmtId="0" fontId="99" fillId="5" borderId="4" xfId="0" applyFont="1" applyFill="1" applyBorder="1"/>
    <xf numFmtId="43" fontId="89" fillId="2" borderId="0" xfId="1" applyFont="1" applyFill="1"/>
    <xf numFmtId="2" fontId="100" fillId="6" borderId="0" xfId="0" applyNumberFormat="1" applyFont="1" applyFill="1"/>
    <xf numFmtId="0" fontId="100" fillId="6" borderId="0" xfId="0" applyFont="1" applyFill="1" applyAlignment="1">
      <alignment horizontal="center"/>
    </xf>
    <xf numFmtId="43" fontId="100" fillId="6" borderId="0" xfId="0" applyNumberFormat="1" applyFont="1" applyFill="1"/>
    <xf numFmtId="43" fontId="100" fillId="6" borderId="0" xfId="1" applyFont="1" applyFill="1" applyAlignment="1"/>
    <xf numFmtId="197" fontId="100" fillId="6" borderId="0" xfId="0" applyNumberFormat="1" applyFont="1" applyFill="1"/>
    <xf numFmtId="1" fontId="15" fillId="2" borderId="0" xfId="0" applyNumberFormat="1" applyFont="1" applyFill="1"/>
    <xf numFmtId="1" fontId="15" fillId="2" borderId="0" xfId="1" applyNumberFormat="1" applyFont="1" applyFill="1" applyBorder="1"/>
    <xf numFmtId="221" fontId="89" fillId="2" borderId="0" xfId="1" applyNumberFormat="1" applyFont="1" applyFill="1" applyBorder="1" applyAlignment="1">
      <alignment horizontal="right"/>
    </xf>
    <xf numFmtId="1" fontId="8" fillId="2" borderId="0" xfId="0" applyNumberFormat="1" applyFont="1" applyFill="1"/>
    <xf numFmtId="0" fontId="96" fillId="2" borderId="2" xfId="1" applyNumberFormat="1" applyFont="1" applyFill="1" applyBorder="1" applyAlignment="1">
      <alignment horizontal="center" vertical="center"/>
    </xf>
    <xf numFmtId="43" fontId="89" fillId="2" borderId="0" xfId="0" applyNumberFormat="1" applyFont="1" applyFill="1"/>
    <xf numFmtId="216" fontId="15" fillId="2" borderId="0" xfId="1" applyNumberFormat="1" applyFont="1" applyFill="1" applyBorder="1"/>
    <xf numFmtId="1" fontId="8" fillId="2" borderId="0" xfId="1" applyNumberFormat="1" applyFont="1" applyFill="1" applyAlignment="1">
      <alignment shrinkToFit="1"/>
    </xf>
    <xf numFmtId="188" fontId="15" fillId="2" borderId="0" xfId="1" applyNumberFormat="1" applyFont="1" applyFill="1" applyAlignment="1">
      <alignment shrinkToFit="1"/>
    </xf>
    <xf numFmtId="0" fontId="23" fillId="2" borderId="0" xfId="0" applyFont="1" applyFill="1"/>
    <xf numFmtId="0" fontId="25" fillId="2" borderId="0" xfId="562" applyFont="1" applyFill="1" applyAlignment="1">
      <alignment horizontal="center"/>
    </xf>
    <xf numFmtId="0" fontId="45" fillId="2" borderId="0" xfId="562" applyFont="1" applyFill="1" applyAlignment="1">
      <alignment horizontal="center"/>
    </xf>
    <xf numFmtId="0" fontId="29" fillId="2" borderId="4" xfId="562" applyFont="1" applyFill="1" applyBorder="1" applyAlignment="1">
      <alignment horizontal="center" vertical="center"/>
    </xf>
    <xf numFmtId="0" fontId="39" fillId="2" borderId="4" xfId="562" applyFont="1" applyFill="1" applyBorder="1" applyAlignment="1">
      <alignment vertical="center"/>
    </xf>
    <xf numFmtId="0" fontId="39" fillId="2" borderId="4" xfId="562" applyFont="1" applyFill="1" applyBorder="1" applyAlignment="1">
      <alignment horizontal="center" vertical="center"/>
    </xf>
    <xf numFmtId="0" fontId="29" fillId="2" borderId="4" xfId="0" applyFont="1" applyFill="1" applyBorder="1"/>
    <xf numFmtId="0" fontId="8" fillId="2" borderId="4" xfId="562" applyFont="1" applyFill="1" applyBorder="1" applyAlignment="1">
      <alignment horizontal="center" vertical="center"/>
    </xf>
    <xf numFmtId="3" fontId="39" fillId="2" borderId="4" xfId="132" applyNumberFormat="1" applyFont="1" applyFill="1" applyBorder="1" applyAlignment="1">
      <alignment horizontal="right" wrapText="1"/>
    </xf>
    <xf numFmtId="0" fontId="36" fillId="2" borderId="0" xfId="562" applyFont="1" applyFill="1"/>
    <xf numFmtId="0" fontId="20" fillId="2" borderId="0" xfId="562" applyFont="1" applyFill="1" applyAlignment="1">
      <alignment horizontal="left"/>
    </xf>
    <xf numFmtId="0" fontId="20" fillId="2" borderId="0" xfId="562" applyFont="1" applyFill="1" applyAlignment="1">
      <alignment horizontal="center"/>
    </xf>
    <xf numFmtId="0" fontId="36" fillId="2" borderId="0" xfId="562" applyFont="1" applyFill="1" applyAlignment="1">
      <alignment horizontal="center"/>
    </xf>
    <xf numFmtId="0" fontId="22" fillId="2" borderId="0" xfId="562" applyFont="1" applyFill="1"/>
    <xf numFmtId="0" fontId="58" fillId="2" borderId="0" xfId="562" applyFont="1" applyFill="1"/>
    <xf numFmtId="0" fontId="29" fillId="2" borderId="0" xfId="562" applyFont="1" applyFill="1"/>
    <xf numFmtId="0" fontId="29" fillId="2" borderId="0" xfId="562" applyFont="1" applyFill="1" applyAlignment="1">
      <alignment horizontal="center"/>
    </xf>
    <xf numFmtId="0" fontId="30" fillId="2" borderId="0" xfId="562" applyFont="1" applyFill="1"/>
    <xf numFmtId="0" fontId="60" fillId="2" borderId="0" xfId="562" applyFont="1" applyFill="1"/>
    <xf numFmtId="0" fontId="107" fillId="2" borderId="0" xfId="562" applyFont="1" applyFill="1"/>
    <xf numFmtId="0" fontId="107" fillId="2" borderId="0" xfId="562" applyFont="1" applyFill="1" applyAlignment="1">
      <alignment horizontal="center"/>
    </xf>
    <xf numFmtId="3" fontId="29" fillId="2" borderId="0" xfId="562" applyNumberFormat="1" applyFont="1" applyFill="1" applyAlignment="1">
      <alignment horizontal="center"/>
    </xf>
    <xf numFmtId="0" fontId="16" fillId="2" borderId="0" xfId="562" applyFont="1" applyFill="1" applyAlignment="1">
      <alignment horizontal="center"/>
    </xf>
    <xf numFmtId="0" fontId="21" fillId="2" borderId="0" xfId="562" applyFont="1" applyFill="1"/>
    <xf numFmtId="0" fontId="108" fillId="2" borderId="0" xfId="562" applyFont="1" applyFill="1" applyAlignment="1">
      <alignment horizontal="center"/>
    </xf>
    <xf numFmtId="3" fontId="39" fillId="2" borderId="4" xfId="132" applyNumberFormat="1" applyFont="1" applyFill="1" applyBorder="1" applyAlignment="1">
      <alignment horizontal="right" vertical="center" wrapText="1"/>
    </xf>
    <xf numFmtId="3" fontId="39" fillId="2" borderId="4" xfId="0" applyNumberFormat="1" applyFont="1" applyFill="1" applyBorder="1" applyAlignment="1">
      <alignment horizontal="right" vertical="center"/>
    </xf>
    <xf numFmtId="3" fontId="22" fillId="2" borderId="0" xfId="562" applyNumberFormat="1" applyFont="1" applyFill="1" applyAlignment="1">
      <alignment horizontal="center"/>
    </xf>
    <xf numFmtId="0" fontId="22" fillId="2" borderId="0" xfId="562" applyFont="1" applyFill="1" applyAlignment="1">
      <alignment horizontal="center"/>
    </xf>
    <xf numFmtId="0" fontId="39" fillId="2" borderId="0" xfId="562" applyFont="1" applyFill="1" applyAlignment="1">
      <alignment horizontal="center"/>
    </xf>
    <xf numFmtId="0" fontId="39" fillId="2" borderId="0" xfId="562" applyFont="1" applyFill="1"/>
    <xf numFmtId="0" fontId="15" fillId="2" borderId="0" xfId="562" applyFont="1" applyFill="1"/>
    <xf numFmtId="0" fontId="14" fillId="2" borderId="0" xfId="562" applyFont="1" applyFill="1"/>
    <xf numFmtId="0" fontId="25" fillId="2" borderId="0" xfId="562" applyFont="1" applyFill="1" applyAlignment="1">
      <alignment horizontal="center" vertical="center"/>
    </xf>
    <xf numFmtId="0" fontId="13" fillId="2" borderId="0" xfId="562" applyFont="1" applyFill="1" applyAlignment="1">
      <alignment horizontal="center"/>
    </xf>
    <xf numFmtId="0" fontId="50" fillId="2" borderId="0" xfId="562" applyFont="1" applyFill="1" applyAlignment="1">
      <alignment horizontal="center"/>
    </xf>
    <xf numFmtId="0" fontId="82" fillId="2" borderId="1" xfId="562" applyFont="1" applyFill="1" applyBorder="1" applyAlignment="1">
      <alignment horizontal="center" vertical="center"/>
    </xf>
    <xf numFmtId="0" fontId="22" fillId="2" borderId="4" xfId="562" applyFont="1" applyFill="1" applyBorder="1" applyAlignment="1">
      <alignment horizontal="center" vertical="center"/>
    </xf>
    <xf numFmtId="0" fontId="22" fillId="2" borderId="4" xfId="562" applyFont="1" applyFill="1" applyBorder="1" applyAlignment="1">
      <alignment vertical="center"/>
    </xf>
    <xf numFmtId="3" fontId="22" fillId="2" borderId="4" xfId="132" applyNumberFormat="1" applyFont="1" applyFill="1" applyBorder="1" applyAlignment="1">
      <alignment horizontal="right" vertical="center" wrapText="1"/>
    </xf>
    <xf numFmtId="0" fontId="36" fillId="2" borderId="4" xfId="562" applyFont="1" applyFill="1" applyBorder="1" applyAlignment="1">
      <alignment horizontal="center" vertical="center"/>
    </xf>
    <xf numFmtId="0" fontId="36" fillId="2" borderId="4" xfId="0" applyFont="1" applyFill="1" applyBorder="1"/>
    <xf numFmtId="3" fontId="36" fillId="2" borderId="4" xfId="0" applyNumberFormat="1" applyFont="1" applyFill="1" applyBorder="1" applyAlignment="1">
      <alignment horizontal="right" vertical="center"/>
    </xf>
    <xf numFmtId="3" fontId="36" fillId="2" borderId="4" xfId="132" applyNumberFormat="1" applyFont="1" applyFill="1" applyBorder="1" applyAlignment="1">
      <alignment horizontal="right" vertical="center" wrapText="1"/>
    </xf>
    <xf numFmtId="1" fontId="36" fillId="2" borderId="0" xfId="0" applyNumberFormat="1" applyFont="1" applyFill="1"/>
    <xf numFmtId="3" fontId="36" fillId="2" borderId="0" xfId="0" applyNumberFormat="1" applyFont="1" applyFill="1"/>
    <xf numFmtId="3" fontId="22" fillId="2" borderId="4" xfId="132" applyNumberFormat="1" applyFont="1" applyFill="1" applyBorder="1" applyAlignment="1">
      <alignment horizontal="right" wrapText="1"/>
    </xf>
    <xf numFmtId="0" fontId="36" fillId="2" borderId="0" xfId="562" applyFont="1" applyFill="1" applyAlignment="1">
      <alignment horizontal="left"/>
    </xf>
    <xf numFmtId="3" fontId="36" fillId="2" borderId="0" xfId="562" applyNumberFormat="1" applyFont="1" applyFill="1" applyAlignment="1">
      <alignment horizontal="center"/>
    </xf>
    <xf numFmtId="0" fontId="13" fillId="2" borderId="0" xfId="562" applyFont="1" applyFill="1"/>
    <xf numFmtId="0" fontId="82" fillId="2" borderId="0" xfId="562" applyFont="1" applyFill="1"/>
    <xf numFmtId="217" fontId="25" fillId="2" borderId="0" xfId="0" applyNumberFormat="1" applyFont="1" applyFill="1" applyAlignment="1"/>
    <xf numFmtId="3" fontId="8" fillId="2" borderId="0" xfId="0" applyNumberFormat="1" applyFont="1" applyFill="1"/>
    <xf numFmtId="0" fontId="39" fillId="2" borderId="0" xfId="0" applyFont="1" applyFill="1"/>
    <xf numFmtId="0" fontId="109" fillId="2" borderId="0" xfId="0" applyFont="1" applyFill="1"/>
    <xf numFmtId="0" fontId="109" fillId="2" borderId="0" xfId="0" applyFont="1" applyFill="1" applyAlignment="1">
      <alignment vertical="center"/>
    </xf>
    <xf numFmtId="0" fontId="110" fillId="2" borderId="0" xfId="0" applyFont="1" applyFill="1" applyAlignment="1">
      <alignment vertical="center"/>
    </xf>
    <xf numFmtId="0" fontId="30" fillId="2" borderId="0" xfId="562" applyFont="1" applyFill="1" applyAlignment="1">
      <alignment horizontal="center"/>
    </xf>
    <xf numFmtId="0" fontId="46" fillId="2" borderId="0" xfId="562" applyFont="1" applyFill="1" applyAlignment="1">
      <alignment horizontal="center"/>
    </xf>
    <xf numFmtId="0" fontId="22" fillId="2" borderId="5" xfId="562" applyFont="1" applyFill="1" applyBorder="1" applyAlignment="1">
      <alignment vertical="center"/>
    </xf>
    <xf numFmtId="0" fontId="22" fillId="2" borderId="6" xfId="562" applyFont="1" applyFill="1" applyBorder="1" applyAlignment="1">
      <alignment vertical="center"/>
    </xf>
    <xf numFmtId="1" fontId="39" fillId="2" borderId="4" xfId="132" applyNumberFormat="1" applyFont="1" applyFill="1" applyBorder="1" applyAlignment="1">
      <alignment horizontal="center" vertical="center" wrapText="1"/>
    </xf>
    <xf numFmtId="3" fontId="36" fillId="2" borderId="4" xfId="562" applyNumberFormat="1" applyFont="1" applyFill="1" applyBorder="1" applyAlignment="1">
      <alignment horizontal="center" vertical="center"/>
    </xf>
    <xf numFmtId="3" fontId="22" fillId="2" borderId="4" xfId="132" applyNumberFormat="1" applyFont="1" applyFill="1" applyBorder="1" applyAlignment="1">
      <alignment horizontal="center" vertical="center" wrapText="1"/>
    </xf>
    <xf numFmtId="3" fontId="39" fillId="2" borderId="4" xfId="132" applyNumberFormat="1" applyFont="1" applyFill="1" applyBorder="1" applyAlignment="1">
      <alignment horizontal="center" vertical="center" wrapText="1"/>
    </xf>
    <xf numFmtId="9" fontId="39" fillId="2" borderId="0" xfId="0" applyNumberFormat="1" applyFont="1" applyFill="1"/>
    <xf numFmtId="0" fontId="39" fillId="2" borderId="4" xfId="0" applyFont="1" applyFill="1" applyBorder="1"/>
    <xf numFmtId="10" fontId="29" fillId="2" borderId="4" xfId="2" applyNumberFormat="1" applyFont="1" applyFill="1" applyBorder="1"/>
    <xf numFmtId="3" fontId="39" fillId="2" borderId="0" xfId="0" applyNumberFormat="1" applyFont="1" applyFill="1"/>
    <xf numFmtId="10" fontId="39" fillId="2" borderId="0" xfId="0" applyNumberFormat="1" applyFont="1" applyFill="1"/>
    <xf numFmtId="10" fontId="29" fillId="2" borderId="0" xfId="0" applyNumberFormat="1" applyFont="1" applyFill="1"/>
    <xf numFmtId="3" fontId="29" fillId="2" borderId="4" xfId="0" applyNumberFormat="1" applyFont="1" applyFill="1" applyBorder="1"/>
    <xf numFmtId="3" fontId="59" fillId="2" borderId="4" xfId="132" applyNumberFormat="1" applyFont="1" applyFill="1" applyBorder="1" applyAlignment="1">
      <alignment horizontal="right" wrapText="1"/>
    </xf>
    <xf numFmtId="3" fontId="25" fillId="2" borderId="31" xfId="132" applyNumberFormat="1" applyFont="1" applyFill="1" applyBorder="1" applyAlignment="1">
      <alignment horizontal="right" wrapText="1"/>
    </xf>
    <xf numFmtId="3" fontId="25" fillId="2" borderId="0" xfId="132" applyNumberFormat="1" applyFont="1" applyFill="1" applyBorder="1" applyAlignment="1">
      <alignment horizontal="right" wrapText="1"/>
    </xf>
    <xf numFmtId="0" fontId="13" fillId="2" borderId="0" xfId="562" applyFont="1" applyFill="1" applyAlignment="1">
      <alignment horizontal="center" vertical="center"/>
    </xf>
    <xf numFmtId="0" fontId="90" fillId="2" borderId="0" xfId="562" applyFont="1" applyFill="1" applyAlignment="1">
      <alignment horizontal="center" vertical="center"/>
    </xf>
    <xf numFmtId="0" fontId="91" fillId="2" borderId="0" xfId="562" applyFont="1" applyFill="1" applyAlignment="1">
      <alignment horizontal="center" vertical="center"/>
    </xf>
    <xf numFmtId="0" fontId="36" fillId="0" borderId="0" xfId="562" applyFont="1"/>
    <xf numFmtId="0" fontId="20" fillId="2" borderId="0" xfId="562" applyFont="1" applyFill="1"/>
    <xf numFmtId="221" fontId="25" fillId="2" borderId="31" xfId="132" applyNumberFormat="1" applyFont="1" applyFill="1" applyBorder="1" applyAlignment="1">
      <alignment horizontal="right" wrapText="1"/>
    </xf>
    <xf numFmtId="221" fontId="25" fillId="2" borderId="0" xfId="132" applyNumberFormat="1" applyFont="1" applyFill="1" applyBorder="1" applyAlignment="1">
      <alignment vertical="center" wrapText="1"/>
    </xf>
    <xf numFmtId="221" fontId="25" fillId="2" borderId="0" xfId="132" applyNumberFormat="1" applyFont="1" applyFill="1" applyBorder="1" applyAlignment="1">
      <alignment wrapText="1"/>
    </xf>
    <xf numFmtId="221" fontId="30" fillId="2" borderId="0" xfId="132" applyNumberFormat="1" applyFont="1" applyFill="1" applyBorder="1" applyAlignment="1">
      <alignment wrapText="1"/>
    </xf>
    <xf numFmtId="221" fontId="91" fillId="2" borderId="0" xfId="132" applyNumberFormat="1" applyFont="1" applyFill="1" applyBorder="1" applyAlignment="1">
      <alignment vertical="center" wrapText="1"/>
    </xf>
    <xf numFmtId="221" fontId="25" fillId="2" borderId="0" xfId="132" applyNumberFormat="1" applyFont="1" applyFill="1" applyBorder="1" applyAlignment="1">
      <alignment horizontal="right" wrapText="1"/>
    </xf>
    <xf numFmtId="1" fontId="109" fillId="2" borderId="0" xfId="0" applyNumberFormat="1" applyFont="1" applyFill="1"/>
    <xf numFmtId="0" fontId="32" fillId="2" borderId="0" xfId="562" applyFont="1" applyFill="1"/>
    <xf numFmtId="0" fontId="6" fillId="0" borderId="0" xfId="0" applyFont="1" applyAlignment="1">
      <alignment vertical="center"/>
    </xf>
    <xf numFmtId="0" fontId="6" fillId="0" borderId="0" xfId="0" applyFont="1"/>
    <xf numFmtId="0" fontId="86" fillId="0" borderId="0" xfId="0" applyFont="1"/>
    <xf numFmtId="0" fontId="6" fillId="0" borderId="4" xfId="0" applyFont="1" applyBorder="1" applyAlignment="1">
      <alignment horizontal="center" vertical="center"/>
    </xf>
    <xf numFmtId="0" fontId="6" fillId="0" borderId="0" xfId="0" applyFont="1" applyAlignment="1">
      <alignment vertical="center" wrapText="1"/>
    </xf>
    <xf numFmtId="0" fontId="6" fillId="0" borderId="4" xfId="0" applyFont="1" applyBorder="1" applyAlignment="1">
      <alignment vertical="center" wrapText="1"/>
    </xf>
    <xf numFmtId="0" fontId="6" fillId="0" borderId="4" xfId="0" applyFont="1" applyBorder="1" applyAlignment="1">
      <alignment vertical="center"/>
    </xf>
    <xf numFmtId="0" fontId="6" fillId="0" borderId="4" xfId="0" applyNumberFormat="1" applyFont="1" applyBorder="1" applyAlignment="1">
      <alignment vertical="center"/>
    </xf>
    <xf numFmtId="0" fontId="86" fillId="0" borderId="4" xfId="0" applyFont="1" applyBorder="1" applyAlignment="1">
      <alignment horizontal="center"/>
    </xf>
    <xf numFmtId="0" fontId="86" fillId="0" borderId="4" xfId="0" applyFont="1" applyBorder="1"/>
    <xf numFmtId="0" fontId="6" fillId="0" borderId="4" xfId="0" applyFont="1" applyBorder="1"/>
    <xf numFmtId="0" fontId="6" fillId="0" borderId="4" xfId="0" applyNumberFormat="1" applyFont="1" applyBorder="1"/>
    <xf numFmtId="0" fontId="86" fillId="0" borderId="4" xfId="0" applyNumberFormat="1" applyFont="1" applyBorder="1"/>
    <xf numFmtId="0" fontId="6" fillId="0" borderId="0" xfId="0" applyFont="1" applyAlignment="1">
      <alignment wrapText="1"/>
    </xf>
    <xf numFmtId="2" fontId="6" fillId="0" borderId="4" xfId="0" applyNumberFormat="1" applyFont="1" applyBorder="1"/>
    <xf numFmtId="0" fontId="112" fillId="0" borderId="0" xfId="561" applyFont="1" applyFill="1" applyBorder="1" applyAlignment="1">
      <alignment horizontal="center" vertical="center" shrinkToFit="1"/>
    </xf>
    <xf numFmtId="0" fontId="20" fillId="0" borderId="0" xfId="0" applyFont="1" applyFill="1" applyAlignment="1"/>
    <xf numFmtId="0" fontId="113" fillId="0" borderId="0" xfId="0" applyFont="1" applyFill="1" applyAlignment="1"/>
    <xf numFmtId="0" fontId="37" fillId="0" borderId="0" xfId="0" applyFont="1" applyFill="1" applyAlignment="1"/>
    <xf numFmtId="2" fontId="114" fillId="0" borderId="0" xfId="0" applyNumberFormat="1" applyFont="1" applyFill="1" applyAlignment="1"/>
    <xf numFmtId="0" fontId="114" fillId="0" borderId="0" xfId="0" applyFont="1" applyFill="1" applyAlignment="1"/>
    <xf numFmtId="0" fontId="114" fillId="0" borderId="0" xfId="0" applyFont="1" applyFill="1" applyAlignment="1">
      <alignment horizontal="center"/>
    </xf>
    <xf numFmtId="0" fontId="114" fillId="0" borderId="0" xfId="0" applyFont="1" applyFill="1" applyAlignment="1">
      <alignment wrapText="1"/>
    </xf>
    <xf numFmtId="2" fontId="114" fillId="0" borderId="0" xfId="0" applyNumberFormat="1" applyFont="1" applyFill="1" applyAlignment="1">
      <alignment shrinkToFit="1"/>
    </xf>
    <xf numFmtId="0" fontId="113" fillId="0" borderId="0" xfId="561" applyFont="1" applyFill="1" applyBorder="1" applyAlignment="1">
      <alignment horizontal="center" vertical="center"/>
    </xf>
    <xf numFmtId="0" fontId="114" fillId="0" borderId="0" xfId="561" applyFont="1" applyFill="1" applyBorder="1" applyAlignment="1">
      <alignment horizontal="center" vertical="center"/>
    </xf>
    <xf numFmtId="2" fontId="113" fillId="0" borderId="0" xfId="561" applyNumberFormat="1" applyFont="1" applyFill="1" applyBorder="1" applyAlignment="1">
      <alignment horizontal="center" vertical="center"/>
    </xf>
    <xf numFmtId="0" fontId="113" fillId="0" borderId="0" xfId="516" applyFont="1" applyFill="1" applyAlignment="1"/>
    <xf numFmtId="2" fontId="114" fillId="0" borderId="0" xfId="561" applyNumberFormat="1" applyFont="1" applyFill="1" applyBorder="1" applyAlignment="1">
      <alignment vertical="center"/>
    </xf>
    <xf numFmtId="0" fontId="114" fillId="0" borderId="0" xfId="561" applyFont="1" applyFill="1" applyBorder="1" applyAlignment="1">
      <alignment horizontal="center" vertical="center" wrapText="1"/>
    </xf>
    <xf numFmtId="2" fontId="114" fillId="0" borderId="0" xfId="561" applyNumberFormat="1" applyFont="1" applyFill="1" applyBorder="1" applyAlignment="1">
      <alignment horizontal="center" vertical="center"/>
    </xf>
    <xf numFmtId="2" fontId="113" fillId="0" borderId="4" xfId="1" applyNumberFormat="1" applyFont="1" applyFill="1" applyBorder="1" applyAlignment="1">
      <alignment horizontal="center" vertical="center" shrinkToFit="1"/>
    </xf>
    <xf numFmtId="2" fontId="113" fillId="0" borderId="34" xfId="561" applyNumberFormat="1" applyFont="1" applyFill="1" applyBorder="1" applyAlignment="1">
      <alignment horizontal="center" vertical="center" wrapText="1" shrinkToFit="1"/>
    </xf>
    <xf numFmtId="0" fontId="113" fillId="0" borderId="34" xfId="561" applyFont="1" applyFill="1" applyBorder="1" applyAlignment="1">
      <alignment vertical="center" shrinkToFit="1"/>
    </xf>
    <xf numFmtId="0" fontId="114" fillId="0" borderId="34" xfId="561" applyFont="1" applyFill="1" applyBorder="1" applyAlignment="1">
      <alignment horizontal="center" vertical="center" wrapText="1" shrinkToFit="1"/>
    </xf>
    <xf numFmtId="43" fontId="114" fillId="0" borderId="34" xfId="1" applyNumberFormat="1" applyFont="1" applyFill="1" applyBorder="1" applyAlignment="1">
      <alignment horizontal="center" vertical="center" wrapText="1" shrinkToFit="1"/>
    </xf>
    <xf numFmtId="2" fontId="114" fillId="0" borderId="34" xfId="1" applyNumberFormat="1" applyFont="1" applyFill="1" applyBorder="1" applyAlignment="1">
      <alignment horizontal="center" vertical="center" wrapText="1" shrinkToFit="1"/>
    </xf>
    <xf numFmtId="2" fontId="113" fillId="0" borderId="35" xfId="561" applyNumberFormat="1" applyFont="1" applyFill="1" applyBorder="1" applyAlignment="1">
      <alignment horizontal="center" vertical="center" wrapText="1" shrinkToFit="1"/>
    </xf>
    <xf numFmtId="0" fontId="113" fillId="0" borderId="35" xfId="561" applyFont="1" applyFill="1" applyBorder="1" applyAlignment="1">
      <alignment vertical="center" shrinkToFit="1"/>
    </xf>
    <xf numFmtId="0" fontId="113" fillId="0" borderId="35" xfId="561" applyFont="1" applyFill="1" applyBorder="1" applyAlignment="1">
      <alignment horizontal="center" vertical="center" wrapText="1" shrinkToFit="1"/>
    </xf>
    <xf numFmtId="4" fontId="113" fillId="0" borderId="35" xfId="1" applyNumberFormat="1" applyFont="1" applyFill="1" applyBorder="1" applyAlignment="1">
      <alignment horizontal="center" vertical="center" wrapText="1" shrinkToFit="1"/>
    </xf>
    <xf numFmtId="2" fontId="113" fillId="0" borderId="35" xfId="1" applyNumberFormat="1" applyFont="1" applyFill="1" applyBorder="1" applyAlignment="1">
      <alignment horizontal="center" vertical="center" wrapText="1" shrinkToFit="1"/>
    </xf>
    <xf numFmtId="198" fontId="114" fillId="0" borderId="35" xfId="561" applyNumberFormat="1" applyFont="1" applyFill="1" applyBorder="1" applyAlignment="1">
      <alignment horizontal="center" vertical="center" wrapText="1" shrinkToFit="1"/>
    </xf>
    <xf numFmtId="0" fontId="114" fillId="0" borderId="35" xfId="561" applyFont="1" applyFill="1" applyBorder="1" applyAlignment="1">
      <alignment vertical="center" shrinkToFit="1"/>
    </xf>
    <xf numFmtId="0" fontId="114" fillId="0" borderId="35" xfId="561" applyFont="1" applyFill="1" applyBorder="1" applyAlignment="1">
      <alignment horizontal="center" vertical="center" wrapText="1" shrinkToFit="1"/>
    </xf>
    <xf numFmtId="2" fontId="114" fillId="0" borderId="35" xfId="561" applyNumberFormat="1" applyFont="1" applyFill="1" applyBorder="1" applyAlignment="1">
      <alignment horizontal="center" vertical="center" wrapText="1" shrinkToFit="1"/>
    </xf>
    <xf numFmtId="2" fontId="116" fillId="0" borderId="35" xfId="1" applyNumberFormat="1" applyFont="1" applyFill="1" applyBorder="1" applyAlignment="1">
      <alignment horizontal="center" vertical="center" wrapText="1" shrinkToFit="1"/>
    </xf>
    <xf numFmtId="200" fontId="114" fillId="0" borderId="35" xfId="1" applyNumberFormat="1" applyFont="1" applyFill="1" applyBorder="1" applyAlignment="1">
      <alignment horizontal="center" vertical="center" wrapText="1" shrinkToFit="1"/>
    </xf>
    <xf numFmtId="2" fontId="114" fillId="0" borderId="35" xfId="1" applyNumberFormat="1" applyFont="1" applyFill="1" applyBorder="1" applyAlignment="1">
      <alignment horizontal="center" vertical="center" wrapText="1" shrinkToFit="1"/>
    </xf>
    <xf numFmtId="4" fontId="114" fillId="0" borderId="35" xfId="1" applyNumberFormat="1" applyFont="1" applyFill="1" applyBorder="1" applyAlignment="1">
      <alignment horizontal="center" vertical="center" wrapText="1" shrinkToFit="1"/>
    </xf>
    <xf numFmtId="1" fontId="113" fillId="0" borderId="35" xfId="561" applyNumberFormat="1" applyFont="1" applyFill="1" applyBorder="1" applyAlignment="1">
      <alignment horizontal="center" vertical="center" wrapText="1" shrinkToFit="1"/>
    </xf>
    <xf numFmtId="0" fontId="117" fillId="0" borderId="35" xfId="561" applyFont="1" applyFill="1" applyBorder="1" applyAlignment="1">
      <alignment vertical="center" shrinkToFit="1"/>
    </xf>
    <xf numFmtId="1" fontId="20" fillId="0" borderId="35" xfId="561" applyNumberFormat="1" applyFont="1" applyFill="1" applyBorder="1" applyAlignment="1">
      <alignment horizontal="center" vertical="center" wrapText="1" shrinkToFit="1"/>
    </xf>
    <xf numFmtId="0" fontId="20" fillId="0" borderId="35" xfId="561" applyFont="1" applyFill="1" applyBorder="1" applyAlignment="1">
      <alignment vertical="center" shrinkToFit="1"/>
    </xf>
    <xf numFmtId="0" fontId="20" fillId="0" borderId="35" xfId="561" applyFont="1" applyFill="1" applyBorder="1" applyAlignment="1">
      <alignment horizontal="center" vertical="center" wrapText="1" shrinkToFit="1"/>
    </xf>
    <xf numFmtId="228" fontId="20" fillId="0" borderId="35" xfId="1" applyNumberFormat="1" applyFont="1" applyFill="1" applyBorder="1" applyAlignment="1" applyProtection="1">
      <alignment horizontal="center" vertical="center" wrapText="1" shrinkToFit="1"/>
    </xf>
    <xf numFmtId="0" fontId="20" fillId="0" borderId="35" xfId="561" applyFont="1" applyFill="1" applyBorder="1" applyAlignment="1">
      <alignment horizontal="center" vertical="center" shrinkToFit="1"/>
    </xf>
    <xf numFmtId="0" fontId="117" fillId="0" borderId="35" xfId="561" applyFont="1" applyFill="1" applyBorder="1" applyAlignment="1">
      <alignment horizontal="center" vertical="center" wrapText="1" shrinkToFit="1"/>
    </xf>
    <xf numFmtId="241" fontId="112" fillId="0" borderId="35" xfId="561" applyNumberFormat="1" applyFont="1" applyFill="1" applyBorder="1" applyAlignment="1">
      <alignment horizontal="center" vertical="center" wrapText="1"/>
    </xf>
    <xf numFmtId="2" fontId="112" fillId="0" borderId="35" xfId="561" applyNumberFormat="1" applyFont="1" applyFill="1" applyBorder="1" applyAlignment="1">
      <alignment horizontal="center" vertical="center" wrapText="1" shrinkToFit="1"/>
    </xf>
    <xf numFmtId="2" fontId="112" fillId="0" borderId="35" xfId="1" applyNumberFormat="1" applyFont="1" applyFill="1" applyBorder="1" applyAlignment="1">
      <alignment horizontal="center" vertical="center" wrapText="1" shrinkToFit="1"/>
    </xf>
    <xf numFmtId="0" fontId="114" fillId="0" borderId="35" xfId="0" applyFont="1" applyFill="1" applyBorder="1" applyAlignment="1">
      <alignment horizontal="center" vertical="center" wrapText="1"/>
    </xf>
    <xf numFmtId="228" fontId="112" fillId="0" borderId="35" xfId="561" applyNumberFormat="1" applyFont="1" applyFill="1" applyBorder="1" applyAlignment="1">
      <alignment horizontal="center" vertical="center" wrapText="1"/>
    </xf>
    <xf numFmtId="2" fontId="112" fillId="0" borderId="35" xfId="561" applyNumberFormat="1" applyFont="1" applyFill="1" applyBorder="1" applyAlignment="1">
      <alignment horizontal="center" vertical="center" wrapText="1"/>
    </xf>
    <xf numFmtId="2" fontId="112" fillId="0" borderId="35" xfId="1" applyNumberFormat="1" applyFont="1" applyFill="1" applyBorder="1" applyAlignment="1">
      <alignment horizontal="center" vertical="center" wrapText="1"/>
    </xf>
    <xf numFmtId="198" fontId="20" fillId="0" borderId="35" xfId="561" applyNumberFormat="1" applyFont="1" applyFill="1" applyBorder="1" applyAlignment="1">
      <alignment horizontal="center" vertical="center" wrapText="1" shrinkToFit="1"/>
    </xf>
    <xf numFmtId="0" fontId="20" fillId="0" borderId="35" xfId="0" applyFont="1" applyFill="1" applyBorder="1" applyAlignment="1">
      <alignment horizontal="left"/>
    </xf>
    <xf numFmtId="4" fontId="20" fillId="0" borderId="35" xfId="1" applyNumberFormat="1" applyFont="1" applyFill="1" applyBorder="1" applyAlignment="1">
      <alignment horizontal="center" vertical="center" wrapText="1" shrinkToFit="1"/>
    </xf>
    <xf numFmtId="11" fontId="20" fillId="0" borderId="35" xfId="561" applyNumberFormat="1" applyFont="1" applyFill="1" applyBorder="1" applyAlignment="1">
      <alignment horizontal="center" vertical="center" wrapText="1" shrinkToFit="1"/>
    </xf>
    <xf numFmtId="2" fontId="20" fillId="0" borderId="35" xfId="561" applyNumberFormat="1" applyFont="1" applyFill="1" applyBorder="1" applyAlignment="1">
      <alignment horizontal="center" vertical="center" wrapText="1" shrinkToFit="1"/>
    </xf>
    <xf numFmtId="2" fontId="20" fillId="0" borderId="35" xfId="1" applyNumberFormat="1" applyFont="1" applyFill="1" applyBorder="1" applyAlignment="1">
      <alignment horizontal="center" vertical="center" wrapText="1" shrinkToFit="1"/>
    </xf>
    <xf numFmtId="4" fontId="118" fillId="0" borderId="35" xfId="1" applyNumberFormat="1" applyFont="1" applyFill="1" applyBorder="1" applyAlignment="1">
      <alignment horizontal="center" vertical="center" wrapText="1" shrinkToFit="1"/>
    </xf>
    <xf numFmtId="11" fontId="111" fillId="0" borderId="35" xfId="561" applyNumberFormat="1" applyFont="1" applyFill="1" applyBorder="1" applyAlignment="1">
      <alignment horizontal="center" vertical="center" wrapText="1" shrinkToFit="1"/>
    </xf>
    <xf numFmtId="2" fontId="111" fillId="0" borderId="35" xfId="561" applyNumberFormat="1" applyFont="1" applyFill="1" applyBorder="1" applyAlignment="1">
      <alignment horizontal="center" vertical="center" wrapText="1" shrinkToFit="1"/>
    </xf>
    <xf numFmtId="1" fontId="113" fillId="0" borderId="35" xfId="1" applyNumberFormat="1" applyFont="1" applyFill="1" applyBorder="1" applyAlignment="1">
      <alignment horizontal="center" vertical="center" wrapText="1" shrinkToFit="1"/>
    </xf>
    <xf numFmtId="224" fontId="113" fillId="0" borderId="35" xfId="1" applyNumberFormat="1" applyFont="1" applyFill="1" applyBorder="1" applyAlignment="1">
      <alignment vertical="center" shrinkToFit="1"/>
    </xf>
    <xf numFmtId="224" fontId="113" fillId="0" borderId="35" xfId="1" applyNumberFormat="1" applyFont="1" applyFill="1" applyBorder="1" applyAlignment="1">
      <alignment horizontal="center" vertical="center" wrapText="1" shrinkToFit="1"/>
    </xf>
    <xf numFmtId="228" fontId="113" fillId="0" borderId="35" xfId="1" applyNumberFormat="1" applyFont="1" applyFill="1" applyBorder="1" applyAlignment="1">
      <alignment horizontal="center" vertical="center" wrapText="1"/>
    </xf>
    <xf numFmtId="2" fontId="113" fillId="0" borderId="35" xfId="0" applyNumberFormat="1" applyFont="1" applyFill="1" applyBorder="1" applyAlignment="1">
      <alignment horizontal="center" vertical="center" wrapText="1"/>
    </xf>
    <xf numFmtId="2" fontId="113" fillId="0" borderId="35" xfId="1" applyNumberFormat="1" applyFont="1" applyFill="1" applyBorder="1" applyAlignment="1">
      <alignment horizontal="center" vertical="center" wrapText="1"/>
    </xf>
    <xf numFmtId="1" fontId="37" fillId="0" borderId="35" xfId="1" applyNumberFormat="1" applyFont="1" applyFill="1" applyBorder="1" applyAlignment="1">
      <alignment horizontal="center" vertical="center" wrapText="1" shrinkToFit="1"/>
    </xf>
    <xf numFmtId="224" fontId="37" fillId="0" borderId="35" xfId="1" applyNumberFormat="1" applyFont="1" applyFill="1" applyBorder="1" applyAlignment="1">
      <alignment vertical="center" shrinkToFit="1"/>
    </xf>
    <xf numFmtId="224" fontId="37" fillId="0" borderId="35" xfId="1" applyNumberFormat="1" applyFont="1" applyFill="1" applyBorder="1" applyAlignment="1">
      <alignment horizontal="center" vertical="center" wrapText="1" shrinkToFit="1"/>
    </xf>
    <xf numFmtId="228" fontId="37" fillId="0" borderId="35" xfId="1" applyNumberFormat="1" applyFont="1" applyFill="1" applyBorder="1" applyAlignment="1">
      <alignment horizontal="center" vertical="center" wrapText="1"/>
    </xf>
    <xf numFmtId="2" fontId="37" fillId="0" borderId="35" xfId="0" applyNumberFormat="1" applyFont="1" applyFill="1" applyBorder="1" applyAlignment="1">
      <alignment horizontal="center" vertical="center" wrapText="1"/>
    </xf>
    <xf numFmtId="2" fontId="37" fillId="0" borderId="35" xfId="1" applyNumberFormat="1" applyFont="1" applyFill="1" applyBorder="1" applyAlignment="1">
      <alignment horizontal="center" vertical="center" wrapText="1"/>
    </xf>
    <xf numFmtId="1" fontId="114" fillId="0" borderId="35" xfId="561" applyNumberFormat="1" applyFont="1" applyFill="1" applyBorder="1" applyAlignment="1">
      <alignment horizontal="center" vertical="center" wrapText="1" shrinkToFit="1"/>
    </xf>
    <xf numFmtId="0" fontId="113" fillId="0" borderId="36" xfId="561" applyFont="1" applyFill="1" applyBorder="1" applyAlignment="1">
      <alignment horizontal="center" vertical="center" wrapText="1" shrinkToFit="1"/>
    </xf>
    <xf numFmtId="2" fontId="113" fillId="0" borderId="36" xfId="561" applyNumberFormat="1" applyFont="1" applyFill="1" applyBorder="1" applyAlignment="1">
      <alignment horizontal="center" vertical="center" wrapText="1" shrinkToFit="1"/>
    </xf>
    <xf numFmtId="2" fontId="113" fillId="0" borderId="0" xfId="561" applyNumberFormat="1" applyFont="1" applyFill="1" applyBorder="1" applyAlignment="1">
      <alignment vertical="center" shrinkToFit="1"/>
    </xf>
    <xf numFmtId="0" fontId="113" fillId="0" borderId="0" xfId="561" applyFont="1" applyFill="1" applyBorder="1" applyAlignment="1">
      <alignment horizontal="center" vertical="center" shrinkToFit="1"/>
    </xf>
    <xf numFmtId="0" fontId="113" fillId="0" borderId="0" xfId="561" applyFont="1" applyFill="1" applyBorder="1" applyAlignment="1">
      <alignment horizontal="center" vertical="center" wrapText="1" shrinkToFit="1"/>
    </xf>
    <xf numFmtId="2" fontId="113" fillId="0" borderId="0" xfId="561" applyNumberFormat="1" applyFont="1" applyFill="1" applyBorder="1" applyAlignment="1">
      <alignment horizontal="center" vertical="center" shrinkToFit="1"/>
    </xf>
    <xf numFmtId="0" fontId="113" fillId="0" borderId="0" xfId="561" applyFont="1" applyFill="1" applyBorder="1" applyAlignment="1">
      <alignment horizontal="center" vertical="center" wrapText="1"/>
    </xf>
    <xf numFmtId="2" fontId="113" fillId="0" borderId="0" xfId="561" applyNumberFormat="1" applyFont="1" applyFill="1" applyBorder="1" applyAlignment="1">
      <alignment vertical="center"/>
    </xf>
    <xf numFmtId="0" fontId="113" fillId="0" borderId="0" xfId="561" applyFont="1" applyFill="1" applyBorder="1" applyAlignment="1">
      <alignment vertical="center" wrapText="1"/>
    </xf>
    <xf numFmtId="2" fontId="113" fillId="0" borderId="0" xfId="1" applyNumberFormat="1" applyFont="1" applyFill="1" applyBorder="1" applyAlignment="1">
      <alignment horizontal="center" vertical="center"/>
    </xf>
    <xf numFmtId="0" fontId="113" fillId="0" borderId="0" xfId="561" applyFont="1" applyFill="1" applyBorder="1" applyAlignment="1">
      <alignment horizontal="left" vertical="center"/>
    </xf>
    <xf numFmtId="0" fontId="113" fillId="0" borderId="0" xfId="561" applyFont="1" applyFill="1" applyBorder="1" applyAlignment="1">
      <alignment vertical="center"/>
    </xf>
    <xf numFmtId="2" fontId="113" fillId="0" borderId="0" xfId="561" applyNumberFormat="1" applyFont="1" applyFill="1" applyBorder="1" applyAlignment="1">
      <alignment horizontal="justify" vertical="center"/>
    </xf>
    <xf numFmtId="2" fontId="114" fillId="0" borderId="0" xfId="561" applyNumberFormat="1" applyFont="1" applyFill="1" applyBorder="1" applyAlignment="1">
      <alignment horizontal="center" vertical="center" shrinkToFit="1"/>
    </xf>
    <xf numFmtId="43" fontId="113" fillId="0" borderId="4" xfId="1" applyFont="1" applyFill="1" applyBorder="1" applyAlignment="1">
      <alignment vertical="center" shrinkToFit="1"/>
    </xf>
    <xf numFmtId="2" fontId="113" fillId="0" borderId="34" xfId="1" applyNumberFormat="1" applyFont="1" applyFill="1" applyBorder="1" applyAlignment="1">
      <alignment horizontal="center" vertical="center" wrapText="1" shrinkToFit="1"/>
    </xf>
    <xf numFmtId="224" fontId="114" fillId="0" borderId="34" xfId="1" applyNumberFormat="1" applyFont="1" applyFill="1" applyBorder="1" applyAlignment="1">
      <alignment horizontal="center" vertical="center" wrapText="1" shrinkToFit="1"/>
    </xf>
    <xf numFmtId="43" fontId="113" fillId="0" borderId="34" xfId="1" applyNumberFormat="1" applyFont="1" applyFill="1" applyBorder="1" applyAlignment="1">
      <alignment horizontal="center" vertical="center" wrapText="1" shrinkToFit="1"/>
    </xf>
    <xf numFmtId="224" fontId="114" fillId="0" borderId="34" xfId="561" applyNumberFormat="1" applyFont="1" applyFill="1" applyBorder="1" applyAlignment="1">
      <alignment horizontal="center" vertical="center" wrapText="1" shrinkToFit="1"/>
    </xf>
    <xf numFmtId="43" fontId="119" fillId="0" borderId="35" xfId="1" applyFont="1" applyFill="1" applyBorder="1" applyAlignment="1">
      <alignment horizontal="center" vertical="center" wrapText="1" shrinkToFit="1"/>
    </xf>
    <xf numFmtId="224" fontId="113" fillId="0" borderId="35" xfId="561" applyNumberFormat="1" applyFont="1" applyFill="1" applyBorder="1" applyAlignment="1">
      <alignment horizontal="center" vertical="center" wrapText="1" shrinkToFit="1"/>
    </xf>
    <xf numFmtId="216" fontId="114" fillId="0" borderId="35" xfId="1" applyNumberFormat="1" applyFont="1" applyFill="1" applyBorder="1" applyAlignment="1">
      <alignment horizontal="center" vertical="center" wrapText="1" shrinkToFit="1"/>
    </xf>
    <xf numFmtId="224" fontId="114" fillId="0" borderId="35" xfId="561" applyNumberFormat="1" applyFont="1" applyFill="1" applyBorder="1" applyAlignment="1">
      <alignment horizontal="center" vertical="center" wrapText="1" shrinkToFit="1"/>
    </xf>
    <xf numFmtId="43" fontId="113" fillId="0" borderId="35" xfId="1" applyFont="1" applyFill="1" applyBorder="1" applyAlignment="1">
      <alignment horizontal="center" vertical="center" wrapText="1" shrinkToFit="1"/>
    </xf>
    <xf numFmtId="43" fontId="114" fillId="0" borderId="35" xfId="1" applyFont="1" applyFill="1" applyBorder="1" applyAlignment="1">
      <alignment horizontal="center" vertical="center" wrapText="1" shrinkToFit="1"/>
    </xf>
    <xf numFmtId="43" fontId="117" fillId="0" borderId="35" xfId="1" applyFont="1" applyFill="1" applyBorder="1" applyAlignment="1">
      <alignment horizontal="center" vertical="center" wrapText="1" shrinkToFit="1"/>
    </xf>
    <xf numFmtId="1" fontId="20" fillId="0" borderId="35" xfId="1" applyNumberFormat="1" applyFont="1" applyFill="1" applyBorder="1" applyAlignment="1">
      <alignment horizontal="center" vertical="center" wrapText="1" shrinkToFit="1"/>
    </xf>
    <xf numFmtId="43" fontId="20" fillId="5" borderId="35" xfId="1" applyFont="1" applyFill="1" applyBorder="1" applyAlignment="1">
      <alignment horizontal="center" vertical="center" wrapText="1" shrinkToFit="1"/>
    </xf>
    <xf numFmtId="43" fontId="20" fillId="0" borderId="35" xfId="1" applyFont="1" applyFill="1" applyBorder="1" applyAlignment="1">
      <alignment horizontal="center" vertical="center" wrapText="1" shrinkToFit="1"/>
    </xf>
    <xf numFmtId="43" fontId="20" fillId="0" borderId="35" xfId="1" applyNumberFormat="1" applyFont="1" applyFill="1" applyBorder="1" applyAlignment="1">
      <alignment horizontal="center" vertical="center" wrapText="1" shrinkToFit="1"/>
    </xf>
    <xf numFmtId="2" fontId="114" fillId="0" borderId="35" xfId="561" applyNumberFormat="1" applyFont="1" applyFill="1" applyBorder="1" applyAlignment="1">
      <alignment horizontal="center" vertical="center" wrapText="1"/>
    </xf>
    <xf numFmtId="4" fontId="112" fillId="0" borderId="35" xfId="1" applyNumberFormat="1" applyFont="1" applyFill="1" applyBorder="1" applyAlignment="1">
      <alignment horizontal="center" vertical="center" wrapText="1" shrinkToFit="1"/>
    </xf>
    <xf numFmtId="224" fontId="112" fillId="0" borderId="35" xfId="561" applyNumberFormat="1" applyFont="1" applyFill="1" applyBorder="1" applyAlignment="1">
      <alignment horizontal="center" vertical="center" wrapText="1" shrinkToFit="1"/>
    </xf>
    <xf numFmtId="43" fontId="20" fillId="7" borderId="35" xfId="1" applyFont="1" applyFill="1" applyBorder="1" applyAlignment="1">
      <alignment horizontal="center" vertical="center" wrapText="1" shrinkToFit="1"/>
    </xf>
    <xf numFmtId="224" fontId="20" fillId="0" borderId="35" xfId="561" applyNumberFormat="1" applyFont="1" applyFill="1" applyBorder="1" applyAlignment="1">
      <alignment horizontal="center" vertical="center" wrapText="1" shrinkToFit="1"/>
    </xf>
    <xf numFmtId="43" fontId="20" fillId="0" borderId="35" xfId="1" applyFont="1" applyFill="1" applyBorder="1" applyAlignment="1">
      <alignment horizontal="center" vertical="center" wrapText="1" shrinkToFit="1"/>
    </xf>
    <xf numFmtId="0" fontId="20" fillId="0" borderId="35" xfId="0" applyFont="1" applyFill="1" applyBorder="1" applyAlignment="1">
      <alignment horizontal="center" vertical="center" wrapText="1"/>
    </xf>
    <xf numFmtId="3" fontId="113" fillId="0" borderId="35" xfId="1" applyNumberFormat="1" applyFont="1" applyFill="1" applyBorder="1" applyAlignment="1">
      <alignment horizontal="center" vertical="center" wrapText="1" shrinkToFit="1"/>
    </xf>
    <xf numFmtId="0" fontId="37" fillId="0" borderId="35" xfId="0" applyFont="1" applyFill="1" applyBorder="1" applyAlignment="1">
      <alignment horizontal="center" vertical="center" wrapText="1"/>
    </xf>
    <xf numFmtId="2" fontId="37" fillId="0" borderId="35" xfId="561" applyNumberFormat="1" applyFont="1" applyFill="1" applyBorder="1" applyAlignment="1">
      <alignment horizontal="center" vertical="center" wrapText="1" shrinkToFit="1"/>
    </xf>
    <xf numFmtId="2" fontId="37" fillId="0" borderId="35" xfId="1" applyNumberFormat="1" applyFont="1" applyFill="1" applyBorder="1" applyAlignment="1">
      <alignment horizontal="center" vertical="center" wrapText="1" shrinkToFit="1"/>
    </xf>
    <xf numFmtId="3" fontId="37" fillId="0" borderId="35" xfId="1" applyNumberFormat="1" applyFont="1" applyFill="1" applyBorder="1" applyAlignment="1">
      <alignment horizontal="center" vertical="center" wrapText="1" shrinkToFit="1"/>
    </xf>
    <xf numFmtId="224" fontId="37" fillId="0" borderId="35" xfId="561" applyNumberFormat="1" applyFont="1" applyFill="1" applyBorder="1" applyAlignment="1">
      <alignment horizontal="center" vertical="center" wrapText="1" shrinkToFit="1"/>
    </xf>
    <xf numFmtId="2" fontId="114" fillId="0" borderId="35" xfId="0" applyNumberFormat="1" applyFont="1" applyFill="1" applyBorder="1" applyAlignment="1">
      <alignment horizontal="center" vertical="center" wrapText="1"/>
    </xf>
    <xf numFmtId="3" fontId="114" fillId="0" borderId="35" xfId="1" applyNumberFormat="1" applyFont="1" applyFill="1" applyBorder="1" applyAlignment="1">
      <alignment horizontal="center" vertical="center" wrapText="1" shrinkToFit="1"/>
    </xf>
    <xf numFmtId="43" fontId="120" fillId="0" borderId="35" xfId="1" applyFont="1" applyFill="1" applyBorder="1" applyAlignment="1">
      <alignment horizontal="center" vertical="center" wrapText="1" shrinkToFit="1"/>
    </xf>
    <xf numFmtId="2" fontId="113" fillId="0" borderId="36" xfId="1" applyNumberFormat="1" applyFont="1" applyFill="1" applyBorder="1" applyAlignment="1">
      <alignment horizontal="center" vertical="center" wrapText="1" shrinkToFit="1"/>
    </xf>
    <xf numFmtId="43" fontId="113" fillId="0" borderId="36" xfId="1" applyFont="1" applyFill="1" applyBorder="1" applyAlignment="1">
      <alignment horizontal="center" vertical="center" wrapText="1" shrinkToFit="1"/>
    </xf>
    <xf numFmtId="2" fontId="113" fillId="0" borderId="0" xfId="1" applyNumberFormat="1" applyFont="1" applyFill="1" applyBorder="1" applyAlignment="1">
      <alignment horizontal="right" vertical="center" shrinkToFit="1"/>
    </xf>
    <xf numFmtId="43" fontId="113" fillId="0" borderId="0" xfId="1" applyFont="1" applyFill="1" applyBorder="1" applyAlignment="1">
      <alignment horizontal="center" vertical="center"/>
    </xf>
    <xf numFmtId="224" fontId="113" fillId="0" borderId="0" xfId="1" applyNumberFormat="1" applyFont="1" applyFill="1" applyBorder="1" applyAlignment="1">
      <alignment horizontal="center" vertical="center"/>
    </xf>
    <xf numFmtId="224" fontId="113" fillId="0" borderId="0" xfId="1" applyNumberFormat="1" applyFont="1" applyFill="1" applyBorder="1" applyAlignment="1">
      <alignment horizontal="center" vertical="center" shrinkToFit="1"/>
    </xf>
    <xf numFmtId="2" fontId="114" fillId="0" borderId="0" xfId="1" applyNumberFormat="1" applyFont="1" applyFill="1" applyBorder="1" applyAlignment="1">
      <alignment horizontal="center" vertical="center"/>
    </xf>
    <xf numFmtId="0" fontId="114" fillId="0" borderId="0" xfId="561" applyFont="1" applyFill="1" applyBorder="1" applyAlignment="1">
      <alignment vertical="center"/>
    </xf>
    <xf numFmtId="43" fontId="114" fillId="0" borderId="0" xfId="1" applyFont="1" applyFill="1" applyBorder="1" applyAlignment="1">
      <alignment horizontal="center" vertical="center"/>
    </xf>
    <xf numFmtId="0" fontId="114" fillId="0" borderId="0" xfId="561" applyFont="1" applyFill="1" applyBorder="1" applyAlignment="1">
      <alignment horizontal="center" vertical="center" shrinkToFit="1"/>
    </xf>
    <xf numFmtId="4" fontId="114" fillId="0" borderId="0" xfId="0" applyNumberFormat="1" applyFont="1" applyFill="1" applyAlignment="1"/>
    <xf numFmtId="43" fontId="114" fillId="0" borderId="0" xfId="0" applyNumberFormat="1" applyFont="1" applyFill="1" applyAlignment="1"/>
    <xf numFmtId="2" fontId="112" fillId="0" borderId="0" xfId="561" applyNumberFormat="1" applyFont="1" applyFill="1" applyBorder="1" applyAlignment="1">
      <alignment horizontal="center" vertical="center" shrinkToFit="1"/>
    </xf>
    <xf numFmtId="2" fontId="20" fillId="0" borderId="0" xfId="0" applyNumberFormat="1" applyFont="1" applyFill="1" applyAlignment="1"/>
    <xf numFmtId="2" fontId="114" fillId="0" borderId="0" xfId="0" applyNumberFormat="1" applyFont="1" applyFill="1" applyBorder="1" applyAlignment="1"/>
    <xf numFmtId="0" fontId="114" fillId="0" borderId="0" xfId="0" applyFont="1" applyFill="1" applyBorder="1" applyAlignment="1"/>
    <xf numFmtId="0" fontId="114" fillId="0" borderId="0" xfId="0" applyFont="1" applyFill="1" applyBorder="1" applyAlignment="1">
      <alignment horizontal="center"/>
    </xf>
    <xf numFmtId="0" fontId="114" fillId="0" borderId="0" xfId="0" applyFont="1" applyFill="1" applyBorder="1" applyAlignment="1">
      <alignment wrapText="1"/>
    </xf>
    <xf numFmtId="2" fontId="114" fillId="0" borderId="0" xfId="0" applyNumberFormat="1" applyFont="1" applyFill="1" applyBorder="1" applyAlignment="1">
      <alignment shrinkToFit="1"/>
    </xf>
    <xf numFmtId="0" fontId="15" fillId="5" borderId="0" xfId="0" applyFont="1" applyFill="1"/>
    <xf numFmtId="0" fontId="15" fillId="2" borderId="0" xfId="0" applyFont="1" applyFill="1" applyAlignment="1">
      <alignment horizontal="right"/>
    </xf>
    <xf numFmtId="0" fontId="15" fillId="2" borderId="0" xfId="0" applyFont="1" applyFill="1" applyAlignment="1">
      <alignment horizontal="left"/>
    </xf>
    <xf numFmtId="0" fontId="14" fillId="2" borderId="0" xfId="562" applyFont="1" applyFill="1" applyAlignment="1">
      <alignment horizontal="center"/>
    </xf>
    <xf numFmtId="0" fontId="14" fillId="2" borderId="37" xfId="0" applyFont="1" applyFill="1" applyBorder="1" applyAlignment="1">
      <alignment horizontal="center" vertical="center"/>
    </xf>
    <xf numFmtId="0" fontId="14" fillId="2" borderId="37" xfId="0" applyFont="1" applyFill="1" applyBorder="1" applyAlignment="1">
      <alignment horizontal="left" vertical="center"/>
    </xf>
    <xf numFmtId="0" fontId="14" fillId="2" borderId="37" xfId="0" applyFont="1" applyFill="1" applyBorder="1" applyAlignment="1">
      <alignment horizontal="center" vertical="center" wrapText="1"/>
    </xf>
    <xf numFmtId="0" fontId="14" fillId="2" borderId="38" xfId="562" applyFont="1" applyFill="1" applyBorder="1" applyAlignment="1">
      <alignment vertical="center"/>
    </xf>
    <xf numFmtId="0" fontId="14" fillId="2" borderId="18" xfId="562" applyFont="1" applyFill="1" applyBorder="1" applyAlignment="1">
      <alignment horizontal="left" vertical="center"/>
    </xf>
    <xf numFmtId="0" fontId="14" fillId="2" borderId="18" xfId="562" applyFont="1" applyFill="1" applyBorder="1" applyAlignment="1">
      <alignment horizontal="center" vertical="center"/>
    </xf>
    <xf numFmtId="0" fontId="14" fillId="2" borderId="18" xfId="0" applyFont="1" applyFill="1" applyBorder="1" applyAlignment="1">
      <alignment horizontal="center" vertical="center"/>
    </xf>
    <xf numFmtId="0" fontId="14" fillId="2" borderId="18" xfId="0" applyFont="1" applyFill="1" applyBorder="1" applyAlignment="1">
      <alignment horizontal="right"/>
    </xf>
    <xf numFmtId="0" fontId="14" fillId="2" borderId="18" xfId="0" applyFont="1" applyFill="1" applyBorder="1" applyAlignment="1">
      <alignment horizontal="left"/>
    </xf>
    <xf numFmtId="0" fontId="15" fillId="2" borderId="18" xfId="0" applyFont="1" applyFill="1" applyBorder="1" applyAlignment="1">
      <alignment horizontal="center"/>
    </xf>
    <xf numFmtId="3" fontId="15" fillId="2" borderId="18" xfId="0" applyNumberFormat="1" applyFont="1" applyFill="1" applyBorder="1" applyAlignment="1">
      <alignment horizontal="center"/>
    </xf>
    <xf numFmtId="0" fontId="15" fillId="2" borderId="18" xfId="0" applyFont="1" applyFill="1" applyBorder="1" applyAlignment="1">
      <alignment horizontal="center" vertical="center"/>
    </xf>
    <xf numFmtId="242" fontId="15" fillId="2" borderId="18" xfId="0" applyNumberFormat="1" applyFont="1" applyFill="1" applyBorder="1" applyAlignment="1">
      <alignment horizontal="right"/>
    </xf>
    <xf numFmtId="14" fontId="15" fillId="2" borderId="18" xfId="0" applyNumberFormat="1" applyFont="1" applyFill="1" applyBorder="1" applyAlignment="1">
      <alignment horizontal="right"/>
    </xf>
    <xf numFmtId="0" fontId="15" fillId="2" borderId="18" xfId="0" applyFont="1" applyFill="1" applyBorder="1"/>
    <xf numFmtId="0" fontId="15" fillId="2" borderId="18" xfId="562" applyFont="1" applyFill="1" applyBorder="1" applyAlignment="1">
      <alignment horizontal="left" vertical="center" shrinkToFit="1"/>
    </xf>
    <xf numFmtId="0" fontId="15" fillId="2" borderId="18" xfId="562" applyFont="1" applyFill="1" applyBorder="1" applyAlignment="1">
      <alignment horizontal="center" vertical="center"/>
    </xf>
    <xf numFmtId="0" fontId="15" fillId="5" borderId="18" xfId="562" applyFont="1" applyFill="1" applyBorder="1" applyAlignment="1">
      <alignment horizontal="center" vertical="center"/>
    </xf>
    <xf numFmtId="0" fontId="15" fillId="5" borderId="18" xfId="0" applyFont="1" applyFill="1" applyBorder="1"/>
    <xf numFmtId="0" fontId="15" fillId="5" borderId="18" xfId="0" applyFont="1" applyFill="1" applyBorder="1" applyAlignment="1">
      <alignment horizontal="center" vertical="center"/>
    </xf>
    <xf numFmtId="0" fontId="15" fillId="5" borderId="18" xfId="0" applyFont="1" applyFill="1" applyBorder="1" applyAlignment="1">
      <alignment horizontal="right"/>
    </xf>
    <xf numFmtId="0" fontId="15" fillId="5" borderId="18" xfId="0" applyFont="1" applyFill="1" applyBorder="1" applyAlignment="1">
      <alignment horizontal="left"/>
    </xf>
    <xf numFmtId="0" fontId="15" fillId="5" borderId="18" xfId="0" applyFont="1" applyFill="1" applyBorder="1" applyAlignment="1">
      <alignment horizontal="center"/>
    </xf>
    <xf numFmtId="14" fontId="15" fillId="5" borderId="18" xfId="0" applyNumberFormat="1" applyFont="1" applyFill="1" applyBorder="1" applyAlignment="1">
      <alignment horizontal="right"/>
    </xf>
    <xf numFmtId="0" fontId="14" fillId="2" borderId="18" xfId="0" applyFont="1" applyFill="1" applyBorder="1" applyAlignment="1">
      <alignment horizontal="center"/>
    </xf>
    <xf numFmtId="3" fontId="14" fillId="2" borderId="18" xfId="0" applyNumberFormat="1" applyFont="1" applyFill="1" applyBorder="1" applyAlignment="1">
      <alignment horizontal="center"/>
    </xf>
    <xf numFmtId="0" fontId="14" fillId="2" borderId="18" xfId="0" applyFont="1" applyFill="1" applyBorder="1"/>
    <xf numFmtId="14" fontId="14" fillId="2" borderId="18" xfId="0" applyNumberFormat="1" applyFont="1" applyFill="1" applyBorder="1" applyAlignment="1">
      <alignment horizontal="right"/>
    </xf>
    <xf numFmtId="0" fontId="7" fillId="2" borderId="25" xfId="533" applyFont="1" applyFill="1" applyBorder="1" applyAlignment="1">
      <alignment horizontal="center" vertical="center"/>
    </xf>
    <xf numFmtId="242" fontId="7" fillId="2" borderId="25" xfId="0" applyNumberFormat="1" applyFont="1" applyFill="1" applyBorder="1" applyAlignment="1">
      <alignment horizontal="right" vertical="center"/>
    </xf>
    <xf numFmtId="0" fontId="7" fillId="2" borderId="25" xfId="533" applyFont="1" applyFill="1" applyBorder="1" applyAlignment="1">
      <alignment horizontal="left" vertical="center"/>
    </xf>
    <xf numFmtId="0" fontId="15" fillId="2" borderId="18" xfId="0" applyFont="1" applyFill="1" applyBorder="1" applyAlignment="1">
      <alignment horizontal="right"/>
    </xf>
    <xf numFmtId="242" fontId="14" fillId="2" borderId="18" xfId="0" applyNumberFormat="1" applyFont="1" applyFill="1" applyBorder="1" applyAlignment="1">
      <alignment horizontal="right"/>
    </xf>
    <xf numFmtId="0" fontId="7" fillId="2" borderId="25" xfId="533" applyFont="1" applyFill="1" applyBorder="1" applyAlignment="1">
      <alignment horizontal="right" vertical="center"/>
    </xf>
    <xf numFmtId="3" fontId="15" fillId="2" borderId="0" xfId="0" applyNumberFormat="1" applyFont="1" applyFill="1" applyAlignment="1">
      <alignment horizontal="center"/>
    </xf>
    <xf numFmtId="0" fontId="7" fillId="2" borderId="0" xfId="533" applyFont="1" applyFill="1" applyAlignment="1">
      <alignment horizontal="center" vertical="center"/>
    </xf>
    <xf numFmtId="0" fontId="121" fillId="2" borderId="0" xfId="562" applyFont="1" applyFill="1" applyAlignment="1">
      <alignment horizontal="left"/>
    </xf>
    <xf numFmtId="14" fontId="15" fillId="2" borderId="0" xfId="0" applyNumberFormat="1" applyFont="1" applyFill="1"/>
    <xf numFmtId="221" fontId="39" fillId="2" borderId="4" xfId="132" applyNumberFormat="1" applyFont="1" applyFill="1" applyBorder="1" applyAlignment="1">
      <alignment horizontal="center" vertical="center" wrapText="1"/>
    </xf>
    <xf numFmtId="221" fontId="29" fillId="2" borderId="4" xfId="562" applyNumberFormat="1" applyFont="1" applyFill="1" applyBorder="1" applyAlignment="1">
      <alignment horizontal="center" vertical="center"/>
    </xf>
    <xf numFmtId="221" fontId="29" fillId="2" borderId="4" xfId="93" applyNumberFormat="1" applyFont="1" applyFill="1" applyBorder="1" applyAlignment="1">
      <alignment horizontal="center" vertical="center"/>
    </xf>
    <xf numFmtId="10" fontId="29" fillId="2" borderId="0" xfId="2" applyNumberFormat="1" applyFont="1" applyFill="1"/>
    <xf numFmtId="221" fontId="29" fillId="2" borderId="4" xfId="0" applyNumberFormat="1" applyFont="1" applyFill="1" applyBorder="1" applyAlignment="1">
      <alignment horizontal="right" vertical="center"/>
    </xf>
    <xf numFmtId="3" fontId="29" fillId="2" borderId="4" xfId="0" applyNumberFormat="1" applyFont="1" applyFill="1" applyBorder="1" applyAlignment="1">
      <alignment horizontal="right" vertical="center"/>
    </xf>
    <xf numFmtId="1" fontId="29" fillId="2" borderId="0" xfId="0" applyNumberFormat="1" applyFont="1" applyFill="1"/>
    <xf numFmtId="0" fontId="29" fillId="2" borderId="4" xfId="0" applyFont="1" applyFill="1" applyBorder="1" applyAlignment="1">
      <alignment vertical="center"/>
    </xf>
    <xf numFmtId="221" fontId="84" fillId="2" borderId="4" xfId="93" applyNumberFormat="1" applyFont="1" applyFill="1" applyBorder="1" applyAlignment="1">
      <alignment horizontal="center" vertical="center"/>
    </xf>
    <xf numFmtId="221" fontId="122" fillId="2" borderId="4" xfId="93" applyNumberFormat="1" applyFont="1" applyFill="1" applyBorder="1" applyAlignment="1">
      <alignment vertical="center"/>
    </xf>
    <xf numFmtId="0" fontId="29" fillId="2" borderId="4" xfId="562" applyFont="1" applyFill="1" applyBorder="1" applyAlignment="1">
      <alignment horizontal="left" vertical="center" shrinkToFit="1"/>
    </xf>
    <xf numFmtId="221" fontId="39" fillId="2" borderId="4" xfId="562" applyNumberFormat="1" applyFont="1" applyFill="1" applyBorder="1" applyAlignment="1">
      <alignment horizontal="center" vertical="center"/>
    </xf>
    <xf numFmtId="0" fontId="29" fillId="2" borderId="4" xfId="253" applyFont="1" applyFill="1" applyBorder="1"/>
    <xf numFmtId="221" fontId="29" fillId="2" borderId="4" xfId="0" applyNumberFormat="1" applyFont="1" applyFill="1" applyBorder="1" applyAlignment="1">
      <alignment horizontal="center" vertical="center"/>
    </xf>
    <xf numFmtId="221" fontId="123" fillId="2" borderId="4" xfId="132" applyNumberFormat="1" applyFont="1" applyFill="1" applyBorder="1" applyAlignment="1">
      <alignment horizontal="right" wrapText="1"/>
    </xf>
    <xf numFmtId="0" fontId="123" fillId="2" borderId="0" xfId="562" applyFont="1" applyFill="1" applyAlignment="1">
      <alignment horizontal="center"/>
    </xf>
    <xf numFmtId="3" fontId="123" fillId="2" borderId="0" xfId="132" applyNumberFormat="1" applyFont="1" applyFill="1" applyBorder="1" applyAlignment="1">
      <alignment horizontal="right" wrapText="1"/>
    </xf>
    <xf numFmtId="3" fontId="123" fillId="2" borderId="31" xfId="132" applyNumberFormat="1" applyFont="1" applyFill="1" applyBorder="1" applyAlignment="1">
      <alignment horizontal="right" wrapText="1"/>
    </xf>
    <xf numFmtId="3" fontId="123" fillId="2" borderId="4" xfId="132" applyNumberFormat="1" applyFont="1" applyFill="1" applyBorder="1" applyAlignment="1">
      <alignment horizontal="right" wrapText="1"/>
    </xf>
    <xf numFmtId="221" fontId="123" fillId="2" borderId="31" xfId="132" applyNumberFormat="1" applyFont="1" applyFill="1" applyBorder="1" applyAlignment="1">
      <alignment horizontal="right" wrapText="1"/>
    </xf>
    <xf numFmtId="0" fontId="29" fillId="2" borderId="0" xfId="493" applyFont="1" applyFill="1"/>
    <xf numFmtId="0" fontId="39" fillId="2" borderId="0" xfId="493" applyFont="1" applyFill="1"/>
    <xf numFmtId="0" fontId="109" fillId="2" borderId="0" xfId="493" applyFont="1" applyFill="1"/>
    <xf numFmtId="0" fontId="22" fillId="2" borderId="0" xfId="493" applyFont="1" applyFill="1"/>
    <xf numFmtId="0" fontId="23" fillId="2" borderId="0" xfId="493" applyFont="1" applyFill="1"/>
    <xf numFmtId="0" fontId="36" fillId="2" borderId="0" xfId="493" applyFont="1" applyFill="1"/>
    <xf numFmtId="0" fontId="15" fillId="2" borderId="0" xfId="493" applyFont="1" applyFill="1"/>
    <xf numFmtId="0" fontId="39" fillId="2" borderId="4" xfId="563" applyFont="1" applyFill="1" applyBorder="1" applyAlignment="1">
      <alignment horizontal="center" vertical="center"/>
    </xf>
    <xf numFmtId="0" fontId="39" fillId="2" borderId="4" xfId="563" applyFont="1" applyFill="1" applyBorder="1" applyAlignment="1">
      <alignment vertical="center"/>
    </xf>
    <xf numFmtId="0" fontId="29" fillId="2" borderId="4" xfId="563" applyFont="1" applyFill="1" applyBorder="1" applyAlignment="1">
      <alignment horizontal="center" vertical="center"/>
    </xf>
    <xf numFmtId="0" fontId="29" fillId="2" borderId="4" xfId="493" applyFont="1" applyFill="1" applyBorder="1"/>
    <xf numFmtId="0" fontId="29" fillId="2" borderId="4" xfId="256" applyFont="1" applyFill="1" applyBorder="1"/>
    <xf numFmtId="0" fontId="29" fillId="2" borderId="4" xfId="493" applyFont="1" applyFill="1" applyBorder="1" applyAlignment="1">
      <alignment horizontal="center" vertical="center"/>
    </xf>
    <xf numFmtId="0" fontId="123" fillId="2" borderId="0" xfId="563" applyFont="1" applyFill="1" applyAlignment="1">
      <alignment horizontal="center"/>
    </xf>
    <xf numFmtId="0" fontId="36" fillId="2" borderId="0" xfId="563" applyFont="1" applyFill="1"/>
    <xf numFmtId="0" fontId="20" fillId="2" borderId="0" xfId="563" applyFont="1" applyFill="1" applyAlignment="1">
      <alignment horizontal="left"/>
    </xf>
    <xf numFmtId="0" fontId="20" fillId="2" borderId="0" xfId="563" applyFont="1" applyFill="1" applyAlignment="1">
      <alignment horizontal="center"/>
    </xf>
    <xf numFmtId="0" fontId="36" fillId="2" borderId="0" xfId="563" applyFont="1" applyFill="1" applyAlignment="1">
      <alignment horizontal="center"/>
    </xf>
    <xf numFmtId="0" fontId="22" fillId="2" borderId="0" xfId="563" applyFont="1" applyFill="1"/>
    <xf numFmtId="0" fontId="58" fillId="2" borderId="0" xfId="563" applyFont="1" applyFill="1"/>
    <xf numFmtId="0" fontId="20" fillId="2" borderId="0" xfId="563" applyFont="1" applyFill="1"/>
    <xf numFmtId="0" fontId="29" fillId="2" borderId="0" xfId="563" applyFont="1" applyFill="1"/>
    <xf numFmtId="0" fontId="29" fillId="2" borderId="0" xfId="563" applyFont="1" applyFill="1" applyAlignment="1">
      <alignment horizontal="center"/>
    </xf>
    <xf numFmtId="0" fontId="60" fillId="2" borderId="0" xfId="563" applyFont="1" applyFill="1"/>
    <xf numFmtId="0" fontId="30" fillId="2" borderId="0" xfId="563" applyFont="1" applyFill="1"/>
    <xf numFmtId="0" fontId="107" fillId="2" borderId="0" xfId="563" applyFont="1" applyFill="1" applyAlignment="1">
      <alignment horizontal="center"/>
    </xf>
    <xf numFmtId="3" fontId="29" fillId="2" borderId="0" xfId="563" applyNumberFormat="1" applyFont="1" applyFill="1" applyAlignment="1">
      <alignment horizontal="center"/>
    </xf>
    <xf numFmtId="0" fontId="107" fillId="2" borderId="0" xfId="563" applyFont="1" applyFill="1"/>
    <xf numFmtId="3" fontId="36" fillId="2" borderId="0" xfId="563" applyNumberFormat="1" applyFont="1" applyFill="1" applyAlignment="1">
      <alignment horizontal="center"/>
    </xf>
    <xf numFmtId="0" fontId="21" fillId="2" borderId="0" xfId="563" applyFont="1" applyFill="1"/>
    <xf numFmtId="3" fontId="29" fillId="2" borderId="4" xfId="94" applyNumberFormat="1" applyFont="1" applyFill="1" applyBorder="1" applyAlignment="1">
      <alignment horizontal="center" vertical="center"/>
    </xf>
    <xf numFmtId="3" fontId="29" fillId="2" borderId="4" xfId="563" applyNumberFormat="1" applyFont="1" applyFill="1" applyBorder="1" applyAlignment="1">
      <alignment horizontal="center" vertical="center"/>
    </xf>
    <xf numFmtId="0" fontId="108" fillId="2" borderId="0" xfId="563" applyFont="1" applyFill="1" applyAlignment="1">
      <alignment horizontal="center"/>
    </xf>
    <xf numFmtId="1" fontId="39" fillId="2" borderId="6" xfId="563" applyNumberFormat="1" applyFont="1" applyFill="1" applyBorder="1" applyAlignment="1">
      <alignment horizontal="center" vertical="center"/>
    </xf>
    <xf numFmtId="1" fontId="39" fillId="2" borderId="6" xfId="563" applyNumberFormat="1" applyFont="1" applyFill="1" applyBorder="1" applyAlignment="1">
      <alignment horizontal="center" vertical="center" wrapText="1"/>
    </xf>
    <xf numFmtId="4" fontId="39" fillId="2" borderId="4" xfId="132" applyNumberFormat="1" applyFont="1" applyFill="1" applyBorder="1" applyAlignment="1">
      <alignment horizontal="center" vertical="center" wrapText="1"/>
    </xf>
    <xf numFmtId="3" fontId="39" fillId="2" borderId="0" xfId="493" applyNumberFormat="1" applyFont="1" applyFill="1"/>
    <xf numFmtId="3" fontId="29" fillId="2" borderId="4" xfId="132" applyNumberFormat="1" applyFont="1" applyFill="1" applyBorder="1" applyAlignment="1">
      <alignment horizontal="center" vertical="center" wrapText="1"/>
    </xf>
    <xf numFmtId="4" fontId="29" fillId="2" borderId="4" xfId="493" applyNumberFormat="1" applyFont="1" applyFill="1" applyBorder="1" applyAlignment="1">
      <alignment horizontal="right" vertical="center"/>
    </xf>
    <xf numFmtId="3" fontId="29" fillId="2" borderId="4" xfId="493" applyNumberFormat="1" applyFont="1" applyFill="1" applyBorder="1" applyAlignment="1">
      <alignment horizontal="right" vertical="center"/>
    </xf>
    <xf numFmtId="3" fontId="29" fillId="2" borderId="0" xfId="493" applyNumberFormat="1" applyFont="1" applyFill="1"/>
    <xf numFmtId="4" fontId="39" fillId="2" borderId="4" xfId="563" applyNumberFormat="1" applyFont="1" applyFill="1" applyBorder="1" applyAlignment="1">
      <alignment horizontal="center" vertical="center"/>
    </xf>
    <xf numFmtId="3" fontId="123" fillId="2" borderId="4" xfId="132" applyNumberFormat="1" applyFont="1" applyFill="1" applyBorder="1" applyAlignment="1">
      <alignment horizontal="center" wrapText="1"/>
    </xf>
    <xf numFmtId="4" fontId="109" fillId="2" borderId="0" xfId="493" applyNumberFormat="1" applyFont="1" applyFill="1"/>
    <xf numFmtId="1" fontId="109" fillId="2" borderId="0" xfId="493" applyNumberFormat="1" applyFont="1" applyFill="1"/>
    <xf numFmtId="1" fontId="15" fillId="2" borderId="0" xfId="493" applyNumberFormat="1" applyFont="1" applyFill="1"/>
    <xf numFmtId="0" fontId="15" fillId="2" borderId="0" xfId="563" applyFont="1" applyFill="1"/>
    <xf numFmtId="0" fontId="31" fillId="2" borderId="0" xfId="562" applyFont="1" applyFill="1"/>
    <xf numFmtId="3" fontId="29" fillId="2" borderId="4" xfId="132" applyNumberFormat="1" applyFont="1" applyFill="1" applyBorder="1" applyAlignment="1">
      <alignment horizontal="right" vertical="center" wrapText="1"/>
    </xf>
    <xf numFmtId="0" fontId="8" fillId="2" borderId="4" xfId="253" applyFont="1" applyFill="1" applyBorder="1"/>
    <xf numFmtId="0" fontId="8" fillId="2" borderId="39" xfId="0" applyFont="1" applyFill="1" applyBorder="1" applyAlignment="1">
      <alignment vertical="center"/>
    </xf>
    <xf numFmtId="0" fontId="39" fillId="2" borderId="4" xfId="0" applyFont="1" applyFill="1" applyBorder="1" applyAlignment="1">
      <alignment horizontal="center" vertical="center"/>
    </xf>
    <xf numFmtId="0" fontId="68" fillId="2" borderId="4" xfId="0" applyFont="1" applyFill="1" applyBorder="1" applyAlignment="1">
      <alignment horizontal="center" vertical="center" wrapText="1"/>
    </xf>
    <xf numFmtId="0" fontId="68" fillId="2" borderId="4" xfId="0" applyFont="1" applyFill="1" applyBorder="1" applyAlignment="1">
      <alignment horizontal="center" vertical="distributed" wrapText="1"/>
    </xf>
    <xf numFmtId="0" fontId="68" fillId="2" borderId="4" xfId="0" applyFont="1" applyFill="1" applyBorder="1" applyAlignment="1">
      <alignment horizontal="right" vertical="center" wrapText="1"/>
    </xf>
    <xf numFmtId="1" fontId="29" fillId="2" borderId="4" xfId="0" applyNumberFormat="1" applyFont="1" applyFill="1" applyBorder="1" applyAlignment="1">
      <alignment horizontal="center" vertical="center" wrapText="1"/>
    </xf>
    <xf numFmtId="3" fontId="29" fillId="2" borderId="4" xfId="0" applyNumberFormat="1" applyFont="1" applyFill="1" applyBorder="1" applyAlignment="1">
      <alignment horizontal="center" vertical="center"/>
    </xf>
    <xf numFmtId="0" fontId="124" fillId="2" borderId="4" xfId="0" applyFont="1" applyFill="1" applyBorder="1" applyAlignment="1">
      <alignment horizontal="left" vertical="center"/>
    </xf>
    <xf numFmtId="3" fontId="29" fillId="2" borderId="4" xfId="0" applyNumberFormat="1" applyFont="1" applyFill="1" applyBorder="1" applyAlignment="1">
      <alignment horizontal="left" vertical="center"/>
    </xf>
    <xf numFmtId="3" fontId="29" fillId="2" borderId="4" xfId="93" applyNumberFormat="1" applyFont="1" applyFill="1" applyBorder="1" applyAlignment="1">
      <alignment horizontal="right" vertical="center"/>
    </xf>
    <xf numFmtId="0" fontId="68" fillId="2" borderId="4" xfId="0" applyFont="1" applyFill="1" applyBorder="1" applyAlignment="1">
      <alignment vertical="center" wrapText="1"/>
    </xf>
    <xf numFmtId="0" fontId="125" fillId="2" borderId="4" xfId="0" applyFont="1" applyFill="1" applyBorder="1" applyAlignment="1">
      <alignment horizontal="center" vertical="center"/>
    </xf>
    <xf numFmtId="0" fontId="39" fillId="2" borderId="4" xfId="0" applyFont="1" applyFill="1" applyBorder="1" applyAlignment="1">
      <alignment vertical="center"/>
    </xf>
    <xf numFmtId="215" fontId="39" fillId="2" borderId="4" xfId="0" applyNumberFormat="1" applyFont="1" applyFill="1" applyBorder="1" applyAlignment="1">
      <alignment horizontal="left" vertical="center"/>
    </xf>
    <xf numFmtId="1" fontId="8" fillId="2" borderId="0" xfId="0" applyNumberFormat="1" applyFont="1" applyFill="1" applyAlignment="1">
      <alignment vertical="center"/>
    </xf>
    <xf numFmtId="3" fontId="39" fillId="2" borderId="4" xfId="93" applyNumberFormat="1" applyFont="1" applyFill="1" applyBorder="1" applyAlignment="1">
      <alignment horizontal="right" vertical="center"/>
    </xf>
    <xf numFmtId="0" fontId="29" fillId="2" borderId="4" xfId="0" applyFont="1" applyFill="1" applyBorder="1" applyAlignment="1">
      <alignment horizontal="center" vertical="center"/>
    </xf>
    <xf numFmtId="3" fontId="39" fillId="2" borderId="4" xfId="93" applyNumberFormat="1" applyFont="1" applyFill="1" applyBorder="1" applyAlignment="1">
      <alignment horizontal="left" vertical="center"/>
    </xf>
    <xf numFmtId="1" fontId="124" fillId="2" borderId="4" xfId="0" applyNumberFormat="1" applyFont="1" applyFill="1" applyBorder="1" applyAlignment="1">
      <alignment horizontal="left" vertical="center" shrinkToFit="1"/>
    </xf>
    <xf numFmtId="0" fontId="29" fillId="2" borderId="4" xfId="562" applyFont="1" applyFill="1" applyBorder="1" applyAlignment="1" applyProtection="1">
      <alignment vertical="center"/>
      <protection locked="0"/>
    </xf>
    <xf numFmtId="1" fontId="29" fillId="2" borderId="3" xfId="0" applyNumberFormat="1" applyFont="1" applyFill="1" applyBorder="1" applyAlignment="1">
      <alignment horizontal="center" vertical="center" wrapText="1"/>
    </xf>
    <xf numFmtId="0" fontId="29" fillId="2" borderId="4" xfId="555" applyFont="1" applyFill="1" applyBorder="1" applyAlignment="1">
      <alignment horizontal="left" vertical="center"/>
    </xf>
    <xf numFmtId="0" fontId="8" fillId="2" borderId="40" xfId="0" applyFont="1" applyFill="1" applyBorder="1" applyAlignment="1">
      <alignment vertical="center"/>
    </xf>
    <xf numFmtId="0" fontId="92" fillId="2" borderId="4" xfId="0" applyFont="1" applyFill="1" applyBorder="1" applyAlignment="1">
      <alignment horizontal="left" vertical="center"/>
    </xf>
    <xf numFmtId="4" fontId="29" fillId="2" borderId="4" xfId="93" applyNumberFormat="1" applyFont="1" applyFill="1" applyBorder="1" applyAlignment="1">
      <alignment horizontal="right" vertical="center"/>
    </xf>
    <xf numFmtId="0" fontId="39" fillId="2" borderId="4" xfId="0" applyFont="1" applyFill="1" applyBorder="1" applyAlignment="1">
      <alignment horizontal="left" vertical="center"/>
    </xf>
    <xf numFmtId="4" fontId="39" fillId="2" borderId="4" xfId="93" applyNumberFormat="1" applyFont="1" applyFill="1" applyBorder="1" applyAlignment="1">
      <alignment horizontal="right" vertical="center"/>
    </xf>
    <xf numFmtId="0" fontId="126" fillId="2" borderId="4" xfId="0" applyFont="1" applyFill="1" applyBorder="1"/>
    <xf numFmtId="0" fontId="29" fillId="2" borderId="4" xfId="0" applyFont="1" applyFill="1" applyBorder="1" applyAlignment="1">
      <alignment horizontal="left" vertical="center" wrapText="1"/>
    </xf>
    <xf numFmtId="3" fontId="122" fillId="2" borderId="4" xfId="93" applyNumberFormat="1" applyFont="1" applyFill="1" applyBorder="1" applyAlignment="1">
      <alignment vertical="center"/>
    </xf>
    <xf numFmtId="0" fontId="127" fillId="2" borderId="4" xfId="0" applyFont="1" applyFill="1" applyBorder="1" applyAlignment="1">
      <alignment horizontal="left" vertical="center"/>
    </xf>
    <xf numFmtId="3" fontId="127" fillId="2" borderId="4" xfId="93" applyNumberFormat="1" applyFont="1" applyFill="1" applyBorder="1" applyAlignment="1">
      <alignment horizontal="right" vertical="center"/>
    </xf>
    <xf numFmtId="4" fontId="127" fillId="2" borderId="4" xfId="93" applyNumberFormat="1" applyFont="1" applyFill="1" applyBorder="1" applyAlignment="1">
      <alignment horizontal="right" vertical="center"/>
    </xf>
    <xf numFmtId="0" fontId="127" fillId="2" borderId="4" xfId="0" applyFont="1" applyFill="1" applyBorder="1" applyAlignment="1">
      <alignment vertical="center"/>
    </xf>
    <xf numFmtId="0" fontId="128" fillId="2" borderId="4" xfId="0" applyFont="1" applyFill="1" applyBorder="1" applyAlignment="1">
      <alignment horizontal="left" vertical="center"/>
    </xf>
    <xf numFmtId="3" fontId="128" fillId="2" borderId="4" xfId="93" applyNumberFormat="1" applyFont="1" applyFill="1" applyBorder="1" applyAlignment="1">
      <alignment horizontal="right" vertical="center"/>
    </xf>
    <xf numFmtId="43" fontId="15" fillId="2" borderId="0" xfId="93" applyFont="1" applyFill="1" applyAlignment="1">
      <alignment horizontal="center" vertical="center"/>
    </xf>
    <xf numFmtId="3" fontId="128" fillId="2" borderId="4" xfId="0" applyNumberFormat="1" applyFont="1" applyFill="1" applyBorder="1" applyAlignment="1">
      <alignment horizontal="left" vertical="center"/>
    </xf>
    <xf numFmtId="41" fontId="23" fillId="2" borderId="0" xfId="0" applyNumberFormat="1" applyFont="1" applyFill="1" applyAlignment="1">
      <alignment vertical="center"/>
    </xf>
    <xf numFmtId="41" fontId="80" fillId="2" borderId="0" xfId="0" applyNumberFormat="1" applyFont="1" applyFill="1" applyAlignment="1">
      <alignment vertical="center"/>
    </xf>
    <xf numFmtId="41" fontId="79" fillId="2" borderId="0" xfId="0" applyNumberFormat="1" applyFont="1" applyFill="1" applyAlignment="1">
      <alignment vertical="center"/>
    </xf>
    <xf numFmtId="41" fontId="129" fillId="2" borderId="0" xfId="0" applyNumberFormat="1" applyFont="1" applyFill="1" applyAlignment="1">
      <alignment vertical="center"/>
    </xf>
    <xf numFmtId="3" fontId="80" fillId="2" borderId="0" xfId="0" applyNumberFormat="1" applyFont="1" applyFill="1" applyAlignment="1">
      <alignment vertical="center"/>
    </xf>
    <xf numFmtId="3" fontId="80" fillId="2" borderId="0" xfId="0" applyNumberFormat="1" applyFont="1" applyFill="1" applyAlignment="1">
      <alignment horizontal="right" vertical="center"/>
    </xf>
    <xf numFmtId="216" fontId="17" fillId="2" borderId="0" xfId="93" applyNumberFormat="1" applyFont="1" applyFill="1" applyAlignment="1">
      <alignment vertical="center"/>
    </xf>
    <xf numFmtId="0" fontId="130" fillId="2" borderId="0" xfId="0" applyFont="1" applyFill="1"/>
    <xf numFmtId="187" fontId="20" fillId="2" borderId="0" xfId="0" applyNumberFormat="1" applyFont="1" applyFill="1"/>
    <xf numFmtId="187" fontId="131" fillId="2" borderId="0" xfId="112" applyNumberFormat="1" applyFont="1" applyFill="1" applyAlignment="1">
      <alignment horizontal="center"/>
    </xf>
    <xf numFmtId="187" fontId="13" fillId="2" borderId="0" xfId="0" applyNumberFormat="1" applyFont="1" applyFill="1"/>
    <xf numFmtId="187" fontId="13" fillId="2" borderId="0" xfId="0" applyNumberFormat="1" applyFont="1" applyFill="1" applyAlignment="1">
      <alignment horizontal="center"/>
    </xf>
    <xf numFmtId="187" fontId="25" fillId="2" borderId="0" xfId="0" applyNumberFormat="1" applyFont="1" applyFill="1" applyAlignment="1">
      <alignment horizontal="center"/>
    </xf>
    <xf numFmtId="187" fontId="25" fillId="2" borderId="4" xfId="0" applyNumberFormat="1" applyFont="1" applyFill="1" applyBorder="1" applyAlignment="1">
      <alignment horizontal="center" vertical="center" wrapText="1"/>
    </xf>
    <xf numFmtId="187" fontId="25" fillId="2" borderId="4" xfId="0" applyNumberFormat="1" applyFont="1" applyFill="1" applyBorder="1" applyAlignment="1">
      <alignment vertical="center" shrinkToFit="1"/>
    </xf>
    <xf numFmtId="187" fontId="25" fillId="2" borderId="29" xfId="0" applyNumberFormat="1" applyFont="1" applyFill="1" applyBorder="1" applyAlignment="1">
      <alignment horizontal="center" vertical="center" wrapText="1"/>
    </xf>
    <xf numFmtId="187" fontId="25" fillId="2" borderId="29" xfId="0" applyNumberFormat="1" applyFont="1" applyFill="1" applyBorder="1" applyAlignment="1">
      <alignment vertical="center" shrinkToFit="1"/>
    </xf>
    <xf numFmtId="187" fontId="20" fillId="2" borderId="4" xfId="0" applyNumberFormat="1" applyFont="1" applyFill="1" applyBorder="1" applyAlignment="1">
      <alignment vertical="center"/>
    </xf>
    <xf numFmtId="187" fontId="30" fillId="2" borderId="4" xfId="0" applyNumberFormat="1" applyFont="1" applyFill="1" applyBorder="1" applyAlignment="1">
      <alignment horizontal="center" vertical="center" shrinkToFit="1"/>
    </xf>
    <xf numFmtId="187" fontId="30" fillId="2" borderId="4" xfId="0" applyNumberFormat="1" applyFont="1" applyFill="1" applyBorder="1" applyAlignment="1">
      <alignment horizontal="left" vertical="center" shrinkToFit="1"/>
    </xf>
    <xf numFmtId="243" fontId="134" fillId="2" borderId="0" xfId="0" applyNumberFormat="1" applyFont="1" applyFill="1"/>
    <xf numFmtId="187" fontId="25" fillId="2" borderId="0" xfId="0" applyNumberFormat="1" applyFont="1" applyFill="1"/>
    <xf numFmtId="187" fontId="132" fillId="2" borderId="0" xfId="0" applyNumberFormat="1" applyFont="1" applyFill="1" applyAlignment="1">
      <alignment vertical="center" wrapText="1"/>
    </xf>
    <xf numFmtId="187" fontId="133" fillId="2" borderId="1" xfId="0" applyNumberFormat="1" applyFont="1" applyFill="1" applyBorder="1"/>
    <xf numFmtId="187" fontId="25" fillId="2" borderId="4" xfId="112" applyNumberFormat="1" applyFont="1" applyFill="1" applyBorder="1" applyAlignment="1">
      <alignment horizontal="right" vertical="center"/>
    </xf>
    <xf numFmtId="217" fontId="30" fillId="2" borderId="4" xfId="95" applyNumberFormat="1" applyFont="1" applyFill="1" applyBorder="1" applyAlignment="1">
      <alignment vertical="center" shrinkToFit="1"/>
    </xf>
    <xf numFmtId="187" fontId="30" fillId="2" borderId="4" xfId="112" applyNumberFormat="1" applyFont="1" applyFill="1" applyBorder="1" applyAlignment="1">
      <alignment horizontal="left" vertical="center"/>
    </xf>
    <xf numFmtId="220" fontId="0" fillId="2" borderId="0" xfId="0" applyNumberFormat="1" applyFill="1"/>
    <xf numFmtId="187" fontId="30" fillId="2" borderId="29" xfId="0" applyNumberFormat="1" applyFont="1" applyFill="1" applyBorder="1" applyAlignment="1">
      <alignment horizontal="left" vertical="center" shrinkToFit="1"/>
    </xf>
    <xf numFmtId="0" fontId="30" fillId="2" borderId="4" xfId="0" applyFont="1" applyFill="1" applyBorder="1" applyAlignment="1">
      <alignment horizontal="left"/>
    </xf>
    <xf numFmtId="187" fontId="25" fillId="2" borderId="4" xfId="112" applyNumberFormat="1" applyFont="1" applyFill="1" applyBorder="1" applyAlignment="1">
      <alignment horizontal="right" vertical="center" wrapText="1"/>
    </xf>
    <xf numFmtId="244" fontId="25" fillId="2" borderId="4" xfId="112" applyNumberFormat="1" applyFont="1" applyFill="1" applyBorder="1" applyAlignment="1">
      <alignment horizontal="right" vertical="center" wrapText="1"/>
    </xf>
    <xf numFmtId="187" fontId="25" fillId="2" borderId="4" xfId="0" applyNumberFormat="1" applyFont="1" applyFill="1" applyBorder="1" applyAlignment="1">
      <alignment horizontal="center" vertical="center"/>
    </xf>
    <xf numFmtId="187" fontId="25" fillId="2" borderId="0" xfId="0" applyNumberFormat="1" applyFont="1" applyFill="1" applyAlignment="1">
      <alignment vertical="center"/>
    </xf>
    <xf numFmtId="3" fontId="25" fillId="2" borderId="4" xfId="0" applyNumberFormat="1" applyFont="1" applyFill="1" applyBorder="1" applyAlignment="1">
      <alignment horizontal="center" vertical="center" shrinkToFit="1"/>
    </xf>
    <xf numFmtId="4" fontId="105" fillId="2" borderId="0" xfId="0" applyNumberFormat="1" applyFont="1" applyFill="1" applyAlignment="1">
      <alignment horizontal="center" vertical="center"/>
    </xf>
    <xf numFmtId="0" fontId="135" fillId="0" borderId="0" xfId="496"/>
    <xf numFmtId="187" fontId="20" fillId="0" borderId="0" xfId="496" applyNumberFormat="1" applyFont="1"/>
    <xf numFmtId="187" fontId="131" fillId="0" borderId="0" xfId="113" applyNumberFormat="1" applyFont="1" applyFill="1" applyAlignment="1">
      <alignment horizontal="center"/>
    </xf>
    <xf numFmtId="187" fontId="13" fillId="0" borderId="0" xfId="496" applyNumberFormat="1" applyFont="1"/>
    <xf numFmtId="187" fontId="25" fillId="0" borderId="0" xfId="496" applyNumberFormat="1" applyFont="1" applyAlignment="1">
      <alignment horizontal="center"/>
    </xf>
    <xf numFmtId="187" fontId="25" fillId="0" borderId="0" xfId="496" applyNumberFormat="1" applyFont="1"/>
    <xf numFmtId="187" fontId="25" fillId="0" borderId="4" xfId="496" applyNumberFormat="1" applyFont="1" applyBorder="1" applyAlignment="1">
      <alignment horizontal="center" vertical="center" wrapText="1"/>
    </xf>
    <xf numFmtId="187" fontId="25" fillId="0" borderId="4" xfId="496" applyNumberFormat="1" applyFont="1" applyBorder="1" applyAlignment="1">
      <alignment vertical="center" shrinkToFit="1"/>
    </xf>
    <xf numFmtId="187" fontId="25" fillId="0" borderId="4" xfId="113" applyNumberFormat="1" applyFont="1" applyFill="1" applyBorder="1" applyAlignment="1">
      <alignment horizontal="right" vertical="center"/>
    </xf>
    <xf numFmtId="187" fontId="20" fillId="0" borderId="4" xfId="496" applyNumberFormat="1" applyFont="1" applyBorder="1" applyAlignment="1">
      <alignment vertical="center"/>
    </xf>
    <xf numFmtId="187" fontId="30" fillId="0" borderId="4" xfId="496" applyNumberFormat="1" applyFont="1" applyBorder="1" applyAlignment="1">
      <alignment horizontal="center" vertical="center" shrinkToFit="1"/>
    </xf>
    <xf numFmtId="187" fontId="30" fillId="0" borderId="4" xfId="496" applyNumberFormat="1" applyFont="1" applyBorder="1" applyAlignment="1">
      <alignment horizontal="left" vertical="center" shrinkToFit="1"/>
    </xf>
    <xf numFmtId="0" fontId="30" fillId="0" borderId="4" xfId="496" applyFont="1" applyBorder="1" applyAlignment="1">
      <alignment vertical="center" wrapText="1"/>
    </xf>
    <xf numFmtId="217" fontId="30" fillId="0" borderId="4" xfId="102" applyNumberFormat="1" applyFont="1" applyFill="1" applyBorder="1" applyAlignment="1">
      <alignment vertical="center" shrinkToFit="1"/>
    </xf>
    <xf numFmtId="187" fontId="30" fillId="0" borderId="4" xfId="496" applyNumberFormat="1" applyFont="1" applyBorder="1" applyAlignment="1">
      <alignment horizontal="center" vertical="center" wrapText="1"/>
    </xf>
    <xf numFmtId="243" fontId="134" fillId="0" borderId="0" xfId="496" applyNumberFormat="1" applyFont="1"/>
    <xf numFmtId="187" fontId="133" fillId="0" borderId="1" xfId="496" applyNumberFormat="1" applyFont="1" applyBorder="1"/>
    <xf numFmtId="187" fontId="25" fillId="0" borderId="4" xfId="113" applyNumberFormat="1" applyFont="1" applyFill="1" applyBorder="1" applyAlignment="1">
      <alignment horizontal="center" vertical="center" wrapText="1"/>
    </xf>
    <xf numFmtId="187" fontId="30" fillId="0" borderId="4" xfId="113" applyNumberFormat="1" applyFont="1" applyFill="1" applyBorder="1" applyAlignment="1">
      <alignment horizontal="left" vertical="center"/>
    </xf>
    <xf numFmtId="220" fontId="135" fillId="0" borderId="0" xfId="496" applyNumberFormat="1"/>
    <xf numFmtId="187" fontId="25" fillId="0" borderId="4" xfId="113" applyNumberFormat="1" applyFont="1" applyFill="1" applyBorder="1" applyAlignment="1">
      <alignment horizontal="right" vertical="center" wrapText="1"/>
    </xf>
    <xf numFmtId="244" fontId="25" fillId="0" borderId="4" xfId="113" applyNumberFormat="1" applyFont="1" applyFill="1" applyBorder="1" applyAlignment="1">
      <alignment horizontal="right" vertical="center" wrapText="1"/>
    </xf>
    <xf numFmtId="0" fontId="30" fillId="0" borderId="4" xfId="496" applyFont="1" applyBorder="1" applyAlignment="1">
      <alignment horizontal="left"/>
    </xf>
    <xf numFmtId="0" fontId="30" fillId="2" borderId="4" xfId="496" applyFont="1" applyFill="1" applyBorder="1" applyAlignment="1">
      <alignment horizontal="left"/>
    </xf>
    <xf numFmtId="187" fontId="13" fillId="0" borderId="4" xfId="113" applyNumberFormat="1" applyFont="1" applyFill="1" applyBorder="1" applyAlignment="1">
      <alignment horizontal="right"/>
    </xf>
    <xf numFmtId="187" fontId="25" fillId="0" borderId="4" xfId="113" applyNumberFormat="1" applyFont="1" applyFill="1" applyBorder="1" applyAlignment="1">
      <alignment horizontal="right"/>
    </xf>
    <xf numFmtId="187" fontId="25" fillId="0" borderId="31" xfId="496" applyNumberFormat="1" applyFont="1" applyBorder="1" applyAlignment="1">
      <alignment horizontal="center" vertical="center"/>
    </xf>
    <xf numFmtId="14" fontId="25" fillId="2" borderId="6" xfId="0" quotePrefix="1" applyNumberFormat="1" applyFont="1" applyFill="1" applyBorder="1" applyAlignment="1">
      <alignment horizontal="center" vertical="center" shrinkToFit="1"/>
    </xf>
    <xf numFmtId="14" fontId="25" fillId="2" borderId="29" xfId="0" quotePrefix="1" applyNumberFormat="1" applyFont="1" applyFill="1" applyBorder="1" applyAlignment="1">
      <alignment horizontal="center" vertical="center" shrinkToFit="1"/>
    </xf>
    <xf numFmtId="3" fontId="29" fillId="2" borderId="4" xfId="0" quotePrefix="1" applyNumberFormat="1" applyFont="1" applyFill="1" applyBorder="1" applyAlignment="1">
      <alignment horizontal="center" vertical="center"/>
    </xf>
    <xf numFmtId="0" fontId="29" fillId="2" borderId="4" xfId="562" quotePrefix="1" applyFont="1" applyFill="1" applyBorder="1" applyAlignment="1">
      <alignment horizontal="center" vertical="center"/>
    </xf>
    <xf numFmtId="3" fontId="15" fillId="2" borderId="18" xfId="0" quotePrefix="1" applyNumberFormat="1" applyFont="1" applyFill="1" applyBorder="1" applyAlignment="1">
      <alignment horizontal="center"/>
    </xf>
    <xf numFmtId="3" fontId="15" fillId="5" borderId="18" xfId="0" quotePrefix="1" applyNumberFormat="1" applyFont="1" applyFill="1" applyBorder="1" applyAlignment="1">
      <alignment horizontal="center"/>
    </xf>
    <xf numFmtId="0" fontId="15" fillId="2" borderId="18" xfId="562" quotePrefix="1" applyFont="1" applyFill="1" applyBorder="1" applyAlignment="1">
      <alignment horizontal="center" vertical="center"/>
    </xf>
    <xf numFmtId="0" fontId="36" fillId="2" borderId="4" xfId="562" quotePrefix="1" applyFont="1" applyFill="1" applyBorder="1" applyAlignment="1">
      <alignment horizontal="center" vertical="center"/>
    </xf>
    <xf numFmtId="0" fontId="96" fillId="2" borderId="2" xfId="0" quotePrefix="1" applyFont="1" applyFill="1" applyBorder="1" applyAlignment="1">
      <alignment horizontal="left"/>
    </xf>
    <xf numFmtId="0" fontId="96" fillId="5" borderId="2" xfId="0" quotePrefix="1" applyFont="1" applyFill="1" applyBorder="1" applyAlignment="1">
      <alignment horizontal="left"/>
    </xf>
    <xf numFmtId="16" fontId="96" fillId="2" borderId="0" xfId="0" quotePrefix="1" applyNumberFormat="1" applyFont="1" applyFill="1" applyAlignment="1">
      <alignment horizontal="center"/>
    </xf>
    <xf numFmtId="3" fontId="30" fillId="2" borderId="4" xfId="0" quotePrefix="1" applyNumberFormat="1" applyFont="1" applyFill="1" applyBorder="1" applyAlignment="1">
      <alignment horizontal="center" vertical="center"/>
    </xf>
    <xf numFmtId="3" fontId="8" fillId="2" borderId="4" xfId="0" quotePrefix="1" applyNumberFormat="1" applyFont="1" applyFill="1" applyBorder="1" applyAlignment="1">
      <alignment horizontal="center" vertical="center"/>
    </xf>
    <xf numFmtId="43" fontId="1" fillId="2" borderId="4" xfId="1" quotePrefix="1" applyFont="1" applyFill="1" applyBorder="1" applyAlignment="1">
      <alignment horizontal="center" vertical="center"/>
    </xf>
    <xf numFmtId="43" fontId="5" fillId="2" borderId="4" xfId="1" quotePrefix="1" applyFont="1" applyFill="1" applyBorder="1" applyAlignment="1">
      <alignment horizontal="center" vertical="center"/>
    </xf>
    <xf numFmtId="235" fontId="1" fillId="2" borderId="4" xfId="1" quotePrefix="1" applyNumberFormat="1" applyFont="1" applyFill="1" applyBorder="1" applyAlignment="1">
      <alignment horizontal="center" vertical="center"/>
    </xf>
    <xf numFmtId="0" fontId="32" fillId="2" borderId="0" xfId="562" applyFont="1" applyFill="1" applyAlignment="1"/>
    <xf numFmtId="0" fontId="13" fillId="2" borderId="0" xfId="0" applyFont="1" applyFill="1" applyAlignment="1"/>
    <xf numFmtId="232" fontId="25" fillId="2" borderId="0" xfId="0" applyNumberFormat="1" applyFont="1" applyFill="1" applyAlignment="1"/>
    <xf numFmtId="0" fontId="13" fillId="2" borderId="0" xfId="562" applyFont="1" applyFill="1" applyAlignment="1"/>
    <xf numFmtId="0" fontId="222" fillId="2" borderId="0" xfId="562" applyFont="1" applyFill="1" applyAlignment="1"/>
    <xf numFmtId="0" fontId="38" fillId="2" borderId="0" xfId="562" applyFont="1" applyFill="1" applyAlignment="1"/>
    <xf numFmtId="3" fontId="30" fillId="2" borderId="54" xfId="0" quotePrefix="1" applyNumberFormat="1" applyFont="1" applyFill="1" applyBorder="1" applyAlignment="1">
      <alignment horizontal="center" vertical="center"/>
    </xf>
    <xf numFmtId="0" fontId="30" fillId="2" borderId="54" xfId="0" applyFont="1" applyFill="1" applyBorder="1" applyAlignment="1">
      <alignment horizontal="left" vertical="center"/>
    </xf>
    <xf numFmtId="217" fontId="30" fillId="2" borderId="54" xfId="1" applyNumberFormat="1" applyFont="1" applyFill="1" applyBorder="1" applyAlignment="1">
      <alignment vertical="center" shrinkToFit="1"/>
    </xf>
    <xf numFmtId="3" fontId="30" fillId="2" borderId="54" xfId="1" applyNumberFormat="1" applyFont="1" applyFill="1" applyBorder="1" applyAlignment="1">
      <alignment horizontal="right" vertical="center"/>
    </xf>
    <xf numFmtId="217" fontId="30" fillId="2" borderId="4" xfId="1" applyNumberFormat="1" applyFont="1" applyFill="1" applyBorder="1" applyAlignment="1">
      <alignment horizontal="right" vertical="center"/>
    </xf>
    <xf numFmtId="3" fontId="30" fillId="2" borderId="4" xfId="1" applyNumberFormat="1" applyFont="1" applyFill="1" applyBorder="1" applyAlignment="1">
      <alignment horizontal="center" vertical="center"/>
    </xf>
    <xf numFmtId="3" fontId="13" fillId="2" borderId="4" xfId="1" applyNumberFormat="1" applyFont="1" applyFill="1" applyBorder="1" applyAlignment="1">
      <alignment horizontal="center" vertical="center"/>
    </xf>
    <xf numFmtId="2" fontId="30" fillId="2" borderId="0" xfId="0" applyNumberFormat="1" applyFont="1" applyFill="1" applyAlignment="1">
      <alignment horizontal="center"/>
    </xf>
    <xf numFmtId="188" fontId="30" fillId="2" borderId="0" xfId="0" applyNumberFormat="1" applyFont="1" applyFill="1" applyAlignment="1">
      <alignment horizontal="center"/>
    </xf>
    <xf numFmtId="216" fontId="30" fillId="2" borderId="4" xfId="1" applyNumberFormat="1" applyFont="1" applyFill="1" applyBorder="1" applyAlignment="1">
      <alignment horizontal="right" vertical="center"/>
    </xf>
    <xf numFmtId="188" fontId="82" fillId="2" borderId="31" xfId="0" applyNumberFormat="1" applyFont="1" applyFill="1" applyBorder="1" applyAlignment="1">
      <alignment horizontal="center" vertical="center"/>
    </xf>
    <xf numFmtId="236" fontId="30" fillId="2" borderId="0" xfId="0" applyNumberFormat="1" applyFont="1" applyFill="1" applyAlignment="1">
      <alignment horizontal="center"/>
    </xf>
    <xf numFmtId="3" fontId="88" fillId="2" borderId="0" xfId="1" applyNumberFormat="1" applyFont="1" applyFill="1" applyBorder="1" applyAlignment="1">
      <alignment horizontal="center"/>
    </xf>
    <xf numFmtId="3" fontId="30" fillId="2" borderId="0" xfId="1" applyNumberFormat="1" applyFont="1" applyFill="1" applyAlignment="1">
      <alignment horizontal="center"/>
    </xf>
    <xf numFmtId="3" fontId="20" fillId="2" borderId="0" xfId="0" applyNumberFormat="1" applyFont="1" applyFill="1" applyAlignment="1">
      <alignment horizontal="center"/>
    </xf>
    <xf numFmtId="221" fontId="30" fillId="2" borderId="4" xfId="1" applyNumberFormat="1" applyFont="1" applyFill="1" applyBorder="1" applyAlignment="1">
      <alignment horizontal="center" vertical="center"/>
    </xf>
    <xf numFmtId="221" fontId="13" fillId="2" borderId="4" xfId="1" applyNumberFormat="1" applyFont="1" applyFill="1" applyBorder="1" applyAlignment="1">
      <alignment horizontal="center" vertical="center"/>
    </xf>
    <xf numFmtId="0" fontId="25" fillId="2" borderId="0" xfId="0" applyFont="1" applyFill="1" applyAlignment="1"/>
    <xf numFmtId="2" fontId="25" fillId="2" borderId="0" xfId="0" applyNumberFormat="1" applyFont="1" applyFill="1" applyAlignment="1"/>
    <xf numFmtId="0" fontId="228" fillId="2" borderId="0" xfId="626" applyFont="1" applyFill="1"/>
    <xf numFmtId="0" fontId="227" fillId="2" borderId="0" xfId="626" applyFont="1" applyFill="1" applyAlignment="1"/>
    <xf numFmtId="0" fontId="227" fillId="2" borderId="0" xfId="626" applyFont="1" applyFill="1"/>
    <xf numFmtId="0" fontId="227" fillId="2" borderId="0" xfId="626" applyFont="1" applyFill="1" applyAlignment="1">
      <alignment horizontal="center"/>
    </xf>
    <xf numFmtId="0" fontId="227" fillId="2" borderId="0" xfId="626" applyFont="1" applyFill="1" applyAlignment="1">
      <alignment horizontal="left"/>
    </xf>
    <xf numFmtId="0" fontId="228" fillId="2" borderId="0" xfId="626" applyFont="1" applyFill="1" applyAlignment="1">
      <alignment horizontal="center"/>
    </xf>
    <xf numFmtId="0" fontId="230" fillId="2" borderId="0" xfId="626" applyFont="1" applyFill="1"/>
    <xf numFmtId="0" fontId="231" fillId="2" borderId="0" xfId="626" applyFont="1" applyFill="1" applyAlignment="1">
      <alignment horizontal="center"/>
    </xf>
    <xf numFmtId="0" fontId="231" fillId="2" borderId="0" xfId="626" applyFont="1" applyFill="1" applyAlignment="1">
      <alignment horizontal="left"/>
    </xf>
    <xf numFmtId="0" fontId="231" fillId="2" borderId="0" xfId="626" applyFont="1" applyFill="1"/>
    <xf numFmtId="0" fontId="236" fillId="2" borderId="0" xfId="626" applyFont="1" applyFill="1"/>
    <xf numFmtId="0" fontId="211" fillId="2" borderId="54" xfId="627" applyFont="1" applyFill="1" applyBorder="1" applyAlignment="1">
      <alignment horizontal="center" vertical="center"/>
    </xf>
    <xf numFmtId="0" fontId="237" fillId="2" borderId="0" xfId="626" applyFont="1" applyFill="1"/>
    <xf numFmtId="0" fontId="238" fillId="2" borderId="54" xfId="626" applyFont="1" applyFill="1" applyBorder="1" applyAlignment="1">
      <alignment horizontal="center"/>
    </xf>
    <xf numFmtId="0" fontId="209" fillId="2" borderId="54" xfId="626" applyFont="1" applyFill="1" applyBorder="1" applyAlignment="1">
      <alignment horizontal="left"/>
    </xf>
    <xf numFmtId="217" fontId="213" fillId="2" borderId="54" xfId="630" applyNumberFormat="1" applyFont="1" applyFill="1" applyBorder="1" applyAlignment="1">
      <alignment horizontal="right" vertical="center"/>
    </xf>
    <xf numFmtId="217" fontId="209" fillId="2" borderId="54" xfId="626" applyNumberFormat="1" applyFont="1" applyFill="1" applyBorder="1" applyAlignment="1">
      <alignment horizontal="center"/>
    </xf>
    <xf numFmtId="0" fontId="214" fillId="2" borderId="58" xfId="626" applyFont="1" applyFill="1" applyBorder="1" applyAlignment="1">
      <alignment horizontal="center"/>
    </xf>
    <xf numFmtId="0" fontId="238" fillId="2" borderId="0" xfId="626" applyFont="1" applyFill="1"/>
    <xf numFmtId="0" fontId="239" fillId="2" borderId="0" xfId="626" applyFont="1" applyFill="1"/>
    <xf numFmtId="217" fontId="213" fillId="2" borderId="54" xfId="626" applyNumberFormat="1" applyFont="1" applyFill="1" applyBorder="1" applyAlignment="1">
      <alignment horizontal="center"/>
    </xf>
    <xf numFmtId="0" fontId="236" fillId="2" borderId="54" xfId="626" applyFont="1" applyFill="1" applyBorder="1" applyAlignment="1">
      <alignment horizontal="center"/>
    </xf>
    <xf numFmtId="245" fontId="236" fillId="2" borderId="0" xfId="626" applyNumberFormat="1" applyFont="1" applyFill="1" applyBorder="1"/>
    <xf numFmtId="0" fontId="237" fillId="2" borderId="54" xfId="626" applyFont="1" applyFill="1" applyBorder="1" applyAlignment="1">
      <alignment horizontal="center"/>
    </xf>
    <xf numFmtId="0" fontId="237" fillId="2" borderId="54" xfId="626" applyFont="1" applyFill="1" applyBorder="1" applyAlignment="1">
      <alignment horizontal="left"/>
    </xf>
    <xf numFmtId="217" fontId="242" fillId="2" borderId="54" xfId="630" applyNumberFormat="1" applyFont="1" applyFill="1" applyBorder="1" applyAlignment="1">
      <alignment horizontal="center"/>
    </xf>
    <xf numFmtId="217" fontId="243" fillId="2" borderId="54" xfId="630" applyNumberFormat="1" applyFont="1" applyFill="1" applyBorder="1" applyAlignment="1">
      <alignment horizontal="center"/>
    </xf>
    <xf numFmtId="0" fontId="240" fillId="2" borderId="0" xfId="626" applyFont="1" applyFill="1" applyAlignment="1">
      <alignment horizontal="center"/>
    </xf>
    <xf numFmtId="0" fontId="240" fillId="2" borderId="0" xfId="626" applyFont="1" applyFill="1"/>
    <xf numFmtId="0" fontId="209" fillId="2" borderId="0" xfId="626" applyFont="1" applyFill="1"/>
    <xf numFmtId="0" fontId="247" fillId="2" borderId="0" xfId="627" applyFont="1" applyFill="1"/>
    <xf numFmtId="0" fontId="232" fillId="2" borderId="0" xfId="626" applyFont="1" applyFill="1" applyAlignment="1">
      <alignment horizontal="center"/>
    </xf>
    <xf numFmtId="0" fontId="232" fillId="2" borderId="0" xfId="626" applyFont="1" applyFill="1"/>
    <xf numFmtId="0" fontId="232" fillId="2" borderId="0" xfId="626" applyFont="1" applyFill="1" applyAlignment="1"/>
    <xf numFmtId="0" fontId="249" fillId="2" borderId="0" xfId="626" applyFont="1" applyFill="1" applyAlignment="1">
      <alignment horizontal="center"/>
    </xf>
    <xf numFmtId="0" fontId="250" fillId="2" borderId="0" xfId="626" applyFont="1" applyFill="1" applyAlignment="1">
      <alignment horizontal="left"/>
    </xf>
    <xf numFmtId="0" fontId="250" fillId="2" borderId="0" xfId="626" applyFont="1" applyFill="1" applyAlignment="1">
      <alignment horizontal="center" vertical="center" wrapText="1"/>
    </xf>
    <xf numFmtId="0" fontId="250" fillId="2" borderId="0" xfId="626" applyFont="1" applyFill="1"/>
    <xf numFmtId="0" fontId="245" fillId="2" borderId="0" xfId="626" applyFont="1" applyFill="1" applyAlignment="1">
      <alignment horizontal="left"/>
    </xf>
    <xf numFmtId="0" fontId="228" fillId="2" borderId="0" xfId="626" applyFont="1" applyFill="1" applyAlignment="1">
      <alignment horizontal="left"/>
    </xf>
    <xf numFmtId="0" fontId="213" fillId="2" borderId="54" xfId="626" applyFont="1" applyFill="1" applyBorder="1" applyAlignment="1">
      <alignment horizontal="center" vertical="center"/>
    </xf>
    <xf numFmtId="0" fontId="213" fillId="2" borderId="54" xfId="626" applyFont="1" applyFill="1" applyBorder="1" applyAlignment="1">
      <alignment horizontal="right" vertical="center"/>
    </xf>
    <xf numFmtId="0" fontId="209" fillId="2" borderId="54" xfId="626" applyFont="1" applyFill="1" applyBorder="1" applyAlignment="1">
      <alignment horizontal="right" vertical="center"/>
    </xf>
    <xf numFmtId="198" fontId="209" fillId="2" borderId="54" xfId="626" applyNumberFormat="1" applyFont="1" applyFill="1" applyBorder="1"/>
    <xf numFmtId="216" fontId="209" fillId="2" borderId="54" xfId="630" applyNumberFormat="1" applyFont="1" applyFill="1" applyBorder="1"/>
    <xf numFmtId="0" fontId="214" fillId="2" borderId="58" xfId="626" applyFont="1" applyFill="1" applyBorder="1" applyAlignment="1">
      <alignment horizontal="center" vertical="center"/>
    </xf>
    <xf numFmtId="198" fontId="213" fillId="2" borderId="54" xfId="626" applyNumberFormat="1" applyFont="1" applyFill="1" applyBorder="1"/>
    <xf numFmtId="216" fontId="213" fillId="2" borderId="54" xfId="630" applyNumberFormat="1" applyFont="1" applyFill="1" applyBorder="1"/>
    <xf numFmtId="43" fontId="214" fillId="2" borderId="7" xfId="628" applyFont="1" applyFill="1" applyBorder="1" applyAlignment="1">
      <alignment horizontal="center" vertical="center" wrapText="1"/>
    </xf>
    <xf numFmtId="0" fontId="209" fillId="2" borderId="0" xfId="626" applyFont="1" applyFill="1" applyAlignment="1">
      <alignment horizontal="center"/>
    </xf>
    <xf numFmtId="0" fontId="247" fillId="2" borderId="0" xfId="627" applyFont="1" applyFill="1" applyAlignment="1">
      <alignment horizontal="left"/>
    </xf>
    <xf numFmtId="0" fontId="209" fillId="0" borderId="0" xfId="626" applyFont="1" applyFill="1"/>
    <xf numFmtId="0" fontId="232" fillId="0" borderId="0" xfId="626" applyFont="1" applyFill="1"/>
    <xf numFmtId="0" fontId="233" fillId="2" borderId="0" xfId="627" quotePrefix="1" applyFont="1" applyFill="1" applyAlignment="1"/>
    <xf numFmtId="0" fontId="241" fillId="2" borderId="0" xfId="626" applyFont="1" applyFill="1"/>
    <xf numFmtId="0" fontId="235" fillId="2" borderId="0" xfId="626" applyFont="1" applyFill="1"/>
    <xf numFmtId="0" fontId="225" fillId="2" borderId="0" xfId="626" applyFont="1" applyFill="1"/>
    <xf numFmtId="0" fontId="219" fillId="2" borderId="0" xfId="626" applyFont="1" applyFill="1"/>
    <xf numFmtId="0" fontId="215" fillId="2" borderId="54" xfId="627" applyFont="1" applyFill="1" applyBorder="1" applyAlignment="1">
      <alignment horizontal="center" vertical="center"/>
    </xf>
    <xf numFmtId="43" fontId="220" fillId="2" borderId="57" xfId="628" applyFont="1" applyFill="1" applyBorder="1" applyAlignment="1">
      <alignment horizontal="center" vertical="center" wrapText="1"/>
    </xf>
    <xf numFmtId="0" fontId="225" fillId="2" borderId="54" xfId="626" applyFont="1" applyFill="1" applyBorder="1" applyAlignment="1">
      <alignment horizontal="center"/>
    </xf>
    <xf numFmtId="0" fontId="225" fillId="2" borderId="54" xfId="626" applyFont="1" applyFill="1" applyBorder="1"/>
    <xf numFmtId="0" fontId="215" fillId="2" borderId="54" xfId="626" applyFont="1" applyFill="1" applyBorder="1"/>
    <xf numFmtId="0" fontId="215" fillId="2" borderId="54" xfId="626" applyFont="1" applyFill="1" applyBorder="1" applyAlignment="1">
      <alignment horizontal="center" vertical="center"/>
    </xf>
    <xf numFmtId="187" fontId="215" fillId="2" borderId="54" xfId="627" applyNumberFormat="1" applyFont="1" applyFill="1" applyBorder="1" applyAlignment="1">
      <alignment horizontal="center"/>
    </xf>
    <xf numFmtId="187" fontId="239" fillId="2" borderId="0" xfId="626" applyNumberFormat="1" applyFont="1" applyFill="1"/>
    <xf numFmtId="0" fontId="225" fillId="2" borderId="54" xfId="631" applyFont="1" applyFill="1" applyBorder="1"/>
    <xf numFmtId="0" fontId="225" fillId="2" borderId="54" xfId="631" applyFont="1" applyFill="1" applyBorder="1" applyAlignment="1">
      <alignment horizontal="center" vertical="center"/>
    </xf>
    <xf numFmtId="187" fontId="238" fillId="2" borderId="0" xfId="626" applyNumberFormat="1" applyFont="1" applyFill="1"/>
    <xf numFmtId="0" fontId="255" fillId="2" borderId="54" xfId="626" applyFont="1" applyFill="1" applyBorder="1"/>
    <xf numFmtId="0" fontId="255" fillId="2" borderId="54" xfId="626" applyFont="1" applyFill="1" applyBorder="1" applyAlignment="1">
      <alignment horizontal="center"/>
    </xf>
    <xf numFmtId="187" fontId="255" fillId="2" borderId="54" xfId="626" applyNumberFormat="1" applyFont="1" applyFill="1" applyBorder="1"/>
    <xf numFmtId="0" fontId="257" fillId="2" borderId="0" xfId="627" applyFont="1" applyFill="1"/>
    <xf numFmtId="0" fontId="212" fillId="2" borderId="0" xfId="626" applyFill="1"/>
    <xf numFmtId="0" fontId="255" fillId="2" borderId="1" xfId="626" applyFont="1" applyFill="1" applyBorder="1" applyAlignment="1">
      <alignment horizontal="center" vertical="center"/>
    </xf>
    <xf numFmtId="0" fontId="220" fillId="2" borderId="54" xfId="627" applyFont="1" applyFill="1" applyBorder="1" applyAlignment="1">
      <alignment horizontal="center" vertical="center"/>
    </xf>
    <xf numFmtId="0" fontId="248" fillId="2" borderId="0" xfId="631" applyFont="1" applyFill="1" applyAlignment="1"/>
    <xf numFmtId="0" fontId="13" fillId="2" borderId="54" xfId="1" applyNumberFormat="1" applyFont="1" applyFill="1" applyBorder="1" applyAlignment="1">
      <alignment horizontal="center" vertical="center" wrapText="1"/>
    </xf>
    <xf numFmtId="3" fontId="13" fillId="2" borderId="54" xfId="1" applyNumberFormat="1" applyFont="1" applyFill="1" applyBorder="1" applyAlignment="1">
      <alignment horizontal="center" vertical="center" wrapText="1"/>
    </xf>
    <xf numFmtId="3" fontId="20" fillId="2" borderId="54" xfId="0" applyNumberFormat="1" applyFont="1" applyFill="1" applyBorder="1" applyAlignment="1">
      <alignment horizontal="center" vertical="distributed" wrapText="1"/>
    </xf>
    <xf numFmtId="3" fontId="30" fillId="2" borderId="54" xfId="1" applyNumberFormat="1" applyFont="1" applyFill="1" applyBorder="1" applyAlignment="1">
      <alignment horizontal="center" vertical="center"/>
    </xf>
    <xf numFmtId="0" fontId="81" fillId="2" borderId="54" xfId="0" applyFont="1" applyFill="1" applyBorder="1" applyAlignment="1">
      <alignment horizontal="center" vertical="center"/>
    </xf>
    <xf numFmtId="0" fontId="30" fillId="2" borderId="54" xfId="515" applyFont="1" applyFill="1" applyBorder="1" applyAlignment="1">
      <alignment horizontal="left" vertical="center"/>
    </xf>
    <xf numFmtId="0" fontId="30" fillId="2" borderId="54" xfId="515" applyFont="1" applyFill="1" applyBorder="1" applyAlignment="1">
      <alignment horizontal="center" vertical="center"/>
    </xf>
    <xf numFmtId="217" fontId="81" fillId="2" borderId="54" xfId="93" applyNumberFormat="1" applyFont="1" applyFill="1" applyBorder="1" applyAlignment="1">
      <alignment horizontal="center" vertical="center"/>
    </xf>
    <xf numFmtId="228" fontId="81" fillId="2" borderId="54" xfId="1" applyNumberFormat="1" applyFont="1" applyFill="1" applyBorder="1" applyAlignment="1">
      <alignment horizontal="center" vertical="center"/>
    </xf>
    <xf numFmtId="43" fontId="81" fillId="2" borderId="54" xfId="1" applyFont="1" applyFill="1" applyBorder="1" applyAlignment="1">
      <alignment horizontal="center" vertical="center"/>
    </xf>
    <xf numFmtId="235" fontId="30" fillId="2" borderId="54" xfId="1" applyNumberFormat="1" applyFont="1" applyFill="1" applyBorder="1" applyAlignment="1">
      <alignment vertical="center"/>
    </xf>
    <xf numFmtId="1" fontId="30" fillId="2" borderId="54" xfId="0" applyNumberFormat="1" applyFont="1" applyFill="1" applyBorder="1" applyAlignment="1">
      <alignment horizontal="center" vertical="center" wrapText="1"/>
    </xf>
    <xf numFmtId="3" fontId="30" fillId="2" borderId="54" xfId="0" applyNumberFormat="1" applyFont="1" applyFill="1" applyBorder="1" applyAlignment="1">
      <alignment horizontal="center" vertical="center"/>
    </xf>
    <xf numFmtId="0" fontId="71" fillId="2" borderId="54" xfId="0" applyFont="1" applyFill="1" applyBorder="1" applyAlignment="1">
      <alignment horizontal="left" vertical="center"/>
    </xf>
    <xf numFmtId="3" fontId="30" fillId="2" borderId="54" xfId="0" applyNumberFormat="1" applyFont="1" applyFill="1" applyBorder="1" applyAlignment="1">
      <alignment horizontal="left" vertical="center"/>
    </xf>
    <xf numFmtId="3" fontId="30" fillId="2" borderId="54" xfId="0" applyNumberFormat="1" applyFont="1" applyFill="1" applyBorder="1" applyAlignment="1">
      <alignment horizontal="right" vertical="center"/>
    </xf>
    <xf numFmtId="0" fontId="258" fillId="2" borderId="4" xfId="0" applyFont="1" applyFill="1" applyBorder="1" applyAlignment="1">
      <alignment horizontal="left" vertical="center"/>
    </xf>
    <xf numFmtId="0" fontId="211" fillId="2" borderId="4" xfId="0" applyFont="1" applyFill="1" applyBorder="1" applyAlignment="1">
      <alignment vertical="center"/>
    </xf>
    <xf numFmtId="0" fontId="211" fillId="2" borderId="4" xfId="0" applyFont="1" applyFill="1" applyBorder="1" applyAlignment="1">
      <alignment horizontal="left" vertical="center"/>
    </xf>
    <xf numFmtId="0" fontId="260" fillId="2" borderId="5" xfId="0" applyFont="1" applyFill="1" applyBorder="1" applyAlignment="1">
      <alignment horizontal="left" vertical="center"/>
    </xf>
    <xf numFmtId="216" fontId="211" fillId="2" borderId="54" xfId="1" applyNumberFormat="1" applyFont="1" applyFill="1" applyBorder="1" applyAlignment="1">
      <alignment horizontal="center"/>
    </xf>
    <xf numFmtId="0" fontId="211" fillId="2" borderId="4" xfId="561" applyFont="1" applyFill="1" applyBorder="1" applyAlignment="1">
      <alignment horizontal="left" vertical="center"/>
    </xf>
    <xf numFmtId="0" fontId="30" fillId="2" borderId="54" xfId="561" applyFont="1" applyFill="1" applyBorder="1" applyAlignment="1">
      <alignment horizontal="center" vertical="center"/>
    </xf>
    <xf numFmtId="216" fontId="30" fillId="2" borderId="54" xfId="1" applyNumberFormat="1" applyFont="1" applyFill="1" applyBorder="1" applyAlignment="1">
      <alignment horizontal="center"/>
    </xf>
    <xf numFmtId="43" fontId="30" fillId="2" borderId="54" xfId="1" applyFont="1" applyFill="1" applyBorder="1" applyAlignment="1">
      <alignment horizontal="center"/>
    </xf>
    <xf numFmtId="0" fontId="211" fillId="2" borderId="54" xfId="561" applyFont="1" applyFill="1" applyBorder="1" applyAlignment="1">
      <alignment horizontal="left" vertical="center"/>
    </xf>
    <xf numFmtId="0" fontId="259" fillId="2" borderId="54" xfId="561" applyFont="1" applyFill="1" applyBorder="1" applyAlignment="1">
      <alignment horizontal="left" vertical="center"/>
    </xf>
    <xf numFmtId="4" fontId="211" fillId="2" borderId="4" xfId="91" applyNumberFormat="1" applyFont="1" applyFill="1" applyBorder="1" applyAlignment="1">
      <alignment horizontal="center"/>
    </xf>
    <xf numFmtId="0" fontId="262" fillId="0" borderId="0" xfId="638"/>
    <xf numFmtId="0" fontId="263" fillId="0" borderId="0" xfId="638" applyFont="1" applyFill="1"/>
    <xf numFmtId="0" fontId="264" fillId="0" borderId="0" xfId="638" applyFont="1" applyFill="1" applyAlignment="1"/>
    <xf numFmtId="0" fontId="211" fillId="0" borderId="0" xfId="638" applyFont="1" applyFill="1" applyAlignment="1"/>
    <xf numFmtId="0" fontId="264" fillId="0" borderId="0" xfId="638" applyFont="1" applyFill="1" applyAlignment="1">
      <alignment horizontal="center"/>
    </xf>
    <xf numFmtId="0" fontId="259" fillId="0" borderId="0" xfId="638" applyFont="1" applyFill="1" applyAlignment="1">
      <alignment horizontal="center"/>
    </xf>
    <xf numFmtId="0" fontId="211" fillId="0" borderId="0" xfId="638" applyFont="1" applyFill="1" applyAlignment="1">
      <alignment horizontal="center" vertical="center"/>
    </xf>
    <xf numFmtId="0" fontId="211" fillId="0" borderId="0" xfId="638" applyFont="1" applyFill="1" applyAlignment="1">
      <alignment vertical="center"/>
    </xf>
    <xf numFmtId="0" fontId="259" fillId="0" borderId="54" xfId="638" applyFont="1" applyFill="1" applyBorder="1" applyAlignment="1">
      <alignment horizontal="center" vertical="center"/>
    </xf>
    <xf numFmtId="3" fontId="259" fillId="0" borderId="54" xfId="638" applyNumberFormat="1" applyFont="1" applyFill="1" applyBorder="1" applyAlignment="1">
      <alignment horizontal="center" vertical="center"/>
    </xf>
    <xf numFmtId="217" fontId="259" fillId="0" borderId="54" xfId="639" applyNumberFormat="1" applyFont="1" applyFill="1" applyBorder="1" applyAlignment="1">
      <alignment horizontal="center" vertical="center"/>
    </xf>
    <xf numFmtId="0" fontId="211" fillId="0" borderId="54" xfId="638" applyFont="1" applyFill="1" applyBorder="1" applyAlignment="1">
      <alignment horizontal="center" vertical="center"/>
    </xf>
    <xf numFmtId="0" fontId="263" fillId="0" borderId="0" xfId="638" applyFont="1"/>
    <xf numFmtId="0" fontId="217" fillId="2" borderId="0" xfId="638" applyFont="1" applyFill="1" applyAlignment="1"/>
    <xf numFmtId="0" fontId="259" fillId="2" borderId="0" xfId="643" applyFont="1" applyFill="1" applyAlignment="1">
      <alignment vertical="center"/>
    </xf>
    <xf numFmtId="0" fontId="259" fillId="2" borderId="0" xfId="643" applyFont="1" applyFill="1" applyAlignment="1">
      <alignment horizontal="center" vertical="center"/>
    </xf>
    <xf numFmtId="0" fontId="211" fillId="2" borderId="0" xfId="643" applyFont="1" applyFill="1" applyAlignment="1">
      <alignment vertical="center"/>
    </xf>
    <xf numFmtId="0" fontId="211" fillId="2" borderId="54" xfId="643" applyFont="1" applyFill="1" applyBorder="1" applyAlignment="1">
      <alignment horizontal="center" vertical="center"/>
    </xf>
    <xf numFmtId="0" fontId="211" fillId="2" borderId="0" xfId="643" applyFont="1" applyFill="1" applyAlignment="1">
      <alignment horizontal="center" vertical="center"/>
    </xf>
    <xf numFmtId="0" fontId="211" fillId="2" borderId="54" xfId="643" applyFont="1" applyFill="1" applyBorder="1" applyAlignment="1" applyProtection="1">
      <alignment horizontal="center" vertical="center"/>
      <protection hidden="1"/>
    </xf>
    <xf numFmtId="0" fontId="211" fillId="2" borderId="54" xfId="643" applyFont="1" applyFill="1" applyBorder="1" applyAlignment="1">
      <alignment vertical="center"/>
    </xf>
    <xf numFmtId="217" fontId="211" fillId="2" borderId="54" xfId="640" applyNumberFormat="1" applyFont="1" applyFill="1" applyBorder="1" applyAlignment="1">
      <alignment vertical="center"/>
    </xf>
    <xf numFmtId="217" fontId="211" fillId="2" borderId="0" xfId="643" applyNumberFormat="1" applyFont="1" applyFill="1" applyAlignment="1">
      <alignment vertical="center"/>
    </xf>
    <xf numFmtId="0" fontId="211" fillId="2" borderId="54" xfId="643" applyFont="1" applyFill="1" applyBorder="1" applyAlignment="1">
      <alignment horizontal="left" vertical="center"/>
    </xf>
    <xf numFmtId="0" fontId="210" fillId="2" borderId="0" xfId="643" applyFont="1" applyFill="1" applyAlignment="1">
      <alignment vertical="center"/>
    </xf>
    <xf numFmtId="217" fontId="210" fillId="2" borderId="54" xfId="640" applyNumberFormat="1" applyFont="1" applyFill="1" applyBorder="1" applyAlignment="1">
      <alignment vertical="center"/>
    </xf>
    <xf numFmtId="0" fontId="259" fillId="2" borderId="58" xfId="643" applyFont="1" applyFill="1" applyBorder="1" applyAlignment="1">
      <alignment horizontal="center" vertical="center"/>
    </xf>
    <xf numFmtId="0" fontId="259" fillId="2" borderId="54" xfId="643" applyFont="1" applyFill="1" applyBorder="1" applyAlignment="1">
      <alignment horizontal="center" vertical="center"/>
    </xf>
    <xf numFmtId="3" fontId="259" fillId="2" borderId="54" xfId="643" applyNumberFormat="1" applyFont="1" applyFill="1" applyBorder="1" applyAlignment="1">
      <alignment horizontal="center" vertical="center"/>
    </xf>
    <xf numFmtId="0" fontId="259" fillId="2" borderId="54" xfId="643" applyFont="1" applyFill="1" applyBorder="1" applyAlignment="1">
      <alignment vertical="center"/>
    </xf>
    <xf numFmtId="14" fontId="211" fillId="2" borderId="0" xfId="643" applyNumberFormat="1" applyFont="1" applyFill="1" applyAlignment="1">
      <alignment vertical="center"/>
    </xf>
    <xf numFmtId="0" fontId="259" fillId="2" borderId="0" xfId="642" applyFont="1" applyFill="1" applyAlignment="1">
      <alignment vertical="center"/>
    </xf>
    <xf numFmtId="0" fontId="211" fillId="2" borderId="0" xfId="642" applyFont="1" applyFill="1" applyAlignment="1">
      <alignment vertical="center"/>
    </xf>
    <xf numFmtId="0" fontId="262" fillId="0" borderId="0" xfId="642"/>
    <xf numFmtId="0" fontId="263" fillId="0" borderId="0" xfId="642" applyFont="1" applyFill="1"/>
    <xf numFmtId="0" fontId="264" fillId="0" borderId="0" xfId="642" applyFont="1" applyFill="1" applyAlignment="1"/>
    <xf numFmtId="0" fontId="211" fillId="0" borderId="0" xfId="642" applyFont="1" applyFill="1" applyAlignment="1"/>
    <xf numFmtId="0" fontId="259" fillId="0" borderId="0" xfId="642" applyFont="1" applyFill="1" applyAlignment="1">
      <alignment horizontal="center"/>
    </xf>
    <xf numFmtId="0" fontId="211" fillId="0" borderId="0" xfId="642" applyFont="1" applyFill="1" applyAlignment="1">
      <alignment horizontal="center" vertical="center"/>
    </xf>
    <xf numFmtId="0" fontId="211" fillId="0" borderId="0" xfId="642" applyFont="1" applyFill="1" applyAlignment="1">
      <alignment vertical="center"/>
    </xf>
    <xf numFmtId="0" fontId="259" fillId="0" borderId="1" xfId="642" applyFont="1" applyFill="1" applyBorder="1" applyAlignment="1">
      <alignment horizontal="center" vertical="center"/>
    </xf>
    <xf numFmtId="0" fontId="211" fillId="0" borderId="54" xfId="642" applyFont="1" applyFill="1" applyBorder="1" applyAlignment="1">
      <alignment horizontal="center" vertical="center"/>
    </xf>
    <xf numFmtId="0" fontId="211" fillId="0" borderId="54" xfId="642" applyFont="1" applyFill="1" applyBorder="1" applyAlignment="1">
      <alignment horizontal="left" vertical="center"/>
    </xf>
    <xf numFmtId="225" fontId="211" fillId="0" borderId="54" xfId="637" applyNumberFormat="1" applyFont="1" applyFill="1" applyBorder="1" applyAlignment="1">
      <alignment horizontal="center" vertical="center" wrapText="1"/>
    </xf>
    <xf numFmtId="3" fontId="266" fillId="0" borderId="54" xfId="640" applyNumberFormat="1" applyFont="1" applyFill="1" applyBorder="1" applyAlignment="1">
      <alignment horizontal="center" vertical="center"/>
    </xf>
    <xf numFmtId="0" fontId="259" fillId="0" borderId="54" xfId="642" applyFont="1" applyFill="1" applyBorder="1" applyAlignment="1">
      <alignment horizontal="center" vertical="center"/>
    </xf>
    <xf numFmtId="3" fontId="259" fillId="0" borderId="54" xfId="642" applyNumberFormat="1" applyFont="1" applyFill="1" applyBorder="1" applyAlignment="1">
      <alignment horizontal="center" vertical="center"/>
    </xf>
    <xf numFmtId="0" fontId="263" fillId="0" borderId="0" xfId="642" applyFont="1"/>
    <xf numFmtId="0" fontId="268" fillId="0" borderId="0" xfId="642" applyFont="1" applyAlignment="1">
      <alignment horizontal="left" indent="2"/>
    </xf>
    <xf numFmtId="0" fontId="268" fillId="0" borderId="0" xfId="642" applyFont="1" applyAlignment="1">
      <alignment horizontal="left" indent="16"/>
    </xf>
    <xf numFmtId="0" fontId="268" fillId="0" borderId="0" xfId="642" applyFont="1" applyAlignment="1">
      <alignment horizontal="center"/>
    </xf>
    <xf numFmtId="0" fontId="211" fillId="2" borderId="0" xfId="250" applyFont="1" applyFill="1"/>
    <xf numFmtId="1" fontId="211" fillId="2" borderId="0" xfId="250" applyNumberFormat="1" applyFont="1" applyFill="1"/>
    <xf numFmtId="1" fontId="211" fillId="2" borderId="0" xfId="644" applyNumberFormat="1" applyFont="1" applyFill="1"/>
    <xf numFmtId="1" fontId="211" fillId="2" borderId="0" xfId="644" applyNumberFormat="1" applyFont="1" applyFill="1" applyAlignment="1">
      <alignment horizontal="center"/>
    </xf>
    <xf numFmtId="0" fontId="211" fillId="2" borderId="0" xfId="644" applyFont="1" applyFill="1"/>
    <xf numFmtId="1" fontId="271" fillId="2" borderId="0" xfId="644" applyNumberFormat="1" applyFont="1" applyFill="1"/>
    <xf numFmtId="1" fontId="211" fillId="0" borderId="0" xfId="639" applyNumberFormat="1" applyFont="1" applyFill="1" applyAlignment="1">
      <alignment vertical="center"/>
    </xf>
    <xf numFmtId="1" fontId="222" fillId="0" borderId="0" xfId="639" applyNumberFormat="1" applyFont="1" applyFill="1" applyBorder="1" applyAlignment="1">
      <alignment horizontal="center" vertical="center"/>
    </xf>
    <xf numFmtId="1" fontId="211" fillId="0" borderId="0" xfId="639" applyNumberFormat="1" applyFont="1" applyFill="1" applyBorder="1" applyAlignment="1">
      <alignment horizontal="center" vertical="center"/>
    </xf>
    <xf numFmtId="0" fontId="215" fillId="2" borderId="0" xfId="250" applyFont="1" applyFill="1"/>
    <xf numFmtId="1" fontId="220" fillId="0" borderId="0" xfId="639" applyNumberFormat="1" applyFont="1" applyFill="1" applyBorder="1" applyAlignment="1">
      <alignment vertical="center"/>
    </xf>
    <xf numFmtId="1" fontId="220" fillId="0" borderId="0" xfId="639" applyNumberFormat="1" applyFont="1" applyFill="1" applyBorder="1" applyAlignment="1">
      <alignment horizontal="right" vertical="center"/>
    </xf>
    <xf numFmtId="1" fontId="222" fillId="2" borderId="0" xfId="644" applyNumberFormat="1" applyFont="1" applyFill="1" applyAlignment="1">
      <alignment horizontal="center"/>
    </xf>
    <xf numFmtId="1" fontId="222" fillId="2" borderId="0" xfId="644" applyNumberFormat="1" applyFont="1" applyFill="1" applyAlignment="1"/>
    <xf numFmtId="1" fontId="222" fillId="2" borderId="0" xfId="644" applyNumberFormat="1" applyFont="1" applyFill="1"/>
    <xf numFmtId="0" fontId="211" fillId="2" borderId="0" xfId="644" applyFont="1" applyFill="1" applyAlignment="1">
      <alignment horizontal="left"/>
    </xf>
    <xf numFmtId="0" fontId="271" fillId="2" borderId="0" xfId="644" applyFont="1" applyFill="1" applyBorder="1" applyAlignment="1">
      <alignment horizontal="center"/>
    </xf>
    <xf numFmtId="0" fontId="222" fillId="2" borderId="0" xfId="644" applyFont="1" applyFill="1" applyBorder="1" applyAlignment="1">
      <alignment horizontal="center"/>
    </xf>
    <xf numFmtId="217" fontId="211" fillId="2" borderId="0" xfId="639" applyNumberFormat="1" applyFont="1" applyFill="1"/>
    <xf numFmtId="217" fontId="259" fillId="2" borderId="54" xfId="639" applyNumberFormat="1" applyFont="1" applyFill="1" applyBorder="1"/>
    <xf numFmtId="217" fontId="259" fillId="2" borderId="54" xfId="639" applyNumberFormat="1" applyFont="1" applyFill="1" applyBorder="1" applyAlignment="1">
      <alignment horizontal="center" vertical="center" wrapText="1"/>
    </xf>
    <xf numFmtId="0" fontId="211" fillId="2" borderId="54" xfId="250" applyFont="1" applyFill="1" applyBorder="1"/>
    <xf numFmtId="1" fontId="211" fillId="2" borderId="54" xfId="644" applyNumberFormat="1" applyFont="1" applyFill="1" applyBorder="1" applyAlignment="1">
      <alignment horizontal="center" vertical="center"/>
    </xf>
    <xf numFmtId="1" fontId="211" fillId="2" borderId="54" xfId="628" applyNumberFormat="1" applyFont="1" applyFill="1" applyBorder="1" applyAlignment="1">
      <alignment horizontal="center" vertical="center" wrapText="1"/>
    </xf>
    <xf numFmtId="0" fontId="275" fillId="0" borderId="61" xfId="642" applyFont="1" applyFill="1" applyBorder="1" applyAlignment="1">
      <alignment horizontal="center"/>
    </xf>
    <xf numFmtId="1" fontId="259" fillId="2" borderId="54" xfId="644" applyNumberFormat="1" applyFont="1" applyFill="1" applyBorder="1" applyAlignment="1">
      <alignment horizontal="center" vertical="center"/>
    </xf>
    <xf numFmtId="0" fontId="211" fillId="2" borderId="1" xfId="644" applyFont="1" applyFill="1" applyBorder="1" applyAlignment="1">
      <alignment horizontal="center" vertical="center"/>
    </xf>
    <xf numFmtId="0" fontId="211" fillId="2" borderId="0" xfId="644" applyFont="1" applyFill="1" applyBorder="1" applyAlignment="1">
      <alignment horizontal="center" vertical="center"/>
    </xf>
    <xf numFmtId="0" fontId="211" fillId="0" borderId="0" xfId="642" applyFont="1" applyFill="1"/>
    <xf numFmtId="0" fontId="211" fillId="0" borderId="0" xfId="642" applyFont="1" applyFill="1" applyBorder="1"/>
    <xf numFmtId="247" fontId="264" fillId="0" borderId="0" xfId="639" applyNumberFormat="1" applyFont="1" applyFill="1" applyBorder="1" applyAlignment="1">
      <alignment vertical="center"/>
    </xf>
    <xf numFmtId="0" fontId="259" fillId="0" borderId="0" xfId="642" applyFont="1" applyFill="1" applyBorder="1" applyAlignment="1">
      <alignment horizontal="center" vertical="center"/>
    </xf>
    <xf numFmtId="247" fontId="211" fillId="0" borderId="0" xfId="639" applyNumberFormat="1" applyFont="1" applyFill="1" applyBorder="1" applyAlignment="1">
      <alignment vertical="center"/>
    </xf>
    <xf numFmtId="0" fontId="276" fillId="0" borderId="0" xfId="642" quotePrefix="1" applyFont="1" applyFill="1" applyBorder="1" applyAlignment="1"/>
    <xf numFmtId="0" fontId="218" fillId="0" borderId="0" xfId="642" applyFont="1" applyAlignment="1">
      <alignment vertical="center"/>
    </xf>
    <xf numFmtId="0" fontId="218" fillId="0" borderId="0" xfId="642" applyFont="1" applyFill="1" applyAlignment="1">
      <alignment vertical="center"/>
    </xf>
    <xf numFmtId="0" fontId="238" fillId="0" borderId="0" xfId="642" applyFont="1" applyFill="1" applyAlignment="1">
      <alignment horizontal="center" vertical="center"/>
    </xf>
    <xf numFmtId="0" fontId="279" fillId="0" borderId="0" xfId="642" applyFont="1" applyFill="1" applyAlignment="1">
      <alignment horizontal="center" vertical="center"/>
    </xf>
    <xf numFmtId="0" fontId="238" fillId="0" borderId="0" xfId="642" applyFont="1" applyAlignment="1">
      <alignment vertical="center"/>
    </xf>
    <xf numFmtId="0" fontId="280" fillId="0" borderId="0" xfId="642" applyFont="1" applyAlignment="1">
      <alignment horizontal="center" vertical="center"/>
    </xf>
    <xf numFmtId="0" fontId="281" fillId="0" borderId="0" xfId="642" applyFont="1" applyAlignment="1">
      <alignment vertical="center"/>
    </xf>
    <xf numFmtId="0" fontId="280" fillId="0" borderId="0" xfId="642" quotePrefix="1" applyFont="1" applyAlignment="1">
      <alignment horizontal="center" vertical="center"/>
    </xf>
    <xf numFmtId="0" fontId="218" fillId="0" borderId="54" xfId="642" applyFont="1" applyBorder="1" applyAlignment="1">
      <alignment horizontal="center" vertical="center"/>
    </xf>
    <xf numFmtId="0" fontId="218" fillId="0" borderId="54" xfId="642" applyFont="1" applyFill="1" applyBorder="1" applyAlignment="1">
      <alignment horizontal="center" vertical="center"/>
    </xf>
    <xf numFmtId="0" fontId="218" fillId="0" borderId="54" xfId="642" applyFont="1" applyBorder="1" applyAlignment="1" applyProtection="1">
      <alignment horizontal="center" vertical="center"/>
      <protection hidden="1"/>
    </xf>
    <xf numFmtId="0" fontId="218" fillId="0" borderId="54" xfId="642" applyFont="1" applyFill="1" applyBorder="1" applyAlignment="1" applyProtection="1">
      <alignment horizontal="center" vertical="center"/>
      <protection hidden="1"/>
    </xf>
    <xf numFmtId="0" fontId="218" fillId="0" borderId="18" xfId="642" applyFont="1" applyBorder="1" applyAlignment="1">
      <alignment horizontal="center" vertical="center"/>
    </xf>
    <xf numFmtId="4" fontId="215" fillId="0" borderId="18" xfId="645" applyNumberFormat="1" applyFont="1" applyFill="1" applyBorder="1" applyAlignment="1">
      <alignment horizontal="left" vertical="center"/>
    </xf>
    <xf numFmtId="0" fontId="218" fillId="0" borderId="18" xfId="642" applyFont="1" applyFill="1" applyBorder="1" applyAlignment="1">
      <alignment horizontal="center" vertical="center"/>
    </xf>
    <xf numFmtId="217" fontId="218" fillId="0" borderId="18" xfId="640" applyNumberFormat="1" applyFont="1" applyBorder="1" applyAlignment="1">
      <alignment horizontal="center" vertical="center"/>
    </xf>
    <xf numFmtId="217" fontId="218" fillId="0" borderId="18" xfId="642" applyNumberFormat="1" applyFont="1" applyBorder="1" applyAlignment="1">
      <alignment vertical="center"/>
    </xf>
    <xf numFmtId="0" fontId="218" fillId="0" borderId="18" xfId="642" applyFont="1" applyBorder="1" applyAlignment="1">
      <alignment vertical="center"/>
    </xf>
    <xf numFmtId="0" fontId="218" fillId="0" borderId="19" xfId="642" applyFont="1" applyBorder="1" applyAlignment="1">
      <alignment horizontal="center" vertical="center"/>
    </xf>
    <xf numFmtId="0" fontId="218" fillId="0" borderId="19" xfId="642" applyFont="1" applyBorder="1" applyAlignment="1">
      <alignment vertical="center"/>
    </xf>
    <xf numFmtId="217" fontId="218" fillId="0" borderId="19" xfId="640" applyNumberFormat="1" applyFont="1" applyBorder="1" applyAlignment="1">
      <alignment horizontal="center" vertical="center"/>
    </xf>
    <xf numFmtId="0" fontId="218" fillId="0" borderId="39" xfId="642" applyFont="1" applyBorder="1" applyAlignment="1">
      <alignment horizontal="center" vertical="center"/>
    </xf>
    <xf numFmtId="0" fontId="218" fillId="0" borderId="39" xfId="642" applyFont="1" applyBorder="1" applyAlignment="1">
      <alignment vertical="center"/>
    </xf>
    <xf numFmtId="217" fontId="218" fillId="0" borderId="39" xfId="640" applyNumberFormat="1" applyFont="1" applyBorder="1" applyAlignment="1">
      <alignment horizontal="center" vertical="center"/>
    </xf>
    <xf numFmtId="217" fontId="218" fillId="0" borderId="39" xfId="642" applyNumberFormat="1" applyFont="1" applyBorder="1" applyAlignment="1">
      <alignment vertical="center"/>
    </xf>
    <xf numFmtId="217" fontId="218" fillId="0" borderId="54" xfId="639" applyNumberFormat="1" applyFont="1" applyBorder="1" applyAlignment="1">
      <alignment horizontal="center" vertical="center"/>
    </xf>
    <xf numFmtId="1" fontId="218" fillId="0" borderId="54" xfId="639" applyNumberFormat="1" applyFont="1" applyBorder="1" applyAlignment="1">
      <alignment horizontal="center" vertical="center"/>
    </xf>
    <xf numFmtId="217" fontId="282" fillId="0" borderId="54" xfId="640" applyNumberFormat="1" applyFont="1" applyBorder="1" applyAlignment="1">
      <alignment horizontal="center" vertical="center"/>
    </xf>
    <xf numFmtId="0" fontId="218" fillId="0" borderId="54" xfId="642" applyFont="1" applyBorder="1" applyAlignment="1">
      <alignment vertical="center"/>
    </xf>
    <xf numFmtId="0" fontId="283" fillId="0" borderId="0" xfId="642" applyFont="1" applyAlignment="1">
      <alignment vertical="center"/>
    </xf>
    <xf numFmtId="0" fontId="218" fillId="0" borderId="0" xfId="642" applyFont="1" applyAlignment="1">
      <alignment horizontal="center" vertical="center"/>
    </xf>
    <xf numFmtId="0" fontId="217" fillId="0" borderId="0" xfId="642" applyFont="1" applyAlignment="1">
      <alignment vertical="center"/>
    </xf>
    <xf numFmtId="0" fontId="282" fillId="0" borderId="0" xfId="642" applyFont="1" applyAlignment="1">
      <alignment vertical="center"/>
    </xf>
    <xf numFmtId="14" fontId="284" fillId="0" borderId="0" xfId="642" applyNumberFormat="1" applyFont="1" applyAlignment="1">
      <alignment vertical="center"/>
    </xf>
    <xf numFmtId="0" fontId="218" fillId="5" borderId="0" xfId="642" applyFont="1" applyFill="1" applyAlignment="1">
      <alignment vertical="center"/>
    </xf>
    <xf numFmtId="0" fontId="285" fillId="0" borderId="0" xfId="642" applyFont="1" applyAlignment="1">
      <alignment horizontal="right" vertical="center"/>
    </xf>
    <xf numFmtId="0" fontId="217" fillId="0" borderId="0" xfId="642" applyFont="1" applyAlignment="1">
      <alignment horizontal="center" vertical="center"/>
    </xf>
    <xf numFmtId="0" fontId="217" fillId="0" borderId="0" xfId="642" applyFont="1" applyFill="1" applyAlignment="1">
      <alignment vertical="center"/>
    </xf>
    <xf numFmtId="0" fontId="286" fillId="0" borderId="0" xfId="642" applyFont="1" applyAlignment="1">
      <alignment horizontal="center" vertical="center"/>
    </xf>
    <xf numFmtId="0" fontId="238" fillId="0" borderId="0" xfId="642" applyFont="1"/>
    <xf numFmtId="0" fontId="215" fillId="2" borderId="0" xfId="642" applyFont="1" applyFill="1" applyAlignment="1">
      <alignment vertical="center"/>
    </xf>
    <xf numFmtId="0" fontId="218" fillId="2" borderId="0" xfId="642" applyFont="1" applyFill="1" applyAlignment="1">
      <alignment horizontal="right" vertical="center"/>
    </xf>
    <xf numFmtId="0" fontId="226" fillId="2" borderId="0" xfId="642" applyFont="1" applyFill="1" applyAlignment="1">
      <alignment horizontal="right" vertical="center"/>
    </xf>
    <xf numFmtId="0" fontId="226" fillId="2" borderId="0" xfId="642" applyFont="1" applyFill="1" applyAlignment="1">
      <alignment vertical="center"/>
    </xf>
    <xf numFmtId="0" fontId="288" fillId="2" borderId="0" xfId="642" applyFont="1" applyFill="1" applyAlignment="1">
      <alignment vertical="center"/>
    </xf>
    <xf numFmtId="216" fontId="218" fillId="2" borderId="0" xfId="640" applyNumberFormat="1" applyFont="1" applyFill="1" applyAlignment="1">
      <alignment vertical="center"/>
    </xf>
    <xf numFmtId="0" fontId="218" fillId="2" borderId="0" xfId="642" applyFont="1" applyFill="1" applyAlignment="1">
      <alignment horizontal="left" vertical="center"/>
    </xf>
    <xf numFmtId="0" fontId="220" fillId="2" borderId="0" xfId="642" applyFont="1" applyFill="1" applyAlignment="1">
      <alignment vertical="center"/>
    </xf>
    <xf numFmtId="0" fontId="218" fillId="2" borderId="0" xfId="642" applyFont="1" applyFill="1" applyAlignment="1">
      <alignment vertical="center"/>
    </xf>
    <xf numFmtId="0" fontId="236" fillId="0" borderId="54" xfId="642" applyFont="1" applyBorder="1" applyAlignment="1">
      <alignment horizontal="center" vertical="center"/>
    </xf>
    <xf numFmtId="0" fontId="217" fillId="0" borderId="54" xfId="642" applyFont="1" applyBorder="1" applyAlignment="1">
      <alignment horizontal="center" vertical="center"/>
    </xf>
    <xf numFmtId="0" fontId="217" fillId="0" borderId="54" xfId="642" applyFont="1" applyBorder="1" applyAlignment="1">
      <alignment horizontal="center" vertical="center" wrapText="1"/>
    </xf>
    <xf numFmtId="0" fontId="238" fillId="0" borderId="54" xfId="642" applyFont="1" applyBorder="1" applyAlignment="1">
      <alignment horizontal="center"/>
    </xf>
    <xf numFmtId="0" fontId="211" fillId="0" borderId="54" xfId="642" applyFont="1" applyBorder="1"/>
    <xf numFmtId="0" fontId="211" fillId="0" borderId="54" xfId="642" applyFont="1" applyBorder="1" applyAlignment="1">
      <alignment horizontal="center"/>
    </xf>
    <xf numFmtId="217" fontId="211" fillId="0" borderId="54" xfId="639" applyNumberFormat="1" applyFont="1" applyBorder="1"/>
    <xf numFmtId="0" fontId="259" fillId="0" borderId="54" xfId="642" applyFont="1" applyBorder="1" applyAlignment="1">
      <alignment horizontal="center"/>
    </xf>
    <xf numFmtId="0" fontId="259" fillId="0" borderId="54" xfId="642" applyFont="1" applyBorder="1"/>
    <xf numFmtId="217" fontId="259" fillId="0" borderId="54" xfId="642" applyNumberFormat="1" applyFont="1" applyBorder="1"/>
    <xf numFmtId="0" fontId="291" fillId="0" borderId="0" xfId="645" applyFont="1"/>
    <xf numFmtId="0" fontId="268" fillId="0" borderId="0" xfId="645" applyFont="1" applyAlignment="1"/>
    <xf numFmtId="0" fontId="263" fillId="0" borderId="0" xfId="645" applyFont="1"/>
    <xf numFmtId="0" fontId="268" fillId="0" borderId="0" xfId="645" applyFont="1" applyAlignment="1">
      <alignment horizontal="center"/>
    </xf>
    <xf numFmtId="0" fontId="268" fillId="0" borderId="0" xfId="645" applyFont="1"/>
    <xf numFmtId="0" fontId="211" fillId="0" borderId="0" xfId="642" applyFont="1"/>
    <xf numFmtId="0" fontId="294" fillId="2" borderId="0" xfId="647" applyFont="1" applyFill="1"/>
    <xf numFmtId="2" fontId="292" fillId="2" borderId="0" xfId="646" applyNumberFormat="1" applyFont="1" applyFill="1" applyBorder="1" applyAlignment="1">
      <alignment horizontal="center" vertical="center"/>
    </xf>
    <xf numFmtId="0" fontId="277" fillId="2" borderId="0" xfId="648" applyFont="1" applyFill="1" applyAlignment="1"/>
    <xf numFmtId="198" fontId="277" fillId="2" borderId="0" xfId="648" applyNumberFormat="1" applyFont="1" applyFill="1" applyAlignment="1"/>
    <xf numFmtId="188" fontId="277" fillId="2" borderId="0" xfId="649" applyFont="1" applyFill="1" applyAlignment="1">
      <alignment horizontal="center"/>
    </xf>
    <xf numFmtId="0" fontId="211" fillId="2" borderId="0" xfId="646" applyFont="1" applyFill="1" applyBorder="1" applyAlignment="1">
      <alignment horizontal="center" vertical="center"/>
    </xf>
    <xf numFmtId="0" fontId="292" fillId="2" borderId="0" xfId="646" applyFont="1" applyFill="1" applyBorder="1" applyAlignment="1">
      <alignment horizontal="center" vertical="center"/>
    </xf>
    <xf numFmtId="2" fontId="211" fillId="2" borderId="0" xfId="646" applyNumberFormat="1" applyFont="1" applyFill="1" applyBorder="1" applyAlignment="1">
      <alignment horizontal="center" vertical="center"/>
    </xf>
    <xf numFmtId="0" fontId="265" fillId="2" borderId="0" xfId="646" applyFont="1" applyFill="1" applyBorder="1" applyAlignment="1">
      <alignment horizontal="center" vertical="center"/>
    </xf>
    <xf numFmtId="0" fontId="265" fillId="2" borderId="0" xfId="646" applyFont="1" applyFill="1" applyBorder="1" applyAlignment="1">
      <alignment horizontal="center" vertical="center" wrapText="1"/>
    </xf>
    <xf numFmtId="2" fontId="265" fillId="2" borderId="0" xfId="646" applyNumberFormat="1" applyFont="1" applyFill="1" applyBorder="1" applyAlignment="1">
      <alignment horizontal="center" vertical="center"/>
    </xf>
    <xf numFmtId="198" fontId="265" fillId="2" borderId="0" xfId="646" applyNumberFormat="1" applyFont="1" applyFill="1" applyBorder="1" applyAlignment="1">
      <alignment horizontal="center" vertical="center" shrinkToFit="1"/>
    </xf>
    <xf numFmtId="188" fontId="265" fillId="2" borderId="0" xfId="649" applyFont="1" applyFill="1" applyBorder="1" applyAlignment="1">
      <alignment horizontal="center" vertical="center"/>
    </xf>
    <xf numFmtId="188" fontId="277" fillId="2" borderId="54" xfId="649" applyFont="1" applyFill="1" applyBorder="1" applyAlignment="1">
      <alignment horizontal="center" vertical="center" shrinkToFit="1"/>
    </xf>
    <xf numFmtId="2" fontId="277" fillId="2" borderId="57" xfId="641" applyNumberFormat="1" applyFont="1" applyFill="1" applyBorder="1" applyAlignment="1">
      <alignment horizontal="center" vertical="center" shrinkToFit="1"/>
    </xf>
    <xf numFmtId="188" fontId="277" fillId="2" borderId="57" xfId="649" applyFont="1" applyFill="1" applyBorder="1" applyAlignment="1">
      <alignment horizontal="center" vertical="center" shrinkToFit="1"/>
    </xf>
    <xf numFmtId="2" fontId="220" fillId="2" borderId="54" xfId="646" applyNumberFormat="1" applyFont="1" applyFill="1" applyBorder="1" applyAlignment="1">
      <alignment horizontal="center" vertical="center" shrinkToFit="1"/>
    </xf>
    <xf numFmtId="0" fontId="277" fillId="2" borderId="54" xfId="646" applyFont="1" applyFill="1" applyBorder="1" applyAlignment="1">
      <alignment vertical="center" shrinkToFit="1"/>
    </xf>
    <xf numFmtId="0" fontId="295" fillId="2" borderId="54" xfId="646" applyFont="1" applyFill="1" applyBorder="1" applyAlignment="1">
      <alignment horizontal="center" vertical="center" shrinkToFit="1"/>
    </xf>
    <xf numFmtId="43" fontId="295" fillId="2" borderId="54" xfId="641" applyNumberFormat="1" applyFont="1" applyFill="1" applyBorder="1" applyAlignment="1">
      <alignment vertical="center" wrapText="1" shrinkToFit="1"/>
    </xf>
    <xf numFmtId="2" fontId="295" fillId="2" borderId="54" xfId="641" applyNumberFormat="1" applyFont="1" applyFill="1" applyBorder="1" applyAlignment="1">
      <alignment horizontal="center" vertical="center" shrinkToFit="1"/>
    </xf>
    <xf numFmtId="198" fontId="277" fillId="2" borderId="54" xfId="641" applyNumberFormat="1" applyFont="1" applyFill="1" applyBorder="1" applyAlignment="1">
      <alignment horizontal="right" vertical="center" shrinkToFit="1"/>
    </xf>
    <xf numFmtId="224" fontId="295" fillId="2" borderId="54" xfId="646" applyNumberFormat="1" applyFont="1" applyFill="1" applyBorder="1" applyAlignment="1">
      <alignment horizontal="left" vertical="center" shrinkToFit="1"/>
    </xf>
    <xf numFmtId="2" fontId="220" fillId="2" borderId="37" xfId="646" applyNumberFormat="1" applyFont="1" applyFill="1" applyBorder="1" applyAlignment="1">
      <alignment horizontal="center" vertical="center" shrinkToFit="1"/>
    </xf>
    <xf numFmtId="0" fontId="277" fillId="2" borderId="37" xfId="646" applyFont="1" applyFill="1" applyBorder="1" applyAlignment="1">
      <alignment vertical="center" shrinkToFit="1"/>
    </xf>
    <xf numFmtId="0" fontId="215" fillId="2" borderId="37" xfId="646" applyFont="1" applyFill="1" applyBorder="1" applyAlignment="1">
      <alignment horizontal="center" vertical="center" shrinkToFit="1"/>
    </xf>
    <xf numFmtId="2" fontId="215" fillId="2" borderId="37" xfId="646" applyNumberFormat="1" applyFont="1" applyFill="1" applyBorder="1" applyAlignment="1">
      <alignment horizontal="center" vertical="center" shrinkToFit="1"/>
    </xf>
    <xf numFmtId="2" fontId="215" fillId="2" borderId="37" xfId="641" applyNumberFormat="1" applyFont="1" applyFill="1" applyBorder="1" applyAlignment="1">
      <alignment horizontal="center" vertical="center" shrinkToFit="1"/>
    </xf>
    <xf numFmtId="198" fontId="215" fillId="2" borderId="37" xfId="641" applyNumberFormat="1" applyFont="1" applyFill="1" applyBorder="1" applyAlignment="1">
      <alignment horizontal="right" vertical="center" shrinkToFit="1"/>
    </xf>
    <xf numFmtId="188" fontId="296" fillId="2" borderId="37" xfId="649" applyFont="1" applyFill="1" applyBorder="1" applyAlignment="1">
      <alignment horizontal="center" vertical="center" shrinkToFit="1"/>
    </xf>
    <xf numFmtId="224" fontId="277" fillId="2" borderId="37" xfId="646" applyNumberFormat="1" applyFont="1" applyFill="1" applyBorder="1" applyAlignment="1">
      <alignment horizontal="center" vertical="center" shrinkToFit="1"/>
    </xf>
    <xf numFmtId="198" fontId="215" fillId="2" borderId="18" xfId="646" applyNumberFormat="1" applyFont="1" applyFill="1" applyBorder="1" applyAlignment="1">
      <alignment horizontal="center" vertical="center" shrinkToFit="1"/>
    </xf>
    <xf numFmtId="0" fontId="295" fillId="2" borderId="18" xfId="646" applyFont="1" applyFill="1" applyBorder="1" applyAlignment="1">
      <alignment vertical="center" shrinkToFit="1"/>
    </xf>
    <xf numFmtId="0" fontId="215" fillId="2" borderId="18" xfId="646" applyFont="1" applyFill="1" applyBorder="1" applyAlignment="1">
      <alignment horizontal="center" vertical="center" shrinkToFit="1"/>
    </xf>
    <xf numFmtId="2" fontId="215" fillId="2" borderId="18" xfId="646" applyNumberFormat="1" applyFont="1" applyFill="1" applyBorder="1" applyAlignment="1">
      <alignment horizontal="center" vertical="center" shrinkToFit="1"/>
    </xf>
    <xf numFmtId="2" fontId="215" fillId="2" borderId="18" xfId="641" applyNumberFormat="1" applyFont="1" applyFill="1" applyBorder="1" applyAlignment="1">
      <alignment horizontal="center" vertical="center" shrinkToFit="1"/>
    </xf>
    <xf numFmtId="217" fontId="215" fillId="2" borderId="18" xfId="649" applyNumberFormat="1" applyFont="1" applyFill="1" applyBorder="1" applyAlignment="1">
      <alignment horizontal="center" vertical="center" shrinkToFit="1"/>
    </xf>
    <xf numFmtId="198" fontId="295" fillId="2" borderId="18" xfId="641" applyNumberFormat="1" applyFont="1" applyFill="1" applyBorder="1" applyAlignment="1">
      <alignment horizontal="right" vertical="center" shrinkToFit="1"/>
    </xf>
    <xf numFmtId="188" fontId="296" fillId="2" borderId="18" xfId="649" applyFont="1" applyFill="1" applyBorder="1" applyAlignment="1">
      <alignment horizontal="center" vertical="center" shrinkToFit="1"/>
    </xf>
    <xf numFmtId="224" fontId="295" fillId="2" borderId="18" xfId="646" applyNumberFormat="1" applyFont="1" applyFill="1" applyBorder="1" applyAlignment="1">
      <alignment horizontal="center" vertical="center" shrinkToFit="1"/>
    </xf>
    <xf numFmtId="224" fontId="277" fillId="2" borderId="18" xfId="646" applyNumberFormat="1" applyFont="1" applyFill="1" applyBorder="1" applyAlignment="1">
      <alignment horizontal="center" vertical="center" shrinkToFit="1"/>
    </xf>
    <xf numFmtId="2" fontId="220" fillId="2" borderId="18" xfId="646" applyNumberFormat="1" applyFont="1" applyFill="1" applyBorder="1" applyAlignment="1">
      <alignment horizontal="center" vertical="center" shrinkToFit="1"/>
    </xf>
    <xf numFmtId="0" fontId="277" fillId="2" borderId="18" xfId="646" applyFont="1" applyFill="1" applyBorder="1" applyAlignment="1">
      <alignment vertical="center" shrinkToFit="1"/>
    </xf>
    <xf numFmtId="198" fontId="277" fillId="2" borderId="18" xfId="641" applyNumberFormat="1" applyFont="1" applyFill="1" applyBorder="1" applyAlignment="1">
      <alignment horizontal="right" vertical="center" shrinkToFit="1"/>
    </xf>
    <xf numFmtId="188" fontId="277" fillId="2" borderId="18" xfId="649" applyFont="1" applyFill="1" applyBorder="1" applyAlignment="1">
      <alignment horizontal="center" vertical="center" shrinkToFit="1"/>
    </xf>
    <xf numFmtId="0" fontId="297" fillId="2" borderId="0" xfId="650" applyFont="1" applyFill="1"/>
    <xf numFmtId="200" fontId="295" fillId="2" borderId="18" xfId="641" applyNumberFormat="1" applyFont="1" applyFill="1" applyBorder="1" applyAlignment="1">
      <alignment vertical="center" wrapText="1" shrinkToFit="1"/>
    </xf>
    <xf numFmtId="188" fontId="295" fillId="2" borderId="18" xfId="649" applyFont="1" applyFill="1" applyBorder="1" applyAlignment="1">
      <alignment horizontal="center" vertical="center" shrinkToFit="1"/>
    </xf>
    <xf numFmtId="4" fontId="295" fillId="2" borderId="18" xfId="641" applyNumberFormat="1" applyFont="1" applyFill="1" applyBorder="1" applyAlignment="1">
      <alignment horizontal="center" vertical="center" wrapText="1" shrinkToFit="1"/>
    </xf>
    <xf numFmtId="224" fontId="295" fillId="2" borderId="18" xfId="646" quotePrefix="1" applyNumberFormat="1" applyFont="1" applyFill="1" applyBorder="1" applyAlignment="1">
      <alignment horizontal="center" vertical="center" shrinkToFit="1"/>
    </xf>
    <xf numFmtId="0" fontId="215" fillId="2" borderId="18" xfId="646" applyFont="1" applyFill="1" applyBorder="1" applyAlignment="1">
      <alignment vertical="center" shrinkToFit="1"/>
    </xf>
    <xf numFmtId="4" fontId="277" fillId="2" borderId="18" xfId="641" applyNumberFormat="1" applyFont="1" applyFill="1" applyBorder="1" applyAlignment="1">
      <alignment horizontal="center" vertical="center" wrapText="1" shrinkToFit="1"/>
    </xf>
    <xf numFmtId="2" fontId="295" fillId="2" borderId="18" xfId="646" applyNumberFormat="1" applyFont="1" applyFill="1" applyBorder="1" applyAlignment="1">
      <alignment horizontal="center" vertical="center" shrinkToFit="1"/>
    </xf>
    <xf numFmtId="2" fontId="295" fillId="2" borderId="18" xfId="641" applyNumberFormat="1" applyFont="1" applyFill="1" applyBorder="1" applyAlignment="1">
      <alignment horizontal="center" vertical="center" shrinkToFit="1"/>
    </xf>
    <xf numFmtId="1" fontId="220" fillId="2" borderId="18" xfId="646" applyNumberFormat="1" applyFont="1" applyFill="1" applyBorder="1" applyAlignment="1">
      <alignment horizontal="center" vertical="center" shrinkToFit="1"/>
    </xf>
    <xf numFmtId="0" fontId="298" fillId="2" borderId="18" xfId="646" applyFont="1" applyFill="1" applyBorder="1" applyAlignment="1">
      <alignment vertical="center" shrinkToFit="1"/>
    </xf>
    <xf numFmtId="188" fontId="220" fillId="2" borderId="18" xfId="649" applyFont="1" applyFill="1" applyBorder="1" applyAlignment="1">
      <alignment horizontal="center" vertical="center" shrinkToFit="1"/>
    </xf>
    <xf numFmtId="4" fontId="215" fillId="2" borderId="18" xfId="641" applyNumberFormat="1" applyFont="1" applyFill="1" applyBorder="1" applyAlignment="1">
      <alignment horizontal="center" vertical="center" wrapText="1" shrinkToFit="1"/>
    </xf>
    <xf numFmtId="198" fontId="215" fillId="2" borderId="18" xfId="641" applyNumberFormat="1" applyFont="1" applyFill="1" applyBorder="1" applyAlignment="1">
      <alignment horizontal="center" vertical="center" shrinkToFit="1"/>
    </xf>
    <xf numFmtId="188" fontId="215" fillId="2" borderId="18" xfId="649" applyFont="1" applyFill="1" applyBorder="1" applyAlignment="1">
      <alignment horizontal="center" vertical="center" shrinkToFit="1"/>
    </xf>
    <xf numFmtId="224" fontId="215" fillId="2" borderId="18" xfId="646" applyNumberFormat="1" applyFont="1" applyFill="1" applyBorder="1" applyAlignment="1">
      <alignment horizontal="center" vertical="center" shrinkToFit="1"/>
    </xf>
    <xf numFmtId="0" fontId="211" fillId="2" borderId="0" xfId="650" applyFont="1" applyFill="1"/>
    <xf numFmtId="198" fontId="294" fillId="2" borderId="0" xfId="647" applyNumberFormat="1" applyFont="1" applyFill="1"/>
    <xf numFmtId="2" fontId="215" fillId="2" borderId="62" xfId="651" applyNumberFormat="1" applyFont="1" applyFill="1" applyBorder="1" applyAlignment="1">
      <alignment horizontal="center" vertical="center" wrapText="1"/>
    </xf>
    <xf numFmtId="224" fontId="215" fillId="2" borderId="19" xfId="646" applyNumberFormat="1" applyFont="1" applyFill="1" applyBorder="1" applyAlignment="1">
      <alignment horizontal="center" vertical="center" shrinkToFit="1"/>
    </xf>
    <xf numFmtId="1" fontId="215" fillId="2" borderId="18" xfId="646" applyNumberFormat="1" applyFont="1" applyFill="1" applyBorder="1" applyAlignment="1">
      <alignment horizontal="center" vertical="center" shrinkToFit="1"/>
    </xf>
    <xf numFmtId="2" fontId="294" fillId="2" borderId="18" xfId="647" applyNumberFormat="1" applyFont="1" applyFill="1" applyBorder="1" applyAlignment="1">
      <alignment horizontal="center"/>
    </xf>
    <xf numFmtId="0" fontId="294" fillId="2" borderId="18" xfId="647" applyFont="1" applyFill="1" applyBorder="1" applyAlignment="1">
      <alignment vertical="center"/>
    </xf>
    <xf numFmtId="198" fontId="215" fillId="2" borderId="18" xfId="649" applyNumberFormat="1" applyFont="1" applyFill="1" applyBorder="1" applyAlignment="1">
      <alignment horizontal="center" vertical="center" shrinkToFit="1"/>
    </xf>
    <xf numFmtId="224" fontId="220" fillId="2" borderId="18" xfId="646" applyNumberFormat="1" applyFont="1" applyFill="1" applyBorder="1" applyAlignment="1">
      <alignment horizontal="center" vertical="center" shrinkToFit="1"/>
    </xf>
    <xf numFmtId="188" fontId="294" fillId="2" borderId="0" xfId="649" applyFont="1" applyFill="1"/>
    <xf numFmtId="224" fontId="215" fillId="2" borderId="18" xfId="641" applyNumberFormat="1" applyFont="1" applyFill="1" applyBorder="1" applyAlignment="1">
      <alignment horizontal="center" vertical="center" shrinkToFit="1"/>
    </xf>
    <xf numFmtId="0" fontId="294" fillId="2" borderId="18" xfId="647" applyFont="1" applyFill="1" applyBorder="1"/>
    <xf numFmtId="0" fontId="294" fillId="2" borderId="18" xfId="647" applyFont="1" applyFill="1" applyBorder="1" applyAlignment="1">
      <alignment horizontal="center" vertical="center"/>
    </xf>
    <xf numFmtId="198" fontId="215" fillId="2" borderId="18" xfId="641" applyNumberFormat="1" applyFont="1" applyFill="1" applyBorder="1" applyAlignment="1">
      <alignment horizontal="right" vertical="center" shrinkToFit="1"/>
    </xf>
    <xf numFmtId="198" fontId="295" fillId="2" borderId="18" xfId="641" applyNumberFormat="1" applyFont="1" applyFill="1" applyBorder="1" applyAlignment="1">
      <alignment horizontal="center" vertical="center" shrinkToFit="1"/>
    </xf>
    <xf numFmtId="0" fontId="294" fillId="2" borderId="63" xfId="647" applyFont="1" applyFill="1" applyBorder="1"/>
    <xf numFmtId="0" fontId="265" fillId="2" borderId="0" xfId="650" applyFont="1" applyFill="1"/>
    <xf numFmtId="2" fontId="295" fillId="2" borderId="18" xfId="646" applyNumberFormat="1" applyFont="1" applyFill="1" applyBorder="1" applyAlignment="1">
      <alignment horizontal="right" vertical="center"/>
    </xf>
    <xf numFmtId="2" fontId="281" fillId="2" borderId="18" xfId="641" applyNumberFormat="1" applyFont="1" applyFill="1" applyBorder="1" applyAlignment="1">
      <alignment horizontal="right" vertical="center" shrinkToFit="1"/>
    </xf>
    <xf numFmtId="0" fontId="300" fillId="2" borderId="0" xfId="646" applyFont="1" applyFill="1" applyBorder="1" applyAlignment="1">
      <alignment horizontal="center" vertical="center" shrinkToFit="1"/>
    </xf>
    <xf numFmtId="0" fontId="285" fillId="2" borderId="18" xfId="646" applyFont="1" applyFill="1" applyBorder="1" applyAlignment="1">
      <alignment horizontal="center" vertical="center" shrinkToFit="1"/>
    </xf>
    <xf numFmtId="241" fontId="281" fillId="2" borderId="18" xfId="646" applyNumberFormat="1" applyFont="1" applyFill="1" applyBorder="1" applyAlignment="1">
      <alignment horizontal="center" vertical="center"/>
    </xf>
    <xf numFmtId="198" fontId="281" fillId="2" borderId="18" xfId="641" applyNumberFormat="1" applyFont="1" applyFill="1" applyBorder="1" applyAlignment="1">
      <alignment horizontal="center" vertical="center" shrinkToFit="1"/>
    </xf>
    <xf numFmtId="188" fontId="298" fillId="2" borderId="18" xfId="649" applyFont="1" applyFill="1" applyBorder="1" applyAlignment="1">
      <alignment horizontal="center" vertical="center" shrinkToFit="1"/>
    </xf>
    <xf numFmtId="224" fontId="257" fillId="2" borderId="18" xfId="646" applyNumberFormat="1" applyFont="1" applyFill="1" applyBorder="1" applyAlignment="1">
      <alignment horizontal="left" vertical="center" shrinkToFit="1"/>
    </xf>
    <xf numFmtId="0" fontId="220" fillId="2" borderId="18" xfId="646" applyFont="1" applyFill="1" applyBorder="1" applyAlignment="1">
      <alignment horizontal="center" vertical="center" shrinkToFit="1"/>
    </xf>
    <xf numFmtId="2" fontId="215" fillId="2" borderId="18" xfId="646" applyNumberFormat="1" applyFont="1" applyFill="1" applyBorder="1" applyAlignment="1">
      <alignment horizontal="right" vertical="center"/>
    </xf>
    <xf numFmtId="224" fontId="281" fillId="2" borderId="18" xfId="646" applyNumberFormat="1" applyFont="1" applyFill="1" applyBorder="1" applyAlignment="1">
      <alignment horizontal="left" vertical="center" shrinkToFit="1"/>
    </xf>
    <xf numFmtId="228" fontId="281" fillId="2" borderId="18" xfId="646" applyNumberFormat="1" applyFont="1" applyFill="1" applyBorder="1" applyAlignment="1">
      <alignment horizontal="center" vertical="center"/>
    </xf>
    <xf numFmtId="2" fontId="281" fillId="2" borderId="18" xfId="646" applyNumberFormat="1" applyFont="1" applyFill="1" applyBorder="1" applyAlignment="1">
      <alignment horizontal="right" vertical="center"/>
    </xf>
    <xf numFmtId="2" fontId="281" fillId="2" borderId="18" xfId="641" applyNumberFormat="1" applyFont="1" applyFill="1" applyBorder="1" applyAlignment="1">
      <alignment horizontal="right" vertical="center"/>
    </xf>
    <xf numFmtId="2" fontId="281" fillId="2" borderId="18" xfId="646" applyNumberFormat="1" applyFont="1" applyFill="1" applyBorder="1" applyAlignment="1">
      <alignment horizontal="right" vertical="center" shrinkToFit="1"/>
    </xf>
    <xf numFmtId="2" fontId="220" fillId="2" borderId="18" xfId="646" applyNumberFormat="1" applyFont="1" applyFill="1" applyBorder="1" applyAlignment="1">
      <alignment horizontal="right" vertical="center"/>
    </xf>
    <xf numFmtId="224" fontId="281" fillId="2" borderId="37" xfId="646" applyNumberFormat="1" applyFont="1" applyFill="1" applyBorder="1" applyAlignment="1">
      <alignment horizontal="left" vertical="center" shrinkToFit="1"/>
    </xf>
    <xf numFmtId="1" fontId="220" fillId="2" borderId="54" xfId="641" applyNumberFormat="1" applyFont="1" applyFill="1" applyBorder="1" applyAlignment="1">
      <alignment horizontal="center" vertical="center" shrinkToFit="1"/>
    </xf>
    <xf numFmtId="224" fontId="277" fillId="2" borderId="54" xfId="641" applyNumberFormat="1" applyFont="1" applyFill="1" applyBorder="1" applyAlignment="1">
      <alignment vertical="center" shrinkToFit="1"/>
    </xf>
    <xf numFmtId="224" fontId="215" fillId="2" borderId="54" xfId="641" applyNumberFormat="1" applyFont="1" applyFill="1" applyBorder="1" applyAlignment="1">
      <alignment horizontal="center" vertical="center" shrinkToFit="1"/>
    </xf>
    <xf numFmtId="228" fontId="277" fillId="2" borderId="54" xfId="641" applyNumberFormat="1" applyFont="1" applyFill="1" applyBorder="1" applyAlignment="1">
      <alignment horizontal="center" vertical="center"/>
    </xf>
    <xf numFmtId="2" fontId="277" fillId="2" borderId="54" xfId="650" applyNumberFormat="1" applyFont="1" applyFill="1" applyBorder="1" applyAlignment="1">
      <alignment horizontal="right"/>
    </xf>
    <xf numFmtId="2" fontId="277" fillId="2" borderId="54" xfId="641" applyNumberFormat="1" applyFont="1" applyFill="1" applyBorder="1" applyAlignment="1">
      <alignment horizontal="right" vertical="center"/>
    </xf>
    <xf numFmtId="2" fontId="277" fillId="2" borderId="54" xfId="641" applyNumberFormat="1" applyFont="1" applyFill="1" applyBorder="1" applyAlignment="1">
      <alignment horizontal="right" vertical="center" shrinkToFit="1"/>
    </xf>
    <xf numFmtId="2" fontId="295" fillId="2" borderId="54" xfId="646" applyNumberFormat="1" applyFont="1" applyFill="1" applyBorder="1" applyAlignment="1">
      <alignment horizontal="right" vertical="center" shrinkToFit="1"/>
    </xf>
    <xf numFmtId="198" fontId="295" fillId="2" borderId="54" xfId="641" applyNumberFormat="1" applyFont="1" applyFill="1" applyBorder="1" applyAlignment="1">
      <alignment horizontal="center" vertical="center" shrinkToFit="1"/>
    </xf>
    <xf numFmtId="224" fontId="277" fillId="2" borderId="54" xfId="646" applyNumberFormat="1" applyFont="1" applyFill="1" applyBorder="1" applyAlignment="1">
      <alignment vertical="center" shrinkToFit="1"/>
    </xf>
    <xf numFmtId="0" fontId="292" fillId="2" borderId="0" xfId="650" applyFont="1" applyFill="1"/>
    <xf numFmtId="1" fontId="220" fillId="2" borderId="37" xfId="641" applyNumberFormat="1" applyFont="1" applyFill="1" applyBorder="1" applyAlignment="1">
      <alignment horizontal="center" vertical="center" shrinkToFit="1"/>
    </xf>
    <xf numFmtId="224" fontId="277" fillId="2" borderId="37" xfId="641" applyNumberFormat="1" applyFont="1" applyFill="1" applyBorder="1" applyAlignment="1">
      <alignment horizontal="left" vertical="center" shrinkToFit="1"/>
    </xf>
    <xf numFmtId="224" fontId="215" fillId="2" borderId="37" xfId="641" applyNumberFormat="1" applyFont="1" applyFill="1" applyBorder="1" applyAlignment="1">
      <alignment horizontal="center" vertical="center" shrinkToFit="1"/>
    </xf>
    <xf numFmtId="228" fontId="277" fillId="2" borderId="37" xfId="641" applyNumberFormat="1" applyFont="1" applyFill="1" applyBorder="1" applyAlignment="1">
      <alignment horizontal="center" vertical="center"/>
    </xf>
    <xf numFmtId="2" fontId="277" fillId="2" borderId="37" xfId="650" applyNumberFormat="1" applyFont="1" applyFill="1" applyBorder="1" applyAlignment="1">
      <alignment horizontal="right"/>
    </xf>
    <xf numFmtId="2" fontId="277" fillId="2" borderId="37" xfId="641" applyNumberFormat="1" applyFont="1" applyFill="1" applyBorder="1" applyAlignment="1">
      <alignment horizontal="right" vertical="center"/>
    </xf>
    <xf numFmtId="2" fontId="277" fillId="2" borderId="37" xfId="641" applyNumberFormat="1" applyFont="1" applyFill="1" applyBorder="1" applyAlignment="1">
      <alignment horizontal="right" vertical="center" shrinkToFit="1"/>
    </xf>
    <xf numFmtId="2" fontId="295" fillId="2" borderId="37" xfId="646" applyNumberFormat="1" applyFont="1" applyFill="1" applyBorder="1" applyAlignment="1">
      <alignment horizontal="right" vertical="center" shrinkToFit="1"/>
    </xf>
    <xf numFmtId="198" fontId="295" fillId="2" borderId="37" xfId="641" applyNumberFormat="1" applyFont="1" applyFill="1" applyBorder="1" applyAlignment="1">
      <alignment horizontal="center" vertical="center" shrinkToFit="1"/>
    </xf>
    <xf numFmtId="188" fontId="277" fillId="2" borderId="37" xfId="649" applyFont="1" applyFill="1" applyBorder="1" applyAlignment="1">
      <alignment horizontal="center" vertical="center" shrinkToFit="1"/>
    </xf>
    <xf numFmtId="224" fontId="277" fillId="2" borderId="37" xfId="646" applyNumberFormat="1" applyFont="1" applyFill="1" applyBorder="1" applyAlignment="1">
      <alignment vertical="center" shrinkToFit="1"/>
    </xf>
    <xf numFmtId="1" fontId="215" fillId="2" borderId="18" xfId="641" applyNumberFormat="1" applyFont="1" applyFill="1" applyBorder="1" applyAlignment="1">
      <alignment horizontal="center" vertical="center" shrinkToFit="1"/>
    </xf>
    <xf numFmtId="2" fontId="277" fillId="2" borderId="18" xfId="650" applyNumberFormat="1" applyFont="1" applyFill="1" applyBorder="1" applyAlignment="1">
      <alignment horizontal="right"/>
    </xf>
    <xf numFmtId="2" fontId="277" fillId="2" borderId="18" xfId="641" applyNumberFormat="1" applyFont="1" applyFill="1" applyBorder="1" applyAlignment="1">
      <alignment horizontal="right" vertical="center"/>
    </xf>
    <xf numFmtId="2" fontId="277" fillId="2" borderId="18" xfId="641" applyNumberFormat="1" applyFont="1" applyFill="1" applyBorder="1" applyAlignment="1">
      <alignment horizontal="right" vertical="center" shrinkToFit="1"/>
    </xf>
    <xf numFmtId="2" fontId="295" fillId="2" borderId="18" xfId="646" applyNumberFormat="1" applyFont="1" applyFill="1" applyBorder="1" applyAlignment="1">
      <alignment horizontal="right" vertical="center" shrinkToFit="1"/>
    </xf>
    <xf numFmtId="224" fontId="277" fillId="2" borderId="18" xfId="646" applyNumberFormat="1" applyFont="1" applyFill="1" applyBorder="1" applyAlignment="1">
      <alignment vertical="center" shrinkToFit="1"/>
    </xf>
    <xf numFmtId="2" fontId="215" fillId="2" borderId="19" xfId="646" applyNumberFormat="1" applyFont="1" applyFill="1" applyBorder="1" applyAlignment="1">
      <alignment horizontal="center" vertical="center" shrinkToFit="1"/>
    </xf>
    <xf numFmtId="1" fontId="220" fillId="2" borderId="18" xfId="641" applyNumberFormat="1" applyFont="1" applyFill="1" applyBorder="1" applyAlignment="1">
      <alignment horizontal="center" vertical="center" shrinkToFit="1"/>
    </xf>
    <xf numFmtId="224" fontId="277" fillId="2" borderId="18" xfId="641" applyNumberFormat="1" applyFont="1" applyFill="1" applyBorder="1" applyAlignment="1">
      <alignment horizontal="left" vertical="center" shrinkToFit="1"/>
    </xf>
    <xf numFmtId="228" fontId="277" fillId="2" borderId="18" xfId="641" applyNumberFormat="1" applyFont="1" applyFill="1" applyBorder="1" applyAlignment="1">
      <alignment horizontal="center" vertical="center"/>
    </xf>
    <xf numFmtId="0" fontId="215" fillId="2" borderId="54" xfId="646" applyFont="1" applyFill="1" applyBorder="1" applyAlignment="1">
      <alignment horizontal="center" vertical="center" shrinkToFit="1"/>
    </xf>
    <xf numFmtId="4" fontId="295" fillId="2" borderId="54" xfId="641" applyNumberFormat="1" applyFont="1" applyFill="1" applyBorder="1" applyAlignment="1">
      <alignment horizontal="center" vertical="center" wrapText="1" shrinkToFit="1"/>
    </xf>
    <xf numFmtId="0" fontId="265" fillId="2" borderId="54" xfId="650" applyFont="1" applyFill="1" applyBorder="1"/>
    <xf numFmtId="2" fontId="295" fillId="2" borderId="54" xfId="650" applyNumberFormat="1" applyFont="1" applyFill="1" applyBorder="1" applyAlignment="1">
      <alignment horizontal="center"/>
    </xf>
    <xf numFmtId="1" fontId="215" fillId="2" borderId="54" xfId="646" applyNumberFormat="1" applyFont="1" applyFill="1" applyBorder="1" applyAlignment="1">
      <alignment horizontal="center" vertical="center" shrinkToFit="1"/>
    </xf>
    <xf numFmtId="0" fontId="295" fillId="2" borderId="54" xfId="646" applyFont="1" applyFill="1" applyBorder="1" applyAlignment="1">
      <alignment vertical="center" shrinkToFit="1"/>
    </xf>
    <xf numFmtId="188" fontId="295" fillId="2" borderId="54" xfId="649" applyFont="1" applyFill="1" applyBorder="1" applyAlignment="1">
      <alignment horizontal="center" vertical="center" shrinkToFit="1"/>
    </xf>
    <xf numFmtId="0" fontId="295" fillId="2" borderId="54" xfId="646" applyFont="1" applyFill="1" applyBorder="1" applyAlignment="1">
      <alignment horizontal="left" vertical="center" shrinkToFit="1"/>
    </xf>
    <xf numFmtId="1" fontId="220" fillId="2" borderId="54" xfId="646" applyNumberFormat="1" applyFont="1" applyFill="1" applyBorder="1" applyAlignment="1">
      <alignment horizontal="center" vertical="center" shrinkToFit="1"/>
    </xf>
    <xf numFmtId="0" fontId="220" fillId="2" borderId="54" xfId="646" applyFont="1" applyFill="1" applyBorder="1" applyAlignment="1">
      <alignment vertical="center" shrinkToFit="1"/>
    </xf>
    <xf numFmtId="4" fontId="295" fillId="2" borderId="54" xfId="646" applyNumberFormat="1" applyFont="1" applyFill="1" applyBorder="1" applyAlignment="1">
      <alignment horizontal="center" vertical="center" shrinkToFit="1"/>
    </xf>
    <xf numFmtId="188" fontId="220" fillId="2" borderId="54" xfId="649" applyFont="1" applyFill="1" applyBorder="1" applyAlignment="1">
      <alignment horizontal="center" vertical="center" shrinkToFit="1"/>
    </xf>
    <xf numFmtId="1" fontId="215" fillId="2" borderId="19" xfId="646" applyNumberFormat="1" applyFont="1" applyFill="1" applyBorder="1" applyAlignment="1">
      <alignment horizontal="center" vertical="center" shrinkToFit="1"/>
    </xf>
    <xf numFmtId="0" fontId="215" fillId="2" borderId="19" xfId="646" applyFont="1" applyFill="1" applyBorder="1" applyAlignment="1">
      <alignment vertical="center" shrinkToFit="1"/>
    </xf>
    <xf numFmtId="0" fontId="215" fillId="2" borderId="19" xfId="646" applyFont="1" applyFill="1" applyBorder="1" applyAlignment="1">
      <alignment horizontal="center" vertical="center" shrinkToFit="1"/>
    </xf>
    <xf numFmtId="4" fontId="295" fillId="2" borderId="19" xfId="641" applyNumberFormat="1" applyFont="1" applyFill="1" applyBorder="1" applyAlignment="1">
      <alignment horizontal="center" vertical="center" wrapText="1" shrinkToFit="1"/>
    </xf>
    <xf numFmtId="4" fontId="295" fillId="2" borderId="19" xfId="646" applyNumberFormat="1" applyFont="1" applyFill="1" applyBorder="1" applyAlignment="1">
      <alignment horizontal="center" vertical="center" shrinkToFit="1"/>
    </xf>
    <xf numFmtId="3" fontId="295" fillId="2" borderId="19" xfId="646" applyNumberFormat="1" applyFont="1" applyFill="1" applyBorder="1" applyAlignment="1">
      <alignment horizontal="center" vertical="center" shrinkToFit="1"/>
    </xf>
    <xf numFmtId="217" fontId="295" fillId="2" borderId="19" xfId="649" applyNumberFormat="1" applyFont="1" applyFill="1" applyBorder="1" applyAlignment="1">
      <alignment horizontal="center" vertical="center" shrinkToFit="1"/>
    </xf>
    <xf numFmtId="0" fontId="295" fillId="2" borderId="19" xfId="646" applyFont="1" applyFill="1" applyBorder="1" applyAlignment="1">
      <alignment horizontal="left" vertical="center" shrinkToFit="1"/>
    </xf>
    <xf numFmtId="0" fontId="277" fillId="2" borderId="39" xfId="646" applyFont="1" applyFill="1" applyBorder="1" applyAlignment="1">
      <alignment horizontal="center" vertical="center" shrinkToFit="1"/>
    </xf>
    <xf numFmtId="0" fontId="277" fillId="2" borderId="39" xfId="646" applyFont="1" applyFill="1" applyBorder="1" applyAlignment="1">
      <alignment horizontal="center" vertical="center" wrapText="1" shrinkToFit="1"/>
    </xf>
    <xf numFmtId="2" fontId="277" fillId="2" borderId="39" xfId="646" applyNumberFormat="1" applyFont="1" applyFill="1" applyBorder="1" applyAlignment="1">
      <alignment horizontal="center" vertical="center" shrinkToFit="1"/>
    </xf>
    <xf numFmtId="198" fontId="277" fillId="2" borderId="39" xfId="641" applyNumberFormat="1" applyFont="1" applyFill="1" applyBorder="1" applyAlignment="1">
      <alignment horizontal="right" vertical="center" shrinkToFit="1"/>
    </xf>
    <xf numFmtId="188" fontId="277" fillId="2" borderId="39" xfId="649" applyFont="1" applyFill="1" applyBorder="1" applyAlignment="1">
      <alignment horizontal="center" vertical="center" shrinkToFit="1"/>
    </xf>
    <xf numFmtId="2" fontId="211" fillId="2" borderId="0" xfId="646" applyNumberFormat="1" applyFont="1" applyFill="1" applyBorder="1" applyAlignment="1">
      <alignment horizontal="center" vertical="center" shrinkToFit="1"/>
    </xf>
    <xf numFmtId="0" fontId="292" fillId="2" borderId="0" xfId="646" applyFont="1" applyFill="1" applyBorder="1" applyAlignment="1">
      <alignment horizontal="center" vertical="center" shrinkToFit="1"/>
    </xf>
    <xf numFmtId="0" fontId="292" fillId="2" borderId="0" xfId="646" applyFont="1" applyFill="1" applyBorder="1" applyAlignment="1">
      <alignment horizontal="center" vertical="center" wrapText="1" shrinkToFit="1"/>
    </xf>
    <xf numFmtId="2" fontId="292" fillId="2" borderId="0" xfId="646" applyNumberFormat="1" applyFont="1" applyFill="1" applyBorder="1" applyAlignment="1">
      <alignment horizontal="center" vertical="center" shrinkToFit="1"/>
    </xf>
    <xf numFmtId="0" fontId="292" fillId="2" borderId="0" xfId="646" applyFont="1" applyFill="1" applyBorder="1" applyAlignment="1">
      <alignment vertical="center"/>
    </xf>
    <xf numFmtId="0" fontId="292" fillId="2" borderId="0" xfId="646" applyFont="1" applyFill="1" applyBorder="1" applyAlignment="1">
      <alignment horizontal="center" vertical="center" wrapText="1"/>
    </xf>
    <xf numFmtId="2" fontId="292" fillId="2" borderId="0" xfId="646" applyNumberFormat="1" applyFont="1" applyFill="1" applyBorder="1" applyAlignment="1">
      <alignment vertical="center"/>
    </xf>
    <xf numFmtId="198" fontId="292" fillId="2" borderId="0" xfId="641" applyNumberFormat="1" applyFont="1" applyFill="1" applyBorder="1" applyAlignment="1">
      <alignment horizontal="right" vertical="center" shrinkToFit="1"/>
    </xf>
    <xf numFmtId="188" fontId="292" fillId="2" borderId="0" xfId="649" applyFont="1" applyFill="1" applyBorder="1" applyAlignment="1">
      <alignment horizontal="center" vertical="center"/>
    </xf>
    <xf numFmtId="0" fontId="292" fillId="2" borderId="0" xfId="646" applyFont="1" applyFill="1" applyBorder="1" applyAlignment="1">
      <alignment vertical="center" wrapText="1"/>
    </xf>
    <xf numFmtId="2" fontId="292" fillId="2" borderId="0" xfId="641" applyNumberFormat="1" applyFont="1" applyFill="1" applyBorder="1" applyAlignment="1">
      <alignment horizontal="center" vertical="center"/>
    </xf>
    <xf numFmtId="43" fontId="292" fillId="2" borderId="0" xfId="641" applyNumberFormat="1" applyFont="1" applyFill="1" applyBorder="1" applyAlignment="1">
      <alignment vertical="center" shrinkToFit="1"/>
    </xf>
    <xf numFmtId="0" fontId="292" fillId="2" borderId="0" xfId="646" applyFont="1" applyFill="1" applyBorder="1" applyAlignment="1">
      <alignment horizontal="left" vertical="center"/>
    </xf>
    <xf numFmtId="224" fontId="292" fillId="2" borderId="0" xfId="641" applyNumberFormat="1" applyFont="1" applyFill="1" applyBorder="1" applyAlignment="1">
      <alignment horizontal="center" vertical="center" shrinkToFit="1"/>
    </xf>
    <xf numFmtId="2" fontId="265" fillId="2" borderId="0" xfId="646" applyNumberFormat="1" applyFont="1" applyFill="1" applyBorder="1" applyAlignment="1">
      <alignment vertical="center"/>
    </xf>
    <xf numFmtId="2" fontId="265" fillId="2" borderId="0" xfId="641" applyNumberFormat="1" applyFont="1" applyFill="1" applyBorder="1" applyAlignment="1">
      <alignment horizontal="center" vertical="center"/>
    </xf>
    <xf numFmtId="0" fontId="265" fillId="2" borderId="0" xfId="646" applyFont="1" applyFill="1" applyBorder="1" applyAlignment="1">
      <alignment horizontal="center" vertical="center" shrinkToFit="1"/>
    </xf>
    <xf numFmtId="0" fontId="265" fillId="2" borderId="0" xfId="646" applyFont="1" applyFill="1" applyBorder="1" applyAlignment="1">
      <alignment vertical="center"/>
    </xf>
    <xf numFmtId="2" fontId="211" fillId="2" borderId="0" xfId="650" applyNumberFormat="1" applyFont="1" applyFill="1" applyBorder="1" applyAlignment="1">
      <alignment horizontal="center"/>
    </xf>
    <xf numFmtId="0" fontId="265" fillId="2" borderId="0" xfId="650" applyFont="1" applyFill="1" applyBorder="1"/>
    <xf numFmtId="0" fontId="265" fillId="2" borderId="0" xfId="650" applyFont="1" applyFill="1" applyBorder="1" applyAlignment="1">
      <alignment horizontal="center"/>
    </xf>
    <xf numFmtId="0" fontId="265" fillId="2" borderId="0" xfId="650" applyFont="1" applyFill="1" applyBorder="1" applyAlignment="1">
      <alignment wrapText="1"/>
    </xf>
    <xf numFmtId="2" fontId="265" fillId="2" borderId="0" xfId="650" applyNumberFormat="1" applyFont="1" applyFill="1" applyBorder="1"/>
    <xf numFmtId="198" fontId="265" fillId="2" borderId="0" xfId="650" applyNumberFormat="1" applyFont="1" applyFill="1" applyBorder="1" applyAlignment="1">
      <alignment shrinkToFit="1"/>
    </xf>
    <xf numFmtId="188" fontId="265" fillId="2" borderId="0" xfId="649" applyFont="1" applyFill="1" applyBorder="1" applyAlignment="1">
      <alignment horizontal="center"/>
    </xf>
    <xf numFmtId="0" fontId="211" fillId="2" borderId="0" xfId="650" applyFont="1" applyFill="1" applyAlignment="1">
      <alignment horizontal="center"/>
    </xf>
    <xf numFmtId="198" fontId="265" fillId="2" borderId="0" xfId="650" applyNumberFormat="1" applyFont="1" applyFill="1"/>
    <xf numFmtId="188" fontId="297" fillId="2" borderId="0" xfId="649" applyFont="1" applyFill="1" applyAlignment="1">
      <alignment horizontal="center"/>
    </xf>
    <xf numFmtId="188" fontId="294" fillId="2" borderId="0" xfId="649" applyFont="1" applyFill="1" applyAlignment="1">
      <alignment horizontal="center"/>
    </xf>
    <xf numFmtId="0" fontId="215" fillId="2" borderId="0" xfId="647" applyFont="1" applyFill="1" applyAlignment="1">
      <alignment horizontal="center"/>
    </xf>
    <xf numFmtId="217" fontId="13" fillId="2" borderId="4" xfId="1" applyNumberFormat="1" applyFont="1" applyFill="1" applyBorder="1" applyAlignment="1">
      <alignment horizontal="center" vertical="center" wrapText="1"/>
    </xf>
    <xf numFmtId="0" fontId="81" fillId="2" borderId="0" xfId="0" applyFont="1" applyFill="1" applyAlignment="1">
      <alignment horizontal="center"/>
    </xf>
    <xf numFmtId="228" fontId="30" fillId="2" borderId="4" xfId="1" applyNumberFormat="1" applyFont="1" applyFill="1" applyBorder="1" applyAlignment="1">
      <alignment vertical="center"/>
    </xf>
    <xf numFmtId="0" fontId="81" fillId="2" borderId="0" xfId="0" applyFont="1" applyFill="1" applyAlignment="1"/>
    <xf numFmtId="0" fontId="25" fillId="2" borderId="4" xfId="0" applyFont="1" applyFill="1" applyBorder="1" applyAlignment="1">
      <alignment horizontal="left" vertical="center"/>
    </xf>
    <xf numFmtId="0" fontId="13" fillId="0" borderId="4" xfId="0" applyFont="1" applyBorder="1" applyAlignment="1">
      <alignment horizontal="center" vertical="center"/>
    </xf>
    <xf numFmtId="3" fontId="13" fillId="0" borderId="4" xfId="0" applyNumberFormat="1" applyFont="1" applyBorder="1" applyAlignment="1">
      <alignment horizontal="center" vertical="center" wrapText="1"/>
    </xf>
    <xf numFmtId="0" fontId="259" fillId="2" borderId="4" xfId="561" applyFont="1" applyFill="1" applyBorder="1" applyAlignment="1">
      <alignment horizontal="center" vertical="center"/>
    </xf>
    <xf numFmtId="0" fontId="259" fillId="2" borderId="4" xfId="561" applyFont="1" applyFill="1" applyBorder="1" applyAlignment="1">
      <alignment horizontal="left" vertical="center"/>
    </xf>
    <xf numFmtId="4" fontId="259" fillId="2" borderId="4" xfId="91" applyNumberFormat="1" applyFont="1" applyFill="1" applyBorder="1" applyAlignment="1">
      <alignment horizontal="center"/>
    </xf>
    <xf numFmtId="216" fontId="259" fillId="2" borderId="4" xfId="1" applyNumberFormat="1" applyFont="1" applyFill="1" applyBorder="1" applyAlignment="1">
      <alignment horizontal="center"/>
    </xf>
    <xf numFmtId="43" fontId="259" fillId="2" borderId="4" xfId="1" applyFont="1" applyFill="1" applyBorder="1" applyAlignment="1">
      <alignment horizontal="center"/>
    </xf>
    <xf numFmtId="216" fontId="259" fillId="2" borderId="0" xfId="490" applyNumberFormat="1" applyFont="1" applyFill="1"/>
    <xf numFmtId="0" fontId="259" fillId="2" borderId="0" xfId="490" applyFont="1" applyFill="1"/>
    <xf numFmtId="3" fontId="259" fillId="2" borderId="0" xfId="490" applyNumberFormat="1" applyFont="1" applyFill="1"/>
    <xf numFmtId="0" fontId="259" fillId="2" borderId="4" xfId="0" applyFont="1" applyFill="1" applyBorder="1" applyAlignment="1">
      <alignment vertical="center"/>
    </xf>
    <xf numFmtId="0" fontId="211" fillId="2" borderId="4" xfId="0" applyFont="1" applyFill="1" applyBorder="1" applyAlignment="1">
      <alignment horizontal="center" vertical="center"/>
    </xf>
    <xf numFmtId="3" fontId="259" fillId="2" borderId="4" xfId="1" applyNumberFormat="1" applyFont="1" applyFill="1" applyBorder="1" applyAlignment="1">
      <alignment horizontal="right" vertical="center"/>
    </xf>
    <xf numFmtId="0" fontId="259" fillId="2" borderId="4" xfId="0" applyFont="1" applyFill="1" applyBorder="1" applyAlignment="1">
      <alignment horizontal="left" vertical="center"/>
    </xf>
    <xf numFmtId="0" fontId="215" fillId="0" borderId="4" xfId="0" applyFont="1" applyBorder="1" applyAlignment="1">
      <alignment horizontal="center" vertical="center"/>
    </xf>
    <xf numFmtId="0" fontId="215" fillId="0" borderId="4" xfId="0" applyFont="1" applyBorder="1" applyAlignment="1">
      <alignment horizontal="left" vertical="center" wrapText="1"/>
    </xf>
    <xf numFmtId="0" fontId="215" fillId="2" borderId="4" xfId="0" applyFont="1" applyFill="1" applyBorder="1" applyAlignment="1">
      <alignment horizontal="left" vertical="center"/>
    </xf>
    <xf numFmtId="3" fontId="215" fillId="0" borderId="4" xfId="0" applyNumberFormat="1" applyFont="1" applyBorder="1" applyAlignment="1">
      <alignment horizontal="center" vertical="center" wrapText="1"/>
    </xf>
    <xf numFmtId="3" fontId="13" fillId="0" borderId="4" xfId="1" applyNumberFormat="1" applyFont="1" applyFill="1" applyBorder="1" applyAlignment="1">
      <alignment horizontal="center" vertical="center"/>
    </xf>
    <xf numFmtId="43" fontId="215" fillId="0" borderId="4" xfId="1" applyFont="1" applyBorder="1" applyAlignment="1">
      <alignment horizontal="left" vertical="top" wrapText="1"/>
    </xf>
    <xf numFmtId="43" fontId="215" fillId="0" borderId="4" xfId="1" applyFont="1" applyFill="1" applyBorder="1" applyAlignment="1">
      <alignment horizontal="left" vertical="top"/>
    </xf>
    <xf numFmtId="43" fontId="13" fillId="0" borderId="4" xfId="1" applyFont="1" applyFill="1" applyBorder="1" applyAlignment="1">
      <alignment horizontal="left" vertical="top"/>
    </xf>
    <xf numFmtId="0" fontId="220" fillId="0" borderId="0" xfId="0" applyFont="1" applyAlignment="1">
      <alignment horizontal="center"/>
    </xf>
    <xf numFmtId="0" fontId="220" fillId="0" borderId="0" xfId="0" applyFont="1" applyAlignment="1"/>
    <xf numFmtId="3" fontId="211" fillId="2" borderId="4" xfId="93" applyNumberFormat="1" applyFont="1" applyFill="1" applyBorder="1" applyAlignment="1">
      <alignment horizontal="right" vertical="center"/>
    </xf>
    <xf numFmtId="0" fontId="259" fillId="2" borderId="6" xfId="0" applyFont="1" applyFill="1" applyBorder="1" applyAlignment="1">
      <alignment vertical="center"/>
    </xf>
    <xf numFmtId="3" fontId="259" fillId="2" borderId="4" xfId="93" applyNumberFormat="1" applyFont="1" applyFill="1" applyBorder="1" applyAlignment="1">
      <alignment horizontal="right" vertical="center"/>
    </xf>
    <xf numFmtId="216" fontId="76" fillId="2" borderId="4" xfId="1" applyNumberFormat="1" applyFont="1" applyFill="1" applyBorder="1" applyAlignment="1">
      <alignment horizontal="center" vertical="center"/>
    </xf>
    <xf numFmtId="216" fontId="259" fillId="2" borderId="0" xfId="1" applyNumberFormat="1" applyFont="1" applyFill="1" applyAlignment="1">
      <alignment horizontal="left" vertical="center"/>
    </xf>
    <xf numFmtId="0" fontId="25" fillId="2" borderId="4" xfId="496" applyFont="1" applyFill="1" applyBorder="1" applyAlignment="1">
      <alignment horizontal="center" vertical="center"/>
    </xf>
    <xf numFmtId="0" fontId="211" fillId="2" borderId="0" xfId="644" applyFont="1" applyFill="1" applyBorder="1" applyAlignment="1">
      <alignment horizontal="center" vertical="center"/>
    </xf>
    <xf numFmtId="0" fontId="211" fillId="0" borderId="0" xfId="642" applyFont="1" applyFill="1" applyBorder="1" applyAlignment="1">
      <alignment horizontal="center" vertical="center"/>
    </xf>
    <xf numFmtId="3" fontId="25" fillId="2" borderId="4" xfId="496" applyNumberFormat="1" applyFont="1" applyFill="1" applyBorder="1" applyAlignment="1">
      <alignment horizontal="center" vertical="center"/>
    </xf>
    <xf numFmtId="1" fontId="220" fillId="0" borderId="0" xfId="639" applyNumberFormat="1" applyFont="1" applyFill="1" applyBorder="1" applyAlignment="1">
      <alignment horizontal="center" vertical="center"/>
    </xf>
    <xf numFmtId="1" fontId="211" fillId="2" borderId="0" xfId="250" applyNumberFormat="1" applyFont="1" applyFill="1" applyAlignment="1">
      <alignment horizontal="center"/>
    </xf>
    <xf numFmtId="0" fontId="259" fillId="2" borderId="54" xfId="627" applyFont="1" applyFill="1" applyBorder="1" applyAlignment="1">
      <alignment horizontal="center" vertical="center"/>
    </xf>
    <xf numFmtId="0" fontId="259" fillId="2" borderId="54" xfId="627" quotePrefix="1" applyFont="1" applyFill="1" applyBorder="1" applyAlignment="1">
      <alignment horizontal="center" vertical="center"/>
    </xf>
    <xf numFmtId="187" fontId="220" fillId="2" borderId="54" xfId="627" applyNumberFormat="1" applyFont="1" applyFill="1" applyBorder="1" applyAlignment="1">
      <alignment horizontal="center"/>
    </xf>
    <xf numFmtId="0" fontId="310" fillId="2" borderId="0" xfId="626" applyFont="1" applyFill="1"/>
    <xf numFmtId="187" fontId="310" fillId="2" borderId="0" xfId="626" applyNumberFormat="1" applyFont="1" applyFill="1"/>
    <xf numFmtId="0" fontId="308" fillId="2" borderId="54" xfId="626" applyFont="1" applyFill="1" applyBorder="1"/>
    <xf numFmtId="0" fontId="240" fillId="2" borderId="0" xfId="626" applyFont="1" applyFill="1" applyBorder="1" applyAlignment="1">
      <alignment horizontal="center" vertical="center"/>
    </xf>
    <xf numFmtId="217" fontId="239" fillId="2" borderId="0" xfId="626" applyNumberFormat="1" applyFont="1" applyFill="1" applyAlignment="1">
      <alignment vertical="center"/>
    </xf>
    <xf numFmtId="0" fontId="240" fillId="2" borderId="0" xfId="626" applyFont="1" applyFill="1" applyAlignment="1">
      <alignment horizontal="center" vertical="center"/>
    </xf>
    <xf numFmtId="0" fontId="311" fillId="0" borderId="61" xfId="642" applyFont="1" applyFill="1" applyBorder="1" applyAlignment="1">
      <alignment horizontal="center"/>
    </xf>
    <xf numFmtId="217" fontId="211" fillId="2" borderId="54" xfId="639" applyNumberFormat="1" applyFont="1" applyFill="1" applyBorder="1" applyAlignment="1">
      <alignment horizontal="center"/>
    </xf>
    <xf numFmtId="217" fontId="211" fillId="2" borderId="54" xfId="250" applyNumberFormat="1" applyFont="1" applyFill="1" applyBorder="1" applyAlignment="1">
      <alignment horizontal="center"/>
    </xf>
    <xf numFmtId="219" fontId="259" fillId="2" borderId="54" xfId="639" applyNumberFormat="1" applyFont="1" applyFill="1" applyBorder="1" applyAlignment="1">
      <alignment horizontal="center" wrapText="1"/>
    </xf>
    <xf numFmtId="217" fontId="259" fillId="2" borderId="54" xfId="639" applyNumberFormat="1" applyFont="1" applyFill="1" applyBorder="1" applyAlignment="1">
      <alignment horizontal="center" wrapText="1"/>
    </xf>
    <xf numFmtId="0" fontId="241" fillId="2" borderId="0" xfId="626" applyFont="1" applyFill="1" applyAlignment="1">
      <alignment horizontal="center"/>
    </xf>
    <xf numFmtId="0" fontId="240" fillId="2" borderId="54" xfId="626" applyFont="1" applyFill="1" applyBorder="1" applyAlignment="1">
      <alignment horizontal="center" vertical="center"/>
    </xf>
    <xf numFmtId="0" fontId="259" fillId="0" borderId="54" xfId="638" applyFont="1" applyFill="1" applyBorder="1" applyAlignment="1">
      <alignment horizontal="center" vertical="center"/>
    </xf>
    <xf numFmtId="0" fontId="220" fillId="2" borderId="54" xfId="627" applyFont="1" applyFill="1" applyBorder="1" applyAlignment="1">
      <alignment horizontal="center" vertical="center"/>
    </xf>
    <xf numFmtId="43" fontId="220" fillId="2" borderId="57" xfId="628" applyFont="1" applyFill="1" applyBorder="1" applyAlignment="1">
      <alignment horizontal="center" vertical="center" wrapText="1"/>
    </xf>
    <xf numFmtId="217" fontId="239" fillId="2" borderId="0" xfId="626" applyNumberFormat="1" applyFont="1" applyFill="1" applyAlignment="1">
      <alignment horizontal="center" vertical="center"/>
    </xf>
    <xf numFmtId="0" fontId="239" fillId="2" borderId="0" xfId="626" applyFont="1" applyFill="1" applyAlignment="1">
      <alignment vertical="center"/>
    </xf>
    <xf numFmtId="217" fontId="240" fillId="2" borderId="0" xfId="626" applyNumberFormat="1" applyFont="1" applyFill="1" applyAlignment="1">
      <alignment horizontal="center" vertical="center"/>
    </xf>
    <xf numFmtId="217" fontId="240" fillId="2" borderId="0" xfId="626" applyNumberFormat="1" applyFont="1" applyFill="1" applyBorder="1" applyAlignment="1">
      <alignment horizontal="center" vertical="center"/>
    </xf>
    <xf numFmtId="0" fontId="239" fillId="2" borderId="54" xfId="626" applyFont="1" applyFill="1" applyBorder="1" applyAlignment="1">
      <alignment horizontal="center" vertical="center"/>
    </xf>
    <xf numFmtId="0" fontId="240" fillId="2" borderId="0" xfId="626" applyFont="1" applyFill="1" applyAlignment="1">
      <alignment vertical="center"/>
    </xf>
    <xf numFmtId="0" fontId="239" fillId="2" borderId="54" xfId="626" applyFont="1" applyFill="1" applyBorder="1" applyAlignment="1">
      <alignment horizontal="left" vertical="center"/>
    </xf>
    <xf numFmtId="217" fontId="239" fillId="2" borderId="54" xfId="630" applyNumberFormat="1" applyFont="1" applyFill="1" applyBorder="1" applyAlignment="1">
      <alignment horizontal="center" vertical="center"/>
    </xf>
    <xf numFmtId="217" fontId="239" fillId="2" borderId="54" xfId="630" applyNumberFormat="1" applyFont="1" applyFill="1" applyBorder="1" applyAlignment="1">
      <alignment horizontal="right" vertical="center"/>
    </xf>
    <xf numFmtId="217" fontId="239" fillId="2" borderId="54" xfId="626" applyNumberFormat="1" applyFont="1" applyFill="1" applyBorder="1" applyAlignment="1">
      <alignment horizontal="center" vertical="center"/>
    </xf>
    <xf numFmtId="191" fontId="239" fillId="2" borderId="54" xfId="630" applyNumberFormat="1" applyFont="1" applyFill="1" applyBorder="1" applyAlignment="1">
      <alignment vertical="center"/>
    </xf>
    <xf numFmtId="43" fontId="239" fillId="2" borderId="54" xfId="630" applyNumberFormat="1" applyFont="1" applyFill="1" applyBorder="1" applyAlignment="1">
      <alignment vertical="center"/>
    </xf>
    <xf numFmtId="0" fontId="312" fillId="2" borderId="58" xfId="626" applyFont="1" applyFill="1" applyBorder="1" applyAlignment="1">
      <alignment horizontal="center" vertical="center"/>
    </xf>
    <xf numFmtId="43" fontId="312" fillId="2" borderId="7" xfId="628" applyFont="1" applyFill="1" applyBorder="1" applyAlignment="1">
      <alignment horizontal="center" vertical="center" wrapText="1"/>
    </xf>
    <xf numFmtId="245" fontId="240" fillId="2" borderId="0" xfId="626" applyNumberFormat="1" applyFont="1" applyFill="1" applyBorder="1" applyAlignment="1">
      <alignment vertical="center"/>
    </xf>
    <xf numFmtId="188" fontId="239" fillId="2" borderId="54" xfId="630" applyFont="1" applyFill="1" applyBorder="1" applyAlignment="1">
      <alignment horizontal="left" vertical="center"/>
    </xf>
    <xf numFmtId="0" fontId="240" fillId="2" borderId="54" xfId="626" applyFont="1" applyFill="1" applyBorder="1" applyAlignment="1">
      <alignment vertical="center"/>
    </xf>
    <xf numFmtId="188" fontId="239" fillId="2" borderId="54" xfId="630" applyNumberFormat="1" applyFont="1" applyFill="1" applyBorder="1" applyAlignment="1">
      <alignment vertical="center"/>
    </xf>
    <xf numFmtId="0" fontId="240" fillId="2" borderId="54" xfId="626" applyFont="1" applyFill="1" applyBorder="1" applyAlignment="1">
      <alignment horizontal="left" vertical="center"/>
    </xf>
    <xf numFmtId="217" fontId="240" fillId="2" borderId="54" xfId="630" applyNumberFormat="1" applyFont="1" applyFill="1" applyBorder="1" applyAlignment="1">
      <alignment horizontal="center" vertical="center"/>
    </xf>
    <xf numFmtId="217" fontId="244" fillId="2" borderId="54" xfId="630" applyNumberFormat="1" applyFont="1" applyFill="1" applyBorder="1" applyAlignment="1">
      <alignment horizontal="center" vertical="center"/>
    </xf>
    <xf numFmtId="1" fontId="240" fillId="2" borderId="0" xfId="626" applyNumberFormat="1" applyFont="1" applyFill="1" applyAlignment="1">
      <alignment horizontal="center" vertical="center"/>
    </xf>
    <xf numFmtId="0" fontId="240" fillId="2" borderId="0" xfId="626" applyFont="1" applyFill="1" applyBorder="1" applyAlignment="1">
      <alignment horizontal="left" vertical="center"/>
    </xf>
    <xf numFmtId="0" fontId="240" fillId="2" borderId="0" xfId="626" applyFont="1" applyFill="1" applyBorder="1" applyAlignment="1">
      <alignment vertical="center"/>
    </xf>
    <xf numFmtId="0" fontId="232" fillId="2" borderId="54" xfId="626" applyFont="1" applyFill="1" applyBorder="1" applyAlignment="1">
      <alignment horizontal="center" vertical="center"/>
    </xf>
    <xf numFmtId="10" fontId="240" fillId="2" borderId="54" xfId="629" applyNumberFormat="1" applyFont="1" applyFill="1" applyBorder="1" applyAlignment="1">
      <alignment horizontal="center" vertical="center"/>
    </xf>
    <xf numFmtId="0" fontId="272" fillId="2" borderId="54" xfId="627" applyFont="1" applyFill="1" applyBorder="1" applyAlignment="1">
      <alignment horizontal="center" vertical="center"/>
    </xf>
    <xf numFmtId="0" fontId="272" fillId="2" borderId="54" xfId="627" quotePrefix="1" applyFont="1" applyFill="1" applyBorder="1" applyAlignment="1">
      <alignment horizontal="center" vertical="center"/>
    </xf>
    <xf numFmtId="0" fontId="312" fillId="2" borderId="54" xfId="627" applyFont="1" applyFill="1" applyBorder="1" applyAlignment="1">
      <alignment horizontal="center" vertical="center"/>
    </xf>
    <xf numFmtId="0" fontId="241" fillId="2" borderId="54" xfId="626" applyFont="1" applyFill="1" applyBorder="1" applyAlignment="1">
      <alignment horizontal="center" vertical="center"/>
    </xf>
    <xf numFmtId="0" fontId="253" fillId="2" borderId="54" xfId="626" applyFont="1" applyFill="1" applyBorder="1" applyAlignment="1">
      <alignment horizontal="center" vertical="center"/>
    </xf>
    <xf numFmtId="0" fontId="241" fillId="2" borderId="0" xfId="626" applyFont="1" applyFill="1" applyBorder="1" applyAlignment="1">
      <alignment horizontal="left"/>
    </xf>
    <xf numFmtId="0" fontId="241" fillId="2" borderId="0" xfId="626" applyFont="1" applyFill="1" applyBorder="1"/>
    <xf numFmtId="0" fontId="314" fillId="2" borderId="0" xfId="626" applyFont="1" applyFill="1" applyAlignment="1"/>
    <xf numFmtId="0" fontId="253" fillId="2" borderId="0" xfId="626" applyFont="1" applyFill="1" applyBorder="1"/>
    <xf numFmtId="0" fontId="315" fillId="2" borderId="0" xfId="627" applyFont="1" applyFill="1"/>
    <xf numFmtId="0" fontId="253" fillId="2" borderId="0" xfId="626" applyFont="1" applyFill="1"/>
    <xf numFmtId="0" fontId="316" fillId="2" borderId="0" xfId="626" applyFont="1" applyFill="1" applyAlignment="1"/>
    <xf numFmtId="0" fontId="241" fillId="2" borderId="0" xfId="626" applyFont="1" applyFill="1" applyAlignment="1"/>
    <xf numFmtId="0" fontId="234" fillId="2" borderId="0" xfId="631" applyFont="1" applyFill="1" applyAlignment="1">
      <alignment horizontal="left"/>
    </xf>
    <xf numFmtId="0" fontId="317" fillId="2" borderId="0" xfId="631" applyFont="1" applyFill="1" applyAlignment="1">
      <alignment horizontal="left"/>
    </xf>
    <xf numFmtId="0" fontId="241" fillId="2" borderId="0" xfId="626" applyFont="1" applyFill="1" applyBorder="1" applyAlignment="1">
      <alignment horizontal="center"/>
    </xf>
    <xf numFmtId="228" fontId="240" fillId="2" borderId="0" xfId="1" applyNumberFormat="1" applyFont="1" applyFill="1" applyAlignment="1">
      <alignment vertical="center"/>
    </xf>
    <xf numFmtId="216" fontId="240" fillId="2" borderId="0" xfId="1" applyNumberFormat="1" applyFont="1" applyFill="1" applyAlignment="1">
      <alignment vertical="center"/>
    </xf>
    <xf numFmtId="217" fontId="240" fillId="2" borderId="0" xfId="626" applyNumberFormat="1" applyFont="1" applyFill="1" applyAlignment="1">
      <alignment vertical="center"/>
    </xf>
    <xf numFmtId="0" fontId="265" fillId="2" borderId="54" xfId="638" applyFont="1" applyFill="1" applyBorder="1" applyAlignment="1">
      <alignment vertical="center"/>
    </xf>
    <xf numFmtId="0" fontId="211" fillId="0" borderId="54" xfId="638" applyFont="1" applyFill="1" applyBorder="1" applyAlignment="1">
      <alignment horizontal="center" vertical="center" wrapText="1"/>
    </xf>
    <xf numFmtId="3" fontId="211" fillId="0" borderId="54" xfId="638" applyNumberFormat="1" applyFont="1" applyFill="1" applyBorder="1" applyAlignment="1">
      <alignment horizontal="center" vertical="center" wrapText="1"/>
    </xf>
    <xf numFmtId="0" fontId="225" fillId="2" borderId="54" xfId="626" applyFont="1" applyFill="1" applyBorder="1" applyAlignment="1">
      <alignment horizontal="center" vertical="center"/>
    </xf>
    <xf numFmtId="0" fontId="225" fillId="2" borderId="54" xfId="631" applyFont="1" applyFill="1" applyBorder="1" applyAlignment="1">
      <alignment vertical="center"/>
    </xf>
    <xf numFmtId="0" fontId="225" fillId="2" borderId="54" xfId="626" applyFont="1" applyFill="1" applyBorder="1" applyAlignment="1">
      <alignment vertical="center"/>
    </xf>
    <xf numFmtId="0" fontId="212" fillId="2" borderId="0" xfId="626" applyFill="1" applyAlignment="1">
      <alignment vertical="center"/>
    </xf>
    <xf numFmtId="0" fontId="255" fillId="2" borderId="54" xfId="626" applyFont="1" applyFill="1" applyBorder="1" applyAlignment="1">
      <alignment horizontal="center" vertical="center"/>
    </xf>
    <xf numFmtId="0" fontId="215" fillId="2" borderId="57" xfId="627" applyFont="1" applyFill="1" applyBorder="1" applyAlignment="1">
      <alignment horizontal="center" vertical="center"/>
    </xf>
    <xf numFmtId="0" fontId="215" fillId="2" borderId="54" xfId="627" applyNumberFormat="1" applyFont="1" applyFill="1" applyBorder="1" applyAlignment="1">
      <alignment horizontal="center" vertical="center"/>
    </xf>
    <xf numFmtId="0" fontId="211" fillId="2" borderId="4" xfId="496" applyFont="1" applyFill="1" applyBorder="1" applyAlignment="1">
      <alignment horizontal="center" vertical="center"/>
    </xf>
    <xf numFmtId="0" fontId="277" fillId="0" borderId="0" xfId="0" applyFont="1" applyAlignment="1">
      <alignment vertical="center"/>
    </xf>
    <xf numFmtId="0" fontId="1" fillId="0" borderId="0" xfId="496" applyFont="1" applyAlignment="1">
      <alignment horizontal="center"/>
    </xf>
    <xf numFmtId="187" fontId="25" fillId="0" borderId="0" xfId="496" applyNumberFormat="1" applyFont="1" applyAlignment="1">
      <alignment horizontal="center" vertical="center"/>
    </xf>
    <xf numFmtId="187" fontId="25" fillId="0" borderId="5" xfId="496" applyNumberFormat="1" applyFont="1" applyBorder="1" applyAlignment="1">
      <alignment horizontal="center" vertical="center"/>
    </xf>
    <xf numFmtId="187" fontId="25" fillId="0" borderId="29" xfId="496" applyNumberFormat="1" applyFont="1" applyBorder="1" applyAlignment="1">
      <alignment horizontal="center" vertical="center"/>
    </xf>
    <xf numFmtId="187" fontId="25" fillId="0" borderId="6" xfId="496" applyNumberFormat="1" applyFont="1" applyBorder="1" applyAlignment="1">
      <alignment horizontal="center" vertical="center"/>
    </xf>
    <xf numFmtId="187" fontId="25" fillId="0" borderId="5" xfId="496" applyNumberFormat="1" applyFont="1" applyBorder="1" applyAlignment="1">
      <alignment horizontal="center" vertical="center" shrinkToFit="1"/>
    </xf>
    <xf numFmtId="187" fontId="25" fillId="0" borderId="29" xfId="496" applyNumberFormat="1" applyFont="1" applyBorder="1" applyAlignment="1">
      <alignment horizontal="center" vertical="center" shrinkToFit="1"/>
    </xf>
    <xf numFmtId="187" fontId="25" fillId="0" borderId="6" xfId="496" applyNumberFormat="1" applyFont="1" applyBorder="1" applyAlignment="1">
      <alignment horizontal="center" vertical="center" shrinkToFit="1"/>
    </xf>
    <xf numFmtId="187" fontId="32" fillId="0" borderId="0" xfId="496" applyNumberFormat="1" applyFont="1" applyAlignment="1">
      <alignment horizontal="right" vertical="center"/>
    </xf>
    <xf numFmtId="187" fontId="132" fillId="0" borderId="0" xfId="496" applyNumberFormat="1" applyFont="1" applyAlignment="1">
      <alignment horizontal="center" vertical="center" wrapText="1"/>
    </xf>
    <xf numFmtId="187" fontId="133" fillId="0" borderId="1" xfId="496" applyNumberFormat="1" applyFont="1" applyBorder="1" applyAlignment="1">
      <alignment horizontal="center"/>
    </xf>
    <xf numFmtId="187" fontId="25" fillId="0" borderId="4" xfId="496" applyNumberFormat="1" applyFont="1" applyBorder="1" applyAlignment="1">
      <alignment horizontal="center" vertical="center"/>
    </xf>
    <xf numFmtId="187" fontId="25" fillId="0" borderId="0" xfId="113" applyNumberFormat="1" applyFont="1" applyFill="1" applyAlignment="1">
      <alignment horizontal="center"/>
    </xf>
    <xf numFmtId="187" fontId="25" fillId="0" borderId="0" xfId="113" quotePrefix="1" applyNumberFormat="1" applyFont="1" applyFill="1" applyAlignment="1">
      <alignment horizontal="center"/>
    </xf>
    <xf numFmtId="187" fontId="13" fillId="0" borderId="0" xfId="496" applyNumberFormat="1" applyFont="1" applyAlignment="1">
      <alignment horizontal="center"/>
    </xf>
    <xf numFmtId="187" fontId="25" fillId="0" borderId="0" xfId="496" applyNumberFormat="1" applyFont="1" applyAlignment="1">
      <alignment horizontal="center"/>
    </xf>
    <xf numFmtId="3" fontId="38" fillId="2" borderId="4" xfId="0" applyNumberFormat="1" applyFont="1" applyFill="1" applyBorder="1" applyAlignment="1">
      <alignment horizontal="center" vertical="center"/>
    </xf>
    <xf numFmtId="3" fontId="38" fillId="2" borderId="0" xfId="0" applyNumberFormat="1" applyFont="1" applyFill="1" applyAlignment="1">
      <alignment horizontal="center" vertical="center"/>
    </xf>
    <xf numFmtId="3" fontId="38" fillId="5" borderId="0" xfId="0" applyNumberFormat="1" applyFont="1" applyFill="1" applyAlignment="1">
      <alignment horizontal="center" vertical="center"/>
    </xf>
    <xf numFmtId="187" fontId="25" fillId="2" borderId="0" xfId="0" applyNumberFormat="1" applyFont="1" applyFill="1" applyAlignment="1">
      <alignment horizontal="center" vertical="center"/>
    </xf>
    <xf numFmtId="187" fontId="25" fillId="2" borderId="31" xfId="0" applyNumberFormat="1" applyFont="1" applyFill="1" applyBorder="1" applyAlignment="1">
      <alignment horizontal="center" vertical="center" shrinkToFit="1"/>
    </xf>
    <xf numFmtId="187" fontId="25" fillId="2" borderId="1" xfId="0" applyNumberFormat="1" applyFont="1" applyFill="1" applyBorder="1" applyAlignment="1">
      <alignment horizontal="center" vertical="center" shrinkToFit="1"/>
    </xf>
    <xf numFmtId="187" fontId="25" fillId="2" borderId="9" xfId="0" applyNumberFormat="1" applyFont="1" applyFill="1" applyBorder="1" applyAlignment="1">
      <alignment horizontal="center" vertical="center" shrinkToFit="1"/>
    </xf>
    <xf numFmtId="187" fontId="25" fillId="2" borderId="11" xfId="0" applyNumberFormat="1" applyFont="1" applyFill="1" applyBorder="1" applyAlignment="1">
      <alignment horizontal="center" vertical="center" shrinkToFit="1"/>
    </xf>
    <xf numFmtId="187" fontId="25" fillId="2" borderId="4" xfId="0" applyNumberFormat="1" applyFont="1" applyFill="1" applyBorder="1" applyAlignment="1">
      <alignment horizontal="center" vertical="center" shrinkToFit="1"/>
    </xf>
    <xf numFmtId="187" fontId="25" fillId="2" borderId="3" xfId="0" applyNumberFormat="1" applyFont="1" applyFill="1" applyBorder="1" applyAlignment="1">
      <alignment horizontal="center" vertical="center" wrapText="1"/>
    </xf>
    <xf numFmtId="187" fontId="25" fillId="2" borderId="7" xfId="0" applyNumberFormat="1" applyFont="1" applyFill="1" applyBorder="1" applyAlignment="1">
      <alignment horizontal="center" vertical="center" wrapText="1"/>
    </xf>
    <xf numFmtId="187" fontId="25" fillId="2" borderId="3" xfId="112" applyNumberFormat="1" applyFont="1" applyFill="1" applyBorder="1" applyAlignment="1">
      <alignment horizontal="center" vertical="center" wrapText="1"/>
    </xf>
    <xf numFmtId="187" fontId="25" fillId="2" borderId="7" xfId="112" applyNumberFormat="1" applyFont="1" applyFill="1" applyBorder="1" applyAlignment="1">
      <alignment horizontal="center" vertical="center" wrapText="1"/>
    </xf>
    <xf numFmtId="187" fontId="25" fillId="2" borderId="8" xfId="0" applyNumberFormat="1" applyFont="1" applyFill="1" applyBorder="1" applyAlignment="1">
      <alignment horizontal="center" vertical="center"/>
    </xf>
    <xf numFmtId="187" fontId="25" fillId="2" borderId="31" xfId="0" applyNumberFormat="1" applyFont="1" applyFill="1" applyBorder="1" applyAlignment="1">
      <alignment horizontal="center" vertical="center"/>
    </xf>
    <xf numFmtId="187" fontId="25" fillId="2" borderId="10" xfId="0" applyNumberFormat="1" applyFont="1" applyFill="1" applyBorder="1" applyAlignment="1">
      <alignment horizontal="center" vertical="center"/>
    </xf>
    <xf numFmtId="187" fontId="25" fillId="2" borderId="1" xfId="0" applyNumberFormat="1" applyFont="1" applyFill="1" applyBorder="1" applyAlignment="1">
      <alignment horizontal="center" vertical="center"/>
    </xf>
    <xf numFmtId="0" fontId="1" fillId="2" borderId="0" xfId="0" applyFont="1" applyFill="1" applyAlignment="1">
      <alignment horizontal="center"/>
    </xf>
    <xf numFmtId="187" fontId="25" fillId="2" borderId="5" xfId="0" applyNumberFormat="1" applyFont="1" applyFill="1" applyBorder="1" applyAlignment="1">
      <alignment horizontal="center" vertical="center"/>
    </xf>
    <xf numFmtId="187" fontId="25" fillId="2" borderId="29" xfId="0" applyNumberFormat="1" applyFont="1" applyFill="1" applyBorder="1" applyAlignment="1">
      <alignment horizontal="center" vertical="center"/>
    </xf>
    <xf numFmtId="187" fontId="25" fillId="2" borderId="6" xfId="0" applyNumberFormat="1" applyFont="1" applyFill="1" applyBorder="1" applyAlignment="1">
      <alignment horizontal="center" vertical="center"/>
    </xf>
    <xf numFmtId="187" fontId="25" fillId="2" borderId="4" xfId="0" applyNumberFormat="1" applyFont="1" applyFill="1" applyBorder="1" applyAlignment="1">
      <alignment horizontal="center" vertical="center"/>
    </xf>
    <xf numFmtId="187" fontId="32" fillId="2" borderId="0" xfId="0" applyNumberFormat="1" applyFont="1" applyFill="1" applyAlignment="1">
      <alignment horizontal="right" vertical="center"/>
    </xf>
    <xf numFmtId="187" fontId="133" fillId="2" borderId="1" xfId="0" applyNumberFormat="1" applyFont="1" applyFill="1" applyBorder="1" applyAlignment="1">
      <alignment horizontal="center"/>
    </xf>
    <xf numFmtId="187" fontId="25" fillId="2" borderId="5" xfId="0" applyNumberFormat="1" applyFont="1" applyFill="1" applyBorder="1" applyAlignment="1">
      <alignment horizontal="center" vertical="center" shrinkToFit="1"/>
    </xf>
    <xf numFmtId="187" fontId="25" fillId="2" borderId="29" xfId="0" applyNumberFormat="1" applyFont="1" applyFill="1" applyBorder="1" applyAlignment="1">
      <alignment horizontal="center" vertical="center" shrinkToFit="1"/>
    </xf>
    <xf numFmtId="187" fontId="25" fillId="2" borderId="0" xfId="112" applyNumberFormat="1" applyFont="1" applyFill="1" applyAlignment="1">
      <alignment horizontal="center"/>
    </xf>
    <xf numFmtId="187" fontId="25" fillId="2" borderId="0" xfId="112" quotePrefix="1" applyNumberFormat="1" applyFont="1" applyFill="1" applyAlignment="1">
      <alignment horizontal="center"/>
    </xf>
    <xf numFmtId="187" fontId="25" fillId="2" borderId="0" xfId="0" applyNumberFormat="1" applyFont="1" applyFill="1" applyAlignment="1">
      <alignment horizontal="center"/>
    </xf>
    <xf numFmtId="187" fontId="132" fillId="2" borderId="0" xfId="0" applyNumberFormat="1" applyFont="1" applyFill="1" applyAlignment="1">
      <alignment horizontal="center" vertical="center" wrapText="1"/>
    </xf>
    <xf numFmtId="0" fontId="14" fillId="2" borderId="0" xfId="0" applyFont="1" applyFill="1" applyAlignment="1">
      <alignment horizontal="center" vertical="center"/>
    </xf>
    <xf numFmtId="0" fontId="15" fillId="2" borderId="0" xfId="0" applyFont="1" applyFill="1" applyAlignment="1">
      <alignment horizontal="center" vertical="center"/>
    </xf>
    <xf numFmtId="0" fontId="39" fillId="2" borderId="4" xfId="0" applyFont="1" applyFill="1" applyBorder="1" applyAlignment="1">
      <alignment horizontal="center" vertical="center"/>
    </xf>
    <xf numFmtId="0" fontId="39" fillId="2" borderId="4" xfId="0" applyFont="1" applyFill="1" applyBorder="1" applyAlignment="1">
      <alignment horizontal="center" vertical="center" wrapText="1"/>
    </xf>
    <xf numFmtId="0" fontId="39" fillId="2" borderId="4" xfId="0" applyFont="1" applyFill="1" applyBorder="1" applyAlignment="1">
      <alignment horizontal="center" vertical="center" shrinkToFit="1"/>
    </xf>
    <xf numFmtId="0" fontId="39" fillId="2" borderId="3" xfId="0" applyFont="1" applyFill="1" applyBorder="1" applyAlignment="1">
      <alignment horizontal="center" vertical="center" wrapText="1"/>
    </xf>
    <xf numFmtId="0" fontId="39" fillId="2" borderId="7" xfId="0" applyFont="1" applyFill="1" applyBorder="1" applyAlignment="1">
      <alignment horizontal="center" vertical="center" wrapText="1"/>
    </xf>
    <xf numFmtId="0" fontId="127" fillId="2" borderId="4" xfId="0" applyFont="1" applyFill="1" applyBorder="1" applyAlignment="1">
      <alignment horizontal="left" vertical="center"/>
    </xf>
    <xf numFmtId="0" fontId="128" fillId="2" borderId="4" xfId="0" applyFont="1" applyFill="1" applyBorder="1" applyAlignment="1">
      <alignment horizontal="left" vertical="center"/>
    </xf>
    <xf numFmtId="0" fontId="77" fillId="2" borderId="4" xfId="0" applyFont="1" applyFill="1" applyBorder="1" applyAlignment="1">
      <alignment horizontal="center"/>
    </xf>
    <xf numFmtId="0" fontId="19" fillId="2" borderId="0" xfId="0" applyFont="1" applyFill="1" applyAlignment="1">
      <alignment horizontal="center" vertical="center"/>
    </xf>
    <xf numFmtId="216" fontId="14" fillId="2" borderId="0" xfId="93" applyNumberFormat="1" applyFont="1" applyFill="1" applyAlignment="1">
      <alignment horizontal="center" vertical="center"/>
    </xf>
    <xf numFmtId="0" fontId="39" fillId="2" borderId="5" xfId="0" applyFont="1" applyFill="1" applyBorder="1" applyAlignment="1">
      <alignment horizontal="center" vertical="center"/>
    </xf>
    <xf numFmtId="0" fontId="39" fillId="2" borderId="29" xfId="0" applyFont="1" applyFill="1" applyBorder="1" applyAlignment="1">
      <alignment horizontal="center" vertical="center"/>
    </xf>
    <xf numFmtId="0" fontId="39" fillId="2" borderId="6" xfId="0" applyFont="1" applyFill="1" applyBorder="1" applyAlignment="1">
      <alignment horizontal="center" vertical="center"/>
    </xf>
    <xf numFmtId="0" fontId="13" fillId="2" borderId="0" xfId="0" applyFont="1" applyFill="1" applyAlignment="1">
      <alignment horizontal="center" vertical="center"/>
    </xf>
    <xf numFmtId="0" fontId="14" fillId="2" borderId="0" xfId="0" quotePrefix="1" applyFont="1" applyFill="1" applyAlignment="1">
      <alignment horizontal="center" vertical="center"/>
    </xf>
    <xf numFmtId="0" fontId="20" fillId="2" borderId="0" xfId="0" applyFont="1" applyFill="1" applyAlignment="1">
      <alignment horizontal="left" vertical="center"/>
    </xf>
    <xf numFmtId="0" fontId="16" fillId="2" borderId="0" xfId="0" applyFont="1" applyFill="1" applyAlignment="1">
      <alignment horizontal="center" vertical="center"/>
    </xf>
    <xf numFmtId="0" fontId="29" fillId="2" borderId="4" xfId="562" applyFont="1" applyFill="1" applyBorder="1" applyAlignment="1">
      <alignment horizontal="center" vertical="center"/>
    </xf>
    <xf numFmtId="43" fontId="29" fillId="2" borderId="4" xfId="132" applyFont="1" applyFill="1" applyBorder="1" applyAlignment="1">
      <alignment horizontal="center" vertical="center" wrapText="1"/>
    </xf>
    <xf numFmtId="1" fontId="29" fillId="2" borderId="4" xfId="562" applyNumberFormat="1" applyFont="1" applyFill="1" applyBorder="1" applyAlignment="1">
      <alignment horizontal="center" vertical="center"/>
    </xf>
    <xf numFmtId="0" fontId="21" fillId="2" borderId="31" xfId="562" applyFont="1" applyFill="1" applyBorder="1" applyAlignment="1">
      <alignment horizontal="center"/>
    </xf>
    <xf numFmtId="0" fontId="6" fillId="0" borderId="0" xfId="0" applyFont="1" applyAlignment="1">
      <alignment horizontal="center"/>
    </xf>
    <xf numFmtId="0" fontId="15" fillId="2" borderId="0" xfId="562" applyFont="1" applyFill="1" applyAlignment="1">
      <alignment horizontal="center" vertical="center"/>
    </xf>
    <xf numFmtId="0" fontId="39" fillId="2" borderId="4" xfId="562" applyFont="1" applyFill="1" applyBorder="1" applyAlignment="1">
      <alignment horizontal="center" vertical="center"/>
    </xf>
    <xf numFmtId="0" fontId="39" fillId="2" borderId="4" xfId="562" applyFont="1" applyFill="1" applyBorder="1" applyAlignment="1">
      <alignment horizontal="center"/>
    </xf>
    <xf numFmtId="0" fontId="25" fillId="2" borderId="0" xfId="562" applyFont="1" applyFill="1" applyAlignment="1">
      <alignment horizontal="center"/>
    </xf>
    <xf numFmtId="0" fontId="16" fillId="2" borderId="0" xfId="562" applyFont="1" applyFill="1" applyAlignment="1">
      <alignment horizontal="center"/>
    </xf>
    <xf numFmtId="0" fontId="45" fillId="2" borderId="0" xfId="562" applyFont="1" applyFill="1" applyAlignment="1">
      <alignment horizontal="center"/>
    </xf>
    <xf numFmtId="0" fontId="16" fillId="2" borderId="0" xfId="562" quotePrefix="1" applyFont="1" applyFill="1" applyAlignment="1">
      <alignment horizontal="center"/>
    </xf>
    <xf numFmtId="0" fontId="31" fillId="2" borderId="0" xfId="563" applyFont="1" applyFill="1" applyAlignment="1">
      <alignment horizontal="center"/>
    </xf>
    <xf numFmtId="0" fontId="19" fillId="2" borderId="1" xfId="563" applyFont="1" applyFill="1" applyBorder="1" applyAlignment="1">
      <alignment horizontal="center" vertical="center"/>
    </xf>
    <xf numFmtId="0" fontId="39" fillId="2" borderId="4" xfId="563" applyFont="1" applyFill="1" applyBorder="1" applyAlignment="1">
      <alignment horizontal="center" vertical="center"/>
    </xf>
    <xf numFmtId="0" fontId="39" fillId="2" borderId="5" xfId="563" applyFont="1" applyFill="1" applyBorder="1" applyAlignment="1">
      <alignment horizontal="center" vertical="center"/>
    </xf>
    <xf numFmtId="0" fontId="39" fillId="2" borderId="29" xfId="563" applyFont="1" applyFill="1" applyBorder="1" applyAlignment="1">
      <alignment horizontal="center" vertical="center"/>
    </xf>
    <xf numFmtId="0" fontId="39" fillId="2" borderId="6" xfId="563" applyFont="1" applyFill="1" applyBorder="1" applyAlignment="1">
      <alignment horizontal="center" vertical="center"/>
    </xf>
    <xf numFmtId="0" fontId="123" fillId="2" borderId="4" xfId="563" applyFont="1" applyFill="1" applyBorder="1" applyAlignment="1">
      <alignment horizontal="center"/>
    </xf>
    <xf numFmtId="0" fontId="39" fillId="2" borderId="3" xfId="563" applyFont="1" applyFill="1" applyBorder="1" applyAlignment="1">
      <alignment horizontal="center" vertical="center"/>
    </xf>
    <xf numFmtId="0" fontId="39" fillId="2" borderId="28" xfId="563" applyFont="1" applyFill="1" applyBorder="1" applyAlignment="1">
      <alignment horizontal="center" vertical="center"/>
    </xf>
    <xf numFmtId="1" fontId="39" fillId="2" borderId="3" xfId="563" applyNumberFormat="1" applyFont="1" applyFill="1" applyBorder="1" applyAlignment="1">
      <alignment horizontal="center" vertical="center" wrapText="1"/>
    </xf>
    <xf numFmtId="1" fontId="39" fillId="2" borderId="7" xfId="563" applyNumberFormat="1" applyFont="1" applyFill="1" applyBorder="1" applyAlignment="1">
      <alignment horizontal="center" vertical="center" wrapText="1"/>
    </xf>
    <xf numFmtId="1" fontId="39" fillId="2" borderId="28" xfId="563" applyNumberFormat="1" applyFont="1" applyFill="1" applyBorder="1" applyAlignment="1">
      <alignment horizontal="center" vertical="center" wrapText="1"/>
    </xf>
    <xf numFmtId="0" fontId="25" fillId="2" borderId="0" xfId="563" applyFont="1" applyFill="1" applyAlignment="1">
      <alignment horizontal="center"/>
    </xf>
    <xf numFmtId="0" fontId="16" fillId="2" borderId="0" xfId="563" applyFont="1" applyFill="1" applyAlignment="1">
      <alignment horizontal="center"/>
    </xf>
    <xf numFmtId="0" fontId="45" fillId="2" borderId="0" xfId="563" applyFont="1" applyFill="1" applyAlignment="1">
      <alignment horizontal="center"/>
    </xf>
    <xf numFmtId="0" fontId="16" fillId="2" borderId="0" xfId="563" quotePrefix="1" applyFont="1" applyFill="1" applyAlignment="1">
      <alignment horizontal="center"/>
    </xf>
    <xf numFmtId="0" fontId="31" fillId="2" borderId="0" xfId="562" applyFont="1" applyFill="1" applyAlignment="1">
      <alignment horizontal="center"/>
    </xf>
    <xf numFmtId="0" fontId="19" fillId="2" borderId="1" xfId="562" applyFont="1" applyFill="1" applyBorder="1" applyAlignment="1">
      <alignment horizontal="center" vertical="center"/>
    </xf>
    <xf numFmtId="0" fontId="29" fillId="2" borderId="5" xfId="562" applyFont="1" applyFill="1" applyBorder="1" applyAlignment="1">
      <alignment horizontal="center" vertical="center"/>
    </xf>
    <xf numFmtId="0" fontId="29" fillId="2" borderId="29" xfId="562" applyFont="1" applyFill="1" applyBorder="1" applyAlignment="1">
      <alignment horizontal="center" vertical="center"/>
    </xf>
    <xf numFmtId="0" fontId="29" fillId="2" borderId="6" xfId="562" applyFont="1" applyFill="1" applyBorder="1" applyAlignment="1">
      <alignment horizontal="center" vertical="center"/>
    </xf>
    <xf numFmtId="0" fontId="123" fillId="2" borderId="4" xfId="562" applyFont="1" applyFill="1" applyBorder="1" applyAlignment="1">
      <alignment horizontal="center"/>
    </xf>
    <xf numFmtId="0" fontId="29" fillId="2" borderId="3" xfId="562" applyFont="1" applyFill="1" applyBorder="1" applyAlignment="1">
      <alignment horizontal="center" vertical="center"/>
    </xf>
    <xf numFmtId="0" fontId="29" fillId="2" borderId="28" xfId="562" applyFont="1" applyFill="1" applyBorder="1" applyAlignment="1">
      <alignment horizontal="center" vertical="center"/>
    </xf>
    <xf numFmtId="1" fontId="29" fillId="2" borderId="8" xfId="562" applyNumberFormat="1" applyFont="1" applyFill="1" applyBorder="1" applyAlignment="1">
      <alignment horizontal="center" vertical="center" wrapText="1"/>
    </xf>
    <xf numFmtId="1" fontId="29" fillId="2" borderId="15" xfId="562" applyNumberFormat="1" applyFont="1" applyFill="1" applyBorder="1" applyAlignment="1">
      <alignment horizontal="center" vertical="center" wrapText="1"/>
    </xf>
    <xf numFmtId="1" fontId="29" fillId="2" borderId="10" xfId="562" applyNumberFormat="1" applyFont="1" applyFill="1" applyBorder="1" applyAlignment="1">
      <alignment horizontal="center" vertical="center" wrapText="1"/>
    </xf>
    <xf numFmtId="1" fontId="29" fillId="2" borderId="4" xfId="562" applyNumberFormat="1" applyFont="1" applyFill="1" applyBorder="1" applyAlignment="1">
      <alignment horizontal="center" vertical="center" wrapText="1"/>
    </xf>
    <xf numFmtId="1" fontId="29" fillId="2" borderId="3" xfId="562" applyNumberFormat="1" applyFont="1" applyFill="1" applyBorder="1" applyAlignment="1">
      <alignment horizontal="center" vertical="center" wrapText="1"/>
    </xf>
    <xf numFmtId="1" fontId="29" fillId="2" borderId="28" xfId="562" applyNumberFormat="1" applyFont="1" applyFill="1" applyBorder="1" applyAlignment="1">
      <alignment horizontal="center" vertical="center" wrapText="1"/>
    </xf>
    <xf numFmtId="1" fontId="29" fillId="2" borderId="7" xfId="562" applyNumberFormat="1" applyFont="1" applyFill="1" applyBorder="1" applyAlignment="1">
      <alignment horizontal="center" vertical="center" wrapText="1"/>
    </xf>
    <xf numFmtId="0" fontId="19" fillId="2" borderId="0" xfId="0" applyFont="1" applyFill="1" applyAlignment="1">
      <alignment horizontal="center"/>
    </xf>
    <xf numFmtId="0" fontId="14" fillId="2" borderId="0" xfId="0" applyFont="1" applyFill="1" applyAlignment="1">
      <alignment horizontal="center"/>
    </xf>
    <xf numFmtId="0" fontId="16" fillId="2" borderId="0" xfId="0" applyFont="1" applyFill="1" applyAlignment="1">
      <alignment horizontal="center"/>
    </xf>
    <xf numFmtId="2" fontId="119" fillId="0" borderId="0" xfId="561" applyNumberFormat="1" applyFont="1" applyFill="1" applyBorder="1" applyAlignment="1">
      <alignment horizontal="center" vertical="center"/>
    </xf>
    <xf numFmtId="0" fontId="113" fillId="0" borderId="0" xfId="561" applyFont="1" applyFill="1" applyAlignment="1">
      <alignment horizontal="center" vertical="center"/>
    </xf>
    <xf numFmtId="2" fontId="113" fillId="0" borderId="0" xfId="561" applyNumberFormat="1" applyFont="1" applyFill="1" applyAlignment="1">
      <alignment horizontal="center" vertical="center"/>
    </xf>
    <xf numFmtId="43" fontId="113" fillId="0" borderId="0" xfId="1" applyNumberFormat="1" applyFont="1" applyFill="1" applyBorder="1" applyAlignment="1">
      <alignment horizontal="center" vertical="center"/>
    </xf>
    <xf numFmtId="200" fontId="113" fillId="0" borderId="0" xfId="561" applyNumberFormat="1" applyFont="1" applyFill="1" applyBorder="1" applyAlignment="1">
      <alignment horizontal="center" vertical="center"/>
    </xf>
    <xf numFmtId="43" fontId="112" fillId="0" borderId="31" xfId="1" applyNumberFormat="1" applyFont="1" applyFill="1" applyBorder="1" applyAlignment="1">
      <alignment horizontal="right" vertical="center" shrinkToFit="1"/>
    </xf>
    <xf numFmtId="2" fontId="113" fillId="0" borderId="0" xfId="561" applyNumberFormat="1" applyFont="1" applyFill="1" applyBorder="1" applyAlignment="1">
      <alignment horizontal="center" vertical="center"/>
    </xf>
    <xf numFmtId="2" fontId="113" fillId="0" borderId="0" xfId="1" applyNumberFormat="1" applyFont="1" applyFill="1" applyBorder="1" applyAlignment="1">
      <alignment horizontal="center" vertical="center" shrinkToFit="1"/>
    </xf>
    <xf numFmtId="2" fontId="114" fillId="0" borderId="35" xfId="1" applyNumberFormat="1" applyFont="1" applyFill="1" applyBorder="1" applyAlignment="1">
      <alignment horizontal="center" vertical="center" wrapText="1" shrinkToFit="1"/>
    </xf>
    <xf numFmtId="4" fontId="114" fillId="0" borderId="35" xfId="561" applyNumberFormat="1" applyFont="1" applyFill="1" applyBorder="1" applyAlignment="1">
      <alignment horizontal="center" vertical="center" wrapText="1" shrinkToFit="1"/>
    </xf>
    <xf numFmtId="0" fontId="113" fillId="0" borderId="36" xfId="561" applyFont="1" applyFill="1" applyBorder="1" applyAlignment="1">
      <alignment horizontal="center" vertical="center" shrinkToFit="1"/>
    </xf>
    <xf numFmtId="0" fontId="115" fillId="0" borderId="0" xfId="561" applyFont="1" applyFill="1" applyBorder="1" applyAlignment="1">
      <alignment horizontal="center" vertical="center"/>
    </xf>
    <xf numFmtId="0" fontId="114" fillId="0" borderId="0" xfId="561" applyFont="1" applyFill="1" applyBorder="1" applyAlignment="1">
      <alignment horizontal="center" vertical="center"/>
    </xf>
    <xf numFmtId="2" fontId="113" fillId="0" borderId="4" xfId="1" applyNumberFormat="1" applyFont="1" applyFill="1" applyBorder="1" applyAlignment="1">
      <alignment horizontal="center" vertical="center" shrinkToFit="1"/>
    </xf>
    <xf numFmtId="2" fontId="114" fillId="0" borderId="35" xfId="561" applyNumberFormat="1" applyFont="1" applyFill="1" applyBorder="1" applyAlignment="1">
      <alignment horizontal="center" vertical="center" wrapText="1" shrinkToFit="1"/>
    </xf>
    <xf numFmtId="2" fontId="113" fillId="0" borderId="4" xfId="561" applyNumberFormat="1" applyFont="1" applyFill="1" applyBorder="1" applyAlignment="1">
      <alignment vertical="center" shrinkToFit="1"/>
    </xf>
    <xf numFmtId="0" fontId="113" fillId="0" borderId="4" xfId="561" applyFont="1" applyFill="1" applyBorder="1" applyAlignment="1">
      <alignment horizontal="center" vertical="center" shrinkToFit="1"/>
    </xf>
    <xf numFmtId="43" fontId="113" fillId="0" borderId="4" xfId="1" applyNumberFormat="1" applyFont="1" applyFill="1" applyBorder="1" applyAlignment="1">
      <alignment horizontal="center" vertical="center" wrapText="1" shrinkToFit="1"/>
    </xf>
    <xf numFmtId="2" fontId="113" fillId="0" borderId="4" xfId="1" applyNumberFormat="1" applyFont="1" applyFill="1" applyBorder="1" applyAlignment="1">
      <alignment horizontal="center" vertical="center" wrapText="1" shrinkToFit="1"/>
    </xf>
    <xf numFmtId="43" fontId="113" fillId="0" borderId="4" xfId="1" applyNumberFormat="1" applyFont="1" applyFill="1" applyBorder="1" applyAlignment="1">
      <alignment horizontal="center" vertical="center" shrinkToFit="1"/>
    </xf>
    <xf numFmtId="0" fontId="113" fillId="0" borderId="0" xfId="561" applyFont="1" applyFill="1" applyBorder="1" applyAlignment="1">
      <alignment horizontal="center" vertical="center"/>
    </xf>
    <xf numFmtId="0" fontId="113" fillId="0" borderId="0" xfId="516" applyFont="1" applyFill="1" applyAlignment="1">
      <alignment horizontal="center"/>
    </xf>
    <xf numFmtId="0" fontId="6" fillId="0" borderId="4" xfId="0" applyFont="1" applyBorder="1" applyAlignment="1">
      <alignment horizontal="center" vertical="center"/>
    </xf>
    <xf numFmtId="0" fontId="86" fillId="0" borderId="5" xfId="0" applyFont="1" applyBorder="1" applyAlignment="1">
      <alignment horizontal="center"/>
    </xf>
    <xf numFmtId="0" fontId="86" fillId="0" borderId="6" xfId="0" applyFont="1" applyBorder="1" applyAlignment="1">
      <alignment horizontal="center"/>
    </xf>
    <xf numFmtId="2" fontId="301" fillId="2" borderId="0" xfId="646" applyNumberFormat="1" applyFont="1" applyFill="1" applyBorder="1" applyAlignment="1">
      <alignment horizontal="center" vertical="center"/>
    </xf>
    <xf numFmtId="2" fontId="259" fillId="2" borderId="0" xfId="646" applyNumberFormat="1" applyFont="1" applyFill="1" applyBorder="1" applyAlignment="1">
      <alignment horizontal="left" vertical="center" indent="6"/>
    </xf>
    <xf numFmtId="0" fontId="292" fillId="2" borderId="0" xfId="646" applyFont="1" applyFill="1" applyBorder="1" applyAlignment="1">
      <alignment horizontal="left" vertical="center"/>
    </xf>
    <xf numFmtId="43" fontId="292" fillId="2" borderId="0" xfId="641" applyNumberFormat="1" applyFont="1" applyFill="1" applyBorder="1" applyAlignment="1">
      <alignment horizontal="center" vertical="center"/>
    </xf>
    <xf numFmtId="200" fontId="292" fillId="2" borderId="0" xfId="646" applyNumberFormat="1" applyFont="1" applyFill="1" applyBorder="1" applyAlignment="1">
      <alignment horizontal="center" vertical="center"/>
    </xf>
    <xf numFmtId="4" fontId="295" fillId="2" borderId="54" xfId="646" applyNumberFormat="1" applyFont="1" applyFill="1" applyBorder="1" applyAlignment="1">
      <alignment horizontal="center" vertical="center" shrinkToFit="1"/>
    </xf>
    <xf numFmtId="0" fontId="277" fillId="2" borderId="39" xfId="646" applyFont="1" applyFill="1" applyBorder="1" applyAlignment="1">
      <alignment horizontal="center" vertical="center" shrinkToFit="1"/>
    </xf>
    <xf numFmtId="43" fontId="300" fillId="2" borderId="31" xfId="641" applyNumberFormat="1" applyFont="1" applyFill="1" applyBorder="1" applyAlignment="1">
      <alignment horizontal="center" vertical="center" shrinkToFit="1"/>
    </xf>
    <xf numFmtId="2" fontId="292" fillId="2" borderId="0" xfId="646" applyNumberFormat="1" applyFont="1" applyFill="1" applyBorder="1" applyAlignment="1">
      <alignment horizontal="center" vertical="center"/>
    </xf>
    <xf numFmtId="0" fontId="292" fillId="2" borderId="0" xfId="646" applyFont="1" applyFill="1" applyBorder="1" applyAlignment="1">
      <alignment horizontal="center" vertical="center"/>
    </xf>
    <xf numFmtId="0" fontId="265" fillId="2" borderId="0" xfId="646" applyFont="1" applyFill="1" applyBorder="1" applyAlignment="1">
      <alignment horizontal="center" vertical="center"/>
    </xf>
    <xf numFmtId="2" fontId="220" fillId="2" borderId="54" xfId="646" applyNumberFormat="1" applyFont="1" applyFill="1" applyBorder="1" applyAlignment="1">
      <alignment horizontal="center" vertical="center" shrinkToFit="1"/>
    </xf>
    <xf numFmtId="2" fontId="220" fillId="2" borderId="57" xfId="646" applyNumberFormat="1" applyFont="1" applyFill="1" applyBorder="1" applyAlignment="1">
      <alignment horizontal="center" vertical="center" shrinkToFit="1"/>
    </xf>
    <xf numFmtId="0" fontId="277" fillId="2" borderId="54" xfId="646" applyFont="1" applyFill="1" applyBorder="1" applyAlignment="1">
      <alignment horizontal="center" vertical="center" shrinkToFit="1"/>
    </xf>
    <xf numFmtId="0" fontId="277" fillId="2" borderId="57" xfId="646" applyFont="1" applyFill="1" applyBorder="1" applyAlignment="1">
      <alignment horizontal="center" vertical="center" shrinkToFit="1"/>
    </xf>
    <xf numFmtId="43" fontId="277" fillId="2" borderId="54" xfId="641" applyNumberFormat="1" applyFont="1" applyFill="1" applyBorder="1" applyAlignment="1">
      <alignment horizontal="center" vertical="center" wrapText="1" shrinkToFit="1"/>
    </xf>
    <xf numFmtId="43" fontId="277" fillId="2" borderId="57" xfId="641" applyNumberFormat="1" applyFont="1" applyFill="1" applyBorder="1" applyAlignment="1">
      <alignment horizontal="center" vertical="center" wrapText="1" shrinkToFit="1"/>
    </xf>
    <xf numFmtId="2" fontId="277" fillId="2" borderId="54" xfId="641" applyNumberFormat="1" applyFont="1" applyFill="1" applyBorder="1" applyAlignment="1">
      <alignment horizontal="center" vertical="center" shrinkToFit="1"/>
    </xf>
    <xf numFmtId="198" fontId="277" fillId="2" borderId="54" xfId="641" applyNumberFormat="1" applyFont="1" applyFill="1" applyBorder="1" applyAlignment="1">
      <alignment horizontal="center" vertical="center" wrapText="1" shrinkToFit="1"/>
    </xf>
    <xf numFmtId="198" fontId="277" fillId="2" borderId="57" xfId="641" applyNumberFormat="1" applyFont="1" applyFill="1" applyBorder="1" applyAlignment="1">
      <alignment horizontal="center" vertical="center" wrapText="1" shrinkToFit="1"/>
    </xf>
    <xf numFmtId="0" fontId="277" fillId="2" borderId="0" xfId="648" applyFont="1" applyFill="1" applyAlignment="1">
      <alignment horizontal="center"/>
    </xf>
    <xf numFmtId="0" fontId="259" fillId="0" borderId="0" xfId="642" applyFont="1" applyAlignment="1">
      <alignment horizontal="center"/>
    </xf>
    <xf numFmtId="0" fontId="290" fillId="0" borderId="59" xfId="642" applyFont="1" applyBorder="1" applyAlignment="1">
      <alignment horizontal="center"/>
    </xf>
    <xf numFmtId="0" fontId="290" fillId="0" borderId="60" xfId="642" applyFont="1" applyBorder="1" applyAlignment="1">
      <alignment horizontal="center"/>
    </xf>
    <xf numFmtId="0" fontId="290" fillId="0" borderId="58" xfId="642" applyFont="1" applyBorder="1" applyAlignment="1">
      <alignment horizontal="center"/>
    </xf>
    <xf numFmtId="0" fontId="273" fillId="0" borderId="31" xfId="645" applyFont="1" applyBorder="1" applyAlignment="1">
      <alignment horizontal="right"/>
    </xf>
    <xf numFmtId="0" fontId="236" fillId="0" borderId="0" xfId="642" applyFont="1" applyAlignment="1">
      <alignment horizontal="center"/>
    </xf>
    <xf numFmtId="0" fontId="268" fillId="0" borderId="0" xfId="645" applyFont="1" applyAlignment="1">
      <alignment horizontal="center"/>
    </xf>
    <xf numFmtId="0" fontId="236" fillId="0" borderId="59" xfId="642" applyFont="1" applyBorder="1" applyAlignment="1">
      <alignment horizontal="center"/>
    </xf>
    <xf numFmtId="0" fontId="236" fillId="0" borderId="58" xfId="642" applyFont="1" applyBorder="1" applyAlignment="1">
      <alignment horizontal="center"/>
    </xf>
    <xf numFmtId="0" fontId="259" fillId="2" borderId="0" xfId="642" applyFont="1" applyFill="1" applyAlignment="1">
      <alignment horizontal="center" vertical="center"/>
    </xf>
    <xf numFmtId="0" fontId="259" fillId="2" borderId="0" xfId="642" quotePrefix="1" applyFont="1" applyFill="1" applyAlignment="1">
      <alignment horizontal="center" vertical="center"/>
    </xf>
    <xf numFmtId="0" fontId="220" fillId="2" borderId="0" xfId="642" applyFont="1" applyFill="1" applyAlignment="1">
      <alignment horizontal="center" vertical="center"/>
    </xf>
    <xf numFmtId="0" fontId="289" fillId="3" borderId="0" xfId="645" applyFont="1" applyFill="1" applyBorder="1" applyAlignment="1">
      <alignment horizontal="center" vertical="center" wrapText="1" shrinkToFit="1"/>
    </xf>
    <xf numFmtId="0" fontId="286" fillId="0" borderId="0" xfId="642" applyFont="1" applyAlignment="1">
      <alignment horizontal="center" vertical="center"/>
    </xf>
    <xf numFmtId="0" fontId="218" fillId="0" borderId="0" xfId="642" applyFont="1" applyAlignment="1">
      <alignment horizontal="center" vertical="center"/>
    </xf>
    <xf numFmtId="0" fontId="282" fillId="0" borderId="57" xfId="642" applyFont="1" applyBorder="1" applyAlignment="1">
      <alignment horizontal="center" vertical="center" wrapText="1"/>
    </xf>
    <xf numFmtId="0" fontId="282" fillId="0" borderId="7" xfId="642" applyFont="1" applyBorder="1" applyAlignment="1">
      <alignment horizontal="center" vertical="center"/>
    </xf>
    <xf numFmtId="0" fontId="285" fillId="0" borderId="0" xfId="642" applyFont="1" applyAlignment="1">
      <alignment horizontal="right" vertical="center"/>
    </xf>
    <xf numFmtId="0" fontId="217" fillId="0" borderId="0" xfId="642" applyFont="1" applyAlignment="1">
      <alignment horizontal="center" vertical="center"/>
    </xf>
    <xf numFmtId="0" fontId="217" fillId="0" borderId="57" xfId="642" applyFont="1" applyBorder="1" applyAlignment="1">
      <alignment horizontal="center" vertical="center"/>
    </xf>
    <xf numFmtId="0" fontId="217" fillId="0" borderId="7" xfId="642" applyFont="1" applyBorder="1" applyAlignment="1">
      <alignment horizontal="center" vertical="center"/>
    </xf>
    <xf numFmtId="0" fontId="282" fillId="0" borderId="59" xfId="642" applyFont="1" applyBorder="1" applyAlignment="1">
      <alignment horizontal="center" vertical="center"/>
    </xf>
    <xf numFmtId="0" fontId="282" fillId="0" borderId="60" xfId="642" applyFont="1" applyBorder="1" applyAlignment="1">
      <alignment horizontal="center" vertical="center"/>
    </xf>
    <xf numFmtId="0" fontId="282" fillId="0" borderId="58" xfId="642" applyFont="1" applyBorder="1" applyAlignment="1">
      <alignment horizontal="center" vertical="center"/>
    </xf>
    <xf numFmtId="0" fontId="218" fillId="0" borderId="31" xfId="642" applyFont="1" applyBorder="1" applyAlignment="1">
      <alignment horizontal="center" vertical="center"/>
    </xf>
    <xf numFmtId="0" fontId="282" fillId="0" borderId="0" xfId="642" applyFont="1" applyAlignment="1">
      <alignment horizontal="center" vertical="center"/>
    </xf>
    <xf numFmtId="0" fontId="218" fillId="0" borderId="57" xfId="642" applyFont="1" applyBorder="1" applyAlignment="1">
      <alignment horizontal="center" vertical="center"/>
    </xf>
    <xf numFmtId="0" fontId="218" fillId="0" borderId="7" xfId="642" applyFont="1" applyBorder="1" applyAlignment="1">
      <alignment horizontal="center" vertical="center"/>
    </xf>
    <xf numFmtId="0" fontId="217" fillId="0" borderId="12" xfId="642" applyFont="1" applyBorder="1" applyAlignment="1">
      <alignment horizontal="left" vertical="center" wrapText="1"/>
    </xf>
    <xf numFmtId="0" fontId="217" fillId="0" borderId="13" xfId="642" applyFont="1" applyBorder="1" applyAlignment="1">
      <alignment horizontal="left" vertical="center"/>
    </xf>
    <xf numFmtId="0" fontId="217" fillId="0" borderId="57" xfId="642" applyFont="1" applyBorder="1" applyAlignment="1">
      <alignment horizontal="center" vertical="center" wrapText="1"/>
    </xf>
    <xf numFmtId="0" fontId="217" fillId="0" borderId="7" xfId="642" applyFont="1" applyBorder="1" applyAlignment="1">
      <alignment horizontal="center" vertical="center" wrapText="1"/>
    </xf>
    <xf numFmtId="0" fontId="272" fillId="0" borderId="0" xfId="642" applyFont="1" applyAlignment="1">
      <alignment horizontal="center" vertical="center"/>
    </xf>
    <xf numFmtId="0" fontId="277" fillId="0" borderId="0" xfId="642" applyFont="1" applyAlignment="1">
      <alignment horizontal="center" vertical="center"/>
    </xf>
    <xf numFmtId="0" fontId="278" fillId="0" borderId="0" xfId="642" quotePrefix="1" applyFont="1" applyFill="1" applyBorder="1" applyAlignment="1">
      <alignment horizontal="center"/>
    </xf>
    <xf numFmtId="0" fontId="211" fillId="0" borderId="0" xfId="642" applyFont="1" applyAlignment="1">
      <alignment horizontal="center" vertical="center"/>
    </xf>
    <xf numFmtId="0" fontId="259" fillId="0" borderId="0" xfId="642" applyFont="1" applyAlignment="1">
      <alignment horizontal="center" vertical="center"/>
    </xf>
    <xf numFmtId="0" fontId="259" fillId="2" borderId="0" xfId="644" applyFont="1" applyFill="1" applyBorder="1" applyAlignment="1">
      <alignment horizontal="center"/>
    </xf>
    <xf numFmtId="247" fontId="259" fillId="0" borderId="0" xfId="639" applyNumberFormat="1" applyFont="1" applyFill="1" applyBorder="1" applyAlignment="1">
      <alignment horizontal="center" vertical="center"/>
    </xf>
    <xf numFmtId="0" fontId="276" fillId="0" borderId="0" xfId="642" quotePrefix="1" applyFont="1" applyFill="1" applyBorder="1" applyAlignment="1">
      <alignment horizontal="center"/>
    </xf>
    <xf numFmtId="0" fontId="211" fillId="0" borderId="0" xfId="642" applyFont="1" applyFill="1" applyBorder="1" applyAlignment="1">
      <alignment horizontal="center" vertical="center"/>
    </xf>
    <xf numFmtId="0" fontId="259" fillId="0" borderId="0" xfId="642" applyFont="1" applyFill="1" applyBorder="1" applyAlignment="1">
      <alignment horizontal="center" vertical="center"/>
    </xf>
    <xf numFmtId="0" fontId="211" fillId="2" borderId="0" xfId="644" applyFont="1" applyFill="1" applyBorder="1" applyAlignment="1">
      <alignment horizontal="center" vertical="center"/>
    </xf>
    <xf numFmtId="0" fontId="259" fillId="2" borderId="54" xfId="644" applyFont="1" applyFill="1" applyBorder="1" applyAlignment="1">
      <alignment horizontal="center" vertical="center"/>
    </xf>
    <xf numFmtId="1" fontId="259" fillId="2" borderId="54" xfId="644" applyNumberFormat="1" applyFont="1" applyFill="1" applyBorder="1" applyAlignment="1">
      <alignment horizontal="center" vertical="center"/>
    </xf>
    <xf numFmtId="0" fontId="311" fillId="0" borderId="3" xfId="642" applyFont="1" applyFill="1" applyBorder="1" applyAlignment="1">
      <alignment horizontal="center" vertical="center"/>
    </xf>
    <xf numFmtId="0" fontId="311" fillId="0" borderId="64" xfId="642" applyFont="1" applyFill="1" applyBorder="1" applyAlignment="1">
      <alignment horizontal="center" vertical="center"/>
    </xf>
    <xf numFmtId="0" fontId="259" fillId="2" borderId="54" xfId="250" applyFont="1" applyFill="1" applyBorder="1" applyAlignment="1">
      <alignment horizontal="center" vertical="center" wrapText="1"/>
    </xf>
    <xf numFmtId="0" fontId="259" fillId="2" borderId="54" xfId="250" applyFont="1" applyFill="1" applyBorder="1" applyAlignment="1">
      <alignment horizontal="center" vertical="center"/>
    </xf>
    <xf numFmtId="1" fontId="259" fillId="2" borderId="0" xfId="644" applyNumberFormat="1" applyFont="1" applyFill="1" applyAlignment="1">
      <alignment horizontal="center"/>
    </xf>
    <xf numFmtId="1" fontId="271" fillId="2" borderId="0" xfId="250" applyNumberFormat="1" applyFont="1" applyFill="1" applyAlignment="1">
      <alignment horizontal="center"/>
    </xf>
    <xf numFmtId="217" fontId="259" fillId="2" borderId="54" xfId="639" applyNumberFormat="1" applyFont="1" applyFill="1" applyBorder="1" applyAlignment="1">
      <alignment horizontal="center"/>
    </xf>
    <xf numFmtId="0" fontId="271" fillId="2" borderId="59" xfId="644" applyFont="1" applyFill="1" applyBorder="1" applyAlignment="1">
      <alignment horizontal="center" vertical="center"/>
    </xf>
    <xf numFmtId="0" fontId="271" fillId="2" borderId="60" xfId="644" applyFont="1" applyFill="1" applyBorder="1" applyAlignment="1">
      <alignment horizontal="center" vertical="center"/>
    </xf>
    <xf numFmtId="0" fontId="271" fillId="2" borderId="58" xfId="644" applyFont="1" applyFill="1" applyBorder="1" applyAlignment="1">
      <alignment horizontal="center" vertical="center"/>
    </xf>
    <xf numFmtId="1" fontId="222" fillId="2" borderId="0" xfId="644" applyNumberFormat="1" applyFont="1" applyFill="1" applyAlignment="1">
      <alignment horizontal="right"/>
    </xf>
    <xf numFmtId="0" fontId="259" fillId="0" borderId="54" xfId="642" applyFont="1" applyFill="1" applyBorder="1" applyAlignment="1">
      <alignment horizontal="center" vertical="center"/>
    </xf>
    <xf numFmtId="0" fontId="267" fillId="0" borderId="59" xfId="642" applyFont="1" applyBorder="1" applyAlignment="1">
      <alignment horizontal="center" vertical="center"/>
    </xf>
    <xf numFmtId="0" fontId="268" fillId="0" borderId="60" xfId="642" applyFont="1" applyBorder="1" applyAlignment="1">
      <alignment horizontal="center" vertical="center"/>
    </xf>
    <xf numFmtId="0" fontId="268" fillId="0" borderId="58" xfId="642" applyFont="1" applyBorder="1" applyAlignment="1">
      <alignment horizontal="center" vertical="center"/>
    </xf>
    <xf numFmtId="0" fontId="273" fillId="0" borderId="31" xfId="642" applyFont="1" applyBorder="1" applyAlignment="1">
      <alignment horizontal="right"/>
    </xf>
    <xf numFmtId="0" fontId="268" fillId="0" borderId="0" xfId="642" applyFont="1" applyAlignment="1">
      <alignment horizontal="center"/>
    </xf>
    <xf numFmtId="224" fontId="259" fillId="0" borderId="0" xfId="637" applyNumberFormat="1" applyFont="1" applyFill="1" applyAlignment="1">
      <alignment horizontal="center"/>
    </xf>
    <xf numFmtId="224" fontId="259" fillId="0" borderId="0" xfId="637" quotePrefix="1" applyNumberFormat="1" applyFont="1" applyFill="1" applyAlignment="1">
      <alignment horizontal="center"/>
    </xf>
    <xf numFmtId="0" fontId="265" fillId="0" borderId="0" xfId="642" applyFont="1" applyFill="1" applyAlignment="1">
      <alignment horizontal="center"/>
    </xf>
    <xf numFmtId="0" fontId="259" fillId="0" borderId="0" xfId="642" applyFont="1" applyFill="1" applyAlignment="1">
      <alignment horizontal="center"/>
    </xf>
    <xf numFmtId="0" fontId="233" fillId="0" borderId="0" xfId="642" applyFont="1" applyFill="1" applyAlignment="1">
      <alignment horizontal="center" vertical="center" wrapText="1"/>
    </xf>
    <xf numFmtId="0" fontId="233" fillId="0" borderId="0" xfId="642" applyFont="1" applyFill="1" applyAlignment="1">
      <alignment horizontal="center" vertical="center"/>
    </xf>
    <xf numFmtId="0" fontId="259" fillId="0" borderId="54" xfId="642" applyFont="1" applyFill="1" applyBorder="1" applyAlignment="1">
      <alignment horizontal="center" vertical="center" wrapText="1"/>
    </xf>
    <xf numFmtId="187" fontId="259" fillId="0" borderId="54" xfId="637" applyNumberFormat="1" applyFont="1" applyFill="1" applyBorder="1" applyAlignment="1">
      <alignment horizontal="center" vertical="center" wrapText="1"/>
    </xf>
    <xf numFmtId="0" fontId="268" fillId="0" borderId="0" xfId="638" applyFont="1" applyAlignment="1">
      <alignment horizontal="center"/>
    </xf>
    <xf numFmtId="0" fontId="259" fillId="0" borderId="1" xfId="638" applyFont="1" applyFill="1" applyBorder="1" applyAlignment="1">
      <alignment horizontal="center" vertical="center"/>
    </xf>
    <xf numFmtId="0" fontId="259" fillId="0" borderId="54" xfId="638" applyFont="1" applyFill="1" applyBorder="1" applyAlignment="1">
      <alignment horizontal="center" vertical="center"/>
    </xf>
    <xf numFmtId="0" fontId="259" fillId="0" borderId="57" xfId="638" applyFont="1" applyFill="1" applyBorder="1" applyAlignment="1">
      <alignment horizontal="center" vertical="center" wrapText="1"/>
    </xf>
    <xf numFmtId="0" fontId="259" fillId="0" borderId="7" xfId="638" applyFont="1" applyFill="1" applyBorder="1" applyAlignment="1">
      <alignment horizontal="center" vertical="center" wrapText="1"/>
    </xf>
    <xf numFmtId="0" fontId="259" fillId="0" borderId="54" xfId="638" applyFont="1" applyFill="1" applyBorder="1" applyAlignment="1">
      <alignment horizontal="center" vertical="center" wrapText="1"/>
    </xf>
    <xf numFmtId="0" fontId="25" fillId="2" borderId="0" xfId="0" applyFont="1" applyFill="1" applyAlignment="1">
      <alignment horizontal="center"/>
    </xf>
    <xf numFmtId="0" fontId="267" fillId="0" borderId="54" xfId="638" applyFont="1" applyBorder="1" applyAlignment="1">
      <alignment horizontal="center"/>
    </xf>
    <xf numFmtId="0" fontId="268" fillId="0" borderId="54" xfId="638" applyFont="1" applyBorder="1" applyAlignment="1">
      <alignment horizontal="center"/>
    </xf>
    <xf numFmtId="0" fontId="269" fillId="0" borderId="31" xfId="638" applyFont="1" applyBorder="1" applyAlignment="1">
      <alignment horizontal="left" indent="9"/>
    </xf>
    <xf numFmtId="0" fontId="233" fillId="0" borderId="0" xfId="638" applyFont="1" applyFill="1" applyAlignment="1">
      <alignment horizontal="center" vertical="center" wrapText="1"/>
    </xf>
    <xf numFmtId="0" fontId="233" fillId="0" borderId="0" xfId="638" applyFont="1" applyFill="1" applyAlignment="1">
      <alignment horizontal="center" vertical="center"/>
    </xf>
    <xf numFmtId="0" fontId="265" fillId="0" borderId="0" xfId="638" applyFont="1" applyFill="1" applyAlignment="1">
      <alignment horizontal="center"/>
    </xf>
    <xf numFmtId="0" fontId="259" fillId="0" borderId="0" xfId="638" applyFont="1" applyFill="1" applyAlignment="1">
      <alignment horizontal="center"/>
    </xf>
    <xf numFmtId="0" fontId="259" fillId="2" borderId="0" xfId="643" applyFont="1" applyFill="1" applyAlignment="1">
      <alignment horizontal="center" vertical="center"/>
    </xf>
    <xf numFmtId="0" fontId="222" fillId="2" borderId="0" xfId="643" applyFont="1" applyFill="1" applyAlignment="1">
      <alignment horizontal="center" vertical="center"/>
    </xf>
    <xf numFmtId="0" fontId="222" fillId="2" borderId="0" xfId="642" applyFont="1" applyFill="1" applyAlignment="1">
      <alignment horizontal="center" vertical="center"/>
    </xf>
    <xf numFmtId="0" fontId="259" fillId="2" borderId="0" xfId="642" applyFont="1" applyFill="1" applyAlignment="1">
      <alignment horizontal="left" vertical="center"/>
    </xf>
    <xf numFmtId="0" fontId="259" fillId="2" borderId="57" xfId="643" applyFont="1" applyFill="1" applyBorder="1" applyAlignment="1">
      <alignment horizontal="center" vertical="center" wrapText="1"/>
    </xf>
    <xf numFmtId="0" fontId="259" fillId="2" borderId="7" xfId="643" applyFont="1" applyFill="1" applyBorder="1" applyAlignment="1">
      <alignment horizontal="center" vertical="center" wrapText="1"/>
    </xf>
    <xf numFmtId="0" fontId="259" fillId="2" borderId="59" xfId="643" applyFont="1" applyFill="1" applyBorder="1" applyAlignment="1">
      <alignment horizontal="center" vertical="center"/>
    </xf>
    <xf numFmtId="0" fontId="259" fillId="2" borderId="58" xfId="643" applyFont="1" applyFill="1" applyBorder="1" applyAlignment="1">
      <alignment horizontal="center" vertical="center"/>
    </xf>
    <xf numFmtId="0" fontId="211" fillId="2" borderId="0" xfId="643" applyFont="1" applyFill="1" applyAlignment="1">
      <alignment horizontal="center" vertical="center"/>
    </xf>
    <xf numFmtId="0" fontId="259" fillId="2" borderId="1" xfId="643" applyFont="1" applyFill="1" applyBorder="1" applyAlignment="1">
      <alignment horizontal="center" vertical="center"/>
    </xf>
    <xf numFmtId="0" fontId="259" fillId="2" borderId="57" xfId="643" applyFont="1" applyFill="1" applyBorder="1" applyAlignment="1">
      <alignment horizontal="center" vertical="center"/>
    </xf>
    <xf numFmtId="0" fontId="259" fillId="2" borderId="7" xfId="643" applyFont="1" applyFill="1" applyBorder="1" applyAlignment="1">
      <alignment horizontal="center" vertical="center"/>
    </xf>
    <xf numFmtId="0" fontId="272" fillId="2" borderId="0" xfId="643" applyFont="1" applyFill="1" applyAlignment="1">
      <alignment horizontal="center" vertical="center"/>
    </xf>
    <xf numFmtId="0" fontId="259" fillId="2" borderId="0" xfId="643" quotePrefix="1" applyFont="1" applyFill="1" applyAlignment="1">
      <alignment horizontal="center" vertical="center"/>
    </xf>
    <xf numFmtId="0" fontId="256" fillId="2" borderId="31" xfId="627" applyFont="1" applyFill="1" applyBorder="1" applyAlignment="1">
      <alignment horizontal="left"/>
    </xf>
    <xf numFmtId="0" fontId="246" fillId="2" borderId="0" xfId="626" applyFont="1" applyFill="1" applyAlignment="1">
      <alignment horizontal="right"/>
    </xf>
    <xf numFmtId="0" fontId="241" fillId="2" borderId="0" xfId="626" applyFont="1" applyFill="1" applyAlignment="1">
      <alignment horizontal="center"/>
    </xf>
    <xf numFmtId="0" fontId="220" fillId="2" borderId="54" xfId="627" applyFont="1" applyFill="1" applyBorder="1" applyAlignment="1">
      <alignment horizontal="center" vertical="center"/>
    </xf>
    <xf numFmtId="43" fontId="220" fillId="2" borderId="57" xfId="628" applyFont="1" applyFill="1" applyBorder="1" applyAlignment="1">
      <alignment horizontal="center" vertical="center" wrapText="1"/>
    </xf>
    <xf numFmtId="43" fontId="220" fillId="2" borderId="7" xfId="628" applyFont="1" applyFill="1" applyBorder="1" applyAlignment="1">
      <alignment horizontal="center" vertical="center" wrapText="1"/>
    </xf>
    <xf numFmtId="0" fontId="255" fillId="2" borderId="54" xfId="626" applyFont="1" applyFill="1" applyBorder="1" applyAlignment="1">
      <alignment horizontal="center" vertical="center" wrapText="1"/>
    </xf>
    <xf numFmtId="0" fontId="254" fillId="2" borderId="0" xfId="626" applyFont="1" applyFill="1" applyBorder="1" applyAlignment="1">
      <alignment horizontal="center"/>
    </xf>
    <xf numFmtId="0" fontId="233" fillId="2" borderId="0" xfId="627" quotePrefix="1" applyFont="1" applyFill="1" applyAlignment="1">
      <alignment horizontal="center"/>
    </xf>
    <xf numFmtId="0" fontId="253" fillId="2" borderId="0" xfId="626" applyFont="1" applyFill="1" applyAlignment="1">
      <alignment horizontal="center"/>
    </xf>
    <xf numFmtId="0" fontId="248" fillId="2" borderId="0" xfId="631" applyFont="1" applyFill="1" applyAlignment="1">
      <alignment horizontal="center"/>
    </xf>
    <xf numFmtId="0" fontId="309" fillId="2" borderId="0" xfId="626" applyFont="1" applyFill="1" applyAlignment="1">
      <alignment horizontal="center" vertical="center" wrapText="1"/>
    </xf>
    <xf numFmtId="0" fontId="227" fillId="2" borderId="0" xfId="626" applyFont="1" applyFill="1" applyAlignment="1">
      <alignment horizontal="center"/>
    </xf>
    <xf numFmtId="0" fontId="232" fillId="2" borderId="1" xfId="626" applyFont="1" applyFill="1" applyBorder="1" applyAlignment="1">
      <alignment horizontal="center" vertical="center"/>
    </xf>
    <xf numFmtId="0" fontId="233" fillId="2" borderId="55" xfId="627" applyFont="1" applyFill="1" applyBorder="1" applyAlignment="1">
      <alignment horizontal="center" vertical="center"/>
    </xf>
    <xf numFmtId="0" fontId="233" fillId="2" borderId="56" xfId="627" applyFont="1" applyFill="1" applyBorder="1" applyAlignment="1">
      <alignment horizontal="center" vertical="center"/>
    </xf>
    <xf numFmtId="0" fontId="233" fillId="2" borderId="10" xfId="627" applyFont="1" applyFill="1" applyBorder="1" applyAlignment="1">
      <alignment horizontal="center" vertical="center"/>
    </xf>
    <xf numFmtId="0" fontId="233" fillId="2" borderId="11" xfId="627" applyFont="1" applyFill="1" applyBorder="1" applyAlignment="1">
      <alignment horizontal="center" vertical="center"/>
    </xf>
    <xf numFmtId="0" fontId="233" fillId="2" borderId="54" xfId="627" applyFont="1" applyFill="1" applyBorder="1" applyAlignment="1">
      <alignment horizontal="center" vertical="center"/>
    </xf>
    <xf numFmtId="0" fontId="234" fillId="2" borderId="54" xfId="627" applyFont="1" applyFill="1" applyBorder="1" applyAlignment="1">
      <alignment horizontal="center" vertical="center"/>
    </xf>
    <xf numFmtId="43" fontId="233" fillId="2" borderId="54" xfId="628" applyFont="1" applyFill="1" applyBorder="1" applyAlignment="1">
      <alignment horizontal="center" vertical="center" wrapText="1"/>
    </xf>
    <xf numFmtId="43" fontId="233" fillId="2" borderId="57" xfId="628" applyFont="1" applyFill="1" applyBorder="1" applyAlignment="1">
      <alignment horizontal="center" vertical="center" wrapText="1"/>
    </xf>
    <xf numFmtId="43" fontId="233" fillId="2" borderId="28" xfId="628" applyFont="1" applyFill="1" applyBorder="1" applyAlignment="1">
      <alignment horizontal="center" vertical="center" wrapText="1"/>
    </xf>
    <xf numFmtId="0" fontId="235" fillId="2" borderId="54" xfId="626" applyFont="1" applyFill="1" applyBorder="1" applyAlignment="1">
      <alignment horizontal="center" vertical="center" wrapText="1"/>
    </xf>
    <xf numFmtId="0" fontId="228" fillId="2" borderId="0" xfId="626" applyFont="1" applyFill="1" applyAlignment="1">
      <alignment horizontal="center"/>
    </xf>
    <xf numFmtId="0" fontId="229" fillId="2" borderId="0" xfId="626" applyFont="1" applyFill="1" applyBorder="1" applyAlignment="1">
      <alignment horizontal="center"/>
    </xf>
    <xf numFmtId="0" fontId="238" fillId="2" borderId="0" xfId="626" applyFont="1" applyFill="1" applyAlignment="1">
      <alignment horizontal="center" wrapText="1"/>
    </xf>
    <xf numFmtId="0" fontId="255" fillId="2" borderId="1" xfId="626" applyFont="1" applyFill="1" applyBorder="1" applyAlignment="1">
      <alignment horizontal="center" vertical="center"/>
    </xf>
    <xf numFmtId="0" fontId="220" fillId="2" borderId="55" xfId="627" applyFont="1" applyFill="1" applyBorder="1" applyAlignment="1">
      <alignment horizontal="center" vertical="center"/>
    </xf>
    <xf numFmtId="0" fontId="220" fillId="2" borderId="56" xfId="627" applyFont="1" applyFill="1" applyBorder="1" applyAlignment="1">
      <alignment horizontal="center" vertical="center"/>
    </xf>
    <xf numFmtId="0" fontId="220" fillId="2" borderId="15" xfId="627" applyFont="1" applyFill="1" applyBorder="1" applyAlignment="1">
      <alignment horizontal="center" vertical="center"/>
    </xf>
    <xf numFmtId="0" fontId="220" fillId="2" borderId="30" xfId="627" applyFont="1" applyFill="1" applyBorder="1" applyAlignment="1">
      <alignment horizontal="center" vertical="center"/>
    </xf>
    <xf numFmtId="0" fontId="220" fillId="2" borderId="57" xfId="627" applyFont="1" applyFill="1" applyBorder="1" applyAlignment="1">
      <alignment horizontal="center" vertical="center"/>
    </xf>
    <xf numFmtId="43" fontId="220" fillId="2" borderId="59" xfId="628" applyFont="1" applyFill="1" applyBorder="1" applyAlignment="1">
      <alignment horizontal="center" vertical="center" wrapText="1"/>
    </xf>
    <xf numFmtId="43" fontId="220" fillId="2" borderId="60" xfId="628" applyFont="1" applyFill="1" applyBorder="1" applyAlignment="1">
      <alignment horizontal="center" vertical="center" wrapText="1"/>
    </xf>
    <xf numFmtId="43" fontId="220" fillId="2" borderId="58" xfId="628" applyFont="1" applyFill="1" applyBorder="1" applyAlignment="1">
      <alignment horizontal="center" vertical="center" wrapText="1"/>
    </xf>
    <xf numFmtId="0" fontId="255" fillId="2" borderId="57" xfId="626" applyFont="1" applyFill="1" applyBorder="1" applyAlignment="1">
      <alignment horizontal="center" vertical="center" wrapText="1"/>
    </xf>
    <xf numFmtId="0" fontId="250" fillId="2" borderId="0" xfId="626" applyFont="1" applyFill="1" applyAlignment="1">
      <alignment horizontal="center" vertical="center" wrapText="1"/>
    </xf>
    <xf numFmtId="0" fontId="241" fillId="2" borderId="59" xfId="626" applyFont="1" applyFill="1" applyBorder="1" applyAlignment="1">
      <alignment horizontal="center" vertical="center"/>
    </xf>
    <xf numFmtId="0" fontId="241" fillId="2" borderId="60" xfId="626" applyFont="1" applyFill="1" applyBorder="1" applyAlignment="1">
      <alignment horizontal="center" vertical="center"/>
    </xf>
    <xf numFmtId="0" fontId="241" fillId="2" borderId="58" xfId="626" applyFont="1" applyFill="1" applyBorder="1" applyAlignment="1">
      <alignment horizontal="center" vertical="center"/>
    </xf>
    <xf numFmtId="217" fontId="313" fillId="2" borderId="59" xfId="630" applyNumberFormat="1" applyFont="1" applyFill="1" applyBorder="1" applyAlignment="1">
      <alignment horizontal="center" vertical="center"/>
    </xf>
    <xf numFmtId="217" fontId="313" fillId="2" borderId="60" xfId="630" applyNumberFormat="1" applyFont="1" applyFill="1" applyBorder="1" applyAlignment="1">
      <alignment horizontal="center" vertical="center"/>
    </xf>
    <xf numFmtId="217" fontId="313" fillId="2" borderId="58" xfId="630" applyNumberFormat="1" applyFont="1" applyFill="1" applyBorder="1" applyAlignment="1">
      <alignment horizontal="center" vertical="center"/>
    </xf>
    <xf numFmtId="0" fontId="253" fillId="2" borderId="59" xfId="626" applyFont="1" applyFill="1" applyBorder="1" applyAlignment="1">
      <alignment horizontal="center" vertical="center"/>
    </xf>
    <xf numFmtId="0" fontId="253" fillId="2" borderId="60" xfId="626" applyFont="1" applyFill="1" applyBorder="1" applyAlignment="1">
      <alignment horizontal="center" vertical="center"/>
    </xf>
    <xf numFmtId="0" fontId="253" fillId="2" borderId="58" xfId="626" applyFont="1" applyFill="1" applyBorder="1" applyAlignment="1">
      <alignment horizontal="center" vertical="center"/>
    </xf>
    <xf numFmtId="217" fontId="241" fillId="2" borderId="59" xfId="630" applyNumberFormat="1" applyFont="1" applyFill="1" applyBorder="1" applyAlignment="1">
      <alignment horizontal="center" vertical="center"/>
    </xf>
    <xf numFmtId="217" fontId="241" fillId="2" borderId="60" xfId="630" applyNumberFormat="1" applyFont="1" applyFill="1" applyBorder="1" applyAlignment="1">
      <alignment horizontal="center" vertical="center"/>
    </xf>
    <xf numFmtId="217" fontId="241" fillId="2" borderId="58" xfId="630" applyNumberFormat="1" applyFont="1" applyFill="1" applyBorder="1" applyAlignment="1">
      <alignment horizontal="center" vertical="center"/>
    </xf>
    <xf numFmtId="188" fontId="241" fillId="2" borderId="59" xfId="630" applyNumberFormat="1" applyFont="1" applyFill="1" applyBorder="1" applyAlignment="1">
      <alignment horizontal="center" vertical="center"/>
    </xf>
    <xf numFmtId="188" fontId="241" fillId="2" borderId="60" xfId="630" applyNumberFormat="1" applyFont="1" applyFill="1" applyBorder="1" applyAlignment="1">
      <alignment horizontal="center" vertical="center"/>
    </xf>
    <xf numFmtId="188" fontId="241" fillId="2" borderId="58" xfId="630" applyNumberFormat="1" applyFont="1" applyFill="1" applyBorder="1" applyAlignment="1">
      <alignment horizontal="center" vertical="center"/>
    </xf>
    <xf numFmtId="217" fontId="239" fillId="2" borderId="0" xfId="626" applyNumberFormat="1" applyFont="1" applyFill="1" applyAlignment="1">
      <alignment horizontal="center" vertical="center"/>
    </xf>
    <xf numFmtId="0" fontId="232" fillId="2" borderId="59" xfId="626" applyFont="1" applyFill="1" applyBorder="1" applyAlignment="1">
      <alignment horizontal="center" vertical="center"/>
    </xf>
    <xf numFmtId="0" fontId="232" fillId="2" borderId="60" xfId="626" applyFont="1" applyFill="1" applyBorder="1" applyAlignment="1">
      <alignment horizontal="center" vertical="center"/>
    </xf>
    <xf numFmtId="0" fontId="232" fillId="2" borderId="58" xfId="626" applyFont="1" applyFill="1" applyBorder="1" applyAlignment="1">
      <alignment horizontal="center" vertical="center"/>
    </xf>
    <xf numFmtId="0" fontId="232" fillId="2" borderId="54" xfId="626" applyFont="1" applyFill="1" applyBorder="1" applyAlignment="1">
      <alignment horizontal="center" vertical="center"/>
    </xf>
    <xf numFmtId="0" fontId="241" fillId="2" borderId="54" xfId="626" applyFont="1" applyFill="1" applyBorder="1" applyAlignment="1">
      <alignment horizontal="center" vertical="center"/>
    </xf>
    <xf numFmtId="188" fontId="241" fillId="2" borderId="54" xfId="626" applyNumberFormat="1" applyFont="1" applyFill="1" applyBorder="1" applyAlignment="1">
      <alignment horizontal="center" vertical="center"/>
    </xf>
    <xf numFmtId="0" fontId="272" fillId="2" borderId="55" xfId="627" applyFont="1" applyFill="1" applyBorder="1" applyAlignment="1">
      <alignment horizontal="center" vertical="center"/>
    </xf>
    <xf numFmtId="0" fontId="272" fillId="2" borderId="56" xfId="627" applyFont="1" applyFill="1" applyBorder="1" applyAlignment="1">
      <alignment horizontal="center" vertical="center"/>
    </xf>
    <xf numFmtId="0" fontId="272" fillId="2" borderId="10" xfId="627" applyFont="1" applyFill="1" applyBorder="1" applyAlignment="1">
      <alignment horizontal="center" vertical="center"/>
    </xf>
    <xf numFmtId="0" fontId="272" fillId="2" borderId="11" xfId="627" applyFont="1" applyFill="1" applyBorder="1" applyAlignment="1">
      <alignment horizontal="center" vertical="center"/>
    </xf>
    <xf numFmtId="0" fontId="272" fillId="2" borderId="54" xfId="627" applyFont="1" applyFill="1" applyBorder="1" applyAlignment="1">
      <alignment horizontal="center" vertical="center"/>
    </xf>
    <xf numFmtId="43" fontId="272" fillId="2" borderId="54" xfId="628" applyFont="1" applyFill="1" applyBorder="1" applyAlignment="1">
      <alignment horizontal="center" vertical="center" wrapText="1"/>
    </xf>
    <xf numFmtId="43" fontId="272" fillId="2" borderId="57" xfId="628" applyFont="1" applyFill="1" applyBorder="1" applyAlignment="1">
      <alignment horizontal="center" vertical="center" wrapText="1"/>
    </xf>
    <xf numFmtId="43" fontId="272" fillId="2" borderId="28" xfId="628" applyFont="1" applyFill="1" applyBorder="1" applyAlignment="1">
      <alignment horizontal="center" vertical="center" wrapText="1"/>
    </xf>
    <xf numFmtId="0" fontId="240" fillId="2" borderId="54" xfId="626" applyFont="1" applyFill="1" applyBorder="1" applyAlignment="1">
      <alignment horizontal="center" vertical="center" wrapText="1"/>
    </xf>
    <xf numFmtId="0" fontId="220" fillId="2" borderId="0" xfId="562" applyFont="1" applyFill="1" applyAlignment="1">
      <alignment horizontal="center"/>
    </xf>
    <xf numFmtId="0" fontId="13" fillId="2" borderId="0" xfId="562" applyFont="1" applyFill="1" applyAlignment="1">
      <alignment horizontal="center"/>
    </xf>
    <xf numFmtId="0" fontId="13" fillId="2" borderId="0" xfId="0" applyFont="1" applyFill="1" applyAlignment="1">
      <alignment horizontal="center"/>
    </xf>
    <xf numFmtId="0" fontId="22" fillId="2" borderId="4" xfId="562" applyFont="1" applyFill="1" applyBorder="1" applyAlignment="1">
      <alignment horizontal="center" vertical="center"/>
    </xf>
    <xf numFmtId="0" fontId="22" fillId="2" borderId="3" xfId="562" applyFont="1" applyFill="1" applyBorder="1" applyAlignment="1">
      <alignment horizontal="center" vertical="center"/>
    </xf>
    <xf numFmtId="0" fontId="22" fillId="2" borderId="28" xfId="562" applyFont="1" applyFill="1" applyBorder="1" applyAlignment="1">
      <alignment horizontal="center" vertical="center"/>
    </xf>
    <xf numFmtId="1" fontId="22" fillId="2" borderId="3" xfId="562" applyNumberFormat="1" applyFont="1" applyFill="1" applyBorder="1" applyAlignment="1">
      <alignment horizontal="center" vertical="center" wrapText="1"/>
    </xf>
    <xf numFmtId="1" fontId="22" fillId="2" borderId="28" xfId="562" applyNumberFormat="1" applyFont="1" applyFill="1" applyBorder="1" applyAlignment="1">
      <alignment horizontal="center" vertical="center" wrapText="1"/>
    </xf>
    <xf numFmtId="0" fontId="25" fillId="2" borderId="4" xfId="562" applyFont="1" applyFill="1" applyBorder="1" applyAlignment="1">
      <alignment horizontal="center" vertical="center"/>
    </xf>
    <xf numFmtId="0" fontId="216" fillId="2" borderId="5" xfId="562" applyFont="1" applyFill="1" applyBorder="1" applyAlignment="1">
      <alignment horizontal="center" vertical="center"/>
    </xf>
    <xf numFmtId="0" fontId="91" fillId="2" borderId="6" xfId="562" applyFont="1" applyFill="1" applyBorder="1" applyAlignment="1">
      <alignment horizontal="center" vertical="center"/>
    </xf>
    <xf numFmtId="3" fontId="91" fillId="2" borderId="5" xfId="132" applyNumberFormat="1" applyFont="1" applyFill="1" applyBorder="1" applyAlignment="1">
      <alignment horizontal="center" vertical="center" wrapText="1"/>
    </xf>
    <xf numFmtId="3" fontId="91" fillId="2" borderId="29" xfId="132" applyNumberFormat="1" applyFont="1" applyFill="1" applyBorder="1" applyAlignment="1">
      <alignment horizontal="center" vertical="center" wrapText="1"/>
    </xf>
    <xf numFmtId="3" fontId="91" fillId="2" borderId="6" xfId="132" applyNumberFormat="1" applyFont="1" applyFill="1" applyBorder="1" applyAlignment="1">
      <alignment horizontal="center" vertical="center" wrapText="1"/>
    </xf>
    <xf numFmtId="43" fontId="221" fillId="2" borderId="5" xfId="1" applyFont="1" applyFill="1" applyBorder="1" applyAlignment="1">
      <alignment horizontal="center" vertical="center" wrapText="1"/>
    </xf>
    <xf numFmtId="43" fontId="221" fillId="2" borderId="29" xfId="1" applyFont="1" applyFill="1" applyBorder="1" applyAlignment="1">
      <alignment horizontal="center" vertical="center" wrapText="1"/>
    </xf>
    <xf numFmtId="43" fontId="221" fillId="2" borderId="6" xfId="1" applyFont="1" applyFill="1" applyBorder="1" applyAlignment="1">
      <alignment horizontal="center" vertical="center" wrapText="1"/>
    </xf>
    <xf numFmtId="216" fontId="221" fillId="2" borderId="5" xfId="1" applyNumberFormat="1" applyFont="1" applyFill="1" applyBorder="1" applyAlignment="1">
      <alignment horizontal="center" vertical="center" wrapText="1"/>
    </xf>
    <xf numFmtId="216" fontId="221" fillId="2" borderId="29" xfId="1" applyNumberFormat="1" applyFont="1" applyFill="1" applyBorder="1" applyAlignment="1">
      <alignment horizontal="center" vertical="center" wrapText="1"/>
    </xf>
    <xf numFmtId="216" fontId="221" fillId="2" borderId="6" xfId="1" applyNumberFormat="1" applyFont="1" applyFill="1" applyBorder="1" applyAlignment="1">
      <alignment horizontal="center" vertical="center" wrapText="1"/>
    </xf>
    <xf numFmtId="0" fontId="22" fillId="2" borderId="4" xfId="562" applyFont="1" applyFill="1" applyBorder="1" applyAlignment="1">
      <alignment horizontal="center"/>
    </xf>
    <xf numFmtId="221" fontId="25" fillId="2" borderId="4" xfId="132" applyNumberFormat="1" applyFont="1" applyFill="1" applyBorder="1" applyAlignment="1">
      <alignment horizontal="center" vertical="center" wrapText="1"/>
    </xf>
    <xf numFmtId="3" fontId="25" fillId="2" borderId="4" xfId="132" applyNumberFormat="1" applyFont="1" applyFill="1" applyBorder="1" applyAlignment="1">
      <alignment horizontal="center" vertical="center" wrapText="1"/>
    </xf>
    <xf numFmtId="43" fontId="220" fillId="2" borderId="5" xfId="1" applyNumberFormat="1" applyFont="1" applyFill="1" applyBorder="1" applyAlignment="1">
      <alignment horizontal="center" wrapText="1"/>
    </xf>
    <xf numFmtId="43" fontId="220" fillId="2" borderId="29" xfId="1" applyNumberFormat="1" applyFont="1" applyFill="1" applyBorder="1" applyAlignment="1">
      <alignment horizontal="center" wrapText="1"/>
    </xf>
    <xf numFmtId="43" fontId="220" fillId="2" borderId="6" xfId="1" applyNumberFormat="1" applyFont="1" applyFill="1" applyBorder="1" applyAlignment="1">
      <alignment horizontal="center" wrapText="1"/>
    </xf>
    <xf numFmtId="216" fontId="220" fillId="2" borderId="5" xfId="1" applyNumberFormat="1" applyFont="1" applyFill="1" applyBorder="1" applyAlignment="1">
      <alignment horizontal="center" wrapText="1"/>
    </xf>
    <xf numFmtId="216" fontId="220" fillId="2" borderId="29" xfId="1" applyNumberFormat="1" applyFont="1" applyFill="1" applyBorder="1" applyAlignment="1">
      <alignment horizontal="center" wrapText="1"/>
    </xf>
    <xf numFmtId="216" fontId="220" fillId="2" borderId="6" xfId="1" applyNumberFormat="1" applyFont="1" applyFill="1" applyBorder="1" applyAlignment="1">
      <alignment horizontal="center" wrapText="1"/>
    </xf>
    <xf numFmtId="3" fontId="25" fillId="2" borderId="5" xfId="132" applyNumberFormat="1" applyFont="1" applyFill="1" applyBorder="1" applyAlignment="1">
      <alignment horizontal="center" vertical="center" wrapText="1"/>
    </xf>
    <xf numFmtId="3" fontId="25" fillId="2" borderId="29" xfId="132" applyNumberFormat="1" applyFont="1" applyFill="1" applyBorder="1" applyAlignment="1">
      <alignment horizontal="center" vertical="center" wrapText="1"/>
    </xf>
    <xf numFmtId="3" fontId="25" fillId="2" borderId="6" xfId="132" applyNumberFormat="1" applyFont="1" applyFill="1" applyBorder="1" applyAlignment="1">
      <alignment horizontal="center" vertical="center" wrapText="1"/>
    </xf>
    <xf numFmtId="221" fontId="25" fillId="2" borderId="5" xfId="132" applyNumberFormat="1" applyFont="1" applyFill="1" applyBorder="1" applyAlignment="1">
      <alignment horizontal="center" vertical="center" wrapText="1"/>
    </xf>
    <xf numFmtId="221" fontId="25" fillId="2" borderId="29" xfId="132" applyNumberFormat="1" applyFont="1" applyFill="1" applyBorder="1" applyAlignment="1">
      <alignment horizontal="center" vertical="center" wrapText="1"/>
    </xf>
    <xf numFmtId="221" fontId="25" fillId="2" borderId="6" xfId="132" applyNumberFormat="1" applyFont="1" applyFill="1" applyBorder="1" applyAlignment="1">
      <alignment horizontal="center" vertical="center" wrapText="1"/>
    </xf>
    <xf numFmtId="221" fontId="91" fillId="2" borderId="5" xfId="132" applyNumberFormat="1" applyFont="1" applyFill="1" applyBorder="1" applyAlignment="1">
      <alignment horizontal="center" vertical="center" wrapText="1"/>
    </xf>
    <xf numFmtId="221" fontId="91" fillId="2" borderId="6" xfId="132" applyNumberFormat="1" applyFont="1" applyFill="1" applyBorder="1" applyAlignment="1">
      <alignment horizontal="center" vertical="center" wrapText="1"/>
    </xf>
    <xf numFmtId="0" fontId="30" fillId="2" borderId="5" xfId="562" applyFont="1" applyFill="1" applyBorder="1" applyAlignment="1">
      <alignment horizontal="center"/>
    </xf>
    <xf numFmtId="0" fontId="30" fillId="2" borderId="6" xfId="562" applyFont="1" applyFill="1" applyBorder="1" applyAlignment="1">
      <alignment horizontal="center"/>
    </xf>
    <xf numFmtId="3" fontId="30" fillId="2" borderId="5" xfId="132" applyNumberFormat="1" applyFont="1" applyFill="1" applyBorder="1" applyAlignment="1">
      <alignment horizontal="center" wrapText="1"/>
    </xf>
    <xf numFmtId="3" fontId="30" fillId="2" borderId="29" xfId="132" applyNumberFormat="1" applyFont="1" applyFill="1" applyBorder="1" applyAlignment="1">
      <alignment horizontal="center" wrapText="1"/>
    </xf>
    <xf numFmtId="3" fontId="30" fillId="2" borderId="6" xfId="132" applyNumberFormat="1" applyFont="1" applyFill="1" applyBorder="1" applyAlignment="1">
      <alignment horizontal="center" wrapText="1"/>
    </xf>
    <xf numFmtId="43" fontId="215" fillId="2" borderId="5" xfId="1" applyFont="1" applyFill="1" applyBorder="1" applyAlignment="1">
      <alignment horizontal="center" wrapText="1"/>
    </xf>
    <xf numFmtId="43" fontId="215" fillId="2" borderId="29" xfId="1" applyFont="1" applyFill="1" applyBorder="1" applyAlignment="1">
      <alignment horizontal="center" wrapText="1"/>
    </xf>
    <xf numFmtId="43" fontId="215" fillId="2" borderId="6" xfId="1" applyFont="1" applyFill="1" applyBorder="1" applyAlignment="1">
      <alignment horizontal="center" wrapText="1"/>
    </xf>
    <xf numFmtId="221" fontId="30" fillId="2" borderId="5" xfId="132" applyNumberFormat="1" applyFont="1" applyFill="1" applyBorder="1" applyAlignment="1">
      <alignment horizontal="center" vertical="center" wrapText="1"/>
    </xf>
    <xf numFmtId="221" fontId="30" fillId="2" borderId="6" xfId="132" applyNumberFormat="1" applyFont="1" applyFill="1" applyBorder="1" applyAlignment="1">
      <alignment horizontal="center" vertical="center" wrapText="1"/>
    </xf>
    <xf numFmtId="0" fontId="25" fillId="2" borderId="5" xfId="562" applyFont="1" applyFill="1" applyBorder="1" applyAlignment="1">
      <alignment horizontal="center"/>
    </xf>
    <xf numFmtId="0" fontId="25" fillId="2" borderId="6" xfId="562" applyFont="1" applyFill="1" applyBorder="1" applyAlignment="1">
      <alignment horizontal="center"/>
    </xf>
    <xf numFmtId="3" fontId="25" fillId="2" borderId="5" xfId="132" applyNumberFormat="1" applyFont="1" applyFill="1" applyBorder="1" applyAlignment="1">
      <alignment horizontal="center" wrapText="1"/>
    </xf>
    <xf numFmtId="3" fontId="25" fillId="2" borderId="29" xfId="132" applyNumberFormat="1" applyFont="1" applyFill="1" applyBorder="1" applyAlignment="1">
      <alignment horizontal="center" wrapText="1"/>
    </xf>
    <xf numFmtId="3" fontId="25" fillId="2" borderId="6" xfId="132" applyNumberFormat="1" applyFont="1" applyFill="1" applyBorder="1" applyAlignment="1">
      <alignment horizontal="center" wrapText="1"/>
    </xf>
    <xf numFmtId="43" fontId="220" fillId="2" borderId="5" xfId="1" applyFont="1" applyFill="1" applyBorder="1" applyAlignment="1">
      <alignment horizontal="center" wrapText="1"/>
    </xf>
    <xf numFmtId="43" fontId="220" fillId="2" borderId="29" xfId="1" applyFont="1" applyFill="1" applyBorder="1" applyAlignment="1">
      <alignment horizontal="center" wrapText="1"/>
    </xf>
    <xf numFmtId="43" fontId="220" fillId="2" borderId="6" xfId="1" applyFont="1" applyFill="1" applyBorder="1" applyAlignment="1">
      <alignment horizontal="center" wrapText="1"/>
    </xf>
    <xf numFmtId="216" fontId="215" fillId="2" borderId="5" xfId="1" applyNumberFormat="1" applyFont="1" applyFill="1" applyBorder="1" applyAlignment="1">
      <alignment horizontal="center" wrapText="1"/>
    </xf>
    <xf numFmtId="216" fontId="215" fillId="2" borderId="29" xfId="1" applyNumberFormat="1" applyFont="1" applyFill="1" applyBorder="1" applyAlignment="1">
      <alignment horizontal="center" wrapText="1"/>
    </xf>
    <xf numFmtId="216" fontId="215" fillId="2" borderId="6" xfId="1" applyNumberFormat="1" applyFont="1" applyFill="1" applyBorder="1" applyAlignment="1">
      <alignment horizontal="center" wrapText="1"/>
    </xf>
    <xf numFmtId="0" fontId="30" fillId="2" borderId="0" xfId="562" applyFont="1" applyFill="1" applyAlignment="1">
      <alignment horizontal="center"/>
    </xf>
    <xf numFmtId="1" fontId="22" fillId="2" borderId="4" xfId="562" applyNumberFormat="1" applyFont="1" applyFill="1" applyBorder="1" applyAlignment="1">
      <alignment horizontal="center" vertical="center" wrapText="1"/>
    </xf>
    <xf numFmtId="0" fontId="22" fillId="2" borderId="8" xfId="562" applyFont="1" applyFill="1" applyBorder="1" applyAlignment="1">
      <alignment horizontal="center" vertical="center"/>
    </xf>
    <xf numFmtId="0" fontId="22" fillId="2" borderId="9" xfId="562" applyFont="1" applyFill="1" applyBorder="1" applyAlignment="1">
      <alignment horizontal="center" vertical="center"/>
    </xf>
    <xf numFmtId="0" fontId="22" fillId="2" borderId="10" xfId="562" applyFont="1" applyFill="1" applyBorder="1" applyAlignment="1">
      <alignment horizontal="center" vertical="center"/>
    </xf>
    <xf numFmtId="0" fontId="22" fillId="2" borderId="11" xfId="562" applyFont="1" applyFill="1" applyBorder="1" applyAlignment="1">
      <alignment horizontal="center" vertical="center"/>
    </xf>
    <xf numFmtId="232" fontId="25" fillId="2" borderId="0" xfId="0" applyNumberFormat="1" applyFont="1" applyFill="1" applyAlignment="1">
      <alignment horizontal="center"/>
    </xf>
    <xf numFmtId="1" fontId="22" fillId="2" borderId="4" xfId="562" applyNumberFormat="1" applyFont="1" applyFill="1" applyBorder="1" applyAlignment="1">
      <alignment horizontal="center" vertical="center"/>
    </xf>
    <xf numFmtId="43" fontId="22" fillId="2" borderId="4" xfId="132" applyFont="1" applyFill="1" applyBorder="1" applyAlignment="1">
      <alignment horizontal="center" vertical="center" wrapText="1"/>
    </xf>
    <xf numFmtId="0" fontId="50" fillId="2" borderId="0" xfId="562" applyFont="1" applyFill="1" applyAlignment="1">
      <alignment horizontal="left"/>
    </xf>
    <xf numFmtId="0" fontId="22" fillId="2" borderId="0" xfId="0" applyFont="1" applyFill="1" applyAlignment="1">
      <alignment horizontal="center"/>
    </xf>
    <xf numFmtId="0" fontId="32" fillId="2" borderId="0" xfId="562" applyFont="1" applyFill="1" applyAlignment="1">
      <alignment horizontal="right"/>
    </xf>
    <xf numFmtId="0" fontId="32" fillId="2" borderId="0" xfId="562" applyFont="1" applyFill="1" applyAlignment="1">
      <alignment horizontal="center" vertical="center"/>
    </xf>
    <xf numFmtId="0" fontId="82" fillId="2" borderId="31" xfId="562" applyFont="1" applyFill="1" applyBorder="1" applyAlignment="1">
      <alignment horizontal="center"/>
    </xf>
    <xf numFmtId="43" fontId="226" fillId="2" borderId="4" xfId="132" applyFont="1" applyFill="1" applyBorder="1" applyAlignment="1">
      <alignment horizontal="center" vertical="center" wrapText="1"/>
    </xf>
    <xf numFmtId="0" fontId="25" fillId="2" borderId="0" xfId="562" quotePrefix="1" applyFont="1" applyFill="1" applyAlignment="1">
      <alignment horizontal="center" vertical="center"/>
    </xf>
    <xf numFmtId="0" fontId="25" fillId="2" borderId="0" xfId="562" applyFont="1" applyFill="1" applyAlignment="1">
      <alignment horizontal="center" vertical="center"/>
    </xf>
    <xf numFmtId="0" fontId="20" fillId="2" borderId="0" xfId="562" applyFont="1" applyFill="1" applyAlignment="1">
      <alignment horizontal="center"/>
    </xf>
    <xf numFmtId="1" fontId="39" fillId="2" borderId="4" xfId="562" applyNumberFormat="1" applyFont="1" applyFill="1" applyBorder="1" applyAlignment="1">
      <alignment horizontal="center" vertical="center"/>
    </xf>
    <xf numFmtId="43" fontId="39" fillId="2" borderId="4" xfId="132" applyFont="1" applyFill="1" applyBorder="1" applyAlignment="1">
      <alignment horizontal="center" vertical="center" wrapText="1"/>
    </xf>
    <xf numFmtId="0" fontId="89" fillId="2" borderId="2" xfId="0" applyFont="1" applyFill="1" applyBorder="1" applyAlignment="1">
      <alignment horizontal="center"/>
    </xf>
    <xf numFmtId="0" fontId="89" fillId="2" borderId="0" xfId="0" applyFont="1" applyFill="1" applyAlignment="1">
      <alignment horizontal="center"/>
    </xf>
    <xf numFmtId="43" fontId="96" fillId="2" borderId="0" xfId="1" applyFont="1" applyFill="1" applyAlignment="1">
      <alignment horizontal="center"/>
    </xf>
    <xf numFmtId="232" fontId="96" fillId="2" borderId="0" xfId="0" applyNumberFormat="1" applyFont="1" applyFill="1" applyAlignment="1">
      <alignment horizontal="center"/>
    </xf>
    <xf numFmtId="4" fontId="89" fillId="2" borderId="2" xfId="0" applyNumberFormat="1" applyFont="1" applyFill="1" applyBorder="1" applyAlignment="1">
      <alignment horizontal="center" vertical="center" wrapText="1"/>
    </xf>
    <xf numFmtId="0" fontId="96" fillId="2" borderId="0" xfId="0" applyFont="1" applyFill="1" applyAlignment="1">
      <alignment horizontal="center"/>
    </xf>
    <xf numFmtId="0" fontId="96" fillId="2" borderId="0" xfId="0" applyFont="1" applyFill="1" applyAlignment="1">
      <alignment horizontal="right"/>
    </xf>
    <xf numFmtId="0" fontId="89" fillId="2" borderId="2" xfId="0" applyFont="1" applyFill="1" applyBorder="1" applyAlignment="1">
      <alignment horizontal="center" vertical="center"/>
    </xf>
    <xf numFmtId="0" fontId="89" fillId="2" borderId="2" xfId="0" applyFont="1" applyFill="1" applyBorder="1" applyAlignment="1">
      <alignment horizontal="left" vertical="center"/>
    </xf>
    <xf numFmtId="0" fontId="89" fillId="2" borderId="0" xfId="0" applyFont="1" applyFill="1" applyAlignment="1">
      <alignment horizontal="left"/>
    </xf>
    <xf numFmtId="3" fontId="38" fillId="2" borderId="7" xfId="0" applyNumberFormat="1" applyFont="1" applyFill="1" applyBorder="1" applyAlignment="1">
      <alignment horizontal="center" vertical="center"/>
    </xf>
    <xf numFmtId="3" fontId="38" fillId="2" borderId="5" xfId="0" applyNumberFormat="1" applyFont="1" applyFill="1" applyBorder="1" applyAlignment="1">
      <alignment horizontal="center" vertical="center"/>
    </xf>
    <xf numFmtId="3" fontId="38" fillId="2" borderId="29" xfId="0" applyNumberFormat="1" applyFont="1" applyFill="1" applyBorder="1" applyAlignment="1">
      <alignment horizontal="center" vertical="center"/>
    </xf>
    <xf numFmtId="3" fontId="38" fillId="2" borderId="6" xfId="0" applyNumberFormat="1" applyFont="1" applyFill="1" applyBorder="1" applyAlignment="1">
      <alignment horizontal="center" vertical="center"/>
    </xf>
    <xf numFmtId="0" fontId="89" fillId="2" borderId="21" xfId="0" applyFont="1" applyFill="1" applyBorder="1" applyAlignment="1">
      <alignment horizontal="center" vertical="center"/>
    </xf>
    <xf numFmtId="0" fontId="89" fillId="2" borderId="22" xfId="0" applyFont="1" applyFill="1" applyBorder="1" applyAlignment="1">
      <alignment horizontal="center" vertical="center"/>
    </xf>
    <xf numFmtId="0" fontId="89" fillId="2" borderId="24" xfId="0" applyFont="1" applyFill="1" applyBorder="1" applyAlignment="1">
      <alignment horizontal="center" vertical="center"/>
    </xf>
    <xf numFmtId="43" fontId="29" fillId="2" borderId="0" xfId="0" applyNumberFormat="1" applyFont="1" applyFill="1" applyAlignment="1">
      <alignment horizontal="center"/>
    </xf>
    <xf numFmtId="2" fontId="15" fillId="2" borderId="0" xfId="0" applyNumberFormat="1" applyFont="1" applyFill="1" applyAlignment="1">
      <alignment horizontal="center"/>
    </xf>
    <xf numFmtId="43" fontId="8" fillId="2" borderId="0" xfId="1" applyFont="1" applyFill="1" applyAlignment="1">
      <alignment horizontal="center"/>
    </xf>
    <xf numFmtId="188" fontId="29" fillId="2" borderId="0" xfId="0" applyNumberFormat="1" applyFont="1" applyFill="1" applyAlignment="1">
      <alignment horizontal="center"/>
    </xf>
    <xf numFmtId="216" fontId="14" fillId="2" borderId="0" xfId="0" applyNumberFormat="1" applyFont="1" applyFill="1" applyAlignment="1">
      <alignment horizontal="center"/>
    </xf>
    <xf numFmtId="217" fontId="14" fillId="2" borderId="0" xfId="0" applyNumberFormat="1" applyFont="1" applyFill="1" applyAlignment="1">
      <alignment horizontal="center"/>
    </xf>
    <xf numFmtId="43" fontId="8" fillId="2" borderId="0" xfId="1" applyFont="1" applyFill="1" applyBorder="1" applyAlignment="1">
      <alignment horizontal="center"/>
    </xf>
    <xf numFmtId="188" fontId="15" fillId="2" borderId="0" xfId="0" applyNumberFormat="1" applyFont="1" applyFill="1" applyAlignment="1">
      <alignment horizontal="center"/>
    </xf>
    <xf numFmtId="43" fontId="15" fillId="2" borderId="0" xfId="1" applyFont="1" applyFill="1" applyAlignment="1">
      <alignment horizontal="center"/>
    </xf>
    <xf numFmtId="198" fontId="15" fillId="2" borderId="0" xfId="0" applyNumberFormat="1" applyFont="1" applyFill="1" applyAlignment="1">
      <alignment horizontal="center"/>
    </xf>
    <xf numFmtId="216" fontId="15" fillId="2" borderId="0" xfId="1" applyNumberFormat="1" applyFont="1" applyFill="1" applyAlignment="1">
      <alignment horizontal="center"/>
    </xf>
    <xf numFmtId="217" fontId="15" fillId="2" borderId="0" xfId="0" applyNumberFormat="1" applyFont="1" applyFill="1" applyAlignment="1">
      <alignment horizontal="center"/>
    </xf>
    <xf numFmtId="232" fontId="15" fillId="2" borderId="0" xfId="0" applyNumberFormat="1" applyFont="1" applyFill="1" applyAlignment="1">
      <alignment horizontal="center"/>
    </xf>
    <xf numFmtId="0" fontId="38" fillId="2" borderId="4" xfId="0" applyFont="1" applyFill="1" applyBorder="1" applyAlignment="1">
      <alignment horizontal="center" vertical="center" shrinkToFit="1"/>
    </xf>
    <xf numFmtId="217" fontId="82" fillId="2" borderId="31" xfId="0" applyNumberFormat="1" applyFont="1" applyFill="1" applyBorder="1" applyAlignment="1">
      <alignment horizontal="center" vertical="center"/>
    </xf>
    <xf numFmtId="0" fontId="15" fillId="2" borderId="0" xfId="0" applyFont="1" applyFill="1" applyAlignment="1">
      <alignment horizontal="center"/>
    </xf>
    <xf numFmtId="217" fontId="38" fillId="2" borderId="5" xfId="1" applyNumberFormat="1" applyFont="1" applyFill="1" applyBorder="1" applyAlignment="1">
      <alignment horizontal="center"/>
    </xf>
    <xf numFmtId="217" fontId="38" fillId="2" borderId="29" xfId="1" applyNumberFormat="1" applyFont="1" applyFill="1" applyBorder="1" applyAlignment="1">
      <alignment horizontal="center"/>
    </xf>
    <xf numFmtId="217" fontId="38" fillId="2" borderId="6" xfId="1" applyNumberFormat="1" applyFont="1" applyFill="1" applyBorder="1" applyAlignment="1">
      <alignment horizontal="center"/>
    </xf>
    <xf numFmtId="217" fontId="38" fillId="2" borderId="4" xfId="1" applyNumberFormat="1" applyFont="1" applyFill="1" applyBorder="1" applyAlignment="1">
      <alignment horizontal="center" vertical="center" wrapText="1"/>
    </xf>
    <xf numFmtId="0" fontId="38" fillId="2" borderId="4" xfId="1" applyNumberFormat="1" applyFont="1" applyFill="1" applyBorder="1" applyAlignment="1">
      <alignment horizontal="center" vertical="center" wrapText="1"/>
    </xf>
    <xf numFmtId="0" fontId="38" fillId="2" borderId="4"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38" fillId="2" borderId="3" xfId="0" applyFont="1" applyFill="1" applyBorder="1" applyAlignment="1">
      <alignment horizontal="center" vertical="center" shrinkToFit="1"/>
    </xf>
    <xf numFmtId="0" fontId="38" fillId="2" borderId="28" xfId="0" applyFont="1" applyFill="1" applyBorder="1" applyAlignment="1">
      <alignment horizontal="center" vertical="center" shrinkToFit="1"/>
    </xf>
    <xf numFmtId="0" fontId="38" fillId="2" borderId="7" xfId="0" applyFont="1" applyFill="1" applyBorder="1" applyAlignment="1">
      <alignment horizontal="center" vertical="center" shrinkToFit="1"/>
    </xf>
    <xf numFmtId="217" fontId="38" fillId="2" borderId="4" xfId="0" applyNumberFormat="1" applyFont="1" applyFill="1" applyBorder="1" applyAlignment="1">
      <alignment horizontal="center" vertical="center" wrapText="1"/>
    </xf>
    <xf numFmtId="0" fontId="5" fillId="2" borderId="0" xfId="0" applyFont="1" applyFill="1" applyAlignment="1">
      <alignment horizontal="center"/>
    </xf>
    <xf numFmtId="0" fontId="5" fillId="2" borderId="0" xfId="0" quotePrefix="1" applyFont="1" applyFill="1" applyAlignment="1">
      <alignment horizontal="center"/>
    </xf>
    <xf numFmtId="0" fontId="4" fillId="2" borderId="0" xfId="0" quotePrefix="1" applyFont="1" applyFill="1" applyAlignment="1">
      <alignment horizontal="center"/>
    </xf>
    <xf numFmtId="0" fontId="4" fillId="2" borderId="0" xfId="0" applyFont="1" applyFill="1" applyAlignment="1">
      <alignment horizontal="center"/>
    </xf>
    <xf numFmtId="0" fontId="25" fillId="2" borderId="0" xfId="0" applyFont="1" applyFill="1" applyAlignment="1">
      <alignment horizontal="center" vertical="center"/>
    </xf>
    <xf numFmtId="216" fontId="14" fillId="2" borderId="0" xfId="0" applyNumberFormat="1" applyFont="1" applyFill="1" applyAlignment="1">
      <alignment horizontal="left"/>
    </xf>
    <xf numFmtId="217" fontId="38" fillId="2" borderId="3" xfId="1" applyNumberFormat="1" applyFont="1" applyFill="1" applyBorder="1" applyAlignment="1">
      <alignment horizontal="center" vertical="center" wrapText="1"/>
    </xf>
    <xf numFmtId="217" fontId="38" fillId="2" borderId="28" xfId="1" applyNumberFormat="1" applyFont="1" applyFill="1" applyBorder="1" applyAlignment="1">
      <alignment horizontal="center" vertical="center" wrapText="1"/>
    </xf>
    <xf numFmtId="217" fontId="38" fillId="2" borderId="7" xfId="1" applyNumberFormat="1" applyFont="1" applyFill="1" applyBorder="1" applyAlignment="1">
      <alignment horizontal="center" vertical="center" wrapText="1"/>
    </xf>
    <xf numFmtId="217" fontId="38" fillId="2" borderId="9" xfId="0" applyNumberFormat="1" applyFont="1" applyFill="1" applyBorder="1" applyAlignment="1">
      <alignment horizontal="center" vertical="center" wrapText="1"/>
    </xf>
    <xf numFmtId="217" fontId="38" fillId="2" borderId="30" xfId="0" applyNumberFormat="1" applyFont="1" applyFill="1" applyBorder="1" applyAlignment="1">
      <alignment horizontal="center" vertical="center" wrapText="1"/>
    </xf>
    <xf numFmtId="217" fontId="38" fillId="2" borderId="11" xfId="0" applyNumberFormat="1" applyFont="1" applyFill="1" applyBorder="1" applyAlignment="1">
      <alignment horizontal="center" vertical="center" wrapText="1"/>
    </xf>
    <xf numFmtId="217" fontId="38" fillId="0" borderId="3" xfId="1" applyNumberFormat="1" applyFont="1" applyFill="1" applyBorder="1" applyAlignment="1">
      <alignment horizontal="center" vertical="center" wrapText="1"/>
    </xf>
    <xf numFmtId="217" fontId="38" fillId="0" borderId="7" xfId="1" applyNumberFormat="1" applyFont="1" applyFill="1" applyBorder="1" applyAlignment="1">
      <alignment horizontal="center" vertical="center" wrapText="1"/>
    </xf>
    <xf numFmtId="217" fontId="38" fillId="0" borderId="28" xfId="1" applyNumberFormat="1" applyFont="1" applyFill="1" applyBorder="1" applyAlignment="1">
      <alignment horizontal="center" vertical="center" wrapText="1"/>
    </xf>
    <xf numFmtId="0" fontId="38" fillId="0" borderId="8" xfId="0" applyFont="1" applyBorder="1" applyAlignment="1">
      <alignment horizontal="center" vertical="center" shrinkToFit="1"/>
    </xf>
    <xf numFmtId="0" fontId="38" fillId="0" borderId="31" xfId="0" applyFont="1" applyBorder="1" applyAlignment="1">
      <alignment horizontal="center" vertical="center" shrinkToFit="1"/>
    </xf>
    <xf numFmtId="0" fontId="38" fillId="0" borderId="9" xfId="0" applyFont="1" applyBorder="1" applyAlignment="1">
      <alignment horizontal="center" vertical="center" shrinkToFit="1"/>
    </xf>
    <xf numFmtId="0" fontId="38" fillId="0" borderId="15" xfId="0" applyFont="1" applyBorder="1" applyAlignment="1">
      <alignment horizontal="center" vertical="center" shrinkToFit="1"/>
    </xf>
    <xf numFmtId="0" fontId="38" fillId="0" borderId="0" xfId="0" applyFont="1" applyAlignment="1">
      <alignment horizontal="center" vertical="center" shrinkToFit="1"/>
    </xf>
    <xf numFmtId="0" fontId="38" fillId="0" borderId="30" xfId="0" applyFont="1" applyBorder="1" applyAlignment="1">
      <alignment horizontal="center" vertical="center" shrinkToFit="1"/>
    </xf>
    <xf numFmtId="0" fontId="38" fillId="0" borderId="10" xfId="0" applyFont="1" applyBorder="1" applyAlignment="1">
      <alignment horizontal="center" vertical="center" shrinkToFit="1"/>
    </xf>
    <xf numFmtId="0" fontId="38" fillId="0" borderId="1" xfId="0" applyFont="1" applyBorder="1" applyAlignment="1">
      <alignment horizontal="center" vertical="center" shrinkToFit="1"/>
    </xf>
    <xf numFmtId="0" fontId="38" fillId="0" borderId="11" xfId="0" applyFont="1" applyBorder="1" applyAlignment="1">
      <alignment horizontal="center" vertical="center" shrinkToFit="1"/>
    </xf>
    <xf numFmtId="217" fontId="38" fillId="0" borderId="8" xfId="1" applyNumberFormat="1" applyFont="1" applyFill="1" applyBorder="1" applyAlignment="1">
      <alignment horizontal="center" vertical="center" wrapText="1"/>
    </xf>
    <xf numFmtId="217" fontId="38" fillId="0" borderId="9" xfId="1" applyNumberFormat="1" applyFont="1" applyFill="1" applyBorder="1" applyAlignment="1">
      <alignment horizontal="center" vertical="center" wrapText="1"/>
    </xf>
    <xf numFmtId="217" fontId="38" fillId="0" borderId="10" xfId="1" applyNumberFormat="1" applyFont="1" applyFill="1" applyBorder="1" applyAlignment="1">
      <alignment horizontal="center" vertical="center" wrapText="1"/>
    </xf>
    <xf numFmtId="217" fontId="38" fillId="0" borderId="11" xfId="1" applyNumberFormat="1" applyFont="1" applyFill="1" applyBorder="1" applyAlignment="1">
      <alignment horizontal="center" vertical="center" wrapText="1"/>
    </xf>
    <xf numFmtId="43" fontId="20" fillId="0" borderId="0" xfId="1" applyFont="1" applyFill="1" applyAlignment="1">
      <alignment horizontal="center"/>
    </xf>
    <xf numFmtId="216" fontId="20" fillId="0" borderId="0" xfId="1" applyNumberFormat="1" applyFont="1" applyFill="1" applyAlignment="1">
      <alignment horizontal="center"/>
    </xf>
    <xf numFmtId="0" fontId="20" fillId="0" borderId="0" xfId="0" applyFont="1" applyAlignment="1">
      <alignment horizontal="center"/>
    </xf>
    <xf numFmtId="0" fontId="38" fillId="0" borderId="4" xfId="0" applyFont="1" applyBorder="1" applyAlignment="1">
      <alignment horizontal="center" vertical="center" wrapText="1"/>
    </xf>
    <xf numFmtId="0" fontId="8" fillId="0" borderId="4" xfId="0" applyFont="1" applyBorder="1" applyAlignment="1">
      <alignment horizontal="center" vertical="center" wrapText="1"/>
    </xf>
    <xf numFmtId="0" fontId="38" fillId="0" borderId="3" xfId="0" applyFont="1" applyBorder="1" applyAlignment="1">
      <alignment horizontal="center" vertical="center" wrapText="1"/>
    </xf>
    <xf numFmtId="0" fontId="38" fillId="0" borderId="28" xfId="0" applyFont="1" applyBorder="1" applyAlignment="1">
      <alignment horizontal="center" vertical="center" wrapText="1"/>
    </xf>
    <xf numFmtId="0" fontId="38" fillId="0" borderId="7" xfId="0" applyFont="1" applyBorder="1" applyAlignment="1">
      <alignment horizontal="center" vertical="center" wrapText="1"/>
    </xf>
    <xf numFmtId="217" fontId="38" fillId="0" borderId="3" xfId="0" applyNumberFormat="1" applyFont="1" applyBorder="1" applyAlignment="1">
      <alignment horizontal="center" vertical="center" wrapText="1"/>
    </xf>
    <xf numFmtId="217" fontId="38" fillId="0" borderId="28" xfId="0" applyNumberFormat="1" applyFont="1" applyBorder="1" applyAlignment="1">
      <alignment horizontal="center" vertical="center" wrapText="1"/>
    </xf>
    <xf numFmtId="217" fontId="38" fillId="0" borderId="7" xfId="0" applyNumberFormat="1" applyFont="1" applyBorder="1" applyAlignment="1">
      <alignment horizontal="center" vertical="center" wrapText="1"/>
    </xf>
    <xf numFmtId="198" fontId="20" fillId="0" borderId="0" xfId="1" applyNumberFormat="1" applyFont="1" applyFill="1" applyAlignment="1">
      <alignment horizontal="center"/>
    </xf>
    <xf numFmtId="217" fontId="13" fillId="0" borderId="4" xfId="93" applyNumberFormat="1" applyFont="1" applyFill="1" applyBorder="1" applyAlignment="1">
      <alignment horizontal="center" vertical="center" shrinkToFit="1"/>
    </xf>
    <xf numFmtId="217" fontId="21" fillId="0" borderId="0" xfId="0" applyNumberFormat="1" applyFont="1" applyAlignment="1">
      <alignment horizontal="right" vertical="center"/>
    </xf>
    <xf numFmtId="0" fontId="13" fillId="0" borderId="0" xfId="0" applyFont="1" applyAlignment="1">
      <alignment horizontal="center"/>
    </xf>
    <xf numFmtId="0" fontId="13" fillId="0" borderId="0" xfId="0" applyFont="1" applyAlignment="1">
      <alignment horizontal="left"/>
    </xf>
    <xf numFmtId="217" fontId="38" fillId="0" borderId="8" xfId="1" applyNumberFormat="1" applyFont="1" applyFill="1" applyBorder="1" applyAlignment="1">
      <alignment horizontal="center" vertical="center"/>
    </xf>
    <xf numFmtId="217" fontId="38" fillId="0" borderId="31" xfId="1" applyNumberFormat="1" applyFont="1" applyFill="1" applyBorder="1" applyAlignment="1">
      <alignment horizontal="center" vertical="center"/>
    </xf>
    <xf numFmtId="0" fontId="38" fillId="0" borderId="5" xfId="0" applyFont="1" applyBorder="1" applyAlignment="1">
      <alignment horizontal="center" vertical="center"/>
    </xf>
    <xf numFmtId="0" fontId="38" fillId="0" borderId="29" xfId="0" applyFont="1" applyBorder="1" applyAlignment="1">
      <alignment horizontal="center" vertical="center"/>
    </xf>
    <xf numFmtId="217" fontId="38" fillId="0" borderId="5" xfId="1" applyNumberFormat="1" applyFont="1" applyFill="1" applyBorder="1" applyAlignment="1">
      <alignment horizontal="center" vertical="center" wrapText="1"/>
    </xf>
    <xf numFmtId="217" fontId="38" fillId="0" borderId="29" xfId="1" applyNumberFormat="1" applyFont="1" applyFill="1" applyBorder="1" applyAlignment="1">
      <alignment horizontal="center" vertical="center" wrapText="1"/>
    </xf>
    <xf numFmtId="217" fontId="38" fillId="0" borderId="6" xfId="1" applyNumberFormat="1" applyFont="1" applyFill="1" applyBorder="1" applyAlignment="1">
      <alignment horizontal="center" vertical="center" wrapText="1"/>
    </xf>
    <xf numFmtId="0" fontId="25" fillId="0" borderId="5" xfId="0" applyFont="1" applyBorder="1" applyAlignment="1">
      <alignment horizontal="left" vertical="center" shrinkToFit="1"/>
    </xf>
    <xf numFmtId="0" fontId="25" fillId="0" borderId="6" xfId="0" applyFont="1" applyBorder="1" applyAlignment="1">
      <alignment horizontal="left" vertical="center" shrinkToFit="1"/>
    </xf>
    <xf numFmtId="1" fontId="14" fillId="0" borderId="4" xfId="0" applyNumberFormat="1" applyFont="1" applyBorder="1" applyAlignment="1">
      <alignment horizontal="center" vertical="center" wrapText="1"/>
    </xf>
    <xf numFmtId="0" fontId="13" fillId="0" borderId="0" xfId="0" applyFont="1" applyAlignment="1">
      <alignment horizontal="center" vertical="center"/>
    </xf>
    <xf numFmtId="3" fontId="36" fillId="0" borderId="0" xfId="0" applyNumberFormat="1" applyFont="1" applyAlignment="1">
      <alignment horizontal="center"/>
    </xf>
    <xf numFmtId="228" fontId="13" fillId="0" borderId="0" xfId="1" applyNumberFormat="1" applyFont="1" applyFill="1" applyAlignment="1">
      <alignment horizontal="center"/>
    </xf>
    <xf numFmtId="216" fontId="13" fillId="0" borderId="0" xfId="1" applyNumberFormat="1" applyFont="1" applyFill="1" applyAlignment="1">
      <alignment horizontal="center"/>
    </xf>
    <xf numFmtId="4" fontId="36" fillId="0" borderId="0" xfId="0" applyNumberFormat="1" applyFont="1" applyAlignment="1">
      <alignment horizontal="center"/>
    </xf>
    <xf numFmtId="0" fontId="5" fillId="0" borderId="0" xfId="0" applyFont="1" applyAlignment="1">
      <alignment horizontal="center"/>
    </xf>
    <xf numFmtId="0" fontId="5" fillId="0" borderId="0" xfId="0" quotePrefix="1" applyFont="1" applyAlignment="1">
      <alignment horizontal="center"/>
    </xf>
    <xf numFmtId="0" fontId="20" fillId="2" borderId="0" xfId="0" applyFont="1" applyFill="1" applyAlignment="1">
      <alignment horizontal="center" vertical="center"/>
    </xf>
    <xf numFmtId="216" fontId="30" fillId="2" borderId="0" xfId="0" applyNumberFormat="1" applyFont="1" applyFill="1" applyAlignment="1">
      <alignment horizontal="center"/>
    </xf>
    <xf numFmtId="0" fontId="13" fillId="2" borderId="4" xfId="0" applyFont="1" applyFill="1" applyBorder="1" applyAlignment="1">
      <alignment horizontal="center" vertical="center" wrapText="1"/>
    </xf>
    <xf numFmtId="0" fontId="13" fillId="2" borderId="3" xfId="0" applyFont="1" applyFill="1" applyBorder="1" applyAlignment="1">
      <alignment horizontal="center" vertical="center" shrinkToFit="1"/>
    </xf>
    <xf numFmtId="0" fontId="13" fillId="2" borderId="28" xfId="0" applyFont="1" applyFill="1" applyBorder="1" applyAlignment="1">
      <alignment horizontal="center" vertical="center" shrinkToFit="1"/>
    </xf>
    <xf numFmtId="0" fontId="13" fillId="2" borderId="7" xfId="0" applyFont="1" applyFill="1" applyBorder="1" applyAlignment="1">
      <alignment horizontal="center" vertical="center" shrinkToFit="1"/>
    </xf>
    <xf numFmtId="0" fontId="20" fillId="2" borderId="4" xfId="0" applyFont="1" applyFill="1" applyBorder="1" applyAlignment="1">
      <alignment horizontal="center" vertical="center" wrapText="1"/>
    </xf>
    <xf numFmtId="217" fontId="13" fillId="2" borderId="3" xfId="1" applyNumberFormat="1" applyFont="1" applyFill="1" applyBorder="1" applyAlignment="1">
      <alignment horizontal="center" vertical="center" wrapText="1"/>
    </xf>
    <xf numFmtId="217" fontId="13" fillId="2" borderId="28" xfId="1" applyNumberFormat="1" applyFont="1" applyFill="1" applyBorder="1" applyAlignment="1">
      <alignment horizontal="center" vertical="center" wrapText="1"/>
    </xf>
    <xf numFmtId="217" fontId="13" fillId="2" borderId="7" xfId="1" applyNumberFormat="1" applyFont="1" applyFill="1" applyBorder="1" applyAlignment="1">
      <alignment horizontal="center" vertical="center" wrapText="1"/>
    </xf>
    <xf numFmtId="217" fontId="222" fillId="2" borderId="31" xfId="0" applyNumberFormat="1" applyFont="1" applyFill="1" applyBorder="1" applyAlignment="1">
      <alignment horizontal="right" vertical="center"/>
    </xf>
    <xf numFmtId="217" fontId="32" fillId="2" borderId="31" xfId="0" applyNumberFormat="1" applyFont="1" applyFill="1" applyBorder="1" applyAlignment="1">
      <alignment horizontal="right" vertical="center"/>
    </xf>
    <xf numFmtId="43" fontId="30" fillId="2" borderId="0" xfId="1" applyFont="1" applyFill="1" applyAlignment="1">
      <alignment horizontal="center"/>
    </xf>
    <xf numFmtId="198" fontId="30" fillId="2" borderId="0" xfId="0" applyNumberFormat="1" applyFont="1" applyFill="1" applyAlignment="1">
      <alignment horizontal="center"/>
    </xf>
    <xf numFmtId="217" fontId="30" fillId="2" borderId="0" xfId="0" applyNumberFormat="1" applyFont="1" applyFill="1" applyAlignment="1">
      <alignment horizontal="center"/>
    </xf>
    <xf numFmtId="216" fontId="25" fillId="2" borderId="0" xfId="0" applyNumberFormat="1" applyFont="1" applyFill="1" applyAlignment="1">
      <alignment horizontal="center"/>
    </xf>
    <xf numFmtId="0" fontId="13" fillId="2" borderId="5" xfId="0" applyFont="1" applyFill="1" applyBorder="1" applyAlignment="1">
      <alignment horizontal="center" vertical="center" shrinkToFit="1"/>
    </xf>
    <xf numFmtId="0" fontId="13" fillId="2" borderId="29" xfId="0" applyFont="1" applyFill="1" applyBorder="1" applyAlignment="1">
      <alignment horizontal="center" vertical="center" shrinkToFit="1"/>
    </xf>
    <xf numFmtId="0" fontId="13" fillId="2" borderId="6" xfId="0" applyFont="1" applyFill="1" applyBorder="1" applyAlignment="1">
      <alignment horizontal="center" vertical="center" shrinkToFit="1"/>
    </xf>
    <xf numFmtId="0" fontId="25" fillId="2" borderId="4" xfId="0" applyFont="1" applyFill="1" applyBorder="1" applyAlignment="1">
      <alignment horizontal="center" vertical="center" shrinkToFit="1"/>
    </xf>
    <xf numFmtId="0" fontId="25" fillId="2" borderId="54" xfId="0" applyFont="1" applyFill="1" applyBorder="1" applyAlignment="1">
      <alignment horizontal="center" vertical="center" shrinkToFit="1"/>
    </xf>
    <xf numFmtId="0" fontId="15" fillId="37" borderId="0" xfId="0" applyFont="1" applyFill="1" applyAlignment="1">
      <alignment horizontal="center"/>
    </xf>
    <xf numFmtId="217" fontId="13" fillId="2" borderId="5" xfId="1" applyNumberFormat="1" applyFont="1" applyFill="1" applyBorder="1" applyAlignment="1">
      <alignment horizontal="center"/>
    </xf>
    <xf numFmtId="217" fontId="13" fillId="2" borderId="29" xfId="1" applyNumberFormat="1" applyFont="1" applyFill="1" applyBorder="1" applyAlignment="1">
      <alignment horizontal="center"/>
    </xf>
    <xf numFmtId="217" fontId="13" fillId="2" borderId="60" xfId="1" applyNumberFormat="1" applyFont="1" applyFill="1" applyBorder="1" applyAlignment="1">
      <alignment horizontal="center"/>
    </xf>
    <xf numFmtId="217" fontId="13" fillId="2" borderId="6" xfId="1" applyNumberFormat="1" applyFont="1" applyFill="1" applyBorder="1" applyAlignment="1">
      <alignment horizontal="center"/>
    </xf>
    <xf numFmtId="217" fontId="13" fillId="2" borderId="4" xfId="1" applyNumberFormat="1" applyFont="1" applyFill="1" applyBorder="1" applyAlignment="1">
      <alignment horizontal="center" vertical="center" wrapText="1"/>
    </xf>
    <xf numFmtId="0" fontId="13" fillId="2" borderId="4" xfId="1" applyNumberFormat="1" applyFont="1" applyFill="1" applyBorder="1" applyAlignment="1">
      <alignment horizontal="center" vertical="center" wrapText="1"/>
    </xf>
    <xf numFmtId="0" fontId="13" fillId="2" borderId="54" xfId="1" applyNumberFormat="1" applyFont="1" applyFill="1" applyBorder="1" applyAlignment="1">
      <alignment horizontal="center" vertical="center" wrapText="1"/>
    </xf>
    <xf numFmtId="0" fontId="13" fillId="2" borderId="8" xfId="0" applyFont="1" applyFill="1" applyBorder="1" applyAlignment="1">
      <alignment horizontal="center" vertical="center" wrapText="1"/>
    </xf>
    <xf numFmtId="0" fontId="13" fillId="2" borderId="9" xfId="0" applyFont="1" applyFill="1" applyBorder="1" applyAlignment="1">
      <alignment horizontal="center" vertical="center" wrapText="1"/>
    </xf>
    <xf numFmtId="0" fontId="13" fillId="2" borderId="15" xfId="0" applyFont="1" applyFill="1" applyBorder="1" applyAlignment="1">
      <alignment horizontal="center" vertical="center" wrapText="1"/>
    </xf>
    <xf numFmtId="0" fontId="13" fillId="2" borderId="30" xfId="0" applyFont="1" applyFill="1" applyBorder="1" applyAlignment="1">
      <alignment horizontal="center" vertical="center" wrapText="1"/>
    </xf>
    <xf numFmtId="0" fontId="13" fillId="2" borderId="10" xfId="0" applyFont="1" applyFill="1" applyBorder="1" applyAlignment="1">
      <alignment horizontal="center" vertical="center" wrapText="1"/>
    </xf>
    <xf numFmtId="0" fontId="13" fillId="2" borderId="11" xfId="0" applyFont="1" applyFill="1" applyBorder="1" applyAlignment="1">
      <alignment horizontal="center" vertical="center" wrapText="1"/>
    </xf>
    <xf numFmtId="0" fontId="1" fillId="2" borderId="0" xfId="0" quotePrefix="1" applyFont="1" applyFill="1" applyAlignment="1">
      <alignment horizontal="center"/>
    </xf>
    <xf numFmtId="0" fontId="259" fillId="2" borderId="5" xfId="0" applyFont="1" applyFill="1" applyBorder="1" applyAlignment="1">
      <alignment horizontal="center" vertical="center"/>
    </xf>
    <xf numFmtId="0" fontId="259" fillId="2" borderId="29" xfId="0" applyFont="1" applyFill="1" applyBorder="1" applyAlignment="1">
      <alignment horizontal="center" vertical="center"/>
    </xf>
    <xf numFmtId="0" fontId="259" fillId="2" borderId="6" xfId="0" applyFont="1" applyFill="1" applyBorder="1" applyAlignment="1">
      <alignment horizontal="center" vertical="center"/>
    </xf>
    <xf numFmtId="0" fontId="271" fillId="2" borderId="5" xfId="0" applyFont="1" applyFill="1" applyBorder="1" applyAlignment="1">
      <alignment horizontal="center"/>
    </xf>
    <xf numFmtId="0" fontId="33" fillId="2" borderId="29" xfId="0" applyFont="1" applyFill="1" applyBorder="1" applyAlignment="1">
      <alignment horizontal="center"/>
    </xf>
    <xf numFmtId="0" fontId="33" fillId="2" borderId="6" xfId="0" applyFont="1" applyFill="1" applyBorder="1" applyAlignment="1">
      <alignment horizontal="center"/>
    </xf>
    <xf numFmtId="0" fontId="32" fillId="2" borderId="0" xfId="0" applyFont="1" applyFill="1" applyAlignment="1">
      <alignment horizontal="center" vertical="center"/>
    </xf>
    <xf numFmtId="0" fontId="75" fillId="2" borderId="5" xfId="0" applyFont="1" applyFill="1" applyBorder="1" applyAlignment="1">
      <alignment horizontal="left" vertical="center"/>
    </xf>
    <xf numFmtId="0" fontId="75" fillId="2" borderId="29" xfId="0" applyFont="1" applyFill="1" applyBorder="1" applyAlignment="1">
      <alignment horizontal="left" vertical="center"/>
    </xf>
    <xf numFmtId="0" fontId="75" fillId="2" borderId="6" xfId="0" applyFont="1" applyFill="1" applyBorder="1" applyAlignment="1">
      <alignment horizontal="left" vertical="center"/>
    </xf>
    <xf numFmtId="0" fontId="260" fillId="2" borderId="5" xfId="0" applyFont="1" applyFill="1" applyBorder="1" applyAlignment="1">
      <alignment horizontal="left" vertical="center"/>
    </xf>
    <xf numFmtId="0" fontId="25" fillId="2" borderId="0" xfId="0" quotePrefix="1" applyFont="1" applyFill="1" applyAlignment="1">
      <alignment horizontal="center" vertical="center"/>
    </xf>
    <xf numFmtId="0" fontId="25" fillId="2" borderId="5" xfId="0" applyFont="1" applyFill="1" applyBorder="1" applyAlignment="1">
      <alignment horizontal="center" vertical="center"/>
    </xf>
    <xf numFmtId="0" fontId="25" fillId="2" borderId="29" xfId="0" applyFont="1" applyFill="1" applyBorder="1" applyAlignment="1">
      <alignment horizontal="center" vertical="center"/>
    </xf>
    <xf numFmtId="0" fontId="25" fillId="2" borderId="6" xfId="0" applyFont="1" applyFill="1" applyBorder="1" applyAlignment="1">
      <alignment horizontal="center" vertical="center"/>
    </xf>
    <xf numFmtId="0" fontId="25" fillId="2" borderId="4" xfId="0" applyFont="1" applyFill="1" applyBorder="1" applyAlignment="1">
      <alignment horizontal="center" vertical="center" wrapText="1"/>
    </xf>
    <xf numFmtId="0" fontId="25" fillId="2" borderId="4" xfId="0" applyFont="1" applyFill="1" applyBorder="1" applyAlignment="1">
      <alignment horizontal="center" vertical="center"/>
    </xf>
    <xf numFmtId="0" fontId="25" fillId="2" borderId="8" xfId="0" applyFont="1" applyFill="1" applyBorder="1" applyAlignment="1">
      <alignment horizontal="center" vertical="center"/>
    </xf>
    <xf numFmtId="0" fontId="25" fillId="2" borderId="9" xfId="0" applyFont="1" applyFill="1" applyBorder="1" applyAlignment="1">
      <alignment horizontal="center" vertical="center"/>
    </xf>
    <xf numFmtId="0" fontId="25" fillId="2" borderId="10" xfId="0" applyFont="1" applyFill="1" applyBorder="1" applyAlignment="1">
      <alignment horizontal="center" vertical="center"/>
    </xf>
    <xf numFmtId="0" fontId="25" fillId="2" borderId="11" xfId="0" applyFont="1" applyFill="1" applyBorder="1" applyAlignment="1">
      <alignment horizontal="center" vertical="center"/>
    </xf>
    <xf numFmtId="0" fontId="25" fillId="2" borderId="3" xfId="0" applyFont="1" applyFill="1" applyBorder="1" applyAlignment="1">
      <alignment horizontal="center" vertical="center" wrapText="1"/>
    </xf>
    <xf numFmtId="0" fontId="25" fillId="2" borderId="7" xfId="0" applyFont="1" applyFill="1" applyBorder="1" applyAlignment="1">
      <alignment horizontal="center" vertical="center" wrapText="1"/>
    </xf>
    <xf numFmtId="0" fontId="25" fillId="2" borderId="0" xfId="496" applyFont="1" applyFill="1" applyAlignment="1">
      <alignment horizontal="center" vertical="center"/>
    </xf>
    <xf numFmtId="0" fontId="25" fillId="2" borderId="3" xfId="496" applyFont="1" applyFill="1" applyBorder="1" applyAlignment="1">
      <alignment horizontal="center" vertical="center"/>
    </xf>
    <xf numFmtId="0" fontId="25" fillId="2" borderId="7" xfId="496" applyFont="1" applyFill="1" applyBorder="1" applyAlignment="1">
      <alignment horizontal="center" vertical="center"/>
    </xf>
    <xf numFmtId="0" fontId="25" fillId="2" borderId="3" xfId="496" applyFont="1" applyFill="1" applyBorder="1" applyAlignment="1">
      <alignment horizontal="center" vertical="center" wrapText="1"/>
    </xf>
    <xf numFmtId="0" fontId="25" fillId="2" borderId="7" xfId="496" applyFont="1" applyFill="1" applyBorder="1" applyAlignment="1">
      <alignment horizontal="center" vertical="center" wrapText="1"/>
    </xf>
    <xf numFmtId="0" fontId="30" fillId="2" borderId="0" xfId="496" applyFont="1" applyFill="1" applyAlignment="1">
      <alignment horizontal="center" vertical="center"/>
    </xf>
    <xf numFmtId="0" fontId="32" fillId="2" borderId="0" xfId="496" applyFont="1" applyFill="1" applyAlignment="1">
      <alignment horizontal="center" vertical="center"/>
    </xf>
    <xf numFmtId="0" fontId="222" fillId="2" borderId="0" xfId="0" applyFont="1" applyFill="1" applyAlignment="1">
      <alignment horizontal="center" vertical="center"/>
    </xf>
    <xf numFmtId="0" fontId="31" fillId="2" borderId="0" xfId="496" applyFont="1" applyFill="1" applyAlignment="1">
      <alignment horizontal="center" vertical="center"/>
    </xf>
    <xf numFmtId="0" fontId="25" fillId="2" borderId="1" xfId="496" applyFont="1" applyFill="1" applyBorder="1" applyAlignment="1">
      <alignment horizontal="center" vertical="center"/>
    </xf>
    <xf numFmtId="0" fontId="25" fillId="2" borderId="5" xfId="496" applyFont="1" applyFill="1" applyBorder="1" applyAlignment="1">
      <alignment horizontal="center" vertical="center"/>
    </xf>
    <xf numFmtId="0" fontId="25" fillId="2" borderId="6" xfId="496" applyFont="1" applyFill="1" applyBorder="1" applyAlignment="1">
      <alignment horizontal="center" vertical="center"/>
    </xf>
    <xf numFmtId="0" fontId="25" fillId="2" borderId="0" xfId="496" quotePrefix="1" applyFont="1" applyFill="1" applyAlignment="1">
      <alignment horizontal="center" vertical="center"/>
    </xf>
    <xf numFmtId="0" fontId="25" fillId="2" borderId="3" xfId="0" applyFont="1" applyFill="1" applyBorder="1" applyAlignment="1">
      <alignment horizontal="center" vertical="center"/>
    </xf>
    <xf numFmtId="0" fontId="25" fillId="2" borderId="7" xfId="0" applyFont="1" applyFill="1" applyBorder="1" applyAlignment="1">
      <alignment horizontal="center" vertical="center"/>
    </xf>
    <xf numFmtId="0" fontId="13" fillId="2" borderId="0" xfId="0" applyFont="1" applyFill="1" applyAlignment="1">
      <alignment horizontal="right"/>
    </xf>
    <xf numFmtId="0" fontId="25" fillId="2" borderId="59" xfId="0" applyFont="1" applyFill="1" applyBorder="1" applyAlignment="1">
      <alignment horizontal="center" vertical="center"/>
    </xf>
    <xf numFmtId="0" fontId="25" fillId="2" borderId="60" xfId="0" applyFont="1" applyFill="1" applyBorder="1" applyAlignment="1">
      <alignment horizontal="center" vertical="center"/>
    </xf>
    <xf numFmtId="0" fontId="25" fillId="2" borderId="58" xfId="0" applyFont="1" applyFill="1" applyBorder="1" applyAlignment="1">
      <alignment horizontal="center" vertical="center"/>
    </xf>
    <xf numFmtId="0" fontId="32" fillId="2" borderId="0" xfId="0" applyFont="1" applyFill="1" applyAlignment="1">
      <alignment horizontal="right"/>
    </xf>
    <xf numFmtId="217" fontId="82" fillId="2" borderId="0" xfId="0" applyNumberFormat="1" applyFont="1" applyFill="1" applyAlignment="1">
      <alignment horizontal="center"/>
    </xf>
    <xf numFmtId="0" fontId="87" fillId="2" borderId="31" xfId="0" applyFont="1" applyFill="1" applyBorder="1" applyAlignment="1">
      <alignment horizontal="center"/>
    </xf>
    <xf numFmtId="0" fontId="87" fillId="2" borderId="0" xfId="0" applyFont="1" applyFill="1" applyAlignment="1">
      <alignment horizontal="right"/>
    </xf>
    <xf numFmtId="0" fontId="85" fillId="2" borderId="0" xfId="0" applyFont="1" applyFill="1" applyAlignment="1">
      <alignment horizontal="center" vertical="center"/>
    </xf>
    <xf numFmtId="0" fontId="5" fillId="2" borderId="4" xfId="0" applyFont="1" applyFill="1" applyBorder="1" applyAlignment="1">
      <alignment horizontal="center" vertical="center"/>
    </xf>
    <xf numFmtId="0" fontId="1" fillId="2" borderId="5" xfId="0" applyFont="1" applyFill="1" applyBorder="1" applyAlignment="1">
      <alignment horizontal="center" vertical="center"/>
    </xf>
    <xf numFmtId="0" fontId="1" fillId="2" borderId="6" xfId="0" applyFont="1" applyFill="1" applyBorder="1" applyAlignment="1">
      <alignment horizontal="center" vertical="center"/>
    </xf>
    <xf numFmtId="0" fontId="1" fillId="2" borderId="4" xfId="0" applyFont="1" applyFill="1" applyBorder="1" applyAlignment="1">
      <alignment horizontal="center" vertical="center"/>
    </xf>
    <xf numFmtId="0" fontId="37" fillId="2" borderId="4" xfId="490" applyFont="1" applyFill="1" applyBorder="1" applyAlignment="1">
      <alignment horizontal="center"/>
    </xf>
    <xf numFmtId="0" fontId="66" fillId="2" borderId="0" xfId="527" applyFont="1" applyFill="1" applyAlignment="1">
      <alignment horizontal="right"/>
    </xf>
    <xf numFmtId="0" fontId="16" fillId="2" borderId="0" xfId="490" applyFont="1" applyFill="1" applyAlignment="1">
      <alignment horizontal="center"/>
    </xf>
    <xf numFmtId="0" fontId="64" fillId="2" borderId="0" xfId="527" applyFont="1" applyFill="1" applyAlignment="1">
      <alignment horizontal="center"/>
    </xf>
    <xf numFmtId="0" fontId="20" fillId="2" borderId="3" xfId="561" applyFont="1" applyFill="1" applyBorder="1" applyAlignment="1">
      <alignment horizontal="center" vertical="center"/>
    </xf>
    <xf numFmtId="0" fontId="20" fillId="2" borderId="28" xfId="561" applyFont="1" applyFill="1" applyBorder="1" applyAlignment="1">
      <alignment horizontal="center" vertical="center"/>
    </xf>
    <xf numFmtId="0" fontId="20" fillId="2" borderId="7" xfId="561" applyFont="1" applyFill="1" applyBorder="1" applyAlignment="1">
      <alignment horizontal="center" vertical="center"/>
    </xf>
    <xf numFmtId="0" fontId="31" fillId="2" borderId="0" xfId="490" applyFont="1" applyFill="1" applyAlignment="1">
      <alignment horizontal="center"/>
    </xf>
    <xf numFmtId="0" fontId="20" fillId="2" borderId="0" xfId="490" applyFill="1" applyAlignment="1">
      <alignment horizontal="center"/>
    </xf>
    <xf numFmtId="216" fontId="21" fillId="2" borderId="1" xfId="1" applyNumberFormat="1" applyFont="1" applyFill="1" applyBorder="1" applyAlignment="1">
      <alignment horizontal="center"/>
    </xf>
    <xf numFmtId="3" fontId="60" fillId="6" borderId="1" xfId="0" applyNumberFormat="1" applyFont="1" applyFill="1" applyBorder="1" applyAlignment="1">
      <alignment horizontal="center"/>
    </xf>
    <xf numFmtId="0" fontId="13" fillId="2" borderId="4" xfId="490" applyFont="1" applyFill="1" applyBorder="1" applyAlignment="1">
      <alignment horizontal="center"/>
    </xf>
    <xf numFmtId="0" fontId="13" fillId="2" borderId="0" xfId="490" applyFont="1" applyFill="1" applyAlignment="1">
      <alignment horizontal="center"/>
    </xf>
    <xf numFmtId="0" fontId="13" fillId="2" borderId="0" xfId="490" quotePrefix="1" applyFont="1" applyFill="1" applyAlignment="1">
      <alignment horizontal="center"/>
    </xf>
    <xf numFmtId="216" fontId="25" fillId="2" borderId="0" xfId="1" applyNumberFormat="1" applyFont="1" applyFill="1" applyAlignment="1">
      <alignment horizontal="center"/>
    </xf>
    <xf numFmtId="216" fontId="25" fillId="2" borderId="0" xfId="1" applyNumberFormat="1" applyFont="1" applyFill="1" applyBorder="1" applyAlignment="1" applyProtection="1">
      <alignment horizontal="center"/>
    </xf>
    <xf numFmtId="0" fontId="25" fillId="2" borderId="4" xfId="490" applyFont="1" applyFill="1" applyBorder="1" applyAlignment="1">
      <alignment horizontal="center"/>
    </xf>
    <xf numFmtId="0" fontId="271" fillId="2" borderId="4" xfId="490" applyFont="1" applyFill="1" applyBorder="1" applyAlignment="1">
      <alignment horizontal="center"/>
    </xf>
    <xf numFmtId="0" fontId="33" fillId="2" borderId="4" xfId="490" applyFont="1" applyFill="1" applyBorder="1" applyAlignment="1">
      <alignment horizontal="center"/>
    </xf>
    <xf numFmtId="0" fontId="32" fillId="2" borderId="0" xfId="528" applyFont="1" applyFill="1" applyAlignment="1">
      <alignment horizontal="right"/>
    </xf>
    <xf numFmtId="0" fontId="25" fillId="2" borderId="0" xfId="490" applyFont="1" applyFill="1" applyAlignment="1">
      <alignment horizontal="center"/>
    </xf>
    <xf numFmtId="0" fontId="25" fillId="2" borderId="0" xfId="490" quotePrefix="1" applyFont="1" applyFill="1" applyAlignment="1">
      <alignment horizontal="center"/>
    </xf>
    <xf numFmtId="0" fontId="30" fillId="2" borderId="0" xfId="490" applyFont="1" applyFill="1" applyAlignment="1">
      <alignment horizontal="center"/>
    </xf>
    <xf numFmtId="0" fontId="259" fillId="2" borderId="0" xfId="490" applyFont="1" applyFill="1" applyAlignment="1">
      <alignment horizontal="center"/>
    </xf>
    <xf numFmtId="0" fontId="14" fillId="0" borderId="0" xfId="0" applyFont="1" applyAlignment="1">
      <alignment horizontal="center"/>
    </xf>
    <xf numFmtId="4" fontId="14" fillId="0" borderId="0" xfId="0" applyNumberFormat="1" applyFont="1" applyAlignment="1">
      <alignment horizontal="center"/>
    </xf>
    <xf numFmtId="0" fontId="25" fillId="0" borderId="4" xfId="0" applyFont="1" applyBorder="1" applyAlignment="1">
      <alignment horizontal="center" vertical="center"/>
    </xf>
    <xf numFmtId="3" fontId="25" fillId="0" borderId="4" xfId="0" applyNumberFormat="1" applyFont="1" applyBorder="1" applyAlignment="1">
      <alignment horizontal="center" vertical="center" wrapText="1"/>
    </xf>
    <xf numFmtId="0" fontId="25" fillId="0" borderId="0" xfId="0" applyFont="1" applyAlignment="1">
      <alignment horizontal="center"/>
    </xf>
    <xf numFmtId="4" fontId="25" fillId="0" borderId="0" xfId="0" applyNumberFormat="1" applyFont="1" applyAlignment="1">
      <alignment horizontal="center"/>
    </xf>
    <xf numFmtId="4" fontId="13" fillId="0" borderId="0" xfId="0" applyNumberFormat="1" applyFont="1" applyAlignment="1">
      <alignment horizontal="center"/>
    </xf>
    <xf numFmtId="0" fontId="16" fillId="0" borderId="0" xfId="0" applyFont="1" applyAlignment="1">
      <alignment horizontal="center" vertical="center" wrapText="1"/>
    </xf>
    <xf numFmtId="0" fontId="25" fillId="0" borderId="1" xfId="0" applyFont="1" applyBorder="1" applyAlignment="1">
      <alignment horizontal="center" vertical="center"/>
    </xf>
    <xf numFmtId="0" fontId="25" fillId="0" borderId="4" xfId="0" applyFont="1" applyBorder="1" applyAlignment="1">
      <alignment horizontal="center"/>
    </xf>
    <xf numFmtId="0" fontId="32" fillId="0" borderId="0" xfId="0" applyFont="1" applyAlignment="1">
      <alignment horizontal="right"/>
    </xf>
    <xf numFmtId="0" fontId="30" fillId="2" borderId="0" xfId="0" applyFont="1" applyFill="1" applyAlignment="1">
      <alignment horizontal="center" vertical="center"/>
    </xf>
    <xf numFmtId="0" fontId="27" fillId="0" borderId="0" xfId="0" applyFont="1" applyAlignment="1">
      <alignment horizontal="center"/>
    </xf>
    <xf numFmtId="0" fontId="14" fillId="0" borderId="25" xfId="0" applyFont="1" applyBorder="1" applyAlignment="1">
      <alignment horizontal="center" vertical="center"/>
    </xf>
    <xf numFmtId="0" fontId="14" fillId="0" borderId="24" xfId="0" applyFont="1" applyBorder="1" applyAlignment="1">
      <alignment horizontal="center" vertical="center" wrapText="1"/>
    </xf>
    <xf numFmtId="0" fontId="14" fillId="0" borderId="24" xfId="0" applyFont="1" applyBorder="1" applyAlignment="1">
      <alignment horizontal="center" vertical="center"/>
    </xf>
    <xf numFmtId="0" fontId="14" fillId="0" borderId="2" xfId="0" applyFont="1" applyBorder="1" applyAlignment="1">
      <alignment horizontal="center" vertical="center" wrapText="1"/>
    </xf>
    <xf numFmtId="0" fontId="14" fillId="0" borderId="2" xfId="0" applyFont="1" applyBorder="1" applyAlignment="1">
      <alignment horizontal="center" vertical="center"/>
    </xf>
    <xf numFmtId="0" fontId="14" fillId="0" borderId="26" xfId="0" applyFont="1" applyBorder="1" applyAlignment="1">
      <alignment horizontal="center" vertical="center"/>
    </xf>
    <xf numFmtId="0" fontId="21" fillId="0" borderId="0" xfId="0" applyFont="1" applyAlignment="1">
      <alignment horizontal="center"/>
    </xf>
    <xf numFmtId="0" fontId="16" fillId="0" borderId="0" xfId="497" applyFont="1" applyAlignment="1">
      <alignment horizontal="center" vertical="center"/>
    </xf>
    <xf numFmtId="0" fontId="14" fillId="2" borderId="21" xfId="0" applyFont="1" applyFill="1" applyBorder="1" applyAlignment="1">
      <alignment horizontal="center" vertical="center"/>
    </xf>
    <xf numFmtId="0" fontId="14" fillId="2" borderId="22" xfId="0" applyFont="1" applyFill="1" applyBorder="1" applyAlignment="1">
      <alignment horizontal="center" vertical="center"/>
    </xf>
    <xf numFmtId="0" fontId="14" fillId="2" borderId="24" xfId="0" applyFont="1" applyFill="1" applyBorder="1" applyAlignment="1">
      <alignment horizontal="center" vertical="center"/>
    </xf>
    <xf numFmtId="0" fontId="21" fillId="2" borderId="0" xfId="0" applyFont="1" applyFill="1" applyAlignment="1">
      <alignment horizontal="center"/>
    </xf>
    <xf numFmtId="0" fontId="27" fillId="2" borderId="0" xfId="0" applyFont="1" applyFill="1" applyAlignment="1">
      <alignment horizontal="center"/>
    </xf>
    <xf numFmtId="0" fontId="14" fillId="2" borderId="2" xfId="0" applyFont="1" applyFill="1" applyBorder="1" applyAlignment="1">
      <alignment horizontal="center" vertical="center"/>
    </xf>
    <xf numFmtId="0" fontId="14" fillId="2" borderId="20" xfId="0" applyFont="1" applyFill="1" applyBorder="1" applyAlignment="1">
      <alignment horizontal="center" vertical="center"/>
    </xf>
    <xf numFmtId="0" fontId="14" fillId="2" borderId="23" xfId="0" applyFont="1" applyFill="1" applyBorder="1" applyAlignment="1">
      <alignment horizontal="center" vertical="center"/>
    </xf>
    <xf numFmtId="0" fontId="14" fillId="2" borderId="2" xfId="0" applyFont="1" applyFill="1" applyBorder="1" applyAlignment="1">
      <alignment horizontal="center" vertical="center" wrapText="1"/>
    </xf>
    <xf numFmtId="0" fontId="30" fillId="2" borderId="0" xfId="0" applyFont="1" applyFill="1" applyAlignment="1">
      <alignment horizontal="center"/>
    </xf>
    <xf numFmtId="0" fontId="45" fillId="2" borderId="0" xfId="0" applyFont="1" applyFill="1" applyAlignment="1">
      <alignment horizontal="center"/>
    </xf>
    <xf numFmtId="0" fontId="54" fillId="0" borderId="0" xfId="0" applyFont="1" applyAlignment="1">
      <alignment horizontal="center"/>
    </xf>
    <xf numFmtId="0" fontId="53" fillId="0" borderId="0" xfId="0" applyFont="1" applyAlignment="1">
      <alignment horizontal="center"/>
    </xf>
    <xf numFmtId="0" fontId="51" fillId="0" borderId="0" xfId="0" applyFont="1" applyAlignment="1">
      <alignment horizontal="center"/>
    </xf>
    <xf numFmtId="0" fontId="52" fillId="0" borderId="0" xfId="0" applyFont="1" applyAlignment="1">
      <alignment horizontal="center"/>
    </xf>
    <xf numFmtId="0" fontId="57" fillId="0" borderId="0" xfId="0" applyFont="1" applyAlignment="1">
      <alignment horizontal="center"/>
    </xf>
    <xf numFmtId="0" fontId="54" fillId="0" borderId="0" xfId="0" applyFont="1" applyAlignment="1">
      <alignment horizontal="center" vertical="center"/>
    </xf>
    <xf numFmtId="0" fontId="13" fillId="0" borderId="14" xfId="0" applyFont="1" applyBorder="1" applyAlignment="1">
      <alignment horizontal="center" vertical="center"/>
    </xf>
    <xf numFmtId="0" fontId="13" fillId="0" borderId="16" xfId="0" applyFont="1" applyBorder="1" applyAlignment="1">
      <alignment horizontal="center" vertical="center"/>
    </xf>
    <xf numFmtId="0" fontId="47" fillId="0" borderId="0" xfId="0" applyFont="1" applyAlignment="1">
      <alignment horizontal="left"/>
    </xf>
    <xf numFmtId="0" fontId="47" fillId="0" borderId="0" xfId="0" applyFont="1" applyAlignment="1">
      <alignment horizontal="center"/>
    </xf>
    <xf numFmtId="0" fontId="13" fillId="0" borderId="4" xfId="0" applyFont="1" applyBorder="1" applyAlignment="1">
      <alignment horizontal="center" vertical="center"/>
    </xf>
    <xf numFmtId="0" fontId="47" fillId="0" borderId="4" xfId="0" applyFont="1" applyBorder="1" applyAlignment="1">
      <alignment horizontal="center"/>
    </xf>
    <xf numFmtId="0" fontId="48" fillId="0" borderId="0" xfId="0" applyFont="1" applyAlignment="1">
      <alignment horizontal="center"/>
    </xf>
    <xf numFmtId="0" fontId="49" fillId="0" borderId="0" xfId="0" applyFont="1" applyAlignment="1">
      <alignment horizontal="left"/>
    </xf>
    <xf numFmtId="0" fontId="49" fillId="0" borderId="0" xfId="0" applyFont="1" applyAlignment="1">
      <alignment horizontal="center"/>
    </xf>
    <xf numFmtId="224" fontId="25" fillId="3" borderId="0" xfId="1" applyNumberFormat="1" applyFont="1" applyFill="1" applyAlignment="1">
      <alignment horizontal="center"/>
    </xf>
    <xf numFmtId="224" fontId="25" fillId="3" borderId="0" xfId="1" quotePrefix="1" applyNumberFormat="1" applyFont="1" applyFill="1" applyAlignment="1">
      <alignment horizontal="center"/>
    </xf>
    <xf numFmtId="0" fontId="13" fillId="3" borderId="0" xfId="0" applyFont="1" applyFill="1" applyAlignment="1">
      <alignment horizontal="center"/>
    </xf>
    <xf numFmtId="0" fontId="16" fillId="0" borderId="0" xfId="0" applyFont="1" applyAlignment="1">
      <alignment horizontal="center" vertical="center"/>
    </xf>
    <xf numFmtId="219" fontId="32" fillId="2" borderId="0" xfId="93" applyNumberFormat="1" applyFont="1" applyFill="1" applyAlignment="1">
      <alignment horizontal="right"/>
    </xf>
    <xf numFmtId="0" fontId="25" fillId="2" borderId="0" xfId="0" applyFont="1" applyFill="1" applyAlignment="1">
      <alignment horizontal="left"/>
    </xf>
    <xf numFmtId="0" fontId="31" fillId="2" borderId="0" xfId="0" applyFont="1" applyFill="1" applyAlignment="1">
      <alignment horizontal="center"/>
    </xf>
    <xf numFmtId="0" fontId="33" fillId="2" borderId="4" xfId="0" applyFont="1" applyFill="1" applyBorder="1" applyAlignment="1">
      <alignment horizontal="center"/>
    </xf>
    <xf numFmtId="0" fontId="25" fillId="2" borderId="0" xfId="0" quotePrefix="1" applyFont="1" applyFill="1" applyAlignment="1">
      <alignment horizontal="center"/>
    </xf>
    <xf numFmtId="0" fontId="32" fillId="2" borderId="0" xfId="527" applyFont="1" applyFill="1" applyAlignment="1">
      <alignment horizontal="right"/>
    </xf>
    <xf numFmtId="0" fontId="22" fillId="2" borderId="4" xfId="0" applyFont="1" applyFill="1" applyBorder="1" applyAlignment="1">
      <alignment horizontal="center" vertical="center"/>
    </xf>
    <xf numFmtId="0" fontId="22" fillId="2" borderId="4" xfId="0" applyFont="1" applyFill="1" applyBorder="1" applyAlignment="1">
      <alignment horizontal="center" vertical="center" wrapText="1"/>
    </xf>
    <xf numFmtId="0" fontId="22" fillId="2" borderId="3" xfId="0" applyFont="1" applyFill="1" applyBorder="1" applyAlignment="1">
      <alignment horizontal="center" vertical="center" wrapText="1"/>
    </xf>
    <xf numFmtId="0" fontId="22" fillId="2" borderId="7" xfId="0" applyFont="1" applyFill="1" applyBorder="1" applyAlignment="1">
      <alignment horizontal="center" vertical="center" wrapText="1"/>
    </xf>
    <xf numFmtId="0" fontId="22" fillId="2" borderId="8" xfId="0" applyFont="1" applyFill="1" applyBorder="1" applyAlignment="1">
      <alignment horizontal="center" vertical="center"/>
    </xf>
    <xf numFmtId="0" fontId="22" fillId="2" borderId="9" xfId="0" applyFont="1" applyFill="1" applyBorder="1" applyAlignment="1">
      <alignment horizontal="center" vertical="center"/>
    </xf>
    <xf numFmtId="0" fontId="22" fillId="2" borderId="10" xfId="0" applyFont="1" applyFill="1" applyBorder="1" applyAlignment="1">
      <alignment horizontal="center" vertical="center"/>
    </xf>
    <xf numFmtId="0" fontId="22" fillId="2" borderId="11" xfId="0" applyFont="1" applyFill="1" applyBorder="1" applyAlignment="1">
      <alignment horizontal="center" vertical="center"/>
    </xf>
    <xf numFmtId="217" fontId="21" fillId="2" borderId="0" xfId="0" applyNumberFormat="1" applyFont="1" applyFill="1" applyAlignment="1">
      <alignment horizontal="center"/>
    </xf>
    <xf numFmtId="0" fontId="37" fillId="2" borderId="4" xfId="0" applyFont="1" applyFill="1" applyBorder="1" applyAlignment="1">
      <alignment horizontal="center"/>
    </xf>
    <xf numFmtId="0" fontId="14" fillId="2" borderId="0" xfId="0" quotePrefix="1" applyFont="1" applyFill="1" applyAlignment="1">
      <alignment horizontal="center"/>
    </xf>
    <xf numFmtId="0" fontId="14" fillId="2" borderId="0" xfId="0" applyFont="1" applyFill="1" applyAlignment="1">
      <alignment horizontal="left"/>
    </xf>
    <xf numFmtId="0" fontId="21" fillId="2" borderId="0" xfId="0" applyFont="1" applyFill="1" applyAlignment="1">
      <alignment horizontal="center" vertical="center"/>
    </xf>
    <xf numFmtId="0" fontId="14" fillId="2" borderId="3" xfId="0" applyFont="1" applyFill="1" applyBorder="1" applyAlignment="1">
      <alignment horizontal="center" vertical="center"/>
    </xf>
    <xf numFmtId="0" fontId="14" fillId="2" borderId="7" xfId="0" applyFont="1" applyFill="1" applyBorder="1" applyAlignment="1">
      <alignment horizontal="center" vertical="center"/>
    </xf>
    <xf numFmtId="0" fontId="14" fillId="2" borderId="12" xfId="0" applyFont="1" applyFill="1" applyBorder="1" applyAlignment="1">
      <alignment horizontal="left" vertical="center" wrapText="1"/>
    </xf>
    <xf numFmtId="0" fontId="14" fillId="2" borderId="13" xfId="0" applyFont="1" applyFill="1" applyBorder="1" applyAlignment="1">
      <alignment horizontal="left" vertical="center" wrapText="1"/>
    </xf>
    <xf numFmtId="0" fontId="14" fillId="2" borderId="3" xfId="0" applyFont="1" applyFill="1" applyBorder="1" applyAlignment="1">
      <alignment horizontal="center" vertical="center" wrapText="1"/>
    </xf>
    <xf numFmtId="0" fontId="14" fillId="2" borderId="7" xfId="0" applyFont="1" applyFill="1" applyBorder="1" applyAlignment="1">
      <alignment horizontal="center" vertical="center" wrapText="1"/>
    </xf>
    <xf numFmtId="0" fontId="14" fillId="2" borderId="1" xfId="0" applyFont="1" applyFill="1" applyBorder="1" applyAlignment="1">
      <alignment horizontal="center" vertical="center"/>
    </xf>
    <xf numFmtId="0" fontId="14" fillId="2" borderId="5" xfId="0" applyFont="1" applyFill="1" applyBorder="1" applyAlignment="1">
      <alignment horizontal="center" vertical="center"/>
    </xf>
    <xf numFmtId="0" fontId="14" fillId="2" borderId="6" xfId="0" applyFont="1" applyFill="1" applyBorder="1" applyAlignment="1">
      <alignment horizontal="center" vertical="center"/>
    </xf>
    <xf numFmtId="0" fontId="13" fillId="2" borderId="0" xfId="0" quotePrefix="1" applyFont="1" applyFill="1" applyAlignment="1">
      <alignment horizontal="center" vertical="center"/>
    </xf>
    <xf numFmtId="0" fontId="31" fillId="2" borderId="0" xfId="0" applyFont="1" applyFill="1" applyAlignment="1">
      <alignment horizontal="center" vertical="center"/>
    </xf>
    <xf numFmtId="0" fontId="25" fillId="2" borderId="1" xfId="0" applyFont="1" applyFill="1" applyBorder="1" applyAlignment="1">
      <alignment horizontal="center" vertical="center"/>
    </xf>
    <xf numFmtId="0" fontId="25" fillId="2" borderId="0" xfId="496" applyFont="1" applyFill="1" applyAlignment="1">
      <alignment horizontal="center"/>
    </xf>
    <xf numFmtId="0" fontId="25" fillId="2" borderId="4" xfId="496" applyFont="1" applyFill="1" applyBorder="1" applyAlignment="1">
      <alignment horizontal="center" vertical="center"/>
    </xf>
    <xf numFmtId="0" fontId="25" fillId="2" borderId="4" xfId="496" applyFont="1" applyFill="1" applyBorder="1" applyAlignment="1">
      <alignment horizontal="center" vertical="center" wrapText="1"/>
    </xf>
    <xf numFmtId="0" fontId="25" fillId="2" borderId="8" xfId="496" applyFont="1" applyFill="1" applyBorder="1" applyAlignment="1">
      <alignment horizontal="center" vertical="center"/>
    </xf>
    <xf numFmtId="0" fontId="25" fillId="2" borderId="9" xfId="496" applyFont="1" applyFill="1" applyBorder="1" applyAlignment="1">
      <alignment horizontal="center" vertical="center"/>
    </xf>
    <xf numFmtId="0" fontId="25" fillId="2" borderId="10" xfId="496" applyFont="1" applyFill="1" applyBorder="1" applyAlignment="1">
      <alignment horizontal="center" vertical="center"/>
    </xf>
    <xf numFmtId="0" fontId="25" fillId="2" borderId="11" xfId="496" applyFont="1" applyFill="1" applyBorder="1" applyAlignment="1">
      <alignment horizontal="center" vertical="center"/>
    </xf>
    <xf numFmtId="217" fontId="32" fillId="2" borderId="0" xfId="496" applyNumberFormat="1" applyFont="1" applyFill="1" applyAlignment="1">
      <alignment horizontal="right"/>
    </xf>
    <xf numFmtId="0" fontId="31" fillId="2" borderId="0" xfId="496" applyFont="1" applyFill="1" applyAlignment="1">
      <alignment horizontal="center"/>
    </xf>
    <xf numFmtId="0" fontId="33" fillId="2" borderId="4" xfId="496" applyFont="1" applyFill="1" applyBorder="1" applyAlignment="1">
      <alignment horizontal="center"/>
    </xf>
    <xf numFmtId="0" fontId="25" fillId="2" borderId="0" xfId="496" quotePrefix="1" applyFont="1" applyFill="1" applyAlignment="1">
      <alignment horizontal="center"/>
    </xf>
    <xf numFmtId="0" fontId="30" fillId="2" borderId="0" xfId="496" applyFont="1" applyFill="1" applyAlignment="1">
      <alignment horizontal="left"/>
    </xf>
    <xf numFmtId="0" fontId="13" fillId="0" borderId="4" xfId="0" applyFont="1" applyBorder="1" applyAlignment="1">
      <alignment horizontal="center" vertical="center" wrapText="1"/>
    </xf>
    <xf numFmtId="3" fontId="13" fillId="0" borderId="4" xfId="0" applyNumberFormat="1" applyFont="1" applyBorder="1" applyAlignment="1">
      <alignment horizontal="center" vertical="center" wrapText="1"/>
    </xf>
    <xf numFmtId="0" fontId="233" fillId="0" borderId="0" xfId="0" applyFont="1" applyAlignment="1">
      <alignment horizontal="center" vertical="center" wrapText="1"/>
    </xf>
    <xf numFmtId="0" fontId="220" fillId="0" borderId="4" xfId="0" applyFont="1" applyBorder="1" applyAlignment="1">
      <alignment horizontal="center" vertical="center"/>
    </xf>
    <xf numFmtId="217" fontId="285" fillId="0" borderId="0" xfId="0" applyNumberFormat="1" applyFont="1" applyAlignment="1">
      <alignment horizontal="right"/>
    </xf>
    <xf numFmtId="217" fontId="21" fillId="0" borderId="0" xfId="0" applyNumberFormat="1" applyFont="1" applyAlignment="1">
      <alignment horizontal="right"/>
    </xf>
    <xf numFmtId="0" fontId="220" fillId="0" borderId="0" xfId="0" applyFont="1" applyAlignment="1">
      <alignment horizontal="center"/>
    </xf>
    <xf numFmtId="3" fontId="220" fillId="0" borderId="4" xfId="0" applyNumberFormat="1" applyFont="1" applyBorder="1" applyAlignment="1">
      <alignment horizontal="center" vertical="center" wrapText="1"/>
    </xf>
    <xf numFmtId="0" fontId="218" fillId="2" borderId="0" xfId="0" applyFont="1" applyFill="1" applyAlignment="1">
      <alignment horizontal="center" vertical="center"/>
    </xf>
    <xf numFmtId="0" fontId="259" fillId="2" borderId="0" xfId="0" applyFont="1" applyFill="1" applyAlignment="1">
      <alignment horizontal="center" vertical="center"/>
    </xf>
    <xf numFmtId="0" fontId="11" fillId="0" borderId="0" xfId="0" applyFont="1" applyAlignment="1">
      <alignment horizontal="center"/>
    </xf>
    <xf numFmtId="0" fontId="4" fillId="0" borderId="0" xfId="0" applyFont="1" applyAlignment="1">
      <alignment horizontal="center"/>
    </xf>
    <xf numFmtId="0" fontId="2" fillId="0" borderId="2" xfId="0" applyFont="1" applyBorder="1" applyAlignment="1">
      <alignment horizontal="center" vertical="center"/>
    </xf>
    <xf numFmtId="0" fontId="12" fillId="0" borderId="0" xfId="0" applyFont="1" applyAlignment="1">
      <alignment horizontal="center"/>
    </xf>
    <xf numFmtId="215" fontId="2" fillId="0" borderId="2" xfId="0" applyNumberFormat="1" applyFont="1" applyBorder="1" applyAlignment="1">
      <alignment horizontal="center" vertical="center" wrapText="1"/>
    </xf>
    <xf numFmtId="0" fontId="1" fillId="0" borderId="0" xfId="0" applyFont="1" applyAlignment="1">
      <alignment horizontal="center"/>
    </xf>
  </cellXfs>
  <cellStyles count="706">
    <cellStyle name=" Task]_x000d__x000a_TaskName=Scan At_x000d__x000a_TaskID=3_x000d__x000a_WorkstationName=SmarTone_x000d__x000a_LastExecuted=0_x000d__x000a_LastSt" xfId="3"/>
    <cellStyle name="%" xfId="4"/>
    <cellStyle name="0,0_x000d__x000a_NA_x000d__x000a_" xfId="5"/>
    <cellStyle name="20% - Accent1 2" xfId="6"/>
    <cellStyle name="20% - Accent1 3" xfId="7"/>
    <cellStyle name="20% - Accent2 2" xfId="8"/>
    <cellStyle name="20% - Accent2 3" xfId="9"/>
    <cellStyle name="20% - Accent3 2" xfId="10"/>
    <cellStyle name="20% - Accent3 3" xfId="11"/>
    <cellStyle name="20% - Accent4 2" xfId="12"/>
    <cellStyle name="20% - Accent4 3" xfId="13"/>
    <cellStyle name="20% - Accent5 2" xfId="14"/>
    <cellStyle name="20% - Accent5 3" xfId="15"/>
    <cellStyle name="20% - Accent6 2" xfId="16"/>
    <cellStyle name="20% - Accent6 3" xfId="17"/>
    <cellStyle name="40% - Accent1 2" xfId="18"/>
    <cellStyle name="40% - Accent1 3" xfId="19"/>
    <cellStyle name="40% - Accent2 2" xfId="20"/>
    <cellStyle name="40% - Accent2 3" xfId="21"/>
    <cellStyle name="40% - Accent3 2" xfId="22"/>
    <cellStyle name="40% - Accent3 3" xfId="23"/>
    <cellStyle name="40% - Accent4 2" xfId="24"/>
    <cellStyle name="40% - Accent4 3" xfId="25"/>
    <cellStyle name="40% - Accent5 2" xfId="26"/>
    <cellStyle name="40% - Accent5 3" xfId="27"/>
    <cellStyle name="40% - Accent6 2" xfId="28"/>
    <cellStyle name="40% - Accent6 3" xfId="29"/>
    <cellStyle name="60% - Accent1 2" xfId="30"/>
    <cellStyle name="60% - Accent1 3" xfId="31"/>
    <cellStyle name="60% - Accent2 2" xfId="32"/>
    <cellStyle name="60% - Accent2 3" xfId="33"/>
    <cellStyle name="60% - Accent3 2" xfId="34"/>
    <cellStyle name="60% - Accent3 3" xfId="35"/>
    <cellStyle name="60% - Accent4 2" xfId="36"/>
    <cellStyle name="60% - Accent4 3" xfId="37"/>
    <cellStyle name="60% - Accent5 2" xfId="38"/>
    <cellStyle name="60% - Accent5 3" xfId="39"/>
    <cellStyle name="60% - Accent6 2" xfId="40"/>
    <cellStyle name="60% - Accent6 3" xfId="41"/>
    <cellStyle name="9" xfId="652"/>
    <cellStyle name="Accent1 2" xfId="42"/>
    <cellStyle name="Accent1 3" xfId="43"/>
    <cellStyle name="Accent2 2" xfId="44"/>
    <cellStyle name="Accent2 3" xfId="45"/>
    <cellStyle name="Accent3 2" xfId="46"/>
    <cellStyle name="Accent3 3" xfId="47"/>
    <cellStyle name="Accent4 2" xfId="48"/>
    <cellStyle name="Accent4 3" xfId="49"/>
    <cellStyle name="Accent5 2" xfId="50"/>
    <cellStyle name="Accent5 3" xfId="51"/>
    <cellStyle name="Accent6 2" xfId="52"/>
    <cellStyle name="Accent6 3" xfId="53"/>
    <cellStyle name="args.style" xfId="54"/>
    <cellStyle name="ÄÞ¸¶ [0]_±âÅ¸" xfId="55"/>
    <cellStyle name="AÞ¸¶ [0]_INQUIRY ¿?¾÷AßAø " xfId="56"/>
    <cellStyle name="ÄÞ¸¶ [0]_ÿÿÿÿÿÿ" xfId="57"/>
    <cellStyle name="ÄÞ¸¶_±âÅ¸" xfId="58"/>
    <cellStyle name="AÞ¸¶_INQUIRY ¿?¾÷AßAø " xfId="59"/>
    <cellStyle name="ÄÞ¸¶_ÿÿÿÿÿÿ" xfId="60"/>
    <cellStyle name="Bad 2" xfId="61"/>
    <cellStyle name="Bad 3" xfId="62"/>
    <cellStyle name="Body" xfId="63"/>
    <cellStyle name="C?AØ_¿?¾÷CoE² " xfId="64"/>
    <cellStyle name="Ç¥ÁØ_¿ù°£¿ä¾àº¸°í" xfId="65"/>
    <cellStyle name="C￥AØ_¿μ¾÷CoE² " xfId="66"/>
    <cellStyle name="Ç¥ÁØ_°èÈ¹" xfId="67"/>
    <cellStyle name="Calc Currency (0)" xfId="68"/>
    <cellStyle name="Calculation 2" xfId="69"/>
    <cellStyle name="Calculation 2 2" xfId="70"/>
    <cellStyle name="Calculation 3" xfId="71"/>
    <cellStyle name="Comma" xfId="1" builtinId="3"/>
    <cellStyle name="Comma  - Style1" xfId="74"/>
    <cellStyle name="Comma  - Style2" xfId="75"/>
    <cellStyle name="Comma  - Style3" xfId="76"/>
    <cellStyle name="Comma  - Style4" xfId="77"/>
    <cellStyle name="Comma  - Style5" xfId="78"/>
    <cellStyle name="Comma  - Style6" xfId="79"/>
    <cellStyle name="Comma  - Style7" xfId="80"/>
    <cellStyle name="Comma  - Style8" xfId="81"/>
    <cellStyle name="Comma [0] 2" xfId="82"/>
    <cellStyle name="Comma 10" xfId="83"/>
    <cellStyle name="Comma 10 2" xfId="653"/>
    <cellStyle name="Comma 10 3" xfId="654"/>
    <cellStyle name="Comma 11" xfId="84"/>
    <cellStyle name="Comma 11 2" xfId="655"/>
    <cellStyle name="Comma 11 3" xfId="656"/>
    <cellStyle name="Comma 12" xfId="85"/>
    <cellStyle name="Comma 12 2" xfId="657"/>
    <cellStyle name="Comma 12 3" xfId="658"/>
    <cellStyle name="Comma 13" xfId="86"/>
    <cellStyle name="Comma 13 2" xfId="659"/>
    <cellStyle name="Comma 13 3" xfId="660"/>
    <cellStyle name="Comma 14" xfId="87"/>
    <cellStyle name="Comma 14 2" xfId="661"/>
    <cellStyle name="Comma 14 3" xfId="662"/>
    <cellStyle name="Comma 15" xfId="88"/>
    <cellStyle name="Comma 15 2" xfId="663"/>
    <cellStyle name="Comma 15 3" xfId="664"/>
    <cellStyle name="Comma 16" xfId="89"/>
    <cellStyle name="Comma 16 2" xfId="665"/>
    <cellStyle name="Comma 17" xfId="90"/>
    <cellStyle name="Comma 18" xfId="91"/>
    <cellStyle name="Comma 19" xfId="92"/>
    <cellStyle name="Comma 2" xfId="93"/>
    <cellStyle name="Comma 2 10" xfId="94"/>
    <cellStyle name="Comma 2 2" xfId="95"/>
    <cellStyle name="Comma 2 2 2" xfId="96"/>
    <cellStyle name="Comma 2 2 2 2" xfId="97"/>
    <cellStyle name="Comma 2 2 3" xfId="98"/>
    <cellStyle name="Comma 2 2 4" xfId="99"/>
    <cellStyle name="Comma 2 2 5" xfId="100"/>
    <cellStyle name="Comma 2 2 6" xfId="101"/>
    <cellStyle name="Comma 2 2 6 2" xfId="639"/>
    <cellStyle name="Comma 2 2 7" xfId="102"/>
    <cellStyle name="Comma 2 2 8" xfId="640"/>
    <cellStyle name="Comma 2 3" xfId="103"/>
    <cellStyle name="Comma 2 3 2" xfId="104"/>
    <cellStyle name="Comma 2 3 3" xfId="666"/>
    <cellStyle name="Comma 2 4" xfId="105"/>
    <cellStyle name="Comma 2 4 2" xfId="667"/>
    <cellStyle name="Comma 2 4 3" xfId="668"/>
    <cellStyle name="Comma 2 5" xfId="106"/>
    <cellStyle name="Comma 2 5 2" xfId="669"/>
    <cellStyle name="Comma 2 5 3" xfId="670"/>
    <cellStyle name="Comma 2 6" xfId="107"/>
    <cellStyle name="Comma 2 6 2" xfId="671"/>
    <cellStyle name="Comma 2 6 3" xfId="672"/>
    <cellStyle name="Comma 2 7" xfId="108"/>
    <cellStyle name="Comma 2 8" xfId="109"/>
    <cellStyle name="Comma 2 9" xfId="110"/>
    <cellStyle name="Comma 2_NL T12" xfId="673"/>
    <cellStyle name="Comma 20" xfId="111"/>
    <cellStyle name="Comma 21" xfId="112"/>
    <cellStyle name="Comma 21 2" xfId="113"/>
    <cellStyle name="Comma 21 3" xfId="674"/>
    <cellStyle name="Comma 21 4" xfId="675"/>
    <cellStyle name="Comma 22" xfId="630"/>
    <cellStyle name="Comma 23" xfId="649"/>
    <cellStyle name="Comma 24" xfId="676"/>
    <cellStyle name="Comma 25" xfId="641"/>
    <cellStyle name="Comma 3" xfId="114"/>
    <cellStyle name="Comma 3 2" xfId="115"/>
    <cellStyle name="Comma 3 2 2" xfId="677"/>
    <cellStyle name="Comma 3 2 3" xfId="678"/>
    <cellStyle name="Comma 3 2 4" xfId="679"/>
    <cellStyle name="Comma 3 2 5" xfId="680"/>
    <cellStyle name="Comma 3 3" xfId="116"/>
    <cellStyle name="Comma 3 4" xfId="117"/>
    <cellStyle name="Comma 3 5" xfId="118"/>
    <cellStyle name="Comma 3 6" xfId="119"/>
    <cellStyle name="Comma 3 7" xfId="637"/>
    <cellStyle name="Comma 3_BÓN PHÂN  2016" xfId="681"/>
    <cellStyle name="Comma 4" xfId="120"/>
    <cellStyle name="Comma 4 2" xfId="121"/>
    <cellStyle name="Comma 4 2 2" xfId="682"/>
    <cellStyle name="Comma 4 2 3" xfId="683"/>
    <cellStyle name="Comma 4 3" xfId="122"/>
    <cellStyle name="Comma 4 3 2" xfId="684"/>
    <cellStyle name="Comma 4 3 3" xfId="685"/>
    <cellStyle name="Comma 4 4" xfId="686"/>
    <cellStyle name="Comma 4 5" xfId="687"/>
    <cellStyle name="Comma 5" xfId="123"/>
    <cellStyle name="Comma 5 2" xfId="688"/>
    <cellStyle name="Comma 5 3" xfId="689"/>
    <cellStyle name="Comma 6" xfId="124"/>
    <cellStyle name="Comma 6 2" xfId="125"/>
    <cellStyle name="Comma 6 3" xfId="690"/>
    <cellStyle name="Comma 7" xfId="126"/>
    <cellStyle name="Comma 7 2" xfId="691"/>
    <cellStyle name="Comma 7 3" xfId="692"/>
    <cellStyle name="Comma 8" xfId="127"/>
    <cellStyle name="Comma 8 2" xfId="128"/>
    <cellStyle name="Comma 8 2 2" xfId="693"/>
    <cellStyle name="Comma 8 2 3" xfId="694"/>
    <cellStyle name="Comma 8 3" xfId="129"/>
    <cellStyle name="Comma 8 3 2" xfId="695"/>
    <cellStyle name="Comma 8 3 3" xfId="696"/>
    <cellStyle name="Comma 8 4" xfId="130"/>
    <cellStyle name="Comma 8 4 2" xfId="697"/>
    <cellStyle name="Comma 8 4 3" xfId="698"/>
    <cellStyle name="Comma 8 5" xfId="699"/>
    <cellStyle name="Comma 8 6" xfId="700"/>
    <cellStyle name="Comma 9" xfId="131"/>
    <cellStyle name="Comma 9 2" xfId="701"/>
    <cellStyle name="Comma 9 3" xfId="702"/>
    <cellStyle name="Comma_Sheet1" xfId="132"/>
    <cellStyle name="Comma_Sheet1 2" xfId="628"/>
    <cellStyle name="Comma0" xfId="133"/>
    <cellStyle name="Comma0 2" xfId="632"/>
    <cellStyle name="Copied" xfId="134"/>
    <cellStyle name="Currency 10" xfId="135"/>
    <cellStyle name="Currency 2" xfId="136"/>
    <cellStyle name="Currency 3" xfId="137"/>
    <cellStyle name="Currency 3 2" xfId="138"/>
    <cellStyle name="Currency 4" xfId="139"/>
    <cellStyle name="Currency 4 2" xfId="140"/>
    <cellStyle name="Currency 5" xfId="141"/>
    <cellStyle name="Currency 5 2" xfId="142"/>
    <cellStyle name="Currency 6" xfId="143"/>
    <cellStyle name="Currency 7" xfId="144"/>
    <cellStyle name="Currency 8" xfId="145"/>
    <cellStyle name="Currency 8 2" xfId="146"/>
    <cellStyle name="Currency 9" xfId="147"/>
    <cellStyle name="Currency0" xfId="148"/>
    <cellStyle name="Currency0 2" xfId="633"/>
    <cellStyle name="Check Cell 2" xfId="72"/>
    <cellStyle name="Check Cell 3" xfId="73"/>
    <cellStyle name="Date" xfId="149"/>
    <cellStyle name="Date 2" xfId="634"/>
    <cellStyle name="Dấu_phảy 2" xfId="635"/>
    <cellStyle name="Dezimal [0]_NEGS" xfId="150"/>
    <cellStyle name="Dezimal_NEGS" xfId="151"/>
    <cellStyle name="Entered" xfId="152"/>
    <cellStyle name="Explanatory Text 2" xfId="153"/>
    <cellStyle name="Explanatory Text 3" xfId="154"/>
    <cellStyle name="Fixed" xfId="155"/>
    <cellStyle name="Fixed 2" xfId="636"/>
    <cellStyle name="Good 2" xfId="156"/>
    <cellStyle name="Good 3" xfId="157"/>
    <cellStyle name="Grey" xfId="158"/>
    <cellStyle name="Head 1" xfId="159"/>
    <cellStyle name="Header1" xfId="160"/>
    <cellStyle name="Header2" xfId="161"/>
    <cellStyle name="Heading 1 2" xfId="162"/>
    <cellStyle name="Heading 1 3" xfId="163"/>
    <cellStyle name="Heading 2 2" xfId="164"/>
    <cellStyle name="Heading 2 3" xfId="165"/>
    <cellStyle name="Heading 3 2" xfId="166"/>
    <cellStyle name="Heading 3 3" xfId="167"/>
    <cellStyle name="Heading 4 2" xfId="168"/>
    <cellStyle name="Heading 4 3" xfId="169"/>
    <cellStyle name="HEADINGS" xfId="170"/>
    <cellStyle name="HEADINGSTOP" xfId="171"/>
    <cellStyle name="Hoa-Scholl" xfId="703"/>
    <cellStyle name="Hyperlink 2" xfId="172"/>
    <cellStyle name="Hyperlink 2 2" xfId="173"/>
    <cellStyle name="Hyperlink 3" xfId="174"/>
    <cellStyle name="Hyperlink 4" xfId="175"/>
    <cellStyle name="Hyperlink 5" xfId="176"/>
    <cellStyle name="Input [yellow]" xfId="177"/>
    <cellStyle name="Input 2" xfId="178"/>
    <cellStyle name="Input 2 2" xfId="179"/>
    <cellStyle name="Input 3" xfId="180"/>
    <cellStyle name="Linked Cell 2" xfId="181"/>
    <cellStyle name="Linked Cell 3" xfId="182"/>
    <cellStyle name="Milliers [0]_      " xfId="183"/>
    <cellStyle name="Milliers_      " xfId="184"/>
    <cellStyle name="Monétaire [0]_      " xfId="185"/>
    <cellStyle name="Monétaire_      " xfId="186"/>
    <cellStyle name="Neutral 2" xfId="187"/>
    <cellStyle name="Neutral 3" xfId="188"/>
    <cellStyle name="Normal" xfId="0" builtinId="0"/>
    <cellStyle name="Normal - Style1" xfId="189"/>
    <cellStyle name="Normal 10" xfId="190"/>
    <cellStyle name="Normal 10 2" xfId="191"/>
    <cellStyle name="Normal 10 3" xfId="651"/>
    <cellStyle name="Normal 11" xfId="192"/>
    <cellStyle name="Normal 11 2" xfId="193"/>
    <cellStyle name="Normal 11 3" xfId="194"/>
    <cellStyle name="Normal 12" xfId="195"/>
    <cellStyle name="Normal 12 2" xfId="196"/>
    <cellStyle name="Normal 12 2 2" xfId="197"/>
    <cellStyle name="Normal 12 3" xfId="198"/>
    <cellStyle name="Normal 12 4" xfId="199"/>
    <cellStyle name="Normal 13" xfId="200"/>
    <cellStyle name="Normal 13 2" xfId="201"/>
    <cellStyle name="Normal 14" xfId="202"/>
    <cellStyle name="Normal 15" xfId="203"/>
    <cellStyle name="Normal 15 2" xfId="204"/>
    <cellStyle name="Normal 15 3" xfId="205"/>
    <cellStyle name="Normal 154" xfId="206"/>
    <cellStyle name="Normal 155" xfId="207"/>
    <cellStyle name="Normal 157" xfId="208"/>
    <cellStyle name="Normal 159" xfId="209"/>
    <cellStyle name="Normal 16" xfId="210"/>
    <cellStyle name="Normal 16 2" xfId="704"/>
    <cellStyle name="Normal 160" xfId="211"/>
    <cellStyle name="Normal 161" xfId="212"/>
    <cellStyle name="Normal 163" xfId="213"/>
    <cellStyle name="Normal 164" xfId="214"/>
    <cellStyle name="Normal 165" xfId="215"/>
    <cellStyle name="Normal 166" xfId="216"/>
    <cellStyle name="Normal 167" xfId="217"/>
    <cellStyle name="Normal 168" xfId="218"/>
    <cellStyle name="Normal 169" xfId="219"/>
    <cellStyle name="Normal 17" xfId="220"/>
    <cellStyle name="Normal 170" xfId="221"/>
    <cellStyle name="Normal 171" xfId="222"/>
    <cellStyle name="Normal 172" xfId="223"/>
    <cellStyle name="Normal 173" xfId="224"/>
    <cellStyle name="Normal 174" xfId="225"/>
    <cellStyle name="Normal 175" xfId="226"/>
    <cellStyle name="Normal 176" xfId="227"/>
    <cellStyle name="Normal 177" xfId="228"/>
    <cellStyle name="Normal 178" xfId="229"/>
    <cellStyle name="Normal 179" xfId="230"/>
    <cellStyle name="Normal 18" xfId="231"/>
    <cellStyle name="Normal 180" xfId="232"/>
    <cellStyle name="Normal 181" xfId="233"/>
    <cellStyle name="Normal 182" xfId="234"/>
    <cellStyle name="Normal 183" xfId="235"/>
    <cellStyle name="Normal 184" xfId="236"/>
    <cellStyle name="Normal 185" xfId="237"/>
    <cellStyle name="Normal 186" xfId="238"/>
    <cellStyle name="Normal 187" xfId="239"/>
    <cellStyle name="Normal 188" xfId="240"/>
    <cellStyle name="Normal 189" xfId="241"/>
    <cellStyle name="Normal 19" xfId="242"/>
    <cellStyle name="Normal 190" xfId="243"/>
    <cellStyle name="Normal 191" xfId="244"/>
    <cellStyle name="Normal 192" xfId="245"/>
    <cellStyle name="Normal 193" xfId="246"/>
    <cellStyle name="Normal 194" xfId="247"/>
    <cellStyle name="Normal 195" xfId="248"/>
    <cellStyle name="Normal 196" xfId="249"/>
    <cellStyle name="Normal 2" xfId="250"/>
    <cellStyle name="Normal 2 10" xfId="251"/>
    <cellStyle name="Normal 2 11" xfId="252"/>
    <cellStyle name="Normal 2 12" xfId="631"/>
    <cellStyle name="Normal 2 2" xfId="253"/>
    <cellStyle name="Normal 2 2 10" xfId="254"/>
    <cellStyle name="Normal 2 2 11" xfId="255"/>
    <cellStyle name="Normal 2 2 12" xfId="256"/>
    <cellStyle name="Normal 2 2 13" xfId="642"/>
    <cellStyle name="Normal 2 2 2" xfId="257"/>
    <cellStyle name="Normal 2 2 2 2" xfId="258"/>
    <cellStyle name="Normal 2 2 2 2 2" xfId="259"/>
    <cellStyle name="Normal 2 2 2 2 2 2" xfId="260"/>
    <cellStyle name="Normal 2 2 2 2 2 2 2" xfId="261"/>
    <cellStyle name="Normal 2 2 2 2 2 2 2 2" xfId="262"/>
    <cellStyle name="Normal 2 2 2 2 2 2 2 2 2" xfId="263"/>
    <cellStyle name="Normal 2 2 2 2 2 2 2 2 2 2" xfId="264"/>
    <cellStyle name="Normal 2 2 2 2 2 2 2 2 2 2 2" xfId="265"/>
    <cellStyle name="Normal 2 2 2 2 2 2 2 2 3" xfId="266"/>
    <cellStyle name="Normal 2 2 2 2 2 2 2 2 4" xfId="267"/>
    <cellStyle name="Normal 2 2 2 2 2 2 2 3" xfId="268"/>
    <cellStyle name="Normal 2 2 2 2 2 2 2 3 2" xfId="269"/>
    <cellStyle name="Normal 2 2 2 2 2 2 2 3 2 2" xfId="270"/>
    <cellStyle name="Normal 2 2 2 2 2 2 2 4" xfId="271"/>
    <cellStyle name="Normal 2 2 2 2 2 2 3" xfId="272"/>
    <cellStyle name="Normal 2 2 2 2 2 2 4" xfId="273"/>
    <cellStyle name="Normal 2 2 2 2 2 2 4 2" xfId="274"/>
    <cellStyle name="Normal 2 2 2 2 2 2 4 2 2" xfId="275"/>
    <cellStyle name="Normal 2 2 2 2 2 2 5" xfId="276"/>
    <cellStyle name="Normal 2 2 2 2 2 2 6" xfId="277"/>
    <cellStyle name="Normal 2 2 2 2 2 3" xfId="278"/>
    <cellStyle name="Normal 2 2 2 2 2 3 2" xfId="279"/>
    <cellStyle name="Normal 2 2 2 2 2 3 2 2" xfId="280"/>
    <cellStyle name="Normal 2 2 2 2 2 3 2 2 2" xfId="281"/>
    <cellStyle name="Normal 2 2 2 2 2 3 2 2 2 2" xfId="282"/>
    <cellStyle name="Normal 2 2 2 2 2 3 2 3" xfId="283"/>
    <cellStyle name="Normal 2 2 2 2 2 3 2 4" xfId="284"/>
    <cellStyle name="Normal 2 2 2 2 2 3 3" xfId="285"/>
    <cellStyle name="Normal 2 2 2 2 2 3 3 2" xfId="286"/>
    <cellStyle name="Normal 2 2 2 2 2 3 3 2 2" xfId="287"/>
    <cellStyle name="Normal 2 2 2 2 2 3 4" xfId="288"/>
    <cellStyle name="Normal 2 2 2 2 2 4" xfId="289"/>
    <cellStyle name="Normal 2 2 2 2 2 4 2" xfId="290"/>
    <cellStyle name="Normal 2 2 2 2 2 4 2 2" xfId="291"/>
    <cellStyle name="Normal 2 2 2 2 2 5" xfId="292"/>
    <cellStyle name="Normal 2 2 2 2 2 6" xfId="293"/>
    <cellStyle name="Normal 2 2 2 2 3" xfId="294"/>
    <cellStyle name="Normal 2 2 2 2 3 2" xfId="295"/>
    <cellStyle name="Normal 2 2 2 2 3 2 2" xfId="296"/>
    <cellStyle name="Normal 2 2 2 2 3 2 2 2" xfId="297"/>
    <cellStyle name="Normal 2 2 2 2 3 2 2 2 2" xfId="298"/>
    <cellStyle name="Normal 2 2 2 2 3 2 3" xfId="299"/>
    <cellStyle name="Normal 2 2 2 2 3 2 4" xfId="300"/>
    <cellStyle name="Normal 2 2 2 2 3 3" xfId="301"/>
    <cellStyle name="Normal 2 2 2 2 3 3 2" xfId="302"/>
    <cellStyle name="Normal 2 2 2 2 3 3 2 2" xfId="303"/>
    <cellStyle name="Normal 2 2 2 2 3 4" xfId="304"/>
    <cellStyle name="Normal 2 2 2 2 4" xfId="305"/>
    <cellStyle name="Normal 2 2 2 2 5" xfId="306"/>
    <cellStyle name="Normal 2 2 2 2 5 2" xfId="307"/>
    <cellStyle name="Normal 2 2 2 2 5 2 2" xfId="308"/>
    <cellStyle name="Normal 2 2 2 2 6" xfId="309"/>
    <cellStyle name="Normal 2 2 2 2 7" xfId="310"/>
    <cellStyle name="Normal 2 2 2 3" xfId="311"/>
    <cellStyle name="Normal 2 2 2 3 2" xfId="312"/>
    <cellStyle name="Normal 2 2 2 3 2 2" xfId="313"/>
    <cellStyle name="Normal 2 2 2 3 2 2 2" xfId="314"/>
    <cellStyle name="Normal 2 2 2 3 2 2 2 2" xfId="315"/>
    <cellStyle name="Normal 2 2 2 3 2 2 2 2 2" xfId="316"/>
    <cellStyle name="Normal 2 2 2 3 2 2 3" xfId="317"/>
    <cellStyle name="Normal 2 2 2 3 2 2 4" xfId="318"/>
    <cellStyle name="Normal 2 2 2 3 2 3" xfId="319"/>
    <cellStyle name="Normal 2 2 2 3 2 3 2" xfId="320"/>
    <cellStyle name="Normal 2 2 2 3 2 3 2 2" xfId="321"/>
    <cellStyle name="Normal 2 2 2 3 2 4" xfId="322"/>
    <cellStyle name="Normal 2 2 2 3 3" xfId="323"/>
    <cellStyle name="Normal 2 2 2 3 4" xfId="324"/>
    <cellStyle name="Normal 2 2 2 3 4 2" xfId="325"/>
    <cellStyle name="Normal 2 2 2 3 4 2 2" xfId="326"/>
    <cellStyle name="Normal 2 2 2 3 5" xfId="327"/>
    <cellStyle name="Normal 2 2 2 3 6" xfId="328"/>
    <cellStyle name="Normal 2 2 2 4" xfId="329"/>
    <cellStyle name="Normal 2 2 2 4 2" xfId="330"/>
    <cellStyle name="Normal 2 2 2 4 2 2" xfId="331"/>
    <cellStyle name="Normal 2 2 2 4 2 2 2" xfId="332"/>
    <cellStyle name="Normal 2 2 2 4 2 2 2 2" xfId="333"/>
    <cellStyle name="Normal 2 2 2 4 2 3" xfId="334"/>
    <cellStyle name="Normal 2 2 2 4 2 4" xfId="335"/>
    <cellStyle name="Normal 2 2 2 4 3" xfId="336"/>
    <cellStyle name="Normal 2 2 2 4 3 2" xfId="337"/>
    <cellStyle name="Normal 2 2 2 4 3 2 2" xfId="338"/>
    <cellStyle name="Normal 2 2 2 4 4" xfId="339"/>
    <cellStyle name="Normal 2 2 2 5" xfId="340"/>
    <cellStyle name="Normal 2 2 2 5 2" xfId="341"/>
    <cellStyle name="Normal 2 2 2 5 2 2" xfId="342"/>
    <cellStyle name="Normal 2 2 2 6" xfId="343"/>
    <cellStyle name="Normal 2 2 2 7" xfId="344"/>
    <cellStyle name="Normal 2 2 3" xfId="345"/>
    <cellStyle name="Normal 2 2 3 2" xfId="346"/>
    <cellStyle name="Normal 2 2 3 2 2" xfId="347"/>
    <cellStyle name="Normal 2 2 3 2 2 2" xfId="348"/>
    <cellStyle name="Normal 2 2 3 2 2 2 2" xfId="349"/>
    <cellStyle name="Normal 2 2 3 2 2 2 2 2" xfId="350"/>
    <cellStyle name="Normal 2 2 3 2 2 2 2 2 2" xfId="351"/>
    <cellStyle name="Normal 2 2 3 2 2 2 3" xfId="352"/>
    <cellStyle name="Normal 2 2 3 2 2 2 4" xfId="353"/>
    <cellStyle name="Normal 2 2 3 2 2 3" xfId="354"/>
    <cellStyle name="Normal 2 2 3 2 2 3 2" xfId="355"/>
    <cellStyle name="Normal 2 2 3 2 2 3 2 2" xfId="356"/>
    <cellStyle name="Normal 2 2 3 2 2 4" xfId="357"/>
    <cellStyle name="Normal 2 2 3 2 3" xfId="358"/>
    <cellStyle name="Normal 2 2 3 2 4" xfId="359"/>
    <cellStyle name="Normal 2 2 3 2 4 2" xfId="360"/>
    <cellStyle name="Normal 2 2 3 2 4 2 2" xfId="361"/>
    <cellStyle name="Normal 2 2 3 2 5" xfId="362"/>
    <cellStyle name="Normal 2 2 3 2 6" xfId="363"/>
    <cellStyle name="Normal 2 2 3 3" xfId="364"/>
    <cellStyle name="Normal 2 2 3 3 2" xfId="365"/>
    <cellStyle name="Normal 2 2 3 3 2 2" xfId="366"/>
    <cellStyle name="Normal 2 2 3 3 2 2 2" xfId="367"/>
    <cellStyle name="Normal 2 2 3 3 2 2 2 2" xfId="368"/>
    <cellStyle name="Normal 2 2 3 3 2 3" xfId="369"/>
    <cellStyle name="Normal 2 2 3 3 2 4" xfId="370"/>
    <cellStyle name="Normal 2 2 3 3 3" xfId="371"/>
    <cellStyle name="Normal 2 2 3 3 3 2" xfId="372"/>
    <cellStyle name="Normal 2 2 3 3 3 2 2" xfId="373"/>
    <cellStyle name="Normal 2 2 3 3 4" xfId="374"/>
    <cellStyle name="Normal 2 2 3 4" xfId="375"/>
    <cellStyle name="Normal 2 2 3 4 2" xfId="376"/>
    <cellStyle name="Normal 2 2 3 4 2 2" xfId="377"/>
    <cellStyle name="Normal 2 2 3 5" xfId="378"/>
    <cellStyle name="Normal 2 2 3 6" xfId="379"/>
    <cellStyle name="Normal 2 2 4" xfId="380"/>
    <cellStyle name="Normal 2 2 4 2" xfId="381"/>
    <cellStyle name="Normal 2 2 4 2 2" xfId="382"/>
    <cellStyle name="Normal 2 2 4 2 2 2" xfId="383"/>
    <cellStyle name="Normal 2 2 4 2 2 2 2" xfId="384"/>
    <cellStyle name="Normal 2 2 4 2 3" xfId="385"/>
    <cellStyle name="Normal 2 2 4 2 4" xfId="386"/>
    <cellStyle name="Normal 2 2 4 3" xfId="387"/>
    <cellStyle name="Normal 2 2 4 3 2" xfId="388"/>
    <cellStyle name="Normal 2 2 4 3 2 2" xfId="389"/>
    <cellStyle name="Normal 2 2 4 4" xfId="390"/>
    <cellStyle name="Normal 2 2 5" xfId="391"/>
    <cellStyle name="Normal 2 2 5 2" xfId="392"/>
    <cellStyle name="Normal 2 2 6" xfId="393"/>
    <cellStyle name="Normal 2 2 6 2" xfId="394"/>
    <cellStyle name="Normal 2 2 6 2 2" xfId="395"/>
    <cellStyle name="Normal 2 2 7" xfId="396"/>
    <cellStyle name="Normal 2 2 8" xfId="397"/>
    <cellStyle name="Normal 2 2 9" xfId="398"/>
    <cellStyle name="Normal 2 2_BAO CAO 0 GIO 2016 HOÀI" xfId="399"/>
    <cellStyle name="Normal 2 21" xfId="400"/>
    <cellStyle name="Normal 2 3" xfId="401"/>
    <cellStyle name="Normal 2 3 2" xfId="402"/>
    <cellStyle name="Normal 2 3 2 2" xfId="403"/>
    <cellStyle name="Normal 2 3 2 2 2" xfId="404"/>
    <cellStyle name="Normal 2 3 2 2 2 2" xfId="405"/>
    <cellStyle name="Normal 2 3 2 2 2 2 2" xfId="406"/>
    <cellStyle name="Normal 2 3 2 2 2 2 2 2" xfId="407"/>
    <cellStyle name="Normal 2 3 2 2 2 2 2 2 2" xfId="408"/>
    <cellStyle name="Normal 2 3 2 2 2 2 3" xfId="409"/>
    <cellStyle name="Normal 2 3 2 2 2 2 4" xfId="410"/>
    <cellStyle name="Normal 2 3 2 2 2 3" xfId="411"/>
    <cellStyle name="Normal 2 3 2 2 2 3 2" xfId="412"/>
    <cellStyle name="Normal 2 3 2 2 2 3 2 2" xfId="413"/>
    <cellStyle name="Normal 2 3 2 2 2 4" xfId="414"/>
    <cellStyle name="Normal 2 3 2 2 3" xfId="415"/>
    <cellStyle name="Normal 2 3 2 2 4" xfId="416"/>
    <cellStyle name="Normal 2 3 2 2 4 2" xfId="417"/>
    <cellStyle name="Normal 2 3 2 2 4 2 2" xfId="418"/>
    <cellStyle name="Normal 2 3 2 2 5" xfId="419"/>
    <cellStyle name="Normal 2 3 2 2 6" xfId="420"/>
    <cellStyle name="Normal 2 3 2 3" xfId="421"/>
    <cellStyle name="Normal 2 3 2 3 2" xfId="422"/>
    <cellStyle name="Normal 2 3 2 3 2 2" xfId="423"/>
    <cellStyle name="Normal 2 3 2 3 2 2 2" xfId="424"/>
    <cellStyle name="Normal 2 3 2 3 2 2 2 2" xfId="425"/>
    <cellStyle name="Normal 2 3 2 3 2 3" xfId="426"/>
    <cellStyle name="Normal 2 3 2 3 2 4" xfId="427"/>
    <cellStyle name="Normal 2 3 2 3 3" xfId="428"/>
    <cellStyle name="Normal 2 3 2 3 3 2" xfId="429"/>
    <cellStyle name="Normal 2 3 2 3 3 2 2" xfId="430"/>
    <cellStyle name="Normal 2 3 2 3 4" xfId="431"/>
    <cellStyle name="Normal 2 3 2 4" xfId="432"/>
    <cellStyle name="Normal 2 3 2 4 2" xfId="433"/>
    <cellStyle name="Normal 2 3 2 4 2 2" xfId="434"/>
    <cellStyle name="Normal 2 3 2 5" xfId="435"/>
    <cellStyle name="Normal 2 3 2 6" xfId="436"/>
    <cellStyle name="Normal 2 3 3" xfId="437"/>
    <cellStyle name="Normal 2 3 3 2" xfId="438"/>
    <cellStyle name="Normal 2 3 3 2 2" xfId="439"/>
    <cellStyle name="Normal 2 3 3 2 2 2" xfId="440"/>
    <cellStyle name="Normal 2 3 3 2 2 2 2" xfId="441"/>
    <cellStyle name="Normal 2 3 3 2 3" xfId="442"/>
    <cellStyle name="Normal 2 3 3 2 4" xfId="443"/>
    <cellStyle name="Normal 2 3 3 3" xfId="444"/>
    <cellStyle name="Normal 2 3 3 3 2" xfId="445"/>
    <cellStyle name="Normal 2 3 3 3 2 2" xfId="446"/>
    <cellStyle name="Normal 2 3 3 4" xfId="447"/>
    <cellStyle name="Normal 2 3 4" xfId="448"/>
    <cellStyle name="Normal 2 3 5" xfId="449"/>
    <cellStyle name="Normal 2 3 5 2" xfId="450"/>
    <cellStyle name="Normal 2 3 5 2 2" xfId="451"/>
    <cellStyle name="Normal 2 3 6" xfId="452"/>
    <cellStyle name="Normal 2 3 7" xfId="453"/>
    <cellStyle name="Normal 2 4" xfId="454"/>
    <cellStyle name="Normal 2 4 2" xfId="455"/>
    <cellStyle name="Normal 2 4 2 2" xfId="456"/>
    <cellStyle name="Normal 2 4 2 2 2" xfId="457"/>
    <cellStyle name="Normal 2 4 2 2 2 2" xfId="458"/>
    <cellStyle name="Normal 2 4 2 2 2 2 2" xfId="459"/>
    <cellStyle name="Normal 2 4 2 2 3" xfId="460"/>
    <cellStyle name="Normal 2 4 2 2 4" xfId="461"/>
    <cellStyle name="Normal 2 4 2 3" xfId="462"/>
    <cellStyle name="Normal 2 4 2 3 2" xfId="463"/>
    <cellStyle name="Normal 2 4 2 3 2 2" xfId="464"/>
    <cellStyle name="Normal 2 4 2 4" xfId="465"/>
    <cellStyle name="Normal 2 4 3" xfId="466"/>
    <cellStyle name="Normal 2 4 4" xfId="467"/>
    <cellStyle name="Normal 2 4 4 2" xfId="468"/>
    <cellStyle name="Normal 2 4 4 2 2" xfId="469"/>
    <cellStyle name="Normal 2 4 5" xfId="470"/>
    <cellStyle name="Normal 2 4 6" xfId="471"/>
    <cellStyle name="Normal 2 5" xfId="472"/>
    <cellStyle name="Normal 2 5 2" xfId="473"/>
    <cellStyle name="Normal 2 5 2 2" xfId="474"/>
    <cellStyle name="Normal 2 5 2 2 2" xfId="475"/>
    <cellStyle name="Normal 2 5 2 2 2 2" xfId="476"/>
    <cellStyle name="Normal 2 5 2 3" xfId="477"/>
    <cellStyle name="Normal 2 5 2 4" xfId="478"/>
    <cellStyle name="Normal 2 5 3" xfId="479"/>
    <cellStyle name="Normal 2 5 3 2" xfId="480"/>
    <cellStyle name="Normal 2 5 3 2 2" xfId="481"/>
    <cellStyle name="Normal 2 5 4" xfId="482"/>
    <cellStyle name="Normal 2 6" xfId="483"/>
    <cellStyle name="Normal 2 6 2" xfId="484"/>
    <cellStyle name="Normal 2 6 2 2" xfId="485"/>
    <cellStyle name="Normal 2 7" xfId="486"/>
    <cellStyle name="Normal 2 8" xfId="487"/>
    <cellStyle name="Normal 2 9" xfId="488"/>
    <cellStyle name="Normal 2_BAO CAO VAT TU KHAI THAC TO7" xfId="705"/>
    <cellStyle name="Normal 20" xfId="489"/>
    <cellStyle name="Normal 20 2" xfId="650"/>
    <cellStyle name="Normal 21" xfId="490"/>
    <cellStyle name="Normal 22" xfId="491"/>
    <cellStyle name="Normal 23" xfId="492"/>
    <cellStyle name="Normal 24" xfId="493"/>
    <cellStyle name="Normal 25" xfId="494"/>
    <cellStyle name="Normal 25 2" xfId="495"/>
    <cellStyle name="Normal 26" xfId="496"/>
    <cellStyle name="Normal 26 2" xfId="643"/>
    <cellStyle name="Normal 27" xfId="626"/>
    <cellStyle name="Normal 28" xfId="638"/>
    <cellStyle name="Normal 29" xfId="647"/>
    <cellStyle name="Normal 3" xfId="497"/>
    <cellStyle name="Normal 3 10" xfId="498"/>
    <cellStyle name="Normal 3 2" xfId="499"/>
    <cellStyle name="Normal 3 2 2" xfId="500"/>
    <cellStyle name="Normal 3 2 2 2" xfId="501"/>
    <cellStyle name="Normal 3 2 3" xfId="502"/>
    <cellStyle name="Normal 3 2 4" xfId="503"/>
    <cellStyle name="Normal 3 3" xfId="504"/>
    <cellStyle name="Normal 3 3 2" xfId="505"/>
    <cellStyle name="Normal 3 4" xfId="506"/>
    <cellStyle name="Normal 3 4 2" xfId="507"/>
    <cellStyle name="Normal 3 5" xfId="508"/>
    <cellStyle name="Normal 3 6" xfId="509"/>
    <cellStyle name="Normal 3 7" xfId="510"/>
    <cellStyle name="Normal 3 8" xfId="511"/>
    <cellStyle name="Normal 3 9" xfId="512"/>
    <cellStyle name="Normal 3_BAO CAO 0 GIO 2016 HOÀI" xfId="513"/>
    <cellStyle name="Normal 38" xfId="514"/>
    <cellStyle name="Normal 4" xfId="515"/>
    <cellStyle name="Normal 4 10" xfId="645"/>
    <cellStyle name="Normal 4 2" xfId="516"/>
    <cellStyle name="Normal 4 2 2" xfId="517"/>
    <cellStyle name="Normal 4 2 2 2" xfId="518"/>
    <cellStyle name="Normal 4 2 3" xfId="519"/>
    <cellStyle name="Normal 4 2 4" xfId="520"/>
    <cellStyle name="Normal 4 2 5" xfId="648"/>
    <cellStyle name="Normal 4 3" xfId="521"/>
    <cellStyle name="Normal 4 3 2" xfId="522"/>
    <cellStyle name="Normal 4 4" xfId="523"/>
    <cellStyle name="Normal 4 4 2" xfId="524"/>
    <cellStyle name="Normal 4 5" xfId="525"/>
    <cellStyle name="Normal 4 6" xfId="526"/>
    <cellStyle name="Normal 4 7" xfId="527"/>
    <cellStyle name="Normal 4 7 2" xfId="528"/>
    <cellStyle name="Normal 4 8" xfId="529"/>
    <cellStyle name="Normal 4 9" xfId="530"/>
    <cellStyle name="Normal 4_BAO CAO 0 GIO 2016 HOÀI" xfId="531"/>
    <cellStyle name="Normal 45" xfId="532"/>
    <cellStyle name="Normal 5" xfId="533"/>
    <cellStyle name="Normal 5 2" xfId="534"/>
    <cellStyle name="Normal 5 2 2" xfId="535"/>
    <cellStyle name="Normal 5 3" xfId="536"/>
    <cellStyle name="Normal 5 4" xfId="537"/>
    <cellStyle name="Normal 5 5" xfId="538"/>
    <cellStyle name="Normal 5 6" xfId="539"/>
    <cellStyle name="Normal 5 7" xfId="540"/>
    <cellStyle name="Normal 6" xfId="541"/>
    <cellStyle name="Normal 6 2" xfId="542"/>
    <cellStyle name="Normal 6 2 2" xfId="543"/>
    <cellStyle name="Normal 6 2 3" xfId="544"/>
    <cellStyle name="Normal 6 3" xfId="545"/>
    <cellStyle name="Normal 6 4" xfId="546"/>
    <cellStyle name="Normal 6 5" xfId="547"/>
    <cellStyle name="Normal 6 6" xfId="548"/>
    <cellStyle name="Normal 7" xfId="549"/>
    <cellStyle name="Normal 7 2" xfId="550"/>
    <cellStyle name="Normal 7 3" xfId="551"/>
    <cellStyle name="Normal 7 4" xfId="552"/>
    <cellStyle name="Normal 7 5" xfId="553"/>
    <cellStyle name="Normal 8" xfId="554"/>
    <cellStyle name="Normal 8 2" xfId="555"/>
    <cellStyle name="Normal 8 2 2" xfId="556"/>
    <cellStyle name="Normal 8 3" xfId="557"/>
    <cellStyle name="Normal 9" xfId="558"/>
    <cellStyle name="Normal 9 2" xfId="559"/>
    <cellStyle name="Normal 9_BAO CAO 0 GIO 2016 HOÀI" xfId="560"/>
    <cellStyle name="Normal_KE HOACH SAN XUAT HANG THANG NAM 2016" xfId="561"/>
    <cellStyle name="Normal_KE HOACH SAN XUAT HANG THANG NAM 2016 2" xfId="646"/>
    <cellStyle name="Normal_Sheet1" xfId="562"/>
    <cellStyle name="Normal_Sheet1 2" xfId="563"/>
    <cellStyle name="Normal_Sheet1 3" xfId="627"/>
    <cellStyle name="Normal_Sheet1 4" xfId="644"/>
    <cellStyle name="Normal_VV GUI" xfId="564"/>
    <cellStyle name="Note 2" xfId="565"/>
    <cellStyle name="Note 2 2" xfId="566"/>
    <cellStyle name="Note 2 3" xfId="567"/>
    <cellStyle name="Note 3" xfId="568"/>
    <cellStyle name="Output 2" xfId="569"/>
    <cellStyle name="Output 2 2" xfId="570"/>
    <cellStyle name="Output 3" xfId="571"/>
    <cellStyle name="per.style" xfId="572"/>
    <cellStyle name="Percent" xfId="2" builtinId="5"/>
    <cellStyle name="Percent [2]" xfId="573"/>
    <cellStyle name="Percent 10" xfId="574"/>
    <cellStyle name="Percent 11" xfId="575"/>
    <cellStyle name="Percent 12" xfId="576"/>
    <cellStyle name="Percent 13" xfId="577"/>
    <cellStyle name="Percent 14" xfId="629"/>
    <cellStyle name="Percent 2" xfId="578"/>
    <cellStyle name="Percent 2 2" xfId="579"/>
    <cellStyle name="Percent 2 3" xfId="580"/>
    <cellStyle name="Percent 2 4" xfId="581"/>
    <cellStyle name="Percent 3" xfId="582"/>
    <cellStyle name="Percent 4" xfId="583"/>
    <cellStyle name="Percent 5" xfId="584"/>
    <cellStyle name="Percent 6" xfId="585"/>
    <cellStyle name="Percent 7" xfId="586"/>
    <cellStyle name="Percent 8" xfId="587"/>
    <cellStyle name="Percent 9" xfId="588"/>
    <cellStyle name="PERCENTAGE" xfId="589"/>
    <cellStyle name="regstoresfromspecstores" xfId="590"/>
    <cellStyle name="RevList" xfId="591"/>
    <cellStyle name="ri" xfId="592"/>
    <cellStyle name="ri 2" xfId="593"/>
    <cellStyle name="ri_tb2_1" xfId="594"/>
    <cellStyle name="SHADEDSTORES" xfId="595"/>
    <cellStyle name="specstores" xfId="596"/>
    <cellStyle name="Standard_NEGS" xfId="597"/>
    <cellStyle name="Style 1" xfId="598"/>
    <cellStyle name="Style 1 2" xfId="599"/>
    <cellStyle name="Subtotal" xfId="600"/>
    <cellStyle name="Title 2" xfId="601"/>
    <cellStyle name="Title 3" xfId="602"/>
    <cellStyle name="Total 2" xfId="603"/>
    <cellStyle name="Total 2 2" xfId="604"/>
    <cellStyle name="Total 3" xfId="605"/>
    <cellStyle name="trang" xfId="606"/>
    <cellStyle name="Warning Text 2" xfId="607"/>
    <cellStyle name="Warning Text 3" xfId="608"/>
    <cellStyle name="똿뗦먛귟 [0.00]_PRODUCT DETAIL Q1" xfId="609"/>
    <cellStyle name="똿뗦먛귟_PRODUCT DETAIL Q1" xfId="610"/>
    <cellStyle name="믅됞 [0.00]_PRODUCT DETAIL Q1" xfId="611"/>
    <cellStyle name="믅됞_PRODUCT DETAIL Q1" xfId="612"/>
    <cellStyle name="백분율_95" xfId="613"/>
    <cellStyle name="뷭?_BOOKSHIP" xfId="614"/>
    <cellStyle name="콤마 [0]_1202" xfId="615"/>
    <cellStyle name="콤마_1202" xfId="616"/>
    <cellStyle name="통화 [0]_1202" xfId="617"/>
    <cellStyle name="통화_1202" xfId="618"/>
    <cellStyle name="표준_(정보부문)월별인원계획" xfId="619"/>
    <cellStyle name="一般_Book1" xfId="620"/>
    <cellStyle name="千分位[0]_Book1" xfId="621"/>
    <cellStyle name="千分位_Book1" xfId="622"/>
    <cellStyle name="貨幣 [0]_Book1" xfId="623"/>
    <cellStyle name="貨幣_Book1" xfId="624"/>
    <cellStyle name="㼿㼿㼿㼿㼿㼿㼿㼿㼿㼿㼿㼿㼿㼿㼿㼿㼿㼿?" xfId="625"/>
  </cellStyles>
  <dxfs count="67">
    <dxf>
      <fill>
        <patternFill patternType="solid">
          <bgColor rgb="FF00B0F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8" tint="0.79989013336588644"/>
        </patternFill>
      </fill>
    </dxf>
    <dxf>
      <fill>
        <patternFill patternType="solid">
          <bgColor rgb="FFC9EFD6"/>
        </patternFill>
      </fill>
    </dxf>
    <dxf>
      <font>
        <color theme="0"/>
      </font>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externalLink" Target="externalLinks/externalLink6.xml"/><Relationship Id="rId68" Type="http://schemas.openxmlformats.org/officeDocument/2006/relationships/externalLink" Target="externalLinks/externalLink11.xml"/><Relationship Id="rId7" Type="http://schemas.openxmlformats.org/officeDocument/2006/relationships/worksheet" Target="worksheets/sheet7.xml"/><Relationship Id="rId71" Type="http://schemas.openxmlformats.org/officeDocument/2006/relationships/externalLink" Target="externalLinks/externalLink14.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externalLink" Target="externalLinks/externalLink1.xml"/><Relationship Id="rId66" Type="http://schemas.openxmlformats.org/officeDocument/2006/relationships/externalLink" Target="externalLinks/externalLink9.xml"/><Relationship Id="rId7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61" Type="http://schemas.openxmlformats.org/officeDocument/2006/relationships/externalLink" Target="externalLinks/externalLink4.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externalLink" Target="externalLinks/externalLink3.xml"/><Relationship Id="rId65" Type="http://schemas.openxmlformats.org/officeDocument/2006/relationships/externalLink" Target="externalLinks/externalLink8.xml"/><Relationship Id="rId73"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externalLink" Target="externalLinks/externalLink7.xml"/><Relationship Id="rId69" Type="http://schemas.openxmlformats.org/officeDocument/2006/relationships/externalLink" Target="externalLinks/externalLink12.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theme" Target="theme/theme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externalLink" Target="externalLinks/externalLink2.xml"/><Relationship Id="rId67" Type="http://schemas.openxmlformats.org/officeDocument/2006/relationships/externalLink" Target="externalLinks/externalLink10.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externalLink" Target="externalLinks/externalLink5.xml"/><Relationship Id="rId70" Type="http://schemas.openxmlformats.org/officeDocument/2006/relationships/externalLink" Target="externalLinks/externalLink13.xml"/><Relationship Id="rId75"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s>
</file>

<file path=xl/drawings/drawing1.xml><?xml version="1.0" encoding="utf-8"?>
<xdr:wsDr xmlns:xdr="http://schemas.openxmlformats.org/drawingml/2006/spreadsheetDrawing" xmlns:a="http://schemas.openxmlformats.org/drawingml/2006/main">
  <xdr:twoCellAnchor>
    <xdr:from>
      <xdr:col>4</xdr:col>
      <xdr:colOff>771525</xdr:colOff>
      <xdr:row>6</xdr:row>
      <xdr:rowOff>38100</xdr:rowOff>
    </xdr:from>
    <xdr:to>
      <xdr:col>6</xdr:col>
      <xdr:colOff>0</xdr:colOff>
      <xdr:row>6</xdr:row>
      <xdr:rowOff>39688</xdr:rowOff>
    </xdr:to>
    <xdr:cxnSp macro="">
      <xdr:nvCxnSpPr>
        <xdr:cNvPr id="2" name="Straight Connector 1"/>
        <xdr:cNvCxnSpPr/>
      </xdr:nvCxnSpPr>
      <xdr:spPr>
        <a:xfrm>
          <a:off x="1552575" y="1247775"/>
          <a:ext cx="1381125" cy="127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352425</xdr:colOff>
      <xdr:row>5</xdr:row>
      <xdr:rowOff>238125</xdr:rowOff>
    </xdr:from>
    <xdr:to>
      <xdr:col>5</xdr:col>
      <xdr:colOff>285750</xdr:colOff>
      <xdr:row>5</xdr:row>
      <xdr:rowOff>238125</xdr:rowOff>
    </xdr:to>
    <xdr:cxnSp macro="">
      <xdr:nvCxnSpPr>
        <xdr:cNvPr id="2" name="Straight Connector 1"/>
        <xdr:cNvCxnSpPr/>
      </xdr:nvCxnSpPr>
      <xdr:spPr>
        <a:xfrm>
          <a:off x="762000" y="1200150"/>
          <a:ext cx="1524000"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xdr:from>
      <xdr:col>3</xdr:col>
      <xdr:colOff>637443</xdr:colOff>
      <xdr:row>4</xdr:row>
      <xdr:rowOff>190500</xdr:rowOff>
    </xdr:from>
    <xdr:to>
      <xdr:col>5</xdr:col>
      <xdr:colOff>241789</xdr:colOff>
      <xdr:row>4</xdr:row>
      <xdr:rowOff>190500</xdr:rowOff>
    </xdr:to>
    <xdr:cxnSp macro="">
      <xdr:nvCxnSpPr>
        <xdr:cNvPr id="2" name="Straight Connector 1"/>
        <xdr:cNvCxnSpPr/>
      </xdr:nvCxnSpPr>
      <xdr:spPr>
        <a:xfrm>
          <a:off x="970280" y="942975"/>
          <a:ext cx="1366520"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drawings/drawing4.xml><?xml version="1.0" encoding="utf-8"?>
<xdr:wsDr xmlns:xdr="http://schemas.openxmlformats.org/drawingml/2006/spreadsheetDrawing" xmlns:a="http://schemas.openxmlformats.org/drawingml/2006/main">
  <xdr:twoCellAnchor>
    <xdr:from>
      <xdr:col>2</xdr:col>
      <xdr:colOff>638907</xdr:colOff>
      <xdr:row>1</xdr:row>
      <xdr:rowOff>222738</xdr:rowOff>
    </xdr:from>
    <xdr:to>
      <xdr:col>7</xdr:col>
      <xdr:colOff>17585</xdr:colOff>
      <xdr:row>2</xdr:row>
      <xdr:rowOff>5862</xdr:rowOff>
    </xdr:to>
    <xdr:cxnSp macro="">
      <xdr:nvCxnSpPr>
        <xdr:cNvPr id="3" name="Straight Connector 2"/>
        <xdr:cNvCxnSpPr/>
      </xdr:nvCxnSpPr>
      <xdr:spPr>
        <a:xfrm flipV="1">
          <a:off x="2086610" y="460375"/>
          <a:ext cx="1254760" cy="2159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5.xml><?xml version="1.0" encoding="utf-8"?>
<xdr:wsDr xmlns:xdr="http://schemas.openxmlformats.org/drawingml/2006/spreadsheetDrawing" xmlns:a="http://schemas.openxmlformats.org/drawingml/2006/main">
  <xdr:twoCellAnchor>
    <xdr:from>
      <xdr:col>4</xdr:col>
      <xdr:colOff>138546</xdr:colOff>
      <xdr:row>1</xdr:row>
      <xdr:rowOff>225136</xdr:rowOff>
    </xdr:from>
    <xdr:to>
      <xdr:col>8</xdr:col>
      <xdr:colOff>199159</xdr:colOff>
      <xdr:row>1</xdr:row>
      <xdr:rowOff>225136</xdr:rowOff>
    </xdr:to>
    <xdr:cxnSp macro="">
      <xdr:nvCxnSpPr>
        <xdr:cNvPr id="2" name="Straight Connector 1"/>
        <xdr:cNvCxnSpPr/>
      </xdr:nvCxnSpPr>
      <xdr:spPr>
        <a:xfrm>
          <a:off x="1300480" y="462915"/>
          <a:ext cx="1041400"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6.xml><?xml version="1.0" encoding="utf-8"?>
<xdr:wsDr xmlns:xdr="http://schemas.openxmlformats.org/drawingml/2006/spreadsheetDrawing" xmlns:a="http://schemas.openxmlformats.org/drawingml/2006/main">
  <xdr:twoCellAnchor>
    <xdr:from>
      <xdr:col>4</xdr:col>
      <xdr:colOff>138546</xdr:colOff>
      <xdr:row>1</xdr:row>
      <xdr:rowOff>225136</xdr:rowOff>
    </xdr:from>
    <xdr:to>
      <xdr:col>8</xdr:col>
      <xdr:colOff>199159</xdr:colOff>
      <xdr:row>1</xdr:row>
      <xdr:rowOff>225136</xdr:rowOff>
    </xdr:to>
    <xdr:cxnSp macro="">
      <xdr:nvCxnSpPr>
        <xdr:cNvPr id="2" name="Straight Connector 1"/>
        <xdr:cNvCxnSpPr/>
      </xdr:nvCxnSpPr>
      <xdr:spPr>
        <a:xfrm>
          <a:off x="2005330" y="462915"/>
          <a:ext cx="974725"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7.xml><?xml version="1.0" encoding="utf-8"?>
<xdr:wsDr xmlns:xdr="http://schemas.openxmlformats.org/drawingml/2006/spreadsheetDrawing" xmlns:a="http://schemas.openxmlformats.org/drawingml/2006/main">
  <xdr:twoCellAnchor>
    <xdr:from>
      <xdr:col>1</xdr:col>
      <xdr:colOff>1231900</xdr:colOff>
      <xdr:row>6</xdr:row>
      <xdr:rowOff>0</xdr:rowOff>
    </xdr:from>
    <xdr:to>
      <xdr:col>1</xdr:col>
      <xdr:colOff>2486963</xdr:colOff>
      <xdr:row>6</xdr:row>
      <xdr:rowOff>0</xdr:rowOff>
    </xdr:to>
    <xdr:cxnSp macro="">
      <xdr:nvCxnSpPr>
        <xdr:cNvPr id="2" name="Straight Connector 1"/>
        <xdr:cNvCxnSpPr/>
      </xdr:nvCxnSpPr>
      <xdr:spPr>
        <a:xfrm>
          <a:off x="1713865" y="1000125"/>
          <a:ext cx="1254760"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drawings/drawing8.xml><?xml version="1.0" encoding="utf-8"?>
<xdr:wsDr xmlns:xdr="http://schemas.openxmlformats.org/drawingml/2006/spreadsheetDrawing" xmlns:a="http://schemas.openxmlformats.org/drawingml/2006/main">
  <xdr:twoCellAnchor>
    <xdr:from>
      <xdr:col>1</xdr:col>
      <xdr:colOff>1000125</xdr:colOff>
      <xdr:row>5</xdr:row>
      <xdr:rowOff>9525</xdr:rowOff>
    </xdr:from>
    <xdr:to>
      <xdr:col>3</xdr:col>
      <xdr:colOff>19050</xdr:colOff>
      <xdr:row>5</xdr:row>
      <xdr:rowOff>9525</xdr:rowOff>
    </xdr:to>
    <xdr:cxnSp macro="">
      <xdr:nvCxnSpPr>
        <xdr:cNvPr id="2" name="Straight Connector 1"/>
        <xdr:cNvCxnSpPr/>
      </xdr:nvCxnSpPr>
      <xdr:spPr>
        <a:xfrm>
          <a:off x="1447800" y="1038225"/>
          <a:ext cx="1181100"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9.xml><?xml version="1.0" encoding="utf-8"?>
<xdr:wsDr xmlns:xdr="http://schemas.openxmlformats.org/drawingml/2006/spreadsheetDrawing" xmlns:a="http://schemas.openxmlformats.org/drawingml/2006/main">
  <xdr:twoCellAnchor>
    <xdr:from>
      <xdr:col>2</xdr:col>
      <xdr:colOff>1181100</xdr:colOff>
      <xdr:row>5</xdr:row>
      <xdr:rowOff>9525</xdr:rowOff>
    </xdr:from>
    <xdr:to>
      <xdr:col>3</xdr:col>
      <xdr:colOff>809625</xdr:colOff>
      <xdr:row>5</xdr:row>
      <xdr:rowOff>9525</xdr:rowOff>
    </xdr:to>
    <xdr:cxnSp macro="">
      <xdr:nvCxnSpPr>
        <xdr:cNvPr id="2" name="Straight Connector 1">
          <a:extLst>
            <a:ext uri="{FF2B5EF4-FFF2-40B4-BE49-F238E27FC236}">
              <a16:creationId xmlns="" xmlns:a16="http://schemas.microsoft.com/office/drawing/2014/main" id="{00000000-0008-0000-3600-000006000000}"/>
            </a:ext>
          </a:extLst>
        </xdr:cNvPr>
        <xdr:cNvCxnSpPr/>
      </xdr:nvCxnSpPr>
      <xdr:spPr>
        <a:xfrm>
          <a:off x="1571625" y="1028700"/>
          <a:ext cx="1038225"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drawings/drawing10.xml><?xml version="1.0" encoding="utf-8"?>
<xdr:wsDr xmlns:xdr="http://schemas.openxmlformats.org/drawingml/2006/spreadsheetDrawing" xmlns:a="http://schemas.openxmlformats.org/drawingml/2006/main">
  <xdr:twoCellAnchor>
    <xdr:from>
      <xdr:col>1</xdr:col>
      <xdr:colOff>607629</xdr:colOff>
      <xdr:row>4</xdr:row>
      <xdr:rowOff>200025</xdr:rowOff>
    </xdr:from>
    <xdr:to>
      <xdr:col>1</xdr:col>
      <xdr:colOff>1793327</xdr:colOff>
      <xdr:row>4</xdr:row>
      <xdr:rowOff>203638</xdr:rowOff>
    </xdr:to>
    <xdr:cxnSp macro="">
      <xdr:nvCxnSpPr>
        <xdr:cNvPr id="2" name="Straight Connector 1">
          <a:extLst>
            <a:ext uri="{FF2B5EF4-FFF2-40B4-BE49-F238E27FC236}">
              <a16:creationId xmlns="" xmlns:a16="http://schemas.microsoft.com/office/drawing/2014/main" id="{00000000-0008-0000-1600-000002000000}"/>
            </a:ext>
          </a:extLst>
        </xdr:cNvPr>
        <xdr:cNvCxnSpPr/>
      </xdr:nvCxnSpPr>
      <xdr:spPr>
        <a:xfrm>
          <a:off x="1415612" y="1040853"/>
          <a:ext cx="1185698" cy="3613"/>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238125</xdr:colOff>
      <xdr:row>2</xdr:row>
      <xdr:rowOff>31750</xdr:rowOff>
    </xdr:from>
    <xdr:to>
      <xdr:col>25</xdr:col>
      <xdr:colOff>301625</xdr:colOff>
      <xdr:row>2</xdr:row>
      <xdr:rowOff>31750</xdr:rowOff>
    </xdr:to>
    <xdr:cxnSp macro="">
      <xdr:nvCxnSpPr>
        <xdr:cNvPr id="3" name="Straight Connector 2">
          <a:extLst>
            <a:ext uri="{FF2B5EF4-FFF2-40B4-BE49-F238E27FC236}">
              <a16:creationId xmlns="" xmlns:a16="http://schemas.microsoft.com/office/drawing/2014/main" id="{00000000-0008-0000-1600-000003000000}"/>
            </a:ext>
          </a:extLst>
        </xdr:cNvPr>
        <xdr:cNvCxnSpPr/>
      </xdr:nvCxnSpPr>
      <xdr:spPr>
        <a:xfrm>
          <a:off x="12639675" y="412750"/>
          <a:ext cx="2425700"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1.xml><?xml version="1.0" encoding="utf-8"?>
<xdr:wsDr xmlns:xdr="http://schemas.openxmlformats.org/drawingml/2006/spreadsheetDrawing" xmlns:a="http://schemas.openxmlformats.org/drawingml/2006/main">
  <xdr:twoCellAnchor>
    <xdr:from>
      <xdr:col>1</xdr:col>
      <xdr:colOff>990600</xdr:colOff>
      <xdr:row>6</xdr:row>
      <xdr:rowOff>9525</xdr:rowOff>
    </xdr:from>
    <xdr:to>
      <xdr:col>2</xdr:col>
      <xdr:colOff>409575</xdr:colOff>
      <xdr:row>6</xdr:row>
      <xdr:rowOff>9525</xdr:rowOff>
    </xdr:to>
    <xdr:cxnSp macro="">
      <xdr:nvCxnSpPr>
        <xdr:cNvPr id="2" name="Straight Connector 1">
          <a:extLst>
            <a:ext uri="{FF2B5EF4-FFF2-40B4-BE49-F238E27FC236}">
              <a16:creationId xmlns:a16="http://schemas.microsoft.com/office/drawing/2014/main" xmlns="" id="{00000000-0008-0000-0F00-000003000000}"/>
            </a:ext>
          </a:extLst>
        </xdr:cNvPr>
        <xdr:cNvCxnSpPr/>
      </xdr:nvCxnSpPr>
      <xdr:spPr>
        <a:xfrm>
          <a:off x="1457325" y="1266825"/>
          <a:ext cx="1371600"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2.xml><?xml version="1.0" encoding="utf-8"?>
<xdr:wsDr xmlns:xdr="http://schemas.openxmlformats.org/drawingml/2006/spreadsheetDrawing" xmlns:a="http://schemas.openxmlformats.org/drawingml/2006/main">
  <xdr:twoCellAnchor>
    <xdr:from>
      <xdr:col>1</xdr:col>
      <xdr:colOff>1200150</xdr:colOff>
      <xdr:row>6</xdr:row>
      <xdr:rowOff>0</xdr:rowOff>
    </xdr:from>
    <xdr:to>
      <xdr:col>3</xdr:col>
      <xdr:colOff>76200</xdr:colOff>
      <xdr:row>6</xdr:row>
      <xdr:rowOff>9525</xdr:rowOff>
    </xdr:to>
    <xdr:cxnSp macro="">
      <xdr:nvCxnSpPr>
        <xdr:cNvPr id="2" name="Straight Connector 1">
          <a:extLst>
            <a:ext uri="{FF2B5EF4-FFF2-40B4-BE49-F238E27FC236}">
              <a16:creationId xmlns="" xmlns:a16="http://schemas.microsoft.com/office/drawing/2014/main" id="{00000000-0008-0000-0E00-000003000000}"/>
            </a:ext>
          </a:extLst>
        </xdr:cNvPr>
        <xdr:cNvCxnSpPr/>
      </xdr:nvCxnSpPr>
      <xdr:spPr>
        <a:xfrm flipV="1">
          <a:off x="1628775" y="1257300"/>
          <a:ext cx="1362075" cy="9525"/>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drawings/drawing13.xml><?xml version="1.0" encoding="utf-8"?>
<xdr:wsDr xmlns:xdr="http://schemas.openxmlformats.org/drawingml/2006/spreadsheetDrawing" xmlns:a="http://schemas.openxmlformats.org/drawingml/2006/main">
  <xdr:twoCellAnchor>
    <xdr:from>
      <xdr:col>3</xdr:col>
      <xdr:colOff>238125</xdr:colOff>
      <xdr:row>4</xdr:row>
      <xdr:rowOff>180975</xdr:rowOff>
    </xdr:from>
    <xdr:to>
      <xdr:col>4</xdr:col>
      <xdr:colOff>66675</xdr:colOff>
      <xdr:row>4</xdr:row>
      <xdr:rowOff>180975</xdr:rowOff>
    </xdr:to>
    <xdr:cxnSp macro="">
      <xdr:nvCxnSpPr>
        <xdr:cNvPr id="2" name="Straight Connector 1"/>
        <xdr:cNvCxnSpPr/>
      </xdr:nvCxnSpPr>
      <xdr:spPr>
        <a:xfrm>
          <a:off x="2200275" y="1000125"/>
          <a:ext cx="1381125"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4.xml><?xml version="1.0" encoding="utf-8"?>
<xdr:wsDr xmlns:xdr="http://schemas.openxmlformats.org/drawingml/2006/spreadsheetDrawing" xmlns:a="http://schemas.openxmlformats.org/drawingml/2006/main">
  <xdr:twoCellAnchor>
    <xdr:from>
      <xdr:col>15</xdr:col>
      <xdr:colOff>865909</xdr:colOff>
      <xdr:row>2</xdr:row>
      <xdr:rowOff>51954</xdr:rowOff>
    </xdr:from>
    <xdr:to>
      <xdr:col>22</xdr:col>
      <xdr:colOff>744682</xdr:colOff>
      <xdr:row>2</xdr:row>
      <xdr:rowOff>51954</xdr:rowOff>
    </xdr:to>
    <xdr:cxnSp macro="">
      <xdr:nvCxnSpPr>
        <xdr:cNvPr id="2" name="Straight Connector 1"/>
        <xdr:cNvCxnSpPr/>
      </xdr:nvCxnSpPr>
      <xdr:spPr>
        <a:xfrm>
          <a:off x="12886459" y="861579"/>
          <a:ext cx="5488998"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drawings/drawing15.xml><?xml version="1.0" encoding="utf-8"?>
<xdr:wsDr xmlns:xdr="http://schemas.openxmlformats.org/drawingml/2006/spreadsheetDrawing" xmlns:a="http://schemas.openxmlformats.org/drawingml/2006/main">
  <xdr:twoCellAnchor>
    <xdr:from>
      <xdr:col>4</xdr:col>
      <xdr:colOff>318809</xdr:colOff>
      <xdr:row>4</xdr:row>
      <xdr:rowOff>200025</xdr:rowOff>
    </xdr:from>
    <xdr:to>
      <xdr:col>7</xdr:col>
      <xdr:colOff>183486</xdr:colOff>
      <xdr:row>4</xdr:row>
      <xdr:rowOff>200701</xdr:rowOff>
    </xdr:to>
    <xdr:cxnSp macro="">
      <xdr:nvCxnSpPr>
        <xdr:cNvPr id="2" name="Straight Connector 1"/>
        <xdr:cNvCxnSpPr/>
      </xdr:nvCxnSpPr>
      <xdr:spPr>
        <a:xfrm>
          <a:off x="2190191" y="1051672"/>
          <a:ext cx="985266" cy="676"/>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drawings/drawing16.xml><?xml version="1.0" encoding="utf-8"?>
<xdr:wsDr xmlns:xdr="http://schemas.openxmlformats.org/drawingml/2006/spreadsheetDrawing" xmlns:a="http://schemas.openxmlformats.org/drawingml/2006/main">
  <xdr:twoCellAnchor>
    <xdr:from>
      <xdr:col>3</xdr:col>
      <xdr:colOff>778052</xdr:colOff>
      <xdr:row>4</xdr:row>
      <xdr:rowOff>206388</xdr:rowOff>
    </xdr:from>
    <xdr:to>
      <xdr:col>5</xdr:col>
      <xdr:colOff>120511</xdr:colOff>
      <xdr:row>4</xdr:row>
      <xdr:rowOff>207064</xdr:rowOff>
    </xdr:to>
    <xdr:cxnSp macro="">
      <xdr:nvCxnSpPr>
        <xdr:cNvPr id="3" name="Straight Connector 2"/>
        <xdr:cNvCxnSpPr/>
      </xdr:nvCxnSpPr>
      <xdr:spPr>
        <a:xfrm>
          <a:off x="1844852" y="1025538"/>
          <a:ext cx="875984" cy="676"/>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drawings/drawing17.xml><?xml version="1.0" encoding="utf-8"?>
<xdr:wsDr xmlns:xdr="http://schemas.openxmlformats.org/drawingml/2006/spreadsheetDrawing" xmlns:a="http://schemas.openxmlformats.org/drawingml/2006/main">
  <xdr:twoCellAnchor>
    <xdr:from>
      <xdr:col>2</xdr:col>
      <xdr:colOff>720437</xdr:colOff>
      <xdr:row>2</xdr:row>
      <xdr:rowOff>6927</xdr:rowOff>
    </xdr:from>
    <xdr:to>
      <xdr:col>7</xdr:col>
      <xdr:colOff>20781</xdr:colOff>
      <xdr:row>2</xdr:row>
      <xdr:rowOff>6927</xdr:rowOff>
    </xdr:to>
    <xdr:cxnSp macro="">
      <xdr:nvCxnSpPr>
        <xdr:cNvPr id="3" name="Straight Connector 2"/>
        <xdr:cNvCxnSpPr/>
      </xdr:nvCxnSpPr>
      <xdr:spPr>
        <a:xfrm>
          <a:off x="1644015" y="482600"/>
          <a:ext cx="1109980"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drawings/drawing18.xml><?xml version="1.0" encoding="utf-8"?>
<xdr:wsDr xmlns:xdr="http://schemas.openxmlformats.org/drawingml/2006/spreadsheetDrawing" xmlns:a="http://schemas.openxmlformats.org/drawingml/2006/main">
  <xdr:twoCellAnchor>
    <xdr:from>
      <xdr:col>4</xdr:col>
      <xdr:colOff>512506</xdr:colOff>
      <xdr:row>5</xdr:row>
      <xdr:rowOff>7327</xdr:rowOff>
    </xdr:from>
    <xdr:to>
      <xdr:col>6</xdr:col>
      <xdr:colOff>219808</xdr:colOff>
      <xdr:row>5</xdr:row>
      <xdr:rowOff>7327</xdr:rowOff>
    </xdr:to>
    <xdr:cxnSp macro="">
      <xdr:nvCxnSpPr>
        <xdr:cNvPr id="2" name="Straight Connector 1"/>
        <xdr:cNvCxnSpPr/>
      </xdr:nvCxnSpPr>
      <xdr:spPr>
        <a:xfrm>
          <a:off x="2141220" y="1016635"/>
          <a:ext cx="1174115"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9.xml><?xml version="1.0" encoding="utf-8"?>
<xdr:wsDr xmlns:xdr="http://schemas.openxmlformats.org/drawingml/2006/spreadsheetDrawing" xmlns:a="http://schemas.openxmlformats.org/drawingml/2006/main">
  <xdr:twoCellAnchor>
    <xdr:from>
      <xdr:col>4</xdr:col>
      <xdr:colOff>292698</xdr:colOff>
      <xdr:row>4</xdr:row>
      <xdr:rowOff>212480</xdr:rowOff>
    </xdr:from>
    <xdr:to>
      <xdr:col>5</xdr:col>
      <xdr:colOff>564173</xdr:colOff>
      <xdr:row>4</xdr:row>
      <xdr:rowOff>212480</xdr:rowOff>
    </xdr:to>
    <xdr:cxnSp macro="">
      <xdr:nvCxnSpPr>
        <xdr:cNvPr id="2" name="Straight Connector 1"/>
        <xdr:cNvCxnSpPr/>
      </xdr:nvCxnSpPr>
      <xdr:spPr>
        <a:xfrm>
          <a:off x="1920875" y="1009650"/>
          <a:ext cx="1174750"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0.xml><?xml version="1.0" encoding="utf-8"?>
<xdr:wsDr xmlns:xdr="http://schemas.openxmlformats.org/drawingml/2006/spreadsheetDrawing" xmlns:a="http://schemas.openxmlformats.org/drawingml/2006/main">
  <xdr:twoCellAnchor>
    <xdr:from>
      <xdr:col>4</xdr:col>
      <xdr:colOff>475871</xdr:colOff>
      <xdr:row>5</xdr:row>
      <xdr:rowOff>7327</xdr:rowOff>
    </xdr:from>
    <xdr:to>
      <xdr:col>6</xdr:col>
      <xdr:colOff>183173</xdr:colOff>
      <xdr:row>5</xdr:row>
      <xdr:rowOff>7327</xdr:rowOff>
    </xdr:to>
    <xdr:cxnSp macro="">
      <xdr:nvCxnSpPr>
        <xdr:cNvPr id="2" name="Straight Connector 1"/>
        <xdr:cNvCxnSpPr/>
      </xdr:nvCxnSpPr>
      <xdr:spPr>
        <a:xfrm>
          <a:off x="2104390" y="1016635"/>
          <a:ext cx="1174115"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1.xml><?xml version="1.0" encoding="utf-8"?>
<xdr:wsDr xmlns:xdr="http://schemas.openxmlformats.org/drawingml/2006/spreadsheetDrawing" xmlns:a="http://schemas.openxmlformats.org/drawingml/2006/main">
  <xdr:twoCellAnchor>
    <xdr:from>
      <xdr:col>4</xdr:col>
      <xdr:colOff>431909</xdr:colOff>
      <xdr:row>4</xdr:row>
      <xdr:rowOff>212480</xdr:rowOff>
    </xdr:from>
    <xdr:to>
      <xdr:col>6</xdr:col>
      <xdr:colOff>139211</xdr:colOff>
      <xdr:row>4</xdr:row>
      <xdr:rowOff>212480</xdr:rowOff>
    </xdr:to>
    <xdr:cxnSp macro="">
      <xdr:nvCxnSpPr>
        <xdr:cNvPr id="2" name="Straight Connector 1"/>
        <xdr:cNvCxnSpPr/>
      </xdr:nvCxnSpPr>
      <xdr:spPr>
        <a:xfrm>
          <a:off x="2060575" y="1009650"/>
          <a:ext cx="1174115"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2.xml><?xml version="1.0" encoding="utf-8"?>
<xdr:wsDr xmlns:xdr="http://schemas.openxmlformats.org/drawingml/2006/spreadsheetDrawing" xmlns:a="http://schemas.openxmlformats.org/drawingml/2006/main">
  <xdr:twoCellAnchor>
    <xdr:from>
      <xdr:col>4</xdr:col>
      <xdr:colOff>519832</xdr:colOff>
      <xdr:row>4</xdr:row>
      <xdr:rowOff>205153</xdr:rowOff>
    </xdr:from>
    <xdr:to>
      <xdr:col>6</xdr:col>
      <xdr:colOff>227134</xdr:colOff>
      <xdr:row>4</xdr:row>
      <xdr:rowOff>205153</xdr:rowOff>
    </xdr:to>
    <xdr:cxnSp macro="">
      <xdr:nvCxnSpPr>
        <xdr:cNvPr id="2" name="Straight Connector 1"/>
        <xdr:cNvCxnSpPr/>
      </xdr:nvCxnSpPr>
      <xdr:spPr>
        <a:xfrm>
          <a:off x="2148205" y="1005205"/>
          <a:ext cx="1174115"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3.xml><?xml version="1.0" encoding="utf-8"?>
<xdr:wsDr xmlns:xdr="http://schemas.openxmlformats.org/drawingml/2006/spreadsheetDrawing" xmlns:a="http://schemas.openxmlformats.org/drawingml/2006/main">
  <xdr:twoCellAnchor>
    <xdr:from>
      <xdr:col>4</xdr:col>
      <xdr:colOff>468544</xdr:colOff>
      <xdr:row>5</xdr:row>
      <xdr:rowOff>21981</xdr:rowOff>
    </xdr:from>
    <xdr:to>
      <xdr:col>6</xdr:col>
      <xdr:colOff>175846</xdr:colOff>
      <xdr:row>5</xdr:row>
      <xdr:rowOff>21981</xdr:rowOff>
    </xdr:to>
    <xdr:cxnSp macro="">
      <xdr:nvCxnSpPr>
        <xdr:cNvPr id="2" name="Straight Connector 1"/>
        <xdr:cNvCxnSpPr/>
      </xdr:nvCxnSpPr>
      <xdr:spPr>
        <a:xfrm>
          <a:off x="2096770" y="1031240"/>
          <a:ext cx="1174115"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4.xml><?xml version="1.0" encoding="utf-8"?>
<xdr:wsDr xmlns:xdr="http://schemas.openxmlformats.org/drawingml/2006/spreadsheetDrawing" xmlns:a="http://schemas.openxmlformats.org/drawingml/2006/main">
  <xdr:twoCellAnchor>
    <xdr:from>
      <xdr:col>4</xdr:col>
      <xdr:colOff>527160</xdr:colOff>
      <xdr:row>4</xdr:row>
      <xdr:rowOff>205153</xdr:rowOff>
    </xdr:from>
    <xdr:to>
      <xdr:col>6</xdr:col>
      <xdr:colOff>234462</xdr:colOff>
      <xdr:row>4</xdr:row>
      <xdr:rowOff>205153</xdr:rowOff>
    </xdr:to>
    <xdr:cxnSp macro="">
      <xdr:nvCxnSpPr>
        <xdr:cNvPr id="2" name="Straight Connector 1"/>
        <xdr:cNvCxnSpPr/>
      </xdr:nvCxnSpPr>
      <xdr:spPr>
        <a:xfrm>
          <a:off x="2155825" y="1005205"/>
          <a:ext cx="1174115"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5.xml><?xml version="1.0" encoding="utf-8"?>
<xdr:wsDr xmlns:xdr="http://schemas.openxmlformats.org/drawingml/2006/spreadsheetDrawing" xmlns:a="http://schemas.openxmlformats.org/drawingml/2006/main">
  <xdr:twoCellAnchor>
    <xdr:from>
      <xdr:col>6</xdr:col>
      <xdr:colOff>727077</xdr:colOff>
      <xdr:row>5</xdr:row>
      <xdr:rowOff>0</xdr:rowOff>
    </xdr:from>
    <xdr:to>
      <xdr:col>10</xdr:col>
      <xdr:colOff>209548</xdr:colOff>
      <xdr:row>5</xdr:row>
      <xdr:rowOff>0</xdr:rowOff>
    </xdr:to>
    <xdr:cxnSp macro="">
      <xdr:nvCxnSpPr>
        <xdr:cNvPr id="3" name="Straight Connector 2"/>
        <xdr:cNvCxnSpPr/>
      </xdr:nvCxnSpPr>
      <xdr:spPr>
        <a:xfrm>
          <a:off x="2736850" y="1009650"/>
          <a:ext cx="1491615"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6.xml><?xml version="1.0" encoding="utf-8"?>
<xdr:wsDr xmlns:xdr="http://schemas.openxmlformats.org/drawingml/2006/spreadsheetDrawing" xmlns:a="http://schemas.openxmlformats.org/drawingml/2006/main">
  <xdr:twoCellAnchor>
    <xdr:from>
      <xdr:col>3</xdr:col>
      <xdr:colOff>932422</xdr:colOff>
      <xdr:row>4</xdr:row>
      <xdr:rowOff>200025</xdr:rowOff>
    </xdr:from>
    <xdr:to>
      <xdr:col>6</xdr:col>
      <xdr:colOff>90690</xdr:colOff>
      <xdr:row>4</xdr:row>
      <xdr:rowOff>200025</xdr:rowOff>
    </xdr:to>
    <xdr:cxnSp macro="">
      <xdr:nvCxnSpPr>
        <xdr:cNvPr id="3" name="Straight Connector 2"/>
        <xdr:cNvCxnSpPr/>
      </xdr:nvCxnSpPr>
      <xdr:spPr>
        <a:xfrm>
          <a:off x="1966565" y="1016454"/>
          <a:ext cx="1716411"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7.xml><?xml version="1.0" encoding="utf-8"?>
<xdr:wsDr xmlns:xdr="http://schemas.openxmlformats.org/drawingml/2006/spreadsheetDrawing" xmlns:a="http://schemas.openxmlformats.org/drawingml/2006/main">
  <xdr:twoCellAnchor>
    <xdr:from>
      <xdr:col>4</xdr:col>
      <xdr:colOff>621367</xdr:colOff>
      <xdr:row>4</xdr:row>
      <xdr:rowOff>177248</xdr:rowOff>
    </xdr:from>
    <xdr:to>
      <xdr:col>5</xdr:col>
      <xdr:colOff>830917</xdr:colOff>
      <xdr:row>4</xdr:row>
      <xdr:rowOff>180975</xdr:rowOff>
    </xdr:to>
    <xdr:cxnSp macro="">
      <xdr:nvCxnSpPr>
        <xdr:cNvPr id="3" name="Straight Connector 2"/>
        <xdr:cNvCxnSpPr/>
      </xdr:nvCxnSpPr>
      <xdr:spPr>
        <a:xfrm>
          <a:off x="1304926" y="1017689"/>
          <a:ext cx="1531844" cy="3727"/>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8.xml><?xml version="1.0" encoding="utf-8"?>
<xdr:wsDr xmlns:xdr="http://schemas.openxmlformats.org/drawingml/2006/spreadsheetDrawing" xmlns:a="http://schemas.openxmlformats.org/drawingml/2006/main">
  <xdr:twoCellAnchor>
    <xdr:from>
      <xdr:col>3</xdr:col>
      <xdr:colOff>29935</xdr:colOff>
      <xdr:row>4</xdr:row>
      <xdr:rowOff>190500</xdr:rowOff>
    </xdr:from>
    <xdr:to>
      <xdr:col>5</xdr:col>
      <xdr:colOff>46263</xdr:colOff>
      <xdr:row>4</xdr:row>
      <xdr:rowOff>200025</xdr:rowOff>
    </xdr:to>
    <xdr:cxnSp macro="">
      <xdr:nvCxnSpPr>
        <xdr:cNvPr id="2" name="Straight Connector 1"/>
        <xdr:cNvCxnSpPr/>
      </xdr:nvCxnSpPr>
      <xdr:spPr>
        <a:xfrm>
          <a:off x="2207078" y="993321"/>
          <a:ext cx="1227364" cy="95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9.xml><?xml version="1.0" encoding="utf-8"?>
<xdr:wsDr xmlns:xdr="http://schemas.openxmlformats.org/drawingml/2006/spreadsheetDrawing" xmlns:a="http://schemas.openxmlformats.org/drawingml/2006/main">
  <xdr:twoCellAnchor>
    <xdr:from>
      <xdr:col>3</xdr:col>
      <xdr:colOff>769809</xdr:colOff>
      <xdr:row>5</xdr:row>
      <xdr:rowOff>10885</xdr:rowOff>
    </xdr:from>
    <xdr:to>
      <xdr:col>5</xdr:col>
      <xdr:colOff>611965</xdr:colOff>
      <xdr:row>5</xdr:row>
      <xdr:rowOff>10885</xdr:rowOff>
    </xdr:to>
    <xdr:cxnSp macro="">
      <xdr:nvCxnSpPr>
        <xdr:cNvPr id="3" name="Straight Connector 2"/>
        <xdr:cNvCxnSpPr/>
      </xdr:nvCxnSpPr>
      <xdr:spPr>
        <a:xfrm flipH="1">
          <a:off x="1167374" y="1029646"/>
          <a:ext cx="1117678"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drawings/drawing30.xml><?xml version="1.0" encoding="utf-8"?>
<xdr:wsDr xmlns:xdr="http://schemas.openxmlformats.org/drawingml/2006/spreadsheetDrawing" xmlns:a="http://schemas.openxmlformats.org/drawingml/2006/main">
  <xdr:twoCellAnchor>
    <xdr:from>
      <xdr:col>2</xdr:col>
      <xdr:colOff>596913</xdr:colOff>
      <xdr:row>4</xdr:row>
      <xdr:rowOff>201627</xdr:rowOff>
    </xdr:from>
    <xdr:to>
      <xdr:col>3</xdr:col>
      <xdr:colOff>448235</xdr:colOff>
      <xdr:row>4</xdr:row>
      <xdr:rowOff>201706</xdr:rowOff>
    </xdr:to>
    <xdr:cxnSp macro="">
      <xdr:nvCxnSpPr>
        <xdr:cNvPr id="3" name="Straight Connector 2"/>
        <xdr:cNvCxnSpPr/>
      </xdr:nvCxnSpPr>
      <xdr:spPr>
        <a:xfrm>
          <a:off x="1235648" y="1053274"/>
          <a:ext cx="1319293" cy="79"/>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1.xml><?xml version="1.0" encoding="utf-8"?>
<xdr:wsDr xmlns:xdr="http://schemas.openxmlformats.org/drawingml/2006/spreadsheetDrawing" xmlns:a="http://schemas.openxmlformats.org/drawingml/2006/main">
  <xdr:twoCellAnchor>
    <xdr:from>
      <xdr:col>1</xdr:col>
      <xdr:colOff>1371378</xdr:colOff>
      <xdr:row>5</xdr:row>
      <xdr:rowOff>7620</xdr:rowOff>
    </xdr:from>
    <xdr:to>
      <xdr:col>1</xdr:col>
      <xdr:colOff>2609850</xdr:colOff>
      <xdr:row>5</xdr:row>
      <xdr:rowOff>7620</xdr:rowOff>
    </xdr:to>
    <xdr:cxnSp macro="">
      <xdr:nvCxnSpPr>
        <xdr:cNvPr id="2" name="Straight Connector 1"/>
        <xdr:cNvCxnSpPr/>
      </xdr:nvCxnSpPr>
      <xdr:spPr>
        <a:xfrm>
          <a:off x="1732915" y="1141730"/>
          <a:ext cx="1238885" cy="0"/>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2.xml><?xml version="1.0" encoding="utf-8"?>
<xdr:wsDr xmlns:xdr="http://schemas.openxmlformats.org/drawingml/2006/spreadsheetDrawing" xmlns:a="http://schemas.openxmlformats.org/drawingml/2006/main">
  <xdr:twoCellAnchor>
    <xdr:from>
      <xdr:col>1</xdr:col>
      <xdr:colOff>1371378</xdr:colOff>
      <xdr:row>5</xdr:row>
      <xdr:rowOff>7620</xdr:rowOff>
    </xdr:from>
    <xdr:to>
      <xdr:col>1</xdr:col>
      <xdr:colOff>2609850</xdr:colOff>
      <xdr:row>5</xdr:row>
      <xdr:rowOff>7620</xdr:rowOff>
    </xdr:to>
    <xdr:cxnSp macro="">
      <xdr:nvCxnSpPr>
        <xdr:cNvPr id="2" name="Straight Connector 1"/>
        <xdr:cNvCxnSpPr/>
      </xdr:nvCxnSpPr>
      <xdr:spPr>
        <a:xfrm>
          <a:off x="1771015" y="1141730"/>
          <a:ext cx="1238885" cy="0"/>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3.xml><?xml version="1.0" encoding="utf-8"?>
<xdr:wsDr xmlns:xdr="http://schemas.openxmlformats.org/drawingml/2006/spreadsheetDrawing" xmlns:a="http://schemas.openxmlformats.org/drawingml/2006/main">
  <xdr:twoCellAnchor>
    <xdr:from>
      <xdr:col>1</xdr:col>
      <xdr:colOff>1275715</xdr:colOff>
      <xdr:row>5</xdr:row>
      <xdr:rowOff>12700</xdr:rowOff>
    </xdr:from>
    <xdr:to>
      <xdr:col>1</xdr:col>
      <xdr:colOff>2514187</xdr:colOff>
      <xdr:row>5</xdr:row>
      <xdr:rowOff>12700</xdr:rowOff>
    </xdr:to>
    <xdr:cxnSp macro="">
      <xdr:nvCxnSpPr>
        <xdr:cNvPr id="2" name="Straight Connector 1"/>
        <xdr:cNvCxnSpPr/>
      </xdr:nvCxnSpPr>
      <xdr:spPr>
        <a:xfrm>
          <a:off x="1675765" y="1165860"/>
          <a:ext cx="1238250" cy="0"/>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4.xml><?xml version="1.0" encoding="utf-8"?>
<xdr:wsDr xmlns:xdr="http://schemas.openxmlformats.org/drawingml/2006/spreadsheetDrawing" xmlns:a="http://schemas.openxmlformats.org/drawingml/2006/main">
  <xdr:twoCellAnchor>
    <xdr:from>
      <xdr:col>2</xdr:col>
      <xdr:colOff>314325</xdr:colOff>
      <xdr:row>4</xdr:row>
      <xdr:rowOff>228600</xdr:rowOff>
    </xdr:from>
    <xdr:to>
      <xdr:col>2</xdr:col>
      <xdr:colOff>1790700</xdr:colOff>
      <xdr:row>4</xdr:row>
      <xdr:rowOff>230505</xdr:rowOff>
    </xdr:to>
    <xdr:cxnSp macro="">
      <xdr:nvCxnSpPr>
        <xdr:cNvPr id="3" name="Straight Connector 2"/>
        <xdr:cNvCxnSpPr/>
      </xdr:nvCxnSpPr>
      <xdr:spPr>
        <a:xfrm flipV="1">
          <a:off x="1695450" y="1104900"/>
          <a:ext cx="1476375" cy="190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5.xml><?xml version="1.0" encoding="utf-8"?>
<xdr:wsDr xmlns:xdr="http://schemas.openxmlformats.org/drawingml/2006/spreadsheetDrawing" xmlns:a="http://schemas.openxmlformats.org/drawingml/2006/main">
  <xdr:twoCellAnchor>
    <xdr:from>
      <xdr:col>1</xdr:col>
      <xdr:colOff>815340</xdr:colOff>
      <xdr:row>7</xdr:row>
      <xdr:rowOff>7620</xdr:rowOff>
    </xdr:from>
    <xdr:to>
      <xdr:col>2</xdr:col>
      <xdr:colOff>800100</xdr:colOff>
      <xdr:row>7</xdr:row>
      <xdr:rowOff>15240</xdr:rowOff>
    </xdr:to>
    <xdr:cxnSp macro="">
      <xdr:nvCxnSpPr>
        <xdr:cNvPr id="3" name="Straight Connector 2"/>
        <xdr:cNvCxnSpPr/>
      </xdr:nvCxnSpPr>
      <xdr:spPr>
        <a:xfrm>
          <a:off x="1129665" y="1426845"/>
          <a:ext cx="1375410" cy="762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6.xml><?xml version="1.0" encoding="utf-8"?>
<xdr:wsDr xmlns:xdr="http://schemas.openxmlformats.org/drawingml/2006/spreadsheetDrawing" xmlns:a="http://schemas.openxmlformats.org/drawingml/2006/main">
  <xdr:twoCellAnchor>
    <xdr:from>
      <xdr:col>3</xdr:col>
      <xdr:colOff>1257300</xdr:colOff>
      <xdr:row>5</xdr:row>
      <xdr:rowOff>9525</xdr:rowOff>
    </xdr:from>
    <xdr:to>
      <xdr:col>4</xdr:col>
      <xdr:colOff>714375</xdr:colOff>
      <xdr:row>5</xdr:row>
      <xdr:rowOff>9525</xdr:rowOff>
    </xdr:to>
    <xdr:cxnSp macro="">
      <xdr:nvCxnSpPr>
        <xdr:cNvPr id="2" name="Straight Connector 1"/>
        <xdr:cNvCxnSpPr/>
      </xdr:nvCxnSpPr>
      <xdr:spPr>
        <a:xfrm>
          <a:off x="1657350" y="1057275"/>
          <a:ext cx="1285875"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drawings/drawing37.xml><?xml version="1.0" encoding="utf-8"?>
<xdr:wsDr xmlns:xdr="http://schemas.openxmlformats.org/drawingml/2006/spreadsheetDrawing" xmlns:a="http://schemas.openxmlformats.org/drawingml/2006/main">
  <xdr:twoCellAnchor>
    <xdr:from>
      <xdr:col>1</xdr:col>
      <xdr:colOff>437928</xdr:colOff>
      <xdr:row>5</xdr:row>
      <xdr:rowOff>7620</xdr:rowOff>
    </xdr:from>
    <xdr:to>
      <xdr:col>1</xdr:col>
      <xdr:colOff>1676400</xdr:colOff>
      <xdr:row>5</xdr:row>
      <xdr:rowOff>7620</xdr:rowOff>
    </xdr:to>
    <xdr:cxnSp macro="">
      <xdr:nvCxnSpPr>
        <xdr:cNvPr id="2" name="Straight Connector 1"/>
        <xdr:cNvCxnSpPr/>
      </xdr:nvCxnSpPr>
      <xdr:spPr>
        <a:xfrm>
          <a:off x="1418590" y="1160780"/>
          <a:ext cx="1238885" cy="0"/>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8.xml><?xml version="1.0" encoding="utf-8"?>
<xdr:wsDr xmlns:xdr="http://schemas.openxmlformats.org/drawingml/2006/spreadsheetDrawing" xmlns:a="http://schemas.openxmlformats.org/drawingml/2006/main">
  <xdr:twoCellAnchor>
    <xdr:from>
      <xdr:col>3</xdr:col>
      <xdr:colOff>704850</xdr:colOff>
      <xdr:row>5</xdr:row>
      <xdr:rowOff>19050</xdr:rowOff>
    </xdr:from>
    <xdr:to>
      <xdr:col>4</xdr:col>
      <xdr:colOff>304800</xdr:colOff>
      <xdr:row>5</xdr:row>
      <xdr:rowOff>19050</xdr:rowOff>
    </xdr:to>
    <xdr:cxnSp macro="">
      <xdr:nvCxnSpPr>
        <xdr:cNvPr id="3" name="Straight Connector 2"/>
        <xdr:cNvCxnSpPr/>
      </xdr:nvCxnSpPr>
      <xdr:spPr>
        <a:xfrm>
          <a:off x="1104900" y="1447800"/>
          <a:ext cx="952500"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drawings/drawing39.xml><?xml version="1.0" encoding="utf-8"?>
<xdr:wsDr xmlns:xdr="http://schemas.openxmlformats.org/drawingml/2006/spreadsheetDrawing" xmlns:a="http://schemas.openxmlformats.org/drawingml/2006/main">
  <xdr:twoCellAnchor>
    <xdr:from>
      <xdr:col>3</xdr:col>
      <xdr:colOff>238125</xdr:colOff>
      <xdr:row>4</xdr:row>
      <xdr:rowOff>180975</xdr:rowOff>
    </xdr:from>
    <xdr:to>
      <xdr:col>4</xdr:col>
      <xdr:colOff>66675</xdr:colOff>
      <xdr:row>4</xdr:row>
      <xdr:rowOff>180975</xdr:rowOff>
    </xdr:to>
    <xdr:cxnSp macro="">
      <xdr:nvCxnSpPr>
        <xdr:cNvPr id="4" name="Straight Connector 3"/>
        <xdr:cNvCxnSpPr/>
      </xdr:nvCxnSpPr>
      <xdr:spPr>
        <a:xfrm>
          <a:off x="2409825" y="979170"/>
          <a:ext cx="704850"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0.xml><?xml version="1.0" encoding="utf-8"?>
<xdr:wsDr xmlns:xdr="http://schemas.openxmlformats.org/drawingml/2006/spreadsheetDrawing" xmlns:a="http://schemas.openxmlformats.org/drawingml/2006/main">
  <xdr:twoCellAnchor>
    <xdr:from>
      <xdr:col>3</xdr:col>
      <xdr:colOff>133350</xdr:colOff>
      <xdr:row>4</xdr:row>
      <xdr:rowOff>190500</xdr:rowOff>
    </xdr:from>
    <xdr:to>
      <xdr:col>3</xdr:col>
      <xdr:colOff>942975</xdr:colOff>
      <xdr:row>4</xdr:row>
      <xdr:rowOff>190500</xdr:rowOff>
    </xdr:to>
    <xdr:cxnSp macro="">
      <xdr:nvCxnSpPr>
        <xdr:cNvPr id="2" name="Straight Connector 1"/>
        <xdr:cNvCxnSpPr/>
      </xdr:nvCxnSpPr>
      <xdr:spPr>
        <a:xfrm>
          <a:off x="2466975" y="1257300"/>
          <a:ext cx="733425"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1.xml><?xml version="1.0" encoding="utf-8"?>
<xdr:wsDr xmlns:xdr="http://schemas.openxmlformats.org/drawingml/2006/spreadsheetDrawing" xmlns:a="http://schemas.openxmlformats.org/drawingml/2006/main">
  <xdr:twoCellAnchor>
    <xdr:from>
      <xdr:col>3</xdr:col>
      <xdr:colOff>704850</xdr:colOff>
      <xdr:row>5</xdr:row>
      <xdr:rowOff>19050</xdr:rowOff>
    </xdr:from>
    <xdr:to>
      <xdr:col>4</xdr:col>
      <xdr:colOff>304800</xdr:colOff>
      <xdr:row>5</xdr:row>
      <xdr:rowOff>19050</xdr:rowOff>
    </xdr:to>
    <xdr:cxnSp macro="">
      <xdr:nvCxnSpPr>
        <xdr:cNvPr id="2" name="Straight Connector 1"/>
        <xdr:cNvCxnSpPr/>
      </xdr:nvCxnSpPr>
      <xdr:spPr>
        <a:xfrm>
          <a:off x="1104900" y="1447800"/>
          <a:ext cx="1266825"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drawings/drawing42.xml><?xml version="1.0" encoding="utf-8"?>
<xdr:wsDr xmlns:xdr="http://schemas.openxmlformats.org/drawingml/2006/spreadsheetDrawing" xmlns:a="http://schemas.openxmlformats.org/drawingml/2006/main">
  <xdr:twoCellAnchor>
    <xdr:from>
      <xdr:col>2</xdr:col>
      <xdr:colOff>144242</xdr:colOff>
      <xdr:row>5</xdr:row>
      <xdr:rowOff>0</xdr:rowOff>
    </xdr:from>
    <xdr:to>
      <xdr:col>2</xdr:col>
      <xdr:colOff>1417858</xdr:colOff>
      <xdr:row>5</xdr:row>
      <xdr:rowOff>0</xdr:rowOff>
    </xdr:to>
    <xdr:cxnSp macro="">
      <xdr:nvCxnSpPr>
        <xdr:cNvPr id="6" name="Straight Connector 5"/>
        <xdr:cNvCxnSpPr/>
      </xdr:nvCxnSpPr>
      <xdr:spPr>
        <a:xfrm>
          <a:off x="1820642" y="1104900"/>
          <a:ext cx="1273616"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3.xml><?xml version="1.0" encoding="utf-8"?>
<xdr:wsDr xmlns:xdr="http://schemas.openxmlformats.org/drawingml/2006/spreadsheetDrawing" xmlns:a="http://schemas.openxmlformats.org/drawingml/2006/main">
  <xdr:twoCellAnchor>
    <xdr:from>
      <xdr:col>3</xdr:col>
      <xdr:colOff>219075</xdr:colOff>
      <xdr:row>4</xdr:row>
      <xdr:rowOff>180975</xdr:rowOff>
    </xdr:from>
    <xdr:to>
      <xdr:col>4</xdr:col>
      <xdr:colOff>295275</xdr:colOff>
      <xdr:row>4</xdr:row>
      <xdr:rowOff>180975</xdr:rowOff>
    </xdr:to>
    <xdr:cxnSp macro="">
      <xdr:nvCxnSpPr>
        <xdr:cNvPr id="2" name="Straight Connector 1"/>
        <xdr:cNvCxnSpPr/>
      </xdr:nvCxnSpPr>
      <xdr:spPr>
        <a:xfrm>
          <a:off x="2143125" y="979170"/>
          <a:ext cx="952500"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LINH%20NN/N&#259;m%202023/Luong%202023/Luong%202023/Th&#225;ng%201/th&#225;ng%201/C&#244;ng%20Vi&#7879;c/XNT/Phi&#7871;u%20X-N%20T%20n&#259;m%202015.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T&#7892;%20CH&#7912;C/N&#258;M%202024/L&#431;&#416;NG/N&#212;NG%20TR&#431;&#7900;NG%201%20TH&#193;NG%2008.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272;&#7896;I%208/K&#7870;%20HO&#7840;CH%20SX%20-%20BCKL/TH&#193;NG%207/BCSX%20T6-%20KHSXT7.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Ti&#7873;n%20l&#432;&#417;ng%20&#273;&#7897;i%206%20T5%20(1).25/L&#432;&#417;ng%20CNKT%20th&#225;ng%2005.25%20&#272;&#7897;i%206%20(3%20b&#7843;n).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E:\Users\tinhy\Documents\Zalo%20Received%20Files\Users\H510M\Documents\Zalo%20Received%20Files\Users\Admin\Desktop\Ch&#7845;m%20c&#244;ng%20t&#7921;%20&#273;&#7897;ng.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272;&#7896;I%206%20C&#212;NG%20VI&#7878;C%202025/TH&#193;NG%206/T&#7892;NG%20H&#7906;P%20CH&#7844;M%20C&#212;NG%20V&#192;%20SL%20&#272;&#7896;I%206_T6.1.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Users/Admin/Documents/Zalo%20Received%20Files/KHSX%20T10%20-%20Copy%20(1).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Users/pc/Desktop/N&#212;NG%20TR&#431;&#7900;NG%201%20TH&#193;NG%20042025%20nh&#225;p.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l&#432;&#417;ng%202025/th&#225;ng%204/L&#432;&#417;ng%20T4%20.25%20t&#7927;%20gi&#225;%20c&#7911;%202%20(1).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l&#432;&#417;ng%202025/th&#225;ng%204/L&#432;&#417;ng%20n&#244;ng%20NT3.%20T4%20t&#7927;%20gi&#225;%20c&#361;%20in.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l&#432;&#417;ng%202025/th&#225;ng%204/L&#432;&#417;ng%20th&#225;ng%2004-2025%20Sepon%20t&#7927;%20gi&#225;%20c&#361;%20(1).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l&#432;&#417;ng%202025/th&#225;ng%204/N&#212;NG%20TR&#431;&#7900;NG%201%20TH&#193;NG%2004.2025%20t&#7927;%20gi&#225;%20c&#7911;.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Users/Admin/Documents/Zalo%20Received%20Files/N&#212;NG%20TR&#431;&#7900;NG%201%20TH&#193;NG%2001.2025%20B&#7842;N%20M&#7898;I.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272;&#7896;I%20S&#7842;N%20XU&#7844;T%20S&#7888;%202%20N&#258;M%202025/L&#431;&#416;NG%20&#272;&#7896;I/&#272;&#7896;I%202%20N&#258;M%202025/L&#431;&#416;NG%20&#272;&#7896;I%202%20TH&#193;NG%205.20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HATSINH"/>
      <sheetName val="THONG TIN"/>
      <sheetName val="MA HANG"/>
      <sheetName val="XNT"/>
      <sheetName val="THE HANG"/>
      <sheetName val="Phieu nhap kho Viet"/>
      <sheetName val="PHIEU XUAT KHO"/>
      <sheetName val="Phieu nhap kho Lao 2"/>
      <sheetName val="Chart1"/>
      <sheetName val="Sheet1"/>
      <sheetName val="NT1"/>
      <sheetName val="Phieu nhap kho Lao"/>
    </sheetNames>
    <sheetDataSet>
      <sheetData sheetId="0" refreshError="1">
        <row r="6">
          <cell r="B6" t="str">
            <v>PX.0001NN</v>
          </cell>
        </row>
        <row r="7">
          <cell r="B7" t="str">
            <v>PN.0001</v>
          </cell>
        </row>
        <row r="8">
          <cell r="B8" t="str">
            <v>PN.0001</v>
          </cell>
        </row>
        <row r="9">
          <cell r="B9" t="str">
            <v>PN.0002</v>
          </cell>
        </row>
        <row r="10">
          <cell r="B10" t="str">
            <v>PN.0002</v>
          </cell>
        </row>
        <row r="11">
          <cell r="B11" t="str">
            <v>PN.0003</v>
          </cell>
        </row>
        <row r="12">
          <cell r="B12" t="str">
            <v>PN.0004</v>
          </cell>
        </row>
        <row r="13">
          <cell r="B13" t="str">
            <v>PN.0005</v>
          </cell>
        </row>
        <row r="14">
          <cell r="B14" t="str">
            <v>PN.0006</v>
          </cell>
        </row>
        <row r="15">
          <cell r="B15" t="str">
            <v>PN.0006</v>
          </cell>
        </row>
        <row r="16">
          <cell r="B16" t="str">
            <v>PN.0006</v>
          </cell>
        </row>
        <row r="17">
          <cell r="B17" t="str">
            <v>PN.0007</v>
          </cell>
        </row>
        <row r="18">
          <cell r="B18" t="str">
            <v>PN.0007</v>
          </cell>
        </row>
        <row r="19">
          <cell r="B19" t="str">
            <v>PX.0001XM</v>
          </cell>
        </row>
        <row r="20">
          <cell r="B20" t="str">
            <v>PX.0001XM</v>
          </cell>
        </row>
        <row r="21">
          <cell r="B21" t="str">
            <v>PX.0002XM</v>
          </cell>
        </row>
        <row r="22">
          <cell r="B22" t="str">
            <v>PX.0002XM</v>
          </cell>
        </row>
        <row r="23">
          <cell r="B23" t="str">
            <v>PX.0003XM</v>
          </cell>
        </row>
        <row r="24">
          <cell r="B24" t="str">
            <v>PX.0003XM</v>
          </cell>
        </row>
        <row r="25">
          <cell r="B25" t="str">
            <v>PN.0008</v>
          </cell>
        </row>
        <row r="26">
          <cell r="B26" t="str">
            <v>PX.0001NL</v>
          </cell>
        </row>
        <row r="27">
          <cell r="B27" t="str">
            <v>PX.0003NL</v>
          </cell>
        </row>
        <row r="28">
          <cell r="B28" t="str">
            <v>PX.0002NL</v>
          </cell>
        </row>
        <row r="29">
          <cell r="B29" t="str">
            <v>PN.0009</v>
          </cell>
        </row>
        <row r="30">
          <cell r="B30" t="str">
            <v>PN.0010</v>
          </cell>
        </row>
        <row r="31">
          <cell r="B31" t="str">
            <v>PX.0004NL</v>
          </cell>
        </row>
        <row r="32">
          <cell r="B32" t="str">
            <v>PX.0004NL</v>
          </cell>
        </row>
        <row r="33">
          <cell r="B33" t="str">
            <v>PX.0004NL</v>
          </cell>
        </row>
        <row r="34">
          <cell r="B34" t="str">
            <v>PX.0005NL</v>
          </cell>
        </row>
        <row r="35">
          <cell r="B35" t="str">
            <v>PX.0005NL</v>
          </cell>
        </row>
        <row r="36">
          <cell r="B36" t="str">
            <v>PX.0006NL</v>
          </cell>
        </row>
        <row r="37">
          <cell r="B37" t="str">
            <v>PX.0006NL</v>
          </cell>
        </row>
        <row r="38">
          <cell r="B38" t="str">
            <v>PX.0006NL</v>
          </cell>
        </row>
        <row r="39">
          <cell r="B39" t="str">
            <v>PX.0007NL</v>
          </cell>
        </row>
        <row r="40">
          <cell r="B40" t="str">
            <v>PX.0007NL</v>
          </cell>
        </row>
        <row r="41">
          <cell r="B41" t="str">
            <v>PX.0007NL</v>
          </cell>
        </row>
        <row r="42">
          <cell r="B42" t="str">
            <v>PX.0008NL</v>
          </cell>
        </row>
        <row r="43">
          <cell r="B43" t="str">
            <v>PX.0008NL</v>
          </cell>
        </row>
        <row r="44">
          <cell r="B44" t="str">
            <v>PX.0009NL</v>
          </cell>
        </row>
        <row r="45">
          <cell r="B45" t="str">
            <v>PX.0009NL</v>
          </cell>
        </row>
        <row r="46">
          <cell r="B46" t="str">
            <v>PX.0009NL</v>
          </cell>
        </row>
        <row r="47">
          <cell r="B47" t="str">
            <v>PX.0001PB</v>
          </cell>
        </row>
        <row r="48">
          <cell r="B48" t="str">
            <v>PX.0001PB</v>
          </cell>
        </row>
        <row r="49">
          <cell r="B49" t="str">
            <v>PX.0001PB</v>
          </cell>
        </row>
        <row r="50">
          <cell r="B50" t="str">
            <v>PX.0001PB</v>
          </cell>
        </row>
        <row r="51">
          <cell r="B51" t="str">
            <v>PX.0001PB</v>
          </cell>
        </row>
        <row r="52">
          <cell r="B52" t="str">
            <v>PX.0002NN</v>
          </cell>
        </row>
        <row r="53">
          <cell r="B53" t="str">
            <v>PX.0002PB</v>
          </cell>
        </row>
        <row r="54">
          <cell r="B54" t="str">
            <v>PX.0002PB</v>
          </cell>
        </row>
        <row r="55">
          <cell r="B55" t="str">
            <v>PX.0002PB</v>
          </cell>
        </row>
        <row r="56">
          <cell r="B56" t="str">
            <v>PN.10A</v>
          </cell>
        </row>
        <row r="57">
          <cell r="B57" t="str">
            <v>PN.0011</v>
          </cell>
        </row>
        <row r="58">
          <cell r="B58" t="str">
            <v>PN.0011</v>
          </cell>
        </row>
        <row r="59">
          <cell r="B59" t="str">
            <v>PN.0011</v>
          </cell>
        </row>
        <row r="60">
          <cell r="B60" t="str">
            <v>PN.0012</v>
          </cell>
        </row>
        <row r="61">
          <cell r="B61" t="str">
            <v>PN.0012</v>
          </cell>
        </row>
        <row r="62">
          <cell r="B62" t="str">
            <v>PN.0012</v>
          </cell>
        </row>
        <row r="63">
          <cell r="B63" t="str">
            <v>PN.0013</v>
          </cell>
        </row>
        <row r="64">
          <cell r="B64" t="str">
            <v>PN.0014</v>
          </cell>
        </row>
        <row r="65">
          <cell r="B65" t="str">
            <v>PN.0014</v>
          </cell>
        </row>
        <row r="66">
          <cell r="B66" t="str">
            <v>PN.0015</v>
          </cell>
        </row>
        <row r="67">
          <cell r="B67" t="str">
            <v>PN.0016</v>
          </cell>
        </row>
        <row r="68">
          <cell r="B68" t="str">
            <v>PN.0017</v>
          </cell>
        </row>
        <row r="69">
          <cell r="B69" t="str">
            <v>PX.0010NL</v>
          </cell>
        </row>
        <row r="70">
          <cell r="B70" t="str">
            <v>PX.0010NL</v>
          </cell>
        </row>
        <row r="71">
          <cell r="B71" t="str">
            <v>PX.0010NL</v>
          </cell>
        </row>
        <row r="72">
          <cell r="B72" t="str">
            <v>PX.0011NL</v>
          </cell>
        </row>
        <row r="73">
          <cell r="B73" t="str">
            <v>PX.0012NL</v>
          </cell>
        </row>
        <row r="74">
          <cell r="B74" t="str">
            <v>PX.0012NL</v>
          </cell>
        </row>
        <row r="75">
          <cell r="B75" t="str">
            <v>PX.0012NL</v>
          </cell>
        </row>
        <row r="76">
          <cell r="B76" t="str">
            <v>PX.0013NL</v>
          </cell>
        </row>
        <row r="77">
          <cell r="B77" t="str">
            <v>PX.0013NL</v>
          </cell>
        </row>
        <row r="78">
          <cell r="B78" t="str">
            <v>PX.0013NL</v>
          </cell>
        </row>
        <row r="79">
          <cell r="B79" t="str">
            <v>PX.0014NL</v>
          </cell>
        </row>
        <row r="80">
          <cell r="B80" t="str">
            <v>PX.0014NL</v>
          </cell>
        </row>
        <row r="81">
          <cell r="B81" t="str">
            <v>PX.0015NL</v>
          </cell>
        </row>
        <row r="82">
          <cell r="B82" t="str">
            <v>PX.0016NL</v>
          </cell>
        </row>
        <row r="83">
          <cell r="B83" t="str">
            <v>PX.0017NL</v>
          </cell>
        </row>
        <row r="84">
          <cell r="B84" t="str">
            <v>PX.0018NL</v>
          </cell>
        </row>
        <row r="85">
          <cell r="B85" t="str">
            <v>PX.0018NL</v>
          </cell>
        </row>
        <row r="86">
          <cell r="B86" t="str">
            <v>PX.0018NL</v>
          </cell>
        </row>
        <row r="87">
          <cell r="B87" t="str">
            <v>PX.0003PB</v>
          </cell>
        </row>
        <row r="88">
          <cell r="B88" t="str">
            <v>PX.0003PB</v>
          </cell>
        </row>
        <row r="89">
          <cell r="B89" t="str">
            <v>PX.0004PB</v>
          </cell>
        </row>
        <row r="90">
          <cell r="B90" t="str">
            <v>PX.0004PB</v>
          </cell>
        </row>
        <row r="91">
          <cell r="B91" t="str">
            <v>PN.0018</v>
          </cell>
        </row>
        <row r="92">
          <cell r="B92" t="str">
            <v>PN.0019</v>
          </cell>
        </row>
        <row r="93">
          <cell r="B93" t="str">
            <v>PN.0019</v>
          </cell>
        </row>
        <row r="94">
          <cell r="B94" t="str">
            <v>PN.0020</v>
          </cell>
        </row>
        <row r="95">
          <cell r="B95" t="str">
            <v>PN.0020</v>
          </cell>
        </row>
        <row r="96">
          <cell r="B96" t="str">
            <v>PN.0021</v>
          </cell>
        </row>
        <row r="97">
          <cell r="B97" t="str">
            <v>PN.0021</v>
          </cell>
        </row>
        <row r="98">
          <cell r="B98" t="str">
            <v>PN.0021</v>
          </cell>
        </row>
        <row r="99">
          <cell r="B99" t="str">
            <v>PN.0022</v>
          </cell>
        </row>
        <row r="100">
          <cell r="B100" t="str">
            <v>PN.0022</v>
          </cell>
        </row>
        <row r="101">
          <cell r="B101" t="str">
            <v>PN.0022</v>
          </cell>
        </row>
        <row r="102">
          <cell r="B102" t="str">
            <v>PN.0023</v>
          </cell>
        </row>
        <row r="103">
          <cell r="B103" t="str">
            <v>PN.0023</v>
          </cell>
        </row>
        <row r="104">
          <cell r="B104" t="str">
            <v>PN.0023</v>
          </cell>
        </row>
        <row r="105">
          <cell r="B105" t="str">
            <v>PN.0024</v>
          </cell>
        </row>
        <row r="106">
          <cell r="B106" t="str">
            <v>PN.0025</v>
          </cell>
        </row>
        <row r="107">
          <cell r="B107" t="str">
            <v>PN.0026</v>
          </cell>
        </row>
        <row r="108">
          <cell r="B108" t="str">
            <v>PN.0027</v>
          </cell>
        </row>
        <row r="109">
          <cell r="B109" t="str">
            <v>PX.0001VP</v>
          </cell>
        </row>
        <row r="110">
          <cell r="B110" t="str">
            <v>PX.0003NN</v>
          </cell>
        </row>
        <row r="111">
          <cell r="B111" t="str">
            <v>PX.0004XM</v>
          </cell>
        </row>
        <row r="112">
          <cell r="B112" t="str">
            <v>PX.0004XM</v>
          </cell>
        </row>
        <row r="113">
          <cell r="B113" t="str">
            <v>PX.0005XM</v>
          </cell>
        </row>
        <row r="114">
          <cell r="B114" t="str">
            <v>PX.0019NL</v>
          </cell>
        </row>
        <row r="115">
          <cell r="B115" t="str">
            <v>PX.0019NL</v>
          </cell>
        </row>
        <row r="116">
          <cell r="B116" t="str">
            <v>PX.0019NL</v>
          </cell>
        </row>
        <row r="117">
          <cell r="B117" t="str">
            <v>PX.0020NL</v>
          </cell>
        </row>
        <row r="118">
          <cell r="B118" t="str">
            <v>PX.0021NL</v>
          </cell>
        </row>
        <row r="119">
          <cell r="B119" t="str">
            <v>PX.0022NL</v>
          </cell>
        </row>
        <row r="120">
          <cell r="B120" t="str">
            <v>PX.0023NL</v>
          </cell>
        </row>
        <row r="121">
          <cell r="B121" t="str">
            <v>PX.0006XM</v>
          </cell>
        </row>
        <row r="122">
          <cell r="B122" t="str">
            <v>PX.0006XM</v>
          </cell>
        </row>
        <row r="123">
          <cell r="B123" t="str">
            <v>PX.0006XM</v>
          </cell>
        </row>
        <row r="124">
          <cell r="B124" t="str">
            <v>PX.0006XM</v>
          </cell>
        </row>
        <row r="125">
          <cell r="B125" t="str">
            <v>PX.0006XM</v>
          </cell>
        </row>
        <row r="126">
          <cell r="B126" t="str">
            <v>PX.0006XM</v>
          </cell>
        </row>
        <row r="127">
          <cell r="B127" t="str">
            <v>PX.0006XM</v>
          </cell>
        </row>
        <row r="128">
          <cell r="B128" t="str">
            <v>PX.0006XM</v>
          </cell>
        </row>
        <row r="129">
          <cell r="B129" t="str">
            <v>PX.0006XM</v>
          </cell>
        </row>
        <row r="130">
          <cell r="B130" t="str">
            <v>PX.0006XM</v>
          </cell>
        </row>
        <row r="131">
          <cell r="B131" t="str">
            <v>PX.0004NN</v>
          </cell>
        </row>
        <row r="132">
          <cell r="B132" t="str">
            <v>PX.0004NN</v>
          </cell>
        </row>
        <row r="133">
          <cell r="B133" t="str">
            <v>PX.0004NN</v>
          </cell>
        </row>
        <row r="134">
          <cell r="B134" t="str">
            <v>PX.0004NN</v>
          </cell>
        </row>
        <row r="135">
          <cell r="B135" t="str">
            <v>PX.0004PB</v>
          </cell>
        </row>
        <row r="136">
          <cell r="B136" t="str">
            <v>PX.0004PB</v>
          </cell>
        </row>
        <row r="137">
          <cell r="B137" t="str">
            <v>PX.0004PB</v>
          </cell>
        </row>
        <row r="138">
          <cell r="B138" t="str">
            <v>PX.0004PB</v>
          </cell>
        </row>
        <row r="139">
          <cell r="B139" t="str">
            <v>PX.0002VP</v>
          </cell>
        </row>
        <row r="140">
          <cell r="B140" t="str">
            <v>PX.0006PB</v>
          </cell>
        </row>
        <row r="141">
          <cell r="B141" t="str">
            <v>PX.0006PB</v>
          </cell>
        </row>
        <row r="142">
          <cell r="B142" t="str">
            <v>PX.0006PB</v>
          </cell>
        </row>
        <row r="143">
          <cell r="B143" t="str">
            <v>PX.0006PB</v>
          </cell>
        </row>
        <row r="144">
          <cell r="B144" t="str">
            <v>PX.0024NL</v>
          </cell>
        </row>
        <row r="145">
          <cell r="B145" t="str">
            <v>PX.0024NL</v>
          </cell>
        </row>
        <row r="146">
          <cell r="B146" t="str">
            <v>PX.0024NL</v>
          </cell>
        </row>
        <row r="147">
          <cell r="B147" t="str">
            <v>PX.0005NN</v>
          </cell>
        </row>
        <row r="148">
          <cell r="B148" t="str">
            <v>PX.0025NL</v>
          </cell>
        </row>
        <row r="149">
          <cell r="B149" t="str">
            <v>PX.0025NL</v>
          </cell>
        </row>
        <row r="150">
          <cell r="B150" t="str">
            <v>PX.0025NL</v>
          </cell>
        </row>
        <row r="151">
          <cell r="B151" t="str">
            <v>PX.0007PB</v>
          </cell>
        </row>
        <row r="152">
          <cell r="B152" t="str">
            <v>PX.0007PB</v>
          </cell>
        </row>
        <row r="153">
          <cell r="B153" t="str">
            <v>PX.0026NL</v>
          </cell>
        </row>
        <row r="154">
          <cell r="B154" t="str">
            <v>PX.0026NL</v>
          </cell>
        </row>
        <row r="155">
          <cell r="B155" t="str">
            <v>PX.0026NL</v>
          </cell>
        </row>
        <row r="156">
          <cell r="B156" t="str">
            <v>PX.0008PB</v>
          </cell>
        </row>
        <row r="157">
          <cell r="B157" t="str">
            <v>PX.0008PB</v>
          </cell>
        </row>
        <row r="158">
          <cell r="B158" t="str">
            <v>PX.0008PB</v>
          </cell>
        </row>
        <row r="159">
          <cell r="B159" t="str">
            <v>PX.0008PB</v>
          </cell>
        </row>
        <row r="160">
          <cell r="B160" t="str">
            <v>PX.0006NN</v>
          </cell>
        </row>
        <row r="161">
          <cell r="B161" t="str">
            <v>PX.0006NN</v>
          </cell>
        </row>
        <row r="162">
          <cell r="B162" t="str">
            <v>PX.0007NN</v>
          </cell>
        </row>
        <row r="163">
          <cell r="B163" t="str">
            <v>PX.0027NL</v>
          </cell>
        </row>
        <row r="164">
          <cell r="B164" t="str">
            <v>PX.0027NL</v>
          </cell>
        </row>
        <row r="165">
          <cell r="B165" t="str">
            <v>PN.0028</v>
          </cell>
        </row>
        <row r="166">
          <cell r="B166" t="str">
            <v>PN.0028</v>
          </cell>
        </row>
        <row r="167">
          <cell r="B167" t="str">
            <v>PN.0028</v>
          </cell>
        </row>
        <row r="168">
          <cell r="B168" t="str">
            <v>PN.0029</v>
          </cell>
        </row>
        <row r="169">
          <cell r="B169" t="str">
            <v>PN.0030</v>
          </cell>
        </row>
        <row r="170">
          <cell r="B170" t="str">
            <v>PN.0030</v>
          </cell>
        </row>
        <row r="171">
          <cell r="B171" t="str">
            <v>PN.0031</v>
          </cell>
        </row>
        <row r="172">
          <cell r="B172" t="str">
            <v>PN.0031</v>
          </cell>
        </row>
        <row r="173">
          <cell r="B173" t="str">
            <v>PN.0031</v>
          </cell>
        </row>
        <row r="174">
          <cell r="B174" t="str">
            <v>PN.0032</v>
          </cell>
        </row>
        <row r="175">
          <cell r="B175" t="str">
            <v>PN.0033</v>
          </cell>
        </row>
        <row r="176">
          <cell r="B176" t="str">
            <v>PN.0034</v>
          </cell>
        </row>
        <row r="177">
          <cell r="B177" t="str">
            <v>PX.0008NN</v>
          </cell>
        </row>
        <row r="178">
          <cell r="B178" t="str">
            <v>PX.0009NN</v>
          </cell>
        </row>
        <row r="179">
          <cell r="B179" t="str">
            <v>PX.0028NL</v>
          </cell>
        </row>
        <row r="180">
          <cell r="B180" t="str">
            <v>PX.0029NL</v>
          </cell>
        </row>
        <row r="181">
          <cell r="B181" t="str">
            <v>PX.0030NL</v>
          </cell>
        </row>
        <row r="182">
          <cell r="B182" t="str">
            <v>PX.0031NL</v>
          </cell>
        </row>
        <row r="183">
          <cell r="B183" t="str">
            <v>PX.0031NL</v>
          </cell>
        </row>
        <row r="184">
          <cell r="B184" t="str">
            <v>PX.0031NL</v>
          </cell>
        </row>
        <row r="185">
          <cell r="B185" t="str">
            <v>PX.0032NL</v>
          </cell>
        </row>
        <row r="186">
          <cell r="B186" t="str">
            <v>PX.0033NL</v>
          </cell>
        </row>
        <row r="187">
          <cell r="B187" t="str">
            <v>PX.0033NL</v>
          </cell>
        </row>
        <row r="188">
          <cell r="B188" t="str">
            <v>PX.0033NL</v>
          </cell>
        </row>
        <row r="189">
          <cell r="B189" t="str">
            <v>PX.0034NL</v>
          </cell>
        </row>
        <row r="190">
          <cell r="B190" t="str">
            <v>PX.0034NL</v>
          </cell>
        </row>
        <row r="191">
          <cell r="B191" t="str">
            <v>PX.0034NL</v>
          </cell>
        </row>
        <row r="192">
          <cell r="B192" t="str">
            <v>PX.0009PB</v>
          </cell>
        </row>
        <row r="193">
          <cell r="B193" t="str">
            <v>PX.0010NN</v>
          </cell>
        </row>
        <row r="194">
          <cell r="B194" t="str">
            <v>PX.0010NN</v>
          </cell>
        </row>
        <row r="195">
          <cell r="B195" t="str">
            <v>PX.0010NN</v>
          </cell>
        </row>
        <row r="196">
          <cell r="B196" t="str">
            <v>PX.0010PB</v>
          </cell>
        </row>
        <row r="197">
          <cell r="B197" t="str">
            <v>PX.0010PB</v>
          </cell>
        </row>
        <row r="198">
          <cell r="B198" t="str">
            <v>PX.0011PB</v>
          </cell>
        </row>
        <row r="199">
          <cell r="B199" t="str">
            <v>PX.0011PB</v>
          </cell>
        </row>
        <row r="200">
          <cell r="B200" t="str">
            <v>PX.0011PB</v>
          </cell>
        </row>
        <row r="201">
          <cell r="B201" t="str">
            <v>PN.0035</v>
          </cell>
        </row>
        <row r="202">
          <cell r="B202" t="str">
            <v>PN.0036</v>
          </cell>
        </row>
        <row r="203">
          <cell r="B203" t="str">
            <v>PN.0036</v>
          </cell>
        </row>
        <row r="204">
          <cell r="B204" t="str">
            <v>PN.0037</v>
          </cell>
        </row>
        <row r="205">
          <cell r="B205" t="str">
            <v>PN.0037</v>
          </cell>
        </row>
        <row r="206">
          <cell r="B206" t="str">
            <v>PN.0037</v>
          </cell>
        </row>
        <row r="207">
          <cell r="B207" t="str">
            <v>PN.0038</v>
          </cell>
        </row>
        <row r="208">
          <cell r="B208" t="str">
            <v>PN.0038</v>
          </cell>
        </row>
        <row r="209">
          <cell r="B209" t="str">
            <v>PN.0039</v>
          </cell>
        </row>
        <row r="210">
          <cell r="B210" t="str">
            <v>PN.0039</v>
          </cell>
        </row>
        <row r="211">
          <cell r="B211" t="str">
            <v>PN.0039</v>
          </cell>
        </row>
        <row r="212">
          <cell r="B212" t="str">
            <v>PN.0040</v>
          </cell>
        </row>
        <row r="213">
          <cell r="B213" t="str">
            <v>PN.0040</v>
          </cell>
        </row>
        <row r="214">
          <cell r="B214" t="str">
            <v>PN.0040</v>
          </cell>
        </row>
        <row r="215">
          <cell r="B215" t="str">
            <v>PN.0041</v>
          </cell>
        </row>
        <row r="216">
          <cell r="B216" t="str">
            <v>PN.0042</v>
          </cell>
        </row>
        <row r="217">
          <cell r="B217" t="str">
            <v>PN.0043</v>
          </cell>
        </row>
        <row r="218">
          <cell r="B218" t="str">
            <v>PN.0044</v>
          </cell>
        </row>
        <row r="219">
          <cell r="B219" t="str">
            <v>PN.0045</v>
          </cell>
        </row>
        <row r="220">
          <cell r="B220" t="str">
            <v>PN.0045</v>
          </cell>
        </row>
        <row r="221">
          <cell r="B221" t="str">
            <v>PX.0011NN</v>
          </cell>
        </row>
        <row r="222">
          <cell r="B222" t="str">
            <v>PX.0035NL</v>
          </cell>
        </row>
        <row r="223">
          <cell r="B223" t="str">
            <v>PX.0036NL</v>
          </cell>
        </row>
        <row r="224">
          <cell r="B224" t="str">
            <v>PX.0037NL</v>
          </cell>
        </row>
        <row r="225">
          <cell r="B225" t="str">
            <v>PN.0046</v>
          </cell>
        </row>
        <row r="226">
          <cell r="B226" t="str">
            <v>PN.0046</v>
          </cell>
        </row>
        <row r="227">
          <cell r="B227" t="str">
            <v>PN.0047</v>
          </cell>
        </row>
        <row r="228">
          <cell r="B228" t="str">
            <v>PN.0047</v>
          </cell>
        </row>
        <row r="229">
          <cell r="B229" t="str">
            <v>PX.0012NN</v>
          </cell>
        </row>
        <row r="230">
          <cell r="B230" t="str">
            <v>PX.0012NN</v>
          </cell>
        </row>
        <row r="231">
          <cell r="B231" t="str">
            <v>PX.0038NL</v>
          </cell>
        </row>
        <row r="232">
          <cell r="B232" t="str">
            <v>PX.0039NL</v>
          </cell>
        </row>
        <row r="233">
          <cell r="B233" t="str">
            <v>PX.0040NL</v>
          </cell>
        </row>
        <row r="234">
          <cell r="B234" t="str">
            <v>PX.0041NL</v>
          </cell>
        </row>
        <row r="235">
          <cell r="B235" t="str">
            <v>PX.0041NL</v>
          </cell>
        </row>
        <row r="236">
          <cell r="B236" t="str">
            <v>PX.0041NL</v>
          </cell>
        </row>
        <row r="237">
          <cell r="B237" t="str">
            <v>PX.0012PB</v>
          </cell>
        </row>
        <row r="238">
          <cell r="B238" t="str">
            <v>PX.0012PB</v>
          </cell>
        </row>
        <row r="239">
          <cell r="B239" t="str">
            <v>PX.0042NL</v>
          </cell>
        </row>
        <row r="240">
          <cell r="B240" t="str">
            <v>PX.0042NL</v>
          </cell>
        </row>
        <row r="241">
          <cell r="B241" t="str">
            <v>PX.0042NL</v>
          </cell>
        </row>
        <row r="242">
          <cell r="B242" t="str">
            <v>PX.0013NN</v>
          </cell>
        </row>
        <row r="243">
          <cell r="B243" t="str">
            <v>PX.0013NN</v>
          </cell>
        </row>
        <row r="244">
          <cell r="B244" t="str">
            <v>PX.0013NN</v>
          </cell>
        </row>
        <row r="245">
          <cell r="B245" t="str">
            <v>PX.0013NN</v>
          </cell>
        </row>
        <row r="246">
          <cell r="B246" t="str">
            <v>PX.0013NN</v>
          </cell>
        </row>
        <row r="247">
          <cell r="B247" t="str">
            <v>PX.0013NN</v>
          </cell>
        </row>
        <row r="248">
          <cell r="B248" t="str">
            <v>PX.0013NN</v>
          </cell>
        </row>
        <row r="249">
          <cell r="B249" t="str">
            <v>PX.0013NN</v>
          </cell>
        </row>
        <row r="250">
          <cell r="B250" t="str">
            <v>PX.0013PB</v>
          </cell>
        </row>
        <row r="251">
          <cell r="B251" t="str">
            <v>PX.0013PB</v>
          </cell>
        </row>
        <row r="252">
          <cell r="B252" t="str">
            <v>PX.0013PB</v>
          </cell>
        </row>
        <row r="253">
          <cell r="B253" t="str">
            <v>PX.0013PB</v>
          </cell>
        </row>
        <row r="254">
          <cell r="B254" t="str">
            <v>PX.0013PB</v>
          </cell>
        </row>
        <row r="255">
          <cell r="B255" t="str">
            <v/>
          </cell>
        </row>
        <row r="256">
          <cell r="B256" t="str">
            <v/>
          </cell>
        </row>
        <row r="976">
          <cell r="B976" t="str">
            <v/>
          </cell>
        </row>
        <row r="978">
          <cell r="B978" t="str">
            <v/>
          </cell>
        </row>
        <row r="979">
          <cell r="B979" t="str">
            <v/>
          </cell>
        </row>
        <row r="980">
          <cell r="B980" t="str">
            <v/>
          </cell>
        </row>
        <row r="981">
          <cell r="B981" t="str">
            <v/>
          </cell>
        </row>
        <row r="982">
          <cell r="B982" t="str">
            <v/>
          </cell>
        </row>
        <row r="983">
          <cell r="B983" t="str">
            <v/>
          </cell>
        </row>
        <row r="984">
          <cell r="B984" t="str">
            <v/>
          </cell>
        </row>
        <row r="985">
          <cell r="B985" t="str">
            <v/>
          </cell>
        </row>
        <row r="986">
          <cell r="B986" t="str">
            <v/>
          </cell>
        </row>
        <row r="987">
          <cell r="B987" t="str">
            <v/>
          </cell>
        </row>
        <row r="988">
          <cell r="B988" t="str">
            <v/>
          </cell>
        </row>
        <row r="989">
          <cell r="B989" t="str">
            <v/>
          </cell>
        </row>
        <row r="990">
          <cell r="B990" t="str">
            <v/>
          </cell>
        </row>
        <row r="991">
          <cell r="B991" t="str">
            <v/>
          </cell>
        </row>
        <row r="992">
          <cell r="B992" t="str">
            <v/>
          </cell>
        </row>
        <row r="993">
          <cell r="B993" t="str">
            <v/>
          </cell>
        </row>
        <row r="994">
          <cell r="B994" t="str">
            <v/>
          </cell>
        </row>
        <row r="995">
          <cell r="B995" t="str">
            <v/>
          </cell>
        </row>
        <row r="996">
          <cell r="B996" t="str">
            <v/>
          </cell>
        </row>
        <row r="997">
          <cell r="B997" t="str">
            <v/>
          </cell>
        </row>
        <row r="998">
          <cell r="B998" t="str">
            <v/>
          </cell>
        </row>
        <row r="999">
          <cell r="B999" t="str">
            <v/>
          </cell>
        </row>
        <row r="1000">
          <cell r="B1000" t="str">
            <v/>
          </cell>
        </row>
        <row r="1001">
          <cell r="B1001" t="str">
            <v/>
          </cell>
        </row>
        <row r="1002">
          <cell r="B1002" t="str">
            <v/>
          </cell>
        </row>
        <row r="1003">
          <cell r="B1003" t="str">
            <v/>
          </cell>
        </row>
        <row r="1004">
          <cell r="B1004" t="str">
            <v/>
          </cell>
        </row>
        <row r="1005">
          <cell r="B1005" t="str">
            <v/>
          </cell>
        </row>
        <row r="1006">
          <cell r="B1006" t="str">
            <v/>
          </cell>
        </row>
        <row r="1007">
          <cell r="B1007" t="str">
            <v/>
          </cell>
        </row>
        <row r="1008">
          <cell r="B1008" t="str">
            <v/>
          </cell>
        </row>
        <row r="1009">
          <cell r="B1009" t="str">
            <v/>
          </cell>
        </row>
        <row r="1010">
          <cell r="B1010" t="str">
            <v/>
          </cell>
        </row>
        <row r="1011">
          <cell r="B1011" t="str">
            <v/>
          </cell>
        </row>
        <row r="1012">
          <cell r="B1012" t="str">
            <v/>
          </cell>
        </row>
        <row r="1013">
          <cell r="B1013" t="str">
            <v/>
          </cell>
        </row>
        <row r="1014">
          <cell r="B1014" t="str">
            <v/>
          </cell>
        </row>
        <row r="1015">
          <cell r="B1015" t="str">
            <v/>
          </cell>
        </row>
        <row r="1016">
          <cell r="B1016" t="str">
            <v/>
          </cell>
        </row>
        <row r="1017">
          <cell r="B1017" t="str">
            <v/>
          </cell>
        </row>
        <row r="1018">
          <cell r="B1018" t="str">
            <v/>
          </cell>
        </row>
        <row r="1019">
          <cell r="B1019" t="str">
            <v/>
          </cell>
        </row>
        <row r="1020">
          <cell r="B1020" t="str">
            <v/>
          </cell>
        </row>
        <row r="1021">
          <cell r="B1021" t="str">
            <v/>
          </cell>
        </row>
        <row r="1022">
          <cell r="B1022" t="str">
            <v/>
          </cell>
        </row>
        <row r="1023">
          <cell r="B1023" t="str">
            <v/>
          </cell>
        </row>
        <row r="1024">
          <cell r="B1024" t="str">
            <v/>
          </cell>
        </row>
        <row r="1025">
          <cell r="B1025" t="str">
            <v/>
          </cell>
        </row>
        <row r="1026">
          <cell r="B1026" t="str">
            <v/>
          </cell>
        </row>
        <row r="1027">
          <cell r="B1027" t="str">
            <v/>
          </cell>
        </row>
        <row r="1028">
          <cell r="B1028" t="str">
            <v/>
          </cell>
        </row>
        <row r="1029">
          <cell r="B1029" t="str">
            <v/>
          </cell>
        </row>
        <row r="1030">
          <cell r="B1030" t="str">
            <v/>
          </cell>
        </row>
        <row r="1031">
          <cell r="B1031" t="str">
            <v/>
          </cell>
        </row>
        <row r="1032">
          <cell r="B1032" t="str">
            <v/>
          </cell>
        </row>
        <row r="1033">
          <cell r="B1033" t="str">
            <v/>
          </cell>
        </row>
        <row r="1034">
          <cell r="B1034" t="str">
            <v/>
          </cell>
        </row>
        <row r="1035">
          <cell r="B1035" t="str">
            <v/>
          </cell>
        </row>
        <row r="1036">
          <cell r="B1036" t="str">
            <v/>
          </cell>
        </row>
        <row r="1037">
          <cell r="B1037" t="str">
            <v/>
          </cell>
        </row>
        <row r="1038">
          <cell r="B1038" t="str">
            <v/>
          </cell>
        </row>
        <row r="1039">
          <cell r="B1039" t="str">
            <v/>
          </cell>
        </row>
        <row r="1040">
          <cell r="B1040" t="str">
            <v/>
          </cell>
        </row>
        <row r="1041">
          <cell r="B1041" t="str">
            <v/>
          </cell>
        </row>
        <row r="1042">
          <cell r="B1042" t="str">
            <v/>
          </cell>
        </row>
        <row r="1043">
          <cell r="B1043" t="str">
            <v/>
          </cell>
        </row>
        <row r="1044">
          <cell r="B1044" t="str">
            <v/>
          </cell>
        </row>
        <row r="1045">
          <cell r="B1045" t="str">
            <v/>
          </cell>
        </row>
        <row r="1046">
          <cell r="B1046" t="str">
            <v/>
          </cell>
        </row>
        <row r="1047">
          <cell r="B1047" t="str">
            <v/>
          </cell>
        </row>
        <row r="1048">
          <cell r="B1048" t="str">
            <v/>
          </cell>
        </row>
        <row r="1049">
          <cell r="B1049" t="str">
            <v/>
          </cell>
        </row>
        <row r="1050">
          <cell r="B1050" t="str">
            <v/>
          </cell>
        </row>
        <row r="1051">
          <cell r="B1051" t="str">
            <v/>
          </cell>
        </row>
        <row r="1052">
          <cell r="B1052" t="str">
            <v/>
          </cell>
        </row>
        <row r="1053">
          <cell r="B1053" t="str">
            <v/>
          </cell>
        </row>
        <row r="1054">
          <cell r="B1054" t="str">
            <v/>
          </cell>
        </row>
        <row r="1055">
          <cell r="B1055" t="str">
            <v/>
          </cell>
        </row>
        <row r="1056">
          <cell r="B1056" t="str">
            <v/>
          </cell>
        </row>
        <row r="1057">
          <cell r="B1057" t="str">
            <v/>
          </cell>
        </row>
        <row r="1058">
          <cell r="B1058" t="str">
            <v/>
          </cell>
        </row>
        <row r="1059">
          <cell r="B1059" t="str">
            <v/>
          </cell>
        </row>
        <row r="1060">
          <cell r="B1060" t="str">
            <v/>
          </cell>
        </row>
        <row r="1061">
          <cell r="B1061" t="str">
            <v/>
          </cell>
        </row>
        <row r="1062">
          <cell r="B1062" t="str">
            <v/>
          </cell>
        </row>
        <row r="1063">
          <cell r="B1063" t="str">
            <v/>
          </cell>
        </row>
        <row r="1064">
          <cell r="B1064" t="str">
            <v/>
          </cell>
        </row>
        <row r="1065">
          <cell r="B1065" t="str">
            <v/>
          </cell>
        </row>
        <row r="1066">
          <cell r="B1066" t="str">
            <v/>
          </cell>
        </row>
        <row r="1067">
          <cell r="B1067" t="str">
            <v/>
          </cell>
        </row>
        <row r="1068">
          <cell r="B1068" t="str">
            <v/>
          </cell>
        </row>
        <row r="1069">
          <cell r="B1069" t="str">
            <v/>
          </cell>
        </row>
        <row r="1070">
          <cell r="B1070" t="str">
            <v/>
          </cell>
        </row>
        <row r="1071">
          <cell r="B1071" t="str">
            <v/>
          </cell>
        </row>
        <row r="1072">
          <cell r="B1072" t="str">
            <v/>
          </cell>
        </row>
        <row r="1073">
          <cell r="B1073" t="str">
            <v/>
          </cell>
        </row>
        <row r="1074">
          <cell r="B1074" t="str">
            <v/>
          </cell>
        </row>
        <row r="1075">
          <cell r="B1075" t="str">
            <v/>
          </cell>
        </row>
        <row r="1076">
          <cell r="B1076" t="str">
            <v/>
          </cell>
        </row>
        <row r="1077">
          <cell r="B1077" t="str">
            <v/>
          </cell>
        </row>
        <row r="1078">
          <cell r="B1078" t="str">
            <v/>
          </cell>
        </row>
        <row r="1079">
          <cell r="B1079" t="str">
            <v/>
          </cell>
        </row>
        <row r="1080">
          <cell r="B1080" t="str">
            <v/>
          </cell>
        </row>
        <row r="1081">
          <cell r="B1081" t="str">
            <v/>
          </cell>
        </row>
        <row r="1082">
          <cell r="B1082" t="str">
            <v/>
          </cell>
        </row>
        <row r="1083">
          <cell r="B1083" t="str">
            <v/>
          </cell>
        </row>
        <row r="1084">
          <cell r="B1084" t="str">
            <v/>
          </cell>
        </row>
        <row r="1085">
          <cell r="B1085" t="str">
            <v/>
          </cell>
        </row>
        <row r="1086">
          <cell r="B1086" t="str">
            <v/>
          </cell>
        </row>
        <row r="1087">
          <cell r="B1087" t="str">
            <v/>
          </cell>
        </row>
        <row r="1088">
          <cell r="B1088" t="str">
            <v/>
          </cell>
        </row>
        <row r="1089">
          <cell r="B1089" t="str">
            <v/>
          </cell>
        </row>
        <row r="1090">
          <cell r="B1090" t="str">
            <v/>
          </cell>
        </row>
        <row r="1091">
          <cell r="B1091" t="str">
            <v/>
          </cell>
        </row>
        <row r="1092">
          <cell r="B1092" t="str">
            <v/>
          </cell>
        </row>
        <row r="1093">
          <cell r="B1093" t="str">
            <v/>
          </cell>
        </row>
        <row r="1094">
          <cell r="B1094" t="str">
            <v/>
          </cell>
        </row>
        <row r="1095">
          <cell r="B1095" t="str">
            <v/>
          </cell>
        </row>
        <row r="1096">
          <cell r="B1096" t="str">
            <v/>
          </cell>
        </row>
        <row r="1097">
          <cell r="B1097" t="str">
            <v/>
          </cell>
        </row>
        <row r="1098">
          <cell r="B1098" t="str">
            <v/>
          </cell>
        </row>
        <row r="1099">
          <cell r="B1099" t="str">
            <v/>
          </cell>
        </row>
        <row r="1100">
          <cell r="B1100" t="str">
            <v/>
          </cell>
        </row>
        <row r="1101">
          <cell r="B1101" t="str">
            <v/>
          </cell>
        </row>
        <row r="1102">
          <cell r="B1102" t="str">
            <v/>
          </cell>
        </row>
        <row r="1103">
          <cell r="B1103" t="str">
            <v/>
          </cell>
        </row>
        <row r="1104">
          <cell r="B1104" t="str">
            <v/>
          </cell>
        </row>
        <row r="1105">
          <cell r="B1105" t="str">
            <v/>
          </cell>
        </row>
        <row r="1106">
          <cell r="B1106" t="str">
            <v/>
          </cell>
        </row>
        <row r="1107">
          <cell r="B1107" t="str">
            <v/>
          </cell>
        </row>
        <row r="1108">
          <cell r="B1108" t="str">
            <v/>
          </cell>
        </row>
        <row r="1109">
          <cell r="B1109" t="str">
            <v/>
          </cell>
        </row>
        <row r="1110">
          <cell r="B1110" t="str">
            <v/>
          </cell>
        </row>
        <row r="1111">
          <cell r="B1111" t="str">
            <v/>
          </cell>
        </row>
        <row r="1112">
          <cell r="B1112" t="str">
            <v/>
          </cell>
        </row>
        <row r="1113">
          <cell r="B1113" t="str">
            <v/>
          </cell>
        </row>
        <row r="1114">
          <cell r="B1114" t="str">
            <v/>
          </cell>
        </row>
        <row r="1115">
          <cell r="B1115" t="str">
            <v/>
          </cell>
        </row>
        <row r="1116">
          <cell r="B1116" t="str">
            <v/>
          </cell>
        </row>
        <row r="1117">
          <cell r="B1117" t="str">
            <v/>
          </cell>
        </row>
        <row r="1118">
          <cell r="B1118" t="str">
            <v/>
          </cell>
        </row>
        <row r="1119">
          <cell r="B1119" t="str">
            <v/>
          </cell>
        </row>
        <row r="1120">
          <cell r="B1120" t="str">
            <v/>
          </cell>
        </row>
        <row r="1121">
          <cell r="B1121" t="str">
            <v/>
          </cell>
        </row>
        <row r="1122">
          <cell r="B1122" t="str">
            <v/>
          </cell>
        </row>
        <row r="1123">
          <cell r="B1123" t="str">
            <v/>
          </cell>
        </row>
        <row r="1124">
          <cell r="B1124" t="str">
            <v/>
          </cell>
        </row>
        <row r="1125">
          <cell r="B1125" t="str">
            <v/>
          </cell>
        </row>
        <row r="1126">
          <cell r="B1126" t="str">
            <v/>
          </cell>
        </row>
        <row r="1127">
          <cell r="B1127" t="str">
            <v/>
          </cell>
        </row>
        <row r="1128">
          <cell r="B1128" t="str">
            <v/>
          </cell>
        </row>
        <row r="1129">
          <cell r="B1129" t="str">
            <v/>
          </cell>
        </row>
        <row r="1130">
          <cell r="B1130" t="str">
            <v/>
          </cell>
        </row>
        <row r="1131">
          <cell r="B1131" t="str">
            <v/>
          </cell>
        </row>
        <row r="1132">
          <cell r="B1132" t="str">
            <v/>
          </cell>
        </row>
        <row r="1133">
          <cell r="B1133" t="str">
            <v/>
          </cell>
        </row>
        <row r="1134">
          <cell r="B1134" t="str">
            <v/>
          </cell>
        </row>
        <row r="1135">
          <cell r="B1135" t="str">
            <v/>
          </cell>
        </row>
        <row r="1136">
          <cell r="B1136" t="str">
            <v/>
          </cell>
        </row>
        <row r="1137">
          <cell r="B1137" t="str">
            <v/>
          </cell>
        </row>
        <row r="1138">
          <cell r="B1138" t="str">
            <v/>
          </cell>
        </row>
        <row r="1139">
          <cell r="B1139" t="str">
            <v/>
          </cell>
        </row>
        <row r="1140">
          <cell r="B1140" t="str">
            <v/>
          </cell>
        </row>
        <row r="1141">
          <cell r="B1141" t="str">
            <v/>
          </cell>
        </row>
        <row r="1142">
          <cell r="B1142" t="str">
            <v/>
          </cell>
        </row>
        <row r="1143">
          <cell r="B1143" t="str">
            <v/>
          </cell>
        </row>
        <row r="1144">
          <cell r="B1144" t="str">
            <v/>
          </cell>
        </row>
        <row r="1145">
          <cell r="B1145" t="str">
            <v/>
          </cell>
        </row>
        <row r="1146">
          <cell r="B1146" t="str">
            <v/>
          </cell>
        </row>
        <row r="1147">
          <cell r="B1147" t="str">
            <v/>
          </cell>
        </row>
        <row r="1148">
          <cell r="B1148" t="str">
            <v/>
          </cell>
        </row>
        <row r="1149">
          <cell r="B1149" t="str">
            <v/>
          </cell>
        </row>
        <row r="1150">
          <cell r="B1150" t="str">
            <v/>
          </cell>
        </row>
        <row r="1151">
          <cell r="B1151" t="str">
            <v/>
          </cell>
        </row>
        <row r="1152">
          <cell r="B1152" t="str">
            <v/>
          </cell>
        </row>
        <row r="1153">
          <cell r="B1153" t="str">
            <v/>
          </cell>
        </row>
        <row r="1154">
          <cell r="B1154" t="str">
            <v/>
          </cell>
        </row>
        <row r="1155">
          <cell r="B1155" t="str">
            <v/>
          </cell>
        </row>
        <row r="1156">
          <cell r="B1156" t="str">
            <v/>
          </cell>
        </row>
        <row r="1157">
          <cell r="B1157" t="str">
            <v/>
          </cell>
        </row>
        <row r="1158">
          <cell r="B1158" t="str">
            <v/>
          </cell>
        </row>
        <row r="1159">
          <cell r="B1159" t="str">
            <v/>
          </cell>
        </row>
        <row r="1160">
          <cell r="B1160" t="str">
            <v/>
          </cell>
        </row>
        <row r="1161">
          <cell r="B1161" t="str">
            <v/>
          </cell>
        </row>
        <row r="1162">
          <cell r="B1162" t="str">
            <v/>
          </cell>
        </row>
        <row r="1163">
          <cell r="B1163" t="str">
            <v/>
          </cell>
        </row>
        <row r="1164">
          <cell r="B1164" t="str">
            <v/>
          </cell>
        </row>
        <row r="1165">
          <cell r="B1165" t="str">
            <v/>
          </cell>
        </row>
        <row r="1166">
          <cell r="B1166" t="str">
            <v/>
          </cell>
        </row>
        <row r="1167">
          <cell r="B1167" t="str">
            <v/>
          </cell>
        </row>
        <row r="1168">
          <cell r="B1168" t="str">
            <v/>
          </cell>
        </row>
        <row r="1169">
          <cell r="B1169" t="str">
            <v/>
          </cell>
        </row>
        <row r="1170">
          <cell r="B1170" t="str">
            <v/>
          </cell>
        </row>
        <row r="1171">
          <cell r="B1171" t="str">
            <v/>
          </cell>
        </row>
        <row r="1172">
          <cell r="B1172" t="str">
            <v/>
          </cell>
        </row>
        <row r="1173">
          <cell r="B1173" t="str">
            <v/>
          </cell>
        </row>
        <row r="1174">
          <cell r="B1174" t="str">
            <v/>
          </cell>
        </row>
        <row r="1175">
          <cell r="B1175" t="str">
            <v/>
          </cell>
        </row>
        <row r="1176">
          <cell r="B1176" t="str">
            <v/>
          </cell>
        </row>
        <row r="1177">
          <cell r="B1177" t="str">
            <v/>
          </cell>
        </row>
        <row r="1178">
          <cell r="B1178" t="str">
            <v/>
          </cell>
        </row>
        <row r="1179">
          <cell r="B1179" t="str">
            <v/>
          </cell>
        </row>
        <row r="1180">
          <cell r="B1180" t="str">
            <v/>
          </cell>
        </row>
        <row r="1181">
          <cell r="B1181" t="str">
            <v/>
          </cell>
        </row>
        <row r="1182">
          <cell r="B1182" t="str">
            <v/>
          </cell>
        </row>
        <row r="1183">
          <cell r="B1183" t="str">
            <v/>
          </cell>
        </row>
        <row r="1184">
          <cell r="B1184" t="str">
            <v/>
          </cell>
        </row>
        <row r="1185">
          <cell r="B1185" t="str">
            <v/>
          </cell>
        </row>
        <row r="1186">
          <cell r="B1186" t="str">
            <v/>
          </cell>
        </row>
        <row r="1187">
          <cell r="B1187" t="str">
            <v/>
          </cell>
        </row>
        <row r="1188">
          <cell r="B1188" t="str">
            <v/>
          </cell>
        </row>
        <row r="1189">
          <cell r="B1189" t="str">
            <v/>
          </cell>
        </row>
        <row r="1190">
          <cell r="B1190" t="str">
            <v/>
          </cell>
        </row>
        <row r="1191">
          <cell r="B1191" t="str">
            <v/>
          </cell>
        </row>
        <row r="1192">
          <cell r="B1192" t="str">
            <v/>
          </cell>
        </row>
        <row r="1193">
          <cell r="B1193" t="str">
            <v/>
          </cell>
        </row>
        <row r="1194">
          <cell r="B1194" t="str">
            <v/>
          </cell>
        </row>
        <row r="1195">
          <cell r="B1195" t="str">
            <v/>
          </cell>
        </row>
        <row r="1196">
          <cell r="B1196" t="str">
            <v/>
          </cell>
        </row>
        <row r="1197">
          <cell r="B1197" t="str">
            <v/>
          </cell>
        </row>
        <row r="1198">
          <cell r="B1198" t="str">
            <v/>
          </cell>
        </row>
        <row r="1199">
          <cell r="B1199" t="str">
            <v/>
          </cell>
        </row>
        <row r="1200">
          <cell r="B1200" t="str">
            <v/>
          </cell>
        </row>
        <row r="1201">
          <cell r="B1201" t="str">
            <v/>
          </cell>
        </row>
        <row r="1202">
          <cell r="B1202" t="str">
            <v/>
          </cell>
        </row>
        <row r="1203">
          <cell r="B1203" t="str">
            <v/>
          </cell>
        </row>
        <row r="1204">
          <cell r="B1204" t="str">
            <v/>
          </cell>
        </row>
        <row r="1205">
          <cell r="B1205" t="str">
            <v/>
          </cell>
        </row>
        <row r="1206">
          <cell r="B1206" t="str">
            <v/>
          </cell>
        </row>
        <row r="1207">
          <cell r="B1207" t="str">
            <v/>
          </cell>
        </row>
        <row r="1208">
          <cell r="B1208" t="str">
            <v/>
          </cell>
        </row>
        <row r="1209">
          <cell r="B1209" t="str">
            <v/>
          </cell>
        </row>
        <row r="1210">
          <cell r="B1210" t="str">
            <v/>
          </cell>
        </row>
        <row r="1211">
          <cell r="B1211" t="str">
            <v/>
          </cell>
        </row>
        <row r="1212">
          <cell r="B1212" t="str">
            <v/>
          </cell>
        </row>
        <row r="1213">
          <cell r="B1213" t="str">
            <v/>
          </cell>
        </row>
        <row r="1214">
          <cell r="B1214" t="str">
            <v/>
          </cell>
        </row>
        <row r="1215">
          <cell r="B1215" t="str">
            <v/>
          </cell>
        </row>
        <row r="1216">
          <cell r="B1216" t="str">
            <v/>
          </cell>
        </row>
        <row r="1217">
          <cell r="B1217" t="str">
            <v/>
          </cell>
        </row>
        <row r="1218">
          <cell r="B1218" t="str">
            <v/>
          </cell>
        </row>
        <row r="1219">
          <cell r="B1219" t="str">
            <v/>
          </cell>
        </row>
        <row r="1220">
          <cell r="B1220" t="str">
            <v/>
          </cell>
        </row>
        <row r="1221">
          <cell r="B1221" t="str">
            <v/>
          </cell>
        </row>
        <row r="1222">
          <cell r="B1222" t="str">
            <v/>
          </cell>
        </row>
        <row r="1223">
          <cell r="B1223" t="str">
            <v/>
          </cell>
        </row>
        <row r="1224">
          <cell r="B1224" t="str">
            <v/>
          </cell>
        </row>
        <row r="1225">
          <cell r="B1225" t="str">
            <v/>
          </cell>
        </row>
        <row r="1226">
          <cell r="B1226" t="str">
            <v/>
          </cell>
        </row>
        <row r="1227">
          <cell r="B1227" t="str">
            <v/>
          </cell>
        </row>
        <row r="1228">
          <cell r="B1228" t="str">
            <v/>
          </cell>
        </row>
        <row r="1229">
          <cell r="B1229" t="str">
            <v/>
          </cell>
        </row>
        <row r="1230">
          <cell r="B1230" t="str">
            <v/>
          </cell>
        </row>
        <row r="1231">
          <cell r="B1231" t="str">
            <v/>
          </cell>
        </row>
        <row r="1232">
          <cell r="B1232" t="str">
            <v/>
          </cell>
        </row>
        <row r="1233">
          <cell r="B1233" t="str">
            <v/>
          </cell>
        </row>
        <row r="1234">
          <cell r="B1234" t="str">
            <v/>
          </cell>
        </row>
        <row r="1235">
          <cell r="B1235" t="str">
            <v/>
          </cell>
        </row>
        <row r="1236">
          <cell r="B1236" t="str">
            <v/>
          </cell>
        </row>
        <row r="1237">
          <cell r="B1237" t="str">
            <v/>
          </cell>
        </row>
        <row r="1238">
          <cell r="B1238" t="str">
            <v/>
          </cell>
        </row>
        <row r="1239">
          <cell r="B1239" t="str">
            <v/>
          </cell>
        </row>
        <row r="1240">
          <cell r="B1240" t="str">
            <v/>
          </cell>
        </row>
        <row r="1241">
          <cell r="B1241" t="str">
            <v/>
          </cell>
        </row>
        <row r="1242">
          <cell r="B1242" t="str">
            <v/>
          </cell>
        </row>
        <row r="1243">
          <cell r="B1243" t="str">
            <v/>
          </cell>
        </row>
        <row r="1244">
          <cell r="B1244" t="str">
            <v/>
          </cell>
        </row>
        <row r="1245">
          <cell r="B1245" t="str">
            <v/>
          </cell>
        </row>
        <row r="1246">
          <cell r="B1246" t="str">
            <v/>
          </cell>
        </row>
        <row r="1247">
          <cell r="B1247" t="str">
            <v/>
          </cell>
        </row>
        <row r="1248">
          <cell r="B1248" t="str">
            <v/>
          </cell>
        </row>
        <row r="1249">
          <cell r="B1249" t="str">
            <v/>
          </cell>
        </row>
        <row r="1250">
          <cell r="B1250" t="str">
            <v/>
          </cell>
        </row>
        <row r="1251">
          <cell r="B1251" t="str">
            <v/>
          </cell>
        </row>
        <row r="1252">
          <cell r="B1252" t="str">
            <v/>
          </cell>
        </row>
        <row r="1253">
          <cell r="B1253" t="str">
            <v/>
          </cell>
        </row>
        <row r="1254">
          <cell r="B1254" t="str">
            <v/>
          </cell>
        </row>
        <row r="1255">
          <cell r="B1255" t="str">
            <v/>
          </cell>
        </row>
        <row r="1256">
          <cell r="B1256" t="str">
            <v/>
          </cell>
        </row>
        <row r="1257">
          <cell r="B1257" t="str">
            <v/>
          </cell>
        </row>
        <row r="1258">
          <cell r="B1258" t="str">
            <v/>
          </cell>
        </row>
        <row r="1259">
          <cell r="B1259" t="str">
            <v/>
          </cell>
        </row>
        <row r="1260">
          <cell r="B1260" t="str">
            <v/>
          </cell>
        </row>
        <row r="1261">
          <cell r="B1261" t="str">
            <v/>
          </cell>
        </row>
        <row r="1262">
          <cell r="B1262" t="str">
            <v/>
          </cell>
        </row>
        <row r="1263">
          <cell r="B1263" t="str">
            <v/>
          </cell>
        </row>
        <row r="1264">
          <cell r="B1264" t="str">
            <v/>
          </cell>
        </row>
        <row r="1265">
          <cell r="B1265" t="str">
            <v/>
          </cell>
        </row>
        <row r="1266">
          <cell r="B1266" t="str">
            <v/>
          </cell>
        </row>
        <row r="1267">
          <cell r="B1267" t="str">
            <v/>
          </cell>
        </row>
        <row r="1268">
          <cell r="B1268" t="str">
            <v/>
          </cell>
        </row>
        <row r="1269">
          <cell r="B1269" t="str">
            <v/>
          </cell>
        </row>
        <row r="1270">
          <cell r="B1270" t="str">
            <v/>
          </cell>
        </row>
        <row r="1271">
          <cell r="B1271" t="str">
            <v/>
          </cell>
        </row>
        <row r="1272">
          <cell r="B1272" t="str">
            <v/>
          </cell>
        </row>
        <row r="1273">
          <cell r="B1273" t="str">
            <v/>
          </cell>
        </row>
        <row r="1274">
          <cell r="B1274" t="str">
            <v/>
          </cell>
        </row>
        <row r="1275">
          <cell r="B1275" t="str">
            <v/>
          </cell>
        </row>
        <row r="1276">
          <cell r="B1276" t="str">
            <v/>
          </cell>
        </row>
        <row r="1277">
          <cell r="B1277" t="str">
            <v/>
          </cell>
        </row>
        <row r="1278">
          <cell r="B1278" t="str">
            <v/>
          </cell>
        </row>
        <row r="1279">
          <cell r="B1279" t="str">
            <v/>
          </cell>
        </row>
        <row r="1280">
          <cell r="B1280" t="str">
            <v/>
          </cell>
        </row>
        <row r="1281">
          <cell r="B1281" t="str">
            <v/>
          </cell>
        </row>
        <row r="1282">
          <cell r="B1282" t="str">
            <v/>
          </cell>
        </row>
        <row r="1283">
          <cell r="B1283" t="str">
            <v/>
          </cell>
        </row>
        <row r="1284">
          <cell r="B1284" t="str">
            <v/>
          </cell>
        </row>
        <row r="1285">
          <cell r="B1285" t="str">
            <v/>
          </cell>
        </row>
        <row r="1286">
          <cell r="B1286" t="str">
            <v/>
          </cell>
        </row>
        <row r="1287">
          <cell r="B1287" t="str">
            <v/>
          </cell>
        </row>
        <row r="1288">
          <cell r="B1288" t="str">
            <v/>
          </cell>
        </row>
        <row r="1289">
          <cell r="B1289" t="str">
            <v/>
          </cell>
        </row>
        <row r="1290">
          <cell r="B1290" t="str">
            <v/>
          </cell>
        </row>
        <row r="1291">
          <cell r="B1291" t="str">
            <v/>
          </cell>
        </row>
        <row r="1292">
          <cell r="B1292" t="str">
            <v/>
          </cell>
        </row>
        <row r="1293">
          <cell r="B1293" t="str">
            <v/>
          </cell>
        </row>
        <row r="1294">
          <cell r="B1294" t="str">
            <v/>
          </cell>
        </row>
        <row r="1295">
          <cell r="B1295" t="str">
            <v/>
          </cell>
        </row>
        <row r="1296">
          <cell r="B1296" t="str">
            <v/>
          </cell>
        </row>
        <row r="1297">
          <cell r="B1297" t="str">
            <v/>
          </cell>
        </row>
        <row r="1298">
          <cell r="B1298" t="str">
            <v/>
          </cell>
        </row>
        <row r="1299">
          <cell r="B1299" t="str">
            <v/>
          </cell>
        </row>
        <row r="1300">
          <cell r="B1300" t="str">
            <v/>
          </cell>
        </row>
        <row r="1301">
          <cell r="B1301" t="str">
            <v/>
          </cell>
        </row>
        <row r="1302">
          <cell r="B1302" t="str">
            <v/>
          </cell>
        </row>
        <row r="1303">
          <cell r="B1303" t="str">
            <v/>
          </cell>
        </row>
        <row r="1304">
          <cell r="B1304" t="str">
            <v/>
          </cell>
        </row>
        <row r="1305">
          <cell r="B1305" t="str">
            <v/>
          </cell>
        </row>
        <row r="1306">
          <cell r="B1306" t="str">
            <v/>
          </cell>
        </row>
        <row r="1307">
          <cell r="B1307" t="str">
            <v/>
          </cell>
        </row>
        <row r="1308">
          <cell r="B1308" t="str">
            <v/>
          </cell>
        </row>
        <row r="1309">
          <cell r="B1309" t="str">
            <v/>
          </cell>
        </row>
        <row r="1310">
          <cell r="B1310" t="str">
            <v/>
          </cell>
        </row>
        <row r="1311">
          <cell r="B1311" t="str">
            <v/>
          </cell>
        </row>
        <row r="1312">
          <cell r="B1312" t="str">
            <v/>
          </cell>
        </row>
        <row r="1313">
          <cell r="B1313" t="str">
            <v/>
          </cell>
        </row>
        <row r="1314">
          <cell r="B1314" t="str">
            <v/>
          </cell>
        </row>
        <row r="1315">
          <cell r="B1315" t="str">
            <v/>
          </cell>
        </row>
        <row r="1316">
          <cell r="B1316" t="str">
            <v/>
          </cell>
        </row>
        <row r="1317">
          <cell r="B1317" t="str">
            <v/>
          </cell>
        </row>
        <row r="1318">
          <cell r="B1318" t="str">
            <v/>
          </cell>
        </row>
        <row r="1319">
          <cell r="B1319" t="str">
            <v/>
          </cell>
        </row>
        <row r="1320">
          <cell r="B1320" t="str">
            <v/>
          </cell>
        </row>
        <row r="1321">
          <cell r="B1321" t="str">
            <v/>
          </cell>
        </row>
        <row r="1322">
          <cell r="B1322" t="str">
            <v/>
          </cell>
        </row>
        <row r="1323">
          <cell r="B1323" t="str">
            <v/>
          </cell>
        </row>
        <row r="1324">
          <cell r="B1324" t="str">
            <v/>
          </cell>
        </row>
        <row r="1325">
          <cell r="B1325" t="str">
            <v/>
          </cell>
        </row>
        <row r="1326">
          <cell r="B1326" t="str">
            <v/>
          </cell>
        </row>
        <row r="1327">
          <cell r="B1327" t="str">
            <v/>
          </cell>
        </row>
        <row r="1328">
          <cell r="B1328" t="str">
            <v/>
          </cell>
        </row>
        <row r="1329">
          <cell r="B1329" t="str">
            <v/>
          </cell>
        </row>
        <row r="1330">
          <cell r="B1330" t="str">
            <v/>
          </cell>
        </row>
        <row r="1331">
          <cell r="B1331" t="str">
            <v/>
          </cell>
        </row>
        <row r="1332">
          <cell r="B1332" t="str">
            <v/>
          </cell>
        </row>
        <row r="1333">
          <cell r="B1333" t="str">
            <v/>
          </cell>
        </row>
        <row r="1334">
          <cell r="B1334" t="str">
            <v/>
          </cell>
        </row>
        <row r="1335">
          <cell r="B1335" t="str">
            <v/>
          </cell>
        </row>
        <row r="1336">
          <cell r="B1336" t="str">
            <v/>
          </cell>
        </row>
        <row r="1337">
          <cell r="B1337" t="str">
            <v/>
          </cell>
        </row>
        <row r="1338">
          <cell r="B1338" t="str">
            <v/>
          </cell>
        </row>
        <row r="1339">
          <cell r="B1339" t="str">
            <v/>
          </cell>
        </row>
        <row r="1340">
          <cell r="B1340" t="str">
            <v/>
          </cell>
        </row>
        <row r="1341">
          <cell r="B1341" t="str">
            <v/>
          </cell>
        </row>
        <row r="1342">
          <cell r="B1342" t="str">
            <v/>
          </cell>
        </row>
        <row r="1343">
          <cell r="B1343" t="str">
            <v/>
          </cell>
        </row>
        <row r="1344">
          <cell r="B1344" t="str">
            <v/>
          </cell>
        </row>
        <row r="1345">
          <cell r="B1345" t="str">
            <v/>
          </cell>
        </row>
        <row r="1346">
          <cell r="B1346" t="str">
            <v/>
          </cell>
        </row>
        <row r="1347">
          <cell r="B1347" t="str">
            <v/>
          </cell>
        </row>
        <row r="1348">
          <cell r="B1348" t="str">
            <v/>
          </cell>
        </row>
        <row r="1349">
          <cell r="B1349" t="str">
            <v/>
          </cell>
        </row>
        <row r="1350">
          <cell r="B1350" t="str">
            <v/>
          </cell>
        </row>
        <row r="1351">
          <cell r="B1351" t="str">
            <v/>
          </cell>
        </row>
        <row r="1352">
          <cell r="B1352" t="str">
            <v/>
          </cell>
        </row>
        <row r="1353">
          <cell r="B1353" t="str">
            <v/>
          </cell>
        </row>
        <row r="1354">
          <cell r="B1354" t="str">
            <v/>
          </cell>
        </row>
        <row r="1355">
          <cell r="B1355" t="str">
            <v/>
          </cell>
        </row>
        <row r="1356">
          <cell r="B1356" t="str">
            <v/>
          </cell>
        </row>
        <row r="1357">
          <cell r="B1357" t="str">
            <v/>
          </cell>
        </row>
        <row r="1358">
          <cell r="B1358" t="str">
            <v/>
          </cell>
        </row>
        <row r="1359">
          <cell r="B1359" t="str">
            <v/>
          </cell>
        </row>
        <row r="1360">
          <cell r="B1360" t="str">
            <v/>
          </cell>
        </row>
        <row r="1361">
          <cell r="B1361" t="str">
            <v/>
          </cell>
        </row>
        <row r="1362">
          <cell r="B1362" t="str">
            <v/>
          </cell>
        </row>
        <row r="1363">
          <cell r="B1363" t="str">
            <v/>
          </cell>
        </row>
        <row r="1364">
          <cell r="B1364" t="str">
            <v/>
          </cell>
        </row>
        <row r="1365">
          <cell r="B1365" t="str">
            <v/>
          </cell>
        </row>
        <row r="1366">
          <cell r="B1366" t="str">
            <v/>
          </cell>
        </row>
        <row r="1367">
          <cell r="B1367" t="str">
            <v/>
          </cell>
        </row>
        <row r="1368">
          <cell r="B1368" t="str">
            <v/>
          </cell>
        </row>
        <row r="1369">
          <cell r="B1369" t="str">
            <v/>
          </cell>
        </row>
        <row r="1370">
          <cell r="B1370" t="str">
            <v/>
          </cell>
        </row>
        <row r="1371">
          <cell r="B1371" t="str">
            <v/>
          </cell>
        </row>
        <row r="1372">
          <cell r="B1372" t="str">
            <v/>
          </cell>
        </row>
        <row r="1373">
          <cell r="B1373" t="str">
            <v/>
          </cell>
        </row>
        <row r="1374">
          <cell r="B1374" t="str">
            <v/>
          </cell>
        </row>
        <row r="1375">
          <cell r="B1375" t="str">
            <v/>
          </cell>
        </row>
        <row r="1376">
          <cell r="B1376" t="str">
            <v/>
          </cell>
        </row>
        <row r="1377">
          <cell r="B1377" t="str">
            <v/>
          </cell>
        </row>
        <row r="1378">
          <cell r="B1378" t="str">
            <v/>
          </cell>
        </row>
        <row r="1379">
          <cell r="B1379" t="str">
            <v/>
          </cell>
        </row>
        <row r="1380">
          <cell r="B1380" t="str">
            <v/>
          </cell>
        </row>
        <row r="1381">
          <cell r="B1381" t="str">
            <v/>
          </cell>
        </row>
        <row r="1382">
          <cell r="B1382" t="str">
            <v/>
          </cell>
        </row>
        <row r="1383">
          <cell r="B1383" t="str">
            <v/>
          </cell>
        </row>
        <row r="1384">
          <cell r="B1384" t="str">
            <v/>
          </cell>
        </row>
        <row r="1385">
          <cell r="B1385" t="str">
            <v/>
          </cell>
        </row>
        <row r="1386">
          <cell r="B1386" t="str">
            <v/>
          </cell>
        </row>
        <row r="1387">
          <cell r="B1387" t="str">
            <v/>
          </cell>
        </row>
        <row r="1388">
          <cell r="B1388" t="str">
            <v/>
          </cell>
        </row>
        <row r="1389">
          <cell r="B1389" t="str">
            <v/>
          </cell>
        </row>
        <row r="1390">
          <cell r="B1390" t="str">
            <v/>
          </cell>
        </row>
        <row r="1391">
          <cell r="B1391" t="str">
            <v/>
          </cell>
        </row>
        <row r="1392">
          <cell r="B1392" t="str">
            <v/>
          </cell>
        </row>
        <row r="1393">
          <cell r="B1393" t="str">
            <v/>
          </cell>
        </row>
        <row r="1394">
          <cell r="B1394" t="str">
            <v/>
          </cell>
        </row>
        <row r="1395">
          <cell r="B1395" t="str">
            <v/>
          </cell>
        </row>
        <row r="1396">
          <cell r="B1396" t="str">
            <v/>
          </cell>
        </row>
        <row r="1397">
          <cell r="B1397" t="str">
            <v/>
          </cell>
        </row>
        <row r="1398">
          <cell r="B1398" t="str">
            <v/>
          </cell>
        </row>
        <row r="1399">
          <cell r="B1399" t="str">
            <v/>
          </cell>
        </row>
        <row r="1400">
          <cell r="B1400" t="str">
            <v/>
          </cell>
        </row>
        <row r="1401">
          <cell r="B1401" t="str">
            <v/>
          </cell>
        </row>
        <row r="1402">
          <cell r="B1402" t="str">
            <v/>
          </cell>
        </row>
        <row r="1403">
          <cell r="B1403" t="str">
            <v/>
          </cell>
        </row>
        <row r="1404">
          <cell r="B1404" t="str">
            <v/>
          </cell>
        </row>
        <row r="1405">
          <cell r="B1405" t="str">
            <v/>
          </cell>
        </row>
        <row r="1406">
          <cell r="B1406" t="str">
            <v/>
          </cell>
        </row>
        <row r="1407">
          <cell r="B1407" t="str">
            <v/>
          </cell>
        </row>
        <row r="1408">
          <cell r="B1408" t="str">
            <v/>
          </cell>
        </row>
        <row r="1409">
          <cell r="B1409" t="str">
            <v/>
          </cell>
        </row>
        <row r="1410">
          <cell r="B1410" t="str">
            <v/>
          </cell>
        </row>
        <row r="1411">
          <cell r="B1411" t="str">
            <v/>
          </cell>
        </row>
        <row r="1412">
          <cell r="B1412" t="str">
            <v/>
          </cell>
        </row>
        <row r="1413">
          <cell r="B1413" t="str">
            <v/>
          </cell>
        </row>
        <row r="1414">
          <cell r="B1414" t="str">
            <v/>
          </cell>
        </row>
        <row r="1415">
          <cell r="B1415" t="str">
            <v/>
          </cell>
        </row>
        <row r="1416">
          <cell r="B1416" t="str">
            <v/>
          </cell>
        </row>
        <row r="1417">
          <cell r="B1417" t="str">
            <v/>
          </cell>
        </row>
        <row r="1418">
          <cell r="B1418" t="str">
            <v/>
          </cell>
        </row>
        <row r="1419">
          <cell r="B1419" t="str">
            <v/>
          </cell>
        </row>
        <row r="1420">
          <cell r="B1420" t="str">
            <v/>
          </cell>
        </row>
        <row r="1421">
          <cell r="B1421" t="str">
            <v/>
          </cell>
        </row>
        <row r="1422">
          <cell r="B1422" t="str">
            <v/>
          </cell>
        </row>
        <row r="1423">
          <cell r="B1423" t="str">
            <v/>
          </cell>
        </row>
        <row r="1424">
          <cell r="B1424" t="str">
            <v/>
          </cell>
        </row>
        <row r="1425">
          <cell r="B1425" t="str">
            <v/>
          </cell>
        </row>
        <row r="1426">
          <cell r="B1426" t="str">
            <v/>
          </cell>
        </row>
        <row r="1427">
          <cell r="B1427" t="str">
            <v/>
          </cell>
        </row>
        <row r="1428">
          <cell r="B1428" t="str">
            <v/>
          </cell>
        </row>
        <row r="1429">
          <cell r="B1429" t="str">
            <v/>
          </cell>
        </row>
        <row r="1430">
          <cell r="B1430" t="str">
            <v/>
          </cell>
        </row>
        <row r="1431">
          <cell r="B1431" t="str">
            <v/>
          </cell>
        </row>
        <row r="1432">
          <cell r="B1432" t="str">
            <v/>
          </cell>
        </row>
        <row r="1433">
          <cell r="B1433" t="str">
            <v/>
          </cell>
        </row>
        <row r="1434">
          <cell r="B1434" t="str">
            <v/>
          </cell>
        </row>
        <row r="1435">
          <cell r="B1435" t="str">
            <v/>
          </cell>
        </row>
        <row r="1436">
          <cell r="B1436" t="str">
            <v/>
          </cell>
        </row>
        <row r="1437">
          <cell r="B1437" t="str">
            <v/>
          </cell>
        </row>
        <row r="1438">
          <cell r="B1438" t="str">
            <v/>
          </cell>
        </row>
        <row r="1439">
          <cell r="B1439" t="str">
            <v/>
          </cell>
        </row>
        <row r="1440">
          <cell r="B1440" t="str">
            <v/>
          </cell>
        </row>
        <row r="1441">
          <cell r="B1441" t="str">
            <v/>
          </cell>
        </row>
        <row r="1442">
          <cell r="B1442" t="str">
            <v/>
          </cell>
        </row>
        <row r="1443">
          <cell r="B1443" t="str">
            <v/>
          </cell>
        </row>
        <row r="1444">
          <cell r="B1444" t="str">
            <v/>
          </cell>
        </row>
        <row r="1445">
          <cell r="B1445" t="str">
            <v/>
          </cell>
        </row>
        <row r="1446">
          <cell r="B1446" t="str">
            <v/>
          </cell>
        </row>
        <row r="1447">
          <cell r="B1447" t="str">
            <v/>
          </cell>
        </row>
        <row r="1448">
          <cell r="B1448" t="str">
            <v/>
          </cell>
        </row>
        <row r="1449">
          <cell r="B1449" t="str">
            <v/>
          </cell>
        </row>
        <row r="1450">
          <cell r="B1450" t="str">
            <v/>
          </cell>
        </row>
        <row r="1451">
          <cell r="B1451" t="str">
            <v/>
          </cell>
        </row>
        <row r="1452">
          <cell r="B1452" t="str">
            <v/>
          </cell>
        </row>
        <row r="1453">
          <cell r="B1453" t="str">
            <v/>
          </cell>
        </row>
        <row r="1454">
          <cell r="B1454" t="str">
            <v/>
          </cell>
        </row>
        <row r="1455">
          <cell r="B1455" t="str">
            <v/>
          </cell>
        </row>
        <row r="1456">
          <cell r="B1456" t="str">
            <v/>
          </cell>
        </row>
        <row r="1457">
          <cell r="B1457" t="str">
            <v/>
          </cell>
        </row>
        <row r="1458">
          <cell r="B1458" t="str">
            <v/>
          </cell>
        </row>
        <row r="1459">
          <cell r="B1459" t="str">
            <v/>
          </cell>
        </row>
        <row r="1460">
          <cell r="B1460" t="str">
            <v/>
          </cell>
        </row>
        <row r="1461">
          <cell r="B1461" t="str">
            <v/>
          </cell>
        </row>
        <row r="1462">
          <cell r="B1462" t="str">
            <v/>
          </cell>
        </row>
        <row r="1463">
          <cell r="B1463" t="str">
            <v/>
          </cell>
        </row>
        <row r="1464">
          <cell r="B1464" t="str">
            <v/>
          </cell>
        </row>
        <row r="1465">
          <cell r="B1465" t="str">
            <v/>
          </cell>
        </row>
        <row r="1466">
          <cell r="B1466" t="str">
            <v/>
          </cell>
        </row>
        <row r="1467">
          <cell r="B1467" t="str">
            <v/>
          </cell>
        </row>
        <row r="1468">
          <cell r="B1468" t="str">
            <v/>
          </cell>
        </row>
        <row r="1469">
          <cell r="B1469" t="str">
            <v/>
          </cell>
        </row>
        <row r="1470">
          <cell r="B1470" t="str">
            <v/>
          </cell>
        </row>
        <row r="1471">
          <cell r="B1471" t="str">
            <v/>
          </cell>
        </row>
        <row r="1472">
          <cell r="B1472" t="str">
            <v/>
          </cell>
        </row>
        <row r="1473">
          <cell r="B1473" t="str">
            <v/>
          </cell>
        </row>
        <row r="1474">
          <cell r="B1474" t="str">
            <v/>
          </cell>
        </row>
        <row r="1475">
          <cell r="B1475" t="str">
            <v/>
          </cell>
        </row>
        <row r="1476">
          <cell r="B1476" t="str">
            <v/>
          </cell>
        </row>
        <row r="1477">
          <cell r="B1477" t="str">
            <v/>
          </cell>
        </row>
        <row r="1478">
          <cell r="B1478" t="str">
            <v/>
          </cell>
        </row>
        <row r="1479">
          <cell r="B1479" t="str">
            <v/>
          </cell>
        </row>
        <row r="1480">
          <cell r="B1480" t="str">
            <v/>
          </cell>
        </row>
        <row r="1481">
          <cell r="B1481" t="str">
            <v/>
          </cell>
        </row>
        <row r="1482">
          <cell r="B1482" t="str">
            <v/>
          </cell>
        </row>
        <row r="1483">
          <cell r="B1483" t="str">
            <v/>
          </cell>
        </row>
        <row r="1484">
          <cell r="B1484" t="str">
            <v/>
          </cell>
        </row>
        <row r="1485">
          <cell r="B1485" t="str">
            <v/>
          </cell>
        </row>
        <row r="1486">
          <cell r="B1486" t="str">
            <v/>
          </cell>
        </row>
        <row r="1487">
          <cell r="B1487" t="str">
            <v/>
          </cell>
        </row>
        <row r="1488">
          <cell r="B1488" t="str">
            <v/>
          </cell>
        </row>
        <row r="1489">
          <cell r="B1489" t="str">
            <v/>
          </cell>
        </row>
        <row r="1490">
          <cell r="B1490" t="str">
            <v/>
          </cell>
        </row>
        <row r="1491">
          <cell r="B1491" t="str">
            <v/>
          </cell>
        </row>
        <row r="1492">
          <cell r="B1492" t="str">
            <v/>
          </cell>
        </row>
        <row r="1493">
          <cell r="B1493" t="str">
            <v/>
          </cell>
        </row>
        <row r="1494">
          <cell r="B1494" t="str">
            <v/>
          </cell>
        </row>
        <row r="1495">
          <cell r="B1495" t="str">
            <v/>
          </cell>
        </row>
        <row r="1496">
          <cell r="B1496" t="str">
            <v/>
          </cell>
        </row>
        <row r="1497">
          <cell r="B1497" t="str">
            <v/>
          </cell>
        </row>
        <row r="1498">
          <cell r="B1498" t="str">
            <v/>
          </cell>
        </row>
        <row r="1499">
          <cell r="B1499" t="str">
            <v/>
          </cell>
        </row>
        <row r="1500">
          <cell r="B1500" t="str">
            <v/>
          </cell>
        </row>
        <row r="1501">
          <cell r="B1501" t="str">
            <v/>
          </cell>
        </row>
        <row r="1502">
          <cell r="B1502" t="str">
            <v/>
          </cell>
        </row>
        <row r="1503">
          <cell r="B1503" t="str">
            <v/>
          </cell>
        </row>
        <row r="1504">
          <cell r="B1504" t="str">
            <v/>
          </cell>
        </row>
        <row r="1505">
          <cell r="B1505" t="str">
            <v/>
          </cell>
        </row>
        <row r="1506">
          <cell r="B1506" t="str">
            <v/>
          </cell>
        </row>
        <row r="1507">
          <cell r="B1507" t="str">
            <v/>
          </cell>
        </row>
        <row r="1508">
          <cell r="B1508" t="str">
            <v/>
          </cell>
        </row>
        <row r="1509">
          <cell r="B1509" t="str">
            <v/>
          </cell>
        </row>
        <row r="1510">
          <cell r="B1510" t="str">
            <v/>
          </cell>
        </row>
        <row r="1511">
          <cell r="B1511" t="str">
            <v/>
          </cell>
        </row>
        <row r="1512">
          <cell r="B1512" t="str">
            <v/>
          </cell>
        </row>
        <row r="1513">
          <cell r="B1513" t="str">
            <v/>
          </cell>
        </row>
        <row r="1514">
          <cell r="B1514" t="str">
            <v/>
          </cell>
        </row>
        <row r="1515">
          <cell r="B1515" t="str">
            <v/>
          </cell>
        </row>
        <row r="1516">
          <cell r="B1516" t="str">
            <v/>
          </cell>
        </row>
        <row r="1517">
          <cell r="B1517" t="str">
            <v/>
          </cell>
        </row>
        <row r="1518">
          <cell r="B1518" t="str">
            <v/>
          </cell>
        </row>
        <row r="1519">
          <cell r="B1519" t="str">
            <v/>
          </cell>
        </row>
        <row r="1520">
          <cell r="B1520" t="str">
            <v/>
          </cell>
        </row>
        <row r="1521">
          <cell r="B1521" t="str">
            <v/>
          </cell>
        </row>
        <row r="1522">
          <cell r="B1522" t="str">
            <v/>
          </cell>
        </row>
        <row r="1523">
          <cell r="B1523" t="str">
            <v/>
          </cell>
        </row>
        <row r="1524">
          <cell r="B1524" t="str">
            <v/>
          </cell>
        </row>
        <row r="1525">
          <cell r="B1525" t="str">
            <v/>
          </cell>
        </row>
        <row r="1526">
          <cell r="B1526" t="str">
            <v/>
          </cell>
        </row>
        <row r="1527">
          <cell r="B1527" t="str">
            <v/>
          </cell>
        </row>
        <row r="1528">
          <cell r="B1528" t="str">
            <v/>
          </cell>
        </row>
        <row r="1529">
          <cell r="B1529" t="str">
            <v/>
          </cell>
        </row>
        <row r="1530">
          <cell r="B1530" t="str">
            <v/>
          </cell>
        </row>
        <row r="1531">
          <cell r="B1531" t="str">
            <v/>
          </cell>
        </row>
        <row r="1532">
          <cell r="B1532" t="str">
            <v/>
          </cell>
        </row>
        <row r="1533">
          <cell r="B1533" t="str">
            <v/>
          </cell>
        </row>
        <row r="1534">
          <cell r="B1534" t="str">
            <v/>
          </cell>
        </row>
        <row r="1535">
          <cell r="B1535" t="str">
            <v/>
          </cell>
        </row>
        <row r="1536">
          <cell r="B1536" t="str">
            <v/>
          </cell>
        </row>
        <row r="1537">
          <cell r="B1537" t="str">
            <v/>
          </cell>
        </row>
        <row r="1538">
          <cell r="B1538" t="str">
            <v/>
          </cell>
        </row>
        <row r="1539">
          <cell r="B1539" t="str">
            <v/>
          </cell>
        </row>
        <row r="1540">
          <cell r="B1540" t="str">
            <v/>
          </cell>
        </row>
        <row r="1541">
          <cell r="B1541" t="str">
            <v/>
          </cell>
        </row>
        <row r="1542">
          <cell r="B1542" t="str">
            <v/>
          </cell>
        </row>
        <row r="1543">
          <cell r="B1543" t="str">
            <v/>
          </cell>
        </row>
        <row r="1544">
          <cell r="B1544" t="str">
            <v/>
          </cell>
        </row>
        <row r="1545">
          <cell r="B1545" t="str">
            <v/>
          </cell>
        </row>
        <row r="1546">
          <cell r="B1546" t="str">
            <v/>
          </cell>
        </row>
        <row r="1547">
          <cell r="B1547" t="str">
            <v/>
          </cell>
        </row>
        <row r="1548">
          <cell r="B1548" t="str">
            <v/>
          </cell>
        </row>
        <row r="1549">
          <cell r="B1549" t="str">
            <v/>
          </cell>
        </row>
        <row r="1550">
          <cell r="B1550" t="str">
            <v/>
          </cell>
        </row>
        <row r="1551">
          <cell r="B1551" t="str">
            <v/>
          </cell>
        </row>
        <row r="1552">
          <cell r="B1552" t="str">
            <v/>
          </cell>
        </row>
        <row r="1553">
          <cell r="B1553" t="str">
            <v/>
          </cell>
        </row>
        <row r="1554">
          <cell r="B1554" t="str">
            <v/>
          </cell>
        </row>
        <row r="1555">
          <cell r="B1555" t="str">
            <v/>
          </cell>
        </row>
        <row r="1556">
          <cell r="B1556" t="str">
            <v/>
          </cell>
        </row>
        <row r="1557">
          <cell r="B1557" t="str">
            <v/>
          </cell>
        </row>
        <row r="1558">
          <cell r="B1558" t="str">
            <v/>
          </cell>
        </row>
        <row r="1559">
          <cell r="B1559" t="str">
            <v/>
          </cell>
        </row>
        <row r="1560">
          <cell r="B1560" t="str">
            <v/>
          </cell>
        </row>
        <row r="1561">
          <cell r="B1561" t="str">
            <v/>
          </cell>
        </row>
        <row r="1562">
          <cell r="B1562" t="str">
            <v/>
          </cell>
        </row>
        <row r="1563">
          <cell r="B1563" t="str">
            <v/>
          </cell>
        </row>
        <row r="1564">
          <cell r="B1564" t="str">
            <v/>
          </cell>
        </row>
        <row r="1565">
          <cell r="B1565" t="str">
            <v/>
          </cell>
        </row>
        <row r="1566">
          <cell r="B1566" t="str">
            <v/>
          </cell>
        </row>
        <row r="1567">
          <cell r="B1567" t="str">
            <v/>
          </cell>
        </row>
        <row r="1568">
          <cell r="B1568" t="str">
            <v/>
          </cell>
        </row>
        <row r="1569">
          <cell r="B1569" t="str">
            <v/>
          </cell>
        </row>
        <row r="1570">
          <cell r="B1570" t="str">
            <v/>
          </cell>
        </row>
        <row r="1571">
          <cell r="B1571" t="str">
            <v/>
          </cell>
        </row>
        <row r="1572">
          <cell r="B1572" t="str">
            <v/>
          </cell>
        </row>
        <row r="1573">
          <cell r="B1573" t="str">
            <v/>
          </cell>
        </row>
        <row r="1574">
          <cell r="B1574" t="str">
            <v/>
          </cell>
        </row>
        <row r="1575">
          <cell r="B1575" t="str">
            <v/>
          </cell>
        </row>
        <row r="1576">
          <cell r="B1576" t="str">
            <v/>
          </cell>
        </row>
        <row r="1577">
          <cell r="B1577" t="str">
            <v/>
          </cell>
        </row>
        <row r="1578">
          <cell r="B1578" t="str">
            <v/>
          </cell>
        </row>
        <row r="1579">
          <cell r="B1579" t="str">
            <v/>
          </cell>
        </row>
        <row r="1580">
          <cell r="B1580" t="str">
            <v/>
          </cell>
        </row>
        <row r="1581">
          <cell r="B1581" t="str">
            <v/>
          </cell>
        </row>
        <row r="1582">
          <cell r="B1582" t="str">
            <v/>
          </cell>
        </row>
        <row r="1583">
          <cell r="B1583" t="str">
            <v/>
          </cell>
        </row>
        <row r="1584">
          <cell r="B1584" t="str">
            <v/>
          </cell>
        </row>
        <row r="1585">
          <cell r="B1585" t="str">
            <v/>
          </cell>
        </row>
        <row r="1586">
          <cell r="B1586" t="str">
            <v/>
          </cell>
        </row>
        <row r="1587">
          <cell r="B1587" t="str">
            <v/>
          </cell>
        </row>
        <row r="1588">
          <cell r="B1588" t="str">
            <v/>
          </cell>
        </row>
        <row r="1589">
          <cell r="B1589" t="str">
            <v/>
          </cell>
        </row>
        <row r="1590">
          <cell r="B1590" t="str">
            <v/>
          </cell>
        </row>
        <row r="1591">
          <cell r="B1591" t="str">
            <v/>
          </cell>
        </row>
        <row r="1592">
          <cell r="B1592" t="str">
            <v/>
          </cell>
        </row>
        <row r="1593">
          <cell r="B1593" t="str">
            <v/>
          </cell>
        </row>
        <row r="1594">
          <cell r="B1594" t="str">
            <v/>
          </cell>
        </row>
        <row r="1595">
          <cell r="B1595" t="str">
            <v/>
          </cell>
        </row>
        <row r="1596">
          <cell r="B1596" t="str">
            <v/>
          </cell>
        </row>
        <row r="1597">
          <cell r="B1597" t="str">
            <v/>
          </cell>
        </row>
        <row r="1598">
          <cell r="B1598" t="str">
            <v/>
          </cell>
        </row>
        <row r="1599">
          <cell r="B1599" t="str">
            <v/>
          </cell>
        </row>
        <row r="1600">
          <cell r="B1600" t="str">
            <v/>
          </cell>
        </row>
        <row r="1601">
          <cell r="B1601" t="str">
            <v/>
          </cell>
        </row>
        <row r="1602">
          <cell r="B1602" t="str">
            <v/>
          </cell>
        </row>
        <row r="1603">
          <cell r="B1603" t="str">
            <v/>
          </cell>
        </row>
        <row r="1604">
          <cell r="B1604" t="str">
            <v/>
          </cell>
        </row>
        <row r="1605">
          <cell r="B1605" t="str">
            <v/>
          </cell>
        </row>
        <row r="1606">
          <cell r="B1606" t="str">
            <v/>
          </cell>
        </row>
        <row r="1607">
          <cell r="B1607" t="str">
            <v/>
          </cell>
        </row>
        <row r="1608">
          <cell r="B1608" t="str">
            <v/>
          </cell>
        </row>
        <row r="1609">
          <cell r="B1609" t="str">
            <v/>
          </cell>
        </row>
        <row r="1610">
          <cell r="B1610" t="str">
            <v/>
          </cell>
        </row>
        <row r="1611">
          <cell r="B1611" t="str">
            <v/>
          </cell>
        </row>
        <row r="1612">
          <cell r="B1612" t="str">
            <v/>
          </cell>
        </row>
        <row r="1613">
          <cell r="B1613" t="str">
            <v/>
          </cell>
        </row>
        <row r="1614">
          <cell r="B1614" t="str">
            <v/>
          </cell>
        </row>
        <row r="1615">
          <cell r="B1615" t="str">
            <v/>
          </cell>
        </row>
        <row r="1616">
          <cell r="B1616" t="str">
            <v/>
          </cell>
        </row>
        <row r="1617">
          <cell r="B1617" t="str">
            <v/>
          </cell>
        </row>
        <row r="1618">
          <cell r="B1618" t="str">
            <v/>
          </cell>
        </row>
        <row r="1619">
          <cell r="B1619" t="str">
            <v/>
          </cell>
        </row>
        <row r="1620">
          <cell r="B1620" t="str">
            <v/>
          </cell>
        </row>
        <row r="1621">
          <cell r="B1621" t="str">
            <v/>
          </cell>
        </row>
        <row r="1622">
          <cell r="B1622" t="str">
            <v/>
          </cell>
        </row>
        <row r="1623">
          <cell r="B1623" t="str">
            <v/>
          </cell>
        </row>
        <row r="1624">
          <cell r="B1624" t="str">
            <v/>
          </cell>
        </row>
        <row r="1625">
          <cell r="B1625" t="str">
            <v/>
          </cell>
        </row>
        <row r="1626">
          <cell r="B1626" t="str">
            <v/>
          </cell>
        </row>
        <row r="1627">
          <cell r="B1627" t="str">
            <v/>
          </cell>
        </row>
        <row r="1628">
          <cell r="B1628" t="str">
            <v/>
          </cell>
        </row>
        <row r="1629">
          <cell r="B1629" t="str">
            <v/>
          </cell>
        </row>
        <row r="1630">
          <cell r="B1630" t="str">
            <v/>
          </cell>
        </row>
        <row r="1631">
          <cell r="B1631" t="str">
            <v/>
          </cell>
        </row>
        <row r="1632">
          <cell r="B1632" t="str">
            <v/>
          </cell>
        </row>
        <row r="1633">
          <cell r="B1633" t="str">
            <v/>
          </cell>
        </row>
        <row r="1634">
          <cell r="B1634" t="str">
            <v/>
          </cell>
        </row>
        <row r="1635">
          <cell r="B1635" t="str">
            <v/>
          </cell>
        </row>
        <row r="1636">
          <cell r="B1636" t="str">
            <v/>
          </cell>
        </row>
        <row r="1637">
          <cell r="B1637" t="str">
            <v/>
          </cell>
        </row>
        <row r="1638">
          <cell r="B1638" t="str">
            <v/>
          </cell>
        </row>
        <row r="1639">
          <cell r="B1639" t="str">
            <v/>
          </cell>
        </row>
        <row r="1640">
          <cell r="B1640" t="str">
            <v/>
          </cell>
        </row>
        <row r="1641">
          <cell r="B1641" t="str">
            <v/>
          </cell>
        </row>
        <row r="1642">
          <cell r="B1642" t="str">
            <v/>
          </cell>
        </row>
        <row r="1643">
          <cell r="B1643" t="str">
            <v/>
          </cell>
        </row>
        <row r="1644">
          <cell r="B1644" t="str">
            <v/>
          </cell>
        </row>
        <row r="1645">
          <cell r="B1645" t="str">
            <v/>
          </cell>
        </row>
        <row r="1646">
          <cell r="B1646" t="str">
            <v/>
          </cell>
        </row>
        <row r="1647">
          <cell r="B1647" t="str">
            <v/>
          </cell>
        </row>
        <row r="1648">
          <cell r="B1648" t="str">
            <v/>
          </cell>
        </row>
        <row r="1649">
          <cell r="B1649" t="str">
            <v/>
          </cell>
        </row>
        <row r="1650">
          <cell r="B1650" t="str">
            <v/>
          </cell>
        </row>
        <row r="1651">
          <cell r="B1651" t="str">
            <v/>
          </cell>
        </row>
        <row r="1652">
          <cell r="B1652" t="str">
            <v/>
          </cell>
        </row>
        <row r="1653">
          <cell r="B1653" t="str">
            <v/>
          </cell>
        </row>
        <row r="1654">
          <cell r="B1654" t="str">
            <v/>
          </cell>
        </row>
        <row r="1655">
          <cell r="B1655" t="str">
            <v/>
          </cell>
        </row>
        <row r="1656">
          <cell r="B1656" t="str">
            <v/>
          </cell>
        </row>
        <row r="1657">
          <cell r="B1657" t="str">
            <v/>
          </cell>
        </row>
        <row r="1658">
          <cell r="B1658" t="str">
            <v/>
          </cell>
        </row>
        <row r="1659">
          <cell r="B1659" t="str">
            <v/>
          </cell>
        </row>
        <row r="1660">
          <cell r="B1660" t="str">
            <v/>
          </cell>
        </row>
        <row r="1661">
          <cell r="B1661" t="str">
            <v/>
          </cell>
        </row>
        <row r="1662">
          <cell r="B1662" t="str">
            <v/>
          </cell>
        </row>
        <row r="1663">
          <cell r="B1663" t="str">
            <v/>
          </cell>
        </row>
        <row r="1664">
          <cell r="B1664" t="str">
            <v/>
          </cell>
        </row>
        <row r="1665">
          <cell r="B1665" t="str">
            <v/>
          </cell>
        </row>
        <row r="1666">
          <cell r="B1666" t="str">
            <v/>
          </cell>
        </row>
        <row r="1667">
          <cell r="B1667" t="str">
            <v/>
          </cell>
        </row>
        <row r="1668">
          <cell r="B1668" t="str">
            <v/>
          </cell>
        </row>
        <row r="1669">
          <cell r="B1669" t="str">
            <v/>
          </cell>
        </row>
        <row r="1670">
          <cell r="B1670" t="str">
            <v/>
          </cell>
        </row>
        <row r="1671">
          <cell r="B1671" t="str">
            <v/>
          </cell>
        </row>
        <row r="1672">
          <cell r="B1672" t="str">
            <v/>
          </cell>
        </row>
        <row r="1673">
          <cell r="B1673" t="str">
            <v/>
          </cell>
        </row>
        <row r="1674">
          <cell r="B1674" t="str">
            <v/>
          </cell>
        </row>
        <row r="1675">
          <cell r="B1675" t="str">
            <v/>
          </cell>
        </row>
        <row r="1676">
          <cell r="B1676" t="str">
            <v/>
          </cell>
        </row>
        <row r="1677">
          <cell r="B1677" t="str">
            <v/>
          </cell>
        </row>
        <row r="1678">
          <cell r="B1678" t="str">
            <v/>
          </cell>
        </row>
        <row r="1679">
          <cell r="B1679" t="str">
            <v/>
          </cell>
        </row>
        <row r="1680">
          <cell r="B1680" t="str">
            <v/>
          </cell>
        </row>
        <row r="1681">
          <cell r="B1681" t="str">
            <v/>
          </cell>
        </row>
        <row r="1682">
          <cell r="B1682" t="str">
            <v/>
          </cell>
        </row>
        <row r="1683">
          <cell r="B1683" t="str">
            <v/>
          </cell>
        </row>
        <row r="1684">
          <cell r="B1684" t="str">
            <v/>
          </cell>
        </row>
        <row r="1685">
          <cell r="B1685" t="str">
            <v/>
          </cell>
        </row>
        <row r="1686">
          <cell r="B1686" t="str">
            <v/>
          </cell>
        </row>
        <row r="1687">
          <cell r="B1687" t="str">
            <v/>
          </cell>
        </row>
        <row r="1688">
          <cell r="B1688" t="str">
            <v/>
          </cell>
        </row>
        <row r="1689">
          <cell r="B1689" t="str">
            <v/>
          </cell>
        </row>
        <row r="1690">
          <cell r="B1690" t="str">
            <v/>
          </cell>
        </row>
        <row r="1691">
          <cell r="B1691" t="str">
            <v/>
          </cell>
        </row>
        <row r="1692">
          <cell r="B1692" t="str">
            <v/>
          </cell>
        </row>
        <row r="1693">
          <cell r="B1693" t="str">
            <v/>
          </cell>
        </row>
        <row r="1694">
          <cell r="B1694" t="str">
            <v/>
          </cell>
        </row>
        <row r="1695">
          <cell r="B1695" t="str">
            <v/>
          </cell>
        </row>
        <row r="1696">
          <cell r="B1696" t="str">
            <v/>
          </cell>
        </row>
        <row r="1697">
          <cell r="B1697" t="str">
            <v/>
          </cell>
        </row>
        <row r="1698">
          <cell r="B1698" t="str">
            <v/>
          </cell>
        </row>
        <row r="1699">
          <cell r="B1699" t="str">
            <v/>
          </cell>
        </row>
        <row r="1700">
          <cell r="B1700" t="str">
            <v/>
          </cell>
        </row>
        <row r="1701">
          <cell r="B1701" t="str">
            <v/>
          </cell>
        </row>
        <row r="1702">
          <cell r="B1702" t="str">
            <v/>
          </cell>
        </row>
        <row r="1703">
          <cell r="B1703" t="str">
            <v/>
          </cell>
        </row>
        <row r="1704">
          <cell r="B1704" t="str">
            <v/>
          </cell>
        </row>
        <row r="1705">
          <cell r="B1705" t="str">
            <v/>
          </cell>
        </row>
        <row r="1706">
          <cell r="B1706" t="str">
            <v/>
          </cell>
        </row>
        <row r="1707">
          <cell r="B1707" t="str">
            <v/>
          </cell>
        </row>
        <row r="1708">
          <cell r="B1708" t="str">
            <v/>
          </cell>
        </row>
        <row r="1709">
          <cell r="B1709" t="str">
            <v/>
          </cell>
        </row>
        <row r="1710">
          <cell r="B1710" t="str">
            <v/>
          </cell>
        </row>
        <row r="1711">
          <cell r="B1711" t="str">
            <v/>
          </cell>
        </row>
        <row r="1712">
          <cell r="B1712" t="str">
            <v/>
          </cell>
        </row>
        <row r="1713">
          <cell r="B1713" t="str">
            <v/>
          </cell>
        </row>
        <row r="1714">
          <cell r="B1714" t="str">
            <v/>
          </cell>
        </row>
        <row r="1715">
          <cell r="B1715" t="str">
            <v/>
          </cell>
        </row>
        <row r="1716">
          <cell r="B1716" t="str">
            <v/>
          </cell>
        </row>
        <row r="1717">
          <cell r="B1717" t="str">
            <v/>
          </cell>
        </row>
        <row r="1718">
          <cell r="B1718" t="str">
            <v/>
          </cell>
        </row>
        <row r="1719">
          <cell r="B1719" t="str">
            <v/>
          </cell>
        </row>
        <row r="1720">
          <cell r="B1720" t="str">
            <v/>
          </cell>
        </row>
        <row r="1721">
          <cell r="B1721" t="str">
            <v/>
          </cell>
        </row>
        <row r="1722">
          <cell r="B1722" t="str">
            <v/>
          </cell>
        </row>
        <row r="1723">
          <cell r="B1723" t="str">
            <v/>
          </cell>
        </row>
        <row r="1724">
          <cell r="B1724" t="str">
            <v/>
          </cell>
        </row>
        <row r="1725">
          <cell r="B1725" t="str">
            <v/>
          </cell>
        </row>
        <row r="1726">
          <cell r="B1726" t="str">
            <v/>
          </cell>
        </row>
        <row r="1727">
          <cell r="B1727" t="str">
            <v/>
          </cell>
        </row>
        <row r="1728">
          <cell r="B1728" t="str">
            <v/>
          </cell>
        </row>
        <row r="1729">
          <cell r="B1729" t="str">
            <v/>
          </cell>
        </row>
        <row r="1730">
          <cell r="B1730" t="str">
            <v/>
          </cell>
        </row>
        <row r="1731">
          <cell r="B1731" t="str">
            <v/>
          </cell>
        </row>
        <row r="1732">
          <cell r="B1732" t="str">
            <v/>
          </cell>
        </row>
        <row r="1733">
          <cell r="B1733" t="str">
            <v/>
          </cell>
        </row>
        <row r="1734">
          <cell r="B1734" t="str">
            <v/>
          </cell>
        </row>
        <row r="1735">
          <cell r="B1735" t="str">
            <v/>
          </cell>
        </row>
        <row r="1736">
          <cell r="B1736" t="str">
            <v/>
          </cell>
        </row>
        <row r="1737">
          <cell r="B1737" t="str">
            <v/>
          </cell>
        </row>
        <row r="1738">
          <cell r="B1738" t="str">
            <v/>
          </cell>
        </row>
        <row r="1739">
          <cell r="B1739" t="str">
            <v/>
          </cell>
        </row>
        <row r="1740">
          <cell r="B1740" t="str">
            <v/>
          </cell>
        </row>
        <row r="1741">
          <cell r="B1741" t="str">
            <v/>
          </cell>
        </row>
        <row r="1742">
          <cell r="B1742" t="str">
            <v/>
          </cell>
        </row>
        <row r="1743">
          <cell r="B1743" t="str">
            <v/>
          </cell>
        </row>
        <row r="1744">
          <cell r="B1744" t="str">
            <v/>
          </cell>
        </row>
        <row r="1745">
          <cell r="B1745" t="str">
            <v/>
          </cell>
        </row>
        <row r="1746">
          <cell r="B1746" t="str">
            <v/>
          </cell>
        </row>
        <row r="1747">
          <cell r="B1747" t="str">
            <v/>
          </cell>
        </row>
        <row r="1748">
          <cell r="B1748" t="str">
            <v/>
          </cell>
        </row>
        <row r="1749">
          <cell r="B1749" t="str">
            <v/>
          </cell>
        </row>
        <row r="1750">
          <cell r="B1750" t="str">
            <v/>
          </cell>
        </row>
        <row r="1751">
          <cell r="B1751" t="str">
            <v/>
          </cell>
        </row>
        <row r="1752">
          <cell r="B1752" t="str">
            <v/>
          </cell>
        </row>
        <row r="1753">
          <cell r="B1753" t="str">
            <v/>
          </cell>
        </row>
        <row r="1754">
          <cell r="B1754" t="str">
            <v/>
          </cell>
        </row>
        <row r="1755">
          <cell r="B1755" t="str">
            <v/>
          </cell>
        </row>
        <row r="1756">
          <cell r="B1756" t="str">
            <v/>
          </cell>
        </row>
        <row r="1757">
          <cell r="B1757" t="str">
            <v/>
          </cell>
        </row>
        <row r="1758">
          <cell r="B1758" t="str">
            <v/>
          </cell>
        </row>
        <row r="1759">
          <cell r="B1759" t="str">
            <v/>
          </cell>
        </row>
        <row r="1760">
          <cell r="B1760" t="str">
            <v/>
          </cell>
        </row>
        <row r="1761">
          <cell r="B1761" t="str">
            <v/>
          </cell>
        </row>
        <row r="1762">
          <cell r="B1762" t="str">
            <v/>
          </cell>
        </row>
        <row r="1763">
          <cell r="B1763" t="str">
            <v/>
          </cell>
        </row>
        <row r="1764">
          <cell r="B1764" t="str">
            <v/>
          </cell>
        </row>
        <row r="1765">
          <cell r="B1765" t="str">
            <v/>
          </cell>
        </row>
        <row r="1766">
          <cell r="B1766" t="str">
            <v/>
          </cell>
        </row>
        <row r="1767">
          <cell r="B1767" t="str">
            <v/>
          </cell>
        </row>
        <row r="1768">
          <cell r="B1768" t="str">
            <v/>
          </cell>
        </row>
        <row r="1769">
          <cell r="B1769" t="str">
            <v/>
          </cell>
        </row>
        <row r="1770">
          <cell r="B1770" t="str">
            <v/>
          </cell>
        </row>
        <row r="1771">
          <cell r="B1771" t="str">
            <v/>
          </cell>
        </row>
        <row r="1772">
          <cell r="B1772" t="str">
            <v/>
          </cell>
        </row>
        <row r="1773">
          <cell r="B1773" t="str">
            <v/>
          </cell>
        </row>
        <row r="1774">
          <cell r="B1774" t="str">
            <v/>
          </cell>
        </row>
        <row r="1775">
          <cell r="B1775" t="str">
            <v/>
          </cell>
        </row>
        <row r="1776">
          <cell r="B1776" t="str">
            <v/>
          </cell>
        </row>
        <row r="1777">
          <cell r="B1777" t="str">
            <v/>
          </cell>
        </row>
        <row r="1778">
          <cell r="B1778" t="str">
            <v/>
          </cell>
        </row>
        <row r="1779">
          <cell r="B1779" t="str">
            <v/>
          </cell>
        </row>
        <row r="1780">
          <cell r="B1780" t="str">
            <v/>
          </cell>
        </row>
        <row r="1781">
          <cell r="B1781" t="str">
            <v/>
          </cell>
        </row>
        <row r="1782">
          <cell r="B1782" t="str">
            <v/>
          </cell>
        </row>
        <row r="1783">
          <cell r="B1783" t="str">
            <v/>
          </cell>
        </row>
        <row r="1784">
          <cell r="B1784" t="str">
            <v/>
          </cell>
        </row>
        <row r="1785">
          <cell r="B1785" t="str">
            <v/>
          </cell>
        </row>
        <row r="1786">
          <cell r="B1786" t="str">
            <v/>
          </cell>
        </row>
        <row r="1787">
          <cell r="B1787" t="str">
            <v/>
          </cell>
        </row>
        <row r="1788">
          <cell r="B1788" t="str">
            <v/>
          </cell>
        </row>
        <row r="1789">
          <cell r="B1789" t="str">
            <v/>
          </cell>
        </row>
        <row r="1790">
          <cell r="B1790" t="str">
            <v/>
          </cell>
        </row>
        <row r="1791">
          <cell r="B1791" t="str">
            <v/>
          </cell>
        </row>
        <row r="1792">
          <cell r="B1792" t="str">
            <v/>
          </cell>
        </row>
        <row r="1793">
          <cell r="B1793" t="str">
            <v/>
          </cell>
        </row>
        <row r="1794">
          <cell r="B1794" t="str">
            <v/>
          </cell>
        </row>
        <row r="1795">
          <cell r="B1795" t="str">
            <v/>
          </cell>
        </row>
        <row r="1796">
          <cell r="B1796" t="str">
            <v/>
          </cell>
        </row>
        <row r="1797">
          <cell r="B1797" t="str">
            <v/>
          </cell>
        </row>
        <row r="1798">
          <cell r="B1798" t="str">
            <v/>
          </cell>
        </row>
        <row r="1799">
          <cell r="B1799" t="str">
            <v/>
          </cell>
        </row>
        <row r="1800">
          <cell r="B1800" t="str">
            <v/>
          </cell>
        </row>
        <row r="1801">
          <cell r="B1801" t="str">
            <v/>
          </cell>
        </row>
        <row r="1802">
          <cell r="B1802" t="str">
            <v/>
          </cell>
        </row>
        <row r="1803">
          <cell r="B1803" t="str">
            <v/>
          </cell>
        </row>
        <row r="1804">
          <cell r="B1804" t="str">
            <v/>
          </cell>
        </row>
        <row r="1805">
          <cell r="B1805" t="str">
            <v/>
          </cell>
        </row>
        <row r="1806">
          <cell r="B1806" t="str">
            <v/>
          </cell>
        </row>
        <row r="1807">
          <cell r="B1807" t="str">
            <v/>
          </cell>
        </row>
        <row r="1808">
          <cell r="B1808" t="str">
            <v/>
          </cell>
        </row>
        <row r="1809">
          <cell r="B1809" t="str">
            <v/>
          </cell>
        </row>
        <row r="1810">
          <cell r="B1810" t="str">
            <v/>
          </cell>
        </row>
        <row r="1811">
          <cell r="B1811" t="str">
            <v/>
          </cell>
        </row>
        <row r="1812">
          <cell r="B1812" t="str">
            <v/>
          </cell>
        </row>
        <row r="1813">
          <cell r="B1813" t="str">
            <v/>
          </cell>
        </row>
        <row r="1814">
          <cell r="B1814" t="str">
            <v/>
          </cell>
        </row>
        <row r="1815">
          <cell r="B1815" t="str">
            <v/>
          </cell>
        </row>
        <row r="1816">
          <cell r="B1816" t="str">
            <v/>
          </cell>
        </row>
        <row r="1817">
          <cell r="B1817" t="str">
            <v/>
          </cell>
        </row>
        <row r="1818">
          <cell r="B1818" t="str">
            <v/>
          </cell>
        </row>
        <row r="1819">
          <cell r="B1819" t="str">
            <v/>
          </cell>
        </row>
        <row r="1820">
          <cell r="B1820" t="str">
            <v/>
          </cell>
        </row>
        <row r="1821">
          <cell r="B1821" t="str">
            <v/>
          </cell>
        </row>
        <row r="1822">
          <cell r="B1822" t="str">
            <v/>
          </cell>
        </row>
        <row r="1823">
          <cell r="B1823" t="str">
            <v/>
          </cell>
        </row>
        <row r="1824">
          <cell r="B1824" t="str">
            <v/>
          </cell>
        </row>
        <row r="1825">
          <cell r="B1825" t="str">
            <v/>
          </cell>
        </row>
        <row r="1826">
          <cell r="B1826" t="str">
            <v/>
          </cell>
        </row>
        <row r="1827">
          <cell r="B1827" t="str">
            <v/>
          </cell>
        </row>
        <row r="1828">
          <cell r="B1828" t="str">
            <v/>
          </cell>
        </row>
        <row r="1829">
          <cell r="B1829" t="str">
            <v/>
          </cell>
        </row>
        <row r="1830">
          <cell r="B1830" t="str">
            <v/>
          </cell>
        </row>
        <row r="1831">
          <cell r="B1831" t="str">
            <v/>
          </cell>
        </row>
        <row r="1832">
          <cell r="B1832" t="str">
            <v/>
          </cell>
        </row>
        <row r="1833">
          <cell r="B1833" t="str">
            <v/>
          </cell>
        </row>
        <row r="1834">
          <cell r="B1834" t="str">
            <v/>
          </cell>
        </row>
        <row r="1835">
          <cell r="B1835" t="str">
            <v/>
          </cell>
        </row>
        <row r="1836">
          <cell r="B1836" t="str">
            <v/>
          </cell>
        </row>
        <row r="1837">
          <cell r="B1837" t="str">
            <v/>
          </cell>
        </row>
        <row r="1838">
          <cell r="B1838" t="str">
            <v/>
          </cell>
        </row>
        <row r="1839">
          <cell r="B1839" t="str">
            <v/>
          </cell>
        </row>
        <row r="1840">
          <cell r="B1840" t="str">
            <v/>
          </cell>
        </row>
        <row r="1841">
          <cell r="B1841" t="str">
            <v/>
          </cell>
        </row>
        <row r="1842">
          <cell r="B1842" t="str">
            <v/>
          </cell>
        </row>
        <row r="1843">
          <cell r="B1843" t="str">
            <v/>
          </cell>
        </row>
        <row r="1844">
          <cell r="B1844" t="str">
            <v/>
          </cell>
        </row>
        <row r="1845">
          <cell r="B1845" t="str">
            <v/>
          </cell>
        </row>
        <row r="1846">
          <cell r="B1846" t="str">
            <v/>
          </cell>
        </row>
        <row r="1847">
          <cell r="B1847" t="str">
            <v/>
          </cell>
        </row>
        <row r="1848">
          <cell r="B1848" t="str">
            <v/>
          </cell>
        </row>
        <row r="1849">
          <cell r="B1849" t="str">
            <v/>
          </cell>
        </row>
        <row r="1850">
          <cell r="B1850" t="str">
            <v/>
          </cell>
        </row>
        <row r="1851">
          <cell r="B1851" t="str">
            <v/>
          </cell>
        </row>
        <row r="1852">
          <cell r="B1852" t="str">
            <v/>
          </cell>
        </row>
        <row r="1853">
          <cell r="B1853" t="str">
            <v/>
          </cell>
        </row>
        <row r="1854">
          <cell r="B1854" t="str">
            <v/>
          </cell>
        </row>
        <row r="1855">
          <cell r="B1855" t="str">
            <v/>
          </cell>
        </row>
        <row r="1856">
          <cell r="B1856" t="str">
            <v/>
          </cell>
        </row>
        <row r="1857">
          <cell r="B1857" t="str">
            <v/>
          </cell>
        </row>
        <row r="1858">
          <cell r="B1858" t="str">
            <v/>
          </cell>
        </row>
        <row r="1859">
          <cell r="B1859" t="str">
            <v/>
          </cell>
        </row>
        <row r="1860">
          <cell r="B1860" t="str">
            <v/>
          </cell>
        </row>
        <row r="1861">
          <cell r="B1861" t="str">
            <v/>
          </cell>
        </row>
        <row r="1862">
          <cell r="B1862" t="str">
            <v/>
          </cell>
        </row>
        <row r="1863">
          <cell r="B1863" t="str">
            <v/>
          </cell>
        </row>
        <row r="1864">
          <cell r="B1864" t="str">
            <v/>
          </cell>
        </row>
        <row r="1865">
          <cell r="B1865" t="str">
            <v/>
          </cell>
        </row>
        <row r="1866">
          <cell r="B1866" t="str">
            <v/>
          </cell>
        </row>
        <row r="1867">
          <cell r="B1867" t="str">
            <v/>
          </cell>
        </row>
        <row r="1868">
          <cell r="B1868" t="str">
            <v/>
          </cell>
        </row>
        <row r="1869">
          <cell r="B1869" t="str">
            <v/>
          </cell>
        </row>
        <row r="1870">
          <cell r="B1870" t="str">
            <v/>
          </cell>
        </row>
        <row r="1871">
          <cell r="B1871" t="str">
            <v/>
          </cell>
        </row>
        <row r="1872">
          <cell r="B1872" t="str">
            <v/>
          </cell>
        </row>
        <row r="1873">
          <cell r="B1873" t="str">
            <v/>
          </cell>
        </row>
        <row r="1874">
          <cell r="B1874" t="str">
            <v/>
          </cell>
        </row>
        <row r="1875">
          <cell r="B1875" t="str">
            <v/>
          </cell>
        </row>
        <row r="1876">
          <cell r="B1876" t="str">
            <v/>
          </cell>
        </row>
        <row r="1877">
          <cell r="B1877" t="str">
            <v/>
          </cell>
        </row>
        <row r="1878">
          <cell r="B1878" t="str">
            <v/>
          </cell>
        </row>
        <row r="1879">
          <cell r="B1879" t="str">
            <v/>
          </cell>
        </row>
        <row r="1880">
          <cell r="B1880" t="str">
            <v/>
          </cell>
        </row>
        <row r="1881">
          <cell r="B1881" t="str">
            <v/>
          </cell>
        </row>
        <row r="1882">
          <cell r="B1882" t="str">
            <v/>
          </cell>
        </row>
        <row r="1883">
          <cell r="B1883" t="str">
            <v/>
          </cell>
        </row>
        <row r="1884">
          <cell r="B1884" t="str">
            <v/>
          </cell>
        </row>
        <row r="1885">
          <cell r="B1885" t="str">
            <v/>
          </cell>
        </row>
        <row r="1886">
          <cell r="B1886" t="str">
            <v/>
          </cell>
        </row>
        <row r="1887">
          <cell r="B1887" t="str">
            <v/>
          </cell>
        </row>
        <row r="1888">
          <cell r="B1888" t="str">
            <v/>
          </cell>
        </row>
        <row r="1889">
          <cell r="B1889" t="str">
            <v/>
          </cell>
        </row>
        <row r="1890">
          <cell r="B1890" t="str">
            <v/>
          </cell>
        </row>
        <row r="1891">
          <cell r="B1891" t="str">
            <v/>
          </cell>
        </row>
        <row r="1892">
          <cell r="B1892" t="str">
            <v/>
          </cell>
        </row>
        <row r="1893">
          <cell r="B1893" t="str">
            <v/>
          </cell>
        </row>
        <row r="1894">
          <cell r="B1894" t="str">
            <v/>
          </cell>
        </row>
        <row r="1895">
          <cell r="B1895" t="str">
            <v/>
          </cell>
        </row>
        <row r="1896">
          <cell r="B1896" t="str">
            <v/>
          </cell>
        </row>
        <row r="1897">
          <cell r="B1897" t="str">
            <v/>
          </cell>
        </row>
        <row r="1898">
          <cell r="B1898" t="str">
            <v/>
          </cell>
        </row>
        <row r="1899">
          <cell r="B1899" t="str">
            <v/>
          </cell>
        </row>
        <row r="1900">
          <cell r="B1900" t="str">
            <v/>
          </cell>
        </row>
        <row r="1901">
          <cell r="B1901" t="str">
            <v/>
          </cell>
        </row>
        <row r="1902">
          <cell r="B1902" t="str">
            <v/>
          </cell>
        </row>
        <row r="1903">
          <cell r="B1903" t="str">
            <v/>
          </cell>
        </row>
        <row r="1904">
          <cell r="B1904" t="str">
            <v/>
          </cell>
        </row>
        <row r="1905">
          <cell r="B1905" t="str">
            <v/>
          </cell>
        </row>
        <row r="1906">
          <cell r="B1906" t="str">
            <v/>
          </cell>
        </row>
        <row r="1907">
          <cell r="B1907" t="str">
            <v/>
          </cell>
        </row>
        <row r="1908">
          <cell r="B1908" t="str">
            <v/>
          </cell>
        </row>
        <row r="1909">
          <cell r="B1909" t="str">
            <v/>
          </cell>
        </row>
        <row r="1910">
          <cell r="B1910" t="str">
            <v/>
          </cell>
        </row>
        <row r="1911">
          <cell r="B1911" t="str">
            <v/>
          </cell>
        </row>
        <row r="1912">
          <cell r="B1912" t="str">
            <v/>
          </cell>
        </row>
        <row r="1913">
          <cell r="B1913" t="str">
            <v/>
          </cell>
        </row>
        <row r="1914">
          <cell r="B1914" t="str">
            <v/>
          </cell>
        </row>
        <row r="1915">
          <cell r="B1915" t="str">
            <v/>
          </cell>
        </row>
        <row r="1916">
          <cell r="B1916" t="str">
            <v/>
          </cell>
        </row>
        <row r="1917">
          <cell r="B1917" t="str">
            <v/>
          </cell>
        </row>
        <row r="1918">
          <cell r="B1918" t="str">
            <v/>
          </cell>
        </row>
        <row r="1919">
          <cell r="B1919" t="str">
            <v/>
          </cell>
        </row>
        <row r="1920">
          <cell r="B1920" t="str">
            <v/>
          </cell>
        </row>
        <row r="1921">
          <cell r="B1921" t="str">
            <v/>
          </cell>
        </row>
        <row r="1922">
          <cell r="B1922" t="str">
            <v/>
          </cell>
        </row>
        <row r="1923">
          <cell r="B1923" t="str">
            <v/>
          </cell>
        </row>
        <row r="1924">
          <cell r="B1924" t="str">
            <v/>
          </cell>
        </row>
        <row r="1925">
          <cell r="B1925" t="str">
            <v/>
          </cell>
        </row>
        <row r="1926">
          <cell r="B1926" t="str">
            <v/>
          </cell>
        </row>
        <row r="1927">
          <cell r="B1927" t="str">
            <v/>
          </cell>
        </row>
        <row r="1928">
          <cell r="B1928" t="str">
            <v/>
          </cell>
        </row>
        <row r="1929">
          <cell r="B1929" t="str">
            <v/>
          </cell>
        </row>
        <row r="1930">
          <cell r="B1930" t="str">
            <v/>
          </cell>
        </row>
        <row r="1931">
          <cell r="B1931" t="str">
            <v/>
          </cell>
        </row>
        <row r="1932">
          <cell r="B1932" t="str">
            <v/>
          </cell>
        </row>
        <row r="1933">
          <cell r="B1933" t="str">
            <v/>
          </cell>
        </row>
        <row r="1934">
          <cell r="B1934" t="str">
            <v/>
          </cell>
        </row>
        <row r="1935">
          <cell r="B1935" t="str">
            <v/>
          </cell>
        </row>
        <row r="1936">
          <cell r="B1936" t="str">
            <v/>
          </cell>
        </row>
        <row r="1937">
          <cell r="B1937" t="str">
            <v/>
          </cell>
        </row>
        <row r="1938">
          <cell r="B1938" t="str">
            <v/>
          </cell>
        </row>
        <row r="1939">
          <cell r="B1939" t="str">
            <v/>
          </cell>
        </row>
        <row r="1940">
          <cell r="B1940" t="str">
            <v/>
          </cell>
        </row>
        <row r="1941">
          <cell r="B1941" t="str">
            <v/>
          </cell>
        </row>
        <row r="1942">
          <cell r="B1942" t="str">
            <v/>
          </cell>
        </row>
        <row r="1943">
          <cell r="B1943" t="str">
            <v/>
          </cell>
        </row>
        <row r="1944">
          <cell r="B1944" t="str">
            <v/>
          </cell>
        </row>
        <row r="1945">
          <cell r="B1945" t="str">
            <v/>
          </cell>
        </row>
        <row r="1946">
          <cell r="B1946" t="str">
            <v/>
          </cell>
        </row>
        <row r="1947">
          <cell r="B1947" t="str">
            <v/>
          </cell>
        </row>
        <row r="1948">
          <cell r="B1948" t="str">
            <v/>
          </cell>
        </row>
        <row r="1949">
          <cell r="B1949" t="str">
            <v/>
          </cell>
        </row>
        <row r="1950">
          <cell r="B1950" t="str">
            <v/>
          </cell>
        </row>
        <row r="1951">
          <cell r="B1951" t="str">
            <v/>
          </cell>
        </row>
        <row r="1952">
          <cell r="B1952" t="str">
            <v/>
          </cell>
        </row>
        <row r="1953">
          <cell r="B1953" t="str">
            <v/>
          </cell>
        </row>
        <row r="1954">
          <cell r="B1954" t="str">
            <v/>
          </cell>
        </row>
        <row r="1955">
          <cell r="B1955" t="str">
            <v/>
          </cell>
        </row>
        <row r="1956">
          <cell r="B1956" t="str">
            <v/>
          </cell>
        </row>
        <row r="1957">
          <cell r="B1957" t="str">
            <v/>
          </cell>
        </row>
        <row r="1958">
          <cell r="B1958" t="str">
            <v/>
          </cell>
        </row>
        <row r="1959">
          <cell r="B1959" t="str">
            <v/>
          </cell>
        </row>
        <row r="1960">
          <cell r="B1960" t="str">
            <v/>
          </cell>
        </row>
        <row r="1961">
          <cell r="B1961" t="str">
            <v/>
          </cell>
        </row>
        <row r="1962">
          <cell r="B1962" t="str">
            <v/>
          </cell>
        </row>
        <row r="1963">
          <cell r="B1963" t="str">
            <v/>
          </cell>
        </row>
        <row r="1964">
          <cell r="B1964" t="str">
            <v/>
          </cell>
        </row>
        <row r="1965">
          <cell r="B1965" t="str">
            <v/>
          </cell>
        </row>
        <row r="1966">
          <cell r="B1966" t="str">
            <v/>
          </cell>
        </row>
        <row r="1967">
          <cell r="B1967" t="str">
            <v/>
          </cell>
        </row>
        <row r="1968">
          <cell r="B1968" t="str">
            <v/>
          </cell>
        </row>
        <row r="1969">
          <cell r="B1969" t="str">
            <v/>
          </cell>
        </row>
        <row r="1970">
          <cell r="B1970" t="str">
            <v/>
          </cell>
        </row>
        <row r="1971">
          <cell r="B1971" t="str">
            <v/>
          </cell>
        </row>
        <row r="1972">
          <cell r="B1972" t="str">
            <v/>
          </cell>
        </row>
        <row r="1973">
          <cell r="B1973" t="str">
            <v/>
          </cell>
        </row>
        <row r="1974">
          <cell r="B1974" t="str">
            <v/>
          </cell>
        </row>
        <row r="1975">
          <cell r="B1975" t="str">
            <v/>
          </cell>
        </row>
        <row r="1976">
          <cell r="B1976" t="str">
            <v/>
          </cell>
        </row>
        <row r="1977">
          <cell r="B1977" t="str">
            <v/>
          </cell>
        </row>
        <row r="1978">
          <cell r="B1978" t="str">
            <v/>
          </cell>
        </row>
        <row r="1979">
          <cell r="B1979" t="str">
            <v/>
          </cell>
        </row>
        <row r="1980">
          <cell r="B1980" t="str">
            <v/>
          </cell>
        </row>
        <row r="1981">
          <cell r="B1981" t="str">
            <v/>
          </cell>
        </row>
        <row r="1982">
          <cell r="B1982" t="str">
            <v/>
          </cell>
        </row>
        <row r="1983">
          <cell r="B1983" t="str">
            <v/>
          </cell>
        </row>
        <row r="1984">
          <cell r="B1984" t="str">
            <v/>
          </cell>
        </row>
        <row r="1985">
          <cell r="B1985" t="str">
            <v/>
          </cell>
        </row>
        <row r="1986">
          <cell r="B1986" t="str">
            <v/>
          </cell>
        </row>
        <row r="1987">
          <cell r="B1987" t="str">
            <v/>
          </cell>
        </row>
        <row r="1988">
          <cell r="B1988" t="str">
            <v/>
          </cell>
        </row>
        <row r="1989">
          <cell r="B1989" t="str">
            <v/>
          </cell>
        </row>
        <row r="1990">
          <cell r="B1990" t="str">
            <v/>
          </cell>
        </row>
        <row r="1991">
          <cell r="B1991" t="str">
            <v/>
          </cell>
        </row>
        <row r="1992">
          <cell r="B1992" t="str">
            <v/>
          </cell>
        </row>
        <row r="1993">
          <cell r="B1993" t="str">
            <v/>
          </cell>
        </row>
        <row r="1994">
          <cell r="B1994" t="str">
            <v/>
          </cell>
        </row>
        <row r="1995">
          <cell r="B1995" t="str">
            <v/>
          </cell>
        </row>
        <row r="1996">
          <cell r="B1996" t="str">
            <v/>
          </cell>
        </row>
        <row r="1997">
          <cell r="B1997" t="str">
            <v/>
          </cell>
        </row>
        <row r="1998">
          <cell r="B1998" t="str">
            <v/>
          </cell>
        </row>
        <row r="1999">
          <cell r="B1999" t="str">
            <v/>
          </cell>
        </row>
        <row r="2000">
          <cell r="B2000" t="str">
            <v/>
          </cell>
        </row>
        <row r="2001">
          <cell r="B2001" t="str">
            <v/>
          </cell>
        </row>
        <row r="2002">
          <cell r="B2002" t="str">
            <v/>
          </cell>
        </row>
        <row r="2003">
          <cell r="B2003" t="str">
            <v/>
          </cell>
        </row>
        <row r="2004">
          <cell r="B2004" t="str">
            <v/>
          </cell>
        </row>
        <row r="2005">
          <cell r="B2005" t="str">
            <v/>
          </cell>
        </row>
        <row r="2006">
          <cell r="B2006" t="str">
            <v/>
          </cell>
        </row>
        <row r="2007">
          <cell r="B2007" t="str">
            <v/>
          </cell>
        </row>
        <row r="2008">
          <cell r="B2008" t="str">
            <v/>
          </cell>
        </row>
        <row r="2009">
          <cell r="B2009" t="str">
            <v/>
          </cell>
        </row>
        <row r="2010">
          <cell r="B2010" t="str">
            <v/>
          </cell>
        </row>
        <row r="2011">
          <cell r="B2011" t="str">
            <v/>
          </cell>
        </row>
        <row r="2012">
          <cell r="B2012" t="str">
            <v/>
          </cell>
        </row>
        <row r="2013">
          <cell r="B2013" t="str">
            <v/>
          </cell>
        </row>
        <row r="2014">
          <cell r="B2014" t="str">
            <v/>
          </cell>
        </row>
        <row r="2015">
          <cell r="B2015" t="str">
            <v/>
          </cell>
        </row>
        <row r="2016">
          <cell r="B2016" t="str">
            <v/>
          </cell>
        </row>
        <row r="2017">
          <cell r="B2017" t="str">
            <v/>
          </cell>
        </row>
        <row r="2018">
          <cell r="B2018" t="str">
            <v/>
          </cell>
        </row>
        <row r="2019">
          <cell r="B2019" t="str">
            <v/>
          </cell>
        </row>
        <row r="2020">
          <cell r="B2020" t="str">
            <v/>
          </cell>
        </row>
        <row r="2021">
          <cell r="B2021" t="str">
            <v/>
          </cell>
        </row>
        <row r="2022">
          <cell r="B2022" t="str">
            <v/>
          </cell>
        </row>
        <row r="2023">
          <cell r="B2023" t="str">
            <v/>
          </cell>
        </row>
        <row r="2024">
          <cell r="B2024" t="str">
            <v/>
          </cell>
        </row>
        <row r="2025">
          <cell r="B2025" t="str">
            <v/>
          </cell>
        </row>
        <row r="2026">
          <cell r="B2026" t="str">
            <v/>
          </cell>
        </row>
        <row r="2027">
          <cell r="B2027" t="str">
            <v/>
          </cell>
        </row>
        <row r="2028">
          <cell r="B2028" t="str">
            <v/>
          </cell>
        </row>
        <row r="2029">
          <cell r="B2029" t="str">
            <v/>
          </cell>
        </row>
        <row r="2030">
          <cell r="B2030" t="str">
            <v/>
          </cell>
        </row>
        <row r="2031">
          <cell r="B2031" t="str">
            <v/>
          </cell>
        </row>
        <row r="2032">
          <cell r="B2032" t="str">
            <v/>
          </cell>
        </row>
        <row r="2033">
          <cell r="B2033" t="str">
            <v/>
          </cell>
        </row>
        <row r="2034">
          <cell r="B2034" t="str">
            <v/>
          </cell>
        </row>
        <row r="2035">
          <cell r="B2035" t="str">
            <v/>
          </cell>
        </row>
        <row r="2036">
          <cell r="B2036" t="str">
            <v/>
          </cell>
        </row>
        <row r="2037">
          <cell r="B2037" t="str">
            <v/>
          </cell>
        </row>
        <row r="2038">
          <cell r="B2038" t="str">
            <v/>
          </cell>
        </row>
        <row r="2039">
          <cell r="B2039" t="str">
            <v/>
          </cell>
        </row>
        <row r="2040">
          <cell r="B2040" t="str">
            <v/>
          </cell>
        </row>
        <row r="2041">
          <cell r="B2041" t="str">
            <v/>
          </cell>
        </row>
        <row r="2042">
          <cell r="B2042" t="str">
            <v/>
          </cell>
        </row>
        <row r="2043">
          <cell r="B2043" t="str">
            <v/>
          </cell>
        </row>
        <row r="2044">
          <cell r="B2044" t="str">
            <v/>
          </cell>
        </row>
        <row r="2045">
          <cell r="B2045" t="str">
            <v/>
          </cell>
        </row>
        <row r="2046">
          <cell r="B2046" t="str">
            <v/>
          </cell>
        </row>
        <row r="2047">
          <cell r="B2047" t="str">
            <v/>
          </cell>
        </row>
        <row r="2048">
          <cell r="B2048" t="str">
            <v/>
          </cell>
        </row>
        <row r="2049">
          <cell r="B2049" t="str">
            <v/>
          </cell>
        </row>
        <row r="2050">
          <cell r="B2050" t="str">
            <v/>
          </cell>
        </row>
        <row r="2051">
          <cell r="B2051" t="str">
            <v/>
          </cell>
        </row>
        <row r="2052">
          <cell r="B2052" t="str">
            <v/>
          </cell>
        </row>
        <row r="2053">
          <cell r="B2053" t="str">
            <v/>
          </cell>
        </row>
        <row r="2054">
          <cell r="B2054" t="str">
            <v/>
          </cell>
        </row>
        <row r="2055">
          <cell r="B2055" t="str">
            <v/>
          </cell>
        </row>
        <row r="2056">
          <cell r="B2056" t="str">
            <v/>
          </cell>
        </row>
        <row r="2057">
          <cell r="B2057" t="str">
            <v/>
          </cell>
        </row>
        <row r="2058">
          <cell r="B2058" t="str">
            <v/>
          </cell>
        </row>
        <row r="2059">
          <cell r="B2059" t="str">
            <v/>
          </cell>
        </row>
        <row r="2060">
          <cell r="B2060" t="str">
            <v/>
          </cell>
        </row>
        <row r="2061">
          <cell r="B2061" t="str">
            <v/>
          </cell>
        </row>
        <row r="2062">
          <cell r="B2062" t="str">
            <v/>
          </cell>
        </row>
        <row r="2063">
          <cell r="B2063" t="str">
            <v/>
          </cell>
        </row>
        <row r="2064">
          <cell r="B2064" t="str">
            <v/>
          </cell>
        </row>
        <row r="2065">
          <cell r="B2065" t="str">
            <v/>
          </cell>
        </row>
        <row r="2066">
          <cell r="B2066" t="str">
            <v/>
          </cell>
        </row>
        <row r="2067">
          <cell r="B2067" t="str">
            <v/>
          </cell>
        </row>
        <row r="2068">
          <cell r="B2068" t="str">
            <v/>
          </cell>
        </row>
        <row r="2069">
          <cell r="B2069" t="str">
            <v/>
          </cell>
        </row>
        <row r="2070">
          <cell r="B2070" t="str">
            <v/>
          </cell>
        </row>
        <row r="2071">
          <cell r="B2071" t="str">
            <v/>
          </cell>
        </row>
        <row r="2072">
          <cell r="B2072" t="str">
            <v/>
          </cell>
        </row>
        <row r="2073">
          <cell r="B2073" t="str">
            <v/>
          </cell>
        </row>
        <row r="2074">
          <cell r="B2074" t="str">
            <v/>
          </cell>
        </row>
        <row r="2075">
          <cell r="B2075" t="str">
            <v/>
          </cell>
        </row>
        <row r="2076">
          <cell r="B2076" t="str">
            <v/>
          </cell>
        </row>
        <row r="2077">
          <cell r="B2077" t="str">
            <v/>
          </cell>
        </row>
        <row r="2078">
          <cell r="B2078" t="str">
            <v/>
          </cell>
        </row>
        <row r="2079">
          <cell r="B2079" t="str">
            <v/>
          </cell>
        </row>
        <row r="2080">
          <cell r="B2080" t="str">
            <v/>
          </cell>
        </row>
        <row r="2081">
          <cell r="B2081" t="str">
            <v/>
          </cell>
        </row>
        <row r="2082">
          <cell r="B2082" t="str">
            <v/>
          </cell>
        </row>
        <row r="2083">
          <cell r="B2083" t="str">
            <v/>
          </cell>
        </row>
        <row r="2084">
          <cell r="B2084" t="str">
            <v/>
          </cell>
        </row>
        <row r="2085">
          <cell r="B2085" t="str">
            <v/>
          </cell>
        </row>
        <row r="2086">
          <cell r="B2086" t="str">
            <v/>
          </cell>
        </row>
        <row r="2087">
          <cell r="B2087" t="str">
            <v/>
          </cell>
        </row>
        <row r="2088">
          <cell r="B2088" t="str">
            <v/>
          </cell>
        </row>
        <row r="2089">
          <cell r="B2089" t="str">
            <v/>
          </cell>
        </row>
        <row r="2090">
          <cell r="B2090" t="str">
            <v/>
          </cell>
        </row>
        <row r="2091">
          <cell r="B2091" t="str">
            <v/>
          </cell>
        </row>
        <row r="2092">
          <cell r="B2092" t="str">
            <v/>
          </cell>
        </row>
        <row r="2093">
          <cell r="B2093" t="str">
            <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Đội 2 (2)"/>
      <sheetName val="PHỤ CẤP ĐỒI 3 CẦU"/>
      <sheetName val="MỦ TẠP đỘIK 2"/>
      <sheetName val="LƯƠNG ĐỘI"/>
      <sheetName val="Đội 1 bổ sung"/>
      <sheetName val="DS CN MOI UP"/>
      <sheetName val="MỦ DÂY"/>
      <sheetName val="MỦ XIRUM"/>
      <sheetName val="CHẤM CÔNG "/>
      <sheetName val="CHẤM CÔNG Axit"/>
      <sheetName val="Công cây non"/>
      <sheetName val="Sheet1"/>
      <sheetName val="MỦ TẠP"/>
      <sheetName val="CÁCH TÍNH LƯƠNG"/>
      <sheetName val="Đội 1"/>
      <sheetName val="Đội 2"/>
      <sheetName val="Đội 3"/>
      <sheetName val="Đ3 - TC"/>
      <sheetName val="Đ3 - XC"/>
      <sheetName val="Đội 4"/>
      <sheetName val="Đội 5"/>
      <sheetName val="THCKT"/>
      <sheetName val="PLC  "/>
      <sheetName val="LƯƠNG KT"/>
      <sheetName val="Đội 6"/>
      <sheetName val="LƯƠNG GIA THUỘC THÁNG 8"/>
      <sheetName val="LƯƠNG CNTT"/>
      <sheetName val="BẢNG PHÂN TOÁN (2)"/>
      <sheetName val="BẢNG PHÂN TOÁN"/>
      <sheetName val="Đội 5 - KV71ha"/>
      <sheetName val="TRẠM CÁN"/>
      <sheetName val="BV9THUC"/>
      <sheetName val="T BẢN"/>
      <sheetName val="CV KHÁC"/>
      <sheetName val="THMSC"/>
      <sheetName val="CCCNSCM"/>
      <sheetName val="TH LƯƠNG NT1"/>
      <sheetName val="Vigo"/>
      <sheetName val="KTCB"/>
      <sheetName val="Chấm công CB"/>
      <sheetName val="Chấm công kíp"/>
      <sheetName val="Chấm công BV"/>
      <sheetName val="PC BV"/>
      <sheetName val="VC KTLH"/>
      <sheetName val="BCC TRẠM CÁN"/>
      <sheetName val="KL TRẠM CÁN "/>
      <sheetName val="CCBVL"/>
    </sheetNames>
    <sheetDataSet>
      <sheetData sheetId="0"/>
      <sheetData sheetId="1"/>
      <sheetData sheetId="2"/>
      <sheetData sheetId="3"/>
      <sheetData sheetId="4"/>
      <sheetData sheetId="5">
        <row r="11">
          <cell r="B11" t="str">
            <v>Thô</v>
          </cell>
          <cell r="C11" t="str">
            <v>02440</v>
          </cell>
        </row>
        <row r="12">
          <cell r="B12" t="str">
            <v>Mè Ta Van</v>
          </cell>
          <cell r="C12" t="str">
            <v>03423</v>
          </cell>
        </row>
        <row r="13">
          <cell r="B13" t="str">
            <v>Ka Tho</v>
          </cell>
          <cell r="C13" t="str">
            <v>03425</v>
          </cell>
        </row>
        <row r="14">
          <cell r="B14" t="str">
            <v>Xay</v>
          </cell>
          <cell r="C14" t="str">
            <v>03426</v>
          </cell>
        </row>
        <row r="15">
          <cell r="B15" t="str">
            <v>Thảo In</v>
          </cell>
          <cell r="C15" t="str">
            <v>03427</v>
          </cell>
        </row>
        <row r="16">
          <cell r="B16" t="str">
            <v>Cha La</v>
          </cell>
          <cell r="C16" t="str">
            <v>03428</v>
          </cell>
        </row>
        <row r="17">
          <cell r="B17" t="str">
            <v>Nang Nga</v>
          </cell>
          <cell r="C17" t="str">
            <v>02441</v>
          </cell>
        </row>
        <row r="18">
          <cell r="B18" t="str">
            <v>Khăm Đi</v>
          </cell>
          <cell r="C18" t="str">
            <v>03429</v>
          </cell>
        </row>
        <row r="19">
          <cell r="B19" t="str">
            <v>Me Đuông</v>
          </cell>
          <cell r="C19" t="str">
            <v>02433</v>
          </cell>
        </row>
        <row r="20">
          <cell r="B20" t="str">
            <v>Nang Môn</v>
          </cell>
          <cell r="C20" t="str">
            <v>03430</v>
          </cell>
        </row>
        <row r="21">
          <cell r="B21" t="str">
            <v>Ziên</v>
          </cell>
          <cell r="C21" t="str">
            <v>03431</v>
          </cell>
        </row>
        <row r="22">
          <cell r="B22" t="str">
            <v>Me Pê</v>
          </cell>
          <cell r="C22" t="str">
            <v>03432</v>
          </cell>
        </row>
        <row r="23">
          <cell r="B23" t="str">
            <v>Thảo chòi</v>
          </cell>
          <cell r="C23" t="str">
            <v>03433</v>
          </cell>
        </row>
        <row r="24">
          <cell r="B24" t="str">
            <v>Tìng A</v>
          </cell>
          <cell r="C24" t="str">
            <v>03434</v>
          </cell>
        </row>
        <row r="25">
          <cell r="B25" t="str">
            <v>Phò Set Tha</v>
          </cell>
          <cell r="C25" t="str">
            <v>03435</v>
          </cell>
        </row>
        <row r="26">
          <cell r="B26" t="str">
            <v>Sắt</v>
          </cell>
          <cell r="C26" t="str">
            <v>03436</v>
          </cell>
        </row>
        <row r="27">
          <cell r="B27" t="str">
            <v>Khăm (1)</v>
          </cell>
          <cell r="C27" t="str">
            <v>03437</v>
          </cell>
        </row>
        <row r="28">
          <cell r="B28" t="str">
            <v>Nàng Ni</v>
          </cell>
          <cell r="C28" t="str">
            <v>03438</v>
          </cell>
        </row>
        <row r="29">
          <cell r="B29" t="str">
            <v>Khu</v>
          </cell>
          <cell r="C29" t="str">
            <v>03439</v>
          </cell>
        </row>
        <row r="30">
          <cell r="B30" t="str">
            <v>Nang Thôn</v>
          </cell>
          <cell r="C30" t="str">
            <v>02429</v>
          </cell>
        </row>
        <row r="31">
          <cell r="B31" t="str">
            <v>Xeng</v>
          </cell>
          <cell r="C31" t="str">
            <v>03440</v>
          </cell>
        </row>
        <row r="32">
          <cell r="B32" t="str">
            <v>Lăm Phiêng</v>
          </cell>
          <cell r="C32" t="str">
            <v>03441</v>
          </cell>
        </row>
        <row r="33">
          <cell r="B33" t="str">
            <v>Nang Tìng B</v>
          </cell>
          <cell r="C33" t="str">
            <v>02432</v>
          </cell>
        </row>
        <row r="34">
          <cell r="B34" t="str">
            <v>Lec</v>
          </cell>
          <cell r="C34" t="str">
            <v>03442</v>
          </cell>
        </row>
        <row r="35">
          <cell r="B35" t="str">
            <v>Chun</v>
          </cell>
          <cell r="C35" t="str">
            <v>03443</v>
          </cell>
        </row>
        <row r="36">
          <cell r="B36" t="str">
            <v>Nàng Nọi</v>
          </cell>
          <cell r="C36" t="str">
            <v>03444</v>
          </cell>
        </row>
        <row r="37">
          <cell r="B37" t="str">
            <v>Xăm Phon</v>
          </cell>
          <cell r="C37" t="str">
            <v>02431</v>
          </cell>
        </row>
        <row r="38">
          <cell r="B38" t="str">
            <v>Bun Nác</v>
          </cell>
          <cell r="C38" t="str">
            <v>02437</v>
          </cell>
        </row>
        <row r="39">
          <cell r="B39" t="str">
            <v>Thảo Nọi (1)</v>
          </cell>
          <cell r="C39" t="str">
            <v>03445</v>
          </cell>
        </row>
        <row r="40">
          <cell r="B40" t="str">
            <v>Thảo Công</v>
          </cell>
          <cell r="C40" t="str">
            <v>03446</v>
          </cell>
        </row>
        <row r="41">
          <cell r="B41" t="str">
            <v>Phò Tham</v>
          </cell>
          <cell r="C41" t="str">
            <v>03447</v>
          </cell>
        </row>
        <row r="42">
          <cell r="B42" t="str">
            <v>Xơi</v>
          </cell>
          <cell r="C42" t="str">
            <v>03448</v>
          </cell>
        </row>
        <row r="43">
          <cell r="B43" t="str">
            <v>Nang Mi</v>
          </cell>
          <cell r="C43" t="str">
            <v>02439</v>
          </cell>
        </row>
        <row r="44">
          <cell r="B44" t="str">
            <v>Xang</v>
          </cell>
          <cell r="C44" t="str">
            <v>03449</v>
          </cell>
        </row>
        <row r="45">
          <cell r="B45" t="str">
            <v>Nuc</v>
          </cell>
          <cell r="C45" t="str">
            <v>03450</v>
          </cell>
        </row>
        <row r="46">
          <cell r="B46" t="str">
            <v>Phò Thiên</v>
          </cell>
          <cell r="C46" t="str">
            <v>03451</v>
          </cell>
        </row>
        <row r="47">
          <cell r="B47" t="str">
            <v>Nàng Chăn A</v>
          </cell>
          <cell r="C47" t="str">
            <v>02438</v>
          </cell>
        </row>
        <row r="48">
          <cell r="B48" t="str">
            <v>Nang Thong</v>
          </cell>
          <cell r="C48" t="str">
            <v>02442</v>
          </cell>
        </row>
        <row r="49">
          <cell r="B49" t="str">
            <v>Sủng</v>
          </cell>
          <cell r="C49" t="str">
            <v>02427</v>
          </cell>
        </row>
        <row r="50">
          <cell r="B50" t="str">
            <v>Lat Sa Mi</v>
          </cell>
          <cell r="C50" t="str">
            <v>03452</v>
          </cell>
        </row>
        <row r="51">
          <cell r="B51" t="str">
            <v>Nhông</v>
          </cell>
          <cell r="C51" t="str">
            <v>03453</v>
          </cell>
        </row>
        <row r="52">
          <cell r="B52" t="str">
            <v>Mè Tham</v>
          </cell>
          <cell r="C52" t="str">
            <v>03454</v>
          </cell>
        </row>
        <row r="53">
          <cell r="B53" t="str">
            <v>Nang Hỏm</v>
          </cell>
          <cell r="C53" t="str">
            <v>03455</v>
          </cell>
        </row>
        <row r="55">
          <cell r="B55" t="str">
            <v>Lếc</v>
          </cell>
          <cell r="C55" t="str">
            <v>03271</v>
          </cell>
        </row>
        <row r="56">
          <cell r="B56" t="str">
            <v>Hăm Lẹ</v>
          </cell>
          <cell r="C56" t="str">
            <v>03272</v>
          </cell>
        </row>
        <row r="57">
          <cell r="B57" t="str">
            <v>Vông</v>
          </cell>
          <cell r="C57" t="str">
            <v>03273</v>
          </cell>
        </row>
        <row r="58">
          <cell r="B58" t="str">
            <v>Ma Ni Son</v>
          </cell>
          <cell r="C58" t="str">
            <v>03274</v>
          </cell>
        </row>
        <row r="59">
          <cell r="B59" t="str">
            <v>Cong Ma</v>
          </cell>
          <cell r="C59" t="str">
            <v>03275</v>
          </cell>
        </row>
        <row r="60">
          <cell r="B60" t="str">
            <v>Két</v>
          </cell>
          <cell r="C60" t="str">
            <v>02666</v>
          </cell>
        </row>
        <row r="61">
          <cell r="B61" t="str">
            <v>Măn</v>
          </cell>
          <cell r="C61" t="str">
            <v>03276</v>
          </cell>
        </row>
        <row r="62">
          <cell r="B62" t="str">
            <v>Soi</v>
          </cell>
          <cell r="C62" t="str">
            <v>03277</v>
          </cell>
        </row>
        <row r="63">
          <cell r="B63" t="str">
            <v>Pò Mòm</v>
          </cell>
          <cell r="C63" t="str">
            <v>02673</v>
          </cell>
        </row>
        <row r="64">
          <cell r="B64" t="str">
            <v>Pệt</v>
          </cell>
          <cell r="C64" t="str">
            <v>03278</v>
          </cell>
        </row>
        <row r="65">
          <cell r="B65" t="str">
            <v>Khay Khăm</v>
          </cell>
          <cell r="C65" t="str">
            <v>03279</v>
          </cell>
        </row>
        <row r="66">
          <cell r="B66" t="str">
            <v>Ô Lích</v>
          </cell>
          <cell r="C66" t="str">
            <v>03280</v>
          </cell>
        </row>
        <row r="67">
          <cell r="B67" t="str">
            <v>Va Khăm</v>
          </cell>
          <cell r="C67" t="str">
            <v>03281</v>
          </cell>
        </row>
        <row r="68">
          <cell r="B68" t="str">
            <v>Căn Nha</v>
          </cell>
          <cell r="C68" t="str">
            <v>03282</v>
          </cell>
        </row>
        <row r="69">
          <cell r="B69" t="str">
            <v>Nọi (2)</v>
          </cell>
          <cell r="C69" t="str">
            <v>03283</v>
          </cell>
        </row>
        <row r="70">
          <cell r="B70" t="str">
            <v>Lợt</v>
          </cell>
          <cell r="C70" t="str">
            <v>03848</v>
          </cell>
        </row>
        <row r="71">
          <cell r="B71" t="str">
            <v>Ếch</v>
          </cell>
          <cell r="C71" t="str">
            <v>02667</v>
          </cell>
        </row>
        <row r="72">
          <cell r="B72" t="str">
            <v>Hắm</v>
          </cell>
          <cell r="C72" t="str">
            <v>03849</v>
          </cell>
        </row>
        <row r="73">
          <cell r="B73" t="str">
            <v>Híp</v>
          </cell>
          <cell r="C73" t="str">
            <v>03287</v>
          </cell>
        </row>
        <row r="74">
          <cell r="B74" t="str">
            <v>Pử</v>
          </cell>
          <cell r="C74" t="str">
            <v>03288</v>
          </cell>
        </row>
        <row r="75">
          <cell r="B75" t="str">
            <v>Mi</v>
          </cell>
          <cell r="C75" t="str">
            <v>03850</v>
          </cell>
        </row>
        <row r="76">
          <cell r="B76" t="str">
            <v>Ừm</v>
          </cell>
          <cell r="C76" t="str">
            <v>02669</v>
          </cell>
        </row>
        <row r="77">
          <cell r="B77" t="str">
            <v>Thông May</v>
          </cell>
          <cell r="C77" t="str">
            <v>03289</v>
          </cell>
        </row>
        <row r="78">
          <cell r="B78" t="str">
            <v>Su Ki</v>
          </cell>
          <cell r="C78" t="str">
            <v>03290</v>
          </cell>
        </row>
        <row r="79">
          <cell r="B79" t="str">
            <v>Xút Chay</v>
          </cell>
          <cell r="C79" t="str">
            <v>02671</v>
          </cell>
        </row>
        <row r="80">
          <cell r="B80" t="str">
            <v>Khăm Ma Ny</v>
          </cell>
          <cell r="C80" t="str">
            <v>03291</v>
          </cell>
        </row>
        <row r="81">
          <cell r="B81" t="str">
            <v>Lúi</v>
          </cell>
          <cell r="C81" t="str">
            <v>03292</v>
          </cell>
        </row>
        <row r="82">
          <cell r="B82" t="str">
            <v>Thong Đeng</v>
          </cell>
          <cell r="C82" t="str">
            <v>03293</v>
          </cell>
        </row>
        <row r="83">
          <cell r="B83" t="str">
            <v>Choi (2)</v>
          </cell>
          <cell r="C83" t="str">
            <v>03294</v>
          </cell>
        </row>
        <row r="84">
          <cell r="B84" t="str">
            <v>Bua Pha</v>
          </cell>
          <cell r="C84" t="str">
            <v>03295</v>
          </cell>
        </row>
        <row r="85">
          <cell r="B85" t="str">
            <v>Thong La</v>
          </cell>
          <cell r="C85" t="str">
            <v>03296</v>
          </cell>
        </row>
        <row r="86">
          <cell r="B86" t="str">
            <v>A Nan</v>
          </cell>
          <cell r="C86" t="str">
            <v>03297</v>
          </cell>
        </row>
        <row r="87">
          <cell r="B87" t="str">
            <v>In Pon</v>
          </cell>
          <cell r="C87" t="str">
            <v>03298</v>
          </cell>
        </row>
        <row r="88">
          <cell r="B88" t="str">
            <v>Xi Đa (2)</v>
          </cell>
          <cell r="C88" t="str">
            <v>03299</v>
          </cell>
        </row>
        <row r="89">
          <cell r="B89" t="str">
            <v>Bun Sóng</v>
          </cell>
          <cell r="C89" t="str">
            <v>03300</v>
          </cell>
        </row>
        <row r="90">
          <cell r="B90" t="str">
            <v>Tỏng</v>
          </cell>
          <cell r="C90" t="str">
            <v>03301</v>
          </cell>
        </row>
        <row r="91">
          <cell r="B91" t="str">
            <v>Vá</v>
          </cell>
          <cell r="C91" t="str">
            <v>03302</v>
          </cell>
        </row>
        <row r="92">
          <cell r="B92" t="str">
            <v>Su Ly</v>
          </cell>
          <cell r="C92" t="str">
            <v>03303</v>
          </cell>
        </row>
        <row r="93">
          <cell r="B93" t="str">
            <v>Pò Vy</v>
          </cell>
          <cell r="C93" t="str">
            <v>03304</v>
          </cell>
        </row>
        <row r="94">
          <cell r="B94" t="str">
            <v>Đeng</v>
          </cell>
          <cell r="C94" t="str">
            <v>03305</v>
          </cell>
        </row>
        <row r="95">
          <cell r="B95" t="str">
            <v>Pừng</v>
          </cell>
          <cell r="C95" t="str">
            <v>03851</v>
          </cell>
        </row>
        <row r="96">
          <cell r="B96" t="str">
            <v>Xi Chăn</v>
          </cell>
          <cell r="C96" t="str">
            <v>03306</v>
          </cell>
        </row>
        <row r="97">
          <cell r="B97" t="str">
            <v>Na Ly</v>
          </cell>
          <cell r="C97" t="str">
            <v>03852</v>
          </cell>
        </row>
        <row r="98">
          <cell r="B98" t="str">
            <v>Chăn Đi</v>
          </cell>
          <cell r="C98" t="str">
            <v>03308</v>
          </cell>
        </row>
        <row r="99">
          <cell r="B99" t="str">
            <v>Phôm Ma</v>
          </cell>
          <cell r="C99" t="str">
            <v>03309</v>
          </cell>
        </row>
        <row r="100">
          <cell r="B100" t="str">
            <v>Lăm (2)</v>
          </cell>
          <cell r="C100" t="str">
            <v>03310</v>
          </cell>
        </row>
        <row r="101">
          <cell r="B101" t="str">
            <v>Lích</v>
          </cell>
          <cell r="C101" t="str">
            <v>03311</v>
          </cell>
        </row>
        <row r="102">
          <cell r="B102" t="str">
            <v>Lăm Phon (2)</v>
          </cell>
          <cell r="C102" t="str">
            <v>03312</v>
          </cell>
        </row>
        <row r="103">
          <cell r="B103" t="str">
            <v>Bun Thay</v>
          </cell>
          <cell r="C103" t="str">
            <v>03313</v>
          </cell>
        </row>
        <row r="104">
          <cell r="B104" t="str">
            <v>Ta Luông</v>
          </cell>
          <cell r="C104" t="str">
            <v>03314</v>
          </cell>
        </row>
        <row r="105">
          <cell r="B105" t="str">
            <v>Phim Phon</v>
          </cell>
          <cell r="C105" t="str">
            <v>03315</v>
          </cell>
        </row>
        <row r="106">
          <cell r="B106" t="str">
            <v>Tu La</v>
          </cell>
          <cell r="C106" t="str">
            <v>03316</v>
          </cell>
        </row>
        <row r="107">
          <cell r="B107" t="str">
            <v>Noi</v>
          </cell>
          <cell r="C107" t="str">
            <v>03853</v>
          </cell>
        </row>
        <row r="108">
          <cell r="B108" t="str">
            <v>Hắm Nọi</v>
          </cell>
          <cell r="C108" t="str">
            <v>02665</v>
          </cell>
        </row>
        <row r="109">
          <cell r="B109" t="str">
            <v>Pheng Phăn</v>
          </cell>
          <cell r="C109" t="str">
            <v>03318</v>
          </cell>
        </row>
        <row r="111">
          <cell r="B111" t="str">
            <v>Bôn</v>
          </cell>
          <cell r="C111" t="str">
            <v>03319</v>
          </cell>
        </row>
        <row r="112">
          <cell r="B112" t="str">
            <v>E</v>
          </cell>
          <cell r="C112" t="str">
            <v>03320</v>
          </cell>
        </row>
        <row r="113">
          <cell r="B113" t="str">
            <v>Khương (3)</v>
          </cell>
          <cell r="C113" t="str">
            <v>02453</v>
          </cell>
        </row>
        <row r="114">
          <cell r="B114" t="str">
            <v>Nít Ni Lanh</v>
          </cell>
          <cell r="C114" t="str">
            <v>02471</v>
          </cell>
        </row>
        <row r="115">
          <cell r="B115" t="str">
            <v>Khăm Đeng</v>
          </cell>
          <cell r="C115" t="str">
            <v>02465</v>
          </cell>
        </row>
        <row r="116">
          <cell r="B116" t="str">
            <v>Nàng  Năt</v>
          </cell>
          <cell r="C116" t="str">
            <v>03321</v>
          </cell>
        </row>
        <row r="117">
          <cell r="B117" t="str">
            <v>Xay (3)</v>
          </cell>
          <cell r="C117" t="str">
            <v>03322</v>
          </cell>
        </row>
        <row r="118">
          <cell r="B118" t="str">
            <v>Xôn</v>
          </cell>
          <cell r="C118" t="str">
            <v>02452</v>
          </cell>
        </row>
        <row r="119">
          <cell r="B119" t="str">
            <v>Phum Hom</v>
          </cell>
          <cell r="C119" t="str">
            <v>02508</v>
          </cell>
        </row>
        <row r="120">
          <cell r="B120" t="str">
            <v>Pa Lay</v>
          </cell>
          <cell r="C120" t="str">
            <v>03323</v>
          </cell>
        </row>
        <row r="121">
          <cell r="B121" t="str">
            <v>Măm</v>
          </cell>
          <cell r="C121" t="str">
            <v>02466</v>
          </cell>
        </row>
        <row r="122">
          <cell r="B122" t="str">
            <v>Muôi</v>
          </cell>
          <cell r="C122" t="str">
            <v>02493</v>
          </cell>
        </row>
        <row r="123">
          <cell r="B123" t="str">
            <v>Vat Sa Na</v>
          </cell>
          <cell r="C123" t="str">
            <v>03324</v>
          </cell>
        </row>
        <row r="124">
          <cell r="B124" t="str">
            <v>Xi La</v>
          </cell>
          <cell r="C124" t="str">
            <v>03325</v>
          </cell>
        </row>
        <row r="125">
          <cell r="B125" t="str">
            <v>Me Nhon</v>
          </cell>
          <cell r="C125" t="str">
            <v>03326</v>
          </cell>
        </row>
        <row r="126">
          <cell r="B126" t="str">
            <v>Ten (3)</v>
          </cell>
          <cell r="C126" t="str">
            <v>02492</v>
          </cell>
        </row>
        <row r="127">
          <cell r="B127" t="str">
            <v>Ki</v>
          </cell>
          <cell r="C127" t="str">
            <v>02485</v>
          </cell>
        </row>
        <row r="128">
          <cell r="B128" t="str">
            <v>Phết (3)</v>
          </cell>
          <cell r="C128" t="str">
            <v>02487</v>
          </cell>
        </row>
        <row r="129">
          <cell r="B129" t="str">
            <v>Phon (3)</v>
          </cell>
          <cell r="C129" t="str">
            <v>03327</v>
          </cell>
        </row>
        <row r="130">
          <cell r="B130" t="str">
            <v>Nang Vone</v>
          </cell>
          <cell r="C130" t="str">
            <v>02684</v>
          </cell>
        </row>
        <row r="131">
          <cell r="B131" t="str">
            <v>Lăng A</v>
          </cell>
          <cell r="C131" t="str">
            <v>02488</v>
          </cell>
        </row>
        <row r="132">
          <cell r="B132" t="str">
            <v>Nút</v>
          </cell>
          <cell r="C132" t="str">
            <v>02679</v>
          </cell>
        </row>
        <row r="133">
          <cell r="B133" t="str">
            <v>Xit</v>
          </cell>
          <cell r="C133" t="str">
            <v>03328</v>
          </cell>
        </row>
        <row r="134">
          <cell r="B134" t="str">
            <v>Kum Man</v>
          </cell>
          <cell r="C134" t="str">
            <v>02469</v>
          </cell>
        </row>
        <row r="135">
          <cell r="B135" t="str">
            <v>Xai Ta</v>
          </cell>
          <cell r="C135" t="str">
            <v>02475</v>
          </cell>
        </row>
        <row r="136">
          <cell r="B136" t="str">
            <v>Lươn</v>
          </cell>
          <cell r="C136" t="str">
            <v>02473</v>
          </cell>
        </row>
        <row r="137">
          <cell r="B137" t="str">
            <v>Nàng Lên</v>
          </cell>
          <cell r="C137" t="str">
            <v>02510</v>
          </cell>
        </row>
        <row r="138">
          <cell r="B138" t="str">
            <v>Nọi (3)</v>
          </cell>
          <cell r="C138" t="str">
            <v>02513</v>
          </cell>
        </row>
        <row r="139">
          <cell r="B139" t="str">
            <v>Lên</v>
          </cell>
          <cell r="C139" t="str">
            <v>02510</v>
          </cell>
        </row>
        <row r="140">
          <cell r="B140" t="str">
            <v>Khắn</v>
          </cell>
          <cell r="C140" t="str">
            <v>02470</v>
          </cell>
        </row>
        <row r="141">
          <cell r="B141" t="str">
            <v>XumMai</v>
          </cell>
          <cell r="C141" t="str">
            <v>03329</v>
          </cell>
        </row>
        <row r="142">
          <cell r="B142" t="str">
            <v>Nang Ny</v>
          </cell>
          <cell r="C142" t="str">
            <v>03330</v>
          </cell>
        </row>
        <row r="143">
          <cell r="B143" t="str">
            <v>Kẹo Ta</v>
          </cell>
          <cell r="C143" t="str">
            <v>02455</v>
          </cell>
        </row>
        <row r="144">
          <cell r="B144" t="str">
            <v>Pom</v>
          </cell>
          <cell r="C144" t="str">
            <v>02459</v>
          </cell>
        </row>
        <row r="145">
          <cell r="B145" t="str">
            <v>Cong</v>
          </cell>
          <cell r="C145" t="str">
            <v>02506</v>
          </cell>
        </row>
        <row r="146">
          <cell r="B146" t="str">
            <v>Khăm B</v>
          </cell>
          <cell r="C146" t="str">
            <v>02507</v>
          </cell>
        </row>
        <row r="147">
          <cell r="B147" t="str">
            <v>Khôn (3)</v>
          </cell>
          <cell r="C147" t="str">
            <v>03331</v>
          </cell>
        </row>
        <row r="148">
          <cell r="B148" t="str">
            <v>Xing</v>
          </cell>
          <cell r="C148" t="str">
            <v>02467</v>
          </cell>
        </row>
        <row r="149">
          <cell r="B149" t="str">
            <v>Kị To</v>
          </cell>
          <cell r="C149" t="str">
            <v>02483</v>
          </cell>
        </row>
        <row r="150">
          <cell r="B150" t="str">
            <v>Thảo Ký</v>
          </cell>
          <cell r="C150" t="str">
            <v>02512</v>
          </cell>
        </row>
        <row r="151">
          <cell r="B151" t="str">
            <v>Nam Phon</v>
          </cell>
          <cell r="C151" t="str">
            <v>03332</v>
          </cell>
        </row>
        <row r="152">
          <cell r="B152" t="str">
            <v>Lon</v>
          </cell>
          <cell r="C152" t="str">
            <v>03333</v>
          </cell>
        </row>
        <row r="153">
          <cell r="B153" t="str">
            <v>Me Son</v>
          </cell>
          <cell r="C153" t="str">
            <v>02474</v>
          </cell>
        </row>
        <row r="154">
          <cell r="B154" t="str">
            <v>Nít</v>
          </cell>
          <cell r="C154" t="str">
            <v>02500</v>
          </cell>
        </row>
        <row r="155">
          <cell r="B155" t="str">
            <v>Nui</v>
          </cell>
          <cell r="C155" t="str">
            <v>02451</v>
          </cell>
        </row>
        <row r="156">
          <cell r="B156" t="str">
            <v>Đuông Chăn</v>
          </cell>
          <cell r="C156" t="str">
            <v>02462</v>
          </cell>
        </row>
        <row r="157">
          <cell r="B157" t="str">
            <v>Đăm (3)</v>
          </cell>
          <cell r="C157" t="str">
            <v>02491</v>
          </cell>
        </row>
        <row r="158">
          <cell r="B158" t="str">
            <v>Hăm Nọi A</v>
          </cell>
          <cell r="C158" t="str">
            <v>02457</v>
          </cell>
        </row>
        <row r="159">
          <cell r="B159" t="str">
            <v>Hip</v>
          </cell>
          <cell r="C159" t="str">
            <v>03334</v>
          </cell>
        </row>
        <row r="160">
          <cell r="B160" t="str">
            <v>Hăm Noi B</v>
          </cell>
          <cell r="C160" t="str">
            <v>02486</v>
          </cell>
        </row>
        <row r="161">
          <cell r="B161" t="str">
            <v>Tụp</v>
          </cell>
          <cell r="C161" t="str">
            <v>02479</v>
          </cell>
        </row>
        <row r="162">
          <cell r="B162" t="str">
            <v>S Ting</v>
          </cell>
          <cell r="C162" t="str">
            <v>02515</v>
          </cell>
        </row>
        <row r="163">
          <cell r="B163" t="str">
            <v>Tom</v>
          </cell>
          <cell r="C163" t="str">
            <v>02498</v>
          </cell>
        </row>
        <row r="164">
          <cell r="B164" t="str">
            <v>Nang Py</v>
          </cell>
          <cell r="C164" t="str">
            <v>02685</v>
          </cell>
        </row>
        <row r="165">
          <cell r="B165" t="str">
            <v>Ô</v>
          </cell>
          <cell r="C165" t="str">
            <v>02450</v>
          </cell>
        </row>
        <row r="166">
          <cell r="B166" t="str">
            <v>Văn Thong</v>
          </cell>
          <cell r="C166" t="str">
            <v>02454</v>
          </cell>
        </row>
        <row r="167">
          <cell r="B167" t="str">
            <v>Va</v>
          </cell>
          <cell r="C167" t="str">
            <v>03335</v>
          </cell>
        </row>
        <row r="168">
          <cell r="B168" t="str">
            <v>Pông</v>
          </cell>
          <cell r="C168" t="str">
            <v>02460</v>
          </cell>
        </row>
        <row r="169">
          <cell r="B169" t="str">
            <v>Nang Híp</v>
          </cell>
          <cell r="C169" t="str">
            <v>02683</v>
          </cell>
        </row>
        <row r="170">
          <cell r="B170" t="str">
            <v>Khăn Ma</v>
          </cell>
          <cell r="C170" t="str">
            <v>02681</v>
          </cell>
        </row>
        <row r="171">
          <cell r="B171" t="str">
            <v>Nàng Son</v>
          </cell>
          <cell r="C171" t="str">
            <v>02504</v>
          </cell>
        </row>
        <row r="172">
          <cell r="B172" t="str">
            <v>Khăm Bun</v>
          </cell>
          <cell r="C172" t="str">
            <v>02686</v>
          </cell>
        </row>
        <row r="173">
          <cell r="B173" t="str">
            <v>Chọt</v>
          </cell>
          <cell r="C173" t="str">
            <v>02478</v>
          </cell>
        </row>
        <row r="174">
          <cell r="B174" t="str">
            <v>Đen</v>
          </cell>
          <cell r="C174" t="str">
            <v>02499</v>
          </cell>
        </row>
        <row r="175">
          <cell r="B175" t="str">
            <v>Tà (3)</v>
          </cell>
          <cell r="C175" t="str">
            <v>03336</v>
          </cell>
        </row>
        <row r="176">
          <cell r="B176" t="str">
            <v>Nang Hắc</v>
          </cell>
          <cell r="C176" t="str">
            <v>02682</v>
          </cell>
        </row>
        <row r="177">
          <cell r="B177" t="str">
            <v>Tia</v>
          </cell>
          <cell r="C177" t="str">
            <v>02482</v>
          </cell>
        </row>
        <row r="178">
          <cell r="B178" t="str">
            <v>Lăm Phon (3)</v>
          </cell>
          <cell r="C178" t="str">
            <v>03337</v>
          </cell>
        </row>
        <row r="179">
          <cell r="B179" t="str">
            <v>Chít</v>
          </cell>
          <cell r="C179" t="str">
            <v>03338</v>
          </cell>
        </row>
        <row r="180">
          <cell r="B180" t="str">
            <v>Lay</v>
          </cell>
          <cell r="C180" t="str">
            <v>02481</v>
          </cell>
        </row>
        <row r="181">
          <cell r="B181" t="str">
            <v>Thá</v>
          </cell>
          <cell r="C181" t="str">
            <v>02463</v>
          </cell>
        </row>
        <row r="182">
          <cell r="B182" t="str">
            <v>Lệ</v>
          </cell>
          <cell r="C182" t="str">
            <v>02464</v>
          </cell>
        </row>
        <row r="183">
          <cell r="B183" t="str">
            <v>Ling</v>
          </cell>
          <cell r="C183" t="str">
            <v>02456</v>
          </cell>
        </row>
        <row r="184">
          <cell r="B184" t="str">
            <v>Loi</v>
          </cell>
          <cell r="C184" t="str">
            <v>02461</v>
          </cell>
        </row>
        <row r="185">
          <cell r="B185" t="str">
            <v>Thảo Pha</v>
          </cell>
          <cell r="C185" t="str">
            <v>02680</v>
          </cell>
        </row>
        <row r="186">
          <cell r="B186" t="str">
            <v>Ka Te</v>
          </cell>
          <cell r="C186" t="str">
            <v>02501</v>
          </cell>
        </row>
        <row r="187">
          <cell r="B187" t="str">
            <v>In Đia</v>
          </cell>
          <cell r="C187" t="str">
            <v>02503</v>
          </cell>
        </row>
        <row r="188">
          <cell r="B188" t="str">
            <v>Khăm Mừn</v>
          </cell>
          <cell r="C188" t="str">
            <v>02468</v>
          </cell>
        </row>
        <row r="189">
          <cell r="B189" t="str">
            <v>Choi (3)</v>
          </cell>
          <cell r="C189" t="str">
            <v>03339</v>
          </cell>
        </row>
        <row r="190">
          <cell r="B190" t="str">
            <v>Xi No</v>
          </cell>
          <cell r="C190" t="str">
            <v>02494</v>
          </cell>
        </row>
        <row r="191">
          <cell r="B191" t="str">
            <v>Lói</v>
          </cell>
          <cell r="C191" t="str">
            <v>02476</v>
          </cell>
        </row>
        <row r="192">
          <cell r="B192" t="str">
            <v>Ót</v>
          </cell>
          <cell r="C192" t="str">
            <v>02496</v>
          </cell>
        </row>
        <row r="193">
          <cell r="B193" t="str">
            <v>Son</v>
          </cell>
          <cell r="C193" t="str">
            <v>02502</v>
          </cell>
        </row>
        <row r="194">
          <cell r="B194" t="str">
            <v>Sét</v>
          </cell>
          <cell r="C194" t="str">
            <v>02514</v>
          </cell>
        </row>
        <row r="195">
          <cell r="B195" t="str">
            <v>Lan (3)</v>
          </cell>
          <cell r="C195" t="str">
            <v>03340</v>
          </cell>
        </row>
        <row r="196">
          <cell r="B196" t="str">
            <v>Tha Mon Ta</v>
          </cell>
          <cell r="C196" t="str">
            <v>02497</v>
          </cell>
        </row>
        <row r="197">
          <cell r="B197" t="str">
            <v>Long</v>
          </cell>
          <cell r="C197" t="str">
            <v>03341</v>
          </cell>
        </row>
        <row r="198">
          <cell r="B198" t="str">
            <v>Méo</v>
          </cell>
          <cell r="C198" t="str">
            <v>02511</v>
          </cell>
        </row>
        <row r="199">
          <cell r="B199" t="str">
            <v>Chay</v>
          </cell>
          <cell r="C199" t="str">
            <v>03342</v>
          </cell>
        </row>
        <row r="200">
          <cell r="B200" t="str">
            <v>Quy</v>
          </cell>
          <cell r="C200" t="str">
            <v>02484</v>
          </cell>
        </row>
        <row r="201">
          <cell r="B201" t="str">
            <v>Nang Ta</v>
          </cell>
          <cell r="C201" t="str">
            <v>02509</v>
          </cell>
        </row>
        <row r="202">
          <cell r="B202" t="str">
            <v>Hông</v>
          </cell>
          <cell r="C202" t="str">
            <v>02458</v>
          </cell>
        </row>
        <row r="203">
          <cell r="B203" t="str">
            <v>Chinh</v>
          </cell>
          <cell r="C203" t="str">
            <v>02480</v>
          </cell>
        </row>
        <row r="205">
          <cell r="B205" t="str">
            <v>Pho Thông</v>
          </cell>
          <cell r="C205" t="str">
            <v>03346</v>
          </cell>
        </row>
        <row r="206">
          <cell r="B206" t="str">
            <v>Ka Púc</v>
          </cell>
          <cell r="C206" t="str">
            <v>02472</v>
          </cell>
        </row>
        <row r="207">
          <cell r="B207" t="str">
            <v>Chay Đi</v>
          </cell>
          <cell r="C207" t="str">
            <v>02477</v>
          </cell>
        </row>
        <row r="208">
          <cell r="B208" t="str">
            <v>Lăng B</v>
          </cell>
          <cell r="C208" t="str">
            <v>02495</v>
          </cell>
        </row>
        <row r="209">
          <cell r="B209" t="str">
            <v>Vi Say</v>
          </cell>
          <cell r="C209" t="str">
            <v>02505</v>
          </cell>
        </row>
        <row r="210">
          <cell r="B210" t="str">
            <v>On</v>
          </cell>
          <cell r="C210" t="str">
            <v>02516</v>
          </cell>
        </row>
        <row r="211">
          <cell r="B211" t="str">
            <v>Tuc</v>
          </cell>
          <cell r="C211" t="str">
            <v>03347</v>
          </cell>
        </row>
        <row r="213">
          <cell r="B213" t="str">
            <v>Thon</v>
          </cell>
          <cell r="C213" t="str">
            <v>03343</v>
          </cell>
        </row>
        <row r="214">
          <cell r="B214" t="str">
            <v>Nhon</v>
          </cell>
          <cell r="C214" t="str">
            <v>02444</v>
          </cell>
        </row>
        <row r="215">
          <cell r="B215" t="str">
            <v>Hăm (3)</v>
          </cell>
          <cell r="C215" t="str">
            <v>02447</v>
          </cell>
        </row>
        <row r="216">
          <cell r="B216" t="str">
            <v>Nang (3)</v>
          </cell>
          <cell r="C216" t="str">
            <v>03344</v>
          </cell>
        </row>
        <row r="217">
          <cell r="B217" t="str">
            <v>Khăm</v>
          </cell>
          <cell r="C217" t="str">
            <v>02449</v>
          </cell>
        </row>
        <row r="218">
          <cell r="B218" t="str">
            <v>Nàng Bát</v>
          </cell>
          <cell r="C218" t="str">
            <v>02445</v>
          </cell>
        </row>
        <row r="219">
          <cell r="B219" t="str">
            <v>Dộc</v>
          </cell>
          <cell r="C219" t="str">
            <v>02446</v>
          </cell>
        </row>
        <row r="220">
          <cell r="B220" t="str">
            <v>Chăn (3)</v>
          </cell>
          <cell r="C220" t="str">
            <v>03345</v>
          </cell>
        </row>
        <row r="221">
          <cell r="B221" t="str">
            <v>Hát</v>
          </cell>
          <cell r="C221" t="str">
            <v>03854</v>
          </cell>
        </row>
        <row r="222">
          <cell r="B222" t="str">
            <v>Bun (3)</v>
          </cell>
          <cell r="C222" t="str">
            <v>03855</v>
          </cell>
        </row>
        <row r="223">
          <cell r="B223" t="str">
            <v>My</v>
          </cell>
          <cell r="C223" t="str">
            <v>03856</v>
          </cell>
        </row>
        <row r="225">
          <cell r="B225" t="str">
            <v>Sốt</v>
          </cell>
          <cell r="C225" t="str">
            <v>03348</v>
          </cell>
        </row>
        <row r="226">
          <cell r="B226" t="str">
            <v>Thảo A Tiền</v>
          </cell>
          <cell r="C226" t="str">
            <v>03349</v>
          </cell>
        </row>
        <row r="227">
          <cell r="B227" t="str">
            <v>Kong Ta</v>
          </cell>
          <cell r="C227" t="str">
            <v>02543</v>
          </cell>
        </row>
        <row r="228">
          <cell r="B228" t="str">
            <v>Nghiệp</v>
          </cell>
          <cell r="C228" t="str">
            <v>02693</v>
          </cell>
        </row>
        <row r="229">
          <cell r="B229" t="str">
            <v>Bun Theo</v>
          </cell>
          <cell r="C229" t="str">
            <v>03350</v>
          </cell>
        </row>
        <row r="230">
          <cell r="B230" t="str">
            <v>Núi</v>
          </cell>
          <cell r="C230" t="str">
            <v>02526</v>
          </cell>
        </row>
        <row r="231">
          <cell r="B231" t="str">
            <v>Xa Mon</v>
          </cell>
          <cell r="C231" t="str">
            <v>03351</v>
          </cell>
        </row>
        <row r="232">
          <cell r="B232" t="str">
            <v>Thảo Thúc</v>
          </cell>
          <cell r="C232" t="str">
            <v>03352</v>
          </cell>
        </row>
        <row r="233">
          <cell r="B233" t="str">
            <v>Bo Loi</v>
          </cell>
          <cell r="C233" t="str">
            <v>02567</v>
          </cell>
        </row>
        <row r="234">
          <cell r="B234" t="str">
            <v>Xoong</v>
          </cell>
          <cell r="C234" t="str">
            <v>02564</v>
          </cell>
        </row>
        <row r="235">
          <cell r="B235" t="str">
            <v>Ta Văn</v>
          </cell>
          <cell r="C235" t="str">
            <v>03353</v>
          </cell>
        </row>
        <row r="236">
          <cell r="B236" t="str">
            <v>Khăm Măn</v>
          </cell>
          <cell r="C236" t="str">
            <v>02518</v>
          </cell>
        </row>
        <row r="237">
          <cell r="B237" t="str">
            <v>Ninh</v>
          </cell>
          <cell r="C237" t="str">
            <v>03354</v>
          </cell>
        </row>
        <row r="238">
          <cell r="B238" t="str">
            <v>Vôn</v>
          </cell>
          <cell r="C238" t="str">
            <v>03355</v>
          </cell>
        </row>
        <row r="239">
          <cell r="B239" t="str">
            <v>Khăm Thạ Von</v>
          </cell>
          <cell r="C239" t="str">
            <v>02521</v>
          </cell>
        </row>
        <row r="240">
          <cell r="B240" t="str">
            <v>Minh</v>
          </cell>
          <cell r="C240" t="str">
            <v>03356</v>
          </cell>
        </row>
        <row r="241">
          <cell r="B241" t="str">
            <v>Đan</v>
          </cell>
          <cell r="C241" t="str">
            <v>02524</v>
          </cell>
        </row>
        <row r="242">
          <cell r="B242" t="str">
            <v>Nội</v>
          </cell>
          <cell r="C242" t="str">
            <v>03357</v>
          </cell>
        </row>
        <row r="243">
          <cell r="B243" t="str">
            <v>Keo La</v>
          </cell>
          <cell r="C243" t="str">
            <v>03358</v>
          </cell>
        </row>
        <row r="244">
          <cell r="B244" t="str">
            <v>Chăn Thi</v>
          </cell>
          <cell r="C244" t="str">
            <v>02556</v>
          </cell>
        </row>
        <row r="245">
          <cell r="B245" t="str">
            <v>Đon</v>
          </cell>
          <cell r="C245" t="str">
            <v>02537</v>
          </cell>
        </row>
        <row r="246">
          <cell r="B246" t="str">
            <v>Thảo Con Khăm</v>
          </cell>
          <cell r="C246" t="str">
            <v>03359</v>
          </cell>
        </row>
        <row r="247">
          <cell r="B247" t="str">
            <v>Bun Ma Tu</v>
          </cell>
          <cell r="C247" t="str">
            <v>03360</v>
          </cell>
        </row>
        <row r="248">
          <cell r="B248" t="str">
            <v>Nay (4)</v>
          </cell>
          <cell r="C248" t="str">
            <v>03413</v>
          </cell>
        </row>
        <row r="249">
          <cell r="B249" t="str">
            <v>Ta Phúc</v>
          </cell>
          <cell r="C249" t="str">
            <v>03361</v>
          </cell>
        </row>
        <row r="250">
          <cell r="B250" t="str">
            <v>Mơ</v>
          </cell>
          <cell r="C250" t="str">
            <v>02554</v>
          </cell>
        </row>
        <row r="251">
          <cell r="B251" t="str">
            <v>Bun Ma (4)</v>
          </cell>
          <cell r="C251" t="str">
            <v>02534</v>
          </cell>
        </row>
        <row r="252">
          <cell r="B252" t="str">
            <v>Đuông Ma La</v>
          </cell>
          <cell r="C252" t="str">
            <v>02538</v>
          </cell>
        </row>
        <row r="253">
          <cell r="B253" t="str">
            <v>Lâm A</v>
          </cell>
          <cell r="C253" t="str">
            <v>02530</v>
          </cell>
        </row>
        <row r="254">
          <cell r="B254" t="str">
            <v>Lâm B</v>
          </cell>
          <cell r="C254" t="str">
            <v>03362</v>
          </cell>
        </row>
        <row r="255">
          <cell r="B255" t="str">
            <v>Bun Phong</v>
          </cell>
          <cell r="C255" t="str">
            <v>03363</v>
          </cell>
        </row>
        <row r="256">
          <cell r="B256" t="str">
            <v>Keo (4)</v>
          </cell>
          <cell r="C256" t="str">
            <v>03364</v>
          </cell>
        </row>
        <row r="257">
          <cell r="B257" t="str">
            <v>Van Ta</v>
          </cell>
          <cell r="C257" t="str">
            <v>02536</v>
          </cell>
        </row>
        <row r="258">
          <cell r="B258" t="str">
            <v>Peng</v>
          </cell>
          <cell r="C258" t="str">
            <v>02527</v>
          </cell>
        </row>
        <row r="259">
          <cell r="B259" t="str">
            <v>Xay Du</v>
          </cell>
          <cell r="C259" t="str">
            <v>03365</v>
          </cell>
        </row>
        <row r="260">
          <cell r="B260" t="str">
            <v>Coi</v>
          </cell>
          <cell r="C260" t="str">
            <v>03366</v>
          </cell>
        </row>
        <row r="261">
          <cell r="B261" t="str">
            <v>Khăm Lã</v>
          </cell>
          <cell r="C261" t="str">
            <v>02532</v>
          </cell>
        </row>
        <row r="262">
          <cell r="B262" t="str">
            <v>Boóc</v>
          </cell>
          <cell r="C262" t="str">
            <v>02528</v>
          </cell>
        </row>
        <row r="263">
          <cell r="B263" t="str">
            <v>Bun Ta</v>
          </cell>
          <cell r="C263" t="str">
            <v>03367</v>
          </cell>
        </row>
        <row r="264">
          <cell r="B264" t="str">
            <v>Túc</v>
          </cell>
          <cell r="C264" t="str">
            <v>02517</v>
          </cell>
        </row>
        <row r="265">
          <cell r="B265" t="str">
            <v>Sái Khăm</v>
          </cell>
          <cell r="C265" t="str">
            <v>02522</v>
          </cell>
        </row>
        <row r="266">
          <cell r="B266" t="str">
            <v>Xi Đa (4)</v>
          </cell>
          <cell r="C266" t="str">
            <v>02565</v>
          </cell>
        </row>
        <row r="267">
          <cell r="B267" t="str">
            <v>Bon</v>
          </cell>
          <cell r="C267" t="str">
            <v>03368</v>
          </cell>
        </row>
        <row r="268">
          <cell r="B268" t="str">
            <v>In</v>
          </cell>
          <cell r="C268" t="str">
            <v>02535</v>
          </cell>
        </row>
        <row r="269">
          <cell r="B269" t="str">
            <v>Lai</v>
          </cell>
          <cell r="C269" t="str">
            <v>02563</v>
          </cell>
        </row>
        <row r="270">
          <cell r="B270" t="str">
            <v>Sui</v>
          </cell>
          <cell r="C270" t="str">
            <v>02688</v>
          </cell>
        </row>
        <row r="271">
          <cell r="B271" t="str">
            <v>Pong (4)</v>
          </cell>
          <cell r="C271" t="str">
            <v>02551</v>
          </cell>
        </row>
        <row r="272">
          <cell r="B272" t="str">
            <v>Lắt</v>
          </cell>
          <cell r="C272" t="str">
            <v>02523</v>
          </cell>
        </row>
        <row r="273">
          <cell r="B273" t="str">
            <v>Thái</v>
          </cell>
          <cell r="C273" t="str">
            <v>03369</v>
          </cell>
        </row>
        <row r="274">
          <cell r="B274" t="str">
            <v>Chăn (4)</v>
          </cell>
          <cell r="C274" t="str">
            <v>03345</v>
          </cell>
        </row>
        <row r="275">
          <cell r="B275" t="str">
            <v>Si</v>
          </cell>
          <cell r="C275" t="str">
            <v>03371</v>
          </cell>
        </row>
        <row r="276">
          <cell r="B276" t="str">
            <v>Pheng Ta</v>
          </cell>
          <cell r="C276" t="str">
            <v>02519</v>
          </cell>
        </row>
        <row r="277">
          <cell r="B277" t="str">
            <v>Sệ</v>
          </cell>
          <cell r="C277" t="str">
            <v>02692</v>
          </cell>
        </row>
        <row r="278">
          <cell r="B278" t="str">
            <v>Bà</v>
          </cell>
          <cell r="C278" t="str">
            <v>03372</v>
          </cell>
        </row>
        <row r="279">
          <cell r="B279" t="str">
            <v>Lẹ</v>
          </cell>
          <cell r="C279" t="str">
            <v>03373</v>
          </cell>
        </row>
        <row r="280">
          <cell r="B280" t="str">
            <v>Bà B</v>
          </cell>
          <cell r="C280" t="str">
            <v>03374</v>
          </cell>
        </row>
        <row r="281">
          <cell r="B281" t="str">
            <v>Muôn</v>
          </cell>
          <cell r="C281" t="str">
            <v>02557</v>
          </cell>
        </row>
        <row r="282">
          <cell r="B282" t="str">
            <v>Pha</v>
          </cell>
          <cell r="C282" t="str">
            <v>02525</v>
          </cell>
        </row>
        <row r="283">
          <cell r="B283" t="str">
            <v>Nét (4)</v>
          </cell>
          <cell r="C283" t="str">
            <v>03375</v>
          </cell>
        </row>
        <row r="284">
          <cell r="B284" t="str">
            <v>Sun</v>
          </cell>
          <cell r="C284" t="str">
            <v>02691</v>
          </cell>
        </row>
        <row r="285">
          <cell r="B285" t="str">
            <v>Phon (4)</v>
          </cell>
          <cell r="C285" t="str">
            <v>03376</v>
          </cell>
        </row>
        <row r="286">
          <cell r="B286" t="str">
            <v>Thên</v>
          </cell>
          <cell r="C286" t="str">
            <v>03377</v>
          </cell>
        </row>
        <row r="287">
          <cell r="B287" t="str">
            <v>Na Linh</v>
          </cell>
          <cell r="C287" t="str">
            <v>02541</v>
          </cell>
        </row>
        <row r="288">
          <cell r="B288" t="str">
            <v>Hải</v>
          </cell>
          <cell r="C288" t="str">
            <v>02690</v>
          </cell>
        </row>
        <row r="289">
          <cell r="B289" t="str">
            <v>Bun Khăm</v>
          </cell>
          <cell r="C289" t="str">
            <v>03378</v>
          </cell>
        </row>
        <row r="290">
          <cell r="B290" t="str">
            <v>Nàng Nang</v>
          </cell>
          <cell r="C290" t="str">
            <v>02520</v>
          </cell>
        </row>
        <row r="291">
          <cell r="B291" t="str">
            <v>Ni Đa</v>
          </cell>
          <cell r="C291" t="str">
            <v>03379</v>
          </cell>
        </row>
        <row r="292">
          <cell r="B292" t="str">
            <v>Sít</v>
          </cell>
          <cell r="C292" t="str">
            <v>02545</v>
          </cell>
        </row>
        <row r="293">
          <cell r="B293" t="str">
            <v>Hắc Sa Đi</v>
          </cell>
          <cell r="C293" t="str">
            <v>02542</v>
          </cell>
        </row>
        <row r="294">
          <cell r="B294" t="str">
            <v>Mi (4)</v>
          </cell>
          <cell r="C294" t="str">
            <v>02529</v>
          </cell>
        </row>
        <row r="295">
          <cell r="B295" t="str">
            <v>Phô Phi Xít</v>
          </cell>
          <cell r="C295" t="str">
            <v>02531</v>
          </cell>
        </row>
        <row r="296">
          <cell r="B296" t="str">
            <v>Mom</v>
          </cell>
          <cell r="C296" t="str">
            <v>02539</v>
          </cell>
        </row>
        <row r="297">
          <cell r="B297" t="str">
            <v>Ben</v>
          </cell>
          <cell r="C297" t="str">
            <v>03380</v>
          </cell>
        </row>
        <row r="298">
          <cell r="B298" t="str">
            <v>A Cum (4)</v>
          </cell>
          <cell r="C298" t="str">
            <v>02561</v>
          </cell>
        </row>
        <row r="299">
          <cell r="B299" t="str">
            <v>Thông Đeng</v>
          </cell>
          <cell r="C299" t="str">
            <v>02533</v>
          </cell>
        </row>
        <row r="300">
          <cell r="B300" t="str">
            <v>Phu Vanh</v>
          </cell>
          <cell r="C300" t="str">
            <v>02547</v>
          </cell>
        </row>
        <row r="301">
          <cell r="B301" t="str">
            <v>Ta</v>
          </cell>
          <cell r="C301" t="str">
            <v>02550</v>
          </cell>
        </row>
        <row r="302">
          <cell r="B302" t="str">
            <v>Khôn (4)</v>
          </cell>
          <cell r="C302" t="str">
            <v>02566</v>
          </cell>
        </row>
        <row r="303">
          <cell r="B303" t="str">
            <v>Thọ</v>
          </cell>
          <cell r="C303" t="str">
            <v>03381</v>
          </cell>
        </row>
        <row r="304">
          <cell r="B304" t="str">
            <v>Ten (4)</v>
          </cell>
          <cell r="C304" t="str">
            <v>02689</v>
          </cell>
        </row>
        <row r="305">
          <cell r="B305" t="str">
            <v>Văn (4)</v>
          </cell>
          <cell r="C305" t="str">
            <v>02546</v>
          </cell>
        </row>
        <row r="306">
          <cell r="B306" t="str">
            <v>Khăm Lổ</v>
          </cell>
          <cell r="C306" t="str">
            <v>02559</v>
          </cell>
        </row>
        <row r="308">
          <cell r="B308" t="str">
            <v>Nàng Mon</v>
          </cell>
          <cell r="C308" t="str">
            <v>02615</v>
          </cell>
        </row>
        <row r="309">
          <cell r="B309" t="str">
            <v>Bun</v>
          </cell>
          <cell r="C309" t="str">
            <v>02594</v>
          </cell>
        </row>
        <row r="310">
          <cell r="B310" t="str">
            <v>Xôm Bách</v>
          </cell>
          <cell r="C310" t="str">
            <v>02596</v>
          </cell>
        </row>
        <row r="311">
          <cell r="B311" t="str">
            <v>Thảo Tịa</v>
          </cell>
          <cell r="C311" t="str">
            <v>02601</v>
          </cell>
        </row>
        <row r="312">
          <cell r="B312" t="str">
            <v>Hám Lae</v>
          </cell>
          <cell r="C312" t="str">
            <v>02697</v>
          </cell>
        </row>
        <row r="313">
          <cell r="B313" t="str">
            <v>Lan (5)</v>
          </cell>
          <cell r="C313" t="str">
            <v>02610</v>
          </cell>
        </row>
        <row r="314">
          <cell r="B314" t="str">
            <v>Năm</v>
          </cell>
          <cell r="C314" t="str">
            <v>02611</v>
          </cell>
        </row>
        <row r="315">
          <cell r="B315" t="str">
            <v>Thảo Sum</v>
          </cell>
          <cell r="C315" t="str">
            <v>02602</v>
          </cell>
        </row>
        <row r="316">
          <cell r="B316" t="str">
            <v>A Sung</v>
          </cell>
          <cell r="C316" t="str">
            <v>02609</v>
          </cell>
        </row>
        <row r="317">
          <cell r="B317" t="str">
            <v>Phết Sa Mon</v>
          </cell>
          <cell r="C317" t="str">
            <v>02569</v>
          </cell>
        </row>
        <row r="318">
          <cell r="B318" t="str">
            <v>Nàng Von</v>
          </cell>
          <cell r="C318" t="str">
            <v>02583</v>
          </cell>
        </row>
        <row r="319">
          <cell r="B319" t="str">
            <v>T. Chòi</v>
          </cell>
          <cell r="C319" t="str">
            <v>02604</v>
          </cell>
        </row>
        <row r="320">
          <cell r="B320" t="str">
            <v>Văn (5)</v>
          </cell>
          <cell r="C320" t="str">
            <v>02600</v>
          </cell>
        </row>
        <row r="321">
          <cell r="B321" t="str">
            <v>Thảo Khon</v>
          </cell>
          <cell r="C321" t="str">
            <v>03382</v>
          </cell>
        </row>
        <row r="322">
          <cell r="B322" t="str">
            <v>A Tô</v>
          </cell>
          <cell r="C322" t="str">
            <v>02571</v>
          </cell>
        </row>
        <row r="323">
          <cell r="B323" t="str">
            <v>Đoan</v>
          </cell>
          <cell r="C323" t="str">
            <v>02570</v>
          </cell>
        </row>
        <row r="324">
          <cell r="B324" t="str">
            <v>Bun No</v>
          </cell>
          <cell r="C324" t="str">
            <v>02573</v>
          </cell>
        </row>
        <row r="325">
          <cell r="B325" t="str">
            <v>Nét (5)</v>
          </cell>
          <cell r="C325" t="str">
            <v>02695</v>
          </cell>
        </row>
        <row r="326">
          <cell r="B326" t="str">
            <v>Sen</v>
          </cell>
          <cell r="C326" t="str">
            <v>02599</v>
          </cell>
        </row>
        <row r="327">
          <cell r="B327" t="str">
            <v>Thảo Núc</v>
          </cell>
          <cell r="C327" t="str">
            <v>03383</v>
          </cell>
        </row>
        <row r="328">
          <cell r="B328" t="str">
            <v>A Đưng</v>
          </cell>
          <cell r="C328" t="str">
            <v>03384</v>
          </cell>
        </row>
        <row r="329">
          <cell r="B329" t="str">
            <v>Nàng Nọi (5)</v>
          </cell>
          <cell r="C329" t="str">
            <v>02608</v>
          </cell>
        </row>
        <row r="330">
          <cell r="B330" t="str">
            <v>Lúp</v>
          </cell>
          <cell r="C330" t="str">
            <v>02603</v>
          </cell>
        </row>
        <row r="331">
          <cell r="B331" t="str">
            <v>Xai (5)</v>
          </cell>
          <cell r="C331" t="str">
            <v>03385</v>
          </cell>
        </row>
        <row r="332">
          <cell r="B332" t="str">
            <v>A Bun Noi</v>
          </cell>
          <cell r="C332" t="str">
            <v>02586</v>
          </cell>
        </row>
        <row r="333">
          <cell r="B333" t="str">
            <v>E (5)</v>
          </cell>
          <cell r="C333" t="str">
            <v>02614</v>
          </cell>
        </row>
        <row r="334">
          <cell r="B334" t="str">
            <v>Bun Mi</v>
          </cell>
          <cell r="C334" t="str">
            <v>02581</v>
          </cell>
        </row>
        <row r="335">
          <cell r="B335" t="str">
            <v>Thảo Văn</v>
          </cell>
          <cell r="C335" t="str">
            <v>02613</v>
          </cell>
        </row>
        <row r="336">
          <cell r="B336" t="str">
            <v>Nàng Ngân</v>
          </cell>
          <cell r="C336" t="str">
            <v>03386</v>
          </cell>
        </row>
        <row r="337">
          <cell r="B337" t="str">
            <v>Nàng Pha</v>
          </cell>
          <cell r="C337" t="str">
            <v>03387</v>
          </cell>
        </row>
        <row r="338">
          <cell r="B338" t="str">
            <v>Thảo Ê</v>
          </cell>
          <cell r="C338" t="str">
            <v>03388</v>
          </cell>
        </row>
        <row r="339">
          <cell r="B339" t="str">
            <v>Nàng Ăm</v>
          </cell>
          <cell r="C339" t="str">
            <v>03389</v>
          </cell>
        </row>
        <row r="340">
          <cell r="B340" t="str">
            <v>Thảo Lợt</v>
          </cell>
          <cell r="C340" t="str">
            <v>03390</v>
          </cell>
        </row>
        <row r="341">
          <cell r="B341" t="str">
            <v>ViSay</v>
          </cell>
          <cell r="C341" t="str">
            <v>03391</v>
          </cell>
        </row>
        <row r="342">
          <cell r="B342" t="str">
            <v>Thảo Phơn</v>
          </cell>
          <cell r="C342" t="str">
            <v>02589</v>
          </cell>
        </row>
        <row r="343">
          <cell r="B343" t="str">
            <v>Nàng Oi</v>
          </cell>
          <cell r="C343" t="str">
            <v>03392</v>
          </cell>
        </row>
        <row r="344">
          <cell r="B344" t="str">
            <v>Nàng Ly</v>
          </cell>
          <cell r="C344" t="str">
            <v>03393</v>
          </cell>
        </row>
        <row r="345">
          <cell r="B345" t="str">
            <v>Thảo Ú</v>
          </cell>
          <cell r="C345" t="str">
            <v>03394</v>
          </cell>
        </row>
        <row r="346">
          <cell r="B346" t="str">
            <v>Bun Ùm</v>
          </cell>
          <cell r="C346" t="str">
            <v>03395</v>
          </cell>
        </row>
        <row r="347">
          <cell r="B347" t="str">
            <v>Bun Ma (5)</v>
          </cell>
          <cell r="C347" t="str">
            <v>03396</v>
          </cell>
        </row>
        <row r="348">
          <cell r="B348" t="str">
            <v>Keo (5)</v>
          </cell>
          <cell r="C348" t="str">
            <v>02593</v>
          </cell>
        </row>
        <row r="349">
          <cell r="B349" t="str">
            <v>Khám Tan</v>
          </cell>
          <cell r="C349" t="str">
            <v>02696</v>
          </cell>
        </row>
        <row r="350">
          <cell r="B350" t="str">
            <v>Nàng Súc</v>
          </cell>
          <cell r="C350" t="str">
            <v>03397</v>
          </cell>
        </row>
        <row r="351">
          <cell r="B351" t="str">
            <v>Khắn Thong</v>
          </cell>
          <cell r="C351" t="str">
            <v>03398</v>
          </cell>
        </row>
        <row r="352">
          <cell r="B352" t="str">
            <v>Keo Đăm</v>
          </cell>
          <cell r="C352" t="str">
            <v>02592</v>
          </cell>
        </row>
        <row r="353">
          <cell r="B353" t="str">
            <v>Ka Luân</v>
          </cell>
          <cell r="C353" t="str">
            <v>02598</v>
          </cell>
        </row>
        <row r="354">
          <cell r="B354" t="str">
            <v>Mừn</v>
          </cell>
          <cell r="C354" t="str">
            <v>02575</v>
          </cell>
        </row>
        <row r="355">
          <cell r="B355" t="str">
            <v>N. Lâm</v>
          </cell>
          <cell r="C355" t="str">
            <v>02606</v>
          </cell>
        </row>
        <row r="356">
          <cell r="B356" t="str">
            <v>T. Kợt</v>
          </cell>
          <cell r="C356" t="str">
            <v>02607</v>
          </cell>
        </row>
        <row r="357">
          <cell r="B357" t="str">
            <v>Sôm Sa Núc</v>
          </cell>
          <cell r="C357" t="str">
            <v>02612</v>
          </cell>
        </row>
        <row r="358">
          <cell r="B358" t="str">
            <v>Kay Thong</v>
          </cell>
          <cell r="C358" t="str">
            <v>02574</v>
          </cell>
        </row>
        <row r="359">
          <cell r="B359" t="str">
            <v>T. Son</v>
          </cell>
          <cell r="C359" t="str">
            <v>02605</v>
          </cell>
        </row>
        <row r="360">
          <cell r="B360" t="str">
            <v>Sắc</v>
          </cell>
          <cell r="C360" t="str">
            <v>02588</v>
          </cell>
        </row>
        <row r="361">
          <cell r="B361" t="str">
            <v>A Vun</v>
          </cell>
          <cell r="C361" t="str">
            <v>02577</v>
          </cell>
        </row>
        <row r="362">
          <cell r="B362" t="str">
            <v>Thảo Bơt</v>
          </cell>
          <cell r="C362" t="str">
            <v>03857</v>
          </cell>
        </row>
        <row r="363">
          <cell r="B363" t="str">
            <v>Say (5)</v>
          </cell>
          <cell r="C363" t="str">
            <v>02597</v>
          </cell>
        </row>
        <row r="364">
          <cell r="B364" t="str">
            <v>Đăm (5)</v>
          </cell>
          <cell r="C364" t="str">
            <v>02590</v>
          </cell>
        </row>
        <row r="365">
          <cell r="B365" t="str">
            <v>Viêng</v>
          </cell>
          <cell r="C365" t="str">
            <v>02585</v>
          </cell>
        </row>
        <row r="366">
          <cell r="B366" t="str">
            <v>Săn</v>
          </cell>
          <cell r="C366" t="str">
            <v>03399</v>
          </cell>
        </row>
        <row r="367">
          <cell r="B367" t="str">
            <v>Nàng Loi</v>
          </cell>
          <cell r="C367" t="str">
            <v>02584</v>
          </cell>
        </row>
        <row r="368">
          <cell r="B368" t="str">
            <v>A Săn</v>
          </cell>
          <cell r="C368" t="str">
            <v>02698</v>
          </cell>
        </row>
        <row r="369">
          <cell r="B369" t="str">
            <v>Sa Máy</v>
          </cell>
          <cell r="C369" t="str">
            <v>03858</v>
          </cell>
        </row>
        <row r="370">
          <cell r="B370" t="str">
            <v>Khăm Bay (5)</v>
          </cell>
          <cell r="C370" t="str">
            <v>02591</v>
          </cell>
        </row>
        <row r="371">
          <cell r="B371" t="str">
            <v>Chôn</v>
          </cell>
          <cell r="C371" t="str">
            <v>02595</v>
          </cell>
        </row>
        <row r="372">
          <cell r="B372" t="str">
            <v>Lâm Ngân</v>
          </cell>
          <cell r="C372" t="str">
            <v>02582</v>
          </cell>
        </row>
        <row r="373">
          <cell r="B373" t="str">
            <v>A Nha</v>
          </cell>
          <cell r="C373" t="str">
            <v>02572</v>
          </cell>
        </row>
        <row r="374">
          <cell r="B374" t="str">
            <v>Tảo Pheo</v>
          </cell>
          <cell r="C374" t="str">
            <v>02694</v>
          </cell>
        </row>
        <row r="375">
          <cell r="B375" t="str">
            <v>P. Mong</v>
          </cell>
          <cell r="C375" t="str">
            <v>02699</v>
          </cell>
        </row>
        <row r="376">
          <cell r="B376" t="str">
            <v>A Chon</v>
          </cell>
          <cell r="C376" t="str">
            <v>03400</v>
          </cell>
        </row>
        <row r="378">
          <cell r="B378" t="str">
            <v>Tà Lòi</v>
          </cell>
          <cell r="C378" t="str">
            <v>02658</v>
          </cell>
        </row>
        <row r="379">
          <cell r="B379" t="str">
            <v>Bay</v>
          </cell>
          <cell r="C379" t="str">
            <v>02660</v>
          </cell>
        </row>
        <row r="380">
          <cell r="B380" t="str">
            <v>LạC Khon</v>
          </cell>
          <cell r="C380" t="str">
            <v>02657</v>
          </cell>
        </row>
        <row r="381">
          <cell r="B381" t="str">
            <v>Tà (5)</v>
          </cell>
          <cell r="C381" t="str">
            <v>02659</v>
          </cell>
        </row>
        <row r="382">
          <cell r="B382" t="str">
            <v>Xay (5)</v>
          </cell>
          <cell r="C382" t="str">
            <v>02662</v>
          </cell>
        </row>
        <row r="383">
          <cell r="B383" t="str">
            <v>Ka Tun</v>
          </cell>
          <cell r="C383" t="str">
            <v>02661</v>
          </cell>
        </row>
        <row r="384">
          <cell r="B384" t="str">
            <v>Lây</v>
          </cell>
          <cell r="C384" t="str">
            <v>02705</v>
          </cell>
        </row>
        <row r="386">
          <cell r="B386" t="str">
            <v>A Lem</v>
          </cell>
          <cell r="C386" t="str">
            <v>02616</v>
          </cell>
        </row>
        <row r="387">
          <cell r="B387" t="str">
            <v>Bun Nhèng</v>
          </cell>
          <cell r="C387" t="str">
            <v>02617</v>
          </cell>
        </row>
        <row r="388">
          <cell r="B388" t="str">
            <v>Tan</v>
          </cell>
          <cell r="C388" t="str">
            <v>02618</v>
          </cell>
        </row>
        <row r="389">
          <cell r="B389" t="str">
            <v>Phò Keo</v>
          </cell>
          <cell r="C389" t="str">
            <v>03401</v>
          </cell>
        </row>
        <row r="390">
          <cell r="B390" t="str">
            <v>Văn</v>
          </cell>
          <cell r="C390" t="str">
            <v>03402</v>
          </cell>
        </row>
        <row r="391">
          <cell r="B391" t="str">
            <v>A Son</v>
          </cell>
          <cell r="C391" t="str">
            <v>02621</v>
          </cell>
        </row>
        <row r="392">
          <cell r="B392" t="str">
            <v>Thôn</v>
          </cell>
          <cell r="C392" t="str">
            <v>02622</v>
          </cell>
        </row>
        <row r="393">
          <cell r="B393" t="str">
            <v>Mun</v>
          </cell>
          <cell r="C393" t="str">
            <v>03403</v>
          </cell>
        </row>
        <row r="394">
          <cell r="B394" t="str">
            <v>Kông Khăm</v>
          </cell>
          <cell r="C394" t="str">
            <v>02623</v>
          </cell>
        </row>
        <row r="395">
          <cell r="B395" t="str">
            <v>A Chít</v>
          </cell>
          <cell r="C395" t="str">
            <v>02624</v>
          </cell>
        </row>
        <row r="396">
          <cell r="B396" t="str">
            <v>Tím</v>
          </cell>
          <cell r="C396" t="str">
            <v>03404</v>
          </cell>
        </row>
        <row r="397">
          <cell r="B397" t="str">
            <v>A Nhim</v>
          </cell>
          <cell r="C397" t="str">
            <v>02626</v>
          </cell>
        </row>
        <row r="398">
          <cell r="B398" t="str">
            <v>Tơ</v>
          </cell>
          <cell r="C398" t="str">
            <v>02627</v>
          </cell>
        </row>
        <row r="399">
          <cell r="B399" t="str">
            <v>Nàng Cum</v>
          </cell>
          <cell r="C399" t="str">
            <v>02628</v>
          </cell>
        </row>
        <row r="400">
          <cell r="B400" t="str">
            <v>Chăn Tha La</v>
          </cell>
          <cell r="C400" t="str">
            <v>03405</v>
          </cell>
        </row>
        <row r="401">
          <cell r="B401" t="str">
            <v>Bi</v>
          </cell>
          <cell r="C401" t="str">
            <v>02629</v>
          </cell>
        </row>
        <row r="402">
          <cell r="B402" t="str">
            <v>Bun Na</v>
          </cell>
          <cell r="C402" t="str">
            <v>02630</v>
          </cell>
        </row>
        <row r="403">
          <cell r="B403" t="str">
            <v>Ka Lít</v>
          </cell>
          <cell r="C403" t="str">
            <v>02631</v>
          </cell>
        </row>
        <row r="404">
          <cell r="B404" t="str">
            <v>E (6)</v>
          </cell>
          <cell r="C404" t="str">
            <v>02632</v>
          </cell>
        </row>
        <row r="405">
          <cell r="B405" t="str">
            <v>Năt</v>
          </cell>
          <cell r="C405" t="str">
            <v>02633</v>
          </cell>
        </row>
        <row r="406">
          <cell r="B406" t="str">
            <v>Ly Ta</v>
          </cell>
          <cell r="C406">
            <v>3863</v>
          </cell>
        </row>
        <row r="407">
          <cell r="B407" t="str">
            <v>Khăm Bay (6)</v>
          </cell>
          <cell r="C407" t="str">
            <v>02635</v>
          </cell>
        </row>
        <row r="408">
          <cell r="B408" t="str">
            <v>Pua Say</v>
          </cell>
          <cell r="C408" t="str">
            <v>02655</v>
          </cell>
        </row>
        <row r="409">
          <cell r="B409" t="str">
            <v>Phu Ngân</v>
          </cell>
          <cell r="C409" t="str">
            <v>02637</v>
          </cell>
        </row>
        <row r="410">
          <cell r="B410" t="str">
            <v>Đăm</v>
          </cell>
          <cell r="C410" t="str">
            <v>02638</v>
          </cell>
        </row>
        <row r="411">
          <cell r="B411" t="str">
            <v>La</v>
          </cell>
          <cell r="C411" t="str">
            <v>02639</v>
          </cell>
        </row>
        <row r="412">
          <cell r="B412" t="str">
            <v>A Cum (6)</v>
          </cell>
          <cell r="C412" t="str">
            <v>02640</v>
          </cell>
        </row>
        <row r="413">
          <cell r="B413" t="str">
            <v>Múc</v>
          </cell>
          <cell r="C413" t="str">
            <v>02641</v>
          </cell>
        </row>
        <row r="414">
          <cell r="B414" t="str">
            <v>Tia (6)</v>
          </cell>
          <cell r="C414" t="str">
            <v>03406</v>
          </cell>
        </row>
        <row r="415">
          <cell r="B415" t="str">
            <v>Đa</v>
          </cell>
          <cell r="C415" t="str">
            <v>02643</v>
          </cell>
        </row>
        <row r="416">
          <cell r="B416" t="str">
            <v>Lăm Say</v>
          </cell>
          <cell r="C416" t="str">
            <v>03407</v>
          </cell>
        </row>
        <row r="417">
          <cell r="B417" t="str">
            <v>Nga</v>
          </cell>
          <cell r="C417" t="str">
            <v>03408</v>
          </cell>
        </row>
        <row r="418">
          <cell r="B418" t="str">
            <v>Pong (6)</v>
          </cell>
          <cell r="C418" t="str">
            <v>02646</v>
          </cell>
        </row>
        <row r="419">
          <cell r="B419" t="str">
            <v>Típ</v>
          </cell>
          <cell r="C419" t="str">
            <v>02647</v>
          </cell>
        </row>
        <row r="420">
          <cell r="B420" t="str">
            <v>ÔĐay</v>
          </cell>
          <cell r="C420" t="str">
            <v>02648</v>
          </cell>
        </row>
        <row r="421">
          <cell r="B421" t="str">
            <v>Nhầy</v>
          </cell>
          <cell r="C421" t="str">
            <v>02649</v>
          </cell>
        </row>
        <row r="422">
          <cell r="B422" t="str">
            <v>Phôn</v>
          </cell>
          <cell r="C422" t="str">
            <v>02650</v>
          </cell>
        </row>
        <row r="423">
          <cell r="B423" t="str">
            <v>Xi Đon</v>
          </cell>
          <cell r="C423" t="str">
            <v>02651</v>
          </cell>
        </row>
        <row r="424">
          <cell r="B424" t="str">
            <v>Lăm (6)</v>
          </cell>
          <cell r="C424" t="str">
            <v>02652</v>
          </cell>
        </row>
        <row r="425">
          <cell r="B425" t="str">
            <v>Thít</v>
          </cell>
          <cell r="C425" t="str">
            <v>02653</v>
          </cell>
        </row>
        <row r="426">
          <cell r="B426" t="str">
            <v>Oi</v>
          </cell>
          <cell r="C426" t="str">
            <v>02654</v>
          </cell>
        </row>
        <row r="427">
          <cell r="B427" t="str">
            <v>Nục</v>
          </cell>
          <cell r="C427" t="str">
            <v>03859</v>
          </cell>
        </row>
        <row r="428">
          <cell r="B428" t="str">
            <v>Khăm (6)</v>
          </cell>
          <cell r="C428" t="str">
            <v>03411</v>
          </cell>
        </row>
        <row r="429">
          <cell r="B429" t="str">
            <v>Tút</v>
          </cell>
          <cell r="C429" t="str">
            <v>03860</v>
          </cell>
        </row>
        <row r="430">
          <cell r="B430" t="str">
            <v>Khương (6)</v>
          </cell>
          <cell r="C430" t="str">
            <v>02625</v>
          </cell>
        </row>
        <row r="431">
          <cell r="B431" t="str">
            <v>Phò Dông</v>
          </cell>
          <cell r="C431" t="str">
            <v>03861</v>
          </cell>
        </row>
        <row r="432">
          <cell r="B432" t="str">
            <v>A Buôn</v>
          </cell>
          <cell r="C432" t="str">
            <v>03862</v>
          </cell>
        </row>
        <row r="433">
          <cell r="B433" t="str">
            <v>Nay (6)</v>
          </cell>
          <cell r="C433" t="str">
            <v>03413</v>
          </cell>
        </row>
        <row r="434">
          <cell r="B434" t="str">
            <v>Mách</v>
          </cell>
          <cell r="C434" t="str">
            <v>03414</v>
          </cell>
        </row>
        <row r="435">
          <cell r="B435" t="str">
            <v>Sưa</v>
          </cell>
          <cell r="C435" t="str">
            <v>03415</v>
          </cell>
        </row>
        <row r="436">
          <cell r="B436" t="str">
            <v>A Von</v>
          </cell>
          <cell r="C436" t="str">
            <v>03416</v>
          </cell>
        </row>
        <row r="437">
          <cell r="B437" t="str">
            <v>Bộ</v>
          </cell>
          <cell r="C437" t="str">
            <v>03417</v>
          </cell>
        </row>
        <row r="438">
          <cell r="B438" t="str">
            <v>Beng</v>
          </cell>
          <cell r="C438" t="str">
            <v>03418</v>
          </cell>
        </row>
        <row r="439">
          <cell r="B439" t="str">
            <v>A Xiên</v>
          </cell>
          <cell r="C439" t="str">
            <v>03419</v>
          </cell>
        </row>
        <row r="440">
          <cell r="B440" t="str">
            <v>Phò E</v>
          </cell>
          <cell r="C440" t="str">
            <v>03420</v>
          </cell>
        </row>
        <row r="441">
          <cell r="B441" t="str">
            <v>Xai (6)</v>
          </cell>
          <cell r="C441" t="str">
            <v>03385</v>
          </cell>
        </row>
        <row r="442">
          <cell r="B442" t="str">
            <v>Si Le (6)</v>
          </cell>
          <cell r="C442" t="str">
            <v>03422</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ow r="30">
          <cell r="S30">
            <v>2235488</v>
          </cell>
        </row>
      </sheetData>
      <sheetData sheetId="31">
        <row r="20">
          <cell r="H20">
            <v>5206451.6129032299</v>
          </cell>
        </row>
      </sheetData>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KHSX thangs 6 duyeetj"/>
      <sheetName val="bckl"/>
      <sheetName val="BCSX T6"/>
      <sheetName val="BCSX T6 CHỈNH SỬA"/>
      <sheetName val="KHSXT7"/>
      <sheetName val="KHSXT7 DUYỆT"/>
      <sheetName val="Sheet1"/>
      <sheetName val="Sheet2"/>
    </sheetNames>
    <sheetDataSet>
      <sheetData sheetId="0"/>
      <sheetData sheetId="1"/>
      <sheetData sheetId="2"/>
      <sheetData sheetId="3"/>
      <sheetData sheetId="4">
        <row r="31">
          <cell r="M31">
            <v>11.84</v>
          </cell>
        </row>
        <row r="45">
          <cell r="M45">
            <v>15.26</v>
          </cell>
        </row>
      </sheetData>
      <sheetData sheetId="5"/>
      <sheetData sheetId="6"/>
      <sheetData sheetId="7"/>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hưởng 300"/>
      <sheetName val="PLC   (2)"/>
      <sheetName val="PCNC BUN "/>
      <sheetName val="LƯƠNG GIA THUỘC THÁNG 11"/>
      <sheetName val="CHẤM CÔNG Axit"/>
      <sheetName val="MỦ XIRUM"/>
      <sheetName val="MỦ DÂY"/>
      <sheetName val="CHẤM CÔNG "/>
      <sheetName val="Công cây non"/>
      <sheetName val="CÂY NON"/>
      <sheetName val="MỦ TẠP"/>
      <sheetName val="THCKT"/>
      <sheetName val="PLC  "/>
      <sheetName val="bảng kê công"/>
      <sheetName val="Mủ dây đội"/>
      <sheetName val="TRẠM 1"/>
      <sheetName val="TRẠM 2"/>
      <sheetName val="Đội 3"/>
      <sheetName val="Đ3 - TC"/>
      <sheetName val="Đ3 - XC"/>
      <sheetName val="Đội 4"/>
      <sheetName val="Đội 5"/>
      <sheetName val="Đội 5 - KV71ha"/>
      <sheetName val="Đội 6"/>
      <sheetName val="TRẠM CÁN"/>
      <sheetName val="LƯƠNG KT"/>
      <sheetName val="LƯƠNG CNTT"/>
      <sheetName val="BẢNG PHÂN TOÁN"/>
      <sheetName val="Chấm công kíp"/>
      <sheetName val="BV"/>
      <sheetName val="THPT"/>
      <sheetName val="LƯƠNG ĐỘI"/>
      <sheetName val="CÁCH TÍNH LƯƠNG"/>
      <sheetName val="T BẢN"/>
      <sheetName val="THMSC"/>
      <sheetName val="CCCNSCM"/>
      <sheetName val="TH LƯƠNG NT1"/>
      <sheetName val="Vigo"/>
      <sheetName val="DS NỘP THUẾ"/>
      <sheetName val="BẢNG PHÂN TOÁN (2)"/>
      <sheetName val="PC XĂNG XE"/>
      <sheetName val="Chấm công CB"/>
      <sheetName val="KTCB"/>
      <sheetName val="CCBVL"/>
      <sheetName val="BCKL"/>
      <sheetName val="Phụ cấp người việt"/>
      <sheetName val="THUÊ TNCN"/>
      <sheetName val="CV KHÁC"/>
      <sheetName val="TTTX"/>
      <sheetName val="CHẤM CÔNG XĂNG"/>
      <sheetName val="chấm công đi làm"/>
      <sheetName val="Thanh toán mủ dây"/>
      <sheetName val="Sheet7"/>
    </sheetNames>
    <sheetDataSet>
      <sheetData sheetId="0"/>
      <sheetData sheetId="1"/>
      <sheetData sheetId="2"/>
      <sheetData sheetId="3"/>
      <sheetData sheetId="4"/>
      <sheetData sheetId="5"/>
      <sheetData sheetId="6"/>
      <sheetData sheetId="7">
        <row r="26">
          <cell r="C26" t="str">
            <v>Võ Thị Nguyên</v>
          </cell>
        </row>
        <row r="27">
          <cell r="C27" t="str">
            <v>Nguyễn Thị Thanh Trà</v>
          </cell>
        </row>
      </sheetData>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row r="12">
          <cell r="C12" t="str">
            <v>Trần Quang Thiện</v>
          </cell>
          <cell r="D12" t="str">
            <v>Đội trưởng</v>
          </cell>
          <cell r="E12" t="str">
            <v>X</v>
          </cell>
          <cell r="F12" t="str">
            <v>X</v>
          </cell>
          <cell r="G12" t="str">
            <v>X</v>
          </cell>
          <cell r="H12" t="str">
            <v>X</v>
          </cell>
          <cell r="I12" t="str">
            <v>X</v>
          </cell>
          <cell r="J12" t="str">
            <v>X</v>
          </cell>
          <cell r="K12" t="str">
            <v>X</v>
          </cell>
          <cell r="L12" t="str">
            <v>X</v>
          </cell>
          <cell r="M12" t="str">
            <v>X</v>
          </cell>
          <cell r="N12" t="str">
            <v>X</v>
          </cell>
          <cell r="O12" t="str">
            <v>X</v>
          </cell>
          <cell r="P12" t="str">
            <v>X</v>
          </cell>
          <cell r="Q12" t="str">
            <v>X</v>
          </cell>
          <cell r="R12" t="str">
            <v>X</v>
          </cell>
          <cell r="S12" t="str">
            <v>X</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cell r="AH12">
            <v>0</v>
          </cell>
          <cell r="AI12">
            <v>0</v>
          </cell>
          <cell r="AJ12">
            <v>15</v>
          </cell>
          <cell r="AK12">
            <v>0</v>
          </cell>
          <cell r="AL12">
            <v>0</v>
          </cell>
          <cell r="AM12">
            <v>15</v>
          </cell>
        </row>
        <row r="13">
          <cell r="C13" t="str">
            <v>Trần Thanh Hải</v>
          </cell>
          <cell r="D13" t="str">
            <v>Đội Phó</v>
          </cell>
          <cell r="E13" t="str">
            <v>X</v>
          </cell>
          <cell r="F13" t="str">
            <v>X</v>
          </cell>
          <cell r="G13" t="str">
            <v>X</v>
          </cell>
          <cell r="H13" t="str">
            <v>X</v>
          </cell>
          <cell r="I13" t="str">
            <v>X</v>
          </cell>
          <cell r="J13" t="str">
            <v>X</v>
          </cell>
          <cell r="K13">
            <v>0</v>
          </cell>
          <cell r="L13">
            <v>0</v>
          </cell>
          <cell r="M13">
            <v>0</v>
          </cell>
          <cell r="N13">
            <v>0</v>
          </cell>
          <cell r="O13">
            <v>0</v>
          </cell>
          <cell r="P13">
            <v>0</v>
          </cell>
          <cell r="Q13">
            <v>0</v>
          </cell>
          <cell r="R13">
            <v>0</v>
          </cell>
          <cell r="S13" t="str">
            <v>X</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J13">
            <v>7</v>
          </cell>
          <cell r="AK13">
            <v>0</v>
          </cell>
          <cell r="AL13">
            <v>0</v>
          </cell>
          <cell r="AM13">
            <v>7</v>
          </cell>
        </row>
        <row r="14">
          <cell r="C14" t="str">
            <v>Vương Thành Long</v>
          </cell>
          <cell r="D14" t="str">
            <v>Đội Phó</v>
          </cell>
          <cell r="E14" t="str">
            <v>X</v>
          </cell>
          <cell r="F14" t="str">
            <v>X</v>
          </cell>
          <cell r="G14" t="str">
            <v>X</v>
          </cell>
          <cell r="H14" t="str">
            <v>X</v>
          </cell>
          <cell r="I14" t="str">
            <v>X</v>
          </cell>
          <cell r="J14" t="str">
            <v>X</v>
          </cell>
          <cell r="K14" t="str">
            <v>X</v>
          </cell>
          <cell r="L14" t="str">
            <v>X</v>
          </cell>
          <cell r="M14" t="str">
            <v>X</v>
          </cell>
          <cell r="N14" t="str">
            <v>X</v>
          </cell>
          <cell r="O14" t="str">
            <v>X</v>
          </cell>
          <cell r="P14" t="str">
            <v>X</v>
          </cell>
          <cell r="Q14" t="str">
            <v>X</v>
          </cell>
          <cell r="R14" t="str">
            <v>X</v>
          </cell>
          <cell r="S14" t="str">
            <v>X</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J14">
            <v>15</v>
          </cell>
          <cell r="AK14">
            <v>0</v>
          </cell>
          <cell r="AL14">
            <v>0</v>
          </cell>
          <cell r="AM14">
            <v>15</v>
          </cell>
        </row>
        <row r="15">
          <cell r="C15" t="str">
            <v>Hồ Dũng Cảm</v>
          </cell>
          <cell r="D15" t="str">
            <v>Thống kê - tổng hợp</v>
          </cell>
          <cell r="E15" t="str">
            <v>X</v>
          </cell>
          <cell r="F15" t="str">
            <v>X</v>
          </cell>
          <cell r="G15" t="str">
            <v>X</v>
          </cell>
          <cell r="H15" t="str">
            <v>X</v>
          </cell>
          <cell r="I15" t="str">
            <v>X</v>
          </cell>
          <cell r="J15" t="str">
            <v>X</v>
          </cell>
          <cell r="K15" t="str">
            <v>X</v>
          </cell>
          <cell r="L15" t="str">
            <v>X</v>
          </cell>
          <cell r="M15" t="str">
            <v>X</v>
          </cell>
          <cell r="N15" t="str">
            <v>X</v>
          </cell>
          <cell r="O15" t="str">
            <v>X</v>
          </cell>
          <cell r="P15" t="str">
            <v>X</v>
          </cell>
          <cell r="Q15" t="str">
            <v>X</v>
          </cell>
          <cell r="R15" t="str">
            <v>X</v>
          </cell>
          <cell r="S15" t="str">
            <v>X</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J15">
            <v>15</v>
          </cell>
          <cell r="AK15">
            <v>0</v>
          </cell>
          <cell r="AL15">
            <v>0</v>
          </cell>
          <cell r="AM15">
            <v>15</v>
          </cell>
        </row>
        <row r="16">
          <cell r="C16" t="str">
            <v>Nguyễn Tất Châu</v>
          </cell>
          <cell r="D16" t="str">
            <v>Nhân viên kỷ thuật</v>
          </cell>
          <cell r="E16" t="str">
            <v>X</v>
          </cell>
          <cell r="F16" t="str">
            <v>X</v>
          </cell>
          <cell r="G16" t="str">
            <v>X</v>
          </cell>
          <cell r="H16" t="str">
            <v>X</v>
          </cell>
          <cell r="I16" t="str">
            <v>X</v>
          </cell>
          <cell r="J16" t="str">
            <v>X</v>
          </cell>
          <cell r="K16" t="str">
            <v>X</v>
          </cell>
          <cell r="L16" t="str">
            <v>X</v>
          </cell>
          <cell r="M16" t="str">
            <v>X</v>
          </cell>
          <cell r="N16" t="str">
            <v>X</v>
          </cell>
          <cell r="O16" t="str">
            <v>X</v>
          </cell>
          <cell r="P16" t="str">
            <v>X</v>
          </cell>
          <cell r="Q16" t="str">
            <v>X</v>
          </cell>
          <cell r="R16" t="str">
            <v>X</v>
          </cell>
          <cell r="S16" t="str">
            <v>X</v>
          </cell>
          <cell r="T16">
            <v>0</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J16">
            <v>15</v>
          </cell>
          <cell r="AK16">
            <v>0</v>
          </cell>
          <cell r="AL16">
            <v>0</v>
          </cell>
          <cell r="AM16">
            <v>15</v>
          </cell>
        </row>
        <row r="17">
          <cell r="C17" t="str">
            <v>Nguyễn Phúc Hào</v>
          </cell>
          <cell r="D17" t="str">
            <v>Nhân viên kỷ thuật</v>
          </cell>
          <cell r="E17" t="str">
            <v>X</v>
          </cell>
          <cell r="F17" t="str">
            <v>X</v>
          </cell>
          <cell r="G17" t="str">
            <v>X</v>
          </cell>
          <cell r="H17" t="str">
            <v>X</v>
          </cell>
          <cell r="I17" t="str">
            <v>X</v>
          </cell>
          <cell r="J17" t="str">
            <v>X</v>
          </cell>
          <cell r="K17" t="str">
            <v>X</v>
          </cell>
          <cell r="L17" t="str">
            <v>X</v>
          </cell>
          <cell r="M17" t="str">
            <v>X</v>
          </cell>
          <cell r="N17" t="str">
            <v>X</v>
          </cell>
          <cell r="O17" t="str">
            <v>X</v>
          </cell>
          <cell r="P17" t="str">
            <v>X</v>
          </cell>
          <cell r="Q17" t="str">
            <v>X</v>
          </cell>
          <cell r="R17" t="str">
            <v>X</v>
          </cell>
          <cell r="S17" t="str">
            <v>X</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J17">
            <v>15</v>
          </cell>
          <cell r="AK17">
            <v>0</v>
          </cell>
          <cell r="AL17">
            <v>0</v>
          </cell>
          <cell r="AM17">
            <v>15</v>
          </cell>
        </row>
      </sheetData>
      <sheetData sheetId="50"/>
      <sheetData sheetId="51"/>
      <sheetData sheetId="52"/>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Khai báo"/>
      <sheetName val="Chấm công"/>
    </sheetNames>
    <sheetDataSet>
      <sheetData sheetId="0" refreshError="1">
        <row r="4">
          <cell r="B4">
            <v>6</v>
          </cell>
        </row>
      </sheetData>
      <sheetData sheetId="1"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iểu 1 TH CÔNG copy"/>
      <sheetName val="Phu cấp cây non"/>
      <sheetName val="Biểu 2 TH MỦ TẠP"/>
      <sheetName val="Biểu 2 TH MỦ dây"/>
      <sheetName val="Biểu 5 cây gãy đổ"/>
    </sheetNames>
    <sheetDataSet>
      <sheetData sheetId="0">
        <row r="11">
          <cell r="C11" t="str">
            <v>Tà Lọt</v>
          </cell>
        </row>
        <row r="12">
          <cell r="C12" t="str">
            <v>A Nhớp</v>
          </cell>
        </row>
        <row r="13">
          <cell r="C13" t="str">
            <v>A Chan</v>
          </cell>
        </row>
        <row r="14">
          <cell r="C14" t="str">
            <v>Phò Đưa</v>
          </cell>
        </row>
        <row r="15">
          <cell r="C15" t="str">
            <v>Xúc</v>
          </cell>
        </row>
        <row r="16">
          <cell r="C16" t="str">
            <v>Phơ</v>
          </cell>
        </row>
        <row r="17">
          <cell r="C17" t="str">
            <v>A Phơ</v>
          </cell>
        </row>
        <row r="18">
          <cell r="C18" t="str">
            <v>Phò Lấp</v>
          </cell>
        </row>
        <row r="19">
          <cell r="C19" t="str">
            <v>Nang Sun</v>
          </cell>
        </row>
        <row r="20">
          <cell r="C20" t="str">
            <v>A Nhem</v>
          </cell>
        </row>
        <row r="21">
          <cell r="C21" t="str">
            <v>Ton</v>
          </cell>
        </row>
        <row r="22">
          <cell r="C22" t="str">
            <v>Phò Thít</v>
          </cell>
        </row>
        <row r="23">
          <cell r="C23" t="str">
            <v>A Bớp</v>
          </cell>
        </row>
        <row r="24">
          <cell r="C24" t="str">
            <v>A Cơ</v>
          </cell>
        </row>
        <row r="25">
          <cell r="C25" t="str">
            <v>Võ Thị Nguyên</v>
          </cell>
        </row>
        <row r="26">
          <cell r="C26" t="str">
            <v>Nguyễn Thị Thanh Trà</v>
          </cell>
        </row>
        <row r="27">
          <cell r="C27" t="str">
            <v>A Han</v>
          </cell>
        </row>
        <row r="28">
          <cell r="C28" t="str">
            <v>Thảo Bun Ten</v>
          </cell>
        </row>
        <row r="29">
          <cell r="C29" t="str">
            <v>Nang Đào</v>
          </cell>
        </row>
        <row r="30">
          <cell r="C30" t="str">
            <v>Phò Nhạt</v>
          </cell>
        </row>
        <row r="31">
          <cell r="C31" t="str">
            <v>Nang Xây</v>
          </cell>
        </row>
        <row r="32">
          <cell r="C32" t="str">
            <v>Thảo Anh</v>
          </cell>
        </row>
        <row r="33">
          <cell r="C33" t="str">
            <v>Húc</v>
          </cell>
        </row>
        <row r="34">
          <cell r="C34" t="str">
            <v>Thảo Nét</v>
          </cell>
        </row>
        <row r="35">
          <cell r="C35" t="str">
            <v>Thảo út</v>
          </cell>
        </row>
        <row r="36">
          <cell r="C36" t="str">
            <v>Nang Nhăn</v>
          </cell>
        </row>
        <row r="37">
          <cell r="C37" t="str">
            <v>A Nghen</v>
          </cell>
        </row>
        <row r="38">
          <cell r="C38" t="str">
            <v>Thảo Xâm</v>
          </cell>
        </row>
        <row r="39">
          <cell r="C39" t="str">
            <v>Thảo Von</v>
          </cell>
        </row>
        <row r="40">
          <cell r="C40" t="str">
            <v>Nang Phen</v>
          </cell>
        </row>
        <row r="41">
          <cell r="C41" t="str">
            <v>Nang Bun Ten</v>
          </cell>
        </row>
        <row r="42">
          <cell r="C42" t="str">
            <v>Thảo Ben</v>
          </cell>
        </row>
        <row r="43">
          <cell r="C43" t="str">
            <v>Da Lây</v>
          </cell>
        </row>
        <row r="44">
          <cell r="C44" t="str">
            <v>Thảo Xen</v>
          </cell>
        </row>
        <row r="45">
          <cell r="C45" t="str">
            <v>Phò Nhuận</v>
          </cell>
        </row>
        <row r="46">
          <cell r="C46" t="str">
            <v>Nàng Ăn</v>
          </cell>
        </row>
        <row r="47">
          <cell r="C47" t="str">
            <v>Thảo Ơ</v>
          </cell>
        </row>
        <row r="48">
          <cell r="C48" t="str">
            <v>Thảo Ui</v>
          </cell>
        </row>
        <row r="49">
          <cell r="C49" t="str">
            <v>Thảo Tin</v>
          </cell>
        </row>
        <row r="50">
          <cell r="C50" t="str">
            <v>Nàng Xái</v>
          </cell>
        </row>
        <row r="51">
          <cell r="C51" t="str">
            <v>Thảo Phôn Xay</v>
          </cell>
        </row>
        <row r="52">
          <cell r="C52" t="str">
            <v>Nàng Phêng</v>
          </cell>
        </row>
        <row r="53">
          <cell r="C53" t="str">
            <v>Thảo Phíc</v>
          </cell>
        </row>
        <row r="54">
          <cell r="C54" t="str">
            <v>Nàng Chai</v>
          </cell>
        </row>
        <row r="55">
          <cell r="C55" t="str">
            <v>Nàng Xanh</v>
          </cell>
        </row>
        <row r="56">
          <cell r="C56" t="str">
            <v>Thảo Xượm</v>
          </cell>
        </row>
        <row r="57">
          <cell r="C57" t="str">
            <v>Thảo Tích</v>
          </cell>
        </row>
        <row r="58">
          <cell r="C58" t="str">
            <v>Nàng Thoong</v>
          </cell>
        </row>
        <row r="59">
          <cell r="C59" t="str">
            <v>Thảo Xoan Chay</v>
          </cell>
        </row>
        <row r="60">
          <cell r="C60" t="str">
            <v>Nàng Út</v>
          </cell>
        </row>
        <row r="61">
          <cell r="C61" t="str">
            <v>Thảo Xay Phôn</v>
          </cell>
        </row>
        <row r="62">
          <cell r="C62" t="str">
            <v>Nàng Mui</v>
          </cell>
        </row>
        <row r="63">
          <cell r="C63" t="str">
            <v>Ning Dung</v>
          </cell>
        </row>
        <row r="64">
          <cell r="C64" t="str">
            <v>Mua Chăn</v>
          </cell>
        </row>
        <row r="65">
          <cell r="C65" t="str">
            <v>Thảo Chọi 2</v>
          </cell>
        </row>
        <row r="66">
          <cell r="C66" t="str">
            <v>Thảo Sing</v>
          </cell>
        </row>
        <row r="67">
          <cell r="C67" t="str">
            <v>Thảo Phu</v>
          </cell>
        </row>
        <row r="68">
          <cell r="C68" t="str">
            <v>Nàng Tịa</v>
          </cell>
        </row>
        <row r="69">
          <cell r="C69" t="str">
            <v>Thảo Tý</v>
          </cell>
        </row>
        <row r="70">
          <cell r="C70" t="str">
            <v>Nàng Lếc</v>
          </cell>
        </row>
        <row r="71">
          <cell r="C71" t="str">
            <v>Nàng Veo</v>
          </cell>
        </row>
        <row r="72">
          <cell r="C72" t="str">
            <v>Thảo Chọi</v>
          </cell>
        </row>
        <row r="73">
          <cell r="C73" t="str">
            <v>Nàng Nọi</v>
          </cell>
        </row>
        <row r="74">
          <cell r="C74" t="str">
            <v>Thảo Uổn</v>
          </cell>
        </row>
        <row r="75">
          <cell r="C75" t="str">
            <v>Nàng Văn</v>
          </cell>
        </row>
        <row r="76">
          <cell r="C76" t="str">
            <v>Thảo Chòi</v>
          </cell>
        </row>
        <row r="77">
          <cell r="C77" t="str">
            <v>Thảo Chanh</v>
          </cell>
        </row>
        <row r="78">
          <cell r="C78" t="str">
            <v>Thảo Sa</v>
          </cell>
        </row>
        <row r="79">
          <cell r="C79" t="str">
            <v>Nàng Phôn</v>
          </cell>
        </row>
        <row r="80">
          <cell r="C80" t="str">
            <v>Thảo Mon</v>
          </cell>
        </row>
        <row r="81">
          <cell r="C81" t="str">
            <v>Thảo Vông Xay</v>
          </cell>
        </row>
        <row r="82">
          <cell r="C82" t="str">
            <v>Nàng Lun</v>
          </cell>
        </row>
        <row r="83">
          <cell r="C83" t="str">
            <v>Thảo Vong</v>
          </cell>
        </row>
        <row r="84">
          <cell r="C84" t="str">
            <v>Nàng Veng</v>
          </cell>
        </row>
        <row r="85">
          <cell r="C85" t="str">
            <v>Thảo Đuông Chăn</v>
          </cell>
        </row>
        <row r="86">
          <cell r="C86" t="str">
            <v>Nàng Peng</v>
          </cell>
        </row>
        <row r="87">
          <cell r="C87" t="str">
            <v>Thảo Xay Tho</v>
          </cell>
        </row>
        <row r="88">
          <cell r="C88" t="str">
            <v>Nàng Xia Lô</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hart1"/>
      <sheetName val="BCSX T10"/>
      <sheetName val="KHSX T11"/>
    </sheetNames>
    <sheetDataSet>
      <sheetData sheetId="0" refreshError="1"/>
      <sheetData sheetId="1">
        <row r="32">
          <cell r="M32">
            <v>1158.24</v>
          </cell>
        </row>
        <row r="33">
          <cell r="M33">
            <v>0</v>
          </cell>
        </row>
        <row r="34">
          <cell r="M34">
            <v>869.60000000000014</v>
          </cell>
        </row>
        <row r="35">
          <cell r="M35">
            <v>0</v>
          </cell>
        </row>
        <row r="36">
          <cell r="M36">
            <v>0</v>
          </cell>
        </row>
        <row r="37">
          <cell r="M37">
            <v>164.16</v>
          </cell>
        </row>
        <row r="38">
          <cell r="M38">
            <v>0</v>
          </cell>
        </row>
        <row r="39">
          <cell r="M39">
            <v>157.488</v>
          </cell>
        </row>
        <row r="40">
          <cell r="M40">
            <v>0</v>
          </cell>
        </row>
        <row r="41">
          <cell r="M41">
            <v>397.358</v>
          </cell>
        </row>
        <row r="42">
          <cell r="M42">
            <v>0</v>
          </cell>
        </row>
        <row r="43">
          <cell r="M43">
            <v>0</v>
          </cell>
        </row>
        <row r="44">
          <cell r="M44">
            <v>0</v>
          </cell>
        </row>
        <row r="45">
          <cell r="M45">
            <v>0</v>
          </cell>
        </row>
        <row r="46">
          <cell r="M46">
            <v>0</v>
          </cell>
        </row>
        <row r="47">
          <cell r="M47">
            <v>0</v>
          </cell>
        </row>
        <row r="48">
          <cell r="M48">
            <v>0</v>
          </cell>
        </row>
        <row r="49">
          <cell r="M49">
            <v>1987.7999999999997</v>
          </cell>
        </row>
        <row r="57">
          <cell r="M57">
            <v>727.68000000000006</v>
          </cell>
        </row>
        <row r="60">
          <cell r="M60">
            <v>133.28</v>
          </cell>
        </row>
        <row r="61">
          <cell r="M61">
            <v>279.95999999999998</v>
          </cell>
        </row>
        <row r="64">
          <cell r="P64">
            <v>6669.9059999999999</v>
          </cell>
        </row>
        <row r="66">
          <cell r="M66">
            <v>91.2</v>
          </cell>
        </row>
        <row r="68">
          <cell r="M68">
            <v>445.91999999999996</v>
          </cell>
        </row>
        <row r="70">
          <cell r="M70">
            <v>15.66</v>
          </cell>
        </row>
      </sheetData>
      <sheetData sheetId="2"/>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ƯƠNG GIA THUỘC THÁNG 11 (2)"/>
      <sheetName val="PLC   (2)"/>
      <sheetName val="LƯƠNG GIA THUỘC THÁNG 02"/>
      <sheetName val="MỦ XIRUM"/>
      <sheetName val="Công cây non"/>
      <sheetName val="Tổ 1"/>
      <sheetName val="Tổ 2"/>
      <sheetName val="CHẤM CÔNG  (2)"/>
      <sheetName val="Đ3 - TỔ 2"/>
      <sheetName val="CHẤM CÔNG Axit"/>
      <sheetName val="MỦ TẠP"/>
      <sheetName val="CHẤM CÔNG "/>
      <sheetName val="THCKT"/>
      <sheetName val="THCKT (2)"/>
      <sheetName val="LƯƠNG KT"/>
      <sheetName val="DS CN MOI UP"/>
      <sheetName val="Sheet1"/>
      <sheetName val="LƯƠNG CNTT"/>
      <sheetName val="LƯƠNG GIA THUỘC THÁNG 3"/>
      <sheetName val="Đội 1"/>
      <sheetName val="Đội 2"/>
      <sheetName val="Đội 3"/>
      <sheetName val="Đội 4"/>
      <sheetName val="Đội 5"/>
      <sheetName val="Đội 5 - KV71ha"/>
      <sheetName val="Đội 6"/>
      <sheetName val="TRẠM CÁN"/>
      <sheetName val="BV9THUC"/>
      <sheetName val="THPT"/>
      <sheetName val="BẢNG PHÂN TOÁN"/>
      <sheetName val="PLC  "/>
      <sheetName val="T BẢN"/>
      <sheetName val="CV KHÁC"/>
      <sheetName val="THMSC"/>
      <sheetName val="CCCNSCM"/>
      <sheetName val="TH LƯƠNG NT1"/>
      <sheetName val="Vigo"/>
      <sheetName val="DS NỘP THUẾ"/>
      <sheetName val="CÁCH TÍNH LƯƠNG"/>
      <sheetName val="LƯƠNG ĐỘI"/>
      <sheetName val="BẢNG PHÂN TOÁN (2)"/>
      <sheetName val="PC XĂNG XE"/>
      <sheetName val="Chấm công CB"/>
      <sheetName val="Chấm công CB (2)"/>
      <sheetName val="Chấm công kíp"/>
      <sheetName val="Chấm công XĂNG XE"/>
      <sheetName val="KTCB"/>
      <sheetName val="VC KTLH"/>
      <sheetName val="CHẤM CÔNG TC"/>
      <sheetName val="KHỐI LƯỢNG CÁN"/>
      <sheetName val="CCBVL"/>
    </sheetNames>
    <sheetDataSet>
      <sheetData sheetId="0"/>
      <sheetData sheetId="1"/>
      <sheetData sheetId="2"/>
      <sheetData sheetId="3"/>
      <sheetData sheetId="4"/>
      <sheetData sheetId="5"/>
      <sheetData sheetId="6"/>
      <sheetData sheetId="7"/>
      <sheetData sheetId="8"/>
      <sheetData sheetId="9"/>
      <sheetData sheetId="10">
        <row r="10">
          <cell r="D10" t="str">
            <v>Thô</v>
          </cell>
          <cell r="AL10">
            <v>0</v>
          </cell>
          <cell r="AM10">
            <v>0</v>
          </cell>
          <cell r="AN10">
            <v>0</v>
          </cell>
        </row>
        <row r="11">
          <cell r="D11" t="str">
            <v>Mè Ta Van</v>
          </cell>
          <cell r="AL11">
            <v>0</v>
          </cell>
          <cell r="AM11">
            <v>0</v>
          </cell>
          <cell r="AN11">
            <v>0</v>
          </cell>
        </row>
        <row r="12">
          <cell r="D12" t="str">
            <v>Ka Tho</v>
          </cell>
          <cell r="AL12">
            <v>0</v>
          </cell>
          <cell r="AM12">
            <v>0</v>
          </cell>
          <cell r="AN12">
            <v>0</v>
          </cell>
        </row>
        <row r="13">
          <cell r="D13" t="str">
            <v>Tô Tộ</v>
          </cell>
          <cell r="AL13">
            <v>0</v>
          </cell>
          <cell r="AM13">
            <v>0</v>
          </cell>
          <cell r="AN13">
            <v>0</v>
          </cell>
        </row>
        <row r="14">
          <cell r="D14" t="str">
            <v>Thảo In</v>
          </cell>
          <cell r="AL14">
            <v>0</v>
          </cell>
          <cell r="AM14">
            <v>0</v>
          </cell>
          <cell r="AN14">
            <v>0</v>
          </cell>
        </row>
        <row r="15">
          <cell r="D15" t="str">
            <v>Cha La</v>
          </cell>
          <cell r="AL15">
            <v>0</v>
          </cell>
          <cell r="AM15">
            <v>0</v>
          </cell>
          <cell r="AN15">
            <v>0</v>
          </cell>
        </row>
        <row r="16">
          <cell r="D16" t="str">
            <v>Nang Nga</v>
          </cell>
          <cell r="AL16">
            <v>0</v>
          </cell>
          <cell r="AM16">
            <v>0</v>
          </cell>
          <cell r="AN16">
            <v>0</v>
          </cell>
        </row>
        <row r="17">
          <cell r="D17" t="str">
            <v>Viêng (1)</v>
          </cell>
          <cell r="AL17">
            <v>0</v>
          </cell>
          <cell r="AM17">
            <v>0</v>
          </cell>
          <cell r="AN17">
            <v>0</v>
          </cell>
        </row>
        <row r="18">
          <cell r="D18" t="str">
            <v>Me Đuông</v>
          </cell>
          <cell r="AL18">
            <v>0</v>
          </cell>
          <cell r="AM18">
            <v>0</v>
          </cell>
          <cell r="AN18">
            <v>0</v>
          </cell>
        </row>
        <row r="19">
          <cell r="D19" t="str">
            <v>Nang Môn</v>
          </cell>
          <cell r="AL19">
            <v>0</v>
          </cell>
          <cell r="AM19">
            <v>0</v>
          </cell>
          <cell r="AN19">
            <v>0</v>
          </cell>
        </row>
        <row r="20">
          <cell r="D20" t="str">
            <v>Ziên</v>
          </cell>
          <cell r="AL20">
            <v>0</v>
          </cell>
          <cell r="AM20">
            <v>0</v>
          </cell>
          <cell r="AN20">
            <v>0</v>
          </cell>
        </row>
        <row r="21">
          <cell r="D21" t="str">
            <v>Me Pê</v>
          </cell>
          <cell r="AL21">
            <v>0</v>
          </cell>
          <cell r="AM21">
            <v>0</v>
          </cell>
          <cell r="AN21">
            <v>0</v>
          </cell>
        </row>
        <row r="22">
          <cell r="D22" t="str">
            <v>Thảo chòi</v>
          </cell>
          <cell r="AL22">
            <v>0</v>
          </cell>
          <cell r="AM22">
            <v>0</v>
          </cell>
          <cell r="AN22">
            <v>0</v>
          </cell>
        </row>
        <row r="23">
          <cell r="D23" t="str">
            <v>Chek Ky</v>
          </cell>
          <cell r="AL23">
            <v>0</v>
          </cell>
          <cell r="AM23">
            <v>0</v>
          </cell>
          <cell r="AN23">
            <v>0</v>
          </cell>
        </row>
        <row r="24">
          <cell r="D24" t="str">
            <v>Phò Set Tha</v>
          </cell>
          <cell r="AL24">
            <v>0</v>
          </cell>
          <cell r="AM24">
            <v>0</v>
          </cell>
          <cell r="AN24">
            <v>0</v>
          </cell>
        </row>
        <row r="25">
          <cell r="D25" t="str">
            <v>Căn Nha (1)</v>
          </cell>
          <cell r="AL25">
            <v>0</v>
          </cell>
          <cell r="AM25">
            <v>0</v>
          </cell>
          <cell r="AN25">
            <v>0</v>
          </cell>
        </row>
        <row r="26">
          <cell r="D26" t="str">
            <v>Khăm (1)</v>
          </cell>
          <cell r="AL26">
            <v>0</v>
          </cell>
          <cell r="AM26">
            <v>0</v>
          </cell>
          <cell r="AN26">
            <v>0</v>
          </cell>
        </row>
        <row r="27">
          <cell r="D27" t="str">
            <v>Nàng Ni</v>
          </cell>
          <cell r="AL27">
            <v>0</v>
          </cell>
          <cell r="AM27">
            <v>0</v>
          </cell>
          <cell r="AN27">
            <v>0</v>
          </cell>
        </row>
        <row r="28">
          <cell r="D28" t="str">
            <v>Khu</v>
          </cell>
          <cell r="AL28">
            <v>0</v>
          </cell>
          <cell r="AM28">
            <v>0</v>
          </cell>
          <cell r="AN28">
            <v>0</v>
          </cell>
        </row>
        <row r="29">
          <cell r="D29" t="str">
            <v>Nang Thôn</v>
          </cell>
          <cell r="AL29">
            <v>0</v>
          </cell>
          <cell r="AM29">
            <v>0</v>
          </cell>
          <cell r="AN29">
            <v>0</v>
          </cell>
        </row>
        <row r="30">
          <cell r="D30" t="str">
            <v>Thảo Chin</v>
          </cell>
          <cell r="AL30">
            <v>0</v>
          </cell>
          <cell r="AM30">
            <v>0</v>
          </cell>
          <cell r="AN30">
            <v>0</v>
          </cell>
        </row>
        <row r="31">
          <cell r="D31" t="str">
            <v>Lăm Phiêng</v>
          </cell>
          <cell r="AL31">
            <v>0</v>
          </cell>
          <cell r="AM31">
            <v>0</v>
          </cell>
          <cell r="AN31">
            <v>0</v>
          </cell>
        </row>
        <row r="32">
          <cell r="D32" t="str">
            <v>Phò Đon</v>
          </cell>
          <cell r="AL32">
            <v>0</v>
          </cell>
          <cell r="AM32">
            <v>0</v>
          </cell>
          <cell r="AN32">
            <v>0</v>
          </cell>
        </row>
        <row r="33">
          <cell r="D33" t="str">
            <v>Lec</v>
          </cell>
          <cell r="AL33">
            <v>0</v>
          </cell>
          <cell r="AM33">
            <v>0</v>
          </cell>
          <cell r="AN33">
            <v>0</v>
          </cell>
        </row>
        <row r="34">
          <cell r="D34" t="str">
            <v>Chun</v>
          </cell>
          <cell r="AL34">
            <v>0</v>
          </cell>
          <cell r="AM34">
            <v>0</v>
          </cell>
          <cell r="AN34">
            <v>0</v>
          </cell>
        </row>
        <row r="35">
          <cell r="D35" t="str">
            <v>Nàng Nọi</v>
          </cell>
          <cell r="AL35">
            <v>0</v>
          </cell>
          <cell r="AM35">
            <v>0</v>
          </cell>
          <cell r="AN35">
            <v>0</v>
          </cell>
        </row>
        <row r="36">
          <cell r="D36" t="str">
            <v>T Cô</v>
          </cell>
          <cell r="AL36">
            <v>0</v>
          </cell>
          <cell r="AM36">
            <v>0</v>
          </cell>
          <cell r="AN36">
            <v>0</v>
          </cell>
        </row>
        <row r="37">
          <cell r="D37" t="str">
            <v>Mè Tham</v>
          </cell>
          <cell r="AL37">
            <v>0</v>
          </cell>
          <cell r="AM37">
            <v>0</v>
          </cell>
          <cell r="AN37">
            <v>0</v>
          </cell>
        </row>
        <row r="38">
          <cell r="D38" t="str">
            <v>Thảo Nọi (1)</v>
          </cell>
          <cell r="AL38">
            <v>0</v>
          </cell>
          <cell r="AM38">
            <v>0</v>
          </cell>
          <cell r="AN38">
            <v>0</v>
          </cell>
        </row>
        <row r="39">
          <cell r="D39" t="str">
            <v>Thảo Công</v>
          </cell>
          <cell r="AL39">
            <v>0</v>
          </cell>
          <cell r="AM39">
            <v>0</v>
          </cell>
          <cell r="AN39">
            <v>0</v>
          </cell>
        </row>
        <row r="40">
          <cell r="D40" t="str">
            <v>Phò Tham</v>
          </cell>
          <cell r="AL40">
            <v>0</v>
          </cell>
          <cell r="AM40">
            <v>0</v>
          </cell>
          <cell r="AN40">
            <v>0</v>
          </cell>
        </row>
        <row r="41">
          <cell r="D41" t="str">
            <v>Xơi</v>
          </cell>
          <cell r="AL41">
            <v>0</v>
          </cell>
          <cell r="AM41">
            <v>0</v>
          </cell>
          <cell r="AN41">
            <v>0</v>
          </cell>
        </row>
        <row r="42">
          <cell r="D42" t="str">
            <v>Nang Mi</v>
          </cell>
          <cell r="AL42">
            <v>0</v>
          </cell>
          <cell r="AM42">
            <v>0</v>
          </cell>
          <cell r="AN42">
            <v>0</v>
          </cell>
        </row>
        <row r="43">
          <cell r="D43" t="str">
            <v>Lăm Si</v>
          </cell>
          <cell r="AL43">
            <v>0</v>
          </cell>
          <cell r="AM43">
            <v>0</v>
          </cell>
          <cell r="AN43">
            <v>0</v>
          </cell>
        </row>
        <row r="44">
          <cell r="D44" t="str">
            <v>Nuc</v>
          </cell>
          <cell r="AL44">
            <v>0</v>
          </cell>
          <cell r="AM44">
            <v>0</v>
          </cell>
          <cell r="AN44">
            <v>0</v>
          </cell>
        </row>
        <row r="45">
          <cell r="D45" t="str">
            <v>Phò Thiên</v>
          </cell>
          <cell r="AL45">
            <v>0</v>
          </cell>
          <cell r="AM45">
            <v>0</v>
          </cell>
          <cell r="AN45">
            <v>0</v>
          </cell>
        </row>
        <row r="46">
          <cell r="D46" t="str">
            <v>Nàng Chăn A</v>
          </cell>
          <cell r="AL46">
            <v>0</v>
          </cell>
          <cell r="AM46">
            <v>0</v>
          </cell>
          <cell r="AN46">
            <v>0</v>
          </cell>
        </row>
        <row r="47">
          <cell r="D47" t="str">
            <v>Nang Thong</v>
          </cell>
          <cell r="AL47">
            <v>0</v>
          </cell>
          <cell r="AM47">
            <v>0</v>
          </cell>
          <cell r="AN47">
            <v>0</v>
          </cell>
        </row>
        <row r="48">
          <cell r="D48" t="str">
            <v>Sủng</v>
          </cell>
          <cell r="AL48">
            <v>0</v>
          </cell>
          <cell r="AM48">
            <v>0</v>
          </cell>
          <cell r="AN48">
            <v>0</v>
          </cell>
        </row>
        <row r="49">
          <cell r="D49" t="str">
            <v>Lat Sa Mi</v>
          </cell>
          <cell r="AL49">
            <v>0</v>
          </cell>
          <cell r="AM49">
            <v>0</v>
          </cell>
          <cell r="AN49">
            <v>0</v>
          </cell>
        </row>
        <row r="50">
          <cell r="D50" t="str">
            <v>Nhông</v>
          </cell>
          <cell r="AL50">
            <v>0</v>
          </cell>
          <cell r="AM50">
            <v>0</v>
          </cell>
          <cell r="AN50">
            <v>0</v>
          </cell>
        </row>
        <row r="51">
          <cell r="D51" t="str">
            <v>Nang Tóy</v>
          </cell>
          <cell r="AL51">
            <v>0</v>
          </cell>
          <cell r="AM51">
            <v>0</v>
          </cell>
          <cell r="AN51">
            <v>0</v>
          </cell>
        </row>
        <row r="52">
          <cell r="D52" t="str">
            <v>Nang Hỏm</v>
          </cell>
          <cell r="AL52">
            <v>0</v>
          </cell>
          <cell r="AM52">
            <v>0</v>
          </cell>
          <cell r="AN52">
            <v>0</v>
          </cell>
        </row>
        <row r="53">
          <cell r="E53">
            <v>0</v>
          </cell>
          <cell r="F53">
            <v>0</v>
          </cell>
          <cell r="G53">
            <v>0</v>
          </cell>
          <cell r="H53">
            <v>0</v>
          </cell>
          <cell r="I53">
            <v>0</v>
          </cell>
          <cell r="J53">
            <v>0</v>
          </cell>
          <cell r="K53">
            <v>0</v>
          </cell>
          <cell r="L53">
            <v>0</v>
          </cell>
          <cell r="M53">
            <v>0</v>
          </cell>
          <cell r="N53">
            <v>0</v>
          </cell>
          <cell r="O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J53">
            <v>0</v>
          </cell>
          <cell r="AK53">
            <v>0</v>
          </cell>
          <cell r="AL53">
            <v>0</v>
          </cell>
          <cell r="AM53">
            <v>0</v>
          </cell>
          <cell r="AN53">
            <v>0</v>
          </cell>
        </row>
        <row r="54">
          <cell r="D54" t="str">
            <v>Khụt</v>
          </cell>
          <cell r="AJ54">
            <v>0</v>
          </cell>
          <cell r="AM54">
            <v>0</v>
          </cell>
          <cell r="AN54">
            <v>0</v>
          </cell>
        </row>
        <row r="55">
          <cell r="D55" t="str">
            <v>Thảo Chay</v>
          </cell>
          <cell r="AJ55">
            <v>0</v>
          </cell>
          <cell r="AM55">
            <v>0</v>
          </cell>
          <cell r="AN55">
            <v>0</v>
          </cell>
        </row>
        <row r="56">
          <cell r="D56" t="str">
            <v>Vông</v>
          </cell>
          <cell r="AJ56">
            <v>0</v>
          </cell>
          <cell r="AM56">
            <v>0</v>
          </cell>
          <cell r="AN56">
            <v>0</v>
          </cell>
        </row>
        <row r="57">
          <cell r="D57" t="str">
            <v>Ma Ni Son</v>
          </cell>
          <cell r="AJ57">
            <v>0</v>
          </cell>
          <cell r="AM57">
            <v>0</v>
          </cell>
          <cell r="AN57">
            <v>0</v>
          </cell>
        </row>
        <row r="58">
          <cell r="D58" t="str">
            <v>Cong Ma</v>
          </cell>
          <cell r="AJ58">
            <v>0</v>
          </cell>
          <cell r="AM58">
            <v>0</v>
          </cell>
          <cell r="AN58">
            <v>0</v>
          </cell>
        </row>
        <row r="59">
          <cell r="D59" t="str">
            <v>Két</v>
          </cell>
          <cell r="AJ59">
            <v>0</v>
          </cell>
          <cell r="AM59">
            <v>0</v>
          </cell>
          <cell r="AN59">
            <v>0</v>
          </cell>
        </row>
        <row r="60">
          <cell r="D60" t="str">
            <v>Măn</v>
          </cell>
          <cell r="AJ60">
            <v>0</v>
          </cell>
          <cell r="AM60">
            <v>0</v>
          </cell>
          <cell r="AN60">
            <v>0</v>
          </cell>
        </row>
        <row r="61">
          <cell r="D61" t="str">
            <v>Soi</v>
          </cell>
          <cell r="AJ61">
            <v>0</v>
          </cell>
          <cell r="AM61">
            <v>0</v>
          </cell>
          <cell r="AN61">
            <v>0</v>
          </cell>
        </row>
        <row r="62">
          <cell r="D62" t="str">
            <v>Núc</v>
          </cell>
          <cell r="AJ62">
            <v>0</v>
          </cell>
          <cell r="AM62">
            <v>0</v>
          </cell>
          <cell r="AN62">
            <v>0</v>
          </cell>
        </row>
        <row r="63">
          <cell r="D63" t="str">
            <v>Pệt</v>
          </cell>
          <cell r="AJ63">
            <v>0</v>
          </cell>
          <cell r="AM63">
            <v>0</v>
          </cell>
          <cell r="AN63">
            <v>0</v>
          </cell>
        </row>
        <row r="64">
          <cell r="D64" t="str">
            <v>Khay Khăm</v>
          </cell>
          <cell r="AJ64">
            <v>0</v>
          </cell>
          <cell r="AM64">
            <v>0</v>
          </cell>
          <cell r="AN64">
            <v>0</v>
          </cell>
        </row>
        <row r="65">
          <cell r="D65" t="str">
            <v>Ô Lích</v>
          </cell>
          <cell r="AJ65">
            <v>0</v>
          </cell>
          <cell r="AM65">
            <v>0</v>
          </cell>
          <cell r="AN65">
            <v>0</v>
          </cell>
        </row>
        <row r="66">
          <cell r="D66" t="str">
            <v>Va Khăm</v>
          </cell>
          <cell r="AJ66">
            <v>0</v>
          </cell>
          <cell r="AM66">
            <v>0</v>
          </cell>
          <cell r="AN66">
            <v>0</v>
          </cell>
        </row>
        <row r="67">
          <cell r="D67" t="str">
            <v>Căn Nha</v>
          </cell>
          <cell r="AJ67">
            <v>0</v>
          </cell>
          <cell r="AM67">
            <v>0</v>
          </cell>
          <cell r="AN67">
            <v>0</v>
          </cell>
        </row>
        <row r="68">
          <cell r="D68" t="str">
            <v>Si Thon</v>
          </cell>
          <cell r="AJ68">
            <v>0</v>
          </cell>
          <cell r="AM68">
            <v>0</v>
          </cell>
          <cell r="AN68">
            <v>0</v>
          </cell>
        </row>
        <row r="69">
          <cell r="D69" t="str">
            <v>Lợt</v>
          </cell>
          <cell r="AJ69">
            <v>0</v>
          </cell>
          <cell r="AM69">
            <v>0</v>
          </cell>
          <cell r="AN69">
            <v>0</v>
          </cell>
        </row>
        <row r="70">
          <cell r="D70" t="str">
            <v>Thảo Con</v>
          </cell>
          <cell r="AJ70">
            <v>0</v>
          </cell>
          <cell r="AM70">
            <v>0</v>
          </cell>
          <cell r="AN70">
            <v>0</v>
          </cell>
        </row>
        <row r="71">
          <cell r="D71" t="str">
            <v>Nang Khun</v>
          </cell>
          <cell r="AJ71">
            <v>0</v>
          </cell>
          <cell r="AM71">
            <v>0</v>
          </cell>
          <cell r="AN71">
            <v>0</v>
          </cell>
        </row>
        <row r="72">
          <cell r="D72" t="str">
            <v>Híp</v>
          </cell>
          <cell r="AJ72">
            <v>0</v>
          </cell>
          <cell r="AM72">
            <v>0</v>
          </cell>
          <cell r="AN72">
            <v>0</v>
          </cell>
        </row>
        <row r="73">
          <cell r="D73" t="str">
            <v>Nàng</v>
          </cell>
          <cell r="AJ73">
            <v>0</v>
          </cell>
          <cell r="AM73">
            <v>0</v>
          </cell>
          <cell r="AN73">
            <v>0</v>
          </cell>
        </row>
        <row r="74">
          <cell r="D74" t="str">
            <v>Xi Chăn</v>
          </cell>
          <cell r="AJ74">
            <v>0</v>
          </cell>
          <cell r="AM74">
            <v>0</v>
          </cell>
          <cell r="AN74">
            <v>0</v>
          </cell>
        </row>
        <row r="75">
          <cell r="D75" t="str">
            <v>Nang Vy</v>
          </cell>
          <cell r="AJ75">
            <v>0</v>
          </cell>
          <cell r="AM75">
            <v>0</v>
          </cell>
          <cell r="AN75">
            <v>0</v>
          </cell>
        </row>
        <row r="76">
          <cell r="D76" t="str">
            <v>Thông May</v>
          </cell>
          <cell r="AJ76">
            <v>0</v>
          </cell>
          <cell r="AM76">
            <v>0</v>
          </cell>
          <cell r="AN76">
            <v>0</v>
          </cell>
        </row>
        <row r="77">
          <cell r="D77" t="str">
            <v>Su Ki</v>
          </cell>
          <cell r="AJ77">
            <v>0</v>
          </cell>
          <cell r="AM77">
            <v>0</v>
          </cell>
          <cell r="AN77">
            <v>0</v>
          </cell>
        </row>
        <row r="78">
          <cell r="D78" t="str">
            <v>Xút Chay</v>
          </cell>
          <cell r="AJ78">
            <v>0</v>
          </cell>
          <cell r="AM78">
            <v>0</v>
          </cell>
          <cell r="AN78">
            <v>0</v>
          </cell>
        </row>
        <row r="79">
          <cell r="D79" t="str">
            <v>Khăm Ma Ny</v>
          </cell>
          <cell r="AJ79">
            <v>0</v>
          </cell>
          <cell r="AM79">
            <v>0</v>
          </cell>
          <cell r="AN79">
            <v>0</v>
          </cell>
        </row>
        <row r="80">
          <cell r="D80" t="str">
            <v>Ép</v>
          </cell>
          <cell r="AJ80">
            <v>0</v>
          </cell>
          <cell r="AM80">
            <v>0</v>
          </cell>
          <cell r="AN80">
            <v>0</v>
          </cell>
        </row>
        <row r="81">
          <cell r="D81" t="str">
            <v>Khâm Cợt</v>
          </cell>
          <cell r="AJ81">
            <v>0</v>
          </cell>
          <cell r="AM81">
            <v>0</v>
          </cell>
          <cell r="AN81">
            <v>0</v>
          </cell>
        </row>
        <row r="82">
          <cell r="D82" t="str">
            <v>Choi (2)</v>
          </cell>
          <cell r="AJ82">
            <v>0</v>
          </cell>
          <cell r="AM82">
            <v>0</v>
          </cell>
          <cell r="AN82">
            <v>0</v>
          </cell>
        </row>
        <row r="83">
          <cell r="D83" t="str">
            <v>Pò Vy</v>
          </cell>
          <cell r="AJ83">
            <v>0</v>
          </cell>
          <cell r="AM83">
            <v>0</v>
          </cell>
          <cell r="AN83">
            <v>0</v>
          </cell>
        </row>
        <row r="84">
          <cell r="D84" t="str">
            <v>Thong La</v>
          </cell>
          <cell r="AJ84">
            <v>0</v>
          </cell>
          <cell r="AM84">
            <v>0</v>
          </cell>
          <cell r="AN84">
            <v>0</v>
          </cell>
        </row>
        <row r="85">
          <cell r="D85" t="str">
            <v>A Nan</v>
          </cell>
          <cell r="AJ85">
            <v>0</v>
          </cell>
          <cell r="AM85">
            <v>0</v>
          </cell>
          <cell r="AN85">
            <v>0</v>
          </cell>
        </row>
        <row r="86">
          <cell r="D86" t="str">
            <v>In Pon</v>
          </cell>
          <cell r="AJ86">
            <v>0</v>
          </cell>
          <cell r="AM86">
            <v>0</v>
          </cell>
          <cell r="AN86">
            <v>0</v>
          </cell>
        </row>
        <row r="87">
          <cell r="D87" t="str">
            <v>Thảo Khun</v>
          </cell>
          <cell r="AJ87">
            <v>0</v>
          </cell>
          <cell r="AM87">
            <v>0</v>
          </cell>
          <cell r="AN87">
            <v>0</v>
          </cell>
        </row>
        <row r="88">
          <cell r="D88" t="str">
            <v>Bun Sóng</v>
          </cell>
          <cell r="AJ88">
            <v>0</v>
          </cell>
          <cell r="AM88">
            <v>0</v>
          </cell>
          <cell r="AN88">
            <v>0</v>
          </cell>
        </row>
        <row r="89">
          <cell r="D89" t="str">
            <v>Tỏng</v>
          </cell>
          <cell r="AJ89">
            <v>0</v>
          </cell>
          <cell r="AM89">
            <v>0</v>
          </cell>
          <cell r="AN89">
            <v>0</v>
          </cell>
        </row>
        <row r="90">
          <cell r="D90" t="str">
            <v>Vá</v>
          </cell>
          <cell r="AJ90">
            <v>0</v>
          </cell>
          <cell r="AM90">
            <v>0</v>
          </cell>
          <cell r="AN90">
            <v>0</v>
          </cell>
        </row>
        <row r="91">
          <cell r="D91" t="str">
            <v>Su Ly</v>
          </cell>
          <cell r="AJ91">
            <v>0</v>
          </cell>
          <cell r="AM91">
            <v>0</v>
          </cell>
          <cell r="AN91">
            <v>0</v>
          </cell>
        </row>
        <row r="92">
          <cell r="D92" t="str">
            <v>Thê</v>
          </cell>
          <cell r="AJ92">
            <v>0</v>
          </cell>
          <cell r="AM92">
            <v>0</v>
          </cell>
          <cell r="AN92">
            <v>0</v>
          </cell>
        </row>
        <row r="93">
          <cell r="D93" t="str">
            <v>Nang Tỵ</v>
          </cell>
          <cell r="AJ93">
            <v>0</v>
          </cell>
          <cell r="AM93">
            <v>0</v>
          </cell>
          <cell r="AN93">
            <v>0</v>
          </cell>
        </row>
        <row r="94">
          <cell r="D94" t="str">
            <v>Veo</v>
          </cell>
          <cell r="AJ94">
            <v>0</v>
          </cell>
          <cell r="AM94">
            <v>0</v>
          </cell>
          <cell r="AN94">
            <v>0</v>
          </cell>
        </row>
        <row r="95">
          <cell r="D95" t="str">
            <v>Xay Khâm</v>
          </cell>
          <cell r="AJ95">
            <v>0</v>
          </cell>
          <cell r="AM95">
            <v>0</v>
          </cell>
          <cell r="AN95">
            <v>0</v>
          </cell>
        </row>
        <row r="96">
          <cell r="D96" t="str">
            <v>Ka</v>
          </cell>
          <cell r="AJ96">
            <v>0</v>
          </cell>
          <cell r="AM96">
            <v>0</v>
          </cell>
          <cell r="AN96">
            <v>0</v>
          </cell>
        </row>
        <row r="97">
          <cell r="D97" t="str">
            <v>Chăn Đi</v>
          </cell>
          <cell r="AJ97">
            <v>0</v>
          </cell>
          <cell r="AM97">
            <v>0</v>
          </cell>
          <cell r="AN97">
            <v>0</v>
          </cell>
        </row>
        <row r="98">
          <cell r="D98" t="str">
            <v>Phôm Ma</v>
          </cell>
          <cell r="AJ98">
            <v>0</v>
          </cell>
          <cell r="AM98">
            <v>0</v>
          </cell>
          <cell r="AN98">
            <v>0</v>
          </cell>
        </row>
        <row r="99">
          <cell r="D99" t="str">
            <v>Thảo Bin</v>
          </cell>
          <cell r="AJ99">
            <v>0</v>
          </cell>
          <cell r="AM99">
            <v>0</v>
          </cell>
          <cell r="AN99">
            <v>0</v>
          </cell>
        </row>
        <row r="100">
          <cell r="D100" t="str">
            <v>Lích</v>
          </cell>
          <cell r="AJ100">
            <v>0</v>
          </cell>
          <cell r="AM100">
            <v>0</v>
          </cell>
          <cell r="AN100">
            <v>0</v>
          </cell>
        </row>
        <row r="101">
          <cell r="D101" t="str">
            <v>Lăm Phon (2)</v>
          </cell>
          <cell r="AJ101">
            <v>0</v>
          </cell>
          <cell r="AM101">
            <v>0</v>
          </cell>
          <cell r="AN101">
            <v>0</v>
          </cell>
        </row>
        <row r="102">
          <cell r="D102" t="str">
            <v>Phò Thon</v>
          </cell>
          <cell r="AJ102">
            <v>0</v>
          </cell>
          <cell r="AM102">
            <v>0</v>
          </cell>
          <cell r="AN102">
            <v>0</v>
          </cell>
        </row>
        <row r="103">
          <cell r="D103" t="str">
            <v>Ta Luông</v>
          </cell>
          <cell r="AJ103">
            <v>0</v>
          </cell>
          <cell r="AM103">
            <v>0</v>
          </cell>
          <cell r="AN103">
            <v>0</v>
          </cell>
        </row>
        <row r="104">
          <cell r="D104" t="str">
            <v>Phim Phon</v>
          </cell>
          <cell r="AJ104">
            <v>0</v>
          </cell>
          <cell r="AM104">
            <v>0</v>
          </cell>
          <cell r="AN104">
            <v>0</v>
          </cell>
        </row>
        <row r="105">
          <cell r="D105" t="str">
            <v>Thảo Uông</v>
          </cell>
          <cell r="AJ105">
            <v>0</v>
          </cell>
          <cell r="AM105">
            <v>0</v>
          </cell>
          <cell r="AN105">
            <v>0</v>
          </cell>
        </row>
        <row r="106">
          <cell r="D106" t="str">
            <v>Nang Khâm</v>
          </cell>
          <cell r="AJ106">
            <v>0</v>
          </cell>
          <cell r="AM106">
            <v>0</v>
          </cell>
          <cell r="AN106">
            <v>0</v>
          </cell>
        </row>
        <row r="107">
          <cell r="D107" t="str">
            <v>Hắm Nọi</v>
          </cell>
          <cell r="AJ107">
            <v>0</v>
          </cell>
          <cell r="AM107">
            <v>0</v>
          </cell>
          <cell r="AN107">
            <v>0</v>
          </cell>
        </row>
        <row r="108">
          <cell r="D108" t="str">
            <v>Mi</v>
          </cell>
          <cell r="AJ108">
            <v>0</v>
          </cell>
          <cell r="AM108">
            <v>0</v>
          </cell>
          <cell r="AN108">
            <v>0</v>
          </cell>
        </row>
        <row r="109">
          <cell r="D109" t="str">
            <v>Nang Túc</v>
          </cell>
          <cell r="AJ109">
            <v>0</v>
          </cell>
          <cell r="AM109">
            <v>0</v>
          </cell>
          <cell r="AN109">
            <v>0</v>
          </cell>
        </row>
        <row r="110">
          <cell r="D110" t="str">
            <v>Lard</v>
          </cell>
          <cell r="AJ110">
            <v>0</v>
          </cell>
          <cell r="AM110">
            <v>0</v>
          </cell>
          <cell r="AN110">
            <v>0</v>
          </cell>
        </row>
        <row r="111">
          <cell r="AM111">
            <v>0</v>
          </cell>
          <cell r="AN111">
            <v>0</v>
          </cell>
        </row>
        <row r="112">
          <cell r="AM112">
            <v>0</v>
          </cell>
          <cell r="AN112">
            <v>0</v>
          </cell>
        </row>
        <row r="113">
          <cell r="E113">
            <v>0</v>
          </cell>
          <cell r="F113">
            <v>0</v>
          </cell>
          <cell r="G113">
            <v>0</v>
          </cell>
          <cell r="H113">
            <v>0</v>
          </cell>
          <cell r="I113">
            <v>0</v>
          </cell>
          <cell r="J113">
            <v>0</v>
          </cell>
          <cell r="K113">
            <v>0</v>
          </cell>
          <cell r="L113">
            <v>0</v>
          </cell>
          <cell r="M113">
            <v>0</v>
          </cell>
          <cell r="N113">
            <v>0</v>
          </cell>
          <cell r="O113">
            <v>0</v>
          </cell>
          <cell r="P113">
            <v>0</v>
          </cell>
          <cell r="Q113">
            <v>0</v>
          </cell>
          <cell r="R113">
            <v>0</v>
          </cell>
          <cell r="S113">
            <v>0</v>
          </cell>
          <cell r="T113">
            <v>0</v>
          </cell>
          <cell r="U113">
            <v>0</v>
          </cell>
          <cell r="V113">
            <v>0</v>
          </cell>
          <cell r="W113">
            <v>0</v>
          </cell>
          <cell r="X113">
            <v>0</v>
          </cell>
          <cell r="Y113">
            <v>0</v>
          </cell>
          <cell r="Z113">
            <v>0</v>
          </cell>
          <cell r="AA113">
            <v>0</v>
          </cell>
          <cell r="AB113">
            <v>0</v>
          </cell>
          <cell r="AC113">
            <v>0</v>
          </cell>
          <cell r="AD113">
            <v>0</v>
          </cell>
          <cell r="AE113">
            <v>0</v>
          </cell>
          <cell r="AF113">
            <v>0</v>
          </cell>
          <cell r="AG113">
            <v>0</v>
          </cell>
          <cell r="AH113">
            <v>0</v>
          </cell>
          <cell r="AI113">
            <v>0</v>
          </cell>
          <cell r="AJ113">
            <v>0</v>
          </cell>
          <cell r="AK113">
            <v>0</v>
          </cell>
          <cell r="AL113">
            <v>0</v>
          </cell>
          <cell r="AM113">
            <v>0</v>
          </cell>
          <cell r="AN113">
            <v>0</v>
          </cell>
        </row>
        <row r="114">
          <cell r="D114" t="str">
            <v>Thảo Lúi</v>
          </cell>
          <cell r="AJ114">
            <v>0</v>
          </cell>
          <cell r="AM114">
            <v>0</v>
          </cell>
          <cell r="AN114">
            <v>0</v>
          </cell>
        </row>
        <row r="115">
          <cell r="D115" t="str">
            <v>Lên</v>
          </cell>
          <cell r="AJ115">
            <v>0</v>
          </cell>
          <cell r="AM115">
            <v>0</v>
          </cell>
          <cell r="AN115">
            <v>0</v>
          </cell>
        </row>
        <row r="116">
          <cell r="D116" t="str">
            <v>Ô</v>
          </cell>
          <cell r="AJ116">
            <v>0</v>
          </cell>
          <cell r="AM116">
            <v>0</v>
          </cell>
          <cell r="AN116">
            <v>0</v>
          </cell>
        </row>
        <row r="117">
          <cell r="D117" t="str">
            <v>Văn Thong</v>
          </cell>
          <cell r="AJ117">
            <v>0</v>
          </cell>
          <cell r="AM117">
            <v>0</v>
          </cell>
          <cell r="AN117">
            <v>0</v>
          </cell>
        </row>
        <row r="118">
          <cell r="D118" t="str">
            <v>Khôn (3)</v>
          </cell>
          <cell r="AJ118">
            <v>0</v>
          </cell>
          <cell r="AM118">
            <v>0</v>
          </cell>
          <cell r="AN118">
            <v>0</v>
          </cell>
        </row>
        <row r="119">
          <cell r="D119" t="str">
            <v>Me Son</v>
          </cell>
          <cell r="AJ119">
            <v>0</v>
          </cell>
          <cell r="AM119">
            <v>0</v>
          </cell>
          <cell r="AN119">
            <v>0</v>
          </cell>
        </row>
        <row r="120">
          <cell r="D120" t="str">
            <v>Me Ly</v>
          </cell>
          <cell r="AJ120">
            <v>0</v>
          </cell>
          <cell r="AM120">
            <v>0</v>
          </cell>
          <cell r="AN120">
            <v>0</v>
          </cell>
        </row>
        <row r="121">
          <cell r="D121" t="str">
            <v>Nít Ni Lanh</v>
          </cell>
          <cell r="AJ121">
            <v>0</v>
          </cell>
          <cell r="AM121">
            <v>0</v>
          </cell>
          <cell r="AN121">
            <v>0</v>
          </cell>
        </row>
        <row r="122">
          <cell r="D122" t="str">
            <v>Lăng A</v>
          </cell>
          <cell r="AJ122">
            <v>0</v>
          </cell>
          <cell r="AM122">
            <v>0</v>
          </cell>
          <cell r="AN122">
            <v>0</v>
          </cell>
        </row>
        <row r="123">
          <cell r="D123" t="str">
            <v>Phơn</v>
          </cell>
          <cell r="AJ123">
            <v>0</v>
          </cell>
          <cell r="AM123">
            <v>0</v>
          </cell>
          <cell r="AN123">
            <v>0</v>
          </cell>
        </row>
        <row r="124">
          <cell r="D124" t="str">
            <v>Chít</v>
          </cell>
          <cell r="AJ124">
            <v>0</v>
          </cell>
          <cell r="AM124">
            <v>0</v>
          </cell>
          <cell r="AN124">
            <v>0</v>
          </cell>
        </row>
        <row r="125">
          <cell r="D125" t="str">
            <v>Chec</v>
          </cell>
          <cell r="AJ125">
            <v>0</v>
          </cell>
          <cell r="AM125">
            <v>0</v>
          </cell>
          <cell r="AN125">
            <v>0</v>
          </cell>
        </row>
        <row r="126">
          <cell r="D126" t="str">
            <v>Hơn</v>
          </cell>
          <cell r="AJ126">
            <v>0</v>
          </cell>
          <cell r="AM126">
            <v>0</v>
          </cell>
          <cell r="AN126">
            <v>0</v>
          </cell>
        </row>
        <row r="127">
          <cell r="D127" t="str">
            <v>Nít</v>
          </cell>
          <cell r="AJ127">
            <v>0</v>
          </cell>
          <cell r="AM127">
            <v>0</v>
          </cell>
          <cell r="AN127">
            <v>0</v>
          </cell>
        </row>
        <row r="128">
          <cell r="D128" t="str">
            <v>Măm</v>
          </cell>
          <cell r="AJ128">
            <v>0</v>
          </cell>
          <cell r="AM128">
            <v>0</v>
          </cell>
          <cell r="AN128">
            <v>0</v>
          </cell>
        </row>
        <row r="129">
          <cell r="D129" t="str">
            <v>Nui</v>
          </cell>
          <cell r="AJ129">
            <v>0</v>
          </cell>
          <cell r="AM129">
            <v>0</v>
          </cell>
          <cell r="AN129">
            <v>0</v>
          </cell>
        </row>
        <row r="130">
          <cell r="D130" t="str">
            <v>Ðuông Chăn</v>
          </cell>
          <cell r="AJ130">
            <v>0</v>
          </cell>
          <cell r="AM130">
            <v>0</v>
          </cell>
          <cell r="AN130">
            <v>0</v>
          </cell>
        </row>
        <row r="131">
          <cell r="D131" t="str">
            <v>Xing</v>
          </cell>
          <cell r="AJ131">
            <v>0</v>
          </cell>
          <cell r="AM131">
            <v>0</v>
          </cell>
          <cell r="AN131">
            <v>0</v>
          </cell>
        </row>
        <row r="132">
          <cell r="D132" t="str">
            <v>Xi No</v>
          </cell>
          <cell r="AJ132">
            <v>0</v>
          </cell>
          <cell r="AM132">
            <v>0</v>
          </cell>
          <cell r="AN132">
            <v>0</v>
          </cell>
        </row>
        <row r="133">
          <cell r="D133" t="str">
            <v>Lói</v>
          </cell>
          <cell r="AJ133">
            <v>0</v>
          </cell>
          <cell r="AM133">
            <v>0</v>
          </cell>
          <cell r="AN133">
            <v>0</v>
          </cell>
        </row>
        <row r="134">
          <cell r="D134" t="str">
            <v>Nọi (3)</v>
          </cell>
          <cell r="AJ134">
            <v>0</v>
          </cell>
          <cell r="AM134">
            <v>0</v>
          </cell>
          <cell r="AN134">
            <v>0</v>
          </cell>
        </row>
        <row r="135">
          <cell r="D135" t="str">
            <v>Thảo Ký</v>
          </cell>
          <cell r="AJ135">
            <v>0</v>
          </cell>
          <cell r="AM135">
            <v>0</v>
          </cell>
          <cell r="AN135">
            <v>0</v>
          </cell>
        </row>
        <row r="136">
          <cell r="D136" t="str">
            <v>Nam phon</v>
          </cell>
          <cell r="AJ136">
            <v>0</v>
          </cell>
          <cell r="AM136">
            <v>0</v>
          </cell>
          <cell r="AN136">
            <v>0</v>
          </cell>
        </row>
        <row r="137">
          <cell r="D137" t="str">
            <v>Nang Ta</v>
          </cell>
          <cell r="AJ137">
            <v>0</v>
          </cell>
          <cell r="AM137">
            <v>0</v>
          </cell>
          <cell r="AN137">
            <v>0</v>
          </cell>
        </row>
        <row r="138">
          <cell r="D138" t="str">
            <v>Pa Lay</v>
          </cell>
          <cell r="AJ138">
            <v>0</v>
          </cell>
          <cell r="AM138">
            <v>0</v>
          </cell>
          <cell r="AN138">
            <v>0</v>
          </cell>
        </row>
        <row r="139">
          <cell r="D139" t="str">
            <v>Lăm phon (3)</v>
          </cell>
          <cell r="AJ139">
            <v>0</v>
          </cell>
          <cell r="AM139">
            <v>0</v>
          </cell>
          <cell r="AN139">
            <v>0</v>
          </cell>
        </row>
        <row r="140">
          <cell r="D140" t="str">
            <v>Tia</v>
          </cell>
          <cell r="AJ140">
            <v>0</v>
          </cell>
          <cell r="AM140">
            <v>0</v>
          </cell>
          <cell r="AN140">
            <v>0</v>
          </cell>
        </row>
        <row r="141">
          <cell r="D141" t="str">
            <v>Xay (3)</v>
          </cell>
          <cell r="AJ141">
            <v>0</v>
          </cell>
          <cell r="AM141">
            <v>0</v>
          </cell>
          <cell r="AN141">
            <v>0</v>
          </cell>
        </row>
        <row r="142">
          <cell r="D142" t="str">
            <v>Kị To</v>
          </cell>
          <cell r="AJ142">
            <v>0</v>
          </cell>
          <cell r="AM142">
            <v>0</v>
          </cell>
          <cell r="AN142">
            <v>0</v>
          </cell>
        </row>
        <row r="143">
          <cell r="D143" t="str">
            <v>Quy</v>
          </cell>
          <cell r="AJ143">
            <v>0</v>
          </cell>
          <cell r="AM143">
            <v>0</v>
          </cell>
          <cell r="AN143">
            <v>0</v>
          </cell>
        </row>
        <row r="144">
          <cell r="D144" t="str">
            <v>Long</v>
          </cell>
          <cell r="AJ144">
            <v>0</v>
          </cell>
          <cell r="AM144">
            <v>0</v>
          </cell>
          <cell r="AN144">
            <v>0</v>
          </cell>
        </row>
        <row r="145">
          <cell r="D145" t="str">
            <v>Ki</v>
          </cell>
          <cell r="AJ145">
            <v>0</v>
          </cell>
          <cell r="AM145">
            <v>0</v>
          </cell>
          <cell r="AN145">
            <v>0</v>
          </cell>
        </row>
        <row r="146">
          <cell r="D146" t="str">
            <v>Phết (3)</v>
          </cell>
          <cell r="AJ146">
            <v>0</v>
          </cell>
          <cell r="AM146">
            <v>0</v>
          </cell>
          <cell r="AN146">
            <v>0</v>
          </cell>
        </row>
        <row r="147">
          <cell r="D147" t="str">
            <v>Bôn</v>
          </cell>
          <cell r="AJ147">
            <v>0</v>
          </cell>
          <cell r="AM147">
            <v>0</v>
          </cell>
          <cell r="AN147">
            <v>0</v>
          </cell>
        </row>
        <row r="148">
          <cell r="D148" t="str">
            <v>Xôn</v>
          </cell>
          <cell r="AJ148">
            <v>0</v>
          </cell>
          <cell r="AM148">
            <v>0</v>
          </cell>
          <cell r="AN148">
            <v>0</v>
          </cell>
        </row>
        <row r="149">
          <cell r="D149" t="str">
            <v>Phum Hom</v>
          </cell>
          <cell r="AJ149">
            <v>0</v>
          </cell>
          <cell r="AM149">
            <v>0</v>
          </cell>
          <cell r="AN149">
            <v>0</v>
          </cell>
        </row>
        <row r="150">
          <cell r="D150" t="str">
            <v>Nút</v>
          </cell>
          <cell r="AJ150">
            <v>0</v>
          </cell>
          <cell r="AM150">
            <v>0</v>
          </cell>
          <cell r="AN150">
            <v>0</v>
          </cell>
        </row>
        <row r="151">
          <cell r="D151" t="str">
            <v>Hăm Nọi A</v>
          </cell>
          <cell r="AJ151">
            <v>0</v>
          </cell>
          <cell r="AM151">
            <v>0</v>
          </cell>
          <cell r="AN151">
            <v>0</v>
          </cell>
        </row>
        <row r="152">
          <cell r="D152" t="str">
            <v>Cheo</v>
          </cell>
          <cell r="AJ152">
            <v>0</v>
          </cell>
          <cell r="AM152">
            <v>0</v>
          </cell>
          <cell r="AN152">
            <v>0</v>
          </cell>
        </row>
        <row r="153">
          <cell r="D153" t="str">
            <v>Tà (3)</v>
          </cell>
          <cell r="AJ153">
            <v>0</v>
          </cell>
          <cell r="AM153">
            <v>0</v>
          </cell>
          <cell r="AN153">
            <v>0</v>
          </cell>
        </row>
        <row r="154">
          <cell r="D154" t="str">
            <v>Nang Hắc</v>
          </cell>
          <cell r="AJ154">
            <v>0</v>
          </cell>
          <cell r="AM154">
            <v>0</v>
          </cell>
          <cell r="AN154">
            <v>0</v>
          </cell>
        </row>
        <row r="155">
          <cell r="D155" t="str">
            <v>Cong</v>
          </cell>
          <cell r="AJ155">
            <v>0</v>
          </cell>
          <cell r="AM155">
            <v>0</v>
          </cell>
          <cell r="AN155">
            <v>0</v>
          </cell>
        </row>
        <row r="156">
          <cell r="D156" t="str">
            <v>Khăm B</v>
          </cell>
          <cell r="AJ156">
            <v>0</v>
          </cell>
          <cell r="AM156">
            <v>0</v>
          </cell>
          <cell r="AN156">
            <v>0</v>
          </cell>
        </row>
        <row r="157">
          <cell r="D157" t="str">
            <v>Tom</v>
          </cell>
          <cell r="AJ157">
            <v>0</v>
          </cell>
          <cell r="AM157">
            <v>0</v>
          </cell>
          <cell r="AN157">
            <v>0</v>
          </cell>
        </row>
        <row r="158">
          <cell r="D158" t="str">
            <v>Nang Py</v>
          </cell>
          <cell r="AJ158">
            <v>0</v>
          </cell>
          <cell r="AM158">
            <v>0</v>
          </cell>
          <cell r="AN158">
            <v>0</v>
          </cell>
        </row>
        <row r="159">
          <cell r="D159" t="str">
            <v>Khăm Mừn</v>
          </cell>
          <cell r="AJ159">
            <v>0</v>
          </cell>
          <cell r="AM159">
            <v>0</v>
          </cell>
          <cell r="AN159">
            <v>0</v>
          </cell>
        </row>
        <row r="160">
          <cell r="D160" t="str">
            <v>Choi (3)</v>
          </cell>
          <cell r="AJ160">
            <v>0</v>
          </cell>
          <cell r="AM160">
            <v>0</v>
          </cell>
          <cell r="AN160">
            <v>0</v>
          </cell>
        </row>
        <row r="161">
          <cell r="D161" t="str">
            <v>E</v>
          </cell>
          <cell r="AJ161">
            <v>0</v>
          </cell>
          <cell r="AM161">
            <v>0</v>
          </cell>
          <cell r="AN161">
            <v>0</v>
          </cell>
        </row>
        <row r="162">
          <cell r="D162" t="str">
            <v>Kẹo Ta</v>
          </cell>
          <cell r="AJ162">
            <v>0</v>
          </cell>
          <cell r="AM162">
            <v>0</v>
          </cell>
          <cell r="AN162">
            <v>0</v>
          </cell>
        </row>
        <row r="163">
          <cell r="D163" t="str">
            <v>Thon</v>
          </cell>
          <cell r="AJ163">
            <v>0</v>
          </cell>
          <cell r="AM163">
            <v>0</v>
          </cell>
          <cell r="AN163">
            <v>0</v>
          </cell>
        </row>
        <row r="164">
          <cell r="D164" t="str">
            <v>Nhon</v>
          </cell>
          <cell r="AJ164">
            <v>0</v>
          </cell>
          <cell r="AM164">
            <v>0</v>
          </cell>
          <cell r="AN164">
            <v>0</v>
          </cell>
        </row>
        <row r="165">
          <cell r="D165" t="str">
            <v>Nàng Núi</v>
          </cell>
          <cell r="AJ165">
            <v>0</v>
          </cell>
          <cell r="AM165">
            <v>0</v>
          </cell>
          <cell r="AN165">
            <v>0</v>
          </cell>
        </row>
        <row r="166">
          <cell r="D166" t="str">
            <v>Nàng Lọi</v>
          </cell>
          <cell r="AJ166">
            <v>0</v>
          </cell>
          <cell r="AM166">
            <v>0</v>
          </cell>
          <cell r="AN166">
            <v>0</v>
          </cell>
        </row>
        <row r="167">
          <cell r="D167" t="str">
            <v>Khăm</v>
          </cell>
          <cell r="AJ167">
            <v>0</v>
          </cell>
          <cell r="AM167">
            <v>0</v>
          </cell>
          <cell r="AN167">
            <v>0</v>
          </cell>
        </row>
        <row r="168">
          <cell r="D168" t="str">
            <v>Nàng Bát</v>
          </cell>
          <cell r="AJ168">
            <v>0</v>
          </cell>
          <cell r="AM168">
            <v>0</v>
          </cell>
          <cell r="AN168">
            <v>0</v>
          </cell>
        </row>
        <row r="169">
          <cell r="D169" t="str">
            <v>Dộc</v>
          </cell>
          <cell r="AJ169">
            <v>0</v>
          </cell>
          <cell r="AM169">
            <v>0</v>
          </cell>
          <cell r="AN169">
            <v>0</v>
          </cell>
        </row>
        <row r="170">
          <cell r="D170" t="str">
            <v>Chăn (3)</v>
          </cell>
          <cell r="AJ170">
            <v>0</v>
          </cell>
          <cell r="AM170">
            <v>0</v>
          </cell>
          <cell r="AN170">
            <v>0</v>
          </cell>
        </row>
        <row r="171">
          <cell r="D171" t="str">
            <v>Hát</v>
          </cell>
          <cell r="AJ171">
            <v>0</v>
          </cell>
          <cell r="AM171">
            <v>0</v>
          </cell>
          <cell r="AN171">
            <v>0</v>
          </cell>
        </row>
        <row r="172">
          <cell r="D172" t="str">
            <v>Bun (3)</v>
          </cell>
          <cell r="AJ172">
            <v>0</v>
          </cell>
          <cell r="AM172">
            <v>0</v>
          </cell>
          <cell r="AN172">
            <v>0</v>
          </cell>
        </row>
        <row r="173">
          <cell r="D173" t="str">
            <v>Hông Khăm</v>
          </cell>
          <cell r="AJ173">
            <v>0</v>
          </cell>
          <cell r="AM173">
            <v>0</v>
          </cell>
          <cell r="AN173">
            <v>0</v>
          </cell>
        </row>
        <row r="174">
          <cell r="E174">
            <v>0</v>
          </cell>
          <cell r="F174">
            <v>0</v>
          </cell>
          <cell r="G174">
            <v>0</v>
          </cell>
          <cell r="H174">
            <v>0</v>
          </cell>
          <cell r="I174">
            <v>0</v>
          </cell>
          <cell r="J174">
            <v>0</v>
          </cell>
          <cell r="K174">
            <v>0</v>
          </cell>
          <cell r="L174">
            <v>0</v>
          </cell>
          <cell r="M174">
            <v>0</v>
          </cell>
          <cell r="N174">
            <v>0</v>
          </cell>
          <cell r="O174">
            <v>0</v>
          </cell>
          <cell r="P174">
            <v>0</v>
          </cell>
          <cell r="Q174">
            <v>0</v>
          </cell>
          <cell r="R174">
            <v>0</v>
          </cell>
          <cell r="S174">
            <v>0</v>
          </cell>
          <cell r="T174">
            <v>0</v>
          </cell>
          <cell r="U174">
            <v>0</v>
          </cell>
          <cell r="V174">
            <v>0</v>
          </cell>
          <cell r="W174">
            <v>0</v>
          </cell>
          <cell r="X174">
            <v>0</v>
          </cell>
          <cell r="Y174">
            <v>0</v>
          </cell>
          <cell r="Z174">
            <v>0</v>
          </cell>
          <cell r="AA174">
            <v>0</v>
          </cell>
          <cell r="AB174">
            <v>0</v>
          </cell>
          <cell r="AC174">
            <v>0</v>
          </cell>
          <cell r="AD174">
            <v>0</v>
          </cell>
          <cell r="AE174">
            <v>0</v>
          </cell>
          <cell r="AF174">
            <v>0</v>
          </cell>
          <cell r="AG174">
            <v>0</v>
          </cell>
          <cell r="AH174">
            <v>0</v>
          </cell>
          <cell r="AI174">
            <v>0</v>
          </cell>
          <cell r="AJ174">
            <v>0</v>
          </cell>
          <cell r="AK174">
            <v>0</v>
          </cell>
          <cell r="AL174">
            <v>0</v>
          </cell>
          <cell r="AM174">
            <v>0</v>
          </cell>
          <cell r="AN174">
            <v>0</v>
          </cell>
        </row>
        <row r="175">
          <cell r="D175" t="str">
            <v>Thá</v>
          </cell>
          <cell r="AJ175">
            <v>0</v>
          </cell>
          <cell r="AM175">
            <v>0</v>
          </cell>
          <cell r="AN175">
            <v>0</v>
          </cell>
        </row>
        <row r="176">
          <cell r="D176" t="str">
            <v>Đăm (3)</v>
          </cell>
          <cell r="AJ176">
            <v>0</v>
          </cell>
          <cell r="AM176">
            <v>0</v>
          </cell>
          <cell r="AN176">
            <v>0</v>
          </cell>
        </row>
        <row r="177">
          <cell r="D177" t="str">
            <v>Chọt</v>
          </cell>
          <cell r="AJ177">
            <v>0</v>
          </cell>
          <cell r="AM177">
            <v>0</v>
          </cell>
          <cell r="AN177">
            <v>0</v>
          </cell>
        </row>
        <row r="178">
          <cell r="D178" t="str">
            <v>Vat Sa Na</v>
          </cell>
          <cell r="AJ178">
            <v>0</v>
          </cell>
          <cell r="AM178">
            <v>0</v>
          </cell>
          <cell r="AN178">
            <v>0</v>
          </cell>
        </row>
        <row r="179">
          <cell r="D179" t="str">
            <v>Xi La</v>
          </cell>
          <cell r="AJ179">
            <v>0</v>
          </cell>
          <cell r="AM179">
            <v>0</v>
          </cell>
          <cell r="AN179">
            <v>0</v>
          </cell>
        </row>
        <row r="180">
          <cell r="D180" t="str">
            <v>Nàng Lên</v>
          </cell>
          <cell r="AJ180">
            <v>0</v>
          </cell>
          <cell r="AM180">
            <v>0</v>
          </cell>
          <cell r="AN180">
            <v>0</v>
          </cell>
        </row>
        <row r="181">
          <cell r="D181" t="str">
            <v>Kum Man</v>
          </cell>
          <cell r="AJ181">
            <v>0</v>
          </cell>
          <cell r="AM181">
            <v>0</v>
          </cell>
          <cell r="AN181">
            <v>0</v>
          </cell>
        </row>
        <row r="182">
          <cell r="D182" t="str">
            <v>Xai Ta</v>
          </cell>
          <cell r="AJ182">
            <v>0</v>
          </cell>
          <cell r="AM182">
            <v>0</v>
          </cell>
          <cell r="AN182">
            <v>0</v>
          </cell>
        </row>
        <row r="183">
          <cell r="D183" t="str">
            <v>Ót</v>
          </cell>
          <cell r="AJ183">
            <v>0</v>
          </cell>
          <cell r="AM183">
            <v>0</v>
          </cell>
          <cell r="AN183">
            <v>0</v>
          </cell>
        </row>
        <row r="184">
          <cell r="D184" t="str">
            <v>Thảo Tom</v>
          </cell>
          <cell r="AL184">
            <v>0</v>
          </cell>
          <cell r="AM184">
            <v>0</v>
          </cell>
          <cell r="AN184">
            <v>0</v>
          </cell>
        </row>
        <row r="185">
          <cell r="D185" t="str">
            <v>Me Nhon</v>
          </cell>
          <cell r="AL185">
            <v>0</v>
          </cell>
          <cell r="AM185">
            <v>0</v>
          </cell>
          <cell r="AN185">
            <v>0</v>
          </cell>
        </row>
        <row r="186">
          <cell r="D186" t="str">
            <v>Son</v>
          </cell>
          <cell r="AJ186">
            <v>0</v>
          </cell>
          <cell r="AM186">
            <v>0</v>
          </cell>
          <cell r="AN186">
            <v>0</v>
          </cell>
        </row>
        <row r="187">
          <cell r="D187" t="str">
            <v>Sét</v>
          </cell>
          <cell r="AJ187">
            <v>0</v>
          </cell>
          <cell r="AM187">
            <v>0</v>
          </cell>
          <cell r="AN187">
            <v>0</v>
          </cell>
        </row>
        <row r="188">
          <cell r="D188" t="str">
            <v>Ka Te</v>
          </cell>
          <cell r="AJ188">
            <v>0</v>
          </cell>
          <cell r="AM188">
            <v>0</v>
          </cell>
          <cell r="AN188">
            <v>0</v>
          </cell>
        </row>
        <row r="189">
          <cell r="D189" t="str">
            <v>In</v>
          </cell>
          <cell r="AJ189">
            <v>0</v>
          </cell>
          <cell r="AM189">
            <v>0</v>
          </cell>
          <cell r="AN189">
            <v>0</v>
          </cell>
        </row>
        <row r="190">
          <cell r="D190" t="str">
            <v>Nang Híp</v>
          </cell>
          <cell r="AJ190">
            <v>0</v>
          </cell>
          <cell r="AM190">
            <v>0</v>
          </cell>
          <cell r="AN190">
            <v>0</v>
          </cell>
        </row>
        <row r="191">
          <cell r="D191" t="str">
            <v>Đao</v>
          </cell>
          <cell r="AJ191">
            <v>0</v>
          </cell>
          <cell r="AM191">
            <v>0</v>
          </cell>
          <cell r="AN191">
            <v>0</v>
          </cell>
        </row>
        <row r="192">
          <cell r="D192" t="str">
            <v>Lon</v>
          </cell>
          <cell r="AJ192">
            <v>0</v>
          </cell>
          <cell r="AM192">
            <v>0</v>
          </cell>
          <cell r="AN192">
            <v>0</v>
          </cell>
        </row>
        <row r="193">
          <cell r="D193" t="str">
            <v>Khăm Bun</v>
          </cell>
          <cell r="AJ193">
            <v>0</v>
          </cell>
          <cell r="AM193">
            <v>0</v>
          </cell>
          <cell r="AN193">
            <v>0</v>
          </cell>
        </row>
        <row r="194">
          <cell r="D194" t="str">
            <v>Pom</v>
          </cell>
          <cell r="AL194">
            <v>0</v>
          </cell>
          <cell r="AM194">
            <v>0</v>
          </cell>
          <cell r="AN194">
            <v>0</v>
          </cell>
        </row>
        <row r="195">
          <cell r="D195" t="str">
            <v>Hông</v>
          </cell>
          <cell r="AL195">
            <v>0</v>
          </cell>
          <cell r="AM195">
            <v>0</v>
          </cell>
          <cell r="AN195">
            <v>0</v>
          </cell>
        </row>
        <row r="196">
          <cell r="D196" t="str">
            <v>Chinh</v>
          </cell>
          <cell r="AJ196">
            <v>0</v>
          </cell>
          <cell r="AM196">
            <v>0</v>
          </cell>
          <cell r="AN196">
            <v>0</v>
          </cell>
        </row>
        <row r="197">
          <cell r="D197" t="str">
            <v>Ling</v>
          </cell>
          <cell r="AJ197">
            <v>0</v>
          </cell>
          <cell r="AM197">
            <v>0</v>
          </cell>
          <cell r="AN197">
            <v>0</v>
          </cell>
        </row>
        <row r="198">
          <cell r="D198" t="str">
            <v>Loi</v>
          </cell>
          <cell r="AJ198">
            <v>0</v>
          </cell>
          <cell r="AM198">
            <v>0</v>
          </cell>
          <cell r="AN198">
            <v>0</v>
          </cell>
        </row>
        <row r="199">
          <cell r="D199" t="str">
            <v>Lui</v>
          </cell>
          <cell r="AJ199">
            <v>0</v>
          </cell>
          <cell r="AM199">
            <v>0</v>
          </cell>
          <cell r="AN199">
            <v>0</v>
          </cell>
        </row>
        <row r="200">
          <cell r="D200" t="str">
            <v>Hip</v>
          </cell>
          <cell r="AJ200">
            <v>0</v>
          </cell>
          <cell r="AM200">
            <v>0</v>
          </cell>
          <cell r="AN200">
            <v>0</v>
          </cell>
        </row>
        <row r="201">
          <cell r="D201" t="str">
            <v>Hăm Noi B</v>
          </cell>
          <cell r="AJ201">
            <v>0</v>
          </cell>
          <cell r="AM201">
            <v>0</v>
          </cell>
          <cell r="AN201">
            <v>0</v>
          </cell>
        </row>
        <row r="202">
          <cell r="D202" t="str">
            <v>Thảo Pha</v>
          </cell>
          <cell r="AJ202">
            <v>0</v>
          </cell>
          <cell r="AM202">
            <v>0</v>
          </cell>
          <cell r="AN202">
            <v>0</v>
          </cell>
        </row>
        <row r="203">
          <cell r="D203" t="str">
            <v>Tha Mon Ta</v>
          </cell>
          <cell r="AJ203">
            <v>0</v>
          </cell>
          <cell r="AM203">
            <v>0</v>
          </cell>
          <cell r="AN203">
            <v>0</v>
          </cell>
        </row>
        <row r="204">
          <cell r="D204" t="str">
            <v>Lệ</v>
          </cell>
          <cell r="AL204">
            <v>0</v>
          </cell>
          <cell r="AM204">
            <v>0</v>
          </cell>
          <cell r="AN204">
            <v>0</v>
          </cell>
        </row>
        <row r="205">
          <cell r="D205" t="str">
            <v>Phen</v>
          </cell>
          <cell r="AL205">
            <v>0</v>
          </cell>
          <cell r="AM205">
            <v>0</v>
          </cell>
          <cell r="AN205">
            <v>0</v>
          </cell>
        </row>
        <row r="206">
          <cell r="D206" t="str">
            <v>Pông</v>
          </cell>
          <cell r="AJ206">
            <v>0</v>
          </cell>
          <cell r="AM206">
            <v>0</v>
          </cell>
          <cell r="AN206">
            <v>0</v>
          </cell>
        </row>
        <row r="207">
          <cell r="D207" t="str">
            <v>Nàng Son</v>
          </cell>
          <cell r="AJ207">
            <v>0</v>
          </cell>
          <cell r="AM207">
            <v>0</v>
          </cell>
          <cell r="AN207">
            <v>0</v>
          </cell>
        </row>
        <row r="208">
          <cell r="D208" t="str">
            <v>Lay</v>
          </cell>
          <cell r="AJ208">
            <v>0</v>
          </cell>
          <cell r="AM208">
            <v>0</v>
          </cell>
          <cell r="AN208">
            <v>0</v>
          </cell>
        </row>
        <row r="209">
          <cell r="D209" t="str">
            <v>Ten (3)</v>
          </cell>
          <cell r="AJ209">
            <v>0</v>
          </cell>
          <cell r="AM209">
            <v>0</v>
          </cell>
          <cell r="AN209">
            <v>0</v>
          </cell>
        </row>
        <row r="210">
          <cell r="D210" t="str">
            <v>Khắn</v>
          </cell>
          <cell r="AJ210">
            <v>0</v>
          </cell>
          <cell r="AM210">
            <v>0</v>
          </cell>
          <cell r="AN210">
            <v>0</v>
          </cell>
        </row>
        <row r="211">
          <cell r="D211" t="str">
            <v>Nang Ny</v>
          </cell>
          <cell r="AJ211">
            <v>0</v>
          </cell>
          <cell r="AM211">
            <v>0</v>
          </cell>
          <cell r="AN211">
            <v>0</v>
          </cell>
        </row>
        <row r="212">
          <cell r="D212" t="str">
            <v>Pan</v>
          </cell>
          <cell r="AJ212">
            <v>0</v>
          </cell>
          <cell r="AM212">
            <v>0</v>
          </cell>
          <cell r="AN212">
            <v>0</v>
          </cell>
        </row>
        <row r="213">
          <cell r="D213" t="str">
            <v>Vi Say</v>
          </cell>
          <cell r="AJ213">
            <v>0</v>
          </cell>
          <cell r="AM213">
            <v>0</v>
          </cell>
          <cell r="AN213">
            <v>0</v>
          </cell>
        </row>
        <row r="214">
          <cell r="D214" t="str">
            <v>Ka Púc</v>
          </cell>
          <cell r="AL214">
            <v>0</v>
          </cell>
          <cell r="AM214">
            <v>0</v>
          </cell>
          <cell r="AN214">
            <v>0</v>
          </cell>
        </row>
        <row r="215">
          <cell r="D215" t="str">
            <v>Chay Đi</v>
          </cell>
          <cell r="AL215">
            <v>0</v>
          </cell>
          <cell r="AM215">
            <v>0</v>
          </cell>
          <cell r="AN215">
            <v>0</v>
          </cell>
        </row>
        <row r="216">
          <cell r="D216" t="str">
            <v>Lăng B</v>
          </cell>
          <cell r="AJ216">
            <v>0</v>
          </cell>
          <cell r="AM216">
            <v>0</v>
          </cell>
          <cell r="AN216">
            <v>0</v>
          </cell>
        </row>
        <row r="217">
          <cell r="D217" t="str">
            <v>Tuc</v>
          </cell>
          <cell r="AJ217">
            <v>0</v>
          </cell>
          <cell r="AM217">
            <v>0</v>
          </cell>
          <cell r="AN217">
            <v>0</v>
          </cell>
        </row>
        <row r="218">
          <cell r="D218" t="str">
            <v>On</v>
          </cell>
          <cell r="AJ218">
            <v>0</v>
          </cell>
          <cell r="AM218">
            <v>0</v>
          </cell>
          <cell r="AN218">
            <v>0</v>
          </cell>
        </row>
        <row r="219">
          <cell r="E219">
            <v>0</v>
          </cell>
          <cell r="F219">
            <v>0</v>
          </cell>
          <cell r="G219">
            <v>0</v>
          </cell>
          <cell r="H219">
            <v>0</v>
          </cell>
          <cell r="I219">
            <v>0</v>
          </cell>
          <cell r="J219">
            <v>0</v>
          </cell>
          <cell r="K219">
            <v>0</v>
          </cell>
          <cell r="L219">
            <v>0</v>
          </cell>
          <cell r="M219">
            <v>0</v>
          </cell>
          <cell r="N219">
            <v>0</v>
          </cell>
          <cell r="O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v>
          </cell>
          <cell r="AI219">
            <v>0</v>
          </cell>
          <cell r="AJ219">
            <v>0</v>
          </cell>
          <cell r="AK219">
            <v>0</v>
          </cell>
          <cell r="AL219">
            <v>0</v>
          </cell>
          <cell r="AM219">
            <v>0</v>
          </cell>
          <cell r="AN219">
            <v>0</v>
          </cell>
        </row>
        <row r="220">
          <cell r="D220" t="str">
            <v>Sốt</v>
          </cell>
          <cell r="AJ220">
            <v>0</v>
          </cell>
          <cell r="AM220">
            <v>0</v>
          </cell>
          <cell r="AN220">
            <v>0</v>
          </cell>
        </row>
        <row r="221">
          <cell r="D221" t="str">
            <v>Thảo A Tiền</v>
          </cell>
          <cell r="AJ221">
            <v>0</v>
          </cell>
          <cell r="AM221">
            <v>0</v>
          </cell>
          <cell r="AN221">
            <v>0</v>
          </cell>
        </row>
        <row r="222">
          <cell r="D222" t="str">
            <v>Sít</v>
          </cell>
          <cell r="AJ222">
            <v>0</v>
          </cell>
          <cell r="AM222">
            <v>0</v>
          </cell>
          <cell r="AN222">
            <v>0</v>
          </cell>
        </row>
        <row r="223">
          <cell r="D223" t="str">
            <v>Nghiệp</v>
          </cell>
          <cell r="AJ223">
            <v>0</v>
          </cell>
          <cell r="AM223">
            <v>0</v>
          </cell>
          <cell r="AN223">
            <v>0</v>
          </cell>
        </row>
        <row r="224">
          <cell r="D224" t="str">
            <v>Bun Theo</v>
          </cell>
          <cell r="AJ224">
            <v>0</v>
          </cell>
          <cell r="AM224">
            <v>0</v>
          </cell>
          <cell r="AN224">
            <v>0</v>
          </cell>
        </row>
        <row r="225">
          <cell r="D225" t="str">
            <v>Núi</v>
          </cell>
          <cell r="AJ225">
            <v>0</v>
          </cell>
          <cell r="AM225">
            <v>0</v>
          </cell>
          <cell r="AN225">
            <v>0</v>
          </cell>
        </row>
        <row r="226">
          <cell r="D226" t="str">
            <v>Xa Mon</v>
          </cell>
          <cell r="AJ226">
            <v>0</v>
          </cell>
          <cell r="AM226">
            <v>0</v>
          </cell>
          <cell r="AN226">
            <v>0</v>
          </cell>
        </row>
        <row r="227">
          <cell r="D227" t="str">
            <v>Thảo Thúc</v>
          </cell>
          <cell r="AJ227">
            <v>0</v>
          </cell>
          <cell r="AM227">
            <v>0</v>
          </cell>
          <cell r="AN227">
            <v>0</v>
          </cell>
        </row>
        <row r="228">
          <cell r="D228" t="str">
            <v>Bo Loi</v>
          </cell>
          <cell r="AJ228">
            <v>0</v>
          </cell>
          <cell r="AM228">
            <v>0</v>
          </cell>
          <cell r="AN228">
            <v>0</v>
          </cell>
        </row>
        <row r="229">
          <cell r="D229" t="str">
            <v>Xoong</v>
          </cell>
          <cell r="AJ229">
            <v>0</v>
          </cell>
          <cell r="AM229">
            <v>0</v>
          </cell>
          <cell r="AN229">
            <v>0</v>
          </cell>
        </row>
        <row r="230">
          <cell r="D230" t="str">
            <v>Ta Văn</v>
          </cell>
          <cell r="AJ230">
            <v>0</v>
          </cell>
          <cell r="AM230">
            <v>0</v>
          </cell>
          <cell r="AN230">
            <v>0</v>
          </cell>
        </row>
        <row r="231">
          <cell r="D231" t="str">
            <v>Khăm Măn</v>
          </cell>
          <cell r="AJ231">
            <v>0</v>
          </cell>
          <cell r="AM231">
            <v>0</v>
          </cell>
          <cell r="AN231">
            <v>0</v>
          </cell>
        </row>
        <row r="232">
          <cell r="D232" t="str">
            <v>Vôn</v>
          </cell>
          <cell r="AJ232">
            <v>0</v>
          </cell>
          <cell r="AM232">
            <v>0</v>
          </cell>
          <cell r="AN232">
            <v>0</v>
          </cell>
        </row>
        <row r="233">
          <cell r="D233" t="str">
            <v>Khăm Thạ Von</v>
          </cell>
          <cell r="AJ233">
            <v>0</v>
          </cell>
          <cell r="AM233">
            <v>0</v>
          </cell>
          <cell r="AN233">
            <v>0</v>
          </cell>
        </row>
        <row r="234">
          <cell r="D234" t="str">
            <v>Minh</v>
          </cell>
          <cell r="AJ234">
            <v>0</v>
          </cell>
          <cell r="AM234">
            <v>0</v>
          </cell>
          <cell r="AN234">
            <v>0</v>
          </cell>
        </row>
        <row r="235">
          <cell r="D235" t="str">
            <v>Đan</v>
          </cell>
          <cell r="AJ235">
            <v>0</v>
          </cell>
          <cell r="AM235">
            <v>0</v>
          </cell>
          <cell r="AN235">
            <v>0</v>
          </cell>
        </row>
        <row r="236">
          <cell r="D236" t="str">
            <v>Nội</v>
          </cell>
          <cell r="AJ236">
            <v>0</v>
          </cell>
          <cell r="AM236">
            <v>0</v>
          </cell>
          <cell r="AN236">
            <v>0</v>
          </cell>
        </row>
        <row r="237">
          <cell r="D237" t="str">
            <v>Keo La</v>
          </cell>
          <cell r="AJ237">
            <v>0</v>
          </cell>
          <cell r="AM237">
            <v>0</v>
          </cell>
          <cell r="AN237">
            <v>0</v>
          </cell>
        </row>
        <row r="238">
          <cell r="D238" t="str">
            <v>Chăn Thi</v>
          </cell>
          <cell r="AJ238">
            <v>0</v>
          </cell>
          <cell r="AM238">
            <v>0</v>
          </cell>
          <cell r="AN238">
            <v>0</v>
          </cell>
        </row>
        <row r="239">
          <cell r="D239" t="str">
            <v>Đon</v>
          </cell>
          <cell r="AJ239">
            <v>0</v>
          </cell>
          <cell r="AM239">
            <v>0</v>
          </cell>
          <cell r="AN239">
            <v>0</v>
          </cell>
        </row>
        <row r="240">
          <cell r="D240" t="str">
            <v>Thảo Con Khăm</v>
          </cell>
          <cell r="AJ240">
            <v>0</v>
          </cell>
          <cell r="AM240">
            <v>0</v>
          </cell>
          <cell r="AN240">
            <v>0</v>
          </cell>
        </row>
        <row r="241">
          <cell r="D241" t="str">
            <v>Bun Ma Tu</v>
          </cell>
          <cell r="AJ241">
            <v>0</v>
          </cell>
          <cell r="AM241">
            <v>0</v>
          </cell>
          <cell r="AN241">
            <v>0</v>
          </cell>
        </row>
        <row r="242">
          <cell r="D242" t="str">
            <v>Nay (4)</v>
          </cell>
          <cell r="AJ242">
            <v>0</v>
          </cell>
          <cell r="AM242">
            <v>0</v>
          </cell>
          <cell r="AN242">
            <v>0</v>
          </cell>
        </row>
        <row r="243">
          <cell r="D243" t="str">
            <v>Ta Phúc</v>
          </cell>
          <cell r="AJ243">
            <v>0</v>
          </cell>
          <cell r="AM243">
            <v>0</v>
          </cell>
          <cell r="AN243">
            <v>0</v>
          </cell>
        </row>
        <row r="244">
          <cell r="D244" t="str">
            <v>Mơ</v>
          </cell>
          <cell r="AJ244">
            <v>0</v>
          </cell>
          <cell r="AM244">
            <v>0</v>
          </cell>
          <cell r="AN244">
            <v>0</v>
          </cell>
        </row>
        <row r="245">
          <cell r="D245" t="str">
            <v>Bun Ma (4)</v>
          </cell>
          <cell r="AJ245">
            <v>0</v>
          </cell>
          <cell r="AM245">
            <v>0</v>
          </cell>
          <cell r="AN245">
            <v>0</v>
          </cell>
        </row>
        <row r="246">
          <cell r="D246" t="str">
            <v>Đuông Ma La</v>
          </cell>
          <cell r="AJ246">
            <v>0</v>
          </cell>
          <cell r="AM246">
            <v>0</v>
          </cell>
          <cell r="AN246">
            <v>0</v>
          </cell>
        </row>
        <row r="247">
          <cell r="D247" t="str">
            <v>Lâm B</v>
          </cell>
          <cell r="AJ247">
            <v>0</v>
          </cell>
          <cell r="AM247">
            <v>0</v>
          </cell>
          <cell r="AN247">
            <v>0</v>
          </cell>
        </row>
        <row r="248">
          <cell r="D248" t="str">
            <v>Lâm A</v>
          </cell>
          <cell r="AJ248">
            <v>0</v>
          </cell>
          <cell r="AM248">
            <v>0</v>
          </cell>
          <cell r="AN248">
            <v>0</v>
          </cell>
        </row>
        <row r="249">
          <cell r="D249" t="str">
            <v>Bun Phong</v>
          </cell>
          <cell r="AJ249">
            <v>0</v>
          </cell>
          <cell r="AM249">
            <v>0</v>
          </cell>
          <cell r="AN249">
            <v>0</v>
          </cell>
        </row>
        <row r="250">
          <cell r="D250" t="str">
            <v>Keo (4)</v>
          </cell>
          <cell r="AJ250">
            <v>0</v>
          </cell>
          <cell r="AM250">
            <v>0</v>
          </cell>
          <cell r="AN250">
            <v>0</v>
          </cell>
        </row>
        <row r="251">
          <cell r="D251" t="str">
            <v>Van Ta</v>
          </cell>
          <cell r="AJ251">
            <v>0</v>
          </cell>
          <cell r="AM251">
            <v>0</v>
          </cell>
          <cell r="AN251">
            <v>0</v>
          </cell>
        </row>
        <row r="252">
          <cell r="D252" t="str">
            <v>Peng</v>
          </cell>
          <cell r="AJ252">
            <v>0</v>
          </cell>
          <cell r="AM252">
            <v>0</v>
          </cell>
          <cell r="AN252">
            <v>0</v>
          </cell>
        </row>
        <row r="253">
          <cell r="D253" t="str">
            <v>Coi</v>
          </cell>
          <cell r="AJ253">
            <v>0</v>
          </cell>
          <cell r="AM253">
            <v>0</v>
          </cell>
          <cell r="AN253">
            <v>0</v>
          </cell>
        </row>
        <row r="254">
          <cell r="D254" t="str">
            <v>Khăm Lã</v>
          </cell>
          <cell r="AJ254">
            <v>0</v>
          </cell>
          <cell r="AM254">
            <v>0</v>
          </cell>
          <cell r="AN254">
            <v>0</v>
          </cell>
        </row>
        <row r="255">
          <cell r="D255" t="str">
            <v>Boóc</v>
          </cell>
          <cell r="AJ255">
            <v>0</v>
          </cell>
          <cell r="AM255">
            <v>0</v>
          </cell>
          <cell r="AN255">
            <v>0</v>
          </cell>
        </row>
        <row r="256">
          <cell r="D256" t="str">
            <v>Bun Ta</v>
          </cell>
          <cell r="AJ256">
            <v>0</v>
          </cell>
          <cell r="AM256">
            <v>0</v>
          </cell>
          <cell r="AN256">
            <v>0</v>
          </cell>
        </row>
        <row r="257">
          <cell r="D257" t="str">
            <v>Túc</v>
          </cell>
          <cell r="AJ257">
            <v>0</v>
          </cell>
          <cell r="AM257">
            <v>0</v>
          </cell>
          <cell r="AN257">
            <v>0</v>
          </cell>
        </row>
        <row r="258">
          <cell r="D258" t="str">
            <v>Sái Khăm</v>
          </cell>
          <cell r="AJ258">
            <v>0</v>
          </cell>
          <cell r="AM258">
            <v>0</v>
          </cell>
          <cell r="AN258">
            <v>0</v>
          </cell>
        </row>
        <row r="259">
          <cell r="D259" t="str">
            <v>Xi Đa (4)</v>
          </cell>
          <cell r="AJ259">
            <v>0</v>
          </cell>
          <cell r="AM259">
            <v>0</v>
          </cell>
          <cell r="AN259">
            <v>0</v>
          </cell>
        </row>
        <row r="260">
          <cell r="D260" t="str">
            <v>Bon</v>
          </cell>
          <cell r="AJ260">
            <v>0</v>
          </cell>
          <cell r="AM260">
            <v>0</v>
          </cell>
          <cell r="AN260">
            <v>0</v>
          </cell>
        </row>
        <row r="261">
          <cell r="D261" t="str">
            <v>In</v>
          </cell>
          <cell r="AJ261">
            <v>0</v>
          </cell>
          <cell r="AM261">
            <v>0</v>
          </cell>
          <cell r="AN261">
            <v>0</v>
          </cell>
        </row>
        <row r="262">
          <cell r="D262" t="str">
            <v>Lai</v>
          </cell>
          <cell r="AJ262">
            <v>0</v>
          </cell>
          <cell r="AM262">
            <v>0</v>
          </cell>
          <cell r="AN262">
            <v>0</v>
          </cell>
        </row>
        <row r="263">
          <cell r="D263" t="str">
            <v>Sui</v>
          </cell>
          <cell r="AJ263">
            <v>0</v>
          </cell>
          <cell r="AM263">
            <v>0</v>
          </cell>
          <cell r="AN263">
            <v>0</v>
          </cell>
        </row>
        <row r="264">
          <cell r="D264" t="str">
            <v>Pong (4)</v>
          </cell>
          <cell r="AJ264">
            <v>0</v>
          </cell>
          <cell r="AM264">
            <v>0</v>
          </cell>
          <cell r="AN264">
            <v>0</v>
          </cell>
        </row>
        <row r="265">
          <cell r="D265" t="str">
            <v>Lắt</v>
          </cell>
          <cell r="AJ265">
            <v>0</v>
          </cell>
          <cell r="AM265">
            <v>0</v>
          </cell>
          <cell r="AN265">
            <v>0</v>
          </cell>
        </row>
        <row r="266">
          <cell r="D266" t="str">
            <v>Thái</v>
          </cell>
          <cell r="AJ266">
            <v>0</v>
          </cell>
          <cell r="AM266">
            <v>0</v>
          </cell>
          <cell r="AN266">
            <v>0</v>
          </cell>
        </row>
        <row r="267">
          <cell r="D267" t="str">
            <v>Chăn (4)</v>
          </cell>
          <cell r="AJ267">
            <v>0</v>
          </cell>
          <cell r="AM267">
            <v>0</v>
          </cell>
          <cell r="AN267">
            <v>0</v>
          </cell>
        </row>
        <row r="268">
          <cell r="D268" t="str">
            <v>Si</v>
          </cell>
          <cell r="AJ268">
            <v>0</v>
          </cell>
          <cell r="AM268">
            <v>0</v>
          </cell>
          <cell r="AN268">
            <v>0</v>
          </cell>
        </row>
        <row r="269">
          <cell r="D269" t="str">
            <v>Pheng Ta</v>
          </cell>
          <cell r="AJ269">
            <v>0</v>
          </cell>
          <cell r="AM269">
            <v>0</v>
          </cell>
          <cell r="AN269">
            <v>0</v>
          </cell>
        </row>
        <row r="270">
          <cell r="D270" t="str">
            <v>Sệ</v>
          </cell>
          <cell r="AJ270">
            <v>0</v>
          </cell>
          <cell r="AM270">
            <v>0</v>
          </cell>
          <cell r="AN270">
            <v>0</v>
          </cell>
        </row>
        <row r="271">
          <cell r="D271" t="str">
            <v>Bà</v>
          </cell>
          <cell r="AJ271">
            <v>0</v>
          </cell>
          <cell r="AM271">
            <v>0</v>
          </cell>
          <cell r="AN271">
            <v>0</v>
          </cell>
        </row>
        <row r="272">
          <cell r="D272" t="str">
            <v>Xay Du</v>
          </cell>
          <cell r="AJ272">
            <v>0</v>
          </cell>
          <cell r="AM272">
            <v>0</v>
          </cell>
          <cell r="AN272">
            <v>0</v>
          </cell>
        </row>
        <row r="273">
          <cell r="D273" t="str">
            <v>Lẹ</v>
          </cell>
          <cell r="AJ273">
            <v>0</v>
          </cell>
          <cell r="AM273">
            <v>0</v>
          </cell>
          <cell r="AN273">
            <v>0</v>
          </cell>
        </row>
        <row r="274">
          <cell r="D274" t="str">
            <v>Bà B</v>
          </cell>
          <cell r="AJ274">
            <v>0</v>
          </cell>
          <cell r="AM274">
            <v>0</v>
          </cell>
          <cell r="AN274">
            <v>0</v>
          </cell>
        </row>
        <row r="275">
          <cell r="D275" t="str">
            <v>Muôn</v>
          </cell>
          <cell r="AJ275">
            <v>0</v>
          </cell>
          <cell r="AM275">
            <v>0</v>
          </cell>
          <cell r="AN275">
            <v>0</v>
          </cell>
        </row>
        <row r="276">
          <cell r="D276" t="str">
            <v>Pha</v>
          </cell>
          <cell r="AJ276">
            <v>0</v>
          </cell>
          <cell r="AM276">
            <v>0</v>
          </cell>
          <cell r="AN276">
            <v>0</v>
          </cell>
        </row>
        <row r="277">
          <cell r="D277" t="str">
            <v>Nét (4)</v>
          </cell>
          <cell r="AJ277">
            <v>0</v>
          </cell>
          <cell r="AM277">
            <v>0</v>
          </cell>
          <cell r="AN277">
            <v>0</v>
          </cell>
        </row>
        <row r="278">
          <cell r="D278" t="str">
            <v>Sun</v>
          </cell>
          <cell r="AJ278">
            <v>0</v>
          </cell>
          <cell r="AM278">
            <v>0</v>
          </cell>
          <cell r="AN278">
            <v>0</v>
          </cell>
        </row>
        <row r="279">
          <cell r="D279" t="str">
            <v>Phon (4)</v>
          </cell>
          <cell r="AJ279">
            <v>0</v>
          </cell>
          <cell r="AM279">
            <v>0</v>
          </cell>
          <cell r="AN279">
            <v>0</v>
          </cell>
        </row>
        <row r="280">
          <cell r="D280" t="str">
            <v>Thên</v>
          </cell>
          <cell r="AJ280">
            <v>0</v>
          </cell>
          <cell r="AM280">
            <v>0</v>
          </cell>
          <cell r="AN280">
            <v>0</v>
          </cell>
        </row>
        <row r="281">
          <cell r="D281" t="str">
            <v>Na Linh</v>
          </cell>
          <cell r="AJ281">
            <v>0</v>
          </cell>
          <cell r="AM281">
            <v>0</v>
          </cell>
          <cell r="AN281">
            <v>0</v>
          </cell>
        </row>
        <row r="282">
          <cell r="D282" t="str">
            <v>Hải</v>
          </cell>
          <cell r="AJ282">
            <v>0</v>
          </cell>
          <cell r="AM282">
            <v>0</v>
          </cell>
          <cell r="AN282">
            <v>0</v>
          </cell>
        </row>
        <row r="283">
          <cell r="D283" t="str">
            <v>Bun Khăm</v>
          </cell>
          <cell r="AJ283">
            <v>0</v>
          </cell>
          <cell r="AM283">
            <v>0</v>
          </cell>
          <cell r="AN283">
            <v>0</v>
          </cell>
        </row>
        <row r="284">
          <cell r="D284" t="str">
            <v>Nàng Nang</v>
          </cell>
          <cell r="AJ284">
            <v>0</v>
          </cell>
          <cell r="AM284">
            <v>0</v>
          </cell>
          <cell r="AN284">
            <v>0</v>
          </cell>
        </row>
        <row r="285">
          <cell r="D285" t="str">
            <v>Kong Ta</v>
          </cell>
          <cell r="AJ285">
            <v>0</v>
          </cell>
          <cell r="AM285">
            <v>0</v>
          </cell>
          <cell r="AN285">
            <v>0</v>
          </cell>
        </row>
        <row r="286">
          <cell r="D286" t="str">
            <v>Ni Đa</v>
          </cell>
          <cell r="AJ286">
            <v>0</v>
          </cell>
          <cell r="AM286">
            <v>0</v>
          </cell>
          <cell r="AN286">
            <v>0</v>
          </cell>
        </row>
        <row r="287">
          <cell r="D287" t="str">
            <v>Ninh</v>
          </cell>
          <cell r="AJ287">
            <v>0</v>
          </cell>
          <cell r="AM287">
            <v>0</v>
          </cell>
          <cell r="AN287">
            <v>0</v>
          </cell>
        </row>
        <row r="288">
          <cell r="D288" t="str">
            <v>Hắc Xa Mi</v>
          </cell>
          <cell r="AJ288">
            <v>0</v>
          </cell>
          <cell r="AM288">
            <v>0</v>
          </cell>
          <cell r="AN288">
            <v>0</v>
          </cell>
        </row>
        <row r="289">
          <cell r="D289" t="str">
            <v>Mi (4)</v>
          </cell>
          <cell r="AJ289">
            <v>0</v>
          </cell>
          <cell r="AM289">
            <v>0</v>
          </cell>
          <cell r="AN289">
            <v>0</v>
          </cell>
        </row>
        <row r="290">
          <cell r="D290" t="str">
            <v>Phô Phi Xít</v>
          </cell>
          <cell r="AJ290">
            <v>0</v>
          </cell>
          <cell r="AM290">
            <v>0</v>
          </cell>
          <cell r="AN290">
            <v>0</v>
          </cell>
        </row>
        <row r="291">
          <cell r="D291" t="str">
            <v>Mom</v>
          </cell>
          <cell r="AJ291">
            <v>0</v>
          </cell>
          <cell r="AM291">
            <v>0</v>
          </cell>
          <cell r="AN291">
            <v>0</v>
          </cell>
        </row>
        <row r="292">
          <cell r="D292" t="str">
            <v>Ben</v>
          </cell>
          <cell r="AJ292">
            <v>0</v>
          </cell>
          <cell r="AM292">
            <v>0</v>
          </cell>
          <cell r="AN292">
            <v>0</v>
          </cell>
        </row>
        <row r="293">
          <cell r="D293" t="str">
            <v>A Cum (4)</v>
          </cell>
          <cell r="AJ293">
            <v>0</v>
          </cell>
          <cell r="AM293">
            <v>0</v>
          </cell>
          <cell r="AN293">
            <v>0</v>
          </cell>
        </row>
        <row r="294">
          <cell r="D294" t="str">
            <v>Thông Đeng</v>
          </cell>
          <cell r="AJ294">
            <v>0</v>
          </cell>
          <cell r="AM294">
            <v>0</v>
          </cell>
          <cell r="AN294">
            <v>0</v>
          </cell>
        </row>
        <row r="295">
          <cell r="D295" t="str">
            <v>Phu Vanh</v>
          </cell>
          <cell r="AJ295">
            <v>0</v>
          </cell>
          <cell r="AM295">
            <v>0</v>
          </cell>
          <cell r="AN295">
            <v>0</v>
          </cell>
        </row>
        <row r="296">
          <cell r="D296" t="str">
            <v>Ta</v>
          </cell>
          <cell r="AJ296">
            <v>0</v>
          </cell>
          <cell r="AM296">
            <v>0</v>
          </cell>
          <cell r="AN296">
            <v>0</v>
          </cell>
        </row>
        <row r="297">
          <cell r="D297" t="str">
            <v>Khôn (4)</v>
          </cell>
          <cell r="AJ297">
            <v>0</v>
          </cell>
          <cell r="AM297">
            <v>0</v>
          </cell>
          <cell r="AN297">
            <v>0</v>
          </cell>
        </row>
        <row r="298">
          <cell r="D298" t="str">
            <v>Thọ</v>
          </cell>
          <cell r="AJ298">
            <v>0</v>
          </cell>
          <cell r="AM298">
            <v>0</v>
          </cell>
          <cell r="AN298">
            <v>0</v>
          </cell>
        </row>
        <row r="299">
          <cell r="D299" t="str">
            <v>Ten (4)</v>
          </cell>
          <cell r="AJ299">
            <v>0</v>
          </cell>
          <cell r="AM299">
            <v>0</v>
          </cell>
          <cell r="AN299">
            <v>0</v>
          </cell>
        </row>
        <row r="300">
          <cell r="D300" t="str">
            <v>Văn (4)</v>
          </cell>
          <cell r="AJ300">
            <v>0</v>
          </cell>
          <cell r="AM300">
            <v>0</v>
          </cell>
          <cell r="AN300">
            <v>0</v>
          </cell>
        </row>
        <row r="301">
          <cell r="D301" t="str">
            <v>Khăm Lổ</v>
          </cell>
          <cell r="AJ301">
            <v>0</v>
          </cell>
          <cell r="AM301">
            <v>0</v>
          </cell>
          <cell r="AN301">
            <v>0</v>
          </cell>
        </row>
        <row r="302">
          <cell r="D302" t="str">
            <v>Phong</v>
          </cell>
          <cell r="AJ302">
            <v>0</v>
          </cell>
          <cell r="AM302">
            <v>0</v>
          </cell>
          <cell r="AN302">
            <v>0</v>
          </cell>
        </row>
        <row r="303">
          <cell r="D303" t="str">
            <v>Phương</v>
          </cell>
          <cell r="AJ303">
            <v>0</v>
          </cell>
          <cell r="AM303">
            <v>0</v>
          </cell>
          <cell r="AN303">
            <v>0</v>
          </cell>
        </row>
        <row r="304">
          <cell r="AJ304">
            <v>0</v>
          </cell>
          <cell r="AM304">
            <v>0</v>
          </cell>
          <cell r="AN304">
            <v>0</v>
          </cell>
        </row>
        <row r="305">
          <cell r="AJ305">
            <v>0</v>
          </cell>
          <cell r="AM305">
            <v>0</v>
          </cell>
          <cell r="AN305">
            <v>0</v>
          </cell>
        </row>
        <row r="306">
          <cell r="E306">
            <v>0</v>
          </cell>
          <cell r="F306">
            <v>0</v>
          </cell>
          <cell r="G306">
            <v>0</v>
          </cell>
          <cell r="H306">
            <v>0</v>
          </cell>
          <cell r="I306">
            <v>0</v>
          </cell>
          <cell r="J306">
            <v>0</v>
          </cell>
          <cell r="K306">
            <v>0</v>
          </cell>
          <cell r="L306">
            <v>0</v>
          </cell>
          <cell r="M306">
            <v>0</v>
          </cell>
          <cell r="N306">
            <v>0</v>
          </cell>
          <cell r="O306">
            <v>0</v>
          </cell>
          <cell r="P306">
            <v>0</v>
          </cell>
          <cell r="Q306">
            <v>0</v>
          </cell>
          <cell r="R306">
            <v>0</v>
          </cell>
          <cell r="S306">
            <v>0</v>
          </cell>
          <cell r="T306">
            <v>0</v>
          </cell>
          <cell r="U306">
            <v>0</v>
          </cell>
          <cell r="V306">
            <v>0</v>
          </cell>
          <cell r="W306">
            <v>0</v>
          </cell>
          <cell r="X306">
            <v>0</v>
          </cell>
          <cell r="Y306">
            <v>0</v>
          </cell>
          <cell r="Z306">
            <v>0</v>
          </cell>
          <cell r="AA306">
            <v>0</v>
          </cell>
          <cell r="AB306">
            <v>0</v>
          </cell>
          <cell r="AC306">
            <v>0</v>
          </cell>
          <cell r="AD306">
            <v>0</v>
          </cell>
          <cell r="AE306">
            <v>0</v>
          </cell>
          <cell r="AF306">
            <v>0</v>
          </cell>
          <cell r="AG306">
            <v>0</v>
          </cell>
          <cell r="AH306">
            <v>0</v>
          </cell>
          <cell r="AI306">
            <v>0</v>
          </cell>
          <cell r="AJ306">
            <v>0</v>
          </cell>
          <cell r="AK306">
            <v>0</v>
          </cell>
          <cell r="AL306">
            <v>0</v>
          </cell>
          <cell r="AM306">
            <v>0</v>
          </cell>
          <cell r="AN306">
            <v>0</v>
          </cell>
        </row>
        <row r="307">
          <cell r="D307" t="str">
            <v>Nàng Mon</v>
          </cell>
          <cell r="AJ307">
            <v>0</v>
          </cell>
          <cell r="AM307">
            <v>0</v>
          </cell>
          <cell r="AN307">
            <v>0</v>
          </cell>
        </row>
        <row r="308">
          <cell r="D308" t="str">
            <v>Bun</v>
          </cell>
          <cell r="AJ308">
            <v>0</v>
          </cell>
          <cell r="AM308">
            <v>0</v>
          </cell>
          <cell r="AN308">
            <v>0</v>
          </cell>
        </row>
        <row r="309">
          <cell r="D309" t="str">
            <v>Xôm Bách</v>
          </cell>
          <cell r="AJ309">
            <v>0</v>
          </cell>
          <cell r="AM309">
            <v>0</v>
          </cell>
          <cell r="AN309">
            <v>0</v>
          </cell>
        </row>
        <row r="310">
          <cell r="D310" t="str">
            <v>Thảo Tịa</v>
          </cell>
          <cell r="AJ310">
            <v>0</v>
          </cell>
          <cell r="AM310">
            <v>0</v>
          </cell>
          <cell r="AN310">
            <v>0</v>
          </cell>
        </row>
        <row r="311">
          <cell r="D311" t="str">
            <v>Hám Lae</v>
          </cell>
          <cell r="AJ311">
            <v>0</v>
          </cell>
          <cell r="AM311">
            <v>0</v>
          </cell>
          <cell r="AN311">
            <v>0</v>
          </cell>
        </row>
        <row r="312">
          <cell r="D312" t="str">
            <v>Lan (5)</v>
          </cell>
          <cell r="AJ312">
            <v>0</v>
          </cell>
          <cell r="AM312">
            <v>0</v>
          </cell>
          <cell r="AN312">
            <v>0</v>
          </cell>
        </row>
        <row r="313">
          <cell r="D313" t="str">
            <v>Năm</v>
          </cell>
          <cell r="AJ313">
            <v>0</v>
          </cell>
          <cell r="AM313">
            <v>0</v>
          </cell>
          <cell r="AN313">
            <v>0</v>
          </cell>
        </row>
        <row r="314">
          <cell r="D314" t="str">
            <v>Thảo Sum</v>
          </cell>
          <cell r="AJ314">
            <v>0</v>
          </cell>
          <cell r="AM314">
            <v>0</v>
          </cell>
          <cell r="AN314">
            <v>0</v>
          </cell>
        </row>
        <row r="315">
          <cell r="D315" t="str">
            <v>A Sung</v>
          </cell>
          <cell r="AJ315">
            <v>0</v>
          </cell>
          <cell r="AM315">
            <v>0</v>
          </cell>
          <cell r="AN315">
            <v>0</v>
          </cell>
        </row>
        <row r="316">
          <cell r="D316" t="str">
            <v>Phết Sa Mon</v>
          </cell>
          <cell r="AJ316">
            <v>0</v>
          </cell>
          <cell r="AM316">
            <v>0</v>
          </cell>
          <cell r="AN316">
            <v>0</v>
          </cell>
        </row>
        <row r="317">
          <cell r="D317" t="str">
            <v>Nàng Von</v>
          </cell>
          <cell r="AJ317">
            <v>0</v>
          </cell>
          <cell r="AM317">
            <v>0</v>
          </cell>
          <cell r="AN317">
            <v>0</v>
          </cell>
        </row>
        <row r="318">
          <cell r="D318" t="str">
            <v>T. Chòi</v>
          </cell>
          <cell r="AJ318">
            <v>0</v>
          </cell>
          <cell r="AM318">
            <v>0</v>
          </cell>
          <cell r="AN318">
            <v>0</v>
          </cell>
        </row>
        <row r="319">
          <cell r="D319" t="str">
            <v>Văn (5)</v>
          </cell>
          <cell r="AJ319">
            <v>0</v>
          </cell>
          <cell r="AM319">
            <v>0</v>
          </cell>
          <cell r="AN319">
            <v>0</v>
          </cell>
        </row>
        <row r="320">
          <cell r="D320" t="str">
            <v>Thảo Khon</v>
          </cell>
          <cell r="AJ320">
            <v>0</v>
          </cell>
          <cell r="AM320">
            <v>0</v>
          </cell>
          <cell r="AN320">
            <v>0</v>
          </cell>
        </row>
        <row r="321">
          <cell r="D321" t="str">
            <v>A Tô</v>
          </cell>
          <cell r="AJ321">
            <v>0</v>
          </cell>
          <cell r="AM321">
            <v>0</v>
          </cell>
          <cell r="AN321">
            <v>0</v>
          </cell>
        </row>
        <row r="322">
          <cell r="D322" t="str">
            <v>Đoan</v>
          </cell>
          <cell r="AJ322">
            <v>0</v>
          </cell>
          <cell r="AM322">
            <v>0</v>
          </cell>
          <cell r="AN322">
            <v>0</v>
          </cell>
        </row>
        <row r="323">
          <cell r="D323" t="str">
            <v>Bun No</v>
          </cell>
          <cell r="AJ323">
            <v>0</v>
          </cell>
          <cell r="AM323">
            <v>0</v>
          </cell>
          <cell r="AN323">
            <v>0</v>
          </cell>
        </row>
        <row r="324">
          <cell r="D324" t="str">
            <v>Nét (5)</v>
          </cell>
          <cell r="AJ324">
            <v>0</v>
          </cell>
          <cell r="AM324">
            <v>0</v>
          </cell>
          <cell r="AN324">
            <v>0</v>
          </cell>
        </row>
        <row r="325">
          <cell r="D325" t="str">
            <v>Sen</v>
          </cell>
          <cell r="AJ325">
            <v>0</v>
          </cell>
          <cell r="AM325">
            <v>0</v>
          </cell>
          <cell r="AN325">
            <v>0</v>
          </cell>
        </row>
        <row r="326">
          <cell r="D326" t="str">
            <v>Thảo Núc</v>
          </cell>
          <cell r="AJ326">
            <v>0</v>
          </cell>
          <cell r="AM326">
            <v>0</v>
          </cell>
          <cell r="AN326">
            <v>0</v>
          </cell>
        </row>
        <row r="327">
          <cell r="D327" t="str">
            <v>A Đưng</v>
          </cell>
          <cell r="AJ327">
            <v>0</v>
          </cell>
          <cell r="AM327">
            <v>0</v>
          </cell>
          <cell r="AN327">
            <v>0</v>
          </cell>
        </row>
        <row r="328">
          <cell r="D328" t="str">
            <v>Nàng Nọi (5)</v>
          </cell>
          <cell r="AJ328">
            <v>0</v>
          </cell>
          <cell r="AM328">
            <v>0</v>
          </cell>
          <cell r="AN328">
            <v>0</v>
          </cell>
        </row>
        <row r="329">
          <cell r="D329" t="str">
            <v>Lúp</v>
          </cell>
          <cell r="AJ329">
            <v>0</v>
          </cell>
          <cell r="AM329">
            <v>0</v>
          </cell>
          <cell r="AN329">
            <v>0</v>
          </cell>
        </row>
        <row r="330">
          <cell r="D330" t="str">
            <v>Xai (5)</v>
          </cell>
          <cell r="AJ330">
            <v>0</v>
          </cell>
          <cell r="AM330">
            <v>0</v>
          </cell>
          <cell r="AN330">
            <v>0</v>
          </cell>
        </row>
        <row r="331">
          <cell r="D331" t="str">
            <v>A Bun Noi</v>
          </cell>
          <cell r="AJ331">
            <v>0</v>
          </cell>
          <cell r="AM331">
            <v>0</v>
          </cell>
          <cell r="AN331">
            <v>0</v>
          </cell>
        </row>
        <row r="332">
          <cell r="D332" t="str">
            <v>E (5)</v>
          </cell>
          <cell r="AJ332">
            <v>0</v>
          </cell>
          <cell r="AM332">
            <v>0</v>
          </cell>
          <cell r="AN332">
            <v>0</v>
          </cell>
        </row>
        <row r="333">
          <cell r="D333" t="str">
            <v>Bun Mi</v>
          </cell>
          <cell r="AJ333">
            <v>0</v>
          </cell>
          <cell r="AM333">
            <v>0</v>
          </cell>
          <cell r="AN333">
            <v>0</v>
          </cell>
        </row>
        <row r="334">
          <cell r="D334" t="str">
            <v>Thảo Văn</v>
          </cell>
          <cell r="AJ334">
            <v>0</v>
          </cell>
          <cell r="AM334">
            <v>0</v>
          </cell>
          <cell r="AN334">
            <v>0</v>
          </cell>
        </row>
        <row r="335">
          <cell r="D335" t="str">
            <v>Nàng Ngân</v>
          </cell>
          <cell r="AJ335">
            <v>0</v>
          </cell>
          <cell r="AM335">
            <v>0</v>
          </cell>
          <cell r="AN335">
            <v>0</v>
          </cell>
        </row>
        <row r="336">
          <cell r="D336" t="str">
            <v>Nàng Pha</v>
          </cell>
          <cell r="AJ336">
            <v>0</v>
          </cell>
          <cell r="AM336">
            <v>0</v>
          </cell>
          <cell r="AN336">
            <v>0</v>
          </cell>
        </row>
        <row r="337">
          <cell r="D337" t="str">
            <v>Thảo Ê</v>
          </cell>
          <cell r="AJ337">
            <v>0</v>
          </cell>
          <cell r="AM337">
            <v>0</v>
          </cell>
          <cell r="AN337">
            <v>0</v>
          </cell>
        </row>
        <row r="338">
          <cell r="D338" t="str">
            <v>Nàng Ăm</v>
          </cell>
          <cell r="AJ338">
            <v>0</v>
          </cell>
          <cell r="AM338">
            <v>0</v>
          </cell>
          <cell r="AN338">
            <v>0</v>
          </cell>
        </row>
        <row r="339">
          <cell r="D339" t="str">
            <v>Thảo Lợt</v>
          </cell>
          <cell r="AJ339">
            <v>0</v>
          </cell>
          <cell r="AM339">
            <v>0</v>
          </cell>
          <cell r="AN339">
            <v>0</v>
          </cell>
        </row>
        <row r="340">
          <cell r="D340" t="str">
            <v>ViSay</v>
          </cell>
          <cell r="AJ340">
            <v>0</v>
          </cell>
          <cell r="AM340">
            <v>0</v>
          </cell>
          <cell r="AN340">
            <v>0</v>
          </cell>
        </row>
        <row r="341">
          <cell r="D341" t="str">
            <v>Thảo Phơn</v>
          </cell>
          <cell r="AJ341">
            <v>0</v>
          </cell>
          <cell r="AM341">
            <v>0</v>
          </cell>
          <cell r="AN341">
            <v>0</v>
          </cell>
        </row>
        <row r="342">
          <cell r="D342" t="str">
            <v>Nàng Oi</v>
          </cell>
          <cell r="AJ342">
            <v>0</v>
          </cell>
          <cell r="AM342">
            <v>0</v>
          </cell>
          <cell r="AN342">
            <v>0</v>
          </cell>
        </row>
        <row r="343">
          <cell r="D343" t="str">
            <v>Nàng Ly</v>
          </cell>
          <cell r="AJ343">
            <v>0</v>
          </cell>
          <cell r="AM343">
            <v>0</v>
          </cell>
          <cell r="AN343">
            <v>0</v>
          </cell>
        </row>
        <row r="344">
          <cell r="D344" t="str">
            <v>Thảo Ú</v>
          </cell>
          <cell r="AJ344">
            <v>0</v>
          </cell>
          <cell r="AM344">
            <v>0</v>
          </cell>
          <cell r="AN344">
            <v>0</v>
          </cell>
        </row>
        <row r="345">
          <cell r="D345" t="str">
            <v>Bun Ùm</v>
          </cell>
          <cell r="AJ345">
            <v>0</v>
          </cell>
          <cell r="AM345">
            <v>0</v>
          </cell>
          <cell r="AN345">
            <v>0</v>
          </cell>
        </row>
        <row r="346">
          <cell r="D346" t="str">
            <v>Bun Ma (5)</v>
          </cell>
          <cell r="AJ346">
            <v>0</v>
          </cell>
          <cell r="AM346">
            <v>0</v>
          </cell>
          <cell r="AN346">
            <v>0</v>
          </cell>
        </row>
        <row r="347">
          <cell r="D347" t="str">
            <v>Keo (5)</v>
          </cell>
          <cell r="AJ347">
            <v>0</v>
          </cell>
          <cell r="AM347">
            <v>0</v>
          </cell>
          <cell r="AN347">
            <v>0</v>
          </cell>
        </row>
        <row r="348">
          <cell r="D348" t="str">
            <v>Khám Tan</v>
          </cell>
          <cell r="AJ348">
            <v>0</v>
          </cell>
          <cell r="AM348">
            <v>0</v>
          </cell>
          <cell r="AN348">
            <v>0</v>
          </cell>
        </row>
        <row r="349">
          <cell r="D349" t="str">
            <v>Nàng Súc</v>
          </cell>
          <cell r="AJ349">
            <v>0</v>
          </cell>
          <cell r="AM349">
            <v>0</v>
          </cell>
          <cell r="AN349">
            <v>0</v>
          </cell>
        </row>
        <row r="350">
          <cell r="D350" t="str">
            <v>Khắn Thong</v>
          </cell>
          <cell r="AJ350">
            <v>0</v>
          </cell>
          <cell r="AM350">
            <v>0</v>
          </cell>
          <cell r="AN350">
            <v>0</v>
          </cell>
        </row>
        <row r="351">
          <cell r="D351" t="str">
            <v>Keo Đăm</v>
          </cell>
          <cell r="AJ351">
            <v>0</v>
          </cell>
          <cell r="AM351">
            <v>0</v>
          </cell>
          <cell r="AN351">
            <v>0</v>
          </cell>
        </row>
        <row r="352">
          <cell r="D352" t="str">
            <v>Ka Luân</v>
          </cell>
          <cell r="AJ352">
            <v>0</v>
          </cell>
          <cell r="AM352">
            <v>0</v>
          </cell>
          <cell r="AN352">
            <v>0</v>
          </cell>
        </row>
        <row r="353">
          <cell r="D353" t="str">
            <v>Mừn</v>
          </cell>
          <cell r="AJ353">
            <v>0</v>
          </cell>
          <cell r="AM353">
            <v>0</v>
          </cell>
          <cell r="AN353">
            <v>0</v>
          </cell>
        </row>
        <row r="354">
          <cell r="D354" t="str">
            <v>N. Lâm</v>
          </cell>
          <cell r="AJ354">
            <v>0</v>
          </cell>
          <cell r="AM354">
            <v>0</v>
          </cell>
          <cell r="AN354">
            <v>0</v>
          </cell>
        </row>
        <row r="355">
          <cell r="D355" t="str">
            <v>T. Kợt</v>
          </cell>
          <cell r="AJ355">
            <v>0</v>
          </cell>
          <cell r="AM355">
            <v>0</v>
          </cell>
          <cell r="AN355">
            <v>0</v>
          </cell>
        </row>
        <row r="356">
          <cell r="D356" t="str">
            <v>Sôm Sa Núc</v>
          </cell>
          <cell r="AJ356">
            <v>0</v>
          </cell>
          <cell r="AM356">
            <v>0</v>
          </cell>
          <cell r="AN356">
            <v>0</v>
          </cell>
        </row>
        <row r="357">
          <cell r="D357" t="str">
            <v>Kay Thong</v>
          </cell>
          <cell r="AJ357">
            <v>0</v>
          </cell>
          <cell r="AM357">
            <v>0</v>
          </cell>
          <cell r="AN357">
            <v>0</v>
          </cell>
        </row>
        <row r="358">
          <cell r="D358" t="str">
            <v>A Vun</v>
          </cell>
          <cell r="AJ358">
            <v>0</v>
          </cell>
          <cell r="AM358">
            <v>0</v>
          </cell>
          <cell r="AN358">
            <v>0</v>
          </cell>
        </row>
        <row r="359">
          <cell r="D359" t="str">
            <v>T. Son</v>
          </cell>
          <cell r="AJ359">
            <v>0</v>
          </cell>
          <cell r="AM359">
            <v>0</v>
          </cell>
          <cell r="AN359">
            <v>0</v>
          </cell>
        </row>
        <row r="360">
          <cell r="D360" t="str">
            <v>Sắc</v>
          </cell>
          <cell r="AJ360">
            <v>0</v>
          </cell>
          <cell r="AM360">
            <v>0</v>
          </cell>
          <cell r="AN360">
            <v>0</v>
          </cell>
        </row>
        <row r="361">
          <cell r="D361" t="str">
            <v>Thảo Bơt</v>
          </cell>
          <cell r="AJ361">
            <v>0</v>
          </cell>
          <cell r="AM361">
            <v>0</v>
          </cell>
          <cell r="AN361">
            <v>0</v>
          </cell>
        </row>
        <row r="362">
          <cell r="D362" t="str">
            <v>Say (5)</v>
          </cell>
          <cell r="AJ362">
            <v>0</v>
          </cell>
          <cell r="AM362">
            <v>0</v>
          </cell>
          <cell r="AN362">
            <v>0</v>
          </cell>
        </row>
        <row r="363">
          <cell r="D363" t="str">
            <v>Đăm (5)</v>
          </cell>
          <cell r="AJ363">
            <v>0</v>
          </cell>
          <cell r="AM363">
            <v>0</v>
          </cell>
          <cell r="AN363">
            <v>0</v>
          </cell>
        </row>
        <row r="364">
          <cell r="D364" t="str">
            <v>Viêng</v>
          </cell>
          <cell r="AJ364">
            <v>0</v>
          </cell>
          <cell r="AM364">
            <v>0</v>
          </cell>
          <cell r="AN364">
            <v>0</v>
          </cell>
        </row>
        <row r="365">
          <cell r="D365" t="str">
            <v>Săn</v>
          </cell>
          <cell r="AJ365">
            <v>0</v>
          </cell>
          <cell r="AM365">
            <v>0</v>
          </cell>
          <cell r="AN365">
            <v>0</v>
          </cell>
        </row>
        <row r="366">
          <cell r="D366" t="str">
            <v>Nàng Loi</v>
          </cell>
          <cell r="AJ366">
            <v>0</v>
          </cell>
          <cell r="AM366">
            <v>0</v>
          </cell>
          <cell r="AN366">
            <v>0</v>
          </cell>
        </row>
        <row r="367">
          <cell r="D367" t="str">
            <v>A Săn</v>
          </cell>
          <cell r="AJ367">
            <v>0</v>
          </cell>
          <cell r="AM367">
            <v>0</v>
          </cell>
          <cell r="AN367">
            <v>0</v>
          </cell>
        </row>
        <row r="368">
          <cell r="D368" t="str">
            <v>Sa Máy</v>
          </cell>
          <cell r="AJ368">
            <v>0</v>
          </cell>
          <cell r="AM368">
            <v>0</v>
          </cell>
          <cell r="AN368">
            <v>0</v>
          </cell>
        </row>
        <row r="369">
          <cell r="D369" t="str">
            <v>Khăm Bay (5)</v>
          </cell>
          <cell r="AJ369">
            <v>0</v>
          </cell>
          <cell r="AM369">
            <v>0</v>
          </cell>
          <cell r="AN369">
            <v>0</v>
          </cell>
        </row>
        <row r="370">
          <cell r="D370" t="str">
            <v>Chôn</v>
          </cell>
          <cell r="AJ370">
            <v>0</v>
          </cell>
          <cell r="AM370">
            <v>0</v>
          </cell>
          <cell r="AN370">
            <v>0</v>
          </cell>
        </row>
        <row r="371">
          <cell r="D371" t="str">
            <v>Lâm Ngân</v>
          </cell>
          <cell r="AJ371">
            <v>0</v>
          </cell>
          <cell r="AM371">
            <v>0</v>
          </cell>
          <cell r="AN371">
            <v>0</v>
          </cell>
        </row>
        <row r="372">
          <cell r="D372" t="str">
            <v>A Nha</v>
          </cell>
          <cell r="AJ372">
            <v>0</v>
          </cell>
          <cell r="AM372">
            <v>0</v>
          </cell>
          <cell r="AN372">
            <v>0</v>
          </cell>
        </row>
        <row r="373">
          <cell r="D373" t="str">
            <v>Tảo Pheo</v>
          </cell>
          <cell r="AJ373">
            <v>0</v>
          </cell>
          <cell r="AM373">
            <v>0</v>
          </cell>
          <cell r="AN373">
            <v>0</v>
          </cell>
        </row>
        <row r="374">
          <cell r="D374" t="str">
            <v>P. Mong</v>
          </cell>
          <cell r="AJ374">
            <v>0</v>
          </cell>
          <cell r="AM374">
            <v>0</v>
          </cell>
          <cell r="AN374">
            <v>0</v>
          </cell>
        </row>
        <row r="375">
          <cell r="D375" t="str">
            <v>A Chon</v>
          </cell>
          <cell r="AJ375">
            <v>0</v>
          </cell>
          <cell r="AM375">
            <v>0</v>
          </cell>
          <cell r="AN375">
            <v>0</v>
          </cell>
        </row>
        <row r="376">
          <cell r="D376" t="str">
            <v>Thảo Khon B</v>
          </cell>
          <cell r="AJ376">
            <v>0</v>
          </cell>
          <cell r="AM376">
            <v>0</v>
          </cell>
          <cell r="AN376">
            <v>0</v>
          </cell>
        </row>
        <row r="377">
          <cell r="D377" t="str">
            <v>Nàng Chăn</v>
          </cell>
          <cell r="AJ377">
            <v>0</v>
          </cell>
          <cell r="AM377">
            <v>0</v>
          </cell>
          <cell r="AN377">
            <v>0</v>
          </cell>
        </row>
        <row r="378">
          <cell r="D378" t="str">
            <v>Thảo Len</v>
          </cell>
          <cell r="AJ378">
            <v>0</v>
          </cell>
          <cell r="AM378">
            <v>0</v>
          </cell>
          <cell r="AN378">
            <v>0</v>
          </cell>
        </row>
        <row r="379">
          <cell r="AJ379">
            <v>0</v>
          </cell>
          <cell r="AM379">
            <v>0</v>
          </cell>
          <cell r="AN379">
            <v>0</v>
          </cell>
        </row>
        <row r="380">
          <cell r="E380">
            <v>0</v>
          </cell>
          <cell r="F380">
            <v>0</v>
          </cell>
          <cell r="G380">
            <v>0</v>
          </cell>
          <cell r="H380">
            <v>0</v>
          </cell>
          <cell r="I380">
            <v>0</v>
          </cell>
          <cell r="J380">
            <v>0</v>
          </cell>
          <cell r="K380">
            <v>0</v>
          </cell>
          <cell r="L380">
            <v>0</v>
          </cell>
          <cell r="M380">
            <v>0</v>
          </cell>
          <cell r="N380">
            <v>0</v>
          </cell>
          <cell r="O380">
            <v>0</v>
          </cell>
          <cell r="P380">
            <v>0</v>
          </cell>
          <cell r="Q380">
            <v>0</v>
          </cell>
          <cell r="R380">
            <v>0</v>
          </cell>
          <cell r="S380">
            <v>0</v>
          </cell>
          <cell r="T380">
            <v>0</v>
          </cell>
          <cell r="U380">
            <v>0</v>
          </cell>
          <cell r="V380">
            <v>0</v>
          </cell>
          <cell r="W380">
            <v>0</v>
          </cell>
          <cell r="X380">
            <v>0</v>
          </cell>
          <cell r="Y380">
            <v>0</v>
          </cell>
          <cell r="Z380">
            <v>0</v>
          </cell>
          <cell r="AA380">
            <v>0</v>
          </cell>
          <cell r="AB380">
            <v>0</v>
          </cell>
          <cell r="AC380">
            <v>0</v>
          </cell>
          <cell r="AD380">
            <v>0</v>
          </cell>
          <cell r="AE380">
            <v>0</v>
          </cell>
          <cell r="AF380">
            <v>0</v>
          </cell>
          <cell r="AG380">
            <v>0</v>
          </cell>
          <cell r="AH380">
            <v>0</v>
          </cell>
          <cell r="AI380">
            <v>0</v>
          </cell>
          <cell r="AJ380">
            <v>0</v>
          </cell>
          <cell r="AK380">
            <v>0</v>
          </cell>
          <cell r="AL380">
            <v>0</v>
          </cell>
          <cell r="AM380">
            <v>0</v>
          </cell>
          <cell r="AN380">
            <v>0</v>
          </cell>
        </row>
        <row r="381">
          <cell r="D381" t="str">
            <v>A Liên</v>
          </cell>
          <cell r="AJ381">
            <v>0</v>
          </cell>
          <cell r="AM381">
            <v>0</v>
          </cell>
          <cell r="AN381">
            <v>0</v>
          </cell>
        </row>
        <row r="382">
          <cell r="D382" t="str">
            <v>Phu Ngân</v>
          </cell>
          <cell r="AJ382">
            <v>0</v>
          </cell>
          <cell r="AM382">
            <v>0</v>
          </cell>
          <cell r="AN382">
            <v>0</v>
          </cell>
        </row>
        <row r="383">
          <cell r="D383" t="str">
            <v>Đăm</v>
          </cell>
          <cell r="AJ383">
            <v>0</v>
          </cell>
          <cell r="AM383">
            <v>0</v>
          </cell>
          <cell r="AN383">
            <v>0</v>
          </cell>
        </row>
        <row r="384">
          <cell r="D384" t="str">
            <v>La</v>
          </cell>
          <cell r="AJ384">
            <v>0</v>
          </cell>
          <cell r="AM384">
            <v>0</v>
          </cell>
          <cell r="AN384">
            <v>0</v>
          </cell>
        </row>
        <row r="385">
          <cell r="D385" t="str">
            <v>A Lua</v>
          </cell>
          <cell r="AJ385">
            <v>0</v>
          </cell>
          <cell r="AM385">
            <v>0</v>
          </cell>
          <cell r="AN385">
            <v>0</v>
          </cell>
        </row>
        <row r="386">
          <cell r="D386" t="str">
            <v>Múc</v>
          </cell>
          <cell r="AJ386">
            <v>0</v>
          </cell>
          <cell r="AM386">
            <v>0</v>
          </cell>
          <cell r="AN386">
            <v>0</v>
          </cell>
        </row>
        <row r="387">
          <cell r="D387" t="str">
            <v>Tia (6)</v>
          </cell>
          <cell r="AJ387">
            <v>0</v>
          </cell>
          <cell r="AM387">
            <v>0</v>
          </cell>
          <cell r="AN387">
            <v>0</v>
          </cell>
        </row>
        <row r="388">
          <cell r="D388" t="str">
            <v>Đa</v>
          </cell>
          <cell r="AJ388">
            <v>0</v>
          </cell>
          <cell r="AM388">
            <v>0</v>
          </cell>
          <cell r="AN388">
            <v>0</v>
          </cell>
        </row>
        <row r="389">
          <cell r="D389" t="str">
            <v>Lăm Say</v>
          </cell>
          <cell r="AJ389">
            <v>0</v>
          </cell>
          <cell r="AM389">
            <v>0</v>
          </cell>
          <cell r="AN389">
            <v>0</v>
          </cell>
        </row>
        <row r="390">
          <cell r="D390" t="str">
            <v>Nga</v>
          </cell>
          <cell r="AJ390">
            <v>0</v>
          </cell>
          <cell r="AM390">
            <v>0</v>
          </cell>
          <cell r="AN390">
            <v>0</v>
          </cell>
        </row>
        <row r="391">
          <cell r="D391" t="str">
            <v>Pong (6)</v>
          </cell>
          <cell r="AJ391">
            <v>0</v>
          </cell>
          <cell r="AM391">
            <v>0</v>
          </cell>
          <cell r="AN391">
            <v>0</v>
          </cell>
        </row>
        <row r="392">
          <cell r="D392" t="str">
            <v>Típ</v>
          </cell>
          <cell r="AJ392">
            <v>0</v>
          </cell>
          <cell r="AM392">
            <v>0</v>
          </cell>
          <cell r="AN392">
            <v>0</v>
          </cell>
        </row>
        <row r="393">
          <cell r="D393" t="str">
            <v>ÔĐay</v>
          </cell>
          <cell r="AJ393">
            <v>0</v>
          </cell>
          <cell r="AM393">
            <v>0</v>
          </cell>
          <cell r="AN393">
            <v>0</v>
          </cell>
        </row>
        <row r="394">
          <cell r="D394" t="str">
            <v>Nhầy</v>
          </cell>
          <cell r="AJ394">
            <v>0</v>
          </cell>
          <cell r="AM394">
            <v>0</v>
          </cell>
          <cell r="AN394">
            <v>0</v>
          </cell>
        </row>
        <row r="395">
          <cell r="D395" t="str">
            <v>Phôn</v>
          </cell>
          <cell r="AJ395">
            <v>0</v>
          </cell>
          <cell r="AM395">
            <v>0</v>
          </cell>
          <cell r="AN395">
            <v>0</v>
          </cell>
        </row>
        <row r="396">
          <cell r="D396" t="str">
            <v>Xi Đon</v>
          </cell>
          <cell r="AJ396">
            <v>0</v>
          </cell>
          <cell r="AM396">
            <v>0</v>
          </cell>
          <cell r="AN396">
            <v>0</v>
          </cell>
        </row>
        <row r="397">
          <cell r="D397" t="str">
            <v>Lăm (6)</v>
          </cell>
          <cell r="AJ397">
            <v>0</v>
          </cell>
          <cell r="AM397">
            <v>0</v>
          </cell>
          <cell r="AN397">
            <v>0</v>
          </cell>
        </row>
        <row r="398">
          <cell r="D398" t="str">
            <v>Nát</v>
          </cell>
          <cell r="AJ398">
            <v>0</v>
          </cell>
          <cell r="AM398">
            <v>0</v>
          </cell>
          <cell r="AN398">
            <v>0</v>
          </cell>
        </row>
        <row r="399">
          <cell r="D399" t="str">
            <v>Oi</v>
          </cell>
          <cell r="AJ399">
            <v>0</v>
          </cell>
          <cell r="AM399">
            <v>0</v>
          </cell>
          <cell r="AN399">
            <v>0</v>
          </cell>
        </row>
        <row r="400">
          <cell r="D400" t="str">
            <v>Phò Dông</v>
          </cell>
          <cell r="AJ400">
            <v>0</v>
          </cell>
          <cell r="AM400">
            <v>0</v>
          </cell>
          <cell r="AN400">
            <v>0</v>
          </cell>
        </row>
        <row r="401">
          <cell r="D401" t="str">
            <v>Cà Đăm (6)</v>
          </cell>
          <cell r="AJ401">
            <v>0</v>
          </cell>
          <cell r="AM401">
            <v>0</v>
          </cell>
          <cell r="AN401">
            <v>0</v>
          </cell>
        </row>
        <row r="402">
          <cell r="D402" t="str">
            <v>A Lem</v>
          </cell>
          <cell r="AJ402">
            <v>0</v>
          </cell>
          <cell r="AM402">
            <v>0</v>
          </cell>
          <cell r="AN402">
            <v>0</v>
          </cell>
        </row>
        <row r="403">
          <cell r="D403" t="str">
            <v>Bun Nhèng</v>
          </cell>
          <cell r="AJ403">
            <v>0</v>
          </cell>
          <cell r="AM403">
            <v>0</v>
          </cell>
          <cell r="AN403">
            <v>0</v>
          </cell>
        </row>
        <row r="404">
          <cell r="D404" t="str">
            <v>Tan</v>
          </cell>
          <cell r="AJ404">
            <v>0</v>
          </cell>
          <cell r="AM404">
            <v>0</v>
          </cell>
          <cell r="AN404">
            <v>0</v>
          </cell>
        </row>
        <row r="405">
          <cell r="D405" t="str">
            <v>Phò Keo</v>
          </cell>
          <cell r="AJ405">
            <v>0</v>
          </cell>
          <cell r="AM405">
            <v>0</v>
          </cell>
          <cell r="AN405">
            <v>0</v>
          </cell>
        </row>
        <row r="406">
          <cell r="D406" t="str">
            <v>Văn</v>
          </cell>
          <cell r="AJ406">
            <v>0</v>
          </cell>
          <cell r="AM406">
            <v>0</v>
          </cell>
          <cell r="AN406">
            <v>0</v>
          </cell>
        </row>
        <row r="407">
          <cell r="D407" t="str">
            <v>A Son</v>
          </cell>
          <cell r="AJ407">
            <v>0</v>
          </cell>
          <cell r="AM407">
            <v>0</v>
          </cell>
          <cell r="AN407">
            <v>0</v>
          </cell>
        </row>
        <row r="408">
          <cell r="D408" t="str">
            <v>Thôn</v>
          </cell>
          <cell r="AJ408">
            <v>0</v>
          </cell>
          <cell r="AM408">
            <v>0</v>
          </cell>
          <cell r="AN408">
            <v>0</v>
          </cell>
        </row>
        <row r="409">
          <cell r="D409" t="str">
            <v>Ka Lóc</v>
          </cell>
          <cell r="AJ409">
            <v>0</v>
          </cell>
          <cell r="AM409">
            <v>0</v>
          </cell>
          <cell r="AN409">
            <v>0</v>
          </cell>
        </row>
        <row r="410">
          <cell r="D410" t="str">
            <v>Kông Khăm</v>
          </cell>
          <cell r="AJ410">
            <v>0</v>
          </cell>
          <cell r="AM410">
            <v>0</v>
          </cell>
          <cell r="AN410">
            <v>0</v>
          </cell>
        </row>
        <row r="411">
          <cell r="D411" t="str">
            <v>A Chít</v>
          </cell>
          <cell r="AJ411">
            <v>0</v>
          </cell>
          <cell r="AM411">
            <v>0</v>
          </cell>
          <cell r="AN411">
            <v>0</v>
          </cell>
        </row>
        <row r="412">
          <cell r="D412" t="str">
            <v>Tím</v>
          </cell>
          <cell r="AJ412">
            <v>0</v>
          </cell>
          <cell r="AM412">
            <v>0</v>
          </cell>
          <cell r="AN412">
            <v>0</v>
          </cell>
        </row>
        <row r="413">
          <cell r="D413" t="str">
            <v>A Nhim</v>
          </cell>
          <cell r="AJ413">
            <v>0</v>
          </cell>
          <cell r="AM413">
            <v>0</v>
          </cell>
          <cell r="AN413">
            <v>0</v>
          </cell>
        </row>
        <row r="414">
          <cell r="D414" t="str">
            <v>Tơ</v>
          </cell>
          <cell r="AJ414">
            <v>0</v>
          </cell>
          <cell r="AM414">
            <v>0</v>
          </cell>
          <cell r="AN414">
            <v>0</v>
          </cell>
        </row>
        <row r="415">
          <cell r="D415" t="str">
            <v>Nàng Cum</v>
          </cell>
          <cell r="AJ415">
            <v>0</v>
          </cell>
          <cell r="AM415">
            <v>0</v>
          </cell>
          <cell r="AN415">
            <v>0</v>
          </cell>
        </row>
        <row r="416">
          <cell r="D416" t="str">
            <v>Chăn Tha La</v>
          </cell>
          <cell r="AJ416">
            <v>0</v>
          </cell>
          <cell r="AM416">
            <v>0</v>
          </cell>
          <cell r="AN416">
            <v>0</v>
          </cell>
        </row>
        <row r="417">
          <cell r="D417" t="str">
            <v>Bi</v>
          </cell>
          <cell r="AJ417">
            <v>0</v>
          </cell>
          <cell r="AM417">
            <v>0</v>
          </cell>
          <cell r="AN417">
            <v>0</v>
          </cell>
        </row>
        <row r="418">
          <cell r="D418" t="str">
            <v>Bun Na</v>
          </cell>
          <cell r="AJ418">
            <v>0</v>
          </cell>
          <cell r="AM418">
            <v>0</v>
          </cell>
          <cell r="AN418">
            <v>0</v>
          </cell>
        </row>
        <row r="419">
          <cell r="D419" t="str">
            <v>Ka Lít</v>
          </cell>
          <cell r="AJ419">
            <v>0</v>
          </cell>
          <cell r="AM419">
            <v>0</v>
          </cell>
          <cell r="AN419">
            <v>0</v>
          </cell>
        </row>
        <row r="420">
          <cell r="D420" t="str">
            <v>E (6)</v>
          </cell>
          <cell r="AJ420">
            <v>0</v>
          </cell>
          <cell r="AM420">
            <v>0</v>
          </cell>
          <cell r="AN420">
            <v>0</v>
          </cell>
        </row>
        <row r="421">
          <cell r="D421" t="str">
            <v>Năt</v>
          </cell>
          <cell r="AJ421">
            <v>0</v>
          </cell>
          <cell r="AM421">
            <v>0</v>
          </cell>
          <cell r="AN421">
            <v>0</v>
          </cell>
        </row>
        <row r="422">
          <cell r="D422" t="str">
            <v>Ly Ta</v>
          </cell>
          <cell r="AJ422">
            <v>0</v>
          </cell>
          <cell r="AM422">
            <v>0</v>
          </cell>
          <cell r="AN422">
            <v>0</v>
          </cell>
        </row>
        <row r="423">
          <cell r="D423" t="str">
            <v>Khăm Bay (6)</v>
          </cell>
          <cell r="AJ423">
            <v>0</v>
          </cell>
          <cell r="AM423">
            <v>0</v>
          </cell>
          <cell r="AN423">
            <v>0</v>
          </cell>
        </row>
        <row r="424">
          <cell r="D424" t="str">
            <v>Tụi</v>
          </cell>
          <cell r="AJ424">
            <v>0</v>
          </cell>
          <cell r="AM424">
            <v>0</v>
          </cell>
          <cell r="AN424">
            <v>0</v>
          </cell>
        </row>
        <row r="425">
          <cell r="D425" t="str">
            <v>Nục</v>
          </cell>
          <cell r="AJ425">
            <v>0</v>
          </cell>
          <cell r="AM425">
            <v>0</v>
          </cell>
          <cell r="AN425">
            <v>0</v>
          </cell>
        </row>
        <row r="426">
          <cell r="D426" t="str">
            <v>Khăm (6)</v>
          </cell>
          <cell r="AJ426">
            <v>0</v>
          </cell>
          <cell r="AM426">
            <v>0</v>
          </cell>
          <cell r="AN426">
            <v>0</v>
          </cell>
        </row>
        <row r="427">
          <cell r="D427" t="str">
            <v>Ký</v>
          </cell>
          <cell r="AJ427">
            <v>0</v>
          </cell>
          <cell r="AM427">
            <v>0</v>
          </cell>
          <cell r="AN427">
            <v>0</v>
          </cell>
        </row>
        <row r="428">
          <cell r="D428" t="str">
            <v>Khương (6)</v>
          </cell>
          <cell r="AJ428">
            <v>0</v>
          </cell>
          <cell r="AM428">
            <v>0</v>
          </cell>
          <cell r="AN428">
            <v>0</v>
          </cell>
        </row>
        <row r="429">
          <cell r="D429" t="str">
            <v>A Buôn</v>
          </cell>
          <cell r="AJ429">
            <v>0</v>
          </cell>
          <cell r="AM429">
            <v>0</v>
          </cell>
          <cell r="AN429">
            <v>0</v>
          </cell>
        </row>
        <row r="430">
          <cell r="D430" t="str">
            <v>Nay (6)</v>
          </cell>
          <cell r="AJ430">
            <v>0</v>
          </cell>
          <cell r="AM430">
            <v>0</v>
          </cell>
          <cell r="AN430">
            <v>0</v>
          </cell>
        </row>
        <row r="431">
          <cell r="D431" t="str">
            <v>Mách</v>
          </cell>
          <cell r="AJ431">
            <v>0</v>
          </cell>
          <cell r="AM431">
            <v>0</v>
          </cell>
          <cell r="AN431">
            <v>0</v>
          </cell>
        </row>
        <row r="432">
          <cell r="D432" t="str">
            <v>Sưa</v>
          </cell>
          <cell r="AJ432">
            <v>0</v>
          </cell>
          <cell r="AM432">
            <v>0</v>
          </cell>
          <cell r="AN432">
            <v>0</v>
          </cell>
        </row>
        <row r="433">
          <cell r="D433" t="str">
            <v>Bắt</v>
          </cell>
          <cell r="AJ433">
            <v>0</v>
          </cell>
          <cell r="AM433">
            <v>0</v>
          </cell>
          <cell r="AN433">
            <v>0</v>
          </cell>
        </row>
        <row r="434">
          <cell r="D434" t="str">
            <v>Bộ</v>
          </cell>
          <cell r="AJ434">
            <v>0</v>
          </cell>
          <cell r="AM434">
            <v>0</v>
          </cell>
          <cell r="AN434">
            <v>0</v>
          </cell>
        </row>
        <row r="435">
          <cell r="D435" t="str">
            <v>Beng</v>
          </cell>
          <cell r="AJ435">
            <v>0</v>
          </cell>
          <cell r="AM435">
            <v>0</v>
          </cell>
          <cell r="AN435">
            <v>0</v>
          </cell>
        </row>
        <row r="436">
          <cell r="D436" t="str">
            <v>A Xiên</v>
          </cell>
          <cell r="AJ436">
            <v>0</v>
          </cell>
          <cell r="AM436">
            <v>0</v>
          </cell>
          <cell r="AN436">
            <v>0</v>
          </cell>
        </row>
        <row r="437">
          <cell r="D437" t="str">
            <v>Phò E</v>
          </cell>
          <cell r="AJ437">
            <v>0</v>
          </cell>
          <cell r="AM437">
            <v>0</v>
          </cell>
          <cell r="AN437">
            <v>0</v>
          </cell>
        </row>
        <row r="438">
          <cell r="D438" t="str">
            <v>Xai (6)</v>
          </cell>
          <cell r="AJ438">
            <v>0</v>
          </cell>
          <cell r="AM438">
            <v>0</v>
          </cell>
          <cell r="AN438">
            <v>0</v>
          </cell>
        </row>
        <row r="439">
          <cell r="D439" t="str">
            <v>Si Le (6)</v>
          </cell>
          <cell r="AJ439">
            <v>0</v>
          </cell>
          <cell r="AM439">
            <v>0</v>
          </cell>
          <cell r="AN439">
            <v>0</v>
          </cell>
        </row>
        <row r="440">
          <cell r="D440" t="str">
            <v>Xi</v>
          </cell>
          <cell r="AJ440">
            <v>0</v>
          </cell>
          <cell r="AM440">
            <v>0</v>
          </cell>
          <cell r="AN440">
            <v>0</v>
          </cell>
        </row>
        <row r="441">
          <cell r="D441" t="str">
            <v>Phắt</v>
          </cell>
          <cell r="AJ441">
            <v>0</v>
          </cell>
          <cell r="AM441">
            <v>0</v>
          </cell>
          <cell r="AN441">
            <v>0</v>
          </cell>
        </row>
        <row r="442">
          <cell r="D442" t="str">
            <v>Hắm</v>
          </cell>
          <cell r="AJ442">
            <v>0</v>
          </cell>
          <cell r="AM442">
            <v>0</v>
          </cell>
          <cell r="AN442">
            <v>0</v>
          </cell>
        </row>
        <row r="443">
          <cell r="E443">
            <v>0</v>
          </cell>
          <cell r="F443">
            <v>0</v>
          </cell>
          <cell r="G443">
            <v>0</v>
          </cell>
          <cell r="H443">
            <v>0</v>
          </cell>
          <cell r="I443">
            <v>0</v>
          </cell>
          <cell r="J443">
            <v>0</v>
          </cell>
          <cell r="K443">
            <v>0</v>
          </cell>
          <cell r="L443">
            <v>0</v>
          </cell>
          <cell r="M443">
            <v>0</v>
          </cell>
          <cell r="N443">
            <v>0</v>
          </cell>
          <cell r="O443">
            <v>0</v>
          </cell>
          <cell r="P443">
            <v>0</v>
          </cell>
          <cell r="Q443">
            <v>0</v>
          </cell>
          <cell r="R443">
            <v>0</v>
          </cell>
          <cell r="S443">
            <v>0</v>
          </cell>
          <cell r="T443">
            <v>0</v>
          </cell>
          <cell r="U443">
            <v>0</v>
          </cell>
          <cell r="V443">
            <v>0</v>
          </cell>
          <cell r="W443">
            <v>0</v>
          </cell>
          <cell r="X443">
            <v>0</v>
          </cell>
          <cell r="Y443">
            <v>0</v>
          </cell>
          <cell r="Z443">
            <v>0</v>
          </cell>
          <cell r="AA443">
            <v>0</v>
          </cell>
          <cell r="AB443">
            <v>0</v>
          </cell>
          <cell r="AC443">
            <v>0</v>
          </cell>
          <cell r="AD443">
            <v>0</v>
          </cell>
          <cell r="AE443">
            <v>0</v>
          </cell>
          <cell r="AF443">
            <v>0</v>
          </cell>
          <cell r="AG443">
            <v>0</v>
          </cell>
          <cell r="AH443">
            <v>0</v>
          </cell>
          <cell r="AI443">
            <v>0</v>
          </cell>
          <cell r="AJ443">
            <v>0</v>
          </cell>
          <cell r="AK443">
            <v>0</v>
          </cell>
          <cell r="AL443">
            <v>0</v>
          </cell>
          <cell r="AM443">
            <v>0</v>
          </cell>
          <cell r="AN443">
            <v>0</v>
          </cell>
        </row>
        <row r="444">
          <cell r="D444" t="str">
            <v>Tà Lòi</v>
          </cell>
          <cell r="AJ444">
            <v>0</v>
          </cell>
          <cell r="AM444">
            <v>0</v>
          </cell>
          <cell r="AN444">
            <v>0</v>
          </cell>
        </row>
        <row r="445">
          <cell r="D445" t="str">
            <v>Lây</v>
          </cell>
          <cell r="AJ445">
            <v>0</v>
          </cell>
          <cell r="AM445">
            <v>0</v>
          </cell>
          <cell r="AN445">
            <v>0</v>
          </cell>
        </row>
        <row r="446">
          <cell r="D446" t="str">
            <v>Tà (5)</v>
          </cell>
          <cell r="AJ446">
            <v>0</v>
          </cell>
          <cell r="AM446">
            <v>0</v>
          </cell>
          <cell r="AN446">
            <v>0</v>
          </cell>
        </row>
        <row r="447">
          <cell r="D447" t="str">
            <v>Bay</v>
          </cell>
          <cell r="AJ447">
            <v>0</v>
          </cell>
          <cell r="AM447">
            <v>0</v>
          </cell>
          <cell r="AN447">
            <v>0</v>
          </cell>
        </row>
        <row r="448">
          <cell r="D448" t="str">
            <v>Xay (5)</v>
          </cell>
          <cell r="AJ448">
            <v>0</v>
          </cell>
          <cell r="AM448">
            <v>0</v>
          </cell>
          <cell r="AN448">
            <v>0</v>
          </cell>
        </row>
        <row r="449">
          <cell r="D449" t="str">
            <v>Lạc Khon</v>
          </cell>
          <cell r="AJ449">
            <v>0</v>
          </cell>
          <cell r="AM449">
            <v>0</v>
          </cell>
          <cell r="AN449">
            <v>0</v>
          </cell>
        </row>
        <row r="450">
          <cell r="D450" t="str">
            <v>Ka Tun</v>
          </cell>
          <cell r="AJ450">
            <v>0</v>
          </cell>
          <cell r="AM450">
            <v>0</v>
          </cell>
          <cell r="AN450">
            <v>0</v>
          </cell>
        </row>
      </sheetData>
      <sheetData sheetId="11">
        <row r="10">
          <cell r="F10" t="str">
            <v>Thô</v>
          </cell>
          <cell r="AL10">
            <v>0</v>
          </cell>
          <cell r="AM10">
            <v>0</v>
          </cell>
          <cell r="AN10">
            <v>0</v>
          </cell>
          <cell r="AO10">
            <v>0</v>
          </cell>
          <cell r="AP10">
            <v>0</v>
          </cell>
          <cell r="AQ10">
            <v>0</v>
          </cell>
          <cell r="AR10">
            <v>0</v>
          </cell>
        </row>
        <row r="11">
          <cell r="F11" t="str">
            <v>Mè Ta Van</v>
          </cell>
          <cell r="AL11">
            <v>0</v>
          </cell>
          <cell r="AM11">
            <v>0</v>
          </cell>
          <cell r="AN11">
            <v>0</v>
          </cell>
          <cell r="AO11">
            <v>0</v>
          </cell>
          <cell r="AP11">
            <v>0</v>
          </cell>
          <cell r="AQ11">
            <v>0</v>
          </cell>
          <cell r="AR11">
            <v>0</v>
          </cell>
        </row>
        <row r="12">
          <cell r="F12" t="str">
            <v>Ka Tho</v>
          </cell>
          <cell r="AL12">
            <v>0</v>
          </cell>
          <cell r="AM12">
            <v>0</v>
          </cell>
          <cell r="AN12">
            <v>0</v>
          </cell>
          <cell r="AO12">
            <v>0</v>
          </cell>
          <cell r="AP12">
            <v>0</v>
          </cell>
          <cell r="AQ12">
            <v>0</v>
          </cell>
          <cell r="AR12">
            <v>0</v>
          </cell>
        </row>
        <row r="13">
          <cell r="F13" t="str">
            <v>Tô Tộ</v>
          </cell>
          <cell r="AL13">
            <v>0</v>
          </cell>
          <cell r="AM13">
            <v>0</v>
          </cell>
          <cell r="AN13">
            <v>0</v>
          </cell>
          <cell r="AO13">
            <v>0</v>
          </cell>
          <cell r="AP13">
            <v>0</v>
          </cell>
          <cell r="AQ13">
            <v>0</v>
          </cell>
          <cell r="AR13">
            <v>0</v>
          </cell>
        </row>
        <row r="14">
          <cell r="F14" t="str">
            <v>Thảo In</v>
          </cell>
          <cell r="AL14">
            <v>0</v>
          </cell>
          <cell r="AM14">
            <v>0</v>
          </cell>
          <cell r="AN14">
            <v>0</v>
          </cell>
          <cell r="AO14">
            <v>0</v>
          </cell>
          <cell r="AP14">
            <v>0</v>
          </cell>
          <cell r="AQ14">
            <v>0</v>
          </cell>
          <cell r="AR14">
            <v>0</v>
          </cell>
        </row>
        <row r="15">
          <cell r="F15" t="str">
            <v>Cha La</v>
          </cell>
          <cell r="AL15">
            <v>0</v>
          </cell>
          <cell r="AM15">
            <v>0</v>
          </cell>
          <cell r="AN15">
            <v>0</v>
          </cell>
          <cell r="AO15">
            <v>0</v>
          </cell>
          <cell r="AP15">
            <v>0</v>
          </cell>
          <cell r="AQ15">
            <v>0</v>
          </cell>
          <cell r="AR15">
            <v>0</v>
          </cell>
        </row>
        <row r="16">
          <cell r="F16" t="str">
            <v>Nang Nga</v>
          </cell>
          <cell r="AL16">
            <v>0</v>
          </cell>
          <cell r="AM16">
            <v>0</v>
          </cell>
          <cell r="AN16">
            <v>0</v>
          </cell>
          <cell r="AO16">
            <v>0</v>
          </cell>
          <cell r="AP16">
            <v>0</v>
          </cell>
          <cell r="AQ16">
            <v>0</v>
          </cell>
          <cell r="AR16">
            <v>0</v>
          </cell>
        </row>
        <row r="17">
          <cell r="F17" t="str">
            <v>Viêng (1)</v>
          </cell>
          <cell r="AL17">
            <v>0</v>
          </cell>
          <cell r="AM17">
            <v>0</v>
          </cell>
          <cell r="AN17">
            <v>0</v>
          </cell>
          <cell r="AO17">
            <v>0</v>
          </cell>
          <cell r="AP17">
            <v>0</v>
          </cell>
          <cell r="AQ17">
            <v>0</v>
          </cell>
          <cell r="AR17">
            <v>0</v>
          </cell>
        </row>
        <row r="18">
          <cell r="F18" t="str">
            <v>Me Đuông</v>
          </cell>
          <cell r="AL18">
            <v>0</v>
          </cell>
          <cell r="AM18">
            <v>0</v>
          </cell>
          <cell r="AN18">
            <v>0</v>
          </cell>
          <cell r="AO18">
            <v>0</v>
          </cell>
          <cell r="AP18">
            <v>0</v>
          </cell>
          <cell r="AQ18">
            <v>0</v>
          </cell>
          <cell r="AR18">
            <v>0</v>
          </cell>
        </row>
        <row r="19">
          <cell r="F19" t="str">
            <v>Nang Môn</v>
          </cell>
          <cell r="AL19">
            <v>0</v>
          </cell>
          <cell r="AM19">
            <v>0</v>
          </cell>
          <cell r="AN19">
            <v>0</v>
          </cell>
          <cell r="AO19">
            <v>0</v>
          </cell>
          <cell r="AP19">
            <v>0</v>
          </cell>
          <cell r="AQ19">
            <v>0</v>
          </cell>
          <cell r="AR19">
            <v>0</v>
          </cell>
        </row>
        <row r="20">
          <cell r="F20" t="str">
            <v>Ziên</v>
          </cell>
          <cell r="AL20">
            <v>0</v>
          </cell>
          <cell r="AM20">
            <v>0</v>
          </cell>
          <cell r="AN20">
            <v>0</v>
          </cell>
          <cell r="AO20">
            <v>0</v>
          </cell>
          <cell r="AP20">
            <v>0</v>
          </cell>
          <cell r="AQ20">
            <v>0</v>
          </cell>
          <cell r="AR20">
            <v>0</v>
          </cell>
        </row>
        <row r="21">
          <cell r="F21" t="str">
            <v>Me Pê</v>
          </cell>
          <cell r="AL21">
            <v>0</v>
          </cell>
          <cell r="AM21">
            <v>0</v>
          </cell>
          <cell r="AN21">
            <v>0</v>
          </cell>
          <cell r="AO21">
            <v>0</v>
          </cell>
          <cell r="AP21">
            <v>0</v>
          </cell>
          <cell r="AQ21">
            <v>0</v>
          </cell>
          <cell r="AR21">
            <v>0</v>
          </cell>
        </row>
        <row r="22">
          <cell r="F22" t="str">
            <v>Thảo chòi</v>
          </cell>
          <cell r="AL22">
            <v>0</v>
          </cell>
          <cell r="AM22">
            <v>0</v>
          </cell>
          <cell r="AN22">
            <v>0</v>
          </cell>
          <cell r="AO22">
            <v>0</v>
          </cell>
          <cell r="AP22">
            <v>0</v>
          </cell>
          <cell r="AQ22">
            <v>0</v>
          </cell>
          <cell r="AR22">
            <v>0</v>
          </cell>
        </row>
        <row r="23">
          <cell r="F23" t="str">
            <v>Chek Ky</v>
          </cell>
          <cell r="AL23">
            <v>0</v>
          </cell>
          <cell r="AM23">
            <v>0</v>
          </cell>
          <cell r="AN23">
            <v>0</v>
          </cell>
          <cell r="AO23">
            <v>0</v>
          </cell>
          <cell r="AP23">
            <v>0</v>
          </cell>
          <cell r="AQ23">
            <v>0</v>
          </cell>
          <cell r="AR23">
            <v>0</v>
          </cell>
        </row>
        <row r="24">
          <cell r="F24" t="str">
            <v>Phò Set Tha</v>
          </cell>
          <cell r="AL24">
            <v>0</v>
          </cell>
          <cell r="AM24">
            <v>0</v>
          </cell>
          <cell r="AN24">
            <v>0</v>
          </cell>
          <cell r="AO24">
            <v>0</v>
          </cell>
          <cell r="AP24">
            <v>0</v>
          </cell>
          <cell r="AQ24">
            <v>0</v>
          </cell>
          <cell r="AR24">
            <v>0</v>
          </cell>
        </row>
        <row r="25">
          <cell r="F25" t="str">
            <v>Căn Nha (1)</v>
          </cell>
          <cell r="AL25">
            <v>0</v>
          </cell>
          <cell r="AM25">
            <v>0</v>
          </cell>
          <cell r="AN25">
            <v>0</v>
          </cell>
          <cell r="AO25">
            <v>0</v>
          </cell>
          <cell r="AP25">
            <v>0</v>
          </cell>
          <cell r="AQ25">
            <v>0</v>
          </cell>
          <cell r="AR25">
            <v>0</v>
          </cell>
        </row>
        <row r="26">
          <cell r="F26" t="str">
            <v>Khăm (1)</v>
          </cell>
          <cell r="AL26">
            <v>0</v>
          </cell>
          <cell r="AM26">
            <v>0</v>
          </cell>
          <cell r="AN26">
            <v>0</v>
          </cell>
          <cell r="AO26">
            <v>0</v>
          </cell>
          <cell r="AP26">
            <v>0</v>
          </cell>
          <cell r="AQ26">
            <v>0</v>
          </cell>
          <cell r="AR26">
            <v>0</v>
          </cell>
        </row>
        <row r="27">
          <cell r="F27" t="str">
            <v>Nàng Ni</v>
          </cell>
          <cell r="AL27">
            <v>0</v>
          </cell>
          <cell r="AM27">
            <v>0</v>
          </cell>
          <cell r="AN27">
            <v>0</v>
          </cell>
          <cell r="AO27">
            <v>0</v>
          </cell>
          <cell r="AP27">
            <v>0</v>
          </cell>
          <cell r="AQ27">
            <v>0</v>
          </cell>
          <cell r="AR27">
            <v>0</v>
          </cell>
        </row>
        <row r="28">
          <cell r="F28" t="str">
            <v>Khu</v>
          </cell>
          <cell r="AL28">
            <v>0</v>
          </cell>
          <cell r="AM28">
            <v>0</v>
          </cell>
          <cell r="AN28">
            <v>0</v>
          </cell>
          <cell r="AO28">
            <v>0</v>
          </cell>
          <cell r="AP28">
            <v>0</v>
          </cell>
          <cell r="AQ28">
            <v>0</v>
          </cell>
          <cell r="AR28">
            <v>0</v>
          </cell>
        </row>
        <row r="29">
          <cell r="F29" t="str">
            <v>Nang Thôn</v>
          </cell>
          <cell r="AL29">
            <v>0</v>
          </cell>
          <cell r="AM29">
            <v>0</v>
          </cell>
          <cell r="AN29">
            <v>0</v>
          </cell>
          <cell r="AO29">
            <v>0</v>
          </cell>
          <cell r="AP29">
            <v>0</v>
          </cell>
          <cell r="AQ29">
            <v>0</v>
          </cell>
          <cell r="AR29">
            <v>0</v>
          </cell>
        </row>
        <row r="30">
          <cell r="F30" t="str">
            <v>Thảo Chin</v>
          </cell>
          <cell r="AL30">
            <v>0</v>
          </cell>
          <cell r="AM30">
            <v>0</v>
          </cell>
          <cell r="AN30">
            <v>0</v>
          </cell>
          <cell r="AO30">
            <v>0</v>
          </cell>
          <cell r="AP30">
            <v>0</v>
          </cell>
          <cell r="AQ30">
            <v>0</v>
          </cell>
          <cell r="AR30">
            <v>0</v>
          </cell>
        </row>
        <row r="31">
          <cell r="F31" t="str">
            <v>Lăm Phiêng</v>
          </cell>
          <cell r="AL31">
            <v>0</v>
          </cell>
          <cell r="AM31">
            <v>0</v>
          </cell>
          <cell r="AN31">
            <v>0</v>
          </cell>
          <cell r="AO31">
            <v>0</v>
          </cell>
          <cell r="AP31">
            <v>0</v>
          </cell>
          <cell r="AQ31">
            <v>0</v>
          </cell>
          <cell r="AR31">
            <v>0</v>
          </cell>
        </row>
        <row r="32">
          <cell r="F32" t="str">
            <v>Phò Đon</v>
          </cell>
          <cell r="AL32">
            <v>0</v>
          </cell>
          <cell r="AM32">
            <v>0</v>
          </cell>
          <cell r="AN32">
            <v>0</v>
          </cell>
          <cell r="AO32">
            <v>0</v>
          </cell>
          <cell r="AP32">
            <v>0</v>
          </cell>
          <cell r="AQ32">
            <v>0</v>
          </cell>
          <cell r="AR32">
            <v>0</v>
          </cell>
        </row>
        <row r="33">
          <cell r="F33" t="str">
            <v>Lec</v>
          </cell>
          <cell r="AL33">
            <v>0</v>
          </cell>
          <cell r="AM33">
            <v>0</v>
          </cell>
          <cell r="AN33">
            <v>0</v>
          </cell>
          <cell r="AO33">
            <v>0</v>
          </cell>
          <cell r="AP33">
            <v>0</v>
          </cell>
          <cell r="AQ33">
            <v>0</v>
          </cell>
          <cell r="AR33">
            <v>0</v>
          </cell>
        </row>
        <row r="34">
          <cell r="F34" t="str">
            <v>Chun</v>
          </cell>
          <cell r="AL34">
            <v>0</v>
          </cell>
          <cell r="AM34">
            <v>0</v>
          </cell>
          <cell r="AN34">
            <v>0</v>
          </cell>
          <cell r="AO34">
            <v>0</v>
          </cell>
          <cell r="AP34">
            <v>0</v>
          </cell>
          <cell r="AQ34">
            <v>0</v>
          </cell>
          <cell r="AR34">
            <v>0</v>
          </cell>
        </row>
        <row r="35">
          <cell r="F35" t="str">
            <v>Nàng Nọi</v>
          </cell>
          <cell r="AL35">
            <v>0</v>
          </cell>
          <cell r="AM35">
            <v>0</v>
          </cell>
          <cell r="AN35">
            <v>0</v>
          </cell>
          <cell r="AO35">
            <v>0</v>
          </cell>
          <cell r="AP35">
            <v>0</v>
          </cell>
          <cell r="AQ35">
            <v>0</v>
          </cell>
          <cell r="AR35">
            <v>0</v>
          </cell>
        </row>
        <row r="36">
          <cell r="F36" t="str">
            <v>T Cô</v>
          </cell>
          <cell r="AL36">
            <v>0</v>
          </cell>
          <cell r="AM36">
            <v>0</v>
          </cell>
          <cell r="AN36">
            <v>0</v>
          </cell>
          <cell r="AO36">
            <v>0</v>
          </cell>
          <cell r="AP36">
            <v>0</v>
          </cell>
          <cell r="AQ36">
            <v>0</v>
          </cell>
          <cell r="AR36">
            <v>0</v>
          </cell>
        </row>
        <row r="37">
          <cell r="F37" t="str">
            <v>Mè Tham</v>
          </cell>
          <cell r="AL37">
            <v>0</v>
          </cell>
          <cell r="AM37">
            <v>0</v>
          </cell>
          <cell r="AN37">
            <v>0</v>
          </cell>
          <cell r="AO37">
            <v>0</v>
          </cell>
          <cell r="AP37">
            <v>0</v>
          </cell>
          <cell r="AQ37">
            <v>0</v>
          </cell>
          <cell r="AR37">
            <v>0</v>
          </cell>
        </row>
        <row r="38">
          <cell r="F38" t="str">
            <v>Thảo Nọi (1)</v>
          </cell>
          <cell r="AL38">
            <v>0</v>
          </cell>
          <cell r="AM38">
            <v>0</v>
          </cell>
          <cell r="AN38">
            <v>0</v>
          </cell>
          <cell r="AO38">
            <v>0</v>
          </cell>
          <cell r="AP38">
            <v>0</v>
          </cell>
          <cell r="AQ38">
            <v>0</v>
          </cell>
          <cell r="AR38">
            <v>0</v>
          </cell>
        </row>
        <row r="39">
          <cell r="F39" t="str">
            <v>Thảo Công</v>
          </cell>
          <cell r="AL39">
            <v>0</v>
          </cell>
          <cell r="AM39">
            <v>0</v>
          </cell>
          <cell r="AN39">
            <v>0</v>
          </cell>
          <cell r="AO39">
            <v>0</v>
          </cell>
          <cell r="AP39">
            <v>0</v>
          </cell>
          <cell r="AQ39">
            <v>0</v>
          </cell>
          <cell r="AR39">
            <v>0</v>
          </cell>
        </row>
        <row r="40">
          <cell r="F40" t="str">
            <v>Phò Tham</v>
          </cell>
          <cell r="AL40">
            <v>0</v>
          </cell>
          <cell r="AM40">
            <v>0</v>
          </cell>
          <cell r="AN40">
            <v>0</v>
          </cell>
          <cell r="AO40">
            <v>0</v>
          </cell>
          <cell r="AP40">
            <v>0</v>
          </cell>
          <cell r="AQ40">
            <v>0</v>
          </cell>
          <cell r="AR40">
            <v>0</v>
          </cell>
        </row>
        <row r="41">
          <cell r="F41" t="str">
            <v>Xơi</v>
          </cell>
          <cell r="AL41">
            <v>0</v>
          </cell>
          <cell r="AM41">
            <v>0</v>
          </cell>
          <cell r="AN41">
            <v>0</v>
          </cell>
          <cell r="AO41">
            <v>0</v>
          </cell>
          <cell r="AP41">
            <v>0</v>
          </cell>
          <cell r="AQ41">
            <v>0</v>
          </cell>
          <cell r="AR41">
            <v>0</v>
          </cell>
        </row>
        <row r="42">
          <cell r="F42" t="str">
            <v>Nang Mi</v>
          </cell>
          <cell r="AL42">
            <v>0</v>
          </cell>
          <cell r="AM42">
            <v>0</v>
          </cell>
          <cell r="AN42">
            <v>0</v>
          </cell>
          <cell r="AO42">
            <v>0</v>
          </cell>
          <cell r="AP42">
            <v>0</v>
          </cell>
          <cell r="AQ42">
            <v>0</v>
          </cell>
          <cell r="AR42">
            <v>0</v>
          </cell>
        </row>
        <row r="43">
          <cell r="F43" t="str">
            <v>Lăm Si</v>
          </cell>
          <cell r="AL43">
            <v>0</v>
          </cell>
          <cell r="AM43">
            <v>0</v>
          </cell>
          <cell r="AN43">
            <v>0</v>
          </cell>
          <cell r="AO43">
            <v>0</v>
          </cell>
          <cell r="AP43">
            <v>0</v>
          </cell>
          <cell r="AQ43">
            <v>0</v>
          </cell>
          <cell r="AR43">
            <v>0</v>
          </cell>
        </row>
        <row r="44">
          <cell r="F44" t="str">
            <v>Nuc</v>
          </cell>
          <cell r="AL44">
            <v>0</v>
          </cell>
          <cell r="AM44">
            <v>0</v>
          </cell>
          <cell r="AN44">
            <v>0</v>
          </cell>
          <cell r="AO44">
            <v>0</v>
          </cell>
          <cell r="AP44">
            <v>0</v>
          </cell>
          <cell r="AQ44">
            <v>0</v>
          </cell>
          <cell r="AR44">
            <v>0</v>
          </cell>
        </row>
        <row r="45">
          <cell r="F45" t="str">
            <v>Phò Thiên</v>
          </cell>
          <cell r="AL45">
            <v>0</v>
          </cell>
          <cell r="AM45">
            <v>0</v>
          </cell>
          <cell r="AN45">
            <v>0</v>
          </cell>
          <cell r="AO45">
            <v>0</v>
          </cell>
          <cell r="AP45">
            <v>0</v>
          </cell>
          <cell r="AQ45">
            <v>0</v>
          </cell>
          <cell r="AR45">
            <v>0</v>
          </cell>
        </row>
        <row r="46">
          <cell r="F46" t="str">
            <v>Nàng Chăn A</v>
          </cell>
          <cell r="AL46">
            <v>0</v>
          </cell>
          <cell r="AM46">
            <v>0</v>
          </cell>
          <cell r="AN46">
            <v>0</v>
          </cell>
          <cell r="AO46">
            <v>0</v>
          </cell>
          <cell r="AP46">
            <v>0</v>
          </cell>
          <cell r="AQ46">
            <v>0</v>
          </cell>
          <cell r="AR46">
            <v>0</v>
          </cell>
        </row>
        <row r="47">
          <cell r="F47" t="str">
            <v>Nang Thong</v>
          </cell>
          <cell r="AL47">
            <v>0</v>
          </cell>
          <cell r="AM47">
            <v>0</v>
          </cell>
          <cell r="AN47">
            <v>0</v>
          </cell>
          <cell r="AO47">
            <v>0</v>
          </cell>
          <cell r="AP47">
            <v>0</v>
          </cell>
          <cell r="AQ47">
            <v>0</v>
          </cell>
          <cell r="AR47">
            <v>0</v>
          </cell>
        </row>
        <row r="48">
          <cell r="F48" t="str">
            <v>Sủng</v>
          </cell>
          <cell r="AL48">
            <v>0</v>
          </cell>
          <cell r="AM48">
            <v>0</v>
          </cell>
          <cell r="AN48">
            <v>0</v>
          </cell>
          <cell r="AO48">
            <v>0</v>
          </cell>
          <cell r="AP48">
            <v>0</v>
          </cell>
          <cell r="AQ48">
            <v>0</v>
          </cell>
          <cell r="AR48">
            <v>0</v>
          </cell>
        </row>
        <row r="49">
          <cell r="F49" t="str">
            <v>Lat Sa Mi</v>
          </cell>
          <cell r="AL49">
            <v>0</v>
          </cell>
          <cell r="AM49">
            <v>0</v>
          </cell>
          <cell r="AN49">
            <v>0</v>
          </cell>
          <cell r="AO49">
            <v>0</v>
          </cell>
          <cell r="AP49">
            <v>0</v>
          </cell>
          <cell r="AQ49">
            <v>0</v>
          </cell>
          <cell r="AR49">
            <v>0</v>
          </cell>
        </row>
        <row r="50">
          <cell r="F50" t="str">
            <v>Nhông</v>
          </cell>
          <cell r="AL50">
            <v>0</v>
          </cell>
          <cell r="AM50">
            <v>0</v>
          </cell>
          <cell r="AN50">
            <v>0</v>
          </cell>
          <cell r="AO50">
            <v>0</v>
          </cell>
          <cell r="AP50">
            <v>0</v>
          </cell>
          <cell r="AQ50">
            <v>0</v>
          </cell>
          <cell r="AR50">
            <v>0</v>
          </cell>
        </row>
        <row r="51">
          <cell r="F51" t="str">
            <v>Nang Tóy</v>
          </cell>
          <cell r="AL51">
            <v>0</v>
          </cell>
          <cell r="AM51">
            <v>0</v>
          </cell>
          <cell r="AN51">
            <v>0</v>
          </cell>
          <cell r="AO51">
            <v>0</v>
          </cell>
          <cell r="AP51">
            <v>0</v>
          </cell>
          <cell r="AQ51">
            <v>0</v>
          </cell>
          <cell r="AR51">
            <v>0</v>
          </cell>
        </row>
        <row r="52">
          <cell r="F52" t="str">
            <v>Nang Hỏm</v>
          </cell>
          <cell r="AL52">
            <v>0</v>
          </cell>
          <cell r="AM52">
            <v>0</v>
          </cell>
          <cell r="AN52">
            <v>0</v>
          </cell>
          <cell r="AO52">
            <v>0</v>
          </cell>
          <cell r="AP52">
            <v>0</v>
          </cell>
          <cell r="AQ52">
            <v>0</v>
          </cell>
          <cell r="AR52">
            <v>0</v>
          </cell>
        </row>
        <row r="53">
          <cell r="G53">
            <v>0</v>
          </cell>
          <cell r="H53">
            <v>0</v>
          </cell>
          <cell r="I53">
            <v>0</v>
          </cell>
          <cell r="J53">
            <v>0</v>
          </cell>
          <cell r="K53">
            <v>0</v>
          </cell>
          <cell r="L53">
            <v>0</v>
          </cell>
          <cell r="M53">
            <v>0</v>
          </cell>
          <cell r="N53">
            <v>0</v>
          </cell>
          <cell r="O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J53">
            <v>0</v>
          </cell>
          <cell r="AK53">
            <v>0</v>
          </cell>
          <cell r="AL53">
            <v>0</v>
          </cell>
          <cell r="AM53">
            <v>0</v>
          </cell>
          <cell r="AN53">
            <v>0</v>
          </cell>
          <cell r="AO53">
            <v>0</v>
          </cell>
          <cell r="AP53">
            <v>0</v>
          </cell>
          <cell r="AQ53">
            <v>0</v>
          </cell>
          <cell r="AR53">
            <v>0</v>
          </cell>
        </row>
        <row r="54">
          <cell r="F54" t="str">
            <v>Khụt</v>
          </cell>
          <cell r="AL54">
            <v>0</v>
          </cell>
          <cell r="AM54">
            <v>0</v>
          </cell>
          <cell r="AN54">
            <v>0</v>
          </cell>
          <cell r="AO54">
            <v>0</v>
          </cell>
          <cell r="AP54">
            <v>0</v>
          </cell>
          <cell r="AQ54">
            <v>0</v>
          </cell>
          <cell r="AR54">
            <v>0</v>
          </cell>
        </row>
        <row r="55">
          <cell r="F55" t="str">
            <v>Thảo Chay</v>
          </cell>
          <cell r="AL55">
            <v>0</v>
          </cell>
          <cell r="AM55">
            <v>0</v>
          </cell>
          <cell r="AN55">
            <v>0</v>
          </cell>
          <cell r="AO55">
            <v>0</v>
          </cell>
          <cell r="AP55">
            <v>0</v>
          </cell>
          <cell r="AQ55">
            <v>0</v>
          </cell>
          <cell r="AR55">
            <v>0</v>
          </cell>
        </row>
        <row r="56">
          <cell r="F56" t="str">
            <v>Vông</v>
          </cell>
          <cell r="AL56">
            <v>0</v>
          </cell>
          <cell r="AM56">
            <v>0</v>
          </cell>
          <cell r="AN56">
            <v>0</v>
          </cell>
          <cell r="AO56">
            <v>0</v>
          </cell>
          <cell r="AP56">
            <v>0</v>
          </cell>
          <cell r="AQ56">
            <v>0</v>
          </cell>
          <cell r="AR56">
            <v>0</v>
          </cell>
        </row>
        <row r="57">
          <cell r="F57" t="str">
            <v>Ma Ni Son</v>
          </cell>
          <cell r="AL57">
            <v>0</v>
          </cell>
          <cell r="AM57">
            <v>0</v>
          </cell>
          <cell r="AN57">
            <v>0</v>
          </cell>
          <cell r="AO57">
            <v>0</v>
          </cell>
          <cell r="AP57">
            <v>0</v>
          </cell>
          <cell r="AQ57">
            <v>0</v>
          </cell>
          <cell r="AR57">
            <v>0</v>
          </cell>
        </row>
        <row r="58">
          <cell r="F58" t="str">
            <v>Cong Ma</v>
          </cell>
          <cell r="AL58">
            <v>0</v>
          </cell>
          <cell r="AM58">
            <v>0</v>
          </cell>
          <cell r="AN58">
            <v>0</v>
          </cell>
          <cell r="AO58">
            <v>0</v>
          </cell>
          <cell r="AP58">
            <v>0</v>
          </cell>
          <cell r="AQ58">
            <v>0</v>
          </cell>
          <cell r="AR58">
            <v>0</v>
          </cell>
        </row>
        <row r="59">
          <cell r="F59" t="str">
            <v>Két</v>
          </cell>
          <cell r="AL59">
            <v>0</v>
          </cell>
          <cell r="AM59">
            <v>0</v>
          </cell>
          <cell r="AN59">
            <v>0</v>
          </cell>
          <cell r="AO59">
            <v>0</v>
          </cell>
          <cell r="AP59">
            <v>0</v>
          </cell>
          <cell r="AQ59">
            <v>0</v>
          </cell>
          <cell r="AR59">
            <v>0</v>
          </cell>
        </row>
        <row r="60">
          <cell r="F60" t="str">
            <v>Măn</v>
          </cell>
          <cell r="AL60">
            <v>0</v>
          </cell>
          <cell r="AM60">
            <v>0</v>
          </cell>
          <cell r="AN60">
            <v>0</v>
          </cell>
          <cell r="AO60">
            <v>0</v>
          </cell>
          <cell r="AP60">
            <v>0</v>
          </cell>
          <cell r="AQ60">
            <v>0</v>
          </cell>
          <cell r="AR60">
            <v>0</v>
          </cell>
        </row>
        <row r="61">
          <cell r="F61" t="str">
            <v>Soi</v>
          </cell>
          <cell r="AL61">
            <v>0</v>
          </cell>
          <cell r="AM61">
            <v>0</v>
          </cell>
          <cell r="AN61">
            <v>0</v>
          </cell>
          <cell r="AO61">
            <v>0</v>
          </cell>
          <cell r="AP61">
            <v>0</v>
          </cell>
          <cell r="AQ61">
            <v>0</v>
          </cell>
          <cell r="AR61">
            <v>0</v>
          </cell>
        </row>
        <row r="62">
          <cell r="F62" t="str">
            <v>Núc</v>
          </cell>
          <cell r="AL62">
            <v>0</v>
          </cell>
          <cell r="AM62">
            <v>0</v>
          </cell>
          <cell r="AN62">
            <v>0</v>
          </cell>
          <cell r="AO62">
            <v>0</v>
          </cell>
          <cell r="AP62">
            <v>0</v>
          </cell>
          <cell r="AQ62">
            <v>0</v>
          </cell>
          <cell r="AR62">
            <v>0</v>
          </cell>
        </row>
        <row r="63">
          <cell r="F63" t="str">
            <v>Pệt</v>
          </cell>
          <cell r="AL63">
            <v>0</v>
          </cell>
          <cell r="AM63">
            <v>0</v>
          </cell>
          <cell r="AN63">
            <v>0</v>
          </cell>
          <cell r="AO63">
            <v>0</v>
          </cell>
          <cell r="AP63">
            <v>0</v>
          </cell>
          <cell r="AQ63">
            <v>0</v>
          </cell>
          <cell r="AR63">
            <v>0</v>
          </cell>
        </row>
        <row r="64">
          <cell r="F64" t="str">
            <v>Khay Khăm</v>
          </cell>
          <cell r="AL64">
            <v>0</v>
          </cell>
          <cell r="AM64">
            <v>0</v>
          </cell>
          <cell r="AN64">
            <v>0</v>
          </cell>
          <cell r="AO64">
            <v>0</v>
          </cell>
          <cell r="AP64">
            <v>0</v>
          </cell>
          <cell r="AQ64">
            <v>0</v>
          </cell>
          <cell r="AR64">
            <v>0</v>
          </cell>
        </row>
        <row r="65">
          <cell r="F65" t="str">
            <v>Ô Lích</v>
          </cell>
          <cell r="AL65">
            <v>0</v>
          </cell>
          <cell r="AM65">
            <v>0</v>
          </cell>
          <cell r="AN65">
            <v>0</v>
          </cell>
          <cell r="AO65">
            <v>0</v>
          </cell>
          <cell r="AP65">
            <v>0</v>
          </cell>
          <cell r="AQ65">
            <v>0</v>
          </cell>
          <cell r="AR65">
            <v>0</v>
          </cell>
        </row>
        <row r="66">
          <cell r="F66" t="str">
            <v>Va Khăm</v>
          </cell>
          <cell r="AL66">
            <v>0</v>
          </cell>
          <cell r="AM66">
            <v>0</v>
          </cell>
          <cell r="AN66">
            <v>0</v>
          </cell>
          <cell r="AO66">
            <v>0</v>
          </cell>
          <cell r="AP66">
            <v>0</v>
          </cell>
          <cell r="AQ66">
            <v>0</v>
          </cell>
          <cell r="AR66">
            <v>0</v>
          </cell>
        </row>
        <row r="67">
          <cell r="F67" t="str">
            <v>Căn Nha</v>
          </cell>
          <cell r="AL67">
            <v>0</v>
          </cell>
          <cell r="AM67">
            <v>0</v>
          </cell>
          <cell r="AN67">
            <v>0</v>
          </cell>
          <cell r="AO67">
            <v>0</v>
          </cell>
          <cell r="AP67">
            <v>0</v>
          </cell>
          <cell r="AQ67">
            <v>0</v>
          </cell>
          <cell r="AR67">
            <v>0</v>
          </cell>
        </row>
        <row r="68">
          <cell r="F68" t="str">
            <v>Si Thon</v>
          </cell>
          <cell r="AL68">
            <v>0</v>
          </cell>
          <cell r="AM68">
            <v>0</v>
          </cell>
          <cell r="AN68">
            <v>0</v>
          </cell>
          <cell r="AO68">
            <v>0</v>
          </cell>
          <cell r="AP68">
            <v>0</v>
          </cell>
          <cell r="AQ68">
            <v>0</v>
          </cell>
          <cell r="AR68">
            <v>0</v>
          </cell>
        </row>
        <row r="69">
          <cell r="F69" t="str">
            <v>Lợt</v>
          </cell>
          <cell r="AL69">
            <v>0</v>
          </cell>
          <cell r="AM69">
            <v>0</v>
          </cell>
          <cell r="AN69">
            <v>0</v>
          </cell>
          <cell r="AO69">
            <v>0</v>
          </cell>
          <cell r="AP69">
            <v>0</v>
          </cell>
          <cell r="AQ69">
            <v>0</v>
          </cell>
          <cell r="AR69">
            <v>0</v>
          </cell>
        </row>
        <row r="70">
          <cell r="F70" t="str">
            <v>Thảo Con</v>
          </cell>
          <cell r="AL70">
            <v>0</v>
          </cell>
          <cell r="AM70">
            <v>0</v>
          </cell>
          <cell r="AN70">
            <v>0</v>
          </cell>
          <cell r="AO70">
            <v>0</v>
          </cell>
          <cell r="AP70">
            <v>0</v>
          </cell>
          <cell r="AQ70">
            <v>0</v>
          </cell>
          <cell r="AR70">
            <v>0</v>
          </cell>
        </row>
        <row r="71">
          <cell r="F71" t="str">
            <v>Nang Khun</v>
          </cell>
          <cell r="AL71">
            <v>0</v>
          </cell>
          <cell r="AM71">
            <v>0</v>
          </cell>
          <cell r="AN71">
            <v>0</v>
          </cell>
          <cell r="AO71">
            <v>0</v>
          </cell>
          <cell r="AP71">
            <v>0</v>
          </cell>
          <cell r="AQ71">
            <v>0</v>
          </cell>
          <cell r="AR71">
            <v>0</v>
          </cell>
        </row>
        <row r="72">
          <cell r="F72" t="str">
            <v>Híp</v>
          </cell>
          <cell r="AL72">
            <v>0</v>
          </cell>
          <cell r="AM72">
            <v>0</v>
          </cell>
          <cell r="AN72">
            <v>0</v>
          </cell>
          <cell r="AO72">
            <v>0</v>
          </cell>
          <cell r="AP72">
            <v>0</v>
          </cell>
          <cell r="AQ72">
            <v>0</v>
          </cell>
          <cell r="AR72">
            <v>0</v>
          </cell>
        </row>
        <row r="73">
          <cell r="F73" t="str">
            <v>Nàng</v>
          </cell>
          <cell r="AL73">
            <v>0</v>
          </cell>
          <cell r="AM73">
            <v>0</v>
          </cell>
          <cell r="AN73">
            <v>0</v>
          </cell>
          <cell r="AO73">
            <v>0</v>
          </cell>
          <cell r="AP73">
            <v>0</v>
          </cell>
          <cell r="AQ73">
            <v>0</v>
          </cell>
          <cell r="AR73">
            <v>0</v>
          </cell>
        </row>
        <row r="74">
          <cell r="F74" t="str">
            <v>Xi Chăn</v>
          </cell>
          <cell r="AL74">
            <v>0</v>
          </cell>
          <cell r="AM74">
            <v>0</v>
          </cell>
          <cell r="AN74">
            <v>0</v>
          </cell>
          <cell r="AO74">
            <v>0</v>
          </cell>
          <cell r="AP74">
            <v>0</v>
          </cell>
          <cell r="AQ74">
            <v>0</v>
          </cell>
          <cell r="AR74">
            <v>0</v>
          </cell>
        </row>
        <row r="75">
          <cell r="F75" t="str">
            <v>Nang Vy</v>
          </cell>
          <cell r="AL75">
            <v>0</v>
          </cell>
          <cell r="AM75">
            <v>0</v>
          </cell>
          <cell r="AN75">
            <v>0</v>
          </cell>
          <cell r="AO75">
            <v>0</v>
          </cell>
          <cell r="AP75">
            <v>0</v>
          </cell>
          <cell r="AQ75">
            <v>0</v>
          </cell>
          <cell r="AR75">
            <v>0</v>
          </cell>
        </row>
        <row r="76">
          <cell r="F76" t="str">
            <v>Thông May</v>
          </cell>
          <cell r="AL76">
            <v>0</v>
          </cell>
          <cell r="AM76">
            <v>0</v>
          </cell>
          <cell r="AN76">
            <v>0</v>
          </cell>
          <cell r="AO76">
            <v>0</v>
          </cell>
          <cell r="AP76">
            <v>0</v>
          </cell>
          <cell r="AQ76">
            <v>0</v>
          </cell>
          <cell r="AR76">
            <v>0</v>
          </cell>
        </row>
        <row r="77">
          <cell r="F77" t="str">
            <v>Su Ki</v>
          </cell>
          <cell r="AL77">
            <v>0</v>
          </cell>
          <cell r="AM77">
            <v>0</v>
          </cell>
          <cell r="AN77">
            <v>0</v>
          </cell>
          <cell r="AO77">
            <v>0</v>
          </cell>
          <cell r="AP77">
            <v>0</v>
          </cell>
          <cell r="AQ77">
            <v>0</v>
          </cell>
          <cell r="AR77">
            <v>0</v>
          </cell>
        </row>
        <row r="78">
          <cell r="F78" t="str">
            <v>Xút Chay</v>
          </cell>
          <cell r="AL78">
            <v>0</v>
          </cell>
          <cell r="AM78">
            <v>0</v>
          </cell>
          <cell r="AN78">
            <v>0</v>
          </cell>
          <cell r="AO78">
            <v>0</v>
          </cell>
          <cell r="AP78">
            <v>0</v>
          </cell>
          <cell r="AQ78">
            <v>0</v>
          </cell>
          <cell r="AR78">
            <v>0</v>
          </cell>
        </row>
        <row r="79">
          <cell r="F79" t="str">
            <v>Khăm Ma Ny</v>
          </cell>
          <cell r="AL79">
            <v>0</v>
          </cell>
          <cell r="AM79">
            <v>0</v>
          </cell>
          <cell r="AN79">
            <v>0</v>
          </cell>
          <cell r="AO79">
            <v>0</v>
          </cell>
          <cell r="AP79">
            <v>0</v>
          </cell>
          <cell r="AQ79">
            <v>0</v>
          </cell>
          <cell r="AR79">
            <v>0</v>
          </cell>
        </row>
        <row r="80">
          <cell r="F80" t="str">
            <v>Ép</v>
          </cell>
          <cell r="AL80">
            <v>0</v>
          </cell>
          <cell r="AM80">
            <v>0</v>
          </cell>
          <cell r="AN80">
            <v>0</v>
          </cell>
          <cell r="AO80">
            <v>0</v>
          </cell>
          <cell r="AP80">
            <v>0</v>
          </cell>
          <cell r="AQ80">
            <v>0</v>
          </cell>
          <cell r="AR80">
            <v>0</v>
          </cell>
        </row>
        <row r="81">
          <cell r="F81" t="str">
            <v>Khâm Cợt</v>
          </cell>
          <cell r="AL81">
            <v>0</v>
          </cell>
          <cell r="AM81">
            <v>0</v>
          </cell>
          <cell r="AN81">
            <v>0</v>
          </cell>
          <cell r="AO81">
            <v>0</v>
          </cell>
          <cell r="AP81">
            <v>0</v>
          </cell>
          <cell r="AQ81">
            <v>0</v>
          </cell>
          <cell r="AR81">
            <v>0</v>
          </cell>
        </row>
        <row r="82">
          <cell r="F82" t="str">
            <v>Choi (2)</v>
          </cell>
          <cell r="AL82">
            <v>0</v>
          </cell>
          <cell r="AM82">
            <v>0</v>
          </cell>
          <cell r="AN82">
            <v>0</v>
          </cell>
          <cell r="AO82">
            <v>0</v>
          </cell>
          <cell r="AP82">
            <v>0</v>
          </cell>
          <cell r="AQ82">
            <v>0</v>
          </cell>
          <cell r="AR82">
            <v>0</v>
          </cell>
        </row>
        <row r="83">
          <cell r="F83" t="str">
            <v>Pò Vy</v>
          </cell>
          <cell r="AL83">
            <v>0</v>
          </cell>
          <cell r="AM83">
            <v>0</v>
          </cell>
          <cell r="AN83">
            <v>0</v>
          </cell>
          <cell r="AO83">
            <v>0</v>
          </cell>
          <cell r="AP83">
            <v>0</v>
          </cell>
          <cell r="AQ83">
            <v>0</v>
          </cell>
          <cell r="AR83">
            <v>0</v>
          </cell>
        </row>
        <row r="84">
          <cell r="F84" t="str">
            <v>Thong La</v>
          </cell>
          <cell r="AL84">
            <v>0</v>
          </cell>
          <cell r="AM84">
            <v>0</v>
          </cell>
          <cell r="AN84">
            <v>0</v>
          </cell>
          <cell r="AO84">
            <v>0</v>
          </cell>
          <cell r="AP84">
            <v>0</v>
          </cell>
          <cell r="AQ84">
            <v>0</v>
          </cell>
          <cell r="AR84">
            <v>0</v>
          </cell>
        </row>
        <row r="85">
          <cell r="F85" t="str">
            <v>A Nan</v>
          </cell>
          <cell r="AL85">
            <v>0</v>
          </cell>
          <cell r="AM85">
            <v>0</v>
          </cell>
          <cell r="AN85">
            <v>0</v>
          </cell>
          <cell r="AO85">
            <v>0</v>
          </cell>
          <cell r="AP85">
            <v>0</v>
          </cell>
          <cell r="AQ85">
            <v>0</v>
          </cell>
          <cell r="AR85">
            <v>0</v>
          </cell>
        </row>
        <row r="86">
          <cell r="F86" t="str">
            <v>In Pon</v>
          </cell>
          <cell r="AL86">
            <v>0</v>
          </cell>
          <cell r="AM86">
            <v>0</v>
          </cell>
          <cell r="AN86">
            <v>0</v>
          </cell>
          <cell r="AO86">
            <v>0</v>
          </cell>
          <cell r="AP86">
            <v>0</v>
          </cell>
          <cell r="AQ86">
            <v>0</v>
          </cell>
          <cell r="AR86">
            <v>0</v>
          </cell>
        </row>
        <row r="87">
          <cell r="F87" t="str">
            <v>Thảo Khun</v>
          </cell>
          <cell r="AL87">
            <v>0</v>
          </cell>
          <cell r="AM87">
            <v>0</v>
          </cell>
          <cell r="AN87">
            <v>0</v>
          </cell>
          <cell r="AO87">
            <v>0</v>
          </cell>
          <cell r="AP87">
            <v>0</v>
          </cell>
          <cell r="AQ87">
            <v>0</v>
          </cell>
          <cell r="AR87">
            <v>0</v>
          </cell>
        </row>
        <row r="88">
          <cell r="F88" t="str">
            <v>Bun Sóng</v>
          </cell>
          <cell r="AL88">
            <v>0</v>
          </cell>
          <cell r="AM88">
            <v>0</v>
          </cell>
          <cell r="AN88">
            <v>0</v>
          </cell>
          <cell r="AO88">
            <v>0</v>
          </cell>
          <cell r="AP88">
            <v>0</v>
          </cell>
          <cell r="AQ88">
            <v>0</v>
          </cell>
          <cell r="AR88">
            <v>0</v>
          </cell>
        </row>
        <row r="89">
          <cell r="F89" t="str">
            <v>Tỏng</v>
          </cell>
          <cell r="AL89">
            <v>0</v>
          </cell>
          <cell r="AM89">
            <v>0</v>
          </cell>
          <cell r="AN89">
            <v>0</v>
          </cell>
          <cell r="AO89">
            <v>0</v>
          </cell>
          <cell r="AP89">
            <v>0</v>
          </cell>
          <cell r="AQ89">
            <v>0</v>
          </cell>
          <cell r="AR89">
            <v>0</v>
          </cell>
        </row>
        <row r="90">
          <cell r="F90" t="str">
            <v>Vá</v>
          </cell>
          <cell r="AL90">
            <v>0</v>
          </cell>
          <cell r="AM90">
            <v>0</v>
          </cell>
          <cell r="AN90">
            <v>0</v>
          </cell>
          <cell r="AO90">
            <v>0</v>
          </cell>
          <cell r="AP90">
            <v>0</v>
          </cell>
          <cell r="AQ90">
            <v>0</v>
          </cell>
          <cell r="AR90">
            <v>0</v>
          </cell>
        </row>
        <row r="91">
          <cell r="F91" t="str">
            <v>Su Ly</v>
          </cell>
          <cell r="AL91">
            <v>0</v>
          </cell>
          <cell r="AM91">
            <v>0</v>
          </cell>
          <cell r="AN91">
            <v>0</v>
          </cell>
          <cell r="AO91">
            <v>0</v>
          </cell>
          <cell r="AP91">
            <v>0</v>
          </cell>
          <cell r="AQ91">
            <v>0</v>
          </cell>
          <cell r="AR91">
            <v>0</v>
          </cell>
        </row>
        <row r="92">
          <cell r="F92" t="str">
            <v>Thê</v>
          </cell>
          <cell r="AL92">
            <v>0</v>
          </cell>
          <cell r="AM92">
            <v>0</v>
          </cell>
          <cell r="AN92">
            <v>0</v>
          </cell>
          <cell r="AO92">
            <v>0</v>
          </cell>
          <cell r="AP92">
            <v>0</v>
          </cell>
          <cell r="AQ92">
            <v>0</v>
          </cell>
          <cell r="AR92">
            <v>0</v>
          </cell>
        </row>
        <row r="93">
          <cell r="F93" t="str">
            <v>Nang Tỵ</v>
          </cell>
          <cell r="AL93">
            <v>0</v>
          </cell>
          <cell r="AM93">
            <v>0</v>
          </cell>
          <cell r="AN93">
            <v>0</v>
          </cell>
          <cell r="AO93">
            <v>0</v>
          </cell>
          <cell r="AP93">
            <v>0</v>
          </cell>
          <cell r="AQ93">
            <v>0</v>
          </cell>
          <cell r="AR93">
            <v>0</v>
          </cell>
        </row>
        <row r="94">
          <cell r="F94" t="str">
            <v>Veo</v>
          </cell>
          <cell r="AL94">
            <v>0</v>
          </cell>
          <cell r="AM94">
            <v>0</v>
          </cell>
          <cell r="AN94">
            <v>0</v>
          </cell>
          <cell r="AO94">
            <v>0</v>
          </cell>
          <cell r="AP94">
            <v>0</v>
          </cell>
          <cell r="AQ94">
            <v>0</v>
          </cell>
          <cell r="AR94">
            <v>0</v>
          </cell>
        </row>
        <row r="95">
          <cell r="F95" t="str">
            <v>Xay Khâm</v>
          </cell>
          <cell r="AL95">
            <v>0</v>
          </cell>
          <cell r="AM95">
            <v>0</v>
          </cell>
          <cell r="AN95">
            <v>0</v>
          </cell>
          <cell r="AO95">
            <v>0</v>
          </cell>
          <cell r="AP95">
            <v>0</v>
          </cell>
          <cell r="AQ95">
            <v>0</v>
          </cell>
          <cell r="AR95">
            <v>0</v>
          </cell>
        </row>
        <row r="96">
          <cell r="F96" t="str">
            <v>Ka</v>
          </cell>
          <cell r="AL96">
            <v>0</v>
          </cell>
          <cell r="AM96">
            <v>0</v>
          </cell>
          <cell r="AN96">
            <v>0</v>
          </cell>
          <cell r="AO96">
            <v>0</v>
          </cell>
          <cell r="AP96">
            <v>0</v>
          </cell>
          <cell r="AQ96">
            <v>0</v>
          </cell>
          <cell r="AR96">
            <v>0</v>
          </cell>
        </row>
        <row r="97">
          <cell r="F97" t="str">
            <v>Chăn Đi</v>
          </cell>
          <cell r="AL97">
            <v>0</v>
          </cell>
          <cell r="AM97">
            <v>0</v>
          </cell>
          <cell r="AN97">
            <v>0</v>
          </cell>
          <cell r="AO97">
            <v>0</v>
          </cell>
          <cell r="AP97">
            <v>0</v>
          </cell>
          <cell r="AQ97">
            <v>0</v>
          </cell>
          <cell r="AR97">
            <v>0</v>
          </cell>
        </row>
        <row r="98">
          <cell r="F98" t="str">
            <v>Phôm Ma</v>
          </cell>
          <cell r="AL98">
            <v>0</v>
          </cell>
          <cell r="AM98">
            <v>0</v>
          </cell>
          <cell r="AN98">
            <v>0</v>
          </cell>
          <cell r="AO98">
            <v>0</v>
          </cell>
          <cell r="AP98">
            <v>0</v>
          </cell>
          <cell r="AQ98">
            <v>0</v>
          </cell>
          <cell r="AR98">
            <v>0</v>
          </cell>
        </row>
        <row r="99">
          <cell r="F99" t="str">
            <v>Thảo Bin</v>
          </cell>
          <cell r="AL99">
            <v>0</v>
          </cell>
          <cell r="AM99">
            <v>0</v>
          </cell>
          <cell r="AN99">
            <v>0</v>
          </cell>
          <cell r="AO99">
            <v>0</v>
          </cell>
          <cell r="AP99">
            <v>0</v>
          </cell>
          <cell r="AQ99">
            <v>0</v>
          </cell>
          <cell r="AR99">
            <v>0</v>
          </cell>
        </row>
        <row r="100">
          <cell r="F100" t="str">
            <v>Lích</v>
          </cell>
          <cell r="AL100">
            <v>0</v>
          </cell>
          <cell r="AM100">
            <v>0</v>
          </cell>
          <cell r="AN100">
            <v>0</v>
          </cell>
          <cell r="AO100">
            <v>0</v>
          </cell>
          <cell r="AP100">
            <v>0</v>
          </cell>
          <cell r="AQ100">
            <v>0</v>
          </cell>
          <cell r="AR100">
            <v>0</v>
          </cell>
        </row>
        <row r="101">
          <cell r="F101" t="str">
            <v>Lăm Phon (2)</v>
          </cell>
          <cell r="AL101">
            <v>0</v>
          </cell>
          <cell r="AM101">
            <v>0</v>
          </cell>
          <cell r="AN101">
            <v>0</v>
          </cell>
          <cell r="AO101">
            <v>0</v>
          </cell>
          <cell r="AP101">
            <v>0</v>
          </cell>
          <cell r="AQ101">
            <v>0</v>
          </cell>
          <cell r="AR101">
            <v>0</v>
          </cell>
        </row>
        <row r="102">
          <cell r="F102" t="str">
            <v>Phò Thon</v>
          </cell>
          <cell r="AL102">
            <v>0</v>
          </cell>
          <cell r="AM102">
            <v>0</v>
          </cell>
          <cell r="AN102">
            <v>0</v>
          </cell>
          <cell r="AO102">
            <v>0</v>
          </cell>
          <cell r="AP102">
            <v>0</v>
          </cell>
          <cell r="AQ102">
            <v>0</v>
          </cell>
          <cell r="AR102">
            <v>0</v>
          </cell>
        </row>
        <row r="103">
          <cell r="F103" t="str">
            <v>Ta Luông</v>
          </cell>
          <cell r="AL103">
            <v>0</v>
          </cell>
          <cell r="AM103">
            <v>0</v>
          </cell>
          <cell r="AN103">
            <v>0</v>
          </cell>
          <cell r="AO103">
            <v>0</v>
          </cell>
          <cell r="AP103">
            <v>0</v>
          </cell>
          <cell r="AQ103">
            <v>0</v>
          </cell>
          <cell r="AR103">
            <v>0</v>
          </cell>
        </row>
        <row r="104">
          <cell r="F104" t="str">
            <v>Phim Phon</v>
          </cell>
          <cell r="AL104">
            <v>0</v>
          </cell>
          <cell r="AM104">
            <v>0</v>
          </cell>
          <cell r="AN104">
            <v>0</v>
          </cell>
          <cell r="AO104">
            <v>0</v>
          </cell>
          <cell r="AP104">
            <v>0</v>
          </cell>
          <cell r="AQ104">
            <v>0</v>
          </cell>
          <cell r="AR104">
            <v>0</v>
          </cell>
        </row>
        <row r="105">
          <cell r="F105" t="str">
            <v>Thảo Uông</v>
          </cell>
          <cell r="AL105">
            <v>0</v>
          </cell>
          <cell r="AM105">
            <v>0</v>
          </cell>
          <cell r="AN105">
            <v>0</v>
          </cell>
          <cell r="AO105">
            <v>0</v>
          </cell>
          <cell r="AP105">
            <v>0</v>
          </cell>
          <cell r="AQ105">
            <v>0</v>
          </cell>
          <cell r="AR105">
            <v>0</v>
          </cell>
        </row>
        <row r="106">
          <cell r="F106" t="str">
            <v>Nang Khâm</v>
          </cell>
          <cell r="AL106">
            <v>0</v>
          </cell>
          <cell r="AM106">
            <v>0</v>
          </cell>
          <cell r="AN106">
            <v>0</v>
          </cell>
          <cell r="AO106">
            <v>0</v>
          </cell>
          <cell r="AP106">
            <v>0</v>
          </cell>
          <cell r="AQ106">
            <v>0</v>
          </cell>
          <cell r="AR106">
            <v>0</v>
          </cell>
        </row>
        <row r="107">
          <cell r="F107" t="str">
            <v>Hắm Nọi</v>
          </cell>
          <cell r="AL107">
            <v>0</v>
          </cell>
          <cell r="AM107">
            <v>0</v>
          </cell>
          <cell r="AN107">
            <v>0</v>
          </cell>
          <cell r="AO107">
            <v>0</v>
          </cell>
          <cell r="AP107">
            <v>0</v>
          </cell>
          <cell r="AQ107">
            <v>0</v>
          </cell>
          <cell r="AR107">
            <v>0</v>
          </cell>
        </row>
        <row r="108">
          <cell r="F108" t="str">
            <v>Mi</v>
          </cell>
          <cell r="AL108">
            <v>0</v>
          </cell>
          <cell r="AM108">
            <v>0</v>
          </cell>
          <cell r="AN108">
            <v>0</v>
          </cell>
          <cell r="AO108">
            <v>0</v>
          </cell>
          <cell r="AP108">
            <v>0</v>
          </cell>
          <cell r="AQ108">
            <v>0</v>
          </cell>
          <cell r="AR108">
            <v>0</v>
          </cell>
        </row>
        <row r="109">
          <cell r="F109" t="str">
            <v>Nang Túc</v>
          </cell>
        </row>
        <row r="110">
          <cell r="F110" t="str">
            <v>Lard</v>
          </cell>
        </row>
        <row r="111">
          <cell r="G111">
            <v>0</v>
          </cell>
          <cell r="H111">
            <v>0</v>
          </cell>
          <cell r="I111">
            <v>0</v>
          </cell>
          <cell r="J111">
            <v>0</v>
          </cell>
          <cell r="K111">
            <v>0</v>
          </cell>
          <cell r="L111">
            <v>0</v>
          </cell>
          <cell r="M111">
            <v>0</v>
          </cell>
          <cell r="N111">
            <v>0</v>
          </cell>
          <cell r="O111">
            <v>0</v>
          </cell>
          <cell r="P111">
            <v>0</v>
          </cell>
          <cell r="Q111">
            <v>0</v>
          </cell>
          <cell r="R111">
            <v>0</v>
          </cell>
          <cell r="S111">
            <v>0</v>
          </cell>
          <cell r="T111">
            <v>0</v>
          </cell>
          <cell r="U111">
            <v>0</v>
          </cell>
          <cell r="V111">
            <v>0</v>
          </cell>
          <cell r="W111">
            <v>0</v>
          </cell>
          <cell r="X111">
            <v>0</v>
          </cell>
          <cell r="Y111">
            <v>0</v>
          </cell>
          <cell r="Z111">
            <v>0</v>
          </cell>
          <cell r="AA111">
            <v>0</v>
          </cell>
          <cell r="AB111">
            <v>0</v>
          </cell>
          <cell r="AC111">
            <v>0</v>
          </cell>
          <cell r="AD111">
            <v>0</v>
          </cell>
          <cell r="AE111">
            <v>0</v>
          </cell>
          <cell r="AF111">
            <v>0</v>
          </cell>
          <cell r="AG111">
            <v>0</v>
          </cell>
          <cell r="AH111">
            <v>0</v>
          </cell>
          <cell r="AI111">
            <v>0</v>
          </cell>
          <cell r="AJ111">
            <v>0</v>
          </cell>
          <cell r="AK111">
            <v>0</v>
          </cell>
          <cell r="AL111">
            <v>0</v>
          </cell>
          <cell r="AM111">
            <v>0</v>
          </cell>
          <cell r="AN111">
            <v>0</v>
          </cell>
          <cell r="AO111">
            <v>0</v>
          </cell>
          <cell r="AP111">
            <v>0</v>
          </cell>
          <cell r="AQ111">
            <v>0</v>
          </cell>
          <cell r="AR111">
            <v>0</v>
          </cell>
        </row>
        <row r="112">
          <cell r="F112" t="str">
            <v>Thảo Lúi</v>
          </cell>
          <cell r="AL112">
            <v>0</v>
          </cell>
          <cell r="AM112">
            <v>0</v>
          </cell>
          <cell r="AN112">
            <v>0</v>
          </cell>
          <cell r="AO112">
            <v>0</v>
          </cell>
          <cell r="AP112">
            <v>0</v>
          </cell>
          <cell r="AQ112">
            <v>0</v>
          </cell>
          <cell r="AR112">
            <v>0</v>
          </cell>
        </row>
        <row r="113">
          <cell r="F113" t="str">
            <v>Lên</v>
          </cell>
          <cell r="AL113">
            <v>0</v>
          </cell>
          <cell r="AM113">
            <v>0</v>
          </cell>
          <cell r="AN113">
            <v>0</v>
          </cell>
          <cell r="AO113">
            <v>0</v>
          </cell>
          <cell r="AP113">
            <v>0</v>
          </cell>
          <cell r="AQ113">
            <v>0</v>
          </cell>
          <cell r="AR113">
            <v>0</v>
          </cell>
        </row>
        <row r="114">
          <cell r="F114" t="str">
            <v>Ô</v>
          </cell>
          <cell r="AL114">
            <v>0</v>
          </cell>
          <cell r="AM114">
            <v>0</v>
          </cell>
          <cell r="AN114">
            <v>0</v>
          </cell>
          <cell r="AO114">
            <v>0</v>
          </cell>
          <cell r="AP114">
            <v>0</v>
          </cell>
          <cell r="AQ114">
            <v>0</v>
          </cell>
          <cell r="AR114">
            <v>0</v>
          </cell>
        </row>
        <row r="115">
          <cell r="F115" t="str">
            <v>Văn Thong</v>
          </cell>
          <cell r="AL115">
            <v>0</v>
          </cell>
          <cell r="AM115">
            <v>0</v>
          </cell>
          <cell r="AN115">
            <v>0</v>
          </cell>
          <cell r="AO115">
            <v>0</v>
          </cell>
          <cell r="AP115">
            <v>0</v>
          </cell>
          <cell r="AQ115">
            <v>0</v>
          </cell>
          <cell r="AR115">
            <v>0</v>
          </cell>
        </row>
        <row r="116">
          <cell r="F116" t="str">
            <v>Khôn (3)</v>
          </cell>
          <cell r="AL116">
            <v>0</v>
          </cell>
          <cell r="AM116">
            <v>0</v>
          </cell>
          <cell r="AN116">
            <v>0</v>
          </cell>
          <cell r="AO116">
            <v>0</v>
          </cell>
          <cell r="AP116">
            <v>0</v>
          </cell>
          <cell r="AQ116">
            <v>0</v>
          </cell>
          <cell r="AR116">
            <v>0</v>
          </cell>
        </row>
        <row r="117">
          <cell r="F117" t="str">
            <v>Me Son</v>
          </cell>
          <cell r="AL117">
            <v>0</v>
          </cell>
          <cell r="AM117">
            <v>0</v>
          </cell>
          <cell r="AN117">
            <v>0</v>
          </cell>
          <cell r="AO117">
            <v>0</v>
          </cell>
          <cell r="AP117">
            <v>0</v>
          </cell>
          <cell r="AQ117">
            <v>0</v>
          </cell>
          <cell r="AR117">
            <v>0</v>
          </cell>
        </row>
        <row r="118">
          <cell r="F118" t="str">
            <v>Me Ly</v>
          </cell>
          <cell r="AL118">
            <v>0</v>
          </cell>
          <cell r="AM118">
            <v>0</v>
          </cell>
          <cell r="AN118">
            <v>0</v>
          </cell>
          <cell r="AO118">
            <v>0</v>
          </cell>
          <cell r="AP118">
            <v>0</v>
          </cell>
          <cell r="AQ118">
            <v>0</v>
          </cell>
          <cell r="AR118">
            <v>0</v>
          </cell>
        </row>
        <row r="119">
          <cell r="F119" t="str">
            <v>Nít Ni Lanh</v>
          </cell>
          <cell r="AL119">
            <v>0</v>
          </cell>
          <cell r="AM119">
            <v>0</v>
          </cell>
          <cell r="AN119">
            <v>0</v>
          </cell>
          <cell r="AO119">
            <v>0</v>
          </cell>
          <cell r="AP119">
            <v>0</v>
          </cell>
          <cell r="AQ119">
            <v>0</v>
          </cell>
          <cell r="AR119">
            <v>0</v>
          </cell>
        </row>
        <row r="120">
          <cell r="F120" t="str">
            <v>Lăng A</v>
          </cell>
          <cell r="AL120">
            <v>0</v>
          </cell>
          <cell r="AM120">
            <v>0</v>
          </cell>
          <cell r="AN120">
            <v>0</v>
          </cell>
          <cell r="AO120">
            <v>0</v>
          </cell>
          <cell r="AP120">
            <v>0</v>
          </cell>
          <cell r="AQ120">
            <v>0</v>
          </cell>
          <cell r="AR120">
            <v>0</v>
          </cell>
        </row>
        <row r="121">
          <cell r="F121" t="str">
            <v>Phơn</v>
          </cell>
          <cell r="AL121">
            <v>0</v>
          </cell>
          <cell r="AM121">
            <v>0</v>
          </cell>
          <cell r="AN121">
            <v>0</v>
          </cell>
          <cell r="AO121">
            <v>0</v>
          </cell>
          <cell r="AP121">
            <v>0</v>
          </cell>
          <cell r="AQ121">
            <v>0</v>
          </cell>
          <cell r="AR121">
            <v>0</v>
          </cell>
        </row>
        <row r="122">
          <cell r="F122" t="str">
            <v>Chít</v>
          </cell>
          <cell r="AL122">
            <v>0</v>
          </cell>
          <cell r="AM122">
            <v>0</v>
          </cell>
          <cell r="AN122">
            <v>0</v>
          </cell>
          <cell r="AO122">
            <v>0</v>
          </cell>
          <cell r="AP122">
            <v>0</v>
          </cell>
          <cell r="AQ122">
            <v>0</v>
          </cell>
          <cell r="AR122">
            <v>0</v>
          </cell>
        </row>
        <row r="123">
          <cell r="F123" t="str">
            <v>Chec</v>
          </cell>
          <cell r="AL123">
            <v>0</v>
          </cell>
          <cell r="AM123">
            <v>0</v>
          </cell>
          <cell r="AN123">
            <v>0</v>
          </cell>
          <cell r="AO123">
            <v>0</v>
          </cell>
          <cell r="AP123">
            <v>0</v>
          </cell>
          <cell r="AQ123">
            <v>0</v>
          </cell>
          <cell r="AR123">
            <v>0</v>
          </cell>
        </row>
        <row r="124">
          <cell r="F124" t="str">
            <v>Hơn</v>
          </cell>
          <cell r="AL124">
            <v>0</v>
          </cell>
          <cell r="AM124">
            <v>0</v>
          </cell>
          <cell r="AN124">
            <v>0</v>
          </cell>
          <cell r="AO124">
            <v>0</v>
          </cell>
          <cell r="AP124">
            <v>0</v>
          </cell>
          <cell r="AQ124">
            <v>0</v>
          </cell>
          <cell r="AR124">
            <v>0</v>
          </cell>
        </row>
        <row r="125">
          <cell r="F125" t="str">
            <v>Nít</v>
          </cell>
          <cell r="AL125">
            <v>0</v>
          </cell>
          <cell r="AM125">
            <v>0</v>
          </cell>
          <cell r="AN125">
            <v>0</v>
          </cell>
          <cell r="AO125">
            <v>0</v>
          </cell>
          <cell r="AP125">
            <v>0</v>
          </cell>
          <cell r="AQ125">
            <v>0</v>
          </cell>
          <cell r="AR125">
            <v>0</v>
          </cell>
        </row>
        <row r="126">
          <cell r="F126" t="str">
            <v>Măm</v>
          </cell>
          <cell r="AL126">
            <v>0</v>
          </cell>
          <cell r="AM126">
            <v>0</v>
          </cell>
          <cell r="AN126">
            <v>0</v>
          </cell>
          <cell r="AO126">
            <v>0</v>
          </cell>
          <cell r="AP126">
            <v>0</v>
          </cell>
          <cell r="AQ126">
            <v>0</v>
          </cell>
          <cell r="AR126">
            <v>0</v>
          </cell>
        </row>
        <row r="127">
          <cell r="F127" t="str">
            <v>Nui</v>
          </cell>
          <cell r="AL127">
            <v>0</v>
          </cell>
          <cell r="AM127">
            <v>0</v>
          </cell>
          <cell r="AN127">
            <v>0</v>
          </cell>
          <cell r="AO127">
            <v>0</v>
          </cell>
          <cell r="AP127">
            <v>0</v>
          </cell>
          <cell r="AQ127">
            <v>0</v>
          </cell>
          <cell r="AR127">
            <v>0</v>
          </cell>
        </row>
        <row r="128">
          <cell r="F128" t="str">
            <v>Ðuông Chăn</v>
          </cell>
          <cell r="AL128">
            <v>0</v>
          </cell>
          <cell r="AM128">
            <v>0</v>
          </cell>
          <cell r="AN128">
            <v>0</v>
          </cell>
          <cell r="AO128">
            <v>0</v>
          </cell>
          <cell r="AP128">
            <v>0</v>
          </cell>
          <cell r="AQ128">
            <v>0</v>
          </cell>
          <cell r="AR128">
            <v>0</v>
          </cell>
        </row>
        <row r="129">
          <cell r="F129" t="str">
            <v>Xing</v>
          </cell>
          <cell r="AL129">
            <v>0</v>
          </cell>
          <cell r="AM129">
            <v>0</v>
          </cell>
          <cell r="AN129">
            <v>0</v>
          </cell>
          <cell r="AO129">
            <v>0</v>
          </cell>
          <cell r="AP129">
            <v>0</v>
          </cell>
          <cell r="AQ129">
            <v>0</v>
          </cell>
          <cell r="AR129">
            <v>0</v>
          </cell>
        </row>
        <row r="130">
          <cell r="F130" t="str">
            <v>Xi No</v>
          </cell>
          <cell r="AL130">
            <v>0</v>
          </cell>
          <cell r="AM130">
            <v>0</v>
          </cell>
          <cell r="AN130">
            <v>0</v>
          </cell>
          <cell r="AO130">
            <v>0</v>
          </cell>
          <cell r="AP130">
            <v>0</v>
          </cell>
          <cell r="AQ130">
            <v>0</v>
          </cell>
          <cell r="AR130">
            <v>0</v>
          </cell>
        </row>
        <row r="131">
          <cell r="F131" t="str">
            <v>Lói</v>
          </cell>
          <cell r="AL131">
            <v>0</v>
          </cell>
          <cell r="AM131">
            <v>0</v>
          </cell>
          <cell r="AN131">
            <v>0</v>
          </cell>
          <cell r="AO131">
            <v>0</v>
          </cell>
          <cell r="AP131">
            <v>0</v>
          </cell>
          <cell r="AQ131">
            <v>0</v>
          </cell>
          <cell r="AR131">
            <v>0</v>
          </cell>
        </row>
        <row r="132">
          <cell r="F132" t="str">
            <v>Nọi (3)</v>
          </cell>
          <cell r="AL132">
            <v>0</v>
          </cell>
          <cell r="AM132">
            <v>0</v>
          </cell>
          <cell r="AN132">
            <v>0</v>
          </cell>
          <cell r="AO132">
            <v>0</v>
          </cell>
          <cell r="AP132">
            <v>0</v>
          </cell>
          <cell r="AQ132">
            <v>0</v>
          </cell>
          <cell r="AR132">
            <v>0</v>
          </cell>
        </row>
        <row r="133">
          <cell r="F133" t="str">
            <v>Thảo Ký</v>
          </cell>
          <cell r="AL133">
            <v>0</v>
          </cell>
          <cell r="AM133">
            <v>0</v>
          </cell>
          <cell r="AN133">
            <v>0</v>
          </cell>
          <cell r="AO133">
            <v>0</v>
          </cell>
          <cell r="AP133">
            <v>0</v>
          </cell>
          <cell r="AQ133">
            <v>0</v>
          </cell>
          <cell r="AR133">
            <v>0</v>
          </cell>
        </row>
        <row r="134">
          <cell r="F134" t="str">
            <v>Nam phon</v>
          </cell>
          <cell r="AL134">
            <v>0</v>
          </cell>
          <cell r="AM134">
            <v>0</v>
          </cell>
          <cell r="AN134">
            <v>0</v>
          </cell>
          <cell r="AO134">
            <v>0</v>
          </cell>
          <cell r="AP134">
            <v>0</v>
          </cell>
          <cell r="AQ134">
            <v>0</v>
          </cell>
          <cell r="AR134">
            <v>0</v>
          </cell>
        </row>
        <row r="135">
          <cell r="F135" t="str">
            <v>Nang Ta</v>
          </cell>
          <cell r="AL135">
            <v>0</v>
          </cell>
          <cell r="AM135">
            <v>0</v>
          </cell>
          <cell r="AN135">
            <v>0</v>
          </cell>
          <cell r="AO135">
            <v>0</v>
          </cell>
          <cell r="AP135">
            <v>0</v>
          </cell>
          <cell r="AQ135">
            <v>0</v>
          </cell>
          <cell r="AR135">
            <v>0</v>
          </cell>
        </row>
        <row r="136">
          <cell r="F136" t="str">
            <v>Pa Lay</v>
          </cell>
          <cell r="AL136">
            <v>0</v>
          </cell>
          <cell r="AM136">
            <v>0</v>
          </cell>
          <cell r="AN136">
            <v>0</v>
          </cell>
          <cell r="AO136">
            <v>0</v>
          </cell>
          <cell r="AP136">
            <v>0</v>
          </cell>
          <cell r="AQ136">
            <v>0</v>
          </cell>
          <cell r="AR136">
            <v>0</v>
          </cell>
        </row>
        <row r="137">
          <cell r="F137" t="str">
            <v>Lăm phon (3)</v>
          </cell>
          <cell r="AL137">
            <v>0</v>
          </cell>
          <cell r="AM137">
            <v>0</v>
          </cell>
          <cell r="AN137">
            <v>0</v>
          </cell>
          <cell r="AO137">
            <v>0</v>
          </cell>
          <cell r="AP137">
            <v>0</v>
          </cell>
          <cell r="AQ137">
            <v>0</v>
          </cell>
          <cell r="AR137">
            <v>0</v>
          </cell>
        </row>
        <row r="138">
          <cell r="F138" t="str">
            <v>Tia</v>
          </cell>
          <cell r="AL138">
            <v>0</v>
          </cell>
          <cell r="AM138">
            <v>0</v>
          </cell>
          <cell r="AN138">
            <v>0</v>
          </cell>
          <cell r="AO138">
            <v>0</v>
          </cell>
          <cell r="AP138">
            <v>0</v>
          </cell>
          <cell r="AQ138">
            <v>0</v>
          </cell>
          <cell r="AR138">
            <v>0</v>
          </cell>
        </row>
        <row r="139">
          <cell r="F139" t="str">
            <v>Xay (3)</v>
          </cell>
          <cell r="AL139">
            <v>0</v>
          </cell>
          <cell r="AM139">
            <v>0</v>
          </cell>
          <cell r="AN139">
            <v>0</v>
          </cell>
          <cell r="AO139">
            <v>0</v>
          </cell>
          <cell r="AP139">
            <v>0</v>
          </cell>
          <cell r="AQ139">
            <v>0</v>
          </cell>
          <cell r="AR139">
            <v>0</v>
          </cell>
        </row>
        <row r="140">
          <cell r="F140" t="str">
            <v>Kị To</v>
          </cell>
          <cell r="AL140">
            <v>0</v>
          </cell>
          <cell r="AM140">
            <v>0</v>
          </cell>
          <cell r="AN140">
            <v>0</v>
          </cell>
          <cell r="AO140">
            <v>0</v>
          </cell>
          <cell r="AP140">
            <v>0</v>
          </cell>
          <cell r="AQ140">
            <v>0</v>
          </cell>
          <cell r="AR140">
            <v>0</v>
          </cell>
        </row>
        <row r="141">
          <cell r="F141" t="str">
            <v>Quy</v>
          </cell>
          <cell r="AL141">
            <v>0</v>
          </cell>
          <cell r="AM141">
            <v>0</v>
          </cell>
          <cell r="AN141">
            <v>0</v>
          </cell>
          <cell r="AO141">
            <v>0</v>
          </cell>
          <cell r="AP141">
            <v>0</v>
          </cell>
          <cell r="AQ141">
            <v>0</v>
          </cell>
          <cell r="AR141">
            <v>0</v>
          </cell>
        </row>
        <row r="142">
          <cell r="F142" t="str">
            <v>Long</v>
          </cell>
          <cell r="AL142">
            <v>0</v>
          </cell>
          <cell r="AM142">
            <v>0</v>
          </cell>
          <cell r="AN142">
            <v>0</v>
          </cell>
          <cell r="AO142">
            <v>0</v>
          </cell>
          <cell r="AP142">
            <v>0</v>
          </cell>
          <cell r="AQ142">
            <v>0</v>
          </cell>
          <cell r="AR142">
            <v>0</v>
          </cell>
        </row>
        <row r="143">
          <cell r="F143" t="str">
            <v>Ki</v>
          </cell>
          <cell r="AL143">
            <v>0</v>
          </cell>
          <cell r="AM143">
            <v>0</v>
          </cell>
          <cell r="AN143">
            <v>0</v>
          </cell>
          <cell r="AO143">
            <v>0</v>
          </cell>
          <cell r="AP143">
            <v>0</v>
          </cell>
          <cell r="AQ143">
            <v>0</v>
          </cell>
          <cell r="AR143">
            <v>0</v>
          </cell>
        </row>
        <row r="144">
          <cell r="F144" t="str">
            <v>Phết (3)</v>
          </cell>
          <cell r="AL144">
            <v>0</v>
          </cell>
          <cell r="AM144">
            <v>0</v>
          </cell>
          <cell r="AN144">
            <v>0</v>
          </cell>
          <cell r="AO144">
            <v>0</v>
          </cell>
          <cell r="AP144">
            <v>0</v>
          </cell>
          <cell r="AQ144">
            <v>0</v>
          </cell>
          <cell r="AR144">
            <v>0</v>
          </cell>
        </row>
        <row r="145">
          <cell r="F145" t="str">
            <v>Bôn</v>
          </cell>
          <cell r="AL145">
            <v>0</v>
          </cell>
          <cell r="AM145">
            <v>0</v>
          </cell>
          <cell r="AN145">
            <v>0</v>
          </cell>
          <cell r="AO145">
            <v>0</v>
          </cell>
          <cell r="AP145">
            <v>0</v>
          </cell>
          <cell r="AQ145">
            <v>0</v>
          </cell>
          <cell r="AR145">
            <v>0</v>
          </cell>
        </row>
        <row r="146">
          <cell r="F146" t="str">
            <v>Xôn</v>
          </cell>
          <cell r="AL146">
            <v>0</v>
          </cell>
          <cell r="AM146">
            <v>0</v>
          </cell>
          <cell r="AN146">
            <v>0</v>
          </cell>
          <cell r="AO146">
            <v>0</v>
          </cell>
          <cell r="AP146">
            <v>0</v>
          </cell>
          <cell r="AQ146">
            <v>0</v>
          </cell>
          <cell r="AR146">
            <v>0</v>
          </cell>
        </row>
        <row r="147">
          <cell r="F147" t="str">
            <v>Phum Hom</v>
          </cell>
          <cell r="AL147">
            <v>0</v>
          </cell>
          <cell r="AM147">
            <v>0</v>
          </cell>
          <cell r="AN147">
            <v>0</v>
          </cell>
          <cell r="AO147">
            <v>0</v>
          </cell>
          <cell r="AP147">
            <v>0</v>
          </cell>
          <cell r="AQ147">
            <v>0</v>
          </cell>
          <cell r="AR147">
            <v>0</v>
          </cell>
        </row>
        <row r="148">
          <cell r="F148" t="str">
            <v>Nút</v>
          </cell>
          <cell r="AL148">
            <v>0</v>
          </cell>
          <cell r="AM148">
            <v>0</v>
          </cell>
          <cell r="AN148">
            <v>0</v>
          </cell>
          <cell r="AO148">
            <v>0</v>
          </cell>
          <cell r="AP148">
            <v>0</v>
          </cell>
          <cell r="AQ148">
            <v>0</v>
          </cell>
          <cell r="AR148">
            <v>0</v>
          </cell>
        </row>
        <row r="149">
          <cell r="F149" t="str">
            <v>Hăm Nọi A</v>
          </cell>
          <cell r="AL149">
            <v>0</v>
          </cell>
          <cell r="AM149">
            <v>0</v>
          </cell>
          <cell r="AN149">
            <v>0</v>
          </cell>
          <cell r="AO149">
            <v>0</v>
          </cell>
          <cell r="AP149">
            <v>0</v>
          </cell>
          <cell r="AQ149">
            <v>0</v>
          </cell>
          <cell r="AR149">
            <v>0</v>
          </cell>
        </row>
        <row r="150">
          <cell r="F150" t="str">
            <v>Cheo</v>
          </cell>
          <cell r="AL150">
            <v>0</v>
          </cell>
          <cell r="AM150">
            <v>0</v>
          </cell>
          <cell r="AN150">
            <v>0</v>
          </cell>
          <cell r="AO150">
            <v>0</v>
          </cell>
          <cell r="AP150">
            <v>0</v>
          </cell>
          <cell r="AQ150">
            <v>0</v>
          </cell>
          <cell r="AR150">
            <v>0</v>
          </cell>
        </row>
        <row r="151">
          <cell r="F151" t="str">
            <v>Tà (3)</v>
          </cell>
          <cell r="AL151">
            <v>0</v>
          </cell>
          <cell r="AM151">
            <v>0</v>
          </cell>
          <cell r="AN151">
            <v>0</v>
          </cell>
          <cell r="AO151">
            <v>0</v>
          </cell>
          <cell r="AP151">
            <v>0</v>
          </cell>
          <cell r="AQ151">
            <v>0</v>
          </cell>
          <cell r="AR151">
            <v>0</v>
          </cell>
        </row>
        <row r="152">
          <cell r="F152" t="str">
            <v>Nang Hắc</v>
          </cell>
          <cell r="AL152">
            <v>0</v>
          </cell>
          <cell r="AM152">
            <v>0</v>
          </cell>
          <cell r="AN152">
            <v>0</v>
          </cell>
          <cell r="AO152">
            <v>0</v>
          </cell>
          <cell r="AP152">
            <v>0</v>
          </cell>
          <cell r="AQ152">
            <v>0</v>
          </cell>
          <cell r="AR152">
            <v>0</v>
          </cell>
        </row>
        <row r="153">
          <cell r="F153" t="str">
            <v>Cong</v>
          </cell>
          <cell r="AL153">
            <v>0</v>
          </cell>
          <cell r="AM153">
            <v>0</v>
          </cell>
          <cell r="AN153">
            <v>0</v>
          </cell>
          <cell r="AO153">
            <v>0</v>
          </cell>
          <cell r="AP153">
            <v>0</v>
          </cell>
          <cell r="AQ153">
            <v>0</v>
          </cell>
          <cell r="AR153">
            <v>0</v>
          </cell>
        </row>
        <row r="154">
          <cell r="F154" t="str">
            <v>Khăm B</v>
          </cell>
          <cell r="AL154">
            <v>0</v>
          </cell>
          <cell r="AM154">
            <v>0</v>
          </cell>
          <cell r="AN154">
            <v>0</v>
          </cell>
          <cell r="AO154">
            <v>0</v>
          </cell>
          <cell r="AP154">
            <v>0</v>
          </cell>
          <cell r="AQ154">
            <v>0</v>
          </cell>
          <cell r="AR154">
            <v>0</v>
          </cell>
        </row>
        <row r="155">
          <cell r="F155" t="str">
            <v>Tom</v>
          </cell>
          <cell r="AL155">
            <v>0</v>
          </cell>
          <cell r="AM155">
            <v>0</v>
          </cell>
          <cell r="AN155">
            <v>0</v>
          </cell>
          <cell r="AO155">
            <v>0</v>
          </cell>
          <cell r="AP155">
            <v>0</v>
          </cell>
          <cell r="AQ155">
            <v>0</v>
          </cell>
          <cell r="AR155">
            <v>0</v>
          </cell>
        </row>
        <row r="156">
          <cell r="F156" t="str">
            <v>Nang Py</v>
          </cell>
          <cell r="AL156">
            <v>0</v>
          </cell>
          <cell r="AM156">
            <v>0</v>
          </cell>
          <cell r="AN156">
            <v>0</v>
          </cell>
          <cell r="AO156">
            <v>0</v>
          </cell>
          <cell r="AP156">
            <v>0</v>
          </cell>
          <cell r="AQ156">
            <v>0</v>
          </cell>
          <cell r="AR156">
            <v>0</v>
          </cell>
        </row>
        <row r="157">
          <cell r="F157" t="str">
            <v>Khăm Mừn</v>
          </cell>
          <cell r="AL157">
            <v>0</v>
          </cell>
          <cell r="AM157">
            <v>0</v>
          </cell>
          <cell r="AN157">
            <v>0</v>
          </cell>
          <cell r="AO157">
            <v>0</v>
          </cell>
          <cell r="AP157">
            <v>0</v>
          </cell>
          <cell r="AQ157">
            <v>0</v>
          </cell>
          <cell r="AR157">
            <v>0</v>
          </cell>
        </row>
        <row r="158">
          <cell r="F158" t="str">
            <v>Choi (3)</v>
          </cell>
          <cell r="AL158">
            <v>0</v>
          </cell>
          <cell r="AM158">
            <v>0</v>
          </cell>
          <cell r="AN158">
            <v>0</v>
          </cell>
          <cell r="AO158">
            <v>0</v>
          </cell>
          <cell r="AP158">
            <v>0</v>
          </cell>
          <cell r="AQ158">
            <v>0</v>
          </cell>
          <cell r="AR158">
            <v>0</v>
          </cell>
        </row>
        <row r="159">
          <cell r="F159" t="str">
            <v>E</v>
          </cell>
          <cell r="AL159">
            <v>0</v>
          </cell>
          <cell r="AM159">
            <v>0</v>
          </cell>
          <cell r="AN159">
            <v>0</v>
          </cell>
          <cell r="AO159">
            <v>0</v>
          </cell>
          <cell r="AP159">
            <v>0</v>
          </cell>
          <cell r="AQ159">
            <v>0</v>
          </cell>
          <cell r="AR159">
            <v>0</v>
          </cell>
        </row>
        <row r="160">
          <cell r="F160" t="str">
            <v>Kẹo Ta</v>
          </cell>
          <cell r="AL160">
            <v>0</v>
          </cell>
          <cell r="AM160">
            <v>0</v>
          </cell>
          <cell r="AN160">
            <v>0</v>
          </cell>
          <cell r="AO160">
            <v>0</v>
          </cell>
          <cell r="AP160">
            <v>0</v>
          </cell>
          <cell r="AQ160">
            <v>0</v>
          </cell>
          <cell r="AR160">
            <v>0</v>
          </cell>
        </row>
        <row r="161">
          <cell r="F161" t="str">
            <v>Thon</v>
          </cell>
          <cell r="AL161">
            <v>0</v>
          </cell>
          <cell r="AM161">
            <v>0</v>
          </cell>
          <cell r="AN161">
            <v>0</v>
          </cell>
          <cell r="AO161">
            <v>0</v>
          </cell>
          <cell r="AP161">
            <v>0</v>
          </cell>
          <cell r="AQ161">
            <v>0</v>
          </cell>
          <cell r="AR161">
            <v>0</v>
          </cell>
        </row>
        <row r="162">
          <cell r="F162" t="str">
            <v>Nhon</v>
          </cell>
          <cell r="AL162">
            <v>0</v>
          </cell>
          <cell r="AM162">
            <v>0</v>
          </cell>
          <cell r="AN162">
            <v>0</v>
          </cell>
          <cell r="AO162">
            <v>0</v>
          </cell>
          <cell r="AP162">
            <v>0</v>
          </cell>
          <cell r="AQ162">
            <v>0</v>
          </cell>
          <cell r="AR162">
            <v>0</v>
          </cell>
        </row>
        <row r="163">
          <cell r="F163" t="str">
            <v>Nàng Núi</v>
          </cell>
          <cell r="AL163">
            <v>0</v>
          </cell>
          <cell r="AM163">
            <v>0</v>
          </cell>
          <cell r="AN163">
            <v>0</v>
          </cell>
          <cell r="AO163">
            <v>0</v>
          </cell>
          <cell r="AP163">
            <v>0</v>
          </cell>
          <cell r="AQ163">
            <v>0</v>
          </cell>
          <cell r="AR163">
            <v>0</v>
          </cell>
        </row>
        <row r="164">
          <cell r="F164" t="str">
            <v>Nàng Nú</v>
          </cell>
          <cell r="AL164">
            <v>0</v>
          </cell>
          <cell r="AM164">
            <v>0</v>
          </cell>
          <cell r="AN164">
            <v>0</v>
          </cell>
          <cell r="AO164">
            <v>0</v>
          </cell>
          <cell r="AP164">
            <v>0</v>
          </cell>
          <cell r="AQ164">
            <v>0</v>
          </cell>
          <cell r="AR164">
            <v>0</v>
          </cell>
        </row>
        <row r="165">
          <cell r="F165" t="str">
            <v>Khăm</v>
          </cell>
          <cell r="AL165">
            <v>0</v>
          </cell>
          <cell r="AM165">
            <v>0</v>
          </cell>
          <cell r="AN165">
            <v>0</v>
          </cell>
          <cell r="AO165">
            <v>0</v>
          </cell>
          <cell r="AP165">
            <v>0</v>
          </cell>
          <cell r="AQ165">
            <v>0</v>
          </cell>
          <cell r="AR165">
            <v>0</v>
          </cell>
        </row>
        <row r="166">
          <cell r="F166" t="str">
            <v>Nàng Bát</v>
          </cell>
          <cell r="AL166">
            <v>0</v>
          </cell>
          <cell r="AM166">
            <v>0</v>
          </cell>
          <cell r="AN166">
            <v>0</v>
          </cell>
          <cell r="AO166">
            <v>0</v>
          </cell>
          <cell r="AP166">
            <v>0</v>
          </cell>
          <cell r="AQ166">
            <v>0</v>
          </cell>
          <cell r="AR166">
            <v>0</v>
          </cell>
        </row>
        <row r="167">
          <cell r="F167" t="str">
            <v>Dộc</v>
          </cell>
          <cell r="AL167">
            <v>0</v>
          </cell>
          <cell r="AM167">
            <v>0</v>
          </cell>
          <cell r="AN167">
            <v>0</v>
          </cell>
          <cell r="AO167">
            <v>0</v>
          </cell>
          <cell r="AP167">
            <v>0</v>
          </cell>
          <cell r="AQ167">
            <v>0</v>
          </cell>
          <cell r="AR167">
            <v>0</v>
          </cell>
        </row>
        <row r="168">
          <cell r="F168" t="str">
            <v>Chăn (3)</v>
          </cell>
          <cell r="AL168">
            <v>0</v>
          </cell>
          <cell r="AM168">
            <v>0</v>
          </cell>
          <cell r="AN168">
            <v>0</v>
          </cell>
          <cell r="AO168">
            <v>0</v>
          </cell>
          <cell r="AP168">
            <v>0</v>
          </cell>
          <cell r="AQ168">
            <v>0</v>
          </cell>
          <cell r="AR168">
            <v>0</v>
          </cell>
        </row>
        <row r="169">
          <cell r="F169" t="str">
            <v>Hát</v>
          </cell>
          <cell r="AL169">
            <v>0</v>
          </cell>
          <cell r="AM169">
            <v>0</v>
          </cell>
          <cell r="AN169">
            <v>0</v>
          </cell>
          <cell r="AO169">
            <v>0</v>
          </cell>
          <cell r="AP169">
            <v>0</v>
          </cell>
          <cell r="AQ169">
            <v>0</v>
          </cell>
          <cell r="AR169">
            <v>0</v>
          </cell>
        </row>
        <row r="170">
          <cell r="F170" t="str">
            <v>Bun (3)</v>
          </cell>
          <cell r="AL170">
            <v>0</v>
          </cell>
          <cell r="AM170">
            <v>0</v>
          </cell>
          <cell r="AN170">
            <v>0</v>
          </cell>
          <cell r="AO170">
            <v>0</v>
          </cell>
          <cell r="AP170">
            <v>0</v>
          </cell>
          <cell r="AQ170">
            <v>0</v>
          </cell>
          <cell r="AR170">
            <v>0</v>
          </cell>
        </row>
        <row r="171">
          <cell r="F171" t="str">
            <v>Hông Khăm</v>
          </cell>
          <cell r="AL171">
            <v>0</v>
          </cell>
          <cell r="AM171">
            <v>0</v>
          </cell>
          <cell r="AN171">
            <v>0</v>
          </cell>
          <cell r="AO171">
            <v>0</v>
          </cell>
          <cell r="AP171">
            <v>0</v>
          </cell>
          <cell r="AQ171">
            <v>0</v>
          </cell>
          <cell r="AR171">
            <v>0</v>
          </cell>
        </row>
        <row r="172">
          <cell r="G172">
            <v>0</v>
          </cell>
          <cell r="H172">
            <v>0</v>
          </cell>
          <cell r="I172">
            <v>0</v>
          </cell>
          <cell r="J172">
            <v>0</v>
          </cell>
          <cell r="K172">
            <v>0</v>
          </cell>
          <cell r="L172">
            <v>0</v>
          </cell>
          <cell r="M172">
            <v>0</v>
          </cell>
          <cell r="N172">
            <v>0</v>
          </cell>
          <cell r="O172">
            <v>0</v>
          </cell>
          <cell r="P172">
            <v>0</v>
          </cell>
          <cell r="Q172">
            <v>0</v>
          </cell>
          <cell r="R172">
            <v>0</v>
          </cell>
          <cell r="S172">
            <v>0</v>
          </cell>
          <cell r="T172">
            <v>0</v>
          </cell>
          <cell r="U172">
            <v>0</v>
          </cell>
          <cell r="V172">
            <v>0</v>
          </cell>
          <cell r="W172">
            <v>0</v>
          </cell>
          <cell r="X172">
            <v>0</v>
          </cell>
          <cell r="Y172">
            <v>0</v>
          </cell>
          <cell r="Z172">
            <v>0</v>
          </cell>
          <cell r="AA172">
            <v>0</v>
          </cell>
          <cell r="AB172">
            <v>0</v>
          </cell>
          <cell r="AC172">
            <v>0</v>
          </cell>
          <cell r="AD172">
            <v>0</v>
          </cell>
          <cell r="AE172">
            <v>0</v>
          </cell>
          <cell r="AF172">
            <v>0</v>
          </cell>
          <cell r="AG172">
            <v>0</v>
          </cell>
          <cell r="AH172">
            <v>0</v>
          </cell>
          <cell r="AI172">
            <v>0</v>
          </cell>
          <cell r="AJ172">
            <v>0</v>
          </cell>
          <cell r="AK172">
            <v>0</v>
          </cell>
          <cell r="AL172">
            <v>0</v>
          </cell>
          <cell r="AM172">
            <v>0</v>
          </cell>
          <cell r="AN172">
            <v>0</v>
          </cell>
          <cell r="AO172">
            <v>0</v>
          </cell>
          <cell r="AP172">
            <v>0</v>
          </cell>
          <cell r="AQ172">
            <v>0</v>
          </cell>
          <cell r="AR172">
            <v>0</v>
          </cell>
        </row>
        <row r="173">
          <cell r="F173" t="str">
            <v>Thá</v>
          </cell>
          <cell r="AL173">
            <v>0</v>
          </cell>
          <cell r="AM173">
            <v>0</v>
          </cell>
          <cell r="AN173">
            <v>0</v>
          </cell>
          <cell r="AO173">
            <v>0</v>
          </cell>
          <cell r="AP173">
            <v>0</v>
          </cell>
          <cell r="AQ173">
            <v>0</v>
          </cell>
          <cell r="AR173">
            <v>0</v>
          </cell>
        </row>
        <row r="174">
          <cell r="F174" t="str">
            <v>Đăm (3)</v>
          </cell>
          <cell r="AL174">
            <v>0</v>
          </cell>
          <cell r="AM174">
            <v>0</v>
          </cell>
          <cell r="AN174">
            <v>0</v>
          </cell>
          <cell r="AO174">
            <v>0</v>
          </cell>
          <cell r="AP174">
            <v>0</v>
          </cell>
          <cell r="AQ174">
            <v>0</v>
          </cell>
          <cell r="AR174">
            <v>0</v>
          </cell>
        </row>
        <row r="175">
          <cell r="F175" t="str">
            <v>Chọt</v>
          </cell>
          <cell r="AL175">
            <v>0</v>
          </cell>
          <cell r="AM175">
            <v>0</v>
          </cell>
          <cell r="AN175">
            <v>0</v>
          </cell>
          <cell r="AO175">
            <v>0</v>
          </cell>
          <cell r="AP175">
            <v>0</v>
          </cell>
          <cell r="AQ175">
            <v>0</v>
          </cell>
          <cell r="AR175">
            <v>0</v>
          </cell>
        </row>
        <row r="176">
          <cell r="F176" t="str">
            <v>Vat Sa Na</v>
          </cell>
          <cell r="AL176">
            <v>0</v>
          </cell>
          <cell r="AM176">
            <v>0</v>
          </cell>
          <cell r="AN176">
            <v>0</v>
          </cell>
          <cell r="AO176">
            <v>0</v>
          </cell>
          <cell r="AP176">
            <v>0</v>
          </cell>
          <cell r="AQ176">
            <v>0</v>
          </cell>
          <cell r="AR176">
            <v>0</v>
          </cell>
        </row>
        <row r="177">
          <cell r="F177" t="str">
            <v>Xi La</v>
          </cell>
          <cell r="AL177">
            <v>0</v>
          </cell>
          <cell r="AM177">
            <v>0</v>
          </cell>
          <cell r="AN177">
            <v>0</v>
          </cell>
          <cell r="AO177">
            <v>0</v>
          </cell>
          <cell r="AP177">
            <v>0</v>
          </cell>
          <cell r="AQ177">
            <v>0</v>
          </cell>
          <cell r="AR177">
            <v>0</v>
          </cell>
        </row>
        <row r="178">
          <cell r="F178" t="str">
            <v>Nàng Lên</v>
          </cell>
          <cell r="AL178">
            <v>0</v>
          </cell>
          <cell r="AM178">
            <v>0</v>
          </cell>
          <cell r="AN178">
            <v>0</v>
          </cell>
          <cell r="AO178">
            <v>0</v>
          </cell>
          <cell r="AP178">
            <v>0</v>
          </cell>
          <cell r="AQ178">
            <v>0</v>
          </cell>
          <cell r="AR178">
            <v>0</v>
          </cell>
        </row>
        <row r="179">
          <cell r="F179" t="str">
            <v>Kum Man</v>
          </cell>
          <cell r="AL179">
            <v>0</v>
          </cell>
          <cell r="AM179">
            <v>0</v>
          </cell>
          <cell r="AN179">
            <v>0</v>
          </cell>
          <cell r="AO179">
            <v>0</v>
          </cell>
          <cell r="AP179">
            <v>0</v>
          </cell>
          <cell r="AQ179">
            <v>0</v>
          </cell>
          <cell r="AR179">
            <v>0</v>
          </cell>
        </row>
        <row r="180">
          <cell r="F180" t="str">
            <v>Xai Ta</v>
          </cell>
          <cell r="AL180">
            <v>0</v>
          </cell>
          <cell r="AM180">
            <v>0</v>
          </cell>
          <cell r="AN180">
            <v>0</v>
          </cell>
          <cell r="AO180">
            <v>0</v>
          </cell>
          <cell r="AP180">
            <v>0</v>
          </cell>
          <cell r="AQ180">
            <v>0</v>
          </cell>
          <cell r="AR180">
            <v>0</v>
          </cell>
        </row>
        <row r="181">
          <cell r="F181" t="str">
            <v>Ót</v>
          </cell>
          <cell r="AL181">
            <v>0</v>
          </cell>
          <cell r="AM181">
            <v>0</v>
          </cell>
          <cell r="AN181">
            <v>0</v>
          </cell>
          <cell r="AO181">
            <v>0</v>
          </cell>
          <cell r="AP181">
            <v>0</v>
          </cell>
          <cell r="AQ181">
            <v>0</v>
          </cell>
          <cell r="AR181">
            <v>0</v>
          </cell>
        </row>
        <row r="182">
          <cell r="F182" t="str">
            <v>Thảo Tom</v>
          </cell>
          <cell r="AL182">
            <v>0</v>
          </cell>
          <cell r="AM182">
            <v>0</v>
          </cell>
          <cell r="AN182">
            <v>0</v>
          </cell>
          <cell r="AO182">
            <v>0</v>
          </cell>
          <cell r="AP182">
            <v>0</v>
          </cell>
          <cell r="AQ182">
            <v>0</v>
          </cell>
          <cell r="AR182">
            <v>0</v>
          </cell>
        </row>
        <row r="183">
          <cell r="F183" t="str">
            <v>Me Nhon</v>
          </cell>
          <cell r="AL183">
            <v>0</v>
          </cell>
          <cell r="AM183">
            <v>0</v>
          </cell>
          <cell r="AN183">
            <v>0</v>
          </cell>
          <cell r="AO183">
            <v>0</v>
          </cell>
          <cell r="AP183">
            <v>0</v>
          </cell>
          <cell r="AQ183">
            <v>0</v>
          </cell>
          <cell r="AR183">
            <v>0</v>
          </cell>
        </row>
        <row r="184">
          <cell r="F184" t="str">
            <v>Son</v>
          </cell>
          <cell r="AL184">
            <v>0</v>
          </cell>
          <cell r="AM184">
            <v>0</v>
          </cell>
          <cell r="AN184">
            <v>0</v>
          </cell>
          <cell r="AO184">
            <v>0</v>
          </cell>
          <cell r="AP184">
            <v>0</v>
          </cell>
          <cell r="AQ184">
            <v>0</v>
          </cell>
          <cell r="AR184">
            <v>0</v>
          </cell>
        </row>
        <row r="185">
          <cell r="F185" t="str">
            <v>Sét</v>
          </cell>
          <cell r="AL185">
            <v>0</v>
          </cell>
          <cell r="AM185">
            <v>0</v>
          </cell>
          <cell r="AN185">
            <v>0</v>
          </cell>
          <cell r="AO185">
            <v>0</v>
          </cell>
          <cell r="AP185">
            <v>0</v>
          </cell>
          <cell r="AQ185">
            <v>0</v>
          </cell>
          <cell r="AR185">
            <v>0</v>
          </cell>
        </row>
        <row r="186">
          <cell r="F186" t="str">
            <v>Ka Te</v>
          </cell>
          <cell r="AL186">
            <v>0</v>
          </cell>
          <cell r="AM186">
            <v>0</v>
          </cell>
          <cell r="AN186">
            <v>0</v>
          </cell>
          <cell r="AO186">
            <v>0</v>
          </cell>
          <cell r="AP186">
            <v>0</v>
          </cell>
          <cell r="AQ186">
            <v>0</v>
          </cell>
          <cell r="AR186">
            <v>0</v>
          </cell>
        </row>
        <row r="187">
          <cell r="F187" t="str">
            <v>In</v>
          </cell>
          <cell r="AL187">
            <v>0</v>
          </cell>
          <cell r="AM187">
            <v>0</v>
          </cell>
          <cell r="AN187">
            <v>0</v>
          </cell>
          <cell r="AO187">
            <v>0</v>
          </cell>
          <cell r="AP187">
            <v>0</v>
          </cell>
          <cell r="AQ187">
            <v>0</v>
          </cell>
          <cell r="AR187">
            <v>0</v>
          </cell>
        </row>
        <row r="188">
          <cell r="F188" t="str">
            <v>Nang Híp</v>
          </cell>
          <cell r="AL188">
            <v>0</v>
          </cell>
          <cell r="AM188">
            <v>0</v>
          </cell>
          <cell r="AN188">
            <v>0</v>
          </cell>
          <cell r="AO188">
            <v>0</v>
          </cell>
          <cell r="AP188">
            <v>0</v>
          </cell>
          <cell r="AQ188">
            <v>0</v>
          </cell>
          <cell r="AR188">
            <v>0</v>
          </cell>
        </row>
        <row r="189">
          <cell r="F189" t="str">
            <v>Đao</v>
          </cell>
          <cell r="AL189">
            <v>0</v>
          </cell>
          <cell r="AM189">
            <v>0</v>
          </cell>
          <cell r="AN189">
            <v>0</v>
          </cell>
          <cell r="AO189">
            <v>0</v>
          </cell>
          <cell r="AP189">
            <v>0</v>
          </cell>
          <cell r="AQ189">
            <v>0</v>
          </cell>
          <cell r="AR189">
            <v>0</v>
          </cell>
        </row>
        <row r="190">
          <cell r="F190" t="str">
            <v>Lon</v>
          </cell>
          <cell r="AL190">
            <v>0</v>
          </cell>
          <cell r="AM190">
            <v>0</v>
          </cell>
          <cell r="AN190">
            <v>0</v>
          </cell>
          <cell r="AO190">
            <v>0</v>
          </cell>
          <cell r="AP190">
            <v>0</v>
          </cell>
          <cell r="AQ190">
            <v>0</v>
          </cell>
          <cell r="AR190">
            <v>0</v>
          </cell>
        </row>
        <row r="191">
          <cell r="F191" t="str">
            <v>Khăm Bun</v>
          </cell>
          <cell r="AL191">
            <v>0</v>
          </cell>
          <cell r="AM191">
            <v>0</v>
          </cell>
          <cell r="AN191">
            <v>0</v>
          </cell>
          <cell r="AO191">
            <v>0</v>
          </cell>
          <cell r="AP191">
            <v>0</v>
          </cell>
          <cell r="AQ191">
            <v>0</v>
          </cell>
          <cell r="AR191">
            <v>0</v>
          </cell>
        </row>
        <row r="192">
          <cell r="F192" t="str">
            <v>Tý (3)</v>
          </cell>
          <cell r="AL192">
            <v>0</v>
          </cell>
          <cell r="AM192">
            <v>0</v>
          </cell>
          <cell r="AN192">
            <v>0</v>
          </cell>
          <cell r="AO192">
            <v>0</v>
          </cell>
          <cell r="AP192">
            <v>0</v>
          </cell>
          <cell r="AQ192">
            <v>0</v>
          </cell>
          <cell r="AR192">
            <v>0</v>
          </cell>
        </row>
        <row r="193">
          <cell r="F193" t="str">
            <v>Hông</v>
          </cell>
          <cell r="AL193">
            <v>0</v>
          </cell>
          <cell r="AM193">
            <v>0</v>
          </cell>
          <cell r="AN193">
            <v>0</v>
          </cell>
          <cell r="AO193">
            <v>0</v>
          </cell>
          <cell r="AP193">
            <v>0</v>
          </cell>
          <cell r="AQ193">
            <v>0</v>
          </cell>
          <cell r="AR193">
            <v>0</v>
          </cell>
        </row>
        <row r="194">
          <cell r="F194" t="str">
            <v>Chinh</v>
          </cell>
          <cell r="AL194">
            <v>0</v>
          </cell>
          <cell r="AM194">
            <v>0</v>
          </cell>
          <cell r="AN194">
            <v>0</v>
          </cell>
          <cell r="AO194">
            <v>0</v>
          </cell>
          <cell r="AP194">
            <v>0</v>
          </cell>
          <cell r="AQ194">
            <v>0</v>
          </cell>
          <cell r="AR194">
            <v>0</v>
          </cell>
        </row>
        <row r="195">
          <cell r="F195" t="str">
            <v>Ling</v>
          </cell>
          <cell r="AL195">
            <v>0</v>
          </cell>
          <cell r="AM195">
            <v>0</v>
          </cell>
          <cell r="AN195">
            <v>0</v>
          </cell>
          <cell r="AO195">
            <v>0</v>
          </cell>
          <cell r="AP195">
            <v>0</v>
          </cell>
          <cell r="AQ195">
            <v>0</v>
          </cell>
          <cell r="AR195">
            <v>0</v>
          </cell>
        </row>
        <row r="196">
          <cell r="F196" t="str">
            <v>Loi</v>
          </cell>
          <cell r="AL196">
            <v>0</v>
          </cell>
          <cell r="AM196">
            <v>0</v>
          </cell>
          <cell r="AN196">
            <v>0</v>
          </cell>
          <cell r="AO196">
            <v>0</v>
          </cell>
          <cell r="AP196">
            <v>0</v>
          </cell>
          <cell r="AQ196">
            <v>0</v>
          </cell>
          <cell r="AR196">
            <v>0</v>
          </cell>
        </row>
        <row r="197">
          <cell r="F197" t="str">
            <v>Lui</v>
          </cell>
          <cell r="AL197">
            <v>0</v>
          </cell>
          <cell r="AM197">
            <v>0</v>
          </cell>
          <cell r="AN197">
            <v>0</v>
          </cell>
          <cell r="AO197">
            <v>0</v>
          </cell>
          <cell r="AP197">
            <v>0</v>
          </cell>
          <cell r="AQ197">
            <v>0</v>
          </cell>
          <cell r="AR197">
            <v>0</v>
          </cell>
        </row>
        <row r="198">
          <cell r="F198" t="str">
            <v>Hip</v>
          </cell>
          <cell r="AL198">
            <v>0</v>
          </cell>
          <cell r="AM198">
            <v>0</v>
          </cell>
          <cell r="AN198">
            <v>0</v>
          </cell>
          <cell r="AO198">
            <v>0</v>
          </cell>
          <cell r="AP198">
            <v>0</v>
          </cell>
          <cell r="AQ198">
            <v>0</v>
          </cell>
          <cell r="AR198">
            <v>0</v>
          </cell>
        </row>
        <row r="199">
          <cell r="F199" t="str">
            <v>Hăm Noi B</v>
          </cell>
          <cell r="AL199">
            <v>0</v>
          </cell>
          <cell r="AM199">
            <v>0</v>
          </cell>
          <cell r="AN199">
            <v>0</v>
          </cell>
          <cell r="AO199">
            <v>0</v>
          </cell>
          <cell r="AP199">
            <v>0</v>
          </cell>
          <cell r="AQ199">
            <v>0</v>
          </cell>
          <cell r="AR199">
            <v>0</v>
          </cell>
        </row>
        <row r="200">
          <cell r="F200" t="str">
            <v>Thảo Pha</v>
          </cell>
          <cell r="AL200">
            <v>0</v>
          </cell>
          <cell r="AM200">
            <v>0</v>
          </cell>
          <cell r="AN200">
            <v>0</v>
          </cell>
          <cell r="AO200">
            <v>0</v>
          </cell>
          <cell r="AP200">
            <v>0</v>
          </cell>
          <cell r="AQ200">
            <v>0</v>
          </cell>
          <cell r="AR200">
            <v>0</v>
          </cell>
        </row>
        <row r="201">
          <cell r="F201" t="str">
            <v>Tha Mon Ta</v>
          </cell>
          <cell r="AL201">
            <v>0</v>
          </cell>
          <cell r="AM201">
            <v>0</v>
          </cell>
          <cell r="AN201">
            <v>0</v>
          </cell>
          <cell r="AO201">
            <v>0</v>
          </cell>
          <cell r="AP201">
            <v>0</v>
          </cell>
          <cell r="AQ201">
            <v>0</v>
          </cell>
          <cell r="AR201">
            <v>0</v>
          </cell>
        </row>
        <row r="202">
          <cell r="F202" t="str">
            <v>Lệ</v>
          </cell>
          <cell r="AL202">
            <v>0</v>
          </cell>
          <cell r="AM202">
            <v>0</v>
          </cell>
          <cell r="AN202">
            <v>0</v>
          </cell>
          <cell r="AO202">
            <v>0</v>
          </cell>
          <cell r="AP202">
            <v>0</v>
          </cell>
          <cell r="AQ202">
            <v>0</v>
          </cell>
          <cell r="AR202">
            <v>0</v>
          </cell>
        </row>
        <row r="203">
          <cell r="F203" t="str">
            <v>Phen</v>
          </cell>
          <cell r="AL203">
            <v>0</v>
          </cell>
          <cell r="AM203">
            <v>0</v>
          </cell>
          <cell r="AN203">
            <v>0</v>
          </cell>
          <cell r="AO203">
            <v>0</v>
          </cell>
          <cell r="AP203">
            <v>0</v>
          </cell>
          <cell r="AQ203">
            <v>0</v>
          </cell>
          <cell r="AR203">
            <v>0</v>
          </cell>
        </row>
        <row r="204">
          <cell r="F204" t="str">
            <v>Pông</v>
          </cell>
          <cell r="AL204">
            <v>0</v>
          </cell>
          <cell r="AM204">
            <v>0</v>
          </cell>
          <cell r="AN204">
            <v>0</v>
          </cell>
          <cell r="AO204">
            <v>0</v>
          </cell>
          <cell r="AP204">
            <v>0</v>
          </cell>
          <cell r="AQ204">
            <v>0</v>
          </cell>
          <cell r="AR204">
            <v>0</v>
          </cell>
        </row>
        <row r="205">
          <cell r="F205" t="str">
            <v>Nàng Son</v>
          </cell>
          <cell r="AL205">
            <v>0</v>
          </cell>
          <cell r="AM205">
            <v>0</v>
          </cell>
          <cell r="AN205">
            <v>0</v>
          </cell>
          <cell r="AO205">
            <v>0</v>
          </cell>
          <cell r="AP205">
            <v>0</v>
          </cell>
          <cell r="AQ205">
            <v>0</v>
          </cell>
          <cell r="AR205">
            <v>0</v>
          </cell>
        </row>
        <row r="206">
          <cell r="F206" t="str">
            <v>Lay</v>
          </cell>
          <cell r="AL206">
            <v>0</v>
          </cell>
          <cell r="AM206">
            <v>0</v>
          </cell>
          <cell r="AN206">
            <v>0</v>
          </cell>
          <cell r="AO206">
            <v>0</v>
          </cell>
          <cell r="AP206">
            <v>0</v>
          </cell>
          <cell r="AQ206">
            <v>0</v>
          </cell>
          <cell r="AR206">
            <v>0</v>
          </cell>
        </row>
        <row r="207">
          <cell r="F207" t="str">
            <v>Ten (3)</v>
          </cell>
          <cell r="AL207">
            <v>0</v>
          </cell>
          <cell r="AM207">
            <v>0</v>
          </cell>
          <cell r="AN207">
            <v>0</v>
          </cell>
          <cell r="AO207">
            <v>0</v>
          </cell>
          <cell r="AP207">
            <v>0</v>
          </cell>
          <cell r="AQ207">
            <v>0</v>
          </cell>
          <cell r="AR207">
            <v>0</v>
          </cell>
        </row>
        <row r="208">
          <cell r="F208" t="str">
            <v>Khắn</v>
          </cell>
          <cell r="AL208">
            <v>0</v>
          </cell>
          <cell r="AM208">
            <v>0</v>
          </cell>
          <cell r="AN208">
            <v>0</v>
          </cell>
          <cell r="AO208">
            <v>0</v>
          </cell>
          <cell r="AP208">
            <v>0</v>
          </cell>
          <cell r="AQ208">
            <v>0</v>
          </cell>
          <cell r="AR208">
            <v>0</v>
          </cell>
        </row>
        <row r="209">
          <cell r="F209" t="str">
            <v>Nang Ny</v>
          </cell>
          <cell r="AL209">
            <v>0</v>
          </cell>
          <cell r="AM209">
            <v>0</v>
          </cell>
          <cell r="AN209">
            <v>0</v>
          </cell>
          <cell r="AO209">
            <v>0</v>
          </cell>
          <cell r="AP209">
            <v>0</v>
          </cell>
          <cell r="AQ209">
            <v>0</v>
          </cell>
          <cell r="AR209">
            <v>0</v>
          </cell>
        </row>
        <row r="210">
          <cell r="F210" t="str">
            <v>Pan</v>
          </cell>
          <cell r="AL210">
            <v>0</v>
          </cell>
          <cell r="AM210">
            <v>0</v>
          </cell>
          <cell r="AN210">
            <v>0</v>
          </cell>
          <cell r="AO210">
            <v>0</v>
          </cell>
          <cell r="AP210">
            <v>0</v>
          </cell>
          <cell r="AQ210">
            <v>0</v>
          </cell>
          <cell r="AR210">
            <v>0</v>
          </cell>
        </row>
        <row r="211">
          <cell r="F211" t="str">
            <v>Vi Say</v>
          </cell>
          <cell r="AL211">
            <v>0</v>
          </cell>
          <cell r="AM211">
            <v>0</v>
          </cell>
          <cell r="AN211">
            <v>0</v>
          </cell>
          <cell r="AO211">
            <v>0</v>
          </cell>
          <cell r="AP211">
            <v>0</v>
          </cell>
          <cell r="AQ211">
            <v>0</v>
          </cell>
          <cell r="AR211">
            <v>0</v>
          </cell>
        </row>
        <row r="212">
          <cell r="F212" t="str">
            <v>Ka Púc</v>
          </cell>
          <cell r="AL212">
            <v>0</v>
          </cell>
          <cell r="AM212">
            <v>0</v>
          </cell>
          <cell r="AN212">
            <v>0</v>
          </cell>
          <cell r="AO212">
            <v>0</v>
          </cell>
          <cell r="AP212">
            <v>0</v>
          </cell>
          <cell r="AQ212">
            <v>0</v>
          </cell>
          <cell r="AR212">
            <v>0</v>
          </cell>
        </row>
        <row r="213">
          <cell r="F213" t="str">
            <v>Chay Đi</v>
          </cell>
          <cell r="AL213">
            <v>0</v>
          </cell>
          <cell r="AM213">
            <v>0</v>
          </cell>
          <cell r="AN213">
            <v>0</v>
          </cell>
          <cell r="AO213">
            <v>0</v>
          </cell>
          <cell r="AP213">
            <v>0</v>
          </cell>
          <cell r="AQ213">
            <v>0</v>
          </cell>
          <cell r="AR213">
            <v>0</v>
          </cell>
        </row>
        <row r="214">
          <cell r="F214" t="str">
            <v>Lăng B</v>
          </cell>
          <cell r="AL214">
            <v>0</v>
          </cell>
          <cell r="AM214">
            <v>0</v>
          </cell>
          <cell r="AN214">
            <v>0</v>
          </cell>
          <cell r="AO214">
            <v>0</v>
          </cell>
          <cell r="AP214">
            <v>0</v>
          </cell>
          <cell r="AQ214">
            <v>0</v>
          </cell>
          <cell r="AR214">
            <v>0</v>
          </cell>
        </row>
        <row r="215">
          <cell r="F215" t="str">
            <v>Tuc</v>
          </cell>
          <cell r="AL215">
            <v>0</v>
          </cell>
          <cell r="AM215">
            <v>0</v>
          </cell>
          <cell r="AN215">
            <v>0</v>
          </cell>
          <cell r="AO215">
            <v>0</v>
          </cell>
          <cell r="AP215">
            <v>0</v>
          </cell>
          <cell r="AQ215">
            <v>0</v>
          </cell>
          <cell r="AR215">
            <v>0</v>
          </cell>
        </row>
        <row r="216">
          <cell r="F216" t="str">
            <v>On</v>
          </cell>
          <cell r="AL216">
            <v>0</v>
          </cell>
          <cell r="AM216">
            <v>0</v>
          </cell>
          <cell r="AN216">
            <v>0</v>
          </cell>
          <cell r="AO216">
            <v>0</v>
          </cell>
          <cell r="AP216">
            <v>0</v>
          </cell>
          <cell r="AQ216">
            <v>0</v>
          </cell>
          <cell r="AR216">
            <v>0</v>
          </cell>
        </row>
        <row r="217">
          <cell r="G217">
            <v>0</v>
          </cell>
          <cell r="H217">
            <v>0</v>
          </cell>
          <cell r="I217">
            <v>0</v>
          </cell>
          <cell r="J217">
            <v>0</v>
          </cell>
          <cell r="K217">
            <v>0</v>
          </cell>
          <cell r="L217">
            <v>0</v>
          </cell>
          <cell r="M217">
            <v>0</v>
          </cell>
          <cell r="N217">
            <v>0</v>
          </cell>
          <cell r="O217">
            <v>0</v>
          </cell>
          <cell r="P217">
            <v>0</v>
          </cell>
          <cell r="Q217">
            <v>0</v>
          </cell>
          <cell r="R217">
            <v>0</v>
          </cell>
          <cell r="S217">
            <v>0</v>
          </cell>
          <cell r="T217">
            <v>0</v>
          </cell>
          <cell r="U217">
            <v>0</v>
          </cell>
          <cell r="V217">
            <v>0</v>
          </cell>
          <cell r="W217">
            <v>0</v>
          </cell>
          <cell r="X217">
            <v>0</v>
          </cell>
          <cell r="Y217">
            <v>0</v>
          </cell>
          <cell r="Z217">
            <v>0</v>
          </cell>
          <cell r="AA217">
            <v>0</v>
          </cell>
          <cell r="AB217">
            <v>0</v>
          </cell>
          <cell r="AC217">
            <v>0</v>
          </cell>
          <cell r="AD217">
            <v>0</v>
          </cell>
          <cell r="AE217">
            <v>0</v>
          </cell>
          <cell r="AF217">
            <v>0</v>
          </cell>
          <cell r="AG217">
            <v>0</v>
          </cell>
          <cell r="AH217">
            <v>0</v>
          </cell>
          <cell r="AI217">
            <v>0</v>
          </cell>
          <cell r="AJ217">
            <v>0</v>
          </cell>
          <cell r="AK217">
            <v>0</v>
          </cell>
          <cell r="AL217">
            <v>0</v>
          </cell>
          <cell r="AM217">
            <v>0</v>
          </cell>
          <cell r="AN217">
            <v>0</v>
          </cell>
          <cell r="AO217">
            <v>0</v>
          </cell>
          <cell r="AP217">
            <v>0</v>
          </cell>
          <cell r="AQ217">
            <v>0</v>
          </cell>
          <cell r="AR217">
            <v>0</v>
          </cell>
        </row>
        <row r="218">
          <cell r="F218" t="str">
            <v>Sốt</v>
          </cell>
          <cell r="AL218">
            <v>0</v>
          </cell>
          <cell r="AM218">
            <v>0</v>
          </cell>
          <cell r="AN218">
            <v>0</v>
          </cell>
          <cell r="AO218">
            <v>0</v>
          </cell>
          <cell r="AP218">
            <v>0</v>
          </cell>
          <cell r="AQ218">
            <v>0</v>
          </cell>
          <cell r="AR218">
            <v>0</v>
          </cell>
        </row>
        <row r="219">
          <cell r="F219" t="str">
            <v>Thảo A Tiền</v>
          </cell>
          <cell r="AL219">
            <v>0</v>
          </cell>
          <cell r="AM219">
            <v>0</v>
          </cell>
          <cell r="AN219">
            <v>0</v>
          </cell>
          <cell r="AO219">
            <v>0</v>
          </cell>
          <cell r="AP219">
            <v>0</v>
          </cell>
          <cell r="AQ219">
            <v>0</v>
          </cell>
          <cell r="AR219">
            <v>0</v>
          </cell>
        </row>
        <row r="220">
          <cell r="F220" t="str">
            <v>Sít</v>
          </cell>
          <cell r="AL220">
            <v>0</v>
          </cell>
          <cell r="AM220">
            <v>0</v>
          </cell>
          <cell r="AN220">
            <v>0</v>
          </cell>
          <cell r="AO220">
            <v>0</v>
          </cell>
          <cell r="AP220">
            <v>0</v>
          </cell>
          <cell r="AQ220">
            <v>0</v>
          </cell>
          <cell r="AR220">
            <v>0</v>
          </cell>
        </row>
        <row r="221">
          <cell r="F221" t="str">
            <v>Nghiệp</v>
          </cell>
          <cell r="AL221">
            <v>0</v>
          </cell>
          <cell r="AM221">
            <v>0</v>
          </cell>
          <cell r="AN221">
            <v>0</v>
          </cell>
          <cell r="AO221">
            <v>0</v>
          </cell>
          <cell r="AP221">
            <v>0</v>
          </cell>
          <cell r="AQ221">
            <v>0</v>
          </cell>
          <cell r="AR221">
            <v>0</v>
          </cell>
        </row>
        <row r="222">
          <cell r="F222" t="str">
            <v>Bun Theo</v>
          </cell>
          <cell r="AL222">
            <v>0</v>
          </cell>
          <cell r="AM222">
            <v>0</v>
          </cell>
          <cell r="AN222">
            <v>0</v>
          </cell>
          <cell r="AO222">
            <v>0</v>
          </cell>
          <cell r="AP222">
            <v>0</v>
          </cell>
          <cell r="AQ222">
            <v>0</v>
          </cell>
          <cell r="AR222">
            <v>0</v>
          </cell>
        </row>
        <row r="223">
          <cell r="F223" t="str">
            <v>Núi</v>
          </cell>
          <cell r="AL223">
            <v>0</v>
          </cell>
          <cell r="AM223">
            <v>0</v>
          </cell>
          <cell r="AN223">
            <v>0</v>
          </cell>
          <cell r="AO223">
            <v>0</v>
          </cell>
          <cell r="AP223">
            <v>0</v>
          </cell>
          <cell r="AQ223">
            <v>0</v>
          </cell>
          <cell r="AR223">
            <v>0</v>
          </cell>
        </row>
        <row r="224">
          <cell r="F224" t="str">
            <v>Xa Mon</v>
          </cell>
          <cell r="AL224">
            <v>0</v>
          </cell>
          <cell r="AM224">
            <v>0</v>
          </cell>
          <cell r="AN224">
            <v>0</v>
          </cell>
          <cell r="AO224">
            <v>0</v>
          </cell>
          <cell r="AP224">
            <v>0</v>
          </cell>
          <cell r="AQ224">
            <v>0</v>
          </cell>
          <cell r="AR224">
            <v>0</v>
          </cell>
        </row>
        <row r="225">
          <cell r="F225" t="str">
            <v>Thảo Thúc</v>
          </cell>
          <cell r="AL225">
            <v>0</v>
          </cell>
          <cell r="AM225">
            <v>0</v>
          </cell>
          <cell r="AN225">
            <v>0</v>
          </cell>
          <cell r="AO225">
            <v>0</v>
          </cell>
          <cell r="AP225">
            <v>0</v>
          </cell>
          <cell r="AQ225">
            <v>0</v>
          </cell>
          <cell r="AR225">
            <v>0</v>
          </cell>
        </row>
        <row r="226">
          <cell r="F226" t="str">
            <v>Bo Loi</v>
          </cell>
          <cell r="AL226">
            <v>0</v>
          </cell>
          <cell r="AM226">
            <v>0</v>
          </cell>
          <cell r="AN226">
            <v>0</v>
          </cell>
          <cell r="AO226">
            <v>0</v>
          </cell>
          <cell r="AP226">
            <v>0</v>
          </cell>
          <cell r="AQ226">
            <v>0</v>
          </cell>
          <cell r="AR226">
            <v>0</v>
          </cell>
        </row>
        <row r="227">
          <cell r="F227" t="str">
            <v>Xoong</v>
          </cell>
          <cell r="AL227">
            <v>0</v>
          </cell>
          <cell r="AM227">
            <v>0</v>
          </cell>
          <cell r="AN227">
            <v>0</v>
          </cell>
          <cell r="AO227">
            <v>0</v>
          </cell>
          <cell r="AP227">
            <v>0</v>
          </cell>
          <cell r="AQ227">
            <v>0</v>
          </cell>
          <cell r="AR227">
            <v>0</v>
          </cell>
        </row>
        <row r="228">
          <cell r="F228" t="str">
            <v>Ta Văn</v>
          </cell>
          <cell r="AL228">
            <v>0</v>
          </cell>
          <cell r="AM228">
            <v>0</v>
          </cell>
          <cell r="AN228">
            <v>0</v>
          </cell>
          <cell r="AO228">
            <v>0</v>
          </cell>
          <cell r="AP228">
            <v>0</v>
          </cell>
          <cell r="AQ228">
            <v>0</v>
          </cell>
          <cell r="AR228">
            <v>0</v>
          </cell>
        </row>
        <row r="229">
          <cell r="F229" t="str">
            <v>Khăm Măn</v>
          </cell>
          <cell r="AL229">
            <v>0</v>
          </cell>
          <cell r="AM229">
            <v>0</v>
          </cell>
          <cell r="AN229">
            <v>0</v>
          </cell>
          <cell r="AO229">
            <v>0</v>
          </cell>
          <cell r="AP229">
            <v>0</v>
          </cell>
          <cell r="AQ229">
            <v>0</v>
          </cell>
          <cell r="AR229">
            <v>0</v>
          </cell>
        </row>
        <row r="230">
          <cell r="F230" t="str">
            <v>Vôn</v>
          </cell>
          <cell r="AL230">
            <v>0</v>
          </cell>
          <cell r="AM230">
            <v>0</v>
          </cell>
          <cell r="AN230">
            <v>0</v>
          </cell>
          <cell r="AO230">
            <v>0</v>
          </cell>
          <cell r="AP230">
            <v>0</v>
          </cell>
          <cell r="AQ230">
            <v>0</v>
          </cell>
          <cell r="AR230">
            <v>0</v>
          </cell>
        </row>
        <row r="231">
          <cell r="F231" t="str">
            <v>Khăm Thạ Von</v>
          </cell>
          <cell r="AL231">
            <v>0</v>
          </cell>
          <cell r="AM231">
            <v>0</v>
          </cell>
          <cell r="AN231">
            <v>0</v>
          </cell>
          <cell r="AO231">
            <v>0</v>
          </cell>
          <cell r="AP231">
            <v>0</v>
          </cell>
          <cell r="AQ231">
            <v>0</v>
          </cell>
          <cell r="AR231">
            <v>0</v>
          </cell>
        </row>
        <row r="232">
          <cell r="F232" t="str">
            <v>Minh</v>
          </cell>
          <cell r="AL232">
            <v>0</v>
          </cell>
          <cell r="AM232">
            <v>0</v>
          </cell>
          <cell r="AN232">
            <v>0</v>
          </cell>
          <cell r="AO232">
            <v>0</v>
          </cell>
          <cell r="AP232">
            <v>0</v>
          </cell>
          <cell r="AQ232">
            <v>0</v>
          </cell>
          <cell r="AR232">
            <v>0</v>
          </cell>
        </row>
        <row r="233">
          <cell r="F233" t="str">
            <v>Đan</v>
          </cell>
          <cell r="AL233">
            <v>0</v>
          </cell>
          <cell r="AM233">
            <v>0</v>
          </cell>
          <cell r="AN233">
            <v>0</v>
          </cell>
          <cell r="AO233">
            <v>0</v>
          </cell>
          <cell r="AP233">
            <v>0</v>
          </cell>
          <cell r="AQ233">
            <v>0</v>
          </cell>
          <cell r="AR233">
            <v>0</v>
          </cell>
        </row>
        <row r="234">
          <cell r="F234" t="str">
            <v>Nội</v>
          </cell>
          <cell r="AL234">
            <v>0</v>
          </cell>
          <cell r="AM234">
            <v>0</v>
          </cell>
          <cell r="AN234">
            <v>0</v>
          </cell>
          <cell r="AO234">
            <v>0</v>
          </cell>
          <cell r="AP234">
            <v>0</v>
          </cell>
          <cell r="AQ234">
            <v>0</v>
          </cell>
          <cell r="AR234">
            <v>0</v>
          </cell>
        </row>
        <row r="235">
          <cell r="F235" t="str">
            <v>Keo La</v>
          </cell>
          <cell r="AL235">
            <v>0</v>
          </cell>
          <cell r="AM235">
            <v>0</v>
          </cell>
          <cell r="AN235">
            <v>0</v>
          </cell>
          <cell r="AO235">
            <v>0</v>
          </cell>
          <cell r="AP235">
            <v>0</v>
          </cell>
          <cell r="AQ235">
            <v>0</v>
          </cell>
          <cell r="AR235">
            <v>0</v>
          </cell>
        </row>
        <row r="236">
          <cell r="F236" t="str">
            <v>Chăn Thi</v>
          </cell>
          <cell r="AL236">
            <v>0</v>
          </cell>
          <cell r="AM236">
            <v>0</v>
          </cell>
          <cell r="AN236">
            <v>0</v>
          </cell>
          <cell r="AO236">
            <v>0</v>
          </cell>
          <cell r="AP236">
            <v>0</v>
          </cell>
          <cell r="AQ236">
            <v>0</v>
          </cell>
          <cell r="AR236">
            <v>0</v>
          </cell>
        </row>
        <row r="237">
          <cell r="F237" t="str">
            <v>Đon</v>
          </cell>
          <cell r="AL237">
            <v>0</v>
          </cell>
          <cell r="AM237">
            <v>0</v>
          </cell>
          <cell r="AN237">
            <v>0</v>
          </cell>
          <cell r="AO237">
            <v>0</v>
          </cell>
          <cell r="AP237">
            <v>0</v>
          </cell>
          <cell r="AQ237">
            <v>0</v>
          </cell>
          <cell r="AR237">
            <v>0</v>
          </cell>
        </row>
        <row r="238">
          <cell r="F238" t="str">
            <v>Thảo Con Khăm</v>
          </cell>
          <cell r="AL238">
            <v>0</v>
          </cell>
          <cell r="AM238">
            <v>0</v>
          </cell>
          <cell r="AN238">
            <v>0</v>
          </cell>
          <cell r="AO238">
            <v>0</v>
          </cell>
          <cell r="AP238">
            <v>0</v>
          </cell>
          <cell r="AQ238">
            <v>0</v>
          </cell>
          <cell r="AR238">
            <v>0</v>
          </cell>
        </row>
        <row r="239">
          <cell r="F239" t="str">
            <v>Bun Ma Tu</v>
          </cell>
          <cell r="AL239">
            <v>0</v>
          </cell>
          <cell r="AM239">
            <v>0</v>
          </cell>
          <cell r="AN239">
            <v>0</v>
          </cell>
          <cell r="AO239">
            <v>0</v>
          </cell>
          <cell r="AP239">
            <v>0</v>
          </cell>
          <cell r="AQ239">
            <v>0</v>
          </cell>
          <cell r="AR239">
            <v>0</v>
          </cell>
        </row>
        <row r="240">
          <cell r="F240" t="str">
            <v>Nay (4)</v>
          </cell>
          <cell r="AL240">
            <v>0</v>
          </cell>
          <cell r="AM240">
            <v>0</v>
          </cell>
          <cell r="AN240">
            <v>0</v>
          </cell>
          <cell r="AO240">
            <v>0</v>
          </cell>
          <cell r="AP240">
            <v>0</v>
          </cell>
          <cell r="AQ240">
            <v>0</v>
          </cell>
          <cell r="AR240">
            <v>0</v>
          </cell>
        </row>
        <row r="241">
          <cell r="F241" t="str">
            <v>Ta Phúc</v>
          </cell>
          <cell r="AL241">
            <v>0</v>
          </cell>
          <cell r="AM241">
            <v>0</v>
          </cell>
          <cell r="AN241">
            <v>0</v>
          </cell>
          <cell r="AO241">
            <v>0</v>
          </cell>
          <cell r="AP241">
            <v>0</v>
          </cell>
          <cell r="AQ241">
            <v>0</v>
          </cell>
          <cell r="AR241">
            <v>0</v>
          </cell>
        </row>
        <row r="242">
          <cell r="F242" t="str">
            <v>Mơ</v>
          </cell>
          <cell r="AL242">
            <v>0</v>
          </cell>
          <cell r="AM242">
            <v>0</v>
          </cell>
          <cell r="AN242">
            <v>0</v>
          </cell>
          <cell r="AO242">
            <v>0</v>
          </cell>
          <cell r="AP242">
            <v>0</v>
          </cell>
          <cell r="AQ242">
            <v>0</v>
          </cell>
          <cell r="AR242">
            <v>0</v>
          </cell>
        </row>
        <row r="243">
          <cell r="F243" t="str">
            <v>Bun Ma (4)</v>
          </cell>
          <cell r="AL243">
            <v>0</v>
          </cell>
          <cell r="AM243">
            <v>0</v>
          </cell>
          <cell r="AN243">
            <v>0</v>
          </cell>
          <cell r="AO243">
            <v>0</v>
          </cell>
          <cell r="AP243">
            <v>0</v>
          </cell>
          <cell r="AQ243">
            <v>0</v>
          </cell>
          <cell r="AR243">
            <v>0</v>
          </cell>
        </row>
        <row r="244">
          <cell r="F244" t="str">
            <v>Đuông Ma La</v>
          </cell>
          <cell r="AL244">
            <v>0</v>
          </cell>
          <cell r="AM244">
            <v>0</v>
          </cell>
          <cell r="AN244">
            <v>0</v>
          </cell>
          <cell r="AO244">
            <v>0</v>
          </cell>
          <cell r="AP244">
            <v>0</v>
          </cell>
          <cell r="AQ244">
            <v>0</v>
          </cell>
          <cell r="AR244">
            <v>0</v>
          </cell>
        </row>
        <row r="245">
          <cell r="F245" t="str">
            <v>Lâm B</v>
          </cell>
          <cell r="AL245">
            <v>0</v>
          </cell>
          <cell r="AM245">
            <v>0</v>
          </cell>
          <cell r="AN245">
            <v>0</v>
          </cell>
          <cell r="AO245">
            <v>0</v>
          </cell>
          <cell r="AP245">
            <v>0</v>
          </cell>
          <cell r="AQ245">
            <v>0</v>
          </cell>
          <cell r="AR245">
            <v>0</v>
          </cell>
        </row>
        <row r="246">
          <cell r="F246" t="str">
            <v>Lâm A</v>
          </cell>
          <cell r="AL246">
            <v>0</v>
          </cell>
          <cell r="AM246">
            <v>0</v>
          </cell>
          <cell r="AN246">
            <v>0</v>
          </cell>
          <cell r="AO246">
            <v>0</v>
          </cell>
          <cell r="AP246">
            <v>0</v>
          </cell>
          <cell r="AQ246">
            <v>0</v>
          </cell>
          <cell r="AR246">
            <v>0</v>
          </cell>
        </row>
        <row r="247">
          <cell r="F247" t="str">
            <v>Bun Phong</v>
          </cell>
          <cell r="AL247">
            <v>0</v>
          </cell>
          <cell r="AM247">
            <v>0</v>
          </cell>
          <cell r="AN247">
            <v>0</v>
          </cell>
          <cell r="AO247">
            <v>0</v>
          </cell>
          <cell r="AP247">
            <v>0</v>
          </cell>
          <cell r="AQ247">
            <v>0</v>
          </cell>
          <cell r="AR247">
            <v>0</v>
          </cell>
        </row>
        <row r="248">
          <cell r="F248" t="str">
            <v>Keo (4)</v>
          </cell>
          <cell r="AL248">
            <v>0</v>
          </cell>
          <cell r="AM248">
            <v>0</v>
          </cell>
          <cell r="AN248">
            <v>0</v>
          </cell>
          <cell r="AO248">
            <v>0</v>
          </cell>
          <cell r="AP248">
            <v>0</v>
          </cell>
          <cell r="AQ248">
            <v>0</v>
          </cell>
          <cell r="AR248">
            <v>0</v>
          </cell>
        </row>
        <row r="249">
          <cell r="F249" t="str">
            <v>Van Ta</v>
          </cell>
          <cell r="AL249">
            <v>0</v>
          </cell>
          <cell r="AM249">
            <v>0</v>
          </cell>
          <cell r="AN249">
            <v>0</v>
          </cell>
          <cell r="AO249">
            <v>0</v>
          </cell>
          <cell r="AP249">
            <v>0</v>
          </cell>
          <cell r="AQ249">
            <v>0</v>
          </cell>
          <cell r="AR249">
            <v>0</v>
          </cell>
        </row>
        <row r="250">
          <cell r="F250" t="str">
            <v>Peng</v>
          </cell>
          <cell r="AL250">
            <v>0</v>
          </cell>
          <cell r="AM250">
            <v>0</v>
          </cell>
          <cell r="AN250">
            <v>0</v>
          </cell>
          <cell r="AO250">
            <v>0</v>
          </cell>
          <cell r="AP250">
            <v>0</v>
          </cell>
          <cell r="AQ250">
            <v>0</v>
          </cell>
          <cell r="AR250">
            <v>0</v>
          </cell>
        </row>
        <row r="251">
          <cell r="F251" t="str">
            <v>Coi</v>
          </cell>
          <cell r="AL251">
            <v>0</v>
          </cell>
          <cell r="AM251">
            <v>0</v>
          </cell>
          <cell r="AN251">
            <v>0</v>
          </cell>
          <cell r="AO251">
            <v>0</v>
          </cell>
          <cell r="AP251">
            <v>0</v>
          </cell>
          <cell r="AQ251">
            <v>0</v>
          </cell>
          <cell r="AR251">
            <v>0</v>
          </cell>
        </row>
        <row r="252">
          <cell r="F252" t="str">
            <v>Khăm Lã</v>
          </cell>
          <cell r="AL252">
            <v>0</v>
          </cell>
          <cell r="AM252">
            <v>0</v>
          </cell>
          <cell r="AN252">
            <v>0</v>
          </cell>
          <cell r="AO252">
            <v>0</v>
          </cell>
          <cell r="AP252">
            <v>0</v>
          </cell>
          <cell r="AQ252">
            <v>0</v>
          </cell>
          <cell r="AR252">
            <v>0</v>
          </cell>
        </row>
        <row r="253">
          <cell r="F253" t="str">
            <v>Boóc</v>
          </cell>
          <cell r="AL253">
            <v>0</v>
          </cell>
          <cell r="AM253">
            <v>0</v>
          </cell>
          <cell r="AN253">
            <v>0</v>
          </cell>
          <cell r="AO253">
            <v>0</v>
          </cell>
          <cell r="AP253">
            <v>0</v>
          </cell>
          <cell r="AQ253">
            <v>0</v>
          </cell>
          <cell r="AR253">
            <v>0</v>
          </cell>
        </row>
        <row r="254">
          <cell r="F254" t="str">
            <v>Bun Ta</v>
          </cell>
          <cell r="AL254">
            <v>0</v>
          </cell>
          <cell r="AM254">
            <v>0</v>
          </cell>
          <cell r="AN254">
            <v>0</v>
          </cell>
          <cell r="AO254">
            <v>0</v>
          </cell>
          <cell r="AP254">
            <v>0</v>
          </cell>
          <cell r="AQ254">
            <v>0</v>
          </cell>
          <cell r="AR254">
            <v>0</v>
          </cell>
        </row>
        <row r="255">
          <cell r="F255" t="str">
            <v>Túc</v>
          </cell>
          <cell r="AL255">
            <v>0</v>
          </cell>
          <cell r="AM255">
            <v>0</v>
          </cell>
          <cell r="AN255">
            <v>0</v>
          </cell>
          <cell r="AO255">
            <v>0</v>
          </cell>
          <cell r="AP255">
            <v>0</v>
          </cell>
          <cell r="AQ255">
            <v>0</v>
          </cell>
          <cell r="AR255">
            <v>0</v>
          </cell>
        </row>
        <row r="256">
          <cell r="F256" t="str">
            <v>Sái Khăm</v>
          </cell>
          <cell r="AL256">
            <v>0</v>
          </cell>
          <cell r="AM256">
            <v>0</v>
          </cell>
          <cell r="AN256">
            <v>0</v>
          </cell>
          <cell r="AO256">
            <v>0</v>
          </cell>
          <cell r="AP256">
            <v>0</v>
          </cell>
          <cell r="AQ256">
            <v>0</v>
          </cell>
          <cell r="AR256">
            <v>0</v>
          </cell>
        </row>
        <row r="257">
          <cell r="F257" t="str">
            <v>Xi Đa (4)</v>
          </cell>
          <cell r="AL257">
            <v>0</v>
          </cell>
          <cell r="AM257">
            <v>0</v>
          </cell>
          <cell r="AN257">
            <v>0</v>
          </cell>
          <cell r="AO257">
            <v>0</v>
          </cell>
          <cell r="AP257">
            <v>0</v>
          </cell>
          <cell r="AQ257">
            <v>0</v>
          </cell>
          <cell r="AR257">
            <v>0</v>
          </cell>
        </row>
        <row r="258">
          <cell r="F258" t="str">
            <v>Bon</v>
          </cell>
          <cell r="AL258">
            <v>0</v>
          </cell>
          <cell r="AM258">
            <v>0</v>
          </cell>
          <cell r="AN258">
            <v>0</v>
          </cell>
          <cell r="AO258">
            <v>0</v>
          </cell>
          <cell r="AP258">
            <v>0</v>
          </cell>
          <cell r="AQ258">
            <v>0</v>
          </cell>
          <cell r="AR258">
            <v>0</v>
          </cell>
        </row>
        <row r="259">
          <cell r="F259" t="str">
            <v>In</v>
          </cell>
          <cell r="AL259">
            <v>0</v>
          </cell>
          <cell r="AM259">
            <v>0</v>
          </cell>
          <cell r="AN259">
            <v>0</v>
          </cell>
          <cell r="AO259">
            <v>0</v>
          </cell>
          <cell r="AP259">
            <v>0</v>
          </cell>
          <cell r="AQ259">
            <v>0</v>
          </cell>
          <cell r="AR259">
            <v>0</v>
          </cell>
        </row>
        <row r="260">
          <cell r="F260" t="str">
            <v>Lai</v>
          </cell>
          <cell r="AL260">
            <v>0</v>
          </cell>
          <cell r="AM260">
            <v>0</v>
          </cell>
          <cell r="AN260">
            <v>0</v>
          </cell>
          <cell r="AO260">
            <v>0</v>
          </cell>
          <cell r="AP260">
            <v>0</v>
          </cell>
          <cell r="AQ260">
            <v>0</v>
          </cell>
          <cell r="AR260">
            <v>0</v>
          </cell>
        </row>
        <row r="261">
          <cell r="F261" t="str">
            <v>Sui</v>
          </cell>
          <cell r="AL261">
            <v>0</v>
          </cell>
          <cell r="AM261">
            <v>0</v>
          </cell>
          <cell r="AN261">
            <v>0</v>
          </cell>
          <cell r="AO261">
            <v>0</v>
          </cell>
          <cell r="AP261">
            <v>0</v>
          </cell>
          <cell r="AQ261">
            <v>0</v>
          </cell>
          <cell r="AR261">
            <v>0</v>
          </cell>
        </row>
        <row r="262">
          <cell r="F262" t="str">
            <v>Pong (4)</v>
          </cell>
          <cell r="AL262">
            <v>0</v>
          </cell>
          <cell r="AM262">
            <v>0</v>
          </cell>
          <cell r="AN262">
            <v>0</v>
          </cell>
          <cell r="AO262">
            <v>0</v>
          </cell>
          <cell r="AP262">
            <v>0</v>
          </cell>
          <cell r="AQ262">
            <v>0</v>
          </cell>
          <cell r="AR262">
            <v>0</v>
          </cell>
        </row>
        <row r="263">
          <cell r="F263" t="str">
            <v>Lắt</v>
          </cell>
          <cell r="AL263">
            <v>0</v>
          </cell>
          <cell r="AM263">
            <v>0</v>
          </cell>
          <cell r="AN263">
            <v>0</v>
          </cell>
          <cell r="AO263">
            <v>0</v>
          </cell>
          <cell r="AP263">
            <v>0</v>
          </cell>
          <cell r="AQ263">
            <v>0</v>
          </cell>
          <cell r="AR263">
            <v>0</v>
          </cell>
        </row>
        <row r="264">
          <cell r="F264" t="str">
            <v>Thái</v>
          </cell>
          <cell r="AL264">
            <v>0</v>
          </cell>
          <cell r="AM264">
            <v>0</v>
          </cell>
          <cell r="AN264">
            <v>0</v>
          </cell>
          <cell r="AO264">
            <v>0</v>
          </cell>
          <cell r="AP264">
            <v>0</v>
          </cell>
          <cell r="AQ264">
            <v>0</v>
          </cell>
          <cell r="AR264">
            <v>0</v>
          </cell>
        </row>
        <row r="265">
          <cell r="F265" t="str">
            <v>Chăn (4)</v>
          </cell>
          <cell r="AL265">
            <v>0</v>
          </cell>
          <cell r="AM265">
            <v>0</v>
          </cell>
          <cell r="AN265">
            <v>0</v>
          </cell>
          <cell r="AO265">
            <v>0</v>
          </cell>
          <cell r="AP265">
            <v>0</v>
          </cell>
          <cell r="AQ265">
            <v>0</v>
          </cell>
          <cell r="AR265">
            <v>0</v>
          </cell>
        </row>
        <row r="266">
          <cell r="F266" t="str">
            <v>Si</v>
          </cell>
          <cell r="AL266">
            <v>0</v>
          </cell>
          <cell r="AM266">
            <v>0</v>
          </cell>
          <cell r="AN266">
            <v>0</v>
          </cell>
          <cell r="AO266">
            <v>0</v>
          </cell>
          <cell r="AP266">
            <v>0</v>
          </cell>
          <cell r="AQ266">
            <v>0</v>
          </cell>
          <cell r="AR266">
            <v>0</v>
          </cell>
        </row>
        <row r="267">
          <cell r="F267" t="str">
            <v>Pheng Ta</v>
          </cell>
          <cell r="AL267">
            <v>0</v>
          </cell>
          <cell r="AM267">
            <v>0</v>
          </cell>
          <cell r="AN267">
            <v>0</v>
          </cell>
          <cell r="AO267">
            <v>0</v>
          </cell>
          <cell r="AP267">
            <v>0</v>
          </cell>
          <cell r="AQ267">
            <v>0</v>
          </cell>
          <cell r="AR267">
            <v>0</v>
          </cell>
        </row>
        <row r="268">
          <cell r="F268" t="str">
            <v>Sệ</v>
          </cell>
          <cell r="AL268">
            <v>0</v>
          </cell>
          <cell r="AM268">
            <v>0</v>
          </cell>
          <cell r="AN268">
            <v>0</v>
          </cell>
          <cell r="AO268">
            <v>0</v>
          </cell>
          <cell r="AP268">
            <v>0</v>
          </cell>
          <cell r="AQ268">
            <v>0</v>
          </cell>
          <cell r="AR268">
            <v>0</v>
          </cell>
        </row>
        <row r="269">
          <cell r="F269" t="str">
            <v>Bà</v>
          </cell>
          <cell r="AL269">
            <v>0</v>
          </cell>
          <cell r="AM269">
            <v>0</v>
          </cell>
          <cell r="AN269">
            <v>0</v>
          </cell>
          <cell r="AO269">
            <v>0</v>
          </cell>
          <cell r="AP269">
            <v>0</v>
          </cell>
          <cell r="AQ269">
            <v>0</v>
          </cell>
          <cell r="AR269">
            <v>0</v>
          </cell>
        </row>
        <row r="270">
          <cell r="F270" t="str">
            <v>Xay Du</v>
          </cell>
          <cell r="AL270">
            <v>0</v>
          </cell>
          <cell r="AM270">
            <v>0</v>
          </cell>
          <cell r="AN270">
            <v>0</v>
          </cell>
          <cell r="AO270">
            <v>0</v>
          </cell>
          <cell r="AP270">
            <v>0</v>
          </cell>
          <cell r="AQ270">
            <v>0</v>
          </cell>
          <cell r="AR270">
            <v>0</v>
          </cell>
        </row>
        <row r="271">
          <cell r="F271" t="str">
            <v>Lẹ</v>
          </cell>
          <cell r="AL271">
            <v>0</v>
          </cell>
          <cell r="AM271">
            <v>0</v>
          </cell>
          <cell r="AN271">
            <v>0</v>
          </cell>
          <cell r="AO271">
            <v>0</v>
          </cell>
          <cell r="AP271">
            <v>0</v>
          </cell>
          <cell r="AQ271">
            <v>0</v>
          </cell>
          <cell r="AR271">
            <v>0</v>
          </cell>
        </row>
        <row r="272">
          <cell r="F272" t="str">
            <v>Bà B</v>
          </cell>
          <cell r="AL272">
            <v>0</v>
          </cell>
          <cell r="AM272">
            <v>0</v>
          </cell>
          <cell r="AN272">
            <v>0</v>
          </cell>
          <cell r="AO272">
            <v>0</v>
          </cell>
          <cell r="AP272">
            <v>0</v>
          </cell>
          <cell r="AQ272">
            <v>0</v>
          </cell>
          <cell r="AR272">
            <v>0</v>
          </cell>
        </row>
        <row r="273">
          <cell r="F273" t="str">
            <v>Muôn</v>
          </cell>
          <cell r="AL273">
            <v>0</v>
          </cell>
          <cell r="AM273">
            <v>0</v>
          </cell>
          <cell r="AN273">
            <v>0</v>
          </cell>
          <cell r="AO273">
            <v>0</v>
          </cell>
          <cell r="AP273">
            <v>0</v>
          </cell>
          <cell r="AQ273">
            <v>0</v>
          </cell>
          <cell r="AR273">
            <v>0</v>
          </cell>
        </row>
        <row r="274">
          <cell r="F274" t="str">
            <v>Pha</v>
          </cell>
          <cell r="AL274">
            <v>0</v>
          </cell>
          <cell r="AM274">
            <v>0</v>
          </cell>
          <cell r="AN274">
            <v>0</v>
          </cell>
          <cell r="AO274">
            <v>0</v>
          </cell>
          <cell r="AP274">
            <v>0</v>
          </cell>
          <cell r="AQ274">
            <v>0</v>
          </cell>
          <cell r="AR274">
            <v>0</v>
          </cell>
        </row>
        <row r="275">
          <cell r="F275" t="str">
            <v>Nét (4)</v>
          </cell>
          <cell r="AL275">
            <v>0</v>
          </cell>
          <cell r="AM275">
            <v>0</v>
          </cell>
          <cell r="AN275">
            <v>0</v>
          </cell>
          <cell r="AO275">
            <v>0</v>
          </cell>
          <cell r="AP275">
            <v>0</v>
          </cell>
          <cell r="AQ275">
            <v>0</v>
          </cell>
          <cell r="AR275">
            <v>0</v>
          </cell>
        </row>
        <row r="276">
          <cell r="F276" t="str">
            <v>Sun</v>
          </cell>
          <cell r="AL276">
            <v>0</v>
          </cell>
          <cell r="AM276">
            <v>0</v>
          </cell>
          <cell r="AN276">
            <v>0</v>
          </cell>
          <cell r="AO276">
            <v>0</v>
          </cell>
          <cell r="AP276">
            <v>0</v>
          </cell>
          <cell r="AQ276">
            <v>0</v>
          </cell>
          <cell r="AR276">
            <v>0</v>
          </cell>
        </row>
        <row r="277">
          <cell r="F277" t="str">
            <v>Phon (4)</v>
          </cell>
          <cell r="AL277">
            <v>0</v>
          </cell>
          <cell r="AM277">
            <v>0</v>
          </cell>
          <cell r="AN277">
            <v>0</v>
          </cell>
          <cell r="AO277">
            <v>0</v>
          </cell>
          <cell r="AP277">
            <v>0</v>
          </cell>
          <cell r="AQ277">
            <v>0</v>
          </cell>
          <cell r="AR277">
            <v>0</v>
          </cell>
        </row>
        <row r="278">
          <cell r="F278" t="str">
            <v>Thên</v>
          </cell>
          <cell r="AL278">
            <v>0</v>
          </cell>
          <cell r="AM278">
            <v>0</v>
          </cell>
          <cell r="AN278">
            <v>0</v>
          </cell>
          <cell r="AO278">
            <v>0</v>
          </cell>
          <cell r="AP278">
            <v>0</v>
          </cell>
          <cell r="AQ278">
            <v>0</v>
          </cell>
          <cell r="AR278">
            <v>0</v>
          </cell>
        </row>
        <row r="279">
          <cell r="F279" t="str">
            <v>Na Linh</v>
          </cell>
          <cell r="AL279">
            <v>0</v>
          </cell>
          <cell r="AM279">
            <v>0</v>
          </cell>
          <cell r="AN279">
            <v>0</v>
          </cell>
          <cell r="AO279">
            <v>0</v>
          </cell>
          <cell r="AP279">
            <v>0</v>
          </cell>
          <cell r="AQ279">
            <v>0</v>
          </cell>
          <cell r="AR279">
            <v>0</v>
          </cell>
        </row>
        <row r="280">
          <cell r="F280" t="str">
            <v>Hải</v>
          </cell>
          <cell r="AL280">
            <v>0</v>
          </cell>
          <cell r="AM280">
            <v>0</v>
          </cell>
          <cell r="AN280">
            <v>0</v>
          </cell>
          <cell r="AO280">
            <v>0</v>
          </cell>
          <cell r="AP280">
            <v>0</v>
          </cell>
          <cell r="AQ280">
            <v>0</v>
          </cell>
          <cell r="AR280">
            <v>0</v>
          </cell>
        </row>
        <row r="281">
          <cell r="F281" t="str">
            <v>Bun Khăm</v>
          </cell>
          <cell r="AL281">
            <v>0</v>
          </cell>
          <cell r="AM281">
            <v>0</v>
          </cell>
          <cell r="AN281">
            <v>0</v>
          </cell>
          <cell r="AO281">
            <v>0</v>
          </cell>
          <cell r="AP281">
            <v>0</v>
          </cell>
          <cell r="AQ281">
            <v>0</v>
          </cell>
          <cell r="AR281">
            <v>0</v>
          </cell>
        </row>
        <row r="282">
          <cell r="F282" t="str">
            <v>Nàng Nang</v>
          </cell>
          <cell r="AL282">
            <v>0</v>
          </cell>
          <cell r="AM282">
            <v>0</v>
          </cell>
          <cell r="AN282">
            <v>0</v>
          </cell>
          <cell r="AO282">
            <v>0</v>
          </cell>
          <cell r="AP282">
            <v>0</v>
          </cell>
          <cell r="AQ282">
            <v>0</v>
          </cell>
          <cell r="AR282">
            <v>0</v>
          </cell>
        </row>
        <row r="283">
          <cell r="F283" t="str">
            <v>Kong Ta</v>
          </cell>
          <cell r="AL283">
            <v>0</v>
          </cell>
          <cell r="AM283">
            <v>0</v>
          </cell>
          <cell r="AN283">
            <v>0</v>
          </cell>
          <cell r="AO283">
            <v>0</v>
          </cell>
          <cell r="AP283">
            <v>0</v>
          </cell>
          <cell r="AQ283">
            <v>0</v>
          </cell>
          <cell r="AR283">
            <v>0</v>
          </cell>
        </row>
        <row r="284">
          <cell r="F284" t="str">
            <v>Ni Đa</v>
          </cell>
          <cell r="AL284">
            <v>0</v>
          </cell>
          <cell r="AM284">
            <v>0</v>
          </cell>
          <cell r="AN284">
            <v>0</v>
          </cell>
          <cell r="AO284">
            <v>0</v>
          </cell>
          <cell r="AP284">
            <v>0</v>
          </cell>
          <cell r="AQ284">
            <v>0</v>
          </cell>
          <cell r="AR284">
            <v>0</v>
          </cell>
        </row>
        <row r="285">
          <cell r="F285" t="str">
            <v>Ninh</v>
          </cell>
          <cell r="AL285">
            <v>0</v>
          </cell>
          <cell r="AM285">
            <v>0</v>
          </cell>
          <cell r="AN285">
            <v>0</v>
          </cell>
          <cell r="AO285">
            <v>0</v>
          </cell>
          <cell r="AP285">
            <v>0</v>
          </cell>
          <cell r="AQ285">
            <v>0</v>
          </cell>
          <cell r="AR285">
            <v>0</v>
          </cell>
        </row>
        <row r="286">
          <cell r="F286" t="str">
            <v>Hắc Xa Mi</v>
          </cell>
          <cell r="AL286">
            <v>0</v>
          </cell>
          <cell r="AM286">
            <v>0</v>
          </cell>
          <cell r="AN286">
            <v>0</v>
          </cell>
          <cell r="AO286">
            <v>0</v>
          </cell>
          <cell r="AP286">
            <v>0</v>
          </cell>
          <cell r="AQ286">
            <v>0</v>
          </cell>
          <cell r="AR286">
            <v>0</v>
          </cell>
        </row>
        <row r="287">
          <cell r="F287" t="str">
            <v>Mi (4)</v>
          </cell>
          <cell r="AL287">
            <v>0</v>
          </cell>
          <cell r="AM287">
            <v>0</v>
          </cell>
          <cell r="AN287">
            <v>0</v>
          </cell>
          <cell r="AO287">
            <v>0</v>
          </cell>
          <cell r="AP287">
            <v>0</v>
          </cell>
          <cell r="AQ287">
            <v>0</v>
          </cell>
          <cell r="AR287">
            <v>0</v>
          </cell>
        </row>
        <row r="288">
          <cell r="F288" t="str">
            <v>Phô Phi Xít</v>
          </cell>
          <cell r="AL288">
            <v>0</v>
          </cell>
          <cell r="AM288">
            <v>0</v>
          </cell>
          <cell r="AN288">
            <v>0</v>
          </cell>
          <cell r="AO288">
            <v>0</v>
          </cell>
          <cell r="AP288">
            <v>0</v>
          </cell>
          <cell r="AQ288">
            <v>0</v>
          </cell>
          <cell r="AR288">
            <v>0</v>
          </cell>
        </row>
        <row r="289">
          <cell r="F289" t="str">
            <v>Mom</v>
          </cell>
          <cell r="AL289">
            <v>0</v>
          </cell>
          <cell r="AM289">
            <v>0</v>
          </cell>
          <cell r="AN289">
            <v>0</v>
          </cell>
          <cell r="AO289">
            <v>0</v>
          </cell>
          <cell r="AP289">
            <v>0</v>
          </cell>
          <cell r="AQ289">
            <v>0</v>
          </cell>
          <cell r="AR289">
            <v>0</v>
          </cell>
        </row>
        <row r="290">
          <cell r="F290" t="str">
            <v>Ben</v>
          </cell>
          <cell r="AL290">
            <v>0</v>
          </cell>
          <cell r="AM290">
            <v>0</v>
          </cell>
          <cell r="AN290">
            <v>0</v>
          </cell>
          <cell r="AO290">
            <v>0</v>
          </cell>
          <cell r="AP290">
            <v>0</v>
          </cell>
          <cell r="AQ290">
            <v>0</v>
          </cell>
          <cell r="AR290">
            <v>0</v>
          </cell>
        </row>
        <row r="291">
          <cell r="F291" t="str">
            <v>A Cum (4)</v>
          </cell>
          <cell r="AL291">
            <v>0</v>
          </cell>
          <cell r="AM291">
            <v>0</v>
          </cell>
          <cell r="AN291">
            <v>0</v>
          </cell>
          <cell r="AO291">
            <v>0</v>
          </cell>
          <cell r="AP291">
            <v>0</v>
          </cell>
          <cell r="AQ291">
            <v>0</v>
          </cell>
          <cell r="AR291">
            <v>0</v>
          </cell>
        </row>
        <row r="292">
          <cell r="F292" t="str">
            <v>Thông Đeng</v>
          </cell>
          <cell r="AL292">
            <v>0</v>
          </cell>
          <cell r="AM292">
            <v>0</v>
          </cell>
          <cell r="AN292">
            <v>0</v>
          </cell>
          <cell r="AO292">
            <v>0</v>
          </cell>
          <cell r="AP292">
            <v>0</v>
          </cell>
          <cell r="AQ292">
            <v>0</v>
          </cell>
          <cell r="AR292">
            <v>0</v>
          </cell>
        </row>
        <row r="293">
          <cell r="F293" t="str">
            <v>Phu Vanh</v>
          </cell>
          <cell r="AL293">
            <v>0</v>
          </cell>
          <cell r="AM293">
            <v>0</v>
          </cell>
          <cell r="AN293">
            <v>0</v>
          </cell>
          <cell r="AO293">
            <v>0</v>
          </cell>
          <cell r="AP293">
            <v>0</v>
          </cell>
          <cell r="AQ293">
            <v>0</v>
          </cell>
          <cell r="AR293">
            <v>0</v>
          </cell>
        </row>
        <row r="294">
          <cell r="F294" t="str">
            <v>Ta</v>
          </cell>
          <cell r="AL294">
            <v>0</v>
          </cell>
          <cell r="AM294">
            <v>0</v>
          </cell>
          <cell r="AN294">
            <v>0</v>
          </cell>
          <cell r="AO294">
            <v>0</v>
          </cell>
          <cell r="AP294">
            <v>0</v>
          </cell>
          <cell r="AQ294">
            <v>0</v>
          </cell>
          <cell r="AR294">
            <v>0</v>
          </cell>
        </row>
        <row r="295">
          <cell r="F295" t="str">
            <v>Khôn (4)</v>
          </cell>
          <cell r="AL295">
            <v>0</v>
          </cell>
          <cell r="AM295">
            <v>0</v>
          </cell>
          <cell r="AN295">
            <v>0</v>
          </cell>
          <cell r="AO295">
            <v>0</v>
          </cell>
          <cell r="AP295">
            <v>0</v>
          </cell>
          <cell r="AQ295">
            <v>0</v>
          </cell>
          <cell r="AR295">
            <v>0</v>
          </cell>
        </row>
        <row r="296">
          <cell r="F296" t="str">
            <v>Thọ</v>
          </cell>
          <cell r="AL296">
            <v>0</v>
          </cell>
          <cell r="AM296">
            <v>0</v>
          </cell>
          <cell r="AN296">
            <v>0</v>
          </cell>
          <cell r="AO296">
            <v>0</v>
          </cell>
          <cell r="AP296">
            <v>0</v>
          </cell>
          <cell r="AQ296">
            <v>0</v>
          </cell>
          <cell r="AR296">
            <v>0</v>
          </cell>
        </row>
        <row r="297">
          <cell r="F297" t="str">
            <v>Ten (4)</v>
          </cell>
          <cell r="AL297">
            <v>0</v>
          </cell>
          <cell r="AM297">
            <v>0</v>
          </cell>
          <cell r="AN297">
            <v>0</v>
          </cell>
          <cell r="AO297">
            <v>0</v>
          </cell>
          <cell r="AP297">
            <v>0</v>
          </cell>
          <cell r="AQ297">
            <v>0</v>
          </cell>
          <cell r="AR297">
            <v>0</v>
          </cell>
        </row>
        <row r="298">
          <cell r="F298" t="str">
            <v>Văn (4)</v>
          </cell>
          <cell r="AL298">
            <v>0</v>
          </cell>
          <cell r="AM298">
            <v>0</v>
          </cell>
          <cell r="AN298">
            <v>0</v>
          </cell>
          <cell r="AO298">
            <v>0</v>
          </cell>
          <cell r="AP298">
            <v>0</v>
          </cell>
          <cell r="AQ298">
            <v>0</v>
          </cell>
          <cell r="AR298">
            <v>0</v>
          </cell>
        </row>
        <row r="299">
          <cell r="F299" t="str">
            <v>Khăm Lổ</v>
          </cell>
          <cell r="AL299">
            <v>0</v>
          </cell>
          <cell r="AM299">
            <v>0</v>
          </cell>
          <cell r="AN299">
            <v>0</v>
          </cell>
          <cell r="AO299">
            <v>0</v>
          </cell>
          <cell r="AP299">
            <v>0</v>
          </cell>
          <cell r="AQ299">
            <v>0</v>
          </cell>
          <cell r="AR299">
            <v>0</v>
          </cell>
        </row>
        <row r="300">
          <cell r="F300" t="str">
            <v>Phong</v>
          </cell>
          <cell r="AL300">
            <v>0</v>
          </cell>
          <cell r="AM300">
            <v>0</v>
          </cell>
          <cell r="AN300">
            <v>0</v>
          </cell>
          <cell r="AO300">
            <v>0</v>
          </cell>
          <cell r="AP300">
            <v>0</v>
          </cell>
          <cell r="AQ300">
            <v>0</v>
          </cell>
          <cell r="AR300">
            <v>0</v>
          </cell>
        </row>
        <row r="301">
          <cell r="F301" t="str">
            <v>Phương</v>
          </cell>
          <cell r="AL301">
            <v>0</v>
          </cell>
          <cell r="AM301">
            <v>0</v>
          </cell>
          <cell r="AN301">
            <v>0</v>
          </cell>
          <cell r="AO301">
            <v>0</v>
          </cell>
          <cell r="AP301">
            <v>0</v>
          </cell>
          <cell r="AQ301">
            <v>0</v>
          </cell>
          <cell r="AR301">
            <v>0</v>
          </cell>
        </row>
        <row r="302">
          <cell r="AL302">
            <v>0</v>
          </cell>
          <cell r="AM302">
            <v>0</v>
          </cell>
          <cell r="AN302">
            <v>0</v>
          </cell>
          <cell r="AO302">
            <v>0</v>
          </cell>
          <cell r="AP302">
            <v>0</v>
          </cell>
          <cell r="AQ302">
            <v>0</v>
          </cell>
          <cell r="AR302">
            <v>0</v>
          </cell>
        </row>
        <row r="303">
          <cell r="G303">
            <v>0</v>
          </cell>
          <cell r="H303">
            <v>0</v>
          </cell>
          <cell r="I303">
            <v>0</v>
          </cell>
          <cell r="J303">
            <v>0</v>
          </cell>
          <cell r="K303">
            <v>0</v>
          </cell>
          <cell r="L303">
            <v>0</v>
          </cell>
          <cell r="M303">
            <v>0</v>
          </cell>
          <cell r="N303">
            <v>0</v>
          </cell>
          <cell r="O303">
            <v>0</v>
          </cell>
          <cell r="P303">
            <v>0</v>
          </cell>
          <cell r="Q303">
            <v>0</v>
          </cell>
          <cell r="R303">
            <v>0</v>
          </cell>
          <cell r="S303">
            <v>0</v>
          </cell>
          <cell r="T303">
            <v>0</v>
          </cell>
          <cell r="U303">
            <v>0</v>
          </cell>
          <cell r="V303">
            <v>0</v>
          </cell>
          <cell r="W303">
            <v>0</v>
          </cell>
          <cell r="X303">
            <v>0</v>
          </cell>
          <cell r="Y303">
            <v>0</v>
          </cell>
          <cell r="Z303">
            <v>0</v>
          </cell>
          <cell r="AA303">
            <v>0</v>
          </cell>
          <cell r="AB303">
            <v>0</v>
          </cell>
          <cell r="AC303">
            <v>0</v>
          </cell>
          <cell r="AD303">
            <v>0</v>
          </cell>
          <cell r="AE303">
            <v>0</v>
          </cell>
          <cell r="AF303">
            <v>0</v>
          </cell>
          <cell r="AG303">
            <v>0</v>
          </cell>
          <cell r="AH303">
            <v>0</v>
          </cell>
          <cell r="AI303">
            <v>0</v>
          </cell>
          <cell r="AJ303">
            <v>0</v>
          </cell>
          <cell r="AK303">
            <v>0</v>
          </cell>
          <cell r="AL303">
            <v>0</v>
          </cell>
          <cell r="AM303">
            <v>0</v>
          </cell>
          <cell r="AN303">
            <v>0</v>
          </cell>
          <cell r="AO303">
            <v>0</v>
          </cell>
          <cell r="AP303">
            <v>0</v>
          </cell>
          <cell r="AQ303">
            <v>0</v>
          </cell>
          <cell r="AR303">
            <v>0</v>
          </cell>
        </row>
        <row r="304">
          <cell r="F304" t="str">
            <v>Nàng Mon</v>
          </cell>
          <cell r="AL304">
            <v>0</v>
          </cell>
          <cell r="AM304">
            <v>0</v>
          </cell>
          <cell r="AN304">
            <v>0</v>
          </cell>
          <cell r="AO304">
            <v>0</v>
          </cell>
          <cell r="AP304">
            <v>0</v>
          </cell>
          <cell r="AQ304">
            <v>0</v>
          </cell>
          <cell r="AR304">
            <v>0</v>
          </cell>
        </row>
        <row r="305">
          <cell r="F305" t="str">
            <v>Bun</v>
          </cell>
          <cell r="AL305">
            <v>0</v>
          </cell>
          <cell r="AM305">
            <v>0</v>
          </cell>
          <cell r="AN305">
            <v>0</v>
          </cell>
          <cell r="AO305">
            <v>0</v>
          </cell>
          <cell r="AP305">
            <v>0</v>
          </cell>
          <cell r="AQ305">
            <v>0</v>
          </cell>
          <cell r="AR305">
            <v>0</v>
          </cell>
        </row>
        <row r="306">
          <cell r="F306" t="str">
            <v>Xôm Bách</v>
          </cell>
          <cell r="AL306">
            <v>0</v>
          </cell>
          <cell r="AM306">
            <v>0</v>
          </cell>
          <cell r="AN306">
            <v>0</v>
          </cell>
          <cell r="AO306">
            <v>0</v>
          </cell>
          <cell r="AP306">
            <v>0</v>
          </cell>
          <cell r="AQ306">
            <v>0</v>
          </cell>
          <cell r="AR306">
            <v>0</v>
          </cell>
        </row>
        <row r="307">
          <cell r="F307" t="str">
            <v>Thảo Tịa</v>
          </cell>
          <cell r="AL307">
            <v>0</v>
          </cell>
          <cell r="AM307">
            <v>0</v>
          </cell>
          <cell r="AN307">
            <v>0</v>
          </cell>
          <cell r="AO307">
            <v>0</v>
          </cell>
          <cell r="AP307">
            <v>0</v>
          </cell>
          <cell r="AQ307">
            <v>0</v>
          </cell>
          <cell r="AR307">
            <v>0</v>
          </cell>
        </row>
        <row r="308">
          <cell r="F308" t="str">
            <v>Hám Lae</v>
          </cell>
          <cell r="AL308">
            <v>0</v>
          </cell>
          <cell r="AM308">
            <v>0</v>
          </cell>
          <cell r="AN308">
            <v>0</v>
          </cell>
          <cell r="AO308">
            <v>0</v>
          </cell>
          <cell r="AP308">
            <v>0</v>
          </cell>
          <cell r="AQ308">
            <v>0</v>
          </cell>
          <cell r="AR308">
            <v>0</v>
          </cell>
        </row>
        <row r="309">
          <cell r="F309" t="str">
            <v>Lan (5)</v>
          </cell>
          <cell r="AL309">
            <v>0</v>
          </cell>
          <cell r="AM309">
            <v>0</v>
          </cell>
          <cell r="AN309">
            <v>0</v>
          </cell>
          <cell r="AO309">
            <v>0</v>
          </cell>
          <cell r="AP309">
            <v>0</v>
          </cell>
          <cell r="AQ309">
            <v>0</v>
          </cell>
          <cell r="AR309">
            <v>0</v>
          </cell>
        </row>
        <row r="310">
          <cell r="F310" t="str">
            <v>Năm</v>
          </cell>
          <cell r="AL310">
            <v>0</v>
          </cell>
          <cell r="AM310">
            <v>0</v>
          </cell>
          <cell r="AN310">
            <v>0</v>
          </cell>
          <cell r="AO310">
            <v>0</v>
          </cell>
          <cell r="AP310">
            <v>0</v>
          </cell>
          <cell r="AQ310">
            <v>0</v>
          </cell>
          <cell r="AR310">
            <v>0</v>
          </cell>
        </row>
        <row r="311">
          <cell r="F311" t="str">
            <v>Thảo Sum</v>
          </cell>
          <cell r="AL311">
            <v>0</v>
          </cell>
          <cell r="AM311">
            <v>0</v>
          </cell>
          <cell r="AN311">
            <v>0</v>
          </cell>
          <cell r="AO311">
            <v>0</v>
          </cell>
          <cell r="AP311">
            <v>0</v>
          </cell>
          <cell r="AQ311">
            <v>0</v>
          </cell>
          <cell r="AR311">
            <v>0</v>
          </cell>
        </row>
        <row r="312">
          <cell r="F312" t="str">
            <v>A Sung</v>
          </cell>
          <cell r="AL312">
            <v>0</v>
          </cell>
          <cell r="AM312">
            <v>0</v>
          </cell>
          <cell r="AN312">
            <v>0</v>
          </cell>
          <cell r="AO312">
            <v>0</v>
          </cell>
          <cell r="AP312">
            <v>0</v>
          </cell>
          <cell r="AQ312">
            <v>0</v>
          </cell>
          <cell r="AR312">
            <v>0</v>
          </cell>
        </row>
        <row r="313">
          <cell r="F313" t="str">
            <v>Phết Sa Mon</v>
          </cell>
          <cell r="AL313">
            <v>0</v>
          </cell>
          <cell r="AM313">
            <v>0</v>
          </cell>
          <cell r="AN313">
            <v>0</v>
          </cell>
          <cell r="AO313">
            <v>0</v>
          </cell>
          <cell r="AP313">
            <v>0</v>
          </cell>
          <cell r="AQ313">
            <v>0</v>
          </cell>
          <cell r="AR313">
            <v>0</v>
          </cell>
        </row>
        <row r="314">
          <cell r="F314" t="str">
            <v>Nàng Von</v>
          </cell>
          <cell r="AL314">
            <v>0</v>
          </cell>
          <cell r="AM314">
            <v>0</v>
          </cell>
          <cell r="AN314">
            <v>0</v>
          </cell>
          <cell r="AO314">
            <v>0</v>
          </cell>
          <cell r="AP314">
            <v>0</v>
          </cell>
          <cell r="AQ314">
            <v>0</v>
          </cell>
          <cell r="AR314">
            <v>0</v>
          </cell>
        </row>
        <row r="315">
          <cell r="F315" t="str">
            <v>T. Chòi</v>
          </cell>
          <cell r="AL315">
            <v>0</v>
          </cell>
          <cell r="AM315">
            <v>0</v>
          </cell>
          <cell r="AN315">
            <v>0</v>
          </cell>
          <cell r="AO315">
            <v>0</v>
          </cell>
          <cell r="AP315">
            <v>0</v>
          </cell>
          <cell r="AQ315">
            <v>0</v>
          </cell>
          <cell r="AR315">
            <v>0</v>
          </cell>
        </row>
        <row r="316">
          <cell r="F316" t="str">
            <v>Văn (5)</v>
          </cell>
          <cell r="AL316">
            <v>0</v>
          </cell>
          <cell r="AM316">
            <v>0</v>
          </cell>
          <cell r="AN316">
            <v>0</v>
          </cell>
          <cell r="AO316">
            <v>0</v>
          </cell>
          <cell r="AP316">
            <v>0</v>
          </cell>
          <cell r="AQ316">
            <v>0</v>
          </cell>
          <cell r="AR316">
            <v>0</v>
          </cell>
        </row>
        <row r="317">
          <cell r="F317" t="str">
            <v>Thảo Khon</v>
          </cell>
          <cell r="AL317">
            <v>0</v>
          </cell>
          <cell r="AM317">
            <v>0</v>
          </cell>
          <cell r="AN317">
            <v>0</v>
          </cell>
          <cell r="AO317">
            <v>0</v>
          </cell>
          <cell r="AP317">
            <v>0</v>
          </cell>
          <cell r="AQ317">
            <v>0</v>
          </cell>
          <cell r="AR317">
            <v>0</v>
          </cell>
        </row>
        <row r="318">
          <cell r="F318" t="str">
            <v>A Tô</v>
          </cell>
          <cell r="AL318">
            <v>0</v>
          </cell>
          <cell r="AM318">
            <v>0</v>
          </cell>
          <cell r="AN318">
            <v>0</v>
          </cell>
          <cell r="AO318">
            <v>0</v>
          </cell>
          <cell r="AP318">
            <v>0</v>
          </cell>
          <cell r="AQ318">
            <v>0</v>
          </cell>
          <cell r="AR318">
            <v>0</v>
          </cell>
        </row>
        <row r="319">
          <cell r="F319" t="str">
            <v>Đoan</v>
          </cell>
          <cell r="AL319">
            <v>0</v>
          </cell>
          <cell r="AM319">
            <v>0</v>
          </cell>
          <cell r="AN319">
            <v>0</v>
          </cell>
          <cell r="AO319">
            <v>0</v>
          </cell>
          <cell r="AP319">
            <v>0</v>
          </cell>
          <cell r="AQ319">
            <v>0</v>
          </cell>
          <cell r="AR319">
            <v>0</v>
          </cell>
        </row>
        <row r="320">
          <cell r="F320" t="str">
            <v>Bun No</v>
          </cell>
          <cell r="AL320">
            <v>0</v>
          </cell>
          <cell r="AM320">
            <v>0</v>
          </cell>
          <cell r="AN320">
            <v>0</v>
          </cell>
          <cell r="AO320">
            <v>0</v>
          </cell>
          <cell r="AP320">
            <v>0</v>
          </cell>
          <cell r="AQ320">
            <v>0</v>
          </cell>
          <cell r="AR320">
            <v>0</v>
          </cell>
        </row>
        <row r="321">
          <cell r="F321" t="str">
            <v>Nét (5)</v>
          </cell>
          <cell r="AL321">
            <v>0</v>
          </cell>
          <cell r="AM321">
            <v>0</v>
          </cell>
          <cell r="AN321">
            <v>0</v>
          </cell>
          <cell r="AO321">
            <v>0</v>
          </cell>
          <cell r="AP321">
            <v>0</v>
          </cell>
          <cell r="AQ321">
            <v>0</v>
          </cell>
          <cell r="AR321">
            <v>0</v>
          </cell>
        </row>
        <row r="322">
          <cell r="F322" t="str">
            <v>Sen</v>
          </cell>
          <cell r="AL322">
            <v>0</v>
          </cell>
          <cell r="AM322">
            <v>0</v>
          </cell>
          <cell r="AN322">
            <v>0</v>
          </cell>
          <cell r="AO322">
            <v>0</v>
          </cell>
          <cell r="AP322">
            <v>0</v>
          </cell>
          <cell r="AQ322">
            <v>0</v>
          </cell>
          <cell r="AR322">
            <v>0</v>
          </cell>
        </row>
        <row r="323">
          <cell r="F323" t="str">
            <v>Thảo Núc</v>
          </cell>
          <cell r="AL323">
            <v>0</v>
          </cell>
          <cell r="AM323">
            <v>0</v>
          </cell>
          <cell r="AN323">
            <v>0</v>
          </cell>
          <cell r="AO323">
            <v>0</v>
          </cell>
          <cell r="AP323">
            <v>0</v>
          </cell>
          <cell r="AQ323">
            <v>0</v>
          </cell>
          <cell r="AR323">
            <v>0</v>
          </cell>
        </row>
        <row r="324">
          <cell r="F324" t="str">
            <v>A Đưng</v>
          </cell>
          <cell r="AL324">
            <v>0</v>
          </cell>
          <cell r="AM324">
            <v>0</v>
          </cell>
          <cell r="AN324">
            <v>0</v>
          </cell>
          <cell r="AO324">
            <v>0</v>
          </cell>
          <cell r="AP324">
            <v>0</v>
          </cell>
          <cell r="AQ324">
            <v>0</v>
          </cell>
          <cell r="AR324">
            <v>0</v>
          </cell>
        </row>
        <row r="325">
          <cell r="F325" t="str">
            <v>Nàng Nọi (5)</v>
          </cell>
          <cell r="AL325">
            <v>0</v>
          </cell>
          <cell r="AM325">
            <v>0</v>
          </cell>
          <cell r="AN325">
            <v>0</v>
          </cell>
          <cell r="AO325">
            <v>0</v>
          </cell>
          <cell r="AP325">
            <v>0</v>
          </cell>
          <cell r="AQ325">
            <v>0</v>
          </cell>
          <cell r="AR325">
            <v>0</v>
          </cell>
        </row>
        <row r="326">
          <cell r="F326" t="str">
            <v>Lúp</v>
          </cell>
          <cell r="AL326">
            <v>0</v>
          </cell>
          <cell r="AM326">
            <v>0</v>
          </cell>
          <cell r="AN326">
            <v>0</v>
          </cell>
          <cell r="AO326">
            <v>0</v>
          </cell>
          <cell r="AP326">
            <v>0</v>
          </cell>
          <cell r="AQ326">
            <v>0</v>
          </cell>
          <cell r="AR326">
            <v>0</v>
          </cell>
        </row>
        <row r="327">
          <cell r="F327" t="str">
            <v>Xai (5)</v>
          </cell>
          <cell r="AL327">
            <v>0</v>
          </cell>
          <cell r="AM327">
            <v>0</v>
          </cell>
          <cell r="AN327">
            <v>0</v>
          </cell>
          <cell r="AO327">
            <v>0</v>
          </cell>
          <cell r="AP327">
            <v>0</v>
          </cell>
          <cell r="AQ327">
            <v>0</v>
          </cell>
          <cell r="AR327">
            <v>0</v>
          </cell>
        </row>
        <row r="328">
          <cell r="F328" t="str">
            <v>A Bun Noi</v>
          </cell>
          <cell r="AL328">
            <v>0</v>
          </cell>
          <cell r="AM328">
            <v>0</v>
          </cell>
          <cell r="AN328">
            <v>0</v>
          </cell>
          <cell r="AO328">
            <v>0</v>
          </cell>
          <cell r="AP328">
            <v>0</v>
          </cell>
          <cell r="AQ328">
            <v>0</v>
          </cell>
          <cell r="AR328">
            <v>0</v>
          </cell>
        </row>
        <row r="329">
          <cell r="F329" t="str">
            <v>E (5)</v>
          </cell>
          <cell r="AL329">
            <v>0</v>
          </cell>
          <cell r="AM329">
            <v>0</v>
          </cell>
          <cell r="AN329">
            <v>0</v>
          </cell>
          <cell r="AO329">
            <v>0</v>
          </cell>
          <cell r="AP329">
            <v>0</v>
          </cell>
          <cell r="AQ329">
            <v>0</v>
          </cell>
          <cell r="AR329">
            <v>0</v>
          </cell>
        </row>
        <row r="330">
          <cell r="F330" t="str">
            <v>Bun Mi</v>
          </cell>
          <cell r="AL330">
            <v>0</v>
          </cell>
          <cell r="AM330">
            <v>0</v>
          </cell>
          <cell r="AN330">
            <v>0</v>
          </cell>
          <cell r="AO330">
            <v>0</v>
          </cell>
          <cell r="AP330">
            <v>0</v>
          </cell>
          <cell r="AQ330">
            <v>0</v>
          </cell>
          <cell r="AR330">
            <v>0</v>
          </cell>
        </row>
        <row r="331">
          <cell r="F331" t="str">
            <v>Thảo Văn</v>
          </cell>
          <cell r="AL331">
            <v>0</v>
          </cell>
          <cell r="AM331">
            <v>0</v>
          </cell>
          <cell r="AN331">
            <v>0</v>
          </cell>
          <cell r="AO331">
            <v>0</v>
          </cell>
          <cell r="AP331">
            <v>0</v>
          </cell>
          <cell r="AQ331">
            <v>0</v>
          </cell>
          <cell r="AR331">
            <v>0</v>
          </cell>
        </row>
        <row r="332">
          <cell r="F332" t="str">
            <v>Nàng Ngân</v>
          </cell>
          <cell r="AL332">
            <v>0</v>
          </cell>
          <cell r="AM332">
            <v>0</v>
          </cell>
          <cell r="AN332">
            <v>0</v>
          </cell>
          <cell r="AO332">
            <v>0</v>
          </cell>
          <cell r="AP332">
            <v>0</v>
          </cell>
          <cell r="AQ332">
            <v>0</v>
          </cell>
          <cell r="AR332">
            <v>0</v>
          </cell>
        </row>
        <row r="333">
          <cell r="F333" t="str">
            <v>Nàng Pha</v>
          </cell>
          <cell r="AL333">
            <v>0</v>
          </cell>
          <cell r="AM333">
            <v>0</v>
          </cell>
          <cell r="AN333">
            <v>0</v>
          </cell>
          <cell r="AO333">
            <v>0</v>
          </cell>
          <cell r="AP333">
            <v>0</v>
          </cell>
          <cell r="AQ333">
            <v>0</v>
          </cell>
          <cell r="AR333">
            <v>0</v>
          </cell>
        </row>
        <row r="334">
          <cell r="F334" t="str">
            <v>Thảo Ê</v>
          </cell>
          <cell r="AL334">
            <v>0</v>
          </cell>
          <cell r="AM334">
            <v>0</v>
          </cell>
          <cell r="AN334">
            <v>0</v>
          </cell>
          <cell r="AO334">
            <v>0</v>
          </cell>
          <cell r="AP334">
            <v>0</v>
          </cell>
          <cell r="AQ334">
            <v>0</v>
          </cell>
          <cell r="AR334">
            <v>0</v>
          </cell>
        </row>
        <row r="335">
          <cell r="F335" t="str">
            <v>Nàng Ăm</v>
          </cell>
          <cell r="AL335">
            <v>0</v>
          </cell>
          <cell r="AM335">
            <v>0</v>
          </cell>
          <cell r="AN335">
            <v>0</v>
          </cell>
          <cell r="AO335">
            <v>0</v>
          </cell>
          <cell r="AP335">
            <v>0</v>
          </cell>
          <cell r="AQ335">
            <v>0</v>
          </cell>
          <cell r="AR335">
            <v>0</v>
          </cell>
        </row>
        <row r="336">
          <cell r="F336" t="str">
            <v>Thảo Lợt</v>
          </cell>
          <cell r="AL336">
            <v>0</v>
          </cell>
          <cell r="AM336">
            <v>0</v>
          </cell>
          <cell r="AN336">
            <v>0</v>
          </cell>
          <cell r="AO336">
            <v>0</v>
          </cell>
          <cell r="AP336">
            <v>0</v>
          </cell>
          <cell r="AQ336">
            <v>0</v>
          </cell>
          <cell r="AR336">
            <v>0</v>
          </cell>
        </row>
        <row r="337">
          <cell r="F337" t="str">
            <v>ViSay</v>
          </cell>
          <cell r="AL337">
            <v>0</v>
          </cell>
          <cell r="AM337">
            <v>0</v>
          </cell>
          <cell r="AN337">
            <v>0</v>
          </cell>
          <cell r="AO337">
            <v>0</v>
          </cell>
          <cell r="AP337">
            <v>0</v>
          </cell>
          <cell r="AQ337">
            <v>0</v>
          </cell>
          <cell r="AR337">
            <v>0</v>
          </cell>
        </row>
        <row r="338">
          <cell r="F338" t="str">
            <v>Thảo Phơn</v>
          </cell>
          <cell r="AL338">
            <v>0</v>
          </cell>
          <cell r="AM338">
            <v>0</v>
          </cell>
          <cell r="AN338">
            <v>0</v>
          </cell>
          <cell r="AO338">
            <v>0</v>
          </cell>
          <cell r="AP338">
            <v>0</v>
          </cell>
          <cell r="AQ338">
            <v>0</v>
          </cell>
          <cell r="AR338">
            <v>0</v>
          </cell>
        </row>
        <row r="339">
          <cell r="F339" t="str">
            <v>Nàng Oi</v>
          </cell>
          <cell r="AL339">
            <v>0</v>
          </cell>
          <cell r="AM339">
            <v>0</v>
          </cell>
          <cell r="AN339">
            <v>0</v>
          </cell>
          <cell r="AO339">
            <v>0</v>
          </cell>
          <cell r="AP339">
            <v>0</v>
          </cell>
          <cell r="AQ339">
            <v>0</v>
          </cell>
          <cell r="AR339">
            <v>0</v>
          </cell>
        </row>
        <row r="340">
          <cell r="F340" t="str">
            <v>Nàng Ly</v>
          </cell>
          <cell r="AL340">
            <v>0</v>
          </cell>
          <cell r="AM340">
            <v>0</v>
          </cell>
          <cell r="AN340">
            <v>0</v>
          </cell>
          <cell r="AO340">
            <v>0</v>
          </cell>
          <cell r="AP340">
            <v>0</v>
          </cell>
          <cell r="AQ340">
            <v>0</v>
          </cell>
          <cell r="AR340">
            <v>0</v>
          </cell>
        </row>
        <row r="341">
          <cell r="F341" t="str">
            <v>Thảo Ú</v>
          </cell>
          <cell r="AL341">
            <v>0</v>
          </cell>
          <cell r="AM341">
            <v>0</v>
          </cell>
          <cell r="AN341">
            <v>0</v>
          </cell>
          <cell r="AO341">
            <v>0</v>
          </cell>
          <cell r="AP341">
            <v>0</v>
          </cell>
          <cell r="AQ341">
            <v>0</v>
          </cell>
          <cell r="AR341">
            <v>0</v>
          </cell>
        </row>
        <row r="342">
          <cell r="F342" t="str">
            <v>Bun Ùm</v>
          </cell>
          <cell r="AL342">
            <v>0</v>
          </cell>
          <cell r="AM342">
            <v>0</v>
          </cell>
          <cell r="AN342">
            <v>0</v>
          </cell>
          <cell r="AO342">
            <v>0</v>
          </cell>
          <cell r="AP342">
            <v>0</v>
          </cell>
          <cell r="AQ342">
            <v>0</v>
          </cell>
          <cell r="AR342">
            <v>0</v>
          </cell>
        </row>
        <row r="343">
          <cell r="F343" t="str">
            <v>Bun Ma (5)</v>
          </cell>
          <cell r="AL343">
            <v>0</v>
          </cell>
          <cell r="AM343">
            <v>0</v>
          </cell>
          <cell r="AN343">
            <v>0</v>
          </cell>
          <cell r="AO343">
            <v>0</v>
          </cell>
          <cell r="AP343">
            <v>0</v>
          </cell>
          <cell r="AQ343">
            <v>0</v>
          </cell>
          <cell r="AR343">
            <v>0</v>
          </cell>
        </row>
        <row r="344">
          <cell r="F344" t="str">
            <v>Keo (5)</v>
          </cell>
          <cell r="AL344">
            <v>0</v>
          </cell>
          <cell r="AM344">
            <v>0</v>
          </cell>
          <cell r="AN344">
            <v>0</v>
          </cell>
          <cell r="AO344">
            <v>0</v>
          </cell>
          <cell r="AP344">
            <v>0</v>
          </cell>
          <cell r="AQ344">
            <v>0</v>
          </cell>
          <cell r="AR344">
            <v>0</v>
          </cell>
        </row>
        <row r="345">
          <cell r="F345" t="str">
            <v>Khám Tan</v>
          </cell>
          <cell r="AL345">
            <v>0</v>
          </cell>
          <cell r="AM345">
            <v>0</v>
          </cell>
          <cell r="AN345">
            <v>0</v>
          </cell>
          <cell r="AO345">
            <v>0</v>
          </cell>
          <cell r="AP345">
            <v>0</v>
          </cell>
          <cell r="AQ345">
            <v>0</v>
          </cell>
          <cell r="AR345">
            <v>0</v>
          </cell>
        </row>
        <row r="346">
          <cell r="F346" t="str">
            <v>Nàng Súc</v>
          </cell>
          <cell r="AL346">
            <v>0</v>
          </cell>
          <cell r="AM346">
            <v>0</v>
          </cell>
          <cell r="AN346">
            <v>0</v>
          </cell>
          <cell r="AO346">
            <v>0</v>
          </cell>
          <cell r="AP346">
            <v>0</v>
          </cell>
          <cell r="AQ346">
            <v>0</v>
          </cell>
          <cell r="AR346">
            <v>0</v>
          </cell>
        </row>
        <row r="347">
          <cell r="F347" t="str">
            <v>Khắn Thong</v>
          </cell>
          <cell r="AL347">
            <v>0</v>
          </cell>
          <cell r="AM347">
            <v>0</v>
          </cell>
          <cell r="AN347">
            <v>0</v>
          </cell>
          <cell r="AO347">
            <v>0</v>
          </cell>
          <cell r="AP347">
            <v>0</v>
          </cell>
          <cell r="AQ347">
            <v>0</v>
          </cell>
          <cell r="AR347">
            <v>0</v>
          </cell>
        </row>
        <row r="348">
          <cell r="F348" t="str">
            <v>Keo Đăm</v>
          </cell>
          <cell r="AL348">
            <v>0</v>
          </cell>
          <cell r="AM348">
            <v>0</v>
          </cell>
          <cell r="AN348">
            <v>0</v>
          </cell>
          <cell r="AO348">
            <v>0</v>
          </cell>
          <cell r="AP348">
            <v>0</v>
          </cell>
          <cell r="AQ348">
            <v>0</v>
          </cell>
          <cell r="AR348">
            <v>0</v>
          </cell>
        </row>
        <row r="349">
          <cell r="F349" t="str">
            <v>Ka Luân</v>
          </cell>
          <cell r="AL349">
            <v>0</v>
          </cell>
          <cell r="AM349">
            <v>0</v>
          </cell>
          <cell r="AN349">
            <v>0</v>
          </cell>
          <cell r="AO349">
            <v>0</v>
          </cell>
          <cell r="AP349">
            <v>0</v>
          </cell>
          <cell r="AQ349">
            <v>0</v>
          </cell>
          <cell r="AR349">
            <v>0</v>
          </cell>
        </row>
        <row r="350">
          <cell r="F350" t="str">
            <v>Mừn</v>
          </cell>
          <cell r="AL350">
            <v>0</v>
          </cell>
          <cell r="AM350">
            <v>0</v>
          </cell>
          <cell r="AN350">
            <v>0</v>
          </cell>
          <cell r="AO350">
            <v>0</v>
          </cell>
          <cell r="AP350">
            <v>0</v>
          </cell>
          <cell r="AQ350">
            <v>0</v>
          </cell>
          <cell r="AR350">
            <v>0</v>
          </cell>
        </row>
        <row r="351">
          <cell r="F351" t="str">
            <v>N. Lâm</v>
          </cell>
          <cell r="AL351">
            <v>0</v>
          </cell>
          <cell r="AM351">
            <v>0</v>
          </cell>
          <cell r="AN351">
            <v>0</v>
          </cell>
          <cell r="AO351">
            <v>0</v>
          </cell>
          <cell r="AP351">
            <v>0</v>
          </cell>
          <cell r="AQ351">
            <v>0</v>
          </cell>
          <cell r="AR351">
            <v>0</v>
          </cell>
        </row>
        <row r="352">
          <cell r="F352" t="str">
            <v>T. Kợt</v>
          </cell>
          <cell r="AL352">
            <v>0</v>
          </cell>
          <cell r="AM352">
            <v>0</v>
          </cell>
          <cell r="AN352">
            <v>0</v>
          </cell>
          <cell r="AO352">
            <v>0</v>
          </cell>
          <cell r="AP352">
            <v>0</v>
          </cell>
          <cell r="AQ352">
            <v>0</v>
          </cell>
          <cell r="AR352">
            <v>0</v>
          </cell>
        </row>
        <row r="353">
          <cell r="F353" t="str">
            <v>Sôm Sa Núc</v>
          </cell>
          <cell r="AL353">
            <v>0</v>
          </cell>
          <cell r="AM353">
            <v>0</v>
          </cell>
          <cell r="AN353">
            <v>0</v>
          </cell>
          <cell r="AO353">
            <v>0</v>
          </cell>
          <cell r="AP353">
            <v>0</v>
          </cell>
          <cell r="AQ353">
            <v>0</v>
          </cell>
          <cell r="AR353">
            <v>0</v>
          </cell>
        </row>
        <row r="354">
          <cell r="F354" t="str">
            <v>Kay Thong</v>
          </cell>
          <cell r="AL354">
            <v>0</v>
          </cell>
          <cell r="AM354">
            <v>0</v>
          </cell>
          <cell r="AN354">
            <v>0</v>
          </cell>
          <cell r="AO354">
            <v>0</v>
          </cell>
          <cell r="AP354">
            <v>0</v>
          </cell>
          <cell r="AQ354">
            <v>0</v>
          </cell>
          <cell r="AR354">
            <v>0</v>
          </cell>
        </row>
        <row r="355">
          <cell r="F355" t="str">
            <v>A Vun</v>
          </cell>
          <cell r="AL355">
            <v>0</v>
          </cell>
          <cell r="AM355">
            <v>0</v>
          </cell>
          <cell r="AN355">
            <v>0</v>
          </cell>
          <cell r="AO355">
            <v>0</v>
          </cell>
          <cell r="AP355">
            <v>0</v>
          </cell>
          <cell r="AQ355">
            <v>0</v>
          </cell>
          <cell r="AR355">
            <v>0</v>
          </cell>
        </row>
        <row r="356">
          <cell r="F356" t="str">
            <v>T. Son</v>
          </cell>
          <cell r="AL356">
            <v>0</v>
          </cell>
          <cell r="AM356">
            <v>0</v>
          </cell>
          <cell r="AN356">
            <v>0</v>
          </cell>
          <cell r="AO356">
            <v>0</v>
          </cell>
          <cell r="AP356">
            <v>0</v>
          </cell>
          <cell r="AQ356">
            <v>0</v>
          </cell>
          <cell r="AR356">
            <v>0</v>
          </cell>
        </row>
        <row r="357">
          <cell r="F357" t="str">
            <v>Sắc</v>
          </cell>
          <cell r="AL357">
            <v>0</v>
          </cell>
          <cell r="AM357">
            <v>0</v>
          </cell>
          <cell r="AN357">
            <v>0</v>
          </cell>
          <cell r="AO357">
            <v>0</v>
          </cell>
          <cell r="AP357">
            <v>0</v>
          </cell>
          <cell r="AQ357">
            <v>0</v>
          </cell>
          <cell r="AR357">
            <v>0</v>
          </cell>
        </row>
        <row r="358">
          <cell r="F358" t="str">
            <v>Thảo Bơt</v>
          </cell>
          <cell r="AL358">
            <v>0</v>
          </cell>
          <cell r="AM358">
            <v>0</v>
          </cell>
          <cell r="AN358">
            <v>0</v>
          </cell>
          <cell r="AO358">
            <v>0</v>
          </cell>
          <cell r="AP358">
            <v>0</v>
          </cell>
          <cell r="AQ358">
            <v>0</v>
          </cell>
          <cell r="AR358">
            <v>0</v>
          </cell>
        </row>
        <row r="359">
          <cell r="F359" t="str">
            <v>Say (5)</v>
          </cell>
          <cell r="AL359">
            <v>0</v>
          </cell>
          <cell r="AM359">
            <v>0</v>
          </cell>
          <cell r="AN359">
            <v>0</v>
          </cell>
          <cell r="AO359">
            <v>0</v>
          </cell>
          <cell r="AP359">
            <v>0</v>
          </cell>
          <cell r="AQ359">
            <v>0</v>
          </cell>
          <cell r="AR359">
            <v>0</v>
          </cell>
        </row>
        <row r="360">
          <cell r="F360" t="str">
            <v>Đăm (5)</v>
          </cell>
          <cell r="AL360">
            <v>0</v>
          </cell>
          <cell r="AM360">
            <v>0</v>
          </cell>
          <cell r="AN360">
            <v>0</v>
          </cell>
          <cell r="AO360">
            <v>0</v>
          </cell>
          <cell r="AP360">
            <v>0</v>
          </cell>
          <cell r="AQ360">
            <v>0</v>
          </cell>
          <cell r="AR360">
            <v>0</v>
          </cell>
        </row>
        <row r="361">
          <cell r="F361" t="str">
            <v>Viêng</v>
          </cell>
          <cell r="AL361">
            <v>0</v>
          </cell>
          <cell r="AM361">
            <v>0</v>
          </cell>
          <cell r="AN361">
            <v>0</v>
          </cell>
          <cell r="AO361">
            <v>0</v>
          </cell>
          <cell r="AP361">
            <v>0</v>
          </cell>
          <cell r="AQ361">
            <v>0</v>
          </cell>
          <cell r="AR361">
            <v>0</v>
          </cell>
        </row>
        <row r="362">
          <cell r="F362" t="str">
            <v>Săn</v>
          </cell>
          <cell r="AL362">
            <v>0</v>
          </cell>
          <cell r="AM362">
            <v>0</v>
          </cell>
          <cell r="AN362">
            <v>0</v>
          </cell>
          <cell r="AO362">
            <v>0</v>
          </cell>
          <cell r="AP362">
            <v>0</v>
          </cell>
          <cell r="AQ362">
            <v>0</v>
          </cell>
          <cell r="AR362">
            <v>0</v>
          </cell>
        </row>
        <row r="363">
          <cell r="F363" t="str">
            <v>Nàng Loi</v>
          </cell>
          <cell r="AL363">
            <v>0</v>
          </cell>
          <cell r="AM363">
            <v>0</v>
          </cell>
          <cell r="AN363">
            <v>0</v>
          </cell>
          <cell r="AO363">
            <v>0</v>
          </cell>
          <cell r="AP363">
            <v>0</v>
          </cell>
          <cell r="AQ363">
            <v>0</v>
          </cell>
          <cell r="AR363">
            <v>0</v>
          </cell>
        </row>
        <row r="364">
          <cell r="F364" t="str">
            <v>A Săn</v>
          </cell>
          <cell r="AL364">
            <v>0</v>
          </cell>
          <cell r="AM364">
            <v>0</v>
          </cell>
          <cell r="AN364">
            <v>0</v>
          </cell>
          <cell r="AO364">
            <v>0</v>
          </cell>
          <cell r="AP364">
            <v>0</v>
          </cell>
          <cell r="AQ364">
            <v>0</v>
          </cell>
          <cell r="AR364">
            <v>0</v>
          </cell>
        </row>
        <row r="365">
          <cell r="F365" t="str">
            <v>Sa Máy</v>
          </cell>
          <cell r="AL365">
            <v>0</v>
          </cell>
          <cell r="AM365">
            <v>0</v>
          </cell>
          <cell r="AN365">
            <v>0</v>
          </cell>
          <cell r="AO365">
            <v>0</v>
          </cell>
          <cell r="AP365">
            <v>0</v>
          </cell>
          <cell r="AQ365">
            <v>0</v>
          </cell>
          <cell r="AR365">
            <v>0</v>
          </cell>
        </row>
        <row r="366">
          <cell r="F366" t="str">
            <v>Khăm Bay (5)</v>
          </cell>
          <cell r="AL366">
            <v>0</v>
          </cell>
          <cell r="AM366">
            <v>0</v>
          </cell>
          <cell r="AN366">
            <v>0</v>
          </cell>
          <cell r="AO366">
            <v>0</v>
          </cell>
          <cell r="AP366">
            <v>0</v>
          </cell>
          <cell r="AQ366">
            <v>0</v>
          </cell>
          <cell r="AR366">
            <v>0</v>
          </cell>
        </row>
        <row r="367">
          <cell r="F367" t="str">
            <v>Chôn</v>
          </cell>
          <cell r="AL367">
            <v>0</v>
          </cell>
          <cell r="AM367">
            <v>0</v>
          </cell>
          <cell r="AN367">
            <v>0</v>
          </cell>
          <cell r="AO367">
            <v>0</v>
          </cell>
          <cell r="AP367">
            <v>0</v>
          </cell>
          <cell r="AQ367">
            <v>0</v>
          </cell>
          <cell r="AR367">
            <v>0</v>
          </cell>
        </row>
        <row r="368">
          <cell r="F368" t="str">
            <v>Lâm Ngân</v>
          </cell>
          <cell r="AL368">
            <v>0</v>
          </cell>
          <cell r="AM368">
            <v>0</v>
          </cell>
          <cell r="AN368">
            <v>0</v>
          </cell>
          <cell r="AO368">
            <v>0</v>
          </cell>
          <cell r="AP368">
            <v>0</v>
          </cell>
          <cell r="AQ368">
            <v>0</v>
          </cell>
          <cell r="AR368">
            <v>0</v>
          </cell>
        </row>
        <row r="369">
          <cell r="F369" t="str">
            <v>A Nha</v>
          </cell>
          <cell r="AL369">
            <v>0</v>
          </cell>
          <cell r="AM369">
            <v>0</v>
          </cell>
          <cell r="AN369">
            <v>0</v>
          </cell>
          <cell r="AO369">
            <v>0</v>
          </cell>
          <cell r="AP369">
            <v>0</v>
          </cell>
          <cell r="AQ369">
            <v>0</v>
          </cell>
          <cell r="AR369">
            <v>0</v>
          </cell>
        </row>
        <row r="370">
          <cell r="F370" t="str">
            <v>Tảo Pheo</v>
          </cell>
          <cell r="AL370">
            <v>0</v>
          </cell>
          <cell r="AM370">
            <v>0</v>
          </cell>
          <cell r="AN370">
            <v>0</v>
          </cell>
          <cell r="AO370">
            <v>0</v>
          </cell>
          <cell r="AP370">
            <v>0</v>
          </cell>
          <cell r="AQ370">
            <v>0</v>
          </cell>
          <cell r="AR370">
            <v>0</v>
          </cell>
        </row>
        <row r="371">
          <cell r="F371" t="str">
            <v>P. Mong</v>
          </cell>
          <cell r="AL371">
            <v>0</v>
          </cell>
          <cell r="AM371">
            <v>0</v>
          </cell>
          <cell r="AN371">
            <v>0</v>
          </cell>
          <cell r="AO371">
            <v>0</v>
          </cell>
          <cell r="AP371">
            <v>0</v>
          </cell>
          <cell r="AQ371">
            <v>0</v>
          </cell>
          <cell r="AR371">
            <v>0</v>
          </cell>
        </row>
        <row r="372">
          <cell r="F372" t="str">
            <v>A Chon</v>
          </cell>
          <cell r="AL372">
            <v>0</v>
          </cell>
          <cell r="AM372">
            <v>0</v>
          </cell>
          <cell r="AN372">
            <v>0</v>
          </cell>
          <cell r="AO372">
            <v>0</v>
          </cell>
          <cell r="AP372">
            <v>0</v>
          </cell>
          <cell r="AQ372">
            <v>0</v>
          </cell>
          <cell r="AR372">
            <v>0</v>
          </cell>
        </row>
        <row r="373">
          <cell r="F373" t="str">
            <v>Thảo Khon B</v>
          </cell>
          <cell r="AL373">
            <v>0</v>
          </cell>
          <cell r="AM373">
            <v>0</v>
          </cell>
          <cell r="AN373">
            <v>0</v>
          </cell>
          <cell r="AO373">
            <v>0</v>
          </cell>
          <cell r="AP373">
            <v>0</v>
          </cell>
          <cell r="AQ373">
            <v>0</v>
          </cell>
          <cell r="AR373">
            <v>0</v>
          </cell>
        </row>
        <row r="374">
          <cell r="F374" t="str">
            <v>Nàng Chăn</v>
          </cell>
          <cell r="AL374">
            <v>0</v>
          </cell>
          <cell r="AM374">
            <v>0</v>
          </cell>
          <cell r="AN374">
            <v>0</v>
          </cell>
          <cell r="AO374">
            <v>0</v>
          </cell>
          <cell r="AP374">
            <v>0</v>
          </cell>
          <cell r="AQ374">
            <v>0</v>
          </cell>
          <cell r="AR374">
            <v>0</v>
          </cell>
        </row>
        <row r="375">
          <cell r="AL375">
            <v>0</v>
          </cell>
          <cell r="AM375">
            <v>0</v>
          </cell>
          <cell r="AN375">
            <v>0</v>
          </cell>
          <cell r="AO375">
            <v>0</v>
          </cell>
          <cell r="AP375">
            <v>0</v>
          </cell>
          <cell r="AQ375">
            <v>0</v>
          </cell>
          <cell r="AR375">
            <v>0</v>
          </cell>
        </row>
        <row r="376">
          <cell r="AL376">
            <v>0</v>
          </cell>
          <cell r="AM376">
            <v>0</v>
          </cell>
          <cell r="AN376">
            <v>0</v>
          </cell>
          <cell r="AO376">
            <v>0</v>
          </cell>
          <cell r="AP376">
            <v>0</v>
          </cell>
          <cell r="AQ376">
            <v>0</v>
          </cell>
          <cell r="AR376">
            <v>0</v>
          </cell>
        </row>
        <row r="377">
          <cell r="AL377">
            <v>0</v>
          </cell>
          <cell r="AM377">
            <v>0</v>
          </cell>
          <cell r="AN377">
            <v>0</v>
          </cell>
          <cell r="AO377">
            <v>0</v>
          </cell>
          <cell r="AP377">
            <v>0</v>
          </cell>
          <cell r="AQ377">
            <v>0</v>
          </cell>
          <cell r="AR377">
            <v>0</v>
          </cell>
        </row>
        <row r="378">
          <cell r="AL378">
            <v>0</v>
          </cell>
          <cell r="AM378">
            <v>0</v>
          </cell>
          <cell r="AN378">
            <v>0</v>
          </cell>
          <cell r="AO378">
            <v>0</v>
          </cell>
          <cell r="AP378">
            <v>0</v>
          </cell>
          <cell r="AQ378">
            <v>0</v>
          </cell>
          <cell r="AR378">
            <v>0</v>
          </cell>
        </row>
        <row r="379">
          <cell r="AL379">
            <v>0</v>
          </cell>
          <cell r="AM379">
            <v>0</v>
          </cell>
          <cell r="AN379">
            <v>0</v>
          </cell>
          <cell r="AO379">
            <v>0</v>
          </cell>
          <cell r="AP379">
            <v>0</v>
          </cell>
          <cell r="AQ379">
            <v>0</v>
          </cell>
          <cell r="AR379">
            <v>0</v>
          </cell>
        </row>
        <row r="380">
          <cell r="G380">
            <v>0</v>
          </cell>
          <cell r="H380">
            <v>0</v>
          </cell>
          <cell r="I380">
            <v>0</v>
          </cell>
          <cell r="J380">
            <v>0</v>
          </cell>
          <cell r="K380">
            <v>0</v>
          </cell>
          <cell r="L380">
            <v>0</v>
          </cell>
          <cell r="M380">
            <v>0</v>
          </cell>
          <cell r="N380">
            <v>0</v>
          </cell>
          <cell r="O380">
            <v>0</v>
          </cell>
          <cell r="P380">
            <v>0</v>
          </cell>
          <cell r="Q380">
            <v>0</v>
          </cell>
          <cell r="R380">
            <v>0</v>
          </cell>
          <cell r="S380">
            <v>0</v>
          </cell>
          <cell r="T380">
            <v>0</v>
          </cell>
          <cell r="U380">
            <v>0</v>
          </cell>
          <cell r="V380">
            <v>0</v>
          </cell>
          <cell r="W380">
            <v>0</v>
          </cell>
          <cell r="X380">
            <v>0</v>
          </cell>
          <cell r="Y380">
            <v>0</v>
          </cell>
          <cell r="Z380">
            <v>0</v>
          </cell>
          <cell r="AA380">
            <v>0</v>
          </cell>
          <cell r="AB380">
            <v>0</v>
          </cell>
          <cell r="AC380">
            <v>0</v>
          </cell>
          <cell r="AD380">
            <v>0</v>
          </cell>
          <cell r="AE380">
            <v>0</v>
          </cell>
          <cell r="AF380">
            <v>0</v>
          </cell>
          <cell r="AG380">
            <v>0</v>
          </cell>
          <cell r="AH380">
            <v>0</v>
          </cell>
          <cell r="AI380">
            <v>0</v>
          </cell>
          <cell r="AJ380">
            <v>0</v>
          </cell>
          <cell r="AK380">
            <v>0</v>
          </cell>
          <cell r="AL380">
            <v>0</v>
          </cell>
          <cell r="AM380">
            <v>0</v>
          </cell>
          <cell r="AN380">
            <v>0</v>
          </cell>
          <cell r="AO380">
            <v>0</v>
          </cell>
          <cell r="AP380">
            <v>0</v>
          </cell>
          <cell r="AQ380">
            <v>0</v>
          </cell>
          <cell r="AR380">
            <v>0</v>
          </cell>
        </row>
        <row r="381">
          <cell r="F381" t="str">
            <v>A Liên</v>
          </cell>
          <cell r="AL381">
            <v>0</v>
          </cell>
          <cell r="AM381">
            <v>0</v>
          </cell>
          <cell r="AN381">
            <v>0</v>
          </cell>
          <cell r="AO381">
            <v>0</v>
          </cell>
          <cell r="AP381">
            <v>0</v>
          </cell>
          <cell r="AQ381">
            <v>0</v>
          </cell>
          <cell r="AR381">
            <v>0</v>
          </cell>
        </row>
        <row r="382">
          <cell r="F382" t="str">
            <v>Phu Ngân</v>
          </cell>
          <cell r="AL382">
            <v>0</v>
          </cell>
          <cell r="AM382">
            <v>0</v>
          </cell>
          <cell r="AN382">
            <v>0</v>
          </cell>
          <cell r="AO382">
            <v>0</v>
          </cell>
          <cell r="AP382">
            <v>0</v>
          </cell>
          <cell r="AQ382">
            <v>0</v>
          </cell>
          <cell r="AR382">
            <v>0</v>
          </cell>
        </row>
        <row r="383">
          <cell r="F383" t="str">
            <v>Đăm</v>
          </cell>
          <cell r="AL383">
            <v>0</v>
          </cell>
          <cell r="AM383">
            <v>0</v>
          </cell>
          <cell r="AN383">
            <v>0</v>
          </cell>
          <cell r="AO383">
            <v>0</v>
          </cell>
          <cell r="AP383">
            <v>0</v>
          </cell>
          <cell r="AQ383">
            <v>0</v>
          </cell>
          <cell r="AR383">
            <v>0</v>
          </cell>
        </row>
        <row r="384">
          <cell r="F384" t="str">
            <v>La</v>
          </cell>
          <cell r="AL384">
            <v>0</v>
          </cell>
          <cell r="AM384">
            <v>0</v>
          </cell>
          <cell r="AN384">
            <v>0</v>
          </cell>
          <cell r="AO384">
            <v>0</v>
          </cell>
          <cell r="AP384">
            <v>0</v>
          </cell>
          <cell r="AQ384">
            <v>0</v>
          </cell>
          <cell r="AR384">
            <v>0</v>
          </cell>
        </row>
        <row r="385">
          <cell r="F385" t="str">
            <v>A Lua</v>
          </cell>
          <cell r="AL385">
            <v>0</v>
          </cell>
          <cell r="AM385">
            <v>0</v>
          </cell>
          <cell r="AN385">
            <v>0</v>
          </cell>
          <cell r="AO385">
            <v>0</v>
          </cell>
          <cell r="AP385">
            <v>0</v>
          </cell>
          <cell r="AQ385">
            <v>0</v>
          </cell>
          <cell r="AR385">
            <v>0</v>
          </cell>
        </row>
        <row r="386">
          <cell r="F386" t="str">
            <v>Múc</v>
          </cell>
          <cell r="AL386">
            <v>0</v>
          </cell>
          <cell r="AM386">
            <v>0</v>
          </cell>
          <cell r="AN386">
            <v>0</v>
          </cell>
          <cell r="AO386">
            <v>0</v>
          </cell>
          <cell r="AP386">
            <v>0</v>
          </cell>
          <cell r="AQ386">
            <v>0</v>
          </cell>
          <cell r="AR386">
            <v>0</v>
          </cell>
        </row>
        <row r="387">
          <cell r="F387" t="str">
            <v>Tia (6)</v>
          </cell>
          <cell r="AL387">
            <v>0</v>
          </cell>
          <cell r="AM387">
            <v>0</v>
          </cell>
          <cell r="AN387">
            <v>0</v>
          </cell>
          <cell r="AO387">
            <v>0</v>
          </cell>
          <cell r="AP387">
            <v>0</v>
          </cell>
          <cell r="AQ387">
            <v>0</v>
          </cell>
          <cell r="AR387">
            <v>0</v>
          </cell>
        </row>
        <row r="388">
          <cell r="F388" t="str">
            <v>Đa</v>
          </cell>
          <cell r="AL388">
            <v>0</v>
          </cell>
          <cell r="AM388">
            <v>0</v>
          </cell>
          <cell r="AN388">
            <v>0</v>
          </cell>
          <cell r="AO388">
            <v>0</v>
          </cell>
          <cell r="AP388">
            <v>0</v>
          </cell>
          <cell r="AQ388">
            <v>0</v>
          </cell>
          <cell r="AR388">
            <v>0</v>
          </cell>
        </row>
        <row r="389">
          <cell r="F389" t="str">
            <v>Lăm Say</v>
          </cell>
          <cell r="AL389">
            <v>0</v>
          </cell>
          <cell r="AM389">
            <v>0</v>
          </cell>
          <cell r="AN389">
            <v>0</v>
          </cell>
          <cell r="AO389">
            <v>0</v>
          </cell>
          <cell r="AP389">
            <v>0</v>
          </cell>
          <cell r="AQ389">
            <v>0</v>
          </cell>
          <cell r="AR389">
            <v>0</v>
          </cell>
        </row>
        <row r="390">
          <cell r="F390" t="str">
            <v>Nga</v>
          </cell>
          <cell r="AL390">
            <v>0</v>
          </cell>
          <cell r="AM390">
            <v>0</v>
          </cell>
          <cell r="AN390">
            <v>0</v>
          </cell>
          <cell r="AO390">
            <v>0</v>
          </cell>
          <cell r="AP390">
            <v>0</v>
          </cell>
          <cell r="AQ390">
            <v>0</v>
          </cell>
          <cell r="AR390">
            <v>0</v>
          </cell>
        </row>
        <row r="391">
          <cell r="F391" t="str">
            <v>Pong (6)</v>
          </cell>
          <cell r="AL391">
            <v>0</v>
          </cell>
          <cell r="AM391">
            <v>0</v>
          </cell>
          <cell r="AN391">
            <v>0</v>
          </cell>
          <cell r="AO391">
            <v>0</v>
          </cell>
          <cell r="AP391">
            <v>0</v>
          </cell>
          <cell r="AQ391">
            <v>0</v>
          </cell>
          <cell r="AR391">
            <v>0</v>
          </cell>
        </row>
        <row r="392">
          <cell r="F392" t="str">
            <v>Típ</v>
          </cell>
          <cell r="AL392">
            <v>0</v>
          </cell>
          <cell r="AM392">
            <v>0</v>
          </cell>
          <cell r="AN392">
            <v>0</v>
          </cell>
          <cell r="AO392">
            <v>0</v>
          </cell>
          <cell r="AP392">
            <v>0</v>
          </cell>
          <cell r="AQ392">
            <v>0</v>
          </cell>
          <cell r="AR392">
            <v>0</v>
          </cell>
        </row>
        <row r="393">
          <cell r="F393" t="str">
            <v>ÔĐay</v>
          </cell>
          <cell r="AL393">
            <v>0</v>
          </cell>
          <cell r="AM393">
            <v>0</v>
          </cell>
          <cell r="AN393">
            <v>0</v>
          </cell>
          <cell r="AO393">
            <v>0</v>
          </cell>
          <cell r="AP393">
            <v>0</v>
          </cell>
          <cell r="AQ393">
            <v>0</v>
          </cell>
          <cell r="AR393">
            <v>0</v>
          </cell>
        </row>
        <row r="394">
          <cell r="F394" t="str">
            <v>Nhầy</v>
          </cell>
          <cell r="AL394">
            <v>0</v>
          </cell>
          <cell r="AM394">
            <v>0</v>
          </cell>
          <cell r="AN394">
            <v>0</v>
          </cell>
          <cell r="AO394">
            <v>0</v>
          </cell>
          <cell r="AP394">
            <v>0</v>
          </cell>
          <cell r="AQ394">
            <v>0</v>
          </cell>
          <cell r="AR394">
            <v>0</v>
          </cell>
        </row>
        <row r="395">
          <cell r="F395" t="str">
            <v>Phôn</v>
          </cell>
          <cell r="AL395">
            <v>0</v>
          </cell>
          <cell r="AM395">
            <v>0</v>
          </cell>
          <cell r="AN395">
            <v>0</v>
          </cell>
          <cell r="AO395">
            <v>0</v>
          </cell>
          <cell r="AP395">
            <v>0</v>
          </cell>
          <cell r="AQ395">
            <v>0</v>
          </cell>
          <cell r="AR395">
            <v>0</v>
          </cell>
        </row>
        <row r="396">
          <cell r="F396" t="str">
            <v>Xi Đon</v>
          </cell>
          <cell r="AL396">
            <v>0</v>
          </cell>
          <cell r="AM396">
            <v>0</v>
          </cell>
          <cell r="AN396">
            <v>0</v>
          </cell>
          <cell r="AO396">
            <v>0</v>
          </cell>
          <cell r="AP396">
            <v>0</v>
          </cell>
          <cell r="AQ396">
            <v>0</v>
          </cell>
          <cell r="AR396">
            <v>0</v>
          </cell>
        </row>
        <row r="397">
          <cell r="F397" t="str">
            <v>Lăm (6)</v>
          </cell>
          <cell r="AL397">
            <v>0</v>
          </cell>
          <cell r="AM397">
            <v>0</v>
          </cell>
          <cell r="AN397">
            <v>0</v>
          </cell>
          <cell r="AO397">
            <v>0</v>
          </cell>
          <cell r="AP397">
            <v>0</v>
          </cell>
          <cell r="AQ397">
            <v>0</v>
          </cell>
          <cell r="AR397">
            <v>0</v>
          </cell>
        </row>
        <row r="398">
          <cell r="F398" t="str">
            <v>Nát</v>
          </cell>
          <cell r="AL398">
            <v>0</v>
          </cell>
          <cell r="AM398">
            <v>0</v>
          </cell>
          <cell r="AN398">
            <v>0</v>
          </cell>
          <cell r="AO398">
            <v>0</v>
          </cell>
          <cell r="AP398">
            <v>0</v>
          </cell>
          <cell r="AQ398">
            <v>0</v>
          </cell>
          <cell r="AR398">
            <v>0</v>
          </cell>
        </row>
        <row r="399">
          <cell r="F399" t="str">
            <v>Oi</v>
          </cell>
          <cell r="AL399">
            <v>0</v>
          </cell>
          <cell r="AM399">
            <v>0</v>
          </cell>
          <cell r="AN399">
            <v>0</v>
          </cell>
          <cell r="AO399">
            <v>0</v>
          </cell>
          <cell r="AP399">
            <v>0</v>
          </cell>
          <cell r="AQ399">
            <v>0</v>
          </cell>
          <cell r="AR399">
            <v>0</v>
          </cell>
        </row>
        <row r="400">
          <cell r="F400" t="str">
            <v>Phò Dông</v>
          </cell>
          <cell r="AL400">
            <v>0</v>
          </cell>
          <cell r="AM400">
            <v>0</v>
          </cell>
          <cell r="AN400">
            <v>0</v>
          </cell>
          <cell r="AO400">
            <v>0</v>
          </cell>
          <cell r="AP400">
            <v>0</v>
          </cell>
          <cell r="AQ400">
            <v>0</v>
          </cell>
          <cell r="AR400">
            <v>0</v>
          </cell>
        </row>
        <row r="401">
          <cell r="F401" t="str">
            <v>Cà Đăm (6)</v>
          </cell>
        </row>
        <row r="402">
          <cell r="F402" t="str">
            <v>Hùng</v>
          </cell>
          <cell r="AL402">
            <v>0</v>
          </cell>
          <cell r="AM402">
            <v>0</v>
          </cell>
          <cell r="AN402">
            <v>0</v>
          </cell>
          <cell r="AO402">
            <v>0</v>
          </cell>
          <cell r="AP402">
            <v>0</v>
          </cell>
          <cell r="AQ402">
            <v>0</v>
          </cell>
          <cell r="AR402">
            <v>0</v>
          </cell>
        </row>
        <row r="403">
          <cell r="F403" t="str">
            <v>A Lem</v>
          </cell>
          <cell r="AL403">
            <v>0</v>
          </cell>
          <cell r="AM403">
            <v>0</v>
          </cell>
          <cell r="AN403">
            <v>0</v>
          </cell>
          <cell r="AO403">
            <v>0</v>
          </cell>
          <cell r="AP403">
            <v>0</v>
          </cell>
          <cell r="AQ403">
            <v>0</v>
          </cell>
          <cell r="AR403">
            <v>0</v>
          </cell>
        </row>
        <row r="404">
          <cell r="F404" t="str">
            <v>Bun Nhèng</v>
          </cell>
          <cell r="AL404">
            <v>0</v>
          </cell>
          <cell r="AM404">
            <v>0</v>
          </cell>
          <cell r="AN404">
            <v>0</v>
          </cell>
          <cell r="AO404">
            <v>0</v>
          </cell>
          <cell r="AP404">
            <v>0</v>
          </cell>
          <cell r="AQ404">
            <v>0</v>
          </cell>
          <cell r="AR404">
            <v>0</v>
          </cell>
        </row>
        <row r="405">
          <cell r="F405" t="str">
            <v>Tan</v>
          </cell>
          <cell r="AL405">
            <v>0</v>
          </cell>
          <cell r="AM405">
            <v>0</v>
          </cell>
          <cell r="AN405">
            <v>0</v>
          </cell>
          <cell r="AO405">
            <v>0</v>
          </cell>
          <cell r="AP405">
            <v>0</v>
          </cell>
          <cell r="AQ405">
            <v>0</v>
          </cell>
          <cell r="AR405">
            <v>0</v>
          </cell>
        </row>
        <row r="406">
          <cell r="F406" t="str">
            <v>Phò Keo</v>
          </cell>
          <cell r="AL406">
            <v>0</v>
          </cell>
          <cell r="AM406">
            <v>0</v>
          </cell>
          <cell r="AN406">
            <v>0</v>
          </cell>
          <cell r="AO406">
            <v>0</v>
          </cell>
          <cell r="AP406">
            <v>0</v>
          </cell>
          <cell r="AQ406">
            <v>0</v>
          </cell>
          <cell r="AR406">
            <v>0</v>
          </cell>
        </row>
        <row r="407">
          <cell r="F407" t="str">
            <v>Văn</v>
          </cell>
          <cell r="AL407">
            <v>0</v>
          </cell>
          <cell r="AM407">
            <v>0</v>
          </cell>
          <cell r="AN407">
            <v>0</v>
          </cell>
          <cell r="AO407">
            <v>0</v>
          </cell>
          <cell r="AP407">
            <v>0</v>
          </cell>
          <cell r="AQ407">
            <v>0</v>
          </cell>
          <cell r="AR407">
            <v>0</v>
          </cell>
        </row>
        <row r="408">
          <cell r="F408" t="str">
            <v>A Son</v>
          </cell>
          <cell r="AL408">
            <v>0</v>
          </cell>
          <cell r="AM408">
            <v>0</v>
          </cell>
          <cell r="AN408">
            <v>0</v>
          </cell>
          <cell r="AO408">
            <v>0</v>
          </cell>
          <cell r="AP408">
            <v>0</v>
          </cell>
          <cell r="AQ408">
            <v>0</v>
          </cell>
          <cell r="AR408">
            <v>0</v>
          </cell>
        </row>
        <row r="409">
          <cell r="F409" t="str">
            <v>Thôn</v>
          </cell>
          <cell r="AL409">
            <v>0</v>
          </cell>
          <cell r="AM409">
            <v>0</v>
          </cell>
          <cell r="AN409">
            <v>0</v>
          </cell>
          <cell r="AO409">
            <v>0</v>
          </cell>
          <cell r="AP409">
            <v>0</v>
          </cell>
          <cell r="AQ409">
            <v>0</v>
          </cell>
          <cell r="AR409">
            <v>0</v>
          </cell>
        </row>
        <row r="410">
          <cell r="F410" t="str">
            <v>Ka Lóc</v>
          </cell>
          <cell r="AL410">
            <v>0</v>
          </cell>
          <cell r="AM410">
            <v>0</v>
          </cell>
          <cell r="AN410">
            <v>0</v>
          </cell>
          <cell r="AO410">
            <v>0</v>
          </cell>
          <cell r="AP410">
            <v>0</v>
          </cell>
          <cell r="AQ410">
            <v>0</v>
          </cell>
          <cell r="AR410">
            <v>0</v>
          </cell>
        </row>
        <row r="411">
          <cell r="F411" t="str">
            <v>Kông Khăm</v>
          </cell>
          <cell r="AL411">
            <v>0</v>
          </cell>
          <cell r="AM411">
            <v>0</v>
          </cell>
          <cell r="AN411">
            <v>0</v>
          </cell>
          <cell r="AO411">
            <v>0</v>
          </cell>
          <cell r="AP411">
            <v>0</v>
          </cell>
          <cell r="AQ411">
            <v>0</v>
          </cell>
          <cell r="AR411">
            <v>0</v>
          </cell>
        </row>
        <row r="412">
          <cell r="F412" t="str">
            <v>A Chít</v>
          </cell>
          <cell r="AL412">
            <v>0</v>
          </cell>
          <cell r="AM412">
            <v>0</v>
          </cell>
          <cell r="AN412">
            <v>0</v>
          </cell>
          <cell r="AO412">
            <v>0</v>
          </cell>
          <cell r="AP412">
            <v>0</v>
          </cell>
          <cell r="AQ412">
            <v>0</v>
          </cell>
          <cell r="AR412">
            <v>0</v>
          </cell>
        </row>
        <row r="413">
          <cell r="F413" t="str">
            <v>Tím</v>
          </cell>
          <cell r="AL413">
            <v>0</v>
          </cell>
          <cell r="AM413">
            <v>0</v>
          </cell>
          <cell r="AN413">
            <v>0</v>
          </cell>
          <cell r="AO413">
            <v>0</v>
          </cell>
          <cell r="AP413">
            <v>0</v>
          </cell>
          <cell r="AQ413">
            <v>0</v>
          </cell>
          <cell r="AR413">
            <v>0</v>
          </cell>
        </row>
        <row r="414">
          <cell r="F414" t="str">
            <v>A Nhim</v>
          </cell>
          <cell r="AL414">
            <v>0</v>
          </cell>
          <cell r="AM414">
            <v>0</v>
          </cell>
          <cell r="AN414">
            <v>0</v>
          </cell>
          <cell r="AO414">
            <v>0</v>
          </cell>
          <cell r="AP414">
            <v>0</v>
          </cell>
          <cell r="AQ414">
            <v>0</v>
          </cell>
          <cell r="AR414">
            <v>0</v>
          </cell>
        </row>
        <row r="415">
          <cell r="F415" t="str">
            <v>Tơ</v>
          </cell>
          <cell r="AL415">
            <v>0</v>
          </cell>
          <cell r="AM415">
            <v>0</v>
          </cell>
          <cell r="AN415">
            <v>0</v>
          </cell>
          <cell r="AO415">
            <v>0</v>
          </cell>
          <cell r="AP415">
            <v>0</v>
          </cell>
          <cell r="AQ415">
            <v>0</v>
          </cell>
          <cell r="AR415">
            <v>0</v>
          </cell>
        </row>
        <row r="416">
          <cell r="F416" t="str">
            <v>Nàng Cum</v>
          </cell>
          <cell r="AL416">
            <v>0</v>
          </cell>
          <cell r="AM416">
            <v>0</v>
          </cell>
          <cell r="AN416">
            <v>0</v>
          </cell>
          <cell r="AO416">
            <v>0</v>
          </cell>
          <cell r="AP416">
            <v>0</v>
          </cell>
          <cell r="AQ416">
            <v>0</v>
          </cell>
          <cell r="AR416">
            <v>0</v>
          </cell>
        </row>
        <row r="417">
          <cell r="F417" t="str">
            <v>Chăn Tha La</v>
          </cell>
          <cell r="AL417">
            <v>0</v>
          </cell>
          <cell r="AM417">
            <v>0</v>
          </cell>
          <cell r="AN417">
            <v>0</v>
          </cell>
          <cell r="AO417">
            <v>0</v>
          </cell>
          <cell r="AP417">
            <v>0</v>
          </cell>
          <cell r="AQ417">
            <v>0</v>
          </cell>
          <cell r="AR417">
            <v>0</v>
          </cell>
        </row>
        <row r="418">
          <cell r="F418" t="str">
            <v>Bi</v>
          </cell>
          <cell r="AL418">
            <v>0</v>
          </cell>
          <cell r="AM418">
            <v>0</v>
          </cell>
          <cell r="AN418">
            <v>0</v>
          </cell>
          <cell r="AO418">
            <v>0</v>
          </cell>
          <cell r="AP418">
            <v>0</v>
          </cell>
          <cell r="AQ418">
            <v>0</v>
          </cell>
          <cell r="AR418">
            <v>0</v>
          </cell>
        </row>
        <row r="419">
          <cell r="F419" t="str">
            <v>Bun Na</v>
          </cell>
          <cell r="AL419">
            <v>0</v>
          </cell>
          <cell r="AM419">
            <v>0</v>
          </cell>
          <cell r="AN419">
            <v>0</v>
          </cell>
          <cell r="AO419">
            <v>0</v>
          </cell>
          <cell r="AP419">
            <v>0</v>
          </cell>
          <cell r="AQ419">
            <v>0</v>
          </cell>
          <cell r="AR419">
            <v>0</v>
          </cell>
        </row>
        <row r="420">
          <cell r="F420" t="str">
            <v>Ka Lít</v>
          </cell>
          <cell r="AL420">
            <v>0</v>
          </cell>
          <cell r="AM420">
            <v>0</v>
          </cell>
          <cell r="AN420">
            <v>0</v>
          </cell>
          <cell r="AO420">
            <v>0</v>
          </cell>
          <cell r="AP420">
            <v>0</v>
          </cell>
          <cell r="AQ420">
            <v>0</v>
          </cell>
          <cell r="AR420">
            <v>0</v>
          </cell>
        </row>
        <row r="421">
          <cell r="F421" t="str">
            <v>E (6)</v>
          </cell>
          <cell r="AL421">
            <v>0</v>
          </cell>
          <cell r="AM421">
            <v>0</v>
          </cell>
          <cell r="AN421">
            <v>0</v>
          </cell>
          <cell r="AO421">
            <v>0</v>
          </cell>
          <cell r="AP421">
            <v>0</v>
          </cell>
          <cell r="AQ421">
            <v>0</v>
          </cell>
          <cell r="AR421">
            <v>0</v>
          </cell>
        </row>
        <row r="422">
          <cell r="F422" t="str">
            <v>Năt</v>
          </cell>
          <cell r="AL422">
            <v>0</v>
          </cell>
          <cell r="AM422">
            <v>0</v>
          </cell>
          <cell r="AN422">
            <v>0</v>
          </cell>
          <cell r="AO422">
            <v>0</v>
          </cell>
          <cell r="AP422">
            <v>0</v>
          </cell>
          <cell r="AQ422">
            <v>0</v>
          </cell>
          <cell r="AR422">
            <v>0</v>
          </cell>
        </row>
        <row r="423">
          <cell r="F423" t="str">
            <v>Ly Ta</v>
          </cell>
          <cell r="AL423">
            <v>0</v>
          </cell>
          <cell r="AM423">
            <v>0</v>
          </cell>
          <cell r="AN423">
            <v>0</v>
          </cell>
          <cell r="AO423">
            <v>0</v>
          </cell>
          <cell r="AP423">
            <v>0</v>
          </cell>
          <cell r="AQ423">
            <v>0</v>
          </cell>
          <cell r="AR423">
            <v>0</v>
          </cell>
        </row>
        <row r="424">
          <cell r="F424" t="str">
            <v>Khăm Bay (6)</v>
          </cell>
        </row>
        <row r="425">
          <cell r="F425" t="str">
            <v>Tụi</v>
          </cell>
          <cell r="AL425">
            <v>0</v>
          </cell>
          <cell r="AM425">
            <v>0</v>
          </cell>
          <cell r="AN425">
            <v>0</v>
          </cell>
          <cell r="AO425">
            <v>0</v>
          </cell>
          <cell r="AP425">
            <v>0</v>
          </cell>
          <cell r="AQ425">
            <v>0</v>
          </cell>
          <cell r="AR425">
            <v>0</v>
          </cell>
        </row>
        <row r="426">
          <cell r="F426" t="str">
            <v>Nục</v>
          </cell>
          <cell r="AL426">
            <v>0</v>
          </cell>
          <cell r="AM426">
            <v>0</v>
          </cell>
          <cell r="AN426">
            <v>0</v>
          </cell>
          <cell r="AO426">
            <v>0</v>
          </cell>
          <cell r="AP426">
            <v>0</v>
          </cell>
          <cell r="AQ426">
            <v>0</v>
          </cell>
          <cell r="AR426">
            <v>0</v>
          </cell>
        </row>
        <row r="427">
          <cell r="F427" t="str">
            <v>Khăm (6)</v>
          </cell>
          <cell r="AL427">
            <v>0</v>
          </cell>
          <cell r="AM427">
            <v>0</v>
          </cell>
          <cell r="AN427">
            <v>0</v>
          </cell>
          <cell r="AO427">
            <v>0</v>
          </cell>
          <cell r="AP427">
            <v>0</v>
          </cell>
          <cell r="AQ427">
            <v>0</v>
          </cell>
          <cell r="AR427">
            <v>0</v>
          </cell>
        </row>
        <row r="428">
          <cell r="F428" t="str">
            <v>Ký</v>
          </cell>
          <cell r="AL428">
            <v>0</v>
          </cell>
          <cell r="AM428">
            <v>0</v>
          </cell>
          <cell r="AN428">
            <v>0</v>
          </cell>
          <cell r="AO428">
            <v>0</v>
          </cell>
          <cell r="AP428">
            <v>0</v>
          </cell>
          <cell r="AQ428">
            <v>0</v>
          </cell>
          <cell r="AR428">
            <v>0</v>
          </cell>
        </row>
        <row r="429">
          <cell r="F429" t="str">
            <v>Khương (6)</v>
          </cell>
          <cell r="AL429">
            <v>0</v>
          </cell>
          <cell r="AM429">
            <v>0</v>
          </cell>
          <cell r="AN429">
            <v>0</v>
          </cell>
          <cell r="AO429">
            <v>0</v>
          </cell>
          <cell r="AP429">
            <v>0</v>
          </cell>
          <cell r="AQ429">
            <v>0</v>
          </cell>
          <cell r="AR429">
            <v>0</v>
          </cell>
        </row>
        <row r="430">
          <cell r="F430" t="str">
            <v>A Buôn</v>
          </cell>
          <cell r="AL430">
            <v>0</v>
          </cell>
          <cell r="AM430">
            <v>0</v>
          </cell>
          <cell r="AN430">
            <v>0</v>
          </cell>
          <cell r="AO430">
            <v>0</v>
          </cell>
          <cell r="AP430">
            <v>0</v>
          </cell>
          <cell r="AQ430">
            <v>0</v>
          </cell>
          <cell r="AR430">
            <v>0</v>
          </cell>
        </row>
        <row r="431">
          <cell r="F431" t="str">
            <v>Nay (6)</v>
          </cell>
          <cell r="AL431">
            <v>0</v>
          </cell>
          <cell r="AM431">
            <v>0</v>
          </cell>
          <cell r="AN431">
            <v>0</v>
          </cell>
          <cell r="AO431">
            <v>0</v>
          </cell>
          <cell r="AP431">
            <v>0</v>
          </cell>
          <cell r="AQ431">
            <v>0</v>
          </cell>
          <cell r="AR431">
            <v>0</v>
          </cell>
        </row>
        <row r="432">
          <cell r="F432" t="str">
            <v>Mách</v>
          </cell>
          <cell r="AL432">
            <v>0</v>
          </cell>
          <cell r="AM432">
            <v>0</v>
          </cell>
          <cell r="AN432">
            <v>0</v>
          </cell>
          <cell r="AO432">
            <v>0</v>
          </cell>
          <cell r="AP432">
            <v>0</v>
          </cell>
          <cell r="AQ432">
            <v>0</v>
          </cell>
          <cell r="AR432">
            <v>0</v>
          </cell>
        </row>
        <row r="433">
          <cell r="F433" t="str">
            <v>Sưa</v>
          </cell>
          <cell r="AL433">
            <v>0</v>
          </cell>
          <cell r="AM433">
            <v>0</v>
          </cell>
          <cell r="AN433">
            <v>0</v>
          </cell>
          <cell r="AO433">
            <v>0</v>
          </cell>
          <cell r="AP433">
            <v>0</v>
          </cell>
          <cell r="AQ433">
            <v>0</v>
          </cell>
          <cell r="AR433">
            <v>0</v>
          </cell>
        </row>
        <row r="434">
          <cell r="F434" t="str">
            <v>Bắt</v>
          </cell>
          <cell r="AL434">
            <v>0</v>
          </cell>
          <cell r="AM434">
            <v>0</v>
          </cell>
          <cell r="AN434">
            <v>0</v>
          </cell>
          <cell r="AO434">
            <v>0</v>
          </cell>
          <cell r="AP434">
            <v>0</v>
          </cell>
          <cell r="AQ434">
            <v>0</v>
          </cell>
          <cell r="AR434">
            <v>0</v>
          </cell>
        </row>
        <row r="435">
          <cell r="F435" t="str">
            <v>Bộ</v>
          </cell>
          <cell r="AL435">
            <v>0</v>
          </cell>
          <cell r="AM435">
            <v>0</v>
          </cell>
          <cell r="AN435">
            <v>0</v>
          </cell>
          <cell r="AO435">
            <v>0</v>
          </cell>
          <cell r="AP435">
            <v>0</v>
          </cell>
          <cell r="AQ435">
            <v>0</v>
          </cell>
          <cell r="AR435">
            <v>0</v>
          </cell>
        </row>
        <row r="436">
          <cell r="F436" t="str">
            <v>Beng</v>
          </cell>
          <cell r="AL436">
            <v>0</v>
          </cell>
          <cell r="AM436">
            <v>0</v>
          </cell>
          <cell r="AN436">
            <v>0</v>
          </cell>
          <cell r="AO436">
            <v>0</v>
          </cell>
          <cell r="AP436">
            <v>0</v>
          </cell>
          <cell r="AQ436">
            <v>0</v>
          </cell>
          <cell r="AR436">
            <v>0</v>
          </cell>
        </row>
        <row r="437">
          <cell r="F437" t="str">
            <v>A Xiên</v>
          </cell>
          <cell r="AL437">
            <v>0</v>
          </cell>
          <cell r="AM437">
            <v>0</v>
          </cell>
          <cell r="AN437">
            <v>0</v>
          </cell>
          <cell r="AO437">
            <v>0</v>
          </cell>
          <cell r="AP437">
            <v>0</v>
          </cell>
          <cell r="AQ437">
            <v>0</v>
          </cell>
          <cell r="AR437">
            <v>0</v>
          </cell>
        </row>
        <row r="438">
          <cell r="F438" t="str">
            <v>Phò E</v>
          </cell>
          <cell r="AL438">
            <v>0</v>
          </cell>
          <cell r="AM438">
            <v>0</v>
          </cell>
          <cell r="AN438">
            <v>0</v>
          </cell>
          <cell r="AO438">
            <v>0</v>
          </cell>
          <cell r="AP438">
            <v>0</v>
          </cell>
          <cell r="AQ438">
            <v>0</v>
          </cell>
          <cell r="AR438">
            <v>0</v>
          </cell>
        </row>
        <row r="439">
          <cell r="F439" t="str">
            <v>Xai (6)</v>
          </cell>
          <cell r="AL439">
            <v>0</v>
          </cell>
          <cell r="AM439">
            <v>0</v>
          </cell>
          <cell r="AN439">
            <v>0</v>
          </cell>
          <cell r="AO439">
            <v>0</v>
          </cell>
          <cell r="AP439">
            <v>0</v>
          </cell>
          <cell r="AQ439">
            <v>0</v>
          </cell>
          <cell r="AR439">
            <v>0</v>
          </cell>
        </row>
        <row r="440">
          <cell r="F440" t="str">
            <v>Si Le (6)</v>
          </cell>
          <cell r="AL440">
            <v>0</v>
          </cell>
          <cell r="AM440">
            <v>0</v>
          </cell>
          <cell r="AN440">
            <v>0</v>
          </cell>
          <cell r="AO440">
            <v>0</v>
          </cell>
          <cell r="AP440">
            <v>0</v>
          </cell>
          <cell r="AQ440">
            <v>0</v>
          </cell>
          <cell r="AR440">
            <v>0</v>
          </cell>
        </row>
        <row r="441">
          <cell r="F441" t="str">
            <v>Xi</v>
          </cell>
          <cell r="AL441">
            <v>0</v>
          </cell>
          <cell r="AM441">
            <v>0</v>
          </cell>
          <cell r="AN441">
            <v>0</v>
          </cell>
          <cell r="AO441">
            <v>0</v>
          </cell>
          <cell r="AP441">
            <v>0</v>
          </cell>
          <cell r="AQ441">
            <v>0</v>
          </cell>
          <cell r="AR441">
            <v>0</v>
          </cell>
        </row>
        <row r="442">
          <cell r="F442" t="str">
            <v>Phắt</v>
          </cell>
          <cell r="AL442">
            <v>0</v>
          </cell>
          <cell r="AM442">
            <v>0</v>
          </cell>
          <cell r="AN442">
            <v>0</v>
          </cell>
          <cell r="AO442">
            <v>0</v>
          </cell>
          <cell r="AP442">
            <v>0</v>
          </cell>
          <cell r="AQ442">
            <v>0</v>
          </cell>
          <cell r="AR442">
            <v>0</v>
          </cell>
        </row>
        <row r="443">
          <cell r="F443" t="str">
            <v>Hắm</v>
          </cell>
          <cell r="AL443">
            <v>0</v>
          </cell>
          <cell r="AM443">
            <v>0</v>
          </cell>
          <cell r="AN443">
            <v>0</v>
          </cell>
          <cell r="AO443">
            <v>0</v>
          </cell>
          <cell r="AP443">
            <v>0</v>
          </cell>
          <cell r="AQ443">
            <v>0</v>
          </cell>
          <cell r="AR443">
            <v>0</v>
          </cell>
        </row>
        <row r="444">
          <cell r="G444">
            <v>0</v>
          </cell>
          <cell r="H444">
            <v>0</v>
          </cell>
          <cell r="I444">
            <v>0</v>
          </cell>
          <cell r="J444">
            <v>0</v>
          </cell>
          <cell r="K444">
            <v>0</v>
          </cell>
          <cell r="L444">
            <v>0</v>
          </cell>
          <cell r="M444">
            <v>0</v>
          </cell>
          <cell r="N444">
            <v>0</v>
          </cell>
          <cell r="O444">
            <v>0</v>
          </cell>
          <cell r="P444">
            <v>0</v>
          </cell>
          <cell r="Q444">
            <v>0</v>
          </cell>
          <cell r="R444">
            <v>0</v>
          </cell>
          <cell r="S444">
            <v>0</v>
          </cell>
          <cell r="T444">
            <v>0</v>
          </cell>
          <cell r="U444">
            <v>0</v>
          </cell>
          <cell r="V444">
            <v>0</v>
          </cell>
          <cell r="W444">
            <v>0</v>
          </cell>
          <cell r="X444">
            <v>0</v>
          </cell>
          <cell r="Y444">
            <v>0</v>
          </cell>
          <cell r="Z444">
            <v>0</v>
          </cell>
          <cell r="AA444">
            <v>0</v>
          </cell>
          <cell r="AB444">
            <v>0</v>
          </cell>
          <cell r="AC444">
            <v>0</v>
          </cell>
          <cell r="AD444">
            <v>0</v>
          </cell>
          <cell r="AE444">
            <v>0</v>
          </cell>
          <cell r="AF444">
            <v>0</v>
          </cell>
          <cell r="AG444">
            <v>0</v>
          </cell>
          <cell r="AH444">
            <v>0</v>
          </cell>
          <cell r="AL444">
            <v>0</v>
          </cell>
          <cell r="AM444">
            <v>0</v>
          </cell>
          <cell r="AN444">
            <v>0</v>
          </cell>
          <cell r="AO444">
            <v>0</v>
          </cell>
          <cell r="AP444">
            <v>0</v>
          </cell>
          <cell r="AQ444">
            <v>0</v>
          </cell>
          <cell r="AR444">
            <v>0</v>
          </cell>
        </row>
        <row r="445">
          <cell r="F445" t="str">
            <v>Tà Lòi</v>
          </cell>
          <cell r="AL445">
            <v>0</v>
          </cell>
          <cell r="AM445">
            <v>0</v>
          </cell>
          <cell r="AN445">
            <v>0</v>
          </cell>
          <cell r="AO445">
            <v>0</v>
          </cell>
          <cell r="AP445">
            <v>0</v>
          </cell>
          <cell r="AQ445">
            <v>0</v>
          </cell>
          <cell r="AR445">
            <v>0</v>
          </cell>
        </row>
        <row r="446">
          <cell r="F446" t="str">
            <v>Lây</v>
          </cell>
          <cell r="AL446">
            <v>0</v>
          </cell>
          <cell r="AM446">
            <v>0</v>
          </cell>
          <cell r="AN446">
            <v>0</v>
          </cell>
          <cell r="AO446">
            <v>0</v>
          </cell>
          <cell r="AP446">
            <v>0</v>
          </cell>
          <cell r="AQ446">
            <v>0</v>
          </cell>
          <cell r="AR446">
            <v>0</v>
          </cell>
        </row>
        <row r="447">
          <cell r="F447" t="str">
            <v>Tà (5)</v>
          </cell>
          <cell r="AL447">
            <v>0</v>
          </cell>
          <cell r="AM447">
            <v>0</v>
          </cell>
          <cell r="AN447">
            <v>0</v>
          </cell>
          <cell r="AO447">
            <v>0</v>
          </cell>
          <cell r="AP447">
            <v>0</v>
          </cell>
          <cell r="AQ447">
            <v>0</v>
          </cell>
          <cell r="AR447">
            <v>0</v>
          </cell>
        </row>
        <row r="448">
          <cell r="F448" t="str">
            <v>Bay</v>
          </cell>
          <cell r="AL448">
            <v>0</v>
          </cell>
          <cell r="AM448">
            <v>0</v>
          </cell>
          <cell r="AN448">
            <v>0</v>
          </cell>
          <cell r="AO448">
            <v>0</v>
          </cell>
          <cell r="AP448">
            <v>0</v>
          </cell>
          <cell r="AQ448">
            <v>0</v>
          </cell>
          <cell r="AR448">
            <v>0</v>
          </cell>
        </row>
        <row r="449">
          <cell r="F449" t="str">
            <v>Xay (5)</v>
          </cell>
          <cell r="AL449">
            <v>0</v>
          </cell>
          <cell r="AM449">
            <v>0</v>
          </cell>
          <cell r="AN449">
            <v>0</v>
          </cell>
          <cell r="AO449">
            <v>0</v>
          </cell>
          <cell r="AP449">
            <v>0</v>
          </cell>
          <cell r="AQ449">
            <v>0</v>
          </cell>
          <cell r="AR449">
            <v>0</v>
          </cell>
        </row>
        <row r="450">
          <cell r="F450" t="str">
            <v>Lạc Khon</v>
          </cell>
          <cell r="AL450">
            <v>0</v>
          </cell>
          <cell r="AM450">
            <v>0</v>
          </cell>
          <cell r="AN450">
            <v>0</v>
          </cell>
          <cell r="AO450">
            <v>0</v>
          </cell>
          <cell r="AP450">
            <v>0</v>
          </cell>
          <cell r="AQ450">
            <v>0</v>
          </cell>
          <cell r="AR450">
            <v>0</v>
          </cell>
        </row>
        <row r="451">
          <cell r="F451" t="str">
            <v>Ka Tun</v>
          </cell>
          <cell r="AL451">
            <v>0</v>
          </cell>
          <cell r="AM451">
            <v>0</v>
          </cell>
          <cell r="AN451">
            <v>0</v>
          </cell>
          <cell r="AO451">
            <v>0</v>
          </cell>
          <cell r="AP451">
            <v>0</v>
          </cell>
          <cell r="AQ451">
            <v>0</v>
          </cell>
          <cell r="AR451">
            <v>0</v>
          </cell>
        </row>
      </sheetData>
      <sheetData sheetId="12"/>
      <sheetData sheetId="13"/>
      <sheetData sheetId="14"/>
      <sheetData sheetId="15">
        <row r="11">
          <cell r="B11" t="str">
            <v>Thô</v>
          </cell>
          <cell r="C11" t="str">
            <v>02440</v>
          </cell>
        </row>
        <row r="12">
          <cell r="B12" t="str">
            <v>Mè Ta Van</v>
          </cell>
          <cell r="C12" t="str">
            <v>03423</v>
          </cell>
        </row>
        <row r="13">
          <cell r="B13" t="str">
            <v>Ka Tho</v>
          </cell>
          <cell r="C13" t="str">
            <v>03425</v>
          </cell>
        </row>
        <row r="14">
          <cell r="B14" t="str">
            <v>Xay</v>
          </cell>
          <cell r="C14" t="str">
            <v>03426</v>
          </cell>
        </row>
        <row r="15">
          <cell r="B15" t="str">
            <v>Thảo In</v>
          </cell>
          <cell r="C15" t="str">
            <v>03427</v>
          </cell>
        </row>
        <row r="16">
          <cell r="B16" t="str">
            <v>Cha La</v>
          </cell>
          <cell r="C16" t="str">
            <v>03428</v>
          </cell>
        </row>
        <row r="17">
          <cell r="B17" t="str">
            <v>Nang Nga</v>
          </cell>
          <cell r="C17" t="str">
            <v>02441</v>
          </cell>
        </row>
        <row r="18">
          <cell r="B18" t="str">
            <v>Khăm Đi</v>
          </cell>
          <cell r="C18" t="str">
            <v>03429</v>
          </cell>
        </row>
        <row r="19">
          <cell r="B19" t="str">
            <v>Me Đuông</v>
          </cell>
          <cell r="C19" t="str">
            <v>02433</v>
          </cell>
        </row>
        <row r="20">
          <cell r="B20" t="str">
            <v>Nang Môn</v>
          </cell>
          <cell r="C20" t="str">
            <v>03430</v>
          </cell>
        </row>
        <row r="21">
          <cell r="B21" t="str">
            <v>Ziên</v>
          </cell>
          <cell r="C21" t="str">
            <v>03431</v>
          </cell>
        </row>
        <row r="22">
          <cell r="B22" t="str">
            <v>Me Pê</v>
          </cell>
          <cell r="C22" t="str">
            <v>03432</v>
          </cell>
        </row>
        <row r="23">
          <cell r="B23" t="str">
            <v>Thảo chòi</v>
          </cell>
          <cell r="C23" t="str">
            <v>03433</v>
          </cell>
        </row>
        <row r="24">
          <cell r="B24" t="str">
            <v>Tìng A</v>
          </cell>
          <cell r="C24" t="str">
            <v>03434</v>
          </cell>
        </row>
        <row r="25">
          <cell r="B25" t="str">
            <v>Phò Set Tha</v>
          </cell>
          <cell r="C25" t="str">
            <v>03435</v>
          </cell>
        </row>
        <row r="26">
          <cell r="B26" t="str">
            <v>Sắt</v>
          </cell>
          <cell r="C26" t="str">
            <v>03436</v>
          </cell>
        </row>
        <row r="27">
          <cell r="B27" t="str">
            <v>Khăm (1)</v>
          </cell>
          <cell r="C27" t="str">
            <v>03437</v>
          </cell>
        </row>
        <row r="28">
          <cell r="B28" t="str">
            <v>Nàng Ni</v>
          </cell>
          <cell r="C28" t="str">
            <v>03438</v>
          </cell>
        </row>
        <row r="29">
          <cell r="B29" t="str">
            <v>Khu</v>
          </cell>
          <cell r="C29" t="str">
            <v>03439</v>
          </cell>
        </row>
        <row r="30">
          <cell r="B30" t="str">
            <v>Nang Thôn</v>
          </cell>
          <cell r="C30" t="str">
            <v>02429</v>
          </cell>
        </row>
        <row r="31">
          <cell r="B31" t="str">
            <v>Xeng</v>
          </cell>
          <cell r="C31" t="str">
            <v>03440</v>
          </cell>
        </row>
        <row r="32">
          <cell r="B32" t="str">
            <v>Lăm Phiêng</v>
          </cell>
          <cell r="C32" t="str">
            <v>03441</v>
          </cell>
        </row>
        <row r="33">
          <cell r="B33" t="str">
            <v>Nang Tìng B</v>
          </cell>
          <cell r="C33" t="str">
            <v>02432</v>
          </cell>
        </row>
        <row r="34">
          <cell r="B34" t="str">
            <v>Lec</v>
          </cell>
          <cell r="C34" t="str">
            <v>03442</v>
          </cell>
        </row>
        <row r="35">
          <cell r="B35" t="str">
            <v>Chun</v>
          </cell>
          <cell r="C35" t="str">
            <v>03443</v>
          </cell>
        </row>
        <row r="36">
          <cell r="B36" t="str">
            <v>Nàng Nọi</v>
          </cell>
          <cell r="C36" t="str">
            <v>03444</v>
          </cell>
        </row>
        <row r="37">
          <cell r="B37" t="str">
            <v>Xăm Phon</v>
          </cell>
          <cell r="C37" t="str">
            <v>02431</v>
          </cell>
        </row>
        <row r="38">
          <cell r="B38" t="str">
            <v>Bun Nác</v>
          </cell>
          <cell r="C38" t="str">
            <v>02437</v>
          </cell>
        </row>
        <row r="39">
          <cell r="B39" t="str">
            <v>Thảo Nọi (1)</v>
          </cell>
          <cell r="C39" t="str">
            <v>03445</v>
          </cell>
        </row>
        <row r="40">
          <cell r="B40" t="str">
            <v>Thảo Công</v>
          </cell>
          <cell r="C40" t="str">
            <v>03446</v>
          </cell>
        </row>
        <row r="41">
          <cell r="B41" t="str">
            <v>Phò Tham</v>
          </cell>
          <cell r="C41" t="str">
            <v>03447</v>
          </cell>
        </row>
        <row r="42">
          <cell r="B42" t="str">
            <v>Xơi</v>
          </cell>
          <cell r="C42" t="str">
            <v>03448</v>
          </cell>
        </row>
        <row r="43">
          <cell r="B43" t="str">
            <v>Nang Mi</v>
          </cell>
          <cell r="C43" t="str">
            <v>02439</v>
          </cell>
        </row>
        <row r="44">
          <cell r="B44" t="str">
            <v>Xang</v>
          </cell>
          <cell r="C44" t="str">
            <v>03449</v>
          </cell>
        </row>
        <row r="45">
          <cell r="B45" t="str">
            <v>Nuc</v>
          </cell>
          <cell r="C45" t="str">
            <v>03450</v>
          </cell>
        </row>
        <row r="46">
          <cell r="B46" t="str">
            <v>Phò Thiên</v>
          </cell>
          <cell r="C46" t="str">
            <v>03451</v>
          </cell>
        </row>
        <row r="47">
          <cell r="B47" t="str">
            <v>Nàng Chăn A</v>
          </cell>
          <cell r="C47" t="str">
            <v>02438</v>
          </cell>
        </row>
        <row r="48">
          <cell r="B48" t="str">
            <v>Nang Thong</v>
          </cell>
          <cell r="C48" t="str">
            <v>02442</v>
          </cell>
        </row>
        <row r="49">
          <cell r="B49" t="str">
            <v>Sủng</v>
          </cell>
          <cell r="C49" t="str">
            <v>02427</v>
          </cell>
        </row>
        <row r="50">
          <cell r="B50" t="str">
            <v>Lat Sa Mi</v>
          </cell>
          <cell r="C50" t="str">
            <v>03452</v>
          </cell>
        </row>
        <row r="51">
          <cell r="B51" t="str">
            <v>Nhông</v>
          </cell>
          <cell r="C51" t="str">
            <v>03453</v>
          </cell>
        </row>
        <row r="52">
          <cell r="B52" t="str">
            <v>Mè Tham</v>
          </cell>
          <cell r="C52" t="str">
            <v>03454</v>
          </cell>
        </row>
        <row r="53">
          <cell r="B53" t="str">
            <v>Nang Hỏm</v>
          </cell>
          <cell r="C53" t="str">
            <v>03455</v>
          </cell>
        </row>
        <row r="55">
          <cell r="B55" t="str">
            <v>Lếc</v>
          </cell>
          <cell r="C55" t="str">
            <v>03271</v>
          </cell>
        </row>
        <row r="56">
          <cell r="B56" t="str">
            <v>Hăm Lẹ</v>
          </cell>
          <cell r="C56" t="str">
            <v>03272</v>
          </cell>
        </row>
        <row r="57">
          <cell r="B57" t="str">
            <v>Vông</v>
          </cell>
          <cell r="C57" t="str">
            <v>03273</v>
          </cell>
        </row>
        <row r="58">
          <cell r="B58" t="str">
            <v>Ma Ni Son</v>
          </cell>
          <cell r="C58" t="str">
            <v>03274</v>
          </cell>
        </row>
        <row r="59">
          <cell r="B59" t="str">
            <v>Cong Ma</v>
          </cell>
          <cell r="C59" t="str">
            <v>03275</v>
          </cell>
        </row>
        <row r="60">
          <cell r="B60" t="str">
            <v>Két</v>
          </cell>
          <cell r="C60" t="str">
            <v>02666</v>
          </cell>
        </row>
        <row r="61">
          <cell r="B61" t="str">
            <v>Măn</v>
          </cell>
          <cell r="C61" t="str">
            <v>03276</v>
          </cell>
        </row>
        <row r="62">
          <cell r="B62" t="str">
            <v>Soi</v>
          </cell>
          <cell r="C62" t="str">
            <v>03277</v>
          </cell>
        </row>
        <row r="63">
          <cell r="B63" t="str">
            <v>Pò Mòm</v>
          </cell>
          <cell r="C63" t="str">
            <v>02673</v>
          </cell>
        </row>
        <row r="64">
          <cell r="B64" t="str">
            <v>Pệt</v>
          </cell>
          <cell r="C64" t="str">
            <v>03278</v>
          </cell>
        </row>
        <row r="65">
          <cell r="B65" t="str">
            <v>Khay Khăm</v>
          </cell>
          <cell r="C65" t="str">
            <v>03279</v>
          </cell>
        </row>
        <row r="66">
          <cell r="B66" t="str">
            <v>Ô Lích</v>
          </cell>
          <cell r="C66" t="str">
            <v>03280</v>
          </cell>
        </row>
        <row r="67">
          <cell r="B67" t="str">
            <v>Va Khăm</v>
          </cell>
          <cell r="C67" t="str">
            <v>03281</v>
          </cell>
        </row>
        <row r="68">
          <cell r="B68" t="str">
            <v>Căn Nha</v>
          </cell>
          <cell r="C68" t="str">
            <v>03282</v>
          </cell>
        </row>
        <row r="69">
          <cell r="B69" t="str">
            <v>Nọi (2)</v>
          </cell>
          <cell r="C69" t="str">
            <v>03283</v>
          </cell>
        </row>
        <row r="70">
          <cell r="B70" t="str">
            <v>Lợt</v>
          </cell>
          <cell r="C70" t="str">
            <v>03848</v>
          </cell>
        </row>
        <row r="71">
          <cell r="B71" t="str">
            <v>Ếch</v>
          </cell>
          <cell r="C71" t="str">
            <v>02667</v>
          </cell>
        </row>
        <row r="72">
          <cell r="B72" t="str">
            <v>Hắm</v>
          </cell>
          <cell r="C72" t="str">
            <v>03849</v>
          </cell>
        </row>
        <row r="73">
          <cell r="B73" t="str">
            <v>Híp</v>
          </cell>
          <cell r="C73" t="str">
            <v>03287</v>
          </cell>
        </row>
        <row r="74">
          <cell r="B74" t="str">
            <v>Pử</v>
          </cell>
          <cell r="C74" t="str">
            <v>03288</v>
          </cell>
        </row>
        <row r="75">
          <cell r="B75" t="str">
            <v>Mi</v>
          </cell>
          <cell r="C75" t="str">
            <v>03850</v>
          </cell>
        </row>
        <row r="76">
          <cell r="B76" t="str">
            <v>Ừm</v>
          </cell>
          <cell r="C76" t="str">
            <v>02669</v>
          </cell>
        </row>
        <row r="77">
          <cell r="B77" t="str">
            <v>Thông May</v>
          </cell>
          <cell r="C77" t="str">
            <v>03289</v>
          </cell>
        </row>
        <row r="78">
          <cell r="B78" t="str">
            <v>Su Ki</v>
          </cell>
          <cell r="C78" t="str">
            <v>03290</v>
          </cell>
        </row>
        <row r="79">
          <cell r="B79" t="str">
            <v>Xút Chay</v>
          </cell>
          <cell r="C79" t="str">
            <v>02671</v>
          </cell>
        </row>
        <row r="80">
          <cell r="B80" t="str">
            <v>Khăm Ma Ny</v>
          </cell>
          <cell r="C80" t="str">
            <v>03291</v>
          </cell>
        </row>
        <row r="81">
          <cell r="B81" t="str">
            <v>Lúi</v>
          </cell>
          <cell r="C81" t="str">
            <v>03292</v>
          </cell>
        </row>
        <row r="82">
          <cell r="B82" t="str">
            <v>Thong Đeng</v>
          </cell>
          <cell r="C82" t="str">
            <v>03293</v>
          </cell>
        </row>
        <row r="83">
          <cell r="B83" t="str">
            <v>Choi (2)</v>
          </cell>
          <cell r="C83" t="str">
            <v>03294</v>
          </cell>
        </row>
        <row r="84">
          <cell r="B84" t="str">
            <v>Bua Pha</v>
          </cell>
          <cell r="C84" t="str">
            <v>03295</v>
          </cell>
        </row>
        <row r="85">
          <cell r="B85" t="str">
            <v>Thong La</v>
          </cell>
          <cell r="C85" t="str">
            <v>03296</v>
          </cell>
        </row>
        <row r="86">
          <cell r="B86" t="str">
            <v>A Nan</v>
          </cell>
          <cell r="C86" t="str">
            <v>03297</v>
          </cell>
        </row>
        <row r="87">
          <cell r="B87" t="str">
            <v>In Pon</v>
          </cell>
          <cell r="C87" t="str">
            <v>03298</v>
          </cell>
        </row>
        <row r="88">
          <cell r="B88" t="str">
            <v>Xi Đa (2)</v>
          </cell>
          <cell r="C88" t="str">
            <v>03299</v>
          </cell>
        </row>
        <row r="89">
          <cell r="B89" t="str">
            <v>Bun Sóng</v>
          </cell>
          <cell r="C89" t="str">
            <v>03300</v>
          </cell>
        </row>
        <row r="90">
          <cell r="B90" t="str">
            <v>Tỏng</v>
          </cell>
          <cell r="C90" t="str">
            <v>03301</v>
          </cell>
        </row>
        <row r="91">
          <cell r="B91" t="str">
            <v>Vá</v>
          </cell>
          <cell r="C91" t="str">
            <v>03302</v>
          </cell>
        </row>
        <row r="92">
          <cell r="B92" t="str">
            <v>Su Ly</v>
          </cell>
          <cell r="C92" t="str">
            <v>03303</v>
          </cell>
        </row>
        <row r="93">
          <cell r="B93" t="str">
            <v>Pò Vy</v>
          </cell>
          <cell r="C93" t="str">
            <v>03304</v>
          </cell>
        </row>
        <row r="94">
          <cell r="B94" t="str">
            <v>Đeng</v>
          </cell>
          <cell r="C94" t="str">
            <v>03305</v>
          </cell>
        </row>
        <row r="95">
          <cell r="B95" t="str">
            <v>Pừng</v>
          </cell>
          <cell r="C95" t="str">
            <v>03851</v>
          </cell>
        </row>
        <row r="96">
          <cell r="B96" t="str">
            <v>Xi Chăn</v>
          </cell>
          <cell r="C96" t="str">
            <v>03306</v>
          </cell>
        </row>
        <row r="97">
          <cell r="B97" t="str">
            <v>Na Ly</v>
          </cell>
          <cell r="C97" t="str">
            <v>03852</v>
          </cell>
        </row>
        <row r="98">
          <cell r="B98" t="str">
            <v>Chăn Đi</v>
          </cell>
          <cell r="C98" t="str">
            <v>03308</v>
          </cell>
        </row>
        <row r="99">
          <cell r="B99" t="str">
            <v>Phôm Ma</v>
          </cell>
          <cell r="C99" t="str">
            <v>03309</v>
          </cell>
        </row>
        <row r="100">
          <cell r="B100" t="str">
            <v>Lăm (2)</v>
          </cell>
          <cell r="C100" t="str">
            <v>03310</v>
          </cell>
        </row>
        <row r="101">
          <cell r="B101" t="str">
            <v>Lích</v>
          </cell>
          <cell r="C101" t="str">
            <v>03311</v>
          </cell>
        </row>
        <row r="102">
          <cell r="B102" t="str">
            <v>Lăm Phon (2)</v>
          </cell>
          <cell r="C102" t="str">
            <v>03312</v>
          </cell>
        </row>
        <row r="103">
          <cell r="B103" t="str">
            <v>Bun Thay</v>
          </cell>
          <cell r="C103" t="str">
            <v>03313</v>
          </cell>
        </row>
        <row r="104">
          <cell r="B104" t="str">
            <v>Ta Luông</v>
          </cell>
          <cell r="C104" t="str">
            <v>03314</v>
          </cell>
        </row>
        <row r="105">
          <cell r="B105" t="str">
            <v>Phim Phon</v>
          </cell>
          <cell r="C105" t="str">
            <v>03315</v>
          </cell>
        </row>
        <row r="106">
          <cell r="B106" t="str">
            <v>Tu La</v>
          </cell>
          <cell r="C106" t="str">
            <v>03316</v>
          </cell>
        </row>
        <row r="107">
          <cell r="B107" t="str">
            <v>Noi</v>
          </cell>
          <cell r="C107" t="str">
            <v>03853</v>
          </cell>
        </row>
        <row r="108">
          <cell r="B108" t="str">
            <v>Hắm Nọi</v>
          </cell>
          <cell r="C108" t="str">
            <v>02665</v>
          </cell>
        </row>
        <row r="109">
          <cell r="B109" t="str">
            <v>Pheng Phăn</v>
          </cell>
          <cell r="C109" t="str">
            <v>03318</v>
          </cell>
        </row>
        <row r="111">
          <cell r="B111" t="str">
            <v>Bôn</v>
          </cell>
          <cell r="C111" t="str">
            <v>03319</v>
          </cell>
        </row>
        <row r="112">
          <cell r="B112" t="str">
            <v>E</v>
          </cell>
          <cell r="C112" t="str">
            <v>03320</v>
          </cell>
        </row>
        <row r="113">
          <cell r="B113" t="str">
            <v>Khương (3)</v>
          </cell>
          <cell r="C113" t="str">
            <v>02453</v>
          </cell>
        </row>
        <row r="114">
          <cell r="B114" t="str">
            <v>Nít Ni Lanh</v>
          </cell>
          <cell r="C114" t="str">
            <v>02471</v>
          </cell>
        </row>
        <row r="115">
          <cell r="B115" t="str">
            <v>Khăm Đeng</v>
          </cell>
          <cell r="C115" t="str">
            <v>02465</v>
          </cell>
        </row>
        <row r="116">
          <cell r="B116" t="str">
            <v>Nàng  Năt</v>
          </cell>
          <cell r="C116" t="str">
            <v>03321</v>
          </cell>
        </row>
        <row r="117">
          <cell r="B117" t="str">
            <v>Xay (3)</v>
          </cell>
          <cell r="C117" t="str">
            <v>03322</v>
          </cell>
        </row>
        <row r="118">
          <cell r="B118" t="str">
            <v>Xôn</v>
          </cell>
          <cell r="C118" t="str">
            <v>02452</v>
          </cell>
        </row>
        <row r="119">
          <cell r="B119" t="str">
            <v>Phum Hom</v>
          </cell>
          <cell r="C119" t="str">
            <v>02508</v>
          </cell>
        </row>
        <row r="120">
          <cell r="B120" t="str">
            <v>Pa Lay</v>
          </cell>
          <cell r="C120" t="str">
            <v>03323</v>
          </cell>
        </row>
        <row r="121">
          <cell r="B121" t="str">
            <v>Măm</v>
          </cell>
          <cell r="C121" t="str">
            <v>02466</v>
          </cell>
        </row>
        <row r="122">
          <cell r="B122" t="str">
            <v>Muôi</v>
          </cell>
          <cell r="C122" t="str">
            <v>02493</v>
          </cell>
        </row>
        <row r="123">
          <cell r="B123" t="str">
            <v>Vat Sa Na</v>
          </cell>
          <cell r="C123" t="str">
            <v>03324</v>
          </cell>
        </row>
        <row r="124">
          <cell r="B124" t="str">
            <v>Xi La</v>
          </cell>
          <cell r="C124" t="str">
            <v>03325</v>
          </cell>
        </row>
        <row r="125">
          <cell r="B125" t="str">
            <v>Me Nhon</v>
          </cell>
          <cell r="C125" t="str">
            <v>03326</v>
          </cell>
        </row>
        <row r="126">
          <cell r="B126" t="str">
            <v>Ten (3)</v>
          </cell>
          <cell r="C126" t="str">
            <v>02492</v>
          </cell>
        </row>
        <row r="127">
          <cell r="B127" t="str">
            <v>Ki</v>
          </cell>
          <cell r="C127" t="str">
            <v>02485</v>
          </cell>
        </row>
        <row r="128">
          <cell r="B128" t="str">
            <v>Phết (3)</v>
          </cell>
          <cell r="C128" t="str">
            <v>02487</v>
          </cell>
        </row>
        <row r="129">
          <cell r="B129" t="str">
            <v>Phon (3)</v>
          </cell>
          <cell r="C129" t="str">
            <v>03327</v>
          </cell>
        </row>
        <row r="130">
          <cell r="B130" t="str">
            <v>Nang Vone</v>
          </cell>
          <cell r="C130" t="str">
            <v>02684</v>
          </cell>
        </row>
        <row r="131">
          <cell r="B131" t="str">
            <v>Lăng A</v>
          </cell>
          <cell r="C131" t="str">
            <v>02488</v>
          </cell>
        </row>
        <row r="132">
          <cell r="B132" t="str">
            <v>Nút</v>
          </cell>
          <cell r="C132" t="str">
            <v>02679</v>
          </cell>
        </row>
        <row r="133">
          <cell r="B133" t="str">
            <v>Xit</v>
          </cell>
          <cell r="C133" t="str">
            <v>03328</v>
          </cell>
        </row>
        <row r="134">
          <cell r="B134" t="str">
            <v>Kum Man</v>
          </cell>
          <cell r="C134" t="str">
            <v>02469</v>
          </cell>
        </row>
        <row r="135">
          <cell r="B135" t="str">
            <v>Xai Ta</v>
          </cell>
          <cell r="C135" t="str">
            <v>02475</v>
          </cell>
        </row>
        <row r="136">
          <cell r="B136" t="str">
            <v>Lươn</v>
          </cell>
          <cell r="C136" t="str">
            <v>02473</v>
          </cell>
        </row>
        <row r="137">
          <cell r="B137" t="str">
            <v>Nàng Lên</v>
          </cell>
          <cell r="C137" t="str">
            <v>02510</v>
          </cell>
        </row>
        <row r="138">
          <cell r="B138" t="str">
            <v>Nọi (3)</v>
          </cell>
          <cell r="C138" t="str">
            <v>02513</v>
          </cell>
        </row>
        <row r="139">
          <cell r="B139" t="str">
            <v>Lên</v>
          </cell>
          <cell r="C139" t="str">
            <v>02510</v>
          </cell>
        </row>
        <row r="140">
          <cell r="B140" t="str">
            <v>Khắn</v>
          </cell>
          <cell r="C140" t="str">
            <v>02470</v>
          </cell>
        </row>
        <row r="141">
          <cell r="B141" t="str">
            <v>XumMai</v>
          </cell>
          <cell r="C141" t="str">
            <v>03329</v>
          </cell>
        </row>
        <row r="142">
          <cell r="B142" t="str">
            <v>Nang Ny</v>
          </cell>
          <cell r="C142" t="str">
            <v>03330</v>
          </cell>
        </row>
        <row r="143">
          <cell r="B143" t="str">
            <v>Kẹo Ta</v>
          </cell>
          <cell r="C143" t="str">
            <v>02455</v>
          </cell>
        </row>
        <row r="144">
          <cell r="B144" t="str">
            <v>Pom</v>
          </cell>
          <cell r="C144" t="str">
            <v>02459</v>
          </cell>
        </row>
        <row r="145">
          <cell r="B145" t="str">
            <v>Cong</v>
          </cell>
          <cell r="C145" t="str">
            <v>02506</v>
          </cell>
        </row>
        <row r="146">
          <cell r="B146" t="str">
            <v>Khăm B</v>
          </cell>
          <cell r="C146" t="str">
            <v>02507</v>
          </cell>
        </row>
        <row r="147">
          <cell r="B147" t="str">
            <v>Khôn (3)</v>
          </cell>
          <cell r="C147" t="str">
            <v>03331</v>
          </cell>
        </row>
        <row r="148">
          <cell r="B148" t="str">
            <v>Xing</v>
          </cell>
          <cell r="C148" t="str">
            <v>02467</v>
          </cell>
        </row>
        <row r="149">
          <cell r="B149" t="str">
            <v>Kị To</v>
          </cell>
          <cell r="C149" t="str">
            <v>02483</v>
          </cell>
        </row>
        <row r="150">
          <cell r="B150" t="str">
            <v>Thảo Ký</v>
          </cell>
          <cell r="C150" t="str">
            <v>02512</v>
          </cell>
        </row>
        <row r="151">
          <cell r="B151" t="str">
            <v>Nam Phon</v>
          </cell>
          <cell r="C151" t="str">
            <v>03332</v>
          </cell>
        </row>
        <row r="152">
          <cell r="B152" t="str">
            <v>Lon</v>
          </cell>
          <cell r="C152" t="str">
            <v>03333</v>
          </cell>
        </row>
        <row r="153">
          <cell r="B153" t="str">
            <v>Me Son</v>
          </cell>
          <cell r="C153" t="str">
            <v>02474</v>
          </cell>
        </row>
        <row r="154">
          <cell r="B154" t="str">
            <v>Nít</v>
          </cell>
          <cell r="C154" t="str">
            <v>02500</v>
          </cell>
        </row>
        <row r="155">
          <cell r="B155" t="str">
            <v>Nui</v>
          </cell>
          <cell r="C155" t="str">
            <v>02451</v>
          </cell>
        </row>
        <row r="156">
          <cell r="B156" t="str">
            <v>Đuông Chăn</v>
          </cell>
          <cell r="C156" t="str">
            <v>02462</v>
          </cell>
        </row>
        <row r="157">
          <cell r="B157" t="str">
            <v>Đăm (3)</v>
          </cell>
          <cell r="C157" t="str">
            <v>02491</v>
          </cell>
        </row>
        <row r="158">
          <cell r="B158" t="str">
            <v>Hăm Nọi A</v>
          </cell>
          <cell r="C158" t="str">
            <v>02457</v>
          </cell>
        </row>
        <row r="159">
          <cell r="B159" t="str">
            <v>Hip</v>
          </cell>
          <cell r="C159" t="str">
            <v>03334</v>
          </cell>
        </row>
        <row r="160">
          <cell r="B160" t="str">
            <v>Hăm Noi B</v>
          </cell>
          <cell r="C160" t="str">
            <v>02486</v>
          </cell>
        </row>
        <row r="161">
          <cell r="B161" t="str">
            <v>Tụp</v>
          </cell>
          <cell r="C161" t="str">
            <v>02479</v>
          </cell>
        </row>
        <row r="162">
          <cell r="B162" t="str">
            <v>S Ting</v>
          </cell>
          <cell r="C162" t="str">
            <v>02515</v>
          </cell>
        </row>
        <row r="163">
          <cell r="B163" t="str">
            <v>Tom</v>
          </cell>
          <cell r="C163" t="str">
            <v>02498</v>
          </cell>
        </row>
        <row r="164">
          <cell r="B164" t="str">
            <v>Nang Py</v>
          </cell>
          <cell r="C164" t="str">
            <v>02685</v>
          </cell>
        </row>
        <row r="165">
          <cell r="B165" t="str">
            <v>Ô</v>
          </cell>
          <cell r="C165" t="str">
            <v>02450</v>
          </cell>
        </row>
        <row r="166">
          <cell r="B166" t="str">
            <v>Văn Thong</v>
          </cell>
          <cell r="C166" t="str">
            <v>02454</v>
          </cell>
        </row>
        <row r="167">
          <cell r="B167" t="str">
            <v>Va</v>
          </cell>
          <cell r="C167" t="str">
            <v>03335</v>
          </cell>
        </row>
        <row r="168">
          <cell r="B168" t="str">
            <v>Pông</v>
          </cell>
          <cell r="C168" t="str">
            <v>02460</v>
          </cell>
        </row>
        <row r="169">
          <cell r="B169" t="str">
            <v>Nang Híp</v>
          </cell>
          <cell r="C169" t="str">
            <v>02683</v>
          </cell>
        </row>
        <row r="170">
          <cell r="B170" t="str">
            <v>Khăn Ma</v>
          </cell>
          <cell r="C170" t="str">
            <v>02681</v>
          </cell>
        </row>
        <row r="171">
          <cell r="B171" t="str">
            <v>Nàng Son</v>
          </cell>
          <cell r="C171" t="str">
            <v>02504</v>
          </cell>
        </row>
        <row r="172">
          <cell r="B172" t="str">
            <v>Khăm Bun</v>
          </cell>
          <cell r="C172" t="str">
            <v>02686</v>
          </cell>
        </row>
        <row r="173">
          <cell r="B173" t="str">
            <v>Chọt</v>
          </cell>
          <cell r="C173" t="str">
            <v>02478</v>
          </cell>
        </row>
        <row r="174">
          <cell r="B174" t="str">
            <v>Đen</v>
          </cell>
          <cell r="C174" t="str">
            <v>02499</v>
          </cell>
        </row>
        <row r="175">
          <cell r="B175" t="str">
            <v>Tà (3)</v>
          </cell>
          <cell r="C175" t="str">
            <v>03336</v>
          </cell>
        </row>
        <row r="176">
          <cell r="B176" t="str">
            <v>Nang Hắc</v>
          </cell>
          <cell r="C176" t="str">
            <v>02682</v>
          </cell>
        </row>
        <row r="177">
          <cell r="B177" t="str">
            <v>Tia</v>
          </cell>
          <cell r="C177" t="str">
            <v>02482</v>
          </cell>
        </row>
        <row r="178">
          <cell r="B178" t="str">
            <v>Lăm Phon (3)</v>
          </cell>
          <cell r="C178" t="str">
            <v>03337</v>
          </cell>
        </row>
        <row r="179">
          <cell r="B179" t="str">
            <v>Chít</v>
          </cell>
          <cell r="C179" t="str">
            <v>03338</v>
          </cell>
        </row>
        <row r="180">
          <cell r="B180" t="str">
            <v>Lay</v>
          </cell>
          <cell r="C180" t="str">
            <v>02481</v>
          </cell>
        </row>
        <row r="181">
          <cell r="B181" t="str">
            <v>Thá</v>
          </cell>
          <cell r="C181" t="str">
            <v>02463</v>
          </cell>
        </row>
        <row r="182">
          <cell r="B182" t="str">
            <v>Lệ</v>
          </cell>
          <cell r="C182" t="str">
            <v>02464</v>
          </cell>
        </row>
        <row r="183">
          <cell r="B183" t="str">
            <v>Ling</v>
          </cell>
          <cell r="C183" t="str">
            <v>02456</v>
          </cell>
        </row>
        <row r="184">
          <cell r="B184" t="str">
            <v>Loi</v>
          </cell>
          <cell r="C184" t="str">
            <v>02461</v>
          </cell>
        </row>
        <row r="185">
          <cell r="B185" t="str">
            <v>Thảo Pha</v>
          </cell>
          <cell r="C185" t="str">
            <v>02680</v>
          </cell>
        </row>
        <row r="186">
          <cell r="B186" t="str">
            <v>Ka Te</v>
          </cell>
          <cell r="C186" t="str">
            <v>02501</v>
          </cell>
        </row>
        <row r="187">
          <cell r="B187" t="str">
            <v>In Đia</v>
          </cell>
          <cell r="C187" t="str">
            <v>02503</v>
          </cell>
        </row>
        <row r="188">
          <cell r="B188" t="str">
            <v>Khăm Mừn</v>
          </cell>
          <cell r="C188" t="str">
            <v>02468</v>
          </cell>
        </row>
        <row r="189">
          <cell r="B189" t="str">
            <v>Choi (3)</v>
          </cell>
          <cell r="C189" t="str">
            <v>03339</v>
          </cell>
        </row>
        <row r="190">
          <cell r="B190" t="str">
            <v>Xi No</v>
          </cell>
          <cell r="C190" t="str">
            <v>02494</v>
          </cell>
        </row>
        <row r="191">
          <cell r="B191" t="str">
            <v>Lói</v>
          </cell>
          <cell r="C191" t="str">
            <v>02476</v>
          </cell>
        </row>
        <row r="192">
          <cell r="B192" t="str">
            <v>Ót</v>
          </cell>
          <cell r="C192" t="str">
            <v>02496</v>
          </cell>
        </row>
        <row r="193">
          <cell r="B193" t="str">
            <v>Son</v>
          </cell>
          <cell r="C193" t="str">
            <v>02502</v>
          </cell>
        </row>
        <row r="194">
          <cell r="B194" t="str">
            <v>Sét</v>
          </cell>
          <cell r="C194" t="str">
            <v>02514</v>
          </cell>
        </row>
        <row r="195">
          <cell r="B195" t="str">
            <v>Lan (3)</v>
          </cell>
          <cell r="C195" t="str">
            <v>03340</v>
          </cell>
        </row>
        <row r="196">
          <cell r="B196" t="str">
            <v>Tha Mon Ta</v>
          </cell>
          <cell r="C196" t="str">
            <v>02497</v>
          </cell>
        </row>
        <row r="197">
          <cell r="B197" t="str">
            <v>Long</v>
          </cell>
          <cell r="C197" t="str">
            <v>03341</v>
          </cell>
        </row>
        <row r="198">
          <cell r="B198" t="str">
            <v>Méo</v>
          </cell>
          <cell r="C198" t="str">
            <v>02511</v>
          </cell>
        </row>
        <row r="199">
          <cell r="B199" t="str">
            <v>Chay</v>
          </cell>
          <cell r="C199" t="str">
            <v>03342</v>
          </cell>
        </row>
        <row r="200">
          <cell r="B200" t="str">
            <v>Quy</v>
          </cell>
          <cell r="C200" t="str">
            <v>02484</v>
          </cell>
        </row>
        <row r="201">
          <cell r="B201" t="str">
            <v>Nang Ta</v>
          </cell>
          <cell r="C201" t="str">
            <v>02509</v>
          </cell>
        </row>
        <row r="202">
          <cell r="B202" t="str">
            <v>Hông</v>
          </cell>
          <cell r="C202" t="str">
            <v>02458</v>
          </cell>
        </row>
        <row r="203">
          <cell r="B203" t="str">
            <v>Chinh</v>
          </cell>
          <cell r="C203" t="str">
            <v>02480</v>
          </cell>
        </row>
        <row r="205">
          <cell r="B205" t="str">
            <v>Pho Thông</v>
          </cell>
          <cell r="C205" t="str">
            <v>03346</v>
          </cell>
        </row>
        <row r="206">
          <cell r="B206" t="str">
            <v>Ka Púc</v>
          </cell>
          <cell r="C206" t="str">
            <v>02472</v>
          </cell>
        </row>
        <row r="207">
          <cell r="B207" t="str">
            <v>Chay Đi</v>
          </cell>
          <cell r="C207" t="str">
            <v>02477</v>
          </cell>
        </row>
        <row r="208">
          <cell r="B208" t="str">
            <v>Lăng B</v>
          </cell>
          <cell r="C208" t="str">
            <v>02495</v>
          </cell>
        </row>
        <row r="209">
          <cell r="B209" t="str">
            <v>Vi Say</v>
          </cell>
          <cell r="C209" t="str">
            <v>02505</v>
          </cell>
        </row>
        <row r="210">
          <cell r="B210" t="str">
            <v>On</v>
          </cell>
          <cell r="C210" t="str">
            <v>02516</v>
          </cell>
        </row>
        <row r="211">
          <cell r="B211" t="str">
            <v>Tuc</v>
          </cell>
          <cell r="C211" t="str">
            <v>03347</v>
          </cell>
        </row>
        <row r="213">
          <cell r="B213" t="str">
            <v>Thon</v>
          </cell>
          <cell r="C213" t="str">
            <v>03343</v>
          </cell>
        </row>
        <row r="214">
          <cell r="B214" t="str">
            <v>Nhon</v>
          </cell>
          <cell r="C214" t="str">
            <v>02444</v>
          </cell>
        </row>
        <row r="215">
          <cell r="B215" t="str">
            <v>Hăm (3)</v>
          </cell>
          <cell r="C215" t="str">
            <v>02447</v>
          </cell>
        </row>
        <row r="216">
          <cell r="B216" t="str">
            <v>Nang (3)</v>
          </cell>
          <cell r="C216" t="str">
            <v>03344</v>
          </cell>
        </row>
        <row r="217">
          <cell r="B217" t="str">
            <v>Khăm</v>
          </cell>
          <cell r="C217" t="str">
            <v>02449</v>
          </cell>
        </row>
        <row r="218">
          <cell r="B218" t="str">
            <v>Nàng Bát</v>
          </cell>
          <cell r="C218" t="str">
            <v>02445</v>
          </cell>
        </row>
        <row r="219">
          <cell r="B219" t="str">
            <v>Dộc</v>
          </cell>
          <cell r="C219" t="str">
            <v>02446</v>
          </cell>
        </row>
        <row r="220">
          <cell r="B220" t="str">
            <v>Chăn (3)</v>
          </cell>
          <cell r="C220" t="str">
            <v>03345</v>
          </cell>
        </row>
        <row r="221">
          <cell r="B221" t="str">
            <v>Hát</v>
          </cell>
          <cell r="C221" t="str">
            <v>03854</v>
          </cell>
        </row>
        <row r="222">
          <cell r="B222" t="str">
            <v>Bun (3)</v>
          </cell>
          <cell r="C222" t="str">
            <v>03855</v>
          </cell>
        </row>
        <row r="223">
          <cell r="B223" t="str">
            <v>My</v>
          </cell>
          <cell r="C223" t="str">
            <v>03856</v>
          </cell>
        </row>
        <row r="225">
          <cell r="B225" t="str">
            <v>Sốt</v>
          </cell>
          <cell r="C225" t="str">
            <v>03348</v>
          </cell>
        </row>
        <row r="226">
          <cell r="B226" t="str">
            <v>Thảo A Tiền</v>
          </cell>
          <cell r="C226" t="str">
            <v>03349</v>
          </cell>
        </row>
        <row r="227">
          <cell r="B227" t="str">
            <v>Kong Ta</v>
          </cell>
          <cell r="C227" t="str">
            <v>02543</v>
          </cell>
        </row>
        <row r="228">
          <cell r="B228" t="str">
            <v>Nghiệp</v>
          </cell>
          <cell r="C228" t="str">
            <v>02693</v>
          </cell>
        </row>
        <row r="229">
          <cell r="B229" t="str">
            <v>Bun Theo</v>
          </cell>
          <cell r="C229" t="str">
            <v>03350</v>
          </cell>
        </row>
        <row r="230">
          <cell r="B230" t="str">
            <v>Núi</v>
          </cell>
          <cell r="C230" t="str">
            <v>02526</v>
          </cell>
        </row>
        <row r="231">
          <cell r="B231" t="str">
            <v>Xa Mon</v>
          </cell>
          <cell r="C231" t="str">
            <v>03351</v>
          </cell>
        </row>
        <row r="232">
          <cell r="B232" t="str">
            <v>Thảo Thúc</v>
          </cell>
          <cell r="C232" t="str">
            <v>03352</v>
          </cell>
        </row>
        <row r="233">
          <cell r="B233" t="str">
            <v>Bo Loi</v>
          </cell>
          <cell r="C233" t="str">
            <v>02567</v>
          </cell>
        </row>
        <row r="234">
          <cell r="B234" t="str">
            <v>Xoong</v>
          </cell>
          <cell r="C234" t="str">
            <v>02564</v>
          </cell>
        </row>
        <row r="235">
          <cell r="B235" t="str">
            <v>Ta Văn</v>
          </cell>
          <cell r="C235" t="str">
            <v>03353</v>
          </cell>
        </row>
        <row r="236">
          <cell r="B236" t="str">
            <v>Khăm Măn</v>
          </cell>
          <cell r="C236" t="str">
            <v>02518</v>
          </cell>
        </row>
        <row r="237">
          <cell r="B237" t="str">
            <v>Ninh</v>
          </cell>
          <cell r="C237" t="str">
            <v>03354</v>
          </cell>
        </row>
        <row r="238">
          <cell r="B238" t="str">
            <v>Vôn</v>
          </cell>
          <cell r="C238" t="str">
            <v>03355</v>
          </cell>
        </row>
        <row r="239">
          <cell r="B239" t="str">
            <v>Khăm Thạ Von</v>
          </cell>
          <cell r="C239" t="str">
            <v>02521</v>
          </cell>
        </row>
        <row r="240">
          <cell r="B240" t="str">
            <v>Minh</v>
          </cell>
          <cell r="C240" t="str">
            <v>03356</v>
          </cell>
        </row>
        <row r="241">
          <cell r="B241" t="str">
            <v>Đan</v>
          </cell>
          <cell r="C241" t="str">
            <v>02524</v>
          </cell>
        </row>
        <row r="242">
          <cell r="B242" t="str">
            <v>Nội</v>
          </cell>
          <cell r="C242" t="str">
            <v>03357</v>
          </cell>
        </row>
        <row r="243">
          <cell r="B243" t="str">
            <v>Keo La</v>
          </cell>
          <cell r="C243" t="str">
            <v>03358</v>
          </cell>
        </row>
        <row r="244">
          <cell r="B244" t="str">
            <v>Chăn Thi</v>
          </cell>
          <cell r="C244" t="str">
            <v>02556</v>
          </cell>
        </row>
        <row r="245">
          <cell r="B245" t="str">
            <v>Đon</v>
          </cell>
          <cell r="C245" t="str">
            <v>02537</v>
          </cell>
        </row>
        <row r="246">
          <cell r="B246" t="str">
            <v>Thảo Con Khăm</v>
          </cell>
          <cell r="C246" t="str">
            <v>03359</v>
          </cell>
        </row>
        <row r="247">
          <cell r="B247" t="str">
            <v>Bun Ma Tu</v>
          </cell>
          <cell r="C247" t="str">
            <v>03360</v>
          </cell>
        </row>
        <row r="248">
          <cell r="B248" t="str">
            <v>Nay (4)</v>
          </cell>
          <cell r="C248" t="str">
            <v>03413</v>
          </cell>
        </row>
        <row r="249">
          <cell r="B249" t="str">
            <v>Ta Phúc</v>
          </cell>
          <cell r="C249" t="str">
            <v>03361</v>
          </cell>
        </row>
        <row r="250">
          <cell r="B250" t="str">
            <v>Mơ</v>
          </cell>
          <cell r="C250" t="str">
            <v>02554</v>
          </cell>
        </row>
        <row r="251">
          <cell r="B251" t="str">
            <v>Bun Ma (4)</v>
          </cell>
          <cell r="C251" t="str">
            <v>02534</v>
          </cell>
        </row>
        <row r="252">
          <cell r="B252" t="str">
            <v>Đuông Ma La</v>
          </cell>
          <cell r="C252" t="str">
            <v>02538</v>
          </cell>
        </row>
        <row r="253">
          <cell r="B253" t="str">
            <v>Lâm A</v>
          </cell>
          <cell r="C253" t="str">
            <v>02530</v>
          </cell>
        </row>
        <row r="254">
          <cell r="B254" t="str">
            <v>Lâm B</v>
          </cell>
          <cell r="C254" t="str">
            <v>03362</v>
          </cell>
        </row>
        <row r="255">
          <cell r="B255" t="str">
            <v>Bun Phong</v>
          </cell>
          <cell r="C255" t="str">
            <v>03363</v>
          </cell>
        </row>
        <row r="256">
          <cell r="B256" t="str">
            <v>Keo (4)</v>
          </cell>
          <cell r="C256" t="str">
            <v>03364</v>
          </cell>
        </row>
        <row r="257">
          <cell r="B257" t="str">
            <v>Van Ta</v>
          </cell>
          <cell r="C257" t="str">
            <v>02536</v>
          </cell>
        </row>
        <row r="258">
          <cell r="B258" t="str">
            <v>Peng</v>
          </cell>
          <cell r="C258" t="str">
            <v>02527</v>
          </cell>
        </row>
        <row r="259">
          <cell r="B259" t="str">
            <v>Xay Du</v>
          </cell>
          <cell r="C259" t="str">
            <v>03365</v>
          </cell>
        </row>
        <row r="260">
          <cell r="B260" t="str">
            <v>Coi</v>
          </cell>
          <cell r="C260" t="str">
            <v>03366</v>
          </cell>
        </row>
        <row r="261">
          <cell r="B261" t="str">
            <v>Khăm Lã</v>
          </cell>
          <cell r="C261" t="str">
            <v>02532</v>
          </cell>
        </row>
        <row r="262">
          <cell r="B262" t="str">
            <v>Boóc</v>
          </cell>
          <cell r="C262" t="str">
            <v>02528</v>
          </cell>
        </row>
        <row r="263">
          <cell r="B263" t="str">
            <v>Bun Ta</v>
          </cell>
          <cell r="C263" t="str">
            <v>03367</v>
          </cell>
        </row>
        <row r="264">
          <cell r="B264" t="str">
            <v>Túc</v>
          </cell>
          <cell r="C264" t="str">
            <v>02517</v>
          </cell>
        </row>
        <row r="265">
          <cell r="B265" t="str">
            <v>Sái Khăm</v>
          </cell>
          <cell r="C265" t="str">
            <v>02522</v>
          </cell>
        </row>
        <row r="266">
          <cell r="B266" t="str">
            <v>Xi Đa (4)</v>
          </cell>
          <cell r="C266" t="str">
            <v>02565</v>
          </cell>
        </row>
        <row r="267">
          <cell r="B267" t="str">
            <v>Bon</v>
          </cell>
          <cell r="C267" t="str">
            <v>03368</v>
          </cell>
        </row>
        <row r="268">
          <cell r="B268" t="str">
            <v>In</v>
          </cell>
          <cell r="C268" t="str">
            <v>02535</v>
          </cell>
        </row>
        <row r="269">
          <cell r="B269" t="str">
            <v>Lai</v>
          </cell>
          <cell r="C269" t="str">
            <v>02563</v>
          </cell>
        </row>
        <row r="270">
          <cell r="B270" t="str">
            <v>Sui</v>
          </cell>
          <cell r="C270" t="str">
            <v>02688</v>
          </cell>
        </row>
        <row r="271">
          <cell r="B271" t="str">
            <v>Pong (4)</v>
          </cell>
          <cell r="C271" t="str">
            <v>02551</v>
          </cell>
        </row>
        <row r="272">
          <cell r="B272" t="str">
            <v>Lắt</v>
          </cell>
          <cell r="C272" t="str">
            <v>02523</v>
          </cell>
        </row>
        <row r="273">
          <cell r="B273" t="str">
            <v>Thái</v>
          </cell>
          <cell r="C273" t="str">
            <v>03369</v>
          </cell>
        </row>
        <row r="274">
          <cell r="B274" t="str">
            <v>Chăn (4)</v>
          </cell>
          <cell r="C274" t="str">
            <v>03345</v>
          </cell>
        </row>
        <row r="275">
          <cell r="B275" t="str">
            <v>Si</v>
          </cell>
          <cell r="C275" t="str">
            <v>03371</v>
          </cell>
        </row>
        <row r="276">
          <cell r="B276" t="str">
            <v>Pheng Ta</v>
          </cell>
          <cell r="C276" t="str">
            <v>02519</v>
          </cell>
        </row>
        <row r="277">
          <cell r="B277" t="str">
            <v>Sệ</v>
          </cell>
          <cell r="C277" t="str">
            <v>02692</v>
          </cell>
        </row>
        <row r="278">
          <cell r="B278" t="str">
            <v>Bà</v>
          </cell>
          <cell r="C278" t="str">
            <v>03372</v>
          </cell>
        </row>
        <row r="279">
          <cell r="B279" t="str">
            <v>Lẹ</v>
          </cell>
          <cell r="C279" t="str">
            <v>03373</v>
          </cell>
        </row>
        <row r="280">
          <cell r="B280" t="str">
            <v>Bà B</v>
          </cell>
          <cell r="C280" t="str">
            <v>03374</v>
          </cell>
        </row>
        <row r="281">
          <cell r="B281" t="str">
            <v>Muôn</v>
          </cell>
          <cell r="C281" t="str">
            <v>02557</v>
          </cell>
        </row>
        <row r="282">
          <cell r="B282" t="str">
            <v>Pha</v>
          </cell>
          <cell r="C282" t="str">
            <v>02525</v>
          </cell>
        </row>
        <row r="283">
          <cell r="B283" t="str">
            <v>Nét (4)</v>
          </cell>
          <cell r="C283" t="str">
            <v>03375</v>
          </cell>
        </row>
        <row r="284">
          <cell r="B284" t="str">
            <v>Sun</v>
          </cell>
          <cell r="C284" t="str">
            <v>02691</v>
          </cell>
        </row>
        <row r="285">
          <cell r="B285" t="str">
            <v>Phon (4)</v>
          </cell>
          <cell r="C285" t="str">
            <v>03376</v>
          </cell>
        </row>
        <row r="286">
          <cell r="B286" t="str">
            <v>Thên</v>
          </cell>
          <cell r="C286" t="str">
            <v>03377</v>
          </cell>
        </row>
        <row r="287">
          <cell r="B287" t="str">
            <v>Na Linh</v>
          </cell>
          <cell r="C287" t="str">
            <v>02541</v>
          </cell>
        </row>
        <row r="288">
          <cell r="B288" t="str">
            <v>Hải</v>
          </cell>
          <cell r="C288" t="str">
            <v>02690</v>
          </cell>
        </row>
        <row r="289">
          <cell r="B289" t="str">
            <v>Bun Khăm</v>
          </cell>
          <cell r="C289" t="str">
            <v>03378</v>
          </cell>
        </row>
        <row r="290">
          <cell r="B290" t="str">
            <v>Nàng Nang</v>
          </cell>
          <cell r="C290" t="str">
            <v>02520</v>
          </cell>
        </row>
        <row r="291">
          <cell r="B291" t="str">
            <v>Ni Đa</v>
          </cell>
          <cell r="C291" t="str">
            <v>03379</v>
          </cell>
        </row>
        <row r="292">
          <cell r="B292" t="str">
            <v>Sít</v>
          </cell>
          <cell r="C292" t="str">
            <v>02545</v>
          </cell>
        </row>
        <row r="293">
          <cell r="B293" t="str">
            <v>Hắc Sa Đi</v>
          </cell>
          <cell r="C293" t="str">
            <v>02542</v>
          </cell>
        </row>
        <row r="294">
          <cell r="B294" t="str">
            <v>Mi (4)</v>
          </cell>
          <cell r="C294" t="str">
            <v>02529</v>
          </cell>
        </row>
        <row r="295">
          <cell r="B295" t="str">
            <v>Phô Phi Xít</v>
          </cell>
          <cell r="C295" t="str">
            <v>02531</v>
          </cell>
        </row>
        <row r="296">
          <cell r="B296" t="str">
            <v>Mom</v>
          </cell>
          <cell r="C296" t="str">
            <v>02539</v>
          </cell>
        </row>
        <row r="297">
          <cell r="B297" t="str">
            <v>Ben</v>
          </cell>
          <cell r="C297" t="str">
            <v>03380</v>
          </cell>
        </row>
        <row r="298">
          <cell r="B298" t="str">
            <v>A Cum (4)</v>
          </cell>
          <cell r="C298" t="str">
            <v>02561</v>
          </cell>
        </row>
        <row r="299">
          <cell r="B299" t="str">
            <v>Thông Đeng</v>
          </cell>
          <cell r="C299" t="str">
            <v>02533</v>
          </cell>
        </row>
        <row r="300">
          <cell r="B300" t="str">
            <v>Phu Vanh</v>
          </cell>
          <cell r="C300" t="str">
            <v>02547</v>
          </cell>
        </row>
        <row r="301">
          <cell r="B301" t="str">
            <v>Ta</v>
          </cell>
          <cell r="C301" t="str">
            <v>02550</v>
          </cell>
        </row>
        <row r="302">
          <cell r="B302" t="str">
            <v>Khôn (4)</v>
          </cell>
          <cell r="C302" t="str">
            <v>02566</v>
          </cell>
        </row>
        <row r="303">
          <cell r="B303" t="str">
            <v>Thọ</v>
          </cell>
          <cell r="C303" t="str">
            <v>03381</v>
          </cell>
        </row>
        <row r="304">
          <cell r="B304" t="str">
            <v>Ten (4)</v>
          </cell>
          <cell r="C304" t="str">
            <v>02689</v>
          </cell>
        </row>
        <row r="305">
          <cell r="B305" t="str">
            <v>Văn (4)</v>
          </cell>
          <cell r="C305" t="str">
            <v>02546</v>
          </cell>
        </row>
        <row r="306">
          <cell r="B306" t="str">
            <v>Khăm Lổ</v>
          </cell>
          <cell r="C306" t="str">
            <v>02559</v>
          </cell>
        </row>
        <row r="308">
          <cell r="B308" t="str">
            <v>Nàng Mon</v>
          </cell>
          <cell r="C308" t="str">
            <v>02615</v>
          </cell>
        </row>
        <row r="309">
          <cell r="B309" t="str">
            <v>Bun</v>
          </cell>
          <cell r="C309" t="str">
            <v>02594</v>
          </cell>
        </row>
        <row r="310">
          <cell r="B310" t="str">
            <v>Xôm Bách</v>
          </cell>
          <cell r="C310" t="str">
            <v>02596</v>
          </cell>
        </row>
        <row r="311">
          <cell r="B311" t="str">
            <v>Thảo Tịa</v>
          </cell>
          <cell r="C311" t="str">
            <v>02601</v>
          </cell>
        </row>
        <row r="312">
          <cell r="B312" t="str">
            <v>Hám Lae</v>
          </cell>
          <cell r="C312" t="str">
            <v>02697</v>
          </cell>
        </row>
        <row r="313">
          <cell r="B313" t="str">
            <v>Lan (5)</v>
          </cell>
          <cell r="C313" t="str">
            <v>02610</v>
          </cell>
        </row>
        <row r="314">
          <cell r="B314" t="str">
            <v>Năm</v>
          </cell>
          <cell r="C314" t="str">
            <v>02611</v>
          </cell>
        </row>
        <row r="315">
          <cell r="B315" t="str">
            <v>Thảo Sum</v>
          </cell>
          <cell r="C315" t="str">
            <v>02602</v>
          </cell>
        </row>
        <row r="316">
          <cell r="B316" t="str">
            <v>A Sung</v>
          </cell>
          <cell r="C316" t="str">
            <v>02609</v>
          </cell>
        </row>
        <row r="317">
          <cell r="B317" t="str">
            <v>Phết Sa Mon</v>
          </cell>
          <cell r="C317" t="str">
            <v>02569</v>
          </cell>
        </row>
        <row r="318">
          <cell r="B318" t="str">
            <v>Nàng Von</v>
          </cell>
          <cell r="C318" t="str">
            <v>02583</v>
          </cell>
        </row>
        <row r="319">
          <cell r="B319" t="str">
            <v>T. Chòi</v>
          </cell>
          <cell r="C319" t="str">
            <v>02604</v>
          </cell>
        </row>
        <row r="320">
          <cell r="B320" t="str">
            <v>Văn (5)</v>
          </cell>
          <cell r="C320" t="str">
            <v>02600</v>
          </cell>
        </row>
        <row r="321">
          <cell r="B321" t="str">
            <v>Thảo Khon</v>
          </cell>
          <cell r="C321" t="str">
            <v>03382</v>
          </cell>
        </row>
        <row r="322">
          <cell r="B322" t="str">
            <v>A Tô</v>
          </cell>
          <cell r="C322" t="str">
            <v>02571</v>
          </cell>
        </row>
        <row r="323">
          <cell r="B323" t="str">
            <v>Đoan</v>
          </cell>
          <cell r="C323" t="str">
            <v>02570</v>
          </cell>
        </row>
        <row r="324">
          <cell r="B324" t="str">
            <v>Bun No</v>
          </cell>
          <cell r="C324" t="str">
            <v>02573</v>
          </cell>
        </row>
        <row r="325">
          <cell r="B325" t="str">
            <v>Nét (5)</v>
          </cell>
          <cell r="C325" t="str">
            <v>02695</v>
          </cell>
        </row>
        <row r="326">
          <cell r="B326" t="str">
            <v>Sen</v>
          </cell>
          <cell r="C326" t="str">
            <v>02599</v>
          </cell>
        </row>
        <row r="327">
          <cell r="B327" t="str">
            <v>Thảo Núc</v>
          </cell>
          <cell r="C327" t="str">
            <v>03383</v>
          </cell>
        </row>
        <row r="328">
          <cell r="B328" t="str">
            <v>A Đưng</v>
          </cell>
          <cell r="C328" t="str">
            <v>03384</v>
          </cell>
        </row>
        <row r="329">
          <cell r="B329" t="str">
            <v>Nàng Nọi (5)</v>
          </cell>
          <cell r="C329" t="str">
            <v>02608</v>
          </cell>
        </row>
        <row r="330">
          <cell r="B330" t="str">
            <v>Lúp</v>
          </cell>
          <cell r="C330" t="str">
            <v>02603</v>
          </cell>
        </row>
        <row r="331">
          <cell r="B331" t="str">
            <v>Xai (5)</v>
          </cell>
          <cell r="C331" t="str">
            <v>03385</v>
          </cell>
        </row>
        <row r="332">
          <cell r="B332" t="str">
            <v>A Bun Noi</v>
          </cell>
          <cell r="C332" t="str">
            <v>02586</v>
          </cell>
        </row>
        <row r="333">
          <cell r="B333" t="str">
            <v>E (5)</v>
          </cell>
          <cell r="C333" t="str">
            <v>02614</v>
          </cell>
        </row>
        <row r="334">
          <cell r="B334" t="str">
            <v>Bun Mi</v>
          </cell>
          <cell r="C334" t="str">
            <v>02581</v>
          </cell>
        </row>
        <row r="335">
          <cell r="B335" t="str">
            <v>Thảo Văn</v>
          </cell>
          <cell r="C335" t="str">
            <v>02613</v>
          </cell>
        </row>
        <row r="336">
          <cell r="B336" t="str">
            <v>Nàng Ngân</v>
          </cell>
          <cell r="C336" t="str">
            <v>03386</v>
          </cell>
        </row>
        <row r="337">
          <cell r="B337" t="str">
            <v>Nàng Pha</v>
          </cell>
          <cell r="C337" t="str">
            <v>03387</v>
          </cell>
        </row>
        <row r="338">
          <cell r="B338" t="str">
            <v>Thảo Ê</v>
          </cell>
          <cell r="C338" t="str">
            <v>03388</v>
          </cell>
        </row>
        <row r="339">
          <cell r="B339" t="str">
            <v>Nàng Ăm</v>
          </cell>
          <cell r="C339" t="str">
            <v>03389</v>
          </cell>
        </row>
        <row r="340">
          <cell r="B340" t="str">
            <v>Thảo Lợt</v>
          </cell>
          <cell r="C340" t="str">
            <v>03390</v>
          </cell>
        </row>
        <row r="341">
          <cell r="B341" t="str">
            <v>ViSay</v>
          </cell>
          <cell r="C341" t="str">
            <v>03391</v>
          </cell>
        </row>
        <row r="342">
          <cell r="B342" t="str">
            <v>Thảo Phơn</v>
          </cell>
          <cell r="C342" t="str">
            <v>02589</v>
          </cell>
        </row>
        <row r="343">
          <cell r="B343" t="str">
            <v>Nàng Oi</v>
          </cell>
          <cell r="C343" t="str">
            <v>03392</v>
          </cell>
        </row>
        <row r="344">
          <cell r="B344" t="str">
            <v>Nàng Ly</v>
          </cell>
          <cell r="C344" t="str">
            <v>03393</v>
          </cell>
        </row>
        <row r="345">
          <cell r="B345" t="str">
            <v>Thảo Ú</v>
          </cell>
          <cell r="C345" t="str">
            <v>03394</v>
          </cell>
        </row>
        <row r="346">
          <cell r="B346" t="str">
            <v>Bun Ùm</v>
          </cell>
          <cell r="C346" t="str">
            <v>03395</v>
          </cell>
        </row>
        <row r="347">
          <cell r="B347" t="str">
            <v>Bun Ma (5)</v>
          </cell>
          <cell r="C347" t="str">
            <v>03396</v>
          </cell>
        </row>
        <row r="348">
          <cell r="B348" t="str">
            <v>Keo (5)</v>
          </cell>
          <cell r="C348" t="str">
            <v>02593</v>
          </cell>
        </row>
        <row r="349">
          <cell r="B349" t="str">
            <v>Khám Tan</v>
          </cell>
          <cell r="C349" t="str">
            <v>02696</v>
          </cell>
        </row>
        <row r="350">
          <cell r="B350" t="str">
            <v>Nàng Súc</v>
          </cell>
          <cell r="C350" t="str">
            <v>03397</v>
          </cell>
        </row>
        <row r="351">
          <cell r="B351" t="str">
            <v>Khắn Thong</v>
          </cell>
          <cell r="C351" t="str">
            <v>03398</v>
          </cell>
        </row>
        <row r="352">
          <cell r="B352" t="str">
            <v>Keo Đăm</v>
          </cell>
          <cell r="C352" t="str">
            <v>02592</v>
          </cell>
        </row>
        <row r="353">
          <cell r="B353" t="str">
            <v>Ka Luân</v>
          </cell>
          <cell r="C353" t="str">
            <v>02598</v>
          </cell>
        </row>
        <row r="354">
          <cell r="B354" t="str">
            <v>Mừn</v>
          </cell>
          <cell r="C354" t="str">
            <v>02575</v>
          </cell>
        </row>
        <row r="355">
          <cell r="B355" t="str">
            <v>N. Lâm</v>
          </cell>
          <cell r="C355" t="str">
            <v>02606</v>
          </cell>
        </row>
        <row r="356">
          <cell r="B356" t="str">
            <v>T. Kợt</v>
          </cell>
          <cell r="C356" t="str">
            <v>02607</v>
          </cell>
        </row>
        <row r="357">
          <cell r="B357" t="str">
            <v>Sôm Sa Núc</v>
          </cell>
          <cell r="C357" t="str">
            <v>02612</v>
          </cell>
        </row>
        <row r="358">
          <cell r="B358" t="str">
            <v>Kay Thong</v>
          </cell>
          <cell r="C358" t="str">
            <v>02574</v>
          </cell>
        </row>
        <row r="359">
          <cell r="B359" t="str">
            <v>T. Son</v>
          </cell>
          <cell r="C359" t="str">
            <v>02605</v>
          </cell>
        </row>
        <row r="360">
          <cell r="B360" t="str">
            <v>Sắc</v>
          </cell>
          <cell r="C360" t="str">
            <v>02588</v>
          </cell>
        </row>
        <row r="361">
          <cell r="B361" t="str">
            <v>A Vun</v>
          </cell>
          <cell r="C361" t="str">
            <v>02577</v>
          </cell>
        </row>
        <row r="362">
          <cell r="B362" t="str">
            <v>Thảo Bơt</v>
          </cell>
          <cell r="C362" t="str">
            <v>03857</v>
          </cell>
        </row>
        <row r="363">
          <cell r="B363" t="str">
            <v>Say (5)</v>
          </cell>
          <cell r="C363" t="str">
            <v>02597</v>
          </cell>
        </row>
        <row r="364">
          <cell r="B364" t="str">
            <v>Đăm (5)</v>
          </cell>
          <cell r="C364" t="str">
            <v>02590</v>
          </cell>
        </row>
        <row r="365">
          <cell r="B365" t="str">
            <v>Viêng</v>
          </cell>
          <cell r="C365" t="str">
            <v>02585</v>
          </cell>
        </row>
        <row r="366">
          <cell r="B366" t="str">
            <v>Săn</v>
          </cell>
          <cell r="C366" t="str">
            <v>03399</v>
          </cell>
        </row>
        <row r="367">
          <cell r="B367" t="str">
            <v>Nàng Loi</v>
          </cell>
          <cell r="C367" t="str">
            <v>02584</v>
          </cell>
        </row>
        <row r="368">
          <cell r="B368" t="str">
            <v>A Săn</v>
          </cell>
          <cell r="C368" t="str">
            <v>02698</v>
          </cell>
        </row>
        <row r="369">
          <cell r="B369" t="str">
            <v>Sa Máy</v>
          </cell>
          <cell r="C369" t="str">
            <v>03858</v>
          </cell>
        </row>
        <row r="370">
          <cell r="B370" t="str">
            <v>Khăm Bay (5)</v>
          </cell>
          <cell r="C370" t="str">
            <v>02591</v>
          </cell>
        </row>
        <row r="371">
          <cell r="B371" t="str">
            <v>Chôn</v>
          </cell>
          <cell r="C371" t="str">
            <v>02595</v>
          </cell>
        </row>
        <row r="372">
          <cell r="B372" t="str">
            <v>Lâm Ngân</v>
          </cell>
          <cell r="C372" t="str">
            <v>02582</v>
          </cell>
        </row>
        <row r="373">
          <cell r="B373" t="str">
            <v>A Nha</v>
          </cell>
          <cell r="C373" t="str">
            <v>02572</v>
          </cell>
        </row>
        <row r="374">
          <cell r="B374" t="str">
            <v>Tảo Pheo</v>
          </cell>
          <cell r="C374" t="str">
            <v>02694</v>
          </cell>
        </row>
        <row r="375">
          <cell r="B375" t="str">
            <v>P. Mong</v>
          </cell>
          <cell r="C375" t="str">
            <v>02699</v>
          </cell>
        </row>
        <row r="376">
          <cell r="B376" t="str">
            <v>A Chon</v>
          </cell>
          <cell r="C376" t="str">
            <v>03400</v>
          </cell>
        </row>
        <row r="378">
          <cell r="B378" t="str">
            <v>Tà Lòi</v>
          </cell>
          <cell r="C378" t="str">
            <v>02658</v>
          </cell>
        </row>
        <row r="379">
          <cell r="B379" t="str">
            <v>Bay</v>
          </cell>
          <cell r="C379" t="str">
            <v>02660</v>
          </cell>
        </row>
        <row r="380">
          <cell r="B380" t="str">
            <v>LạC Khon</v>
          </cell>
          <cell r="C380" t="str">
            <v>02657</v>
          </cell>
        </row>
        <row r="381">
          <cell r="B381" t="str">
            <v>Tà (5)</v>
          </cell>
          <cell r="C381" t="str">
            <v>02659</v>
          </cell>
        </row>
        <row r="382">
          <cell r="B382" t="str">
            <v>Xay (5)</v>
          </cell>
          <cell r="C382" t="str">
            <v>02662</v>
          </cell>
        </row>
        <row r="383">
          <cell r="B383" t="str">
            <v>Ka Tun</v>
          </cell>
          <cell r="C383" t="str">
            <v>02661</v>
          </cell>
        </row>
        <row r="384">
          <cell r="B384" t="str">
            <v>Lây</v>
          </cell>
          <cell r="C384" t="str">
            <v>02705</v>
          </cell>
        </row>
        <row r="386">
          <cell r="B386" t="str">
            <v>A Lem</v>
          </cell>
          <cell r="C386" t="str">
            <v>02616</v>
          </cell>
        </row>
        <row r="387">
          <cell r="B387" t="str">
            <v>Bun Nhèng</v>
          </cell>
          <cell r="C387" t="str">
            <v>02617</v>
          </cell>
        </row>
        <row r="388">
          <cell r="B388" t="str">
            <v>Tan</v>
          </cell>
          <cell r="C388" t="str">
            <v>02618</v>
          </cell>
        </row>
        <row r="389">
          <cell r="B389" t="str">
            <v>Phò Keo</v>
          </cell>
          <cell r="C389" t="str">
            <v>03401</v>
          </cell>
        </row>
        <row r="390">
          <cell r="B390" t="str">
            <v>Văn</v>
          </cell>
          <cell r="C390" t="str">
            <v>03402</v>
          </cell>
        </row>
        <row r="391">
          <cell r="B391" t="str">
            <v>A Son</v>
          </cell>
          <cell r="C391" t="str">
            <v>02621</v>
          </cell>
        </row>
        <row r="392">
          <cell r="B392" t="str">
            <v>Thôn</v>
          </cell>
          <cell r="C392" t="str">
            <v>02622</v>
          </cell>
        </row>
        <row r="393">
          <cell r="B393" t="str">
            <v>Mun</v>
          </cell>
          <cell r="C393" t="str">
            <v>03403</v>
          </cell>
        </row>
        <row r="394">
          <cell r="B394" t="str">
            <v>Kông Khăm</v>
          </cell>
          <cell r="C394" t="str">
            <v>02623</v>
          </cell>
        </row>
        <row r="395">
          <cell r="B395" t="str">
            <v>A Chít</v>
          </cell>
          <cell r="C395" t="str">
            <v>02624</v>
          </cell>
        </row>
        <row r="396">
          <cell r="B396" t="str">
            <v>Tím</v>
          </cell>
          <cell r="C396" t="str">
            <v>03404</v>
          </cell>
        </row>
        <row r="397">
          <cell r="B397" t="str">
            <v>A Nhim</v>
          </cell>
          <cell r="C397" t="str">
            <v>02626</v>
          </cell>
        </row>
        <row r="398">
          <cell r="B398" t="str">
            <v>Tơ</v>
          </cell>
          <cell r="C398" t="str">
            <v>02627</v>
          </cell>
        </row>
        <row r="399">
          <cell r="B399" t="str">
            <v>Nàng Cum</v>
          </cell>
          <cell r="C399" t="str">
            <v>02628</v>
          </cell>
        </row>
        <row r="400">
          <cell r="B400" t="str">
            <v>Chăn Tha La</v>
          </cell>
          <cell r="C400" t="str">
            <v>03405</v>
          </cell>
        </row>
        <row r="401">
          <cell r="B401" t="str">
            <v>Bi</v>
          </cell>
          <cell r="C401" t="str">
            <v>02629</v>
          </cell>
        </row>
        <row r="402">
          <cell r="B402" t="str">
            <v>Bun Na</v>
          </cell>
          <cell r="C402" t="str">
            <v>02630</v>
          </cell>
        </row>
        <row r="403">
          <cell r="B403" t="str">
            <v>Ka Lít</v>
          </cell>
          <cell r="C403" t="str">
            <v>02631</v>
          </cell>
        </row>
        <row r="404">
          <cell r="B404" t="str">
            <v>E (6)</v>
          </cell>
          <cell r="C404" t="str">
            <v>02632</v>
          </cell>
        </row>
        <row r="405">
          <cell r="B405" t="str">
            <v>Năt</v>
          </cell>
          <cell r="C405" t="str">
            <v>02633</v>
          </cell>
        </row>
        <row r="406">
          <cell r="B406" t="str">
            <v>Ly Ta</v>
          </cell>
          <cell r="C406">
            <v>3863</v>
          </cell>
        </row>
        <row r="407">
          <cell r="B407" t="str">
            <v>Khăm Bay (6)</v>
          </cell>
          <cell r="C407" t="str">
            <v>02635</v>
          </cell>
        </row>
        <row r="408">
          <cell r="B408" t="str">
            <v>Pua Say</v>
          </cell>
          <cell r="C408" t="str">
            <v>02655</v>
          </cell>
        </row>
        <row r="409">
          <cell r="B409" t="str">
            <v>Phu Ngân</v>
          </cell>
          <cell r="C409" t="str">
            <v>02637</v>
          </cell>
        </row>
        <row r="410">
          <cell r="B410" t="str">
            <v>Đăm</v>
          </cell>
          <cell r="C410" t="str">
            <v>02638</v>
          </cell>
        </row>
        <row r="411">
          <cell r="B411" t="str">
            <v>La</v>
          </cell>
          <cell r="C411" t="str">
            <v>02639</v>
          </cell>
        </row>
        <row r="412">
          <cell r="B412" t="str">
            <v>A Cum (6)</v>
          </cell>
          <cell r="C412" t="str">
            <v>02640</v>
          </cell>
        </row>
        <row r="413">
          <cell r="B413" t="str">
            <v>Múc</v>
          </cell>
          <cell r="C413" t="str">
            <v>02641</v>
          </cell>
        </row>
        <row r="414">
          <cell r="B414" t="str">
            <v>Tia (6)</v>
          </cell>
          <cell r="C414" t="str">
            <v>03406</v>
          </cell>
        </row>
        <row r="415">
          <cell r="B415" t="str">
            <v>Đa</v>
          </cell>
          <cell r="C415" t="str">
            <v>02643</v>
          </cell>
        </row>
        <row r="416">
          <cell r="B416" t="str">
            <v>Lăm Say</v>
          </cell>
          <cell r="C416" t="str">
            <v>03407</v>
          </cell>
        </row>
        <row r="417">
          <cell r="B417" t="str">
            <v>Nga</v>
          </cell>
          <cell r="C417" t="str">
            <v>03408</v>
          </cell>
        </row>
        <row r="418">
          <cell r="B418" t="str">
            <v>Pong (6)</v>
          </cell>
          <cell r="C418" t="str">
            <v>02646</v>
          </cell>
        </row>
        <row r="419">
          <cell r="B419" t="str">
            <v>Típ</v>
          </cell>
          <cell r="C419" t="str">
            <v>02647</v>
          </cell>
        </row>
        <row r="420">
          <cell r="B420" t="str">
            <v>ÔĐay</v>
          </cell>
          <cell r="C420" t="str">
            <v>02648</v>
          </cell>
        </row>
        <row r="421">
          <cell r="B421" t="str">
            <v>Nhầy</v>
          </cell>
          <cell r="C421" t="str">
            <v>02649</v>
          </cell>
        </row>
        <row r="422">
          <cell r="B422" t="str">
            <v>Phôn</v>
          </cell>
          <cell r="C422" t="str">
            <v>02650</v>
          </cell>
        </row>
        <row r="423">
          <cell r="B423" t="str">
            <v>Xi Đon</v>
          </cell>
          <cell r="C423" t="str">
            <v>02651</v>
          </cell>
        </row>
        <row r="424">
          <cell r="B424" t="str">
            <v>Lăm (6)</v>
          </cell>
          <cell r="C424" t="str">
            <v>02652</v>
          </cell>
        </row>
        <row r="425">
          <cell r="B425" t="str">
            <v>Thít</v>
          </cell>
          <cell r="C425" t="str">
            <v>02653</v>
          </cell>
        </row>
        <row r="426">
          <cell r="B426" t="str">
            <v>Oi</v>
          </cell>
          <cell r="C426" t="str">
            <v>02654</v>
          </cell>
        </row>
        <row r="427">
          <cell r="B427" t="str">
            <v>Nục</v>
          </cell>
          <cell r="C427" t="str">
            <v>03859</v>
          </cell>
        </row>
        <row r="428">
          <cell r="B428" t="str">
            <v>Khăm (6)</v>
          </cell>
          <cell r="C428" t="str">
            <v>03411</v>
          </cell>
        </row>
        <row r="429">
          <cell r="B429" t="str">
            <v>Tút</v>
          </cell>
          <cell r="C429" t="str">
            <v>03860</v>
          </cell>
        </row>
        <row r="430">
          <cell r="B430" t="str">
            <v>Khương (6)</v>
          </cell>
          <cell r="C430" t="str">
            <v>02625</v>
          </cell>
        </row>
        <row r="431">
          <cell r="B431" t="str">
            <v>Phò Dông</v>
          </cell>
          <cell r="C431" t="str">
            <v>03861</v>
          </cell>
        </row>
        <row r="432">
          <cell r="B432" t="str">
            <v>A Buôn</v>
          </cell>
          <cell r="C432" t="str">
            <v>03862</v>
          </cell>
        </row>
        <row r="433">
          <cell r="B433" t="str">
            <v>Nay (6)</v>
          </cell>
          <cell r="C433" t="str">
            <v>03413</v>
          </cell>
        </row>
        <row r="434">
          <cell r="B434" t="str">
            <v>Mách</v>
          </cell>
          <cell r="C434" t="str">
            <v>03414</v>
          </cell>
        </row>
        <row r="435">
          <cell r="B435" t="str">
            <v>Sưa</v>
          </cell>
          <cell r="C435" t="str">
            <v>03415</v>
          </cell>
        </row>
        <row r="436">
          <cell r="B436" t="str">
            <v>A Von</v>
          </cell>
          <cell r="C436" t="str">
            <v>03416</v>
          </cell>
        </row>
        <row r="437">
          <cell r="B437" t="str">
            <v>Bộ</v>
          </cell>
          <cell r="C437" t="str">
            <v>03417</v>
          </cell>
        </row>
        <row r="438">
          <cell r="B438" t="str">
            <v>Beng</v>
          </cell>
          <cell r="C438" t="str">
            <v>03418</v>
          </cell>
        </row>
        <row r="439">
          <cell r="B439" t="str">
            <v>A Xiên</v>
          </cell>
          <cell r="C439" t="str">
            <v>03419</v>
          </cell>
        </row>
        <row r="440">
          <cell r="B440" t="str">
            <v>Phò E</v>
          </cell>
          <cell r="C440" t="str">
            <v>03420</v>
          </cell>
        </row>
        <row r="441">
          <cell r="B441" t="str">
            <v>Xai (6)</v>
          </cell>
          <cell r="C441" t="str">
            <v>03385</v>
          </cell>
        </row>
        <row r="442">
          <cell r="B442" t="str">
            <v>Si Le (6)</v>
          </cell>
          <cell r="C442" t="str">
            <v>03422</v>
          </cell>
        </row>
        <row r="448">
          <cell r="B448" t="str">
            <v>BẢO VỆ</v>
          </cell>
        </row>
        <row r="449">
          <cell r="B449" t="str">
            <v>Phò Khăm</v>
          </cell>
          <cell r="C449" t="str">
            <v>08001</v>
          </cell>
        </row>
        <row r="450">
          <cell r="B450" t="str">
            <v>Phò Ải</v>
          </cell>
          <cell r="C450" t="str">
            <v>08002</v>
          </cell>
        </row>
        <row r="451">
          <cell r="B451" t="str">
            <v>Thảo Thoang</v>
          </cell>
          <cell r="C451" t="str">
            <v>08003</v>
          </cell>
        </row>
        <row r="452">
          <cell r="B452" t="str">
            <v>Thảo Nọi</v>
          </cell>
          <cell r="C452" t="str">
            <v>08004</v>
          </cell>
        </row>
        <row r="453">
          <cell r="B453" t="str">
            <v>Khôn</v>
          </cell>
          <cell r="C453" t="str">
            <v>08005</v>
          </cell>
        </row>
        <row r="454">
          <cell r="B454" t="str">
            <v>Thảo Đan</v>
          </cell>
          <cell r="C454" t="str">
            <v>08006</v>
          </cell>
        </row>
        <row r="455">
          <cell r="B455" t="str">
            <v>Sín Thong</v>
          </cell>
          <cell r="C455" t="str">
            <v>08007</v>
          </cell>
        </row>
        <row r="456">
          <cell r="B456" t="str">
            <v>Chăm Pi</v>
          </cell>
          <cell r="C456" t="str">
            <v>08008</v>
          </cell>
        </row>
        <row r="457">
          <cell r="B457" t="str">
            <v>Phon</v>
          </cell>
          <cell r="C457" t="str">
            <v>08009</v>
          </cell>
        </row>
        <row r="458">
          <cell r="B458" t="str">
            <v>Thảo Ký</v>
          </cell>
          <cell r="C458" t="str">
            <v>08010</v>
          </cell>
        </row>
        <row r="459">
          <cell r="B459" t="str">
            <v>Hăm Noi</v>
          </cell>
          <cell r="C459" t="str">
            <v>08011</v>
          </cell>
        </row>
        <row r="460">
          <cell r="B460" t="str">
            <v>A Von</v>
          </cell>
          <cell r="C460" t="str">
            <v>08012</v>
          </cell>
        </row>
        <row r="461">
          <cell r="B461" t="str">
            <v>Keo</v>
          </cell>
          <cell r="C461" t="str">
            <v>08013</v>
          </cell>
        </row>
        <row r="463">
          <cell r="B463" t="str">
            <v>ĐỘI PHÓ NGƯỜI LÀO</v>
          </cell>
        </row>
        <row r="464">
          <cell r="B464" t="str">
            <v>Phakeo Phothisan</v>
          </cell>
          <cell r="C464" t="str">
            <v>09001</v>
          </cell>
        </row>
        <row r="465">
          <cell r="B465" t="str">
            <v>Thảo Văn ViSa</v>
          </cell>
          <cell r="C465" t="str">
            <v>09002</v>
          </cell>
        </row>
        <row r="466">
          <cell r="B466" t="str">
            <v>Thảo Chăn Tho</v>
          </cell>
          <cell r="C466" t="str">
            <v>09003</v>
          </cell>
        </row>
        <row r="467">
          <cell r="B467" t="str">
            <v>Thảo Thoong</v>
          </cell>
          <cell r="C467" t="str">
            <v>09004</v>
          </cell>
        </row>
        <row r="468">
          <cell r="B468" t="str">
            <v>Bunma</v>
          </cell>
          <cell r="C468" t="str">
            <v>09005</v>
          </cell>
        </row>
        <row r="469">
          <cell r="B469" t="str">
            <v>Xay Thong</v>
          </cell>
          <cell r="C469" t="str">
            <v>09006</v>
          </cell>
        </row>
        <row r="470">
          <cell r="B470" t="str">
            <v>Sun Thong</v>
          </cell>
          <cell r="C470" t="str">
            <v>09007</v>
          </cell>
        </row>
        <row r="471">
          <cell r="B471" t="str">
            <v>CÔNG NHÂN TRẠM CÁN</v>
          </cell>
        </row>
        <row r="472">
          <cell r="B472" t="str">
            <v>Ting</v>
          </cell>
          <cell r="C472" t="str">
            <v>07001</v>
          </cell>
        </row>
        <row r="473">
          <cell r="B473" t="str">
            <v>Tụi</v>
          </cell>
          <cell r="C473" t="str">
            <v>07002</v>
          </cell>
        </row>
        <row r="474">
          <cell r="B474" t="str">
            <v>Pô</v>
          </cell>
          <cell r="C474" t="str">
            <v>07003</v>
          </cell>
        </row>
        <row r="475">
          <cell r="B475" t="str">
            <v>Mót</v>
          </cell>
          <cell r="C475" t="str">
            <v>07004</v>
          </cell>
        </row>
        <row r="476">
          <cell r="B476" t="str">
            <v>Fon</v>
          </cell>
          <cell r="C476" t="str">
            <v>07005</v>
          </cell>
        </row>
        <row r="477">
          <cell r="B477" t="str">
            <v>Nich</v>
          </cell>
          <cell r="C477" t="str">
            <v>07006</v>
          </cell>
        </row>
        <row r="478">
          <cell r="B478" t="str">
            <v>Xớt</v>
          </cell>
          <cell r="C478" t="str">
            <v>07007</v>
          </cell>
        </row>
        <row r="479">
          <cell r="B479" t="str">
            <v>Tok</v>
          </cell>
          <cell r="C479" t="str">
            <v>07008</v>
          </cell>
        </row>
        <row r="480">
          <cell r="B480" t="str">
            <v>Ại(khăm lã)</v>
          </cell>
          <cell r="C480" t="str">
            <v>07009</v>
          </cell>
        </row>
        <row r="481">
          <cell r="B481" t="str">
            <v>Son</v>
          </cell>
          <cell r="C481" t="str">
            <v>07010</v>
          </cell>
        </row>
        <row r="482">
          <cell r="B482" t="str">
            <v>Nhắt</v>
          </cell>
          <cell r="C482" t="str">
            <v>07011</v>
          </cell>
        </row>
        <row r="483">
          <cell r="B483" t="str">
            <v>On</v>
          </cell>
          <cell r="C483" t="str">
            <v>07012</v>
          </cell>
        </row>
        <row r="484">
          <cell r="B484" t="str">
            <v>Tiên</v>
          </cell>
          <cell r="C484" t="str">
            <v>07013</v>
          </cell>
        </row>
        <row r="485">
          <cell r="B485" t="str">
            <v>Núc</v>
          </cell>
          <cell r="C485" t="str">
            <v>07014</v>
          </cell>
        </row>
        <row r="486">
          <cell r="B486" t="str">
            <v>Tin</v>
          </cell>
          <cell r="C486" t="str">
            <v>07015</v>
          </cell>
        </row>
        <row r="487">
          <cell r="B487" t="str">
            <v>May</v>
          </cell>
          <cell r="C487" t="str">
            <v>07016</v>
          </cell>
        </row>
        <row r="488">
          <cell r="B488" t="str">
            <v>Khăm</v>
          </cell>
          <cell r="C488" t="str">
            <v>07017</v>
          </cell>
        </row>
        <row r="489">
          <cell r="B489" t="str">
            <v>Somvang21</v>
          </cell>
          <cell r="C489" t="str">
            <v>07018</v>
          </cell>
        </row>
      </sheetData>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hấm công KT"/>
      <sheetName val="BTH mủ tạp"/>
      <sheetName val="BTH mủ Sỉum"/>
      <sheetName val="TONGHOPCONGDOI"/>
      <sheetName val="CNKT Đ1"/>
      <sheetName val="CNKT Đ2"/>
      <sheetName val="CNKT Đ3"/>
      <sheetName val="CNKTĐ4 "/>
      <sheetName val="CNKT "/>
      <sheetName val="Lương bảo vệ "/>
      <sheetName val="Trạm cán "/>
      <sheetName val="lương gián tiếp"/>
      <sheetName val="LƯƠNG CN TRỰC TIẾP "/>
      <sheetName val="Tỉ lệ hoàn thành "/>
      <sheetName val="Phân toán  "/>
      <sheetName val="BTH CVK"/>
      <sheetName val="TT CVK"/>
      <sheetName val="PLcon (2)"/>
      <sheetName val="DSN Thuê"/>
      <sheetName val="tiền TB "/>
      <sheetName val="Hổ trợ vi gô "/>
      <sheetName val="Thanh toán XX"/>
      <sheetName val="PC xăng xe T4"/>
      <sheetName val="Thanh toán BVTV"/>
      <sheetName val="Bảng CCBV thời vụ "/>
      <sheetName val="Phụ người việt nam"/>
      <sheetName val="BL Bảo vệ,tạp vụ"/>
      <sheetName val="PLcon NT"/>
      <sheetName val="Phân Toán CVK"/>
      <sheetName val="CC PCC"/>
      <sheetName val="Khối lượng TC"/>
      <sheetName val="Bảng CC TX, BV  "/>
      <sheetName val="Bảng ĐP - BV  "/>
      <sheetName val="Bảng CC vn "/>
      <sheetName val="Sheet2"/>
      <sheetName val="Sheet3"/>
      <sheetName val="Sheet4"/>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ow r="15">
          <cell r="G15">
            <v>54653781</v>
          </cell>
        </row>
        <row r="21">
          <cell r="G21">
            <v>250347979</v>
          </cell>
        </row>
        <row r="30">
          <cell r="G30">
            <v>324185750</v>
          </cell>
        </row>
        <row r="31">
          <cell r="G31">
            <v>7800000</v>
          </cell>
        </row>
        <row r="32">
          <cell r="G32">
            <v>61706667</v>
          </cell>
        </row>
        <row r="37">
          <cell r="G37">
            <v>24745175</v>
          </cell>
        </row>
        <row r="39">
          <cell r="G39">
            <v>14512137</v>
          </cell>
        </row>
        <row r="43">
          <cell r="G43">
            <v>737951489</v>
          </cell>
        </row>
      </sheetData>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huyển đổi công t8"/>
      <sheetName val="Mủ CN (TT)"/>
      <sheetName val="Serum"/>
      <sheetName val="Mủ dây"/>
      <sheetName val="Chấm công CN"/>
      <sheetName val="Phụ cấp cây non"/>
      <sheetName val="Thanh toán bốc mủ"/>
      <sheetName val="Chấm công đi làm thưởng"/>
      <sheetName val="Đội 1"/>
      <sheetName val="Đội 2"/>
      <sheetName val="Đội 3"/>
      <sheetName val="VCKD"/>
      <sheetName val="Tong luong NT"/>
      <sheetName val="Hổ trợ xăng CN"/>
      <sheetName val="BVNT"/>
      <sheetName val="Trạm cán"/>
      <sheetName val="Lương đội phó người Lào"/>
      <sheetName val="HTSL"/>
      <sheetName val="Thưởng SL"/>
      <sheetName val="Chấm công"/>
      <sheetName val="Báo cáoKL (2)"/>
      <sheetName val="LƯƠNG USD NGƯỜI VIỆT"/>
      <sheetName val="BẢNG KÊ LƯƠNG"/>
      <sheetName val="thu tiền bhxh Quyên"/>
      <sheetName val="PHAN TOAN"/>
      <sheetName val="KTCB"/>
      <sheetName val="PHAN TOAN (2)"/>
      <sheetName val="CVK"/>
      <sheetName val="Lương Đội 1"/>
      <sheetName val="Tong luong NT (2)"/>
      <sheetName val="Lương Đội"/>
      <sheetName val="BCKL"/>
      <sheetName val="Phu cấp người Việt "/>
      <sheetName val="Đội 1 (Truy lãnh)"/>
      <sheetName val="Đôi 1 tạm ứng"/>
      <sheetName val="Đội 2 (truy lãnh)"/>
      <sheetName val="Đội 2 tu"/>
      <sheetName val="Đội 3 truy lãnh"/>
      <sheetName val="Đội 3 tư"/>
      <sheetName val="DOI 3"/>
      <sheetName val="DOI 1"/>
      <sheetName val="DOI 2"/>
      <sheetName val="Vuon uom"/>
      <sheetName val="VCKD (2)"/>
      <sheetName val="lương con lào "/>
      <sheetName val="CC NT"/>
      <sheetName val="trồng mới"/>
      <sheetName val="NĐT"/>
      <sheetName val="PC xang xe"/>
      <sheetName val="chăm sóc TT"/>
      <sheetName val="Phụ cấp 300K"/>
      <sheetName val="học cạo"/>
      <sheetName val="KTCC"/>
      <sheetName val="PCTB"/>
      <sheetName val="lương con cb"/>
      <sheetName val="HẠNG KT"/>
      <sheetName val="Thuong 3 T "/>
      <sheetName val="Thuong 1T  "/>
      <sheetName val="Ung luong"/>
      <sheetName val="Tiền thưởng tết dương lịch"/>
      <sheetName val="TTTX"/>
      <sheetName val="Châm công tiền xăng"/>
      <sheetName val="HS bảo hiểm"/>
      <sheetName val="Sheet4"/>
      <sheetName val="Sheet3"/>
      <sheetName val="Truy lãnh"/>
      <sheetName val="Mủ CN (tam ung)"/>
      <sheetName val="Danh sách TNCN"/>
      <sheetName val="chấm công người việt"/>
      <sheetName val="Hỗ trợ xư qly"/>
      <sheetName val="Chấm Công Tái xế"/>
      <sheetName val="Mủ CN"/>
      <sheetName val="Mủ CN (TH)"/>
      <sheetName val="Đội 1 (2)"/>
      <sheetName val="PLcon"/>
      <sheetName val="Sheet1"/>
      <sheetName val="Sheet1 (2)"/>
      <sheetName val="Sheet6"/>
      <sheetName val="Sheet2"/>
      <sheetName val="Sheet7"/>
      <sheetName val="Sheet8"/>
      <sheetName val="Sheet5"/>
      <sheetName val="Sheet9"/>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ow r="16">
          <cell r="G16">
            <v>40288061</v>
          </cell>
        </row>
        <row r="24">
          <cell r="G24">
            <v>241631446.75999999</v>
          </cell>
        </row>
        <row r="30">
          <cell r="G30">
            <v>369368000</v>
          </cell>
        </row>
        <row r="31">
          <cell r="G31">
            <v>85800000</v>
          </cell>
        </row>
        <row r="35">
          <cell r="G35">
            <v>20490900</v>
          </cell>
        </row>
        <row r="38">
          <cell r="G38">
            <v>10087329.835245</v>
          </cell>
        </row>
        <row r="41">
          <cell r="G41">
            <v>767665737.595245</v>
          </cell>
        </row>
      </sheetData>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ẢNG PHÂN TOÁN"/>
      <sheetName val="Tính lương tổ"/>
      <sheetName val="Mủ"/>
      <sheetName val="Chấm công công nhân"/>
      <sheetName val="LƯƠNG TT"/>
      <sheetName val="BẢNG LƯƠNG KT"/>
      <sheetName val="1"/>
      <sheetName val="2"/>
      <sheetName val="3"/>
      <sheetName val="BV"/>
      <sheetName val="CHẤM CÔNG BV"/>
      <sheetName val="Vươn KTCB"/>
      <sheetName val="Tạp vụ"/>
      <sheetName val="Phụ cấp người Việt"/>
      <sheetName val="BẢNG PHÂN TOÁN ĐÚNG"/>
      <sheetName val="Mủ BN D40"/>
      <sheetName val="THƯỞNG SL"/>
      <sheetName val="QL LƯƠNG"/>
      <sheetName val="Tổ 1"/>
      <sheetName val="Tổ 2"/>
      <sheetName val="Tổ 3"/>
      <sheetName val="BN DRC CHUẨN"/>
      <sheetName val="DANH SÁCH THUẾ"/>
      <sheetName val="Tong hop cong"/>
      <sheetName val="BCSX T4"/>
      <sheetName val="KHSX T5"/>
      <sheetName val="Tạm tính BN"/>
      <sheetName val="Lương gia thuộc"/>
      <sheetName val="Phụ cấp"/>
      <sheetName val="KTCB"/>
      <sheetName val="Lương USD"/>
      <sheetName val="Bảng kê lương"/>
      <sheetName val="PC trực đêm"/>
      <sheetName val="PL con"/>
      <sheetName val="pl CBCNV"/>
      <sheetName val="Công CBNV"/>
      <sheetName val="CHẤM CÔNG XĂNG XE"/>
      <sheetName val="XĂNG XE T3"/>
      <sheetName val="PC XĂNG XE"/>
      <sheetName val="Chấm công xăng)"/>
      <sheetName val="tt xăng"/>
      <sheetName val="Lương Tổ"/>
      <sheetName val="TH MỦ"/>
      <sheetName val="TH CÔNG"/>
      <sheetName val="Kỷ thuật"/>
      <sheetName val="C.B NV"/>
      <sheetName val="VC KTCB"/>
      <sheetName val="VC TAI CANH"/>
      <sheetName val="BẢO VỆ"/>
      <sheetName val="VƯƠN ƯƠM"/>
      <sheetName val="Biểu t.h"/>
      <sheetName val="Mã số NV"/>
      <sheetName val="Công việc khác"/>
      <sheetName val="TRƯỞN BẢN"/>
      <sheetName val="ky thuật"/>
      <sheetName val="BC"/>
      <sheetName val="Lương Tổng NT"/>
      <sheetName val="CV KHAC"/>
      <sheetName val="BHXH"/>
      <sheetName val="NTNB"/>
      <sheetName val=" Công"/>
      <sheetName val="mẩu"/>
      <sheetName val="TRƯỞNG BẢN"/>
      <sheetName val="Sheet3"/>
      <sheetName val="TỔNG HỢP CHI PHÍ KHÁC"/>
      <sheetName val="KHSX T8"/>
      <sheetName val="BCSXT7"/>
      <sheetName val="BCSX T8"/>
      <sheetName val="KHSX T9"/>
      <sheetName val="bcsx t9"/>
      <sheetName val="khsx t10"/>
      <sheetName val="Hổ trợ 2421"/>
      <sheetName val="Thiết kế t1"/>
      <sheetName val="xã miệng cạo cũ t1"/>
      <sheetName val="xã miệng cạo mới t1"/>
      <sheetName val="Trang bị t1"/>
      <sheetName val="Trang bị t2"/>
      <sheetName val="Thiết kế t2"/>
      <sheetName val="Xã cạo t2"/>
      <sheetName val="Trang bị t3"/>
      <sheetName val="xã cạo t3"/>
      <sheetName val="mcm t1"/>
      <sheetName val="mcm t2"/>
      <sheetName val="mcm t3"/>
      <sheetName val="mpc t1"/>
      <sheetName val="mpc t2"/>
      <sheetName val="mpc t3"/>
      <sheetName val="gia cố mcm t1"/>
      <sheetName val="kt1"/>
      <sheetName val="kt2"/>
      <sheetName val="kt3"/>
      <sheetName val="Kỹ thuật 1 (ngữa)"/>
      <sheetName val="Sheet2"/>
      <sheetName val="Kỹ thuật 1 (úp)"/>
      <sheetName val="kỹ thuật 2"/>
      <sheetName val="kỹ thuật 3"/>
      <sheetName val="MSNV"/>
      <sheetName val="TIỀN ĂN"/>
      <sheetName val="Thưởng tết dương lich"/>
      <sheetName val="Sheet1"/>
    </sheetNames>
    <sheetDataSet>
      <sheetData sheetId="0">
        <row r="14">
          <cell r="G14">
            <v>21440661</v>
          </cell>
        </row>
        <row r="23">
          <cell r="G23">
            <v>107663001</v>
          </cell>
        </row>
        <row r="31">
          <cell r="G31">
            <v>88300000</v>
          </cell>
        </row>
        <row r="32">
          <cell r="G32">
            <v>36400000</v>
          </cell>
        </row>
        <row r="35">
          <cell r="G35">
            <v>1700000</v>
          </cell>
        </row>
        <row r="36">
          <cell r="G36">
            <v>255503662</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hưởng 300"/>
      <sheetName val="PLC   (2)"/>
      <sheetName val="PCNC BUN "/>
      <sheetName val="LƯƠNG GIA THUỘC THÁNG 11"/>
      <sheetName val="CHẤM CÔNG Axit"/>
      <sheetName val="MỦ XIRUM"/>
      <sheetName val="MỦ DÂY"/>
      <sheetName val="CHẤM CÔNG "/>
      <sheetName val="Công cây non"/>
      <sheetName val="MỦ TẠP"/>
      <sheetName val="THCKT"/>
      <sheetName val="PLC  "/>
      <sheetName val="bảng kê công"/>
      <sheetName val="Đội 1"/>
      <sheetName val="Đội 2"/>
      <sheetName val="Đội 3"/>
      <sheetName val="Đ3 - TC"/>
      <sheetName val="Đ3 - XC"/>
      <sheetName val="Đội 4"/>
      <sheetName val="Đội 5"/>
      <sheetName val="Đội 5 - KV71ha"/>
      <sheetName val="LƯƠNG KT"/>
      <sheetName val="Đội 6"/>
      <sheetName val="TRẠM CÁN"/>
      <sheetName val="BV9THUC"/>
      <sheetName val="LƯƠNG CNTT"/>
      <sheetName val="THPT"/>
      <sheetName val="BẢNG PHÂN TOÁN"/>
      <sheetName val="T BẢN"/>
      <sheetName val="CV KHÁC"/>
      <sheetName val="THMSC"/>
      <sheetName val="CCCNSCM"/>
      <sheetName val="TH LƯƠNG NT1"/>
      <sheetName val="Vigo"/>
      <sheetName val="DS NỘP THUẾ"/>
      <sheetName val="CÁCH TÍNH LƯƠNG"/>
      <sheetName val="LƯƠNG ĐỘI"/>
      <sheetName val="BẢNG PHÂN TOÁN (2)"/>
      <sheetName val="PC XĂNG XE"/>
      <sheetName val="Chấm công CB"/>
      <sheetName val="Chấm công kíp"/>
      <sheetName val="Chấm công XĂNG XE"/>
      <sheetName val="KTCB"/>
      <sheetName val="VC KTLH"/>
      <sheetName val="DS CN MOI UP"/>
      <sheetName val="PC TC"/>
      <sheetName val="Chấm công BV"/>
      <sheetName val="CHẤM CÔNG TC"/>
      <sheetName val="KHỐI LƯỢNG CÁN"/>
      <sheetName val="chấm công làm ca đêm"/>
      <sheetName val="CCBV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ow r="60">
          <cell r="G60">
            <v>1021948257.99535</v>
          </cell>
        </row>
      </sheetData>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LC   (2)"/>
      <sheetName val="PCNC BUN "/>
      <sheetName val="LƯƠNG GIA THUỘC THÁNG 11"/>
      <sheetName val="CHẤM CÔNG Axit"/>
      <sheetName val="MỦ XIRUM"/>
      <sheetName val="MỦ DÂY"/>
      <sheetName val="Công cây non"/>
      <sheetName val="MỦ TẠP"/>
      <sheetName val="CHẤM CÔNG "/>
      <sheetName val="PCNC LỄ 1.1.2025"/>
      <sheetName val="Đội 1"/>
      <sheetName val="Đội 2"/>
      <sheetName val="Đội 3"/>
      <sheetName val="Đ3 - TC"/>
      <sheetName val="Đ3 - XC"/>
      <sheetName val="Đội 4"/>
      <sheetName val="Đội 5"/>
      <sheetName val="phụ cấp mùa chống cháy"/>
      <sheetName val="Đội 5 - KV71ha"/>
      <sheetName val="Đội 6"/>
      <sheetName val="TRẠM CÁN"/>
      <sheetName val="BV9THUC"/>
      <sheetName val="THCKT"/>
      <sheetName val="PLC  "/>
      <sheetName val="LƯƠNG KT"/>
      <sheetName val="LƯƠNG CNTT"/>
      <sheetName val="THPT"/>
      <sheetName val="BẢNG PHÂN TOÁN"/>
      <sheetName val="T BẢN"/>
      <sheetName val="CV KHÁC"/>
      <sheetName val="THMSC"/>
      <sheetName val="CCCNSCM"/>
      <sheetName val="TH LƯƠNG NT1"/>
      <sheetName val="Vigo"/>
      <sheetName val="DS NỘP THUẾ"/>
      <sheetName val="CÁCH TÍNH LƯƠNG"/>
      <sheetName val="LƯƠNG ĐỘI"/>
      <sheetName val="BẢNG PHÂN TOÁN (2)"/>
      <sheetName val="PC TC"/>
      <sheetName val="PC XĂNG XE"/>
      <sheetName val="Chấm công CB"/>
      <sheetName val="Chấm công kíp"/>
      <sheetName val="Chấm công XĂNG XE"/>
      <sheetName val="KTCB"/>
      <sheetName val="VC KTLH"/>
      <sheetName val="DS CN MOI UP"/>
      <sheetName val="CHẤM CÔNG TC"/>
      <sheetName val="KHỐI LƯỢNG CÁN"/>
      <sheetName val="chấm công làm ca đêm"/>
      <sheetName val="CCBV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ow r="62">
          <cell r="I62">
            <v>1972735161.9112699</v>
          </cell>
        </row>
      </sheetData>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ƯƠNG GIA THUỘC THÁNG 11"/>
      <sheetName val="LƯƠNG GIA THUỘC THÁNG 4"/>
      <sheetName val="CHẤM CÔNG Axit"/>
      <sheetName val="MỦ XIRUM"/>
      <sheetName val="CHẤM CÔNG "/>
      <sheetName val="MỦ TẠP"/>
      <sheetName val="Công cây non"/>
      <sheetName val="bảng kê công"/>
      <sheetName val="PLC  "/>
      <sheetName val="Đội 3"/>
      <sheetName val="Đội 6"/>
      <sheetName val="THCKT"/>
      <sheetName val="LƯƠNG KT"/>
      <sheetName val="BV9THUC"/>
      <sheetName val="LƯƠNG CNTT"/>
      <sheetName val="THPT"/>
      <sheetName val="T BẢN"/>
      <sheetName val="CV KHÁC"/>
      <sheetName val="THMSC"/>
      <sheetName val="CCCNSCM"/>
      <sheetName val="TH LƯƠNG NT1"/>
      <sheetName val="Vigo"/>
      <sheetName val="DS NỘP THUẾ"/>
      <sheetName val="CÁCH TÍNH LƯƠNG"/>
      <sheetName val="LƯƠNG ĐỘI"/>
      <sheetName val="BẢNG PHÂN TOÁN (2)"/>
      <sheetName val="PC XĂNG XE"/>
      <sheetName val="Chấm công CB"/>
      <sheetName val="Chấm công kíp"/>
      <sheetName val="Chấm công XĂNG XE"/>
      <sheetName val="KTCB"/>
      <sheetName val="VC KTLH"/>
      <sheetName val="DS CN MOI UP"/>
      <sheetName val="PC TC"/>
      <sheetName val="Chấm công BV"/>
      <sheetName val="CHẤM CÔNG TC"/>
      <sheetName val="KHỐI LƯỢNG CÁN"/>
      <sheetName val="chấm công làm ca đêm"/>
      <sheetName val="CCBV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10">
          <cell r="R10" t="e">
            <v>#REF!</v>
          </cell>
        </row>
      </sheetData>
      <sheetData sheetId="12">
        <row r="8">
          <cell r="E8">
            <v>646.20000000000005</v>
          </cell>
        </row>
      </sheetData>
      <sheetData sheetId="13">
        <row r="27">
          <cell r="K27">
            <v>26316129.032258052</v>
          </cell>
        </row>
      </sheetData>
      <sheetData sheetId="14">
        <row r="219">
          <cell r="H219">
            <v>231906673</v>
          </cell>
        </row>
      </sheetData>
      <sheetData sheetId="15">
        <row r="38">
          <cell r="E38">
            <v>0</v>
          </cell>
        </row>
      </sheetData>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ow r="13">
          <cell r="J13" t="e">
            <v>#REF!</v>
          </cell>
        </row>
      </sheetData>
      <sheetData sheetId="25" refreshError="1"/>
      <sheetData sheetId="26" refreshError="1"/>
      <sheetData sheetId="27" refreshError="1"/>
      <sheetData sheetId="28" refreshError="1"/>
      <sheetData sheetId="29" refreshError="1"/>
      <sheetData sheetId="30">
        <row r="13">
          <cell r="D13">
            <v>0</v>
          </cell>
        </row>
      </sheetData>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7.x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3.bin"/></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9.xml"/><Relationship Id="rId1" Type="http://schemas.openxmlformats.org/officeDocument/2006/relationships/printerSettings" Target="../printerSettings/printerSettings4.bin"/><Relationship Id="rId4" Type="http://schemas.openxmlformats.org/officeDocument/2006/relationships/comments" Target="../comments2.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5.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6.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7.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2.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3.bin"/></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35.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15.bin"/></Relationships>
</file>

<file path=xl/worksheets/_rels/sheet36.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16.bin"/></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38.xml.rels><?xml version="1.0" encoding="UTF-8" standalone="yes"?>
<Relationships xmlns="http://schemas.openxmlformats.org/package/2006/relationships"><Relationship Id="rId2" Type="http://schemas.openxmlformats.org/officeDocument/2006/relationships/drawing" Target="../drawings/drawing28.xml"/><Relationship Id="rId1" Type="http://schemas.openxmlformats.org/officeDocument/2006/relationships/printerSettings" Target="../printerSettings/printerSettings17.bin"/></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43.xml.rels><?xml version="1.0" encoding="UTF-8" standalone="yes"?>
<Relationships xmlns="http://schemas.openxmlformats.org/package/2006/relationships"><Relationship Id="rId2" Type="http://schemas.openxmlformats.org/officeDocument/2006/relationships/drawing" Target="../drawings/drawing33.xml"/><Relationship Id="rId1" Type="http://schemas.openxmlformats.org/officeDocument/2006/relationships/printerSettings" Target="../printerSettings/printerSettings18.bin"/></Relationships>
</file>

<file path=xl/worksheets/_rels/sheet44.xml.rels><?xml version="1.0" encoding="UTF-8" standalone="yes"?>
<Relationships xmlns="http://schemas.openxmlformats.org/package/2006/relationships"><Relationship Id="rId2" Type="http://schemas.openxmlformats.org/officeDocument/2006/relationships/drawing" Target="../drawings/drawing34.xml"/><Relationship Id="rId1" Type="http://schemas.openxmlformats.org/officeDocument/2006/relationships/printerSettings" Target="../printerSettings/printerSettings19.bin"/></Relationships>
</file>

<file path=xl/worksheets/_rels/sheet48.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49.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50.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51.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52.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53.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54.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55.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56.xml.rels><?xml version="1.0" encoding="UTF-8" standalone="yes"?>
<Relationships xmlns="http://schemas.openxmlformats.org/package/2006/relationships"><Relationship Id="rId1" Type="http://schemas.openxmlformats.org/officeDocument/2006/relationships/drawing" Target="../drawings/drawing4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70C0"/>
  </sheetPr>
  <dimension ref="A1:Q459"/>
  <sheetViews>
    <sheetView topLeftCell="A195" workbookViewId="0">
      <selection activeCell="E201" sqref="E201:E211"/>
    </sheetView>
  </sheetViews>
  <sheetFormatPr defaultColWidth="9.140625" defaultRowHeight="15"/>
  <cols>
    <col min="1" max="1" width="6.140625" style="1605" customWidth="1"/>
    <col min="2" max="2" width="5.5703125" style="1605" customWidth="1"/>
    <col min="3" max="4" width="9" style="1605" hidden="1" customWidth="1"/>
    <col min="5" max="5" width="21.7109375" style="1605" customWidth="1"/>
    <col min="6" max="6" width="10.5703125" style="1605" customWidth="1"/>
    <col min="7" max="7" width="19.28515625" style="1605" customWidth="1"/>
    <col min="8" max="8" width="15.85546875" style="1605" customWidth="1"/>
    <col min="9" max="9" width="18.28515625" style="1605" customWidth="1"/>
    <col min="10" max="16384" width="9.140625" style="1605"/>
  </cols>
  <sheetData>
    <row r="1" spans="1:9" ht="16.5">
      <c r="A1" s="2238" t="s">
        <v>0</v>
      </c>
      <c r="B1" s="2238"/>
      <c r="C1" s="2238"/>
      <c r="D1" s="2238"/>
      <c r="E1" s="2238"/>
      <c r="F1" s="2238"/>
      <c r="G1" s="2238"/>
      <c r="H1" s="2238"/>
      <c r="I1" s="2238"/>
    </row>
    <row r="2" spans="1:9" ht="16.5">
      <c r="A2" s="2238" t="s">
        <v>1</v>
      </c>
      <c r="B2" s="2238"/>
      <c r="C2" s="2238"/>
      <c r="D2" s="2238"/>
      <c r="E2" s="2238"/>
      <c r="F2" s="2238"/>
      <c r="G2" s="2238"/>
      <c r="H2" s="2238"/>
      <c r="I2" s="2238"/>
    </row>
    <row r="3" spans="1:9" ht="16.5">
      <c r="A3" s="2239" t="s">
        <v>2</v>
      </c>
      <c r="B3" s="2238"/>
      <c r="C3" s="2238"/>
      <c r="D3" s="2238"/>
      <c r="E3" s="2238"/>
      <c r="F3" s="2238"/>
      <c r="G3" s="2238"/>
      <c r="H3" s="2238"/>
      <c r="I3" s="2238"/>
    </row>
    <row r="4" spans="1:9" ht="10.5" customHeight="1">
      <c r="A4" s="1606"/>
      <c r="B4" s="1607"/>
      <c r="C4" s="1607"/>
      <c r="D4" s="1607"/>
      <c r="E4" s="1607"/>
      <c r="F4" s="1607"/>
      <c r="G4" s="1607"/>
      <c r="H4" s="1607"/>
      <c r="I4" s="1607"/>
    </row>
    <row r="5" spans="1:9" ht="15.75">
      <c r="A5" s="2240" t="s">
        <v>3</v>
      </c>
      <c r="B5" s="2240"/>
      <c r="C5" s="2240"/>
      <c r="D5" s="2240"/>
      <c r="E5" s="2240"/>
      <c r="F5" s="2240"/>
      <c r="G5" s="2240"/>
      <c r="H5" s="1608"/>
      <c r="I5" s="1620"/>
    </row>
    <row r="6" spans="1:9" ht="19.5" customHeight="1">
      <c r="A6" s="2241" t="s">
        <v>4</v>
      </c>
      <c r="B6" s="2241"/>
      <c r="C6" s="2241"/>
      <c r="D6" s="2241"/>
      <c r="E6" s="2241"/>
      <c r="F6" s="2241"/>
      <c r="G6" s="2241"/>
      <c r="H6" s="1610"/>
      <c r="I6" s="1620"/>
    </row>
    <row r="7" spans="1:9" ht="16.5">
      <c r="A7" s="1609"/>
      <c r="B7" s="1609"/>
      <c r="C7" s="1609"/>
      <c r="D7" s="1609"/>
      <c r="E7" s="1609"/>
      <c r="F7" s="1609"/>
      <c r="G7" s="1609"/>
      <c r="H7" s="1609"/>
      <c r="I7" s="1620"/>
    </row>
    <row r="8" spans="1:9" ht="48.75" customHeight="1">
      <c r="A8" s="2235" t="s">
        <v>5</v>
      </c>
      <c r="B8" s="2235"/>
      <c r="C8" s="2235"/>
      <c r="D8" s="2235"/>
      <c r="E8" s="2235"/>
      <c r="F8" s="2235"/>
      <c r="G8" s="2235"/>
      <c r="H8" s="2235"/>
      <c r="I8" s="2235"/>
    </row>
    <row r="9" spans="1:9" ht="19.5">
      <c r="A9" s="2236"/>
      <c r="B9" s="2236"/>
      <c r="C9" s="2236"/>
      <c r="D9" s="2236"/>
      <c r="E9" s="2236"/>
      <c r="F9" s="2236"/>
      <c r="G9" s="2236"/>
      <c r="H9" s="2236"/>
      <c r="I9" s="1621"/>
    </row>
    <row r="10" spans="1:9" ht="73.5" customHeight="1">
      <c r="A10" s="2237" t="s">
        <v>6</v>
      </c>
      <c r="B10" s="2237"/>
      <c r="C10" s="1611" t="s">
        <v>7</v>
      </c>
      <c r="D10" s="1612"/>
      <c r="E10" s="1612" t="s">
        <v>8</v>
      </c>
      <c r="F10" s="1612" t="s">
        <v>9</v>
      </c>
      <c r="G10" s="1611" t="s">
        <v>10</v>
      </c>
      <c r="H10" s="1611" t="s">
        <v>11</v>
      </c>
      <c r="I10" s="1622" t="s">
        <v>12</v>
      </c>
    </row>
    <row r="11" spans="1:9" ht="18.75" customHeight="1">
      <c r="A11" s="2228" t="s">
        <v>13</v>
      </c>
      <c r="B11" s="2229"/>
      <c r="C11" s="2229"/>
      <c r="D11" s="2229"/>
      <c r="E11" s="2229"/>
      <c r="F11" s="2230"/>
      <c r="G11" s="1613">
        <f>SUM(G12:G54)</f>
        <v>21500000</v>
      </c>
      <c r="H11" s="1613"/>
      <c r="I11" s="1613"/>
    </row>
    <row r="12" spans="1:9" ht="18.75" customHeight="1">
      <c r="A12" s="1614">
        <v>1</v>
      </c>
      <c r="B12" s="1615">
        <v>1</v>
      </c>
      <c r="C12" s="1616"/>
      <c r="D12" s="1616"/>
      <c r="E12" s="1617" t="s">
        <v>14</v>
      </c>
      <c r="F12" s="1616" t="s">
        <v>15</v>
      </c>
      <c r="G12" s="1618">
        <v>500000</v>
      </c>
      <c r="H12" s="1619"/>
      <c r="I12" s="1623" t="str">
        <f t="shared" ref="I12:I54" si="0">E12</f>
        <v>Bôn</v>
      </c>
    </row>
    <row r="13" spans="1:9" ht="18.75" customHeight="1">
      <c r="A13" s="1614">
        <v>2</v>
      </c>
      <c r="B13" s="1615">
        <v>2</v>
      </c>
      <c r="C13" s="1616"/>
      <c r="D13" s="1616"/>
      <c r="E13" s="1617" t="s">
        <v>16</v>
      </c>
      <c r="F13" s="1616" t="s">
        <v>15</v>
      </c>
      <c r="G13" s="1618">
        <v>500000</v>
      </c>
      <c r="H13" s="1619"/>
      <c r="I13" s="1623" t="str">
        <f t="shared" si="0"/>
        <v>E</v>
      </c>
    </row>
    <row r="14" spans="1:9" ht="18.75" customHeight="1">
      <c r="A14" s="1614">
        <v>3</v>
      </c>
      <c r="B14" s="1615">
        <v>3</v>
      </c>
      <c r="C14" s="1616"/>
      <c r="D14" s="1616"/>
      <c r="E14" s="1617" t="s">
        <v>17</v>
      </c>
      <c r="F14" s="1616" t="s">
        <v>15</v>
      </c>
      <c r="G14" s="1618">
        <v>500000</v>
      </c>
      <c r="H14" s="1619"/>
      <c r="I14" s="1623" t="str">
        <f t="shared" si="0"/>
        <v>Khương (3)</v>
      </c>
    </row>
    <row r="15" spans="1:9" ht="18.75" customHeight="1">
      <c r="A15" s="1614">
        <v>4</v>
      </c>
      <c r="B15" s="1615">
        <v>4</v>
      </c>
      <c r="C15" s="1616"/>
      <c r="D15" s="1616"/>
      <c r="E15" s="1617" t="s">
        <v>18</v>
      </c>
      <c r="F15" s="1616" t="s">
        <v>15</v>
      </c>
      <c r="G15" s="1618">
        <v>500000</v>
      </c>
      <c r="H15" s="1619"/>
      <c r="I15" s="1623" t="str">
        <f t="shared" si="0"/>
        <v>Nít Ni Lanh</v>
      </c>
    </row>
    <row r="16" spans="1:9" ht="18.75" customHeight="1">
      <c r="A16" s="1614">
        <v>5</v>
      </c>
      <c r="B16" s="1615">
        <v>5</v>
      </c>
      <c r="C16" s="1616"/>
      <c r="D16" s="1616"/>
      <c r="E16" s="1617" t="s">
        <v>19</v>
      </c>
      <c r="F16" s="1616" t="s">
        <v>15</v>
      </c>
      <c r="G16" s="1618">
        <v>500000</v>
      </c>
      <c r="H16" s="1619"/>
      <c r="I16" s="1623" t="str">
        <f t="shared" si="0"/>
        <v>Khăm Đeng</v>
      </c>
    </row>
    <row r="17" spans="1:9" ht="18.75" customHeight="1">
      <c r="A17" s="1614">
        <v>6</v>
      </c>
      <c r="B17" s="1615">
        <v>6</v>
      </c>
      <c r="C17" s="1616"/>
      <c r="D17" s="1616"/>
      <c r="E17" s="1617" t="s">
        <v>20</v>
      </c>
      <c r="F17" s="1616" t="s">
        <v>15</v>
      </c>
      <c r="G17" s="1618">
        <v>500000</v>
      </c>
      <c r="H17" s="1619"/>
      <c r="I17" s="1623" t="str">
        <f t="shared" si="0"/>
        <v>Nàng  Năt</v>
      </c>
    </row>
    <row r="18" spans="1:9" ht="18.75" customHeight="1">
      <c r="A18" s="1614">
        <v>7</v>
      </c>
      <c r="B18" s="1615">
        <v>7</v>
      </c>
      <c r="C18" s="1616"/>
      <c r="D18" s="1616"/>
      <c r="E18" s="1617" t="s">
        <v>21</v>
      </c>
      <c r="F18" s="1616" t="s">
        <v>15</v>
      </c>
      <c r="G18" s="1618">
        <v>500000</v>
      </c>
      <c r="H18" s="1619"/>
      <c r="I18" s="1623" t="str">
        <f t="shared" si="0"/>
        <v>Xay (3)</v>
      </c>
    </row>
    <row r="19" spans="1:9" ht="18.75" customHeight="1">
      <c r="A19" s="1614">
        <v>8</v>
      </c>
      <c r="B19" s="1615">
        <v>8</v>
      </c>
      <c r="C19" s="1616"/>
      <c r="D19" s="1616"/>
      <c r="E19" s="1617" t="s">
        <v>22</v>
      </c>
      <c r="F19" s="1616" t="s">
        <v>15</v>
      </c>
      <c r="G19" s="1618">
        <v>500000</v>
      </c>
      <c r="H19" s="1619"/>
      <c r="I19" s="1623" t="str">
        <f t="shared" si="0"/>
        <v>Xôn</v>
      </c>
    </row>
    <row r="20" spans="1:9" ht="18.75" customHeight="1">
      <c r="A20" s="1614">
        <v>9</v>
      </c>
      <c r="B20" s="1615">
        <v>9</v>
      </c>
      <c r="C20" s="1616"/>
      <c r="D20" s="1616"/>
      <c r="E20" s="1617" t="s">
        <v>23</v>
      </c>
      <c r="F20" s="1616" t="s">
        <v>15</v>
      </c>
      <c r="G20" s="1618">
        <v>500000</v>
      </c>
      <c r="H20" s="1619"/>
      <c r="I20" s="1623" t="str">
        <f t="shared" si="0"/>
        <v>Phum Hom</v>
      </c>
    </row>
    <row r="21" spans="1:9" ht="18.75" customHeight="1">
      <c r="A21" s="1614">
        <v>10</v>
      </c>
      <c r="B21" s="1615">
        <v>10</v>
      </c>
      <c r="C21" s="1616"/>
      <c r="D21" s="1616"/>
      <c r="E21" s="1617" t="s">
        <v>24</v>
      </c>
      <c r="F21" s="1616" t="s">
        <v>15</v>
      </c>
      <c r="G21" s="1618">
        <v>500000</v>
      </c>
      <c r="H21" s="1619"/>
      <c r="I21" s="1623" t="str">
        <f t="shared" si="0"/>
        <v>Pa Lay</v>
      </c>
    </row>
    <row r="22" spans="1:9" ht="18.75" customHeight="1">
      <c r="A22" s="1614">
        <v>11</v>
      </c>
      <c r="B22" s="1615">
        <v>11</v>
      </c>
      <c r="C22" s="1616"/>
      <c r="D22" s="1616"/>
      <c r="E22" s="1617" t="s">
        <v>25</v>
      </c>
      <c r="F22" s="1616" t="s">
        <v>15</v>
      </c>
      <c r="G22" s="1618">
        <v>500000</v>
      </c>
      <c r="H22" s="1619"/>
      <c r="I22" s="1623" t="str">
        <f t="shared" si="0"/>
        <v>Măm</v>
      </c>
    </row>
    <row r="23" spans="1:9" ht="18.75" customHeight="1">
      <c r="A23" s="1614">
        <v>12</v>
      </c>
      <c r="B23" s="1615">
        <v>12</v>
      </c>
      <c r="C23" s="1616"/>
      <c r="D23" s="1616"/>
      <c r="E23" s="1617" t="s">
        <v>26</v>
      </c>
      <c r="F23" s="1616" t="s">
        <v>15</v>
      </c>
      <c r="G23" s="1618">
        <v>500000</v>
      </c>
      <c r="H23" s="1619"/>
      <c r="I23" s="1623" t="str">
        <f t="shared" si="0"/>
        <v>Muôi</v>
      </c>
    </row>
    <row r="24" spans="1:9" ht="18.75" customHeight="1">
      <c r="A24" s="1614">
        <v>13</v>
      </c>
      <c r="B24" s="1615">
        <v>13</v>
      </c>
      <c r="C24" s="1616"/>
      <c r="D24" s="1616"/>
      <c r="E24" s="1617" t="s">
        <v>27</v>
      </c>
      <c r="F24" s="1616" t="s">
        <v>15</v>
      </c>
      <c r="G24" s="1618">
        <v>500000</v>
      </c>
      <c r="H24" s="1619"/>
      <c r="I24" s="1623" t="str">
        <f t="shared" si="0"/>
        <v>Vat Sa Na</v>
      </c>
    </row>
    <row r="25" spans="1:9" ht="18.75" customHeight="1">
      <c r="A25" s="1614">
        <v>14</v>
      </c>
      <c r="B25" s="1615">
        <v>14</v>
      </c>
      <c r="C25" s="1616"/>
      <c r="D25" s="1616"/>
      <c r="E25" s="1617" t="s">
        <v>28</v>
      </c>
      <c r="F25" s="1616" t="s">
        <v>15</v>
      </c>
      <c r="G25" s="1618">
        <v>500000</v>
      </c>
      <c r="H25" s="1619"/>
      <c r="I25" s="1623" t="str">
        <f t="shared" si="0"/>
        <v>Xi La</v>
      </c>
    </row>
    <row r="26" spans="1:9" ht="18.75" customHeight="1">
      <c r="A26" s="1614">
        <v>15</v>
      </c>
      <c r="B26" s="1615">
        <v>15</v>
      </c>
      <c r="C26" s="1616"/>
      <c r="D26" s="1616"/>
      <c r="E26" s="1617" t="s">
        <v>29</v>
      </c>
      <c r="F26" s="1616" t="s">
        <v>15</v>
      </c>
      <c r="G26" s="1618">
        <v>500000</v>
      </c>
      <c r="H26" s="1619"/>
      <c r="I26" s="1623" t="str">
        <f t="shared" si="0"/>
        <v>Me Nhon</v>
      </c>
    </row>
    <row r="27" spans="1:9" ht="18.75" customHeight="1">
      <c r="A27" s="1614">
        <v>16</v>
      </c>
      <c r="B27" s="1615">
        <v>16</v>
      </c>
      <c r="C27" s="1616"/>
      <c r="D27" s="1616"/>
      <c r="E27" s="1617" t="s">
        <v>30</v>
      </c>
      <c r="F27" s="1616" t="s">
        <v>15</v>
      </c>
      <c r="G27" s="1618">
        <v>500000</v>
      </c>
      <c r="H27" s="1619"/>
      <c r="I27" s="1623" t="str">
        <f t="shared" si="0"/>
        <v>Ten (3)</v>
      </c>
    </row>
    <row r="28" spans="1:9" ht="18.75" customHeight="1">
      <c r="A28" s="1614">
        <v>17</v>
      </c>
      <c r="B28" s="1615">
        <v>17</v>
      </c>
      <c r="C28" s="1616"/>
      <c r="D28" s="1616"/>
      <c r="E28" s="1617" t="s">
        <v>31</v>
      </c>
      <c r="F28" s="1616" t="s">
        <v>15</v>
      </c>
      <c r="G28" s="1618">
        <v>500000</v>
      </c>
      <c r="H28" s="1619"/>
      <c r="I28" s="1623" t="str">
        <f t="shared" si="0"/>
        <v>Ki</v>
      </c>
    </row>
    <row r="29" spans="1:9" ht="18.75" customHeight="1">
      <c r="A29" s="1614">
        <v>18</v>
      </c>
      <c r="B29" s="1615">
        <v>18</v>
      </c>
      <c r="C29" s="1616"/>
      <c r="D29" s="1616"/>
      <c r="E29" s="1617" t="s">
        <v>32</v>
      </c>
      <c r="F29" s="1616" t="s">
        <v>15</v>
      </c>
      <c r="G29" s="1618">
        <v>500000</v>
      </c>
      <c r="H29" s="1619"/>
      <c r="I29" s="1623" t="str">
        <f t="shared" si="0"/>
        <v>Phết (3)</v>
      </c>
    </row>
    <row r="30" spans="1:9" ht="18.75" customHeight="1">
      <c r="A30" s="1614">
        <v>19</v>
      </c>
      <c r="B30" s="1615">
        <v>19</v>
      </c>
      <c r="C30" s="1616"/>
      <c r="D30" s="1616"/>
      <c r="E30" s="1617" t="s">
        <v>33</v>
      </c>
      <c r="F30" s="1616" t="s">
        <v>15</v>
      </c>
      <c r="G30" s="1618">
        <v>500000</v>
      </c>
      <c r="H30" s="1619"/>
      <c r="I30" s="1623" t="str">
        <f t="shared" si="0"/>
        <v>Phon (3)</v>
      </c>
    </row>
    <row r="31" spans="1:9" ht="18.75" customHeight="1">
      <c r="A31" s="1614">
        <v>20</v>
      </c>
      <c r="B31" s="1615">
        <v>20</v>
      </c>
      <c r="C31" s="1616"/>
      <c r="D31" s="1616"/>
      <c r="E31" s="1617" t="s">
        <v>34</v>
      </c>
      <c r="F31" s="1616" t="s">
        <v>15</v>
      </c>
      <c r="G31" s="1618">
        <v>500000</v>
      </c>
      <c r="H31" s="1619"/>
      <c r="I31" s="1623" t="str">
        <f t="shared" si="0"/>
        <v>Nang Vone</v>
      </c>
    </row>
    <row r="32" spans="1:9" ht="18.75" customHeight="1">
      <c r="A32" s="1614">
        <v>21</v>
      </c>
      <c r="B32" s="1615">
        <v>21</v>
      </c>
      <c r="C32" s="1616"/>
      <c r="D32" s="1616"/>
      <c r="E32" s="1617" t="s">
        <v>35</v>
      </c>
      <c r="F32" s="1616" t="s">
        <v>15</v>
      </c>
      <c r="G32" s="1618">
        <v>500000</v>
      </c>
      <c r="H32" s="1619"/>
      <c r="I32" s="1623" t="str">
        <f t="shared" si="0"/>
        <v>Lăng A</v>
      </c>
    </row>
    <row r="33" spans="1:9" ht="18.75" customHeight="1">
      <c r="A33" s="1614">
        <v>22</v>
      </c>
      <c r="B33" s="1615">
        <v>22</v>
      </c>
      <c r="C33" s="1616"/>
      <c r="D33" s="1616"/>
      <c r="E33" s="1617" t="s">
        <v>36</v>
      </c>
      <c r="F33" s="1616" t="s">
        <v>15</v>
      </c>
      <c r="G33" s="1618">
        <v>500000</v>
      </c>
      <c r="H33" s="1619"/>
      <c r="I33" s="1623" t="str">
        <f t="shared" si="0"/>
        <v>Nút</v>
      </c>
    </row>
    <row r="34" spans="1:9" ht="18.75" customHeight="1">
      <c r="A34" s="1614">
        <v>23</v>
      </c>
      <c r="B34" s="1615">
        <v>23</v>
      </c>
      <c r="C34" s="1616"/>
      <c r="D34" s="1616"/>
      <c r="E34" s="1617" t="s">
        <v>37</v>
      </c>
      <c r="F34" s="1616" t="s">
        <v>15</v>
      </c>
      <c r="G34" s="1618">
        <v>500000</v>
      </c>
      <c r="H34" s="1619"/>
      <c r="I34" s="1623" t="str">
        <f t="shared" si="0"/>
        <v>Xit</v>
      </c>
    </row>
    <row r="35" spans="1:9" ht="18.75" customHeight="1">
      <c r="A35" s="1614">
        <v>24</v>
      </c>
      <c r="B35" s="1615">
        <v>24</v>
      </c>
      <c r="C35" s="1616"/>
      <c r="D35" s="1616"/>
      <c r="E35" s="1617" t="s">
        <v>38</v>
      </c>
      <c r="F35" s="1616" t="s">
        <v>15</v>
      </c>
      <c r="G35" s="1618">
        <v>500000</v>
      </c>
      <c r="H35" s="1619"/>
      <c r="I35" s="1623" t="str">
        <f t="shared" si="0"/>
        <v>Kum Man</v>
      </c>
    </row>
    <row r="36" spans="1:9" ht="18.75" customHeight="1">
      <c r="A36" s="1614">
        <v>25</v>
      </c>
      <c r="B36" s="1615">
        <v>25</v>
      </c>
      <c r="C36" s="1616"/>
      <c r="D36" s="1616"/>
      <c r="E36" s="1617" t="s">
        <v>39</v>
      </c>
      <c r="F36" s="1616" t="s">
        <v>15</v>
      </c>
      <c r="G36" s="1618">
        <v>500000</v>
      </c>
      <c r="H36" s="1619"/>
      <c r="I36" s="1623" t="str">
        <f t="shared" si="0"/>
        <v>Xai Ta</v>
      </c>
    </row>
    <row r="37" spans="1:9" ht="18.75" customHeight="1">
      <c r="A37" s="1614">
        <v>26</v>
      </c>
      <c r="B37" s="1615">
        <v>26</v>
      </c>
      <c r="C37" s="1616"/>
      <c r="D37" s="1616"/>
      <c r="E37" s="1617" t="s">
        <v>40</v>
      </c>
      <c r="F37" s="1616" t="s">
        <v>15</v>
      </c>
      <c r="G37" s="1618">
        <v>500000</v>
      </c>
      <c r="H37" s="1619"/>
      <c r="I37" s="1623" t="str">
        <f t="shared" si="0"/>
        <v>Lươn</v>
      </c>
    </row>
    <row r="38" spans="1:9" ht="18.75" customHeight="1">
      <c r="A38" s="1614">
        <v>27</v>
      </c>
      <c r="B38" s="1615">
        <v>27</v>
      </c>
      <c r="C38" s="1616"/>
      <c r="D38" s="1616"/>
      <c r="E38" s="1617" t="s">
        <v>41</v>
      </c>
      <c r="F38" s="1616" t="s">
        <v>15</v>
      </c>
      <c r="G38" s="1618">
        <v>500000</v>
      </c>
      <c r="H38" s="1619"/>
      <c r="I38" s="1623" t="str">
        <f t="shared" si="0"/>
        <v>Nàng Lên</v>
      </c>
    </row>
    <row r="39" spans="1:9" ht="18.75" customHeight="1">
      <c r="A39" s="1614">
        <v>28</v>
      </c>
      <c r="B39" s="1615">
        <v>28</v>
      </c>
      <c r="C39" s="1616"/>
      <c r="D39" s="1616"/>
      <c r="E39" s="1617" t="s">
        <v>42</v>
      </c>
      <c r="F39" s="1616" t="s">
        <v>15</v>
      </c>
      <c r="G39" s="1618">
        <v>500000</v>
      </c>
      <c r="H39" s="1619"/>
      <c r="I39" s="1623" t="str">
        <f t="shared" si="0"/>
        <v>Nọi (3)</v>
      </c>
    </row>
    <row r="40" spans="1:9" ht="18.75" customHeight="1">
      <c r="A40" s="1614">
        <v>29</v>
      </c>
      <c r="B40" s="1615">
        <v>29</v>
      </c>
      <c r="C40" s="1616"/>
      <c r="D40" s="1616"/>
      <c r="E40" s="1617" t="s">
        <v>43</v>
      </c>
      <c r="F40" s="1616" t="s">
        <v>15</v>
      </c>
      <c r="G40" s="1618">
        <v>500000</v>
      </c>
      <c r="H40" s="1619"/>
      <c r="I40" s="1623" t="str">
        <f t="shared" si="0"/>
        <v>Lên</v>
      </c>
    </row>
    <row r="41" spans="1:9" ht="18.75" customHeight="1">
      <c r="A41" s="1614">
        <v>30</v>
      </c>
      <c r="B41" s="1615">
        <v>30</v>
      </c>
      <c r="C41" s="1616"/>
      <c r="D41" s="1616"/>
      <c r="E41" s="1617" t="s">
        <v>44</v>
      </c>
      <c r="F41" s="1616" t="s">
        <v>15</v>
      </c>
      <c r="G41" s="1618">
        <v>500000</v>
      </c>
      <c r="H41" s="1619"/>
      <c r="I41" s="1623" t="str">
        <f t="shared" si="0"/>
        <v>Khắn</v>
      </c>
    </row>
    <row r="42" spans="1:9" ht="18.75" customHeight="1">
      <c r="A42" s="1614">
        <v>31</v>
      </c>
      <c r="B42" s="1615">
        <v>31</v>
      </c>
      <c r="C42" s="1616"/>
      <c r="D42" s="1616"/>
      <c r="E42" s="1617" t="s">
        <v>45</v>
      </c>
      <c r="F42" s="1616" t="s">
        <v>15</v>
      </c>
      <c r="G42" s="1618">
        <v>500000</v>
      </c>
      <c r="H42" s="1619"/>
      <c r="I42" s="1623" t="str">
        <f t="shared" si="0"/>
        <v>XumMai</v>
      </c>
    </row>
    <row r="43" spans="1:9" ht="18.75" customHeight="1">
      <c r="A43" s="1614">
        <v>32</v>
      </c>
      <c r="B43" s="1615">
        <v>32</v>
      </c>
      <c r="C43" s="1616"/>
      <c r="D43" s="1616"/>
      <c r="E43" s="1617" t="s">
        <v>46</v>
      </c>
      <c r="F43" s="1616" t="s">
        <v>15</v>
      </c>
      <c r="G43" s="1618">
        <v>500000</v>
      </c>
      <c r="H43" s="1619"/>
      <c r="I43" s="1623" t="str">
        <f t="shared" si="0"/>
        <v>Nang Ny</v>
      </c>
    </row>
    <row r="44" spans="1:9" ht="18.75" customHeight="1">
      <c r="A44" s="1614">
        <v>33</v>
      </c>
      <c r="B44" s="1615">
        <v>33</v>
      </c>
      <c r="C44" s="1616"/>
      <c r="D44" s="1616"/>
      <c r="E44" s="1617" t="s">
        <v>47</v>
      </c>
      <c r="F44" s="1616" t="s">
        <v>15</v>
      </c>
      <c r="G44" s="1618">
        <v>500000</v>
      </c>
      <c r="H44" s="1619"/>
      <c r="I44" s="1623" t="str">
        <f t="shared" si="0"/>
        <v>Kẹo Ta</v>
      </c>
    </row>
    <row r="45" spans="1:9" ht="18.75" customHeight="1">
      <c r="A45" s="1614">
        <v>34</v>
      </c>
      <c r="B45" s="1615">
        <v>34</v>
      </c>
      <c r="C45" s="1616"/>
      <c r="D45" s="1616"/>
      <c r="E45" s="1617" t="s">
        <v>48</v>
      </c>
      <c r="F45" s="1616" t="s">
        <v>15</v>
      </c>
      <c r="G45" s="1618">
        <v>500000</v>
      </c>
      <c r="H45" s="1619"/>
      <c r="I45" s="1623" t="str">
        <f t="shared" si="0"/>
        <v>Pom</v>
      </c>
    </row>
    <row r="46" spans="1:9" ht="18.75" customHeight="1">
      <c r="A46" s="1614">
        <v>35</v>
      </c>
      <c r="B46" s="1615">
        <v>35</v>
      </c>
      <c r="C46" s="1616"/>
      <c r="D46" s="1616"/>
      <c r="E46" s="1617" t="s">
        <v>49</v>
      </c>
      <c r="F46" s="1616" t="s">
        <v>15</v>
      </c>
      <c r="G46" s="1618">
        <v>500000</v>
      </c>
      <c r="H46" s="1619"/>
      <c r="I46" s="1623" t="str">
        <f t="shared" si="0"/>
        <v>Cong</v>
      </c>
    </row>
    <row r="47" spans="1:9" ht="18.75" customHeight="1">
      <c r="A47" s="1614">
        <v>36</v>
      </c>
      <c r="B47" s="1615">
        <v>36</v>
      </c>
      <c r="C47" s="1616"/>
      <c r="D47" s="1616"/>
      <c r="E47" s="1617" t="s">
        <v>50</v>
      </c>
      <c r="F47" s="1616" t="s">
        <v>15</v>
      </c>
      <c r="G47" s="1618">
        <v>500000</v>
      </c>
      <c r="H47" s="1619"/>
      <c r="I47" s="1623" t="str">
        <f t="shared" si="0"/>
        <v>Khăm B</v>
      </c>
    </row>
    <row r="48" spans="1:9" ht="18.75" customHeight="1">
      <c r="A48" s="1614">
        <v>37</v>
      </c>
      <c r="B48" s="1615">
        <v>37</v>
      </c>
      <c r="C48" s="1616"/>
      <c r="D48" s="1616"/>
      <c r="E48" s="1617" t="s">
        <v>51</v>
      </c>
      <c r="F48" s="1616" t="s">
        <v>15</v>
      </c>
      <c r="G48" s="1618">
        <v>500000</v>
      </c>
      <c r="H48" s="1619"/>
      <c r="I48" s="1623" t="str">
        <f t="shared" si="0"/>
        <v>Khôn</v>
      </c>
    </row>
    <row r="49" spans="1:9" ht="18.75" customHeight="1">
      <c r="A49" s="1614">
        <v>38</v>
      </c>
      <c r="B49" s="1615">
        <v>38</v>
      </c>
      <c r="C49" s="1616"/>
      <c r="D49" s="1616"/>
      <c r="E49" s="1617" t="s">
        <v>52</v>
      </c>
      <c r="F49" s="1616" t="s">
        <v>15</v>
      </c>
      <c r="G49" s="1618">
        <v>500000</v>
      </c>
      <c r="H49" s="1619"/>
      <c r="I49" s="1623" t="str">
        <f t="shared" si="0"/>
        <v>Xing</v>
      </c>
    </row>
    <row r="50" spans="1:9" ht="18.75" customHeight="1">
      <c r="A50" s="1614">
        <v>39</v>
      </c>
      <c r="B50" s="1615">
        <v>39</v>
      </c>
      <c r="C50" s="1616"/>
      <c r="D50" s="1616"/>
      <c r="E50" s="1617" t="s">
        <v>53</v>
      </c>
      <c r="F50" s="1616" t="s">
        <v>15</v>
      </c>
      <c r="G50" s="1618">
        <v>500000</v>
      </c>
      <c r="H50" s="1619"/>
      <c r="I50" s="1623" t="str">
        <f t="shared" si="0"/>
        <v>Kị To</v>
      </c>
    </row>
    <row r="51" spans="1:9" ht="18.75" customHeight="1">
      <c r="A51" s="1614">
        <v>40</v>
      </c>
      <c r="B51" s="1615">
        <v>40</v>
      </c>
      <c r="C51" s="1616"/>
      <c r="D51" s="1616"/>
      <c r="E51" s="1617" t="s">
        <v>54</v>
      </c>
      <c r="F51" s="1616" t="s">
        <v>15</v>
      </c>
      <c r="G51" s="1618">
        <v>500000</v>
      </c>
      <c r="H51" s="1619"/>
      <c r="I51" s="1623" t="str">
        <f t="shared" si="0"/>
        <v>Thảo Ký</v>
      </c>
    </row>
    <row r="52" spans="1:9" ht="18.75" customHeight="1">
      <c r="A52" s="1614">
        <v>41</v>
      </c>
      <c r="B52" s="1615">
        <v>41</v>
      </c>
      <c r="C52" s="1616"/>
      <c r="D52" s="1616"/>
      <c r="E52" s="1617" t="s">
        <v>55</v>
      </c>
      <c r="F52" s="1616" t="s">
        <v>15</v>
      </c>
      <c r="G52" s="1618">
        <v>500000</v>
      </c>
      <c r="H52" s="1619"/>
      <c r="I52" s="1623" t="str">
        <f t="shared" si="0"/>
        <v>Nam Phon</v>
      </c>
    </row>
    <row r="53" spans="1:9" ht="18.75" customHeight="1">
      <c r="A53" s="1614">
        <v>42</v>
      </c>
      <c r="B53" s="1615">
        <v>42</v>
      </c>
      <c r="C53" s="1616"/>
      <c r="D53" s="1616"/>
      <c r="E53" s="1617" t="s">
        <v>56</v>
      </c>
      <c r="F53" s="1616" t="s">
        <v>15</v>
      </c>
      <c r="G53" s="1618">
        <v>500000</v>
      </c>
      <c r="H53" s="1619"/>
      <c r="I53" s="1623" t="str">
        <f t="shared" si="0"/>
        <v>Lon</v>
      </c>
    </row>
    <row r="54" spans="1:9" ht="18.75" customHeight="1">
      <c r="A54" s="1614">
        <v>43</v>
      </c>
      <c r="B54" s="1615">
        <v>43</v>
      </c>
      <c r="C54" s="1616"/>
      <c r="D54" s="1616"/>
      <c r="E54" s="1617" t="s">
        <v>57</v>
      </c>
      <c r="F54" s="1616" t="s">
        <v>15</v>
      </c>
      <c r="G54" s="1618">
        <v>500000</v>
      </c>
      <c r="H54" s="1619"/>
      <c r="I54" s="1623" t="str">
        <f t="shared" si="0"/>
        <v>Me Son</v>
      </c>
    </row>
    <row r="55" spans="1:9" ht="18.75" customHeight="1">
      <c r="A55" s="2228" t="s">
        <v>58</v>
      </c>
      <c r="B55" s="2229"/>
      <c r="C55" s="2229"/>
      <c r="D55" s="2229"/>
      <c r="E55" s="2229"/>
      <c r="F55" s="2230"/>
      <c r="G55" s="1613">
        <f>SUM(G56:G112)</f>
        <v>28500000</v>
      </c>
      <c r="H55" s="1613"/>
      <c r="I55" s="1613"/>
    </row>
    <row r="56" spans="1:9" ht="18.75" customHeight="1">
      <c r="A56" s="1614">
        <v>44</v>
      </c>
      <c r="B56" s="1615">
        <v>1</v>
      </c>
      <c r="C56" s="1616"/>
      <c r="D56" s="1616"/>
      <c r="E56" s="1617" t="s">
        <v>14</v>
      </c>
      <c r="F56" s="1616" t="s">
        <v>15</v>
      </c>
      <c r="G56" s="1618">
        <v>500000</v>
      </c>
      <c r="H56" s="1619"/>
      <c r="I56" s="1623" t="str">
        <f t="shared" ref="I56:I112" si="1">E56</f>
        <v>Bôn</v>
      </c>
    </row>
    <row r="57" spans="1:9" ht="18.75" customHeight="1">
      <c r="A57" s="1614">
        <v>45</v>
      </c>
      <c r="B57" s="1615">
        <v>2</v>
      </c>
      <c r="C57" s="1616"/>
      <c r="D57" s="1616"/>
      <c r="E57" s="1617" t="s">
        <v>16</v>
      </c>
      <c r="F57" s="1616" t="s">
        <v>15</v>
      </c>
      <c r="G57" s="1618">
        <v>500000</v>
      </c>
      <c r="H57" s="1619"/>
      <c r="I57" s="1623" t="str">
        <f t="shared" si="1"/>
        <v>E</v>
      </c>
    </row>
    <row r="58" spans="1:9" ht="18.75" customHeight="1">
      <c r="A58" s="1614">
        <v>46</v>
      </c>
      <c r="B58" s="1615">
        <v>3</v>
      </c>
      <c r="C58" s="1616"/>
      <c r="D58" s="1616"/>
      <c r="E58" s="1617" t="s">
        <v>17</v>
      </c>
      <c r="F58" s="1616" t="s">
        <v>15</v>
      </c>
      <c r="G58" s="1618">
        <v>500000</v>
      </c>
      <c r="H58" s="1619"/>
      <c r="I58" s="1623" t="str">
        <f t="shared" si="1"/>
        <v>Khương (3)</v>
      </c>
    </row>
    <row r="59" spans="1:9" ht="18.75" customHeight="1">
      <c r="A59" s="1614">
        <v>47</v>
      </c>
      <c r="B59" s="1615">
        <v>4</v>
      </c>
      <c r="C59" s="1616"/>
      <c r="D59" s="1616"/>
      <c r="E59" s="1617" t="s">
        <v>18</v>
      </c>
      <c r="F59" s="1616" t="s">
        <v>15</v>
      </c>
      <c r="G59" s="1618">
        <v>500000</v>
      </c>
      <c r="H59" s="1619"/>
      <c r="I59" s="1623" t="str">
        <f t="shared" si="1"/>
        <v>Nít Ni Lanh</v>
      </c>
    </row>
    <row r="60" spans="1:9" ht="18.75" customHeight="1">
      <c r="A60" s="1614">
        <v>48</v>
      </c>
      <c r="B60" s="1615">
        <v>5</v>
      </c>
      <c r="C60" s="1616"/>
      <c r="D60" s="1616"/>
      <c r="E60" s="1617" t="s">
        <v>19</v>
      </c>
      <c r="F60" s="1616" t="s">
        <v>15</v>
      </c>
      <c r="G60" s="1618">
        <v>500000</v>
      </c>
      <c r="H60" s="1619"/>
      <c r="I60" s="1623" t="str">
        <f t="shared" si="1"/>
        <v>Khăm Đeng</v>
      </c>
    </row>
    <row r="61" spans="1:9" ht="18.75" customHeight="1">
      <c r="A61" s="1614">
        <v>49</v>
      </c>
      <c r="B61" s="1615">
        <v>6</v>
      </c>
      <c r="C61" s="1616"/>
      <c r="D61" s="1616"/>
      <c r="E61" s="1617" t="s">
        <v>20</v>
      </c>
      <c r="F61" s="1616" t="s">
        <v>15</v>
      </c>
      <c r="G61" s="1618">
        <v>500000</v>
      </c>
      <c r="H61" s="1619"/>
      <c r="I61" s="1623" t="str">
        <f t="shared" si="1"/>
        <v>Nàng  Năt</v>
      </c>
    </row>
    <row r="62" spans="1:9" ht="18.75" customHeight="1">
      <c r="A62" s="1614">
        <v>50</v>
      </c>
      <c r="B62" s="1615">
        <v>7</v>
      </c>
      <c r="C62" s="1616"/>
      <c r="D62" s="1616"/>
      <c r="E62" s="1617" t="s">
        <v>21</v>
      </c>
      <c r="F62" s="1616" t="s">
        <v>15</v>
      </c>
      <c r="G62" s="1618">
        <v>500000</v>
      </c>
      <c r="H62" s="1619"/>
      <c r="I62" s="1623" t="str">
        <f t="shared" si="1"/>
        <v>Xay (3)</v>
      </c>
    </row>
    <row r="63" spans="1:9" ht="18.75" customHeight="1">
      <c r="A63" s="1614">
        <v>51</v>
      </c>
      <c r="B63" s="1615">
        <v>8</v>
      </c>
      <c r="C63" s="1616"/>
      <c r="D63" s="1616"/>
      <c r="E63" s="1617" t="s">
        <v>22</v>
      </c>
      <c r="F63" s="1616" t="s">
        <v>15</v>
      </c>
      <c r="G63" s="1618">
        <v>500000</v>
      </c>
      <c r="H63" s="1619"/>
      <c r="I63" s="1623" t="str">
        <f t="shared" si="1"/>
        <v>Xôn</v>
      </c>
    </row>
    <row r="64" spans="1:9" ht="18.75" customHeight="1">
      <c r="A64" s="1614">
        <v>52</v>
      </c>
      <c r="B64" s="1615">
        <v>9</v>
      </c>
      <c r="C64" s="1616"/>
      <c r="D64" s="1616"/>
      <c r="E64" s="1617" t="s">
        <v>23</v>
      </c>
      <c r="F64" s="1616" t="s">
        <v>15</v>
      </c>
      <c r="G64" s="1618">
        <v>500000</v>
      </c>
      <c r="H64" s="1619"/>
      <c r="I64" s="1623" t="str">
        <f t="shared" si="1"/>
        <v>Phum Hom</v>
      </c>
    </row>
    <row r="65" spans="1:9" ht="18.75" customHeight="1">
      <c r="A65" s="1614">
        <v>53</v>
      </c>
      <c r="B65" s="1615">
        <v>10</v>
      </c>
      <c r="C65" s="1616"/>
      <c r="D65" s="1616"/>
      <c r="E65" s="1617" t="s">
        <v>24</v>
      </c>
      <c r="F65" s="1616" t="s">
        <v>15</v>
      </c>
      <c r="G65" s="1618">
        <v>500000</v>
      </c>
      <c r="H65" s="1619"/>
      <c r="I65" s="1623" t="str">
        <f t="shared" si="1"/>
        <v>Pa Lay</v>
      </c>
    </row>
    <row r="66" spans="1:9" ht="18.75" customHeight="1">
      <c r="A66" s="1614">
        <v>54</v>
      </c>
      <c r="B66" s="1615">
        <v>11</v>
      </c>
      <c r="C66" s="1616"/>
      <c r="D66" s="1616"/>
      <c r="E66" s="1617" t="s">
        <v>25</v>
      </c>
      <c r="F66" s="1616" t="s">
        <v>15</v>
      </c>
      <c r="G66" s="1618">
        <v>500000</v>
      </c>
      <c r="H66" s="1619"/>
      <c r="I66" s="1623" t="str">
        <f t="shared" si="1"/>
        <v>Măm</v>
      </c>
    </row>
    <row r="67" spans="1:9" ht="18.75" customHeight="1">
      <c r="A67" s="1614">
        <v>55</v>
      </c>
      <c r="B67" s="1615">
        <v>12</v>
      </c>
      <c r="C67" s="1616"/>
      <c r="D67" s="1616"/>
      <c r="E67" s="1617" t="s">
        <v>26</v>
      </c>
      <c r="F67" s="1616" t="s">
        <v>15</v>
      </c>
      <c r="G67" s="1618">
        <v>500000</v>
      </c>
      <c r="H67" s="1619"/>
      <c r="I67" s="1623" t="str">
        <f t="shared" si="1"/>
        <v>Muôi</v>
      </c>
    </row>
    <row r="68" spans="1:9" ht="18.75" customHeight="1">
      <c r="A68" s="1614">
        <v>56</v>
      </c>
      <c r="B68" s="1615">
        <v>13</v>
      </c>
      <c r="C68" s="1616"/>
      <c r="D68" s="1616"/>
      <c r="E68" s="1617" t="s">
        <v>27</v>
      </c>
      <c r="F68" s="1616" t="s">
        <v>15</v>
      </c>
      <c r="G68" s="1618">
        <v>500000</v>
      </c>
      <c r="H68" s="1619"/>
      <c r="I68" s="1623" t="str">
        <f t="shared" si="1"/>
        <v>Vat Sa Na</v>
      </c>
    </row>
    <row r="69" spans="1:9" ht="18.75" customHeight="1">
      <c r="A69" s="1614">
        <v>57</v>
      </c>
      <c r="B69" s="1615">
        <v>14</v>
      </c>
      <c r="C69" s="1616"/>
      <c r="D69" s="1616"/>
      <c r="E69" s="1617" t="s">
        <v>28</v>
      </c>
      <c r="F69" s="1616" t="s">
        <v>15</v>
      </c>
      <c r="G69" s="1618">
        <v>500000</v>
      </c>
      <c r="H69" s="1619"/>
      <c r="I69" s="1623" t="str">
        <f t="shared" si="1"/>
        <v>Xi La</v>
      </c>
    </row>
    <row r="70" spans="1:9" ht="18.75" customHeight="1">
      <c r="A70" s="1614">
        <v>58</v>
      </c>
      <c r="B70" s="1615">
        <v>15</v>
      </c>
      <c r="C70" s="1616"/>
      <c r="D70" s="1616"/>
      <c r="E70" s="1617" t="s">
        <v>29</v>
      </c>
      <c r="F70" s="1616" t="s">
        <v>15</v>
      </c>
      <c r="G70" s="1618">
        <v>500000</v>
      </c>
      <c r="H70" s="1619"/>
      <c r="I70" s="1623" t="str">
        <f t="shared" si="1"/>
        <v>Me Nhon</v>
      </c>
    </row>
    <row r="71" spans="1:9" ht="18.75" customHeight="1">
      <c r="A71" s="1614">
        <v>59</v>
      </c>
      <c r="B71" s="1615">
        <v>16</v>
      </c>
      <c r="C71" s="1616"/>
      <c r="D71" s="1616"/>
      <c r="E71" s="1617" t="s">
        <v>30</v>
      </c>
      <c r="F71" s="1616" t="s">
        <v>15</v>
      </c>
      <c r="G71" s="1618">
        <v>500000</v>
      </c>
      <c r="H71" s="1619"/>
      <c r="I71" s="1623" t="str">
        <f t="shared" si="1"/>
        <v>Ten (3)</v>
      </c>
    </row>
    <row r="72" spans="1:9" ht="18.75" customHeight="1">
      <c r="A72" s="1614">
        <v>60</v>
      </c>
      <c r="B72" s="1615">
        <v>17</v>
      </c>
      <c r="C72" s="1616"/>
      <c r="D72" s="1616"/>
      <c r="E72" s="1617" t="s">
        <v>31</v>
      </c>
      <c r="F72" s="1616" t="s">
        <v>15</v>
      </c>
      <c r="G72" s="1618">
        <v>500000</v>
      </c>
      <c r="H72" s="1619"/>
      <c r="I72" s="1623" t="str">
        <f t="shared" si="1"/>
        <v>Ki</v>
      </c>
    </row>
    <row r="73" spans="1:9" ht="18.75" customHeight="1">
      <c r="A73" s="1614">
        <v>61</v>
      </c>
      <c r="B73" s="1615">
        <v>18</v>
      </c>
      <c r="C73" s="1616"/>
      <c r="D73" s="1616"/>
      <c r="E73" s="1617" t="s">
        <v>32</v>
      </c>
      <c r="F73" s="1616" t="s">
        <v>15</v>
      </c>
      <c r="G73" s="1618">
        <v>500000</v>
      </c>
      <c r="H73" s="1619"/>
      <c r="I73" s="1623" t="str">
        <f t="shared" si="1"/>
        <v>Phết (3)</v>
      </c>
    </row>
    <row r="74" spans="1:9" ht="18.75" customHeight="1">
      <c r="A74" s="1614">
        <v>62</v>
      </c>
      <c r="B74" s="1615">
        <v>19</v>
      </c>
      <c r="C74" s="1616"/>
      <c r="D74" s="1616"/>
      <c r="E74" s="1617" t="s">
        <v>33</v>
      </c>
      <c r="F74" s="1616" t="s">
        <v>15</v>
      </c>
      <c r="G74" s="1618">
        <v>500000</v>
      </c>
      <c r="H74" s="1619"/>
      <c r="I74" s="1623" t="str">
        <f t="shared" si="1"/>
        <v>Phon (3)</v>
      </c>
    </row>
    <row r="75" spans="1:9" ht="18.75" customHeight="1">
      <c r="A75" s="1614">
        <v>63</v>
      </c>
      <c r="B75" s="1615">
        <v>20</v>
      </c>
      <c r="C75" s="1616"/>
      <c r="D75" s="1616"/>
      <c r="E75" s="1617" t="s">
        <v>34</v>
      </c>
      <c r="F75" s="1616" t="s">
        <v>15</v>
      </c>
      <c r="G75" s="1618">
        <v>500000</v>
      </c>
      <c r="H75" s="1619"/>
      <c r="I75" s="1623" t="str">
        <f t="shared" si="1"/>
        <v>Nang Vone</v>
      </c>
    </row>
    <row r="76" spans="1:9" ht="18.75" customHeight="1">
      <c r="A76" s="1614">
        <v>64</v>
      </c>
      <c r="B76" s="1615">
        <v>21</v>
      </c>
      <c r="C76" s="1616"/>
      <c r="D76" s="1616"/>
      <c r="E76" s="1617" t="s">
        <v>35</v>
      </c>
      <c r="F76" s="1616" t="s">
        <v>15</v>
      </c>
      <c r="G76" s="1618">
        <v>500000</v>
      </c>
      <c r="H76" s="1619"/>
      <c r="I76" s="1623" t="str">
        <f t="shared" si="1"/>
        <v>Lăng A</v>
      </c>
    </row>
    <row r="77" spans="1:9" ht="18.75" customHeight="1">
      <c r="A77" s="1614">
        <v>65</v>
      </c>
      <c r="B77" s="1615">
        <v>22</v>
      </c>
      <c r="C77" s="1616"/>
      <c r="D77" s="1616"/>
      <c r="E77" s="1617" t="s">
        <v>36</v>
      </c>
      <c r="F77" s="1616" t="s">
        <v>15</v>
      </c>
      <c r="G77" s="1618">
        <v>500000</v>
      </c>
      <c r="H77" s="1619"/>
      <c r="I77" s="1623" t="str">
        <f t="shared" si="1"/>
        <v>Nút</v>
      </c>
    </row>
    <row r="78" spans="1:9" ht="18.75" customHeight="1">
      <c r="A78" s="1614">
        <v>66</v>
      </c>
      <c r="B78" s="1615">
        <v>23</v>
      </c>
      <c r="C78" s="1616"/>
      <c r="D78" s="1616"/>
      <c r="E78" s="1617" t="s">
        <v>37</v>
      </c>
      <c r="F78" s="1616" t="s">
        <v>15</v>
      </c>
      <c r="G78" s="1618">
        <v>500000</v>
      </c>
      <c r="H78" s="1619"/>
      <c r="I78" s="1623" t="str">
        <f t="shared" si="1"/>
        <v>Xit</v>
      </c>
    </row>
    <row r="79" spans="1:9" ht="18.75" customHeight="1">
      <c r="A79" s="1614">
        <v>67</v>
      </c>
      <c r="B79" s="1615">
        <v>24</v>
      </c>
      <c r="C79" s="1616"/>
      <c r="D79" s="1616"/>
      <c r="E79" s="1617" t="s">
        <v>38</v>
      </c>
      <c r="F79" s="1616" t="s">
        <v>15</v>
      </c>
      <c r="G79" s="1618">
        <v>500000</v>
      </c>
      <c r="H79" s="1619"/>
      <c r="I79" s="1623" t="str">
        <f t="shared" si="1"/>
        <v>Kum Man</v>
      </c>
    </row>
    <row r="80" spans="1:9" ht="18.75" customHeight="1">
      <c r="A80" s="1614">
        <v>68</v>
      </c>
      <c r="B80" s="1615">
        <v>25</v>
      </c>
      <c r="C80" s="1616"/>
      <c r="D80" s="1616"/>
      <c r="E80" s="1617" t="s">
        <v>39</v>
      </c>
      <c r="F80" s="1616" t="s">
        <v>15</v>
      </c>
      <c r="G80" s="1618">
        <v>500000</v>
      </c>
      <c r="H80" s="1619"/>
      <c r="I80" s="1623" t="str">
        <f t="shared" si="1"/>
        <v>Xai Ta</v>
      </c>
    </row>
    <row r="81" spans="1:9" ht="18.75" customHeight="1">
      <c r="A81" s="1614">
        <v>69</v>
      </c>
      <c r="B81" s="1615">
        <v>26</v>
      </c>
      <c r="C81" s="1616"/>
      <c r="D81" s="1616"/>
      <c r="E81" s="1617" t="s">
        <v>40</v>
      </c>
      <c r="F81" s="1616" t="s">
        <v>15</v>
      </c>
      <c r="G81" s="1618">
        <v>500000</v>
      </c>
      <c r="H81" s="1619"/>
      <c r="I81" s="1623" t="str">
        <f t="shared" si="1"/>
        <v>Lươn</v>
      </c>
    </row>
    <row r="82" spans="1:9" ht="18.75" customHeight="1">
      <c r="A82" s="1614">
        <v>70</v>
      </c>
      <c r="B82" s="1615">
        <v>27</v>
      </c>
      <c r="C82" s="1616"/>
      <c r="D82" s="1616"/>
      <c r="E82" s="1617" t="s">
        <v>41</v>
      </c>
      <c r="F82" s="1616" t="s">
        <v>15</v>
      </c>
      <c r="G82" s="1618">
        <v>500000</v>
      </c>
      <c r="H82" s="1619"/>
      <c r="I82" s="1623" t="str">
        <f t="shared" si="1"/>
        <v>Nàng Lên</v>
      </c>
    </row>
    <row r="83" spans="1:9" ht="18.75" customHeight="1">
      <c r="A83" s="1614">
        <v>71</v>
      </c>
      <c r="B83" s="1615">
        <v>28</v>
      </c>
      <c r="C83" s="1616"/>
      <c r="D83" s="1616"/>
      <c r="E83" s="1617" t="s">
        <v>42</v>
      </c>
      <c r="F83" s="1616" t="s">
        <v>15</v>
      </c>
      <c r="G83" s="1618">
        <v>500000</v>
      </c>
      <c r="H83" s="1619"/>
      <c r="I83" s="1623" t="str">
        <f t="shared" si="1"/>
        <v>Nọi (3)</v>
      </c>
    </row>
    <row r="84" spans="1:9" ht="18.75" customHeight="1">
      <c r="A84" s="1614">
        <v>72</v>
      </c>
      <c r="B84" s="1615">
        <v>29</v>
      </c>
      <c r="C84" s="1616"/>
      <c r="D84" s="1616"/>
      <c r="E84" s="1617" t="s">
        <v>43</v>
      </c>
      <c r="F84" s="1616" t="s">
        <v>15</v>
      </c>
      <c r="G84" s="1618">
        <v>500000</v>
      </c>
      <c r="H84" s="1619"/>
      <c r="I84" s="1623" t="str">
        <f t="shared" si="1"/>
        <v>Lên</v>
      </c>
    </row>
    <row r="85" spans="1:9" ht="18.75" customHeight="1">
      <c r="A85" s="1614">
        <v>73</v>
      </c>
      <c r="B85" s="1615">
        <v>30</v>
      </c>
      <c r="C85" s="1616"/>
      <c r="D85" s="1616"/>
      <c r="E85" s="1617" t="s">
        <v>44</v>
      </c>
      <c r="F85" s="1616" t="s">
        <v>15</v>
      </c>
      <c r="G85" s="1618">
        <v>500000</v>
      </c>
      <c r="H85" s="1619"/>
      <c r="I85" s="1623" t="str">
        <f t="shared" si="1"/>
        <v>Khắn</v>
      </c>
    </row>
    <row r="86" spans="1:9" ht="18.75" customHeight="1">
      <c r="A86" s="1614">
        <v>74</v>
      </c>
      <c r="B86" s="1615">
        <v>31</v>
      </c>
      <c r="C86" s="1616"/>
      <c r="D86" s="1616"/>
      <c r="E86" s="1617" t="s">
        <v>45</v>
      </c>
      <c r="F86" s="1616" t="s">
        <v>15</v>
      </c>
      <c r="G86" s="1618">
        <v>500000</v>
      </c>
      <c r="H86" s="1619"/>
      <c r="I86" s="1623" t="str">
        <f t="shared" si="1"/>
        <v>XumMai</v>
      </c>
    </row>
    <row r="87" spans="1:9" ht="18.75" customHeight="1">
      <c r="A87" s="1614">
        <v>75</v>
      </c>
      <c r="B87" s="1615">
        <v>32</v>
      </c>
      <c r="C87" s="1616"/>
      <c r="D87" s="1616"/>
      <c r="E87" s="1617" t="s">
        <v>46</v>
      </c>
      <c r="F87" s="1616" t="s">
        <v>15</v>
      </c>
      <c r="G87" s="1618">
        <v>500000</v>
      </c>
      <c r="H87" s="1619"/>
      <c r="I87" s="1623" t="str">
        <f t="shared" si="1"/>
        <v>Nang Ny</v>
      </c>
    </row>
    <row r="88" spans="1:9" ht="18.75" customHeight="1">
      <c r="A88" s="1614">
        <v>76</v>
      </c>
      <c r="B88" s="1615">
        <v>33</v>
      </c>
      <c r="C88" s="1616"/>
      <c r="D88" s="1616"/>
      <c r="E88" s="1617" t="s">
        <v>47</v>
      </c>
      <c r="F88" s="1616" t="s">
        <v>15</v>
      </c>
      <c r="G88" s="1618">
        <v>500000</v>
      </c>
      <c r="H88" s="1619"/>
      <c r="I88" s="1623" t="str">
        <f t="shared" si="1"/>
        <v>Kẹo Ta</v>
      </c>
    </row>
    <row r="89" spans="1:9" ht="18.75" customHeight="1">
      <c r="A89" s="1614">
        <v>77</v>
      </c>
      <c r="B89" s="1615">
        <v>34</v>
      </c>
      <c r="C89" s="1616"/>
      <c r="D89" s="1616"/>
      <c r="E89" s="1617" t="s">
        <v>48</v>
      </c>
      <c r="F89" s="1616" t="s">
        <v>15</v>
      </c>
      <c r="G89" s="1618">
        <v>500000</v>
      </c>
      <c r="H89" s="1619"/>
      <c r="I89" s="1623" t="str">
        <f t="shared" si="1"/>
        <v>Pom</v>
      </c>
    </row>
    <row r="90" spans="1:9" ht="18.75" customHeight="1">
      <c r="A90" s="1614">
        <v>78</v>
      </c>
      <c r="B90" s="1615">
        <v>35</v>
      </c>
      <c r="C90" s="1616"/>
      <c r="D90" s="1616"/>
      <c r="E90" s="1617" t="s">
        <v>49</v>
      </c>
      <c r="F90" s="1616" t="s">
        <v>15</v>
      </c>
      <c r="G90" s="1618">
        <v>500000</v>
      </c>
      <c r="H90" s="1619"/>
      <c r="I90" s="1623" t="str">
        <f t="shared" si="1"/>
        <v>Cong</v>
      </c>
    </row>
    <row r="91" spans="1:9" ht="18.75" customHeight="1">
      <c r="A91" s="1614">
        <v>79</v>
      </c>
      <c r="B91" s="1615">
        <v>36</v>
      </c>
      <c r="C91" s="1616"/>
      <c r="D91" s="1616"/>
      <c r="E91" s="1617" t="s">
        <v>50</v>
      </c>
      <c r="F91" s="1616" t="s">
        <v>15</v>
      </c>
      <c r="G91" s="1618">
        <v>500000</v>
      </c>
      <c r="H91" s="1619"/>
      <c r="I91" s="1623" t="str">
        <f t="shared" si="1"/>
        <v>Khăm B</v>
      </c>
    </row>
    <row r="92" spans="1:9" ht="18.75" customHeight="1">
      <c r="A92" s="1614">
        <v>80</v>
      </c>
      <c r="B92" s="1615">
        <v>37</v>
      </c>
      <c r="C92" s="1616"/>
      <c r="D92" s="1616"/>
      <c r="E92" s="1617" t="s">
        <v>51</v>
      </c>
      <c r="F92" s="1616" t="s">
        <v>15</v>
      </c>
      <c r="G92" s="1618">
        <v>500000</v>
      </c>
      <c r="H92" s="1619"/>
      <c r="I92" s="1623" t="str">
        <f t="shared" si="1"/>
        <v>Khôn</v>
      </c>
    </row>
    <row r="93" spans="1:9" ht="18.75" customHeight="1">
      <c r="A93" s="1614">
        <v>81</v>
      </c>
      <c r="B93" s="1615">
        <v>38</v>
      </c>
      <c r="C93" s="1616"/>
      <c r="D93" s="1616"/>
      <c r="E93" s="1617" t="s">
        <v>52</v>
      </c>
      <c r="F93" s="1616" t="s">
        <v>15</v>
      </c>
      <c r="G93" s="1618">
        <v>500000</v>
      </c>
      <c r="H93" s="1619"/>
      <c r="I93" s="1623" t="str">
        <f t="shared" si="1"/>
        <v>Xing</v>
      </c>
    </row>
    <row r="94" spans="1:9" ht="18.75" customHeight="1">
      <c r="A94" s="1614">
        <v>82</v>
      </c>
      <c r="B94" s="1615">
        <v>39</v>
      </c>
      <c r="C94" s="1616"/>
      <c r="D94" s="1616"/>
      <c r="E94" s="1617" t="s">
        <v>53</v>
      </c>
      <c r="F94" s="1616" t="s">
        <v>15</v>
      </c>
      <c r="G94" s="1618">
        <v>500000</v>
      </c>
      <c r="H94" s="1619"/>
      <c r="I94" s="1623" t="str">
        <f t="shared" si="1"/>
        <v>Kị To</v>
      </c>
    </row>
    <row r="95" spans="1:9" ht="18.75" customHeight="1">
      <c r="A95" s="1614">
        <v>83</v>
      </c>
      <c r="B95" s="1615">
        <v>40</v>
      </c>
      <c r="C95" s="1616"/>
      <c r="D95" s="1616"/>
      <c r="E95" s="1617" t="s">
        <v>54</v>
      </c>
      <c r="F95" s="1616" t="s">
        <v>15</v>
      </c>
      <c r="G95" s="1618">
        <v>500000</v>
      </c>
      <c r="H95" s="1619"/>
      <c r="I95" s="1623" t="str">
        <f t="shared" si="1"/>
        <v>Thảo Ký</v>
      </c>
    </row>
    <row r="96" spans="1:9" ht="18.75" customHeight="1">
      <c r="A96" s="1614">
        <v>84</v>
      </c>
      <c r="B96" s="1615">
        <v>41</v>
      </c>
      <c r="C96" s="1616"/>
      <c r="D96" s="1616"/>
      <c r="E96" s="1617" t="s">
        <v>55</v>
      </c>
      <c r="F96" s="1616" t="s">
        <v>15</v>
      </c>
      <c r="G96" s="1618">
        <v>500000</v>
      </c>
      <c r="H96" s="1619"/>
      <c r="I96" s="1623" t="str">
        <f t="shared" si="1"/>
        <v>Nam Phon</v>
      </c>
    </row>
    <row r="97" spans="1:17" ht="18.75" customHeight="1">
      <c r="A97" s="1614">
        <v>85</v>
      </c>
      <c r="B97" s="1615">
        <v>42</v>
      </c>
      <c r="C97" s="1616"/>
      <c r="D97" s="1616"/>
      <c r="E97" s="1617" t="s">
        <v>56</v>
      </c>
      <c r="F97" s="1616" t="s">
        <v>15</v>
      </c>
      <c r="G97" s="1618">
        <v>500000</v>
      </c>
      <c r="H97" s="1619"/>
      <c r="I97" s="1623" t="str">
        <f t="shared" si="1"/>
        <v>Lon</v>
      </c>
    </row>
    <row r="98" spans="1:17" ht="18.75" customHeight="1">
      <c r="A98" s="1614">
        <v>86</v>
      </c>
      <c r="B98" s="1615">
        <v>43</v>
      </c>
      <c r="C98" s="1616"/>
      <c r="D98" s="1616"/>
      <c r="E98" s="1617" t="s">
        <v>57</v>
      </c>
      <c r="F98" s="1616" t="s">
        <v>15</v>
      </c>
      <c r="G98" s="1618">
        <v>500000</v>
      </c>
      <c r="H98" s="1619"/>
      <c r="I98" s="1623" t="str">
        <f t="shared" si="1"/>
        <v>Me Son</v>
      </c>
    </row>
    <row r="99" spans="1:17" ht="18.75" customHeight="1">
      <c r="A99" s="1614">
        <v>87</v>
      </c>
      <c r="B99" s="1615">
        <v>44</v>
      </c>
      <c r="C99" s="1616"/>
      <c r="D99" s="1616"/>
      <c r="E99" s="1617" t="s">
        <v>59</v>
      </c>
      <c r="F99" s="1616" t="s">
        <v>15</v>
      </c>
      <c r="G99" s="1618">
        <v>500000</v>
      </c>
      <c r="H99" s="1619"/>
      <c r="I99" s="1623" t="str">
        <f t="shared" si="1"/>
        <v>Nít</v>
      </c>
    </row>
    <row r="100" spans="1:17" ht="18.75" customHeight="1">
      <c r="A100" s="1614">
        <v>88</v>
      </c>
      <c r="B100" s="1615">
        <v>45</v>
      </c>
      <c r="C100" s="1616"/>
      <c r="D100" s="1616"/>
      <c r="E100" s="1617" t="s">
        <v>60</v>
      </c>
      <c r="F100" s="1616" t="s">
        <v>15</v>
      </c>
      <c r="G100" s="1618">
        <v>500000</v>
      </c>
      <c r="H100" s="1619"/>
      <c r="I100" s="1623" t="str">
        <f t="shared" si="1"/>
        <v>Nui</v>
      </c>
      <c r="Q100" s="1624">
        <f>760.5-48.5</f>
        <v>712</v>
      </c>
    </row>
    <row r="101" spans="1:17" ht="18.75" customHeight="1">
      <c r="A101" s="1614">
        <v>89</v>
      </c>
      <c r="B101" s="1615">
        <v>46</v>
      </c>
      <c r="C101" s="1616"/>
      <c r="D101" s="1616"/>
      <c r="E101" s="1617" t="s">
        <v>61</v>
      </c>
      <c r="F101" s="1616" t="s">
        <v>15</v>
      </c>
      <c r="G101" s="1618">
        <v>500000</v>
      </c>
      <c r="H101" s="1619"/>
      <c r="I101" s="1623" t="str">
        <f t="shared" si="1"/>
        <v>Đuông Chăn</v>
      </c>
      <c r="Q101" s="1605">
        <f>+Q100*30</f>
        <v>21360</v>
      </c>
    </row>
    <row r="102" spans="1:17" ht="18.75" customHeight="1">
      <c r="A102" s="1614">
        <v>90</v>
      </c>
      <c r="B102" s="1615">
        <v>47</v>
      </c>
      <c r="C102" s="1616"/>
      <c r="D102" s="1616"/>
      <c r="E102" s="1617" t="s">
        <v>62</v>
      </c>
      <c r="F102" s="1616" t="s">
        <v>15</v>
      </c>
      <c r="G102" s="1618">
        <v>500000</v>
      </c>
      <c r="H102" s="1619"/>
      <c r="I102" s="1623" t="str">
        <f t="shared" si="1"/>
        <v>Đăm (3)</v>
      </c>
    </row>
    <row r="103" spans="1:17" ht="18.75" customHeight="1">
      <c r="A103" s="1614">
        <v>91</v>
      </c>
      <c r="B103" s="1615">
        <v>48</v>
      </c>
      <c r="C103" s="1616"/>
      <c r="D103" s="1616"/>
      <c r="E103" s="1617" t="s">
        <v>63</v>
      </c>
      <c r="F103" s="1616" t="s">
        <v>15</v>
      </c>
      <c r="G103" s="1618">
        <v>500000</v>
      </c>
      <c r="H103" s="1619"/>
      <c r="I103" s="1623" t="str">
        <f t="shared" si="1"/>
        <v>Hăm Nọi A</v>
      </c>
    </row>
    <row r="104" spans="1:17" ht="18.75" customHeight="1">
      <c r="A104" s="1614">
        <v>92</v>
      </c>
      <c r="B104" s="1615">
        <v>49</v>
      </c>
      <c r="C104" s="1616"/>
      <c r="D104" s="1616"/>
      <c r="E104" s="1617" t="s">
        <v>64</v>
      </c>
      <c r="F104" s="1616" t="s">
        <v>15</v>
      </c>
      <c r="G104" s="1618">
        <v>500000</v>
      </c>
      <c r="H104" s="1619"/>
      <c r="I104" s="1623" t="str">
        <f t="shared" si="1"/>
        <v>Hip</v>
      </c>
    </row>
    <row r="105" spans="1:17" ht="18.75" customHeight="1">
      <c r="A105" s="1614">
        <v>93</v>
      </c>
      <c r="B105" s="1615">
        <v>50</v>
      </c>
      <c r="C105" s="1616"/>
      <c r="D105" s="1616"/>
      <c r="E105" s="1617" t="s">
        <v>65</v>
      </c>
      <c r="F105" s="1616" t="s">
        <v>15</v>
      </c>
      <c r="G105" s="1618">
        <v>500000</v>
      </c>
      <c r="H105" s="1619"/>
      <c r="I105" s="1623" t="str">
        <f t="shared" si="1"/>
        <v>Hăm Noi B</v>
      </c>
    </row>
    <row r="106" spans="1:17" ht="18.75" customHeight="1">
      <c r="A106" s="1614">
        <v>94</v>
      </c>
      <c r="B106" s="1615">
        <v>51</v>
      </c>
      <c r="C106" s="1616"/>
      <c r="D106" s="1616"/>
      <c r="E106" s="1617" t="s">
        <v>66</v>
      </c>
      <c r="F106" s="1616" t="s">
        <v>15</v>
      </c>
      <c r="G106" s="1618">
        <v>500000</v>
      </c>
      <c r="H106" s="1619"/>
      <c r="I106" s="1623" t="str">
        <f t="shared" si="1"/>
        <v>Tụp</v>
      </c>
    </row>
    <row r="107" spans="1:17" ht="18.75" customHeight="1">
      <c r="A107" s="1614">
        <v>95</v>
      </c>
      <c r="B107" s="1615">
        <v>52</v>
      </c>
      <c r="C107" s="1616"/>
      <c r="D107" s="1616"/>
      <c r="E107" s="1617" t="s">
        <v>67</v>
      </c>
      <c r="F107" s="1616" t="s">
        <v>15</v>
      </c>
      <c r="G107" s="1618">
        <v>500000</v>
      </c>
      <c r="H107" s="1619"/>
      <c r="I107" s="1623" t="str">
        <f t="shared" si="1"/>
        <v>S Ting</v>
      </c>
    </row>
    <row r="108" spans="1:17" ht="18.75" customHeight="1">
      <c r="A108" s="1614">
        <v>96</v>
      </c>
      <c r="B108" s="1615">
        <v>53</v>
      </c>
      <c r="C108" s="1616"/>
      <c r="D108" s="1616"/>
      <c r="E108" s="1617" t="s">
        <v>68</v>
      </c>
      <c r="F108" s="1616" t="s">
        <v>15</v>
      </c>
      <c r="G108" s="1618">
        <v>500000</v>
      </c>
      <c r="H108" s="1619"/>
      <c r="I108" s="1623" t="str">
        <f t="shared" si="1"/>
        <v>Tom</v>
      </c>
    </row>
    <row r="109" spans="1:17" ht="18.75" customHeight="1">
      <c r="A109" s="1614">
        <v>97</v>
      </c>
      <c r="B109" s="1615">
        <v>54</v>
      </c>
      <c r="C109" s="1616"/>
      <c r="D109" s="1616"/>
      <c r="E109" s="1617" t="s">
        <v>69</v>
      </c>
      <c r="F109" s="1616" t="s">
        <v>15</v>
      </c>
      <c r="G109" s="1618">
        <v>500000</v>
      </c>
      <c r="H109" s="1619"/>
      <c r="I109" s="1623" t="str">
        <f t="shared" si="1"/>
        <v>Nang Py</v>
      </c>
    </row>
    <row r="110" spans="1:17" ht="18.75" customHeight="1">
      <c r="A110" s="1614">
        <v>98</v>
      </c>
      <c r="B110" s="1615">
        <v>55</v>
      </c>
      <c r="C110" s="1616"/>
      <c r="D110" s="1616"/>
      <c r="E110" s="1617" t="s">
        <v>70</v>
      </c>
      <c r="F110" s="1616" t="s">
        <v>15</v>
      </c>
      <c r="G110" s="1618">
        <v>500000</v>
      </c>
      <c r="H110" s="1619"/>
      <c r="I110" s="1623" t="str">
        <f t="shared" si="1"/>
        <v>Ô</v>
      </c>
    </row>
    <row r="111" spans="1:17" ht="18.75" customHeight="1">
      <c r="A111" s="1614">
        <v>99</v>
      </c>
      <c r="B111" s="1615">
        <v>56</v>
      </c>
      <c r="C111" s="1616"/>
      <c r="D111" s="1616"/>
      <c r="E111" s="1617" t="s">
        <v>71</v>
      </c>
      <c r="F111" s="1616" t="s">
        <v>15</v>
      </c>
      <c r="G111" s="1618">
        <v>500000</v>
      </c>
      <c r="H111" s="1619"/>
      <c r="I111" s="1623" t="str">
        <f t="shared" si="1"/>
        <v>Văn Thong</v>
      </c>
    </row>
    <row r="112" spans="1:17" ht="18.75" customHeight="1">
      <c r="A112" s="1614">
        <v>100</v>
      </c>
      <c r="B112" s="1615">
        <v>57</v>
      </c>
      <c r="C112" s="1616"/>
      <c r="D112" s="1616"/>
      <c r="E112" s="1617" t="s">
        <v>72</v>
      </c>
      <c r="F112" s="1616" t="s">
        <v>15</v>
      </c>
      <c r="G112" s="1618">
        <v>500000</v>
      </c>
      <c r="H112" s="1619"/>
      <c r="I112" s="1623" t="str">
        <f t="shared" si="1"/>
        <v>Va</v>
      </c>
    </row>
    <row r="113" spans="1:9" ht="18.75" customHeight="1">
      <c r="A113" s="2228" t="s">
        <v>73</v>
      </c>
      <c r="B113" s="2229"/>
      <c r="C113" s="2229"/>
      <c r="D113" s="2229"/>
      <c r="E113" s="2229"/>
      <c r="F113" s="2230"/>
      <c r="G113" s="1613">
        <f>SUM(G114:G199)</f>
        <v>43000000</v>
      </c>
      <c r="H113" s="1613"/>
      <c r="I113" s="1613"/>
    </row>
    <row r="114" spans="1:9" ht="18.75" customHeight="1">
      <c r="A114" s="1614">
        <v>101</v>
      </c>
      <c r="B114" s="1615">
        <v>1</v>
      </c>
      <c r="C114" s="1616"/>
      <c r="D114" s="1616"/>
      <c r="E114" s="1617" t="s">
        <v>14</v>
      </c>
      <c r="F114" s="1616" t="s">
        <v>15</v>
      </c>
      <c r="G114" s="1618">
        <v>500000</v>
      </c>
      <c r="H114" s="1619"/>
      <c r="I114" s="1623" t="str">
        <f t="shared" ref="I114:I177" si="2">E114</f>
        <v>Bôn</v>
      </c>
    </row>
    <row r="115" spans="1:9" ht="18.75" customHeight="1">
      <c r="A115" s="1614">
        <v>102</v>
      </c>
      <c r="B115" s="1615">
        <v>2</v>
      </c>
      <c r="C115" s="1616"/>
      <c r="D115" s="1616"/>
      <c r="E115" s="1617" t="s">
        <v>16</v>
      </c>
      <c r="F115" s="1616" t="s">
        <v>15</v>
      </c>
      <c r="G115" s="1618">
        <v>500000</v>
      </c>
      <c r="H115" s="1619"/>
      <c r="I115" s="1623" t="str">
        <f t="shared" si="2"/>
        <v>E</v>
      </c>
    </row>
    <row r="116" spans="1:9" ht="18.75" customHeight="1">
      <c r="A116" s="1614">
        <v>103</v>
      </c>
      <c r="B116" s="1615">
        <v>3</v>
      </c>
      <c r="C116" s="1616"/>
      <c r="D116" s="1616"/>
      <c r="E116" s="1617" t="s">
        <v>17</v>
      </c>
      <c r="F116" s="1616" t="s">
        <v>15</v>
      </c>
      <c r="G116" s="1618">
        <v>500000</v>
      </c>
      <c r="H116" s="1619"/>
      <c r="I116" s="1623" t="str">
        <f t="shared" si="2"/>
        <v>Khương (3)</v>
      </c>
    </row>
    <row r="117" spans="1:9" ht="18.75" customHeight="1">
      <c r="A117" s="1614">
        <v>104</v>
      </c>
      <c r="B117" s="1615">
        <v>4</v>
      </c>
      <c r="C117" s="1616"/>
      <c r="D117" s="1616"/>
      <c r="E117" s="1617" t="s">
        <v>18</v>
      </c>
      <c r="F117" s="1616" t="s">
        <v>15</v>
      </c>
      <c r="G117" s="1618">
        <v>500000</v>
      </c>
      <c r="H117" s="1619"/>
      <c r="I117" s="1623" t="str">
        <f t="shared" si="2"/>
        <v>Nít Ni Lanh</v>
      </c>
    </row>
    <row r="118" spans="1:9" ht="18.75" customHeight="1">
      <c r="A118" s="1614">
        <v>105</v>
      </c>
      <c r="B118" s="1615">
        <v>5</v>
      </c>
      <c r="C118" s="1616"/>
      <c r="D118" s="1616"/>
      <c r="E118" s="1617" t="s">
        <v>19</v>
      </c>
      <c r="F118" s="1616" t="s">
        <v>15</v>
      </c>
      <c r="G118" s="1618">
        <v>500000</v>
      </c>
      <c r="H118" s="1619"/>
      <c r="I118" s="1623" t="str">
        <f t="shared" si="2"/>
        <v>Khăm Đeng</v>
      </c>
    </row>
    <row r="119" spans="1:9" ht="18.75" customHeight="1">
      <c r="A119" s="1614">
        <v>106</v>
      </c>
      <c r="B119" s="1615">
        <v>6</v>
      </c>
      <c r="C119" s="1616"/>
      <c r="D119" s="1616"/>
      <c r="E119" s="1617" t="s">
        <v>20</v>
      </c>
      <c r="F119" s="1616" t="s">
        <v>15</v>
      </c>
      <c r="G119" s="1618">
        <v>500000</v>
      </c>
      <c r="H119" s="1619"/>
      <c r="I119" s="1623" t="str">
        <f t="shared" si="2"/>
        <v>Nàng  Năt</v>
      </c>
    </row>
    <row r="120" spans="1:9" ht="18.75" customHeight="1">
      <c r="A120" s="1614">
        <v>107</v>
      </c>
      <c r="B120" s="1615">
        <v>7</v>
      </c>
      <c r="C120" s="1616"/>
      <c r="D120" s="1616"/>
      <c r="E120" s="1617" t="s">
        <v>21</v>
      </c>
      <c r="F120" s="1616" t="s">
        <v>15</v>
      </c>
      <c r="G120" s="1618">
        <v>500000</v>
      </c>
      <c r="H120" s="1619"/>
      <c r="I120" s="1623" t="str">
        <f t="shared" si="2"/>
        <v>Xay (3)</v>
      </c>
    </row>
    <row r="121" spans="1:9" ht="18.75" customHeight="1">
      <c r="A121" s="1614">
        <v>108</v>
      </c>
      <c r="B121" s="1615">
        <v>8</v>
      </c>
      <c r="C121" s="1616"/>
      <c r="D121" s="1616"/>
      <c r="E121" s="1617" t="s">
        <v>22</v>
      </c>
      <c r="F121" s="1616" t="s">
        <v>15</v>
      </c>
      <c r="G121" s="1618">
        <v>500000</v>
      </c>
      <c r="H121" s="1619"/>
      <c r="I121" s="1623" t="str">
        <f t="shared" si="2"/>
        <v>Xôn</v>
      </c>
    </row>
    <row r="122" spans="1:9" ht="18.75" customHeight="1">
      <c r="A122" s="1614">
        <v>109</v>
      </c>
      <c r="B122" s="1615">
        <v>9</v>
      </c>
      <c r="C122" s="1616"/>
      <c r="D122" s="1616"/>
      <c r="E122" s="1617" t="s">
        <v>23</v>
      </c>
      <c r="F122" s="1616" t="s">
        <v>15</v>
      </c>
      <c r="G122" s="1618">
        <v>500000</v>
      </c>
      <c r="H122" s="1619"/>
      <c r="I122" s="1623" t="str">
        <f t="shared" si="2"/>
        <v>Phum Hom</v>
      </c>
    </row>
    <row r="123" spans="1:9" ht="18.75" customHeight="1">
      <c r="A123" s="1614">
        <v>110</v>
      </c>
      <c r="B123" s="1615">
        <v>10</v>
      </c>
      <c r="C123" s="1616"/>
      <c r="D123" s="1616"/>
      <c r="E123" s="1617" t="s">
        <v>24</v>
      </c>
      <c r="F123" s="1616" t="s">
        <v>15</v>
      </c>
      <c r="G123" s="1618">
        <v>500000</v>
      </c>
      <c r="H123" s="1619"/>
      <c r="I123" s="1623" t="str">
        <f t="shared" si="2"/>
        <v>Pa Lay</v>
      </c>
    </row>
    <row r="124" spans="1:9" ht="18.75" customHeight="1">
      <c r="A124" s="1614">
        <v>111</v>
      </c>
      <c r="B124" s="1615">
        <v>11</v>
      </c>
      <c r="C124" s="1616"/>
      <c r="D124" s="1616"/>
      <c r="E124" s="1617" t="s">
        <v>25</v>
      </c>
      <c r="F124" s="1616" t="s">
        <v>15</v>
      </c>
      <c r="G124" s="1618">
        <v>500000</v>
      </c>
      <c r="H124" s="1619"/>
      <c r="I124" s="1623" t="str">
        <f t="shared" si="2"/>
        <v>Măm</v>
      </c>
    </row>
    <row r="125" spans="1:9" ht="18.75" customHeight="1">
      <c r="A125" s="1614">
        <v>112</v>
      </c>
      <c r="B125" s="1615">
        <v>12</v>
      </c>
      <c r="C125" s="1616"/>
      <c r="D125" s="1616"/>
      <c r="E125" s="1617" t="s">
        <v>26</v>
      </c>
      <c r="F125" s="1616" t="s">
        <v>15</v>
      </c>
      <c r="G125" s="1618">
        <v>500000</v>
      </c>
      <c r="H125" s="1619"/>
      <c r="I125" s="1623" t="str">
        <f t="shared" si="2"/>
        <v>Muôi</v>
      </c>
    </row>
    <row r="126" spans="1:9" ht="18.75" customHeight="1">
      <c r="A126" s="1614">
        <v>113</v>
      </c>
      <c r="B126" s="1615">
        <v>13</v>
      </c>
      <c r="C126" s="1616"/>
      <c r="D126" s="1616"/>
      <c r="E126" s="1617" t="s">
        <v>27</v>
      </c>
      <c r="F126" s="1616" t="s">
        <v>15</v>
      </c>
      <c r="G126" s="1618">
        <v>500000</v>
      </c>
      <c r="H126" s="1619"/>
      <c r="I126" s="1623" t="str">
        <f t="shared" si="2"/>
        <v>Vat Sa Na</v>
      </c>
    </row>
    <row r="127" spans="1:9" ht="18.75" customHeight="1">
      <c r="A127" s="1614">
        <v>114</v>
      </c>
      <c r="B127" s="1615">
        <v>14</v>
      </c>
      <c r="C127" s="1616"/>
      <c r="D127" s="1616"/>
      <c r="E127" s="1617" t="s">
        <v>28</v>
      </c>
      <c r="F127" s="1616" t="s">
        <v>15</v>
      </c>
      <c r="G127" s="1618">
        <v>500000</v>
      </c>
      <c r="H127" s="1619"/>
      <c r="I127" s="1623" t="str">
        <f t="shared" si="2"/>
        <v>Xi La</v>
      </c>
    </row>
    <row r="128" spans="1:9" ht="18.75" customHeight="1">
      <c r="A128" s="1614">
        <v>115</v>
      </c>
      <c r="B128" s="1615">
        <v>15</v>
      </c>
      <c r="C128" s="1616"/>
      <c r="D128" s="1616"/>
      <c r="E128" s="1617" t="s">
        <v>29</v>
      </c>
      <c r="F128" s="1616" t="s">
        <v>15</v>
      </c>
      <c r="G128" s="1618">
        <v>500000</v>
      </c>
      <c r="H128" s="1619"/>
      <c r="I128" s="1623" t="str">
        <f t="shared" si="2"/>
        <v>Me Nhon</v>
      </c>
    </row>
    <row r="129" spans="1:9" ht="18.75" customHeight="1">
      <c r="A129" s="1614">
        <v>116</v>
      </c>
      <c r="B129" s="1615">
        <v>16</v>
      </c>
      <c r="C129" s="1616"/>
      <c r="D129" s="1616"/>
      <c r="E129" s="1617" t="s">
        <v>30</v>
      </c>
      <c r="F129" s="1616" t="s">
        <v>15</v>
      </c>
      <c r="G129" s="1618">
        <v>500000</v>
      </c>
      <c r="H129" s="1619"/>
      <c r="I129" s="1623" t="str">
        <f t="shared" si="2"/>
        <v>Ten (3)</v>
      </c>
    </row>
    <row r="130" spans="1:9" ht="18.75" customHeight="1">
      <c r="A130" s="1614">
        <v>117</v>
      </c>
      <c r="B130" s="1615">
        <v>17</v>
      </c>
      <c r="C130" s="1616"/>
      <c r="D130" s="1616"/>
      <c r="E130" s="1617" t="s">
        <v>31</v>
      </c>
      <c r="F130" s="1616" t="s">
        <v>15</v>
      </c>
      <c r="G130" s="1618">
        <v>500000</v>
      </c>
      <c r="H130" s="1619"/>
      <c r="I130" s="1623" t="str">
        <f t="shared" si="2"/>
        <v>Ki</v>
      </c>
    </row>
    <row r="131" spans="1:9" ht="18.75" customHeight="1">
      <c r="A131" s="1614">
        <v>118</v>
      </c>
      <c r="B131" s="1615">
        <v>18</v>
      </c>
      <c r="C131" s="1616"/>
      <c r="D131" s="1616"/>
      <c r="E131" s="1617" t="s">
        <v>32</v>
      </c>
      <c r="F131" s="1616" t="s">
        <v>15</v>
      </c>
      <c r="G131" s="1618">
        <v>500000</v>
      </c>
      <c r="H131" s="1619"/>
      <c r="I131" s="1623" t="str">
        <f t="shared" si="2"/>
        <v>Phết (3)</v>
      </c>
    </row>
    <row r="132" spans="1:9" ht="18.75" customHeight="1">
      <c r="A132" s="1614">
        <v>119</v>
      </c>
      <c r="B132" s="1615">
        <v>19</v>
      </c>
      <c r="C132" s="1616"/>
      <c r="D132" s="1616"/>
      <c r="E132" s="1617" t="s">
        <v>33</v>
      </c>
      <c r="F132" s="1616" t="s">
        <v>15</v>
      </c>
      <c r="G132" s="1618">
        <v>500000</v>
      </c>
      <c r="H132" s="1619"/>
      <c r="I132" s="1623" t="str">
        <f t="shared" si="2"/>
        <v>Phon (3)</v>
      </c>
    </row>
    <row r="133" spans="1:9" ht="18.75" customHeight="1">
      <c r="A133" s="1614">
        <v>120</v>
      </c>
      <c r="B133" s="1615">
        <v>20</v>
      </c>
      <c r="C133" s="1616"/>
      <c r="D133" s="1616"/>
      <c r="E133" s="1617" t="s">
        <v>34</v>
      </c>
      <c r="F133" s="1616" t="s">
        <v>15</v>
      </c>
      <c r="G133" s="1618">
        <v>500000</v>
      </c>
      <c r="H133" s="1619"/>
      <c r="I133" s="1623" t="str">
        <f t="shared" si="2"/>
        <v>Nang Vone</v>
      </c>
    </row>
    <row r="134" spans="1:9" ht="18.75" customHeight="1">
      <c r="A134" s="1614">
        <v>121</v>
      </c>
      <c r="B134" s="1615">
        <v>21</v>
      </c>
      <c r="C134" s="1616"/>
      <c r="D134" s="1616"/>
      <c r="E134" s="1617" t="s">
        <v>35</v>
      </c>
      <c r="F134" s="1616" t="s">
        <v>15</v>
      </c>
      <c r="G134" s="1618">
        <v>500000</v>
      </c>
      <c r="H134" s="1619"/>
      <c r="I134" s="1623" t="str">
        <f t="shared" si="2"/>
        <v>Lăng A</v>
      </c>
    </row>
    <row r="135" spans="1:9" ht="18.75" customHeight="1">
      <c r="A135" s="1614">
        <v>122</v>
      </c>
      <c r="B135" s="1615">
        <v>22</v>
      </c>
      <c r="C135" s="1616"/>
      <c r="D135" s="1616"/>
      <c r="E135" s="1617" t="s">
        <v>36</v>
      </c>
      <c r="F135" s="1616" t="s">
        <v>15</v>
      </c>
      <c r="G135" s="1618">
        <v>500000</v>
      </c>
      <c r="H135" s="1619"/>
      <c r="I135" s="1623" t="str">
        <f t="shared" si="2"/>
        <v>Nút</v>
      </c>
    </row>
    <row r="136" spans="1:9" ht="18.75" customHeight="1">
      <c r="A136" s="1614">
        <v>123</v>
      </c>
      <c r="B136" s="1615">
        <v>23</v>
      </c>
      <c r="C136" s="1616"/>
      <c r="D136" s="1616"/>
      <c r="E136" s="1617" t="s">
        <v>37</v>
      </c>
      <c r="F136" s="1616" t="s">
        <v>15</v>
      </c>
      <c r="G136" s="1618">
        <v>500000</v>
      </c>
      <c r="H136" s="1619"/>
      <c r="I136" s="1623" t="str">
        <f t="shared" si="2"/>
        <v>Xit</v>
      </c>
    </row>
    <row r="137" spans="1:9" ht="18.75" customHeight="1">
      <c r="A137" s="1614">
        <v>124</v>
      </c>
      <c r="B137" s="1615">
        <v>24</v>
      </c>
      <c r="C137" s="1616"/>
      <c r="D137" s="1616"/>
      <c r="E137" s="1617" t="s">
        <v>38</v>
      </c>
      <c r="F137" s="1616" t="s">
        <v>15</v>
      </c>
      <c r="G137" s="1618">
        <v>500000</v>
      </c>
      <c r="H137" s="1619"/>
      <c r="I137" s="1623" t="str">
        <f t="shared" si="2"/>
        <v>Kum Man</v>
      </c>
    </row>
    <row r="138" spans="1:9" ht="18.75" customHeight="1">
      <c r="A138" s="1614">
        <v>125</v>
      </c>
      <c r="B138" s="1615">
        <v>25</v>
      </c>
      <c r="C138" s="1616"/>
      <c r="D138" s="1616"/>
      <c r="E138" s="1617" t="s">
        <v>39</v>
      </c>
      <c r="F138" s="1616" t="s">
        <v>15</v>
      </c>
      <c r="G138" s="1618">
        <v>500000</v>
      </c>
      <c r="H138" s="1619"/>
      <c r="I138" s="1623" t="str">
        <f t="shared" si="2"/>
        <v>Xai Ta</v>
      </c>
    </row>
    <row r="139" spans="1:9" ht="18.75" customHeight="1">
      <c r="A139" s="1614">
        <v>126</v>
      </c>
      <c r="B139" s="1615">
        <v>26</v>
      </c>
      <c r="C139" s="1616"/>
      <c r="D139" s="1616"/>
      <c r="E139" s="1617" t="s">
        <v>40</v>
      </c>
      <c r="F139" s="1616" t="s">
        <v>15</v>
      </c>
      <c r="G139" s="1618">
        <v>500000</v>
      </c>
      <c r="H139" s="1619"/>
      <c r="I139" s="1623" t="str">
        <f t="shared" si="2"/>
        <v>Lươn</v>
      </c>
    </row>
    <row r="140" spans="1:9" ht="18.75" customHeight="1">
      <c r="A140" s="1614">
        <v>127</v>
      </c>
      <c r="B140" s="1615">
        <v>27</v>
      </c>
      <c r="C140" s="1616"/>
      <c r="D140" s="1616"/>
      <c r="E140" s="1617" t="s">
        <v>41</v>
      </c>
      <c r="F140" s="1616" t="s">
        <v>15</v>
      </c>
      <c r="G140" s="1618">
        <v>500000</v>
      </c>
      <c r="H140" s="1619"/>
      <c r="I140" s="1623" t="str">
        <f t="shared" si="2"/>
        <v>Nàng Lên</v>
      </c>
    </row>
    <row r="141" spans="1:9" ht="18.75" customHeight="1">
      <c r="A141" s="1614">
        <v>128</v>
      </c>
      <c r="B141" s="1615">
        <v>28</v>
      </c>
      <c r="C141" s="1616"/>
      <c r="D141" s="1616"/>
      <c r="E141" s="1617" t="s">
        <v>42</v>
      </c>
      <c r="F141" s="1616" t="s">
        <v>15</v>
      </c>
      <c r="G141" s="1618">
        <v>500000</v>
      </c>
      <c r="H141" s="1619"/>
      <c r="I141" s="1623" t="str">
        <f t="shared" si="2"/>
        <v>Nọi (3)</v>
      </c>
    </row>
    <row r="142" spans="1:9" ht="18.75" customHeight="1">
      <c r="A142" s="1614">
        <v>129</v>
      </c>
      <c r="B142" s="1615">
        <v>29</v>
      </c>
      <c r="C142" s="1616"/>
      <c r="D142" s="1616"/>
      <c r="E142" s="1617" t="s">
        <v>43</v>
      </c>
      <c r="F142" s="1616" t="s">
        <v>15</v>
      </c>
      <c r="G142" s="1618">
        <v>500000</v>
      </c>
      <c r="H142" s="1619"/>
      <c r="I142" s="1623" t="str">
        <f t="shared" si="2"/>
        <v>Lên</v>
      </c>
    </row>
    <row r="143" spans="1:9" ht="18.75" customHeight="1">
      <c r="A143" s="1614">
        <v>130</v>
      </c>
      <c r="B143" s="1615">
        <v>30</v>
      </c>
      <c r="C143" s="1616"/>
      <c r="D143" s="1616"/>
      <c r="E143" s="1617" t="s">
        <v>44</v>
      </c>
      <c r="F143" s="1616" t="s">
        <v>15</v>
      </c>
      <c r="G143" s="1618">
        <v>500000</v>
      </c>
      <c r="H143" s="1619"/>
      <c r="I143" s="1623" t="str">
        <f t="shared" si="2"/>
        <v>Khắn</v>
      </c>
    </row>
    <row r="144" spans="1:9" ht="18.75" customHeight="1">
      <c r="A144" s="1614">
        <v>131</v>
      </c>
      <c r="B144" s="1615">
        <v>31</v>
      </c>
      <c r="C144" s="1616"/>
      <c r="D144" s="1616"/>
      <c r="E144" s="1617" t="s">
        <v>45</v>
      </c>
      <c r="F144" s="1616" t="s">
        <v>15</v>
      </c>
      <c r="G144" s="1618">
        <v>500000</v>
      </c>
      <c r="H144" s="1619"/>
      <c r="I144" s="1623" t="str">
        <f t="shared" si="2"/>
        <v>XumMai</v>
      </c>
    </row>
    <row r="145" spans="1:17" ht="18.75" customHeight="1">
      <c r="A145" s="1614">
        <v>132</v>
      </c>
      <c r="B145" s="1615">
        <v>32</v>
      </c>
      <c r="C145" s="1616"/>
      <c r="D145" s="1616"/>
      <c r="E145" s="1617" t="s">
        <v>46</v>
      </c>
      <c r="F145" s="1616" t="s">
        <v>15</v>
      </c>
      <c r="G145" s="1618">
        <v>500000</v>
      </c>
      <c r="H145" s="1619"/>
      <c r="I145" s="1623" t="str">
        <f t="shared" si="2"/>
        <v>Nang Ny</v>
      </c>
    </row>
    <row r="146" spans="1:17" ht="18.75" customHeight="1">
      <c r="A146" s="1614">
        <v>133</v>
      </c>
      <c r="B146" s="1615">
        <v>33</v>
      </c>
      <c r="C146" s="1616"/>
      <c r="D146" s="1616"/>
      <c r="E146" s="1617" t="s">
        <v>47</v>
      </c>
      <c r="F146" s="1616" t="s">
        <v>15</v>
      </c>
      <c r="G146" s="1618">
        <v>500000</v>
      </c>
      <c r="H146" s="1619"/>
      <c r="I146" s="1623" t="str">
        <f t="shared" si="2"/>
        <v>Kẹo Ta</v>
      </c>
    </row>
    <row r="147" spans="1:17" ht="18.75" customHeight="1">
      <c r="A147" s="1614">
        <v>134</v>
      </c>
      <c r="B147" s="1615">
        <v>34</v>
      </c>
      <c r="C147" s="1616"/>
      <c r="D147" s="1616"/>
      <c r="E147" s="1617" t="s">
        <v>48</v>
      </c>
      <c r="F147" s="1616" t="s">
        <v>15</v>
      </c>
      <c r="G147" s="1618">
        <v>500000</v>
      </c>
      <c r="H147" s="1619"/>
      <c r="I147" s="1623" t="str">
        <f t="shared" si="2"/>
        <v>Pom</v>
      </c>
    </row>
    <row r="148" spans="1:17" ht="18.75" customHeight="1">
      <c r="A148" s="1614">
        <v>135</v>
      </c>
      <c r="B148" s="1615">
        <v>35</v>
      </c>
      <c r="C148" s="1616"/>
      <c r="D148" s="1616"/>
      <c r="E148" s="1617" t="s">
        <v>49</v>
      </c>
      <c r="F148" s="1616" t="s">
        <v>15</v>
      </c>
      <c r="G148" s="1618">
        <v>500000</v>
      </c>
      <c r="H148" s="1619"/>
      <c r="I148" s="1623" t="str">
        <f t="shared" si="2"/>
        <v>Cong</v>
      </c>
    </row>
    <row r="149" spans="1:17" ht="18.75" customHeight="1">
      <c r="A149" s="1614">
        <v>136</v>
      </c>
      <c r="B149" s="1615">
        <v>36</v>
      </c>
      <c r="C149" s="1616"/>
      <c r="D149" s="1616"/>
      <c r="E149" s="1617" t="s">
        <v>50</v>
      </c>
      <c r="F149" s="1616" t="s">
        <v>15</v>
      </c>
      <c r="G149" s="1618">
        <v>500000</v>
      </c>
      <c r="H149" s="1619"/>
      <c r="I149" s="1623" t="str">
        <f t="shared" si="2"/>
        <v>Khăm B</v>
      </c>
    </row>
    <row r="150" spans="1:17" ht="18.75" customHeight="1">
      <c r="A150" s="1614">
        <v>137</v>
      </c>
      <c r="B150" s="1615">
        <v>37</v>
      </c>
      <c r="C150" s="1616"/>
      <c r="D150" s="1616"/>
      <c r="E150" s="1617" t="s">
        <v>51</v>
      </c>
      <c r="F150" s="1616" t="s">
        <v>15</v>
      </c>
      <c r="G150" s="1618">
        <v>500000</v>
      </c>
      <c r="H150" s="1619"/>
      <c r="I150" s="1623" t="str">
        <f t="shared" si="2"/>
        <v>Khôn</v>
      </c>
    </row>
    <row r="151" spans="1:17" ht="18.75" customHeight="1">
      <c r="A151" s="1614">
        <v>138</v>
      </c>
      <c r="B151" s="1615">
        <v>38</v>
      </c>
      <c r="C151" s="1616"/>
      <c r="D151" s="1616"/>
      <c r="E151" s="1617" t="s">
        <v>52</v>
      </c>
      <c r="F151" s="1616" t="s">
        <v>15</v>
      </c>
      <c r="G151" s="1618">
        <v>500000</v>
      </c>
      <c r="H151" s="1619"/>
      <c r="I151" s="1623" t="str">
        <f t="shared" si="2"/>
        <v>Xing</v>
      </c>
    </row>
    <row r="152" spans="1:17" ht="18.75" customHeight="1">
      <c r="A152" s="1614">
        <v>139</v>
      </c>
      <c r="B152" s="1615">
        <v>39</v>
      </c>
      <c r="C152" s="1616"/>
      <c r="D152" s="1616"/>
      <c r="E152" s="1617" t="s">
        <v>53</v>
      </c>
      <c r="F152" s="1616" t="s">
        <v>15</v>
      </c>
      <c r="G152" s="1618">
        <v>500000</v>
      </c>
      <c r="H152" s="1619"/>
      <c r="I152" s="1623" t="str">
        <f t="shared" si="2"/>
        <v>Kị To</v>
      </c>
    </row>
    <row r="153" spans="1:17" ht="18.75" customHeight="1">
      <c r="A153" s="1614">
        <v>140</v>
      </c>
      <c r="B153" s="1615">
        <v>40</v>
      </c>
      <c r="C153" s="1616"/>
      <c r="D153" s="1616"/>
      <c r="E153" s="1617" t="s">
        <v>54</v>
      </c>
      <c r="F153" s="1616" t="s">
        <v>15</v>
      </c>
      <c r="G153" s="1618">
        <v>500000</v>
      </c>
      <c r="H153" s="1619"/>
      <c r="I153" s="1623" t="str">
        <f t="shared" si="2"/>
        <v>Thảo Ký</v>
      </c>
    </row>
    <row r="154" spans="1:17" ht="18.75" customHeight="1">
      <c r="A154" s="1614">
        <v>141</v>
      </c>
      <c r="B154" s="1615">
        <v>41</v>
      </c>
      <c r="C154" s="1616"/>
      <c r="D154" s="1616"/>
      <c r="E154" s="1617" t="s">
        <v>55</v>
      </c>
      <c r="F154" s="1616" t="s">
        <v>15</v>
      </c>
      <c r="G154" s="1618">
        <v>500000</v>
      </c>
      <c r="H154" s="1619"/>
      <c r="I154" s="1623" t="str">
        <f t="shared" si="2"/>
        <v>Nam Phon</v>
      </c>
    </row>
    <row r="155" spans="1:17" ht="18.75" customHeight="1">
      <c r="A155" s="1614">
        <v>142</v>
      </c>
      <c r="B155" s="1615">
        <v>42</v>
      </c>
      <c r="C155" s="1616"/>
      <c r="D155" s="1616"/>
      <c r="E155" s="1617" t="s">
        <v>56</v>
      </c>
      <c r="F155" s="1616" t="s">
        <v>15</v>
      </c>
      <c r="G155" s="1618">
        <v>500000</v>
      </c>
      <c r="H155" s="1619"/>
      <c r="I155" s="1623" t="str">
        <f t="shared" si="2"/>
        <v>Lon</v>
      </c>
    </row>
    <row r="156" spans="1:17" ht="18.75" customHeight="1">
      <c r="A156" s="1614">
        <v>143</v>
      </c>
      <c r="B156" s="1615">
        <v>43</v>
      </c>
      <c r="C156" s="1616"/>
      <c r="D156" s="1616"/>
      <c r="E156" s="1617" t="s">
        <v>57</v>
      </c>
      <c r="F156" s="1616" t="s">
        <v>15</v>
      </c>
      <c r="G156" s="1618">
        <v>500000</v>
      </c>
      <c r="H156" s="1619"/>
      <c r="I156" s="1623" t="str">
        <f t="shared" si="2"/>
        <v>Me Son</v>
      </c>
    </row>
    <row r="157" spans="1:17" ht="18.75" customHeight="1">
      <c r="A157" s="1614">
        <v>144</v>
      </c>
      <c r="B157" s="1615">
        <v>44</v>
      </c>
      <c r="C157" s="1616"/>
      <c r="D157" s="1616"/>
      <c r="E157" s="1617" t="s">
        <v>59</v>
      </c>
      <c r="F157" s="1616" t="s">
        <v>15</v>
      </c>
      <c r="G157" s="1618">
        <v>500000</v>
      </c>
      <c r="H157" s="1619"/>
      <c r="I157" s="1623" t="str">
        <f t="shared" si="2"/>
        <v>Nít</v>
      </c>
    </row>
    <row r="158" spans="1:17" ht="18.75" customHeight="1">
      <c r="A158" s="1614">
        <v>145</v>
      </c>
      <c r="B158" s="1615">
        <v>45</v>
      </c>
      <c r="C158" s="1616"/>
      <c r="D158" s="1616"/>
      <c r="E158" s="1617" t="s">
        <v>60</v>
      </c>
      <c r="F158" s="1616" t="s">
        <v>15</v>
      </c>
      <c r="G158" s="1618">
        <v>500000</v>
      </c>
      <c r="H158" s="1619"/>
      <c r="I158" s="1623" t="str">
        <f t="shared" si="2"/>
        <v>Nui</v>
      </c>
      <c r="Q158" s="1624">
        <f>760.5-48.5</f>
        <v>712</v>
      </c>
    </row>
    <row r="159" spans="1:17" ht="18.75" customHeight="1">
      <c r="A159" s="1614">
        <v>146</v>
      </c>
      <c r="B159" s="1615">
        <v>46</v>
      </c>
      <c r="C159" s="1616"/>
      <c r="D159" s="1616"/>
      <c r="E159" s="1617" t="s">
        <v>61</v>
      </c>
      <c r="F159" s="1616" t="s">
        <v>15</v>
      </c>
      <c r="G159" s="1618">
        <v>500000</v>
      </c>
      <c r="H159" s="1619"/>
      <c r="I159" s="1623" t="str">
        <f t="shared" si="2"/>
        <v>Đuông Chăn</v>
      </c>
      <c r="Q159" s="1605">
        <f>+Q158*30</f>
        <v>21360</v>
      </c>
    </row>
    <row r="160" spans="1:17" ht="18.75" customHeight="1">
      <c r="A160" s="1614">
        <v>147</v>
      </c>
      <c r="B160" s="1615">
        <v>47</v>
      </c>
      <c r="C160" s="1616"/>
      <c r="D160" s="1616"/>
      <c r="E160" s="1617" t="s">
        <v>62</v>
      </c>
      <c r="F160" s="1616" t="s">
        <v>15</v>
      </c>
      <c r="G160" s="1618">
        <v>500000</v>
      </c>
      <c r="H160" s="1619"/>
      <c r="I160" s="1623" t="str">
        <f t="shared" si="2"/>
        <v>Đăm (3)</v>
      </c>
    </row>
    <row r="161" spans="1:9" ht="18.75" customHeight="1">
      <c r="A161" s="1614">
        <v>148</v>
      </c>
      <c r="B161" s="1615">
        <v>48</v>
      </c>
      <c r="C161" s="1616"/>
      <c r="D161" s="1616"/>
      <c r="E161" s="1617" t="s">
        <v>63</v>
      </c>
      <c r="F161" s="1616" t="s">
        <v>15</v>
      </c>
      <c r="G161" s="1618">
        <v>500000</v>
      </c>
      <c r="H161" s="1619"/>
      <c r="I161" s="1623" t="str">
        <f t="shared" si="2"/>
        <v>Hăm Nọi A</v>
      </c>
    </row>
    <row r="162" spans="1:9" ht="18.75" customHeight="1">
      <c r="A162" s="1614">
        <v>149</v>
      </c>
      <c r="B162" s="1615">
        <v>49</v>
      </c>
      <c r="C162" s="1616"/>
      <c r="D162" s="1616"/>
      <c r="E162" s="1617" t="s">
        <v>64</v>
      </c>
      <c r="F162" s="1616" t="s">
        <v>15</v>
      </c>
      <c r="G162" s="1618">
        <v>500000</v>
      </c>
      <c r="H162" s="1619"/>
      <c r="I162" s="1623" t="str">
        <f t="shared" si="2"/>
        <v>Hip</v>
      </c>
    </row>
    <row r="163" spans="1:9" ht="18.75" customHeight="1">
      <c r="A163" s="1614">
        <v>150</v>
      </c>
      <c r="B163" s="1615">
        <v>50</v>
      </c>
      <c r="C163" s="1616"/>
      <c r="D163" s="1616"/>
      <c r="E163" s="1617" t="s">
        <v>65</v>
      </c>
      <c r="F163" s="1616" t="s">
        <v>15</v>
      </c>
      <c r="G163" s="1618">
        <v>500000</v>
      </c>
      <c r="H163" s="1619"/>
      <c r="I163" s="1623" t="str">
        <f t="shared" si="2"/>
        <v>Hăm Noi B</v>
      </c>
    </row>
    <row r="164" spans="1:9" ht="18.75" customHeight="1">
      <c r="A164" s="1614">
        <v>151</v>
      </c>
      <c r="B164" s="1615">
        <v>51</v>
      </c>
      <c r="C164" s="1616"/>
      <c r="D164" s="1616"/>
      <c r="E164" s="1617" t="s">
        <v>66</v>
      </c>
      <c r="F164" s="1616" t="s">
        <v>15</v>
      </c>
      <c r="G164" s="1618">
        <v>500000</v>
      </c>
      <c r="H164" s="1619"/>
      <c r="I164" s="1623" t="str">
        <f t="shared" si="2"/>
        <v>Tụp</v>
      </c>
    </row>
    <row r="165" spans="1:9" ht="18.75" customHeight="1">
      <c r="A165" s="1614">
        <v>152</v>
      </c>
      <c r="B165" s="1615">
        <v>52</v>
      </c>
      <c r="C165" s="1616"/>
      <c r="D165" s="1616"/>
      <c r="E165" s="1617" t="s">
        <v>67</v>
      </c>
      <c r="F165" s="1616" t="s">
        <v>15</v>
      </c>
      <c r="G165" s="1618">
        <v>500000</v>
      </c>
      <c r="H165" s="1619"/>
      <c r="I165" s="1623" t="str">
        <f t="shared" si="2"/>
        <v>S Ting</v>
      </c>
    </row>
    <row r="166" spans="1:9" ht="18.75" customHeight="1">
      <c r="A166" s="1614">
        <v>153</v>
      </c>
      <c r="B166" s="1615">
        <v>53</v>
      </c>
      <c r="C166" s="1616"/>
      <c r="D166" s="1616"/>
      <c r="E166" s="1617" t="s">
        <v>68</v>
      </c>
      <c r="F166" s="1616" t="s">
        <v>15</v>
      </c>
      <c r="G166" s="1618">
        <v>500000</v>
      </c>
      <c r="H166" s="1619"/>
      <c r="I166" s="1623" t="str">
        <f t="shared" si="2"/>
        <v>Tom</v>
      </c>
    </row>
    <row r="167" spans="1:9" ht="18.75" customHeight="1">
      <c r="A167" s="1614">
        <v>154</v>
      </c>
      <c r="B167" s="1615">
        <v>54</v>
      </c>
      <c r="C167" s="1616"/>
      <c r="D167" s="1616"/>
      <c r="E167" s="1617" t="s">
        <v>69</v>
      </c>
      <c r="F167" s="1616" t="s">
        <v>15</v>
      </c>
      <c r="G167" s="1618">
        <v>500000</v>
      </c>
      <c r="H167" s="1619"/>
      <c r="I167" s="1623" t="str">
        <f t="shared" si="2"/>
        <v>Nang Py</v>
      </c>
    </row>
    <row r="168" spans="1:9" ht="18.75" customHeight="1">
      <c r="A168" s="1614">
        <v>155</v>
      </c>
      <c r="B168" s="1615">
        <v>55</v>
      </c>
      <c r="C168" s="1616"/>
      <c r="D168" s="1616"/>
      <c r="E168" s="1617" t="s">
        <v>70</v>
      </c>
      <c r="F168" s="1616" t="s">
        <v>15</v>
      </c>
      <c r="G168" s="1618">
        <v>500000</v>
      </c>
      <c r="H168" s="1619"/>
      <c r="I168" s="1623" t="str">
        <f t="shared" si="2"/>
        <v>Ô</v>
      </c>
    </row>
    <row r="169" spans="1:9" ht="18.75" customHeight="1">
      <c r="A169" s="1614">
        <v>156</v>
      </c>
      <c r="B169" s="1615">
        <v>56</v>
      </c>
      <c r="C169" s="1616"/>
      <c r="D169" s="1616"/>
      <c r="E169" s="1617" t="s">
        <v>71</v>
      </c>
      <c r="F169" s="1616" t="s">
        <v>15</v>
      </c>
      <c r="G169" s="1618">
        <v>500000</v>
      </c>
      <c r="H169" s="1619"/>
      <c r="I169" s="1623" t="str">
        <f t="shared" si="2"/>
        <v>Văn Thong</v>
      </c>
    </row>
    <row r="170" spans="1:9" ht="18.75" customHeight="1">
      <c r="A170" s="1614">
        <v>157</v>
      </c>
      <c r="B170" s="1615">
        <v>57</v>
      </c>
      <c r="C170" s="1616"/>
      <c r="D170" s="1616"/>
      <c r="E170" s="1617" t="s">
        <v>72</v>
      </c>
      <c r="F170" s="1616" t="s">
        <v>15</v>
      </c>
      <c r="G170" s="1618">
        <v>500000</v>
      </c>
      <c r="H170" s="1619"/>
      <c r="I170" s="1623" t="str">
        <f t="shared" si="2"/>
        <v>Va</v>
      </c>
    </row>
    <row r="171" spans="1:9" ht="18.75" customHeight="1">
      <c r="A171" s="1614">
        <v>158</v>
      </c>
      <c r="B171" s="1615">
        <v>58</v>
      </c>
      <c r="C171" s="1616"/>
      <c r="D171" s="1616"/>
      <c r="E171" s="1617" t="s">
        <v>74</v>
      </c>
      <c r="F171" s="1616" t="s">
        <v>15</v>
      </c>
      <c r="G171" s="1618">
        <v>500000</v>
      </c>
      <c r="H171" s="1619"/>
      <c r="I171" s="1623" t="str">
        <f t="shared" si="2"/>
        <v>Pông</v>
      </c>
    </row>
    <row r="172" spans="1:9" ht="18.75" customHeight="1">
      <c r="A172" s="1614">
        <v>159</v>
      </c>
      <c r="B172" s="1615">
        <v>59</v>
      </c>
      <c r="C172" s="1616"/>
      <c r="D172" s="1616"/>
      <c r="E172" s="1617" t="s">
        <v>75</v>
      </c>
      <c r="F172" s="1616" t="s">
        <v>15</v>
      </c>
      <c r="G172" s="1618">
        <v>500000</v>
      </c>
      <c r="H172" s="1619"/>
      <c r="I172" s="1623" t="str">
        <f t="shared" si="2"/>
        <v>Nang Híp</v>
      </c>
    </row>
    <row r="173" spans="1:9" ht="18.75" customHeight="1">
      <c r="A173" s="1614">
        <v>160</v>
      </c>
      <c r="B173" s="1615">
        <v>60</v>
      </c>
      <c r="C173" s="1616"/>
      <c r="D173" s="1616"/>
      <c r="E173" s="1617" t="s">
        <v>76</v>
      </c>
      <c r="F173" s="1616" t="s">
        <v>15</v>
      </c>
      <c r="G173" s="1618">
        <v>500000</v>
      </c>
      <c r="H173" s="1619"/>
      <c r="I173" s="1623" t="str">
        <f t="shared" si="2"/>
        <v>Khăn Ma</v>
      </c>
    </row>
    <row r="174" spans="1:9" ht="18.75" customHeight="1">
      <c r="A174" s="1614">
        <v>161</v>
      </c>
      <c r="B174" s="1615">
        <v>61</v>
      </c>
      <c r="C174" s="1616"/>
      <c r="D174" s="1616"/>
      <c r="E174" s="1617" t="s">
        <v>77</v>
      </c>
      <c r="F174" s="1616" t="s">
        <v>15</v>
      </c>
      <c r="G174" s="1618">
        <v>500000</v>
      </c>
      <c r="H174" s="1619"/>
      <c r="I174" s="1623" t="str">
        <f t="shared" si="2"/>
        <v>Nàng Son</v>
      </c>
    </row>
    <row r="175" spans="1:9" ht="18.75" customHeight="1">
      <c r="A175" s="1614">
        <v>162</v>
      </c>
      <c r="B175" s="1615">
        <v>62</v>
      </c>
      <c r="C175" s="1616"/>
      <c r="D175" s="1616"/>
      <c r="E175" s="1617" t="s">
        <v>78</v>
      </c>
      <c r="F175" s="1616" t="s">
        <v>15</v>
      </c>
      <c r="G175" s="1618">
        <v>500000</v>
      </c>
      <c r="H175" s="1619"/>
      <c r="I175" s="1623" t="str">
        <f t="shared" si="2"/>
        <v>Khăm Bun</v>
      </c>
    </row>
    <row r="176" spans="1:9" ht="18.75" customHeight="1">
      <c r="A176" s="1614">
        <v>163</v>
      </c>
      <c r="B176" s="1615">
        <v>63</v>
      </c>
      <c r="C176" s="1616"/>
      <c r="D176" s="1616"/>
      <c r="E176" s="1617" t="s">
        <v>79</v>
      </c>
      <c r="F176" s="1616" t="s">
        <v>15</v>
      </c>
      <c r="G176" s="1618">
        <v>500000</v>
      </c>
      <c r="H176" s="1619"/>
      <c r="I176" s="1623" t="str">
        <f t="shared" si="2"/>
        <v>Chọt</v>
      </c>
    </row>
    <row r="177" spans="1:9" ht="18.75" customHeight="1">
      <c r="A177" s="1614">
        <v>164</v>
      </c>
      <c r="B177" s="1615">
        <v>64</v>
      </c>
      <c r="C177" s="1616"/>
      <c r="D177" s="1616"/>
      <c r="E177" s="1617" t="s">
        <v>80</v>
      </c>
      <c r="F177" s="1616" t="s">
        <v>15</v>
      </c>
      <c r="G177" s="1618">
        <v>500000</v>
      </c>
      <c r="H177" s="1619"/>
      <c r="I177" s="1623" t="str">
        <f t="shared" si="2"/>
        <v>Đen</v>
      </c>
    </row>
    <row r="178" spans="1:9" ht="18.75" customHeight="1">
      <c r="A178" s="1614">
        <v>165</v>
      </c>
      <c r="B178" s="1615">
        <v>65</v>
      </c>
      <c r="C178" s="1616"/>
      <c r="D178" s="1616"/>
      <c r="E178" s="1617" t="s">
        <v>81</v>
      </c>
      <c r="F178" s="1616" t="s">
        <v>15</v>
      </c>
      <c r="G178" s="1618">
        <v>500000</v>
      </c>
      <c r="H178" s="1619"/>
      <c r="I178" s="1623" t="str">
        <f t="shared" ref="I178:I199" si="3">E178</f>
        <v>Tà (3)</v>
      </c>
    </row>
    <row r="179" spans="1:9" ht="18.75" customHeight="1">
      <c r="A179" s="1614">
        <v>166</v>
      </c>
      <c r="B179" s="1615">
        <v>66</v>
      </c>
      <c r="C179" s="1616"/>
      <c r="D179" s="1616"/>
      <c r="E179" s="1617" t="s">
        <v>82</v>
      </c>
      <c r="F179" s="1616" t="s">
        <v>15</v>
      </c>
      <c r="G179" s="1618">
        <v>500000</v>
      </c>
      <c r="H179" s="1619"/>
      <c r="I179" s="1623" t="str">
        <f t="shared" si="3"/>
        <v>Nang Hắc</v>
      </c>
    </row>
    <row r="180" spans="1:9" ht="18.75" customHeight="1">
      <c r="A180" s="1614">
        <v>167</v>
      </c>
      <c r="B180" s="1615">
        <v>67</v>
      </c>
      <c r="C180" s="1616"/>
      <c r="D180" s="1616"/>
      <c r="E180" s="1617" t="s">
        <v>83</v>
      </c>
      <c r="F180" s="1616" t="s">
        <v>15</v>
      </c>
      <c r="G180" s="1618">
        <v>500000</v>
      </c>
      <c r="H180" s="1619"/>
      <c r="I180" s="1623" t="str">
        <f t="shared" si="3"/>
        <v>Tia</v>
      </c>
    </row>
    <row r="181" spans="1:9" ht="18.75" customHeight="1">
      <c r="A181" s="1614">
        <v>168</v>
      </c>
      <c r="B181" s="1615">
        <v>68</v>
      </c>
      <c r="C181" s="1616"/>
      <c r="D181" s="1616"/>
      <c r="E181" s="1617" t="s">
        <v>84</v>
      </c>
      <c r="F181" s="1616" t="s">
        <v>15</v>
      </c>
      <c r="G181" s="1618">
        <v>500000</v>
      </c>
      <c r="H181" s="1619"/>
      <c r="I181" s="1623" t="str">
        <f t="shared" si="3"/>
        <v>Lăm Phon (3)</v>
      </c>
    </row>
    <row r="182" spans="1:9" ht="18.75" customHeight="1">
      <c r="A182" s="1614">
        <v>169</v>
      </c>
      <c r="B182" s="1615">
        <v>69</v>
      </c>
      <c r="C182" s="1616"/>
      <c r="D182" s="1616"/>
      <c r="E182" s="1617" t="s">
        <v>85</v>
      </c>
      <c r="F182" s="1616" t="s">
        <v>15</v>
      </c>
      <c r="G182" s="1618">
        <v>500000</v>
      </c>
      <c r="H182" s="1619"/>
      <c r="I182" s="1623" t="str">
        <f t="shared" si="3"/>
        <v>Chít</v>
      </c>
    </row>
    <row r="183" spans="1:9" ht="18.75" customHeight="1">
      <c r="A183" s="1614">
        <v>170</v>
      </c>
      <c r="B183" s="1615">
        <v>70</v>
      </c>
      <c r="C183" s="1616"/>
      <c r="D183" s="1616"/>
      <c r="E183" s="1617" t="s">
        <v>86</v>
      </c>
      <c r="F183" s="1616" t="s">
        <v>15</v>
      </c>
      <c r="G183" s="1618">
        <v>500000</v>
      </c>
      <c r="H183" s="1619"/>
      <c r="I183" s="1623" t="str">
        <f t="shared" si="3"/>
        <v>Lay</v>
      </c>
    </row>
    <row r="184" spans="1:9" ht="18.75" customHeight="1">
      <c r="A184" s="1614">
        <v>171</v>
      </c>
      <c r="B184" s="1615">
        <v>71</v>
      </c>
      <c r="C184" s="1616"/>
      <c r="D184" s="1616"/>
      <c r="E184" s="1617" t="s">
        <v>87</v>
      </c>
      <c r="F184" s="1616" t="s">
        <v>15</v>
      </c>
      <c r="G184" s="1618">
        <v>500000</v>
      </c>
      <c r="H184" s="1619"/>
      <c r="I184" s="1623" t="str">
        <f t="shared" si="3"/>
        <v>Thá</v>
      </c>
    </row>
    <row r="185" spans="1:9" ht="18.75" customHeight="1">
      <c r="A185" s="1614">
        <v>172</v>
      </c>
      <c r="B185" s="1615">
        <v>72</v>
      </c>
      <c r="C185" s="1616"/>
      <c r="D185" s="1616"/>
      <c r="E185" s="1617" t="s">
        <v>88</v>
      </c>
      <c r="F185" s="1616" t="s">
        <v>15</v>
      </c>
      <c r="G185" s="1618">
        <v>500000</v>
      </c>
      <c r="H185" s="1619"/>
      <c r="I185" s="1623" t="str">
        <f t="shared" si="3"/>
        <v>Lệ</v>
      </c>
    </row>
    <row r="186" spans="1:9" ht="18.75" customHeight="1">
      <c r="A186" s="1614">
        <v>173</v>
      </c>
      <c r="B186" s="1615">
        <v>73</v>
      </c>
      <c r="C186" s="1616"/>
      <c r="D186" s="1616"/>
      <c r="E186" s="1617" t="s">
        <v>89</v>
      </c>
      <c r="F186" s="1616" t="s">
        <v>15</v>
      </c>
      <c r="G186" s="1618">
        <v>500000</v>
      </c>
      <c r="H186" s="1619"/>
      <c r="I186" s="1623" t="str">
        <f t="shared" si="3"/>
        <v>Ling</v>
      </c>
    </row>
    <row r="187" spans="1:9" ht="18.75" customHeight="1">
      <c r="A187" s="1614">
        <v>174</v>
      </c>
      <c r="B187" s="1615">
        <v>74</v>
      </c>
      <c r="C187" s="1616"/>
      <c r="D187" s="1616"/>
      <c r="E187" s="1617" t="s">
        <v>90</v>
      </c>
      <c r="F187" s="1616" t="s">
        <v>15</v>
      </c>
      <c r="G187" s="1618">
        <v>500000</v>
      </c>
      <c r="H187" s="1619"/>
      <c r="I187" s="1623" t="str">
        <f t="shared" si="3"/>
        <v>Loi</v>
      </c>
    </row>
    <row r="188" spans="1:9" ht="18.75" customHeight="1">
      <c r="A188" s="1614">
        <v>175</v>
      </c>
      <c r="B188" s="1615">
        <v>75</v>
      </c>
      <c r="C188" s="1616"/>
      <c r="D188" s="1616"/>
      <c r="E188" s="1617" t="s">
        <v>91</v>
      </c>
      <c r="F188" s="1616" t="s">
        <v>15</v>
      </c>
      <c r="G188" s="1618">
        <v>500000</v>
      </c>
      <c r="H188" s="1619"/>
      <c r="I188" s="1623" t="str">
        <f t="shared" si="3"/>
        <v>Thảo Pha</v>
      </c>
    </row>
    <row r="189" spans="1:9" ht="18.75" customHeight="1">
      <c r="A189" s="1614">
        <v>176</v>
      </c>
      <c r="B189" s="1615">
        <v>76</v>
      </c>
      <c r="C189" s="1616"/>
      <c r="D189" s="1616"/>
      <c r="E189" s="1617" t="s">
        <v>92</v>
      </c>
      <c r="F189" s="1616" t="s">
        <v>15</v>
      </c>
      <c r="G189" s="1618">
        <v>500000</v>
      </c>
      <c r="H189" s="1619"/>
      <c r="I189" s="1623" t="str">
        <f t="shared" si="3"/>
        <v>Ka Te</v>
      </c>
    </row>
    <row r="190" spans="1:9" ht="18.75" customHeight="1">
      <c r="A190" s="1614">
        <v>177</v>
      </c>
      <c r="B190" s="1615">
        <v>77</v>
      </c>
      <c r="C190" s="1616"/>
      <c r="D190" s="1616"/>
      <c r="E190" s="1617" t="s">
        <v>93</v>
      </c>
      <c r="F190" s="1616" t="s">
        <v>15</v>
      </c>
      <c r="G190" s="1618">
        <v>500000</v>
      </c>
      <c r="H190" s="1619"/>
      <c r="I190" s="1623" t="str">
        <f t="shared" si="3"/>
        <v>In Đia</v>
      </c>
    </row>
    <row r="191" spans="1:9" ht="18.75" customHeight="1">
      <c r="A191" s="1614">
        <v>178</v>
      </c>
      <c r="B191" s="1615">
        <v>78</v>
      </c>
      <c r="C191" s="1616"/>
      <c r="D191" s="1616"/>
      <c r="E191" s="1617" t="s">
        <v>94</v>
      </c>
      <c r="F191" s="1616" t="s">
        <v>15</v>
      </c>
      <c r="G191" s="1618">
        <v>500000</v>
      </c>
      <c r="H191" s="1619"/>
      <c r="I191" s="1623" t="str">
        <f t="shared" si="3"/>
        <v>Khăm Mừn</v>
      </c>
    </row>
    <row r="192" spans="1:9" ht="18.75" customHeight="1">
      <c r="A192" s="1614">
        <v>179</v>
      </c>
      <c r="B192" s="1615">
        <v>79</v>
      </c>
      <c r="C192" s="1616"/>
      <c r="D192" s="1616"/>
      <c r="E192" s="1617" t="s">
        <v>95</v>
      </c>
      <c r="F192" s="1616" t="s">
        <v>15</v>
      </c>
      <c r="G192" s="1618">
        <v>500000</v>
      </c>
      <c r="H192" s="1619"/>
      <c r="I192" s="1623" t="str">
        <f t="shared" si="3"/>
        <v>Choi (3)</v>
      </c>
    </row>
    <row r="193" spans="1:9" ht="18.75" customHeight="1">
      <c r="A193" s="1614">
        <v>180</v>
      </c>
      <c r="B193" s="1615">
        <v>80</v>
      </c>
      <c r="C193" s="1616"/>
      <c r="D193" s="1616"/>
      <c r="E193" s="1617" t="s">
        <v>96</v>
      </c>
      <c r="F193" s="1616" t="s">
        <v>15</v>
      </c>
      <c r="G193" s="1618">
        <v>500000</v>
      </c>
      <c r="H193" s="1619"/>
      <c r="I193" s="1623" t="str">
        <f t="shared" si="3"/>
        <v>Xi No</v>
      </c>
    </row>
    <row r="194" spans="1:9" ht="18.75" customHeight="1">
      <c r="A194" s="1614">
        <v>181</v>
      </c>
      <c r="B194" s="1615">
        <v>81</v>
      </c>
      <c r="C194" s="1616"/>
      <c r="D194" s="1616"/>
      <c r="E194" s="1617" t="s">
        <v>97</v>
      </c>
      <c r="F194" s="1616" t="s">
        <v>15</v>
      </c>
      <c r="G194" s="1618">
        <v>500000</v>
      </c>
      <c r="H194" s="1619"/>
      <c r="I194" s="1623" t="str">
        <f t="shared" si="3"/>
        <v>Lói</v>
      </c>
    </row>
    <row r="195" spans="1:9" ht="18.75" customHeight="1">
      <c r="A195" s="1614">
        <v>182</v>
      </c>
      <c r="B195" s="1615">
        <v>82</v>
      </c>
      <c r="C195" s="1616"/>
      <c r="D195" s="1616"/>
      <c r="E195" s="1617" t="s">
        <v>98</v>
      </c>
      <c r="F195" s="1616" t="s">
        <v>15</v>
      </c>
      <c r="G195" s="1618">
        <v>500000</v>
      </c>
      <c r="H195" s="1619"/>
      <c r="I195" s="1623" t="str">
        <f t="shared" si="3"/>
        <v>Ót</v>
      </c>
    </row>
    <row r="196" spans="1:9" ht="18.75" customHeight="1">
      <c r="A196" s="1614">
        <v>183</v>
      </c>
      <c r="B196" s="1615">
        <v>83</v>
      </c>
      <c r="C196" s="1616"/>
      <c r="D196" s="1616"/>
      <c r="E196" s="1617" t="s">
        <v>99</v>
      </c>
      <c r="F196" s="1616" t="s">
        <v>15</v>
      </c>
      <c r="G196" s="1618">
        <v>500000</v>
      </c>
      <c r="H196" s="1619"/>
      <c r="I196" s="1623" t="str">
        <f t="shared" si="3"/>
        <v>Son</v>
      </c>
    </row>
    <row r="197" spans="1:9" ht="18.75" customHeight="1">
      <c r="A197" s="1614">
        <v>184</v>
      </c>
      <c r="B197" s="1615">
        <v>84</v>
      </c>
      <c r="C197" s="1616"/>
      <c r="D197" s="1616"/>
      <c r="E197" s="1617" t="s">
        <v>100</v>
      </c>
      <c r="F197" s="1616" t="s">
        <v>15</v>
      </c>
      <c r="G197" s="1618">
        <v>500000</v>
      </c>
      <c r="H197" s="1619"/>
      <c r="I197" s="1623" t="str">
        <f t="shared" si="3"/>
        <v>Sét</v>
      </c>
    </row>
    <row r="198" spans="1:9" ht="18.75" customHeight="1">
      <c r="A198" s="1614">
        <v>185</v>
      </c>
      <c r="B198" s="1615">
        <v>85</v>
      </c>
      <c r="C198" s="1616"/>
      <c r="D198" s="1616"/>
      <c r="E198" s="1617" t="s">
        <v>101</v>
      </c>
      <c r="F198" s="1616" t="s">
        <v>15</v>
      </c>
      <c r="G198" s="1618">
        <v>500000</v>
      </c>
      <c r="H198" s="1619"/>
      <c r="I198" s="1623" t="str">
        <f t="shared" si="3"/>
        <v>Lan (3)</v>
      </c>
    </row>
    <row r="199" spans="1:9" ht="18.75" customHeight="1">
      <c r="A199" s="1614">
        <v>186</v>
      </c>
      <c r="B199" s="1615">
        <v>86</v>
      </c>
      <c r="C199" s="1616"/>
      <c r="D199" s="1616"/>
      <c r="E199" s="1617" t="s">
        <v>102</v>
      </c>
      <c r="F199" s="1616" t="s">
        <v>15</v>
      </c>
      <c r="G199" s="1618">
        <v>500000</v>
      </c>
      <c r="H199" s="1619"/>
      <c r="I199" s="1623" t="str">
        <f t="shared" si="3"/>
        <v>Tha Mon Ta</v>
      </c>
    </row>
    <row r="200" spans="1:9" ht="18.75" customHeight="1">
      <c r="A200" s="2228" t="s">
        <v>103</v>
      </c>
      <c r="B200" s="2229"/>
      <c r="C200" s="2229"/>
      <c r="D200" s="2229"/>
      <c r="E200" s="2229"/>
      <c r="F200" s="2230"/>
      <c r="G200" s="1625">
        <f>SUM(G201:G211)</f>
        <v>5500000</v>
      </c>
      <c r="H200" s="1626"/>
      <c r="I200" s="1626"/>
    </row>
    <row r="201" spans="1:9" ht="18.75" customHeight="1">
      <c r="A201" s="1614">
        <v>187</v>
      </c>
      <c r="B201" s="1615">
        <v>1</v>
      </c>
      <c r="C201" s="1616"/>
      <c r="D201" s="1616"/>
      <c r="E201" s="1627" t="s">
        <v>104</v>
      </c>
      <c r="F201" s="1616" t="s">
        <v>15</v>
      </c>
      <c r="G201" s="1618">
        <v>500000</v>
      </c>
      <c r="H201" s="1619"/>
      <c r="I201" s="1623" t="str">
        <f t="shared" ref="I201:I267" si="4">E201</f>
        <v>Thon</v>
      </c>
    </row>
    <row r="202" spans="1:9" ht="18.75" customHeight="1">
      <c r="A202" s="1614">
        <v>188</v>
      </c>
      <c r="B202" s="1615">
        <v>2</v>
      </c>
      <c r="C202" s="1616"/>
      <c r="D202" s="1616"/>
      <c r="E202" s="1627" t="s">
        <v>105</v>
      </c>
      <c r="F202" s="1616" t="s">
        <v>15</v>
      </c>
      <c r="G202" s="1618">
        <v>500000</v>
      </c>
      <c r="H202" s="1619"/>
      <c r="I202" s="1623" t="str">
        <f t="shared" si="4"/>
        <v>Nhon</v>
      </c>
    </row>
    <row r="203" spans="1:9" ht="18.75" customHeight="1">
      <c r="A203" s="1614">
        <v>189</v>
      </c>
      <c r="B203" s="1615">
        <v>3</v>
      </c>
      <c r="C203" s="1616"/>
      <c r="D203" s="1616"/>
      <c r="E203" s="1627" t="s">
        <v>106</v>
      </c>
      <c r="F203" s="1616" t="s">
        <v>15</v>
      </c>
      <c r="G203" s="1618">
        <v>500000</v>
      </c>
      <c r="H203" s="1619"/>
      <c r="I203" s="1623" t="str">
        <f t="shared" si="4"/>
        <v>Nàng Núi</v>
      </c>
    </row>
    <row r="204" spans="1:9" ht="18.75" customHeight="1">
      <c r="A204" s="1614">
        <v>190</v>
      </c>
      <c r="B204" s="1615">
        <v>4</v>
      </c>
      <c r="C204" s="1616"/>
      <c r="D204" s="1616"/>
      <c r="E204" s="1627" t="s">
        <v>107</v>
      </c>
      <c r="F204" s="1616" t="s">
        <v>15</v>
      </c>
      <c r="G204" s="1618">
        <v>500000</v>
      </c>
      <c r="H204" s="1619"/>
      <c r="I204" s="1623" t="str">
        <f t="shared" si="4"/>
        <v>Nàng Nú</v>
      </c>
    </row>
    <row r="205" spans="1:9" ht="18.75" customHeight="1">
      <c r="A205" s="1614">
        <v>191</v>
      </c>
      <c r="B205" s="1615">
        <v>5</v>
      </c>
      <c r="C205" s="1616"/>
      <c r="D205" s="1616"/>
      <c r="E205" s="1627" t="s">
        <v>108</v>
      </c>
      <c r="F205" s="1616" t="s">
        <v>15</v>
      </c>
      <c r="G205" s="1618">
        <v>500000</v>
      </c>
      <c r="H205" s="1619"/>
      <c r="I205" s="1623" t="str">
        <f t="shared" si="4"/>
        <v>Khăm</v>
      </c>
    </row>
    <row r="206" spans="1:9" ht="18.75" customHeight="1">
      <c r="A206" s="1614">
        <v>192</v>
      </c>
      <c r="B206" s="1615">
        <v>6</v>
      </c>
      <c r="C206" s="1616"/>
      <c r="D206" s="1616"/>
      <c r="E206" s="1627" t="s">
        <v>109</v>
      </c>
      <c r="F206" s="1616" t="s">
        <v>15</v>
      </c>
      <c r="G206" s="1618">
        <v>500000</v>
      </c>
      <c r="H206" s="1619"/>
      <c r="I206" s="1623" t="str">
        <f t="shared" si="4"/>
        <v>Nàng Bát</v>
      </c>
    </row>
    <row r="207" spans="1:9" ht="18.75" customHeight="1">
      <c r="A207" s="1614">
        <v>193</v>
      </c>
      <c r="B207" s="1615">
        <v>7</v>
      </c>
      <c r="C207" s="1616"/>
      <c r="D207" s="1616"/>
      <c r="E207" s="1627" t="s">
        <v>110</v>
      </c>
      <c r="F207" s="1616" t="s">
        <v>15</v>
      </c>
      <c r="G207" s="1618">
        <v>500000</v>
      </c>
      <c r="H207" s="1619"/>
      <c r="I207" s="1623" t="str">
        <f t="shared" si="4"/>
        <v>Dộc</v>
      </c>
    </row>
    <row r="208" spans="1:9" ht="18.75" customHeight="1">
      <c r="A208" s="1614">
        <v>194</v>
      </c>
      <c r="B208" s="1615">
        <v>8</v>
      </c>
      <c r="C208" s="1616"/>
      <c r="D208" s="1616"/>
      <c r="E208" s="1627" t="s">
        <v>111</v>
      </c>
      <c r="F208" s="1616" t="s">
        <v>15</v>
      </c>
      <c r="G208" s="1618">
        <v>500000</v>
      </c>
      <c r="H208" s="1619"/>
      <c r="I208" s="1623" t="str">
        <f t="shared" ref="I208:I209" si="5">E208</f>
        <v>Chăn (3)</v>
      </c>
    </row>
    <row r="209" spans="1:9" ht="18.75" customHeight="1">
      <c r="A209" s="1614">
        <v>195</v>
      </c>
      <c r="B209" s="1615">
        <v>9</v>
      </c>
      <c r="C209" s="1616"/>
      <c r="D209" s="1616"/>
      <c r="E209" s="1627" t="s">
        <v>112</v>
      </c>
      <c r="F209" s="1616" t="s">
        <v>15</v>
      </c>
      <c r="G209" s="1618">
        <v>500000</v>
      </c>
      <c r="H209" s="1619"/>
      <c r="I209" s="1623" t="str">
        <f t="shared" si="5"/>
        <v>Hát</v>
      </c>
    </row>
    <row r="210" spans="1:9" ht="18.75" customHeight="1">
      <c r="A210" s="1614">
        <v>196</v>
      </c>
      <c r="B210" s="1615">
        <v>8</v>
      </c>
      <c r="C210" s="1616"/>
      <c r="D210" s="1616"/>
      <c r="E210" s="1627" t="s">
        <v>113</v>
      </c>
      <c r="F210" s="1616" t="s">
        <v>15</v>
      </c>
      <c r="G210" s="1618">
        <v>500000</v>
      </c>
      <c r="H210" s="1619"/>
      <c r="I210" s="1623" t="str">
        <f t="shared" si="4"/>
        <v>Bun (3)</v>
      </c>
    </row>
    <row r="211" spans="1:9" ht="18.75" customHeight="1">
      <c r="A211" s="1614">
        <v>197</v>
      </c>
      <c r="B211" s="1615">
        <v>9</v>
      </c>
      <c r="C211" s="1616"/>
      <c r="D211" s="1616"/>
      <c r="E211" s="1627" t="s">
        <v>114</v>
      </c>
      <c r="F211" s="1616" t="s">
        <v>15</v>
      </c>
      <c r="G211" s="1618">
        <v>500000</v>
      </c>
      <c r="H211" s="1619"/>
      <c r="I211" s="1623" t="str">
        <f t="shared" si="4"/>
        <v>Hông Khăm</v>
      </c>
    </row>
    <row r="212" spans="1:9" ht="18.75" customHeight="1">
      <c r="A212" s="2228" t="s">
        <v>115</v>
      </c>
      <c r="B212" s="2229"/>
      <c r="C212" s="2229"/>
      <c r="D212" s="2229"/>
      <c r="E212" s="2229"/>
      <c r="F212" s="2230"/>
      <c r="G212" s="1625">
        <f>SUM(G213:G219)</f>
        <v>3500000</v>
      </c>
      <c r="H212" s="1626"/>
      <c r="I212" s="1623">
        <f t="shared" si="4"/>
        <v>0</v>
      </c>
    </row>
    <row r="213" spans="1:9" ht="18.75" customHeight="1">
      <c r="A213" s="1614">
        <v>198</v>
      </c>
      <c r="B213" s="1615">
        <v>1</v>
      </c>
      <c r="C213" s="1616"/>
      <c r="D213" s="1616"/>
      <c r="E213" s="1627" t="s">
        <v>116</v>
      </c>
      <c r="F213" s="1616" t="s">
        <v>15</v>
      </c>
      <c r="G213" s="1618">
        <v>500000</v>
      </c>
      <c r="H213" s="1619"/>
      <c r="I213" s="1623" t="str">
        <f t="shared" si="4"/>
        <v>Pan</v>
      </c>
    </row>
    <row r="214" spans="1:9" ht="18.75" customHeight="1">
      <c r="A214" s="1614">
        <v>199</v>
      </c>
      <c r="B214" s="1615">
        <v>2</v>
      </c>
      <c r="C214" s="1616"/>
      <c r="D214" s="1616"/>
      <c r="E214" s="1627" t="s">
        <v>117</v>
      </c>
      <c r="F214" s="1616" t="s">
        <v>15</v>
      </c>
      <c r="G214" s="1618">
        <v>500000</v>
      </c>
      <c r="H214" s="1619"/>
      <c r="I214" s="1623" t="str">
        <f t="shared" si="4"/>
        <v>Vi Say</v>
      </c>
    </row>
    <row r="215" spans="1:9" ht="18.75" customHeight="1">
      <c r="A215" s="1614">
        <v>200</v>
      </c>
      <c r="B215" s="1615">
        <v>3</v>
      </c>
      <c r="C215" s="1616"/>
      <c r="D215" s="1616"/>
      <c r="E215" s="1627" t="s">
        <v>118</v>
      </c>
      <c r="F215" s="1616" t="s">
        <v>15</v>
      </c>
      <c r="G215" s="1618">
        <v>500000</v>
      </c>
      <c r="H215" s="1619"/>
      <c r="I215" s="1623" t="str">
        <f t="shared" si="4"/>
        <v>Ka Púc</v>
      </c>
    </row>
    <row r="216" spans="1:9" ht="18.75" customHeight="1">
      <c r="A216" s="1614">
        <v>201</v>
      </c>
      <c r="B216" s="1615">
        <v>4</v>
      </c>
      <c r="C216" s="1616"/>
      <c r="D216" s="1616"/>
      <c r="E216" s="1627" t="s">
        <v>119</v>
      </c>
      <c r="F216" s="1616" t="s">
        <v>15</v>
      </c>
      <c r="G216" s="1618">
        <v>500000</v>
      </c>
      <c r="H216" s="1619"/>
      <c r="I216" s="1623" t="str">
        <f t="shared" si="4"/>
        <v>Chay Đi</v>
      </c>
    </row>
    <row r="217" spans="1:9" ht="18.75" customHeight="1">
      <c r="A217" s="1614">
        <v>202</v>
      </c>
      <c r="B217" s="1615">
        <v>5</v>
      </c>
      <c r="C217" s="1616"/>
      <c r="D217" s="1616"/>
      <c r="E217" s="1627" t="s">
        <v>120</v>
      </c>
      <c r="F217" s="1616" t="s">
        <v>15</v>
      </c>
      <c r="G217" s="1618">
        <v>500000</v>
      </c>
      <c r="H217" s="1619"/>
      <c r="I217" s="1623" t="str">
        <f t="shared" si="4"/>
        <v>Lăng B</v>
      </c>
    </row>
    <row r="218" spans="1:9" ht="18.75" customHeight="1">
      <c r="A218" s="1614">
        <v>203</v>
      </c>
      <c r="B218" s="1615">
        <v>6</v>
      </c>
      <c r="C218" s="1616"/>
      <c r="D218" s="1616"/>
      <c r="E218" s="1627" t="s">
        <v>121</v>
      </c>
      <c r="F218" s="1616" t="s">
        <v>15</v>
      </c>
      <c r="G218" s="1618">
        <v>500000</v>
      </c>
      <c r="H218" s="1619"/>
      <c r="I218" s="1623" t="str">
        <f t="shared" si="4"/>
        <v>Tuc</v>
      </c>
    </row>
    <row r="219" spans="1:9" ht="18.75" customHeight="1">
      <c r="A219" s="1614">
        <v>204</v>
      </c>
      <c r="B219" s="1615">
        <v>7</v>
      </c>
      <c r="C219" s="1616"/>
      <c r="D219" s="1616"/>
      <c r="E219" s="1627" t="s">
        <v>122</v>
      </c>
      <c r="F219" s="1616" t="s">
        <v>15</v>
      </c>
      <c r="G219" s="1618">
        <v>500000</v>
      </c>
      <c r="H219" s="1619"/>
      <c r="I219" s="1623" t="str">
        <f t="shared" si="4"/>
        <v>On</v>
      </c>
    </row>
    <row r="220" spans="1:9" ht="18.75" customHeight="1">
      <c r="A220" s="2228" t="s">
        <v>123</v>
      </c>
      <c r="B220" s="2229"/>
      <c r="C220" s="2229"/>
      <c r="D220" s="2229"/>
      <c r="E220" s="2229"/>
      <c r="F220" s="2230"/>
      <c r="G220" s="1625">
        <f>SUM(G221:G302)</f>
        <v>41000000</v>
      </c>
      <c r="H220" s="1626"/>
      <c r="I220" s="1623">
        <f t="shared" si="4"/>
        <v>0</v>
      </c>
    </row>
    <row r="221" spans="1:9" ht="18.75" customHeight="1">
      <c r="A221" s="1614">
        <v>205</v>
      </c>
      <c r="B221" s="1615">
        <v>1</v>
      </c>
      <c r="C221" s="1616"/>
      <c r="D221" s="1616"/>
      <c r="E221" s="1627" t="s">
        <v>124</v>
      </c>
      <c r="F221" s="1616" t="s">
        <v>15</v>
      </c>
      <c r="G221" s="1618">
        <v>500000</v>
      </c>
      <c r="H221" s="1619"/>
      <c r="I221" s="1623" t="str">
        <f t="shared" si="4"/>
        <v>Sốt</v>
      </c>
    </row>
    <row r="222" spans="1:9" ht="18.75" customHeight="1">
      <c r="A222" s="1614">
        <v>206</v>
      </c>
      <c r="B222" s="1615">
        <v>2</v>
      </c>
      <c r="C222" s="1616"/>
      <c r="D222" s="1616"/>
      <c r="E222" s="1627" t="s">
        <v>125</v>
      </c>
      <c r="F222" s="1616" t="s">
        <v>15</v>
      </c>
      <c r="G222" s="1618">
        <v>500000</v>
      </c>
      <c r="H222" s="1619"/>
      <c r="I222" s="1623" t="str">
        <f t="shared" si="4"/>
        <v>Thảo A Tiền</v>
      </c>
    </row>
    <row r="223" spans="1:9" ht="18.75" customHeight="1">
      <c r="A223" s="1614">
        <v>207</v>
      </c>
      <c r="B223" s="1615">
        <v>3</v>
      </c>
      <c r="C223" s="1616"/>
      <c r="D223" s="1616"/>
      <c r="E223" s="1627" t="s">
        <v>126</v>
      </c>
      <c r="F223" s="1616" t="s">
        <v>15</v>
      </c>
      <c r="G223" s="1618">
        <v>500000</v>
      </c>
      <c r="H223" s="1619"/>
      <c r="I223" s="1623" t="str">
        <f t="shared" si="4"/>
        <v>Sít</v>
      </c>
    </row>
    <row r="224" spans="1:9" ht="18.75" customHeight="1">
      <c r="A224" s="1614">
        <v>208</v>
      </c>
      <c r="B224" s="1615">
        <v>4</v>
      </c>
      <c r="C224" s="1616"/>
      <c r="D224" s="1616"/>
      <c r="E224" s="1627" t="s">
        <v>127</v>
      </c>
      <c r="F224" s="1616" t="s">
        <v>15</v>
      </c>
      <c r="G224" s="1618">
        <v>500000</v>
      </c>
      <c r="H224" s="1619"/>
      <c r="I224" s="1623" t="str">
        <f t="shared" si="4"/>
        <v>Nghiệp</v>
      </c>
    </row>
    <row r="225" spans="1:9" ht="18.75" customHeight="1">
      <c r="A225" s="1614">
        <v>209</v>
      </c>
      <c r="B225" s="1615">
        <v>5</v>
      </c>
      <c r="C225" s="1616"/>
      <c r="D225" s="1616"/>
      <c r="E225" s="1627" t="s">
        <v>128</v>
      </c>
      <c r="F225" s="1616" t="s">
        <v>15</v>
      </c>
      <c r="G225" s="1618">
        <v>500000</v>
      </c>
      <c r="H225" s="1619"/>
      <c r="I225" s="1623" t="str">
        <f t="shared" si="4"/>
        <v>Bun Theo</v>
      </c>
    </row>
    <row r="226" spans="1:9" ht="18.75" customHeight="1">
      <c r="A226" s="1614">
        <v>210</v>
      </c>
      <c r="B226" s="1615">
        <v>6</v>
      </c>
      <c r="C226" s="1616"/>
      <c r="D226" s="1616"/>
      <c r="E226" s="1627" t="s">
        <v>129</v>
      </c>
      <c r="F226" s="1616" t="s">
        <v>15</v>
      </c>
      <c r="G226" s="1618">
        <v>500000</v>
      </c>
      <c r="H226" s="1619"/>
      <c r="I226" s="1623" t="str">
        <f t="shared" si="4"/>
        <v>Núi</v>
      </c>
    </row>
    <row r="227" spans="1:9" ht="18.75" customHeight="1">
      <c r="A227" s="1614">
        <v>211</v>
      </c>
      <c r="B227" s="1615">
        <v>7</v>
      </c>
      <c r="C227" s="1616"/>
      <c r="D227" s="1616"/>
      <c r="E227" s="1627" t="s">
        <v>130</v>
      </c>
      <c r="F227" s="1616" t="s">
        <v>15</v>
      </c>
      <c r="G227" s="1618">
        <v>500000</v>
      </c>
      <c r="H227" s="1619"/>
      <c r="I227" s="1623" t="str">
        <f t="shared" si="4"/>
        <v>Xa Mon</v>
      </c>
    </row>
    <row r="228" spans="1:9" ht="18.75" customHeight="1">
      <c r="A228" s="1614">
        <v>212</v>
      </c>
      <c r="B228" s="1615">
        <v>8</v>
      </c>
      <c r="C228" s="1616"/>
      <c r="D228" s="1616"/>
      <c r="E228" s="1627" t="s">
        <v>131</v>
      </c>
      <c r="F228" s="1616" t="s">
        <v>15</v>
      </c>
      <c r="G228" s="1618">
        <v>500000</v>
      </c>
      <c r="H228" s="1619"/>
      <c r="I228" s="1623" t="str">
        <f t="shared" si="4"/>
        <v>Thảo Thúc</v>
      </c>
    </row>
    <row r="229" spans="1:9" ht="18.75" customHeight="1">
      <c r="A229" s="1614">
        <v>213</v>
      </c>
      <c r="B229" s="1615">
        <v>9</v>
      </c>
      <c r="C229" s="1616"/>
      <c r="D229" s="1616"/>
      <c r="E229" s="1627" t="s">
        <v>132</v>
      </c>
      <c r="F229" s="1616" t="s">
        <v>15</v>
      </c>
      <c r="G229" s="1618">
        <v>500000</v>
      </c>
      <c r="H229" s="1619"/>
      <c r="I229" s="1623" t="str">
        <f t="shared" si="4"/>
        <v>Bo Loi</v>
      </c>
    </row>
    <row r="230" spans="1:9" ht="18.75" customHeight="1">
      <c r="A230" s="1614">
        <v>214</v>
      </c>
      <c r="B230" s="1615">
        <v>10</v>
      </c>
      <c r="C230" s="1616"/>
      <c r="D230" s="1616"/>
      <c r="E230" s="1627" t="s">
        <v>133</v>
      </c>
      <c r="F230" s="1616" t="s">
        <v>15</v>
      </c>
      <c r="G230" s="1618">
        <v>500000</v>
      </c>
      <c r="H230" s="1619"/>
      <c r="I230" s="1623" t="str">
        <f t="shared" si="4"/>
        <v>Xoong</v>
      </c>
    </row>
    <row r="231" spans="1:9" ht="18.75" customHeight="1">
      <c r="A231" s="1614">
        <v>215</v>
      </c>
      <c r="B231" s="1615">
        <v>11</v>
      </c>
      <c r="C231" s="1616"/>
      <c r="D231" s="1616"/>
      <c r="E231" s="1627" t="s">
        <v>134</v>
      </c>
      <c r="F231" s="1616" t="s">
        <v>15</v>
      </c>
      <c r="G231" s="1618">
        <v>500000</v>
      </c>
      <c r="H231" s="1619"/>
      <c r="I231" s="1623" t="str">
        <f t="shared" si="4"/>
        <v>Ta Văn</v>
      </c>
    </row>
    <row r="232" spans="1:9" ht="18.75" customHeight="1">
      <c r="A232" s="1614">
        <v>216</v>
      </c>
      <c r="B232" s="1615">
        <v>12</v>
      </c>
      <c r="C232" s="1616"/>
      <c r="D232" s="1616"/>
      <c r="E232" s="1627" t="s">
        <v>135</v>
      </c>
      <c r="F232" s="1616" t="s">
        <v>15</v>
      </c>
      <c r="G232" s="1618">
        <v>500000</v>
      </c>
      <c r="H232" s="1619"/>
      <c r="I232" s="1623" t="str">
        <f t="shared" si="4"/>
        <v>Khăm Măn</v>
      </c>
    </row>
    <row r="233" spans="1:9" ht="18.75" customHeight="1">
      <c r="A233" s="1614">
        <v>217</v>
      </c>
      <c r="B233" s="1615">
        <v>13</v>
      </c>
      <c r="C233" s="1616"/>
      <c r="D233" s="1616"/>
      <c r="E233" s="1627" t="s">
        <v>136</v>
      </c>
      <c r="F233" s="1616" t="s">
        <v>15</v>
      </c>
      <c r="G233" s="1618">
        <v>500000</v>
      </c>
      <c r="H233" s="1619"/>
      <c r="I233" s="1623" t="str">
        <f t="shared" si="4"/>
        <v>Vôn</v>
      </c>
    </row>
    <row r="234" spans="1:9" ht="18.75" customHeight="1">
      <c r="A234" s="1614">
        <v>218</v>
      </c>
      <c r="B234" s="1615">
        <v>14</v>
      </c>
      <c r="C234" s="1616"/>
      <c r="D234" s="1616"/>
      <c r="E234" s="1627" t="s">
        <v>137</v>
      </c>
      <c r="F234" s="1616" t="s">
        <v>15</v>
      </c>
      <c r="G234" s="1618">
        <v>500000</v>
      </c>
      <c r="H234" s="1619"/>
      <c r="I234" s="1623" t="str">
        <f t="shared" si="4"/>
        <v>Khăm Thạ Von</v>
      </c>
    </row>
    <row r="235" spans="1:9" ht="18.75" customHeight="1">
      <c r="A235" s="1614">
        <v>219</v>
      </c>
      <c r="B235" s="1615">
        <v>15</v>
      </c>
      <c r="C235" s="1616"/>
      <c r="D235" s="1616"/>
      <c r="E235" s="1627" t="s">
        <v>138</v>
      </c>
      <c r="F235" s="1616" t="s">
        <v>15</v>
      </c>
      <c r="G235" s="1618">
        <v>500000</v>
      </c>
      <c r="H235" s="1619"/>
      <c r="I235" s="1623" t="str">
        <f t="shared" si="4"/>
        <v>Minh</v>
      </c>
    </row>
    <row r="236" spans="1:9" ht="18.75" customHeight="1">
      <c r="A236" s="1614">
        <v>220</v>
      </c>
      <c r="B236" s="1615">
        <v>16</v>
      </c>
      <c r="C236" s="1616"/>
      <c r="D236" s="1616"/>
      <c r="E236" s="1627" t="s">
        <v>139</v>
      </c>
      <c r="F236" s="1616" t="s">
        <v>15</v>
      </c>
      <c r="G236" s="1618">
        <v>500000</v>
      </c>
      <c r="H236" s="1619"/>
      <c r="I236" s="1623" t="str">
        <f t="shared" si="4"/>
        <v>Đan</v>
      </c>
    </row>
    <row r="237" spans="1:9" ht="18.75" customHeight="1">
      <c r="A237" s="1614">
        <v>221</v>
      </c>
      <c r="B237" s="1615">
        <v>17</v>
      </c>
      <c r="C237" s="1616"/>
      <c r="D237" s="1616"/>
      <c r="E237" s="1627" t="s">
        <v>140</v>
      </c>
      <c r="F237" s="1616" t="s">
        <v>15</v>
      </c>
      <c r="G237" s="1618">
        <v>500000</v>
      </c>
      <c r="H237" s="1619"/>
      <c r="I237" s="1623" t="str">
        <f t="shared" si="4"/>
        <v>Nội</v>
      </c>
    </row>
    <row r="238" spans="1:9" ht="18.75" customHeight="1">
      <c r="A238" s="1614">
        <v>222</v>
      </c>
      <c r="B238" s="1615">
        <v>18</v>
      </c>
      <c r="C238" s="1616"/>
      <c r="D238" s="1616"/>
      <c r="E238" s="1627" t="s">
        <v>141</v>
      </c>
      <c r="F238" s="1616" t="s">
        <v>15</v>
      </c>
      <c r="G238" s="1618">
        <v>500000</v>
      </c>
      <c r="H238" s="1619"/>
      <c r="I238" s="1623" t="str">
        <f t="shared" si="4"/>
        <v>Keo La</v>
      </c>
    </row>
    <row r="239" spans="1:9" ht="18.75" customHeight="1">
      <c r="A239" s="1614">
        <v>223</v>
      </c>
      <c r="B239" s="1615">
        <v>19</v>
      </c>
      <c r="C239" s="1616"/>
      <c r="D239" s="1616"/>
      <c r="E239" s="1627" t="s">
        <v>142</v>
      </c>
      <c r="F239" s="1616" t="s">
        <v>15</v>
      </c>
      <c r="G239" s="1618">
        <v>500000</v>
      </c>
      <c r="H239" s="1619"/>
      <c r="I239" s="1623" t="str">
        <f t="shared" si="4"/>
        <v>Chăn Thi</v>
      </c>
    </row>
    <row r="240" spans="1:9" ht="18.75" customHeight="1">
      <c r="A240" s="1614">
        <v>224</v>
      </c>
      <c r="B240" s="1615">
        <v>20</v>
      </c>
      <c r="C240" s="1616"/>
      <c r="D240" s="1616"/>
      <c r="E240" s="1627" t="s">
        <v>143</v>
      </c>
      <c r="F240" s="1616" t="s">
        <v>15</v>
      </c>
      <c r="G240" s="1618">
        <v>500000</v>
      </c>
      <c r="H240" s="1619"/>
      <c r="I240" s="1623" t="str">
        <f t="shared" si="4"/>
        <v>Đon</v>
      </c>
    </row>
    <row r="241" spans="1:9" ht="18.75" customHeight="1">
      <c r="A241" s="1614">
        <v>225</v>
      </c>
      <c r="B241" s="1615">
        <v>21</v>
      </c>
      <c r="C241" s="1616"/>
      <c r="D241" s="1616"/>
      <c r="E241" s="1627" t="s">
        <v>144</v>
      </c>
      <c r="F241" s="1616" t="s">
        <v>15</v>
      </c>
      <c r="G241" s="1618">
        <v>500000</v>
      </c>
      <c r="H241" s="1619"/>
      <c r="I241" s="1623" t="str">
        <f t="shared" si="4"/>
        <v>Thảo Con Khăm</v>
      </c>
    </row>
    <row r="242" spans="1:9" ht="18.75" customHeight="1">
      <c r="A242" s="1614">
        <v>226</v>
      </c>
      <c r="B242" s="1615">
        <v>22</v>
      </c>
      <c r="C242" s="1616"/>
      <c r="D242" s="1616"/>
      <c r="E242" s="1627" t="s">
        <v>145</v>
      </c>
      <c r="F242" s="1616" t="s">
        <v>15</v>
      </c>
      <c r="G242" s="1618">
        <v>500000</v>
      </c>
      <c r="H242" s="1619"/>
      <c r="I242" s="1623" t="str">
        <f t="shared" si="4"/>
        <v>Bun Ma Tu</v>
      </c>
    </row>
    <row r="243" spans="1:9" ht="18.75" customHeight="1">
      <c r="A243" s="1614">
        <v>227</v>
      </c>
      <c r="B243" s="1615">
        <v>23</v>
      </c>
      <c r="C243" s="1616"/>
      <c r="D243" s="1616"/>
      <c r="E243" s="1627" t="s">
        <v>146</v>
      </c>
      <c r="F243" s="1616" t="s">
        <v>15</v>
      </c>
      <c r="G243" s="1618">
        <v>500000</v>
      </c>
      <c r="H243" s="1619"/>
      <c r="I243" s="1623" t="str">
        <f t="shared" si="4"/>
        <v>Nay (4)</v>
      </c>
    </row>
    <row r="244" spans="1:9" ht="18.75" customHeight="1">
      <c r="A244" s="1614">
        <v>228</v>
      </c>
      <c r="B244" s="1615">
        <v>24</v>
      </c>
      <c r="C244" s="1616"/>
      <c r="D244" s="1616"/>
      <c r="E244" s="1627" t="s">
        <v>147</v>
      </c>
      <c r="F244" s="1616" t="s">
        <v>15</v>
      </c>
      <c r="G244" s="1618">
        <v>500000</v>
      </c>
      <c r="H244" s="1619"/>
      <c r="I244" s="1623" t="str">
        <f t="shared" si="4"/>
        <v>Ta Phúc</v>
      </c>
    </row>
    <row r="245" spans="1:9" ht="18.75" customHeight="1">
      <c r="A245" s="1614">
        <v>229</v>
      </c>
      <c r="B245" s="1615">
        <v>25</v>
      </c>
      <c r="C245" s="1616"/>
      <c r="D245" s="1616"/>
      <c r="E245" s="1627" t="s">
        <v>148</v>
      </c>
      <c r="F245" s="1616" t="s">
        <v>15</v>
      </c>
      <c r="G245" s="1618">
        <v>500000</v>
      </c>
      <c r="H245" s="1619"/>
      <c r="I245" s="1623" t="str">
        <f t="shared" si="4"/>
        <v>Mơ</v>
      </c>
    </row>
    <row r="246" spans="1:9" ht="18.75" customHeight="1">
      <c r="A246" s="1614">
        <v>230</v>
      </c>
      <c r="B246" s="1615">
        <v>26</v>
      </c>
      <c r="C246" s="1616"/>
      <c r="D246" s="1616"/>
      <c r="E246" s="1627" t="s">
        <v>149</v>
      </c>
      <c r="F246" s="1616" t="s">
        <v>15</v>
      </c>
      <c r="G246" s="1618">
        <v>500000</v>
      </c>
      <c r="H246" s="1619"/>
      <c r="I246" s="1623" t="str">
        <f t="shared" si="4"/>
        <v>Bun Ma (4)</v>
      </c>
    </row>
    <row r="247" spans="1:9" ht="18.75" customHeight="1">
      <c r="A247" s="1614">
        <v>231</v>
      </c>
      <c r="B247" s="1615">
        <v>27</v>
      </c>
      <c r="C247" s="1616"/>
      <c r="D247" s="1616"/>
      <c r="E247" s="1627" t="s">
        <v>150</v>
      </c>
      <c r="F247" s="1616" t="s">
        <v>15</v>
      </c>
      <c r="G247" s="1618">
        <v>500000</v>
      </c>
      <c r="H247" s="1619"/>
      <c r="I247" s="1623" t="str">
        <f t="shared" si="4"/>
        <v>Đuông Ma La</v>
      </c>
    </row>
    <row r="248" spans="1:9" ht="18.75" customHeight="1">
      <c r="A248" s="1614">
        <v>232</v>
      </c>
      <c r="B248" s="1615">
        <v>28</v>
      </c>
      <c r="C248" s="1616"/>
      <c r="D248" s="1616"/>
      <c r="E248" s="1627" t="s">
        <v>151</v>
      </c>
      <c r="F248" s="1616" t="s">
        <v>15</v>
      </c>
      <c r="G248" s="1618">
        <v>500000</v>
      </c>
      <c r="H248" s="1619"/>
      <c r="I248" s="1623" t="str">
        <f t="shared" si="4"/>
        <v>Lâm B</v>
      </c>
    </row>
    <row r="249" spans="1:9" ht="18.75" customHeight="1">
      <c r="A249" s="1614">
        <v>233</v>
      </c>
      <c r="B249" s="1615">
        <v>29</v>
      </c>
      <c r="C249" s="1616"/>
      <c r="D249" s="1616"/>
      <c r="E249" s="1627" t="s">
        <v>152</v>
      </c>
      <c r="F249" s="1616" t="s">
        <v>15</v>
      </c>
      <c r="G249" s="1618">
        <v>500000</v>
      </c>
      <c r="H249" s="1619"/>
      <c r="I249" s="1623" t="str">
        <f t="shared" si="4"/>
        <v>Lâm A</v>
      </c>
    </row>
    <row r="250" spans="1:9" ht="18.75" customHeight="1">
      <c r="A250" s="1614">
        <v>234</v>
      </c>
      <c r="B250" s="1615">
        <v>30</v>
      </c>
      <c r="C250" s="1616"/>
      <c r="D250" s="1616"/>
      <c r="E250" s="1627" t="s">
        <v>153</v>
      </c>
      <c r="F250" s="1616" t="s">
        <v>15</v>
      </c>
      <c r="G250" s="1618">
        <v>500000</v>
      </c>
      <c r="H250" s="1619"/>
      <c r="I250" s="1623" t="str">
        <f t="shared" si="4"/>
        <v>Bun Phong</v>
      </c>
    </row>
    <row r="251" spans="1:9" ht="18.75" customHeight="1">
      <c r="A251" s="1614">
        <v>235</v>
      </c>
      <c r="B251" s="1615">
        <v>31</v>
      </c>
      <c r="C251" s="1616"/>
      <c r="D251" s="1616"/>
      <c r="E251" s="1627" t="s">
        <v>154</v>
      </c>
      <c r="F251" s="1616" t="s">
        <v>15</v>
      </c>
      <c r="G251" s="1618">
        <v>500000</v>
      </c>
      <c r="H251" s="1619"/>
      <c r="I251" s="1623" t="str">
        <f t="shared" si="4"/>
        <v>Keo (4)</v>
      </c>
    </row>
    <row r="252" spans="1:9" ht="18.75" customHeight="1">
      <c r="A252" s="1614">
        <v>236</v>
      </c>
      <c r="B252" s="1615">
        <v>32</v>
      </c>
      <c r="C252" s="1616"/>
      <c r="D252" s="1616"/>
      <c r="E252" s="1627" t="s">
        <v>155</v>
      </c>
      <c r="F252" s="1616" t="s">
        <v>15</v>
      </c>
      <c r="G252" s="1618">
        <v>500000</v>
      </c>
      <c r="H252" s="1619"/>
      <c r="I252" s="1623" t="str">
        <f t="shared" si="4"/>
        <v>Van Ta</v>
      </c>
    </row>
    <row r="253" spans="1:9" ht="18.75" customHeight="1">
      <c r="A253" s="1614">
        <v>237</v>
      </c>
      <c r="B253" s="1615">
        <v>33</v>
      </c>
      <c r="C253" s="1616"/>
      <c r="D253" s="1616"/>
      <c r="E253" s="1627" t="s">
        <v>156</v>
      </c>
      <c r="F253" s="1616" t="s">
        <v>15</v>
      </c>
      <c r="G253" s="1618">
        <v>500000</v>
      </c>
      <c r="H253" s="1619"/>
      <c r="I253" s="1623" t="str">
        <f t="shared" si="4"/>
        <v>Peng</v>
      </c>
    </row>
    <row r="254" spans="1:9" ht="18.75" customHeight="1">
      <c r="A254" s="1614">
        <v>238</v>
      </c>
      <c r="B254" s="1615">
        <v>34</v>
      </c>
      <c r="C254" s="1616"/>
      <c r="D254" s="1616"/>
      <c r="E254" s="1627" t="s">
        <v>157</v>
      </c>
      <c r="F254" s="1616" t="s">
        <v>15</v>
      </c>
      <c r="G254" s="1618">
        <v>500000</v>
      </c>
      <c r="H254" s="1619"/>
      <c r="I254" s="1623" t="str">
        <f t="shared" si="4"/>
        <v>Coi</v>
      </c>
    </row>
    <row r="255" spans="1:9" ht="18.75" customHeight="1">
      <c r="A255" s="1614">
        <v>239</v>
      </c>
      <c r="B255" s="1615">
        <v>35</v>
      </c>
      <c r="C255" s="1616"/>
      <c r="D255" s="1616"/>
      <c r="E255" s="1627" t="s">
        <v>158</v>
      </c>
      <c r="F255" s="1616" t="s">
        <v>15</v>
      </c>
      <c r="G255" s="1618">
        <v>500000</v>
      </c>
      <c r="H255" s="1619"/>
      <c r="I255" s="1623" t="str">
        <f t="shared" si="4"/>
        <v>Khăm Lã</v>
      </c>
    </row>
    <row r="256" spans="1:9" ht="18.75" customHeight="1">
      <c r="A256" s="1614">
        <v>240</v>
      </c>
      <c r="B256" s="1615">
        <v>36</v>
      </c>
      <c r="C256" s="1616"/>
      <c r="D256" s="1616"/>
      <c r="E256" s="1627" t="s">
        <v>159</v>
      </c>
      <c r="F256" s="1616" t="s">
        <v>15</v>
      </c>
      <c r="G256" s="1618">
        <v>500000</v>
      </c>
      <c r="H256" s="1619"/>
      <c r="I256" s="1623" t="str">
        <f t="shared" si="4"/>
        <v>Boóc</v>
      </c>
    </row>
    <row r="257" spans="1:9" ht="18.75" customHeight="1">
      <c r="A257" s="1614">
        <v>241</v>
      </c>
      <c r="B257" s="1615">
        <v>37</v>
      </c>
      <c r="C257" s="1616"/>
      <c r="D257" s="1616"/>
      <c r="E257" s="1627" t="s">
        <v>160</v>
      </c>
      <c r="F257" s="1616" t="s">
        <v>15</v>
      </c>
      <c r="G257" s="1618">
        <v>500000</v>
      </c>
      <c r="H257" s="1619"/>
      <c r="I257" s="1623" t="str">
        <f t="shared" si="4"/>
        <v>Bun Ta</v>
      </c>
    </row>
    <row r="258" spans="1:9" ht="18.75" customHeight="1">
      <c r="A258" s="1614">
        <v>242</v>
      </c>
      <c r="B258" s="1615">
        <v>38</v>
      </c>
      <c r="C258" s="1616"/>
      <c r="D258" s="1616"/>
      <c r="E258" s="1627" t="s">
        <v>161</v>
      </c>
      <c r="F258" s="1616" t="s">
        <v>15</v>
      </c>
      <c r="G258" s="1618">
        <v>500000</v>
      </c>
      <c r="H258" s="1619"/>
      <c r="I258" s="1623" t="str">
        <f t="shared" si="4"/>
        <v>Túc</v>
      </c>
    </row>
    <row r="259" spans="1:9" ht="18.75" customHeight="1">
      <c r="A259" s="1614">
        <v>243</v>
      </c>
      <c r="B259" s="1615">
        <v>39</v>
      </c>
      <c r="C259" s="1616"/>
      <c r="D259" s="1616"/>
      <c r="E259" s="1627" t="s">
        <v>162</v>
      </c>
      <c r="F259" s="1616" t="s">
        <v>15</v>
      </c>
      <c r="G259" s="1618">
        <v>500000</v>
      </c>
      <c r="H259" s="1619"/>
      <c r="I259" s="1623" t="str">
        <f t="shared" si="4"/>
        <v>Sái Khăm</v>
      </c>
    </row>
    <row r="260" spans="1:9" ht="18.75" customHeight="1">
      <c r="A260" s="1614">
        <v>244</v>
      </c>
      <c r="B260" s="1615">
        <v>40</v>
      </c>
      <c r="C260" s="1616"/>
      <c r="D260" s="1616"/>
      <c r="E260" s="1627" t="s">
        <v>163</v>
      </c>
      <c r="F260" s="1616" t="s">
        <v>15</v>
      </c>
      <c r="G260" s="1618">
        <v>500000</v>
      </c>
      <c r="H260" s="1619"/>
      <c r="I260" s="1623" t="str">
        <f t="shared" si="4"/>
        <v>Xi Đa (4)</v>
      </c>
    </row>
    <row r="261" spans="1:9" ht="18.75" customHeight="1">
      <c r="A261" s="1614">
        <v>245</v>
      </c>
      <c r="B261" s="1615">
        <v>41</v>
      </c>
      <c r="C261" s="1616"/>
      <c r="D261" s="1616"/>
      <c r="E261" s="1627" t="s">
        <v>164</v>
      </c>
      <c r="F261" s="1616" t="s">
        <v>15</v>
      </c>
      <c r="G261" s="1618">
        <v>500000</v>
      </c>
      <c r="H261" s="1619"/>
      <c r="I261" s="1623" t="str">
        <f t="shared" si="4"/>
        <v>Bon</v>
      </c>
    </row>
    <row r="262" spans="1:9" ht="18.75" customHeight="1">
      <c r="A262" s="1614">
        <v>246</v>
      </c>
      <c r="B262" s="1615">
        <v>42</v>
      </c>
      <c r="C262" s="1616"/>
      <c r="D262" s="1616"/>
      <c r="E262" s="1627" t="s">
        <v>165</v>
      </c>
      <c r="F262" s="1616" t="s">
        <v>15</v>
      </c>
      <c r="G262" s="1618">
        <v>500000</v>
      </c>
      <c r="H262" s="1619"/>
      <c r="I262" s="1623" t="str">
        <f t="shared" si="4"/>
        <v>In</v>
      </c>
    </row>
    <row r="263" spans="1:9" ht="18.75" customHeight="1">
      <c r="A263" s="1614">
        <v>247</v>
      </c>
      <c r="B263" s="1615">
        <v>43</v>
      </c>
      <c r="C263" s="1616"/>
      <c r="D263" s="1616"/>
      <c r="E263" s="1627" t="s">
        <v>166</v>
      </c>
      <c r="F263" s="1616" t="s">
        <v>15</v>
      </c>
      <c r="G263" s="1618">
        <v>500000</v>
      </c>
      <c r="H263" s="1619"/>
      <c r="I263" s="1623" t="str">
        <f t="shared" si="4"/>
        <v>Lai</v>
      </c>
    </row>
    <row r="264" spans="1:9" ht="18.75" customHeight="1">
      <c r="A264" s="1614">
        <v>248</v>
      </c>
      <c r="B264" s="1615">
        <v>44</v>
      </c>
      <c r="C264" s="1616"/>
      <c r="D264" s="1616"/>
      <c r="E264" s="1627" t="s">
        <v>167</v>
      </c>
      <c r="F264" s="1616" t="s">
        <v>15</v>
      </c>
      <c r="G264" s="1618">
        <v>500000</v>
      </c>
      <c r="H264" s="1619"/>
      <c r="I264" s="1623" t="str">
        <f t="shared" si="4"/>
        <v>Sui</v>
      </c>
    </row>
    <row r="265" spans="1:9" ht="18.75" customHeight="1">
      <c r="A265" s="1614">
        <v>249</v>
      </c>
      <c r="B265" s="1615">
        <v>45</v>
      </c>
      <c r="C265" s="1616"/>
      <c r="D265" s="1616"/>
      <c r="E265" s="1627" t="s">
        <v>168</v>
      </c>
      <c r="F265" s="1616" t="s">
        <v>15</v>
      </c>
      <c r="G265" s="1618">
        <v>500000</v>
      </c>
      <c r="H265" s="1619"/>
      <c r="I265" s="1623" t="str">
        <f t="shared" si="4"/>
        <v>Pong (4)</v>
      </c>
    </row>
    <row r="266" spans="1:9" ht="18.75" customHeight="1">
      <c r="A266" s="1614">
        <v>250</v>
      </c>
      <c r="B266" s="1615">
        <v>46</v>
      </c>
      <c r="C266" s="1616"/>
      <c r="D266" s="1616"/>
      <c r="E266" s="1627" t="s">
        <v>169</v>
      </c>
      <c r="F266" s="1616" t="s">
        <v>15</v>
      </c>
      <c r="G266" s="1618">
        <v>500000</v>
      </c>
      <c r="H266" s="1619"/>
      <c r="I266" s="1623" t="str">
        <f t="shared" si="4"/>
        <v>Lắt</v>
      </c>
    </row>
    <row r="267" spans="1:9" ht="18.75" customHeight="1">
      <c r="A267" s="1614">
        <v>251</v>
      </c>
      <c r="B267" s="1615">
        <v>47</v>
      </c>
      <c r="C267" s="1616"/>
      <c r="D267" s="1616"/>
      <c r="E267" s="1627" t="s">
        <v>170</v>
      </c>
      <c r="F267" s="1616" t="s">
        <v>15</v>
      </c>
      <c r="G267" s="1618">
        <v>500000</v>
      </c>
      <c r="H267" s="1619"/>
      <c r="I267" s="1623" t="str">
        <f t="shared" si="4"/>
        <v>Thái</v>
      </c>
    </row>
    <row r="268" spans="1:9" ht="18.75" customHeight="1">
      <c r="A268" s="1614">
        <v>252</v>
      </c>
      <c r="B268" s="1615">
        <v>48</v>
      </c>
      <c r="C268" s="1616"/>
      <c r="D268" s="1616"/>
      <c r="E268" s="1627" t="s">
        <v>171</v>
      </c>
      <c r="F268" s="1616" t="s">
        <v>15</v>
      </c>
      <c r="G268" s="1618">
        <v>500000</v>
      </c>
      <c r="H268" s="1619"/>
      <c r="I268" s="1623" t="str">
        <f t="shared" ref="I268:I331" si="6">E268</f>
        <v>Chăn (4)</v>
      </c>
    </row>
    <row r="269" spans="1:9" ht="18.75" customHeight="1">
      <c r="A269" s="1614">
        <v>253</v>
      </c>
      <c r="B269" s="1615">
        <v>49</v>
      </c>
      <c r="C269" s="1616"/>
      <c r="D269" s="1616"/>
      <c r="E269" s="1627" t="s">
        <v>172</v>
      </c>
      <c r="F269" s="1616" t="s">
        <v>15</v>
      </c>
      <c r="G269" s="1618">
        <v>500000</v>
      </c>
      <c r="H269" s="1619"/>
      <c r="I269" s="1623" t="str">
        <f t="shared" si="6"/>
        <v>Si</v>
      </c>
    </row>
    <row r="270" spans="1:9" ht="18.75" customHeight="1">
      <c r="A270" s="1614">
        <v>254</v>
      </c>
      <c r="B270" s="1615">
        <v>50</v>
      </c>
      <c r="C270" s="1616"/>
      <c r="D270" s="1616"/>
      <c r="E270" s="1627" t="s">
        <v>173</v>
      </c>
      <c r="F270" s="1616" t="s">
        <v>15</v>
      </c>
      <c r="G270" s="1618">
        <v>500000</v>
      </c>
      <c r="H270" s="1619"/>
      <c r="I270" s="1623" t="str">
        <f t="shared" si="6"/>
        <v>Pheng Ta</v>
      </c>
    </row>
    <row r="271" spans="1:9" ht="18.75" customHeight="1">
      <c r="A271" s="1614">
        <v>255</v>
      </c>
      <c r="B271" s="1615">
        <v>51</v>
      </c>
      <c r="C271" s="1616"/>
      <c r="D271" s="1616"/>
      <c r="E271" s="1627" t="s">
        <v>174</v>
      </c>
      <c r="F271" s="1616" t="s">
        <v>15</v>
      </c>
      <c r="G271" s="1618">
        <v>500000</v>
      </c>
      <c r="H271" s="1619"/>
      <c r="I271" s="1623" t="str">
        <f t="shared" si="6"/>
        <v>Sệ</v>
      </c>
    </row>
    <row r="272" spans="1:9" ht="18.75" customHeight="1">
      <c r="A272" s="1614">
        <v>256</v>
      </c>
      <c r="B272" s="1615">
        <v>52</v>
      </c>
      <c r="C272" s="1616"/>
      <c r="D272" s="1616"/>
      <c r="E272" s="1627" t="s">
        <v>175</v>
      </c>
      <c r="F272" s="1616" t="s">
        <v>15</v>
      </c>
      <c r="G272" s="1618">
        <v>500000</v>
      </c>
      <c r="H272" s="1619"/>
      <c r="I272" s="1623" t="str">
        <f t="shared" si="6"/>
        <v>Bà</v>
      </c>
    </row>
    <row r="273" spans="1:9" ht="18.75" customHeight="1">
      <c r="A273" s="1614">
        <v>257</v>
      </c>
      <c r="B273" s="1615">
        <v>53</v>
      </c>
      <c r="C273" s="1616"/>
      <c r="D273" s="1616"/>
      <c r="E273" s="1627" t="s">
        <v>176</v>
      </c>
      <c r="F273" s="1616" t="s">
        <v>15</v>
      </c>
      <c r="G273" s="1618">
        <v>500000</v>
      </c>
      <c r="H273" s="1619"/>
      <c r="I273" s="1623" t="str">
        <f t="shared" si="6"/>
        <v>Xay Du</v>
      </c>
    </row>
    <row r="274" spans="1:9" ht="18.75" customHeight="1">
      <c r="A274" s="1614">
        <v>258</v>
      </c>
      <c r="B274" s="1615">
        <v>54</v>
      </c>
      <c r="C274" s="1616"/>
      <c r="D274" s="1616"/>
      <c r="E274" s="1627" t="s">
        <v>177</v>
      </c>
      <c r="F274" s="1616" t="s">
        <v>15</v>
      </c>
      <c r="G274" s="1618">
        <v>500000</v>
      </c>
      <c r="H274" s="1619"/>
      <c r="I274" s="1623" t="str">
        <f t="shared" si="6"/>
        <v>Lẹ</v>
      </c>
    </row>
    <row r="275" spans="1:9" ht="18.75" customHeight="1">
      <c r="A275" s="1614">
        <v>259</v>
      </c>
      <c r="B275" s="1615">
        <v>55</v>
      </c>
      <c r="C275" s="1616"/>
      <c r="D275" s="1616"/>
      <c r="E275" s="1627" t="s">
        <v>178</v>
      </c>
      <c r="F275" s="1616" t="s">
        <v>15</v>
      </c>
      <c r="G275" s="1618">
        <v>500000</v>
      </c>
      <c r="H275" s="1619"/>
      <c r="I275" s="1623" t="str">
        <f t="shared" si="6"/>
        <v>Bà B</v>
      </c>
    </row>
    <row r="276" spans="1:9" ht="18.75" customHeight="1">
      <c r="A276" s="1614">
        <v>260</v>
      </c>
      <c r="B276" s="1615">
        <v>56</v>
      </c>
      <c r="C276" s="1616"/>
      <c r="D276" s="1616"/>
      <c r="E276" s="1627" t="s">
        <v>179</v>
      </c>
      <c r="F276" s="1616" t="s">
        <v>15</v>
      </c>
      <c r="G276" s="1618">
        <v>500000</v>
      </c>
      <c r="H276" s="1619"/>
      <c r="I276" s="1623" t="str">
        <f t="shared" si="6"/>
        <v>Muôn</v>
      </c>
    </row>
    <row r="277" spans="1:9" ht="18.75" customHeight="1">
      <c r="A277" s="1614">
        <v>261</v>
      </c>
      <c r="B277" s="1615">
        <v>57</v>
      </c>
      <c r="C277" s="1616"/>
      <c r="D277" s="1616"/>
      <c r="E277" s="1627" t="s">
        <v>180</v>
      </c>
      <c r="F277" s="1616" t="s">
        <v>15</v>
      </c>
      <c r="G277" s="1618">
        <v>500000</v>
      </c>
      <c r="H277" s="1619"/>
      <c r="I277" s="1623" t="str">
        <f t="shared" si="6"/>
        <v>Pha</v>
      </c>
    </row>
    <row r="278" spans="1:9" ht="18.75" customHeight="1">
      <c r="A278" s="1614">
        <v>262</v>
      </c>
      <c r="B278" s="1615">
        <v>58</v>
      </c>
      <c r="C278" s="1616"/>
      <c r="D278" s="1616"/>
      <c r="E278" s="1627" t="s">
        <v>181</v>
      </c>
      <c r="F278" s="1616" t="s">
        <v>15</v>
      </c>
      <c r="G278" s="1618">
        <v>500000</v>
      </c>
      <c r="H278" s="1619"/>
      <c r="I278" s="1623" t="str">
        <f t="shared" si="6"/>
        <v>Nét (4)</v>
      </c>
    </row>
    <row r="279" spans="1:9" ht="18.75" customHeight="1">
      <c r="A279" s="1614">
        <v>263</v>
      </c>
      <c r="B279" s="1615">
        <v>59</v>
      </c>
      <c r="C279" s="1616"/>
      <c r="D279" s="1616"/>
      <c r="E279" s="1627" t="s">
        <v>182</v>
      </c>
      <c r="F279" s="1616" t="s">
        <v>15</v>
      </c>
      <c r="G279" s="1618">
        <v>500000</v>
      </c>
      <c r="H279" s="1619"/>
      <c r="I279" s="1623" t="str">
        <f t="shared" si="6"/>
        <v>Sun</v>
      </c>
    </row>
    <row r="280" spans="1:9" ht="18.75" customHeight="1">
      <c r="A280" s="1614">
        <v>264</v>
      </c>
      <c r="B280" s="1615">
        <v>60</v>
      </c>
      <c r="C280" s="1616"/>
      <c r="D280" s="1616"/>
      <c r="E280" s="1627" t="s">
        <v>183</v>
      </c>
      <c r="F280" s="1616" t="s">
        <v>15</v>
      </c>
      <c r="G280" s="1618">
        <v>500000</v>
      </c>
      <c r="H280" s="1619"/>
      <c r="I280" s="1623" t="str">
        <f t="shared" si="6"/>
        <v>Phon (4)</v>
      </c>
    </row>
    <row r="281" spans="1:9" ht="18.75" customHeight="1">
      <c r="A281" s="1614">
        <v>265</v>
      </c>
      <c r="B281" s="1615">
        <v>61</v>
      </c>
      <c r="C281" s="1616"/>
      <c r="D281" s="1616"/>
      <c r="E281" s="1627" t="s">
        <v>184</v>
      </c>
      <c r="F281" s="1616" t="s">
        <v>15</v>
      </c>
      <c r="G281" s="1618">
        <v>500000</v>
      </c>
      <c r="H281" s="1619"/>
      <c r="I281" s="1623" t="str">
        <f t="shared" si="6"/>
        <v>Thên</v>
      </c>
    </row>
    <row r="282" spans="1:9" ht="18.75" customHeight="1">
      <c r="A282" s="1614">
        <v>266</v>
      </c>
      <c r="B282" s="1615">
        <v>62</v>
      </c>
      <c r="C282" s="1616"/>
      <c r="D282" s="1616"/>
      <c r="E282" s="1627" t="s">
        <v>185</v>
      </c>
      <c r="F282" s="1616" t="s">
        <v>15</v>
      </c>
      <c r="G282" s="1618">
        <v>500000</v>
      </c>
      <c r="H282" s="1619"/>
      <c r="I282" s="1623" t="str">
        <f t="shared" si="6"/>
        <v>Na Linh</v>
      </c>
    </row>
    <row r="283" spans="1:9" ht="18.75" customHeight="1">
      <c r="A283" s="1614">
        <v>267</v>
      </c>
      <c r="B283" s="1615">
        <v>63</v>
      </c>
      <c r="C283" s="1616"/>
      <c r="D283" s="1616"/>
      <c r="E283" s="1627" t="s">
        <v>186</v>
      </c>
      <c r="F283" s="1616" t="s">
        <v>15</v>
      </c>
      <c r="G283" s="1618">
        <v>500000</v>
      </c>
      <c r="H283" s="1619"/>
      <c r="I283" s="1623" t="str">
        <f t="shared" si="6"/>
        <v>Hải</v>
      </c>
    </row>
    <row r="284" spans="1:9" ht="18.75" customHeight="1">
      <c r="A284" s="1614">
        <v>268</v>
      </c>
      <c r="B284" s="1615">
        <v>64</v>
      </c>
      <c r="C284" s="1616"/>
      <c r="D284" s="1616"/>
      <c r="E284" s="1627" t="s">
        <v>187</v>
      </c>
      <c r="F284" s="1616" t="s">
        <v>15</v>
      </c>
      <c r="G284" s="1618">
        <v>500000</v>
      </c>
      <c r="H284" s="1619"/>
      <c r="I284" s="1623" t="str">
        <f t="shared" si="6"/>
        <v>Bun Khăm</v>
      </c>
    </row>
    <row r="285" spans="1:9" ht="18.75" customHeight="1">
      <c r="A285" s="1614">
        <v>269</v>
      </c>
      <c r="B285" s="1615">
        <v>65</v>
      </c>
      <c r="C285" s="1616"/>
      <c r="D285" s="1616"/>
      <c r="E285" s="1627" t="s">
        <v>188</v>
      </c>
      <c r="F285" s="1616" t="s">
        <v>15</v>
      </c>
      <c r="G285" s="1618">
        <v>500000</v>
      </c>
      <c r="H285" s="1619"/>
      <c r="I285" s="1623" t="str">
        <f t="shared" si="6"/>
        <v>Nàng Nang</v>
      </c>
    </row>
    <row r="286" spans="1:9" ht="18.75" customHeight="1">
      <c r="A286" s="1614">
        <v>270</v>
      </c>
      <c r="B286" s="1615">
        <v>66</v>
      </c>
      <c r="C286" s="1616"/>
      <c r="D286" s="1616"/>
      <c r="E286" s="1627" t="s">
        <v>189</v>
      </c>
      <c r="F286" s="1616" t="s">
        <v>15</v>
      </c>
      <c r="G286" s="1618">
        <v>500000</v>
      </c>
      <c r="H286" s="1619"/>
      <c r="I286" s="1623" t="str">
        <f t="shared" si="6"/>
        <v>Kong Ta</v>
      </c>
    </row>
    <row r="287" spans="1:9" ht="18.75" customHeight="1">
      <c r="A287" s="1614">
        <v>271</v>
      </c>
      <c r="B287" s="1615">
        <v>67</v>
      </c>
      <c r="C287" s="1616"/>
      <c r="D287" s="1616"/>
      <c r="E287" s="1627" t="s">
        <v>190</v>
      </c>
      <c r="F287" s="1616" t="s">
        <v>15</v>
      </c>
      <c r="G287" s="1618">
        <v>500000</v>
      </c>
      <c r="H287" s="1619"/>
      <c r="I287" s="1623" t="str">
        <f t="shared" si="6"/>
        <v>Ni Đa</v>
      </c>
    </row>
    <row r="288" spans="1:9" ht="18.75" customHeight="1">
      <c r="A288" s="1614">
        <v>272</v>
      </c>
      <c r="B288" s="1615">
        <v>68</v>
      </c>
      <c r="C288" s="1616"/>
      <c r="D288" s="1616"/>
      <c r="E288" s="1627" t="s">
        <v>191</v>
      </c>
      <c r="F288" s="1616" t="s">
        <v>15</v>
      </c>
      <c r="G288" s="1618">
        <v>500000</v>
      </c>
      <c r="H288" s="1619"/>
      <c r="I288" s="1623" t="str">
        <f t="shared" si="6"/>
        <v>Ninh</v>
      </c>
    </row>
    <row r="289" spans="1:9" ht="18.75" customHeight="1">
      <c r="A289" s="1614">
        <v>273</v>
      </c>
      <c r="B289" s="1615">
        <v>69</v>
      </c>
      <c r="C289" s="1616"/>
      <c r="D289" s="1616"/>
      <c r="E289" s="1627" t="s">
        <v>192</v>
      </c>
      <c r="F289" s="1616" t="s">
        <v>15</v>
      </c>
      <c r="G289" s="1618">
        <v>500000</v>
      </c>
      <c r="H289" s="1619"/>
      <c r="I289" s="1623" t="str">
        <f t="shared" si="6"/>
        <v>Hắc Xa Mi</v>
      </c>
    </row>
    <row r="290" spans="1:9" ht="18.75" customHeight="1">
      <c r="A290" s="1614">
        <v>274</v>
      </c>
      <c r="B290" s="1615">
        <v>70</v>
      </c>
      <c r="C290" s="1616"/>
      <c r="D290" s="1616"/>
      <c r="E290" s="1627" t="s">
        <v>193</v>
      </c>
      <c r="F290" s="1616" t="s">
        <v>15</v>
      </c>
      <c r="G290" s="1618">
        <v>500000</v>
      </c>
      <c r="H290" s="1619"/>
      <c r="I290" s="1623" t="str">
        <f t="shared" si="6"/>
        <v>Mi (4)</v>
      </c>
    </row>
    <row r="291" spans="1:9" ht="18.75" customHeight="1">
      <c r="A291" s="1614">
        <v>275</v>
      </c>
      <c r="B291" s="1615">
        <v>71</v>
      </c>
      <c r="C291" s="1616"/>
      <c r="D291" s="1616"/>
      <c r="E291" s="1627" t="s">
        <v>194</v>
      </c>
      <c r="F291" s="1616" t="s">
        <v>15</v>
      </c>
      <c r="G291" s="1618">
        <v>500000</v>
      </c>
      <c r="H291" s="1619"/>
      <c r="I291" s="1623" t="str">
        <f t="shared" si="6"/>
        <v>Phô Phi Xít</v>
      </c>
    </row>
    <row r="292" spans="1:9" ht="18.75" customHeight="1">
      <c r="A292" s="1614">
        <v>276</v>
      </c>
      <c r="B292" s="1615">
        <v>72</v>
      </c>
      <c r="C292" s="1616"/>
      <c r="D292" s="1616"/>
      <c r="E292" s="1627" t="s">
        <v>195</v>
      </c>
      <c r="F292" s="1616" t="s">
        <v>15</v>
      </c>
      <c r="G292" s="1618">
        <v>500000</v>
      </c>
      <c r="H292" s="1619"/>
      <c r="I292" s="1623" t="str">
        <f t="shared" si="6"/>
        <v>Mom</v>
      </c>
    </row>
    <row r="293" spans="1:9" ht="18.75" customHeight="1">
      <c r="A293" s="1614">
        <v>277</v>
      </c>
      <c r="B293" s="1615">
        <v>73</v>
      </c>
      <c r="C293" s="1616"/>
      <c r="D293" s="1616"/>
      <c r="E293" s="1627" t="s">
        <v>196</v>
      </c>
      <c r="F293" s="1616" t="s">
        <v>15</v>
      </c>
      <c r="G293" s="1618">
        <v>500000</v>
      </c>
      <c r="H293" s="1619"/>
      <c r="I293" s="1623" t="str">
        <f t="shared" si="6"/>
        <v>Ben</v>
      </c>
    </row>
    <row r="294" spans="1:9" ht="18.75" customHeight="1">
      <c r="A294" s="1614">
        <v>278</v>
      </c>
      <c r="B294" s="1615">
        <v>74</v>
      </c>
      <c r="C294" s="1616"/>
      <c r="D294" s="1616"/>
      <c r="E294" s="1627" t="s">
        <v>197</v>
      </c>
      <c r="F294" s="1616" t="s">
        <v>15</v>
      </c>
      <c r="G294" s="1618">
        <v>500000</v>
      </c>
      <c r="H294" s="1619"/>
      <c r="I294" s="1623" t="str">
        <f t="shared" si="6"/>
        <v>A Cum (4)</v>
      </c>
    </row>
    <row r="295" spans="1:9" ht="18.75" customHeight="1">
      <c r="A295" s="1614">
        <v>279</v>
      </c>
      <c r="B295" s="1615">
        <v>75</v>
      </c>
      <c r="C295" s="1616"/>
      <c r="D295" s="1616"/>
      <c r="E295" s="1627" t="s">
        <v>198</v>
      </c>
      <c r="F295" s="1616" t="s">
        <v>15</v>
      </c>
      <c r="G295" s="1618">
        <v>500000</v>
      </c>
      <c r="H295" s="1619"/>
      <c r="I295" s="1623" t="str">
        <f t="shared" si="6"/>
        <v>Thông Đeng</v>
      </c>
    </row>
    <row r="296" spans="1:9" ht="18.75" customHeight="1">
      <c r="A296" s="1614">
        <v>280</v>
      </c>
      <c r="B296" s="1615">
        <v>76</v>
      </c>
      <c r="C296" s="1616"/>
      <c r="D296" s="1616"/>
      <c r="E296" s="1627" t="s">
        <v>199</v>
      </c>
      <c r="F296" s="1616" t="s">
        <v>15</v>
      </c>
      <c r="G296" s="1618">
        <v>500000</v>
      </c>
      <c r="H296" s="1619"/>
      <c r="I296" s="1623" t="str">
        <f t="shared" si="6"/>
        <v>Phu Vanh</v>
      </c>
    </row>
    <row r="297" spans="1:9" ht="18.75" customHeight="1">
      <c r="A297" s="1614">
        <v>281</v>
      </c>
      <c r="B297" s="1615">
        <v>77</v>
      </c>
      <c r="C297" s="1616"/>
      <c r="D297" s="1616"/>
      <c r="E297" s="1627" t="s">
        <v>200</v>
      </c>
      <c r="F297" s="1616" t="s">
        <v>15</v>
      </c>
      <c r="G297" s="1618">
        <v>500000</v>
      </c>
      <c r="H297" s="1619"/>
      <c r="I297" s="1623" t="str">
        <f t="shared" si="6"/>
        <v>Ta</v>
      </c>
    </row>
    <row r="298" spans="1:9" ht="18.75" customHeight="1">
      <c r="A298" s="1614">
        <v>282</v>
      </c>
      <c r="B298" s="1615">
        <v>78</v>
      </c>
      <c r="C298" s="1616"/>
      <c r="D298" s="1616"/>
      <c r="E298" s="1627" t="s">
        <v>201</v>
      </c>
      <c r="F298" s="1616" t="s">
        <v>15</v>
      </c>
      <c r="G298" s="1618">
        <v>500000</v>
      </c>
      <c r="H298" s="1619"/>
      <c r="I298" s="1623" t="str">
        <f t="shared" si="6"/>
        <v>Khôn (4)</v>
      </c>
    </row>
    <row r="299" spans="1:9" ht="18.75" customHeight="1">
      <c r="A299" s="1614">
        <v>283</v>
      </c>
      <c r="B299" s="1615">
        <v>79</v>
      </c>
      <c r="C299" s="1616"/>
      <c r="D299" s="1616"/>
      <c r="E299" s="1627" t="s">
        <v>202</v>
      </c>
      <c r="F299" s="1616" t="s">
        <v>15</v>
      </c>
      <c r="G299" s="1618">
        <v>500000</v>
      </c>
      <c r="H299" s="1619"/>
      <c r="I299" s="1623" t="str">
        <f t="shared" si="6"/>
        <v>Thọ</v>
      </c>
    </row>
    <row r="300" spans="1:9" ht="18.75" customHeight="1">
      <c r="A300" s="1614">
        <v>284</v>
      </c>
      <c r="B300" s="1615">
        <v>80</v>
      </c>
      <c r="C300" s="1616"/>
      <c r="D300" s="1616"/>
      <c r="E300" s="1627" t="s">
        <v>203</v>
      </c>
      <c r="F300" s="1616" t="s">
        <v>15</v>
      </c>
      <c r="G300" s="1618">
        <v>500000</v>
      </c>
      <c r="H300" s="1619"/>
      <c r="I300" s="1623" t="str">
        <f t="shared" si="6"/>
        <v>Ten (4)</v>
      </c>
    </row>
    <row r="301" spans="1:9" ht="18.75" customHeight="1">
      <c r="A301" s="1614">
        <v>285</v>
      </c>
      <c r="B301" s="1615">
        <v>81</v>
      </c>
      <c r="C301" s="1616"/>
      <c r="D301" s="1616"/>
      <c r="E301" s="1627" t="s">
        <v>204</v>
      </c>
      <c r="F301" s="1616" t="s">
        <v>15</v>
      </c>
      <c r="G301" s="1618">
        <v>500000</v>
      </c>
      <c r="H301" s="1619"/>
      <c r="I301" s="1623" t="str">
        <f t="shared" si="6"/>
        <v>Văn (4)</v>
      </c>
    </row>
    <row r="302" spans="1:9" ht="18.75" customHeight="1">
      <c r="A302" s="1614">
        <v>286</v>
      </c>
      <c r="B302" s="1615">
        <v>82</v>
      </c>
      <c r="C302" s="1616"/>
      <c r="D302" s="1616"/>
      <c r="E302" s="1627" t="s">
        <v>205</v>
      </c>
      <c r="F302" s="1616" t="s">
        <v>15</v>
      </c>
      <c r="G302" s="1618">
        <v>500000</v>
      </c>
      <c r="H302" s="1619"/>
      <c r="I302" s="1623" t="str">
        <f t="shared" si="6"/>
        <v>Khăm Lổ</v>
      </c>
    </row>
    <row r="303" spans="1:9" ht="18.75" customHeight="1">
      <c r="A303" s="2228" t="s">
        <v>123</v>
      </c>
      <c r="B303" s="2229"/>
      <c r="C303" s="2229"/>
      <c r="D303" s="2229"/>
      <c r="E303" s="2229"/>
      <c r="F303" s="2230"/>
      <c r="G303" s="1625">
        <f>SUM(G304:G374)</f>
        <v>35500000</v>
      </c>
      <c r="H303" s="1626"/>
      <c r="I303" s="1623">
        <f t="shared" si="6"/>
        <v>0</v>
      </c>
    </row>
    <row r="304" spans="1:9" ht="18.75" customHeight="1">
      <c r="A304" s="1614">
        <v>287</v>
      </c>
      <c r="B304" s="1615">
        <v>1</v>
      </c>
      <c r="C304" s="1616"/>
      <c r="D304" s="1616"/>
      <c r="E304" s="1627" t="s">
        <v>206</v>
      </c>
      <c r="F304" s="1616" t="s">
        <v>15</v>
      </c>
      <c r="G304" s="1618">
        <v>500000</v>
      </c>
      <c r="H304" s="1619"/>
      <c r="I304" s="1623" t="str">
        <f t="shared" si="6"/>
        <v>Nàng Mon</v>
      </c>
    </row>
    <row r="305" spans="1:9" ht="18.75" customHeight="1">
      <c r="A305" s="1614">
        <v>288</v>
      </c>
      <c r="B305" s="1615">
        <v>2</v>
      </c>
      <c r="C305" s="1616"/>
      <c r="D305" s="1616"/>
      <c r="E305" s="1627" t="s">
        <v>207</v>
      </c>
      <c r="F305" s="1616" t="s">
        <v>15</v>
      </c>
      <c r="G305" s="1618">
        <v>500000</v>
      </c>
      <c r="H305" s="1619"/>
      <c r="I305" s="1623" t="str">
        <f t="shared" si="6"/>
        <v>Bun</v>
      </c>
    </row>
    <row r="306" spans="1:9" ht="18.75" customHeight="1">
      <c r="A306" s="1614">
        <v>289</v>
      </c>
      <c r="B306" s="1615">
        <v>3</v>
      </c>
      <c r="C306" s="1616"/>
      <c r="D306" s="1616"/>
      <c r="E306" s="1627" t="s">
        <v>208</v>
      </c>
      <c r="F306" s="1616" t="s">
        <v>15</v>
      </c>
      <c r="G306" s="1618">
        <v>500000</v>
      </c>
      <c r="H306" s="1619"/>
      <c r="I306" s="1623" t="str">
        <f t="shared" si="6"/>
        <v>Xôm Bách</v>
      </c>
    </row>
    <row r="307" spans="1:9" ht="18.75" customHeight="1">
      <c r="A307" s="1614">
        <v>290</v>
      </c>
      <c r="B307" s="1615">
        <v>4</v>
      </c>
      <c r="C307" s="1616"/>
      <c r="D307" s="1616"/>
      <c r="E307" s="1627" t="s">
        <v>209</v>
      </c>
      <c r="F307" s="1616" t="s">
        <v>15</v>
      </c>
      <c r="G307" s="1618">
        <v>500000</v>
      </c>
      <c r="H307" s="1619"/>
      <c r="I307" s="1623" t="str">
        <f t="shared" si="6"/>
        <v>Thảo Tịa</v>
      </c>
    </row>
    <row r="308" spans="1:9" ht="18.75" customHeight="1">
      <c r="A308" s="1614">
        <v>291</v>
      </c>
      <c r="B308" s="1615">
        <v>5</v>
      </c>
      <c r="C308" s="1616"/>
      <c r="D308" s="1616"/>
      <c r="E308" s="1627" t="s">
        <v>210</v>
      </c>
      <c r="F308" s="1616" t="s">
        <v>15</v>
      </c>
      <c r="G308" s="1618">
        <v>500000</v>
      </c>
      <c r="H308" s="1619"/>
      <c r="I308" s="1623" t="str">
        <f t="shared" si="6"/>
        <v>Hám Lae</v>
      </c>
    </row>
    <row r="309" spans="1:9" ht="18.75" customHeight="1">
      <c r="A309" s="1614">
        <v>292</v>
      </c>
      <c r="B309" s="1615">
        <v>6</v>
      </c>
      <c r="C309" s="1616"/>
      <c r="D309" s="1616"/>
      <c r="E309" s="1627" t="s">
        <v>211</v>
      </c>
      <c r="F309" s="1616" t="s">
        <v>15</v>
      </c>
      <c r="G309" s="1618">
        <v>500000</v>
      </c>
      <c r="H309" s="1619"/>
      <c r="I309" s="1623" t="str">
        <f t="shared" si="6"/>
        <v>Lan (5)</v>
      </c>
    </row>
    <row r="310" spans="1:9" ht="18.75" customHeight="1">
      <c r="A310" s="1614">
        <v>293</v>
      </c>
      <c r="B310" s="1615">
        <v>7</v>
      </c>
      <c r="C310" s="1616"/>
      <c r="D310" s="1616"/>
      <c r="E310" s="1627" t="s">
        <v>212</v>
      </c>
      <c r="F310" s="1616" t="s">
        <v>15</v>
      </c>
      <c r="G310" s="1618">
        <v>500000</v>
      </c>
      <c r="H310" s="1619"/>
      <c r="I310" s="1623" t="str">
        <f t="shared" si="6"/>
        <v>Năm</v>
      </c>
    </row>
    <row r="311" spans="1:9" ht="18.75" customHeight="1">
      <c r="A311" s="1614">
        <v>294</v>
      </c>
      <c r="B311" s="1615">
        <v>8</v>
      </c>
      <c r="C311" s="1616"/>
      <c r="D311" s="1616"/>
      <c r="E311" s="1627" t="s">
        <v>213</v>
      </c>
      <c r="F311" s="1616" t="s">
        <v>15</v>
      </c>
      <c r="G311" s="1618">
        <v>500000</v>
      </c>
      <c r="H311" s="1619"/>
      <c r="I311" s="1623" t="str">
        <f t="shared" si="6"/>
        <v>Thảo Sum</v>
      </c>
    </row>
    <row r="312" spans="1:9" ht="18.75" customHeight="1">
      <c r="A312" s="1614">
        <v>295</v>
      </c>
      <c r="B312" s="1615">
        <v>9</v>
      </c>
      <c r="C312" s="1616"/>
      <c r="D312" s="1616"/>
      <c r="E312" s="1627" t="s">
        <v>214</v>
      </c>
      <c r="F312" s="1616" t="s">
        <v>15</v>
      </c>
      <c r="G312" s="1618">
        <v>500000</v>
      </c>
      <c r="H312" s="1619"/>
      <c r="I312" s="1623" t="str">
        <f t="shared" si="6"/>
        <v>A Sung</v>
      </c>
    </row>
    <row r="313" spans="1:9" ht="18.75" customHeight="1">
      <c r="A313" s="1614">
        <v>296</v>
      </c>
      <c r="B313" s="1615">
        <v>10</v>
      </c>
      <c r="C313" s="1616"/>
      <c r="D313" s="1616"/>
      <c r="E313" s="1627" t="s">
        <v>215</v>
      </c>
      <c r="F313" s="1616" t="s">
        <v>15</v>
      </c>
      <c r="G313" s="1618">
        <v>500000</v>
      </c>
      <c r="H313" s="1619"/>
      <c r="I313" s="1623" t="str">
        <f t="shared" si="6"/>
        <v>Phết Sa Mon</v>
      </c>
    </row>
    <row r="314" spans="1:9" ht="18.75" customHeight="1">
      <c r="A314" s="1614">
        <v>297</v>
      </c>
      <c r="B314" s="1615">
        <v>11</v>
      </c>
      <c r="C314" s="1616"/>
      <c r="D314" s="1616"/>
      <c r="E314" s="1627" t="s">
        <v>216</v>
      </c>
      <c r="F314" s="1616" t="s">
        <v>15</v>
      </c>
      <c r="G314" s="1618">
        <v>500000</v>
      </c>
      <c r="H314" s="1619"/>
      <c r="I314" s="1623" t="str">
        <f t="shared" si="6"/>
        <v>Nàng Von</v>
      </c>
    </row>
    <row r="315" spans="1:9" ht="18.75" customHeight="1">
      <c r="A315" s="1614">
        <v>298</v>
      </c>
      <c r="B315" s="1615">
        <v>12</v>
      </c>
      <c r="C315" s="1616"/>
      <c r="D315" s="1616"/>
      <c r="E315" s="1627" t="s">
        <v>217</v>
      </c>
      <c r="F315" s="1616" t="s">
        <v>15</v>
      </c>
      <c r="G315" s="1618">
        <v>500000</v>
      </c>
      <c r="H315" s="1619"/>
      <c r="I315" s="1623" t="str">
        <f t="shared" si="6"/>
        <v>T. Chòi</v>
      </c>
    </row>
    <row r="316" spans="1:9" ht="18.75" customHeight="1">
      <c r="A316" s="1614">
        <v>299</v>
      </c>
      <c r="B316" s="1615">
        <v>13</v>
      </c>
      <c r="C316" s="1616"/>
      <c r="D316" s="1616"/>
      <c r="E316" s="1627" t="s">
        <v>218</v>
      </c>
      <c r="F316" s="1616" t="s">
        <v>15</v>
      </c>
      <c r="G316" s="1618">
        <v>500000</v>
      </c>
      <c r="H316" s="1619"/>
      <c r="I316" s="1623" t="str">
        <f t="shared" si="6"/>
        <v>Văn (5)</v>
      </c>
    </row>
    <row r="317" spans="1:9" ht="18.75" customHeight="1">
      <c r="A317" s="1614">
        <v>300</v>
      </c>
      <c r="B317" s="1615">
        <v>14</v>
      </c>
      <c r="C317" s="1616"/>
      <c r="D317" s="1616"/>
      <c r="E317" s="1627" t="s">
        <v>219</v>
      </c>
      <c r="F317" s="1616" t="s">
        <v>15</v>
      </c>
      <c r="G317" s="1618">
        <v>500000</v>
      </c>
      <c r="H317" s="1619"/>
      <c r="I317" s="1623" t="str">
        <f t="shared" si="6"/>
        <v>Thảo Khon</v>
      </c>
    </row>
    <row r="318" spans="1:9" ht="18.75" customHeight="1">
      <c r="A318" s="1614">
        <v>301</v>
      </c>
      <c r="B318" s="1615">
        <v>15</v>
      </c>
      <c r="C318" s="1616"/>
      <c r="D318" s="1616"/>
      <c r="E318" s="1627" t="s">
        <v>220</v>
      </c>
      <c r="F318" s="1616" t="s">
        <v>15</v>
      </c>
      <c r="G318" s="1618">
        <v>500000</v>
      </c>
      <c r="H318" s="1619"/>
      <c r="I318" s="1623" t="str">
        <f t="shared" si="6"/>
        <v>A Tô</v>
      </c>
    </row>
    <row r="319" spans="1:9" ht="18.75" customHeight="1">
      <c r="A319" s="1614">
        <v>302</v>
      </c>
      <c r="B319" s="1615">
        <v>16</v>
      </c>
      <c r="C319" s="1616"/>
      <c r="D319" s="1616"/>
      <c r="E319" s="1627" t="s">
        <v>221</v>
      </c>
      <c r="F319" s="1616" t="s">
        <v>15</v>
      </c>
      <c r="G319" s="1618">
        <v>500000</v>
      </c>
      <c r="H319" s="1619"/>
      <c r="I319" s="1623" t="str">
        <f t="shared" si="6"/>
        <v>Đoan</v>
      </c>
    </row>
    <row r="320" spans="1:9" ht="18.75" customHeight="1">
      <c r="A320" s="1614">
        <v>303</v>
      </c>
      <c r="B320" s="1615">
        <v>17</v>
      </c>
      <c r="C320" s="1616"/>
      <c r="D320" s="1616"/>
      <c r="E320" s="1627" t="s">
        <v>222</v>
      </c>
      <c r="F320" s="1616" t="s">
        <v>15</v>
      </c>
      <c r="G320" s="1618">
        <v>500000</v>
      </c>
      <c r="H320" s="1619"/>
      <c r="I320" s="1623" t="str">
        <f t="shared" si="6"/>
        <v>Bun No</v>
      </c>
    </row>
    <row r="321" spans="1:9" ht="18.75" customHeight="1">
      <c r="A321" s="1614">
        <v>304</v>
      </c>
      <c r="B321" s="1615">
        <v>18</v>
      </c>
      <c r="C321" s="1616"/>
      <c r="D321" s="1616"/>
      <c r="E321" s="1627" t="s">
        <v>223</v>
      </c>
      <c r="F321" s="1616" t="s">
        <v>15</v>
      </c>
      <c r="G321" s="1618">
        <v>500000</v>
      </c>
      <c r="H321" s="1619"/>
      <c r="I321" s="1623" t="str">
        <f t="shared" si="6"/>
        <v>Nét (5)</v>
      </c>
    </row>
    <row r="322" spans="1:9" ht="18.75" customHeight="1">
      <c r="A322" s="1614">
        <v>305</v>
      </c>
      <c r="B322" s="1615">
        <v>19</v>
      </c>
      <c r="C322" s="1616"/>
      <c r="D322" s="1616"/>
      <c r="E322" s="1627" t="s">
        <v>224</v>
      </c>
      <c r="F322" s="1616" t="s">
        <v>15</v>
      </c>
      <c r="G322" s="1618">
        <v>500000</v>
      </c>
      <c r="H322" s="1619"/>
      <c r="I322" s="1623" t="str">
        <f t="shared" si="6"/>
        <v>Sen</v>
      </c>
    </row>
    <row r="323" spans="1:9" ht="18.75" customHeight="1">
      <c r="A323" s="1614">
        <v>306</v>
      </c>
      <c r="B323" s="1615">
        <v>20</v>
      </c>
      <c r="C323" s="1616"/>
      <c r="D323" s="1616"/>
      <c r="E323" s="1627" t="s">
        <v>225</v>
      </c>
      <c r="F323" s="1616" t="s">
        <v>15</v>
      </c>
      <c r="G323" s="1618">
        <v>500000</v>
      </c>
      <c r="H323" s="1619"/>
      <c r="I323" s="1623" t="str">
        <f t="shared" si="6"/>
        <v>Thảo Núc</v>
      </c>
    </row>
    <row r="324" spans="1:9" ht="18.75" customHeight="1">
      <c r="A324" s="1614">
        <v>307</v>
      </c>
      <c r="B324" s="1615">
        <v>21</v>
      </c>
      <c r="C324" s="1616"/>
      <c r="D324" s="1616"/>
      <c r="E324" s="1627" t="s">
        <v>226</v>
      </c>
      <c r="F324" s="1616" t="s">
        <v>15</v>
      </c>
      <c r="G324" s="1618">
        <v>500000</v>
      </c>
      <c r="H324" s="1619"/>
      <c r="I324" s="1623" t="str">
        <f t="shared" si="6"/>
        <v>A Đưng</v>
      </c>
    </row>
    <row r="325" spans="1:9" ht="18.75" customHeight="1">
      <c r="A325" s="1614">
        <v>308</v>
      </c>
      <c r="B325" s="1615">
        <v>22</v>
      </c>
      <c r="C325" s="1616"/>
      <c r="D325" s="1616"/>
      <c r="E325" s="1627" t="s">
        <v>227</v>
      </c>
      <c r="F325" s="1616" t="s">
        <v>15</v>
      </c>
      <c r="G325" s="1618">
        <v>500000</v>
      </c>
      <c r="H325" s="1619"/>
      <c r="I325" s="1623" t="str">
        <f t="shared" si="6"/>
        <v>Nàng Nọi (5)</v>
      </c>
    </row>
    <row r="326" spans="1:9" ht="18.75" customHeight="1">
      <c r="A326" s="1614">
        <v>309</v>
      </c>
      <c r="B326" s="1615">
        <v>23</v>
      </c>
      <c r="C326" s="1616"/>
      <c r="D326" s="1616"/>
      <c r="E326" s="1627" t="s">
        <v>228</v>
      </c>
      <c r="F326" s="1616" t="s">
        <v>15</v>
      </c>
      <c r="G326" s="1618">
        <v>500000</v>
      </c>
      <c r="H326" s="1619"/>
      <c r="I326" s="1623" t="str">
        <f t="shared" si="6"/>
        <v>Lúp</v>
      </c>
    </row>
    <row r="327" spans="1:9" ht="18.75" customHeight="1">
      <c r="A327" s="1614">
        <v>310</v>
      </c>
      <c r="B327" s="1615">
        <v>24</v>
      </c>
      <c r="C327" s="1616"/>
      <c r="D327" s="1616"/>
      <c r="E327" s="1627" t="s">
        <v>229</v>
      </c>
      <c r="F327" s="1616" t="s">
        <v>15</v>
      </c>
      <c r="G327" s="1618">
        <v>500000</v>
      </c>
      <c r="H327" s="1619"/>
      <c r="I327" s="1623" t="str">
        <f t="shared" si="6"/>
        <v>Xai (5)</v>
      </c>
    </row>
    <row r="328" spans="1:9" ht="18.75" customHeight="1">
      <c r="A328" s="1614">
        <v>311</v>
      </c>
      <c r="B328" s="1615">
        <v>25</v>
      </c>
      <c r="C328" s="1616"/>
      <c r="D328" s="1616"/>
      <c r="E328" s="1627" t="s">
        <v>230</v>
      </c>
      <c r="F328" s="1616" t="s">
        <v>15</v>
      </c>
      <c r="G328" s="1618">
        <v>500000</v>
      </c>
      <c r="H328" s="1619"/>
      <c r="I328" s="1623" t="str">
        <f t="shared" si="6"/>
        <v>A Bun Noi</v>
      </c>
    </row>
    <row r="329" spans="1:9" ht="18.75" customHeight="1">
      <c r="A329" s="1614">
        <v>312</v>
      </c>
      <c r="B329" s="1615">
        <v>26</v>
      </c>
      <c r="C329" s="1616"/>
      <c r="D329" s="1616"/>
      <c r="E329" s="1627" t="s">
        <v>231</v>
      </c>
      <c r="F329" s="1616" t="s">
        <v>15</v>
      </c>
      <c r="G329" s="1618">
        <v>500000</v>
      </c>
      <c r="H329" s="1619"/>
      <c r="I329" s="1623" t="str">
        <f t="shared" si="6"/>
        <v>E (5)</v>
      </c>
    </row>
    <row r="330" spans="1:9" ht="18.75" customHeight="1">
      <c r="A330" s="1614">
        <v>313</v>
      </c>
      <c r="B330" s="1615">
        <v>27</v>
      </c>
      <c r="C330" s="1616"/>
      <c r="D330" s="1616"/>
      <c r="E330" s="1627" t="s">
        <v>232</v>
      </c>
      <c r="F330" s="1616" t="s">
        <v>15</v>
      </c>
      <c r="G330" s="1618">
        <v>500000</v>
      </c>
      <c r="H330" s="1619"/>
      <c r="I330" s="1623" t="str">
        <f t="shared" si="6"/>
        <v>Bun Mi</v>
      </c>
    </row>
    <row r="331" spans="1:9" ht="18.75" customHeight="1">
      <c r="A331" s="1614">
        <v>314</v>
      </c>
      <c r="B331" s="1615">
        <v>28</v>
      </c>
      <c r="C331" s="1616"/>
      <c r="D331" s="1616"/>
      <c r="E331" s="1627" t="s">
        <v>233</v>
      </c>
      <c r="F331" s="1616" t="s">
        <v>15</v>
      </c>
      <c r="G331" s="1618">
        <v>500000</v>
      </c>
      <c r="H331" s="1619"/>
      <c r="I331" s="1623" t="str">
        <f t="shared" si="6"/>
        <v>Thảo Văn</v>
      </c>
    </row>
    <row r="332" spans="1:9" ht="18.75" customHeight="1">
      <c r="A332" s="1614">
        <v>315</v>
      </c>
      <c r="B332" s="1615">
        <v>29</v>
      </c>
      <c r="C332" s="1616"/>
      <c r="D332" s="1616"/>
      <c r="E332" s="1627" t="s">
        <v>234</v>
      </c>
      <c r="F332" s="1616" t="s">
        <v>15</v>
      </c>
      <c r="G332" s="1618">
        <v>500000</v>
      </c>
      <c r="H332" s="1619"/>
      <c r="I332" s="1623" t="str">
        <f t="shared" ref="I332:I397" si="7">E332</f>
        <v>Nàng Ngân</v>
      </c>
    </row>
    <row r="333" spans="1:9" ht="18.75" customHeight="1">
      <c r="A333" s="1614">
        <v>316</v>
      </c>
      <c r="B333" s="1615">
        <v>30</v>
      </c>
      <c r="C333" s="1616"/>
      <c r="D333" s="1616"/>
      <c r="E333" s="1627" t="s">
        <v>235</v>
      </c>
      <c r="F333" s="1616" t="s">
        <v>15</v>
      </c>
      <c r="G333" s="1618">
        <v>500000</v>
      </c>
      <c r="H333" s="1619"/>
      <c r="I333" s="1623" t="str">
        <f t="shared" si="7"/>
        <v>Nàng Pha</v>
      </c>
    </row>
    <row r="334" spans="1:9" ht="18.75" customHeight="1">
      <c r="A334" s="1614">
        <v>317</v>
      </c>
      <c r="B334" s="1615">
        <v>31</v>
      </c>
      <c r="C334" s="1616"/>
      <c r="D334" s="1616"/>
      <c r="E334" s="1627" t="s">
        <v>236</v>
      </c>
      <c r="F334" s="1616" t="s">
        <v>15</v>
      </c>
      <c r="G334" s="1618">
        <v>500000</v>
      </c>
      <c r="H334" s="1619"/>
      <c r="I334" s="1623" t="str">
        <f t="shared" si="7"/>
        <v>Thảo Ê</v>
      </c>
    </row>
    <row r="335" spans="1:9" ht="18.75" customHeight="1">
      <c r="A335" s="1614">
        <v>318</v>
      </c>
      <c r="B335" s="1615">
        <v>32</v>
      </c>
      <c r="C335" s="1616"/>
      <c r="D335" s="1616"/>
      <c r="E335" s="1627" t="s">
        <v>237</v>
      </c>
      <c r="F335" s="1616" t="s">
        <v>15</v>
      </c>
      <c r="G335" s="1618">
        <v>500000</v>
      </c>
      <c r="H335" s="1619"/>
      <c r="I335" s="1623" t="str">
        <f t="shared" si="7"/>
        <v>Nàng Ăm</v>
      </c>
    </row>
    <row r="336" spans="1:9" ht="18.75" customHeight="1">
      <c r="A336" s="1614">
        <v>319</v>
      </c>
      <c r="B336" s="1615">
        <v>33</v>
      </c>
      <c r="C336" s="1616"/>
      <c r="D336" s="1616"/>
      <c r="E336" s="1627" t="s">
        <v>238</v>
      </c>
      <c r="F336" s="1616" t="s">
        <v>15</v>
      </c>
      <c r="G336" s="1618">
        <v>500000</v>
      </c>
      <c r="H336" s="1619"/>
      <c r="I336" s="1623" t="str">
        <f t="shared" si="7"/>
        <v>Thảo Lợt</v>
      </c>
    </row>
    <row r="337" spans="1:9" ht="18.75" customHeight="1">
      <c r="A337" s="1614">
        <v>320</v>
      </c>
      <c r="B337" s="1615">
        <v>34</v>
      </c>
      <c r="C337" s="1616"/>
      <c r="D337" s="1616"/>
      <c r="E337" s="1627" t="s">
        <v>239</v>
      </c>
      <c r="F337" s="1616" t="s">
        <v>15</v>
      </c>
      <c r="G337" s="1618">
        <v>500000</v>
      </c>
      <c r="H337" s="1619"/>
      <c r="I337" s="1623" t="str">
        <f t="shared" si="7"/>
        <v>ViSay</v>
      </c>
    </row>
    <row r="338" spans="1:9" ht="18.75" customHeight="1">
      <c r="A338" s="1614">
        <v>321</v>
      </c>
      <c r="B338" s="1615">
        <v>35</v>
      </c>
      <c r="C338" s="1616"/>
      <c r="D338" s="1616"/>
      <c r="E338" s="1627" t="s">
        <v>240</v>
      </c>
      <c r="F338" s="1616" t="s">
        <v>15</v>
      </c>
      <c r="G338" s="1618">
        <v>500000</v>
      </c>
      <c r="H338" s="1619"/>
      <c r="I338" s="1623" t="str">
        <f t="shared" si="7"/>
        <v>Thảo Phơn</v>
      </c>
    </row>
    <row r="339" spans="1:9" ht="18.75" customHeight="1">
      <c r="A339" s="1614">
        <v>322</v>
      </c>
      <c r="B339" s="1615">
        <v>36</v>
      </c>
      <c r="C339" s="1616"/>
      <c r="D339" s="1616"/>
      <c r="E339" s="1627" t="s">
        <v>241</v>
      </c>
      <c r="F339" s="1616" t="s">
        <v>15</v>
      </c>
      <c r="G339" s="1618">
        <v>500000</v>
      </c>
      <c r="H339" s="1619"/>
      <c r="I339" s="1623" t="str">
        <f t="shared" si="7"/>
        <v>Nàng Oi</v>
      </c>
    </row>
    <row r="340" spans="1:9" ht="18.75" customHeight="1">
      <c r="A340" s="1614">
        <v>323</v>
      </c>
      <c r="B340" s="1615">
        <v>37</v>
      </c>
      <c r="C340" s="1616"/>
      <c r="D340" s="1616"/>
      <c r="E340" s="1627" t="s">
        <v>242</v>
      </c>
      <c r="F340" s="1616" t="s">
        <v>15</v>
      </c>
      <c r="G340" s="1618">
        <v>500000</v>
      </c>
      <c r="H340" s="1619"/>
      <c r="I340" s="1623" t="str">
        <f t="shared" si="7"/>
        <v>Nàng Ly</v>
      </c>
    </row>
    <row r="341" spans="1:9" ht="18.75" customHeight="1">
      <c r="A341" s="1614">
        <v>324</v>
      </c>
      <c r="B341" s="1615">
        <v>38</v>
      </c>
      <c r="C341" s="1616"/>
      <c r="D341" s="1616"/>
      <c r="E341" s="1627" t="s">
        <v>243</v>
      </c>
      <c r="F341" s="1616" t="s">
        <v>15</v>
      </c>
      <c r="G341" s="1618">
        <v>500000</v>
      </c>
      <c r="H341" s="1619"/>
      <c r="I341" s="1623" t="str">
        <f t="shared" si="7"/>
        <v>Thảo Ú</v>
      </c>
    </row>
    <row r="342" spans="1:9" ht="18.75" customHeight="1">
      <c r="A342" s="1614">
        <v>325</v>
      </c>
      <c r="B342" s="1615">
        <v>39</v>
      </c>
      <c r="C342" s="1616"/>
      <c r="D342" s="1616"/>
      <c r="E342" s="1627" t="s">
        <v>244</v>
      </c>
      <c r="F342" s="1616" t="s">
        <v>15</v>
      </c>
      <c r="G342" s="1618">
        <v>500000</v>
      </c>
      <c r="H342" s="1619"/>
      <c r="I342" s="1623" t="str">
        <f t="shared" si="7"/>
        <v>Bun Ùm</v>
      </c>
    </row>
    <row r="343" spans="1:9" ht="18.75" customHeight="1">
      <c r="A343" s="1614">
        <v>326</v>
      </c>
      <c r="B343" s="1615">
        <v>40</v>
      </c>
      <c r="C343" s="1616"/>
      <c r="D343" s="1616"/>
      <c r="E343" s="1627" t="s">
        <v>245</v>
      </c>
      <c r="F343" s="1616" t="s">
        <v>15</v>
      </c>
      <c r="G343" s="1618">
        <v>500000</v>
      </c>
      <c r="H343" s="1619"/>
      <c r="I343" s="1623" t="str">
        <f t="shared" si="7"/>
        <v>Bun Ma (5)</v>
      </c>
    </row>
    <row r="344" spans="1:9" ht="18.75" customHeight="1">
      <c r="A344" s="1614">
        <v>327</v>
      </c>
      <c r="B344" s="1615">
        <v>41</v>
      </c>
      <c r="C344" s="1616"/>
      <c r="D344" s="1616"/>
      <c r="E344" s="1627" t="s">
        <v>246</v>
      </c>
      <c r="F344" s="1616" t="s">
        <v>15</v>
      </c>
      <c r="G344" s="1618">
        <v>500000</v>
      </c>
      <c r="H344" s="1619"/>
      <c r="I344" s="1623" t="str">
        <f t="shared" si="7"/>
        <v>Keo (5)</v>
      </c>
    </row>
    <row r="345" spans="1:9" ht="18.75" customHeight="1">
      <c r="A345" s="1614">
        <v>328</v>
      </c>
      <c r="B345" s="1615">
        <v>42</v>
      </c>
      <c r="C345" s="1616"/>
      <c r="D345" s="1616"/>
      <c r="E345" s="1627" t="s">
        <v>247</v>
      </c>
      <c r="F345" s="1616" t="s">
        <v>15</v>
      </c>
      <c r="G345" s="1618">
        <v>500000</v>
      </c>
      <c r="H345" s="1619"/>
      <c r="I345" s="1623" t="str">
        <f t="shared" si="7"/>
        <v>Khám Tan</v>
      </c>
    </row>
    <row r="346" spans="1:9" ht="18.75" customHeight="1">
      <c r="A346" s="1614">
        <v>329</v>
      </c>
      <c r="B346" s="1615">
        <v>43</v>
      </c>
      <c r="C346" s="1616"/>
      <c r="D346" s="1616"/>
      <c r="E346" s="1627" t="s">
        <v>248</v>
      </c>
      <c r="F346" s="1616" t="s">
        <v>15</v>
      </c>
      <c r="G346" s="1618">
        <v>500000</v>
      </c>
      <c r="H346" s="1619"/>
      <c r="I346" s="1623" t="str">
        <f t="shared" si="7"/>
        <v>Nàng Súc</v>
      </c>
    </row>
    <row r="347" spans="1:9" ht="18.75" customHeight="1">
      <c r="A347" s="1614">
        <v>330</v>
      </c>
      <c r="B347" s="1615">
        <v>44</v>
      </c>
      <c r="C347" s="1616"/>
      <c r="D347" s="1616"/>
      <c r="E347" s="1627" t="s">
        <v>249</v>
      </c>
      <c r="F347" s="1616" t="s">
        <v>15</v>
      </c>
      <c r="G347" s="1618">
        <v>500000</v>
      </c>
      <c r="H347" s="1619"/>
      <c r="I347" s="1623" t="str">
        <f t="shared" si="7"/>
        <v>Khắn Thong</v>
      </c>
    </row>
    <row r="348" spans="1:9" ht="18.75" customHeight="1">
      <c r="A348" s="1614">
        <v>331</v>
      </c>
      <c r="B348" s="1615">
        <v>45</v>
      </c>
      <c r="C348" s="1616"/>
      <c r="D348" s="1616"/>
      <c r="E348" s="1627" t="s">
        <v>250</v>
      </c>
      <c r="F348" s="1616" t="s">
        <v>15</v>
      </c>
      <c r="G348" s="1618">
        <v>500000</v>
      </c>
      <c r="H348" s="1619"/>
      <c r="I348" s="1623" t="str">
        <f t="shared" si="7"/>
        <v>Keo Đăm</v>
      </c>
    </row>
    <row r="349" spans="1:9" ht="18.75" customHeight="1">
      <c r="A349" s="1614">
        <v>332</v>
      </c>
      <c r="B349" s="1615">
        <v>46</v>
      </c>
      <c r="C349" s="1616"/>
      <c r="D349" s="1616"/>
      <c r="E349" s="1627" t="s">
        <v>251</v>
      </c>
      <c r="F349" s="1616" t="s">
        <v>15</v>
      </c>
      <c r="G349" s="1618">
        <v>500000</v>
      </c>
      <c r="H349" s="1619"/>
      <c r="I349" s="1623" t="str">
        <f t="shared" si="7"/>
        <v>Ka Luân</v>
      </c>
    </row>
    <row r="350" spans="1:9" ht="18.75" customHeight="1">
      <c r="A350" s="1614">
        <v>333</v>
      </c>
      <c r="B350" s="1615">
        <v>47</v>
      </c>
      <c r="C350" s="1616"/>
      <c r="D350" s="1616"/>
      <c r="E350" s="1627" t="s">
        <v>252</v>
      </c>
      <c r="F350" s="1616" t="s">
        <v>15</v>
      </c>
      <c r="G350" s="1618">
        <v>500000</v>
      </c>
      <c r="H350" s="1619"/>
      <c r="I350" s="1623" t="str">
        <f t="shared" si="7"/>
        <v>Mừn</v>
      </c>
    </row>
    <row r="351" spans="1:9" ht="18.75" customHeight="1">
      <c r="A351" s="1614">
        <v>334</v>
      </c>
      <c r="B351" s="1615">
        <v>48</v>
      </c>
      <c r="C351" s="1616"/>
      <c r="D351" s="1616"/>
      <c r="E351" s="1627" t="s">
        <v>253</v>
      </c>
      <c r="F351" s="1616" t="s">
        <v>15</v>
      </c>
      <c r="G351" s="1618">
        <v>500000</v>
      </c>
      <c r="H351" s="1619"/>
      <c r="I351" s="1623" t="str">
        <f t="shared" si="7"/>
        <v>N. Lâm</v>
      </c>
    </row>
    <row r="352" spans="1:9" ht="18.75" customHeight="1">
      <c r="A352" s="1614">
        <v>335</v>
      </c>
      <c r="B352" s="1615">
        <v>49</v>
      </c>
      <c r="C352" s="1616"/>
      <c r="D352" s="1616"/>
      <c r="E352" s="1627" t="s">
        <v>254</v>
      </c>
      <c r="F352" s="1616" t="s">
        <v>15</v>
      </c>
      <c r="G352" s="1618">
        <v>500000</v>
      </c>
      <c r="H352" s="1619"/>
      <c r="I352" s="1623" t="str">
        <f t="shared" si="7"/>
        <v>T. Kợt</v>
      </c>
    </row>
    <row r="353" spans="1:9" ht="18.75" customHeight="1">
      <c r="A353" s="1614">
        <v>336</v>
      </c>
      <c r="B353" s="1615">
        <v>50</v>
      </c>
      <c r="C353" s="1616"/>
      <c r="D353" s="1616"/>
      <c r="E353" s="1627" t="s">
        <v>255</v>
      </c>
      <c r="F353" s="1616" t="s">
        <v>15</v>
      </c>
      <c r="G353" s="1618">
        <v>500000</v>
      </c>
      <c r="H353" s="1619"/>
      <c r="I353" s="1623" t="str">
        <f t="shared" si="7"/>
        <v>Sôm Sa Núc</v>
      </c>
    </row>
    <row r="354" spans="1:9" ht="18.75" customHeight="1">
      <c r="A354" s="1614">
        <v>337</v>
      </c>
      <c r="B354" s="1615">
        <v>51</v>
      </c>
      <c r="C354" s="1616"/>
      <c r="D354" s="1616"/>
      <c r="E354" s="1627" t="s">
        <v>256</v>
      </c>
      <c r="F354" s="1616" t="s">
        <v>15</v>
      </c>
      <c r="G354" s="1618">
        <v>500000</v>
      </c>
      <c r="H354" s="1619"/>
      <c r="I354" s="1623" t="str">
        <f t="shared" si="7"/>
        <v>Kay Thong</v>
      </c>
    </row>
    <row r="355" spans="1:9" ht="18.75" customHeight="1">
      <c r="A355" s="1614">
        <v>338</v>
      </c>
      <c r="B355" s="1615">
        <v>52</v>
      </c>
      <c r="C355" s="1616"/>
      <c r="D355" s="1616"/>
      <c r="E355" s="1627" t="s">
        <v>257</v>
      </c>
      <c r="F355" s="1616" t="s">
        <v>15</v>
      </c>
      <c r="G355" s="1618">
        <v>500000</v>
      </c>
      <c r="H355" s="1619"/>
      <c r="I355" s="1623" t="str">
        <f t="shared" si="7"/>
        <v>A Vun</v>
      </c>
    </row>
    <row r="356" spans="1:9" ht="18.75" customHeight="1">
      <c r="A356" s="1614">
        <v>339</v>
      </c>
      <c r="B356" s="1615">
        <v>53</v>
      </c>
      <c r="C356" s="1616"/>
      <c r="D356" s="1616"/>
      <c r="E356" s="1627" t="s">
        <v>258</v>
      </c>
      <c r="F356" s="1616" t="s">
        <v>15</v>
      </c>
      <c r="G356" s="1618">
        <v>500000</v>
      </c>
      <c r="H356" s="1619"/>
      <c r="I356" s="1623" t="str">
        <f t="shared" si="7"/>
        <v>T. Son</v>
      </c>
    </row>
    <row r="357" spans="1:9" ht="18.75" customHeight="1">
      <c r="A357" s="1614">
        <v>340</v>
      </c>
      <c r="B357" s="1615">
        <v>54</v>
      </c>
      <c r="C357" s="1616"/>
      <c r="D357" s="1616"/>
      <c r="E357" s="1627" t="s">
        <v>259</v>
      </c>
      <c r="F357" s="1616" t="s">
        <v>15</v>
      </c>
      <c r="G357" s="1618">
        <v>500000</v>
      </c>
      <c r="H357" s="1619"/>
      <c r="I357" s="1623" t="str">
        <f t="shared" si="7"/>
        <v>Sắc</v>
      </c>
    </row>
    <row r="358" spans="1:9" ht="18.75" customHeight="1">
      <c r="A358" s="1614">
        <v>341</v>
      </c>
      <c r="B358" s="1615">
        <v>55</v>
      </c>
      <c r="C358" s="1616"/>
      <c r="D358" s="1616"/>
      <c r="E358" s="1627" t="s">
        <v>260</v>
      </c>
      <c r="F358" s="1616" t="s">
        <v>15</v>
      </c>
      <c r="G358" s="1618">
        <v>500000</v>
      </c>
      <c r="H358" s="1619"/>
      <c r="I358" s="1623" t="str">
        <f t="shared" si="7"/>
        <v>Thảo Bơt</v>
      </c>
    </row>
    <row r="359" spans="1:9" ht="18.75" customHeight="1">
      <c r="A359" s="1614">
        <v>342</v>
      </c>
      <c r="B359" s="1615">
        <v>56</v>
      </c>
      <c r="C359" s="1616"/>
      <c r="D359" s="1616"/>
      <c r="E359" s="1627" t="s">
        <v>261</v>
      </c>
      <c r="F359" s="1616" t="s">
        <v>15</v>
      </c>
      <c r="G359" s="1618">
        <v>500000</v>
      </c>
      <c r="H359" s="1619"/>
      <c r="I359" s="1623" t="str">
        <f t="shared" si="7"/>
        <v>Say (5)</v>
      </c>
    </row>
    <row r="360" spans="1:9" ht="18.75" customHeight="1">
      <c r="A360" s="1614">
        <v>343</v>
      </c>
      <c r="B360" s="1615">
        <v>57</v>
      </c>
      <c r="C360" s="1616"/>
      <c r="D360" s="1616"/>
      <c r="E360" s="1627" t="s">
        <v>262</v>
      </c>
      <c r="F360" s="1616" t="s">
        <v>15</v>
      </c>
      <c r="G360" s="1618">
        <v>500000</v>
      </c>
      <c r="H360" s="1619"/>
      <c r="I360" s="1623" t="str">
        <f t="shared" si="7"/>
        <v>Đăm (5)</v>
      </c>
    </row>
    <row r="361" spans="1:9" ht="18.75" customHeight="1">
      <c r="A361" s="1614">
        <v>344</v>
      </c>
      <c r="B361" s="1615">
        <v>58</v>
      </c>
      <c r="C361" s="1616"/>
      <c r="D361" s="1616"/>
      <c r="E361" s="1627" t="s">
        <v>263</v>
      </c>
      <c r="F361" s="1616" t="s">
        <v>15</v>
      </c>
      <c r="G361" s="1618">
        <v>500000</v>
      </c>
      <c r="H361" s="1619"/>
      <c r="I361" s="1623" t="str">
        <f t="shared" si="7"/>
        <v>Viêng</v>
      </c>
    </row>
    <row r="362" spans="1:9" ht="18.75" customHeight="1">
      <c r="A362" s="1614">
        <v>345</v>
      </c>
      <c r="B362" s="1615">
        <v>59</v>
      </c>
      <c r="C362" s="1616"/>
      <c r="D362" s="1616"/>
      <c r="E362" s="1627" t="s">
        <v>264</v>
      </c>
      <c r="F362" s="1616" t="s">
        <v>15</v>
      </c>
      <c r="G362" s="1618">
        <v>500000</v>
      </c>
      <c r="H362" s="1619"/>
      <c r="I362" s="1623" t="str">
        <f t="shared" si="7"/>
        <v>Săn</v>
      </c>
    </row>
    <row r="363" spans="1:9" ht="18.75" customHeight="1">
      <c r="A363" s="1614">
        <v>346</v>
      </c>
      <c r="B363" s="1615">
        <v>60</v>
      </c>
      <c r="C363" s="1616"/>
      <c r="D363" s="1616"/>
      <c r="E363" s="1627" t="s">
        <v>265</v>
      </c>
      <c r="F363" s="1616" t="s">
        <v>15</v>
      </c>
      <c r="G363" s="1618">
        <v>500000</v>
      </c>
      <c r="H363" s="1619"/>
      <c r="I363" s="1623" t="str">
        <f t="shared" si="7"/>
        <v>Nàng Loi</v>
      </c>
    </row>
    <row r="364" spans="1:9" ht="18.75" customHeight="1">
      <c r="A364" s="1614">
        <v>347</v>
      </c>
      <c r="B364" s="1615">
        <v>61</v>
      </c>
      <c r="C364" s="1616"/>
      <c r="D364" s="1616"/>
      <c r="E364" s="1627" t="s">
        <v>266</v>
      </c>
      <c r="F364" s="1616" t="s">
        <v>15</v>
      </c>
      <c r="G364" s="1618">
        <v>500000</v>
      </c>
      <c r="H364" s="1619"/>
      <c r="I364" s="1623" t="str">
        <f t="shared" si="7"/>
        <v>A Săn</v>
      </c>
    </row>
    <row r="365" spans="1:9" ht="18.75" customHeight="1">
      <c r="A365" s="1614">
        <v>348</v>
      </c>
      <c r="B365" s="1615">
        <v>62</v>
      </c>
      <c r="C365" s="1616"/>
      <c r="D365" s="1616"/>
      <c r="E365" s="1627" t="s">
        <v>267</v>
      </c>
      <c r="F365" s="1616" t="s">
        <v>15</v>
      </c>
      <c r="G365" s="1618">
        <v>500000</v>
      </c>
      <c r="H365" s="1619"/>
      <c r="I365" s="1623" t="str">
        <f t="shared" si="7"/>
        <v>Sa Máy</v>
      </c>
    </row>
    <row r="366" spans="1:9" ht="18.75" customHeight="1">
      <c r="A366" s="1614">
        <v>349</v>
      </c>
      <c r="B366" s="1615">
        <v>63</v>
      </c>
      <c r="C366" s="1616"/>
      <c r="D366" s="1616"/>
      <c r="E366" s="1627" t="s">
        <v>268</v>
      </c>
      <c r="F366" s="1616" t="s">
        <v>15</v>
      </c>
      <c r="G366" s="1618">
        <v>500000</v>
      </c>
      <c r="H366" s="1619"/>
      <c r="I366" s="1623" t="str">
        <f t="shared" si="7"/>
        <v>Khăm Bay (5)</v>
      </c>
    </row>
    <row r="367" spans="1:9" ht="18.75" customHeight="1">
      <c r="A367" s="1614">
        <v>350</v>
      </c>
      <c r="B367" s="1615">
        <v>64</v>
      </c>
      <c r="C367" s="1616"/>
      <c r="D367" s="1616"/>
      <c r="E367" s="1627" t="s">
        <v>269</v>
      </c>
      <c r="F367" s="1616" t="s">
        <v>15</v>
      </c>
      <c r="G367" s="1618">
        <v>500000</v>
      </c>
      <c r="H367" s="1619"/>
      <c r="I367" s="1623" t="str">
        <f t="shared" si="7"/>
        <v>Chôn</v>
      </c>
    </row>
    <row r="368" spans="1:9" ht="18.75" customHeight="1">
      <c r="A368" s="1614">
        <v>351</v>
      </c>
      <c r="B368" s="1615">
        <v>65</v>
      </c>
      <c r="C368" s="1616"/>
      <c r="D368" s="1616"/>
      <c r="E368" s="1627" t="s">
        <v>270</v>
      </c>
      <c r="F368" s="1616" t="s">
        <v>15</v>
      </c>
      <c r="G368" s="1618">
        <v>500000</v>
      </c>
      <c r="H368" s="1619"/>
      <c r="I368" s="1623" t="str">
        <f t="shared" si="7"/>
        <v>Lâm Ngân</v>
      </c>
    </row>
    <row r="369" spans="1:9" ht="18.75" customHeight="1">
      <c r="A369" s="1614">
        <v>352</v>
      </c>
      <c r="B369" s="1615">
        <v>66</v>
      </c>
      <c r="C369" s="1616"/>
      <c r="D369" s="1616"/>
      <c r="E369" s="1627" t="s">
        <v>271</v>
      </c>
      <c r="F369" s="1616" t="s">
        <v>15</v>
      </c>
      <c r="G369" s="1618">
        <v>500000</v>
      </c>
      <c r="H369" s="1619"/>
      <c r="I369" s="1623" t="str">
        <f t="shared" si="7"/>
        <v>A Nha</v>
      </c>
    </row>
    <row r="370" spans="1:9" ht="18.75" customHeight="1">
      <c r="A370" s="1614">
        <v>353</v>
      </c>
      <c r="B370" s="1615">
        <v>67</v>
      </c>
      <c r="C370" s="1616"/>
      <c r="D370" s="1616"/>
      <c r="E370" s="1627" t="s">
        <v>272</v>
      </c>
      <c r="F370" s="1616" t="s">
        <v>15</v>
      </c>
      <c r="G370" s="1618">
        <v>500000</v>
      </c>
      <c r="H370" s="1619"/>
      <c r="I370" s="1623" t="str">
        <f t="shared" si="7"/>
        <v>Tảo Pheo</v>
      </c>
    </row>
    <row r="371" spans="1:9" ht="18.75" customHeight="1">
      <c r="A371" s="1614">
        <v>354</v>
      </c>
      <c r="B371" s="1615">
        <v>68</v>
      </c>
      <c r="C371" s="1616"/>
      <c r="D371" s="1616"/>
      <c r="E371" s="1627" t="s">
        <v>273</v>
      </c>
      <c r="F371" s="1616" t="s">
        <v>15</v>
      </c>
      <c r="G371" s="1618">
        <v>500000</v>
      </c>
      <c r="H371" s="1619"/>
      <c r="I371" s="1623" t="str">
        <f t="shared" ref="I371:I372" si="8">E371</f>
        <v>P. Mong</v>
      </c>
    </row>
    <row r="372" spans="1:9" ht="18.75" customHeight="1">
      <c r="A372" s="1614">
        <v>355</v>
      </c>
      <c r="B372" s="1615">
        <v>69</v>
      </c>
      <c r="C372" s="1616"/>
      <c r="D372" s="1616"/>
      <c r="E372" s="1627" t="s">
        <v>274</v>
      </c>
      <c r="F372" s="1616" t="s">
        <v>15</v>
      </c>
      <c r="G372" s="1618">
        <v>500000</v>
      </c>
      <c r="H372" s="1619"/>
      <c r="I372" s="1623" t="str">
        <f t="shared" si="8"/>
        <v>A Chon</v>
      </c>
    </row>
    <row r="373" spans="1:9" ht="18.75" customHeight="1">
      <c r="A373" s="1614">
        <v>356</v>
      </c>
      <c r="B373" s="1615">
        <v>70</v>
      </c>
      <c r="C373" s="1616"/>
      <c r="D373" s="1616"/>
      <c r="E373" s="1627" t="s">
        <v>275</v>
      </c>
      <c r="F373" s="1616" t="s">
        <v>15</v>
      </c>
      <c r="G373" s="1618">
        <v>500000</v>
      </c>
      <c r="H373" s="1619"/>
      <c r="I373" s="1623" t="str">
        <f t="shared" si="7"/>
        <v>Thảo Khon B</v>
      </c>
    </row>
    <row r="374" spans="1:9" ht="18.75" customHeight="1">
      <c r="A374" s="1614">
        <v>357</v>
      </c>
      <c r="B374" s="1615">
        <v>71</v>
      </c>
      <c r="C374" s="1616"/>
      <c r="D374" s="1616"/>
      <c r="E374" s="1627" t="s">
        <v>276</v>
      </c>
      <c r="F374" s="1616" t="s">
        <v>15</v>
      </c>
      <c r="G374" s="1618">
        <v>500000</v>
      </c>
      <c r="H374" s="1619"/>
      <c r="I374" s="1623" t="str">
        <f t="shared" si="7"/>
        <v>Nàng Chăn</v>
      </c>
    </row>
    <row r="375" spans="1:9" ht="18.75" customHeight="1">
      <c r="A375" s="2228" t="s">
        <v>277</v>
      </c>
      <c r="B375" s="2229"/>
      <c r="C375" s="2229"/>
      <c r="D375" s="2229"/>
      <c r="E375" s="2229"/>
      <c r="F375" s="2230"/>
      <c r="G375" s="1625">
        <f>SUM(G376:G382)</f>
        <v>3500000</v>
      </c>
      <c r="H375" s="1626"/>
      <c r="I375" s="1623">
        <f t="shared" si="7"/>
        <v>0</v>
      </c>
    </row>
    <row r="376" spans="1:9" ht="18.75" customHeight="1">
      <c r="A376" s="1614">
        <v>358</v>
      </c>
      <c r="B376" s="1615">
        <v>1</v>
      </c>
      <c r="C376" s="1616"/>
      <c r="D376" s="1616"/>
      <c r="E376" s="1627" t="s">
        <v>278</v>
      </c>
      <c r="F376" s="1616" t="s">
        <v>15</v>
      </c>
      <c r="G376" s="1618">
        <v>500000</v>
      </c>
      <c r="H376" s="1619"/>
      <c r="I376" s="1623" t="str">
        <f t="shared" si="7"/>
        <v>Tà Lòi</v>
      </c>
    </row>
    <row r="377" spans="1:9" ht="18.75" customHeight="1">
      <c r="A377" s="1614">
        <v>359</v>
      </c>
      <c r="B377" s="1615">
        <v>2</v>
      </c>
      <c r="C377" s="1616"/>
      <c r="D377" s="1616"/>
      <c r="E377" s="1627" t="s">
        <v>279</v>
      </c>
      <c r="F377" s="1616" t="s">
        <v>15</v>
      </c>
      <c r="G377" s="1618">
        <v>500000</v>
      </c>
      <c r="H377" s="1619"/>
      <c r="I377" s="1623" t="str">
        <f t="shared" si="7"/>
        <v>Lây</v>
      </c>
    </row>
    <row r="378" spans="1:9" ht="18.75" customHeight="1">
      <c r="A378" s="1614">
        <v>360</v>
      </c>
      <c r="B378" s="1615">
        <v>3</v>
      </c>
      <c r="C378" s="1616"/>
      <c r="D378" s="1616"/>
      <c r="E378" s="1627" t="s">
        <v>280</v>
      </c>
      <c r="F378" s="1616" t="s">
        <v>15</v>
      </c>
      <c r="G378" s="1618">
        <v>500000</v>
      </c>
      <c r="H378" s="1619"/>
      <c r="I378" s="1623" t="str">
        <f t="shared" si="7"/>
        <v>Tà (5)</v>
      </c>
    </row>
    <row r="379" spans="1:9" ht="18.75" customHeight="1">
      <c r="A379" s="1614">
        <v>361</v>
      </c>
      <c r="B379" s="1615">
        <v>4</v>
      </c>
      <c r="C379" s="1616"/>
      <c r="D379" s="1616"/>
      <c r="E379" s="1627" t="s">
        <v>281</v>
      </c>
      <c r="F379" s="1616" t="s">
        <v>15</v>
      </c>
      <c r="G379" s="1618">
        <v>500000</v>
      </c>
      <c r="H379" s="1619"/>
      <c r="I379" s="1623" t="str">
        <f t="shared" si="7"/>
        <v>Bay</v>
      </c>
    </row>
    <row r="380" spans="1:9" ht="18.75" customHeight="1">
      <c r="A380" s="1614">
        <v>362</v>
      </c>
      <c r="B380" s="1615">
        <v>5</v>
      </c>
      <c r="C380" s="1616"/>
      <c r="D380" s="1616"/>
      <c r="E380" s="1627" t="s">
        <v>282</v>
      </c>
      <c r="F380" s="1616" t="s">
        <v>15</v>
      </c>
      <c r="G380" s="1618">
        <v>500000</v>
      </c>
      <c r="H380" s="1619"/>
      <c r="I380" s="1623" t="str">
        <f t="shared" si="7"/>
        <v>Xay (5)</v>
      </c>
    </row>
    <row r="381" spans="1:9" ht="18.75" customHeight="1">
      <c r="A381" s="1614">
        <v>363</v>
      </c>
      <c r="B381" s="1615">
        <v>6</v>
      </c>
      <c r="C381" s="1616"/>
      <c r="D381" s="1616"/>
      <c r="E381" s="1627" t="s">
        <v>283</v>
      </c>
      <c r="F381" s="1616" t="s">
        <v>15</v>
      </c>
      <c r="G381" s="1618">
        <v>500000</v>
      </c>
      <c r="H381" s="1619"/>
      <c r="I381" s="1623" t="str">
        <f t="shared" si="7"/>
        <v>Lạc Khon</v>
      </c>
    </row>
    <row r="382" spans="1:9" ht="18.75" customHeight="1">
      <c r="A382" s="1614">
        <v>364</v>
      </c>
      <c r="B382" s="1615">
        <v>7</v>
      </c>
      <c r="C382" s="1616"/>
      <c r="D382" s="1616"/>
      <c r="E382" s="1627" t="s">
        <v>284</v>
      </c>
      <c r="F382" s="1616" t="s">
        <v>15</v>
      </c>
      <c r="G382" s="1618">
        <v>500000</v>
      </c>
      <c r="H382" s="1619"/>
      <c r="I382" s="1623" t="str">
        <f t="shared" si="7"/>
        <v>Ka Tun</v>
      </c>
    </row>
    <row r="383" spans="1:9" ht="18.75" customHeight="1">
      <c r="A383" s="2228" t="s">
        <v>285</v>
      </c>
      <c r="B383" s="2229"/>
      <c r="C383" s="2229"/>
      <c r="D383" s="2229"/>
      <c r="E383" s="2229"/>
      <c r="F383" s="2230"/>
      <c r="G383" s="1625">
        <f>SUM(G384:G446)</f>
        <v>31500000</v>
      </c>
      <c r="H383" s="1626"/>
      <c r="I383" s="1623">
        <f t="shared" si="7"/>
        <v>0</v>
      </c>
    </row>
    <row r="384" spans="1:9" ht="18.75" customHeight="1">
      <c r="A384" s="1614">
        <v>365</v>
      </c>
      <c r="B384" s="1615">
        <v>1</v>
      </c>
      <c r="C384" s="1616"/>
      <c r="D384" s="1616"/>
      <c r="E384" s="1627" t="s">
        <v>286</v>
      </c>
      <c r="F384" s="1616" t="s">
        <v>15</v>
      </c>
      <c r="G384" s="1618">
        <v>500000</v>
      </c>
      <c r="H384" s="1619"/>
      <c r="I384" s="1623" t="str">
        <f t="shared" si="7"/>
        <v>A Liên</v>
      </c>
    </row>
    <row r="385" spans="1:9" ht="18.75" customHeight="1">
      <c r="A385" s="1614">
        <v>366</v>
      </c>
      <c r="B385" s="1615">
        <v>2</v>
      </c>
      <c r="C385" s="1616"/>
      <c r="D385" s="1616"/>
      <c r="E385" s="1627" t="s">
        <v>287</v>
      </c>
      <c r="F385" s="1616" t="s">
        <v>15</v>
      </c>
      <c r="G385" s="1618">
        <v>500000</v>
      </c>
      <c r="H385" s="1619"/>
      <c r="I385" s="1623" t="str">
        <f t="shared" si="7"/>
        <v>Phu Ngân</v>
      </c>
    </row>
    <row r="386" spans="1:9" ht="18.75" customHeight="1">
      <c r="A386" s="1614">
        <v>367</v>
      </c>
      <c r="B386" s="1615">
        <v>3</v>
      </c>
      <c r="C386" s="1616"/>
      <c r="D386" s="1616"/>
      <c r="E386" s="1627" t="s">
        <v>288</v>
      </c>
      <c r="F386" s="1616" t="s">
        <v>15</v>
      </c>
      <c r="G386" s="1618">
        <v>500000</v>
      </c>
      <c r="H386" s="1619"/>
      <c r="I386" s="1623" t="str">
        <f t="shared" si="7"/>
        <v>Đăm</v>
      </c>
    </row>
    <row r="387" spans="1:9" ht="18.75" customHeight="1">
      <c r="A387" s="1614">
        <v>368</v>
      </c>
      <c r="B387" s="1615">
        <v>4</v>
      </c>
      <c r="C387" s="1616"/>
      <c r="D387" s="1616"/>
      <c r="E387" s="1627" t="s">
        <v>289</v>
      </c>
      <c r="F387" s="1616" t="s">
        <v>15</v>
      </c>
      <c r="G387" s="1618">
        <v>500000</v>
      </c>
      <c r="H387" s="1619"/>
      <c r="I387" s="1623" t="str">
        <f t="shared" si="7"/>
        <v>La</v>
      </c>
    </row>
    <row r="388" spans="1:9" ht="18.75" customHeight="1">
      <c r="A388" s="1614">
        <v>369</v>
      </c>
      <c r="B388" s="1615">
        <v>5</v>
      </c>
      <c r="C388" s="1616"/>
      <c r="D388" s="1616"/>
      <c r="E388" s="1627" t="s">
        <v>290</v>
      </c>
      <c r="F388" s="1616" t="s">
        <v>15</v>
      </c>
      <c r="G388" s="1618">
        <v>500000</v>
      </c>
      <c r="H388" s="1619"/>
      <c r="I388" s="1623" t="str">
        <f t="shared" si="7"/>
        <v>A Lua</v>
      </c>
    </row>
    <row r="389" spans="1:9" ht="18.75" customHeight="1">
      <c r="A389" s="1614">
        <v>370</v>
      </c>
      <c r="B389" s="1615">
        <v>6</v>
      </c>
      <c r="C389" s="1616"/>
      <c r="D389" s="1616"/>
      <c r="E389" s="1627" t="s">
        <v>291</v>
      </c>
      <c r="F389" s="1616" t="s">
        <v>15</v>
      </c>
      <c r="G389" s="1618">
        <v>500000</v>
      </c>
      <c r="H389" s="1619"/>
      <c r="I389" s="1623" t="str">
        <f t="shared" si="7"/>
        <v>Múc</v>
      </c>
    </row>
    <row r="390" spans="1:9" ht="18.75" customHeight="1">
      <c r="A390" s="1614">
        <v>371</v>
      </c>
      <c r="B390" s="1615">
        <v>7</v>
      </c>
      <c r="C390" s="1616"/>
      <c r="D390" s="1616"/>
      <c r="E390" s="1627" t="s">
        <v>292</v>
      </c>
      <c r="F390" s="1616" t="s">
        <v>15</v>
      </c>
      <c r="G390" s="1618">
        <v>500000</v>
      </c>
      <c r="H390" s="1619"/>
      <c r="I390" s="1623" t="str">
        <f t="shared" si="7"/>
        <v>Tia (6)</v>
      </c>
    </row>
    <row r="391" spans="1:9" ht="18.75" customHeight="1">
      <c r="A391" s="1614">
        <v>372</v>
      </c>
      <c r="B391" s="1615">
        <v>8</v>
      </c>
      <c r="C391" s="1616"/>
      <c r="D391" s="1616"/>
      <c r="E391" s="1627" t="s">
        <v>293</v>
      </c>
      <c r="F391" s="1616" t="s">
        <v>15</v>
      </c>
      <c r="G391" s="1618">
        <v>500000</v>
      </c>
      <c r="H391" s="1619"/>
      <c r="I391" s="1623" t="str">
        <f t="shared" si="7"/>
        <v>Đa</v>
      </c>
    </row>
    <row r="392" spans="1:9" ht="18.75" customHeight="1">
      <c r="A392" s="1614">
        <v>373</v>
      </c>
      <c r="B392" s="1615">
        <v>9</v>
      </c>
      <c r="C392" s="1616"/>
      <c r="D392" s="1616"/>
      <c r="E392" s="1627" t="s">
        <v>294</v>
      </c>
      <c r="F392" s="1616" t="s">
        <v>15</v>
      </c>
      <c r="G392" s="1618">
        <v>500000</v>
      </c>
      <c r="H392" s="1619"/>
      <c r="I392" s="1623" t="str">
        <f t="shared" si="7"/>
        <v>Lăm Say</v>
      </c>
    </row>
    <row r="393" spans="1:9" ht="18.75" customHeight="1">
      <c r="A393" s="1614">
        <v>374</v>
      </c>
      <c r="B393" s="1615">
        <v>10</v>
      </c>
      <c r="C393" s="1616"/>
      <c r="D393" s="1616"/>
      <c r="E393" s="1627" t="s">
        <v>295</v>
      </c>
      <c r="F393" s="1616" t="s">
        <v>15</v>
      </c>
      <c r="G393" s="1618">
        <v>500000</v>
      </c>
      <c r="H393" s="1619"/>
      <c r="I393" s="1623" t="str">
        <f t="shared" si="7"/>
        <v>Nga</v>
      </c>
    </row>
    <row r="394" spans="1:9" ht="18.75" customHeight="1">
      <c r="A394" s="1614">
        <v>375</v>
      </c>
      <c r="B394" s="1615">
        <v>11</v>
      </c>
      <c r="C394" s="1616"/>
      <c r="D394" s="1616"/>
      <c r="E394" s="1627" t="s">
        <v>296</v>
      </c>
      <c r="F394" s="1616" t="s">
        <v>15</v>
      </c>
      <c r="G394" s="1618">
        <v>500000</v>
      </c>
      <c r="H394" s="1619"/>
      <c r="I394" s="1623" t="str">
        <f t="shared" si="7"/>
        <v>Pong (6)</v>
      </c>
    </row>
    <row r="395" spans="1:9" ht="18.75" customHeight="1">
      <c r="A395" s="1614">
        <v>376</v>
      </c>
      <c r="B395" s="1615">
        <v>12</v>
      </c>
      <c r="C395" s="1616"/>
      <c r="D395" s="1616"/>
      <c r="E395" s="1627" t="s">
        <v>297</v>
      </c>
      <c r="F395" s="1616" t="s">
        <v>15</v>
      </c>
      <c r="G395" s="1618">
        <v>500000</v>
      </c>
      <c r="H395" s="1619"/>
      <c r="I395" s="1623" t="str">
        <f t="shared" si="7"/>
        <v>Típ</v>
      </c>
    </row>
    <row r="396" spans="1:9" ht="18.75" customHeight="1">
      <c r="A396" s="1614">
        <v>377</v>
      </c>
      <c r="B396" s="1615">
        <v>13</v>
      </c>
      <c r="C396" s="1616"/>
      <c r="D396" s="1616"/>
      <c r="E396" s="1627" t="s">
        <v>298</v>
      </c>
      <c r="F396" s="1616" t="s">
        <v>15</v>
      </c>
      <c r="G396" s="1618">
        <v>500000</v>
      </c>
      <c r="H396" s="1619"/>
      <c r="I396" s="1623" t="str">
        <f t="shared" si="7"/>
        <v>ÔĐay</v>
      </c>
    </row>
    <row r="397" spans="1:9" ht="18.75" customHeight="1">
      <c r="A397" s="1614">
        <v>378</v>
      </c>
      <c r="B397" s="1615">
        <v>14</v>
      </c>
      <c r="C397" s="1616"/>
      <c r="D397" s="1616"/>
      <c r="E397" s="1627" t="s">
        <v>299</v>
      </c>
      <c r="F397" s="1616" t="s">
        <v>15</v>
      </c>
      <c r="G397" s="1618">
        <v>500000</v>
      </c>
      <c r="H397" s="1619"/>
      <c r="I397" s="1623" t="str">
        <f t="shared" si="7"/>
        <v>Nhầy</v>
      </c>
    </row>
    <row r="398" spans="1:9" ht="18.75" customHeight="1">
      <c r="A398" s="1614">
        <v>379</v>
      </c>
      <c r="B398" s="1615">
        <v>15</v>
      </c>
      <c r="C398" s="1616"/>
      <c r="D398" s="1616"/>
      <c r="E398" s="1627" t="s">
        <v>300</v>
      </c>
      <c r="F398" s="1616" t="s">
        <v>15</v>
      </c>
      <c r="G398" s="1618">
        <v>500000</v>
      </c>
      <c r="H398" s="1619"/>
      <c r="I398" s="1623" t="str">
        <f t="shared" ref="I398:I446" si="9">E398</f>
        <v>Phôn</v>
      </c>
    </row>
    <row r="399" spans="1:9" ht="18.75" customHeight="1">
      <c r="A399" s="1614">
        <v>380</v>
      </c>
      <c r="B399" s="1615">
        <v>16</v>
      </c>
      <c r="C399" s="1616"/>
      <c r="D399" s="1616"/>
      <c r="E399" s="1627" t="s">
        <v>301</v>
      </c>
      <c r="F399" s="1616" t="s">
        <v>15</v>
      </c>
      <c r="G399" s="1618">
        <v>500000</v>
      </c>
      <c r="H399" s="1619"/>
      <c r="I399" s="1623" t="str">
        <f t="shared" si="9"/>
        <v>Xi Đon</v>
      </c>
    </row>
    <row r="400" spans="1:9" ht="18.75" customHeight="1">
      <c r="A400" s="1614">
        <v>381</v>
      </c>
      <c r="B400" s="1615">
        <v>17</v>
      </c>
      <c r="C400" s="1616"/>
      <c r="D400" s="1616"/>
      <c r="E400" s="1627" t="s">
        <v>302</v>
      </c>
      <c r="F400" s="1616" t="s">
        <v>15</v>
      </c>
      <c r="G400" s="1618">
        <v>500000</v>
      </c>
      <c r="H400" s="1619"/>
      <c r="I400" s="1623" t="str">
        <f t="shared" si="9"/>
        <v>Lăm (6)</v>
      </c>
    </row>
    <row r="401" spans="1:9" ht="18.75" customHeight="1">
      <c r="A401" s="1614">
        <v>382</v>
      </c>
      <c r="B401" s="1615">
        <v>18</v>
      </c>
      <c r="C401" s="1616"/>
      <c r="D401" s="1616"/>
      <c r="E401" s="1627" t="s">
        <v>303</v>
      </c>
      <c r="F401" s="1616" t="s">
        <v>15</v>
      </c>
      <c r="G401" s="1618">
        <v>500000</v>
      </c>
      <c r="H401" s="1619"/>
      <c r="I401" s="1623" t="str">
        <f t="shared" si="9"/>
        <v>Nát</v>
      </c>
    </row>
    <row r="402" spans="1:9" ht="18.75" customHeight="1">
      <c r="A402" s="1614">
        <v>383</v>
      </c>
      <c r="B402" s="1615">
        <v>19</v>
      </c>
      <c r="C402" s="1616"/>
      <c r="D402" s="1616"/>
      <c r="E402" s="1627" t="s">
        <v>304</v>
      </c>
      <c r="F402" s="1616" t="s">
        <v>15</v>
      </c>
      <c r="G402" s="1618">
        <v>500000</v>
      </c>
      <c r="H402" s="1619"/>
      <c r="I402" s="1623" t="str">
        <f t="shared" si="9"/>
        <v>Oi</v>
      </c>
    </row>
    <row r="403" spans="1:9" ht="18.75" customHeight="1">
      <c r="A403" s="1614">
        <v>384</v>
      </c>
      <c r="B403" s="1615">
        <v>20</v>
      </c>
      <c r="C403" s="1616"/>
      <c r="D403" s="1616"/>
      <c r="E403" s="1627" t="s">
        <v>305</v>
      </c>
      <c r="F403" s="1616" t="s">
        <v>15</v>
      </c>
      <c r="G403" s="1618">
        <v>500000</v>
      </c>
      <c r="H403" s="1619"/>
      <c r="I403" s="1623" t="str">
        <f t="shared" si="9"/>
        <v>Phò Dông</v>
      </c>
    </row>
    <row r="404" spans="1:9" ht="18.75" customHeight="1">
      <c r="A404" s="1614">
        <v>385</v>
      </c>
      <c r="B404" s="1615">
        <v>21</v>
      </c>
      <c r="C404" s="1616"/>
      <c r="D404" s="1616"/>
      <c r="E404" s="1627" t="s">
        <v>306</v>
      </c>
      <c r="F404" s="1616" t="s">
        <v>15</v>
      </c>
      <c r="G404" s="1618">
        <v>500000</v>
      </c>
      <c r="H404" s="1619"/>
      <c r="I404" s="1623" t="str">
        <f t="shared" si="9"/>
        <v>Cà Đăm (6)</v>
      </c>
    </row>
    <row r="405" spans="1:9" ht="18.75" customHeight="1">
      <c r="A405" s="1614">
        <v>386</v>
      </c>
      <c r="B405" s="1615">
        <v>22</v>
      </c>
      <c r="C405" s="1616"/>
      <c r="D405" s="1616"/>
      <c r="E405" s="1627" t="s">
        <v>307</v>
      </c>
      <c r="F405" s="1616" t="s">
        <v>15</v>
      </c>
      <c r="G405" s="1618">
        <v>500000</v>
      </c>
      <c r="H405" s="1619"/>
      <c r="I405" s="1623" t="str">
        <f t="shared" si="9"/>
        <v>Hùng</v>
      </c>
    </row>
    <row r="406" spans="1:9" ht="18.75" customHeight="1">
      <c r="A406" s="1614">
        <v>387</v>
      </c>
      <c r="B406" s="1615">
        <v>23</v>
      </c>
      <c r="C406" s="1616"/>
      <c r="D406" s="1616"/>
      <c r="E406" s="1627" t="s">
        <v>308</v>
      </c>
      <c r="F406" s="1616" t="s">
        <v>15</v>
      </c>
      <c r="G406" s="1618">
        <v>500000</v>
      </c>
      <c r="H406" s="1619"/>
      <c r="I406" s="1623" t="str">
        <f t="shared" si="9"/>
        <v>A Lem</v>
      </c>
    </row>
    <row r="407" spans="1:9" ht="18.75" customHeight="1">
      <c r="A407" s="1614">
        <v>388</v>
      </c>
      <c r="B407" s="1615">
        <v>24</v>
      </c>
      <c r="C407" s="1616"/>
      <c r="D407" s="1616"/>
      <c r="E407" s="1627" t="s">
        <v>309</v>
      </c>
      <c r="F407" s="1616" t="s">
        <v>15</v>
      </c>
      <c r="G407" s="1618">
        <v>500000</v>
      </c>
      <c r="H407" s="1619"/>
      <c r="I407" s="1623" t="str">
        <f t="shared" si="9"/>
        <v>Bun Nhèng</v>
      </c>
    </row>
    <row r="408" spans="1:9" ht="18.75" customHeight="1">
      <c r="A408" s="1614">
        <v>389</v>
      </c>
      <c r="B408" s="1615">
        <v>25</v>
      </c>
      <c r="C408" s="1616"/>
      <c r="D408" s="1616"/>
      <c r="E408" s="1627" t="s">
        <v>310</v>
      </c>
      <c r="F408" s="1616" t="s">
        <v>15</v>
      </c>
      <c r="G408" s="1618">
        <v>500000</v>
      </c>
      <c r="H408" s="1619"/>
      <c r="I408" s="1623" t="str">
        <f t="shared" si="9"/>
        <v>Tan</v>
      </c>
    </row>
    <row r="409" spans="1:9" ht="18.75" customHeight="1">
      <c r="A409" s="1614">
        <v>390</v>
      </c>
      <c r="B409" s="1615">
        <v>26</v>
      </c>
      <c r="C409" s="1616"/>
      <c r="D409" s="1616"/>
      <c r="E409" s="1627" t="s">
        <v>311</v>
      </c>
      <c r="F409" s="1616" t="s">
        <v>15</v>
      </c>
      <c r="G409" s="1618">
        <v>500000</v>
      </c>
      <c r="H409" s="1619"/>
      <c r="I409" s="1623" t="str">
        <f t="shared" si="9"/>
        <v>Phò Keo</v>
      </c>
    </row>
    <row r="410" spans="1:9" ht="18.75" customHeight="1">
      <c r="A410" s="1614">
        <v>391</v>
      </c>
      <c r="B410" s="1615">
        <v>27</v>
      </c>
      <c r="C410" s="1616"/>
      <c r="D410" s="1616"/>
      <c r="E410" s="1627" t="s">
        <v>312</v>
      </c>
      <c r="F410" s="1616" t="s">
        <v>15</v>
      </c>
      <c r="G410" s="1618">
        <v>500000</v>
      </c>
      <c r="H410" s="1619"/>
      <c r="I410" s="1623" t="str">
        <f t="shared" si="9"/>
        <v>Văn</v>
      </c>
    </row>
    <row r="411" spans="1:9" ht="18.75" customHeight="1">
      <c r="A411" s="1614">
        <v>392</v>
      </c>
      <c r="B411" s="1615">
        <v>28</v>
      </c>
      <c r="C411" s="1616"/>
      <c r="D411" s="1616"/>
      <c r="E411" s="1627" t="s">
        <v>313</v>
      </c>
      <c r="F411" s="1616" t="s">
        <v>15</v>
      </c>
      <c r="G411" s="1618">
        <v>500000</v>
      </c>
      <c r="H411" s="1619"/>
      <c r="I411" s="1623" t="str">
        <f t="shared" si="9"/>
        <v>A Son</v>
      </c>
    </row>
    <row r="412" spans="1:9" ht="18.75" customHeight="1">
      <c r="A412" s="1614">
        <v>393</v>
      </c>
      <c r="B412" s="1615">
        <v>29</v>
      </c>
      <c r="C412" s="1616"/>
      <c r="D412" s="1616"/>
      <c r="E412" s="1627" t="s">
        <v>314</v>
      </c>
      <c r="F412" s="1616" t="s">
        <v>15</v>
      </c>
      <c r="G412" s="1618">
        <v>500000</v>
      </c>
      <c r="H412" s="1619"/>
      <c r="I412" s="1623" t="str">
        <f t="shared" si="9"/>
        <v>Thôn</v>
      </c>
    </row>
    <row r="413" spans="1:9" ht="18.75" customHeight="1">
      <c r="A413" s="1614">
        <v>394</v>
      </c>
      <c r="B413" s="1615">
        <v>30</v>
      </c>
      <c r="C413" s="1616"/>
      <c r="D413" s="1616"/>
      <c r="E413" s="1627" t="s">
        <v>315</v>
      </c>
      <c r="F413" s="1616" t="s">
        <v>15</v>
      </c>
      <c r="G413" s="1618">
        <v>500000</v>
      </c>
      <c r="H413" s="1619"/>
      <c r="I413" s="1623" t="str">
        <f t="shared" si="9"/>
        <v>Ka Lóc</v>
      </c>
    </row>
    <row r="414" spans="1:9" ht="18.75" customHeight="1">
      <c r="A414" s="1614">
        <v>395</v>
      </c>
      <c r="B414" s="1615">
        <v>31</v>
      </c>
      <c r="C414" s="1616"/>
      <c r="D414" s="1616"/>
      <c r="E414" s="1627" t="s">
        <v>316</v>
      </c>
      <c r="F414" s="1616" t="s">
        <v>15</v>
      </c>
      <c r="G414" s="1618">
        <v>500000</v>
      </c>
      <c r="H414" s="1619"/>
      <c r="I414" s="1623" t="str">
        <f t="shared" si="9"/>
        <v>Kông Khăm</v>
      </c>
    </row>
    <row r="415" spans="1:9" ht="18.75" customHeight="1">
      <c r="A415" s="1614">
        <v>396</v>
      </c>
      <c r="B415" s="1615">
        <v>32</v>
      </c>
      <c r="C415" s="1616"/>
      <c r="D415" s="1616"/>
      <c r="E415" s="1627" t="s">
        <v>317</v>
      </c>
      <c r="F415" s="1616" t="s">
        <v>15</v>
      </c>
      <c r="G415" s="1618">
        <v>500000</v>
      </c>
      <c r="H415" s="1619"/>
      <c r="I415" s="1623" t="str">
        <f t="shared" si="9"/>
        <v>A Chít</v>
      </c>
    </row>
    <row r="416" spans="1:9" ht="18.75" customHeight="1">
      <c r="A416" s="1614">
        <v>397</v>
      </c>
      <c r="B416" s="1615">
        <v>33</v>
      </c>
      <c r="C416" s="1616"/>
      <c r="D416" s="1616"/>
      <c r="E416" s="1627" t="s">
        <v>318</v>
      </c>
      <c r="F416" s="1616" t="s">
        <v>15</v>
      </c>
      <c r="G416" s="1618">
        <v>500000</v>
      </c>
      <c r="H416" s="1619"/>
      <c r="I416" s="1623" t="str">
        <f t="shared" si="9"/>
        <v>Tím</v>
      </c>
    </row>
    <row r="417" spans="1:9" ht="18.75" customHeight="1">
      <c r="A417" s="1614">
        <v>398</v>
      </c>
      <c r="B417" s="1615">
        <v>34</v>
      </c>
      <c r="C417" s="1616"/>
      <c r="D417" s="1616"/>
      <c r="E417" s="1627" t="s">
        <v>319</v>
      </c>
      <c r="F417" s="1616" t="s">
        <v>15</v>
      </c>
      <c r="G417" s="1618">
        <v>500000</v>
      </c>
      <c r="H417" s="1619"/>
      <c r="I417" s="1623" t="str">
        <f t="shared" si="9"/>
        <v>A Nhim</v>
      </c>
    </row>
    <row r="418" spans="1:9" ht="18.75" customHeight="1">
      <c r="A418" s="1614">
        <v>399</v>
      </c>
      <c r="B418" s="1615">
        <v>35</v>
      </c>
      <c r="C418" s="1616"/>
      <c r="D418" s="1616"/>
      <c r="E418" s="1627" t="s">
        <v>320</v>
      </c>
      <c r="F418" s="1616" t="s">
        <v>15</v>
      </c>
      <c r="G418" s="1618">
        <v>500000</v>
      </c>
      <c r="H418" s="1619"/>
      <c r="I418" s="1623" t="str">
        <f t="shared" si="9"/>
        <v>Tơ</v>
      </c>
    </row>
    <row r="419" spans="1:9" ht="18.75" customHeight="1">
      <c r="A419" s="1614">
        <v>400</v>
      </c>
      <c r="B419" s="1615">
        <v>36</v>
      </c>
      <c r="C419" s="1616"/>
      <c r="D419" s="1616"/>
      <c r="E419" s="1627" t="s">
        <v>321</v>
      </c>
      <c r="F419" s="1616" t="s">
        <v>15</v>
      </c>
      <c r="G419" s="1618">
        <v>500000</v>
      </c>
      <c r="H419" s="1619"/>
      <c r="I419" s="1623" t="str">
        <f t="shared" si="9"/>
        <v>Nàng Cum</v>
      </c>
    </row>
    <row r="420" spans="1:9" ht="18.75" customHeight="1">
      <c r="A420" s="1614">
        <v>401</v>
      </c>
      <c r="B420" s="1615">
        <v>37</v>
      </c>
      <c r="C420" s="1616"/>
      <c r="D420" s="1616"/>
      <c r="E420" s="1627" t="s">
        <v>322</v>
      </c>
      <c r="F420" s="1616" t="s">
        <v>15</v>
      </c>
      <c r="G420" s="1618">
        <v>500000</v>
      </c>
      <c r="H420" s="1619"/>
      <c r="I420" s="1623" t="str">
        <f t="shared" si="9"/>
        <v>Chăn Tha La</v>
      </c>
    </row>
    <row r="421" spans="1:9" ht="18.75" customHeight="1">
      <c r="A421" s="1614">
        <v>402</v>
      </c>
      <c r="B421" s="1615">
        <v>38</v>
      </c>
      <c r="C421" s="1616"/>
      <c r="D421" s="1616"/>
      <c r="E421" s="1627" t="s">
        <v>323</v>
      </c>
      <c r="F421" s="1616" t="s">
        <v>15</v>
      </c>
      <c r="G421" s="1618">
        <v>500000</v>
      </c>
      <c r="H421" s="1619"/>
      <c r="I421" s="1623" t="str">
        <f t="shared" si="9"/>
        <v>Bi</v>
      </c>
    </row>
    <row r="422" spans="1:9" ht="18.75" customHeight="1">
      <c r="A422" s="1614">
        <v>403</v>
      </c>
      <c r="B422" s="1615">
        <v>39</v>
      </c>
      <c r="C422" s="1616"/>
      <c r="D422" s="1616"/>
      <c r="E422" s="1627" t="s">
        <v>324</v>
      </c>
      <c r="F422" s="1616" t="s">
        <v>15</v>
      </c>
      <c r="G422" s="1618">
        <v>500000</v>
      </c>
      <c r="H422" s="1619"/>
      <c r="I422" s="1623" t="str">
        <f t="shared" si="9"/>
        <v>Bun Na</v>
      </c>
    </row>
    <row r="423" spans="1:9" ht="18.75" customHeight="1">
      <c r="A423" s="1614">
        <v>404</v>
      </c>
      <c r="B423" s="1615">
        <v>40</v>
      </c>
      <c r="C423" s="1616"/>
      <c r="D423" s="1616"/>
      <c r="E423" s="1627" t="s">
        <v>325</v>
      </c>
      <c r="F423" s="1616" t="s">
        <v>15</v>
      </c>
      <c r="G423" s="1618">
        <v>500000</v>
      </c>
      <c r="H423" s="1619"/>
      <c r="I423" s="1623" t="str">
        <f t="shared" si="9"/>
        <v>Ka Lít</v>
      </c>
    </row>
    <row r="424" spans="1:9" ht="18.75" customHeight="1">
      <c r="A424" s="1614">
        <v>405</v>
      </c>
      <c r="B424" s="1615">
        <v>41</v>
      </c>
      <c r="C424" s="1616"/>
      <c r="D424" s="1616"/>
      <c r="E424" s="1627" t="s">
        <v>326</v>
      </c>
      <c r="F424" s="1616" t="s">
        <v>15</v>
      </c>
      <c r="G424" s="1618">
        <v>500000</v>
      </c>
      <c r="H424" s="1619"/>
      <c r="I424" s="1623" t="str">
        <f t="shared" si="9"/>
        <v>E (6)</v>
      </c>
    </row>
    <row r="425" spans="1:9" ht="18.75" customHeight="1">
      <c r="A425" s="1614">
        <v>406</v>
      </c>
      <c r="B425" s="1615">
        <v>42</v>
      </c>
      <c r="C425" s="1616"/>
      <c r="D425" s="1616"/>
      <c r="E425" s="1627" t="s">
        <v>327</v>
      </c>
      <c r="F425" s="1616" t="s">
        <v>15</v>
      </c>
      <c r="G425" s="1618">
        <v>500000</v>
      </c>
      <c r="H425" s="1619"/>
      <c r="I425" s="1623" t="str">
        <f t="shared" si="9"/>
        <v>Năt</v>
      </c>
    </row>
    <row r="426" spans="1:9" ht="18.75" customHeight="1">
      <c r="A426" s="1614">
        <v>407</v>
      </c>
      <c r="B426" s="1615">
        <v>43</v>
      </c>
      <c r="C426" s="1616"/>
      <c r="D426" s="1616"/>
      <c r="E426" s="1627" t="s">
        <v>328</v>
      </c>
      <c r="F426" s="1616" t="s">
        <v>15</v>
      </c>
      <c r="G426" s="1618">
        <v>500000</v>
      </c>
      <c r="H426" s="1619"/>
      <c r="I426" s="1623" t="str">
        <f t="shared" si="9"/>
        <v>Ly Ta</v>
      </c>
    </row>
    <row r="427" spans="1:9" ht="18.75" customHeight="1">
      <c r="A427" s="1614">
        <v>408</v>
      </c>
      <c r="B427" s="1615">
        <v>44</v>
      </c>
      <c r="C427" s="1616"/>
      <c r="D427" s="1616"/>
      <c r="E427" s="1627" t="s">
        <v>329</v>
      </c>
      <c r="F427" s="1616" t="s">
        <v>15</v>
      </c>
      <c r="G427" s="1618">
        <v>500000</v>
      </c>
      <c r="H427" s="1619"/>
      <c r="I427" s="1623" t="str">
        <f t="shared" si="9"/>
        <v>Khăm Bay (6)</v>
      </c>
    </row>
    <row r="428" spans="1:9" ht="18.75" customHeight="1">
      <c r="A428" s="1614">
        <v>409</v>
      </c>
      <c r="B428" s="1615">
        <v>45</v>
      </c>
      <c r="C428" s="1616"/>
      <c r="D428" s="1616"/>
      <c r="E428" s="1628" t="s">
        <v>330</v>
      </c>
      <c r="F428" s="1616" t="s">
        <v>15</v>
      </c>
      <c r="G428" s="1618">
        <v>500000</v>
      </c>
      <c r="H428" s="1619"/>
      <c r="I428" s="1623" t="str">
        <f t="shared" si="9"/>
        <v>Tụi</v>
      </c>
    </row>
    <row r="429" spans="1:9" ht="18.75" customHeight="1">
      <c r="A429" s="1614">
        <v>410</v>
      </c>
      <c r="B429" s="1615">
        <v>46</v>
      </c>
      <c r="C429" s="1616"/>
      <c r="D429" s="1616"/>
      <c r="E429" s="1628" t="s">
        <v>331</v>
      </c>
      <c r="F429" s="1616" t="s">
        <v>15</v>
      </c>
      <c r="G429" s="1618">
        <v>500000</v>
      </c>
      <c r="H429" s="1619"/>
      <c r="I429" s="1623" t="str">
        <f t="shared" si="9"/>
        <v>Nục</v>
      </c>
    </row>
    <row r="430" spans="1:9" ht="18.75" customHeight="1">
      <c r="A430" s="1614">
        <v>411</v>
      </c>
      <c r="B430" s="1615">
        <v>47</v>
      </c>
      <c r="C430" s="1616"/>
      <c r="D430" s="1616"/>
      <c r="E430" s="1628" t="s">
        <v>332</v>
      </c>
      <c r="F430" s="1616" t="s">
        <v>15</v>
      </c>
      <c r="G430" s="1618">
        <v>500000</v>
      </c>
      <c r="H430" s="1619"/>
      <c r="I430" s="1623" t="str">
        <f t="shared" si="9"/>
        <v>Khăm (6)</v>
      </c>
    </row>
    <row r="431" spans="1:9" ht="18.75" customHeight="1">
      <c r="A431" s="1614">
        <v>412</v>
      </c>
      <c r="B431" s="1615">
        <v>48</v>
      </c>
      <c r="C431" s="1616"/>
      <c r="D431" s="1616"/>
      <c r="E431" s="1628" t="s">
        <v>333</v>
      </c>
      <c r="F431" s="1616" t="s">
        <v>15</v>
      </c>
      <c r="G431" s="1618">
        <v>500000</v>
      </c>
      <c r="H431" s="1619"/>
      <c r="I431" s="1623" t="str">
        <f t="shared" si="9"/>
        <v>Ký</v>
      </c>
    </row>
    <row r="432" spans="1:9" ht="18.75" customHeight="1">
      <c r="A432" s="1614">
        <v>413</v>
      </c>
      <c r="B432" s="1615">
        <v>49</v>
      </c>
      <c r="C432" s="1616"/>
      <c r="D432" s="1616"/>
      <c r="E432" s="1628" t="s">
        <v>334</v>
      </c>
      <c r="F432" s="1616" t="s">
        <v>15</v>
      </c>
      <c r="G432" s="1618">
        <v>500000</v>
      </c>
      <c r="H432" s="1619"/>
      <c r="I432" s="1623" t="str">
        <f t="shared" si="9"/>
        <v>Khương (6)</v>
      </c>
    </row>
    <row r="433" spans="1:13" ht="18.75" customHeight="1">
      <c r="A433" s="1614">
        <v>414</v>
      </c>
      <c r="B433" s="1615">
        <v>50</v>
      </c>
      <c r="C433" s="1616"/>
      <c r="D433" s="1616"/>
      <c r="E433" s="1628" t="s">
        <v>335</v>
      </c>
      <c r="F433" s="1616" t="s">
        <v>15</v>
      </c>
      <c r="G433" s="1618">
        <v>500000</v>
      </c>
      <c r="H433" s="1619"/>
      <c r="I433" s="1623" t="str">
        <f t="shared" si="9"/>
        <v>A Buôn</v>
      </c>
    </row>
    <row r="434" spans="1:13" ht="18.75" customHeight="1">
      <c r="A434" s="1614">
        <v>415</v>
      </c>
      <c r="B434" s="1615">
        <v>51</v>
      </c>
      <c r="C434" s="1616"/>
      <c r="D434" s="1616"/>
      <c r="E434" s="1628" t="s">
        <v>336</v>
      </c>
      <c r="F434" s="1616" t="s">
        <v>15</v>
      </c>
      <c r="G434" s="1618">
        <v>500000</v>
      </c>
      <c r="H434" s="1619"/>
      <c r="I434" s="1623" t="str">
        <f t="shared" si="9"/>
        <v>Nay (6)</v>
      </c>
    </row>
    <row r="435" spans="1:13" ht="18.75" customHeight="1">
      <c r="A435" s="1614">
        <v>416</v>
      </c>
      <c r="B435" s="1615">
        <v>52</v>
      </c>
      <c r="C435" s="1616"/>
      <c r="D435" s="1616"/>
      <c r="E435" s="1628" t="s">
        <v>337</v>
      </c>
      <c r="F435" s="1616" t="s">
        <v>15</v>
      </c>
      <c r="G435" s="1618">
        <v>500000</v>
      </c>
      <c r="H435" s="1619"/>
      <c r="I435" s="1623" t="str">
        <f t="shared" si="9"/>
        <v>Mách</v>
      </c>
    </row>
    <row r="436" spans="1:13" ht="18.75" customHeight="1">
      <c r="A436" s="1614">
        <v>417</v>
      </c>
      <c r="B436" s="1615">
        <v>53</v>
      </c>
      <c r="C436" s="1616"/>
      <c r="D436" s="1616"/>
      <c r="E436" s="1628" t="s">
        <v>338</v>
      </c>
      <c r="F436" s="1616" t="s">
        <v>15</v>
      </c>
      <c r="G436" s="1618">
        <v>500000</v>
      </c>
      <c r="H436" s="1619"/>
      <c r="I436" s="1623" t="str">
        <f t="shared" si="9"/>
        <v>Sưa</v>
      </c>
    </row>
    <row r="437" spans="1:13" ht="18.75" customHeight="1">
      <c r="A437" s="1614">
        <v>418</v>
      </c>
      <c r="B437" s="1615">
        <v>54</v>
      </c>
      <c r="C437" s="1616"/>
      <c r="D437" s="1616"/>
      <c r="E437" s="1628" t="s">
        <v>339</v>
      </c>
      <c r="F437" s="1616" t="s">
        <v>15</v>
      </c>
      <c r="G437" s="1618">
        <v>500000</v>
      </c>
      <c r="H437" s="1619"/>
      <c r="I437" s="1623" t="str">
        <f t="shared" si="9"/>
        <v>Bắt</v>
      </c>
      <c r="M437" s="1605">
        <f>324*300</f>
        <v>97200</v>
      </c>
    </row>
    <row r="438" spans="1:13" ht="18.75" customHeight="1">
      <c r="A438" s="1614">
        <v>419</v>
      </c>
      <c r="B438" s="1615">
        <v>55</v>
      </c>
      <c r="C438" s="1616"/>
      <c r="D438" s="1616"/>
      <c r="E438" s="1628" t="s">
        <v>340</v>
      </c>
      <c r="F438" s="1616" t="s">
        <v>15</v>
      </c>
      <c r="G438" s="1618">
        <v>500000</v>
      </c>
      <c r="H438" s="1619"/>
      <c r="I438" s="1623" t="str">
        <f t="shared" si="9"/>
        <v>Bộ</v>
      </c>
    </row>
    <row r="439" spans="1:13" ht="18.75" customHeight="1">
      <c r="A439" s="1614">
        <v>420</v>
      </c>
      <c r="B439" s="1615">
        <v>56</v>
      </c>
      <c r="C439" s="1616"/>
      <c r="D439" s="1616"/>
      <c r="E439" s="1628" t="s">
        <v>341</v>
      </c>
      <c r="F439" s="1616" t="s">
        <v>15</v>
      </c>
      <c r="G439" s="1618">
        <v>500000</v>
      </c>
      <c r="H439" s="1619"/>
      <c r="I439" s="1623" t="str">
        <f t="shared" ref="I439:I440" si="10">E439</f>
        <v>Beng</v>
      </c>
    </row>
    <row r="440" spans="1:13" ht="18.75" customHeight="1">
      <c r="A440" s="1614">
        <v>421</v>
      </c>
      <c r="B440" s="1615">
        <v>57</v>
      </c>
      <c r="C440" s="1616"/>
      <c r="D440" s="1616"/>
      <c r="E440" s="1628" t="s">
        <v>342</v>
      </c>
      <c r="F440" s="1616" t="s">
        <v>15</v>
      </c>
      <c r="G440" s="1618">
        <v>500000</v>
      </c>
      <c r="H440" s="1619"/>
      <c r="I440" s="1623" t="str">
        <f t="shared" si="10"/>
        <v>A Xiên</v>
      </c>
    </row>
    <row r="441" spans="1:13" ht="18.75" customHeight="1">
      <c r="A441" s="1614">
        <v>422</v>
      </c>
      <c r="B441" s="1615">
        <v>58</v>
      </c>
      <c r="C441" s="1616"/>
      <c r="D441" s="1616"/>
      <c r="E441" s="1628" t="s">
        <v>343</v>
      </c>
      <c r="F441" s="1616" t="s">
        <v>15</v>
      </c>
      <c r="G441" s="1618">
        <v>500000</v>
      </c>
      <c r="H441" s="1619"/>
      <c r="I441" s="1623" t="str">
        <f t="shared" si="9"/>
        <v>Phò E</v>
      </c>
    </row>
    <row r="442" spans="1:13" ht="18.75" customHeight="1">
      <c r="A442" s="1614">
        <v>423</v>
      </c>
      <c r="B442" s="1615">
        <v>59</v>
      </c>
      <c r="C442" s="1616"/>
      <c r="D442" s="1616"/>
      <c r="E442" s="1628" t="s">
        <v>344</v>
      </c>
      <c r="F442" s="1616" t="s">
        <v>15</v>
      </c>
      <c r="G442" s="1618">
        <v>500000</v>
      </c>
      <c r="H442" s="1619"/>
      <c r="I442" s="1623" t="str">
        <f t="shared" si="9"/>
        <v>Xai (6)</v>
      </c>
    </row>
    <row r="443" spans="1:13" ht="18.75" customHeight="1">
      <c r="A443" s="1614">
        <v>424</v>
      </c>
      <c r="B443" s="1615">
        <v>60</v>
      </c>
      <c r="C443" s="1616"/>
      <c r="D443" s="1616"/>
      <c r="E443" s="1628" t="s">
        <v>345</v>
      </c>
      <c r="F443" s="1616" t="s">
        <v>15</v>
      </c>
      <c r="G443" s="1618">
        <v>500000</v>
      </c>
      <c r="H443" s="1619"/>
      <c r="I443" s="1623" t="str">
        <f t="shared" ref="I443:I444" si="11">E443</f>
        <v>Si Le (6)</v>
      </c>
    </row>
    <row r="444" spans="1:13" ht="18.75" customHeight="1">
      <c r="A444" s="1614">
        <v>425</v>
      </c>
      <c r="B444" s="1615">
        <v>61</v>
      </c>
      <c r="C444" s="1616"/>
      <c r="D444" s="1616"/>
      <c r="E444" s="1628" t="s">
        <v>346</v>
      </c>
      <c r="F444" s="1616" t="s">
        <v>15</v>
      </c>
      <c r="G444" s="1618">
        <v>500000</v>
      </c>
      <c r="H444" s="1619"/>
      <c r="I444" s="1623" t="str">
        <f t="shared" si="11"/>
        <v>Xi</v>
      </c>
    </row>
    <row r="445" spans="1:13" ht="18.75" customHeight="1">
      <c r="A445" s="1614">
        <v>426</v>
      </c>
      <c r="B445" s="1615">
        <v>62</v>
      </c>
      <c r="C445" s="1616"/>
      <c r="D445" s="1616"/>
      <c r="E445" s="1628" t="s">
        <v>347</v>
      </c>
      <c r="F445" s="1616" t="s">
        <v>15</v>
      </c>
      <c r="G445" s="1618">
        <v>500000</v>
      </c>
      <c r="H445" s="1619"/>
      <c r="I445" s="1623" t="str">
        <f t="shared" si="9"/>
        <v>Phắt</v>
      </c>
    </row>
    <row r="446" spans="1:13" ht="18.75" customHeight="1">
      <c r="A446" s="1614">
        <v>427</v>
      </c>
      <c r="B446" s="1615">
        <v>63</v>
      </c>
      <c r="C446" s="1616"/>
      <c r="D446" s="1616"/>
      <c r="E446" s="1628" t="s">
        <v>348</v>
      </c>
      <c r="F446" s="1616" t="s">
        <v>15</v>
      </c>
      <c r="G446" s="1618">
        <v>500000</v>
      </c>
      <c r="H446" s="1619"/>
      <c r="I446" s="1623" t="str">
        <f t="shared" si="9"/>
        <v>Hắm</v>
      </c>
    </row>
    <row r="447" spans="1:13" ht="16.5">
      <c r="A447" s="2231" t="s">
        <v>349</v>
      </c>
      <c r="B447" s="2232"/>
      <c r="C447" s="2232"/>
      <c r="D447" s="2232"/>
      <c r="E447" s="2232"/>
      <c r="F447" s="2233"/>
      <c r="G447" s="1629">
        <f>SUM(G383,G375,G303,G220,G212,G200,G11)</f>
        <v>142000000</v>
      </c>
      <c r="H447" s="1630"/>
      <c r="I447" s="1630"/>
    </row>
    <row r="448" spans="1:13" ht="16.5">
      <c r="A448" s="2228" t="s">
        <v>350</v>
      </c>
      <c r="B448" s="2229"/>
      <c r="C448" s="2229"/>
      <c r="D448" s="2229"/>
      <c r="E448" s="2229"/>
      <c r="F448" s="2229"/>
      <c r="G448" s="2229"/>
      <c r="H448" s="2229"/>
      <c r="I448" s="2230"/>
    </row>
    <row r="449" spans="1:9" ht="16.5">
      <c r="A449" s="1631"/>
      <c r="B449" s="1631"/>
      <c r="C449" s="1631"/>
      <c r="D449" s="1631"/>
      <c r="E449" s="1631"/>
      <c r="F449" s="1631"/>
      <c r="G449" s="1631"/>
      <c r="H449" s="1631"/>
      <c r="I449" s="1631"/>
    </row>
    <row r="450" spans="1:9" ht="16.5">
      <c r="A450" s="2234" t="s">
        <v>351</v>
      </c>
      <c r="B450" s="2234"/>
      <c r="C450" s="2234"/>
      <c r="D450" s="2234"/>
      <c r="E450" s="2234"/>
      <c r="F450" s="2234"/>
      <c r="G450" s="2234"/>
      <c r="H450" s="2234"/>
      <c r="I450" s="2234"/>
    </row>
    <row r="451" spans="1:9" ht="16.5">
      <c r="A451" s="2226" t="s">
        <v>352</v>
      </c>
      <c r="B451" s="2226"/>
      <c r="C451" s="2226"/>
      <c r="D451" s="2226"/>
      <c r="E451" s="2226"/>
      <c r="F451" s="2226"/>
      <c r="G451" s="2226"/>
      <c r="H451" s="2226"/>
      <c r="I451" s="2226"/>
    </row>
    <row r="455" spans="1:9" ht="33" customHeight="1"/>
    <row r="456" spans="1:9" ht="33" customHeight="1"/>
    <row r="459" spans="1:9" ht="16.5">
      <c r="A459" s="2227" t="s">
        <v>353</v>
      </c>
      <c r="B459" s="2227"/>
      <c r="C459" s="2227"/>
      <c r="D459" s="2227"/>
      <c r="E459" s="2227"/>
      <c r="F459" s="2227"/>
      <c r="G459" s="2227"/>
      <c r="H459" s="2227"/>
      <c r="I459" s="2227"/>
    </row>
  </sheetData>
  <mergeCells count="22">
    <mergeCell ref="A1:I1"/>
    <mergeCell ref="A2:I2"/>
    <mergeCell ref="A3:I3"/>
    <mergeCell ref="A5:G5"/>
    <mergeCell ref="A6:G6"/>
    <mergeCell ref="A8:I8"/>
    <mergeCell ref="A9:H9"/>
    <mergeCell ref="A10:B10"/>
    <mergeCell ref="A11:F11"/>
    <mergeCell ref="A55:F55"/>
    <mergeCell ref="A113:F113"/>
    <mergeCell ref="A200:F200"/>
    <mergeCell ref="A212:F212"/>
    <mergeCell ref="A220:F220"/>
    <mergeCell ref="A303:F303"/>
    <mergeCell ref="A451:I451"/>
    <mergeCell ref="A459:I459"/>
    <mergeCell ref="A375:F375"/>
    <mergeCell ref="A383:F383"/>
    <mergeCell ref="A447:F447"/>
    <mergeCell ref="A448:I448"/>
    <mergeCell ref="A450:I450"/>
  </mergeCells>
  <pageMargins left="0.27559055118110198" right="0.27559055118110198" top="0.43307086614173201" bottom="0.43307086614173201" header="0.31496062992126" footer="0.31496062992126"/>
  <pageSetup paperSize="9" orientation="portrait"/>
  <headerFooter>
    <oddFooter>&amp;RPage &amp;P/10</odd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O3401"/>
  <sheetViews>
    <sheetView view="pageBreakPreview" topLeftCell="A16" zoomScale="130" zoomScaleNormal="100" workbookViewId="0">
      <selection activeCell="J28" sqref="J28"/>
    </sheetView>
  </sheetViews>
  <sheetFormatPr defaultColWidth="10.5703125" defaultRowHeight="12"/>
  <cols>
    <col min="1" max="1" width="17.140625" style="1045" customWidth="1"/>
    <col min="2" max="2" width="16.42578125" style="1045" customWidth="1"/>
    <col min="3" max="3" width="9.28515625" style="1046" customWidth="1"/>
    <col min="4" max="4" width="10.42578125" style="624" customWidth="1"/>
    <col min="5" max="5" width="3.28515625" style="1047" customWidth="1"/>
    <col min="6" max="6" width="3.28515625" style="1048" customWidth="1"/>
    <col min="7" max="7" width="17.140625" style="1045" customWidth="1"/>
    <col min="8" max="8" width="16.42578125" style="1045" customWidth="1"/>
    <col min="9" max="9" width="8" style="1046" customWidth="1"/>
    <col min="10" max="10" width="10.42578125" style="624" customWidth="1"/>
    <col min="11" max="15" width="15.42578125" style="1045" customWidth="1"/>
    <col min="16" max="16" width="18.140625" style="1045" customWidth="1"/>
    <col min="17" max="17" width="9.5703125" style="1045" customWidth="1"/>
    <col min="18" max="18" width="8" style="1045" customWidth="1"/>
    <col min="19" max="19" width="5.42578125" style="1045" customWidth="1"/>
    <col min="20" max="16384" width="10.5703125" style="1045"/>
  </cols>
  <sheetData>
    <row r="1" spans="1:15" ht="12" customHeight="1">
      <c r="A1" s="2243" t="s">
        <v>354</v>
      </c>
      <c r="B1" s="2243"/>
      <c r="C1" s="2243"/>
      <c r="D1" s="2243"/>
      <c r="E1" s="2243"/>
      <c r="F1" s="2243"/>
      <c r="G1" s="2243"/>
      <c r="H1" s="2243"/>
      <c r="I1" s="2243"/>
      <c r="J1" s="2243"/>
    </row>
    <row r="2" spans="1:15" ht="15" customHeight="1">
      <c r="A2" s="2242" t="str">
        <f>$K$2</f>
        <v>THÁNG 09/2024</v>
      </c>
      <c r="B2" s="2242"/>
      <c r="C2" s="2242"/>
      <c r="D2" s="2242"/>
      <c r="E2" s="1050"/>
      <c r="F2" s="1051"/>
      <c r="G2" s="2242" t="str">
        <f>$K$2</f>
        <v>THÁNG 09/2024</v>
      </c>
      <c r="H2" s="2242"/>
      <c r="I2" s="2242"/>
      <c r="J2" s="2242"/>
      <c r="K2" s="624" t="s">
        <v>355</v>
      </c>
    </row>
    <row r="3" spans="1:15" ht="15" customHeight="1">
      <c r="A3" s="1052" t="s">
        <v>356</v>
      </c>
      <c r="B3" s="1053" t="s">
        <v>357</v>
      </c>
      <c r="C3" s="869"/>
      <c r="D3" s="1049"/>
      <c r="E3" s="1054"/>
      <c r="F3" s="1055"/>
      <c r="G3" s="1052" t="s">
        <v>356</v>
      </c>
      <c r="H3" s="1053" t="s">
        <v>358</v>
      </c>
      <c r="I3" s="869"/>
      <c r="J3" s="1049"/>
      <c r="L3" s="1083">
        <v>680.47</v>
      </c>
      <c r="M3" s="1083"/>
      <c r="N3" s="1083"/>
      <c r="O3" s="1083"/>
    </row>
    <row r="4" spans="1:15" ht="15" customHeight="1">
      <c r="A4" s="1052" t="s">
        <v>359</v>
      </c>
      <c r="B4" s="1089" t="s">
        <v>360</v>
      </c>
      <c r="C4" s="1058" t="e">
        <f>VLOOKUP(B3,'LƯƠNG KT'!$D$15:$U$94,3,0)</f>
        <v>#N/A</v>
      </c>
      <c r="D4" s="1059" t="e">
        <f>+C4*25000</f>
        <v>#N/A</v>
      </c>
      <c r="E4" s="1060"/>
      <c r="F4" s="1060"/>
      <c r="G4" s="1052" t="s">
        <v>359</v>
      </c>
      <c r="H4" s="1089" t="s">
        <v>360</v>
      </c>
      <c r="I4" s="1058" t="e">
        <f>VLOOKUP(H3,'LƯƠNG KT'!$D$15:$U$94,3,0)</f>
        <v>#N/A</v>
      </c>
      <c r="J4" s="1059" t="e">
        <f>+I4*25000</f>
        <v>#N/A</v>
      </c>
      <c r="K4" s="1084" t="s">
        <v>361</v>
      </c>
      <c r="L4" s="1085">
        <f>46.1*L3</f>
        <v>31369.667000000001</v>
      </c>
      <c r="M4" s="1085"/>
      <c r="N4" s="1085"/>
      <c r="O4" s="1085"/>
    </row>
    <row r="5" spans="1:15" ht="15" customHeight="1">
      <c r="A5" s="1052" t="s">
        <v>361</v>
      </c>
      <c r="B5" s="869" t="s">
        <v>362</v>
      </c>
      <c r="C5" s="1058" t="e">
        <f>VLOOKUP(B3,'LƯƠNG KT'!$D$15:$U$94,14,0)</f>
        <v>#N/A</v>
      </c>
      <c r="D5" s="1059" t="e">
        <f>C5*$L$4</f>
        <v>#N/A</v>
      </c>
      <c r="E5" s="1061"/>
      <c r="F5" s="1061"/>
      <c r="G5" s="1052" t="s">
        <v>361</v>
      </c>
      <c r="H5" s="869" t="s">
        <v>362</v>
      </c>
      <c r="I5" s="1058" t="e">
        <f>VLOOKUP(H3,'LƯƠNG KT'!$D$15:$U$94,14,0)</f>
        <v>#N/A</v>
      </c>
      <c r="J5" s="1059" t="e">
        <f>I5*$L$4</f>
        <v>#N/A</v>
      </c>
      <c r="K5" s="1084" t="s">
        <v>363</v>
      </c>
      <c r="L5" s="1085">
        <f>76.9*L3</f>
        <v>52328.142999999996</v>
      </c>
      <c r="M5" s="1085"/>
      <c r="N5" s="1085"/>
      <c r="O5" s="1085"/>
    </row>
    <row r="6" spans="1:15" ht="15" customHeight="1">
      <c r="A6" s="1052" t="s">
        <v>364</v>
      </c>
      <c r="B6" s="869" t="s">
        <v>365</v>
      </c>
      <c r="C6" s="1058" t="e">
        <f>VLOOKUP(B3,'LƯƠNG KT'!$D$15:$U$94,15,0)</f>
        <v>#N/A</v>
      </c>
      <c r="D6" s="1059" t="e">
        <f>C6*$L$5</f>
        <v>#N/A</v>
      </c>
      <c r="E6" s="1061"/>
      <c r="F6" s="1061"/>
      <c r="G6" s="1052" t="s">
        <v>364</v>
      </c>
      <c r="H6" s="869" t="s">
        <v>365</v>
      </c>
      <c r="I6" s="1058" t="e">
        <f>VLOOKUP(H3,'LƯƠNG KT'!$D$15:$U$94,15,0)</f>
        <v>#N/A</v>
      </c>
      <c r="J6" s="1059" t="e">
        <f>I6*$L$5</f>
        <v>#N/A</v>
      </c>
      <c r="K6" s="1084" t="s">
        <v>366</v>
      </c>
      <c r="L6" s="1045">
        <v>10000</v>
      </c>
    </row>
    <row r="7" spans="1:15" ht="15" customHeight="1">
      <c r="A7" s="1052" t="s">
        <v>367</v>
      </c>
      <c r="B7" s="869"/>
      <c r="C7" s="1058" t="e">
        <f>VLOOKUP(B3,'LƯƠNG KT'!$D$15:$U$94,16,0)</f>
        <v>#N/A</v>
      </c>
      <c r="D7" s="1059" t="e">
        <f>+C7*$L$6</f>
        <v>#N/A</v>
      </c>
      <c r="E7" s="1061"/>
      <c r="F7" s="1061"/>
      <c r="G7" s="1052" t="s">
        <v>367</v>
      </c>
      <c r="H7" s="869"/>
      <c r="I7" s="1058" t="e">
        <f>VLOOKUP(H3,'LƯƠNG KT'!$D$15:$U$94,16,0)</f>
        <v>#N/A</v>
      </c>
      <c r="J7" s="1059" t="e">
        <f>+I7*$L$6</f>
        <v>#N/A</v>
      </c>
      <c r="K7" s="1084" t="s">
        <v>368</v>
      </c>
      <c r="L7" s="1085">
        <f>30.7*L3</f>
        <v>20890.429</v>
      </c>
      <c r="M7" s="1085"/>
      <c r="N7" s="1085"/>
      <c r="O7" s="1085"/>
    </row>
    <row r="8" spans="1:15" ht="15" customHeight="1">
      <c r="A8" s="1052" t="s">
        <v>369</v>
      </c>
      <c r="B8" s="869"/>
      <c r="C8" s="1058" t="e">
        <f>VLOOKUP(B4,'LƯƠNG KT'!$D$15:$U$94,16,0)</f>
        <v>#N/A</v>
      </c>
      <c r="D8" s="1059" t="e">
        <f t="shared" ref="D8:D9" si="0">+C8*$L$6</f>
        <v>#N/A</v>
      </c>
      <c r="E8" s="1061"/>
      <c r="F8" s="1061"/>
      <c r="G8" s="1052" t="s">
        <v>367</v>
      </c>
      <c r="H8" s="869"/>
      <c r="I8" s="1058" t="e">
        <f>VLOOKUP(H4,'LƯƠNG KT'!$D$15:$U$94,16,0)</f>
        <v>#N/A</v>
      </c>
      <c r="J8" s="1059" t="e">
        <f t="shared" ref="J8:J9" si="1">+I8*$L$6</f>
        <v>#N/A</v>
      </c>
      <c r="K8" s="1084" t="s">
        <v>368</v>
      </c>
      <c r="L8" s="1085">
        <f t="shared" ref="L8:L9" si="2">30.7*L4</f>
        <v>963048.77690000006</v>
      </c>
      <c r="M8" s="1085"/>
      <c r="N8" s="1085"/>
      <c r="O8" s="1085"/>
    </row>
    <row r="9" spans="1:15" ht="15" customHeight="1">
      <c r="A9" s="1052" t="s">
        <v>370</v>
      </c>
      <c r="B9" s="869"/>
      <c r="C9" s="1058" t="e">
        <f>VLOOKUP(B5,'LƯƠNG KT'!$D$15:$U$94,16,0)</f>
        <v>#N/A</v>
      </c>
      <c r="D9" s="1059" t="e">
        <f t="shared" si="0"/>
        <v>#N/A</v>
      </c>
      <c r="E9" s="1061"/>
      <c r="F9" s="1061"/>
      <c r="G9" s="1052" t="s">
        <v>367</v>
      </c>
      <c r="H9" s="869"/>
      <c r="I9" s="1058" t="e">
        <f>VLOOKUP(H5,'LƯƠNG KT'!$D$15:$U$94,16,0)</f>
        <v>#N/A</v>
      </c>
      <c r="J9" s="1059" t="e">
        <f t="shared" si="1"/>
        <v>#N/A</v>
      </c>
      <c r="K9" s="1084" t="s">
        <v>368</v>
      </c>
      <c r="L9" s="1085">
        <f t="shared" si="2"/>
        <v>1606473.9901000001</v>
      </c>
      <c r="M9" s="1085"/>
      <c r="N9" s="1085"/>
      <c r="O9" s="1085"/>
    </row>
    <row r="10" spans="1:15" ht="15" customHeight="1">
      <c r="A10" s="1052" t="s">
        <v>371</v>
      </c>
      <c r="B10" s="869" t="s">
        <v>372</v>
      </c>
      <c r="C10" s="1058" t="e">
        <f>VLOOKUP(B3,'LƯƠNG KT'!$D$15:$U$94,9,0)*$L$10</f>
        <v>#N/A</v>
      </c>
      <c r="D10" s="1059" t="e">
        <f>+C10*0.5*3000</f>
        <v>#N/A</v>
      </c>
      <c r="E10" s="1061"/>
      <c r="F10" s="1061"/>
      <c r="G10" s="1052" t="s">
        <v>371</v>
      </c>
      <c r="H10" s="869" t="s">
        <v>372</v>
      </c>
      <c r="I10" s="1058" t="e">
        <f>VLOOKUP(H3,'LƯƠNG KT'!$D$15:$U$94,9,0)*$L$10</f>
        <v>#N/A</v>
      </c>
      <c r="J10" s="1059" t="e">
        <f>+I10*0.5*3000</f>
        <v>#N/A</v>
      </c>
      <c r="K10" s="1085" t="s">
        <v>373</v>
      </c>
      <c r="L10" s="1604">
        <v>0.5</v>
      </c>
      <c r="M10" s="1604"/>
      <c r="N10" s="1604"/>
      <c r="O10" s="1604"/>
    </row>
    <row r="11" spans="1:15" ht="15" customHeight="1">
      <c r="A11" s="1052" t="s">
        <v>374</v>
      </c>
      <c r="B11" s="869" t="s">
        <v>375</v>
      </c>
      <c r="C11" s="1058" t="e">
        <f>VLOOKUP(B3,'LƯƠNG KT'!$D$15:$U$94,8,0)*$L$11</f>
        <v>#N/A</v>
      </c>
      <c r="D11" s="1059" t="e">
        <f>VLOOKUP(B3,'LƯƠNG KT'!$D$15:$U$94,13,0)-D10</f>
        <v>#N/A</v>
      </c>
      <c r="E11" s="1063"/>
      <c r="F11" s="1061"/>
      <c r="G11" s="1052" t="s">
        <v>374</v>
      </c>
      <c r="H11" s="869" t="s">
        <v>375</v>
      </c>
      <c r="I11" s="1058" t="e">
        <f>VLOOKUP(H3,'LƯƠNG KT'!$D$15:$U$94,8,0)*$L$11</f>
        <v>#N/A</v>
      </c>
      <c r="J11" s="1059" t="e">
        <f>VLOOKUP(H3,'LƯƠNG KT'!$D$15:$U$94,13,0)-J10</f>
        <v>#N/A</v>
      </c>
      <c r="K11" s="1085" t="s">
        <v>376</v>
      </c>
      <c r="L11" s="1604">
        <v>0.42315993895981302</v>
      </c>
      <c r="M11" s="1604"/>
      <c r="N11" s="1604"/>
      <c r="O11" s="1604"/>
    </row>
    <row r="12" spans="1:15" ht="15" customHeight="1">
      <c r="A12" s="1059" t="s">
        <v>377</v>
      </c>
      <c r="B12" s="869" t="s">
        <v>378</v>
      </c>
      <c r="C12" s="1058"/>
      <c r="D12" s="1059"/>
      <c r="E12" s="1065"/>
      <c r="F12" s="1065"/>
      <c r="G12" s="1059" t="s">
        <v>377</v>
      </c>
      <c r="H12" s="869" t="s">
        <v>378</v>
      </c>
      <c r="I12" s="1058"/>
      <c r="J12" s="1059"/>
    </row>
    <row r="13" spans="1:15" ht="15" customHeight="1">
      <c r="A13" s="1066" t="s">
        <v>379</v>
      </c>
      <c r="B13" s="869" t="s">
        <v>380</v>
      </c>
      <c r="C13" s="1058"/>
      <c r="D13" s="1059">
        <f>56*25000</f>
        <v>1400000</v>
      </c>
      <c r="E13" s="1063"/>
      <c r="F13" s="1065"/>
      <c r="G13" s="1066" t="s">
        <v>379</v>
      </c>
      <c r="H13" s="869" t="s">
        <v>380</v>
      </c>
      <c r="I13" s="1058"/>
      <c r="J13" s="1059">
        <f>56*25000</f>
        <v>1400000</v>
      </c>
    </row>
    <row r="14" spans="1:15" ht="15" customHeight="1">
      <c r="A14" s="1052" t="s">
        <v>381</v>
      </c>
      <c r="B14" s="869" t="s">
        <v>382</v>
      </c>
      <c r="C14" s="1058"/>
      <c r="D14" s="1059">
        <f>D13</f>
        <v>1400000</v>
      </c>
      <c r="E14" s="1067"/>
      <c r="F14" s="1051"/>
      <c r="G14" s="1052" t="s">
        <v>381</v>
      </c>
      <c r="H14" s="869" t="s">
        <v>382</v>
      </c>
      <c r="I14" s="1058"/>
      <c r="J14" s="1059">
        <f>J13</f>
        <v>1400000</v>
      </c>
    </row>
    <row r="15" spans="1:15" ht="15" customHeight="1">
      <c r="A15" s="1068" t="s">
        <v>383</v>
      </c>
      <c r="B15" s="1069" t="s">
        <v>384</v>
      </c>
      <c r="C15" s="1070"/>
      <c r="D15" s="1071" t="e">
        <f>SUM(D4:D11)-D14</f>
        <v>#N/A</v>
      </c>
      <c r="E15" s="1072"/>
      <c r="F15" s="1073"/>
      <c r="G15" s="1068" t="s">
        <v>383</v>
      </c>
      <c r="H15" s="1069" t="s">
        <v>384</v>
      </c>
      <c r="I15" s="1070"/>
      <c r="J15" s="1071" t="e">
        <f>SUM(J4:J11)-J14</f>
        <v>#N/A</v>
      </c>
    </row>
    <row r="16" spans="1:15" ht="12.6" customHeight="1">
      <c r="A16" s="1074"/>
      <c r="B16" s="1075"/>
      <c r="C16" s="1076"/>
      <c r="D16" s="1077"/>
      <c r="E16" s="1077"/>
      <c r="F16" s="1078"/>
      <c r="G16" s="1074"/>
      <c r="H16" s="1075"/>
      <c r="I16" s="1076"/>
      <c r="J16" s="1077"/>
      <c r="L16" s="1045" t="s">
        <v>369</v>
      </c>
      <c r="M16" s="1045" t="s">
        <v>370</v>
      </c>
    </row>
    <row r="17" spans="1:15" ht="12.6" customHeight="1">
      <c r="A17" s="1075"/>
      <c r="B17" s="1075"/>
      <c r="C17" s="1079"/>
      <c r="D17" s="1080"/>
      <c r="E17" s="1075"/>
      <c r="F17" s="1081"/>
      <c r="G17" s="1075"/>
      <c r="H17" s="1075"/>
      <c r="I17" s="1079"/>
      <c r="J17" s="1080"/>
    </row>
    <row r="18" spans="1:15" ht="15" customHeight="1">
      <c r="A18" s="2242" t="str">
        <f>$K$2</f>
        <v>THÁNG 09/2024</v>
      </c>
      <c r="B18" s="2242"/>
      <c r="C18" s="2242"/>
      <c r="D18" s="2242"/>
      <c r="E18" s="1050"/>
      <c r="F18" s="1051"/>
      <c r="G18" s="2242" t="str">
        <f>$K$2</f>
        <v>THÁNG 09/2024</v>
      </c>
      <c r="H18" s="2242"/>
      <c r="I18" s="2242"/>
      <c r="J18" s="2242"/>
      <c r="K18" s="624"/>
    </row>
    <row r="19" spans="1:15" ht="15" customHeight="1">
      <c r="A19" s="1052" t="s">
        <v>356</v>
      </c>
      <c r="B19" s="1053" t="s">
        <v>385</v>
      </c>
      <c r="C19" s="869"/>
      <c r="D19" s="1049"/>
      <c r="E19" s="1054"/>
      <c r="F19" s="1055"/>
      <c r="G19" s="1052" t="s">
        <v>356</v>
      </c>
      <c r="H19" s="1053" t="s">
        <v>386</v>
      </c>
      <c r="I19" s="869"/>
      <c r="J19" s="1049"/>
      <c r="L19" s="1088"/>
      <c r="M19" s="1088"/>
      <c r="N19" s="1088"/>
      <c r="O19" s="1088"/>
    </row>
    <row r="20" spans="1:15" ht="15" customHeight="1">
      <c r="A20" s="1052" t="s">
        <v>359</v>
      </c>
      <c r="B20" s="1089" t="s">
        <v>360</v>
      </c>
      <c r="C20" s="1058" t="e">
        <f>VLOOKUP(B19,'LƯƠNG KT'!$D$15:$U$94,3,0)</f>
        <v>#N/A</v>
      </c>
      <c r="D20" s="1059" t="e">
        <f>+C20*25000</f>
        <v>#N/A</v>
      </c>
      <c r="E20" s="1060"/>
      <c r="F20" s="1060"/>
      <c r="G20" s="1052" t="s">
        <v>359</v>
      </c>
      <c r="H20" s="1089" t="s">
        <v>360</v>
      </c>
      <c r="I20" s="1058" t="e">
        <f>VLOOKUP(H19,'LƯƠNG KT'!$D$15:$U$94,3,0)</f>
        <v>#N/A</v>
      </c>
      <c r="J20" s="1059" t="e">
        <f>+I20*25000</f>
        <v>#N/A</v>
      </c>
      <c r="K20" s="1085"/>
      <c r="L20" s="1085"/>
      <c r="M20" s="1085"/>
      <c r="N20" s="1085"/>
      <c r="O20" s="1085"/>
    </row>
    <row r="21" spans="1:15" ht="15" customHeight="1">
      <c r="A21" s="1052" t="s">
        <v>361</v>
      </c>
      <c r="B21" s="869" t="s">
        <v>362</v>
      </c>
      <c r="C21" s="1058" t="e">
        <f>VLOOKUP(B19,'LƯƠNG KT'!$D$15:$U$94,14,0)</f>
        <v>#N/A</v>
      </c>
      <c r="D21" s="1059" t="e">
        <f>C21*$L$4</f>
        <v>#N/A</v>
      </c>
      <c r="E21" s="1061"/>
      <c r="F21" s="1061"/>
      <c r="G21" s="1052" t="s">
        <v>361</v>
      </c>
      <c r="H21" s="869" t="s">
        <v>362</v>
      </c>
      <c r="I21" s="1058" t="e">
        <f>VLOOKUP(H19,'LƯƠNG KT'!$D$15:$U$94,14,0)</f>
        <v>#N/A</v>
      </c>
      <c r="J21" s="1059" t="e">
        <f>I21*$L$4</f>
        <v>#N/A</v>
      </c>
      <c r="K21" s="1085"/>
      <c r="L21" s="1085"/>
      <c r="M21" s="1085"/>
      <c r="N21" s="1085"/>
      <c r="O21" s="1085"/>
    </row>
    <row r="22" spans="1:15" ht="15" customHeight="1">
      <c r="A22" s="1052" t="s">
        <v>364</v>
      </c>
      <c r="B22" s="869" t="s">
        <v>365</v>
      </c>
      <c r="C22" s="1058" t="e">
        <f>VLOOKUP(B19,'LƯƠNG KT'!$D$15:$U$94,15,0)</f>
        <v>#N/A</v>
      </c>
      <c r="D22" s="1059" t="e">
        <f>C22*$L$5</f>
        <v>#N/A</v>
      </c>
      <c r="E22" s="1061"/>
      <c r="F22" s="1061"/>
      <c r="G22" s="1052" t="s">
        <v>364</v>
      </c>
      <c r="H22" s="869" t="s">
        <v>365</v>
      </c>
      <c r="I22" s="1058" t="e">
        <f>VLOOKUP(H19,'LƯƠNG KT'!$D$15:$U$94,15,0)</f>
        <v>#N/A</v>
      </c>
      <c r="J22" s="1059" t="e">
        <f>I22*$L$5</f>
        <v>#N/A</v>
      </c>
      <c r="K22" s="1085"/>
      <c r="L22" s="1085"/>
      <c r="M22" s="1085"/>
      <c r="N22" s="1085"/>
      <c r="O22" s="1085"/>
    </row>
    <row r="23" spans="1:15" ht="15" customHeight="1">
      <c r="A23" s="1052" t="s">
        <v>367</v>
      </c>
      <c r="B23" s="869"/>
      <c r="C23" s="1058" t="e">
        <f>VLOOKUP(B19,'LƯƠNG KT'!$D$15:$U$94,16,0)</f>
        <v>#N/A</v>
      </c>
      <c r="D23" s="1059" t="e">
        <f>+C23*$L$6</f>
        <v>#N/A</v>
      </c>
      <c r="E23" s="1061"/>
      <c r="F23" s="1061"/>
      <c r="G23" s="1052" t="s">
        <v>367</v>
      </c>
      <c r="H23" s="869"/>
      <c r="I23" s="1058" t="e">
        <f>VLOOKUP(H19,'LƯƠNG KT'!$D$15:$U$94,16,0)</f>
        <v>#N/A</v>
      </c>
      <c r="J23" s="1059" t="e">
        <f>+I23*$L$6</f>
        <v>#N/A</v>
      </c>
      <c r="K23" s="1085"/>
      <c r="L23" s="1085"/>
      <c r="M23" s="1085">
        <f>425*50</f>
        <v>21250</v>
      </c>
      <c r="N23" s="1085"/>
      <c r="O23" s="1085"/>
    </row>
    <row r="24" spans="1:15" ht="15" customHeight="1">
      <c r="A24" s="1052" t="s">
        <v>367</v>
      </c>
      <c r="B24" s="869"/>
      <c r="C24" s="1058" t="e">
        <f>VLOOKUP(B20,'LƯƠNG KT'!$D$15:$U$94,16,0)</f>
        <v>#N/A</v>
      </c>
      <c r="D24" s="1059" t="e">
        <f t="shared" ref="D24:D25" si="3">+C24*$L$6</f>
        <v>#N/A</v>
      </c>
      <c r="E24" s="1061"/>
      <c r="F24" s="1061"/>
      <c r="G24" s="1052" t="s">
        <v>367</v>
      </c>
      <c r="H24" s="869"/>
      <c r="I24" s="1058" t="e">
        <f>VLOOKUP(H20,'LƯƠNG KT'!$D$15:$U$94,16,0)</f>
        <v>#N/A</v>
      </c>
      <c r="J24" s="1059" t="e">
        <f t="shared" ref="J24:J25" si="4">+I24*$L$6</f>
        <v>#N/A</v>
      </c>
      <c r="K24" s="1085"/>
      <c r="L24" s="1085"/>
      <c r="M24" s="1085">
        <f t="shared" ref="M24:M25" si="5">425*50</f>
        <v>21250</v>
      </c>
      <c r="N24" s="1085"/>
      <c r="O24" s="1085"/>
    </row>
    <row r="25" spans="1:15" ht="15" customHeight="1">
      <c r="A25" s="1052" t="s">
        <v>367</v>
      </c>
      <c r="B25" s="869"/>
      <c r="C25" s="1058" t="e">
        <f>VLOOKUP(B21,'LƯƠNG KT'!$D$15:$U$94,16,0)</f>
        <v>#N/A</v>
      </c>
      <c r="D25" s="1059" t="e">
        <f t="shared" si="3"/>
        <v>#N/A</v>
      </c>
      <c r="E25" s="1061"/>
      <c r="F25" s="1061"/>
      <c r="G25" s="1052" t="s">
        <v>367</v>
      </c>
      <c r="H25" s="869"/>
      <c r="I25" s="1058" t="e">
        <f>VLOOKUP(H21,'LƯƠNG KT'!$D$15:$U$94,16,0)</f>
        <v>#N/A</v>
      </c>
      <c r="J25" s="1059" t="e">
        <f t="shared" si="4"/>
        <v>#N/A</v>
      </c>
      <c r="K25" s="1085"/>
      <c r="L25" s="1085"/>
      <c r="M25" s="1085">
        <f t="shared" si="5"/>
        <v>21250</v>
      </c>
      <c r="N25" s="1085"/>
      <c r="O25" s="1085"/>
    </row>
    <row r="26" spans="1:15" ht="15" customHeight="1">
      <c r="A26" s="1052" t="s">
        <v>371</v>
      </c>
      <c r="B26" s="869" t="s">
        <v>372</v>
      </c>
      <c r="C26" s="1058" t="e">
        <f>VLOOKUP(B19,'LƯƠNG KT'!$D$15:$U$94,9,0)*$L$10</f>
        <v>#N/A</v>
      </c>
      <c r="D26" s="1059" t="e">
        <f>+C26*0.5*3000</f>
        <v>#N/A</v>
      </c>
      <c r="E26" s="1061"/>
      <c r="F26" s="1061"/>
      <c r="G26" s="1052" t="s">
        <v>371</v>
      </c>
      <c r="H26" s="869" t="s">
        <v>372</v>
      </c>
      <c r="I26" s="1058" t="e">
        <f>VLOOKUP(H19,'LƯƠNG KT'!$D$15:$U$94,9,0)*$L$10</f>
        <v>#N/A</v>
      </c>
      <c r="J26" s="1059" t="e">
        <f>+I26*0.5*3000</f>
        <v>#N/A</v>
      </c>
      <c r="K26" s="1085"/>
      <c r="L26" s="1085"/>
      <c r="M26" s="1085"/>
      <c r="N26" s="1085"/>
      <c r="O26" s="1085"/>
    </row>
    <row r="27" spans="1:15" ht="15" customHeight="1">
      <c r="A27" s="1052" t="s">
        <v>374</v>
      </c>
      <c r="B27" s="869" t="s">
        <v>375</v>
      </c>
      <c r="C27" s="1058" t="e">
        <f>VLOOKUP(B19,'LƯƠNG KT'!$D$15:$U$94,8,0)*$L$11</f>
        <v>#N/A</v>
      </c>
      <c r="D27" s="1059" t="e">
        <f>VLOOKUP(B19,'LƯƠNG KT'!$D$15:$U$94,13,0)-D26</f>
        <v>#N/A</v>
      </c>
      <c r="E27" s="1063"/>
      <c r="F27" s="1061"/>
      <c r="G27" s="1052" t="s">
        <v>374</v>
      </c>
      <c r="H27" s="869" t="s">
        <v>375</v>
      </c>
      <c r="I27" s="1058" t="e">
        <f>VLOOKUP(H19,'LƯƠNG KT'!$D$15:$U$94,8,0)*$L$11</f>
        <v>#N/A</v>
      </c>
      <c r="J27" s="1059" t="e">
        <f>VLOOKUP(H19,'LƯƠNG KT'!$D$15:$U$94,13,0)-J26+I21*20000+I22*20000</f>
        <v>#N/A</v>
      </c>
      <c r="K27" s="1085"/>
      <c r="L27" s="1085"/>
      <c r="M27" s="1085"/>
      <c r="N27" s="1085"/>
      <c r="O27" s="1085"/>
    </row>
    <row r="28" spans="1:15" ht="15" customHeight="1">
      <c r="A28" s="1059" t="s">
        <v>377</v>
      </c>
      <c r="B28" s="869" t="s">
        <v>378</v>
      </c>
      <c r="C28" s="1058"/>
      <c r="D28" s="1059"/>
      <c r="E28" s="1065"/>
      <c r="F28" s="1065"/>
      <c r="G28" s="1059" t="s">
        <v>377</v>
      </c>
      <c r="H28" s="869" t="s">
        <v>378</v>
      </c>
      <c r="I28" s="1058"/>
      <c r="J28" s="1059"/>
    </row>
    <row r="29" spans="1:15" ht="15" customHeight="1">
      <c r="A29" s="1066" t="s">
        <v>379</v>
      </c>
      <c r="B29" s="869" t="s">
        <v>380</v>
      </c>
      <c r="C29" s="1058"/>
      <c r="D29" s="1059">
        <f>56*25000</f>
        <v>1400000</v>
      </c>
      <c r="E29" s="1063"/>
      <c r="F29" s="1065"/>
      <c r="G29" s="1066" t="s">
        <v>379</v>
      </c>
      <c r="H29" s="869" t="s">
        <v>380</v>
      </c>
      <c r="I29" s="1058"/>
      <c r="J29" s="1059">
        <f>56*25000</f>
        <v>1400000</v>
      </c>
      <c r="M29" s="1045">
        <f>425+9</f>
        <v>434</v>
      </c>
      <c r="N29" s="1045">
        <f>+M29*20</f>
        <v>8680</v>
      </c>
    </row>
    <row r="30" spans="1:15" ht="15" customHeight="1">
      <c r="A30" s="1052" t="s">
        <v>381</v>
      </c>
      <c r="B30" s="869" t="s">
        <v>382</v>
      </c>
      <c r="C30" s="1058"/>
      <c r="D30" s="1059">
        <f>D29</f>
        <v>1400000</v>
      </c>
      <c r="E30" s="1067"/>
      <c r="F30" s="1051"/>
      <c r="G30" s="1052" t="s">
        <v>381</v>
      </c>
      <c r="H30" s="869" t="s">
        <v>382</v>
      </c>
      <c r="I30" s="1058"/>
      <c r="J30" s="1059">
        <f>J29</f>
        <v>1400000</v>
      </c>
      <c r="M30" s="1045">
        <f>+M29*50</f>
        <v>21700</v>
      </c>
    </row>
    <row r="31" spans="1:15" ht="15" customHeight="1">
      <c r="A31" s="1068" t="s">
        <v>383</v>
      </c>
      <c r="B31" s="1069" t="s">
        <v>384</v>
      </c>
      <c r="C31" s="1070"/>
      <c r="D31" s="1071" t="e">
        <f>SUM(D20:D27)-D30</f>
        <v>#N/A</v>
      </c>
      <c r="E31" s="1072"/>
      <c r="F31" s="1073"/>
      <c r="G31" s="1068" t="s">
        <v>383</v>
      </c>
      <c r="H31" s="1069" t="s">
        <v>384</v>
      </c>
      <c r="I31" s="1070"/>
      <c r="J31" s="1071" t="e">
        <f>SUM(J20:J27)-J30</f>
        <v>#N/A</v>
      </c>
    </row>
    <row r="32" spans="1:15" ht="18.75" customHeight="1">
      <c r="A32" s="1074"/>
      <c r="B32" s="1075"/>
      <c r="C32" s="1076"/>
      <c r="D32" s="1077"/>
      <c r="E32" s="1077"/>
      <c r="F32" s="1078"/>
      <c r="G32" s="1074"/>
      <c r="H32" s="1075"/>
      <c r="I32" s="1076"/>
      <c r="J32" s="1077"/>
    </row>
    <row r="33" spans="1:15" ht="18.75" customHeight="1">
      <c r="A33" s="1075"/>
      <c r="B33" s="1075"/>
      <c r="C33" s="1079"/>
      <c r="D33" s="1080"/>
      <c r="E33" s="1075"/>
      <c r="F33" s="1081"/>
      <c r="G33" s="1075"/>
      <c r="H33" s="1075"/>
      <c r="I33" s="1079"/>
      <c r="J33" s="1080"/>
    </row>
    <row r="34" spans="1:15" ht="15" customHeight="1">
      <c r="A34" s="2242" t="str">
        <f>$K$2</f>
        <v>THÁNG 09/2024</v>
      </c>
      <c r="B34" s="2242"/>
      <c r="C34" s="2242"/>
      <c r="D34" s="2242"/>
      <c r="E34" s="1050"/>
      <c r="F34" s="1051"/>
      <c r="G34" s="2242" t="str">
        <f>$K$2</f>
        <v>THÁNG 09/2024</v>
      </c>
      <c r="H34" s="2242"/>
      <c r="I34" s="2242"/>
      <c r="J34" s="2242"/>
      <c r="K34" s="624"/>
    </row>
    <row r="35" spans="1:15" ht="15" customHeight="1">
      <c r="A35" s="1052" t="s">
        <v>356</v>
      </c>
      <c r="B35" s="1053" t="s">
        <v>387</v>
      </c>
      <c r="C35" s="869"/>
      <c r="D35" s="1049"/>
      <c r="E35" s="1054"/>
      <c r="F35" s="1055"/>
      <c r="G35" s="1052" t="s">
        <v>356</v>
      </c>
      <c r="H35" s="1053" t="s">
        <v>388</v>
      </c>
      <c r="I35" s="869"/>
      <c r="J35" s="1049"/>
      <c r="L35" s="1088"/>
      <c r="M35" s="1088"/>
      <c r="N35" s="1088"/>
      <c r="O35" s="1088"/>
    </row>
    <row r="36" spans="1:15" ht="15" customHeight="1">
      <c r="A36" s="1052" t="s">
        <v>359</v>
      </c>
      <c r="B36" s="1089" t="s">
        <v>360</v>
      </c>
      <c r="C36" s="1058" t="e">
        <f>VLOOKUP(B35,'LƯƠNG KT'!$D$15:$U$94,3,0)</f>
        <v>#N/A</v>
      </c>
      <c r="D36" s="1059" t="e">
        <f>+C36*25000</f>
        <v>#N/A</v>
      </c>
      <c r="E36" s="1060"/>
      <c r="F36" s="1060"/>
      <c r="G36" s="1052" t="s">
        <v>359</v>
      </c>
      <c r="H36" s="1089" t="s">
        <v>360</v>
      </c>
      <c r="I36" s="1058" t="e">
        <f>VLOOKUP(H35,'LƯƠNG KT'!$D$15:$U$94,3,0)</f>
        <v>#N/A</v>
      </c>
      <c r="J36" s="1059" t="e">
        <f>+I36*25000</f>
        <v>#N/A</v>
      </c>
      <c r="K36" s="1085"/>
      <c r="L36" s="1085"/>
      <c r="M36" s="1085"/>
      <c r="N36" s="1085"/>
      <c r="O36" s="1085"/>
    </row>
    <row r="37" spans="1:15" ht="15" customHeight="1">
      <c r="A37" s="1052" t="s">
        <v>361</v>
      </c>
      <c r="B37" s="869" t="s">
        <v>362</v>
      </c>
      <c r="C37" s="1058" t="e">
        <f>VLOOKUP(B35,'LƯƠNG KT'!$D$15:$U$94,14,0)</f>
        <v>#N/A</v>
      </c>
      <c r="D37" s="1059" t="e">
        <f>C37*$L$4</f>
        <v>#N/A</v>
      </c>
      <c r="E37" s="1061"/>
      <c r="F37" s="1061"/>
      <c r="G37" s="1052" t="s">
        <v>361</v>
      </c>
      <c r="H37" s="869" t="s">
        <v>362</v>
      </c>
      <c r="I37" s="1058" t="e">
        <f>VLOOKUP(H35,'LƯƠNG KT'!$D$15:$U$94,14,0)</f>
        <v>#N/A</v>
      </c>
      <c r="J37" s="1059" t="e">
        <f>I37*$L$4</f>
        <v>#N/A</v>
      </c>
      <c r="K37" s="1085"/>
      <c r="L37" s="1085"/>
      <c r="M37" s="1085"/>
      <c r="N37" s="1085"/>
      <c r="O37" s="1085"/>
    </row>
    <row r="38" spans="1:15" ht="15" customHeight="1">
      <c r="A38" s="1052" t="s">
        <v>364</v>
      </c>
      <c r="B38" s="869" t="s">
        <v>365</v>
      </c>
      <c r="C38" s="1058" t="e">
        <f>VLOOKUP(B35,'LƯƠNG KT'!$D$15:$U$94,15,0)</f>
        <v>#N/A</v>
      </c>
      <c r="D38" s="1059" t="e">
        <f>C38*$L$5</f>
        <v>#N/A</v>
      </c>
      <c r="E38" s="1061"/>
      <c r="F38" s="1061"/>
      <c r="G38" s="1052" t="s">
        <v>364</v>
      </c>
      <c r="H38" s="869" t="s">
        <v>365</v>
      </c>
      <c r="I38" s="1058" t="e">
        <f>VLOOKUP(H35,'LƯƠNG KT'!$D$15:$U$94,15,0)</f>
        <v>#N/A</v>
      </c>
      <c r="J38" s="1059" t="e">
        <f>I38*$L$5</f>
        <v>#N/A</v>
      </c>
      <c r="K38" s="1085"/>
      <c r="L38" s="1085"/>
      <c r="M38" s="1085"/>
      <c r="N38" s="1085"/>
      <c r="O38" s="1085"/>
    </row>
    <row r="39" spans="1:15" ht="15" customHeight="1">
      <c r="A39" s="1052" t="s">
        <v>367</v>
      </c>
      <c r="B39" s="869"/>
      <c r="C39" s="1058" t="e">
        <f>VLOOKUP(B35,'LƯƠNG KT'!$D$15:$U$94,16,0)</f>
        <v>#N/A</v>
      </c>
      <c r="D39" s="1059" t="e">
        <f>+C39*$L$6</f>
        <v>#N/A</v>
      </c>
      <c r="E39" s="1061"/>
      <c r="F39" s="1061"/>
      <c r="G39" s="1052" t="s">
        <v>367</v>
      </c>
      <c r="H39" s="869"/>
      <c r="I39" s="1058" t="e">
        <f>VLOOKUP(H35,'LƯƠNG KT'!$D$15:$U$94,16,0)</f>
        <v>#N/A</v>
      </c>
      <c r="J39" s="1059" t="e">
        <f>+I39*$L$6</f>
        <v>#N/A</v>
      </c>
      <c r="K39" s="1085"/>
      <c r="L39" s="1085"/>
      <c r="M39" s="1085"/>
      <c r="N39" s="1085"/>
      <c r="O39" s="1085"/>
    </row>
    <row r="40" spans="1:15" ht="15" customHeight="1">
      <c r="A40" s="1052"/>
      <c r="B40" s="869"/>
      <c r="C40" s="1058"/>
      <c r="D40" s="1059"/>
      <c r="E40" s="1061"/>
      <c r="F40" s="1061"/>
      <c r="G40" s="1052"/>
      <c r="H40" s="869"/>
      <c r="I40" s="1058"/>
      <c r="J40" s="1059"/>
      <c r="K40" s="1085"/>
      <c r="L40" s="1085"/>
      <c r="M40" s="1085"/>
      <c r="N40" s="1085"/>
      <c r="O40" s="1085"/>
    </row>
    <row r="41" spans="1:15" ht="15" customHeight="1">
      <c r="A41" s="1052"/>
      <c r="B41" s="869"/>
      <c r="C41" s="1058"/>
      <c r="D41" s="1059"/>
      <c r="E41" s="1061"/>
      <c r="F41" s="1061"/>
      <c r="G41" s="1052"/>
      <c r="H41" s="869"/>
      <c r="I41" s="1058"/>
      <c r="J41" s="1059"/>
      <c r="K41" s="1085"/>
      <c r="L41" s="1085"/>
      <c r="M41" s="1085"/>
      <c r="N41" s="1085"/>
      <c r="O41" s="1085"/>
    </row>
    <row r="42" spans="1:15" ht="15" customHeight="1">
      <c r="A42" s="1052" t="s">
        <v>371</v>
      </c>
      <c r="B42" s="869" t="s">
        <v>372</v>
      </c>
      <c r="C42" s="1058" t="e">
        <f>VLOOKUP(B35,'LƯƠNG KT'!$D$15:$U$94,9,0)*$L$10</f>
        <v>#N/A</v>
      </c>
      <c r="D42" s="1059" t="e">
        <f>+C42*0.5*3000</f>
        <v>#N/A</v>
      </c>
      <c r="E42" s="1061"/>
      <c r="F42" s="1061"/>
      <c r="G42" s="1052" t="s">
        <v>371</v>
      </c>
      <c r="H42" s="869" t="s">
        <v>372</v>
      </c>
      <c r="I42" s="1058" t="e">
        <f>VLOOKUP(H35,'LƯƠNG KT'!$D$15:$U$94,9,0)*$L$10</f>
        <v>#N/A</v>
      </c>
      <c r="J42" s="1059" t="e">
        <f>+I42*0.5*3000</f>
        <v>#N/A</v>
      </c>
      <c r="K42" s="1085"/>
      <c r="L42" s="1085"/>
      <c r="M42" s="1085"/>
      <c r="N42" s="1085"/>
      <c r="O42" s="1085"/>
    </row>
    <row r="43" spans="1:15" ht="15" customHeight="1">
      <c r="A43" s="1052" t="s">
        <v>374</v>
      </c>
      <c r="B43" s="869" t="s">
        <v>375</v>
      </c>
      <c r="C43" s="1058" t="e">
        <f>VLOOKUP(B35,'LƯƠNG KT'!$D$15:$U$94,8,0)*$L$11</f>
        <v>#N/A</v>
      </c>
      <c r="D43" s="1059" t="e">
        <f>VLOOKUP(B35,'LƯƠNG KT'!$D$15:$U$94,13,0)-D42+C37*20000+C38*20000</f>
        <v>#N/A</v>
      </c>
      <c r="E43" s="1063"/>
      <c r="F43" s="1061"/>
      <c r="G43" s="1052" t="s">
        <v>374</v>
      </c>
      <c r="H43" s="869" t="s">
        <v>375</v>
      </c>
      <c r="I43" s="1058" t="e">
        <f>VLOOKUP(H35,'LƯƠNG KT'!$D$15:$U$94,8,0)*$L$11</f>
        <v>#N/A</v>
      </c>
      <c r="J43" s="1059" t="e">
        <f>VLOOKUP(H35,'LƯƠNG KT'!$D$15:$U$94,13,0)-J42</f>
        <v>#N/A</v>
      </c>
      <c r="K43" s="1085"/>
      <c r="L43" s="1085"/>
      <c r="M43" s="1085"/>
      <c r="N43" s="1085"/>
      <c r="O43" s="1085"/>
    </row>
    <row r="44" spans="1:15" ht="15" customHeight="1">
      <c r="A44" s="1059" t="s">
        <v>377</v>
      </c>
      <c r="B44" s="869" t="s">
        <v>378</v>
      </c>
      <c r="C44" s="1058"/>
      <c r="D44" s="1059"/>
      <c r="E44" s="1065"/>
      <c r="F44" s="1065"/>
      <c r="G44" s="1059" t="s">
        <v>377</v>
      </c>
      <c r="H44" s="869" t="s">
        <v>378</v>
      </c>
      <c r="I44" s="1058"/>
      <c r="J44" s="1059"/>
    </row>
    <row r="45" spans="1:15" ht="15" customHeight="1">
      <c r="A45" s="1066" t="s">
        <v>379</v>
      </c>
      <c r="B45" s="869" t="s">
        <v>380</v>
      </c>
      <c r="C45" s="1058"/>
      <c r="D45" s="1059">
        <f>56*25000</f>
        <v>1400000</v>
      </c>
      <c r="E45" s="1063"/>
      <c r="F45" s="1065"/>
      <c r="G45" s="1066" t="s">
        <v>379</v>
      </c>
      <c r="H45" s="869" t="s">
        <v>380</v>
      </c>
      <c r="I45" s="1058"/>
      <c r="J45" s="1059">
        <f>56*25000</f>
        <v>1400000</v>
      </c>
    </row>
    <row r="46" spans="1:15" ht="15" customHeight="1">
      <c r="A46" s="1052" t="s">
        <v>381</v>
      </c>
      <c r="B46" s="869" t="s">
        <v>382</v>
      </c>
      <c r="C46" s="1058"/>
      <c r="D46" s="1059">
        <f>D45</f>
        <v>1400000</v>
      </c>
      <c r="E46" s="1067"/>
      <c r="F46" s="1051"/>
      <c r="G46" s="1052" t="s">
        <v>381</v>
      </c>
      <c r="H46" s="869" t="s">
        <v>382</v>
      </c>
      <c r="I46" s="1058"/>
      <c r="J46" s="1059">
        <f>J45</f>
        <v>1400000</v>
      </c>
    </row>
    <row r="47" spans="1:15" ht="15" customHeight="1">
      <c r="A47" s="1068" t="s">
        <v>383</v>
      </c>
      <c r="B47" s="1069" t="s">
        <v>384</v>
      </c>
      <c r="C47" s="1070"/>
      <c r="D47" s="1071" t="e">
        <f>SUM(D36:D43)-D46</f>
        <v>#N/A</v>
      </c>
      <c r="E47" s="1072"/>
      <c r="F47" s="1073"/>
      <c r="G47" s="1068" t="s">
        <v>383</v>
      </c>
      <c r="H47" s="1069" t="s">
        <v>384</v>
      </c>
      <c r="I47" s="1070"/>
      <c r="J47" s="1071" t="e">
        <f>SUM(J36:J43)-J46</f>
        <v>#N/A</v>
      </c>
    </row>
    <row r="48" spans="1:15" ht="18.75" customHeight="1">
      <c r="A48" s="1074"/>
      <c r="B48" s="1075"/>
      <c r="C48" s="1076"/>
      <c r="D48" s="1077"/>
      <c r="E48" s="1077"/>
      <c r="F48" s="1078"/>
      <c r="G48" s="1074"/>
      <c r="H48" s="1075"/>
      <c r="I48" s="1076"/>
      <c r="J48" s="1077"/>
    </row>
    <row r="49" spans="1:15" ht="18.75" customHeight="1">
      <c r="A49" s="1075"/>
      <c r="B49" s="1075"/>
      <c r="C49" s="1079"/>
      <c r="D49" s="1080"/>
      <c r="E49" s="1075"/>
      <c r="F49" s="1081"/>
      <c r="G49" s="1075"/>
      <c r="H49" s="1075"/>
      <c r="I49" s="1079"/>
      <c r="J49" s="1080"/>
    </row>
    <row r="50" spans="1:15" ht="15" customHeight="1">
      <c r="A50" s="2242" t="str">
        <f>$K$2</f>
        <v>THÁNG 09/2024</v>
      </c>
      <c r="B50" s="2242"/>
      <c r="C50" s="2242"/>
      <c r="D50" s="2242"/>
      <c r="E50" s="1050"/>
      <c r="F50" s="1051"/>
      <c r="G50" s="2242" t="str">
        <f>$K$2</f>
        <v>THÁNG 09/2024</v>
      </c>
      <c r="H50" s="2242"/>
      <c r="I50" s="2242"/>
      <c r="J50" s="2242"/>
      <c r="K50" s="624"/>
    </row>
    <row r="51" spans="1:15" ht="15" customHeight="1">
      <c r="A51" s="1052" t="s">
        <v>356</v>
      </c>
      <c r="B51" s="1053" t="s">
        <v>389</v>
      </c>
      <c r="C51" s="869"/>
      <c r="D51" s="1049"/>
      <c r="E51" s="1054"/>
      <c r="F51" s="1055"/>
      <c r="G51" s="1052" t="s">
        <v>356</v>
      </c>
      <c r="H51" s="1053" t="s">
        <v>390</v>
      </c>
      <c r="I51" s="869"/>
      <c r="J51" s="1049"/>
      <c r="L51" s="1088"/>
      <c r="M51" s="1088"/>
      <c r="N51" s="1088"/>
      <c r="O51" s="1088"/>
    </row>
    <row r="52" spans="1:15" ht="15" customHeight="1">
      <c r="A52" s="1052" t="s">
        <v>359</v>
      </c>
      <c r="B52" s="1089" t="s">
        <v>360</v>
      </c>
      <c r="C52" s="1058" t="e">
        <f>VLOOKUP(B51,'LƯƠNG KT'!$D$15:$U$94,3,0)</f>
        <v>#N/A</v>
      </c>
      <c r="D52" s="1059" t="e">
        <f>+C52*25000</f>
        <v>#N/A</v>
      </c>
      <c r="E52" s="1060"/>
      <c r="F52" s="1060"/>
      <c r="G52" s="1052" t="s">
        <v>359</v>
      </c>
      <c r="H52" s="1089" t="s">
        <v>360</v>
      </c>
      <c r="I52" s="1058" t="e">
        <f>VLOOKUP(H51,'LƯƠNG KT'!$D$15:$U$94,3,0)</f>
        <v>#N/A</v>
      </c>
      <c r="J52" s="1059" t="e">
        <f>+I52*25000</f>
        <v>#N/A</v>
      </c>
      <c r="K52" s="1085"/>
      <c r="L52" s="1085"/>
      <c r="M52" s="1085"/>
      <c r="N52" s="1085"/>
      <c r="O52" s="1085"/>
    </row>
    <row r="53" spans="1:15" ht="15" customHeight="1">
      <c r="A53" s="1052" t="s">
        <v>361</v>
      </c>
      <c r="B53" s="869" t="s">
        <v>362</v>
      </c>
      <c r="C53" s="1058" t="e">
        <f>VLOOKUP(B51,'LƯƠNG KT'!$D$15:$U$94,14,0)</f>
        <v>#N/A</v>
      </c>
      <c r="D53" s="1059" t="e">
        <f>C53*$L$4</f>
        <v>#N/A</v>
      </c>
      <c r="E53" s="1061"/>
      <c r="F53" s="1061"/>
      <c r="G53" s="1052" t="s">
        <v>361</v>
      </c>
      <c r="H53" s="869" t="s">
        <v>362</v>
      </c>
      <c r="I53" s="1058" t="e">
        <f>VLOOKUP(H51,'LƯƠNG KT'!$D$15:$U$94,14,0)</f>
        <v>#N/A</v>
      </c>
      <c r="J53" s="1059" t="e">
        <f>I53*$L$4</f>
        <v>#N/A</v>
      </c>
      <c r="K53" s="1085"/>
      <c r="L53" s="1085"/>
      <c r="M53" s="1085"/>
      <c r="N53" s="1085"/>
      <c r="O53" s="1085"/>
    </row>
    <row r="54" spans="1:15" ht="15" customHeight="1">
      <c r="A54" s="1052" t="s">
        <v>364</v>
      </c>
      <c r="B54" s="869" t="s">
        <v>365</v>
      </c>
      <c r="C54" s="1058" t="e">
        <f>VLOOKUP(B51,'LƯƠNG KT'!$D$15:$U$94,15,0)</f>
        <v>#N/A</v>
      </c>
      <c r="D54" s="1059" t="e">
        <f>C54*$L$5</f>
        <v>#N/A</v>
      </c>
      <c r="E54" s="1061"/>
      <c r="F54" s="1061"/>
      <c r="G54" s="1052" t="s">
        <v>364</v>
      </c>
      <c r="H54" s="869" t="s">
        <v>365</v>
      </c>
      <c r="I54" s="1058" t="e">
        <f>VLOOKUP(H51,'LƯƠNG KT'!$D$15:$U$94,15,0)</f>
        <v>#N/A</v>
      </c>
      <c r="J54" s="1059" t="e">
        <f>I54*$L$5</f>
        <v>#N/A</v>
      </c>
      <c r="K54" s="1085"/>
      <c r="L54" s="1085"/>
      <c r="M54" s="1085"/>
      <c r="N54" s="1085"/>
      <c r="O54" s="1085"/>
    </row>
    <row r="55" spans="1:15" ht="15" customHeight="1">
      <c r="A55" s="1052" t="s">
        <v>367</v>
      </c>
      <c r="B55" s="869"/>
      <c r="C55" s="1058" t="e">
        <f>VLOOKUP(B51,'LƯƠNG KT'!$D$15:$U$94,16,0)</f>
        <v>#N/A</v>
      </c>
      <c r="D55" s="1059" t="e">
        <f>+C55*$L$6</f>
        <v>#N/A</v>
      </c>
      <c r="E55" s="1061"/>
      <c r="F55" s="1061"/>
      <c r="G55" s="1052" t="s">
        <v>367</v>
      </c>
      <c r="H55" s="869"/>
      <c r="I55" s="1058" t="e">
        <f>VLOOKUP(H51,'LƯƠNG KT'!$D$15:$U$94,16,0)</f>
        <v>#N/A</v>
      </c>
      <c r="J55" s="1059" t="e">
        <f>+I55*$L$6</f>
        <v>#N/A</v>
      </c>
      <c r="K55" s="1085"/>
      <c r="L55" s="1085"/>
      <c r="M55" s="1085"/>
      <c r="N55" s="1085"/>
      <c r="O55" s="1085"/>
    </row>
    <row r="56" spans="1:15" ht="15" customHeight="1">
      <c r="A56" s="1052"/>
      <c r="B56" s="869"/>
      <c r="C56" s="1058"/>
      <c r="D56" s="1059"/>
      <c r="E56" s="1061"/>
      <c r="F56" s="1061"/>
      <c r="G56" s="1052"/>
      <c r="H56" s="869"/>
      <c r="I56" s="1058"/>
      <c r="J56" s="1059"/>
      <c r="K56" s="1085"/>
      <c r="L56" s="1085"/>
      <c r="M56" s="1085"/>
      <c r="N56" s="1085"/>
      <c r="O56" s="1085"/>
    </row>
    <row r="57" spans="1:15" ht="15" customHeight="1">
      <c r="A57" s="1052"/>
      <c r="B57" s="869"/>
      <c r="C57" s="1058"/>
      <c r="D57" s="1059"/>
      <c r="E57" s="1061"/>
      <c r="F57" s="1061"/>
      <c r="G57" s="1052"/>
      <c r="H57" s="869"/>
      <c r="I57" s="1058"/>
      <c r="J57" s="1059"/>
      <c r="K57" s="1085"/>
      <c r="L57" s="1085"/>
      <c r="M57" s="1085"/>
      <c r="N57" s="1085"/>
      <c r="O57" s="1085"/>
    </row>
    <row r="58" spans="1:15" ht="15" customHeight="1">
      <c r="A58" s="1052" t="s">
        <v>371</v>
      </c>
      <c r="B58" s="869" t="s">
        <v>372</v>
      </c>
      <c r="C58" s="1058" t="e">
        <f>VLOOKUP(B51,'LƯƠNG KT'!$D$15:$U$94,9,0)*$L$10</f>
        <v>#N/A</v>
      </c>
      <c r="D58" s="1059" t="e">
        <f>+C58*0.5*3000</f>
        <v>#N/A</v>
      </c>
      <c r="E58" s="1061"/>
      <c r="F58" s="1061"/>
      <c r="G58" s="1052" t="s">
        <v>371</v>
      </c>
      <c r="H58" s="869" t="s">
        <v>372</v>
      </c>
      <c r="I58" s="1058" t="e">
        <f>VLOOKUP(H51,'LƯƠNG KT'!$D$15:$U$94,9,0)*$L$10</f>
        <v>#N/A</v>
      </c>
      <c r="J58" s="1059" t="e">
        <f>+I58*0.5*3000</f>
        <v>#N/A</v>
      </c>
      <c r="K58" s="1085"/>
      <c r="L58" s="1085"/>
      <c r="M58" s="1085"/>
      <c r="N58" s="1085"/>
      <c r="O58" s="1085"/>
    </row>
    <row r="59" spans="1:15" ht="15" customHeight="1">
      <c r="A59" s="1052" t="s">
        <v>374</v>
      </c>
      <c r="B59" s="869" t="s">
        <v>375</v>
      </c>
      <c r="C59" s="1058" t="e">
        <f>VLOOKUP(B51,'LƯƠNG KT'!$D$15:$U$94,8,0)*$L$11</f>
        <v>#N/A</v>
      </c>
      <c r="D59" s="1059" t="e">
        <f>VLOOKUP(B51,'LƯƠNG KT'!$D$15:$U$94,13,0)-D58</f>
        <v>#N/A</v>
      </c>
      <c r="E59" s="1063"/>
      <c r="F59" s="1061"/>
      <c r="G59" s="1052" t="s">
        <v>374</v>
      </c>
      <c r="H59" s="869" t="s">
        <v>375</v>
      </c>
      <c r="I59" s="1058" t="e">
        <f>VLOOKUP(H51,'LƯƠNG KT'!$D$15:$U$94,8,0)*$L$11</f>
        <v>#N/A</v>
      </c>
      <c r="J59" s="1059" t="e">
        <f>VLOOKUP(H51,'LƯƠNG KT'!$D$15:$U$94,13,0)-J58</f>
        <v>#N/A</v>
      </c>
      <c r="K59" s="1085"/>
      <c r="L59" s="1085"/>
      <c r="M59" s="1085"/>
      <c r="N59" s="1085"/>
      <c r="O59" s="1085"/>
    </row>
    <row r="60" spans="1:15" ht="15" customHeight="1">
      <c r="A60" s="1059" t="s">
        <v>377</v>
      </c>
      <c r="B60" s="869" t="s">
        <v>378</v>
      </c>
      <c r="C60" s="1058"/>
      <c r="D60" s="1059"/>
      <c r="E60" s="1065"/>
      <c r="F60" s="1065"/>
      <c r="G60" s="1059" t="s">
        <v>377</v>
      </c>
      <c r="H60" s="869" t="s">
        <v>378</v>
      </c>
      <c r="I60" s="1058"/>
      <c r="J60" s="1059"/>
    </row>
    <row r="61" spans="1:15" ht="15" customHeight="1">
      <c r="A61" s="1066" t="s">
        <v>379</v>
      </c>
      <c r="B61" s="869" t="s">
        <v>380</v>
      </c>
      <c r="C61" s="1058"/>
      <c r="D61" s="1059">
        <f>56*25000</f>
        <v>1400000</v>
      </c>
      <c r="E61" s="1063"/>
      <c r="F61" s="1065"/>
      <c r="G61" s="1066" t="s">
        <v>379</v>
      </c>
      <c r="H61" s="869" t="s">
        <v>380</v>
      </c>
      <c r="I61" s="1058"/>
      <c r="J61" s="1059">
        <f>56*25000</f>
        <v>1400000</v>
      </c>
    </row>
    <row r="62" spans="1:15" ht="15" customHeight="1">
      <c r="A62" s="1052" t="s">
        <v>381</v>
      </c>
      <c r="B62" s="869" t="s">
        <v>382</v>
      </c>
      <c r="C62" s="1058"/>
      <c r="D62" s="1059">
        <f>D61</f>
        <v>1400000</v>
      </c>
      <c r="E62" s="1067"/>
      <c r="F62" s="1051"/>
      <c r="G62" s="1052" t="s">
        <v>381</v>
      </c>
      <c r="H62" s="869" t="s">
        <v>382</v>
      </c>
      <c r="I62" s="1058"/>
      <c r="J62" s="1059">
        <f>J61</f>
        <v>1400000</v>
      </c>
    </row>
    <row r="63" spans="1:15" ht="15" customHeight="1">
      <c r="A63" s="1068" t="s">
        <v>383</v>
      </c>
      <c r="B63" s="1069" t="s">
        <v>384</v>
      </c>
      <c r="C63" s="1070"/>
      <c r="D63" s="1071" t="e">
        <f>SUM(D52:D59)-D62</f>
        <v>#N/A</v>
      </c>
      <c r="E63" s="1072"/>
      <c r="F63" s="1073"/>
      <c r="G63" s="1068" t="s">
        <v>383</v>
      </c>
      <c r="H63" s="1069" t="s">
        <v>384</v>
      </c>
      <c r="I63" s="1070"/>
      <c r="J63" s="1071" t="e">
        <f>SUM(J52:J59)-J62</f>
        <v>#N/A</v>
      </c>
    </row>
    <row r="64" spans="1:15" ht="15.75" customHeight="1">
      <c r="A64" s="1074"/>
      <c r="B64" s="1075"/>
      <c r="C64" s="1076"/>
      <c r="D64" s="1077"/>
      <c r="E64" s="1077"/>
      <c r="F64" s="1078"/>
      <c r="G64" s="1074"/>
      <c r="H64" s="1075"/>
      <c r="I64" s="1076"/>
      <c r="J64" s="1077"/>
    </row>
    <row r="66" spans="1:15" ht="12" customHeight="1">
      <c r="A66" s="2243"/>
      <c r="B66" s="2243"/>
      <c r="C66" s="2243"/>
      <c r="D66" s="2243"/>
      <c r="E66" s="2243"/>
      <c r="F66" s="2243"/>
      <c r="G66" s="2243"/>
      <c r="H66" s="2243"/>
      <c r="I66" s="2243"/>
      <c r="J66" s="2243"/>
    </row>
    <row r="67" spans="1:15" ht="15" customHeight="1">
      <c r="A67" s="2242" t="str">
        <f>$K$2</f>
        <v>THÁNG 09/2024</v>
      </c>
      <c r="B67" s="2242"/>
      <c r="C67" s="2242"/>
      <c r="D67" s="2242"/>
      <c r="E67" s="1050"/>
      <c r="F67" s="1051"/>
      <c r="G67" s="2242" t="str">
        <f>$K$2</f>
        <v>THÁNG 09/2024</v>
      </c>
      <c r="H67" s="2242"/>
      <c r="I67" s="2242"/>
      <c r="J67" s="2242"/>
      <c r="K67" s="624"/>
    </row>
    <row r="68" spans="1:15" ht="15" customHeight="1">
      <c r="A68" s="1052" t="s">
        <v>356</v>
      </c>
      <c r="B68" s="1053" t="s">
        <v>391</v>
      </c>
      <c r="C68" s="869"/>
      <c r="D68" s="1049"/>
      <c r="E68" s="1054"/>
      <c r="F68" s="1055"/>
      <c r="G68" s="1052" t="s">
        <v>356</v>
      </c>
      <c r="H68" s="1053" t="s">
        <v>392</v>
      </c>
      <c r="I68" s="869"/>
      <c r="J68" s="1049"/>
      <c r="L68" s="1088"/>
      <c r="M68" s="1088"/>
      <c r="N68" s="1088"/>
      <c r="O68" s="1088"/>
    </row>
    <row r="69" spans="1:15" ht="15" customHeight="1">
      <c r="A69" s="1052" t="s">
        <v>359</v>
      </c>
      <c r="B69" s="1089" t="s">
        <v>360</v>
      </c>
      <c r="C69" s="1058" t="e">
        <f>VLOOKUP(B68,'LƯƠNG KT'!$D$15:$U$94,3,0)</f>
        <v>#N/A</v>
      </c>
      <c r="D69" s="1059" t="e">
        <f>+C69*25000</f>
        <v>#N/A</v>
      </c>
      <c r="E69" s="1060"/>
      <c r="F69" s="1060"/>
      <c r="G69" s="1052" t="s">
        <v>359</v>
      </c>
      <c r="H69" s="1089" t="s">
        <v>360</v>
      </c>
      <c r="I69" s="1058" t="e">
        <f>VLOOKUP(H68,'LƯƠNG KT'!$D$15:$U$94,3,0)</f>
        <v>#N/A</v>
      </c>
      <c r="J69" s="1059" t="e">
        <f>+I69*25000</f>
        <v>#N/A</v>
      </c>
      <c r="K69" s="1084"/>
      <c r="L69" s="1085"/>
      <c r="M69" s="1085"/>
      <c r="N69" s="1085"/>
      <c r="O69" s="1085"/>
    </row>
    <row r="70" spans="1:15" ht="15" customHeight="1">
      <c r="A70" s="1052" t="s">
        <v>361</v>
      </c>
      <c r="B70" s="869" t="s">
        <v>362</v>
      </c>
      <c r="C70" s="1058" t="e">
        <f>VLOOKUP(B68,'LƯƠNG KT'!$D$15:$U$94,14,0)</f>
        <v>#N/A</v>
      </c>
      <c r="D70" s="1059" t="e">
        <f>C70*$L$4</f>
        <v>#N/A</v>
      </c>
      <c r="E70" s="1061"/>
      <c r="F70" s="1061"/>
      <c r="G70" s="1052" t="s">
        <v>361</v>
      </c>
      <c r="H70" s="869" t="s">
        <v>362</v>
      </c>
      <c r="I70" s="1058" t="e">
        <f>VLOOKUP(H68,'LƯƠNG KT'!$D$15:$U$94,14,0)</f>
        <v>#N/A</v>
      </c>
      <c r="J70" s="1059" t="e">
        <f>I70*$L$4</f>
        <v>#N/A</v>
      </c>
      <c r="K70" s="1084"/>
      <c r="L70" s="1085"/>
      <c r="M70" s="1085"/>
      <c r="N70" s="1085"/>
      <c r="O70" s="1085"/>
    </row>
    <row r="71" spans="1:15" ht="15" customHeight="1">
      <c r="A71" s="1052" t="s">
        <v>364</v>
      </c>
      <c r="B71" s="869" t="s">
        <v>365</v>
      </c>
      <c r="C71" s="1058" t="e">
        <f>VLOOKUP(B68,'LƯƠNG KT'!$D$15:$U$94,15,0)</f>
        <v>#N/A</v>
      </c>
      <c r="D71" s="1059" t="e">
        <f>C71*$L$5</f>
        <v>#N/A</v>
      </c>
      <c r="E71" s="1061"/>
      <c r="F71" s="1061"/>
      <c r="G71" s="1052" t="s">
        <v>364</v>
      </c>
      <c r="H71" s="869" t="s">
        <v>365</v>
      </c>
      <c r="I71" s="1058" t="e">
        <f>VLOOKUP(H68,'LƯƠNG KT'!$D$15:$U$94,15,0)</f>
        <v>#N/A</v>
      </c>
      <c r="J71" s="1059" t="e">
        <f>I71*$L$5</f>
        <v>#N/A</v>
      </c>
      <c r="K71" s="1084"/>
      <c r="L71" s="1085"/>
      <c r="M71" s="1085"/>
      <c r="N71" s="1085"/>
      <c r="O71" s="1085"/>
    </row>
    <row r="72" spans="1:15" ht="15" customHeight="1">
      <c r="A72" s="1052" t="s">
        <v>367</v>
      </c>
      <c r="B72" s="869"/>
      <c r="C72" s="1058" t="e">
        <f>VLOOKUP(B68,'LƯƠNG KT'!$D$15:$U$94,16,0)</f>
        <v>#N/A</v>
      </c>
      <c r="D72" s="1059" t="e">
        <f>+C72*$L$6</f>
        <v>#N/A</v>
      </c>
      <c r="E72" s="1061"/>
      <c r="F72" s="1061"/>
      <c r="G72" s="1052" t="s">
        <v>367</v>
      </c>
      <c r="H72" s="869"/>
      <c r="I72" s="1058" t="e">
        <f>VLOOKUP(H68,'LƯƠNG KT'!$D$15:$U$94,16,0)</f>
        <v>#N/A</v>
      </c>
      <c r="J72" s="1059" t="e">
        <f>+I72*$L$6</f>
        <v>#N/A</v>
      </c>
      <c r="K72" s="1085"/>
      <c r="L72" s="1085"/>
      <c r="M72" s="1085"/>
      <c r="N72" s="1085"/>
      <c r="O72" s="1085"/>
    </row>
    <row r="73" spans="1:15" ht="15" customHeight="1">
      <c r="A73" s="1052"/>
      <c r="B73" s="869"/>
      <c r="C73" s="1058"/>
      <c r="D73" s="1059"/>
      <c r="E73" s="1061"/>
      <c r="F73" s="1061"/>
      <c r="G73" s="1052"/>
      <c r="H73" s="869"/>
      <c r="I73" s="1058"/>
      <c r="J73" s="1059"/>
      <c r="K73" s="1085"/>
      <c r="L73" s="1085"/>
      <c r="M73" s="1085"/>
      <c r="N73" s="1085"/>
      <c r="O73" s="1085"/>
    </row>
    <row r="74" spans="1:15" ht="15" customHeight="1">
      <c r="A74" s="1052"/>
      <c r="B74" s="869"/>
      <c r="C74" s="1058"/>
      <c r="D74" s="1059"/>
      <c r="E74" s="1061"/>
      <c r="F74" s="1061"/>
      <c r="G74" s="1052"/>
      <c r="H74" s="869"/>
      <c r="I74" s="1058"/>
      <c r="J74" s="1059"/>
      <c r="K74" s="1085"/>
      <c r="L74" s="1085"/>
      <c r="M74" s="1085"/>
      <c r="N74" s="1085"/>
      <c r="O74" s="1085"/>
    </row>
    <row r="75" spans="1:15" ht="15" customHeight="1">
      <c r="A75" s="1052" t="s">
        <v>371</v>
      </c>
      <c r="B75" s="869" t="s">
        <v>372</v>
      </c>
      <c r="C75" s="1058" t="e">
        <f>VLOOKUP(B68,'LƯƠNG KT'!$D$15:$U$94,9,0)*$L$10</f>
        <v>#N/A</v>
      </c>
      <c r="D75" s="1059" t="e">
        <f>+C75*0.5*3000</f>
        <v>#N/A</v>
      </c>
      <c r="E75" s="1061"/>
      <c r="F75" s="1061"/>
      <c r="G75" s="1052" t="s">
        <v>371</v>
      </c>
      <c r="H75" s="869" t="s">
        <v>372</v>
      </c>
      <c r="I75" s="1058" t="e">
        <f>VLOOKUP(H68,'LƯƠNG KT'!$D$15:$U$94,9,0)*$L$10</f>
        <v>#N/A</v>
      </c>
      <c r="J75" s="1059" t="e">
        <f>+I75*0.5*3000</f>
        <v>#N/A</v>
      </c>
      <c r="K75" s="1085"/>
      <c r="L75" s="1085"/>
      <c r="M75" s="1085"/>
      <c r="N75" s="1085"/>
      <c r="O75" s="1085"/>
    </row>
    <row r="76" spans="1:15" ht="15" customHeight="1">
      <c r="A76" s="1052" t="s">
        <v>374</v>
      </c>
      <c r="B76" s="869" t="s">
        <v>375</v>
      </c>
      <c r="C76" s="1058" t="e">
        <f>VLOOKUP(B68,'LƯƠNG KT'!$D$15:$U$94,8,0)*$L$11</f>
        <v>#N/A</v>
      </c>
      <c r="D76" s="1059" t="e">
        <f>VLOOKUP(B68,'LƯƠNG KT'!$D$15:$U$94,13,0)-D75</f>
        <v>#N/A</v>
      </c>
      <c r="E76" s="1063"/>
      <c r="F76" s="1061"/>
      <c r="G76" s="1052" t="s">
        <v>374</v>
      </c>
      <c r="H76" s="869" t="s">
        <v>375</v>
      </c>
      <c r="I76" s="1058" t="e">
        <f>VLOOKUP(H68,'LƯƠNG KT'!$D$15:$U$94,8,0)*$L$11</f>
        <v>#N/A</v>
      </c>
      <c r="J76" s="1059" t="e">
        <f>VLOOKUP(H68,'LƯƠNG KT'!$D$15:$U$94,13,0)-J75</f>
        <v>#N/A</v>
      </c>
      <c r="K76" s="1085"/>
      <c r="L76" s="1085"/>
      <c r="M76" s="1085"/>
      <c r="N76" s="1085"/>
      <c r="O76" s="1085"/>
    </row>
    <row r="77" spans="1:15" ht="15" customHeight="1">
      <c r="A77" s="1059" t="s">
        <v>377</v>
      </c>
      <c r="B77" s="869" t="s">
        <v>378</v>
      </c>
      <c r="C77" s="1058"/>
      <c r="D77" s="1059"/>
      <c r="E77" s="1065"/>
      <c r="F77" s="1065"/>
      <c r="G77" s="1059" t="s">
        <v>377</v>
      </c>
      <c r="H77" s="869" t="s">
        <v>378</v>
      </c>
      <c r="I77" s="1058"/>
      <c r="J77" s="1059"/>
    </row>
    <row r="78" spans="1:15" ht="15" customHeight="1">
      <c r="A78" s="1066" t="s">
        <v>379</v>
      </c>
      <c r="B78" s="869" t="s">
        <v>380</v>
      </c>
      <c r="C78" s="1058"/>
      <c r="D78" s="1059">
        <f>56*25000</f>
        <v>1400000</v>
      </c>
      <c r="E78" s="1063"/>
      <c r="F78" s="1065"/>
      <c r="G78" s="1066" t="s">
        <v>379</v>
      </c>
      <c r="H78" s="869" t="s">
        <v>380</v>
      </c>
      <c r="I78" s="1058"/>
      <c r="J78" s="1059">
        <f>56*25000</f>
        <v>1400000</v>
      </c>
    </row>
    <row r="79" spans="1:15" ht="15" customHeight="1">
      <c r="A79" s="1052" t="s">
        <v>381</v>
      </c>
      <c r="B79" s="869" t="s">
        <v>382</v>
      </c>
      <c r="C79" s="1058"/>
      <c r="D79" s="1059">
        <f>D78</f>
        <v>1400000</v>
      </c>
      <c r="E79" s="1067"/>
      <c r="F79" s="1051"/>
      <c r="G79" s="1052" t="s">
        <v>381</v>
      </c>
      <c r="H79" s="869" t="s">
        <v>382</v>
      </c>
      <c r="I79" s="1058"/>
      <c r="J79" s="1059">
        <f>J78</f>
        <v>1400000</v>
      </c>
    </row>
    <row r="80" spans="1:15" ht="15" customHeight="1">
      <c r="A80" s="1068" t="s">
        <v>383</v>
      </c>
      <c r="B80" s="1069" t="s">
        <v>384</v>
      </c>
      <c r="C80" s="1070"/>
      <c r="D80" s="1071" t="e">
        <f>SUM(D69:D76)-D79</f>
        <v>#N/A</v>
      </c>
      <c r="E80" s="1072"/>
      <c r="F80" s="1073"/>
      <c r="G80" s="1068" t="s">
        <v>383</v>
      </c>
      <c r="H80" s="1069" t="s">
        <v>384</v>
      </c>
      <c r="I80" s="1070"/>
      <c r="J80" s="1071" t="e">
        <f>SUM(J69:J76)-J79</f>
        <v>#N/A</v>
      </c>
    </row>
    <row r="81" spans="1:15" ht="12.6" customHeight="1">
      <c r="A81" s="1074"/>
      <c r="B81" s="1075"/>
      <c r="C81" s="1076"/>
      <c r="D81" s="1077"/>
      <c r="E81" s="1077"/>
      <c r="F81" s="1078"/>
      <c r="G81" s="1074"/>
      <c r="H81" s="1075"/>
      <c r="I81" s="1076"/>
      <c r="J81" s="1077"/>
    </row>
    <row r="82" spans="1:15" ht="12.6" customHeight="1">
      <c r="A82" s="1075"/>
      <c r="B82" s="1075"/>
      <c r="C82" s="1079"/>
      <c r="D82" s="1080"/>
      <c r="E82" s="1075"/>
      <c r="F82" s="1081"/>
      <c r="G82" s="1075"/>
      <c r="H82" s="1075"/>
      <c r="I82" s="1079"/>
      <c r="J82" s="1080"/>
    </row>
    <row r="83" spans="1:15" ht="15" customHeight="1">
      <c r="A83" s="2242" t="str">
        <f>$K$2</f>
        <v>THÁNG 09/2024</v>
      </c>
      <c r="B83" s="2242"/>
      <c r="C83" s="2242"/>
      <c r="D83" s="2242"/>
      <c r="E83" s="1050"/>
      <c r="F83" s="1051"/>
      <c r="G83" s="2242" t="str">
        <f>$K$2</f>
        <v>THÁNG 09/2024</v>
      </c>
      <c r="H83" s="2242"/>
      <c r="I83" s="2242"/>
      <c r="J83" s="2242"/>
      <c r="K83" s="624"/>
    </row>
    <row r="84" spans="1:15" ht="15" customHeight="1">
      <c r="A84" s="1052" t="s">
        <v>356</v>
      </c>
      <c r="B84" s="1053" t="s">
        <v>393</v>
      </c>
      <c r="C84" s="869"/>
      <c r="D84" s="1049"/>
      <c r="E84" s="1054"/>
      <c r="F84" s="1055"/>
      <c r="G84" s="1052" t="s">
        <v>356</v>
      </c>
      <c r="H84" s="1053" t="s">
        <v>394</v>
      </c>
      <c r="I84" s="869"/>
      <c r="J84" s="1049"/>
      <c r="L84" s="1088"/>
      <c r="M84" s="1088"/>
      <c r="N84" s="1088"/>
      <c r="O84" s="1088"/>
    </row>
    <row r="85" spans="1:15" ht="15" customHeight="1">
      <c r="A85" s="1052" t="s">
        <v>359</v>
      </c>
      <c r="B85" s="1089" t="s">
        <v>360</v>
      </c>
      <c r="C85" s="1058" t="e">
        <f>VLOOKUP(B84,'LƯƠNG KT'!$D$15:$U$94,3,0)</f>
        <v>#N/A</v>
      </c>
      <c r="D85" s="1059" t="e">
        <f>+C85*25000</f>
        <v>#N/A</v>
      </c>
      <c r="E85" s="1060"/>
      <c r="F85" s="1060"/>
      <c r="G85" s="1052" t="s">
        <v>359</v>
      </c>
      <c r="H85" s="1089" t="s">
        <v>360</v>
      </c>
      <c r="I85" s="1058" t="e">
        <f>VLOOKUP(H84,'LƯƠNG KT'!$D$15:$U$94,3,0)</f>
        <v>#N/A</v>
      </c>
      <c r="J85" s="1059" t="e">
        <f>+I85*25000</f>
        <v>#N/A</v>
      </c>
      <c r="K85" s="1085"/>
      <c r="L85" s="1085"/>
      <c r="M85" s="1085"/>
      <c r="N85" s="1085"/>
      <c r="O85" s="1085"/>
    </row>
    <row r="86" spans="1:15" ht="15" customHeight="1">
      <c r="A86" s="1052" t="s">
        <v>361</v>
      </c>
      <c r="B86" s="869" t="s">
        <v>362</v>
      </c>
      <c r="C86" s="1058" t="e">
        <f>VLOOKUP(B84,'LƯƠNG KT'!$D$15:$U$94,14,0)</f>
        <v>#N/A</v>
      </c>
      <c r="D86" s="1059" t="e">
        <f>C86*$L$4</f>
        <v>#N/A</v>
      </c>
      <c r="E86" s="1061"/>
      <c r="F86" s="1061"/>
      <c r="G86" s="1052" t="s">
        <v>361</v>
      </c>
      <c r="H86" s="869" t="s">
        <v>362</v>
      </c>
      <c r="I86" s="1058" t="e">
        <f>VLOOKUP(H84,'LƯƠNG KT'!$D$15:$U$94,14,0)</f>
        <v>#N/A</v>
      </c>
      <c r="J86" s="1059" t="e">
        <f>I86*$L$4</f>
        <v>#N/A</v>
      </c>
      <c r="K86" s="1085"/>
      <c r="L86" s="1085"/>
      <c r="M86" s="1085"/>
      <c r="N86" s="1085"/>
      <c r="O86" s="1085"/>
    </row>
    <row r="87" spans="1:15" ht="15" customHeight="1">
      <c r="A87" s="1052" t="s">
        <v>364</v>
      </c>
      <c r="B87" s="869" t="s">
        <v>365</v>
      </c>
      <c r="C87" s="1058" t="e">
        <f>VLOOKUP(B84,'LƯƠNG KT'!$D$15:$U$94,15,0)</f>
        <v>#N/A</v>
      </c>
      <c r="D87" s="1059" t="e">
        <f>C87*$L$5</f>
        <v>#N/A</v>
      </c>
      <c r="E87" s="1061"/>
      <c r="F87" s="1061"/>
      <c r="G87" s="1052" t="s">
        <v>364</v>
      </c>
      <c r="H87" s="869" t="s">
        <v>365</v>
      </c>
      <c r="I87" s="1058" t="e">
        <f>VLOOKUP(H84,'LƯƠNG KT'!$D$15:$U$94,15,0)</f>
        <v>#N/A</v>
      </c>
      <c r="J87" s="1059" t="e">
        <f>I87*$L$5</f>
        <v>#N/A</v>
      </c>
      <c r="K87" s="1085"/>
      <c r="L87" s="1085"/>
      <c r="M87" s="1085"/>
      <c r="N87" s="1085"/>
      <c r="O87" s="1085"/>
    </row>
    <row r="88" spans="1:15" ht="15" customHeight="1">
      <c r="A88" s="1052" t="s">
        <v>367</v>
      </c>
      <c r="B88" s="869"/>
      <c r="C88" s="1058" t="e">
        <f>VLOOKUP(B84,'LƯƠNG KT'!$D$15:$U$94,16,0)</f>
        <v>#N/A</v>
      </c>
      <c r="D88" s="1059" t="e">
        <f>+C88*$L$6</f>
        <v>#N/A</v>
      </c>
      <c r="E88" s="1061"/>
      <c r="F88" s="1061"/>
      <c r="G88" s="1052" t="s">
        <v>367</v>
      </c>
      <c r="H88" s="869"/>
      <c r="I88" s="1058" t="e">
        <f>VLOOKUP(H84,'LƯƠNG KT'!$D$15:$U$94,16,0)</f>
        <v>#N/A</v>
      </c>
      <c r="J88" s="1059" t="e">
        <f>+I88*$L$6</f>
        <v>#N/A</v>
      </c>
      <c r="K88" s="1085"/>
      <c r="L88" s="1085"/>
      <c r="M88" s="1085"/>
      <c r="N88" s="1085"/>
      <c r="O88" s="1085"/>
    </row>
    <row r="89" spans="1:15" ht="15" customHeight="1">
      <c r="A89" s="1052"/>
      <c r="B89" s="869"/>
      <c r="C89" s="1058"/>
      <c r="D89" s="1059"/>
      <c r="E89" s="1061"/>
      <c r="F89" s="1061"/>
      <c r="G89" s="1052"/>
      <c r="H89" s="869"/>
      <c r="I89" s="1058"/>
      <c r="J89" s="1059"/>
      <c r="K89" s="1085"/>
      <c r="L89" s="1085"/>
      <c r="M89" s="1085"/>
      <c r="N89" s="1085"/>
      <c r="O89" s="1085"/>
    </row>
    <row r="90" spans="1:15" ht="15" customHeight="1">
      <c r="A90" s="1052"/>
      <c r="B90" s="869"/>
      <c r="C90" s="1058"/>
      <c r="D90" s="1059"/>
      <c r="E90" s="1061"/>
      <c r="F90" s="1061"/>
      <c r="G90" s="1052"/>
      <c r="H90" s="869"/>
      <c r="I90" s="1058"/>
      <c r="J90" s="1059"/>
      <c r="K90" s="1085"/>
      <c r="L90" s="1085"/>
      <c r="M90" s="1085"/>
      <c r="N90" s="1085"/>
      <c r="O90" s="1085"/>
    </row>
    <row r="91" spans="1:15" ht="15" customHeight="1">
      <c r="A91" s="1052" t="s">
        <v>371</v>
      </c>
      <c r="B91" s="869" t="s">
        <v>372</v>
      </c>
      <c r="C91" s="1058" t="e">
        <f>VLOOKUP(B84,'LƯƠNG KT'!$D$15:$U$94,9,0)*$L$10</f>
        <v>#N/A</v>
      </c>
      <c r="D91" s="1059" t="e">
        <f>+C91*0.5*3000</f>
        <v>#N/A</v>
      </c>
      <c r="E91" s="1061"/>
      <c r="F91" s="1061"/>
      <c r="G91" s="1052" t="s">
        <v>371</v>
      </c>
      <c r="H91" s="869" t="s">
        <v>372</v>
      </c>
      <c r="I91" s="1058" t="e">
        <f>VLOOKUP(H84,'LƯƠNG KT'!$D$15:$U$94,9,0)*$L$10</f>
        <v>#N/A</v>
      </c>
      <c r="J91" s="1059" t="e">
        <f>+I91*0.5*3000</f>
        <v>#N/A</v>
      </c>
      <c r="K91" s="1085"/>
      <c r="L91" s="1085"/>
      <c r="M91" s="1085"/>
      <c r="N91" s="1085"/>
      <c r="O91" s="1085"/>
    </row>
    <row r="92" spans="1:15" ht="15" customHeight="1">
      <c r="A92" s="1052" t="s">
        <v>374</v>
      </c>
      <c r="B92" s="869" t="s">
        <v>375</v>
      </c>
      <c r="C92" s="1058" t="e">
        <f>VLOOKUP(B84,'LƯƠNG KT'!$D$15:$U$94,8,0)*$L$11</f>
        <v>#N/A</v>
      </c>
      <c r="D92" s="1059" t="e">
        <f>VLOOKUP(B84,'LƯƠNG KT'!$D$15:$U$94,13,0)-D91+C86*20000+C87*20000</f>
        <v>#N/A</v>
      </c>
      <c r="E92" s="1063"/>
      <c r="F92" s="1061"/>
      <c r="G92" s="1052" t="s">
        <v>374</v>
      </c>
      <c r="H92" s="869" t="s">
        <v>375</v>
      </c>
      <c r="I92" s="1058" t="e">
        <f>VLOOKUP(H84,'LƯƠNG KT'!$D$15:$U$94,8,0)*$L$11</f>
        <v>#N/A</v>
      </c>
      <c r="J92" s="1059" t="e">
        <f>VLOOKUP(H84,'LƯƠNG KT'!$D$15:$U$94,13,0)-J91</f>
        <v>#N/A</v>
      </c>
      <c r="K92" s="1085"/>
      <c r="L92" s="1085"/>
      <c r="M92" s="1085"/>
      <c r="N92" s="1085"/>
      <c r="O92" s="1085"/>
    </row>
    <row r="93" spans="1:15" ht="15" customHeight="1">
      <c r="A93" s="1059" t="s">
        <v>377</v>
      </c>
      <c r="B93" s="869" t="s">
        <v>378</v>
      </c>
      <c r="C93" s="1058"/>
      <c r="D93" s="1059"/>
      <c r="E93" s="1065"/>
      <c r="F93" s="1065"/>
      <c r="G93" s="1059" t="s">
        <v>377</v>
      </c>
      <c r="H93" s="869" t="s">
        <v>378</v>
      </c>
      <c r="I93" s="1058"/>
      <c r="J93" s="1059"/>
    </row>
    <row r="94" spans="1:15" ht="15" customHeight="1">
      <c r="A94" s="1066" t="s">
        <v>379</v>
      </c>
      <c r="B94" s="869" t="s">
        <v>380</v>
      </c>
      <c r="C94" s="1058"/>
      <c r="D94" s="1059">
        <f>56*25000</f>
        <v>1400000</v>
      </c>
      <c r="E94" s="1063"/>
      <c r="F94" s="1065"/>
      <c r="G94" s="1066" t="s">
        <v>379</v>
      </c>
      <c r="H94" s="869" t="s">
        <v>380</v>
      </c>
      <c r="I94" s="1058"/>
      <c r="J94" s="1059">
        <f>56*25000</f>
        <v>1400000</v>
      </c>
    </row>
    <row r="95" spans="1:15" ht="15" customHeight="1">
      <c r="A95" s="1052" t="s">
        <v>381</v>
      </c>
      <c r="B95" s="869" t="s">
        <v>382</v>
      </c>
      <c r="C95" s="1058"/>
      <c r="D95" s="1059">
        <f>D94</f>
        <v>1400000</v>
      </c>
      <c r="E95" s="1067"/>
      <c r="F95" s="1051"/>
      <c r="G95" s="1052" t="s">
        <v>381</v>
      </c>
      <c r="H95" s="869" t="s">
        <v>382</v>
      </c>
      <c r="I95" s="1058"/>
      <c r="J95" s="1059">
        <f>J94</f>
        <v>1400000</v>
      </c>
    </row>
    <row r="96" spans="1:15" ht="15" customHeight="1">
      <c r="A96" s="1068" t="s">
        <v>383</v>
      </c>
      <c r="B96" s="1069" t="s">
        <v>384</v>
      </c>
      <c r="C96" s="1070"/>
      <c r="D96" s="1071" t="e">
        <f>SUM(D85:D92)-D95</f>
        <v>#N/A</v>
      </c>
      <c r="E96" s="1072"/>
      <c r="F96" s="1073"/>
      <c r="G96" s="1068" t="s">
        <v>383</v>
      </c>
      <c r="H96" s="1069" t="s">
        <v>384</v>
      </c>
      <c r="I96" s="1070"/>
      <c r="J96" s="1071" t="e">
        <f>SUM(J85:J92)-J95</f>
        <v>#N/A</v>
      </c>
    </row>
    <row r="97" spans="1:15" ht="18.75" customHeight="1">
      <c r="A97" s="1074"/>
      <c r="B97" s="1075"/>
      <c r="C97" s="1076"/>
      <c r="D97" s="1077"/>
      <c r="E97" s="1077"/>
      <c r="F97" s="1078"/>
      <c r="G97" s="1074"/>
      <c r="H97" s="1075"/>
      <c r="I97" s="1076"/>
      <c r="J97" s="1077"/>
    </row>
    <row r="98" spans="1:15" ht="18.75" customHeight="1">
      <c r="A98" s="1075"/>
      <c r="B98" s="1075"/>
      <c r="C98" s="1079"/>
      <c r="D98" s="1080"/>
      <c r="E98" s="1075"/>
      <c r="F98" s="1081"/>
      <c r="G98" s="1075"/>
      <c r="H98" s="1075"/>
      <c r="I98" s="1079"/>
      <c r="J98" s="1080"/>
    </row>
    <row r="99" spans="1:15" ht="15" customHeight="1">
      <c r="A99" s="2242" t="str">
        <f>$K$2</f>
        <v>THÁNG 09/2024</v>
      </c>
      <c r="B99" s="2242"/>
      <c r="C99" s="2242"/>
      <c r="D99" s="2242"/>
      <c r="E99" s="1050"/>
      <c r="F99" s="1051"/>
      <c r="G99" s="2242" t="str">
        <f>$K$2</f>
        <v>THÁNG 09/2024</v>
      </c>
      <c r="H99" s="2242"/>
      <c r="I99" s="2242"/>
      <c r="J99" s="2242"/>
      <c r="K99" s="624"/>
    </row>
    <row r="100" spans="1:15" ht="15" customHeight="1">
      <c r="A100" s="1052" t="s">
        <v>356</v>
      </c>
      <c r="B100" s="1053" t="s">
        <v>395</v>
      </c>
      <c r="C100" s="869"/>
      <c r="D100" s="1049"/>
      <c r="E100" s="1054"/>
      <c r="F100" s="1055"/>
      <c r="G100" s="1052" t="s">
        <v>356</v>
      </c>
      <c r="H100" s="1053" t="s">
        <v>396</v>
      </c>
      <c r="I100" s="869"/>
      <c r="J100" s="1049"/>
      <c r="L100" s="1088"/>
      <c r="M100" s="1088"/>
      <c r="N100" s="1088"/>
      <c r="O100" s="1088"/>
    </row>
    <row r="101" spans="1:15" ht="15" customHeight="1">
      <c r="A101" s="1052" t="s">
        <v>359</v>
      </c>
      <c r="B101" s="1089" t="s">
        <v>360</v>
      </c>
      <c r="C101" s="1058">
        <f>VLOOKUP(B100,'LƯƠNG KT'!$D$15:$U$94,3,0)</f>
        <v>0</v>
      </c>
      <c r="D101" s="1059">
        <f>+C101*25000</f>
        <v>0</v>
      </c>
      <c r="E101" s="1060"/>
      <c r="F101" s="1060"/>
      <c r="G101" s="1052" t="s">
        <v>359</v>
      </c>
      <c r="H101" s="1089" t="s">
        <v>360</v>
      </c>
      <c r="I101" s="1058" t="e">
        <f>VLOOKUP(H100,'LƯƠNG KT'!$D$15:$U$94,3,0)</f>
        <v>#N/A</v>
      </c>
      <c r="J101" s="1059" t="e">
        <f>+I101*25000</f>
        <v>#N/A</v>
      </c>
      <c r="K101" s="1085"/>
      <c r="L101" s="1085"/>
      <c r="M101" s="1085"/>
      <c r="N101" s="1085"/>
      <c r="O101" s="1085"/>
    </row>
    <row r="102" spans="1:15" ht="15" customHeight="1">
      <c r="A102" s="1052" t="s">
        <v>361</v>
      </c>
      <c r="B102" s="869" t="s">
        <v>362</v>
      </c>
      <c r="C102" s="1058">
        <f>VLOOKUP(B100,'LƯƠNG KT'!$D$15:$U$94,14,0)</f>
        <v>0</v>
      </c>
      <c r="D102" s="1059">
        <f>C102*$L$4</f>
        <v>0</v>
      </c>
      <c r="E102" s="1061"/>
      <c r="F102" s="1061"/>
      <c r="G102" s="1052" t="s">
        <v>361</v>
      </c>
      <c r="H102" s="869" t="s">
        <v>362</v>
      </c>
      <c r="I102" s="1058" t="e">
        <f>VLOOKUP(H100,'LƯƠNG KT'!$D$15:$U$94,14,0)</f>
        <v>#N/A</v>
      </c>
      <c r="J102" s="1059" t="e">
        <f>I102*$L$4</f>
        <v>#N/A</v>
      </c>
      <c r="K102" s="1085"/>
      <c r="L102" s="1085"/>
      <c r="M102" s="1085"/>
      <c r="N102" s="1085"/>
      <c r="O102" s="1085"/>
    </row>
    <row r="103" spans="1:15" ht="15" customHeight="1">
      <c r="A103" s="1052" t="s">
        <v>364</v>
      </c>
      <c r="B103" s="869" t="s">
        <v>365</v>
      </c>
      <c r="C103" s="1058">
        <f>VLOOKUP(B100,'LƯƠNG KT'!$D$15:$U$94,15,0)</f>
        <v>1628607</v>
      </c>
      <c r="D103" s="1059">
        <f>C103*$L$5</f>
        <v>85221979986.800995</v>
      </c>
      <c r="E103" s="1061"/>
      <c r="F103" s="1061"/>
      <c r="G103" s="1052" t="s">
        <v>364</v>
      </c>
      <c r="H103" s="869" t="s">
        <v>365</v>
      </c>
      <c r="I103" s="1058" t="e">
        <f>VLOOKUP(H100,'LƯƠNG KT'!$D$15:$U$94,15,0)</f>
        <v>#N/A</v>
      </c>
      <c r="J103" s="1059" t="e">
        <f>I103*$L$5</f>
        <v>#N/A</v>
      </c>
      <c r="K103" s="1085"/>
      <c r="L103" s="1085"/>
      <c r="M103" s="1085"/>
      <c r="N103" s="1085"/>
      <c r="O103" s="1085"/>
    </row>
    <row r="104" spans="1:15" ht="15" customHeight="1">
      <c r="A104" s="1052" t="s">
        <v>367</v>
      </c>
      <c r="B104" s="869"/>
      <c r="C104" s="1058">
        <f>VLOOKUP(B100,'LƯƠNG KT'!$D$15:$U$94,16,0)</f>
        <v>4689127</v>
      </c>
      <c r="D104" s="1059">
        <f>+C104*$L$6</f>
        <v>46891270000</v>
      </c>
      <c r="E104" s="1061"/>
      <c r="F104" s="1061"/>
      <c r="G104" s="1052" t="s">
        <v>367</v>
      </c>
      <c r="H104" s="869"/>
      <c r="I104" s="1058" t="e">
        <f>VLOOKUP(H100,'LƯƠNG KT'!$D$15:$U$94,16,0)</f>
        <v>#N/A</v>
      </c>
      <c r="J104" s="1059" t="e">
        <f>+I104*$L$6</f>
        <v>#N/A</v>
      </c>
      <c r="K104" s="1085"/>
      <c r="L104" s="1085"/>
      <c r="M104" s="1085"/>
      <c r="N104" s="1085"/>
      <c r="O104" s="1085"/>
    </row>
    <row r="105" spans="1:15" ht="15" customHeight="1">
      <c r="A105" s="1052"/>
      <c r="B105" s="869"/>
      <c r="C105" s="1058"/>
      <c r="D105" s="1059"/>
      <c r="E105" s="1061"/>
      <c r="F105" s="1061"/>
      <c r="G105" s="1052"/>
      <c r="H105" s="869"/>
      <c r="I105" s="1058"/>
      <c r="J105" s="1059"/>
      <c r="K105" s="1085"/>
      <c r="L105" s="1085"/>
      <c r="M105" s="1085"/>
      <c r="N105" s="1085"/>
      <c r="O105" s="1085"/>
    </row>
    <row r="106" spans="1:15" ht="15" customHeight="1">
      <c r="A106" s="1052"/>
      <c r="B106" s="869"/>
      <c r="C106" s="1058"/>
      <c r="D106" s="1059"/>
      <c r="E106" s="1061"/>
      <c r="F106" s="1061"/>
      <c r="G106" s="1052"/>
      <c r="H106" s="869"/>
      <c r="I106" s="1058"/>
      <c r="J106" s="1059"/>
      <c r="K106" s="1085"/>
      <c r="L106" s="1085"/>
      <c r="M106" s="1085"/>
      <c r="N106" s="1085"/>
      <c r="O106" s="1085"/>
    </row>
    <row r="107" spans="1:15" ht="15" customHeight="1">
      <c r="A107" s="1052" t="s">
        <v>371</v>
      </c>
      <c r="B107" s="869" t="s">
        <v>372</v>
      </c>
      <c r="C107" s="1058">
        <f>VLOOKUP(B100,'LƯƠNG KT'!$D$15:$U$94,9,0)*$L$10</f>
        <v>1530260</v>
      </c>
      <c r="D107" s="1059">
        <f>+C107*0.5*3000</f>
        <v>2295390000</v>
      </c>
      <c r="E107" s="1061"/>
      <c r="F107" s="1061"/>
      <c r="G107" s="1052" t="s">
        <v>371</v>
      </c>
      <c r="H107" s="869" t="s">
        <v>372</v>
      </c>
      <c r="I107" s="1058" t="e">
        <f>VLOOKUP(H100,'LƯƠNG KT'!$D$15:$U$94,9,0)*$L$10</f>
        <v>#N/A</v>
      </c>
      <c r="J107" s="1059" t="e">
        <f>+I107*0.5*3000</f>
        <v>#N/A</v>
      </c>
      <c r="K107" s="1085"/>
      <c r="L107" s="1085"/>
      <c r="M107" s="1085"/>
      <c r="N107" s="1085"/>
      <c r="O107" s="1085"/>
    </row>
    <row r="108" spans="1:15" ht="15" customHeight="1">
      <c r="A108" s="1052" t="s">
        <v>374</v>
      </c>
      <c r="B108" s="869" t="s">
        <v>375</v>
      </c>
      <c r="C108" s="1058" t="e">
        <f>VLOOKUP(B100,'LƯƠNG KT'!$D$15:$U$94,8,0)*$L$11</f>
        <v>#VALUE!</v>
      </c>
      <c r="D108" s="1059">
        <f>VLOOKUP(B100,'LƯƠNG KT'!$D$15:$U$94,13,0)-D107</f>
        <v>-2295389971</v>
      </c>
      <c r="E108" s="1063"/>
      <c r="F108" s="1061"/>
      <c r="G108" s="1052" t="s">
        <v>374</v>
      </c>
      <c r="H108" s="869" t="s">
        <v>375</v>
      </c>
      <c r="I108" s="1058" t="e">
        <f>VLOOKUP(H100,'LƯƠNG KT'!$D$15:$U$94,8,0)*$L$11</f>
        <v>#N/A</v>
      </c>
      <c r="J108" s="1059" t="e">
        <f>VLOOKUP(H100,'LƯƠNG KT'!$D$15:$U$94,13,0)-J107</f>
        <v>#N/A</v>
      </c>
      <c r="K108" s="1085"/>
      <c r="L108" s="1085"/>
      <c r="M108" s="1085"/>
      <c r="N108" s="1085"/>
      <c r="O108" s="1085"/>
    </row>
    <row r="109" spans="1:15" ht="15" customHeight="1">
      <c r="A109" s="1059" t="s">
        <v>377</v>
      </c>
      <c r="B109" s="869" t="s">
        <v>378</v>
      </c>
      <c r="C109" s="1058"/>
      <c r="D109" s="1059"/>
      <c r="E109" s="1065"/>
      <c r="F109" s="1065"/>
      <c r="G109" s="1059" t="s">
        <v>377</v>
      </c>
      <c r="H109" s="869" t="s">
        <v>378</v>
      </c>
      <c r="I109" s="1058"/>
      <c r="J109" s="1059"/>
    </row>
    <row r="110" spans="1:15" ht="15" customHeight="1">
      <c r="A110" s="1066" t="s">
        <v>379</v>
      </c>
      <c r="B110" s="869" t="s">
        <v>380</v>
      </c>
      <c r="C110" s="1058"/>
      <c r="D110" s="1059">
        <f>56*25000</f>
        <v>1400000</v>
      </c>
      <c r="E110" s="1063"/>
      <c r="F110" s="1065"/>
      <c r="G110" s="1066" t="s">
        <v>379</v>
      </c>
      <c r="H110" s="869" t="s">
        <v>380</v>
      </c>
      <c r="I110" s="1058"/>
      <c r="J110" s="1059">
        <f>56*25000</f>
        <v>1400000</v>
      </c>
    </row>
    <row r="111" spans="1:15" ht="15" customHeight="1">
      <c r="A111" s="1052" t="s">
        <v>381</v>
      </c>
      <c r="B111" s="869" t="s">
        <v>382</v>
      </c>
      <c r="C111" s="1058"/>
      <c r="D111" s="1059">
        <f>D110</f>
        <v>1400000</v>
      </c>
      <c r="E111" s="1067"/>
      <c r="F111" s="1051"/>
      <c r="G111" s="1052" t="s">
        <v>381</v>
      </c>
      <c r="H111" s="869" t="s">
        <v>382</v>
      </c>
      <c r="I111" s="1058"/>
      <c r="J111" s="1059">
        <f>J110</f>
        <v>1400000</v>
      </c>
    </row>
    <row r="112" spans="1:15" ht="15" customHeight="1">
      <c r="A112" s="1068" t="s">
        <v>383</v>
      </c>
      <c r="B112" s="1069" t="s">
        <v>384</v>
      </c>
      <c r="C112" s="1070"/>
      <c r="D112" s="1071">
        <f>SUM(D101:D108)-D111</f>
        <v>132111850015.80099</v>
      </c>
      <c r="E112" s="1072"/>
      <c r="F112" s="1073"/>
      <c r="G112" s="1068" t="s">
        <v>383</v>
      </c>
      <c r="H112" s="1069" t="s">
        <v>384</v>
      </c>
      <c r="I112" s="1070"/>
      <c r="J112" s="1071" t="e">
        <f>SUM(J101:J108)-J111</f>
        <v>#N/A</v>
      </c>
    </row>
    <row r="113" spans="1:15" ht="18.75" customHeight="1">
      <c r="A113" s="1074"/>
      <c r="B113" s="1075"/>
      <c r="C113" s="1076"/>
      <c r="D113" s="1077"/>
      <c r="E113" s="1077"/>
      <c r="F113" s="1078"/>
      <c r="G113" s="1074"/>
      <c r="H113" s="1075"/>
      <c r="I113" s="1076"/>
      <c r="J113" s="1077"/>
    </row>
    <row r="114" spans="1:15" ht="18.75" customHeight="1">
      <c r="A114" s="1075"/>
      <c r="B114" s="1075"/>
      <c r="C114" s="1079"/>
      <c r="D114" s="1080"/>
      <c r="E114" s="1075"/>
      <c r="F114" s="1081"/>
      <c r="G114" s="1075"/>
      <c r="H114" s="1075"/>
      <c r="I114" s="1079"/>
      <c r="J114" s="1080"/>
    </row>
    <row r="115" spans="1:15" ht="15" customHeight="1">
      <c r="A115" s="2242" t="str">
        <f>$K$2</f>
        <v>THÁNG 09/2024</v>
      </c>
      <c r="B115" s="2242"/>
      <c r="C115" s="2242"/>
      <c r="D115" s="2242"/>
      <c r="E115" s="1050"/>
      <c r="F115" s="1051"/>
      <c r="G115" s="2242" t="str">
        <f>$K$2</f>
        <v>THÁNG 09/2024</v>
      </c>
      <c r="H115" s="2242"/>
      <c r="I115" s="2242"/>
      <c r="J115" s="2242"/>
      <c r="K115" s="624"/>
    </row>
    <row r="116" spans="1:15" ht="15" customHeight="1">
      <c r="A116" s="1052" t="s">
        <v>356</v>
      </c>
      <c r="B116" s="1053" t="s">
        <v>397</v>
      </c>
      <c r="C116" s="869"/>
      <c r="D116" s="1049"/>
      <c r="E116" s="1054"/>
      <c r="F116" s="1055"/>
      <c r="G116" s="1052" t="s">
        <v>356</v>
      </c>
      <c r="H116" s="1053" t="s">
        <v>398</v>
      </c>
      <c r="I116" s="869"/>
      <c r="J116" s="1049"/>
      <c r="L116" s="1088"/>
      <c r="M116" s="1088"/>
      <c r="N116" s="1088"/>
      <c r="O116" s="1088"/>
    </row>
    <row r="117" spans="1:15" ht="15" customHeight="1">
      <c r="A117" s="1052" t="s">
        <v>359</v>
      </c>
      <c r="B117" s="1089" t="s">
        <v>360</v>
      </c>
      <c r="C117" s="1058" t="e">
        <f>VLOOKUP(B116,'LƯƠNG KT'!$D$15:$U$94,3,0)</f>
        <v>#N/A</v>
      </c>
      <c r="D117" s="1059" t="e">
        <f>+C117*25000</f>
        <v>#N/A</v>
      </c>
      <c r="E117" s="1060"/>
      <c r="F117" s="1060"/>
      <c r="G117" s="1052" t="s">
        <v>359</v>
      </c>
      <c r="H117" s="1089" t="s">
        <v>360</v>
      </c>
      <c r="I117" s="1058" t="e">
        <f>VLOOKUP(H116,'LƯƠNG KT'!$D$15:$U$94,3,0)</f>
        <v>#N/A</v>
      </c>
      <c r="J117" s="1059" t="e">
        <f>+I117*25000</f>
        <v>#N/A</v>
      </c>
      <c r="K117" s="1085"/>
      <c r="L117" s="1085"/>
      <c r="M117" s="1085"/>
      <c r="N117" s="1085"/>
      <c r="O117" s="1085"/>
    </row>
    <row r="118" spans="1:15" ht="15" customHeight="1">
      <c r="A118" s="1052" t="s">
        <v>361</v>
      </c>
      <c r="B118" s="869" t="s">
        <v>362</v>
      </c>
      <c r="C118" s="1058" t="e">
        <f>VLOOKUP(B116,'LƯƠNG KT'!$D$15:$U$94,14,0)</f>
        <v>#N/A</v>
      </c>
      <c r="D118" s="1059" t="e">
        <f>C118*$L$4</f>
        <v>#N/A</v>
      </c>
      <c r="E118" s="1061"/>
      <c r="F118" s="1061"/>
      <c r="G118" s="1052" t="s">
        <v>361</v>
      </c>
      <c r="H118" s="869" t="s">
        <v>362</v>
      </c>
      <c r="I118" s="1058" t="e">
        <f>VLOOKUP(H116,'LƯƠNG KT'!$D$15:$U$94,14,0)</f>
        <v>#N/A</v>
      </c>
      <c r="J118" s="1059" t="e">
        <f>I118*$L$4</f>
        <v>#N/A</v>
      </c>
      <c r="K118" s="1085"/>
      <c r="L118" s="1085"/>
      <c r="M118" s="1085"/>
      <c r="N118" s="1085"/>
      <c r="O118" s="1085"/>
    </row>
    <row r="119" spans="1:15" ht="15" customHeight="1">
      <c r="A119" s="1052" t="s">
        <v>364</v>
      </c>
      <c r="B119" s="869" t="s">
        <v>365</v>
      </c>
      <c r="C119" s="1058" t="e">
        <f>VLOOKUP(B116,'LƯƠNG KT'!$D$15:$U$94,15,0)</f>
        <v>#N/A</v>
      </c>
      <c r="D119" s="1059" t="e">
        <f>C119*$L$5</f>
        <v>#N/A</v>
      </c>
      <c r="E119" s="1061"/>
      <c r="F119" s="1061"/>
      <c r="G119" s="1052" t="s">
        <v>364</v>
      </c>
      <c r="H119" s="869" t="s">
        <v>365</v>
      </c>
      <c r="I119" s="1058" t="e">
        <f>VLOOKUP(H116,'LƯƠNG KT'!$D$15:$U$94,15,0)</f>
        <v>#N/A</v>
      </c>
      <c r="J119" s="1059" t="e">
        <f>I119*$L$5</f>
        <v>#N/A</v>
      </c>
      <c r="K119" s="1085"/>
      <c r="L119" s="1085"/>
      <c r="M119" s="1085"/>
      <c r="N119" s="1085"/>
      <c r="O119" s="1085"/>
    </row>
    <row r="120" spans="1:15" ht="15" customHeight="1">
      <c r="A120" s="1052" t="s">
        <v>367</v>
      </c>
      <c r="B120" s="869"/>
      <c r="C120" s="1058" t="e">
        <f>VLOOKUP(B116,'LƯƠNG KT'!$D$15:$U$94,16,0)</f>
        <v>#N/A</v>
      </c>
      <c r="D120" s="1059" t="e">
        <f>+C120*$L$6</f>
        <v>#N/A</v>
      </c>
      <c r="E120" s="1061"/>
      <c r="F120" s="1061"/>
      <c r="G120" s="1052" t="s">
        <v>367</v>
      </c>
      <c r="H120" s="869"/>
      <c r="I120" s="1058" t="e">
        <f>VLOOKUP(H116,'LƯƠNG KT'!$D$15:$U$94,16,0)</f>
        <v>#N/A</v>
      </c>
      <c r="J120" s="1059" t="e">
        <f>+I120*$L$6</f>
        <v>#N/A</v>
      </c>
      <c r="K120" s="1085"/>
      <c r="L120" s="1085"/>
      <c r="M120" s="1085"/>
      <c r="N120" s="1085"/>
      <c r="O120" s="1085"/>
    </row>
    <row r="121" spans="1:15" ht="15" customHeight="1">
      <c r="A121" s="1052"/>
      <c r="B121" s="869"/>
      <c r="C121" s="1058"/>
      <c r="D121" s="1059"/>
      <c r="E121" s="1061"/>
      <c r="F121" s="1061"/>
      <c r="G121" s="1052"/>
      <c r="H121" s="869"/>
      <c r="I121" s="1058"/>
      <c r="J121" s="1059"/>
      <c r="K121" s="1085"/>
      <c r="L121" s="1085"/>
      <c r="M121" s="1085"/>
      <c r="N121" s="1085"/>
      <c r="O121" s="1085"/>
    </row>
    <row r="122" spans="1:15" ht="15" customHeight="1">
      <c r="A122" s="1052"/>
      <c r="B122" s="869"/>
      <c r="C122" s="1058"/>
      <c r="D122" s="1059"/>
      <c r="E122" s="1061"/>
      <c r="F122" s="1061"/>
      <c r="G122" s="1052"/>
      <c r="H122" s="869"/>
      <c r="I122" s="1058"/>
      <c r="J122" s="1059"/>
      <c r="K122" s="1085"/>
      <c r="L122" s="1085"/>
      <c r="M122" s="1085"/>
      <c r="N122" s="1085"/>
      <c r="O122" s="1085"/>
    </row>
    <row r="123" spans="1:15" ht="15" customHeight="1">
      <c r="A123" s="1052" t="s">
        <v>371</v>
      </c>
      <c r="B123" s="869" t="s">
        <v>372</v>
      </c>
      <c r="C123" s="1058" t="e">
        <f>VLOOKUP(B116,'LƯƠNG KT'!$D$15:$U$94,9,0)*$L$10</f>
        <v>#N/A</v>
      </c>
      <c r="D123" s="1059" t="e">
        <f>+C123*0.5*3000</f>
        <v>#N/A</v>
      </c>
      <c r="E123" s="1061"/>
      <c r="F123" s="1061"/>
      <c r="G123" s="1052" t="s">
        <v>371</v>
      </c>
      <c r="H123" s="869" t="s">
        <v>372</v>
      </c>
      <c r="I123" s="1058" t="e">
        <f>VLOOKUP(H116,'LƯƠNG KT'!$D$15:$U$94,9,0)*$L$10</f>
        <v>#N/A</v>
      </c>
      <c r="J123" s="1059" t="e">
        <f>+I123*0.5*3000</f>
        <v>#N/A</v>
      </c>
      <c r="K123" s="1085"/>
      <c r="L123" s="1085"/>
      <c r="M123" s="1085"/>
      <c r="N123" s="1085"/>
      <c r="O123" s="1085"/>
    </row>
    <row r="124" spans="1:15" ht="15" customHeight="1">
      <c r="A124" s="1052" t="s">
        <v>374</v>
      </c>
      <c r="B124" s="869" t="s">
        <v>375</v>
      </c>
      <c r="C124" s="1058" t="e">
        <f>VLOOKUP(B116,'LƯƠNG KT'!$D$15:$U$94,8,0)*$L$11</f>
        <v>#N/A</v>
      </c>
      <c r="D124" s="1059" t="e">
        <f>VLOOKUP(B116,'LƯƠNG KT'!$D$15:$U$94,13,0)-D123</f>
        <v>#N/A</v>
      </c>
      <c r="E124" s="1063"/>
      <c r="F124" s="1061"/>
      <c r="G124" s="1052" t="s">
        <v>374</v>
      </c>
      <c r="H124" s="869" t="s">
        <v>375</v>
      </c>
      <c r="I124" s="1058" t="e">
        <f>VLOOKUP(H116,'LƯƠNG KT'!$D$15:$U$94,8,0)*$L$11</f>
        <v>#N/A</v>
      </c>
      <c r="J124" s="1059" t="e">
        <f>VLOOKUP(H116,'LƯƠNG KT'!$D$15:$U$94,13,0)-J123</f>
        <v>#N/A</v>
      </c>
      <c r="K124" s="1085"/>
      <c r="L124" s="1085"/>
      <c r="M124" s="1085"/>
      <c r="N124" s="1085"/>
      <c r="O124" s="1085"/>
    </row>
    <row r="125" spans="1:15" ht="15" customHeight="1">
      <c r="A125" s="1059" t="s">
        <v>377</v>
      </c>
      <c r="B125" s="869" t="s">
        <v>378</v>
      </c>
      <c r="C125" s="1058"/>
      <c r="D125" s="1059"/>
      <c r="E125" s="1065"/>
      <c r="F125" s="1065"/>
      <c r="G125" s="1059" t="s">
        <v>377</v>
      </c>
      <c r="H125" s="869" t="s">
        <v>378</v>
      </c>
      <c r="I125" s="1058"/>
      <c r="J125" s="1059"/>
    </row>
    <row r="126" spans="1:15" ht="15" customHeight="1">
      <c r="A126" s="1066" t="s">
        <v>379</v>
      </c>
      <c r="B126" s="869" t="s">
        <v>380</v>
      </c>
      <c r="C126" s="1058"/>
      <c r="D126" s="1059">
        <f>56*25000</f>
        <v>1400000</v>
      </c>
      <c r="E126" s="1063"/>
      <c r="F126" s="1065"/>
      <c r="G126" s="1066" t="s">
        <v>379</v>
      </c>
      <c r="H126" s="869" t="s">
        <v>380</v>
      </c>
      <c r="I126" s="1058"/>
      <c r="J126" s="1059">
        <f>56*25000</f>
        <v>1400000</v>
      </c>
    </row>
    <row r="127" spans="1:15" ht="15" customHeight="1">
      <c r="A127" s="1052" t="s">
        <v>381</v>
      </c>
      <c r="B127" s="869" t="s">
        <v>382</v>
      </c>
      <c r="C127" s="1058"/>
      <c r="D127" s="1059">
        <f>D126</f>
        <v>1400000</v>
      </c>
      <c r="E127" s="1067"/>
      <c r="F127" s="1051"/>
      <c r="G127" s="1052" t="s">
        <v>381</v>
      </c>
      <c r="H127" s="869" t="s">
        <v>382</v>
      </c>
      <c r="I127" s="1058"/>
      <c r="J127" s="1059">
        <f>J126</f>
        <v>1400000</v>
      </c>
    </row>
    <row r="128" spans="1:15" ht="15" customHeight="1">
      <c r="A128" s="1068" t="s">
        <v>383</v>
      </c>
      <c r="B128" s="1069" t="s">
        <v>384</v>
      </c>
      <c r="C128" s="1070"/>
      <c r="D128" s="1071" t="e">
        <f>SUM(D117:D124)-D127</f>
        <v>#N/A</v>
      </c>
      <c r="E128" s="1072"/>
      <c r="F128" s="1073"/>
      <c r="G128" s="1068" t="s">
        <v>383</v>
      </c>
      <c r="H128" s="1069" t="s">
        <v>384</v>
      </c>
      <c r="I128" s="1070"/>
      <c r="J128" s="1071" t="e">
        <f>SUM(J117:J124)-J127</f>
        <v>#N/A</v>
      </c>
    </row>
    <row r="129" spans="1:15" ht="15.75" customHeight="1">
      <c r="A129" s="1074"/>
      <c r="B129" s="1075"/>
      <c r="C129" s="1076"/>
      <c r="D129" s="1077"/>
      <c r="E129" s="1077"/>
      <c r="F129" s="1078"/>
      <c r="G129" s="1074"/>
      <c r="H129" s="1075"/>
      <c r="I129" s="1076"/>
      <c r="J129" s="1077"/>
    </row>
    <row r="131" spans="1:15" ht="12" customHeight="1">
      <c r="A131" s="2243"/>
      <c r="B131" s="2243"/>
      <c r="C131" s="2243"/>
      <c r="D131" s="2243"/>
      <c r="E131" s="2243"/>
      <c r="F131" s="2243"/>
      <c r="G131" s="2243"/>
      <c r="H131" s="2243"/>
      <c r="I131" s="2243"/>
      <c r="J131" s="2243"/>
    </row>
    <row r="132" spans="1:15" ht="15" customHeight="1">
      <c r="A132" s="2242" t="str">
        <f>$K$2</f>
        <v>THÁNG 09/2024</v>
      </c>
      <c r="B132" s="2242"/>
      <c r="C132" s="2242"/>
      <c r="D132" s="2242"/>
      <c r="E132" s="1050"/>
      <c r="F132" s="1051"/>
      <c r="G132" s="2242" t="str">
        <f>$K$2</f>
        <v>THÁNG 09/2024</v>
      </c>
      <c r="H132" s="2242"/>
      <c r="I132" s="2242"/>
      <c r="J132" s="2242"/>
      <c r="K132" s="624"/>
    </row>
    <row r="133" spans="1:15" ht="15" customHeight="1">
      <c r="A133" s="1052" t="s">
        <v>356</v>
      </c>
      <c r="B133" s="1053" t="s">
        <v>399</v>
      </c>
      <c r="C133" s="869"/>
      <c r="D133" s="1049"/>
      <c r="E133" s="1054"/>
      <c r="F133" s="1055"/>
      <c r="G133" s="1052" t="s">
        <v>356</v>
      </c>
      <c r="H133" s="1053" t="s">
        <v>400</v>
      </c>
      <c r="I133" s="869"/>
      <c r="J133" s="1049"/>
      <c r="L133" s="1088"/>
      <c r="M133" s="1088"/>
      <c r="N133" s="1088"/>
      <c r="O133" s="1088"/>
    </row>
    <row r="134" spans="1:15" ht="15" customHeight="1">
      <c r="A134" s="1052" t="s">
        <v>359</v>
      </c>
      <c r="B134" s="1089" t="s">
        <v>360</v>
      </c>
      <c r="C134" s="1058" t="e">
        <f>VLOOKUP(B133,'LƯƠNG KT'!$D$15:$U$94,3,0)</f>
        <v>#N/A</v>
      </c>
      <c r="D134" s="1059" t="e">
        <f>+C134*25000</f>
        <v>#N/A</v>
      </c>
      <c r="E134" s="1060"/>
      <c r="F134" s="1060"/>
      <c r="G134" s="1052" t="s">
        <v>359</v>
      </c>
      <c r="H134" s="1089" t="s">
        <v>360</v>
      </c>
      <c r="I134" s="1058" t="e">
        <f>VLOOKUP(H133,'LƯƠNG KT'!$D$15:$U$94,3,0)</f>
        <v>#N/A</v>
      </c>
      <c r="J134" s="1059" t="e">
        <f>+I134*25000</f>
        <v>#N/A</v>
      </c>
      <c r="K134" s="1084"/>
      <c r="L134" s="1085"/>
      <c r="M134" s="1085"/>
      <c r="N134" s="1085"/>
      <c r="O134" s="1085"/>
    </row>
    <row r="135" spans="1:15" ht="15" customHeight="1">
      <c r="A135" s="1052" t="s">
        <v>361</v>
      </c>
      <c r="B135" s="869" t="s">
        <v>362</v>
      </c>
      <c r="C135" s="1058" t="e">
        <f>VLOOKUP(B133,'LƯƠNG KT'!$D$15:$U$94,14,0)</f>
        <v>#N/A</v>
      </c>
      <c r="D135" s="1059" t="e">
        <f>C135*$L$4</f>
        <v>#N/A</v>
      </c>
      <c r="E135" s="1061"/>
      <c r="F135" s="1061"/>
      <c r="G135" s="1052" t="s">
        <v>361</v>
      </c>
      <c r="H135" s="869" t="s">
        <v>362</v>
      </c>
      <c r="I135" s="1058" t="e">
        <f>VLOOKUP(H133,'LƯƠNG KT'!$D$15:$U$94,14,0)</f>
        <v>#N/A</v>
      </c>
      <c r="J135" s="1059" t="e">
        <f>I135*$L$4</f>
        <v>#N/A</v>
      </c>
      <c r="K135" s="1084"/>
      <c r="L135" s="1085"/>
      <c r="M135" s="1085"/>
      <c r="N135" s="1085"/>
      <c r="O135" s="1085"/>
    </row>
    <row r="136" spans="1:15" ht="15" customHeight="1">
      <c r="A136" s="1052" t="s">
        <v>364</v>
      </c>
      <c r="B136" s="869" t="s">
        <v>365</v>
      </c>
      <c r="C136" s="1058" t="e">
        <f>VLOOKUP(B133,'LƯƠNG KT'!$D$15:$U$94,15,0)</f>
        <v>#N/A</v>
      </c>
      <c r="D136" s="1059" t="e">
        <f>C136*$L$5</f>
        <v>#N/A</v>
      </c>
      <c r="E136" s="1061"/>
      <c r="F136" s="1061"/>
      <c r="G136" s="1052" t="s">
        <v>364</v>
      </c>
      <c r="H136" s="869" t="s">
        <v>365</v>
      </c>
      <c r="I136" s="1058" t="e">
        <f>VLOOKUP(H133,'LƯƠNG KT'!$D$15:$U$94,15,0)</f>
        <v>#N/A</v>
      </c>
      <c r="J136" s="1059" t="e">
        <f>I136*$L$5</f>
        <v>#N/A</v>
      </c>
      <c r="K136" s="1084"/>
      <c r="L136" s="1085"/>
      <c r="M136" s="1085"/>
      <c r="N136" s="1085"/>
      <c r="O136" s="1085"/>
    </row>
    <row r="137" spans="1:15" ht="15" customHeight="1">
      <c r="A137" s="1052" t="s">
        <v>367</v>
      </c>
      <c r="B137" s="869"/>
      <c r="C137" s="1058" t="e">
        <f>VLOOKUP(B133,'LƯƠNG KT'!$D$15:$U$94,16,0)</f>
        <v>#N/A</v>
      </c>
      <c r="D137" s="1059" t="e">
        <f>+C137*$L$6</f>
        <v>#N/A</v>
      </c>
      <c r="E137" s="1061"/>
      <c r="F137" s="1061"/>
      <c r="G137" s="1052" t="s">
        <v>367</v>
      </c>
      <c r="H137" s="869"/>
      <c r="I137" s="1058" t="e">
        <f>VLOOKUP(H133,'LƯƠNG KT'!$D$15:$U$94,16,0)</f>
        <v>#N/A</v>
      </c>
      <c r="J137" s="1059" t="e">
        <f>+I137*$L$6</f>
        <v>#N/A</v>
      </c>
      <c r="K137" s="1085"/>
      <c r="L137" s="1085"/>
      <c r="M137" s="1085"/>
      <c r="N137" s="1085"/>
      <c r="O137" s="1085"/>
    </row>
    <row r="138" spans="1:15" ht="15" customHeight="1">
      <c r="A138" s="1052"/>
      <c r="B138" s="869"/>
      <c r="C138" s="1058"/>
      <c r="D138" s="1059"/>
      <c r="E138" s="1061"/>
      <c r="F138" s="1061"/>
      <c r="G138" s="1052"/>
      <c r="H138" s="869"/>
      <c r="I138" s="1058"/>
      <c r="J138" s="1059"/>
      <c r="K138" s="1085"/>
      <c r="L138" s="1085"/>
      <c r="M138" s="1085"/>
      <c r="N138" s="1085"/>
      <c r="O138" s="1085"/>
    </row>
    <row r="139" spans="1:15" ht="15" customHeight="1">
      <c r="A139" s="1052"/>
      <c r="B139" s="869"/>
      <c r="C139" s="1058"/>
      <c r="D139" s="1059"/>
      <c r="E139" s="1061"/>
      <c r="F139" s="1061"/>
      <c r="G139" s="1052"/>
      <c r="H139" s="869"/>
      <c r="I139" s="1058"/>
      <c r="J139" s="1059"/>
      <c r="K139" s="1085"/>
      <c r="L139" s="1085"/>
      <c r="M139" s="1085"/>
      <c r="N139" s="1085"/>
      <c r="O139" s="1085"/>
    </row>
    <row r="140" spans="1:15" ht="15" customHeight="1">
      <c r="A140" s="1052" t="s">
        <v>371</v>
      </c>
      <c r="B140" s="869" t="s">
        <v>372</v>
      </c>
      <c r="C140" s="1058" t="e">
        <f>VLOOKUP(B133,'LƯƠNG KT'!$D$15:$U$94,9,0)*$L$10</f>
        <v>#N/A</v>
      </c>
      <c r="D140" s="1059" t="e">
        <f>+C140*0.5*3000</f>
        <v>#N/A</v>
      </c>
      <c r="E140" s="1061"/>
      <c r="F140" s="1061"/>
      <c r="G140" s="1052" t="s">
        <v>371</v>
      </c>
      <c r="H140" s="869" t="s">
        <v>372</v>
      </c>
      <c r="I140" s="1058" t="e">
        <f>VLOOKUP(H133,'LƯƠNG KT'!$D$15:$U$94,9,0)*$L$10</f>
        <v>#N/A</v>
      </c>
      <c r="J140" s="1059" t="e">
        <f>+I140*0.5*3000</f>
        <v>#N/A</v>
      </c>
      <c r="K140" s="1085"/>
      <c r="L140" s="1085"/>
      <c r="M140" s="1085"/>
      <c r="N140" s="1085"/>
      <c r="O140" s="1085"/>
    </row>
    <row r="141" spans="1:15" ht="15" customHeight="1">
      <c r="A141" s="1052" t="s">
        <v>374</v>
      </c>
      <c r="B141" s="869" t="s">
        <v>375</v>
      </c>
      <c r="C141" s="1058" t="e">
        <f>VLOOKUP(B133,'LƯƠNG KT'!$D$15:$U$94,8,0)*$L$11</f>
        <v>#N/A</v>
      </c>
      <c r="D141" s="1059" t="e">
        <f>VLOOKUP(B133,'LƯƠNG KT'!$D$15:$U$94,13,0)-D140</f>
        <v>#N/A</v>
      </c>
      <c r="E141" s="1063"/>
      <c r="F141" s="1061"/>
      <c r="G141" s="1052" t="s">
        <v>374</v>
      </c>
      <c r="H141" s="869" t="s">
        <v>375</v>
      </c>
      <c r="I141" s="1058" t="e">
        <f>VLOOKUP(H133,'LƯƠNG KT'!$D$15:$U$94,8,0)*$L$11</f>
        <v>#N/A</v>
      </c>
      <c r="J141" s="1059" t="e">
        <f>VLOOKUP(H133,'LƯƠNG KT'!$D$15:$U$94,13,0)-J140</f>
        <v>#N/A</v>
      </c>
      <c r="K141" s="1085"/>
      <c r="L141" s="1085"/>
      <c r="M141" s="1085"/>
      <c r="N141" s="1085"/>
      <c r="O141" s="1085"/>
    </row>
    <row r="142" spans="1:15" ht="15" customHeight="1">
      <c r="A142" s="1059" t="s">
        <v>377</v>
      </c>
      <c r="B142" s="869" t="s">
        <v>378</v>
      </c>
      <c r="C142" s="1058"/>
      <c r="D142" s="1059"/>
      <c r="E142" s="1065"/>
      <c r="F142" s="1065"/>
      <c r="G142" s="1059" t="s">
        <v>377</v>
      </c>
      <c r="H142" s="869" t="s">
        <v>378</v>
      </c>
      <c r="I142" s="1058"/>
      <c r="J142" s="1059"/>
    </row>
    <row r="143" spans="1:15" ht="15" customHeight="1">
      <c r="A143" s="1066" t="s">
        <v>379</v>
      </c>
      <c r="B143" s="869" t="s">
        <v>380</v>
      </c>
      <c r="C143" s="1058"/>
      <c r="D143" s="1059">
        <f>56*25000</f>
        <v>1400000</v>
      </c>
      <c r="E143" s="1063"/>
      <c r="F143" s="1065"/>
      <c r="G143" s="1066" t="s">
        <v>379</v>
      </c>
      <c r="H143" s="869" t="s">
        <v>380</v>
      </c>
      <c r="I143" s="1058"/>
      <c r="J143" s="1059">
        <f>56*25000</f>
        <v>1400000</v>
      </c>
    </row>
    <row r="144" spans="1:15" ht="15" customHeight="1">
      <c r="A144" s="1052" t="s">
        <v>381</v>
      </c>
      <c r="B144" s="869" t="s">
        <v>382</v>
      </c>
      <c r="C144" s="1058"/>
      <c r="D144" s="1059">
        <f>D143</f>
        <v>1400000</v>
      </c>
      <c r="E144" s="1067"/>
      <c r="F144" s="1051"/>
      <c r="G144" s="1052" t="s">
        <v>381</v>
      </c>
      <c r="H144" s="869" t="s">
        <v>382</v>
      </c>
      <c r="I144" s="1058"/>
      <c r="J144" s="1059">
        <f>J143</f>
        <v>1400000</v>
      </c>
    </row>
    <row r="145" spans="1:15" ht="15" customHeight="1">
      <c r="A145" s="1068" t="s">
        <v>383</v>
      </c>
      <c r="B145" s="1069" t="s">
        <v>384</v>
      </c>
      <c r="C145" s="1070"/>
      <c r="D145" s="1071" t="e">
        <f>SUM(D134:D141)-D144</f>
        <v>#N/A</v>
      </c>
      <c r="E145" s="1072"/>
      <c r="F145" s="1073"/>
      <c r="G145" s="1068" t="s">
        <v>383</v>
      </c>
      <c r="H145" s="1069" t="s">
        <v>384</v>
      </c>
      <c r="I145" s="1070"/>
      <c r="J145" s="1071" t="e">
        <f>SUM(J134:J141)-J144</f>
        <v>#N/A</v>
      </c>
    </row>
    <row r="146" spans="1:15" ht="12.6" customHeight="1">
      <c r="A146" s="1074"/>
      <c r="B146" s="1075"/>
      <c r="C146" s="1076"/>
      <c r="D146" s="1077"/>
      <c r="E146" s="1077"/>
      <c r="F146" s="1078"/>
      <c r="G146" s="1074"/>
      <c r="H146" s="1075"/>
      <c r="I146" s="1076"/>
      <c r="J146" s="1077"/>
    </row>
    <row r="147" spans="1:15" ht="12.6" customHeight="1">
      <c r="A147" s="1075"/>
      <c r="B147" s="1075"/>
      <c r="C147" s="1079"/>
      <c r="D147" s="1080"/>
      <c r="E147" s="1075"/>
      <c r="F147" s="1081"/>
      <c r="G147" s="1075"/>
      <c r="H147" s="1075"/>
      <c r="I147" s="1079"/>
      <c r="J147" s="1080"/>
    </row>
    <row r="148" spans="1:15" ht="15" customHeight="1">
      <c r="A148" s="2242" t="str">
        <f>$K$2</f>
        <v>THÁNG 09/2024</v>
      </c>
      <c r="B148" s="2242"/>
      <c r="C148" s="2242"/>
      <c r="D148" s="2242"/>
      <c r="E148" s="1050"/>
      <c r="F148" s="1051"/>
      <c r="G148" s="2242" t="str">
        <f>$K$2</f>
        <v>THÁNG 09/2024</v>
      </c>
      <c r="H148" s="2242"/>
      <c r="I148" s="2242"/>
      <c r="J148" s="2242"/>
      <c r="K148" s="624"/>
    </row>
    <row r="149" spans="1:15" ht="15" customHeight="1">
      <c r="A149" s="1052" t="s">
        <v>356</v>
      </c>
      <c r="B149" s="1053" t="s">
        <v>401</v>
      </c>
      <c r="C149" s="869"/>
      <c r="D149" s="1049"/>
      <c r="E149" s="1054"/>
      <c r="F149" s="1055"/>
      <c r="G149" s="1052" t="s">
        <v>356</v>
      </c>
      <c r="H149" s="1053" t="s">
        <v>402</v>
      </c>
      <c r="I149" s="869"/>
      <c r="J149" s="1049"/>
      <c r="L149" s="1088"/>
      <c r="M149" s="1088"/>
      <c r="N149" s="1088"/>
      <c r="O149" s="1088"/>
    </row>
    <row r="150" spans="1:15" ht="15" customHeight="1">
      <c r="A150" s="1052" t="s">
        <v>359</v>
      </c>
      <c r="B150" s="1089" t="s">
        <v>360</v>
      </c>
      <c r="C150" s="1058" t="e">
        <f>VLOOKUP(B149,'LƯƠNG KT'!$D$15:$U$94,3,0)</f>
        <v>#N/A</v>
      </c>
      <c r="D150" s="1059" t="e">
        <f>+C150*25000</f>
        <v>#N/A</v>
      </c>
      <c r="E150" s="1060"/>
      <c r="F150" s="1060"/>
      <c r="G150" s="1052" t="s">
        <v>359</v>
      </c>
      <c r="H150" s="1089" t="s">
        <v>360</v>
      </c>
      <c r="I150" s="1058" t="e">
        <f>VLOOKUP(H149,'LƯƠNG KT'!$D$15:$U$94,3,0)</f>
        <v>#N/A</v>
      </c>
      <c r="J150" s="1059" t="e">
        <f>+I150*25000</f>
        <v>#N/A</v>
      </c>
      <c r="K150" s="1085"/>
      <c r="L150" s="1085"/>
      <c r="M150" s="1085"/>
      <c r="N150" s="1085"/>
      <c r="O150" s="1085"/>
    </row>
    <row r="151" spans="1:15" ht="15" customHeight="1">
      <c r="A151" s="1052" t="s">
        <v>361</v>
      </c>
      <c r="B151" s="869" t="s">
        <v>362</v>
      </c>
      <c r="C151" s="1058" t="e">
        <f>VLOOKUP(B149,'LƯƠNG KT'!$D$15:$U$94,14,0)</f>
        <v>#N/A</v>
      </c>
      <c r="D151" s="1059" t="e">
        <f>C151*$L$4</f>
        <v>#N/A</v>
      </c>
      <c r="E151" s="1061"/>
      <c r="F151" s="1061"/>
      <c r="G151" s="1052" t="s">
        <v>361</v>
      </c>
      <c r="H151" s="869" t="s">
        <v>362</v>
      </c>
      <c r="I151" s="1058" t="e">
        <f>VLOOKUP(H149,'LƯƠNG KT'!$D$15:$U$94,14,0)</f>
        <v>#N/A</v>
      </c>
      <c r="J151" s="1059" t="e">
        <f>I151*$L$4</f>
        <v>#N/A</v>
      </c>
      <c r="K151" s="1085"/>
      <c r="L151" s="1085"/>
      <c r="M151" s="1085"/>
      <c r="N151" s="1085"/>
      <c r="O151" s="1085"/>
    </row>
    <row r="152" spans="1:15" ht="15" customHeight="1">
      <c r="A152" s="1052" t="s">
        <v>364</v>
      </c>
      <c r="B152" s="869" t="s">
        <v>365</v>
      </c>
      <c r="C152" s="1058" t="e">
        <f>VLOOKUP(B149,'LƯƠNG KT'!$D$15:$U$94,15,0)</f>
        <v>#N/A</v>
      </c>
      <c r="D152" s="1059" t="e">
        <f>C152*$L$5</f>
        <v>#N/A</v>
      </c>
      <c r="E152" s="1061"/>
      <c r="F152" s="1061"/>
      <c r="G152" s="1052" t="s">
        <v>364</v>
      </c>
      <c r="H152" s="869" t="s">
        <v>365</v>
      </c>
      <c r="I152" s="1058" t="e">
        <f>VLOOKUP(H149,'LƯƠNG KT'!$D$15:$U$94,15,0)</f>
        <v>#N/A</v>
      </c>
      <c r="J152" s="1059" t="e">
        <f>I152*$L$5</f>
        <v>#N/A</v>
      </c>
      <c r="K152" s="1085"/>
      <c r="L152" s="1085"/>
      <c r="M152" s="1085"/>
      <c r="N152" s="1085"/>
      <c r="O152" s="1085"/>
    </row>
    <row r="153" spans="1:15" ht="15" customHeight="1">
      <c r="A153" s="1052" t="s">
        <v>367</v>
      </c>
      <c r="B153" s="869"/>
      <c r="C153" s="1058" t="e">
        <f>VLOOKUP(B149,'LƯƠNG KT'!$D$15:$U$94,16,0)</f>
        <v>#N/A</v>
      </c>
      <c r="D153" s="1059" t="e">
        <f>+C153*$L$6</f>
        <v>#N/A</v>
      </c>
      <c r="E153" s="1061"/>
      <c r="F153" s="1061"/>
      <c r="G153" s="1052" t="s">
        <v>367</v>
      </c>
      <c r="H153" s="869"/>
      <c r="I153" s="1058" t="e">
        <f>VLOOKUP(H149,'LƯƠNG KT'!$D$15:$U$94,16,0)</f>
        <v>#N/A</v>
      </c>
      <c r="J153" s="1059" t="e">
        <f>+I153*$L$6</f>
        <v>#N/A</v>
      </c>
      <c r="K153" s="1085"/>
      <c r="L153" s="1085"/>
      <c r="M153" s="1085"/>
      <c r="N153" s="1085"/>
      <c r="O153" s="1085"/>
    </row>
    <row r="154" spans="1:15" ht="15" customHeight="1">
      <c r="A154" s="1052" t="s">
        <v>371</v>
      </c>
      <c r="B154" s="869" t="s">
        <v>372</v>
      </c>
      <c r="C154" s="1058" t="e">
        <f>VLOOKUP(B149,'LƯƠNG KT'!$D$15:$U$94,9,0)*$L$10</f>
        <v>#N/A</v>
      </c>
      <c r="D154" s="1059" t="e">
        <f>+C154*0.5*3000</f>
        <v>#N/A</v>
      </c>
      <c r="E154" s="1061"/>
      <c r="F154" s="1061"/>
      <c r="G154" s="1052" t="s">
        <v>371</v>
      </c>
      <c r="H154" s="869" t="s">
        <v>372</v>
      </c>
      <c r="I154" s="1058" t="e">
        <f>VLOOKUP(H149,'LƯƠNG KT'!$D$15:$U$94,9,0)*$L$10</f>
        <v>#N/A</v>
      </c>
      <c r="J154" s="1059" t="e">
        <f>+I154*0.5*3000</f>
        <v>#N/A</v>
      </c>
      <c r="K154" s="1085"/>
      <c r="L154" s="1085"/>
      <c r="M154" s="1085"/>
      <c r="N154" s="1085"/>
      <c r="O154" s="1085"/>
    </row>
    <row r="155" spans="1:15" ht="15" customHeight="1">
      <c r="A155" s="1052" t="s">
        <v>374</v>
      </c>
      <c r="B155" s="869" t="s">
        <v>375</v>
      </c>
      <c r="C155" s="1058" t="e">
        <f>VLOOKUP(B149,'LƯƠNG KT'!$D$15:$U$94,8,0)*$L$11</f>
        <v>#N/A</v>
      </c>
      <c r="D155" s="1059" t="e">
        <f>VLOOKUP(B149,'LƯƠNG KT'!$D$15:$U$94,13,0)-D154</f>
        <v>#N/A</v>
      </c>
      <c r="E155" s="1063"/>
      <c r="F155" s="1061"/>
      <c r="G155" s="1052" t="s">
        <v>374</v>
      </c>
      <c r="H155" s="869" t="s">
        <v>375</v>
      </c>
      <c r="I155" s="1058" t="e">
        <f>VLOOKUP(H149,'LƯƠNG KT'!$D$15:$U$94,8,0)*$L$11</f>
        <v>#N/A</v>
      </c>
      <c r="J155" s="1059" t="e">
        <f>VLOOKUP(H149,'LƯƠNG KT'!$D$15:$U$94,13,0)-J154</f>
        <v>#N/A</v>
      </c>
      <c r="K155" s="1085"/>
      <c r="L155" s="1085"/>
      <c r="M155" s="1085"/>
      <c r="N155" s="1085"/>
      <c r="O155" s="1085"/>
    </row>
    <row r="156" spans="1:15" ht="15" customHeight="1">
      <c r="A156" s="1059" t="s">
        <v>377</v>
      </c>
      <c r="B156" s="869" t="s">
        <v>378</v>
      </c>
      <c r="C156" s="1058"/>
      <c r="D156" s="1059"/>
      <c r="E156" s="1065"/>
      <c r="F156" s="1065"/>
      <c r="G156" s="1059" t="s">
        <v>377</v>
      </c>
      <c r="H156" s="869" t="s">
        <v>378</v>
      </c>
      <c r="I156" s="1058"/>
      <c r="J156" s="1059"/>
    </row>
    <row r="157" spans="1:15" ht="15" customHeight="1">
      <c r="A157" s="1066" t="s">
        <v>379</v>
      </c>
      <c r="B157" s="869" t="s">
        <v>380</v>
      </c>
      <c r="C157" s="1058"/>
      <c r="D157" s="1059">
        <f>56*25000</f>
        <v>1400000</v>
      </c>
      <c r="E157" s="1063"/>
      <c r="F157" s="1065"/>
      <c r="G157" s="1066" t="s">
        <v>379</v>
      </c>
      <c r="H157" s="869" t="s">
        <v>380</v>
      </c>
      <c r="I157" s="1058"/>
      <c r="J157" s="1059">
        <f>56*25000</f>
        <v>1400000</v>
      </c>
    </row>
    <row r="158" spans="1:15" ht="15" customHeight="1">
      <c r="A158" s="1052" t="s">
        <v>381</v>
      </c>
      <c r="B158" s="869" t="s">
        <v>382</v>
      </c>
      <c r="C158" s="1058"/>
      <c r="D158" s="1059">
        <f>D157</f>
        <v>1400000</v>
      </c>
      <c r="E158" s="1067"/>
      <c r="F158" s="1051"/>
      <c r="G158" s="1052" t="s">
        <v>381</v>
      </c>
      <c r="H158" s="869" t="s">
        <v>382</v>
      </c>
      <c r="I158" s="1058"/>
      <c r="J158" s="1059">
        <f>J157</f>
        <v>1400000</v>
      </c>
    </row>
    <row r="159" spans="1:15" ht="15" customHeight="1">
      <c r="A159" s="1068" t="s">
        <v>383</v>
      </c>
      <c r="B159" s="1069" t="s">
        <v>384</v>
      </c>
      <c r="C159" s="1070"/>
      <c r="D159" s="1071" t="e">
        <f>SUM(D150:D155)-D158</f>
        <v>#N/A</v>
      </c>
      <c r="E159" s="1072"/>
      <c r="F159" s="1073"/>
      <c r="G159" s="1068" t="s">
        <v>383</v>
      </c>
      <c r="H159" s="1069" t="s">
        <v>384</v>
      </c>
      <c r="I159" s="1070"/>
      <c r="J159" s="1071" t="e">
        <f>SUM(J150:J155)-J158</f>
        <v>#N/A</v>
      </c>
    </row>
    <row r="160" spans="1:15" ht="18.75" customHeight="1">
      <c r="A160" s="1074"/>
      <c r="B160" s="1075"/>
      <c r="C160" s="1076"/>
      <c r="D160" s="1077"/>
      <c r="E160" s="1077"/>
      <c r="F160" s="1078"/>
      <c r="G160" s="1074"/>
      <c r="H160" s="1075"/>
      <c r="I160" s="1076"/>
      <c r="J160" s="1077"/>
    </row>
    <row r="161" spans="1:15" ht="18.75" customHeight="1">
      <c r="A161" s="1075"/>
      <c r="B161" s="1075"/>
      <c r="C161" s="1079"/>
      <c r="D161" s="1080"/>
      <c r="E161" s="1075"/>
      <c r="F161" s="1081"/>
      <c r="G161" s="1075"/>
      <c r="H161" s="1075"/>
      <c r="I161" s="1079"/>
      <c r="J161" s="1080"/>
    </row>
    <row r="162" spans="1:15" ht="15" customHeight="1">
      <c r="A162" s="2242" t="str">
        <f>$K$2</f>
        <v>THÁNG 09/2024</v>
      </c>
      <c r="B162" s="2242"/>
      <c r="C162" s="2242"/>
      <c r="D162" s="2242"/>
      <c r="E162" s="1050"/>
      <c r="F162" s="1051"/>
      <c r="G162" s="2242" t="str">
        <f>$K$2</f>
        <v>THÁNG 09/2024</v>
      </c>
      <c r="H162" s="2242"/>
      <c r="I162" s="2242"/>
      <c r="J162" s="2242"/>
      <c r="K162" s="624"/>
    </row>
    <row r="163" spans="1:15" ht="15" customHeight="1">
      <c r="A163" s="1052" t="s">
        <v>356</v>
      </c>
      <c r="B163" s="1053" t="s">
        <v>403</v>
      </c>
      <c r="C163" s="869"/>
      <c r="D163" s="1049"/>
      <c r="E163" s="1054"/>
      <c r="F163" s="1055"/>
      <c r="G163" s="1052" t="s">
        <v>356</v>
      </c>
      <c r="H163" s="1053" t="s">
        <v>404</v>
      </c>
      <c r="I163" s="869"/>
      <c r="J163" s="1049"/>
      <c r="L163" s="1088"/>
      <c r="M163" s="1088"/>
      <c r="N163" s="1088"/>
      <c r="O163" s="1088"/>
    </row>
    <row r="164" spans="1:15" ht="15" customHeight="1">
      <c r="A164" s="1052" t="s">
        <v>359</v>
      </c>
      <c r="B164" s="1089" t="s">
        <v>360</v>
      </c>
      <c r="C164" s="1058" t="e">
        <f>VLOOKUP(B163,'LƯƠNG KT'!$D$15:$U$94,3,0)</f>
        <v>#N/A</v>
      </c>
      <c r="D164" s="1059" t="e">
        <f>+C164*25000</f>
        <v>#N/A</v>
      </c>
      <c r="E164" s="1060"/>
      <c r="F164" s="1060"/>
      <c r="G164" s="1052" t="s">
        <v>359</v>
      </c>
      <c r="H164" s="1089" t="s">
        <v>360</v>
      </c>
      <c r="I164" s="1058" t="e">
        <f>VLOOKUP(H163,'LƯƠNG KT'!$D$15:$U$94,3,0)</f>
        <v>#N/A</v>
      </c>
      <c r="J164" s="1059" t="e">
        <f>+I164*25000</f>
        <v>#N/A</v>
      </c>
      <c r="K164" s="1085"/>
      <c r="L164" s="1085"/>
      <c r="M164" s="1085"/>
      <c r="N164" s="1085"/>
      <c r="O164" s="1085"/>
    </row>
    <row r="165" spans="1:15" ht="15" customHeight="1">
      <c r="A165" s="1052" t="s">
        <v>361</v>
      </c>
      <c r="B165" s="869" t="s">
        <v>362</v>
      </c>
      <c r="C165" s="1058" t="e">
        <f>VLOOKUP(B163,'LƯƠNG KT'!$D$15:$U$94,14,0)</f>
        <v>#N/A</v>
      </c>
      <c r="D165" s="1059" t="e">
        <f>C165*$L$4</f>
        <v>#N/A</v>
      </c>
      <c r="E165" s="1061"/>
      <c r="F165" s="1061"/>
      <c r="G165" s="1052" t="s">
        <v>361</v>
      </c>
      <c r="H165" s="869" t="s">
        <v>362</v>
      </c>
      <c r="I165" s="1058" t="e">
        <f>VLOOKUP(H163,'LƯƠNG KT'!$D$15:$U$94,14,0)</f>
        <v>#N/A</v>
      </c>
      <c r="J165" s="1059" t="e">
        <f>I165*$L$4</f>
        <v>#N/A</v>
      </c>
      <c r="K165" s="1085"/>
      <c r="L165" s="1085"/>
      <c r="M165" s="1085"/>
      <c r="N165" s="1085"/>
      <c r="O165" s="1085"/>
    </row>
    <row r="166" spans="1:15" ht="15" customHeight="1">
      <c r="A166" s="1052" t="s">
        <v>364</v>
      </c>
      <c r="B166" s="869" t="s">
        <v>365</v>
      </c>
      <c r="C166" s="1058" t="e">
        <f>VLOOKUP(B163,'LƯƠNG KT'!$D$15:$U$94,15,0)</f>
        <v>#N/A</v>
      </c>
      <c r="D166" s="1059" t="e">
        <f>C166*$L$5</f>
        <v>#N/A</v>
      </c>
      <c r="E166" s="1061"/>
      <c r="F166" s="1061"/>
      <c r="G166" s="1052" t="s">
        <v>364</v>
      </c>
      <c r="H166" s="869" t="s">
        <v>365</v>
      </c>
      <c r="I166" s="1058" t="e">
        <f>VLOOKUP(H163,'LƯƠNG KT'!$D$15:$U$94,15,0)</f>
        <v>#N/A</v>
      </c>
      <c r="J166" s="1059" t="e">
        <f>I166*$L$5</f>
        <v>#N/A</v>
      </c>
      <c r="K166" s="1085"/>
      <c r="L166" s="1085"/>
      <c r="M166" s="1085"/>
      <c r="N166" s="1085"/>
      <c r="O166" s="1085"/>
    </row>
    <row r="167" spans="1:15" ht="15" customHeight="1">
      <c r="A167" s="1052" t="s">
        <v>367</v>
      </c>
      <c r="B167" s="869"/>
      <c r="C167" s="1058" t="e">
        <f>VLOOKUP(B163,'LƯƠNG KT'!$D$15:$U$94,16,0)</f>
        <v>#N/A</v>
      </c>
      <c r="D167" s="1059" t="e">
        <f>+C167*$L$6</f>
        <v>#N/A</v>
      </c>
      <c r="E167" s="1061"/>
      <c r="F167" s="1061"/>
      <c r="G167" s="1052" t="s">
        <v>367</v>
      </c>
      <c r="H167" s="869"/>
      <c r="I167" s="1058" t="e">
        <f>VLOOKUP(H163,'LƯƠNG KT'!$D$15:$U$94,16,0)</f>
        <v>#N/A</v>
      </c>
      <c r="J167" s="1059" t="e">
        <f>+I167*$L$6</f>
        <v>#N/A</v>
      </c>
      <c r="K167" s="1085"/>
      <c r="L167" s="1085"/>
      <c r="M167" s="1085"/>
      <c r="N167" s="1085"/>
      <c r="O167" s="1085"/>
    </row>
    <row r="168" spans="1:15" ht="15" customHeight="1">
      <c r="A168" s="1052" t="s">
        <v>371</v>
      </c>
      <c r="B168" s="869" t="s">
        <v>372</v>
      </c>
      <c r="C168" s="1058" t="e">
        <f>VLOOKUP(B163,'LƯƠNG KT'!$D$15:$U$94,9,0)*$L$10</f>
        <v>#N/A</v>
      </c>
      <c r="D168" s="1059" t="e">
        <f>+C168*0.5*3000</f>
        <v>#N/A</v>
      </c>
      <c r="E168" s="1061"/>
      <c r="F168" s="1061"/>
      <c r="G168" s="1052" t="s">
        <v>371</v>
      </c>
      <c r="H168" s="869" t="s">
        <v>372</v>
      </c>
      <c r="I168" s="1058" t="e">
        <f>VLOOKUP(H163,'LƯƠNG KT'!$D$15:$U$94,9,0)*$L$10</f>
        <v>#N/A</v>
      </c>
      <c r="J168" s="1059" t="e">
        <f>+I168*0.5*3000</f>
        <v>#N/A</v>
      </c>
      <c r="K168" s="1085"/>
      <c r="L168" s="1085"/>
      <c r="M168" s="1085"/>
      <c r="N168" s="1085"/>
      <c r="O168" s="1085"/>
    </row>
    <row r="169" spans="1:15" ht="15" customHeight="1">
      <c r="A169" s="1052" t="s">
        <v>374</v>
      </c>
      <c r="B169" s="869" t="s">
        <v>375</v>
      </c>
      <c r="C169" s="1058" t="e">
        <f>VLOOKUP(B163,'LƯƠNG KT'!$D$15:$U$94,8,0)*$L$11</f>
        <v>#N/A</v>
      </c>
      <c r="D169" s="1059" t="e">
        <f>VLOOKUP(B163,'LƯƠNG KT'!$D$15:$U$94,13,0)-D168</f>
        <v>#N/A</v>
      </c>
      <c r="E169" s="1063"/>
      <c r="F169" s="1061"/>
      <c r="G169" s="1052" t="s">
        <v>374</v>
      </c>
      <c r="H169" s="869" t="s">
        <v>375</v>
      </c>
      <c r="I169" s="1058" t="e">
        <f>VLOOKUP(H163,'LƯƠNG KT'!$D$15:$U$94,8,0)*$L$11</f>
        <v>#N/A</v>
      </c>
      <c r="J169" s="1059" t="e">
        <f>VLOOKUP(H163,'LƯƠNG KT'!$D$15:$U$94,13,0)-J168</f>
        <v>#N/A</v>
      </c>
      <c r="K169" s="1085"/>
      <c r="L169" s="1085"/>
      <c r="M169" s="1085"/>
      <c r="N169" s="1085"/>
      <c r="O169" s="1085"/>
    </row>
    <row r="170" spans="1:15" ht="15" customHeight="1">
      <c r="A170" s="1059" t="s">
        <v>377</v>
      </c>
      <c r="B170" s="869" t="s">
        <v>378</v>
      </c>
      <c r="C170" s="1058"/>
      <c r="D170" s="1059"/>
      <c r="E170" s="1065"/>
      <c r="F170" s="1065"/>
      <c r="G170" s="1059" t="s">
        <v>377</v>
      </c>
      <c r="H170" s="869" t="s">
        <v>378</v>
      </c>
      <c r="I170" s="1058"/>
      <c r="J170" s="1059"/>
    </row>
    <row r="171" spans="1:15" ht="15" customHeight="1">
      <c r="A171" s="1066" t="s">
        <v>379</v>
      </c>
      <c r="B171" s="869" t="s">
        <v>380</v>
      </c>
      <c r="C171" s="1058"/>
      <c r="D171" s="1059">
        <f>56*25000</f>
        <v>1400000</v>
      </c>
      <c r="E171" s="1063"/>
      <c r="F171" s="1065"/>
      <c r="G171" s="1066" t="s">
        <v>379</v>
      </c>
      <c r="H171" s="869" t="s">
        <v>380</v>
      </c>
      <c r="I171" s="1058"/>
      <c r="J171" s="1059">
        <f>56*25000</f>
        <v>1400000</v>
      </c>
    </row>
    <row r="172" spans="1:15" ht="15" customHeight="1">
      <c r="A172" s="1052" t="s">
        <v>381</v>
      </c>
      <c r="B172" s="869" t="s">
        <v>382</v>
      </c>
      <c r="C172" s="1058"/>
      <c r="D172" s="1059">
        <f>D171</f>
        <v>1400000</v>
      </c>
      <c r="E172" s="1067"/>
      <c r="F172" s="1051"/>
      <c r="G172" s="1052" t="s">
        <v>381</v>
      </c>
      <c r="H172" s="869" t="s">
        <v>382</v>
      </c>
      <c r="I172" s="1058"/>
      <c r="J172" s="1059">
        <f>J171</f>
        <v>1400000</v>
      </c>
    </row>
    <row r="173" spans="1:15" ht="15" customHeight="1">
      <c r="A173" s="1068" t="s">
        <v>383</v>
      </c>
      <c r="B173" s="1069" t="s">
        <v>384</v>
      </c>
      <c r="C173" s="1070"/>
      <c r="D173" s="1071" t="e">
        <f>SUM(D164:D169)-D172</f>
        <v>#N/A</v>
      </c>
      <c r="E173" s="1072"/>
      <c r="F173" s="1073"/>
      <c r="G173" s="1068" t="s">
        <v>383</v>
      </c>
      <c r="H173" s="1069" t="s">
        <v>384</v>
      </c>
      <c r="I173" s="1070"/>
      <c r="J173" s="1071" t="e">
        <f>SUM(J164:J169)-J172</f>
        <v>#N/A</v>
      </c>
    </row>
    <row r="174" spans="1:15" ht="18.75" customHeight="1">
      <c r="A174" s="1074"/>
      <c r="B174" s="1075"/>
      <c r="C174" s="1076"/>
      <c r="D174" s="1077"/>
      <c r="E174" s="1077"/>
      <c r="F174" s="1078"/>
      <c r="G174" s="1074"/>
      <c r="H174" s="1075"/>
      <c r="I174" s="1076"/>
      <c r="J174" s="1077"/>
    </row>
    <row r="175" spans="1:15" ht="18.75" customHeight="1">
      <c r="A175" s="1075"/>
      <c r="B175" s="1075"/>
      <c r="C175" s="1079"/>
      <c r="D175" s="1080"/>
      <c r="E175" s="1075"/>
      <c r="F175" s="1081"/>
      <c r="G175" s="1075"/>
      <c r="H175" s="1075"/>
      <c r="I175" s="1079"/>
      <c r="J175" s="1080"/>
    </row>
    <row r="176" spans="1:15" ht="15" customHeight="1">
      <c r="A176" s="2242" t="str">
        <f>$K$2</f>
        <v>THÁNG 09/2024</v>
      </c>
      <c r="B176" s="2242"/>
      <c r="C176" s="2242"/>
      <c r="D176" s="2242"/>
      <c r="E176" s="1050"/>
      <c r="F176" s="1051"/>
      <c r="G176" s="2242" t="str">
        <f>$K$2</f>
        <v>THÁNG 09/2024</v>
      </c>
      <c r="H176" s="2242"/>
      <c r="I176" s="2242"/>
      <c r="J176" s="2242"/>
      <c r="K176" s="624"/>
    </row>
    <row r="177" spans="1:15" ht="15" customHeight="1">
      <c r="A177" s="1052" t="s">
        <v>356</v>
      </c>
      <c r="B177" s="1053" t="s">
        <v>405</v>
      </c>
      <c r="C177" s="869"/>
      <c r="D177" s="1049"/>
      <c r="E177" s="1054"/>
      <c r="F177" s="1055"/>
      <c r="G177" s="1052" t="s">
        <v>356</v>
      </c>
      <c r="H177" s="1053" t="s">
        <v>406</v>
      </c>
      <c r="I177" s="869"/>
      <c r="J177" s="1049"/>
      <c r="L177" s="1088"/>
      <c r="M177" s="1088"/>
      <c r="N177" s="1088"/>
      <c r="O177" s="1088"/>
    </row>
    <row r="178" spans="1:15" ht="15" customHeight="1">
      <c r="A178" s="1052" t="s">
        <v>359</v>
      </c>
      <c r="B178" s="1089" t="s">
        <v>360</v>
      </c>
      <c r="C178" s="1058" t="e">
        <f>VLOOKUP(B177,'LƯƠNG KT'!$D$15:$U$94,3,0)</f>
        <v>#N/A</v>
      </c>
      <c r="D178" s="1059" t="e">
        <f>+C178*25000</f>
        <v>#N/A</v>
      </c>
      <c r="E178" s="1060"/>
      <c r="F178" s="1060"/>
      <c r="G178" s="1052" t="s">
        <v>359</v>
      </c>
      <c r="H178" s="1089" t="s">
        <v>360</v>
      </c>
      <c r="I178" s="1058" t="e">
        <f>VLOOKUP(H177,'LƯƠNG KT'!$D$15:$U$94,3,0)</f>
        <v>#N/A</v>
      </c>
      <c r="J178" s="1059" t="e">
        <f>+I178*25000</f>
        <v>#N/A</v>
      </c>
      <c r="K178" s="1085"/>
      <c r="L178" s="1085"/>
      <c r="M178" s="1085"/>
      <c r="N178" s="1085"/>
      <c r="O178" s="1085"/>
    </row>
    <row r="179" spans="1:15" ht="15" customHeight="1">
      <c r="A179" s="1052" t="s">
        <v>361</v>
      </c>
      <c r="B179" s="869" t="s">
        <v>362</v>
      </c>
      <c r="C179" s="1058" t="e">
        <f>VLOOKUP(B177,'LƯƠNG KT'!$D$15:$U$94,14,0)</f>
        <v>#N/A</v>
      </c>
      <c r="D179" s="1059" t="e">
        <f>C179*$L$4</f>
        <v>#N/A</v>
      </c>
      <c r="E179" s="1061"/>
      <c r="F179" s="1061"/>
      <c r="G179" s="1052" t="s">
        <v>361</v>
      </c>
      <c r="H179" s="869" t="s">
        <v>362</v>
      </c>
      <c r="I179" s="1058" t="e">
        <f>VLOOKUP(H177,'LƯƠNG KT'!$D$15:$U$94,14,0)</f>
        <v>#N/A</v>
      </c>
      <c r="J179" s="1059" t="e">
        <f>I179*$L$4</f>
        <v>#N/A</v>
      </c>
      <c r="K179" s="1085"/>
      <c r="L179" s="1085"/>
      <c r="M179" s="1085"/>
      <c r="N179" s="1085"/>
      <c r="O179" s="1085"/>
    </row>
    <row r="180" spans="1:15" ht="15" customHeight="1">
      <c r="A180" s="1052" t="s">
        <v>364</v>
      </c>
      <c r="B180" s="869" t="s">
        <v>365</v>
      </c>
      <c r="C180" s="1058" t="e">
        <f>VLOOKUP(B177,'LƯƠNG KT'!$D$15:$U$94,15,0)</f>
        <v>#N/A</v>
      </c>
      <c r="D180" s="1059" t="e">
        <f>C180*$L$5</f>
        <v>#N/A</v>
      </c>
      <c r="E180" s="1061"/>
      <c r="F180" s="1061"/>
      <c r="G180" s="1052" t="s">
        <v>364</v>
      </c>
      <c r="H180" s="869" t="s">
        <v>365</v>
      </c>
      <c r="I180" s="1058" t="e">
        <f>VLOOKUP(H177,'LƯƠNG KT'!$D$15:$U$94,15,0)</f>
        <v>#N/A</v>
      </c>
      <c r="J180" s="1059" t="e">
        <f>I180*$L$5</f>
        <v>#N/A</v>
      </c>
      <c r="K180" s="1085"/>
      <c r="L180" s="1085"/>
      <c r="M180" s="1085"/>
      <c r="N180" s="1085"/>
      <c r="O180" s="1085"/>
    </row>
    <row r="181" spans="1:15" ht="15" customHeight="1">
      <c r="A181" s="1052" t="s">
        <v>367</v>
      </c>
      <c r="B181" s="869"/>
      <c r="C181" s="1058" t="e">
        <f>VLOOKUP(B177,'LƯƠNG KT'!$D$15:$U$94,16,0)</f>
        <v>#N/A</v>
      </c>
      <c r="D181" s="1059" t="e">
        <f>+C181*$L$6</f>
        <v>#N/A</v>
      </c>
      <c r="E181" s="1061"/>
      <c r="F181" s="1061"/>
      <c r="G181" s="1052" t="s">
        <v>367</v>
      </c>
      <c r="H181" s="869"/>
      <c r="I181" s="1058" t="e">
        <f>VLOOKUP(H177,'LƯƠNG KT'!$D$15:$U$94,16,0)</f>
        <v>#N/A</v>
      </c>
      <c r="J181" s="1059" t="e">
        <f>+I181*$L$6</f>
        <v>#N/A</v>
      </c>
      <c r="K181" s="1085"/>
      <c r="L181" s="1085"/>
      <c r="M181" s="1085"/>
      <c r="N181" s="1085"/>
      <c r="O181" s="1085"/>
    </row>
    <row r="182" spans="1:15" ht="15" customHeight="1">
      <c r="A182" s="1052" t="s">
        <v>371</v>
      </c>
      <c r="B182" s="869" t="s">
        <v>372</v>
      </c>
      <c r="C182" s="1058" t="e">
        <f>VLOOKUP(B177,'LƯƠNG KT'!$D$15:$U$94,9,0)*$L$10</f>
        <v>#N/A</v>
      </c>
      <c r="D182" s="1059" t="e">
        <f>+C182*0.5*3000</f>
        <v>#N/A</v>
      </c>
      <c r="E182" s="1061"/>
      <c r="F182" s="1061"/>
      <c r="G182" s="1052" t="s">
        <v>371</v>
      </c>
      <c r="H182" s="869" t="s">
        <v>372</v>
      </c>
      <c r="I182" s="1058" t="e">
        <f>VLOOKUP(H177,'LƯƠNG KT'!$D$15:$U$94,9,0)*$L$10</f>
        <v>#N/A</v>
      </c>
      <c r="J182" s="1059" t="e">
        <f>+I182*0.5*3000</f>
        <v>#N/A</v>
      </c>
      <c r="K182" s="1085"/>
      <c r="L182" s="1085"/>
      <c r="M182" s="1085"/>
      <c r="N182" s="1085"/>
      <c r="O182" s="1085"/>
    </row>
    <row r="183" spans="1:15" ht="15" customHeight="1">
      <c r="A183" s="1052" t="s">
        <v>374</v>
      </c>
      <c r="B183" s="869" t="s">
        <v>375</v>
      </c>
      <c r="C183" s="1058" t="e">
        <f>VLOOKUP(B177,'LƯƠNG KT'!$D$15:$U$94,8,0)*$L$11</f>
        <v>#N/A</v>
      </c>
      <c r="D183" s="1059" t="e">
        <f>VLOOKUP(B177,'LƯƠNG KT'!$D$15:$U$94,13,0)-D182+C179*20000+C180*20000</f>
        <v>#N/A</v>
      </c>
      <c r="E183" s="1063"/>
      <c r="F183" s="1061"/>
      <c r="G183" s="1052" t="s">
        <v>374</v>
      </c>
      <c r="H183" s="869" t="s">
        <v>375</v>
      </c>
      <c r="I183" s="1058" t="e">
        <f>VLOOKUP(H177,'LƯƠNG KT'!$D$15:$U$94,8,0)*$L$11</f>
        <v>#N/A</v>
      </c>
      <c r="J183" s="1059" t="e">
        <f>VLOOKUP(H177,'LƯƠNG KT'!$D$15:$U$94,13,0)-J182</f>
        <v>#N/A</v>
      </c>
      <c r="K183" s="1085"/>
      <c r="L183" s="1085"/>
      <c r="M183" s="1085"/>
      <c r="N183" s="1085"/>
      <c r="O183" s="1085"/>
    </row>
    <row r="184" spans="1:15" ht="15" customHeight="1">
      <c r="A184" s="1059" t="s">
        <v>377</v>
      </c>
      <c r="B184" s="869" t="s">
        <v>378</v>
      </c>
      <c r="C184" s="1058"/>
      <c r="D184" s="1059"/>
      <c r="E184" s="1065"/>
      <c r="F184" s="1065"/>
      <c r="G184" s="1059" t="s">
        <v>377</v>
      </c>
      <c r="H184" s="869" t="s">
        <v>378</v>
      </c>
      <c r="I184" s="1058"/>
      <c r="J184" s="1059"/>
    </row>
    <row r="185" spans="1:15" ht="15" customHeight="1">
      <c r="A185" s="1066" t="s">
        <v>379</v>
      </c>
      <c r="B185" s="869" t="s">
        <v>380</v>
      </c>
      <c r="C185" s="1058"/>
      <c r="D185" s="1059">
        <f>56*25000</f>
        <v>1400000</v>
      </c>
      <c r="E185" s="1063"/>
      <c r="F185" s="1065"/>
      <c r="G185" s="1066" t="s">
        <v>379</v>
      </c>
      <c r="H185" s="869" t="s">
        <v>380</v>
      </c>
      <c r="I185" s="1058"/>
      <c r="J185" s="1059">
        <f>56*25000</f>
        <v>1400000</v>
      </c>
    </row>
    <row r="186" spans="1:15" ht="15" customHeight="1">
      <c r="A186" s="1052" t="s">
        <v>381</v>
      </c>
      <c r="B186" s="869" t="s">
        <v>382</v>
      </c>
      <c r="C186" s="1058"/>
      <c r="D186" s="1059">
        <f>D185</f>
        <v>1400000</v>
      </c>
      <c r="E186" s="1067"/>
      <c r="F186" s="1051"/>
      <c r="G186" s="1052" t="s">
        <v>381</v>
      </c>
      <c r="H186" s="869" t="s">
        <v>382</v>
      </c>
      <c r="I186" s="1058"/>
      <c r="J186" s="1059">
        <f>J185</f>
        <v>1400000</v>
      </c>
    </row>
    <row r="187" spans="1:15" ht="15" customHeight="1">
      <c r="A187" s="1068" t="s">
        <v>383</v>
      </c>
      <c r="B187" s="1069" t="s">
        <v>384</v>
      </c>
      <c r="C187" s="1070"/>
      <c r="D187" s="1071" t="e">
        <f>SUM(D178:D183)-D186</f>
        <v>#N/A</v>
      </c>
      <c r="E187" s="1072"/>
      <c r="F187" s="1073"/>
      <c r="G187" s="1068" t="s">
        <v>383</v>
      </c>
      <c r="H187" s="1069" t="s">
        <v>384</v>
      </c>
      <c r="I187" s="1070"/>
      <c r="J187" s="1071" t="e">
        <f>SUM(J178:J183)-J186</f>
        <v>#N/A</v>
      </c>
    </row>
    <row r="188" spans="1:15" ht="15.75" customHeight="1">
      <c r="A188" s="1074"/>
      <c r="B188" s="1075"/>
      <c r="C188" s="1076"/>
      <c r="D188" s="1077"/>
      <c r="E188" s="1077"/>
      <c r="F188" s="1078"/>
      <c r="G188" s="1074"/>
      <c r="H188" s="1075"/>
      <c r="I188" s="1076"/>
      <c r="J188" s="1077"/>
    </row>
    <row r="190" spans="1:15" ht="12" customHeight="1">
      <c r="A190" s="2243"/>
      <c r="B190" s="2243"/>
      <c r="C190" s="2243"/>
      <c r="D190" s="2243"/>
      <c r="E190" s="2243"/>
      <c r="F190" s="2243"/>
      <c r="G190" s="2243"/>
      <c r="H190" s="2243"/>
      <c r="I190" s="2243"/>
      <c r="J190" s="2243"/>
    </row>
    <row r="191" spans="1:15" ht="15" customHeight="1">
      <c r="A191" s="2242" t="str">
        <f>$K$2</f>
        <v>THÁNG 09/2024</v>
      </c>
      <c r="B191" s="2242"/>
      <c r="C191" s="2242"/>
      <c r="D191" s="2242"/>
      <c r="E191" s="1050"/>
      <c r="F191" s="1051"/>
      <c r="G191" s="2242" t="str">
        <f>$K$2</f>
        <v>THÁNG 09/2024</v>
      </c>
      <c r="H191" s="2242"/>
      <c r="I191" s="2242"/>
      <c r="J191" s="2242"/>
      <c r="K191" s="624"/>
    </row>
    <row r="192" spans="1:15" ht="15" customHeight="1">
      <c r="A192" s="1052" t="s">
        <v>356</v>
      </c>
      <c r="B192" s="1053" t="s">
        <v>407</v>
      </c>
      <c r="C192" s="869"/>
      <c r="D192" s="1049"/>
      <c r="E192" s="1054"/>
      <c r="F192" s="1055"/>
      <c r="G192" s="1052" t="s">
        <v>356</v>
      </c>
      <c r="H192" s="1053" t="s">
        <v>408</v>
      </c>
      <c r="I192" s="869"/>
      <c r="J192" s="1049"/>
      <c r="L192" s="1088"/>
      <c r="M192" s="1088"/>
      <c r="N192" s="1088"/>
      <c r="O192" s="1088"/>
    </row>
    <row r="193" spans="1:15" ht="15" customHeight="1">
      <c r="A193" s="1052" t="s">
        <v>359</v>
      </c>
      <c r="B193" s="1089" t="s">
        <v>360</v>
      </c>
      <c r="C193" s="1058" t="e">
        <f>VLOOKUP(B192,'LƯƠNG KT'!$D$15:$U$94,3,0)</f>
        <v>#N/A</v>
      </c>
      <c r="D193" s="1059" t="e">
        <f>+C193*25000</f>
        <v>#N/A</v>
      </c>
      <c r="E193" s="1060"/>
      <c r="F193" s="1060"/>
      <c r="G193" s="1052" t="s">
        <v>359</v>
      </c>
      <c r="H193" s="1089" t="s">
        <v>360</v>
      </c>
      <c r="I193" s="1058">
        <f>VLOOKUP(H192,'LƯƠNG KT'!$D$15:$U$94,3,0)</f>
        <v>0</v>
      </c>
      <c r="J193" s="1059">
        <f>+I193*25000</f>
        <v>0</v>
      </c>
      <c r="K193" s="1084"/>
      <c r="L193" s="1085"/>
      <c r="M193" s="1085"/>
      <c r="N193" s="1085"/>
      <c r="O193" s="1085"/>
    </row>
    <row r="194" spans="1:15" ht="15" customHeight="1">
      <c r="A194" s="1052" t="s">
        <v>361</v>
      </c>
      <c r="B194" s="869" t="s">
        <v>362</v>
      </c>
      <c r="C194" s="1058" t="e">
        <f>VLOOKUP(B192,'LƯƠNG KT'!$D$15:$U$94,14,0)</f>
        <v>#N/A</v>
      </c>
      <c r="D194" s="1059" t="e">
        <f>C194*$L$4</f>
        <v>#N/A</v>
      </c>
      <c r="E194" s="1061"/>
      <c r="F194" s="1061"/>
      <c r="G194" s="1052" t="s">
        <v>361</v>
      </c>
      <c r="H194" s="869" t="s">
        <v>362</v>
      </c>
      <c r="I194" s="1058">
        <f>VLOOKUP(H192,'LƯƠNG KT'!$D$15:$U$94,14,0)</f>
        <v>0</v>
      </c>
      <c r="J194" s="1059">
        <f>I194*$L$4</f>
        <v>0</v>
      </c>
      <c r="K194" s="1084"/>
      <c r="L194" s="1085"/>
      <c r="M194" s="1085"/>
      <c r="N194" s="1085"/>
      <c r="O194" s="1085"/>
    </row>
    <row r="195" spans="1:15" ht="15" customHeight="1">
      <c r="A195" s="1052" t="s">
        <v>364</v>
      </c>
      <c r="B195" s="869" t="s">
        <v>365</v>
      </c>
      <c r="C195" s="1058" t="e">
        <f>VLOOKUP(B192,'LƯƠNG KT'!$D$15:$U$94,15,0)</f>
        <v>#N/A</v>
      </c>
      <c r="D195" s="1059" t="e">
        <f>C195*$L$5</f>
        <v>#N/A</v>
      </c>
      <c r="E195" s="1061"/>
      <c r="F195" s="1061"/>
      <c r="G195" s="1052" t="s">
        <v>364</v>
      </c>
      <c r="H195" s="869" t="s">
        <v>365</v>
      </c>
      <c r="I195" s="1058">
        <f>VLOOKUP(H192,'LƯƠNG KT'!$D$15:$U$94,15,0)</f>
        <v>1628607</v>
      </c>
      <c r="J195" s="1059">
        <f>I195*$L$5</f>
        <v>85221979986.800995</v>
      </c>
      <c r="K195" s="1084"/>
      <c r="L195" s="1085"/>
      <c r="M195" s="1085"/>
      <c r="N195" s="1085"/>
      <c r="O195" s="1085"/>
    </row>
    <row r="196" spans="1:15" ht="15" customHeight="1">
      <c r="A196" s="1052" t="s">
        <v>367</v>
      </c>
      <c r="B196" s="869"/>
      <c r="C196" s="1058" t="e">
        <f>VLOOKUP(B192,'LƯƠNG KT'!$D$15:$U$94,16,0)</f>
        <v>#N/A</v>
      </c>
      <c r="D196" s="1059" t="e">
        <f>+C196*$L$6</f>
        <v>#N/A</v>
      </c>
      <c r="E196" s="1061"/>
      <c r="F196" s="1061"/>
      <c r="G196" s="1052" t="s">
        <v>367</v>
      </c>
      <c r="H196" s="869"/>
      <c r="I196" s="1058">
        <f>VLOOKUP(H192,'LƯƠNG KT'!$D$15:$U$94,16,0)</f>
        <v>4463657</v>
      </c>
      <c r="J196" s="1059">
        <f>+I196*$L$6</f>
        <v>44636570000</v>
      </c>
      <c r="K196" s="1085"/>
      <c r="L196" s="1085"/>
      <c r="M196" s="1085"/>
      <c r="N196" s="1085"/>
      <c r="O196" s="1085"/>
    </row>
    <row r="197" spans="1:15" ht="15" customHeight="1">
      <c r="A197" s="1052" t="s">
        <v>371</v>
      </c>
      <c r="B197" s="869" t="s">
        <v>372</v>
      </c>
      <c r="C197" s="1058" t="e">
        <f>VLOOKUP(B192,'LƯƠNG KT'!$D$15:$U$94,9,0)*$L$10</f>
        <v>#N/A</v>
      </c>
      <c r="D197" s="1059" t="e">
        <f>+C197*0.5*3000</f>
        <v>#N/A</v>
      </c>
      <c r="E197" s="1061"/>
      <c r="F197" s="1061"/>
      <c r="G197" s="1052" t="s">
        <v>371</v>
      </c>
      <c r="H197" s="869" t="s">
        <v>372</v>
      </c>
      <c r="I197" s="1058">
        <f>VLOOKUP(H192,'LƯƠNG KT'!$D$15:$U$94,9,0)*$L$10</f>
        <v>1417525</v>
      </c>
      <c r="J197" s="1059">
        <f>+I197*0.5*3000</f>
        <v>2126287500</v>
      </c>
      <c r="K197" s="1085"/>
      <c r="L197" s="1085"/>
      <c r="M197" s="1085"/>
      <c r="N197" s="1085"/>
      <c r="O197" s="1085"/>
    </row>
    <row r="198" spans="1:15" ht="15" customHeight="1">
      <c r="A198" s="1052" t="s">
        <v>374</v>
      </c>
      <c r="B198" s="869" t="s">
        <v>375</v>
      </c>
      <c r="C198" s="1058" t="e">
        <f>VLOOKUP(B192,'LƯƠNG KT'!$D$15:$U$94,8,0)*$L$11</f>
        <v>#N/A</v>
      </c>
      <c r="D198" s="1059" t="e">
        <f>VLOOKUP(B192,'LƯƠNG KT'!$D$15:$U$94,13,0)-D197</f>
        <v>#N/A</v>
      </c>
      <c r="E198" s="1063"/>
      <c r="F198" s="1061"/>
      <c r="G198" s="1052" t="s">
        <v>374</v>
      </c>
      <c r="H198" s="869" t="s">
        <v>375</v>
      </c>
      <c r="I198" s="1058" t="e">
        <f>VLOOKUP(H192,'LƯƠNG KT'!$D$15:$U$94,8,0)*$L$11</f>
        <v>#VALUE!</v>
      </c>
      <c r="J198" s="1059">
        <f>VLOOKUP(H192,'LƯƠNG KT'!$D$15:$U$94,13,0)-J197</f>
        <v>-2126287471</v>
      </c>
      <c r="K198" s="1085"/>
      <c r="L198" s="1085"/>
      <c r="M198" s="1085"/>
      <c r="N198" s="1085"/>
      <c r="O198" s="1085"/>
    </row>
    <row r="199" spans="1:15" ht="15" customHeight="1">
      <c r="A199" s="1059" t="s">
        <v>377</v>
      </c>
      <c r="B199" s="869" t="s">
        <v>378</v>
      </c>
      <c r="C199" s="1058"/>
      <c r="D199" s="1059"/>
      <c r="E199" s="1065"/>
      <c r="F199" s="1065"/>
      <c r="G199" s="1059" t="s">
        <v>377</v>
      </c>
      <c r="H199" s="869" t="s">
        <v>378</v>
      </c>
      <c r="I199" s="1058"/>
      <c r="J199" s="1059"/>
    </row>
    <row r="200" spans="1:15" ht="15" customHeight="1">
      <c r="A200" s="1066" t="s">
        <v>379</v>
      </c>
      <c r="B200" s="869" t="s">
        <v>380</v>
      </c>
      <c r="C200" s="1058"/>
      <c r="D200" s="1059">
        <f>56*25000</f>
        <v>1400000</v>
      </c>
      <c r="E200" s="1063"/>
      <c r="F200" s="1065"/>
      <c r="G200" s="1066" t="s">
        <v>379</v>
      </c>
      <c r="H200" s="869" t="s">
        <v>380</v>
      </c>
      <c r="I200" s="1058"/>
      <c r="J200" s="1059">
        <f>56*25000</f>
        <v>1400000</v>
      </c>
    </row>
    <row r="201" spans="1:15" ht="15" customHeight="1">
      <c r="A201" s="1052" t="s">
        <v>381</v>
      </c>
      <c r="B201" s="869" t="s">
        <v>382</v>
      </c>
      <c r="C201" s="1058"/>
      <c r="D201" s="1059">
        <f>D200</f>
        <v>1400000</v>
      </c>
      <c r="E201" s="1067"/>
      <c r="F201" s="1051"/>
      <c r="G201" s="1052" t="s">
        <v>381</v>
      </c>
      <c r="H201" s="869" t="s">
        <v>382</v>
      </c>
      <c r="I201" s="1058"/>
      <c r="J201" s="1059">
        <f>J200</f>
        <v>1400000</v>
      </c>
    </row>
    <row r="202" spans="1:15" ht="15" customHeight="1">
      <c r="A202" s="1068" t="s">
        <v>383</v>
      </c>
      <c r="B202" s="1069" t="s">
        <v>384</v>
      </c>
      <c r="C202" s="1070"/>
      <c r="D202" s="1071" t="e">
        <f>SUM(D193:D198)-D201</f>
        <v>#N/A</v>
      </c>
      <c r="E202" s="1072"/>
      <c r="F202" s="1073"/>
      <c r="G202" s="1068" t="s">
        <v>383</v>
      </c>
      <c r="H202" s="1069" t="s">
        <v>384</v>
      </c>
      <c r="I202" s="1070"/>
      <c r="J202" s="1071">
        <f>SUM(J193:J198)-J201</f>
        <v>129857150015.80099</v>
      </c>
    </row>
    <row r="203" spans="1:15" ht="12.6" customHeight="1">
      <c r="A203" s="1074"/>
      <c r="B203" s="1075"/>
      <c r="C203" s="1076"/>
      <c r="D203" s="1077"/>
      <c r="E203" s="1077"/>
      <c r="F203" s="1078"/>
      <c r="G203" s="1074"/>
      <c r="H203" s="1075"/>
      <c r="I203" s="1076"/>
      <c r="J203" s="1077"/>
    </row>
    <row r="204" spans="1:15" ht="12.6" customHeight="1">
      <c r="A204" s="1075"/>
      <c r="B204" s="1075"/>
      <c r="C204" s="1079"/>
      <c r="D204" s="1080"/>
      <c r="E204" s="1075"/>
      <c r="F204" s="1081"/>
      <c r="G204" s="1075"/>
      <c r="H204" s="1075"/>
      <c r="I204" s="1079"/>
      <c r="J204" s="1080"/>
    </row>
    <row r="205" spans="1:15" ht="15" customHeight="1">
      <c r="A205" s="2242" t="str">
        <f>$K$2</f>
        <v>THÁNG 09/2024</v>
      </c>
      <c r="B205" s="2242"/>
      <c r="C205" s="2242"/>
      <c r="D205" s="2242"/>
      <c r="E205" s="1050"/>
      <c r="F205" s="1051"/>
      <c r="G205" s="2242" t="str">
        <f>$K$2</f>
        <v>THÁNG 09/2024</v>
      </c>
      <c r="H205" s="2242"/>
      <c r="I205" s="2242"/>
      <c r="J205" s="2242"/>
      <c r="K205" s="624"/>
    </row>
    <row r="206" spans="1:15" ht="15" customHeight="1">
      <c r="A206" s="1052" t="s">
        <v>356</v>
      </c>
      <c r="B206" s="1053" t="s">
        <v>409</v>
      </c>
      <c r="C206" s="869"/>
      <c r="D206" s="1049"/>
      <c r="E206" s="1054"/>
      <c r="F206" s="1055"/>
      <c r="G206" s="1052" t="s">
        <v>356</v>
      </c>
      <c r="H206" s="1053" t="s">
        <v>410</v>
      </c>
      <c r="I206" s="869"/>
      <c r="J206" s="1049"/>
      <c r="L206" s="1088"/>
      <c r="M206" s="1088"/>
      <c r="N206" s="1088"/>
      <c r="O206" s="1088"/>
    </row>
    <row r="207" spans="1:15" ht="15" customHeight="1">
      <c r="A207" s="1052" t="s">
        <v>359</v>
      </c>
      <c r="B207" s="1089" t="s">
        <v>360</v>
      </c>
      <c r="C207" s="1058" t="e">
        <f>VLOOKUP(B206,'LƯƠNG KT'!$D$15:$U$94,3,0)</f>
        <v>#N/A</v>
      </c>
      <c r="D207" s="1059" t="e">
        <f>+C207*25000</f>
        <v>#N/A</v>
      </c>
      <c r="E207" s="1060"/>
      <c r="F207" s="1060"/>
      <c r="G207" s="1052" t="s">
        <v>359</v>
      </c>
      <c r="H207" s="1089" t="s">
        <v>360</v>
      </c>
      <c r="I207" s="1058" t="e">
        <f>VLOOKUP(H206,'LƯƠNG KT'!$D$15:$U$94,3,0)</f>
        <v>#N/A</v>
      </c>
      <c r="J207" s="1059" t="e">
        <f>+I207*25000</f>
        <v>#N/A</v>
      </c>
      <c r="K207" s="1085"/>
      <c r="L207" s="1085"/>
      <c r="M207" s="1085"/>
      <c r="N207" s="1085"/>
      <c r="O207" s="1085"/>
    </row>
    <row r="208" spans="1:15" ht="15" customHeight="1">
      <c r="A208" s="1052" t="s">
        <v>361</v>
      </c>
      <c r="B208" s="869" t="s">
        <v>362</v>
      </c>
      <c r="C208" s="1058" t="e">
        <f>VLOOKUP(B206,'LƯƠNG KT'!$D$15:$U$94,14,0)</f>
        <v>#N/A</v>
      </c>
      <c r="D208" s="1059" t="e">
        <f>C208*$L$4</f>
        <v>#N/A</v>
      </c>
      <c r="E208" s="1061"/>
      <c r="F208" s="1061"/>
      <c r="G208" s="1052" t="s">
        <v>361</v>
      </c>
      <c r="H208" s="869" t="s">
        <v>362</v>
      </c>
      <c r="I208" s="1058" t="e">
        <f>VLOOKUP(H206,'LƯƠNG KT'!$D$15:$U$94,14,0)</f>
        <v>#N/A</v>
      </c>
      <c r="J208" s="1059" t="e">
        <f>I208*$L$4</f>
        <v>#N/A</v>
      </c>
      <c r="K208" s="1085"/>
      <c r="L208" s="1085"/>
      <c r="M208" s="1085"/>
      <c r="N208" s="1085"/>
      <c r="O208" s="1085"/>
    </row>
    <row r="209" spans="1:15" ht="15" customHeight="1">
      <c r="A209" s="1052" t="s">
        <v>364</v>
      </c>
      <c r="B209" s="869" t="s">
        <v>365</v>
      </c>
      <c r="C209" s="1058" t="e">
        <f>VLOOKUP(B206,'LƯƠNG KT'!$D$15:$U$94,15,0)</f>
        <v>#N/A</v>
      </c>
      <c r="D209" s="1059" t="e">
        <f>C209*$L$5</f>
        <v>#N/A</v>
      </c>
      <c r="E209" s="1061"/>
      <c r="F209" s="1061"/>
      <c r="G209" s="1052" t="s">
        <v>364</v>
      </c>
      <c r="H209" s="869" t="s">
        <v>365</v>
      </c>
      <c r="I209" s="1058" t="e">
        <f>VLOOKUP(H206,'LƯƠNG KT'!$D$15:$U$94,15,0)</f>
        <v>#N/A</v>
      </c>
      <c r="J209" s="1059" t="e">
        <f>I209*$L$5</f>
        <v>#N/A</v>
      </c>
      <c r="K209" s="1085"/>
      <c r="L209" s="1085"/>
      <c r="M209" s="1085"/>
      <c r="N209" s="1085"/>
      <c r="O209" s="1085"/>
    </row>
    <row r="210" spans="1:15" ht="15" customHeight="1">
      <c r="A210" s="1052" t="s">
        <v>367</v>
      </c>
      <c r="B210" s="869"/>
      <c r="C210" s="1058" t="e">
        <f>VLOOKUP(B206,'LƯƠNG KT'!$D$15:$U$94,16,0)</f>
        <v>#N/A</v>
      </c>
      <c r="D210" s="1059" t="e">
        <f>+C210*$L$6</f>
        <v>#N/A</v>
      </c>
      <c r="E210" s="1061"/>
      <c r="F210" s="1061"/>
      <c r="G210" s="1052" t="s">
        <v>367</v>
      </c>
      <c r="H210" s="869"/>
      <c r="I210" s="1058" t="e">
        <f>VLOOKUP(H206,'LƯƠNG KT'!$D$15:$U$94,16,0)</f>
        <v>#N/A</v>
      </c>
      <c r="J210" s="1059" t="e">
        <f>+I210*$L$6</f>
        <v>#N/A</v>
      </c>
      <c r="K210" s="1085"/>
      <c r="L210" s="1085"/>
      <c r="M210" s="1085"/>
      <c r="N210" s="1085"/>
      <c r="O210" s="1085"/>
    </row>
    <row r="211" spans="1:15" ht="15" customHeight="1">
      <c r="A211" s="1052" t="s">
        <v>371</v>
      </c>
      <c r="B211" s="869" t="s">
        <v>372</v>
      </c>
      <c r="C211" s="1058" t="e">
        <f>VLOOKUP(B206,'LƯƠNG KT'!$D$15:$U$94,9,0)*$L$10</f>
        <v>#N/A</v>
      </c>
      <c r="D211" s="1059" t="e">
        <f>+C211*0.5*3000</f>
        <v>#N/A</v>
      </c>
      <c r="E211" s="1061"/>
      <c r="F211" s="1061"/>
      <c r="G211" s="1052" t="s">
        <v>371</v>
      </c>
      <c r="H211" s="869" t="s">
        <v>372</v>
      </c>
      <c r="I211" s="1058" t="e">
        <f>VLOOKUP(H206,'LƯƠNG KT'!$D$15:$U$94,9,0)*$L$10</f>
        <v>#N/A</v>
      </c>
      <c r="J211" s="1059" t="e">
        <f>+I211*0.5*3000</f>
        <v>#N/A</v>
      </c>
      <c r="K211" s="1085"/>
      <c r="L211" s="1085"/>
      <c r="M211" s="1085"/>
      <c r="N211" s="1085"/>
      <c r="O211" s="1085"/>
    </row>
    <row r="212" spans="1:15" ht="15" customHeight="1">
      <c r="A212" s="1052" t="s">
        <v>374</v>
      </c>
      <c r="B212" s="869" t="s">
        <v>375</v>
      </c>
      <c r="C212" s="1058" t="e">
        <f>VLOOKUP(B206,'LƯƠNG KT'!$D$15:$U$94,8,0)*$L$11</f>
        <v>#N/A</v>
      </c>
      <c r="D212" s="1059" t="e">
        <f>VLOOKUP(B206,'LƯƠNG KT'!$D$15:$U$94,13,0)-D211</f>
        <v>#N/A</v>
      </c>
      <c r="E212" s="1063"/>
      <c r="F212" s="1061"/>
      <c r="G212" s="1052" t="s">
        <v>374</v>
      </c>
      <c r="H212" s="869" t="s">
        <v>375</v>
      </c>
      <c r="I212" s="1058" t="e">
        <f>VLOOKUP(H206,'LƯƠNG KT'!$D$15:$U$94,8,0)*$L$11</f>
        <v>#N/A</v>
      </c>
      <c r="J212" s="1059" t="e">
        <f>VLOOKUP(H206,'LƯƠNG KT'!$D$15:$U$94,13,0)-J211</f>
        <v>#N/A</v>
      </c>
      <c r="K212" s="1085"/>
      <c r="L212" s="1085"/>
      <c r="M212" s="1085"/>
      <c r="N212" s="1085"/>
      <c r="O212" s="1085"/>
    </row>
    <row r="213" spans="1:15" ht="15" customHeight="1">
      <c r="A213" s="1059" t="s">
        <v>377</v>
      </c>
      <c r="B213" s="869" t="s">
        <v>378</v>
      </c>
      <c r="C213" s="1058"/>
      <c r="D213" s="1059"/>
      <c r="E213" s="1065"/>
      <c r="F213" s="1065"/>
      <c r="G213" s="1059" t="s">
        <v>377</v>
      </c>
      <c r="H213" s="869" t="s">
        <v>378</v>
      </c>
      <c r="I213" s="1058"/>
      <c r="J213" s="1059"/>
    </row>
    <row r="214" spans="1:15" ht="15" customHeight="1">
      <c r="A214" s="1066" t="s">
        <v>379</v>
      </c>
      <c r="B214" s="869" t="s">
        <v>380</v>
      </c>
      <c r="C214" s="1058"/>
      <c r="D214" s="1059">
        <f>56*25000</f>
        <v>1400000</v>
      </c>
      <c r="E214" s="1063"/>
      <c r="F214" s="1065"/>
      <c r="G214" s="1066" t="s">
        <v>379</v>
      </c>
      <c r="H214" s="869" t="s">
        <v>380</v>
      </c>
      <c r="I214" s="1058"/>
      <c r="J214" s="1059">
        <f>56*25000</f>
        <v>1400000</v>
      </c>
    </row>
    <row r="215" spans="1:15" ht="15" customHeight="1">
      <c r="A215" s="1052" t="s">
        <v>381</v>
      </c>
      <c r="B215" s="869" t="s">
        <v>382</v>
      </c>
      <c r="C215" s="1058"/>
      <c r="D215" s="1059">
        <f>D214</f>
        <v>1400000</v>
      </c>
      <c r="E215" s="1067"/>
      <c r="F215" s="1051"/>
      <c r="G215" s="1052" t="s">
        <v>381</v>
      </c>
      <c r="H215" s="869" t="s">
        <v>382</v>
      </c>
      <c r="I215" s="1058"/>
      <c r="J215" s="1059">
        <f>J214</f>
        <v>1400000</v>
      </c>
    </row>
    <row r="216" spans="1:15" ht="15" customHeight="1">
      <c r="A216" s="1068" t="s">
        <v>383</v>
      </c>
      <c r="B216" s="1069" t="s">
        <v>384</v>
      </c>
      <c r="C216" s="1070"/>
      <c r="D216" s="1071" t="e">
        <f>SUM(D207:D212)-D215</f>
        <v>#N/A</v>
      </c>
      <c r="E216" s="1072"/>
      <c r="F216" s="1073"/>
      <c r="G216" s="1068" t="s">
        <v>383</v>
      </c>
      <c r="H216" s="1069" t="s">
        <v>384</v>
      </c>
      <c r="I216" s="1070"/>
      <c r="J216" s="1071" t="e">
        <f>SUM(J207:J212)-J215</f>
        <v>#N/A</v>
      </c>
    </row>
    <row r="217" spans="1:15" ht="18.75" customHeight="1">
      <c r="A217" s="1074"/>
      <c r="B217" s="1075"/>
      <c r="C217" s="1076"/>
      <c r="D217" s="1077"/>
      <c r="E217" s="1077"/>
      <c r="F217" s="1078"/>
      <c r="G217" s="1074"/>
      <c r="H217" s="1075"/>
      <c r="I217" s="1076"/>
      <c r="J217" s="1077"/>
    </row>
    <row r="218" spans="1:15" ht="18.75" customHeight="1">
      <c r="A218" s="1075"/>
      <c r="B218" s="1075"/>
      <c r="C218" s="1079"/>
      <c r="D218" s="1080"/>
      <c r="E218" s="1075"/>
      <c r="F218" s="1081"/>
      <c r="G218" s="1075"/>
      <c r="H218" s="1075"/>
      <c r="I218" s="1079"/>
      <c r="J218" s="1080"/>
    </row>
    <row r="219" spans="1:15" ht="15" customHeight="1">
      <c r="A219" s="2242" t="str">
        <f>$K$2</f>
        <v>THÁNG 09/2024</v>
      </c>
      <c r="B219" s="2242"/>
      <c r="C219" s="2242"/>
      <c r="D219" s="2242"/>
      <c r="E219" s="1050"/>
      <c r="F219" s="1051"/>
      <c r="G219" s="2242" t="str">
        <f>$K$2</f>
        <v>THÁNG 09/2024</v>
      </c>
      <c r="H219" s="2242"/>
      <c r="I219" s="2242"/>
      <c r="J219" s="2242"/>
      <c r="K219" s="624"/>
    </row>
    <row r="220" spans="1:15" ht="15" customHeight="1">
      <c r="A220" s="1052" t="s">
        <v>356</v>
      </c>
      <c r="B220" s="1053" t="s">
        <v>411</v>
      </c>
      <c r="C220" s="869"/>
      <c r="D220" s="1049"/>
      <c r="E220" s="1054"/>
      <c r="F220" s="1055"/>
      <c r="G220" s="1052" t="s">
        <v>356</v>
      </c>
      <c r="H220" s="1053" t="s">
        <v>412</v>
      </c>
      <c r="I220" s="869"/>
      <c r="J220" s="1049"/>
      <c r="L220" s="1088"/>
      <c r="M220" s="1088"/>
      <c r="N220" s="1088"/>
      <c r="O220" s="1088"/>
    </row>
    <row r="221" spans="1:15" ht="15" customHeight="1">
      <c r="A221" s="1052" t="s">
        <v>359</v>
      </c>
      <c r="B221" s="1089" t="s">
        <v>360</v>
      </c>
      <c r="C221" s="1058" t="e">
        <f>VLOOKUP(B220,'LƯƠNG KT'!$D$15:$U$94,3,0)</f>
        <v>#N/A</v>
      </c>
      <c r="D221" s="1059" t="e">
        <f>+C221*25000</f>
        <v>#N/A</v>
      </c>
      <c r="E221" s="1060"/>
      <c r="F221" s="1060"/>
      <c r="G221" s="1052" t="s">
        <v>359</v>
      </c>
      <c r="H221" s="1089" t="s">
        <v>360</v>
      </c>
      <c r="I221" s="1058" t="e">
        <f>VLOOKUP(H220,'LƯƠNG KT'!$D$15:$U$94,3,0)</f>
        <v>#N/A</v>
      </c>
      <c r="J221" s="1059" t="e">
        <f>+I221*25000</f>
        <v>#N/A</v>
      </c>
      <c r="K221" s="1085"/>
      <c r="L221" s="1085"/>
      <c r="M221" s="1085"/>
      <c r="N221" s="1085"/>
      <c r="O221" s="1085"/>
    </row>
    <row r="222" spans="1:15" ht="15" customHeight="1">
      <c r="A222" s="1052" t="s">
        <v>361</v>
      </c>
      <c r="B222" s="869" t="s">
        <v>362</v>
      </c>
      <c r="C222" s="1058" t="e">
        <f>VLOOKUP(B220,'LƯƠNG KT'!$D$15:$U$94,14,0)</f>
        <v>#N/A</v>
      </c>
      <c r="D222" s="1059" t="e">
        <f>C222*$L$4</f>
        <v>#N/A</v>
      </c>
      <c r="E222" s="1061"/>
      <c r="F222" s="1061"/>
      <c r="G222" s="1052" t="s">
        <v>361</v>
      </c>
      <c r="H222" s="869" t="s">
        <v>362</v>
      </c>
      <c r="I222" s="1058" t="e">
        <f>VLOOKUP(H220,'LƯƠNG KT'!$D$15:$U$94,14,0)</f>
        <v>#N/A</v>
      </c>
      <c r="J222" s="1059" t="e">
        <f>I222*$L$4</f>
        <v>#N/A</v>
      </c>
      <c r="K222" s="1085"/>
      <c r="L222" s="1085"/>
      <c r="M222" s="1085"/>
      <c r="N222" s="1085"/>
      <c r="O222" s="1085"/>
    </row>
    <row r="223" spans="1:15" ht="15" customHeight="1">
      <c r="A223" s="1052" t="s">
        <v>364</v>
      </c>
      <c r="B223" s="869" t="s">
        <v>365</v>
      </c>
      <c r="C223" s="1058" t="e">
        <f>VLOOKUP(B220,'LƯƠNG KT'!$D$15:$U$94,15,0)</f>
        <v>#N/A</v>
      </c>
      <c r="D223" s="1059" t="e">
        <f>C223*$L$5</f>
        <v>#N/A</v>
      </c>
      <c r="E223" s="1061"/>
      <c r="F223" s="1061"/>
      <c r="G223" s="1052" t="s">
        <v>364</v>
      </c>
      <c r="H223" s="869" t="s">
        <v>365</v>
      </c>
      <c r="I223" s="1058" t="e">
        <f>VLOOKUP(H220,'LƯƠNG KT'!$D$15:$U$94,15,0)</f>
        <v>#N/A</v>
      </c>
      <c r="J223" s="1059" t="e">
        <f>I223*$L$5</f>
        <v>#N/A</v>
      </c>
      <c r="K223" s="1085"/>
      <c r="L223" s="1085"/>
      <c r="M223" s="1085"/>
      <c r="N223" s="1085"/>
      <c r="O223" s="1085"/>
    </row>
    <row r="224" spans="1:15" ht="15" customHeight="1">
      <c r="A224" s="1052" t="s">
        <v>367</v>
      </c>
      <c r="B224" s="869"/>
      <c r="C224" s="1058" t="e">
        <f>VLOOKUP(B220,'LƯƠNG KT'!$D$15:$U$94,16,0)</f>
        <v>#N/A</v>
      </c>
      <c r="D224" s="1059" t="e">
        <f>+C224*$L$6</f>
        <v>#N/A</v>
      </c>
      <c r="E224" s="1061"/>
      <c r="F224" s="1061"/>
      <c r="G224" s="1052" t="s">
        <v>367</v>
      </c>
      <c r="H224" s="869"/>
      <c r="I224" s="1058" t="e">
        <f>VLOOKUP(H220,'LƯƠNG KT'!$D$15:$U$94,16,0)</f>
        <v>#N/A</v>
      </c>
      <c r="J224" s="1059" t="e">
        <f>+I224*$L$6</f>
        <v>#N/A</v>
      </c>
      <c r="K224" s="1085"/>
      <c r="L224" s="1085"/>
      <c r="M224" s="1085"/>
      <c r="N224" s="1085"/>
      <c r="O224" s="1085"/>
    </row>
    <row r="225" spans="1:15" ht="15" customHeight="1">
      <c r="A225" s="1052" t="s">
        <v>371</v>
      </c>
      <c r="B225" s="869" t="s">
        <v>372</v>
      </c>
      <c r="C225" s="1058" t="e">
        <f>VLOOKUP(B220,'LƯƠNG KT'!$D$15:$U$94,9,0)*$L$10</f>
        <v>#N/A</v>
      </c>
      <c r="D225" s="1059" t="e">
        <f>+C225*0.5*3000</f>
        <v>#N/A</v>
      </c>
      <c r="E225" s="1061"/>
      <c r="F225" s="1061"/>
      <c r="G225" s="1052" t="s">
        <v>371</v>
      </c>
      <c r="H225" s="869" t="s">
        <v>372</v>
      </c>
      <c r="I225" s="1058" t="e">
        <f>VLOOKUP(H220,'LƯƠNG KT'!$D$15:$U$94,9,0)*$L$10</f>
        <v>#N/A</v>
      </c>
      <c r="J225" s="1059" t="e">
        <f>+I225*0.5*3000</f>
        <v>#N/A</v>
      </c>
      <c r="K225" s="1085"/>
      <c r="L225" s="1085"/>
      <c r="M225" s="1085"/>
      <c r="N225" s="1085"/>
      <c r="O225" s="1085"/>
    </row>
    <row r="226" spans="1:15" ht="15" customHeight="1">
      <c r="A226" s="1052" t="s">
        <v>374</v>
      </c>
      <c r="B226" s="869" t="s">
        <v>375</v>
      </c>
      <c r="C226" s="1058" t="e">
        <f>VLOOKUP(B220,'LƯƠNG KT'!$D$15:$U$94,8,0)*$L$11</f>
        <v>#N/A</v>
      </c>
      <c r="D226" s="1059" t="e">
        <f>VLOOKUP(B220,'LƯƠNG KT'!$D$15:$U$94,13,0)-D225</f>
        <v>#N/A</v>
      </c>
      <c r="E226" s="1063"/>
      <c r="F226" s="1061"/>
      <c r="G226" s="1052" t="s">
        <v>374</v>
      </c>
      <c r="H226" s="869" t="s">
        <v>375</v>
      </c>
      <c r="I226" s="1058" t="e">
        <f>VLOOKUP(H220,'LƯƠNG KT'!$D$15:$U$94,8,0)*$L$11</f>
        <v>#N/A</v>
      </c>
      <c r="J226" s="1059" t="e">
        <f>VLOOKUP(H220,'LƯƠNG KT'!$D$15:$U$94,13,0)-J225</f>
        <v>#N/A</v>
      </c>
      <c r="K226" s="1085"/>
      <c r="L226" s="1085"/>
      <c r="M226" s="1085"/>
      <c r="N226" s="1085"/>
      <c r="O226" s="1085"/>
    </row>
    <row r="227" spans="1:15" ht="15" customHeight="1">
      <c r="A227" s="1059" t="s">
        <v>377</v>
      </c>
      <c r="B227" s="869" t="s">
        <v>378</v>
      </c>
      <c r="C227" s="1058"/>
      <c r="D227" s="1059"/>
      <c r="E227" s="1065"/>
      <c r="F227" s="1065"/>
      <c r="G227" s="1059" t="s">
        <v>377</v>
      </c>
      <c r="H227" s="869" t="s">
        <v>378</v>
      </c>
      <c r="I227" s="1058"/>
      <c r="J227" s="1059"/>
    </row>
    <row r="228" spans="1:15" ht="15" customHeight="1">
      <c r="A228" s="1066" t="s">
        <v>379</v>
      </c>
      <c r="B228" s="869" t="s">
        <v>380</v>
      </c>
      <c r="C228" s="1058"/>
      <c r="D228" s="1059">
        <f>56*25000</f>
        <v>1400000</v>
      </c>
      <c r="E228" s="1063"/>
      <c r="F228" s="1065"/>
      <c r="G228" s="1066" t="s">
        <v>379</v>
      </c>
      <c r="H228" s="869" t="s">
        <v>380</v>
      </c>
      <c r="I228" s="1058"/>
      <c r="J228" s="1059">
        <f>56*25000</f>
        <v>1400000</v>
      </c>
    </row>
    <row r="229" spans="1:15" ht="15" customHeight="1">
      <c r="A229" s="1052" t="s">
        <v>381</v>
      </c>
      <c r="B229" s="869" t="s">
        <v>382</v>
      </c>
      <c r="C229" s="1058"/>
      <c r="D229" s="1059">
        <f>D228</f>
        <v>1400000</v>
      </c>
      <c r="E229" s="1067"/>
      <c r="F229" s="1051"/>
      <c r="G229" s="1052" t="s">
        <v>381</v>
      </c>
      <c r="H229" s="869" t="s">
        <v>382</v>
      </c>
      <c r="I229" s="1058"/>
      <c r="J229" s="1059">
        <f>J228</f>
        <v>1400000</v>
      </c>
    </row>
    <row r="230" spans="1:15" ht="15" customHeight="1">
      <c r="A230" s="1068" t="s">
        <v>383</v>
      </c>
      <c r="B230" s="1069" t="s">
        <v>384</v>
      </c>
      <c r="C230" s="1070"/>
      <c r="D230" s="1071" t="e">
        <f>SUM(D221:D226)-D229</f>
        <v>#N/A</v>
      </c>
      <c r="E230" s="1072"/>
      <c r="F230" s="1073"/>
      <c r="G230" s="1068" t="s">
        <v>383</v>
      </c>
      <c r="H230" s="1069" t="s">
        <v>384</v>
      </c>
      <c r="I230" s="1070"/>
      <c r="J230" s="1071" t="e">
        <f>SUM(J221:J226)-J229</f>
        <v>#N/A</v>
      </c>
    </row>
    <row r="231" spans="1:15" ht="18.75" customHeight="1">
      <c r="A231" s="1074"/>
      <c r="B231" s="1075"/>
      <c r="C231" s="1076"/>
      <c r="D231" s="1077"/>
      <c r="E231" s="1077"/>
      <c r="F231" s="1078"/>
      <c r="G231" s="1074"/>
      <c r="H231" s="1075"/>
      <c r="I231" s="1076"/>
      <c r="J231" s="1077"/>
    </row>
    <row r="232" spans="1:15" ht="18.75" customHeight="1">
      <c r="A232" s="1075"/>
      <c r="B232" s="1075"/>
      <c r="C232" s="1079"/>
      <c r="D232" s="1080"/>
      <c r="E232" s="1075"/>
      <c r="F232" s="1081"/>
      <c r="G232" s="1075"/>
      <c r="H232" s="1075"/>
      <c r="I232" s="1079"/>
      <c r="J232" s="1080"/>
    </row>
    <row r="233" spans="1:15" ht="15" customHeight="1">
      <c r="A233" s="2242" t="str">
        <f>$K$2</f>
        <v>THÁNG 09/2024</v>
      </c>
      <c r="B233" s="2242"/>
      <c r="C233" s="2242"/>
      <c r="D233" s="2242"/>
      <c r="E233" s="1050"/>
      <c r="F233" s="1051"/>
      <c r="G233" s="2242" t="str">
        <f>$K$2</f>
        <v>THÁNG 09/2024</v>
      </c>
      <c r="H233" s="2242"/>
      <c r="I233" s="2242"/>
      <c r="J233" s="2242"/>
      <c r="K233" s="624"/>
    </row>
    <row r="234" spans="1:15" ht="15" customHeight="1">
      <c r="A234" s="1052" t="s">
        <v>356</v>
      </c>
      <c r="B234" s="1053" t="s">
        <v>413</v>
      </c>
      <c r="C234" s="869"/>
      <c r="D234" s="1049"/>
      <c r="E234" s="1054"/>
      <c r="F234" s="1055"/>
      <c r="G234" s="1052" t="s">
        <v>356</v>
      </c>
      <c r="H234" s="1053" t="s">
        <v>414</v>
      </c>
      <c r="I234" s="869"/>
      <c r="J234" s="1049"/>
      <c r="L234" s="1088"/>
      <c r="M234" s="1088"/>
      <c r="N234" s="1088"/>
      <c r="O234" s="1088"/>
    </row>
    <row r="235" spans="1:15" ht="15" customHeight="1">
      <c r="A235" s="1052" t="s">
        <v>359</v>
      </c>
      <c r="B235" s="1089" t="s">
        <v>360</v>
      </c>
      <c r="C235" s="1058" t="e">
        <f>VLOOKUP(B234,'LƯƠNG KT'!$D$15:$U$94,3,0)</f>
        <v>#N/A</v>
      </c>
      <c r="D235" s="1059" t="e">
        <f>+C235*25000</f>
        <v>#N/A</v>
      </c>
      <c r="E235" s="1060"/>
      <c r="F235" s="1060"/>
      <c r="G235" s="1052" t="s">
        <v>359</v>
      </c>
      <c r="H235" s="1089" t="s">
        <v>360</v>
      </c>
      <c r="I235" s="1058" t="e">
        <f>VLOOKUP(H234,'LƯƠNG KT'!$D$15:$U$94,3,0)</f>
        <v>#N/A</v>
      </c>
      <c r="J235" s="1059" t="e">
        <f>+I235*25000</f>
        <v>#N/A</v>
      </c>
      <c r="K235" s="1085"/>
      <c r="L235" s="1085"/>
      <c r="M235" s="1085"/>
      <c r="N235" s="1085"/>
      <c r="O235" s="1085"/>
    </row>
    <row r="236" spans="1:15" ht="15" customHeight="1">
      <c r="A236" s="1052" t="s">
        <v>361</v>
      </c>
      <c r="B236" s="869" t="s">
        <v>362</v>
      </c>
      <c r="C236" s="1058" t="e">
        <f>VLOOKUP(B234,'LƯƠNG KT'!$D$15:$U$94,14,0)</f>
        <v>#N/A</v>
      </c>
      <c r="D236" s="1059" t="e">
        <f>C236*$L$4</f>
        <v>#N/A</v>
      </c>
      <c r="E236" s="1061"/>
      <c r="F236" s="1061"/>
      <c r="G236" s="1052" t="s">
        <v>361</v>
      </c>
      <c r="H236" s="869" t="s">
        <v>362</v>
      </c>
      <c r="I236" s="1058" t="e">
        <f>VLOOKUP(H234,'LƯƠNG KT'!$D$15:$U$94,14,0)</f>
        <v>#N/A</v>
      </c>
      <c r="J236" s="1059" t="e">
        <f>I236*$L$4</f>
        <v>#N/A</v>
      </c>
      <c r="K236" s="1085"/>
      <c r="L236" s="1085"/>
      <c r="M236" s="1085"/>
      <c r="N236" s="1085"/>
      <c r="O236" s="1085"/>
    </row>
    <row r="237" spans="1:15" ht="15" customHeight="1">
      <c r="A237" s="1052" t="s">
        <v>364</v>
      </c>
      <c r="B237" s="869" t="s">
        <v>365</v>
      </c>
      <c r="C237" s="1058" t="e">
        <f>VLOOKUP(B234,'LƯƠNG KT'!$D$15:$U$94,15,0)</f>
        <v>#N/A</v>
      </c>
      <c r="D237" s="1059" t="e">
        <f>C237*$L$5</f>
        <v>#N/A</v>
      </c>
      <c r="E237" s="1061"/>
      <c r="F237" s="1061"/>
      <c r="G237" s="1052" t="s">
        <v>364</v>
      </c>
      <c r="H237" s="869" t="s">
        <v>365</v>
      </c>
      <c r="I237" s="1058" t="e">
        <f>VLOOKUP(H234,'LƯƠNG KT'!$D$15:$U$94,15,0)</f>
        <v>#N/A</v>
      </c>
      <c r="J237" s="1059" t="e">
        <f>I237*$L$5</f>
        <v>#N/A</v>
      </c>
      <c r="K237" s="1085"/>
      <c r="L237" s="1085"/>
      <c r="M237" s="1085"/>
      <c r="N237" s="1085"/>
      <c r="O237" s="1085"/>
    </row>
    <row r="238" spans="1:15" ht="15" customHeight="1">
      <c r="A238" s="1052" t="s">
        <v>367</v>
      </c>
      <c r="B238" s="869"/>
      <c r="C238" s="1058" t="e">
        <f>VLOOKUP(B234,'LƯƠNG KT'!$D$15:$U$94,16,0)</f>
        <v>#N/A</v>
      </c>
      <c r="D238" s="1059" t="e">
        <f>+C238*$L$6</f>
        <v>#N/A</v>
      </c>
      <c r="E238" s="1061"/>
      <c r="F238" s="1061"/>
      <c r="G238" s="1052" t="s">
        <v>367</v>
      </c>
      <c r="H238" s="869"/>
      <c r="I238" s="1058" t="e">
        <f>VLOOKUP(H234,'LƯƠNG KT'!$D$15:$U$94,16,0)</f>
        <v>#N/A</v>
      </c>
      <c r="J238" s="1059" t="e">
        <f>+I238*$L$6</f>
        <v>#N/A</v>
      </c>
      <c r="K238" s="1085"/>
      <c r="L238" s="1085"/>
      <c r="M238" s="1085"/>
      <c r="N238" s="1085"/>
      <c r="O238" s="1085"/>
    </row>
    <row r="239" spans="1:15" ht="15" customHeight="1">
      <c r="A239" s="1052" t="s">
        <v>371</v>
      </c>
      <c r="B239" s="869" t="s">
        <v>372</v>
      </c>
      <c r="C239" s="1058" t="e">
        <f>VLOOKUP(B234,'LƯƠNG KT'!$D$15:$U$94,9,0)*$L$10</f>
        <v>#N/A</v>
      </c>
      <c r="D239" s="1059" t="e">
        <f>+C239*0.5*3000</f>
        <v>#N/A</v>
      </c>
      <c r="E239" s="1061"/>
      <c r="F239" s="1061"/>
      <c r="G239" s="1052" t="s">
        <v>371</v>
      </c>
      <c r="H239" s="869" t="s">
        <v>372</v>
      </c>
      <c r="I239" s="1058" t="e">
        <f>VLOOKUP(H234,'LƯƠNG KT'!$D$15:$U$94,9,0)*$L$10</f>
        <v>#N/A</v>
      </c>
      <c r="J239" s="1059" t="e">
        <f>+I239*0.5*3000</f>
        <v>#N/A</v>
      </c>
      <c r="K239" s="1085"/>
      <c r="L239" s="1085"/>
      <c r="M239" s="1085"/>
      <c r="N239" s="1085"/>
      <c r="O239" s="1085"/>
    </row>
    <row r="240" spans="1:15" ht="15" customHeight="1">
      <c r="A240" s="1052" t="s">
        <v>374</v>
      </c>
      <c r="B240" s="869" t="s">
        <v>375</v>
      </c>
      <c r="C240" s="1058" t="e">
        <f>VLOOKUP(B234,'LƯƠNG KT'!$D$15:$U$94,8,0)*$L$11</f>
        <v>#N/A</v>
      </c>
      <c r="D240" s="1059" t="e">
        <f>VLOOKUP(B234,'LƯƠNG KT'!$D$15:$U$94,13,0)-D239</f>
        <v>#N/A</v>
      </c>
      <c r="E240" s="1063"/>
      <c r="F240" s="1061"/>
      <c r="G240" s="1052" t="s">
        <v>374</v>
      </c>
      <c r="H240" s="869" t="s">
        <v>375</v>
      </c>
      <c r="I240" s="1058" t="e">
        <f>VLOOKUP(H234,'LƯƠNG KT'!$D$15:$U$94,8,0)*$L$11</f>
        <v>#N/A</v>
      </c>
      <c r="J240" s="1059" t="e">
        <f>VLOOKUP(H234,'LƯƠNG KT'!$D$15:$U$94,13,0)-J239+I236*20000+I237*20000</f>
        <v>#N/A</v>
      </c>
      <c r="K240" s="1085"/>
      <c r="L240" s="1085"/>
      <c r="M240" s="1085"/>
      <c r="N240" s="1085"/>
      <c r="O240" s="1085"/>
    </row>
    <row r="241" spans="1:15" ht="15" customHeight="1">
      <c r="A241" s="1059" t="s">
        <v>377</v>
      </c>
      <c r="B241" s="869" t="s">
        <v>378</v>
      </c>
      <c r="C241" s="1058"/>
      <c r="D241" s="1059"/>
      <c r="E241" s="1065"/>
      <c r="F241" s="1065"/>
      <c r="G241" s="1059" t="s">
        <v>377</v>
      </c>
      <c r="H241" s="869" t="s">
        <v>378</v>
      </c>
      <c r="I241" s="1058"/>
      <c r="J241" s="1059"/>
    </row>
    <row r="242" spans="1:15" ht="15" customHeight="1">
      <c r="A242" s="1066" t="s">
        <v>379</v>
      </c>
      <c r="B242" s="869" t="s">
        <v>380</v>
      </c>
      <c r="C242" s="1058"/>
      <c r="D242" s="1059">
        <f>56*25000</f>
        <v>1400000</v>
      </c>
      <c r="E242" s="1063"/>
      <c r="F242" s="1065"/>
      <c r="G242" s="1066" t="s">
        <v>379</v>
      </c>
      <c r="H242" s="869" t="s">
        <v>380</v>
      </c>
      <c r="I242" s="1058"/>
      <c r="J242" s="1059">
        <f>56*25000</f>
        <v>1400000</v>
      </c>
    </row>
    <row r="243" spans="1:15" ht="15" customHeight="1">
      <c r="A243" s="1052" t="s">
        <v>381</v>
      </c>
      <c r="B243" s="869" t="s">
        <v>382</v>
      </c>
      <c r="C243" s="1058"/>
      <c r="D243" s="1059">
        <f>D242</f>
        <v>1400000</v>
      </c>
      <c r="E243" s="1067"/>
      <c r="F243" s="1051"/>
      <c r="G243" s="1052" t="s">
        <v>381</v>
      </c>
      <c r="H243" s="869" t="s">
        <v>382</v>
      </c>
      <c r="I243" s="1058"/>
      <c r="J243" s="1059">
        <f>J242</f>
        <v>1400000</v>
      </c>
    </row>
    <row r="244" spans="1:15" ht="15" customHeight="1">
      <c r="A244" s="1068" t="s">
        <v>383</v>
      </c>
      <c r="B244" s="1069" t="s">
        <v>384</v>
      </c>
      <c r="C244" s="1070"/>
      <c r="D244" s="1071" t="e">
        <f>SUM(D235:D240)-D243</f>
        <v>#N/A</v>
      </c>
      <c r="E244" s="1072"/>
      <c r="F244" s="1073"/>
      <c r="G244" s="1068" t="s">
        <v>383</v>
      </c>
      <c r="H244" s="1069" t="s">
        <v>384</v>
      </c>
      <c r="I244" s="1070"/>
      <c r="J244" s="1071" t="e">
        <f>SUM(J235:J240)-J243</f>
        <v>#N/A</v>
      </c>
    </row>
    <row r="245" spans="1:15" ht="15.75" customHeight="1">
      <c r="A245" s="1074"/>
      <c r="B245" s="1075"/>
      <c r="C245" s="1076"/>
      <c r="D245" s="1077"/>
      <c r="E245" s="1077"/>
      <c r="F245" s="1078"/>
      <c r="G245" s="1074"/>
      <c r="H245" s="1075"/>
      <c r="I245" s="1076"/>
      <c r="J245" s="1077"/>
    </row>
    <row r="247" spans="1:15" ht="12" customHeight="1">
      <c r="A247" s="2243"/>
      <c r="B247" s="2243"/>
      <c r="C247" s="2243"/>
      <c r="D247" s="2243"/>
      <c r="E247" s="2243"/>
      <c r="F247" s="2243"/>
      <c r="G247" s="2243"/>
      <c r="H247" s="2243"/>
      <c r="I247" s="2243"/>
      <c r="J247" s="2243"/>
    </row>
    <row r="248" spans="1:15" ht="15" customHeight="1">
      <c r="A248" s="2242" t="str">
        <f>$K$2</f>
        <v>THÁNG 09/2024</v>
      </c>
      <c r="B248" s="2242"/>
      <c r="C248" s="2242"/>
      <c r="D248" s="2242"/>
      <c r="E248" s="1050"/>
      <c r="F248" s="1051"/>
      <c r="G248" s="2242" t="str">
        <f>$K$2</f>
        <v>THÁNG 09/2024</v>
      </c>
      <c r="H248" s="2242"/>
      <c r="I248" s="2242"/>
      <c r="J248" s="2242"/>
      <c r="K248" s="624"/>
    </row>
    <row r="249" spans="1:15" ht="15" customHeight="1">
      <c r="A249" s="1052" t="s">
        <v>356</v>
      </c>
      <c r="B249" s="1053" t="s">
        <v>415</v>
      </c>
      <c r="C249" s="869"/>
      <c r="D249" s="1049"/>
      <c r="E249" s="1054"/>
      <c r="F249" s="1055"/>
      <c r="G249" s="1052" t="s">
        <v>356</v>
      </c>
      <c r="H249" s="1053" t="s">
        <v>416</v>
      </c>
      <c r="I249" s="869"/>
      <c r="J249" s="1049"/>
      <c r="L249" s="1088"/>
      <c r="M249" s="1088"/>
      <c r="N249" s="1088"/>
      <c r="O249" s="1088"/>
    </row>
    <row r="250" spans="1:15" ht="15" customHeight="1">
      <c r="A250" s="1052" t="s">
        <v>359</v>
      </c>
      <c r="B250" s="1089" t="s">
        <v>360</v>
      </c>
      <c r="C250" s="1058" t="e">
        <f>VLOOKUP(B249,'LƯƠNG KT'!$D$15:$U$94,3,0)</f>
        <v>#N/A</v>
      </c>
      <c r="D250" s="1059" t="e">
        <f>+C250*25000</f>
        <v>#N/A</v>
      </c>
      <c r="E250" s="1060"/>
      <c r="F250" s="1060"/>
      <c r="G250" s="1052" t="s">
        <v>359</v>
      </c>
      <c r="H250" s="1089" t="s">
        <v>360</v>
      </c>
      <c r="I250" s="1058" t="e">
        <f>VLOOKUP(H249,'LƯƠNG KT'!$D$15:$U$94,3,0)</f>
        <v>#N/A</v>
      </c>
      <c r="J250" s="1059" t="e">
        <f>+I250*25000</f>
        <v>#N/A</v>
      </c>
      <c r="K250" s="1084"/>
      <c r="L250" s="1085"/>
      <c r="M250" s="1085"/>
      <c r="N250" s="1085"/>
      <c r="O250" s="1085"/>
    </row>
    <row r="251" spans="1:15" ht="15" customHeight="1">
      <c r="A251" s="1052" t="s">
        <v>361</v>
      </c>
      <c r="B251" s="869" t="s">
        <v>362</v>
      </c>
      <c r="C251" s="1058" t="e">
        <f>VLOOKUP(B249,'LƯƠNG KT'!$D$15:$U$94,14,0)</f>
        <v>#N/A</v>
      </c>
      <c r="D251" s="1059" t="e">
        <f>C251*$L$4</f>
        <v>#N/A</v>
      </c>
      <c r="E251" s="1061"/>
      <c r="F251" s="1061"/>
      <c r="G251" s="1052" t="s">
        <v>361</v>
      </c>
      <c r="H251" s="869" t="s">
        <v>362</v>
      </c>
      <c r="I251" s="1058" t="e">
        <f>VLOOKUP(H249,'LƯƠNG KT'!$D$15:$U$94,14,0)</f>
        <v>#N/A</v>
      </c>
      <c r="J251" s="1059" t="e">
        <f>I251*$L$4</f>
        <v>#N/A</v>
      </c>
      <c r="K251" s="1084"/>
      <c r="L251" s="1085"/>
      <c r="M251" s="1085"/>
      <c r="N251" s="1085"/>
      <c r="O251" s="1085"/>
    </row>
    <row r="252" spans="1:15" ht="15" customHeight="1">
      <c r="A252" s="1052" t="s">
        <v>364</v>
      </c>
      <c r="B252" s="869" t="s">
        <v>365</v>
      </c>
      <c r="C252" s="1058" t="e">
        <f>VLOOKUP(B249,'LƯƠNG KT'!$D$15:$U$94,15,0)</f>
        <v>#N/A</v>
      </c>
      <c r="D252" s="1059" t="e">
        <f>C252*$L$5</f>
        <v>#N/A</v>
      </c>
      <c r="E252" s="1061"/>
      <c r="F252" s="1061"/>
      <c r="G252" s="1052" t="s">
        <v>364</v>
      </c>
      <c r="H252" s="869" t="s">
        <v>365</v>
      </c>
      <c r="I252" s="1058" t="e">
        <f>VLOOKUP(H249,'LƯƠNG KT'!$D$15:$U$94,15,0)</f>
        <v>#N/A</v>
      </c>
      <c r="J252" s="1059" t="e">
        <f>I252*$L$5</f>
        <v>#N/A</v>
      </c>
      <c r="K252" s="1084"/>
      <c r="L252" s="1085"/>
      <c r="M252" s="1085"/>
      <c r="N252" s="1085"/>
      <c r="O252" s="1085"/>
    </row>
    <row r="253" spans="1:15" ht="15" customHeight="1">
      <c r="A253" s="1052" t="s">
        <v>367</v>
      </c>
      <c r="B253" s="869"/>
      <c r="C253" s="1058" t="e">
        <f>VLOOKUP(B249,'LƯƠNG KT'!$D$15:$U$94,16,0)</f>
        <v>#N/A</v>
      </c>
      <c r="D253" s="1059" t="e">
        <f>+C253*$L$6</f>
        <v>#N/A</v>
      </c>
      <c r="E253" s="1061"/>
      <c r="F253" s="1061"/>
      <c r="G253" s="1052" t="s">
        <v>367</v>
      </c>
      <c r="H253" s="869"/>
      <c r="I253" s="1058" t="e">
        <f>VLOOKUP(H249,'LƯƠNG KT'!$D$15:$U$94,16,0)</f>
        <v>#N/A</v>
      </c>
      <c r="J253" s="1059" t="e">
        <f>+I253*$L$6</f>
        <v>#N/A</v>
      </c>
      <c r="K253" s="1085"/>
      <c r="L253" s="1085"/>
      <c r="M253" s="1085"/>
      <c r="N253" s="1085"/>
      <c r="O253" s="1085"/>
    </row>
    <row r="254" spans="1:15" ht="15" customHeight="1">
      <c r="A254" s="1052" t="s">
        <v>371</v>
      </c>
      <c r="B254" s="869" t="s">
        <v>372</v>
      </c>
      <c r="C254" s="1058" t="e">
        <f>VLOOKUP(B249,'LƯƠNG KT'!$D$15:$U$94,9,0)*$L$10</f>
        <v>#N/A</v>
      </c>
      <c r="D254" s="1059" t="e">
        <f>+C254*0.5*3000</f>
        <v>#N/A</v>
      </c>
      <c r="E254" s="1061"/>
      <c r="F254" s="1061"/>
      <c r="G254" s="1052" t="s">
        <v>371</v>
      </c>
      <c r="H254" s="869" t="s">
        <v>372</v>
      </c>
      <c r="I254" s="1058" t="e">
        <f>VLOOKUP(H249,'LƯƠNG KT'!$D$15:$U$94,9,0)*$L$10</f>
        <v>#N/A</v>
      </c>
      <c r="J254" s="1059" t="e">
        <f>+I254*0.5*3000</f>
        <v>#N/A</v>
      </c>
      <c r="K254" s="1085"/>
      <c r="L254" s="1085"/>
      <c r="M254" s="1085"/>
      <c r="N254" s="1085"/>
      <c r="O254" s="1085"/>
    </row>
    <row r="255" spans="1:15" ht="15" customHeight="1">
      <c r="A255" s="1052" t="s">
        <v>374</v>
      </c>
      <c r="B255" s="869" t="s">
        <v>375</v>
      </c>
      <c r="C255" s="1058" t="e">
        <f>VLOOKUP(B249,'LƯƠNG KT'!$D$15:$U$94,8,0)*$L$11</f>
        <v>#N/A</v>
      </c>
      <c r="D255" s="1059" t="e">
        <f>VLOOKUP(B249,'LƯƠNG KT'!$D$15:$U$94,13,0)-D254</f>
        <v>#N/A</v>
      </c>
      <c r="E255" s="1063"/>
      <c r="F255" s="1061"/>
      <c r="G255" s="1052" t="s">
        <v>374</v>
      </c>
      <c r="H255" s="869" t="s">
        <v>375</v>
      </c>
      <c r="I255" s="1058" t="e">
        <f>VLOOKUP(H249,'LƯƠNG KT'!$D$15:$U$94,8,0)*$L$11</f>
        <v>#N/A</v>
      </c>
      <c r="J255" s="1059" t="e">
        <f>VLOOKUP(H249,'LƯƠNG KT'!$D$15:$U$94,13,0)-J254</f>
        <v>#N/A</v>
      </c>
      <c r="K255" s="1085"/>
      <c r="L255" s="1085"/>
      <c r="M255" s="1085"/>
      <c r="N255" s="1085"/>
      <c r="O255" s="1085"/>
    </row>
    <row r="256" spans="1:15" ht="15" customHeight="1">
      <c r="A256" s="1059" t="s">
        <v>377</v>
      </c>
      <c r="B256" s="869" t="s">
        <v>378</v>
      </c>
      <c r="C256" s="1058"/>
      <c r="D256" s="1059"/>
      <c r="E256" s="1065"/>
      <c r="F256" s="1065"/>
      <c r="G256" s="1059" t="s">
        <v>377</v>
      </c>
      <c r="H256" s="869" t="s">
        <v>378</v>
      </c>
      <c r="I256" s="1058"/>
      <c r="J256" s="1059"/>
    </row>
    <row r="257" spans="1:15" ht="15" customHeight="1">
      <c r="A257" s="1066" t="s">
        <v>379</v>
      </c>
      <c r="B257" s="869" t="s">
        <v>380</v>
      </c>
      <c r="C257" s="1058"/>
      <c r="D257" s="1059">
        <f>56*25000</f>
        <v>1400000</v>
      </c>
      <c r="E257" s="1063"/>
      <c r="F257" s="1065"/>
      <c r="G257" s="1066" t="s">
        <v>379</v>
      </c>
      <c r="H257" s="869" t="s">
        <v>380</v>
      </c>
      <c r="I257" s="1058"/>
      <c r="J257" s="1059">
        <f>56*25000</f>
        <v>1400000</v>
      </c>
    </row>
    <row r="258" spans="1:15" ht="15" customHeight="1">
      <c r="A258" s="1052" t="s">
        <v>381</v>
      </c>
      <c r="B258" s="869" t="s">
        <v>382</v>
      </c>
      <c r="C258" s="1058"/>
      <c r="D258" s="1059">
        <f>D257</f>
        <v>1400000</v>
      </c>
      <c r="E258" s="1067"/>
      <c r="F258" s="1051"/>
      <c r="G258" s="1052" t="s">
        <v>381</v>
      </c>
      <c r="H258" s="869" t="s">
        <v>382</v>
      </c>
      <c r="I258" s="1058"/>
      <c r="J258" s="1059">
        <f>J257</f>
        <v>1400000</v>
      </c>
    </row>
    <row r="259" spans="1:15" ht="15" customHeight="1">
      <c r="A259" s="1068" t="s">
        <v>383</v>
      </c>
      <c r="B259" s="1069" t="s">
        <v>384</v>
      </c>
      <c r="C259" s="1070"/>
      <c r="D259" s="1071" t="e">
        <f>SUM(D250:D255)-D258</f>
        <v>#N/A</v>
      </c>
      <c r="E259" s="1072"/>
      <c r="F259" s="1073"/>
      <c r="G259" s="1068" t="s">
        <v>383</v>
      </c>
      <c r="H259" s="1069" t="s">
        <v>384</v>
      </c>
      <c r="I259" s="1070"/>
      <c r="J259" s="1071" t="e">
        <f>SUM(J250:J255)-J258</f>
        <v>#N/A</v>
      </c>
    </row>
    <row r="260" spans="1:15" ht="12.6" customHeight="1">
      <c r="A260" s="1074"/>
      <c r="B260" s="1075"/>
      <c r="C260" s="1076"/>
      <c r="D260" s="1077"/>
      <c r="E260" s="1077"/>
      <c r="F260" s="1078"/>
      <c r="G260" s="1074"/>
      <c r="H260" s="1075"/>
      <c r="I260" s="1076"/>
      <c r="J260" s="1077"/>
    </row>
    <row r="261" spans="1:15" ht="12.6" customHeight="1">
      <c r="A261" s="1075"/>
      <c r="B261" s="1075"/>
      <c r="C261" s="1079"/>
      <c r="D261" s="1080"/>
      <c r="E261" s="1075"/>
      <c r="F261" s="1081"/>
      <c r="G261" s="1075"/>
      <c r="H261" s="1075"/>
      <c r="I261" s="1079"/>
      <c r="J261" s="1080"/>
    </row>
    <row r="262" spans="1:15" ht="15" customHeight="1">
      <c r="A262" s="2242" t="str">
        <f>$K$2</f>
        <v>THÁNG 09/2024</v>
      </c>
      <c r="B262" s="2242"/>
      <c r="C262" s="2242"/>
      <c r="D262" s="2242"/>
      <c r="E262" s="1050"/>
      <c r="F262" s="1051"/>
      <c r="G262" s="2242" t="str">
        <f>$K$2</f>
        <v>THÁNG 09/2024</v>
      </c>
      <c r="H262" s="2242"/>
      <c r="I262" s="2242"/>
      <c r="J262" s="2242"/>
      <c r="K262" s="624"/>
    </row>
    <row r="263" spans="1:15" ht="15" customHeight="1">
      <c r="A263" s="1052" t="s">
        <v>356</v>
      </c>
      <c r="B263" s="1053" t="s">
        <v>417</v>
      </c>
      <c r="C263" s="869"/>
      <c r="D263" s="1049"/>
      <c r="E263" s="1054"/>
      <c r="F263" s="1055"/>
      <c r="G263" s="1052" t="s">
        <v>356</v>
      </c>
      <c r="H263" s="1053" t="s">
        <v>418</v>
      </c>
      <c r="I263" s="869"/>
      <c r="J263" s="1049"/>
      <c r="L263" s="1088"/>
      <c r="M263" s="1088"/>
      <c r="N263" s="1088"/>
      <c r="O263" s="1088"/>
    </row>
    <row r="264" spans="1:15" ht="15" customHeight="1">
      <c r="A264" s="1052" t="s">
        <v>359</v>
      </c>
      <c r="B264" s="1089" t="s">
        <v>360</v>
      </c>
      <c r="C264" s="1058" t="e">
        <f>VLOOKUP(B263,'LƯƠNG KT'!$D$15:$U$94,3,0)</f>
        <v>#N/A</v>
      </c>
      <c r="D264" s="1059" t="e">
        <f>+C264*25000</f>
        <v>#N/A</v>
      </c>
      <c r="E264" s="1060"/>
      <c r="F264" s="1060"/>
      <c r="G264" s="1052" t="s">
        <v>359</v>
      </c>
      <c r="H264" s="1089" t="s">
        <v>360</v>
      </c>
      <c r="I264" s="1058" t="e">
        <f>VLOOKUP(H263,'LƯƠNG KT'!$D$15:$U$94,3,0)</f>
        <v>#N/A</v>
      </c>
      <c r="J264" s="1059" t="e">
        <f>+I264*25000</f>
        <v>#N/A</v>
      </c>
      <c r="K264" s="1085"/>
      <c r="L264" s="1085"/>
      <c r="M264" s="1085"/>
      <c r="N264" s="1085"/>
      <c r="O264" s="1085"/>
    </row>
    <row r="265" spans="1:15" ht="15" customHeight="1">
      <c r="A265" s="1052" t="s">
        <v>361</v>
      </c>
      <c r="B265" s="869" t="s">
        <v>362</v>
      </c>
      <c r="C265" s="1058" t="e">
        <f>VLOOKUP(B263,'LƯƠNG KT'!$D$15:$U$94,14,0)</f>
        <v>#N/A</v>
      </c>
      <c r="D265" s="1059" t="e">
        <f>C265*$L$4</f>
        <v>#N/A</v>
      </c>
      <c r="E265" s="1061"/>
      <c r="F265" s="1061"/>
      <c r="G265" s="1052" t="s">
        <v>361</v>
      </c>
      <c r="H265" s="869" t="s">
        <v>362</v>
      </c>
      <c r="I265" s="1058" t="e">
        <f>VLOOKUP(H263,'LƯƠNG KT'!$D$15:$U$94,14,0)</f>
        <v>#N/A</v>
      </c>
      <c r="J265" s="1059" t="e">
        <f>I265*$L$4</f>
        <v>#N/A</v>
      </c>
      <c r="K265" s="1085"/>
      <c r="L265" s="1085"/>
      <c r="M265" s="1085"/>
      <c r="N265" s="1085"/>
      <c r="O265" s="1085"/>
    </row>
    <row r="266" spans="1:15" ht="15" customHeight="1">
      <c r="A266" s="1052" t="s">
        <v>364</v>
      </c>
      <c r="B266" s="869" t="s">
        <v>365</v>
      </c>
      <c r="C266" s="1058" t="e">
        <f>VLOOKUP(B263,'LƯƠNG KT'!$D$15:$U$94,15,0)</f>
        <v>#N/A</v>
      </c>
      <c r="D266" s="1059" t="e">
        <f>C266*$L$5</f>
        <v>#N/A</v>
      </c>
      <c r="E266" s="1061"/>
      <c r="F266" s="1061"/>
      <c r="G266" s="1052" t="s">
        <v>364</v>
      </c>
      <c r="H266" s="869" t="s">
        <v>365</v>
      </c>
      <c r="I266" s="1058" t="e">
        <f>VLOOKUP(H263,'LƯƠNG KT'!$D$15:$U$94,15,0)</f>
        <v>#N/A</v>
      </c>
      <c r="J266" s="1059" t="e">
        <f>I266*$L$5</f>
        <v>#N/A</v>
      </c>
      <c r="K266" s="1085"/>
      <c r="L266" s="1085"/>
      <c r="M266" s="1085"/>
      <c r="N266" s="1085"/>
      <c r="O266" s="1085"/>
    </row>
    <row r="267" spans="1:15" ht="15" customHeight="1">
      <c r="A267" s="1052" t="s">
        <v>367</v>
      </c>
      <c r="B267" s="869"/>
      <c r="C267" s="1058" t="e">
        <f>VLOOKUP(B263,'LƯƠNG KT'!$D$15:$U$94,16,0)</f>
        <v>#N/A</v>
      </c>
      <c r="D267" s="1059" t="e">
        <f>+C267*$L$6</f>
        <v>#N/A</v>
      </c>
      <c r="E267" s="1061"/>
      <c r="F267" s="1061"/>
      <c r="G267" s="1052" t="s">
        <v>367</v>
      </c>
      <c r="H267" s="869"/>
      <c r="I267" s="1058" t="e">
        <f>VLOOKUP(H263,'LƯƠNG KT'!$D$15:$U$94,16,0)</f>
        <v>#N/A</v>
      </c>
      <c r="J267" s="1059" t="e">
        <f>+I267*$L$6</f>
        <v>#N/A</v>
      </c>
      <c r="K267" s="1085"/>
      <c r="L267" s="1085"/>
      <c r="M267" s="1085"/>
      <c r="N267" s="1085"/>
      <c r="O267" s="1085"/>
    </row>
    <row r="268" spans="1:15" ht="15" customHeight="1">
      <c r="A268" s="1052" t="s">
        <v>371</v>
      </c>
      <c r="B268" s="869" t="s">
        <v>372</v>
      </c>
      <c r="C268" s="1058" t="e">
        <f>VLOOKUP(B263,'LƯƠNG KT'!$D$15:$U$94,9,0)*$L$10</f>
        <v>#N/A</v>
      </c>
      <c r="D268" s="1059" t="e">
        <f>+C268*0.5*3000</f>
        <v>#N/A</v>
      </c>
      <c r="E268" s="1061"/>
      <c r="F268" s="1061"/>
      <c r="G268" s="1052" t="s">
        <v>371</v>
      </c>
      <c r="H268" s="869" t="s">
        <v>372</v>
      </c>
      <c r="I268" s="1058" t="e">
        <f>VLOOKUP(H263,'LƯƠNG KT'!$D$15:$U$94,9,0)*$L$10</f>
        <v>#N/A</v>
      </c>
      <c r="J268" s="1059" t="e">
        <f>+I268*0.5*3000</f>
        <v>#N/A</v>
      </c>
      <c r="K268" s="1085"/>
      <c r="L268" s="1085"/>
      <c r="M268" s="1085"/>
      <c r="N268" s="1085"/>
      <c r="O268" s="1085"/>
    </row>
    <row r="269" spans="1:15" ht="15" customHeight="1">
      <c r="A269" s="1052" t="s">
        <v>374</v>
      </c>
      <c r="B269" s="869" t="s">
        <v>375</v>
      </c>
      <c r="C269" s="1058" t="e">
        <f>VLOOKUP(B263,'LƯƠNG KT'!$D$15:$U$94,8,0)*$L$11</f>
        <v>#N/A</v>
      </c>
      <c r="D269" s="1059" t="e">
        <f>VLOOKUP(B263,'LƯƠNG KT'!$D$15:$U$94,13,0)-D268</f>
        <v>#N/A</v>
      </c>
      <c r="E269" s="1063"/>
      <c r="F269" s="1061"/>
      <c r="G269" s="1052" t="s">
        <v>374</v>
      </c>
      <c r="H269" s="869" t="s">
        <v>375</v>
      </c>
      <c r="I269" s="1058" t="e">
        <f>VLOOKUP(H263,'LƯƠNG KT'!$D$15:$U$94,8,0)*$L$11</f>
        <v>#N/A</v>
      </c>
      <c r="J269" s="1059" t="e">
        <f>VLOOKUP(H263,'LƯƠNG KT'!$D$15:$U$94,13,0)-J268</f>
        <v>#N/A</v>
      </c>
      <c r="K269" s="1085"/>
      <c r="L269" s="1085"/>
      <c r="M269" s="1085"/>
      <c r="N269" s="1085"/>
      <c r="O269" s="1085"/>
    </row>
    <row r="270" spans="1:15" ht="15" customHeight="1">
      <c r="A270" s="1059" t="s">
        <v>377</v>
      </c>
      <c r="B270" s="869" t="s">
        <v>378</v>
      </c>
      <c r="C270" s="1058"/>
      <c r="D270" s="1059"/>
      <c r="E270" s="1065"/>
      <c r="F270" s="1065"/>
      <c r="G270" s="1059" t="s">
        <v>377</v>
      </c>
      <c r="H270" s="869" t="s">
        <v>378</v>
      </c>
      <c r="I270" s="1058"/>
      <c r="J270" s="1059"/>
    </row>
    <row r="271" spans="1:15" ht="15" customHeight="1">
      <c r="A271" s="1066" t="s">
        <v>379</v>
      </c>
      <c r="B271" s="869" t="s">
        <v>380</v>
      </c>
      <c r="C271" s="1058"/>
      <c r="D271" s="1059">
        <f>56*25000</f>
        <v>1400000</v>
      </c>
      <c r="E271" s="1063"/>
      <c r="F271" s="1065"/>
      <c r="G271" s="1066" t="s">
        <v>379</v>
      </c>
      <c r="H271" s="869" t="s">
        <v>380</v>
      </c>
      <c r="I271" s="1058"/>
      <c r="J271" s="1059">
        <f>56*25000</f>
        <v>1400000</v>
      </c>
    </row>
    <row r="272" spans="1:15" ht="15" customHeight="1">
      <c r="A272" s="1052" t="s">
        <v>381</v>
      </c>
      <c r="B272" s="869" t="s">
        <v>382</v>
      </c>
      <c r="C272" s="1058"/>
      <c r="D272" s="1059">
        <f>D271</f>
        <v>1400000</v>
      </c>
      <c r="E272" s="1067"/>
      <c r="F272" s="1051"/>
      <c r="G272" s="1052" t="s">
        <v>381</v>
      </c>
      <c r="H272" s="869" t="s">
        <v>382</v>
      </c>
      <c r="I272" s="1058"/>
      <c r="J272" s="1059">
        <f>J271</f>
        <v>1400000</v>
      </c>
    </row>
    <row r="273" spans="1:15" ht="15" customHeight="1">
      <c r="A273" s="1068" t="s">
        <v>383</v>
      </c>
      <c r="B273" s="1069" t="s">
        <v>384</v>
      </c>
      <c r="C273" s="1070"/>
      <c r="D273" s="1071" t="e">
        <f>SUM(D264:D269)-D272</f>
        <v>#N/A</v>
      </c>
      <c r="E273" s="1072"/>
      <c r="F273" s="1073"/>
      <c r="G273" s="1068" t="s">
        <v>383</v>
      </c>
      <c r="H273" s="1069" t="s">
        <v>384</v>
      </c>
      <c r="I273" s="1070"/>
      <c r="J273" s="1071" t="e">
        <f>SUM(J264:J269)-J272</f>
        <v>#N/A</v>
      </c>
    </row>
    <row r="274" spans="1:15" ht="18.75" customHeight="1">
      <c r="A274" s="1074"/>
      <c r="B274" s="1075"/>
      <c r="C274" s="1076"/>
      <c r="D274" s="1077"/>
      <c r="E274" s="1077"/>
      <c r="F274" s="1078"/>
      <c r="G274" s="1074"/>
      <c r="H274" s="1075"/>
      <c r="I274" s="1076"/>
      <c r="J274" s="1077"/>
    </row>
    <row r="275" spans="1:15" ht="18.75" customHeight="1">
      <c r="A275" s="1075"/>
      <c r="B275" s="1075"/>
      <c r="C275" s="1079"/>
      <c r="D275" s="1080"/>
      <c r="E275" s="1075"/>
      <c r="F275" s="1081"/>
      <c r="G275" s="1075"/>
      <c r="H275" s="1075"/>
      <c r="I275" s="1079"/>
      <c r="J275" s="1080"/>
    </row>
    <row r="276" spans="1:15" ht="15" customHeight="1">
      <c r="A276" s="2242" t="str">
        <f>$K$2</f>
        <v>THÁNG 09/2024</v>
      </c>
      <c r="B276" s="2242"/>
      <c r="C276" s="2242"/>
      <c r="D276" s="2242"/>
      <c r="E276" s="1050"/>
      <c r="F276" s="1051"/>
      <c r="G276" s="2242" t="str">
        <f>$K$2</f>
        <v>THÁNG 09/2024</v>
      </c>
      <c r="H276" s="2242"/>
      <c r="I276" s="2242"/>
      <c r="J276" s="2242"/>
      <c r="K276" s="624"/>
    </row>
    <row r="277" spans="1:15" ht="15" customHeight="1">
      <c r="A277" s="1052" t="s">
        <v>356</v>
      </c>
      <c r="B277" s="1053" t="s">
        <v>419</v>
      </c>
      <c r="C277" s="869"/>
      <c r="D277" s="1049"/>
      <c r="E277" s="1054"/>
      <c r="F277" s="1055"/>
      <c r="G277" s="1052" t="s">
        <v>356</v>
      </c>
      <c r="H277" s="1053" t="s">
        <v>420</v>
      </c>
      <c r="I277" s="869"/>
      <c r="J277" s="1049"/>
      <c r="L277" s="1088"/>
      <c r="M277" s="1088"/>
      <c r="N277" s="1088"/>
      <c r="O277" s="1088"/>
    </row>
    <row r="278" spans="1:15" ht="15" customHeight="1">
      <c r="A278" s="1052" t="s">
        <v>359</v>
      </c>
      <c r="B278" s="1089" t="s">
        <v>360</v>
      </c>
      <c r="C278" s="1058" t="e">
        <f>VLOOKUP(B277,'LƯƠNG KT'!$D$15:$U$94,3,0)</f>
        <v>#N/A</v>
      </c>
      <c r="D278" s="1059" t="e">
        <f>+C278*25000</f>
        <v>#N/A</v>
      </c>
      <c r="E278" s="1060"/>
      <c r="F278" s="1060"/>
      <c r="G278" s="1052" t="s">
        <v>359</v>
      </c>
      <c r="H278" s="1089" t="s">
        <v>360</v>
      </c>
      <c r="I278" s="1058" t="e">
        <f>VLOOKUP(H277,'LƯƠNG KT'!$D$15:$U$94,3,0)</f>
        <v>#N/A</v>
      </c>
      <c r="J278" s="1059" t="e">
        <f>+I278*25000</f>
        <v>#N/A</v>
      </c>
      <c r="K278" s="1085"/>
      <c r="L278" s="1085"/>
      <c r="M278" s="1085"/>
      <c r="N278" s="1085"/>
      <c r="O278" s="1085"/>
    </row>
    <row r="279" spans="1:15" ht="15" customHeight="1">
      <c r="A279" s="1052" t="s">
        <v>361</v>
      </c>
      <c r="B279" s="869" t="s">
        <v>362</v>
      </c>
      <c r="C279" s="1058" t="e">
        <f>VLOOKUP(B277,'LƯƠNG KT'!$D$15:$U$94,14,0)</f>
        <v>#N/A</v>
      </c>
      <c r="D279" s="1059" t="e">
        <f>C279*$L$4</f>
        <v>#N/A</v>
      </c>
      <c r="E279" s="1061"/>
      <c r="F279" s="1061"/>
      <c r="G279" s="1052" t="s">
        <v>361</v>
      </c>
      <c r="H279" s="869" t="s">
        <v>362</v>
      </c>
      <c r="I279" s="1058" t="e">
        <f>VLOOKUP(H277,'LƯƠNG KT'!$D$15:$U$94,14,0)</f>
        <v>#N/A</v>
      </c>
      <c r="J279" s="1059" t="e">
        <f>I279*$L$4</f>
        <v>#N/A</v>
      </c>
      <c r="K279" s="1085"/>
      <c r="L279" s="1085"/>
      <c r="M279" s="1085"/>
      <c r="N279" s="1085"/>
      <c r="O279" s="1085"/>
    </row>
    <row r="280" spans="1:15" ht="15" customHeight="1">
      <c r="A280" s="1052" t="s">
        <v>364</v>
      </c>
      <c r="B280" s="869" t="s">
        <v>365</v>
      </c>
      <c r="C280" s="1058" t="e">
        <f>VLOOKUP(B277,'LƯƠNG KT'!$D$15:$U$94,15,0)</f>
        <v>#N/A</v>
      </c>
      <c r="D280" s="1059" t="e">
        <f>C280*$L$5</f>
        <v>#N/A</v>
      </c>
      <c r="E280" s="1061"/>
      <c r="F280" s="1061"/>
      <c r="G280" s="1052" t="s">
        <v>364</v>
      </c>
      <c r="H280" s="869" t="s">
        <v>365</v>
      </c>
      <c r="I280" s="1058" t="e">
        <f>VLOOKUP(H277,'LƯƠNG KT'!$D$15:$U$94,15,0)</f>
        <v>#N/A</v>
      </c>
      <c r="J280" s="1059" t="e">
        <f>I280*$L$5</f>
        <v>#N/A</v>
      </c>
      <c r="K280" s="1085"/>
      <c r="L280" s="1085"/>
      <c r="M280" s="1085"/>
      <c r="N280" s="1085"/>
      <c r="O280" s="1085"/>
    </row>
    <row r="281" spans="1:15" ht="15" customHeight="1">
      <c r="A281" s="1052" t="s">
        <v>367</v>
      </c>
      <c r="B281" s="869"/>
      <c r="C281" s="1058" t="e">
        <f>VLOOKUP(B277,'LƯƠNG KT'!$D$15:$U$94,16,0)</f>
        <v>#N/A</v>
      </c>
      <c r="D281" s="1059" t="e">
        <f>+C281*$L$6</f>
        <v>#N/A</v>
      </c>
      <c r="E281" s="1061"/>
      <c r="F281" s="1061"/>
      <c r="G281" s="1052" t="s">
        <v>367</v>
      </c>
      <c r="H281" s="869"/>
      <c r="I281" s="1058" t="e">
        <f>VLOOKUP(H277,'LƯƠNG KT'!$D$15:$U$94,16,0)</f>
        <v>#N/A</v>
      </c>
      <c r="J281" s="1059" t="e">
        <f>+I281*$L$6</f>
        <v>#N/A</v>
      </c>
      <c r="K281" s="1085"/>
      <c r="L281" s="1085"/>
      <c r="M281" s="1085"/>
      <c r="N281" s="1085"/>
      <c r="O281" s="1085"/>
    </row>
    <row r="282" spans="1:15" ht="15" customHeight="1">
      <c r="A282" s="1052" t="s">
        <v>371</v>
      </c>
      <c r="B282" s="869" t="s">
        <v>372</v>
      </c>
      <c r="C282" s="1058" t="e">
        <f>VLOOKUP(B277,'LƯƠNG KT'!$D$15:$U$94,9,0)*$L$10</f>
        <v>#N/A</v>
      </c>
      <c r="D282" s="1059" t="e">
        <f>+C282*0.5*3000</f>
        <v>#N/A</v>
      </c>
      <c r="E282" s="1061"/>
      <c r="F282" s="1061"/>
      <c r="G282" s="1052" t="s">
        <v>371</v>
      </c>
      <c r="H282" s="869" t="s">
        <v>372</v>
      </c>
      <c r="I282" s="1058" t="e">
        <f>VLOOKUP(H277,'LƯƠNG KT'!$D$15:$U$94,9,0)*$L$10</f>
        <v>#N/A</v>
      </c>
      <c r="J282" s="1059" t="e">
        <f>+I282*0.5*3000</f>
        <v>#N/A</v>
      </c>
      <c r="K282" s="1085"/>
      <c r="L282" s="1085"/>
      <c r="M282" s="1085"/>
      <c r="N282" s="1085"/>
      <c r="O282" s="1085"/>
    </row>
    <row r="283" spans="1:15" ht="15" customHeight="1">
      <c r="A283" s="1052" t="s">
        <v>374</v>
      </c>
      <c r="B283" s="869" t="s">
        <v>375</v>
      </c>
      <c r="C283" s="1058" t="e">
        <f>VLOOKUP(B277,'LƯƠNG KT'!$D$15:$U$94,8,0)*$L$11</f>
        <v>#N/A</v>
      </c>
      <c r="D283" s="1059" t="e">
        <f>VLOOKUP(B277,'LƯƠNG KT'!$D$15:$U$94,13,0)-D282</f>
        <v>#N/A</v>
      </c>
      <c r="E283" s="1063"/>
      <c r="F283" s="1061"/>
      <c r="G283" s="1052" t="s">
        <v>374</v>
      </c>
      <c r="H283" s="869" t="s">
        <v>375</v>
      </c>
      <c r="I283" s="1058" t="e">
        <f>VLOOKUP(H277,'LƯƠNG KT'!$D$15:$U$94,8,0)*$L$11</f>
        <v>#N/A</v>
      </c>
      <c r="J283" s="1059" t="e">
        <f>VLOOKUP(H277,'LƯƠNG KT'!$D$15:$U$94,13,0)-J282</f>
        <v>#N/A</v>
      </c>
      <c r="K283" s="1085"/>
      <c r="L283" s="1085"/>
      <c r="M283" s="1085"/>
      <c r="N283" s="1085"/>
      <c r="O283" s="1085"/>
    </row>
    <row r="284" spans="1:15" ht="15" customHeight="1">
      <c r="A284" s="1059" t="s">
        <v>377</v>
      </c>
      <c r="B284" s="869" t="s">
        <v>378</v>
      </c>
      <c r="C284" s="1058"/>
      <c r="D284" s="1059"/>
      <c r="E284" s="1065"/>
      <c r="F284" s="1065"/>
      <c r="G284" s="1059" t="s">
        <v>377</v>
      </c>
      <c r="H284" s="869" t="s">
        <v>378</v>
      </c>
      <c r="I284" s="1058"/>
      <c r="J284" s="1059"/>
    </row>
    <row r="285" spans="1:15" ht="15" customHeight="1">
      <c r="A285" s="1066" t="s">
        <v>379</v>
      </c>
      <c r="B285" s="869" t="s">
        <v>380</v>
      </c>
      <c r="C285" s="1058"/>
      <c r="D285" s="1059">
        <f>56*25000</f>
        <v>1400000</v>
      </c>
      <c r="E285" s="1063"/>
      <c r="F285" s="1065"/>
      <c r="G285" s="1066" t="s">
        <v>379</v>
      </c>
      <c r="H285" s="869" t="s">
        <v>380</v>
      </c>
      <c r="I285" s="1058"/>
      <c r="J285" s="1059">
        <f>56*25000</f>
        <v>1400000</v>
      </c>
    </row>
    <row r="286" spans="1:15" ht="15" customHeight="1">
      <c r="A286" s="1052" t="s">
        <v>381</v>
      </c>
      <c r="B286" s="869" t="s">
        <v>382</v>
      </c>
      <c r="C286" s="1058"/>
      <c r="D286" s="1059">
        <f>D285</f>
        <v>1400000</v>
      </c>
      <c r="E286" s="1067"/>
      <c r="F286" s="1051"/>
      <c r="G286" s="1052" t="s">
        <v>381</v>
      </c>
      <c r="H286" s="869" t="s">
        <v>382</v>
      </c>
      <c r="I286" s="1058"/>
      <c r="J286" s="1059">
        <f>J285</f>
        <v>1400000</v>
      </c>
    </row>
    <row r="287" spans="1:15" ht="15" customHeight="1">
      <c r="A287" s="1068" t="s">
        <v>383</v>
      </c>
      <c r="B287" s="1069" t="s">
        <v>384</v>
      </c>
      <c r="C287" s="1070"/>
      <c r="D287" s="1071" t="e">
        <f>SUM(D278:D283)-D286</f>
        <v>#N/A</v>
      </c>
      <c r="E287" s="1072"/>
      <c r="F287" s="1073"/>
      <c r="G287" s="1068" t="s">
        <v>383</v>
      </c>
      <c r="H287" s="1069" t="s">
        <v>384</v>
      </c>
      <c r="I287" s="1070"/>
      <c r="J287" s="1071" t="e">
        <f>SUM(J278:J283)-J286</f>
        <v>#N/A</v>
      </c>
    </row>
    <row r="288" spans="1:15" ht="18.75" customHeight="1">
      <c r="A288" s="1074"/>
      <c r="B288" s="1075"/>
      <c r="C288" s="1076"/>
      <c r="D288" s="1077"/>
      <c r="E288" s="1077"/>
      <c r="F288" s="1078"/>
      <c r="G288" s="1074"/>
      <c r="H288" s="1075"/>
      <c r="I288" s="1076"/>
      <c r="J288" s="1077"/>
    </row>
    <row r="289" spans="1:15" ht="18.75" customHeight="1">
      <c r="A289" s="1075"/>
      <c r="B289" s="1075"/>
      <c r="C289" s="1079"/>
      <c r="D289" s="1080"/>
      <c r="E289" s="1075"/>
      <c r="F289" s="1081"/>
      <c r="G289" s="1075"/>
      <c r="H289" s="1075"/>
      <c r="I289" s="1079"/>
      <c r="J289" s="1080"/>
    </row>
    <row r="290" spans="1:15" ht="15" customHeight="1">
      <c r="A290" s="2242" t="str">
        <f>$K$2</f>
        <v>THÁNG 09/2024</v>
      </c>
      <c r="B290" s="2242"/>
      <c r="C290" s="2242"/>
      <c r="D290" s="2242"/>
      <c r="E290" s="1050"/>
      <c r="F290" s="1051"/>
      <c r="G290" s="2242" t="str">
        <f>$K$2</f>
        <v>THÁNG 09/2024</v>
      </c>
      <c r="H290" s="2242"/>
      <c r="I290" s="2242"/>
      <c r="J290" s="2242"/>
      <c r="K290" s="624"/>
    </row>
    <row r="291" spans="1:15" ht="15" customHeight="1">
      <c r="A291" s="1052" t="s">
        <v>356</v>
      </c>
      <c r="B291" s="1053" t="s">
        <v>421</v>
      </c>
      <c r="C291" s="869"/>
      <c r="D291" s="1049"/>
      <c r="E291" s="1054"/>
      <c r="F291" s="1055"/>
      <c r="G291" s="1052" t="s">
        <v>356</v>
      </c>
      <c r="H291" s="1053" t="s">
        <v>422</v>
      </c>
      <c r="I291" s="869"/>
      <c r="J291" s="1049"/>
      <c r="L291" s="1088"/>
      <c r="M291" s="1088"/>
      <c r="N291" s="1088"/>
      <c r="O291" s="1088"/>
    </row>
    <row r="292" spans="1:15" ht="15" customHeight="1">
      <c r="A292" s="1052" t="s">
        <v>359</v>
      </c>
      <c r="B292" s="1089" t="s">
        <v>360</v>
      </c>
      <c r="C292" s="1058" t="e">
        <f>VLOOKUP(B291,'LƯƠNG KT'!$D$15:$U$94,3,0)</f>
        <v>#N/A</v>
      </c>
      <c r="D292" s="1059" t="e">
        <f>+C292*25000</f>
        <v>#N/A</v>
      </c>
      <c r="E292" s="1060"/>
      <c r="F292" s="1060"/>
      <c r="G292" s="1052" t="s">
        <v>359</v>
      </c>
      <c r="H292" s="1089" t="s">
        <v>360</v>
      </c>
      <c r="I292" s="1058" t="e">
        <f>VLOOKUP(H291,'LƯƠNG KT'!$D$15:$U$94,3,0)</f>
        <v>#N/A</v>
      </c>
      <c r="J292" s="1059" t="e">
        <f>+I292*25000</f>
        <v>#N/A</v>
      </c>
      <c r="K292" s="1085"/>
      <c r="L292" s="1085"/>
      <c r="M292" s="1085"/>
      <c r="N292" s="1085"/>
      <c r="O292" s="1085"/>
    </row>
    <row r="293" spans="1:15" ht="15" customHeight="1">
      <c r="A293" s="1052" t="s">
        <v>361</v>
      </c>
      <c r="B293" s="869" t="s">
        <v>362</v>
      </c>
      <c r="C293" s="1058" t="e">
        <f>VLOOKUP(B291,'LƯƠNG KT'!$D$15:$U$94,14,0)</f>
        <v>#N/A</v>
      </c>
      <c r="D293" s="1059" t="e">
        <f>C293*$L$4</f>
        <v>#N/A</v>
      </c>
      <c r="E293" s="1061"/>
      <c r="F293" s="1061"/>
      <c r="G293" s="1052" t="s">
        <v>361</v>
      </c>
      <c r="H293" s="869" t="s">
        <v>362</v>
      </c>
      <c r="I293" s="1058" t="e">
        <f>VLOOKUP(H291,'LƯƠNG KT'!$D$15:$U$94,14,0)</f>
        <v>#N/A</v>
      </c>
      <c r="J293" s="1059" t="e">
        <f>I293*$L$4</f>
        <v>#N/A</v>
      </c>
      <c r="K293" s="1085"/>
      <c r="L293" s="1085"/>
      <c r="M293" s="1085"/>
      <c r="N293" s="1085"/>
      <c r="O293" s="1085"/>
    </row>
    <row r="294" spans="1:15" ht="15" customHeight="1">
      <c r="A294" s="1052" t="s">
        <v>364</v>
      </c>
      <c r="B294" s="869" t="s">
        <v>365</v>
      </c>
      <c r="C294" s="1058" t="e">
        <f>VLOOKUP(B291,'LƯƠNG KT'!$D$15:$U$94,15,0)</f>
        <v>#N/A</v>
      </c>
      <c r="D294" s="1059" t="e">
        <f>C294*$L$5</f>
        <v>#N/A</v>
      </c>
      <c r="E294" s="1061"/>
      <c r="F294" s="1061"/>
      <c r="G294" s="1052" t="s">
        <v>364</v>
      </c>
      <c r="H294" s="869" t="s">
        <v>365</v>
      </c>
      <c r="I294" s="1058" t="e">
        <f>VLOOKUP(H291,'LƯƠNG KT'!$D$15:$U$94,15,0)</f>
        <v>#N/A</v>
      </c>
      <c r="J294" s="1059" t="e">
        <f>I294*$L$5</f>
        <v>#N/A</v>
      </c>
      <c r="K294" s="1085"/>
      <c r="L294" s="1085"/>
      <c r="M294" s="1085"/>
      <c r="N294" s="1085"/>
      <c r="O294" s="1085"/>
    </row>
    <row r="295" spans="1:15" ht="15" customHeight="1">
      <c r="A295" s="1052" t="s">
        <v>367</v>
      </c>
      <c r="B295" s="869"/>
      <c r="C295" s="1058" t="e">
        <f>VLOOKUP(B291,'LƯƠNG KT'!$D$15:$U$94,16,0)</f>
        <v>#N/A</v>
      </c>
      <c r="D295" s="1059" t="e">
        <f>+C295*$L$6</f>
        <v>#N/A</v>
      </c>
      <c r="E295" s="1061"/>
      <c r="F295" s="1061"/>
      <c r="G295" s="1052" t="s">
        <v>367</v>
      </c>
      <c r="H295" s="869"/>
      <c r="I295" s="1058" t="e">
        <f>VLOOKUP(H291,'LƯƠNG KT'!$D$15:$U$94,16,0)</f>
        <v>#N/A</v>
      </c>
      <c r="J295" s="1059" t="e">
        <f>+I295*$L$6</f>
        <v>#N/A</v>
      </c>
      <c r="K295" s="1085"/>
      <c r="L295" s="1085"/>
      <c r="M295" s="1085"/>
      <c r="N295" s="1085"/>
      <c r="O295" s="1085"/>
    </row>
    <row r="296" spans="1:15" ht="15" customHeight="1">
      <c r="A296" s="1052" t="s">
        <v>371</v>
      </c>
      <c r="B296" s="869" t="s">
        <v>372</v>
      </c>
      <c r="C296" s="1058" t="e">
        <f>VLOOKUP(B291,'LƯƠNG KT'!$D$15:$U$94,9,0)*$L$10</f>
        <v>#N/A</v>
      </c>
      <c r="D296" s="1059" t="e">
        <f>+C296*0.5*3000</f>
        <v>#N/A</v>
      </c>
      <c r="E296" s="1061"/>
      <c r="F296" s="1061"/>
      <c r="G296" s="1052" t="s">
        <v>371</v>
      </c>
      <c r="H296" s="869" t="s">
        <v>372</v>
      </c>
      <c r="I296" s="1058" t="e">
        <f>VLOOKUP(H291,'LƯƠNG KT'!$D$15:$U$94,9,0)*$L$10</f>
        <v>#N/A</v>
      </c>
      <c r="J296" s="1059" t="e">
        <f>+I296*0.5*3000</f>
        <v>#N/A</v>
      </c>
      <c r="K296" s="1085"/>
      <c r="L296" s="1085"/>
      <c r="M296" s="1085"/>
      <c r="N296" s="1085"/>
      <c r="O296" s="1085"/>
    </row>
    <row r="297" spans="1:15" ht="15" customHeight="1">
      <c r="A297" s="1052" t="s">
        <v>374</v>
      </c>
      <c r="B297" s="869" t="s">
        <v>375</v>
      </c>
      <c r="C297" s="1058" t="e">
        <f>VLOOKUP(B291,'LƯƠNG KT'!$D$15:$U$94,8,0)*$L$11</f>
        <v>#N/A</v>
      </c>
      <c r="D297" s="1059" t="e">
        <f>VLOOKUP(B291,'LƯƠNG KT'!$D$15:$U$94,13,0)-D296+C293*20000+C294*20000</f>
        <v>#N/A</v>
      </c>
      <c r="E297" s="1063"/>
      <c r="F297" s="1061"/>
      <c r="G297" s="1052" t="s">
        <v>374</v>
      </c>
      <c r="H297" s="869" t="s">
        <v>375</v>
      </c>
      <c r="I297" s="1058" t="e">
        <f>VLOOKUP(H291,'LƯƠNG KT'!$D$15:$U$94,8,0)*$L$11</f>
        <v>#N/A</v>
      </c>
      <c r="J297" s="1059" t="e">
        <f>VLOOKUP(H291,'LƯƠNG KT'!$D$15:$U$94,13,0)-J296</f>
        <v>#N/A</v>
      </c>
      <c r="K297" s="1085"/>
      <c r="L297" s="1085"/>
      <c r="M297" s="1085"/>
      <c r="N297" s="1085"/>
      <c r="O297" s="1085"/>
    </row>
    <row r="298" spans="1:15" ht="15" customHeight="1">
      <c r="A298" s="1059" t="s">
        <v>377</v>
      </c>
      <c r="B298" s="869" t="s">
        <v>378</v>
      </c>
      <c r="C298" s="1058"/>
      <c r="D298" s="1059"/>
      <c r="E298" s="1065"/>
      <c r="F298" s="1065"/>
      <c r="G298" s="1059" t="s">
        <v>377</v>
      </c>
      <c r="H298" s="869" t="s">
        <v>378</v>
      </c>
      <c r="I298" s="1058"/>
      <c r="J298" s="1059"/>
    </row>
    <row r="299" spans="1:15" ht="15" customHeight="1">
      <c r="A299" s="1066" t="s">
        <v>379</v>
      </c>
      <c r="B299" s="869" t="s">
        <v>380</v>
      </c>
      <c r="C299" s="1058"/>
      <c r="D299" s="1059">
        <f>56*25000</f>
        <v>1400000</v>
      </c>
      <c r="E299" s="1063"/>
      <c r="F299" s="1065"/>
      <c r="G299" s="1066" t="s">
        <v>379</v>
      </c>
      <c r="H299" s="869" t="s">
        <v>380</v>
      </c>
      <c r="I299" s="1058"/>
      <c r="J299" s="1059">
        <f>56*25000</f>
        <v>1400000</v>
      </c>
    </row>
    <row r="300" spans="1:15" ht="15" customHeight="1">
      <c r="A300" s="1052" t="s">
        <v>381</v>
      </c>
      <c r="B300" s="869" t="s">
        <v>382</v>
      </c>
      <c r="C300" s="1058"/>
      <c r="D300" s="1059">
        <f>D299</f>
        <v>1400000</v>
      </c>
      <c r="E300" s="1067"/>
      <c r="F300" s="1051"/>
      <c r="G300" s="1052" t="s">
        <v>381</v>
      </c>
      <c r="H300" s="869" t="s">
        <v>382</v>
      </c>
      <c r="I300" s="1058"/>
      <c r="J300" s="1059">
        <f>J299</f>
        <v>1400000</v>
      </c>
    </row>
    <row r="301" spans="1:15" ht="15" customHeight="1">
      <c r="A301" s="1068" t="s">
        <v>383</v>
      </c>
      <c r="B301" s="1069" t="s">
        <v>384</v>
      </c>
      <c r="C301" s="1070"/>
      <c r="D301" s="1071" t="e">
        <f>SUM(D292:D297)-D300</f>
        <v>#N/A</v>
      </c>
      <c r="E301" s="1072"/>
      <c r="F301" s="1073"/>
      <c r="G301" s="1068" t="s">
        <v>383</v>
      </c>
      <c r="H301" s="1069" t="s">
        <v>384</v>
      </c>
      <c r="I301" s="1070"/>
      <c r="J301" s="1071" t="e">
        <f>SUM(J292:J297)-J300</f>
        <v>#N/A</v>
      </c>
    </row>
    <row r="302" spans="1:15" ht="15.75" customHeight="1">
      <c r="A302" s="1074"/>
      <c r="B302" s="1075"/>
      <c r="C302" s="1076"/>
      <c r="D302" s="1077"/>
      <c r="E302" s="1077"/>
      <c r="F302" s="1078"/>
      <c r="G302" s="1074"/>
      <c r="H302" s="1075"/>
      <c r="I302" s="1076"/>
      <c r="J302" s="1077"/>
    </row>
    <row r="304" spans="1:15" ht="12" customHeight="1">
      <c r="A304" s="2243"/>
      <c r="B304" s="2243"/>
      <c r="C304" s="2243"/>
      <c r="D304" s="2243"/>
      <c r="E304" s="2243"/>
      <c r="F304" s="2243"/>
      <c r="G304" s="2243"/>
      <c r="H304" s="2243"/>
      <c r="I304" s="2243"/>
      <c r="J304" s="2243"/>
    </row>
    <row r="305" spans="1:15" ht="15" customHeight="1">
      <c r="A305" s="2242" t="str">
        <f>$K$2</f>
        <v>THÁNG 09/2024</v>
      </c>
      <c r="B305" s="2242"/>
      <c r="C305" s="2242"/>
      <c r="D305" s="2242"/>
      <c r="E305" s="1050"/>
      <c r="F305" s="1051"/>
      <c r="G305" s="2242" t="str">
        <f>$K$2</f>
        <v>THÁNG 09/2024</v>
      </c>
      <c r="H305" s="2242"/>
      <c r="I305" s="2242"/>
      <c r="J305" s="2242"/>
      <c r="K305" s="624"/>
    </row>
    <row r="306" spans="1:15" ht="15" customHeight="1">
      <c r="A306" s="1052" t="s">
        <v>356</v>
      </c>
      <c r="B306" s="1053" t="s">
        <v>423</v>
      </c>
      <c r="C306" s="869"/>
      <c r="D306" s="1049"/>
      <c r="E306" s="1054"/>
      <c r="F306" s="1055"/>
      <c r="G306" s="1052" t="s">
        <v>356</v>
      </c>
      <c r="H306" s="1053" t="s">
        <v>424</v>
      </c>
      <c r="I306" s="869"/>
      <c r="J306" s="1049"/>
      <c r="L306" s="1088"/>
      <c r="M306" s="1088"/>
      <c r="N306" s="1088"/>
      <c r="O306" s="1088"/>
    </row>
    <row r="307" spans="1:15" ht="15" customHeight="1">
      <c r="A307" s="1052" t="s">
        <v>359</v>
      </c>
      <c r="B307" s="1089" t="s">
        <v>360</v>
      </c>
      <c r="C307" s="1058" t="e">
        <f>VLOOKUP(B306,'LƯƠNG KT'!$D$15:$U$94,3,0)</f>
        <v>#N/A</v>
      </c>
      <c r="D307" s="1059" t="e">
        <f>+C307*25000</f>
        <v>#N/A</v>
      </c>
      <c r="E307" s="1060"/>
      <c r="F307" s="1060"/>
      <c r="G307" s="1052" t="s">
        <v>359</v>
      </c>
      <c r="H307" s="1089" t="s">
        <v>360</v>
      </c>
      <c r="I307" s="1058" t="e">
        <f>VLOOKUP(H306,'LƯƠNG KT'!$D$15:$U$94,3,0)</f>
        <v>#N/A</v>
      </c>
      <c r="J307" s="1059" t="e">
        <f>+I307*25000</f>
        <v>#N/A</v>
      </c>
      <c r="K307" s="1084"/>
      <c r="L307" s="1085"/>
      <c r="M307" s="1085"/>
      <c r="N307" s="1085"/>
      <c r="O307" s="1085"/>
    </row>
    <row r="308" spans="1:15" ht="15" customHeight="1">
      <c r="A308" s="1052" t="s">
        <v>361</v>
      </c>
      <c r="B308" s="869" t="s">
        <v>362</v>
      </c>
      <c r="C308" s="1058" t="e">
        <f>VLOOKUP(B306,'LƯƠNG KT'!$D$15:$U$94,14,0)</f>
        <v>#N/A</v>
      </c>
      <c r="D308" s="1059" t="e">
        <f>C308*$L$4</f>
        <v>#N/A</v>
      </c>
      <c r="E308" s="1061"/>
      <c r="F308" s="1061"/>
      <c r="G308" s="1052" t="s">
        <v>361</v>
      </c>
      <c r="H308" s="869" t="s">
        <v>362</v>
      </c>
      <c r="I308" s="1058" t="e">
        <f>VLOOKUP(H306,'LƯƠNG KT'!$D$15:$U$94,14,0)</f>
        <v>#N/A</v>
      </c>
      <c r="J308" s="1059" t="e">
        <f>I308*$L$4</f>
        <v>#N/A</v>
      </c>
      <c r="K308" s="1084"/>
      <c r="L308" s="1085"/>
      <c r="M308" s="1085"/>
      <c r="N308" s="1085"/>
      <c r="O308" s="1085"/>
    </row>
    <row r="309" spans="1:15" ht="15" customHeight="1">
      <c r="A309" s="1052" t="s">
        <v>364</v>
      </c>
      <c r="B309" s="869" t="s">
        <v>365</v>
      </c>
      <c r="C309" s="1058" t="e">
        <f>VLOOKUP(B306,'LƯƠNG KT'!$D$15:$U$94,15,0)</f>
        <v>#N/A</v>
      </c>
      <c r="D309" s="1059" t="e">
        <f>C309*$L$5</f>
        <v>#N/A</v>
      </c>
      <c r="E309" s="1061"/>
      <c r="F309" s="1061"/>
      <c r="G309" s="1052" t="s">
        <v>364</v>
      </c>
      <c r="H309" s="869" t="s">
        <v>365</v>
      </c>
      <c r="I309" s="1058" t="e">
        <f>VLOOKUP(H306,'LƯƠNG KT'!$D$15:$U$94,15,0)</f>
        <v>#N/A</v>
      </c>
      <c r="J309" s="1059" t="e">
        <f>I309*$L$5</f>
        <v>#N/A</v>
      </c>
      <c r="K309" s="1084"/>
      <c r="L309" s="1085"/>
      <c r="M309" s="1085"/>
      <c r="N309" s="1085"/>
      <c r="O309" s="1085"/>
    </row>
    <row r="310" spans="1:15" ht="15" customHeight="1">
      <c r="A310" s="1052" t="s">
        <v>367</v>
      </c>
      <c r="B310" s="869"/>
      <c r="C310" s="1058" t="e">
        <f>VLOOKUP(B306,'LƯƠNG KT'!$D$15:$U$94,16,0)</f>
        <v>#N/A</v>
      </c>
      <c r="D310" s="1059" t="e">
        <f>+C310*$L$6</f>
        <v>#N/A</v>
      </c>
      <c r="E310" s="1061"/>
      <c r="F310" s="1061"/>
      <c r="G310" s="1052" t="s">
        <v>367</v>
      </c>
      <c r="H310" s="869"/>
      <c r="I310" s="1058" t="e">
        <f>VLOOKUP(H306,'LƯƠNG KT'!$D$15:$U$94,16,0)</f>
        <v>#N/A</v>
      </c>
      <c r="J310" s="1059" t="e">
        <f>+I310*$L$6</f>
        <v>#N/A</v>
      </c>
      <c r="K310" s="1085"/>
      <c r="L310" s="1085"/>
      <c r="M310" s="1085"/>
      <c r="N310" s="1085"/>
      <c r="O310" s="1085"/>
    </row>
    <row r="311" spans="1:15" ht="15" customHeight="1">
      <c r="A311" s="1052" t="s">
        <v>371</v>
      </c>
      <c r="B311" s="869" t="s">
        <v>372</v>
      </c>
      <c r="C311" s="1058" t="e">
        <f>VLOOKUP(B306,'LƯƠNG KT'!$D$15:$U$94,9,0)*$L$10</f>
        <v>#N/A</v>
      </c>
      <c r="D311" s="1059" t="e">
        <f>+C311*0.5*3000</f>
        <v>#N/A</v>
      </c>
      <c r="E311" s="1061"/>
      <c r="F311" s="1061"/>
      <c r="G311" s="1052" t="s">
        <v>371</v>
      </c>
      <c r="H311" s="869" t="s">
        <v>372</v>
      </c>
      <c r="I311" s="1058" t="e">
        <f>VLOOKUP(H306,'LƯƠNG KT'!$D$15:$U$94,9,0)*$L$10</f>
        <v>#N/A</v>
      </c>
      <c r="J311" s="1059" t="e">
        <f>+I311*0.5*3000</f>
        <v>#N/A</v>
      </c>
      <c r="K311" s="1085"/>
      <c r="L311" s="1085"/>
      <c r="M311" s="1085"/>
      <c r="N311" s="1085"/>
      <c r="O311" s="1085"/>
    </row>
    <row r="312" spans="1:15" ht="15" customHeight="1">
      <c r="A312" s="1052" t="s">
        <v>374</v>
      </c>
      <c r="B312" s="869" t="s">
        <v>375</v>
      </c>
      <c r="C312" s="1058" t="e">
        <f>VLOOKUP(B306,'LƯƠNG KT'!$D$15:$U$94,8,0)*$L$11</f>
        <v>#N/A</v>
      </c>
      <c r="D312" s="1059" t="e">
        <f>VLOOKUP(B306,'LƯƠNG KT'!$D$15:$U$94,13,0)-D311</f>
        <v>#N/A</v>
      </c>
      <c r="E312" s="1063"/>
      <c r="F312" s="1061"/>
      <c r="G312" s="1052" t="s">
        <v>374</v>
      </c>
      <c r="H312" s="869" t="s">
        <v>375</v>
      </c>
      <c r="I312" s="1058" t="e">
        <f>VLOOKUP(H306,'LƯƠNG KT'!$D$15:$U$94,8,0)*$L$11</f>
        <v>#N/A</v>
      </c>
      <c r="J312" s="1059" t="e">
        <f>VLOOKUP(H306,'LƯƠNG KT'!$D$15:$U$94,13,0)-J311</f>
        <v>#N/A</v>
      </c>
      <c r="K312" s="1085"/>
      <c r="L312" s="1085"/>
      <c r="M312" s="1085"/>
      <c r="N312" s="1085"/>
      <c r="O312" s="1085"/>
    </row>
    <row r="313" spans="1:15" ht="15" customHeight="1">
      <c r="A313" s="1059" t="s">
        <v>377</v>
      </c>
      <c r="B313" s="869" t="s">
        <v>378</v>
      </c>
      <c r="C313" s="1058"/>
      <c r="D313" s="1059"/>
      <c r="E313" s="1065"/>
      <c r="F313" s="1065"/>
      <c r="G313" s="1059" t="s">
        <v>377</v>
      </c>
      <c r="H313" s="869" t="s">
        <v>378</v>
      </c>
      <c r="I313" s="1058"/>
      <c r="J313" s="1059"/>
    </row>
    <row r="314" spans="1:15" ht="15" customHeight="1">
      <c r="A314" s="1066" t="s">
        <v>379</v>
      </c>
      <c r="B314" s="869" t="s">
        <v>380</v>
      </c>
      <c r="C314" s="1058"/>
      <c r="D314" s="1059">
        <f>56*25000</f>
        <v>1400000</v>
      </c>
      <c r="E314" s="1063"/>
      <c r="F314" s="1065"/>
      <c r="G314" s="1066" t="s">
        <v>379</v>
      </c>
      <c r="H314" s="869" t="s">
        <v>380</v>
      </c>
      <c r="I314" s="1058"/>
      <c r="J314" s="1059">
        <f>56*25000</f>
        <v>1400000</v>
      </c>
    </row>
    <row r="315" spans="1:15" ht="15" customHeight="1">
      <c r="A315" s="1052" t="s">
        <v>381</v>
      </c>
      <c r="B315" s="869" t="s">
        <v>382</v>
      </c>
      <c r="C315" s="1058"/>
      <c r="D315" s="1059">
        <f>D314</f>
        <v>1400000</v>
      </c>
      <c r="E315" s="1067"/>
      <c r="F315" s="1051"/>
      <c r="G315" s="1052" t="s">
        <v>381</v>
      </c>
      <c r="H315" s="869" t="s">
        <v>382</v>
      </c>
      <c r="I315" s="1058"/>
      <c r="J315" s="1059">
        <f>J314</f>
        <v>1400000</v>
      </c>
    </row>
    <row r="316" spans="1:15" ht="15" customHeight="1">
      <c r="A316" s="1068" t="s">
        <v>383</v>
      </c>
      <c r="B316" s="1069" t="s">
        <v>384</v>
      </c>
      <c r="C316" s="1070"/>
      <c r="D316" s="1071" t="e">
        <f>SUM(D307:D312)-D315</f>
        <v>#N/A</v>
      </c>
      <c r="E316" s="1072"/>
      <c r="F316" s="1073"/>
      <c r="G316" s="1068" t="s">
        <v>383</v>
      </c>
      <c r="H316" s="1069" t="s">
        <v>384</v>
      </c>
      <c r="I316" s="1070"/>
      <c r="J316" s="1071" t="e">
        <f>SUM(J307:J312)-J315</f>
        <v>#N/A</v>
      </c>
    </row>
    <row r="317" spans="1:15" ht="12.6" customHeight="1">
      <c r="A317" s="1074"/>
      <c r="B317" s="1075"/>
      <c r="C317" s="1076"/>
      <c r="D317" s="1077"/>
      <c r="E317" s="1077"/>
      <c r="F317" s="1078"/>
      <c r="G317" s="1074"/>
      <c r="H317" s="1075"/>
      <c r="I317" s="1076"/>
      <c r="J317" s="1077"/>
    </row>
    <row r="318" spans="1:15" ht="12.6" customHeight="1">
      <c r="A318" s="1075"/>
      <c r="B318" s="1075"/>
      <c r="C318" s="1079"/>
      <c r="D318" s="1080"/>
      <c r="E318" s="1075"/>
      <c r="F318" s="1081"/>
      <c r="G318" s="1075"/>
      <c r="H318" s="1075"/>
      <c r="I318" s="1079"/>
      <c r="J318" s="1080"/>
    </row>
    <row r="319" spans="1:15" ht="15" customHeight="1">
      <c r="A319" s="2242" t="str">
        <f>$K$2</f>
        <v>THÁNG 09/2024</v>
      </c>
      <c r="B319" s="2242"/>
      <c r="C319" s="2242"/>
      <c r="D319" s="2242"/>
      <c r="E319" s="1050"/>
      <c r="F319" s="1051"/>
      <c r="G319" s="2242" t="str">
        <f>$K$2</f>
        <v>THÁNG 09/2024</v>
      </c>
      <c r="H319" s="2242"/>
      <c r="I319" s="2242"/>
      <c r="J319" s="2242"/>
      <c r="K319" s="624"/>
    </row>
    <row r="320" spans="1:15" ht="15" customHeight="1">
      <c r="A320" s="1052" t="s">
        <v>356</v>
      </c>
      <c r="B320" s="1053" t="s">
        <v>425</v>
      </c>
      <c r="C320" s="869"/>
      <c r="D320" s="1049"/>
      <c r="E320" s="1054"/>
      <c r="F320" s="1055"/>
      <c r="G320" s="1052" t="s">
        <v>356</v>
      </c>
      <c r="H320" s="1053"/>
      <c r="I320" s="869"/>
      <c r="J320" s="1049"/>
      <c r="L320" s="1088"/>
      <c r="M320" s="1088"/>
      <c r="N320" s="1088"/>
      <c r="O320" s="1088"/>
    </row>
    <row r="321" spans="1:15" ht="15" customHeight="1">
      <c r="A321" s="1052" t="s">
        <v>359</v>
      </c>
      <c r="B321" s="1089" t="s">
        <v>360</v>
      </c>
      <c r="C321" s="1058" t="e">
        <f>VLOOKUP(B320,'LƯƠNG KT'!$D$15:$U$94,3,0)</f>
        <v>#N/A</v>
      </c>
      <c r="D321" s="1059" t="e">
        <f>+C321*25000</f>
        <v>#N/A</v>
      </c>
      <c r="E321" s="1060"/>
      <c r="F321" s="1060"/>
      <c r="G321" s="1052" t="s">
        <v>359</v>
      </c>
      <c r="H321" s="1089" t="s">
        <v>360</v>
      </c>
      <c r="I321" s="1058" t="e">
        <f>VLOOKUP(H320,'LƯƠNG KT'!$D$15:$U$94,3,0)</f>
        <v>#N/A</v>
      </c>
      <c r="J321" s="1059" t="e">
        <f>+I321*25000</f>
        <v>#N/A</v>
      </c>
      <c r="K321" s="1085"/>
      <c r="L321" s="1085"/>
      <c r="M321" s="1085"/>
      <c r="N321" s="1085"/>
      <c r="O321" s="1085"/>
    </row>
    <row r="322" spans="1:15" ht="15" customHeight="1">
      <c r="A322" s="1052" t="s">
        <v>361</v>
      </c>
      <c r="B322" s="869" t="s">
        <v>362</v>
      </c>
      <c r="C322" s="1058" t="e">
        <f>VLOOKUP(B320,'LƯƠNG KT'!$D$15:$U$94,14,0)</f>
        <v>#N/A</v>
      </c>
      <c r="D322" s="1059" t="e">
        <f>C322*$L$4</f>
        <v>#N/A</v>
      </c>
      <c r="E322" s="1061"/>
      <c r="F322" s="1061"/>
      <c r="G322" s="1052" t="s">
        <v>361</v>
      </c>
      <c r="H322" s="869" t="s">
        <v>362</v>
      </c>
      <c r="I322" s="1058" t="e">
        <f>VLOOKUP(H320,'LƯƠNG KT'!$D$15:$U$94,14,0)</f>
        <v>#N/A</v>
      </c>
      <c r="J322" s="1059" t="e">
        <f>I322*$L$4</f>
        <v>#N/A</v>
      </c>
      <c r="K322" s="1085"/>
      <c r="L322" s="1085"/>
      <c r="M322" s="1085"/>
      <c r="N322" s="1085"/>
      <c r="O322" s="1085"/>
    </row>
    <row r="323" spans="1:15" ht="15" customHeight="1">
      <c r="A323" s="1052" t="s">
        <v>364</v>
      </c>
      <c r="B323" s="869" t="s">
        <v>365</v>
      </c>
      <c r="C323" s="1058" t="e">
        <f>VLOOKUP(B320,'LƯƠNG KT'!$D$15:$U$94,15,0)</f>
        <v>#N/A</v>
      </c>
      <c r="D323" s="1059" t="e">
        <f>C323*$L$5</f>
        <v>#N/A</v>
      </c>
      <c r="E323" s="1061"/>
      <c r="F323" s="1061"/>
      <c r="G323" s="1052" t="s">
        <v>364</v>
      </c>
      <c r="H323" s="869" t="s">
        <v>365</v>
      </c>
      <c r="I323" s="1058" t="e">
        <f>VLOOKUP(H320,'LƯƠNG KT'!$D$15:$U$94,15,0)</f>
        <v>#N/A</v>
      </c>
      <c r="J323" s="1059" t="e">
        <f>I323*$L$5</f>
        <v>#N/A</v>
      </c>
      <c r="K323" s="1085"/>
      <c r="L323" s="1085"/>
      <c r="M323" s="1085"/>
      <c r="N323" s="1085"/>
      <c r="O323" s="1085"/>
    </row>
    <row r="324" spans="1:15" ht="15" customHeight="1">
      <c r="A324" s="1052" t="s">
        <v>367</v>
      </c>
      <c r="B324" s="869"/>
      <c r="C324" s="1058" t="e">
        <f>VLOOKUP(B320,'LƯƠNG KT'!$D$15:$U$94,16,0)</f>
        <v>#N/A</v>
      </c>
      <c r="D324" s="1059" t="e">
        <f>+C324*$L$6</f>
        <v>#N/A</v>
      </c>
      <c r="E324" s="1061"/>
      <c r="F324" s="1061"/>
      <c r="G324" s="1052" t="s">
        <v>367</v>
      </c>
      <c r="H324" s="869"/>
      <c r="I324" s="1058" t="e">
        <f>VLOOKUP(H320,'LƯƠNG KT'!$D$15:$U$94,16,0)</f>
        <v>#N/A</v>
      </c>
      <c r="J324" s="1059" t="e">
        <f>+I324*$L$6</f>
        <v>#N/A</v>
      </c>
      <c r="K324" s="1085"/>
      <c r="L324" s="1085"/>
      <c r="M324" s="1085"/>
      <c r="N324" s="1085"/>
      <c r="O324" s="1085"/>
    </row>
    <row r="325" spans="1:15" ht="15" customHeight="1">
      <c r="A325" s="1052" t="s">
        <v>371</v>
      </c>
      <c r="B325" s="869" t="s">
        <v>372</v>
      </c>
      <c r="C325" s="1058" t="e">
        <f>VLOOKUP(B320,'LƯƠNG KT'!$D$15:$U$94,9,0)*$L$10</f>
        <v>#N/A</v>
      </c>
      <c r="D325" s="1059" t="e">
        <f>+C325*0.5*3000</f>
        <v>#N/A</v>
      </c>
      <c r="E325" s="1061"/>
      <c r="F325" s="1061"/>
      <c r="G325" s="1052" t="s">
        <v>371</v>
      </c>
      <c r="H325" s="869" t="s">
        <v>372</v>
      </c>
      <c r="I325" s="1058" t="e">
        <f>VLOOKUP(H320,'LƯƠNG KT'!$D$15:$U$94,9,0)*$L$10</f>
        <v>#N/A</v>
      </c>
      <c r="J325" s="1059" t="e">
        <f>+I325*0.5*3000</f>
        <v>#N/A</v>
      </c>
      <c r="K325" s="1085"/>
      <c r="L325" s="1085"/>
      <c r="M325" s="1085"/>
      <c r="N325" s="1085"/>
      <c r="O325" s="1085"/>
    </row>
    <row r="326" spans="1:15" ht="15" customHeight="1">
      <c r="A326" s="1052" t="s">
        <v>374</v>
      </c>
      <c r="B326" s="869" t="s">
        <v>375</v>
      </c>
      <c r="C326" s="1058" t="e">
        <f>VLOOKUP(B320,'LƯƠNG KT'!$D$15:$U$94,8,0)*$L$11</f>
        <v>#N/A</v>
      </c>
      <c r="D326" s="1059" t="e">
        <f>VLOOKUP(B320,'LƯƠNG KT'!$D$15:$U$94,13,0)-D325+C322*20000+C323*20000</f>
        <v>#N/A</v>
      </c>
      <c r="E326" s="1063"/>
      <c r="F326" s="1061"/>
      <c r="G326" s="1052" t="s">
        <v>374</v>
      </c>
      <c r="H326" s="869" t="s">
        <v>375</v>
      </c>
      <c r="I326" s="1058" t="e">
        <f>VLOOKUP(H320,'LƯƠNG KT'!$D$15:$U$94,8,0)*$L$11</f>
        <v>#N/A</v>
      </c>
      <c r="J326" s="1059" t="e">
        <f>VLOOKUP(H320,'LƯƠNG KT'!$D$15:$U$94,13,0)-J325</f>
        <v>#N/A</v>
      </c>
      <c r="K326" s="1085"/>
      <c r="L326" s="1085"/>
      <c r="M326" s="1085"/>
      <c r="N326" s="1085"/>
      <c r="O326" s="1085"/>
    </row>
    <row r="327" spans="1:15" ht="15" customHeight="1">
      <c r="A327" s="1059" t="s">
        <v>377</v>
      </c>
      <c r="B327" s="869" t="s">
        <v>378</v>
      </c>
      <c r="C327" s="1058"/>
      <c r="D327" s="1059"/>
      <c r="E327" s="1065"/>
      <c r="F327" s="1065"/>
      <c r="G327" s="1059" t="s">
        <v>377</v>
      </c>
      <c r="H327" s="869" t="s">
        <v>378</v>
      </c>
      <c r="I327" s="1058"/>
      <c r="J327" s="1059"/>
    </row>
    <row r="328" spans="1:15" ht="15" customHeight="1">
      <c r="A328" s="1066" t="s">
        <v>379</v>
      </c>
      <c r="B328" s="869" t="s">
        <v>380</v>
      </c>
      <c r="C328" s="1058"/>
      <c r="D328" s="1059">
        <f>56*25000</f>
        <v>1400000</v>
      </c>
      <c r="E328" s="1063"/>
      <c r="F328" s="1065"/>
      <c r="G328" s="1066" t="s">
        <v>379</v>
      </c>
      <c r="H328" s="869" t="s">
        <v>380</v>
      </c>
      <c r="I328" s="1058"/>
      <c r="J328" s="1059"/>
    </row>
    <row r="329" spans="1:15" ht="15" customHeight="1">
      <c r="A329" s="1052" t="s">
        <v>381</v>
      </c>
      <c r="B329" s="869" t="s">
        <v>382</v>
      </c>
      <c r="C329" s="1058"/>
      <c r="D329" s="1059">
        <f>D328</f>
        <v>1400000</v>
      </c>
      <c r="E329" s="1067"/>
      <c r="F329" s="1051"/>
      <c r="G329" s="1052" t="s">
        <v>381</v>
      </c>
      <c r="H329" s="869" t="s">
        <v>382</v>
      </c>
      <c r="I329" s="1058"/>
      <c r="J329" s="1059"/>
    </row>
    <row r="330" spans="1:15" ht="15" customHeight="1">
      <c r="A330" s="1068" t="s">
        <v>383</v>
      </c>
      <c r="B330" s="1069" t="s">
        <v>384</v>
      </c>
      <c r="C330" s="1070"/>
      <c r="D330" s="1071" t="e">
        <f>SUM(D321:D326)-D329</f>
        <v>#N/A</v>
      </c>
      <c r="E330" s="1072"/>
      <c r="F330" s="1073"/>
      <c r="G330" s="1068" t="s">
        <v>383</v>
      </c>
      <c r="H330" s="1069" t="s">
        <v>384</v>
      </c>
      <c r="I330" s="1070"/>
      <c r="J330" s="1071"/>
    </row>
    <row r="331" spans="1:15" ht="18.75" customHeight="1">
      <c r="A331" s="1074"/>
      <c r="B331" s="1075"/>
      <c r="C331" s="1076"/>
      <c r="D331" s="1077"/>
      <c r="E331" s="1077"/>
      <c r="F331" s="1078"/>
      <c r="G331" s="1074"/>
      <c r="H331" s="1075"/>
      <c r="I331" s="1076"/>
      <c r="J331" s="1077"/>
    </row>
    <row r="332" spans="1:15" ht="18.75" customHeight="1">
      <c r="A332" s="1075"/>
      <c r="B332" s="1075"/>
      <c r="C332" s="1079"/>
      <c r="D332" s="1080"/>
      <c r="E332" s="1075"/>
      <c r="F332" s="1081"/>
      <c r="G332" s="1075"/>
      <c r="H332" s="1075"/>
      <c r="I332" s="1079"/>
      <c r="J332" s="1080"/>
    </row>
    <row r="333" spans="1:15" ht="15" customHeight="1">
      <c r="A333" s="2242" t="str">
        <f>$K$2</f>
        <v>THÁNG 09/2024</v>
      </c>
      <c r="B333" s="2242"/>
      <c r="C333" s="2242"/>
      <c r="D333" s="2242"/>
      <c r="E333" s="1050"/>
      <c r="F333" s="1051"/>
      <c r="G333" s="2242" t="str">
        <f>$K$2</f>
        <v>THÁNG 09/2024</v>
      </c>
      <c r="H333" s="2242"/>
      <c r="I333" s="2242"/>
      <c r="J333" s="2242"/>
      <c r="K333" s="624"/>
    </row>
    <row r="334" spans="1:15" ht="15" customHeight="1">
      <c r="A334" s="1052" t="s">
        <v>356</v>
      </c>
      <c r="B334" s="1053" t="s">
        <v>426</v>
      </c>
      <c r="C334" s="869"/>
      <c r="D334" s="1049"/>
      <c r="E334" s="1054"/>
      <c r="F334" s="1055"/>
      <c r="G334" s="1052" t="s">
        <v>356</v>
      </c>
      <c r="H334" s="1053"/>
      <c r="I334" s="869"/>
      <c r="J334" s="1049"/>
      <c r="L334" s="1088"/>
      <c r="M334" s="1088"/>
      <c r="N334" s="1088"/>
      <c r="O334" s="1088"/>
    </row>
    <row r="335" spans="1:15" ht="15" customHeight="1">
      <c r="A335" s="1052" t="s">
        <v>359</v>
      </c>
      <c r="B335" s="1089" t="s">
        <v>360</v>
      </c>
      <c r="C335" s="1058"/>
      <c r="D335" s="1059"/>
      <c r="E335" s="1060"/>
      <c r="F335" s="1060"/>
      <c r="G335" s="1052" t="s">
        <v>359</v>
      </c>
      <c r="H335" s="1089"/>
      <c r="I335" s="1058"/>
      <c r="J335" s="1059"/>
      <c r="K335" s="1085"/>
      <c r="L335" s="1085"/>
      <c r="M335" s="1085"/>
      <c r="N335" s="1085"/>
      <c r="O335" s="1085"/>
    </row>
    <row r="336" spans="1:15" ht="15" customHeight="1">
      <c r="A336" s="1052" t="s">
        <v>361</v>
      </c>
      <c r="B336" s="869" t="s">
        <v>362</v>
      </c>
      <c r="C336" s="1058"/>
      <c r="D336" s="1059"/>
      <c r="E336" s="1061"/>
      <c r="F336" s="1061"/>
      <c r="G336" s="1052" t="s">
        <v>361</v>
      </c>
      <c r="H336" s="869"/>
      <c r="I336" s="1058"/>
      <c r="J336" s="1059"/>
      <c r="K336" s="1085"/>
      <c r="L336" s="1085"/>
      <c r="M336" s="1085"/>
      <c r="N336" s="1085"/>
      <c r="O336" s="1085"/>
    </row>
    <row r="337" spans="1:15" ht="15" customHeight="1">
      <c r="A337" s="1052" t="s">
        <v>364</v>
      </c>
      <c r="B337" s="869" t="s">
        <v>365</v>
      </c>
      <c r="C337" s="1058"/>
      <c r="D337" s="1059"/>
      <c r="E337" s="1061"/>
      <c r="F337" s="1061"/>
      <c r="G337" s="1052" t="s">
        <v>364</v>
      </c>
      <c r="H337" s="869"/>
      <c r="I337" s="1058"/>
      <c r="J337" s="1059"/>
      <c r="K337" s="1085"/>
      <c r="L337" s="1085"/>
      <c r="M337" s="1085"/>
      <c r="N337" s="1085"/>
      <c r="O337" s="1085"/>
    </row>
    <row r="338" spans="1:15" ht="15" customHeight="1">
      <c r="A338" s="1052" t="s">
        <v>367</v>
      </c>
      <c r="B338" s="869"/>
      <c r="C338" s="1058"/>
      <c r="D338" s="1059"/>
      <c r="E338" s="1061"/>
      <c r="F338" s="1061"/>
      <c r="G338" s="1052" t="s">
        <v>367</v>
      </c>
      <c r="H338" s="869"/>
      <c r="I338" s="1058"/>
      <c r="J338" s="1059"/>
      <c r="K338" s="1085"/>
      <c r="L338" s="1085"/>
      <c r="M338" s="1085"/>
      <c r="N338" s="1085"/>
      <c r="O338" s="1085"/>
    </row>
    <row r="339" spans="1:15" ht="15" customHeight="1">
      <c r="A339" s="1052" t="s">
        <v>371</v>
      </c>
      <c r="B339" s="869" t="s">
        <v>372</v>
      </c>
      <c r="C339" s="1058"/>
      <c r="D339" s="1059"/>
      <c r="E339" s="1061"/>
      <c r="F339" s="1061"/>
      <c r="G339" s="1052" t="s">
        <v>371</v>
      </c>
      <c r="H339" s="869"/>
      <c r="I339" s="1058"/>
      <c r="J339" s="1059"/>
      <c r="K339" s="1085"/>
      <c r="L339" s="1085"/>
      <c r="M339" s="1085"/>
      <c r="N339" s="1085"/>
      <c r="O339" s="1085"/>
    </row>
    <row r="340" spans="1:15" ht="15" customHeight="1">
      <c r="A340" s="1052" t="s">
        <v>374</v>
      </c>
      <c r="B340" s="869" t="s">
        <v>375</v>
      </c>
      <c r="C340" s="1058"/>
      <c r="D340" s="1059"/>
      <c r="E340" s="1063"/>
      <c r="F340" s="1061"/>
      <c r="G340" s="1052" t="s">
        <v>374</v>
      </c>
      <c r="H340" s="869"/>
      <c r="I340" s="1058"/>
      <c r="J340" s="1059"/>
      <c r="K340" s="1085"/>
      <c r="L340" s="1085"/>
      <c r="M340" s="1085"/>
      <c r="N340" s="1085"/>
      <c r="O340" s="1085"/>
    </row>
    <row r="341" spans="1:15" ht="15" customHeight="1">
      <c r="A341" s="1059" t="s">
        <v>377</v>
      </c>
      <c r="B341" s="869" t="s">
        <v>378</v>
      </c>
      <c r="C341" s="1058"/>
      <c r="D341" s="1059"/>
      <c r="E341" s="1065"/>
      <c r="F341" s="1065"/>
      <c r="G341" s="1059" t="s">
        <v>377</v>
      </c>
      <c r="H341" s="869"/>
      <c r="I341" s="1058"/>
      <c r="J341" s="1059"/>
    </row>
    <row r="342" spans="1:15" ht="15" customHeight="1">
      <c r="A342" s="1066" t="s">
        <v>379</v>
      </c>
      <c r="B342" s="869" t="s">
        <v>380</v>
      </c>
      <c r="C342" s="1058"/>
      <c r="D342" s="1059"/>
      <c r="E342" s="1063"/>
      <c r="F342" s="1065"/>
      <c r="G342" s="1066" t="s">
        <v>379</v>
      </c>
      <c r="H342" s="869"/>
      <c r="I342" s="1058"/>
      <c r="J342" s="1059"/>
    </row>
    <row r="343" spans="1:15" ht="15" customHeight="1">
      <c r="A343" s="1052" t="s">
        <v>381</v>
      </c>
      <c r="B343" s="869" t="s">
        <v>382</v>
      </c>
      <c r="C343" s="1058"/>
      <c r="D343" s="1059"/>
      <c r="E343" s="1067"/>
      <c r="F343" s="1051"/>
      <c r="G343" s="1052" t="s">
        <v>381</v>
      </c>
      <c r="H343" s="869"/>
      <c r="I343" s="1058"/>
      <c r="J343" s="1059"/>
    </row>
    <row r="344" spans="1:15" ht="15" customHeight="1">
      <c r="A344" s="1068" t="s">
        <v>383</v>
      </c>
      <c r="B344" s="1069" t="s">
        <v>384</v>
      </c>
      <c r="C344" s="1070"/>
      <c r="D344" s="1071"/>
      <c r="E344" s="1072"/>
      <c r="F344" s="1073"/>
      <c r="G344" s="1068" t="s">
        <v>383</v>
      </c>
      <c r="H344" s="1069"/>
      <c r="I344" s="1070"/>
      <c r="J344" s="1071"/>
    </row>
    <row r="345" spans="1:15" ht="18.75" customHeight="1">
      <c r="A345" s="1074"/>
      <c r="B345" s="1075"/>
      <c r="C345" s="1076"/>
      <c r="D345" s="1077"/>
      <c r="E345" s="1077"/>
      <c r="F345" s="1078"/>
      <c r="G345" s="1074"/>
      <c r="H345" s="1075"/>
      <c r="I345" s="1076"/>
      <c r="J345" s="1077"/>
    </row>
    <row r="346" spans="1:15" ht="18.75" customHeight="1">
      <c r="A346" s="1075"/>
      <c r="B346" s="1075"/>
      <c r="C346" s="1079"/>
      <c r="D346" s="1080"/>
      <c r="E346" s="1075"/>
      <c r="F346" s="1081"/>
      <c r="G346" s="1075"/>
      <c r="H346" s="1075"/>
      <c r="I346" s="1079"/>
      <c r="J346" s="1080"/>
    </row>
    <row r="347" spans="1:15" ht="15" customHeight="1">
      <c r="A347" s="2242" t="str">
        <f>$K$2</f>
        <v>THÁNG 09/2024</v>
      </c>
      <c r="B347" s="2242"/>
      <c r="C347" s="2242"/>
      <c r="D347" s="2242"/>
      <c r="E347" s="1050"/>
      <c r="F347" s="1051"/>
      <c r="G347" s="2242" t="str">
        <f>$K$2</f>
        <v>THÁNG 09/2024</v>
      </c>
      <c r="H347" s="2242"/>
      <c r="I347" s="2242"/>
      <c r="J347" s="2242"/>
      <c r="K347" s="624"/>
    </row>
    <row r="348" spans="1:15" ht="15" customHeight="1">
      <c r="A348" s="1052" t="s">
        <v>356</v>
      </c>
      <c r="B348" s="1053"/>
      <c r="C348" s="869"/>
      <c r="D348" s="1049"/>
      <c r="E348" s="1054"/>
      <c r="F348" s="1055"/>
      <c r="G348" s="1052" t="s">
        <v>356</v>
      </c>
      <c r="H348" s="1053"/>
      <c r="I348" s="869"/>
      <c r="J348" s="1049"/>
      <c r="L348" s="1088"/>
      <c r="M348" s="1088"/>
      <c r="N348" s="1088"/>
      <c r="O348" s="1088"/>
    </row>
    <row r="349" spans="1:15" ht="15" customHeight="1">
      <c r="A349" s="1052" t="s">
        <v>359</v>
      </c>
      <c r="B349" s="1089"/>
      <c r="C349" s="1058"/>
      <c r="D349" s="1059"/>
      <c r="E349" s="1060"/>
      <c r="F349" s="1060"/>
      <c r="G349" s="1052" t="s">
        <v>359</v>
      </c>
      <c r="H349" s="1089"/>
      <c r="I349" s="1058"/>
      <c r="J349" s="1059"/>
      <c r="K349" s="1085"/>
      <c r="L349" s="1085"/>
      <c r="M349" s="1085"/>
      <c r="N349" s="1085"/>
      <c r="O349" s="1085"/>
    </row>
    <row r="350" spans="1:15" ht="15" customHeight="1">
      <c r="A350" s="1052" t="s">
        <v>361</v>
      </c>
      <c r="B350" s="869"/>
      <c r="C350" s="1058"/>
      <c r="D350" s="1059"/>
      <c r="E350" s="1061"/>
      <c r="F350" s="1061"/>
      <c r="G350" s="1052" t="s">
        <v>361</v>
      </c>
      <c r="H350" s="869"/>
      <c r="I350" s="1058"/>
      <c r="J350" s="1059"/>
      <c r="K350" s="1085"/>
      <c r="L350" s="1085"/>
      <c r="M350" s="1085"/>
      <c r="N350" s="1085"/>
      <c r="O350" s="1085"/>
    </row>
    <row r="351" spans="1:15" ht="15" customHeight="1">
      <c r="A351" s="1052" t="s">
        <v>364</v>
      </c>
      <c r="B351" s="869"/>
      <c r="C351" s="1058"/>
      <c r="D351" s="1059"/>
      <c r="E351" s="1061"/>
      <c r="F351" s="1061"/>
      <c r="G351" s="1052" t="s">
        <v>364</v>
      </c>
      <c r="H351" s="869"/>
      <c r="I351" s="1058"/>
      <c r="J351" s="1059"/>
      <c r="K351" s="1085"/>
      <c r="L351" s="1085"/>
      <c r="M351" s="1085"/>
      <c r="N351" s="1085"/>
      <c r="O351" s="1085"/>
    </row>
    <row r="352" spans="1:15" ht="15" customHeight="1">
      <c r="A352" s="1052" t="s">
        <v>367</v>
      </c>
      <c r="B352" s="869"/>
      <c r="C352" s="1058"/>
      <c r="D352" s="1059"/>
      <c r="E352" s="1061"/>
      <c r="F352" s="1061"/>
      <c r="G352" s="1052" t="s">
        <v>367</v>
      </c>
      <c r="H352" s="869"/>
      <c r="I352" s="1058"/>
      <c r="J352" s="1059"/>
      <c r="K352" s="1085"/>
      <c r="L352" s="1085"/>
      <c r="M352" s="1085"/>
      <c r="N352" s="1085"/>
      <c r="O352" s="1085"/>
    </row>
    <row r="353" spans="1:15" ht="15" customHeight="1">
      <c r="A353" s="1052" t="s">
        <v>371</v>
      </c>
      <c r="B353" s="869"/>
      <c r="C353" s="1058"/>
      <c r="D353" s="1059"/>
      <c r="E353" s="1061"/>
      <c r="F353" s="1061"/>
      <c r="G353" s="1052" t="s">
        <v>371</v>
      </c>
      <c r="H353" s="869"/>
      <c r="I353" s="1058"/>
      <c r="J353" s="1059"/>
      <c r="K353" s="1085"/>
      <c r="L353" s="1085"/>
      <c r="M353" s="1085"/>
      <c r="N353" s="1085"/>
      <c r="O353" s="1085"/>
    </row>
    <row r="354" spans="1:15" ht="15" customHeight="1">
      <c r="A354" s="1052" t="s">
        <v>374</v>
      </c>
      <c r="B354" s="869"/>
      <c r="C354" s="1058"/>
      <c r="D354" s="1059"/>
      <c r="E354" s="1063"/>
      <c r="F354" s="1061"/>
      <c r="G354" s="1052" t="s">
        <v>374</v>
      </c>
      <c r="H354" s="869"/>
      <c r="I354" s="1058"/>
      <c r="J354" s="1059"/>
      <c r="K354" s="1085"/>
      <c r="L354" s="1085"/>
      <c r="M354" s="1085"/>
      <c r="N354" s="1085"/>
      <c r="O354" s="1085"/>
    </row>
    <row r="355" spans="1:15" ht="15" customHeight="1">
      <c r="A355" s="1059" t="s">
        <v>377</v>
      </c>
      <c r="B355" s="869"/>
      <c r="C355" s="1058"/>
      <c r="D355" s="1059"/>
      <c r="E355" s="1065"/>
      <c r="F355" s="1065"/>
      <c r="G355" s="1059" t="s">
        <v>377</v>
      </c>
      <c r="H355" s="869"/>
      <c r="I355" s="1058"/>
      <c r="J355" s="1059"/>
    </row>
    <row r="356" spans="1:15" ht="15" customHeight="1">
      <c r="A356" s="1066" t="s">
        <v>379</v>
      </c>
      <c r="B356" s="869"/>
      <c r="C356" s="1058"/>
      <c r="D356" s="1059"/>
      <c r="E356" s="1063"/>
      <c r="F356" s="1065"/>
      <c r="G356" s="1066" t="s">
        <v>379</v>
      </c>
      <c r="H356" s="869"/>
      <c r="I356" s="1058"/>
      <c r="J356" s="1059"/>
    </row>
    <row r="357" spans="1:15" ht="15" customHeight="1">
      <c r="A357" s="1052" t="s">
        <v>381</v>
      </c>
      <c r="B357" s="869"/>
      <c r="C357" s="1058"/>
      <c r="D357" s="1059"/>
      <c r="E357" s="1067"/>
      <c r="F357" s="1051"/>
      <c r="G357" s="1052" t="s">
        <v>381</v>
      </c>
      <c r="H357" s="869"/>
      <c r="I357" s="1058"/>
      <c r="J357" s="1059"/>
    </row>
    <row r="358" spans="1:15" ht="15" customHeight="1">
      <c r="A358" s="1068" t="s">
        <v>383</v>
      </c>
      <c r="B358" s="1069"/>
      <c r="C358" s="1070"/>
      <c r="D358" s="1071"/>
      <c r="E358" s="1072"/>
      <c r="F358" s="1073"/>
      <c r="G358" s="1068" t="s">
        <v>383</v>
      </c>
      <c r="H358" s="1069"/>
      <c r="I358" s="1070"/>
      <c r="J358" s="1071"/>
    </row>
    <row r="359" spans="1:15" ht="15.75" customHeight="1">
      <c r="A359" s="1074"/>
      <c r="B359" s="1075"/>
      <c r="C359" s="1076"/>
      <c r="D359" s="1077"/>
      <c r="E359" s="1077"/>
      <c r="F359" s="1078"/>
      <c r="G359" s="1074"/>
      <c r="H359" s="1075"/>
      <c r="I359" s="1076"/>
      <c r="J359" s="1077"/>
    </row>
    <row r="361" spans="1:15" ht="12" customHeight="1">
      <c r="A361" s="2243"/>
      <c r="B361" s="2243"/>
      <c r="C361" s="2243"/>
      <c r="D361" s="2243"/>
      <c r="E361" s="2243"/>
      <c r="F361" s="2243"/>
      <c r="G361" s="2243"/>
      <c r="H361" s="2243"/>
      <c r="I361" s="2243"/>
      <c r="J361" s="2243"/>
    </row>
    <row r="362" spans="1:15" ht="15" customHeight="1">
      <c r="A362" s="2242" t="str">
        <f>$K$2</f>
        <v>THÁNG 09/2024</v>
      </c>
      <c r="B362" s="2242"/>
      <c r="C362" s="2242"/>
      <c r="D362" s="2242"/>
      <c r="E362" s="1050"/>
      <c r="F362" s="1051"/>
      <c r="G362" s="2242" t="str">
        <f>$K$2</f>
        <v>THÁNG 09/2024</v>
      </c>
      <c r="H362" s="2242"/>
      <c r="I362" s="2242"/>
      <c r="J362" s="2242"/>
      <c r="K362" s="624"/>
    </row>
    <row r="363" spans="1:15" ht="15" customHeight="1">
      <c r="A363" s="1052" t="s">
        <v>356</v>
      </c>
      <c r="B363" s="1053"/>
      <c r="C363" s="869"/>
      <c r="D363" s="1049"/>
      <c r="E363" s="1054"/>
      <c r="F363" s="1055"/>
      <c r="G363" s="1052" t="s">
        <v>356</v>
      </c>
      <c r="H363" s="1053"/>
      <c r="I363" s="869"/>
      <c r="J363" s="1049"/>
      <c r="L363" s="1088"/>
      <c r="M363" s="1088"/>
      <c r="N363" s="1088"/>
      <c r="O363" s="1088"/>
    </row>
    <row r="364" spans="1:15" ht="15" customHeight="1">
      <c r="A364" s="1052" t="s">
        <v>359</v>
      </c>
      <c r="B364" s="1089" t="s">
        <v>360</v>
      </c>
      <c r="C364" s="1058"/>
      <c r="D364" s="1059"/>
      <c r="E364" s="1060"/>
      <c r="F364" s="1060"/>
      <c r="G364" s="1052" t="s">
        <v>359</v>
      </c>
      <c r="H364" s="1089" t="s">
        <v>360</v>
      </c>
      <c r="I364" s="1058"/>
      <c r="J364" s="1059"/>
      <c r="K364" s="1084"/>
      <c r="L364" s="1085"/>
      <c r="M364" s="1085"/>
      <c r="N364" s="1085"/>
      <c r="O364" s="1085"/>
    </row>
    <row r="365" spans="1:15" ht="15" customHeight="1">
      <c r="A365" s="1052" t="s">
        <v>361</v>
      </c>
      <c r="B365" s="869" t="s">
        <v>362</v>
      </c>
      <c r="C365" s="1058"/>
      <c r="D365" s="1059"/>
      <c r="E365" s="1061"/>
      <c r="F365" s="1061"/>
      <c r="G365" s="1052" t="s">
        <v>361</v>
      </c>
      <c r="H365" s="869" t="s">
        <v>362</v>
      </c>
      <c r="I365" s="1058"/>
      <c r="J365" s="1059"/>
      <c r="K365" s="1084"/>
      <c r="L365" s="1085"/>
      <c r="M365" s="1085"/>
      <c r="N365" s="1085"/>
      <c r="O365" s="1085"/>
    </row>
    <row r="366" spans="1:15" ht="15" customHeight="1">
      <c r="A366" s="1052" t="s">
        <v>364</v>
      </c>
      <c r="B366" s="869" t="s">
        <v>365</v>
      </c>
      <c r="C366" s="1058"/>
      <c r="D366" s="1059"/>
      <c r="E366" s="1061"/>
      <c r="F366" s="1061"/>
      <c r="G366" s="1052" t="s">
        <v>364</v>
      </c>
      <c r="H366" s="869" t="s">
        <v>365</v>
      </c>
      <c r="I366" s="1058"/>
      <c r="J366" s="1059"/>
      <c r="K366" s="1084"/>
      <c r="L366" s="1085"/>
      <c r="M366" s="1085"/>
      <c r="N366" s="1085"/>
      <c r="O366" s="1085"/>
    </row>
    <row r="367" spans="1:15" ht="15" customHeight="1">
      <c r="A367" s="1052" t="s">
        <v>367</v>
      </c>
      <c r="B367" s="869"/>
      <c r="C367" s="1058"/>
      <c r="D367" s="1059"/>
      <c r="E367" s="1061"/>
      <c r="F367" s="1061"/>
      <c r="G367" s="1052" t="s">
        <v>367</v>
      </c>
      <c r="H367" s="869"/>
      <c r="I367" s="1058"/>
      <c r="J367" s="1059"/>
      <c r="K367" s="1085"/>
      <c r="L367" s="1085"/>
      <c r="M367" s="1085"/>
      <c r="N367" s="1085"/>
      <c r="O367" s="1085"/>
    </row>
    <row r="368" spans="1:15" ht="15" customHeight="1">
      <c r="A368" s="1052" t="s">
        <v>371</v>
      </c>
      <c r="B368" s="869" t="s">
        <v>372</v>
      </c>
      <c r="C368" s="1058"/>
      <c r="D368" s="1059"/>
      <c r="E368" s="1061"/>
      <c r="F368" s="1061"/>
      <c r="G368" s="1052" t="s">
        <v>371</v>
      </c>
      <c r="H368" s="869" t="s">
        <v>372</v>
      </c>
      <c r="I368" s="1058"/>
      <c r="J368" s="1059"/>
      <c r="K368" s="1085"/>
      <c r="L368" s="1085"/>
      <c r="M368" s="1085"/>
      <c r="N368" s="1085"/>
      <c r="O368" s="1085"/>
    </row>
    <row r="369" spans="1:15" ht="15" customHeight="1">
      <c r="A369" s="1052" t="s">
        <v>374</v>
      </c>
      <c r="B369" s="869" t="s">
        <v>375</v>
      </c>
      <c r="C369" s="1058"/>
      <c r="D369" s="1059"/>
      <c r="E369" s="1063"/>
      <c r="F369" s="1061"/>
      <c r="G369" s="1052" t="s">
        <v>374</v>
      </c>
      <c r="H369" s="869" t="s">
        <v>375</v>
      </c>
      <c r="I369" s="1058"/>
      <c r="J369" s="1059"/>
      <c r="K369" s="1085"/>
      <c r="L369" s="1085"/>
      <c r="M369" s="1085"/>
      <c r="N369" s="1085"/>
      <c r="O369" s="1085"/>
    </row>
    <row r="370" spans="1:15" ht="15" customHeight="1">
      <c r="A370" s="1059" t="s">
        <v>377</v>
      </c>
      <c r="B370" s="869" t="s">
        <v>378</v>
      </c>
      <c r="C370" s="1058"/>
      <c r="D370" s="1059"/>
      <c r="E370" s="1065"/>
      <c r="F370" s="1065"/>
      <c r="G370" s="1059" t="s">
        <v>377</v>
      </c>
      <c r="H370" s="869" t="s">
        <v>378</v>
      </c>
      <c r="I370" s="1058"/>
      <c r="J370" s="1059"/>
    </row>
    <row r="371" spans="1:15" ht="15" customHeight="1">
      <c r="A371" s="1066" t="s">
        <v>379</v>
      </c>
      <c r="B371" s="869" t="s">
        <v>380</v>
      </c>
      <c r="C371" s="1058"/>
      <c r="D371" s="1059"/>
      <c r="E371" s="1063"/>
      <c r="F371" s="1065"/>
      <c r="G371" s="1066" t="s">
        <v>379</v>
      </c>
      <c r="H371" s="869" t="s">
        <v>380</v>
      </c>
      <c r="I371" s="1058"/>
      <c r="J371" s="1059"/>
    </row>
    <row r="372" spans="1:15" ht="15" customHeight="1">
      <c r="A372" s="1052" t="s">
        <v>381</v>
      </c>
      <c r="B372" s="869" t="s">
        <v>382</v>
      </c>
      <c r="C372" s="1058"/>
      <c r="D372" s="1059"/>
      <c r="E372" s="1067"/>
      <c r="F372" s="1051"/>
      <c r="G372" s="1052" t="s">
        <v>381</v>
      </c>
      <c r="H372" s="869" t="s">
        <v>382</v>
      </c>
      <c r="I372" s="1058"/>
      <c r="J372" s="1059"/>
    </row>
    <row r="373" spans="1:15" ht="15" customHeight="1">
      <c r="A373" s="1068" t="s">
        <v>383</v>
      </c>
      <c r="B373" s="1069" t="s">
        <v>384</v>
      </c>
      <c r="C373" s="1070"/>
      <c r="D373" s="1071"/>
      <c r="E373" s="1072"/>
      <c r="F373" s="1073"/>
      <c r="G373" s="1068" t="s">
        <v>383</v>
      </c>
      <c r="H373" s="1069" t="s">
        <v>384</v>
      </c>
      <c r="I373" s="1070"/>
      <c r="J373" s="1071"/>
    </row>
    <row r="374" spans="1:15" ht="12.6" customHeight="1">
      <c r="A374" s="1074"/>
      <c r="B374" s="1075"/>
      <c r="C374" s="1076"/>
      <c r="D374" s="1077"/>
      <c r="E374" s="1077"/>
      <c r="F374" s="1078"/>
      <c r="G374" s="1074"/>
      <c r="H374" s="1075"/>
      <c r="I374" s="1076"/>
      <c r="J374" s="1077"/>
    </row>
    <row r="375" spans="1:15" ht="12.6" customHeight="1">
      <c r="A375" s="1075"/>
      <c r="B375" s="1075"/>
      <c r="C375" s="1079"/>
      <c r="D375" s="1080"/>
      <c r="E375" s="1075"/>
      <c r="F375" s="1081"/>
      <c r="G375" s="1075"/>
      <c r="H375" s="1075"/>
      <c r="I375" s="1079"/>
      <c r="J375" s="1080"/>
    </row>
    <row r="376" spans="1:15" ht="15" customHeight="1">
      <c r="A376" s="2242" t="str">
        <f>$K$2</f>
        <v>THÁNG 09/2024</v>
      </c>
      <c r="B376" s="2242"/>
      <c r="C376" s="2242"/>
      <c r="D376" s="2242"/>
      <c r="E376" s="1050"/>
      <c r="F376" s="1051"/>
      <c r="G376" s="2242" t="str">
        <f>$K$2</f>
        <v>THÁNG 09/2024</v>
      </c>
      <c r="H376" s="2242"/>
      <c r="I376" s="2242"/>
      <c r="J376" s="2242"/>
      <c r="K376" s="624"/>
    </row>
    <row r="377" spans="1:15" ht="15" customHeight="1">
      <c r="A377" s="1052" t="s">
        <v>356</v>
      </c>
      <c r="B377" s="1053"/>
      <c r="C377" s="869"/>
      <c r="D377" s="1049"/>
      <c r="E377" s="1054"/>
      <c r="F377" s="1055"/>
      <c r="G377" s="1052" t="s">
        <v>356</v>
      </c>
      <c r="H377" s="1053"/>
      <c r="I377" s="869"/>
      <c r="J377" s="1049"/>
      <c r="L377" s="1088"/>
      <c r="M377" s="1088"/>
      <c r="N377" s="1088"/>
      <c r="O377" s="1088"/>
    </row>
    <row r="378" spans="1:15" ht="15" customHeight="1">
      <c r="A378" s="1052" t="s">
        <v>359</v>
      </c>
      <c r="B378" s="1089" t="s">
        <v>360</v>
      </c>
      <c r="C378" s="1058" t="e">
        <f>VLOOKUP(B377,'LƯƠNG KT'!$D$15:$U$94,3,0)</f>
        <v>#N/A</v>
      </c>
      <c r="D378" s="1059" t="e">
        <f>+C378*25000</f>
        <v>#N/A</v>
      </c>
      <c r="E378" s="1060"/>
      <c r="F378" s="1060"/>
      <c r="G378" s="1052" t="s">
        <v>359</v>
      </c>
      <c r="H378" s="1089" t="s">
        <v>360</v>
      </c>
      <c r="I378" s="1058" t="e">
        <f>VLOOKUP(H377,'LƯƠNG KT'!$D$15:$U$94,3,0)</f>
        <v>#N/A</v>
      </c>
      <c r="J378" s="1059" t="e">
        <f>+I378*25000</f>
        <v>#N/A</v>
      </c>
      <c r="K378" s="1090" t="s">
        <v>427</v>
      </c>
      <c r="L378" s="1090" t="e">
        <f>D387+J387+D401+J373+D373+D358+J358+J344+D344+D330+J330+J316+D316+D301+J301+J287+D287+D273+J273+J259+D259+J244+D244+J230+D230+J216+D216+J202+D202+J187+D187+J173+D173+J159+D159+J145+D145+J128+D128+J112+D112+J96+D96+J80+D80+J63+D63+J47+D47+J31+D31+J15+D15</f>
        <v>#N/A</v>
      </c>
      <c r="M378" s="1090"/>
      <c r="N378" s="1090"/>
      <c r="O378" s="1090"/>
    </row>
    <row r="379" spans="1:15" ht="15" customHeight="1">
      <c r="A379" s="1052" t="s">
        <v>361</v>
      </c>
      <c r="B379" s="869" t="s">
        <v>362</v>
      </c>
      <c r="C379" s="1058" t="e">
        <f>VLOOKUP(B377,'LƯƠNG KT'!$D$15:$U$94,14,0)</f>
        <v>#N/A</v>
      </c>
      <c r="D379" s="1059" t="e">
        <f>C379*$L$4</f>
        <v>#N/A</v>
      </c>
      <c r="E379" s="1061"/>
      <c r="F379" s="1061"/>
      <c r="G379" s="1052" t="s">
        <v>361</v>
      </c>
      <c r="H379" s="869" t="s">
        <v>362</v>
      </c>
      <c r="I379" s="1058" t="e">
        <f>VLOOKUP(H377,'LƯƠNG KT'!$D$15:$U$94,14,0)</f>
        <v>#N/A</v>
      </c>
      <c r="J379" s="1059" t="e">
        <f>I379*$L$4</f>
        <v>#N/A</v>
      </c>
      <c r="K379" s="1085"/>
      <c r="L379" s="1085" t="e">
        <f>#REF!-#REF!</f>
        <v>#REF!</v>
      </c>
      <c r="M379" s="1085"/>
      <c r="N379" s="1085"/>
      <c r="O379" s="1085"/>
    </row>
    <row r="380" spans="1:15" ht="15" customHeight="1">
      <c r="A380" s="1052" t="s">
        <v>364</v>
      </c>
      <c r="B380" s="869" t="s">
        <v>365</v>
      </c>
      <c r="C380" s="1058" t="e">
        <f>VLOOKUP(B377,'LƯƠNG KT'!$D$15:$U$94,15,0)</f>
        <v>#N/A</v>
      </c>
      <c r="D380" s="1059" t="e">
        <f>C380*$L$5</f>
        <v>#N/A</v>
      </c>
      <c r="E380" s="1061"/>
      <c r="F380" s="1061"/>
      <c r="G380" s="1052" t="s">
        <v>364</v>
      </c>
      <c r="H380" s="869" t="s">
        <v>365</v>
      </c>
      <c r="I380" s="1058" t="e">
        <f>VLOOKUP(H377,'LƯƠNG KT'!$D$15:$U$94,15,0)</f>
        <v>#N/A</v>
      </c>
      <c r="J380" s="1059" t="e">
        <f>I380*$L$5</f>
        <v>#N/A</v>
      </c>
      <c r="K380" s="1085"/>
      <c r="L380" s="1085" t="e">
        <f>+L379-L378</f>
        <v>#REF!</v>
      </c>
      <c r="M380" s="1085"/>
      <c r="N380" s="1085"/>
      <c r="O380" s="1085"/>
    </row>
    <row r="381" spans="1:15" ht="15" customHeight="1">
      <c r="A381" s="1052" t="s">
        <v>367</v>
      </c>
      <c r="B381" s="869"/>
      <c r="C381" s="1058" t="e">
        <f>VLOOKUP(B377,'LƯƠNG KT'!$D$15:$U$94,16,0)</f>
        <v>#N/A</v>
      </c>
      <c r="D381" s="1059" t="e">
        <f>+C381*$L$6</f>
        <v>#N/A</v>
      </c>
      <c r="E381" s="1061"/>
      <c r="F381" s="1061"/>
      <c r="G381" s="1052" t="s">
        <v>367</v>
      </c>
      <c r="H381" s="869"/>
      <c r="I381" s="1058" t="e">
        <f>VLOOKUP(H377,'LƯƠNG KT'!$D$15:$U$94,16,0)</f>
        <v>#N/A</v>
      </c>
      <c r="J381" s="1059" t="e">
        <f>+I381*$L$6</f>
        <v>#N/A</v>
      </c>
      <c r="K381" s="1085"/>
      <c r="L381" s="1085" t="e">
        <f>+L380/20</f>
        <v>#REF!</v>
      </c>
      <c r="M381" s="1085"/>
      <c r="N381" s="1085"/>
      <c r="O381" s="1085"/>
    </row>
    <row r="382" spans="1:15" ht="15" customHeight="1">
      <c r="A382" s="1052" t="s">
        <v>371</v>
      </c>
      <c r="B382" s="869" t="s">
        <v>372</v>
      </c>
      <c r="C382" s="1058" t="e">
        <f>VLOOKUP(B377,'LƯƠNG KT'!$D$15:$U$94,9,0)*$L$10</f>
        <v>#N/A</v>
      </c>
      <c r="D382" s="1059" t="e">
        <f>+C382*0.5*3000</f>
        <v>#N/A</v>
      </c>
      <c r="E382" s="1061"/>
      <c r="F382" s="1061"/>
      <c r="G382" s="1052" t="s">
        <v>371</v>
      </c>
      <c r="H382" s="869" t="s">
        <v>372</v>
      </c>
      <c r="I382" s="1058" t="e">
        <f>VLOOKUP(H377,'LƯƠNG KT'!$D$15:$U$94,9,0)*$L$10</f>
        <v>#N/A</v>
      </c>
      <c r="J382" s="1059" t="e">
        <f>+I382*0.5*3000</f>
        <v>#N/A</v>
      </c>
      <c r="K382" s="1085"/>
      <c r="L382" s="1085"/>
      <c r="M382" s="1085"/>
      <c r="N382" s="1085"/>
      <c r="O382" s="1085"/>
    </row>
    <row r="383" spans="1:15" ht="15" customHeight="1">
      <c r="A383" s="1052" t="s">
        <v>374</v>
      </c>
      <c r="B383" s="869" t="s">
        <v>375</v>
      </c>
      <c r="C383" s="1058" t="e">
        <f>VLOOKUP(B377,'LƯƠNG KT'!$D$15:$U$94,8,0)*$L$11</f>
        <v>#N/A</v>
      </c>
      <c r="D383" s="1059" t="e">
        <f>VLOOKUP(B377,'LƯƠNG KT'!$D$15:$U$94,13,0)-D382</f>
        <v>#N/A</v>
      </c>
      <c r="E383" s="1063"/>
      <c r="F383" s="1061"/>
      <c r="G383" s="1052" t="s">
        <v>374</v>
      </c>
      <c r="H383" s="869" t="s">
        <v>375</v>
      </c>
      <c r="I383" s="1058" t="e">
        <f>VLOOKUP(H377,'LƯƠNG KT'!$D$15:$U$94,8,0)*$L$11</f>
        <v>#N/A</v>
      </c>
      <c r="J383" s="1059" t="e">
        <f>VLOOKUP(H377,'LƯƠNG KT'!$D$15:$U$94,13,0)-J382</f>
        <v>#N/A</v>
      </c>
      <c r="K383" s="1085"/>
      <c r="L383" s="1085"/>
      <c r="M383" s="1085"/>
      <c r="N383" s="1085"/>
      <c r="O383" s="1085"/>
    </row>
    <row r="384" spans="1:15" ht="15" customHeight="1">
      <c r="A384" s="1059" t="s">
        <v>377</v>
      </c>
      <c r="B384" s="869" t="s">
        <v>378</v>
      </c>
      <c r="C384" s="1058"/>
      <c r="D384" s="1059"/>
      <c r="E384" s="1065"/>
      <c r="F384" s="1065"/>
      <c r="G384" s="1059" t="s">
        <v>377</v>
      </c>
      <c r="H384" s="869"/>
      <c r="I384" s="1058"/>
      <c r="J384" s="1059"/>
    </row>
    <row r="385" spans="1:15" ht="15" customHeight="1">
      <c r="A385" s="1066" t="s">
        <v>379</v>
      </c>
      <c r="B385" s="869" t="s">
        <v>380</v>
      </c>
      <c r="C385" s="1058"/>
      <c r="D385" s="1059"/>
      <c r="E385" s="1063"/>
      <c r="F385" s="1065"/>
      <c r="G385" s="1066" t="s">
        <v>379</v>
      </c>
      <c r="H385" s="869"/>
      <c r="I385" s="1058"/>
      <c r="J385" s="1059"/>
    </row>
    <row r="386" spans="1:15" ht="15" customHeight="1">
      <c r="A386" s="1052" t="s">
        <v>381</v>
      </c>
      <c r="B386" s="869" t="s">
        <v>382</v>
      </c>
      <c r="C386" s="1058"/>
      <c r="D386" s="1059"/>
      <c r="E386" s="1067"/>
      <c r="F386" s="1051"/>
      <c r="G386" s="1052" t="s">
        <v>381</v>
      </c>
      <c r="H386" s="869"/>
      <c r="I386" s="1058"/>
      <c r="J386" s="1059"/>
    </row>
    <row r="387" spans="1:15" ht="15" customHeight="1">
      <c r="A387" s="1068" t="s">
        <v>383</v>
      </c>
      <c r="B387" s="1069" t="s">
        <v>384</v>
      </c>
      <c r="C387" s="1070"/>
      <c r="D387" s="1071"/>
      <c r="E387" s="1072"/>
      <c r="F387" s="1073"/>
      <c r="G387" s="1068" t="s">
        <v>383</v>
      </c>
      <c r="H387" s="1069"/>
      <c r="I387" s="1070"/>
      <c r="J387" s="1071"/>
    </row>
    <row r="388" spans="1:15" ht="18.75" customHeight="1">
      <c r="A388" s="1074"/>
      <c r="B388" s="1075"/>
      <c r="C388" s="1076"/>
      <c r="D388" s="1077"/>
      <c r="E388" s="1077"/>
      <c r="F388" s="1078"/>
      <c r="G388" s="1074"/>
      <c r="H388" s="1075"/>
      <c r="I388" s="1076"/>
      <c r="J388" s="1077"/>
    </row>
    <row r="389" spans="1:15" ht="18.75" customHeight="1">
      <c r="A389" s="1075"/>
      <c r="B389" s="1075"/>
      <c r="C389" s="1079"/>
      <c r="D389" s="1080"/>
      <c r="E389" s="1075"/>
      <c r="F389" s="1081"/>
      <c r="G389" s="1075"/>
      <c r="H389" s="1075"/>
      <c r="I389" s="1079"/>
      <c r="J389" s="1080"/>
    </row>
    <row r="390" spans="1:15" ht="15" customHeight="1">
      <c r="A390" s="2242" t="str">
        <f>$K$2</f>
        <v>THÁNG 09/2024</v>
      </c>
      <c r="B390" s="2242"/>
      <c r="C390" s="2242"/>
      <c r="D390" s="2242"/>
      <c r="E390" s="1050"/>
      <c r="F390" s="1051"/>
      <c r="G390" s="2242" t="str">
        <f>$K$2</f>
        <v>THÁNG 09/2024</v>
      </c>
      <c r="H390" s="2242"/>
      <c r="I390" s="2242"/>
      <c r="J390" s="2242"/>
      <c r="K390" s="624"/>
    </row>
    <row r="391" spans="1:15" ht="15" customHeight="1">
      <c r="A391" s="1052" t="s">
        <v>356</v>
      </c>
      <c r="B391" s="1053" t="s">
        <v>428</v>
      </c>
      <c r="C391" s="869"/>
      <c r="D391" s="1049"/>
      <c r="E391" s="1054"/>
      <c r="F391" s="1055"/>
      <c r="G391" s="1052" t="s">
        <v>356</v>
      </c>
      <c r="H391" s="1053"/>
      <c r="I391" s="869"/>
      <c r="J391" s="1049"/>
      <c r="L391" s="1088"/>
      <c r="M391" s="1088"/>
      <c r="N391" s="1088"/>
      <c r="O391" s="1088"/>
    </row>
    <row r="392" spans="1:15" ht="15" customHeight="1">
      <c r="A392" s="1052" t="s">
        <v>359</v>
      </c>
      <c r="B392" s="1089" t="s">
        <v>360</v>
      </c>
      <c r="C392" s="1058"/>
      <c r="D392" s="1059"/>
      <c r="E392" s="1060"/>
      <c r="F392" s="1060"/>
      <c r="G392" s="1052" t="s">
        <v>359</v>
      </c>
      <c r="H392" s="1089"/>
      <c r="I392" s="1058"/>
      <c r="J392" s="1059"/>
      <c r="K392" s="1085"/>
      <c r="L392" s="1085"/>
      <c r="M392" s="1085"/>
      <c r="N392" s="1085"/>
      <c r="O392" s="1085"/>
    </row>
    <row r="393" spans="1:15" ht="15" customHeight="1">
      <c r="A393" s="1052" t="s">
        <v>361</v>
      </c>
      <c r="B393" s="869" t="s">
        <v>362</v>
      </c>
      <c r="C393" s="1058"/>
      <c r="D393" s="1059"/>
      <c r="E393" s="1061"/>
      <c r="F393" s="1061"/>
      <c r="G393" s="1052" t="s">
        <v>361</v>
      </c>
      <c r="H393" s="869"/>
      <c r="I393" s="1058"/>
      <c r="J393" s="1059"/>
      <c r="K393" s="1085"/>
      <c r="L393" s="1085"/>
      <c r="M393" s="1085"/>
      <c r="N393" s="1085"/>
      <c r="O393" s="1085"/>
    </row>
    <row r="394" spans="1:15" ht="15" customHeight="1">
      <c r="A394" s="1052" t="s">
        <v>364</v>
      </c>
      <c r="B394" s="869" t="s">
        <v>365</v>
      </c>
      <c r="C394" s="1058"/>
      <c r="D394" s="1059"/>
      <c r="E394" s="1061"/>
      <c r="F394" s="1061"/>
      <c r="G394" s="1052" t="s">
        <v>364</v>
      </c>
      <c r="H394" s="869"/>
      <c r="I394" s="1058"/>
      <c r="J394" s="1059"/>
      <c r="K394" s="1085"/>
      <c r="L394" s="1085"/>
      <c r="M394" s="1085"/>
      <c r="N394" s="1085"/>
      <c r="O394" s="1085"/>
    </row>
    <row r="395" spans="1:15" ht="15" customHeight="1">
      <c r="A395" s="1052" t="s">
        <v>367</v>
      </c>
      <c r="B395" s="869"/>
      <c r="C395" s="1058"/>
      <c r="D395" s="1059"/>
      <c r="E395" s="1061"/>
      <c r="F395" s="1061"/>
      <c r="G395" s="1052" t="s">
        <v>367</v>
      </c>
      <c r="H395" s="869"/>
      <c r="I395" s="1058"/>
      <c r="J395" s="1059"/>
      <c r="K395" s="1085"/>
      <c r="L395" s="1085"/>
      <c r="M395" s="1085"/>
      <c r="N395" s="1085"/>
      <c r="O395" s="1085"/>
    </row>
    <row r="396" spans="1:15" ht="15" customHeight="1">
      <c r="A396" s="1052" t="s">
        <v>371</v>
      </c>
      <c r="B396" s="869" t="s">
        <v>372</v>
      </c>
      <c r="C396" s="1058"/>
      <c r="D396" s="1059"/>
      <c r="E396" s="1061"/>
      <c r="F396" s="1061"/>
      <c r="G396" s="1052" t="s">
        <v>371</v>
      </c>
      <c r="H396" s="869"/>
      <c r="I396" s="1058"/>
      <c r="J396" s="1059"/>
      <c r="K396" s="1085"/>
      <c r="L396" s="1085"/>
      <c r="M396" s="1085"/>
      <c r="N396" s="1085"/>
      <c r="O396" s="1085"/>
    </row>
    <row r="397" spans="1:15" ht="15" customHeight="1">
      <c r="A397" s="1052" t="s">
        <v>374</v>
      </c>
      <c r="B397" s="869" t="s">
        <v>375</v>
      </c>
      <c r="C397" s="1058"/>
      <c r="D397" s="1059"/>
      <c r="E397" s="1063"/>
      <c r="F397" s="1061"/>
      <c r="G397" s="1052" t="s">
        <v>374</v>
      </c>
      <c r="H397" s="869"/>
      <c r="I397" s="1058"/>
      <c r="J397" s="1059"/>
      <c r="K397" s="1085"/>
      <c r="L397" s="1085"/>
      <c r="M397" s="1085"/>
      <c r="N397" s="1085"/>
      <c r="O397" s="1085"/>
    </row>
    <row r="398" spans="1:15" ht="15" customHeight="1">
      <c r="A398" s="1059" t="s">
        <v>377</v>
      </c>
      <c r="B398" s="869" t="s">
        <v>378</v>
      </c>
      <c r="C398" s="1058"/>
      <c r="D398" s="1059"/>
      <c r="E398" s="1065"/>
      <c r="F398" s="1065"/>
      <c r="G398" s="1059" t="s">
        <v>377</v>
      </c>
      <c r="H398" s="869"/>
      <c r="I398" s="1058"/>
      <c r="J398" s="1059"/>
    </row>
    <row r="399" spans="1:15" ht="15" customHeight="1">
      <c r="A399" s="1066" t="s">
        <v>379</v>
      </c>
      <c r="B399" s="869" t="s">
        <v>380</v>
      </c>
      <c r="C399" s="1058"/>
      <c r="D399" s="1059"/>
      <c r="E399" s="1063"/>
      <c r="F399" s="1065"/>
      <c r="G399" s="1066" t="s">
        <v>379</v>
      </c>
      <c r="H399" s="869"/>
      <c r="I399" s="1058"/>
      <c r="J399" s="1059"/>
    </row>
    <row r="400" spans="1:15" ht="15" customHeight="1">
      <c r="A400" s="1052" t="s">
        <v>381</v>
      </c>
      <c r="B400" s="869" t="s">
        <v>382</v>
      </c>
      <c r="C400" s="1058"/>
      <c r="D400" s="1059"/>
      <c r="E400" s="1067"/>
      <c r="F400" s="1051"/>
      <c r="G400" s="1052" t="s">
        <v>381</v>
      </c>
      <c r="H400" s="869"/>
      <c r="I400" s="1058"/>
      <c r="J400" s="1059"/>
    </row>
    <row r="401" spans="1:15" ht="15" customHeight="1">
      <c r="A401" s="1068" t="s">
        <v>383</v>
      </c>
      <c r="B401" s="1069" t="s">
        <v>384</v>
      </c>
      <c r="C401" s="1070"/>
      <c r="D401" s="1071"/>
      <c r="E401" s="1072"/>
      <c r="F401" s="1073"/>
      <c r="G401" s="1068" t="s">
        <v>383</v>
      </c>
      <c r="H401" s="1069"/>
      <c r="I401" s="1070"/>
      <c r="J401" s="1071"/>
    </row>
    <row r="402" spans="1:15" ht="18.75" customHeight="1">
      <c r="A402" s="1074"/>
      <c r="B402" s="1075"/>
      <c r="C402" s="1076"/>
      <c r="D402" s="1077"/>
      <c r="E402" s="1077"/>
      <c r="F402" s="1078"/>
      <c r="G402" s="1074"/>
      <c r="H402" s="1075"/>
      <c r="I402" s="1076"/>
      <c r="J402" s="1077"/>
    </row>
    <row r="403" spans="1:15" ht="18.75" customHeight="1">
      <c r="A403" s="1075"/>
      <c r="B403" s="1075"/>
      <c r="C403" s="1079"/>
      <c r="D403" s="1080"/>
      <c r="E403" s="1075"/>
      <c r="F403" s="1081"/>
      <c r="G403" s="1075"/>
      <c r="H403" s="1075"/>
      <c r="I403" s="1079"/>
      <c r="J403" s="1080"/>
    </row>
    <row r="404" spans="1:15" ht="15" customHeight="1">
      <c r="A404" s="2242" t="str">
        <f>$K$2</f>
        <v>THÁNG 09/2024</v>
      </c>
      <c r="B404" s="2242"/>
      <c r="C404" s="2242"/>
      <c r="D404" s="2242"/>
      <c r="E404" s="1050"/>
      <c r="F404" s="1051"/>
      <c r="G404" s="2242" t="str">
        <f>$K$2</f>
        <v>THÁNG 09/2024</v>
      </c>
      <c r="H404" s="2242"/>
      <c r="I404" s="2242"/>
      <c r="J404" s="2242"/>
      <c r="K404" s="624"/>
    </row>
    <row r="405" spans="1:15" ht="15" customHeight="1">
      <c r="A405" s="1052"/>
      <c r="B405" s="1053"/>
      <c r="C405" s="869"/>
      <c r="D405" s="1049"/>
      <c r="E405" s="1054"/>
      <c r="F405" s="1055"/>
      <c r="G405" s="1052"/>
      <c r="H405" s="1053"/>
      <c r="I405" s="869"/>
      <c r="J405" s="1049"/>
      <c r="L405" s="1088"/>
      <c r="M405" s="1088"/>
      <c r="N405" s="1088"/>
      <c r="O405" s="1088"/>
    </row>
    <row r="406" spans="1:15" ht="15" customHeight="1">
      <c r="A406" s="1052"/>
      <c r="B406" s="1089"/>
      <c r="C406" s="1058"/>
      <c r="D406" s="1059"/>
      <c r="E406" s="1060"/>
      <c r="F406" s="1060"/>
      <c r="G406" s="1052"/>
      <c r="H406" s="1089"/>
      <c r="I406" s="1058"/>
      <c r="J406" s="1059"/>
      <c r="K406" s="1085"/>
      <c r="L406" s="1085"/>
      <c r="M406" s="1085"/>
      <c r="N406" s="1085"/>
      <c r="O406" s="1085"/>
    </row>
    <row r="407" spans="1:15" ht="15" customHeight="1">
      <c r="A407" s="1052"/>
      <c r="B407" s="869"/>
      <c r="C407" s="1058"/>
      <c r="D407" s="1059"/>
      <c r="E407" s="1061"/>
      <c r="F407" s="1061"/>
      <c r="G407" s="1052"/>
      <c r="H407" s="869"/>
      <c r="I407" s="1058"/>
      <c r="J407" s="1059"/>
      <c r="K407" s="1085"/>
      <c r="L407" s="1085"/>
      <c r="M407" s="1085"/>
      <c r="N407" s="1085"/>
      <c r="O407" s="1085"/>
    </row>
    <row r="408" spans="1:15" ht="15" customHeight="1">
      <c r="A408" s="1052"/>
      <c r="B408" s="869"/>
      <c r="C408" s="1058"/>
      <c r="D408" s="1059"/>
      <c r="E408" s="1061"/>
      <c r="F408" s="1061"/>
      <c r="G408" s="1052"/>
      <c r="H408" s="869"/>
      <c r="I408" s="1058"/>
      <c r="J408" s="1059"/>
      <c r="K408" s="1085"/>
      <c r="L408" s="1085"/>
      <c r="M408" s="1085"/>
      <c r="N408" s="1085"/>
      <c r="O408" s="1085"/>
    </row>
    <row r="409" spans="1:15" ht="15" customHeight="1">
      <c r="A409" s="1052"/>
      <c r="B409" s="869"/>
      <c r="C409" s="1058"/>
      <c r="D409" s="1059"/>
      <c r="E409" s="1061"/>
      <c r="F409" s="1061"/>
      <c r="G409" s="1052"/>
      <c r="H409" s="869"/>
      <c r="I409" s="1058"/>
      <c r="J409" s="1059"/>
      <c r="K409" s="1085"/>
      <c r="L409" s="1085"/>
      <c r="M409" s="1085"/>
      <c r="N409" s="1085"/>
      <c r="O409" s="1085"/>
    </row>
    <row r="410" spans="1:15" ht="15" customHeight="1">
      <c r="A410" s="1052"/>
      <c r="B410" s="869"/>
      <c r="C410" s="1058"/>
      <c r="D410" s="1059"/>
      <c r="E410" s="1061"/>
      <c r="F410" s="1061"/>
      <c r="G410" s="1052"/>
      <c r="H410" s="869"/>
      <c r="I410" s="1058"/>
      <c r="J410" s="1059"/>
      <c r="K410" s="1085"/>
      <c r="L410" s="1085"/>
      <c r="M410" s="1085"/>
      <c r="N410" s="1085"/>
      <c r="O410" s="1085"/>
    </row>
    <row r="411" spans="1:15" ht="15" customHeight="1">
      <c r="A411" s="1052"/>
      <c r="B411" s="869"/>
      <c r="C411" s="1058"/>
      <c r="D411" s="1059"/>
      <c r="E411" s="1063"/>
      <c r="F411" s="1061"/>
      <c r="G411" s="1052"/>
      <c r="H411" s="869"/>
      <c r="I411" s="1058"/>
      <c r="J411" s="1059"/>
      <c r="K411" s="1085"/>
      <c r="L411" s="1085"/>
      <c r="M411" s="1085"/>
      <c r="N411" s="1085"/>
      <c r="O411" s="1085"/>
    </row>
    <row r="412" spans="1:15" ht="15" customHeight="1">
      <c r="A412" s="1059"/>
      <c r="B412" s="869"/>
      <c r="C412" s="1058"/>
      <c r="D412" s="1059"/>
      <c r="E412" s="1065"/>
      <c r="F412" s="1065"/>
      <c r="G412" s="1059"/>
      <c r="H412" s="869"/>
      <c r="I412" s="1058"/>
      <c r="J412" s="1059"/>
    </row>
    <row r="413" spans="1:15" ht="15" customHeight="1">
      <c r="A413" s="1066"/>
      <c r="B413" s="869"/>
      <c r="C413" s="1058"/>
      <c r="D413" s="1059"/>
      <c r="E413" s="1063"/>
      <c r="F413" s="1065"/>
      <c r="G413" s="1066"/>
      <c r="H413" s="869"/>
      <c r="I413" s="1058"/>
      <c r="J413" s="1059"/>
    </row>
    <row r="414" spans="1:15" ht="15" customHeight="1">
      <c r="A414" s="1052"/>
      <c r="B414" s="869"/>
      <c r="C414" s="1058"/>
      <c r="D414" s="1059"/>
      <c r="E414" s="1067"/>
      <c r="F414" s="1051"/>
      <c r="G414" s="1052"/>
      <c r="H414" s="869"/>
      <c r="I414" s="1058"/>
      <c r="J414" s="1059"/>
    </row>
    <row r="415" spans="1:15" ht="15" customHeight="1">
      <c r="A415" s="1068"/>
      <c r="B415" s="1069"/>
      <c r="C415" s="1070"/>
      <c r="D415" s="1071"/>
      <c r="E415" s="1072"/>
      <c r="F415" s="1073"/>
      <c r="G415" s="1068"/>
      <c r="H415" s="1069"/>
      <c r="I415" s="1070"/>
      <c r="J415" s="1071"/>
    </row>
    <row r="416" spans="1:15" ht="15.75" customHeight="1">
      <c r="A416" s="1074"/>
      <c r="B416" s="1075"/>
      <c r="C416" s="1076"/>
      <c r="D416" s="1077"/>
      <c r="E416" s="1077"/>
      <c r="F416" s="1078"/>
      <c r="G416" s="1074"/>
      <c r="H416" s="1075"/>
      <c r="I416" s="1076"/>
      <c r="J416" s="1077"/>
    </row>
    <row r="418" spans="1:15" ht="12" customHeight="1">
      <c r="A418" s="2244" t="s">
        <v>429</v>
      </c>
      <c r="B418" s="2244"/>
      <c r="C418" s="2244"/>
      <c r="D418" s="2244"/>
      <c r="E418" s="2244"/>
      <c r="F418" s="2244"/>
      <c r="G418" s="2244"/>
      <c r="H418" s="2244"/>
      <c r="I418" s="2244"/>
      <c r="J418" s="2244"/>
    </row>
    <row r="419" spans="1:15" ht="15" customHeight="1">
      <c r="A419" s="2242" t="str">
        <f>$K$2</f>
        <v>THÁNG 09/2024</v>
      </c>
      <c r="B419" s="2242"/>
      <c r="C419" s="2242"/>
      <c r="D419" s="2242"/>
      <c r="E419" s="1050"/>
      <c r="F419" s="1051"/>
      <c r="G419" s="2242" t="str">
        <f>$K$2</f>
        <v>THÁNG 09/2024</v>
      </c>
      <c r="H419" s="2242"/>
      <c r="I419" s="2242"/>
      <c r="J419" s="2242"/>
      <c r="K419" s="624"/>
    </row>
    <row r="420" spans="1:15" ht="15" customHeight="1">
      <c r="A420" s="1052" t="s">
        <v>356</v>
      </c>
      <c r="B420" s="1053" t="s">
        <v>430</v>
      </c>
      <c r="C420" s="869"/>
      <c r="D420" s="1049"/>
      <c r="E420" s="1054"/>
      <c r="F420" s="1055"/>
      <c r="G420" s="1052" t="s">
        <v>356</v>
      </c>
      <c r="H420" s="1053" t="s">
        <v>431</v>
      </c>
      <c r="I420" s="869"/>
      <c r="J420" s="1049"/>
      <c r="L420" s="1088"/>
      <c r="M420" s="1088"/>
      <c r="N420" s="1088"/>
      <c r="O420" s="1088"/>
    </row>
    <row r="421" spans="1:15" ht="15" customHeight="1">
      <c r="A421" s="1052" t="s">
        <v>359</v>
      </c>
      <c r="B421" s="1089" t="s">
        <v>360</v>
      </c>
      <c r="C421" s="1058" t="e">
        <f>VLOOKUP(B420,'LƯƠNG KT'!$D$15:$U$94,3,0)</f>
        <v>#N/A</v>
      </c>
      <c r="D421" s="1059" t="e">
        <f>+C421*25000</f>
        <v>#N/A</v>
      </c>
      <c r="E421" s="1060"/>
      <c r="F421" s="1060"/>
      <c r="G421" s="1052" t="s">
        <v>359</v>
      </c>
      <c r="H421" s="1089" t="s">
        <v>360</v>
      </c>
      <c r="I421" s="1058" t="e">
        <f>VLOOKUP(H420,'LƯƠNG KT'!$D$15:$U$94,3,0)</f>
        <v>#N/A</v>
      </c>
      <c r="J421" s="1059" t="e">
        <f>+I421*25000</f>
        <v>#N/A</v>
      </c>
      <c r="K421" s="1084"/>
      <c r="L421" s="1085"/>
      <c r="M421" s="1085"/>
      <c r="N421" s="1085"/>
      <c r="O421" s="1085"/>
    </row>
    <row r="422" spans="1:15" ht="15" customHeight="1">
      <c r="A422" s="1052" t="s">
        <v>361</v>
      </c>
      <c r="B422" s="869" t="s">
        <v>362</v>
      </c>
      <c r="C422" s="1058" t="e">
        <f>VLOOKUP(B420,'LƯƠNG KT'!$D$15:$U$94,14,0)</f>
        <v>#N/A</v>
      </c>
      <c r="D422" s="1059" t="e">
        <f>C422*$L$4</f>
        <v>#N/A</v>
      </c>
      <c r="E422" s="1061"/>
      <c r="F422" s="1061"/>
      <c r="G422" s="1052" t="s">
        <v>361</v>
      </c>
      <c r="H422" s="869" t="s">
        <v>362</v>
      </c>
      <c r="I422" s="1058" t="e">
        <f>VLOOKUP(H420,'LƯƠNG KT'!$D$15:$U$94,14,0)</f>
        <v>#N/A</v>
      </c>
      <c r="J422" s="1059" t="e">
        <f>I422*$L$4</f>
        <v>#N/A</v>
      </c>
      <c r="K422" s="1084"/>
      <c r="L422" s="1085"/>
      <c r="M422" s="1085"/>
      <c r="N422" s="1085"/>
      <c r="O422" s="1085"/>
    </row>
    <row r="423" spans="1:15" ht="15" customHeight="1">
      <c r="A423" s="1052" t="s">
        <v>364</v>
      </c>
      <c r="B423" s="869" t="s">
        <v>365</v>
      </c>
      <c r="C423" s="1058" t="e">
        <f>VLOOKUP(B420,'LƯƠNG KT'!$D$15:$U$94,15,0)</f>
        <v>#N/A</v>
      </c>
      <c r="D423" s="1059" t="e">
        <f>C423*$L$5</f>
        <v>#N/A</v>
      </c>
      <c r="E423" s="1061"/>
      <c r="F423" s="1061"/>
      <c r="G423" s="1052" t="s">
        <v>364</v>
      </c>
      <c r="H423" s="869" t="s">
        <v>365</v>
      </c>
      <c r="I423" s="1058" t="e">
        <f>VLOOKUP(H420,'LƯƠNG KT'!$D$15:$U$94,15,0)</f>
        <v>#N/A</v>
      </c>
      <c r="J423" s="1059" t="e">
        <f>I423*$L$5</f>
        <v>#N/A</v>
      </c>
      <c r="K423" s="1084"/>
      <c r="L423" s="1085"/>
      <c r="M423" s="1085"/>
      <c r="N423" s="1085"/>
      <c r="O423" s="1085"/>
    </row>
    <row r="424" spans="1:15" ht="15" customHeight="1">
      <c r="A424" s="1052" t="s">
        <v>367</v>
      </c>
      <c r="B424" s="869"/>
      <c r="C424" s="1058" t="e">
        <f>VLOOKUP(B420,'LƯƠNG KT'!$D$15:$U$94,16,0)</f>
        <v>#N/A</v>
      </c>
      <c r="D424" s="1059" t="e">
        <f>+C424*$L$6</f>
        <v>#N/A</v>
      </c>
      <c r="E424" s="1061"/>
      <c r="F424" s="1061"/>
      <c r="G424" s="1052" t="s">
        <v>367</v>
      </c>
      <c r="H424" s="869"/>
      <c r="I424" s="1058" t="e">
        <f>VLOOKUP(H420,'LƯƠNG KT'!$D$15:$U$94,16,0)</f>
        <v>#N/A</v>
      </c>
      <c r="J424" s="1059" t="e">
        <f>+I424*$L$6</f>
        <v>#N/A</v>
      </c>
      <c r="K424" s="1085"/>
      <c r="L424" s="1085"/>
      <c r="M424" s="1085"/>
      <c r="N424" s="1085"/>
      <c r="O424" s="1085"/>
    </row>
    <row r="425" spans="1:15" ht="15" customHeight="1">
      <c r="A425" s="1052" t="s">
        <v>371</v>
      </c>
      <c r="B425" s="869" t="s">
        <v>372</v>
      </c>
      <c r="C425" s="1058" t="e">
        <f>VLOOKUP(B420,'LƯƠNG KT'!$D$15:$U$94,9,0)*$L$10</f>
        <v>#N/A</v>
      </c>
      <c r="D425" s="1059" t="e">
        <f>+C425*0.5*3000</f>
        <v>#N/A</v>
      </c>
      <c r="E425" s="1061"/>
      <c r="F425" s="1061"/>
      <c r="G425" s="1052" t="s">
        <v>371</v>
      </c>
      <c r="H425" s="869" t="s">
        <v>372</v>
      </c>
      <c r="I425" s="1058" t="e">
        <f>VLOOKUP(H420,'LƯƠNG KT'!$D$15:$U$94,9,0)*$L$10</f>
        <v>#N/A</v>
      </c>
      <c r="J425" s="1059" t="e">
        <f>+I425*0.5*3000</f>
        <v>#N/A</v>
      </c>
      <c r="K425" s="1085"/>
      <c r="L425" s="1085"/>
      <c r="M425" s="1085"/>
      <c r="N425" s="1085"/>
      <c r="O425" s="1085"/>
    </row>
    <row r="426" spans="1:15" ht="15" customHeight="1">
      <c r="A426" s="1052" t="s">
        <v>374</v>
      </c>
      <c r="B426" s="869" t="s">
        <v>375</v>
      </c>
      <c r="C426" s="1058" t="e">
        <f>VLOOKUP(B420,'LƯƠNG KT'!$D$15:$U$94,8,0)*$L$11</f>
        <v>#N/A</v>
      </c>
      <c r="D426" s="1059" t="e">
        <f>VLOOKUP(B420,'LƯƠNG KT'!$D$15:$U$94,13,0)-D425</f>
        <v>#N/A</v>
      </c>
      <c r="E426" s="1063"/>
      <c r="F426" s="1061"/>
      <c r="G426" s="1052" t="s">
        <v>374</v>
      </c>
      <c r="H426" s="869" t="s">
        <v>375</v>
      </c>
      <c r="I426" s="1058" t="e">
        <f>VLOOKUP(H420,'LƯƠNG KT'!$D$15:$U$94,8,0)*$L$11</f>
        <v>#N/A</v>
      </c>
      <c r="J426" s="1059" t="e">
        <f>VLOOKUP(H420,'LƯƠNG KT'!$D$15:$U$94,13,0)-J425</f>
        <v>#N/A</v>
      </c>
      <c r="K426" s="1085"/>
      <c r="L426" s="1085"/>
      <c r="M426" s="1085"/>
      <c r="N426" s="1085"/>
      <c r="O426" s="1085"/>
    </row>
    <row r="427" spans="1:15" ht="15" customHeight="1">
      <c r="A427" s="1059" t="s">
        <v>377</v>
      </c>
      <c r="B427" s="869" t="s">
        <v>378</v>
      </c>
      <c r="C427" s="1058"/>
      <c r="D427" s="1059"/>
      <c r="E427" s="1065"/>
      <c r="F427" s="1065"/>
      <c r="G427" s="1059" t="s">
        <v>377</v>
      </c>
      <c r="H427" s="869" t="s">
        <v>378</v>
      </c>
      <c r="I427" s="1058"/>
      <c r="J427" s="1059"/>
    </row>
    <row r="428" spans="1:15" ht="15" customHeight="1">
      <c r="A428" s="1066" t="s">
        <v>379</v>
      </c>
      <c r="B428" s="869" t="s">
        <v>380</v>
      </c>
      <c r="C428" s="1058"/>
      <c r="D428" s="1059">
        <f>14*25000</f>
        <v>350000</v>
      </c>
      <c r="E428" s="1063"/>
      <c r="F428" s="1065"/>
      <c r="G428" s="1066" t="s">
        <v>379</v>
      </c>
      <c r="H428" s="869" t="s">
        <v>380</v>
      </c>
      <c r="I428" s="1058"/>
      <c r="J428" s="1059">
        <f>14*25000</f>
        <v>350000</v>
      </c>
    </row>
    <row r="429" spans="1:15" ht="15" customHeight="1">
      <c r="A429" s="1052" t="s">
        <v>381</v>
      </c>
      <c r="B429" s="869" t="s">
        <v>382</v>
      </c>
      <c r="C429" s="1058"/>
      <c r="D429" s="1059">
        <f>D428</f>
        <v>350000</v>
      </c>
      <c r="E429" s="1067"/>
      <c r="F429" s="1051"/>
      <c r="G429" s="1052" t="s">
        <v>381</v>
      </c>
      <c r="H429" s="869" t="s">
        <v>382</v>
      </c>
      <c r="I429" s="1058"/>
      <c r="J429" s="1059">
        <f>J428</f>
        <v>350000</v>
      </c>
    </row>
    <row r="430" spans="1:15" ht="15" customHeight="1">
      <c r="A430" s="1068" t="s">
        <v>383</v>
      </c>
      <c r="B430" s="1069" t="s">
        <v>384</v>
      </c>
      <c r="C430" s="1070"/>
      <c r="D430" s="1071" t="e">
        <f>SUM(D421:D426)-D429</f>
        <v>#N/A</v>
      </c>
      <c r="E430" s="1072"/>
      <c r="F430" s="1073"/>
      <c r="G430" s="1068" t="s">
        <v>383</v>
      </c>
      <c r="H430" s="1069" t="s">
        <v>384</v>
      </c>
      <c r="I430" s="1070"/>
      <c r="J430" s="1071" t="e">
        <f>SUM(J421:J426)-J429</f>
        <v>#N/A</v>
      </c>
    </row>
    <row r="431" spans="1:15" ht="12.6" customHeight="1">
      <c r="A431" s="1074"/>
      <c r="B431" s="1075"/>
      <c r="C431" s="1076"/>
      <c r="D431" s="1077"/>
      <c r="E431" s="1077"/>
      <c r="F431" s="1078"/>
      <c r="G431" s="1074"/>
      <c r="H431" s="1075"/>
      <c r="I431" s="1076"/>
      <c r="J431" s="1077"/>
    </row>
    <row r="432" spans="1:15" ht="12.6" customHeight="1">
      <c r="A432" s="1075"/>
      <c r="B432" s="1075"/>
      <c r="C432" s="1079"/>
      <c r="D432" s="1080"/>
      <c r="E432" s="1075"/>
      <c r="F432" s="1081"/>
      <c r="G432" s="1075"/>
      <c r="H432" s="1075"/>
      <c r="I432" s="1079"/>
      <c r="J432" s="1080"/>
    </row>
    <row r="433" spans="1:15" ht="15" customHeight="1">
      <c r="A433" s="2242" t="str">
        <f>$K$2</f>
        <v>THÁNG 09/2024</v>
      </c>
      <c r="B433" s="2242"/>
      <c r="C433" s="2242"/>
      <c r="D433" s="2242"/>
      <c r="E433" s="1050"/>
      <c r="F433" s="1051"/>
      <c r="G433" s="2242" t="str">
        <f>$K$2</f>
        <v>THÁNG 09/2024</v>
      </c>
      <c r="H433" s="2242"/>
      <c r="I433" s="2242"/>
      <c r="J433" s="2242"/>
      <c r="K433" s="624"/>
    </row>
    <row r="434" spans="1:15" ht="15" customHeight="1">
      <c r="A434" s="1052" t="s">
        <v>356</v>
      </c>
      <c r="B434" s="1053" t="s">
        <v>432</v>
      </c>
      <c r="C434" s="869"/>
      <c r="D434" s="1049"/>
      <c r="E434" s="1054"/>
      <c r="F434" s="1055"/>
      <c r="G434" s="1052" t="s">
        <v>356</v>
      </c>
      <c r="H434" s="1053" t="s">
        <v>433</v>
      </c>
      <c r="I434" s="869"/>
      <c r="J434" s="1049"/>
      <c r="L434" s="1088"/>
      <c r="M434" s="1088"/>
      <c r="N434" s="1088"/>
      <c r="O434" s="1088"/>
    </row>
    <row r="435" spans="1:15" ht="15" customHeight="1">
      <c r="A435" s="1052" t="s">
        <v>359</v>
      </c>
      <c r="B435" s="1089" t="s">
        <v>360</v>
      </c>
      <c r="C435" s="1058" t="e">
        <f>VLOOKUP(B434,'LƯƠNG KT'!$D$15:$U$94,3,0)</f>
        <v>#N/A</v>
      </c>
      <c r="D435" s="1059" t="e">
        <f>+C435*25000</f>
        <v>#N/A</v>
      </c>
      <c r="E435" s="1060"/>
      <c r="F435" s="1060"/>
      <c r="G435" s="1052" t="s">
        <v>359</v>
      </c>
      <c r="H435" s="1089" t="s">
        <v>360</v>
      </c>
      <c r="I435" s="1058" t="e">
        <f>VLOOKUP(H434,'LƯƠNG KT'!$D$15:$U$94,3,0)</f>
        <v>#N/A</v>
      </c>
      <c r="J435" s="1059" t="e">
        <f>+I435*25000</f>
        <v>#N/A</v>
      </c>
      <c r="K435" s="1085"/>
      <c r="L435" s="1085"/>
      <c r="M435" s="1085"/>
      <c r="N435" s="1085"/>
      <c r="O435" s="1085"/>
    </row>
    <row r="436" spans="1:15" ht="15" customHeight="1">
      <c r="A436" s="1052" t="s">
        <v>361</v>
      </c>
      <c r="B436" s="869" t="s">
        <v>362</v>
      </c>
      <c r="C436" s="1058" t="e">
        <f>VLOOKUP(B434,'LƯƠNG KT'!$D$15:$U$94,14,0)</f>
        <v>#N/A</v>
      </c>
      <c r="D436" s="1059" t="e">
        <f>C436*$L$4</f>
        <v>#N/A</v>
      </c>
      <c r="E436" s="1061"/>
      <c r="F436" s="1061"/>
      <c r="G436" s="1052" t="s">
        <v>361</v>
      </c>
      <c r="H436" s="869" t="s">
        <v>362</v>
      </c>
      <c r="I436" s="1058" t="e">
        <f>VLOOKUP(H434,'LƯƠNG KT'!$D$15:$U$94,14,0)</f>
        <v>#N/A</v>
      </c>
      <c r="J436" s="1059" t="e">
        <f>I436*$L$4</f>
        <v>#N/A</v>
      </c>
      <c r="K436" s="1085"/>
      <c r="L436" s="1085"/>
      <c r="M436" s="1085"/>
      <c r="N436" s="1085"/>
      <c r="O436" s="1085"/>
    </row>
    <row r="437" spans="1:15" ht="15" customHeight="1">
      <c r="A437" s="1052" t="s">
        <v>364</v>
      </c>
      <c r="B437" s="869" t="s">
        <v>365</v>
      </c>
      <c r="C437" s="1058" t="e">
        <f>VLOOKUP(B434,'LƯƠNG KT'!$D$15:$U$94,15,0)</f>
        <v>#N/A</v>
      </c>
      <c r="D437" s="1059" t="e">
        <f>C437*$L$5</f>
        <v>#N/A</v>
      </c>
      <c r="E437" s="1061"/>
      <c r="F437" s="1061"/>
      <c r="G437" s="1052" t="s">
        <v>364</v>
      </c>
      <c r="H437" s="869" t="s">
        <v>365</v>
      </c>
      <c r="I437" s="1058" t="e">
        <f>VLOOKUP(H434,'LƯƠNG KT'!$D$15:$U$94,15,0)</f>
        <v>#N/A</v>
      </c>
      <c r="J437" s="1059" t="e">
        <f>I437*$L$5</f>
        <v>#N/A</v>
      </c>
      <c r="K437" s="1085"/>
      <c r="L437" s="1085"/>
      <c r="M437" s="1085"/>
      <c r="N437" s="1085"/>
      <c r="O437" s="1085"/>
    </row>
    <row r="438" spans="1:15" ht="15" customHeight="1">
      <c r="A438" s="1052" t="s">
        <v>367</v>
      </c>
      <c r="B438" s="869"/>
      <c r="C438" s="1058" t="e">
        <f>VLOOKUP(B434,'LƯƠNG KT'!$D$15:$U$94,16,0)</f>
        <v>#N/A</v>
      </c>
      <c r="D438" s="1059" t="e">
        <f>+C438*$L$6</f>
        <v>#N/A</v>
      </c>
      <c r="E438" s="1061"/>
      <c r="F438" s="1061"/>
      <c r="G438" s="1052" t="s">
        <v>367</v>
      </c>
      <c r="H438" s="869"/>
      <c r="I438" s="1058" t="e">
        <f>VLOOKUP(H434,'LƯƠNG KT'!$D$15:$U$94,16,0)</f>
        <v>#N/A</v>
      </c>
      <c r="J438" s="1059" t="e">
        <f>+I438*$L$6</f>
        <v>#N/A</v>
      </c>
      <c r="K438" s="1085"/>
      <c r="L438" s="1085"/>
      <c r="M438" s="1085"/>
      <c r="N438" s="1085"/>
      <c r="O438" s="1085"/>
    </row>
    <row r="439" spans="1:15" ht="15" customHeight="1">
      <c r="A439" s="1052" t="s">
        <v>371</v>
      </c>
      <c r="B439" s="869" t="s">
        <v>372</v>
      </c>
      <c r="C439" s="1058" t="e">
        <f>VLOOKUP(B434,'LƯƠNG KT'!$D$15:$U$94,9,0)*$L$10</f>
        <v>#N/A</v>
      </c>
      <c r="D439" s="1059" t="e">
        <f>+C439*0.5*3000</f>
        <v>#N/A</v>
      </c>
      <c r="E439" s="1061"/>
      <c r="F439" s="1061"/>
      <c r="G439" s="1052" t="s">
        <v>371</v>
      </c>
      <c r="H439" s="869" t="s">
        <v>372</v>
      </c>
      <c r="I439" s="1058" t="e">
        <f>VLOOKUP(H434,'LƯƠNG KT'!$D$15:$U$94,9,0)*$L$10</f>
        <v>#N/A</v>
      </c>
      <c r="J439" s="1059" t="e">
        <f>+I439*0.5*3000</f>
        <v>#N/A</v>
      </c>
      <c r="K439" s="1085"/>
      <c r="L439" s="1085"/>
      <c r="M439" s="1085"/>
      <c r="N439" s="1085"/>
      <c r="O439" s="1085"/>
    </row>
    <row r="440" spans="1:15" ht="15" customHeight="1">
      <c r="A440" s="1052" t="s">
        <v>374</v>
      </c>
      <c r="B440" s="869" t="s">
        <v>375</v>
      </c>
      <c r="C440" s="1058" t="e">
        <f>VLOOKUP(B434,'LƯƠNG KT'!$D$15:$U$94,8,0)*$L$11</f>
        <v>#N/A</v>
      </c>
      <c r="D440" s="1059" t="e">
        <f>VLOOKUP(B434,'LƯƠNG KT'!$D$15:$U$94,13,0)-D439</f>
        <v>#N/A</v>
      </c>
      <c r="E440" s="1063"/>
      <c r="F440" s="1061"/>
      <c r="G440" s="1052" t="s">
        <v>374</v>
      </c>
      <c r="H440" s="869" t="s">
        <v>375</v>
      </c>
      <c r="I440" s="1058" t="e">
        <f>VLOOKUP(H434,'LƯƠNG KT'!$D$15:$U$94,8,0)*$L$11</f>
        <v>#N/A</v>
      </c>
      <c r="J440" s="1059" t="e">
        <f>VLOOKUP(H434,'LƯƠNG KT'!$D$15:$U$94,13,0)-J439</f>
        <v>#N/A</v>
      </c>
      <c r="K440" s="1085"/>
      <c r="L440" s="1085"/>
      <c r="M440" s="1085"/>
      <c r="N440" s="1085"/>
      <c r="O440" s="1085"/>
    </row>
    <row r="441" spans="1:15" ht="15" customHeight="1">
      <c r="A441" s="1059" t="s">
        <v>377</v>
      </c>
      <c r="B441" s="869" t="s">
        <v>378</v>
      </c>
      <c r="C441" s="1058"/>
      <c r="D441" s="1059"/>
      <c r="E441" s="1065"/>
      <c r="F441" s="1065"/>
      <c r="G441" s="1059" t="s">
        <v>377</v>
      </c>
      <c r="H441" s="869" t="s">
        <v>378</v>
      </c>
      <c r="I441" s="1058"/>
      <c r="J441" s="1059"/>
    </row>
    <row r="442" spans="1:15" ht="15" customHeight="1">
      <c r="A442" s="1066" t="s">
        <v>379</v>
      </c>
      <c r="B442" s="869" t="s">
        <v>380</v>
      </c>
      <c r="C442" s="1058"/>
      <c r="D442" s="1059">
        <f>14*25000</f>
        <v>350000</v>
      </c>
      <c r="E442" s="1063"/>
      <c r="F442" s="1065"/>
      <c r="G442" s="1066" t="s">
        <v>379</v>
      </c>
      <c r="H442" s="869" t="s">
        <v>380</v>
      </c>
      <c r="I442" s="1058"/>
      <c r="J442" s="1059">
        <f>14*25000</f>
        <v>350000</v>
      </c>
    </row>
    <row r="443" spans="1:15" ht="15" customHeight="1">
      <c r="A443" s="1052" t="s">
        <v>381</v>
      </c>
      <c r="B443" s="869" t="s">
        <v>382</v>
      </c>
      <c r="C443" s="1058"/>
      <c r="D443" s="1059">
        <f>D442</f>
        <v>350000</v>
      </c>
      <c r="E443" s="1067"/>
      <c r="F443" s="1051"/>
      <c r="G443" s="1052" t="s">
        <v>381</v>
      </c>
      <c r="H443" s="869" t="s">
        <v>382</v>
      </c>
      <c r="I443" s="1058"/>
      <c r="J443" s="1059">
        <f>J442</f>
        <v>350000</v>
      </c>
    </row>
    <row r="444" spans="1:15" ht="15" customHeight="1">
      <c r="A444" s="1068" t="s">
        <v>383</v>
      </c>
      <c r="B444" s="1069" t="s">
        <v>384</v>
      </c>
      <c r="C444" s="1070"/>
      <c r="D444" s="1071" t="e">
        <f>SUM(D435:D440)-D443</f>
        <v>#N/A</v>
      </c>
      <c r="E444" s="1072"/>
      <c r="F444" s="1073"/>
      <c r="G444" s="1068" t="s">
        <v>383</v>
      </c>
      <c r="H444" s="1069" t="s">
        <v>384</v>
      </c>
      <c r="I444" s="1070"/>
      <c r="J444" s="1071" t="e">
        <f>SUM(J435:J440)-J443</f>
        <v>#N/A</v>
      </c>
    </row>
    <row r="445" spans="1:15" ht="18.75" customHeight="1">
      <c r="A445" s="1074"/>
      <c r="B445" s="1075"/>
      <c r="C445" s="1076"/>
      <c r="D445" s="1077"/>
      <c r="E445" s="1077"/>
      <c r="F445" s="1078"/>
      <c r="G445" s="1074"/>
      <c r="H445" s="1075"/>
      <c r="I445" s="1076"/>
      <c r="J445" s="1077"/>
    </row>
    <row r="446" spans="1:15" ht="18.75" customHeight="1">
      <c r="A446" s="1075"/>
      <c r="B446" s="1075"/>
      <c r="C446" s="1079"/>
      <c r="D446" s="1080"/>
      <c r="E446" s="1075"/>
      <c r="F446" s="1081"/>
      <c r="G446" s="1075"/>
      <c r="H446" s="1075"/>
      <c r="I446" s="1079"/>
      <c r="J446" s="1080"/>
    </row>
    <row r="447" spans="1:15" ht="15" customHeight="1">
      <c r="A447" s="2242" t="str">
        <f>$K$2</f>
        <v>THÁNG 09/2024</v>
      </c>
      <c r="B447" s="2242"/>
      <c r="C447" s="2242"/>
      <c r="D447" s="2242"/>
      <c r="E447" s="1050"/>
      <c r="F447" s="1051"/>
      <c r="G447" s="2242" t="str">
        <f>$K$2</f>
        <v>THÁNG 09/2024</v>
      </c>
      <c r="H447" s="2242"/>
      <c r="I447" s="2242"/>
      <c r="J447" s="2242"/>
      <c r="K447" s="624"/>
    </row>
    <row r="448" spans="1:15" ht="15" customHeight="1">
      <c r="A448" s="1052" t="s">
        <v>356</v>
      </c>
      <c r="B448" s="1053" t="s">
        <v>434</v>
      </c>
      <c r="C448" s="869"/>
      <c r="D448" s="1049"/>
      <c r="E448" s="1054"/>
      <c r="F448" s="1055"/>
      <c r="G448" s="1052" t="s">
        <v>356</v>
      </c>
      <c r="H448" s="1053" t="s">
        <v>435</v>
      </c>
      <c r="I448" s="869"/>
      <c r="J448" s="1049"/>
      <c r="L448" s="1088"/>
      <c r="M448" s="1088"/>
      <c r="N448" s="1088"/>
      <c r="O448" s="1088"/>
    </row>
    <row r="449" spans="1:15" ht="15" customHeight="1">
      <c r="A449" s="1052" t="s">
        <v>359</v>
      </c>
      <c r="B449" s="1089" t="s">
        <v>360</v>
      </c>
      <c r="C449" s="1058" t="e">
        <f>VLOOKUP(B448,'LƯƠNG KT'!$D$15:$U$94,3,0)</f>
        <v>#N/A</v>
      </c>
      <c r="D449" s="1059" t="e">
        <f>+C449*25000</f>
        <v>#N/A</v>
      </c>
      <c r="E449" s="1060"/>
      <c r="F449" s="1060"/>
      <c r="G449" s="1052" t="s">
        <v>359</v>
      </c>
      <c r="H449" s="1089" t="s">
        <v>360</v>
      </c>
      <c r="I449" s="1058" t="e">
        <f>VLOOKUP(H448,'LƯƠNG KT'!$D$15:$U$94,3,0)</f>
        <v>#N/A</v>
      </c>
      <c r="J449" s="1059" t="e">
        <f>+I449*25000</f>
        <v>#N/A</v>
      </c>
      <c r="K449" s="1085"/>
      <c r="L449" s="1085"/>
      <c r="M449" s="1085"/>
      <c r="N449" s="1085"/>
      <c r="O449" s="1085"/>
    </row>
    <row r="450" spans="1:15" ht="15" customHeight="1">
      <c r="A450" s="1052" t="s">
        <v>361</v>
      </c>
      <c r="B450" s="869" t="s">
        <v>362</v>
      </c>
      <c r="C450" s="1058" t="e">
        <f>VLOOKUP(B448,'LƯƠNG KT'!$D$15:$U$94,14,0)</f>
        <v>#N/A</v>
      </c>
      <c r="D450" s="1059" t="e">
        <f>C450*$L$4</f>
        <v>#N/A</v>
      </c>
      <c r="E450" s="1061"/>
      <c r="F450" s="1061"/>
      <c r="G450" s="1052" t="s">
        <v>361</v>
      </c>
      <c r="H450" s="869" t="s">
        <v>362</v>
      </c>
      <c r="I450" s="1058" t="e">
        <f>VLOOKUP(H448,'LƯƠNG KT'!$D$15:$U$94,14,0)</f>
        <v>#N/A</v>
      </c>
      <c r="J450" s="1059" t="e">
        <f>I450*$L$4</f>
        <v>#N/A</v>
      </c>
      <c r="K450" s="1085"/>
      <c r="L450" s="1085"/>
      <c r="M450" s="1085"/>
      <c r="N450" s="1085"/>
      <c r="O450" s="1085"/>
    </row>
    <row r="451" spans="1:15" ht="15" customHeight="1">
      <c r="A451" s="1052" t="s">
        <v>364</v>
      </c>
      <c r="B451" s="869" t="s">
        <v>365</v>
      </c>
      <c r="C451" s="1058" t="e">
        <f>VLOOKUP(B448,'LƯƠNG KT'!$D$15:$U$94,15,0)</f>
        <v>#N/A</v>
      </c>
      <c r="D451" s="1059" t="e">
        <f>C451*$L$5</f>
        <v>#N/A</v>
      </c>
      <c r="E451" s="1061"/>
      <c r="F451" s="1061"/>
      <c r="G451" s="1052" t="s">
        <v>364</v>
      </c>
      <c r="H451" s="869" t="s">
        <v>365</v>
      </c>
      <c r="I451" s="1058" t="e">
        <f>VLOOKUP(H448,'LƯƠNG KT'!$D$15:$U$94,15,0)</f>
        <v>#N/A</v>
      </c>
      <c r="J451" s="1059" t="e">
        <f>I451*$L$5</f>
        <v>#N/A</v>
      </c>
      <c r="K451" s="1085"/>
      <c r="L451" s="1085"/>
      <c r="M451" s="1085"/>
      <c r="N451" s="1085"/>
      <c r="O451" s="1085"/>
    </row>
    <row r="452" spans="1:15" ht="15" customHeight="1">
      <c r="A452" s="1052" t="s">
        <v>367</v>
      </c>
      <c r="B452" s="869"/>
      <c r="C452" s="1058" t="e">
        <f>VLOOKUP(B448,'LƯƠNG KT'!$D$15:$U$94,16,0)</f>
        <v>#N/A</v>
      </c>
      <c r="D452" s="1059" t="e">
        <f>+C452*$L$6</f>
        <v>#N/A</v>
      </c>
      <c r="E452" s="1061"/>
      <c r="F452" s="1061"/>
      <c r="G452" s="1052" t="s">
        <v>367</v>
      </c>
      <c r="H452" s="869"/>
      <c r="I452" s="1058" t="e">
        <f>VLOOKUP(H448,'LƯƠNG KT'!$D$15:$U$94,16,0)</f>
        <v>#N/A</v>
      </c>
      <c r="J452" s="1059" t="e">
        <f>+I452*$L$6</f>
        <v>#N/A</v>
      </c>
      <c r="K452" s="1085"/>
      <c r="L452" s="1085"/>
      <c r="M452" s="1085"/>
      <c r="N452" s="1085"/>
      <c r="O452" s="1085"/>
    </row>
    <row r="453" spans="1:15" ht="15" customHeight="1">
      <c r="A453" s="1052" t="s">
        <v>371</v>
      </c>
      <c r="B453" s="869" t="s">
        <v>372</v>
      </c>
      <c r="C453" s="1058" t="e">
        <f>VLOOKUP(B448,'LƯƠNG KT'!$D$15:$U$94,9,0)*$L$10</f>
        <v>#N/A</v>
      </c>
      <c r="D453" s="1059" t="e">
        <f>+C453*0.5*3000</f>
        <v>#N/A</v>
      </c>
      <c r="E453" s="1061"/>
      <c r="F453" s="1061"/>
      <c r="G453" s="1052" t="s">
        <v>371</v>
      </c>
      <c r="H453" s="869" t="s">
        <v>372</v>
      </c>
      <c r="I453" s="1058" t="e">
        <f>VLOOKUP(H448,'LƯƠNG KT'!$D$15:$U$94,9,0)*$L$10</f>
        <v>#N/A</v>
      </c>
      <c r="J453" s="1059" t="e">
        <f>+I453*0.5*3000</f>
        <v>#N/A</v>
      </c>
      <c r="K453" s="1085"/>
      <c r="L453" s="1085"/>
      <c r="M453" s="1085"/>
      <c r="N453" s="1085"/>
      <c r="O453" s="1085"/>
    </row>
    <row r="454" spans="1:15" ht="15" customHeight="1">
      <c r="A454" s="1052" t="s">
        <v>374</v>
      </c>
      <c r="B454" s="869" t="s">
        <v>375</v>
      </c>
      <c r="C454" s="1058" t="e">
        <f>VLOOKUP(B448,'LƯƠNG KT'!$D$15:$U$94,8,0)*$L$11</f>
        <v>#N/A</v>
      </c>
      <c r="D454" s="1059" t="e">
        <f>VLOOKUP(B448,'LƯƠNG KT'!$D$15:$U$94,13,0)-D453</f>
        <v>#N/A</v>
      </c>
      <c r="E454" s="1063"/>
      <c r="F454" s="1061"/>
      <c r="G454" s="1052" t="s">
        <v>374</v>
      </c>
      <c r="H454" s="869" t="s">
        <v>375</v>
      </c>
      <c r="I454" s="1058" t="e">
        <f>VLOOKUP(H448,'LƯƠNG KT'!$D$15:$U$94,8,0)*$L$11</f>
        <v>#N/A</v>
      </c>
      <c r="J454" s="1059" t="e">
        <f>VLOOKUP(H448,'LƯƠNG KT'!$D$15:$U$94,13,0)-J453</f>
        <v>#N/A</v>
      </c>
      <c r="K454" s="1085"/>
      <c r="L454" s="1085"/>
      <c r="M454" s="1085"/>
      <c r="N454" s="1085"/>
      <c r="O454" s="1085"/>
    </row>
    <row r="455" spans="1:15" ht="15" customHeight="1">
      <c r="A455" s="1059" t="s">
        <v>377</v>
      </c>
      <c r="B455" s="869" t="s">
        <v>378</v>
      </c>
      <c r="C455" s="1058"/>
      <c r="D455" s="1059"/>
      <c r="E455" s="1065"/>
      <c r="F455" s="1065"/>
      <c r="G455" s="1059" t="s">
        <v>377</v>
      </c>
      <c r="H455" s="869" t="s">
        <v>378</v>
      </c>
      <c r="I455" s="1058"/>
      <c r="J455" s="1059"/>
    </row>
    <row r="456" spans="1:15" ht="15" customHeight="1">
      <c r="A456" s="1066" t="s">
        <v>379</v>
      </c>
      <c r="B456" s="869" t="s">
        <v>380</v>
      </c>
      <c r="C456" s="1058"/>
      <c r="D456" s="1059">
        <f>14*25000</f>
        <v>350000</v>
      </c>
      <c r="E456" s="1063"/>
      <c r="F456" s="1065"/>
      <c r="G456" s="1066" t="s">
        <v>379</v>
      </c>
      <c r="H456" s="869" t="s">
        <v>380</v>
      </c>
      <c r="I456" s="1058"/>
      <c r="J456" s="1059">
        <f>14*25000</f>
        <v>350000</v>
      </c>
    </row>
    <row r="457" spans="1:15" ht="15" customHeight="1">
      <c r="A457" s="1052" t="s">
        <v>381</v>
      </c>
      <c r="B457" s="869" t="s">
        <v>382</v>
      </c>
      <c r="C457" s="1058"/>
      <c r="D457" s="1059">
        <f>D456</f>
        <v>350000</v>
      </c>
      <c r="E457" s="1067"/>
      <c r="F457" s="1051"/>
      <c r="G457" s="1052" t="s">
        <v>381</v>
      </c>
      <c r="H457" s="869" t="s">
        <v>382</v>
      </c>
      <c r="I457" s="1058"/>
      <c r="J457" s="1059">
        <f>J456</f>
        <v>350000</v>
      </c>
    </row>
    <row r="458" spans="1:15" ht="15" customHeight="1">
      <c r="A458" s="1068" t="s">
        <v>383</v>
      </c>
      <c r="B458" s="1069" t="s">
        <v>384</v>
      </c>
      <c r="C458" s="1070"/>
      <c r="D458" s="1071" t="e">
        <f>SUM(D449:D454)-D457</f>
        <v>#N/A</v>
      </c>
      <c r="E458" s="1072"/>
      <c r="F458" s="1073"/>
      <c r="G458" s="1068" t="s">
        <v>383</v>
      </c>
      <c r="H458" s="1069" t="s">
        <v>384</v>
      </c>
      <c r="I458" s="1070"/>
      <c r="J458" s="1071" t="e">
        <f>SUM(J449:J454)-J457</f>
        <v>#N/A</v>
      </c>
    </row>
    <row r="459" spans="1:15" ht="18.75" customHeight="1">
      <c r="A459" s="1074"/>
      <c r="B459" s="1075"/>
      <c r="C459" s="1076"/>
      <c r="D459" s="1077"/>
      <c r="E459" s="1077"/>
      <c r="F459" s="1078"/>
      <c r="G459" s="1074"/>
      <c r="H459" s="1075"/>
      <c r="I459" s="1076"/>
      <c r="J459" s="1077"/>
    </row>
    <row r="460" spans="1:15" ht="18.75" customHeight="1">
      <c r="A460" s="1075"/>
      <c r="B460" s="1075"/>
      <c r="C460" s="1079"/>
      <c r="D460" s="1080"/>
      <c r="E460" s="1075"/>
      <c r="F460" s="1081"/>
      <c r="G460" s="1075"/>
      <c r="H460" s="1075"/>
      <c r="I460" s="1079"/>
      <c r="J460" s="1080"/>
    </row>
    <row r="461" spans="1:15" ht="15" customHeight="1">
      <c r="A461" s="2242" t="str">
        <f>$K$2</f>
        <v>THÁNG 09/2024</v>
      </c>
      <c r="B461" s="2242"/>
      <c r="C461" s="2242"/>
      <c r="D461" s="2242"/>
      <c r="E461" s="1050"/>
      <c r="F461" s="1051"/>
      <c r="G461" s="2242" t="str">
        <f>$K$2</f>
        <v>THÁNG 09/2024</v>
      </c>
      <c r="H461" s="2242"/>
      <c r="I461" s="2242"/>
      <c r="J461" s="2242"/>
      <c r="K461" s="624"/>
    </row>
    <row r="462" spans="1:15" ht="15" customHeight="1">
      <c r="A462" s="1052" t="s">
        <v>356</v>
      </c>
      <c r="B462" s="1053" t="s">
        <v>436</v>
      </c>
      <c r="C462" s="869"/>
      <c r="D462" s="1049"/>
      <c r="E462" s="1054"/>
      <c r="F462" s="1055"/>
      <c r="G462" s="1052" t="s">
        <v>356</v>
      </c>
      <c r="H462" s="1053" t="s">
        <v>437</v>
      </c>
      <c r="I462" s="869"/>
      <c r="J462" s="1049"/>
      <c r="L462" s="1088"/>
      <c r="M462" s="1088"/>
      <c r="N462" s="1088"/>
      <c r="O462" s="1088"/>
    </row>
    <row r="463" spans="1:15" ht="15" customHeight="1">
      <c r="A463" s="1052" t="s">
        <v>359</v>
      </c>
      <c r="B463" s="1089" t="s">
        <v>360</v>
      </c>
      <c r="C463" s="1058" t="e">
        <f>VLOOKUP(B462,'LƯƠNG KT'!$D$15:$U$94,3,0)</f>
        <v>#N/A</v>
      </c>
      <c r="D463" s="1059" t="e">
        <f>+C463*25000</f>
        <v>#N/A</v>
      </c>
      <c r="E463" s="1060"/>
      <c r="F463" s="1060"/>
      <c r="G463" s="1052" t="s">
        <v>359</v>
      </c>
      <c r="H463" s="1089" t="s">
        <v>360</v>
      </c>
      <c r="I463" s="1058" t="e">
        <f>VLOOKUP(H462,'LƯƠNG KT'!$D$15:$U$94,3,0)</f>
        <v>#N/A</v>
      </c>
      <c r="J463" s="1059" t="e">
        <f>+I463*25000</f>
        <v>#N/A</v>
      </c>
      <c r="K463" s="1085"/>
      <c r="L463" s="1085"/>
      <c r="M463" s="1085"/>
      <c r="N463" s="1085"/>
      <c r="O463" s="1085"/>
    </row>
    <row r="464" spans="1:15" ht="15" customHeight="1">
      <c r="A464" s="1052" t="s">
        <v>361</v>
      </c>
      <c r="B464" s="869" t="s">
        <v>362</v>
      </c>
      <c r="C464" s="1058" t="e">
        <f>VLOOKUP(B462,'LƯƠNG KT'!$D$15:$U$94,14,0)</f>
        <v>#N/A</v>
      </c>
      <c r="D464" s="1059" t="e">
        <f>C464*$L$4</f>
        <v>#N/A</v>
      </c>
      <c r="E464" s="1061"/>
      <c r="F464" s="1061"/>
      <c r="G464" s="1052" t="s">
        <v>361</v>
      </c>
      <c r="H464" s="869" t="s">
        <v>362</v>
      </c>
      <c r="I464" s="1058" t="e">
        <f>VLOOKUP(H462,'LƯƠNG KT'!$D$15:$U$94,14,0)</f>
        <v>#N/A</v>
      </c>
      <c r="J464" s="1059" t="e">
        <f>I464*$L$4</f>
        <v>#N/A</v>
      </c>
      <c r="K464" s="1085"/>
      <c r="L464" s="1085"/>
      <c r="M464" s="1085"/>
      <c r="N464" s="1085"/>
      <c r="O464" s="1085"/>
    </row>
    <row r="465" spans="1:15" ht="15" customHeight="1">
      <c r="A465" s="1052" t="s">
        <v>364</v>
      </c>
      <c r="B465" s="869" t="s">
        <v>365</v>
      </c>
      <c r="C465" s="1058" t="e">
        <f>VLOOKUP(B462,'LƯƠNG KT'!$D$15:$U$94,15,0)</f>
        <v>#N/A</v>
      </c>
      <c r="D465" s="1059" t="e">
        <f>C465*$L$5</f>
        <v>#N/A</v>
      </c>
      <c r="E465" s="1061"/>
      <c r="F465" s="1061"/>
      <c r="G465" s="1052" t="s">
        <v>364</v>
      </c>
      <c r="H465" s="869" t="s">
        <v>365</v>
      </c>
      <c r="I465" s="1058" t="e">
        <f>VLOOKUP(H462,'LƯƠNG KT'!$D$15:$U$94,15,0)</f>
        <v>#N/A</v>
      </c>
      <c r="J465" s="1059" t="e">
        <f>I465*$L$5</f>
        <v>#N/A</v>
      </c>
      <c r="K465" s="1085"/>
      <c r="L465" s="1085"/>
      <c r="M465" s="1085"/>
      <c r="N465" s="1085"/>
      <c r="O465" s="1085"/>
    </row>
    <row r="466" spans="1:15" ht="15" customHeight="1">
      <c r="A466" s="1052" t="s">
        <v>367</v>
      </c>
      <c r="B466" s="869"/>
      <c r="C466" s="1058" t="e">
        <f>VLOOKUP(B462,'LƯƠNG KT'!$D$15:$U$94,16,0)</f>
        <v>#N/A</v>
      </c>
      <c r="D466" s="1059" t="e">
        <f>+C466*$L$6</f>
        <v>#N/A</v>
      </c>
      <c r="E466" s="1061"/>
      <c r="F466" s="1061"/>
      <c r="G466" s="1052" t="s">
        <v>367</v>
      </c>
      <c r="H466" s="869"/>
      <c r="I466" s="1058" t="e">
        <f>VLOOKUP(H462,'LƯƠNG KT'!$D$15:$U$94,16,0)</f>
        <v>#N/A</v>
      </c>
      <c r="J466" s="1059" t="e">
        <f>+I466*$L$6</f>
        <v>#N/A</v>
      </c>
      <c r="K466" s="1085"/>
      <c r="L466" s="1085"/>
      <c r="M466" s="1085"/>
      <c r="N466" s="1085"/>
      <c r="O466" s="1085"/>
    </row>
    <row r="467" spans="1:15" ht="15" customHeight="1">
      <c r="A467" s="1052" t="s">
        <v>371</v>
      </c>
      <c r="B467" s="869" t="s">
        <v>372</v>
      </c>
      <c r="C467" s="1058" t="e">
        <f>VLOOKUP(B462,'LƯƠNG KT'!$D$15:$U$94,9,0)*$L$10</f>
        <v>#N/A</v>
      </c>
      <c r="D467" s="1059" t="e">
        <f>+C467*0.5*3000</f>
        <v>#N/A</v>
      </c>
      <c r="E467" s="1061"/>
      <c r="F467" s="1061"/>
      <c r="G467" s="1052" t="s">
        <v>371</v>
      </c>
      <c r="H467" s="869" t="s">
        <v>372</v>
      </c>
      <c r="I467" s="1058" t="e">
        <f>VLOOKUP(H462,'LƯƠNG KT'!$D$15:$U$94,9,0)*$L$10</f>
        <v>#N/A</v>
      </c>
      <c r="J467" s="1059" t="e">
        <f>+I467*0.5*3000</f>
        <v>#N/A</v>
      </c>
      <c r="K467" s="1085"/>
      <c r="L467" s="1085"/>
      <c r="M467" s="1085"/>
      <c r="N467" s="1085"/>
      <c r="O467" s="1085"/>
    </row>
    <row r="468" spans="1:15" ht="15" customHeight="1">
      <c r="A468" s="1052" t="s">
        <v>374</v>
      </c>
      <c r="B468" s="869" t="s">
        <v>375</v>
      </c>
      <c r="C468" s="1058" t="e">
        <f>VLOOKUP(B462,'LƯƠNG KT'!$D$15:$U$94,8,0)*$L$11</f>
        <v>#N/A</v>
      </c>
      <c r="D468" s="1059" t="e">
        <f>VLOOKUP(B462,'LƯƠNG KT'!$D$15:$U$94,13,0)-D467</f>
        <v>#N/A</v>
      </c>
      <c r="E468" s="1063"/>
      <c r="F468" s="1061"/>
      <c r="G468" s="1052" t="s">
        <v>374</v>
      </c>
      <c r="H468" s="869" t="s">
        <v>375</v>
      </c>
      <c r="I468" s="1058" t="e">
        <f>VLOOKUP(H462,'LƯƠNG KT'!$D$15:$U$94,8,0)*$L$11</f>
        <v>#N/A</v>
      </c>
      <c r="J468" s="1059" t="e">
        <f>VLOOKUP(H462,'LƯƠNG KT'!$D$15:$U$94,13,0)-J467</f>
        <v>#N/A</v>
      </c>
      <c r="K468" s="1085"/>
      <c r="L468" s="1085"/>
      <c r="M468" s="1085"/>
      <c r="N468" s="1085"/>
      <c r="O468" s="1085"/>
    </row>
    <row r="469" spans="1:15" ht="15" customHeight="1">
      <c r="A469" s="1059" t="s">
        <v>377</v>
      </c>
      <c r="B469" s="869" t="s">
        <v>378</v>
      </c>
      <c r="C469" s="1058"/>
      <c r="D469" s="1059"/>
      <c r="E469" s="1065"/>
      <c r="F469" s="1065"/>
      <c r="G469" s="1059" t="s">
        <v>377</v>
      </c>
      <c r="H469" s="869" t="s">
        <v>378</v>
      </c>
      <c r="I469" s="1058"/>
      <c r="J469" s="1059"/>
    </row>
    <row r="470" spans="1:15" ht="15" customHeight="1">
      <c r="A470" s="1066" t="s">
        <v>379</v>
      </c>
      <c r="B470" s="869" t="s">
        <v>380</v>
      </c>
      <c r="C470" s="1058"/>
      <c r="D470" s="1059">
        <f>14*25000</f>
        <v>350000</v>
      </c>
      <c r="E470" s="1063"/>
      <c r="F470" s="1065"/>
      <c r="G470" s="1066" t="s">
        <v>379</v>
      </c>
      <c r="H470" s="869" t="s">
        <v>380</v>
      </c>
      <c r="I470" s="1058"/>
      <c r="J470" s="1059">
        <f>14*25000</f>
        <v>350000</v>
      </c>
    </row>
    <row r="471" spans="1:15" ht="15" customHeight="1">
      <c r="A471" s="1052" t="s">
        <v>381</v>
      </c>
      <c r="B471" s="869" t="s">
        <v>382</v>
      </c>
      <c r="C471" s="1058"/>
      <c r="D471" s="1059">
        <f>D470</f>
        <v>350000</v>
      </c>
      <c r="E471" s="1067"/>
      <c r="F471" s="1051"/>
      <c r="G471" s="1052" t="s">
        <v>381</v>
      </c>
      <c r="H471" s="869" t="s">
        <v>382</v>
      </c>
      <c r="I471" s="1058"/>
      <c r="J471" s="1059">
        <f>J470</f>
        <v>350000</v>
      </c>
    </row>
    <row r="472" spans="1:15" ht="15" customHeight="1">
      <c r="A472" s="1068" t="s">
        <v>383</v>
      </c>
      <c r="B472" s="1069" t="s">
        <v>384</v>
      </c>
      <c r="C472" s="1070"/>
      <c r="D472" s="1071" t="e">
        <f>SUM(D463:D468)-D471</f>
        <v>#N/A</v>
      </c>
      <c r="E472" s="1072"/>
      <c r="F472" s="1073"/>
      <c r="G472" s="1068" t="s">
        <v>383</v>
      </c>
      <c r="H472" s="1069" t="s">
        <v>384</v>
      </c>
      <c r="I472" s="1070"/>
      <c r="J472" s="1071" t="e">
        <f>SUM(J463:J468)-J471</f>
        <v>#N/A</v>
      </c>
    </row>
    <row r="473" spans="1:15" ht="15.75" customHeight="1">
      <c r="A473" s="1074"/>
      <c r="B473" s="1075"/>
      <c r="C473" s="1076"/>
      <c r="D473" s="1077"/>
      <c r="E473" s="1077"/>
      <c r="F473" s="1078"/>
      <c r="G473" s="1074"/>
      <c r="H473" s="1075"/>
      <c r="I473" s="1076"/>
      <c r="J473" s="1077"/>
    </row>
    <row r="475" spans="1:15" ht="12" customHeight="1">
      <c r="A475" s="2243"/>
      <c r="B475" s="2243"/>
      <c r="C475" s="2243"/>
      <c r="D475" s="2243"/>
      <c r="E475" s="2243"/>
      <c r="F475" s="2243"/>
      <c r="G475" s="2243"/>
      <c r="H475" s="2243"/>
      <c r="I475" s="2243"/>
      <c r="J475" s="2243"/>
    </row>
    <row r="476" spans="1:15" ht="15" customHeight="1">
      <c r="A476" s="2242" t="str">
        <f>$K$2</f>
        <v>THÁNG 09/2024</v>
      </c>
      <c r="B476" s="2242"/>
      <c r="C476" s="2242"/>
      <c r="D476" s="2242"/>
      <c r="E476" s="1050"/>
      <c r="F476" s="1051"/>
      <c r="G476" s="2242" t="str">
        <f>$K$2</f>
        <v>THÁNG 09/2024</v>
      </c>
      <c r="H476" s="2242"/>
      <c r="I476" s="2242"/>
      <c r="J476" s="2242"/>
      <c r="K476" s="624"/>
    </row>
    <row r="477" spans="1:15" ht="15" customHeight="1">
      <c r="A477" s="1052" t="s">
        <v>356</v>
      </c>
      <c r="B477" s="1053" t="s">
        <v>438</v>
      </c>
      <c r="C477" s="869"/>
      <c r="D477" s="1049"/>
      <c r="E477" s="1054"/>
      <c r="F477" s="1055"/>
      <c r="G477" s="1052" t="s">
        <v>356</v>
      </c>
      <c r="H477" s="1053" t="s">
        <v>439</v>
      </c>
      <c r="I477" s="869"/>
      <c r="J477" s="1049"/>
      <c r="L477" s="1088"/>
      <c r="M477" s="1088"/>
      <c r="N477" s="1088"/>
      <c r="O477" s="1088"/>
    </row>
    <row r="478" spans="1:15" ht="15" customHeight="1">
      <c r="A478" s="1052" t="s">
        <v>359</v>
      </c>
      <c r="B478" s="1089" t="s">
        <v>360</v>
      </c>
      <c r="C478" s="1058" t="e">
        <f>VLOOKUP(B477,'LƯƠNG KT'!$D$15:$U$94,3,0)</f>
        <v>#N/A</v>
      </c>
      <c r="D478" s="1059" t="e">
        <f>+C478*25000</f>
        <v>#N/A</v>
      </c>
      <c r="E478" s="1060"/>
      <c r="F478" s="1060"/>
      <c r="G478" s="1052" t="s">
        <v>359</v>
      </c>
      <c r="H478" s="1089" t="s">
        <v>360</v>
      </c>
      <c r="I478" s="1058" t="e">
        <f>VLOOKUP(H477,'LƯƠNG KT'!$D$15:$U$94,3,0)</f>
        <v>#N/A</v>
      </c>
      <c r="J478" s="1059" t="e">
        <f>+I478*25000</f>
        <v>#N/A</v>
      </c>
      <c r="K478" s="1084"/>
      <c r="L478" s="1085"/>
      <c r="M478" s="1085"/>
      <c r="N478" s="1085"/>
      <c r="O478" s="1085"/>
    </row>
    <row r="479" spans="1:15" ht="15" customHeight="1">
      <c r="A479" s="1052" t="s">
        <v>361</v>
      </c>
      <c r="B479" s="869" t="s">
        <v>362</v>
      </c>
      <c r="C479" s="1058" t="e">
        <f>VLOOKUP(B477,'LƯƠNG KT'!$D$15:$U$94,14,0)</f>
        <v>#N/A</v>
      </c>
      <c r="D479" s="1059" t="e">
        <f>C479*$L$4</f>
        <v>#N/A</v>
      </c>
      <c r="E479" s="1061"/>
      <c r="F479" s="1061"/>
      <c r="G479" s="1052" t="s">
        <v>361</v>
      </c>
      <c r="H479" s="869" t="s">
        <v>362</v>
      </c>
      <c r="I479" s="1058" t="e">
        <f>VLOOKUP(H477,'LƯƠNG KT'!$D$15:$U$94,14,0)</f>
        <v>#N/A</v>
      </c>
      <c r="J479" s="1059" t="e">
        <f>I479*$L$4</f>
        <v>#N/A</v>
      </c>
      <c r="K479" s="1084"/>
      <c r="L479" s="1085"/>
      <c r="M479" s="1085"/>
      <c r="N479" s="1085"/>
      <c r="O479" s="1085"/>
    </row>
    <row r="480" spans="1:15" ht="15" customHeight="1">
      <c r="A480" s="1052" t="s">
        <v>364</v>
      </c>
      <c r="B480" s="869" t="s">
        <v>365</v>
      </c>
      <c r="C480" s="1058" t="e">
        <f>VLOOKUP(B477,'LƯƠNG KT'!$D$15:$U$94,15,0)</f>
        <v>#N/A</v>
      </c>
      <c r="D480" s="1059" t="e">
        <f>C480*$L$5</f>
        <v>#N/A</v>
      </c>
      <c r="E480" s="1061"/>
      <c r="F480" s="1061"/>
      <c r="G480" s="1052" t="s">
        <v>364</v>
      </c>
      <c r="H480" s="869" t="s">
        <v>365</v>
      </c>
      <c r="I480" s="1058" t="e">
        <f>VLOOKUP(H477,'LƯƠNG KT'!$D$15:$U$94,15,0)</f>
        <v>#N/A</v>
      </c>
      <c r="J480" s="1059" t="e">
        <f>I480*$L$5</f>
        <v>#N/A</v>
      </c>
      <c r="K480" s="1084"/>
      <c r="L480" s="1085"/>
      <c r="M480" s="1085"/>
      <c r="N480" s="1085"/>
      <c r="O480" s="1085"/>
    </row>
    <row r="481" spans="1:15" ht="15" customHeight="1">
      <c r="A481" s="1052" t="s">
        <v>367</v>
      </c>
      <c r="B481" s="869"/>
      <c r="C481" s="1058" t="e">
        <f>VLOOKUP(B477,'LƯƠNG KT'!$D$15:$U$94,16,0)</f>
        <v>#N/A</v>
      </c>
      <c r="D481" s="1059" t="e">
        <f>+C481*$L$6</f>
        <v>#N/A</v>
      </c>
      <c r="E481" s="1061"/>
      <c r="F481" s="1061"/>
      <c r="G481" s="1052" t="s">
        <v>367</v>
      </c>
      <c r="H481" s="869"/>
      <c r="I481" s="1058" t="e">
        <f>VLOOKUP(H477,'LƯƠNG KT'!$D$15:$U$94,16,0)</f>
        <v>#N/A</v>
      </c>
      <c r="J481" s="1059" t="e">
        <f>+I481*$L$6</f>
        <v>#N/A</v>
      </c>
      <c r="K481" s="1085"/>
      <c r="L481" s="1085"/>
      <c r="M481" s="1085"/>
      <c r="N481" s="1085"/>
      <c r="O481" s="1085"/>
    </row>
    <row r="482" spans="1:15" ht="15" customHeight="1">
      <c r="A482" s="1052" t="s">
        <v>371</v>
      </c>
      <c r="B482" s="869" t="s">
        <v>372</v>
      </c>
      <c r="C482" s="1058" t="e">
        <f>VLOOKUP(B477,'LƯƠNG KT'!$D$15:$U$94,9,0)*$L$10</f>
        <v>#N/A</v>
      </c>
      <c r="D482" s="1059" t="e">
        <f>+C482*0.5*3000</f>
        <v>#N/A</v>
      </c>
      <c r="E482" s="1061"/>
      <c r="F482" s="1061"/>
      <c r="G482" s="1052" t="s">
        <v>371</v>
      </c>
      <c r="H482" s="869" t="s">
        <v>372</v>
      </c>
      <c r="I482" s="1058" t="e">
        <f>VLOOKUP(H477,'LƯƠNG KT'!$D$15:$U$94,9,0)*$L$10</f>
        <v>#N/A</v>
      </c>
      <c r="J482" s="1059" t="e">
        <f>+I482*0.5*3000</f>
        <v>#N/A</v>
      </c>
      <c r="K482" s="1085"/>
      <c r="L482" s="1085"/>
      <c r="M482" s="1085"/>
      <c r="N482" s="1085"/>
      <c r="O482" s="1085"/>
    </row>
    <row r="483" spans="1:15" ht="15" customHeight="1">
      <c r="A483" s="1052" t="s">
        <v>374</v>
      </c>
      <c r="B483" s="869" t="s">
        <v>375</v>
      </c>
      <c r="C483" s="1058" t="e">
        <f>VLOOKUP(B477,'LƯƠNG KT'!$D$15:$U$94,8,0)*$L$11</f>
        <v>#N/A</v>
      </c>
      <c r="D483" s="1059" t="e">
        <f>VLOOKUP(B477,'LƯƠNG KT'!$D$15:$U$94,13,0)-D482</f>
        <v>#N/A</v>
      </c>
      <c r="E483" s="1063"/>
      <c r="F483" s="1061"/>
      <c r="G483" s="1052" t="s">
        <v>374</v>
      </c>
      <c r="H483" s="869" t="s">
        <v>375</v>
      </c>
      <c r="I483" s="1058" t="e">
        <f>VLOOKUP(H477,'LƯƠNG KT'!$D$15:$U$94,8,0)*$L$11</f>
        <v>#N/A</v>
      </c>
      <c r="J483" s="1059" t="e">
        <f>VLOOKUP(H477,'LƯƠNG KT'!$D$15:$U$94,13,0)-J482</f>
        <v>#N/A</v>
      </c>
      <c r="K483" s="1085"/>
      <c r="L483" s="1085"/>
      <c r="M483" s="1085"/>
      <c r="N483" s="1085"/>
      <c r="O483" s="1085"/>
    </row>
    <row r="484" spans="1:15" ht="15" customHeight="1">
      <c r="A484" s="1059" t="s">
        <v>377</v>
      </c>
      <c r="B484" s="869" t="s">
        <v>378</v>
      </c>
      <c r="C484" s="1058"/>
      <c r="D484" s="1059"/>
      <c r="E484" s="1065"/>
      <c r="F484" s="1065"/>
      <c r="G484" s="1059" t="s">
        <v>377</v>
      </c>
      <c r="H484" s="869" t="s">
        <v>378</v>
      </c>
      <c r="I484" s="1058"/>
      <c r="J484" s="1059"/>
    </row>
    <row r="485" spans="1:15" ht="15" customHeight="1">
      <c r="A485" s="1066" t="s">
        <v>379</v>
      </c>
      <c r="B485" s="869" t="s">
        <v>380</v>
      </c>
      <c r="C485" s="1058"/>
      <c r="D485" s="1059">
        <f>14*25000</f>
        <v>350000</v>
      </c>
      <c r="E485" s="1063"/>
      <c r="F485" s="1065"/>
      <c r="G485" s="1066" t="s">
        <v>379</v>
      </c>
      <c r="H485" s="869" t="s">
        <v>380</v>
      </c>
      <c r="I485" s="1058"/>
      <c r="J485" s="1059">
        <f>14*25000</f>
        <v>350000</v>
      </c>
    </row>
    <row r="486" spans="1:15" ht="15" customHeight="1">
      <c r="A486" s="1052" t="s">
        <v>381</v>
      </c>
      <c r="B486" s="869" t="s">
        <v>382</v>
      </c>
      <c r="C486" s="1058"/>
      <c r="D486" s="1059">
        <f>D485</f>
        <v>350000</v>
      </c>
      <c r="E486" s="1067"/>
      <c r="F486" s="1051"/>
      <c r="G486" s="1052" t="s">
        <v>381</v>
      </c>
      <c r="H486" s="869" t="s">
        <v>382</v>
      </c>
      <c r="I486" s="1058"/>
      <c r="J486" s="1059">
        <f>J485</f>
        <v>350000</v>
      </c>
    </row>
    <row r="487" spans="1:15" ht="15" customHeight="1">
      <c r="A487" s="1068" t="s">
        <v>383</v>
      </c>
      <c r="B487" s="1069" t="s">
        <v>384</v>
      </c>
      <c r="C487" s="1070"/>
      <c r="D487" s="1071" t="e">
        <f>SUM(D478:D483)-D486</f>
        <v>#N/A</v>
      </c>
      <c r="E487" s="1072"/>
      <c r="F487" s="1073"/>
      <c r="G487" s="1068" t="s">
        <v>383</v>
      </c>
      <c r="H487" s="1069" t="s">
        <v>384</v>
      </c>
      <c r="I487" s="1070"/>
      <c r="J487" s="1071" t="e">
        <f>SUM(J478:J483)-J486</f>
        <v>#N/A</v>
      </c>
    </row>
    <row r="488" spans="1:15" ht="12.6" customHeight="1">
      <c r="A488" s="1074"/>
      <c r="B488" s="1075"/>
      <c r="C488" s="1076"/>
      <c r="D488" s="1077"/>
      <c r="E488" s="1077"/>
      <c r="F488" s="1078"/>
      <c r="G488" s="1074"/>
      <c r="H488" s="1075"/>
      <c r="I488" s="1076"/>
      <c r="J488" s="1077"/>
    </row>
    <row r="489" spans="1:15" ht="12.6" customHeight="1">
      <c r="A489" s="1075"/>
      <c r="B489" s="1075"/>
      <c r="C489" s="1079"/>
      <c r="D489" s="1080"/>
      <c r="E489" s="1075"/>
      <c r="F489" s="1081"/>
      <c r="G489" s="1075"/>
      <c r="H489" s="1075"/>
      <c r="I489" s="1079"/>
      <c r="J489" s="1080"/>
    </row>
    <row r="490" spans="1:15" ht="15" customHeight="1">
      <c r="A490" s="2242" t="str">
        <f>$K$2</f>
        <v>THÁNG 09/2024</v>
      </c>
      <c r="B490" s="2242"/>
      <c r="C490" s="2242"/>
      <c r="D490" s="2242"/>
      <c r="E490" s="1050"/>
      <c r="F490" s="1051"/>
      <c r="G490" s="2242" t="str">
        <f>$K$2</f>
        <v>THÁNG 09/2024</v>
      </c>
      <c r="H490" s="2242"/>
      <c r="I490" s="2242"/>
      <c r="J490" s="2242"/>
      <c r="K490" s="624"/>
    </row>
    <row r="491" spans="1:15" ht="15" customHeight="1">
      <c r="A491" s="1052" t="s">
        <v>356</v>
      </c>
      <c r="B491" s="1053" t="s">
        <v>440</v>
      </c>
      <c r="C491" s="869"/>
      <c r="D491" s="1049"/>
      <c r="E491" s="1054"/>
      <c r="F491" s="1055"/>
      <c r="G491" s="1052" t="s">
        <v>356</v>
      </c>
      <c r="H491" s="1053" t="s">
        <v>441</v>
      </c>
      <c r="I491" s="869"/>
      <c r="J491" s="1049"/>
      <c r="L491" s="1088"/>
      <c r="M491" s="1088"/>
      <c r="N491" s="1088"/>
      <c r="O491" s="1088"/>
    </row>
    <row r="492" spans="1:15" ht="15" customHeight="1">
      <c r="A492" s="1052" t="s">
        <v>359</v>
      </c>
      <c r="B492" s="1089" t="s">
        <v>360</v>
      </c>
      <c r="C492" s="1058" t="e">
        <f>VLOOKUP(B491,'LƯƠNG KT'!$D$15:$U$94,3,0)</f>
        <v>#N/A</v>
      </c>
      <c r="D492" s="1059" t="e">
        <f>+C492*25000</f>
        <v>#N/A</v>
      </c>
      <c r="E492" s="1060"/>
      <c r="F492" s="1060"/>
      <c r="G492" s="1052" t="s">
        <v>359</v>
      </c>
      <c r="H492" s="1089" t="s">
        <v>360</v>
      </c>
      <c r="I492" s="1058" t="e">
        <f>VLOOKUP(H491,'LƯƠNG KT'!$D$15:$U$94,3,0)</f>
        <v>#N/A</v>
      </c>
      <c r="J492" s="1059" t="e">
        <f>+I492*25000</f>
        <v>#N/A</v>
      </c>
      <c r="K492" s="1085"/>
      <c r="L492" s="1085"/>
      <c r="M492" s="1085"/>
      <c r="N492" s="1085"/>
      <c r="O492" s="1085"/>
    </row>
    <row r="493" spans="1:15" ht="15" customHeight="1">
      <c r="A493" s="1052" t="s">
        <v>361</v>
      </c>
      <c r="B493" s="869" t="s">
        <v>362</v>
      </c>
      <c r="C493" s="1058" t="e">
        <f>VLOOKUP(B491,'LƯƠNG KT'!$D$15:$U$94,14,0)</f>
        <v>#N/A</v>
      </c>
      <c r="D493" s="1059" t="e">
        <f>C493*$L$4</f>
        <v>#N/A</v>
      </c>
      <c r="E493" s="1061"/>
      <c r="F493" s="1061"/>
      <c r="G493" s="1052" t="s">
        <v>361</v>
      </c>
      <c r="H493" s="869" t="s">
        <v>362</v>
      </c>
      <c r="I493" s="1058" t="e">
        <f>VLOOKUP(H491,'LƯƠNG KT'!$D$15:$U$94,14,0)</f>
        <v>#N/A</v>
      </c>
      <c r="J493" s="1059" t="e">
        <f>I493*$L$4</f>
        <v>#N/A</v>
      </c>
      <c r="K493" s="1085"/>
      <c r="L493" s="1085"/>
      <c r="M493" s="1085"/>
      <c r="N493" s="1085"/>
      <c r="O493" s="1085"/>
    </row>
    <row r="494" spans="1:15" ht="15" customHeight="1">
      <c r="A494" s="1052" t="s">
        <v>364</v>
      </c>
      <c r="B494" s="869" t="s">
        <v>365</v>
      </c>
      <c r="C494" s="1058" t="e">
        <f>VLOOKUP(B491,'LƯƠNG KT'!$D$15:$U$94,15,0)</f>
        <v>#N/A</v>
      </c>
      <c r="D494" s="1059" t="e">
        <f>C494*$L$5</f>
        <v>#N/A</v>
      </c>
      <c r="E494" s="1061"/>
      <c r="F494" s="1061"/>
      <c r="G494" s="1052" t="s">
        <v>364</v>
      </c>
      <c r="H494" s="869" t="s">
        <v>365</v>
      </c>
      <c r="I494" s="1058" t="e">
        <f>VLOOKUP(H491,'LƯƠNG KT'!$D$15:$U$94,15,0)</f>
        <v>#N/A</v>
      </c>
      <c r="J494" s="1059" t="e">
        <f>I494*$L$5</f>
        <v>#N/A</v>
      </c>
      <c r="K494" s="1085"/>
      <c r="L494" s="1085"/>
      <c r="M494" s="1085"/>
      <c r="N494" s="1085"/>
      <c r="O494" s="1085"/>
    </row>
    <row r="495" spans="1:15" ht="15" customHeight="1">
      <c r="A495" s="1052" t="s">
        <v>367</v>
      </c>
      <c r="B495" s="869"/>
      <c r="C495" s="1058" t="e">
        <f>VLOOKUP(B491,'LƯƠNG KT'!$D$15:$U$94,16,0)</f>
        <v>#N/A</v>
      </c>
      <c r="D495" s="1059" t="e">
        <f>+C495*$L$6</f>
        <v>#N/A</v>
      </c>
      <c r="E495" s="1061"/>
      <c r="F495" s="1061"/>
      <c r="G495" s="1052" t="s">
        <v>367</v>
      </c>
      <c r="H495" s="869"/>
      <c r="I495" s="1058" t="e">
        <f>VLOOKUP(H491,'LƯƠNG KT'!$D$15:$U$94,16,0)</f>
        <v>#N/A</v>
      </c>
      <c r="J495" s="1059" t="e">
        <f>+I495*$L$6</f>
        <v>#N/A</v>
      </c>
      <c r="K495" s="1085"/>
      <c r="L495" s="1085"/>
      <c r="M495" s="1085"/>
      <c r="N495" s="1085"/>
      <c r="O495" s="1085"/>
    </row>
    <row r="496" spans="1:15" ht="15" customHeight="1">
      <c r="A496" s="1052" t="s">
        <v>371</v>
      </c>
      <c r="B496" s="869" t="s">
        <v>372</v>
      </c>
      <c r="C496" s="1058" t="e">
        <f>VLOOKUP(B491,'LƯƠNG KT'!$D$15:$U$94,9,0)*$L$10</f>
        <v>#N/A</v>
      </c>
      <c r="D496" s="1059" t="e">
        <f>+C496*0.5*3000</f>
        <v>#N/A</v>
      </c>
      <c r="E496" s="1061"/>
      <c r="F496" s="1061"/>
      <c r="G496" s="1052" t="s">
        <v>371</v>
      </c>
      <c r="H496" s="869" t="s">
        <v>372</v>
      </c>
      <c r="I496" s="1058" t="e">
        <f>VLOOKUP(H491,'LƯƠNG KT'!$D$15:$U$94,9,0)*$L$10</f>
        <v>#N/A</v>
      </c>
      <c r="J496" s="1059" t="e">
        <f>+I496*0.5*3000</f>
        <v>#N/A</v>
      </c>
      <c r="K496" s="1085"/>
      <c r="L496" s="1085"/>
      <c r="M496" s="1085"/>
      <c r="N496" s="1085"/>
      <c r="O496" s="1085"/>
    </row>
    <row r="497" spans="1:15" ht="15" customHeight="1">
      <c r="A497" s="1052" t="s">
        <v>374</v>
      </c>
      <c r="B497" s="869" t="s">
        <v>375</v>
      </c>
      <c r="C497" s="1058" t="e">
        <f>VLOOKUP(B491,'LƯƠNG KT'!$D$15:$U$94,8,0)*$L$11</f>
        <v>#N/A</v>
      </c>
      <c r="D497" s="1059" t="e">
        <f>VLOOKUP(B491,'LƯƠNG KT'!$D$15:$U$94,13,0)-D496</f>
        <v>#N/A</v>
      </c>
      <c r="E497" s="1063"/>
      <c r="F497" s="1061"/>
      <c r="G497" s="1052" t="s">
        <v>374</v>
      </c>
      <c r="H497" s="869" t="s">
        <v>375</v>
      </c>
      <c r="I497" s="1058" t="e">
        <f>VLOOKUP(H491,'LƯƠNG KT'!$D$15:$U$94,8,0)*$L$11</f>
        <v>#N/A</v>
      </c>
      <c r="J497" s="1059" t="e">
        <f>VLOOKUP(H491,'LƯƠNG KT'!$D$15:$U$94,13,0)-J496</f>
        <v>#N/A</v>
      </c>
      <c r="K497" s="1085"/>
      <c r="L497" s="1085"/>
      <c r="M497" s="1085"/>
      <c r="N497" s="1085"/>
      <c r="O497" s="1085"/>
    </row>
    <row r="498" spans="1:15" ht="15" customHeight="1">
      <c r="A498" s="1059" t="s">
        <v>377</v>
      </c>
      <c r="B498" s="869" t="s">
        <v>378</v>
      </c>
      <c r="C498" s="1058"/>
      <c r="D498" s="1059"/>
      <c r="E498" s="1065"/>
      <c r="F498" s="1065"/>
      <c r="G498" s="1059" t="s">
        <v>377</v>
      </c>
      <c r="H498" s="869" t="s">
        <v>378</v>
      </c>
      <c r="I498" s="1058"/>
      <c r="J498" s="1059"/>
    </row>
    <row r="499" spans="1:15" ht="15" customHeight="1">
      <c r="A499" s="1066" t="s">
        <v>379</v>
      </c>
      <c r="B499" s="869" t="s">
        <v>380</v>
      </c>
      <c r="C499" s="1058"/>
      <c r="D499" s="1059">
        <f>14*25000</f>
        <v>350000</v>
      </c>
      <c r="E499" s="1063"/>
      <c r="F499" s="1065"/>
      <c r="G499" s="1066" t="s">
        <v>379</v>
      </c>
      <c r="H499" s="869" t="s">
        <v>380</v>
      </c>
      <c r="I499" s="1058"/>
      <c r="J499" s="1059">
        <f>14*25000</f>
        <v>350000</v>
      </c>
    </row>
    <row r="500" spans="1:15" ht="15" customHeight="1">
      <c r="A500" s="1052" t="s">
        <v>381</v>
      </c>
      <c r="B500" s="869" t="s">
        <v>382</v>
      </c>
      <c r="C500" s="1058"/>
      <c r="D500" s="1059">
        <f>D499</f>
        <v>350000</v>
      </c>
      <c r="E500" s="1067"/>
      <c r="F500" s="1051"/>
      <c r="G500" s="1052" t="s">
        <v>381</v>
      </c>
      <c r="H500" s="869" t="s">
        <v>382</v>
      </c>
      <c r="I500" s="1058"/>
      <c r="J500" s="1059">
        <f>J499</f>
        <v>350000</v>
      </c>
    </row>
    <row r="501" spans="1:15" ht="15" customHeight="1">
      <c r="A501" s="1068" t="s">
        <v>383</v>
      </c>
      <c r="B501" s="1069" t="s">
        <v>384</v>
      </c>
      <c r="C501" s="1070"/>
      <c r="D501" s="1071" t="e">
        <f>SUM(D492:D497)-D500</f>
        <v>#N/A</v>
      </c>
      <c r="E501" s="1072"/>
      <c r="F501" s="1073"/>
      <c r="G501" s="1068" t="s">
        <v>383</v>
      </c>
      <c r="H501" s="1069" t="s">
        <v>384</v>
      </c>
      <c r="I501" s="1070"/>
      <c r="J501" s="1071" t="e">
        <f>SUM(J492:J497)-J500</f>
        <v>#N/A</v>
      </c>
    </row>
    <row r="502" spans="1:15" ht="18.75" customHeight="1">
      <c r="A502" s="1074"/>
      <c r="B502" s="1075"/>
      <c r="C502" s="1076"/>
      <c r="D502" s="1077"/>
      <c r="E502" s="1077"/>
      <c r="F502" s="1078"/>
      <c r="G502" s="1074"/>
      <c r="H502" s="1075"/>
      <c r="I502" s="1076"/>
      <c r="J502" s="1077"/>
    </row>
    <row r="503" spans="1:15" ht="18.75" customHeight="1">
      <c r="A503" s="1075"/>
      <c r="B503" s="1075"/>
      <c r="C503" s="1079"/>
      <c r="D503" s="1080"/>
      <c r="E503" s="1075"/>
      <c r="F503" s="1081"/>
      <c r="G503" s="1075"/>
      <c r="H503" s="1075"/>
      <c r="I503" s="1079"/>
      <c r="J503" s="1080"/>
    </row>
    <row r="504" spans="1:15" ht="15" customHeight="1">
      <c r="A504" s="2242" t="str">
        <f>$K$2</f>
        <v>THÁNG 09/2024</v>
      </c>
      <c r="B504" s="2242"/>
      <c r="C504" s="2242"/>
      <c r="D504" s="2242"/>
      <c r="E504" s="1050"/>
      <c r="F504" s="1051"/>
      <c r="G504" s="2242" t="str">
        <f>$K$2</f>
        <v>THÁNG 09/2024</v>
      </c>
      <c r="H504" s="2242"/>
      <c r="I504" s="2242"/>
      <c r="J504" s="2242"/>
      <c r="K504" s="624"/>
    </row>
    <row r="505" spans="1:15" ht="15" customHeight="1">
      <c r="A505" s="1052" t="s">
        <v>356</v>
      </c>
      <c r="B505" s="1053" t="s">
        <v>442</v>
      </c>
      <c r="C505" s="869"/>
      <c r="D505" s="1049"/>
      <c r="E505" s="1054"/>
      <c r="F505" s="1055"/>
      <c r="G505" s="1052" t="s">
        <v>356</v>
      </c>
      <c r="H505" s="1053" t="s">
        <v>443</v>
      </c>
      <c r="I505" s="869"/>
      <c r="J505" s="1049"/>
      <c r="L505" s="1088"/>
      <c r="M505" s="1088"/>
      <c r="N505" s="1088"/>
      <c r="O505" s="1088"/>
    </row>
    <row r="506" spans="1:15" ht="15" customHeight="1">
      <c r="A506" s="1052" t="s">
        <v>359</v>
      </c>
      <c r="B506" s="1089" t="s">
        <v>360</v>
      </c>
      <c r="C506" s="1058" t="e">
        <f>VLOOKUP(B505,'LƯƠNG KT'!$D$15:$U$94,3,0)</f>
        <v>#N/A</v>
      </c>
      <c r="D506" s="1059" t="e">
        <f>+C506*25000</f>
        <v>#N/A</v>
      </c>
      <c r="E506" s="1060"/>
      <c r="F506" s="1060"/>
      <c r="G506" s="1052" t="s">
        <v>359</v>
      </c>
      <c r="H506" s="1089" t="s">
        <v>360</v>
      </c>
      <c r="I506" s="1058" t="e">
        <f>VLOOKUP(H505,'LƯƠNG KT'!$D$15:$U$94,3,0)</f>
        <v>#N/A</v>
      </c>
      <c r="J506" s="1059" t="e">
        <f>+I506*25000</f>
        <v>#N/A</v>
      </c>
      <c r="K506" s="1085"/>
      <c r="L506" s="1085"/>
      <c r="M506" s="1085"/>
      <c r="N506" s="1085"/>
      <c r="O506" s="1085"/>
    </row>
    <row r="507" spans="1:15" ht="15" customHeight="1">
      <c r="A507" s="1052" t="s">
        <v>361</v>
      </c>
      <c r="B507" s="869" t="s">
        <v>362</v>
      </c>
      <c r="C507" s="1058" t="e">
        <f>VLOOKUP(B505,'LƯƠNG KT'!$D$15:$U$94,14,0)</f>
        <v>#N/A</v>
      </c>
      <c r="D507" s="1059" t="e">
        <f>C507*$L$4</f>
        <v>#N/A</v>
      </c>
      <c r="E507" s="1061"/>
      <c r="F507" s="1061"/>
      <c r="G507" s="1052" t="s">
        <v>361</v>
      </c>
      <c r="H507" s="869" t="s">
        <v>362</v>
      </c>
      <c r="I507" s="1058" t="e">
        <f>VLOOKUP(H505,'LƯƠNG KT'!$D$15:$U$94,14,0)</f>
        <v>#N/A</v>
      </c>
      <c r="J507" s="1059" t="e">
        <f>I507*$L$4</f>
        <v>#N/A</v>
      </c>
      <c r="K507" s="1085"/>
      <c r="L507" s="1085"/>
      <c r="M507" s="1085"/>
      <c r="N507" s="1085"/>
      <c r="O507" s="1085"/>
    </row>
    <row r="508" spans="1:15" ht="15" customHeight="1">
      <c r="A508" s="1052" t="s">
        <v>364</v>
      </c>
      <c r="B508" s="869" t="s">
        <v>365</v>
      </c>
      <c r="C508" s="1058" t="e">
        <f>VLOOKUP(B505,'LƯƠNG KT'!$D$15:$U$94,15,0)</f>
        <v>#N/A</v>
      </c>
      <c r="D508" s="1059" t="e">
        <f>C508*$L$5</f>
        <v>#N/A</v>
      </c>
      <c r="E508" s="1061"/>
      <c r="F508" s="1061"/>
      <c r="G508" s="1052" t="s">
        <v>364</v>
      </c>
      <c r="H508" s="869" t="s">
        <v>365</v>
      </c>
      <c r="I508" s="1058" t="e">
        <f>VLOOKUP(H505,'LƯƠNG KT'!$D$15:$U$94,15,0)</f>
        <v>#N/A</v>
      </c>
      <c r="J508" s="1059" t="e">
        <f>I508*$L$5</f>
        <v>#N/A</v>
      </c>
      <c r="K508" s="1085"/>
      <c r="L508" s="1085"/>
      <c r="M508" s="1085"/>
      <c r="N508" s="1085"/>
      <c r="O508" s="1085"/>
    </row>
    <row r="509" spans="1:15" ht="15" customHeight="1">
      <c r="A509" s="1052" t="s">
        <v>367</v>
      </c>
      <c r="B509" s="869"/>
      <c r="C509" s="1058" t="e">
        <f>VLOOKUP(B505,'LƯƠNG KT'!$D$15:$U$94,16,0)</f>
        <v>#N/A</v>
      </c>
      <c r="D509" s="1059" t="e">
        <f>+C509*$L$6</f>
        <v>#N/A</v>
      </c>
      <c r="E509" s="1061"/>
      <c r="F509" s="1061"/>
      <c r="G509" s="1052" t="s">
        <v>367</v>
      </c>
      <c r="H509" s="869"/>
      <c r="I509" s="1058" t="e">
        <f>VLOOKUP(H505,'LƯƠNG KT'!$D$15:$U$94,16,0)</f>
        <v>#N/A</v>
      </c>
      <c r="J509" s="1059" t="e">
        <f>+I509*$L$6</f>
        <v>#N/A</v>
      </c>
      <c r="K509" s="1085"/>
      <c r="L509" s="1085"/>
      <c r="M509" s="1085"/>
      <c r="N509" s="1085"/>
      <c r="O509" s="1085"/>
    </row>
    <row r="510" spans="1:15" ht="15" customHeight="1">
      <c r="A510" s="1052" t="s">
        <v>371</v>
      </c>
      <c r="B510" s="869" t="s">
        <v>372</v>
      </c>
      <c r="C510" s="1058" t="e">
        <f>VLOOKUP(B505,'LƯƠNG KT'!$D$15:$U$94,9,0)*$L$10</f>
        <v>#N/A</v>
      </c>
      <c r="D510" s="1059" t="e">
        <f>+C510*0.5*3000</f>
        <v>#N/A</v>
      </c>
      <c r="E510" s="1061"/>
      <c r="F510" s="1061"/>
      <c r="G510" s="1052" t="s">
        <v>371</v>
      </c>
      <c r="H510" s="869" t="s">
        <v>372</v>
      </c>
      <c r="I510" s="1058" t="e">
        <f>VLOOKUP(H505,'LƯƠNG KT'!$D$15:$U$94,9,0)*$L$10</f>
        <v>#N/A</v>
      </c>
      <c r="J510" s="1059" t="e">
        <f>+I510*0.5*3000</f>
        <v>#N/A</v>
      </c>
      <c r="K510" s="1085"/>
      <c r="L510" s="1085"/>
      <c r="M510" s="1085"/>
      <c r="N510" s="1085"/>
      <c r="O510" s="1085"/>
    </row>
    <row r="511" spans="1:15" ht="15" customHeight="1">
      <c r="A511" s="1052" t="s">
        <v>374</v>
      </c>
      <c r="B511" s="869" t="s">
        <v>375</v>
      </c>
      <c r="C511" s="1058" t="e">
        <f>VLOOKUP(B505,'LƯƠNG KT'!$D$15:$U$94,8,0)*$L$11</f>
        <v>#N/A</v>
      </c>
      <c r="D511" s="1059" t="e">
        <f>VLOOKUP(B505,'LƯƠNG KT'!$D$15:$U$94,13,0)-D510</f>
        <v>#N/A</v>
      </c>
      <c r="E511" s="1063"/>
      <c r="F511" s="1061"/>
      <c r="G511" s="1052" t="s">
        <v>374</v>
      </c>
      <c r="H511" s="869" t="s">
        <v>375</v>
      </c>
      <c r="I511" s="1058" t="e">
        <f>VLOOKUP(H505,'LƯƠNG KT'!$D$15:$U$94,8,0)*$L$11</f>
        <v>#N/A</v>
      </c>
      <c r="J511" s="1059" t="e">
        <f>VLOOKUP(H505,'LƯƠNG KT'!$D$15:$U$94,13,0)-J510</f>
        <v>#N/A</v>
      </c>
      <c r="K511" s="1085"/>
      <c r="L511" s="1085"/>
      <c r="M511" s="1085"/>
      <c r="N511" s="1085"/>
      <c r="O511" s="1085"/>
    </row>
    <row r="512" spans="1:15" ht="15" customHeight="1">
      <c r="A512" s="1059" t="s">
        <v>377</v>
      </c>
      <c r="B512" s="869" t="s">
        <v>378</v>
      </c>
      <c r="C512" s="1058"/>
      <c r="D512" s="1059"/>
      <c r="E512" s="1065"/>
      <c r="F512" s="1065"/>
      <c r="G512" s="1059" t="s">
        <v>377</v>
      </c>
      <c r="H512" s="869" t="s">
        <v>378</v>
      </c>
      <c r="I512" s="1058"/>
      <c r="J512" s="1059"/>
    </row>
    <row r="513" spans="1:15" ht="15" customHeight="1">
      <c r="A513" s="1066" t="s">
        <v>379</v>
      </c>
      <c r="B513" s="869" t="s">
        <v>380</v>
      </c>
      <c r="C513" s="1058"/>
      <c r="D513" s="1059">
        <f>14*25000</f>
        <v>350000</v>
      </c>
      <c r="E513" s="1063"/>
      <c r="F513" s="1065"/>
      <c r="G513" s="1066" t="s">
        <v>379</v>
      </c>
      <c r="H513" s="869" t="s">
        <v>380</v>
      </c>
      <c r="I513" s="1058"/>
      <c r="J513" s="1059">
        <f>14*25000</f>
        <v>350000</v>
      </c>
    </row>
    <row r="514" spans="1:15" ht="15" customHeight="1">
      <c r="A514" s="1052" t="s">
        <v>381</v>
      </c>
      <c r="B514" s="869" t="s">
        <v>382</v>
      </c>
      <c r="C514" s="1058"/>
      <c r="D514" s="1059">
        <f>D513</f>
        <v>350000</v>
      </c>
      <c r="E514" s="1067"/>
      <c r="F514" s="1051"/>
      <c r="G514" s="1052" t="s">
        <v>381</v>
      </c>
      <c r="H514" s="869" t="s">
        <v>382</v>
      </c>
      <c r="I514" s="1058"/>
      <c r="J514" s="1059">
        <f>J513</f>
        <v>350000</v>
      </c>
    </row>
    <row r="515" spans="1:15" ht="15" customHeight="1">
      <c r="A515" s="1068" t="s">
        <v>383</v>
      </c>
      <c r="B515" s="1069" t="s">
        <v>384</v>
      </c>
      <c r="C515" s="1070"/>
      <c r="D515" s="1071" t="e">
        <f>SUM(D506:D511)-D514</f>
        <v>#N/A</v>
      </c>
      <c r="E515" s="1072"/>
      <c r="F515" s="1073"/>
      <c r="G515" s="1068" t="s">
        <v>383</v>
      </c>
      <c r="H515" s="1069" t="s">
        <v>384</v>
      </c>
      <c r="I515" s="1070"/>
      <c r="J515" s="1071" t="e">
        <f>SUM(J506:J511)-J514</f>
        <v>#N/A</v>
      </c>
    </row>
    <row r="516" spans="1:15" ht="18.75" customHeight="1">
      <c r="A516" s="1074"/>
      <c r="B516" s="1075"/>
      <c r="C516" s="1076"/>
      <c r="D516" s="1077"/>
      <c r="E516" s="1077"/>
      <c r="F516" s="1078"/>
      <c r="G516" s="1074"/>
      <c r="H516" s="1075"/>
      <c r="I516" s="1076"/>
      <c r="J516" s="1077"/>
    </row>
    <row r="517" spans="1:15" ht="18.75" customHeight="1">
      <c r="A517" s="1075"/>
      <c r="B517" s="1075"/>
      <c r="C517" s="1079"/>
      <c r="D517" s="1080"/>
      <c r="E517" s="1075"/>
      <c r="F517" s="1081"/>
      <c r="G517" s="1075"/>
      <c r="H517" s="1075"/>
      <c r="I517" s="1079"/>
      <c r="J517" s="1080"/>
    </row>
    <row r="518" spans="1:15" ht="15" customHeight="1">
      <c r="A518" s="2242" t="str">
        <f>$K$2</f>
        <v>THÁNG 09/2024</v>
      </c>
      <c r="B518" s="2242"/>
      <c r="C518" s="2242"/>
      <c r="D518" s="2242"/>
      <c r="E518" s="1050"/>
      <c r="F518" s="1051"/>
      <c r="G518" s="2242" t="str">
        <f>$K$2</f>
        <v>THÁNG 09/2024</v>
      </c>
      <c r="H518" s="2242"/>
      <c r="I518" s="2242"/>
      <c r="J518" s="2242"/>
      <c r="K518" s="624"/>
    </row>
    <row r="519" spans="1:15" ht="15" customHeight="1">
      <c r="A519" s="1052" t="s">
        <v>356</v>
      </c>
      <c r="B519" s="1053" t="s">
        <v>444</v>
      </c>
      <c r="C519" s="869"/>
      <c r="D519" s="1049"/>
      <c r="E519" s="1054"/>
      <c r="F519" s="1055"/>
      <c r="G519" s="1052" t="s">
        <v>356</v>
      </c>
      <c r="H519" s="1053" t="s">
        <v>445</v>
      </c>
      <c r="I519" s="869"/>
      <c r="J519" s="1049"/>
      <c r="L519" s="1088"/>
      <c r="M519" s="1088"/>
      <c r="N519" s="1088"/>
      <c r="O519" s="1088"/>
    </row>
    <row r="520" spans="1:15" ht="15" customHeight="1">
      <c r="A520" s="1052" t="s">
        <v>359</v>
      </c>
      <c r="B520" s="1089" t="s">
        <v>360</v>
      </c>
      <c r="C520" s="1058" t="e">
        <f>VLOOKUP(B519,'LƯƠNG KT'!$D$15:$U$94,3,0)</f>
        <v>#N/A</v>
      </c>
      <c r="D520" s="1059" t="e">
        <f>+C520*25000</f>
        <v>#N/A</v>
      </c>
      <c r="E520" s="1060"/>
      <c r="F520" s="1060"/>
      <c r="G520" s="1052" t="s">
        <v>359</v>
      </c>
      <c r="H520" s="1089" t="s">
        <v>360</v>
      </c>
      <c r="I520" s="1058" t="e">
        <f>VLOOKUP(H519,'LƯƠNG KT'!$D$15:$U$94,3,0)</f>
        <v>#N/A</v>
      </c>
      <c r="J520" s="1059" t="e">
        <f>+I520*25000</f>
        <v>#N/A</v>
      </c>
      <c r="K520" s="1085"/>
      <c r="L520" s="1085"/>
      <c r="M520" s="1085"/>
      <c r="N520" s="1085"/>
      <c r="O520" s="1085"/>
    </row>
    <row r="521" spans="1:15" ht="15" customHeight="1">
      <c r="A521" s="1052" t="s">
        <v>361</v>
      </c>
      <c r="B521" s="869" t="s">
        <v>362</v>
      </c>
      <c r="C521" s="1058" t="e">
        <f>VLOOKUP(B519,'LƯƠNG KT'!$D$15:$U$94,14,0)</f>
        <v>#N/A</v>
      </c>
      <c r="D521" s="1059" t="e">
        <f>C521*$L$4</f>
        <v>#N/A</v>
      </c>
      <c r="E521" s="1061"/>
      <c r="F521" s="1061"/>
      <c r="G521" s="1052" t="s">
        <v>361</v>
      </c>
      <c r="H521" s="869" t="s">
        <v>362</v>
      </c>
      <c r="I521" s="1058" t="e">
        <f>VLOOKUP(H519,'LƯƠNG KT'!$D$15:$U$94,14,0)</f>
        <v>#N/A</v>
      </c>
      <c r="J521" s="1059" t="e">
        <f>I521*$L$4</f>
        <v>#N/A</v>
      </c>
      <c r="K521" s="1085"/>
      <c r="L521" s="1085"/>
      <c r="M521" s="1085"/>
      <c r="N521" s="1085"/>
      <c r="O521" s="1085"/>
    </row>
    <row r="522" spans="1:15" ht="15" customHeight="1">
      <c r="A522" s="1052" t="s">
        <v>364</v>
      </c>
      <c r="B522" s="869" t="s">
        <v>365</v>
      </c>
      <c r="C522" s="1058" t="e">
        <f>VLOOKUP(B519,'LƯƠNG KT'!$D$15:$U$94,15,0)</f>
        <v>#N/A</v>
      </c>
      <c r="D522" s="1059" t="e">
        <f>C522*$L$5</f>
        <v>#N/A</v>
      </c>
      <c r="E522" s="1061"/>
      <c r="F522" s="1061"/>
      <c r="G522" s="1052" t="s">
        <v>364</v>
      </c>
      <c r="H522" s="869" t="s">
        <v>365</v>
      </c>
      <c r="I522" s="1058" t="e">
        <f>VLOOKUP(H519,'LƯƠNG KT'!$D$15:$U$94,15,0)</f>
        <v>#N/A</v>
      </c>
      <c r="J522" s="1059" t="e">
        <f>I522*$L$5</f>
        <v>#N/A</v>
      </c>
      <c r="K522" s="1085"/>
      <c r="L522" s="1085"/>
      <c r="M522" s="1085"/>
      <c r="N522" s="1085"/>
      <c r="O522" s="1085"/>
    </row>
    <row r="523" spans="1:15" ht="15" customHeight="1">
      <c r="A523" s="1052" t="s">
        <v>367</v>
      </c>
      <c r="B523" s="869"/>
      <c r="C523" s="1058" t="e">
        <f>VLOOKUP(B519,'LƯƠNG KT'!$D$15:$U$94,16,0)</f>
        <v>#N/A</v>
      </c>
      <c r="D523" s="1059" t="e">
        <f>+C523*$L$6</f>
        <v>#N/A</v>
      </c>
      <c r="E523" s="1061"/>
      <c r="F523" s="1061"/>
      <c r="G523" s="1052" t="s">
        <v>367</v>
      </c>
      <c r="H523" s="869"/>
      <c r="I523" s="1058" t="e">
        <f>VLOOKUP(H519,'LƯƠNG KT'!$D$15:$U$94,16,0)</f>
        <v>#N/A</v>
      </c>
      <c r="J523" s="1059" t="e">
        <f>+I523*$L$6</f>
        <v>#N/A</v>
      </c>
      <c r="K523" s="1085"/>
      <c r="L523" s="1085"/>
      <c r="M523" s="1085"/>
      <c r="N523" s="1085"/>
      <c r="O523" s="1085"/>
    </row>
    <row r="524" spans="1:15" ht="15" customHeight="1">
      <c r="A524" s="1052" t="s">
        <v>371</v>
      </c>
      <c r="B524" s="869" t="s">
        <v>372</v>
      </c>
      <c r="C524" s="1058" t="e">
        <f>VLOOKUP(B519,'LƯƠNG KT'!$D$15:$U$94,9,0)*$L$10</f>
        <v>#N/A</v>
      </c>
      <c r="D524" s="1059" t="e">
        <f>+C524*0.5*3000</f>
        <v>#N/A</v>
      </c>
      <c r="E524" s="1061"/>
      <c r="F524" s="1061"/>
      <c r="G524" s="1052" t="s">
        <v>371</v>
      </c>
      <c r="H524" s="869" t="s">
        <v>372</v>
      </c>
      <c r="I524" s="1058" t="e">
        <f>VLOOKUP(H519,'LƯƠNG KT'!$D$15:$U$94,9,0)*$L$10</f>
        <v>#N/A</v>
      </c>
      <c r="J524" s="1059" t="e">
        <f>+I524*0.5*3000</f>
        <v>#N/A</v>
      </c>
      <c r="K524" s="1085"/>
      <c r="L524" s="1085"/>
      <c r="M524" s="1085"/>
      <c r="N524" s="1085"/>
      <c r="O524" s="1085"/>
    </row>
    <row r="525" spans="1:15" ht="15" customHeight="1">
      <c r="A525" s="1052" t="s">
        <v>374</v>
      </c>
      <c r="B525" s="869" t="s">
        <v>375</v>
      </c>
      <c r="C525" s="1058" t="e">
        <f>VLOOKUP(B519,'LƯƠNG KT'!$D$15:$U$94,8,0)*$L$11</f>
        <v>#N/A</v>
      </c>
      <c r="D525" s="1059" t="e">
        <f>VLOOKUP(B519,'LƯƠNG KT'!$D$15:$U$94,13,0)-D524</f>
        <v>#N/A</v>
      </c>
      <c r="E525" s="1063"/>
      <c r="F525" s="1061"/>
      <c r="G525" s="1052" t="s">
        <v>374</v>
      </c>
      <c r="H525" s="869" t="s">
        <v>375</v>
      </c>
      <c r="I525" s="1058" t="e">
        <f>VLOOKUP(H519,'LƯƠNG KT'!$D$15:$U$94,8,0)*$L$11</f>
        <v>#N/A</v>
      </c>
      <c r="J525" s="1059" t="e">
        <f>VLOOKUP(H519,'LƯƠNG KT'!$D$15:$U$94,13,0)-J524</f>
        <v>#N/A</v>
      </c>
      <c r="K525" s="1085"/>
      <c r="L525" s="1085"/>
      <c r="M525" s="1085"/>
      <c r="N525" s="1085"/>
      <c r="O525" s="1085"/>
    </row>
    <row r="526" spans="1:15" ht="15" customHeight="1">
      <c r="A526" s="1059" t="s">
        <v>377</v>
      </c>
      <c r="B526" s="869" t="s">
        <v>378</v>
      </c>
      <c r="C526" s="1058"/>
      <c r="D526" s="1059"/>
      <c r="E526" s="1065"/>
      <c r="F526" s="1065"/>
      <c r="G526" s="1059" t="s">
        <v>377</v>
      </c>
      <c r="H526" s="869" t="s">
        <v>378</v>
      </c>
      <c r="I526" s="1058"/>
      <c r="J526" s="1059"/>
    </row>
    <row r="527" spans="1:15" ht="15" customHeight="1">
      <c r="A527" s="1066" t="s">
        <v>379</v>
      </c>
      <c r="B527" s="869" t="s">
        <v>380</v>
      </c>
      <c r="C527" s="1058"/>
      <c r="D527" s="1059">
        <f>14*25000</f>
        <v>350000</v>
      </c>
      <c r="E527" s="1063"/>
      <c r="F527" s="1065"/>
      <c r="G527" s="1066" t="s">
        <v>379</v>
      </c>
      <c r="H527" s="869" t="s">
        <v>380</v>
      </c>
      <c r="I527" s="1058"/>
      <c r="J527" s="1059">
        <f>14*25000</f>
        <v>350000</v>
      </c>
    </row>
    <row r="528" spans="1:15" ht="15" customHeight="1">
      <c r="A528" s="1052" t="s">
        <v>381</v>
      </c>
      <c r="B528" s="869" t="s">
        <v>382</v>
      </c>
      <c r="C528" s="1058"/>
      <c r="D528" s="1059">
        <f>D527</f>
        <v>350000</v>
      </c>
      <c r="E528" s="1067"/>
      <c r="F528" s="1051"/>
      <c r="G528" s="1052" t="s">
        <v>381</v>
      </c>
      <c r="H528" s="869" t="s">
        <v>382</v>
      </c>
      <c r="I528" s="1058"/>
      <c r="J528" s="1059">
        <f>J527</f>
        <v>350000</v>
      </c>
    </row>
    <row r="529" spans="1:15" ht="15" customHeight="1">
      <c r="A529" s="1068" t="s">
        <v>383</v>
      </c>
      <c r="B529" s="1069" t="s">
        <v>384</v>
      </c>
      <c r="C529" s="1070"/>
      <c r="D529" s="1071" t="e">
        <f>SUM(D520:D525)-D528</f>
        <v>#N/A</v>
      </c>
      <c r="E529" s="1072"/>
      <c r="F529" s="1073"/>
      <c r="G529" s="1068" t="s">
        <v>383</v>
      </c>
      <c r="H529" s="1069" t="s">
        <v>384</v>
      </c>
      <c r="I529" s="1070"/>
      <c r="J529" s="1071" t="e">
        <f>SUM(J520:J525)-J528</f>
        <v>#N/A</v>
      </c>
    </row>
    <row r="530" spans="1:15" ht="15.75" customHeight="1">
      <c r="A530" s="1074"/>
      <c r="B530" s="1075"/>
      <c r="C530" s="1076"/>
      <c r="D530" s="1077"/>
      <c r="E530" s="1077"/>
      <c r="F530" s="1078"/>
      <c r="G530" s="1074"/>
      <c r="H530" s="1075"/>
      <c r="I530" s="1076"/>
      <c r="J530" s="1077"/>
    </row>
    <row r="532" spans="1:15" ht="12" customHeight="1">
      <c r="A532" s="2243"/>
      <c r="B532" s="2243"/>
      <c r="C532" s="2243"/>
      <c r="D532" s="2243"/>
      <c r="E532" s="2243"/>
      <c r="F532" s="2243"/>
      <c r="G532" s="2243"/>
      <c r="H532" s="2243"/>
      <c r="I532" s="2243"/>
      <c r="J532" s="2243"/>
    </row>
    <row r="533" spans="1:15" ht="15" customHeight="1">
      <c r="A533" s="2242" t="str">
        <f>$K$2</f>
        <v>THÁNG 09/2024</v>
      </c>
      <c r="B533" s="2242"/>
      <c r="C533" s="2242"/>
      <c r="D533" s="2242"/>
      <c r="E533" s="1050"/>
      <c r="F533" s="1051"/>
      <c r="G533" s="2242" t="str">
        <f>$K$2</f>
        <v>THÁNG 09/2024</v>
      </c>
      <c r="H533" s="2242"/>
      <c r="I533" s="2242"/>
      <c r="J533" s="2242"/>
      <c r="K533" s="624"/>
    </row>
    <row r="534" spans="1:15" ht="15" customHeight="1">
      <c r="A534" s="1052" t="s">
        <v>356</v>
      </c>
      <c r="B534" s="1053" t="s">
        <v>446</v>
      </c>
      <c r="C534" s="869"/>
      <c r="D534" s="1049"/>
      <c r="E534" s="1054"/>
      <c r="F534" s="1055"/>
      <c r="G534" s="1052" t="s">
        <v>356</v>
      </c>
      <c r="H534" s="1053" t="s">
        <v>348</v>
      </c>
      <c r="I534" s="869"/>
      <c r="J534" s="1049"/>
      <c r="L534" s="1088"/>
      <c r="M534" s="1088"/>
      <c r="N534" s="1088"/>
      <c r="O534" s="1088"/>
    </row>
    <row r="535" spans="1:15" ht="15" customHeight="1">
      <c r="A535" s="1052" t="s">
        <v>359</v>
      </c>
      <c r="B535" s="1089" t="s">
        <v>360</v>
      </c>
      <c r="C535" s="1058" t="e">
        <f>VLOOKUP(B534,'LƯƠNG KT'!$D$15:$U$94,3,0)</f>
        <v>#N/A</v>
      </c>
      <c r="D535" s="1059" t="e">
        <f>+C535*25000</f>
        <v>#N/A</v>
      </c>
      <c r="E535" s="1060"/>
      <c r="F535" s="1060"/>
      <c r="G535" s="1052" t="s">
        <v>359</v>
      </c>
      <c r="H535" s="1089" t="s">
        <v>360</v>
      </c>
      <c r="I535" s="1058" t="e">
        <f>VLOOKUP(H534,'LƯƠNG KT'!$D$15:$U$94,3,0)</f>
        <v>#N/A</v>
      </c>
      <c r="J535" s="1059" t="e">
        <f>+I535*25000</f>
        <v>#N/A</v>
      </c>
      <c r="K535" s="1084"/>
      <c r="L535" s="1085"/>
      <c r="M535" s="1085"/>
      <c r="N535" s="1085"/>
      <c r="O535" s="1085"/>
    </row>
    <row r="536" spans="1:15" ht="15" customHeight="1">
      <c r="A536" s="1052" t="s">
        <v>361</v>
      </c>
      <c r="B536" s="869" t="s">
        <v>362</v>
      </c>
      <c r="C536" s="1058" t="e">
        <f>VLOOKUP(B534,'LƯƠNG KT'!$D$15:$U$94,14,0)</f>
        <v>#N/A</v>
      </c>
      <c r="D536" s="1059" t="e">
        <f>C536*$L$4</f>
        <v>#N/A</v>
      </c>
      <c r="E536" s="1061"/>
      <c r="F536" s="1061"/>
      <c r="G536" s="1052" t="s">
        <v>361</v>
      </c>
      <c r="H536" s="869" t="s">
        <v>362</v>
      </c>
      <c r="I536" s="1058" t="e">
        <f>VLOOKUP(H534,'LƯƠNG KT'!$D$15:$U$94,14,0)</f>
        <v>#N/A</v>
      </c>
      <c r="J536" s="1059" t="e">
        <f>I536*$L$4</f>
        <v>#N/A</v>
      </c>
      <c r="K536" s="1084"/>
      <c r="L536" s="1085"/>
      <c r="M536" s="1085"/>
      <c r="N536" s="1085"/>
      <c r="O536" s="1085"/>
    </row>
    <row r="537" spans="1:15" ht="15" customHeight="1">
      <c r="A537" s="1052" t="s">
        <v>364</v>
      </c>
      <c r="B537" s="869" t="s">
        <v>365</v>
      </c>
      <c r="C537" s="1058" t="e">
        <f>VLOOKUP(B534,'LƯƠNG KT'!$D$15:$U$94,15,0)</f>
        <v>#N/A</v>
      </c>
      <c r="D537" s="1059" t="e">
        <f>C537*$L$5</f>
        <v>#N/A</v>
      </c>
      <c r="E537" s="1061"/>
      <c r="F537" s="1061"/>
      <c r="G537" s="1052" t="s">
        <v>364</v>
      </c>
      <c r="H537" s="869" t="s">
        <v>365</v>
      </c>
      <c r="I537" s="1058" t="e">
        <f>VLOOKUP(H534,'LƯƠNG KT'!$D$15:$U$94,15,0)</f>
        <v>#N/A</v>
      </c>
      <c r="J537" s="1059" t="e">
        <f>I537*$L$5</f>
        <v>#N/A</v>
      </c>
      <c r="K537" s="1084"/>
      <c r="L537" s="1085"/>
      <c r="M537" s="1085"/>
      <c r="N537" s="1085"/>
      <c r="O537" s="1085"/>
    </row>
    <row r="538" spans="1:15" ht="15" customHeight="1">
      <c r="A538" s="1052" t="s">
        <v>367</v>
      </c>
      <c r="B538" s="869"/>
      <c r="C538" s="1058" t="e">
        <f>VLOOKUP(B534,'LƯƠNG KT'!$D$15:$U$94,16,0)</f>
        <v>#N/A</v>
      </c>
      <c r="D538" s="1059" t="e">
        <f>+C538*$L$6</f>
        <v>#N/A</v>
      </c>
      <c r="E538" s="1061"/>
      <c r="F538" s="1061"/>
      <c r="G538" s="1052" t="s">
        <v>367</v>
      </c>
      <c r="H538" s="869"/>
      <c r="I538" s="1058" t="e">
        <f>VLOOKUP(H534,'LƯƠNG KT'!$D$15:$U$94,16,0)</f>
        <v>#N/A</v>
      </c>
      <c r="J538" s="1059" t="e">
        <f>+I538*$L$6</f>
        <v>#N/A</v>
      </c>
      <c r="K538" s="1085"/>
      <c r="L538" s="1085"/>
      <c r="M538" s="1085"/>
      <c r="N538" s="1085"/>
      <c r="O538" s="1085"/>
    </row>
    <row r="539" spans="1:15" ht="15" customHeight="1">
      <c r="A539" s="1052" t="s">
        <v>371</v>
      </c>
      <c r="B539" s="869" t="s">
        <v>372</v>
      </c>
      <c r="C539" s="1058" t="e">
        <f>VLOOKUP(B534,'LƯƠNG KT'!$D$15:$U$94,9,0)*$L$10</f>
        <v>#N/A</v>
      </c>
      <c r="D539" s="1059" t="e">
        <f>+C539*0.5*3000</f>
        <v>#N/A</v>
      </c>
      <c r="E539" s="1061"/>
      <c r="F539" s="1061"/>
      <c r="G539" s="1052" t="s">
        <v>371</v>
      </c>
      <c r="H539" s="869" t="s">
        <v>372</v>
      </c>
      <c r="I539" s="1058" t="e">
        <f>VLOOKUP(H534,'LƯƠNG KT'!$D$15:$U$94,9,0)*$L$10</f>
        <v>#N/A</v>
      </c>
      <c r="J539" s="1059" t="e">
        <f>+I539*0.5*3000</f>
        <v>#N/A</v>
      </c>
      <c r="K539" s="1085"/>
      <c r="L539" s="1085"/>
      <c r="M539" s="1085"/>
      <c r="N539" s="1085"/>
      <c r="O539" s="1085"/>
    </row>
    <row r="540" spans="1:15" ht="15" customHeight="1">
      <c r="A540" s="1052" t="s">
        <v>374</v>
      </c>
      <c r="B540" s="869" t="s">
        <v>375</v>
      </c>
      <c r="C540" s="1058" t="e">
        <f>VLOOKUP(B534,'LƯƠNG KT'!$D$15:$U$94,8,0)*$L$11</f>
        <v>#N/A</v>
      </c>
      <c r="D540" s="1059" t="e">
        <f>VLOOKUP(B534,'LƯƠNG KT'!$D$15:$U$94,13,0)-D539</f>
        <v>#N/A</v>
      </c>
      <c r="E540" s="1063"/>
      <c r="F540" s="1061"/>
      <c r="G540" s="1052" t="s">
        <v>374</v>
      </c>
      <c r="H540" s="869" t="s">
        <v>375</v>
      </c>
      <c r="I540" s="1058" t="e">
        <f>VLOOKUP(H534,'LƯƠNG KT'!$D$15:$U$94,8,0)*$L$11</f>
        <v>#N/A</v>
      </c>
      <c r="J540" s="1059" t="e">
        <f>VLOOKUP(H534,'LƯƠNG KT'!$D$15:$U$94,13,0)-J539</f>
        <v>#N/A</v>
      </c>
      <c r="K540" s="1085"/>
      <c r="L540" s="1085"/>
      <c r="M540" s="1085"/>
      <c r="N540" s="1085"/>
      <c r="O540" s="1085"/>
    </row>
    <row r="541" spans="1:15" ht="15" customHeight="1">
      <c r="A541" s="1059" t="s">
        <v>377</v>
      </c>
      <c r="B541" s="869" t="s">
        <v>378</v>
      </c>
      <c r="C541" s="1058"/>
      <c r="D541" s="1059"/>
      <c r="E541" s="1065"/>
      <c r="F541" s="1065"/>
      <c r="G541" s="1059" t="s">
        <v>377</v>
      </c>
      <c r="H541" s="869" t="s">
        <v>378</v>
      </c>
      <c r="I541" s="1058"/>
      <c r="J541" s="1059"/>
    </row>
    <row r="542" spans="1:15" ht="15" customHeight="1">
      <c r="A542" s="1066" t="s">
        <v>379</v>
      </c>
      <c r="B542" s="869" t="s">
        <v>380</v>
      </c>
      <c r="C542" s="1058"/>
      <c r="D542" s="1059">
        <f>14*25000</f>
        <v>350000</v>
      </c>
      <c r="E542" s="1063"/>
      <c r="F542" s="1065"/>
      <c r="G542" s="1066" t="s">
        <v>379</v>
      </c>
      <c r="H542" s="869" t="s">
        <v>380</v>
      </c>
      <c r="I542" s="1058"/>
      <c r="J542" s="1059">
        <f>14*25000</f>
        <v>350000</v>
      </c>
    </row>
    <row r="543" spans="1:15" ht="15" customHeight="1">
      <c r="A543" s="1052" t="s">
        <v>381</v>
      </c>
      <c r="B543" s="869" t="s">
        <v>382</v>
      </c>
      <c r="C543" s="1058"/>
      <c r="D543" s="1059">
        <f>D542</f>
        <v>350000</v>
      </c>
      <c r="E543" s="1067"/>
      <c r="F543" s="1051"/>
      <c r="G543" s="1052" t="s">
        <v>381</v>
      </c>
      <c r="H543" s="869" t="s">
        <v>382</v>
      </c>
      <c r="I543" s="1058"/>
      <c r="J543" s="1059">
        <f>J542</f>
        <v>350000</v>
      </c>
    </row>
    <row r="544" spans="1:15" ht="15" customHeight="1">
      <c r="A544" s="1068" t="s">
        <v>383</v>
      </c>
      <c r="B544" s="1069" t="s">
        <v>384</v>
      </c>
      <c r="C544" s="1070"/>
      <c r="D544" s="1071" t="e">
        <f>SUM(D535:D540)-D543</f>
        <v>#N/A</v>
      </c>
      <c r="E544" s="1072"/>
      <c r="F544" s="1073"/>
      <c r="G544" s="1068" t="s">
        <v>383</v>
      </c>
      <c r="H544" s="1069" t="s">
        <v>384</v>
      </c>
      <c r="I544" s="1070"/>
      <c r="J544" s="1071" t="e">
        <f>SUM(J535:J540)-J543</f>
        <v>#N/A</v>
      </c>
    </row>
    <row r="545" spans="1:15" ht="12.6" customHeight="1">
      <c r="A545" s="1074"/>
      <c r="B545" s="1075"/>
      <c r="C545" s="1076"/>
      <c r="D545" s="1077"/>
      <c r="E545" s="1077"/>
      <c r="F545" s="1078"/>
      <c r="G545" s="1074"/>
      <c r="H545" s="1075"/>
      <c r="I545" s="1076"/>
      <c r="J545" s="1077"/>
    </row>
    <row r="546" spans="1:15" ht="12.6" customHeight="1">
      <c r="A546" s="1075"/>
      <c r="B546" s="1075"/>
      <c r="C546" s="1079"/>
      <c r="D546" s="1080"/>
      <c r="E546" s="1075"/>
      <c r="F546" s="1081"/>
      <c r="G546" s="1075"/>
      <c r="H546" s="1075"/>
      <c r="I546" s="1079"/>
      <c r="J546" s="1080"/>
    </row>
    <row r="547" spans="1:15" ht="15" customHeight="1">
      <c r="A547" s="2242" t="str">
        <f>$K$2</f>
        <v>THÁNG 09/2024</v>
      </c>
      <c r="B547" s="2242"/>
      <c r="C547" s="2242"/>
      <c r="D547" s="2242"/>
      <c r="E547" s="1050"/>
      <c r="F547" s="1051"/>
      <c r="G547" s="2242" t="str">
        <f>$K$2</f>
        <v>THÁNG 09/2024</v>
      </c>
      <c r="H547" s="2242"/>
      <c r="I547" s="2242"/>
      <c r="J547" s="2242"/>
      <c r="K547" s="624"/>
    </row>
    <row r="548" spans="1:15" ht="15" customHeight="1">
      <c r="A548" s="1052" t="s">
        <v>356</v>
      </c>
      <c r="B548" s="1053" t="s">
        <v>447</v>
      </c>
      <c r="C548" s="869"/>
      <c r="D548" s="1049"/>
      <c r="E548" s="1054"/>
      <c r="F548" s="1055"/>
      <c r="G548" s="1052" t="s">
        <v>356</v>
      </c>
      <c r="H548" s="1053" t="s">
        <v>448</v>
      </c>
      <c r="I548" s="869"/>
      <c r="J548" s="1049"/>
      <c r="L548" s="1088"/>
      <c r="M548" s="1088"/>
      <c r="N548" s="1088"/>
      <c r="O548" s="1088"/>
    </row>
    <row r="549" spans="1:15" ht="15" customHeight="1">
      <c r="A549" s="1052" t="s">
        <v>359</v>
      </c>
      <c r="B549" s="1089" t="s">
        <v>360</v>
      </c>
      <c r="C549" s="1058" t="e">
        <f>VLOOKUP(B548,'LƯƠNG KT'!$D$15:$U$94,3,0)</f>
        <v>#N/A</v>
      </c>
      <c r="D549" s="1059" t="e">
        <f>+C549*25000</f>
        <v>#N/A</v>
      </c>
      <c r="E549" s="1060"/>
      <c r="F549" s="1060"/>
      <c r="G549" s="1052" t="s">
        <v>359</v>
      </c>
      <c r="H549" s="1089" t="s">
        <v>360</v>
      </c>
      <c r="I549" s="1058" t="e">
        <f>VLOOKUP(H548,'LƯƠNG KT'!$D$15:$U$94,3,0)</f>
        <v>#N/A</v>
      </c>
      <c r="J549" s="1059" t="e">
        <f>+I549*25000</f>
        <v>#N/A</v>
      </c>
      <c r="K549" s="1085"/>
      <c r="L549" s="1085"/>
      <c r="M549" s="1085"/>
      <c r="N549" s="1085"/>
      <c r="O549" s="1085"/>
    </row>
    <row r="550" spans="1:15" ht="15" customHeight="1">
      <c r="A550" s="1052" t="s">
        <v>361</v>
      </c>
      <c r="B550" s="869" t="s">
        <v>362</v>
      </c>
      <c r="C550" s="1058" t="e">
        <f>VLOOKUP(B548,'LƯƠNG KT'!$D$15:$U$94,14,0)</f>
        <v>#N/A</v>
      </c>
      <c r="D550" s="1059" t="e">
        <f>C550*$L$4</f>
        <v>#N/A</v>
      </c>
      <c r="E550" s="1061"/>
      <c r="F550" s="1061"/>
      <c r="G550" s="1052" t="s">
        <v>361</v>
      </c>
      <c r="H550" s="869" t="s">
        <v>362</v>
      </c>
      <c r="I550" s="1058" t="e">
        <f>VLOOKUP(H548,'LƯƠNG KT'!$D$15:$U$94,14,0)</f>
        <v>#N/A</v>
      </c>
      <c r="J550" s="1059" t="e">
        <f>I550*$L$4</f>
        <v>#N/A</v>
      </c>
      <c r="K550" s="1085"/>
      <c r="L550" s="1085"/>
      <c r="M550" s="1085"/>
      <c r="N550" s="1085"/>
      <c r="O550" s="1085"/>
    </row>
    <row r="551" spans="1:15" ht="15" customHeight="1">
      <c r="A551" s="1052" t="s">
        <v>364</v>
      </c>
      <c r="B551" s="869" t="s">
        <v>365</v>
      </c>
      <c r="C551" s="1058" t="e">
        <f>VLOOKUP(B548,'LƯƠNG KT'!$D$15:$U$94,15,0)</f>
        <v>#N/A</v>
      </c>
      <c r="D551" s="1059" t="e">
        <f>C551*$L$5</f>
        <v>#N/A</v>
      </c>
      <c r="E551" s="1061"/>
      <c r="F551" s="1061"/>
      <c r="G551" s="1052" t="s">
        <v>364</v>
      </c>
      <c r="H551" s="869" t="s">
        <v>365</v>
      </c>
      <c r="I551" s="1058" t="e">
        <f>VLOOKUP(H548,'LƯƠNG KT'!$D$15:$U$94,15,0)</f>
        <v>#N/A</v>
      </c>
      <c r="J551" s="1059" t="e">
        <f>I551*$L$5</f>
        <v>#N/A</v>
      </c>
      <c r="K551" s="1085"/>
      <c r="L551" s="1085"/>
      <c r="M551" s="1085"/>
      <c r="N551" s="1085"/>
      <c r="O551" s="1085"/>
    </row>
    <row r="552" spans="1:15" ht="15" customHeight="1">
      <c r="A552" s="1052" t="s">
        <v>367</v>
      </c>
      <c r="B552" s="869"/>
      <c r="C552" s="1058" t="e">
        <f>VLOOKUP(B548,'LƯƠNG KT'!$D$15:$U$94,16,0)</f>
        <v>#N/A</v>
      </c>
      <c r="D552" s="1059" t="e">
        <f>+C552*$L$6</f>
        <v>#N/A</v>
      </c>
      <c r="E552" s="1061"/>
      <c r="F552" s="1061"/>
      <c r="G552" s="1052" t="s">
        <v>367</v>
      </c>
      <c r="H552" s="869"/>
      <c r="I552" s="1058" t="e">
        <f>VLOOKUP(H548,'LƯƠNG KT'!$D$15:$U$94,16,0)</f>
        <v>#N/A</v>
      </c>
      <c r="J552" s="1059" t="e">
        <f>+I552*$L$6</f>
        <v>#N/A</v>
      </c>
      <c r="K552" s="1085"/>
      <c r="L552" s="1085"/>
      <c r="M552" s="1085"/>
      <c r="N552" s="1085"/>
      <c r="O552" s="1085"/>
    </row>
    <row r="553" spans="1:15" ht="15" customHeight="1">
      <c r="A553" s="1052" t="s">
        <v>371</v>
      </c>
      <c r="B553" s="869" t="s">
        <v>372</v>
      </c>
      <c r="C553" s="1058" t="e">
        <f>VLOOKUP(B548,'LƯƠNG KT'!$D$15:$U$94,9,0)*$L$10</f>
        <v>#N/A</v>
      </c>
      <c r="D553" s="1059" t="e">
        <f>+C553*0.5*3000</f>
        <v>#N/A</v>
      </c>
      <c r="E553" s="1061"/>
      <c r="F553" s="1061"/>
      <c r="G553" s="1052" t="s">
        <v>371</v>
      </c>
      <c r="H553" s="869" t="s">
        <v>372</v>
      </c>
      <c r="I553" s="1058" t="e">
        <f>VLOOKUP(H548,'LƯƠNG KT'!$D$15:$U$94,9,0)*$L$10</f>
        <v>#N/A</v>
      </c>
      <c r="J553" s="1059" t="e">
        <f>+I553*0.5*3000</f>
        <v>#N/A</v>
      </c>
      <c r="K553" s="1085"/>
      <c r="L553" s="1085"/>
      <c r="M553" s="1085"/>
      <c r="N553" s="1085"/>
      <c r="O553" s="1085"/>
    </row>
    <row r="554" spans="1:15" ht="15" customHeight="1">
      <c r="A554" s="1052" t="s">
        <v>374</v>
      </c>
      <c r="B554" s="869" t="s">
        <v>375</v>
      </c>
      <c r="C554" s="1058" t="e">
        <f>VLOOKUP(B548,'LƯƠNG KT'!$D$15:$U$94,8,0)*$L$11</f>
        <v>#N/A</v>
      </c>
      <c r="D554" s="1059" t="e">
        <f>VLOOKUP(B548,'LƯƠNG KT'!$D$15:$U$94,13,0)-D553</f>
        <v>#N/A</v>
      </c>
      <c r="E554" s="1063"/>
      <c r="F554" s="1061"/>
      <c r="G554" s="1052" t="s">
        <v>374</v>
      </c>
      <c r="H554" s="869" t="s">
        <v>375</v>
      </c>
      <c r="I554" s="1058" t="e">
        <f>VLOOKUP(H548,'LƯƠNG KT'!$D$15:$U$94,8,0)*$L$11</f>
        <v>#N/A</v>
      </c>
      <c r="J554" s="1059" t="e">
        <f>VLOOKUP(H548,'LƯƠNG KT'!$D$15:$U$94,13,0)-J553</f>
        <v>#N/A</v>
      </c>
      <c r="K554" s="1085"/>
      <c r="L554" s="1085"/>
      <c r="M554" s="1085"/>
      <c r="N554" s="1085"/>
      <c r="O554" s="1085"/>
    </row>
    <row r="555" spans="1:15" ht="15" customHeight="1">
      <c r="A555" s="1059" t="s">
        <v>377</v>
      </c>
      <c r="B555" s="869" t="s">
        <v>378</v>
      </c>
      <c r="C555" s="1058"/>
      <c r="D555" s="1059"/>
      <c r="E555" s="1065"/>
      <c r="F555" s="1065"/>
      <c r="G555" s="1059" t="s">
        <v>377</v>
      </c>
      <c r="H555" s="869" t="s">
        <v>378</v>
      </c>
      <c r="I555" s="1058"/>
      <c r="J555" s="1059"/>
    </row>
    <row r="556" spans="1:15" ht="15" customHeight="1">
      <c r="A556" s="1066" t="s">
        <v>379</v>
      </c>
      <c r="B556" s="869" t="s">
        <v>380</v>
      </c>
      <c r="C556" s="1058"/>
      <c r="D556" s="1059">
        <f>14*25000</f>
        <v>350000</v>
      </c>
      <c r="E556" s="1063"/>
      <c r="F556" s="1065"/>
      <c r="G556" s="1066" t="s">
        <v>379</v>
      </c>
      <c r="H556" s="869" t="s">
        <v>380</v>
      </c>
      <c r="I556" s="1058"/>
      <c r="J556" s="1059">
        <f>14*25000</f>
        <v>350000</v>
      </c>
    </row>
    <row r="557" spans="1:15" ht="15" customHeight="1">
      <c r="A557" s="1052" t="s">
        <v>381</v>
      </c>
      <c r="B557" s="869" t="s">
        <v>382</v>
      </c>
      <c r="C557" s="1058"/>
      <c r="D557" s="1059">
        <f>D556</f>
        <v>350000</v>
      </c>
      <c r="E557" s="1067"/>
      <c r="F557" s="1051"/>
      <c r="G557" s="1052" t="s">
        <v>381</v>
      </c>
      <c r="H557" s="869" t="s">
        <v>382</v>
      </c>
      <c r="I557" s="1058"/>
      <c r="J557" s="1059">
        <f>J556</f>
        <v>350000</v>
      </c>
    </row>
    <row r="558" spans="1:15" ht="15" customHeight="1">
      <c r="A558" s="1068" t="s">
        <v>383</v>
      </c>
      <c r="B558" s="1069" t="s">
        <v>384</v>
      </c>
      <c r="C558" s="1070"/>
      <c r="D558" s="1071" t="e">
        <f>SUM(D549:D554)-D557</f>
        <v>#N/A</v>
      </c>
      <c r="E558" s="1072"/>
      <c r="F558" s="1073"/>
      <c r="G558" s="1068" t="s">
        <v>383</v>
      </c>
      <c r="H558" s="1069" t="s">
        <v>384</v>
      </c>
      <c r="I558" s="1070"/>
      <c r="J558" s="1071" t="e">
        <f>SUM(J549:J554)-J557</f>
        <v>#N/A</v>
      </c>
    </row>
    <row r="559" spans="1:15" ht="18.75" customHeight="1">
      <c r="A559" s="1074"/>
      <c r="B559" s="1075"/>
      <c r="C559" s="1076"/>
      <c r="D559" s="1077"/>
      <c r="E559" s="1077"/>
      <c r="F559" s="1078"/>
      <c r="G559" s="1074"/>
      <c r="H559" s="1075"/>
      <c r="I559" s="1076"/>
      <c r="J559" s="1077"/>
    </row>
    <row r="560" spans="1:15" ht="18.75" customHeight="1">
      <c r="A560" s="1075"/>
      <c r="B560" s="1075"/>
      <c r="C560" s="1079"/>
      <c r="D560" s="1080"/>
      <c r="E560" s="1075"/>
      <c r="F560" s="1081"/>
      <c r="G560" s="1075"/>
      <c r="H560" s="1075"/>
      <c r="I560" s="1079"/>
      <c r="J560" s="1080"/>
    </row>
    <row r="561" spans="1:15" ht="15" customHeight="1">
      <c r="A561" s="2242" t="str">
        <f>$K$2</f>
        <v>THÁNG 09/2024</v>
      </c>
      <c r="B561" s="2242"/>
      <c r="C561" s="2242"/>
      <c r="D561" s="2242"/>
      <c r="E561" s="1050"/>
      <c r="F561" s="1051"/>
      <c r="G561" s="2242" t="str">
        <f>$K$2</f>
        <v>THÁNG 09/2024</v>
      </c>
      <c r="H561" s="2242"/>
      <c r="I561" s="2242"/>
      <c r="J561" s="2242"/>
    </row>
    <row r="562" spans="1:15" ht="15" customHeight="1">
      <c r="A562" s="1052" t="s">
        <v>356</v>
      </c>
      <c r="B562" s="1053" t="s">
        <v>449</v>
      </c>
      <c r="C562" s="869"/>
      <c r="D562" s="1049"/>
      <c r="E562" s="1054"/>
      <c r="F562" s="1055"/>
      <c r="G562" s="1052" t="s">
        <v>356</v>
      </c>
      <c r="H562" s="1053" t="s">
        <v>450</v>
      </c>
      <c r="I562" s="869"/>
      <c r="J562" s="1049"/>
      <c r="L562" s="1088"/>
      <c r="M562" s="1088"/>
      <c r="N562" s="1088"/>
      <c r="O562" s="1088"/>
    </row>
    <row r="563" spans="1:15" ht="15" customHeight="1">
      <c r="A563" s="1052" t="s">
        <v>359</v>
      </c>
      <c r="B563" s="1089" t="s">
        <v>360</v>
      </c>
      <c r="C563" s="1058" t="e">
        <f>VLOOKUP(B562,'LƯƠNG KT'!$D$15:$U$94,3,0)</f>
        <v>#N/A</v>
      </c>
      <c r="D563" s="1059" t="e">
        <f>+C563*25000</f>
        <v>#N/A</v>
      </c>
      <c r="E563" s="1060"/>
      <c r="F563" s="1060"/>
      <c r="G563" s="1052" t="s">
        <v>359</v>
      </c>
      <c r="H563" s="1089" t="s">
        <v>360</v>
      </c>
      <c r="I563" s="1058" t="e">
        <f>VLOOKUP(H562,'LƯƠNG KT'!$D$15:$U$94,3,0)</f>
        <v>#N/A</v>
      </c>
      <c r="J563" s="1059" t="e">
        <f>+I563*25000</f>
        <v>#N/A</v>
      </c>
      <c r="K563" s="1085"/>
      <c r="L563" s="1085"/>
      <c r="M563" s="1085"/>
      <c r="N563" s="1085"/>
      <c r="O563" s="1085"/>
    </row>
    <row r="564" spans="1:15" ht="15" customHeight="1">
      <c r="A564" s="1052" t="s">
        <v>361</v>
      </c>
      <c r="B564" s="869" t="s">
        <v>362</v>
      </c>
      <c r="C564" s="1058" t="e">
        <f>VLOOKUP(B562,'LƯƠNG KT'!$D$15:$U$94,14,0)</f>
        <v>#N/A</v>
      </c>
      <c r="D564" s="1059" t="e">
        <f>C564*$L$4</f>
        <v>#N/A</v>
      </c>
      <c r="E564" s="1061"/>
      <c r="F564" s="1061"/>
      <c r="G564" s="1052" t="s">
        <v>361</v>
      </c>
      <c r="H564" s="869" t="s">
        <v>362</v>
      </c>
      <c r="I564" s="1058" t="e">
        <f>VLOOKUP(H562,'LƯƠNG KT'!$D$15:$U$94,14,0)</f>
        <v>#N/A</v>
      </c>
      <c r="J564" s="1059" t="e">
        <f>I564*$L$4</f>
        <v>#N/A</v>
      </c>
      <c r="K564" s="1085"/>
      <c r="L564" s="1085"/>
      <c r="M564" s="1085"/>
      <c r="N564" s="1085"/>
      <c r="O564" s="1085"/>
    </row>
    <row r="565" spans="1:15" ht="15" customHeight="1">
      <c r="A565" s="1052" t="s">
        <v>364</v>
      </c>
      <c r="B565" s="869" t="s">
        <v>365</v>
      </c>
      <c r="C565" s="1058" t="e">
        <f>VLOOKUP(B562,'LƯƠNG KT'!$D$15:$U$94,15,0)</f>
        <v>#N/A</v>
      </c>
      <c r="D565" s="1059" t="e">
        <f>C565*$L$5</f>
        <v>#N/A</v>
      </c>
      <c r="E565" s="1061"/>
      <c r="F565" s="1061"/>
      <c r="G565" s="1052" t="s">
        <v>364</v>
      </c>
      <c r="H565" s="869" t="s">
        <v>365</v>
      </c>
      <c r="I565" s="1058" t="e">
        <f>VLOOKUP(H562,'LƯƠNG KT'!$D$15:$U$94,15,0)</f>
        <v>#N/A</v>
      </c>
      <c r="J565" s="1059" t="e">
        <f>I565*$L$5</f>
        <v>#N/A</v>
      </c>
      <c r="K565" s="1085"/>
      <c r="L565" s="1085"/>
      <c r="M565" s="1085"/>
      <c r="N565" s="1085"/>
      <c r="O565" s="1085"/>
    </row>
    <row r="566" spans="1:15" ht="15" customHeight="1">
      <c r="A566" s="1052" t="s">
        <v>367</v>
      </c>
      <c r="B566" s="869"/>
      <c r="C566" s="1058" t="e">
        <f>VLOOKUP(B562,'LƯƠNG KT'!$D$15:$U$94,16,0)</f>
        <v>#N/A</v>
      </c>
      <c r="D566" s="1059" t="e">
        <f>+C566*$L$6</f>
        <v>#N/A</v>
      </c>
      <c r="E566" s="1061"/>
      <c r="F566" s="1061"/>
      <c r="G566" s="1052" t="s">
        <v>367</v>
      </c>
      <c r="H566" s="869"/>
      <c r="I566" s="1058" t="e">
        <f>VLOOKUP(H562,'LƯƠNG KT'!$D$15:$U$94,16,0)</f>
        <v>#N/A</v>
      </c>
      <c r="J566" s="1059" t="e">
        <f>+I566*$L$6</f>
        <v>#N/A</v>
      </c>
      <c r="K566" s="1085"/>
      <c r="L566" s="1085"/>
      <c r="M566" s="1085"/>
      <c r="N566" s="1085"/>
      <c r="O566" s="1085"/>
    </row>
    <row r="567" spans="1:15" ht="15" customHeight="1">
      <c r="A567" s="1052" t="s">
        <v>371</v>
      </c>
      <c r="B567" s="869" t="s">
        <v>372</v>
      </c>
      <c r="C567" s="1058" t="e">
        <f>VLOOKUP(B562,'LƯƠNG KT'!$D$15:$U$94,9,0)*$L$10</f>
        <v>#N/A</v>
      </c>
      <c r="D567" s="1059" t="e">
        <f>+C567*0.5*3000</f>
        <v>#N/A</v>
      </c>
      <c r="E567" s="1061"/>
      <c r="F567" s="1061"/>
      <c r="G567" s="1052" t="s">
        <v>371</v>
      </c>
      <c r="H567" s="869" t="s">
        <v>372</v>
      </c>
      <c r="I567" s="1058" t="e">
        <f>VLOOKUP(H562,'LƯƠNG KT'!$D$15:$U$94,9,0)*$L$10</f>
        <v>#N/A</v>
      </c>
      <c r="J567" s="1059" t="e">
        <f>+I567*0.5*3000</f>
        <v>#N/A</v>
      </c>
      <c r="K567" s="1085"/>
      <c r="L567" s="1085"/>
      <c r="M567" s="1085"/>
      <c r="N567" s="1085"/>
      <c r="O567" s="1085"/>
    </row>
    <row r="568" spans="1:15" ht="15" customHeight="1">
      <c r="A568" s="1052" t="s">
        <v>374</v>
      </c>
      <c r="B568" s="869" t="s">
        <v>375</v>
      </c>
      <c r="C568" s="1058" t="e">
        <f>VLOOKUP(B562,'LƯƠNG KT'!$D$15:$U$94,8,0)*$L$11</f>
        <v>#N/A</v>
      </c>
      <c r="D568" s="1059" t="e">
        <f>VLOOKUP(B562,'LƯƠNG KT'!$D$15:$U$94,13,0)-D567</f>
        <v>#N/A</v>
      </c>
      <c r="E568" s="1063"/>
      <c r="F568" s="1061"/>
      <c r="G568" s="1052" t="s">
        <v>374</v>
      </c>
      <c r="H568" s="869" t="s">
        <v>375</v>
      </c>
      <c r="I568" s="1058" t="e">
        <f>VLOOKUP(H562,'LƯƠNG KT'!$D$15:$U$94,8,0)*$L$11</f>
        <v>#N/A</v>
      </c>
      <c r="J568" s="1059" t="e">
        <f>VLOOKUP(H562,'LƯƠNG KT'!$D$15:$U$94,13,0)-J567</f>
        <v>#N/A</v>
      </c>
      <c r="K568" s="1085"/>
      <c r="L568" s="1085"/>
      <c r="M568" s="1085"/>
      <c r="N568" s="1085"/>
      <c r="O568" s="1085"/>
    </row>
    <row r="569" spans="1:15" ht="15" customHeight="1">
      <c r="A569" s="1059" t="s">
        <v>377</v>
      </c>
      <c r="B569" s="869" t="s">
        <v>378</v>
      </c>
      <c r="C569" s="1058"/>
      <c r="D569" s="1059"/>
      <c r="E569" s="1065"/>
      <c r="F569" s="1065"/>
      <c r="G569" s="1059" t="s">
        <v>377</v>
      </c>
      <c r="H569" s="869" t="s">
        <v>378</v>
      </c>
      <c r="I569" s="1058"/>
      <c r="J569" s="1059"/>
    </row>
    <row r="570" spans="1:15" ht="15" customHeight="1">
      <c r="A570" s="1066" t="s">
        <v>379</v>
      </c>
      <c r="B570" s="869" t="s">
        <v>380</v>
      </c>
      <c r="C570" s="1058"/>
      <c r="D570" s="1059">
        <f>14*25000</f>
        <v>350000</v>
      </c>
      <c r="E570" s="1063"/>
      <c r="F570" s="1065"/>
      <c r="G570" s="1066" t="s">
        <v>379</v>
      </c>
      <c r="H570" s="869" t="s">
        <v>380</v>
      </c>
      <c r="I570" s="1058"/>
      <c r="J570" s="1059">
        <f>14*25000</f>
        <v>350000</v>
      </c>
    </row>
    <row r="571" spans="1:15" ht="15" customHeight="1">
      <c r="A571" s="1052" t="s">
        <v>381</v>
      </c>
      <c r="B571" s="869" t="s">
        <v>382</v>
      </c>
      <c r="C571" s="1058"/>
      <c r="D571" s="1059">
        <f>D570</f>
        <v>350000</v>
      </c>
      <c r="E571" s="1067"/>
      <c r="F571" s="1051"/>
      <c r="G571" s="1052" t="s">
        <v>381</v>
      </c>
      <c r="H571" s="869" t="s">
        <v>382</v>
      </c>
      <c r="I571" s="1058"/>
      <c r="J571" s="1059">
        <f>J570</f>
        <v>350000</v>
      </c>
    </row>
    <row r="572" spans="1:15" ht="15" customHeight="1">
      <c r="A572" s="1068" t="s">
        <v>383</v>
      </c>
      <c r="B572" s="1069" t="s">
        <v>384</v>
      </c>
      <c r="C572" s="1070"/>
      <c r="D572" s="1071" t="e">
        <f>SUM(D563:D568)-D571</f>
        <v>#N/A</v>
      </c>
      <c r="E572" s="1072"/>
      <c r="F572" s="1073"/>
      <c r="G572" s="1068" t="s">
        <v>383</v>
      </c>
      <c r="H572" s="1069" t="s">
        <v>384</v>
      </c>
      <c r="I572" s="1070"/>
      <c r="J572" s="1071" t="e">
        <f>SUM(J563:J568)-J571</f>
        <v>#N/A</v>
      </c>
    </row>
    <row r="573" spans="1:15" ht="18.75" customHeight="1">
      <c r="A573" s="1074"/>
      <c r="B573" s="1075"/>
      <c r="C573" s="1076"/>
      <c r="D573" s="1077"/>
      <c r="E573" s="1077"/>
      <c r="F573" s="1078"/>
      <c r="G573" s="1074"/>
      <c r="H573" s="1075"/>
      <c r="I573" s="1076"/>
      <c r="J573" s="1077"/>
    </row>
    <row r="574" spans="1:15" ht="18.75" customHeight="1">
      <c r="A574" s="1075"/>
      <c r="B574" s="1075"/>
      <c r="C574" s="1079"/>
      <c r="D574" s="1080"/>
      <c r="E574" s="1075"/>
      <c r="F574" s="1081"/>
      <c r="G574" s="1075"/>
      <c r="H574" s="1075"/>
      <c r="I574" s="1079"/>
      <c r="J574" s="1080"/>
    </row>
    <row r="575" spans="1:15" ht="15" customHeight="1">
      <c r="A575" s="2242" t="str">
        <f>$K$2</f>
        <v>THÁNG 09/2024</v>
      </c>
      <c r="B575" s="2242"/>
      <c r="C575" s="2242"/>
      <c r="D575" s="2242"/>
      <c r="E575" s="1050"/>
      <c r="F575" s="1051"/>
      <c r="G575" s="2242" t="str">
        <f>$K$2</f>
        <v>THÁNG 09/2024</v>
      </c>
      <c r="H575" s="2242"/>
      <c r="I575" s="2242"/>
      <c r="J575" s="2242"/>
      <c r="K575" s="624"/>
    </row>
    <row r="576" spans="1:15" ht="15" customHeight="1">
      <c r="A576" s="1052" t="s">
        <v>356</v>
      </c>
      <c r="B576" s="1053" t="s">
        <v>451</v>
      </c>
      <c r="C576" s="869"/>
      <c r="D576" s="1049"/>
      <c r="E576" s="1054"/>
      <c r="F576" s="1055"/>
      <c r="G576" s="1052" t="s">
        <v>356</v>
      </c>
      <c r="H576" s="1053" t="s">
        <v>452</v>
      </c>
      <c r="I576" s="869"/>
      <c r="J576" s="1049"/>
      <c r="L576" s="1088"/>
      <c r="M576" s="1088"/>
      <c r="N576" s="1088"/>
      <c r="O576" s="1088"/>
    </row>
    <row r="577" spans="1:15" ht="15" customHeight="1">
      <c r="A577" s="1052" t="s">
        <v>359</v>
      </c>
      <c r="B577" s="1089" t="s">
        <v>360</v>
      </c>
      <c r="C577" s="1058" t="e">
        <f>VLOOKUP(B576,'LƯƠNG KT'!$D$15:$U$94,3,0)</f>
        <v>#N/A</v>
      </c>
      <c r="D577" s="1059" t="e">
        <f>+C577*25000</f>
        <v>#N/A</v>
      </c>
      <c r="E577" s="1060"/>
      <c r="F577" s="1060"/>
      <c r="G577" s="1052" t="s">
        <v>359</v>
      </c>
      <c r="H577" s="1089" t="s">
        <v>360</v>
      </c>
      <c r="I577" s="1058" t="e">
        <f>VLOOKUP(H576,'LƯƠNG KT'!$D$15:$U$94,3,0)</f>
        <v>#N/A</v>
      </c>
      <c r="J577" s="1059" t="e">
        <f>+I577*25000</f>
        <v>#N/A</v>
      </c>
      <c r="K577" s="1085"/>
      <c r="L577" s="1085"/>
      <c r="M577" s="1085"/>
      <c r="N577" s="1085"/>
      <c r="O577" s="1085"/>
    </row>
    <row r="578" spans="1:15" ht="15" customHeight="1">
      <c r="A578" s="1052" t="s">
        <v>361</v>
      </c>
      <c r="B578" s="869" t="s">
        <v>362</v>
      </c>
      <c r="C578" s="1058" t="e">
        <f>VLOOKUP(B576,'LƯƠNG KT'!$D$15:$U$94,14,0)</f>
        <v>#N/A</v>
      </c>
      <c r="D578" s="1059" t="e">
        <f>C578*$L$4</f>
        <v>#N/A</v>
      </c>
      <c r="E578" s="1061"/>
      <c r="F578" s="1061"/>
      <c r="G578" s="1052" t="s">
        <v>361</v>
      </c>
      <c r="H578" s="869" t="s">
        <v>362</v>
      </c>
      <c r="I578" s="1058" t="e">
        <f>VLOOKUP(H576,'LƯƠNG KT'!$D$15:$U$94,14,0)</f>
        <v>#N/A</v>
      </c>
      <c r="J578" s="1059" t="e">
        <f>I578*$L$4</f>
        <v>#N/A</v>
      </c>
      <c r="K578" s="1085"/>
      <c r="L578" s="1085"/>
      <c r="M578" s="1085"/>
      <c r="N578" s="1085"/>
      <c r="O578" s="1085"/>
    </row>
    <row r="579" spans="1:15" ht="15" customHeight="1">
      <c r="A579" s="1052" t="s">
        <v>364</v>
      </c>
      <c r="B579" s="869" t="s">
        <v>365</v>
      </c>
      <c r="C579" s="1058" t="e">
        <f>VLOOKUP(B576,'LƯƠNG KT'!$D$15:$U$94,15,0)</f>
        <v>#N/A</v>
      </c>
      <c r="D579" s="1059" t="e">
        <f>C579*$L$5</f>
        <v>#N/A</v>
      </c>
      <c r="E579" s="1061"/>
      <c r="F579" s="1061"/>
      <c r="G579" s="1052" t="s">
        <v>364</v>
      </c>
      <c r="H579" s="869" t="s">
        <v>365</v>
      </c>
      <c r="I579" s="1058" t="e">
        <f>VLOOKUP(H576,'LƯƠNG KT'!$D$15:$U$94,15,0)</f>
        <v>#N/A</v>
      </c>
      <c r="J579" s="1059" t="e">
        <f>I579*$L$5</f>
        <v>#N/A</v>
      </c>
      <c r="K579" s="1085"/>
      <c r="L579" s="1085"/>
      <c r="M579" s="1085"/>
      <c r="N579" s="1085"/>
      <c r="O579" s="1085"/>
    </row>
    <row r="580" spans="1:15" ht="15" customHeight="1">
      <c r="A580" s="1052" t="s">
        <v>367</v>
      </c>
      <c r="B580" s="869"/>
      <c r="C580" s="1058" t="e">
        <f>VLOOKUP(B576,'LƯƠNG KT'!$D$15:$U$94,16,0)</f>
        <v>#N/A</v>
      </c>
      <c r="D580" s="1059" t="e">
        <f>+C580*$L$6</f>
        <v>#N/A</v>
      </c>
      <c r="E580" s="1061"/>
      <c r="F580" s="1061"/>
      <c r="G580" s="1052" t="s">
        <v>367</v>
      </c>
      <c r="H580" s="869"/>
      <c r="I580" s="1058" t="e">
        <f>VLOOKUP(H576,'LƯƠNG KT'!$D$15:$U$94,16,0)</f>
        <v>#N/A</v>
      </c>
      <c r="J580" s="1059" t="e">
        <f>+I580*$L$6</f>
        <v>#N/A</v>
      </c>
      <c r="K580" s="1085"/>
      <c r="L580" s="1085"/>
      <c r="M580" s="1085"/>
      <c r="N580" s="1085"/>
      <c r="O580" s="1085"/>
    </row>
    <row r="581" spans="1:15" ht="15" customHeight="1">
      <c r="A581" s="1052" t="s">
        <v>371</v>
      </c>
      <c r="B581" s="869" t="s">
        <v>372</v>
      </c>
      <c r="C581" s="1058" t="e">
        <f>VLOOKUP(B576,'LƯƠNG KT'!$D$15:$U$94,9,0)*$L$10</f>
        <v>#N/A</v>
      </c>
      <c r="D581" s="1059" t="e">
        <f>+C581*0.5*3000</f>
        <v>#N/A</v>
      </c>
      <c r="E581" s="1061"/>
      <c r="F581" s="1061"/>
      <c r="G581" s="1052" t="s">
        <v>371</v>
      </c>
      <c r="H581" s="869" t="s">
        <v>372</v>
      </c>
      <c r="I581" s="1058" t="e">
        <f>VLOOKUP(H576,'LƯƠNG KT'!$D$15:$U$94,9,0)*$L$10</f>
        <v>#N/A</v>
      </c>
      <c r="J581" s="1059" t="e">
        <f>+I581*0.5*3000</f>
        <v>#N/A</v>
      </c>
      <c r="K581" s="1085"/>
      <c r="L581" s="1085"/>
      <c r="M581" s="1085"/>
      <c r="N581" s="1085"/>
      <c r="O581" s="1085"/>
    </row>
    <row r="582" spans="1:15" ht="15" customHeight="1">
      <c r="A582" s="1052" t="s">
        <v>374</v>
      </c>
      <c r="B582" s="869" t="s">
        <v>375</v>
      </c>
      <c r="C582" s="1058" t="e">
        <f>VLOOKUP(B576,'LƯƠNG KT'!$D$15:$U$94,8,0)*$L$11</f>
        <v>#N/A</v>
      </c>
      <c r="D582" s="1059" t="e">
        <f>VLOOKUP(B576,'LƯƠNG KT'!$D$15:$U$94,13,0)-D581</f>
        <v>#N/A</v>
      </c>
      <c r="E582" s="1063"/>
      <c r="F582" s="1061"/>
      <c r="G582" s="1052" t="s">
        <v>374</v>
      </c>
      <c r="H582" s="869" t="s">
        <v>375</v>
      </c>
      <c r="I582" s="1058" t="e">
        <f>VLOOKUP(H576,'LƯƠNG KT'!$D$15:$U$94,8,0)*$L$11</f>
        <v>#N/A</v>
      </c>
      <c r="J582" s="1059" t="e">
        <f>VLOOKUP(H576,'LƯƠNG KT'!$D$15:$U$94,13,0)-J581</f>
        <v>#N/A</v>
      </c>
      <c r="K582" s="1085"/>
      <c r="L582" s="1085"/>
      <c r="M582" s="1085"/>
      <c r="N582" s="1085"/>
      <c r="O582" s="1085"/>
    </row>
    <row r="583" spans="1:15" ht="15" customHeight="1">
      <c r="A583" s="1059" t="s">
        <v>377</v>
      </c>
      <c r="B583" s="869" t="s">
        <v>378</v>
      </c>
      <c r="C583" s="1058"/>
      <c r="D583" s="1059"/>
      <c r="E583" s="1065"/>
      <c r="F583" s="1065"/>
      <c r="G583" s="1059" t="s">
        <v>377</v>
      </c>
      <c r="H583" s="869" t="s">
        <v>378</v>
      </c>
      <c r="I583" s="1058"/>
      <c r="J583" s="1059"/>
    </row>
    <row r="584" spans="1:15" ht="15" customHeight="1">
      <c r="A584" s="1066" t="s">
        <v>379</v>
      </c>
      <c r="B584" s="869" t="s">
        <v>380</v>
      </c>
      <c r="C584" s="1058"/>
      <c r="D584" s="1059">
        <f>14*25000</f>
        <v>350000</v>
      </c>
      <c r="E584" s="1063"/>
      <c r="F584" s="1065"/>
      <c r="G584" s="1066" t="s">
        <v>379</v>
      </c>
      <c r="H584" s="869" t="s">
        <v>380</v>
      </c>
      <c r="I584" s="1058"/>
      <c r="J584" s="1059">
        <f>14*25000</f>
        <v>350000</v>
      </c>
    </row>
    <row r="585" spans="1:15" ht="15" customHeight="1">
      <c r="A585" s="1052" t="s">
        <v>381</v>
      </c>
      <c r="B585" s="869" t="s">
        <v>382</v>
      </c>
      <c r="C585" s="1058"/>
      <c r="D585" s="1059">
        <f>D584</f>
        <v>350000</v>
      </c>
      <c r="E585" s="1067"/>
      <c r="F585" s="1051"/>
      <c r="G585" s="1052" t="s">
        <v>381</v>
      </c>
      <c r="H585" s="869" t="s">
        <v>382</v>
      </c>
      <c r="I585" s="1058"/>
      <c r="J585" s="1059">
        <f>J584</f>
        <v>350000</v>
      </c>
    </row>
    <row r="586" spans="1:15" ht="15" customHeight="1">
      <c r="A586" s="1068" t="s">
        <v>383</v>
      </c>
      <c r="B586" s="1069" t="s">
        <v>384</v>
      </c>
      <c r="C586" s="1070"/>
      <c r="D586" s="1071" t="e">
        <f>SUM(D577:D582)-D585</f>
        <v>#N/A</v>
      </c>
      <c r="E586" s="1072"/>
      <c r="F586" s="1073"/>
      <c r="G586" s="1068" t="s">
        <v>383</v>
      </c>
      <c r="H586" s="1069" t="s">
        <v>384</v>
      </c>
      <c r="I586" s="1070"/>
      <c r="J586" s="1071" t="e">
        <f>SUM(J577:J582)-J585</f>
        <v>#N/A</v>
      </c>
    </row>
    <row r="587" spans="1:15" ht="15.75" customHeight="1">
      <c r="A587" s="1074"/>
      <c r="B587" s="1075"/>
      <c r="C587" s="1076"/>
      <c r="D587" s="1077"/>
      <c r="E587" s="1077"/>
      <c r="F587" s="1078"/>
      <c r="G587" s="1074"/>
      <c r="H587" s="1075"/>
      <c r="I587" s="1076"/>
      <c r="J587" s="1077"/>
    </row>
    <row r="589" spans="1:15" ht="12" customHeight="1">
      <c r="A589" s="2243"/>
      <c r="B589" s="2243"/>
      <c r="C589" s="2243"/>
      <c r="D589" s="2243"/>
      <c r="E589" s="2243"/>
      <c r="F589" s="2243"/>
      <c r="G589" s="2243"/>
      <c r="H589" s="2243"/>
      <c r="I589" s="2243"/>
      <c r="J589" s="2243"/>
    </row>
    <row r="590" spans="1:15" ht="15" customHeight="1">
      <c r="A590" s="2242" t="str">
        <f>$K$2</f>
        <v>THÁNG 09/2024</v>
      </c>
      <c r="B590" s="2242"/>
      <c r="C590" s="2242"/>
      <c r="D590" s="2242"/>
      <c r="E590" s="1050"/>
      <c r="F590" s="1051"/>
      <c r="G590" s="2242" t="str">
        <f>$K$2</f>
        <v>THÁNG 09/2024</v>
      </c>
      <c r="H590" s="2242"/>
      <c r="I590" s="2242"/>
      <c r="J590" s="2242"/>
      <c r="K590" s="624"/>
    </row>
    <row r="591" spans="1:15" ht="15" customHeight="1">
      <c r="A591" s="1052" t="s">
        <v>356</v>
      </c>
      <c r="B591" s="1053" t="s">
        <v>453</v>
      </c>
      <c r="C591" s="869"/>
      <c r="D591" s="1049"/>
      <c r="E591" s="1054"/>
      <c r="F591" s="1055"/>
      <c r="G591" s="1052" t="s">
        <v>356</v>
      </c>
      <c r="H591" s="1053" t="s">
        <v>454</v>
      </c>
      <c r="I591" s="869"/>
      <c r="J591" s="1049"/>
      <c r="L591" s="1088"/>
      <c r="M591" s="1088"/>
      <c r="N591" s="1088"/>
      <c r="O591" s="1088"/>
    </row>
    <row r="592" spans="1:15" ht="15" customHeight="1">
      <c r="A592" s="1052" t="s">
        <v>359</v>
      </c>
      <c r="B592" s="1089" t="s">
        <v>360</v>
      </c>
      <c r="C592" s="1058" t="e">
        <f>VLOOKUP(B591,'LƯƠNG KT'!$D$15:$U$94,3,0)</f>
        <v>#N/A</v>
      </c>
      <c r="D592" s="1059" t="e">
        <f>+C592*25000</f>
        <v>#N/A</v>
      </c>
      <c r="E592" s="1060"/>
      <c r="F592" s="1060"/>
      <c r="G592" s="1052" t="s">
        <v>359</v>
      </c>
      <c r="H592" s="1089" t="s">
        <v>360</v>
      </c>
      <c r="I592" s="1058" t="e">
        <f>VLOOKUP(H591,'LƯƠNG KT'!$D$15:$U$94,3,0)</f>
        <v>#N/A</v>
      </c>
      <c r="J592" s="1059" t="e">
        <f>+I592*25000</f>
        <v>#N/A</v>
      </c>
      <c r="K592" s="1084"/>
      <c r="L592" s="1085"/>
      <c r="M592" s="1085"/>
      <c r="N592" s="1085"/>
      <c r="O592" s="1085"/>
    </row>
    <row r="593" spans="1:15" ht="15" customHeight="1">
      <c r="A593" s="1052" t="s">
        <v>361</v>
      </c>
      <c r="B593" s="869" t="s">
        <v>362</v>
      </c>
      <c r="C593" s="1058" t="e">
        <f>VLOOKUP(B591,'LƯƠNG KT'!$D$15:$U$94,14,0)</f>
        <v>#N/A</v>
      </c>
      <c r="D593" s="1059" t="e">
        <f>C593*$L$4</f>
        <v>#N/A</v>
      </c>
      <c r="E593" s="1061"/>
      <c r="F593" s="1061"/>
      <c r="G593" s="1052" t="s">
        <v>361</v>
      </c>
      <c r="H593" s="869" t="s">
        <v>362</v>
      </c>
      <c r="I593" s="1058" t="e">
        <f>VLOOKUP(H591,'LƯƠNG KT'!$D$15:$U$94,14,0)</f>
        <v>#N/A</v>
      </c>
      <c r="J593" s="1059" t="e">
        <f>I593*$L$4</f>
        <v>#N/A</v>
      </c>
      <c r="K593" s="1084"/>
      <c r="L593" s="1085"/>
      <c r="M593" s="1085"/>
      <c r="N593" s="1085"/>
      <c r="O593" s="1085"/>
    </row>
    <row r="594" spans="1:15" ht="15" customHeight="1">
      <c r="A594" s="1052" t="s">
        <v>364</v>
      </c>
      <c r="B594" s="869" t="s">
        <v>365</v>
      </c>
      <c r="C594" s="1058" t="e">
        <f>VLOOKUP(B591,'LƯƠNG KT'!$D$15:$U$94,15,0)</f>
        <v>#N/A</v>
      </c>
      <c r="D594" s="1059" t="e">
        <f>C594*$L$5</f>
        <v>#N/A</v>
      </c>
      <c r="E594" s="1061"/>
      <c r="F594" s="1061"/>
      <c r="G594" s="1052" t="s">
        <v>364</v>
      </c>
      <c r="H594" s="869" t="s">
        <v>365</v>
      </c>
      <c r="I594" s="1058" t="e">
        <f>VLOOKUP(H591,'LƯƠNG KT'!$D$15:$U$94,15,0)</f>
        <v>#N/A</v>
      </c>
      <c r="J594" s="1059" t="e">
        <f>I594*$L$5</f>
        <v>#N/A</v>
      </c>
      <c r="K594" s="1084"/>
      <c r="L594" s="1085"/>
      <c r="M594" s="1085"/>
      <c r="N594" s="1085"/>
      <c r="O594" s="1085"/>
    </row>
    <row r="595" spans="1:15" ht="15" customHeight="1">
      <c r="A595" s="1052" t="s">
        <v>367</v>
      </c>
      <c r="B595" s="869"/>
      <c r="C595" s="1058" t="e">
        <f>VLOOKUP(B591,'LƯƠNG KT'!$D$15:$U$94,16,0)</f>
        <v>#N/A</v>
      </c>
      <c r="D595" s="1059" t="e">
        <f>+C595*$L$6</f>
        <v>#N/A</v>
      </c>
      <c r="E595" s="1061"/>
      <c r="F595" s="1061"/>
      <c r="G595" s="1052" t="s">
        <v>367</v>
      </c>
      <c r="H595" s="869"/>
      <c r="I595" s="1058" t="e">
        <f>VLOOKUP(H591,'LƯƠNG KT'!$D$15:$U$94,16,0)</f>
        <v>#N/A</v>
      </c>
      <c r="J595" s="1059" t="e">
        <f>+I595*$L$6</f>
        <v>#N/A</v>
      </c>
      <c r="K595" s="1085"/>
      <c r="L595" s="1085"/>
      <c r="M595" s="1085"/>
      <c r="N595" s="1085"/>
      <c r="O595" s="1085"/>
    </row>
    <row r="596" spans="1:15" ht="15" customHeight="1">
      <c r="A596" s="1052" t="s">
        <v>371</v>
      </c>
      <c r="B596" s="869" t="s">
        <v>372</v>
      </c>
      <c r="C596" s="1058" t="e">
        <f>VLOOKUP(B591,'LƯƠNG KT'!$D$15:$U$94,9,0)*$L$10</f>
        <v>#N/A</v>
      </c>
      <c r="D596" s="1059" t="e">
        <f>+C596*0.5*3000</f>
        <v>#N/A</v>
      </c>
      <c r="E596" s="1061"/>
      <c r="F596" s="1061"/>
      <c r="G596" s="1052" t="s">
        <v>371</v>
      </c>
      <c r="H596" s="869" t="s">
        <v>372</v>
      </c>
      <c r="I596" s="1058" t="e">
        <f>VLOOKUP(H591,'LƯƠNG KT'!$D$15:$U$94,9,0)*$L$10</f>
        <v>#N/A</v>
      </c>
      <c r="J596" s="1059" t="e">
        <f>+I596*0.5*3000</f>
        <v>#N/A</v>
      </c>
      <c r="K596" s="1085"/>
      <c r="L596" s="1085"/>
      <c r="M596" s="1085"/>
      <c r="N596" s="1085"/>
      <c r="O596" s="1085"/>
    </row>
    <row r="597" spans="1:15" ht="15" customHeight="1">
      <c r="A597" s="1052" t="s">
        <v>374</v>
      </c>
      <c r="B597" s="869" t="s">
        <v>375</v>
      </c>
      <c r="C597" s="1058" t="e">
        <f>VLOOKUP(B591,'LƯƠNG KT'!$D$15:$U$94,8,0)*$L$11</f>
        <v>#N/A</v>
      </c>
      <c r="D597" s="1059" t="e">
        <f>VLOOKUP(B591,'LƯƠNG KT'!$D$15:$U$94,13,0)-D596</f>
        <v>#N/A</v>
      </c>
      <c r="E597" s="1063"/>
      <c r="F597" s="1061"/>
      <c r="G597" s="1052" t="s">
        <v>374</v>
      </c>
      <c r="H597" s="869" t="s">
        <v>375</v>
      </c>
      <c r="I597" s="1058" t="e">
        <f>VLOOKUP(H591,'LƯƠNG KT'!$D$15:$U$94,8,0)*$L$11</f>
        <v>#N/A</v>
      </c>
      <c r="J597" s="1059" t="e">
        <f>VLOOKUP(H591,'LƯƠNG KT'!$D$15:$U$94,13,0)-J596</f>
        <v>#N/A</v>
      </c>
      <c r="K597" s="1085"/>
      <c r="L597" s="1085"/>
      <c r="M597" s="1085"/>
      <c r="N597" s="1085"/>
      <c r="O597" s="1085"/>
    </row>
    <row r="598" spans="1:15" ht="15" customHeight="1">
      <c r="A598" s="1059" t="s">
        <v>377</v>
      </c>
      <c r="B598" s="869" t="s">
        <v>378</v>
      </c>
      <c r="C598" s="1058"/>
      <c r="D598" s="1059"/>
      <c r="E598" s="1065"/>
      <c r="F598" s="1065"/>
      <c r="G598" s="1059" t="s">
        <v>377</v>
      </c>
      <c r="H598" s="869" t="s">
        <v>378</v>
      </c>
      <c r="I598" s="1058"/>
      <c r="J598" s="1059"/>
    </row>
    <row r="599" spans="1:15" ht="15" customHeight="1">
      <c r="A599" s="1066" t="s">
        <v>379</v>
      </c>
      <c r="B599" s="869" t="s">
        <v>380</v>
      </c>
      <c r="C599" s="1058"/>
      <c r="D599" s="1059">
        <f>14*25000</f>
        <v>350000</v>
      </c>
      <c r="E599" s="1063"/>
      <c r="F599" s="1065"/>
      <c r="G599" s="1066" t="s">
        <v>379</v>
      </c>
      <c r="H599" s="869" t="s">
        <v>380</v>
      </c>
      <c r="I599" s="1058"/>
      <c r="J599" s="1059">
        <f>14*25000</f>
        <v>350000</v>
      </c>
    </row>
    <row r="600" spans="1:15" ht="15" customHeight="1">
      <c r="A600" s="1052" t="s">
        <v>381</v>
      </c>
      <c r="B600" s="869" t="s">
        <v>382</v>
      </c>
      <c r="C600" s="1058"/>
      <c r="D600" s="1059">
        <f>D599</f>
        <v>350000</v>
      </c>
      <c r="E600" s="1067"/>
      <c r="F600" s="1051"/>
      <c r="G600" s="1052" t="s">
        <v>381</v>
      </c>
      <c r="H600" s="869" t="s">
        <v>382</v>
      </c>
      <c r="I600" s="1058"/>
      <c r="J600" s="1059">
        <f>J599</f>
        <v>350000</v>
      </c>
    </row>
    <row r="601" spans="1:15" ht="15" customHeight="1">
      <c r="A601" s="1068" t="s">
        <v>383</v>
      </c>
      <c r="B601" s="1069" t="s">
        <v>384</v>
      </c>
      <c r="C601" s="1070"/>
      <c r="D601" s="1071" t="e">
        <f>SUM(D592:D597)-D600</f>
        <v>#N/A</v>
      </c>
      <c r="E601" s="1072"/>
      <c r="F601" s="1073"/>
      <c r="G601" s="1068" t="s">
        <v>383</v>
      </c>
      <c r="H601" s="1069" t="s">
        <v>384</v>
      </c>
      <c r="I601" s="1070"/>
      <c r="J601" s="1071" t="e">
        <f>SUM(J592:J597)-J600</f>
        <v>#N/A</v>
      </c>
    </row>
    <row r="602" spans="1:15" ht="12.6" customHeight="1">
      <c r="A602" s="1074"/>
      <c r="B602" s="1075"/>
      <c r="C602" s="1076"/>
      <c r="D602" s="1077"/>
      <c r="E602" s="1077"/>
      <c r="F602" s="1078"/>
      <c r="G602" s="1074"/>
      <c r="H602" s="1075"/>
      <c r="I602" s="1076"/>
      <c r="J602" s="1077"/>
    </row>
    <row r="603" spans="1:15" ht="12.6" customHeight="1">
      <c r="A603" s="1075"/>
      <c r="B603" s="1075"/>
      <c r="C603" s="1079"/>
      <c r="D603" s="1080"/>
      <c r="E603" s="1075"/>
      <c r="F603" s="1081"/>
      <c r="G603" s="1075"/>
      <c r="H603" s="1075"/>
      <c r="I603" s="1079"/>
      <c r="J603" s="1080"/>
    </row>
    <row r="604" spans="1:15" ht="15" customHeight="1">
      <c r="A604" s="2242" t="str">
        <f>$K$2</f>
        <v>THÁNG 09/2024</v>
      </c>
      <c r="B604" s="2242"/>
      <c r="C604" s="2242"/>
      <c r="D604" s="2242"/>
      <c r="E604" s="1050"/>
      <c r="F604" s="1051"/>
      <c r="G604" s="2242" t="str">
        <f>$K$2</f>
        <v>THÁNG 09/2024</v>
      </c>
      <c r="H604" s="2242"/>
      <c r="I604" s="2242"/>
      <c r="J604" s="2242"/>
      <c r="K604" s="624"/>
    </row>
    <row r="605" spans="1:15" ht="15" customHeight="1">
      <c r="A605" s="1052" t="s">
        <v>356</v>
      </c>
      <c r="B605" s="1053" t="s">
        <v>455</v>
      </c>
      <c r="C605" s="869"/>
      <c r="D605" s="1049"/>
      <c r="E605" s="1054"/>
      <c r="F605" s="1055"/>
      <c r="G605" s="1052" t="s">
        <v>356</v>
      </c>
      <c r="H605" s="1053" t="s">
        <v>456</v>
      </c>
      <c r="I605" s="869"/>
      <c r="J605" s="1049"/>
      <c r="L605" s="1088"/>
      <c r="M605" s="1088"/>
      <c r="N605" s="1088"/>
      <c r="O605" s="1088"/>
    </row>
    <row r="606" spans="1:15" ht="15" customHeight="1">
      <c r="A606" s="1052" t="s">
        <v>359</v>
      </c>
      <c r="B606" s="1089" t="s">
        <v>360</v>
      </c>
      <c r="C606" s="1058" t="e">
        <f>VLOOKUP(B605,'LƯƠNG KT'!$D$15:$U$94,3,0)</f>
        <v>#N/A</v>
      </c>
      <c r="D606" s="1059" t="e">
        <f>+C606*25000</f>
        <v>#N/A</v>
      </c>
      <c r="E606" s="1060"/>
      <c r="F606" s="1060"/>
      <c r="G606" s="1052" t="s">
        <v>359</v>
      </c>
      <c r="H606" s="1089" t="s">
        <v>360</v>
      </c>
      <c r="I606" s="1058" t="e">
        <f>VLOOKUP(H605,'LƯƠNG KT'!$D$15:$U$94,3,0)</f>
        <v>#N/A</v>
      </c>
      <c r="J606" s="1059" t="e">
        <f>+I606*25000</f>
        <v>#N/A</v>
      </c>
      <c r="K606" s="1085"/>
      <c r="L606" s="1085"/>
      <c r="M606" s="1085"/>
      <c r="N606" s="1085"/>
      <c r="O606" s="1085"/>
    </row>
    <row r="607" spans="1:15" ht="15" customHeight="1">
      <c r="A607" s="1052" t="s">
        <v>361</v>
      </c>
      <c r="B607" s="869" t="s">
        <v>362</v>
      </c>
      <c r="C607" s="1058" t="e">
        <f>VLOOKUP(B605,'LƯƠNG KT'!$D$15:$U$94,14,0)</f>
        <v>#N/A</v>
      </c>
      <c r="D607" s="1059" t="e">
        <f>C607*$L$4</f>
        <v>#N/A</v>
      </c>
      <c r="E607" s="1061"/>
      <c r="F607" s="1061"/>
      <c r="G607" s="1052" t="s">
        <v>361</v>
      </c>
      <c r="H607" s="869" t="s">
        <v>362</v>
      </c>
      <c r="I607" s="1058" t="e">
        <f>VLOOKUP(H605,'LƯƠNG KT'!$D$15:$U$94,14,0)</f>
        <v>#N/A</v>
      </c>
      <c r="J607" s="1059" t="e">
        <f>I607*$L$4</f>
        <v>#N/A</v>
      </c>
      <c r="K607" s="1085"/>
      <c r="L607" s="1085"/>
      <c r="M607" s="1085"/>
      <c r="N607" s="1085"/>
      <c r="O607" s="1085"/>
    </row>
    <row r="608" spans="1:15" ht="15" customHeight="1">
      <c r="A608" s="1052" t="s">
        <v>364</v>
      </c>
      <c r="B608" s="869" t="s">
        <v>365</v>
      </c>
      <c r="C608" s="1058" t="e">
        <f>VLOOKUP(B605,'LƯƠNG KT'!$D$15:$U$94,15,0)</f>
        <v>#N/A</v>
      </c>
      <c r="D608" s="1059" t="e">
        <f>C608*$L$5</f>
        <v>#N/A</v>
      </c>
      <c r="E608" s="1061"/>
      <c r="F608" s="1061"/>
      <c r="G608" s="1052" t="s">
        <v>364</v>
      </c>
      <c r="H608" s="869" t="s">
        <v>365</v>
      </c>
      <c r="I608" s="1058" t="e">
        <f>VLOOKUP(H605,'LƯƠNG KT'!$D$15:$U$94,15,0)</f>
        <v>#N/A</v>
      </c>
      <c r="J608" s="1059" t="e">
        <f>I608*$L$5</f>
        <v>#N/A</v>
      </c>
      <c r="K608" s="1085"/>
      <c r="L608" s="1085"/>
      <c r="M608" s="1085"/>
      <c r="N608" s="1085"/>
      <c r="O608" s="1085"/>
    </row>
    <row r="609" spans="1:15" ht="15" customHeight="1">
      <c r="A609" s="1052" t="s">
        <v>367</v>
      </c>
      <c r="B609" s="869"/>
      <c r="C609" s="1058" t="e">
        <f>VLOOKUP(B605,'LƯƠNG KT'!$D$15:$U$94,16,0)</f>
        <v>#N/A</v>
      </c>
      <c r="D609" s="1059" t="e">
        <f>+C609*$L$6</f>
        <v>#N/A</v>
      </c>
      <c r="E609" s="1061"/>
      <c r="F609" s="1061"/>
      <c r="G609" s="1052" t="s">
        <v>367</v>
      </c>
      <c r="H609" s="869"/>
      <c r="I609" s="1058" t="e">
        <f>VLOOKUP(H605,'LƯƠNG KT'!$D$15:$U$94,16,0)</f>
        <v>#N/A</v>
      </c>
      <c r="J609" s="1059" t="e">
        <f>+I609*$L$6</f>
        <v>#N/A</v>
      </c>
      <c r="K609" s="1085"/>
      <c r="L609" s="1085"/>
      <c r="M609" s="1085"/>
      <c r="N609" s="1085"/>
      <c r="O609" s="1085"/>
    </row>
    <row r="610" spans="1:15" ht="15" customHeight="1">
      <c r="A610" s="1052" t="s">
        <v>371</v>
      </c>
      <c r="B610" s="869" t="s">
        <v>372</v>
      </c>
      <c r="C610" s="1058" t="e">
        <f>VLOOKUP(B605,'LƯƠNG KT'!$D$15:$U$94,9,0)*$L$10</f>
        <v>#N/A</v>
      </c>
      <c r="D610" s="1059" t="e">
        <f>+C610*0.5*3000</f>
        <v>#N/A</v>
      </c>
      <c r="E610" s="1061"/>
      <c r="F610" s="1061"/>
      <c r="G610" s="1052" t="s">
        <v>371</v>
      </c>
      <c r="H610" s="869" t="s">
        <v>372</v>
      </c>
      <c r="I610" s="1058" t="e">
        <f>VLOOKUP(H605,'LƯƠNG KT'!$D$15:$U$94,9,0)*$L$10</f>
        <v>#N/A</v>
      </c>
      <c r="J610" s="1059" t="e">
        <f>+I610*0.5*3000</f>
        <v>#N/A</v>
      </c>
      <c r="K610" s="1085"/>
      <c r="L610" s="1085"/>
      <c r="M610" s="1085"/>
      <c r="N610" s="1085"/>
      <c r="O610" s="1085"/>
    </row>
    <row r="611" spans="1:15" ht="15" customHeight="1">
      <c r="A611" s="1052" t="s">
        <v>374</v>
      </c>
      <c r="B611" s="869" t="s">
        <v>375</v>
      </c>
      <c r="C611" s="1058" t="e">
        <f>VLOOKUP(B605,'LƯƠNG KT'!$D$15:$U$94,8,0)*$L$11</f>
        <v>#N/A</v>
      </c>
      <c r="D611" s="1059" t="e">
        <f>VLOOKUP(B605,'LƯƠNG KT'!$D$15:$U$94,13,0)-D610</f>
        <v>#N/A</v>
      </c>
      <c r="E611" s="1063"/>
      <c r="F611" s="1061"/>
      <c r="G611" s="1052" t="s">
        <v>374</v>
      </c>
      <c r="H611" s="869" t="s">
        <v>375</v>
      </c>
      <c r="I611" s="1058" t="e">
        <f>VLOOKUP(H605,'LƯƠNG KT'!$D$15:$U$94,8,0)*$L$11</f>
        <v>#N/A</v>
      </c>
      <c r="J611" s="1059" t="e">
        <f>VLOOKUP(H605,'LƯƠNG KT'!$D$15:$U$94,13,0)-J610</f>
        <v>#N/A</v>
      </c>
      <c r="K611" s="1085"/>
      <c r="L611" s="1085"/>
      <c r="M611" s="1085"/>
      <c r="N611" s="1085"/>
      <c r="O611" s="1085"/>
    </row>
    <row r="612" spans="1:15" ht="15" customHeight="1">
      <c r="A612" s="1059" t="s">
        <v>377</v>
      </c>
      <c r="B612" s="869" t="s">
        <v>378</v>
      </c>
      <c r="C612" s="1058"/>
      <c r="D612" s="1059"/>
      <c r="E612" s="1065"/>
      <c r="F612" s="1065"/>
      <c r="G612" s="1059" t="s">
        <v>377</v>
      </c>
      <c r="H612" s="869" t="s">
        <v>378</v>
      </c>
      <c r="I612" s="1058"/>
      <c r="J612" s="1059"/>
    </row>
    <row r="613" spans="1:15" ht="15" customHeight="1">
      <c r="A613" s="1066" t="s">
        <v>379</v>
      </c>
      <c r="B613" s="869" t="s">
        <v>380</v>
      </c>
      <c r="C613" s="1058"/>
      <c r="D613" s="1059">
        <f>14*25000</f>
        <v>350000</v>
      </c>
      <c r="E613" s="1063"/>
      <c r="F613" s="1065"/>
      <c r="G613" s="1066" t="s">
        <v>379</v>
      </c>
      <c r="H613" s="869" t="s">
        <v>380</v>
      </c>
      <c r="I613" s="1058"/>
      <c r="J613" s="1059">
        <f>14*25000</f>
        <v>350000</v>
      </c>
    </row>
    <row r="614" spans="1:15" ht="15" customHeight="1">
      <c r="A614" s="1052" t="s">
        <v>381</v>
      </c>
      <c r="B614" s="869" t="s">
        <v>382</v>
      </c>
      <c r="C614" s="1058"/>
      <c r="D614" s="1059">
        <f>D613</f>
        <v>350000</v>
      </c>
      <c r="E614" s="1067"/>
      <c r="F614" s="1051"/>
      <c r="G614" s="1052" t="s">
        <v>381</v>
      </c>
      <c r="H614" s="869" t="s">
        <v>382</v>
      </c>
      <c r="I614" s="1058"/>
      <c r="J614" s="1059">
        <f>J613</f>
        <v>350000</v>
      </c>
    </row>
    <row r="615" spans="1:15" ht="15" customHeight="1">
      <c r="A615" s="1068" t="s">
        <v>383</v>
      </c>
      <c r="B615" s="1069" t="s">
        <v>384</v>
      </c>
      <c r="C615" s="1070"/>
      <c r="D615" s="1071" t="e">
        <f>SUM(D606:D611)-D614</f>
        <v>#N/A</v>
      </c>
      <c r="E615" s="1072"/>
      <c r="F615" s="1073"/>
      <c r="G615" s="1068" t="s">
        <v>383</v>
      </c>
      <c r="H615" s="1069" t="s">
        <v>384</v>
      </c>
      <c r="I615" s="1070"/>
      <c r="J615" s="1071" t="e">
        <f>SUM(J606:J611)-J614</f>
        <v>#N/A</v>
      </c>
    </row>
    <row r="616" spans="1:15" ht="18.75" customHeight="1">
      <c r="A616" s="1074"/>
      <c r="B616" s="1075"/>
      <c r="C616" s="1076"/>
      <c r="D616" s="1077"/>
      <c r="E616" s="1077"/>
      <c r="F616" s="1078"/>
      <c r="G616" s="1074"/>
      <c r="H616" s="1075"/>
      <c r="I616" s="1076"/>
      <c r="J616" s="1077"/>
    </row>
    <row r="617" spans="1:15" ht="18.75" customHeight="1">
      <c r="A617" s="1075"/>
      <c r="B617" s="1075"/>
      <c r="C617" s="1079"/>
      <c r="D617" s="1080"/>
      <c r="E617" s="1075"/>
      <c r="F617" s="1081"/>
      <c r="G617" s="1075"/>
      <c r="H617" s="1075"/>
      <c r="I617" s="1079"/>
      <c r="J617" s="1080"/>
    </row>
    <row r="618" spans="1:15" ht="15" customHeight="1">
      <c r="A618" s="2242" t="str">
        <f>$K$2</f>
        <v>THÁNG 09/2024</v>
      </c>
      <c r="B618" s="2242"/>
      <c r="C618" s="2242"/>
      <c r="D618" s="2242"/>
      <c r="E618" s="1050"/>
      <c r="F618" s="1051"/>
      <c r="G618" s="2242" t="str">
        <f>$K$2</f>
        <v>THÁNG 09/2024</v>
      </c>
      <c r="H618" s="2242"/>
      <c r="I618" s="2242"/>
      <c r="J618" s="2242"/>
      <c r="K618" s="624"/>
    </row>
    <row r="619" spans="1:15" ht="15" customHeight="1">
      <c r="A619" s="1052" t="s">
        <v>356</v>
      </c>
      <c r="B619" s="1053" t="s">
        <v>457</v>
      </c>
      <c r="C619" s="869"/>
      <c r="D619" s="1049"/>
      <c r="E619" s="1054"/>
      <c r="F619" s="1055"/>
      <c r="G619" s="1052" t="s">
        <v>356</v>
      </c>
      <c r="H619" s="1053" t="s">
        <v>458</v>
      </c>
      <c r="I619" s="869"/>
      <c r="J619" s="1049"/>
      <c r="L619" s="1088"/>
      <c r="M619" s="1088"/>
      <c r="N619" s="1088"/>
      <c r="O619" s="1088"/>
    </row>
    <row r="620" spans="1:15" ht="15" customHeight="1">
      <c r="A620" s="1052" t="s">
        <v>359</v>
      </c>
      <c r="B620" s="1089" t="s">
        <v>360</v>
      </c>
      <c r="C620" s="1058" t="e">
        <f>VLOOKUP(B619,'LƯƠNG KT'!$D$15:$U$94,3,0)</f>
        <v>#N/A</v>
      </c>
      <c r="D620" s="1059" t="e">
        <f>+C620*25000</f>
        <v>#N/A</v>
      </c>
      <c r="E620" s="1060"/>
      <c r="F620" s="1060"/>
      <c r="G620" s="1052" t="s">
        <v>359</v>
      </c>
      <c r="H620" s="1089" t="s">
        <v>360</v>
      </c>
      <c r="I620" s="1058" t="e">
        <f>VLOOKUP(H619,'LƯƠNG KT'!$D$15:$U$94,3,0)</f>
        <v>#N/A</v>
      </c>
      <c r="J620" s="1059" t="e">
        <f>+I620*25000</f>
        <v>#N/A</v>
      </c>
      <c r="K620" s="1085"/>
      <c r="L620" s="1085"/>
      <c r="M620" s="1085"/>
      <c r="N620" s="1085"/>
      <c r="O620" s="1085"/>
    </row>
    <row r="621" spans="1:15" ht="15" customHeight="1">
      <c r="A621" s="1052" t="s">
        <v>361</v>
      </c>
      <c r="B621" s="869" t="s">
        <v>362</v>
      </c>
      <c r="C621" s="1058" t="e">
        <f>VLOOKUP(B619,'LƯƠNG KT'!$D$15:$U$94,14,0)</f>
        <v>#N/A</v>
      </c>
      <c r="D621" s="1059" t="e">
        <f>C621*$L$4</f>
        <v>#N/A</v>
      </c>
      <c r="E621" s="1061"/>
      <c r="F621" s="1061"/>
      <c r="G621" s="1052" t="s">
        <v>361</v>
      </c>
      <c r="H621" s="869" t="s">
        <v>362</v>
      </c>
      <c r="I621" s="1058" t="e">
        <f>VLOOKUP(H619,'LƯƠNG KT'!$D$15:$U$94,14,0)</f>
        <v>#N/A</v>
      </c>
      <c r="J621" s="1059" t="e">
        <f>I621*$L$4</f>
        <v>#N/A</v>
      </c>
      <c r="K621" s="1085"/>
      <c r="L621" s="1085"/>
      <c r="M621" s="1085"/>
      <c r="N621" s="1085"/>
      <c r="O621" s="1085"/>
    </row>
    <row r="622" spans="1:15" ht="15" customHeight="1">
      <c r="A622" s="1052" t="s">
        <v>364</v>
      </c>
      <c r="B622" s="869" t="s">
        <v>365</v>
      </c>
      <c r="C622" s="1058" t="e">
        <f>VLOOKUP(B619,'LƯƠNG KT'!$D$15:$U$94,15,0)</f>
        <v>#N/A</v>
      </c>
      <c r="D622" s="1059" t="e">
        <f>C622*$L$5</f>
        <v>#N/A</v>
      </c>
      <c r="E622" s="1061"/>
      <c r="F622" s="1061"/>
      <c r="G622" s="1052" t="s">
        <v>364</v>
      </c>
      <c r="H622" s="869" t="s">
        <v>365</v>
      </c>
      <c r="I622" s="1058" t="e">
        <f>VLOOKUP(H619,'LƯƠNG KT'!$D$15:$U$94,15,0)</f>
        <v>#N/A</v>
      </c>
      <c r="J622" s="1059" t="e">
        <f>I622*$L$5</f>
        <v>#N/A</v>
      </c>
      <c r="K622" s="1085"/>
      <c r="L622" s="1085"/>
      <c r="M622" s="1085"/>
      <c r="N622" s="1085"/>
      <c r="O622" s="1085"/>
    </row>
    <row r="623" spans="1:15" ht="15" customHeight="1">
      <c r="A623" s="1052" t="s">
        <v>367</v>
      </c>
      <c r="B623" s="869"/>
      <c r="C623" s="1058" t="e">
        <f>VLOOKUP(B619,'LƯƠNG KT'!$D$15:$U$94,16,0)</f>
        <v>#N/A</v>
      </c>
      <c r="D623" s="1059" t="e">
        <f>+C623*$L$6</f>
        <v>#N/A</v>
      </c>
      <c r="E623" s="1061"/>
      <c r="F623" s="1061"/>
      <c r="G623" s="1052" t="s">
        <v>367</v>
      </c>
      <c r="H623" s="869"/>
      <c r="I623" s="1058" t="e">
        <f>VLOOKUP(H619,'LƯƠNG KT'!$D$15:$U$94,16,0)</f>
        <v>#N/A</v>
      </c>
      <c r="J623" s="1059" t="e">
        <f>+I623*$L$6</f>
        <v>#N/A</v>
      </c>
      <c r="K623" s="1085"/>
      <c r="L623" s="1085"/>
      <c r="M623" s="1085"/>
      <c r="N623" s="1085"/>
      <c r="O623" s="1085"/>
    </row>
    <row r="624" spans="1:15" ht="15" customHeight="1">
      <c r="A624" s="1052" t="s">
        <v>371</v>
      </c>
      <c r="B624" s="869" t="s">
        <v>372</v>
      </c>
      <c r="C624" s="1058" t="e">
        <f>VLOOKUP(B619,'LƯƠNG KT'!$D$15:$U$94,9,0)*$L$10</f>
        <v>#N/A</v>
      </c>
      <c r="D624" s="1059" t="e">
        <f>+C624*0.5*3000</f>
        <v>#N/A</v>
      </c>
      <c r="E624" s="1061"/>
      <c r="F624" s="1061"/>
      <c r="G624" s="1052" t="s">
        <v>371</v>
      </c>
      <c r="H624" s="869" t="s">
        <v>372</v>
      </c>
      <c r="I624" s="1058" t="e">
        <f>VLOOKUP(H619,'LƯƠNG KT'!$D$15:$U$94,9,0)*$L$10</f>
        <v>#N/A</v>
      </c>
      <c r="J624" s="1059" t="e">
        <f>+I624*0.5*3000</f>
        <v>#N/A</v>
      </c>
      <c r="K624" s="1085"/>
      <c r="L624" s="1085"/>
      <c r="M624" s="1085"/>
      <c r="N624" s="1085"/>
      <c r="O624" s="1085"/>
    </row>
    <row r="625" spans="1:15" ht="15" customHeight="1">
      <c r="A625" s="1052" t="s">
        <v>374</v>
      </c>
      <c r="B625" s="869" t="s">
        <v>375</v>
      </c>
      <c r="C625" s="1058" t="e">
        <f>VLOOKUP(B619,'LƯƠNG KT'!$D$15:$U$94,8,0)*$L$11</f>
        <v>#N/A</v>
      </c>
      <c r="D625" s="1059" t="e">
        <f>VLOOKUP(B619,'LƯƠNG KT'!$D$15:$U$94,13,0)-D624</f>
        <v>#N/A</v>
      </c>
      <c r="E625" s="1063"/>
      <c r="F625" s="1061"/>
      <c r="G625" s="1052" t="s">
        <v>374</v>
      </c>
      <c r="H625" s="869" t="s">
        <v>375</v>
      </c>
      <c r="I625" s="1058" t="e">
        <f>VLOOKUP(H619,'LƯƠNG KT'!$D$15:$U$94,8,0)*$L$11</f>
        <v>#N/A</v>
      </c>
      <c r="J625" s="1059" t="e">
        <f>VLOOKUP(H619,'LƯƠNG KT'!$D$15:$U$94,13,0)-J624</f>
        <v>#N/A</v>
      </c>
      <c r="K625" s="1085"/>
      <c r="L625" s="1085"/>
      <c r="M625" s="1085"/>
      <c r="N625" s="1085"/>
      <c r="O625" s="1085"/>
    </row>
    <row r="626" spans="1:15" ht="15" customHeight="1">
      <c r="A626" s="1059" t="s">
        <v>377</v>
      </c>
      <c r="B626" s="869" t="s">
        <v>378</v>
      </c>
      <c r="C626" s="1058"/>
      <c r="D626" s="1059"/>
      <c r="E626" s="1065"/>
      <c r="F626" s="1065"/>
      <c r="G626" s="1059" t="s">
        <v>377</v>
      </c>
      <c r="H626" s="869" t="s">
        <v>378</v>
      </c>
      <c r="I626" s="1058"/>
      <c r="J626" s="1059"/>
    </row>
    <row r="627" spans="1:15" ht="15" customHeight="1">
      <c r="A627" s="1066" t="s">
        <v>379</v>
      </c>
      <c r="B627" s="869" t="s">
        <v>380</v>
      </c>
      <c r="C627" s="1058"/>
      <c r="D627" s="1059">
        <f>14*25000</f>
        <v>350000</v>
      </c>
      <c r="E627" s="1063"/>
      <c r="F627" s="1065"/>
      <c r="G627" s="1066" t="s">
        <v>379</v>
      </c>
      <c r="H627" s="869" t="s">
        <v>380</v>
      </c>
      <c r="I627" s="1058"/>
      <c r="J627" s="1059">
        <f>14*25000</f>
        <v>350000</v>
      </c>
    </row>
    <row r="628" spans="1:15" ht="15" customHeight="1">
      <c r="A628" s="1052" t="s">
        <v>381</v>
      </c>
      <c r="B628" s="869" t="s">
        <v>382</v>
      </c>
      <c r="C628" s="1058"/>
      <c r="D628" s="1059">
        <f>D627</f>
        <v>350000</v>
      </c>
      <c r="E628" s="1067"/>
      <c r="F628" s="1051"/>
      <c r="G628" s="1052" t="s">
        <v>381</v>
      </c>
      <c r="H628" s="869" t="s">
        <v>382</v>
      </c>
      <c r="I628" s="1058"/>
      <c r="J628" s="1059">
        <f>J627</f>
        <v>350000</v>
      </c>
    </row>
    <row r="629" spans="1:15" ht="15" customHeight="1">
      <c r="A629" s="1068" t="s">
        <v>383</v>
      </c>
      <c r="B629" s="1069" t="s">
        <v>384</v>
      </c>
      <c r="C629" s="1070"/>
      <c r="D629" s="1071" t="e">
        <f>SUM(D620:D625)-D628</f>
        <v>#N/A</v>
      </c>
      <c r="E629" s="1072"/>
      <c r="F629" s="1073"/>
      <c r="G629" s="1068" t="s">
        <v>383</v>
      </c>
      <c r="H629" s="1069" t="s">
        <v>384</v>
      </c>
      <c r="I629" s="1070"/>
      <c r="J629" s="1071" t="e">
        <f>SUM(J620:J625)-J628</f>
        <v>#N/A</v>
      </c>
    </row>
    <row r="630" spans="1:15" ht="18.75" customHeight="1">
      <c r="A630" s="1074"/>
      <c r="B630" s="1075"/>
      <c r="C630" s="1076"/>
      <c r="D630" s="1077"/>
      <c r="E630" s="1077"/>
      <c r="F630" s="1078"/>
      <c r="G630" s="1074"/>
      <c r="H630" s="1075"/>
      <c r="I630" s="1076"/>
      <c r="J630" s="1077"/>
    </row>
    <row r="631" spans="1:15" ht="18.75" customHeight="1">
      <c r="A631" s="1075"/>
      <c r="B631" s="1075"/>
      <c r="C631" s="1079"/>
      <c r="D631" s="1080"/>
      <c r="E631" s="1075"/>
      <c r="F631" s="1081"/>
      <c r="G631" s="1075"/>
      <c r="H631" s="1075"/>
      <c r="I631" s="1079"/>
      <c r="J631" s="1080"/>
    </row>
    <row r="632" spans="1:15" ht="15" customHeight="1">
      <c r="A632" s="2242" t="str">
        <f>$K$2</f>
        <v>THÁNG 09/2024</v>
      </c>
      <c r="B632" s="2242"/>
      <c r="C632" s="2242"/>
      <c r="D632" s="2242"/>
      <c r="E632" s="1050"/>
      <c r="F632" s="1051"/>
      <c r="G632" s="2242" t="str">
        <f>$K$2</f>
        <v>THÁNG 09/2024</v>
      </c>
      <c r="H632" s="2242"/>
      <c r="I632" s="2242"/>
      <c r="J632" s="2242"/>
      <c r="K632" s="624"/>
    </row>
    <row r="633" spans="1:15" ht="15" customHeight="1">
      <c r="A633" s="1052" t="s">
        <v>356</v>
      </c>
      <c r="B633" s="1053" t="s">
        <v>459</v>
      </c>
      <c r="C633" s="869"/>
      <c r="D633" s="1049"/>
      <c r="E633" s="1054"/>
      <c r="F633" s="1055"/>
      <c r="G633" s="1052" t="s">
        <v>356</v>
      </c>
      <c r="H633" s="1053" t="s">
        <v>460</v>
      </c>
      <c r="I633" s="869"/>
      <c r="J633" s="1049"/>
      <c r="L633" s="1088"/>
      <c r="M633" s="1088"/>
      <c r="N633" s="1088"/>
      <c r="O633" s="1088"/>
    </row>
    <row r="634" spans="1:15" ht="15" customHeight="1">
      <c r="A634" s="1052" t="s">
        <v>359</v>
      </c>
      <c r="B634" s="1089" t="s">
        <v>360</v>
      </c>
      <c r="C634" s="1058" t="e">
        <f>VLOOKUP(B633,'LƯƠNG KT'!$D$15:$U$94,3,0)</f>
        <v>#N/A</v>
      </c>
      <c r="D634" s="1059" t="e">
        <f>+C634*25000</f>
        <v>#N/A</v>
      </c>
      <c r="E634" s="1060"/>
      <c r="F634" s="1060"/>
      <c r="G634" s="1052" t="s">
        <v>359</v>
      </c>
      <c r="H634" s="1089" t="s">
        <v>360</v>
      </c>
      <c r="I634" s="1058" t="e">
        <f>VLOOKUP(H633,'LƯƠNG KT'!$D$15:$U$94,3,0)</f>
        <v>#N/A</v>
      </c>
      <c r="J634" s="1059" t="e">
        <f>+I634*25000</f>
        <v>#N/A</v>
      </c>
      <c r="K634" s="1085"/>
      <c r="L634" s="1085"/>
      <c r="M634" s="1085"/>
      <c r="N634" s="1085"/>
      <c r="O634" s="1085"/>
    </row>
    <row r="635" spans="1:15" ht="15" customHeight="1">
      <c r="A635" s="1052" t="s">
        <v>361</v>
      </c>
      <c r="B635" s="869" t="s">
        <v>362</v>
      </c>
      <c r="C635" s="1058" t="e">
        <f>VLOOKUP(B633,'LƯƠNG KT'!$D$15:$U$94,14,0)</f>
        <v>#N/A</v>
      </c>
      <c r="D635" s="1059" t="e">
        <f>C635*$L$4</f>
        <v>#N/A</v>
      </c>
      <c r="E635" s="1061"/>
      <c r="F635" s="1061"/>
      <c r="G635" s="1052" t="s">
        <v>361</v>
      </c>
      <c r="H635" s="869" t="s">
        <v>362</v>
      </c>
      <c r="I635" s="1058" t="e">
        <f>VLOOKUP(H633,'LƯƠNG KT'!$D$15:$U$94,14,0)</f>
        <v>#N/A</v>
      </c>
      <c r="J635" s="1059" t="e">
        <f>I635*$L$4</f>
        <v>#N/A</v>
      </c>
      <c r="K635" s="1085"/>
      <c r="L635" s="1085"/>
      <c r="M635" s="1085"/>
      <c r="N635" s="1085"/>
      <c r="O635" s="1085"/>
    </row>
    <row r="636" spans="1:15" ht="15" customHeight="1">
      <c r="A636" s="1052" t="s">
        <v>364</v>
      </c>
      <c r="B636" s="869" t="s">
        <v>365</v>
      </c>
      <c r="C636" s="1058" t="e">
        <f>VLOOKUP(B633,'LƯƠNG KT'!$D$15:$U$94,15,0)</f>
        <v>#N/A</v>
      </c>
      <c r="D636" s="1059" t="e">
        <f>C636*$L$5</f>
        <v>#N/A</v>
      </c>
      <c r="E636" s="1061"/>
      <c r="F636" s="1061"/>
      <c r="G636" s="1052" t="s">
        <v>364</v>
      </c>
      <c r="H636" s="869" t="s">
        <v>365</v>
      </c>
      <c r="I636" s="1058" t="e">
        <f>VLOOKUP(H633,'LƯƠNG KT'!$D$15:$U$94,15,0)</f>
        <v>#N/A</v>
      </c>
      <c r="J636" s="1059" t="e">
        <f>I636*$L$5</f>
        <v>#N/A</v>
      </c>
      <c r="K636" s="1085"/>
      <c r="L636" s="1085"/>
      <c r="M636" s="1085"/>
      <c r="N636" s="1085"/>
      <c r="O636" s="1085"/>
    </row>
    <row r="637" spans="1:15" ht="15" customHeight="1">
      <c r="A637" s="1052" t="s">
        <v>367</v>
      </c>
      <c r="B637" s="869"/>
      <c r="C637" s="1058" t="e">
        <f>VLOOKUP(B633,'LƯƠNG KT'!$D$15:$U$94,16,0)</f>
        <v>#N/A</v>
      </c>
      <c r="D637" s="1059" t="e">
        <f>+C637*$L$6</f>
        <v>#N/A</v>
      </c>
      <c r="E637" s="1061"/>
      <c r="F637" s="1061"/>
      <c r="G637" s="1052" t="s">
        <v>367</v>
      </c>
      <c r="H637" s="869"/>
      <c r="I637" s="1058" t="e">
        <f>VLOOKUP(H633,'LƯƠNG KT'!$D$15:$U$94,16,0)</f>
        <v>#N/A</v>
      </c>
      <c r="J637" s="1059" t="e">
        <f>+I637*$L$6</f>
        <v>#N/A</v>
      </c>
      <c r="K637" s="1085"/>
      <c r="L637" s="1085"/>
      <c r="M637" s="1085"/>
      <c r="N637" s="1085"/>
      <c r="O637" s="1085"/>
    </row>
    <row r="638" spans="1:15" ht="15" customHeight="1">
      <c r="A638" s="1052" t="s">
        <v>371</v>
      </c>
      <c r="B638" s="869" t="s">
        <v>372</v>
      </c>
      <c r="C638" s="1058" t="e">
        <f>VLOOKUP(B633,'LƯƠNG KT'!$D$15:$U$94,9,0)*$L$10</f>
        <v>#N/A</v>
      </c>
      <c r="D638" s="1059" t="e">
        <f>+C638*0.5*3000</f>
        <v>#N/A</v>
      </c>
      <c r="E638" s="1061"/>
      <c r="F638" s="1061"/>
      <c r="G638" s="1052" t="s">
        <v>371</v>
      </c>
      <c r="H638" s="869" t="s">
        <v>372</v>
      </c>
      <c r="I638" s="1058" t="e">
        <f>VLOOKUP(H633,'LƯƠNG KT'!$D$15:$U$94,9,0)*$L$10</f>
        <v>#N/A</v>
      </c>
      <c r="J638" s="1059" t="e">
        <f>+I638*0.5*3000</f>
        <v>#N/A</v>
      </c>
      <c r="K638" s="1085"/>
      <c r="L638" s="1085"/>
      <c r="M638" s="1085"/>
      <c r="N638" s="1085"/>
      <c r="O638" s="1085"/>
    </row>
    <row r="639" spans="1:15" ht="15" customHeight="1">
      <c r="A639" s="1052" t="s">
        <v>374</v>
      </c>
      <c r="B639" s="869" t="s">
        <v>375</v>
      </c>
      <c r="C639" s="1058" t="e">
        <f>VLOOKUP(B633,'LƯƠNG KT'!$D$15:$U$94,8,0)*$L$11</f>
        <v>#N/A</v>
      </c>
      <c r="D639" s="1059" t="e">
        <f>VLOOKUP(B633,'LƯƠNG KT'!$D$15:$U$94,13,0)-D638</f>
        <v>#N/A</v>
      </c>
      <c r="E639" s="1063"/>
      <c r="F639" s="1061"/>
      <c r="G639" s="1052" t="s">
        <v>374</v>
      </c>
      <c r="H639" s="869" t="s">
        <v>375</v>
      </c>
      <c r="I639" s="1058" t="e">
        <f>VLOOKUP(H633,'LƯƠNG KT'!$D$15:$U$94,8,0)*$L$11</f>
        <v>#N/A</v>
      </c>
      <c r="J639" s="1059" t="e">
        <f>VLOOKUP(H633,'LƯƠNG KT'!$D$15:$U$94,13,0)-J638</f>
        <v>#N/A</v>
      </c>
      <c r="K639" s="1085"/>
      <c r="L639" s="1085"/>
      <c r="M639" s="1085"/>
      <c r="N639" s="1085"/>
      <c r="O639" s="1085"/>
    </row>
    <row r="640" spans="1:15" ht="15" customHeight="1">
      <c r="A640" s="1059" t="s">
        <v>377</v>
      </c>
      <c r="B640" s="869" t="s">
        <v>378</v>
      </c>
      <c r="C640" s="1058"/>
      <c r="D640" s="1059"/>
      <c r="E640" s="1065"/>
      <c r="F640" s="1065"/>
      <c r="G640" s="1059" t="s">
        <v>377</v>
      </c>
      <c r="H640" s="869" t="s">
        <v>378</v>
      </c>
      <c r="I640" s="1058"/>
      <c r="J640" s="1059"/>
    </row>
    <row r="641" spans="1:15" ht="15" customHeight="1">
      <c r="A641" s="1066" t="s">
        <v>379</v>
      </c>
      <c r="B641" s="869" t="s">
        <v>380</v>
      </c>
      <c r="C641" s="1058"/>
      <c r="D641" s="1059">
        <f>14*25000</f>
        <v>350000</v>
      </c>
      <c r="E641" s="1063"/>
      <c r="F641" s="1065"/>
      <c r="G641" s="1066" t="s">
        <v>379</v>
      </c>
      <c r="H641" s="869" t="s">
        <v>380</v>
      </c>
      <c r="I641" s="1058"/>
      <c r="J641" s="1059">
        <f>14*25000</f>
        <v>350000</v>
      </c>
    </row>
    <row r="642" spans="1:15" ht="15" customHeight="1">
      <c r="A642" s="1052" t="s">
        <v>381</v>
      </c>
      <c r="B642" s="869" t="s">
        <v>382</v>
      </c>
      <c r="C642" s="1058"/>
      <c r="D642" s="1059">
        <f>D641</f>
        <v>350000</v>
      </c>
      <c r="E642" s="1067"/>
      <c r="F642" s="1051"/>
      <c r="G642" s="1052" t="s">
        <v>381</v>
      </c>
      <c r="H642" s="869" t="s">
        <v>382</v>
      </c>
      <c r="I642" s="1058"/>
      <c r="J642" s="1059">
        <f>J641</f>
        <v>350000</v>
      </c>
    </row>
    <row r="643" spans="1:15" ht="15" customHeight="1">
      <c r="A643" s="1068" t="s">
        <v>383</v>
      </c>
      <c r="B643" s="1069" t="s">
        <v>384</v>
      </c>
      <c r="C643" s="1070"/>
      <c r="D643" s="1071" t="e">
        <f>SUM(D634:D639)-D642</f>
        <v>#N/A</v>
      </c>
      <c r="E643" s="1072"/>
      <c r="F643" s="1073"/>
      <c r="G643" s="1068" t="s">
        <v>383</v>
      </c>
      <c r="H643" s="1069" t="s">
        <v>384</v>
      </c>
      <c r="I643" s="1070"/>
      <c r="J643" s="1071" t="e">
        <f>SUM(J634:J639)-J642</f>
        <v>#N/A</v>
      </c>
    </row>
    <row r="644" spans="1:15" ht="15.75" customHeight="1">
      <c r="A644" s="1074"/>
      <c r="B644" s="1075"/>
      <c r="C644" s="1076"/>
      <c r="D644" s="1077"/>
      <c r="E644" s="1077"/>
      <c r="F644" s="1078"/>
      <c r="G644" s="1074"/>
      <c r="H644" s="1075"/>
      <c r="I644" s="1076"/>
      <c r="J644" s="1077"/>
    </row>
    <row r="646" spans="1:15" ht="12" customHeight="1">
      <c r="A646" s="2243"/>
      <c r="B646" s="2243"/>
      <c r="C646" s="2243"/>
      <c r="D646" s="2243"/>
      <c r="E646" s="2243"/>
      <c r="F646" s="2243"/>
      <c r="G646" s="2243"/>
      <c r="H646" s="2243"/>
      <c r="I646" s="2243"/>
      <c r="J646" s="2243"/>
    </row>
    <row r="647" spans="1:15" ht="15" customHeight="1">
      <c r="A647" s="2242" t="str">
        <f>$K$2</f>
        <v>THÁNG 09/2024</v>
      </c>
      <c r="B647" s="2242"/>
      <c r="C647" s="2242"/>
      <c r="D647" s="2242"/>
      <c r="E647" s="1050"/>
      <c r="F647" s="1051"/>
      <c r="G647" s="2242" t="str">
        <f>$K$2</f>
        <v>THÁNG 09/2024</v>
      </c>
      <c r="H647" s="2242"/>
      <c r="I647" s="2242"/>
      <c r="J647" s="2242"/>
      <c r="K647" s="624"/>
    </row>
    <row r="648" spans="1:15" ht="15" customHeight="1">
      <c r="A648" s="1052" t="s">
        <v>356</v>
      </c>
      <c r="B648" s="1053" t="s">
        <v>461</v>
      </c>
      <c r="C648" s="869"/>
      <c r="D648" s="1049"/>
      <c r="E648" s="1054"/>
      <c r="F648" s="1055"/>
      <c r="G648" s="1052" t="s">
        <v>356</v>
      </c>
      <c r="H648" s="1053" t="s">
        <v>462</v>
      </c>
      <c r="I648" s="869"/>
      <c r="J648" s="1049"/>
      <c r="L648" s="1088"/>
      <c r="M648" s="1088"/>
      <c r="N648" s="1088"/>
      <c r="O648" s="1088"/>
    </row>
    <row r="649" spans="1:15" ht="15" customHeight="1">
      <c r="A649" s="1052" t="s">
        <v>359</v>
      </c>
      <c r="B649" s="1089" t="s">
        <v>360</v>
      </c>
      <c r="C649" s="1058" t="e">
        <f>VLOOKUP(B648,'LƯƠNG KT'!$D$15:$U$94,3,0)</f>
        <v>#N/A</v>
      </c>
      <c r="D649" s="1059" t="e">
        <f>+C649*25000</f>
        <v>#N/A</v>
      </c>
      <c r="E649" s="1060"/>
      <c r="F649" s="1060"/>
      <c r="G649" s="1052" t="s">
        <v>359</v>
      </c>
      <c r="H649" s="1089" t="s">
        <v>360</v>
      </c>
      <c r="I649" s="1058" t="e">
        <f>VLOOKUP(H648,'LƯƠNG KT'!$D$15:$U$94,3,0)</f>
        <v>#N/A</v>
      </c>
      <c r="J649" s="1059" t="e">
        <f>+I649*25000</f>
        <v>#N/A</v>
      </c>
      <c r="K649" s="1084"/>
      <c r="L649" s="1085"/>
      <c r="M649" s="1085"/>
      <c r="N649" s="1085"/>
      <c r="O649" s="1085"/>
    </row>
    <row r="650" spans="1:15" ht="15" customHeight="1">
      <c r="A650" s="1052" t="s">
        <v>361</v>
      </c>
      <c r="B650" s="869" t="s">
        <v>362</v>
      </c>
      <c r="C650" s="1058" t="e">
        <f>VLOOKUP(B648,'LƯƠNG KT'!$D$15:$U$94,14,0)</f>
        <v>#N/A</v>
      </c>
      <c r="D650" s="1059" t="e">
        <f>C650*$L$4</f>
        <v>#N/A</v>
      </c>
      <c r="E650" s="1061"/>
      <c r="F650" s="1061"/>
      <c r="G650" s="1052" t="s">
        <v>361</v>
      </c>
      <c r="H650" s="869" t="s">
        <v>362</v>
      </c>
      <c r="I650" s="1058" t="e">
        <f>VLOOKUP(H648,'LƯƠNG KT'!$D$15:$U$94,14,0)</f>
        <v>#N/A</v>
      </c>
      <c r="J650" s="1059" t="e">
        <f>I650*$L$4</f>
        <v>#N/A</v>
      </c>
      <c r="K650" s="1084"/>
      <c r="L650" s="1085"/>
      <c r="M650" s="1085"/>
      <c r="N650" s="1085"/>
      <c r="O650" s="1085"/>
    </row>
    <row r="651" spans="1:15" ht="15" customHeight="1">
      <c r="A651" s="1052" t="s">
        <v>364</v>
      </c>
      <c r="B651" s="869" t="s">
        <v>365</v>
      </c>
      <c r="C651" s="1058" t="e">
        <f>VLOOKUP(B648,'LƯƠNG KT'!$D$15:$U$94,15,0)</f>
        <v>#N/A</v>
      </c>
      <c r="D651" s="1059" t="e">
        <f>C651*$L$5</f>
        <v>#N/A</v>
      </c>
      <c r="E651" s="1061"/>
      <c r="F651" s="1061"/>
      <c r="G651" s="1052" t="s">
        <v>364</v>
      </c>
      <c r="H651" s="869" t="s">
        <v>365</v>
      </c>
      <c r="I651" s="1058" t="e">
        <f>VLOOKUP(H648,'LƯƠNG KT'!$D$15:$U$94,15,0)</f>
        <v>#N/A</v>
      </c>
      <c r="J651" s="1059" t="e">
        <f>I651*$L$5</f>
        <v>#N/A</v>
      </c>
      <c r="K651" s="1084"/>
      <c r="L651" s="1085"/>
      <c r="M651" s="1085"/>
      <c r="N651" s="1085"/>
      <c r="O651" s="1085"/>
    </row>
    <row r="652" spans="1:15" ht="15" customHeight="1">
      <c r="A652" s="1052" t="s">
        <v>367</v>
      </c>
      <c r="B652" s="869"/>
      <c r="C652" s="1058" t="e">
        <f>VLOOKUP(B648,'LƯƠNG KT'!$D$15:$U$94,16,0)</f>
        <v>#N/A</v>
      </c>
      <c r="D652" s="1059" t="e">
        <f>+C652*$L$6</f>
        <v>#N/A</v>
      </c>
      <c r="E652" s="1061"/>
      <c r="F652" s="1061"/>
      <c r="G652" s="1052" t="s">
        <v>367</v>
      </c>
      <c r="H652" s="869"/>
      <c r="I652" s="1058" t="e">
        <f>VLOOKUP(H648,'LƯƠNG KT'!$D$15:$U$94,16,0)</f>
        <v>#N/A</v>
      </c>
      <c r="J652" s="1059" t="e">
        <f>+I652*$L$6</f>
        <v>#N/A</v>
      </c>
      <c r="K652" s="1085"/>
      <c r="L652" s="1085"/>
      <c r="M652" s="1085"/>
      <c r="N652" s="1085"/>
      <c r="O652" s="1085"/>
    </row>
    <row r="653" spans="1:15" ht="15" customHeight="1">
      <c r="A653" s="1052" t="s">
        <v>371</v>
      </c>
      <c r="B653" s="869" t="s">
        <v>372</v>
      </c>
      <c r="C653" s="1058" t="e">
        <f>VLOOKUP(B648,'LƯƠNG KT'!$D$15:$U$94,9,0)*$L$10</f>
        <v>#N/A</v>
      </c>
      <c r="D653" s="1059" t="e">
        <f>+C653*0.5*3000</f>
        <v>#N/A</v>
      </c>
      <c r="E653" s="1061"/>
      <c r="F653" s="1061"/>
      <c r="G653" s="1052" t="s">
        <v>371</v>
      </c>
      <c r="H653" s="869" t="s">
        <v>372</v>
      </c>
      <c r="I653" s="1058" t="e">
        <f>VLOOKUP(H648,'LƯƠNG KT'!$D$15:$U$94,9,0)*$L$10</f>
        <v>#N/A</v>
      </c>
      <c r="J653" s="1059" t="e">
        <f>+I653*0.5*3000</f>
        <v>#N/A</v>
      </c>
      <c r="K653" s="1085"/>
      <c r="L653" s="1085"/>
      <c r="M653" s="1085"/>
      <c r="N653" s="1085"/>
      <c r="O653" s="1085"/>
    </row>
    <row r="654" spans="1:15" ht="15" customHeight="1">
      <c r="A654" s="1052" t="s">
        <v>374</v>
      </c>
      <c r="B654" s="869" t="s">
        <v>375</v>
      </c>
      <c r="C654" s="1058" t="e">
        <f>VLOOKUP(B648,'LƯƠNG KT'!$D$15:$U$94,8,0)*$L$11</f>
        <v>#N/A</v>
      </c>
      <c r="D654" s="1059" t="e">
        <f>VLOOKUP(B648,'LƯƠNG KT'!$D$15:$U$94,13,0)-D653</f>
        <v>#N/A</v>
      </c>
      <c r="E654" s="1063"/>
      <c r="F654" s="1061"/>
      <c r="G654" s="1052" t="s">
        <v>374</v>
      </c>
      <c r="H654" s="869" t="s">
        <v>375</v>
      </c>
      <c r="I654" s="1058" t="e">
        <f>VLOOKUP(H648,'LƯƠNG KT'!$D$15:$U$94,8,0)*$L$11</f>
        <v>#N/A</v>
      </c>
      <c r="J654" s="1059" t="e">
        <f>VLOOKUP(H648,'LƯƠNG KT'!$D$15:$U$94,13,0)-J653</f>
        <v>#N/A</v>
      </c>
      <c r="K654" s="1085"/>
      <c r="L654" s="1085"/>
      <c r="M654" s="1085"/>
      <c r="N654" s="1085"/>
      <c r="O654" s="1085"/>
    </row>
    <row r="655" spans="1:15" ht="15" customHeight="1">
      <c r="A655" s="1059" t="s">
        <v>377</v>
      </c>
      <c r="B655" s="869" t="s">
        <v>378</v>
      </c>
      <c r="C655" s="1058"/>
      <c r="D655" s="1059"/>
      <c r="E655" s="1065"/>
      <c r="F655" s="1065"/>
      <c r="G655" s="1059" t="s">
        <v>377</v>
      </c>
      <c r="H655" s="869" t="s">
        <v>378</v>
      </c>
      <c r="I655" s="1058"/>
      <c r="J655" s="1059"/>
    </row>
    <row r="656" spans="1:15" ht="15" customHeight="1">
      <c r="A656" s="1066" t="s">
        <v>379</v>
      </c>
      <c r="B656" s="869" t="s">
        <v>380</v>
      </c>
      <c r="C656" s="1058"/>
      <c r="D656" s="1059">
        <f>14*25000</f>
        <v>350000</v>
      </c>
      <c r="E656" s="1063"/>
      <c r="F656" s="1065"/>
      <c r="G656" s="1066" t="s">
        <v>379</v>
      </c>
      <c r="H656" s="869" t="s">
        <v>380</v>
      </c>
      <c r="I656" s="1058"/>
      <c r="J656" s="1059">
        <f>14*25000</f>
        <v>350000</v>
      </c>
    </row>
    <row r="657" spans="1:15" ht="15" customHeight="1">
      <c r="A657" s="1052" t="s">
        <v>381</v>
      </c>
      <c r="B657" s="869" t="s">
        <v>382</v>
      </c>
      <c r="C657" s="1058"/>
      <c r="D657" s="1059">
        <f>D656</f>
        <v>350000</v>
      </c>
      <c r="E657" s="1067"/>
      <c r="F657" s="1051"/>
      <c r="G657" s="1052" t="s">
        <v>381</v>
      </c>
      <c r="H657" s="869" t="s">
        <v>382</v>
      </c>
      <c r="I657" s="1058"/>
      <c r="J657" s="1059">
        <f>J656</f>
        <v>350000</v>
      </c>
    </row>
    <row r="658" spans="1:15" ht="15" customHeight="1">
      <c r="A658" s="1068" t="s">
        <v>383</v>
      </c>
      <c r="B658" s="1069" t="s">
        <v>384</v>
      </c>
      <c r="C658" s="1070"/>
      <c r="D658" s="1071" t="e">
        <f>SUM(D649:D654)-D657</f>
        <v>#N/A</v>
      </c>
      <c r="E658" s="1072"/>
      <c r="F658" s="1073"/>
      <c r="G658" s="1068" t="s">
        <v>383</v>
      </c>
      <c r="H658" s="1069" t="s">
        <v>384</v>
      </c>
      <c r="I658" s="1070"/>
      <c r="J658" s="1071" t="e">
        <f>SUM(J649:J654)-J657</f>
        <v>#N/A</v>
      </c>
    </row>
    <row r="659" spans="1:15" ht="12.6" customHeight="1">
      <c r="A659" s="1074"/>
      <c r="B659" s="1075"/>
      <c r="C659" s="1076"/>
      <c r="D659" s="1077"/>
      <c r="E659" s="1077"/>
      <c r="F659" s="1078"/>
      <c r="G659" s="1074"/>
      <c r="H659" s="1075"/>
      <c r="I659" s="1076"/>
      <c r="J659" s="1077"/>
    </row>
    <row r="660" spans="1:15" ht="12.6" customHeight="1">
      <c r="A660" s="1075"/>
      <c r="B660" s="1075"/>
      <c r="C660" s="1079"/>
      <c r="D660" s="1080"/>
      <c r="E660" s="1075"/>
      <c r="F660" s="1081"/>
      <c r="G660" s="1075"/>
      <c r="H660" s="1075"/>
      <c r="I660" s="1079"/>
      <c r="J660" s="1080"/>
    </row>
    <row r="661" spans="1:15" ht="15" customHeight="1">
      <c r="A661" s="2242" t="str">
        <f>$K$2</f>
        <v>THÁNG 09/2024</v>
      </c>
      <c r="B661" s="2242"/>
      <c r="C661" s="2242"/>
      <c r="D661" s="2242"/>
      <c r="E661" s="1050"/>
      <c r="F661" s="1051"/>
      <c r="G661" s="2242" t="str">
        <f>$K$2</f>
        <v>THÁNG 09/2024</v>
      </c>
      <c r="H661" s="2242"/>
      <c r="I661" s="2242"/>
      <c r="J661" s="2242"/>
      <c r="K661" s="624"/>
    </row>
    <row r="662" spans="1:15" ht="15" customHeight="1">
      <c r="A662" s="1052" t="s">
        <v>356</v>
      </c>
      <c r="B662" s="1053" t="s">
        <v>463</v>
      </c>
      <c r="C662" s="869"/>
      <c r="D662" s="1049"/>
      <c r="E662" s="1054"/>
      <c r="F662" s="1055"/>
      <c r="G662" s="1052" t="s">
        <v>356</v>
      </c>
      <c r="H662" s="1053" t="s">
        <v>464</v>
      </c>
      <c r="I662" s="869"/>
      <c r="J662" s="1049"/>
      <c r="L662" s="1088"/>
      <c r="M662" s="1088"/>
      <c r="N662" s="1088"/>
      <c r="O662" s="1088"/>
    </row>
    <row r="663" spans="1:15" ht="15" customHeight="1">
      <c r="A663" s="1052" t="s">
        <v>359</v>
      </c>
      <c r="B663" s="1089" t="s">
        <v>360</v>
      </c>
      <c r="C663" s="1058" t="e">
        <f>VLOOKUP(B662,'LƯƠNG KT'!$D$15:$U$94,3,0)</f>
        <v>#N/A</v>
      </c>
      <c r="D663" s="1059" t="e">
        <f>+C663*25000</f>
        <v>#N/A</v>
      </c>
      <c r="E663" s="1060"/>
      <c r="F663" s="1060"/>
      <c r="G663" s="1052" t="s">
        <v>359</v>
      </c>
      <c r="H663" s="1089" t="s">
        <v>360</v>
      </c>
      <c r="I663" s="1058" t="e">
        <f>VLOOKUP(H662,'LƯƠNG KT'!$D$15:$U$94,3,0)</f>
        <v>#N/A</v>
      </c>
      <c r="J663" s="1059" t="e">
        <f>+I663*25000</f>
        <v>#N/A</v>
      </c>
      <c r="K663" s="1085"/>
      <c r="L663" s="1085"/>
      <c r="M663" s="1085"/>
      <c r="N663" s="1085"/>
      <c r="O663" s="1085"/>
    </row>
    <row r="664" spans="1:15" ht="15" customHeight="1">
      <c r="A664" s="1052" t="s">
        <v>361</v>
      </c>
      <c r="B664" s="869" t="s">
        <v>362</v>
      </c>
      <c r="C664" s="1058" t="e">
        <f>VLOOKUP(B662,'LƯƠNG KT'!$D$15:$U$94,14,0)</f>
        <v>#N/A</v>
      </c>
      <c r="D664" s="1059" t="e">
        <f>C664*$L$4</f>
        <v>#N/A</v>
      </c>
      <c r="E664" s="1061"/>
      <c r="F664" s="1061"/>
      <c r="G664" s="1052" t="s">
        <v>361</v>
      </c>
      <c r="H664" s="869" t="s">
        <v>362</v>
      </c>
      <c r="I664" s="1058" t="e">
        <f>VLOOKUP(H662,'LƯƠNG KT'!$D$15:$U$94,14,0)</f>
        <v>#N/A</v>
      </c>
      <c r="J664" s="1059" t="e">
        <f>I664*$L$4</f>
        <v>#N/A</v>
      </c>
      <c r="K664" s="1085"/>
      <c r="L664" s="1085"/>
      <c r="M664" s="1085"/>
      <c r="N664" s="1085"/>
      <c r="O664" s="1085"/>
    </row>
    <row r="665" spans="1:15" ht="15" customHeight="1">
      <c r="A665" s="1052" t="s">
        <v>364</v>
      </c>
      <c r="B665" s="869" t="s">
        <v>365</v>
      </c>
      <c r="C665" s="1058" t="e">
        <f>VLOOKUP(B662,'LƯƠNG KT'!$D$15:$U$94,15,0)</f>
        <v>#N/A</v>
      </c>
      <c r="D665" s="1059" t="e">
        <f>C665*$L$5</f>
        <v>#N/A</v>
      </c>
      <c r="E665" s="1061"/>
      <c r="F665" s="1061"/>
      <c r="G665" s="1052" t="s">
        <v>364</v>
      </c>
      <c r="H665" s="869" t="s">
        <v>365</v>
      </c>
      <c r="I665" s="1058" t="e">
        <f>VLOOKUP(H662,'LƯƠNG KT'!$D$15:$U$94,15,0)</f>
        <v>#N/A</v>
      </c>
      <c r="J665" s="1059" t="e">
        <f>I665*$L$5</f>
        <v>#N/A</v>
      </c>
      <c r="K665" s="1085"/>
      <c r="L665" s="1085"/>
      <c r="M665" s="1085"/>
      <c r="N665" s="1085"/>
      <c r="O665" s="1085"/>
    </row>
    <row r="666" spans="1:15" ht="15" customHeight="1">
      <c r="A666" s="1052" t="s">
        <v>367</v>
      </c>
      <c r="B666" s="869"/>
      <c r="C666" s="1058" t="e">
        <f>VLOOKUP(B662,'LƯƠNG KT'!$D$15:$U$94,16,0)</f>
        <v>#N/A</v>
      </c>
      <c r="D666" s="1059" t="e">
        <f>+C666*$L$6</f>
        <v>#N/A</v>
      </c>
      <c r="E666" s="1061"/>
      <c r="F666" s="1061"/>
      <c r="G666" s="1052" t="s">
        <v>367</v>
      </c>
      <c r="H666" s="869"/>
      <c r="I666" s="1058" t="e">
        <f>VLOOKUP(H662,'LƯƠNG KT'!$D$15:$U$94,16,0)</f>
        <v>#N/A</v>
      </c>
      <c r="J666" s="1059" t="e">
        <f>+I666*$L$6</f>
        <v>#N/A</v>
      </c>
      <c r="K666" s="1085"/>
      <c r="L666" s="1085"/>
      <c r="M666" s="1085"/>
      <c r="N666" s="1085"/>
      <c r="O666" s="1085"/>
    </row>
    <row r="667" spans="1:15" ht="15" customHeight="1">
      <c r="A667" s="1052" t="s">
        <v>371</v>
      </c>
      <c r="B667" s="869" t="s">
        <v>372</v>
      </c>
      <c r="C667" s="1058" t="e">
        <f>VLOOKUP(B662,'LƯƠNG KT'!$D$15:$U$94,9,0)*$L$10</f>
        <v>#N/A</v>
      </c>
      <c r="D667" s="1059" t="e">
        <f>+C667*0.5*3000</f>
        <v>#N/A</v>
      </c>
      <c r="E667" s="1061"/>
      <c r="F667" s="1061"/>
      <c r="G667" s="1052" t="s">
        <v>371</v>
      </c>
      <c r="H667" s="869" t="s">
        <v>372</v>
      </c>
      <c r="I667" s="1058" t="e">
        <f>VLOOKUP(H662,'LƯƠNG KT'!$D$15:$U$94,9,0)*$L$10</f>
        <v>#N/A</v>
      </c>
      <c r="J667" s="1059" t="e">
        <f>+I667*0.5*3000</f>
        <v>#N/A</v>
      </c>
      <c r="K667" s="1085"/>
      <c r="L667" s="1085"/>
      <c r="M667" s="1085"/>
      <c r="N667" s="1085"/>
      <c r="O667" s="1085"/>
    </row>
    <row r="668" spans="1:15" ht="15" customHeight="1">
      <c r="A668" s="1052" t="s">
        <v>374</v>
      </c>
      <c r="B668" s="869" t="s">
        <v>375</v>
      </c>
      <c r="C668" s="1058" t="e">
        <f>VLOOKUP(B662,'LƯƠNG KT'!$D$15:$U$94,8,0)*$L$11</f>
        <v>#N/A</v>
      </c>
      <c r="D668" s="1059" t="e">
        <f>VLOOKUP(B662,'LƯƠNG KT'!$D$15:$U$94,13,0)-D667</f>
        <v>#N/A</v>
      </c>
      <c r="E668" s="1063"/>
      <c r="F668" s="1061"/>
      <c r="G668" s="1052" t="s">
        <v>374</v>
      </c>
      <c r="H668" s="869" t="s">
        <v>375</v>
      </c>
      <c r="I668" s="1058" t="e">
        <f>VLOOKUP(H662,'LƯƠNG KT'!$D$15:$U$94,8,0)*$L$11</f>
        <v>#N/A</v>
      </c>
      <c r="J668" s="1059" t="e">
        <f>VLOOKUP(H662,'LƯƠNG KT'!$D$15:$U$94,13,0)-J667</f>
        <v>#N/A</v>
      </c>
      <c r="K668" s="1085"/>
      <c r="L668" s="1085"/>
      <c r="M668" s="1085"/>
      <c r="N668" s="1085"/>
      <c r="O668" s="1085"/>
    </row>
    <row r="669" spans="1:15" ht="15" customHeight="1">
      <c r="A669" s="1059" t="s">
        <v>377</v>
      </c>
      <c r="B669" s="869" t="s">
        <v>378</v>
      </c>
      <c r="C669" s="1058"/>
      <c r="D669" s="1059"/>
      <c r="E669" s="1065"/>
      <c r="F669" s="1065"/>
      <c r="G669" s="1059" t="s">
        <v>377</v>
      </c>
      <c r="H669" s="869" t="s">
        <v>378</v>
      </c>
      <c r="I669" s="1058"/>
      <c r="J669" s="1059"/>
    </row>
    <row r="670" spans="1:15" ht="15" customHeight="1">
      <c r="A670" s="1066" t="s">
        <v>379</v>
      </c>
      <c r="B670" s="869" t="s">
        <v>380</v>
      </c>
      <c r="C670" s="1058"/>
      <c r="D670" s="1059">
        <f>14*25000</f>
        <v>350000</v>
      </c>
      <c r="E670" s="1063"/>
      <c r="F670" s="1065"/>
      <c r="G670" s="1066" t="s">
        <v>379</v>
      </c>
      <c r="H670" s="869" t="s">
        <v>380</v>
      </c>
      <c r="I670" s="1058"/>
      <c r="J670" s="1059">
        <f>14*25000</f>
        <v>350000</v>
      </c>
    </row>
    <row r="671" spans="1:15" ht="15" customHeight="1">
      <c r="A671" s="1052" t="s">
        <v>381</v>
      </c>
      <c r="B671" s="869" t="s">
        <v>382</v>
      </c>
      <c r="C671" s="1058"/>
      <c r="D671" s="1059">
        <f>D670</f>
        <v>350000</v>
      </c>
      <c r="E671" s="1067"/>
      <c r="F671" s="1051"/>
      <c r="G671" s="1052" t="s">
        <v>381</v>
      </c>
      <c r="H671" s="869" t="s">
        <v>382</v>
      </c>
      <c r="I671" s="1058"/>
      <c r="J671" s="1059">
        <f>J670</f>
        <v>350000</v>
      </c>
    </row>
    <row r="672" spans="1:15" ht="15" customHeight="1">
      <c r="A672" s="1068" t="s">
        <v>383</v>
      </c>
      <c r="B672" s="1069" t="s">
        <v>384</v>
      </c>
      <c r="C672" s="1070"/>
      <c r="D672" s="1071" t="e">
        <f>SUM(D663:D668)-D671</f>
        <v>#N/A</v>
      </c>
      <c r="E672" s="1072"/>
      <c r="F672" s="1073"/>
      <c r="G672" s="1068" t="s">
        <v>383</v>
      </c>
      <c r="H672" s="1069" t="s">
        <v>384</v>
      </c>
      <c r="I672" s="1070"/>
      <c r="J672" s="1071" t="e">
        <f>SUM(J663:J668)-J671</f>
        <v>#N/A</v>
      </c>
    </row>
    <row r="673" spans="1:15" ht="18.75" customHeight="1">
      <c r="A673" s="1074"/>
      <c r="B673" s="1075"/>
      <c r="C673" s="1076"/>
      <c r="D673" s="1077"/>
      <c r="E673" s="1077"/>
      <c r="F673" s="1078"/>
      <c r="G673" s="1074"/>
      <c r="H673" s="1075"/>
      <c r="I673" s="1076"/>
      <c r="J673" s="1077"/>
    </row>
    <row r="674" spans="1:15" ht="18.75" customHeight="1">
      <c r="A674" s="1075"/>
      <c r="B674" s="1075"/>
      <c r="C674" s="1079"/>
      <c r="D674" s="1080"/>
      <c r="E674" s="1075"/>
      <c r="F674" s="1081"/>
      <c r="G674" s="1075"/>
      <c r="H674" s="1075"/>
      <c r="I674" s="1079"/>
      <c r="J674" s="1080"/>
    </row>
    <row r="675" spans="1:15" ht="15" customHeight="1">
      <c r="A675" s="2242" t="str">
        <f>$K$2</f>
        <v>THÁNG 09/2024</v>
      </c>
      <c r="B675" s="2242"/>
      <c r="C675" s="2242"/>
      <c r="D675" s="2242"/>
      <c r="E675" s="1050"/>
      <c r="F675" s="1051"/>
      <c r="G675" s="2242" t="str">
        <f>$K$2</f>
        <v>THÁNG 09/2024</v>
      </c>
      <c r="H675" s="2242"/>
      <c r="I675" s="2242"/>
      <c r="J675" s="2242"/>
      <c r="K675" s="624"/>
    </row>
    <row r="676" spans="1:15" ht="15" customHeight="1">
      <c r="A676" s="1052" t="s">
        <v>356</v>
      </c>
      <c r="B676" s="1053" t="s">
        <v>465</v>
      </c>
      <c r="C676" s="869"/>
      <c r="D676" s="1049"/>
      <c r="E676" s="1054"/>
      <c r="F676" s="1055"/>
      <c r="G676" s="1052" t="s">
        <v>356</v>
      </c>
      <c r="H676" s="1053" t="s">
        <v>466</v>
      </c>
      <c r="I676" s="869"/>
      <c r="J676" s="1049"/>
      <c r="L676" s="1088"/>
      <c r="M676" s="1088"/>
      <c r="N676" s="1088"/>
      <c r="O676" s="1088"/>
    </row>
    <row r="677" spans="1:15" ht="15" customHeight="1">
      <c r="A677" s="1052" t="s">
        <v>359</v>
      </c>
      <c r="B677" s="1089" t="s">
        <v>360</v>
      </c>
      <c r="C677" s="1058" t="e">
        <f>VLOOKUP(B676,'LƯƠNG KT'!$D$15:$U$94,3,0)</f>
        <v>#N/A</v>
      </c>
      <c r="D677" s="1059" t="e">
        <f>+C677*25000</f>
        <v>#N/A</v>
      </c>
      <c r="E677" s="1060"/>
      <c r="F677" s="1060"/>
      <c r="G677" s="1052" t="s">
        <v>359</v>
      </c>
      <c r="H677" s="1089" t="s">
        <v>360</v>
      </c>
      <c r="I677" s="1058" t="e">
        <f>VLOOKUP(H676,'LƯƠNG KT'!$D$15:$U$94,3,0)</f>
        <v>#N/A</v>
      </c>
      <c r="J677" s="1059" t="e">
        <f>+I677*25000</f>
        <v>#N/A</v>
      </c>
      <c r="K677" s="1085"/>
      <c r="L677" s="1085"/>
      <c r="M677" s="1085"/>
      <c r="N677" s="1085"/>
      <c r="O677" s="1085"/>
    </row>
    <row r="678" spans="1:15" ht="15" customHeight="1">
      <c r="A678" s="1052" t="s">
        <v>361</v>
      </c>
      <c r="B678" s="869" t="s">
        <v>362</v>
      </c>
      <c r="C678" s="1058" t="e">
        <f>VLOOKUP(B676,'LƯƠNG KT'!$D$15:$U$94,14,0)</f>
        <v>#N/A</v>
      </c>
      <c r="D678" s="1059" t="e">
        <f>C678*$L$4</f>
        <v>#N/A</v>
      </c>
      <c r="E678" s="1061"/>
      <c r="F678" s="1061"/>
      <c r="G678" s="1052" t="s">
        <v>361</v>
      </c>
      <c r="H678" s="869" t="s">
        <v>362</v>
      </c>
      <c r="I678" s="1058" t="e">
        <f>VLOOKUP(H676,'LƯƠNG KT'!$D$15:$U$94,14,0)</f>
        <v>#N/A</v>
      </c>
      <c r="J678" s="1059" t="e">
        <f>I678*$L$4</f>
        <v>#N/A</v>
      </c>
      <c r="K678" s="1085"/>
      <c r="L678" s="1085"/>
      <c r="M678" s="1085"/>
      <c r="N678" s="1085"/>
      <c r="O678" s="1085"/>
    </row>
    <row r="679" spans="1:15" ht="15" customHeight="1">
      <c r="A679" s="1052" t="s">
        <v>364</v>
      </c>
      <c r="B679" s="869" t="s">
        <v>365</v>
      </c>
      <c r="C679" s="1058" t="e">
        <f>VLOOKUP(B676,'LƯƠNG KT'!$D$15:$U$94,15,0)</f>
        <v>#N/A</v>
      </c>
      <c r="D679" s="1059" t="e">
        <f>C679*$L$5</f>
        <v>#N/A</v>
      </c>
      <c r="E679" s="1061"/>
      <c r="F679" s="1061"/>
      <c r="G679" s="1052" t="s">
        <v>364</v>
      </c>
      <c r="H679" s="869" t="s">
        <v>365</v>
      </c>
      <c r="I679" s="1058" t="e">
        <f>VLOOKUP(H676,'LƯƠNG KT'!$D$15:$U$94,15,0)</f>
        <v>#N/A</v>
      </c>
      <c r="J679" s="1059" t="e">
        <f>I679*$L$5</f>
        <v>#N/A</v>
      </c>
      <c r="K679" s="1085"/>
      <c r="L679" s="1085"/>
      <c r="M679" s="1085"/>
      <c r="N679" s="1085"/>
      <c r="O679" s="1085"/>
    </row>
    <row r="680" spans="1:15" ht="15" customHeight="1">
      <c r="A680" s="1052" t="s">
        <v>367</v>
      </c>
      <c r="B680" s="869"/>
      <c r="C680" s="1058" t="e">
        <f>VLOOKUP(B676,'LƯƠNG KT'!$D$15:$U$94,16,0)</f>
        <v>#N/A</v>
      </c>
      <c r="D680" s="1059" t="e">
        <f>+C680*$L$6</f>
        <v>#N/A</v>
      </c>
      <c r="E680" s="1061"/>
      <c r="F680" s="1061"/>
      <c r="G680" s="1052" t="s">
        <v>367</v>
      </c>
      <c r="H680" s="869"/>
      <c r="I680" s="1058" t="e">
        <f>VLOOKUP(H676,'LƯƠNG KT'!$D$15:$U$94,16,0)</f>
        <v>#N/A</v>
      </c>
      <c r="J680" s="1059" t="e">
        <f>+I680*$L$6</f>
        <v>#N/A</v>
      </c>
      <c r="K680" s="1085"/>
      <c r="L680" s="1085"/>
      <c r="M680" s="1085"/>
      <c r="N680" s="1085"/>
      <c r="O680" s="1085"/>
    </row>
    <row r="681" spans="1:15" ht="15" customHeight="1">
      <c r="A681" s="1052" t="s">
        <v>371</v>
      </c>
      <c r="B681" s="869" t="s">
        <v>372</v>
      </c>
      <c r="C681" s="1058" t="e">
        <f>VLOOKUP(B676,'LƯƠNG KT'!$D$15:$U$94,9,0)*$L$10</f>
        <v>#N/A</v>
      </c>
      <c r="D681" s="1059" t="e">
        <f>+C681*0.5*3000</f>
        <v>#N/A</v>
      </c>
      <c r="E681" s="1061"/>
      <c r="F681" s="1061"/>
      <c r="G681" s="1052" t="s">
        <v>371</v>
      </c>
      <c r="H681" s="869" t="s">
        <v>372</v>
      </c>
      <c r="I681" s="1058" t="e">
        <f>VLOOKUP(H676,'LƯƠNG KT'!$D$15:$U$94,9,0)*$L$10</f>
        <v>#N/A</v>
      </c>
      <c r="J681" s="1059" t="e">
        <f>+I681*0.5*3000</f>
        <v>#N/A</v>
      </c>
      <c r="K681" s="1085"/>
      <c r="L681" s="1085"/>
      <c r="M681" s="1085"/>
      <c r="N681" s="1085"/>
      <c r="O681" s="1085"/>
    </row>
    <row r="682" spans="1:15" ht="15" customHeight="1">
      <c r="A682" s="1052" t="s">
        <v>374</v>
      </c>
      <c r="B682" s="869" t="s">
        <v>375</v>
      </c>
      <c r="C682" s="1058" t="e">
        <f>VLOOKUP(B676,'LƯƠNG KT'!$D$15:$U$94,8,0)*$L$11</f>
        <v>#N/A</v>
      </c>
      <c r="D682" s="1059" t="e">
        <f>VLOOKUP(B676,'LƯƠNG KT'!$D$15:$U$94,13,0)-D681</f>
        <v>#N/A</v>
      </c>
      <c r="E682" s="1063"/>
      <c r="F682" s="1061"/>
      <c r="G682" s="1052" t="s">
        <v>374</v>
      </c>
      <c r="H682" s="869" t="s">
        <v>375</v>
      </c>
      <c r="I682" s="1058" t="e">
        <f>VLOOKUP(H676,'LƯƠNG KT'!$D$15:$U$94,8,0)*$L$11</f>
        <v>#N/A</v>
      </c>
      <c r="J682" s="1059" t="e">
        <f>VLOOKUP(H676,'LƯƠNG KT'!$D$15:$U$94,13,0)-J681</f>
        <v>#N/A</v>
      </c>
      <c r="K682" s="1085"/>
      <c r="L682" s="1085"/>
      <c r="M682" s="1085"/>
      <c r="N682" s="1085"/>
      <c r="O682" s="1085"/>
    </row>
    <row r="683" spans="1:15" ht="15" customHeight="1">
      <c r="A683" s="1059" t="s">
        <v>377</v>
      </c>
      <c r="B683" s="869" t="s">
        <v>378</v>
      </c>
      <c r="C683" s="1058"/>
      <c r="D683" s="1059"/>
      <c r="E683" s="1065"/>
      <c r="F683" s="1065"/>
      <c r="G683" s="1059" t="s">
        <v>377</v>
      </c>
      <c r="H683" s="869" t="s">
        <v>378</v>
      </c>
      <c r="I683" s="1058"/>
      <c r="J683" s="1059"/>
    </row>
    <row r="684" spans="1:15" ht="15" customHeight="1">
      <c r="A684" s="1066" t="s">
        <v>379</v>
      </c>
      <c r="B684" s="869" t="s">
        <v>380</v>
      </c>
      <c r="C684" s="1058"/>
      <c r="D684" s="1059">
        <f>14*25000</f>
        <v>350000</v>
      </c>
      <c r="E684" s="1063"/>
      <c r="F684" s="1065"/>
      <c r="G684" s="1066" t="s">
        <v>379</v>
      </c>
      <c r="H684" s="869" t="s">
        <v>380</v>
      </c>
      <c r="I684" s="1058"/>
      <c r="J684" s="1059">
        <f>14*25000</f>
        <v>350000</v>
      </c>
    </row>
    <row r="685" spans="1:15" ht="15" customHeight="1">
      <c r="A685" s="1052" t="s">
        <v>381</v>
      </c>
      <c r="B685" s="869" t="s">
        <v>382</v>
      </c>
      <c r="C685" s="1058"/>
      <c r="D685" s="1059">
        <f>D684</f>
        <v>350000</v>
      </c>
      <c r="E685" s="1067"/>
      <c r="F685" s="1051"/>
      <c r="G685" s="1052" t="s">
        <v>381</v>
      </c>
      <c r="H685" s="869" t="s">
        <v>382</v>
      </c>
      <c r="I685" s="1058"/>
      <c r="J685" s="1059">
        <f>J684</f>
        <v>350000</v>
      </c>
    </row>
    <row r="686" spans="1:15" ht="15" customHeight="1">
      <c r="A686" s="1068" t="s">
        <v>383</v>
      </c>
      <c r="B686" s="1069" t="s">
        <v>384</v>
      </c>
      <c r="C686" s="1070"/>
      <c r="D686" s="1071" t="e">
        <f>SUM(D677:D682)-D685</f>
        <v>#N/A</v>
      </c>
      <c r="E686" s="1072"/>
      <c r="F686" s="1073"/>
      <c r="G686" s="1068" t="s">
        <v>383</v>
      </c>
      <c r="H686" s="1069" t="s">
        <v>384</v>
      </c>
      <c r="I686" s="1070"/>
      <c r="J686" s="1071" t="e">
        <f>SUM(J677:J682)-J685</f>
        <v>#N/A</v>
      </c>
    </row>
    <row r="687" spans="1:15" ht="18.75" customHeight="1">
      <c r="A687" s="1074"/>
      <c r="B687" s="1075"/>
      <c r="C687" s="1076"/>
      <c r="D687" s="1077"/>
      <c r="E687" s="1077"/>
      <c r="F687" s="1078"/>
      <c r="G687" s="1074"/>
      <c r="H687" s="1075"/>
      <c r="I687" s="1076"/>
      <c r="J687" s="1077"/>
    </row>
    <row r="688" spans="1:15" ht="18.75" customHeight="1">
      <c r="A688" s="1075"/>
      <c r="B688" s="1075"/>
      <c r="C688" s="1079"/>
      <c r="D688" s="1080"/>
      <c r="E688" s="1075"/>
      <c r="F688" s="1081"/>
      <c r="G688" s="1075"/>
      <c r="H688" s="1075"/>
      <c r="I688" s="1079"/>
      <c r="J688" s="1080"/>
    </row>
    <row r="689" spans="1:15" ht="15" customHeight="1">
      <c r="A689" s="2242" t="str">
        <f>$K$2</f>
        <v>THÁNG 09/2024</v>
      </c>
      <c r="B689" s="2242"/>
      <c r="C689" s="2242"/>
      <c r="D689" s="2242"/>
      <c r="E689" s="1050"/>
      <c r="F689" s="1051"/>
      <c r="G689" s="2242" t="str">
        <f>$K$2</f>
        <v>THÁNG 09/2024</v>
      </c>
      <c r="H689" s="2242"/>
      <c r="I689" s="2242"/>
      <c r="J689" s="2242"/>
      <c r="K689" s="624"/>
    </row>
    <row r="690" spans="1:15" ht="15" customHeight="1">
      <c r="A690" s="1052" t="s">
        <v>356</v>
      </c>
      <c r="B690" s="1053" t="s">
        <v>467</v>
      </c>
      <c r="C690" s="869"/>
      <c r="D690" s="1049"/>
      <c r="E690" s="1054"/>
      <c r="F690" s="1055"/>
      <c r="G690" s="1052" t="s">
        <v>356</v>
      </c>
      <c r="H690" s="1053" t="s">
        <v>468</v>
      </c>
      <c r="I690" s="869"/>
      <c r="J690" s="1049"/>
      <c r="L690" s="1088"/>
      <c r="M690" s="1088"/>
      <c r="N690" s="1088"/>
      <c r="O690" s="1088"/>
    </row>
    <row r="691" spans="1:15" ht="15" customHeight="1">
      <c r="A691" s="1052" t="s">
        <v>359</v>
      </c>
      <c r="B691" s="1089" t="s">
        <v>360</v>
      </c>
      <c r="C691" s="1058" t="e">
        <f>VLOOKUP(B690,'LƯƠNG KT'!$D$15:$U$94,3,0)</f>
        <v>#N/A</v>
      </c>
      <c r="D691" s="1059" t="e">
        <f>+C691*25000</f>
        <v>#N/A</v>
      </c>
      <c r="E691" s="1060"/>
      <c r="F691" s="1060"/>
      <c r="G691" s="1052" t="s">
        <v>359</v>
      </c>
      <c r="H691" s="1089" t="s">
        <v>360</v>
      </c>
      <c r="I691" s="1058" t="e">
        <f>VLOOKUP(H690,'LƯƠNG KT'!$D$15:$U$94,3,0)</f>
        <v>#N/A</v>
      </c>
      <c r="J691" s="1059" t="e">
        <f>+I691*25000</f>
        <v>#N/A</v>
      </c>
      <c r="K691" s="1085"/>
      <c r="L691" s="1085"/>
      <c r="M691" s="1085"/>
      <c r="N691" s="1085"/>
      <c r="O691" s="1085"/>
    </row>
    <row r="692" spans="1:15" ht="15" customHeight="1">
      <c r="A692" s="1052" t="s">
        <v>361</v>
      </c>
      <c r="B692" s="869" t="s">
        <v>362</v>
      </c>
      <c r="C692" s="1058" t="e">
        <f>VLOOKUP(B690,'LƯƠNG KT'!$D$15:$U$94,14,0)</f>
        <v>#N/A</v>
      </c>
      <c r="D692" s="1059" t="e">
        <f>C692*$L$4</f>
        <v>#N/A</v>
      </c>
      <c r="E692" s="1061"/>
      <c r="F692" s="1061"/>
      <c r="G692" s="1052" t="s">
        <v>361</v>
      </c>
      <c r="H692" s="869" t="s">
        <v>362</v>
      </c>
      <c r="I692" s="1058" t="e">
        <f>VLOOKUP(H690,'LƯƠNG KT'!$D$15:$U$94,14,0)</f>
        <v>#N/A</v>
      </c>
      <c r="J692" s="1059" t="e">
        <f>I692*$L$4</f>
        <v>#N/A</v>
      </c>
      <c r="K692" s="1085"/>
      <c r="L692" s="1085"/>
      <c r="M692" s="1085"/>
      <c r="N692" s="1085"/>
      <c r="O692" s="1085"/>
    </row>
    <row r="693" spans="1:15" ht="15" customHeight="1">
      <c r="A693" s="1052" t="s">
        <v>364</v>
      </c>
      <c r="B693" s="869" t="s">
        <v>365</v>
      </c>
      <c r="C693" s="1058" t="e">
        <f>VLOOKUP(B690,'LƯƠNG KT'!$D$15:$U$94,15,0)</f>
        <v>#N/A</v>
      </c>
      <c r="D693" s="1059" t="e">
        <f>C693*$L$5</f>
        <v>#N/A</v>
      </c>
      <c r="E693" s="1061"/>
      <c r="F693" s="1061"/>
      <c r="G693" s="1052" t="s">
        <v>364</v>
      </c>
      <c r="H693" s="869" t="s">
        <v>365</v>
      </c>
      <c r="I693" s="1058" t="e">
        <f>VLOOKUP(H690,'LƯƠNG KT'!$D$15:$U$94,15,0)</f>
        <v>#N/A</v>
      </c>
      <c r="J693" s="1059" t="e">
        <f>I693*$L$5</f>
        <v>#N/A</v>
      </c>
      <c r="K693" s="1085"/>
      <c r="L693" s="1085"/>
      <c r="M693" s="1085"/>
      <c r="N693" s="1085"/>
      <c r="O693" s="1085"/>
    </row>
    <row r="694" spans="1:15" ht="15" customHeight="1">
      <c r="A694" s="1052" t="s">
        <v>367</v>
      </c>
      <c r="B694" s="869"/>
      <c r="C694" s="1058" t="e">
        <f>VLOOKUP(B690,'LƯƠNG KT'!$D$15:$U$94,16,0)</f>
        <v>#N/A</v>
      </c>
      <c r="D694" s="1059" t="e">
        <f>+C694*$L$6</f>
        <v>#N/A</v>
      </c>
      <c r="E694" s="1061"/>
      <c r="F694" s="1061"/>
      <c r="G694" s="1052" t="s">
        <v>367</v>
      </c>
      <c r="H694" s="869"/>
      <c r="I694" s="1058" t="e">
        <f>VLOOKUP(H690,'LƯƠNG KT'!$D$15:$U$94,16,0)</f>
        <v>#N/A</v>
      </c>
      <c r="J694" s="1059" t="e">
        <f>+I694*$L$6</f>
        <v>#N/A</v>
      </c>
      <c r="K694" s="1085"/>
      <c r="L694" s="1085"/>
      <c r="M694" s="1085"/>
      <c r="N694" s="1085"/>
      <c r="O694" s="1085"/>
    </row>
    <row r="695" spans="1:15" ht="15" customHeight="1">
      <c r="A695" s="1052" t="s">
        <v>371</v>
      </c>
      <c r="B695" s="869" t="s">
        <v>372</v>
      </c>
      <c r="C695" s="1058" t="e">
        <f>VLOOKUP(B690,'LƯƠNG KT'!$D$15:$U$94,9,0)*$L$10</f>
        <v>#N/A</v>
      </c>
      <c r="D695" s="1059" t="e">
        <f>+C695*0.5*3000</f>
        <v>#N/A</v>
      </c>
      <c r="E695" s="1061"/>
      <c r="F695" s="1061"/>
      <c r="G695" s="1052" t="s">
        <v>371</v>
      </c>
      <c r="H695" s="869" t="s">
        <v>372</v>
      </c>
      <c r="I695" s="1058" t="e">
        <f>VLOOKUP(H690,'LƯƠNG KT'!$D$15:$U$94,9,0)*$L$10</f>
        <v>#N/A</v>
      </c>
      <c r="J695" s="1059" t="e">
        <f>+I695*0.5*3000</f>
        <v>#N/A</v>
      </c>
      <c r="K695" s="1085"/>
      <c r="L695" s="1085"/>
      <c r="M695" s="1085"/>
      <c r="N695" s="1085"/>
      <c r="O695" s="1085"/>
    </row>
    <row r="696" spans="1:15" ht="15" customHeight="1">
      <c r="A696" s="1052" t="s">
        <v>374</v>
      </c>
      <c r="B696" s="869" t="s">
        <v>375</v>
      </c>
      <c r="C696" s="1058" t="e">
        <f>VLOOKUP(B690,'LƯƠNG KT'!$D$15:$U$94,8,0)*$L$11</f>
        <v>#N/A</v>
      </c>
      <c r="D696" s="1059" t="e">
        <f>VLOOKUP(B690,'LƯƠNG KT'!$D$15:$U$94,13,0)-D695</f>
        <v>#N/A</v>
      </c>
      <c r="E696" s="1063"/>
      <c r="F696" s="1061"/>
      <c r="G696" s="1052" t="s">
        <v>374</v>
      </c>
      <c r="H696" s="869" t="s">
        <v>375</v>
      </c>
      <c r="I696" s="1058" t="e">
        <f>VLOOKUP(H690,'LƯƠNG KT'!$D$15:$U$94,8,0)*$L$11</f>
        <v>#N/A</v>
      </c>
      <c r="J696" s="1059" t="e">
        <f>VLOOKUP(H690,'LƯƠNG KT'!$D$15:$U$94,13,0)-J695</f>
        <v>#N/A</v>
      </c>
      <c r="K696" s="1085"/>
      <c r="L696" s="1085"/>
      <c r="M696" s="1085"/>
      <c r="N696" s="1085"/>
      <c r="O696" s="1085"/>
    </row>
    <row r="697" spans="1:15" ht="15" customHeight="1">
      <c r="A697" s="1059" t="s">
        <v>377</v>
      </c>
      <c r="B697" s="869" t="s">
        <v>378</v>
      </c>
      <c r="C697" s="1058"/>
      <c r="D697" s="1059"/>
      <c r="E697" s="1065"/>
      <c r="F697" s="1065"/>
      <c r="G697" s="1059" t="s">
        <v>377</v>
      </c>
      <c r="H697" s="869" t="s">
        <v>378</v>
      </c>
      <c r="I697" s="1058"/>
      <c r="J697" s="1059"/>
    </row>
    <row r="698" spans="1:15" ht="15" customHeight="1">
      <c r="A698" s="1066" t="s">
        <v>379</v>
      </c>
      <c r="B698" s="869" t="s">
        <v>380</v>
      </c>
      <c r="C698" s="1058"/>
      <c r="D698" s="1059">
        <f>14*25000</f>
        <v>350000</v>
      </c>
      <c r="E698" s="1063"/>
      <c r="F698" s="1065"/>
      <c r="G698" s="1066" t="s">
        <v>379</v>
      </c>
      <c r="H698" s="869" t="s">
        <v>380</v>
      </c>
      <c r="I698" s="1058"/>
      <c r="J698" s="1059">
        <f>14*25000</f>
        <v>350000</v>
      </c>
    </row>
    <row r="699" spans="1:15" ht="15" customHeight="1">
      <c r="A699" s="1052" t="s">
        <v>381</v>
      </c>
      <c r="B699" s="869" t="s">
        <v>382</v>
      </c>
      <c r="C699" s="1058"/>
      <c r="D699" s="1059">
        <f>D698</f>
        <v>350000</v>
      </c>
      <c r="E699" s="1067"/>
      <c r="F699" s="1051"/>
      <c r="G699" s="1052" t="s">
        <v>381</v>
      </c>
      <c r="H699" s="869" t="s">
        <v>382</v>
      </c>
      <c r="I699" s="1058"/>
      <c r="J699" s="1059">
        <f>J698</f>
        <v>350000</v>
      </c>
    </row>
    <row r="700" spans="1:15" ht="15" customHeight="1">
      <c r="A700" s="1068" t="s">
        <v>383</v>
      </c>
      <c r="B700" s="1069" t="s">
        <v>384</v>
      </c>
      <c r="C700" s="1070"/>
      <c r="D700" s="1071" t="e">
        <f>SUM(D691:D696)-D699</f>
        <v>#N/A</v>
      </c>
      <c r="E700" s="1072"/>
      <c r="F700" s="1073"/>
      <c r="G700" s="1068" t="s">
        <v>383</v>
      </c>
      <c r="H700" s="1069" t="s">
        <v>384</v>
      </c>
      <c r="I700" s="1070"/>
      <c r="J700" s="1071" t="e">
        <f>SUM(J691:J696)-J699</f>
        <v>#N/A</v>
      </c>
    </row>
    <row r="701" spans="1:15" ht="15.75" customHeight="1">
      <c r="A701" s="1074"/>
      <c r="B701" s="1075"/>
      <c r="C701" s="1076"/>
      <c r="D701" s="1077"/>
      <c r="E701" s="1077"/>
      <c r="F701" s="1078"/>
      <c r="G701" s="1074"/>
      <c r="H701" s="1075"/>
      <c r="I701" s="1076"/>
      <c r="J701" s="1077"/>
    </row>
    <row r="703" spans="1:15" ht="12" customHeight="1">
      <c r="A703" s="2243"/>
      <c r="B703" s="2243"/>
      <c r="C703" s="2243"/>
      <c r="D703" s="2243"/>
      <c r="E703" s="2243"/>
      <c r="F703" s="2243"/>
      <c r="G703" s="2243"/>
      <c r="H703" s="2243"/>
      <c r="I703" s="2243"/>
      <c r="J703" s="2243"/>
    </row>
    <row r="704" spans="1:15" ht="15" customHeight="1">
      <c r="A704" s="2242" t="str">
        <f>$K$2</f>
        <v>THÁNG 09/2024</v>
      </c>
      <c r="B704" s="2242"/>
      <c r="C704" s="2242"/>
      <c r="D704" s="2242"/>
      <c r="E704" s="1050"/>
      <c r="F704" s="1051"/>
      <c r="G704" s="2242" t="str">
        <f>$K$2</f>
        <v>THÁNG 09/2024</v>
      </c>
      <c r="H704" s="2242"/>
      <c r="I704" s="2242"/>
      <c r="J704" s="2242"/>
      <c r="K704" s="624"/>
    </row>
    <row r="705" spans="1:15" ht="15" customHeight="1">
      <c r="A705" s="1052" t="s">
        <v>356</v>
      </c>
      <c r="B705" s="1053" t="s">
        <v>469</v>
      </c>
      <c r="C705" s="869"/>
      <c r="D705" s="1049"/>
      <c r="E705" s="1054"/>
      <c r="F705" s="1055"/>
      <c r="G705" s="1052" t="s">
        <v>356</v>
      </c>
      <c r="H705" s="1053" t="s">
        <v>470</v>
      </c>
      <c r="I705" s="869"/>
      <c r="J705" s="1049"/>
      <c r="L705" s="1088"/>
      <c r="M705" s="1088"/>
      <c r="N705" s="1088"/>
      <c r="O705" s="1088"/>
    </row>
    <row r="706" spans="1:15" ht="15" customHeight="1">
      <c r="A706" s="1052" t="s">
        <v>359</v>
      </c>
      <c r="B706" s="1089" t="s">
        <v>360</v>
      </c>
      <c r="C706" s="1058" t="e">
        <f>VLOOKUP(B705,'LƯƠNG KT'!$D$15:$U$94,3,0)</f>
        <v>#N/A</v>
      </c>
      <c r="D706" s="1059" t="e">
        <f>+C706*25000</f>
        <v>#N/A</v>
      </c>
      <c r="E706" s="1060"/>
      <c r="F706" s="1060"/>
      <c r="G706" s="1052" t="s">
        <v>359</v>
      </c>
      <c r="H706" s="1089" t="s">
        <v>360</v>
      </c>
      <c r="I706" s="1058" t="e">
        <f>VLOOKUP(H705,'LƯƠNG KT'!$D$15:$U$94,3,0)</f>
        <v>#N/A</v>
      </c>
      <c r="J706" s="1059" t="e">
        <f>+I706*25000</f>
        <v>#N/A</v>
      </c>
      <c r="K706" s="1084"/>
      <c r="L706" s="1085"/>
      <c r="M706" s="1085"/>
      <c r="N706" s="1085"/>
      <c r="O706" s="1085"/>
    </row>
    <row r="707" spans="1:15" ht="15" customHeight="1">
      <c r="A707" s="1052" t="s">
        <v>361</v>
      </c>
      <c r="B707" s="869" t="s">
        <v>362</v>
      </c>
      <c r="C707" s="1058" t="e">
        <f>VLOOKUP(B705,'LƯƠNG KT'!$D$15:$U$94,14,0)</f>
        <v>#N/A</v>
      </c>
      <c r="D707" s="1059" t="e">
        <f>C707*$L$4</f>
        <v>#N/A</v>
      </c>
      <c r="E707" s="1061"/>
      <c r="F707" s="1061"/>
      <c r="G707" s="1052" t="s">
        <v>361</v>
      </c>
      <c r="H707" s="869" t="s">
        <v>362</v>
      </c>
      <c r="I707" s="1058" t="e">
        <f>VLOOKUP(H705,'LƯƠNG KT'!$D$15:$U$94,14,0)</f>
        <v>#N/A</v>
      </c>
      <c r="J707" s="1059" t="e">
        <f>I707*$L$4</f>
        <v>#N/A</v>
      </c>
      <c r="K707" s="1084"/>
      <c r="L707" s="1085"/>
      <c r="M707" s="1085"/>
      <c r="N707" s="1085"/>
      <c r="O707" s="1085"/>
    </row>
    <row r="708" spans="1:15" ht="15" customHeight="1">
      <c r="A708" s="1052" t="s">
        <v>364</v>
      </c>
      <c r="B708" s="869" t="s">
        <v>365</v>
      </c>
      <c r="C708" s="1058" t="e">
        <f>VLOOKUP(B705,'LƯƠNG KT'!$D$15:$U$94,15,0)</f>
        <v>#N/A</v>
      </c>
      <c r="D708" s="1059" t="e">
        <f>C708*$L$5</f>
        <v>#N/A</v>
      </c>
      <c r="E708" s="1061"/>
      <c r="F708" s="1061"/>
      <c r="G708" s="1052" t="s">
        <v>364</v>
      </c>
      <c r="H708" s="869" t="s">
        <v>365</v>
      </c>
      <c r="I708" s="1058" t="e">
        <f>VLOOKUP(H705,'LƯƠNG KT'!$D$15:$U$94,15,0)</f>
        <v>#N/A</v>
      </c>
      <c r="J708" s="1059" t="e">
        <f>I708*$L$5</f>
        <v>#N/A</v>
      </c>
      <c r="K708" s="1084"/>
      <c r="L708" s="1085"/>
      <c r="M708" s="1085"/>
      <c r="N708" s="1085"/>
      <c r="O708" s="1085"/>
    </row>
    <row r="709" spans="1:15" ht="15" customHeight="1">
      <c r="A709" s="1052" t="s">
        <v>367</v>
      </c>
      <c r="B709" s="869"/>
      <c r="C709" s="1058" t="e">
        <f>VLOOKUP(B705,'LƯƠNG KT'!$D$15:$U$94,16,0)</f>
        <v>#N/A</v>
      </c>
      <c r="D709" s="1059" t="e">
        <f>+C709*$L$6</f>
        <v>#N/A</v>
      </c>
      <c r="E709" s="1061"/>
      <c r="F709" s="1061"/>
      <c r="G709" s="1052" t="s">
        <v>367</v>
      </c>
      <c r="H709" s="869"/>
      <c r="I709" s="1058" t="e">
        <f>VLOOKUP(H705,'LƯƠNG KT'!$D$15:$U$94,16,0)</f>
        <v>#N/A</v>
      </c>
      <c r="J709" s="1059" t="e">
        <f>+I709*$L$6</f>
        <v>#N/A</v>
      </c>
      <c r="K709" s="1085"/>
      <c r="L709" s="1085"/>
      <c r="M709" s="1085"/>
      <c r="N709" s="1085"/>
      <c r="O709" s="1085"/>
    </row>
    <row r="710" spans="1:15" ht="15" customHeight="1">
      <c r="A710" s="1052" t="s">
        <v>371</v>
      </c>
      <c r="B710" s="869" t="s">
        <v>372</v>
      </c>
      <c r="C710" s="1058" t="e">
        <f>VLOOKUP(B705,'LƯƠNG KT'!$D$15:$U$94,9,0)*$L$10</f>
        <v>#N/A</v>
      </c>
      <c r="D710" s="1059" t="e">
        <f>+C710*0.5*3000</f>
        <v>#N/A</v>
      </c>
      <c r="E710" s="1061"/>
      <c r="F710" s="1061"/>
      <c r="G710" s="1052" t="s">
        <v>371</v>
      </c>
      <c r="H710" s="869" t="s">
        <v>372</v>
      </c>
      <c r="I710" s="1058" t="e">
        <f>VLOOKUP(H705,'LƯƠNG KT'!$D$15:$U$94,9,0)*$L$10</f>
        <v>#N/A</v>
      </c>
      <c r="J710" s="1059" t="e">
        <f>+I710*0.5*3000</f>
        <v>#N/A</v>
      </c>
      <c r="K710" s="1085"/>
      <c r="L710" s="1085"/>
      <c r="M710" s="1085"/>
      <c r="N710" s="1085"/>
      <c r="O710" s="1085"/>
    </row>
    <row r="711" spans="1:15" ht="15" customHeight="1">
      <c r="A711" s="1052" t="s">
        <v>374</v>
      </c>
      <c r="B711" s="869" t="s">
        <v>375</v>
      </c>
      <c r="C711" s="1058" t="e">
        <f>VLOOKUP(B705,'LƯƠNG KT'!$D$15:$U$94,8,0)*$L$11</f>
        <v>#N/A</v>
      </c>
      <c r="D711" s="1059" t="e">
        <f>VLOOKUP(B705,'LƯƠNG KT'!$D$15:$U$94,13,0)-D710</f>
        <v>#N/A</v>
      </c>
      <c r="E711" s="1063"/>
      <c r="F711" s="1061"/>
      <c r="G711" s="1052" t="s">
        <v>374</v>
      </c>
      <c r="H711" s="869" t="s">
        <v>375</v>
      </c>
      <c r="I711" s="1058" t="e">
        <f>VLOOKUP(H705,'LƯƠNG KT'!$D$15:$U$94,8,0)*$L$11</f>
        <v>#N/A</v>
      </c>
      <c r="J711" s="1059" t="e">
        <f>VLOOKUP(H705,'LƯƠNG KT'!$D$15:$U$94,13,0)-J710</f>
        <v>#N/A</v>
      </c>
      <c r="K711" s="1085"/>
      <c r="L711" s="1085"/>
      <c r="M711" s="1085"/>
      <c r="N711" s="1085"/>
      <c r="O711" s="1085"/>
    </row>
    <row r="712" spans="1:15" ht="15" customHeight="1">
      <c r="A712" s="1059" t="s">
        <v>377</v>
      </c>
      <c r="B712" s="869" t="s">
        <v>378</v>
      </c>
      <c r="C712" s="1058"/>
      <c r="D712" s="1059"/>
      <c r="E712" s="1065"/>
      <c r="F712" s="1065"/>
      <c r="G712" s="1059" t="s">
        <v>377</v>
      </c>
      <c r="H712" s="869" t="s">
        <v>378</v>
      </c>
      <c r="I712" s="1058"/>
      <c r="J712" s="1059"/>
    </row>
    <row r="713" spans="1:15" ht="15" customHeight="1">
      <c r="A713" s="1066" t="s">
        <v>379</v>
      </c>
      <c r="B713" s="869" t="s">
        <v>380</v>
      </c>
      <c r="C713" s="1058"/>
      <c r="D713" s="1059">
        <f>14*25000</f>
        <v>350000</v>
      </c>
      <c r="E713" s="1063"/>
      <c r="F713" s="1065"/>
      <c r="G713" s="1066" t="s">
        <v>379</v>
      </c>
      <c r="H713" s="869" t="s">
        <v>380</v>
      </c>
      <c r="I713" s="1058"/>
      <c r="J713" s="1059">
        <f>14*25000</f>
        <v>350000</v>
      </c>
    </row>
    <row r="714" spans="1:15" ht="15" customHeight="1">
      <c r="A714" s="1052" t="s">
        <v>381</v>
      </c>
      <c r="B714" s="869" t="s">
        <v>382</v>
      </c>
      <c r="C714" s="1058"/>
      <c r="D714" s="1059">
        <f>D713</f>
        <v>350000</v>
      </c>
      <c r="E714" s="1067"/>
      <c r="F714" s="1051"/>
      <c r="G714" s="1052" t="s">
        <v>381</v>
      </c>
      <c r="H714" s="869" t="s">
        <v>382</v>
      </c>
      <c r="I714" s="1058"/>
      <c r="J714" s="1059">
        <f>J713</f>
        <v>350000</v>
      </c>
    </row>
    <row r="715" spans="1:15" ht="15" customHeight="1">
      <c r="A715" s="1068" t="s">
        <v>383</v>
      </c>
      <c r="B715" s="1069" t="s">
        <v>384</v>
      </c>
      <c r="C715" s="1070"/>
      <c r="D715" s="1071" t="e">
        <f>SUM(D706:D711)-D714</f>
        <v>#N/A</v>
      </c>
      <c r="E715" s="1072"/>
      <c r="F715" s="1073"/>
      <c r="G715" s="1068" t="s">
        <v>383</v>
      </c>
      <c r="H715" s="1069" t="s">
        <v>384</v>
      </c>
      <c r="I715" s="1070"/>
      <c r="J715" s="1071" t="e">
        <f>SUM(J706:J711)-J714</f>
        <v>#N/A</v>
      </c>
    </row>
    <row r="716" spans="1:15" ht="12.6" customHeight="1">
      <c r="A716" s="1074"/>
      <c r="B716" s="1075"/>
      <c r="C716" s="1076"/>
      <c r="D716" s="1077"/>
      <c r="E716" s="1077"/>
      <c r="F716" s="1078"/>
      <c r="G716" s="1074"/>
      <c r="H716" s="1075"/>
      <c r="I716" s="1076"/>
      <c r="J716" s="1077"/>
    </row>
    <row r="717" spans="1:15" ht="12.6" customHeight="1">
      <c r="A717" s="1075"/>
      <c r="B717" s="1075"/>
      <c r="C717" s="1079"/>
      <c r="D717" s="1080"/>
      <c r="E717" s="1075"/>
      <c r="F717" s="1081"/>
      <c r="G717" s="1075"/>
      <c r="H717" s="1075"/>
      <c r="I717" s="1079"/>
      <c r="J717" s="1080"/>
    </row>
    <row r="718" spans="1:15" ht="15" customHeight="1">
      <c r="A718" s="2242" t="str">
        <f>$K$2</f>
        <v>THÁNG 09/2024</v>
      </c>
      <c r="B718" s="2242"/>
      <c r="C718" s="2242"/>
      <c r="D718" s="2242"/>
      <c r="E718" s="1050"/>
      <c r="F718" s="1051"/>
      <c r="G718" s="2242" t="str">
        <f>$K$2</f>
        <v>THÁNG 09/2024</v>
      </c>
      <c r="H718" s="2242"/>
      <c r="I718" s="2242"/>
      <c r="J718" s="2242"/>
      <c r="K718" s="624"/>
    </row>
    <row r="719" spans="1:15" ht="15" customHeight="1">
      <c r="A719" s="1052" t="s">
        <v>356</v>
      </c>
      <c r="B719" s="1053" t="s">
        <v>471</v>
      </c>
      <c r="C719" s="869"/>
      <c r="D719" s="1049"/>
      <c r="E719" s="1054"/>
      <c r="F719" s="1055"/>
      <c r="G719" s="1052" t="s">
        <v>356</v>
      </c>
      <c r="H719" s="1053" t="s">
        <v>472</v>
      </c>
      <c r="I719" s="869"/>
      <c r="J719" s="1049"/>
      <c r="L719" s="1088"/>
      <c r="M719" s="1088"/>
      <c r="N719" s="1088"/>
      <c r="O719" s="1088"/>
    </row>
    <row r="720" spans="1:15" ht="15" customHeight="1">
      <c r="A720" s="1052" t="s">
        <v>359</v>
      </c>
      <c r="B720" s="1089" t="s">
        <v>360</v>
      </c>
      <c r="C720" s="1058" t="e">
        <f>VLOOKUP(B719,'LƯƠNG KT'!$D$15:$U$94,3,0)</f>
        <v>#N/A</v>
      </c>
      <c r="D720" s="1059" t="e">
        <f>+C720*25000</f>
        <v>#N/A</v>
      </c>
      <c r="E720" s="1060"/>
      <c r="F720" s="1060"/>
      <c r="G720" s="1052" t="s">
        <v>359</v>
      </c>
      <c r="H720" s="1089" t="s">
        <v>360</v>
      </c>
      <c r="I720" s="1058" t="e">
        <f>VLOOKUP(H719,'LƯƠNG KT'!$D$15:$U$94,3,0)</f>
        <v>#N/A</v>
      </c>
      <c r="J720" s="1059" t="e">
        <f>+I720*25000</f>
        <v>#N/A</v>
      </c>
      <c r="K720" s="1085"/>
      <c r="L720" s="1085"/>
      <c r="M720" s="1085"/>
      <c r="N720" s="1085"/>
      <c r="O720" s="1085"/>
    </row>
    <row r="721" spans="1:15" ht="15" customHeight="1">
      <c r="A721" s="1052" t="s">
        <v>361</v>
      </c>
      <c r="B721" s="869" t="s">
        <v>362</v>
      </c>
      <c r="C721" s="1058" t="e">
        <f>VLOOKUP(B719,'LƯƠNG KT'!$D$15:$U$94,14,0)</f>
        <v>#N/A</v>
      </c>
      <c r="D721" s="1059" t="e">
        <f>C721*$L$4</f>
        <v>#N/A</v>
      </c>
      <c r="E721" s="1061"/>
      <c r="F721" s="1061"/>
      <c r="G721" s="1052" t="s">
        <v>361</v>
      </c>
      <c r="H721" s="869" t="s">
        <v>362</v>
      </c>
      <c r="I721" s="1058" t="e">
        <f>VLOOKUP(H719,'LƯƠNG KT'!$D$15:$U$94,14,0)</f>
        <v>#N/A</v>
      </c>
      <c r="J721" s="1059" t="e">
        <f>I721*$L$4</f>
        <v>#N/A</v>
      </c>
      <c r="K721" s="1085"/>
      <c r="L721" s="1085"/>
      <c r="M721" s="1085"/>
      <c r="N721" s="1085"/>
      <c r="O721" s="1085"/>
    </row>
    <row r="722" spans="1:15" ht="15" customHeight="1">
      <c r="A722" s="1052" t="s">
        <v>364</v>
      </c>
      <c r="B722" s="869" t="s">
        <v>365</v>
      </c>
      <c r="C722" s="1058" t="e">
        <f>VLOOKUP(B719,'LƯƠNG KT'!$D$15:$U$94,15,0)</f>
        <v>#N/A</v>
      </c>
      <c r="D722" s="1059" t="e">
        <f>C722*$L$5</f>
        <v>#N/A</v>
      </c>
      <c r="E722" s="1061"/>
      <c r="F722" s="1061"/>
      <c r="G722" s="1052" t="s">
        <v>364</v>
      </c>
      <c r="H722" s="869" t="s">
        <v>365</v>
      </c>
      <c r="I722" s="1058" t="e">
        <f>VLOOKUP(H719,'LƯƠNG KT'!$D$15:$U$94,15,0)</f>
        <v>#N/A</v>
      </c>
      <c r="J722" s="1059" t="e">
        <f>I722*$L$5</f>
        <v>#N/A</v>
      </c>
      <c r="K722" s="1085"/>
      <c r="L722" s="1085"/>
      <c r="M722" s="1085"/>
      <c r="N722" s="1085"/>
      <c r="O722" s="1085"/>
    </row>
    <row r="723" spans="1:15" ht="15" customHeight="1">
      <c r="A723" s="1052" t="s">
        <v>367</v>
      </c>
      <c r="B723" s="869"/>
      <c r="C723" s="1058" t="e">
        <f>VLOOKUP(B719,'LƯƠNG KT'!$D$15:$U$94,16,0)</f>
        <v>#N/A</v>
      </c>
      <c r="D723" s="1059" t="e">
        <f>+C723*$L$6</f>
        <v>#N/A</v>
      </c>
      <c r="E723" s="1061"/>
      <c r="F723" s="1061"/>
      <c r="G723" s="1052" t="s">
        <v>367</v>
      </c>
      <c r="H723" s="869"/>
      <c r="I723" s="1058" t="e">
        <f>VLOOKUP(H719,'LƯƠNG KT'!$D$15:$U$94,16,0)</f>
        <v>#N/A</v>
      </c>
      <c r="J723" s="1059" t="e">
        <f>+I723*$L$6</f>
        <v>#N/A</v>
      </c>
      <c r="K723" s="1085"/>
      <c r="L723" s="1085"/>
      <c r="M723" s="1085"/>
      <c r="N723" s="1085"/>
      <c r="O723" s="1085"/>
    </row>
    <row r="724" spans="1:15" ht="15" customHeight="1">
      <c r="A724" s="1052" t="s">
        <v>371</v>
      </c>
      <c r="B724" s="869" t="s">
        <v>372</v>
      </c>
      <c r="C724" s="1058" t="e">
        <f>VLOOKUP(B719,'LƯƠNG KT'!$D$15:$U$94,9,0)*$L$10</f>
        <v>#N/A</v>
      </c>
      <c r="D724" s="1059" t="e">
        <f>+C724*0.5*3000</f>
        <v>#N/A</v>
      </c>
      <c r="E724" s="1061"/>
      <c r="F724" s="1061"/>
      <c r="G724" s="1052" t="s">
        <v>371</v>
      </c>
      <c r="H724" s="869" t="s">
        <v>372</v>
      </c>
      <c r="I724" s="1058" t="e">
        <f>VLOOKUP(H719,'LƯƠNG KT'!$D$15:$U$94,9,0)*$L$10</f>
        <v>#N/A</v>
      </c>
      <c r="J724" s="1059" t="e">
        <f>+I724*0.5*3000</f>
        <v>#N/A</v>
      </c>
      <c r="K724" s="1085"/>
      <c r="L724" s="1085"/>
      <c r="M724" s="1085"/>
      <c r="N724" s="1085"/>
      <c r="O724" s="1085"/>
    </row>
    <row r="725" spans="1:15" ht="15" customHeight="1">
      <c r="A725" s="1052" t="s">
        <v>374</v>
      </c>
      <c r="B725" s="869" t="s">
        <v>375</v>
      </c>
      <c r="C725" s="1058" t="e">
        <f>VLOOKUP(B719,'LƯƠNG KT'!$D$15:$U$94,8,0)*$L$11</f>
        <v>#N/A</v>
      </c>
      <c r="D725" s="1059" t="e">
        <f>VLOOKUP(B719,'LƯƠNG KT'!$D$15:$U$94,13,0)-D724</f>
        <v>#N/A</v>
      </c>
      <c r="E725" s="1063"/>
      <c r="F725" s="1061"/>
      <c r="G725" s="1052" t="s">
        <v>374</v>
      </c>
      <c r="H725" s="869" t="s">
        <v>375</v>
      </c>
      <c r="I725" s="1058" t="e">
        <f>VLOOKUP(H719,'LƯƠNG KT'!$D$15:$U$94,8,0)*$L$11</f>
        <v>#N/A</v>
      </c>
      <c r="J725" s="1059" t="e">
        <f>VLOOKUP(H719,'LƯƠNG KT'!$D$15:$U$94,13,0)-J724</f>
        <v>#N/A</v>
      </c>
      <c r="K725" s="1085"/>
      <c r="L725" s="1085"/>
      <c r="M725" s="1085"/>
      <c r="N725" s="1085"/>
      <c r="O725" s="1085"/>
    </row>
    <row r="726" spans="1:15" ht="15" customHeight="1">
      <c r="A726" s="1059" t="s">
        <v>377</v>
      </c>
      <c r="B726" s="869" t="s">
        <v>378</v>
      </c>
      <c r="C726" s="1058"/>
      <c r="D726" s="1059"/>
      <c r="E726" s="1065"/>
      <c r="F726" s="1065"/>
      <c r="G726" s="1059" t="s">
        <v>377</v>
      </c>
      <c r="H726" s="869" t="s">
        <v>378</v>
      </c>
      <c r="I726" s="1058"/>
      <c r="J726" s="1059"/>
    </row>
    <row r="727" spans="1:15" ht="15" customHeight="1">
      <c r="A727" s="1066" t="s">
        <v>379</v>
      </c>
      <c r="B727" s="869" t="s">
        <v>380</v>
      </c>
      <c r="C727" s="1058"/>
      <c r="D727" s="1059">
        <f>14*25000</f>
        <v>350000</v>
      </c>
      <c r="E727" s="1063"/>
      <c r="F727" s="1065"/>
      <c r="G727" s="1066" t="s">
        <v>379</v>
      </c>
      <c r="H727" s="869" t="s">
        <v>380</v>
      </c>
      <c r="I727" s="1058"/>
      <c r="J727" s="1059">
        <f>14*25000</f>
        <v>350000</v>
      </c>
    </row>
    <row r="728" spans="1:15" ht="15" customHeight="1">
      <c r="A728" s="1052" t="s">
        <v>381</v>
      </c>
      <c r="B728" s="869" t="s">
        <v>382</v>
      </c>
      <c r="C728" s="1058"/>
      <c r="D728" s="1059">
        <f>D727</f>
        <v>350000</v>
      </c>
      <c r="E728" s="1067"/>
      <c r="F728" s="1051"/>
      <c r="G728" s="1052" t="s">
        <v>381</v>
      </c>
      <c r="H728" s="869" t="s">
        <v>382</v>
      </c>
      <c r="I728" s="1058"/>
      <c r="J728" s="1059">
        <f>J727</f>
        <v>350000</v>
      </c>
    </row>
    <row r="729" spans="1:15" ht="15" customHeight="1">
      <c r="A729" s="1068" t="s">
        <v>383</v>
      </c>
      <c r="B729" s="1069" t="s">
        <v>384</v>
      </c>
      <c r="C729" s="1070"/>
      <c r="D729" s="1071" t="e">
        <f>SUM(D720:D725)-D728</f>
        <v>#N/A</v>
      </c>
      <c r="E729" s="1072"/>
      <c r="F729" s="1073"/>
      <c r="G729" s="1068" t="s">
        <v>383</v>
      </c>
      <c r="H729" s="1069" t="s">
        <v>384</v>
      </c>
      <c r="I729" s="1070"/>
      <c r="J729" s="1071" t="e">
        <f>SUM(J720:J725)-J728</f>
        <v>#N/A</v>
      </c>
    </row>
    <row r="730" spans="1:15" ht="18.75" customHeight="1">
      <c r="A730" s="1074"/>
      <c r="B730" s="1075"/>
      <c r="C730" s="1076"/>
      <c r="D730" s="1077"/>
      <c r="E730" s="1077"/>
      <c r="F730" s="1078"/>
      <c r="G730" s="1074"/>
      <c r="H730" s="1075"/>
      <c r="I730" s="1076"/>
      <c r="J730" s="1077"/>
    </row>
    <row r="731" spans="1:15" ht="18.75" customHeight="1">
      <c r="A731" s="1075"/>
      <c r="B731" s="1075"/>
      <c r="C731" s="1079"/>
      <c r="D731" s="1080"/>
      <c r="E731" s="1075"/>
      <c r="F731" s="1081"/>
      <c r="G731" s="1075"/>
      <c r="H731" s="1075"/>
      <c r="I731" s="1079"/>
      <c r="J731" s="1080"/>
    </row>
    <row r="732" spans="1:15" ht="15" customHeight="1">
      <c r="A732" s="2242" t="str">
        <f>$K$2</f>
        <v>THÁNG 09/2024</v>
      </c>
      <c r="B732" s="2242"/>
      <c r="C732" s="2242"/>
      <c r="D732" s="2242"/>
      <c r="E732" s="1050"/>
      <c r="F732" s="1051"/>
      <c r="G732" s="2242" t="str">
        <f>$K$2</f>
        <v>THÁNG 09/2024</v>
      </c>
      <c r="H732" s="2242"/>
      <c r="I732" s="2242"/>
      <c r="J732" s="2242"/>
      <c r="K732" s="1085"/>
      <c r="L732" s="1085"/>
      <c r="M732" s="1085"/>
      <c r="N732" s="1085"/>
      <c r="O732" s="1085"/>
    </row>
    <row r="733" spans="1:15" ht="15" customHeight="1">
      <c r="A733" s="1052" t="s">
        <v>356</v>
      </c>
      <c r="B733" s="1053" t="s">
        <v>473</v>
      </c>
      <c r="C733" s="869"/>
      <c r="D733" s="1049"/>
      <c r="E733" s="1054"/>
      <c r="F733" s="1055"/>
      <c r="G733" s="1052" t="s">
        <v>356</v>
      </c>
      <c r="H733" s="1053" t="s">
        <v>474</v>
      </c>
      <c r="I733" s="869"/>
      <c r="J733" s="1049"/>
      <c r="L733" s="1088"/>
      <c r="M733" s="1088"/>
      <c r="N733" s="1088"/>
      <c r="O733" s="1088"/>
    </row>
    <row r="734" spans="1:15" ht="15" customHeight="1">
      <c r="A734" s="1052" t="s">
        <v>359</v>
      </c>
      <c r="B734" s="1089" t="s">
        <v>360</v>
      </c>
      <c r="C734" s="1058" t="e">
        <f>VLOOKUP(B733,'LƯƠNG KT'!$D$15:$U$94,3,0)</f>
        <v>#N/A</v>
      </c>
      <c r="D734" s="1059" t="e">
        <f>+C734*25000</f>
        <v>#N/A</v>
      </c>
      <c r="E734" s="1060"/>
      <c r="F734" s="1060"/>
      <c r="G734" s="1052" t="s">
        <v>359</v>
      </c>
      <c r="H734" s="1089" t="s">
        <v>360</v>
      </c>
      <c r="I734" s="1058" t="e">
        <f>VLOOKUP(H733,'LƯƠNG KT'!$D$15:$U$94,3,0)</f>
        <v>#N/A</v>
      </c>
      <c r="J734" s="1059" t="e">
        <f>+I734*25000</f>
        <v>#N/A</v>
      </c>
      <c r="K734" s="1085"/>
      <c r="L734" s="1085"/>
      <c r="M734" s="1085"/>
      <c r="N734" s="1085"/>
      <c r="O734" s="1085"/>
    </row>
    <row r="735" spans="1:15" ht="15" customHeight="1">
      <c r="A735" s="1052" t="s">
        <v>361</v>
      </c>
      <c r="B735" s="869" t="s">
        <v>362</v>
      </c>
      <c r="C735" s="1058" t="e">
        <f>VLOOKUP(B733,'LƯƠNG KT'!$D$15:$U$94,14,0)</f>
        <v>#N/A</v>
      </c>
      <c r="D735" s="1059" t="e">
        <f>C735*$L$4</f>
        <v>#N/A</v>
      </c>
      <c r="E735" s="1061"/>
      <c r="F735" s="1061"/>
      <c r="G735" s="1052" t="s">
        <v>361</v>
      </c>
      <c r="H735" s="869" t="s">
        <v>362</v>
      </c>
      <c r="I735" s="1058" t="e">
        <f>VLOOKUP(H733,'LƯƠNG KT'!$D$15:$U$94,14,0)</f>
        <v>#N/A</v>
      </c>
      <c r="J735" s="1059" t="e">
        <f>I735*$L$4</f>
        <v>#N/A</v>
      </c>
      <c r="K735" s="1085"/>
      <c r="L735" s="1085"/>
      <c r="M735" s="1085"/>
      <c r="N735" s="1085"/>
      <c r="O735" s="1085"/>
    </row>
    <row r="736" spans="1:15" ht="15" customHeight="1">
      <c r="A736" s="1052" t="s">
        <v>364</v>
      </c>
      <c r="B736" s="869" t="s">
        <v>365</v>
      </c>
      <c r="C736" s="1058" t="e">
        <f>VLOOKUP(B733,'LƯƠNG KT'!$D$15:$U$94,15,0)</f>
        <v>#N/A</v>
      </c>
      <c r="D736" s="1059" t="e">
        <f>C736*$L$5</f>
        <v>#N/A</v>
      </c>
      <c r="E736" s="1061"/>
      <c r="F736" s="1061"/>
      <c r="G736" s="1052" t="s">
        <v>364</v>
      </c>
      <c r="H736" s="869" t="s">
        <v>365</v>
      </c>
      <c r="I736" s="1058" t="e">
        <f>VLOOKUP(H733,'LƯƠNG KT'!$D$15:$U$94,15,0)</f>
        <v>#N/A</v>
      </c>
      <c r="J736" s="1059" t="e">
        <f>I736*$L$5</f>
        <v>#N/A</v>
      </c>
      <c r="K736" s="1085"/>
      <c r="L736" s="1085"/>
      <c r="M736" s="1085"/>
      <c r="N736" s="1085"/>
      <c r="O736" s="1085"/>
    </row>
    <row r="737" spans="1:15" ht="15" customHeight="1">
      <c r="A737" s="1052" t="s">
        <v>367</v>
      </c>
      <c r="B737" s="869"/>
      <c r="C737" s="1058" t="e">
        <f>VLOOKUP(B733,'LƯƠNG KT'!$D$15:$U$94,16,0)</f>
        <v>#N/A</v>
      </c>
      <c r="D737" s="1059" t="e">
        <f>+C737*$L$6</f>
        <v>#N/A</v>
      </c>
      <c r="E737" s="1061"/>
      <c r="F737" s="1061"/>
      <c r="G737" s="1052" t="s">
        <v>367</v>
      </c>
      <c r="H737" s="869"/>
      <c r="I737" s="1058" t="e">
        <f>VLOOKUP(H733,'LƯƠNG KT'!$D$15:$U$94,16,0)</f>
        <v>#N/A</v>
      </c>
      <c r="J737" s="1059" t="e">
        <f>+I737*$L$6</f>
        <v>#N/A</v>
      </c>
      <c r="K737" s="1085"/>
      <c r="L737" s="1085"/>
      <c r="M737" s="1085"/>
      <c r="N737" s="1085"/>
      <c r="O737" s="1085"/>
    </row>
    <row r="738" spans="1:15" ht="15" customHeight="1">
      <c r="A738" s="1052" t="s">
        <v>371</v>
      </c>
      <c r="B738" s="869" t="s">
        <v>372</v>
      </c>
      <c r="C738" s="1058" t="e">
        <f>VLOOKUP(B733,'LƯƠNG KT'!$D$15:$U$94,9,0)*$L$10</f>
        <v>#N/A</v>
      </c>
      <c r="D738" s="1059" t="e">
        <f>+C738*0.5*3000</f>
        <v>#N/A</v>
      </c>
      <c r="E738" s="1061"/>
      <c r="F738" s="1061"/>
      <c r="G738" s="1052" t="s">
        <v>371</v>
      </c>
      <c r="H738" s="869" t="s">
        <v>372</v>
      </c>
      <c r="I738" s="1058" t="e">
        <f>VLOOKUP(H733,'LƯƠNG KT'!$D$15:$U$94,9,0)*$L$10</f>
        <v>#N/A</v>
      </c>
      <c r="J738" s="1059" t="e">
        <f>+I738*0.5*3000</f>
        <v>#N/A</v>
      </c>
      <c r="K738" s="1085"/>
      <c r="L738" s="1085"/>
      <c r="M738" s="1085"/>
      <c r="N738" s="1085"/>
      <c r="O738" s="1085"/>
    </row>
    <row r="739" spans="1:15" ht="15" customHeight="1">
      <c r="A739" s="1052" t="s">
        <v>374</v>
      </c>
      <c r="B739" s="869" t="s">
        <v>375</v>
      </c>
      <c r="C739" s="1058" t="e">
        <f>VLOOKUP(B733,'LƯƠNG KT'!$D$15:$U$94,8,0)*$L$11</f>
        <v>#N/A</v>
      </c>
      <c r="D739" s="1059" t="e">
        <f>VLOOKUP(B733,'LƯƠNG KT'!$D$15:$U$94,13,0)-D738</f>
        <v>#N/A</v>
      </c>
      <c r="E739" s="1063"/>
      <c r="F739" s="1061"/>
      <c r="G739" s="1052" t="s">
        <v>374</v>
      </c>
      <c r="H739" s="869" t="s">
        <v>375</v>
      </c>
      <c r="I739" s="1058" t="e">
        <f>VLOOKUP(H733,'LƯƠNG KT'!$D$15:$U$94,8,0)*$L$11</f>
        <v>#N/A</v>
      </c>
      <c r="J739" s="1059" t="e">
        <f>VLOOKUP(H733,'LƯƠNG KT'!$D$15:$U$94,13,0)-J738</f>
        <v>#N/A</v>
      </c>
      <c r="K739" s="1085"/>
      <c r="L739" s="1085"/>
      <c r="M739" s="1085"/>
      <c r="N739" s="1085"/>
      <c r="O739" s="1085"/>
    </row>
    <row r="740" spans="1:15" ht="15" customHeight="1">
      <c r="A740" s="1059" t="s">
        <v>377</v>
      </c>
      <c r="B740" s="869" t="s">
        <v>378</v>
      </c>
      <c r="C740" s="1058"/>
      <c r="D740" s="1059"/>
      <c r="E740" s="1065"/>
      <c r="F740" s="1065"/>
      <c r="G740" s="1059" t="s">
        <v>377</v>
      </c>
      <c r="H740" s="869" t="s">
        <v>378</v>
      </c>
      <c r="I740" s="1058"/>
      <c r="J740" s="1059"/>
    </row>
    <row r="741" spans="1:15" ht="15" customHeight="1">
      <c r="A741" s="1066" t="s">
        <v>379</v>
      </c>
      <c r="B741" s="869" t="s">
        <v>380</v>
      </c>
      <c r="C741" s="1058"/>
      <c r="D741" s="1059">
        <f>14*25000</f>
        <v>350000</v>
      </c>
      <c r="E741" s="1063"/>
      <c r="F741" s="1065"/>
      <c r="G741" s="1066" t="s">
        <v>379</v>
      </c>
      <c r="H741" s="869" t="s">
        <v>380</v>
      </c>
      <c r="I741" s="1058"/>
      <c r="J741" s="1059">
        <f>14*25000</f>
        <v>350000</v>
      </c>
    </row>
    <row r="742" spans="1:15" ht="15" customHeight="1">
      <c r="A742" s="1052" t="s">
        <v>381</v>
      </c>
      <c r="B742" s="869" t="s">
        <v>382</v>
      </c>
      <c r="C742" s="1058"/>
      <c r="D742" s="1059">
        <f>D741</f>
        <v>350000</v>
      </c>
      <c r="E742" s="1067"/>
      <c r="F742" s="1051"/>
      <c r="G742" s="1052" t="s">
        <v>381</v>
      </c>
      <c r="H742" s="869" t="s">
        <v>382</v>
      </c>
      <c r="I742" s="1058"/>
      <c r="J742" s="1059">
        <f>J741</f>
        <v>350000</v>
      </c>
    </row>
    <row r="743" spans="1:15" ht="15" customHeight="1">
      <c r="A743" s="1068" t="s">
        <v>383</v>
      </c>
      <c r="B743" s="1069" t="s">
        <v>384</v>
      </c>
      <c r="C743" s="1070"/>
      <c r="D743" s="1071" t="e">
        <f>SUM(D734:D739)-D742</f>
        <v>#N/A</v>
      </c>
      <c r="E743" s="1072"/>
      <c r="F743" s="1073"/>
      <c r="G743" s="1068" t="s">
        <v>383</v>
      </c>
      <c r="H743" s="1069" t="s">
        <v>384</v>
      </c>
      <c r="I743" s="1070"/>
      <c r="J743" s="1071" t="e">
        <f>SUM(J734:J739)-J742</f>
        <v>#N/A</v>
      </c>
    </row>
    <row r="744" spans="1:15" ht="18.75" customHeight="1">
      <c r="A744" s="1074"/>
      <c r="B744" s="1075"/>
      <c r="C744" s="1076"/>
      <c r="D744" s="1077"/>
      <c r="E744" s="1077"/>
      <c r="F744" s="1078"/>
      <c r="G744" s="1074"/>
      <c r="H744" s="1075"/>
      <c r="I744" s="1076"/>
      <c r="J744" s="1077"/>
    </row>
    <row r="745" spans="1:15" ht="18.75" customHeight="1">
      <c r="A745" s="1075"/>
      <c r="B745" s="1075"/>
      <c r="C745" s="1079"/>
      <c r="D745" s="1080"/>
      <c r="E745" s="1075"/>
      <c r="F745" s="1081"/>
      <c r="G745" s="1075"/>
      <c r="H745" s="1075"/>
      <c r="I745" s="1079"/>
      <c r="J745" s="1080"/>
    </row>
    <row r="746" spans="1:15" ht="15" customHeight="1">
      <c r="A746" s="2242" t="str">
        <f>$K$2</f>
        <v>THÁNG 09/2024</v>
      </c>
      <c r="B746" s="2242"/>
      <c r="C746" s="2242"/>
      <c r="D746" s="2242"/>
      <c r="E746" s="1050"/>
      <c r="F746" s="1051"/>
      <c r="G746" s="2242" t="str">
        <f>$K$2</f>
        <v>THÁNG 09/2024</v>
      </c>
      <c r="H746" s="2242"/>
      <c r="I746" s="2242"/>
      <c r="J746" s="2242"/>
      <c r="K746" s="624"/>
    </row>
    <row r="747" spans="1:15" ht="15" customHeight="1">
      <c r="A747" s="1052" t="s">
        <v>356</v>
      </c>
      <c r="B747" s="1053" t="s">
        <v>475</v>
      </c>
      <c r="C747" s="869"/>
      <c r="D747" s="1049"/>
      <c r="E747" s="1054"/>
      <c r="F747" s="1055"/>
      <c r="G747" s="1052" t="s">
        <v>356</v>
      </c>
      <c r="H747" s="1053" t="s">
        <v>476</v>
      </c>
      <c r="I747" s="869"/>
      <c r="J747" s="1049"/>
      <c r="L747" s="1088"/>
      <c r="M747" s="1088"/>
      <c r="N747" s="1088"/>
      <c r="O747" s="1088"/>
    </row>
    <row r="748" spans="1:15" ht="15" customHeight="1">
      <c r="A748" s="1052" t="s">
        <v>359</v>
      </c>
      <c r="B748" s="1089" t="s">
        <v>360</v>
      </c>
      <c r="C748" s="1058" t="e">
        <f>VLOOKUP(B747,'LƯƠNG KT'!$D$15:$U$94,3,0)</f>
        <v>#N/A</v>
      </c>
      <c r="D748" s="1059" t="e">
        <f>+C748*25000</f>
        <v>#N/A</v>
      </c>
      <c r="E748" s="1060"/>
      <c r="F748" s="1060"/>
      <c r="G748" s="1052" t="s">
        <v>359</v>
      </c>
      <c r="H748" s="1089" t="s">
        <v>360</v>
      </c>
      <c r="I748" s="1058" t="e">
        <f>VLOOKUP(H747,'LƯƠNG KT'!$D$15:$U$94,3,0)</f>
        <v>#N/A</v>
      </c>
      <c r="J748" s="1059" t="e">
        <f>+I748*25000</f>
        <v>#N/A</v>
      </c>
      <c r="K748" s="1085"/>
      <c r="L748" s="1085"/>
      <c r="M748" s="1085"/>
      <c r="N748" s="1085"/>
      <c r="O748" s="1085"/>
    </row>
    <row r="749" spans="1:15" ht="15" customHeight="1">
      <c r="A749" s="1052" t="s">
        <v>361</v>
      </c>
      <c r="B749" s="869" t="s">
        <v>362</v>
      </c>
      <c r="C749" s="1058" t="e">
        <f>VLOOKUP(B747,'LƯƠNG KT'!$D$15:$U$94,14,0)</f>
        <v>#N/A</v>
      </c>
      <c r="D749" s="1059" t="e">
        <f>C749*$L$4</f>
        <v>#N/A</v>
      </c>
      <c r="E749" s="1061"/>
      <c r="F749" s="1061"/>
      <c r="G749" s="1052" t="s">
        <v>361</v>
      </c>
      <c r="H749" s="869" t="s">
        <v>362</v>
      </c>
      <c r="I749" s="1058" t="e">
        <f>VLOOKUP(H747,'LƯƠNG KT'!$D$15:$U$94,14,0)</f>
        <v>#N/A</v>
      </c>
      <c r="J749" s="1059" t="e">
        <f>I749*$L$4</f>
        <v>#N/A</v>
      </c>
      <c r="K749" s="1085"/>
      <c r="L749" s="1085"/>
      <c r="M749" s="1085"/>
      <c r="N749" s="1085"/>
      <c r="O749" s="1085"/>
    </row>
    <row r="750" spans="1:15" ht="15" customHeight="1">
      <c r="A750" s="1052" t="s">
        <v>364</v>
      </c>
      <c r="B750" s="869" t="s">
        <v>365</v>
      </c>
      <c r="C750" s="1058" t="e">
        <f>VLOOKUP(B747,'LƯƠNG KT'!$D$15:$U$94,15,0)</f>
        <v>#N/A</v>
      </c>
      <c r="D750" s="1059" t="e">
        <f>C750*$L$5</f>
        <v>#N/A</v>
      </c>
      <c r="E750" s="1061"/>
      <c r="F750" s="1061"/>
      <c r="G750" s="1052" t="s">
        <v>364</v>
      </c>
      <c r="H750" s="869" t="s">
        <v>365</v>
      </c>
      <c r="I750" s="1058" t="e">
        <f>VLOOKUP(H747,'LƯƠNG KT'!$D$15:$U$94,15,0)</f>
        <v>#N/A</v>
      </c>
      <c r="J750" s="1059" t="e">
        <f>I750*$L$5</f>
        <v>#N/A</v>
      </c>
      <c r="K750" s="1085"/>
      <c r="L750" s="1085"/>
      <c r="M750" s="1085"/>
      <c r="N750" s="1085"/>
      <c r="O750" s="1085"/>
    </row>
    <row r="751" spans="1:15" ht="15" customHeight="1">
      <c r="A751" s="1052" t="s">
        <v>367</v>
      </c>
      <c r="B751" s="869"/>
      <c r="C751" s="1058" t="e">
        <f>VLOOKUP(B747,'LƯƠNG KT'!$D$15:$U$94,16,0)</f>
        <v>#N/A</v>
      </c>
      <c r="D751" s="1059" t="e">
        <f>+C751*$L$6</f>
        <v>#N/A</v>
      </c>
      <c r="E751" s="1061"/>
      <c r="F751" s="1061"/>
      <c r="G751" s="1052" t="s">
        <v>367</v>
      </c>
      <c r="H751" s="869"/>
      <c r="I751" s="1058" t="e">
        <f>VLOOKUP(H747,'LƯƠNG KT'!$D$15:$U$94,16,0)</f>
        <v>#N/A</v>
      </c>
      <c r="J751" s="1059" t="e">
        <f>+I751*$L$6</f>
        <v>#N/A</v>
      </c>
      <c r="K751" s="1085"/>
      <c r="L751" s="1085"/>
      <c r="M751" s="1085"/>
      <c r="N751" s="1085"/>
      <c r="O751" s="1085"/>
    </row>
    <row r="752" spans="1:15" ht="15" customHeight="1">
      <c r="A752" s="1052" t="s">
        <v>371</v>
      </c>
      <c r="B752" s="869" t="s">
        <v>372</v>
      </c>
      <c r="C752" s="1058" t="e">
        <f>VLOOKUP(B747,'LƯƠNG KT'!$D$15:$U$94,9,0)*$L$10</f>
        <v>#N/A</v>
      </c>
      <c r="D752" s="1059" t="e">
        <f>+C752*0.5*3000</f>
        <v>#N/A</v>
      </c>
      <c r="E752" s="1061"/>
      <c r="F752" s="1061"/>
      <c r="G752" s="1052" t="s">
        <v>371</v>
      </c>
      <c r="H752" s="869" t="s">
        <v>372</v>
      </c>
      <c r="I752" s="1058" t="e">
        <f>VLOOKUP(H747,'LƯƠNG KT'!$D$15:$U$94,9,0)*$L$10</f>
        <v>#N/A</v>
      </c>
      <c r="J752" s="1059" t="e">
        <f>+I752*0.5*3000</f>
        <v>#N/A</v>
      </c>
      <c r="K752" s="1085"/>
      <c r="L752" s="1085"/>
      <c r="M752" s="1085"/>
      <c r="N752" s="1085"/>
      <c r="O752" s="1085"/>
    </row>
    <row r="753" spans="1:15" ht="15" customHeight="1">
      <c r="A753" s="1052" t="s">
        <v>374</v>
      </c>
      <c r="B753" s="869" t="s">
        <v>375</v>
      </c>
      <c r="C753" s="1058" t="e">
        <f>VLOOKUP(B747,'LƯƠNG KT'!$D$15:$U$94,8,0)*$L$11</f>
        <v>#N/A</v>
      </c>
      <c r="D753" s="1059" t="e">
        <f>VLOOKUP(B747,'LƯƠNG KT'!$D$15:$U$94,13,0)-D752</f>
        <v>#N/A</v>
      </c>
      <c r="E753" s="1063"/>
      <c r="F753" s="1061"/>
      <c r="G753" s="1052" t="s">
        <v>374</v>
      </c>
      <c r="H753" s="869" t="s">
        <v>375</v>
      </c>
      <c r="I753" s="1058" t="e">
        <f>VLOOKUP(H747,'LƯƠNG KT'!$D$15:$U$94,8,0)*$L$11</f>
        <v>#N/A</v>
      </c>
      <c r="J753" s="1059" t="e">
        <f>VLOOKUP(H747,'LƯƠNG KT'!$D$15:$U$94,13,0)-J752</f>
        <v>#N/A</v>
      </c>
      <c r="K753" s="1085"/>
      <c r="L753" s="1085"/>
      <c r="M753" s="1085"/>
      <c r="N753" s="1085"/>
      <c r="O753" s="1085"/>
    </row>
    <row r="754" spans="1:15" ht="15" customHeight="1">
      <c r="A754" s="1059" t="s">
        <v>377</v>
      </c>
      <c r="B754" s="869" t="s">
        <v>378</v>
      </c>
      <c r="C754" s="1058"/>
      <c r="D754" s="1059"/>
      <c r="E754" s="1065"/>
      <c r="F754" s="1065"/>
      <c r="G754" s="1059" t="s">
        <v>377</v>
      </c>
      <c r="H754" s="869" t="s">
        <v>378</v>
      </c>
      <c r="I754" s="1058"/>
      <c r="J754" s="1059"/>
    </row>
    <row r="755" spans="1:15" ht="15" customHeight="1">
      <c r="A755" s="1066" t="s">
        <v>379</v>
      </c>
      <c r="B755" s="869" t="s">
        <v>380</v>
      </c>
      <c r="C755" s="1058"/>
      <c r="D755" s="1059">
        <f>14*25000</f>
        <v>350000</v>
      </c>
      <c r="E755" s="1063"/>
      <c r="F755" s="1065"/>
      <c r="G755" s="1066" t="s">
        <v>379</v>
      </c>
      <c r="H755" s="869" t="s">
        <v>380</v>
      </c>
      <c r="I755" s="1058"/>
      <c r="J755" s="1059">
        <f>14*25000</f>
        <v>350000</v>
      </c>
    </row>
    <row r="756" spans="1:15" ht="15" customHeight="1">
      <c r="A756" s="1052" t="s">
        <v>381</v>
      </c>
      <c r="B756" s="869" t="s">
        <v>382</v>
      </c>
      <c r="C756" s="1058"/>
      <c r="D756" s="1059">
        <f>D755</f>
        <v>350000</v>
      </c>
      <c r="E756" s="1067"/>
      <c r="F756" s="1051"/>
      <c r="G756" s="1052" t="s">
        <v>381</v>
      </c>
      <c r="H756" s="869" t="s">
        <v>382</v>
      </c>
      <c r="I756" s="1058"/>
      <c r="J756" s="1059">
        <f>J755</f>
        <v>350000</v>
      </c>
    </row>
    <row r="757" spans="1:15" ht="15" customHeight="1">
      <c r="A757" s="1068" t="s">
        <v>383</v>
      </c>
      <c r="B757" s="1069" t="s">
        <v>384</v>
      </c>
      <c r="C757" s="1070"/>
      <c r="D757" s="1071" t="e">
        <f>SUM(D748:D753)-D756</f>
        <v>#N/A</v>
      </c>
      <c r="E757" s="1072"/>
      <c r="F757" s="1073"/>
      <c r="G757" s="1068" t="s">
        <v>383</v>
      </c>
      <c r="H757" s="1069" t="s">
        <v>384</v>
      </c>
      <c r="I757" s="1070"/>
      <c r="J757" s="1071" t="e">
        <f>SUM(J748:J753)-J756</f>
        <v>#N/A</v>
      </c>
    </row>
    <row r="758" spans="1:15" ht="15.75" customHeight="1">
      <c r="A758" s="1074"/>
      <c r="B758" s="1075"/>
      <c r="C758" s="1076"/>
      <c r="D758" s="1077"/>
      <c r="E758" s="1077"/>
      <c r="F758" s="1078"/>
      <c r="G758" s="1074"/>
      <c r="H758" s="1075"/>
      <c r="I758" s="1076"/>
      <c r="J758" s="1077"/>
    </row>
    <row r="760" spans="1:15" ht="12" customHeight="1">
      <c r="A760" s="2243"/>
      <c r="B760" s="2243"/>
      <c r="C760" s="2243"/>
      <c r="D760" s="2243"/>
      <c r="E760" s="2243"/>
      <c r="F760" s="2243"/>
      <c r="G760" s="2243"/>
      <c r="H760" s="2243"/>
      <c r="I760" s="2243"/>
      <c r="J760" s="2243"/>
    </row>
    <row r="761" spans="1:15" ht="15" customHeight="1">
      <c r="A761" s="2242" t="str">
        <f>$K$2</f>
        <v>THÁNG 09/2024</v>
      </c>
      <c r="B761" s="2242"/>
      <c r="C761" s="2242"/>
      <c r="D761" s="2242"/>
      <c r="E761" s="1050"/>
      <c r="F761" s="1051"/>
      <c r="G761" s="2242" t="str">
        <f>$K$2</f>
        <v>THÁNG 09/2024</v>
      </c>
      <c r="H761" s="2242"/>
      <c r="I761" s="2242"/>
      <c r="J761" s="2242"/>
      <c r="K761" s="624"/>
    </row>
    <row r="762" spans="1:15" ht="15" customHeight="1">
      <c r="A762" s="1052" t="s">
        <v>356</v>
      </c>
      <c r="B762" s="1053" t="s">
        <v>477</v>
      </c>
      <c r="C762" s="869"/>
      <c r="D762" s="1049"/>
      <c r="E762" s="1054"/>
      <c r="F762" s="1055"/>
      <c r="G762" s="1052" t="s">
        <v>356</v>
      </c>
      <c r="H762" s="1053" t="s">
        <v>478</v>
      </c>
      <c r="I762" s="869"/>
      <c r="J762" s="1049"/>
      <c r="L762" s="1088"/>
      <c r="M762" s="1088"/>
      <c r="N762" s="1088"/>
      <c r="O762" s="1088"/>
    </row>
    <row r="763" spans="1:15" ht="15" customHeight="1">
      <c r="A763" s="1052" t="s">
        <v>359</v>
      </c>
      <c r="B763" s="1089" t="s">
        <v>360</v>
      </c>
      <c r="C763" s="1058" t="e">
        <f>VLOOKUP(B762,'LƯƠNG KT'!$D$15:$U$94,3,0)</f>
        <v>#N/A</v>
      </c>
      <c r="D763" s="1059" t="e">
        <f>+C763*25000</f>
        <v>#N/A</v>
      </c>
      <c r="E763" s="1060"/>
      <c r="F763" s="1060"/>
      <c r="G763" s="1052" t="s">
        <v>359</v>
      </c>
      <c r="H763" s="1089" t="s">
        <v>360</v>
      </c>
      <c r="I763" s="1058" t="e">
        <f>VLOOKUP(H762,'LƯƠNG KT'!$D$15:$U$94,3,0)</f>
        <v>#N/A</v>
      </c>
      <c r="J763" s="1059" t="e">
        <f>+I763*25000</f>
        <v>#N/A</v>
      </c>
      <c r="K763" s="1084"/>
      <c r="L763" s="1085"/>
      <c r="M763" s="1085"/>
      <c r="N763" s="1085"/>
      <c r="O763" s="1085"/>
    </row>
    <row r="764" spans="1:15" ht="15" customHeight="1">
      <c r="A764" s="1052" t="s">
        <v>361</v>
      </c>
      <c r="B764" s="869" t="s">
        <v>362</v>
      </c>
      <c r="C764" s="1058" t="e">
        <f>VLOOKUP(B762,'LƯƠNG KT'!$D$15:$U$94,14,0)</f>
        <v>#N/A</v>
      </c>
      <c r="D764" s="1059" t="e">
        <f>C764*$L$4</f>
        <v>#N/A</v>
      </c>
      <c r="E764" s="1061"/>
      <c r="F764" s="1061"/>
      <c r="G764" s="1052" t="s">
        <v>361</v>
      </c>
      <c r="H764" s="869" t="s">
        <v>362</v>
      </c>
      <c r="I764" s="1058" t="e">
        <f>VLOOKUP(H762,'LƯƠNG KT'!$D$15:$U$94,14,0)</f>
        <v>#N/A</v>
      </c>
      <c r="J764" s="1059" t="e">
        <f>I764*$L$4</f>
        <v>#N/A</v>
      </c>
      <c r="K764" s="1084"/>
      <c r="L764" s="1085"/>
      <c r="M764" s="1085"/>
      <c r="N764" s="1085"/>
      <c r="O764" s="1085"/>
    </row>
    <row r="765" spans="1:15" ht="15" customHeight="1">
      <c r="A765" s="1052" t="s">
        <v>364</v>
      </c>
      <c r="B765" s="869" t="s">
        <v>365</v>
      </c>
      <c r="C765" s="1058" t="e">
        <f>VLOOKUP(B762,'LƯƠNG KT'!$D$15:$U$94,15,0)</f>
        <v>#N/A</v>
      </c>
      <c r="D765" s="1059" t="e">
        <f>C765*$L$5</f>
        <v>#N/A</v>
      </c>
      <c r="E765" s="1061"/>
      <c r="F765" s="1061"/>
      <c r="G765" s="1052" t="s">
        <v>364</v>
      </c>
      <c r="H765" s="869" t="s">
        <v>365</v>
      </c>
      <c r="I765" s="1058" t="e">
        <f>VLOOKUP(H762,'LƯƠNG KT'!$D$15:$U$94,15,0)</f>
        <v>#N/A</v>
      </c>
      <c r="J765" s="1059" t="e">
        <f>I765*$L$5</f>
        <v>#N/A</v>
      </c>
      <c r="K765" s="1084"/>
      <c r="L765" s="1085"/>
      <c r="M765" s="1085"/>
      <c r="N765" s="1085"/>
      <c r="O765" s="1085"/>
    </row>
    <row r="766" spans="1:15" ht="15" customHeight="1">
      <c r="A766" s="1052" t="s">
        <v>367</v>
      </c>
      <c r="B766" s="869"/>
      <c r="C766" s="1058" t="e">
        <f>VLOOKUP(B762,'LƯƠNG KT'!$D$15:$U$94,16,0)</f>
        <v>#N/A</v>
      </c>
      <c r="D766" s="1059" t="e">
        <f>+C766*$L$6</f>
        <v>#N/A</v>
      </c>
      <c r="E766" s="1061"/>
      <c r="F766" s="1061"/>
      <c r="G766" s="1052" t="s">
        <v>367</v>
      </c>
      <c r="H766" s="869"/>
      <c r="I766" s="1058" t="e">
        <f>VLOOKUP(H762,'LƯƠNG KT'!$D$15:$U$94,16,0)</f>
        <v>#N/A</v>
      </c>
      <c r="J766" s="1059" t="e">
        <f>+I766*$L$6</f>
        <v>#N/A</v>
      </c>
      <c r="K766" s="1085"/>
      <c r="L766" s="1085"/>
      <c r="M766" s="1085"/>
      <c r="N766" s="1085"/>
      <c r="O766" s="1085"/>
    </row>
    <row r="767" spans="1:15" ht="15" customHeight="1">
      <c r="A767" s="1052" t="s">
        <v>371</v>
      </c>
      <c r="B767" s="869" t="s">
        <v>372</v>
      </c>
      <c r="C767" s="1058" t="e">
        <f>VLOOKUP(B762,'LƯƠNG KT'!$D$15:$U$94,9,0)*$L$10</f>
        <v>#N/A</v>
      </c>
      <c r="D767" s="1059" t="e">
        <f>+C767*0.5*3000</f>
        <v>#N/A</v>
      </c>
      <c r="E767" s="1061"/>
      <c r="F767" s="1061"/>
      <c r="G767" s="1052" t="s">
        <v>371</v>
      </c>
      <c r="H767" s="869" t="s">
        <v>372</v>
      </c>
      <c r="I767" s="1058" t="e">
        <f>VLOOKUP(H762,'LƯƠNG KT'!$D$15:$U$94,9,0)*$L$10</f>
        <v>#N/A</v>
      </c>
      <c r="J767" s="1059" t="e">
        <f>+I767*0.5*3000</f>
        <v>#N/A</v>
      </c>
      <c r="K767" s="1085"/>
      <c r="L767" s="1085"/>
      <c r="M767" s="1085"/>
      <c r="N767" s="1085"/>
      <c r="O767" s="1085"/>
    </row>
    <row r="768" spans="1:15" ht="15" customHeight="1">
      <c r="A768" s="1052" t="s">
        <v>374</v>
      </c>
      <c r="B768" s="869" t="s">
        <v>375</v>
      </c>
      <c r="C768" s="1058" t="e">
        <f>VLOOKUP(B762,'LƯƠNG KT'!$D$15:$U$94,8,0)*$L$11</f>
        <v>#N/A</v>
      </c>
      <c r="D768" s="1059" t="e">
        <f>VLOOKUP(B762,'LƯƠNG KT'!$D$15:$U$94,13,0)-D767</f>
        <v>#N/A</v>
      </c>
      <c r="E768" s="1063"/>
      <c r="F768" s="1061"/>
      <c r="G768" s="1052" t="s">
        <v>374</v>
      </c>
      <c r="H768" s="869" t="s">
        <v>375</v>
      </c>
      <c r="I768" s="1058" t="e">
        <f>VLOOKUP(H762,'LƯƠNG KT'!$D$15:$U$94,8,0)*$L$11</f>
        <v>#N/A</v>
      </c>
      <c r="J768" s="1059" t="e">
        <f>VLOOKUP(H762,'LƯƠNG KT'!$D$15:$U$94,13,0)-J767</f>
        <v>#N/A</v>
      </c>
      <c r="K768" s="1085"/>
      <c r="L768" s="1085"/>
      <c r="M768" s="1085"/>
      <c r="N768" s="1085"/>
      <c r="O768" s="1085"/>
    </row>
    <row r="769" spans="1:15" ht="15" customHeight="1">
      <c r="A769" s="1059" t="s">
        <v>377</v>
      </c>
      <c r="B769" s="869" t="s">
        <v>378</v>
      </c>
      <c r="C769" s="1058"/>
      <c r="D769" s="1059"/>
      <c r="E769" s="1065"/>
      <c r="F769" s="1065"/>
      <c r="G769" s="1059" t="s">
        <v>377</v>
      </c>
      <c r="H769" s="869" t="s">
        <v>378</v>
      </c>
      <c r="I769" s="1058"/>
      <c r="J769" s="1059"/>
    </row>
    <row r="770" spans="1:15" ht="15" customHeight="1">
      <c r="A770" s="1066" t="s">
        <v>379</v>
      </c>
      <c r="B770" s="869" t="s">
        <v>380</v>
      </c>
      <c r="C770" s="1058"/>
      <c r="D770" s="1059">
        <f>14*25000</f>
        <v>350000</v>
      </c>
      <c r="E770" s="1063"/>
      <c r="F770" s="1065"/>
      <c r="G770" s="1066" t="s">
        <v>379</v>
      </c>
      <c r="H770" s="869" t="s">
        <v>380</v>
      </c>
      <c r="I770" s="1058"/>
      <c r="J770" s="1059">
        <f>14*25000</f>
        <v>350000</v>
      </c>
    </row>
    <row r="771" spans="1:15" ht="15" customHeight="1">
      <c r="A771" s="1052" t="s">
        <v>381</v>
      </c>
      <c r="B771" s="869" t="s">
        <v>382</v>
      </c>
      <c r="C771" s="1058"/>
      <c r="D771" s="1059">
        <f>D770</f>
        <v>350000</v>
      </c>
      <c r="E771" s="1067"/>
      <c r="F771" s="1051"/>
      <c r="G771" s="1052" t="s">
        <v>381</v>
      </c>
      <c r="H771" s="869" t="s">
        <v>382</v>
      </c>
      <c r="I771" s="1058"/>
      <c r="J771" s="1059">
        <f>J770</f>
        <v>350000</v>
      </c>
    </row>
    <row r="772" spans="1:15" ht="15" customHeight="1">
      <c r="A772" s="1068" t="s">
        <v>383</v>
      </c>
      <c r="B772" s="1069" t="s">
        <v>384</v>
      </c>
      <c r="C772" s="1070"/>
      <c r="D772" s="1071" t="e">
        <f>SUM(D763:D768)-D771</f>
        <v>#N/A</v>
      </c>
      <c r="E772" s="1072"/>
      <c r="F772" s="1073"/>
      <c r="G772" s="1068" t="s">
        <v>383</v>
      </c>
      <c r="H772" s="1069" t="s">
        <v>384</v>
      </c>
      <c r="I772" s="1070"/>
      <c r="J772" s="1071" t="e">
        <f>SUM(J763:J768)-J771</f>
        <v>#N/A</v>
      </c>
    </row>
    <row r="773" spans="1:15" ht="12.6" customHeight="1">
      <c r="A773" s="1074"/>
      <c r="B773" s="1075"/>
      <c r="C773" s="1076"/>
      <c r="D773" s="1077"/>
      <c r="E773" s="1077"/>
      <c r="F773" s="1078"/>
      <c r="G773" s="1074"/>
      <c r="H773" s="1075"/>
      <c r="I773" s="1076"/>
      <c r="J773" s="1077"/>
    </row>
    <row r="774" spans="1:15" ht="12.6" customHeight="1">
      <c r="A774" s="1075"/>
      <c r="B774" s="1075"/>
      <c r="C774" s="1079"/>
      <c r="D774" s="1080"/>
      <c r="E774" s="1075"/>
      <c r="F774" s="1081"/>
      <c r="G774" s="1075"/>
      <c r="H774" s="1075"/>
      <c r="I774" s="1079"/>
      <c r="J774" s="1080"/>
    </row>
    <row r="775" spans="1:15" ht="15" customHeight="1">
      <c r="A775" s="2242" t="str">
        <f>$K$2</f>
        <v>THÁNG 09/2024</v>
      </c>
      <c r="B775" s="2242"/>
      <c r="C775" s="2242"/>
      <c r="D775" s="2242"/>
      <c r="E775" s="1050"/>
      <c r="F775" s="1051"/>
      <c r="G775" s="2242" t="str">
        <f>$K$2</f>
        <v>THÁNG 09/2024</v>
      </c>
      <c r="H775" s="2242"/>
      <c r="I775" s="2242"/>
      <c r="J775" s="2242"/>
      <c r="K775" s="624"/>
    </row>
    <row r="776" spans="1:15" ht="15" customHeight="1">
      <c r="A776" s="1052" t="s">
        <v>356</v>
      </c>
      <c r="B776" s="1053" t="s">
        <v>479</v>
      </c>
      <c r="C776" s="869"/>
      <c r="D776" s="1049"/>
      <c r="E776" s="1054"/>
      <c r="F776" s="1055"/>
      <c r="G776" s="1052" t="s">
        <v>356</v>
      </c>
      <c r="H776" s="1053" t="s">
        <v>480</v>
      </c>
      <c r="I776" s="869"/>
      <c r="J776" s="1049"/>
      <c r="L776" s="1088"/>
      <c r="M776" s="1088"/>
      <c r="N776" s="1088"/>
      <c r="O776" s="1088"/>
    </row>
    <row r="777" spans="1:15" ht="15" customHeight="1">
      <c r="A777" s="1052" t="s">
        <v>359</v>
      </c>
      <c r="B777" s="1089" t="s">
        <v>360</v>
      </c>
      <c r="C777" s="1058" t="e">
        <f>VLOOKUP(B776,'LƯƠNG KT'!$D$15:$U$94,3,0)</f>
        <v>#N/A</v>
      </c>
      <c r="D777" s="1059" t="e">
        <f>+C777*25000</f>
        <v>#N/A</v>
      </c>
      <c r="E777" s="1060"/>
      <c r="F777" s="1060"/>
      <c r="G777" s="1052" t="s">
        <v>359</v>
      </c>
      <c r="H777" s="1089" t="s">
        <v>360</v>
      </c>
      <c r="I777" s="1058" t="e">
        <f>VLOOKUP(H776,'LƯƠNG KT'!$D$15:$U$94,3,0)</f>
        <v>#N/A</v>
      </c>
      <c r="J777" s="1059" t="e">
        <f>+I777*25000</f>
        <v>#N/A</v>
      </c>
      <c r="K777" s="1085"/>
      <c r="L777" s="1085"/>
      <c r="M777" s="1085"/>
      <c r="N777" s="1085"/>
      <c r="O777" s="1085"/>
    </row>
    <row r="778" spans="1:15" ht="15" customHeight="1">
      <c r="A778" s="1052" t="s">
        <v>361</v>
      </c>
      <c r="B778" s="869" t="s">
        <v>362</v>
      </c>
      <c r="C778" s="1058" t="e">
        <f>VLOOKUP(B776,'LƯƠNG KT'!$D$15:$U$94,14,0)</f>
        <v>#N/A</v>
      </c>
      <c r="D778" s="1059" t="e">
        <f>C778*$L$4</f>
        <v>#N/A</v>
      </c>
      <c r="E778" s="1061"/>
      <c r="F778" s="1061"/>
      <c r="G778" s="1052" t="s">
        <v>361</v>
      </c>
      <c r="H778" s="869" t="s">
        <v>362</v>
      </c>
      <c r="I778" s="1058" t="e">
        <f>VLOOKUP(H776,'LƯƠNG KT'!$D$15:$U$94,14,0)</f>
        <v>#N/A</v>
      </c>
      <c r="J778" s="1059" t="e">
        <f>I778*$L$4</f>
        <v>#N/A</v>
      </c>
      <c r="K778" s="1085"/>
      <c r="L778" s="1085"/>
      <c r="M778" s="1085"/>
      <c r="N778" s="1085"/>
      <c r="O778" s="1085"/>
    </row>
    <row r="779" spans="1:15" ht="15" customHeight="1">
      <c r="A779" s="1052" t="s">
        <v>364</v>
      </c>
      <c r="B779" s="869" t="s">
        <v>365</v>
      </c>
      <c r="C779" s="1058" t="e">
        <f>VLOOKUP(B776,'LƯƠNG KT'!$D$15:$U$94,15,0)</f>
        <v>#N/A</v>
      </c>
      <c r="D779" s="1059" t="e">
        <f>C779*$L$5</f>
        <v>#N/A</v>
      </c>
      <c r="E779" s="1061"/>
      <c r="F779" s="1061"/>
      <c r="G779" s="1052" t="s">
        <v>364</v>
      </c>
      <c r="H779" s="869" t="s">
        <v>365</v>
      </c>
      <c r="I779" s="1058" t="e">
        <f>VLOOKUP(H776,'LƯƠNG KT'!$D$15:$U$94,15,0)</f>
        <v>#N/A</v>
      </c>
      <c r="J779" s="1059" t="e">
        <f>I779*$L$5</f>
        <v>#N/A</v>
      </c>
      <c r="K779" s="1085"/>
      <c r="L779" s="1085"/>
      <c r="M779" s="1085"/>
      <c r="N779" s="1085"/>
      <c r="O779" s="1085"/>
    </row>
    <row r="780" spans="1:15" ht="15" customHeight="1">
      <c r="A780" s="1052" t="s">
        <v>367</v>
      </c>
      <c r="B780" s="869"/>
      <c r="C780" s="1058" t="e">
        <f>VLOOKUP(B776,'LƯƠNG KT'!$D$15:$U$94,16,0)</f>
        <v>#N/A</v>
      </c>
      <c r="D780" s="1059" t="e">
        <f>+C780*$L$6</f>
        <v>#N/A</v>
      </c>
      <c r="E780" s="1061"/>
      <c r="F780" s="1061"/>
      <c r="G780" s="1052" t="s">
        <v>367</v>
      </c>
      <c r="H780" s="869"/>
      <c r="I780" s="1058" t="e">
        <f>VLOOKUP(H776,'LƯƠNG KT'!$D$15:$U$94,16,0)</f>
        <v>#N/A</v>
      </c>
      <c r="J780" s="1059" t="e">
        <f>+I780*$L$6</f>
        <v>#N/A</v>
      </c>
      <c r="K780" s="1085"/>
      <c r="L780" s="1085"/>
      <c r="M780" s="1085"/>
      <c r="N780" s="1085"/>
      <c r="O780" s="1085"/>
    </row>
    <row r="781" spans="1:15" ht="15" customHeight="1">
      <c r="A781" s="1052" t="s">
        <v>371</v>
      </c>
      <c r="B781" s="869" t="s">
        <v>372</v>
      </c>
      <c r="C781" s="1058" t="e">
        <f>VLOOKUP(B776,'LƯƠNG KT'!$D$15:$U$94,9,0)*$L$10</f>
        <v>#N/A</v>
      </c>
      <c r="D781" s="1059" t="e">
        <f>+C781*0.5*3000</f>
        <v>#N/A</v>
      </c>
      <c r="E781" s="1061"/>
      <c r="F781" s="1061"/>
      <c r="G781" s="1052" t="s">
        <v>371</v>
      </c>
      <c r="H781" s="869" t="s">
        <v>372</v>
      </c>
      <c r="I781" s="1058" t="e">
        <f>VLOOKUP(H776,'LƯƠNG KT'!$D$15:$U$94,9,0)*$L$10</f>
        <v>#N/A</v>
      </c>
      <c r="J781" s="1059" t="e">
        <f>+I781*0.5*3000</f>
        <v>#N/A</v>
      </c>
      <c r="K781" s="1085"/>
      <c r="L781" s="1085"/>
      <c r="M781" s="1085"/>
      <c r="N781" s="1085"/>
      <c r="O781" s="1085"/>
    </row>
    <row r="782" spans="1:15" ht="15" customHeight="1">
      <c r="A782" s="1052" t="s">
        <v>374</v>
      </c>
      <c r="B782" s="869" t="s">
        <v>375</v>
      </c>
      <c r="C782" s="1058" t="e">
        <f>VLOOKUP(B776,'LƯƠNG KT'!$D$15:$U$94,8,0)*$L$11</f>
        <v>#N/A</v>
      </c>
      <c r="D782" s="1059" t="e">
        <f>VLOOKUP(B776,'LƯƠNG KT'!$D$15:$U$94,13,0)-D781</f>
        <v>#N/A</v>
      </c>
      <c r="E782" s="1063"/>
      <c r="F782" s="1061"/>
      <c r="G782" s="1052" t="s">
        <v>374</v>
      </c>
      <c r="H782" s="869" t="s">
        <v>375</v>
      </c>
      <c r="I782" s="1058" t="e">
        <f>VLOOKUP(H776,'LƯƠNG KT'!$D$15:$U$94,8,0)*$L$11</f>
        <v>#N/A</v>
      </c>
      <c r="J782" s="1059" t="e">
        <f>VLOOKUP(H776,'LƯƠNG KT'!$D$15:$U$94,13,0)-J781</f>
        <v>#N/A</v>
      </c>
      <c r="K782" s="1085"/>
      <c r="L782" s="1085"/>
      <c r="M782" s="1085"/>
      <c r="N782" s="1085"/>
      <c r="O782" s="1085"/>
    </row>
    <row r="783" spans="1:15" ht="15" customHeight="1">
      <c r="A783" s="1059" t="s">
        <v>377</v>
      </c>
      <c r="B783" s="869" t="s">
        <v>378</v>
      </c>
      <c r="C783" s="1058"/>
      <c r="D783" s="1059"/>
      <c r="E783" s="1065"/>
      <c r="F783" s="1065"/>
      <c r="G783" s="1059" t="s">
        <v>377</v>
      </c>
      <c r="H783" s="869" t="s">
        <v>378</v>
      </c>
      <c r="I783" s="1058"/>
      <c r="J783" s="1059"/>
    </row>
    <row r="784" spans="1:15" ht="15" customHeight="1">
      <c r="A784" s="1066" t="s">
        <v>379</v>
      </c>
      <c r="B784" s="869" t="s">
        <v>380</v>
      </c>
      <c r="C784" s="1058"/>
      <c r="D784" s="1059">
        <f>14*25000</f>
        <v>350000</v>
      </c>
      <c r="E784" s="1063"/>
      <c r="F784" s="1065"/>
      <c r="G784" s="1066" t="s">
        <v>379</v>
      </c>
      <c r="H784" s="869" t="s">
        <v>380</v>
      </c>
      <c r="I784" s="1058"/>
      <c r="J784" s="1059">
        <f>14*25000</f>
        <v>350000</v>
      </c>
    </row>
    <row r="785" spans="1:15" ht="15" customHeight="1">
      <c r="A785" s="1052" t="s">
        <v>381</v>
      </c>
      <c r="B785" s="869" t="s">
        <v>382</v>
      </c>
      <c r="C785" s="1058"/>
      <c r="D785" s="1059">
        <f>D784</f>
        <v>350000</v>
      </c>
      <c r="E785" s="1067"/>
      <c r="F785" s="1051"/>
      <c r="G785" s="1052" t="s">
        <v>381</v>
      </c>
      <c r="H785" s="869" t="s">
        <v>382</v>
      </c>
      <c r="I785" s="1058"/>
      <c r="J785" s="1059">
        <f>J784</f>
        <v>350000</v>
      </c>
    </row>
    <row r="786" spans="1:15" ht="15" customHeight="1">
      <c r="A786" s="1068" t="s">
        <v>383</v>
      </c>
      <c r="B786" s="1069" t="s">
        <v>384</v>
      </c>
      <c r="C786" s="1070"/>
      <c r="D786" s="1071" t="e">
        <f>SUM(D777:D782)-D785</f>
        <v>#N/A</v>
      </c>
      <c r="E786" s="1072"/>
      <c r="F786" s="1073"/>
      <c r="G786" s="1068" t="s">
        <v>383</v>
      </c>
      <c r="H786" s="1069" t="s">
        <v>384</v>
      </c>
      <c r="I786" s="1070"/>
      <c r="J786" s="1071" t="e">
        <f>SUM(J777:J782)-J785</f>
        <v>#N/A</v>
      </c>
    </row>
    <row r="787" spans="1:15" ht="18.75" customHeight="1">
      <c r="A787" s="1074"/>
      <c r="B787" s="1075"/>
      <c r="C787" s="1076"/>
      <c r="D787" s="1077"/>
      <c r="E787" s="1077"/>
      <c r="F787" s="1078"/>
      <c r="G787" s="1074"/>
      <c r="H787" s="1075"/>
      <c r="I787" s="1076"/>
      <c r="J787" s="1077"/>
    </row>
    <row r="788" spans="1:15" ht="18.75" customHeight="1">
      <c r="A788" s="1075"/>
      <c r="B788" s="1075"/>
      <c r="C788" s="1079"/>
      <c r="D788" s="1080"/>
      <c r="E788" s="1075"/>
      <c r="F788" s="1081"/>
      <c r="G788" s="1075"/>
      <c r="H788" s="1075"/>
      <c r="I788" s="1079"/>
      <c r="J788" s="1080"/>
    </row>
    <row r="789" spans="1:15" ht="15" customHeight="1">
      <c r="A789" s="2242" t="str">
        <f>$K$2</f>
        <v>THÁNG 09/2024</v>
      </c>
      <c r="B789" s="2242"/>
      <c r="C789" s="2242"/>
      <c r="D789" s="2242"/>
      <c r="E789" s="1050"/>
      <c r="F789" s="1051"/>
      <c r="G789" s="2242" t="str">
        <f>$K$2</f>
        <v>THÁNG 09/2024</v>
      </c>
      <c r="H789" s="2242"/>
      <c r="I789" s="2242"/>
      <c r="J789" s="2242"/>
      <c r="K789" s="1085"/>
      <c r="L789" s="1085"/>
      <c r="M789" s="1085"/>
      <c r="N789" s="1085"/>
      <c r="O789" s="1085"/>
    </row>
    <row r="790" spans="1:15" ht="15" customHeight="1">
      <c r="A790" s="1052" t="s">
        <v>356</v>
      </c>
      <c r="B790" s="1053" t="s">
        <v>481</v>
      </c>
      <c r="C790" s="869"/>
      <c r="D790" s="1049"/>
      <c r="E790" s="1054"/>
      <c r="F790" s="1055"/>
      <c r="G790" s="1052" t="s">
        <v>356</v>
      </c>
      <c r="H790" s="1053" t="s">
        <v>482</v>
      </c>
      <c r="I790" s="869"/>
      <c r="J790" s="1049"/>
      <c r="L790" s="1088"/>
      <c r="M790" s="1088"/>
      <c r="N790" s="1088"/>
      <c r="O790" s="1088"/>
    </row>
    <row r="791" spans="1:15" ht="15" customHeight="1">
      <c r="A791" s="1052" t="s">
        <v>359</v>
      </c>
      <c r="B791" s="1089" t="s">
        <v>360</v>
      </c>
      <c r="C791" s="1058" t="e">
        <f>VLOOKUP(B790,'LƯƠNG KT'!$D$15:$U$94,3,0)</f>
        <v>#N/A</v>
      </c>
      <c r="D791" s="1059" t="e">
        <f>+C791*25000</f>
        <v>#N/A</v>
      </c>
      <c r="E791" s="1060"/>
      <c r="F791" s="1060"/>
      <c r="G791" s="1052" t="s">
        <v>359</v>
      </c>
      <c r="H791" s="1089" t="s">
        <v>360</v>
      </c>
      <c r="I791" s="1058" t="e">
        <f>VLOOKUP(H790,'LƯƠNG KT'!$D$15:$U$94,3,0)</f>
        <v>#N/A</v>
      </c>
      <c r="J791" s="1059" t="e">
        <f>+I791*25000</f>
        <v>#N/A</v>
      </c>
      <c r="K791" s="1085"/>
      <c r="L791" s="1085"/>
      <c r="M791" s="1085"/>
      <c r="N791" s="1085"/>
      <c r="O791" s="1085"/>
    </row>
    <row r="792" spans="1:15" ht="15" customHeight="1">
      <c r="A792" s="1052" t="s">
        <v>361</v>
      </c>
      <c r="B792" s="869" t="s">
        <v>362</v>
      </c>
      <c r="C792" s="1058" t="e">
        <f>VLOOKUP(B790,'LƯƠNG KT'!$D$15:$U$94,14,0)</f>
        <v>#N/A</v>
      </c>
      <c r="D792" s="1059" t="e">
        <f>C792*$L$4</f>
        <v>#N/A</v>
      </c>
      <c r="E792" s="1061"/>
      <c r="F792" s="1061"/>
      <c r="G792" s="1052" t="s">
        <v>361</v>
      </c>
      <c r="H792" s="869" t="s">
        <v>362</v>
      </c>
      <c r="I792" s="1058" t="e">
        <f>VLOOKUP(H790,'LƯƠNG KT'!$D$15:$U$94,14,0)</f>
        <v>#N/A</v>
      </c>
      <c r="J792" s="1059" t="e">
        <f>I792*$L$4</f>
        <v>#N/A</v>
      </c>
      <c r="K792" s="1085"/>
      <c r="L792" s="1085"/>
      <c r="M792" s="1085"/>
      <c r="N792" s="1085"/>
      <c r="O792" s="1085"/>
    </row>
    <row r="793" spans="1:15" ht="15" customHeight="1">
      <c r="A793" s="1052" t="s">
        <v>364</v>
      </c>
      <c r="B793" s="869" t="s">
        <v>365</v>
      </c>
      <c r="C793" s="1058" t="e">
        <f>VLOOKUP(B790,'LƯƠNG KT'!$D$15:$U$94,15,0)</f>
        <v>#N/A</v>
      </c>
      <c r="D793" s="1059" t="e">
        <f>C793*$L$5</f>
        <v>#N/A</v>
      </c>
      <c r="E793" s="1061"/>
      <c r="F793" s="1061"/>
      <c r="G793" s="1052" t="s">
        <v>364</v>
      </c>
      <c r="H793" s="869" t="s">
        <v>365</v>
      </c>
      <c r="I793" s="1058" t="e">
        <f>VLOOKUP(H790,'LƯƠNG KT'!$D$15:$U$94,15,0)</f>
        <v>#N/A</v>
      </c>
      <c r="J793" s="1059" t="e">
        <f>I793*$L$5</f>
        <v>#N/A</v>
      </c>
      <c r="K793" s="1085"/>
      <c r="L793" s="1085"/>
      <c r="M793" s="1085"/>
      <c r="N793" s="1085"/>
      <c r="O793" s="1085"/>
    </row>
    <row r="794" spans="1:15" ht="15" customHeight="1">
      <c r="A794" s="1052" t="s">
        <v>367</v>
      </c>
      <c r="B794" s="869"/>
      <c r="C794" s="1058" t="e">
        <f>VLOOKUP(B790,'LƯƠNG KT'!$D$15:$U$94,16,0)</f>
        <v>#N/A</v>
      </c>
      <c r="D794" s="1059" t="e">
        <f>+C794*$L$6</f>
        <v>#N/A</v>
      </c>
      <c r="E794" s="1061"/>
      <c r="F794" s="1061"/>
      <c r="G794" s="1052" t="s">
        <v>367</v>
      </c>
      <c r="H794" s="869"/>
      <c r="I794" s="1058" t="e">
        <f>VLOOKUP(H790,'LƯƠNG KT'!$D$15:$U$94,16,0)</f>
        <v>#N/A</v>
      </c>
      <c r="J794" s="1059" t="e">
        <f>+I794*$L$6</f>
        <v>#N/A</v>
      </c>
      <c r="K794" s="1085"/>
      <c r="L794" s="1085"/>
      <c r="M794" s="1085"/>
      <c r="N794" s="1085"/>
      <c r="O794" s="1085"/>
    </row>
    <row r="795" spans="1:15" ht="15" customHeight="1">
      <c r="A795" s="1052" t="s">
        <v>371</v>
      </c>
      <c r="B795" s="869" t="s">
        <v>372</v>
      </c>
      <c r="C795" s="1058" t="e">
        <f>VLOOKUP(B790,'LƯƠNG KT'!$D$15:$U$94,9,0)*$L$10</f>
        <v>#N/A</v>
      </c>
      <c r="D795" s="1059" t="e">
        <f>+C795*0.5*3000</f>
        <v>#N/A</v>
      </c>
      <c r="E795" s="1061"/>
      <c r="F795" s="1061"/>
      <c r="G795" s="1052" t="s">
        <v>371</v>
      </c>
      <c r="H795" s="869" t="s">
        <v>372</v>
      </c>
      <c r="I795" s="1058" t="e">
        <f>VLOOKUP(H790,'LƯƠNG KT'!$D$15:$U$94,9,0)*$L$10</f>
        <v>#N/A</v>
      </c>
      <c r="J795" s="1059" t="e">
        <f>+I795*0.5*3000</f>
        <v>#N/A</v>
      </c>
      <c r="K795" s="1085"/>
      <c r="L795" s="1085"/>
      <c r="M795" s="1085"/>
      <c r="N795" s="1085"/>
      <c r="O795" s="1085"/>
    </row>
    <row r="796" spans="1:15" ht="15" customHeight="1">
      <c r="A796" s="1052" t="s">
        <v>374</v>
      </c>
      <c r="B796" s="869" t="s">
        <v>375</v>
      </c>
      <c r="C796" s="1058" t="e">
        <f>VLOOKUP(B790,'LƯƠNG KT'!$D$15:$U$94,8,0)*$L$11</f>
        <v>#N/A</v>
      </c>
      <c r="D796" s="1059" t="e">
        <f>VLOOKUP(B790,'LƯƠNG KT'!$D$15:$U$94,13,0)-D795</f>
        <v>#N/A</v>
      </c>
      <c r="E796" s="1063"/>
      <c r="F796" s="1061"/>
      <c r="G796" s="1052" t="s">
        <v>374</v>
      </c>
      <c r="H796" s="869" t="s">
        <v>375</v>
      </c>
      <c r="I796" s="1058" t="e">
        <f>VLOOKUP(H790,'LƯƠNG KT'!$D$15:$U$94,8,0)*$L$11</f>
        <v>#N/A</v>
      </c>
      <c r="J796" s="1059" t="e">
        <f>VLOOKUP(H790,'LƯƠNG KT'!$D$15:$U$94,13,0)-J795</f>
        <v>#N/A</v>
      </c>
      <c r="K796" s="1085"/>
      <c r="L796" s="1085"/>
      <c r="M796" s="1085"/>
      <c r="N796" s="1085"/>
      <c r="O796" s="1085"/>
    </row>
    <row r="797" spans="1:15" ht="15" customHeight="1">
      <c r="A797" s="1059" t="s">
        <v>377</v>
      </c>
      <c r="B797" s="869" t="s">
        <v>378</v>
      </c>
      <c r="C797" s="1058"/>
      <c r="D797" s="1059"/>
      <c r="E797" s="1065"/>
      <c r="F797" s="1065"/>
      <c r="G797" s="1059" t="s">
        <v>377</v>
      </c>
      <c r="H797" s="869" t="s">
        <v>378</v>
      </c>
      <c r="I797" s="1058"/>
      <c r="J797" s="1059"/>
    </row>
    <row r="798" spans="1:15" ht="15" customHeight="1">
      <c r="A798" s="1066" t="s">
        <v>379</v>
      </c>
      <c r="B798" s="869" t="s">
        <v>380</v>
      </c>
      <c r="C798" s="1058"/>
      <c r="D798" s="1059">
        <f>14*25000</f>
        <v>350000</v>
      </c>
      <c r="E798" s="1063"/>
      <c r="F798" s="1065"/>
      <c r="G798" s="1066" t="s">
        <v>379</v>
      </c>
      <c r="H798" s="869" t="s">
        <v>380</v>
      </c>
      <c r="I798" s="1058"/>
      <c r="J798" s="1059">
        <f>14*25000</f>
        <v>350000</v>
      </c>
    </row>
    <row r="799" spans="1:15" ht="15" customHeight="1">
      <c r="A799" s="1052" t="s">
        <v>381</v>
      </c>
      <c r="B799" s="869" t="s">
        <v>382</v>
      </c>
      <c r="C799" s="1058"/>
      <c r="D799" s="1059">
        <f>D798</f>
        <v>350000</v>
      </c>
      <c r="E799" s="1067"/>
      <c r="F799" s="1051"/>
      <c r="G799" s="1052" t="s">
        <v>381</v>
      </c>
      <c r="H799" s="869" t="s">
        <v>382</v>
      </c>
      <c r="I799" s="1058"/>
      <c r="J799" s="1059">
        <f>J798</f>
        <v>350000</v>
      </c>
    </row>
    <row r="800" spans="1:15" ht="15" customHeight="1">
      <c r="A800" s="1068" t="s">
        <v>383</v>
      </c>
      <c r="B800" s="1069" t="s">
        <v>384</v>
      </c>
      <c r="C800" s="1070"/>
      <c r="D800" s="1071" t="e">
        <f>SUM(D791:D796)-D799</f>
        <v>#N/A</v>
      </c>
      <c r="E800" s="1072"/>
      <c r="F800" s="1073"/>
      <c r="G800" s="1068" t="s">
        <v>383</v>
      </c>
      <c r="H800" s="1069" t="s">
        <v>384</v>
      </c>
      <c r="I800" s="1070"/>
      <c r="J800" s="1071" t="e">
        <f>SUM(J791:J796)-J799</f>
        <v>#N/A</v>
      </c>
    </row>
    <row r="801" spans="1:15" ht="18.75" customHeight="1">
      <c r="A801" s="1074"/>
      <c r="B801" s="1075"/>
      <c r="C801" s="1076"/>
      <c r="D801" s="1077"/>
      <c r="E801" s="1077"/>
      <c r="F801" s="1078"/>
      <c r="G801" s="1074"/>
      <c r="H801" s="1075"/>
      <c r="I801" s="1076"/>
      <c r="J801" s="1077"/>
      <c r="K801" s="1090" t="s">
        <v>429</v>
      </c>
      <c r="L801" s="1090" t="e">
        <f>J814+D572+J558+D558+J544+D544+J529+D529+J515+D515+J501+D501+J487+D487+J472+D472+J458+D458+J444+D444+J430+D430+J572+D586+J586+J601+D601+D615+J615+J629+D629+D643+J643+J658+D658+D672+J672+D686+J686+D700+J700+D715+J715+D729+J729+D743+J743+D757+J757+D772+J772+D786+J786+D800+J800+D814</f>
        <v>#N/A</v>
      </c>
      <c r="M801" s="1090"/>
      <c r="N801" s="1090"/>
      <c r="O801" s="1090"/>
    </row>
    <row r="802" spans="1:15" ht="18.75" customHeight="1">
      <c r="A802" s="1075"/>
      <c r="B802" s="1075"/>
      <c r="C802" s="1079"/>
      <c r="D802" s="1080"/>
      <c r="E802" s="1075"/>
      <c r="F802" s="1081"/>
      <c r="G802" s="1075"/>
      <c r="H802" s="1075"/>
      <c r="I802" s="1079"/>
      <c r="J802" s="1080"/>
    </row>
    <row r="803" spans="1:15" ht="15" customHeight="1">
      <c r="A803" s="2242" t="str">
        <f>$K$2</f>
        <v>THÁNG 09/2024</v>
      </c>
      <c r="B803" s="2242"/>
      <c r="C803" s="2242"/>
      <c r="D803" s="2242"/>
      <c r="E803" s="1050"/>
      <c r="F803" s="1051"/>
      <c r="G803" s="2242" t="str">
        <f>$K$2</f>
        <v>THÁNG 09/2024</v>
      </c>
      <c r="H803" s="2242"/>
      <c r="I803" s="2242"/>
      <c r="J803" s="2242"/>
      <c r="K803" s="624"/>
    </row>
    <row r="804" spans="1:15" ht="15" customHeight="1">
      <c r="A804" s="1052" t="s">
        <v>356</v>
      </c>
      <c r="B804" s="1053" t="s">
        <v>483</v>
      </c>
      <c r="C804" s="869"/>
      <c r="D804" s="1049"/>
      <c r="E804" s="1054"/>
      <c r="F804" s="1055"/>
      <c r="G804" s="1052" t="s">
        <v>356</v>
      </c>
      <c r="H804" s="1053" t="s">
        <v>484</v>
      </c>
      <c r="I804" s="869"/>
      <c r="J804" s="1049"/>
      <c r="L804" s="1088"/>
      <c r="M804" s="1088"/>
      <c r="N804" s="1088"/>
      <c r="O804" s="1088"/>
    </row>
    <row r="805" spans="1:15" ht="15" customHeight="1">
      <c r="A805" s="1052" t="s">
        <v>359</v>
      </c>
      <c r="B805" s="1089" t="s">
        <v>360</v>
      </c>
      <c r="C805" s="1058" t="e">
        <f>VLOOKUP(B804,'LƯƠNG KT'!$D$15:$U$94,3,0)</f>
        <v>#N/A</v>
      </c>
      <c r="D805" s="1059" t="e">
        <f>+C805*25000</f>
        <v>#N/A</v>
      </c>
      <c r="E805" s="1060"/>
      <c r="F805" s="1060"/>
      <c r="G805" s="1052" t="s">
        <v>359</v>
      </c>
      <c r="H805" s="1089" t="s">
        <v>360</v>
      </c>
      <c r="I805" s="1058" t="e">
        <f>VLOOKUP(H804,'LƯƠNG KT'!$D$15:$U$94,3,0)</f>
        <v>#N/A</v>
      </c>
      <c r="J805" s="1059" t="e">
        <f>+I805*25000</f>
        <v>#N/A</v>
      </c>
      <c r="K805" s="1085"/>
      <c r="L805" s="1085"/>
      <c r="M805" s="1085"/>
      <c r="N805" s="1085"/>
      <c r="O805" s="1085"/>
    </row>
    <row r="806" spans="1:15" ht="15" customHeight="1">
      <c r="A806" s="1052" t="s">
        <v>361</v>
      </c>
      <c r="B806" s="869" t="s">
        <v>362</v>
      </c>
      <c r="C806" s="1058" t="e">
        <f>VLOOKUP(B804,'LƯƠNG KT'!$D$15:$U$94,14,0)</f>
        <v>#N/A</v>
      </c>
      <c r="D806" s="1059" t="e">
        <f>C806*$L$4</f>
        <v>#N/A</v>
      </c>
      <c r="E806" s="1061"/>
      <c r="F806" s="1061"/>
      <c r="G806" s="1052" t="s">
        <v>361</v>
      </c>
      <c r="H806" s="869" t="s">
        <v>362</v>
      </c>
      <c r="I806" s="1058" t="e">
        <f>VLOOKUP(H804,'LƯƠNG KT'!$D$15:$U$94,14,0)</f>
        <v>#N/A</v>
      </c>
      <c r="J806" s="1059" t="e">
        <f>I806*$L$4</f>
        <v>#N/A</v>
      </c>
      <c r="K806" s="1085"/>
      <c r="L806" s="1085"/>
      <c r="M806" s="1085"/>
      <c r="N806" s="1085"/>
      <c r="O806" s="1085"/>
    </row>
    <row r="807" spans="1:15" ht="15" customHeight="1">
      <c r="A807" s="1052" t="s">
        <v>364</v>
      </c>
      <c r="B807" s="869" t="s">
        <v>365</v>
      </c>
      <c r="C807" s="1058" t="e">
        <f>VLOOKUP(B804,'LƯƠNG KT'!$D$15:$U$94,15,0)</f>
        <v>#N/A</v>
      </c>
      <c r="D807" s="1059" t="e">
        <f>C807*$L$5</f>
        <v>#N/A</v>
      </c>
      <c r="E807" s="1061"/>
      <c r="F807" s="1061"/>
      <c r="G807" s="1052" t="s">
        <v>364</v>
      </c>
      <c r="H807" s="869" t="s">
        <v>365</v>
      </c>
      <c r="I807" s="1058" t="e">
        <f>VLOOKUP(H804,'LƯƠNG KT'!$D$15:$U$94,15,0)</f>
        <v>#N/A</v>
      </c>
      <c r="J807" s="1059" t="e">
        <f>I807*$L$5</f>
        <v>#N/A</v>
      </c>
      <c r="K807" s="1085"/>
      <c r="L807" s="1085"/>
      <c r="M807" s="1085"/>
      <c r="N807" s="1085"/>
      <c r="O807" s="1085"/>
    </row>
    <row r="808" spans="1:15" ht="15" customHeight="1">
      <c r="A808" s="1052" t="s">
        <v>367</v>
      </c>
      <c r="B808" s="869"/>
      <c r="C808" s="1058" t="e">
        <f>VLOOKUP(B804,'LƯƠNG KT'!$D$15:$U$94,16,0)</f>
        <v>#N/A</v>
      </c>
      <c r="D808" s="1059" t="e">
        <f>+C808*$L$6</f>
        <v>#N/A</v>
      </c>
      <c r="E808" s="1061"/>
      <c r="F808" s="1061"/>
      <c r="G808" s="1052" t="s">
        <v>367</v>
      </c>
      <c r="H808" s="869"/>
      <c r="I808" s="1058" t="e">
        <f>VLOOKUP(H804,'LƯƠNG KT'!$D$15:$U$94,16,0)</f>
        <v>#N/A</v>
      </c>
      <c r="J808" s="1059" t="e">
        <f>+I808*$L$6</f>
        <v>#N/A</v>
      </c>
      <c r="K808" s="1085"/>
      <c r="L808" s="1085"/>
      <c r="M808" s="1085"/>
      <c r="N808" s="1085"/>
      <c r="O808" s="1085"/>
    </row>
    <row r="809" spans="1:15" ht="15" customHeight="1">
      <c r="A809" s="1052" t="s">
        <v>371</v>
      </c>
      <c r="B809" s="869" t="s">
        <v>372</v>
      </c>
      <c r="C809" s="1058" t="e">
        <f>VLOOKUP(B804,'LƯƠNG KT'!$D$15:$U$94,9,0)*$L$10</f>
        <v>#N/A</v>
      </c>
      <c r="D809" s="1059" t="e">
        <f>+C809*0.5*3000</f>
        <v>#N/A</v>
      </c>
      <c r="E809" s="1061"/>
      <c r="F809" s="1061"/>
      <c r="G809" s="1052" t="s">
        <v>371</v>
      </c>
      <c r="H809" s="869" t="s">
        <v>372</v>
      </c>
      <c r="I809" s="1058" t="e">
        <f>VLOOKUP(H804,'LƯƠNG KT'!$D$15:$U$94,9,0)*$L$10</f>
        <v>#N/A</v>
      </c>
      <c r="J809" s="1059" t="e">
        <f>+I809*0.5*3000</f>
        <v>#N/A</v>
      </c>
      <c r="K809" s="1085"/>
      <c r="L809" s="1085"/>
      <c r="M809" s="1085"/>
      <c r="N809" s="1085"/>
      <c r="O809" s="1085"/>
    </row>
    <row r="810" spans="1:15" ht="15" customHeight="1">
      <c r="A810" s="1052" t="s">
        <v>374</v>
      </c>
      <c r="B810" s="869" t="s">
        <v>375</v>
      </c>
      <c r="C810" s="1058" t="e">
        <f>VLOOKUP(B804,'LƯƠNG KT'!$D$15:$U$94,8,0)*$L$11</f>
        <v>#N/A</v>
      </c>
      <c r="D810" s="1059" t="e">
        <f>VLOOKUP(B804,'LƯƠNG KT'!$D$15:$U$94,13,0)-D809</f>
        <v>#N/A</v>
      </c>
      <c r="E810" s="1063"/>
      <c r="F810" s="1061"/>
      <c r="G810" s="1052" t="s">
        <v>374</v>
      </c>
      <c r="H810" s="869" t="s">
        <v>375</v>
      </c>
      <c r="I810" s="1058" t="e">
        <f>VLOOKUP(H804,'LƯƠNG KT'!$D$15:$U$94,8,0)*$L$11</f>
        <v>#N/A</v>
      </c>
      <c r="J810" s="1059" t="e">
        <f>VLOOKUP(H804,'LƯƠNG KT'!$D$15:$U$94,13,0)-J809</f>
        <v>#N/A</v>
      </c>
      <c r="K810" s="1085"/>
      <c r="L810" s="1085"/>
      <c r="M810" s="1085"/>
      <c r="N810" s="1085"/>
      <c r="O810" s="1085"/>
    </row>
    <row r="811" spans="1:15" ht="15" customHeight="1">
      <c r="A811" s="1059" t="s">
        <v>377</v>
      </c>
      <c r="B811" s="869" t="s">
        <v>378</v>
      </c>
      <c r="C811" s="1058"/>
      <c r="D811" s="1059"/>
      <c r="E811" s="1065"/>
      <c r="F811" s="1065"/>
      <c r="G811" s="1059" t="s">
        <v>377</v>
      </c>
      <c r="H811" s="869" t="s">
        <v>378</v>
      </c>
      <c r="I811" s="1058"/>
      <c r="J811" s="1059"/>
    </row>
    <row r="812" spans="1:15" ht="15" customHeight="1">
      <c r="A812" s="1066" t="s">
        <v>379</v>
      </c>
      <c r="B812" s="869" t="s">
        <v>380</v>
      </c>
      <c r="C812" s="1058"/>
      <c r="D812" s="1059">
        <f>14*25000</f>
        <v>350000</v>
      </c>
      <c r="E812" s="1063"/>
      <c r="F812" s="1065"/>
      <c r="G812" s="1066" t="s">
        <v>379</v>
      </c>
      <c r="H812" s="869" t="s">
        <v>380</v>
      </c>
      <c r="I812" s="1058"/>
      <c r="J812" s="1059"/>
    </row>
    <row r="813" spans="1:15" ht="15" customHeight="1">
      <c r="A813" s="1052" t="s">
        <v>381</v>
      </c>
      <c r="B813" s="869" t="s">
        <v>382</v>
      </c>
      <c r="C813" s="1058"/>
      <c r="D813" s="1059">
        <f>D812</f>
        <v>350000</v>
      </c>
      <c r="E813" s="1067"/>
      <c r="F813" s="1051"/>
      <c r="G813" s="1052" t="s">
        <v>381</v>
      </c>
      <c r="H813" s="869" t="s">
        <v>382</v>
      </c>
      <c r="I813" s="1058"/>
      <c r="J813" s="1059">
        <f>J812</f>
        <v>0</v>
      </c>
    </row>
    <row r="814" spans="1:15" ht="15" customHeight="1">
      <c r="A814" s="1068" t="s">
        <v>383</v>
      </c>
      <c r="B814" s="1069" t="s">
        <v>384</v>
      </c>
      <c r="C814" s="1070"/>
      <c r="D814" s="1071" t="e">
        <f>SUM(D805:D810)-D813</f>
        <v>#N/A</v>
      </c>
      <c r="E814" s="1072"/>
      <c r="F814" s="1073"/>
      <c r="G814" s="1068" t="s">
        <v>383</v>
      </c>
      <c r="H814" s="1069" t="s">
        <v>384</v>
      </c>
      <c r="I814" s="1070"/>
      <c r="J814" s="1071" t="e">
        <f>SUM(J805:J810)-J813</f>
        <v>#N/A</v>
      </c>
    </row>
    <row r="815" spans="1:15" ht="15.75" customHeight="1">
      <c r="A815" s="1074"/>
      <c r="B815" s="1075"/>
      <c r="C815" s="1076"/>
      <c r="D815" s="1077"/>
      <c r="E815" s="1077"/>
      <c r="F815" s="1078"/>
      <c r="G815" s="1074"/>
      <c r="H815" s="1075"/>
      <c r="I815" s="1076"/>
      <c r="J815" s="1077"/>
    </row>
    <row r="817" spans="1:15" ht="12" customHeight="1">
      <c r="A817" s="2244" t="s">
        <v>485</v>
      </c>
      <c r="B817" s="2244"/>
      <c r="C817" s="2244"/>
      <c r="D817" s="2244"/>
      <c r="E817" s="2244"/>
      <c r="F817" s="2244"/>
      <c r="G817" s="2244"/>
      <c r="H817" s="2244"/>
      <c r="I817" s="2244"/>
      <c r="J817" s="2244"/>
    </row>
    <row r="818" spans="1:15" ht="15" customHeight="1">
      <c r="A818" s="2242" t="str">
        <f>$K$2</f>
        <v>THÁNG 09/2024</v>
      </c>
      <c r="B818" s="2242"/>
      <c r="C818" s="2242"/>
      <c r="D818" s="2242"/>
      <c r="E818" s="1050"/>
      <c r="F818" s="1051"/>
      <c r="G818" s="2242" t="str">
        <f>$K$2</f>
        <v>THÁNG 09/2024</v>
      </c>
      <c r="H818" s="2242"/>
      <c r="I818" s="2242"/>
      <c r="J818" s="2242"/>
      <c r="K818" s="624"/>
    </row>
    <row r="819" spans="1:15" ht="15" customHeight="1">
      <c r="A819" s="1052" t="s">
        <v>356</v>
      </c>
      <c r="B819" s="1053" t="s">
        <v>14</v>
      </c>
      <c r="C819" s="869"/>
      <c r="D819" s="1049"/>
      <c r="E819" s="1054"/>
      <c r="F819" s="1055"/>
      <c r="G819" s="1052" t="s">
        <v>356</v>
      </c>
      <c r="H819" s="1053" t="s">
        <v>16</v>
      </c>
      <c r="I819" s="869"/>
      <c r="J819" s="1049"/>
      <c r="L819" s="1088"/>
      <c r="M819" s="1088"/>
      <c r="N819" s="1088"/>
      <c r="O819" s="1088"/>
    </row>
    <row r="820" spans="1:15" ht="15" customHeight="1">
      <c r="A820" s="1052" t="s">
        <v>359</v>
      </c>
      <c r="B820" s="1089" t="s">
        <v>360</v>
      </c>
      <c r="C820" s="1058" t="e">
        <f>VLOOKUP(B819,'LƯƠNG KT'!$D$15:$U$94,3,0)</f>
        <v>#N/A</v>
      </c>
      <c r="D820" s="1059" t="e">
        <f>+C820*25000</f>
        <v>#N/A</v>
      </c>
      <c r="E820" s="1060"/>
      <c r="F820" s="1060"/>
      <c r="G820" s="1052" t="s">
        <v>359</v>
      </c>
      <c r="H820" s="1089" t="s">
        <v>360</v>
      </c>
      <c r="I820" s="1058" t="e">
        <f>VLOOKUP(H819,'LƯƠNG KT'!$D$15:$U$94,3,0)</f>
        <v>#N/A</v>
      </c>
      <c r="J820" s="1059" t="e">
        <f>+I820*25000</f>
        <v>#N/A</v>
      </c>
      <c r="K820" s="1084"/>
      <c r="L820" s="1085"/>
      <c r="M820" s="1085"/>
      <c r="N820" s="1085"/>
      <c r="O820" s="1085"/>
    </row>
    <row r="821" spans="1:15" ht="15" customHeight="1">
      <c r="A821" s="1052" t="s">
        <v>361</v>
      </c>
      <c r="B821" s="869" t="s">
        <v>362</v>
      </c>
      <c r="C821" s="1058" t="e">
        <f>VLOOKUP(B819,'LƯƠNG KT'!$D$15:$U$94,14,0)</f>
        <v>#N/A</v>
      </c>
      <c r="D821" s="1059" t="e">
        <f>C821*$L$4</f>
        <v>#N/A</v>
      </c>
      <c r="E821" s="1061"/>
      <c r="F821" s="1061"/>
      <c r="G821" s="1052" t="s">
        <v>361</v>
      </c>
      <c r="H821" s="869" t="s">
        <v>362</v>
      </c>
      <c r="I821" s="1058" t="e">
        <f>VLOOKUP(H819,'LƯƠNG KT'!$D$15:$U$94,14,0)</f>
        <v>#N/A</v>
      </c>
      <c r="J821" s="1059" t="e">
        <f>I821*$L$4</f>
        <v>#N/A</v>
      </c>
      <c r="K821" s="1084"/>
      <c r="L821" s="1085"/>
      <c r="M821" s="1085"/>
      <c r="N821" s="1085"/>
      <c r="O821" s="1085"/>
    </row>
    <row r="822" spans="1:15" ht="15" customHeight="1">
      <c r="A822" s="1052" t="s">
        <v>364</v>
      </c>
      <c r="B822" s="869" t="s">
        <v>365</v>
      </c>
      <c r="C822" s="1058" t="e">
        <f>VLOOKUP(B819,'LƯƠNG KT'!$D$15:$U$94,15,0)</f>
        <v>#N/A</v>
      </c>
      <c r="D822" s="1059" t="e">
        <f>C822*$L$5</f>
        <v>#N/A</v>
      </c>
      <c r="E822" s="1061"/>
      <c r="F822" s="1061"/>
      <c r="G822" s="1052" t="s">
        <v>364</v>
      </c>
      <c r="H822" s="869" t="s">
        <v>365</v>
      </c>
      <c r="I822" s="1058" t="e">
        <f>VLOOKUP(H819,'LƯƠNG KT'!$D$15:$U$94,15,0)</f>
        <v>#N/A</v>
      </c>
      <c r="J822" s="1059" t="e">
        <f>I822*$L$5</f>
        <v>#N/A</v>
      </c>
      <c r="K822" s="1084"/>
      <c r="L822" s="1085"/>
      <c r="M822" s="1085"/>
      <c r="N822" s="1085"/>
      <c r="O822" s="1085"/>
    </row>
    <row r="823" spans="1:15" ht="15" customHeight="1">
      <c r="A823" s="1052" t="s">
        <v>367</v>
      </c>
      <c r="B823" s="869"/>
      <c r="C823" s="1058" t="e">
        <f>VLOOKUP(B819,'LƯƠNG KT'!$D$15:$U$94,16,0)</f>
        <v>#N/A</v>
      </c>
      <c r="D823" s="1059" t="e">
        <f>+C823*$L$6</f>
        <v>#N/A</v>
      </c>
      <c r="E823" s="1061"/>
      <c r="F823" s="1061"/>
      <c r="G823" s="1052" t="s">
        <v>367</v>
      </c>
      <c r="H823" s="869"/>
      <c r="I823" s="1058" t="e">
        <f>VLOOKUP(H819,'LƯƠNG KT'!$D$15:$U$94,16,0)</f>
        <v>#N/A</v>
      </c>
      <c r="J823" s="1059" t="e">
        <f>+I823*$L$6</f>
        <v>#N/A</v>
      </c>
      <c r="K823" s="1085"/>
      <c r="L823" s="1085"/>
      <c r="M823" s="1085"/>
      <c r="N823" s="1085"/>
      <c r="O823" s="1085"/>
    </row>
    <row r="824" spans="1:15" ht="15" customHeight="1">
      <c r="A824" s="1052" t="s">
        <v>371</v>
      </c>
      <c r="B824" s="869" t="s">
        <v>372</v>
      </c>
      <c r="C824" s="1058" t="e">
        <f>VLOOKUP(B819,'LƯƠNG KT'!$D$15:$U$94,9,0)*$L$10</f>
        <v>#N/A</v>
      </c>
      <c r="D824" s="1059" t="e">
        <f>+C824*0.5*3000</f>
        <v>#N/A</v>
      </c>
      <c r="E824" s="1061"/>
      <c r="F824" s="1061"/>
      <c r="G824" s="1052" t="s">
        <v>371</v>
      </c>
      <c r="H824" s="869" t="s">
        <v>372</v>
      </c>
      <c r="I824" s="1058" t="e">
        <f>VLOOKUP(H819,'LƯƠNG KT'!$D$15:$U$94,9,0)*$L$10</f>
        <v>#N/A</v>
      </c>
      <c r="J824" s="1059" t="e">
        <f>+I824*0.5*3000</f>
        <v>#N/A</v>
      </c>
      <c r="K824" s="1085"/>
      <c r="L824" s="1085"/>
      <c r="M824" s="1085"/>
      <c r="N824" s="1085"/>
      <c r="O824" s="1085"/>
    </row>
    <row r="825" spans="1:15" ht="15" customHeight="1">
      <c r="A825" s="1052" t="s">
        <v>374</v>
      </c>
      <c r="B825" s="869" t="s">
        <v>375</v>
      </c>
      <c r="C825" s="1058" t="e">
        <f>VLOOKUP(B819,'LƯƠNG KT'!$D$15:$U$94,8,0)*$L$11</f>
        <v>#N/A</v>
      </c>
      <c r="D825" s="1059" t="e">
        <f>VLOOKUP(B819,'LƯƠNG KT'!$D$15:$U$94,13,0)-D824</f>
        <v>#N/A</v>
      </c>
      <c r="E825" s="1063"/>
      <c r="F825" s="1061"/>
      <c r="G825" s="1052" t="s">
        <v>374</v>
      </c>
      <c r="H825" s="869" t="s">
        <v>375</v>
      </c>
      <c r="I825" s="1058" t="e">
        <f>VLOOKUP(H819,'LƯƠNG KT'!$D$15:$U$94,8,0)*$L$11</f>
        <v>#N/A</v>
      </c>
      <c r="J825" s="1059" t="e">
        <f>VLOOKUP(H819,'LƯƠNG KT'!$D$15:$U$94,13,0)-J824</f>
        <v>#N/A</v>
      </c>
      <c r="K825" s="1085"/>
      <c r="L825" s="1085"/>
      <c r="M825" s="1085"/>
      <c r="N825" s="1085"/>
      <c r="O825" s="1085"/>
    </row>
    <row r="826" spans="1:15" ht="15" customHeight="1">
      <c r="A826" s="1059" t="s">
        <v>377</v>
      </c>
      <c r="B826" s="869" t="s">
        <v>378</v>
      </c>
      <c r="C826" s="1058"/>
      <c r="D826" s="1059"/>
      <c r="E826" s="1065"/>
      <c r="F826" s="1065"/>
      <c r="G826" s="1059" t="s">
        <v>377</v>
      </c>
      <c r="H826" s="869" t="s">
        <v>378</v>
      </c>
      <c r="I826" s="1058"/>
      <c r="J826" s="1059"/>
    </row>
    <row r="827" spans="1:15" ht="15" customHeight="1">
      <c r="A827" s="1066" t="s">
        <v>379</v>
      </c>
      <c r="B827" s="869" t="s">
        <v>380</v>
      </c>
      <c r="C827" s="1058"/>
      <c r="D827" s="1059"/>
      <c r="E827" s="1063"/>
      <c r="F827" s="1065"/>
      <c r="G827" s="1066" t="s">
        <v>379</v>
      </c>
      <c r="H827" s="869" t="s">
        <v>380</v>
      </c>
      <c r="I827" s="1058"/>
      <c r="J827" s="1059"/>
    </row>
    <row r="828" spans="1:15" ht="15" customHeight="1">
      <c r="A828" s="1052" t="s">
        <v>381</v>
      </c>
      <c r="B828" s="869" t="s">
        <v>382</v>
      </c>
      <c r="C828" s="1058"/>
      <c r="D828" s="1059">
        <f>D827</f>
        <v>0</v>
      </c>
      <c r="E828" s="1067"/>
      <c r="F828" s="1051"/>
      <c r="G828" s="1052" t="s">
        <v>381</v>
      </c>
      <c r="H828" s="869" t="s">
        <v>382</v>
      </c>
      <c r="I828" s="1058"/>
      <c r="J828" s="1059">
        <f>J827</f>
        <v>0</v>
      </c>
    </row>
    <row r="829" spans="1:15" ht="15" customHeight="1">
      <c r="A829" s="1068" t="s">
        <v>383</v>
      </c>
      <c r="B829" s="1069" t="s">
        <v>384</v>
      </c>
      <c r="C829" s="1070"/>
      <c r="D829" s="1071" t="e">
        <f>SUM(D820:D825)-D828</f>
        <v>#N/A</v>
      </c>
      <c r="E829" s="1072"/>
      <c r="F829" s="1073"/>
      <c r="G829" s="1068" t="s">
        <v>383</v>
      </c>
      <c r="H829" s="1069" t="s">
        <v>384</v>
      </c>
      <c r="I829" s="1070"/>
      <c r="J829" s="1071" t="e">
        <f>SUM(J820:J825)-J828</f>
        <v>#N/A</v>
      </c>
    </row>
    <row r="830" spans="1:15" ht="12.6" customHeight="1">
      <c r="A830" s="1074"/>
      <c r="B830" s="1075"/>
      <c r="C830" s="1076"/>
      <c r="D830" s="1077"/>
      <c r="E830" s="1077"/>
      <c r="F830" s="1078"/>
      <c r="G830" s="1074"/>
      <c r="H830" s="1075"/>
      <c r="I830" s="1076"/>
      <c r="J830" s="1077"/>
    </row>
    <row r="831" spans="1:15" ht="12.6" customHeight="1">
      <c r="A831" s="1075"/>
      <c r="B831" s="1075"/>
      <c r="C831" s="1079"/>
      <c r="D831" s="1080"/>
      <c r="E831" s="1075"/>
      <c r="F831" s="1081"/>
      <c r="G831" s="1075"/>
      <c r="H831" s="1075"/>
      <c r="I831" s="1079"/>
      <c r="J831" s="1080"/>
    </row>
    <row r="832" spans="1:15" ht="15" customHeight="1">
      <c r="A832" s="2242" t="str">
        <f>$K$2</f>
        <v>THÁNG 09/2024</v>
      </c>
      <c r="B832" s="2242"/>
      <c r="C832" s="2242"/>
      <c r="D832" s="2242"/>
      <c r="E832" s="1050"/>
      <c r="F832" s="1051"/>
      <c r="G832" s="2242" t="str">
        <f>$K$2</f>
        <v>THÁNG 09/2024</v>
      </c>
      <c r="H832" s="2242"/>
      <c r="I832" s="2242"/>
      <c r="J832" s="2242"/>
      <c r="K832" s="624"/>
    </row>
    <row r="833" spans="1:15" ht="15" customHeight="1">
      <c r="A833" s="1052" t="s">
        <v>356</v>
      </c>
      <c r="B833" s="1053" t="s">
        <v>17</v>
      </c>
      <c r="C833" s="869"/>
      <c r="D833" s="1049"/>
      <c r="E833" s="1054"/>
      <c r="F833" s="1055"/>
      <c r="G833" s="1052" t="s">
        <v>356</v>
      </c>
      <c r="H833" s="1053" t="s">
        <v>18</v>
      </c>
      <c r="I833" s="869"/>
      <c r="J833" s="1049"/>
      <c r="L833" s="1088"/>
      <c r="M833" s="1088"/>
      <c r="N833" s="1088"/>
      <c r="O833" s="1088"/>
    </row>
    <row r="834" spans="1:15" ht="15" customHeight="1">
      <c r="A834" s="1052" t="s">
        <v>359</v>
      </c>
      <c r="B834" s="1089" t="s">
        <v>360</v>
      </c>
      <c r="C834" s="1058" t="e">
        <f>VLOOKUP(B833,'LƯƠNG KT'!$D$15:$U$94,3,0)</f>
        <v>#N/A</v>
      </c>
      <c r="D834" s="1059" t="e">
        <f>+C834*25000</f>
        <v>#N/A</v>
      </c>
      <c r="E834" s="1060"/>
      <c r="F834" s="1060"/>
      <c r="G834" s="1052" t="s">
        <v>359</v>
      </c>
      <c r="H834" s="1089" t="s">
        <v>360</v>
      </c>
      <c r="I834" s="1058" t="e">
        <f>VLOOKUP(H833,'LƯƠNG KT'!$D$15:$U$94,3,0)</f>
        <v>#N/A</v>
      </c>
      <c r="J834" s="1059" t="e">
        <f>+I834*25000</f>
        <v>#N/A</v>
      </c>
      <c r="K834" s="1085"/>
      <c r="L834" s="1085"/>
      <c r="M834" s="1085"/>
      <c r="N834" s="1085"/>
      <c r="O834" s="1085"/>
    </row>
    <row r="835" spans="1:15" ht="15" customHeight="1">
      <c r="A835" s="1052" t="s">
        <v>361</v>
      </c>
      <c r="B835" s="869" t="s">
        <v>362</v>
      </c>
      <c r="C835" s="1058" t="e">
        <f>VLOOKUP(B833,'LƯƠNG KT'!$D$15:$U$94,14,0)</f>
        <v>#N/A</v>
      </c>
      <c r="D835" s="1059" t="e">
        <f>C835*$L$4</f>
        <v>#N/A</v>
      </c>
      <c r="E835" s="1061"/>
      <c r="F835" s="1061"/>
      <c r="G835" s="1052" t="s">
        <v>361</v>
      </c>
      <c r="H835" s="869" t="s">
        <v>362</v>
      </c>
      <c r="I835" s="1058" t="e">
        <f>VLOOKUP(H833,'LƯƠNG KT'!$D$15:$U$94,14,0)</f>
        <v>#N/A</v>
      </c>
      <c r="J835" s="1059" t="e">
        <f>I835*$L$4</f>
        <v>#N/A</v>
      </c>
      <c r="K835" s="1085"/>
      <c r="L835" s="1085"/>
      <c r="M835" s="1085"/>
      <c r="N835" s="1085"/>
      <c r="O835" s="1085"/>
    </row>
    <row r="836" spans="1:15" ht="15" customHeight="1">
      <c r="A836" s="1052" t="s">
        <v>364</v>
      </c>
      <c r="B836" s="869" t="s">
        <v>365</v>
      </c>
      <c r="C836" s="1058" t="e">
        <f>VLOOKUP(B833,'LƯƠNG KT'!$D$15:$U$94,15,0)</f>
        <v>#N/A</v>
      </c>
      <c r="D836" s="1059" t="e">
        <f>C836*$L$5</f>
        <v>#N/A</v>
      </c>
      <c r="E836" s="1061"/>
      <c r="F836" s="1061"/>
      <c r="G836" s="1052" t="s">
        <v>364</v>
      </c>
      <c r="H836" s="869" t="s">
        <v>365</v>
      </c>
      <c r="I836" s="1058" t="e">
        <f>VLOOKUP(H833,'LƯƠNG KT'!$D$15:$U$94,15,0)</f>
        <v>#N/A</v>
      </c>
      <c r="J836" s="1059" t="e">
        <f>I836*$L$5</f>
        <v>#N/A</v>
      </c>
      <c r="K836" s="1085"/>
      <c r="L836" s="1085"/>
      <c r="M836" s="1085"/>
      <c r="N836" s="1085"/>
      <c r="O836" s="1085"/>
    </row>
    <row r="837" spans="1:15" ht="15" customHeight="1">
      <c r="A837" s="1052" t="s">
        <v>367</v>
      </c>
      <c r="B837" s="869"/>
      <c r="C837" s="1058" t="e">
        <f>VLOOKUP(B833,'LƯƠNG KT'!$D$15:$U$94,16,0)</f>
        <v>#N/A</v>
      </c>
      <c r="D837" s="1059" t="e">
        <f>+C837*$L$6</f>
        <v>#N/A</v>
      </c>
      <c r="E837" s="1061"/>
      <c r="F837" s="1061"/>
      <c r="G837" s="1052" t="s">
        <v>367</v>
      </c>
      <c r="H837" s="869"/>
      <c r="I837" s="1058" t="e">
        <f>VLOOKUP(H833,'LƯƠNG KT'!$D$15:$U$94,16,0)</f>
        <v>#N/A</v>
      </c>
      <c r="J837" s="1059" t="e">
        <f>+I837*$L$6</f>
        <v>#N/A</v>
      </c>
      <c r="K837" s="1085"/>
      <c r="L837" s="1085"/>
      <c r="M837" s="1085"/>
      <c r="N837" s="1085"/>
      <c r="O837" s="1085"/>
    </row>
    <row r="838" spans="1:15" ht="15" customHeight="1">
      <c r="A838" s="1052" t="s">
        <v>371</v>
      </c>
      <c r="B838" s="869" t="s">
        <v>372</v>
      </c>
      <c r="C838" s="1058" t="e">
        <f>VLOOKUP(B833,'LƯƠNG KT'!$D$15:$U$94,9,0)*$L$10</f>
        <v>#N/A</v>
      </c>
      <c r="D838" s="1059" t="e">
        <f>+C838*0.5*3000</f>
        <v>#N/A</v>
      </c>
      <c r="E838" s="1061"/>
      <c r="F838" s="1061"/>
      <c r="G838" s="1052" t="s">
        <v>371</v>
      </c>
      <c r="H838" s="869" t="s">
        <v>372</v>
      </c>
      <c r="I838" s="1058" t="e">
        <f>VLOOKUP(H833,'LƯƠNG KT'!$D$15:$U$94,9,0)*$L$10</f>
        <v>#N/A</v>
      </c>
      <c r="J838" s="1059" t="e">
        <f>+I838*0.5*3000</f>
        <v>#N/A</v>
      </c>
      <c r="K838" s="1085"/>
      <c r="L838" s="1085"/>
      <c r="M838" s="1085"/>
      <c r="N838" s="1085"/>
      <c r="O838" s="1085"/>
    </row>
    <row r="839" spans="1:15" ht="15" customHeight="1">
      <c r="A839" s="1052" t="s">
        <v>374</v>
      </c>
      <c r="B839" s="869" t="s">
        <v>375</v>
      </c>
      <c r="C839" s="1058" t="e">
        <f>VLOOKUP(B833,'LƯƠNG KT'!$D$15:$U$94,8,0)*$L$11</f>
        <v>#N/A</v>
      </c>
      <c r="D839" s="1059" t="e">
        <f>VLOOKUP(B833,'LƯƠNG KT'!$D$15:$U$94,13,0)-D838</f>
        <v>#N/A</v>
      </c>
      <c r="E839" s="1063"/>
      <c r="F839" s="1061"/>
      <c r="G839" s="1052" t="s">
        <v>374</v>
      </c>
      <c r="H839" s="869" t="s">
        <v>375</v>
      </c>
      <c r="I839" s="1058" t="e">
        <f>VLOOKUP(H833,'LƯƠNG KT'!$D$15:$U$94,8,0)*$L$11</f>
        <v>#N/A</v>
      </c>
      <c r="J839" s="1059" t="e">
        <f>VLOOKUP(H833,'LƯƠNG KT'!$D$15:$U$94,13,0)-J838</f>
        <v>#N/A</v>
      </c>
      <c r="K839" s="1085"/>
      <c r="L839" s="1085"/>
      <c r="M839" s="1085"/>
      <c r="N839" s="1085"/>
      <c r="O839" s="1085"/>
    </row>
    <row r="840" spans="1:15" ht="15" customHeight="1">
      <c r="A840" s="1059" t="s">
        <v>377</v>
      </c>
      <c r="B840" s="869" t="s">
        <v>378</v>
      </c>
      <c r="C840" s="1058"/>
      <c r="D840" s="1059"/>
      <c r="E840" s="1065"/>
      <c r="F840" s="1065"/>
      <c r="G840" s="1059" t="s">
        <v>377</v>
      </c>
      <c r="H840" s="869" t="s">
        <v>378</v>
      </c>
      <c r="I840" s="1058"/>
      <c r="J840" s="1059"/>
    </row>
    <row r="841" spans="1:15" ht="15" customHeight="1">
      <c r="A841" s="1066" t="s">
        <v>379</v>
      </c>
      <c r="B841" s="869" t="s">
        <v>380</v>
      </c>
      <c r="C841" s="1058"/>
      <c r="D841" s="1059"/>
      <c r="E841" s="1063"/>
      <c r="F841" s="1065"/>
      <c r="G841" s="1066" t="s">
        <v>379</v>
      </c>
      <c r="H841" s="869" t="s">
        <v>380</v>
      </c>
      <c r="I841" s="1058"/>
      <c r="J841" s="1059"/>
    </row>
    <row r="842" spans="1:15" ht="15" customHeight="1">
      <c r="A842" s="1052" t="s">
        <v>381</v>
      </c>
      <c r="B842" s="869" t="s">
        <v>382</v>
      </c>
      <c r="C842" s="1058"/>
      <c r="D842" s="1059">
        <f>D841</f>
        <v>0</v>
      </c>
      <c r="E842" s="1067"/>
      <c r="F842" s="1051"/>
      <c r="G842" s="1052" t="s">
        <v>381</v>
      </c>
      <c r="H842" s="869" t="s">
        <v>382</v>
      </c>
      <c r="I842" s="1058"/>
      <c r="J842" s="1059">
        <f>J841</f>
        <v>0</v>
      </c>
    </row>
    <row r="843" spans="1:15" ht="15" customHeight="1">
      <c r="A843" s="1068" t="s">
        <v>383</v>
      </c>
      <c r="B843" s="1069" t="s">
        <v>384</v>
      </c>
      <c r="C843" s="1070"/>
      <c r="D843" s="1071" t="e">
        <f>SUM(D834:D839)-D842</f>
        <v>#N/A</v>
      </c>
      <c r="E843" s="1072"/>
      <c r="F843" s="1073"/>
      <c r="G843" s="1068" t="s">
        <v>383</v>
      </c>
      <c r="H843" s="1069" t="s">
        <v>384</v>
      </c>
      <c r="I843" s="1070"/>
      <c r="J843" s="1071" t="e">
        <f>SUM(J834:J839)-J842</f>
        <v>#N/A</v>
      </c>
    </row>
    <row r="844" spans="1:15" ht="18.75" customHeight="1">
      <c r="A844" s="1074"/>
      <c r="B844" s="1075"/>
      <c r="C844" s="1076"/>
      <c r="D844" s="1077"/>
      <c r="E844" s="1077"/>
      <c r="F844" s="1078"/>
      <c r="G844" s="1074"/>
      <c r="H844" s="1075"/>
      <c r="I844" s="1076"/>
      <c r="J844" s="1077"/>
    </row>
    <row r="845" spans="1:15" ht="18.75" customHeight="1">
      <c r="A845" s="1075"/>
      <c r="B845" s="1075"/>
      <c r="C845" s="1079"/>
      <c r="D845" s="1080"/>
      <c r="E845" s="1075"/>
      <c r="F845" s="1081"/>
      <c r="G845" s="1075"/>
      <c r="H845" s="1075"/>
      <c r="I845" s="1079"/>
      <c r="J845" s="1080"/>
    </row>
    <row r="846" spans="1:15" ht="15" customHeight="1">
      <c r="A846" s="2242" t="str">
        <f>$K$2</f>
        <v>THÁNG 09/2024</v>
      </c>
      <c r="B846" s="2242"/>
      <c r="C846" s="2242"/>
      <c r="D846" s="2242"/>
      <c r="E846" s="1050"/>
      <c r="F846" s="1051"/>
      <c r="G846" s="2242" t="str">
        <f>$K$2</f>
        <v>THÁNG 09/2024</v>
      </c>
      <c r="H846" s="2242"/>
      <c r="I846" s="2242"/>
      <c r="J846" s="2242"/>
      <c r="K846" s="624"/>
    </row>
    <row r="847" spans="1:15" ht="15" customHeight="1">
      <c r="A847" s="1052" t="s">
        <v>356</v>
      </c>
      <c r="B847" s="1053" t="s">
        <v>19</v>
      </c>
      <c r="C847" s="869"/>
      <c r="D847" s="1049"/>
      <c r="E847" s="1054"/>
      <c r="F847" s="1055"/>
      <c r="G847" s="1052" t="s">
        <v>356</v>
      </c>
      <c r="H847" s="1053" t="s">
        <v>20</v>
      </c>
      <c r="I847" s="869"/>
      <c r="J847" s="1049"/>
      <c r="L847" s="1088"/>
      <c r="M847" s="1088"/>
      <c r="N847" s="1088"/>
      <c r="O847" s="1088"/>
    </row>
    <row r="848" spans="1:15" ht="15" customHeight="1">
      <c r="A848" s="1052" t="s">
        <v>359</v>
      </c>
      <c r="B848" s="1089" t="s">
        <v>360</v>
      </c>
      <c r="C848" s="1058" t="e">
        <f>VLOOKUP(B847,'LƯƠNG KT'!$D$15:$U$94,3,0)</f>
        <v>#N/A</v>
      </c>
      <c r="D848" s="1059" t="e">
        <f>+C848*25000</f>
        <v>#N/A</v>
      </c>
      <c r="E848" s="1060"/>
      <c r="F848" s="1060"/>
      <c r="G848" s="1052" t="s">
        <v>359</v>
      </c>
      <c r="H848" s="1089" t="s">
        <v>360</v>
      </c>
      <c r="I848" s="1058" t="e">
        <f>VLOOKUP(H847,'LƯƠNG KT'!$D$15:$U$94,3,0)</f>
        <v>#N/A</v>
      </c>
      <c r="J848" s="1059" t="e">
        <f>+I848*25000</f>
        <v>#N/A</v>
      </c>
      <c r="K848" s="1085"/>
      <c r="L848" s="1085"/>
      <c r="M848" s="1085"/>
      <c r="N848" s="1085"/>
      <c r="O848" s="1085"/>
    </row>
    <row r="849" spans="1:15" ht="15" customHeight="1">
      <c r="A849" s="1052" t="s">
        <v>361</v>
      </c>
      <c r="B849" s="869" t="s">
        <v>362</v>
      </c>
      <c r="C849" s="1058" t="e">
        <f>VLOOKUP(B847,'LƯƠNG KT'!$D$15:$U$94,14,0)</f>
        <v>#N/A</v>
      </c>
      <c r="D849" s="1059" t="e">
        <f>C849*$L$4</f>
        <v>#N/A</v>
      </c>
      <c r="E849" s="1061"/>
      <c r="F849" s="1061"/>
      <c r="G849" s="1052" t="s">
        <v>361</v>
      </c>
      <c r="H849" s="869" t="s">
        <v>362</v>
      </c>
      <c r="I849" s="1058" t="e">
        <f>VLOOKUP(H847,'LƯƠNG KT'!$D$15:$U$94,14,0)</f>
        <v>#N/A</v>
      </c>
      <c r="J849" s="1059" t="e">
        <f>I849*$L$4</f>
        <v>#N/A</v>
      </c>
      <c r="K849" s="1085"/>
      <c r="L849" s="1085"/>
      <c r="M849" s="1085"/>
      <c r="N849" s="1085"/>
      <c r="O849" s="1085"/>
    </row>
    <row r="850" spans="1:15" ht="15" customHeight="1">
      <c r="A850" s="1052" t="s">
        <v>364</v>
      </c>
      <c r="B850" s="869" t="s">
        <v>365</v>
      </c>
      <c r="C850" s="1058" t="e">
        <f>VLOOKUP(B847,'LƯƠNG KT'!$D$15:$U$94,15,0)</f>
        <v>#N/A</v>
      </c>
      <c r="D850" s="1059" t="e">
        <f>C850*$L$5</f>
        <v>#N/A</v>
      </c>
      <c r="E850" s="1061"/>
      <c r="F850" s="1061"/>
      <c r="G850" s="1052" t="s">
        <v>364</v>
      </c>
      <c r="H850" s="869" t="s">
        <v>365</v>
      </c>
      <c r="I850" s="1058" t="e">
        <f>VLOOKUP(H847,'LƯƠNG KT'!$D$15:$U$94,15,0)</f>
        <v>#N/A</v>
      </c>
      <c r="J850" s="1059" t="e">
        <f>I850*$L$5</f>
        <v>#N/A</v>
      </c>
      <c r="K850" s="1085"/>
      <c r="L850" s="1085"/>
      <c r="M850" s="1085"/>
      <c r="N850" s="1085"/>
      <c r="O850" s="1085"/>
    </row>
    <row r="851" spans="1:15" ht="15" customHeight="1">
      <c r="A851" s="1052" t="s">
        <v>367</v>
      </c>
      <c r="B851" s="869"/>
      <c r="C851" s="1058" t="e">
        <f>VLOOKUP(B847,'LƯƠNG KT'!$D$15:$U$94,16,0)</f>
        <v>#N/A</v>
      </c>
      <c r="D851" s="1059" t="e">
        <f>+C851*$L$6</f>
        <v>#N/A</v>
      </c>
      <c r="E851" s="1061"/>
      <c r="F851" s="1061"/>
      <c r="G851" s="1052" t="s">
        <v>367</v>
      </c>
      <c r="H851" s="869"/>
      <c r="I851" s="1058" t="e">
        <f>VLOOKUP(H847,'LƯƠNG KT'!$D$15:$U$94,16,0)</f>
        <v>#N/A</v>
      </c>
      <c r="J851" s="1059" t="e">
        <f>+I851*$L$6</f>
        <v>#N/A</v>
      </c>
      <c r="K851" s="1085"/>
      <c r="L851" s="1085"/>
      <c r="M851" s="1085"/>
      <c r="N851" s="1085"/>
      <c r="O851" s="1085"/>
    </row>
    <row r="852" spans="1:15" ht="15" customHeight="1">
      <c r="A852" s="1052" t="s">
        <v>371</v>
      </c>
      <c r="B852" s="869" t="s">
        <v>372</v>
      </c>
      <c r="C852" s="1058" t="e">
        <f>VLOOKUP(B847,'LƯƠNG KT'!$D$15:$U$94,9,0)*$L$10</f>
        <v>#N/A</v>
      </c>
      <c r="D852" s="1059" t="e">
        <f>+C852*0.5*3000</f>
        <v>#N/A</v>
      </c>
      <c r="E852" s="1061"/>
      <c r="F852" s="1061"/>
      <c r="G852" s="1052" t="s">
        <v>371</v>
      </c>
      <c r="H852" s="869" t="s">
        <v>372</v>
      </c>
      <c r="I852" s="1058" t="e">
        <f>VLOOKUP(H847,'LƯƠNG KT'!$D$15:$U$94,9,0)*$L$10</f>
        <v>#N/A</v>
      </c>
      <c r="J852" s="1059" t="e">
        <f>+I852*0.5*3000</f>
        <v>#N/A</v>
      </c>
      <c r="K852" s="1085"/>
      <c r="L852" s="1085"/>
      <c r="M852" s="1085"/>
      <c r="N852" s="1085"/>
      <c r="O852" s="1085"/>
    </row>
    <row r="853" spans="1:15" ht="15" customHeight="1">
      <c r="A853" s="1052" t="s">
        <v>374</v>
      </c>
      <c r="B853" s="869" t="s">
        <v>375</v>
      </c>
      <c r="C853" s="1058" t="e">
        <f>VLOOKUP(B847,'LƯƠNG KT'!$D$15:$U$94,8,0)*$L$11</f>
        <v>#N/A</v>
      </c>
      <c r="D853" s="1059" t="e">
        <f>VLOOKUP(B847,'LƯƠNG KT'!$D$15:$U$94,13,0)-D852</f>
        <v>#N/A</v>
      </c>
      <c r="E853" s="1063"/>
      <c r="F853" s="1061"/>
      <c r="G853" s="1052" t="s">
        <v>374</v>
      </c>
      <c r="H853" s="869" t="s">
        <v>375</v>
      </c>
      <c r="I853" s="1058" t="e">
        <f>VLOOKUP(H847,'LƯƠNG KT'!$D$15:$U$94,8,0)*$L$11</f>
        <v>#N/A</v>
      </c>
      <c r="J853" s="1059" t="e">
        <f>VLOOKUP(H847,'LƯƠNG KT'!$D$15:$U$94,13,0)-J852</f>
        <v>#N/A</v>
      </c>
      <c r="K853" s="1085"/>
      <c r="L853" s="1085"/>
      <c r="M853" s="1085"/>
      <c r="N853" s="1085"/>
      <c r="O853" s="1085"/>
    </row>
    <row r="854" spans="1:15" ht="15" customHeight="1">
      <c r="A854" s="1059" t="s">
        <v>377</v>
      </c>
      <c r="B854" s="869" t="s">
        <v>378</v>
      </c>
      <c r="C854" s="1058"/>
      <c r="D854" s="1059"/>
      <c r="E854" s="1065"/>
      <c r="F854" s="1065"/>
      <c r="G854" s="1059" t="s">
        <v>377</v>
      </c>
      <c r="H854" s="869" t="s">
        <v>378</v>
      </c>
      <c r="I854" s="1058"/>
      <c r="J854" s="1059"/>
    </row>
    <row r="855" spans="1:15" ht="15" customHeight="1">
      <c r="A855" s="1066" t="s">
        <v>379</v>
      </c>
      <c r="B855" s="869" t="s">
        <v>380</v>
      </c>
      <c r="C855" s="1058"/>
      <c r="D855" s="1059"/>
      <c r="E855" s="1063"/>
      <c r="F855" s="1065"/>
      <c r="G855" s="1066" t="s">
        <v>379</v>
      </c>
      <c r="H855" s="869" t="s">
        <v>380</v>
      </c>
      <c r="I855" s="1058"/>
      <c r="J855" s="1059"/>
    </row>
    <row r="856" spans="1:15" ht="15" customHeight="1">
      <c r="A856" s="1052" t="s">
        <v>381</v>
      </c>
      <c r="B856" s="869" t="s">
        <v>382</v>
      </c>
      <c r="C856" s="1058"/>
      <c r="D856" s="1059">
        <f>D855</f>
        <v>0</v>
      </c>
      <c r="E856" s="1067"/>
      <c r="F856" s="1051"/>
      <c r="G856" s="1052" t="s">
        <v>381</v>
      </c>
      <c r="H856" s="869" t="s">
        <v>382</v>
      </c>
      <c r="I856" s="1058"/>
      <c r="J856" s="1059">
        <f>J855</f>
        <v>0</v>
      </c>
    </row>
    <row r="857" spans="1:15" ht="15" customHeight="1">
      <c r="A857" s="1068" t="s">
        <v>383</v>
      </c>
      <c r="B857" s="1069" t="s">
        <v>384</v>
      </c>
      <c r="C857" s="1070"/>
      <c r="D857" s="1071" t="e">
        <f>SUM(D848:D853)-D856</f>
        <v>#N/A</v>
      </c>
      <c r="E857" s="1072"/>
      <c r="F857" s="1073"/>
      <c r="G857" s="1068" t="s">
        <v>383</v>
      </c>
      <c r="H857" s="1069" t="s">
        <v>384</v>
      </c>
      <c r="I857" s="1070"/>
      <c r="J857" s="1071" t="e">
        <f>SUM(J848:J853)-J856</f>
        <v>#N/A</v>
      </c>
    </row>
    <row r="858" spans="1:15" ht="18.75" customHeight="1">
      <c r="A858" s="1074"/>
      <c r="B858" s="1075"/>
      <c r="C858" s="1076"/>
      <c r="D858" s="1077"/>
      <c r="E858" s="1077"/>
      <c r="F858" s="1078"/>
      <c r="G858" s="1074"/>
      <c r="H858" s="1075"/>
      <c r="I858" s="1076"/>
      <c r="J858" s="1077"/>
    </row>
    <row r="859" spans="1:15" ht="18.75" customHeight="1">
      <c r="A859" s="1075"/>
      <c r="B859" s="1075"/>
      <c r="C859" s="1079"/>
      <c r="D859" s="1080"/>
      <c r="E859" s="1075"/>
      <c r="F859" s="1081"/>
      <c r="G859" s="1075"/>
      <c r="H859" s="1075"/>
      <c r="I859" s="1079"/>
      <c r="J859" s="1080"/>
    </row>
    <row r="860" spans="1:15" ht="15" customHeight="1">
      <c r="A860" s="2242" t="str">
        <f>$K$2</f>
        <v>THÁNG 09/2024</v>
      </c>
      <c r="B860" s="2242"/>
      <c r="C860" s="2242"/>
      <c r="D860" s="2242"/>
      <c r="E860" s="1050"/>
      <c r="F860" s="1051"/>
      <c r="G860" s="2242" t="str">
        <f>$K$2</f>
        <v>THÁNG 09/2024</v>
      </c>
      <c r="H860" s="2242"/>
      <c r="I860" s="2242"/>
      <c r="J860" s="2242"/>
      <c r="K860" s="624"/>
    </row>
    <row r="861" spans="1:15" ht="15" customHeight="1">
      <c r="A861" s="1052" t="s">
        <v>356</v>
      </c>
      <c r="B861" s="1053" t="s">
        <v>21</v>
      </c>
      <c r="C861" s="869"/>
      <c r="D861" s="1049"/>
      <c r="E861" s="1054"/>
      <c r="F861" s="1055"/>
      <c r="G861" s="1052" t="s">
        <v>356</v>
      </c>
      <c r="H861" s="1053" t="s">
        <v>22</v>
      </c>
      <c r="I861" s="869"/>
      <c r="J861" s="1049"/>
      <c r="L861" s="1088"/>
      <c r="M861" s="1088"/>
      <c r="N861" s="1088"/>
      <c r="O861" s="1088"/>
    </row>
    <row r="862" spans="1:15" ht="15" customHeight="1">
      <c r="A862" s="1052" t="s">
        <v>359</v>
      </c>
      <c r="B862" s="1089" t="s">
        <v>360</v>
      </c>
      <c r="C862" s="1058" t="e">
        <f>VLOOKUP(B861,'LƯƠNG KT'!$D$15:$U$94,3,0)</f>
        <v>#N/A</v>
      </c>
      <c r="D862" s="1059" t="e">
        <f>+C862*25000</f>
        <v>#N/A</v>
      </c>
      <c r="E862" s="1060"/>
      <c r="F862" s="1060"/>
      <c r="G862" s="1052" t="s">
        <v>359</v>
      </c>
      <c r="H862" s="1089" t="s">
        <v>360</v>
      </c>
      <c r="I862" s="1058" t="e">
        <f>VLOOKUP(H861,'LƯƠNG KT'!$D$15:$U$94,3,0)</f>
        <v>#N/A</v>
      </c>
      <c r="J862" s="1059" t="e">
        <f>+I862*25000</f>
        <v>#N/A</v>
      </c>
      <c r="K862" s="1085"/>
      <c r="L862" s="1085"/>
      <c r="M862" s="1085"/>
      <c r="N862" s="1085"/>
      <c r="O862" s="1085"/>
    </row>
    <row r="863" spans="1:15" ht="15" customHeight="1">
      <c r="A863" s="1052" t="s">
        <v>361</v>
      </c>
      <c r="B863" s="869" t="s">
        <v>362</v>
      </c>
      <c r="C863" s="1058" t="e">
        <f>VLOOKUP(B861,'LƯƠNG KT'!$D$15:$U$94,14,0)</f>
        <v>#N/A</v>
      </c>
      <c r="D863" s="1059" t="e">
        <f>C863*$L$4</f>
        <v>#N/A</v>
      </c>
      <c r="E863" s="1061"/>
      <c r="F863" s="1061"/>
      <c r="G863" s="1052" t="s">
        <v>361</v>
      </c>
      <c r="H863" s="869" t="s">
        <v>362</v>
      </c>
      <c r="I863" s="1058" t="e">
        <f>VLOOKUP(H861,'LƯƠNG KT'!$D$15:$U$94,14,0)</f>
        <v>#N/A</v>
      </c>
      <c r="J863" s="1059" t="e">
        <f>I863*$L$4</f>
        <v>#N/A</v>
      </c>
      <c r="K863" s="1085"/>
      <c r="L863" s="1085"/>
      <c r="M863" s="1085"/>
      <c r="N863" s="1085"/>
      <c r="O863" s="1085"/>
    </row>
    <row r="864" spans="1:15" ht="15" customHeight="1">
      <c r="A864" s="1052" t="s">
        <v>364</v>
      </c>
      <c r="B864" s="869" t="s">
        <v>365</v>
      </c>
      <c r="C864" s="1058" t="e">
        <f>VLOOKUP(B861,'LƯƠNG KT'!$D$15:$U$94,15,0)</f>
        <v>#N/A</v>
      </c>
      <c r="D864" s="1059" t="e">
        <f>C864*$L$5</f>
        <v>#N/A</v>
      </c>
      <c r="E864" s="1061"/>
      <c r="F864" s="1061"/>
      <c r="G864" s="1052" t="s">
        <v>364</v>
      </c>
      <c r="H864" s="869" t="s">
        <v>365</v>
      </c>
      <c r="I864" s="1058" t="e">
        <f>VLOOKUP(H861,'LƯƠNG KT'!$D$15:$U$94,15,0)</f>
        <v>#N/A</v>
      </c>
      <c r="J864" s="1059" t="e">
        <f>I864*$L$5</f>
        <v>#N/A</v>
      </c>
      <c r="K864" s="1085"/>
      <c r="L864" s="1085"/>
      <c r="M864" s="1085"/>
      <c r="N864" s="1085"/>
      <c r="O864" s="1085"/>
    </row>
    <row r="865" spans="1:15" ht="15" customHeight="1">
      <c r="A865" s="1052" t="s">
        <v>367</v>
      </c>
      <c r="B865" s="869"/>
      <c r="C865" s="1058" t="e">
        <f>VLOOKUP(B861,'LƯƠNG KT'!$D$15:$U$94,16,0)</f>
        <v>#N/A</v>
      </c>
      <c r="D865" s="1059" t="e">
        <f>+C865*$L$6</f>
        <v>#N/A</v>
      </c>
      <c r="E865" s="1061"/>
      <c r="F865" s="1061"/>
      <c r="G865" s="1052" t="s">
        <v>367</v>
      </c>
      <c r="H865" s="869"/>
      <c r="I865" s="1058" t="e">
        <f>VLOOKUP(H861,'LƯƠNG KT'!$D$15:$U$94,16,0)</f>
        <v>#N/A</v>
      </c>
      <c r="J865" s="1059" t="e">
        <f>+I865*$L$6</f>
        <v>#N/A</v>
      </c>
      <c r="K865" s="1085"/>
      <c r="L865" s="1085"/>
      <c r="M865" s="1085"/>
      <c r="N865" s="1085"/>
      <c r="O865" s="1085"/>
    </row>
    <row r="866" spans="1:15" ht="15" customHeight="1">
      <c r="A866" s="1052" t="s">
        <v>371</v>
      </c>
      <c r="B866" s="869" t="s">
        <v>372</v>
      </c>
      <c r="C866" s="1058" t="e">
        <f>VLOOKUP(B861,'LƯƠNG KT'!$D$15:$U$94,9,0)*$L$10</f>
        <v>#N/A</v>
      </c>
      <c r="D866" s="1059" t="e">
        <f>+C866*0.5*3000</f>
        <v>#N/A</v>
      </c>
      <c r="E866" s="1061"/>
      <c r="F866" s="1061"/>
      <c r="G866" s="1052" t="s">
        <v>371</v>
      </c>
      <c r="H866" s="869" t="s">
        <v>372</v>
      </c>
      <c r="I866" s="1058" t="e">
        <f>VLOOKUP(H861,'LƯƠNG KT'!$D$15:$U$94,9,0)*$L$10</f>
        <v>#N/A</v>
      </c>
      <c r="J866" s="1059" t="e">
        <f>+I866*0.5*3000</f>
        <v>#N/A</v>
      </c>
      <c r="K866" s="1085"/>
      <c r="L866" s="1085"/>
      <c r="M866" s="1085"/>
      <c r="N866" s="1085"/>
      <c r="O866" s="1085"/>
    </row>
    <row r="867" spans="1:15" ht="15" customHeight="1">
      <c r="A867" s="1052" t="s">
        <v>374</v>
      </c>
      <c r="B867" s="869" t="s">
        <v>375</v>
      </c>
      <c r="C867" s="1058" t="e">
        <f>VLOOKUP(B861,'LƯƠNG KT'!$D$15:$U$94,8,0)*$L$11</f>
        <v>#N/A</v>
      </c>
      <c r="D867" s="1059" t="e">
        <f>VLOOKUP(B861,'LƯƠNG KT'!$D$15:$U$94,13,0)-D866</f>
        <v>#N/A</v>
      </c>
      <c r="E867" s="1063"/>
      <c r="F867" s="1061"/>
      <c r="G867" s="1052" t="s">
        <v>374</v>
      </c>
      <c r="H867" s="869" t="s">
        <v>375</v>
      </c>
      <c r="I867" s="1058" t="e">
        <f>VLOOKUP(H861,'LƯƠNG KT'!$D$15:$U$94,8,0)*$L$11</f>
        <v>#N/A</v>
      </c>
      <c r="J867" s="1059" t="e">
        <f>VLOOKUP(H861,'LƯƠNG KT'!$D$15:$U$94,13,0)-J866</f>
        <v>#N/A</v>
      </c>
      <c r="K867" s="1085"/>
      <c r="L867" s="1085"/>
      <c r="M867" s="1085"/>
      <c r="N867" s="1085"/>
      <c r="O867" s="1085"/>
    </row>
    <row r="868" spans="1:15" ht="15" customHeight="1">
      <c r="A868" s="1059" t="s">
        <v>377</v>
      </c>
      <c r="B868" s="869" t="s">
        <v>378</v>
      </c>
      <c r="C868" s="1058"/>
      <c r="D868" s="1059"/>
      <c r="E868" s="1065"/>
      <c r="F868" s="1065"/>
      <c r="G868" s="1059" t="s">
        <v>377</v>
      </c>
      <c r="H868" s="869" t="s">
        <v>378</v>
      </c>
      <c r="I868" s="1058"/>
      <c r="J868" s="1059"/>
    </row>
    <row r="869" spans="1:15" ht="15" customHeight="1">
      <c r="A869" s="1066" t="s">
        <v>379</v>
      </c>
      <c r="B869" s="869" t="s">
        <v>380</v>
      </c>
      <c r="C869" s="1058"/>
      <c r="D869" s="1059"/>
      <c r="E869" s="1063"/>
      <c r="F869" s="1065"/>
      <c r="G869" s="1066" t="s">
        <v>379</v>
      </c>
      <c r="H869" s="869" t="s">
        <v>380</v>
      </c>
      <c r="I869" s="1058"/>
      <c r="J869" s="1059"/>
    </row>
    <row r="870" spans="1:15" ht="15" customHeight="1">
      <c r="A870" s="1052" t="s">
        <v>381</v>
      </c>
      <c r="B870" s="869" t="s">
        <v>382</v>
      </c>
      <c r="C870" s="1058"/>
      <c r="D870" s="1059">
        <f>D869</f>
        <v>0</v>
      </c>
      <c r="E870" s="1067"/>
      <c r="F870" s="1051"/>
      <c r="G870" s="1052" t="s">
        <v>381</v>
      </c>
      <c r="H870" s="869" t="s">
        <v>382</v>
      </c>
      <c r="I870" s="1058"/>
      <c r="J870" s="1059">
        <f>J869</f>
        <v>0</v>
      </c>
    </row>
    <row r="871" spans="1:15" ht="15" customHeight="1">
      <c r="A871" s="1068" t="s">
        <v>383</v>
      </c>
      <c r="B871" s="1069" t="s">
        <v>384</v>
      </c>
      <c r="C871" s="1070"/>
      <c r="D871" s="1071" t="e">
        <f>SUM(D862:D867)-D870</f>
        <v>#N/A</v>
      </c>
      <c r="E871" s="1072"/>
      <c r="F871" s="1073"/>
      <c r="G871" s="1068" t="s">
        <v>383</v>
      </c>
      <c r="H871" s="1069" t="s">
        <v>384</v>
      </c>
      <c r="I871" s="1070"/>
      <c r="J871" s="1071" t="e">
        <f>SUM(J862:J867)-J870</f>
        <v>#N/A</v>
      </c>
    </row>
    <row r="872" spans="1:15" ht="15.75" customHeight="1">
      <c r="A872" s="1074"/>
      <c r="B872" s="1075"/>
      <c r="C872" s="1076"/>
      <c r="D872" s="1077"/>
      <c r="E872" s="1077"/>
      <c r="F872" s="1078"/>
      <c r="G872" s="1074"/>
      <c r="H872" s="1075"/>
      <c r="I872" s="1076"/>
      <c r="J872" s="1077"/>
    </row>
    <row r="874" spans="1:15" ht="12" customHeight="1">
      <c r="A874" s="2243"/>
      <c r="B874" s="2243"/>
      <c r="C874" s="2243"/>
      <c r="D874" s="2243"/>
      <c r="E874" s="2243"/>
      <c r="F874" s="2243"/>
      <c r="G874" s="2243"/>
      <c r="H874" s="2243"/>
      <c r="I874" s="2243"/>
      <c r="J874" s="2243"/>
    </row>
    <row r="875" spans="1:15" ht="15" customHeight="1">
      <c r="A875" s="2242" t="str">
        <f>$K$2</f>
        <v>THÁNG 09/2024</v>
      </c>
      <c r="B875" s="2242"/>
      <c r="C875" s="2242"/>
      <c r="D875" s="2242"/>
      <c r="E875" s="1050"/>
      <c r="F875" s="1051"/>
      <c r="G875" s="2242" t="str">
        <f>$K$2</f>
        <v>THÁNG 09/2024</v>
      </c>
      <c r="H875" s="2242"/>
      <c r="I875" s="2242"/>
      <c r="J875" s="2242"/>
      <c r="K875" s="624"/>
    </row>
    <row r="876" spans="1:15" ht="15" customHeight="1">
      <c r="A876" s="1052" t="s">
        <v>356</v>
      </c>
      <c r="B876" s="1053" t="s">
        <v>23</v>
      </c>
      <c r="C876" s="869"/>
      <c r="D876" s="1049"/>
      <c r="E876" s="1054"/>
      <c r="F876" s="1055"/>
      <c r="G876" s="1052" t="s">
        <v>356</v>
      </c>
      <c r="H876" s="1053" t="s">
        <v>24</v>
      </c>
      <c r="I876" s="869"/>
      <c r="J876" s="1049"/>
      <c r="L876" s="1088"/>
      <c r="M876" s="1088"/>
      <c r="N876" s="1088"/>
      <c r="O876" s="1088"/>
    </row>
    <row r="877" spans="1:15" ht="15" customHeight="1">
      <c r="A877" s="1052" t="s">
        <v>359</v>
      </c>
      <c r="B877" s="1089" t="s">
        <v>360</v>
      </c>
      <c r="C877" s="1058" t="e">
        <f>VLOOKUP(B876,'LƯƠNG KT'!$D$15:$U$94,3,0)</f>
        <v>#N/A</v>
      </c>
      <c r="D877" s="1059" t="e">
        <f>+C877*25000</f>
        <v>#N/A</v>
      </c>
      <c r="E877" s="1060"/>
      <c r="F877" s="1060"/>
      <c r="G877" s="1052" t="s">
        <v>359</v>
      </c>
      <c r="H877" s="1089" t="s">
        <v>360</v>
      </c>
      <c r="I877" s="1058" t="e">
        <f>VLOOKUP(H876,'LƯƠNG KT'!$D$15:$U$94,3,0)</f>
        <v>#N/A</v>
      </c>
      <c r="J877" s="1059" t="e">
        <f>+I877*25000</f>
        <v>#N/A</v>
      </c>
      <c r="K877" s="1084"/>
      <c r="L877" s="1085"/>
      <c r="M877" s="1085"/>
      <c r="N877" s="1085"/>
      <c r="O877" s="1085"/>
    </row>
    <row r="878" spans="1:15" ht="15" customHeight="1">
      <c r="A878" s="1052" t="s">
        <v>361</v>
      </c>
      <c r="B878" s="869" t="s">
        <v>362</v>
      </c>
      <c r="C878" s="1058" t="e">
        <f>VLOOKUP(B876,'LƯƠNG KT'!$D$15:$U$94,14,0)</f>
        <v>#N/A</v>
      </c>
      <c r="D878" s="1059" t="e">
        <f>C878*$L$4</f>
        <v>#N/A</v>
      </c>
      <c r="E878" s="1061"/>
      <c r="F878" s="1061"/>
      <c r="G878" s="1052" t="s">
        <v>361</v>
      </c>
      <c r="H878" s="869" t="s">
        <v>362</v>
      </c>
      <c r="I878" s="1058" t="e">
        <f>VLOOKUP(H876,'LƯƠNG KT'!$D$15:$U$94,14,0)</f>
        <v>#N/A</v>
      </c>
      <c r="J878" s="1059" t="e">
        <f>I878*$L$4</f>
        <v>#N/A</v>
      </c>
      <c r="K878" s="1084"/>
      <c r="L878" s="1085"/>
      <c r="M878" s="1085"/>
      <c r="N878" s="1085"/>
      <c r="O878" s="1085"/>
    </row>
    <row r="879" spans="1:15" ht="15" customHeight="1">
      <c r="A879" s="1052" t="s">
        <v>364</v>
      </c>
      <c r="B879" s="869" t="s">
        <v>365</v>
      </c>
      <c r="C879" s="1058" t="e">
        <f>VLOOKUP(B876,'LƯƠNG KT'!$D$15:$U$94,15,0)</f>
        <v>#N/A</v>
      </c>
      <c r="D879" s="1059" t="e">
        <f>C879*$L$5</f>
        <v>#N/A</v>
      </c>
      <c r="E879" s="1061"/>
      <c r="F879" s="1061"/>
      <c r="G879" s="1052" t="s">
        <v>364</v>
      </c>
      <c r="H879" s="869" t="s">
        <v>365</v>
      </c>
      <c r="I879" s="1058" t="e">
        <f>VLOOKUP(H876,'LƯƠNG KT'!$D$15:$U$94,15,0)</f>
        <v>#N/A</v>
      </c>
      <c r="J879" s="1059" t="e">
        <f>I879*$L$5</f>
        <v>#N/A</v>
      </c>
      <c r="K879" s="1084"/>
      <c r="L879" s="1085"/>
      <c r="M879" s="1085"/>
      <c r="N879" s="1085"/>
      <c r="O879" s="1085"/>
    </row>
    <row r="880" spans="1:15" ht="15" customHeight="1">
      <c r="A880" s="1052" t="s">
        <v>367</v>
      </c>
      <c r="B880" s="869"/>
      <c r="C880" s="1058" t="e">
        <f>VLOOKUP(B876,'LƯƠNG KT'!$D$15:$U$94,16,0)</f>
        <v>#N/A</v>
      </c>
      <c r="D880" s="1059" t="e">
        <f>+C880*$L$6</f>
        <v>#N/A</v>
      </c>
      <c r="E880" s="1061"/>
      <c r="F880" s="1061"/>
      <c r="G880" s="1052" t="s">
        <v>367</v>
      </c>
      <c r="H880" s="869"/>
      <c r="I880" s="1058" t="e">
        <f>VLOOKUP(H876,'LƯƠNG KT'!$D$15:$U$94,16,0)</f>
        <v>#N/A</v>
      </c>
      <c r="J880" s="1059" t="e">
        <f>+I880*$L$6</f>
        <v>#N/A</v>
      </c>
      <c r="K880" s="1085"/>
      <c r="L880" s="1085"/>
      <c r="M880" s="1085"/>
      <c r="N880" s="1085"/>
      <c r="O880" s="1085"/>
    </row>
    <row r="881" spans="1:15" ht="15" customHeight="1">
      <c r="A881" s="1052" t="s">
        <v>371</v>
      </c>
      <c r="B881" s="869" t="s">
        <v>372</v>
      </c>
      <c r="C881" s="1058" t="e">
        <f>VLOOKUP(B876,'LƯƠNG KT'!$D$15:$U$94,9,0)*$L$10</f>
        <v>#N/A</v>
      </c>
      <c r="D881" s="1059" t="e">
        <f>+C881*0.5*3000</f>
        <v>#N/A</v>
      </c>
      <c r="E881" s="1061"/>
      <c r="F881" s="1061"/>
      <c r="G881" s="1052" t="s">
        <v>371</v>
      </c>
      <c r="H881" s="869" t="s">
        <v>372</v>
      </c>
      <c r="I881" s="1058" t="e">
        <f>VLOOKUP(H876,'LƯƠNG KT'!$D$15:$U$94,9,0)*$L$10</f>
        <v>#N/A</v>
      </c>
      <c r="J881" s="1059" t="e">
        <f>+I881*0.5*3000</f>
        <v>#N/A</v>
      </c>
      <c r="K881" s="1085"/>
      <c r="L881" s="1085"/>
      <c r="M881" s="1085"/>
      <c r="N881" s="1085"/>
      <c r="O881" s="1085"/>
    </row>
    <row r="882" spans="1:15" ht="15" customHeight="1">
      <c r="A882" s="1052" t="s">
        <v>374</v>
      </c>
      <c r="B882" s="869" t="s">
        <v>375</v>
      </c>
      <c r="C882" s="1058" t="e">
        <f>VLOOKUP(B876,'LƯƠNG KT'!$D$15:$U$94,8,0)*$L$11</f>
        <v>#N/A</v>
      </c>
      <c r="D882" s="1059" t="e">
        <f>VLOOKUP(B876,'LƯƠNG KT'!$D$15:$U$94,13,0)-D881</f>
        <v>#N/A</v>
      </c>
      <c r="E882" s="1063"/>
      <c r="F882" s="1061"/>
      <c r="G882" s="1052" t="s">
        <v>374</v>
      </c>
      <c r="H882" s="869" t="s">
        <v>375</v>
      </c>
      <c r="I882" s="1058" t="e">
        <f>VLOOKUP(H876,'LƯƠNG KT'!$D$15:$U$94,8,0)*$L$11</f>
        <v>#N/A</v>
      </c>
      <c r="J882" s="1059" t="e">
        <f>VLOOKUP(H876,'LƯƠNG KT'!$D$15:$U$94,13,0)-J881</f>
        <v>#N/A</v>
      </c>
      <c r="K882" s="1085"/>
      <c r="L882" s="1085"/>
      <c r="M882" s="1085"/>
      <c r="N882" s="1085"/>
      <c r="O882" s="1085"/>
    </row>
    <row r="883" spans="1:15" ht="15" customHeight="1">
      <c r="A883" s="1059" t="s">
        <v>377</v>
      </c>
      <c r="B883" s="869" t="s">
        <v>378</v>
      </c>
      <c r="C883" s="1058"/>
      <c r="D883" s="1059"/>
      <c r="E883" s="1065"/>
      <c r="F883" s="1065"/>
      <c r="G883" s="1059" t="s">
        <v>377</v>
      </c>
      <c r="H883" s="869" t="s">
        <v>378</v>
      </c>
      <c r="I883" s="1058"/>
      <c r="J883" s="1059"/>
    </row>
    <row r="884" spans="1:15" ht="15" customHeight="1">
      <c r="A884" s="1066" t="s">
        <v>379</v>
      </c>
      <c r="B884" s="869" t="s">
        <v>380</v>
      </c>
      <c r="C884" s="1058"/>
      <c r="D884" s="1059"/>
      <c r="E884" s="1063"/>
      <c r="F884" s="1065"/>
      <c r="G884" s="1066" t="s">
        <v>379</v>
      </c>
      <c r="H884" s="869" t="s">
        <v>380</v>
      </c>
      <c r="I884" s="1058"/>
      <c r="J884" s="1059"/>
    </row>
    <row r="885" spans="1:15" ht="15" customHeight="1">
      <c r="A885" s="1052" t="s">
        <v>381</v>
      </c>
      <c r="B885" s="869" t="s">
        <v>382</v>
      </c>
      <c r="C885" s="1058"/>
      <c r="D885" s="1059">
        <f>D884</f>
        <v>0</v>
      </c>
      <c r="E885" s="1067"/>
      <c r="F885" s="1051"/>
      <c r="G885" s="1052" t="s">
        <v>381</v>
      </c>
      <c r="H885" s="869" t="s">
        <v>382</v>
      </c>
      <c r="I885" s="1058"/>
      <c r="J885" s="1059">
        <f>J884</f>
        <v>0</v>
      </c>
    </row>
    <row r="886" spans="1:15" ht="15" customHeight="1">
      <c r="A886" s="1068" t="s">
        <v>383</v>
      </c>
      <c r="B886" s="1069" t="s">
        <v>384</v>
      </c>
      <c r="C886" s="1070"/>
      <c r="D886" s="1071" t="e">
        <f>SUM(D877:D882)-D885</f>
        <v>#N/A</v>
      </c>
      <c r="E886" s="1072"/>
      <c r="F886" s="1073"/>
      <c r="G886" s="1068" t="s">
        <v>383</v>
      </c>
      <c r="H886" s="1069" t="s">
        <v>384</v>
      </c>
      <c r="I886" s="1070"/>
      <c r="J886" s="1071" t="e">
        <f>SUM(J877:J882)-J885</f>
        <v>#N/A</v>
      </c>
    </row>
    <row r="887" spans="1:15" ht="12.6" customHeight="1">
      <c r="A887" s="1074"/>
      <c r="B887" s="1075"/>
      <c r="C887" s="1076"/>
      <c r="D887" s="1077"/>
      <c r="E887" s="1077"/>
      <c r="F887" s="1078"/>
      <c r="G887" s="1074"/>
      <c r="H887" s="1075"/>
      <c r="I887" s="1076"/>
      <c r="J887" s="1077"/>
    </row>
    <row r="888" spans="1:15" ht="12.6" customHeight="1">
      <c r="A888" s="1075"/>
      <c r="B888" s="1075"/>
      <c r="C888" s="1079"/>
      <c r="D888" s="1080"/>
      <c r="E888" s="1075"/>
      <c r="F888" s="1081"/>
      <c r="G888" s="1075"/>
      <c r="H888" s="1075"/>
      <c r="I888" s="1079"/>
      <c r="J888" s="1080"/>
    </row>
    <row r="889" spans="1:15" ht="15" customHeight="1">
      <c r="A889" s="2242" t="str">
        <f>$K$2</f>
        <v>THÁNG 09/2024</v>
      </c>
      <c r="B889" s="2242"/>
      <c r="C889" s="2242"/>
      <c r="D889" s="2242"/>
      <c r="E889" s="1050"/>
      <c r="F889" s="1051"/>
      <c r="G889" s="2242" t="str">
        <f>$K$2</f>
        <v>THÁNG 09/2024</v>
      </c>
      <c r="H889" s="2242"/>
      <c r="I889" s="2242"/>
      <c r="J889" s="2242"/>
      <c r="K889" s="624"/>
    </row>
    <row r="890" spans="1:15" ht="15" customHeight="1">
      <c r="A890" s="1052" t="s">
        <v>356</v>
      </c>
      <c r="B890" s="1053" t="s">
        <v>25</v>
      </c>
      <c r="C890" s="869"/>
      <c r="D890" s="1049"/>
      <c r="E890" s="1054"/>
      <c r="F890" s="1055"/>
      <c r="G890" s="1052" t="s">
        <v>356</v>
      </c>
      <c r="H890" s="1053" t="s">
        <v>26</v>
      </c>
      <c r="I890" s="869"/>
      <c r="J890" s="1049"/>
      <c r="L890" s="1088"/>
      <c r="M890" s="1088"/>
      <c r="N890" s="1088"/>
      <c r="O890" s="1088"/>
    </row>
    <row r="891" spans="1:15" ht="15" customHeight="1">
      <c r="A891" s="1052" t="s">
        <v>359</v>
      </c>
      <c r="B891" s="1089" t="s">
        <v>360</v>
      </c>
      <c r="C891" s="1058" t="e">
        <f>VLOOKUP(B890,'LƯƠNG KT'!$D$15:$U$94,3,0)</f>
        <v>#N/A</v>
      </c>
      <c r="D891" s="1059" t="e">
        <f>+C891*25000</f>
        <v>#N/A</v>
      </c>
      <c r="E891" s="1060"/>
      <c r="F891" s="1060"/>
      <c r="G891" s="1052" t="s">
        <v>359</v>
      </c>
      <c r="H891" s="1089" t="s">
        <v>360</v>
      </c>
      <c r="I891" s="1058" t="e">
        <f>VLOOKUP(H890,'LƯƠNG KT'!$D$15:$U$94,3,0)</f>
        <v>#N/A</v>
      </c>
      <c r="J891" s="1059" t="e">
        <f>+I891*25000</f>
        <v>#N/A</v>
      </c>
      <c r="K891" s="1085"/>
      <c r="L891" s="1085"/>
      <c r="M891" s="1085"/>
      <c r="N891" s="1085"/>
      <c r="O891" s="1085"/>
    </row>
    <row r="892" spans="1:15" ht="15" customHeight="1">
      <c r="A892" s="1052" t="s">
        <v>361</v>
      </c>
      <c r="B892" s="869" t="s">
        <v>362</v>
      </c>
      <c r="C892" s="1058" t="e">
        <f>VLOOKUP(B890,'LƯƠNG KT'!$D$15:$U$94,14,0)</f>
        <v>#N/A</v>
      </c>
      <c r="D892" s="1059" t="e">
        <f>C892*$L$4</f>
        <v>#N/A</v>
      </c>
      <c r="E892" s="1061"/>
      <c r="F892" s="1061"/>
      <c r="G892" s="1052" t="s">
        <v>361</v>
      </c>
      <c r="H892" s="869" t="s">
        <v>362</v>
      </c>
      <c r="I892" s="1058" t="e">
        <f>VLOOKUP(H890,'LƯƠNG KT'!$D$15:$U$94,14,0)</f>
        <v>#N/A</v>
      </c>
      <c r="J892" s="1059" t="e">
        <f>I892*$L$4</f>
        <v>#N/A</v>
      </c>
      <c r="K892" s="1085"/>
      <c r="L892" s="1085"/>
      <c r="M892" s="1085"/>
      <c r="N892" s="1085"/>
      <c r="O892" s="1085"/>
    </row>
    <row r="893" spans="1:15" ht="15" customHeight="1">
      <c r="A893" s="1052" t="s">
        <v>364</v>
      </c>
      <c r="B893" s="869" t="s">
        <v>365</v>
      </c>
      <c r="C893" s="1058" t="e">
        <f>VLOOKUP(B890,'LƯƠNG KT'!$D$15:$U$94,15,0)</f>
        <v>#N/A</v>
      </c>
      <c r="D893" s="1059" t="e">
        <f>C893*$L$5</f>
        <v>#N/A</v>
      </c>
      <c r="E893" s="1061"/>
      <c r="F893" s="1061"/>
      <c r="G893" s="1052" t="s">
        <v>364</v>
      </c>
      <c r="H893" s="869" t="s">
        <v>365</v>
      </c>
      <c r="I893" s="1058" t="e">
        <f>VLOOKUP(H890,'LƯƠNG KT'!$D$15:$U$94,15,0)</f>
        <v>#N/A</v>
      </c>
      <c r="J893" s="1059" t="e">
        <f>I893*$L$5</f>
        <v>#N/A</v>
      </c>
      <c r="K893" s="1085"/>
      <c r="L893" s="1085"/>
      <c r="M893" s="1085"/>
      <c r="N893" s="1085"/>
      <c r="O893" s="1085"/>
    </row>
    <row r="894" spans="1:15" ht="15" customHeight="1">
      <c r="A894" s="1052" t="s">
        <v>367</v>
      </c>
      <c r="B894" s="869"/>
      <c r="C894" s="1058" t="e">
        <f>VLOOKUP(B890,'LƯƠNG KT'!$D$15:$U$94,16,0)</f>
        <v>#N/A</v>
      </c>
      <c r="D894" s="1059" t="e">
        <f>+C894*$L$6</f>
        <v>#N/A</v>
      </c>
      <c r="E894" s="1061"/>
      <c r="F894" s="1061"/>
      <c r="G894" s="1052" t="s">
        <v>367</v>
      </c>
      <c r="H894" s="869"/>
      <c r="I894" s="1058" t="e">
        <f>VLOOKUP(H890,'LƯƠNG KT'!$D$15:$U$94,16,0)</f>
        <v>#N/A</v>
      </c>
      <c r="J894" s="1059" t="e">
        <f>+I894*$L$6</f>
        <v>#N/A</v>
      </c>
      <c r="K894" s="1085"/>
      <c r="L894" s="1085"/>
      <c r="M894" s="1085"/>
      <c r="N894" s="1085"/>
      <c r="O894" s="1085"/>
    </row>
    <row r="895" spans="1:15" ht="15" customHeight="1">
      <c r="A895" s="1052" t="s">
        <v>371</v>
      </c>
      <c r="B895" s="869" t="s">
        <v>372</v>
      </c>
      <c r="C895" s="1058" t="e">
        <f>VLOOKUP(B890,'LƯƠNG KT'!$D$15:$U$94,9,0)*$L$10</f>
        <v>#N/A</v>
      </c>
      <c r="D895" s="1059" t="e">
        <f>+C895*0.5*3000</f>
        <v>#N/A</v>
      </c>
      <c r="E895" s="1061"/>
      <c r="F895" s="1061"/>
      <c r="G895" s="1052" t="s">
        <v>371</v>
      </c>
      <c r="H895" s="869" t="s">
        <v>372</v>
      </c>
      <c r="I895" s="1058" t="e">
        <f>VLOOKUP(H890,'LƯƠNG KT'!$D$15:$U$94,9,0)*$L$10</f>
        <v>#N/A</v>
      </c>
      <c r="J895" s="1059" t="e">
        <f>+I895*0.5*3000</f>
        <v>#N/A</v>
      </c>
      <c r="K895" s="1085"/>
      <c r="L895" s="1085"/>
      <c r="M895" s="1085"/>
      <c r="N895" s="1085"/>
      <c r="O895" s="1085"/>
    </row>
    <row r="896" spans="1:15" ht="15" customHeight="1">
      <c r="A896" s="1052" t="s">
        <v>374</v>
      </c>
      <c r="B896" s="869" t="s">
        <v>375</v>
      </c>
      <c r="C896" s="1058" t="e">
        <f>VLOOKUP(B890,'LƯƠNG KT'!$D$15:$U$94,8,0)*$L$11</f>
        <v>#N/A</v>
      </c>
      <c r="D896" s="1059" t="e">
        <f>VLOOKUP(B890,'LƯƠNG KT'!$D$15:$U$94,13,0)-D895</f>
        <v>#N/A</v>
      </c>
      <c r="E896" s="1063"/>
      <c r="F896" s="1061"/>
      <c r="G896" s="1052" t="s">
        <v>374</v>
      </c>
      <c r="H896" s="869" t="s">
        <v>375</v>
      </c>
      <c r="I896" s="1058" t="e">
        <f>VLOOKUP(H890,'LƯƠNG KT'!$D$15:$U$94,8,0)*$L$11</f>
        <v>#N/A</v>
      </c>
      <c r="J896" s="1059" t="e">
        <f>VLOOKUP(H890,'LƯƠNG KT'!$D$15:$U$94,13,0)-J895</f>
        <v>#N/A</v>
      </c>
      <c r="K896" s="1085"/>
      <c r="L896" s="1085"/>
      <c r="M896" s="1085"/>
      <c r="N896" s="1085"/>
      <c r="O896" s="1085"/>
    </row>
    <row r="897" spans="1:15" ht="15" customHeight="1">
      <c r="A897" s="1059" t="s">
        <v>377</v>
      </c>
      <c r="B897" s="869" t="s">
        <v>378</v>
      </c>
      <c r="C897" s="1058"/>
      <c r="D897" s="1059"/>
      <c r="E897" s="1065"/>
      <c r="F897" s="1065"/>
      <c r="G897" s="1059" t="s">
        <v>377</v>
      </c>
      <c r="H897" s="869" t="s">
        <v>378</v>
      </c>
      <c r="I897" s="1058"/>
      <c r="J897" s="1059"/>
    </row>
    <row r="898" spans="1:15" ht="15" customHeight="1">
      <c r="A898" s="1066" t="s">
        <v>379</v>
      </c>
      <c r="B898" s="869" t="s">
        <v>380</v>
      </c>
      <c r="C898" s="1058"/>
      <c r="D898" s="1059"/>
      <c r="E898" s="1063"/>
      <c r="F898" s="1065"/>
      <c r="G898" s="1066" t="s">
        <v>379</v>
      </c>
      <c r="H898" s="869" t="s">
        <v>380</v>
      </c>
      <c r="I898" s="1058"/>
      <c r="J898" s="1059"/>
    </row>
    <row r="899" spans="1:15" ht="15" customHeight="1">
      <c r="A899" s="1052" t="s">
        <v>381</v>
      </c>
      <c r="B899" s="869" t="s">
        <v>382</v>
      </c>
      <c r="C899" s="1058"/>
      <c r="D899" s="1059">
        <f>D898</f>
        <v>0</v>
      </c>
      <c r="E899" s="1067"/>
      <c r="F899" s="1051"/>
      <c r="G899" s="1052" t="s">
        <v>381</v>
      </c>
      <c r="H899" s="869" t="s">
        <v>382</v>
      </c>
      <c r="I899" s="1058"/>
      <c r="J899" s="1059">
        <f>J898</f>
        <v>0</v>
      </c>
    </row>
    <row r="900" spans="1:15" ht="15" customHeight="1">
      <c r="A900" s="1068" t="s">
        <v>383</v>
      </c>
      <c r="B900" s="1069" t="s">
        <v>384</v>
      </c>
      <c r="C900" s="1070"/>
      <c r="D900" s="1071" t="e">
        <f>SUM(D891:D896)-D899</f>
        <v>#N/A</v>
      </c>
      <c r="E900" s="1072"/>
      <c r="F900" s="1073"/>
      <c r="G900" s="1068" t="s">
        <v>383</v>
      </c>
      <c r="H900" s="1069" t="s">
        <v>384</v>
      </c>
      <c r="I900" s="1070"/>
      <c r="J900" s="1071" t="e">
        <f>SUM(J891:J896)-J899</f>
        <v>#N/A</v>
      </c>
    </row>
    <row r="901" spans="1:15" ht="18.75" customHeight="1">
      <c r="A901" s="1074"/>
      <c r="B901" s="1075"/>
      <c r="C901" s="1076"/>
      <c r="D901" s="1077"/>
      <c r="E901" s="1077"/>
      <c r="F901" s="1078"/>
      <c r="G901" s="1074"/>
      <c r="H901" s="1075"/>
      <c r="I901" s="1076"/>
      <c r="J901" s="1077"/>
    </row>
    <row r="902" spans="1:15" ht="18.75" customHeight="1">
      <c r="A902" s="1075"/>
      <c r="B902" s="1075"/>
      <c r="C902" s="1079"/>
      <c r="D902" s="1080"/>
      <c r="E902" s="1075"/>
      <c r="F902" s="1081"/>
      <c r="G902" s="1075"/>
      <c r="H902" s="1075"/>
      <c r="I902" s="1079"/>
      <c r="J902" s="1080"/>
    </row>
    <row r="903" spans="1:15" ht="15" customHeight="1">
      <c r="A903" s="2242" t="str">
        <f>$K$2</f>
        <v>THÁNG 09/2024</v>
      </c>
      <c r="B903" s="2242"/>
      <c r="C903" s="2242"/>
      <c r="D903" s="2242"/>
      <c r="E903" s="1050"/>
      <c r="F903" s="1051"/>
      <c r="G903" s="2242" t="str">
        <f>$K$2</f>
        <v>THÁNG 09/2024</v>
      </c>
      <c r="H903" s="2242"/>
      <c r="I903" s="2242"/>
      <c r="J903" s="2242"/>
      <c r="K903" s="624"/>
    </row>
    <row r="904" spans="1:15" ht="15" customHeight="1">
      <c r="A904" s="1052" t="s">
        <v>356</v>
      </c>
      <c r="B904" s="1053" t="s">
        <v>27</v>
      </c>
      <c r="C904" s="869"/>
      <c r="D904" s="1049"/>
      <c r="E904" s="1054"/>
      <c r="F904" s="1055"/>
      <c r="G904" s="1052" t="s">
        <v>356</v>
      </c>
      <c r="H904" s="1053" t="s">
        <v>28</v>
      </c>
      <c r="I904" s="869"/>
      <c r="J904" s="1049"/>
      <c r="L904" s="1088"/>
      <c r="M904" s="1088"/>
      <c r="N904" s="1088"/>
      <c r="O904" s="1088"/>
    </row>
    <row r="905" spans="1:15" ht="15" customHeight="1">
      <c r="A905" s="1052" t="s">
        <v>359</v>
      </c>
      <c r="B905" s="1089" t="s">
        <v>360</v>
      </c>
      <c r="C905" s="1058" t="e">
        <f>VLOOKUP(B904,'LƯƠNG KT'!$D$15:$U$94,3,0)</f>
        <v>#N/A</v>
      </c>
      <c r="D905" s="1059" t="e">
        <f>+C905*25000</f>
        <v>#N/A</v>
      </c>
      <c r="E905" s="1060"/>
      <c r="F905" s="1060"/>
      <c r="G905" s="1052" t="s">
        <v>359</v>
      </c>
      <c r="H905" s="1089" t="s">
        <v>360</v>
      </c>
      <c r="I905" s="1058" t="e">
        <f>VLOOKUP(H904,'LƯƠNG KT'!$D$15:$U$94,3,0)</f>
        <v>#N/A</v>
      </c>
      <c r="J905" s="1059" t="e">
        <f>+I905*25000</f>
        <v>#N/A</v>
      </c>
      <c r="K905" s="1085"/>
      <c r="L905" s="1085"/>
      <c r="M905" s="1085"/>
      <c r="N905" s="1085"/>
      <c r="O905" s="1085"/>
    </row>
    <row r="906" spans="1:15" ht="15" customHeight="1">
      <c r="A906" s="1052" t="s">
        <v>361</v>
      </c>
      <c r="B906" s="869" t="s">
        <v>362</v>
      </c>
      <c r="C906" s="1058" t="e">
        <f>VLOOKUP(B904,'LƯƠNG KT'!$D$15:$U$94,14,0)</f>
        <v>#N/A</v>
      </c>
      <c r="D906" s="1059" t="e">
        <f>C906*$L$4</f>
        <v>#N/A</v>
      </c>
      <c r="E906" s="1061"/>
      <c r="F906" s="1061"/>
      <c r="G906" s="1052" t="s">
        <v>361</v>
      </c>
      <c r="H906" s="869" t="s">
        <v>362</v>
      </c>
      <c r="I906" s="1058" t="e">
        <f>VLOOKUP(H904,'LƯƠNG KT'!$D$15:$U$94,14,0)</f>
        <v>#N/A</v>
      </c>
      <c r="J906" s="1059" t="e">
        <f>I906*$L$4</f>
        <v>#N/A</v>
      </c>
      <c r="K906" s="1085"/>
      <c r="L906" s="1085"/>
      <c r="M906" s="1085"/>
      <c r="N906" s="1085"/>
      <c r="O906" s="1085"/>
    </row>
    <row r="907" spans="1:15" ht="15" customHeight="1">
      <c r="A907" s="1052" t="s">
        <v>364</v>
      </c>
      <c r="B907" s="869" t="s">
        <v>365</v>
      </c>
      <c r="C907" s="1058" t="e">
        <f>VLOOKUP(B904,'LƯƠNG KT'!$D$15:$U$94,15,0)</f>
        <v>#N/A</v>
      </c>
      <c r="D907" s="1059" t="e">
        <f>C907*$L$5</f>
        <v>#N/A</v>
      </c>
      <c r="E907" s="1061"/>
      <c r="F907" s="1061"/>
      <c r="G907" s="1052" t="s">
        <v>364</v>
      </c>
      <c r="H907" s="869" t="s">
        <v>365</v>
      </c>
      <c r="I907" s="1058" t="e">
        <f>VLOOKUP(H904,'LƯƠNG KT'!$D$15:$U$94,15,0)</f>
        <v>#N/A</v>
      </c>
      <c r="J907" s="1059" t="e">
        <f>I907*$L$5</f>
        <v>#N/A</v>
      </c>
      <c r="K907" s="1085"/>
      <c r="L907" s="1085"/>
      <c r="M907" s="1085"/>
      <c r="N907" s="1085"/>
      <c r="O907" s="1085"/>
    </row>
    <row r="908" spans="1:15" ht="15" customHeight="1">
      <c r="A908" s="1052" t="s">
        <v>367</v>
      </c>
      <c r="B908" s="869"/>
      <c r="C908" s="1058" t="e">
        <f>VLOOKUP(B904,'LƯƠNG KT'!$D$15:$U$94,16,0)</f>
        <v>#N/A</v>
      </c>
      <c r="D908" s="1059" t="e">
        <f>+C908*$L$6</f>
        <v>#N/A</v>
      </c>
      <c r="E908" s="1061"/>
      <c r="F908" s="1061"/>
      <c r="G908" s="1052" t="s">
        <v>367</v>
      </c>
      <c r="H908" s="869"/>
      <c r="I908" s="1058" t="e">
        <f>VLOOKUP(H904,'LƯƠNG KT'!$D$15:$U$94,16,0)</f>
        <v>#N/A</v>
      </c>
      <c r="J908" s="1059" t="e">
        <f>+I908*$L$6</f>
        <v>#N/A</v>
      </c>
      <c r="K908" s="1085"/>
      <c r="L908" s="1085"/>
      <c r="M908" s="1085"/>
      <c r="N908" s="1085"/>
      <c r="O908" s="1085"/>
    </row>
    <row r="909" spans="1:15" ht="15" customHeight="1">
      <c r="A909" s="1052" t="s">
        <v>371</v>
      </c>
      <c r="B909" s="869" t="s">
        <v>372</v>
      </c>
      <c r="C909" s="1058" t="e">
        <f>VLOOKUP(B904,'LƯƠNG KT'!$D$15:$U$94,9,0)*$L$10</f>
        <v>#N/A</v>
      </c>
      <c r="D909" s="1059" t="e">
        <f>+C909*0.5*3000</f>
        <v>#N/A</v>
      </c>
      <c r="E909" s="1061"/>
      <c r="F909" s="1061"/>
      <c r="G909" s="1052" t="s">
        <v>371</v>
      </c>
      <c r="H909" s="869" t="s">
        <v>372</v>
      </c>
      <c r="I909" s="1058" t="e">
        <f>VLOOKUP(H904,'LƯƠNG KT'!$D$15:$U$94,9,0)*$L$10</f>
        <v>#N/A</v>
      </c>
      <c r="J909" s="1059" t="e">
        <f>+I909*0.5*3000</f>
        <v>#N/A</v>
      </c>
      <c r="K909" s="1085"/>
      <c r="L909" s="1085"/>
      <c r="M909" s="1085"/>
      <c r="N909" s="1085"/>
      <c r="O909" s="1085"/>
    </row>
    <row r="910" spans="1:15" ht="15" customHeight="1">
      <c r="A910" s="1052" t="s">
        <v>374</v>
      </c>
      <c r="B910" s="869" t="s">
        <v>375</v>
      </c>
      <c r="C910" s="1058" t="e">
        <f>VLOOKUP(B904,'LƯƠNG KT'!$D$15:$U$94,8,0)*$L$11</f>
        <v>#N/A</v>
      </c>
      <c r="D910" s="1059" t="e">
        <f>VLOOKUP(B904,'LƯƠNG KT'!$D$15:$U$94,13,0)-D909</f>
        <v>#N/A</v>
      </c>
      <c r="E910" s="1063"/>
      <c r="F910" s="1061"/>
      <c r="G910" s="1052" t="s">
        <v>374</v>
      </c>
      <c r="H910" s="869" t="s">
        <v>375</v>
      </c>
      <c r="I910" s="1058" t="e">
        <f>VLOOKUP(H904,'LƯƠNG KT'!$D$15:$U$94,8,0)*$L$11</f>
        <v>#N/A</v>
      </c>
      <c r="J910" s="1059" t="e">
        <f>VLOOKUP(H904,'LƯƠNG KT'!$D$15:$U$94,13,0)-J909</f>
        <v>#N/A</v>
      </c>
      <c r="K910" s="1085"/>
      <c r="L910" s="1085"/>
      <c r="M910" s="1085"/>
      <c r="N910" s="1085"/>
      <c r="O910" s="1085"/>
    </row>
    <row r="911" spans="1:15" ht="15" customHeight="1">
      <c r="A911" s="1059" t="s">
        <v>377</v>
      </c>
      <c r="B911" s="869" t="s">
        <v>378</v>
      </c>
      <c r="C911" s="1058"/>
      <c r="D911" s="1059"/>
      <c r="E911" s="1065"/>
      <c r="F911" s="1065"/>
      <c r="G911" s="1059" t="s">
        <v>377</v>
      </c>
      <c r="H911" s="869" t="s">
        <v>378</v>
      </c>
      <c r="I911" s="1058"/>
      <c r="J911" s="1059"/>
    </row>
    <row r="912" spans="1:15" ht="15" customHeight="1">
      <c r="A912" s="1066" t="s">
        <v>379</v>
      </c>
      <c r="B912" s="869" t="s">
        <v>380</v>
      </c>
      <c r="C912" s="1058"/>
      <c r="D912" s="1059"/>
      <c r="E912" s="1063"/>
      <c r="F912" s="1065"/>
      <c r="G912" s="1066" t="s">
        <v>379</v>
      </c>
      <c r="H912" s="869" t="s">
        <v>380</v>
      </c>
      <c r="I912" s="1058"/>
      <c r="J912" s="1059"/>
    </row>
    <row r="913" spans="1:15" ht="15" customHeight="1">
      <c r="A913" s="1052" t="s">
        <v>381</v>
      </c>
      <c r="B913" s="869" t="s">
        <v>382</v>
      </c>
      <c r="C913" s="1058"/>
      <c r="D913" s="1059">
        <f>D912</f>
        <v>0</v>
      </c>
      <c r="E913" s="1067"/>
      <c r="F913" s="1051"/>
      <c r="G913" s="1052" t="s">
        <v>381</v>
      </c>
      <c r="H913" s="869" t="s">
        <v>382</v>
      </c>
      <c r="I913" s="1058"/>
      <c r="J913" s="1059">
        <f>J912</f>
        <v>0</v>
      </c>
    </row>
    <row r="914" spans="1:15" ht="15" customHeight="1">
      <c r="A914" s="1068" t="s">
        <v>383</v>
      </c>
      <c r="B914" s="1069" t="s">
        <v>384</v>
      </c>
      <c r="C914" s="1070"/>
      <c r="D914" s="1071" t="e">
        <f>SUM(D905:D910)-D913</f>
        <v>#N/A</v>
      </c>
      <c r="E914" s="1072"/>
      <c r="F914" s="1073"/>
      <c r="G914" s="1068" t="s">
        <v>383</v>
      </c>
      <c r="H914" s="1069" t="s">
        <v>384</v>
      </c>
      <c r="I914" s="1070"/>
      <c r="J914" s="1071" t="e">
        <f>SUM(J905:J910)-J913</f>
        <v>#N/A</v>
      </c>
    </row>
    <row r="915" spans="1:15" ht="18.75" customHeight="1">
      <c r="A915" s="1074"/>
      <c r="B915" s="1075"/>
      <c r="C915" s="1076"/>
      <c r="D915" s="1077"/>
      <c r="E915" s="1077"/>
      <c r="F915" s="1078"/>
      <c r="G915" s="1074"/>
      <c r="H915" s="1075"/>
      <c r="I915" s="1076"/>
      <c r="J915" s="1077"/>
    </row>
    <row r="916" spans="1:15" ht="18.75" customHeight="1">
      <c r="A916" s="1075"/>
      <c r="B916" s="1075"/>
      <c r="C916" s="1079"/>
      <c r="D916" s="1080"/>
      <c r="E916" s="1075"/>
      <c r="F916" s="1081"/>
      <c r="G916" s="1075"/>
      <c r="H916" s="1075"/>
      <c r="I916" s="1079"/>
      <c r="J916" s="1080"/>
    </row>
    <row r="917" spans="1:15" ht="15" customHeight="1">
      <c r="A917" s="2242" t="str">
        <f>$K$2</f>
        <v>THÁNG 09/2024</v>
      </c>
      <c r="B917" s="2242"/>
      <c r="C917" s="2242"/>
      <c r="D917" s="2242"/>
      <c r="E917" s="1050"/>
      <c r="F917" s="1051"/>
      <c r="G917" s="2242" t="str">
        <f>$K$2</f>
        <v>THÁNG 09/2024</v>
      </c>
      <c r="H917" s="2242"/>
      <c r="I917" s="2242"/>
      <c r="J917" s="2242"/>
      <c r="K917" s="624"/>
    </row>
    <row r="918" spans="1:15" ht="15" customHeight="1">
      <c r="A918" s="1052" t="s">
        <v>356</v>
      </c>
      <c r="B918" s="1053" t="s">
        <v>29</v>
      </c>
      <c r="C918" s="869"/>
      <c r="D918" s="1049"/>
      <c r="E918" s="1054"/>
      <c r="F918" s="1055"/>
      <c r="G918" s="1052" t="s">
        <v>356</v>
      </c>
      <c r="H918" s="1053" t="s">
        <v>30</v>
      </c>
      <c r="I918" s="869"/>
      <c r="J918" s="1049"/>
      <c r="L918" s="1088"/>
      <c r="M918" s="1088"/>
      <c r="N918" s="1088"/>
      <c r="O918" s="1088"/>
    </row>
    <row r="919" spans="1:15" ht="15" customHeight="1">
      <c r="A919" s="1052" t="s">
        <v>359</v>
      </c>
      <c r="B919" s="1089" t="s">
        <v>360</v>
      </c>
      <c r="C919" s="1058" t="e">
        <f>VLOOKUP(B918,'LƯƠNG KT'!$D$15:$U$94,3,0)</f>
        <v>#N/A</v>
      </c>
      <c r="D919" s="1059" t="e">
        <f>+C919*25000</f>
        <v>#N/A</v>
      </c>
      <c r="E919" s="1060"/>
      <c r="F919" s="1060"/>
      <c r="G919" s="1052" t="s">
        <v>359</v>
      </c>
      <c r="H919" s="1089" t="s">
        <v>360</v>
      </c>
      <c r="I919" s="1058" t="e">
        <f>VLOOKUP(H918,'LƯƠNG KT'!$D$15:$U$94,3,0)</f>
        <v>#N/A</v>
      </c>
      <c r="J919" s="1059" t="e">
        <f>+I919*25000</f>
        <v>#N/A</v>
      </c>
      <c r="K919" s="1085"/>
      <c r="L919" s="1085"/>
      <c r="M919" s="1085"/>
      <c r="N919" s="1085"/>
      <c r="O919" s="1085"/>
    </row>
    <row r="920" spans="1:15" ht="15" customHeight="1">
      <c r="A920" s="1052" t="s">
        <v>361</v>
      </c>
      <c r="B920" s="869" t="s">
        <v>362</v>
      </c>
      <c r="C920" s="1058" t="e">
        <f>VLOOKUP(B918,'LƯƠNG KT'!$D$15:$U$94,14,0)</f>
        <v>#N/A</v>
      </c>
      <c r="D920" s="1059" t="e">
        <f>C920*$L$4</f>
        <v>#N/A</v>
      </c>
      <c r="E920" s="1061"/>
      <c r="F920" s="1061"/>
      <c r="G920" s="1052" t="s">
        <v>361</v>
      </c>
      <c r="H920" s="869" t="s">
        <v>362</v>
      </c>
      <c r="I920" s="1058" t="e">
        <f>VLOOKUP(H918,'LƯƠNG KT'!$D$15:$U$94,14,0)</f>
        <v>#N/A</v>
      </c>
      <c r="J920" s="1059" t="e">
        <f>I920*$L$4</f>
        <v>#N/A</v>
      </c>
      <c r="K920" s="1085"/>
      <c r="L920" s="1085"/>
      <c r="M920" s="1085"/>
      <c r="N920" s="1085"/>
      <c r="O920" s="1085"/>
    </row>
    <row r="921" spans="1:15" ht="15" customHeight="1">
      <c r="A921" s="1052" t="s">
        <v>364</v>
      </c>
      <c r="B921" s="869" t="s">
        <v>365</v>
      </c>
      <c r="C921" s="1058" t="e">
        <f>VLOOKUP(B918,'LƯƠNG KT'!$D$15:$U$94,15,0)</f>
        <v>#N/A</v>
      </c>
      <c r="D921" s="1059" t="e">
        <f>C921*$L$5</f>
        <v>#N/A</v>
      </c>
      <c r="E921" s="1061"/>
      <c r="F921" s="1061"/>
      <c r="G921" s="1052" t="s">
        <v>364</v>
      </c>
      <c r="H921" s="869" t="s">
        <v>365</v>
      </c>
      <c r="I921" s="1058" t="e">
        <f>VLOOKUP(H918,'LƯƠNG KT'!$D$15:$U$94,15,0)</f>
        <v>#N/A</v>
      </c>
      <c r="J921" s="1059" t="e">
        <f>I921*$L$5</f>
        <v>#N/A</v>
      </c>
      <c r="K921" s="1085"/>
      <c r="L921" s="1085"/>
      <c r="M921" s="1085"/>
      <c r="N921" s="1085"/>
      <c r="O921" s="1085"/>
    </row>
    <row r="922" spans="1:15" ht="15" customHeight="1">
      <c r="A922" s="1052" t="s">
        <v>367</v>
      </c>
      <c r="B922" s="869"/>
      <c r="C922" s="1058" t="e">
        <f>VLOOKUP(B918,'LƯƠNG KT'!$D$15:$U$94,16,0)</f>
        <v>#N/A</v>
      </c>
      <c r="D922" s="1059" t="e">
        <f>+C922*$L$6</f>
        <v>#N/A</v>
      </c>
      <c r="E922" s="1061"/>
      <c r="F922" s="1061"/>
      <c r="G922" s="1052" t="s">
        <v>367</v>
      </c>
      <c r="H922" s="869"/>
      <c r="I922" s="1058" t="e">
        <f>VLOOKUP(H918,'LƯƠNG KT'!$D$15:$U$94,16,0)</f>
        <v>#N/A</v>
      </c>
      <c r="J922" s="1059" t="e">
        <f>+I922*$L$6</f>
        <v>#N/A</v>
      </c>
      <c r="K922" s="1085"/>
      <c r="L922" s="1085"/>
      <c r="M922" s="1085"/>
      <c r="N922" s="1085"/>
      <c r="O922" s="1085"/>
    </row>
    <row r="923" spans="1:15" ht="15" customHeight="1">
      <c r="A923" s="1052" t="s">
        <v>371</v>
      </c>
      <c r="B923" s="869" t="s">
        <v>372</v>
      </c>
      <c r="C923" s="1058" t="e">
        <f>VLOOKUP(B918,'LƯƠNG KT'!$D$15:$U$94,9,0)*$L$10</f>
        <v>#N/A</v>
      </c>
      <c r="D923" s="1059" t="e">
        <f>+C923*0.5*3000</f>
        <v>#N/A</v>
      </c>
      <c r="E923" s="1061"/>
      <c r="F923" s="1061"/>
      <c r="G923" s="1052" t="s">
        <v>371</v>
      </c>
      <c r="H923" s="869" t="s">
        <v>372</v>
      </c>
      <c r="I923" s="1058" t="e">
        <f>VLOOKUP(H918,'LƯƠNG KT'!$D$15:$U$94,9,0)*$L$10</f>
        <v>#N/A</v>
      </c>
      <c r="J923" s="1059" t="e">
        <f>+I923*0.5*3000</f>
        <v>#N/A</v>
      </c>
      <c r="K923" s="1085"/>
      <c r="L923" s="1085"/>
      <c r="M923" s="1085"/>
      <c r="N923" s="1085"/>
      <c r="O923" s="1085"/>
    </row>
    <row r="924" spans="1:15" ht="15" customHeight="1">
      <c r="A924" s="1052" t="s">
        <v>374</v>
      </c>
      <c r="B924" s="869" t="s">
        <v>375</v>
      </c>
      <c r="C924" s="1058" t="e">
        <f>VLOOKUP(B918,'LƯƠNG KT'!$D$15:$U$94,8,0)*$L$11</f>
        <v>#N/A</v>
      </c>
      <c r="D924" s="1059" t="e">
        <f>VLOOKUP(B918,'LƯƠNG KT'!$D$15:$U$94,13,0)-D923</f>
        <v>#N/A</v>
      </c>
      <c r="E924" s="1063"/>
      <c r="F924" s="1061"/>
      <c r="G924" s="1052" t="s">
        <v>374</v>
      </c>
      <c r="H924" s="869" t="s">
        <v>375</v>
      </c>
      <c r="I924" s="1058" t="e">
        <f>VLOOKUP(H918,'LƯƠNG KT'!$D$15:$U$94,8,0)*$L$11</f>
        <v>#N/A</v>
      </c>
      <c r="J924" s="1059" t="e">
        <f>VLOOKUP(H918,'LƯƠNG KT'!$D$15:$U$94,13,0)-J923</f>
        <v>#N/A</v>
      </c>
      <c r="K924" s="1085"/>
      <c r="L924" s="1085"/>
      <c r="M924" s="1085"/>
      <c r="N924" s="1085"/>
      <c r="O924" s="1085"/>
    </row>
    <row r="925" spans="1:15" ht="15" customHeight="1">
      <c r="A925" s="1059" t="s">
        <v>377</v>
      </c>
      <c r="B925" s="869" t="s">
        <v>378</v>
      </c>
      <c r="C925" s="1058"/>
      <c r="D925" s="1059"/>
      <c r="E925" s="1065"/>
      <c r="F925" s="1065"/>
      <c r="G925" s="1059" t="s">
        <v>377</v>
      </c>
      <c r="H925" s="869" t="s">
        <v>378</v>
      </c>
      <c r="I925" s="1058"/>
      <c r="J925" s="1059"/>
    </row>
    <row r="926" spans="1:15" ht="15" customHeight="1">
      <c r="A926" s="1066" t="s">
        <v>379</v>
      </c>
      <c r="B926" s="869" t="s">
        <v>380</v>
      </c>
      <c r="C926" s="1058"/>
      <c r="D926" s="1059"/>
      <c r="E926" s="1063"/>
      <c r="F926" s="1065"/>
      <c r="G926" s="1066" t="s">
        <v>379</v>
      </c>
      <c r="H926" s="869" t="s">
        <v>380</v>
      </c>
      <c r="I926" s="1058"/>
      <c r="J926" s="1059"/>
    </row>
    <row r="927" spans="1:15" ht="15" customHeight="1">
      <c r="A927" s="1052" t="s">
        <v>381</v>
      </c>
      <c r="B927" s="869" t="s">
        <v>382</v>
      </c>
      <c r="C927" s="1058"/>
      <c r="D927" s="1059">
        <f>D926</f>
        <v>0</v>
      </c>
      <c r="E927" s="1067"/>
      <c r="F927" s="1051"/>
      <c r="G927" s="1052" t="s">
        <v>381</v>
      </c>
      <c r="H927" s="869" t="s">
        <v>382</v>
      </c>
      <c r="I927" s="1058"/>
      <c r="J927" s="1059">
        <f>J926</f>
        <v>0</v>
      </c>
    </row>
    <row r="928" spans="1:15" ht="15" customHeight="1">
      <c r="A928" s="1068" t="s">
        <v>383</v>
      </c>
      <c r="B928" s="1069" t="s">
        <v>384</v>
      </c>
      <c r="C928" s="1070"/>
      <c r="D928" s="1071" t="e">
        <f>SUM(D919:D924)-D927</f>
        <v>#N/A</v>
      </c>
      <c r="E928" s="1072"/>
      <c r="F928" s="1073"/>
      <c r="G928" s="1068" t="s">
        <v>383</v>
      </c>
      <c r="H928" s="1069" t="s">
        <v>384</v>
      </c>
      <c r="I928" s="1070"/>
      <c r="J928" s="1071" t="e">
        <f>SUM(J919:J924)-J927</f>
        <v>#N/A</v>
      </c>
    </row>
    <row r="929" spans="1:15" ht="15.75" customHeight="1">
      <c r="A929" s="1074"/>
      <c r="B929" s="1075"/>
      <c r="C929" s="1076"/>
      <c r="D929" s="1077"/>
      <c r="E929" s="1077"/>
      <c r="F929" s="1078"/>
      <c r="G929" s="1074"/>
      <c r="H929" s="1075"/>
      <c r="I929" s="1076"/>
      <c r="J929" s="1077"/>
    </row>
    <row r="931" spans="1:15" ht="12" customHeight="1">
      <c r="A931" s="2243"/>
      <c r="B931" s="2243"/>
      <c r="C931" s="2243"/>
      <c r="D931" s="2243"/>
      <c r="E931" s="2243"/>
      <c r="F931" s="2243"/>
      <c r="G931" s="2243"/>
      <c r="H931" s="2243"/>
      <c r="I931" s="2243"/>
      <c r="J931" s="2243"/>
    </row>
    <row r="932" spans="1:15" ht="15" customHeight="1">
      <c r="A932" s="2242" t="str">
        <f>$K$2</f>
        <v>THÁNG 09/2024</v>
      </c>
      <c r="B932" s="2242"/>
      <c r="C932" s="2242"/>
      <c r="D932" s="2242"/>
      <c r="E932" s="1050"/>
      <c r="F932" s="1051"/>
      <c r="G932" s="2242" t="str">
        <f>$K$2</f>
        <v>THÁNG 09/2024</v>
      </c>
      <c r="H932" s="2242"/>
      <c r="I932" s="2242"/>
      <c r="J932" s="2242"/>
      <c r="K932" s="624"/>
    </row>
    <row r="933" spans="1:15" ht="15" customHeight="1">
      <c r="A933" s="1052" t="s">
        <v>356</v>
      </c>
      <c r="B933" s="1053" t="s">
        <v>31</v>
      </c>
      <c r="C933" s="869"/>
      <c r="D933" s="1049"/>
      <c r="E933" s="1054"/>
      <c r="F933" s="1055"/>
      <c r="G933" s="1052" t="s">
        <v>356</v>
      </c>
      <c r="H933" s="1053" t="s">
        <v>32</v>
      </c>
      <c r="I933" s="869"/>
      <c r="J933" s="1049"/>
      <c r="L933" s="1088"/>
      <c r="M933" s="1088"/>
      <c r="N933" s="1088"/>
      <c r="O933" s="1088"/>
    </row>
    <row r="934" spans="1:15" ht="15" customHeight="1">
      <c r="A934" s="1052" t="s">
        <v>359</v>
      </c>
      <c r="B934" s="1089" t="s">
        <v>360</v>
      </c>
      <c r="C934" s="1058" t="e">
        <f>VLOOKUP(B933,'LƯƠNG KT'!$D$15:$U$94,3,0)</f>
        <v>#N/A</v>
      </c>
      <c r="D934" s="1059" t="e">
        <f>+C934*25000</f>
        <v>#N/A</v>
      </c>
      <c r="E934" s="1060"/>
      <c r="F934" s="1060"/>
      <c r="G934" s="1052" t="s">
        <v>359</v>
      </c>
      <c r="H934" s="1089" t="s">
        <v>360</v>
      </c>
      <c r="I934" s="1058" t="e">
        <f>VLOOKUP(H933,'LƯƠNG KT'!$D$15:$U$94,3,0)</f>
        <v>#N/A</v>
      </c>
      <c r="J934" s="1059" t="e">
        <f>+I934*25000</f>
        <v>#N/A</v>
      </c>
      <c r="K934" s="1084"/>
      <c r="L934" s="1085"/>
      <c r="M934" s="1085"/>
      <c r="N934" s="1085"/>
      <c r="O934" s="1085"/>
    </row>
    <row r="935" spans="1:15" ht="15" customHeight="1">
      <c r="A935" s="1052" t="s">
        <v>361</v>
      </c>
      <c r="B935" s="869" t="s">
        <v>362</v>
      </c>
      <c r="C935" s="1058" t="e">
        <f>VLOOKUP(B933,'LƯƠNG KT'!$D$15:$U$94,14,0)</f>
        <v>#N/A</v>
      </c>
      <c r="D935" s="1059" t="e">
        <f>C935*$L$4</f>
        <v>#N/A</v>
      </c>
      <c r="E935" s="1061"/>
      <c r="F935" s="1061"/>
      <c r="G935" s="1052" t="s">
        <v>361</v>
      </c>
      <c r="H935" s="869" t="s">
        <v>362</v>
      </c>
      <c r="I935" s="1058" t="e">
        <f>VLOOKUP(H933,'LƯƠNG KT'!$D$15:$U$94,14,0)</f>
        <v>#N/A</v>
      </c>
      <c r="J935" s="1059" t="e">
        <f>I935*$L$4</f>
        <v>#N/A</v>
      </c>
      <c r="K935" s="1084"/>
      <c r="L935" s="1085"/>
      <c r="M935" s="1085"/>
      <c r="N935" s="1085"/>
      <c r="O935" s="1085"/>
    </row>
    <row r="936" spans="1:15" ht="15" customHeight="1">
      <c r="A936" s="1052" t="s">
        <v>364</v>
      </c>
      <c r="B936" s="869" t="s">
        <v>365</v>
      </c>
      <c r="C936" s="1058" t="e">
        <f>VLOOKUP(B933,'LƯƠNG KT'!$D$15:$U$94,15,0)</f>
        <v>#N/A</v>
      </c>
      <c r="D936" s="1059" t="e">
        <f>C936*$L$5</f>
        <v>#N/A</v>
      </c>
      <c r="E936" s="1061"/>
      <c r="F936" s="1061"/>
      <c r="G936" s="1052" t="s">
        <v>364</v>
      </c>
      <c r="H936" s="869" t="s">
        <v>365</v>
      </c>
      <c r="I936" s="1058" t="e">
        <f>VLOOKUP(H933,'LƯƠNG KT'!$D$15:$U$94,15,0)</f>
        <v>#N/A</v>
      </c>
      <c r="J936" s="1059" t="e">
        <f>I936*$L$5</f>
        <v>#N/A</v>
      </c>
      <c r="K936" s="1084"/>
      <c r="L936" s="1085"/>
      <c r="M936" s="1085"/>
      <c r="N936" s="1085"/>
      <c r="O936" s="1085"/>
    </row>
    <row r="937" spans="1:15" ht="15" customHeight="1">
      <c r="A937" s="1052" t="s">
        <v>367</v>
      </c>
      <c r="B937" s="869"/>
      <c r="C937" s="1058" t="e">
        <f>VLOOKUP(B933,'LƯƠNG KT'!$D$15:$U$94,16,0)</f>
        <v>#N/A</v>
      </c>
      <c r="D937" s="1059" t="e">
        <f>+C937*$L$6</f>
        <v>#N/A</v>
      </c>
      <c r="E937" s="1061"/>
      <c r="F937" s="1061"/>
      <c r="G937" s="1052" t="s">
        <v>367</v>
      </c>
      <c r="H937" s="869"/>
      <c r="I937" s="1058" t="e">
        <f>VLOOKUP(H933,'LƯƠNG KT'!$D$15:$U$94,16,0)</f>
        <v>#N/A</v>
      </c>
      <c r="J937" s="1059" t="e">
        <f>+I937*$L$6</f>
        <v>#N/A</v>
      </c>
      <c r="K937" s="1085"/>
      <c r="L937" s="1085"/>
      <c r="M937" s="1085"/>
      <c r="N937" s="1085"/>
      <c r="O937" s="1085"/>
    </row>
    <row r="938" spans="1:15" ht="15" customHeight="1">
      <c r="A938" s="1052" t="s">
        <v>371</v>
      </c>
      <c r="B938" s="869" t="s">
        <v>372</v>
      </c>
      <c r="C938" s="1058" t="e">
        <f>VLOOKUP(B933,'LƯƠNG KT'!$D$15:$U$94,9,0)*$L$10</f>
        <v>#N/A</v>
      </c>
      <c r="D938" s="1059" t="e">
        <f>+C938*0.5*3000</f>
        <v>#N/A</v>
      </c>
      <c r="E938" s="1061"/>
      <c r="F938" s="1061"/>
      <c r="G938" s="1052" t="s">
        <v>371</v>
      </c>
      <c r="H938" s="869" t="s">
        <v>372</v>
      </c>
      <c r="I938" s="1058" t="e">
        <f>VLOOKUP(H933,'LƯƠNG KT'!$D$15:$U$94,9,0)*$L$10</f>
        <v>#N/A</v>
      </c>
      <c r="J938" s="1059" t="e">
        <f>+I938*0.5*3000</f>
        <v>#N/A</v>
      </c>
      <c r="K938" s="1085"/>
      <c r="L938" s="1085"/>
      <c r="M938" s="1085"/>
      <c r="N938" s="1085"/>
      <c r="O938" s="1085"/>
    </row>
    <row r="939" spans="1:15" ht="15" customHeight="1">
      <c r="A939" s="1052" t="s">
        <v>374</v>
      </c>
      <c r="B939" s="869" t="s">
        <v>375</v>
      </c>
      <c r="C939" s="1058" t="e">
        <f>VLOOKUP(B933,'LƯƠNG KT'!$D$15:$U$94,8,0)*$L$11</f>
        <v>#N/A</v>
      </c>
      <c r="D939" s="1059" t="e">
        <f>VLOOKUP(B933,'LƯƠNG KT'!$D$15:$U$94,13,0)-D938</f>
        <v>#N/A</v>
      </c>
      <c r="E939" s="1063"/>
      <c r="F939" s="1061"/>
      <c r="G939" s="1052" t="s">
        <v>374</v>
      </c>
      <c r="H939" s="869" t="s">
        <v>375</v>
      </c>
      <c r="I939" s="1058" t="e">
        <f>VLOOKUP(H933,'LƯƠNG KT'!$D$15:$U$94,8,0)*$L$11</f>
        <v>#N/A</v>
      </c>
      <c r="J939" s="1059" t="e">
        <f>VLOOKUP(H933,'LƯƠNG KT'!$D$15:$U$94,13,0)-J938</f>
        <v>#N/A</v>
      </c>
      <c r="K939" s="1085"/>
      <c r="L939" s="1085"/>
      <c r="M939" s="1085"/>
      <c r="N939" s="1085"/>
      <c r="O939" s="1085"/>
    </row>
    <row r="940" spans="1:15" ht="15" customHeight="1">
      <c r="A940" s="1059" t="s">
        <v>377</v>
      </c>
      <c r="B940" s="869" t="s">
        <v>378</v>
      </c>
      <c r="C940" s="1058"/>
      <c r="D940" s="1059"/>
      <c r="E940" s="1065"/>
      <c r="F940" s="1065"/>
      <c r="G940" s="1059" t="s">
        <v>377</v>
      </c>
      <c r="H940" s="869" t="s">
        <v>378</v>
      </c>
      <c r="I940" s="1058"/>
      <c r="J940" s="1059"/>
    </row>
    <row r="941" spans="1:15" ht="15" customHeight="1">
      <c r="A941" s="1066" t="s">
        <v>379</v>
      </c>
      <c r="B941" s="869" t="s">
        <v>380</v>
      </c>
      <c r="C941" s="1058"/>
      <c r="D941" s="1059"/>
      <c r="E941" s="1063"/>
      <c r="F941" s="1065"/>
      <c r="G941" s="1066" t="s">
        <v>379</v>
      </c>
      <c r="H941" s="869" t="s">
        <v>380</v>
      </c>
      <c r="I941" s="1058"/>
      <c r="J941" s="1059"/>
    </row>
    <row r="942" spans="1:15" ht="15" customHeight="1">
      <c r="A942" s="1052" t="s">
        <v>381</v>
      </c>
      <c r="B942" s="869" t="s">
        <v>382</v>
      </c>
      <c r="C942" s="1058"/>
      <c r="D942" s="1059">
        <f>D941</f>
        <v>0</v>
      </c>
      <c r="E942" s="1067"/>
      <c r="F942" s="1051"/>
      <c r="G942" s="1052" t="s">
        <v>381</v>
      </c>
      <c r="H942" s="869" t="s">
        <v>382</v>
      </c>
      <c r="I942" s="1058"/>
      <c r="J942" s="1059">
        <f>J941</f>
        <v>0</v>
      </c>
    </row>
    <row r="943" spans="1:15" ht="15" customHeight="1">
      <c r="A943" s="1068" t="s">
        <v>383</v>
      </c>
      <c r="B943" s="1069" t="s">
        <v>384</v>
      </c>
      <c r="C943" s="1070"/>
      <c r="D943" s="1071" t="e">
        <f>SUM(D934:D939)-D942</f>
        <v>#N/A</v>
      </c>
      <c r="E943" s="1072"/>
      <c r="F943" s="1073"/>
      <c r="G943" s="1068" t="s">
        <v>383</v>
      </c>
      <c r="H943" s="1069" t="s">
        <v>384</v>
      </c>
      <c r="I943" s="1070"/>
      <c r="J943" s="1071" t="e">
        <f>SUM(J934:J939)-J942</f>
        <v>#N/A</v>
      </c>
    </row>
    <row r="944" spans="1:15" ht="12.6" customHeight="1">
      <c r="A944" s="1074"/>
      <c r="B944" s="1075"/>
      <c r="C944" s="1076"/>
      <c r="D944" s="1077"/>
      <c r="E944" s="1077"/>
      <c r="F944" s="1078"/>
      <c r="G944" s="1074"/>
      <c r="H944" s="1075"/>
      <c r="I944" s="1076"/>
      <c r="J944" s="1077"/>
    </row>
    <row r="945" spans="1:15" ht="12.6" customHeight="1">
      <c r="A945" s="1075"/>
      <c r="B945" s="1075"/>
      <c r="C945" s="1079"/>
      <c r="D945" s="1080"/>
      <c r="E945" s="1075"/>
      <c r="F945" s="1081"/>
      <c r="G945" s="1075"/>
      <c r="H945" s="1075"/>
      <c r="I945" s="1079"/>
      <c r="J945" s="1080"/>
    </row>
    <row r="946" spans="1:15" ht="15" customHeight="1">
      <c r="A946" s="2242" t="str">
        <f>$K$2</f>
        <v>THÁNG 09/2024</v>
      </c>
      <c r="B946" s="2242"/>
      <c r="C946" s="2242"/>
      <c r="D946" s="2242"/>
      <c r="E946" s="1050"/>
      <c r="F946" s="1051"/>
      <c r="G946" s="2242" t="str">
        <f>$K$2</f>
        <v>THÁNG 09/2024</v>
      </c>
      <c r="H946" s="2242"/>
      <c r="I946" s="2242"/>
      <c r="J946" s="2242"/>
      <c r="K946" s="624"/>
    </row>
    <row r="947" spans="1:15" ht="15" customHeight="1">
      <c r="A947" s="1052" t="s">
        <v>356</v>
      </c>
      <c r="B947" s="1053" t="s">
        <v>33</v>
      </c>
      <c r="C947" s="869"/>
      <c r="D947" s="1049"/>
      <c r="E947" s="1054"/>
      <c r="F947" s="1055"/>
      <c r="G947" s="1052" t="s">
        <v>356</v>
      </c>
      <c r="H947" s="1053" t="s">
        <v>34</v>
      </c>
      <c r="I947" s="869"/>
      <c r="J947" s="1049"/>
      <c r="L947" s="1088"/>
      <c r="M947" s="1088"/>
      <c r="N947" s="1088"/>
      <c r="O947" s="1088"/>
    </row>
    <row r="948" spans="1:15" ht="15" customHeight="1">
      <c r="A948" s="1052" t="s">
        <v>359</v>
      </c>
      <c r="B948" s="1089" t="s">
        <v>360</v>
      </c>
      <c r="C948" s="1058" t="e">
        <f>VLOOKUP(B947,'LƯƠNG KT'!$D$15:$U$94,3,0)</f>
        <v>#N/A</v>
      </c>
      <c r="D948" s="1059" t="e">
        <f>+C948*25000</f>
        <v>#N/A</v>
      </c>
      <c r="E948" s="1060"/>
      <c r="F948" s="1060"/>
      <c r="G948" s="1052" t="s">
        <v>359</v>
      </c>
      <c r="H948" s="1089" t="s">
        <v>360</v>
      </c>
      <c r="I948" s="1058" t="e">
        <f>VLOOKUP(H947,'LƯƠNG KT'!$D$15:$U$94,3,0)</f>
        <v>#N/A</v>
      </c>
      <c r="J948" s="1059" t="e">
        <f>+I948*25000</f>
        <v>#N/A</v>
      </c>
      <c r="K948" s="1085"/>
      <c r="L948" s="1085"/>
      <c r="M948" s="1085"/>
      <c r="N948" s="1085"/>
      <c r="O948" s="1085"/>
    </row>
    <row r="949" spans="1:15" ht="15" customHeight="1">
      <c r="A949" s="1052" t="s">
        <v>361</v>
      </c>
      <c r="B949" s="869" t="s">
        <v>362</v>
      </c>
      <c r="C949" s="1058" t="e">
        <f>VLOOKUP(B947,'LƯƠNG KT'!$D$15:$U$94,14,0)</f>
        <v>#N/A</v>
      </c>
      <c r="D949" s="1059" t="e">
        <f>C949*$L$4</f>
        <v>#N/A</v>
      </c>
      <c r="E949" s="1061"/>
      <c r="F949" s="1061"/>
      <c r="G949" s="1052" t="s">
        <v>361</v>
      </c>
      <c r="H949" s="869" t="s">
        <v>362</v>
      </c>
      <c r="I949" s="1058" t="e">
        <f>VLOOKUP(H947,'LƯƠNG KT'!$D$15:$U$94,14,0)</f>
        <v>#N/A</v>
      </c>
      <c r="J949" s="1059" t="e">
        <f>I949*$L$4</f>
        <v>#N/A</v>
      </c>
      <c r="K949" s="1085"/>
      <c r="L949" s="1085"/>
      <c r="M949" s="1085"/>
      <c r="N949" s="1085"/>
      <c r="O949" s="1085"/>
    </row>
    <row r="950" spans="1:15" ht="15" customHeight="1">
      <c r="A950" s="1052" t="s">
        <v>364</v>
      </c>
      <c r="B950" s="869" t="s">
        <v>365</v>
      </c>
      <c r="C950" s="1058" t="e">
        <f>VLOOKUP(B947,'LƯƠNG KT'!$D$15:$U$94,15,0)</f>
        <v>#N/A</v>
      </c>
      <c r="D950" s="1059" t="e">
        <f>C950*$L$5</f>
        <v>#N/A</v>
      </c>
      <c r="E950" s="1061"/>
      <c r="F950" s="1061"/>
      <c r="G950" s="1052" t="s">
        <v>364</v>
      </c>
      <c r="H950" s="869" t="s">
        <v>365</v>
      </c>
      <c r="I950" s="1058" t="e">
        <f>VLOOKUP(H947,'LƯƠNG KT'!$D$15:$U$94,15,0)</f>
        <v>#N/A</v>
      </c>
      <c r="J950" s="1059" t="e">
        <f>I950*$L$5</f>
        <v>#N/A</v>
      </c>
      <c r="K950" s="1085"/>
      <c r="L950" s="1085"/>
      <c r="M950" s="1085"/>
      <c r="N950" s="1085"/>
      <c r="O950" s="1085"/>
    </row>
    <row r="951" spans="1:15" ht="15" customHeight="1">
      <c r="A951" s="1052" t="s">
        <v>367</v>
      </c>
      <c r="B951" s="869"/>
      <c r="C951" s="1058" t="e">
        <f>VLOOKUP(B947,'LƯƠNG KT'!$D$15:$U$94,16,0)</f>
        <v>#N/A</v>
      </c>
      <c r="D951" s="1059" t="e">
        <f>+C951*$L$6</f>
        <v>#N/A</v>
      </c>
      <c r="E951" s="1061"/>
      <c r="F951" s="1061"/>
      <c r="G951" s="1052" t="s">
        <v>367</v>
      </c>
      <c r="H951" s="869"/>
      <c r="I951" s="1058" t="e">
        <f>VLOOKUP(H947,'LƯƠNG KT'!$D$15:$U$94,16,0)</f>
        <v>#N/A</v>
      </c>
      <c r="J951" s="1059" t="e">
        <f>+I951*$L$6</f>
        <v>#N/A</v>
      </c>
      <c r="K951" s="1085"/>
      <c r="L951" s="1085"/>
      <c r="M951" s="1085"/>
      <c r="N951" s="1085"/>
      <c r="O951" s="1085"/>
    </row>
    <row r="952" spans="1:15" ht="15" customHeight="1">
      <c r="A952" s="1052" t="s">
        <v>371</v>
      </c>
      <c r="B952" s="869" t="s">
        <v>372</v>
      </c>
      <c r="C952" s="1058" t="e">
        <f>VLOOKUP(B947,'LƯƠNG KT'!$D$15:$U$94,9,0)*$L$10</f>
        <v>#N/A</v>
      </c>
      <c r="D952" s="1059" t="e">
        <f>+C952*0.5*3000</f>
        <v>#N/A</v>
      </c>
      <c r="E952" s="1061"/>
      <c r="F952" s="1061"/>
      <c r="G952" s="1052" t="s">
        <v>371</v>
      </c>
      <c r="H952" s="869" t="s">
        <v>372</v>
      </c>
      <c r="I952" s="1058" t="e">
        <f>VLOOKUP(H947,'LƯƠNG KT'!$D$15:$U$94,9,0)*$L$10</f>
        <v>#N/A</v>
      </c>
      <c r="J952" s="1059" t="e">
        <f>+I952*0.5*3000</f>
        <v>#N/A</v>
      </c>
      <c r="K952" s="1085"/>
      <c r="L952" s="1085"/>
      <c r="M952" s="1085"/>
      <c r="N952" s="1085"/>
      <c r="O952" s="1085"/>
    </row>
    <row r="953" spans="1:15" ht="15" customHeight="1">
      <c r="A953" s="1052" t="s">
        <v>374</v>
      </c>
      <c r="B953" s="869" t="s">
        <v>375</v>
      </c>
      <c r="C953" s="1058" t="e">
        <f>VLOOKUP(B947,'LƯƠNG KT'!$D$15:$U$94,8,0)*$L$11</f>
        <v>#N/A</v>
      </c>
      <c r="D953" s="1059" t="e">
        <f>VLOOKUP(B947,'LƯƠNG KT'!$D$15:$U$94,13,0)-D952</f>
        <v>#N/A</v>
      </c>
      <c r="E953" s="1063"/>
      <c r="F953" s="1061"/>
      <c r="G953" s="1052" t="s">
        <v>374</v>
      </c>
      <c r="H953" s="869" t="s">
        <v>375</v>
      </c>
      <c r="I953" s="1058" t="e">
        <f>VLOOKUP(H947,'LƯƠNG KT'!$D$15:$U$94,8,0)*$L$11</f>
        <v>#N/A</v>
      </c>
      <c r="J953" s="1059" t="e">
        <f>VLOOKUP(H947,'LƯƠNG KT'!$D$15:$U$94,13,0)-J952</f>
        <v>#N/A</v>
      </c>
      <c r="K953" s="1085"/>
      <c r="L953" s="1085"/>
      <c r="M953" s="1085"/>
      <c r="N953" s="1085"/>
      <c r="O953" s="1085"/>
    </row>
    <row r="954" spans="1:15" ht="15" customHeight="1">
      <c r="A954" s="1059" t="s">
        <v>377</v>
      </c>
      <c r="B954" s="869" t="s">
        <v>378</v>
      </c>
      <c r="C954" s="1058"/>
      <c r="D954" s="1059"/>
      <c r="E954" s="1065"/>
      <c r="F954" s="1065"/>
      <c r="G954" s="1059" t="s">
        <v>377</v>
      </c>
      <c r="H954" s="869" t="s">
        <v>378</v>
      </c>
      <c r="I954" s="1058"/>
      <c r="J954" s="1059"/>
    </row>
    <row r="955" spans="1:15" ht="15" customHeight="1">
      <c r="A955" s="1066" t="s">
        <v>379</v>
      </c>
      <c r="B955" s="869" t="s">
        <v>380</v>
      </c>
      <c r="C955" s="1058"/>
      <c r="D955" s="1059"/>
      <c r="E955" s="1063"/>
      <c r="F955" s="1065"/>
      <c r="G955" s="1066" t="s">
        <v>379</v>
      </c>
      <c r="H955" s="869" t="s">
        <v>380</v>
      </c>
      <c r="I955" s="1058"/>
      <c r="J955" s="1059"/>
    </row>
    <row r="956" spans="1:15" ht="15" customHeight="1">
      <c r="A956" s="1052" t="s">
        <v>381</v>
      </c>
      <c r="B956" s="869" t="s">
        <v>382</v>
      </c>
      <c r="C956" s="1058"/>
      <c r="D956" s="1059">
        <f>D955</f>
        <v>0</v>
      </c>
      <c r="E956" s="1067"/>
      <c r="F956" s="1051"/>
      <c r="G956" s="1052" t="s">
        <v>381</v>
      </c>
      <c r="H956" s="869" t="s">
        <v>382</v>
      </c>
      <c r="I956" s="1058"/>
      <c r="J956" s="1059">
        <f>J955</f>
        <v>0</v>
      </c>
    </row>
    <row r="957" spans="1:15" ht="15" customHeight="1">
      <c r="A957" s="1068" t="s">
        <v>383</v>
      </c>
      <c r="B957" s="1069" t="s">
        <v>384</v>
      </c>
      <c r="C957" s="1070"/>
      <c r="D957" s="1071" t="e">
        <f>SUM(D948:D953)-D956</f>
        <v>#N/A</v>
      </c>
      <c r="E957" s="1072"/>
      <c r="F957" s="1073"/>
      <c r="G957" s="1068" t="s">
        <v>383</v>
      </c>
      <c r="H957" s="1069" t="s">
        <v>384</v>
      </c>
      <c r="I957" s="1070"/>
      <c r="J957" s="1071" t="e">
        <f>SUM(J948:J953)-J956</f>
        <v>#N/A</v>
      </c>
    </row>
    <row r="958" spans="1:15" ht="18.75" customHeight="1">
      <c r="A958" s="1074"/>
      <c r="B958" s="1075"/>
      <c r="C958" s="1076"/>
      <c r="D958" s="1077"/>
      <c r="E958" s="1077"/>
      <c r="F958" s="1078"/>
      <c r="G958" s="1074"/>
      <c r="H958" s="1075"/>
      <c r="I958" s="1076"/>
      <c r="J958" s="1077"/>
    </row>
    <row r="959" spans="1:15" ht="18.75" customHeight="1">
      <c r="A959" s="1075"/>
      <c r="B959" s="1075"/>
      <c r="C959" s="1079"/>
      <c r="D959" s="1080"/>
      <c r="E959" s="1075"/>
      <c r="F959" s="1081"/>
      <c r="G959" s="1075"/>
      <c r="H959" s="1075"/>
      <c r="I959" s="1079"/>
      <c r="J959" s="1080"/>
    </row>
    <row r="960" spans="1:15" ht="15" customHeight="1">
      <c r="A960" s="2242" t="str">
        <f>$K$2</f>
        <v>THÁNG 09/2024</v>
      </c>
      <c r="B960" s="2242"/>
      <c r="C960" s="2242"/>
      <c r="D960" s="2242"/>
      <c r="E960" s="1050"/>
      <c r="F960" s="1051"/>
      <c r="G960" s="2242" t="str">
        <f>$K$2</f>
        <v>THÁNG 09/2024</v>
      </c>
      <c r="H960" s="2242"/>
      <c r="I960" s="2242"/>
      <c r="J960" s="2242"/>
      <c r="K960" s="624"/>
    </row>
    <row r="961" spans="1:15" ht="15" customHeight="1">
      <c r="A961" s="1052" t="s">
        <v>356</v>
      </c>
      <c r="B961" s="1053" t="s">
        <v>35</v>
      </c>
      <c r="C961" s="869"/>
      <c r="D961" s="1049"/>
      <c r="E961" s="1054"/>
      <c r="F961" s="1055"/>
      <c r="G961" s="1052" t="s">
        <v>356</v>
      </c>
      <c r="H961" s="1053" t="s">
        <v>36</v>
      </c>
      <c r="I961" s="869"/>
      <c r="J961" s="1049"/>
      <c r="L961" s="1088"/>
      <c r="M961" s="1088"/>
      <c r="N961" s="1088"/>
      <c r="O961" s="1088"/>
    </row>
    <row r="962" spans="1:15" ht="15" customHeight="1">
      <c r="A962" s="1052" t="s">
        <v>359</v>
      </c>
      <c r="B962" s="1089" t="s">
        <v>360</v>
      </c>
      <c r="C962" s="1058" t="e">
        <f>VLOOKUP(B961,'LƯƠNG KT'!$D$15:$U$94,3,0)</f>
        <v>#N/A</v>
      </c>
      <c r="D962" s="1059" t="e">
        <f>+C962*25000</f>
        <v>#N/A</v>
      </c>
      <c r="E962" s="1060"/>
      <c r="F962" s="1060"/>
      <c r="G962" s="1052" t="s">
        <v>359</v>
      </c>
      <c r="H962" s="1089" t="s">
        <v>360</v>
      </c>
      <c r="I962" s="1058" t="e">
        <f>VLOOKUP(H961,'LƯƠNG KT'!$D$15:$U$94,3,0)</f>
        <v>#N/A</v>
      </c>
      <c r="J962" s="1059" t="e">
        <f>+I962*25000</f>
        <v>#N/A</v>
      </c>
      <c r="K962" s="1085"/>
      <c r="L962" s="1085"/>
      <c r="M962" s="1085"/>
      <c r="N962" s="1085"/>
      <c r="O962" s="1085"/>
    </row>
    <row r="963" spans="1:15" ht="15" customHeight="1">
      <c r="A963" s="1052" t="s">
        <v>361</v>
      </c>
      <c r="B963" s="869" t="s">
        <v>362</v>
      </c>
      <c r="C963" s="1058" t="e">
        <f>VLOOKUP(B961,'LƯƠNG KT'!$D$15:$U$94,14,0)</f>
        <v>#N/A</v>
      </c>
      <c r="D963" s="1059" t="e">
        <f>C963*$L$4</f>
        <v>#N/A</v>
      </c>
      <c r="E963" s="1061"/>
      <c r="F963" s="1061"/>
      <c r="G963" s="1052" t="s">
        <v>361</v>
      </c>
      <c r="H963" s="869" t="s">
        <v>362</v>
      </c>
      <c r="I963" s="1058" t="e">
        <f>VLOOKUP(H961,'LƯƠNG KT'!$D$15:$U$94,14,0)</f>
        <v>#N/A</v>
      </c>
      <c r="J963" s="1059" t="e">
        <f>I963*$L$4</f>
        <v>#N/A</v>
      </c>
      <c r="K963" s="1085"/>
      <c r="L963" s="1085"/>
      <c r="M963" s="1085"/>
      <c r="N963" s="1085"/>
      <c r="O963" s="1085"/>
    </row>
    <row r="964" spans="1:15" ht="15" customHeight="1">
      <c r="A964" s="1052" t="s">
        <v>364</v>
      </c>
      <c r="B964" s="869" t="s">
        <v>365</v>
      </c>
      <c r="C964" s="1058" t="e">
        <f>VLOOKUP(B961,'LƯƠNG KT'!$D$15:$U$94,15,0)</f>
        <v>#N/A</v>
      </c>
      <c r="D964" s="1059" t="e">
        <f>C964*$L$5</f>
        <v>#N/A</v>
      </c>
      <c r="E964" s="1061"/>
      <c r="F964" s="1061"/>
      <c r="G964" s="1052" t="s">
        <v>364</v>
      </c>
      <c r="H964" s="869" t="s">
        <v>365</v>
      </c>
      <c r="I964" s="1058" t="e">
        <f>VLOOKUP(H961,'LƯƠNG KT'!$D$15:$U$94,15,0)</f>
        <v>#N/A</v>
      </c>
      <c r="J964" s="1059" t="e">
        <f>I964*$L$5</f>
        <v>#N/A</v>
      </c>
      <c r="K964" s="1085"/>
      <c r="L964" s="1085"/>
      <c r="M964" s="1085"/>
      <c r="N964" s="1085"/>
      <c r="O964" s="1085"/>
    </row>
    <row r="965" spans="1:15" ht="15" customHeight="1">
      <c r="A965" s="1052" t="s">
        <v>367</v>
      </c>
      <c r="B965" s="869"/>
      <c r="C965" s="1058" t="e">
        <f>VLOOKUP(B961,'LƯƠNG KT'!$D$15:$U$94,16,0)</f>
        <v>#N/A</v>
      </c>
      <c r="D965" s="1059" t="e">
        <f>+C965*$L$6</f>
        <v>#N/A</v>
      </c>
      <c r="E965" s="1061"/>
      <c r="F965" s="1061"/>
      <c r="G965" s="1052" t="s">
        <v>367</v>
      </c>
      <c r="H965" s="869"/>
      <c r="I965" s="1058" t="e">
        <f>VLOOKUP(H961,'LƯƠNG KT'!$D$15:$U$94,16,0)</f>
        <v>#N/A</v>
      </c>
      <c r="J965" s="1059" t="e">
        <f>+I965*$L$6</f>
        <v>#N/A</v>
      </c>
      <c r="K965" s="1085"/>
      <c r="L965" s="1085"/>
      <c r="M965" s="1085"/>
      <c r="N965" s="1085"/>
      <c r="O965" s="1085"/>
    </row>
    <row r="966" spans="1:15" ht="15" customHeight="1">
      <c r="A966" s="1052" t="s">
        <v>371</v>
      </c>
      <c r="B966" s="869" t="s">
        <v>372</v>
      </c>
      <c r="C966" s="1058" t="e">
        <f>VLOOKUP(B961,'LƯƠNG KT'!$D$15:$U$94,9,0)*$L$10</f>
        <v>#N/A</v>
      </c>
      <c r="D966" s="1059" t="e">
        <f>+C966*0.5*3000</f>
        <v>#N/A</v>
      </c>
      <c r="E966" s="1061"/>
      <c r="F966" s="1061"/>
      <c r="G966" s="1052" t="s">
        <v>371</v>
      </c>
      <c r="H966" s="869" t="s">
        <v>372</v>
      </c>
      <c r="I966" s="1058" t="e">
        <f>VLOOKUP(H961,'LƯƠNG KT'!$D$15:$U$94,9,0)*$L$10</f>
        <v>#N/A</v>
      </c>
      <c r="J966" s="1059" t="e">
        <f>+I966*0.5*3000</f>
        <v>#N/A</v>
      </c>
      <c r="K966" s="1085"/>
      <c r="L966" s="1085"/>
      <c r="M966" s="1085"/>
      <c r="N966" s="1085"/>
      <c r="O966" s="1085"/>
    </row>
    <row r="967" spans="1:15" ht="15" customHeight="1">
      <c r="A967" s="1052" t="s">
        <v>374</v>
      </c>
      <c r="B967" s="869" t="s">
        <v>375</v>
      </c>
      <c r="C967" s="1058" t="e">
        <f>VLOOKUP(B961,'LƯƠNG KT'!$D$15:$U$94,8,0)*$L$11</f>
        <v>#N/A</v>
      </c>
      <c r="D967" s="1059" t="e">
        <f>VLOOKUP(B961,'LƯƠNG KT'!$D$15:$U$94,13,0)-D966</f>
        <v>#N/A</v>
      </c>
      <c r="E967" s="1063"/>
      <c r="F967" s="1061"/>
      <c r="G967" s="1052" t="s">
        <v>374</v>
      </c>
      <c r="H967" s="869" t="s">
        <v>375</v>
      </c>
      <c r="I967" s="1058" t="e">
        <f>VLOOKUP(H961,'LƯƠNG KT'!$D$15:$U$94,8,0)*$L$11</f>
        <v>#N/A</v>
      </c>
      <c r="J967" s="1059" t="e">
        <f>VLOOKUP(H961,'LƯƠNG KT'!$D$15:$U$94,13,0)-J966</f>
        <v>#N/A</v>
      </c>
      <c r="K967" s="1085"/>
      <c r="L967" s="1085"/>
      <c r="M967" s="1085"/>
      <c r="N967" s="1085"/>
      <c r="O967" s="1085"/>
    </row>
    <row r="968" spans="1:15" ht="15" customHeight="1">
      <c r="A968" s="1059" t="s">
        <v>377</v>
      </c>
      <c r="B968" s="869" t="s">
        <v>378</v>
      </c>
      <c r="C968" s="1058"/>
      <c r="D968" s="1059"/>
      <c r="E968" s="1065"/>
      <c r="F968" s="1065"/>
      <c r="G968" s="1059" t="s">
        <v>377</v>
      </c>
      <c r="H968" s="869" t="s">
        <v>378</v>
      </c>
      <c r="I968" s="1058"/>
      <c r="J968" s="1059"/>
    </row>
    <row r="969" spans="1:15" ht="15" customHeight="1">
      <c r="A969" s="1066" t="s">
        <v>379</v>
      </c>
      <c r="B969" s="869" t="s">
        <v>380</v>
      </c>
      <c r="C969" s="1058"/>
      <c r="D969" s="1059"/>
      <c r="E969" s="1063"/>
      <c r="F969" s="1065"/>
      <c r="G969" s="1066" t="s">
        <v>379</v>
      </c>
      <c r="H969" s="869" t="s">
        <v>380</v>
      </c>
      <c r="I969" s="1058"/>
      <c r="J969" s="1059"/>
    </row>
    <row r="970" spans="1:15" ht="15" customHeight="1">
      <c r="A970" s="1052" t="s">
        <v>381</v>
      </c>
      <c r="B970" s="869" t="s">
        <v>382</v>
      </c>
      <c r="C970" s="1058"/>
      <c r="D970" s="1059">
        <f>D969</f>
        <v>0</v>
      </c>
      <c r="E970" s="1067"/>
      <c r="F970" s="1051"/>
      <c r="G970" s="1052" t="s">
        <v>381</v>
      </c>
      <c r="H970" s="869" t="s">
        <v>382</v>
      </c>
      <c r="I970" s="1058"/>
      <c r="J970" s="1059">
        <f>J969</f>
        <v>0</v>
      </c>
    </row>
    <row r="971" spans="1:15" ht="15" customHeight="1">
      <c r="A971" s="1068" t="s">
        <v>383</v>
      </c>
      <c r="B971" s="1069" t="s">
        <v>384</v>
      </c>
      <c r="C971" s="1070"/>
      <c r="D971" s="1071" t="e">
        <f>SUM(D962:D967)-D970</f>
        <v>#N/A</v>
      </c>
      <c r="E971" s="1072"/>
      <c r="F971" s="1073"/>
      <c r="G971" s="1068" t="s">
        <v>383</v>
      </c>
      <c r="H971" s="1069" t="s">
        <v>384</v>
      </c>
      <c r="I971" s="1070"/>
      <c r="J971" s="1071" t="e">
        <f>SUM(J962:J967)-J970</f>
        <v>#N/A</v>
      </c>
    </row>
    <row r="972" spans="1:15" ht="18.75" customHeight="1">
      <c r="A972" s="1074"/>
      <c r="B972" s="1075"/>
      <c r="C972" s="1076"/>
      <c r="D972" s="1077"/>
      <c r="E972" s="1077"/>
      <c r="F972" s="1078"/>
      <c r="G972" s="1074"/>
      <c r="H972" s="1075"/>
      <c r="I972" s="1076"/>
      <c r="J972" s="1077"/>
    </row>
    <row r="973" spans="1:15" ht="18.75" customHeight="1">
      <c r="A973" s="1075"/>
      <c r="B973" s="1075"/>
      <c r="C973" s="1079"/>
      <c r="D973" s="1080"/>
      <c r="E973" s="1075"/>
      <c r="F973" s="1081"/>
      <c r="G973" s="1075"/>
      <c r="H973" s="1075"/>
      <c r="I973" s="1079"/>
      <c r="J973" s="1080"/>
    </row>
    <row r="974" spans="1:15" ht="15" customHeight="1">
      <c r="A974" s="2242" t="str">
        <f>$K$2</f>
        <v>THÁNG 09/2024</v>
      </c>
      <c r="B974" s="2242"/>
      <c r="C974" s="2242"/>
      <c r="D974" s="2242"/>
      <c r="E974" s="1050"/>
      <c r="F974" s="1051"/>
      <c r="G974" s="2242" t="str">
        <f>$K$2</f>
        <v>THÁNG 09/2024</v>
      </c>
      <c r="H974" s="2242"/>
      <c r="I974" s="2242"/>
      <c r="J974" s="2242"/>
      <c r="K974" s="624"/>
    </row>
    <row r="975" spans="1:15" ht="15" customHeight="1">
      <c r="A975" s="1052" t="s">
        <v>356</v>
      </c>
      <c r="B975" s="1053" t="s">
        <v>37</v>
      </c>
      <c r="C975" s="869"/>
      <c r="D975" s="1049"/>
      <c r="E975" s="1054"/>
      <c r="F975" s="1055"/>
      <c r="G975" s="1052" t="s">
        <v>356</v>
      </c>
      <c r="H975" s="1053" t="s">
        <v>38</v>
      </c>
      <c r="I975" s="869"/>
      <c r="J975" s="1049"/>
      <c r="L975" s="1088"/>
      <c r="M975" s="1088"/>
      <c r="N975" s="1088"/>
      <c r="O975" s="1088"/>
    </row>
    <row r="976" spans="1:15" ht="15" customHeight="1">
      <c r="A976" s="1052" t="s">
        <v>359</v>
      </c>
      <c r="B976" s="1089" t="s">
        <v>360</v>
      </c>
      <c r="C976" s="1058" t="e">
        <f>VLOOKUP(B975,'LƯƠNG KT'!$D$15:$U$94,3,0)</f>
        <v>#N/A</v>
      </c>
      <c r="D976" s="1059" t="e">
        <f>+C976*25000</f>
        <v>#N/A</v>
      </c>
      <c r="E976" s="1060"/>
      <c r="F976" s="1060"/>
      <c r="G976" s="1052" t="s">
        <v>359</v>
      </c>
      <c r="H976" s="1089" t="s">
        <v>360</v>
      </c>
      <c r="I976" s="1058" t="e">
        <f>VLOOKUP(H975,'LƯƠNG KT'!$D$15:$U$94,3,0)</f>
        <v>#N/A</v>
      </c>
      <c r="J976" s="1059" t="e">
        <f>+I976*25000</f>
        <v>#N/A</v>
      </c>
      <c r="K976" s="1085"/>
      <c r="L976" s="1085"/>
      <c r="M976" s="1085"/>
      <c r="N976" s="1085"/>
      <c r="O976" s="1085"/>
    </row>
    <row r="977" spans="1:15" ht="15" customHeight="1">
      <c r="A977" s="1052" t="s">
        <v>361</v>
      </c>
      <c r="B977" s="869" t="s">
        <v>362</v>
      </c>
      <c r="C977" s="1058" t="e">
        <f>VLOOKUP(B975,'LƯƠNG KT'!$D$15:$U$94,14,0)</f>
        <v>#N/A</v>
      </c>
      <c r="D977" s="1059" t="e">
        <f>C977*$L$4</f>
        <v>#N/A</v>
      </c>
      <c r="E977" s="1061"/>
      <c r="F977" s="1061"/>
      <c r="G977" s="1052" t="s">
        <v>361</v>
      </c>
      <c r="H977" s="869" t="s">
        <v>362</v>
      </c>
      <c r="I977" s="1058" t="e">
        <f>VLOOKUP(H975,'LƯƠNG KT'!$D$15:$U$94,14,0)</f>
        <v>#N/A</v>
      </c>
      <c r="J977" s="1059" t="e">
        <f>I977*$L$4</f>
        <v>#N/A</v>
      </c>
      <c r="K977" s="1085"/>
      <c r="L977" s="1085"/>
      <c r="M977" s="1085"/>
      <c r="N977" s="1085"/>
      <c r="O977" s="1085"/>
    </row>
    <row r="978" spans="1:15" ht="15" customHeight="1">
      <c r="A978" s="1052" t="s">
        <v>364</v>
      </c>
      <c r="B978" s="869" t="s">
        <v>365</v>
      </c>
      <c r="C978" s="1058" t="e">
        <f>VLOOKUP(B975,'LƯƠNG KT'!$D$15:$U$94,15,0)</f>
        <v>#N/A</v>
      </c>
      <c r="D978" s="1059" t="e">
        <f>C978*$L$5</f>
        <v>#N/A</v>
      </c>
      <c r="E978" s="1061"/>
      <c r="F978" s="1061"/>
      <c r="G978" s="1052" t="s">
        <v>364</v>
      </c>
      <c r="H978" s="869" t="s">
        <v>365</v>
      </c>
      <c r="I978" s="1058" t="e">
        <f>VLOOKUP(H975,'LƯƠNG KT'!$D$15:$U$94,15,0)</f>
        <v>#N/A</v>
      </c>
      <c r="J978" s="1059" t="e">
        <f>I978*$L$5</f>
        <v>#N/A</v>
      </c>
      <c r="K978" s="1085"/>
      <c r="L978" s="1085"/>
      <c r="M978" s="1085"/>
      <c r="N978" s="1085"/>
      <c r="O978" s="1085"/>
    </row>
    <row r="979" spans="1:15" ht="15" customHeight="1">
      <c r="A979" s="1052" t="s">
        <v>367</v>
      </c>
      <c r="B979" s="869"/>
      <c r="C979" s="1058" t="e">
        <f>VLOOKUP(B975,'LƯƠNG KT'!$D$15:$U$94,16,0)</f>
        <v>#N/A</v>
      </c>
      <c r="D979" s="1059" t="e">
        <f>+C979*$L$6</f>
        <v>#N/A</v>
      </c>
      <c r="E979" s="1061"/>
      <c r="F979" s="1061"/>
      <c r="G979" s="1052" t="s">
        <v>367</v>
      </c>
      <c r="H979" s="869"/>
      <c r="I979" s="1058" t="e">
        <f>VLOOKUP(H975,'LƯƠNG KT'!$D$15:$U$94,16,0)</f>
        <v>#N/A</v>
      </c>
      <c r="J979" s="1059" t="e">
        <f>+I979*$L$6</f>
        <v>#N/A</v>
      </c>
      <c r="K979" s="1085"/>
      <c r="L979" s="1085"/>
      <c r="M979" s="1085"/>
      <c r="N979" s="1085"/>
      <c r="O979" s="1085"/>
    </row>
    <row r="980" spans="1:15" ht="15" customHeight="1">
      <c r="A980" s="1052" t="s">
        <v>371</v>
      </c>
      <c r="B980" s="869" t="s">
        <v>372</v>
      </c>
      <c r="C980" s="1058" t="e">
        <f>VLOOKUP(B975,'LƯƠNG KT'!$D$15:$U$94,9,0)*$L$10</f>
        <v>#N/A</v>
      </c>
      <c r="D980" s="1059" t="e">
        <f>+C980*0.5*3000</f>
        <v>#N/A</v>
      </c>
      <c r="E980" s="1061"/>
      <c r="F980" s="1061"/>
      <c r="G980" s="1052" t="s">
        <v>371</v>
      </c>
      <c r="H980" s="869" t="s">
        <v>372</v>
      </c>
      <c r="I980" s="1058" t="e">
        <f>VLOOKUP(H975,'LƯƠNG KT'!$D$15:$U$94,9,0)*$L$10</f>
        <v>#N/A</v>
      </c>
      <c r="J980" s="1059" t="e">
        <f>+I980*0.5*3000</f>
        <v>#N/A</v>
      </c>
      <c r="K980" s="1085"/>
      <c r="L980" s="1085"/>
      <c r="M980" s="1085"/>
      <c r="N980" s="1085"/>
      <c r="O980" s="1085"/>
    </row>
    <row r="981" spans="1:15" ht="15" customHeight="1">
      <c r="A981" s="1052" t="s">
        <v>374</v>
      </c>
      <c r="B981" s="869" t="s">
        <v>375</v>
      </c>
      <c r="C981" s="1058" t="e">
        <f>VLOOKUP(B975,'LƯƠNG KT'!$D$15:$U$94,8,0)*$L$11</f>
        <v>#N/A</v>
      </c>
      <c r="D981" s="1059" t="e">
        <f>VLOOKUP(B975,'LƯƠNG KT'!$D$15:$U$94,13,0)-D980</f>
        <v>#N/A</v>
      </c>
      <c r="E981" s="1063"/>
      <c r="F981" s="1061"/>
      <c r="G981" s="1052" t="s">
        <v>374</v>
      </c>
      <c r="H981" s="869" t="s">
        <v>375</v>
      </c>
      <c r="I981" s="1058" t="e">
        <f>VLOOKUP(H975,'LƯƠNG KT'!$D$15:$U$94,8,0)*$L$11</f>
        <v>#N/A</v>
      </c>
      <c r="J981" s="1059" t="e">
        <f>VLOOKUP(H975,'LƯƠNG KT'!$D$15:$U$94,13,0)-J980</f>
        <v>#N/A</v>
      </c>
      <c r="K981" s="1085"/>
      <c r="L981" s="1085"/>
      <c r="M981" s="1085"/>
      <c r="N981" s="1085"/>
      <c r="O981" s="1085"/>
    </row>
    <row r="982" spans="1:15" ht="15" customHeight="1">
      <c r="A982" s="1059" t="s">
        <v>377</v>
      </c>
      <c r="B982" s="869" t="s">
        <v>378</v>
      </c>
      <c r="C982" s="1058"/>
      <c r="D982" s="1059"/>
      <c r="E982" s="1065"/>
      <c r="F982" s="1065"/>
      <c r="G982" s="1059" t="s">
        <v>377</v>
      </c>
      <c r="H982" s="869" t="s">
        <v>378</v>
      </c>
      <c r="I982" s="1058"/>
      <c r="J982" s="1059"/>
    </row>
    <row r="983" spans="1:15" ht="15" customHeight="1">
      <c r="A983" s="1066" t="s">
        <v>379</v>
      </c>
      <c r="B983" s="869" t="s">
        <v>380</v>
      </c>
      <c r="C983" s="1058"/>
      <c r="D983" s="1059"/>
      <c r="E983" s="1063"/>
      <c r="F983" s="1065"/>
      <c r="G983" s="1066" t="s">
        <v>379</v>
      </c>
      <c r="H983" s="869" t="s">
        <v>380</v>
      </c>
      <c r="I983" s="1058"/>
      <c r="J983" s="1059"/>
    </row>
    <row r="984" spans="1:15" ht="15" customHeight="1">
      <c r="A984" s="1052" t="s">
        <v>381</v>
      </c>
      <c r="B984" s="869" t="s">
        <v>382</v>
      </c>
      <c r="C984" s="1058"/>
      <c r="D984" s="1059">
        <f>D983</f>
        <v>0</v>
      </c>
      <c r="E984" s="1067"/>
      <c r="F984" s="1051"/>
      <c r="G984" s="1052" t="s">
        <v>381</v>
      </c>
      <c r="H984" s="869" t="s">
        <v>382</v>
      </c>
      <c r="I984" s="1058"/>
      <c r="J984" s="1059">
        <f>J983</f>
        <v>0</v>
      </c>
    </row>
    <row r="985" spans="1:15" ht="15" customHeight="1">
      <c r="A985" s="1068" t="s">
        <v>383</v>
      </c>
      <c r="B985" s="1069" t="s">
        <v>384</v>
      </c>
      <c r="C985" s="1070"/>
      <c r="D985" s="1071" t="e">
        <f>SUM(D976:D981)-D984</f>
        <v>#N/A</v>
      </c>
      <c r="E985" s="1072"/>
      <c r="F985" s="1073"/>
      <c r="G985" s="1068" t="s">
        <v>383</v>
      </c>
      <c r="H985" s="1069" t="s">
        <v>384</v>
      </c>
      <c r="I985" s="1070"/>
      <c r="J985" s="1071" t="e">
        <f>SUM(J976:J981)-J984</f>
        <v>#N/A</v>
      </c>
    </row>
    <row r="986" spans="1:15" ht="15.75" customHeight="1">
      <c r="A986" s="1074"/>
      <c r="B986" s="1075"/>
      <c r="C986" s="1076"/>
      <c r="D986" s="1077"/>
      <c r="E986" s="1077"/>
      <c r="F986" s="1078"/>
      <c r="G986" s="1074"/>
      <c r="H986" s="1075"/>
      <c r="I986" s="1076"/>
      <c r="J986" s="1077"/>
    </row>
    <row r="988" spans="1:15" ht="12" customHeight="1">
      <c r="A988" s="2243"/>
      <c r="B988" s="2243"/>
      <c r="C988" s="2243"/>
      <c r="D988" s="2243"/>
      <c r="E988" s="2243"/>
      <c r="F988" s="2243"/>
      <c r="G988" s="2243"/>
      <c r="H988" s="2243"/>
      <c r="I988" s="2243"/>
      <c r="J988" s="2243"/>
    </row>
    <row r="989" spans="1:15" ht="15" customHeight="1">
      <c r="A989" s="2242" t="str">
        <f>$K$2</f>
        <v>THÁNG 09/2024</v>
      </c>
      <c r="B989" s="2242"/>
      <c r="C989" s="2242"/>
      <c r="D989" s="2242"/>
      <c r="E989" s="1050"/>
      <c r="F989" s="1051"/>
      <c r="G989" s="2242" t="str">
        <f>$K$2</f>
        <v>THÁNG 09/2024</v>
      </c>
      <c r="H989" s="2242"/>
      <c r="I989" s="2242"/>
      <c r="J989" s="2242"/>
      <c r="K989" s="624"/>
    </row>
    <row r="990" spans="1:15" ht="15" customHeight="1">
      <c r="A990" s="1052" t="s">
        <v>356</v>
      </c>
      <c r="B990" s="1053" t="s">
        <v>39</v>
      </c>
      <c r="C990" s="869"/>
      <c r="D990" s="1049"/>
      <c r="E990" s="1054"/>
      <c r="F990" s="1055"/>
      <c r="G990" s="1052" t="s">
        <v>356</v>
      </c>
      <c r="H990" s="1053" t="s">
        <v>40</v>
      </c>
      <c r="I990" s="869"/>
      <c r="J990" s="1049"/>
      <c r="L990" s="1088"/>
      <c r="M990" s="1088"/>
      <c r="N990" s="1088"/>
      <c r="O990" s="1088"/>
    </row>
    <row r="991" spans="1:15" ht="15" customHeight="1">
      <c r="A991" s="1052" t="s">
        <v>359</v>
      </c>
      <c r="B991" s="1089" t="s">
        <v>360</v>
      </c>
      <c r="C991" s="1058" t="e">
        <f>VLOOKUP(B990,'LƯƠNG KT'!$D$15:$U$94,3,0)</f>
        <v>#N/A</v>
      </c>
      <c r="D991" s="1059" t="e">
        <f>+C991*25000</f>
        <v>#N/A</v>
      </c>
      <c r="E991" s="1060"/>
      <c r="F991" s="1060"/>
      <c r="G991" s="1052" t="s">
        <v>359</v>
      </c>
      <c r="H991" s="1089" t="s">
        <v>360</v>
      </c>
      <c r="I991" s="1058" t="e">
        <f>VLOOKUP(H990,'LƯƠNG KT'!$D$15:$U$94,3,0)</f>
        <v>#N/A</v>
      </c>
      <c r="J991" s="1059" t="e">
        <f>+I991*25000</f>
        <v>#N/A</v>
      </c>
      <c r="K991" s="1084"/>
      <c r="L991" s="1085"/>
      <c r="M991" s="1085"/>
      <c r="N991" s="1085"/>
      <c r="O991" s="1085"/>
    </row>
    <row r="992" spans="1:15" ht="15" customHeight="1">
      <c r="A992" s="1052" t="s">
        <v>361</v>
      </c>
      <c r="B992" s="869" t="s">
        <v>362</v>
      </c>
      <c r="C992" s="1058" t="e">
        <f>VLOOKUP(B990,'LƯƠNG KT'!$D$15:$U$94,14,0)</f>
        <v>#N/A</v>
      </c>
      <c r="D992" s="1059" t="e">
        <f>C992*$L$4</f>
        <v>#N/A</v>
      </c>
      <c r="E992" s="1061"/>
      <c r="F992" s="1061"/>
      <c r="G992" s="1052" t="s">
        <v>361</v>
      </c>
      <c r="H992" s="869" t="s">
        <v>362</v>
      </c>
      <c r="I992" s="1058" t="e">
        <f>VLOOKUP(H990,'LƯƠNG KT'!$D$15:$U$94,14,0)</f>
        <v>#N/A</v>
      </c>
      <c r="J992" s="1059" t="e">
        <f>I992*$L$4</f>
        <v>#N/A</v>
      </c>
      <c r="K992" s="1084"/>
      <c r="L992" s="1085"/>
      <c r="M992" s="1085"/>
      <c r="N992" s="1085"/>
      <c r="O992" s="1085"/>
    </row>
    <row r="993" spans="1:15" ht="15" customHeight="1">
      <c r="A993" s="1052" t="s">
        <v>364</v>
      </c>
      <c r="B993" s="869" t="s">
        <v>365</v>
      </c>
      <c r="C993" s="1058" t="e">
        <f>VLOOKUP(B990,'LƯƠNG KT'!$D$15:$U$94,15,0)</f>
        <v>#N/A</v>
      </c>
      <c r="D993" s="1059" t="e">
        <f>C993*$L$5</f>
        <v>#N/A</v>
      </c>
      <c r="E993" s="1061"/>
      <c r="F993" s="1061"/>
      <c r="G993" s="1052" t="s">
        <v>364</v>
      </c>
      <c r="H993" s="869" t="s">
        <v>365</v>
      </c>
      <c r="I993" s="1058" t="e">
        <f>VLOOKUP(H990,'LƯƠNG KT'!$D$15:$U$94,15,0)</f>
        <v>#N/A</v>
      </c>
      <c r="J993" s="1059" t="e">
        <f>I993*$L$5</f>
        <v>#N/A</v>
      </c>
      <c r="K993" s="1084"/>
      <c r="L993" s="1085"/>
      <c r="M993" s="1085"/>
      <c r="N993" s="1085"/>
      <c r="O993" s="1085"/>
    </row>
    <row r="994" spans="1:15" ht="15" customHeight="1">
      <c r="A994" s="1052" t="s">
        <v>367</v>
      </c>
      <c r="B994" s="869"/>
      <c r="C994" s="1058" t="e">
        <f>VLOOKUP(B990,'LƯƠNG KT'!$D$15:$U$94,16,0)</f>
        <v>#N/A</v>
      </c>
      <c r="D994" s="1059" t="e">
        <f>+C994*$L$6</f>
        <v>#N/A</v>
      </c>
      <c r="E994" s="1061"/>
      <c r="F994" s="1061"/>
      <c r="G994" s="1052" t="s">
        <v>367</v>
      </c>
      <c r="H994" s="869"/>
      <c r="I994" s="1058" t="e">
        <f>VLOOKUP(H990,'LƯƠNG KT'!$D$15:$U$94,16,0)</f>
        <v>#N/A</v>
      </c>
      <c r="J994" s="1059" t="e">
        <f>+I994*$L$6</f>
        <v>#N/A</v>
      </c>
      <c r="K994" s="1085"/>
      <c r="L994" s="1085"/>
      <c r="M994" s="1085"/>
      <c r="N994" s="1085"/>
      <c r="O994" s="1085"/>
    </row>
    <row r="995" spans="1:15" ht="15" customHeight="1">
      <c r="A995" s="1052" t="s">
        <v>371</v>
      </c>
      <c r="B995" s="869" t="s">
        <v>372</v>
      </c>
      <c r="C995" s="1058" t="e">
        <f>VLOOKUP(B990,'LƯƠNG KT'!$D$15:$U$94,9,0)*$L$10</f>
        <v>#N/A</v>
      </c>
      <c r="D995" s="1059" t="e">
        <f>+C995*0.5*3000</f>
        <v>#N/A</v>
      </c>
      <c r="E995" s="1061"/>
      <c r="F995" s="1061"/>
      <c r="G995" s="1052" t="s">
        <v>371</v>
      </c>
      <c r="H995" s="869" t="s">
        <v>372</v>
      </c>
      <c r="I995" s="1058" t="e">
        <f>VLOOKUP(H990,'LƯƠNG KT'!$D$15:$U$94,9,0)*$L$10</f>
        <v>#N/A</v>
      </c>
      <c r="J995" s="1059" t="e">
        <f>+I995*0.5*3000</f>
        <v>#N/A</v>
      </c>
      <c r="K995" s="1085"/>
      <c r="L995" s="1085"/>
      <c r="M995" s="1085"/>
      <c r="N995" s="1085"/>
      <c r="O995" s="1085"/>
    </row>
    <row r="996" spans="1:15" ht="15" customHeight="1">
      <c r="A996" s="1052" t="s">
        <v>374</v>
      </c>
      <c r="B996" s="869" t="s">
        <v>375</v>
      </c>
      <c r="C996" s="1058" t="e">
        <f>VLOOKUP(B990,'LƯƠNG KT'!$D$15:$U$94,8,0)*$L$11</f>
        <v>#N/A</v>
      </c>
      <c r="D996" s="1059" t="e">
        <f>VLOOKUP(B990,'LƯƠNG KT'!$D$15:$U$94,13,0)-D995</f>
        <v>#N/A</v>
      </c>
      <c r="E996" s="1063"/>
      <c r="F996" s="1061"/>
      <c r="G996" s="1052" t="s">
        <v>374</v>
      </c>
      <c r="H996" s="869" t="s">
        <v>375</v>
      </c>
      <c r="I996" s="1058" t="e">
        <f>VLOOKUP(H990,'LƯƠNG KT'!$D$15:$U$94,8,0)*$L$11</f>
        <v>#N/A</v>
      </c>
      <c r="J996" s="1059" t="e">
        <f>VLOOKUP(H990,'LƯƠNG KT'!$D$15:$U$94,13,0)-J995</f>
        <v>#N/A</v>
      </c>
      <c r="K996" s="1085"/>
      <c r="L996" s="1085"/>
      <c r="M996" s="1085"/>
      <c r="N996" s="1085"/>
      <c r="O996" s="1085"/>
    </row>
    <row r="997" spans="1:15" ht="15" customHeight="1">
      <c r="A997" s="1059" t="s">
        <v>377</v>
      </c>
      <c r="B997" s="869" t="s">
        <v>378</v>
      </c>
      <c r="C997" s="1058"/>
      <c r="D997" s="1059"/>
      <c r="E997" s="1065"/>
      <c r="F997" s="1065"/>
      <c r="G997" s="1059" t="s">
        <v>377</v>
      </c>
      <c r="H997" s="869" t="s">
        <v>378</v>
      </c>
      <c r="I997" s="1058"/>
      <c r="J997" s="1059"/>
    </row>
    <row r="998" spans="1:15" ht="15" customHeight="1">
      <c r="A998" s="1066" t="s">
        <v>379</v>
      </c>
      <c r="B998" s="869" t="s">
        <v>380</v>
      </c>
      <c r="C998" s="1058"/>
      <c r="D998" s="1059"/>
      <c r="E998" s="1063"/>
      <c r="F998" s="1065"/>
      <c r="G998" s="1066" t="s">
        <v>379</v>
      </c>
      <c r="H998" s="869" t="s">
        <v>380</v>
      </c>
      <c r="I998" s="1058"/>
      <c r="J998" s="1059"/>
    </row>
    <row r="999" spans="1:15" ht="15" customHeight="1">
      <c r="A999" s="1052" t="s">
        <v>381</v>
      </c>
      <c r="B999" s="869" t="s">
        <v>382</v>
      </c>
      <c r="C999" s="1058"/>
      <c r="D999" s="1059">
        <f>D998</f>
        <v>0</v>
      </c>
      <c r="E999" s="1067"/>
      <c r="F999" s="1051"/>
      <c r="G999" s="1052" t="s">
        <v>381</v>
      </c>
      <c r="H999" s="869" t="s">
        <v>382</v>
      </c>
      <c r="I999" s="1058"/>
      <c r="J999" s="1059">
        <f>J998</f>
        <v>0</v>
      </c>
    </row>
    <row r="1000" spans="1:15" ht="15" customHeight="1">
      <c r="A1000" s="1068" t="s">
        <v>383</v>
      </c>
      <c r="B1000" s="1069" t="s">
        <v>384</v>
      </c>
      <c r="C1000" s="1070"/>
      <c r="D1000" s="1071" t="e">
        <f>SUM(D991:D996)-D999</f>
        <v>#N/A</v>
      </c>
      <c r="E1000" s="1072"/>
      <c r="F1000" s="1073"/>
      <c r="G1000" s="1068" t="s">
        <v>383</v>
      </c>
      <c r="H1000" s="1069" t="s">
        <v>384</v>
      </c>
      <c r="I1000" s="1070"/>
      <c r="J1000" s="1071" t="e">
        <f>SUM(J991:J996)-J999</f>
        <v>#N/A</v>
      </c>
    </row>
    <row r="1001" spans="1:15" ht="12.6" customHeight="1">
      <c r="A1001" s="1074"/>
      <c r="B1001" s="1075"/>
      <c r="C1001" s="1076"/>
      <c r="D1001" s="1077"/>
      <c r="E1001" s="1077"/>
      <c r="F1001" s="1078"/>
      <c r="G1001" s="1074"/>
      <c r="H1001" s="1075"/>
      <c r="I1001" s="1076"/>
      <c r="J1001" s="1077"/>
    </row>
    <row r="1002" spans="1:15" ht="12.6" customHeight="1">
      <c r="A1002" s="1075"/>
      <c r="B1002" s="1075"/>
      <c r="C1002" s="1079"/>
      <c r="D1002" s="1080"/>
      <c r="E1002" s="1075"/>
      <c r="F1002" s="1081"/>
      <c r="G1002" s="1075"/>
      <c r="H1002" s="1075"/>
      <c r="I1002" s="1079"/>
      <c r="J1002" s="1080"/>
    </row>
    <row r="1003" spans="1:15" ht="15" customHeight="1">
      <c r="A1003" s="2242" t="str">
        <f>$K$2</f>
        <v>THÁNG 09/2024</v>
      </c>
      <c r="B1003" s="2242"/>
      <c r="C1003" s="2242"/>
      <c r="D1003" s="2242"/>
      <c r="E1003" s="1050"/>
      <c r="F1003" s="1051"/>
      <c r="G1003" s="2242" t="str">
        <f>$K$2</f>
        <v>THÁNG 09/2024</v>
      </c>
      <c r="H1003" s="2242"/>
      <c r="I1003" s="2242"/>
      <c r="J1003" s="2242"/>
      <c r="K1003" s="624"/>
    </row>
    <row r="1004" spans="1:15" ht="15" customHeight="1">
      <c r="A1004" s="1052" t="s">
        <v>356</v>
      </c>
      <c r="B1004" s="1053" t="s">
        <v>41</v>
      </c>
      <c r="C1004" s="869"/>
      <c r="D1004" s="1049"/>
      <c r="E1004" s="1054"/>
      <c r="F1004" s="1055"/>
      <c r="G1004" s="1052" t="s">
        <v>356</v>
      </c>
      <c r="H1004" s="1053" t="s">
        <v>42</v>
      </c>
      <c r="I1004" s="869"/>
      <c r="J1004" s="1049"/>
      <c r="L1004" s="1088"/>
      <c r="M1004" s="1088"/>
      <c r="N1004" s="1088"/>
      <c r="O1004" s="1088"/>
    </row>
    <row r="1005" spans="1:15" ht="15" customHeight="1">
      <c r="A1005" s="1052" t="s">
        <v>359</v>
      </c>
      <c r="B1005" s="1089" t="s">
        <v>360</v>
      </c>
      <c r="C1005" s="1058" t="e">
        <f>VLOOKUP(B1004,'LƯƠNG KT'!$D$15:$U$94,3,0)</f>
        <v>#N/A</v>
      </c>
      <c r="D1005" s="1059" t="e">
        <f>+C1005*25000</f>
        <v>#N/A</v>
      </c>
      <c r="E1005" s="1060"/>
      <c r="F1005" s="1060"/>
      <c r="G1005" s="1052" t="s">
        <v>359</v>
      </c>
      <c r="H1005" s="1089" t="s">
        <v>360</v>
      </c>
      <c r="I1005" s="1058" t="e">
        <f>VLOOKUP(H1004,'LƯƠNG KT'!$D$15:$U$94,3,0)</f>
        <v>#N/A</v>
      </c>
      <c r="J1005" s="1059" t="e">
        <f>+I1005*25000</f>
        <v>#N/A</v>
      </c>
      <c r="K1005" s="1085"/>
      <c r="L1005" s="1085"/>
      <c r="M1005" s="1085"/>
      <c r="N1005" s="1085"/>
      <c r="O1005" s="1085"/>
    </row>
    <row r="1006" spans="1:15" ht="15" customHeight="1">
      <c r="A1006" s="1052" t="s">
        <v>361</v>
      </c>
      <c r="B1006" s="869" t="s">
        <v>362</v>
      </c>
      <c r="C1006" s="1058" t="e">
        <f>VLOOKUP(B1004,'LƯƠNG KT'!$D$15:$U$94,14,0)</f>
        <v>#N/A</v>
      </c>
      <c r="D1006" s="1059" t="e">
        <f>C1006*$L$4</f>
        <v>#N/A</v>
      </c>
      <c r="E1006" s="1061"/>
      <c r="F1006" s="1061"/>
      <c r="G1006" s="1052" t="s">
        <v>361</v>
      </c>
      <c r="H1006" s="869" t="s">
        <v>362</v>
      </c>
      <c r="I1006" s="1058" t="e">
        <f>VLOOKUP(H1004,'LƯƠNG KT'!$D$15:$U$94,14,0)</f>
        <v>#N/A</v>
      </c>
      <c r="J1006" s="1059" t="e">
        <f>I1006*$L$4</f>
        <v>#N/A</v>
      </c>
      <c r="K1006" s="1085"/>
      <c r="L1006" s="1085"/>
      <c r="M1006" s="1085"/>
      <c r="N1006" s="1085"/>
      <c r="O1006" s="1085"/>
    </row>
    <row r="1007" spans="1:15" ht="15" customHeight="1">
      <c r="A1007" s="1052" t="s">
        <v>364</v>
      </c>
      <c r="B1007" s="869" t="s">
        <v>365</v>
      </c>
      <c r="C1007" s="1058" t="e">
        <f>VLOOKUP(B1004,'LƯƠNG KT'!$D$15:$U$94,15,0)</f>
        <v>#N/A</v>
      </c>
      <c r="D1007" s="1059" t="e">
        <f>C1007*$L$5</f>
        <v>#N/A</v>
      </c>
      <c r="E1007" s="1061"/>
      <c r="F1007" s="1061"/>
      <c r="G1007" s="1052" t="s">
        <v>364</v>
      </c>
      <c r="H1007" s="869" t="s">
        <v>365</v>
      </c>
      <c r="I1007" s="1058" t="e">
        <f>VLOOKUP(H1004,'LƯƠNG KT'!$D$15:$U$94,15,0)</f>
        <v>#N/A</v>
      </c>
      <c r="J1007" s="1059" t="e">
        <f>I1007*$L$5</f>
        <v>#N/A</v>
      </c>
      <c r="K1007" s="1085"/>
      <c r="L1007" s="1085"/>
      <c r="M1007" s="1085"/>
      <c r="N1007" s="1085"/>
      <c r="O1007" s="1085"/>
    </row>
    <row r="1008" spans="1:15" ht="15" customHeight="1">
      <c r="A1008" s="1052" t="s">
        <v>367</v>
      </c>
      <c r="B1008" s="869"/>
      <c r="C1008" s="1058" t="e">
        <f>VLOOKUP(B1004,'LƯƠNG KT'!$D$15:$U$94,16,0)</f>
        <v>#N/A</v>
      </c>
      <c r="D1008" s="1059" t="e">
        <f>+C1008*$L$6</f>
        <v>#N/A</v>
      </c>
      <c r="E1008" s="1061"/>
      <c r="F1008" s="1061"/>
      <c r="G1008" s="1052" t="s">
        <v>367</v>
      </c>
      <c r="H1008" s="869"/>
      <c r="I1008" s="1058" t="e">
        <f>VLOOKUP(H1004,'LƯƠNG KT'!$D$15:$U$94,16,0)</f>
        <v>#N/A</v>
      </c>
      <c r="J1008" s="1059" t="e">
        <f>+I1008*$L$6</f>
        <v>#N/A</v>
      </c>
      <c r="K1008" s="1085"/>
      <c r="L1008" s="1085"/>
      <c r="M1008" s="1085"/>
      <c r="N1008" s="1085"/>
      <c r="O1008" s="1085"/>
    </row>
    <row r="1009" spans="1:15" ht="15" customHeight="1">
      <c r="A1009" s="1052" t="s">
        <v>371</v>
      </c>
      <c r="B1009" s="869" t="s">
        <v>372</v>
      </c>
      <c r="C1009" s="1058" t="e">
        <f>VLOOKUP(B1004,'LƯƠNG KT'!$D$15:$U$94,9,0)*$L$10</f>
        <v>#N/A</v>
      </c>
      <c r="D1009" s="1059" t="e">
        <f>+C1009*0.5*3000</f>
        <v>#N/A</v>
      </c>
      <c r="E1009" s="1061"/>
      <c r="F1009" s="1061"/>
      <c r="G1009" s="1052" t="s">
        <v>371</v>
      </c>
      <c r="H1009" s="869" t="s">
        <v>372</v>
      </c>
      <c r="I1009" s="1058" t="e">
        <f>VLOOKUP(H1004,'LƯƠNG KT'!$D$15:$U$94,9,0)*$L$10</f>
        <v>#N/A</v>
      </c>
      <c r="J1009" s="1059" t="e">
        <f>+I1009*0.5*3000</f>
        <v>#N/A</v>
      </c>
      <c r="K1009" s="1085"/>
      <c r="L1009" s="1085"/>
      <c r="M1009" s="1085"/>
      <c r="N1009" s="1085"/>
      <c r="O1009" s="1085"/>
    </row>
    <row r="1010" spans="1:15" ht="15" customHeight="1">
      <c r="A1010" s="1052" t="s">
        <v>374</v>
      </c>
      <c r="B1010" s="869" t="s">
        <v>375</v>
      </c>
      <c r="C1010" s="1058" t="e">
        <f>VLOOKUP(B1004,'LƯƠNG KT'!$D$15:$U$94,8,0)*$L$11</f>
        <v>#N/A</v>
      </c>
      <c r="D1010" s="1059" t="e">
        <f>VLOOKUP(B1004,'LƯƠNG KT'!$D$15:$U$94,13,0)-D1009</f>
        <v>#N/A</v>
      </c>
      <c r="E1010" s="1063"/>
      <c r="F1010" s="1061"/>
      <c r="G1010" s="1052" t="s">
        <v>374</v>
      </c>
      <c r="H1010" s="869" t="s">
        <v>375</v>
      </c>
      <c r="I1010" s="1058" t="e">
        <f>VLOOKUP(H1004,'LƯƠNG KT'!$D$15:$U$94,8,0)*$L$11</f>
        <v>#N/A</v>
      </c>
      <c r="J1010" s="1059" t="e">
        <f>VLOOKUP(H1004,'LƯƠNG KT'!$D$15:$U$94,13,0)-J1009</f>
        <v>#N/A</v>
      </c>
      <c r="K1010" s="1085"/>
      <c r="L1010" s="1085"/>
      <c r="M1010" s="1085"/>
      <c r="N1010" s="1085"/>
      <c r="O1010" s="1085"/>
    </row>
    <row r="1011" spans="1:15" ht="15" customHeight="1">
      <c r="A1011" s="1059" t="s">
        <v>377</v>
      </c>
      <c r="B1011" s="869" t="s">
        <v>378</v>
      </c>
      <c r="C1011" s="1058"/>
      <c r="D1011" s="1059"/>
      <c r="E1011" s="1065"/>
      <c r="F1011" s="1065"/>
      <c r="G1011" s="1059" t="s">
        <v>377</v>
      </c>
      <c r="H1011" s="869" t="s">
        <v>378</v>
      </c>
      <c r="I1011" s="1058"/>
      <c r="J1011" s="1059"/>
    </row>
    <row r="1012" spans="1:15" ht="15" customHeight="1">
      <c r="A1012" s="1066" t="s">
        <v>379</v>
      </c>
      <c r="B1012" s="869" t="s">
        <v>380</v>
      </c>
      <c r="C1012" s="1058"/>
      <c r="D1012" s="1059"/>
      <c r="E1012" s="1063"/>
      <c r="F1012" s="1065"/>
      <c r="G1012" s="1066" t="s">
        <v>379</v>
      </c>
      <c r="H1012" s="869" t="s">
        <v>380</v>
      </c>
      <c r="I1012" s="1058"/>
      <c r="J1012" s="1059"/>
    </row>
    <row r="1013" spans="1:15" ht="15" customHeight="1">
      <c r="A1013" s="1052" t="s">
        <v>381</v>
      </c>
      <c r="B1013" s="869" t="s">
        <v>382</v>
      </c>
      <c r="C1013" s="1058"/>
      <c r="D1013" s="1059">
        <f>D1012</f>
        <v>0</v>
      </c>
      <c r="E1013" s="1067"/>
      <c r="F1013" s="1051"/>
      <c r="G1013" s="1052" t="s">
        <v>381</v>
      </c>
      <c r="H1013" s="869" t="s">
        <v>382</v>
      </c>
      <c r="I1013" s="1058"/>
      <c r="J1013" s="1059">
        <f>J1012</f>
        <v>0</v>
      </c>
    </row>
    <row r="1014" spans="1:15" ht="15" customHeight="1">
      <c r="A1014" s="1068" t="s">
        <v>383</v>
      </c>
      <c r="B1014" s="1069" t="s">
        <v>384</v>
      </c>
      <c r="C1014" s="1070"/>
      <c r="D1014" s="1071" t="e">
        <f>SUM(D1005:D1010)-D1013</f>
        <v>#N/A</v>
      </c>
      <c r="E1014" s="1072"/>
      <c r="F1014" s="1073"/>
      <c r="G1014" s="1068" t="s">
        <v>383</v>
      </c>
      <c r="H1014" s="1069" t="s">
        <v>384</v>
      </c>
      <c r="I1014" s="1070"/>
      <c r="J1014" s="1071" t="e">
        <f>SUM(J1005:J1010)-J1013</f>
        <v>#N/A</v>
      </c>
    </row>
    <row r="1015" spans="1:15" ht="18.75" customHeight="1">
      <c r="A1015" s="1074"/>
      <c r="B1015" s="1075"/>
      <c r="C1015" s="1076"/>
      <c r="D1015" s="1077"/>
      <c r="E1015" s="1077"/>
      <c r="F1015" s="1078"/>
      <c r="G1015" s="1074"/>
      <c r="H1015" s="1075"/>
      <c r="I1015" s="1076"/>
      <c r="J1015" s="1077"/>
    </row>
    <row r="1016" spans="1:15" ht="18.75" customHeight="1">
      <c r="A1016" s="1075"/>
      <c r="B1016" s="1075"/>
      <c r="C1016" s="1079"/>
      <c r="D1016" s="1080"/>
      <c r="E1016" s="1075"/>
      <c r="F1016" s="1081"/>
      <c r="G1016" s="1075"/>
      <c r="H1016" s="1075"/>
      <c r="I1016" s="1079"/>
      <c r="J1016" s="1080"/>
    </row>
    <row r="1017" spans="1:15" ht="15" customHeight="1">
      <c r="A1017" s="2242" t="str">
        <f>$K$2</f>
        <v>THÁNG 09/2024</v>
      </c>
      <c r="B1017" s="2242"/>
      <c r="C1017" s="2242"/>
      <c r="D1017" s="2242"/>
      <c r="E1017" s="1050"/>
      <c r="F1017" s="1051"/>
      <c r="G1017" s="2242" t="str">
        <f>$K$2</f>
        <v>THÁNG 09/2024</v>
      </c>
      <c r="H1017" s="2242"/>
      <c r="I1017" s="2242"/>
      <c r="J1017" s="2242"/>
      <c r="K1017" s="624"/>
    </row>
    <row r="1018" spans="1:15" ht="15" customHeight="1">
      <c r="A1018" s="1052" t="s">
        <v>356</v>
      </c>
      <c r="B1018" s="1053" t="s">
        <v>43</v>
      </c>
      <c r="C1018" s="869"/>
      <c r="D1018" s="1049"/>
      <c r="E1018" s="1054"/>
      <c r="F1018" s="1055"/>
      <c r="G1018" s="1052" t="s">
        <v>356</v>
      </c>
      <c r="H1018" s="1053" t="s">
        <v>44</v>
      </c>
      <c r="I1018" s="869"/>
      <c r="J1018" s="1049"/>
      <c r="L1018" s="1088"/>
      <c r="M1018" s="1088"/>
      <c r="N1018" s="1088"/>
      <c r="O1018" s="1088"/>
    </row>
    <row r="1019" spans="1:15" ht="15" customHeight="1">
      <c r="A1019" s="1052" t="s">
        <v>359</v>
      </c>
      <c r="B1019" s="1089" t="s">
        <v>360</v>
      </c>
      <c r="C1019" s="1058" t="e">
        <f>VLOOKUP(B1018,'LƯƠNG KT'!$D$15:$U$94,3,0)</f>
        <v>#N/A</v>
      </c>
      <c r="D1019" s="1059" t="e">
        <f>+C1019*25000</f>
        <v>#N/A</v>
      </c>
      <c r="E1019" s="1060"/>
      <c r="F1019" s="1060"/>
      <c r="G1019" s="1052" t="s">
        <v>359</v>
      </c>
      <c r="H1019" s="1089" t="s">
        <v>360</v>
      </c>
      <c r="I1019" s="1058" t="e">
        <f>VLOOKUP(H1018,'LƯƠNG KT'!$D$15:$U$94,3,0)</f>
        <v>#N/A</v>
      </c>
      <c r="J1019" s="1059" t="e">
        <f>+I1019*25000</f>
        <v>#N/A</v>
      </c>
      <c r="K1019" s="1085"/>
      <c r="L1019" s="1085"/>
      <c r="M1019" s="1085"/>
      <c r="N1019" s="1085"/>
      <c r="O1019" s="1085"/>
    </row>
    <row r="1020" spans="1:15" ht="15" customHeight="1">
      <c r="A1020" s="1052" t="s">
        <v>361</v>
      </c>
      <c r="B1020" s="869" t="s">
        <v>362</v>
      </c>
      <c r="C1020" s="1058" t="e">
        <f>VLOOKUP(B1018,'LƯƠNG KT'!$D$15:$U$94,14,0)</f>
        <v>#N/A</v>
      </c>
      <c r="D1020" s="1059" t="e">
        <f>C1020*$L$4</f>
        <v>#N/A</v>
      </c>
      <c r="E1020" s="1061"/>
      <c r="F1020" s="1061"/>
      <c r="G1020" s="1052" t="s">
        <v>361</v>
      </c>
      <c r="H1020" s="869" t="s">
        <v>362</v>
      </c>
      <c r="I1020" s="1058" t="e">
        <f>VLOOKUP(H1018,'LƯƠNG KT'!$D$15:$U$94,14,0)</f>
        <v>#N/A</v>
      </c>
      <c r="J1020" s="1059" t="e">
        <f>I1020*$L$4</f>
        <v>#N/A</v>
      </c>
      <c r="K1020" s="1085"/>
      <c r="L1020" s="1085"/>
      <c r="M1020" s="1085"/>
      <c r="N1020" s="1085"/>
      <c r="O1020" s="1085"/>
    </row>
    <row r="1021" spans="1:15" ht="15" customHeight="1">
      <c r="A1021" s="1052" t="s">
        <v>364</v>
      </c>
      <c r="B1021" s="869" t="s">
        <v>365</v>
      </c>
      <c r="C1021" s="1058" t="e">
        <f>VLOOKUP(B1018,'LƯƠNG KT'!$D$15:$U$94,15,0)</f>
        <v>#N/A</v>
      </c>
      <c r="D1021" s="1059" t="e">
        <f>C1021*$L$5</f>
        <v>#N/A</v>
      </c>
      <c r="E1021" s="1061"/>
      <c r="F1021" s="1061"/>
      <c r="G1021" s="1052" t="s">
        <v>364</v>
      </c>
      <c r="H1021" s="869" t="s">
        <v>365</v>
      </c>
      <c r="I1021" s="1058" t="e">
        <f>VLOOKUP(H1018,'LƯƠNG KT'!$D$15:$U$94,15,0)</f>
        <v>#N/A</v>
      </c>
      <c r="J1021" s="1059" t="e">
        <f>I1021*$L$5</f>
        <v>#N/A</v>
      </c>
      <c r="K1021" s="1085"/>
      <c r="L1021" s="1085"/>
      <c r="M1021" s="1085"/>
      <c r="N1021" s="1085"/>
      <c r="O1021" s="1085"/>
    </row>
    <row r="1022" spans="1:15" ht="15" customHeight="1">
      <c r="A1022" s="1052" t="s">
        <v>367</v>
      </c>
      <c r="B1022" s="869"/>
      <c r="C1022" s="1058" t="e">
        <f>VLOOKUP(B1018,'LƯƠNG KT'!$D$15:$U$94,16,0)</f>
        <v>#N/A</v>
      </c>
      <c r="D1022" s="1059" t="e">
        <f>+C1022*$L$6</f>
        <v>#N/A</v>
      </c>
      <c r="E1022" s="1061"/>
      <c r="F1022" s="1061"/>
      <c r="G1022" s="1052" t="s">
        <v>367</v>
      </c>
      <c r="H1022" s="869"/>
      <c r="I1022" s="1058" t="e">
        <f>VLOOKUP(H1018,'LƯƠNG KT'!$D$15:$U$94,16,0)</f>
        <v>#N/A</v>
      </c>
      <c r="J1022" s="1059" t="e">
        <f>+I1022*$L$6</f>
        <v>#N/A</v>
      </c>
      <c r="K1022" s="1085"/>
      <c r="L1022" s="1085"/>
      <c r="M1022" s="1085"/>
      <c r="N1022" s="1085"/>
      <c r="O1022" s="1085"/>
    </row>
    <row r="1023" spans="1:15" ht="15" customHeight="1">
      <c r="A1023" s="1052" t="s">
        <v>371</v>
      </c>
      <c r="B1023" s="869" t="s">
        <v>372</v>
      </c>
      <c r="C1023" s="1058" t="e">
        <f>VLOOKUP(B1018,'LƯƠNG KT'!$D$15:$U$94,9,0)*$L$10</f>
        <v>#N/A</v>
      </c>
      <c r="D1023" s="1059" t="e">
        <f>+C1023*0.5*3000</f>
        <v>#N/A</v>
      </c>
      <c r="E1023" s="1061"/>
      <c r="F1023" s="1061"/>
      <c r="G1023" s="1052" t="s">
        <v>371</v>
      </c>
      <c r="H1023" s="869" t="s">
        <v>372</v>
      </c>
      <c r="I1023" s="1058" t="e">
        <f>VLOOKUP(H1018,'LƯƠNG KT'!$D$15:$U$94,9,0)*$L$10</f>
        <v>#N/A</v>
      </c>
      <c r="J1023" s="1059" t="e">
        <f>+I1023*0.5*3000</f>
        <v>#N/A</v>
      </c>
      <c r="K1023" s="1085"/>
      <c r="L1023" s="1085"/>
      <c r="M1023" s="1085"/>
      <c r="N1023" s="1085"/>
      <c r="O1023" s="1085"/>
    </row>
    <row r="1024" spans="1:15" ht="15" customHeight="1">
      <c r="A1024" s="1052" t="s">
        <v>374</v>
      </c>
      <c r="B1024" s="869" t="s">
        <v>375</v>
      </c>
      <c r="C1024" s="1058" t="e">
        <f>VLOOKUP(B1018,'LƯƠNG KT'!$D$15:$U$94,8,0)*$L$11</f>
        <v>#N/A</v>
      </c>
      <c r="D1024" s="1059" t="e">
        <f>VLOOKUP(B1018,'LƯƠNG KT'!$D$15:$U$94,13,0)-D1023</f>
        <v>#N/A</v>
      </c>
      <c r="E1024" s="1063"/>
      <c r="F1024" s="1061"/>
      <c r="G1024" s="1052" t="s">
        <v>374</v>
      </c>
      <c r="H1024" s="869" t="s">
        <v>375</v>
      </c>
      <c r="I1024" s="1058" t="e">
        <f>VLOOKUP(H1018,'LƯƠNG KT'!$D$15:$U$94,8,0)*$L$11</f>
        <v>#N/A</v>
      </c>
      <c r="J1024" s="1059" t="e">
        <f>VLOOKUP(H1018,'LƯƠNG KT'!$D$15:$U$94,13,0)-J1023</f>
        <v>#N/A</v>
      </c>
      <c r="K1024" s="1085"/>
      <c r="L1024" s="1085"/>
      <c r="M1024" s="1085"/>
      <c r="N1024" s="1085"/>
      <c r="O1024" s="1085"/>
    </row>
    <row r="1025" spans="1:15" ht="15" customHeight="1">
      <c r="A1025" s="1059" t="s">
        <v>377</v>
      </c>
      <c r="B1025" s="869" t="s">
        <v>378</v>
      </c>
      <c r="C1025" s="1058"/>
      <c r="D1025" s="1059"/>
      <c r="E1025" s="1065"/>
      <c r="F1025" s="1065"/>
      <c r="G1025" s="1059" t="s">
        <v>377</v>
      </c>
      <c r="H1025" s="869" t="s">
        <v>378</v>
      </c>
      <c r="I1025" s="1058"/>
      <c r="J1025" s="1059"/>
    </row>
    <row r="1026" spans="1:15" ht="15" customHeight="1">
      <c r="A1026" s="1066" t="s">
        <v>379</v>
      </c>
      <c r="B1026" s="869" t="s">
        <v>380</v>
      </c>
      <c r="C1026" s="1058"/>
      <c r="D1026" s="1059"/>
      <c r="E1026" s="1063"/>
      <c r="F1026" s="1065"/>
      <c r="G1026" s="1066" t="s">
        <v>379</v>
      </c>
      <c r="H1026" s="869" t="s">
        <v>380</v>
      </c>
      <c r="I1026" s="1058"/>
      <c r="J1026" s="1059"/>
    </row>
    <row r="1027" spans="1:15" ht="15" customHeight="1">
      <c r="A1027" s="1052" t="s">
        <v>381</v>
      </c>
      <c r="B1027" s="869" t="s">
        <v>382</v>
      </c>
      <c r="C1027" s="1058"/>
      <c r="D1027" s="1059">
        <f>D1026</f>
        <v>0</v>
      </c>
      <c r="E1027" s="1067"/>
      <c r="F1027" s="1051"/>
      <c r="G1027" s="1052" t="s">
        <v>381</v>
      </c>
      <c r="H1027" s="869" t="s">
        <v>382</v>
      </c>
      <c r="I1027" s="1058"/>
      <c r="J1027" s="1059">
        <f>J1026</f>
        <v>0</v>
      </c>
    </row>
    <row r="1028" spans="1:15" ht="15" customHeight="1">
      <c r="A1028" s="1068" t="s">
        <v>383</v>
      </c>
      <c r="B1028" s="1069" t="s">
        <v>384</v>
      </c>
      <c r="C1028" s="1070"/>
      <c r="D1028" s="1071" t="e">
        <f>SUM(D1019:D1024)-D1027</f>
        <v>#N/A</v>
      </c>
      <c r="E1028" s="1072"/>
      <c r="F1028" s="1073"/>
      <c r="G1028" s="1068" t="s">
        <v>383</v>
      </c>
      <c r="H1028" s="1069" t="s">
        <v>384</v>
      </c>
      <c r="I1028" s="1070"/>
      <c r="J1028" s="1071" t="e">
        <f>SUM(J1019:J1024)-J1027</f>
        <v>#N/A</v>
      </c>
    </row>
    <row r="1029" spans="1:15" ht="18.75" customHeight="1">
      <c r="A1029" s="1074"/>
      <c r="B1029" s="1075"/>
      <c r="C1029" s="1076"/>
      <c r="D1029" s="1077"/>
      <c r="E1029" s="1077"/>
      <c r="F1029" s="1078"/>
      <c r="G1029" s="1074"/>
      <c r="H1029" s="1075"/>
      <c r="I1029" s="1076"/>
      <c r="J1029" s="1077"/>
    </row>
    <row r="1030" spans="1:15" ht="18.75" customHeight="1">
      <c r="A1030" s="1075"/>
      <c r="B1030" s="1075"/>
      <c r="C1030" s="1079"/>
      <c r="D1030" s="1080"/>
      <c r="E1030" s="1075"/>
      <c r="F1030" s="1081"/>
      <c r="G1030" s="1075"/>
      <c r="H1030" s="1075"/>
      <c r="I1030" s="1079"/>
      <c r="J1030" s="1080"/>
    </row>
    <row r="1031" spans="1:15" ht="15" customHeight="1">
      <c r="A1031" s="2242" t="str">
        <f>$K$2</f>
        <v>THÁNG 09/2024</v>
      </c>
      <c r="B1031" s="2242"/>
      <c r="C1031" s="2242"/>
      <c r="D1031" s="2242"/>
      <c r="E1031" s="1050"/>
      <c r="F1031" s="1051"/>
      <c r="G1031" s="2242" t="str">
        <f>$K$2</f>
        <v>THÁNG 09/2024</v>
      </c>
      <c r="H1031" s="2242"/>
      <c r="I1031" s="2242"/>
      <c r="J1031" s="2242"/>
      <c r="K1031" s="624"/>
    </row>
    <row r="1032" spans="1:15" ht="15" customHeight="1">
      <c r="A1032" s="1052" t="s">
        <v>356</v>
      </c>
      <c r="B1032" s="1053" t="s">
        <v>45</v>
      </c>
      <c r="C1032" s="869"/>
      <c r="D1032" s="1049"/>
      <c r="E1032" s="1054"/>
      <c r="F1032" s="1055"/>
      <c r="G1032" s="1052" t="s">
        <v>356</v>
      </c>
      <c r="H1032" s="1053" t="s">
        <v>46</v>
      </c>
      <c r="I1032" s="869"/>
      <c r="J1032" s="1049"/>
      <c r="L1032" s="1088"/>
      <c r="M1032" s="1088"/>
      <c r="N1032" s="1088"/>
      <c r="O1032" s="1088"/>
    </row>
    <row r="1033" spans="1:15" ht="15" customHeight="1">
      <c r="A1033" s="1052" t="s">
        <v>359</v>
      </c>
      <c r="B1033" s="1089" t="s">
        <v>360</v>
      </c>
      <c r="C1033" s="1058" t="e">
        <f>VLOOKUP(B1032,'LƯƠNG KT'!$D$15:$U$94,3,0)</f>
        <v>#N/A</v>
      </c>
      <c r="D1033" s="1059" t="e">
        <f>+C1033*25000</f>
        <v>#N/A</v>
      </c>
      <c r="E1033" s="1060"/>
      <c r="F1033" s="1060"/>
      <c r="G1033" s="1052" t="s">
        <v>359</v>
      </c>
      <c r="H1033" s="1089" t="s">
        <v>360</v>
      </c>
      <c r="I1033" s="1058" t="e">
        <f>VLOOKUP(H1032,'LƯƠNG KT'!$D$15:$U$94,3,0)</f>
        <v>#N/A</v>
      </c>
      <c r="J1033" s="1059" t="e">
        <f>+I1033*25000</f>
        <v>#N/A</v>
      </c>
      <c r="K1033" s="1085"/>
      <c r="L1033" s="1085"/>
      <c r="M1033" s="1085"/>
      <c r="N1033" s="1085"/>
      <c r="O1033" s="1085"/>
    </row>
    <row r="1034" spans="1:15" ht="15" customHeight="1">
      <c r="A1034" s="1052" t="s">
        <v>361</v>
      </c>
      <c r="B1034" s="869" t="s">
        <v>362</v>
      </c>
      <c r="C1034" s="1058" t="e">
        <f>VLOOKUP(B1032,'LƯƠNG KT'!$D$15:$U$94,14,0)</f>
        <v>#N/A</v>
      </c>
      <c r="D1034" s="1059" t="e">
        <f>C1034*$L$4</f>
        <v>#N/A</v>
      </c>
      <c r="E1034" s="1061"/>
      <c r="F1034" s="1061"/>
      <c r="G1034" s="1052" t="s">
        <v>361</v>
      </c>
      <c r="H1034" s="869" t="s">
        <v>362</v>
      </c>
      <c r="I1034" s="1058" t="e">
        <f>VLOOKUP(H1032,'LƯƠNG KT'!$D$15:$U$94,14,0)</f>
        <v>#N/A</v>
      </c>
      <c r="J1034" s="1059" t="e">
        <f>I1034*$L$4</f>
        <v>#N/A</v>
      </c>
      <c r="K1034" s="1085"/>
      <c r="L1034" s="1085"/>
      <c r="M1034" s="1085"/>
      <c r="N1034" s="1085"/>
      <c r="O1034" s="1085"/>
    </row>
    <row r="1035" spans="1:15" ht="15" customHeight="1">
      <c r="A1035" s="1052" t="s">
        <v>364</v>
      </c>
      <c r="B1035" s="869" t="s">
        <v>365</v>
      </c>
      <c r="C1035" s="1058" t="e">
        <f>VLOOKUP(B1032,'LƯƠNG KT'!$D$15:$U$94,15,0)</f>
        <v>#N/A</v>
      </c>
      <c r="D1035" s="1059" t="e">
        <f>C1035*$L$5</f>
        <v>#N/A</v>
      </c>
      <c r="E1035" s="1061"/>
      <c r="F1035" s="1061"/>
      <c r="G1035" s="1052" t="s">
        <v>364</v>
      </c>
      <c r="H1035" s="869" t="s">
        <v>365</v>
      </c>
      <c r="I1035" s="1058" t="e">
        <f>VLOOKUP(H1032,'LƯƠNG KT'!$D$15:$U$94,15,0)</f>
        <v>#N/A</v>
      </c>
      <c r="J1035" s="1059" t="e">
        <f>I1035*$L$5</f>
        <v>#N/A</v>
      </c>
      <c r="K1035" s="1085"/>
      <c r="L1035" s="1085"/>
      <c r="M1035" s="1085"/>
      <c r="N1035" s="1085"/>
      <c r="O1035" s="1085"/>
    </row>
    <row r="1036" spans="1:15" ht="15" customHeight="1">
      <c r="A1036" s="1052" t="s">
        <v>367</v>
      </c>
      <c r="B1036" s="869"/>
      <c r="C1036" s="1058" t="e">
        <f>VLOOKUP(B1032,'LƯƠNG KT'!$D$15:$U$94,16,0)</f>
        <v>#N/A</v>
      </c>
      <c r="D1036" s="1059" t="e">
        <f>+C1036*$L$6</f>
        <v>#N/A</v>
      </c>
      <c r="E1036" s="1061"/>
      <c r="F1036" s="1061"/>
      <c r="G1036" s="1052" t="s">
        <v>367</v>
      </c>
      <c r="H1036" s="869"/>
      <c r="I1036" s="1058" t="e">
        <f>VLOOKUP(H1032,'LƯƠNG KT'!$D$15:$U$94,16,0)</f>
        <v>#N/A</v>
      </c>
      <c r="J1036" s="1059" t="e">
        <f>+I1036*$L$6</f>
        <v>#N/A</v>
      </c>
      <c r="K1036" s="1085"/>
      <c r="L1036" s="1085"/>
      <c r="M1036" s="1085"/>
      <c r="N1036" s="1085"/>
      <c r="O1036" s="1085"/>
    </row>
    <row r="1037" spans="1:15" ht="15" customHeight="1">
      <c r="A1037" s="1052" t="s">
        <v>371</v>
      </c>
      <c r="B1037" s="869" t="s">
        <v>372</v>
      </c>
      <c r="C1037" s="1058" t="e">
        <f>VLOOKUP(B1032,'LƯƠNG KT'!$D$15:$U$94,9,0)*$L$10</f>
        <v>#N/A</v>
      </c>
      <c r="D1037" s="1059" t="e">
        <f>+C1037*0.5*3000</f>
        <v>#N/A</v>
      </c>
      <c r="E1037" s="1061"/>
      <c r="F1037" s="1061"/>
      <c r="G1037" s="1052" t="s">
        <v>371</v>
      </c>
      <c r="H1037" s="869" t="s">
        <v>372</v>
      </c>
      <c r="I1037" s="1058" t="e">
        <f>VLOOKUP(H1032,'LƯƠNG KT'!$D$15:$U$94,9,0)*$L$10</f>
        <v>#N/A</v>
      </c>
      <c r="J1037" s="1059" t="e">
        <f>+I1037*0.5*3000</f>
        <v>#N/A</v>
      </c>
      <c r="K1037" s="1085"/>
      <c r="L1037" s="1085"/>
      <c r="M1037" s="1085"/>
      <c r="N1037" s="1085"/>
      <c r="O1037" s="1085"/>
    </row>
    <row r="1038" spans="1:15" ht="15" customHeight="1">
      <c r="A1038" s="1052" t="s">
        <v>374</v>
      </c>
      <c r="B1038" s="869" t="s">
        <v>375</v>
      </c>
      <c r="C1038" s="1058" t="e">
        <f>VLOOKUP(B1032,'LƯƠNG KT'!$D$15:$U$94,8,0)*$L$11</f>
        <v>#N/A</v>
      </c>
      <c r="D1038" s="1059" t="e">
        <f>VLOOKUP(B1032,'LƯƠNG KT'!$D$15:$U$94,13,0)-D1037</f>
        <v>#N/A</v>
      </c>
      <c r="E1038" s="1063"/>
      <c r="F1038" s="1061"/>
      <c r="G1038" s="1052" t="s">
        <v>374</v>
      </c>
      <c r="H1038" s="869" t="s">
        <v>375</v>
      </c>
      <c r="I1038" s="1058" t="e">
        <f>VLOOKUP(H1032,'LƯƠNG KT'!$D$15:$U$94,8,0)*$L$11</f>
        <v>#N/A</v>
      </c>
      <c r="J1038" s="1059" t="e">
        <f>VLOOKUP(H1032,'LƯƠNG KT'!$D$15:$U$94,13,0)-J1037</f>
        <v>#N/A</v>
      </c>
      <c r="K1038" s="1085"/>
      <c r="L1038" s="1085"/>
      <c r="M1038" s="1085"/>
      <c r="N1038" s="1085"/>
      <c r="O1038" s="1085"/>
    </row>
    <row r="1039" spans="1:15" ht="15" customHeight="1">
      <c r="A1039" s="1059" t="s">
        <v>377</v>
      </c>
      <c r="B1039" s="869" t="s">
        <v>378</v>
      </c>
      <c r="C1039" s="1058"/>
      <c r="D1039" s="1059"/>
      <c r="E1039" s="1065"/>
      <c r="F1039" s="1065"/>
      <c r="G1039" s="1059" t="s">
        <v>377</v>
      </c>
      <c r="H1039" s="869" t="s">
        <v>378</v>
      </c>
      <c r="I1039" s="1058"/>
      <c r="J1039" s="1059"/>
    </row>
    <row r="1040" spans="1:15" ht="15" customHeight="1">
      <c r="A1040" s="1066" t="s">
        <v>379</v>
      </c>
      <c r="B1040" s="869" t="s">
        <v>380</v>
      </c>
      <c r="C1040" s="1058"/>
      <c r="D1040" s="1059"/>
      <c r="E1040" s="1063"/>
      <c r="F1040" s="1065"/>
      <c r="G1040" s="1066" t="s">
        <v>379</v>
      </c>
      <c r="H1040" s="869" t="s">
        <v>380</v>
      </c>
      <c r="I1040" s="1058"/>
      <c r="J1040" s="1059"/>
    </row>
    <row r="1041" spans="1:15" ht="15" customHeight="1">
      <c r="A1041" s="1052" t="s">
        <v>381</v>
      </c>
      <c r="B1041" s="869" t="s">
        <v>382</v>
      </c>
      <c r="C1041" s="1058"/>
      <c r="D1041" s="1059">
        <f>D1040</f>
        <v>0</v>
      </c>
      <c r="E1041" s="1067"/>
      <c r="F1041" s="1051"/>
      <c r="G1041" s="1052" t="s">
        <v>381</v>
      </c>
      <c r="H1041" s="869" t="s">
        <v>382</v>
      </c>
      <c r="I1041" s="1058"/>
      <c r="J1041" s="1059">
        <f>J1040</f>
        <v>0</v>
      </c>
    </row>
    <row r="1042" spans="1:15" ht="15" customHeight="1">
      <c r="A1042" s="1068" t="s">
        <v>383</v>
      </c>
      <c r="B1042" s="1069" t="s">
        <v>384</v>
      </c>
      <c r="C1042" s="1070"/>
      <c r="D1042" s="1071" t="e">
        <f>SUM(D1033:D1038)-D1041</f>
        <v>#N/A</v>
      </c>
      <c r="E1042" s="1072"/>
      <c r="F1042" s="1073"/>
      <c r="G1042" s="1068" t="s">
        <v>383</v>
      </c>
      <c r="H1042" s="1069" t="s">
        <v>384</v>
      </c>
      <c r="I1042" s="1070"/>
      <c r="J1042" s="1071" t="e">
        <f>SUM(J1033:J1038)-J1041</f>
        <v>#N/A</v>
      </c>
    </row>
    <row r="1043" spans="1:15" ht="15.75" customHeight="1">
      <c r="A1043" s="1074"/>
      <c r="B1043" s="1075"/>
      <c r="C1043" s="1076"/>
      <c r="D1043" s="1077"/>
      <c r="E1043" s="1077"/>
      <c r="F1043" s="1078"/>
      <c r="G1043" s="1074"/>
      <c r="H1043" s="1075"/>
      <c r="I1043" s="1076"/>
      <c r="J1043" s="1077"/>
    </row>
    <row r="1045" spans="1:15" ht="12" customHeight="1">
      <c r="A1045" s="2243"/>
      <c r="B1045" s="2243"/>
      <c r="C1045" s="2243"/>
      <c r="D1045" s="2243"/>
      <c r="E1045" s="2243"/>
      <c r="F1045" s="2243"/>
      <c r="G1045" s="2243"/>
      <c r="H1045" s="2243"/>
      <c r="I1045" s="2243"/>
      <c r="J1045" s="2243"/>
    </row>
    <row r="1046" spans="1:15" ht="15" customHeight="1">
      <c r="A1046" s="2242" t="str">
        <f>$K$2</f>
        <v>THÁNG 09/2024</v>
      </c>
      <c r="B1046" s="2242"/>
      <c r="C1046" s="2242"/>
      <c r="D1046" s="2242"/>
      <c r="E1046" s="1050"/>
      <c r="F1046" s="1051"/>
      <c r="G1046" s="2242" t="str">
        <f>$K$2</f>
        <v>THÁNG 09/2024</v>
      </c>
      <c r="H1046" s="2242"/>
      <c r="I1046" s="2242"/>
      <c r="J1046" s="2242"/>
      <c r="K1046" s="624"/>
    </row>
    <row r="1047" spans="1:15" ht="15" customHeight="1">
      <c r="A1047" s="1052" t="s">
        <v>356</v>
      </c>
      <c r="B1047" s="1053" t="s">
        <v>47</v>
      </c>
      <c r="C1047" s="869"/>
      <c r="D1047" s="1049"/>
      <c r="E1047" s="1054"/>
      <c r="F1047" s="1055"/>
      <c r="G1047" s="1052" t="s">
        <v>356</v>
      </c>
      <c r="H1047" s="1053" t="s">
        <v>48</v>
      </c>
      <c r="I1047" s="869"/>
      <c r="J1047" s="1049"/>
      <c r="L1047" s="1088"/>
      <c r="M1047" s="1088"/>
      <c r="N1047" s="1088"/>
      <c r="O1047" s="1088"/>
    </row>
    <row r="1048" spans="1:15" ht="15" customHeight="1">
      <c r="A1048" s="1052" t="s">
        <v>359</v>
      </c>
      <c r="B1048" s="1089" t="s">
        <v>360</v>
      </c>
      <c r="C1048" s="1058" t="e">
        <f>VLOOKUP(B1047,'LƯƠNG KT'!$D$15:$U$94,3,0)</f>
        <v>#N/A</v>
      </c>
      <c r="D1048" s="1059" t="e">
        <f>+C1048*25000</f>
        <v>#N/A</v>
      </c>
      <c r="E1048" s="1060"/>
      <c r="F1048" s="1060"/>
      <c r="G1048" s="1052" t="s">
        <v>359</v>
      </c>
      <c r="H1048" s="1089" t="s">
        <v>360</v>
      </c>
      <c r="I1048" s="1058" t="e">
        <f>VLOOKUP(H1047,'LƯƠNG KT'!$D$15:$U$94,3,0)</f>
        <v>#N/A</v>
      </c>
      <c r="J1048" s="1059" t="e">
        <f>+I1048*25000</f>
        <v>#N/A</v>
      </c>
      <c r="K1048" s="1084"/>
      <c r="L1048" s="1085"/>
      <c r="M1048" s="1085"/>
      <c r="N1048" s="1085"/>
      <c r="O1048" s="1085"/>
    </row>
    <row r="1049" spans="1:15" ht="15" customHeight="1">
      <c r="A1049" s="1052" t="s">
        <v>361</v>
      </c>
      <c r="B1049" s="869" t="s">
        <v>362</v>
      </c>
      <c r="C1049" s="1058" t="e">
        <f>VLOOKUP(B1047,'LƯƠNG KT'!$D$15:$U$94,14,0)</f>
        <v>#N/A</v>
      </c>
      <c r="D1049" s="1059" t="e">
        <f>C1049*$L$4</f>
        <v>#N/A</v>
      </c>
      <c r="E1049" s="1061"/>
      <c r="F1049" s="1061"/>
      <c r="G1049" s="1052" t="s">
        <v>361</v>
      </c>
      <c r="H1049" s="869" t="s">
        <v>362</v>
      </c>
      <c r="I1049" s="1058" t="e">
        <f>VLOOKUP(H1047,'LƯƠNG KT'!$D$15:$U$94,14,0)</f>
        <v>#N/A</v>
      </c>
      <c r="J1049" s="1059" t="e">
        <f>I1049*$L$4</f>
        <v>#N/A</v>
      </c>
      <c r="K1049" s="1084"/>
      <c r="L1049" s="1085"/>
      <c r="M1049" s="1085"/>
      <c r="N1049" s="1085"/>
      <c r="O1049" s="1085"/>
    </row>
    <row r="1050" spans="1:15" ht="15" customHeight="1">
      <c r="A1050" s="1052" t="s">
        <v>364</v>
      </c>
      <c r="B1050" s="869" t="s">
        <v>365</v>
      </c>
      <c r="C1050" s="1058" t="e">
        <f>VLOOKUP(B1047,'LƯƠNG KT'!$D$15:$U$94,15,0)</f>
        <v>#N/A</v>
      </c>
      <c r="D1050" s="1059" t="e">
        <f>C1050*$L$5</f>
        <v>#N/A</v>
      </c>
      <c r="E1050" s="1061"/>
      <c r="F1050" s="1061"/>
      <c r="G1050" s="1052" t="s">
        <v>364</v>
      </c>
      <c r="H1050" s="869" t="s">
        <v>365</v>
      </c>
      <c r="I1050" s="1058" t="e">
        <f>VLOOKUP(H1047,'LƯƠNG KT'!$D$15:$U$94,15,0)</f>
        <v>#N/A</v>
      </c>
      <c r="J1050" s="1059" t="e">
        <f>I1050*$L$5</f>
        <v>#N/A</v>
      </c>
      <c r="K1050" s="1084"/>
      <c r="L1050" s="1085"/>
      <c r="M1050" s="1085"/>
      <c r="N1050" s="1085"/>
      <c r="O1050" s="1085"/>
    </row>
    <row r="1051" spans="1:15" ht="15" customHeight="1">
      <c r="A1051" s="1052" t="s">
        <v>367</v>
      </c>
      <c r="B1051" s="869"/>
      <c r="C1051" s="1058" t="e">
        <f>VLOOKUP(B1047,'LƯƠNG KT'!$D$15:$U$94,16,0)</f>
        <v>#N/A</v>
      </c>
      <c r="D1051" s="1059" t="e">
        <f>+C1051*$L$6</f>
        <v>#N/A</v>
      </c>
      <c r="E1051" s="1061"/>
      <c r="F1051" s="1061"/>
      <c r="G1051" s="1052" t="s">
        <v>367</v>
      </c>
      <c r="H1051" s="869"/>
      <c r="I1051" s="1058" t="e">
        <f>VLOOKUP(H1047,'LƯƠNG KT'!$D$15:$U$94,16,0)</f>
        <v>#N/A</v>
      </c>
      <c r="J1051" s="1059" t="e">
        <f>+I1051*$L$6</f>
        <v>#N/A</v>
      </c>
      <c r="K1051" s="1085"/>
      <c r="L1051" s="1085"/>
      <c r="M1051" s="1085"/>
      <c r="N1051" s="1085"/>
      <c r="O1051" s="1085"/>
    </row>
    <row r="1052" spans="1:15" ht="15" customHeight="1">
      <c r="A1052" s="1052" t="s">
        <v>371</v>
      </c>
      <c r="B1052" s="869" t="s">
        <v>372</v>
      </c>
      <c r="C1052" s="1058" t="e">
        <f>VLOOKUP(B1047,'LƯƠNG KT'!$D$15:$U$94,9,0)*$L$10</f>
        <v>#N/A</v>
      </c>
      <c r="D1052" s="1059" t="e">
        <f>+C1052*0.5*3000</f>
        <v>#N/A</v>
      </c>
      <c r="E1052" s="1061"/>
      <c r="F1052" s="1061"/>
      <c r="G1052" s="1052" t="s">
        <v>371</v>
      </c>
      <c r="H1052" s="869" t="s">
        <v>372</v>
      </c>
      <c r="I1052" s="1058" t="e">
        <f>VLOOKUP(H1047,'LƯƠNG KT'!$D$15:$U$94,9,0)*$L$10</f>
        <v>#N/A</v>
      </c>
      <c r="J1052" s="1059" t="e">
        <f>+I1052*0.5*3000</f>
        <v>#N/A</v>
      </c>
      <c r="K1052" s="1085"/>
      <c r="L1052" s="1085"/>
      <c r="M1052" s="1085"/>
      <c r="N1052" s="1085"/>
      <c r="O1052" s="1085"/>
    </row>
    <row r="1053" spans="1:15" ht="15" customHeight="1">
      <c r="A1053" s="1052" t="s">
        <v>374</v>
      </c>
      <c r="B1053" s="869" t="s">
        <v>375</v>
      </c>
      <c r="C1053" s="1058" t="e">
        <f>VLOOKUP(B1047,'LƯƠNG KT'!$D$15:$U$94,8,0)*$L$11</f>
        <v>#N/A</v>
      </c>
      <c r="D1053" s="1059" t="e">
        <f>VLOOKUP(B1047,'LƯƠNG KT'!$D$15:$U$94,13,0)-D1052</f>
        <v>#N/A</v>
      </c>
      <c r="E1053" s="1063"/>
      <c r="F1053" s="1061"/>
      <c r="G1053" s="1052" t="s">
        <v>374</v>
      </c>
      <c r="H1053" s="869" t="s">
        <v>375</v>
      </c>
      <c r="I1053" s="1058" t="e">
        <f>VLOOKUP(H1047,'LƯƠNG KT'!$D$15:$U$94,8,0)*$L$11</f>
        <v>#N/A</v>
      </c>
      <c r="J1053" s="1059" t="e">
        <f>VLOOKUP(H1047,'LƯƠNG KT'!$D$15:$U$94,13,0)-J1052</f>
        <v>#N/A</v>
      </c>
      <c r="K1053" s="1085"/>
      <c r="L1053" s="1085"/>
      <c r="M1053" s="1085"/>
      <c r="N1053" s="1085"/>
      <c r="O1053" s="1085"/>
    </row>
    <row r="1054" spans="1:15" ht="15" customHeight="1">
      <c r="A1054" s="1059" t="s">
        <v>377</v>
      </c>
      <c r="B1054" s="869" t="s">
        <v>378</v>
      </c>
      <c r="C1054" s="1058"/>
      <c r="D1054" s="1059"/>
      <c r="E1054" s="1065"/>
      <c r="F1054" s="1065"/>
      <c r="G1054" s="1059" t="s">
        <v>377</v>
      </c>
      <c r="H1054" s="869" t="s">
        <v>378</v>
      </c>
      <c r="I1054" s="1058"/>
      <c r="J1054" s="1059"/>
    </row>
    <row r="1055" spans="1:15" ht="15" customHeight="1">
      <c r="A1055" s="1066" t="s">
        <v>379</v>
      </c>
      <c r="B1055" s="869" t="s">
        <v>380</v>
      </c>
      <c r="C1055" s="1058"/>
      <c r="D1055" s="1059"/>
      <c r="E1055" s="1063"/>
      <c r="F1055" s="1065"/>
      <c r="G1055" s="1066" t="s">
        <v>379</v>
      </c>
      <c r="H1055" s="869" t="s">
        <v>380</v>
      </c>
      <c r="I1055" s="1058"/>
      <c r="J1055" s="1059"/>
    </row>
    <row r="1056" spans="1:15" ht="15" customHeight="1">
      <c r="A1056" s="1052" t="s">
        <v>381</v>
      </c>
      <c r="B1056" s="869" t="s">
        <v>382</v>
      </c>
      <c r="C1056" s="1058"/>
      <c r="D1056" s="1059">
        <f>D1055</f>
        <v>0</v>
      </c>
      <c r="E1056" s="1067"/>
      <c r="F1056" s="1051"/>
      <c r="G1056" s="1052" t="s">
        <v>381</v>
      </c>
      <c r="H1056" s="869" t="s">
        <v>382</v>
      </c>
      <c r="I1056" s="1058"/>
      <c r="J1056" s="1059">
        <f>J1055</f>
        <v>0</v>
      </c>
    </row>
    <row r="1057" spans="1:15" ht="15" customHeight="1">
      <c r="A1057" s="1068" t="s">
        <v>383</v>
      </c>
      <c r="B1057" s="1069" t="s">
        <v>384</v>
      </c>
      <c r="C1057" s="1070"/>
      <c r="D1057" s="1071" t="e">
        <f>SUM(D1048:D1053)-D1056</f>
        <v>#N/A</v>
      </c>
      <c r="E1057" s="1072"/>
      <c r="F1057" s="1073"/>
      <c r="G1057" s="1068" t="s">
        <v>383</v>
      </c>
      <c r="H1057" s="1069" t="s">
        <v>384</v>
      </c>
      <c r="I1057" s="1070"/>
      <c r="J1057" s="1071" t="e">
        <f>SUM(J1048:J1053)-J1056</f>
        <v>#N/A</v>
      </c>
    </row>
    <row r="1058" spans="1:15" ht="12.6" customHeight="1">
      <c r="A1058" s="1074"/>
      <c r="B1058" s="1075"/>
      <c r="C1058" s="1076"/>
      <c r="D1058" s="1077"/>
      <c r="E1058" s="1077"/>
      <c r="F1058" s="1078"/>
      <c r="G1058" s="1074"/>
      <c r="H1058" s="1075"/>
      <c r="I1058" s="1076"/>
      <c r="J1058" s="1077"/>
    </row>
    <row r="1059" spans="1:15" ht="12.6" customHeight="1">
      <c r="A1059" s="1075"/>
      <c r="B1059" s="1075"/>
      <c r="C1059" s="1079"/>
      <c r="D1059" s="1080"/>
      <c r="E1059" s="1075"/>
      <c r="F1059" s="1081"/>
      <c r="G1059" s="1075"/>
      <c r="H1059" s="1075"/>
      <c r="I1059" s="1079"/>
      <c r="J1059" s="1080"/>
    </row>
    <row r="1060" spans="1:15" ht="15" customHeight="1">
      <c r="A1060" s="2242" t="str">
        <f>$K$2</f>
        <v>THÁNG 09/2024</v>
      </c>
      <c r="B1060" s="2242"/>
      <c r="C1060" s="2242"/>
      <c r="D1060" s="2242"/>
      <c r="E1060" s="1050"/>
      <c r="F1060" s="1051"/>
      <c r="G1060" s="2242" t="str">
        <f>$K$2</f>
        <v>THÁNG 09/2024</v>
      </c>
      <c r="H1060" s="2242"/>
      <c r="I1060" s="2242"/>
      <c r="J1060" s="2242"/>
      <c r="K1060" s="624"/>
    </row>
    <row r="1061" spans="1:15" ht="15" customHeight="1">
      <c r="A1061" s="1052" t="s">
        <v>356</v>
      </c>
      <c r="B1061" s="1053" t="s">
        <v>49</v>
      </c>
      <c r="C1061" s="869"/>
      <c r="D1061" s="1049"/>
      <c r="E1061" s="1054"/>
      <c r="F1061" s="1055"/>
      <c r="G1061" s="1052" t="s">
        <v>356</v>
      </c>
      <c r="H1061" s="1053" t="s">
        <v>50</v>
      </c>
      <c r="I1061" s="869"/>
      <c r="J1061" s="1049"/>
      <c r="L1061" s="1088"/>
      <c r="M1061" s="1088"/>
      <c r="N1061" s="1088"/>
      <c r="O1061" s="1088"/>
    </row>
    <row r="1062" spans="1:15" ht="15" customHeight="1">
      <c r="A1062" s="1052" t="s">
        <v>359</v>
      </c>
      <c r="B1062" s="1089" t="s">
        <v>360</v>
      </c>
      <c r="C1062" s="1058" t="e">
        <f>VLOOKUP(B1061,'LƯƠNG KT'!$D$15:$U$94,3,0)</f>
        <v>#N/A</v>
      </c>
      <c r="D1062" s="1059" t="e">
        <f>+C1062*25000</f>
        <v>#N/A</v>
      </c>
      <c r="E1062" s="1060"/>
      <c r="F1062" s="1060"/>
      <c r="G1062" s="1052" t="s">
        <v>359</v>
      </c>
      <c r="H1062" s="1089" t="s">
        <v>360</v>
      </c>
      <c r="I1062" s="1058" t="e">
        <f>VLOOKUP(H1061,'LƯƠNG KT'!$D$15:$U$94,3,0)</f>
        <v>#N/A</v>
      </c>
      <c r="J1062" s="1059" t="e">
        <f>+I1062*25000</f>
        <v>#N/A</v>
      </c>
      <c r="K1062" s="1085"/>
      <c r="L1062" s="1085"/>
      <c r="M1062" s="1085"/>
      <c r="N1062" s="1085"/>
      <c r="O1062" s="1085"/>
    </row>
    <row r="1063" spans="1:15" ht="15" customHeight="1">
      <c r="A1063" s="1052" t="s">
        <v>361</v>
      </c>
      <c r="B1063" s="869" t="s">
        <v>362</v>
      </c>
      <c r="C1063" s="1058" t="e">
        <f>VLOOKUP(B1061,'LƯƠNG KT'!$D$15:$U$94,14,0)</f>
        <v>#N/A</v>
      </c>
      <c r="D1063" s="1059" t="e">
        <f>C1063*$L$4</f>
        <v>#N/A</v>
      </c>
      <c r="E1063" s="1061"/>
      <c r="F1063" s="1061"/>
      <c r="G1063" s="1052" t="s">
        <v>361</v>
      </c>
      <c r="H1063" s="869" t="s">
        <v>362</v>
      </c>
      <c r="I1063" s="1058" t="e">
        <f>VLOOKUP(H1061,'LƯƠNG KT'!$D$15:$U$94,14,0)</f>
        <v>#N/A</v>
      </c>
      <c r="J1063" s="1059" t="e">
        <f>I1063*$L$4</f>
        <v>#N/A</v>
      </c>
      <c r="K1063" s="1085"/>
      <c r="L1063" s="1085"/>
      <c r="M1063" s="1085"/>
      <c r="N1063" s="1085"/>
      <c r="O1063" s="1085"/>
    </row>
    <row r="1064" spans="1:15" ht="15" customHeight="1">
      <c r="A1064" s="1052" t="s">
        <v>364</v>
      </c>
      <c r="B1064" s="869" t="s">
        <v>365</v>
      </c>
      <c r="C1064" s="1058" t="e">
        <f>VLOOKUP(B1061,'LƯƠNG KT'!$D$15:$U$94,15,0)</f>
        <v>#N/A</v>
      </c>
      <c r="D1064" s="1059" t="e">
        <f>C1064*$L$5</f>
        <v>#N/A</v>
      </c>
      <c r="E1064" s="1061"/>
      <c r="F1064" s="1061"/>
      <c r="G1064" s="1052" t="s">
        <v>364</v>
      </c>
      <c r="H1064" s="869" t="s">
        <v>365</v>
      </c>
      <c r="I1064" s="1058" t="e">
        <f>VLOOKUP(H1061,'LƯƠNG KT'!$D$15:$U$94,15,0)</f>
        <v>#N/A</v>
      </c>
      <c r="J1064" s="1059" t="e">
        <f>I1064*$L$5</f>
        <v>#N/A</v>
      </c>
      <c r="K1064" s="1085"/>
      <c r="L1064" s="1085"/>
      <c r="M1064" s="1085"/>
      <c r="N1064" s="1085"/>
      <c r="O1064" s="1085"/>
    </row>
    <row r="1065" spans="1:15" ht="15" customHeight="1">
      <c r="A1065" s="1052" t="s">
        <v>367</v>
      </c>
      <c r="B1065" s="869"/>
      <c r="C1065" s="1058" t="e">
        <f>VLOOKUP(B1061,'LƯƠNG KT'!$D$15:$U$94,16,0)</f>
        <v>#N/A</v>
      </c>
      <c r="D1065" s="1059" t="e">
        <f>+C1065*$L$6</f>
        <v>#N/A</v>
      </c>
      <c r="E1065" s="1061"/>
      <c r="F1065" s="1061"/>
      <c r="G1065" s="1052" t="s">
        <v>367</v>
      </c>
      <c r="H1065" s="869"/>
      <c r="I1065" s="1058" t="e">
        <f>VLOOKUP(H1061,'LƯƠNG KT'!$D$15:$U$94,16,0)</f>
        <v>#N/A</v>
      </c>
      <c r="J1065" s="1059" t="e">
        <f>+I1065*$L$6</f>
        <v>#N/A</v>
      </c>
      <c r="K1065" s="1085"/>
      <c r="L1065" s="1085"/>
      <c r="M1065" s="1085"/>
      <c r="N1065" s="1085"/>
      <c r="O1065" s="1085"/>
    </row>
    <row r="1066" spans="1:15" ht="15" customHeight="1">
      <c r="A1066" s="1052" t="s">
        <v>371</v>
      </c>
      <c r="B1066" s="869" t="s">
        <v>372</v>
      </c>
      <c r="C1066" s="1058" t="e">
        <f>VLOOKUP(B1061,'LƯƠNG KT'!$D$15:$U$94,9,0)*$L$10</f>
        <v>#N/A</v>
      </c>
      <c r="D1066" s="1059" t="e">
        <f>+C1066*0.5*3000</f>
        <v>#N/A</v>
      </c>
      <c r="E1066" s="1061"/>
      <c r="F1066" s="1061"/>
      <c r="G1066" s="1052" t="s">
        <v>371</v>
      </c>
      <c r="H1066" s="869" t="s">
        <v>372</v>
      </c>
      <c r="I1066" s="1058" t="e">
        <f>VLOOKUP(H1061,'LƯƠNG KT'!$D$15:$U$94,9,0)*$L$10</f>
        <v>#N/A</v>
      </c>
      <c r="J1066" s="1059" t="e">
        <f>+I1066*0.5*3000</f>
        <v>#N/A</v>
      </c>
      <c r="K1066" s="1085"/>
      <c r="L1066" s="1085"/>
      <c r="M1066" s="1085"/>
      <c r="N1066" s="1085"/>
      <c r="O1066" s="1085"/>
    </row>
    <row r="1067" spans="1:15" ht="15" customHeight="1">
      <c r="A1067" s="1052" t="s">
        <v>374</v>
      </c>
      <c r="B1067" s="869" t="s">
        <v>375</v>
      </c>
      <c r="C1067" s="1058" t="e">
        <f>VLOOKUP(B1061,'LƯƠNG KT'!$D$15:$U$94,8,0)*$L$11</f>
        <v>#N/A</v>
      </c>
      <c r="D1067" s="1059" t="e">
        <f>VLOOKUP(B1061,'LƯƠNG KT'!$D$15:$U$94,13,0)-D1066</f>
        <v>#N/A</v>
      </c>
      <c r="E1067" s="1063"/>
      <c r="F1067" s="1061"/>
      <c r="G1067" s="1052" t="s">
        <v>374</v>
      </c>
      <c r="H1067" s="869" t="s">
        <v>375</v>
      </c>
      <c r="I1067" s="1058" t="e">
        <f>VLOOKUP(H1061,'LƯƠNG KT'!$D$15:$U$94,8,0)*$L$11</f>
        <v>#N/A</v>
      </c>
      <c r="J1067" s="1059" t="e">
        <f>VLOOKUP(H1061,'LƯƠNG KT'!$D$15:$U$94,13,0)-J1066</f>
        <v>#N/A</v>
      </c>
      <c r="K1067" s="1085"/>
      <c r="L1067" s="1085"/>
      <c r="M1067" s="1085"/>
      <c r="N1067" s="1085"/>
      <c r="O1067" s="1085"/>
    </row>
    <row r="1068" spans="1:15" ht="15" customHeight="1">
      <c r="A1068" s="1059" t="s">
        <v>377</v>
      </c>
      <c r="B1068" s="869" t="s">
        <v>378</v>
      </c>
      <c r="C1068" s="1058"/>
      <c r="D1068" s="1059"/>
      <c r="E1068" s="1065"/>
      <c r="F1068" s="1065"/>
      <c r="G1068" s="1059" t="s">
        <v>377</v>
      </c>
      <c r="H1068" s="869" t="s">
        <v>378</v>
      </c>
      <c r="I1068" s="1058"/>
      <c r="J1068" s="1059"/>
    </row>
    <row r="1069" spans="1:15" ht="15" customHeight="1">
      <c r="A1069" s="1066" t="s">
        <v>379</v>
      </c>
      <c r="B1069" s="869" t="s">
        <v>380</v>
      </c>
      <c r="C1069" s="1058"/>
      <c r="D1069" s="1059"/>
      <c r="E1069" s="1063"/>
      <c r="F1069" s="1065"/>
      <c r="G1069" s="1066" t="s">
        <v>379</v>
      </c>
      <c r="H1069" s="869" t="s">
        <v>380</v>
      </c>
      <c r="I1069" s="1058"/>
      <c r="J1069" s="1059"/>
    </row>
    <row r="1070" spans="1:15" ht="15" customHeight="1">
      <c r="A1070" s="1052" t="s">
        <v>381</v>
      </c>
      <c r="B1070" s="869" t="s">
        <v>382</v>
      </c>
      <c r="C1070" s="1058"/>
      <c r="D1070" s="1059">
        <f>D1069</f>
        <v>0</v>
      </c>
      <c r="E1070" s="1067"/>
      <c r="F1070" s="1051"/>
      <c r="G1070" s="1052" t="s">
        <v>381</v>
      </c>
      <c r="H1070" s="869" t="s">
        <v>382</v>
      </c>
      <c r="I1070" s="1058"/>
      <c r="J1070" s="1059">
        <f>J1069</f>
        <v>0</v>
      </c>
    </row>
    <row r="1071" spans="1:15" ht="15" customHeight="1">
      <c r="A1071" s="1068" t="s">
        <v>383</v>
      </c>
      <c r="B1071" s="1069" t="s">
        <v>384</v>
      </c>
      <c r="C1071" s="1070"/>
      <c r="D1071" s="1071" t="e">
        <f>SUM(D1062:D1067)-D1070</f>
        <v>#N/A</v>
      </c>
      <c r="E1071" s="1072"/>
      <c r="F1071" s="1073"/>
      <c r="G1071" s="1068" t="s">
        <v>383</v>
      </c>
      <c r="H1071" s="1069" t="s">
        <v>384</v>
      </c>
      <c r="I1071" s="1070"/>
      <c r="J1071" s="1071" t="e">
        <f>SUM(J1062:J1067)-J1070</f>
        <v>#N/A</v>
      </c>
    </row>
    <row r="1072" spans="1:15" ht="18.75" customHeight="1">
      <c r="A1072" s="1074"/>
      <c r="B1072" s="1075"/>
      <c r="C1072" s="1076"/>
      <c r="D1072" s="1077"/>
      <c r="E1072" s="1077"/>
      <c r="F1072" s="1078"/>
      <c r="G1072" s="1074"/>
      <c r="H1072" s="1075"/>
      <c r="I1072" s="1076"/>
      <c r="J1072" s="1077"/>
    </row>
    <row r="1073" spans="1:15" ht="18.75" customHeight="1">
      <c r="A1073" s="1075"/>
      <c r="B1073" s="1075"/>
      <c r="C1073" s="1079"/>
      <c r="D1073" s="1080"/>
      <c r="E1073" s="1075"/>
      <c r="F1073" s="1081"/>
      <c r="G1073" s="1075"/>
      <c r="H1073" s="1075"/>
      <c r="I1073" s="1079"/>
      <c r="J1073" s="1080"/>
    </row>
    <row r="1074" spans="1:15" ht="15" customHeight="1">
      <c r="A1074" s="2242" t="str">
        <f>$K$2</f>
        <v>THÁNG 09/2024</v>
      </c>
      <c r="B1074" s="2242"/>
      <c r="C1074" s="2242"/>
      <c r="D1074" s="2242"/>
      <c r="E1074" s="1050"/>
      <c r="F1074" s="1051"/>
      <c r="G1074" s="2242" t="str">
        <f>$K$2</f>
        <v>THÁNG 09/2024</v>
      </c>
      <c r="H1074" s="2242"/>
      <c r="I1074" s="2242"/>
      <c r="J1074" s="2242"/>
      <c r="K1074" s="624"/>
    </row>
    <row r="1075" spans="1:15" ht="15" customHeight="1">
      <c r="A1075" s="1052" t="s">
        <v>356</v>
      </c>
      <c r="B1075" s="1053" t="s">
        <v>486</v>
      </c>
      <c r="C1075" s="869"/>
      <c r="D1075" s="1049"/>
      <c r="E1075" s="1054"/>
      <c r="F1075" s="1055"/>
      <c r="G1075" s="1052" t="s">
        <v>356</v>
      </c>
      <c r="H1075" s="1053" t="s">
        <v>52</v>
      </c>
      <c r="I1075" s="869"/>
      <c r="J1075" s="1049"/>
      <c r="L1075" s="1088"/>
      <c r="M1075" s="1088"/>
      <c r="N1075" s="1088"/>
      <c r="O1075" s="1088"/>
    </row>
    <row r="1076" spans="1:15" ht="15" customHeight="1">
      <c r="A1076" s="1052" t="s">
        <v>359</v>
      </c>
      <c r="B1076" s="1089" t="s">
        <v>360</v>
      </c>
      <c r="C1076" s="1058" t="e">
        <f>VLOOKUP(B1075,'LƯƠNG KT'!$D$15:$U$94,3,0)</f>
        <v>#N/A</v>
      </c>
      <c r="D1076" s="1059" t="e">
        <f>+C1076*25000</f>
        <v>#N/A</v>
      </c>
      <c r="E1076" s="1060"/>
      <c r="F1076" s="1060"/>
      <c r="G1076" s="1052" t="s">
        <v>359</v>
      </c>
      <c r="H1076" s="1089" t="s">
        <v>360</v>
      </c>
      <c r="I1076" s="1058" t="e">
        <f>VLOOKUP(H1075,'LƯƠNG KT'!$D$15:$U$94,3,0)</f>
        <v>#N/A</v>
      </c>
      <c r="J1076" s="1059" t="e">
        <f>+I1076*25000</f>
        <v>#N/A</v>
      </c>
      <c r="K1076" s="1085"/>
      <c r="L1076" s="1085"/>
      <c r="M1076" s="1085"/>
      <c r="N1076" s="1085"/>
      <c r="O1076" s="1085"/>
    </row>
    <row r="1077" spans="1:15" ht="15" customHeight="1">
      <c r="A1077" s="1052" t="s">
        <v>361</v>
      </c>
      <c r="B1077" s="869" t="s">
        <v>362</v>
      </c>
      <c r="C1077" s="1058" t="e">
        <f>VLOOKUP(B1075,'LƯƠNG KT'!$D$15:$U$94,14,0)</f>
        <v>#N/A</v>
      </c>
      <c r="D1077" s="1059" t="e">
        <f>C1077*$L$4</f>
        <v>#N/A</v>
      </c>
      <c r="E1077" s="1061"/>
      <c r="F1077" s="1061"/>
      <c r="G1077" s="1052" t="s">
        <v>361</v>
      </c>
      <c r="H1077" s="869" t="s">
        <v>362</v>
      </c>
      <c r="I1077" s="1058" t="e">
        <f>VLOOKUP(H1075,'LƯƠNG KT'!$D$15:$U$94,14,0)</f>
        <v>#N/A</v>
      </c>
      <c r="J1077" s="1059" t="e">
        <f>I1077*$L$4</f>
        <v>#N/A</v>
      </c>
      <c r="K1077" s="1085"/>
      <c r="L1077" s="1085"/>
      <c r="M1077" s="1085"/>
      <c r="N1077" s="1085"/>
      <c r="O1077" s="1085"/>
    </row>
    <row r="1078" spans="1:15" ht="15" customHeight="1">
      <c r="A1078" s="1052" t="s">
        <v>364</v>
      </c>
      <c r="B1078" s="869" t="s">
        <v>365</v>
      </c>
      <c r="C1078" s="1058" t="e">
        <f>VLOOKUP(B1075,'LƯƠNG KT'!$D$15:$U$94,15,0)</f>
        <v>#N/A</v>
      </c>
      <c r="D1078" s="1059" t="e">
        <f>C1078*$L$5</f>
        <v>#N/A</v>
      </c>
      <c r="E1078" s="1061"/>
      <c r="F1078" s="1061"/>
      <c r="G1078" s="1052" t="s">
        <v>364</v>
      </c>
      <c r="H1078" s="869" t="s">
        <v>365</v>
      </c>
      <c r="I1078" s="1058" t="e">
        <f>VLOOKUP(H1075,'LƯƠNG KT'!$D$15:$U$94,15,0)</f>
        <v>#N/A</v>
      </c>
      <c r="J1078" s="1059" t="e">
        <f>I1078*$L$5</f>
        <v>#N/A</v>
      </c>
      <c r="K1078" s="1085"/>
      <c r="L1078" s="1085"/>
      <c r="M1078" s="1085"/>
      <c r="N1078" s="1085"/>
      <c r="O1078" s="1085"/>
    </row>
    <row r="1079" spans="1:15" ht="15" customHeight="1">
      <c r="A1079" s="1052" t="s">
        <v>367</v>
      </c>
      <c r="B1079" s="869"/>
      <c r="C1079" s="1058" t="e">
        <f>VLOOKUP(B1075,'LƯƠNG KT'!$D$15:$U$94,16,0)</f>
        <v>#N/A</v>
      </c>
      <c r="D1079" s="1059" t="e">
        <f>+C1079*$L$6</f>
        <v>#N/A</v>
      </c>
      <c r="E1079" s="1061"/>
      <c r="F1079" s="1061"/>
      <c r="G1079" s="1052" t="s">
        <v>367</v>
      </c>
      <c r="H1079" s="869"/>
      <c r="I1079" s="1058" t="e">
        <f>VLOOKUP(H1075,'LƯƠNG KT'!$D$15:$U$94,16,0)</f>
        <v>#N/A</v>
      </c>
      <c r="J1079" s="1059" t="e">
        <f>+I1079*$L$6</f>
        <v>#N/A</v>
      </c>
      <c r="K1079" s="1085"/>
      <c r="L1079" s="1085"/>
      <c r="M1079" s="1085"/>
      <c r="N1079" s="1085"/>
      <c r="O1079" s="1085"/>
    </row>
    <row r="1080" spans="1:15" ht="15" customHeight="1">
      <c r="A1080" s="1052" t="s">
        <v>371</v>
      </c>
      <c r="B1080" s="869" t="s">
        <v>372</v>
      </c>
      <c r="C1080" s="1058" t="e">
        <f>VLOOKUP(B1075,'LƯƠNG KT'!$D$15:$U$94,9,0)*$L$10</f>
        <v>#N/A</v>
      </c>
      <c r="D1080" s="1059" t="e">
        <f>+C1080*0.5*3000</f>
        <v>#N/A</v>
      </c>
      <c r="E1080" s="1061"/>
      <c r="F1080" s="1061"/>
      <c r="G1080" s="1052" t="s">
        <v>371</v>
      </c>
      <c r="H1080" s="869" t="s">
        <v>372</v>
      </c>
      <c r="I1080" s="1058" t="e">
        <f>VLOOKUP(H1075,'LƯƠNG KT'!$D$15:$U$94,9,0)*$L$10</f>
        <v>#N/A</v>
      </c>
      <c r="J1080" s="1059" t="e">
        <f>+I1080*0.5*3000</f>
        <v>#N/A</v>
      </c>
      <c r="K1080" s="1085"/>
      <c r="L1080" s="1085"/>
      <c r="M1080" s="1085"/>
      <c r="N1080" s="1085"/>
      <c r="O1080" s="1085"/>
    </row>
    <row r="1081" spans="1:15" ht="15" customHeight="1">
      <c r="A1081" s="1052" t="s">
        <v>374</v>
      </c>
      <c r="B1081" s="869" t="s">
        <v>375</v>
      </c>
      <c r="C1081" s="1058" t="e">
        <f>VLOOKUP(B1075,'LƯƠNG KT'!$D$15:$U$94,8,0)*$L$11</f>
        <v>#N/A</v>
      </c>
      <c r="D1081" s="1059" t="e">
        <f>VLOOKUP(B1075,'LƯƠNG KT'!$D$15:$U$94,13,0)-D1080</f>
        <v>#N/A</v>
      </c>
      <c r="E1081" s="1063"/>
      <c r="F1081" s="1061"/>
      <c r="G1081" s="1052" t="s">
        <v>374</v>
      </c>
      <c r="H1081" s="869" t="s">
        <v>375</v>
      </c>
      <c r="I1081" s="1058" t="e">
        <f>VLOOKUP(H1075,'LƯƠNG KT'!$D$15:$U$94,8,0)*$L$11</f>
        <v>#N/A</v>
      </c>
      <c r="J1081" s="1059" t="e">
        <f>VLOOKUP(H1075,'LƯƠNG KT'!$D$15:$U$94,13,0)-J1080</f>
        <v>#N/A</v>
      </c>
      <c r="K1081" s="1085"/>
      <c r="L1081" s="1085"/>
      <c r="M1081" s="1085"/>
      <c r="N1081" s="1085"/>
      <c r="O1081" s="1085"/>
    </row>
    <row r="1082" spans="1:15" ht="15" customHeight="1">
      <c r="A1082" s="1059" t="s">
        <v>377</v>
      </c>
      <c r="B1082" s="869" t="s">
        <v>378</v>
      </c>
      <c r="C1082" s="1058"/>
      <c r="D1082" s="1059"/>
      <c r="E1082" s="1065"/>
      <c r="F1082" s="1065"/>
      <c r="G1082" s="1059" t="s">
        <v>377</v>
      </c>
      <c r="H1082" s="869" t="s">
        <v>378</v>
      </c>
      <c r="I1082" s="1058"/>
      <c r="J1082" s="1059"/>
    </row>
    <row r="1083" spans="1:15" ht="15" customHeight="1">
      <c r="A1083" s="1066" t="s">
        <v>379</v>
      </c>
      <c r="B1083" s="869" t="s">
        <v>380</v>
      </c>
      <c r="C1083" s="1058"/>
      <c r="D1083" s="1059"/>
      <c r="E1083" s="1063"/>
      <c r="F1083" s="1065"/>
      <c r="G1083" s="1066" t="s">
        <v>379</v>
      </c>
      <c r="H1083" s="869" t="s">
        <v>380</v>
      </c>
      <c r="I1083" s="1058"/>
      <c r="J1083" s="1059"/>
    </row>
    <row r="1084" spans="1:15" ht="15" customHeight="1">
      <c r="A1084" s="1052" t="s">
        <v>381</v>
      </c>
      <c r="B1084" s="869" t="s">
        <v>382</v>
      </c>
      <c r="C1084" s="1058"/>
      <c r="D1084" s="1059">
        <f>D1083</f>
        <v>0</v>
      </c>
      <c r="E1084" s="1067"/>
      <c r="F1084" s="1051"/>
      <c r="G1084" s="1052" t="s">
        <v>381</v>
      </c>
      <c r="H1084" s="869" t="s">
        <v>382</v>
      </c>
      <c r="I1084" s="1058"/>
      <c r="J1084" s="1059">
        <f>J1083</f>
        <v>0</v>
      </c>
    </row>
    <row r="1085" spans="1:15" ht="15" customHeight="1">
      <c r="A1085" s="1068" t="s">
        <v>383</v>
      </c>
      <c r="B1085" s="1069" t="s">
        <v>384</v>
      </c>
      <c r="C1085" s="1070"/>
      <c r="D1085" s="1071" t="e">
        <f>SUM(D1076:D1081)-D1084</f>
        <v>#N/A</v>
      </c>
      <c r="E1085" s="1072"/>
      <c r="F1085" s="1073"/>
      <c r="G1085" s="1068" t="s">
        <v>383</v>
      </c>
      <c r="H1085" s="1069" t="s">
        <v>384</v>
      </c>
      <c r="I1085" s="1070"/>
      <c r="J1085" s="1071" t="e">
        <f>SUM(J1076:J1081)-J1084</f>
        <v>#N/A</v>
      </c>
    </row>
    <row r="1086" spans="1:15" ht="18.75" customHeight="1">
      <c r="A1086" s="1074"/>
      <c r="B1086" s="1075"/>
      <c r="C1086" s="1076"/>
      <c r="D1086" s="1077"/>
      <c r="E1086" s="1077"/>
      <c r="F1086" s="1078"/>
      <c r="G1086" s="1074"/>
      <c r="H1086" s="1075"/>
      <c r="I1086" s="1076"/>
      <c r="J1086" s="1077"/>
    </row>
    <row r="1087" spans="1:15" ht="18.75" customHeight="1">
      <c r="A1087" s="1075"/>
      <c r="B1087" s="1075"/>
      <c r="C1087" s="1079"/>
      <c r="D1087" s="1080"/>
      <c r="E1087" s="1075"/>
      <c r="F1087" s="1081"/>
      <c r="G1087" s="1075"/>
      <c r="H1087" s="1075"/>
      <c r="I1087" s="1079"/>
      <c r="J1087" s="1080"/>
    </row>
    <row r="1088" spans="1:15" ht="15" customHeight="1">
      <c r="A1088" s="2242" t="str">
        <f>$K$2</f>
        <v>THÁNG 09/2024</v>
      </c>
      <c r="B1088" s="2242"/>
      <c r="C1088" s="2242"/>
      <c r="D1088" s="2242"/>
      <c r="E1088" s="1050"/>
      <c r="F1088" s="1051"/>
      <c r="G1088" s="2242" t="str">
        <f>$K$2</f>
        <v>THÁNG 09/2024</v>
      </c>
      <c r="H1088" s="2242"/>
      <c r="I1088" s="2242"/>
      <c r="J1088" s="2242"/>
      <c r="K1088" s="624"/>
    </row>
    <row r="1089" spans="1:15" ht="15" customHeight="1">
      <c r="A1089" s="1052" t="s">
        <v>356</v>
      </c>
      <c r="B1089" s="1053" t="s">
        <v>53</v>
      </c>
      <c r="C1089" s="869"/>
      <c r="D1089" s="1049"/>
      <c r="E1089" s="1054"/>
      <c r="F1089" s="1055"/>
      <c r="G1089" s="1052" t="s">
        <v>356</v>
      </c>
      <c r="H1089" s="1053" t="s">
        <v>54</v>
      </c>
      <c r="I1089" s="869"/>
      <c r="J1089" s="1049"/>
      <c r="L1089" s="1088"/>
      <c r="M1089" s="1088"/>
      <c r="N1089" s="1088"/>
      <c r="O1089" s="1088"/>
    </row>
    <row r="1090" spans="1:15" ht="15" customHeight="1">
      <c r="A1090" s="1052" t="s">
        <v>359</v>
      </c>
      <c r="B1090" s="1089" t="s">
        <v>360</v>
      </c>
      <c r="C1090" s="1058" t="e">
        <f>VLOOKUP(B1089,'LƯƠNG KT'!$D$15:$U$94,3,0)</f>
        <v>#N/A</v>
      </c>
      <c r="D1090" s="1059" t="e">
        <f>+C1090*25000</f>
        <v>#N/A</v>
      </c>
      <c r="E1090" s="1060"/>
      <c r="F1090" s="1060"/>
      <c r="G1090" s="1052" t="s">
        <v>359</v>
      </c>
      <c r="H1090" s="1089" t="s">
        <v>360</v>
      </c>
      <c r="I1090" s="1058" t="e">
        <f>VLOOKUP(H1089,'LƯƠNG KT'!$D$15:$U$94,3,0)</f>
        <v>#N/A</v>
      </c>
      <c r="J1090" s="1059" t="e">
        <f>+I1090*25000</f>
        <v>#N/A</v>
      </c>
      <c r="K1090" s="1085"/>
      <c r="L1090" s="1085"/>
      <c r="M1090" s="1085"/>
      <c r="N1090" s="1085"/>
      <c r="O1090" s="1085"/>
    </row>
    <row r="1091" spans="1:15" ht="15" customHeight="1">
      <c r="A1091" s="1052" t="s">
        <v>361</v>
      </c>
      <c r="B1091" s="869" t="s">
        <v>362</v>
      </c>
      <c r="C1091" s="1058" t="e">
        <f>VLOOKUP(B1089,'LƯƠNG KT'!$D$15:$U$94,14,0)</f>
        <v>#N/A</v>
      </c>
      <c r="D1091" s="1059" t="e">
        <f>C1091*$L$4</f>
        <v>#N/A</v>
      </c>
      <c r="E1091" s="1061"/>
      <c r="F1091" s="1061"/>
      <c r="G1091" s="1052" t="s">
        <v>361</v>
      </c>
      <c r="H1091" s="869" t="s">
        <v>362</v>
      </c>
      <c r="I1091" s="1058" t="e">
        <f>VLOOKUP(H1089,'LƯƠNG KT'!$D$15:$U$94,14,0)</f>
        <v>#N/A</v>
      </c>
      <c r="J1091" s="1059" t="e">
        <f>I1091*$L$4</f>
        <v>#N/A</v>
      </c>
      <c r="K1091" s="1085"/>
      <c r="L1091" s="1085"/>
      <c r="M1091" s="1085"/>
      <c r="N1091" s="1085"/>
      <c r="O1091" s="1085"/>
    </row>
    <row r="1092" spans="1:15" ht="15" customHeight="1">
      <c r="A1092" s="1052" t="s">
        <v>364</v>
      </c>
      <c r="B1092" s="869" t="s">
        <v>365</v>
      </c>
      <c r="C1092" s="1058" t="e">
        <f>VLOOKUP(B1089,'LƯƠNG KT'!$D$15:$U$94,15,0)</f>
        <v>#N/A</v>
      </c>
      <c r="D1092" s="1059" t="e">
        <f>C1092*$L$5</f>
        <v>#N/A</v>
      </c>
      <c r="E1092" s="1061"/>
      <c r="F1092" s="1061"/>
      <c r="G1092" s="1052" t="s">
        <v>364</v>
      </c>
      <c r="H1092" s="869" t="s">
        <v>365</v>
      </c>
      <c r="I1092" s="1058" t="e">
        <f>VLOOKUP(H1089,'LƯƠNG KT'!$D$15:$U$94,15,0)</f>
        <v>#N/A</v>
      </c>
      <c r="J1092" s="1059" t="e">
        <f>I1092*$L$5</f>
        <v>#N/A</v>
      </c>
      <c r="K1092" s="1085"/>
      <c r="L1092" s="1085"/>
      <c r="M1092" s="1085"/>
      <c r="N1092" s="1085"/>
      <c r="O1092" s="1085"/>
    </row>
    <row r="1093" spans="1:15" ht="15" customHeight="1">
      <c r="A1093" s="1052" t="s">
        <v>367</v>
      </c>
      <c r="B1093" s="869"/>
      <c r="C1093" s="1058" t="e">
        <f>VLOOKUP(B1089,'LƯƠNG KT'!$D$15:$U$94,16,0)</f>
        <v>#N/A</v>
      </c>
      <c r="D1093" s="1059" t="e">
        <f>+C1093*$L$6</f>
        <v>#N/A</v>
      </c>
      <c r="E1093" s="1061"/>
      <c r="F1093" s="1061"/>
      <c r="G1093" s="1052" t="s">
        <v>367</v>
      </c>
      <c r="H1093" s="869"/>
      <c r="I1093" s="1058" t="e">
        <f>VLOOKUP(H1089,'LƯƠNG KT'!$D$15:$U$94,16,0)</f>
        <v>#N/A</v>
      </c>
      <c r="J1093" s="1059" t="e">
        <f>+I1093*$L$6</f>
        <v>#N/A</v>
      </c>
      <c r="K1093" s="1085"/>
      <c r="L1093" s="1085"/>
      <c r="M1093" s="1085"/>
      <c r="N1093" s="1085"/>
      <c r="O1093" s="1085"/>
    </row>
    <row r="1094" spans="1:15" ht="15" customHeight="1">
      <c r="A1094" s="1052" t="s">
        <v>371</v>
      </c>
      <c r="B1094" s="869" t="s">
        <v>372</v>
      </c>
      <c r="C1094" s="1058" t="e">
        <f>VLOOKUP(B1089,'LƯƠNG KT'!$D$15:$U$94,9,0)*$L$10</f>
        <v>#N/A</v>
      </c>
      <c r="D1094" s="1059" t="e">
        <f>+C1094*0.5*3000</f>
        <v>#N/A</v>
      </c>
      <c r="E1094" s="1061"/>
      <c r="F1094" s="1061"/>
      <c r="G1094" s="1052" t="s">
        <v>371</v>
      </c>
      <c r="H1094" s="869" t="s">
        <v>372</v>
      </c>
      <c r="I1094" s="1058" t="e">
        <f>VLOOKUP(H1089,'LƯƠNG KT'!$D$15:$U$94,9,0)*$L$10</f>
        <v>#N/A</v>
      </c>
      <c r="J1094" s="1059" t="e">
        <f>+I1094*0.5*3000</f>
        <v>#N/A</v>
      </c>
      <c r="K1094" s="1085"/>
      <c r="L1094" s="1085"/>
      <c r="M1094" s="1085"/>
      <c r="N1094" s="1085"/>
      <c r="O1094" s="1085"/>
    </row>
    <row r="1095" spans="1:15" ht="15" customHeight="1">
      <c r="A1095" s="1052" t="s">
        <v>374</v>
      </c>
      <c r="B1095" s="869" t="s">
        <v>375</v>
      </c>
      <c r="C1095" s="1058" t="e">
        <f>VLOOKUP(B1089,'LƯƠNG KT'!$D$15:$U$94,8,0)*$L$11</f>
        <v>#N/A</v>
      </c>
      <c r="D1095" s="1059" t="e">
        <f>VLOOKUP(B1089,'LƯƠNG KT'!$D$15:$U$94,13,0)-D1094</f>
        <v>#N/A</v>
      </c>
      <c r="E1095" s="1063"/>
      <c r="F1095" s="1061"/>
      <c r="G1095" s="1052" t="s">
        <v>374</v>
      </c>
      <c r="H1095" s="869" t="s">
        <v>375</v>
      </c>
      <c r="I1095" s="1058" t="e">
        <f>VLOOKUP(H1089,'LƯƠNG KT'!$D$15:$U$94,8,0)*$L$11</f>
        <v>#N/A</v>
      </c>
      <c r="J1095" s="1059" t="e">
        <f>VLOOKUP(H1089,'LƯƠNG KT'!$D$15:$U$94,13,0)-J1094</f>
        <v>#N/A</v>
      </c>
      <c r="K1095" s="1085"/>
      <c r="L1095" s="1085"/>
      <c r="M1095" s="1085"/>
      <c r="N1095" s="1085"/>
      <c r="O1095" s="1085"/>
    </row>
    <row r="1096" spans="1:15" ht="15" customHeight="1">
      <c r="A1096" s="1059" t="s">
        <v>377</v>
      </c>
      <c r="B1096" s="869" t="s">
        <v>378</v>
      </c>
      <c r="C1096" s="1058"/>
      <c r="D1096" s="1059"/>
      <c r="E1096" s="1065"/>
      <c r="F1096" s="1065"/>
      <c r="G1096" s="1059" t="s">
        <v>377</v>
      </c>
      <c r="H1096" s="869" t="s">
        <v>378</v>
      </c>
      <c r="I1096" s="1058"/>
      <c r="J1096" s="1059"/>
    </row>
    <row r="1097" spans="1:15" ht="15" customHeight="1">
      <c r="A1097" s="1066" t="s">
        <v>379</v>
      </c>
      <c r="B1097" s="869" t="s">
        <v>380</v>
      </c>
      <c r="C1097" s="1058"/>
      <c r="D1097" s="1059"/>
      <c r="E1097" s="1063"/>
      <c r="F1097" s="1065"/>
      <c r="G1097" s="1066" t="s">
        <v>379</v>
      </c>
      <c r="H1097" s="869" t="s">
        <v>380</v>
      </c>
      <c r="I1097" s="1058"/>
      <c r="J1097" s="1059"/>
    </row>
    <row r="1098" spans="1:15" ht="15" customHeight="1">
      <c r="A1098" s="1052" t="s">
        <v>381</v>
      </c>
      <c r="B1098" s="869" t="s">
        <v>382</v>
      </c>
      <c r="C1098" s="1058"/>
      <c r="D1098" s="1059">
        <f>D1097</f>
        <v>0</v>
      </c>
      <c r="E1098" s="1067"/>
      <c r="F1098" s="1051"/>
      <c r="G1098" s="1052" t="s">
        <v>381</v>
      </c>
      <c r="H1098" s="869" t="s">
        <v>382</v>
      </c>
      <c r="I1098" s="1058"/>
      <c r="J1098" s="1059">
        <f>J1097</f>
        <v>0</v>
      </c>
    </row>
    <row r="1099" spans="1:15" ht="15" customHeight="1">
      <c r="A1099" s="1068" t="s">
        <v>383</v>
      </c>
      <c r="B1099" s="1069" t="s">
        <v>384</v>
      </c>
      <c r="C1099" s="1070"/>
      <c r="D1099" s="1071" t="e">
        <f>SUM(D1090:D1095)-D1098</f>
        <v>#N/A</v>
      </c>
      <c r="E1099" s="1072"/>
      <c r="F1099" s="1073"/>
      <c r="G1099" s="1068" t="s">
        <v>383</v>
      </c>
      <c r="H1099" s="1069" t="s">
        <v>384</v>
      </c>
      <c r="I1099" s="1070"/>
      <c r="J1099" s="1071" t="e">
        <f>SUM(J1090:J1095)-J1098</f>
        <v>#N/A</v>
      </c>
    </row>
    <row r="1100" spans="1:15" ht="15.75" customHeight="1">
      <c r="A1100" s="1074"/>
      <c r="B1100" s="1075"/>
      <c r="C1100" s="1076"/>
      <c r="D1100" s="1077"/>
      <c r="E1100" s="1077"/>
      <c r="F1100" s="1078"/>
      <c r="G1100" s="1074"/>
      <c r="H1100" s="1075"/>
      <c r="I1100" s="1076"/>
      <c r="J1100" s="1077"/>
    </row>
    <row r="1102" spans="1:15" ht="12" customHeight="1">
      <c r="A1102" s="2243"/>
      <c r="B1102" s="2243"/>
      <c r="C1102" s="2243"/>
      <c r="D1102" s="2243"/>
      <c r="E1102" s="2243"/>
      <c r="F1102" s="2243"/>
      <c r="G1102" s="2243"/>
      <c r="H1102" s="2243"/>
      <c r="I1102" s="2243"/>
      <c r="J1102" s="2243"/>
    </row>
    <row r="1103" spans="1:15" ht="15" customHeight="1">
      <c r="A1103" s="2242" t="str">
        <f>$K$2</f>
        <v>THÁNG 09/2024</v>
      </c>
      <c r="B1103" s="2242"/>
      <c r="C1103" s="2242"/>
      <c r="D1103" s="2242"/>
      <c r="E1103" s="1050"/>
      <c r="F1103" s="1051"/>
      <c r="G1103" s="2242" t="str">
        <f>$K$2</f>
        <v>THÁNG 09/2024</v>
      </c>
      <c r="H1103" s="2242"/>
      <c r="I1103" s="2242"/>
      <c r="J1103" s="2242"/>
      <c r="K1103" s="624"/>
    </row>
    <row r="1104" spans="1:15" ht="15" customHeight="1">
      <c r="A1104" s="1052" t="s">
        <v>356</v>
      </c>
      <c r="B1104" s="1053" t="s">
        <v>55</v>
      </c>
      <c r="C1104" s="869"/>
      <c r="D1104" s="1049"/>
      <c r="E1104" s="1054"/>
      <c r="F1104" s="1055"/>
      <c r="G1104" s="1052" t="s">
        <v>356</v>
      </c>
      <c r="H1104" s="1053" t="s">
        <v>56</v>
      </c>
      <c r="I1104" s="869"/>
      <c r="J1104" s="1049"/>
      <c r="L1104" s="1088"/>
      <c r="M1104" s="1088"/>
      <c r="N1104" s="1088"/>
      <c r="O1104" s="1088"/>
    </row>
    <row r="1105" spans="1:15" ht="15" customHeight="1">
      <c r="A1105" s="1052" t="s">
        <v>359</v>
      </c>
      <c r="B1105" s="1089" t="s">
        <v>360</v>
      </c>
      <c r="C1105" s="1058" t="e">
        <f>VLOOKUP(B1104,'LƯƠNG KT'!$D$15:$U$94,3,0)</f>
        <v>#N/A</v>
      </c>
      <c r="D1105" s="1059" t="e">
        <f>+C1105*25000</f>
        <v>#N/A</v>
      </c>
      <c r="E1105" s="1060"/>
      <c r="F1105" s="1060"/>
      <c r="G1105" s="1052" t="s">
        <v>359</v>
      </c>
      <c r="H1105" s="1089" t="s">
        <v>360</v>
      </c>
      <c r="I1105" s="1058" t="e">
        <f>VLOOKUP(H1104,'LƯƠNG KT'!$D$15:$U$94,3,0)</f>
        <v>#N/A</v>
      </c>
      <c r="J1105" s="1059" t="e">
        <f>+I1105*25000</f>
        <v>#N/A</v>
      </c>
      <c r="K1105" s="1084"/>
      <c r="L1105" s="1085"/>
      <c r="M1105" s="1085"/>
      <c r="N1105" s="1085"/>
      <c r="O1105" s="1085"/>
    </row>
    <row r="1106" spans="1:15" ht="15" customHeight="1">
      <c r="A1106" s="1052" t="s">
        <v>361</v>
      </c>
      <c r="B1106" s="869" t="s">
        <v>362</v>
      </c>
      <c r="C1106" s="1058" t="e">
        <f>VLOOKUP(B1104,'LƯƠNG KT'!$D$15:$U$94,14,0)</f>
        <v>#N/A</v>
      </c>
      <c r="D1106" s="1059" t="e">
        <f>C1106*$L$4</f>
        <v>#N/A</v>
      </c>
      <c r="E1106" s="1061"/>
      <c r="F1106" s="1061"/>
      <c r="G1106" s="1052" t="s">
        <v>361</v>
      </c>
      <c r="H1106" s="869" t="s">
        <v>362</v>
      </c>
      <c r="I1106" s="1058" t="e">
        <f>VLOOKUP(H1104,'LƯƠNG KT'!$D$15:$U$94,14,0)</f>
        <v>#N/A</v>
      </c>
      <c r="J1106" s="1059" t="e">
        <f>I1106*$L$4</f>
        <v>#N/A</v>
      </c>
      <c r="K1106" s="1084"/>
      <c r="L1106" s="1085"/>
      <c r="M1106" s="1085"/>
      <c r="N1106" s="1085"/>
      <c r="O1106" s="1085"/>
    </row>
    <row r="1107" spans="1:15" ht="15" customHeight="1">
      <c r="A1107" s="1052" t="s">
        <v>364</v>
      </c>
      <c r="B1107" s="869" t="s">
        <v>365</v>
      </c>
      <c r="C1107" s="1058" t="e">
        <f>VLOOKUP(B1104,'LƯƠNG KT'!$D$15:$U$94,15,0)</f>
        <v>#N/A</v>
      </c>
      <c r="D1107" s="1059" t="e">
        <f>C1107*$L$5</f>
        <v>#N/A</v>
      </c>
      <c r="E1107" s="1061"/>
      <c r="F1107" s="1061"/>
      <c r="G1107" s="1052" t="s">
        <v>364</v>
      </c>
      <c r="H1107" s="869" t="s">
        <v>365</v>
      </c>
      <c r="I1107" s="1058" t="e">
        <f>VLOOKUP(H1104,'LƯƠNG KT'!$D$15:$U$94,15,0)</f>
        <v>#N/A</v>
      </c>
      <c r="J1107" s="1059" t="e">
        <f>I1107*$L$5</f>
        <v>#N/A</v>
      </c>
      <c r="K1107" s="1084"/>
      <c r="L1107" s="1085"/>
      <c r="M1107" s="1085"/>
      <c r="N1107" s="1085"/>
      <c r="O1107" s="1085"/>
    </row>
    <row r="1108" spans="1:15" ht="15" customHeight="1">
      <c r="A1108" s="1052" t="s">
        <v>367</v>
      </c>
      <c r="B1108" s="869"/>
      <c r="C1108" s="1058" t="e">
        <f>VLOOKUP(B1104,'LƯƠNG KT'!$D$15:$U$94,16,0)</f>
        <v>#N/A</v>
      </c>
      <c r="D1108" s="1059" t="e">
        <f>+C1108*$L$6</f>
        <v>#N/A</v>
      </c>
      <c r="E1108" s="1061"/>
      <c r="F1108" s="1061"/>
      <c r="G1108" s="1052" t="s">
        <v>367</v>
      </c>
      <c r="H1108" s="869"/>
      <c r="I1108" s="1058" t="e">
        <f>VLOOKUP(H1104,'LƯƠNG KT'!$D$15:$U$94,16,0)</f>
        <v>#N/A</v>
      </c>
      <c r="J1108" s="1059" t="e">
        <f>+I1108*$L$6</f>
        <v>#N/A</v>
      </c>
      <c r="K1108" s="1085"/>
      <c r="L1108" s="1085"/>
      <c r="M1108" s="1085"/>
      <c r="N1108" s="1085"/>
      <c r="O1108" s="1085"/>
    </row>
    <row r="1109" spans="1:15" ht="15" customHeight="1">
      <c r="A1109" s="1052" t="s">
        <v>371</v>
      </c>
      <c r="B1109" s="869" t="s">
        <v>372</v>
      </c>
      <c r="C1109" s="1058" t="e">
        <f>VLOOKUP(B1104,'LƯƠNG KT'!$D$15:$U$94,9,0)*$L$10</f>
        <v>#N/A</v>
      </c>
      <c r="D1109" s="1059" t="e">
        <f>+C1109*0.5*3000</f>
        <v>#N/A</v>
      </c>
      <c r="E1109" s="1061"/>
      <c r="F1109" s="1061"/>
      <c r="G1109" s="1052" t="s">
        <v>371</v>
      </c>
      <c r="H1109" s="869" t="s">
        <v>372</v>
      </c>
      <c r="I1109" s="1058" t="e">
        <f>VLOOKUP(H1104,'LƯƠNG KT'!$D$15:$U$94,9,0)*$L$10</f>
        <v>#N/A</v>
      </c>
      <c r="J1109" s="1059" t="e">
        <f>+I1109*0.5*3000</f>
        <v>#N/A</v>
      </c>
      <c r="K1109" s="1085"/>
      <c r="L1109" s="1085"/>
      <c r="M1109" s="1085"/>
      <c r="N1109" s="1085"/>
      <c r="O1109" s="1085"/>
    </row>
    <row r="1110" spans="1:15" ht="15" customHeight="1">
      <c r="A1110" s="1052" t="s">
        <v>374</v>
      </c>
      <c r="B1110" s="869" t="s">
        <v>375</v>
      </c>
      <c r="C1110" s="1058" t="e">
        <f>VLOOKUP(B1104,'LƯƠNG KT'!$D$15:$U$94,8,0)*$L$11</f>
        <v>#N/A</v>
      </c>
      <c r="D1110" s="1059" t="e">
        <f>VLOOKUP(B1104,'LƯƠNG KT'!$D$15:$U$94,13,0)-D1109</f>
        <v>#N/A</v>
      </c>
      <c r="E1110" s="1063"/>
      <c r="F1110" s="1061"/>
      <c r="G1110" s="1052" t="s">
        <v>374</v>
      </c>
      <c r="H1110" s="869" t="s">
        <v>375</v>
      </c>
      <c r="I1110" s="1058" t="e">
        <f>VLOOKUP(H1104,'LƯƠNG KT'!$D$15:$U$94,8,0)*$L$11</f>
        <v>#N/A</v>
      </c>
      <c r="J1110" s="1059" t="e">
        <f>VLOOKUP(H1104,'LƯƠNG KT'!$D$15:$U$94,13,0)-J1109</f>
        <v>#N/A</v>
      </c>
      <c r="K1110" s="1085"/>
      <c r="L1110" s="1085"/>
      <c r="M1110" s="1085"/>
      <c r="N1110" s="1085"/>
      <c r="O1110" s="1085"/>
    </row>
    <row r="1111" spans="1:15" ht="15" customHeight="1">
      <c r="A1111" s="1059" t="s">
        <v>377</v>
      </c>
      <c r="B1111" s="869" t="s">
        <v>378</v>
      </c>
      <c r="C1111" s="1058"/>
      <c r="D1111" s="1059"/>
      <c r="E1111" s="1065"/>
      <c r="F1111" s="1065"/>
      <c r="G1111" s="1059" t="s">
        <v>377</v>
      </c>
      <c r="H1111" s="869" t="s">
        <v>378</v>
      </c>
      <c r="I1111" s="1058"/>
      <c r="J1111" s="1059"/>
    </row>
    <row r="1112" spans="1:15" ht="15" customHeight="1">
      <c r="A1112" s="1066" t="s">
        <v>379</v>
      </c>
      <c r="B1112" s="869" t="s">
        <v>380</v>
      </c>
      <c r="C1112" s="1058"/>
      <c r="D1112" s="1059"/>
      <c r="E1112" s="1063"/>
      <c r="F1112" s="1065"/>
      <c r="G1112" s="1066" t="s">
        <v>379</v>
      </c>
      <c r="H1112" s="869" t="s">
        <v>380</v>
      </c>
      <c r="I1112" s="1058"/>
      <c r="J1112" s="1059"/>
    </row>
    <row r="1113" spans="1:15" ht="15" customHeight="1">
      <c r="A1113" s="1052" t="s">
        <v>381</v>
      </c>
      <c r="B1113" s="869" t="s">
        <v>382</v>
      </c>
      <c r="C1113" s="1058"/>
      <c r="D1113" s="1059">
        <f>D1112</f>
        <v>0</v>
      </c>
      <c r="E1113" s="1067"/>
      <c r="F1113" s="1051"/>
      <c r="G1113" s="1052" t="s">
        <v>381</v>
      </c>
      <c r="H1113" s="869" t="s">
        <v>382</v>
      </c>
      <c r="I1113" s="1058"/>
      <c r="J1113" s="1059">
        <f>J1112</f>
        <v>0</v>
      </c>
    </row>
    <row r="1114" spans="1:15" ht="15" customHeight="1">
      <c r="A1114" s="1068" t="s">
        <v>383</v>
      </c>
      <c r="B1114" s="1069" t="s">
        <v>384</v>
      </c>
      <c r="C1114" s="1070"/>
      <c r="D1114" s="1071" t="e">
        <f>SUM(D1105:D1110)-D1113</f>
        <v>#N/A</v>
      </c>
      <c r="E1114" s="1072"/>
      <c r="F1114" s="1073"/>
      <c r="G1114" s="1068" t="s">
        <v>383</v>
      </c>
      <c r="H1114" s="1069" t="s">
        <v>384</v>
      </c>
      <c r="I1114" s="1070"/>
      <c r="J1114" s="1071" t="e">
        <f>SUM(J1105:J1110)-J1113</f>
        <v>#N/A</v>
      </c>
    </row>
    <row r="1115" spans="1:15" ht="12.6" customHeight="1">
      <c r="A1115" s="1074"/>
      <c r="B1115" s="1075"/>
      <c r="C1115" s="1076"/>
      <c r="D1115" s="1077"/>
      <c r="E1115" s="1077"/>
      <c r="F1115" s="1078"/>
      <c r="G1115" s="1074"/>
      <c r="H1115" s="1075"/>
      <c r="I1115" s="1076"/>
      <c r="J1115" s="1077"/>
    </row>
    <row r="1116" spans="1:15" ht="12.6" customHeight="1">
      <c r="A1116" s="1075"/>
      <c r="B1116" s="1075"/>
      <c r="C1116" s="1079"/>
      <c r="D1116" s="1080"/>
      <c r="E1116" s="1075"/>
      <c r="F1116" s="1081"/>
      <c r="G1116" s="1075"/>
      <c r="H1116" s="1075"/>
      <c r="I1116" s="1079"/>
      <c r="J1116" s="1080"/>
    </row>
    <row r="1117" spans="1:15" ht="15" customHeight="1">
      <c r="A1117" s="2242" t="str">
        <f>$K$2</f>
        <v>THÁNG 09/2024</v>
      </c>
      <c r="B1117" s="2242"/>
      <c r="C1117" s="2242"/>
      <c r="D1117" s="2242"/>
      <c r="E1117" s="1050"/>
      <c r="F1117" s="1051"/>
      <c r="G1117" s="2242" t="str">
        <f>$K$2</f>
        <v>THÁNG 09/2024</v>
      </c>
      <c r="H1117" s="2242"/>
      <c r="I1117" s="2242"/>
      <c r="J1117" s="2242"/>
      <c r="K1117" s="624"/>
    </row>
    <row r="1118" spans="1:15" ht="15" customHeight="1">
      <c r="A1118" s="1052" t="s">
        <v>356</v>
      </c>
      <c r="B1118" s="1053" t="s">
        <v>57</v>
      </c>
      <c r="C1118" s="869"/>
      <c r="D1118" s="1049"/>
      <c r="E1118" s="1054"/>
      <c r="F1118" s="1055"/>
      <c r="G1118" s="1052" t="s">
        <v>356</v>
      </c>
      <c r="H1118" s="1053" t="s">
        <v>59</v>
      </c>
      <c r="I1118" s="869"/>
      <c r="J1118" s="1049"/>
      <c r="L1118" s="1088"/>
      <c r="M1118" s="1088"/>
      <c r="N1118" s="1088"/>
      <c r="O1118" s="1088"/>
    </row>
    <row r="1119" spans="1:15" ht="15" customHeight="1">
      <c r="A1119" s="1052" t="s">
        <v>359</v>
      </c>
      <c r="B1119" s="1089" t="s">
        <v>360</v>
      </c>
      <c r="C1119" s="1058" t="e">
        <f>VLOOKUP(B1118,'LƯƠNG KT'!$D$15:$U$94,3,0)</f>
        <v>#N/A</v>
      </c>
      <c r="D1119" s="1059" t="e">
        <f>+C1119*25000</f>
        <v>#N/A</v>
      </c>
      <c r="E1119" s="1060"/>
      <c r="F1119" s="1060"/>
      <c r="G1119" s="1052" t="s">
        <v>359</v>
      </c>
      <c r="H1119" s="1089" t="s">
        <v>360</v>
      </c>
      <c r="I1119" s="1058" t="e">
        <f>VLOOKUP(H1118,'LƯƠNG KT'!$D$15:$U$94,3,0)</f>
        <v>#N/A</v>
      </c>
      <c r="J1119" s="1059" t="e">
        <f>+I1119*25000</f>
        <v>#N/A</v>
      </c>
      <c r="K1119" s="1085"/>
      <c r="L1119" s="1085"/>
      <c r="M1119" s="1085"/>
      <c r="N1119" s="1085"/>
      <c r="O1119" s="1085"/>
    </row>
    <row r="1120" spans="1:15" ht="15" customHeight="1">
      <c r="A1120" s="1052" t="s">
        <v>361</v>
      </c>
      <c r="B1120" s="869" t="s">
        <v>362</v>
      </c>
      <c r="C1120" s="1058" t="e">
        <f>VLOOKUP(B1118,'LƯƠNG KT'!$D$15:$U$94,14,0)</f>
        <v>#N/A</v>
      </c>
      <c r="D1120" s="1059" t="e">
        <f>C1120*$L$4</f>
        <v>#N/A</v>
      </c>
      <c r="E1120" s="1061"/>
      <c r="F1120" s="1061"/>
      <c r="G1120" s="1052" t="s">
        <v>361</v>
      </c>
      <c r="H1120" s="869" t="s">
        <v>362</v>
      </c>
      <c r="I1120" s="1058" t="e">
        <f>VLOOKUP(H1118,'LƯƠNG KT'!$D$15:$U$94,14,0)</f>
        <v>#N/A</v>
      </c>
      <c r="J1120" s="1059" t="e">
        <f>I1120*$L$4</f>
        <v>#N/A</v>
      </c>
      <c r="K1120" s="1085"/>
      <c r="L1120" s="1085"/>
      <c r="M1120" s="1085"/>
      <c r="N1120" s="1085"/>
      <c r="O1120" s="1085"/>
    </row>
    <row r="1121" spans="1:15" ht="15" customHeight="1">
      <c r="A1121" s="1052" t="s">
        <v>364</v>
      </c>
      <c r="B1121" s="869" t="s">
        <v>365</v>
      </c>
      <c r="C1121" s="1058" t="e">
        <f>VLOOKUP(B1118,'LƯƠNG KT'!$D$15:$U$94,15,0)</f>
        <v>#N/A</v>
      </c>
      <c r="D1121" s="1059" t="e">
        <f>C1121*$L$5</f>
        <v>#N/A</v>
      </c>
      <c r="E1121" s="1061"/>
      <c r="F1121" s="1061"/>
      <c r="G1121" s="1052" t="s">
        <v>364</v>
      </c>
      <c r="H1121" s="869" t="s">
        <v>365</v>
      </c>
      <c r="I1121" s="1058" t="e">
        <f>VLOOKUP(H1118,'LƯƠNG KT'!$D$15:$U$94,15,0)</f>
        <v>#N/A</v>
      </c>
      <c r="J1121" s="1059" t="e">
        <f>I1121*$L$5</f>
        <v>#N/A</v>
      </c>
      <c r="K1121" s="1085"/>
      <c r="L1121" s="1085"/>
      <c r="M1121" s="1085"/>
      <c r="N1121" s="1085"/>
      <c r="O1121" s="1085"/>
    </row>
    <row r="1122" spans="1:15" ht="15" customHeight="1">
      <c r="A1122" s="1052" t="s">
        <v>367</v>
      </c>
      <c r="B1122" s="869"/>
      <c r="C1122" s="1058" t="e">
        <f>VLOOKUP(B1118,'LƯƠNG KT'!$D$15:$U$94,16,0)</f>
        <v>#N/A</v>
      </c>
      <c r="D1122" s="1059" t="e">
        <f>+C1122*$L$6</f>
        <v>#N/A</v>
      </c>
      <c r="E1122" s="1061"/>
      <c r="F1122" s="1061"/>
      <c r="G1122" s="1052" t="s">
        <v>367</v>
      </c>
      <c r="H1122" s="869"/>
      <c r="I1122" s="1058" t="e">
        <f>VLOOKUP(H1118,'LƯƠNG KT'!$D$15:$U$94,16,0)</f>
        <v>#N/A</v>
      </c>
      <c r="J1122" s="1059" t="e">
        <f>+I1122*$L$6</f>
        <v>#N/A</v>
      </c>
      <c r="K1122" s="1085"/>
      <c r="L1122" s="1085"/>
      <c r="M1122" s="1085"/>
      <c r="N1122" s="1085"/>
      <c r="O1122" s="1085"/>
    </row>
    <row r="1123" spans="1:15" ht="15" customHeight="1">
      <c r="A1123" s="1052" t="s">
        <v>371</v>
      </c>
      <c r="B1123" s="869" t="s">
        <v>372</v>
      </c>
      <c r="C1123" s="1058" t="e">
        <f>VLOOKUP(B1118,'LƯƠNG KT'!$D$15:$U$94,9,0)*$L$10</f>
        <v>#N/A</v>
      </c>
      <c r="D1123" s="1059" t="e">
        <f>+C1123*0.5*3000</f>
        <v>#N/A</v>
      </c>
      <c r="E1123" s="1061"/>
      <c r="F1123" s="1061"/>
      <c r="G1123" s="1052" t="s">
        <v>371</v>
      </c>
      <c r="H1123" s="869" t="s">
        <v>372</v>
      </c>
      <c r="I1123" s="1058" t="e">
        <f>VLOOKUP(H1118,'LƯƠNG KT'!$D$15:$U$94,9,0)*$L$10</f>
        <v>#N/A</v>
      </c>
      <c r="J1123" s="1059" t="e">
        <f>+I1123*0.5*3000</f>
        <v>#N/A</v>
      </c>
      <c r="K1123" s="1085"/>
      <c r="L1123" s="1085"/>
      <c r="M1123" s="1085"/>
      <c r="N1123" s="1085"/>
      <c r="O1123" s="1085"/>
    </row>
    <row r="1124" spans="1:15" ht="15" customHeight="1">
      <c r="A1124" s="1052" t="s">
        <v>374</v>
      </c>
      <c r="B1124" s="869" t="s">
        <v>375</v>
      </c>
      <c r="C1124" s="1058" t="e">
        <f>VLOOKUP(B1118,'LƯƠNG KT'!$D$15:$U$94,8,0)*$L$11</f>
        <v>#N/A</v>
      </c>
      <c r="D1124" s="1059" t="e">
        <f>VLOOKUP(B1118,'LƯƠNG KT'!$D$15:$U$94,13,0)-D1123</f>
        <v>#N/A</v>
      </c>
      <c r="E1124" s="1063"/>
      <c r="F1124" s="1061"/>
      <c r="G1124" s="1052" t="s">
        <v>374</v>
      </c>
      <c r="H1124" s="869" t="s">
        <v>375</v>
      </c>
      <c r="I1124" s="1058" t="e">
        <f>VLOOKUP(H1118,'LƯƠNG KT'!$D$15:$U$94,8,0)*$L$11</f>
        <v>#N/A</v>
      </c>
      <c r="J1124" s="1059" t="e">
        <f>VLOOKUP(H1118,'LƯƠNG KT'!$D$15:$U$94,13,0)-J1123</f>
        <v>#N/A</v>
      </c>
      <c r="K1124" s="1085"/>
      <c r="L1124" s="1085"/>
      <c r="M1124" s="1085"/>
      <c r="N1124" s="1085"/>
      <c r="O1124" s="1085"/>
    </row>
    <row r="1125" spans="1:15" ht="15" customHeight="1">
      <c r="A1125" s="1059" t="s">
        <v>377</v>
      </c>
      <c r="B1125" s="869" t="s">
        <v>378</v>
      </c>
      <c r="C1125" s="1058"/>
      <c r="D1125" s="1059"/>
      <c r="E1125" s="1065"/>
      <c r="F1125" s="1065"/>
      <c r="G1125" s="1059" t="s">
        <v>377</v>
      </c>
      <c r="H1125" s="869" t="s">
        <v>378</v>
      </c>
      <c r="I1125" s="1058"/>
      <c r="J1125" s="1059"/>
    </row>
    <row r="1126" spans="1:15" ht="15" customHeight="1">
      <c r="A1126" s="1066" t="s">
        <v>379</v>
      </c>
      <c r="B1126" s="869" t="s">
        <v>380</v>
      </c>
      <c r="C1126" s="1058"/>
      <c r="D1126" s="1059"/>
      <c r="E1126" s="1063"/>
      <c r="F1126" s="1065"/>
      <c r="G1126" s="1066" t="s">
        <v>379</v>
      </c>
      <c r="H1126" s="869" t="s">
        <v>380</v>
      </c>
      <c r="I1126" s="1058"/>
      <c r="J1126" s="1059"/>
    </row>
    <row r="1127" spans="1:15" ht="15" customHeight="1">
      <c r="A1127" s="1052" t="s">
        <v>381</v>
      </c>
      <c r="B1127" s="869" t="s">
        <v>382</v>
      </c>
      <c r="C1127" s="1058"/>
      <c r="D1127" s="1059">
        <f>D1126</f>
        <v>0</v>
      </c>
      <c r="E1127" s="1067"/>
      <c r="F1127" s="1051"/>
      <c r="G1127" s="1052" t="s">
        <v>381</v>
      </c>
      <c r="H1127" s="869" t="s">
        <v>382</v>
      </c>
      <c r="I1127" s="1058"/>
      <c r="J1127" s="1059">
        <f>J1126</f>
        <v>0</v>
      </c>
    </row>
    <row r="1128" spans="1:15" ht="15" customHeight="1">
      <c r="A1128" s="1068" t="s">
        <v>383</v>
      </c>
      <c r="B1128" s="1069" t="s">
        <v>384</v>
      </c>
      <c r="C1128" s="1070"/>
      <c r="D1128" s="1071" t="e">
        <f>SUM(D1119:D1124)-D1127</f>
        <v>#N/A</v>
      </c>
      <c r="E1128" s="1072"/>
      <c r="F1128" s="1073"/>
      <c r="G1128" s="1068" t="s">
        <v>383</v>
      </c>
      <c r="H1128" s="1069" t="s">
        <v>384</v>
      </c>
      <c r="I1128" s="1070"/>
      <c r="J1128" s="1071" t="e">
        <f>SUM(J1119:J1124)-J1127</f>
        <v>#N/A</v>
      </c>
    </row>
    <row r="1129" spans="1:15" ht="18.75" customHeight="1">
      <c r="A1129" s="1074"/>
      <c r="B1129" s="1075"/>
      <c r="C1129" s="1076"/>
      <c r="D1129" s="1077"/>
      <c r="E1129" s="1077"/>
      <c r="F1129" s="1078"/>
      <c r="G1129" s="1074"/>
      <c r="H1129" s="1075"/>
      <c r="I1129" s="1076"/>
      <c r="J1129" s="1077"/>
    </row>
    <row r="1130" spans="1:15" ht="18.75" customHeight="1">
      <c r="A1130" s="1075"/>
      <c r="B1130" s="1075"/>
      <c r="C1130" s="1079"/>
      <c r="D1130" s="1080"/>
      <c r="E1130" s="1075"/>
      <c r="F1130" s="1081"/>
      <c r="G1130" s="1075"/>
      <c r="H1130" s="1075"/>
      <c r="I1130" s="1079"/>
      <c r="J1130" s="1080"/>
    </row>
    <row r="1131" spans="1:15" ht="15" customHeight="1">
      <c r="A1131" s="2242" t="str">
        <f>$K$2</f>
        <v>THÁNG 09/2024</v>
      </c>
      <c r="B1131" s="2242"/>
      <c r="C1131" s="2242"/>
      <c r="D1131" s="2242"/>
      <c r="E1131" s="1050"/>
      <c r="F1131" s="1051"/>
      <c r="G1131" s="2242" t="str">
        <f>$K$2</f>
        <v>THÁNG 09/2024</v>
      </c>
      <c r="H1131" s="2242"/>
      <c r="I1131" s="2242"/>
      <c r="J1131" s="2242"/>
      <c r="K1131" s="624"/>
    </row>
    <row r="1132" spans="1:15" ht="15" customHeight="1">
      <c r="A1132" s="1052" t="s">
        <v>356</v>
      </c>
      <c r="B1132" s="1053" t="s">
        <v>60</v>
      </c>
      <c r="C1132" s="869"/>
      <c r="D1132" s="1049"/>
      <c r="E1132" s="1054"/>
      <c r="F1132" s="1055"/>
      <c r="G1132" s="1052" t="s">
        <v>356</v>
      </c>
      <c r="H1132" s="1053" t="s">
        <v>61</v>
      </c>
      <c r="I1132" s="869"/>
      <c r="J1132" s="1049"/>
      <c r="L1132" s="1088"/>
      <c r="M1132" s="1088"/>
      <c r="N1132" s="1088"/>
      <c r="O1132" s="1088"/>
    </row>
    <row r="1133" spans="1:15" ht="15" customHeight="1">
      <c r="A1133" s="1052" t="s">
        <v>359</v>
      </c>
      <c r="B1133" s="1089" t="s">
        <v>360</v>
      </c>
      <c r="C1133" s="1058" t="e">
        <f>VLOOKUP(B1132,'LƯƠNG KT'!$D$15:$U$94,3,0)</f>
        <v>#N/A</v>
      </c>
      <c r="D1133" s="1059" t="e">
        <f>+C1133*25000</f>
        <v>#N/A</v>
      </c>
      <c r="E1133" s="1060"/>
      <c r="F1133" s="1060"/>
      <c r="G1133" s="1052" t="s">
        <v>359</v>
      </c>
      <c r="H1133" s="1089" t="s">
        <v>360</v>
      </c>
      <c r="I1133" s="1058" t="e">
        <f>VLOOKUP(H1132,'LƯƠNG KT'!$D$15:$U$94,3,0)</f>
        <v>#N/A</v>
      </c>
      <c r="J1133" s="1059" t="e">
        <f>+I1133*25000</f>
        <v>#N/A</v>
      </c>
      <c r="K1133" s="1085"/>
      <c r="L1133" s="1085"/>
      <c r="M1133" s="1085"/>
      <c r="N1133" s="1085"/>
      <c r="O1133" s="1085"/>
    </row>
    <row r="1134" spans="1:15" ht="15" customHeight="1">
      <c r="A1134" s="1052" t="s">
        <v>361</v>
      </c>
      <c r="B1134" s="869" t="s">
        <v>362</v>
      </c>
      <c r="C1134" s="1058" t="e">
        <f>VLOOKUP(B1132,'LƯƠNG KT'!$D$15:$U$94,14,0)</f>
        <v>#N/A</v>
      </c>
      <c r="D1134" s="1059" t="e">
        <f>C1134*$L$4</f>
        <v>#N/A</v>
      </c>
      <c r="E1134" s="1061"/>
      <c r="F1134" s="1061"/>
      <c r="G1134" s="1052" t="s">
        <v>361</v>
      </c>
      <c r="H1134" s="869" t="s">
        <v>362</v>
      </c>
      <c r="I1134" s="1058" t="e">
        <f>VLOOKUP(H1132,'LƯƠNG KT'!$D$15:$U$94,14,0)</f>
        <v>#N/A</v>
      </c>
      <c r="J1134" s="1059" t="e">
        <f>I1134*$L$4</f>
        <v>#N/A</v>
      </c>
      <c r="K1134" s="1085"/>
      <c r="L1134" s="1085"/>
      <c r="M1134" s="1085"/>
      <c r="N1134" s="1085"/>
      <c r="O1134" s="1085"/>
    </row>
    <row r="1135" spans="1:15" ht="15" customHeight="1">
      <c r="A1135" s="1052" t="s">
        <v>364</v>
      </c>
      <c r="B1135" s="869" t="s">
        <v>365</v>
      </c>
      <c r="C1135" s="1058" t="e">
        <f>VLOOKUP(B1132,'LƯƠNG KT'!$D$15:$U$94,15,0)</f>
        <v>#N/A</v>
      </c>
      <c r="D1135" s="1059" t="e">
        <f>C1135*$L$5</f>
        <v>#N/A</v>
      </c>
      <c r="E1135" s="1061"/>
      <c r="F1135" s="1061"/>
      <c r="G1135" s="1052" t="s">
        <v>364</v>
      </c>
      <c r="H1135" s="869" t="s">
        <v>365</v>
      </c>
      <c r="I1135" s="1058" t="e">
        <f>VLOOKUP(H1132,'LƯƠNG KT'!$D$15:$U$94,15,0)</f>
        <v>#N/A</v>
      </c>
      <c r="J1135" s="1059" t="e">
        <f>I1135*$L$5</f>
        <v>#N/A</v>
      </c>
      <c r="K1135" s="1085"/>
      <c r="L1135" s="1085"/>
      <c r="M1135" s="1085"/>
      <c r="N1135" s="1085"/>
      <c r="O1135" s="1085"/>
    </row>
    <row r="1136" spans="1:15" ht="15" customHeight="1">
      <c r="A1136" s="1052" t="s">
        <v>367</v>
      </c>
      <c r="B1136" s="869"/>
      <c r="C1136" s="1058" t="e">
        <f>VLOOKUP(B1132,'LƯƠNG KT'!$D$15:$U$94,16,0)</f>
        <v>#N/A</v>
      </c>
      <c r="D1136" s="1059" t="e">
        <f>+C1136*$L$6</f>
        <v>#N/A</v>
      </c>
      <c r="E1136" s="1061"/>
      <c r="F1136" s="1061"/>
      <c r="G1136" s="1052" t="s">
        <v>367</v>
      </c>
      <c r="H1136" s="869"/>
      <c r="I1136" s="1058" t="e">
        <f>VLOOKUP(H1132,'LƯƠNG KT'!$D$15:$U$94,16,0)</f>
        <v>#N/A</v>
      </c>
      <c r="J1136" s="1059" t="e">
        <f>+I1136*$L$6</f>
        <v>#N/A</v>
      </c>
      <c r="K1136" s="1085"/>
      <c r="L1136" s="1085"/>
      <c r="M1136" s="1085"/>
      <c r="N1136" s="1085"/>
      <c r="O1136" s="1085"/>
    </row>
    <row r="1137" spans="1:15" ht="15" customHeight="1">
      <c r="A1137" s="1052" t="s">
        <v>371</v>
      </c>
      <c r="B1137" s="869" t="s">
        <v>372</v>
      </c>
      <c r="C1137" s="1058" t="e">
        <f>VLOOKUP(B1132,'LƯƠNG KT'!$D$15:$U$94,9,0)*$L$10</f>
        <v>#N/A</v>
      </c>
      <c r="D1137" s="1059" t="e">
        <f>+C1137*0.5*3000</f>
        <v>#N/A</v>
      </c>
      <c r="E1137" s="1061"/>
      <c r="F1137" s="1061"/>
      <c r="G1137" s="1052" t="s">
        <v>371</v>
      </c>
      <c r="H1137" s="869" t="s">
        <v>372</v>
      </c>
      <c r="I1137" s="1058" t="e">
        <f>VLOOKUP(H1132,'LƯƠNG KT'!$D$15:$U$94,9,0)*$L$10</f>
        <v>#N/A</v>
      </c>
      <c r="J1137" s="1059" t="e">
        <f>+I1137*0.5*3000</f>
        <v>#N/A</v>
      </c>
      <c r="K1137" s="1085"/>
      <c r="L1137" s="1085"/>
      <c r="M1137" s="1085"/>
      <c r="N1137" s="1085"/>
      <c r="O1137" s="1085"/>
    </row>
    <row r="1138" spans="1:15" ht="15" customHeight="1">
      <c r="A1138" s="1052" t="s">
        <v>374</v>
      </c>
      <c r="B1138" s="869" t="s">
        <v>375</v>
      </c>
      <c r="C1138" s="1058" t="e">
        <f>VLOOKUP(B1132,'LƯƠNG KT'!$D$15:$U$94,8,0)*$L$11</f>
        <v>#N/A</v>
      </c>
      <c r="D1138" s="1059" t="e">
        <f>VLOOKUP(B1132,'LƯƠNG KT'!$D$15:$U$94,13,0)-D1137</f>
        <v>#N/A</v>
      </c>
      <c r="E1138" s="1063"/>
      <c r="F1138" s="1061"/>
      <c r="G1138" s="1052" t="s">
        <v>374</v>
      </c>
      <c r="H1138" s="869" t="s">
        <v>375</v>
      </c>
      <c r="I1138" s="1058" t="e">
        <f>VLOOKUP(H1132,'LƯƠNG KT'!$D$15:$U$94,8,0)*$L$11</f>
        <v>#N/A</v>
      </c>
      <c r="J1138" s="1059" t="e">
        <f>VLOOKUP(H1132,'LƯƠNG KT'!$D$15:$U$94,13,0)-J1137</f>
        <v>#N/A</v>
      </c>
      <c r="K1138" s="1085"/>
      <c r="L1138" s="1085"/>
      <c r="M1138" s="1085"/>
      <c r="N1138" s="1085"/>
      <c r="O1138" s="1085"/>
    </row>
    <row r="1139" spans="1:15" ht="15" customHeight="1">
      <c r="A1139" s="1059" t="s">
        <v>377</v>
      </c>
      <c r="B1139" s="869" t="s">
        <v>378</v>
      </c>
      <c r="C1139" s="1058"/>
      <c r="D1139" s="1059"/>
      <c r="E1139" s="1065"/>
      <c r="F1139" s="1065"/>
      <c r="G1139" s="1059" t="s">
        <v>377</v>
      </c>
      <c r="H1139" s="869" t="s">
        <v>378</v>
      </c>
      <c r="I1139" s="1058"/>
      <c r="J1139" s="1059"/>
    </row>
    <row r="1140" spans="1:15" ht="15" customHeight="1">
      <c r="A1140" s="1066" t="s">
        <v>379</v>
      </c>
      <c r="B1140" s="869" t="s">
        <v>380</v>
      </c>
      <c r="C1140" s="1058"/>
      <c r="D1140" s="1059"/>
      <c r="E1140" s="1063"/>
      <c r="F1140" s="1065"/>
      <c r="G1140" s="1066" t="s">
        <v>379</v>
      </c>
      <c r="H1140" s="869" t="s">
        <v>380</v>
      </c>
      <c r="I1140" s="1058"/>
      <c r="J1140" s="1059"/>
    </row>
    <row r="1141" spans="1:15" ht="15" customHeight="1">
      <c r="A1141" s="1052" t="s">
        <v>381</v>
      </c>
      <c r="B1141" s="869" t="s">
        <v>382</v>
      </c>
      <c r="C1141" s="1058"/>
      <c r="D1141" s="1059">
        <f>D1140</f>
        <v>0</v>
      </c>
      <c r="E1141" s="1067"/>
      <c r="F1141" s="1051"/>
      <c r="G1141" s="1052" t="s">
        <v>381</v>
      </c>
      <c r="H1141" s="869" t="s">
        <v>382</v>
      </c>
      <c r="I1141" s="1058"/>
      <c r="J1141" s="1059">
        <f>J1140</f>
        <v>0</v>
      </c>
    </row>
    <row r="1142" spans="1:15" ht="15" customHeight="1">
      <c r="A1142" s="1068" t="s">
        <v>383</v>
      </c>
      <c r="B1142" s="1069" t="s">
        <v>384</v>
      </c>
      <c r="C1142" s="1070"/>
      <c r="D1142" s="1071" t="e">
        <f>SUM(D1133:D1138)-D1141</f>
        <v>#N/A</v>
      </c>
      <c r="E1142" s="1072"/>
      <c r="F1142" s="1073"/>
      <c r="G1142" s="1068" t="s">
        <v>383</v>
      </c>
      <c r="H1142" s="1069" t="s">
        <v>384</v>
      </c>
      <c r="I1142" s="1070"/>
      <c r="J1142" s="1071" t="e">
        <f>SUM(J1133:J1138)-J1141</f>
        <v>#N/A</v>
      </c>
    </row>
    <row r="1143" spans="1:15" ht="18.75" customHeight="1">
      <c r="A1143" s="1074"/>
      <c r="B1143" s="1075"/>
      <c r="C1143" s="1076"/>
      <c r="D1143" s="1077"/>
      <c r="E1143" s="1077"/>
      <c r="F1143" s="1078"/>
      <c r="G1143" s="1074"/>
      <c r="H1143" s="1075"/>
      <c r="I1143" s="1076"/>
      <c r="J1143" s="1077"/>
    </row>
    <row r="1144" spans="1:15" ht="18.75" customHeight="1">
      <c r="A1144" s="1075"/>
      <c r="B1144" s="1075"/>
      <c r="C1144" s="1079"/>
      <c r="D1144" s="1080"/>
      <c r="E1144" s="1075"/>
      <c r="F1144" s="1081"/>
      <c r="G1144" s="1075"/>
      <c r="H1144" s="1075"/>
      <c r="I1144" s="1079"/>
      <c r="J1144" s="1080"/>
    </row>
    <row r="1145" spans="1:15" ht="15" customHeight="1">
      <c r="A1145" s="2242" t="str">
        <f>$K$2</f>
        <v>THÁNG 09/2024</v>
      </c>
      <c r="B1145" s="2242"/>
      <c r="C1145" s="2242"/>
      <c r="D1145" s="2242"/>
      <c r="E1145" s="1050"/>
      <c r="F1145" s="1051"/>
      <c r="G1145" s="2242" t="str">
        <f>$K$2</f>
        <v>THÁNG 09/2024</v>
      </c>
      <c r="H1145" s="2242"/>
      <c r="I1145" s="2242"/>
      <c r="J1145" s="2242"/>
      <c r="K1145" s="624"/>
    </row>
    <row r="1146" spans="1:15" ht="15" customHeight="1">
      <c r="A1146" s="1052" t="s">
        <v>356</v>
      </c>
      <c r="B1146" s="1053" t="s">
        <v>62</v>
      </c>
      <c r="C1146" s="869"/>
      <c r="D1146" s="1049"/>
      <c r="E1146" s="1054"/>
      <c r="F1146" s="1055"/>
      <c r="G1146" s="1052" t="s">
        <v>356</v>
      </c>
      <c r="H1146" s="1053" t="s">
        <v>63</v>
      </c>
      <c r="I1146" s="869"/>
      <c r="J1146" s="1049"/>
      <c r="L1146" s="1088"/>
      <c r="M1146" s="1088"/>
      <c r="N1146" s="1088"/>
      <c r="O1146" s="1088"/>
    </row>
    <row r="1147" spans="1:15" ht="15" customHeight="1">
      <c r="A1147" s="1052" t="s">
        <v>359</v>
      </c>
      <c r="B1147" s="1089" t="s">
        <v>360</v>
      </c>
      <c r="C1147" s="1058" t="e">
        <f>VLOOKUP(B1146,'LƯƠNG KT'!$D$15:$U$94,3,0)</f>
        <v>#N/A</v>
      </c>
      <c r="D1147" s="1059" t="e">
        <f>+C1147*25000</f>
        <v>#N/A</v>
      </c>
      <c r="E1147" s="1060"/>
      <c r="F1147" s="1060"/>
      <c r="G1147" s="1052" t="s">
        <v>359</v>
      </c>
      <c r="H1147" s="1089" t="s">
        <v>360</v>
      </c>
      <c r="I1147" s="1058" t="e">
        <f>VLOOKUP(H1146,'LƯƠNG KT'!$D$15:$U$94,3,0)</f>
        <v>#N/A</v>
      </c>
      <c r="J1147" s="1059" t="e">
        <f>+I1147*25000</f>
        <v>#N/A</v>
      </c>
      <c r="K1147" s="1085"/>
      <c r="L1147" s="1085"/>
      <c r="M1147" s="1085"/>
      <c r="N1147" s="1085"/>
      <c r="O1147" s="1085"/>
    </row>
    <row r="1148" spans="1:15" ht="15" customHeight="1">
      <c r="A1148" s="1052" t="s">
        <v>361</v>
      </c>
      <c r="B1148" s="869" t="s">
        <v>362</v>
      </c>
      <c r="C1148" s="1058" t="e">
        <f>VLOOKUP(B1146,'LƯƠNG KT'!$D$15:$U$94,14,0)</f>
        <v>#N/A</v>
      </c>
      <c r="D1148" s="1059" t="e">
        <f>C1148*$L$4</f>
        <v>#N/A</v>
      </c>
      <c r="E1148" s="1061"/>
      <c r="F1148" s="1061"/>
      <c r="G1148" s="1052" t="s">
        <v>361</v>
      </c>
      <c r="H1148" s="869" t="s">
        <v>362</v>
      </c>
      <c r="I1148" s="1058" t="e">
        <f>VLOOKUP(H1146,'LƯƠNG KT'!$D$15:$U$94,14,0)</f>
        <v>#N/A</v>
      </c>
      <c r="J1148" s="1059" t="e">
        <f>I1148*$L$4</f>
        <v>#N/A</v>
      </c>
      <c r="K1148" s="1085"/>
      <c r="L1148" s="1085"/>
      <c r="M1148" s="1085"/>
      <c r="N1148" s="1085"/>
      <c r="O1148" s="1085"/>
    </row>
    <row r="1149" spans="1:15" ht="15" customHeight="1">
      <c r="A1149" s="1052" t="s">
        <v>364</v>
      </c>
      <c r="B1149" s="869" t="s">
        <v>365</v>
      </c>
      <c r="C1149" s="1058" t="e">
        <f>VLOOKUP(B1146,'LƯƠNG KT'!$D$15:$U$94,15,0)</f>
        <v>#N/A</v>
      </c>
      <c r="D1149" s="1059" t="e">
        <f>C1149*$L$5</f>
        <v>#N/A</v>
      </c>
      <c r="E1149" s="1061"/>
      <c r="F1149" s="1061"/>
      <c r="G1149" s="1052" t="s">
        <v>364</v>
      </c>
      <c r="H1149" s="869" t="s">
        <v>365</v>
      </c>
      <c r="I1149" s="1058" t="e">
        <f>VLOOKUP(H1146,'LƯƠNG KT'!$D$15:$U$94,15,0)</f>
        <v>#N/A</v>
      </c>
      <c r="J1149" s="1059" t="e">
        <f>I1149*$L$5</f>
        <v>#N/A</v>
      </c>
      <c r="K1149" s="1085"/>
      <c r="L1149" s="1085"/>
      <c r="M1149" s="1085"/>
      <c r="N1149" s="1085"/>
      <c r="O1149" s="1085"/>
    </row>
    <row r="1150" spans="1:15" ht="15" customHeight="1">
      <c r="A1150" s="1052" t="s">
        <v>367</v>
      </c>
      <c r="B1150" s="869"/>
      <c r="C1150" s="1058" t="e">
        <f>VLOOKUP(B1146,'LƯƠNG KT'!$D$15:$U$94,16,0)</f>
        <v>#N/A</v>
      </c>
      <c r="D1150" s="1059" t="e">
        <f>+C1150*$L$6</f>
        <v>#N/A</v>
      </c>
      <c r="E1150" s="1061"/>
      <c r="F1150" s="1061"/>
      <c r="G1150" s="1052" t="s">
        <v>367</v>
      </c>
      <c r="H1150" s="869"/>
      <c r="I1150" s="1058" t="e">
        <f>VLOOKUP(H1146,'LƯƠNG KT'!$D$15:$U$94,16,0)</f>
        <v>#N/A</v>
      </c>
      <c r="J1150" s="1059" t="e">
        <f>+I1150*$L$6</f>
        <v>#N/A</v>
      </c>
      <c r="K1150" s="1085"/>
      <c r="L1150" s="1085"/>
      <c r="M1150" s="1085"/>
      <c r="N1150" s="1085"/>
      <c r="O1150" s="1085"/>
    </row>
    <row r="1151" spans="1:15" ht="15" customHeight="1">
      <c r="A1151" s="1052" t="s">
        <v>371</v>
      </c>
      <c r="B1151" s="869" t="s">
        <v>372</v>
      </c>
      <c r="C1151" s="1058" t="e">
        <f>VLOOKUP(B1146,'LƯƠNG KT'!$D$15:$U$94,9,0)*$L$10</f>
        <v>#N/A</v>
      </c>
      <c r="D1151" s="1059" t="e">
        <f>+C1151*0.5*3000</f>
        <v>#N/A</v>
      </c>
      <c r="E1151" s="1061"/>
      <c r="F1151" s="1061"/>
      <c r="G1151" s="1052" t="s">
        <v>371</v>
      </c>
      <c r="H1151" s="869" t="s">
        <v>372</v>
      </c>
      <c r="I1151" s="1058" t="e">
        <f>VLOOKUP(H1146,'LƯƠNG KT'!$D$15:$U$94,9,0)*$L$10</f>
        <v>#N/A</v>
      </c>
      <c r="J1151" s="1059" t="e">
        <f>+I1151*0.5*3000</f>
        <v>#N/A</v>
      </c>
      <c r="K1151" s="1085"/>
      <c r="L1151" s="1085"/>
      <c r="M1151" s="1085"/>
      <c r="N1151" s="1085"/>
      <c r="O1151" s="1085"/>
    </row>
    <row r="1152" spans="1:15" ht="15" customHeight="1">
      <c r="A1152" s="1052" t="s">
        <v>374</v>
      </c>
      <c r="B1152" s="869" t="s">
        <v>375</v>
      </c>
      <c r="C1152" s="1058" t="e">
        <f>VLOOKUP(B1146,'LƯƠNG KT'!$D$15:$U$94,8,0)*$L$11</f>
        <v>#N/A</v>
      </c>
      <c r="D1152" s="1059" t="e">
        <f>VLOOKUP(B1146,'LƯƠNG KT'!$D$15:$U$94,13,0)-D1151</f>
        <v>#N/A</v>
      </c>
      <c r="E1152" s="1063"/>
      <c r="F1152" s="1061"/>
      <c r="G1152" s="1052" t="s">
        <v>374</v>
      </c>
      <c r="H1152" s="869" t="s">
        <v>375</v>
      </c>
      <c r="I1152" s="1058" t="e">
        <f>VLOOKUP(H1146,'LƯƠNG KT'!$D$15:$U$94,8,0)*$L$11</f>
        <v>#N/A</v>
      </c>
      <c r="J1152" s="1059" t="e">
        <f>VLOOKUP(H1146,'LƯƠNG KT'!$D$15:$U$94,13,0)-J1151</f>
        <v>#N/A</v>
      </c>
      <c r="K1152" s="1085"/>
      <c r="L1152" s="1085"/>
      <c r="M1152" s="1085"/>
      <c r="N1152" s="1085"/>
      <c r="O1152" s="1085"/>
    </row>
    <row r="1153" spans="1:15" ht="15" customHeight="1">
      <c r="A1153" s="1059" t="s">
        <v>377</v>
      </c>
      <c r="B1153" s="869" t="s">
        <v>378</v>
      </c>
      <c r="C1153" s="1058"/>
      <c r="D1153" s="1059"/>
      <c r="E1153" s="1065"/>
      <c r="F1153" s="1065"/>
      <c r="G1153" s="1059" t="s">
        <v>377</v>
      </c>
      <c r="H1153" s="869" t="s">
        <v>378</v>
      </c>
      <c r="I1153" s="1058"/>
      <c r="J1153" s="1059"/>
    </row>
    <row r="1154" spans="1:15" ht="15" customHeight="1">
      <c r="A1154" s="1066" t="s">
        <v>379</v>
      </c>
      <c r="B1154" s="869" t="s">
        <v>380</v>
      </c>
      <c r="C1154" s="1058"/>
      <c r="D1154" s="1059"/>
      <c r="E1154" s="1063"/>
      <c r="F1154" s="1065"/>
      <c r="G1154" s="1066" t="s">
        <v>379</v>
      </c>
      <c r="H1154" s="869" t="s">
        <v>380</v>
      </c>
      <c r="I1154" s="1058"/>
      <c r="J1154" s="1059"/>
    </row>
    <row r="1155" spans="1:15" ht="15" customHeight="1">
      <c r="A1155" s="1052" t="s">
        <v>381</v>
      </c>
      <c r="B1155" s="869" t="s">
        <v>382</v>
      </c>
      <c r="C1155" s="1058"/>
      <c r="D1155" s="1059">
        <f>D1154</f>
        <v>0</v>
      </c>
      <c r="E1155" s="1067"/>
      <c r="F1155" s="1051"/>
      <c r="G1155" s="1052" t="s">
        <v>381</v>
      </c>
      <c r="H1155" s="869" t="s">
        <v>382</v>
      </c>
      <c r="I1155" s="1058"/>
      <c r="J1155" s="1059">
        <f>J1154</f>
        <v>0</v>
      </c>
    </row>
    <row r="1156" spans="1:15" ht="15" customHeight="1">
      <c r="A1156" s="1068" t="s">
        <v>383</v>
      </c>
      <c r="B1156" s="1069" t="s">
        <v>384</v>
      </c>
      <c r="C1156" s="1070"/>
      <c r="D1156" s="1071" t="e">
        <f>SUM(D1147:D1152)-D1155</f>
        <v>#N/A</v>
      </c>
      <c r="E1156" s="1072"/>
      <c r="F1156" s="1073"/>
      <c r="G1156" s="1068" t="s">
        <v>383</v>
      </c>
      <c r="H1156" s="1069" t="s">
        <v>384</v>
      </c>
      <c r="I1156" s="1070"/>
      <c r="J1156" s="1071" t="e">
        <f>SUM(J1147:J1152)-J1155</f>
        <v>#N/A</v>
      </c>
    </row>
    <row r="1157" spans="1:15" ht="15.75" customHeight="1">
      <c r="A1157" s="1074"/>
      <c r="B1157" s="1075"/>
      <c r="C1157" s="1076"/>
      <c r="D1157" s="1077"/>
      <c r="E1157" s="1077"/>
      <c r="F1157" s="1078"/>
      <c r="G1157" s="1074"/>
      <c r="H1157" s="1075"/>
      <c r="I1157" s="1076"/>
      <c r="J1157" s="1077"/>
    </row>
    <row r="1159" spans="1:15" ht="12" customHeight="1">
      <c r="A1159" s="2243"/>
      <c r="B1159" s="2243"/>
      <c r="C1159" s="2243"/>
      <c r="D1159" s="2243"/>
      <c r="E1159" s="2243"/>
      <c r="F1159" s="2243"/>
      <c r="G1159" s="2243"/>
      <c r="H1159" s="2243"/>
      <c r="I1159" s="2243"/>
      <c r="J1159" s="2243"/>
    </row>
    <row r="1160" spans="1:15" ht="15" customHeight="1">
      <c r="A1160" s="2242" t="str">
        <f>$K$2</f>
        <v>THÁNG 09/2024</v>
      </c>
      <c r="B1160" s="2242"/>
      <c r="C1160" s="2242"/>
      <c r="D1160" s="2242"/>
      <c r="E1160" s="1050"/>
      <c r="F1160" s="1051"/>
      <c r="G1160" s="2242" t="str">
        <f>$K$2</f>
        <v>THÁNG 09/2024</v>
      </c>
      <c r="H1160" s="2242"/>
      <c r="I1160" s="2242"/>
      <c r="J1160" s="2242"/>
      <c r="K1160" s="624"/>
    </row>
    <row r="1161" spans="1:15" ht="15" customHeight="1">
      <c r="A1161" s="1052" t="s">
        <v>356</v>
      </c>
      <c r="B1161" s="1053" t="s">
        <v>64</v>
      </c>
      <c r="C1161" s="869"/>
      <c r="D1161" s="1049"/>
      <c r="E1161" s="1054"/>
      <c r="F1161" s="1055"/>
      <c r="G1161" s="1052" t="s">
        <v>356</v>
      </c>
      <c r="H1161" s="1053" t="s">
        <v>65</v>
      </c>
      <c r="I1161" s="869"/>
      <c r="J1161" s="1049"/>
      <c r="L1161" s="1088"/>
      <c r="M1161" s="1088"/>
      <c r="N1161" s="1088"/>
      <c r="O1161" s="1088"/>
    </row>
    <row r="1162" spans="1:15" ht="15" customHeight="1">
      <c r="A1162" s="1052" t="s">
        <v>359</v>
      </c>
      <c r="B1162" s="1089" t="s">
        <v>360</v>
      </c>
      <c r="C1162" s="1058" t="e">
        <f>VLOOKUP(B1161,'LƯƠNG KT'!$D$15:$U$94,3,0)</f>
        <v>#N/A</v>
      </c>
      <c r="D1162" s="1059" t="e">
        <f>+C1162*25000</f>
        <v>#N/A</v>
      </c>
      <c r="E1162" s="1060"/>
      <c r="F1162" s="1060"/>
      <c r="G1162" s="1052" t="s">
        <v>359</v>
      </c>
      <c r="H1162" s="1089" t="s">
        <v>360</v>
      </c>
      <c r="I1162" s="1058" t="e">
        <f>VLOOKUP(H1161,'LƯƠNG KT'!$D$15:$U$94,3,0)</f>
        <v>#N/A</v>
      </c>
      <c r="J1162" s="1059" t="e">
        <f>+I1162*25000</f>
        <v>#N/A</v>
      </c>
      <c r="K1162" s="1084"/>
      <c r="L1162" s="1085"/>
      <c r="M1162" s="1085"/>
      <c r="N1162" s="1085"/>
      <c r="O1162" s="1085"/>
    </row>
    <row r="1163" spans="1:15" ht="15" customHeight="1">
      <c r="A1163" s="1052" t="s">
        <v>361</v>
      </c>
      <c r="B1163" s="869" t="s">
        <v>362</v>
      </c>
      <c r="C1163" s="1058" t="e">
        <f>VLOOKUP(B1161,'LƯƠNG KT'!$D$15:$U$94,14,0)</f>
        <v>#N/A</v>
      </c>
      <c r="D1163" s="1059" t="e">
        <f>C1163*$L$4</f>
        <v>#N/A</v>
      </c>
      <c r="E1163" s="1061"/>
      <c r="F1163" s="1061"/>
      <c r="G1163" s="1052" t="s">
        <v>361</v>
      </c>
      <c r="H1163" s="869" t="s">
        <v>362</v>
      </c>
      <c r="I1163" s="1058" t="e">
        <f>VLOOKUP(H1161,'LƯƠNG KT'!$D$15:$U$94,14,0)</f>
        <v>#N/A</v>
      </c>
      <c r="J1163" s="1059" t="e">
        <f>I1163*$L$4</f>
        <v>#N/A</v>
      </c>
      <c r="K1163" s="1084"/>
      <c r="L1163" s="1085"/>
      <c r="M1163" s="1085"/>
      <c r="N1163" s="1085"/>
      <c r="O1163" s="1085"/>
    </row>
    <row r="1164" spans="1:15" ht="15" customHeight="1">
      <c r="A1164" s="1052" t="s">
        <v>364</v>
      </c>
      <c r="B1164" s="869" t="s">
        <v>365</v>
      </c>
      <c r="C1164" s="1058" t="e">
        <f>VLOOKUP(B1161,'LƯƠNG KT'!$D$15:$U$94,15,0)</f>
        <v>#N/A</v>
      </c>
      <c r="D1164" s="1059" t="e">
        <f>C1164*$L$5</f>
        <v>#N/A</v>
      </c>
      <c r="E1164" s="1061"/>
      <c r="F1164" s="1061"/>
      <c r="G1164" s="1052" t="s">
        <v>364</v>
      </c>
      <c r="H1164" s="869" t="s">
        <v>365</v>
      </c>
      <c r="I1164" s="1058" t="e">
        <f>VLOOKUP(H1161,'LƯƠNG KT'!$D$15:$U$94,15,0)</f>
        <v>#N/A</v>
      </c>
      <c r="J1164" s="1059" t="e">
        <f>I1164*$L$5</f>
        <v>#N/A</v>
      </c>
      <c r="K1164" s="1084"/>
      <c r="L1164" s="1085"/>
      <c r="M1164" s="1085"/>
      <c r="N1164" s="1085"/>
      <c r="O1164" s="1085"/>
    </row>
    <row r="1165" spans="1:15" ht="15" customHeight="1">
      <c r="A1165" s="1052" t="s">
        <v>367</v>
      </c>
      <c r="B1165" s="869"/>
      <c r="C1165" s="1058" t="e">
        <f>VLOOKUP(B1161,'LƯƠNG KT'!$D$15:$U$94,16,0)</f>
        <v>#N/A</v>
      </c>
      <c r="D1165" s="1059" t="e">
        <f>+C1165*$L$6</f>
        <v>#N/A</v>
      </c>
      <c r="E1165" s="1061"/>
      <c r="F1165" s="1061"/>
      <c r="G1165" s="1052" t="s">
        <v>367</v>
      </c>
      <c r="H1165" s="869"/>
      <c r="I1165" s="1058" t="e">
        <f>VLOOKUP(H1161,'LƯƠNG KT'!$D$15:$U$94,16,0)</f>
        <v>#N/A</v>
      </c>
      <c r="J1165" s="1059" t="e">
        <f>+I1165*$L$6</f>
        <v>#N/A</v>
      </c>
      <c r="K1165" s="1085"/>
      <c r="L1165" s="1085"/>
      <c r="M1165" s="1085"/>
      <c r="N1165" s="1085"/>
      <c r="O1165" s="1085"/>
    </row>
    <row r="1166" spans="1:15" ht="15" customHeight="1">
      <c r="A1166" s="1052" t="s">
        <v>371</v>
      </c>
      <c r="B1166" s="869" t="s">
        <v>372</v>
      </c>
      <c r="C1166" s="1058" t="e">
        <f>VLOOKUP(B1161,'LƯƠNG KT'!$D$15:$U$94,9,0)*$L$10</f>
        <v>#N/A</v>
      </c>
      <c r="D1166" s="1059" t="e">
        <f>+C1166*0.5*3000</f>
        <v>#N/A</v>
      </c>
      <c r="E1166" s="1061"/>
      <c r="F1166" s="1061"/>
      <c r="G1166" s="1052" t="s">
        <v>371</v>
      </c>
      <c r="H1166" s="869" t="s">
        <v>372</v>
      </c>
      <c r="I1166" s="1058" t="e">
        <f>VLOOKUP(H1161,'LƯƠNG KT'!$D$15:$U$94,9,0)*$L$10</f>
        <v>#N/A</v>
      </c>
      <c r="J1166" s="1059" t="e">
        <f>+I1166*0.5*3000</f>
        <v>#N/A</v>
      </c>
      <c r="K1166" s="1085"/>
      <c r="L1166" s="1085"/>
      <c r="M1166" s="1085"/>
      <c r="N1166" s="1085"/>
      <c r="O1166" s="1085"/>
    </row>
    <row r="1167" spans="1:15" ht="15" customHeight="1">
      <c r="A1167" s="1052" t="s">
        <v>374</v>
      </c>
      <c r="B1167" s="869" t="s">
        <v>375</v>
      </c>
      <c r="C1167" s="1058" t="e">
        <f>VLOOKUP(B1161,'LƯƠNG KT'!$D$15:$U$94,8,0)*$L$11</f>
        <v>#N/A</v>
      </c>
      <c r="D1167" s="1059" t="e">
        <f>VLOOKUP(B1161,'LƯƠNG KT'!$D$15:$U$94,13,0)-D1166</f>
        <v>#N/A</v>
      </c>
      <c r="E1167" s="1063"/>
      <c r="F1167" s="1061"/>
      <c r="G1167" s="1052" t="s">
        <v>374</v>
      </c>
      <c r="H1167" s="869" t="s">
        <v>375</v>
      </c>
      <c r="I1167" s="1058" t="e">
        <f>VLOOKUP(H1161,'LƯƠNG KT'!$D$15:$U$94,8,0)*$L$11</f>
        <v>#N/A</v>
      </c>
      <c r="J1167" s="1059" t="e">
        <f>VLOOKUP(H1161,'LƯƠNG KT'!$D$15:$U$94,13,0)-J1166</f>
        <v>#N/A</v>
      </c>
      <c r="K1167" s="1085"/>
      <c r="L1167" s="1085"/>
      <c r="M1167" s="1085"/>
      <c r="N1167" s="1085"/>
      <c r="O1167" s="1085"/>
    </row>
    <row r="1168" spans="1:15" ht="15" customHeight="1">
      <c r="A1168" s="1059" t="s">
        <v>377</v>
      </c>
      <c r="B1168" s="869" t="s">
        <v>378</v>
      </c>
      <c r="C1168" s="1058"/>
      <c r="D1168" s="1059"/>
      <c r="E1168" s="1065"/>
      <c r="F1168" s="1065"/>
      <c r="G1168" s="1059" t="s">
        <v>377</v>
      </c>
      <c r="H1168" s="869" t="s">
        <v>378</v>
      </c>
      <c r="I1168" s="1058"/>
      <c r="J1168" s="1059"/>
    </row>
    <row r="1169" spans="1:15" ht="15" customHeight="1">
      <c r="A1169" s="1066" t="s">
        <v>379</v>
      </c>
      <c r="B1169" s="869" t="s">
        <v>380</v>
      </c>
      <c r="C1169" s="1058"/>
      <c r="D1169" s="1059"/>
      <c r="E1169" s="1063"/>
      <c r="F1169" s="1065"/>
      <c r="G1169" s="1066" t="s">
        <v>379</v>
      </c>
      <c r="H1169" s="869" t="s">
        <v>380</v>
      </c>
      <c r="I1169" s="1058"/>
      <c r="J1169" s="1059"/>
    </row>
    <row r="1170" spans="1:15" ht="15" customHeight="1">
      <c r="A1170" s="1052" t="s">
        <v>381</v>
      </c>
      <c r="B1170" s="869" t="s">
        <v>382</v>
      </c>
      <c r="C1170" s="1058"/>
      <c r="D1170" s="1059">
        <f>D1169</f>
        <v>0</v>
      </c>
      <c r="E1170" s="1067"/>
      <c r="F1170" s="1051"/>
      <c r="G1170" s="1052" t="s">
        <v>381</v>
      </c>
      <c r="H1170" s="869" t="s">
        <v>382</v>
      </c>
      <c r="I1170" s="1058"/>
      <c r="J1170" s="1059">
        <f>J1169</f>
        <v>0</v>
      </c>
    </row>
    <row r="1171" spans="1:15" ht="15" customHeight="1">
      <c r="A1171" s="1068" t="s">
        <v>383</v>
      </c>
      <c r="B1171" s="1069" t="s">
        <v>384</v>
      </c>
      <c r="C1171" s="1070"/>
      <c r="D1171" s="1071" t="e">
        <f>SUM(D1162:D1167)-D1170</f>
        <v>#N/A</v>
      </c>
      <c r="E1171" s="1072"/>
      <c r="F1171" s="1073"/>
      <c r="G1171" s="1068" t="s">
        <v>383</v>
      </c>
      <c r="H1171" s="1069" t="s">
        <v>384</v>
      </c>
      <c r="I1171" s="1070"/>
      <c r="J1171" s="1071" t="e">
        <f>SUM(J1162:J1167)-J1170</f>
        <v>#N/A</v>
      </c>
    </row>
    <row r="1172" spans="1:15" ht="12.6" customHeight="1">
      <c r="A1172" s="1074"/>
      <c r="B1172" s="1075"/>
      <c r="C1172" s="1076"/>
      <c r="D1172" s="1077"/>
      <c r="E1172" s="1077"/>
      <c r="F1172" s="1078"/>
      <c r="G1172" s="1074"/>
      <c r="H1172" s="1075"/>
      <c r="I1172" s="1076"/>
      <c r="J1172" s="1077"/>
    </row>
    <row r="1173" spans="1:15" ht="12.6" customHeight="1">
      <c r="A1173" s="1075"/>
      <c r="B1173" s="1075"/>
      <c r="C1173" s="1079"/>
      <c r="D1173" s="1080"/>
      <c r="E1173" s="1075"/>
      <c r="F1173" s="1081"/>
      <c r="G1173" s="1075"/>
      <c r="H1173" s="1075"/>
      <c r="I1173" s="1079"/>
      <c r="J1173" s="1080"/>
    </row>
    <row r="1174" spans="1:15" ht="15" customHeight="1">
      <c r="A1174" s="2242" t="str">
        <f>$K$2</f>
        <v>THÁNG 09/2024</v>
      </c>
      <c r="B1174" s="2242"/>
      <c r="C1174" s="2242"/>
      <c r="D1174" s="2242"/>
      <c r="E1174" s="1050"/>
      <c r="F1174" s="1051"/>
      <c r="G1174" s="2242" t="str">
        <f>$K$2</f>
        <v>THÁNG 09/2024</v>
      </c>
      <c r="H1174" s="2242"/>
      <c r="I1174" s="2242"/>
      <c r="J1174" s="2242"/>
      <c r="K1174" s="624"/>
    </row>
    <row r="1175" spans="1:15" ht="15" customHeight="1">
      <c r="A1175" s="1052" t="s">
        <v>356</v>
      </c>
      <c r="B1175" s="1053" t="s">
        <v>66</v>
      </c>
      <c r="C1175" s="869"/>
      <c r="D1175" s="1049"/>
      <c r="E1175" s="1054"/>
      <c r="F1175" s="1055"/>
      <c r="G1175" s="1052" t="s">
        <v>356</v>
      </c>
      <c r="H1175" s="1053" t="s">
        <v>67</v>
      </c>
      <c r="I1175" s="869"/>
      <c r="J1175" s="1049"/>
      <c r="L1175" s="1088"/>
      <c r="M1175" s="1088"/>
      <c r="N1175" s="1088"/>
      <c r="O1175" s="1088"/>
    </row>
    <row r="1176" spans="1:15" ht="15" customHeight="1">
      <c r="A1176" s="1052" t="s">
        <v>359</v>
      </c>
      <c r="B1176" s="1089" t="s">
        <v>360</v>
      </c>
      <c r="C1176" s="1058" t="e">
        <f>VLOOKUP(B1175,'LƯƠNG KT'!$D$15:$U$94,3,0)</f>
        <v>#N/A</v>
      </c>
      <c r="D1176" s="1059" t="e">
        <f>+C1176*25000</f>
        <v>#N/A</v>
      </c>
      <c r="E1176" s="1060"/>
      <c r="F1176" s="1060"/>
      <c r="G1176" s="1052" t="s">
        <v>359</v>
      </c>
      <c r="H1176" s="1089" t="s">
        <v>360</v>
      </c>
      <c r="I1176" s="1058" t="e">
        <f>VLOOKUP(H1175,'LƯƠNG KT'!$D$15:$U$94,3,0)</f>
        <v>#N/A</v>
      </c>
      <c r="J1176" s="1059" t="e">
        <f>+I1176*25000</f>
        <v>#N/A</v>
      </c>
      <c r="K1176" s="1085"/>
      <c r="L1176" s="1085"/>
      <c r="M1176" s="1085"/>
      <c r="N1176" s="1085"/>
      <c r="O1176" s="1085"/>
    </row>
    <row r="1177" spans="1:15" ht="15" customHeight="1">
      <c r="A1177" s="1052" t="s">
        <v>361</v>
      </c>
      <c r="B1177" s="869" t="s">
        <v>362</v>
      </c>
      <c r="C1177" s="1058" t="e">
        <f>VLOOKUP(B1175,'LƯƠNG KT'!$D$15:$U$94,14,0)</f>
        <v>#N/A</v>
      </c>
      <c r="D1177" s="1059" t="e">
        <f>C1177*$L$4</f>
        <v>#N/A</v>
      </c>
      <c r="E1177" s="1061"/>
      <c r="F1177" s="1061"/>
      <c r="G1177" s="1052" t="s">
        <v>361</v>
      </c>
      <c r="H1177" s="869" t="s">
        <v>362</v>
      </c>
      <c r="I1177" s="1058" t="e">
        <f>VLOOKUP(H1175,'LƯƠNG KT'!$D$15:$U$94,14,0)</f>
        <v>#N/A</v>
      </c>
      <c r="J1177" s="1059" t="e">
        <f>I1177*$L$4</f>
        <v>#N/A</v>
      </c>
      <c r="K1177" s="1085"/>
      <c r="L1177" s="1085"/>
      <c r="M1177" s="1085"/>
      <c r="N1177" s="1085"/>
      <c r="O1177" s="1085"/>
    </row>
    <row r="1178" spans="1:15" ht="15" customHeight="1">
      <c r="A1178" s="1052" t="s">
        <v>364</v>
      </c>
      <c r="B1178" s="869" t="s">
        <v>365</v>
      </c>
      <c r="C1178" s="1058" t="e">
        <f>VLOOKUP(B1175,'LƯƠNG KT'!$D$15:$U$94,15,0)</f>
        <v>#N/A</v>
      </c>
      <c r="D1178" s="1059" t="e">
        <f>C1178*$L$5</f>
        <v>#N/A</v>
      </c>
      <c r="E1178" s="1061"/>
      <c r="F1178" s="1061"/>
      <c r="G1178" s="1052" t="s">
        <v>364</v>
      </c>
      <c r="H1178" s="869" t="s">
        <v>365</v>
      </c>
      <c r="I1178" s="1058" t="e">
        <f>VLOOKUP(H1175,'LƯƠNG KT'!$D$15:$U$94,15,0)</f>
        <v>#N/A</v>
      </c>
      <c r="J1178" s="1059" t="e">
        <f>I1178*$L$5</f>
        <v>#N/A</v>
      </c>
      <c r="K1178" s="1085"/>
      <c r="L1178" s="1085"/>
      <c r="M1178" s="1085"/>
      <c r="N1178" s="1085"/>
      <c r="O1178" s="1085"/>
    </row>
    <row r="1179" spans="1:15" ht="15" customHeight="1">
      <c r="A1179" s="1052" t="s">
        <v>367</v>
      </c>
      <c r="B1179" s="869"/>
      <c r="C1179" s="1058" t="e">
        <f>VLOOKUP(B1175,'LƯƠNG KT'!$D$15:$U$94,16,0)</f>
        <v>#N/A</v>
      </c>
      <c r="D1179" s="1059" t="e">
        <f>+C1179*$L$6</f>
        <v>#N/A</v>
      </c>
      <c r="E1179" s="1061"/>
      <c r="F1179" s="1061"/>
      <c r="G1179" s="1052" t="s">
        <v>367</v>
      </c>
      <c r="H1179" s="869"/>
      <c r="I1179" s="1058" t="e">
        <f>VLOOKUP(H1175,'LƯƠNG KT'!$D$15:$U$94,16,0)</f>
        <v>#N/A</v>
      </c>
      <c r="J1179" s="1059" t="e">
        <f>+I1179*$L$6</f>
        <v>#N/A</v>
      </c>
      <c r="K1179" s="1085"/>
      <c r="L1179" s="1085"/>
      <c r="M1179" s="1085"/>
      <c r="N1179" s="1085"/>
      <c r="O1179" s="1085"/>
    </row>
    <row r="1180" spans="1:15" ht="15" customHeight="1">
      <c r="A1180" s="1052" t="s">
        <v>371</v>
      </c>
      <c r="B1180" s="869" t="s">
        <v>372</v>
      </c>
      <c r="C1180" s="1058" t="e">
        <f>VLOOKUP(B1175,'LƯƠNG KT'!$D$15:$U$94,9,0)*$L$10</f>
        <v>#N/A</v>
      </c>
      <c r="D1180" s="1059" t="e">
        <f>+C1180*0.5*3000</f>
        <v>#N/A</v>
      </c>
      <c r="E1180" s="1061"/>
      <c r="F1180" s="1061"/>
      <c r="G1180" s="1052" t="s">
        <v>371</v>
      </c>
      <c r="H1180" s="869" t="s">
        <v>372</v>
      </c>
      <c r="I1180" s="1058" t="e">
        <f>VLOOKUP(H1175,'LƯƠNG KT'!$D$15:$U$94,9,0)*$L$10</f>
        <v>#N/A</v>
      </c>
      <c r="J1180" s="1059" t="e">
        <f>+I1180*0.5*3000</f>
        <v>#N/A</v>
      </c>
      <c r="K1180" s="1085"/>
      <c r="L1180" s="1085"/>
      <c r="M1180" s="1085"/>
      <c r="N1180" s="1085"/>
      <c r="O1180" s="1085"/>
    </row>
    <row r="1181" spans="1:15" ht="15" customHeight="1">
      <c r="A1181" s="1052" t="s">
        <v>374</v>
      </c>
      <c r="B1181" s="869" t="s">
        <v>375</v>
      </c>
      <c r="C1181" s="1058" t="e">
        <f>VLOOKUP(B1175,'LƯƠNG KT'!$D$15:$U$94,8,0)*$L$11</f>
        <v>#N/A</v>
      </c>
      <c r="D1181" s="1059" t="e">
        <f>VLOOKUP(B1175,'LƯƠNG KT'!$D$15:$U$94,13,0)-D1180</f>
        <v>#N/A</v>
      </c>
      <c r="E1181" s="1063"/>
      <c r="F1181" s="1061"/>
      <c r="G1181" s="1052" t="s">
        <v>374</v>
      </c>
      <c r="H1181" s="869" t="s">
        <v>375</v>
      </c>
      <c r="I1181" s="1058" t="e">
        <f>VLOOKUP(H1175,'LƯƠNG KT'!$D$15:$U$94,8,0)*$L$11</f>
        <v>#N/A</v>
      </c>
      <c r="J1181" s="1059" t="e">
        <f>VLOOKUP(H1175,'LƯƠNG KT'!$D$15:$U$94,13,0)-J1180</f>
        <v>#N/A</v>
      </c>
      <c r="K1181" s="1085"/>
      <c r="L1181" s="1085"/>
      <c r="M1181" s="1085"/>
      <c r="N1181" s="1085"/>
      <c r="O1181" s="1085"/>
    </row>
    <row r="1182" spans="1:15" ht="15" customHeight="1">
      <c r="A1182" s="1059" t="s">
        <v>377</v>
      </c>
      <c r="B1182" s="869" t="s">
        <v>378</v>
      </c>
      <c r="C1182" s="1058"/>
      <c r="D1182" s="1059"/>
      <c r="E1182" s="1065"/>
      <c r="F1182" s="1065"/>
      <c r="G1182" s="1059" t="s">
        <v>377</v>
      </c>
      <c r="H1182" s="869" t="s">
        <v>378</v>
      </c>
      <c r="I1182" s="1058"/>
      <c r="J1182" s="1059"/>
    </row>
    <row r="1183" spans="1:15" ht="15" customHeight="1">
      <c r="A1183" s="1066" t="s">
        <v>379</v>
      </c>
      <c r="B1183" s="869" t="s">
        <v>380</v>
      </c>
      <c r="C1183" s="1058"/>
      <c r="D1183" s="1059"/>
      <c r="E1183" s="1063"/>
      <c r="F1183" s="1065"/>
      <c r="G1183" s="1066" t="s">
        <v>379</v>
      </c>
      <c r="H1183" s="869" t="s">
        <v>380</v>
      </c>
      <c r="I1183" s="1058"/>
      <c r="J1183" s="1059"/>
    </row>
    <row r="1184" spans="1:15" ht="15" customHeight="1">
      <c r="A1184" s="1052" t="s">
        <v>381</v>
      </c>
      <c r="B1184" s="869" t="s">
        <v>382</v>
      </c>
      <c r="C1184" s="1058"/>
      <c r="D1184" s="1059">
        <f>D1183</f>
        <v>0</v>
      </c>
      <c r="E1184" s="1067"/>
      <c r="F1184" s="1051"/>
      <c r="G1184" s="1052" t="s">
        <v>381</v>
      </c>
      <c r="H1184" s="869" t="s">
        <v>382</v>
      </c>
      <c r="I1184" s="1058"/>
      <c r="J1184" s="1059">
        <f>J1183</f>
        <v>0</v>
      </c>
    </row>
    <row r="1185" spans="1:15" ht="15" customHeight="1">
      <c r="A1185" s="1068" t="s">
        <v>383</v>
      </c>
      <c r="B1185" s="1069" t="s">
        <v>384</v>
      </c>
      <c r="C1185" s="1070"/>
      <c r="D1185" s="1071" t="e">
        <f>SUM(D1176:D1181)-D1184</f>
        <v>#N/A</v>
      </c>
      <c r="E1185" s="1072"/>
      <c r="F1185" s="1073"/>
      <c r="G1185" s="1068" t="s">
        <v>383</v>
      </c>
      <c r="H1185" s="1069" t="s">
        <v>384</v>
      </c>
      <c r="I1185" s="1070"/>
      <c r="J1185" s="1071" t="e">
        <f>SUM(J1176:J1181)-J1184</f>
        <v>#N/A</v>
      </c>
    </row>
    <row r="1186" spans="1:15" ht="18.75" customHeight="1">
      <c r="A1186" s="1074"/>
      <c r="B1186" s="1075"/>
      <c r="C1186" s="1076"/>
      <c r="D1186" s="1077"/>
      <c r="E1186" s="1077"/>
      <c r="F1186" s="1078"/>
      <c r="G1186" s="1074"/>
      <c r="H1186" s="1075"/>
      <c r="I1186" s="1076"/>
      <c r="J1186" s="1077"/>
    </row>
    <row r="1187" spans="1:15" ht="18.75" customHeight="1">
      <c r="A1187" s="1075"/>
      <c r="B1187" s="1075"/>
      <c r="C1187" s="1079"/>
      <c r="D1187" s="1080"/>
      <c r="E1187" s="1075"/>
      <c r="F1187" s="1081"/>
      <c r="G1187" s="1075"/>
      <c r="H1187" s="1075"/>
      <c r="I1187" s="1079"/>
      <c r="J1187" s="1080"/>
    </row>
    <row r="1188" spans="1:15" ht="15" customHeight="1">
      <c r="A1188" s="2242" t="str">
        <f>$K$2</f>
        <v>THÁNG 09/2024</v>
      </c>
      <c r="B1188" s="2242"/>
      <c r="C1188" s="2242"/>
      <c r="D1188" s="2242"/>
      <c r="E1188" s="1050"/>
      <c r="F1188" s="1051"/>
      <c r="G1188" s="2242" t="str">
        <f>$K$2</f>
        <v>THÁNG 09/2024</v>
      </c>
      <c r="H1188" s="2242"/>
      <c r="I1188" s="2242"/>
      <c r="J1188" s="2242"/>
      <c r="K1188" s="624"/>
    </row>
    <row r="1189" spans="1:15" ht="15" customHeight="1">
      <c r="A1189" s="1052" t="s">
        <v>356</v>
      </c>
      <c r="B1189" s="1053" t="s">
        <v>68</v>
      </c>
      <c r="C1189" s="869"/>
      <c r="D1189" s="1049"/>
      <c r="E1189" s="1054"/>
      <c r="F1189" s="1055"/>
      <c r="G1189" s="1052" t="s">
        <v>356</v>
      </c>
      <c r="H1189" s="1053" t="s">
        <v>69</v>
      </c>
      <c r="I1189" s="869"/>
      <c r="J1189" s="1049"/>
      <c r="L1189" s="1088"/>
      <c r="M1189" s="1088"/>
      <c r="N1189" s="1088"/>
      <c r="O1189" s="1088"/>
    </row>
    <row r="1190" spans="1:15" ht="15" customHeight="1">
      <c r="A1190" s="1052" t="s">
        <v>359</v>
      </c>
      <c r="B1190" s="1089" t="s">
        <v>360</v>
      </c>
      <c r="C1190" s="1058" t="e">
        <f>VLOOKUP(B1189,'LƯƠNG KT'!$D$15:$U$94,3,0)</f>
        <v>#N/A</v>
      </c>
      <c r="D1190" s="1059" t="e">
        <f>+C1190*25000</f>
        <v>#N/A</v>
      </c>
      <c r="E1190" s="1060"/>
      <c r="F1190" s="1060"/>
      <c r="G1190" s="1052" t="s">
        <v>359</v>
      </c>
      <c r="H1190" s="1089" t="s">
        <v>360</v>
      </c>
      <c r="I1190" s="1058" t="e">
        <f>VLOOKUP(H1189,'LƯƠNG KT'!$D$15:$U$94,3,0)</f>
        <v>#N/A</v>
      </c>
      <c r="J1190" s="1059" t="e">
        <f>+I1190*25000</f>
        <v>#N/A</v>
      </c>
      <c r="K1190" s="1085"/>
      <c r="L1190" s="1085"/>
      <c r="M1190" s="1085"/>
      <c r="N1190" s="1085"/>
      <c r="O1190" s="1085"/>
    </row>
    <row r="1191" spans="1:15" ht="15" customHeight="1">
      <c r="A1191" s="1052" t="s">
        <v>361</v>
      </c>
      <c r="B1191" s="869" t="s">
        <v>362</v>
      </c>
      <c r="C1191" s="1058" t="e">
        <f>VLOOKUP(B1189,'LƯƠNG KT'!$D$15:$U$94,14,0)</f>
        <v>#N/A</v>
      </c>
      <c r="D1191" s="1059" t="e">
        <f>C1191*$L$4</f>
        <v>#N/A</v>
      </c>
      <c r="E1191" s="1061"/>
      <c r="F1191" s="1061"/>
      <c r="G1191" s="1052" t="s">
        <v>361</v>
      </c>
      <c r="H1191" s="869" t="s">
        <v>362</v>
      </c>
      <c r="I1191" s="1058" t="e">
        <f>VLOOKUP(H1189,'LƯƠNG KT'!$D$15:$U$94,14,0)</f>
        <v>#N/A</v>
      </c>
      <c r="J1191" s="1059" t="e">
        <f>I1191*$L$4</f>
        <v>#N/A</v>
      </c>
      <c r="K1191" s="1085"/>
      <c r="L1191" s="1085"/>
      <c r="M1191" s="1085"/>
      <c r="N1191" s="1085"/>
      <c r="O1191" s="1085"/>
    </row>
    <row r="1192" spans="1:15" ht="15" customHeight="1">
      <c r="A1192" s="1052" t="s">
        <v>364</v>
      </c>
      <c r="B1192" s="869" t="s">
        <v>365</v>
      </c>
      <c r="C1192" s="1058" t="e">
        <f>VLOOKUP(B1189,'LƯƠNG KT'!$D$15:$U$94,15,0)</f>
        <v>#N/A</v>
      </c>
      <c r="D1192" s="1059" t="e">
        <f>C1192*$L$5</f>
        <v>#N/A</v>
      </c>
      <c r="E1192" s="1061"/>
      <c r="F1192" s="1061"/>
      <c r="G1192" s="1052" t="s">
        <v>364</v>
      </c>
      <c r="H1192" s="869" t="s">
        <v>365</v>
      </c>
      <c r="I1192" s="1058" t="e">
        <f>VLOOKUP(H1189,'LƯƠNG KT'!$D$15:$U$94,15,0)</f>
        <v>#N/A</v>
      </c>
      <c r="J1192" s="1059" t="e">
        <f>I1192*$L$5</f>
        <v>#N/A</v>
      </c>
      <c r="K1192" s="1085"/>
      <c r="L1192" s="1085"/>
      <c r="M1192" s="1085"/>
      <c r="N1192" s="1085"/>
      <c r="O1192" s="1085"/>
    </row>
    <row r="1193" spans="1:15" ht="15" customHeight="1">
      <c r="A1193" s="1052" t="s">
        <v>367</v>
      </c>
      <c r="B1193" s="869"/>
      <c r="C1193" s="1058" t="e">
        <f>VLOOKUP(B1189,'LƯƠNG KT'!$D$15:$U$94,16,0)</f>
        <v>#N/A</v>
      </c>
      <c r="D1193" s="1059" t="e">
        <f>+C1193*$L$6</f>
        <v>#N/A</v>
      </c>
      <c r="E1193" s="1061"/>
      <c r="F1193" s="1061"/>
      <c r="G1193" s="1052" t="s">
        <v>367</v>
      </c>
      <c r="H1193" s="869"/>
      <c r="I1193" s="1058" t="e">
        <f>VLOOKUP(H1189,'LƯƠNG KT'!$D$15:$U$94,16,0)</f>
        <v>#N/A</v>
      </c>
      <c r="J1193" s="1059" t="e">
        <f>+I1193*$L$6</f>
        <v>#N/A</v>
      </c>
      <c r="K1193" s="1085"/>
      <c r="L1193" s="1085"/>
      <c r="M1193" s="1085"/>
      <c r="N1193" s="1085"/>
      <c r="O1193" s="1085"/>
    </row>
    <row r="1194" spans="1:15" ht="15" customHeight="1">
      <c r="A1194" s="1052" t="s">
        <v>371</v>
      </c>
      <c r="B1194" s="869" t="s">
        <v>372</v>
      </c>
      <c r="C1194" s="1058" t="e">
        <f>VLOOKUP(B1189,'LƯƠNG KT'!$D$15:$U$94,9,0)*$L$10</f>
        <v>#N/A</v>
      </c>
      <c r="D1194" s="1059" t="e">
        <f>+C1194*0.5*3000</f>
        <v>#N/A</v>
      </c>
      <c r="E1194" s="1061"/>
      <c r="F1194" s="1061"/>
      <c r="G1194" s="1052" t="s">
        <v>371</v>
      </c>
      <c r="H1194" s="869" t="s">
        <v>372</v>
      </c>
      <c r="I1194" s="1058" t="e">
        <f>VLOOKUP(H1189,'LƯƠNG KT'!$D$15:$U$94,9,0)*$L$10</f>
        <v>#N/A</v>
      </c>
      <c r="J1194" s="1059" t="e">
        <f>+I1194*0.5*3000</f>
        <v>#N/A</v>
      </c>
      <c r="K1194" s="1085"/>
      <c r="L1194" s="1085"/>
      <c r="M1194" s="1085"/>
      <c r="N1194" s="1085"/>
      <c r="O1194" s="1085"/>
    </row>
    <row r="1195" spans="1:15" ht="15" customHeight="1">
      <c r="A1195" s="1052" t="s">
        <v>374</v>
      </c>
      <c r="B1195" s="869" t="s">
        <v>375</v>
      </c>
      <c r="C1195" s="1058" t="e">
        <f>VLOOKUP(B1189,'LƯƠNG KT'!$D$15:$U$94,8,0)*$L$11</f>
        <v>#N/A</v>
      </c>
      <c r="D1195" s="1059" t="e">
        <f>VLOOKUP(B1189,'LƯƠNG KT'!$D$15:$U$94,13,0)-D1194</f>
        <v>#N/A</v>
      </c>
      <c r="E1195" s="1063"/>
      <c r="F1195" s="1061"/>
      <c r="G1195" s="1052" t="s">
        <v>374</v>
      </c>
      <c r="H1195" s="869" t="s">
        <v>375</v>
      </c>
      <c r="I1195" s="1058" t="e">
        <f>VLOOKUP(H1189,'LƯƠNG KT'!$D$15:$U$94,8,0)*$L$11</f>
        <v>#N/A</v>
      </c>
      <c r="J1195" s="1059" t="e">
        <f>VLOOKUP(H1189,'LƯƠNG KT'!$D$15:$U$94,13,0)-J1194</f>
        <v>#N/A</v>
      </c>
      <c r="K1195" s="1085"/>
      <c r="L1195" s="1085"/>
      <c r="M1195" s="1085"/>
      <c r="N1195" s="1085"/>
      <c r="O1195" s="1085"/>
    </row>
    <row r="1196" spans="1:15" ht="15" customHeight="1">
      <c r="A1196" s="1059" t="s">
        <v>377</v>
      </c>
      <c r="B1196" s="869" t="s">
        <v>378</v>
      </c>
      <c r="C1196" s="1058"/>
      <c r="D1196" s="1059"/>
      <c r="E1196" s="1065"/>
      <c r="F1196" s="1065"/>
      <c r="G1196" s="1059" t="s">
        <v>377</v>
      </c>
      <c r="H1196" s="869" t="s">
        <v>378</v>
      </c>
      <c r="I1196" s="1058"/>
      <c r="J1196" s="1059"/>
    </row>
    <row r="1197" spans="1:15" ht="15" customHeight="1">
      <c r="A1197" s="1066" t="s">
        <v>379</v>
      </c>
      <c r="B1197" s="869" t="s">
        <v>380</v>
      </c>
      <c r="C1197" s="1058"/>
      <c r="D1197" s="1059"/>
      <c r="E1197" s="1063"/>
      <c r="F1197" s="1065"/>
      <c r="G1197" s="1066" t="s">
        <v>379</v>
      </c>
      <c r="H1197" s="869" t="s">
        <v>380</v>
      </c>
      <c r="I1197" s="1058"/>
      <c r="J1197" s="1059"/>
    </row>
    <row r="1198" spans="1:15" ht="15" customHeight="1">
      <c r="A1198" s="1052" t="s">
        <v>381</v>
      </c>
      <c r="B1198" s="869" t="s">
        <v>382</v>
      </c>
      <c r="C1198" s="1058"/>
      <c r="D1198" s="1059">
        <f>D1197</f>
        <v>0</v>
      </c>
      <c r="E1198" s="1067"/>
      <c r="F1198" s="1051"/>
      <c r="G1198" s="1052" t="s">
        <v>381</v>
      </c>
      <c r="H1198" s="869" t="s">
        <v>382</v>
      </c>
      <c r="I1198" s="1058"/>
      <c r="J1198" s="1059">
        <f>J1197</f>
        <v>0</v>
      </c>
    </row>
    <row r="1199" spans="1:15" ht="15" customHeight="1">
      <c r="A1199" s="1068" t="s">
        <v>383</v>
      </c>
      <c r="B1199" s="1069" t="s">
        <v>384</v>
      </c>
      <c r="C1199" s="1070"/>
      <c r="D1199" s="1071" t="e">
        <f>SUM(D1190:D1195)-D1198</f>
        <v>#N/A</v>
      </c>
      <c r="E1199" s="1072"/>
      <c r="F1199" s="1073"/>
      <c r="G1199" s="1068" t="s">
        <v>383</v>
      </c>
      <c r="H1199" s="1069" t="s">
        <v>384</v>
      </c>
      <c r="I1199" s="1070"/>
      <c r="J1199" s="1071" t="e">
        <f>SUM(J1190:J1195)-J1198</f>
        <v>#N/A</v>
      </c>
    </row>
    <row r="1200" spans="1:15" ht="18.75" customHeight="1">
      <c r="A1200" s="1074"/>
      <c r="B1200" s="1075"/>
      <c r="C1200" s="1076"/>
      <c r="D1200" s="1077"/>
      <c r="E1200" s="1077"/>
      <c r="F1200" s="1078"/>
      <c r="G1200" s="1074"/>
      <c r="H1200" s="1075"/>
      <c r="I1200" s="1076"/>
      <c r="J1200" s="1077"/>
    </row>
    <row r="1201" spans="1:15" ht="18.75" customHeight="1">
      <c r="A1201" s="1075"/>
      <c r="B1201" s="1075"/>
      <c r="C1201" s="1079"/>
      <c r="D1201" s="1080"/>
      <c r="E1201" s="1075"/>
      <c r="F1201" s="1081"/>
      <c r="G1201" s="1075"/>
      <c r="H1201" s="1075"/>
      <c r="I1201" s="1079"/>
      <c r="J1201" s="1080"/>
    </row>
    <row r="1202" spans="1:15" ht="15" customHeight="1">
      <c r="A1202" s="2242" t="str">
        <f>$K$2</f>
        <v>THÁNG 09/2024</v>
      </c>
      <c r="B1202" s="2242"/>
      <c r="C1202" s="2242"/>
      <c r="D1202" s="2242"/>
      <c r="E1202" s="1050"/>
      <c r="F1202" s="1051"/>
      <c r="G1202" s="2242" t="str">
        <f>$K$2</f>
        <v>THÁNG 09/2024</v>
      </c>
      <c r="H1202" s="2242"/>
      <c r="I1202" s="2242"/>
      <c r="J1202" s="2242"/>
      <c r="K1202" s="624"/>
    </row>
    <row r="1203" spans="1:15" ht="15" customHeight="1">
      <c r="A1203" s="1052" t="s">
        <v>356</v>
      </c>
      <c r="B1203" s="1053" t="s">
        <v>70</v>
      </c>
      <c r="C1203" s="869"/>
      <c r="D1203" s="1049"/>
      <c r="E1203" s="1054"/>
      <c r="F1203" s="1055"/>
      <c r="G1203" s="1052" t="s">
        <v>356</v>
      </c>
      <c r="H1203" s="1053" t="s">
        <v>71</v>
      </c>
      <c r="I1203" s="869"/>
      <c r="J1203" s="1049"/>
      <c r="L1203" s="1088"/>
      <c r="M1203" s="1088"/>
      <c r="N1203" s="1088"/>
      <c r="O1203" s="1088"/>
    </row>
    <row r="1204" spans="1:15" ht="15" customHeight="1">
      <c r="A1204" s="1052" t="s">
        <v>359</v>
      </c>
      <c r="B1204" s="1089" t="s">
        <v>360</v>
      </c>
      <c r="C1204" s="1058" t="e">
        <f>VLOOKUP(B1203,'LƯƠNG KT'!$D$15:$U$94,3,0)</f>
        <v>#N/A</v>
      </c>
      <c r="D1204" s="1059" t="e">
        <f>+C1204*25000</f>
        <v>#N/A</v>
      </c>
      <c r="E1204" s="1060"/>
      <c r="F1204" s="1060"/>
      <c r="G1204" s="1052" t="s">
        <v>359</v>
      </c>
      <c r="H1204" s="1089" t="s">
        <v>360</v>
      </c>
      <c r="I1204" s="1058" t="e">
        <f>VLOOKUP(H1203,'LƯƠNG KT'!$D$15:$U$94,3,0)</f>
        <v>#N/A</v>
      </c>
      <c r="J1204" s="1059" t="e">
        <f>+I1204*25000</f>
        <v>#N/A</v>
      </c>
      <c r="K1204" s="1085"/>
      <c r="L1204" s="1085"/>
      <c r="M1204" s="1085"/>
      <c r="N1204" s="1085"/>
      <c r="O1204" s="1085"/>
    </row>
    <row r="1205" spans="1:15" ht="15" customHeight="1">
      <c r="A1205" s="1052" t="s">
        <v>361</v>
      </c>
      <c r="B1205" s="869" t="s">
        <v>362</v>
      </c>
      <c r="C1205" s="1058" t="e">
        <f>VLOOKUP(B1203,'LƯƠNG KT'!$D$15:$U$94,14,0)</f>
        <v>#N/A</v>
      </c>
      <c r="D1205" s="1059" t="e">
        <f>C1205*$L$4</f>
        <v>#N/A</v>
      </c>
      <c r="E1205" s="1061"/>
      <c r="F1205" s="1061"/>
      <c r="G1205" s="1052" t="s">
        <v>361</v>
      </c>
      <c r="H1205" s="869" t="s">
        <v>362</v>
      </c>
      <c r="I1205" s="1058" t="e">
        <f>VLOOKUP(H1203,'LƯƠNG KT'!$D$15:$U$94,14,0)</f>
        <v>#N/A</v>
      </c>
      <c r="J1205" s="1059" t="e">
        <f>I1205*$L$4</f>
        <v>#N/A</v>
      </c>
      <c r="K1205" s="1085"/>
      <c r="L1205" s="1085"/>
      <c r="M1205" s="1085"/>
      <c r="N1205" s="1085"/>
      <c r="O1205" s="1085"/>
    </row>
    <row r="1206" spans="1:15" ht="15" customHeight="1">
      <c r="A1206" s="1052" t="s">
        <v>364</v>
      </c>
      <c r="B1206" s="869" t="s">
        <v>365</v>
      </c>
      <c r="C1206" s="1058" t="e">
        <f>VLOOKUP(B1203,'LƯƠNG KT'!$D$15:$U$94,15,0)</f>
        <v>#N/A</v>
      </c>
      <c r="D1206" s="1059" t="e">
        <f>C1206*$L$5</f>
        <v>#N/A</v>
      </c>
      <c r="E1206" s="1061"/>
      <c r="F1206" s="1061"/>
      <c r="G1206" s="1052" t="s">
        <v>364</v>
      </c>
      <c r="H1206" s="869" t="s">
        <v>365</v>
      </c>
      <c r="I1206" s="1058" t="e">
        <f>VLOOKUP(H1203,'LƯƠNG KT'!$D$15:$U$94,15,0)</f>
        <v>#N/A</v>
      </c>
      <c r="J1206" s="1059" t="e">
        <f>I1206*$L$5</f>
        <v>#N/A</v>
      </c>
      <c r="K1206" s="1085"/>
      <c r="L1206" s="1085"/>
      <c r="M1206" s="1085"/>
      <c r="N1206" s="1085"/>
      <c r="O1206" s="1085"/>
    </row>
    <row r="1207" spans="1:15" ht="15" customHeight="1">
      <c r="A1207" s="1052" t="s">
        <v>367</v>
      </c>
      <c r="B1207" s="869"/>
      <c r="C1207" s="1058" t="e">
        <f>VLOOKUP(B1203,'LƯƠNG KT'!$D$15:$U$94,16,0)</f>
        <v>#N/A</v>
      </c>
      <c r="D1207" s="1059" t="e">
        <f>+C1207*$L$6</f>
        <v>#N/A</v>
      </c>
      <c r="E1207" s="1061"/>
      <c r="F1207" s="1061"/>
      <c r="G1207" s="1052" t="s">
        <v>367</v>
      </c>
      <c r="H1207" s="869"/>
      <c r="I1207" s="1058" t="e">
        <f>VLOOKUP(H1203,'LƯƠNG KT'!$D$15:$U$94,16,0)</f>
        <v>#N/A</v>
      </c>
      <c r="J1207" s="1059" t="e">
        <f>+I1207*$L$6</f>
        <v>#N/A</v>
      </c>
      <c r="K1207" s="1085"/>
      <c r="L1207" s="1085"/>
      <c r="M1207" s="1085"/>
      <c r="N1207" s="1085"/>
      <c r="O1207" s="1085"/>
    </row>
    <row r="1208" spans="1:15" ht="15" customHeight="1">
      <c r="A1208" s="1052" t="s">
        <v>371</v>
      </c>
      <c r="B1208" s="869" t="s">
        <v>372</v>
      </c>
      <c r="C1208" s="1058" t="e">
        <f>VLOOKUP(B1203,'LƯƠNG KT'!$D$15:$U$94,9,0)*$L$10</f>
        <v>#N/A</v>
      </c>
      <c r="D1208" s="1059" t="e">
        <f>+C1208*0.5*3000</f>
        <v>#N/A</v>
      </c>
      <c r="E1208" s="1061"/>
      <c r="F1208" s="1061"/>
      <c r="G1208" s="1052" t="s">
        <v>371</v>
      </c>
      <c r="H1208" s="869" t="s">
        <v>372</v>
      </c>
      <c r="I1208" s="1058" t="e">
        <f>VLOOKUP(H1203,'LƯƠNG KT'!$D$15:$U$94,9,0)*$L$10</f>
        <v>#N/A</v>
      </c>
      <c r="J1208" s="1059" t="e">
        <f>+I1208*0.5*3000</f>
        <v>#N/A</v>
      </c>
      <c r="K1208" s="1085"/>
      <c r="L1208" s="1085"/>
      <c r="M1208" s="1085"/>
      <c r="N1208" s="1085"/>
      <c r="O1208" s="1085"/>
    </row>
    <row r="1209" spans="1:15" ht="15" customHeight="1">
      <c r="A1209" s="1052" t="s">
        <v>374</v>
      </c>
      <c r="B1209" s="869" t="s">
        <v>375</v>
      </c>
      <c r="C1209" s="1058" t="e">
        <f>VLOOKUP(B1203,'LƯƠNG KT'!$D$15:$U$94,8,0)*$L$11</f>
        <v>#N/A</v>
      </c>
      <c r="D1209" s="1059" t="e">
        <f>VLOOKUP(B1203,'LƯƠNG KT'!$D$15:$U$94,13,0)-D1208</f>
        <v>#N/A</v>
      </c>
      <c r="E1209" s="1063"/>
      <c r="F1209" s="1061"/>
      <c r="G1209" s="1052" t="s">
        <v>374</v>
      </c>
      <c r="H1209" s="869" t="s">
        <v>375</v>
      </c>
      <c r="I1209" s="1058" t="e">
        <f>VLOOKUP(H1203,'LƯƠNG KT'!$D$15:$U$94,8,0)*$L$11</f>
        <v>#N/A</v>
      </c>
      <c r="J1209" s="1059" t="e">
        <f>VLOOKUP(H1203,'LƯƠNG KT'!$D$15:$U$94,13,0)-J1208</f>
        <v>#N/A</v>
      </c>
      <c r="K1209" s="1085"/>
      <c r="L1209" s="1085"/>
      <c r="M1209" s="1085"/>
      <c r="N1209" s="1085"/>
      <c r="O1209" s="1085"/>
    </row>
    <row r="1210" spans="1:15" ht="15" customHeight="1">
      <c r="A1210" s="1059" t="s">
        <v>377</v>
      </c>
      <c r="B1210" s="869" t="s">
        <v>378</v>
      </c>
      <c r="C1210" s="1058"/>
      <c r="D1210" s="1059"/>
      <c r="E1210" s="1065"/>
      <c r="F1210" s="1065"/>
      <c r="G1210" s="1059" t="s">
        <v>377</v>
      </c>
      <c r="H1210" s="869" t="s">
        <v>378</v>
      </c>
      <c r="I1210" s="1058"/>
      <c r="J1210" s="1059"/>
    </row>
    <row r="1211" spans="1:15" ht="15" customHeight="1">
      <c r="A1211" s="1066" t="s">
        <v>379</v>
      </c>
      <c r="B1211" s="869" t="s">
        <v>380</v>
      </c>
      <c r="C1211" s="1058"/>
      <c r="D1211" s="1059"/>
      <c r="E1211" s="1063"/>
      <c r="F1211" s="1065"/>
      <c r="G1211" s="1066" t="s">
        <v>379</v>
      </c>
      <c r="H1211" s="869" t="s">
        <v>380</v>
      </c>
      <c r="I1211" s="1058"/>
      <c r="J1211" s="1059"/>
    </row>
    <row r="1212" spans="1:15" ht="15" customHeight="1">
      <c r="A1212" s="1052" t="s">
        <v>381</v>
      </c>
      <c r="B1212" s="869" t="s">
        <v>382</v>
      </c>
      <c r="C1212" s="1058"/>
      <c r="D1212" s="1059">
        <f>D1211</f>
        <v>0</v>
      </c>
      <c r="E1212" s="1067"/>
      <c r="F1212" s="1051"/>
      <c r="G1212" s="1052" t="s">
        <v>381</v>
      </c>
      <c r="H1212" s="869" t="s">
        <v>382</v>
      </c>
      <c r="I1212" s="1058"/>
      <c r="J1212" s="1059">
        <f>J1211</f>
        <v>0</v>
      </c>
    </row>
    <row r="1213" spans="1:15" ht="15" customHeight="1">
      <c r="A1213" s="1068" t="s">
        <v>383</v>
      </c>
      <c r="B1213" s="1069" t="s">
        <v>384</v>
      </c>
      <c r="C1213" s="1070"/>
      <c r="D1213" s="1071" t="e">
        <f>SUM(D1204:D1209)-D1212</f>
        <v>#N/A</v>
      </c>
      <c r="E1213" s="1072"/>
      <c r="F1213" s="1073"/>
      <c r="G1213" s="1068" t="s">
        <v>383</v>
      </c>
      <c r="H1213" s="1069" t="s">
        <v>384</v>
      </c>
      <c r="I1213" s="1070"/>
      <c r="J1213" s="1071" t="e">
        <f>SUM(J1204:J1209)-J1212</f>
        <v>#N/A</v>
      </c>
    </row>
    <row r="1214" spans="1:15" ht="15.75" customHeight="1">
      <c r="A1214" s="1074"/>
      <c r="B1214" s="1075"/>
      <c r="C1214" s="1076"/>
      <c r="D1214" s="1077"/>
      <c r="E1214" s="1077"/>
      <c r="F1214" s="1078"/>
      <c r="G1214" s="1074"/>
      <c r="H1214" s="1075"/>
      <c r="I1214" s="1076"/>
      <c r="J1214" s="1077"/>
    </row>
    <row r="1216" spans="1:15" ht="12" customHeight="1">
      <c r="A1216" s="2243"/>
      <c r="B1216" s="2243"/>
      <c r="C1216" s="2243"/>
      <c r="D1216" s="2243"/>
      <c r="E1216" s="2243"/>
      <c r="F1216" s="2243"/>
      <c r="G1216" s="2243"/>
      <c r="H1216" s="2243"/>
      <c r="I1216" s="2243"/>
      <c r="J1216" s="2243"/>
    </row>
    <row r="1217" spans="1:15" ht="15" customHeight="1">
      <c r="A1217" s="2242" t="str">
        <f>$K$2</f>
        <v>THÁNG 09/2024</v>
      </c>
      <c r="B1217" s="2242"/>
      <c r="C1217" s="2242"/>
      <c r="D1217" s="2242"/>
      <c r="E1217" s="1050"/>
      <c r="F1217" s="1051"/>
      <c r="G1217" s="2242" t="str">
        <f>$K$2</f>
        <v>THÁNG 09/2024</v>
      </c>
      <c r="H1217" s="2242"/>
      <c r="I1217" s="2242"/>
      <c r="J1217" s="2242"/>
      <c r="K1217" s="624"/>
    </row>
    <row r="1218" spans="1:15" ht="15" customHeight="1">
      <c r="A1218" s="1052" t="s">
        <v>356</v>
      </c>
      <c r="B1218" s="1053" t="s">
        <v>72</v>
      </c>
      <c r="C1218" s="869"/>
      <c r="D1218" s="1049"/>
      <c r="E1218" s="1054"/>
      <c r="F1218" s="1055"/>
      <c r="G1218" s="1052" t="s">
        <v>356</v>
      </c>
      <c r="H1218" s="1053" t="s">
        <v>74</v>
      </c>
      <c r="I1218" s="869"/>
      <c r="J1218" s="1049"/>
      <c r="L1218" s="1088"/>
      <c r="M1218" s="1088"/>
      <c r="N1218" s="1088"/>
      <c r="O1218" s="1088"/>
    </row>
    <row r="1219" spans="1:15" ht="15" customHeight="1">
      <c r="A1219" s="1052" t="s">
        <v>359</v>
      </c>
      <c r="B1219" s="1089" t="s">
        <v>360</v>
      </c>
      <c r="C1219" s="1058" t="e">
        <f>VLOOKUP(B1218,'LƯƠNG KT'!$D$15:$U$94,3,0)</f>
        <v>#N/A</v>
      </c>
      <c r="D1219" s="1059" t="e">
        <f>+C1219*25000</f>
        <v>#N/A</v>
      </c>
      <c r="E1219" s="1060"/>
      <c r="F1219" s="1060"/>
      <c r="G1219" s="1052" t="s">
        <v>359</v>
      </c>
      <c r="H1219" s="1089" t="s">
        <v>360</v>
      </c>
      <c r="I1219" s="1058" t="e">
        <f>VLOOKUP(H1218,'LƯƠNG KT'!$D$15:$U$94,3,0)</f>
        <v>#N/A</v>
      </c>
      <c r="J1219" s="1059" t="e">
        <f>+I1219*25000</f>
        <v>#N/A</v>
      </c>
      <c r="K1219" s="1084"/>
      <c r="L1219" s="1085"/>
      <c r="M1219" s="1085"/>
      <c r="N1219" s="1085"/>
      <c r="O1219" s="1085"/>
    </row>
    <row r="1220" spans="1:15" ht="15" customHeight="1">
      <c r="A1220" s="1052" t="s">
        <v>361</v>
      </c>
      <c r="B1220" s="869" t="s">
        <v>362</v>
      </c>
      <c r="C1220" s="1058" t="e">
        <f>VLOOKUP(B1218,'LƯƠNG KT'!$D$15:$U$94,14,0)</f>
        <v>#N/A</v>
      </c>
      <c r="D1220" s="1059" t="e">
        <f>C1220*$L$4</f>
        <v>#N/A</v>
      </c>
      <c r="E1220" s="1061"/>
      <c r="F1220" s="1061"/>
      <c r="G1220" s="1052" t="s">
        <v>361</v>
      </c>
      <c r="H1220" s="869" t="s">
        <v>362</v>
      </c>
      <c r="I1220" s="1058" t="e">
        <f>VLOOKUP(H1218,'LƯƠNG KT'!$D$15:$U$94,14,0)</f>
        <v>#N/A</v>
      </c>
      <c r="J1220" s="1059" t="e">
        <f>I1220*$L$4</f>
        <v>#N/A</v>
      </c>
      <c r="K1220" s="1084"/>
      <c r="L1220" s="1085"/>
      <c r="M1220" s="1085"/>
      <c r="N1220" s="1085"/>
      <c r="O1220" s="1085"/>
    </row>
    <row r="1221" spans="1:15" ht="15" customHeight="1">
      <c r="A1221" s="1052" t="s">
        <v>364</v>
      </c>
      <c r="B1221" s="869" t="s">
        <v>365</v>
      </c>
      <c r="C1221" s="1058" t="e">
        <f>VLOOKUP(B1218,'LƯƠNG KT'!$D$15:$U$94,15,0)</f>
        <v>#N/A</v>
      </c>
      <c r="D1221" s="1059" t="e">
        <f>C1221*$L$5</f>
        <v>#N/A</v>
      </c>
      <c r="E1221" s="1061"/>
      <c r="F1221" s="1061"/>
      <c r="G1221" s="1052" t="s">
        <v>364</v>
      </c>
      <c r="H1221" s="869" t="s">
        <v>365</v>
      </c>
      <c r="I1221" s="1058" t="e">
        <f>VLOOKUP(H1218,'LƯƠNG KT'!$D$15:$U$94,15,0)</f>
        <v>#N/A</v>
      </c>
      <c r="J1221" s="1059" t="e">
        <f>I1221*$L$5</f>
        <v>#N/A</v>
      </c>
      <c r="K1221" s="1084"/>
      <c r="L1221" s="1085"/>
      <c r="M1221" s="1085"/>
      <c r="N1221" s="1085"/>
      <c r="O1221" s="1085"/>
    </row>
    <row r="1222" spans="1:15" ht="15" customHeight="1">
      <c r="A1222" s="1052" t="s">
        <v>367</v>
      </c>
      <c r="B1222" s="869"/>
      <c r="C1222" s="1058" t="e">
        <f>VLOOKUP(B1218,'LƯƠNG KT'!$D$15:$U$94,16,0)</f>
        <v>#N/A</v>
      </c>
      <c r="D1222" s="1059" t="e">
        <f>+C1222*$L$6</f>
        <v>#N/A</v>
      </c>
      <c r="E1222" s="1061"/>
      <c r="F1222" s="1061"/>
      <c r="G1222" s="1052" t="s">
        <v>367</v>
      </c>
      <c r="H1222" s="869"/>
      <c r="I1222" s="1058" t="e">
        <f>VLOOKUP(H1218,'LƯƠNG KT'!$D$15:$U$94,16,0)</f>
        <v>#N/A</v>
      </c>
      <c r="J1222" s="1059" t="e">
        <f>+I1222*$L$6</f>
        <v>#N/A</v>
      </c>
      <c r="K1222" s="1085"/>
      <c r="L1222" s="1085"/>
      <c r="M1222" s="1085"/>
      <c r="N1222" s="1085"/>
      <c r="O1222" s="1085"/>
    </row>
    <row r="1223" spans="1:15" ht="15" customHeight="1">
      <c r="A1223" s="1052" t="s">
        <v>371</v>
      </c>
      <c r="B1223" s="869" t="s">
        <v>372</v>
      </c>
      <c r="C1223" s="1058" t="e">
        <f>VLOOKUP(B1218,'LƯƠNG KT'!$D$15:$U$94,9,0)*$L$10</f>
        <v>#N/A</v>
      </c>
      <c r="D1223" s="1059" t="e">
        <f>+C1223*0.5*3000</f>
        <v>#N/A</v>
      </c>
      <c r="E1223" s="1061"/>
      <c r="F1223" s="1061"/>
      <c r="G1223" s="1052" t="s">
        <v>371</v>
      </c>
      <c r="H1223" s="869" t="s">
        <v>372</v>
      </c>
      <c r="I1223" s="1058" t="e">
        <f>VLOOKUP(H1218,'LƯƠNG KT'!$D$15:$U$94,9,0)*$L$10</f>
        <v>#N/A</v>
      </c>
      <c r="J1223" s="1059" t="e">
        <f>+I1223*0.5*3000</f>
        <v>#N/A</v>
      </c>
      <c r="K1223" s="1085"/>
      <c r="L1223" s="1085"/>
      <c r="M1223" s="1085"/>
      <c r="N1223" s="1085"/>
      <c r="O1223" s="1085"/>
    </row>
    <row r="1224" spans="1:15" ht="15" customHeight="1">
      <c r="A1224" s="1052" t="s">
        <v>374</v>
      </c>
      <c r="B1224" s="869" t="s">
        <v>375</v>
      </c>
      <c r="C1224" s="1058" t="e">
        <f>VLOOKUP(B1218,'LƯƠNG KT'!$D$15:$U$94,8,0)*$L$11</f>
        <v>#N/A</v>
      </c>
      <c r="D1224" s="1059" t="e">
        <f>VLOOKUP(B1218,'LƯƠNG KT'!$D$15:$U$94,13,0)-D1223</f>
        <v>#N/A</v>
      </c>
      <c r="E1224" s="1063"/>
      <c r="F1224" s="1061"/>
      <c r="G1224" s="1052" t="s">
        <v>374</v>
      </c>
      <c r="H1224" s="869" t="s">
        <v>375</v>
      </c>
      <c r="I1224" s="1058" t="e">
        <f>VLOOKUP(H1218,'LƯƠNG KT'!$D$15:$U$94,8,0)*$L$11</f>
        <v>#N/A</v>
      </c>
      <c r="J1224" s="1059" t="e">
        <f>VLOOKUP(H1218,'LƯƠNG KT'!$D$15:$U$94,13,0)-J1223</f>
        <v>#N/A</v>
      </c>
      <c r="K1224" s="1085"/>
      <c r="L1224" s="1085"/>
      <c r="M1224" s="1085"/>
      <c r="N1224" s="1085"/>
      <c r="O1224" s="1085"/>
    </row>
    <row r="1225" spans="1:15" ht="15" customHeight="1">
      <c r="A1225" s="1059" t="s">
        <v>377</v>
      </c>
      <c r="B1225" s="869" t="s">
        <v>378</v>
      </c>
      <c r="C1225" s="1058"/>
      <c r="D1225" s="1059"/>
      <c r="E1225" s="1065"/>
      <c r="F1225" s="1065"/>
      <c r="G1225" s="1059" t="s">
        <v>377</v>
      </c>
      <c r="H1225" s="869" t="s">
        <v>378</v>
      </c>
      <c r="I1225" s="1058"/>
      <c r="J1225" s="1059"/>
    </row>
    <row r="1226" spans="1:15" ht="15" customHeight="1">
      <c r="A1226" s="1066" t="s">
        <v>379</v>
      </c>
      <c r="B1226" s="869" t="s">
        <v>380</v>
      </c>
      <c r="C1226" s="1058"/>
      <c r="D1226" s="1059"/>
      <c r="E1226" s="1063"/>
      <c r="F1226" s="1065"/>
      <c r="G1226" s="1066" t="s">
        <v>379</v>
      </c>
      <c r="H1226" s="869" t="s">
        <v>380</v>
      </c>
      <c r="I1226" s="1058"/>
      <c r="J1226" s="1059"/>
    </row>
    <row r="1227" spans="1:15" ht="15" customHeight="1">
      <c r="A1227" s="1052" t="s">
        <v>381</v>
      </c>
      <c r="B1227" s="869" t="s">
        <v>382</v>
      </c>
      <c r="C1227" s="1058"/>
      <c r="D1227" s="1059">
        <f>D1226</f>
        <v>0</v>
      </c>
      <c r="E1227" s="1067"/>
      <c r="F1227" s="1051"/>
      <c r="G1227" s="1052" t="s">
        <v>381</v>
      </c>
      <c r="H1227" s="869" t="s">
        <v>382</v>
      </c>
      <c r="I1227" s="1058"/>
      <c r="J1227" s="1059">
        <f>J1226</f>
        <v>0</v>
      </c>
    </row>
    <row r="1228" spans="1:15" ht="15" customHeight="1">
      <c r="A1228" s="1068" t="s">
        <v>383</v>
      </c>
      <c r="B1228" s="1069" t="s">
        <v>384</v>
      </c>
      <c r="C1228" s="1070"/>
      <c r="D1228" s="1071" t="e">
        <f>SUM(D1219:D1224)-D1227</f>
        <v>#N/A</v>
      </c>
      <c r="E1228" s="1072"/>
      <c r="F1228" s="1073"/>
      <c r="G1228" s="1068" t="s">
        <v>383</v>
      </c>
      <c r="H1228" s="1069" t="s">
        <v>384</v>
      </c>
      <c r="I1228" s="1070"/>
      <c r="J1228" s="1071" t="e">
        <f>SUM(J1219:J1224)-J1227</f>
        <v>#N/A</v>
      </c>
    </row>
    <row r="1229" spans="1:15" ht="12.6" customHeight="1">
      <c r="A1229" s="1074"/>
      <c r="B1229" s="1075"/>
      <c r="C1229" s="1076"/>
      <c r="D1229" s="1077"/>
      <c r="E1229" s="1077"/>
      <c r="F1229" s="1078"/>
      <c r="G1229" s="1074"/>
      <c r="H1229" s="1075"/>
      <c r="I1229" s="1076"/>
      <c r="J1229" s="1077"/>
    </row>
    <row r="1230" spans="1:15" ht="12.6" customHeight="1">
      <c r="A1230" s="1075"/>
      <c r="B1230" s="1075"/>
      <c r="C1230" s="1079"/>
      <c r="D1230" s="1080"/>
      <c r="E1230" s="1075"/>
      <c r="F1230" s="1081"/>
      <c r="G1230" s="1075"/>
      <c r="H1230" s="1075"/>
      <c r="I1230" s="1079"/>
      <c r="J1230" s="1080"/>
    </row>
    <row r="1231" spans="1:15" ht="15" customHeight="1">
      <c r="A1231" s="2242" t="str">
        <f>$K$2</f>
        <v>THÁNG 09/2024</v>
      </c>
      <c r="B1231" s="2242"/>
      <c r="C1231" s="2242"/>
      <c r="D1231" s="2242"/>
      <c r="E1231" s="1050"/>
      <c r="F1231" s="1051"/>
      <c r="G1231" s="2242" t="str">
        <f>$K$2</f>
        <v>THÁNG 09/2024</v>
      </c>
      <c r="H1231" s="2242"/>
      <c r="I1231" s="2242"/>
      <c r="J1231" s="2242"/>
      <c r="K1231" s="624"/>
    </row>
    <row r="1232" spans="1:15" ht="15" customHeight="1">
      <c r="A1232" s="1052" t="s">
        <v>356</v>
      </c>
      <c r="B1232" s="1053" t="s">
        <v>75</v>
      </c>
      <c r="C1232" s="869"/>
      <c r="D1232" s="1049"/>
      <c r="E1232" s="1054"/>
      <c r="F1232" s="1055"/>
      <c r="G1232" s="1052" t="s">
        <v>356</v>
      </c>
      <c r="H1232" s="1053" t="s">
        <v>76</v>
      </c>
      <c r="I1232" s="869"/>
      <c r="J1232" s="1049"/>
      <c r="L1232" s="1088"/>
      <c r="M1232" s="1088"/>
      <c r="N1232" s="1088"/>
      <c r="O1232" s="1088"/>
    </row>
    <row r="1233" spans="1:15" ht="15" customHeight="1">
      <c r="A1233" s="1052" t="s">
        <v>359</v>
      </c>
      <c r="B1233" s="1089" t="s">
        <v>360</v>
      </c>
      <c r="C1233" s="1058" t="e">
        <f>VLOOKUP(B1232,'LƯƠNG KT'!$D$15:$U$94,3,0)</f>
        <v>#N/A</v>
      </c>
      <c r="D1233" s="1059" t="e">
        <f>+C1233*25000</f>
        <v>#N/A</v>
      </c>
      <c r="E1233" s="1060"/>
      <c r="F1233" s="1060"/>
      <c r="G1233" s="1052" t="s">
        <v>359</v>
      </c>
      <c r="H1233" s="1089" t="s">
        <v>360</v>
      </c>
      <c r="I1233" s="1058" t="e">
        <f>VLOOKUP(H1232,'LƯƠNG KT'!$D$15:$U$94,3,0)</f>
        <v>#N/A</v>
      </c>
      <c r="J1233" s="1059" t="e">
        <f>+I1233*25000</f>
        <v>#N/A</v>
      </c>
      <c r="K1233" s="1085"/>
      <c r="L1233" s="1085"/>
      <c r="M1233" s="1085"/>
      <c r="N1233" s="1085"/>
      <c r="O1233" s="1085"/>
    </row>
    <row r="1234" spans="1:15" ht="15" customHeight="1">
      <c r="A1234" s="1052" t="s">
        <v>361</v>
      </c>
      <c r="B1234" s="869" t="s">
        <v>362</v>
      </c>
      <c r="C1234" s="1058" t="e">
        <f>VLOOKUP(B1232,'LƯƠNG KT'!$D$15:$U$94,14,0)</f>
        <v>#N/A</v>
      </c>
      <c r="D1234" s="1059" t="e">
        <f>C1234*$L$4</f>
        <v>#N/A</v>
      </c>
      <c r="E1234" s="1061"/>
      <c r="F1234" s="1061"/>
      <c r="G1234" s="1052" t="s">
        <v>361</v>
      </c>
      <c r="H1234" s="869" t="s">
        <v>362</v>
      </c>
      <c r="I1234" s="1058" t="e">
        <f>VLOOKUP(H1232,'LƯƠNG KT'!$D$15:$U$94,14,0)</f>
        <v>#N/A</v>
      </c>
      <c r="J1234" s="1059" t="e">
        <f>I1234*$L$4</f>
        <v>#N/A</v>
      </c>
      <c r="K1234" s="1085"/>
      <c r="L1234" s="1085"/>
      <c r="M1234" s="1085"/>
      <c r="N1234" s="1085"/>
      <c r="O1234" s="1085"/>
    </row>
    <row r="1235" spans="1:15" ht="15" customHeight="1">
      <c r="A1235" s="1052" t="s">
        <v>364</v>
      </c>
      <c r="B1235" s="869" t="s">
        <v>365</v>
      </c>
      <c r="C1235" s="1058" t="e">
        <f>VLOOKUP(B1232,'LƯƠNG KT'!$D$15:$U$94,15,0)</f>
        <v>#N/A</v>
      </c>
      <c r="D1235" s="1059" t="e">
        <f>C1235*$L$5</f>
        <v>#N/A</v>
      </c>
      <c r="E1235" s="1061"/>
      <c r="F1235" s="1061"/>
      <c r="G1235" s="1052" t="s">
        <v>364</v>
      </c>
      <c r="H1235" s="869" t="s">
        <v>365</v>
      </c>
      <c r="I1235" s="1058" t="e">
        <f>VLOOKUP(H1232,'LƯƠNG KT'!$D$15:$U$94,15,0)</f>
        <v>#N/A</v>
      </c>
      <c r="J1235" s="1059" t="e">
        <f>I1235*$L$5</f>
        <v>#N/A</v>
      </c>
      <c r="K1235" s="1085"/>
      <c r="L1235" s="1085"/>
      <c r="M1235" s="1085"/>
      <c r="N1235" s="1085"/>
      <c r="O1235" s="1085"/>
    </row>
    <row r="1236" spans="1:15" ht="15" customHeight="1">
      <c r="A1236" s="1052" t="s">
        <v>367</v>
      </c>
      <c r="B1236" s="869"/>
      <c r="C1236" s="1058" t="e">
        <f>VLOOKUP(B1232,'LƯƠNG KT'!$D$15:$U$94,16,0)</f>
        <v>#N/A</v>
      </c>
      <c r="D1236" s="1059" t="e">
        <f>+C1236*$L$6</f>
        <v>#N/A</v>
      </c>
      <c r="E1236" s="1061"/>
      <c r="F1236" s="1061"/>
      <c r="G1236" s="1052" t="s">
        <v>367</v>
      </c>
      <c r="H1236" s="869"/>
      <c r="I1236" s="1058" t="e">
        <f>VLOOKUP(H1232,'LƯƠNG KT'!$D$15:$U$94,16,0)</f>
        <v>#N/A</v>
      </c>
      <c r="J1236" s="1059" t="e">
        <f>+I1236*$L$6</f>
        <v>#N/A</v>
      </c>
      <c r="K1236" s="1085"/>
      <c r="L1236" s="1085"/>
      <c r="M1236" s="1085"/>
      <c r="N1236" s="1085"/>
      <c r="O1236" s="1085"/>
    </row>
    <row r="1237" spans="1:15" ht="15" customHeight="1">
      <c r="A1237" s="1052" t="s">
        <v>371</v>
      </c>
      <c r="B1237" s="869" t="s">
        <v>372</v>
      </c>
      <c r="C1237" s="1058" t="e">
        <f>VLOOKUP(B1232,'LƯƠNG KT'!$D$15:$U$94,9,0)*$L$10</f>
        <v>#N/A</v>
      </c>
      <c r="D1237" s="1059" t="e">
        <f>+C1237*0.5*3000</f>
        <v>#N/A</v>
      </c>
      <c r="E1237" s="1061"/>
      <c r="F1237" s="1061"/>
      <c r="G1237" s="1052" t="s">
        <v>371</v>
      </c>
      <c r="H1237" s="869" t="s">
        <v>372</v>
      </c>
      <c r="I1237" s="1058" t="e">
        <f>VLOOKUP(H1232,'LƯƠNG KT'!$D$15:$U$94,9,0)*$L$10</f>
        <v>#N/A</v>
      </c>
      <c r="J1237" s="1059" t="e">
        <f>+I1237*0.5*3000</f>
        <v>#N/A</v>
      </c>
      <c r="K1237" s="1085"/>
      <c r="L1237" s="1085"/>
      <c r="M1237" s="1085"/>
      <c r="N1237" s="1085"/>
      <c r="O1237" s="1085"/>
    </row>
    <row r="1238" spans="1:15" ht="15" customHeight="1">
      <c r="A1238" s="1052" t="s">
        <v>374</v>
      </c>
      <c r="B1238" s="869" t="s">
        <v>375</v>
      </c>
      <c r="C1238" s="1058" t="e">
        <f>VLOOKUP(B1232,'LƯƠNG KT'!$D$15:$U$94,8,0)*$L$11</f>
        <v>#N/A</v>
      </c>
      <c r="D1238" s="1059" t="e">
        <f>VLOOKUP(B1232,'LƯƠNG KT'!$D$15:$U$94,13,0)-D1237</f>
        <v>#N/A</v>
      </c>
      <c r="E1238" s="1063"/>
      <c r="F1238" s="1061"/>
      <c r="G1238" s="1052" t="s">
        <v>374</v>
      </c>
      <c r="H1238" s="869" t="s">
        <v>375</v>
      </c>
      <c r="I1238" s="1058" t="e">
        <f>VLOOKUP(H1232,'LƯƠNG KT'!$D$15:$U$94,8,0)*$L$11</f>
        <v>#N/A</v>
      </c>
      <c r="J1238" s="1059" t="e">
        <f>VLOOKUP(H1232,'LƯƠNG KT'!$D$15:$U$94,13,0)-J1237</f>
        <v>#N/A</v>
      </c>
      <c r="K1238" s="1085"/>
      <c r="L1238" s="1085"/>
      <c r="M1238" s="1085"/>
      <c r="N1238" s="1085"/>
      <c r="O1238" s="1085"/>
    </row>
    <row r="1239" spans="1:15" ht="15" customHeight="1">
      <c r="A1239" s="1059" t="s">
        <v>377</v>
      </c>
      <c r="B1239" s="869" t="s">
        <v>378</v>
      </c>
      <c r="C1239" s="1058"/>
      <c r="D1239" s="1059"/>
      <c r="E1239" s="1065"/>
      <c r="F1239" s="1065"/>
      <c r="G1239" s="1059" t="s">
        <v>377</v>
      </c>
      <c r="H1239" s="869" t="s">
        <v>378</v>
      </c>
      <c r="I1239" s="1058"/>
      <c r="J1239" s="1059"/>
    </row>
    <row r="1240" spans="1:15" ht="15" customHeight="1">
      <c r="A1240" s="1066" t="s">
        <v>379</v>
      </c>
      <c r="B1240" s="869" t="s">
        <v>380</v>
      </c>
      <c r="C1240" s="1058"/>
      <c r="D1240" s="1059"/>
      <c r="E1240" s="1063"/>
      <c r="F1240" s="1065"/>
      <c r="G1240" s="1066" t="s">
        <v>379</v>
      </c>
      <c r="H1240" s="869" t="s">
        <v>380</v>
      </c>
      <c r="I1240" s="1058"/>
      <c r="J1240" s="1059"/>
    </row>
    <row r="1241" spans="1:15" ht="15" customHeight="1">
      <c r="A1241" s="1052" t="s">
        <v>381</v>
      </c>
      <c r="B1241" s="869" t="s">
        <v>382</v>
      </c>
      <c r="C1241" s="1058"/>
      <c r="D1241" s="1059">
        <f>D1240</f>
        <v>0</v>
      </c>
      <c r="E1241" s="1067"/>
      <c r="F1241" s="1051"/>
      <c r="G1241" s="1052" t="s">
        <v>381</v>
      </c>
      <c r="H1241" s="869" t="s">
        <v>382</v>
      </c>
      <c r="I1241" s="1058"/>
      <c r="J1241" s="1059">
        <f>J1240</f>
        <v>0</v>
      </c>
    </row>
    <row r="1242" spans="1:15" ht="15" customHeight="1">
      <c r="A1242" s="1068" t="s">
        <v>383</v>
      </c>
      <c r="B1242" s="1069" t="s">
        <v>384</v>
      </c>
      <c r="C1242" s="1070"/>
      <c r="D1242" s="1071" t="e">
        <f>SUM(D1233:D1238)-D1241</f>
        <v>#N/A</v>
      </c>
      <c r="E1242" s="1072"/>
      <c r="F1242" s="1073"/>
      <c r="G1242" s="1068" t="s">
        <v>383</v>
      </c>
      <c r="H1242" s="1069" t="s">
        <v>384</v>
      </c>
      <c r="I1242" s="1070"/>
      <c r="J1242" s="1071" t="e">
        <f>SUM(J1233:J1238)-J1241</f>
        <v>#N/A</v>
      </c>
    </row>
    <row r="1243" spans="1:15" ht="18.75" customHeight="1">
      <c r="A1243" s="1074"/>
      <c r="B1243" s="1075"/>
      <c r="C1243" s="1076"/>
      <c r="D1243" s="1077"/>
      <c r="E1243" s="1077"/>
      <c r="F1243" s="1078"/>
      <c r="G1243" s="1074"/>
      <c r="H1243" s="1075"/>
      <c r="I1243" s="1076"/>
      <c r="J1243" s="1077"/>
    </row>
    <row r="1244" spans="1:15" ht="18.75" customHeight="1">
      <c r="A1244" s="1075"/>
      <c r="B1244" s="1075"/>
      <c r="C1244" s="1079"/>
      <c r="D1244" s="1080"/>
      <c r="E1244" s="1075"/>
      <c r="F1244" s="1081"/>
      <c r="G1244" s="1075"/>
      <c r="H1244" s="1075"/>
      <c r="I1244" s="1079"/>
      <c r="J1244" s="1080"/>
    </row>
    <row r="1245" spans="1:15" ht="15" customHeight="1">
      <c r="A1245" s="2242" t="str">
        <f>$K$2</f>
        <v>THÁNG 09/2024</v>
      </c>
      <c r="B1245" s="2242"/>
      <c r="C1245" s="2242"/>
      <c r="D1245" s="2242"/>
      <c r="E1245" s="1050"/>
      <c r="F1245" s="1051"/>
      <c r="G1245" s="2242" t="str">
        <f>$K$2</f>
        <v>THÁNG 09/2024</v>
      </c>
      <c r="H1245" s="2242"/>
      <c r="I1245" s="2242"/>
      <c r="J1245" s="2242"/>
      <c r="K1245" s="624"/>
    </row>
    <row r="1246" spans="1:15" ht="15" customHeight="1">
      <c r="A1246" s="1052" t="s">
        <v>356</v>
      </c>
      <c r="B1246" s="1053" t="s">
        <v>77</v>
      </c>
      <c r="C1246" s="869"/>
      <c r="D1246" s="1049"/>
      <c r="E1246" s="1054"/>
      <c r="F1246" s="1055"/>
      <c r="G1246" s="1052" t="s">
        <v>356</v>
      </c>
      <c r="H1246" s="1053" t="s">
        <v>78</v>
      </c>
      <c r="I1246" s="869"/>
      <c r="J1246" s="1049"/>
      <c r="L1246" s="1088"/>
      <c r="M1246" s="1088"/>
      <c r="N1246" s="1088"/>
      <c r="O1246" s="1088"/>
    </row>
    <row r="1247" spans="1:15" ht="15" customHeight="1">
      <c r="A1247" s="1052" t="s">
        <v>359</v>
      </c>
      <c r="B1247" s="1089" t="s">
        <v>360</v>
      </c>
      <c r="C1247" s="1058" t="e">
        <f>VLOOKUP(B1246,'LƯƠNG KT'!$D$15:$U$94,3,0)</f>
        <v>#N/A</v>
      </c>
      <c r="D1247" s="1059" t="e">
        <f>+C1247*25000</f>
        <v>#N/A</v>
      </c>
      <c r="E1247" s="1060"/>
      <c r="F1247" s="1060"/>
      <c r="G1247" s="1052" t="s">
        <v>359</v>
      </c>
      <c r="H1247" s="1089" t="s">
        <v>360</v>
      </c>
      <c r="I1247" s="1058" t="e">
        <f>VLOOKUP(H1246,'LƯƠNG KT'!$D$15:$U$94,3,0)</f>
        <v>#N/A</v>
      </c>
      <c r="J1247" s="1059" t="e">
        <f>+I1247*25000</f>
        <v>#N/A</v>
      </c>
      <c r="K1247" s="1085"/>
      <c r="L1247" s="1085"/>
      <c r="M1247" s="1085"/>
      <c r="N1247" s="1085"/>
      <c r="O1247" s="1085"/>
    </row>
    <row r="1248" spans="1:15" ht="15" customHeight="1">
      <c r="A1248" s="1052" t="s">
        <v>361</v>
      </c>
      <c r="B1248" s="869" t="s">
        <v>362</v>
      </c>
      <c r="C1248" s="1058" t="e">
        <f>VLOOKUP(B1246,'LƯƠNG KT'!$D$15:$U$94,14,0)</f>
        <v>#N/A</v>
      </c>
      <c r="D1248" s="1059" t="e">
        <f>C1248*$L$4</f>
        <v>#N/A</v>
      </c>
      <c r="E1248" s="1061"/>
      <c r="F1248" s="1061"/>
      <c r="G1248" s="1052" t="s">
        <v>361</v>
      </c>
      <c r="H1248" s="869" t="s">
        <v>362</v>
      </c>
      <c r="I1248" s="1058" t="e">
        <f>VLOOKUP(H1246,'LƯƠNG KT'!$D$15:$U$94,14,0)</f>
        <v>#N/A</v>
      </c>
      <c r="J1248" s="1059" t="e">
        <f>I1248*$L$4</f>
        <v>#N/A</v>
      </c>
      <c r="K1248" s="1085"/>
      <c r="L1248" s="1085"/>
      <c r="M1248" s="1085"/>
      <c r="N1248" s="1085"/>
      <c r="O1248" s="1085"/>
    </row>
    <row r="1249" spans="1:15" ht="15" customHeight="1">
      <c r="A1249" s="1052" t="s">
        <v>364</v>
      </c>
      <c r="B1249" s="869" t="s">
        <v>365</v>
      </c>
      <c r="C1249" s="1058" t="e">
        <f>VLOOKUP(B1246,'LƯƠNG KT'!$D$15:$U$94,15,0)</f>
        <v>#N/A</v>
      </c>
      <c r="D1249" s="1059" t="e">
        <f>C1249*$L$5</f>
        <v>#N/A</v>
      </c>
      <c r="E1249" s="1061"/>
      <c r="F1249" s="1061"/>
      <c r="G1249" s="1052" t="s">
        <v>364</v>
      </c>
      <c r="H1249" s="869" t="s">
        <v>365</v>
      </c>
      <c r="I1249" s="1058" t="e">
        <f>VLOOKUP(H1246,'LƯƠNG KT'!$D$15:$U$94,15,0)</f>
        <v>#N/A</v>
      </c>
      <c r="J1249" s="1059" t="e">
        <f>I1249*$L$5</f>
        <v>#N/A</v>
      </c>
      <c r="K1249" s="1085"/>
      <c r="L1249" s="1085"/>
      <c r="M1249" s="1085"/>
      <c r="N1249" s="1085"/>
      <c r="O1249" s="1085"/>
    </row>
    <row r="1250" spans="1:15" ht="15" customHeight="1">
      <c r="A1250" s="1052" t="s">
        <v>367</v>
      </c>
      <c r="B1250" s="869"/>
      <c r="C1250" s="1058" t="e">
        <f>VLOOKUP(B1246,'LƯƠNG KT'!$D$15:$U$94,16,0)</f>
        <v>#N/A</v>
      </c>
      <c r="D1250" s="1059" t="e">
        <f>+C1250*$L$6</f>
        <v>#N/A</v>
      </c>
      <c r="E1250" s="1061"/>
      <c r="F1250" s="1061"/>
      <c r="G1250" s="1052" t="s">
        <v>367</v>
      </c>
      <c r="H1250" s="869"/>
      <c r="I1250" s="1058" t="e">
        <f>VLOOKUP(H1246,'LƯƠNG KT'!$D$15:$U$94,16,0)</f>
        <v>#N/A</v>
      </c>
      <c r="J1250" s="1059" t="e">
        <f>+I1250*$L$6</f>
        <v>#N/A</v>
      </c>
      <c r="K1250" s="1085"/>
      <c r="L1250" s="1085"/>
      <c r="M1250" s="1085"/>
      <c r="N1250" s="1085"/>
      <c r="O1250" s="1085"/>
    </row>
    <row r="1251" spans="1:15" ht="15" customHeight="1">
      <c r="A1251" s="1052" t="s">
        <v>371</v>
      </c>
      <c r="B1251" s="869" t="s">
        <v>372</v>
      </c>
      <c r="C1251" s="1058" t="e">
        <f>VLOOKUP(B1246,'LƯƠNG KT'!$D$15:$U$94,9,0)*$L$10</f>
        <v>#N/A</v>
      </c>
      <c r="D1251" s="1059" t="e">
        <f>+C1251*0.5*3000</f>
        <v>#N/A</v>
      </c>
      <c r="E1251" s="1061"/>
      <c r="F1251" s="1061"/>
      <c r="G1251" s="1052" t="s">
        <v>371</v>
      </c>
      <c r="H1251" s="869" t="s">
        <v>372</v>
      </c>
      <c r="I1251" s="1058" t="e">
        <f>VLOOKUP(H1246,'LƯƠNG KT'!$D$15:$U$94,9,0)*$L$10</f>
        <v>#N/A</v>
      </c>
      <c r="J1251" s="1059" t="e">
        <f>+I1251*0.5*3000</f>
        <v>#N/A</v>
      </c>
      <c r="K1251" s="1085"/>
      <c r="L1251" s="1085"/>
      <c r="M1251" s="1085"/>
      <c r="N1251" s="1085"/>
      <c r="O1251" s="1085"/>
    </row>
    <row r="1252" spans="1:15" ht="15" customHeight="1">
      <c r="A1252" s="1052" t="s">
        <v>374</v>
      </c>
      <c r="B1252" s="869" t="s">
        <v>375</v>
      </c>
      <c r="C1252" s="1058" t="e">
        <f>VLOOKUP(B1246,'LƯƠNG KT'!$D$15:$U$94,8,0)*$L$11</f>
        <v>#N/A</v>
      </c>
      <c r="D1252" s="1059" t="e">
        <f>VLOOKUP(B1246,'LƯƠNG KT'!$D$15:$U$94,13,0)-D1251</f>
        <v>#N/A</v>
      </c>
      <c r="E1252" s="1063"/>
      <c r="F1252" s="1061"/>
      <c r="G1252" s="1052" t="s">
        <v>374</v>
      </c>
      <c r="H1252" s="869" t="s">
        <v>375</v>
      </c>
      <c r="I1252" s="1058" t="e">
        <f>VLOOKUP(H1246,'LƯƠNG KT'!$D$15:$U$94,8,0)*$L$11</f>
        <v>#N/A</v>
      </c>
      <c r="J1252" s="1059" t="e">
        <f>VLOOKUP(H1246,'LƯƠNG KT'!$D$15:$U$94,13,0)-J1251</f>
        <v>#N/A</v>
      </c>
      <c r="K1252" s="1085"/>
      <c r="L1252" s="1085"/>
      <c r="M1252" s="1085"/>
      <c r="N1252" s="1085"/>
      <c r="O1252" s="1085"/>
    </row>
    <row r="1253" spans="1:15" ht="15" customHeight="1">
      <c r="A1253" s="1059" t="s">
        <v>377</v>
      </c>
      <c r="B1253" s="869" t="s">
        <v>378</v>
      </c>
      <c r="C1253" s="1058"/>
      <c r="D1253" s="1059"/>
      <c r="E1253" s="1065"/>
      <c r="F1253" s="1065"/>
      <c r="G1253" s="1059" t="s">
        <v>377</v>
      </c>
      <c r="H1253" s="869" t="s">
        <v>378</v>
      </c>
      <c r="I1253" s="1058"/>
      <c r="J1253" s="1059"/>
    </row>
    <row r="1254" spans="1:15" ht="15" customHeight="1">
      <c r="A1254" s="1066" t="s">
        <v>379</v>
      </c>
      <c r="B1254" s="869" t="s">
        <v>380</v>
      </c>
      <c r="C1254" s="1058"/>
      <c r="D1254" s="1059"/>
      <c r="E1254" s="1063"/>
      <c r="F1254" s="1065"/>
      <c r="G1254" s="1066" t="s">
        <v>379</v>
      </c>
      <c r="H1254" s="869" t="s">
        <v>380</v>
      </c>
      <c r="I1254" s="1058"/>
      <c r="J1254" s="1059"/>
    </row>
    <row r="1255" spans="1:15" ht="15" customHeight="1">
      <c r="A1255" s="1052" t="s">
        <v>381</v>
      </c>
      <c r="B1255" s="869" t="s">
        <v>382</v>
      </c>
      <c r="C1255" s="1058"/>
      <c r="D1255" s="1059">
        <f>D1254</f>
        <v>0</v>
      </c>
      <c r="E1255" s="1067"/>
      <c r="F1255" s="1051"/>
      <c r="G1255" s="1052" t="s">
        <v>381</v>
      </c>
      <c r="H1255" s="869" t="s">
        <v>382</v>
      </c>
      <c r="I1255" s="1058"/>
      <c r="J1255" s="1059">
        <f>J1254</f>
        <v>0</v>
      </c>
    </row>
    <row r="1256" spans="1:15" ht="15" customHeight="1">
      <c r="A1256" s="1068" t="s">
        <v>383</v>
      </c>
      <c r="B1256" s="1069" t="s">
        <v>384</v>
      </c>
      <c r="C1256" s="1070"/>
      <c r="D1256" s="1071" t="e">
        <f>SUM(D1247:D1252)-D1255</f>
        <v>#N/A</v>
      </c>
      <c r="E1256" s="1072"/>
      <c r="F1256" s="1073"/>
      <c r="G1256" s="1068" t="s">
        <v>383</v>
      </c>
      <c r="H1256" s="1069" t="s">
        <v>384</v>
      </c>
      <c r="I1256" s="1070"/>
      <c r="J1256" s="1071" t="e">
        <f>SUM(J1247:J1252)-J1255</f>
        <v>#N/A</v>
      </c>
    </row>
    <row r="1257" spans="1:15" ht="18.75" customHeight="1">
      <c r="A1257" s="1074"/>
      <c r="B1257" s="1075"/>
      <c r="C1257" s="1076"/>
      <c r="D1257" s="1077"/>
      <c r="E1257" s="1077"/>
      <c r="F1257" s="1078"/>
      <c r="G1257" s="1074"/>
      <c r="H1257" s="1075"/>
      <c r="I1257" s="1076"/>
      <c r="J1257" s="1077"/>
    </row>
    <row r="1258" spans="1:15" ht="18.75" customHeight="1">
      <c r="A1258" s="1075"/>
      <c r="B1258" s="1075"/>
      <c r="C1258" s="1079"/>
      <c r="D1258" s="1080"/>
      <c r="E1258" s="1075"/>
      <c r="F1258" s="1081"/>
      <c r="G1258" s="1075"/>
      <c r="H1258" s="1075"/>
      <c r="I1258" s="1079"/>
      <c r="J1258" s="1080"/>
    </row>
    <row r="1259" spans="1:15" ht="15" customHeight="1">
      <c r="A1259" s="2242" t="str">
        <f>$K$2</f>
        <v>THÁNG 09/2024</v>
      </c>
      <c r="B1259" s="2242"/>
      <c r="C1259" s="2242"/>
      <c r="D1259" s="2242"/>
      <c r="E1259" s="1050"/>
      <c r="F1259" s="1051"/>
      <c r="G1259" s="2242" t="str">
        <f>$K$2</f>
        <v>THÁNG 09/2024</v>
      </c>
      <c r="H1259" s="2242"/>
      <c r="I1259" s="2242"/>
      <c r="J1259" s="2242"/>
      <c r="K1259" s="624"/>
    </row>
    <row r="1260" spans="1:15" ht="15" customHeight="1">
      <c r="A1260" s="1052" t="s">
        <v>356</v>
      </c>
      <c r="B1260" s="1053" t="s">
        <v>79</v>
      </c>
      <c r="C1260" s="869"/>
      <c r="D1260" s="1049"/>
      <c r="E1260" s="1054"/>
      <c r="F1260" s="1055"/>
      <c r="G1260" s="1052" t="s">
        <v>356</v>
      </c>
      <c r="H1260" s="1053" t="s">
        <v>80</v>
      </c>
      <c r="I1260" s="869"/>
      <c r="J1260" s="1049"/>
      <c r="L1260" s="1088"/>
      <c r="M1260" s="1088"/>
      <c r="N1260" s="1088"/>
      <c r="O1260" s="1088"/>
    </row>
    <row r="1261" spans="1:15" ht="15" customHeight="1">
      <c r="A1261" s="1052" t="s">
        <v>359</v>
      </c>
      <c r="B1261" s="1089" t="s">
        <v>360</v>
      </c>
      <c r="C1261" s="1058" t="e">
        <f>VLOOKUP(B1260,'LƯƠNG KT'!$D$15:$U$94,3,0)</f>
        <v>#N/A</v>
      </c>
      <c r="D1261" s="1059" t="e">
        <f>+C1261*25000</f>
        <v>#N/A</v>
      </c>
      <c r="E1261" s="1060"/>
      <c r="F1261" s="1060"/>
      <c r="G1261" s="1052" t="s">
        <v>359</v>
      </c>
      <c r="H1261" s="1089" t="s">
        <v>360</v>
      </c>
      <c r="I1261" s="1058" t="e">
        <f>VLOOKUP(H1260,'LƯƠNG KT'!$D$15:$U$94,3,0)</f>
        <v>#N/A</v>
      </c>
      <c r="J1261" s="1059" t="e">
        <f>+I1261*25000</f>
        <v>#N/A</v>
      </c>
      <c r="K1261" s="1085"/>
      <c r="L1261" s="1085"/>
      <c r="M1261" s="1085"/>
      <c r="N1261" s="1085"/>
      <c r="O1261" s="1085"/>
    </row>
    <row r="1262" spans="1:15" ht="15" customHeight="1">
      <c r="A1262" s="1052" t="s">
        <v>361</v>
      </c>
      <c r="B1262" s="869" t="s">
        <v>362</v>
      </c>
      <c r="C1262" s="1058" t="e">
        <f>VLOOKUP(B1260,'LƯƠNG KT'!$D$15:$U$94,14,0)</f>
        <v>#N/A</v>
      </c>
      <c r="D1262" s="1059" t="e">
        <f>C1262*$L$4</f>
        <v>#N/A</v>
      </c>
      <c r="E1262" s="1061"/>
      <c r="F1262" s="1061"/>
      <c r="G1262" s="1052" t="s">
        <v>361</v>
      </c>
      <c r="H1262" s="869" t="s">
        <v>362</v>
      </c>
      <c r="I1262" s="1058" t="e">
        <f>VLOOKUP(H1260,'LƯƠNG KT'!$D$15:$U$94,14,0)</f>
        <v>#N/A</v>
      </c>
      <c r="J1262" s="1059" t="e">
        <f>I1262*$L$4</f>
        <v>#N/A</v>
      </c>
      <c r="K1262" s="1085"/>
      <c r="L1262" s="1085"/>
      <c r="M1262" s="1085"/>
      <c r="N1262" s="1085"/>
      <c r="O1262" s="1085"/>
    </row>
    <row r="1263" spans="1:15" ht="15" customHeight="1">
      <c r="A1263" s="1052" t="s">
        <v>364</v>
      </c>
      <c r="B1263" s="869" t="s">
        <v>365</v>
      </c>
      <c r="C1263" s="1058" t="e">
        <f>VLOOKUP(B1260,'LƯƠNG KT'!$D$15:$U$94,15,0)</f>
        <v>#N/A</v>
      </c>
      <c r="D1263" s="1059" t="e">
        <f>C1263*$L$5</f>
        <v>#N/A</v>
      </c>
      <c r="E1263" s="1061"/>
      <c r="F1263" s="1061"/>
      <c r="G1263" s="1052" t="s">
        <v>364</v>
      </c>
      <c r="H1263" s="869" t="s">
        <v>365</v>
      </c>
      <c r="I1263" s="1058" t="e">
        <f>VLOOKUP(H1260,'LƯƠNG KT'!$D$15:$U$94,15,0)</f>
        <v>#N/A</v>
      </c>
      <c r="J1263" s="1059" t="e">
        <f>I1263*$L$5</f>
        <v>#N/A</v>
      </c>
      <c r="K1263" s="1085"/>
      <c r="L1263" s="1085"/>
      <c r="M1263" s="1085"/>
      <c r="N1263" s="1085"/>
      <c r="O1263" s="1085"/>
    </row>
    <row r="1264" spans="1:15" ht="15" customHeight="1">
      <c r="A1264" s="1052" t="s">
        <v>367</v>
      </c>
      <c r="B1264" s="869"/>
      <c r="C1264" s="1058" t="e">
        <f>VLOOKUP(B1260,'LƯƠNG KT'!$D$15:$U$94,16,0)</f>
        <v>#N/A</v>
      </c>
      <c r="D1264" s="1059" t="e">
        <f>+C1264*$L$6</f>
        <v>#N/A</v>
      </c>
      <c r="E1264" s="1061"/>
      <c r="F1264" s="1061"/>
      <c r="G1264" s="1052" t="s">
        <v>367</v>
      </c>
      <c r="H1264" s="869"/>
      <c r="I1264" s="1058" t="e">
        <f>VLOOKUP(H1260,'LƯƠNG KT'!$D$15:$U$94,16,0)</f>
        <v>#N/A</v>
      </c>
      <c r="J1264" s="1059" t="e">
        <f>+I1264*$L$6</f>
        <v>#N/A</v>
      </c>
      <c r="K1264" s="1085"/>
      <c r="L1264" s="1085"/>
      <c r="M1264" s="1085"/>
      <c r="N1264" s="1085"/>
      <c r="O1264" s="1085"/>
    </row>
    <row r="1265" spans="1:15" ht="15" customHeight="1">
      <c r="A1265" s="1052" t="s">
        <v>371</v>
      </c>
      <c r="B1265" s="869" t="s">
        <v>372</v>
      </c>
      <c r="C1265" s="1058" t="e">
        <f>VLOOKUP(B1260,'LƯƠNG KT'!$D$15:$U$94,9,0)*$L$10</f>
        <v>#N/A</v>
      </c>
      <c r="D1265" s="1059" t="e">
        <f>+C1265*0.5*3000</f>
        <v>#N/A</v>
      </c>
      <c r="E1265" s="1061"/>
      <c r="F1265" s="1061"/>
      <c r="G1265" s="1052" t="s">
        <v>371</v>
      </c>
      <c r="H1265" s="869" t="s">
        <v>372</v>
      </c>
      <c r="I1265" s="1058" t="e">
        <f>VLOOKUP(H1260,'LƯƠNG KT'!$D$15:$U$94,9,0)*$L$10</f>
        <v>#N/A</v>
      </c>
      <c r="J1265" s="1059" t="e">
        <f>+I1265*0.5*3000</f>
        <v>#N/A</v>
      </c>
      <c r="K1265" s="1085"/>
      <c r="L1265" s="1085"/>
      <c r="M1265" s="1085"/>
      <c r="N1265" s="1085"/>
      <c r="O1265" s="1085"/>
    </row>
    <row r="1266" spans="1:15" ht="15" customHeight="1">
      <c r="A1266" s="1052" t="s">
        <v>374</v>
      </c>
      <c r="B1266" s="869" t="s">
        <v>375</v>
      </c>
      <c r="C1266" s="1058" t="e">
        <f>VLOOKUP(B1260,'LƯƠNG KT'!$D$15:$U$94,8,0)*$L$11</f>
        <v>#N/A</v>
      </c>
      <c r="D1266" s="1059" t="e">
        <f>VLOOKUP(B1260,'LƯƠNG KT'!$D$15:$U$94,13,0)-D1265</f>
        <v>#N/A</v>
      </c>
      <c r="E1266" s="1063"/>
      <c r="F1266" s="1061"/>
      <c r="G1266" s="1052" t="s">
        <v>374</v>
      </c>
      <c r="H1266" s="869" t="s">
        <v>375</v>
      </c>
      <c r="I1266" s="1058" t="e">
        <f>VLOOKUP(H1260,'LƯƠNG KT'!$D$15:$U$94,8,0)*$L$11</f>
        <v>#N/A</v>
      </c>
      <c r="J1266" s="1059" t="e">
        <f>VLOOKUP(H1260,'LƯƠNG KT'!$D$15:$U$94,13,0)-J1265</f>
        <v>#N/A</v>
      </c>
      <c r="K1266" s="1085"/>
      <c r="L1266" s="1085"/>
      <c r="M1266" s="1085"/>
      <c r="N1266" s="1085"/>
      <c r="O1266" s="1085"/>
    </row>
    <row r="1267" spans="1:15" ht="15" customHeight="1">
      <c r="A1267" s="1059" t="s">
        <v>377</v>
      </c>
      <c r="B1267" s="869" t="s">
        <v>378</v>
      </c>
      <c r="C1267" s="1058"/>
      <c r="D1267" s="1059"/>
      <c r="E1267" s="1065"/>
      <c r="F1267" s="1065"/>
      <c r="G1267" s="1059" t="s">
        <v>377</v>
      </c>
      <c r="H1267" s="869" t="s">
        <v>378</v>
      </c>
      <c r="I1267" s="1058"/>
      <c r="J1267" s="1059"/>
    </row>
    <row r="1268" spans="1:15" ht="15" customHeight="1">
      <c r="A1268" s="1066" t="s">
        <v>379</v>
      </c>
      <c r="B1268" s="869" t="s">
        <v>380</v>
      </c>
      <c r="C1268" s="1058"/>
      <c r="D1268" s="1059"/>
      <c r="E1268" s="1063"/>
      <c r="F1268" s="1065"/>
      <c r="G1268" s="1066" t="s">
        <v>379</v>
      </c>
      <c r="H1268" s="869" t="s">
        <v>380</v>
      </c>
      <c r="I1268" s="1058"/>
      <c r="J1268" s="1059"/>
    </row>
    <row r="1269" spans="1:15" ht="15" customHeight="1">
      <c r="A1269" s="1052" t="s">
        <v>381</v>
      </c>
      <c r="B1269" s="869" t="s">
        <v>382</v>
      </c>
      <c r="C1269" s="1058"/>
      <c r="D1269" s="1059">
        <f>D1268</f>
        <v>0</v>
      </c>
      <c r="E1269" s="1067"/>
      <c r="F1269" s="1051"/>
      <c r="G1269" s="1052" t="s">
        <v>381</v>
      </c>
      <c r="H1269" s="869" t="s">
        <v>382</v>
      </c>
      <c r="I1269" s="1058"/>
      <c r="J1269" s="1059">
        <f>J1268</f>
        <v>0</v>
      </c>
    </row>
    <row r="1270" spans="1:15" ht="15" customHeight="1">
      <c r="A1270" s="1068" t="s">
        <v>383</v>
      </c>
      <c r="B1270" s="1069" t="s">
        <v>384</v>
      </c>
      <c r="C1270" s="1070"/>
      <c r="D1270" s="1071" t="e">
        <f>SUM(D1261:D1266)-D1269</f>
        <v>#N/A</v>
      </c>
      <c r="E1270" s="1072"/>
      <c r="F1270" s="1073"/>
      <c r="G1270" s="1068" t="s">
        <v>383</v>
      </c>
      <c r="H1270" s="1069" t="s">
        <v>384</v>
      </c>
      <c r="I1270" s="1070"/>
      <c r="J1270" s="1071" t="e">
        <f>SUM(J1261:J1266)-J1269</f>
        <v>#N/A</v>
      </c>
    </row>
    <row r="1271" spans="1:15" ht="15.75" customHeight="1">
      <c r="A1271" s="1074"/>
      <c r="B1271" s="1075"/>
      <c r="C1271" s="1076"/>
      <c r="D1271" s="1077"/>
      <c r="E1271" s="1077"/>
      <c r="F1271" s="1078"/>
      <c r="G1271" s="1074"/>
      <c r="H1271" s="1075"/>
      <c r="I1271" s="1076"/>
      <c r="J1271" s="1077"/>
    </row>
    <row r="1273" spans="1:15" ht="12" customHeight="1">
      <c r="A1273" s="2243"/>
      <c r="B1273" s="2243"/>
      <c r="C1273" s="2243"/>
      <c r="D1273" s="2243"/>
      <c r="E1273" s="2243"/>
      <c r="F1273" s="2243"/>
      <c r="G1273" s="2243"/>
      <c r="H1273" s="2243"/>
      <c r="I1273" s="2243"/>
      <c r="J1273" s="2243"/>
    </row>
    <row r="1274" spans="1:15" ht="15" customHeight="1">
      <c r="A1274" s="2242" t="str">
        <f>$K$2</f>
        <v>THÁNG 09/2024</v>
      </c>
      <c r="B1274" s="2242"/>
      <c r="C1274" s="2242"/>
      <c r="D1274" s="2242"/>
      <c r="E1274" s="1050"/>
      <c r="F1274" s="1051"/>
      <c r="G1274" s="2242" t="str">
        <f>$K$2</f>
        <v>THÁNG 09/2024</v>
      </c>
      <c r="H1274" s="2242"/>
      <c r="I1274" s="2242"/>
      <c r="J1274" s="2242"/>
      <c r="K1274" s="624"/>
    </row>
    <row r="1275" spans="1:15" ht="15" customHeight="1">
      <c r="A1275" s="1052" t="s">
        <v>356</v>
      </c>
      <c r="B1275" s="1053" t="s">
        <v>81</v>
      </c>
      <c r="C1275" s="869"/>
      <c r="D1275" s="1049"/>
      <c r="E1275" s="1054"/>
      <c r="F1275" s="1055"/>
      <c r="G1275" s="1052" t="s">
        <v>356</v>
      </c>
      <c r="H1275" s="1053" t="s">
        <v>82</v>
      </c>
      <c r="I1275" s="869"/>
      <c r="J1275" s="1049"/>
      <c r="L1275" s="1088"/>
      <c r="M1275" s="1088"/>
      <c r="N1275" s="1088"/>
      <c r="O1275" s="1088"/>
    </row>
    <row r="1276" spans="1:15" ht="15" customHeight="1">
      <c r="A1276" s="1052" t="s">
        <v>359</v>
      </c>
      <c r="B1276" s="1089" t="s">
        <v>360</v>
      </c>
      <c r="C1276" s="1058" t="e">
        <f>VLOOKUP(B1275,'LƯƠNG KT'!$D$15:$U$94,3,0)</f>
        <v>#N/A</v>
      </c>
      <c r="D1276" s="1059" t="e">
        <f>+C1276*25000</f>
        <v>#N/A</v>
      </c>
      <c r="E1276" s="1060"/>
      <c r="F1276" s="1060"/>
      <c r="G1276" s="1052" t="s">
        <v>359</v>
      </c>
      <c r="H1276" s="1089" t="s">
        <v>360</v>
      </c>
      <c r="I1276" s="1058" t="e">
        <f>VLOOKUP(H1275,'LƯƠNG KT'!$D$15:$U$94,3,0)</f>
        <v>#N/A</v>
      </c>
      <c r="J1276" s="1059" t="e">
        <f>+I1276*25000</f>
        <v>#N/A</v>
      </c>
      <c r="K1276" s="1084"/>
      <c r="L1276" s="1085"/>
      <c r="M1276" s="1085"/>
      <c r="N1276" s="1085"/>
      <c r="O1276" s="1085"/>
    </row>
    <row r="1277" spans="1:15" ht="15" customHeight="1">
      <c r="A1277" s="1052" t="s">
        <v>361</v>
      </c>
      <c r="B1277" s="869" t="s">
        <v>362</v>
      </c>
      <c r="C1277" s="1058" t="e">
        <f>VLOOKUP(B1275,'LƯƠNG KT'!$D$15:$U$94,14,0)</f>
        <v>#N/A</v>
      </c>
      <c r="D1277" s="1059" t="e">
        <f>C1277*$L$4</f>
        <v>#N/A</v>
      </c>
      <c r="E1277" s="1061"/>
      <c r="F1277" s="1061"/>
      <c r="G1277" s="1052" t="s">
        <v>361</v>
      </c>
      <c r="H1277" s="869" t="s">
        <v>362</v>
      </c>
      <c r="I1277" s="1058" t="e">
        <f>VLOOKUP(H1275,'LƯƠNG KT'!$D$15:$U$94,14,0)</f>
        <v>#N/A</v>
      </c>
      <c r="J1277" s="1059" t="e">
        <f>I1277*$L$4</f>
        <v>#N/A</v>
      </c>
      <c r="K1277" s="1084"/>
      <c r="L1277" s="1085"/>
      <c r="M1277" s="1085"/>
      <c r="N1277" s="1085"/>
      <c r="O1277" s="1085"/>
    </row>
    <row r="1278" spans="1:15" ht="15" customHeight="1">
      <c r="A1278" s="1052" t="s">
        <v>364</v>
      </c>
      <c r="B1278" s="869" t="s">
        <v>365</v>
      </c>
      <c r="C1278" s="1058" t="e">
        <f>VLOOKUP(B1275,'LƯƠNG KT'!$D$15:$U$94,15,0)</f>
        <v>#N/A</v>
      </c>
      <c r="D1278" s="1059" t="e">
        <f>C1278*$L$5</f>
        <v>#N/A</v>
      </c>
      <c r="E1278" s="1061"/>
      <c r="F1278" s="1061"/>
      <c r="G1278" s="1052" t="s">
        <v>364</v>
      </c>
      <c r="H1278" s="869" t="s">
        <v>365</v>
      </c>
      <c r="I1278" s="1058" t="e">
        <f>VLOOKUP(H1275,'LƯƠNG KT'!$D$15:$U$94,15,0)</f>
        <v>#N/A</v>
      </c>
      <c r="J1278" s="1059" t="e">
        <f>I1278*$L$5</f>
        <v>#N/A</v>
      </c>
      <c r="K1278" s="1084"/>
      <c r="L1278" s="1085"/>
      <c r="M1278" s="1085"/>
      <c r="N1278" s="1085"/>
      <c r="O1278" s="1085"/>
    </row>
    <row r="1279" spans="1:15" ht="15" customHeight="1">
      <c r="A1279" s="1052" t="s">
        <v>367</v>
      </c>
      <c r="B1279" s="869"/>
      <c r="C1279" s="1058" t="e">
        <f>VLOOKUP(B1275,'LƯƠNG KT'!$D$15:$U$94,16,0)</f>
        <v>#N/A</v>
      </c>
      <c r="D1279" s="1059" t="e">
        <f>+C1279*$L$6</f>
        <v>#N/A</v>
      </c>
      <c r="E1279" s="1061"/>
      <c r="F1279" s="1061"/>
      <c r="G1279" s="1052" t="s">
        <v>367</v>
      </c>
      <c r="H1279" s="869"/>
      <c r="I1279" s="1058" t="e">
        <f>VLOOKUP(H1275,'LƯƠNG KT'!$D$15:$U$94,16,0)</f>
        <v>#N/A</v>
      </c>
      <c r="J1279" s="1059" t="e">
        <f>+I1279*$L$6</f>
        <v>#N/A</v>
      </c>
      <c r="K1279" s="1085"/>
      <c r="L1279" s="1085"/>
      <c r="M1279" s="1085"/>
      <c r="N1279" s="1085"/>
      <c r="O1279" s="1085"/>
    </row>
    <row r="1280" spans="1:15" ht="15" customHeight="1">
      <c r="A1280" s="1052" t="s">
        <v>371</v>
      </c>
      <c r="B1280" s="869" t="s">
        <v>372</v>
      </c>
      <c r="C1280" s="1058" t="e">
        <f>VLOOKUP(B1275,'LƯƠNG KT'!$D$15:$U$94,9,0)*$L$10</f>
        <v>#N/A</v>
      </c>
      <c r="D1280" s="1059" t="e">
        <f>+C1280*0.5*3000</f>
        <v>#N/A</v>
      </c>
      <c r="E1280" s="1061"/>
      <c r="F1280" s="1061"/>
      <c r="G1280" s="1052" t="s">
        <v>371</v>
      </c>
      <c r="H1280" s="869" t="s">
        <v>372</v>
      </c>
      <c r="I1280" s="1058" t="e">
        <f>VLOOKUP(H1275,'LƯƠNG KT'!$D$15:$U$94,9,0)*$L$10</f>
        <v>#N/A</v>
      </c>
      <c r="J1280" s="1059" t="e">
        <f>+I1280*0.5*3000</f>
        <v>#N/A</v>
      </c>
      <c r="K1280" s="1085"/>
      <c r="L1280" s="1085"/>
      <c r="M1280" s="1085"/>
      <c r="N1280" s="1085"/>
      <c r="O1280" s="1085"/>
    </row>
    <row r="1281" spans="1:15" ht="15" customHeight="1">
      <c r="A1281" s="1052" t="s">
        <v>374</v>
      </c>
      <c r="B1281" s="869" t="s">
        <v>375</v>
      </c>
      <c r="C1281" s="1058" t="e">
        <f>VLOOKUP(B1275,'LƯƠNG KT'!$D$15:$U$94,8,0)*$L$11</f>
        <v>#N/A</v>
      </c>
      <c r="D1281" s="1059" t="e">
        <f>VLOOKUP(B1275,'LƯƠNG KT'!$D$15:$U$94,13,0)-D1280</f>
        <v>#N/A</v>
      </c>
      <c r="E1281" s="1063"/>
      <c r="F1281" s="1061"/>
      <c r="G1281" s="1052" t="s">
        <v>374</v>
      </c>
      <c r="H1281" s="869" t="s">
        <v>375</v>
      </c>
      <c r="I1281" s="1058" t="e">
        <f>VLOOKUP(H1275,'LƯƠNG KT'!$D$15:$U$94,8,0)*$L$11</f>
        <v>#N/A</v>
      </c>
      <c r="J1281" s="1059" t="e">
        <f>VLOOKUP(H1275,'LƯƠNG KT'!$D$15:$U$94,13,0)-J1280</f>
        <v>#N/A</v>
      </c>
      <c r="K1281" s="1085"/>
      <c r="L1281" s="1085"/>
      <c r="M1281" s="1085"/>
      <c r="N1281" s="1085"/>
      <c r="O1281" s="1085"/>
    </row>
    <row r="1282" spans="1:15" ht="15" customHeight="1">
      <c r="A1282" s="1059" t="s">
        <v>377</v>
      </c>
      <c r="B1282" s="869" t="s">
        <v>378</v>
      </c>
      <c r="C1282" s="1058"/>
      <c r="D1282" s="1059"/>
      <c r="E1282" s="1065"/>
      <c r="F1282" s="1065"/>
      <c r="G1282" s="1059" t="s">
        <v>377</v>
      </c>
      <c r="H1282" s="869" t="s">
        <v>378</v>
      </c>
      <c r="I1282" s="1058"/>
      <c r="J1282" s="1059"/>
    </row>
    <row r="1283" spans="1:15" ht="15" customHeight="1">
      <c r="A1283" s="1066" t="s">
        <v>379</v>
      </c>
      <c r="B1283" s="869" t="s">
        <v>380</v>
      </c>
      <c r="C1283" s="1058"/>
      <c r="D1283" s="1059"/>
      <c r="E1283" s="1063"/>
      <c r="F1283" s="1065"/>
      <c r="G1283" s="1066" t="s">
        <v>379</v>
      </c>
      <c r="H1283" s="869" t="s">
        <v>380</v>
      </c>
      <c r="I1283" s="1058"/>
      <c r="J1283" s="1059"/>
    </row>
    <row r="1284" spans="1:15" ht="15" customHeight="1">
      <c r="A1284" s="1052" t="s">
        <v>381</v>
      </c>
      <c r="B1284" s="869" t="s">
        <v>382</v>
      </c>
      <c r="C1284" s="1058"/>
      <c r="D1284" s="1059">
        <f>D1283</f>
        <v>0</v>
      </c>
      <c r="E1284" s="1067"/>
      <c r="F1284" s="1051"/>
      <c r="G1284" s="1052" t="s">
        <v>381</v>
      </c>
      <c r="H1284" s="869" t="s">
        <v>382</v>
      </c>
      <c r="I1284" s="1058"/>
      <c r="J1284" s="1059">
        <f>J1283</f>
        <v>0</v>
      </c>
    </row>
    <row r="1285" spans="1:15" ht="15" customHeight="1">
      <c r="A1285" s="1068" t="s">
        <v>383</v>
      </c>
      <c r="B1285" s="1069" t="s">
        <v>384</v>
      </c>
      <c r="C1285" s="1070"/>
      <c r="D1285" s="1071" t="e">
        <f>SUM(D1276:D1281)-D1284</f>
        <v>#N/A</v>
      </c>
      <c r="E1285" s="1072"/>
      <c r="F1285" s="1073"/>
      <c r="G1285" s="1068" t="s">
        <v>383</v>
      </c>
      <c r="H1285" s="1069" t="s">
        <v>384</v>
      </c>
      <c r="I1285" s="1070"/>
      <c r="J1285" s="1071" t="e">
        <f>SUM(J1276:J1281)-J1284</f>
        <v>#N/A</v>
      </c>
    </row>
    <row r="1286" spans="1:15" ht="12.6" customHeight="1">
      <c r="A1286" s="1074"/>
      <c r="B1286" s="1075"/>
      <c r="C1286" s="1076"/>
      <c r="D1286" s="1077"/>
      <c r="E1286" s="1077"/>
      <c r="F1286" s="1078"/>
      <c r="G1286" s="1074"/>
      <c r="H1286" s="1075"/>
      <c r="I1286" s="1076"/>
      <c r="J1286" s="1077"/>
    </row>
    <row r="1287" spans="1:15" ht="12.6" customHeight="1">
      <c r="A1287" s="1075"/>
      <c r="B1287" s="1075"/>
      <c r="C1287" s="1079"/>
      <c r="D1287" s="1080"/>
      <c r="E1287" s="1075"/>
      <c r="F1287" s="1081"/>
      <c r="G1287" s="1075"/>
      <c r="H1287" s="1075"/>
      <c r="I1287" s="1079"/>
      <c r="J1287" s="1080"/>
    </row>
    <row r="1288" spans="1:15" ht="15" customHeight="1">
      <c r="A1288" s="2242" t="str">
        <f>$K$2</f>
        <v>THÁNG 09/2024</v>
      </c>
      <c r="B1288" s="2242"/>
      <c r="C1288" s="2242"/>
      <c r="D1288" s="2242"/>
      <c r="E1288" s="1050"/>
      <c r="F1288" s="1051"/>
      <c r="G1288" s="2242" t="str">
        <f>$K$2</f>
        <v>THÁNG 09/2024</v>
      </c>
      <c r="H1288" s="2242"/>
      <c r="I1288" s="2242"/>
      <c r="J1288" s="2242"/>
      <c r="K1288" s="624"/>
    </row>
    <row r="1289" spans="1:15" ht="15" customHeight="1">
      <c r="A1289" s="1052" t="s">
        <v>356</v>
      </c>
      <c r="B1289" s="1053" t="s">
        <v>83</v>
      </c>
      <c r="C1289" s="869"/>
      <c r="D1289" s="1049"/>
      <c r="E1289" s="1054"/>
      <c r="F1289" s="1055"/>
      <c r="G1289" s="1052" t="s">
        <v>356</v>
      </c>
      <c r="H1289" s="1053" t="s">
        <v>84</v>
      </c>
      <c r="I1289" s="869"/>
      <c r="J1289" s="1049"/>
      <c r="L1289" s="1088"/>
      <c r="M1289" s="1088"/>
      <c r="N1289" s="1088"/>
      <c r="O1289" s="1088"/>
    </row>
    <row r="1290" spans="1:15" ht="15" customHeight="1">
      <c r="A1290" s="1052" t="s">
        <v>359</v>
      </c>
      <c r="B1290" s="1089" t="s">
        <v>360</v>
      </c>
      <c r="C1290" s="1058" t="e">
        <f>VLOOKUP(B1289,'LƯƠNG KT'!$D$15:$U$94,3,0)</f>
        <v>#N/A</v>
      </c>
      <c r="D1290" s="1059" t="e">
        <f>+C1290*25000</f>
        <v>#N/A</v>
      </c>
      <c r="E1290" s="1060"/>
      <c r="F1290" s="1060"/>
      <c r="G1290" s="1052" t="s">
        <v>359</v>
      </c>
      <c r="H1290" s="1089" t="s">
        <v>360</v>
      </c>
      <c r="I1290" s="1058" t="e">
        <f>VLOOKUP(H1289,'LƯƠNG KT'!$D$15:$U$94,3,0)</f>
        <v>#N/A</v>
      </c>
      <c r="J1290" s="1059" t="e">
        <f>+I1290*25000</f>
        <v>#N/A</v>
      </c>
      <c r="K1290" s="1085"/>
      <c r="L1290" s="1085"/>
      <c r="M1290" s="1085"/>
      <c r="N1290" s="1085"/>
      <c r="O1290" s="1085"/>
    </row>
    <row r="1291" spans="1:15" ht="15" customHeight="1">
      <c r="A1291" s="1052" t="s">
        <v>361</v>
      </c>
      <c r="B1291" s="869" t="s">
        <v>362</v>
      </c>
      <c r="C1291" s="1058" t="e">
        <f>VLOOKUP(B1289,'LƯƠNG KT'!$D$15:$U$94,14,0)</f>
        <v>#N/A</v>
      </c>
      <c r="D1291" s="1059" t="e">
        <f>C1291*$L$4</f>
        <v>#N/A</v>
      </c>
      <c r="E1291" s="1061"/>
      <c r="F1291" s="1061"/>
      <c r="G1291" s="1052" t="s">
        <v>361</v>
      </c>
      <c r="H1291" s="869" t="s">
        <v>362</v>
      </c>
      <c r="I1291" s="1058" t="e">
        <f>VLOOKUP(H1289,'LƯƠNG KT'!$D$15:$U$94,14,0)</f>
        <v>#N/A</v>
      </c>
      <c r="J1291" s="1059" t="e">
        <f>I1291*$L$4</f>
        <v>#N/A</v>
      </c>
      <c r="K1291" s="1085"/>
      <c r="L1291" s="1085"/>
      <c r="M1291" s="1085"/>
      <c r="N1291" s="1085"/>
      <c r="O1291" s="1085"/>
    </row>
    <row r="1292" spans="1:15" ht="15" customHeight="1">
      <c r="A1292" s="1052" t="s">
        <v>364</v>
      </c>
      <c r="B1292" s="869" t="s">
        <v>365</v>
      </c>
      <c r="C1292" s="1058" t="e">
        <f>VLOOKUP(B1289,'LƯƠNG KT'!$D$15:$U$94,15,0)</f>
        <v>#N/A</v>
      </c>
      <c r="D1292" s="1059" t="e">
        <f>C1292*$L$5</f>
        <v>#N/A</v>
      </c>
      <c r="E1292" s="1061"/>
      <c r="F1292" s="1061"/>
      <c r="G1292" s="1052" t="s">
        <v>364</v>
      </c>
      <c r="H1292" s="869" t="s">
        <v>365</v>
      </c>
      <c r="I1292" s="1058" t="e">
        <f>VLOOKUP(H1289,'LƯƠNG KT'!$D$15:$U$94,15,0)</f>
        <v>#N/A</v>
      </c>
      <c r="J1292" s="1059" t="e">
        <f>I1292*$L$5</f>
        <v>#N/A</v>
      </c>
      <c r="K1292" s="1085"/>
      <c r="L1292" s="1085"/>
      <c r="M1292" s="1085"/>
      <c r="N1292" s="1085"/>
      <c r="O1292" s="1085"/>
    </row>
    <row r="1293" spans="1:15" ht="15" customHeight="1">
      <c r="A1293" s="1052" t="s">
        <v>367</v>
      </c>
      <c r="B1293" s="869"/>
      <c r="C1293" s="1058" t="e">
        <f>VLOOKUP(B1289,'LƯƠNG KT'!$D$15:$U$94,16,0)</f>
        <v>#N/A</v>
      </c>
      <c r="D1293" s="1059" t="e">
        <f>+C1293*$L$6</f>
        <v>#N/A</v>
      </c>
      <c r="E1293" s="1061"/>
      <c r="F1293" s="1061"/>
      <c r="G1293" s="1052" t="s">
        <v>367</v>
      </c>
      <c r="H1293" s="869"/>
      <c r="I1293" s="1058" t="e">
        <f>VLOOKUP(H1289,'LƯƠNG KT'!$D$15:$U$94,16,0)</f>
        <v>#N/A</v>
      </c>
      <c r="J1293" s="1059" t="e">
        <f>+I1293*$L$6</f>
        <v>#N/A</v>
      </c>
      <c r="K1293" s="1085"/>
      <c r="L1293" s="1085"/>
      <c r="M1293" s="1085"/>
      <c r="N1293" s="1085"/>
      <c r="O1293" s="1085"/>
    </row>
    <row r="1294" spans="1:15" ht="15" customHeight="1">
      <c r="A1294" s="1052" t="s">
        <v>371</v>
      </c>
      <c r="B1294" s="869" t="s">
        <v>372</v>
      </c>
      <c r="C1294" s="1058" t="e">
        <f>VLOOKUP(B1289,'LƯƠNG KT'!$D$15:$U$94,9,0)*$L$10</f>
        <v>#N/A</v>
      </c>
      <c r="D1294" s="1059" t="e">
        <f>+C1294*0.5*3000</f>
        <v>#N/A</v>
      </c>
      <c r="E1294" s="1061"/>
      <c r="F1294" s="1061"/>
      <c r="G1294" s="1052" t="s">
        <v>371</v>
      </c>
      <c r="H1294" s="869" t="s">
        <v>372</v>
      </c>
      <c r="I1294" s="1058" t="e">
        <f>VLOOKUP(H1289,'LƯƠNG KT'!$D$15:$U$94,9,0)*$L$10</f>
        <v>#N/A</v>
      </c>
      <c r="J1294" s="1059" t="e">
        <f>+I1294*0.5*3000</f>
        <v>#N/A</v>
      </c>
      <c r="K1294" s="1085"/>
      <c r="L1294" s="1085"/>
      <c r="M1294" s="1085"/>
      <c r="N1294" s="1085"/>
      <c r="O1294" s="1085"/>
    </row>
    <row r="1295" spans="1:15" ht="15" customHeight="1">
      <c r="A1295" s="1052" t="s">
        <v>374</v>
      </c>
      <c r="B1295" s="869" t="s">
        <v>375</v>
      </c>
      <c r="C1295" s="1058" t="e">
        <f>VLOOKUP(B1289,'LƯƠNG KT'!$D$15:$U$94,8,0)*$L$11</f>
        <v>#N/A</v>
      </c>
      <c r="D1295" s="1059" t="e">
        <f>VLOOKUP(B1289,'LƯƠNG KT'!$D$15:$U$94,13,0)-D1294</f>
        <v>#N/A</v>
      </c>
      <c r="E1295" s="1063"/>
      <c r="F1295" s="1061"/>
      <c r="G1295" s="1052" t="s">
        <v>374</v>
      </c>
      <c r="H1295" s="869" t="s">
        <v>375</v>
      </c>
      <c r="I1295" s="1058" t="e">
        <f>VLOOKUP(H1289,'LƯƠNG KT'!$D$15:$U$94,8,0)*$L$11</f>
        <v>#N/A</v>
      </c>
      <c r="J1295" s="1059" t="e">
        <f>VLOOKUP(H1289,'LƯƠNG KT'!$D$15:$U$94,13,0)-J1294</f>
        <v>#N/A</v>
      </c>
      <c r="K1295" s="1085"/>
      <c r="L1295" s="1085"/>
      <c r="M1295" s="1085"/>
      <c r="N1295" s="1085"/>
      <c r="O1295" s="1085"/>
    </row>
    <row r="1296" spans="1:15" ht="15" customHeight="1">
      <c r="A1296" s="1059" t="s">
        <v>377</v>
      </c>
      <c r="B1296" s="869" t="s">
        <v>378</v>
      </c>
      <c r="C1296" s="1058"/>
      <c r="D1296" s="1059"/>
      <c r="E1296" s="1065"/>
      <c r="F1296" s="1065"/>
      <c r="G1296" s="1059" t="s">
        <v>377</v>
      </c>
      <c r="H1296" s="869" t="s">
        <v>378</v>
      </c>
      <c r="I1296" s="1058"/>
      <c r="J1296" s="1059"/>
    </row>
    <row r="1297" spans="1:15" ht="15" customHeight="1">
      <c r="A1297" s="1066" t="s">
        <v>379</v>
      </c>
      <c r="B1297" s="869" t="s">
        <v>380</v>
      </c>
      <c r="C1297" s="1058"/>
      <c r="D1297" s="1059"/>
      <c r="E1297" s="1063"/>
      <c r="F1297" s="1065"/>
      <c r="G1297" s="1066" t="s">
        <v>379</v>
      </c>
      <c r="H1297" s="869" t="s">
        <v>380</v>
      </c>
      <c r="I1297" s="1058"/>
      <c r="J1297" s="1059"/>
    </row>
    <row r="1298" spans="1:15" ht="15" customHeight="1">
      <c r="A1298" s="1052" t="s">
        <v>381</v>
      </c>
      <c r="B1298" s="869" t="s">
        <v>382</v>
      </c>
      <c r="C1298" s="1058"/>
      <c r="D1298" s="1059">
        <f>D1297</f>
        <v>0</v>
      </c>
      <c r="E1298" s="1067"/>
      <c r="F1298" s="1051"/>
      <c r="G1298" s="1052" t="s">
        <v>381</v>
      </c>
      <c r="H1298" s="869" t="s">
        <v>382</v>
      </c>
      <c r="I1298" s="1058"/>
      <c r="J1298" s="1059">
        <f>J1297</f>
        <v>0</v>
      </c>
    </row>
    <row r="1299" spans="1:15" ht="15" customHeight="1">
      <c r="A1299" s="1068" t="s">
        <v>383</v>
      </c>
      <c r="B1299" s="1069" t="s">
        <v>384</v>
      </c>
      <c r="C1299" s="1070"/>
      <c r="D1299" s="1071" t="e">
        <f>SUM(D1290:D1295)-D1298</f>
        <v>#N/A</v>
      </c>
      <c r="E1299" s="1072"/>
      <c r="F1299" s="1073"/>
      <c r="G1299" s="1068" t="s">
        <v>383</v>
      </c>
      <c r="H1299" s="1069" t="s">
        <v>384</v>
      </c>
      <c r="I1299" s="1070"/>
      <c r="J1299" s="1071" t="e">
        <f>SUM(J1290:J1295)-J1298</f>
        <v>#N/A</v>
      </c>
    </row>
    <row r="1300" spans="1:15" ht="18.75" customHeight="1">
      <c r="A1300" s="1074"/>
      <c r="B1300" s="1075"/>
      <c r="C1300" s="1076"/>
      <c r="D1300" s="1077"/>
      <c r="E1300" s="1077"/>
      <c r="F1300" s="1078"/>
      <c r="G1300" s="1074"/>
      <c r="H1300" s="1075"/>
      <c r="I1300" s="1076"/>
      <c r="J1300" s="1077"/>
    </row>
    <row r="1301" spans="1:15" ht="18.75" customHeight="1">
      <c r="A1301" s="1075"/>
      <c r="B1301" s="1075"/>
      <c r="C1301" s="1079"/>
      <c r="D1301" s="1080"/>
      <c r="E1301" s="1075"/>
      <c r="F1301" s="1081"/>
      <c r="G1301" s="1075"/>
      <c r="H1301" s="1075"/>
      <c r="I1301" s="1079"/>
      <c r="J1301" s="1080"/>
    </row>
    <row r="1302" spans="1:15" ht="15" customHeight="1">
      <c r="A1302" s="2242" t="str">
        <f>$K$2</f>
        <v>THÁNG 09/2024</v>
      </c>
      <c r="B1302" s="2242"/>
      <c r="C1302" s="2242"/>
      <c r="D1302" s="2242"/>
      <c r="E1302" s="1050"/>
      <c r="F1302" s="1051"/>
      <c r="G1302" s="2242" t="str">
        <f>$K$2</f>
        <v>THÁNG 09/2024</v>
      </c>
      <c r="H1302" s="2242"/>
      <c r="I1302" s="2242"/>
      <c r="J1302" s="2242"/>
      <c r="K1302" s="624"/>
    </row>
    <row r="1303" spans="1:15" ht="15" customHeight="1">
      <c r="A1303" s="1052" t="s">
        <v>356</v>
      </c>
      <c r="B1303" s="1053" t="s">
        <v>85</v>
      </c>
      <c r="C1303" s="869"/>
      <c r="D1303" s="1049"/>
      <c r="E1303" s="1054"/>
      <c r="F1303" s="1055"/>
      <c r="G1303" s="1052" t="s">
        <v>356</v>
      </c>
      <c r="H1303" s="1053" t="s">
        <v>86</v>
      </c>
      <c r="I1303" s="869"/>
      <c r="J1303" s="1049"/>
      <c r="L1303" s="1088"/>
      <c r="M1303" s="1088"/>
      <c r="N1303" s="1088"/>
      <c r="O1303" s="1088"/>
    </row>
    <row r="1304" spans="1:15" ht="15" customHeight="1">
      <c r="A1304" s="1052" t="s">
        <v>359</v>
      </c>
      <c r="B1304" s="1089" t="s">
        <v>360</v>
      </c>
      <c r="C1304" s="1058" t="e">
        <f>VLOOKUP(B1303,'LƯƠNG KT'!$D$15:$U$94,3,0)</f>
        <v>#N/A</v>
      </c>
      <c r="D1304" s="1059" t="e">
        <f>+C1304*25000</f>
        <v>#N/A</v>
      </c>
      <c r="E1304" s="1060"/>
      <c r="F1304" s="1060"/>
      <c r="G1304" s="1052" t="s">
        <v>359</v>
      </c>
      <c r="H1304" s="1089" t="s">
        <v>360</v>
      </c>
      <c r="I1304" s="1058" t="e">
        <f>VLOOKUP(H1303,'LƯƠNG KT'!$D$15:$U$94,3,0)</f>
        <v>#N/A</v>
      </c>
      <c r="J1304" s="1059" t="e">
        <f>+I1304*25000</f>
        <v>#N/A</v>
      </c>
      <c r="K1304" s="1085"/>
      <c r="L1304" s="1085"/>
      <c r="M1304" s="1085"/>
      <c r="N1304" s="1085"/>
      <c r="O1304" s="1085"/>
    </row>
    <row r="1305" spans="1:15" ht="15" customHeight="1">
      <c r="A1305" s="1052" t="s">
        <v>361</v>
      </c>
      <c r="B1305" s="869" t="s">
        <v>362</v>
      </c>
      <c r="C1305" s="1058" t="e">
        <f>VLOOKUP(B1303,'LƯƠNG KT'!$D$15:$U$94,14,0)</f>
        <v>#N/A</v>
      </c>
      <c r="D1305" s="1059" t="e">
        <f>C1305*$L$4</f>
        <v>#N/A</v>
      </c>
      <c r="E1305" s="1061"/>
      <c r="F1305" s="1061"/>
      <c r="G1305" s="1052" t="s">
        <v>361</v>
      </c>
      <c r="H1305" s="869" t="s">
        <v>362</v>
      </c>
      <c r="I1305" s="1058" t="e">
        <f>VLOOKUP(H1303,'LƯƠNG KT'!$D$15:$U$94,14,0)</f>
        <v>#N/A</v>
      </c>
      <c r="J1305" s="1059" t="e">
        <f>I1305*$L$4</f>
        <v>#N/A</v>
      </c>
      <c r="K1305" s="1085"/>
      <c r="L1305" s="1085"/>
      <c r="M1305" s="1085"/>
      <c r="N1305" s="1085"/>
      <c r="O1305" s="1085"/>
    </row>
    <row r="1306" spans="1:15" ht="15" customHeight="1">
      <c r="A1306" s="1052" t="s">
        <v>364</v>
      </c>
      <c r="B1306" s="869" t="s">
        <v>365</v>
      </c>
      <c r="C1306" s="1058" t="e">
        <f>VLOOKUP(B1303,'LƯƠNG KT'!$D$15:$U$94,15,0)</f>
        <v>#N/A</v>
      </c>
      <c r="D1306" s="1059" t="e">
        <f>C1306*$L$5</f>
        <v>#N/A</v>
      </c>
      <c r="E1306" s="1061"/>
      <c r="F1306" s="1061"/>
      <c r="G1306" s="1052" t="s">
        <v>364</v>
      </c>
      <c r="H1306" s="869" t="s">
        <v>365</v>
      </c>
      <c r="I1306" s="1058" t="e">
        <f>VLOOKUP(H1303,'LƯƠNG KT'!$D$15:$U$94,15,0)</f>
        <v>#N/A</v>
      </c>
      <c r="J1306" s="1059" t="e">
        <f>I1306*$L$5</f>
        <v>#N/A</v>
      </c>
      <c r="K1306" s="1085"/>
      <c r="L1306" s="1085"/>
      <c r="M1306" s="1085"/>
      <c r="N1306" s="1085"/>
      <c r="O1306" s="1085"/>
    </row>
    <row r="1307" spans="1:15" ht="15" customHeight="1">
      <c r="A1307" s="1052" t="s">
        <v>367</v>
      </c>
      <c r="B1307" s="869"/>
      <c r="C1307" s="1058" t="e">
        <f>VLOOKUP(B1303,'LƯƠNG KT'!$D$15:$U$94,16,0)</f>
        <v>#N/A</v>
      </c>
      <c r="D1307" s="1059" t="e">
        <f>+C1307*$L$6</f>
        <v>#N/A</v>
      </c>
      <c r="E1307" s="1061"/>
      <c r="F1307" s="1061"/>
      <c r="G1307" s="1052" t="s">
        <v>367</v>
      </c>
      <c r="H1307" s="869"/>
      <c r="I1307" s="1058" t="e">
        <f>VLOOKUP(H1303,'LƯƠNG KT'!$D$15:$U$94,16,0)</f>
        <v>#N/A</v>
      </c>
      <c r="J1307" s="1059" t="e">
        <f>+I1307*$L$6</f>
        <v>#N/A</v>
      </c>
      <c r="K1307" s="1085"/>
      <c r="L1307" s="1085"/>
      <c r="M1307" s="1085"/>
      <c r="N1307" s="1085"/>
      <c r="O1307" s="1085"/>
    </row>
    <row r="1308" spans="1:15" ht="15" customHeight="1">
      <c r="A1308" s="1052" t="s">
        <v>371</v>
      </c>
      <c r="B1308" s="869" t="s">
        <v>372</v>
      </c>
      <c r="C1308" s="1058" t="e">
        <f>VLOOKUP(B1303,'LƯƠNG KT'!$D$15:$U$94,9,0)*$L$10</f>
        <v>#N/A</v>
      </c>
      <c r="D1308" s="1059" t="e">
        <f>+C1308*0.5*3000</f>
        <v>#N/A</v>
      </c>
      <c r="E1308" s="1061"/>
      <c r="F1308" s="1061"/>
      <c r="G1308" s="1052" t="s">
        <v>371</v>
      </c>
      <c r="H1308" s="869" t="s">
        <v>372</v>
      </c>
      <c r="I1308" s="1058" t="e">
        <f>VLOOKUP(H1303,'LƯƠNG KT'!$D$15:$U$94,9,0)*$L$10</f>
        <v>#N/A</v>
      </c>
      <c r="J1308" s="1059" t="e">
        <f>+I1308*0.5*3000</f>
        <v>#N/A</v>
      </c>
      <c r="K1308" s="1085"/>
      <c r="L1308" s="1085"/>
      <c r="M1308" s="1085"/>
      <c r="N1308" s="1085"/>
      <c r="O1308" s="1085"/>
    </row>
    <row r="1309" spans="1:15" ht="15" customHeight="1">
      <c r="A1309" s="1052" t="s">
        <v>374</v>
      </c>
      <c r="B1309" s="869" t="s">
        <v>375</v>
      </c>
      <c r="C1309" s="1058" t="e">
        <f>VLOOKUP(B1303,'LƯƠNG KT'!$D$15:$U$94,8,0)*$L$11</f>
        <v>#N/A</v>
      </c>
      <c r="D1309" s="1059" t="e">
        <f>VLOOKUP(B1303,'LƯƠNG KT'!$D$15:$U$94,13,0)-D1308</f>
        <v>#N/A</v>
      </c>
      <c r="E1309" s="1063"/>
      <c r="F1309" s="1061"/>
      <c r="G1309" s="1052" t="s">
        <v>374</v>
      </c>
      <c r="H1309" s="869" t="s">
        <v>375</v>
      </c>
      <c r="I1309" s="1058" t="e">
        <f>VLOOKUP(H1303,'LƯƠNG KT'!$D$15:$U$94,8,0)*$L$11</f>
        <v>#N/A</v>
      </c>
      <c r="J1309" s="1059" t="e">
        <f>VLOOKUP(H1303,'LƯƠNG KT'!$D$15:$U$94,13,0)-J1308</f>
        <v>#N/A</v>
      </c>
      <c r="K1309" s="1085"/>
      <c r="L1309" s="1085"/>
      <c r="M1309" s="1085"/>
      <c r="N1309" s="1085"/>
      <c r="O1309" s="1085"/>
    </row>
    <row r="1310" spans="1:15" ht="15" customHeight="1">
      <c r="A1310" s="1059" t="s">
        <v>377</v>
      </c>
      <c r="B1310" s="869" t="s">
        <v>378</v>
      </c>
      <c r="C1310" s="1058"/>
      <c r="D1310" s="1059"/>
      <c r="E1310" s="1065"/>
      <c r="F1310" s="1065"/>
      <c r="G1310" s="1059" t="s">
        <v>377</v>
      </c>
      <c r="H1310" s="869" t="s">
        <v>378</v>
      </c>
      <c r="I1310" s="1058"/>
      <c r="J1310" s="1059"/>
    </row>
    <row r="1311" spans="1:15" ht="15" customHeight="1">
      <c r="A1311" s="1066" t="s">
        <v>379</v>
      </c>
      <c r="B1311" s="869" t="s">
        <v>380</v>
      </c>
      <c r="C1311" s="1058"/>
      <c r="D1311" s="1059"/>
      <c r="E1311" s="1063"/>
      <c r="F1311" s="1065"/>
      <c r="G1311" s="1066" t="s">
        <v>379</v>
      </c>
      <c r="H1311" s="869" t="s">
        <v>380</v>
      </c>
      <c r="I1311" s="1058"/>
      <c r="J1311" s="1059"/>
    </row>
    <row r="1312" spans="1:15" ht="15" customHeight="1">
      <c r="A1312" s="1052" t="s">
        <v>381</v>
      </c>
      <c r="B1312" s="869" t="s">
        <v>382</v>
      </c>
      <c r="C1312" s="1058"/>
      <c r="D1312" s="1059">
        <f>D1311</f>
        <v>0</v>
      </c>
      <c r="E1312" s="1067"/>
      <c r="F1312" s="1051"/>
      <c r="G1312" s="1052" t="s">
        <v>381</v>
      </c>
      <c r="H1312" s="869" t="s">
        <v>382</v>
      </c>
      <c r="I1312" s="1058"/>
      <c r="J1312" s="1059">
        <f>J1311</f>
        <v>0</v>
      </c>
    </row>
    <row r="1313" spans="1:15" ht="15" customHeight="1">
      <c r="A1313" s="1068" t="s">
        <v>383</v>
      </c>
      <c r="B1313" s="1069" t="s">
        <v>384</v>
      </c>
      <c r="C1313" s="1070"/>
      <c r="D1313" s="1071" t="e">
        <f>SUM(D1304:D1309)-D1312</f>
        <v>#N/A</v>
      </c>
      <c r="E1313" s="1072"/>
      <c r="F1313" s="1073"/>
      <c r="G1313" s="1068" t="s">
        <v>383</v>
      </c>
      <c r="H1313" s="1069" t="s">
        <v>384</v>
      </c>
      <c r="I1313" s="1070"/>
      <c r="J1313" s="1071" t="e">
        <f>SUM(J1304:J1309)-J1312</f>
        <v>#N/A</v>
      </c>
    </row>
    <row r="1314" spans="1:15" ht="18.75" customHeight="1">
      <c r="A1314" s="1074"/>
      <c r="B1314" s="1075"/>
      <c r="C1314" s="1076"/>
      <c r="D1314" s="1077"/>
      <c r="E1314" s="1077"/>
      <c r="F1314" s="1078"/>
      <c r="G1314" s="1074"/>
      <c r="H1314" s="1075"/>
      <c r="I1314" s="1076"/>
      <c r="J1314" s="1077"/>
    </row>
    <row r="1315" spans="1:15" ht="18.75" customHeight="1">
      <c r="A1315" s="1075"/>
      <c r="B1315" s="1075"/>
      <c r="C1315" s="1079"/>
      <c r="D1315" s="1080"/>
      <c r="E1315" s="1075"/>
      <c r="F1315" s="1081"/>
      <c r="G1315" s="1075"/>
      <c r="H1315" s="1075"/>
      <c r="I1315" s="1079"/>
      <c r="J1315" s="1080"/>
    </row>
    <row r="1316" spans="1:15" ht="15" customHeight="1">
      <c r="A1316" s="2242" t="str">
        <f>$K$2</f>
        <v>THÁNG 09/2024</v>
      </c>
      <c r="B1316" s="2242"/>
      <c r="C1316" s="2242"/>
      <c r="D1316" s="2242"/>
      <c r="E1316" s="1050"/>
      <c r="F1316" s="1051"/>
      <c r="G1316" s="2242" t="str">
        <f>$K$2</f>
        <v>THÁNG 09/2024</v>
      </c>
      <c r="H1316" s="2242"/>
      <c r="I1316" s="2242"/>
      <c r="J1316" s="2242"/>
      <c r="K1316" s="624"/>
    </row>
    <row r="1317" spans="1:15" ht="15" customHeight="1">
      <c r="A1317" s="1052" t="s">
        <v>356</v>
      </c>
      <c r="B1317" s="1053" t="s">
        <v>87</v>
      </c>
      <c r="C1317" s="869"/>
      <c r="D1317" s="1049"/>
      <c r="E1317" s="1054"/>
      <c r="F1317" s="1055"/>
      <c r="G1317" s="1052" t="s">
        <v>356</v>
      </c>
      <c r="H1317" s="1053" t="s">
        <v>88</v>
      </c>
      <c r="I1317" s="869"/>
      <c r="J1317" s="1049"/>
      <c r="L1317" s="1088"/>
      <c r="M1317" s="1088"/>
      <c r="N1317" s="1088"/>
      <c r="O1317" s="1088"/>
    </row>
    <row r="1318" spans="1:15" ht="15" customHeight="1">
      <c r="A1318" s="1052" t="s">
        <v>359</v>
      </c>
      <c r="B1318" s="1089" t="s">
        <v>360</v>
      </c>
      <c r="C1318" s="1058" t="e">
        <f>VLOOKUP(B1317,'LƯƠNG KT'!$D$15:$U$94,3,0)</f>
        <v>#N/A</v>
      </c>
      <c r="D1318" s="1059" t="e">
        <f>+C1318*25000</f>
        <v>#N/A</v>
      </c>
      <c r="E1318" s="1060"/>
      <c r="F1318" s="1060"/>
      <c r="G1318" s="1052" t="s">
        <v>359</v>
      </c>
      <c r="H1318" s="1089" t="s">
        <v>360</v>
      </c>
      <c r="I1318" s="1058" t="e">
        <f>VLOOKUP(H1317,'LƯƠNG KT'!$D$15:$U$94,3,0)</f>
        <v>#N/A</v>
      </c>
      <c r="J1318" s="1059" t="e">
        <f>+I1318*25000</f>
        <v>#N/A</v>
      </c>
      <c r="K1318" s="1085"/>
      <c r="L1318" s="1085"/>
      <c r="M1318" s="1085"/>
      <c r="N1318" s="1085"/>
      <c r="O1318" s="1085"/>
    </row>
    <row r="1319" spans="1:15" ht="15" customHeight="1">
      <c r="A1319" s="1052" t="s">
        <v>361</v>
      </c>
      <c r="B1319" s="869" t="s">
        <v>362</v>
      </c>
      <c r="C1319" s="1058" t="e">
        <f>VLOOKUP(B1317,'LƯƠNG KT'!$D$15:$U$94,14,0)</f>
        <v>#N/A</v>
      </c>
      <c r="D1319" s="1059" t="e">
        <f>C1319*$L$4</f>
        <v>#N/A</v>
      </c>
      <c r="E1319" s="1061"/>
      <c r="F1319" s="1061"/>
      <c r="G1319" s="1052" t="s">
        <v>361</v>
      </c>
      <c r="H1319" s="869" t="s">
        <v>362</v>
      </c>
      <c r="I1319" s="1058" t="e">
        <f>VLOOKUP(H1317,'LƯƠNG KT'!$D$15:$U$94,14,0)</f>
        <v>#N/A</v>
      </c>
      <c r="J1319" s="1059" t="e">
        <f>I1319*$L$4</f>
        <v>#N/A</v>
      </c>
      <c r="K1319" s="1085"/>
      <c r="L1319" s="1085"/>
      <c r="M1319" s="1085"/>
      <c r="N1319" s="1085"/>
      <c r="O1319" s="1085"/>
    </row>
    <row r="1320" spans="1:15" ht="15" customHeight="1">
      <c r="A1320" s="1052" t="s">
        <v>364</v>
      </c>
      <c r="B1320" s="869" t="s">
        <v>365</v>
      </c>
      <c r="C1320" s="1058" t="e">
        <f>VLOOKUP(B1317,'LƯƠNG KT'!$D$15:$U$94,15,0)</f>
        <v>#N/A</v>
      </c>
      <c r="D1320" s="1059" t="e">
        <f>C1320*$L$5</f>
        <v>#N/A</v>
      </c>
      <c r="E1320" s="1061"/>
      <c r="F1320" s="1061"/>
      <c r="G1320" s="1052" t="s">
        <v>364</v>
      </c>
      <c r="H1320" s="869" t="s">
        <v>365</v>
      </c>
      <c r="I1320" s="1058" t="e">
        <f>VLOOKUP(H1317,'LƯƠNG KT'!$D$15:$U$94,15,0)</f>
        <v>#N/A</v>
      </c>
      <c r="J1320" s="1059" t="e">
        <f>I1320*$L$5</f>
        <v>#N/A</v>
      </c>
      <c r="K1320" s="1085"/>
      <c r="L1320" s="1085"/>
      <c r="M1320" s="1085"/>
      <c r="N1320" s="1085"/>
      <c r="O1320" s="1085"/>
    </row>
    <row r="1321" spans="1:15" ht="15" customHeight="1">
      <c r="A1321" s="1052" t="s">
        <v>367</v>
      </c>
      <c r="B1321" s="869"/>
      <c r="C1321" s="1058" t="e">
        <f>VLOOKUP(B1317,'LƯƠNG KT'!$D$15:$U$94,16,0)</f>
        <v>#N/A</v>
      </c>
      <c r="D1321" s="1059" t="e">
        <f>+C1321*$L$6</f>
        <v>#N/A</v>
      </c>
      <c r="E1321" s="1061"/>
      <c r="F1321" s="1061"/>
      <c r="G1321" s="1052" t="s">
        <v>367</v>
      </c>
      <c r="H1321" s="869"/>
      <c r="I1321" s="1058" t="e">
        <f>VLOOKUP(H1317,'LƯƠNG KT'!$D$15:$U$94,16,0)</f>
        <v>#N/A</v>
      </c>
      <c r="J1321" s="1059" t="e">
        <f>+I1321*$L$6</f>
        <v>#N/A</v>
      </c>
      <c r="K1321" s="1085"/>
      <c r="L1321" s="1085"/>
      <c r="M1321" s="1085"/>
      <c r="N1321" s="1085"/>
      <c r="O1321" s="1085"/>
    </row>
    <row r="1322" spans="1:15" ht="15" customHeight="1">
      <c r="A1322" s="1052" t="s">
        <v>371</v>
      </c>
      <c r="B1322" s="869" t="s">
        <v>372</v>
      </c>
      <c r="C1322" s="1058" t="e">
        <f>VLOOKUP(B1317,'LƯƠNG KT'!$D$15:$U$94,9,0)*$L$10</f>
        <v>#N/A</v>
      </c>
      <c r="D1322" s="1059" t="e">
        <f>+C1322*0.5*3000</f>
        <v>#N/A</v>
      </c>
      <c r="E1322" s="1061"/>
      <c r="F1322" s="1061"/>
      <c r="G1322" s="1052" t="s">
        <v>371</v>
      </c>
      <c r="H1322" s="869" t="s">
        <v>372</v>
      </c>
      <c r="I1322" s="1058" t="e">
        <f>VLOOKUP(H1317,'LƯƠNG KT'!$D$15:$U$94,9,0)*$L$10</f>
        <v>#N/A</v>
      </c>
      <c r="J1322" s="1059" t="e">
        <f>+I1322*0.5*3000</f>
        <v>#N/A</v>
      </c>
      <c r="K1322" s="1085"/>
      <c r="L1322" s="1085"/>
      <c r="M1322" s="1085"/>
      <c r="N1322" s="1085"/>
      <c r="O1322" s="1085"/>
    </row>
    <row r="1323" spans="1:15" ht="15" customHeight="1">
      <c r="A1323" s="1052" t="s">
        <v>374</v>
      </c>
      <c r="B1323" s="869" t="s">
        <v>375</v>
      </c>
      <c r="C1323" s="1058" t="e">
        <f>VLOOKUP(B1317,'LƯƠNG KT'!$D$15:$U$94,8,0)*$L$11</f>
        <v>#N/A</v>
      </c>
      <c r="D1323" s="1059" t="e">
        <f>VLOOKUP(B1317,'LƯƠNG KT'!$D$15:$U$94,13,0)-D1322</f>
        <v>#N/A</v>
      </c>
      <c r="E1323" s="1063"/>
      <c r="F1323" s="1061"/>
      <c r="G1323" s="1052" t="s">
        <v>374</v>
      </c>
      <c r="H1323" s="869" t="s">
        <v>375</v>
      </c>
      <c r="I1323" s="1058" t="e">
        <f>VLOOKUP(H1317,'LƯƠNG KT'!$D$15:$U$94,8,0)*$L$11</f>
        <v>#N/A</v>
      </c>
      <c r="J1323" s="1059" t="e">
        <f>VLOOKUP(H1317,'LƯƠNG KT'!$D$15:$U$94,13,0)-J1322</f>
        <v>#N/A</v>
      </c>
      <c r="K1323" s="1085"/>
      <c r="L1323" s="1085"/>
      <c r="M1323" s="1085"/>
      <c r="N1323" s="1085"/>
      <c r="O1323" s="1085"/>
    </row>
    <row r="1324" spans="1:15" ht="15" customHeight="1">
      <c r="A1324" s="1059" t="s">
        <v>377</v>
      </c>
      <c r="B1324" s="869" t="s">
        <v>378</v>
      </c>
      <c r="C1324" s="1058"/>
      <c r="D1324" s="1059"/>
      <c r="E1324" s="1065"/>
      <c r="F1324" s="1065"/>
      <c r="G1324" s="1059" t="s">
        <v>377</v>
      </c>
      <c r="H1324" s="869" t="s">
        <v>378</v>
      </c>
      <c r="I1324" s="1058"/>
      <c r="J1324" s="1059"/>
    </row>
    <row r="1325" spans="1:15" ht="15" customHeight="1">
      <c r="A1325" s="1066" t="s">
        <v>379</v>
      </c>
      <c r="B1325" s="869" t="s">
        <v>380</v>
      </c>
      <c r="C1325" s="1058"/>
      <c r="D1325" s="1059"/>
      <c r="E1325" s="1063"/>
      <c r="F1325" s="1065"/>
      <c r="G1325" s="1066" t="s">
        <v>379</v>
      </c>
      <c r="H1325" s="869" t="s">
        <v>380</v>
      </c>
      <c r="I1325" s="1058"/>
      <c r="J1325" s="1059"/>
    </row>
    <row r="1326" spans="1:15" ht="15" customHeight="1">
      <c r="A1326" s="1052" t="s">
        <v>381</v>
      </c>
      <c r="B1326" s="869" t="s">
        <v>382</v>
      </c>
      <c r="C1326" s="1058"/>
      <c r="D1326" s="1059">
        <f>D1325</f>
        <v>0</v>
      </c>
      <c r="E1326" s="1067"/>
      <c r="F1326" s="1051"/>
      <c r="G1326" s="1052" t="s">
        <v>381</v>
      </c>
      <c r="H1326" s="869" t="s">
        <v>382</v>
      </c>
      <c r="I1326" s="1058"/>
      <c r="J1326" s="1059">
        <f>J1325</f>
        <v>0</v>
      </c>
    </row>
    <row r="1327" spans="1:15" ht="15" customHeight="1">
      <c r="A1327" s="1068" t="s">
        <v>383</v>
      </c>
      <c r="B1327" s="1069" t="s">
        <v>384</v>
      </c>
      <c r="C1327" s="1070"/>
      <c r="D1327" s="1071" t="e">
        <f>SUM(D1318:D1323)-D1326</f>
        <v>#N/A</v>
      </c>
      <c r="E1327" s="1072"/>
      <c r="F1327" s="1073"/>
      <c r="G1327" s="1068" t="s">
        <v>383</v>
      </c>
      <c r="H1327" s="1069" t="s">
        <v>384</v>
      </c>
      <c r="I1327" s="1070"/>
      <c r="J1327" s="1071" t="e">
        <f>SUM(J1318:J1323)-J1326</f>
        <v>#N/A</v>
      </c>
    </row>
    <row r="1328" spans="1:15" ht="15.75" customHeight="1">
      <c r="A1328" s="1074"/>
      <c r="B1328" s="1075"/>
      <c r="C1328" s="1076"/>
      <c r="D1328" s="1077"/>
      <c r="E1328" s="1077"/>
      <c r="F1328" s="1078"/>
      <c r="G1328" s="1074"/>
      <c r="H1328" s="1075"/>
      <c r="I1328" s="1076"/>
      <c r="J1328" s="1077"/>
    </row>
    <row r="1330" spans="1:15" ht="12" customHeight="1">
      <c r="A1330" s="2243"/>
      <c r="B1330" s="2243"/>
      <c r="C1330" s="2243"/>
      <c r="D1330" s="2243"/>
      <c r="E1330" s="2243"/>
      <c r="F1330" s="2243"/>
      <c r="G1330" s="2243"/>
      <c r="H1330" s="2243"/>
      <c r="I1330" s="2243"/>
      <c r="J1330" s="2243"/>
    </row>
    <row r="1331" spans="1:15" ht="15" customHeight="1">
      <c r="A1331" s="2242" t="str">
        <f>$K$2</f>
        <v>THÁNG 09/2024</v>
      </c>
      <c r="B1331" s="2242"/>
      <c r="C1331" s="2242"/>
      <c r="D1331" s="2242"/>
      <c r="E1331" s="1050"/>
      <c r="F1331" s="1051"/>
      <c r="G1331" s="2242" t="str">
        <f>$K$2</f>
        <v>THÁNG 09/2024</v>
      </c>
      <c r="H1331" s="2242"/>
      <c r="I1331" s="2242"/>
      <c r="J1331" s="2242"/>
      <c r="K1331" s="624"/>
    </row>
    <row r="1332" spans="1:15" ht="15" customHeight="1">
      <c r="A1332" s="1052" t="s">
        <v>356</v>
      </c>
      <c r="B1332" s="1053" t="s">
        <v>89</v>
      </c>
      <c r="C1332" s="869"/>
      <c r="D1332" s="1049"/>
      <c r="E1332" s="1054"/>
      <c r="F1332" s="1055"/>
      <c r="G1332" s="1052" t="s">
        <v>356</v>
      </c>
      <c r="H1332" s="1053" t="s">
        <v>90</v>
      </c>
      <c r="I1332" s="869"/>
      <c r="J1332" s="1049"/>
      <c r="L1332" s="1088"/>
      <c r="M1332" s="1088"/>
      <c r="N1332" s="1088"/>
      <c r="O1332" s="1088"/>
    </row>
    <row r="1333" spans="1:15" ht="15" customHeight="1">
      <c r="A1333" s="1052" t="s">
        <v>359</v>
      </c>
      <c r="B1333" s="1089" t="s">
        <v>360</v>
      </c>
      <c r="C1333" s="1058" t="e">
        <f>VLOOKUP(B1332,'LƯƠNG KT'!$D$15:$U$94,3,0)</f>
        <v>#N/A</v>
      </c>
      <c r="D1333" s="1059" t="e">
        <f>+C1333*25000</f>
        <v>#N/A</v>
      </c>
      <c r="E1333" s="1060"/>
      <c r="F1333" s="1060"/>
      <c r="G1333" s="1052" t="s">
        <v>359</v>
      </c>
      <c r="H1333" s="1089" t="s">
        <v>360</v>
      </c>
      <c r="I1333" s="1058" t="e">
        <f>VLOOKUP(H1332,'LƯƠNG KT'!$D$15:$U$94,3,0)</f>
        <v>#N/A</v>
      </c>
      <c r="J1333" s="1059" t="e">
        <f>+I1333*25000</f>
        <v>#N/A</v>
      </c>
      <c r="K1333" s="1084"/>
      <c r="L1333" s="1085"/>
      <c r="M1333" s="1085"/>
      <c r="N1333" s="1085"/>
      <c r="O1333" s="1085"/>
    </row>
    <row r="1334" spans="1:15" ht="15" customHeight="1">
      <c r="A1334" s="1052" t="s">
        <v>361</v>
      </c>
      <c r="B1334" s="869" t="s">
        <v>362</v>
      </c>
      <c r="C1334" s="1058" t="e">
        <f>VLOOKUP(B1332,'LƯƠNG KT'!$D$15:$U$94,14,0)</f>
        <v>#N/A</v>
      </c>
      <c r="D1334" s="1059" t="e">
        <f>C1334*$L$4</f>
        <v>#N/A</v>
      </c>
      <c r="E1334" s="1061"/>
      <c r="F1334" s="1061"/>
      <c r="G1334" s="1052" t="s">
        <v>361</v>
      </c>
      <c r="H1334" s="869" t="s">
        <v>362</v>
      </c>
      <c r="I1334" s="1058" t="e">
        <f>VLOOKUP(H1332,'LƯƠNG KT'!$D$15:$U$94,14,0)</f>
        <v>#N/A</v>
      </c>
      <c r="J1334" s="1059" t="e">
        <f>I1334*$L$4</f>
        <v>#N/A</v>
      </c>
      <c r="K1334" s="1084"/>
      <c r="L1334" s="1085"/>
      <c r="M1334" s="1085"/>
      <c r="N1334" s="1085"/>
      <c r="O1334" s="1085"/>
    </row>
    <row r="1335" spans="1:15" ht="15" customHeight="1">
      <c r="A1335" s="1052" t="s">
        <v>364</v>
      </c>
      <c r="B1335" s="869" t="s">
        <v>365</v>
      </c>
      <c r="C1335" s="1058" t="e">
        <f>VLOOKUP(B1332,'LƯƠNG KT'!$D$15:$U$94,15,0)</f>
        <v>#N/A</v>
      </c>
      <c r="D1335" s="1059" t="e">
        <f>C1335*$L$5</f>
        <v>#N/A</v>
      </c>
      <c r="E1335" s="1061"/>
      <c r="F1335" s="1061"/>
      <c r="G1335" s="1052" t="s">
        <v>364</v>
      </c>
      <c r="H1335" s="869" t="s">
        <v>365</v>
      </c>
      <c r="I1335" s="1058" t="e">
        <f>VLOOKUP(H1332,'LƯƠNG KT'!$D$15:$U$94,15,0)</f>
        <v>#N/A</v>
      </c>
      <c r="J1335" s="1059" t="e">
        <f>I1335*$L$5</f>
        <v>#N/A</v>
      </c>
      <c r="K1335" s="1084"/>
      <c r="L1335" s="1085"/>
      <c r="M1335" s="1085"/>
      <c r="N1335" s="1085"/>
      <c r="O1335" s="1085"/>
    </row>
    <row r="1336" spans="1:15" ht="15" customHeight="1">
      <c r="A1336" s="1052" t="s">
        <v>367</v>
      </c>
      <c r="B1336" s="869"/>
      <c r="C1336" s="1058" t="e">
        <f>VLOOKUP(B1332,'LƯƠNG KT'!$D$15:$U$94,16,0)</f>
        <v>#N/A</v>
      </c>
      <c r="D1336" s="1059" t="e">
        <f>+C1336*$L$6</f>
        <v>#N/A</v>
      </c>
      <c r="E1336" s="1061"/>
      <c r="F1336" s="1061"/>
      <c r="G1336" s="1052" t="s">
        <v>367</v>
      </c>
      <c r="H1336" s="869"/>
      <c r="I1336" s="1058" t="e">
        <f>VLOOKUP(H1332,'LƯƠNG KT'!$D$15:$U$94,16,0)</f>
        <v>#N/A</v>
      </c>
      <c r="J1336" s="1059" t="e">
        <f>+I1336*$L$6</f>
        <v>#N/A</v>
      </c>
      <c r="K1336" s="1085"/>
      <c r="L1336" s="1085"/>
      <c r="M1336" s="1085"/>
      <c r="N1336" s="1085"/>
      <c r="O1336" s="1085"/>
    </row>
    <row r="1337" spans="1:15" ht="15" customHeight="1">
      <c r="A1337" s="1052" t="s">
        <v>371</v>
      </c>
      <c r="B1337" s="869" t="s">
        <v>372</v>
      </c>
      <c r="C1337" s="1058" t="e">
        <f>VLOOKUP(B1332,'LƯƠNG KT'!$D$15:$U$94,9,0)*$L$10</f>
        <v>#N/A</v>
      </c>
      <c r="D1337" s="1059" t="e">
        <f>+C1337*0.5*3000</f>
        <v>#N/A</v>
      </c>
      <c r="E1337" s="1061"/>
      <c r="F1337" s="1061"/>
      <c r="G1337" s="1052" t="s">
        <v>371</v>
      </c>
      <c r="H1337" s="869" t="s">
        <v>372</v>
      </c>
      <c r="I1337" s="1058" t="e">
        <f>VLOOKUP(H1332,'LƯƠNG KT'!$D$15:$U$94,9,0)*$L$10</f>
        <v>#N/A</v>
      </c>
      <c r="J1337" s="1059" t="e">
        <f>+I1337*0.5*3000</f>
        <v>#N/A</v>
      </c>
      <c r="K1337" s="1085"/>
      <c r="L1337" s="1085"/>
      <c r="M1337" s="1085"/>
      <c r="N1337" s="1085"/>
      <c r="O1337" s="1085"/>
    </row>
    <row r="1338" spans="1:15" ht="15" customHeight="1">
      <c r="A1338" s="1052" t="s">
        <v>374</v>
      </c>
      <c r="B1338" s="869" t="s">
        <v>375</v>
      </c>
      <c r="C1338" s="1058" t="e">
        <f>VLOOKUP(B1332,'LƯƠNG KT'!$D$15:$U$94,8,0)*$L$11</f>
        <v>#N/A</v>
      </c>
      <c r="D1338" s="1059" t="e">
        <f>VLOOKUP(B1332,'LƯƠNG KT'!$D$15:$U$94,13,0)-D1337</f>
        <v>#N/A</v>
      </c>
      <c r="E1338" s="1063"/>
      <c r="F1338" s="1061"/>
      <c r="G1338" s="1052" t="s">
        <v>374</v>
      </c>
      <c r="H1338" s="869" t="s">
        <v>375</v>
      </c>
      <c r="I1338" s="1058" t="e">
        <f>VLOOKUP(H1332,'LƯƠNG KT'!$D$15:$U$94,8,0)*$L$11</f>
        <v>#N/A</v>
      </c>
      <c r="J1338" s="1059" t="e">
        <f>VLOOKUP(H1332,'LƯƠNG KT'!$D$15:$U$94,13,0)-J1337</f>
        <v>#N/A</v>
      </c>
      <c r="K1338" s="1085"/>
      <c r="L1338" s="1085"/>
      <c r="M1338" s="1085"/>
      <c r="N1338" s="1085"/>
      <c r="O1338" s="1085"/>
    </row>
    <row r="1339" spans="1:15" ht="15" customHeight="1">
      <c r="A1339" s="1059" t="s">
        <v>377</v>
      </c>
      <c r="B1339" s="869" t="s">
        <v>378</v>
      </c>
      <c r="C1339" s="1058"/>
      <c r="D1339" s="1059"/>
      <c r="E1339" s="1065"/>
      <c r="F1339" s="1065"/>
      <c r="G1339" s="1059" t="s">
        <v>377</v>
      </c>
      <c r="H1339" s="869" t="s">
        <v>378</v>
      </c>
      <c r="I1339" s="1058"/>
      <c r="J1339" s="1059"/>
    </row>
    <row r="1340" spans="1:15" ht="15" customHeight="1">
      <c r="A1340" s="1066" t="s">
        <v>379</v>
      </c>
      <c r="B1340" s="869" t="s">
        <v>380</v>
      </c>
      <c r="C1340" s="1058"/>
      <c r="D1340" s="1059"/>
      <c r="E1340" s="1063"/>
      <c r="F1340" s="1065"/>
      <c r="G1340" s="1066" t="s">
        <v>379</v>
      </c>
      <c r="H1340" s="869" t="s">
        <v>380</v>
      </c>
      <c r="I1340" s="1058"/>
      <c r="J1340" s="1059"/>
    </row>
    <row r="1341" spans="1:15" ht="15" customHeight="1">
      <c r="A1341" s="1052" t="s">
        <v>381</v>
      </c>
      <c r="B1341" s="869" t="s">
        <v>382</v>
      </c>
      <c r="C1341" s="1058"/>
      <c r="D1341" s="1059">
        <f>D1340</f>
        <v>0</v>
      </c>
      <c r="E1341" s="1067"/>
      <c r="F1341" s="1051"/>
      <c r="G1341" s="1052" t="s">
        <v>381</v>
      </c>
      <c r="H1341" s="869" t="s">
        <v>382</v>
      </c>
      <c r="I1341" s="1058"/>
      <c r="J1341" s="1059">
        <f>J1340</f>
        <v>0</v>
      </c>
    </row>
    <row r="1342" spans="1:15" ht="15" customHeight="1">
      <c r="A1342" s="1068" t="s">
        <v>383</v>
      </c>
      <c r="B1342" s="1069" t="s">
        <v>384</v>
      </c>
      <c r="C1342" s="1070"/>
      <c r="D1342" s="1071" t="e">
        <f>SUM(D1333:D1338)-D1341</f>
        <v>#N/A</v>
      </c>
      <c r="E1342" s="1072"/>
      <c r="F1342" s="1073"/>
      <c r="G1342" s="1068" t="s">
        <v>383</v>
      </c>
      <c r="H1342" s="1069" t="s">
        <v>384</v>
      </c>
      <c r="I1342" s="1070"/>
      <c r="J1342" s="1071" t="e">
        <f>SUM(J1333:J1338)-J1341</f>
        <v>#N/A</v>
      </c>
    </row>
    <row r="1343" spans="1:15" ht="12.6" customHeight="1">
      <c r="A1343" s="1074"/>
      <c r="B1343" s="1075"/>
      <c r="C1343" s="1076"/>
      <c r="D1343" s="1077"/>
      <c r="E1343" s="1077"/>
      <c r="F1343" s="1078"/>
      <c r="G1343" s="1074"/>
      <c r="H1343" s="1075"/>
      <c r="I1343" s="1076"/>
      <c r="J1343" s="1077"/>
    </row>
    <row r="1344" spans="1:15" ht="12.6" customHeight="1">
      <c r="A1344" s="1075"/>
      <c r="B1344" s="1075"/>
      <c r="C1344" s="1079"/>
      <c r="D1344" s="1080"/>
      <c r="E1344" s="1075"/>
      <c r="F1344" s="1081"/>
      <c r="G1344" s="1075"/>
      <c r="H1344" s="1075"/>
      <c r="I1344" s="1079"/>
      <c r="J1344" s="1080"/>
    </row>
    <row r="1345" spans="1:15" ht="15" customHeight="1">
      <c r="A1345" s="2242" t="str">
        <f>$K$2</f>
        <v>THÁNG 09/2024</v>
      </c>
      <c r="B1345" s="2242"/>
      <c r="C1345" s="2242"/>
      <c r="D1345" s="2242"/>
      <c r="E1345" s="1050"/>
      <c r="F1345" s="1051"/>
      <c r="G1345" s="2242" t="str">
        <f>$K$2</f>
        <v>THÁNG 09/2024</v>
      </c>
      <c r="H1345" s="2242"/>
      <c r="I1345" s="2242"/>
      <c r="J1345" s="2242"/>
      <c r="K1345" s="624"/>
    </row>
    <row r="1346" spans="1:15" ht="15" customHeight="1">
      <c r="A1346" s="1052" t="s">
        <v>356</v>
      </c>
      <c r="B1346" s="1053" t="s">
        <v>91</v>
      </c>
      <c r="C1346" s="869"/>
      <c r="D1346" s="1049"/>
      <c r="E1346" s="1054"/>
      <c r="F1346" s="1055"/>
      <c r="G1346" s="1052" t="s">
        <v>356</v>
      </c>
      <c r="H1346" s="1053" t="s">
        <v>92</v>
      </c>
      <c r="I1346" s="869"/>
      <c r="J1346" s="1049"/>
      <c r="L1346" s="1088"/>
      <c r="M1346" s="1088"/>
      <c r="N1346" s="1088"/>
      <c r="O1346" s="1088"/>
    </row>
    <row r="1347" spans="1:15" ht="15" customHeight="1">
      <c r="A1347" s="1052" t="s">
        <v>359</v>
      </c>
      <c r="B1347" s="1089" t="s">
        <v>360</v>
      </c>
      <c r="C1347" s="1058" t="e">
        <f>VLOOKUP(B1346,'LƯƠNG KT'!$D$15:$U$94,3,0)</f>
        <v>#N/A</v>
      </c>
      <c r="D1347" s="1059" t="e">
        <f>+C1347*25000</f>
        <v>#N/A</v>
      </c>
      <c r="E1347" s="1060"/>
      <c r="F1347" s="1060"/>
      <c r="G1347" s="1052" t="s">
        <v>359</v>
      </c>
      <c r="H1347" s="1089" t="s">
        <v>360</v>
      </c>
      <c r="I1347" s="1058" t="e">
        <f>VLOOKUP(H1346,'LƯƠNG KT'!$D$15:$U$94,3,0)</f>
        <v>#N/A</v>
      </c>
      <c r="J1347" s="1059" t="e">
        <f>+I1347*25000</f>
        <v>#N/A</v>
      </c>
      <c r="K1347" s="1085"/>
      <c r="L1347" s="1085"/>
      <c r="M1347" s="1085"/>
      <c r="N1347" s="1085"/>
      <c r="O1347" s="1085"/>
    </row>
    <row r="1348" spans="1:15" ht="15" customHeight="1">
      <c r="A1348" s="1052" t="s">
        <v>361</v>
      </c>
      <c r="B1348" s="869" t="s">
        <v>362</v>
      </c>
      <c r="C1348" s="1058" t="e">
        <f>VLOOKUP(B1346,'LƯƠNG KT'!$D$15:$U$94,14,0)</f>
        <v>#N/A</v>
      </c>
      <c r="D1348" s="1059" t="e">
        <f>C1348*$L$4</f>
        <v>#N/A</v>
      </c>
      <c r="E1348" s="1061"/>
      <c r="F1348" s="1061"/>
      <c r="G1348" s="1052" t="s">
        <v>361</v>
      </c>
      <c r="H1348" s="869" t="s">
        <v>362</v>
      </c>
      <c r="I1348" s="1058" t="e">
        <f>VLOOKUP(H1346,'LƯƠNG KT'!$D$15:$U$94,14,0)</f>
        <v>#N/A</v>
      </c>
      <c r="J1348" s="1059" t="e">
        <f>I1348*$L$4</f>
        <v>#N/A</v>
      </c>
      <c r="K1348" s="1085"/>
      <c r="L1348" s="1085"/>
      <c r="M1348" s="1085"/>
      <c r="N1348" s="1085"/>
      <c r="O1348" s="1085"/>
    </row>
    <row r="1349" spans="1:15" ht="15" customHeight="1">
      <c r="A1349" s="1052" t="s">
        <v>364</v>
      </c>
      <c r="B1349" s="869" t="s">
        <v>365</v>
      </c>
      <c r="C1349" s="1058" t="e">
        <f>VLOOKUP(B1346,'LƯƠNG KT'!$D$15:$U$94,15,0)</f>
        <v>#N/A</v>
      </c>
      <c r="D1349" s="1059" t="e">
        <f>C1349*$L$5</f>
        <v>#N/A</v>
      </c>
      <c r="E1349" s="1061"/>
      <c r="F1349" s="1061"/>
      <c r="G1349" s="1052" t="s">
        <v>364</v>
      </c>
      <c r="H1349" s="869" t="s">
        <v>365</v>
      </c>
      <c r="I1349" s="1058" t="e">
        <f>VLOOKUP(H1346,'LƯƠNG KT'!$D$15:$U$94,15,0)</f>
        <v>#N/A</v>
      </c>
      <c r="J1349" s="1059" t="e">
        <f>I1349*$L$5</f>
        <v>#N/A</v>
      </c>
      <c r="K1349" s="1085"/>
      <c r="L1349" s="1085"/>
      <c r="M1349" s="1085"/>
      <c r="N1349" s="1085"/>
      <c r="O1349" s="1085"/>
    </row>
    <row r="1350" spans="1:15" ht="15" customHeight="1">
      <c r="A1350" s="1052" t="s">
        <v>367</v>
      </c>
      <c r="B1350" s="869"/>
      <c r="C1350" s="1058" t="e">
        <f>VLOOKUP(B1346,'LƯƠNG KT'!$D$15:$U$94,16,0)</f>
        <v>#N/A</v>
      </c>
      <c r="D1350" s="1059" t="e">
        <f>+C1350*$L$6</f>
        <v>#N/A</v>
      </c>
      <c r="E1350" s="1061"/>
      <c r="F1350" s="1061"/>
      <c r="G1350" s="1052" t="s">
        <v>367</v>
      </c>
      <c r="H1350" s="869"/>
      <c r="I1350" s="1058" t="e">
        <f>VLOOKUP(H1346,'LƯƠNG KT'!$D$15:$U$94,16,0)</f>
        <v>#N/A</v>
      </c>
      <c r="J1350" s="1059" t="e">
        <f>+I1350*$L$6</f>
        <v>#N/A</v>
      </c>
      <c r="K1350" s="1085"/>
      <c r="L1350" s="1085"/>
      <c r="M1350" s="1085"/>
      <c r="N1350" s="1085"/>
      <c r="O1350" s="1085"/>
    </row>
    <row r="1351" spans="1:15" ht="15" customHeight="1">
      <c r="A1351" s="1052" t="s">
        <v>371</v>
      </c>
      <c r="B1351" s="869" t="s">
        <v>372</v>
      </c>
      <c r="C1351" s="1058" t="e">
        <f>VLOOKUP(B1346,'LƯƠNG KT'!$D$15:$U$94,9,0)*$L$10</f>
        <v>#N/A</v>
      </c>
      <c r="D1351" s="1059" t="e">
        <f>+C1351*0.5*3000</f>
        <v>#N/A</v>
      </c>
      <c r="E1351" s="1061"/>
      <c r="F1351" s="1061"/>
      <c r="G1351" s="1052" t="s">
        <v>371</v>
      </c>
      <c r="H1351" s="869" t="s">
        <v>372</v>
      </c>
      <c r="I1351" s="1058" t="e">
        <f>VLOOKUP(H1346,'LƯƠNG KT'!$D$15:$U$94,9,0)*$L$10</f>
        <v>#N/A</v>
      </c>
      <c r="J1351" s="1059" t="e">
        <f>+I1351*0.5*3000</f>
        <v>#N/A</v>
      </c>
      <c r="K1351" s="1085"/>
      <c r="L1351" s="1085"/>
      <c r="M1351" s="1085"/>
      <c r="N1351" s="1085"/>
      <c r="O1351" s="1085"/>
    </row>
    <row r="1352" spans="1:15" ht="15" customHeight="1">
      <c r="A1352" s="1052" t="s">
        <v>374</v>
      </c>
      <c r="B1352" s="869" t="s">
        <v>375</v>
      </c>
      <c r="C1352" s="1058" t="e">
        <f>VLOOKUP(B1346,'LƯƠNG KT'!$D$15:$U$94,8,0)*$L$11</f>
        <v>#N/A</v>
      </c>
      <c r="D1352" s="1059" t="e">
        <f>VLOOKUP(B1346,'LƯƠNG KT'!$D$15:$U$94,13,0)-D1351</f>
        <v>#N/A</v>
      </c>
      <c r="E1352" s="1063"/>
      <c r="F1352" s="1061"/>
      <c r="G1352" s="1052" t="s">
        <v>374</v>
      </c>
      <c r="H1352" s="869" t="s">
        <v>375</v>
      </c>
      <c r="I1352" s="1058" t="e">
        <f>VLOOKUP(H1346,'LƯƠNG KT'!$D$15:$U$94,8,0)*$L$11</f>
        <v>#N/A</v>
      </c>
      <c r="J1352" s="1059" t="e">
        <f>VLOOKUP(H1346,'LƯƠNG KT'!$D$15:$U$94,13,0)-J1351</f>
        <v>#N/A</v>
      </c>
      <c r="K1352" s="1085"/>
      <c r="L1352" s="1085"/>
      <c r="M1352" s="1085"/>
      <c r="N1352" s="1085"/>
      <c r="O1352" s="1085"/>
    </row>
    <row r="1353" spans="1:15" ht="15" customHeight="1">
      <c r="A1353" s="1059" t="s">
        <v>377</v>
      </c>
      <c r="B1353" s="869" t="s">
        <v>378</v>
      </c>
      <c r="C1353" s="1058"/>
      <c r="D1353" s="1059"/>
      <c r="E1353" s="1065"/>
      <c r="F1353" s="1065"/>
      <c r="G1353" s="1059" t="s">
        <v>377</v>
      </c>
      <c r="H1353" s="869" t="s">
        <v>378</v>
      </c>
      <c r="I1353" s="1058"/>
      <c r="J1353" s="1059"/>
    </row>
    <row r="1354" spans="1:15" ht="15" customHeight="1">
      <c r="A1354" s="1066" t="s">
        <v>379</v>
      </c>
      <c r="B1354" s="869" t="s">
        <v>380</v>
      </c>
      <c r="C1354" s="1058"/>
      <c r="D1354" s="1059"/>
      <c r="E1354" s="1063"/>
      <c r="F1354" s="1065"/>
      <c r="G1354" s="1066" t="s">
        <v>379</v>
      </c>
      <c r="H1354" s="869" t="s">
        <v>380</v>
      </c>
      <c r="I1354" s="1058"/>
      <c r="J1354" s="1059"/>
    </row>
    <row r="1355" spans="1:15" ht="15" customHeight="1">
      <c r="A1355" s="1052" t="s">
        <v>381</v>
      </c>
      <c r="B1355" s="869" t="s">
        <v>382</v>
      </c>
      <c r="C1355" s="1058"/>
      <c r="D1355" s="1059">
        <f>D1354</f>
        <v>0</v>
      </c>
      <c r="E1355" s="1067"/>
      <c r="F1355" s="1051"/>
      <c r="G1355" s="1052" t="s">
        <v>381</v>
      </c>
      <c r="H1355" s="869" t="s">
        <v>382</v>
      </c>
      <c r="I1355" s="1058"/>
      <c r="J1355" s="1059">
        <f>J1354</f>
        <v>0</v>
      </c>
    </row>
    <row r="1356" spans="1:15" ht="15" customHeight="1">
      <c r="A1356" s="1068" t="s">
        <v>383</v>
      </c>
      <c r="B1356" s="1069" t="s">
        <v>384</v>
      </c>
      <c r="C1356" s="1070"/>
      <c r="D1356" s="1071" t="e">
        <f>SUM(D1347:D1352)-D1355</f>
        <v>#N/A</v>
      </c>
      <c r="E1356" s="1072"/>
      <c r="F1356" s="1073"/>
      <c r="G1356" s="1068" t="s">
        <v>383</v>
      </c>
      <c r="H1356" s="1069" t="s">
        <v>384</v>
      </c>
      <c r="I1356" s="1070"/>
      <c r="J1356" s="1071" t="e">
        <f>SUM(J1347:J1352)-J1355</f>
        <v>#N/A</v>
      </c>
    </row>
    <row r="1357" spans="1:15" ht="18.75" customHeight="1">
      <c r="A1357" s="1074"/>
      <c r="B1357" s="1075"/>
      <c r="C1357" s="1076"/>
      <c r="D1357" s="1077"/>
      <c r="E1357" s="1077"/>
      <c r="F1357" s="1078"/>
      <c r="G1357" s="1074"/>
      <c r="H1357" s="1075"/>
      <c r="I1357" s="1076"/>
      <c r="J1357" s="1077"/>
    </row>
    <row r="1358" spans="1:15" ht="18.75" customHeight="1">
      <c r="A1358" s="1075"/>
      <c r="B1358" s="1075"/>
      <c r="C1358" s="1079"/>
      <c r="D1358" s="1080"/>
      <c r="E1358" s="1075"/>
      <c r="F1358" s="1081"/>
      <c r="G1358" s="1075"/>
      <c r="H1358" s="1075"/>
      <c r="I1358" s="1079"/>
      <c r="J1358" s="1080"/>
    </row>
    <row r="1359" spans="1:15" ht="15" customHeight="1">
      <c r="A1359" s="2242" t="str">
        <f>$K$2</f>
        <v>THÁNG 09/2024</v>
      </c>
      <c r="B1359" s="2242"/>
      <c r="C1359" s="2242"/>
      <c r="D1359" s="2242"/>
      <c r="E1359" s="1050"/>
      <c r="F1359" s="1051"/>
      <c r="G1359" s="2242" t="str">
        <f>$K$2</f>
        <v>THÁNG 09/2024</v>
      </c>
      <c r="H1359" s="2242"/>
      <c r="I1359" s="2242"/>
      <c r="J1359" s="2242"/>
      <c r="K1359" s="624"/>
    </row>
    <row r="1360" spans="1:15" ht="15" customHeight="1">
      <c r="A1360" s="1052" t="s">
        <v>356</v>
      </c>
      <c r="B1360" s="1053" t="s">
        <v>93</v>
      </c>
      <c r="C1360" s="869"/>
      <c r="D1360" s="1049"/>
      <c r="E1360" s="1054"/>
      <c r="F1360" s="1055"/>
      <c r="G1360" s="1052" t="s">
        <v>356</v>
      </c>
      <c r="H1360" s="1053" t="s">
        <v>94</v>
      </c>
      <c r="I1360" s="869"/>
      <c r="J1360" s="1049"/>
      <c r="L1360" s="1088"/>
      <c r="M1360" s="1088"/>
      <c r="N1360" s="1088"/>
      <c r="O1360" s="1088"/>
    </row>
    <row r="1361" spans="1:15" ht="15" customHeight="1">
      <c r="A1361" s="1052" t="s">
        <v>359</v>
      </c>
      <c r="B1361" s="1089" t="s">
        <v>360</v>
      </c>
      <c r="C1361" s="1058" t="e">
        <f>VLOOKUP(B1360,'LƯƠNG KT'!$D$15:$U$94,3,0)</f>
        <v>#N/A</v>
      </c>
      <c r="D1361" s="1059" t="e">
        <f>+C1361*25000</f>
        <v>#N/A</v>
      </c>
      <c r="E1361" s="1060"/>
      <c r="F1361" s="1060"/>
      <c r="G1361" s="1052" t="s">
        <v>359</v>
      </c>
      <c r="H1361" s="1089" t="s">
        <v>360</v>
      </c>
      <c r="I1361" s="1058" t="e">
        <f>VLOOKUP(H1360,'LƯƠNG KT'!$D$15:$U$94,3,0)</f>
        <v>#N/A</v>
      </c>
      <c r="J1361" s="1059" t="e">
        <f>+I1361*25000</f>
        <v>#N/A</v>
      </c>
      <c r="K1361" s="1085"/>
      <c r="L1361" s="1085"/>
      <c r="M1361" s="1085"/>
      <c r="N1361" s="1085"/>
      <c r="O1361" s="1085"/>
    </row>
    <row r="1362" spans="1:15" ht="15" customHeight="1">
      <c r="A1362" s="1052" t="s">
        <v>361</v>
      </c>
      <c r="B1362" s="869" t="s">
        <v>362</v>
      </c>
      <c r="C1362" s="1058" t="e">
        <f>VLOOKUP(B1360,'LƯƠNG KT'!$D$15:$U$94,14,0)</f>
        <v>#N/A</v>
      </c>
      <c r="D1362" s="1059" t="e">
        <f>C1362*$L$4</f>
        <v>#N/A</v>
      </c>
      <c r="E1362" s="1061"/>
      <c r="F1362" s="1061"/>
      <c r="G1362" s="1052" t="s">
        <v>361</v>
      </c>
      <c r="H1362" s="869" t="s">
        <v>362</v>
      </c>
      <c r="I1362" s="1058" t="e">
        <f>VLOOKUP(H1360,'LƯƠNG KT'!$D$15:$U$94,14,0)</f>
        <v>#N/A</v>
      </c>
      <c r="J1362" s="1059" t="e">
        <f>I1362*$L$4</f>
        <v>#N/A</v>
      </c>
      <c r="K1362" s="1085"/>
      <c r="L1362" s="1085"/>
      <c r="M1362" s="1085"/>
      <c r="N1362" s="1085"/>
      <c r="O1362" s="1085"/>
    </row>
    <row r="1363" spans="1:15" ht="15" customHeight="1">
      <c r="A1363" s="1052" t="s">
        <v>364</v>
      </c>
      <c r="B1363" s="869" t="s">
        <v>365</v>
      </c>
      <c r="C1363" s="1058" t="e">
        <f>VLOOKUP(B1360,'LƯƠNG KT'!$D$15:$U$94,15,0)</f>
        <v>#N/A</v>
      </c>
      <c r="D1363" s="1059" t="e">
        <f>C1363*$L$5</f>
        <v>#N/A</v>
      </c>
      <c r="E1363" s="1061"/>
      <c r="F1363" s="1061"/>
      <c r="G1363" s="1052" t="s">
        <v>364</v>
      </c>
      <c r="H1363" s="869" t="s">
        <v>365</v>
      </c>
      <c r="I1363" s="1058" t="e">
        <f>VLOOKUP(H1360,'LƯƠNG KT'!$D$15:$U$94,15,0)</f>
        <v>#N/A</v>
      </c>
      <c r="J1363" s="1059" t="e">
        <f>I1363*$L$5</f>
        <v>#N/A</v>
      </c>
      <c r="K1363" s="1085"/>
      <c r="L1363" s="1085"/>
      <c r="M1363" s="1085"/>
      <c r="N1363" s="1085"/>
      <c r="O1363" s="1085"/>
    </row>
    <row r="1364" spans="1:15" ht="15" customHeight="1">
      <c r="A1364" s="1052" t="s">
        <v>367</v>
      </c>
      <c r="B1364" s="869"/>
      <c r="C1364" s="1058" t="e">
        <f>VLOOKUP(B1360,'LƯƠNG KT'!$D$15:$U$94,16,0)</f>
        <v>#N/A</v>
      </c>
      <c r="D1364" s="1059" t="e">
        <f>+C1364*$L$6</f>
        <v>#N/A</v>
      </c>
      <c r="E1364" s="1061"/>
      <c r="F1364" s="1061"/>
      <c r="G1364" s="1052" t="s">
        <v>367</v>
      </c>
      <c r="H1364" s="869"/>
      <c r="I1364" s="1058" t="e">
        <f>VLOOKUP(H1360,'LƯƠNG KT'!$D$15:$U$94,16,0)</f>
        <v>#N/A</v>
      </c>
      <c r="J1364" s="1059" t="e">
        <f>+I1364*$L$6</f>
        <v>#N/A</v>
      </c>
      <c r="K1364" s="1085"/>
      <c r="L1364" s="1085"/>
      <c r="M1364" s="1085"/>
      <c r="N1364" s="1085"/>
      <c r="O1364" s="1085"/>
    </row>
    <row r="1365" spans="1:15" ht="15" customHeight="1">
      <c r="A1365" s="1052" t="s">
        <v>371</v>
      </c>
      <c r="B1365" s="869" t="s">
        <v>372</v>
      </c>
      <c r="C1365" s="1058" t="e">
        <f>VLOOKUP(B1360,'LƯƠNG KT'!$D$15:$U$94,9,0)*$L$10</f>
        <v>#N/A</v>
      </c>
      <c r="D1365" s="1059" t="e">
        <f>+C1365*0.5*3000</f>
        <v>#N/A</v>
      </c>
      <c r="E1365" s="1061"/>
      <c r="F1365" s="1061"/>
      <c r="G1365" s="1052" t="s">
        <v>371</v>
      </c>
      <c r="H1365" s="869" t="s">
        <v>372</v>
      </c>
      <c r="I1365" s="1058" t="e">
        <f>VLOOKUP(H1360,'LƯƠNG KT'!$D$15:$U$94,9,0)*$L$10</f>
        <v>#N/A</v>
      </c>
      <c r="J1365" s="1059" t="e">
        <f>+I1365*0.5*3000</f>
        <v>#N/A</v>
      </c>
      <c r="K1365" s="1085"/>
      <c r="L1365" s="1085"/>
      <c r="M1365" s="1085"/>
      <c r="N1365" s="1085"/>
      <c r="O1365" s="1085"/>
    </row>
    <row r="1366" spans="1:15" ht="15" customHeight="1">
      <c r="A1366" s="1052" t="s">
        <v>374</v>
      </c>
      <c r="B1366" s="869" t="s">
        <v>375</v>
      </c>
      <c r="C1366" s="1058" t="e">
        <f>VLOOKUP(B1360,'LƯƠNG KT'!$D$15:$U$94,8,0)*$L$11</f>
        <v>#N/A</v>
      </c>
      <c r="D1366" s="1059" t="e">
        <f>VLOOKUP(B1360,'LƯƠNG KT'!$D$15:$U$94,13,0)-D1365</f>
        <v>#N/A</v>
      </c>
      <c r="E1366" s="1063"/>
      <c r="F1366" s="1061"/>
      <c r="G1366" s="1052" t="s">
        <v>374</v>
      </c>
      <c r="H1366" s="869" t="s">
        <v>375</v>
      </c>
      <c r="I1366" s="1058" t="e">
        <f>VLOOKUP(H1360,'LƯƠNG KT'!$D$15:$U$94,8,0)*$L$11</f>
        <v>#N/A</v>
      </c>
      <c r="J1366" s="1059" t="e">
        <f>VLOOKUP(H1360,'LƯƠNG KT'!$D$15:$U$94,13,0)-J1365</f>
        <v>#N/A</v>
      </c>
      <c r="K1366" s="1085"/>
      <c r="L1366" s="1085"/>
      <c r="M1366" s="1085"/>
      <c r="N1366" s="1085"/>
      <c r="O1366" s="1085"/>
    </row>
    <row r="1367" spans="1:15" ht="15" customHeight="1">
      <c r="A1367" s="1059" t="s">
        <v>377</v>
      </c>
      <c r="B1367" s="869" t="s">
        <v>378</v>
      </c>
      <c r="C1367" s="1058"/>
      <c r="D1367" s="1059"/>
      <c r="E1367" s="1065"/>
      <c r="F1367" s="1065"/>
      <c r="G1367" s="1059" t="s">
        <v>377</v>
      </c>
      <c r="H1367" s="869" t="s">
        <v>378</v>
      </c>
      <c r="I1367" s="1058"/>
      <c r="J1367" s="1059"/>
    </row>
    <row r="1368" spans="1:15" ht="15" customHeight="1">
      <c r="A1368" s="1066" t="s">
        <v>379</v>
      </c>
      <c r="B1368" s="869" t="s">
        <v>380</v>
      </c>
      <c r="C1368" s="1058"/>
      <c r="D1368" s="1059"/>
      <c r="E1368" s="1063"/>
      <c r="F1368" s="1065"/>
      <c r="G1368" s="1066" t="s">
        <v>379</v>
      </c>
      <c r="H1368" s="869" t="s">
        <v>380</v>
      </c>
      <c r="I1368" s="1058"/>
      <c r="J1368" s="1059"/>
    </row>
    <row r="1369" spans="1:15" ht="15" customHeight="1">
      <c r="A1369" s="1052" t="s">
        <v>381</v>
      </c>
      <c r="B1369" s="869" t="s">
        <v>382</v>
      </c>
      <c r="C1369" s="1058"/>
      <c r="D1369" s="1059">
        <f>D1368</f>
        <v>0</v>
      </c>
      <c r="E1369" s="1067"/>
      <c r="F1369" s="1051"/>
      <c r="G1369" s="1052" t="s">
        <v>381</v>
      </c>
      <c r="H1369" s="869" t="s">
        <v>382</v>
      </c>
      <c r="I1369" s="1058"/>
      <c r="J1369" s="1059">
        <f>J1368</f>
        <v>0</v>
      </c>
    </row>
    <row r="1370" spans="1:15" ht="15" customHeight="1">
      <c r="A1370" s="1068" t="s">
        <v>383</v>
      </c>
      <c r="B1370" s="1069" t="s">
        <v>384</v>
      </c>
      <c r="C1370" s="1070"/>
      <c r="D1370" s="1071" t="e">
        <f>SUM(D1361:D1366)-D1369</f>
        <v>#N/A</v>
      </c>
      <c r="E1370" s="1072"/>
      <c r="F1370" s="1073"/>
      <c r="G1370" s="1068" t="s">
        <v>383</v>
      </c>
      <c r="H1370" s="1069" t="s">
        <v>384</v>
      </c>
      <c r="I1370" s="1070"/>
      <c r="J1370" s="1071" t="e">
        <f>SUM(J1361:J1366)-J1369</f>
        <v>#N/A</v>
      </c>
    </row>
    <row r="1371" spans="1:15" ht="18.75" customHeight="1">
      <c r="A1371" s="1074"/>
      <c r="B1371" s="1075"/>
      <c r="C1371" s="1076"/>
      <c r="D1371" s="1077"/>
      <c r="E1371" s="1077"/>
      <c r="F1371" s="1078"/>
      <c r="G1371" s="1074"/>
      <c r="H1371" s="1075"/>
      <c r="I1371" s="1076"/>
      <c r="J1371" s="1077"/>
    </row>
    <row r="1372" spans="1:15" ht="18.75" customHeight="1">
      <c r="A1372" s="1075"/>
      <c r="B1372" s="1075"/>
      <c r="C1372" s="1079"/>
      <c r="D1372" s="1080"/>
      <c r="E1372" s="1075"/>
      <c r="F1372" s="1081"/>
      <c r="G1372" s="1075"/>
      <c r="H1372" s="1075"/>
      <c r="I1372" s="1079"/>
      <c r="J1372" s="1080"/>
    </row>
    <row r="1373" spans="1:15" ht="15" customHeight="1">
      <c r="A1373" s="2242" t="str">
        <f>$K$2</f>
        <v>THÁNG 09/2024</v>
      </c>
      <c r="B1373" s="2242"/>
      <c r="C1373" s="2242"/>
      <c r="D1373" s="2242"/>
      <c r="E1373" s="1050"/>
      <c r="F1373" s="1051"/>
      <c r="G1373" s="2242" t="str">
        <f>$K$2</f>
        <v>THÁNG 09/2024</v>
      </c>
      <c r="H1373" s="2242"/>
      <c r="I1373" s="2242"/>
      <c r="J1373" s="2242"/>
      <c r="K1373" s="624"/>
    </row>
    <row r="1374" spans="1:15" ht="15" customHeight="1">
      <c r="A1374" s="1052" t="s">
        <v>356</v>
      </c>
      <c r="B1374" s="1053" t="s">
        <v>95</v>
      </c>
      <c r="C1374" s="869"/>
      <c r="D1374" s="1049"/>
      <c r="E1374" s="1054"/>
      <c r="F1374" s="1055"/>
      <c r="G1374" s="1052" t="s">
        <v>356</v>
      </c>
      <c r="H1374" s="1053" t="s">
        <v>96</v>
      </c>
      <c r="I1374" s="869"/>
      <c r="J1374" s="1049"/>
      <c r="L1374" s="1088"/>
      <c r="M1374" s="1088"/>
      <c r="N1374" s="1088"/>
      <c r="O1374" s="1088"/>
    </row>
    <row r="1375" spans="1:15" ht="15" customHeight="1">
      <c r="A1375" s="1052" t="s">
        <v>359</v>
      </c>
      <c r="B1375" s="1089" t="s">
        <v>360</v>
      </c>
      <c r="C1375" s="1058" t="e">
        <f>VLOOKUP(B1374,'LƯƠNG KT'!$D$15:$U$94,3,0)</f>
        <v>#N/A</v>
      </c>
      <c r="D1375" s="1059" t="e">
        <f>+C1375*25000</f>
        <v>#N/A</v>
      </c>
      <c r="E1375" s="1060"/>
      <c r="F1375" s="1060"/>
      <c r="G1375" s="1052" t="s">
        <v>359</v>
      </c>
      <c r="H1375" s="1089" t="s">
        <v>360</v>
      </c>
      <c r="I1375" s="1058" t="e">
        <f>VLOOKUP(H1374,'LƯƠNG KT'!$D$15:$U$94,3,0)</f>
        <v>#N/A</v>
      </c>
      <c r="J1375" s="1059" t="e">
        <f>+I1375*25000</f>
        <v>#N/A</v>
      </c>
      <c r="K1375" s="1085"/>
      <c r="L1375" s="1085"/>
      <c r="M1375" s="1085"/>
      <c r="N1375" s="1085"/>
      <c r="O1375" s="1085"/>
    </row>
    <row r="1376" spans="1:15" ht="15" customHeight="1">
      <c r="A1376" s="1052" t="s">
        <v>361</v>
      </c>
      <c r="B1376" s="869" t="s">
        <v>362</v>
      </c>
      <c r="C1376" s="1058" t="e">
        <f>VLOOKUP(B1374,'LƯƠNG KT'!$D$15:$U$94,14,0)</f>
        <v>#N/A</v>
      </c>
      <c r="D1376" s="1059" t="e">
        <f>C1376*$L$4</f>
        <v>#N/A</v>
      </c>
      <c r="E1376" s="1061"/>
      <c r="F1376" s="1061"/>
      <c r="G1376" s="1052" t="s">
        <v>361</v>
      </c>
      <c r="H1376" s="869" t="s">
        <v>362</v>
      </c>
      <c r="I1376" s="1058" t="e">
        <f>VLOOKUP(H1374,'LƯƠNG KT'!$D$15:$U$94,14,0)</f>
        <v>#N/A</v>
      </c>
      <c r="J1376" s="1059" t="e">
        <f>I1376*$L$4</f>
        <v>#N/A</v>
      </c>
      <c r="K1376" s="1085"/>
      <c r="L1376" s="1085"/>
      <c r="M1376" s="1085"/>
      <c r="N1376" s="1085"/>
      <c r="O1376" s="1085"/>
    </row>
    <row r="1377" spans="1:15" ht="15" customHeight="1">
      <c r="A1377" s="1052" t="s">
        <v>364</v>
      </c>
      <c r="B1377" s="869" t="s">
        <v>365</v>
      </c>
      <c r="C1377" s="1058" t="e">
        <f>VLOOKUP(B1374,'LƯƠNG KT'!$D$15:$U$94,15,0)</f>
        <v>#N/A</v>
      </c>
      <c r="D1377" s="1059" t="e">
        <f>C1377*$L$5</f>
        <v>#N/A</v>
      </c>
      <c r="E1377" s="1061"/>
      <c r="F1377" s="1061"/>
      <c r="G1377" s="1052" t="s">
        <v>364</v>
      </c>
      <c r="H1377" s="869" t="s">
        <v>365</v>
      </c>
      <c r="I1377" s="1058" t="e">
        <f>VLOOKUP(H1374,'LƯƠNG KT'!$D$15:$U$94,15,0)</f>
        <v>#N/A</v>
      </c>
      <c r="J1377" s="1059" t="e">
        <f>I1377*$L$5</f>
        <v>#N/A</v>
      </c>
      <c r="K1377" s="1085"/>
      <c r="L1377" s="1085"/>
      <c r="M1377" s="1085"/>
      <c r="N1377" s="1085"/>
      <c r="O1377" s="1085"/>
    </row>
    <row r="1378" spans="1:15" ht="15" customHeight="1">
      <c r="A1378" s="1052" t="s">
        <v>367</v>
      </c>
      <c r="B1378" s="869"/>
      <c r="C1378" s="1058" t="e">
        <f>VLOOKUP(B1374,'LƯƠNG KT'!$D$15:$U$94,16,0)</f>
        <v>#N/A</v>
      </c>
      <c r="D1378" s="1059" t="e">
        <f>+C1378*$L$6</f>
        <v>#N/A</v>
      </c>
      <c r="E1378" s="1061"/>
      <c r="F1378" s="1061"/>
      <c r="G1378" s="1052" t="s">
        <v>367</v>
      </c>
      <c r="H1378" s="869"/>
      <c r="I1378" s="1058" t="e">
        <f>VLOOKUP(H1374,'LƯƠNG KT'!$D$15:$U$94,16,0)</f>
        <v>#N/A</v>
      </c>
      <c r="J1378" s="1059" t="e">
        <f>+I1378*$L$6</f>
        <v>#N/A</v>
      </c>
      <c r="K1378" s="1085"/>
      <c r="L1378" s="1085"/>
      <c r="M1378" s="1085"/>
      <c r="N1378" s="1085"/>
      <c r="O1378" s="1085"/>
    </row>
    <row r="1379" spans="1:15" ht="15" customHeight="1">
      <c r="A1379" s="1052" t="s">
        <v>371</v>
      </c>
      <c r="B1379" s="869" t="s">
        <v>372</v>
      </c>
      <c r="C1379" s="1058" t="e">
        <f>VLOOKUP(B1374,'LƯƠNG KT'!$D$15:$U$94,9,0)*$L$10</f>
        <v>#N/A</v>
      </c>
      <c r="D1379" s="1059" t="e">
        <f>+C1379*0.5*3000</f>
        <v>#N/A</v>
      </c>
      <c r="E1379" s="1061"/>
      <c r="F1379" s="1061"/>
      <c r="G1379" s="1052" t="s">
        <v>371</v>
      </c>
      <c r="H1379" s="869" t="s">
        <v>372</v>
      </c>
      <c r="I1379" s="1058" t="e">
        <f>VLOOKUP(H1374,'LƯƠNG KT'!$D$15:$U$94,9,0)*$L$10</f>
        <v>#N/A</v>
      </c>
      <c r="J1379" s="1059" t="e">
        <f>+I1379*0.5*3000</f>
        <v>#N/A</v>
      </c>
      <c r="K1379" s="1085"/>
      <c r="L1379" s="1085"/>
      <c r="M1379" s="1085"/>
      <c r="N1379" s="1085"/>
      <c r="O1379" s="1085"/>
    </row>
    <row r="1380" spans="1:15" ht="15" customHeight="1">
      <c r="A1380" s="1052" t="s">
        <v>374</v>
      </c>
      <c r="B1380" s="869" t="s">
        <v>375</v>
      </c>
      <c r="C1380" s="1058" t="e">
        <f>VLOOKUP(B1374,'LƯƠNG KT'!$D$15:$U$94,8,0)*$L$11</f>
        <v>#N/A</v>
      </c>
      <c r="D1380" s="1059" t="e">
        <f>VLOOKUP(B1374,'LƯƠNG KT'!$D$15:$U$94,13,0)-D1379</f>
        <v>#N/A</v>
      </c>
      <c r="E1380" s="1063"/>
      <c r="F1380" s="1061"/>
      <c r="G1380" s="1052" t="s">
        <v>374</v>
      </c>
      <c r="H1380" s="869" t="s">
        <v>375</v>
      </c>
      <c r="I1380" s="1058" t="e">
        <f>VLOOKUP(H1374,'LƯƠNG KT'!$D$15:$U$94,8,0)*$L$11</f>
        <v>#N/A</v>
      </c>
      <c r="J1380" s="1059" t="e">
        <f>VLOOKUP(H1374,'LƯƠNG KT'!$D$15:$U$94,13,0)-J1379</f>
        <v>#N/A</v>
      </c>
      <c r="K1380" s="1085"/>
      <c r="L1380" s="1085"/>
      <c r="M1380" s="1085"/>
      <c r="N1380" s="1085"/>
      <c r="O1380" s="1085"/>
    </row>
    <row r="1381" spans="1:15" ht="15" customHeight="1">
      <c r="A1381" s="1059" t="s">
        <v>377</v>
      </c>
      <c r="B1381" s="869" t="s">
        <v>378</v>
      </c>
      <c r="C1381" s="1058"/>
      <c r="D1381" s="1059"/>
      <c r="E1381" s="1065"/>
      <c r="F1381" s="1065"/>
      <c r="G1381" s="1059" t="s">
        <v>377</v>
      </c>
      <c r="H1381" s="869" t="s">
        <v>378</v>
      </c>
      <c r="I1381" s="1058"/>
      <c r="J1381" s="1059"/>
    </row>
    <row r="1382" spans="1:15" ht="15" customHeight="1">
      <c r="A1382" s="1066" t="s">
        <v>379</v>
      </c>
      <c r="B1382" s="869" t="s">
        <v>380</v>
      </c>
      <c r="C1382" s="1058"/>
      <c r="D1382" s="1059"/>
      <c r="E1382" s="1063"/>
      <c r="F1382" s="1065"/>
      <c r="G1382" s="1066" t="s">
        <v>379</v>
      </c>
      <c r="H1382" s="869" t="s">
        <v>380</v>
      </c>
      <c r="I1382" s="1058"/>
      <c r="J1382" s="1059"/>
    </row>
    <row r="1383" spans="1:15" ht="15" customHeight="1">
      <c r="A1383" s="1052" t="s">
        <v>381</v>
      </c>
      <c r="B1383" s="869" t="s">
        <v>382</v>
      </c>
      <c r="C1383" s="1058"/>
      <c r="D1383" s="1059">
        <f>D1382</f>
        <v>0</v>
      </c>
      <c r="E1383" s="1067"/>
      <c r="F1383" s="1051"/>
      <c r="G1383" s="1052" t="s">
        <v>381</v>
      </c>
      <c r="H1383" s="869" t="s">
        <v>382</v>
      </c>
      <c r="I1383" s="1058"/>
      <c r="J1383" s="1059">
        <f>J1382</f>
        <v>0</v>
      </c>
    </row>
    <row r="1384" spans="1:15" ht="15" customHeight="1">
      <c r="A1384" s="1068" t="s">
        <v>383</v>
      </c>
      <c r="B1384" s="1069" t="s">
        <v>384</v>
      </c>
      <c r="C1384" s="1070"/>
      <c r="D1384" s="1071" t="e">
        <f>SUM(D1375:D1380)-D1383</f>
        <v>#N/A</v>
      </c>
      <c r="E1384" s="1072"/>
      <c r="F1384" s="1073"/>
      <c r="G1384" s="1068" t="s">
        <v>383</v>
      </c>
      <c r="H1384" s="1069" t="s">
        <v>384</v>
      </c>
      <c r="I1384" s="1070"/>
      <c r="J1384" s="1071" t="e">
        <f>SUM(J1375:J1380)-J1383</f>
        <v>#N/A</v>
      </c>
    </row>
    <row r="1385" spans="1:15" ht="15.75" customHeight="1">
      <c r="A1385" s="1074"/>
      <c r="B1385" s="1075"/>
      <c r="C1385" s="1076"/>
      <c r="D1385" s="1077"/>
      <c r="E1385" s="1077"/>
      <c r="F1385" s="1078"/>
      <c r="G1385" s="1074"/>
      <c r="H1385" s="1075"/>
      <c r="I1385" s="1076"/>
      <c r="J1385" s="1077"/>
    </row>
    <row r="1387" spans="1:15" ht="12" customHeight="1">
      <c r="A1387" s="2243"/>
      <c r="B1387" s="2243"/>
      <c r="C1387" s="2243"/>
      <c r="D1387" s="2243"/>
      <c r="E1387" s="2243"/>
      <c r="F1387" s="2243"/>
      <c r="G1387" s="2243"/>
      <c r="H1387" s="2243"/>
      <c r="I1387" s="2243"/>
      <c r="J1387" s="2243"/>
    </row>
    <row r="1388" spans="1:15" ht="15" customHeight="1">
      <c r="A1388" s="2242" t="str">
        <f>$K$2</f>
        <v>THÁNG 09/2024</v>
      </c>
      <c r="B1388" s="2242"/>
      <c r="C1388" s="2242"/>
      <c r="D1388" s="2242"/>
      <c r="E1388" s="1050"/>
      <c r="F1388" s="1051"/>
      <c r="G1388" s="2242" t="str">
        <f>$K$2</f>
        <v>THÁNG 09/2024</v>
      </c>
      <c r="H1388" s="2242"/>
      <c r="I1388" s="2242"/>
      <c r="J1388" s="2242"/>
      <c r="K1388" s="624"/>
    </row>
    <row r="1389" spans="1:15" ht="15" customHeight="1">
      <c r="A1389" s="1052" t="s">
        <v>356</v>
      </c>
      <c r="B1389" s="1053" t="s">
        <v>97</v>
      </c>
      <c r="C1389" s="869"/>
      <c r="D1389" s="1049"/>
      <c r="E1389" s="1054"/>
      <c r="F1389" s="1055"/>
      <c r="G1389" s="1052" t="s">
        <v>356</v>
      </c>
      <c r="H1389" s="1053" t="s">
        <v>98</v>
      </c>
      <c r="I1389" s="869"/>
      <c r="J1389" s="1049"/>
      <c r="L1389" s="1088"/>
      <c r="M1389" s="1088"/>
      <c r="N1389" s="1088"/>
      <c r="O1389" s="1088"/>
    </row>
    <row r="1390" spans="1:15" ht="15" customHeight="1">
      <c r="A1390" s="1052" t="s">
        <v>359</v>
      </c>
      <c r="B1390" s="1089" t="s">
        <v>360</v>
      </c>
      <c r="C1390" s="1058" t="e">
        <f>VLOOKUP(B1389,'LƯƠNG KT'!$D$15:$U$94,3,0)</f>
        <v>#N/A</v>
      </c>
      <c r="D1390" s="1059" t="e">
        <f>+C1390*25000</f>
        <v>#N/A</v>
      </c>
      <c r="E1390" s="1060"/>
      <c r="F1390" s="1060"/>
      <c r="G1390" s="1052" t="s">
        <v>359</v>
      </c>
      <c r="H1390" s="1089" t="s">
        <v>360</v>
      </c>
      <c r="I1390" s="1058" t="e">
        <f>VLOOKUP(H1389,'LƯƠNG KT'!$D$15:$U$94,3,0)</f>
        <v>#N/A</v>
      </c>
      <c r="J1390" s="1059" t="e">
        <f>+I1390*25000</f>
        <v>#N/A</v>
      </c>
      <c r="K1390" s="1084"/>
      <c r="L1390" s="1085"/>
      <c r="M1390" s="1085"/>
      <c r="N1390" s="1085"/>
      <c r="O1390" s="1085"/>
    </row>
    <row r="1391" spans="1:15" ht="15" customHeight="1">
      <c r="A1391" s="1052" t="s">
        <v>361</v>
      </c>
      <c r="B1391" s="869" t="s">
        <v>362</v>
      </c>
      <c r="C1391" s="1058" t="e">
        <f>VLOOKUP(B1389,'LƯƠNG KT'!$D$15:$U$94,14,0)</f>
        <v>#N/A</v>
      </c>
      <c r="D1391" s="1059" t="e">
        <f>C1391*$L$4</f>
        <v>#N/A</v>
      </c>
      <c r="E1391" s="1061"/>
      <c r="F1391" s="1061"/>
      <c r="G1391" s="1052" t="s">
        <v>361</v>
      </c>
      <c r="H1391" s="869" t="s">
        <v>362</v>
      </c>
      <c r="I1391" s="1058" t="e">
        <f>VLOOKUP(H1389,'LƯƠNG KT'!$D$15:$U$94,14,0)</f>
        <v>#N/A</v>
      </c>
      <c r="J1391" s="1059" t="e">
        <f>I1391*$L$4</f>
        <v>#N/A</v>
      </c>
      <c r="K1391" s="1084"/>
      <c r="L1391" s="1085"/>
      <c r="M1391" s="1085"/>
      <c r="N1391" s="1085"/>
      <c r="O1391" s="1085"/>
    </row>
    <row r="1392" spans="1:15" ht="15" customHeight="1">
      <c r="A1392" s="1052" t="s">
        <v>364</v>
      </c>
      <c r="B1392" s="869" t="s">
        <v>365</v>
      </c>
      <c r="C1392" s="1058" t="e">
        <f>VLOOKUP(B1389,'LƯƠNG KT'!$D$15:$U$94,15,0)</f>
        <v>#N/A</v>
      </c>
      <c r="D1392" s="1059" t="e">
        <f>C1392*$L$5</f>
        <v>#N/A</v>
      </c>
      <c r="E1392" s="1061"/>
      <c r="F1392" s="1061"/>
      <c r="G1392" s="1052" t="s">
        <v>364</v>
      </c>
      <c r="H1392" s="869" t="s">
        <v>365</v>
      </c>
      <c r="I1392" s="1058" t="e">
        <f>VLOOKUP(H1389,'LƯƠNG KT'!$D$15:$U$94,15,0)</f>
        <v>#N/A</v>
      </c>
      <c r="J1392" s="1059" t="e">
        <f>I1392*$L$5</f>
        <v>#N/A</v>
      </c>
      <c r="K1392" s="1084"/>
      <c r="L1392" s="1085"/>
      <c r="M1392" s="1085"/>
      <c r="N1392" s="1085"/>
      <c r="O1392" s="1085"/>
    </row>
    <row r="1393" spans="1:15" ht="15" customHeight="1">
      <c r="A1393" s="1052" t="s">
        <v>367</v>
      </c>
      <c r="B1393" s="869"/>
      <c r="C1393" s="1058" t="e">
        <f>VLOOKUP(B1389,'LƯƠNG KT'!$D$15:$U$94,16,0)</f>
        <v>#N/A</v>
      </c>
      <c r="D1393" s="1059" t="e">
        <f>+C1393*$L$6</f>
        <v>#N/A</v>
      </c>
      <c r="E1393" s="1061"/>
      <c r="F1393" s="1061"/>
      <c r="G1393" s="1052" t="s">
        <v>367</v>
      </c>
      <c r="H1393" s="869"/>
      <c r="I1393" s="1058" t="e">
        <f>VLOOKUP(H1389,'LƯƠNG KT'!$D$15:$U$94,16,0)</f>
        <v>#N/A</v>
      </c>
      <c r="J1393" s="1059" t="e">
        <f>+I1393*$L$6</f>
        <v>#N/A</v>
      </c>
      <c r="K1393" s="1085"/>
      <c r="L1393" s="1085"/>
      <c r="M1393" s="1085"/>
      <c r="N1393" s="1085"/>
      <c r="O1393" s="1085"/>
    </row>
    <row r="1394" spans="1:15" ht="15" customHeight="1">
      <c r="A1394" s="1052" t="s">
        <v>371</v>
      </c>
      <c r="B1394" s="869" t="s">
        <v>372</v>
      </c>
      <c r="C1394" s="1058" t="e">
        <f>VLOOKUP(B1389,'LƯƠNG KT'!$D$15:$U$94,9,0)*$L$10</f>
        <v>#N/A</v>
      </c>
      <c r="D1394" s="1059" t="e">
        <f>+C1394*0.5*3000</f>
        <v>#N/A</v>
      </c>
      <c r="E1394" s="1061"/>
      <c r="F1394" s="1061"/>
      <c r="G1394" s="1052" t="s">
        <v>371</v>
      </c>
      <c r="H1394" s="869" t="s">
        <v>372</v>
      </c>
      <c r="I1394" s="1058" t="e">
        <f>VLOOKUP(H1389,'LƯƠNG KT'!$D$15:$U$94,9,0)*$L$10</f>
        <v>#N/A</v>
      </c>
      <c r="J1394" s="1059" t="e">
        <f>+I1394*0.5*3000</f>
        <v>#N/A</v>
      </c>
      <c r="K1394" s="1085"/>
      <c r="L1394" s="1085"/>
      <c r="M1394" s="1085"/>
      <c r="N1394" s="1085"/>
      <c r="O1394" s="1085"/>
    </row>
    <row r="1395" spans="1:15" ht="15" customHeight="1">
      <c r="A1395" s="1052" t="s">
        <v>374</v>
      </c>
      <c r="B1395" s="869" t="s">
        <v>375</v>
      </c>
      <c r="C1395" s="1058" t="e">
        <f>VLOOKUP(B1389,'LƯƠNG KT'!$D$15:$U$94,8,0)*$L$11</f>
        <v>#N/A</v>
      </c>
      <c r="D1395" s="1059" t="e">
        <f>VLOOKUP(B1389,'LƯƠNG KT'!$D$15:$U$94,13,0)-D1394</f>
        <v>#N/A</v>
      </c>
      <c r="E1395" s="1063"/>
      <c r="F1395" s="1061"/>
      <c r="G1395" s="1052" t="s">
        <v>374</v>
      </c>
      <c r="H1395" s="869" t="s">
        <v>375</v>
      </c>
      <c r="I1395" s="1058" t="e">
        <f>VLOOKUP(H1389,'LƯƠNG KT'!$D$15:$U$94,8,0)*$L$11</f>
        <v>#N/A</v>
      </c>
      <c r="J1395" s="1059" t="e">
        <f>VLOOKUP(H1389,'LƯƠNG KT'!$D$15:$U$94,13,0)-J1394</f>
        <v>#N/A</v>
      </c>
      <c r="K1395" s="1085"/>
      <c r="L1395" s="1085"/>
      <c r="M1395" s="1085"/>
      <c r="N1395" s="1085"/>
      <c r="O1395" s="1085"/>
    </row>
    <row r="1396" spans="1:15" ht="15" customHeight="1">
      <c r="A1396" s="1059" t="s">
        <v>377</v>
      </c>
      <c r="B1396" s="869" t="s">
        <v>378</v>
      </c>
      <c r="C1396" s="1058"/>
      <c r="D1396" s="1059"/>
      <c r="E1396" s="1065"/>
      <c r="F1396" s="1065"/>
      <c r="G1396" s="1059" t="s">
        <v>377</v>
      </c>
      <c r="H1396" s="869" t="s">
        <v>378</v>
      </c>
      <c r="I1396" s="1058"/>
      <c r="J1396" s="1059"/>
    </row>
    <row r="1397" spans="1:15" ht="15" customHeight="1">
      <c r="A1397" s="1066" t="s">
        <v>379</v>
      </c>
      <c r="B1397" s="869" t="s">
        <v>380</v>
      </c>
      <c r="C1397" s="1058"/>
      <c r="D1397" s="1059"/>
      <c r="E1397" s="1063"/>
      <c r="F1397" s="1065"/>
      <c r="G1397" s="1066" t="s">
        <v>379</v>
      </c>
      <c r="H1397" s="869" t="s">
        <v>380</v>
      </c>
      <c r="I1397" s="1058"/>
      <c r="J1397" s="1059"/>
    </row>
    <row r="1398" spans="1:15" ht="15" customHeight="1">
      <c r="A1398" s="1052" t="s">
        <v>381</v>
      </c>
      <c r="B1398" s="869" t="s">
        <v>382</v>
      </c>
      <c r="C1398" s="1058"/>
      <c r="D1398" s="1059">
        <f>D1397</f>
        <v>0</v>
      </c>
      <c r="E1398" s="1067"/>
      <c r="F1398" s="1051"/>
      <c r="G1398" s="1052" t="s">
        <v>381</v>
      </c>
      <c r="H1398" s="869" t="s">
        <v>382</v>
      </c>
      <c r="I1398" s="1058"/>
      <c r="J1398" s="1059">
        <f>J1397</f>
        <v>0</v>
      </c>
    </row>
    <row r="1399" spans="1:15" ht="15" customHeight="1">
      <c r="A1399" s="1068" t="s">
        <v>383</v>
      </c>
      <c r="B1399" s="1069" t="s">
        <v>384</v>
      </c>
      <c r="C1399" s="1070"/>
      <c r="D1399" s="1071" t="e">
        <f>SUM(D1390:D1395)-D1398</f>
        <v>#N/A</v>
      </c>
      <c r="E1399" s="1072"/>
      <c r="F1399" s="1073"/>
      <c r="G1399" s="1068" t="s">
        <v>383</v>
      </c>
      <c r="H1399" s="1069" t="s">
        <v>384</v>
      </c>
      <c r="I1399" s="1070"/>
      <c r="J1399" s="1071" t="e">
        <f>SUM(J1390:J1395)-J1398</f>
        <v>#N/A</v>
      </c>
    </row>
    <row r="1400" spans="1:15" ht="12.6" customHeight="1">
      <c r="A1400" s="1074"/>
      <c r="B1400" s="1075"/>
      <c r="C1400" s="1076"/>
      <c r="D1400" s="1077"/>
      <c r="E1400" s="1077"/>
      <c r="F1400" s="1078"/>
      <c r="G1400" s="1074"/>
      <c r="H1400" s="1075"/>
      <c r="I1400" s="1076"/>
      <c r="J1400" s="1077"/>
    </row>
    <row r="1401" spans="1:15" ht="12.6" customHeight="1">
      <c r="A1401" s="1075"/>
      <c r="B1401" s="1075"/>
      <c r="C1401" s="1079"/>
      <c r="D1401" s="1080"/>
      <c r="E1401" s="1075"/>
      <c r="F1401" s="1081"/>
      <c r="G1401" s="1075"/>
      <c r="H1401" s="1075"/>
      <c r="I1401" s="1079"/>
      <c r="J1401" s="1080"/>
    </row>
    <row r="1402" spans="1:15" ht="15" customHeight="1">
      <c r="A1402" s="2242" t="str">
        <f>$K$2</f>
        <v>THÁNG 09/2024</v>
      </c>
      <c r="B1402" s="2242"/>
      <c r="C1402" s="2242"/>
      <c r="D1402" s="2242"/>
      <c r="E1402" s="1050"/>
      <c r="F1402" s="1051"/>
      <c r="G1402" s="2242" t="str">
        <f>$K$2</f>
        <v>THÁNG 09/2024</v>
      </c>
      <c r="H1402" s="2242"/>
      <c r="I1402" s="2242"/>
      <c r="J1402" s="2242"/>
      <c r="K1402" s="624"/>
    </row>
    <row r="1403" spans="1:15" ht="15" customHeight="1">
      <c r="A1403" s="1052" t="s">
        <v>356</v>
      </c>
      <c r="B1403" s="1053" t="s">
        <v>99</v>
      </c>
      <c r="C1403" s="869"/>
      <c r="D1403" s="1049"/>
      <c r="E1403" s="1054"/>
      <c r="F1403" s="1055"/>
      <c r="G1403" s="1052" t="s">
        <v>356</v>
      </c>
      <c r="H1403" s="1053" t="s">
        <v>100</v>
      </c>
      <c r="I1403" s="869"/>
      <c r="J1403" s="1049"/>
      <c r="L1403" s="1088"/>
      <c r="M1403" s="1088"/>
      <c r="N1403" s="1088"/>
      <c r="O1403" s="1088"/>
    </row>
    <row r="1404" spans="1:15" ht="15" customHeight="1">
      <c r="A1404" s="1052" t="s">
        <v>359</v>
      </c>
      <c r="B1404" s="1089" t="s">
        <v>360</v>
      </c>
      <c r="C1404" s="1058" t="e">
        <f>VLOOKUP(B1403,'LƯƠNG KT'!$D$15:$U$94,3,0)</f>
        <v>#N/A</v>
      </c>
      <c r="D1404" s="1059" t="e">
        <f>+C1404*25000</f>
        <v>#N/A</v>
      </c>
      <c r="E1404" s="1060"/>
      <c r="F1404" s="1060"/>
      <c r="G1404" s="1052" t="s">
        <v>359</v>
      </c>
      <c r="H1404" s="1089" t="s">
        <v>360</v>
      </c>
      <c r="I1404" s="1058" t="e">
        <f>VLOOKUP(H1403,'LƯƠNG KT'!$D$15:$U$94,3,0)</f>
        <v>#N/A</v>
      </c>
      <c r="J1404" s="1059" t="e">
        <f>+I1404*25000</f>
        <v>#N/A</v>
      </c>
      <c r="K1404" s="1085"/>
      <c r="L1404" s="1085"/>
      <c r="M1404" s="1085"/>
      <c r="N1404" s="1085"/>
      <c r="O1404" s="1085"/>
    </row>
    <row r="1405" spans="1:15" ht="15" customHeight="1">
      <c r="A1405" s="1052" t="s">
        <v>361</v>
      </c>
      <c r="B1405" s="869" t="s">
        <v>362</v>
      </c>
      <c r="C1405" s="1058" t="e">
        <f>VLOOKUP(B1403,'LƯƠNG KT'!$D$15:$U$94,14,0)</f>
        <v>#N/A</v>
      </c>
      <c r="D1405" s="1059" t="e">
        <f>C1405*$L$4</f>
        <v>#N/A</v>
      </c>
      <c r="E1405" s="1061"/>
      <c r="F1405" s="1061"/>
      <c r="G1405" s="1052" t="s">
        <v>361</v>
      </c>
      <c r="H1405" s="869" t="s">
        <v>362</v>
      </c>
      <c r="I1405" s="1058" t="e">
        <f>VLOOKUP(H1403,'LƯƠNG KT'!$D$15:$U$94,14,0)</f>
        <v>#N/A</v>
      </c>
      <c r="J1405" s="1059" t="e">
        <f>I1405*$L$4</f>
        <v>#N/A</v>
      </c>
      <c r="K1405" s="1085"/>
      <c r="L1405" s="1085"/>
      <c r="M1405" s="1085"/>
      <c r="N1405" s="1085"/>
      <c r="O1405" s="1085"/>
    </row>
    <row r="1406" spans="1:15" ht="15" customHeight="1">
      <c r="A1406" s="1052" t="s">
        <v>364</v>
      </c>
      <c r="B1406" s="869" t="s">
        <v>365</v>
      </c>
      <c r="C1406" s="1058" t="e">
        <f>VLOOKUP(B1403,'LƯƠNG KT'!$D$15:$U$94,15,0)</f>
        <v>#N/A</v>
      </c>
      <c r="D1406" s="1059" t="e">
        <f>C1406*$L$5</f>
        <v>#N/A</v>
      </c>
      <c r="E1406" s="1061"/>
      <c r="F1406" s="1061"/>
      <c r="G1406" s="1052" t="s">
        <v>364</v>
      </c>
      <c r="H1406" s="869" t="s">
        <v>365</v>
      </c>
      <c r="I1406" s="1058" t="e">
        <f>VLOOKUP(H1403,'LƯƠNG KT'!$D$15:$U$94,15,0)</f>
        <v>#N/A</v>
      </c>
      <c r="J1406" s="1059" t="e">
        <f>I1406*$L$5</f>
        <v>#N/A</v>
      </c>
      <c r="K1406" s="1085"/>
      <c r="L1406" s="1085"/>
      <c r="M1406" s="1085"/>
      <c r="N1406" s="1085"/>
      <c r="O1406" s="1085"/>
    </row>
    <row r="1407" spans="1:15" ht="15" customHeight="1">
      <c r="A1407" s="1052" t="s">
        <v>367</v>
      </c>
      <c r="B1407" s="869"/>
      <c r="C1407" s="1058" t="e">
        <f>VLOOKUP(B1403,'LƯƠNG KT'!$D$15:$U$94,16,0)</f>
        <v>#N/A</v>
      </c>
      <c r="D1407" s="1059" t="e">
        <f>+C1407*$L$6</f>
        <v>#N/A</v>
      </c>
      <c r="E1407" s="1061"/>
      <c r="F1407" s="1061"/>
      <c r="G1407" s="1052" t="s">
        <v>367</v>
      </c>
      <c r="H1407" s="869"/>
      <c r="I1407" s="1058" t="e">
        <f>VLOOKUP(H1403,'LƯƠNG KT'!$D$15:$U$94,16,0)</f>
        <v>#N/A</v>
      </c>
      <c r="J1407" s="1059" t="e">
        <f>+I1407*$L$6</f>
        <v>#N/A</v>
      </c>
      <c r="K1407" s="1085"/>
      <c r="L1407" s="1085"/>
      <c r="M1407" s="1085"/>
      <c r="N1407" s="1085"/>
      <c r="O1407" s="1085"/>
    </row>
    <row r="1408" spans="1:15" ht="15" customHeight="1">
      <c r="A1408" s="1052" t="s">
        <v>371</v>
      </c>
      <c r="B1408" s="869" t="s">
        <v>372</v>
      </c>
      <c r="C1408" s="1058" t="e">
        <f>VLOOKUP(B1403,'LƯƠNG KT'!$D$15:$U$94,9,0)*$L$10</f>
        <v>#N/A</v>
      </c>
      <c r="D1408" s="1059" t="e">
        <f>+C1408*0.5*3000</f>
        <v>#N/A</v>
      </c>
      <c r="E1408" s="1061"/>
      <c r="F1408" s="1061"/>
      <c r="G1408" s="1052" t="s">
        <v>371</v>
      </c>
      <c r="H1408" s="869" t="s">
        <v>372</v>
      </c>
      <c r="I1408" s="1058" t="e">
        <f>VLOOKUP(H1403,'LƯƠNG KT'!$D$15:$U$94,9,0)*$L$10</f>
        <v>#N/A</v>
      </c>
      <c r="J1408" s="1059" t="e">
        <f>+I1408*0.5*3000</f>
        <v>#N/A</v>
      </c>
      <c r="K1408" s="1085"/>
      <c r="L1408" s="1085"/>
      <c r="M1408" s="1085"/>
      <c r="N1408" s="1085"/>
      <c r="O1408" s="1085"/>
    </row>
    <row r="1409" spans="1:15" ht="15" customHeight="1">
      <c r="A1409" s="1052" t="s">
        <v>374</v>
      </c>
      <c r="B1409" s="869" t="s">
        <v>375</v>
      </c>
      <c r="C1409" s="1058" t="e">
        <f>VLOOKUP(B1403,'LƯƠNG KT'!$D$15:$U$94,8,0)*$L$11</f>
        <v>#N/A</v>
      </c>
      <c r="D1409" s="1059" t="e">
        <f>VLOOKUP(B1403,'LƯƠNG KT'!$D$15:$U$94,13,0)-D1408</f>
        <v>#N/A</v>
      </c>
      <c r="E1409" s="1063"/>
      <c r="F1409" s="1061"/>
      <c r="G1409" s="1052" t="s">
        <v>374</v>
      </c>
      <c r="H1409" s="869" t="s">
        <v>375</v>
      </c>
      <c r="I1409" s="1058" t="e">
        <f>VLOOKUP(H1403,'LƯƠNG KT'!$D$15:$U$94,8,0)*$L$11</f>
        <v>#N/A</v>
      </c>
      <c r="J1409" s="1059" t="e">
        <f>VLOOKUP(H1403,'LƯƠNG KT'!$D$15:$U$94,13,0)-J1408</f>
        <v>#N/A</v>
      </c>
      <c r="K1409" s="1085"/>
      <c r="L1409" s="1085"/>
      <c r="M1409" s="1085"/>
      <c r="N1409" s="1085"/>
      <c r="O1409" s="1085"/>
    </row>
    <row r="1410" spans="1:15" ht="15" customHeight="1">
      <c r="A1410" s="1059" t="s">
        <v>377</v>
      </c>
      <c r="B1410" s="869" t="s">
        <v>378</v>
      </c>
      <c r="C1410" s="1058"/>
      <c r="D1410" s="1059"/>
      <c r="E1410" s="1065"/>
      <c r="F1410" s="1065"/>
      <c r="G1410" s="1059" t="s">
        <v>377</v>
      </c>
      <c r="H1410" s="869" t="s">
        <v>378</v>
      </c>
      <c r="I1410" s="1058"/>
      <c r="J1410" s="1059"/>
    </row>
    <row r="1411" spans="1:15" ht="15" customHeight="1">
      <c r="A1411" s="1066" t="s">
        <v>379</v>
      </c>
      <c r="B1411" s="869" t="s">
        <v>380</v>
      </c>
      <c r="C1411" s="1058"/>
      <c r="D1411" s="1059"/>
      <c r="E1411" s="1063"/>
      <c r="F1411" s="1065"/>
      <c r="G1411" s="1066" t="s">
        <v>379</v>
      </c>
      <c r="H1411" s="869" t="s">
        <v>380</v>
      </c>
      <c r="I1411" s="1058"/>
      <c r="J1411" s="1059"/>
    </row>
    <row r="1412" spans="1:15" ht="15" customHeight="1">
      <c r="A1412" s="1052" t="s">
        <v>381</v>
      </c>
      <c r="B1412" s="869" t="s">
        <v>382</v>
      </c>
      <c r="C1412" s="1058"/>
      <c r="D1412" s="1059">
        <f>D1411</f>
        <v>0</v>
      </c>
      <c r="E1412" s="1067"/>
      <c r="F1412" s="1051"/>
      <c r="G1412" s="1052" t="s">
        <v>381</v>
      </c>
      <c r="H1412" s="869" t="s">
        <v>382</v>
      </c>
      <c r="I1412" s="1058"/>
      <c r="J1412" s="1059">
        <f>J1411</f>
        <v>0</v>
      </c>
    </row>
    <row r="1413" spans="1:15" ht="15" customHeight="1">
      <c r="A1413" s="1068" t="s">
        <v>383</v>
      </c>
      <c r="B1413" s="1069" t="s">
        <v>384</v>
      </c>
      <c r="C1413" s="1070"/>
      <c r="D1413" s="1071" t="e">
        <f>SUM(D1404:D1409)-D1412</f>
        <v>#N/A</v>
      </c>
      <c r="E1413" s="1072"/>
      <c r="F1413" s="1073"/>
      <c r="G1413" s="1068" t="s">
        <v>383</v>
      </c>
      <c r="H1413" s="1069" t="s">
        <v>384</v>
      </c>
      <c r="I1413" s="1070"/>
      <c r="J1413" s="1071" t="e">
        <f>SUM(J1404:J1409)-J1412</f>
        <v>#N/A</v>
      </c>
    </row>
    <row r="1414" spans="1:15" ht="18.75" customHeight="1">
      <c r="A1414" s="1074"/>
      <c r="B1414" s="1075"/>
      <c r="C1414" s="1076"/>
      <c r="D1414" s="1077"/>
      <c r="E1414" s="1077"/>
      <c r="F1414" s="1078"/>
      <c r="G1414" s="1074"/>
      <c r="H1414" s="1075"/>
      <c r="I1414" s="1076"/>
      <c r="J1414" s="1077"/>
    </row>
    <row r="1415" spans="1:15" ht="18.75" customHeight="1">
      <c r="A1415" s="1075"/>
      <c r="B1415" s="1075"/>
      <c r="C1415" s="1079"/>
      <c r="D1415" s="1080"/>
      <c r="E1415" s="1075"/>
      <c r="F1415" s="1081"/>
      <c r="G1415" s="1075"/>
      <c r="H1415" s="1075"/>
      <c r="I1415" s="1079"/>
      <c r="J1415" s="1080"/>
    </row>
    <row r="1416" spans="1:15" ht="15" customHeight="1">
      <c r="A1416" s="2242" t="str">
        <f>$K$2</f>
        <v>THÁNG 09/2024</v>
      </c>
      <c r="B1416" s="2242"/>
      <c r="C1416" s="2242"/>
      <c r="D1416" s="2242"/>
      <c r="E1416" s="1050"/>
      <c r="F1416" s="1051"/>
      <c r="G1416" s="2242" t="str">
        <f>$K$2</f>
        <v>THÁNG 09/2024</v>
      </c>
      <c r="H1416" s="2242"/>
      <c r="I1416" s="2242"/>
      <c r="J1416" s="2242"/>
      <c r="K1416" s="624"/>
    </row>
    <row r="1417" spans="1:15" ht="15" customHeight="1">
      <c r="A1417" s="1052" t="s">
        <v>356</v>
      </c>
      <c r="B1417" s="1053" t="s">
        <v>101</v>
      </c>
      <c r="C1417" s="869"/>
      <c r="D1417" s="1049"/>
      <c r="E1417" s="1054"/>
      <c r="F1417" s="1055"/>
      <c r="G1417" s="1052" t="s">
        <v>356</v>
      </c>
      <c r="H1417" s="1053" t="s">
        <v>102</v>
      </c>
      <c r="I1417" s="869"/>
      <c r="J1417" s="1049"/>
      <c r="L1417" s="1088"/>
      <c r="M1417" s="1088"/>
      <c r="N1417" s="1088"/>
      <c r="O1417" s="1088"/>
    </row>
    <row r="1418" spans="1:15" ht="15" customHeight="1">
      <c r="A1418" s="1052" t="s">
        <v>359</v>
      </c>
      <c r="B1418" s="1089" t="s">
        <v>360</v>
      </c>
      <c r="C1418" s="1058" t="e">
        <f>VLOOKUP(B1417,'LƯƠNG KT'!$D$15:$U$94,3,0)</f>
        <v>#N/A</v>
      </c>
      <c r="D1418" s="1059" t="e">
        <f>+C1418*25000</f>
        <v>#N/A</v>
      </c>
      <c r="E1418" s="1060"/>
      <c r="F1418" s="1060"/>
      <c r="G1418" s="1052" t="s">
        <v>359</v>
      </c>
      <c r="H1418" s="1089" t="s">
        <v>360</v>
      </c>
      <c r="I1418" s="1058" t="e">
        <f>VLOOKUP(H1417,'LƯƠNG KT'!$D$15:$U$94,3,0)</f>
        <v>#N/A</v>
      </c>
      <c r="J1418" s="1059" t="e">
        <f>+I1418*25000</f>
        <v>#N/A</v>
      </c>
      <c r="K1418" s="1085"/>
      <c r="L1418" s="1085"/>
      <c r="M1418" s="1085"/>
      <c r="N1418" s="1085"/>
      <c r="O1418" s="1085"/>
    </row>
    <row r="1419" spans="1:15" ht="15" customHeight="1">
      <c r="A1419" s="1052" t="s">
        <v>361</v>
      </c>
      <c r="B1419" s="869" t="s">
        <v>362</v>
      </c>
      <c r="C1419" s="1058" t="e">
        <f>VLOOKUP(B1417,'LƯƠNG KT'!$D$15:$U$94,14,0)</f>
        <v>#N/A</v>
      </c>
      <c r="D1419" s="1059" t="e">
        <f>C1419*$L$4</f>
        <v>#N/A</v>
      </c>
      <c r="E1419" s="1061"/>
      <c r="F1419" s="1061"/>
      <c r="G1419" s="1052" t="s">
        <v>361</v>
      </c>
      <c r="H1419" s="869" t="s">
        <v>362</v>
      </c>
      <c r="I1419" s="1058" t="e">
        <f>VLOOKUP(H1417,'LƯƠNG KT'!$D$15:$U$94,14,0)</f>
        <v>#N/A</v>
      </c>
      <c r="J1419" s="1059" t="e">
        <f>I1419*$L$4</f>
        <v>#N/A</v>
      </c>
      <c r="K1419" s="1085"/>
      <c r="L1419" s="1085"/>
      <c r="M1419" s="1085"/>
      <c r="N1419" s="1085"/>
      <c r="O1419" s="1085"/>
    </row>
    <row r="1420" spans="1:15" ht="15" customHeight="1">
      <c r="A1420" s="1052" t="s">
        <v>364</v>
      </c>
      <c r="B1420" s="869" t="s">
        <v>365</v>
      </c>
      <c r="C1420" s="1058" t="e">
        <f>VLOOKUP(B1417,'LƯƠNG KT'!$D$15:$U$94,15,0)</f>
        <v>#N/A</v>
      </c>
      <c r="D1420" s="1059" t="e">
        <f>C1420*$L$5</f>
        <v>#N/A</v>
      </c>
      <c r="E1420" s="1061"/>
      <c r="F1420" s="1061"/>
      <c r="G1420" s="1052" t="s">
        <v>364</v>
      </c>
      <c r="H1420" s="869" t="s">
        <v>365</v>
      </c>
      <c r="I1420" s="1058" t="e">
        <f>VLOOKUP(H1417,'LƯƠNG KT'!$D$15:$U$94,15,0)</f>
        <v>#N/A</v>
      </c>
      <c r="J1420" s="1059" t="e">
        <f>I1420*$L$5</f>
        <v>#N/A</v>
      </c>
      <c r="K1420" s="1085"/>
      <c r="L1420" s="1085"/>
      <c r="M1420" s="1085"/>
      <c r="N1420" s="1085"/>
      <c r="O1420" s="1085"/>
    </row>
    <row r="1421" spans="1:15" ht="15" customHeight="1">
      <c r="A1421" s="1052" t="s">
        <v>367</v>
      </c>
      <c r="B1421" s="869"/>
      <c r="C1421" s="1058" t="e">
        <f>VLOOKUP(B1417,'LƯƠNG KT'!$D$15:$U$94,16,0)</f>
        <v>#N/A</v>
      </c>
      <c r="D1421" s="1059" t="e">
        <f>+C1421*$L$6</f>
        <v>#N/A</v>
      </c>
      <c r="E1421" s="1061"/>
      <c r="F1421" s="1061"/>
      <c r="G1421" s="1052" t="s">
        <v>367</v>
      </c>
      <c r="H1421" s="869"/>
      <c r="I1421" s="1058" t="e">
        <f>VLOOKUP(H1417,'LƯƠNG KT'!$D$15:$U$94,16,0)</f>
        <v>#N/A</v>
      </c>
      <c r="J1421" s="1059" t="e">
        <f>+I1421*$L$6</f>
        <v>#N/A</v>
      </c>
      <c r="K1421" s="1085"/>
      <c r="L1421" s="1085"/>
      <c r="M1421" s="1085"/>
      <c r="N1421" s="1085"/>
      <c r="O1421" s="1085"/>
    </row>
    <row r="1422" spans="1:15" ht="15" customHeight="1">
      <c r="A1422" s="1052" t="s">
        <v>371</v>
      </c>
      <c r="B1422" s="869" t="s">
        <v>372</v>
      </c>
      <c r="C1422" s="1058" t="e">
        <f>VLOOKUP(B1417,'LƯƠNG KT'!$D$15:$U$94,9,0)*$L$10</f>
        <v>#N/A</v>
      </c>
      <c r="D1422" s="1059" t="e">
        <f>+C1422*0.5*3000</f>
        <v>#N/A</v>
      </c>
      <c r="E1422" s="1061"/>
      <c r="F1422" s="1061"/>
      <c r="G1422" s="1052" t="s">
        <v>371</v>
      </c>
      <c r="H1422" s="869" t="s">
        <v>372</v>
      </c>
      <c r="I1422" s="1058" t="e">
        <f>VLOOKUP(H1417,'LƯƠNG KT'!$D$15:$U$94,9,0)*$L$10</f>
        <v>#N/A</v>
      </c>
      <c r="J1422" s="1059" t="e">
        <f>+I1422*0.5*3000</f>
        <v>#N/A</v>
      </c>
      <c r="K1422" s="1085"/>
      <c r="L1422" s="1085"/>
      <c r="M1422" s="1085"/>
      <c r="N1422" s="1085"/>
      <c r="O1422" s="1085"/>
    </row>
    <row r="1423" spans="1:15" ht="15" customHeight="1">
      <c r="A1423" s="1052" t="s">
        <v>374</v>
      </c>
      <c r="B1423" s="869" t="s">
        <v>375</v>
      </c>
      <c r="C1423" s="1058" t="e">
        <f>VLOOKUP(B1417,'LƯƠNG KT'!$D$15:$U$94,8,0)*$L$11</f>
        <v>#N/A</v>
      </c>
      <c r="D1423" s="1059" t="e">
        <f>VLOOKUP(B1417,'LƯƠNG KT'!$D$15:$U$94,13,0)-D1422</f>
        <v>#N/A</v>
      </c>
      <c r="E1423" s="1063"/>
      <c r="F1423" s="1061"/>
      <c r="G1423" s="1052" t="s">
        <v>374</v>
      </c>
      <c r="H1423" s="869" t="s">
        <v>375</v>
      </c>
      <c r="I1423" s="1058" t="e">
        <f>VLOOKUP(H1417,'LƯƠNG KT'!$D$15:$U$94,8,0)*$L$11</f>
        <v>#N/A</v>
      </c>
      <c r="J1423" s="1059" t="e">
        <f>VLOOKUP(H1417,'LƯƠNG KT'!$D$15:$U$94,13,0)-J1422</f>
        <v>#N/A</v>
      </c>
      <c r="K1423" s="1085"/>
      <c r="L1423" s="1085"/>
      <c r="M1423" s="1085"/>
      <c r="N1423" s="1085"/>
      <c r="O1423" s="1085"/>
    </row>
    <row r="1424" spans="1:15" ht="15" customHeight="1">
      <c r="A1424" s="1059" t="s">
        <v>377</v>
      </c>
      <c r="B1424" s="869" t="s">
        <v>378</v>
      </c>
      <c r="C1424" s="1058"/>
      <c r="D1424" s="1059"/>
      <c r="E1424" s="1065"/>
      <c r="F1424" s="1065"/>
      <c r="G1424" s="1059" t="s">
        <v>377</v>
      </c>
      <c r="H1424" s="869" t="s">
        <v>378</v>
      </c>
      <c r="I1424" s="1058"/>
      <c r="J1424" s="1059"/>
    </row>
    <row r="1425" spans="1:15" ht="15" customHeight="1">
      <c r="A1425" s="1066" t="s">
        <v>379</v>
      </c>
      <c r="B1425" s="869" t="s">
        <v>380</v>
      </c>
      <c r="C1425" s="1058"/>
      <c r="D1425" s="1059"/>
      <c r="E1425" s="1063"/>
      <c r="F1425" s="1065"/>
      <c r="G1425" s="1066" t="s">
        <v>379</v>
      </c>
      <c r="H1425" s="869" t="s">
        <v>380</v>
      </c>
      <c r="I1425" s="1058"/>
      <c r="J1425" s="1059"/>
    </row>
    <row r="1426" spans="1:15" ht="15" customHeight="1">
      <c r="A1426" s="1052" t="s">
        <v>381</v>
      </c>
      <c r="B1426" s="869" t="s">
        <v>382</v>
      </c>
      <c r="C1426" s="1058"/>
      <c r="D1426" s="1059">
        <f>D1425</f>
        <v>0</v>
      </c>
      <c r="E1426" s="1067"/>
      <c r="F1426" s="1051"/>
      <c r="G1426" s="1052" t="s">
        <v>381</v>
      </c>
      <c r="H1426" s="869" t="s">
        <v>382</v>
      </c>
      <c r="I1426" s="1058"/>
      <c r="J1426" s="1059">
        <f>J1425</f>
        <v>0</v>
      </c>
    </row>
    <row r="1427" spans="1:15" ht="15" customHeight="1">
      <c r="A1427" s="1068" t="s">
        <v>383</v>
      </c>
      <c r="B1427" s="1069" t="s">
        <v>384</v>
      </c>
      <c r="C1427" s="1070"/>
      <c r="D1427" s="1071" t="e">
        <f>SUM(D1418:D1423)-D1426</f>
        <v>#N/A</v>
      </c>
      <c r="E1427" s="1072"/>
      <c r="F1427" s="1073"/>
      <c r="G1427" s="1068" t="s">
        <v>383</v>
      </c>
      <c r="H1427" s="1069" t="s">
        <v>384</v>
      </c>
      <c r="I1427" s="1070"/>
      <c r="J1427" s="1071" t="e">
        <f>SUM(J1418:J1423)-J1426</f>
        <v>#N/A</v>
      </c>
    </row>
    <row r="1428" spans="1:15" ht="18.75" customHeight="1">
      <c r="A1428" s="1074"/>
      <c r="B1428" s="1075"/>
      <c r="C1428" s="1076"/>
      <c r="D1428" s="1077"/>
      <c r="E1428" s="1077"/>
      <c r="F1428" s="1078"/>
      <c r="G1428" s="1074"/>
      <c r="H1428" s="1075"/>
      <c r="I1428" s="1076"/>
      <c r="J1428" s="1077"/>
    </row>
    <row r="1429" spans="1:15" ht="18.75" customHeight="1">
      <c r="A1429" s="1075"/>
      <c r="B1429" s="1075"/>
      <c r="C1429" s="1079"/>
      <c r="D1429" s="1080"/>
      <c r="E1429" s="1075"/>
      <c r="F1429" s="1081"/>
      <c r="G1429" s="1075"/>
      <c r="H1429" s="1075"/>
      <c r="I1429" s="1079"/>
      <c r="J1429" s="1080"/>
    </row>
    <row r="1430" spans="1:15" ht="15" customHeight="1">
      <c r="A1430" s="2242" t="str">
        <f>$K$2</f>
        <v>THÁNG 09/2024</v>
      </c>
      <c r="B1430" s="2242"/>
      <c r="C1430" s="2242"/>
      <c r="D1430" s="2242"/>
      <c r="E1430" s="1050"/>
      <c r="F1430" s="1051"/>
      <c r="G1430" s="2242" t="str">
        <f>$K$2</f>
        <v>THÁNG 09/2024</v>
      </c>
      <c r="H1430" s="2242"/>
      <c r="I1430" s="2242"/>
      <c r="J1430" s="2242"/>
      <c r="K1430" s="624"/>
    </row>
    <row r="1431" spans="1:15" ht="15" customHeight="1">
      <c r="A1431" s="1052" t="s">
        <v>356</v>
      </c>
      <c r="B1431" s="1053" t="s">
        <v>487</v>
      </c>
      <c r="C1431" s="869"/>
      <c r="D1431" s="1049"/>
      <c r="E1431" s="1054"/>
      <c r="F1431" s="1055"/>
      <c r="G1431" s="1052" t="s">
        <v>356</v>
      </c>
      <c r="H1431" s="1053" t="s">
        <v>488</v>
      </c>
      <c r="I1431" s="869"/>
      <c r="J1431" s="1049"/>
      <c r="L1431" s="1088"/>
      <c r="M1431" s="1088"/>
      <c r="N1431" s="1088"/>
      <c r="O1431" s="1088"/>
    </row>
    <row r="1432" spans="1:15" ht="15" customHeight="1">
      <c r="A1432" s="1052" t="s">
        <v>359</v>
      </c>
      <c r="B1432" s="1089" t="s">
        <v>360</v>
      </c>
      <c r="C1432" s="1058" t="e">
        <f>VLOOKUP(B1431,'LƯƠNG KT'!$D$15:$U$94,3,0)</f>
        <v>#N/A</v>
      </c>
      <c r="D1432" s="1059" t="e">
        <f>+C1432*25000</f>
        <v>#N/A</v>
      </c>
      <c r="E1432" s="1060"/>
      <c r="F1432" s="1060"/>
      <c r="G1432" s="1052" t="s">
        <v>359</v>
      </c>
      <c r="H1432" s="1089" t="s">
        <v>360</v>
      </c>
      <c r="I1432" s="1058" t="e">
        <f>VLOOKUP(H1431,'LƯƠNG KT'!$D$15:$U$94,3,0)</f>
        <v>#N/A</v>
      </c>
      <c r="J1432" s="1059" t="e">
        <f>+I1432*25000</f>
        <v>#N/A</v>
      </c>
      <c r="K1432" s="1085"/>
      <c r="L1432" s="1085"/>
      <c r="M1432" s="1085"/>
      <c r="N1432" s="1085"/>
      <c r="O1432" s="1085"/>
    </row>
    <row r="1433" spans="1:15" ht="15" customHeight="1">
      <c r="A1433" s="1052" t="s">
        <v>361</v>
      </c>
      <c r="B1433" s="869" t="s">
        <v>362</v>
      </c>
      <c r="C1433" s="1058" t="e">
        <f>VLOOKUP(B1431,'LƯƠNG KT'!$D$15:$U$94,14,0)</f>
        <v>#N/A</v>
      </c>
      <c r="D1433" s="1059" t="e">
        <f>C1433*$L$4</f>
        <v>#N/A</v>
      </c>
      <c r="E1433" s="1061"/>
      <c r="F1433" s="1061"/>
      <c r="G1433" s="1052" t="s">
        <v>361</v>
      </c>
      <c r="H1433" s="869" t="s">
        <v>362</v>
      </c>
      <c r="I1433" s="1058" t="e">
        <f>VLOOKUP(H1431,'LƯƠNG KT'!$D$15:$U$94,14,0)</f>
        <v>#N/A</v>
      </c>
      <c r="J1433" s="1059" t="e">
        <f>I1433*$L$4</f>
        <v>#N/A</v>
      </c>
      <c r="K1433" s="1085"/>
      <c r="L1433" s="1085"/>
      <c r="M1433" s="1085"/>
      <c r="N1433" s="1085"/>
      <c r="O1433" s="1085"/>
    </row>
    <row r="1434" spans="1:15" ht="15" customHeight="1">
      <c r="A1434" s="1052" t="s">
        <v>364</v>
      </c>
      <c r="B1434" s="869" t="s">
        <v>365</v>
      </c>
      <c r="C1434" s="1058" t="e">
        <f>VLOOKUP(B1431,'LƯƠNG KT'!$D$15:$U$94,15,0)</f>
        <v>#N/A</v>
      </c>
      <c r="D1434" s="1059" t="e">
        <f>C1434*$L$5</f>
        <v>#N/A</v>
      </c>
      <c r="E1434" s="1061"/>
      <c r="F1434" s="1061"/>
      <c r="G1434" s="1052" t="s">
        <v>364</v>
      </c>
      <c r="H1434" s="869" t="s">
        <v>365</v>
      </c>
      <c r="I1434" s="1058" t="e">
        <f>VLOOKUP(H1431,'LƯƠNG KT'!$D$15:$U$94,15,0)</f>
        <v>#N/A</v>
      </c>
      <c r="J1434" s="1059" t="e">
        <f>I1434*$L$5</f>
        <v>#N/A</v>
      </c>
      <c r="K1434" s="1085"/>
      <c r="L1434" s="1085"/>
      <c r="M1434" s="1085"/>
      <c r="N1434" s="1085"/>
      <c r="O1434" s="1085"/>
    </row>
    <row r="1435" spans="1:15" ht="15" customHeight="1">
      <c r="A1435" s="1052" t="s">
        <v>367</v>
      </c>
      <c r="B1435" s="869"/>
      <c r="C1435" s="1058" t="e">
        <f>VLOOKUP(B1431,'LƯƠNG KT'!$D$15:$U$94,16,0)</f>
        <v>#N/A</v>
      </c>
      <c r="D1435" s="1059" t="e">
        <f>+C1435*$L$6</f>
        <v>#N/A</v>
      </c>
      <c r="E1435" s="1061"/>
      <c r="F1435" s="1061"/>
      <c r="G1435" s="1052" t="s">
        <v>367</v>
      </c>
      <c r="H1435" s="869"/>
      <c r="I1435" s="1058" t="e">
        <f>VLOOKUP(H1431,'LƯƠNG KT'!$D$15:$U$94,16,0)</f>
        <v>#N/A</v>
      </c>
      <c r="J1435" s="1059" t="e">
        <f>+I1435*$L$6</f>
        <v>#N/A</v>
      </c>
      <c r="K1435" s="1085"/>
      <c r="L1435" s="1085"/>
      <c r="M1435" s="1085"/>
      <c r="N1435" s="1085"/>
      <c r="O1435" s="1085"/>
    </row>
    <row r="1436" spans="1:15" ht="15" customHeight="1">
      <c r="A1436" s="1052" t="s">
        <v>371</v>
      </c>
      <c r="B1436" s="869" t="s">
        <v>372</v>
      </c>
      <c r="C1436" s="1058" t="e">
        <f>VLOOKUP(B1431,'LƯƠNG KT'!$D$15:$U$94,9,0)*$L$10</f>
        <v>#N/A</v>
      </c>
      <c r="D1436" s="1059" t="e">
        <f>+C1436*0.5*3000</f>
        <v>#N/A</v>
      </c>
      <c r="E1436" s="1061"/>
      <c r="F1436" s="1061"/>
      <c r="G1436" s="1052" t="s">
        <v>371</v>
      </c>
      <c r="H1436" s="869" t="s">
        <v>372</v>
      </c>
      <c r="I1436" s="1058" t="e">
        <f>VLOOKUP(H1431,'LƯƠNG KT'!$D$15:$U$94,9,0)*$L$10</f>
        <v>#N/A</v>
      </c>
      <c r="J1436" s="1059" t="e">
        <f>+I1436*0.5*3000</f>
        <v>#N/A</v>
      </c>
      <c r="K1436" s="1085"/>
      <c r="L1436" s="1085"/>
      <c r="M1436" s="1085"/>
      <c r="N1436" s="1085"/>
      <c r="O1436" s="1085"/>
    </row>
    <row r="1437" spans="1:15" ht="15" customHeight="1">
      <c r="A1437" s="1052" t="s">
        <v>374</v>
      </c>
      <c r="B1437" s="869" t="s">
        <v>375</v>
      </c>
      <c r="C1437" s="1058" t="e">
        <f>VLOOKUP(B1431,'LƯƠNG KT'!$D$15:$U$94,8,0)*$L$11</f>
        <v>#N/A</v>
      </c>
      <c r="D1437" s="1059" t="e">
        <f>VLOOKUP(B1431,'LƯƠNG KT'!$D$15:$U$94,13,0)-D1436</f>
        <v>#N/A</v>
      </c>
      <c r="E1437" s="1063"/>
      <c r="F1437" s="1061"/>
      <c r="G1437" s="1052" t="s">
        <v>374</v>
      </c>
      <c r="H1437" s="869" t="s">
        <v>375</v>
      </c>
      <c r="I1437" s="1058" t="e">
        <f>VLOOKUP(H1431,'LƯƠNG KT'!$D$15:$U$94,8,0)*$L$11</f>
        <v>#N/A</v>
      </c>
      <c r="J1437" s="1059" t="e">
        <f>VLOOKUP(H1431,'LƯƠNG KT'!$D$15:$U$94,13,0)-J1436</f>
        <v>#N/A</v>
      </c>
      <c r="K1437" s="1085"/>
      <c r="L1437" s="1085"/>
      <c r="M1437" s="1085"/>
      <c r="N1437" s="1085"/>
      <c r="O1437" s="1085"/>
    </row>
    <row r="1438" spans="1:15" ht="15" customHeight="1">
      <c r="A1438" s="1059" t="s">
        <v>377</v>
      </c>
      <c r="B1438" s="869" t="s">
        <v>378</v>
      </c>
      <c r="C1438" s="1058"/>
      <c r="D1438" s="1059"/>
      <c r="E1438" s="1065"/>
      <c r="F1438" s="1065"/>
      <c r="G1438" s="1059" t="s">
        <v>377</v>
      </c>
      <c r="H1438" s="869" t="s">
        <v>378</v>
      </c>
      <c r="I1438" s="1058"/>
      <c r="J1438" s="1059"/>
    </row>
    <row r="1439" spans="1:15" ht="15" customHeight="1">
      <c r="A1439" s="1066" t="s">
        <v>379</v>
      </c>
      <c r="B1439" s="869" t="s">
        <v>380</v>
      </c>
      <c r="C1439" s="1058"/>
      <c r="D1439" s="1059"/>
      <c r="E1439" s="1063"/>
      <c r="F1439" s="1065"/>
      <c r="G1439" s="1066" t="s">
        <v>379</v>
      </c>
      <c r="H1439" s="869" t="s">
        <v>380</v>
      </c>
      <c r="I1439" s="1058"/>
      <c r="J1439" s="1059"/>
    </row>
    <row r="1440" spans="1:15" ht="15" customHeight="1">
      <c r="A1440" s="1052" t="s">
        <v>381</v>
      </c>
      <c r="B1440" s="869" t="s">
        <v>382</v>
      </c>
      <c r="C1440" s="1058"/>
      <c r="D1440" s="1059">
        <f>D1439</f>
        <v>0</v>
      </c>
      <c r="E1440" s="1067"/>
      <c r="F1440" s="1051"/>
      <c r="G1440" s="1052" t="s">
        <v>381</v>
      </c>
      <c r="H1440" s="869" t="s">
        <v>382</v>
      </c>
      <c r="I1440" s="1058"/>
      <c r="J1440" s="1059">
        <f>J1439</f>
        <v>0</v>
      </c>
    </row>
    <row r="1441" spans="1:15" ht="15" customHeight="1">
      <c r="A1441" s="1068" t="s">
        <v>383</v>
      </c>
      <c r="B1441" s="1069" t="s">
        <v>384</v>
      </c>
      <c r="C1441" s="1070"/>
      <c r="D1441" s="1071" t="e">
        <f>SUM(D1432:D1437)-D1440</f>
        <v>#N/A</v>
      </c>
      <c r="E1441" s="1072"/>
      <c r="F1441" s="1073"/>
      <c r="G1441" s="1068" t="s">
        <v>383</v>
      </c>
      <c r="H1441" s="1069" t="s">
        <v>384</v>
      </c>
      <c r="I1441" s="1070"/>
      <c r="J1441" s="1071" t="e">
        <f>SUM(J1432:J1437)-J1440</f>
        <v>#N/A</v>
      </c>
    </row>
    <row r="1442" spans="1:15" ht="15.75" customHeight="1">
      <c r="A1442" s="1074"/>
      <c r="B1442" s="1075"/>
      <c r="C1442" s="1076"/>
      <c r="D1442" s="1077"/>
      <c r="E1442" s="1077"/>
      <c r="F1442" s="1078"/>
      <c r="G1442" s="1074"/>
      <c r="H1442" s="1075"/>
      <c r="I1442" s="1076"/>
      <c r="J1442" s="1077"/>
    </row>
    <row r="1444" spans="1:15" ht="12" customHeight="1">
      <c r="A1444" s="2243"/>
      <c r="B1444" s="2243"/>
      <c r="C1444" s="2243"/>
      <c r="D1444" s="2243"/>
      <c r="E1444" s="2243"/>
      <c r="F1444" s="2243"/>
      <c r="G1444" s="2243"/>
      <c r="H1444" s="2243"/>
      <c r="I1444" s="2243"/>
      <c r="J1444" s="2243"/>
    </row>
    <row r="1445" spans="1:15" ht="15" customHeight="1">
      <c r="A1445" s="2242" t="str">
        <f>$K$2</f>
        <v>THÁNG 09/2024</v>
      </c>
      <c r="B1445" s="2242"/>
      <c r="C1445" s="2242"/>
      <c r="D1445" s="2242"/>
      <c r="E1445" s="1050"/>
      <c r="F1445" s="1051"/>
      <c r="G1445" s="2242" t="str">
        <f>$K$2</f>
        <v>THÁNG 09/2024</v>
      </c>
      <c r="H1445" s="2242"/>
      <c r="I1445" s="2242"/>
      <c r="J1445" s="2242"/>
      <c r="K1445" s="624"/>
    </row>
    <row r="1446" spans="1:15" ht="15" customHeight="1">
      <c r="A1446" s="1052" t="s">
        <v>356</v>
      </c>
      <c r="B1446" s="1053" t="s">
        <v>489</v>
      </c>
      <c r="C1446" s="869"/>
      <c r="D1446" s="1049"/>
      <c r="E1446" s="1054"/>
      <c r="F1446" s="1055"/>
      <c r="G1446" s="1052" t="s">
        <v>356</v>
      </c>
      <c r="H1446" s="1053" t="s">
        <v>490</v>
      </c>
      <c r="I1446" s="869"/>
      <c r="J1446" s="1049"/>
      <c r="L1446" s="1088"/>
      <c r="M1446" s="1088"/>
      <c r="N1446" s="1088"/>
      <c r="O1446" s="1088"/>
    </row>
    <row r="1447" spans="1:15" ht="15" customHeight="1">
      <c r="A1447" s="1052" t="s">
        <v>359</v>
      </c>
      <c r="B1447" s="1089" t="s">
        <v>360</v>
      </c>
      <c r="C1447" s="1058" t="e">
        <f>VLOOKUP(B1446,'LƯƠNG KT'!$D$15:$U$94,3,0)</f>
        <v>#N/A</v>
      </c>
      <c r="D1447" s="1059" t="e">
        <f>+C1447*25000</f>
        <v>#N/A</v>
      </c>
      <c r="E1447" s="1060"/>
      <c r="F1447" s="1060"/>
      <c r="G1447" s="1052" t="s">
        <v>359</v>
      </c>
      <c r="H1447" s="1089" t="s">
        <v>360</v>
      </c>
      <c r="I1447" s="1058" t="e">
        <f>VLOOKUP(H1446,'LƯƠNG KT'!$D$15:$U$94,3,0)</f>
        <v>#N/A</v>
      </c>
      <c r="J1447" s="1059" t="e">
        <f>+I1447*25000</f>
        <v>#N/A</v>
      </c>
      <c r="K1447" s="1084"/>
      <c r="L1447" s="1085"/>
      <c r="M1447" s="1085"/>
      <c r="N1447" s="1085"/>
      <c r="O1447" s="1085"/>
    </row>
    <row r="1448" spans="1:15" ht="15" customHeight="1">
      <c r="A1448" s="1052" t="s">
        <v>361</v>
      </c>
      <c r="B1448" s="869" t="s">
        <v>362</v>
      </c>
      <c r="C1448" s="1058" t="e">
        <f>VLOOKUP(B1446,'LƯƠNG KT'!$D$15:$U$94,14,0)</f>
        <v>#N/A</v>
      </c>
      <c r="D1448" s="1059" t="e">
        <f>C1448*$L$4</f>
        <v>#N/A</v>
      </c>
      <c r="E1448" s="1061"/>
      <c r="F1448" s="1061"/>
      <c r="G1448" s="1052" t="s">
        <v>361</v>
      </c>
      <c r="H1448" s="869" t="s">
        <v>362</v>
      </c>
      <c r="I1448" s="1058" t="e">
        <f>VLOOKUP(H1446,'LƯƠNG KT'!$D$15:$U$94,14,0)</f>
        <v>#N/A</v>
      </c>
      <c r="J1448" s="1059" t="e">
        <f>I1448*$L$4</f>
        <v>#N/A</v>
      </c>
      <c r="K1448" s="1084"/>
      <c r="L1448" s="1085"/>
      <c r="M1448" s="1085"/>
      <c r="N1448" s="1085"/>
      <c r="O1448" s="1085"/>
    </row>
    <row r="1449" spans="1:15" ht="15" customHeight="1">
      <c r="A1449" s="1052" t="s">
        <v>364</v>
      </c>
      <c r="B1449" s="869" t="s">
        <v>365</v>
      </c>
      <c r="C1449" s="1058" t="e">
        <f>VLOOKUP(B1446,'LƯƠNG KT'!$D$15:$U$94,15,0)</f>
        <v>#N/A</v>
      </c>
      <c r="D1449" s="1059" t="e">
        <f>C1449*$L$5</f>
        <v>#N/A</v>
      </c>
      <c r="E1449" s="1061"/>
      <c r="F1449" s="1061"/>
      <c r="G1449" s="1052" t="s">
        <v>364</v>
      </c>
      <c r="H1449" s="869" t="s">
        <v>365</v>
      </c>
      <c r="I1449" s="1058" t="e">
        <f>VLOOKUP(H1446,'LƯƠNG KT'!$D$15:$U$94,15,0)</f>
        <v>#N/A</v>
      </c>
      <c r="J1449" s="1059" t="e">
        <f>I1449*$L$5</f>
        <v>#N/A</v>
      </c>
      <c r="K1449" s="1084"/>
      <c r="L1449" s="1085"/>
      <c r="M1449" s="1085"/>
      <c r="N1449" s="1085"/>
      <c r="O1449" s="1085"/>
    </row>
    <row r="1450" spans="1:15" ht="15" customHeight="1">
      <c r="A1450" s="1052" t="s">
        <v>367</v>
      </c>
      <c r="B1450" s="869"/>
      <c r="C1450" s="1058" t="e">
        <f>VLOOKUP(B1446,'LƯƠNG KT'!$D$15:$U$94,16,0)</f>
        <v>#N/A</v>
      </c>
      <c r="D1450" s="1059" t="e">
        <f>+C1450*$L$6</f>
        <v>#N/A</v>
      </c>
      <c r="E1450" s="1061"/>
      <c r="F1450" s="1061"/>
      <c r="G1450" s="1052" t="s">
        <v>367</v>
      </c>
      <c r="H1450" s="869"/>
      <c r="I1450" s="1058" t="e">
        <f>VLOOKUP(H1446,'LƯƠNG KT'!$D$15:$U$94,16,0)</f>
        <v>#N/A</v>
      </c>
      <c r="J1450" s="1059" t="e">
        <f>+I1450*$L$6</f>
        <v>#N/A</v>
      </c>
      <c r="K1450" s="1085"/>
      <c r="L1450" s="1085"/>
      <c r="M1450" s="1085"/>
      <c r="N1450" s="1085"/>
      <c r="O1450" s="1085"/>
    </row>
    <row r="1451" spans="1:15" ht="15" customHeight="1">
      <c r="A1451" s="1052" t="s">
        <v>371</v>
      </c>
      <c r="B1451" s="869" t="s">
        <v>372</v>
      </c>
      <c r="C1451" s="1058" t="e">
        <f>VLOOKUP(B1446,'LƯƠNG KT'!$D$15:$U$94,9,0)*$L$10</f>
        <v>#N/A</v>
      </c>
      <c r="D1451" s="1059" t="e">
        <f>+C1451*0.5*3000</f>
        <v>#N/A</v>
      </c>
      <c r="E1451" s="1061"/>
      <c r="F1451" s="1061"/>
      <c r="G1451" s="1052" t="s">
        <v>371</v>
      </c>
      <c r="H1451" s="869" t="s">
        <v>372</v>
      </c>
      <c r="I1451" s="1058" t="e">
        <f>VLOOKUP(H1446,'LƯƠNG KT'!$D$15:$U$94,9,0)*$L$10</f>
        <v>#N/A</v>
      </c>
      <c r="J1451" s="1059" t="e">
        <f>+I1451*0.5*3000</f>
        <v>#N/A</v>
      </c>
      <c r="K1451" s="1085"/>
      <c r="L1451" s="1085"/>
      <c r="M1451" s="1085"/>
      <c r="N1451" s="1085"/>
      <c r="O1451" s="1085"/>
    </row>
    <row r="1452" spans="1:15" ht="15" customHeight="1">
      <c r="A1452" s="1052" t="s">
        <v>374</v>
      </c>
      <c r="B1452" s="869" t="s">
        <v>375</v>
      </c>
      <c r="C1452" s="1058" t="e">
        <f>VLOOKUP(B1446,'LƯƠNG KT'!$D$15:$U$94,8,0)*$L$11</f>
        <v>#N/A</v>
      </c>
      <c r="D1452" s="1059" t="e">
        <f>VLOOKUP(B1446,'LƯƠNG KT'!$D$15:$U$94,13,0)-D1451</f>
        <v>#N/A</v>
      </c>
      <c r="E1452" s="1063"/>
      <c r="F1452" s="1061"/>
      <c r="G1452" s="1052" t="s">
        <v>374</v>
      </c>
      <c r="H1452" s="869" t="s">
        <v>375</v>
      </c>
      <c r="I1452" s="1058" t="e">
        <f>VLOOKUP(H1446,'LƯƠNG KT'!$D$15:$U$94,8,0)*$L$11</f>
        <v>#N/A</v>
      </c>
      <c r="J1452" s="1059" t="e">
        <f>VLOOKUP(H1446,'LƯƠNG KT'!$D$15:$U$94,13,0)-J1451</f>
        <v>#N/A</v>
      </c>
      <c r="K1452" s="1085"/>
      <c r="L1452" s="1085"/>
      <c r="M1452" s="1085"/>
      <c r="N1452" s="1085"/>
      <c r="O1452" s="1085"/>
    </row>
    <row r="1453" spans="1:15" ht="15" customHeight="1">
      <c r="A1453" s="1059" t="s">
        <v>377</v>
      </c>
      <c r="B1453" s="869" t="s">
        <v>378</v>
      </c>
      <c r="C1453" s="1058"/>
      <c r="D1453" s="1059"/>
      <c r="E1453" s="1065"/>
      <c r="F1453" s="1065"/>
      <c r="G1453" s="1059" t="s">
        <v>377</v>
      </c>
      <c r="H1453" s="869" t="s">
        <v>378</v>
      </c>
      <c r="I1453" s="1058"/>
      <c r="J1453" s="1059"/>
    </row>
    <row r="1454" spans="1:15" ht="15" customHeight="1">
      <c r="A1454" s="1066" t="s">
        <v>379</v>
      </c>
      <c r="B1454" s="869" t="s">
        <v>380</v>
      </c>
      <c r="C1454" s="1058"/>
      <c r="D1454" s="1059"/>
      <c r="E1454" s="1063"/>
      <c r="F1454" s="1065"/>
      <c r="G1454" s="1066" t="s">
        <v>379</v>
      </c>
      <c r="H1454" s="869" t="s">
        <v>380</v>
      </c>
      <c r="I1454" s="1058"/>
      <c r="J1454" s="1059"/>
    </row>
    <row r="1455" spans="1:15" ht="15" customHeight="1">
      <c r="A1455" s="1052" t="s">
        <v>381</v>
      </c>
      <c r="B1455" s="869" t="s">
        <v>382</v>
      </c>
      <c r="C1455" s="1058"/>
      <c r="D1455" s="1059">
        <f>D1454</f>
        <v>0</v>
      </c>
      <c r="E1455" s="1067"/>
      <c r="F1455" s="1051"/>
      <c r="G1455" s="1052" t="s">
        <v>381</v>
      </c>
      <c r="H1455" s="869" t="s">
        <v>382</v>
      </c>
      <c r="I1455" s="1058"/>
      <c r="J1455" s="1059">
        <f>J1454</f>
        <v>0</v>
      </c>
    </row>
    <row r="1456" spans="1:15" ht="15" customHeight="1">
      <c r="A1456" s="1068" t="s">
        <v>383</v>
      </c>
      <c r="B1456" s="1069" t="s">
        <v>384</v>
      </c>
      <c r="C1456" s="1070"/>
      <c r="D1456" s="1071" t="e">
        <f>SUM(D1447:D1452)-D1455</f>
        <v>#N/A</v>
      </c>
      <c r="E1456" s="1072"/>
      <c r="F1456" s="1073"/>
      <c r="G1456" s="1068" t="s">
        <v>383</v>
      </c>
      <c r="H1456" s="1069" t="s">
        <v>384</v>
      </c>
      <c r="I1456" s="1070"/>
      <c r="J1456" s="1071" t="e">
        <f>SUM(J1447:J1452)-J1455</f>
        <v>#N/A</v>
      </c>
    </row>
    <row r="1457" spans="1:15" ht="12.6" customHeight="1">
      <c r="A1457" s="1074"/>
      <c r="B1457" s="1075"/>
      <c r="C1457" s="1076"/>
      <c r="D1457" s="1077"/>
      <c r="E1457" s="1077"/>
      <c r="F1457" s="1078"/>
      <c r="G1457" s="1074"/>
      <c r="H1457" s="1075"/>
      <c r="I1457" s="1076"/>
      <c r="J1457" s="1077"/>
    </row>
    <row r="1458" spans="1:15" ht="12.6" customHeight="1">
      <c r="A1458" s="1075"/>
      <c r="B1458" s="1075"/>
      <c r="C1458" s="1079"/>
      <c r="D1458" s="1080"/>
      <c r="E1458" s="1075"/>
      <c r="F1458" s="1081"/>
      <c r="G1458" s="1075"/>
      <c r="H1458" s="1075"/>
      <c r="I1458" s="1079"/>
      <c r="J1458" s="1080"/>
    </row>
    <row r="1459" spans="1:15" ht="15" customHeight="1">
      <c r="A1459" s="2242" t="str">
        <f>$K$2</f>
        <v>THÁNG 09/2024</v>
      </c>
      <c r="B1459" s="2242"/>
      <c r="C1459" s="2242"/>
      <c r="D1459" s="2242"/>
      <c r="E1459" s="1050"/>
      <c r="F1459" s="1051"/>
      <c r="G1459" s="2242" t="str">
        <f>$K$2</f>
        <v>THÁNG 09/2024</v>
      </c>
      <c r="H1459" s="2242"/>
      <c r="I1459" s="2242"/>
      <c r="J1459" s="2242"/>
      <c r="K1459" s="624"/>
    </row>
    <row r="1460" spans="1:15" ht="15" customHeight="1">
      <c r="A1460" s="1052" t="s">
        <v>356</v>
      </c>
      <c r="B1460" s="1053" t="s">
        <v>491</v>
      </c>
      <c r="C1460" s="869"/>
      <c r="D1460" s="1049"/>
      <c r="E1460" s="1054"/>
      <c r="F1460" s="1055"/>
      <c r="G1460" s="1052" t="s">
        <v>356</v>
      </c>
      <c r="H1460" s="1053" t="s">
        <v>492</v>
      </c>
      <c r="I1460" s="869"/>
      <c r="J1460" s="1049"/>
      <c r="L1460" s="1088"/>
      <c r="M1460" s="1088"/>
      <c r="N1460" s="1088"/>
      <c r="O1460" s="1088"/>
    </row>
    <row r="1461" spans="1:15" ht="15" customHeight="1">
      <c r="A1461" s="1052" t="s">
        <v>359</v>
      </c>
      <c r="B1461" s="1089" t="s">
        <v>360</v>
      </c>
      <c r="C1461" s="1058" t="e">
        <f>VLOOKUP(B1460,'LƯƠNG KT'!$D$15:$U$94,3,0)</f>
        <v>#N/A</v>
      </c>
      <c r="D1461" s="1059" t="e">
        <f>+C1461*25000</f>
        <v>#N/A</v>
      </c>
      <c r="E1461" s="1060"/>
      <c r="F1461" s="1060"/>
      <c r="G1461" s="1052" t="s">
        <v>359</v>
      </c>
      <c r="H1461" s="1089" t="s">
        <v>360</v>
      </c>
      <c r="I1461" s="1058" t="e">
        <f>VLOOKUP(H1460,'LƯƠNG KT'!$D$15:$U$94,3,0)</f>
        <v>#N/A</v>
      </c>
      <c r="J1461" s="1059" t="e">
        <f>+I1461*25000</f>
        <v>#N/A</v>
      </c>
      <c r="K1461" s="1085"/>
      <c r="L1461" s="1085"/>
      <c r="M1461" s="1085"/>
      <c r="N1461" s="1085"/>
      <c r="O1461" s="1085"/>
    </row>
    <row r="1462" spans="1:15" ht="15" customHeight="1">
      <c r="A1462" s="1052" t="s">
        <v>361</v>
      </c>
      <c r="B1462" s="869" t="s">
        <v>362</v>
      </c>
      <c r="C1462" s="1058" t="e">
        <f>VLOOKUP(B1460,'LƯƠNG KT'!$D$15:$U$94,14,0)</f>
        <v>#N/A</v>
      </c>
      <c r="D1462" s="1059" t="e">
        <f>C1462*$L$4</f>
        <v>#N/A</v>
      </c>
      <c r="E1462" s="1061"/>
      <c r="F1462" s="1061"/>
      <c r="G1462" s="1052" t="s">
        <v>361</v>
      </c>
      <c r="H1462" s="869" t="s">
        <v>362</v>
      </c>
      <c r="I1462" s="1058" t="e">
        <f>VLOOKUP(H1460,'LƯƠNG KT'!$D$15:$U$94,14,0)</f>
        <v>#N/A</v>
      </c>
      <c r="J1462" s="1059" t="e">
        <f>I1462*$L$4</f>
        <v>#N/A</v>
      </c>
      <c r="K1462" s="1085"/>
      <c r="L1462" s="1085"/>
      <c r="M1462" s="1085"/>
      <c r="N1462" s="1085"/>
      <c r="O1462" s="1085"/>
    </row>
    <row r="1463" spans="1:15" ht="15" customHeight="1">
      <c r="A1463" s="1052" t="s">
        <v>364</v>
      </c>
      <c r="B1463" s="869" t="s">
        <v>365</v>
      </c>
      <c r="C1463" s="1058" t="e">
        <f>VLOOKUP(B1460,'LƯƠNG KT'!$D$15:$U$94,15,0)</f>
        <v>#N/A</v>
      </c>
      <c r="D1463" s="1059" t="e">
        <f>C1463*$L$5</f>
        <v>#N/A</v>
      </c>
      <c r="E1463" s="1061"/>
      <c r="F1463" s="1061"/>
      <c r="G1463" s="1052" t="s">
        <v>364</v>
      </c>
      <c r="H1463" s="869" t="s">
        <v>365</v>
      </c>
      <c r="I1463" s="1058" t="e">
        <f>VLOOKUP(H1460,'LƯƠNG KT'!$D$15:$U$94,15,0)</f>
        <v>#N/A</v>
      </c>
      <c r="J1463" s="1059" t="e">
        <f>I1463*$L$5</f>
        <v>#N/A</v>
      </c>
      <c r="K1463" s="1085"/>
      <c r="L1463" s="1085"/>
      <c r="M1463" s="1085"/>
      <c r="N1463" s="1085"/>
      <c r="O1463" s="1085"/>
    </row>
    <row r="1464" spans="1:15" ht="15" customHeight="1">
      <c r="A1464" s="1052" t="s">
        <v>367</v>
      </c>
      <c r="B1464" s="869"/>
      <c r="C1464" s="1058" t="e">
        <f>VLOOKUP(B1460,'LƯƠNG KT'!$D$15:$U$94,16,0)</f>
        <v>#N/A</v>
      </c>
      <c r="D1464" s="1059" t="e">
        <f>+C1464*$L$6</f>
        <v>#N/A</v>
      </c>
      <c r="E1464" s="1061"/>
      <c r="F1464" s="1061"/>
      <c r="G1464" s="1052" t="s">
        <v>367</v>
      </c>
      <c r="H1464" s="869"/>
      <c r="I1464" s="1058" t="e">
        <f>VLOOKUP(H1460,'LƯƠNG KT'!$D$15:$U$94,16,0)</f>
        <v>#N/A</v>
      </c>
      <c r="J1464" s="1059" t="e">
        <f>+I1464*$L$6</f>
        <v>#N/A</v>
      </c>
      <c r="K1464" s="1085"/>
      <c r="L1464" s="1085"/>
      <c r="M1464" s="1085"/>
      <c r="N1464" s="1085"/>
      <c r="O1464" s="1085"/>
    </row>
    <row r="1465" spans="1:15" ht="15" customHeight="1">
      <c r="A1465" s="1052" t="s">
        <v>371</v>
      </c>
      <c r="B1465" s="869" t="s">
        <v>372</v>
      </c>
      <c r="C1465" s="1058" t="e">
        <f>VLOOKUP(B1460,'LƯƠNG KT'!$D$15:$U$94,9,0)*$L$10</f>
        <v>#N/A</v>
      </c>
      <c r="D1465" s="1059" t="e">
        <f>+C1465*0.5*3000</f>
        <v>#N/A</v>
      </c>
      <c r="E1465" s="1061"/>
      <c r="F1465" s="1061"/>
      <c r="G1465" s="1052" t="s">
        <v>371</v>
      </c>
      <c r="H1465" s="869" t="s">
        <v>372</v>
      </c>
      <c r="I1465" s="1058" t="e">
        <f>VLOOKUP(H1460,'LƯƠNG KT'!$D$15:$U$94,9,0)*$L$10</f>
        <v>#N/A</v>
      </c>
      <c r="J1465" s="1059" t="e">
        <f>+I1465*0.5*3000</f>
        <v>#N/A</v>
      </c>
      <c r="K1465" s="1085"/>
      <c r="L1465" s="1085"/>
      <c r="M1465" s="1085"/>
      <c r="N1465" s="1085"/>
      <c r="O1465" s="1085"/>
    </row>
    <row r="1466" spans="1:15" ht="15" customHeight="1">
      <c r="A1466" s="1052" t="s">
        <v>374</v>
      </c>
      <c r="B1466" s="869" t="s">
        <v>375</v>
      </c>
      <c r="C1466" s="1058" t="e">
        <f>VLOOKUP(B1460,'LƯƠNG KT'!$D$15:$U$94,8,0)*$L$11</f>
        <v>#N/A</v>
      </c>
      <c r="D1466" s="1059" t="e">
        <f>VLOOKUP(B1460,'LƯƠNG KT'!$D$15:$U$94,13,0)-D1465</f>
        <v>#N/A</v>
      </c>
      <c r="E1466" s="1063"/>
      <c r="F1466" s="1061"/>
      <c r="G1466" s="1052" t="s">
        <v>374</v>
      </c>
      <c r="H1466" s="869" t="s">
        <v>375</v>
      </c>
      <c r="I1466" s="1058" t="e">
        <f>VLOOKUP(H1460,'LƯƠNG KT'!$D$15:$U$94,8,0)*$L$11</f>
        <v>#N/A</v>
      </c>
      <c r="J1466" s="1059" t="e">
        <f>VLOOKUP(H1460,'LƯƠNG KT'!$D$15:$U$94,13,0)-J1465</f>
        <v>#N/A</v>
      </c>
      <c r="K1466" s="1085"/>
      <c r="L1466" s="1085"/>
      <c r="M1466" s="1085"/>
      <c r="N1466" s="1085"/>
      <c r="O1466" s="1085"/>
    </row>
    <row r="1467" spans="1:15" ht="15" customHeight="1">
      <c r="A1467" s="1059" t="s">
        <v>377</v>
      </c>
      <c r="B1467" s="869" t="s">
        <v>378</v>
      </c>
      <c r="C1467" s="1058"/>
      <c r="D1467" s="1059"/>
      <c r="E1467" s="1065"/>
      <c r="F1467" s="1065"/>
      <c r="G1467" s="1059" t="s">
        <v>377</v>
      </c>
      <c r="H1467" s="869" t="s">
        <v>378</v>
      </c>
      <c r="I1467" s="1058"/>
      <c r="J1467" s="1059"/>
    </row>
    <row r="1468" spans="1:15" ht="15" customHeight="1">
      <c r="A1468" s="1066" t="s">
        <v>379</v>
      </c>
      <c r="B1468" s="869" t="s">
        <v>380</v>
      </c>
      <c r="C1468" s="1058"/>
      <c r="D1468" s="1059"/>
      <c r="E1468" s="1063"/>
      <c r="F1468" s="1065"/>
      <c r="G1468" s="1066" t="s">
        <v>379</v>
      </c>
      <c r="H1468" s="869" t="s">
        <v>380</v>
      </c>
      <c r="I1468" s="1058"/>
      <c r="J1468" s="1059"/>
    </row>
    <row r="1469" spans="1:15" ht="15" customHeight="1">
      <c r="A1469" s="1052" t="s">
        <v>381</v>
      </c>
      <c r="B1469" s="869" t="s">
        <v>382</v>
      </c>
      <c r="C1469" s="1058"/>
      <c r="D1469" s="1059">
        <f>D1468</f>
        <v>0</v>
      </c>
      <c r="E1469" s="1067"/>
      <c r="F1469" s="1051"/>
      <c r="G1469" s="1052" t="s">
        <v>381</v>
      </c>
      <c r="H1469" s="869" t="s">
        <v>382</v>
      </c>
      <c r="I1469" s="1058"/>
      <c r="J1469" s="1059">
        <f>J1468</f>
        <v>0</v>
      </c>
    </row>
    <row r="1470" spans="1:15" ht="15" customHeight="1">
      <c r="A1470" s="1068" t="s">
        <v>383</v>
      </c>
      <c r="B1470" s="1069" t="s">
        <v>384</v>
      </c>
      <c r="C1470" s="1070"/>
      <c r="D1470" s="1071" t="e">
        <f>SUM(D1461:D1466)-D1469</f>
        <v>#N/A</v>
      </c>
      <c r="E1470" s="1072"/>
      <c r="F1470" s="1073"/>
      <c r="G1470" s="1068" t="s">
        <v>383</v>
      </c>
      <c r="H1470" s="1069" t="s">
        <v>384</v>
      </c>
      <c r="I1470" s="1070"/>
      <c r="J1470" s="1071" t="e">
        <f>SUM(J1461:J1466)-J1469</f>
        <v>#N/A</v>
      </c>
    </row>
    <row r="1471" spans="1:15" ht="18.75" customHeight="1">
      <c r="A1471" s="1074"/>
      <c r="B1471" s="1075"/>
      <c r="C1471" s="1076"/>
      <c r="D1471" s="1077"/>
      <c r="E1471" s="1077"/>
      <c r="F1471" s="1078"/>
      <c r="G1471" s="1074"/>
      <c r="H1471" s="1075"/>
      <c r="I1471" s="1076"/>
      <c r="J1471" s="1077"/>
    </row>
    <row r="1472" spans="1:15" ht="18.75" customHeight="1">
      <c r="A1472" s="1075"/>
      <c r="B1472" s="1075"/>
      <c r="C1472" s="1079"/>
      <c r="D1472" s="1080"/>
      <c r="E1472" s="1075"/>
      <c r="F1472" s="1081"/>
      <c r="G1472" s="1075"/>
      <c r="H1472" s="1075"/>
      <c r="I1472" s="1079"/>
      <c r="J1472" s="1080"/>
    </row>
    <row r="1473" spans="1:15" ht="15" customHeight="1">
      <c r="A1473" s="2242" t="str">
        <f>$K$2</f>
        <v>THÁNG 09/2024</v>
      </c>
      <c r="B1473" s="2242"/>
      <c r="C1473" s="2242"/>
      <c r="D1473" s="2242"/>
      <c r="E1473" s="1050"/>
      <c r="F1473" s="1051"/>
      <c r="G1473" s="2242" t="str">
        <f>$K$2</f>
        <v>THÁNG 09/2024</v>
      </c>
      <c r="H1473" s="2242"/>
      <c r="I1473" s="2242"/>
      <c r="J1473" s="2242"/>
      <c r="K1473" s="624"/>
    </row>
    <row r="1474" spans="1:15" ht="15" customHeight="1">
      <c r="A1474" s="1052" t="s">
        <v>356</v>
      </c>
      <c r="B1474" s="1053" t="s">
        <v>493</v>
      </c>
      <c r="C1474" s="869"/>
      <c r="D1474" s="1049"/>
      <c r="E1474" s="1054"/>
      <c r="F1474" s="1055"/>
      <c r="G1474" s="1052" t="s">
        <v>356</v>
      </c>
      <c r="H1474" s="1053" t="s">
        <v>494</v>
      </c>
      <c r="I1474" s="869"/>
      <c r="J1474" s="1049"/>
      <c r="L1474" s="1088"/>
      <c r="M1474" s="1088"/>
      <c r="N1474" s="1088"/>
      <c r="O1474" s="1088"/>
    </row>
    <row r="1475" spans="1:15" ht="15" customHeight="1">
      <c r="A1475" s="1052" t="s">
        <v>359</v>
      </c>
      <c r="B1475" s="1089" t="s">
        <v>360</v>
      </c>
      <c r="C1475" s="1058" t="e">
        <f>VLOOKUP(B1474,'LƯƠNG KT'!$D$15:$U$94,3,0)</f>
        <v>#N/A</v>
      </c>
      <c r="D1475" s="1059" t="e">
        <f>+C1475*25000</f>
        <v>#N/A</v>
      </c>
      <c r="E1475" s="1060"/>
      <c r="F1475" s="1060"/>
      <c r="G1475" s="1052" t="s">
        <v>359</v>
      </c>
      <c r="H1475" s="1089" t="s">
        <v>360</v>
      </c>
      <c r="I1475" s="1058" t="e">
        <f>VLOOKUP(H1474,'LƯƠNG KT'!$D$15:$U$94,3,0)</f>
        <v>#N/A</v>
      </c>
      <c r="J1475" s="1059" t="e">
        <f>+I1475*25000</f>
        <v>#N/A</v>
      </c>
      <c r="K1475" s="1085"/>
      <c r="L1475" s="1085"/>
      <c r="M1475" s="1085"/>
      <c r="N1475" s="1085"/>
      <c r="O1475" s="1085"/>
    </row>
    <row r="1476" spans="1:15" ht="15" customHeight="1">
      <c r="A1476" s="1052" t="s">
        <v>361</v>
      </c>
      <c r="B1476" s="869" t="s">
        <v>362</v>
      </c>
      <c r="C1476" s="1058" t="e">
        <f>VLOOKUP(B1474,'LƯƠNG KT'!$D$15:$U$94,14,0)</f>
        <v>#N/A</v>
      </c>
      <c r="D1476" s="1059" t="e">
        <f>C1476*$L$4</f>
        <v>#N/A</v>
      </c>
      <c r="E1476" s="1061"/>
      <c r="F1476" s="1061"/>
      <c r="G1476" s="1052" t="s">
        <v>361</v>
      </c>
      <c r="H1476" s="869" t="s">
        <v>362</v>
      </c>
      <c r="I1476" s="1058" t="e">
        <f>VLOOKUP(H1474,'LƯƠNG KT'!$D$15:$U$94,14,0)</f>
        <v>#N/A</v>
      </c>
      <c r="J1476" s="1059" t="e">
        <f>I1476*$L$4</f>
        <v>#N/A</v>
      </c>
      <c r="K1476" s="1085"/>
      <c r="L1476" s="1085"/>
      <c r="M1476" s="1085"/>
      <c r="N1476" s="1085"/>
      <c r="O1476" s="1085"/>
    </row>
    <row r="1477" spans="1:15" ht="15" customHeight="1">
      <c r="A1477" s="1052" t="s">
        <v>364</v>
      </c>
      <c r="B1477" s="869" t="s">
        <v>365</v>
      </c>
      <c r="C1477" s="1058" t="e">
        <f>VLOOKUP(B1474,'LƯƠNG KT'!$D$15:$U$94,15,0)</f>
        <v>#N/A</v>
      </c>
      <c r="D1477" s="1059" t="e">
        <f>C1477*$L$5</f>
        <v>#N/A</v>
      </c>
      <c r="E1477" s="1061"/>
      <c r="F1477" s="1061"/>
      <c r="G1477" s="1052" t="s">
        <v>364</v>
      </c>
      <c r="H1477" s="869" t="s">
        <v>365</v>
      </c>
      <c r="I1477" s="1058" t="e">
        <f>VLOOKUP(H1474,'LƯƠNG KT'!$D$15:$U$94,15,0)</f>
        <v>#N/A</v>
      </c>
      <c r="J1477" s="1059" t="e">
        <f>I1477*$L$5</f>
        <v>#N/A</v>
      </c>
      <c r="K1477" s="1085"/>
      <c r="L1477" s="1085"/>
      <c r="M1477" s="1085"/>
      <c r="N1477" s="1085"/>
      <c r="O1477" s="1085"/>
    </row>
    <row r="1478" spans="1:15" ht="15" customHeight="1">
      <c r="A1478" s="1052" t="s">
        <v>367</v>
      </c>
      <c r="B1478" s="869"/>
      <c r="C1478" s="1058" t="e">
        <f>VLOOKUP(B1474,'LƯƠNG KT'!$D$15:$U$94,16,0)</f>
        <v>#N/A</v>
      </c>
      <c r="D1478" s="1059" t="e">
        <f>+C1478*$L$6</f>
        <v>#N/A</v>
      </c>
      <c r="E1478" s="1061"/>
      <c r="F1478" s="1061"/>
      <c r="G1478" s="1052" t="s">
        <v>367</v>
      </c>
      <c r="H1478" s="869"/>
      <c r="I1478" s="1058" t="e">
        <f>VLOOKUP(H1474,'LƯƠNG KT'!$D$15:$U$94,16,0)</f>
        <v>#N/A</v>
      </c>
      <c r="J1478" s="1059" t="e">
        <f>+I1478*$L$6</f>
        <v>#N/A</v>
      </c>
      <c r="K1478" s="1085"/>
      <c r="L1478" s="1085"/>
      <c r="M1478" s="1085"/>
      <c r="N1478" s="1085"/>
      <c r="O1478" s="1085"/>
    </row>
    <row r="1479" spans="1:15" ht="15" customHeight="1">
      <c r="A1479" s="1052" t="s">
        <v>371</v>
      </c>
      <c r="B1479" s="869" t="s">
        <v>372</v>
      </c>
      <c r="C1479" s="1058" t="e">
        <f>VLOOKUP(B1474,'LƯƠNG KT'!$D$15:$U$94,9,0)*$L$10</f>
        <v>#N/A</v>
      </c>
      <c r="D1479" s="1059" t="e">
        <f>+C1479*0.5*3000</f>
        <v>#N/A</v>
      </c>
      <c r="E1479" s="1061"/>
      <c r="F1479" s="1061"/>
      <c r="G1479" s="1052" t="s">
        <v>371</v>
      </c>
      <c r="H1479" s="869" t="s">
        <v>372</v>
      </c>
      <c r="I1479" s="1058" t="e">
        <f>VLOOKUP(H1474,'LƯƠNG KT'!$D$15:$U$94,9,0)*$L$10</f>
        <v>#N/A</v>
      </c>
      <c r="J1479" s="1059" t="e">
        <f>+I1479*0.5*3000</f>
        <v>#N/A</v>
      </c>
      <c r="K1479" s="1085"/>
      <c r="L1479" s="1085"/>
      <c r="M1479" s="1085"/>
      <c r="N1479" s="1085"/>
      <c r="O1479" s="1085"/>
    </row>
    <row r="1480" spans="1:15" ht="15" customHeight="1">
      <c r="A1480" s="1052" t="s">
        <v>374</v>
      </c>
      <c r="B1480" s="869" t="s">
        <v>375</v>
      </c>
      <c r="C1480" s="1058" t="e">
        <f>VLOOKUP(B1474,'LƯƠNG KT'!$D$15:$U$94,8,0)*$L$11</f>
        <v>#N/A</v>
      </c>
      <c r="D1480" s="1059" t="e">
        <f>VLOOKUP(B1474,'LƯƠNG KT'!$D$15:$U$94,13,0)-D1479</f>
        <v>#N/A</v>
      </c>
      <c r="E1480" s="1063"/>
      <c r="F1480" s="1061"/>
      <c r="G1480" s="1052" t="s">
        <v>374</v>
      </c>
      <c r="H1480" s="869" t="s">
        <v>375</v>
      </c>
      <c r="I1480" s="1058" t="e">
        <f>VLOOKUP(H1474,'LƯƠNG KT'!$D$15:$U$94,8,0)*$L$11</f>
        <v>#N/A</v>
      </c>
      <c r="J1480" s="1059" t="e">
        <f>VLOOKUP(H1474,'LƯƠNG KT'!$D$15:$U$94,13,0)-J1479</f>
        <v>#N/A</v>
      </c>
      <c r="K1480" s="1085"/>
      <c r="L1480" s="1085"/>
      <c r="M1480" s="1085"/>
      <c r="N1480" s="1085"/>
      <c r="O1480" s="1085"/>
    </row>
    <row r="1481" spans="1:15" ht="15" customHeight="1">
      <c r="A1481" s="1059" t="s">
        <v>377</v>
      </c>
      <c r="B1481" s="869" t="s">
        <v>378</v>
      </c>
      <c r="C1481" s="1058"/>
      <c r="D1481" s="1059"/>
      <c r="E1481" s="1065"/>
      <c r="F1481" s="1065"/>
      <c r="G1481" s="1059" t="s">
        <v>377</v>
      </c>
      <c r="H1481" s="869" t="s">
        <v>378</v>
      </c>
      <c r="I1481" s="1058"/>
      <c r="J1481" s="1059"/>
    </row>
    <row r="1482" spans="1:15" ht="15" customHeight="1">
      <c r="A1482" s="1066" t="s">
        <v>379</v>
      </c>
      <c r="B1482" s="869" t="s">
        <v>380</v>
      </c>
      <c r="C1482" s="1058"/>
      <c r="D1482" s="1059"/>
      <c r="E1482" s="1063"/>
      <c r="F1482" s="1065"/>
      <c r="G1482" s="1066" t="s">
        <v>379</v>
      </c>
      <c r="H1482" s="869" t="s">
        <v>380</v>
      </c>
      <c r="I1482" s="1058"/>
      <c r="J1482" s="1059"/>
    </row>
    <row r="1483" spans="1:15" ht="15" customHeight="1">
      <c r="A1483" s="1052" t="s">
        <v>381</v>
      </c>
      <c r="B1483" s="869" t="s">
        <v>382</v>
      </c>
      <c r="C1483" s="1058"/>
      <c r="D1483" s="1059">
        <f>D1482</f>
        <v>0</v>
      </c>
      <c r="E1483" s="1067"/>
      <c r="F1483" s="1051"/>
      <c r="G1483" s="1052" t="s">
        <v>381</v>
      </c>
      <c r="H1483" s="869" t="s">
        <v>382</v>
      </c>
      <c r="I1483" s="1058"/>
      <c r="J1483" s="1059">
        <f>J1482</f>
        <v>0</v>
      </c>
    </row>
    <row r="1484" spans="1:15" ht="15" customHeight="1">
      <c r="A1484" s="1068" t="s">
        <v>383</v>
      </c>
      <c r="B1484" s="1069" t="s">
        <v>384</v>
      </c>
      <c r="C1484" s="1070"/>
      <c r="D1484" s="1071" t="e">
        <f>SUM(D1475:D1480)-D1483</f>
        <v>#N/A</v>
      </c>
      <c r="E1484" s="1072"/>
      <c r="F1484" s="1073"/>
      <c r="G1484" s="1068" t="s">
        <v>383</v>
      </c>
      <c r="H1484" s="1069" t="s">
        <v>384</v>
      </c>
      <c r="I1484" s="1070"/>
      <c r="J1484" s="1071" t="e">
        <f>SUM(J1475:J1480)-J1483</f>
        <v>#N/A</v>
      </c>
    </row>
    <row r="1485" spans="1:15" ht="18.75" customHeight="1">
      <c r="A1485" s="1074"/>
      <c r="B1485" s="1075"/>
      <c r="C1485" s="1076"/>
      <c r="D1485" s="1077"/>
      <c r="E1485" s="1077"/>
      <c r="F1485" s="1078"/>
      <c r="G1485" s="1074"/>
      <c r="H1485" s="1075"/>
      <c r="I1485" s="1076"/>
      <c r="J1485" s="1077"/>
    </row>
    <row r="1486" spans="1:15" ht="18.75" customHeight="1">
      <c r="A1486" s="1075"/>
      <c r="B1486" s="1075"/>
      <c r="C1486" s="1079"/>
      <c r="D1486" s="1080"/>
      <c r="E1486" s="1075"/>
      <c r="F1486" s="1081"/>
      <c r="G1486" s="1075"/>
      <c r="H1486" s="1075"/>
      <c r="I1486" s="1079"/>
      <c r="J1486" s="1080"/>
    </row>
    <row r="1487" spans="1:15" ht="15" customHeight="1">
      <c r="A1487" s="2242" t="str">
        <f>$K$2</f>
        <v>THÁNG 09/2024</v>
      </c>
      <c r="B1487" s="2242"/>
      <c r="C1487" s="2242"/>
      <c r="D1487" s="2242"/>
      <c r="E1487" s="1050"/>
      <c r="F1487" s="1051"/>
      <c r="G1487" s="2242" t="str">
        <f>$K$2</f>
        <v>THÁNG 09/2024</v>
      </c>
      <c r="H1487" s="2242"/>
      <c r="I1487" s="2242"/>
      <c r="J1487" s="2242"/>
      <c r="K1487" s="624"/>
    </row>
    <row r="1488" spans="1:15" ht="15" customHeight="1">
      <c r="A1488" s="1052" t="s">
        <v>356</v>
      </c>
      <c r="B1488" s="1053" t="s">
        <v>495</v>
      </c>
      <c r="C1488" s="869"/>
      <c r="D1488" s="1049"/>
      <c r="E1488" s="1054"/>
      <c r="F1488" s="1055"/>
      <c r="G1488" s="1052" t="s">
        <v>356</v>
      </c>
      <c r="H1488" s="1053"/>
      <c r="I1488" s="869"/>
      <c r="J1488" s="1049"/>
      <c r="L1488" s="1088"/>
      <c r="M1488" s="1088"/>
      <c r="N1488" s="1088"/>
      <c r="O1488" s="1088"/>
    </row>
    <row r="1489" spans="1:15" ht="15" customHeight="1">
      <c r="A1489" s="1052" t="s">
        <v>359</v>
      </c>
      <c r="B1489" s="1089" t="s">
        <v>360</v>
      </c>
      <c r="C1489" s="1058" t="e">
        <f>VLOOKUP(B1488,'LƯƠNG KT'!$D$15:$U$94,3,0)</f>
        <v>#N/A</v>
      </c>
      <c r="D1489" s="1059" t="e">
        <f>+C1489*25000</f>
        <v>#N/A</v>
      </c>
      <c r="E1489" s="1060"/>
      <c r="F1489" s="1060"/>
      <c r="G1489" s="1052" t="s">
        <v>359</v>
      </c>
      <c r="H1489" s="1089" t="s">
        <v>360</v>
      </c>
      <c r="I1489" s="1058" t="e">
        <f>VLOOKUP(H1488,'LƯƠNG KT'!$D$15:$U$94,3,0)</f>
        <v>#N/A</v>
      </c>
      <c r="J1489" s="1059" t="e">
        <f>+I1489*25000</f>
        <v>#N/A</v>
      </c>
      <c r="K1489" s="1085"/>
      <c r="L1489" s="1085"/>
      <c r="M1489" s="1085"/>
      <c r="N1489" s="1085"/>
      <c r="O1489" s="1085"/>
    </row>
    <row r="1490" spans="1:15" ht="15" customHeight="1">
      <c r="A1490" s="1052" t="s">
        <v>361</v>
      </c>
      <c r="B1490" s="869" t="s">
        <v>362</v>
      </c>
      <c r="C1490" s="1058" t="e">
        <f>VLOOKUP(B1488,'LƯƠNG KT'!$D$15:$U$94,14,0)</f>
        <v>#N/A</v>
      </c>
      <c r="D1490" s="1059" t="e">
        <f>C1490*$L$4</f>
        <v>#N/A</v>
      </c>
      <c r="E1490" s="1061"/>
      <c r="F1490" s="1061"/>
      <c r="G1490" s="1052" t="s">
        <v>361</v>
      </c>
      <c r="H1490" s="869" t="s">
        <v>362</v>
      </c>
      <c r="I1490" s="1058" t="e">
        <f>VLOOKUP(H1488,'LƯƠNG KT'!$D$15:$U$94,14,0)</f>
        <v>#N/A</v>
      </c>
      <c r="J1490" s="1059" t="e">
        <f>I1490*$L$4</f>
        <v>#N/A</v>
      </c>
      <c r="K1490" s="1085"/>
      <c r="L1490" s="1085"/>
      <c r="M1490" s="1085"/>
      <c r="N1490" s="1085"/>
      <c r="O1490" s="1085"/>
    </row>
    <row r="1491" spans="1:15" ht="15" customHeight="1">
      <c r="A1491" s="1052" t="s">
        <v>364</v>
      </c>
      <c r="B1491" s="869" t="s">
        <v>365</v>
      </c>
      <c r="C1491" s="1058" t="e">
        <f>VLOOKUP(B1488,'LƯƠNG KT'!$D$15:$U$94,15,0)</f>
        <v>#N/A</v>
      </c>
      <c r="D1491" s="1059" t="e">
        <f>C1491*$L$5</f>
        <v>#N/A</v>
      </c>
      <c r="E1491" s="1061"/>
      <c r="F1491" s="1061"/>
      <c r="G1491" s="1052" t="s">
        <v>364</v>
      </c>
      <c r="H1491" s="869" t="s">
        <v>365</v>
      </c>
      <c r="I1491" s="1058" t="e">
        <f>VLOOKUP(H1488,'LƯƠNG KT'!$D$15:$U$94,15,0)</f>
        <v>#N/A</v>
      </c>
      <c r="J1491" s="1059" t="e">
        <f>I1491*$L$5</f>
        <v>#N/A</v>
      </c>
      <c r="K1491" s="1085"/>
      <c r="L1491" s="1085"/>
      <c r="M1491" s="1085"/>
      <c r="N1491" s="1085"/>
      <c r="O1491" s="1085"/>
    </row>
    <row r="1492" spans="1:15" ht="15" customHeight="1">
      <c r="A1492" s="1052" t="s">
        <v>367</v>
      </c>
      <c r="B1492" s="869"/>
      <c r="C1492" s="1058" t="e">
        <f>VLOOKUP(B1488,'LƯƠNG KT'!$D$15:$U$94,16,0)</f>
        <v>#N/A</v>
      </c>
      <c r="D1492" s="1059" t="e">
        <f>+C1492*$L$6</f>
        <v>#N/A</v>
      </c>
      <c r="E1492" s="1061"/>
      <c r="F1492" s="1061"/>
      <c r="G1492" s="1052" t="s">
        <v>367</v>
      </c>
      <c r="H1492" s="869"/>
      <c r="I1492" s="1058" t="e">
        <f>VLOOKUP(H1488,'LƯƠNG KT'!$D$15:$U$94,16,0)</f>
        <v>#N/A</v>
      </c>
      <c r="J1492" s="1059" t="e">
        <f>+I1492*$L$6</f>
        <v>#N/A</v>
      </c>
      <c r="K1492" s="1085"/>
      <c r="L1492" s="1085"/>
      <c r="M1492" s="1085"/>
      <c r="N1492" s="1085"/>
      <c r="O1492" s="1085"/>
    </row>
    <row r="1493" spans="1:15" ht="15" customHeight="1">
      <c r="A1493" s="1052" t="s">
        <v>371</v>
      </c>
      <c r="B1493" s="869" t="s">
        <v>372</v>
      </c>
      <c r="C1493" s="1058" t="e">
        <f>VLOOKUP(B1488,'LƯƠNG KT'!$D$15:$U$94,9,0)*$L$10</f>
        <v>#N/A</v>
      </c>
      <c r="D1493" s="1059" t="e">
        <f>+C1493*0.5*3000</f>
        <v>#N/A</v>
      </c>
      <c r="E1493" s="1061"/>
      <c r="F1493" s="1061"/>
      <c r="G1493" s="1052" t="s">
        <v>371</v>
      </c>
      <c r="H1493" s="869" t="s">
        <v>372</v>
      </c>
      <c r="I1493" s="1058" t="e">
        <f>VLOOKUP(H1488,'LƯƠNG KT'!$D$15:$U$94,9,0)*$L$10</f>
        <v>#N/A</v>
      </c>
      <c r="J1493" s="1059" t="e">
        <f>+I1493*0.5*3000</f>
        <v>#N/A</v>
      </c>
      <c r="K1493" s="1090" t="s">
        <v>485</v>
      </c>
      <c r="L1493" s="1090" t="e">
        <f>D1498+D1484+J1484+J1470+D1470+D1456+J1456+J1441+D1441+D1427+J1427+J1413+D1413+D1399+J1399+J1384+D1384+D1370+J1370+J1356+D1356+D1342+J1342+J1327+D1327+D1313+J1313+J1299+D1299+D1285+J1285+J1270+D1270+D1256+J1256+J1242+D1242+D1228+J1228+J1213+D1213+D1199+J1199+J1185+D1185+D1171+J1171+D1156+J1156+J1142+D1142+D1128+J1128+J1114+D1114+J1099+D1099+D1085+J1085+J1071+D1071+D1057+J1057+J1042+D1042+J1028+D1028+D1014+J1014+J1000+D1000+D985+J985+J971+D971+D957+J957+J943+D943+D928+J928+J914+D914+D900+J900+J886+D886+D871+J871+J857+D857+D843+J843+J829+D829</f>
        <v>#N/A</v>
      </c>
      <c r="M1493" s="1090"/>
      <c r="N1493" s="1090"/>
      <c r="O1493" s="1090"/>
    </row>
    <row r="1494" spans="1:15" ht="15" customHeight="1">
      <c r="A1494" s="1052" t="s">
        <v>374</v>
      </c>
      <c r="B1494" s="869" t="s">
        <v>375</v>
      </c>
      <c r="C1494" s="1058" t="e">
        <f>VLOOKUP(B1488,'LƯƠNG KT'!$D$15:$U$94,8,0)*$L$11</f>
        <v>#N/A</v>
      </c>
      <c r="D1494" s="1059" t="e">
        <f>VLOOKUP(B1488,'LƯƠNG KT'!$D$15:$U$94,13,0)-D1493</f>
        <v>#N/A</v>
      </c>
      <c r="E1494" s="1063"/>
      <c r="F1494" s="1061"/>
      <c r="G1494" s="1052" t="s">
        <v>374</v>
      </c>
      <c r="H1494" s="869" t="s">
        <v>375</v>
      </c>
      <c r="I1494" s="1058" t="e">
        <f>VLOOKUP(H1488,'LƯƠNG KT'!$D$15:$U$94,8,0)*$L$11</f>
        <v>#N/A</v>
      </c>
      <c r="J1494" s="1059" t="e">
        <f>VLOOKUP(H1488,'LƯƠNG KT'!$D$15:$U$94,13,0)-J1493</f>
        <v>#N/A</v>
      </c>
      <c r="K1494" s="1085"/>
      <c r="L1494" s="1085"/>
      <c r="M1494" s="1085"/>
      <c r="N1494" s="1085"/>
      <c r="O1494" s="1085"/>
    </row>
    <row r="1495" spans="1:15" ht="15" customHeight="1">
      <c r="A1495" s="1059" t="s">
        <v>377</v>
      </c>
      <c r="B1495" s="869" t="s">
        <v>378</v>
      </c>
      <c r="C1495" s="1058"/>
      <c r="D1495" s="1059"/>
      <c r="E1495" s="1065"/>
      <c r="F1495" s="1065"/>
      <c r="G1495" s="1059" t="s">
        <v>377</v>
      </c>
      <c r="H1495" s="869" t="s">
        <v>378</v>
      </c>
      <c r="I1495" s="1058"/>
      <c r="J1495" s="1059"/>
      <c r="L1495" s="1045" t="e">
        <f>+#REF!-#REF!</f>
        <v>#REF!</v>
      </c>
    </row>
    <row r="1496" spans="1:15" ht="15" customHeight="1">
      <c r="A1496" s="1066" t="s">
        <v>379</v>
      </c>
      <c r="B1496" s="869" t="s">
        <v>380</v>
      </c>
      <c r="C1496" s="1058"/>
      <c r="D1496" s="1059"/>
      <c r="E1496" s="1063"/>
      <c r="F1496" s="1065"/>
      <c r="G1496" s="1066" t="s">
        <v>379</v>
      </c>
      <c r="H1496" s="869" t="s">
        <v>380</v>
      </c>
      <c r="I1496" s="1058"/>
      <c r="J1496" s="1059"/>
    </row>
    <row r="1497" spans="1:15" ht="15" customHeight="1">
      <c r="A1497" s="1052" t="s">
        <v>381</v>
      </c>
      <c r="B1497" s="869" t="s">
        <v>382</v>
      </c>
      <c r="C1497" s="1058"/>
      <c r="D1497" s="1059">
        <f>D1496</f>
        <v>0</v>
      </c>
      <c r="E1497" s="1067"/>
      <c r="F1497" s="1051"/>
      <c r="G1497" s="1052" t="s">
        <v>381</v>
      </c>
      <c r="H1497" s="869" t="s">
        <v>382</v>
      </c>
      <c r="I1497" s="1058"/>
      <c r="J1497" s="1059"/>
    </row>
    <row r="1498" spans="1:15" ht="15" customHeight="1">
      <c r="A1498" s="1068" t="s">
        <v>383</v>
      </c>
      <c r="B1498" s="1069" t="s">
        <v>384</v>
      </c>
      <c r="C1498" s="1070"/>
      <c r="D1498" s="1071" t="e">
        <f>SUM(D1489:D1494)-D1497</f>
        <v>#N/A</v>
      </c>
      <c r="E1498" s="1072"/>
      <c r="F1498" s="1073"/>
      <c r="G1498" s="1068" t="s">
        <v>383</v>
      </c>
      <c r="H1498" s="1069" t="s">
        <v>384</v>
      </c>
      <c r="I1498" s="1070"/>
      <c r="J1498" s="1071"/>
    </row>
    <row r="1499" spans="1:15" ht="15.75" customHeight="1">
      <c r="A1499" s="1074"/>
      <c r="B1499" s="1075"/>
      <c r="C1499" s="1076"/>
      <c r="D1499" s="1077"/>
      <c r="E1499" s="1077"/>
      <c r="F1499" s="1078"/>
      <c r="G1499" s="1074"/>
      <c r="H1499" s="1075"/>
      <c r="I1499" s="1076"/>
      <c r="J1499" s="1077"/>
    </row>
    <row r="1501" spans="1:15" ht="12" customHeight="1">
      <c r="A1501" s="2243"/>
      <c r="B1501" s="2243"/>
      <c r="C1501" s="2243"/>
      <c r="D1501" s="2243"/>
      <c r="E1501" s="2243"/>
      <c r="F1501" s="2243"/>
      <c r="G1501" s="2243"/>
      <c r="H1501" s="2243"/>
      <c r="I1501" s="2243"/>
      <c r="J1501" s="2243"/>
    </row>
    <row r="1502" spans="1:15" ht="15" customHeight="1">
      <c r="A1502" s="2242" t="str">
        <f>$K$2</f>
        <v>THÁNG 09/2024</v>
      </c>
      <c r="B1502" s="2242"/>
      <c r="C1502" s="2242"/>
      <c r="D1502" s="2242"/>
      <c r="E1502" s="1050"/>
      <c r="F1502" s="1051"/>
      <c r="G1502" s="2242" t="str">
        <f>$K$2</f>
        <v>THÁNG 09/2024</v>
      </c>
      <c r="H1502" s="2242"/>
      <c r="I1502" s="2242"/>
      <c r="J1502" s="2242"/>
      <c r="K1502" s="624"/>
    </row>
    <row r="1503" spans="1:15" ht="15" customHeight="1">
      <c r="A1503" s="1052" t="s">
        <v>356</v>
      </c>
      <c r="B1503" s="1053" t="s">
        <v>496</v>
      </c>
      <c r="C1503" s="869"/>
      <c r="D1503" s="1049"/>
      <c r="E1503" s="1054"/>
      <c r="F1503" s="1055"/>
      <c r="G1503" s="1052" t="s">
        <v>356</v>
      </c>
      <c r="H1503" s="1053" t="s">
        <v>105</v>
      </c>
      <c r="I1503" s="869"/>
      <c r="J1503" s="1049"/>
      <c r="L1503" s="1088"/>
      <c r="M1503" s="1088"/>
      <c r="N1503" s="1088"/>
      <c r="O1503" s="1088"/>
    </row>
    <row r="1504" spans="1:15" ht="15" customHeight="1">
      <c r="A1504" s="1052" t="s">
        <v>359</v>
      </c>
      <c r="B1504" s="1089" t="s">
        <v>360</v>
      </c>
      <c r="C1504" s="1058" t="e">
        <f>VLOOKUP(B1503,'LƯƠNG KT'!$D$15:$U$94,3,0)</f>
        <v>#N/A</v>
      </c>
      <c r="D1504" s="1059" t="e">
        <f>+C1504*25000</f>
        <v>#N/A</v>
      </c>
      <c r="E1504" s="1060"/>
      <c r="F1504" s="1060"/>
      <c r="G1504" s="1052" t="s">
        <v>359</v>
      </c>
      <c r="H1504" s="1089" t="s">
        <v>360</v>
      </c>
      <c r="I1504" s="1058" t="e">
        <f>VLOOKUP(H1503,'LƯƠNG KT'!$D$15:$U$94,3,0)</f>
        <v>#N/A</v>
      </c>
      <c r="J1504" s="1059" t="e">
        <f>+I1504*25000</f>
        <v>#N/A</v>
      </c>
      <c r="K1504" s="1084"/>
      <c r="L1504" s="1085"/>
      <c r="M1504" s="1085"/>
      <c r="N1504" s="1085"/>
      <c r="O1504" s="1085"/>
    </row>
    <row r="1505" spans="1:15" ht="15" customHeight="1">
      <c r="A1505" s="1052" t="s">
        <v>361</v>
      </c>
      <c r="B1505" s="869" t="s">
        <v>362</v>
      </c>
      <c r="C1505" s="1058" t="e">
        <f>VLOOKUP(B1503,'LƯƠNG KT'!$D$15:$U$94,14,0)</f>
        <v>#N/A</v>
      </c>
      <c r="D1505" s="1059" t="e">
        <f>C1505*$L$4</f>
        <v>#N/A</v>
      </c>
      <c r="E1505" s="1061"/>
      <c r="F1505" s="1061"/>
      <c r="G1505" s="1052" t="s">
        <v>361</v>
      </c>
      <c r="H1505" s="869" t="s">
        <v>362</v>
      </c>
      <c r="I1505" s="1058" t="e">
        <f>VLOOKUP(H1503,'LƯƠNG KT'!$D$15:$U$94,14,0)</f>
        <v>#N/A</v>
      </c>
      <c r="J1505" s="1059" t="e">
        <f>I1505*$L$4</f>
        <v>#N/A</v>
      </c>
      <c r="K1505" s="1084"/>
      <c r="L1505" s="1085"/>
      <c r="M1505" s="1085"/>
      <c r="N1505" s="1085"/>
      <c r="O1505" s="1085"/>
    </row>
    <row r="1506" spans="1:15" ht="15" customHeight="1">
      <c r="A1506" s="1052" t="s">
        <v>364</v>
      </c>
      <c r="B1506" s="869" t="s">
        <v>365</v>
      </c>
      <c r="C1506" s="1058" t="e">
        <f>VLOOKUP(B1503,'LƯƠNG KT'!$D$15:$U$94,15,0)</f>
        <v>#N/A</v>
      </c>
      <c r="D1506" s="1059" t="e">
        <f>C1506*$L$5</f>
        <v>#N/A</v>
      </c>
      <c r="E1506" s="1061"/>
      <c r="F1506" s="1061"/>
      <c r="G1506" s="1052" t="s">
        <v>364</v>
      </c>
      <c r="H1506" s="869" t="s">
        <v>365</v>
      </c>
      <c r="I1506" s="1058" t="e">
        <f>VLOOKUP(H1503,'LƯƠNG KT'!$D$15:$U$94,15,0)</f>
        <v>#N/A</v>
      </c>
      <c r="J1506" s="1059" t="e">
        <f>I1506*$L$5</f>
        <v>#N/A</v>
      </c>
      <c r="K1506" s="1084"/>
      <c r="L1506" s="1085"/>
      <c r="M1506" s="1085"/>
      <c r="N1506" s="1085"/>
      <c r="O1506" s="1085"/>
    </row>
    <row r="1507" spans="1:15" ht="15" customHeight="1">
      <c r="A1507" s="1052" t="s">
        <v>367</v>
      </c>
      <c r="B1507" s="869"/>
      <c r="C1507" s="1058" t="e">
        <f>VLOOKUP(B1503,'LƯƠNG KT'!$D$15:$U$94,16,0)</f>
        <v>#N/A</v>
      </c>
      <c r="D1507" s="1059" t="e">
        <f>+C1507*$L$6</f>
        <v>#N/A</v>
      </c>
      <c r="E1507" s="1061"/>
      <c r="F1507" s="1061"/>
      <c r="G1507" s="1052" t="s">
        <v>367</v>
      </c>
      <c r="H1507" s="869"/>
      <c r="I1507" s="1058" t="e">
        <f>VLOOKUP(H1503,'LƯƠNG KT'!$D$15:$U$94,16,0)</f>
        <v>#N/A</v>
      </c>
      <c r="J1507" s="1059" t="e">
        <f>+I1507*$L$6</f>
        <v>#N/A</v>
      </c>
      <c r="K1507" s="1085"/>
      <c r="L1507" s="1085"/>
      <c r="M1507" s="1085"/>
      <c r="N1507" s="1085"/>
      <c r="O1507" s="1085"/>
    </row>
    <row r="1508" spans="1:15" ht="15" customHeight="1">
      <c r="A1508" s="1052" t="s">
        <v>371</v>
      </c>
      <c r="B1508" s="869" t="s">
        <v>372</v>
      </c>
      <c r="C1508" s="1058" t="e">
        <f>VLOOKUP(B1503,'LƯƠNG KT'!$D$15:$U$94,9,0)*$L$10</f>
        <v>#N/A</v>
      </c>
      <c r="D1508" s="1059" t="e">
        <f>+C1508*0.5*3000</f>
        <v>#N/A</v>
      </c>
      <c r="E1508" s="1061"/>
      <c r="F1508" s="1061"/>
      <c r="G1508" s="1052" t="s">
        <v>371</v>
      </c>
      <c r="H1508" s="869" t="s">
        <v>372</v>
      </c>
      <c r="I1508" s="1058" t="e">
        <f>VLOOKUP(H1503,'LƯƠNG KT'!$D$15:$U$94,9,0)*$L$10</f>
        <v>#N/A</v>
      </c>
      <c r="J1508" s="1059" t="e">
        <f>+I1508*0.5*3000</f>
        <v>#N/A</v>
      </c>
      <c r="K1508" s="1085"/>
      <c r="L1508" s="1085"/>
      <c r="M1508" s="1085"/>
      <c r="N1508" s="1085"/>
      <c r="O1508" s="1085"/>
    </row>
    <row r="1509" spans="1:15" ht="15" customHeight="1">
      <c r="A1509" s="1052" t="s">
        <v>374</v>
      </c>
      <c r="B1509" s="869" t="s">
        <v>375</v>
      </c>
      <c r="C1509" s="1058" t="e">
        <f>VLOOKUP(B1503,'LƯƠNG KT'!$D$15:$U$94,8,0)*$L$11</f>
        <v>#N/A</v>
      </c>
      <c r="D1509" s="1059" t="e">
        <f>VLOOKUP(B1503,'LƯƠNG KT'!$D$15:$U$94,13,0)-D1508</f>
        <v>#N/A</v>
      </c>
      <c r="E1509" s="1063"/>
      <c r="F1509" s="1061"/>
      <c r="G1509" s="1052" t="s">
        <v>374</v>
      </c>
      <c r="H1509" s="869" t="s">
        <v>375</v>
      </c>
      <c r="I1509" s="1058" t="e">
        <f>VLOOKUP(H1503,'LƯƠNG KT'!$D$15:$U$94,8,0)*$L$11</f>
        <v>#N/A</v>
      </c>
      <c r="J1509" s="1059" t="e">
        <f>VLOOKUP(H1503,'LƯƠNG KT'!$D$15:$U$94,13,0)-J1508</f>
        <v>#N/A</v>
      </c>
      <c r="K1509" s="1085"/>
      <c r="L1509" s="1085"/>
      <c r="M1509" s="1085"/>
      <c r="N1509" s="1085"/>
      <c r="O1509" s="1085"/>
    </row>
    <row r="1510" spans="1:15" ht="15" customHeight="1">
      <c r="A1510" s="1059" t="s">
        <v>377</v>
      </c>
      <c r="B1510" s="869" t="s">
        <v>378</v>
      </c>
      <c r="C1510" s="1058"/>
      <c r="D1510" s="1059"/>
      <c r="E1510" s="1065"/>
      <c r="F1510" s="1065"/>
      <c r="G1510" s="1059" t="s">
        <v>377</v>
      </c>
      <c r="H1510" s="869" t="s">
        <v>378</v>
      </c>
      <c r="I1510" s="1058"/>
      <c r="J1510" s="1059"/>
    </row>
    <row r="1511" spans="1:15" ht="15" customHeight="1">
      <c r="A1511" s="1066" t="s">
        <v>379</v>
      </c>
      <c r="B1511" s="869" t="s">
        <v>380</v>
      </c>
      <c r="C1511" s="1058"/>
      <c r="D1511" s="1059"/>
      <c r="E1511" s="1063"/>
      <c r="F1511" s="1065"/>
      <c r="G1511" s="1066" t="s">
        <v>379</v>
      </c>
      <c r="H1511" s="869" t="s">
        <v>380</v>
      </c>
      <c r="I1511" s="1058"/>
      <c r="J1511" s="1059"/>
    </row>
    <row r="1512" spans="1:15" ht="15" customHeight="1">
      <c r="A1512" s="1052" t="s">
        <v>381</v>
      </c>
      <c r="B1512" s="869" t="s">
        <v>382</v>
      </c>
      <c r="C1512" s="1058"/>
      <c r="D1512" s="1059">
        <f>D1511</f>
        <v>0</v>
      </c>
      <c r="E1512" s="1067"/>
      <c r="F1512" s="1051"/>
      <c r="G1512" s="1052" t="s">
        <v>381</v>
      </c>
      <c r="H1512" s="869" t="s">
        <v>382</v>
      </c>
      <c r="I1512" s="1058"/>
      <c r="J1512" s="1059">
        <f>J1511</f>
        <v>0</v>
      </c>
    </row>
    <row r="1513" spans="1:15" ht="15" customHeight="1">
      <c r="A1513" s="1068" t="s">
        <v>383</v>
      </c>
      <c r="B1513" s="1069" t="s">
        <v>384</v>
      </c>
      <c r="C1513" s="1070"/>
      <c r="D1513" s="1071" t="e">
        <f>SUM(D1504:D1509)-D1512</f>
        <v>#N/A</v>
      </c>
      <c r="E1513" s="1072"/>
      <c r="F1513" s="1073"/>
      <c r="G1513" s="1068" t="s">
        <v>383</v>
      </c>
      <c r="H1513" s="1069" t="s">
        <v>384</v>
      </c>
      <c r="I1513" s="1070"/>
      <c r="J1513" s="1071" t="e">
        <f>SUM(J1504:J1509)-J1512</f>
        <v>#N/A</v>
      </c>
    </row>
    <row r="1514" spans="1:15" ht="12.6" customHeight="1">
      <c r="A1514" s="1074"/>
      <c r="B1514" s="1075"/>
      <c r="C1514" s="1076"/>
      <c r="D1514" s="1077"/>
      <c r="E1514" s="1077"/>
      <c r="F1514" s="1078"/>
      <c r="G1514" s="1074"/>
      <c r="H1514" s="1075"/>
      <c r="I1514" s="1076"/>
      <c r="J1514" s="1077"/>
    </row>
    <row r="1515" spans="1:15" ht="12.6" customHeight="1">
      <c r="A1515" s="1075"/>
      <c r="B1515" s="1075"/>
      <c r="C1515" s="1079"/>
      <c r="D1515" s="1080"/>
      <c r="E1515" s="1075"/>
      <c r="F1515" s="1081"/>
      <c r="G1515" s="1075"/>
      <c r="H1515" s="1075"/>
      <c r="I1515" s="1079"/>
      <c r="J1515" s="1080"/>
    </row>
    <row r="1516" spans="1:15" ht="15" customHeight="1">
      <c r="A1516" s="2242" t="str">
        <f>$K$2</f>
        <v>THÁNG 09/2024</v>
      </c>
      <c r="B1516" s="2242"/>
      <c r="C1516" s="2242"/>
      <c r="D1516" s="2242"/>
      <c r="E1516" s="1050"/>
      <c r="F1516" s="1051"/>
      <c r="G1516" s="2242" t="str">
        <f>$K$2</f>
        <v>THÁNG 09/2024</v>
      </c>
      <c r="H1516" s="2242"/>
      <c r="I1516" s="2242"/>
      <c r="J1516" s="2242"/>
      <c r="K1516" s="624"/>
    </row>
    <row r="1517" spans="1:15" ht="15" customHeight="1">
      <c r="A1517" s="1052" t="s">
        <v>356</v>
      </c>
      <c r="B1517" s="1053" t="s">
        <v>497</v>
      </c>
      <c r="C1517" s="869"/>
      <c r="D1517" s="1049"/>
      <c r="E1517" s="1054"/>
      <c r="F1517" s="1055"/>
      <c r="G1517" s="1052" t="s">
        <v>356</v>
      </c>
      <c r="H1517" s="1053" t="s">
        <v>498</v>
      </c>
      <c r="I1517" s="869"/>
      <c r="J1517" s="1049"/>
      <c r="L1517" s="1088"/>
      <c r="M1517" s="1088"/>
      <c r="N1517" s="1088"/>
      <c r="O1517" s="1088"/>
    </row>
    <row r="1518" spans="1:15" ht="15" customHeight="1">
      <c r="A1518" s="1052" t="s">
        <v>359</v>
      </c>
      <c r="B1518" s="1089" t="s">
        <v>360</v>
      </c>
      <c r="C1518" s="1058" t="e">
        <f>VLOOKUP(B1517,'LƯƠNG KT'!$D$15:$U$94,3,0)</f>
        <v>#N/A</v>
      </c>
      <c r="D1518" s="1059" t="e">
        <f>+C1518*25000</f>
        <v>#N/A</v>
      </c>
      <c r="E1518" s="1060"/>
      <c r="F1518" s="1060"/>
      <c r="G1518" s="1052" t="s">
        <v>359</v>
      </c>
      <c r="H1518" s="1089" t="s">
        <v>360</v>
      </c>
      <c r="I1518" s="1058" t="e">
        <f>VLOOKUP(H1517,'LƯƠNG KT'!$D$15:$U$94,3,0)</f>
        <v>#N/A</v>
      </c>
      <c r="J1518" s="1059" t="e">
        <f>+I1518*25000</f>
        <v>#N/A</v>
      </c>
      <c r="K1518" s="1085"/>
      <c r="L1518" s="1085"/>
      <c r="M1518" s="1085"/>
      <c r="N1518" s="1085"/>
      <c r="O1518" s="1085"/>
    </row>
    <row r="1519" spans="1:15" ht="15" customHeight="1">
      <c r="A1519" s="1052" t="s">
        <v>361</v>
      </c>
      <c r="B1519" s="869" t="s">
        <v>362</v>
      </c>
      <c r="C1519" s="1058" t="e">
        <f>VLOOKUP(B1517,'LƯƠNG KT'!$D$15:$U$94,14,0)</f>
        <v>#N/A</v>
      </c>
      <c r="D1519" s="1059" t="e">
        <f>C1519*$L$4</f>
        <v>#N/A</v>
      </c>
      <c r="E1519" s="1061"/>
      <c r="F1519" s="1061"/>
      <c r="G1519" s="1052" t="s">
        <v>361</v>
      </c>
      <c r="H1519" s="869" t="s">
        <v>362</v>
      </c>
      <c r="I1519" s="1058" t="e">
        <f>VLOOKUP(H1517,'LƯƠNG KT'!$D$15:$U$94,14,0)</f>
        <v>#N/A</v>
      </c>
      <c r="J1519" s="1059" t="e">
        <f>I1519*$L$4</f>
        <v>#N/A</v>
      </c>
      <c r="K1519" s="1085"/>
      <c r="L1519" s="1085"/>
      <c r="M1519" s="1085"/>
      <c r="N1519" s="1085"/>
      <c r="O1519" s="1085"/>
    </row>
    <row r="1520" spans="1:15" ht="15" customHeight="1">
      <c r="A1520" s="1052" t="s">
        <v>364</v>
      </c>
      <c r="B1520" s="869" t="s">
        <v>365</v>
      </c>
      <c r="C1520" s="1058" t="e">
        <f>VLOOKUP(B1517,'LƯƠNG KT'!$D$15:$U$94,15,0)</f>
        <v>#N/A</v>
      </c>
      <c r="D1520" s="1059" t="e">
        <f>C1520*$L$5</f>
        <v>#N/A</v>
      </c>
      <c r="E1520" s="1061"/>
      <c r="F1520" s="1061"/>
      <c r="G1520" s="1052" t="s">
        <v>364</v>
      </c>
      <c r="H1520" s="869" t="s">
        <v>365</v>
      </c>
      <c r="I1520" s="1058" t="e">
        <f>VLOOKUP(H1517,'LƯƠNG KT'!$D$15:$U$94,15,0)</f>
        <v>#N/A</v>
      </c>
      <c r="J1520" s="1059" t="e">
        <f>I1520*$L$5</f>
        <v>#N/A</v>
      </c>
      <c r="K1520" s="1085"/>
      <c r="L1520" s="1085"/>
      <c r="M1520" s="1085"/>
      <c r="N1520" s="1085"/>
      <c r="O1520" s="1085"/>
    </row>
    <row r="1521" spans="1:15" ht="15" customHeight="1">
      <c r="A1521" s="1052" t="s">
        <v>367</v>
      </c>
      <c r="B1521" s="869"/>
      <c r="C1521" s="1058" t="e">
        <f>VLOOKUP(B1517,'LƯƠNG KT'!$D$15:$U$94,16,0)</f>
        <v>#N/A</v>
      </c>
      <c r="D1521" s="1059" t="e">
        <f>+C1521*$L$6</f>
        <v>#N/A</v>
      </c>
      <c r="E1521" s="1061"/>
      <c r="F1521" s="1061"/>
      <c r="G1521" s="1052" t="s">
        <v>367</v>
      </c>
      <c r="H1521" s="869"/>
      <c r="I1521" s="1058" t="e">
        <f>VLOOKUP(H1517,'LƯƠNG KT'!$D$15:$U$94,16,0)</f>
        <v>#N/A</v>
      </c>
      <c r="J1521" s="1059" t="e">
        <f>+I1521*$L$6</f>
        <v>#N/A</v>
      </c>
      <c r="K1521" s="1085"/>
      <c r="L1521" s="1085"/>
      <c r="M1521" s="1085"/>
      <c r="N1521" s="1085"/>
      <c r="O1521" s="1085"/>
    </row>
    <row r="1522" spans="1:15" ht="15" customHeight="1">
      <c r="A1522" s="1052" t="s">
        <v>371</v>
      </c>
      <c r="B1522" s="869" t="s">
        <v>372</v>
      </c>
      <c r="C1522" s="1058" t="e">
        <f>VLOOKUP(B1517,'LƯƠNG KT'!$D$15:$U$94,9,0)*$L$10</f>
        <v>#N/A</v>
      </c>
      <c r="D1522" s="1059" t="e">
        <f>+C1522*0.5*3000</f>
        <v>#N/A</v>
      </c>
      <c r="E1522" s="1061"/>
      <c r="F1522" s="1061"/>
      <c r="G1522" s="1052" t="s">
        <v>371</v>
      </c>
      <c r="H1522" s="869" t="s">
        <v>372</v>
      </c>
      <c r="I1522" s="1058" t="e">
        <f>VLOOKUP(H1517,'LƯƠNG KT'!$D$15:$U$94,9,0)*$L$10</f>
        <v>#N/A</v>
      </c>
      <c r="J1522" s="1059" t="e">
        <f>+I1522*0.5*3000</f>
        <v>#N/A</v>
      </c>
      <c r="K1522" s="1085"/>
      <c r="L1522" s="1085"/>
      <c r="M1522" s="1085"/>
      <c r="N1522" s="1085"/>
      <c r="O1522" s="1085"/>
    </row>
    <row r="1523" spans="1:15" ht="15" customHeight="1">
      <c r="A1523" s="1052" t="s">
        <v>374</v>
      </c>
      <c r="B1523" s="869" t="s">
        <v>375</v>
      </c>
      <c r="C1523" s="1058" t="e">
        <f>VLOOKUP(B1517,'LƯƠNG KT'!$D$15:$U$94,8,0)*$L$11</f>
        <v>#N/A</v>
      </c>
      <c r="D1523" s="1059" t="e">
        <f>VLOOKUP(B1517,'LƯƠNG KT'!$D$15:$U$94,13,0)-D1522</f>
        <v>#N/A</v>
      </c>
      <c r="E1523" s="1063"/>
      <c r="F1523" s="1061"/>
      <c r="G1523" s="1052" t="s">
        <v>374</v>
      </c>
      <c r="H1523" s="869" t="s">
        <v>375</v>
      </c>
      <c r="I1523" s="1058" t="e">
        <f>VLOOKUP(H1517,'LƯƠNG KT'!$D$15:$U$94,8,0)*$L$11</f>
        <v>#N/A</v>
      </c>
      <c r="J1523" s="1059" t="e">
        <f>VLOOKUP(H1517,'LƯƠNG KT'!$D$15:$U$94,13,0)-J1522</f>
        <v>#N/A</v>
      </c>
      <c r="K1523" s="1085"/>
      <c r="L1523" s="1085"/>
      <c r="M1523" s="1085"/>
      <c r="N1523" s="1085"/>
      <c r="O1523" s="1085"/>
    </row>
    <row r="1524" spans="1:15" ht="15" customHeight="1">
      <c r="A1524" s="1059" t="s">
        <v>377</v>
      </c>
      <c r="B1524" s="869" t="s">
        <v>378</v>
      </c>
      <c r="C1524" s="1058"/>
      <c r="D1524" s="1059"/>
      <c r="E1524" s="1065"/>
      <c r="F1524" s="1065"/>
      <c r="G1524" s="1059" t="s">
        <v>377</v>
      </c>
      <c r="H1524" s="869" t="s">
        <v>378</v>
      </c>
      <c r="I1524" s="1058"/>
      <c r="J1524" s="1059"/>
    </row>
    <row r="1525" spans="1:15" ht="15" customHeight="1">
      <c r="A1525" s="1066" t="s">
        <v>379</v>
      </c>
      <c r="B1525" s="869" t="s">
        <v>380</v>
      </c>
      <c r="C1525" s="1058"/>
      <c r="D1525" s="1059"/>
      <c r="E1525" s="1063"/>
      <c r="F1525" s="1065"/>
      <c r="G1525" s="1066" t="s">
        <v>379</v>
      </c>
      <c r="H1525" s="869" t="s">
        <v>380</v>
      </c>
      <c r="I1525" s="1058"/>
      <c r="J1525" s="1059"/>
    </row>
    <row r="1526" spans="1:15" ht="15" customHeight="1">
      <c r="A1526" s="1052" t="s">
        <v>381</v>
      </c>
      <c r="B1526" s="869" t="s">
        <v>382</v>
      </c>
      <c r="C1526" s="1058"/>
      <c r="D1526" s="1059">
        <f>D1525</f>
        <v>0</v>
      </c>
      <c r="E1526" s="1067"/>
      <c r="F1526" s="1051"/>
      <c r="G1526" s="1052" t="s">
        <v>381</v>
      </c>
      <c r="H1526" s="869" t="s">
        <v>382</v>
      </c>
      <c r="I1526" s="1058"/>
      <c r="J1526" s="1059">
        <f>J1525</f>
        <v>0</v>
      </c>
    </row>
    <row r="1527" spans="1:15" ht="15" customHeight="1">
      <c r="A1527" s="1068" t="s">
        <v>383</v>
      </c>
      <c r="B1527" s="1069" t="s">
        <v>384</v>
      </c>
      <c r="C1527" s="1070"/>
      <c r="D1527" s="1071" t="e">
        <f>SUM(D1518:D1523)-D1526</f>
        <v>#N/A</v>
      </c>
      <c r="E1527" s="1072"/>
      <c r="F1527" s="1073"/>
      <c r="G1527" s="1068" t="s">
        <v>383</v>
      </c>
      <c r="H1527" s="1069" t="s">
        <v>384</v>
      </c>
      <c r="I1527" s="1070"/>
      <c r="J1527" s="1071" t="e">
        <f>SUM(J1518:J1523)-J1526</f>
        <v>#N/A</v>
      </c>
    </row>
    <row r="1528" spans="1:15" ht="18.75" customHeight="1">
      <c r="A1528" s="1074"/>
      <c r="B1528" s="1075"/>
      <c r="C1528" s="1076"/>
      <c r="D1528" s="1077"/>
      <c r="E1528" s="1077"/>
      <c r="F1528" s="1078"/>
      <c r="G1528" s="1074"/>
      <c r="H1528" s="1075"/>
      <c r="I1528" s="1076"/>
      <c r="J1528" s="1077"/>
    </row>
    <row r="1529" spans="1:15" ht="18.75" customHeight="1">
      <c r="A1529" s="1075"/>
      <c r="B1529" s="1075"/>
      <c r="C1529" s="1079"/>
      <c r="D1529" s="1080"/>
      <c r="E1529" s="1075"/>
      <c r="F1529" s="1081"/>
      <c r="G1529" s="1075"/>
      <c r="H1529" s="1075"/>
      <c r="I1529" s="1079"/>
      <c r="J1529" s="1080"/>
    </row>
    <row r="1530" spans="1:15" ht="15" customHeight="1">
      <c r="A1530" s="2242" t="str">
        <f>$K$2</f>
        <v>THÁNG 09/2024</v>
      </c>
      <c r="B1530" s="2242"/>
      <c r="C1530" s="2242"/>
      <c r="D1530" s="2242"/>
      <c r="E1530" s="1050"/>
      <c r="F1530" s="1051"/>
      <c r="G1530" s="2242" t="str">
        <f>$K$2</f>
        <v>THÁNG 09/2024</v>
      </c>
      <c r="H1530" s="2242"/>
      <c r="I1530" s="2242"/>
      <c r="J1530" s="2242"/>
      <c r="K1530" s="624"/>
    </row>
    <row r="1531" spans="1:15" ht="15" customHeight="1">
      <c r="A1531" s="1052" t="s">
        <v>356</v>
      </c>
      <c r="B1531" s="1053" t="s">
        <v>108</v>
      </c>
      <c r="C1531" s="869"/>
      <c r="D1531" s="1049"/>
      <c r="E1531" s="1054"/>
      <c r="F1531" s="1055"/>
      <c r="G1531" s="1052" t="s">
        <v>356</v>
      </c>
      <c r="H1531" s="1053" t="s">
        <v>109</v>
      </c>
      <c r="I1531" s="869"/>
      <c r="J1531" s="1049"/>
      <c r="L1531" s="1088"/>
      <c r="M1531" s="1088"/>
      <c r="N1531" s="1088"/>
      <c r="O1531" s="1088"/>
    </row>
    <row r="1532" spans="1:15" ht="15" customHeight="1">
      <c r="A1532" s="1052" t="s">
        <v>359</v>
      </c>
      <c r="B1532" s="1089" t="s">
        <v>360</v>
      </c>
      <c r="C1532" s="1058" t="e">
        <f>VLOOKUP(B1531,'LƯƠNG KT'!$D$15:$U$94,3,0)</f>
        <v>#N/A</v>
      </c>
      <c r="D1532" s="1059" t="e">
        <f>+C1532*25000</f>
        <v>#N/A</v>
      </c>
      <c r="E1532" s="1060"/>
      <c r="F1532" s="1060"/>
      <c r="G1532" s="1052" t="s">
        <v>359</v>
      </c>
      <c r="H1532" s="1089" t="s">
        <v>360</v>
      </c>
      <c r="I1532" s="1058" t="e">
        <f>VLOOKUP(H1531,'LƯƠNG KT'!$D$15:$U$94,3,0)</f>
        <v>#N/A</v>
      </c>
      <c r="J1532" s="1059" t="e">
        <f>+I1532*25000</f>
        <v>#N/A</v>
      </c>
      <c r="K1532" s="1085"/>
      <c r="L1532" s="1085"/>
      <c r="M1532" s="1085"/>
      <c r="N1532" s="1085"/>
      <c r="O1532" s="1085"/>
    </row>
    <row r="1533" spans="1:15" ht="15" customHeight="1">
      <c r="A1533" s="1052" t="s">
        <v>361</v>
      </c>
      <c r="B1533" s="869" t="s">
        <v>362</v>
      </c>
      <c r="C1533" s="1058" t="e">
        <f>VLOOKUP(B1531,'LƯƠNG KT'!$D$15:$U$94,14,0)</f>
        <v>#N/A</v>
      </c>
      <c r="D1533" s="1059" t="e">
        <f>C1533*$L$4</f>
        <v>#N/A</v>
      </c>
      <c r="E1533" s="1061"/>
      <c r="F1533" s="1061"/>
      <c r="G1533" s="1052" t="s">
        <v>361</v>
      </c>
      <c r="H1533" s="869" t="s">
        <v>362</v>
      </c>
      <c r="I1533" s="1058" t="e">
        <f>VLOOKUP(H1531,'LƯƠNG KT'!$D$15:$U$94,14,0)</f>
        <v>#N/A</v>
      </c>
      <c r="J1533" s="1059" t="e">
        <f>I1533*$L$4</f>
        <v>#N/A</v>
      </c>
      <c r="K1533" s="1085"/>
      <c r="L1533" s="1085"/>
      <c r="M1533" s="1085"/>
      <c r="N1533" s="1085"/>
      <c r="O1533" s="1085"/>
    </row>
    <row r="1534" spans="1:15" ht="15" customHeight="1">
      <c r="A1534" s="1052" t="s">
        <v>364</v>
      </c>
      <c r="B1534" s="869" t="s">
        <v>365</v>
      </c>
      <c r="C1534" s="1058" t="e">
        <f>VLOOKUP(B1531,'LƯƠNG KT'!$D$15:$U$94,15,0)</f>
        <v>#N/A</v>
      </c>
      <c r="D1534" s="1059" t="e">
        <f>C1534*$L$5</f>
        <v>#N/A</v>
      </c>
      <c r="E1534" s="1061"/>
      <c r="F1534" s="1061"/>
      <c r="G1534" s="1052" t="s">
        <v>364</v>
      </c>
      <c r="H1534" s="869" t="s">
        <v>365</v>
      </c>
      <c r="I1534" s="1058" t="e">
        <f>VLOOKUP(H1531,'LƯƠNG KT'!$D$15:$U$94,15,0)</f>
        <v>#N/A</v>
      </c>
      <c r="J1534" s="1059" t="e">
        <f>I1534*$L$5</f>
        <v>#N/A</v>
      </c>
      <c r="K1534" s="1085"/>
      <c r="L1534" s="1085"/>
      <c r="M1534" s="1085"/>
      <c r="N1534" s="1085"/>
      <c r="O1534" s="1085"/>
    </row>
    <row r="1535" spans="1:15" ht="15" customHeight="1">
      <c r="A1535" s="1052" t="s">
        <v>367</v>
      </c>
      <c r="B1535" s="869"/>
      <c r="C1535" s="1058" t="e">
        <f>VLOOKUP(B1531,'LƯƠNG KT'!$D$15:$U$94,16,0)</f>
        <v>#N/A</v>
      </c>
      <c r="D1535" s="1059" t="e">
        <f>+C1535*$L$6</f>
        <v>#N/A</v>
      </c>
      <c r="E1535" s="1061"/>
      <c r="F1535" s="1061"/>
      <c r="G1535" s="1052" t="s">
        <v>367</v>
      </c>
      <c r="H1535" s="869"/>
      <c r="I1535" s="1058" t="e">
        <f>VLOOKUP(H1531,'LƯƠNG KT'!$D$15:$U$94,16,0)</f>
        <v>#N/A</v>
      </c>
      <c r="J1535" s="1059" t="e">
        <f>+I1535*$L$6</f>
        <v>#N/A</v>
      </c>
      <c r="K1535" s="1085"/>
      <c r="L1535" s="1085"/>
      <c r="M1535" s="1085"/>
      <c r="N1535" s="1085"/>
      <c r="O1535" s="1085"/>
    </row>
    <row r="1536" spans="1:15" ht="15" customHeight="1">
      <c r="A1536" s="1052" t="s">
        <v>371</v>
      </c>
      <c r="B1536" s="869" t="s">
        <v>372</v>
      </c>
      <c r="C1536" s="1058" t="e">
        <f>VLOOKUP(B1531,'LƯƠNG KT'!$D$15:$U$94,9,0)*$L$10</f>
        <v>#N/A</v>
      </c>
      <c r="D1536" s="1059" t="e">
        <f>+C1536*0.5*3000</f>
        <v>#N/A</v>
      </c>
      <c r="E1536" s="1061"/>
      <c r="F1536" s="1061"/>
      <c r="G1536" s="1052" t="s">
        <v>371</v>
      </c>
      <c r="H1536" s="869" t="s">
        <v>372</v>
      </c>
      <c r="I1536" s="1058" t="e">
        <f>VLOOKUP(H1531,'LƯƠNG KT'!$D$15:$U$94,9,0)*$L$10</f>
        <v>#N/A</v>
      </c>
      <c r="J1536" s="1059" t="e">
        <f>+I1536*0.5*3000</f>
        <v>#N/A</v>
      </c>
      <c r="K1536" s="1085"/>
      <c r="L1536" s="1085"/>
      <c r="M1536" s="1085"/>
      <c r="N1536" s="1085"/>
      <c r="O1536" s="1085"/>
    </row>
    <row r="1537" spans="1:15" ht="15" customHeight="1">
      <c r="A1537" s="1052" t="s">
        <v>374</v>
      </c>
      <c r="B1537" s="869" t="s">
        <v>375</v>
      </c>
      <c r="C1537" s="1058" t="e">
        <f>VLOOKUP(B1531,'LƯƠNG KT'!$D$15:$U$94,8,0)*$L$11</f>
        <v>#N/A</v>
      </c>
      <c r="D1537" s="1059" t="e">
        <f>VLOOKUP(B1531,'LƯƠNG KT'!$D$15:$U$94,13,0)-D1536</f>
        <v>#N/A</v>
      </c>
      <c r="E1537" s="1063"/>
      <c r="F1537" s="1061"/>
      <c r="G1537" s="1052" t="s">
        <v>374</v>
      </c>
      <c r="H1537" s="869" t="s">
        <v>375</v>
      </c>
      <c r="I1537" s="1058" t="e">
        <f>VLOOKUP(H1531,'LƯƠNG KT'!$D$15:$U$94,8,0)*$L$11</f>
        <v>#N/A</v>
      </c>
      <c r="J1537" s="1059" t="e">
        <f>VLOOKUP(H1531,'LƯƠNG KT'!$D$15:$U$94,13,0)-J1536</f>
        <v>#N/A</v>
      </c>
      <c r="K1537" s="1085"/>
      <c r="L1537" s="1085"/>
      <c r="M1537" s="1085"/>
      <c r="N1537" s="1085"/>
      <c r="O1537" s="1085"/>
    </row>
    <row r="1538" spans="1:15" ht="15" customHeight="1">
      <c r="A1538" s="1059" t="s">
        <v>377</v>
      </c>
      <c r="B1538" s="869" t="s">
        <v>378</v>
      </c>
      <c r="C1538" s="1058"/>
      <c r="D1538" s="1059"/>
      <c r="E1538" s="1065"/>
      <c r="F1538" s="1065"/>
      <c r="G1538" s="1059" t="s">
        <v>377</v>
      </c>
      <c r="H1538" s="869" t="s">
        <v>378</v>
      </c>
      <c r="I1538" s="1058"/>
      <c r="J1538" s="1059"/>
    </row>
    <row r="1539" spans="1:15" ht="15" customHeight="1">
      <c r="A1539" s="1066" t="s">
        <v>379</v>
      </c>
      <c r="B1539" s="869" t="s">
        <v>380</v>
      </c>
      <c r="C1539" s="1058"/>
      <c r="D1539" s="1059"/>
      <c r="E1539" s="1063"/>
      <c r="F1539" s="1065"/>
      <c r="G1539" s="1066" t="s">
        <v>379</v>
      </c>
      <c r="H1539" s="869" t="s">
        <v>380</v>
      </c>
      <c r="I1539" s="1058"/>
      <c r="J1539" s="1059"/>
    </row>
    <row r="1540" spans="1:15" ht="15" customHeight="1">
      <c r="A1540" s="1052" t="s">
        <v>381</v>
      </c>
      <c r="B1540" s="869" t="s">
        <v>382</v>
      </c>
      <c r="C1540" s="1058"/>
      <c r="D1540" s="1059">
        <f>D1539</f>
        <v>0</v>
      </c>
      <c r="E1540" s="1067"/>
      <c r="F1540" s="1051"/>
      <c r="G1540" s="1052" t="s">
        <v>381</v>
      </c>
      <c r="H1540" s="869" t="s">
        <v>382</v>
      </c>
      <c r="I1540" s="1058"/>
      <c r="J1540" s="1059">
        <f>J1539</f>
        <v>0</v>
      </c>
    </row>
    <row r="1541" spans="1:15" ht="15" customHeight="1">
      <c r="A1541" s="1068" t="s">
        <v>383</v>
      </c>
      <c r="B1541" s="1069" t="s">
        <v>384</v>
      </c>
      <c r="C1541" s="1070"/>
      <c r="D1541" s="1071" t="e">
        <f>SUM(D1532:D1537)-D1540</f>
        <v>#N/A</v>
      </c>
      <c r="E1541" s="1072"/>
      <c r="F1541" s="1073"/>
      <c r="G1541" s="1068" t="s">
        <v>383</v>
      </c>
      <c r="H1541" s="1069" t="s">
        <v>384</v>
      </c>
      <c r="I1541" s="1070"/>
      <c r="J1541" s="1071" t="e">
        <f>SUM(J1532:J1537)-J1540</f>
        <v>#N/A</v>
      </c>
    </row>
    <row r="1542" spans="1:15" ht="18.75" customHeight="1">
      <c r="A1542" s="1074"/>
      <c r="B1542" s="1075"/>
      <c r="C1542" s="1076"/>
      <c r="D1542" s="1077"/>
      <c r="E1542" s="1077"/>
      <c r="F1542" s="1078"/>
      <c r="G1542" s="1074"/>
      <c r="H1542" s="1075"/>
      <c r="I1542" s="1076"/>
      <c r="J1542" s="1077"/>
    </row>
    <row r="1543" spans="1:15" ht="18.75" customHeight="1">
      <c r="A1543" s="1075"/>
      <c r="B1543" s="1075"/>
      <c r="C1543" s="1079"/>
      <c r="D1543" s="1080"/>
      <c r="E1543" s="1075"/>
      <c r="F1543" s="1081"/>
      <c r="G1543" s="1075"/>
      <c r="H1543" s="1075"/>
      <c r="I1543" s="1079"/>
      <c r="J1543" s="1080"/>
    </row>
    <row r="1544" spans="1:15" ht="15" customHeight="1">
      <c r="A1544" s="2242" t="str">
        <f>$K$2</f>
        <v>THÁNG 09/2024</v>
      </c>
      <c r="B1544" s="2242"/>
      <c r="C1544" s="2242"/>
      <c r="D1544" s="2242"/>
      <c r="E1544" s="1050"/>
      <c r="F1544" s="1051"/>
      <c r="G1544" s="2242" t="str">
        <f>$K$2</f>
        <v>THÁNG 09/2024</v>
      </c>
      <c r="H1544" s="2242"/>
      <c r="I1544" s="2242"/>
      <c r="J1544" s="2242"/>
      <c r="K1544" s="624"/>
    </row>
    <row r="1545" spans="1:15" ht="15" customHeight="1">
      <c r="A1545" s="1052" t="s">
        <v>356</v>
      </c>
      <c r="B1545" s="1053" t="s">
        <v>110</v>
      </c>
      <c r="C1545" s="869"/>
      <c r="D1545" s="1049"/>
      <c r="E1545" s="1054"/>
      <c r="F1545" s="1055"/>
      <c r="G1545" s="1052" t="s">
        <v>356</v>
      </c>
      <c r="H1545" s="1053" t="s">
        <v>111</v>
      </c>
      <c r="I1545" s="869"/>
      <c r="J1545" s="1049"/>
      <c r="L1545" s="1088"/>
      <c r="M1545" s="1088"/>
      <c r="N1545" s="1088"/>
      <c r="O1545" s="1088"/>
    </row>
    <row r="1546" spans="1:15" ht="15" customHeight="1">
      <c r="A1546" s="1052" t="s">
        <v>359</v>
      </c>
      <c r="B1546" s="1089" t="s">
        <v>360</v>
      </c>
      <c r="C1546" s="1058" t="e">
        <f>VLOOKUP(B1545,'LƯƠNG KT'!$D$15:$U$94,3,0)</f>
        <v>#N/A</v>
      </c>
      <c r="D1546" s="1059" t="e">
        <f>+C1546*25000</f>
        <v>#N/A</v>
      </c>
      <c r="E1546" s="1060"/>
      <c r="F1546" s="1060"/>
      <c r="G1546" s="1052" t="s">
        <v>359</v>
      </c>
      <c r="H1546" s="1089" t="s">
        <v>360</v>
      </c>
      <c r="I1546" s="1058" t="e">
        <f>VLOOKUP(H1545,'LƯƠNG KT'!$D$15:$U$94,3,0)</f>
        <v>#N/A</v>
      </c>
      <c r="J1546" s="1059" t="e">
        <f>+I1546*25000</f>
        <v>#N/A</v>
      </c>
      <c r="K1546" s="1085"/>
      <c r="L1546" s="1085"/>
      <c r="M1546" s="1085"/>
      <c r="N1546" s="1085"/>
      <c r="O1546" s="1085"/>
    </row>
    <row r="1547" spans="1:15" ht="15" customHeight="1">
      <c r="A1547" s="1052" t="s">
        <v>361</v>
      </c>
      <c r="B1547" s="869" t="s">
        <v>362</v>
      </c>
      <c r="C1547" s="1058" t="e">
        <f>VLOOKUP(B1545,'LƯƠNG KT'!$D$15:$U$94,14,0)</f>
        <v>#N/A</v>
      </c>
      <c r="D1547" s="1059" t="e">
        <f>C1547*$L$4</f>
        <v>#N/A</v>
      </c>
      <c r="E1547" s="1061"/>
      <c r="F1547" s="1061"/>
      <c r="G1547" s="1052" t="s">
        <v>361</v>
      </c>
      <c r="H1547" s="869" t="s">
        <v>362</v>
      </c>
      <c r="I1547" s="1058" t="e">
        <f>VLOOKUP(H1545,'LƯƠNG KT'!$D$15:$U$94,14,0)</f>
        <v>#N/A</v>
      </c>
      <c r="J1547" s="1059" t="e">
        <f>I1547*$L$4</f>
        <v>#N/A</v>
      </c>
      <c r="K1547" s="1085"/>
      <c r="L1547" s="1085"/>
      <c r="M1547" s="1085"/>
      <c r="N1547" s="1085"/>
      <c r="O1547" s="1085"/>
    </row>
    <row r="1548" spans="1:15" ht="15" customHeight="1">
      <c r="A1548" s="1052" t="s">
        <v>364</v>
      </c>
      <c r="B1548" s="869" t="s">
        <v>365</v>
      </c>
      <c r="C1548" s="1058" t="e">
        <f>VLOOKUP(B1545,'LƯƠNG KT'!$D$15:$U$94,15,0)</f>
        <v>#N/A</v>
      </c>
      <c r="D1548" s="1059" t="e">
        <f>C1548*$L$5</f>
        <v>#N/A</v>
      </c>
      <c r="E1548" s="1061"/>
      <c r="F1548" s="1061"/>
      <c r="G1548" s="1052" t="s">
        <v>364</v>
      </c>
      <c r="H1548" s="869" t="s">
        <v>365</v>
      </c>
      <c r="I1548" s="1058" t="e">
        <f>VLOOKUP(H1545,'LƯƠNG KT'!$D$15:$U$94,15,0)</f>
        <v>#N/A</v>
      </c>
      <c r="J1548" s="1059" t="e">
        <f>I1548*$L$5</f>
        <v>#N/A</v>
      </c>
      <c r="K1548" s="1085"/>
      <c r="L1548" s="1085"/>
      <c r="M1548" s="1085"/>
      <c r="N1548" s="1085"/>
      <c r="O1548" s="1085"/>
    </row>
    <row r="1549" spans="1:15" ht="15" customHeight="1">
      <c r="A1549" s="1052" t="s">
        <v>367</v>
      </c>
      <c r="B1549" s="869"/>
      <c r="C1549" s="1058" t="e">
        <f>VLOOKUP(B1545,'LƯƠNG KT'!$D$15:$U$94,16,0)</f>
        <v>#N/A</v>
      </c>
      <c r="D1549" s="1059" t="e">
        <f>+C1549*$L$6</f>
        <v>#N/A</v>
      </c>
      <c r="E1549" s="1061"/>
      <c r="F1549" s="1061"/>
      <c r="G1549" s="1052" t="s">
        <v>367</v>
      </c>
      <c r="H1549" s="869"/>
      <c r="I1549" s="1058" t="e">
        <f>VLOOKUP(H1545,'LƯƠNG KT'!$D$15:$U$94,16,0)</f>
        <v>#N/A</v>
      </c>
      <c r="J1549" s="1059" t="e">
        <f>+I1549*$L$6</f>
        <v>#N/A</v>
      </c>
      <c r="K1549" s="1085"/>
      <c r="L1549" s="1085"/>
      <c r="M1549" s="1085"/>
      <c r="N1549" s="1085"/>
      <c r="O1549" s="1085"/>
    </row>
    <row r="1550" spans="1:15" ht="15" customHeight="1">
      <c r="A1550" s="1052" t="s">
        <v>371</v>
      </c>
      <c r="B1550" s="869" t="s">
        <v>372</v>
      </c>
      <c r="C1550" s="1058" t="e">
        <f>VLOOKUP(B1545,'LƯƠNG KT'!$D$15:$U$94,9,0)*$L$10</f>
        <v>#N/A</v>
      </c>
      <c r="D1550" s="1059" t="e">
        <f>+C1550*0.5*3000</f>
        <v>#N/A</v>
      </c>
      <c r="E1550" s="1061"/>
      <c r="F1550" s="1061"/>
      <c r="G1550" s="1052" t="s">
        <v>371</v>
      </c>
      <c r="H1550" s="869" t="s">
        <v>372</v>
      </c>
      <c r="I1550" s="1058" t="e">
        <f>VLOOKUP(H1545,'LƯƠNG KT'!$D$15:$U$94,9,0)*$L$10</f>
        <v>#N/A</v>
      </c>
      <c r="J1550" s="1059" t="e">
        <f>+I1550*0.5*3000</f>
        <v>#N/A</v>
      </c>
      <c r="K1550" s="1085"/>
      <c r="L1550" s="1085"/>
      <c r="M1550" s="1085"/>
      <c r="N1550" s="1085"/>
      <c r="O1550" s="1085"/>
    </row>
    <row r="1551" spans="1:15" ht="15" customHeight="1">
      <c r="A1551" s="1052" t="s">
        <v>374</v>
      </c>
      <c r="B1551" s="869" t="s">
        <v>375</v>
      </c>
      <c r="C1551" s="1058" t="e">
        <f>VLOOKUP(B1545,'LƯƠNG KT'!$D$15:$U$94,8,0)*$L$11</f>
        <v>#N/A</v>
      </c>
      <c r="D1551" s="1059" t="e">
        <f>VLOOKUP(B1545,'LƯƠNG KT'!$D$15:$U$94,13,0)-D1550</f>
        <v>#N/A</v>
      </c>
      <c r="E1551" s="1063"/>
      <c r="F1551" s="1061"/>
      <c r="G1551" s="1052" t="s">
        <v>374</v>
      </c>
      <c r="H1551" s="869" t="s">
        <v>375</v>
      </c>
      <c r="I1551" s="1058" t="e">
        <f>VLOOKUP(H1545,'LƯƠNG KT'!$D$15:$U$94,8,0)*$L$11</f>
        <v>#N/A</v>
      </c>
      <c r="J1551" s="1059" t="e">
        <f>VLOOKUP(H1545,'LƯƠNG KT'!$D$15:$U$94,13,0)-J1550</f>
        <v>#N/A</v>
      </c>
      <c r="K1551" s="1085"/>
      <c r="L1551" s="1085"/>
      <c r="M1551" s="1085"/>
      <c r="N1551" s="1085"/>
      <c r="O1551" s="1085"/>
    </row>
    <row r="1552" spans="1:15" ht="15" customHeight="1">
      <c r="A1552" s="1059" t="s">
        <v>377</v>
      </c>
      <c r="B1552" s="869" t="s">
        <v>378</v>
      </c>
      <c r="C1552" s="1058"/>
      <c r="D1552" s="1059"/>
      <c r="E1552" s="1065"/>
      <c r="F1552" s="1065"/>
      <c r="G1552" s="1059" t="s">
        <v>377</v>
      </c>
      <c r="H1552" s="869" t="s">
        <v>378</v>
      </c>
      <c r="I1552" s="1058"/>
      <c r="J1552" s="1059"/>
    </row>
    <row r="1553" spans="1:15" ht="15" customHeight="1">
      <c r="A1553" s="1066" t="s">
        <v>379</v>
      </c>
      <c r="B1553" s="869" t="s">
        <v>380</v>
      </c>
      <c r="C1553" s="1058"/>
      <c r="D1553" s="1059"/>
      <c r="E1553" s="1063"/>
      <c r="F1553" s="1065"/>
      <c r="G1553" s="1066" t="s">
        <v>379</v>
      </c>
      <c r="H1553" s="869" t="s">
        <v>380</v>
      </c>
      <c r="I1553" s="1058"/>
      <c r="J1553" s="1059"/>
    </row>
    <row r="1554" spans="1:15" ht="15" customHeight="1">
      <c r="A1554" s="1052" t="s">
        <v>381</v>
      </c>
      <c r="B1554" s="869" t="s">
        <v>382</v>
      </c>
      <c r="C1554" s="1058"/>
      <c r="D1554" s="1059">
        <f>D1553</f>
        <v>0</v>
      </c>
      <c r="E1554" s="1067"/>
      <c r="F1554" s="1051"/>
      <c r="G1554" s="1052" t="s">
        <v>381</v>
      </c>
      <c r="H1554" s="869" t="s">
        <v>382</v>
      </c>
      <c r="I1554" s="1058"/>
      <c r="J1554" s="1059">
        <f>J1553</f>
        <v>0</v>
      </c>
    </row>
    <row r="1555" spans="1:15" ht="15" customHeight="1">
      <c r="A1555" s="1068" t="s">
        <v>383</v>
      </c>
      <c r="B1555" s="1069" t="s">
        <v>384</v>
      </c>
      <c r="C1555" s="1070"/>
      <c r="D1555" s="1071" t="e">
        <f>SUM(D1546:D1551)-D1554</f>
        <v>#N/A</v>
      </c>
      <c r="E1555" s="1072"/>
      <c r="F1555" s="1073"/>
      <c r="G1555" s="1068" t="s">
        <v>383</v>
      </c>
      <c r="H1555" s="1069" t="s">
        <v>384</v>
      </c>
      <c r="I1555" s="1070"/>
      <c r="J1555" s="1071" t="e">
        <f>SUM(J1546:J1551)-J1554</f>
        <v>#N/A</v>
      </c>
    </row>
    <row r="1556" spans="1:15" ht="15.75" customHeight="1">
      <c r="A1556" s="1074"/>
      <c r="B1556" s="1075"/>
      <c r="C1556" s="1076"/>
      <c r="D1556" s="1077"/>
      <c r="E1556" s="1077"/>
      <c r="F1556" s="1078"/>
      <c r="G1556" s="1074"/>
      <c r="H1556" s="1075"/>
      <c r="I1556" s="1076"/>
      <c r="J1556" s="1077"/>
    </row>
    <row r="1558" spans="1:15" ht="12" customHeight="1">
      <c r="A1558" s="2243"/>
      <c r="B1558" s="2243"/>
      <c r="C1558" s="2243"/>
      <c r="D1558" s="2243"/>
      <c r="E1558" s="2243"/>
      <c r="F1558" s="2243"/>
      <c r="G1558" s="2243"/>
      <c r="H1558" s="2243"/>
      <c r="I1558" s="2243"/>
      <c r="J1558" s="2243"/>
    </row>
    <row r="1559" spans="1:15" ht="15" customHeight="1">
      <c r="A1559" s="2242" t="str">
        <f>$K$2</f>
        <v>THÁNG 09/2024</v>
      </c>
      <c r="B1559" s="2242"/>
      <c r="C1559" s="2242"/>
      <c r="D1559" s="2242"/>
      <c r="E1559" s="1050"/>
      <c r="F1559" s="1051"/>
      <c r="G1559" s="2242" t="str">
        <f>$K$2</f>
        <v>THÁNG 09/2024</v>
      </c>
      <c r="H1559" s="2242"/>
      <c r="I1559" s="2242"/>
      <c r="J1559" s="2242"/>
      <c r="K1559" s="624"/>
    </row>
    <row r="1560" spans="1:15" ht="15" customHeight="1">
      <c r="A1560" s="1052" t="s">
        <v>356</v>
      </c>
      <c r="B1560" s="1053" t="s">
        <v>112</v>
      </c>
      <c r="C1560" s="869"/>
      <c r="D1560" s="1049"/>
      <c r="E1560" s="1054"/>
      <c r="F1560" s="1055"/>
      <c r="G1560" s="1052" t="s">
        <v>356</v>
      </c>
      <c r="H1560" s="1053" t="s">
        <v>113</v>
      </c>
      <c r="I1560" s="869"/>
      <c r="J1560" s="1049"/>
      <c r="L1560" s="1088"/>
      <c r="M1560" s="1088"/>
      <c r="N1560" s="1088"/>
      <c r="O1560" s="1088"/>
    </row>
    <row r="1561" spans="1:15" ht="15" customHeight="1">
      <c r="A1561" s="1052" t="s">
        <v>359</v>
      </c>
      <c r="B1561" s="1089" t="s">
        <v>360</v>
      </c>
      <c r="C1561" s="1058" t="e">
        <f>VLOOKUP(B1560,'LƯƠNG KT'!$D$15:$U$94,3,0)</f>
        <v>#N/A</v>
      </c>
      <c r="D1561" s="1059" t="e">
        <f>+C1561*25000</f>
        <v>#N/A</v>
      </c>
      <c r="E1561" s="1060"/>
      <c r="F1561" s="1060"/>
      <c r="G1561" s="1052" t="s">
        <v>359</v>
      </c>
      <c r="H1561" s="1089" t="s">
        <v>360</v>
      </c>
      <c r="I1561" s="1058" t="e">
        <f>VLOOKUP(H1560,'LƯƠNG KT'!$D$15:$U$94,3,0)</f>
        <v>#N/A</v>
      </c>
      <c r="J1561" s="1059" t="e">
        <f>+I1561*25000</f>
        <v>#N/A</v>
      </c>
      <c r="K1561" s="1084"/>
      <c r="L1561" s="1085"/>
      <c r="M1561" s="1085"/>
      <c r="N1561" s="1085"/>
      <c r="O1561" s="1085"/>
    </row>
    <row r="1562" spans="1:15" ht="15" customHeight="1">
      <c r="A1562" s="1052" t="s">
        <v>361</v>
      </c>
      <c r="B1562" s="869" t="s">
        <v>362</v>
      </c>
      <c r="C1562" s="1058" t="e">
        <f>VLOOKUP(B1560,'LƯƠNG KT'!$D$15:$U$94,14,0)</f>
        <v>#N/A</v>
      </c>
      <c r="D1562" s="1059" t="e">
        <f>C1562*$L$4</f>
        <v>#N/A</v>
      </c>
      <c r="E1562" s="1061"/>
      <c r="F1562" s="1061"/>
      <c r="G1562" s="1052" t="s">
        <v>361</v>
      </c>
      <c r="H1562" s="869" t="s">
        <v>362</v>
      </c>
      <c r="I1562" s="1058" t="e">
        <f>VLOOKUP(H1560,'LƯƠNG KT'!$D$15:$U$94,14,0)</f>
        <v>#N/A</v>
      </c>
      <c r="J1562" s="1059" t="e">
        <f>I1562*$L$4</f>
        <v>#N/A</v>
      </c>
      <c r="K1562" s="1084"/>
      <c r="L1562" s="1085"/>
      <c r="M1562" s="1085"/>
      <c r="N1562" s="1085"/>
      <c r="O1562" s="1085"/>
    </row>
    <row r="1563" spans="1:15" ht="15" customHeight="1">
      <c r="A1563" s="1052" t="s">
        <v>364</v>
      </c>
      <c r="B1563" s="869" t="s">
        <v>365</v>
      </c>
      <c r="C1563" s="1058" t="e">
        <f>VLOOKUP(B1560,'LƯƠNG KT'!$D$15:$U$94,15,0)</f>
        <v>#N/A</v>
      </c>
      <c r="D1563" s="1059" t="e">
        <f>C1563*$L$5</f>
        <v>#N/A</v>
      </c>
      <c r="E1563" s="1061"/>
      <c r="F1563" s="1061"/>
      <c r="G1563" s="1052" t="s">
        <v>364</v>
      </c>
      <c r="H1563" s="869" t="s">
        <v>365</v>
      </c>
      <c r="I1563" s="1058" t="e">
        <f>VLOOKUP(H1560,'LƯƠNG KT'!$D$15:$U$94,15,0)</f>
        <v>#N/A</v>
      </c>
      <c r="J1563" s="1059" t="e">
        <f>I1563*$L$5</f>
        <v>#N/A</v>
      </c>
      <c r="K1563" s="1084"/>
      <c r="L1563" s="1085"/>
      <c r="M1563" s="1085"/>
      <c r="N1563" s="1085"/>
      <c r="O1563" s="1085"/>
    </row>
    <row r="1564" spans="1:15" ht="15" customHeight="1">
      <c r="A1564" s="1052" t="s">
        <v>367</v>
      </c>
      <c r="B1564" s="869"/>
      <c r="C1564" s="1058" t="e">
        <f>VLOOKUP(B1560,'LƯƠNG KT'!$D$15:$U$94,16,0)</f>
        <v>#N/A</v>
      </c>
      <c r="D1564" s="1059" t="e">
        <f>+C1564*$L$6</f>
        <v>#N/A</v>
      </c>
      <c r="E1564" s="1061"/>
      <c r="F1564" s="1061"/>
      <c r="G1564" s="1052" t="s">
        <v>367</v>
      </c>
      <c r="H1564" s="869"/>
      <c r="I1564" s="1058" t="e">
        <f>VLOOKUP(H1560,'LƯƠNG KT'!$D$15:$U$94,16,0)</f>
        <v>#N/A</v>
      </c>
      <c r="J1564" s="1059" t="e">
        <f>+I1564*$L$6</f>
        <v>#N/A</v>
      </c>
      <c r="K1564" s="1085"/>
      <c r="L1564" s="1085"/>
      <c r="M1564" s="1085"/>
      <c r="N1564" s="1085"/>
      <c r="O1564" s="1085"/>
    </row>
    <row r="1565" spans="1:15" ht="15" customHeight="1">
      <c r="A1565" s="1052" t="s">
        <v>371</v>
      </c>
      <c r="B1565" s="869" t="s">
        <v>372</v>
      </c>
      <c r="C1565" s="1058" t="e">
        <f>VLOOKUP(B1560,'LƯƠNG KT'!$D$15:$U$94,9,0)*$L$10</f>
        <v>#N/A</v>
      </c>
      <c r="D1565" s="1059" t="e">
        <f>+C1565*0.5*3000</f>
        <v>#N/A</v>
      </c>
      <c r="E1565" s="1061"/>
      <c r="F1565" s="1061"/>
      <c r="G1565" s="1052" t="s">
        <v>371</v>
      </c>
      <c r="H1565" s="869" t="s">
        <v>372</v>
      </c>
      <c r="I1565" s="1058" t="e">
        <f>VLOOKUP(H1560,'LƯƠNG KT'!$D$15:$U$94,9,0)*$L$10</f>
        <v>#N/A</v>
      </c>
      <c r="J1565" s="1059" t="e">
        <f>+I1565*0.5*3000</f>
        <v>#N/A</v>
      </c>
      <c r="K1565" s="1085"/>
      <c r="L1565" s="1085"/>
      <c r="M1565" s="1085"/>
      <c r="N1565" s="1085"/>
      <c r="O1565" s="1085"/>
    </row>
    <row r="1566" spans="1:15" ht="15" customHeight="1">
      <c r="A1566" s="1052" t="s">
        <v>374</v>
      </c>
      <c r="B1566" s="869" t="s">
        <v>375</v>
      </c>
      <c r="C1566" s="1058" t="e">
        <f>VLOOKUP(B1560,'LƯƠNG KT'!$D$15:$U$94,8,0)*$L$11</f>
        <v>#N/A</v>
      </c>
      <c r="D1566" s="1059" t="e">
        <f>VLOOKUP(B1560,'LƯƠNG KT'!$D$15:$U$94,13,0)-D1565</f>
        <v>#N/A</v>
      </c>
      <c r="E1566" s="1063"/>
      <c r="F1566" s="1061"/>
      <c r="G1566" s="1052" t="s">
        <v>374</v>
      </c>
      <c r="H1566" s="869" t="s">
        <v>375</v>
      </c>
      <c r="I1566" s="1058" t="e">
        <f>VLOOKUP(H1560,'LƯƠNG KT'!$D$15:$U$94,8,0)*$L$11</f>
        <v>#N/A</v>
      </c>
      <c r="J1566" s="1059" t="e">
        <f>VLOOKUP(H1560,'LƯƠNG KT'!$D$15:$U$94,13,0)-J1565</f>
        <v>#N/A</v>
      </c>
      <c r="K1566" s="1085"/>
      <c r="L1566" s="1085"/>
      <c r="M1566" s="1085"/>
      <c r="N1566" s="1085"/>
      <c r="O1566" s="1085"/>
    </row>
    <row r="1567" spans="1:15" ht="15" customHeight="1">
      <c r="A1567" s="1059" t="s">
        <v>377</v>
      </c>
      <c r="B1567" s="869" t="s">
        <v>378</v>
      </c>
      <c r="C1567" s="1058"/>
      <c r="D1567" s="1059"/>
      <c r="E1567" s="1065"/>
      <c r="F1567" s="1065"/>
      <c r="G1567" s="1059" t="s">
        <v>377</v>
      </c>
      <c r="H1567" s="869" t="s">
        <v>378</v>
      </c>
      <c r="I1567" s="1058"/>
      <c r="J1567" s="1059"/>
    </row>
    <row r="1568" spans="1:15" ht="15" customHeight="1">
      <c r="A1568" s="1066" t="s">
        <v>379</v>
      </c>
      <c r="B1568" s="869" t="s">
        <v>380</v>
      </c>
      <c r="C1568" s="1058"/>
      <c r="D1568" s="1059"/>
      <c r="E1568" s="1063"/>
      <c r="F1568" s="1065"/>
      <c r="G1568" s="1066" t="s">
        <v>379</v>
      </c>
      <c r="H1568" s="869" t="s">
        <v>380</v>
      </c>
      <c r="I1568" s="1058"/>
      <c r="J1568" s="1059"/>
    </row>
    <row r="1569" spans="1:15" ht="15" customHeight="1">
      <c r="A1569" s="1052" t="s">
        <v>381</v>
      </c>
      <c r="B1569" s="869" t="s">
        <v>382</v>
      </c>
      <c r="C1569" s="1058"/>
      <c r="D1569" s="1059">
        <f>D1568</f>
        <v>0</v>
      </c>
      <c r="E1569" s="1067"/>
      <c r="F1569" s="1051"/>
      <c r="G1569" s="1052" t="s">
        <v>381</v>
      </c>
      <c r="H1569" s="869" t="s">
        <v>382</v>
      </c>
      <c r="I1569" s="1058"/>
      <c r="J1569" s="1059">
        <f>J1568</f>
        <v>0</v>
      </c>
    </row>
    <row r="1570" spans="1:15" ht="15" customHeight="1">
      <c r="A1570" s="1068" t="s">
        <v>383</v>
      </c>
      <c r="B1570" s="1069" t="s">
        <v>384</v>
      </c>
      <c r="C1570" s="1070"/>
      <c r="D1570" s="1071" t="e">
        <f>SUM(D1561:D1566)-D1569</f>
        <v>#N/A</v>
      </c>
      <c r="E1570" s="1072"/>
      <c r="F1570" s="1073"/>
      <c r="G1570" s="1068" t="s">
        <v>383</v>
      </c>
      <c r="H1570" s="1069" t="s">
        <v>384</v>
      </c>
      <c r="I1570" s="1070"/>
      <c r="J1570" s="1071" t="e">
        <f>SUM(J1561:J1566)-J1569</f>
        <v>#N/A</v>
      </c>
    </row>
    <row r="1571" spans="1:15" ht="12.6" customHeight="1">
      <c r="A1571" s="1074"/>
      <c r="B1571" s="1075"/>
      <c r="C1571" s="1076"/>
      <c r="D1571" s="1077"/>
      <c r="E1571" s="1077"/>
      <c r="F1571" s="1078"/>
      <c r="G1571" s="1074"/>
      <c r="H1571" s="1075"/>
      <c r="I1571" s="1076"/>
      <c r="J1571" s="1077"/>
    </row>
    <row r="1572" spans="1:15" ht="12.6" customHeight="1">
      <c r="A1572" s="1075"/>
      <c r="B1572" s="1075"/>
      <c r="C1572" s="1079"/>
      <c r="D1572" s="1080"/>
      <c r="E1572" s="1075"/>
      <c r="F1572" s="1081"/>
      <c r="G1572" s="1075"/>
      <c r="H1572" s="1075"/>
      <c r="I1572" s="1079"/>
      <c r="J1572" s="1080"/>
    </row>
    <row r="1573" spans="1:15" ht="15" customHeight="1">
      <c r="A1573" s="2242" t="str">
        <f>$K$2</f>
        <v>THÁNG 09/2024</v>
      </c>
      <c r="B1573" s="2242"/>
      <c r="C1573" s="2242"/>
      <c r="D1573" s="2242"/>
      <c r="E1573" s="1050"/>
      <c r="F1573" s="1051"/>
      <c r="G1573" s="2242" t="str">
        <f>$K$2</f>
        <v>THÁNG 09/2024</v>
      </c>
      <c r="H1573" s="2242"/>
      <c r="I1573" s="2242"/>
      <c r="J1573" s="2242"/>
      <c r="K1573" s="624"/>
    </row>
    <row r="1574" spans="1:15" ht="15" customHeight="1">
      <c r="A1574" s="1052" t="s">
        <v>356</v>
      </c>
      <c r="B1574" s="1053" t="s">
        <v>499</v>
      </c>
      <c r="C1574" s="869"/>
      <c r="D1574" s="1049"/>
      <c r="E1574" s="1054"/>
      <c r="F1574" s="1055"/>
      <c r="G1574" s="1052" t="s">
        <v>356</v>
      </c>
      <c r="H1574" s="1053"/>
      <c r="I1574" s="869"/>
      <c r="J1574" s="1049"/>
      <c r="L1574" s="1088"/>
      <c r="M1574" s="1088"/>
      <c r="N1574" s="1088"/>
      <c r="O1574" s="1088"/>
    </row>
    <row r="1575" spans="1:15" ht="15" customHeight="1">
      <c r="A1575" s="1052" t="s">
        <v>359</v>
      </c>
      <c r="B1575" s="1089" t="s">
        <v>360</v>
      </c>
      <c r="C1575" s="1058" t="e">
        <f>VLOOKUP(B1574,'LƯƠNG KT'!$D$15:$U$94,3,0)</f>
        <v>#N/A</v>
      </c>
      <c r="D1575" s="1059" t="e">
        <f>+C1575*25000</f>
        <v>#N/A</v>
      </c>
      <c r="E1575" s="1060"/>
      <c r="F1575" s="1060"/>
      <c r="G1575" s="1052" t="s">
        <v>359</v>
      </c>
      <c r="H1575" s="1089" t="s">
        <v>360</v>
      </c>
      <c r="I1575" s="1058" t="e">
        <f>VLOOKUP(H1574,'LƯƠNG KT'!$D$15:$U$94,3,0)</f>
        <v>#N/A</v>
      </c>
      <c r="J1575" s="1059" t="e">
        <f>+I1575*25000</f>
        <v>#N/A</v>
      </c>
      <c r="K1575" s="1085"/>
      <c r="L1575" s="1085"/>
      <c r="M1575" s="1085"/>
      <c r="N1575" s="1085"/>
      <c r="O1575" s="1085"/>
    </row>
    <row r="1576" spans="1:15" ht="15" customHeight="1">
      <c r="A1576" s="1052" t="s">
        <v>361</v>
      </c>
      <c r="B1576" s="869" t="s">
        <v>362</v>
      </c>
      <c r="C1576" s="1058" t="e">
        <f>VLOOKUP(B1574,'LƯƠNG KT'!$D$15:$U$94,14,0)</f>
        <v>#N/A</v>
      </c>
      <c r="D1576" s="1059" t="e">
        <f>C1576*$L$4</f>
        <v>#N/A</v>
      </c>
      <c r="E1576" s="1061"/>
      <c r="F1576" s="1061"/>
      <c r="G1576" s="1052" t="s">
        <v>361</v>
      </c>
      <c r="H1576" s="869" t="s">
        <v>362</v>
      </c>
      <c r="I1576" s="1058" t="e">
        <f>VLOOKUP(H1574,'LƯƠNG KT'!$D$15:$U$94,14,0)</f>
        <v>#N/A</v>
      </c>
      <c r="J1576" s="1059" t="e">
        <f>I1576*$L$4</f>
        <v>#N/A</v>
      </c>
      <c r="K1576" s="1085"/>
      <c r="L1576" s="1085"/>
      <c r="M1576" s="1085"/>
      <c r="N1576" s="1085"/>
      <c r="O1576" s="1085"/>
    </row>
    <row r="1577" spans="1:15" ht="15" customHeight="1">
      <c r="A1577" s="1052" t="s">
        <v>364</v>
      </c>
      <c r="B1577" s="869" t="s">
        <v>365</v>
      </c>
      <c r="C1577" s="1058" t="e">
        <f>VLOOKUP(B1574,'LƯƠNG KT'!$D$15:$U$94,15,0)</f>
        <v>#N/A</v>
      </c>
      <c r="D1577" s="1059" t="e">
        <f>C1577*$L$5</f>
        <v>#N/A</v>
      </c>
      <c r="E1577" s="1061"/>
      <c r="F1577" s="1061"/>
      <c r="G1577" s="1052" t="s">
        <v>364</v>
      </c>
      <c r="H1577" s="869" t="s">
        <v>365</v>
      </c>
      <c r="I1577" s="1058" t="e">
        <f>VLOOKUP(H1574,'LƯƠNG KT'!$D$15:$U$94,15,0)</f>
        <v>#N/A</v>
      </c>
      <c r="J1577" s="1059" t="e">
        <f>I1577*$L$5</f>
        <v>#N/A</v>
      </c>
      <c r="K1577" s="1085"/>
      <c r="L1577" s="1085"/>
      <c r="M1577" s="1085"/>
      <c r="N1577" s="1085"/>
      <c r="O1577" s="1085"/>
    </row>
    <row r="1578" spans="1:15" ht="15" customHeight="1">
      <c r="A1578" s="1052" t="s">
        <v>367</v>
      </c>
      <c r="B1578" s="869"/>
      <c r="C1578" s="1058" t="e">
        <f>VLOOKUP(B1574,'LƯƠNG KT'!$D$15:$U$94,16,0)</f>
        <v>#N/A</v>
      </c>
      <c r="D1578" s="1059" t="e">
        <f>+C1578*$L$6</f>
        <v>#N/A</v>
      </c>
      <c r="E1578" s="1061"/>
      <c r="F1578" s="1061"/>
      <c r="G1578" s="1052" t="s">
        <v>367</v>
      </c>
      <c r="H1578" s="869"/>
      <c r="I1578" s="1058" t="e">
        <f>VLOOKUP(H1574,'LƯƠNG KT'!$D$15:$U$94,16,0)</f>
        <v>#N/A</v>
      </c>
      <c r="J1578" s="1059" t="e">
        <f>+I1578*$L$6</f>
        <v>#N/A</v>
      </c>
      <c r="K1578" s="1085"/>
      <c r="L1578" s="1085"/>
      <c r="M1578" s="1085"/>
      <c r="N1578" s="1085"/>
      <c r="O1578" s="1085"/>
    </row>
    <row r="1579" spans="1:15" ht="15" customHeight="1">
      <c r="A1579" s="1052" t="s">
        <v>371</v>
      </c>
      <c r="B1579" s="869" t="s">
        <v>372</v>
      </c>
      <c r="C1579" s="1058" t="e">
        <f>VLOOKUP(B1574,'LƯƠNG KT'!$D$15:$U$94,9,0)*$L$10</f>
        <v>#N/A</v>
      </c>
      <c r="D1579" s="1059" t="e">
        <f>+C1579*0.5*3000</f>
        <v>#N/A</v>
      </c>
      <c r="E1579" s="1061"/>
      <c r="F1579" s="1061"/>
      <c r="G1579" s="1052" t="s">
        <v>371</v>
      </c>
      <c r="H1579" s="869" t="s">
        <v>372</v>
      </c>
      <c r="I1579" s="1058" t="e">
        <f>VLOOKUP(H1574,'LƯƠNG KT'!$D$15:$U$94,9,0)*$L$10</f>
        <v>#N/A</v>
      </c>
      <c r="J1579" s="1059" t="e">
        <f>+I1579*0.5*3000</f>
        <v>#N/A</v>
      </c>
      <c r="K1579" s="1085"/>
      <c r="L1579" s="1085"/>
      <c r="M1579" s="1085"/>
      <c r="N1579" s="1085"/>
      <c r="O1579" s="1085"/>
    </row>
    <row r="1580" spans="1:15" ht="15" customHeight="1">
      <c r="A1580" s="1052" t="s">
        <v>374</v>
      </c>
      <c r="B1580" s="869" t="s">
        <v>375</v>
      </c>
      <c r="C1580" s="1058" t="e">
        <f>VLOOKUP(B1574,'LƯƠNG KT'!$D$15:$U$94,8,0)*$L$11</f>
        <v>#N/A</v>
      </c>
      <c r="D1580" s="1059" t="e">
        <f>VLOOKUP(B1574,'LƯƠNG KT'!$D$15:$U$94,13,0)-D1579</f>
        <v>#N/A</v>
      </c>
      <c r="E1580" s="1063"/>
      <c r="F1580" s="1061"/>
      <c r="G1580" s="1052" t="s">
        <v>374</v>
      </c>
      <c r="H1580" s="869" t="s">
        <v>375</v>
      </c>
      <c r="I1580" s="1058" t="e">
        <f>VLOOKUP(H1574,'LƯƠNG KT'!$D$15:$U$94,8,0)*$L$11</f>
        <v>#N/A</v>
      </c>
      <c r="J1580" s="1059" t="e">
        <f>VLOOKUP(H1574,'LƯƠNG KT'!$D$15:$U$94,13,0)-J1579</f>
        <v>#N/A</v>
      </c>
      <c r="K1580" s="1085"/>
      <c r="L1580" s="1085"/>
      <c r="M1580" s="1085"/>
      <c r="N1580" s="1085"/>
      <c r="O1580" s="1085"/>
    </row>
    <row r="1581" spans="1:15" ht="15" customHeight="1">
      <c r="A1581" s="1059" t="s">
        <v>377</v>
      </c>
      <c r="B1581" s="869" t="s">
        <v>378</v>
      </c>
      <c r="C1581" s="1058"/>
      <c r="D1581" s="1059"/>
      <c r="E1581" s="1065"/>
      <c r="F1581" s="1065"/>
      <c r="G1581" s="1059" t="s">
        <v>377</v>
      </c>
      <c r="H1581" s="869" t="s">
        <v>378</v>
      </c>
      <c r="I1581" s="1058"/>
      <c r="J1581" s="1059"/>
    </row>
    <row r="1582" spans="1:15" ht="15" customHeight="1">
      <c r="A1582" s="1066" t="s">
        <v>379</v>
      </c>
      <c r="B1582" s="869" t="s">
        <v>380</v>
      </c>
      <c r="C1582" s="1058"/>
      <c r="D1582" s="1059"/>
      <c r="E1582" s="1063"/>
      <c r="F1582" s="1065"/>
      <c r="G1582" s="1066" t="s">
        <v>379</v>
      </c>
      <c r="H1582" s="869" t="s">
        <v>380</v>
      </c>
      <c r="I1582" s="1058"/>
      <c r="J1582" s="1059"/>
      <c r="K1582" s="1090" t="s">
        <v>103</v>
      </c>
      <c r="L1582" s="1090" t="e">
        <f>D1584+D1570+J1570+J1555+D1555+D1541+J1541+J1527+D1527+J1513+D1513</f>
        <v>#N/A</v>
      </c>
      <c r="M1582" s="1090"/>
      <c r="N1582" s="1090"/>
      <c r="O1582" s="1090"/>
    </row>
    <row r="1583" spans="1:15" ht="15" customHeight="1">
      <c r="A1583" s="1052" t="s">
        <v>381</v>
      </c>
      <c r="B1583" s="869" t="s">
        <v>382</v>
      </c>
      <c r="C1583" s="1058"/>
      <c r="D1583" s="1059">
        <f>D1582</f>
        <v>0</v>
      </c>
      <c r="E1583" s="1067"/>
      <c r="F1583" s="1051"/>
      <c r="G1583" s="1052" t="s">
        <v>381</v>
      </c>
      <c r="H1583" s="869" t="s">
        <v>382</v>
      </c>
      <c r="I1583" s="1058"/>
      <c r="J1583" s="1059"/>
    </row>
    <row r="1584" spans="1:15" ht="15" customHeight="1">
      <c r="A1584" s="1068" t="s">
        <v>383</v>
      </c>
      <c r="B1584" s="1069" t="s">
        <v>384</v>
      </c>
      <c r="C1584" s="1070"/>
      <c r="D1584" s="1071" t="e">
        <f>SUM(D1575:D1580)-D1583</f>
        <v>#N/A</v>
      </c>
      <c r="E1584" s="1072"/>
      <c r="F1584" s="1073"/>
      <c r="G1584" s="1068" t="s">
        <v>383</v>
      </c>
      <c r="H1584" s="1069" t="s">
        <v>384</v>
      </c>
      <c r="I1584" s="1070"/>
      <c r="J1584" s="1071"/>
    </row>
    <row r="1585" spans="1:15" ht="18.75" customHeight="1">
      <c r="A1585" s="1074"/>
      <c r="B1585" s="1075"/>
      <c r="C1585" s="1076"/>
      <c r="D1585" s="1077"/>
      <c r="E1585" s="1077"/>
      <c r="F1585" s="1078"/>
      <c r="G1585" s="1074"/>
      <c r="H1585" s="1075"/>
      <c r="I1585" s="1076"/>
      <c r="J1585" s="1077"/>
    </row>
    <row r="1586" spans="1:15" ht="18.75" customHeight="1">
      <c r="A1586" s="1075"/>
      <c r="B1586" s="1075"/>
      <c r="C1586" s="1079"/>
      <c r="D1586" s="1080"/>
      <c r="E1586" s="1075"/>
      <c r="F1586" s="1081"/>
      <c r="G1586" s="1075"/>
      <c r="H1586" s="1075"/>
      <c r="I1586" s="1079"/>
      <c r="J1586" s="1080"/>
    </row>
    <row r="1587" spans="1:15" ht="15" customHeight="1">
      <c r="A1587" s="2242" t="str">
        <f>$K$2</f>
        <v>THÁNG 09/2024</v>
      </c>
      <c r="B1587" s="2242"/>
      <c r="C1587" s="2242"/>
      <c r="D1587" s="2242"/>
      <c r="E1587" s="1050"/>
      <c r="F1587" s="1051"/>
      <c r="G1587" s="2242" t="str">
        <f>$K$2</f>
        <v>THÁNG 09/2024</v>
      </c>
      <c r="H1587" s="2242"/>
      <c r="I1587" s="2242"/>
      <c r="J1587" s="2242"/>
      <c r="K1587" s="624"/>
    </row>
    <row r="1588" spans="1:15" ht="15" customHeight="1">
      <c r="A1588" s="1052" t="s">
        <v>356</v>
      </c>
      <c r="B1588" s="1053" t="s">
        <v>500</v>
      </c>
      <c r="C1588" s="869"/>
      <c r="D1588" s="1049"/>
      <c r="E1588" s="1054"/>
      <c r="F1588" s="1055"/>
      <c r="G1588" s="1052" t="s">
        <v>356</v>
      </c>
      <c r="H1588" s="1053" t="s">
        <v>501</v>
      </c>
      <c r="I1588" s="869"/>
      <c r="J1588" s="1049"/>
      <c r="L1588" s="1088"/>
      <c r="M1588" s="1088"/>
      <c r="N1588" s="1088"/>
      <c r="O1588" s="1088"/>
    </row>
    <row r="1589" spans="1:15" ht="15" customHeight="1">
      <c r="A1589" s="1052" t="s">
        <v>359</v>
      </c>
      <c r="B1589" s="1089" t="s">
        <v>360</v>
      </c>
      <c r="C1589" s="1058" t="e">
        <f>VLOOKUP(B1588,'LƯƠNG KT'!$D$15:$U$94,3,0)</f>
        <v>#N/A</v>
      </c>
      <c r="D1589" s="1059" t="e">
        <f>+C1589*25000</f>
        <v>#N/A</v>
      </c>
      <c r="E1589" s="1060"/>
      <c r="F1589" s="1060"/>
      <c r="G1589" s="1052" t="s">
        <v>359</v>
      </c>
      <c r="H1589" s="1089" t="s">
        <v>360</v>
      </c>
      <c r="I1589" s="1058" t="e">
        <f>VLOOKUP(H1588,'LƯƠNG KT'!$D$15:$U$94,3,0)</f>
        <v>#N/A</v>
      </c>
      <c r="J1589" s="1059" t="e">
        <f>+I1589*25000</f>
        <v>#N/A</v>
      </c>
      <c r="K1589" s="1085"/>
      <c r="L1589" s="1085"/>
      <c r="M1589" s="1085"/>
      <c r="N1589" s="1085"/>
      <c r="O1589" s="1085"/>
    </row>
    <row r="1590" spans="1:15" ht="15" customHeight="1">
      <c r="A1590" s="1052" t="s">
        <v>361</v>
      </c>
      <c r="B1590" s="869" t="s">
        <v>362</v>
      </c>
      <c r="C1590" s="1058" t="e">
        <f>VLOOKUP(B1588,'LƯƠNG KT'!$D$15:$U$94,14,0)</f>
        <v>#N/A</v>
      </c>
      <c r="D1590" s="1059" t="e">
        <f>C1590*$L$4</f>
        <v>#N/A</v>
      </c>
      <c r="E1590" s="1061"/>
      <c r="F1590" s="1061"/>
      <c r="G1590" s="1052" t="s">
        <v>361</v>
      </c>
      <c r="H1590" s="869" t="s">
        <v>362</v>
      </c>
      <c r="I1590" s="1058" t="e">
        <f>VLOOKUP(H1588,'LƯƠNG KT'!$D$15:$U$94,14,0)</f>
        <v>#N/A</v>
      </c>
      <c r="J1590" s="1059" t="e">
        <f>I1590*$L$4</f>
        <v>#N/A</v>
      </c>
      <c r="K1590" s="1085"/>
      <c r="L1590" s="1085"/>
      <c r="M1590" s="1085"/>
      <c r="N1590" s="1085"/>
      <c r="O1590" s="1085"/>
    </row>
    <row r="1591" spans="1:15" ht="15" customHeight="1">
      <c r="A1591" s="1052" t="s">
        <v>364</v>
      </c>
      <c r="B1591" s="869" t="s">
        <v>365</v>
      </c>
      <c r="C1591" s="1058" t="e">
        <f>VLOOKUP(B1588,'LƯƠNG KT'!$D$15:$U$94,15,0)</f>
        <v>#N/A</v>
      </c>
      <c r="D1591" s="1059" t="e">
        <f>C1591*$L$5</f>
        <v>#N/A</v>
      </c>
      <c r="E1591" s="1061"/>
      <c r="F1591" s="1061"/>
      <c r="G1591" s="1052" t="s">
        <v>364</v>
      </c>
      <c r="H1591" s="869" t="s">
        <v>365</v>
      </c>
      <c r="I1591" s="1058" t="e">
        <f>VLOOKUP(H1588,'LƯƠNG KT'!$D$15:$U$94,15,0)</f>
        <v>#N/A</v>
      </c>
      <c r="J1591" s="1059" t="e">
        <f>I1591*$L$5</f>
        <v>#N/A</v>
      </c>
      <c r="K1591" s="1085"/>
      <c r="L1591" s="1085"/>
      <c r="M1591" s="1085"/>
      <c r="N1591" s="1085"/>
      <c r="O1591" s="1085"/>
    </row>
    <row r="1592" spans="1:15" ht="15" customHeight="1">
      <c r="A1592" s="1052" t="s">
        <v>367</v>
      </c>
      <c r="B1592" s="869"/>
      <c r="C1592" s="1058" t="e">
        <f>VLOOKUP(B1588,'LƯƠNG KT'!$D$15:$U$94,16,0)</f>
        <v>#N/A</v>
      </c>
      <c r="D1592" s="1059" t="e">
        <f>+C1592*$L$6</f>
        <v>#N/A</v>
      </c>
      <c r="E1592" s="1061"/>
      <c r="F1592" s="1061"/>
      <c r="G1592" s="1052" t="s">
        <v>367</v>
      </c>
      <c r="H1592" s="869"/>
      <c r="I1592" s="1058" t="e">
        <f>VLOOKUP(H1588,'LƯƠNG KT'!$D$15:$U$94,16,0)</f>
        <v>#N/A</v>
      </c>
      <c r="J1592" s="1059" t="e">
        <f>+I1592*$L$6</f>
        <v>#N/A</v>
      </c>
      <c r="K1592" s="1085"/>
      <c r="L1592" s="1085"/>
      <c r="M1592" s="1085"/>
      <c r="N1592" s="1085"/>
      <c r="O1592" s="1085"/>
    </row>
    <row r="1593" spans="1:15" ht="15" customHeight="1">
      <c r="A1593" s="1052" t="s">
        <v>371</v>
      </c>
      <c r="B1593" s="869" t="s">
        <v>372</v>
      </c>
      <c r="C1593" s="1058" t="e">
        <f>VLOOKUP(B1588,'LƯƠNG KT'!$D$15:$U$94,9,0)*$L$10</f>
        <v>#N/A</v>
      </c>
      <c r="D1593" s="1059" t="e">
        <f>+C1593*0.5*3000</f>
        <v>#N/A</v>
      </c>
      <c r="E1593" s="1061"/>
      <c r="F1593" s="1061"/>
      <c r="G1593" s="1052" t="s">
        <v>371</v>
      </c>
      <c r="H1593" s="869" t="s">
        <v>372</v>
      </c>
      <c r="I1593" s="1058" t="e">
        <f>VLOOKUP(H1588,'LƯƠNG KT'!$D$15:$U$94,9,0)*$L$10</f>
        <v>#N/A</v>
      </c>
      <c r="J1593" s="1059" t="e">
        <f>+I1593*0.5*3000</f>
        <v>#N/A</v>
      </c>
      <c r="K1593" s="1085"/>
      <c r="L1593" s="1085"/>
      <c r="M1593" s="1085"/>
      <c r="N1593" s="1085"/>
      <c r="O1593" s="1085"/>
    </row>
    <row r="1594" spans="1:15" ht="15" customHeight="1">
      <c r="A1594" s="1052" t="s">
        <v>374</v>
      </c>
      <c r="B1594" s="869" t="s">
        <v>375</v>
      </c>
      <c r="C1594" s="1058" t="e">
        <f>VLOOKUP(B1588,'LƯƠNG KT'!$D$15:$U$94,8,0)*$L$11</f>
        <v>#N/A</v>
      </c>
      <c r="D1594" s="1059" t="e">
        <f>VLOOKUP(B1588,'LƯƠNG KT'!$D$15:$U$94,13,0)-D1593</f>
        <v>#N/A</v>
      </c>
      <c r="E1594" s="1063"/>
      <c r="F1594" s="1061"/>
      <c r="G1594" s="1052" t="s">
        <v>374</v>
      </c>
      <c r="H1594" s="869" t="s">
        <v>375</v>
      </c>
      <c r="I1594" s="1058" t="e">
        <f>VLOOKUP(H1588,'LƯƠNG KT'!$D$15:$U$94,8,0)*$L$11</f>
        <v>#N/A</v>
      </c>
      <c r="J1594" s="1059" t="e">
        <f>VLOOKUP(H1588,'LƯƠNG KT'!$D$15:$U$94,13,0)-J1593</f>
        <v>#N/A</v>
      </c>
      <c r="K1594" s="1085"/>
      <c r="L1594" s="1085"/>
      <c r="M1594" s="1085"/>
      <c r="N1594" s="1085"/>
      <c r="O1594" s="1085"/>
    </row>
    <row r="1595" spans="1:15" ht="15" customHeight="1">
      <c r="A1595" s="1059" t="s">
        <v>377</v>
      </c>
      <c r="B1595" s="869" t="s">
        <v>378</v>
      </c>
      <c r="C1595" s="1058"/>
      <c r="D1595" s="1059"/>
      <c r="E1595" s="1065"/>
      <c r="F1595" s="1065"/>
      <c r="G1595" s="1059" t="s">
        <v>377</v>
      </c>
      <c r="H1595" s="869" t="s">
        <v>378</v>
      </c>
      <c r="I1595" s="1058"/>
      <c r="J1595" s="1059"/>
    </row>
    <row r="1596" spans="1:15" ht="15" customHeight="1">
      <c r="A1596" s="1066" t="s">
        <v>379</v>
      </c>
      <c r="B1596" s="869" t="s">
        <v>380</v>
      </c>
      <c r="C1596" s="1058"/>
      <c r="D1596" s="1059"/>
      <c r="E1596" s="1063"/>
      <c r="F1596" s="1065"/>
      <c r="G1596" s="1066" t="s">
        <v>379</v>
      </c>
      <c r="H1596" s="869" t="s">
        <v>380</v>
      </c>
      <c r="I1596" s="1058"/>
      <c r="J1596" s="1059"/>
    </row>
    <row r="1597" spans="1:15" ht="15" customHeight="1">
      <c r="A1597" s="1052" t="s">
        <v>381</v>
      </c>
      <c r="B1597" s="869" t="s">
        <v>382</v>
      </c>
      <c r="C1597" s="1058"/>
      <c r="D1597" s="1059">
        <f>D1596</f>
        <v>0</v>
      </c>
      <c r="E1597" s="1067"/>
      <c r="F1597" s="1051"/>
      <c r="G1597" s="1052" t="s">
        <v>381</v>
      </c>
      <c r="H1597" s="869" t="s">
        <v>382</v>
      </c>
      <c r="I1597" s="1058"/>
      <c r="J1597" s="1059">
        <f>J1596</f>
        <v>0</v>
      </c>
    </row>
    <row r="1598" spans="1:15" ht="15" customHeight="1">
      <c r="A1598" s="1068" t="s">
        <v>383</v>
      </c>
      <c r="B1598" s="1069" t="s">
        <v>384</v>
      </c>
      <c r="C1598" s="1070"/>
      <c r="D1598" s="1071" t="e">
        <f>SUM(D1589:D1594)-D1597</f>
        <v>#N/A</v>
      </c>
      <c r="E1598" s="1072"/>
      <c r="F1598" s="1073"/>
      <c r="G1598" s="1068" t="s">
        <v>383</v>
      </c>
      <c r="H1598" s="1069" t="s">
        <v>384</v>
      </c>
      <c r="I1598" s="1070"/>
      <c r="J1598" s="1071" t="e">
        <f>SUM(J1589:J1594)-J1597</f>
        <v>#N/A</v>
      </c>
    </row>
    <row r="1599" spans="1:15" ht="18.75" customHeight="1">
      <c r="A1599" s="1074"/>
      <c r="B1599" s="1075"/>
      <c r="C1599" s="1076"/>
      <c r="D1599" s="1077"/>
      <c r="E1599" s="1077"/>
      <c r="F1599" s="1078"/>
      <c r="G1599" s="1074"/>
      <c r="H1599" s="1075"/>
      <c r="I1599" s="1076"/>
      <c r="J1599" s="1077"/>
    </row>
    <row r="1600" spans="1:15" ht="18.75" customHeight="1">
      <c r="A1600" s="1075"/>
      <c r="B1600" s="1075"/>
      <c r="C1600" s="1079"/>
      <c r="D1600" s="1080"/>
      <c r="E1600" s="1075"/>
      <c r="F1600" s="1081"/>
      <c r="G1600" s="1075"/>
      <c r="H1600" s="1075"/>
      <c r="I1600" s="1079"/>
      <c r="J1600" s="1080"/>
    </row>
    <row r="1601" spans="1:15" ht="15" customHeight="1">
      <c r="A1601" s="2242" t="str">
        <f>$K$2</f>
        <v>THÁNG 09/2024</v>
      </c>
      <c r="B1601" s="2242"/>
      <c r="C1601" s="2242"/>
      <c r="D1601" s="2242"/>
      <c r="E1601" s="1050"/>
      <c r="F1601" s="1051"/>
      <c r="G1601" s="2242" t="str">
        <f>$K$2</f>
        <v>THÁNG 09/2024</v>
      </c>
      <c r="H1601" s="2242"/>
      <c r="I1601" s="2242"/>
      <c r="J1601" s="2242"/>
      <c r="K1601" s="624"/>
    </row>
    <row r="1602" spans="1:15" ht="15" customHeight="1">
      <c r="A1602" s="1052" t="s">
        <v>356</v>
      </c>
      <c r="B1602" s="1053" t="s">
        <v>119</v>
      </c>
      <c r="C1602" s="869"/>
      <c r="D1602" s="1049"/>
      <c r="E1602" s="1054"/>
      <c r="F1602" s="1055"/>
      <c r="G1602" s="1052" t="s">
        <v>356</v>
      </c>
      <c r="H1602" s="1053" t="s">
        <v>120</v>
      </c>
      <c r="I1602" s="869"/>
      <c r="J1602" s="1049"/>
      <c r="L1602" s="1088"/>
      <c r="M1602" s="1088"/>
      <c r="N1602" s="1088"/>
      <c r="O1602" s="1088"/>
    </row>
    <row r="1603" spans="1:15" ht="15" customHeight="1">
      <c r="A1603" s="1052" t="s">
        <v>359</v>
      </c>
      <c r="B1603" s="1089" t="s">
        <v>360</v>
      </c>
      <c r="C1603" s="1058" t="e">
        <f>VLOOKUP(B1602,'LƯƠNG KT'!$D$15:$U$94,3,0)</f>
        <v>#N/A</v>
      </c>
      <c r="D1603" s="1059" t="e">
        <f>+C1603*25000</f>
        <v>#N/A</v>
      </c>
      <c r="E1603" s="1060"/>
      <c r="F1603" s="1060"/>
      <c r="G1603" s="1052" t="s">
        <v>359</v>
      </c>
      <c r="H1603" s="1089" t="s">
        <v>360</v>
      </c>
      <c r="I1603" s="1058" t="e">
        <f>VLOOKUP(H1602,'LƯƠNG KT'!$D$15:$U$94,3,0)</f>
        <v>#N/A</v>
      </c>
      <c r="J1603" s="1059" t="e">
        <f>+I1603*25000</f>
        <v>#N/A</v>
      </c>
      <c r="K1603" s="1085"/>
      <c r="L1603" s="1085"/>
      <c r="M1603" s="1085"/>
      <c r="N1603" s="1085"/>
      <c r="O1603" s="1085"/>
    </row>
    <row r="1604" spans="1:15" ht="15" customHeight="1">
      <c r="A1604" s="1052" t="s">
        <v>361</v>
      </c>
      <c r="B1604" s="869" t="s">
        <v>362</v>
      </c>
      <c r="C1604" s="1058" t="e">
        <f>VLOOKUP(B1602,'LƯƠNG KT'!$D$15:$U$94,14,0)</f>
        <v>#N/A</v>
      </c>
      <c r="D1604" s="1059" t="e">
        <f>C1604*$L$4</f>
        <v>#N/A</v>
      </c>
      <c r="E1604" s="1061"/>
      <c r="F1604" s="1061"/>
      <c r="G1604" s="1052" t="s">
        <v>361</v>
      </c>
      <c r="H1604" s="869" t="s">
        <v>362</v>
      </c>
      <c r="I1604" s="1058" t="e">
        <f>VLOOKUP(H1602,'LƯƠNG KT'!$D$15:$U$94,14,0)</f>
        <v>#N/A</v>
      </c>
      <c r="J1604" s="1059" t="e">
        <f>I1604*$L$4</f>
        <v>#N/A</v>
      </c>
      <c r="K1604" s="1085"/>
      <c r="L1604" s="1085"/>
      <c r="M1604" s="1085"/>
      <c r="N1604" s="1085"/>
      <c r="O1604" s="1085"/>
    </row>
    <row r="1605" spans="1:15" ht="15" customHeight="1">
      <c r="A1605" s="1052" t="s">
        <v>364</v>
      </c>
      <c r="B1605" s="869" t="s">
        <v>365</v>
      </c>
      <c r="C1605" s="1058" t="e">
        <f>VLOOKUP(B1602,'LƯƠNG KT'!$D$15:$U$94,15,0)</f>
        <v>#N/A</v>
      </c>
      <c r="D1605" s="1059" t="e">
        <f>C1605*$L$5</f>
        <v>#N/A</v>
      </c>
      <c r="E1605" s="1061"/>
      <c r="F1605" s="1061"/>
      <c r="G1605" s="1052" t="s">
        <v>364</v>
      </c>
      <c r="H1605" s="869" t="s">
        <v>365</v>
      </c>
      <c r="I1605" s="1058" t="e">
        <f>VLOOKUP(H1602,'LƯƠNG KT'!$D$15:$U$94,15,0)</f>
        <v>#N/A</v>
      </c>
      <c r="J1605" s="1059" t="e">
        <f>I1605*$L$5</f>
        <v>#N/A</v>
      </c>
      <c r="K1605" s="1085"/>
      <c r="L1605" s="1085"/>
      <c r="M1605" s="1085"/>
      <c r="N1605" s="1085"/>
      <c r="O1605" s="1085"/>
    </row>
    <row r="1606" spans="1:15" ht="15" customHeight="1">
      <c r="A1606" s="1052" t="s">
        <v>367</v>
      </c>
      <c r="B1606" s="869"/>
      <c r="C1606" s="1058" t="e">
        <f>VLOOKUP(B1602,'LƯƠNG KT'!$D$15:$U$94,16,0)</f>
        <v>#N/A</v>
      </c>
      <c r="D1606" s="1059" t="e">
        <f>+C1606*$L$6</f>
        <v>#N/A</v>
      </c>
      <c r="E1606" s="1061"/>
      <c r="F1606" s="1061"/>
      <c r="G1606" s="1052" t="s">
        <v>367</v>
      </c>
      <c r="H1606" s="869"/>
      <c r="I1606" s="1058" t="e">
        <f>VLOOKUP(H1602,'LƯƠNG KT'!$D$15:$U$94,16,0)</f>
        <v>#N/A</v>
      </c>
      <c r="J1606" s="1059" t="e">
        <f>+I1606*$L$6</f>
        <v>#N/A</v>
      </c>
      <c r="K1606" s="1085"/>
      <c r="L1606" s="1085"/>
      <c r="M1606" s="1085"/>
      <c r="N1606" s="1085"/>
      <c r="O1606" s="1085"/>
    </row>
    <row r="1607" spans="1:15" ht="15" customHeight="1">
      <c r="A1607" s="1052" t="s">
        <v>371</v>
      </c>
      <c r="B1607" s="869" t="s">
        <v>372</v>
      </c>
      <c r="C1607" s="1058" t="e">
        <f>VLOOKUP(B1602,'LƯƠNG KT'!$D$15:$U$94,9,0)*$L$10</f>
        <v>#N/A</v>
      </c>
      <c r="D1607" s="1059" t="e">
        <f>+C1607*0.5*3000</f>
        <v>#N/A</v>
      </c>
      <c r="E1607" s="1061"/>
      <c r="F1607" s="1061"/>
      <c r="G1607" s="1052" t="s">
        <v>371</v>
      </c>
      <c r="H1607" s="869" t="s">
        <v>372</v>
      </c>
      <c r="I1607" s="1058" t="e">
        <f>VLOOKUP(H1602,'LƯƠNG KT'!$D$15:$U$94,9,0)*$L$10</f>
        <v>#N/A</v>
      </c>
      <c r="J1607" s="1059" t="e">
        <f>+I1607*0.5*3000</f>
        <v>#N/A</v>
      </c>
      <c r="K1607" s="1085"/>
      <c r="L1607" s="1085"/>
      <c r="M1607" s="1085"/>
      <c r="N1607" s="1085"/>
      <c r="O1607" s="1085"/>
    </row>
    <row r="1608" spans="1:15" ht="15" customHeight="1">
      <c r="A1608" s="1052" t="s">
        <v>374</v>
      </c>
      <c r="B1608" s="869" t="s">
        <v>375</v>
      </c>
      <c r="C1608" s="1058" t="e">
        <f>VLOOKUP(B1602,'LƯƠNG KT'!$D$15:$U$94,8,0)*$L$11</f>
        <v>#N/A</v>
      </c>
      <c r="D1608" s="1059" t="e">
        <f>VLOOKUP(B1602,'LƯƠNG KT'!$D$15:$U$94,13,0)-D1607</f>
        <v>#N/A</v>
      </c>
      <c r="E1608" s="1063"/>
      <c r="F1608" s="1061"/>
      <c r="G1608" s="1052" t="s">
        <v>374</v>
      </c>
      <c r="H1608" s="869" t="s">
        <v>375</v>
      </c>
      <c r="I1608" s="1058" t="e">
        <f>VLOOKUP(H1602,'LƯƠNG KT'!$D$15:$U$94,8,0)*$L$11</f>
        <v>#N/A</v>
      </c>
      <c r="J1608" s="1059" t="e">
        <f>VLOOKUP(H1602,'LƯƠNG KT'!$D$15:$U$94,13,0)-J1607</f>
        <v>#N/A</v>
      </c>
      <c r="K1608" s="1085"/>
      <c r="L1608" s="1085"/>
      <c r="M1608" s="1085"/>
      <c r="N1608" s="1085"/>
      <c r="O1608" s="1085"/>
    </row>
    <row r="1609" spans="1:15" ht="15" customHeight="1">
      <c r="A1609" s="1059" t="s">
        <v>377</v>
      </c>
      <c r="B1609" s="869" t="s">
        <v>378</v>
      </c>
      <c r="C1609" s="1058"/>
      <c r="D1609" s="1059"/>
      <c r="E1609" s="1065"/>
      <c r="F1609" s="1065"/>
      <c r="G1609" s="1059" t="s">
        <v>377</v>
      </c>
      <c r="H1609" s="869" t="s">
        <v>378</v>
      </c>
      <c r="I1609" s="1058"/>
      <c r="J1609" s="1059"/>
    </row>
    <row r="1610" spans="1:15" ht="15" customHeight="1">
      <c r="A1610" s="1066" t="s">
        <v>379</v>
      </c>
      <c r="B1610" s="869" t="s">
        <v>380</v>
      </c>
      <c r="C1610" s="1058"/>
      <c r="D1610" s="1059"/>
      <c r="E1610" s="1063"/>
      <c r="F1610" s="1065"/>
      <c r="G1610" s="1066" t="s">
        <v>379</v>
      </c>
      <c r="H1610" s="869" t="s">
        <v>380</v>
      </c>
      <c r="I1610" s="1058"/>
      <c r="J1610" s="1059"/>
    </row>
    <row r="1611" spans="1:15" ht="15" customHeight="1">
      <c r="A1611" s="1052" t="s">
        <v>381</v>
      </c>
      <c r="B1611" s="869" t="s">
        <v>382</v>
      </c>
      <c r="C1611" s="1058"/>
      <c r="D1611" s="1059">
        <f>D1610</f>
        <v>0</v>
      </c>
      <c r="E1611" s="1067"/>
      <c r="F1611" s="1051"/>
      <c r="G1611" s="1052" t="s">
        <v>381</v>
      </c>
      <c r="H1611" s="869" t="s">
        <v>382</v>
      </c>
      <c r="I1611" s="1058"/>
      <c r="J1611" s="1059">
        <f>J1610</f>
        <v>0</v>
      </c>
    </row>
    <row r="1612" spans="1:15" ht="15" customHeight="1">
      <c r="A1612" s="1068" t="s">
        <v>383</v>
      </c>
      <c r="B1612" s="1069" t="s">
        <v>384</v>
      </c>
      <c r="C1612" s="1070"/>
      <c r="D1612" s="1071" t="e">
        <f>SUM(D1603:D1608)-D1611</f>
        <v>#N/A</v>
      </c>
      <c r="E1612" s="1072"/>
      <c r="F1612" s="1073"/>
      <c r="G1612" s="1068" t="s">
        <v>383</v>
      </c>
      <c r="H1612" s="1069" t="s">
        <v>384</v>
      </c>
      <c r="I1612" s="1070"/>
      <c r="J1612" s="1071" t="e">
        <f>SUM(J1603:J1608)-J1611</f>
        <v>#N/A</v>
      </c>
    </row>
    <row r="1613" spans="1:15" ht="15.75" customHeight="1">
      <c r="A1613" s="1074"/>
      <c r="B1613" s="1075"/>
      <c r="C1613" s="1076"/>
      <c r="D1613" s="1077"/>
      <c r="E1613" s="1077"/>
      <c r="F1613" s="1078"/>
      <c r="G1613" s="1074"/>
      <c r="H1613" s="1075"/>
      <c r="I1613" s="1076"/>
      <c r="J1613" s="1077"/>
    </row>
    <row r="1615" spans="1:15" ht="12" customHeight="1">
      <c r="A1615" s="2243"/>
      <c r="B1615" s="2243"/>
      <c r="C1615" s="2243"/>
      <c r="D1615" s="2243"/>
      <c r="E1615" s="2243"/>
      <c r="F1615" s="2243"/>
      <c r="G1615" s="2243"/>
      <c r="H1615" s="2243"/>
      <c r="I1615" s="2243"/>
      <c r="J1615" s="2243"/>
    </row>
    <row r="1616" spans="1:15" ht="15" customHeight="1">
      <c r="A1616" s="2242" t="str">
        <f>$K$2</f>
        <v>THÁNG 09/2024</v>
      </c>
      <c r="B1616" s="2242"/>
      <c r="C1616" s="2242"/>
      <c r="D1616" s="2242"/>
      <c r="E1616" s="1050"/>
      <c r="F1616" s="1051"/>
      <c r="G1616" s="2242" t="str">
        <f>$K$2</f>
        <v>THÁNG 09/2024</v>
      </c>
      <c r="H1616" s="2242"/>
      <c r="I1616" s="2242"/>
      <c r="J1616" s="2242"/>
      <c r="K1616" s="624"/>
    </row>
    <row r="1617" spans="1:15" ht="15" customHeight="1">
      <c r="A1617" s="1052" t="s">
        <v>356</v>
      </c>
      <c r="B1617" s="1053" t="s">
        <v>117</v>
      </c>
      <c r="C1617" s="869"/>
      <c r="D1617" s="1049"/>
      <c r="E1617" s="1054"/>
      <c r="F1617" s="1055"/>
      <c r="G1617" s="1052" t="s">
        <v>356</v>
      </c>
      <c r="H1617" s="1053" t="s">
        <v>122</v>
      </c>
      <c r="I1617" s="869"/>
      <c r="J1617" s="1049"/>
      <c r="L1617" s="1088"/>
      <c r="M1617" s="1088"/>
      <c r="N1617" s="1088"/>
      <c r="O1617" s="1088"/>
    </row>
    <row r="1618" spans="1:15" ht="15" customHeight="1">
      <c r="A1618" s="1052" t="s">
        <v>359</v>
      </c>
      <c r="B1618" s="1089" t="s">
        <v>360</v>
      </c>
      <c r="C1618" s="1058" t="e">
        <f>VLOOKUP(B1617,'LƯƠNG KT'!$D$15:$U$94,3,0)</f>
        <v>#N/A</v>
      </c>
      <c r="D1618" s="1059" t="e">
        <f>+C1618*25000</f>
        <v>#N/A</v>
      </c>
      <c r="E1618" s="1060"/>
      <c r="F1618" s="1060"/>
      <c r="G1618" s="1052" t="s">
        <v>359</v>
      </c>
      <c r="H1618" s="1089" t="s">
        <v>360</v>
      </c>
      <c r="I1618" s="1058" t="e">
        <f>VLOOKUP(H1617,'LƯƠNG KT'!$D$15:$U$94,3,0)</f>
        <v>#N/A</v>
      </c>
      <c r="J1618" s="1059" t="e">
        <f>+I1618*25000</f>
        <v>#N/A</v>
      </c>
      <c r="K1618" s="1084"/>
      <c r="L1618" s="1085"/>
      <c r="M1618" s="1085"/>
      <c r="N1618" s="1085"/>
      <c r="O1618" s="1085"/>
    </row>
    <row r="1619" spans="1:15" ht="15" customHeight="1">
      <c r="A1619" s="1052" t="s">
        <v>361</v>
      </c>
      <c r="B1619" s="869" t="s">
        <v>362</v>
      </c>
      <c r="C1619" s="1058" t="e">
        <f>VLOOKUP(B1617,'LƯƠNG KT'!$D$15:$U$94,14,0)</f>
        <v>#N/A</v>
      </c>
      <c r="D1619" s="1059" t="e">
        <f>C1619*$L$4</f>
        <v>#N/A</v>
      </c>
      <c r="E1619" s="1061"/>
      <c r="F1619" s="1061"/>
      <c r="G1619" s="1052" t="s">
        <v>361</v>
      </c>
      <c r="H1619" s="869" t="s">
        <v>362</v>
      </c>
      <c r="I1619" s="1058" t="e">
        <f>VLOOKUP(H1617,'LƯƠNG KT'!$D$15:$U$94,14,0)</f>
        <v>#N/A</v>
      </c>
      <c r="J1619" s="1059" t="e">
        <f>I1619*$L$4</f>
        <v>#N/A</v>
      </c>
      <c r="K1619" s="1084"/>
      <c r="L1619" s="1085"/>
      <c r="M1619" s="1085"/>
      <c r="N1619" s="1085"/>
      <c r="O1619" s="1085"/>
    </row>
    <row r="1620" spans="1:15" ht="15" customHeight="1">
      <c r="A1620" s="1052" t="s">
        <v>364</v>
      </c>
      <c r="B1620" s="869" t="s">
        <v>365</v>
      </c>
      <c r="C1620" s="1058" t="e">
        <f>VLOOKUP(B1617,'LƯƠNG KT'!$D$15:$U$94,15,0)</f>
        <v>#N/A</v>
      </c>
      <c r="D1620" s="1059" t="e">
        <f>C1620*$L$5</f>
        <v>#N/A</v>
      </c>
      <c r="E1620" s="1061"/>
      <c r="F1620" s="1061"/>
      <c r="G1620" s="1052" t="s">
        <v>364</v>
      </c>
      <c r="H1620" s="869" t="s">
        <v>365</v>
      </c>
      <c r="I1620" s="1058" t="e">
        <f>VLOOKUP(H1617,'LƯƠNG KT'!$D$15:$U$94,15,0)</f>
        <v>#N/A</v>
      </c>
      <c r="J1620" s="1059" t="e">
        <f>I1620*$L$5</f>
        <v>#N/A</v>
      </c>
      <c r="K1620" s="1084"/>
      <c r="L1620" s="1085"/>
      <c r="M1620" s="1085"/>
      <c r="N1620" s="1085"/>
      <c r="O1620" s="1085"/>
    </row>
    <row r="1621" spans="1:15" ht="15" customHeight="1">
      <c r="A1621" s="1052" t="s">
        <v>367</v>
      </c>
      <c r="B1621" s="869"/>
      <c r="C1621" s="1058" t="e">
        <f>VLOOKUP(B1617,'LƯƠNG KT'!$D$15:$U$94,16,0)</f>
        <v>#N/A</v>
      </c>
      <c r="D1621" s="1059" t="e">
        <f>+C1621*$L$6</f>
        <v>#N/A</v>
      </c>
      <c r="E1621" s="1061"/>
      <c r="F1621" s="1061"/>
      <c r="G1621" s="1052" t="s">
        <v>367</v>
      </c>
      <c r="H1621" s="869"/>
      <c r="I1621" s="1058" t="e">
        <f>VLOOKUP(H1617,'LƯƠNG KT'!$D$15:$U$94,16,0)</f>
        <v>#N/A</v>
      </c>
      <c r="J1621" s="1059" t="e">
        <f>+I1621*$L$6</f>
        <v>#N/A</v>
      </c>
      <c r="K1621" s="1085"/>
      <c r="L1621" s="1085"/>
      <c r="M1621" s="1085"/>
      <c r="N1621" s="1085"/>
      <c r="O1621" s="1085"/>
    </row>
    <row r="1622" spans="1:15" ht="15" customHeight="1">
      <c r="A1622" s="1052" t="s">
        <v>371</v>
      </c>
      <c r="B1622" s="869" t="s">
        <v>372</v>
      </c>
      <c r="C1622" s="1058" t="e">
        <f>VLOOKUP(B1617,'LƯƠNG KT'!$D$15:$U$94,9,0)*$L$10</f>
        <v>#N/A</v>
      </c>
      <c r="D1622" s="1059" t="e">
        <f>+C1622*0.5*3000</f>
        <v>#N/A</v>
      </c>
      <c r="E1622" s="1061"/>
      <c r="F1622" s="1061"/>
      <c r="G1622" s="1052" t="s">
        <v>371</v>
      </c>
      <c r="H1622" s="869" t="s">
        <v>372</v>
      </c>
      <c r="I1622" s="1058" t="e">
        <f>VLOOKUP(H1617,'LƯƠNG KT'!$D$15:$U$94,9,0)*$L$10</f>
        <v>#N/A</v>
      </c>
      <c r="J1622" s="1059" t="e">
        <f>+I1622*0.5*3000</f>
        <v>#N/A</v>
      </c>
      <c r="K1622" s="1085"/>
      <c r="L1622" s="1085"/>
      <c r="M1622" s="1085"/>
      <c r="N1622" s="1085"/>
      <c r="O1622" s="1085"/>
    </row>
    <row r="1623" spans="1:15" ht="15" customHeight="1">
      <c r="A1623" s="1052" t="s">
        <v>374</v>
      </c>
      <c r="B1623" s="869" t="s">
        <v>375</v>
      </c>
      <c r="C1623" s="1058" t="e">
        <f>VLOOKUP(B1617,'LƯƠNG KT'!$D$15:$U$94,8,0)*$L$11</f>
        <v>#N/A</v>
      </c>
      <c r="D1623" s="1059" t="e">
        <f>VLOOKUP(B1617,'LƯƠNG KT'!$D$15:$U$94,13,0)-D1622</f>
        <v>#N/A</v>
      </c>
      <c r="E1623" s="1063"/>
      <c r="F1623" s="1061"/>
      <c r="G1623" s="1052" t="s">
        <v>374</v>
      </c>
      <c r="H1623" s="869" t="s">
        <v>375</v>
      </c>
      <c r="I1623" s="1058" t="e">
        <f>VLOOKUP(H1617,'LƯƠNG KT'!$D$15:$U$94,8,0)*$L$11</f>
        <v>#N/A</v>
      </c>
      <c r="J1623" s="1059" t="e">
        <f>VLOOKUP(H1617,'LƯƠNG KT'!$D$15:$U$94,13,0)-J1622</f>
        <v>#N/A</v>
      </c>
      <c r="K1623" s="1085"/>
      <c r="L1623" s="1085"/>
      <c r="M1623" s="1085"/>
      <c r="N1623" s="1085"/>
      <c r="O1623" s="1085"/>
    </row>
    <row r="1624" spans="1:15" ht="15" customHeight="1">
      <c r="A1624" s="1059" t="s">
        <v>377</v>
      </c>
      <c r="B1624" s="869" t="s">
        <v>378</v>
      </c>
      <c r="C1624" s="1058"/>
      <c r="D1624" s="1059"/>
      <c r="E1624" s="1065"/>
      <c r="F1624" s="1065"/>
      <c r="G1624" s="1059" t="s">
        <v>377</v>
      </c>
      <c r="H1624" s="869" t="s">
        <v>378</v>
      </c>
      <c r="I1624" s="1058"/>
      <c r="J1624" s="1059"/>
    </row>
    <row r="1625" spans="1:15" ht="15" customHeight="1">
      <c r="A1625" s="1066" t="s">
        <v>379</v>
      </c>
      <c r="B1625" s="869" t="s">
        <v>380</v>
      </c>
      <c r="C1625" s="1058"/>
      <c r="D1625" s="1059"/>
      <c r="E1625" s="1063"/>
      <c r="F1625" s="1065"/>
      <c r="G1625" s="1066" t="s">
        <v>379</v>
      </c>
      <c r="H1625" s="869" t="s">
        <v>380</v>
      </c>
      <c r="I1625" s="1058"/>
      <c r="J1625" s="1059"/>
    </row>
    <row r="1626" spans="1:15" ht="15" customHeight="1">
      <c r="A1626" s="1052" t="s">
        <v>381</v>
      </c>
      <c r="B1626" s="869" t="s">
        <v>382</v>
      </c>
      <c r="C1626" s="1058"/>
      <c r="D1626" s="1059">
        <f>D1625</f>
        <v>0</v>
      </c>
      <c r="E1626" s="1067"/>
      <c r="F1626" s="1051"/>
      <c r="G1626" s="1052" t="s">
        <v>381</v>
      </c>
      <c r="H1626" s="869" t="s">
        <v>382</v>
      </c>
      <c r="I1626" s="1058"/>
      <c r="J1626" s="1059">
        <f>J1625</f>
        <v>0</v>
      </c>
    </row>
    <row r="1627" spans="1:15" ht="15" customHeight="1">
      <c r="A1627" s="1068" t="s">
        <v>383</v>
      </c>
      <c r="B1627" s="1069" t="s">
        <v>384</v>
      </c>
      <c r="C1627" s="1070"/>
      <c r="D1627" s="1071" t="e">
        <f>SUM(D1618:D1623)-D1626</f>
        <v>#N/A</v>
      </c>
      <c r="E1627" s="1072"/>
      <c r="F1627" s="1073"/>
      <c r="G1627" s="1068" t="s">
        <v>383</v>
      </c>
      <c r="H1627" s="1069" t="s">
        <v>384</v>
      </c>
      <c r="I1627" s="1070"/>
      <c r="J1627" s="1071" t="e">
        <f>SUM(J1618:J1623)-J1626</f>
        <v>#N/A</v>
      </c>
    </row>
    <row r="1628" spans="1:15" ht="12.6" customHeight="1">
      <c r="A1628" s="1074"/>
      <c r="B1628" s="1075"/>
      <c r="C1628" s="1076"/>
      <c r="D1628" s="1077"/>
      <c r="E1628" s="1077"/>
      <c r="F1628" s="1078"/>
      <c r="G1628" s="1074"/>
      <c r="H1628" s="1075"/>
      <c r="I1628" s="1076"/>
      <c r="J1628" s="1077"/>
    </row>
    <row r="1629" spans="1:15" ht="12.6" customHeight="1">
      <c r="A1629" s="1075"/>
      <c r="B1629" s="1075"/>
      <c r="C1629" s="1079"/>
      <c r="D1629" s="1080"/>
      <c r="E1629" s="1075"/>
      <c r="F1629" s="1081"/>
      <c r="G1629" s="1075"/>
      <c r="H1629" s="1075"/>
      <c r="I1629" s="1079"/>
      <c r="J1629" s="1080"/>
    </row>
    <row r="1630" spans="1:15" ht="15" customHeight="1">
      <c r="A1630" s="2242" t="str">
        <f>$K$2</f>
        <v>THÁNG 09/2024</v>
      </c>
      <c r="B1630" s="2242"/>
      <c r="C1630" s="2242"/>
      <c r="D1630" s="2242"/>
      <c r="E1630" s="1050"/>
      <c r="F1630" s="1051"/>
      <c r="G1630" s="2242" t="str">
        <f>$K$2</f>
        <v>THÁNG 09/2024</v>
      </c>
      <c r="H1630" s="2242"/>
      <c r="I1630" s="2242"/>
      <c r="J1630" s="2242"/>
      <c r="K1630" s="624"/>
    </row>
    <row r="1631" spans="1:15" ht="15" customHeight="1">
      <c r="A1631" s="1052" t="s">
        <v>356</v>
      </c>
      <c r="B1631" s="1053" t="s">
        <v>121</v>
      </c>
      <c r="C1631" s="869"/>
      <c r="D1631" s="1049"/>
      <c r="E1631" s="1054"/>
      <c r="F1631" s="1055"/>
      <c r="G1631" s="1052" t="s">
        <v>356</v>
      </c>
      <c r="H1631" s="1053"/>
      <c r="I1631" s="869"/>
      <c r="J1631" s="1049"/>
      <c r="K1631" s="1090" t="s">
        <v>502</v>
      </c>
      <c r="L1631" s="1090" t="e">
        <f>D1641+D1627+J1627+J1612+D1612+D1598+J1598</f>
        <v>#N/A</v>
      </c>
      <c r="M1631" s="1090"/>
      <c r="N1631" s="1090"/>
      <c r="O1631" s="1090"/>
    </row>
    <row r="1632" spans="1:15" ht="15" customHeight="1">
      <c r="A1632" s="1052" t="s">
        <v>359</v>
      </c>
      <c r="B1632" s="1089" t="s">
        <v>360</v>
      </c>
      <c r="C1632" s="1058" t="e">
        <f>VLOOKUP(B1631,'LƯƠNG KT'!$D$15:$U$94,3,0)</f>
        <v>#N/A</v>
      </c>
      <c r="D1632" s="1059" t="e">
        <f>+C1632*25000</f>
        <v>#N/A</v>
      </c>
      <c r="E1632" s="1060"/>
      <c r="F1632" s="1060"/>
      <c r="G1632" s="1052" t="s">
        <v>359</v>
      </c>
      <c r="H1632" s="1089" t="s">
        <v>360</v>
      </c>
      <c r="I1632" s="1058" t="e">
        <f>VLOOKUP(H1631,'LƯƠNG KT'!$D$15:$U$94,3,0)</f>
        <v>#N/A</v>
      </c>
      <c r="J1632" s="1059" t="e">
        <f>+I1632*25000</f>
        <v>#N/A</v>
      </c>
      <c r="K1632" s="1085"/>
      <c r="L1632" s="1085"/>
      <c r="M1632" s="1085"/>
      <c r="N1632" s="1085"/>
      <c r="O1632" s="1085"/>
    </row>
    <row r="1633" spans="1:15" ht="15" customHeight="1">
      <c r="A1633" s="1052" t="s">
        <v>361</v>
      </c>
      <c r="B1633" s="869" t="s">
        <v>362</v>
      </c>
      <c r="C1633" s="1058" t="e">
        <f>VLOOKUP(B1631,'LƯƠNG KT'!$D$15:$U$94,14,0)</f>
        <v>#N/A</v>
      </c>
      <c r="D1633" s="1059" t="e">
        <f>C1633*$L$4</f>
        <v>#N/A</v>
      </c>
      <c r="E1633" s="1061"/>
      <c r="F1633" s="1061"/>
      <c r="G1633" s="1052" t="s">
        <v>361</v>
      </c>
      <c r="H1633" s="869" t="s">
        <v>362</v>
      </c>
      <c r="I1633" s="1058" t="e">
        <f>VLOOKUP(H1631,'LƯƠNG KT'!$D$15:$U$94,14,0)</f>
        <v>#N/A</v>
      </c>
      <c r="J1633" s="1059" t="e">
        <f>I1633*$L$4</f>
        <v>#N/A</v>
      </c>
      <c r="K1633" s="1085"/>
      <c r="L1633" s="1085"/>
      <c r="M1633" s="1085"/>
      <c r="N1633" s="1085"/>
      <c r="O1633" s="1085"/>
    </row>
    <row r="1634" spans="1:15" ht="15" customHeight="1">
      <c r="A1634" s="1052" t="s">
        <v>364</v>
      </c>
      <c r="B1634" s="869" t="s">
        <v>365</v>
      </c>
      <c r="C1634" s="1058" t="e">
        <f>VLOOKUP(B1631,'LƯƠNG KT'!$D$15:$U$94,15,0)</f>
        <v>#N/A</v>
      </c>
      <c r="D1634" s="1059" t="e">
        <f>C1634*$L$5</f>
        <v>#N/A</v>
      </c>
      <c r="E1634" s="1061"/>
      <c r="F1634" s="1061"/>
      <c r="G1634" s="1052" t="s">
        <v>364</v>
      </c>
      <c r="H1634" s="869" t="s">
        <v>365</v>
      </c>
      <c r="I1634" s="1058" t="e">
        <f>VLOOKUP(H1631,'LƯƠNG KT'!$D$15:$U$94,15,0)</f>
        <v>#N/A</v>
      </c>
      <c r="J1634" s="1059" t="e">
        <f>I1634*$L$5</f>
        <v>#N/A</v>
      </c>
      <c r="K1634" s="1085"/>
      <c r="L1634" s="1085"/>
      <c r="M1634" s="1085"/>
      <c r="N1634" s="1085"/>
      <c r="O1634" s="1085"/>
    </row>
    <row r="1635" spans="1:15" ht="15" customHeight="1">
      <c r="A1635" s="1052" t="s">
        <v>367</v>
      </c>
      <c r="B1635" s="869"/>
      <c r="C1635" s="1058" t="e">
        <f>VLOOKUP(B1631,'LƯƠNG KT'!$D$15:$U$94,16,0)</f>
        <v>#N/A</v>
      </c>
      <c r="D1635" s="1059" t="e">
        <f>+C1635*$L$6</f>
        <v>#N/A</v>
      </c>
      <c r="E1635" s="1061"/>
      <c r="F1635" s="1061"/>
      <c r="G1635" s="1052" t="s">
        <v>367</v>
      </c>
      <c r="H1635" s="869"/>
      <c r="I1635" s="1058" t="e">
        <f>VLOOKUP(H1631,'LƯƠNG KT'!$D$15:$U$94,16,0)</f>
        <v>#N/A</v>
      </c>
      <c r="J1635" s="1059" t="e">
        <f>+I1635*$L$6</f>
        <v>#N/A</v>
      </c>
      <c r="K1635" s="1085"/>
      <c r="L1635" s="1085"/>
      <c r="M1635" s="1085"/>
      <c r="N1635" s="1085"/>
      <c r="O1635" s="1085"/>
    </row>
    <row r="1636" spans="1:15" ht="15" customHeight="1">
      <c r="A1636" s="1052" t="s">
        <v>371</v>
      </c>
      <c r="B1636" s="869" t="s">
        <v>372</v>
      </c>
      <c r="C1636" s="1058" t="e">
        <f>VLOOKUP(B1631,'LƯƠNG KT'!$D$15:$U$94,9,0)*$L$10</f>
        <v>#N/A</v>
      </c>
      <c r="D1636" s="1059" t="e">
        <f>+C1636*0.5*3000</f>
        <v>#N/A</v>
      </c>
      <c r="E1636" s="1061"/>
      <c r="F1636" s="1061"/>
      <c r="G1636" s="1052" t="s">
        <v>371</v>
      </c>
      <c r="H1636" s="869" t="s">
        <v>372</v>
      </c>
      <c r="I1636" s="1058" t="e">
        <f>VLOOKUP(H1631,'LƯƠNG KT'!$D$15:$U$94,9,0)*$L$10</f>
        <v>#N/A</v>
      </c>
      <c r="J1636" s="1059" t="e">
        <f>+I1636*0.5*3000</f>
        <v>#N/A</v>
      </c>
      <c r="K1636" s="1085"/>
      <c r="L1636" s="1085"/>
      <c r="M1636" s="1085"/>
      <c r="N1636" s="1085"/>
      <c r="O1636" s="1085"/>
    </row>
    <row r="1637" spans="1:15" ht="15" customHeight="1">
      <c r="A1637" s="1052" t="s">
        <v>374</v>
      </c>
      <c r="B1637" s="869" t="s">
        <v>375</v>
      </c>
      <c r="C1637" s="1058" t="e">
        <f>VLOOKUP(B1631,'LƯƠNG KT'!$D$15:$U$94,8,0)*$L$11</f>
        <v>#N/A</v>
      </c>
      <c r="D1637" s="1059" t="e">
        <f>VLOOKUP(B1631,'LƯƠNG KT'!$D$15:$U$94,13,0)-D1636</f>
        <v>#N/A</v>
      </c>
      <c r="E1637" s="1063"/>
      <c r="F1637" s="1061"/>
      <c r="G1637" s="1052" t="s">
        <v>374</v>
      </c>
      <c r="H1637" s="869" t="s">
        <v>375</v>
      </c>
      <c r="I1637" s="1058" t="e">
        <f>VLOOKUP(H1631,'LƯƠNG KT'!$D$15:$U$94,8,0)*$L$11</f>
        <v>#N/A</v>
      </c>
      <c r="J1637" s="1059" t="e">
        <f>VLOOKUP(H1631,'LƯƠNG KT'!$D$15:$U$94,13,0)-J1636</f>
        <v>#N/A</v>
      </c>
      <c r="K1637" s="1085"/>
      <c r="L1637" s="1085"/>
      <c r="M1637" s="1085"/>
      <c r="N1637" s="1085"/>
      <c r="O1637" s="1085"/>
    </row>
    <row r="1638" spans="1:15" ht="15" customHeight="1">
      <c r="A1638" s="1059" t="s">
        <v>377</v>
      </c>
      <c r="B1638" s="869" t="s">
        <v>378</v>
      </c>
      <c r="C1638" s="1058"/>
      <c r="D1638" s="1059"/>
      <c r="E1638" s="1065"/>
      <c r="F1638" s="1065"/>
      <c r="G1638" s="1059" t="s">
        <v>377</v>
      </c>
      <c r="H1638" s="869" t="s">
        <v>378</v>
      </c>
      <c r="I1638" s="1058"/>
      <c r="J1638" s="1059"/>
    </row>
    <row r="1639" spans="1:15" ht="15" customHeight="1">
      <c r="A1639" s="1066" t="s">
        <v>379</v>
      </c>
      <c r="B1639" s="869" t="s">
        <v>380</v>
      </c>
      <c r="C1639" s="1058"/>
      <c r="D1639" s="1059"/>
      <c r="E1639" s="1063"/>
      <c r="F1639" s="1065"/>
      <c r="G1639" s="1066" t="s">
        <v>379</v>
      </c>
      <c r="H1639" s="869" t="s">
        <v>380</v>
      </c>
      <c r="I1639" s="1058"/>
      <c r="J1639" s="1059"/>
    </row>
    <row r="1640" spans="1:15" ht="15" customHeight="1">
      <c r="A1640" s="1052" t="s">
        <v>381</v>
      </c>
      <c r="B1640" s="869" t="s">
        <v>382</v>
      </c>
      <c r="C1640" s="1058"/>
      <c r="D1640" s="1059">
        <f>D1639</f>
        <v>0</v>
      </c>
      <c r="E1640" s="1067"/>
      <c r="F1640" s="1051"/>
      <c r="G1640" s="1052" t="s">
        <v>381</v>
      </c>
      <c r="H1640" s="869" t="s">
        <v>382</v>
      </c>
      <c r="I1640" s="1058"/>
      <c r="J1640" s="1059"/>
    </row>
    <row r="1641" spans="1:15" ht="15" customHeight="1">
      <c r="A1641" s="1068" t="s">
        <v>383</v>
      </c>
      <c r="B1641" s="1069" t="s">
        <v>384</v>
      </c>
      <c r="C1641" s="1070"/>
      <c r="D1641" s="1071" t="e">
        <f>SUM(D1632:D1637)-D1640</f>
        <v>#N/A</v>
      </c>
      <c r="E1641" s="1072"/>
      <c r="F1641" s="1073"/>
      <c r="G1641" s="1068" t="s">
        <v>383</v>
      </c>
      <c r="H1641" s="1069" t="s">
        <v>384</v>
      </c>
      <c r="I1641" s="1070"/>
      <c r="J1641" s="1071"/>
    </row>
    <row r="1642" spans="1:15" ht="18.75" customHeight="1">
      <c r="A1642" s="1074"/>
      <c r="B1642" s="1075"/>
      <c r="C1642" s="1076"/>
      <c r="D1642" s="1077"/>
      <c r="E1642" s="1077"/>
      <c r="F1642" s="1078"/>
      <c r="G1642" s="1074"/>
      <c r="H1642" s="1075"/>
      <c r="I1642" s="1076"/>
      <c r="J1642" s="1077"/>
    </row>
    <row r="1643" spans="1:15" ht="18.75" customHeight="1">
      <c r="A1643" s="1075"/>
      <c r="B1643" s="1075"/>
      <c r="C1643" s="1079"/>
      <c r="D1643" s="1080"/>
      <c r="E1643" s="1075"/>
      <c r="F1643" s="1081"/>
      <c r="G1643" s="1075"/>
      <c r="H1643" s="1075"/>
      <c r="I1643" s="1079"/>
      <c r="J1643" s="1080"/>
    </row>
    <row r="1644" spans="1:15" ht="15" customHeight="1">
      <c r="A1644" s="2242"/>
      <c r="B1644" s="2242"/>
      <c r="C1644" s="2242"/>
      <c r="D1644" s="2242"/>
      <c r="E1644" s="1050"/>
      <c r="F1644" s="1051"/>
      <c r="G1644" s="2242"/>
      <c r="H1644" s="2242"/>
      <c r="I1644" s="2242"/>
      <c r="J1644" s="2242"/>
      <c r="K1644" s="624"/>
    </row>
    <row r="1645" spans="1:15" ht="15" customHeight="1">
      <c r="A1645" s="1052"/>
      <c r="B1645" s="1053"/>
      <c r="C1645" s="869"/>
      <c r="D1645" s="1049"/>
      <c r="E1645" s="1054"/>
      <c r="F1645" s="1055"/>
      <c r="G1645" s="1052"/>
      <c r="H1645" s="1053"/>
      <c r="I1645" s="869"/>
      <c r="J1645" s="1049"/>
      <c r="L1645" s="1088"/>
      <c r="M1645" s="1088"/>
      <c r="N1645" s="1088"/>
      <c r="O1645" s="1088"/>
    </row>
    <row r="1646" spans="1:15" ht="15" customHeight="1">
      <c r="A1646" s="1052"/>
      <c r="B1646" s="1089"/>
      <c r="C1646" s="1058"/>
      <c r="D1646" s="1059"/>
      <c r="E1646" s="1060"/>
      <c r="F1646" s="1060"/>
      <c r="G1646" s="1052"/>
      <c r="H1646" s="1089"/>
      <c r="I1646" s="1058"/>
      <c r="J1646" s="1059"/>
      <c r="K1646" s="1085"/>
      <c r="L1646" s="1085"/>
      <c r="M1646" s="1085"/>
      <c r="N1646" s="1085"/>
      <c r="O1646" s="1085"/>
    </row>
    <row r="1647" spans="1:15" ht="15" customHeight="1">
      <c r="A1647" s="1052"/>
      <c r="B1647" s="869"/>
      <c r="C1647" s="1058"/>
      <c r="D1647" s="1059"/>
      <c r="E1647" s="1061"/>
      <c r="F1647" s="1061"/>
      <c r="G1647" s="1052"/>
      <c r="H1647" s="869"/>
      <c r="I1647" s="1058"/>
      <c r="J1647" s="1059"/>
      <c r="K1647" s="1085"/>
      <c r="L1647" s="1085"/>
      <c r="M1647" s="1085"/>
      <c r="N1647" s="1085"/>
      <c r="O1647" s="1085"/>
    </row>
    <row r="1648" spans="1:15" ht="15" customHeight="1">
      <c r="A1648" s="1052"/>
      <c r="B1648" s="869"/>
      <c r="C1648" s="1058"/>
      <c r="D1648" s="1059"/>
      <c r="E1648" s="1061"/>
      <c r="F1648" s="1061"/>
      <c r="G1648" s="1052"/>
      <c r="H1648" s="869"/>
      <c r="I1648" s="1058"/>
      <c r="J1648" s="1059"/>
      <c r="K1648" s="1085"/>
      <c r="L1648" s="1085"/>
      <c r="M1648" s="1085"/>
      <c r="N1648" s="1085"/>
      <c r="O1648" s="1085"/>
    </row>
    <row r="1649" spans="1:15" ht="15" customHeight="1">
      <c r="A1649" s="1052"/>
      <c r="B1649" s="869"/>
      <c r="C1649" s="1058"/>
      <c r="D1649" s="1059"/>
      <c r="E1649" s="1061"/>
      <c r="F1649" s="1061"/>
      <c r="G1649" s="1052"/>
      <c r="H1649" s="869"/>
      <c r="I1649" s="1058"/>
      <c r="J1649" s="1059"/>
      <c r="K1649" s="1085"/>
      <c r="L1649" s="1085"/>
      <c r="M1649" s="1085"/>
      <c r="N1649" s="1085"/>
      <c r="O1649" s="1085"/>
    </row>
    <row r="1650" spans="1:15" ht="15" customHeight="1">
      <c r="A1650" s="1052"/>
      <c r="B1650" s="869"/>
      <c r="C1650" s="1058"/>
      <c r="D1650" s="1059"/>
      <c r="E1650" s="1061"/>
      <c r="F1650" s="1061"/>
      <c r="G1650" s="1052"/>
      <c r="H1650" s="869"/>
      <c r="I1650" s="1058"/>
      <c r="J1650" s="1059"/>
      <c r="K1650" s="1085"/>
      <c r="L1650" s="1085"/>
      <c r="M1650" s="1085"/>
      <c r="N1650" s="1085"/>
      <c r="O1650" s="1085"/>
    </row>
    <row r="1651" spans="1:15" ht="15" customHeight="1">
      <c r="A1651" s="1052"/>
      <c r="B1651" s="869"/>
      <c r="C1651" s="1058"/>
      <c r="D1651" s="1059"/>
      <c r="E1651" s="1063"/>
      <c r="F1651" s="1061"/>
      <c r="G1651" s="1052"/>
      <c r="H1651" s="869"/>
      <c r="I1651" s="1058"/>
      <c r="J1651" s="1059"/>
      <c r="K1651" s="1085"/>
      <c r="L1651" s="1085"/>
      <c r="M1651" s="1085"/>
      <c r="N1651" s="1085"/>
      <c r="O1651" s="1085"/>
    </row>
    <row r="1652" spans="1:15" ht="15" customHeight="1">
      <c r="A1652" s="1059"/>
      <c r="B1652" s="869"/>
      <c r="C1652" s="1058"/>
      <c r="D1652" s="1059"/>
      <c r="E1652" s="1065"/>
      <c r="F1652" s="1065"/>
      <c r="G1652" s="1059"/>
      <c r="H1652" s="869"/>
      <c r="I1652" s="1058"/>
      <c r="J1652" s="1059"/>
    </row>
    <row r="1653" spans="1:15" ht="15" customHeight="1">
      <c r="A1653" s="1066"/>
      <c r="B1653" s="869"/>
      <c r="C1653" s="1058"/>
      <c r="D1653" s="1059"/>
      <c r="E1653" s="1063"/>
      <c r="F1653" s="1065"/>
      <c r="G1653" s="1066"/>
      <c r="H1653" s="869"/>
      <c r="I1653" s="1058"/>
      <c r="J1653" s="1059"/>
    </row>
    <row r="1654" spans="1:15" ht="15" customHeight="1">
      <c r="A1654" s="1052"/>
      <c r="B1654" s="869"/>
      <c r="C1654" s="1058"/>
      <c r="D1654" s="1059"/>
      <c r="E1654" s="1067"/>
      <c r="F1654" s="1051"/>
      <c r="G1654" s="1052"/>
      <c r="H1654" s="869"/>
      <c r="I1654" s="1058"/>
      <c r="J1654" s="1059"/>
    </row>
    <row r="1655" spans="1:15" ht="15" customHeight="1">
      <c r="A1655" s="1068"/>
      <c r="B1655" s="1069"/>
      <c r="C1655" s="1070"/>
      <c r="D1655" s="1071"/>
      <c r="E1655" s="1072"/>
      <c r="F1655" s="1073"/>
      <c r="G1655" s="1068"/>
      <c r="H1655" s="1069"/>
      <c r="I1655" s="1070"/>
      <c r="J1655" s="1071"/>
    </row>
    <row r="1656" spans="1:15" ht="18.75" customHeight="1">
      <c r="A1656" s="1074"/>
      <c r="B1656" s="1075"/>
      <c r="C1656" s="1076"/>
      <c r="D1656" s="1077"/>
      <c r="E1656" s="1077"/>
      <c r="F1656" s="1078"/>
      <c r="G1656" s="1074"/>
      <c r="H1656" s="1075"/>
      <c r="I1656" s="1076"/>
      <c r="J1656" s="1077"/>
    </row>
    <row r="1657" spans="1:15" ht="18.75" customHeight="1">
      <c r="A1657" s="1075"/>
      <c r="B1657" s="1075"/>
      <c r="C1657" s="1079"/>
      <c r="D1657" s="1080"/>
      <c r="E1657" s="1075"/>
      <c r="F1657" s="1081"/>
      <c r="G1657" s="1075"/>
      <c r="H1657" s="1075"/>
      <c r="I1657" s="1079"/>
      <c r="J1657" s="1080"/>
    </row>
    <row r="1658" spans="1:15" ht="15" customHeight="1">
      <c r="A1658" s="2242"/>
      <c r="B1658" s="2242"/>
      <c r="C1658" s="2242"/>
      <c r="D1658" s="2242"/>
      <c r="E1658" s="1050"/>
      <c r="F1658" s="1051"/>
      <c r="G1658" s="2242"/>
      <c r="H1658" s="2242"/>
      <c r="I1658" s="2242"/>
      <c r="J1658" s="2242"/>
      <c r="K1658" s="624"/>
    </row>
    <row r="1659" spans="1:15" ht="15" customHeight="1">
      <c r="A1659" s="1052"/>
      <c r="B1659" s="1053"/>
      <c r="C1659" s="869"/>
      <c r="D1659" s="1049"/>
      <c r="E1659" s="1054"/>
      <c r="F1659" s="1055"/>
      <c r="G1659" s="1052"/>
      <c r="H1659" s="1053"/>
      <c r="I1659" s="869"/>
      <c r="J1659" s="1049"/>
      <c r="L1659" s="1088"/>
      <c r="M1659" s="1088"/>
      <c r="N1659" s="1088"/>
      <c r="O1659" s="1088"/>
    </row>
    <row r="1660" spans="1:15" ht="15" customHeight="1">
      <c r="A1660" s="1052"/>
      <c r="B1660" s="1089"/>
      <c r="C1660" s="1058"/>
      <c r="D1660" s="1059"/>
      <c r="E1660" s="1060"/>
      <c r="F1660" s="1060"/>
      <c r="G1660" s="1052"/>
      <c r="H1660" s="1089"/>
      <c r="I1660" s="1058"/>
      <c r="J1660" s="1059"/>
      <c r="K1660" s="1085"/>
      <c r="L1660" s="1085"/>
      <c r="M1660" s="1085"/>
      <c r="N1660" s="1085"/>
      <c r="O1660" s="1085"/>
    </row>
    <row r="1661" spans="1:15" ht="15" customHeight="1">
      <c r="A1661" s="1052"/>
      <c r="B1661" s="869"/>
      <c r="C1661" s="1058"/>
      <c r="D1661" s="1059"/>
      <c r="E1661" s="1061"/>
      <c r="F1661" s="1061"/>
      <c r="G1661" s="1052"/>
      <c r="H1661" s="869"/>
      <c r="I1661" s="1058"/>
      <c r="J1661" s="1059"/>
      <c r="K1661" s="1085"/>
      <c r="L1661" s="1085"/>
      <c r="M1661" s="1085"/>
      <c r="N1661" s="1085"/>
      <c r="O1661" s="1085"/>
    </row>
    <row r="1662" spans="1:15" ht="15" customHeight="1">
      <c r="A1662" s="1052"/>
      <c r="B1662" s="869"/>
      <c r="C1662" s="1058"/>
      <c r="D1662" s="1059"/>
      <c r="E1662" s="1061"/>
      <c r="F1662" s="1061"/>
      <c r="G1662" s="1052"/>
      <c r="H1662" s="869"/>
      <c r="I1662" s="1058"/>
      <c r="J1662" s="1059"/>
      <c r="K1662" s="1085"/>
      <c r="L1662" s="1085"/>
      <c r="M1662" s="1085"/>
      <c r="N1662" s="1085"/>
      <c r="O1662" s="1085"/>
    </row>
    <row r="1663" spans="1:15" ht="15" customHeight="1">
      <c r="A1663" s="1052"/>
      <c r="B1663" s="869"/>
      <c r="C1663" s="1058"/>
      <c r="D1663" s="1059"/>
      <c r="E1663" s="1061"/>
      <c r="F1663" s="1061"/>
      <c r="G1663" s="1052"/>
      <c r="H1663" s="869"/>
      <c r="I1663" s="1058"/>
      <c r="J1663" s="1059"/>
      <c r="K1663" s="1085"/>
      <c r="L1663" s="1085"/>
      <c r="M1663" s="1085"/>
      <c r="N1663" s="1085"/>
      <c r="O1663" s="1085"/>
    </row>
    <row r="1664" spans="1:15" ht="15" customHeight="1">
      <c r="A1664" s="1052"/>
      <c r="B1664" s="869"/>
      <c r="C1664" s="1058"/>
      <c r="D1664" s="1059"/>
      <c r="E1664" s="1061"/>
      <c r="F1664" s="1061"/>
      <c r="G1664" s="1052"/>
      <c r="H1664" s="869"/>
      <c r="I1664" s="1058"/>
      <c r="J1664" s="1059"/>
      <c r="K1664" s="1085"/>
      <c r="L1664" s="1085"/>
      <c r="M1664" s="1085"/>
      <c r="N1664" s="1085"/>
      <c r="O1664" s="1085"/>
    </row>
    <row r="1665" spans="1:15" ht="15" customHeight="1">
      <c r="A1665" s="1052"/>
      <c r="B1665" s="869"/>
      <c r="C1665" s="1058"/>
      <c r="D1665" s="1059"/>
      <c r="E1665" s="1063"/>
      <c r="F1665" s="1061"/>
      <c r="G1665" s="1052"/>
      <c r="H1665" s="869"/>
      <c r="I1665" s="1058"/>
      <c r="J1665" s="1059"/>
      <c r="K1665" s="1085"/>
      <c r="L1665" s="1085"/>
      <c r="M1665" s="1085"/>
      <c r="N1665" s="1085"/>
      <c r="O1665" s="1085"/>
    </row>
    <row r="1666" spans="1:15" ht="15" customHeight="1">
      <c r="A1666" s="1059"/>
      <c r="B1666" s="869"/>
      <c r="C1666" s="1058"/>
      <c r="D1666" s="1059"/>
      <c r="E1666" s="1065"/>
      <c r="F1666" s="1065"/>
      <c r="G1666" s="1059"/>
      <c r="H1666" s="869"/>
      <c r="I1666" s="1058"/>
      <c r="J1666" s="1059"/>
    </row>
    <row r="1667" spans="1:15" ht="15" customHeight="1">
      <c r="A1667" s="1066"/>
      <c r="B1667" s="869"/>
      <c r="C1667" s="1058"/>
      <c r="D1667" s="1059"/>
      <c r="E1667" s="1063"/>
      <c r="F1667" s="1065"/>
      <c r="G1667" s="1066"/>
      <c r="H1667" s="869"/>
      <c r="I1667" s="1058"/>
      <c r="J1667" s="1059"/>
    </row>
    <row r="1668" spans="1:15" ht="15" customHeight="1">
      <c r="A1668" s="1052"/>
      <c r="B1668" s="869"/>
      <c r="C1668" s="1058"/>
      <c r="D1668" s="1059"/>
      <c r="E1668" s="1067"/>
      <c r="F1668" s="1051"/>
      <c r="G1668" s="1052"/>
      <c r="H1668" s="869"/>
      <c r="I1668" s="1058"/>
      <c r="J1668" s="1059"/>
    </row>
    <row r="1669" spans="1:15" ht="15" customHeight="1">
      <c r="A1669" s="1068"/>
      <c r="B1669" s="1069"/>
      <c r="C1669" s="1070"/>
      <c r="D1669" s="1071"/>
      <c r="E1669" s="1072"/>
      <c r="F1669" s="1073"/>
      <c r="G1669" s="1068"/>
      <c r="H1669" s="1069"/>
      <c r="I1669" s="1070"/>
      <c r="J1669" s="1071"/>
    </row>
    <row r="1670" spans="1:15" ht="15.75" customHeight="1">
      <c r="A1670" s="1074"/>
      <c r="B1670" s="1075"/>
      <c r="C1670" s="1076"/>
      <c r="D1670" s="1077"/>
      <c r="E1670" s="1077"/>
      <c r="F1670" s="1078"/>
      <c r="G1670" s="1074"/>
      <c r="H1670" s="1075"/>
      <c r="I1670" s="1076"/>
      <c r="J1670" s="1077"/>
    </row>
    <row r="1672" spans="1:15" ht="12" customHeight="1">
      <c r="A1672" s="2244" t="s">
        <v>503</v>
      </c>
      <c r="B1672" s="2244"/>
      <c r="C1672" s="2244"/>
      <c r="D1672" s="2244"/>
      <c r="E1672" s="2244"/>
      <c r="F1672" s="2244"/>
      <c r="G1672" s="2244"/>
      <c r="H1672" s="2244"/>
      <c r="I1672" s="2244"/>
      <c r="J1672" s="2244"/>
    </row>
    <row r="1673" spans="1:15" ht="15" customHeight="1">
      <c r="A1673" s="2242" t="str">
        <f>$K$2</f>
        <v>THÁNG 09/2024</v>
      </c>
      <c r="B1673" s="2242"/>
      <c r="C1673" s="2242"/>
      <c r="D1673" s="2242"/>
      <c r="E1673" s="1050"/>
      <c r="F1673" s="1051"/>
      <c r="G1673" s="2242" t="str">
        <f>$K$2</f>
        <v>THÁNG 09/2024</v>
      </c>
      <c r="H1673" s="2242"/>
      <c r="I1673" s="2242"/>
      <c r="J1673" s="2242"/>
      <c r="K1673" s="624"/>
    </row>
    <row r="1674" spans="1:15" ht="15" customHeight="1">
      <c r="A1674" s="1052" t="s">
        <v>356</v>
      </c>
      <c r="B1674" s="1053" t="s">
        <v>124</v>
      </c>
      <c r="C1674" s="869"/>
      <c r="D1674" s="1049"/>
      <c r="E1674" s="1054"/>
      <c r="F1674" s="1055"/>
      <c r="G1674" s="1052" t="s">
        <v>356</v>
      </c>
      <c r="H1674" s="1053" t="s">
        <v>125</v>
      </c>
      <c r="I1674" s="869"/>
      <c r="J1674" s="1049"/>
      <c r="L1674" s="1088"/>
      <c r="M1674" s="1088"/>
      <c r="N1674" s="1088"/>
      <c r="O1674" s="1088"/>
    </row>
    <row r="1675" spans="1:15" ht="15" customHeight="1">
      <c r="A1675" s="1052" t="s">
        <v>359</v>
      </c>
      <c r="B1675" s="1089" t="s">
        <v>360</v>
      </c>
      <c r="C1675" s="1058" t="e">
        <f>VLOOKUP(B1674,'LƯƠNG KT'!$D$15:$U$94,3,0)</f>
        <v>#N/A</v>
      </c>
      <c r="D1675" s="1059" t="e">
        <f>+C1675*25000</f>
        <v>#N/A</v>
      </c>
      <c r="E1675" s="1060"/>
      <c r="F1675" s="1060"/>
      <c r="G1675" s="1052" t="s">
        <v>359</v>
      </c>
      <c r="H1675" s="1089" t="s">
        <v>360</v>
      </c>
      <c r="I1675" s="1058" t="e">
        <f>VLOOKUP(H1674,'LƯƠNG KT'!$D$15:$U$94,3,0)</f>
        <v>#N/A</v>
      </c>
      <c r="J1675" s="1059" t="e">
        <f>+I1675*25000</f>
        <v>#N/A</v>
      </c>
      <c r="K1675" s="1084"/>
      <c r="L1675" s="1085"/>
      <c r="M1675" s="1085"/>
      <c r="N1675" s="1085"/>
      <c r="O1675" s="1085"/>
    </row>
    <row r="1676" spans="1:15" ht="15" customHeight="1">
      <c r="A1676" s="1052" t="s">
        <v>361</v>
      </c>
      <c r="B1676" s="869" t="s">
        <v>362</v>
      </c>
      <c r="C1676" s="1058" t="e">
        <f>VLOOKUP(B1674,'LƯƠNG KT'!$D$15:$U$94,14,0)</f>
        <v>#N/A</v>
      </c>
      <c r="D1676" s="1059" t="e">
        <f>C1676*$L$4</f>
        <v>#N/A</v>
      </c>
      <c r="E1676" s="1061"/>
      <c r="F1676" s="1061"/>
      <c r="G1676" s="1052" t="s">
        <v>361</v>
      </c>
      <c r="H1676" s="869" t="s">
        <v>362</v>
      </c>
      <c r="I1676" s="1058" t="e">
        <f>VLOOKUP(H1674,'LƯƠNG KT'!$D$15:$U$94,14,0)</f>
        <v>#N/A</v>
      </c>
      <c r="J1676" s="1059" t="e">
        <f>I1676*$L$4</f>
        <v>#N/A</v>
      </c>
      <c r="K1676" s="1084"/>
      <c r="L1676" s="1085"/>
      <c r="M1676" s="1085"/>
      <c r="N1676" s="1085"/>
      <c r="O1676" s="1085"/>
    </row>
    <row r="1677" spans="1:15" ht="15" customHeight="1">
      <c r="A1677" s="1052" t="s">
        <v>364</v>
      </c>
      <c r="B1677" s="869" t="s">
        <v>365</v>
      </c>
      <c r="C1677" s="1058" t="e">
        <f>VLOOKUP(B1674,'LƯƠNG KT'!$D$15:$U$94,15,0)</f>
        <v>#N/A</v>
      </c>
      <c r="D1677" s="1059" t="e">
        <f>C1677*$L$5</f>
        <v>#N/A</v>
      </c>
      <c r="E1677" s="1061"/>
      <c r="F1677" s="1061"/>
      <c r="G1677" s="1052" t="s">
        <v>364</v>
      </c>
      <c r="H1677" s="869" t="s">
        <v>365</v>
      </c>
      <c r="I1677" s="1058" t="e">
        <f>VLOOKUP(H1674,'LƯƠNG KT'!$D$15:$U$94,15,0)</f>
        <v>#N/A</v>
      </c>
      <c r="J1677" s="1059" t="e">
        <f>I1677*$L$5</f>
        <v>#N/A</v>
      </c>
      <c r="K1677" s="1084"/>
      <c r="L1677" s="1085"/>
      <c r="M1677" s="1085"/>
      <c r="N1677" s="1085"/>
      <c r="O1677" s="1085"/>
    </row>
    <row r="1678" spans="1:15" ht="15" customHeight="1">
      <c r="A1678" s="1052" t="s">
        <v>367</v>
      </c>
      <c r="B1678" s="869"/>
      <c r="C1678" s="1058" t="e">
        <f>VLOOKUP(B1674,'LƯƠNG KT'!$D$15:$U$94,16,0)</f>
        <v>#N/A</v>
      </c>
      <c r="D1678" s="1059" t="e">
        <f>+C1678*$L$6</f>
        <v>#N/A</v>
      </c>
      <c r="E1678" s="1061"/>
      <c r="F1678" s="1061"/>
      <c r="G1678" s="1052" t="s">
        <v>367</v>
      </c>
      <c r="H1678" s="869"/>
      <c r="I1678" s="1058" t="e">
        <f>VLOOKUP(H1674,'LƯƠNG KT'!$D$15:$U$94,16,0)</f>
        <v>#N/A</v>
      </c>
      <c r="J1678" s="1059" t="e">
        <f>+I1678*$L$6</f>
        <v>#N/A</v>
      </c>
      <c r="K1678" s="1085"/>
      <c r="L1678" s="1085"/>
      <c r="M1678" s="1085"/>
      <c r="N1678" s="1085"/>
      <c r="O1678" s="1085"/>
    </row>
    <row r="1679" spans="1:15" ht="15" customHeight="1">
      <c r="A1679" s="1052" t="s">
        <v>371</v>
      </c>
      <c r="B1679" s="869" t="s">
        <v>372</v>
      </c>
      <c r="C1679" s="1058" t="e">
        <f>VLOOKUP(B1674,'LƯƠNG KT'!$D$15:$U$94,9,0)*$L$10</f>
        <v>#N/A</v>
      </c>
      <c r="D1679" s="1059" t="e">
        <f>+C1679*0.5*3000</f>
        <v>#N/A</v>
      </c>
      <c r="E1679" s="1061"/>
      <c r="F1679" s="1061"/>
      <c r="G1679" s="1052" t="s">
        <v>371</v>
      </c>
      <c r="H1679" s="869" t="s">
        <v>372</v>
      </c>
      <c r="I1679" s="1058" t="e">
        <f>VLOOKUP(H1674,'LƯƠNG KT'!$D$15:$U$94,9,0)*$L$10</f>
        <v>#N/A</v>
      </c>
      <c r="J1679" s="1059" t="e">
        <f>+I1679*0.5*3000</f>
        <v>#N/A</v>
      </c>
      <c r="K1679" s="1085"/>
      <c r="L1679" s="1085"/>
      <c r="M1679" s="1085"/>
      <c r="N1679" s="1085"/>
      <c r="O1679" s="1085"/>
    </row>
    <row r="1680" spans="1:15" ht="15" customHeight="1">
      <c r="A1680" s="1052" t="s">
        <v>374</v>
      </c>
      <c r="B1680" s="869" t="s">
        <v>375</v>
      </c>
      <c r="C1680" s="1058" t="e">
        <f>VLOOKUP(B1674,'LƯƠNG KT'!$D$15:$U$94,8,0)*$L$11</f>
        <v>#N/A</v>
      </c>
      <c r="D1680" s="1059" t="e">
        <f>VLOOKUP(B1674,'LƯƠNG KT'!$D$15:$U$94,13,0)-D1679</f>
        <v>#N/A</v>
      </c>
      <c r="E1680" s="1063"/>
      <c r="F1680" s="1061"/>
      <c r="G1680" s="1052" t="s">
        <v>374</v>
      </c>
      <c r="H1680" s="869" t="s">
        <v>375</v>
      </c>
      <c r="I1680" s="1058" t="e">
        <f>VLOOKUP(H1674,'LƯƠNG KT'!$D$15:$U$94,8,0)*$L$11</f>
        <v>#N/A</v>
      </c>
      <c r="J1680" s="1059" t="e">
        <f>VLOOKUP(H1674,'LƯƠNG KT'!$D$15:$U$94,13,0)-J1679</f>
        <v>#N/A</v>
      </c>
      <c r="K1680" s="1085"/>
      <c r="L1680" s="1085"/>
      <c r="M1680" s="1085"/>
      <c r="N1680" s="1085"/>
      <c r="O1680" s="1085"/>
    </row>
    <row r="1681" spans="1:15" ht="15" customHeight="1">
      <c r="A1681" s="1059" t="s">
        <v>377</v>
      </c>
      <c r="B1681" s="869" t="s">
        <v>378</v>
      </c>
      <c r="C1681" s="1058"/>
      <c r="D1681" s="1059"/>
      <c r="E1681" s="1065"/>
      <c r="F1681" s="1065"/>
      <c r="G1681" s="1059" t="s">
        <v>377</v>
      </c>
      <c r="H1681" s="869" t="s">
        <v>378</v>
      </c>
      <c r="I1681" s="1058"/>
      <c r="J1681" s="1059"/>
    </row>
    <row r="1682" spans="1:15" ht="15" customHeight="1">
      <c r="A1682" s="1066" t="s">
        <v>379</v>
      </c>
      <c r="B1682" s="869" t="s">
        <v>380</v>
      </c>
      <c r="C1682" s="1058"/>
      <c r="D1682" s="1059"/>
      <c r="E1682" s="1063"/>
      <c r="F1682" s="1065"/>
      <c r="G1682" s="1066" t="s">
        <v>379</v>
      </c>
      <c r="H1682" s="869" t="s">
        <v>380</v>
      </c>
      <c r="I1682" s="1058"/>
      <c r="J1682" s="1059"/>
    </row>
    <row r="1683" spans="1:15" ht="15" customHeight="1">
      <c r="A1683" s="1052" t="s">
        <v>381</v>
      </c>
      <c r="B1683" s="869" t="s">
        <v>382</v>
      </c>
      <c r="C1683" s="1058"/>
      <c r="D1683" s="1059">
        <f>D1682</f>
        <v>0</v>
      </c>
      <c r="E1683" s="1067"/>
      <c r="F1683" s="1051"/>
      <c r="G1683" s="1052" t="s">
        <v>381</v>
      </c>
      <c r="H1683" s="869" t="s">
        <v>382</v>
      </c>
      <c r="I1683" s="1058"/>
      <c r="J1683" s="1059">
        <f>J1682</f>
        <v>0</v>
      </c>
    </row>
    <row r="1684" spans="1:15" ht="15" customHeight="1">
      <c r="A1684" s="1068" t="s">
        <v>383</v>
      </c>
      <c r="B1684" s="1069" t="s">
        <v>384</v>
      </c>
      <c r="C1684" s="1070"/>
      <c r="D1684" s="1071" t="e">
        <f>SUM(D1675:D1680)-D1683</f>
        <v>#N/A</v>
      </c>
      <c r="E1684" s="1072"/>
      <c r="F1684" s="1073"/>
      <c r="G1684" s="1068" t="s">
        <v>383</v>
      </c>
      <c r="H1684" s="1069" t="s">
        <v>384</v>
      </c>
      <c r="I1684" s="1070"/>
      <c r="J1684" s="1071" t="e">
        <f>SUM(J1675:J1680)-J1683</f>
        <v>#N/A</v>
      </c>
    </row>
    <row r="1685" spans="1:15" ht="12.6" customHeight="1">
      <c r="A1685" s="1074"/>
      <c r="B1685" s="1075"/>
      <c r="C1685" s="1076"/>
      <c r="D1685" s="1077"/>
      <c r="E1685" s="1077"/>
      <c r="F1685" s="1078"/>
      <c r="G1685" s="1074"/>
      <c r="H1685" s="1075"/>
      <c r="I1685" s="1076"/>
      <c r="J1685" s="1077"/>
    </row>
    <row r="1686" spans="1:15" ht="12.6" customHeight="1">
      <c r="A1686" s="1075"/>
      <c r="B1686" s="1075"/>
      <c r="C1686" s="1079"/>
      <c r="D1686" s="1080"/>
      <c r="E1686" s="1075"/>
      <c r="F1686" s="1081"/>
      <c r="G1686" s="1075"/>
      <c r="H1686" s="1075"/>
      <c r="I1686" s="1079"/>
      <c r="J1686" s="1080"/>
    </row>
    <row r="1687" spans="1:15" ht="15" customHeight="1">
      <c r="A1687" s="2242" t="str">
        <f>$K$2</f>
        <v>THÁNG 09/2024</v>
      </c>
      <c r="B1687" s="2242"/>
      <c r="C1687" s="2242"/>
      <c r="D1687" s="2242"/>
      <c r="E1687" s="1050"/>
      <c r="F1687" s="1051"/>
      <c r="G1687" s="2242" t="str">
        <f>$K$2</f>
        <v>THÁNG 09/2024</v>
      </c>
      <c r="H1687" s="2242"/>
      <c r="I1687" s="2242"/>
      <c r="J1687" s="2242"/>
      <c r="K1687" s="624"/>
    </row>
    <row r="1688" spans="1:15" ht="15" customHeight="1">
      <c r="A1688" s="1052" t="s">
        <v>356</v>
      </c>
      <c r="B1688" s="1053" t="s">
        <v>126</v>
      </c>
      <c r="C1688" s="869"/>
      <c r="D1688" s="1049"/>
      <c r="E1688" s="1054"/>
      <c r="F1688" s="1055"/>
      <c r="G1688" s="1052" t="s">
        <v>356</v>
      </c>
      <c r="H1688" s="1053" t="s">
        <v>127</v>
      </c>
      <c r="I1688" s="869"/>
      <c r="J1688" s="1049"/>
      <c r="L1688" s="1088"/>
      <c r="M1688" s="1088"/>
      <c r="N1688" s="1088"/>
      <c r="O1688" s="1088"/>
    </row>
    <row r="1689" spans="1:15" ht="15" customHeight="1">
      <c r="A1689" s="1052" t="s">
        <v>359</v>
      </c>
      <c r="B1689" s="1089" t="s">
        <v>360</v>
      </c>
      <c r="C1689" s="1058" t="e">
        <f>VLOOKUP(B1688,'LƯƠNG KT'!$D$15:$U$94,3,0)</f>
        <v>#N/A</v>
      </c>
      <c r="D1689" s="1059" t="e">
        <f>+C1689*25000</f>
        <v>#N/A</v>
      </c>
      <c r="E1689" s="1060"/>
      <c r="F1689" s="1060"/>
      <c r="G1689" s="1052" t="s">
        <v>359</v>
      </c>
      <c r="H1689" s="1089" t="s">
        <v>360</v>
      </c>
      <c r="I1689" s="1058" t="e">
        <f>VLOOKUP(H1688,'LƯƠNG KT'!$D$15:$U$94,3,0)</f>
        <v>#N/A</v>
      </c>
      <c r="J1689" s="1059" t="e">
        <f>+I1689*25000</f>
        <v>#N/A</v>
      </c>
      <c r="K1689" s="1085"/>
      <c r="L1689" s="1085"/>
      <c r="M1689" s="1085"/>
      <c r="N1689" s="1085"/>
      <c r="O1689" s="1085"/>
    </row>
    <row r="1690" spans="1:15" ht="15" customHeight="1">
      <c r="A1690" s="1052" t="s">
        <v>361</v>
      </c>
      <c r="B1690" s="869" t="s">
        <v>362</v>
      </c>
      <c r="C1690" s="1058" t="e">
        <f>VLOOKUP(B1688,'LƯƠNG KT'!$D$15:$U$94,14,0)</f>
        <v>#N/A</v>
      </c>
      <c r="D1690" s="1059" t="e">
        <f>C1690*$L$4</f>
        <v>#N/A</v>
      </c>
      <c r="E1690" s="1061"/>
      <c r="F1690" s="1061"/>
      <c r="G1690" s="1052" t="s">
        <v>361</v>
      </c>
      <c r="H1690" s="869" t="s">
        <v>362</v>
      </c>
      <c r="I1690" s="1058" t="e">
        <f>VLOOKUP(H1688,'LƯƠNG KT'!$D$15:$U$94,14,0)</f>
        <v>#N/A</v>
      </c>
      <c r="J1690" s="1059" t="e">
        <f>I1690*$L$4</f>
        <v>#N/A</v>
      </c>
      <c r="K1690" s="1085"/>
      <c r="L1690" s="1085"/>
      <c r="M1690" s="1085"/>
      <c r="N1690" s="1085"/>
      <c r="O1690" s="1085"/>
    </row>
    <row r="1691" spans="1:15" ht="15" customHeight="1">
      <c r="A1691" s="1052" t="s">
        <v>364</v>
      </c>
      <c r="B1691" s="869" t="s">
        <v>365</v>
      </c>
      <c r="C1691" s="1058" t="e">
        <f>VLOOKUP(B1688,'LƯƠNG KT'!$D$15:$U$94,15,0)</f>
        <v>#N/A</v>
      </c>
      <c r="D1691" s="1059" t="e">
        <f>C1691*$L$5</f>
        <v>#N/A</v>
      </c>
      <c r="E1691" s="1061"/>
      <c r="F1691" s="1061"/>
      <c r="G1691" s="1052" t="s">
        <v>364</v>
      </c>
      <c r="H1691" s="869" t="s">
        <v>365</v>
      </c>
      <c r="I1691" s="1058" t="e">
        <f>VLOOKUP(H1688,'LƯƠNG KT'!$D$15:$U$94,15,0)</f>
        <v>#N/A</v>
      </c>
      <c r="J1691" s="1059" t="e">
        <f>I1691*$L$5</f>
        <v>#N/A</v>
      </c>
      <c r="K1691" s="1085"/>
      <c r="L1691" s="1085"/>
      <c r="M1691" s="1085"/>
      <c r="N1691" s="1085"/>
      <c r="O1691" s="1085"/>
    </row>
    <row r="1692" spans="1:15" ht="15" customHeight="1">
      <c r="A1692" s="1052" t="s">
        <v>367</v>
      </c>
      <c r="B1692" s="869"/>
      <c r="C1692" s="1058" t="e">
        <f>VLOOKUP(B1688,'LƯƠNG KT'!$D$15:$U$94,16,0)</f>
        <v>#N/A</v>
      </c>
      <c r="D1692" s="1059" t="e">
        <f>+C1692*$L$6</f>
        <v>#N/A</v>
      </c>
      <c r="E1692" s="1061"/>
      <c r="F1692" s="1061"/>
      <c r="G1692" s="1052" t="s">
        <v>367</v>
      </c>
      <c r="H1692" s="869"/>
      <c r="I1692" s="1058" t="e">
        <f>VLOOKUP(H1688,'LƯƠNG KT'!$D$15:$U$94,16,0)</f>
        <v>#N/A</v>
      </c>
      <c r="J1692" s="1059" t="e">
        <f>+I1692*$L$6</f>
        <v>#N/A</v>
      </c>
      <c r="K1692" s="1085"/>
      <c r="L1692" s="1085"/>
      <c r="M1692" s="1085"/>
      <c r="N1692" s="1085"/>
      <c r="O1692" s="1085"/>
    </row>
    <row r="1693" spans="1:15" ht="15" customHeight="1">
      <c r="A1693" s="1052" t="s">
        <v>371</v>
      </c>
      <c r="B1693" s="869" t="s">
        <v>372</v>
      </c>
      <c r="C1693" s="1058" t="e">
        <f>VLOOKUP(B1688,'LƯƠNG KT'!$D$15:$U$94,9,0)*$L$10</f>
        <v>#N/A</v>
      </c>
      <c r="D1693" s="1059" t="e">
        <f>+C1693*0.5*3000</f>
        <v>#N/A</v>
      </c>
      <c r="E1693" s="1061"/>
      <c r="F1693" s="1061"/>
      <c r="G1693" s="1052" t="s">
        <v>371</v>
      </c>
      <c r="H1693" s="869" t="s">
        <v>372</v>
      </c>
      <c r="I1693" s="1058" t="e">
        <f>VLOOKUP(H1688,'LƯƠNG KT'!$D$15:$U$94,9,0)*$L$10</f>
        <v>#N/A</v>
      </c>
      <c r="J1693" s="1059" t="e">
        <f>+I1693*0.5*3000</f>
        <v>#N/A</v>
      </c>
      <c r="K1693" s="1085"/>
      <c r="L1693" s="1085"/>
      <c r="M1693" s="1085"/>
      <c r="N1693" s="1085"/>
      <c r="O1693" s="1085"/>
    </row>
    <row r="1694" spans="1:15" ht="15" customHeight="1">
      <c r="A1694" s="1052" t="s">
        <v>374</v>
      </c>
      <c r="B1694" s="869" t="s">
        <v>375</v>
      </c>
      <c r="C1694" s="1058" t="e">
        <f>VLOOKUP(B1688,'LƯƠNG KT'!$D$15:$U$94,8,0)*$L$11</f>
        <v>#N/A</v>
      </c>
      <c r="D1694" s="1059" t="e">
        <f>VLOOKUP(B1688,'LƯƠNG KT'!$D$15:$U$94,13,0)-D1693</f>
        <v>#N/A</v>
      </c>
      <c r="E1694" s="1063"/>
      <c r="F1694" s="1061"/>
      <c r="G1694" s="1052" t="s">
        <v>374</v>
      </c>
      <c r="H1694" s="869" t="s">
        <v>375</v>
      </c>
      <c r="I1694" s="1058" t="e">
        <f>VLOOKUP(H1688,'LƯƠNG KT'!$D$15:$U$94,8,0)*$L$11</f>
        <v>#N/A</v>
      </c>
      <c r="J1694" s="1059" t="e">
        <f>VLOOKUP(H1688,'LƯƠNG KT'!$D$15:$U$94,13,0)-J1693</f>
        <v>#N/A</v>
      </c>
      <c r="K1694" s="1085"/>
      <c r="L1694" s="1085"/>
      <c r="M1694" s="1085"/>
      <c r="N1694" s="1085"/>
      <c r="O1694" s="1085"/>
    </row>
    <row r="1695" spans="1:15" ht="15" customHeight="1">
      <c r="A1695" s="1059" t="s">
        <v>377</v>
      </c>
      <c r="B1695" s="869" t="s">
        <v>378</v>
      </c>
      <c r="C1695" s="1058"/>
      <c r="D1695" s="1059"/>
      <c r="E1695" s="1065"/>
      <c r="F1695" s="1065"/>
      <c r="G1695" s="1059" t="s">
        <v>377</v>
      </c>
      <c r="H1695" s="869" t="s">
        <v>378</v>
      </c>
      <c r="I1695" s="1058"/>
      <c r="J1695" s="1059"/>
    </row>
    <row r="1696" spans="1:15" ht="15" customHeight="1">
      <c r="A1696" s="1066" t="s">
        <v>379</v>
      </c>
      <c r="B1696" s="869" t="s">
        <v>380</v>
      </c>
      <c r="C1696" s="1058"/>
      <c r="D1696" s="1059"/>
      <c r="E1696" s="1063"/>
      <c r="F1696" s="1065"/>
      <c r="G1696" s="1066" t="s">
        <v>379</v>
      </c>
      <c r="H1696" s="869" t="s">
        <v>380</v>
      </c>
      <c r="I1696" s="1058"/>
      <c r="J1696" s="1059"/>
    </row>
    <row r="1697" spans="1:15" ht="15" customHeight="1">
      <c r="A1697" s="1052" t="s">
        <v>381</v>
      </c>
      <c r="B1697" s="869" t="s">
        <v>382</v>
      </c>
      <c r="C1697" s="1058"/>
      <c r="D1697" s="1059">
        <f>D1696</f>
        <v>0</v>
      </c>
      <c r="E1697" s="1067"/>
      <c r="F1697" s="1051"/>
      <c r="G1697" s="1052" t="s">
        <v>381</v>
      </c>
      <c r="H1697" s="869" t="s">
        <v>382</v>
      </c>
      <c r="I1697" s="1058"/>
      <c r="J1697" s="1059">
        <f>J1696</f>
        <v>0</v>
      </c>
    </row>
    <row r="1698" spans="1:15" ht="15" customHeight="1">
      <c r="A1698" s="1068" t="s">
        <v>383</v>
      </c>
      <c r="B1698" s="1069" t="s">
        <v>384</v>
      </c>
      <c r="C1698" s="1070"/>
      <c r="D1698" s="1071" t="e">
        <f>SUM(D1689:D1694)-D1697</f>
        <v>#N/A</v>
      </c>
      <c r="E1698" s="1072"/>
      <c r="F1698" s="1073"/>
      <c r="G1698" s="1068" t="s">
        <v>383</v>
      </c>
      <c r="H1698" s="1069" t="s">
        <v>384</v>
      </c>
      <c r="I1698" s="1070"/>
      <c r="J1698" s="1071" t="e">
        <f>SUM(J1689:J1694)-J1697</f>
        <v>#N/A</v>
      </c>
    </row>
    <row r="1699" spans="1:15" ht="18.75" customHeight="1">
      <c r="A1699" s="1074"/>
      <c r="B1699" s="1075"/>
      <c r="C1699" s="1076"/>
      <c r="D1699" s="1077"/>
      <c r="E1699" s="1077"/>
      <c r="F1699" s="1078"/>
      <c r="G1699" s="1074"/>
      <c r="H1699" s="1075"/>
      <c r="I1699" s="1076"/>
      <c r="J1699" s="1077"/>
    </row>
    <row r="1700" spans="1:15" ht="18.75" customHeight="1">
      <c r="A1700" s="1075"/>
      <c r="B1700" s="1075"/>
      <c r="C1700" s="1079"/>
      <c r="D1700" s="1080"/>
      <c r="E1700" s="1075"/>
      <c r="F1700" s="1081"/>
      <c r="G1700" s="1075"/>
      <c r="H1700" s="1075"/>
      <c r="I1700" s="1079"/>
      <c r="J1700" s="1080"/>
    </row>
    <row r="1701" spans="1:15" ht="15" customHeight="1">
      <c r="A1701" s="2242" t="str">
        <f>$K$2</f>
        <v>THÁNG 09/2024</v>
      </c>
      <c r="B1701" s="2242"/>
      <c r="C1701" s="2242"/>
      <c r="D1701" s="2242"/>
      <c r="E1701" s="1050"/>
      <c r="F1701" s="1051"/>
      <c r="G1701" s="2242" t="str">
        <f>$K$2</f>
        <v>THÁNG 09/2024</v>
      </c>
      <c r="H1701" s="2242"/>
      <c r="I1701" s="2242"/>
      <c r="J1701" s="2242"/>
      <c r="K1701" s="624"/>
    </row>
    <row r="1702" spans="1:15" ht="15" customHeight="1">
      <c r="A1702" s="1052" t="s">
        <v>356</v>
      </c>
      <c r="B1702" s="1053" t="s">
        <v>128</v>
      </c>
      <c r="C1702" s="869"/>
      <c r="D1702" s="1049"/>
      <c r="E1702" s="1054"/>
      <c r="F1702" s="1055"/>
      <c r="G1702" s="1052" t="s">
        <v>356</v>
      </c>
      <c r="H1702" s="1053" t="s">
        <v>129</v>
      </c>
      <c r="I1702" s="869"/>
      <c r="J1702" s="1049"/>
      <c r="L1702" s="1088"/>
      <c r="M1702" s="1088"/>
      <c r="N1702" s="1088"/>
      <c r="O1702" s="1088"/>
    </row>
    <row r="1703" spans="1:15" ht="15" customHeight="1">
      <c r="A1703" s="1052" t="s">
        <v>359</v>
      </c>
      <c r="B1703" s="1089" t="s">
        <v>360</v>
      </c>
      <c r="C1703" s="1058" t="e">
        <f>VLOOKUP(B1702,'LƯƠNG KT'!$D$15:$U$94,3,0)</f>
        <v>#N/A</v>
      </c>
      <c r="D1703" s="1059" t="e">
        <f>+C1703*25000</f>
        <v>#N/A</v>
      </c>
      <c r="E1703" s="1060"/>
      <c r="F1703" s="1060"/>
      <c r="G1703" s="1052" t="s">
        <v>359</v>
      </c>
      <c r="H1703" s="1089" t="s">
        <v>360</v>
      </c>
      <c r="I1703" s="1058" t="e">
        <f>VLOOKUP(H1702,'LƯƠNG KT'!$D$15:$U$94,3,0)</f>
        <v>#N/A</v>
      </c>
      <c r="J1703" s="1059" t="e">
        <f>+I1703*25000</f>
        <v>#N/A</v>
      </c>
      <c r="K1703" s="1085"/>
      <c r="L1703" s="1085"/>
      <c r="M1703" s="1085"/>
      <c r="N1703" s="1085"/>
      <c r="O1703" s="1085"/>
    </row>
    <row r="1704" spans="1:15" ht="15" customHeight="1">
      <c r="A1704" s="1052" t="s">
        <v>361</v>
      </c>
      <c r="B1704" s="869" t="s">
        <v>362</v>
      </c>
      <c r="C1704" s="1058" t="e">
        <f>VLOOKUP(B1702,'LƯƠNG KT'!$D$15:$U$94,14,0)</f>
        <v>#N/A</v>
      </c>
      <c r="D1704" s="1059" t="e">
        <f>C1704*$L$4</f>
        <v>#N/A</v>
      </c>
      <c r="E1704" s="1061"/>
      <c r="F1704" s="1061"/>
      <c r="G1704" s="1052" t="s">
        <v>361</v>
      </c>
      <c r="H1704" s="869" t="s">
        <v>362</v>
      </c>
      <c r="I1704" s="1058" t="e">
        <f>VLOOKUP(H1702,'LƯƠNG KT'!$D$15:$U$94,14,0)</f>
        <v>#N/A</v>
      </c>
      <c r="J1704" s="1059" t="e">
        <f>I1704*$L$4</f>
        <v>#N/A</v>
      </c>
      <c r="K1704" s="1085"/>
      <c r="L1704" s="1085"/>
      <c r="M1704" s="1085"/>
      <c r="N1704" s="1085"/>
      <c r="O1704" s="1085"/>
    </row>
    <row r="1705" spans="1:15" ht="15" customHeight="1">
      <c r="A1705" s="1052" t="s">
        <v>364</v>
      </c>
      <c r="B1705" s="869" t="s">
        <v>365</v>
      </c>
      <c r="C1705" s="1058" t="e">
        <f>VLOOKUP(B1702,'LƯƠNG KT'!$D$15:$U$94,15,0)</f>
        <v>#N/A</v>
      </c>
      <c r="D1705" s="1059" t="e">
        <f>C1705*$L$5</f>
        <v>#N/A</v>
      </c>
      <c r="E1705" s="1061"/>
      <c r="F1705" s="1061"/>
      <c r="G1705" s="1052" t="s">
        <v>364</v>
      </c>
      <c r="H1705" s="869" t="s">
        <v>365</v>
      </c>
      <c r="I1705" s="1058" t="e">
        <f>VLOOKUP(H1702,'LƯƠNG KT'!$D$15:$U$94,15,0)</f>
        <v>#N/A</v>
      </c>
      <c r="J1705" s="1059" t="e">
        <f>I1705*$L$5</f>
        <v>#N/A</v>
      </c>
      <c r="K1705" s="1085"/>
      <c r="L1705" s="1085"/>
      <c r="M1705" s="1085"/>
      <c r="N1705" s="1085"/>
      <c r="O1705" s="1085"/>
    </row>
    <row r="1706" spans="1:15" ht="15" customHeight="1">
      <c r="A1706" s="1052" t="s">
        <v>367</v>
      </c>
      <c r="B1706" s="869"/>
      <c r="C1706" s="1058" t="e">
        <f>VLOOKUP(B1702,'LƯƠNG KT'!$D$15:$U$94,16,0)</f>
        <v>#N/A</v>
      </c>
      <c r="D1706" s="1059" t="e">
        <f>+C1706*$L$6</f>
        <v>#N/A</v>
      </c>
      <c r="E1706" s="1061"/>
      <c r="F1706" s="1061"/>
      <c r="G1706" s="1052" t="s">
        <v>367</v>
      </c>
      <c r="H1706" s="869"/>
      <c r="I1706" s="1058" t="e">
        <f>VLOOKUP(H1702,'LƯƠNG KT'!$D$15:$U$94,16,0)</f>
        <v>#N/A</v>
      </c>
      <c r="J1706" s="1059" t="e">
        <f>+I1706*$L$6</f>
        <v>#N/A</v>
      </c>
      <c r="K1706" s="1085"/>
      <c r="L1706" s="1085"/>
      <c r="M1706" s="1085"/>
      <c r="N1706" s="1085"/>
      <c r="O1706" s="1085"/>
    </row>
    <row r="1707" spans="1:15" ht="15" customHeight="1">
      <c r="A1707" s="1052" t="s">
        <v>371</v>
      </c>
      <c r="B1707" s="869" t="s">
        <v>372</v>
      </c>
      <c r="C1707" s="1058" t="e">
        <f>VLOOKUP(B1702,'LƯƠNG KT'!$D$15:$U$94,9,0)*$L$10</f>
        <v>#N/A</v>
      </c>
      <c r="D1707" s="1059" t="e">
        <f>+C1707*0.5*3000</f>
        <v>#N/A</v>
      </c>
      <c r="E1707" s="1061"/>
      <c r="F1707" s="1061"/>
      <c r="G1707" s="1052" t="s">
        <v>371</v>
      </c>
      <c r="H1707" s="869" t="s">
        <v>372</v>
      </c>
      <c r="I1707" s="1058" t="e">
        <f>VLOOKUP(H1702,'LƯƠNG KT'!$D$15:$U$94,9,0)*$L$10</f>
        <v>#N/A</v>
      </c>
      <c r="J1707" s="1059" t="e">
        <f>+I1707*0.5*3000</f>
        <v>#N/A</v>
      </c>
      <c r="K1707" s="1085"/>
      <c r="L1707" s="1085"/>
      <c r="M1707" s="1085"/>
      <c r="N1707" s="1085"/>
      <c r="O1707" s="1085"/>
    </row>
    <row r="1708" spans="1:15" ht="15" customHeight="1">
      <c r="A1708" s="1052" t="s">
        <v>374</v>
      </c>
      <c r="B1708" s="869" t="s">
        <v>375</v>
      </c>
      <c r="C1708" s="1058" t="e">
        <f>VLOOKUP(B1702,'LƯƠNG KT'!$D$15:$U$94,8,0)*$L$11</f>
        <v>#N/A</v>
      </c>
      <c r="D1708" s="1059" t="e">
        <f>VLOOKUP(B1702,'LƯƠNG KT'!$D$15:$U$94,13,0)-D1707</f>
        <v>#N/A</v>
      </c>
      <c r="E1708" s="1063"/>
      <c r="F1708" s="1061"/>
      <c r="G1708" s="1052" t="s">
        <v>374</v>
      </c>
      <c r="H1708" s="869" t="s">
        <v>375</v>
      </c>
      <c r="I1708" s="1058" t="e">
        <f>VLOOKUP(H1702,'LƯƠNG KT'!$D$15:$U$94,8,0)*$L$11</f>
        <v>#N/A</v>
      </c>
      <c r="J1708" s="1059" t="e">
        <f>VLOOKUP(H1702,'LƯƠNG KT'!$D$15:$U$94,13,0)-J1707</f>
        <v>#N/A</v>
      </c>
      <c r="K1708" s="1085"/>
      <c r="L1708" s="1085"/>
      <c r="M1708" s="1085"/>
      <c r="N1708" s="1085"/>
      <c r="O1708" s="1085"/>
    </row>
    <row r="1709" spans="1:15" ht="15" customHeight="1">
      <c r="A1709" s="1059" t="s">
        <v>377</v>
      </c>
      <c r="B1709" s="869" t="s">
        <v>378</v>
      </c>
      <c r="C1709" s="1058"/>
      <c r="D1709" s="1059"/>
      <c r="E1709" s="1065"/>
      <c r="F1709" s="1065"/>
      <c r="G1709" s="1059" t="s">
        <v>377</v>
      </c>
      <c r="H1709" s="869" t="s">
        <v>378</v>
      </c>
      <c r="I1709" s="1058"/>
      <c r="J1709" s="1059"/>
    </row>
    <row r="1710" spans="1:15" ht="15" customHeight="1">
      <c r="A1710" s="1066" t="s">
        <v>379</v>
      </c>
      <c r="B1710" s="869" t="s">
        <v>380</v>
      </c>
      <c r="C1710" s="1058"/>
      <c r="D1710" s="1059"/>
      <c r="E1710" s="1063"/>
      <c r="F1710" s="1065"/>
      <c r="G1710" s="1066" t="s">
        <v>379</v>
      </c>
      <c r="H1710" s="869" t="s">
        <v>380</v>
      </c>
      <c r="I1710" s="1058"/>
      <c r="J1710" s="1059"/>
    </row>
    <row r="1711" spans="1:15" ht="15" customHeight="1">
      <c r="A1711" s="1052" t="s">
        <v>381</v>
      </c>
      <c r="B1711" s="869" t="s">
        <v>382</v>
      </c>
      <c r="C1711" s="1058"/>
      <c r="D1711" s="1059">
        <f>D1710</f>
        <v>0</v>
      </c>
      <c r="E1711" s="1067"/>
      <c r="F1711" s="1051"/>
      <c r="G1711" s="1052" t="s">
        <v>381</v>
      </c>
      <c r="H1711" s="869" t="s">
        <v>382</v>
      </c>
      <c r="I1711" s="1058"/>
      <c r="J1711" s="1059">
        <f>J1710</f>
        <v>0</v>
      </c>
    </row>
    <row r="1712" spans="1:15" ht="15" customHeight="1">
      <c r="A1712" s="1068" t="s">
        <v>383</v>
      </c>
      <c r="B1712" s="1069" t="s">
        <v>384</v>
      </c>
      <c r="C1712" s="1070"/>
      <c r="D1712" s="1071" t="e">
        <f>SUM(D1703:D1708)-D1711</f>
        <v>#N/A</v>
      </c>
      <c r="E1712" s="1072"/>
      <c r="F1712" s="1073"/>
      <c r="G1712" s="1068" t="s">
        <v>383</v>
      </c>
      <c r="H1712" s="1069" t="s">
        <v>384</v>
      </c>
      <c r="I1712" s="1070"/>
      <c r="J1712" s="1071" t="e">
        <f>SUM(J1703:J1708)-J1711</f>
        <v>#N/A</v>
      </c>
    </row>
    <row r="1713" spans="1:15" ht="18.75" customHeight="1">
      <c r="A1713" s="1074"/>
      <c r="B1713" s="1075"/>
      <c r="C1713" s="1076"/>
      <c r="D1713" s="1077"/>
      <c r="E1713" s="1077"/>
      <c r="F1713" s="1078"/>
      <c r="G1713" s="1074"/>
      <c r="H1713" s="1075"/>
      <c r="I1713" s="1076"/>
      <c r="J1713" s="1077"/>
    </row>
    <row r="1714" spans="1:15" ht="18.75" customHeight="1">
      <c r="A1714" s="1075"/>
      <c r="B1714" s="1075"/>
      <c r="C1714" s="1079"/>
      <c r="D1714" s="1080"/>
      <c r="E1714" s="1075"/>
      <c r="F1714" s="1081"/>
      <c r="G1714" s="1075"/>
      <c r="H1714" s="1075"/>
      <c r="I1714" s="1079"/>
      <c r="J1714" s="1080"/>
    </row>
    <row r="1715" spans="1:15" ht="15" customHeight="1">
      <c r="A1715" s="2242" t="str">
        <f>$K$2</f>
        <v>THÁNG 09/2024</v>
      </c>
      <c r="B1715" s="2242"/>
      <c r="C1715" s="2242"/>
      <c r="D1715" s="2242"/>
      <c r="E1715" s="1050"/>
      <c r="F1715" s="1051"/>
      <c r="G1715" s="2242" t="str">
        <f>$K$2</f>
        <v>THÁNG 09/2024</v>
      </c>
      <c r="H1715" s="2242"/>
      <c r="I1715" s="2242"/>
      <c r="J1715" s="2242"/>
      <c r="K1715" s="624"/>
    </row>
    <row r="1716" spans="1:15" ht="15" customHeight="1">
      <c r="A1716" s="1052" t="s">
        <v>356</v>
      </c>
      <c r="B1716" s="1053" t="s">
        <v>130</v>
      </c>
      <c r="C1716" s="869"/>
      <c r="D1716" s="1049"/>
      <c r="E1716" s="1054"/>
      <c r="F1716" s="1055"/>
      <c r="G1716" s="1052" t="s">
        <v>356</v>
      </c>
      <c r="H1716" s="1053" t="s">
        <v>131</v>
      </c>
      <c r="I1716" s="869"/>
      <c r="J1716" s="1049"/>
      <c r="L1716" s="1088"/>
      <c r="M1716" s="1088"/>
      <c r="N1716" s="1088"/>
      <c r="O1716" s="1088"/>
    </row>
    <row r="1717" spans="1:15" ht="15" customHeight="1">
      <c r="A1717" s="1052" t="s">
        <v>359</v>
      </c>
      <c r="B1717" s="1089" t="s">
        <v>360</v>
      </c>
      <c r="C1717" s="1058" t="e">
        <f>VLOOKUP(B1716,'LƯƠNG KT'!$D$15:$U$94,3,0)</f>
        <v>#N/A</v>
      </c>
      <c r="D1717" s="1059" t="e">
        <f>+C1717*25000</f>
        <v>#N/A</v>
      </c>
      <c r="E1717" s="1060"/>
      <c r="F1717" s="1060"/>
      <c r="G1717" s="1052" t="s">
        <v>359</v>
      </c>
      <c r="H1717" s="1089" t="s">
        <v>360</v>
      </c>
      <c r="I1717" s="1058" t="e">
        <f>VLOOKUP(H1716,'LƯƠNG KT'!$D$15:$U$94,3,0)</f>
        <v>#N/A</v>
      </c>
      <c r="J1717" s="1059" t="e">
        <f>+I1717*25000</f>
        <v>#N/A</v>
      </c>
      <c r="K1717" s="1085"/>
      <c r="L1717" s="1085"/>
      <c r="M1717" s="1085"/>
      <c r="N1717" s="1085"/>
      <c r="O1717" s="1085"/>
    </row>
    <row r="1718" spans="1:15" ht="15" customHeight="1">
      <c r="A1718" s="1052" t="s">
        <v>361</v>
      </c>
      <c r="B1718" s="869" t="s">
        <v>362</v>
      </c>
      <c r="C1718" s="1058" t="e">
        <f>VLOOKUP(B1716,'LƯƠNG KT'!$D$15:$U$94,14,0)</f>
        <v>#N/A</v>
      </c>
      <c r="D1718" s="1059" t="e">
        <f>C1718*$L$4</f>
        <v>#N/A</v>
      </c>
      <c r="E1718" s="1061"/>
      <c r="F1718" s="1061"/>
      <c r="G1718" s="1052" t="s">
        <v>361</v>
      </c>
      <c r="H1718" s="869" t="s">
        <v>362</v>
      </c>
      <c r="I1718" s="1058" t="e">
        <f>VLOOKUP(H1716,'LƯƠNG KT'!$D$15:$U$94,14,0)</f>
        <v>#N/A</v>
      </c>
      <c r="J1718" s="1059" t="e">
        <f>I1718*$L$4</f>
        <v>#N/A</v>
      </c>
      <c r="K1718" s="1085"/>
      <c r="L1718" s="1085"/>
      <c r="M1718" s="1085"/>
      <c r="N1718" s="1085"/>
      <c r="O1718" s="1085"/>
    </row>
    <row r="1719" spans="1:15" ht="15" customHeight="1">
      <c r="A1719" s="1052" t="s">
        <v>364</v>
      </c>
      <c r="B1719" s="869" t="s">
        <v>365</v>
      </c>
      <c r="C1719" s="1058" t="e">
        <f>VLOOKUP(B1716,'LƯƠNG KT'!$D$15:$U$94,15,0)</f>
        <v>#N/A</v>
      </c>
      <c r="D1719" s="1059" t="e">
        <f>C1719*$L$5</f>
        <v>#N/A</v>
      </c>
      <c r="E1719" s="1061"/>
      <c r="F1719" s="1061"/>
      <c r="G1719" s="1052" t="s">
        <v>364</v>
      </c>
      <c r="H1719" s="869" t="s">
        <v>365</v>
      </c>
      <c r="I1719" s="1058" t="e">
        <f>VLOOKUP(H1716,'LƯƠNG KT'!$D$15:$U$94,15,0)</f>
        <v>#N/A</v>
      </c>
      <c r="J1719" s="1059" t="e">
        <f>I1719*$L$5</f>
        <v>#N/A</v>
      </c>
      <c r="K1719" s="1085"/>
      <c r="L1719" s="1085"/>
      <c r="M1719" s="1085"/>
      <c r="N1719" s="1085"/>
      <c r="O1719" s="1085"/>
    </row>
    <row r="1720" spans="1:15" ht="15" customHeight="1">
      <c r="A1720" s="1052" t="s">
        <v>367</v>
      </c>
      <c r="B1720" s="869"/>
      <c r="C1720" s="1058" t="e">
        <f>VLOOKUP(B1716,'LƯƠNG KT'!$D$15:$U$94,16,0)</f>
        <v>#N/A</v>
      </c>
      <c r="D1720" s="1059" t="e">
        <f>+C1720*$L$6</f>
        <v>#N/A</v>
      </c>
      <c r="E1720" s="1061"/>
      <c r="F1720" s="1061"/>
      <c r="G1720" s="1052" t="s">
        <v>367</v>
      </c>
      <c r="H1720" s="869"/>
      <c r="I1720" s="1058" t="e">
        <f>VLOOKUP(H1716,'LƯƠNG KT'!$D$15:$U$94,16,0)</f>
        <v>#N/A</v>
      </c>
      <c r="J1720" s="1059" t="e">
        <f>+I1720*$L$6</f>
        <v>#N/A</v>
      </c>
      <c r="K1720" s="1085"/>
      <c r="L1720" s="1085"/>
      <c r="M1720" s="1085"/>
      <c r="N1720" s="1085"/>
      <c r="O1720" s="1085"/>
    </row>
    <row r="1721" spans="1:15" ht="15" customHeight="1">
      <c r="A1721" s="1052" t="s">
        <v>371</v>
      </c>
      <c r="B1721" s="869" t="s">
        <v>372</v>
      </c>
      <c r="C1721" s="1058" t="e">
        <f>VLOOKUP(B1716,'LƯƠNG KT'!$D$15:$U$94,9,0)*$L$10</f>
        <v>#N/A</v>
      </c>
      <c r="D1721" s="1059" t="e">
        <f>+C1721*0.5*3000</f>
        <v>#N/A</v>
      </c>
      <c r="E1721" s="1061"/>
      <c r="F1721" s="1061"/>
      <c r="G1721" s="1052" t="s">
        <v>371</v>
      </c>
      <c r="H1721" s="869" t="s">
        <v>372</v>
      </c>
      <c r="I1721" s="1058" t="e">
        <f>VLOOKUP(H1716,'LƯƠNG KT'!$D$15:$U$94,9,0)*$L$10</f>
        <v>#N/A</v>
      </c>
      <c r="J1721" s="1059" t="e">
        <f>+I1721*0.5*3000</f>
        <v>#N/A</v>
      </c>
      <c r="K1721" s="1085"/>
      <c r="L1721" s="1085"/>
      <c r="M1721" s="1085"/>
      <c r="N1721" s="1085"/>
      <c r="O1721" s="1085"/>
    </row>
    <row r="1722" spans="1:15" ht="15" customHeight="1">
      <c r="A1722" s="1052" t="s">
        <v>374</v>
      </c>
      <c r="B1722" s="869" t="s">
        <v>375</v>
      </c>
      <c r="C1722" s="1058" t="e">
        <f>VLOOKUP(B1716,'LƯƠNG KT'!$D$15:$U$94,8,0)*$L$11</f>
        <v>#N/A</v>
      </c>
      <c r="D1722" s="1059" t="e">
        <f>VLOOKUP(B1716,'LƯƠNG KT'!$D$15:$U$94,13,0)-D1721</f>
        <v>#N/A</v>
      </c>
      <c r="E1722" s="1063"/>
      <c r="F1722" s="1061"/>
      <c r="G1722" s="1052" t="s">
        <v>374</v>
      </c>
      <c r="H1722" s="869" t="s">
        <v>375</v>
      </c>
      <c r="I1722" s="1058" t="e">
        <f>VLOOKUP(H1716,'LƯƠNG KT'!$D$15:$U$94,8,0)*$L$11</f>
        <v>#N/A</v>
      </c>
      <c r="J1722" s="1059" t="e">
        <f>VLOOKUP(H1716,'LƯƠNG KT'!$D$15:$U$94,13,0)-J1721</f>
        <v>#N/A</v>
      </c>
      <c r="K1722" s="1085"/>
      <c r="L1722" s="1085"/>
      <c r="M1722" s="1085"/>
      <c r="N1722" s="1085"/>
      <c r="O1722" s="1085"/>
    </row>
    <row r="1723" spans="1:15" ht="15" customHeight="1">
      <c r="A1723" s="1059" t="s">
        <v>377</v>
      </c>
      <c r="B1723" s="869" t="s">
        <v>378</v>
      </c>
      <c r="C1723" s="1058"/>
      <c r="D1723" s="1059"/>
      <c r="E1723" s="1065"/>
      <c r="F1723" s="1065"/>
      <c r="G1723" s="1059" t="s">
        <v>377</v>
      </c>
      <c r="H1723" s="869" t="s">
        <v>378</v>
      </c>
      <c r="I1723" s="1058"/>
      <c r="J1723" s="1059"/>
    </row>
    <row r="1724" spans="1:15" ht="15" customHeight="1">
      <c r="A1724" s="1066" t="s">
        <v>379</v>
      </c>
      <c r="B1724" s="869" t="s">
        <v>380</v>
      </c>
      <c r="C1724" s="1058"/>
      <c r="D1724" s="1059"/>
      <c r="E1724" s="1063"/>
      <c r="F1724" s="1065"/>
      <c r="G1724" s="1066" t="s">
        <v>379</v>
      </c>
      <c r="H1724" s="869" t="s">
        <v>380</v>
      </c>
      <c r="I1724" s="1058"/>
      <c r="J1724" s="1059"/>
    </row>
    <row r="1725" spans="1:15" ht="15" customHeight="1">
      <c r="A1725" s="1052" t="s">
        <v>381</v>
      </c>
      <c r="B1725" s="869" t="s">
        <v>382</v>
      </c>
      <c r="C1725" s="1058"/>
      <c r="D1725" s="1059">
        <f>D1724</f>
        <v>0</v>
      </c>
      <c r="E1725" s="1067"/>
      <c r="F1725" s="1051"/>
      <c r="G1725" s="1052" t="s">
        <v>381</v>
      </c>
      <c r="H1725" s="869" t="s">
        <v>382</v>
      </c>
      <c r="I1725" s="1058"/>
      <c r="J1725" s="1059">
        <f>J1724</f>
        <v>0</v>
      </c>
    </row>
    <row r="1726" spans="1:15" ht="15" customHeight="1">
      <c r="A1726" s="1068" t="s">
        <v>383</v>
      </c>
      <c r="B1726" s="1069" t="s">
        <v>384</v>
      </c>
      <c r="C1726" s="1070"/>
      <c r="D1726" s="1071" t="e">
        <f>SUM(D1717:D1722)-D1725</f>
        <v>#N/A</v>
      </c>
      <c r="E1726" s="1072"/>
      <c r="F1726" s="1073"/>
      <c r="G1726" s="1068" t="s">
        <v>383</v>
      </c>
      <c r="H1726" s="1069" t="s">
        <v>384</v>
      </c>
      <c r="I1726" s="1070"/>
      <c r="J1726" s="1071" t="e">
        <f>SUM(J1717:J1722)-J1725</f>
        <v>#N/A</v>
      </c>
    </row>
    <row r="1727" spans="1:15" ht="15.75" customHeight="1">
      <c r="A1727" s="1074"/>
      <c r="B1727" s="1075"/>
      <c r="C1727" s="1076"/>
      <c r="D1727" s="1077"/>
      <c r="E1727" s="1077"/>
      <c r="F1727" s="1078"/>
      <c r="G1727" s="1074"/>
      <c r="H1727" s="1075"/>
      <c r="I1727" s="1076"/>
      <c r="J1727" s="1077"/>
    </row>
    <row r="1729" spans="1:15" ht="12" customHeight="1">
      <c r="A1729" s="2243"/>
      <c r="B1729" s="2243"/>
      <c r="C1729" s="2243"/>
      <c r="D1729" s="2243"/>
      <c r="E1729" s="2243"/>
      <c r="F1729" s="2243"/>
      <c r="G1729" s="2243"/>
      <c r="H1729" s="2243"/>
      <c r="I1729" s="2243"/>
      <c r="J1729" s="2243"/>
    </row>
    <row r="1730" spans="1:15" ht="15" customHeight="1">
      <c r="A1730" s="2242" t="str">
        <f>$K$2</f>
        <v>THÁNG 09/2024</v>
      </c>
      <c r="B1730" s="2242"/>
      <c r="C1730" s="2242"/>
      <c r="D1730" s="2242"/>
      <c r="E1730" s="1050"/>
      <c r="F1730" s="1051"/>
      <c r="G1730" s="2242" t="str">
        <f>$K$2</f>
        <v>THÁNG 09/2024</v>
      </c>
      <c r="H1730" s="2242"/>
      <c r="I1730" s="2242"/>
      <c r="J1730" s="2242"/>
      <c r="K1730" s="624"/>
    </row>
    <row r="1731" spans="1:15" ht="15" customHeight="1">
      <c r="A1731" s="1052" t="s">
        <v>356</v>
      </c>
      <c r="B1731" s="1053" t="s">
        <v>132</v>
      </c>
      <c r="C1731" s="869"/>
      <c r="D1731" s="1049"/>
      <c r="E1731" s="1054"/>
      <c r="F1731" s="1055"/>
      <c r="G1731" s="1052" t="s">
        <v>356</v>
      </c>
      <c r="H1731" s="1053" t="s">
        <v>133</v>
      </c>
      <c r="I1731" s="869"/>
      <c r="J1731" s="1049"/>
      <c r="L1731" s="1088"/>
      <c r="M1731" s="1088"/>
      <c r="N1731" s="1088"/>
      <c r="O1731" s="1088"/>
    </row>
    <row r="1732" spans="1:15" ht="15" customHeight="1">
      <c r="A1732" s="1052" t="s">
        <v>359</v>
      </c>
      <c r="B1732" s="1089" t="s">
        <v>360</v>
      </c>
      <c r="C1732" s="1058" t="e">
        <f>VLOOKUP(B1731,'LƯƠNG KT'!$D$15:$U$94,3,0)</f>
        <v>#N/A</v>
      </c>
      <c r="D1732" s="1059" t="e">
        <f>+C1732*25000</f>
        <v>#N/A</v>
      </c>
      <c r="E1732" s="1060"/>
      <c r="F1732" s="1060"/>
      <c r="G1732" s="1052" t="s">
        <v>359</v>
      </c>
      <c r="H1732" s="1089" t="s">
        <v>360</v>
      </c>
      <c r="I1732" s="1058" t="e">
        <f>VLOOKUP(H1731,'LƯƠNG KT'!$D$15:$U$94,3,0)</f>
        <v>#N/A</v>
      </c>
      <c r="J1732" s="1059" t="e">
        <f>+I1732*25000</f>
        <v>#N/A</v>
      </c>
      <c r="K1732" s="1084"/>
      <c r="L1732" s="1085"/>
      <c r="M1732" s="1085"/>
      <c r="N1732" s="1085"/>
      <c r="O1732" s="1085"/>
    </row>
    <row r="1733" spans="1:15" ht="15" customHeight="1">
      <c r="A1733" s="1052" t="s">
        <v>361</v>
      </c>
      <c r="B1733" s="869" t="s">
        <v>362</v>
      </c>
      <c r="C1733" s="1058" t="e">
        <f>VLOOKUP(B1731,'LƯƠNG KT'!$D$15:$U$94,14,0)</f>
        <v>#N/A</v>
      </c>
      <c r="D1733" s="1059" t="e">
        <f>C1733*$L$4</f>
        <v>#N/A</v>
      </c>
      <c r="E1733" s="1061"/>
      <c r="F1733" s="1061"/>
      <c r="G1733" s="1052" t="s">
        <v>361</v>
      </c>
      <c r="H1733" s="869" t="s">
        <v>362</v>
      </c>
      <c r="I1733" s="1058" t="e">
        <f>VLOOKUP(H1731,'LƯƠNG KT'!$D$15:$U$94,14,0)</f>
        <v>#N/A</v>
      </c>
      <c r="J1733" s="1059" t="e">
        <f>I1733*$L$4</f>
        <v>#N/A</v>
      </c>
      <c r="K1733" s="1084"/>
      <c r="L1733" s="1085"/>
      <c r="M1733" s="1085"/>
      <c r="N1733" s="1085"/>
      <c r="O1733" s="1085"/>
    </row>
    <row r="1734" spans="1:15" ht="15" customHeight="1">
      <c r="A1734" s="1052" t="s">
        <v>364</v>
      </c>
      <c r="B1734" s="869" t="s">
        <v>365</v>
      </c>
      <c r="C1734" s="1058" t="e">
        <f>VLOOKUP(B1731,'LƯƠNG KT'!$D$15:$U$94,15,0)</f>
        <v>#N/A</v>
      </c>
      <c r="D1734" s="1059" t="e">
        <f>C1734*$L$5</f>
        <v>#N/A</v>
      </c>
      <c r="E1734" s="1061"/>
      <c r="F1734" s="1061"/>
      <c r="G1734" s="1052" t="s">
        <v>364</v>
      </c>
      <c r="H1734" s="869" t="s">
        <v>365</v>
      </c>
      <c r="I1734" s="1058" t="e">
        <f>VLOOKUP(H1731,'LƯƠNG KT'!$D$15:$U$94,15,0)</f>
        <v>#N/A</v>
      </c>
      <c r="J1734" s="1059" t="e">
        <f>I1734*$L$5</f>
        <v>#N/A</v>
      </c>
      <c r="K1734" s="1084"/>
      <c r="L1734" s="1085"/>
      <c r="M1734" s="1085"/>
      <c r="N1734" s="1085"/>
      <c r="O1734" s="1085"/>
    </row>
    <row r="1735" spans="1:15" ht="15" customHeight="1">
      <c r="A1735" s="1052" t="s">
        <v>367</v>
      </c>
      <c r="B1735" s="869"/>
      <c r="C1735" s="1058" t="e">
        <f>VLOOKUP(B1731,'LƯƠNG KT'!$D$15:$U$94,16,0)</f>
        <v>#N/A</v>
      </c>
      <c r="D1735" s="1059" t="e">
        <f>+C1735*$L$6</f>
        <v>#N/A</v>
      </c>
      <c r="E1735" s="1061"/>
      <c r="F1735" s="1061"/>
      <c r="G1735" s="1052" t="s">
        <v>367</v>
      </c>
      <c r="H1735" s="869"/>
      <c r="I1735" s="1058" t="e">
        <f>VLOOKUP(H1731,'LƯƠNG KT'!$D$15:$U$94,16,0)</f>
        <v>#N/A</v>
      </c>
      <c r="J1735" s="1059" t="e">
        <f>+I1735*$L$6</f>
        <v>#N/A</v>
      </c>
      <c r="K1735" s="1085"/>
      <c r="L1735" s="1085"/>
      <c r="M1735" s="1085"/>
      <c r="N1735" s="1085"/>
      <c r="O1735" s="1085"/>
    </row>
    <row r="1736" spans="1:15" ht="15" customHeight="1">
      <c r="A1736" s="1052" t="s">
        <v>371</v>
      </c>
      <c r="B1736" s="869" t="s">
        <v>372</v>
      </c>
      <c r="C1736" s="1058" t="e">
        <f>VLOOKUP(B1731,'LƯƠNG KT'!$D$15:$U$94,9,0)*$L$10</f>
        <v>#N/A</v>
      </c>
      <c r="D1736" s="1059" t="e">
        <f>+C1736*0.5*3000</f>
        <v>#N/A</v>
      </c>
      <c r="E1736" s="1061"/>
      <c r="F1736" s="1061"/>
      <c r="G1736" s="1052" t="s">
        <v>371</v>
      </c>
      <c r="H1736" s="869" t="s">
        <v>372</v>
      </c>
      <c r="I1736" s="1058" t="e">
        <f>VLOOKUP(H1731,'LƯƠNG KT'!$D$15:$U$94,9,0)*$L$10</f>
        <v>#N/A</v>
      </c>
      <c r="J1736" s="1059" t="e">
        <f>+I1736*0.5*3000</f>
        <v>#N/A</v>
      </c>
      <c r="K1736" s="1085"/>
      <c r="L1736" s="1085"/>
      <c r="M1736" s="1085"/>
      <c r="N1736" s="1085"/>
      <c r="O1736" s="1085"/>
    </row>
    <row r="1737" spans="1:15" ht="15" customHeight="1">
      <c r="A1737" s="1052" t="s">
        <v>374</v>
      </c>
      <c r="B1737" s="869" t="s">
        <v>375</v>
      </c>
      <c r="C1737" s="1058" t="e">
        <f>VLOOKUP(B1731,'LƯƠNG KT'!$D$15:$U$94,8,0)*$L$11</f>
        <v>#N/A</v>
      </c>
      <c r="D1737" s="1059" t="e">
        <f>VLOOKUP(B1731,'LƯƠNG KT'!$D$15:$U$94,13,0)-D1736</f>
        <v>#N/A</v>
      </c>
      <c r="E1737" s="1063"/>
      <c r="F1737" s="1061"/>
      <c r="G1737" s="1052" t="s">
        <v>374</v>
      </c>
      <c r="H1737" s="869" t="s">
        <v>375</v>
      </c>
      <c r="I1737" s="1058" t="e">
        <f>VLOOKUP(H1731,'LƯƠNG KT'!$D$15:$U$94,8,0)*$L$11</f>
        <v>#N/A</v>
      </c>
      <c r="J1737" s="1059" t="e">
        <f>VLOOKUP(H1731,'LƯƠNG KT'!$D$15:$U$94,13,0)-J1736</f>
        <v>#N/A</v>
      </c>
      <c r="K1737" s="1085"/>
      <c r="L1737" s="1085"/>
      <c r="M1737" s="1085"/>
      <c r="N1737" s="1085"/>
      <c r="O1737" s="1085"/>
    </row>
    <row r="1738" spans="1:15" ht="15" customHeight="1">
      <c r="A1738" s="1059" t="s">
        <v>377</v>
      </c>
      <c r="B1738" s="869" t="s">
        <v>378</v>
      </c>
      <c r="C1738" s="1058"/>
      <c r="D1738" s="1059"/>
      <c r="E1738" s="1065"/>
      <c r="F1738" s="1065"/>
      <c r="G1738" s="1059" t="s">
        <v>377</v>
      </c>
      <c r="H1738" s="869" t="s">
        <v>378</v>
      </c>
      <c r="I1738" s="1058"/>
      <c r="J1738" s="1059"/>
    </row>
    <row r="1739" spans="1:15" ht="15" customHeight="1">
      <c r="A1739" s="1066" t="s">
        <v>379</v>
      </c>
      <c r="B1739" s="869" t="s">
        <v>380</v>
      </c>
      <c r="C1739" s="1058"/>
      <c r="D1739" s="1059"/>
      <c r="E1739" s="1063"/>
      <c r="F1739" s="1065"/>
      <c r="G1739" s="1066" t="s">
        <v>379</v>
      </c>
      <c r="H1739" s="869" t="s">
        <v>380</v>
      </c>
      <c r="I1739" s="1058"/>
      <c r="J1739" s="1059"/>
    </row>
    <row r="1740" spans="1:15" ht="15" customHeight="1">
      <c r="A1740" s="1052" t="s">
        <v>381</v>
      </c>
      <c r="B1740" s="869" t="s">
        <v>382</v>
      </c>
      <c r="C1740" s="1058"/>
      <c r="D1740" s="1059">
        <f>D1739</f>
        <v>0</v>
      </c>
      <c r="E1740" s="1067"/>
      <c r="F1740" s="1051"/>
      <c r="G1740" s="1052" t="s">
        <v>381</v>
      </c>
      <c r="H1740" s="869" t="s">
        <v>382</v>
      </c>
      <c r="I1740" s="1058"/>
      <c r="J1740" s="1059">
        <f>J1739</f>
        <v>0</v>
      </c>
    </row>
    <row r="1741" spans="1:15" ht="15" customHeight="1">
      <c r="A1741" s="1068" t="s">
        <v>383</v>
      </c>
      <c r="B1741" s="1069" t="s">
        <v>384</v>
      </c>
      <c r="C1741" s="1070"/>
      <c r="D1741" s="1071" t="e">
        <f>SUM(D1732:D1737)-D1740</f>
        <v>#N/A</v>
      </c>
      <c r="E1741" s="1072"/>
      <c r="F1741" s="1073"/>
      <c r="G1741" s="1068" t="s">
        <v>383</v>
      </c>
      <c r="H1741" s="1069" t="s">
        <v>384</v>
      </c>
      <c r="I1741" s="1070"/>
      <c r="J1741" s="1071" t="e">
        <f>SUM(J1732:J1737)-J1740</f>
        <v>#N/A</v>
      </c>
    </row>
    <row r="1742" spans="1:15" ht="12.6" customHeight="1">
      <c r="A1742" s="1074"/>
      <c r="B1742" s="1075"/>
      <c r="C1742" s="1076"/>
      <c r="D1742" s="1077"/>
      <c r="E1742" s="1077"/>
      <c r="F1742" s="1078"/>
      <c r="G1742" s="1074"/>
      <c r="H1742" s="1075"/>
      <c r="I1742" s="1076"/>
      <c r="J1742" s="1077"/>
    </row>
    <row r="1743" spans="1:15" ht="12.6" customHeight="1">
      <c r="A1743" s="1075"/>
      <c r="B1743" s="1075"/>
      <c r="C1743" s="1079"/>
      <c r="D1743" s="1080"/>
      <c r="E1743" s="1075"/>
      <c r="F1743" s="1081"/>
      <c r="G1743" s="1075"/>
      <c r="H1743" s="1075"/>
      <c r="I1743" s="1079"/>
      <c r="J1743" s="1080"/>
    </row>
    <row r="1744" spans="1:15" ht="15" customHeight="1">
      <c r="A1744" s="2242" t="str">
        <f>$K$2</f>
        <v>THÁNG 09/2024</v>
      </c>
      <c r="B1744" s="2242"/>
      <c r="C1744" s="2242"/>
      <c r="D1744" s="2242"/>
      <c r="E1744" s="1050"/>
      <c r="F1744" s="1051"/>
      <c r="G1744" s="2242" t="str">
        <f>$K$2</f>
        <v>THÁNG 09/2024</v>
      </c>
      <c r="H1744" s="2242"/>
      <c r="I1744" s="2242"/>
      <c r="J1744" s="2242"/>
      <c r="K1744" s="624"/>
    </row>
    <row r="1745" spans="1:15" ht="15" customHeight="1">
      <c r="A1745" s="1052" t="s">
        <v>356</v>
      </c>
      <c r="B1745" s="1053" t="s">
        <v>134</v>
      </c>
      <c r="C1745" s="869"/>
      <c r="D1745" s="1049"/>
      <c r="E1745" s="1054"/>
      <c r="F1745" s="1055"/>
      <c r="G1745" s="1052" t="s">
        <v>356</v>
      </c>
      <c r="H1745" s="1053" t="s">
        <v>135</v>
      </c>
      <c r="I1745" s="869"/>
      <c r="J1745" s="1049"/>
      <c r="L1745" s="1088"/>
      <c r="M1745" s="1088"/>
      <c r="N1745" s="1088"/>
      <c r="O1745" s="1088"/>
    </row>
    <row r="1746" spans="1:15" ht="15" customHeight="1">
      <c r="A1746" s="1052" t="s">
        <v>359</v>
      </c>
      <c r="B1746" s="1089" t="s">
        <v>360</v>
      </c>
      <c r="C1746" s="1058" t="e">
        <f>VLOOKUP(B1745,'LƯƠNG KT'!$D$15:$U$94,3,0)</f>
        <v>#N/A</v>
      </c>
      <c r="D1746" s="1059" t="e">
        <f>+C1746*25000</f>
        <v>#N/A</v>
      </c>
      <c r="E1746" s="1060"/>
      <c r="F1746" s="1060"/>
      <c r="G1746" s="1052" t="s">
        <v>359</v>
      </c>
      <c r="H1746" s="1089" t="s">
        <v>360</v>
      </c>
      <c r="I1746" s="1058" t="e">
        <f>VLOOKUP(H1745,'LƯƠNG KT'!$D$15:$U$94,3,0)</f>
        <v>#N/A</v>
      </c>
      <c r="J1746" s="1059" t="e">
        <f>+I1746*25000</f>
        <v>#N/A</v>
      </c>
      <c r="K1746" s="1085"/>
      <c r="L1746" s="1085"/>
      <c r="M1746" s="1085"/>
      <c r="N1746" s="1085"/>
      <c r="O1746" s="1085"/>
    </row>
    <row r="1747" spans="1:15" ht="15" customHeight="1">
      <c r="A1747" s="1052" t="s">
        <v>361</v>
      </c>
      <c r="B1747" s="869" t="s">
        <v>362</v>
      </c>
      <c r="C1747" s="1058" t="e">
        <f>VLOOKUP(B1745,'LƯƠNG KT'!$D$15:$U$94,14,0)</f>
        <v>#N/A</v>
      </c>
      <c r="D1747" s="1059" t="e">
        <f>C1747*$L$4</f>
        <v>#N/A</v>
      </c>
      <c r="E1747" s="1061"/>
      <c r="F1747" s="1061"/>
      <c r="G1747" s="1052" t="s">
        <v>361</v>
      </c>
      <c r="H1747" s="869" t="s">
        <v>362</v>
      </c>
      <c r="I1747" s="1058" t="e">
        <f>VLOOKUP(H1745,'LƯƠNG KT'!$D$15:$U$94,14,0)</f>
        <v>#N/A</v>
      </c>
      <c r="J1747" s="1059" t="e">
        <f>I1747*$L$4</f>
        <v>#N/A</v>
      </c>
      <c r="K1747" s="1085"/>
      <c r="L1747" s="1085"/>
      <c r="M1747" s="1085"/>
      <c r="N1747" s="1085"/>
      <c r="O1747" s="1085"/>
    </row>
    <row r="1748" spans="1:15" ht="15" customHeight="1">
      <c r="A1748" s="1052" t="s">
        <v>364</v>
      </c>
      <c r="B1748" s="869" t="s">
        <v>365</v>
      </c>
      <c r="C1748" s="1058" t="e">
        <f>VLOOKUP(B1745,'LƯƠNG KT'!$D$15:$U$94,15,0)</f>
        <v>#N/A</v>
      </c>
      <c r="D1748" s="1059" t="e">
        <f>C1748*$L$5</f>
        <v>#N/A</v>
      </c>
      <c r="E1748" s="1061"/>
      <c r="F1748" s="1061"/>
      <c r="G1748" s="1052" t="s">
        <v>364</v>
      </c>
      <c r="H1748" s="869" t="s">
        <v>365</v>
      </c>
      <c r="I1748" s="1058" t="e">
        <f>VLOOKUP(H1745,'LƯƠNG KT'!$D$15:$U$94,15,0)</f>
        <v>#N/A</v>
      </c>
      <c r="J1748" s="1059" t="e">
        <f>I1748*$L$5</f>
        <v>#N/A</v>
      </c>
      <c r="K1748" s="1085"/>
      <c r="L1748" s="1085"/>
      <c r="M1748" s="1085"/>
      <c r="N1748" s="1085"/>
      <c r="O1748" s="1085"/>
    </row>
    <row r="1749" spans="1:15" ht="15" customHeight="1">
      <c r="A1749" s="1052" t="s">
        <v>367</v>
      </c>
      <c r="B1749" s="869"/>
      <c r="C1749" s="1058" t="e">
        <f>VLOOKUP(B1745,'LƯƠNG KT'!$D$15:$U$94,16,0)</f>
        <v>#N/A</v>
      </c>
      <c r="D1749" s="1059" t="e">
        <f>+C1749*$L$6</f>
        <v>#N/A</v>
      </c>
      <c r="E1749" s="1061"/>
      <c r="F1749" s="1061"/>
      <c r="G1749" s="1052" t="s">
        <v>367</v>
      </c>
      <c r="H1749" s="869"/>
      <c r="I1749" s="1058" t="e">
        <f>VLOOKUP(H1745,'LƯƠNG KT'!$D$15:$U$94,16,0)</f>
        <v>#N/A</v>
      </c>
      <c r="J1749" s="1059" t="e">
        <f>+I1749*$L$6</f>
        <v>#N/A</v>
      </c>
      <c r="K1749" s="1085"/>
      <c r="L1749" s="1085"/>
      <c r="M1749" s="1085"/>
      <c r="N1749" s="1085"/>
      <c r="O1749" s="1085"/>
    </row>
    <row r="1750" spans="1:15" ht="15" customHeight="1">
      <c r="A1750" s="1052" t="s">
        <v>371</v>
      </c>
      <c r="B1750" s="869" t="s">
        <v>372</v>
      </c>
      <c r="C1750" s="1058" t="e">
        <f>VLOOKUP(B1745,'LƯƠNG KT'!$D$15:$U$94,9,0)*$L$10</f>
        <v>#N/A</v>
      </c>
      <c r="D1750" s="1059" t="e">
        <f>+C1750*0.5*3000</f>
        <v>#N/A</v>
      </c>
      <c r="E1750" s="1061"/>
      <c r="F1750" s="1061"/>
      <c r="G1750" s="1052" t="s">
        <v>371</v>
      </c>
      <c r="H1750" s="869" t="s">
        <v>372</v>
      </c>
      <c r="I1750" s="1058" t="e">
        <f>VLOOKUP(H1745,'LƯƠNG KT'!$D$15:$U$94,9,0)*$L$10</f>
        <v>#N/A</v>
      </c>
      <c r="J1750" s="1059" t="e">
        <f>+I1750*0.5*3000</f>
        <v>#N/A</v>
      </c>
      <c r="K1750" s="1085"/>
      <c r="L1750" s="1085"/>
      <c r="M1750" s="1085"/>
      <c r="N1750" s="1085"/>
      <c r="O1750" s="1085"/>
    </row>
    <row r="1751" spans="1:15" ht="15" customHeight="1">
      <c r="A1751" s="1052" t="s">
        <v>374</v>
      </c>
      <c r="B1751" s="869" t="s">
        <v>375</v>
      </c>
      <c r="C1751" s="1058" t="e">
        <f>VLOOKUP(B1745,'LƯƠNG KT'!$D$15:$U$94,8,0)*$L$11</f>
        <v>#N/A</v>
      </c>
      <c r="D1751" s="1059" t="e">
        <f>VLOOKUP(B1745,'LƯƠNG KT'!$D$15:$U$94,13,0)-D1750</f>
        <v>#N/A</v>
      </c>
      <c r="E1751" s="1063"/>
      <c r="F1751" s="1061"/>
      <c r="G1751" s="1052" t="s">
        <v>374</v>
      </c>
      <c r="H1751" s="869" t="s">
        <v>375</v>
      </c>
      <c r="I1751" s="1058" t="e">
        <f>VLOOKUP(H1745,'LƯƠNG KT'!$D$15:$U$94,8,0)*$L$11</f>
        <v>#N/A</v>
      </c>
      <c r="J1751" s="1059" t="e">
        <f>VLOOKUP(H1745,'LƯƠNG KT'!$D$15:$U$94,13,0)-J1750</f>
        <v>#N/A</v>
      </c>
      <c r="K1751" s="1085"/>
      <c r="L1751" s="1085"/>
      <c r="M1751" s="1085"/>
      <c r="N1751" s="1085"/>
      <c r="O1751" s="1085"/>
    </row>
    <row r="1752" spans="1:15" ht="15" customHeight="1">
      <c r="A1752" s="1059" t="s">
        <v>377</v>
      </c>
      <c r="B1752" s="869" t="s">
        <v>378</v>
      </c>
      <c r="C1752" s="1058"/>
      <c r="D1752" s="1059"/>
      <c r="E1752" s="1065"/>
      <c r="F1752" s="1065"/>
      <c r="G1752" s="1059" t="s">
        <v>377</v>
      </c>
      <c r="H1752" s="869" t="s">
        <v>378</v>
      </c>
      <c r="I1752" s="1058"/>
      <c r="J1752" s="1059"/>
    </row>
    <row r="1753" spans="1:15" ht="15" customHeight="1">
      <c r="A1753" s="1066" t="s">
        <v>379</v>
      </c>
      <c r="B1753" s="869" t="s">
        <v>380</v>
      </c>
      <c r="C1753" s="1058"/>
      <c r="D1753" s="1059"/>
      <c r="E1753" s="1063"/>
      <c r="F1753" s="1065"/>
      <c r="G1753" s="1066" t="s">
        <v>379</v>
      </c>
      <c r="H1753" s="869" t="s">
        <v>380</v>
      </c>
      <c r="I1753" s="1058"/>
      <c r="J1753" s="1059"/>
    </row>
    <row r="1754" spans="1:15" ht="15" customHeight="1">
      <c r="A1754" s="1052" t="s">
        <v>381</v>
      </c>
      <c r="B1754" s="869" t="s">
        <v>382</v>
      </c>
      <c r="C1754" s="1058"/>
      <c r="D1754" s="1059">
        <f>D1753</f>
        <v>0</v>
      </c>
      <c r="E1754" s="1067"/>
      <c r="F1754" s="1051"/>
      <c r="G1754" s="1052" t="s">
        <v>381</v>
      </c>
      <c r="H1754" s="869" t="s">
        <v>382</v>
      </c>
      <c r="I1754" s="1058"/>
      <c r="J1754" s="1059">
        <f>J1753</f>
        <v>0</v>
      </c>
    </row>
    <row r="1755" spans="1:15" ht="15" customHeight="1">
      <c r="A1755" s="1068" t="s">
        <v>383</v>
      </c>
      <c r="B1755" s="1069" t="s">
        <v>384</v>
      </c>
      <c r="C1755" s="1070"/>
      <c r="D1755" s="1071" t="e">
        <f>SUM(D1746:D1751)-D1754</f>
        <v>#N/A</v>
      </c>
      <c r="E1755" s="1072"/>
      <c r="F1755" s="1073"/>
      <c r="G1755" s="1068" t="s">
        <v>383</v>
      </c>
      <c r="H1755" s="1069" t="s">
        <v>384</v>
      </c>
      <c r="I1755" s="1070"/>
      <c r="J1755" s="1071" t="e">
        <f>SUM(J1746:J1751)-J1754</f>
        <v>#N/A</v>
      </c>
    </row>
    <row r="1756" spans="1:15" ht="18.75" customHeight="1">
      <c r="A1756" s="1074"/>
      <c r="B1756" s="1075"/>
      <c r="C1756" s="1076"/>
      <c r="D1756" s="1077"/>
      <c r="E1756" s="1077"/>
      <c r="F1756" s="1078"/>
      <c r="G1756" s="1074"/>
      <c r="H1756" s="1075"/>
      <c r="I1756" s="1076"/>
      <c r="J1756" s="1077"/>
    </row>
    <row r="1757" spans="1:15" ht="18.75" customHeight="1">
      <c r="A1757" s="1075"/>
      <c r="B1757" s="1075"/>
      <c r="C1757" s="1079"/>
      <c r="D1757" s="1080"/>
      <c r="E1757" s="1075"/>
      <c r="F1757" s="1081"/>
      <c r="G1757" s="1075"/>
      <c r="H1757" s="1075"/>
      <c r="I1757" s="1079"/>
      <c r="J1757" s="1080"/>
    </row>
    <row r="1758" spans="1:15" ht="15" customHeight="1">
      <c r="A1758" s="2242" t="str">
        <f>$K$2</f>
        <v>THÁNG 09/2024</v>
      </c>
      <c r="B1758" s="2242"/>
      <c r="C1758" s="2242"/>
      <c r="D1758" s="2242"/>
      <c r="E1758" s="1050"/>
      <c r="F1758" s="1051"/>
      <c r="G1758" s="2242" t="str">
        <f>$K$2</f>
        <v>THÁNG 09/2024</v>
      </c>
      <c r="H1758" s="2242"/>
      <c r="I1758" s="2242"/>
      <c r="J1758" s="2242"/>
      <c r="K1758" s="624"/>
    </row>
    <row r="1759" spans="1:15" ht="15" customHeight="1">
      <c r="A1759" s="1052" t="s">
        <v>356</v>
      </c>
      <c r="B1759" s="1053"/>
      <c r="C1759" s="869"/>
      <c r="D1759" s="1049"/>
      <c r="E1759" s="1054"/>
      <c r="F1759" s="1055"/>
      <c r="G1759" s="1052" t="s">
        <v>356</v>
      </c>
      <c r="H1759" s="1053" t="s">
        <v>136</v>
      </c>
      <c r="I1759" s="869"/>
      <c r="J1759" s="1049"/>
      <c r="L1759" s="1088"/>
      <c r="M1759" s="1088"/>
      <c r="N1759" s="1088"/>
      <c r="O1759" s="1088"/>
    </row>
    <row r="1760" spans="1:15" ht="15" customHeight="1">
      <c r="A1760" s="1052" t="s">
        <v>359</v>
      </c>
      <c r="B1760" s="1089" t="s">
        <v>360</v>
      </c>
      <c r="C1760" s="1058" t="e">
        <f>VLOOKUP(B1759,'LƯƠNG KT'!$D$15:$U$94,3,0)</f>
        <v>#N/A</v>
      </c>
      <c r="D1760" s="1059" t="e">
        <f>+C1760*25000</f>
        <v>#N/A</v>
      </c>
      <c r="E1760" s="1060"/>
      <c r="F1760" s="1060"/>
      <c r="G1760" s="1052" t="s">
        <v>359</v>
      </c>
      <c r="H1760" s="1089" t="s">
        <v>360</v>
      </c>
      <c r="I1760" s="1058" t="e">
        <f>VLOOKUP(H1759,'LƯƠNG KT'!$D$15:$U$94,3,0)</f>
        <v>#N/A</v>
      </c>
      <c r="J1760" s="1059" t="e">
        <f>+I1760*25000</f>
        <v>#N/A</v>
      </c>
      <c r="K1760" s="1085"/>
      <c r="L1760" s="1085"/>
      <c r="M1760" s="1085"/>
      <c r="N1760" s="1085"/>
      <c r="O1760" s="1085"/>
    </row>
    <row r="1761" spans="1:15" ht="15" customHeight="1">
      <c r="A1761" s="1052" t="s">
        <v>361</v>
      </c>
      <c r="B1761" s="869" t="s">
        <v>362</v>
      </c>
      <c r="C1761" s="1058" t="e">
        <f>VLOOKUP(B1759,'LƯƠNG KT'!$D$15:$U$94,14,0)</f>
        <v>#N/A</v>
      </c>
      <c r="D1761" s="1059" t="e">
        <f>C1761*$L$4</f>
        <v>#N/A</v>
      </c>
      <c r="E1761" s="1061"/>
      <c r="F1761" s="1061"/>
      <c r="G1761" s="1052" t="s">
        <v>361</v>
      </c>
      <c r="H1761" s="869" t="s">
        <v>362</v>
      </c>
      <c r="I1761" s="1058" t="e">
        <f>VLOOKUP(H1759,'LƯƠNG KT'!$D$15:$U$94,14,0)</f>
        <v>#N/A</v>
      </c>
      <c r="J1761" s="1059" t="e">
        <f>I1761*$L$4</f>
        <v>#N/A</v>
      </c>
      <c r="K1761" s="1085"/>
      <c r="L1761" s="1085"/>
      <c r="M1761" s="1085"/>
      <c r="N1761" s="1085"/>
      <c r="O1761" s="1085"/>
    </row>
    <row r="1762" spans="1:15" ht="15" customHeight="1">
      <c r="A1762" s="1052" t="s">
        <v>364</v>
      </c>
      <c r="B1762" s="869" t="s">
        <v>365</v>
      </c>
      <c r="C1762" s="1058" t="e">
        <f>VLOOKUP(B1759,'LƯƠNG KT'!$D$15:$U$94,15,0)</f>
        <v>#N/A</v>
      </c>
      <c r="D1762" s="1059" t="e">
        <f>C1762*$L$5</f>
        <v>#N/A</v>
      </c>
      <c r="E1762" s="1061"/>
      <c r="F1762" s="1061"/>
      <c r="G1762" s="1052" t="s">
        <v>364</v>
      </c>
      <c r="H1762" s="869" t="s">
        <v>365</v>
      </c>
      <c r="I1762" s="1058" t="e">
        <f>VLOOKUP(H1759,'LƯƠNG KT'!$D$15:$U$94,15,0)</f>
        <v>#N/A</v>
      </c>
      <c r="J1762" s="1059" t="e">
        <f>I1762*$L$5</f>
        <v>#N/A</v>
      </c>
      <c r="K1762" s="1085"/>
      <c r="L1762" s="1085"/>
      <c r="M1762" s="1085"/>
      <c r="N1762" s="1085"/>
      <c r="O1762" s="1085"/>
    </row>
    <row r="1763" spans="1:15" ht="15" customHeight="1">
      <c r="A1763" s="1052" t="s">
        <v>367</v>
      </c>
      <c r="B1763" s="869"/>
      <c r="C1763" s="1058" t="e">
        <f>VLOOKUP(B1759,'LƯƠNG KT'!$D$15:$U$94,16,0)</f>
        <v>#N/A</v>
      </c>
      <c r="D1763" s="1059" t="e">
        <f>+C1763*$L$6</f>
        <v>#N/A</v>
      </c>
      <c r="E1763" s="1061"/>
      <c r="F1763" s="1061"/>
      <c r="G1763" s="1052" t="s">
        <v>367</v>
      </c>
      <c r="H1763" s="869"/>
      <c r="I1763" s="1058" t="e">
        <f>VLOOKUP(H1759,'LƯƠNG KT'!$D$15:$U$94,16,0)</f>
        <v>#N/A</v>
      </c>
      <c r="J1763" s="1059" t="e">
        <f>+I1763*$L$6</f>
        <v>#N/A</v>
      </c>
      <c r="K1763" s="1085"/>
      <c r="L1763" s="1085"/>
      <c r="M1763" s="1085"/>
      <c r="N1763" s="1085"/>
      <c r="O1763" s="1085"/>
    </row>
    <row r="1764" spans="1:15" ht="15" customHeight="1">
      <c r="A1764" s="1052" t="s">
        <v>371</v>
      </c>
      <c r="B1764" s="869" t="s">
        <v>372</v>
      </c>
      <c r="C1764" s="1058" t="e">
        <f>VLOOKUP(B1759,'LƯƠNG KT'!$D$15:$U$94,9,0)*$L$10</f>
        <v>#N/A</v>
      </c>
      <c r="D1764" s="1059" t="e">
        <f>+C1764*0.5*3000</f>
        <v>#N/A</v>
      </c>
      <c r="E1764" s="1061"/>
      <c r="F1764" s="1061"/>
      <c r="G1764" s="1052" t="s">
        <v>371</v>
      </c>
      <c r="H1764" s="869" t="s">
        <v>372</v>
      </c>
      <c r="I1764" s="1058" t="e">
        <f>VLOOKUP(H1759,'LƯƠNG KT'!$D$15:$U$94,9,0)*$L$10</f>
        <v>#N/A</v>
      </c>
      <c r="J1764" s="1059" t="e">
        <f>+I1764*0.5*3000</f>
        <v>#N/A</v>
      </c>
      <c r="K1764" s="1085"/>
      <c r="L1764" s="1085"/>
      <c r="M1764" s="1085"/>
      <c r="N1764" s="1085"/>
      <c r="O1764" s="1085"/>
    </row>
    <row r="1765" spans="1:15" ht="15" customHeight="1">
      <c r="A1765" s="1052" t="s">
        <v>374</v>
      </c>
      <c r="B1765" s="869" t="s">
        <v>375</v>
      </c>
      <c r="C1765" s="1058" t="e">
        <f>VLOOKUP(B1759,'LƯƠNG KT'!$D$15:$U$94,8,0)*$L$11</f>
        <v>#N/A</v>
      </c>
      <c r="D1765" s="1059" t="e">
        <f>VLOOKUP(B1759,'LƯƠNG KT'!$D$15:$U$94,13,0)-D1764</f>
        <v>#N/A</v>
      </c>
      <c r="E1765" s="1063"/>
      <c r="F1765" s="1061"/>
      <c r="G1765" s="1052" t="s">
        <v>374</v>
      </c>
      <c r="H1765" s="869" t="s">
        <v>375</v>
      </c>
      <c r="I1765" s="1058" t="e">
        <f>VLOOKUP(H1759,'LƯƠNG KT'!$D$15:$U$94,8,0)*$L$11</f>
        <v>#N/A</v>
      </c>
      <c r="J1765" s="1059" t="e">
        <f>VLOOKUP(H1759,'LƯƠNG KT'!$D$15:$U$94,13,0)-J1764</f>
        <v>#N/A</v>
      </c>
      <c r="K1765" s="1085"/>
      <c r="L1765" s="1085"/>
      <c r="M1765" s="1085"/>
      <c r="N1765" s="1085"/>
      <c r="O1765" s="1085"/>
    </row>
    <row r="1766" spans="1:15" ht="15" customHeight="1">
      <c r="A1766" s="1059" t="s">
        <v>377</v>
      </c>
      <c r="B1766" s="869" t="s">
        <v>378</v>
      </c>
      <c r="C1766" s="1058"/>
      <c r="D1766" s="1059"/>
      <c r="E1766" s="1065"/>
      <c r="F1766" s="1065"/>
      <c r="G1766" s="1059" t="s">
        <v>377</v>
      </c>
      <c r="H1766" s="869" t="s">
        <v>378</v>
      </c>
      <c r="I1766" s="1058"/>
      <c r="J1766" s="1059"/>
    </row>
    <row r="1767" spans="1:15" ht="15" customHeight="1">
      <c r="A1767" s="1066" t="s">
        <v>379</v>
      </c>
      <c r="B1767" s="869" t="s">
        <v>380</v>
      </c>
      <c r="C1767" s="1058"/>
      <c r="D1767" s="1059"/>
      <c r="E1767" s="1063"/>
      <c r="F1767" s="1065"/>
      <c r="G1767" s="1066" t="s">
        <v>379</v>
      </c>
      <c r="H1767" s="869" t="s">
        <v>380</v>
      </c>
      <c r="I1767" s="1058"/>
      <c r="J1767" s="1059"/>
    </row>
    <row r="1768" spans="1:15" ht="15" customHeight="1">
      <c r="A1768" s="1052" t="s">
        <v>381</v>
      </c>
      <c r="B1768" s="869" t="s">
        <v>382</v>
      </c>
      <c r="C1768" s="1058"/>
      <c r="D1768" s="1059"/>
      <c r="E1768" s="1067"/>
      <c r="F1768" s="1051"/>
      <c r="G1768" s="1052" t="s">
        <v>381</v>
      </c>
      <c r="H1768" s="869" t="s">
        <v>382</v>
      </c>
      <c r="I1768" s="1058"/>
      <c r="J1768" s="1059">
        <f>J1767</f>
        <v>0</v>
      </c>
    </row>
    <row r="1769" spans="1:15" ht="15" customHeight="1">
      <c r="A1769" s="1068" t="s">
        <v>383</v>
      </c>
      <c r="B1769" s="1069" t="s">
        <v>384</v>
      </c>
      <c r="C1769" s="1070"/>
      <c r="D1769" s="1071"/>
      <c r="E1769" s="1072"/>
      <c r="F1769" s="1073"/>
      <c r="G1769" s="1068" t="s">
        <v>383</v>
      </c>
      <c r="H1769" s="1069" t="s">
        <v>384</v>
      </c>
      <c r="I1769" s="1070"/>
      <c r="J1769" s="1071" t="e">
        <f>SUM(J1760:J1765)-J1768</f>
        <v>#N/A</v>
      </c>
    </row>
    <row r="1770" spans="1:15" ht="18.75" customHeight="1">
      <c r="A1770" s="1074"/>
      <c r="B1770" s="1075"/>
      <c r="C1770" s="1076"/>
      <c r="D1770" s="1077"/>
      <c r="E1770" s="1077"/>
      <c r="F1770" s="1078"/>
      <c r="G1770" s="1074"/>
      <c r="H1770" s="1075"/>
      <c r="I1770" s="1076"/>
      <c r="J1770" s="1077"/>
    </row>
    <row r="1771" spans="1:15" ht="18.75" customHeight="1">
      <c r="A1771" s="1075"/>
      <c r="B1771" s="1075"/>
      <c r="C1771" s="1079"/>
      <c r="D1771" s="1080"/>
      <c r="E1771" s="1075"/>
      <c r="F1771" s="1081"/>
      <c r="G1771" s="1075"/>
      <c r="H1771" s="1075"/>
      <c r="I1771" s="1079"/>
      <c r="J1771" s="1080"/>
    </row>
    <row r="1772" spans="1:15" ht="15" customHeight="1">
      <c r="A1772" s="2242" t="str">
        <f>$K$2</f>
        <v>THÁNG 09/2024</v>
      </c>
      <c r="B1772" s="2242"/>
      <c r="C1772" s="2242"/>
      <c r="D1772" s="2242"/>
      <c r="E1772" s="1050"/>
      <c r="F1772" s="1051"/>
      <c r="G1772" s="2242" t="str">
        <f>$K$2</f>
        <v>THÁNG 09/2024</v>
      </c>
      <c r="H1772" s="2242"/>
      <c r="I1772" s="2242"/>
      <c r="J1772" s="2242"/>
      <c r="K1772" s="624"/>
    </row>
    <row r="1773" spans="1:15" ht="15" customHeight="1">
      <c r="A1773" s="1052" t="s">
        <v>356</v>
      </c>
      <c r="B1773" s="1053" t="s">
        <v>137</v>
      </c>
      <c r="C1773" s="869"/>
      <c r="D1773" s="1049"/>
      <c r="E1773" s="1054"/>
      <c r="F1773" s="1055"/>
      <c r="G1773" s="1052" t="s">
        <v>356</v>
      </c>
      <c r="H1773" s="1053" t="s">
        <v>138</v>
      </c>
      <c r="I1773" s="869"/>
      <c r="J1773" s="1049"/>
      <c r="L1773" s="1088"/>
      <c r="M1773" s="1088"/>
      <c r="N1773" s="1088"/>
      <c r="O1773" s="1088"/>
    </row>
    <row r="1774" spans="1:15" ht="15" customHeight="1">
      <c r="A1774" s="1052" t="s">
        <v>359</v>
      </c>
      <c r="B1774" s="1089" t="s">
        <v>360</v>
      </c>
      <c r="C1774" s="1058" t="e">
        <f>VLOOKUP(B1773,'LƯƠNG KT'!$D$15:$U$94,3,0)</f>
        <v>#N/A</v>
      </c>
      <c r="D1774" s="1059" t="e">
        <f>+C1774*25000</f>
        <v>#N/A</v>
      </c>
      <c r="E1774" s="1060"/>
      <c r="F1774" s="1060"/>
      <c r="G1774" s="1052" t="s">
        <v>359</v>
      </c>
      <c r="H1774" s="1089" t="s">
        <v>360</v>
      </c>
      <c r="I1774" s="1058" t="e">
        <f>VLOOKUP(H1773,'LƯƠNG KT'!$D$15:$U$94,3,0)</f>
        <v>#N/A</v>
      </c>
      <c r="J1774" s="1059" t="e">
        <f>+I1774*25000</f>
        <v>#N/A</v>
      </c>
      <c r="K1774" s="1085"/>
      <c r="L1774" s="1085"/>
      <c r="M1774" s="1085"/>
      <c r="N1774" s="1085"/>
      <c r="O1774" s="1085"/>
    </row>
    <row r="1775" spans="1:15" ht="15" customHeight="1">
      <c r="A1775" s="1052" t="s">
        <v>361</v>
      </c>
      <c r="B1775" s="869" t="s">
        <v>362</v>
      </c>
      <c r="C1775" s="1058" t="e">
        <f>VLOOKUP(B1773,'LƯƠNG KT'!$D$15:$U$94,14,0)</f>
        <v>#N/A</v>
      </c>
      <c r="D1775" s="1059" t="e">
        <f>C1775*$L$4</f>
        <v>#N/A</v>
      </c>
      <c r="E1775" s="1061"/>
      <c r="F1775" s="1061"/>
      <c r="G1775" s="1052" t="s">
        <v>361</v>
      </c>
      <c r="H1775" s="869" t="s">
        <v>362</v>
      </c>
      <c r="I1775" s="1058" t="e">
        <f>VLOOKUP(H1773,'LƯƠNG KT'!$D$15:$U$94,14,0)</f>
        <v>#N/A</v>
      </c>
      <c r="J1775" s="1059" t="e">
        <f>I1775*$L$4</f>
        <v>#N/A</v>
      </c>
      <c r="K1775" s="1085"/>
      <c r="L1775" s="1085"/>
      <c r="M1775" s="1085"/>
      <c r="N1775" s="1085"/>
      <c r="O1775" s="1085"/>
    </row>
    <row r="1776" spans="1:15" ht="15" customHeight="1">
      <c r="A1776" s="1052" t="s">
        <v>364</v>
      </c>
      <c r="B1776" s="869" t="s">
        <v>365</v>
      </c>
      <c r="C1776" s="1058" t="e">
        <f>VLOOKUP(B1773,'LƯƠNG KT'!$D$15:$U$94,15,0)</f>
        <v>#N/A</v>
      </c>
      <c r="D1776" s="1059" t="e">
        <f>C1776*$L$5</f>
        <v>#N/A</v>
      </c>
      <c r="E1776" s="1061"/>
      <c r="F1776" s="1061"/>
      <c r="G1776" s="1052" t="s">
        <v>364</v>
      </c>
      <c r="H1776" s="869" t="s">
        <v>365</v>
      </c>
      <c r="I1776" s="1058" t="e">
        <f>VLOOKUP(H1773,'LƯƠNG KT'!$D$15:$U$94,15,0)</f>
        <v>#N/A</v>
      </c>
      <c r="J1776" s="1059" t="e">
        <f>I1776*$L$5</f>
        <v>#N/A</v>
      </c>
      <c r="K1776" s="1085"/>
      <c r="L1776" s="1085"/>
      <c r="M1776" s="1085"/>
      <c r="N1776" s="1085"/>
      <c r="O1776" s="1085"/>
    </row>
    <row r="1777" spans="1:15" ht="15" customHeight="1">
      <c r="A1777" s="1052" t="s">
        <v>367</v>
      </c>
      <c r="B1777" s="869"/>
      <c r="C1777" s="1058" t="e">
        <f>VLOOKUP(B1773,'LƯƠNG KT'!$D$15:$U$94,16,0)</f>
        <v>#N/A</v>
      </c>
      <c r="D1777" s="1059" t="e">
        <f>+C1777*$L$6</f>
        <v>#N/A</v>
      </c>
      <c r="E1777" s="1061"/>
      <c r="F1777" s="1061"/>
      <c r="G1777" s="1052" t="s">
        <v>367</v>
      </c>
      <c r="H1777" s="869"/>
      <c r="I1777" s="1058" t="e">
        <f>VLOOKUP(H1773,'LƯƠNG KT'!$D$15:$U$94,16,0)</f>
        <v>#N/A</v>
      </c>
      <c r="J1777" s="1059" t="e">
        <f>+I1777*$L$6</f>
        <v>#N/A</v>
      </c>
      <c r="K1777" s="1085"/>
      <c r="L1777" s="1085"/>
      <c r="M1777" s="1085"/>
      <c r="N1777" s="1085"/>
      <c r="O1777" s="1085"/>
    </row>
    <row r="1778" spans="1:15" ht="15" customHeight="1">
      <c r="A1778" s="1052" t="s">
        <v>371</v>
      </c>
      <c r="B1778" s="869" t="s">
        <v>372</v>
      </c>
      <c r="C1778" s="1058" t="e">
        <f>VLOOKUP(B1773,'LƯƠNG KT'!$D$15:$U$94,9,0)*$L$10</f>
        <v>#N/A</v>
      </c>
      <c r="D1778" s="1059" t="e">
        <f>+C1778*0.5*3000</f>
        <v>#N/A</v>
      </c>
      <c r="E1778" s="1061"/>
      <c r="F1778" s="1061"/>
      <c r="G1778" s="1052" t="s">
        <v>371</v>
      </c>
      <c r="H1778" s="869" t="s">
        <v>372</v>
      </c>
      <c r="I1778" s="1058" t="e">
        <f>VLOOKUP(H1773,'LƯƠNG KT'!$D$15:$U$94,9,0)*$L$10</f>
        <v>#N/A</v>
      </c>
      <c r="J1778" s="1059" t="e">
        <f>+I1778*0.5*3000</f>
        <v>#N/A</v>
      </c>
      <c r="K1778" s="1085"/>
      <c r="L1778" s="1085"/>
      <c r="M1778" s="1085"/>
      <c r="N1778" s="1085"/>
      <c r="O1778" s="1085"/>
    </row>
    <row r="1779" spans="1:15" ht="15" customHeight="1">
      <c r="A1779" s="1052" t="s">
        <v>374</v>
      </c>
      <c r="B1779" s="869" t="s">
        <v>375</v>
      </c>
      <c r="C1779" s="1058" t="e">
        <f>VLOOKUP(B1773,'LƯƠNG KT'!$D$15:$U$94,8,0)*$L$11</f>
        <v>#N/A</v>
      </c>
      <c r="D1779" s="1059" t="e">
        <f>VLOOKUP(B1773,'LƯƠNG KT'!$D$15:$U$94,13,0)-D1778</f>
        <v>#N/A</v>
      </c>
      <c r="E1779" s="1063"/>
      <c r="F1779" s="1061"/>
      <c r="G1779" s="1052" t="s">
        <v>374</v>
      </c>
      <c r="H1779" s="869" t="s">
        <v>375</v>
      </c>
      <c r="I1779" s="1058" t="e">
        <f>VLOOKUP(H1773,'LƯƠNG KT'!$D$15:$U$94,8,0)*$L$11</f>
        <v>#N/A</v>
      </c>
      <c r="J1779" s="1059" t="e">
        <f>VLOOKUP(H1773,'LƯƠNG KT'!$D$15:$U$94,13,0)-J1778</f>
        <v>#N/A</v>
      </c>
      <c r="K1779" s="1085"/>
      <c r="L1779" s="1085"/>
      <c r="M1779" s="1085"/>
      <c r="N1779" s="1085"/>
      <c r="O1779" s="1085"/>
    </row>
    <row r="1780" spans="1:15" ht="15" customHeight="1">
      <c r="A1780" s="1059" t="s">
        <v>377</v>
      </c>
      <c r="B1780" s="869" t="s">
        <v>378</v>
      </c>
      <c r="C1780" s="1058"/>
      <c r="D1780" s="1059"/>
      <c r="E1780" s="1065"/>
      <c r="F1780" s="1065"/>
      <c r="G1780" s="1059" t="s">
        <v>377</v>
      </c>
      <c r="H1780" s="869" t="s">
        <v>378</v>
      </c>
      <c r="I1780" s="1058"/>
      <c r="J1780" s="1059"/>
    </row>
    <row r="1781" spans="1:15" ht="15" customHeight="1">
      <c r="A1781" s="1066" t="s">
        <v>379</v>
      </c>
      <c r="B1781" s="869" t="s">
        <v>380</v>
      </c>
      <c r="C1781" s="1058"/>
      <c r="D1781" s="1059"/>
      <c r="E1781" s="1063"/>
      <c r="F1781" s="1065"/>
      <c r="G1781" s="1066" t="s">
        <v>379</v>
      </c>
      <c r="H1781" s="869" t="s">
        <v>380</v>
      </c>
      <c r="I1781" s="1058"/>
      <c r="J1781" s="1059"/>
    </row>
    <row r="1782" spans="1:15" ht="15" customHeight="1">
      <c r="A1782" s="1052" t="s">
        <v>381</v>
      </c>
      <c r="B1782" s="869" t="s">
        <v>382</v>
      </c>
      <c r="C1782" s="1058"/>
      <c r="D1782" s="1059">
        <f>D1781</f>
        <v>0</v>
      </c>
      <c r="E1782" s="1067"/>
      <c r="F1782" s="1051"/>
      <c r="G1782" s="1052" t="s">
        <v>381</v>
      </c>
      <c r="H1782" s="869" t="s">
        <v>382</v>
      </c>
      <c r="I1782" s="1058"/>
      <c r="J1782" s="1059">
        <f>J1781</f>
        <v>0</v>
      </c>
    </row>
    <row r="1783" spans="1:15" ht="15" customHeight="1">
      <c r="A1783" s="1068" t="s">
        <v>383</v>
      </c>
      <c r="B1783" s="1069" t="s">
        <v>384</v>
      </c>
      <c r="C1783" s="1070"/>
      <c r="D1783" s="1071" t="e">
        <f>SUM(D1774:D1779)-D1782</f>
        <v>#N/A</v>
      </c>
      <c r="E1783" s="1072"/>
      <c r="F1783" s="1073"/>
      <c r="G1783" s="1068" t="s">
        <v>383</v>
      </c>
      <c r="H1783" s="1069" t="s">
        <v>384</v>
      </c>
      <c r="I1783" s="1070"/>
      <c r="J1783" s="1071" t="e">
        <f>SUM(J1774:J1779)-J1782</f>
        <v>#N/A</v>
      </c>
    </row>
    <row r="1784" spans="1:15" ht="15.75" customHeight="1">
      <c r="A1784" s="1074"/>
      <c r="B1784" s="1075"/>
      <c r="C1784" s="1076"/>
      <c r="D1784" s="1077"/>
      <c r="E1784" s="1077"/>
      <c r="F1784" s="1078"/>
      <c r="G1784" s="1074"/>
      <c r="H1784" s="1075"/>
      <c r="I1784" s="1076"/>
      <c r="J1784" s="1077"/>
    </row>
    <row r="1786" spans="1:15" ht="12" customHeight="1">
      <c r="A1786" s="2243"/>
      <c r="B1786" s="2243"/>
      <c r="C1786" s="2243"/>
      <c r="D1786" s="2243"/>
      <c r="E1786" s="2243"/>
      <c r="F1786" s="2243"/>
      <c r="G1786" s="2243"/>
      <c r="H1786" s="2243"/>
      <c r="I1786" s="2243"/>
      <c r="J1786" s="2243"/>
    </row>
    <row r="1787" spans="1:15" ht="15" customHeight="1">
      <c r="A1787" s="2242" t="str">
        <f>$K$2</f>
        <v>THÁNG 09/2024</v>
      </c>
      <c r="B1787" s="2242"/>
      <c r="C1787" s="2242"/>
      <c r="D1787" s="2242"/>
      <c r="E1787" s="1050"/>
      <c r="F1787" s="1051"/>
      <c r="G1787" s="2242" t="str">
        <f>$K$2</f>
        <v>THÁNG 09/2024</v>
      </c>
      <c r="H1787" s="2242"/>
      <c r="I1787" s="2242"/>
      <c r="J1787" s="2242"/>
      <c r="K1787" s="624"/>
    </row>
    <row r="1788" spans="1:15" ht="15" customHeight="1">
      <c r="A1788" s="1052" t="s">
        <v>356</v>
      </c>
      <c r="B1788" s="1053" t="s">
        <v>139</v>
      </c>
      <c r="C1788" s="869"/>
      <c r="D1788" s="1049"/>
      <c r="E1788" s="1054"/>
      <c r="F1788" s="1055"/>
      <c r="G1788" s="1052" t="s">
        <v>356</v>
      </c>
      <c r="H1788" s="1053" t="s">
        <v>140</v>
      </c>
      <c r="I1788" s="869"/>
      <c r="J1788" s="1049"/>
      <c r="L1788" s="1088"/>
      <c r="M1788" s="1088"/>
      <c r="N1788" s="1088"/>
      <c r="O1788" s="1088"/>
    </row>
    <row r="1789" spans="1:15" ht="15" customHeight="1">
      <c r="A1789" s="1052" t="s">
        <v>359</v>
      </c>
      <c r="B1789" s="1089" t="s">
        <v>360</v>
      </c>
      <c r="C1789" s="1058" t="e">
        <f>VLOOKUP(B1788,'LƯƠNG KT'!$D$15:$U$94,3,0)</f>
        <v>#N/A</v>
      </c>
      <c r="D1789" s="1059" t="e">
        <f>+C1789*25000</f>
        <v>#N/A</v>
      </c>
      <c r="E1789" s="1060"/>
      <c r="F1789" s="1060"/>
      <c r="G1789" s="1052" t="s">
        <v>359</v>
      </c>
      <c r="H1789" s="1089" t="s">
        <v>360</v>
      </c>
      <c r="I1789" s="1058" t="e">
        <f>VLOOKUP(H1788,'LƯƠNG KT'!$D$15:$U$94,3,0)</f>
        <v>#N/A</v>
      </c>
      <c r="J1789" s="1059" t="e">
        <f>+I1789*25000</f>
        <v>#N/A</v>
      </c>
      <c r="K1789" s="1084"/>
      <c r="L1789" s="1085"/>
      <c r="M1789" s="1085"/>
      <c r="N1789" s="1085"/>
      <c r="O1789" s="1085"/>
    </row>
    <row r="1790" spans="1:15" ht="15" customHeight="1">
      <c r="A1790" s="1052" t="s">
        <v>361</v>
      </c>
      <c r="B1790" s="869" t="s">
        <v>362</v>
      </c>
      <c r="C1790" s="1058" t="e">
        <f>VLOOKUP(B1788,'LƯƠNG KT'!$D$15:$U$94,14,0)</f>
        <v>#N/A</v>
      </c>
      <c r="D1790" s="1059" t="e">
        <f>C1790*$L$4</f>
        <v>#N/A</v>
      </c>
      <c r="E1790" s="1061"/>
      <c r="F1790" s="1061"/>
      <c r="G1790" s="1052" t="s">
        <v>361</v>
      </c>
      <c r="H1790" s="869" t="s">
        <v>362</v>
      </c>
      <c r="I1790" s="1058" t="e">
        <f>VLOOKUP(H1788,'LƯƠNG KT'!$D$15:$U$94,14,0)</f>
        <v>#N/A</v>
      </c>
      <c r="J1790" s="1059" t="e">
        <f>I1790*$L$4</f>
        <v>#N/A</v>
      </c>
      <c r="K1790" s="1084"/>
      <c r="L1790" s="1085"/>
      <c r="M1790" s="1085"/>
      <c r="N1790" s="1085"/>
      <c r="O1790" s="1085"/>
    </row>
    <row r="1791" spans="1:15" ht="15" customHeight="1">
      <c r="A1791" s="1052" t="s">
        <v>364</v>
      </c>
      <c r="B1791" s="869" t="s">
        <v>365</v>
      </c>
      <c r="C1791" s="1058" t="e">
        <f>VLOOKUP(B1788,'LƯƠNG KT'!$D$15:$U$94,15,0)</f>
        <v>#N/A</v>
      </c>
      <c r="D1791" s="1059" t="e">
        <f>C1791*$L$5</f>
        <v>#N/A</v>
      </c>
      <c r="E1791" s="1061"/>
      <c r="F1791" s="1061"/>
      <c r="G1791" s="1052" t="s">
        <v>364</v>
      </c>
      <c r="H1791" s="869" t="s">
        <v>365</v>
      </c>
      <c r="I1791" s="1058" t="e">
        <f>VLOOKUP(H1788,'LƯƠNG KT'!$D$15:$U$94,15,0)</f>
        <v>#N/A</v>
      </c>
      <c r="J1791" s="1059" t="e">
        <f>I1791*$L$5</f>
        <v>#N/A</v>
      </c>
      <c r="K1791" s="1084"/>
      <c r="L1791" s="1085"/>
      <c r="M1791" s="1085"/>
      <c r="N1791" s="1085"/>
      <c r="O1791" s="1085"/>
    </row>
    <row r="1792" spans="1:15" ht="15" customHeight="1">
      <c r="A1792" s="1052" t="s">
        <v>367</v>
      </c>
      <c r="B1792" s="869"/>
      <c r="C1792" s="1058" t="e">
        <f>VLOOKUP(B1788,'LƯƠNG KT'!$D$15:$U$94,16,0)</f>
        <v>#N/A</v>
      </c>
      <c r="D1792" s="1059" t="e">
        <f>+C1792*$L$6</f>
        <v>#N/A</v>
      </c>
      <c r="E1792" s="1061"/>
      <c r="F1792" s="1061"/>
      <c r="G1792" s="1052" t="s">
        <v>367</v>
      </c>
      <c r="H1792" s="869"/>
      <c r="I1792" s="1058" t="e">
        <f>VLOOKUP(H1788,'LƯƠNG KT'!$D$15:$U$94,16,0)</f>
        <v>#N/A</v>
      </c>
      <c r="J1792" s="1059" t="e">
        <f>+I1792*$L$6</f>
        <v>#N/A</v>
      </c>
      <c r="K1792" s="1085"/>
      <c r="L1792" s="1085"/>
      <c r="M1792" s="1085"/>
      <c r="N1792" s="1085"/>
      <c r="O1792" s="1085"/>
    </row>
    <row r="1793" spans="1:15" ht="15" customHeight="1">
      <c r="A1793" s="1052" t="s">
        <v>371</v>
      </c>
      <c r="B1793" s="869" t="s">
        <v>372</v>
      </c>
      <c r="C1793" s="1058" t="e">
        <f>VLOOKUP(B1788,'LƯƠNG KT'!$D$15:$U$94,9,0)*$L$10</f>
        <v>#N/A</v>
      </c>
      <c r="D1793" s="1059" t="e">
        <f>+C1793*0.5*3000</f>
        <v>#N/A</v>
      </c>
      <c r="E1793" s="1061"/>
      <c r="F1793" s="1061"/>
      <c r="G1793" s="1052" t="s">
        <v>371</v>
      </c>
      <c r="H1793" s="869" t="s">
        <v>372</v>
      </c>
      <c r="I1793" s="1058" t="e">
        <f>VLOOKUP(H1788,'LƯƠNG KT'!$D$15:$U$94,9,0)*$L$10</f>
        <v>#N/A</v>
      </c>
      <c r="J1793" s="1059" t="e">
        <f>+I1793*0.5*3000</f>
        <v>#N/A</v>
      </c>
      <c r="K1793" s="1085"/>
      <c r="L1793" s="1085"/>
      <c r="M1793" s="1085"/>
      <c r="N1793" s="1085"/>
      <c r="O1793" s="1085"/>
    </row>
    <row r="1794" spans="1:15" ht="15" customHeight="1">
      <c r="A1794" s="1052" t="s">
        <v>374</v>
      </c>
      <c r="B1794" s="869" t="s">
        <v>375</v>
      </c>
      <c r="C1794" s="1058" t="e">
        <f>VLOOKUP(B1788,'LƯƠNG KT'!$D$15:$U$94,8,0)*$L$11</f>
        <v>#N/A</v>
      </c>
      <c r="D1794" s="1059" t="e">
        <f>VLOOKUP(B1788,'LƯƠNG KT'!$D$15:$U$94,13,0)-D1793</f>
        <v>#N/A</v>
      </c>
      <c r="E1794" s="1063"/>
      <c r="F1794" s="1061"/>
      <c r="G1794" s="1052" t="s">
        <v>374</v>
      </c>
      <c r="H1794" s="869" t="s">
        <v>375</v>
      </c>
      <c r="I1794" s="1058" t="e">
        <f>VLOOKUP(H1788,'LƯƠNG KT'!$D$15:$U$94,8,0)*$L$11</f>
        <v>#N/A</v>
      </c>
      <c r="J1794" s="1059" t="e">
        <f>VLOOKUP(H1788,'LƯƠNG KT'!$D$15:$U$94,13,0)-J1793</f>
        <v>#N/A</v>
      </c>
      <c r="K1794" s="1085"/>
      <c r="L1794" s="1085"/>
      <c r="M1794" s="1085"/>
      <c r="N1794" s="1085"/>
      <c r="O1794" s="1085"/>
    </row>
    <row r="1795" spans="1:15" ht="15" customHeight="1">
      <c r="A1795" s="1059" t="s">
        <v>377</v>
      </c>
      <c r="B1795" s="869" t="s">
        <v>378</v>
      </c>
      <c r="C1795" s="1058"/>
      <c r="D1795" s="1059"/>
      <c r="E1795" s="1065"/>
      <c r="F1795" s="1065"/>
      <c r="G1795" s="1059" t="s">
        <v>377</v>
      </c>
      <c r="H1795" s="869" t="s">
        <v>378</v>
      </c>
      <c r="I1795" s="1058"/>
      <c r="J1795" s="1059"/>
    </row>
    <row r="1796" spans="1:15" ht="15" customHeight="1">
      <c r="A1796" s="1066" t="s">
        <v>379</v>
      </c>
      <c r="B1796" s="869" t="s">
        <v>380</v>
      </c>
      <c r="C1796" s="1058"/>
      <c r="D1796" s="1059"/>
      <c r="E1796" s="1063"/>
      <c r="F1796" s="1065"/>
      <c r="G1796" s="1066" t="s">
        <v>379</v>
      </c>
      <c r="H1796" s="869" t="s">
        <v>380</v>
      </c>
      <c r="I1796" s="1058"/>
      <c r="J1796" s="1059"/>
    </row>
    <row r="1797" spans="1:15" ht="15" customHeight="1">
      <c r="A1797" s="1052" t="s">
        <v>381</v>
      </c>
      <c r="B1797" s="869" t="s">
        <v>382</v>
      </c>
      <c r="C1797" s="1058"/>
      <c r="D1797" s="1059">
        <f>D1796</f>
        <v>0</v>
      </c>
      <c r="E1797" s="1067"/>
      <c r="F1797" s="1051"/>
      <c r="G1797" s="1052" t="s">
        <v>381</v>
      </c>
      <c r="H1797" s="869" t="s">
        <v>382</v>
      </c>
      <c r="I1797" s="1058"/>
      <c r="J1797" s="1059">
        <f>J1796</f>
        <v>0</v>
      </c>
    </row>
    <row r="1798" spans="1:15" ht="15" customHeight="1">
      <c r="A1798" s="1068" t="s">
        <v>383</v>
      </c>
      <c r="B1798" s="1069" t="s">
        <v>384</v>
      </c>
      <c r="C1798" s="1070"/>
      <c r="D1798" s="1071" t="e">
        <f>SUM(D1789:D1794)-D1797</f>
        <v>#N/A</v>
      </c>
      <c r="E1798" s="1072"/>
      <c r="F1798" s="1073"/>
      <c r="G1798" s="1068" t="s">
        <v>383</v>
      </c>
      <c r="H1798" s="1069" t="s">
        <v>384</v>
      </c>
      <c r="I1798" s="1070"/>
      <c r="J1798" s="1071" t="e">
        <f>SUM(J1789:J1794)-J1797</f>
        <v>#N/A</v>
      </c>
    </row>
    <row r="1799" spans="1:15" ht="12.6" customHeight="1">
      <c r="A1799" s="1074"/>
      <c r="B1799" s="1075"/>
      <c r="C1799" s="1076"/>
      <c r="D1799" s="1077"/>
      <c r="E1799" s="1077"/>
      <c r="F1799" s="1078"/>
      <c r="G1799" s="1074"/>
      <c r="H1799" s="1075"/>
      <c r="I1799" s="1076"/>
      <c r="J1799" s="1077"/>
    </row>
    <row r="1800" spans="1:15" ht="12.6" customHeight="1">
      <c r="A1800" s="1075"/>
      <c r="B1800" s="1075"/>
      <c r="C1800" s="1079"/>
      <c r="D1800" s="1080"/>
      <c r="E1800" s="1075"/>
      <c r="F1800" s="1081"/>
      <c r="G1800" s="1075"/>
      <c r="H1800" s="1075"/>
      <c r="I1800" s="1079"/>
      <c r="J1800" s="1080"/>
    </row>
    <row r="1801" spans="1:15" ht="15" customHeight="1">
      <c r="A1801" s="2242" t="str">
        <f>$K$2</f>
        <v>THÁNG 09/2024</v>
      </c>
      <c r="B1801" s="2242"/>
      <c r="C1801" s="2242"/>
      <c r="D1801" s="2242"/>
      <c r="E1801" s="1050"/>
      <c r="F1801" s="1051"/>
      <c r="G1801" s="2242" t="str">
        <f>$K$2</f>
        <v>THÁNG 09/2024</v>
      </c>
      <c r="H1801" s="2242"/>
      <c r="I1801" s="2242"/>
      <c r="J1801" s="2242"/>
      <c r="K1801" s="624"/>
    </row>
    <row r="1802" spans="1:15" ht="15" customHeight="1">
      <c r="A1802" s="1052" t="s">
        <v>356</v>
      </c>
      <c r="B1802" s="1053" t="s">
        <v>141</v>
      </c>
      <c r="C1802" s="869"/>
      <c r="D1802" s="1049"/>
      <c r="E1802" s="1054"/>
      <c r="F1802" s="1055"/>
      <c r="G1802" s="1052" t="s">
        <v>356</v>
      </c>
      <c r="H1802" s="1053" t="s">
        <v>142</v>
      </c>
      <c r="I1802" s="869"/>
      <c r="J1802" s="1049"/>
      <c r="L1802" s="1088"/>
      <c r="M1802" s="1088"/>
      <c r="N1802" s="1088"/>
      <c r="O1802" s="1088"/>
    </row>
    <row r="1803" spans="1:15" ht="15" customHeight="1">
      <c r="A1803" s="1052" t="s">
        <v>359</v>
      </c>
      <c r="B1803" s="1089" t="s">
        <v>360</v>
      </c>
      <c r="C1803" s="1058" t="e">
        <f>VLOOKUP(B1802,'LƯƠNG KT'!$D$15:$U$94,3,0)</f>
        <v>#N/A</v>
      </c>
      <c r="D1803" s="1059" t="e">
        <f>+C1803*25000</f>
        <v>#N/A</v>
      </c>
      <c r="E1803" s="1060"/>
      <c r="F1803" s="1060"/>
      <c r="G1803" s="1052" t="s">
        <v>359</v>
      </c>
      <c r="H1803" s="1089" t="s">
        <v>360</v>
      </c>
      <c r="I1803" s="1058" t="e">
        <f>VLOOKUP(H1802,'LƯƠNG KT'!$D$15:$U$94,3,0)</f>
        <v>#N/A</v>
      </c>
      <c r="J1803" s="1059" t="e">
        <f>+I1803*25000</f>
        <v>#N/A</v>
      </c>
      <c r="K1803" s="1085"/>
      <c r="L1803" s="1085"/>
      <c r="M1803" s="1085"/>
      <c r="N1803" s="1085"/>
      <c r="O1803" s="1085"/>
    </row>
    <row r="1804" spans="1:15" ht="15" customHeight="1">
      <c r="A1804" s="1052" t="s">
        <v>361</v>
      </c>
      <c r="B1804" s="869" t="s">
        <v>362</v>
      </c>
      <c r="C1804" s="1058" t="e">
        <f>VLOOKUP(B1802,'LƯƠNG KT'!$D$15:$U$94,14,0)</f>
        <v>#N/A</v>
      </c>
      <c r="D1804" s="1059" t="e">
        <f>C1804*$L$4</f>
        <v>#N/A</v>
      </c>
      <c r="E1804" s="1061"/>
      <c r="F1804" s="1061"/>
      <c r="G1804" s="1052" t="s">
        <v>361</v>
      </c>
      <c r="H1804" s="869" t="s">
        <v>362</v>
      </c>
      <c r="I1804" s="1058" t="e">
        <f>VLOOKUP(H1802,'LƯƠNG KT'!$D$15:$U$94,14,0)</f>
        <v>#N/A</v>
      </c>
      <c r="J1804" s="1059" t="e">
        <f>I1804*$L$4</f>
        <v>#N/A</v>
      </c>
      <c r="K1804" s="1085"/>
      <c r="L1804" s="1085"/>
      <c r="M1804" s="1085"/>
      <c r="N1804" s="1085"/>
      <c r="O1804" s="1085"/>
    </row>
    <row r="1805" spans="1:15" ht="15" customHeight="1">
      <c r="A1805" s="1052" t="s">
        <v>364</v>
      </c>
      <c r="B1805" s="869" t="s">
        <v>365</v>
      </c>
      <c r="C1805" s="1058" t="e">
        <f>VLOOKUP(B1802,'LƯƠNG KT'!$D$15:$U$94,15,0)</f>
        <v>#N/A</v>
      </c>
      <c r="D1805" s="1059" t="e">
        <f>C1805*$L$5</f>
        <v>#N/A</v>
      </c>
      <c r="E1805" s="1061"/>
      <c r="F1805" s="1061"/>
      <c r="G1805" s="1052" t="s">
        <v>364</v>
      </c>
      <c r="H1805" s="869" t="s">
        <v>365</v>
      </c>
      <c r="I1805" s="1058" t="e">
        <f>VLOOKUP(H1802,'LƯƠNG KT'!$D$15:$U$94,15,0)</f>
        <v>#N/A</v>
      </c>
      <c r="J1805" s="1059" t="e">
        <f>I1805*$L$5</f>
        <v>#N/A</v>
      </c>
      <c r="K1805" s="1085"/>
      <c r="L1805" s="1085"/>
      <c r="M1805" s="1085"/>
      <c r="N1805" s="1085"/>
      <c r="O1805" s="1085"/>
    </row>
    <row r="1806" spans="1:15" ht="15" customHeight="1">
      <c r="A1806" s="1052" t="s">
        <v>367</v>
      </c>
      <c r="B1806" s="869"/>
      <c r="C1806" s="1058" t="e">
        <f>VLOOKUP(B1802,'LƯƠNG KT'!$D$15:$U$94,16,0)</f>
        <v>#N/A</v>
      </c>
      <c r="D1806" s="1059" t="e">
        <f>+C1806*$L$6</f>
        <v>#N/A</v>
      </c>
      <c r="E1806" s="1061"/>
      <c r="F1806" s="1061"/>
      <c r="G1806" s="1052" t="s">
        <v>367</v>
      </c>
      <c r="H1806" s="869"/>
      <c r="I1806" s="1058" t="e">
        <f>VLOOKUP(H1802,'LƯƠNG KT'!$D$15:$U$94,16,0)</f>
        <v>#N/A</v>
      </c>
      <c r="J1806" s="1059" t="e">
        <f>+I1806*$L$6</f>
        <v>#N/A</v>
      </c>
      <c r="K1806" s="1085"/>
      <c r="L1806" s="1085"/>
      <c r="M1806" s="1085"/>
      <c r="N1806" s="1085"/>
      <c r="O1806" s="1085"/>
    </row>
    <row r="1807" spans="1:15" ht="15" customHeight="1">
      <c r="A1807" s="1052" t="s">
        <v>371</v>
      </c>
      <c r="B1807" s="869" t="s">
        <v>372</v>
      </c>
      <c r="C1807" s="1058" t="e">
        <f>VLOOKUP(B1802,'LƯƠNG KT'!$D$15:$U$94,9,0)*$L$10</f>
        <v>#N/A</v>
      </c>
      <c r="D1807" s="1059" t="e">
        <f>+C1807*0.5*3000</f>
        <v>#N/A</v>
      </c>
      <c r="E1807" s="1061"/>
      <c r="F1807" s="1061"/>
      <c r="G1807" s="1052" t="s">
        <v>371</v>
      </c>
      <c r="H1807" s="869" t="s">
        <v>372</v>
      </c>
      <c r="I1807" s="1058" t="e">
        <f>VLOOKUP(H1802,'LƯƠNG KT'!$D$15:$U$94,9,0)*$L$10</f>
        <v>#N/A</v>
      </c>
      <c r="J1807" s="1059" t="e">
        <f>+I1807*0.5*3000</f>
        <v>#N/A</v>
      </c>
      <c r="K1807" s="1085"/>
      <c r="L1807" s="1085"/>
      <c r="M1807" s="1085"/>
      <c r="N1807" s="1085"/>
      <c r="O1807" s="1085"/>
    </row>
    <row r="1808" spans="1:15" ht="15" customHeight="1">
      <c r="A1808" s="1052" t="s">
        <v>374</v>
      </c>
      <c r="B1808" s="869" t="s">
        <v>375</v>
      </c>
      <c r="C1808" s="1058" t="e">
        <f>VLOOKUP(B1802,'LƯƠNG KT'!$D$15:$U$94,8,0)*$L$11</f>
        <v>#N/A</v>
      </c>
      <c r="D1808" s="1059" t="e">
        <f>VLOOKUP(B1802,'LƯƠNG KT'!$D$15:$U$94,13,0)-D1807</f>
        <v>#N/A</v>
      </c>
      <c r="E1808" s="1063"/>
      <c r="F1808" s="1061"/>
      <c r="G1808" s="1052" t="s">
        <v>374</v>
      </c>
      <c r="H1808" s="869" t="s">
        <v>375</v>
      </c>
      <c r="I1808" s="1058" t="e">
        <f>VLOOKUP(H1802,'LƯƠNG KT'!$D$15:$U$94,8,0)*$L$11</f>
        <v>#N/A</v>
      </c>
      <c r="J1808" s="1059" t="e">
        <f>VLOOKUP(H1802,'LƯƠNG KT'!$D$15:$U$94,13,0)-J1807</f>
        <v>#N/A</v>
      </c>
      <c r="K1808" s="1085"/>
      <c r="L1808" s="1085"/>
      <c r="M1808" s="1085"/>
      <c r="N1808" s="1085"/>
      <c r="O1808" s="1085"/>
    </row>
    <row r="1809" spans="1:15" ht="15" customHeight="1">
      <c r="A1809" s="1059" t="s">
        <v>377</v>
      </c>
      <c r="B1809" s="869" t="s">
        <v>378</v>
      </c>
      <c r="C1809" s="1058"/>
      <c r="D1809" s="1059"/>
      <c r="E1809" s="1065"/>
      <c r="F1809" s="1065"/>
      <c r="G1809" s="1059" t="s">
        <v>377</v>
      </c>
      <c r="H1809" s="869" t="s">
        <v>378</v>
      </c>
      <c r="I1809" s="1058"/>
      <c r="J1809" s="1059"/>
    </row>
    <row r="1810" spans="1:15" ht="15" customHeight="1">
      <c r="A1810" s="1066" t="s">
        <v>379</v>
      </c>
      <c r="B1810" s="869" t="s">
        <v>380</v>
      </c>
      <c r="C1810" s="1058"/>
      <c r="D1810" s="1059"/>
      <c r="E1810" s="1063"/>
      <c r="F1810" s="1065"/>
      <c r="G1810" s="1066" t="s">
        <v>379</v>
      </c>
      <c r="H1810" s="869" t="s">
        <v>380</v>
      </c>
      <c r="I1810" s="1058"/>
      <c r="J1810" s="1059"/>
    </row>
    <row r="1811" spans="1:15" ht="15" customHeight="1">
      <c r="A1811" s="1052" t="s">
        <v>381</v>
      </c>
      <c r="B1811" s="869" t="s">
        <v>382</v>
      </c>
      <c r="C1811" s="1058"/>
      <c r="D1811" s="1059">
        <f>D1810</f>
        <v>0</v>
      </c>
      <c r="E1811" s="1067"/>
      <c r="F1811" s="1051"/>
      <c r="G1811" s="1052" t="s">
        <v>381</v>
      </c>
      <c r="H1811" s="869" t="s">
        <v>382</v>
      </c>
      <c r="I1811" s="1058"/>
      <c r="J1811" s="1059">
        <f>J1810</f>
        <v>0</v>
      </c>
    </row>
    <row r="1812" spans="1:15" ht="15" customHeight="1">
      <c r="A1812" s="1068" t="s">
        <v>383</v>
      </c>
      <c r="B1812" s="1069" t="s">
        <v>384</v>
      </c>
      <c r="C1812" s="1070"/>
      <c r="D1812" s="1071" t="e">
        <f>SUM(D1803:D1808)-D1811</f>
        <v>#N/A</v>
      </c>
      <c r="E1812" s="1072"/>
      <c r="F1812" s="1073"/>
      <c r="G1812" s="1068" t="s">
        <v>383</v>
      </c>
      <c r="H1812" s="1069" t="s">
        <v>384</v>
      </c>
      <c r="I1812" s="1070"/>
      <c r="J1812" s="1071" t="e">
        <f>SUM(J1803:J1808)-J1811</f>
        <v>#N/A</v>
      </c>
    </row>
    <row r="1813" spans="1:15" ht="18.75" customHeight="1">
      <c r="A1813" s="1074"/>
      <c r="B1813" s="1075"/>
      <c r="C1813" s="1076"/>
      <c r="D1813" s="1077"/>
      <c r="E1813" s="1077"/>
      <c r="F1813" s="1078"/>
      <c r="G1813" s="1074"/>
      <c r="H1813" s="1075"/>
      <c r="I1813" s="1076"/>
      <c r="J1813" s="1077"/>
    </row>
    <row r="1814" spans="1:15" ht="18.75" customHeight="1">
      <c r="A1814" s="1075"/>
      <c r="B1814" s="1075"/>
      <c r="C1814" s="1079"/>
      <c r="D1814" s="1080"/>
      <c r="E1814" s="1075"/>
      <c r="F1814" s="1081"/>
      <c r="G1814" s="1075"/>
      <c r="H1814" s="1075"/>
      <c r="I1814" s="1079"/>
      <c r="J1814" s="1080"/>
    </row>
    <row r="1815" spans="1:15" ht="15" customHeight="1">
      <c r="A1815" s="2242" t="str">
        <f>$K$2</f>
        <v>THÁNG 09/2024</v>
      </c>
      <c r="B1815" s="2242"/>
      <c r="C1815" s="2242"/>
      <c r="D1815" s="2242"/>
      <c r="E1815" s="1050"/>
      <c r="F1815" s="1051"/>
      <c r="G1815" s="2242" t="str">
        <f>$K$2</f>
        <v>THÁNG 09/2024</v>
      </c>
      <c r="H1815" s="2242"/>
      <c r="I1815" s="2242"/>
      <c r="J1815" s="2242"/>
      <c r="K1815" s="624"/>
    </row>
    <row r="1816" spans="1:15" ht="15" customHeight="1">
      <c r="A1816" s="1052" t="s">
        <v>356</v>
      </c>
      <c r="B1816" s="1053" t="s">
        <v>143</v>
      </c>
      <c r="C1816" s="869"/>
      <c r="D1816" s="1049"/>
      <c r="E1816" s="1054"/>
      <c r="F1816" s="1055"/>
      <c r="G1816" s="1052" t="s">
        <v>356</v>
      </c>
      <c r="H1816" s="1053" t="s">
        <v>144</v>
      </c>
      <c r="I1816" s="869"/>
      <c r="J1816" s="1049"/>
      <c r="L1816" s="1088"/>
      <c r="M1816" s="1088"/>
      <c r="N1816" s="1088"/>
      <c r="O1816" s="1088"/>
    </row>
    <row r="1817" spans="1:15" ht="15" customHeight="1">
      <c r="A1817" s="1052" t="s">
        <v>359</v>
      </c>
      <c r="B1817" s="1089" t="s">
        <v>360</v>
      </c>
      <c r="C1817" s="1058" t="e">
        <f>VLOOKUP(B1816,'LƯƠNG KT'!$D$15:$U$94,3,0)</f>
        <v>#N/A</v>
      </c>
      <c r="D1817" s="1059" t="e">
        <f>+C1817*25000</f>
        <v>#N/A</v>
      </c>
      <c r="E1817" s="1060"/>
      <c r="F1817" s="1060"/>
      <c r="G1817" s="1052" t="s">
        <v>359</v>
      </c>
      <c r="H1817" s="1089" t="s">
        <v>360</v>
      </c>
      <c r="I1817" s="1058" t="e">
        <f>VLOOKUP(H1816,'LƯƠNG KT'!$D$15:$U$94,3,0)</f>
        <v>#N/A</v>
      </c>
      <c r="J1817" s="1059" t="e">
        <f>+I1817*25000</f>
        <v>#N/A</v>
      </c>
      <c r="K1817" s="1085"/>
      <c r="L1817" s="1085"/>
      <c r="M1817" s="1085"/>
      <c r="N1817" s="1085"/>
      <c r="O1817" s="1085"/>
    </row>
    <row r="1818" spans="1:15" ht="15" customHeight="1">
      <c r="A1818" s="1052" t="s">
        <v>361</v>
      </c>
      <c r="B1818" s="869" t="s">
        <v>362</v>
      </c>
      <c r="C1818" s="1058" t="e">
        <f>VLOOKUP(B1816,'LƯƠNG KT'!$D$15:$U$94,14,0)</f>
        <v>#N/A</v>
      </c>
      <c r="D1818" s="1059" t="e">
        <f>C1818*$L$4</f>
        <v>#N/A</v>
      </c>
      <c r="E1818" s="1061"/>
      <c r="F1818" s="1061"/>
      <c r="G1818" s="1052" t="s">
        <v>361</v>
      </c>
      <c r="H1818" s="869" t="s">
        <v>362</v>
      </c>
      <c r="I1818" s="1058" t="e">
        <f>VLOOKUP(H1816,'LƯƠNG KT'!$D$15:$U$94,14,0)</f>
        <v>#N/A</v>
      </c>
      <c r="J1818" s="1059" t="e">
        <f>I1818*$L$4</f>
        <v>#N/A</v>
      </c>
      <c r="K1818" s="1085"/>
      <c r="L1818" s="1085"/>
      <c r="M1818" s="1085"/>
      <c r="N1818" s="1085"/>
      <c r="O1818" s="1085"/>
    </row>
    <row r="1819" spans="1:15" ht="15" customHeight="1">
      <c r="A1819" s="1052" t="s">
        <v>364</v>
      </c>
      <c r="B1819" s="869" t="s">
        <v>365</v>
      </c>
      <c r="C1819" s="1058" t="e">
        <f>VLOOKUP(B1816,'LƯƠNG KT'!$D$15:$U$94,15,0)</f>
        <v>#N/A</v>
      </c>
      <c r="D1819" s="1059" t="e">
        <f>C1819*$L$5</f>
        <v>#N/A</v>
      </c>
      <c r="E1819" s="1061"/>
      <c r="F1819" s="1061"/>
      <c r="G1819" s="1052" t="s">
        <v>364</v>
      </c>
      <c r="H1819" s="869" t="s">
        <v>365</v>
      </c>
      <c r="I1819" s="1058" t="e">
        <f>VLOOKUP(H1816,'LƯƠNG KT'!$D$15:$U$94,15,0)</f>
        <v>#N/A</v>
      </c>
      <c r="J1819" s="1059" t="e">
        <f>I1819*$L$5</f>
        <v>#N/A</v>
      </c>
      <c r="K1819" s="1085"/>
      <c r="L1819" s="1085"/>
      <c r="M1819" s="1085"/>
      <c r="N1819" s="1085"/>
      <c r="O1819" s="1085"/>
    </row>
    <row r="1820" spans="1:15" ht="15" customHeight="1">
      <c r="A1820" s="1052" t="s">
        <v>367</v>
      </c>
      <c r="B1820" s="869"/>
      <c r="C1820" s="1058" t="e">
        <f>VLOOKUP(B1816,'LƯƠNG KT'!$D$15:$U$94,16,0)</f>
        <v>#N/A</v>
      </c>
      <c r="D1820" s="1059" t="e">
        <f>+C1820*$L$6</f>
        <v>#N/A</v>
      </c>
      <c r="E1820" s="1061"/>
      <c r="F1820" s="1061"/>
      <c r="G1820" s="1052" t="s">
        <v>367</v>
      </c>
      <c r="H1820" s="869"/>
      <c r="I1820" s="1058" t="e">
        <f>VLOOKUP(H1816,'LƯƠNG KT'!$D$15:$U$94,16,0)</f>
        <v>#N/A</v>
      </c>
      <c r="J1820" s="1059" t="e">
        <f>+I1820*$L$6</f>
        <v>#N/A</v>
      </c>
      <c r="K1820" s="1085"/>
      <c r="L1820" s="1085"/>
      <c r="M1820" s="1085"/>
      <c r="N1820" s="1085"/>
      <c r="O1820" s="1085"/>
    </row>
    <row r="1821" spans="1:15" ht="15" customHeight="1">
      <c r="A1821" s="1052" t="s">
        <v>371</v>
      </c>
      <c r="B1821" s="869" t="s">
        <v>372</v>
      </c>
      <c r="C1821" s="1058" t="e">
        <f>VLOOKUP(B1816,'LƯƠNG KT'!$D$15:$U$94,9,0)*$L$10</f>
        <v>#N/A</v>
      </c>
      <c r="D1821" s="1059" t="e">
        <f>+C1821*0.5*3000</f>
        <v>#N/A</v>
      </c>
      <c r="E1821" s="1061"/>
      <c r="F1821" s="1061"/>
      <c r="G1821" s="1052" t="s">
        <v>371</v>
      </c>
      <c r="H1821" s="869" t="s">
        <v>372</v>
      </c>
      <c r="I1821" s="1058" t="e">
        <f>VLOOKUP(H1816,'LƯƠNG KT'!$D$15:$U$94,9,0)*$L$10</f>
        <v>#N/A</v>
      </c>
      <c r="J1821" s="1059" t="e">
        <f>+I1821*0.5*3000</f>
        <v>#N/A</v>
      </c>
      <c r="K1821" s="1085"/>
      <c r="L1821" s="1085"/>
      <c r="M1821" s="1085"/>
      <c r="N1821" s="1085"/>
      <c r="O1821" s="1085"/>
    </row>
    <row r="1822" spans="1:15" ht="15" customHeight="1">
      <c r="A1822" s="1052" t="s">
        <v>374</v>
      </c>
      <c r="B1822" s="869" t="s">
        <v>375</v>
      </c>
      <c r="C1822" s="1058" t="e">
        <f>VLOOKUP(B1816,'LƯƠNG KT'!$D$15:$U$94,8,0)*$L$11</f>
        <v>#N/A</v>
      </c>
      <c r="D1822" s="1059" t="e">
        <f>VLOOKUP(B1816,'LƯƠNG KT'!$D$15:$U$94,13,0)-D1821</f>
        <v>#N/A</v>
      </c>
      <c r="E1822" s="1063"/>
      <c r="F1822" s="1061"/>
      <c r="G1822" s="1052" t="s">
        <v>374</v>
      </c>
      <c r="H1822" s="869" t="s">
        <v>375</v>
      </c>
      <c r="I1822" s="1058" t="e">
        <f>VLOOKUP(H1816,'LƯƠNG KT'!$D$15:$U$94,8,0)*$L$11</f>
        <v>#N/A</v>
      </c>
      <c r="J1822" s="1059" t="e">
        <f>VLOOKUP(H1816,'LƯƠNG KT'!$D$15:$U$94,13,0)-J1821</f>
        <v>#N/A</v>
      </c>
      <c r="K1822" s="1085"/>
      <c r="L1822" s="1085"/>
      <c r="M1822" s="1085"/>
      <c r="N1822" s="1085"/>
      <c r="O1822" s="1085"/>
    </row>
    <row r="1823" spans="1:15" ht="15" customHeight="1">
      <c r="A1823" s="1059" t="s">
        <v>377</v>
      </c>
      <c r="B1823" s="869" t="s">
        <v>378</v>
      </c>
      <c r="C1823" s="1058"/>
      <c r="D1823" s="1059"/>
      <c r="E1823" s="1065"/>
      <c r="F1823" s="1065"/>
      <c r="G1823" s="1059" t="s">
        <v>377</v>
      </c>
      <c r="H1823" s="869" t="s">
        <v>378</v>
      </c>
      <c r="I1823" s="1058"/>
      <c r="J1823" s="1059"/>
    </row>
    <row r="1824" spans="1:15" ht="15" customHeight="1">
      <c r="A1824" s="1066" t="s">
        <v>379</v>
      </c>
      <c r="B1824" s="869" t="s">
        <v>380</v>
      </c>
      <c r="C1824" s="1058"/>
      <c r="D1824" s="1059"/>
      <c r="E1824" s="1063"/>
      <c r="F1824" s="1065"/>
      <c r="G1824" s="1066" t="s">
        <v>379</v>
      </c>
      <c r="H1824" s="869" t="s">
        <v>380</v>
      </c>
      <c r="I1824" s="1058"/>
      <c r="J1824" s="1059"/>
    </row>
    <row r="1825" spans="1:15" ht="15" customHeight="1">
      <c r="A1825" s="1052" t="s">
        <v>381</v>
      </c>
      <c r="B1825" s="869" t="s">
        <v>382</v>
      </c>
      <c r="C1825" s="1058"/>
      <c r="D1825" s="1059">
        <f>D1824</f>
        <v>0</v>
      </c>
      <c r="E1825" s="1067"/>
      <c r="F1825" s="1051"/>
      <c r="G1825" s="1052" t="s">
        <v>381</v>
      </c>
      <c r="H1825" s="869" t="s">
        <v>382</v>
      </c>
      <c r="I1825" s="1058"/>
      <c r="J1825" s="1059">
        <f>J1824</f>
        <v>0</v>
      </c>
    </row>
    <row r="1826" spans="1:15" ht="15" customHeight="1">
      <c r="A1826" s="1068" t="s">
        <v>383</v>
      </c>
      <c r="B1826" s="1069" t="s">
        <v>384</v>
      </c>
      <c r="C1826" s="1070"/>
      <c r="D1826" s="1071" t="e">
        <f>SUM(D1817:D1822)-D1825</f>
        <v>#N/A</v>
      </c>
      <c r="E1826" s="1072"/>
      <c r="F1826" s="1073"/>
      <c r="G1826" s="1068" t="s">
        <v>383</v>
      </c>
      <c r="H1826" s="1069" t="s">
        <v>384</v>
      </c>
      <c r="I1826" s="1070"/>
      <c r="J1826" s="1071" t="e">
        <f>SUM(J1817:J1822)-J1825</f>
        <v>#N/A</v>
      </c>
    </row>
    <row r="1827" spans="1:15" ht="18.75" customHeight="1">
      <c r="A1827" s="1074"/>
      <c r="B1827" s="1075"/>
      <c r="C1827" s="1076"/>
      <c r="D1827" s="1077"/>
      <c r="E1827" s="1077"/>
      <c r="F1827" s="1078"/>
      <c r="G1827" s="1074"/>
      <c r="H1827" s="1075"/>
      <c r="I1827" s="1076"/>
      <c r="J1827" s="1077"/>
    </row>
    <row r="1828" spans="1:15" ht="18.75" customHeight="1">
      <c r="A1828" s="1075"/>
      <c r="B1828" s="1075"/>
      <c r="C1828" s="1079"/>
      <c r="D1828" s="1080"/>
      <c r="E1828" s="1075"/>
      <c r="F1828" s="1081"/>
      <c r="G1828" s="1075"/>
      <c r="H1828" s="1075"/>
      <c r="I1828" s="1079"/>
      <c r="J1828" s="1080"/>
    </row>
    <row r="1829" spans="1:15" ht="15" customHeight="1">
      <c r="A1829" s="2242" t="str">
        <f>$K$2</f>
        <v>THÁNG 09/2024</v>
      </c>
      <c r="B1829" s="2242"/>
      <c r="C1829" s="2242"/>
      <c r="D1829" s="2242"/>
      <c r="E1829" s="1050"/>
      <c r="F1829" s="1051"/>
      <c r="G1829" s="2242" t="str">
        <f>$K$2</f>
        <v>THÁNG 09/2024</v>
      </c>
      <c r="H1829" s="2242"/>
      <c r="I1829" s="2242"/>
      <c r="J1829" s="2242"/>
      <c r="K1829" s="624"/>
    </row>
    <row r="1830" spans="1:15" ht="15" customHeight="1">
      <c r="A1830" s="1052" t="s">
        <v>356</v>
      </c>
      <c r="B1830" s="1053" t="s">
        <v>145</v>
      </c>
      <c r="C1830" s="869"/>
      <c r="D1830" s="1049"/>
      <c r="E1830" s="1054"/>
      <c r="F1830" s="1055"/>
      <c r="G1830" s="1052" t="s">
        <v>356</v>
      </c>
      <c r="H1830" s="1053" t="s">
        <v>146</v>
      </c>
      <c r="I1830" s="869"/>
      <c r="J1830" s="1049"/>
      <c r="L1830" s="1088"/>
      <c r="M1830" s="1088"/>
      <c r="N1830" s="1088"/>
      <c r="O1830" s="1088"/>
    </row>
    <row r="1831" spans="1:15" ht="15" customHeight="1">
      <c r="A1831" s="1052" t="s">
        <v>359</v>
      </c>
      <c r="B1831" s="1089" t="s">
        <v>360</v>
      </c>
      <c r="C1831" s="1058" t="e">
        <f>VLOOKUP(B1830,'LƯƠNG KT'!$D$15:$U$94,3,0)</f>
        <v>#N/A</v>
      </c>
      <c r="D1831" s="1059" t="e">
        <f>+C1831*25000</f>
        <v>#N/A</v>
      </c>
      <c r="E1831" s="1060"/>
      <c r="F1831" s="1060"/>
      <c r="G1831" s="1052" t="s">
        <v>359</v>
      </c>
      <c r="H1831" s="1089" t="s">
        <v>360</v>
      </c>
      <c r="I1831" s="1058" t="e">
        <f>VLOOKUP(H1830,'LƯƠNG KT'!$D$15:$U$94,3,0)</f>
        <v>#N/A</v>
      </c>
      <c r="J1831" s="1059" t="e">
        <f>+I1831*25000</f>
        <v>#N/A</v>
      </c>
      <c r="K1831" s="1085"/>
      <c r="L1831" s="1085"/>
      <c r="M1831" s="1085"/>
      <c r="N1831" s="1085"/>
      <c r="O1831" s="1085"/>
    </row>
    <row r="1832" spans="1:15" ht="15" customHeight="1">
      <c r="A1832" s="1052" t="s">
        <v>361</v>
      </c>
      <c r="B1832" s="869" t="s">
        <v>362</v>
      </c>
      <c r="C1832" s="1058" t="e">
        <f>VLOOKUP(B1830,'LƯƠNG KT'!$D$15:$U$94,14,0)</f>
        <v>#N/A</v>
      </c>
      <c r="D1832" s="1059" t="e">
        <f>C1832*$L$4</f>
        <v>#N/A</v>
      </c>
      <c r="E1832" s="1061"/>
      <c r="F1832" s="1061"/>
      <c r="G1832" s="1052" t="s">
        <v>361</v>
      </c>
      <c r="H1832" s="869" t="s">
        <v>362</v>
      </c>
      <c r="I1832" s="1058" t="e">
        <f>VLOOKUP(H1830,'LƯƠNG KT'!$D$15:$U$94,14,0)</f>
        <v>#N/A</v>
      </c>
      <c r="J1832" s="1059" t="e">
        <f>I1832*$L$4</f>
        <v>#N/A</v>
      </c>
      <c r="K1832" s="1085"/>
      <c r="L1832" s="1085"/>
      <c r="M1832" s="1085"/>
      <c r="N1832" s="1085"/>
      <c r="O1832" s="1085"/>
    </row>
    <row r="1833" spans="1:15" ht="15" customHeight="1">
      <c r="A1833" s="1052" t="s">
        <v>364</v>
      </c>
      <c r="B1833" s="869" t="s">
        <v>365</v>
      </c>
      <c r="C1833" s="1058" t="e">
        <f>VLOOKUP(B1830,'LƯƠNG KT'!$D$15:$U$94,15,0)</f>
        <v>#N/A</v>
      </c>
      <c r="D1833" s="1059" t="e">
        <f>C1833*$L$5</f>
        <v>#N/A</v>
      </c>
      <c r="E1833" s="1061"/>
      <c r="F1833" s="1061"/>
      <c r="G1833" s="1052" t="s">
        <v>364</v>
      </c>
      <c r="H1833" s="869" t="s">
        <v>365</v>
      </c>
      <c r="I1833" s="1058" t="e">
        <f>VLOOKUP(H1830,'LƯƠNG KT'!$D$15:$U$94,15,0)</f>
        <v>#N/A</v>
      </c>
      <c r="J1833" s="1059" t="e">
        <f>I1833*$L$5</f>
        <v>#N/A</v>
      </c>
      <c r="K1833" s="1085"/>
      <c r="L1833" s="1085"/>
      <c r="M1833" s="1085"/>
      <c r="N1833" s="1085"/>
      <c r="O1833" s="1085"/>
    </row>
    <row r="1834" spans="1:15" ht="15" customHeight="1">
      <c r="A1834" s="1052" t="s">
        <v>367</v>
      </c>
      <c r="B1834" s="869"/>
      <c r="C1834" s="1058" t="e">
        <f>VLOOKUP(B1830,'LƯƠNG KT'!$D$15:$U$94,16,0)</f>
        <v>#N/A</v>
      </c>
      <c r="D1834" s="1059" t="e">
        <f>+C1834*$L$6</f>
        <v>#N/A</v>
      </c>
      <c r="E1834" s="1061"/>
      <c r="F1834" s="1061"/>
      <c r="G1834" s="1052" t="s">
        <v>367</v>
      </c>
      <c r="H1834" s="869"/>
      <c r="I1834" s="1058" t="e">
        <f>VLOOKUP(H1830,'LƯƠNG KT'!$D$15:$U$94,16,0)</f>
        <v>#N/A</v>
      </c>
      <c r="J1834" s="1059" t="e">
        <f>+I1834*$L$6</f>
        <v>#N/A</v>
      </c>
      <c r="K1834" s="1085"/>
      <c r="L1834" s="1085"/>
      <c r="M1834" s="1085"/>
      <c r="N1834" s="1085"/>
      <c r="O1834" s="1085"/>
    </row>
    <row r="1835" spans="1:15" ht="15" customHeight="1">
      <c r="A1835" s="1052" t="s">
        <v>371</v>
      </c>
      <c r="B1835" s="869" t="s">
        <v>372</v>
      </c>
      <c r="C1835" s="1058" t="e">
        <f>VLOOKUP(B1830,'LƯƠNG KT'!$D$15:$U$94,9,0)*$L$10</f>
        <v>#N/A</v>
      </c>
      <c r="D1835" s="1059" t="e">
        <f>+C1835*0.5*3000</f>
        <v>#N/A</v>
      </c>
      <c r="E1835" s="1061"/>
      <c r="F1835" s="1061"/>
      <c r="G1835" s="1052" t="s">
        <v>371</v>
      </c>
      <c r="H1835" s="869" t="s">
        <v>372</v>
      </c>
      <c r="I1835" s="1058" t="e">
        <f>VLOOKUP(H1830,'LƯƠNG KT'!$D$15:$U$94,9,0)*$L$10</f>
        <v>#N/A</v>
      </c>
      <c r="J1835" s="1059" t="e">
        <f>+I1835*0.5*3000</f>
        <v>#N/A</v>
      </c>
      <c r="K1835" s="1085"/>
      <c r="L1835" s="1085"/>
      <c r="M1835" s="1085"/>
      <c r="N1835" s="1085"/>
      <c r="O1835" s="1085"/>
    </row>
    <row r="1836" spans="1:15" ht="15" customHeight="1">
      <c r="A1836" s="1052" t="s">
        <v>374</v>
      </c>
      <c r="B1836" s="869" t="s">
        <v>375</v>
      </c>
      <c r="C1836" s="1058" t="e">
        <f>VLOOKUP(B1830,'LƯƠNG KT'!$D$15:$U$94,8,0)*$L$11</f>
        <v>#N/A</v>
      </c>
      <c r="D1836" s="1059" t="e">
        <f>VLOOKUP(B1830,'LƯƠNG KT'!$D$15:$U$94,13,0)-D1835</f>
        <v>#N/A</v>
      </c>
      <c r="E1836" s="1063"/>
      <c r="F1836" s="1061"/>
      <c r="G1836" s="1052" t="s">
        <v>374</v>
      </c>
      <c r="H1836" s="869" t="s">
        <v>375</v>
      </c>
      <c r="I1836" s="1058" t="e">
        <f>VLOOKUP(H1830,'LƯƠNG KT'!$D$15:$U$94,8,0)*$L$11</f>
        <v>#N/A</v>
      </c>
      <c r="J1836" s="1059" t="e">
        <f>VLOOKUP(H1830,'LƯƠNG KT'!$D$15:$U$94,13,0)-J1835</f>
        <v>#N/A</v>
      </c>
      <c r="K1836" s="1085"/>
      <c r="L1836" s="1085"/>
      <c r="M1836" s="1085"/>
      <c r="N1836" s="1085"/>
      <c r="O1836" s="1085"/>
    </row>
    <row r="1837" spans="1:15" ht="15" customHeight="1">
      <c r="A1837" s="1059" t="s">
        <v>377</v>
      </c>
      <c r="B1837" s="869" t="s">
        <v>378</v>
      </c>
      <c r="C1837" s="1058"/>
      <c r="D1837" s="1059"/>
      <c r="E1837" s="1065"/>
      <c r="F1837" s="1065"/>
      <c r="G1837" s="1059" t="s">
        <v>377</v>
      </c>
      <c r="H1837" s="869" t="s">
        <v>378</v>
      </c>
      <c r="I1837" s="1058"/>
      <c r="J1837" s="1059"/>
    </row>
    <row r="1838" spans="1:15" ht="15" customHeight="1">
      <c r="A1838" s="1066" t="s">
        <v>379</v>
      </c>
      <c r="B1838" s="869" t="s">
        <v>380</v>
      </c>
      <c r="C1838" s="1058"/>
      <c r="D1838" s="1059"/>
      <c r="E1838" s="1063"/>
      <c r="F1838" s="1065"/>
      <c r="G1838" s="1066" t="s">
        <v>379</v>
      </c>
      <c r="H1838" s="869" t="s">
        <v>380</v>
      </c>
      <c r="I1838" s="1058"/>
      <c r="J1838" s="1059"/>
    </row>
    <row r="1839" spans="1:15" ht="15" customHeight="1">
      <c r="A1839" s="1052" t="s">
        <v>381</v>
      </c>
      <c r="B1839" s="869" t="s">
        <v>382</v>
      </c>
      <c r="C1839" s="1058"/>
      <c r="D1839" s="1059">
        <f>D1838</f>
        <v>0</v>
      </c>
      <c r="E1839" s="1067"/>
      <c r="F1839" s="1051"/>
      <c r="G1839" s="1052" t="s">
        <v>381</v>
      </c>
      <c r="H1839" s="869" t="s">
        <v>382</v>
      </c>
      <c r="I1839" s="1058"/>
      <c r="J1839" s="1059">
        <f>J1838</f>
        <v>0</v>
      </c>
    </row>
    <row r="1840" spans="1:15" ht="15" customHeight="1">
      <c r="A1840" s="1068" t="s">
        <v>383</v>
      </c>
      <c r="B1840" s="1069" t="s">
        <v>384</v>
      </c>
      <c r="C1840" s="1070"/>
      <c r="D1840" s="1071" t="e">
        <f>SUM(D1831:D1836)-D1839</f>
        <v>#N/A</v>
      </c>
      <c r="E1840" s="1072"/>
      <c r="F1840" s="1073"/>
      <c r="G1840" s="1068" t="s">
        <v>383</v>
      </c>
      <c r="H1840" s="1069" t="s">
        <v>384</v>
      </c>
      <c r="I1840" s="1070"/>
      <c r="J1840" s="1071" t="e">
        <f>SUM(J1831:J1836)-J1839</f>
        <v>#N/A</v>
      </c>
    </row>
    <row r="1841" spans="1:15" ht="15.75" customHeight="1">
      <c r="A1841" s="1074"/>
      <c r="B1841" s="1075"/>
      <c r="C1841" s="1076"/>
      <c r="D1841" s="1077"/>
      <c r="E1841" s="1077"/>
      <c r="F1841" s="1078"/>
      <c r="G1841" s="1074"/>
      <c r="H1841" s="1075"/>
      <c r="I1841" s="1076"/>
      <c r="J1841" s="1077"/>
    </row>
    <row r="1843" spans="1:15" ht="12" customHeight="1">
      <c r="A1843" s="2243"/>
      <c r="B1843" s="2243"/>
      <c r="C1843" s="2243"/>
      <c r="D1843" s="2243"/>
      <c r="E1843" s="2243"/>
      <c r="F1843" s="2243"/>
      <c r="G1843" s="2243"/>
      <c r="H1843" s="2243"/>
      <c r="I1843" s="2243"/>
      <c r="J1843" s="2243"/>
    </row>
    <row r="1844" spans="1:15" ht="15" customHeight="1">
      <c r="A1844" s="2242" t="str">
        <f>$K$2</f>
        <v>THÁNG 09/2024</v>
      </c>
      <c r="B1844" s="2242"/>
      <c r="C1844" s="2242"/>
      <c r="D1844" s="2242"/>
      <c r="E1844" s="1050"/>
      <c r="F1844" s="1051"/>
      <c r="G1844" s="2242" t="str">
        <f>$K$2</f>
        <v>THÁNG 09/2024</v>
      </c>
      <c r="H1844" s="2242"/>
      <c r="I1844" s="2242"/>
      <c r="J1844" s="2242"/>
      <c r="K1844" s="624"/>
    </row>
    <row r="1845" spans="1:15" ht="15" customHeight="1">
      <c r="A1845" s="1052" t="s">
        <v>356</v>
      </c>
      <c r="B1845" s="1053" t="s">
        <v>147</v>
      </c>
      <c r="C1845" s="869"/>
      <c r="D1845" s="1049"/>
      <c r="E1845" s="1054"/>
      <c r="F1845" s="1055"/>
      <c r="G1845" s="1052" t="s">
        <v>356</v>
      </c>
      <c r="H1845" s="1053" t="s">
        <v>148</v>
      </c>
      <c r="I1845" s="869"/>
      <c r="J1845" s="1049"/>
      <c r="L1845" s="1088"/>
      <c r="M1845" s="1088"/>
      <c r="N1845" s="1088"/>
      <c r="O1845" s="1088"/>
    </row>
    <row r="1846" spans="1:15" ht="15" customHeight="1">
      <c r="A1846" s="1052" t="s">
        <v>359</v>
      </c>
      <c r="B1846" s="1089" t="s">
        <v>360</v>
      </c>
      <c r="C1846" s="1058" t="e">
        <f>VLOOKUP(B1845,'LƯƠNG KT'!$D$15:$U$94,3,0)</f>
        <v>#N/A</v>
      </c>
      <c r="D1846" s="1059" t="e">
        <f>+C1846*25000</f>
        <v>#N/A</v>
      </c>
      <c r="E1846" s="1060"/>
      <c r="F1846" s="1060"/>
      <c r="G1846" s="1052" t="s">
        <v>359</v>
      </c>
      <c r="H1846" s="1089" t="s">
        <v>360</v>
      </c>
      <c r="I1846" s="1058" t="e">
        <f>VLOOKUP(H1845,'LƯƠNG KT'!$D$15:$U$94,3,0)</f>
        <v>#N/A</v>
      </c>
      <c r="J1846" s="1059" t="e">
        <f>+I1846*25000</f>
        <v>#N/A</v>
      </c>
      <c r="K1846" s="1084"/>
      <c r="L1846" s="1085"/>
      <c r="M1846" s="1085"/>
      <c r="N1846" s="1085"/>
      <c r="O1846" s="1085"/>
    </row>
    <row r="1847" spans="1:15" ht="15" customHeight="1">
      <c r="A1847" s="1052" t="s">
        <v>361</v>
      </c>
      <c r="B1847" s="869" t="s">
        <v>362</v>
      </c>
      <c r="C1847" s="1058" t="e">
        <f>VLOOKUP(B1845,'LƯƠNG KT'!$D$15:$U$94,14,0)</f>
        <v>#N/A</v>
      </c>
      <c r="D1847" s="1059" t="e">
        <f>C1847*$L$4</f>
        <v>#N/A</v>
      </c>
      <c r="E1847" s="1061"/>
      <c r="F1847" s="1061"/>
      <c r="G1847" s="1052" t="s">
        <v>361</v>
      </c>
      <c r="H1847" s="869" t="s">
        <v>362</v>
      </c>
      <c r="I1847" s="1058" t="e">
        <f>VLOOKUP(H1845,'LƯƠNG KT'!$D$15:$U$94,14,0)</f>
        <v>#N/A</v>
      </c>
      <c r="J1847" s="1059" t="e">
        <f>I1847*$L$4</f>
        <v>#N/A</v>
      </c>
      <c r="K1847" s="1084"/>
      <c r="L1847" s="1085"/>
      <c r="M1847" s="1085"/>
      <c r="N1847" s="1085"/>
      <c r="O1847" s="1085"/>
    </row>
    <row r="1848" spans="1:15" ht="15" customHeight="1">
      <c r="A1848" s="1052" t="s">
        <v>364</v>
      </c>
      <c r="B1848" s="869" t="s">
        <v>365</v>
      </c>
      <c r="C1848" s="1058" t="e">
        <f>VLOOKUP(B1845,'LƯƠNG KT'!$D$15:$U$94,15,0)</f>
        <v>#N/A</v>
      </c>
      <c r="D1848" s="1059" t="e">
        <f>C1848*$L$5</f>
        <v>#N/A</v>
      </c>
      <c r="E1848" s="1061"/>
      <c r="F1848" s="1061"/>
      <c r="G1848" s="1052" t="s">
        <v>364</v>
      </c>
      <c r="H1848" s="869" t="s">
        <v>365</v>
      </c>
      <c r="I1848" s="1058" t="e">
        <f>VLOOKUP(H1845,'LƯƠNG KT'!$D$15:$U$94,15,0)</f>
        <v>#N/A</v>
      </c>
      <c r="J1848" s="1059" t="e">
        <f>I1848*$L$5</f>
        <v>#N/A</v>
      </c>
      <c r="K1848" s="1084"/>
      <c r="L1848" s="1085"/>
      <c r="M1848" s="1085"/>
      <c r="N1848" s="1085"/>
      <c r="O1848" s="1085"/>
    </row>
    <row r="1849" spans="1:15" ht="15" customHeight="1">
      <c r="A1849" s="1052" t="s">
        <v>367</v>
      </c>
      <c r="B1849" s="869"/>
      <c r="C1849" s="1058" t="e">
        <f>VLOOKUP(B1845,'LƯƠNG KT'!$D$15:$U$94,16,0)</f>
        <v>#N/A</v>
      </c>
      <c r="D1849" s="1059" t="e">
        <f>+C1849*$L$6</f>
        <v>#N/A</v>
      </c>
      <c r="E1849" s="1061"/>
      <c r="F1849" s="1061"/>
      <c r="G1849" s="1052" t="s">
        <v>367</v>
      </c>
      <c r="H1849" s="869"/>
      <c r="I1849" s="1058" t="e">
        <f>VLOOKUP(H1845,'LƯƠNG KT'!$D$15:$U$94,16,0)</f>
        <v>#N/A</v>
      </c>
      <c r="J1849" s="1059" t="e">
        <f>+I1849*$L$6</f>
        <v>#N/A</v>
      </c>
      <c r="K1849" s="1085"/>
      <c r="L1849" s="1085"/>
      <c r="M1849" s="1085"/>
      <c r="N1849" s="1085"/>
      <c r="O1849" s="1085"/>
    </row>
    <row r="1850" spans="1:15" ht="15" customHeight="1">
      <c r="A1850" s="1052" t="s">
        <v>371</v>
      </c>
      <c r="B1850" s="869" t="s">
        <v>372</v>
      </c>
      <c r="C1850" s="1058" t="e">
        <f>VLOOKUP(B1845,'LƯƠNG KT'!$D$15:$U$94,9,0)*$L$10</f>
        <v>#N/A</v>
      </c>
      <c r="D1850" s="1059" t="e">
        <f>+C1850*0.5*3000</f>
        <v>#N/A</v>
      </c>
      <c r="E1850" s="1061"/>
      <c r="F1850" s="1061"/>
      <c r="G1850" s="1052" t="s">
        <v>371</v>
      </c>
      <c r="H1850" s="869" t="s">
        <v>372</v>
      </c>
      <c r="I1850" s="1058" t="e">
        <f>VLOOKUP(H1845,'LƯƠNG KT'!$D$15:$U$94,9,0)*$L$10</f>
        <v>#N/A</v>
      </c>
      <c r="J1850" s="1059" t="e">
        <f>+I1850*0.5*3000</f>
        <v>#N/A</v>
      </c>
      <c r="K1850" s="1085"/>
      <c r="L1850" s="1085"/>
      <c r="M1850" s="1085"/>
      <c r="N1850" s="1085"/>
      <c r="O1850" s="1085"/>
    </row>
    <row r="1851" spans="1:15" ht="15" customHeight="1">
      <c r="A1851" s="1052" t="s">
        <v>374</v>
      </c>
      <c r="B1851" s="869" t="s">
        <v>375</v>
      </c>
      <c r="C1851" s="1058" t="e">
        <f>VLOOKUP(B1845,'LƯƠNG KT'!$D$15:$U$94,8,0)*$L$11</f>
        <v>#N/A</v>
      </c>
      <c r="D1851" s="1059" t="e">
        <f>VLOOKUP(B1845,'LƯƠNG KT'!$D$15:$U$94,13,0)-D1850</f>
        <v>#N/A</v>
      </c>
      <c r="E1851" s="1063"/>
      <c r="F1851" s="1061"/>
      <c r="G1851" s="1052" t="s">
        <v>374</v>
      </c>
      <c r="H1851" s="869" t="s">
        <v>375</v>
      </c>
      <c r="I1851" s="1058" t="e">
        <f>VLOOKUP(H1845,'LƯƠNG KT'!$D$15:$U$94,8,0)*$L$11</f>
        <v>#N/A</v>
      </c>
      <c r="J1851" s="1059" t="e">
        <f>VLOOKUP(H1845,'LƯƠNG KT'!$D$15:$U$94,13,0)-J1850</f>
        <v>#N/A</v>
      </c>
      <c r="K1851" s="1085"/>
      <c r="L1851" s="1085"/>
      <c r="M1851" s="1085"/>
      <c r="N1851" s="1085"/>
      <c r="O1851" s="1085"/>
    </row>
    <row r="1852" spans="1:15" ht="15" customHeight="1">
      <c r="A1852" s="1059" t="s">
        <v>377</v>
      </c>
      <c r="B1852" s="869" t="s">
        <v>378</v>
      </c>
      <c r="C1852" s="1058"/>
      <c r="D1852" s="1059"/>
      <c r="E1852" s="1065"/>
      <c r="F1852" s="1065"/>
      <c r="G1852" s="1059" t="s">
        <v>377</v>
      </c>
      <c r="H1852" s="869" t="s">
        <v>378</v>
      </c>
      <c r="I1852" s="1058"/>
      <c r="J1852" s="1059"/>
    </row>
    <row r="1853" spans="1:15" ht="15" customHeight="1">
      <c r="A1853" s="1066" t="s">
        <v>379</v>
      </c>
      <c r="B1853" s="869" t="s">
        <v>380</v>
      </c>
      <c r="C1853" s="1058"/>
      <c r="D1853" s="1059"/>
      <c r="E1853" s="1063"/>
      <c r="F1853" s="1065"/>
      <c r="G1853" s="1066" t="s">
        <v>379</v>
      </c>
      <c r="H1853" s="869" t="s">
        <v>380</v>
      </c>
      <c r="I1853" s="1058"/>
      <c r="J1853" s="1059"/>
    </row>
    <row r="1854" spans="1:15" ht="15" customHeight="1">
      <c r="A1854" s="1052" t="s">
        <v>381</v>
      </c>
      <c r="B1854" s="869" t="s">
        <v>382</v>
      </c>
      <c r="C1854" s="1058"/>
      <c r="D1854" s="1059">
        <f>D1853</f>
        <v>0</v>
      </c>
      <c r="E1854" s="1067"/>
      <c r="F1854" s="1051"/>
      <c r="G1854" s="1052" t="s">
        <v>381</v>
      </c>
      <c r="H1854" s="869" t="s">
        <v>382</v>
      </c>
      <c r="I1854" s="1058"/>
      <c r="J1854" s="1059">
        <f>J1853</f>
        <v>0</v>
      </c>
    </row>
    <row r="1855" spans="1:15" ht="15" customHeight="1">
      <c r="A1855" s="1068" t="s">
        <v>383</v>
      </c>
      <c r="B1855" s="1069" t="s">
        <v>384</v>
      </c>
      <c r="C1855" s="1070"/>
      <c r="D1855" s="1071" t="e">
        <f>SUM(D1846:D1851)-D1854</f>
        <v>#N/A</v>
      </c>
      <c r="E1855" s="1072"/>
      <c r="F1855" s="1073"/>
      <c r="G1855" s="1068" t="s">
        <v>383</v>
      </c>
      <c r="H1855" s="1069" t="s">
        <v>384</v>
      </c>
      <c r="I1855" s="1070"/>
      <c r="J1855" s="1071" t="e">
        <f>SUM(J1846:J1851)-J1854</f>
        <v>#N/A</v>
      </c>
    </row>
    <row r="1856" spans="1:15" ht="12.6" customHeight="1">
      <c r="A1856" s="1074"/>
      <c r="B1856" s="1075"/>
      <c r="C1856" s="1076"/>
      <c r="D1856" s="1077"/>
      <c r="E1856" s="1077"/>
      <c r="F1856" s="1078"/>
      <c r="G1856" s="1074"/>
      <c r="H1856" s="1075"/>
      <c r="I1856" s="1076"/>
      <c r="J1856" s="1077"/>
    </row>
    <row r="1857" spans="1:15" ht="12.6" customHeight="1">
      <c r="A1857" s="1075"/>
      <c r="B1857" s="1075"/>
      <c r="C1857" s="1079"/>
      <c r="D1857" s="1080"/>
      <c r="E1857" s="1075"/>
      <c r="F1857" s="1081"/>
      <c r="G1857" s="1075"/>
      <c r="H1857" s="1075"/>
      <c r="I1857" s="1079"/>
      <c r="J1857" s="1080"/>
    </row>
    <row r="1858" spans="1:15" ht="15" customHeight="1">
      <c r="A1858" s="2242" t="str">
        <f>$K$2</f>
        <v>THÁNG 09/2024</v>
      </c>
      <c r="B1858" s="2242"/>
      <c r="C1858" s="2242"/>
      <c r="D1858" s="2242"/>
      <c r="E1858" s="1050"/>
      <c r="F1858" s="1051"/>
      <c r="G1858" s="2242" t="str">
        <f>$K$2</f>
        <v>THÁNG 09/2024</v>
      </c>
      <c r="H1858" s="2242"/>
      <c r="I1858" s="2242"/>
      <c r="J1858" s="2242"/>
      <c r="K1858" s="624"/>
    </row>
    <row r="1859" spans="1:15" ht="15" customHeight="1">
      <c r="A1859" s="1052" t="s">
        <v>356</v>
      </c>
      <c r="B1859" s="1053" t="s">
        <v>149</v>
      </c>
      <c r="C1859" s="869"/>
      <c r="D1859" s="1049"/>
      <c r="E1859" s="1054"/>
      <c r="F1859" s="1055"/>
      <c r="G1859" s="1052" t="s">
        <v>356</v>
      </c>
      <c r="H1859" s="1053" t="s">
        <v>150</v>
      </c>
      <c r="I1859" s="869"/>
      <c r="J1859" s="1049"/>
      <c r="L1859" s="1088"/>
      <c r="M1859" s="1088"/>
      <c r="N1859" s="1088"/>
      <c r="O1859" s="1088"/>
    </row>
    <row r="1860" spans="1:15" ht="15" customHeight="1">
      <c r="A1860" s="1052" t="s">
        <v>359</v>
      </c>
      <c r="B1860" s="1089" t="s">
        <v>360</v>
      </c>
      <c r="C1860" s="1058" t="e">
        <f>VLOOKUP(B1859,'LƯƠNG KT'!$D$15:$U$94,3,0)</f>
        <v>#N/A</v>
      </c>
      <c r="D1860" s="1059" t="e">
        <f>+C1860*25000</f>
        <v>#N/A</v>
      </c>
      <c r="E1860" s="1060"/>
      <c r="F1860" s="1060"/>
      <c r="G1860" s="1052" t="s">
        <v>359</v>
      </c>
      <c r="H1860" s="1089" t="s">
        <v>360</v>
      </c>
      <c r="I1860" s="1058" t="e">
        <f>VLOOKUP(H1859,'LƯƠNG KT'!$D$15:$U$94,3,0)</f>
        <v>#N/A</v>
      </c>
      <c r="J1860" s="1059" t="e">
        <f>+I1860*25000</f>
        <v>#N/A</v>
      </c>
      <c r="K1860" s="1085"/>
      <c r="L1860" s="1085"/>
      <c r="M1860" s="1085"/>
      <c r="N1860" s="1085"/>
      <c r="O1860" s="1085"/>
    </row>
    <row r="1861" spans="1:15" ht="15" customHeight="1">
      <c r="A1861" s="1052" t="s">
        <v>361</v>
      </c>
      <c r="B1861" s="869" t="s">
        <v>362</v>
      </c>
      <c r="C1861" s="1058" t="e">
        <f>VLOOKUP(B1859,'LƯƠNG KT'!$D$15:$U$94,14,0)</f>
        <v>#N/A</v>
      </c>
      <c r="D1861" s="1059" t="e">
        <f>C1861*$L$4</f>
        <v>#N/A</v>
      </c>
      <c r="E1861" s="1061"/>
      <c r="F1861" s="1061"/>
      <c r="G1861" s="1052" t="s">
        <v>361</v>
      </c>
      <c r="H1861" s="869" t="s">
        <v>362</v>
      </c>
      <c r="I1861" s="1058" t="e">
        <f>VLOOKUP(H1859,'LƯƠNG KT'!$D$15:$U$94,14,0)</f>
        <v>#N/A</v>
      </c>
      <c r="J1861" s="1059" t="e">
        <f>I1861*$L$4</f>
        <v>#N/A</v>
      </c>
      <c r="K1861" s="1085"/>
      <c r="L1861" s="1085"/>
      <c r="M1861" s="1085"/>
      <c r="N1861" s="1085"/>
      <c r="O1861" s="1085"/>
    </row>
    <row r="1862" spans="1:15" ht="15" customHeight="1">
      <c r="A1862" s="1052" t="s">
        <v>364</v>
      </c>
      <c r="B1862" s="869" t="s">
        <v>365</v>
      </c>
      <c r="C1862" s="1058" t="e">
        <f>VLOOKUP(B1859,'LƯƠNG KT'!$D$15:$U$94,15,0)</f>
        <v>#N/A</v>
      </c>
      <c r="D1862" s="1059" t="e">
        <f>C1862*$L$5</f>
        <v>#N/A</v>
      </c>
      <c r="E1862" s="1061"/>
      <c r="F1862" s="1061"/>
      <c r="G1862" s="1052" t="s">
        <v>364</v>
      </c>
      <c r="H1862" s="869" t="s">
        <v>365</v>
      </c>
      <c r="I1862" s="1058" t="e">
        <f>VLOOKUP(H1859,'LƯƠNG KT'!$D$15:$U$94,15,0)</f>
        <v>#N/A</v>
      </c>
      <c r="J1862" s="1059" t="e">
        <f>I1862*$L$5</f>
        <v>#N/A</v>
      </c>
      <c r="K1862" s="1085"/>
      <c r="L1862" s="1085"/>
      <c r="M1862" s="1085"/>
      <c r="N1862" s="1085"/>
      <c r="O1862" s="1085"/>
    </row>
    <row r="1863" spans="1:15" ht="15" customHeight="1">
      <c r="A1863" s="1052" t="s">
        <v>367</v>
      </c>
      <c r="B1863" s="869"/>
      <c r="C1863" s="1058" t="e">
        <f>VLOOKUP(B1859,'LƯƠNG KT'!$D$15:$U$94,16,0)</f>
        <v>#N/A</v>
      </c>
      <c r="D1863" s="1059" t="e">
        <f>+C1863*$L$6</f>
        <v>#N/A</v>
      </c>
      <c r="E1863" s="1061"/>
      <c r="F1863" s="1061"/>
      <c r="G1863" s="1052" t="s">
        <v>367</v>
      </c>
      <c r="H1863" s="869"/>
      <c r="I1863" s="1058" t="e">
        <f>VLOOKUP(H1859,'LƯƠNG KT'!$D$15:$U$94,16,0)</f>
        <v>#N/A</v>
      </c>
      <c r="J1863" s="1059" t="e">
        <f>+I1863*$L$6</f>
        <v>#N/A</v>
      </c>
      <c r="K1863" s="1085"/>
      <c r="L1863" s="1085"/>
      <c r="M1863" s="1085"/>
      <c r="N1863" s="1085"/>
      <c r="O1863" s="1085"/>
    </row>
    <row r="1864" spans="1:15" ht="15" customHeight="1">
      <c r="A1864" s="1052" t="s">
        <v>371</v>
      </c>
      <c r="B1864" s="869" t="s">
        <v>372</v>
      </c>
      <c r="C1864" s="1058" t="e">
        <f>VLOOKUP(B1859,'LƯƠNG KT'!$D$15:$U$94,9,0)*$L$10</f>
        <v>#N/A</v>
      </c>
      <c r="D1864" s="1059" t="e">
        <f>+C1864*0.5*3000</f>
        <v>#N/A</v>
      </c>
      <c r="E1864" s="1061"/>
      <c r="F1864" s="1061"/>
      <c r="G1864" s="1052" t="s">
        <v>371</v>
      </c>
      <c r="H1864" s="869" t="s">
        <v>372</v>
      </c>
      <c r="I1864" s="1058" t="e">
        <f>VLOOKUP(H1859,'LƯƠNG KT'!$D$15:$U$94,9,0)*$L$10</f>
        <v>#N/A</v>
      </c>
      <c r="J1864" s="1059" t="e">
        <f>+I1864*0.5*3000</f>
        <v>#N/A</v>
      </c>
      <c r="K1864" s="1085"/>
      <c r="L1864" s="1085"/>
      <c r="M1864" s="1085"/>
      <c r="N1864" s="1085"/>
      <c r="O1864" s="1085"/>
    </row>
    <row r="1865" spans="1:15" ht="15" customHeight="1">
      <c r="A1865" s="1052" t="s">
        <v>374</v>
      </c>
      <c r="B1865" s="869" t="s">
        <v>375</v>
      </c>
      <c r="C1865" s="1058" t="e">
        <f>VLOOKUP(B1859,'LƯƠNG KT'!$D$15:$U$94,8,0)*$L$11</f>
        <v>#N/A</v>
      </c>
      <c r="D1865" s="1059" t="e">
        <f>VLOOKUP(B1859,'LƯƠNG KT'!$D$15:$U$94,13,0)-D1864</f>
        <v>#N/A</v>
      </c>
      <c r="E1865" s="1063"/>
      <c r="F1865" s="1061"/>
      <c r="G1865" s="1052" t="s">
        <v>374</v>
      </c>
      <c r="H1865" s="869" t="s">
        <v>375</v>
      </c>
      <c r="I1865" s="1058" t="e">
        <f>VLOOKUP(H1859,'LƯƠNG KT'!$D$15:$U$94,8,0)*$L$11</f>
        <v>#N/A</v>
      </c>
      <c r="J1865" s="1059" t="e">
        <f>VLOOKUP(H1859,'LƯƠNG KT'!$D$15:$U$94,13,0)-J1864</f>
        <v>#N/A</v>
      </c>
      <c r="K1865" s="1085"/>
      <c r="L1865" s="1085"/>
      <c r="M1865" s="1085"/>
      <c r="N1865" s="1085"/>
      <c r="O1865" s="1085"/>
    </row>
    <row r="1866" spans="1:15" ht="15" customHeight="1">
      <c r="A1866" s="1059" t="s">
        <v>377</v>
      </c>
      <c r="B1866" s="869" t="s">
        <v>378</v>
      </c>
      <c r="C1866" s="1058"/>
      <c r="D1866" s="1059"/>
      <c r="E1866" s="1065"/>
      <c r="F1866" s="1065"/>
      <c r="G1866" s="1059" t="s">
        <v>377</v>
      </c>
      <c r="H1866" s="869" t="s">
        <v>378</v>
      </c>
      <c r="I1866" s="1058"/>
      <c r="J1866" s="1059"/>
    </row>
    <row r="1867" spans="1:15" ht="15" customHeight="1">
      <c r="A1867" s="1066" t="s">
        <v>379</v>
      </c>
      <c r="B1867" s="869" t="s">
        <v>380</v>
      </c>
      <c r="C1867" s="1058"/>
      <c r="D1867" s="1059"/>
      <c r="E1867" s="1063"/>
      <c r="F1867" s="1065"/>
      <c r="G1867" s="1066" t="s">
        <v>379</v>
      </c>
      <c r="H1867" s="869" t="s">
        <v>380</v>
      </c>
      <c r="I1867" s="1058"/>
      <c r="J1867" s="1059"/>
    </row>
    <row r="1868" spans="1:15" ht="15" customHeight="1">
      <c r="A1868" s="1052" t="s">
        <v>381</v>
      </c>
      <c r="B1868" s="869" t="s">
        <v>382</v>
      </c>
      <c r="C1868" s="1058"/>
      <c r="D1868" s="1059">
        <f>D1867</f>
        <v>0</v>
      </c>
      <c r="E1868" s="1067"/>
      <c r="F1868" s="1051"/>
      <c r="G1868" s="1052" t="s">
        <v>381</v>
      </c>
      <c r="H1868" s="869" t="s">
        <v>382</v>
      </c>
      <c r="I1868" s="1058"/>
      <c r="J1868" s="1059">
        <f>J1867</f>
        <v>0</v>
      </c>
    </row>
    <row r="1869" spans="1:15" ht="15" customHeight="1">
      <c r="A1869" s="1068" t="s">
        <v>383</v>
      </c>
      <c r="B1869" s="1069" t="s">
        <v>384</v>
      </c>
      <c r="C1869" s="1070"/>
      <c r="D1869" s="1071" t="e">
        <f>SUM(D1860:D1865)-D1868</f>
        <v>#N/A</v>
      </c>
      <c r="E1869" s="1072"/>
      <c r="F1869" s="1073"/>
      <c r="G1869" s="1068" t="s">
        <v>383</v>
      </c>
      <c r="H1869" s="1069" t="s">
        <v>384</v>
      </c>
      <c r="I1869" s="1070"/>
      <c r="J1869" s="1071" t="e">
        <f>SUM(J1860:J1865)-J1868</f>
        <v>#N/A</v>
      </c>
    </row>
    <row r="1870" spans="1:15" ht="18.75" customHeight="1">
      <c r="A1870" s="1074"/>
      <c r="B1870" s="1075"/>
      <c r="C1870" s="1076"/>
      <c r="D1870" s="1077"/>
      <c r="E1870" s="1077"/>
      <c r="F1870" s="1078"/>
      <c r="G1870" s="1074"/>
      <c r="H1870" s="1075"/>
      <c r="I1870" s="1076"/>
      <c r="J1870" s="1077"/>
    </row>
    <row r="1871" spans="1:15" ht="18.75" customHeight="1">
      <c r="A1871" s="1075"/>
      <c r="B1871" s="1075"/>
      <c r="C1871" s="1079"/>
      <c r="D1871" s="1080"/>
      <c r="E1871" s="1075"/>
      <c r="F1871" s="1081"/>
      <c r="G1871" s="1075"/>
      <c r="H1871" s="1075"/>
      <c r="I1871" s="1079"/>
      <c r="J1871" s="1080"/>
    </row>
    <row r="1872" spans="1:15" ht="15" customHeight="1">
      <c r="A1872" s="2242" t="str">
        <f>$K$2</f>
        <v>THÁNG 09/2024</v>
      </c>
      <c r="B1872" s="2242"/>
      <c r="C1872" s="2242"/>
      <c r="D1872" s="2242"/>
      <c r="E1872" s="1050"/>
      <c r="F1872" s="1051"/>
      <c r="G1872" s="2242" t="str">
        <f>$K$2</f>
        <v>THÁNG 09/2024</v>
      </c>
      <c r="H1872" s="2242"/>
      <c r="I1872" s="2242"/>
      <c r="J1872" s="2242"/>
      <c r="K1872" s="624"/>
    </row>
    <row r="1873" spans="1:15" ht="15" customHeight="1">
      <c r="A1873" s="1052" t="s">
        <v>356</v>
      </c>
      <c r="B1873" s="1053" t="s">
        <v>151</v>
      </c>
      <c r="C1873" s="869"/>
      <c r="D1873" s="1049"/>
      <c r="E1873" s="1054"/>
      <c r="F1873" s="1055"/>
      <c r="G1873" s="1052" t="s">
        <v>356</v>
      </c>
      <c r="H1873" s="1053" t="s">
        <v>152</v>
      </c>
      <c r="I1873" s="869"/>
      <c r="J1873" s="1049"/>
      <c r="L1873" s="1088"/>
      <c r="M1873" s="1088"/>
      <c r="N1873" s="1088"/>
      <c r="O1873" s="1088"/>
    </row>
    <row r="1874" spans="1:15" ht="15" customHeight="1">
      <c r="A1874" s="1052" t="s">
        <v>359</v>
      </c>
      <c r="B1874" s="1089" t="s">
        <v>360</v>
      </c>
      <c r="C1874" s="1058" t="e">
        <f>VLOOKUP(B1873,'LƯƠNG KT'!$D$15:$U$94,3,0)</f>
        <v>#N/A</v>
      </c>
      <c r="D1874" s="1059" t="e">
        <f>+C1874*25000</f>
        <v>#N/A</v>
      </c>
      <c r="E1874" s="1060"/>
      <c r="F1874" s="1060"/>
      <c r="G1874" s="1052" t="s">
        <v>359</v>
      </c>
      <c r="H1874" s="1089" t="s">
        <v>360</v>
      </c>
      <c r="I1874" s="1058" t="e">
        <f>VLOOKUP(H1873,'LƯƠNG KT'!$D$15:$U$94,3,0)</f>
        <v>#N/A</v>
      </c>
      <c r="J1874" s="1059" t="e">
        <f>+I1874*25000</f>
        <v>#N/A</v>
      </c>
      <c r="K1874" s="1085"/>
      <c r="L1874" s="1085"/>
      <c r="M1874" s="1085"/>
      <c r="N1874" s="1085"/>
      <c r="O1874" s="1085"/>
    </row>
    <row r="1875" spans="1:15" ht="15" customHeight="1">
      <c r="A1875" s="1052" t="s">
        <v>361</v>
      </c>
      <c r="B1875" s="869" t="s">
        <v>362</v>
      </c>
      <c r="C1875" s="1058" t="e">
        <f>VLOOKUP(B1873,'LƯƠNG KT'!$D$15:$U$94,14,0)</f>
        <v>#N/A</v>
      </c>
      <c r="D1875" s="1059" t="e">
        <f>C1875*$L$4</f>
        <v>#N/A</v>
      </c>
      <c r="E1875" s="1061"/>
      <c r="F1875" s="1061"/>
      <c r="G1875" s="1052" t="s">
        <v>361</v>
      </c>
      <c r="H1875" s="869" t="s">
        <v>362</v>
      </c>
      <c r="I1875" s="1058" t="e">
        <f>VLOOKUP(H1873,'LƯƠNG KT'!$D$15:$U$94,14,0)</f>
        <v>#N/A</v>
      </c>
      <c r="J1875" s="1059" t="e">
        <f>I1875*$L$4</f>
        <v>#N/A</v>
      </c>
      <c r="K1875" s="1085"/>
      <c r="L1875" s="1085"/>
      <c r="M1875" s="1085"/>
      <c r="N1875" s="1085"/>
      <c r="O1875" s="1085"/>
    </row>
    <row r="1876" spans="1:15" ht="15" customHeight="1">
      <c r="A1876" s="1052" t="s">
        <v>364</v>
      </c>
      <c r="B1876" s="869" t="s">
        <v>365</v>
      </c>
      <c r="C1876" s="1058" t="e">
        <f>VLOOKUP(B1873,'LƯƠNG KT'!$D$15:$U$94,15,0)</f>
        <v>#N/A</v>
      </c>
      <c r="D1876" s="1059" t="e">
        <f>C1876*$L$5</f>
        <v>#N/A</v>
      </c>
      <c r="E1876" s="1061"/>
      <c r="F1876" s="1061"/>
      <c r="G1876" s="1052" t="s">
        <v>364</v>
      </c>
      <c r="H1876" s="869" t="s">
        <v>365</v>
      </c>
      <c r="I1876" s="1058" t="e">
        <f>VLOOKUP(H1873,'LƯƠNG KT'!$D$15:$U$94,15,0)</f>
        <v>#N/A</v>
      </c>
      <c r="J1876" s="1059" t="e">
        <f>I1876*$L$5</f>
        <v>#N/A</v>
      </c>
      <c r="K1876" s="1085"/>
      <c r="L1876" s="1085"/>
      <c r="M1876" s="1085"/>
      <c r="N1876" s="1085"/>
      <c r="O1876" s="1085"/>
    </row>
    <row r="1877" spans="1:15" ht="15" customHeight="1">
      <c r="A1877" s="1052" t="s">
        <v>367</v>
      </c>
      <c r="B1877" s="869"/>
      <c r="C1877" s="1058" t="e">
        <f>VLOOKUP(B1873,'LƯƠNG KT'!$D$15:$U$94,16,0)</f>
        <v>#N/A</v>
      </c>
      <c r="D1877" s="1059" t="e">
        <f>+C1877*$L$6</f>
        <v>#N/A</v>
      </c>
      <c r="E1877" s="1061"/>
      <c r="F1877" s="1061"/>
      <c r="G1877" s="1052" t="s">
        <v>367</v>
      </c>
      <c r="H1877" s="869"/>
      <c r="I1877" s="1058" t="e">
        <f>VLOOKUP(H1873,'LƯƠNG KT'!$D$15:$U$94,16,0)</f>
        <v>#N/A</v>
      </c>
      <c r="J1877" s="1059" t="e">
        <f>+I1877*$L$6</f>
        <v>#N/A</v>
      </c>
      <c r="K1877" s="1085"/>
      <c r="L1877" s="1085"/>
      <c r="M1877" s="1085"/>
      <c r="N1877" s="1085"/>
      <c r="O1877" s="1085"/>
    </row>
    <row r="1878" spans="1:15" ht="15" customHeight="1">
      <c r="A1878" s="1052" t="s">
        <v>371</v>
      </c>
      <c r="B1878" s="869" t="s">
        <v>372</v>
      </c>
      <c r="C1878" s="1058" t="e">
        <f>VLOOKUP(B1873,'LƯƠNG KT'!$D$15:$U$94,9,0)*$L$10</f>
        <v>#N/A</v>
      </c>
      <c r="D1878" s="1059" t="e">
        <f>+C1878*0.5*3000</f>
        <v>#N/A</v>
      </c>
      <c r="E1878" s="1061"/>
      <c r="F1878" s="1061"/>
      <c r="G1878" s="1052" t="s">
        <v>371</v>
      </c>
      <c r="H1878" s="869" t="s">
        <v>372</v>
      </c>
      <c r="I1878" s="1058" t="e">
        <f>VLOOKUP(H1873,'LƯƠNG KT'!$D$15:$U$94,9,0)*$L$10</f>
        <v>#N/A</v>
      </c>
      <c r="J1878" s="1059" t="e">
        <f>+I1878*0.5*3000</f>
        <v>#N/A</v>
      </c>
      <c r="K1878" s="1085"/>
      <c r="L1878" s="1085"/>
      <c r="M1878" s="1085"/>
      <c r="N1878" s="1085"/>
      <c r="O1878" s="1085"/>
    </row>
    <row r="1879" spans="1:15" ht="15" customHeight="1">
      <c r="A1879" s="1052" t="s">
        <v>374</v>
      </c>
      <c r="B1879" s="869" t="s">
        <v>375</v>
      </c>
      <c r="C1879" s="1058" t="e">
        <f>VLOOKUP(B1873,'LƯƠNG KT'!$D$15:$U$94,8,0)*$L$11</f>
        <v>#N/A</v>
      </c>
      <c r="D1879" s="1059" t="e">
        <f>VLOOKUP(B1873,'LƯƠNG KT'!$D$15:$U$94,13,0)-D1878</f>
        <v>#N/A</v>
      </c>
      <c r="E1879" s="1063"/>
      <c r="F1879" s="1061"/>
      <c r="G1879" s="1052" t="s">
        <v>374</v>
      </c>
      <c r="H1879" s="869" t="s">
        <v>375</v>
      </c>
      <c r="I1879" s="1058" t="e">
        <f>VLOOKUP(H1873,'LƯƠNG KT'!$D$15:$U$94,8,0)*$L$11</f>
        <v>#N/A</v>
      </c>
      <c r="J1879" s="1059" t="e">
        <f>VLOOKUP(H1873,'LƯƠNG KT'!$D$15:$U$94,13,0)-J1878</f>
        <v>#N/A</v>
      </c>
      <c r="K1879" s="1085"/>
      <c r="L1879" s="1085"/>
      <c r="M1879" s="1085"/>
      <c r="N1879" s="1085"/>
      <c r="O1879" s="1085"/>
    </row>
    <row r="1880" spans="1:15" ht="15" customHeight="1">
      <c r="A1880" s="1059" t="s">
        <v>377</v>
      </c>
      <c r="B1880" s="869" t="s">
        <v>378</v>
      </c>
      <c r="C1880" s="1058"/>
      <c r="D1880" s="1059"/>
      <c r="E1880" s="1065"/>
      <c r="F1880" s="1065"/>
      <c r="G1880" s="1059" t="s">
        <v>377</v>
      </c>
      <c r="H1880" s="869" t="s">
        <v>378</v>
      </c>
      <c r="I1880" s="1058"/>
      <c r="J1880" s="1059"/>
    </row>
    <row r="1881" spans="1:15" ht="15" customHeight="1">
      <c r="A1881" s="1066" t="s">
        <v>379</v>
      </c>
      <c r="B1881" s="869" t="s">
        <v>380</v>
      </c>
      <c r="C1881" s="1058"/>
      <c r="D1881" s="1059"/>
      <c r="E1881" s="1063"/>
      <c r="F1881" s="1065"/>
      <c r="G1881" s="1066" t="s">
        <v>379</v>
      </c>
      <c r="H1881" s="869" t="s">
        <v>380</v>
      </c>
      <c r="I1881" s="1058"/>
      <c r="J1881" s="1059"/>
    </row>
    <row r="1882" spans="1:15" ht="15" customHeight="1">
      <c r="A1882" s="1052" t="s">
        <v>381</v>
      </c>
      <c r="B1882" s="869" t="s">
        <v>382</v>
      </c>
      <c r="C1882" s="1058"/>
      <c r="D1882" s="1059">
        <f>D1881</f>
        <v>0</v>
      </c>
      <c r="E1882" s="1067"/>
      <c r="F1882" s="1051"/>
      <c r="G1882" s="1052" t="s">
        <v>381</v>
      </c>
      <c r="H1882" s="869" t="s">
        <v>382</v>
      </c>
      <c r="I1882" s="1058"/>
      <c r="J1882" s="1059">
        <f>J1881</f>
        <v>0</v>
      </c>
    </row>
    <row r="1883" spans="1:15" ht="15" customHeight="1">
      <c r="A1883" s="1068" t="s">
        <v>383</v>
      </c>
      <c r="B1883" s="1069" t="s">
        <v>384</v>
      </c>
      <c r="C1883" s="1070"/>
      <c r="D1883" s="1071" t="e">
        <f>SUM(D1874:D1879)-D1882</f>
        <v>#N/A</v>
      </c>
      <c r="E1883" s="1072"/>
      <c r="F1883" s="1073"/>
      <c r="G1883" s="1068" t="s">
        <v>383</v>
      </c>
      <c r="H1883" s="1069" t="s">
        <v>384</v>
      </c>
      <c r="I1883" s="1070"/>
      <c r="J1883" s="1071" t="e">
        <f>SUM(J1874:J1879)-J1882</f>
        <v>#N/A</v>
      </c>
    </row>
    <row r="1884" spans="1:15" ht="18.75" customHeight="1">
      <c r="A1884" s="1074"/>
      <c r="B1884" s="1075"/>
      <c r="C1884" s="1076"/>
      <c r="D1884" s="1077"/>
      <c r="E1884" s="1077"/>
      <c r="F1884" s="1078"/>
      <c r="G1884" s="1074"/>
      <c r="H1884" s="1075"/>
      <c r="I1884" s="1076"/>
      <c r="J1884" s="1077"/>
    </row>
    <row r="1885" spans="1:15" ht="18.75" customHeight="1">
      <c r="A1885" s="1075"/>
      <c r="B1885" s="1075"/>
      <c r="C1885" s="1079"/>
      <c r="D1885" s="1080"/>
      <c r="E1885" s="1075"/>
      <c r="F1885" s="1081"/>
      <c r="G1885" s="1075"/>
      <c r="H1885" s="1075"/>
      <c r="I1885" s="1079"/>
      <c r="J1885" s="1080"/>
    </row>
    <row r="1886" spans="1:15" ht="15" customHeight="1">
      <c r="A1886" s="2242" t="str">
        <f>$K$2</f>
        <v>THÁNG 09/2024</v>
      </c>
      <c r="B1886" s="2242"/>
      <c r="C1886" s="2242"/>
      <c r="D1886" s="2242"/>
      <c r="E1886" s="1050"/>
      <c r="F1886" s="1051"/>
      <c r="G1886" s="2242" t="str">
        <f>$K$2</f>
        <v>THÁNG 09/2024</v>
      </c>
      <c r="H1886" s="2242"/>
      <c r="I1886" s="2242"/>
      <c r="J1886" s="2242"/>
      <c r="K1886" s="624"/>
    </row>
    <row r="1887" spans="1:15" ht="15" customHeight="1">
      <c r="A1887" s="1052" t="s">
        <v>356</v>
      </c>
      <c r="B1887" s="1053" t="s">
        <v>153</v>
      </c>
      <c r="C1887" s="869"/>
      <c r="D1887" s="1049"/>
      <c r="E1887" s="1054"/>
      <c r="F1887" s="1055"/>
      <c r="G1887" s="1052" t="s">
        <v>356</v>
      </c>
      <c r="H1887" s="1053" t="s">
        <v>154</v>
      </c>
      <c r="I1887" s="869"/>
      <c r="J1887" s="1049"/>
      <c r="L1887" s="1088"/>
      <c r="M1887" s="1088"/>
      <c r="N1887" s="1088"/>
      <c r="O1887" s="1088"/>
    </row>
    <row r="1888" spans="1:15" ht="15" customHeight="1">
      <c r="A1888" s="1052" t="s">
        <v>359</v>
      </c>
      <c r="B1888" s="1089" t="s">
        <v>360</v>
      </c>
      <c r="C1888" s="1058" t="e">
        <f>VLOOKUP(B1887,'LƯƠNG KT'!$D$15:$U$94,3,0)</f>
        <v>#N/A</v>
      </c>
      <c r="D1888" s="1059" t="e">
        <f>+C1888*25000</f>
        <v>#N/A</v>
      </c>
      <c r="E1888" s="1060"/>
      <c r="F1888" s="1060"/>
      <c r="G1888" s="1052" t="s">
        <v>359</v>
      </c>
      <c r="H1888" s="1089" t="s">
        <v>360</v>
      </c>
      <c r="I1888" s="1058" t="e">
        <f>VLOOKUP(H1887,'LƯƠNG KT'!$D$15:$U$94,3,0)</f>
        <v>#N/A</v>
      </c>
      <c r="J1888" s="1059" t="e">
        <f>+I1888*25000</f>
        <v>#N/A</v>
      </c>
      <c r="K1888" s="1085"/>
      <c r="L1888" s="1085"/>
      <c r="M1888" s="1085"/>
      <c r="N1888" s="1085"/>
      <c r="O1888" s="1085"/>
    </row>
    <row r="1889" spans="1:15" ht="15" customHeight="1">
      <c r="A1889" s="1052" t="s">
        <v>361</v>
      </c>
      <c r="B1889" s="869" t="s">
        <v>362</v>
      </c>
      <c r="C1889" s="1058" t="e">
        <f>VLOOKUP(B1887,'LƯƠNG KT'!$D$15:$U$94,14,0)</f>
        <v>#N/A</v>
      </c>
      <c r="D1889" s="1059" t="e">
        <f>C1889*$L$4</f>
        <v>#N/A</v>
      </c>
      <c r="E1889" s="1061"/>
      <c r="F1889" s="1061"/>
      <c r="G1889" s="1052" t="s">
        <v>361</v>
      </c>
      <c r="H1889" s="869" t="s">
        <v>362</v>
      </c>
      <c r="I1889" s="1058" t="e">
        <f>VLOOKUP(H1887,'LƯƠNG KT'!$D$15:$U$94,14,0)</f>
        <v>#N/A</v>
      </c>
      <c r="J1889" s="1059" t="e">
        <f>I1889*$L$4</f>
        <v>#N/A</v>
      </c>
      <c r="K1889" s="1085"/>
      <c r="L1889" s="1085"/>
      <c r="M1889" s="1085"/>
      <c r="N1889" s="1085"/>
      <c r="O1889" s="1085"/>
    </row>
    <row r="1890" spans="1:15" ht="15" customHeight="1">
      <c r="A1890" s="1052" t="s">
        <v>364</v>
      </c>
      <c r="B1890" s="869" t="s">
        <v>365</v>
      </c>
      <c r="C1890" s="1058" t="e">
        <f>VLOOKUP(B1887,'LƯƠNG KT'!$D$15:$U$94,15,0)</f>
        <v>#N/A</v>
      </c>
      <c r="D1890" s="1059" t="e">
        <f>C1890*$L$5</f>
        <v>#N/A</v>
      </c>
      <c r="E1890" s="1061"/>
      <c r="F1890" s="1061"/>
      <c r="G1890" s="1052" t="s">
        <v>364</v>
      </c>
      <c r="H1890" s="869" t="s">
        <v>365</v>
      </c>
      <c r="I1890" s="1058" t="e">
        <f>VLOOKUP(H1887,'LƯƠNG KT'!$D$15:$U$94,15,0)</f>
        <v>#N/A</v>
      </c>
      <c r="J1890" s="1059" t="e">
        <f>I1890*$L$5</f>
        <v>#N/A</v>
      </c>
      <c r="K1890" s="1085"/>
      <c r="L1890" s="1085"/>
      <c r="M1890" s="1085"/>
      <c r="N1890" s="1085"/>
      <c r="O1890" s="1085"/>
    </row>
    <row r="1891" spans="1:15" ht="15" customHeight="1">
      <c r="A1891" s="1052" t="s">
        <v>367</v>
      </c>
      <c r="B1891" s="869"/>
      <c r="C1891" s="1058" t="e">
        <f>VLOOKUP(B1887,'LƯƠNG KT'!$D$15:$U$94,16,0)</f>
        <v>#N/A</v>
      </c>
      <c r="D1891" s="1059" t="e">
        <f>+C1891*$L$6</f>
        <v>#N/A</v>
      </c>
      <c r="E1891" s="1061"/>
      <c r="F1891" s="1061"/>
      <c r="G1891" s="1052" t="s">
        <v>367</v>
      </c>
      <c r="H1891" s="869"/>
      <c r="I1891" s="1058" t="e">
        <f>VLOOKUP(H1887,'LƯƠNG KT'!$D$15:$U$94,16,0)</f>
        <v>#N/A</v>
      </c>
      <c r="J1891" s="1059" t="e">
        <f>+I1891*$L$6</f>
        <v>#N/A</v>
      </c>
      <c r="K1891" s="1085"/>
      <c r="L1891" s="1085"/>
      <c r="M1891" s="1085"/>
      <c r="N1891" s="1085"/>
      <c r="O1891" s="1085"/>
    </row>
    <row r="1892" spans="1:15" ht="15" customHeight="1">
      <c r="A1892" s="1052" t="s">
        <v>371</v>
      </c>
      <c r="B1892" s="869" t="s">
        <v>372</v>
      </c>
      <c r="C1892" s="1058" t="e">
        <f>VLOOKUP(B1887,'LƯƠNG KT'!$D$15:$U$94,9,0)*$L$10</f>
        <v>#N/A</v>
      </c>
      <c r="D1892" s="1059" t="e">
        <f>+C1892*0.5*3000</f>
        <v>#N/A</v>
      </c>
      <c r="E1892" s="1061"/>
      <c r="F1892" s="1061"/>
      <c r="G1892" s="1052" t="s">
        <v>371</v>
      </c>
      <c r="H1892" s="869" t="s">
        <v>372</v>
      </c>
      <c r="I1892" s="1058" t="e">
        <f>VLOOKUP(H1887,'LƯƠNG KT'!$D$15:$U$94,9,0)*$L$10</f>
        <v>#N/A</v>
      </c>
      <c r="J1892" s="1059" t="e">
        <f>+I1892*0.5*3000</f>
        <v>#N/A</v>
      </c>
      <c r="K1892" s="1085"/>
      <c r="L1892" s="1085"/>
      <c r="M1892" s="1085"/>
      <c r="N1892" s="1085"/>
      <c r="O1892" s="1085"/>
    </row>
    <row r="1893" spans="1:15" ht="15" customHeight="1">
      <c r="A1893" s="1052" t="s">
        <v>374</v>
      </c>
      <c r="B1893" s="869" t="s">
        <v>375</v>
      </c>
      <c r="C1893" s="1058" t="e">
        <f>VLOOKUP(B1887,'LƯƠNG KT'!$D$15:$U$94,8,0)*$L$11</f>
        <v>#N/A</v>
      </c>
      <c r="D1893" s="1059" t="e">
        <f>VLOOKUP(B1887,'LƯƠNG KT'!$D$15:$U$94,13,0)-D1892</f>
        <v>#N/A</v>
      </c>
      <c r="E1893" s="1063"/>
      <c r="F1893" s="1061"/>
      <c r="G1893" s="1052" t="s">
        <v>374</v>
      </c>
      <c r="H1893" s="869" t="s">
        <v>375</v>
      </c>
      <c r="I1893" s="1058" t="e">
        <f>VLOOKUP(H1887,'LƯƠNG KT'!$D$15:$U$94,8,0)*$L$11</f>
        <v>#N/A</v>
      </c>
      <c r="J1893" s="1059" t="e">
        <f>VLOOKUP(H1887,'LƯƠNG KT'!$D$15:$U$94,13,0)-J1892</f>
        <v>#N/A</v>
      </c>
      <c r="K1893" s="1085"/>
      <c r="L1893" s="1085"/>
      <c r="M1893" s="1085"/>
      <c r="N1893" s="1085"/>
      <c r="O1893" s="1085"/>
    </row>
    <row r="1894" spans="1:15" ht="15" customHeight="1">
      <c r="A1894" s="1059" t="s">
        <v>377</v>
      </c>
      <c r="B1894" s="869" t="s">
        <v>378</v>
      </c>
      <c r="C1894" s="1058"/>
      <c r="D1894" s="1059"/>
      <c r="E1894" s="1065"/>
      <c r="F1894" s="1065"/>
      <c r="G1894" s="1059" t="s">
        <v>377</v>
      </c>
      <c r="H1894" s="869" t="s">
        <v>378</v>
      </c>
      <c r="I1894" s="1058"/>
      <c r="J1894" s="1059"/>
    </row>
    <row r="1895" spans="1:15" ht="15" customHeight="1">
      <c r="A1895" s="1066" t="s">
        <v>379</v>
      </c>
      <c r="B1895" s="869" t="s">
        <v>380</v>
      </c>
      <c r="C1895" s="1058"/>
      <c r="D1895" s="1059"/>
      <c r="E1895" s="1063"/>
      <c r="F1895" s="1065"/>
      <c r="G1895" s="1066" t="s">
        <v>379</v>
      </c>
      <c r="H1895" s="869" t="s">
        <v>380</v>
      </c>
      <c r="I1895" s="1058"/>
      <c r="J1895" s="1059"/>
    </row>
    <row r="1896" spans="1:15" ht="15" customHeight="1">
      <c r="A1896" s="1052" t="s">
        <v>381</v>
      </c>
      <c r="B1896" s="869" t="s">
        <v>382</v>
      </c>
      <c r="C1896" s="1058"/>
      <c r="D1896" s="1059">
        <f>D1895</f>
        <v>0</v>
      </c>
      <c r="E1896" s="1067"/>
      <c r="F1896" s="1051"/>
      <c r="G1896" s="1052" t="s">
        <v>381</v>
      </c>
      <c r="H1896" s="869" t="s">
        <v>382</v>
      </c>
      <c r="I1896" s="1058"/>
      <c r="J1896" s="1059">
        <f>J1895</f>
        <v>0</v>
      </c>
    </row>
    <row r="1897" spans="1:15" ht="15" customHeight="1">
      <c r="A1897" s="1068" t="s">
        <v>383</v>
      </c>
      <c r="B1897" s="1069" t="s">
        <v>384</v>
      </c>
      <c r="C1897" s="1070"/>
      <c r="D1897" s="1071" t="e">
        <f>SUM(D1888:D1893)-D1896</f>
        <v>#N/A</v>
      </c>
      <c r="E1897" s="1072"/>
      <c r="F1897" s="1073"/>
      <c r="G1897" s="1068" t="s">
        <v>383</v>
      </c>
      <c r="H1897" s="1069" t="s">
        <v>384</v>
      </c>
      <c r="I1897" s="1070"/>
      <c r="J1897" s="1071" t="e">
        <f>SUM(J1888:J1893)-J1896</f>
        <v>#N/A</v>
      </c>
    </row>
    <row r="1898" spans="1:15" ht="15.75" customHeight="1">
      <c r="A1898" s="1074"/>
      <c r="B1898" s="1075"/>
      <c r="C1898" s="1076"/>
      <c r="D1898" s="1077"/>
      <c r="E1898" s="1077"/>
      <c r="F1898" s="1078"/>
      <c r="G1898" s="1074"/>
      <c r="H1898" s="1075"/>
      <c r="I1898" s="1076"/>
      <c r="J1898" s="1077"/>
    </row>
    <row r="1900" spans="1:15" ht="12" customHeight="1">
      <c r="A1900" s="2243"/>
      <c r="B1900" s="2243"/>
      <c r="C1900" s="2243"/>
      <c r="D1900" s="2243"/>
      <c r="E1900" s="2243"/>
      <c r="F1900" s="2243"/>
      <c r="G1900" s="2243"/>
      <c r="H1900" s="2243"/>
      <c r="I1900" s="2243"/>
      <c r="J1900" s="2243"/>
    </row>
    <row r="1901" spans="1:15" ht="15" customHeight="1">
      <c r="A1901" s="2242" t="str">
        <f>$K$2</f>
        <v>THÁNG 09/2024</v>
      </c>
      <c r="B1901" s="2242"/>
      <c r="C1901" s="2242"/>
      <c r="D1901" s="2242"/>
      <c r="E1901" s="1050"/>
      <c r="F1901" s="1051"/>
      <c r="G1901" s="2242" t="str">
        <f>$K$2</f>
        <v>THÁNG 09/2024</v>
      </c>
      <c r="H1901" s="2242"/>
      <c r="I1901" s="2242"/>
      <c r="J1901" s="2242"/>
      <c r="K1901" s="624"/>
    </row>
    <row r="1902" spans="1:15" ht="15" customHeight="1">
      <c r="A1902" s="1052" t="s">
        <v>356</v>
      </c>
      <c r="B1902" s="1053" t="s">
        <v>155</v>
      </c>
      <c r="C1902" s="869"/>
      <c r="D1902" s="1049"/>
      <c r="E1902" s="1054"/>
      <c r="F1902" s="1055"/>
      <c r="G1902" s="1052" t="s">
        <v>356</v>
      </c>
      <c r="H1902" s="1053" t="s">
        <v>156</v>
      </c>
      <c r="I1902" s="869"/>
      <c r="J1902" s="1049"/>
      <c r="L1902" s="1088"/>
      <c r="M1902" s="1088"/>
      <c r="N1902" s="1088"/>
      <c r="O1902" s="1088"/>
    </row>
    <row r="1903" spans="1:15" ht="15" customHeight="1">
      <c r="A1903" s="1052" t="s">
        <v>359</v>
      </c>
      <c r="B1903" s="1089" t="s">
        <v>360</v>
      </c>
      <c r="C1903" s="1058" t="e">
        <f>VLOOKUP(B1902,'LƯƠNG KT'!$D$15:$U$94,3,0)</f>
        <v>#N/A</v>
      </c>
      <c r="D1903" s="1059" t="e">
        <f>+C1903*25000</f>
        <v>#N/A</v>
      </c>
      <c r="E1903" s="1060"/>
      <c r="F1903" s="1060"/>
      <c r="G1903" s="1052" t="s">
        <v>359</v>
      </c>
      <c r="H1903" s="1089" t="s">
        <v>360</v>
      </c>
      <c r="I1903" s="1058" t="e">
        <f>VLOOKUP(H1902,'LƯƠNG KT'!$D$15:$U$94,3,0)</f>
        <v>#N/A</v>
      </c>
      <c r="J1903" s="1059" t="e">
        <f>+I1903*25000</f>
        <v>#N/A</v>
      </c>
      <c r="K1903" s="1084"/>
      <c r="L1903" s="1085"/>
      <c r="M1903" s="1085"/>
      <c r="N1903" s="1085"/>
      <c r="O1903" s="1085"/>
    </row>
    <row r="1904" spans="1:15" ht="15" customHeight="1">
      <c r="A1904" s="1052" t="s">
        <v>361</v>
      </c>
      <c r="B1904" s="869" t="s">
        <v>362</v>
      </c>
      <c r="C1904" s="1058" t="e">
        <f>VLOOKUP(B1902,'LƯƠNG KT'!$D$15:$U$94,14,0)</f>
        <v>#N/A</v>
      </c>
      <c r="D1904" s="1059" t="e">
        <f>C1904*$L$4</f>
        <v>#N/A</v>
      </c>
      <c r="E1904" s="1061"/>
      <c r="F1904" s="1061"/>
      <c r="G1904" s="1052" t="s">
        <v>361</v>
      </c>
      <c r="H1904" s="869" t="s">
        <v>362</v>
      </c>
      <c r="I1904" s="1058" t="e">
        <f>VLOOKUP(H1902,'LƯƠNG KT'!$D$15:$U$94,14,0)</f>
        <v>#N/A</v>
      </c>
      <c r="J1904" s="1059" t="e">
        <f>I1904*$L$4</f>
        <v>#N/A</v>
      </c>
      <c r="K1904" s="1084"/>
      <c r="L1904" s="1085"/>
      <c r="M1904" s="1085"/>
      <c r="N1904" s="1085"/>
      <c r="O1904" s="1085"/>
    </row>
    <row r="1905" spans="1:15" ht="15" customHeight="1">
      <c r="A1905" s="1052" t="s">
        <v>364</v>
      </c>
      <c r="B1905" s="869" t="s">
        <v>365</v>
      </c>
      <c r="C1905" s="1058" t="e">
        <f>VLOOKUP(B1902,'LƯƠNG KT'!$D$15:$U$94,15,0)</f>
        <v>#N/A</v>
      </c>
      <c r="D1905" s="1059" t="e">
        <f>C1905*$L$5</f>
        <v>#N/A</v>
      </c>
      <c r="E1905" s="1061"/>
      <c r="F1905" s="1061"/>
      <c r="G1905" s="1052" t="s">
        <v>364</v>
      </c>
      <c r="H1905" s="869" t="s">
        <v>365</v>
      </c>
      <c r="I1905" s="1058" t="e">
        <f>VLOOKUP(H1902,'LƯƠNG KT'!$D$15:$U$94,15,0)</f>
        <v>#N/A</v>
      </c>
      <c r="J1905" s="1059" t="e">
        <f>I1905*$L$5</f>
        <v>#N/A</v>
      </c>
      <c r="K1905" s="1084"/>
      <c r="L1905" s="1085"/>
      <c r="M1905" s="1085"/>
      <c r="N1905" s="1085"/>
      <c r="O1905" s="1085"/>
    </row>
    <row r="1906" spans="1:15" ht="15" customHeight="1">
      <c r="A1906" s="1052" t="s">
        <v>367</v>
      </c>
      <c r="B1906" s="869"/>
      <c r="C1906" s="1058" t="e">
        <f>VLOOKUP(B1902,'LƯƠNG KT'!$D$15:$U$94,16,0)</f>
        <v>#N/A</v>
      </c>
      <c r="D1906" s="1059" t="e">
        <f>+C1906*$L$6</f>
        <v>#N/A</v>
      </c>
      <c r="E1906" s="1061"/>
      <c r="F1906" s="1061"/>
      <c r="G1906" s="1052" t="s">
        <v>367</v>
      </c>
      <c r="H1906" s="869"/>
      <c r="I1906" s="1058" t="e">
        <f>VLOOKUP(H1902,'LƯƠNG KT'!$D$15:$U$94,16,0)</f>
        <v>#N/A</v>
      </c>
      <c r="J1906" s="1059" t="e">
        <f>+I1906*$L$6</f>
        <v>#N/A</v>
      </c>
      <c r="K1906" s="1085"/>
      <c r="L1906" s="1085"/>
      <c r="M1906" s="1085"/>
      <c r="N1906" s="1085"/>
      <c r="O1906" s="1085"/>
    </row>
    <row r="1907" spans="1:15" ht="15" customHeight="1">
      <c r="A1907" s="1052" t="s">
        <v>371</v>
      </c>
      <c r="B1907" s="869" t="s">
        <v>372</v>
      </c>
      <c r="C1907" s="1058" t="e">
        <f>VLOOKUP(B1902,'LƯƠNG KT'!$D$15:$U$94,9,0)*$L$10</f>
        <v>#N/A</v>
      </c>
      <c r="D1907" s="1059" t="e">
        <f>+C1907*0.5*3000</f>
        <v>#N/A</v>
      </c>
      <c r="E1907" s="1061"/>
      <c r="F1907" s="1061"/>
      <c r="G1907" s="1052" t="s">
        <v>371</v>
      </c>
      <c r="H1907" s="869" t="s">
        <v>372</v>
      </c>
      <c r="I1907" s="1058" t="e">
        <f>VLOOKUP(H1902,'LƯƠNG KT'!$D$15:$U$94,9,0)*$L$10</f>
        <v>#N/A</v>
      </c>
      <c r="J1907" s="1059" t="e">
        <f>+I1907*0.5*3000</f>
        <v>#N/A</v>
      </c>
      <c r="K1907" s="1085"/>
      <c r="L1907" s="1085"/>
      <c r="M1907" s="1085"/>
      <c r="N1907" s="1085"/>
      <c r="O1907" s="1085"/>
    </row>
    <row r="1908" spans="1:15" ht="15" customHeight="1">
      <c r="A1908" s="1052" t="s">
        <v>374</v>
      </c>
      <c r="B1908" s="869" t="s">
        <v>375</v>
      </c>
      <c r="C1908" s="1058" t="e">
        <f>VLOOKUP(B1902,'LƯƠNG KT'!$D$15:$U$94,8,0)*$L$11</f>
        <v>#N/A</v>
      </c>
      <c r="D1908" s="1059" t="e">
        <f>VLOOKUP(B1902,'LƯƠNG KT'!$D$15:$U$94,13,0)-D1907</f>
        <v>#N/A</v>
      </c>
      <c r="E1908" s="1063"/>
      <c r="F1908" s="1061"/>
      <c r="G1908" s="1052" t="s">
        <v>374</v>
      </c>
      <c r="H1908" s="869" t="s">
        <v>375</v>
      </c>
      <c r="I1908" s="1058" t="e">
        <f>VLOOKUP(H1902,'LƯƠNG KT'!$D$15:$U$94,8,0)*$L$11</f>
        <v>#N/A</v>
      </c>
      <c r="J1908" s="1059" t="e">
        <f>VLOOKUP(H1902,'LƯƠNG KT'!$D$15:$U$94,13,0)-J1907</f>
        <v>#N/A</v>
      </c>
      <c r="K1908" s="1085"/>
      <c r="L1908" s="1085"/>
      <c r="M1908" s="1085"/>
      <c r="N1908" s="1085"/>
      <c r="O1908" s="1085"/>
    </row>
    <row r="1909" spans="1:15" ht="15" customHeight="1">
      <c r="A1909" s="1059" t="s">
        <v>377</v>
      </c>
      <c r="B1909" s="869" t="s">
        <v>378</v>
      </c>
      <c r="C1909" s="1058"/>
      <c r="D1909" s="1059"/>
      <c r="E1909" s="1065"/>
      <c r="F1909" s="1065"/>
      <c r="G1909" s="1059" t="s">
        <v>377</v>
      </c>
      <c r="H1909" s="869" t="s">
        <v>378</v>
      </c>
      <c r="I1909" s="1058"/>
      <c r="J1909" s="1059"/>
    </row>
    <row r="1910" spans="1:15" ht="15" customHeight="1">
      <c r="A1910" s="1066" t="s">
        <v>379</v>
      </c>
      <c r="B1910" s="869" t="s">
        <v>380</v>
      </c>
      <c r="C1910" s="1058"/>
      <c r="D1910" s="1059"/>
      <c r="E1910" s="1063"/>
      <c r="F1910" s="1065"/>
      <c r="G1910" s="1066" t="s">
        <v>379</v>
      </c>
      <c r="H1910" s="869" t="s">
        <v>380</v>
      </c>
      <c r="I1910" s="1058"/>
      <c r="J1910" s="1059"/>
    </row>
    <row r="1911" spans="1:15" ht="15" customHeight="1">
      <c r="A1911" s="1052" t="s">
        <v>381</v>
      </c>
      <c r="B1911" s="869" t="s">
        <v>382</v>
      </c>
      <c r="C1911" s="1058"/>
      <c r="D1911" s="1059">
        <f>D1910</f>
        <v>0</v>
      </c>
      <c r="E1911" s="1067"/>
      <c r="F1911" s="1051"/>
      <c r="G1911" s="1052" t="s">
        <v>381</v>
      </c>
      <c r="H1911" s="869" t="s">
        <v>382</v>
      </c>
      <c r="I1911" s="1058"/>
      <c r="J1911" s="1059">
        <f>J1910</f>
        <v>0</v>
      </c>
    </row>
    <row r="1912" spans="1:15" ht="15" customHeight="1">
      <c r="A1912" s="1068" t="s">
        <v>383</v>
      </c>
      <c r="B1912" s="1069" t="s">
        <v>384</v>
      </c>
      <c r="C1912" s="1070"/>
      <c r="D1912" s="1071" t="e">
        <f>SUM(D1903:D1908)-D1911</f>
        <v>#N/A</v>
      </c>
      <c r="E1912" s="1072"/>
      <c r="F1912" s="1073"/>
      <c r="G1912" s="1068" t="s">
        <v>383</v>
      </c>
      <c r="H1912" s="1069" t="s">
        <v>384</v>
      </c>
      <c r="I1912" s="1070"/>
      <c r="J1912" s="1071" t="e">
        <f>SUM(J1903:J1908)-J1911</f>
        <v>#N/A</v>
      </c>
    </row>
    <row r="1913" spans="1:15" ht="12.6" customHeight="1">
      <c r="A1913" s="1074"/>
      <c r="B1913" s="1075"/>
      <c r="C1913" s="1076"/>
      <c r="D1913" s="1077"/>
      <c r="E1913" s="1077"/>
      <c r="F1913" s="1078"/>
      <c r="G1913" s="1074"/>
      <c r="H1913" s="1075"/>
      <c r="I1913" s="1076"/>
      <c r="J1913" s="1077"/>
    </row>
    <row r="1914" spans="1:15" ht="12.6" customHeight="1">
      <c r="A1914" s="1075"/>
      <c r="B1914" s="1075"/>
      <c r="C1914" s="1079"/>
      <c r="D1914" s="1080"/>
      <c r="E1914" s="1075"/>
      <c r="F1914" s="1081"/>
      <c r="G1914" s="1075"/>
      <c r="H1914" s="1075"/>
      <c r="I1914" s="1079"/>
      <c r="J1914" s="1080"/>
    </row>
    <row r="1915" spans="1:15" ht="15" customHeight="1">
      <c r="A1915" s="2242" t="str">
        <f>$K$2</f>
        <v>THÁNG 09/2024</v>
      </c>
      <c r="B1915" s="2242"/>
      <c r="C1915" s="2242"/>
      <c r="D1915" s="2242"/>
      <c r="E1915" s="1050"/>
      <c r="F1915" s="1051"/>
      <c r="G1915" s="2242" t="str">
        <f>$K$2</f>
        <v>THÁNG 09/2024</v>
      </c>
      <c r="H1915" s="2242"/>
      <c r="I1915" s="2242"/>
      <c r="J1915" s="2242"/>
      <c r="K1915" s="624"/>
    </row>
    <row r="1916" spans="1:15" ht="15" customHeight="1">
      <c r="A1916" s="1052" t="s">
        <v>356</v>
      </c>
      <c r="B1916" s="1053"/>
      <c r="C1916" s="869"/>
      <c r="D1916" s="1049"/>
      <c r="E1916" s="1054"/>
      <c r="F1916" s="1055"/>
      <c r="G1916" s="1052" t="s">
        <v>356</v>
      </c>
      <c r="H1916" s="1053" t="s">
        <v>157</v>
      </c>
      <c r="I1916" s="869"/>
      <c r="J1916" s="1049"/>
      <c r="L1916" s="1088"/>
      <c r="M1916" s="1088"/>
      <c r="N1916" s="1088"/>
      <c r="O1916" s="1088"/>
    </row>
    <row r="1917" spans="1:15" ht="15" customHeight="1">
      <c r="A1917" s="1052" t="s">
        <v>359</v>
      </c>
      <c r="B1917" s="1089" t="s">
        <v>360</v>
      </c>
      <c r="C1917" s="1058" t="e">
        <f>VLOOKUP(B1916,'LƯƠNG KT'!$D$15:$U$94,3,0)</f>
        <v>#N/A</v>
      </c>
      <c r="D1917" s="1059" t="e">
        <f>+C1917*25000</f>
        <v>#N/A</v>
      </c>
      <c r="E1917" s="1060"/>
      <c r="F1917" s="1060"/>
      <c r="G1917" s="1052" t="s">
        <v>359</v>
      </c>
      <c r="H1917" s="1089" t="s">
        <v>360</v>
      </c>
      <c r="I1917" s="1058" t="e">
        <f>VLOOKUP(H1916,'LƯƠNG KT'!$D$15:$U$94,3,0)</f>
        <v>#N/A</v>
      </c>
      <c r="J1917" s="1059" t="e">
        <f>+I1917*25000</f>
        <v>#N/A</v>
      </c>
      <c r="K1917" s="1085"/>
      <c r="L1917" s="1085"/>
      <c r="M1917" s="1085"/>
      <c r="N1917" s="1085"/>
      <c r="O1917" s="1085"/>
    </row>
    <row r="1918" spans="1:15" ht="15" customHeight="1">
      <c r="A1918" s="1052" t="s">
        <v>361</v>
      </c>
      <c r="B1918" s="869" t="s">
        <v>362</v>
      </c>
      <c r="C1918" s="1058" t="e">
        <f>VLOOKUP(B1916,'LƯƠNG KT'!$D$15:$U$94,14,0)</f>
        <v>#N/A</v>
      </c>
      <c r="D1918" s="1059" t="e">
        <f>C1918*$L$4</f>
        <v>#N/A</v>
      </c>
      <c r="E1918" s="1061"/>
      <c r="F1918" s="1061"/>
      <c r="G1918" s="1052" t="s">
        <v>361</v>
      </c>
      <c r="H1918" s="869" t="s">
        <v>362</v>
      </c>
      <c r="I1918" s="1058" t="e">
        <f>VLOOKUP(H1916,'LƯƠNG KT'!$D$15:$U$94,14,0)</f>
        <v>#N/A</v>
      </c>
      <c r="J1918" s="1059" t="e">
        <f>I1918*$L$4</f>
        <v>#N/A</v>
      </c>
      <c r="K1918" s="1085"/>
      <c r="L1918" s="1085"/>
      <c r="M1918" s="1085"/>
      <c r="N1918" s="1085"/>
      <c r="O1918" s="1085"/>
    </row>
    <row r="1919" spans="1:15" ht="15" customHeight="1">
      <c r="A1919" s="1052" t="s">
        <v>364</v>
      </c>
      <c r="B1919" s="869" t="s">
        <v>365</v>
      </c>
      <c r="C1919" s="1058" t="e">
        <f>VLOOKUP(B1916,'LƯƠNG KT'!$D$15:$U$94,15,0)</f>
        <v>#N/A</v>
      </c>
      <c r="D1919" s="1059" t="e">
        <f>C1919*$L$5</f>
        <v>#N/A</v>
      </c>
      <c r="E1919" s="1061"/>
      <c r="F1919" s="1061"/>
      <c r="G1919" s="1052" t="s">
        <v>364</v>
      </c>
      <c r="H1919" s="869" t="s">
        <v>365</v>
      </c>
      <c r="I1919" s="1058" t="e">
        <f>VLOOKUP(H1916,'LƯƠNG KT'!$D$15:$U$94,15,0)</f>
        <v>#N/A</v>
      </c>
      <c r="J1919" s="1059" t="e">
        <f>I1919*$L$5</f>
        <v>#N/A</v>
      </c>
      <c r="K1919" s="1085"/>
      <c r="L1919" s="1085"/>
      <c r="M1919" s="1085"/>
      <c r="N1919" s="1085"/>
      <c r="O1919" s="1085"/>
    </row>
    <row r="1920" spans="1:15" ht="15" customHeight="1">
      <c r="A1920" s="1052" t="s">
        <v>367</v>
      </c>
      <c r="B1920" s="869"/>
      <c r="C1920" s="1058" t="e">
        <f>VLOOKUP(B1916,'LƯƠNG KT'!$D$15:$U$94,16,0)</f>
        <v>#N/A</v>
      </c>
      <c r="D1920" s="1059" t="e">
        <f>+C1920*$L$6</f>
        <v>#N/A</v>
      </c>
      <c r="E1920" s="1061"/>
      <c r="F1920" s="1061"/>
      <c r="G1920" s="1052" t="s">
        <v>367</v>
      </c>
      <c r="H1920" s="869"/>
      <c r="I1920" s="1058" t="e">
        <f>VLOOKUP(H1916,'LƯƠNG KT'!$D$15:$U$94,16,0)</f>
        <v>#N/A</v>
      </c>
      <c r="J1920" s="1059" t="e">
        <f>+I1920*$L$6</f>
        <v>#N/A</v>
      </c>
      <c r="K1920" s="1085"/>
      <c r="L1920" s="1085"/>
      <c r="M1920" s="1085"/>
      <c r="N1920" s="1085"/>
      <c r="O1920" s="1085"/>
    </row>
    <row r="1921" spans="1:15" ht="15" customHeight="1">
      <c r="A1921" s="1052" t="s">
        <v>371</v>
      </c>
      <c r="B1921" s="869" t="s">
        <v>372</v>
      </c>
      <c r="C1921" s="1058" t="e">
        <f>VLOOKUP(B1916,'LƯƠNG KT'!$D$15:$U$94,9,0)*$L$10</f>
        <v>#N/A</v>
      </c>
      <c r="D1921" s="1059" t="e">
        <f>+C1921*0.5*3000</f>
        <v>#N/A</v>
      </c>
      <c r="E1921" s="1061"/>
      <c r="F1921" s="1061"/>
      <c r="G1921" s="1052" t="s">
        <v>371</v>
      </c>
      <c r="H1921" s="869" t="s">
        <v>372</v>
      </c>
      <c r="I1921" s="1058" t="e">
        <f>VLOOKUP(H1916,'LƯƠNG KT'!$D$15:$U$94,9,0)*$L$10</f>
        <v>#N/A</v>
      </c>
      <c r="J1921" s="1059" t="e">
        <f>+I1921*0.5*3000</f>
        <v>#N/A</v>
      </c>
      <c r="K1921" s="1085"/>
      <c r="L1921" s="1085"/>
      <c r="M1921" s="1085"/>
      <c r="N1921" s="1085"/>
      <c r="O1921" s="1085"/>
    </row>
    <row r="1922" spans="1:15" ht="15" customHeight="1">
      <c r="A1922" s="1052" t="s">
        <v>374</v>
      </c>
      <c r="B1922" s="869" t="s">
        <v>375</v>
      </c>
      <c r="C1922" s="1058" t="e">
        <f>VLOOKUP(B1916,'LƯƠNG KT'!$D$15:$U$94,8,0)*$L$11</f>
        <v>#N/A</v>
      </c>
      <c r="D1922" s="1059" t="e">
        <f>VLOOKUP(B1916,'LƯƠNG KT'!$D$15:$U$94,13,0)-D1921</f>
        <v>#N/A</v>
      </c>
      <c r="E1922" s="1063"/>
      <c r="F1922" s="1061"/>
      <c r="G1922" s="1052" t="s">
        <v>374</v>
      </c>
      <c r="H1922" s="869" t="s">
        <v>375</v>
      </c>
      <c r="I1922" s="1058" t="e">
        <f>VLOOKUP(H1916,'LƯƠNG KT'!$D$15:$U$94,8,0)*$L$11</f>
        <v>#N/A</v>
      </c>
      <c r="J1922" s="1059" t="e">
        <f>VLOOKUP(H1916,'LƯƠNG KT'!$D$15:$U$94,13,0)-J1921</f>
        <v>#N/A</v>
      </c>
      <c r="K1922" s="1085"/>
      <c r="L1922" s="1085"/>
      <c r="M1922" s="1085"/>
      <c r="N1922" s="1085"/>
      <c r="O1922" s="1085"/>
    </row>
    <row r="1923" spans="1:15" ht="15" customHeight="1">
      <c r="A1923" s="1059" t="s">
        <v>377</v>
      </c>
      <c r="B1923" s="869" t="s">
        <v>378</v>
      </c>
      <c r="C1923" s="1058"/>
      <c r="D1923" s="1059"/>
      <c r="E1923" s="1065"/>
      <c r="F1923" s="1065"/>
      <c r="G1923" s="1059" t="s">
        <v>377</v>
      </c>
      <c r="H1923" s="869" t="s">
        <v>378</v>
      </c>
      <c r="I1923" s="1058"/>
      <c r="J1923" s="1059"/>
    </row>
    <row r="1924" spans="1:15" ht="15" customHeight="1">
      <c r="A1924" s="1066" t="s">
        <v>379</v>
      </c>
      <c r="B1924" s="869" t="s">
        <v>380</v>
      </c>
      <c r="C1924" s="1058"/>
      <c r="D1924" s="1059"/>
      <c r="E1924" s="1063"/>
      <c r="F1924" s="1065"/>
      <c r="G1924" s="1066" t="s">
        <v>379</v>
      </c>
      <c r="H1924" s="869" t="s">
        <v>380</v>
      </c>
      <c r="I1924" s="1058"/>
      <c r="J1924" s="1059"/>
    </row>
    <row r="1925" spans="1:15" ht="15" customHeight="1">
      <c r="A1925" s="1052" t="s">
        <v>381</v>
      </c>
      <c r="B1925" s="869" t="s">
        <v>382</v>
      </c>
      <c r="C1925" s="1058"/>
      <c r="D1925" s="1059"/>
      <c r="E1925" s="1067"/>
      <c r="F1925" s="1051"/>
      <c r="G1925" s="1052" t="s">
        <v>381</v>
      </c>
      <c r="H1925" s="869" t="s">
        <v>382</v>
      </c>
      <c r="I1925" s="1058"/>
      <c r="J1925" s="1059">
        <f>J1924</f>
        <v>0</v>
      </c>
    </row>
    <row r="1926" spans="1:15" ht="15" customHeight="1">
      <c r="A1926" s="1068" t="s">
        <v>383</v>
      </c>
      <c r="B1926" s="1069" t="s">
        <v>384</v>
      </c>
      <c r="C1926" s="1070"/>
      <c r="D1926" s="1071"/>
      <c r="E1926" s="1072"/>
      <c r="F1926" s="1073"/>
      <c r="G1926" s="1068" t="s">
        <v>383</v>
      </c>
      <c r="H1926" s="1069" t="s">
        <v>384</v>
      </c>
      <c r="I1926" s="1070"/>
      <c r="J1926" s="1071" t="e">
        <f>SUM(J1917:J1922)-J1925</f>
        <v>#N/A</v>
      </c>
    </row>
    <row r="1927" spans="1:15" ht="18.75" customHeight="1">
      <c r="A1927" s="1074"/>
      <c r="B1927" s="1075"/>
      <c r="C1927" s="1076"/>
      <c r="D1927" s="1077"/>
      <c r="E1927" s="1077"/>
      <c r="F1927" s="1078"/>
      <c r="G1927" s="1074"/>
      <c r="H1927" s="1075"/>
      <c r="I1927" s="1076"/>
      <c r="J1927" s="1077"/>
    </row>
    <row r="1928" spans="1:15" ht="18.75" customHeight="1">
      <c r="A1928" s="1075"/>
      <c r="B1928" s="1075"/>
      <c r="C1928" s="1079"/>
      <c r="D1928" s="1080"/>
      <c r="E1928" s="1075"/>
      <c r="F1928" s="1081"/>
      <c r="G1928" s="1075"/>
      <c r="H1928" s="1075"/>
      <c r="I1928" s="1079"/>
      <c r="J1928" s="1080"/>
    </row>
    <row r="1929" spans="1:15" ht="15" customHeight="1">
      <c r="A1929" s="2242" t="str">
        <f>$K$2</f>
        <v>THÁNG 09/2024</v>
      </c>
      <c r="B1929" s="2242"/>
      <c r="C1929" s="2242"/>
      <c r="D1929" s="2242"/>
      <c r="E1929" s="1050"/>
      <c r="F1929" s="1051"/>
      <c r="G1929" s="2242" t="str">
        <f>$K$2</f>
        <v>THÁNG 09/2024</v>
      </c>
      <c r="H1929" s="2242"/>
      <c r="I1929" s="2242"/>
      <c r="J1929" s="2242"/>
      <c r="K1929" s="624"/>
    </row>
    <row r="1930" spans="1:15" ht="15" customHeight="1">
      <c r="A1930" s="1052" t="s">
        <v>356</v>
      </c>
      <c r="B1930" s="1053" t="s">
        <v>158</v>
      </c>
      <c r="C1930" s="869"/>
      <c r="D1930" s="1049"/>
      <c r="E1930" s="1054"/>
      <c r="F1930" s="1055"/>
      <c r="G1930" s="1052" t="s">
        <v>356</v>
      </c>
      <c r="H1930" s="1053" t="s">
        <v>159</v>
      </c>
      <c r="I1930" s="869"/>
      <c r="J1930" s="1049"/>
      <c r="L1930" s="1088"/>
      <c r="M1930" s="1088"/>
      <c r="N1930" s="1088"/>
      <c r="O1930" s="1088"/>
    </row>
    <row r="1931" spans="1:15" ht="15" customHeight="1">
      <c r="A1931" s="1052" t="s">
        <v>359</v>
      </c>
      <c r="B1931" s="1089" t="s">
        <v>360</v>
      </c>
      <c r="C1931" s="1058" t="e">
        <f>VLOOKUP(B1930,'LƯƠNG KT'!$D$15:$U$94,3,0)</f>
        <v>#N/A</v>
      </c>
      <c r="D1931" s="1059" t="e">
        <f>+C1931*25000</f>
        <v>#N/A</v>
      </c>
      <c r="E1931" s="1060"/>
      <c r="F1931" s="1060"/>
      <c r="G1931" s="1052" t="s">
        <v>359</v>
      </c>
      <c r="H1931" s="1089" t="s">
        <v>360</v>
      </c>
      <c r="I1931" s="1058" t="e">
        <f>VLOOKUP(H1930,'LƯƠNG KT'!$D$15:$U$94,3,0)</f>
        <v>#N/A</v>
      </c>
      <c r="J1931" s="1059" t="e">
        <f>+I1931*25000</f>
        <v>#N/A</v>
      </c>
      <c r="K1931" s="1085"/>
      <c r="L1931" s="1085"/>
      <c r="M1931" s="1085"/>
      <c r="N1931" s="1085"/>
      <c r="O1931" s="1085"/>
    </row>
    <row r="1932" spans="1:15" ht="15" customHeight="1">
      <c r="A1932" s="1052" t="s">
        <v>361</v>
      </c>
      <c r="B1932" s="869" t="s">
        <v>362</v>
      </c>
      <c r="C1932" s="1058" t="e">
        <f>VLOOKUP(B1930,'LƯƠNG KT'!$D$15:$U$94,14,0)</f>
        <v>#N/A</v>
      </c>
      <c r="D1932" s="1059" t="e">
        <f>C1932*$L$4</f>
        <v>#N/A</v>
      </c>
      <c r="E1932" s="1061"/>
      <c r="F1932" s="1061"/>
      <c r="G1932" s="1052" t="s">
        <v>361</v>
      </c>
      <c r="H1932" s="869" t="s">
        <v>362</v>
      </c>
      <c r="I1932" s="1058" t="e">
        <f>VLOOKUP(H1930,'LƯƠNG KT'!$D$15:$U$94,14,0)</f>
        <v>#N/A</v>
      </c>
      <c r="J1932" s="1059" t="e">
        <f>I1932*$L$4</f>
        <v>#N/A</v>
      </c>
      <c r="K1932" s="1085"/>
      <c r="L1932" s="1085"/>
      <c r="M1932" s="1085"/>
      <c r="N1932" s="1085"/>
      <c r="O1932" s="1085"/>
    </row>
    <row r="1933" spans="1:15" ht="15" customHeight="1">
      <c r="A1933" s="1052" t="s">
        <v>364</v>
      </c>
      <c r="B1933" s="869" t="s">
        <v>365</v>
      </c>
      <c r="C1933" s="1058" t="e">
        <f>VLOOKUP(B1930,'LƯƠNG KT'!$D$15:$U$94,15,0)</f>
        <v>#N/A</v>
      </c>
      <c r="D1933" s="1059" t="e">
        <f>C1933*$L$5</f>
        <v>#N/A</v>
      </c>
      <c r="E1933" s="1061"/>
      <c r="F1933" s="1061"/>
      <c r="G1933" s="1052" t="s">
        <v>364</v>
      </c>
      <c r="H1933" s="869" t="s">
        <v>365</v>
      </c>
      <c r="I1933" s="1058" t="e">
        <f>VLOOKUP(H1930,'LƯƠNG KT'!$D$15:$U$94,15,0)</f>
        <v>#N/A</v>
      </c>
      <c r="J1933" s="1059" t="e">
        <f>I1933*$L$5</f>
        <v>#N/A</v>
      </c>
      <c r="K1933" s="1085"/>
      <c r="L1933" s="1085"/>
      <c r="M1933" s="1085"/>
      <c r="N1933" s="1085"/>
      <c r="O1933" s="1085"/>
    </row>
    <row r="1934" spans="1:15" ht="15" customHeight="1">
      <c r="A1934" s="1052" t="s">
        <v>367</v>
      </c>
      <c r="B1934" s="869"/>
      <c r="C1934" s="1058" t="e">
        <f>VLOOKUP(B1930,'LƯƠNG KT'!$D$15:$U$94,16,0)</f>
        <v>#N/A</v>
      </c>
      <c r="D1934" s="1059" t="e">
        <f>+C1934*$L$6</f>
        <v>#N/A</v>
      </c>
      <c r="E1934" s="1061"/>
      <c r="F1934" s="1061"/>
      <c r="G1934" s="1052" t="s">
        <v>367</v>
      </c>
      <c r="H1934" s="869"/>
      <c r="I1934" s="1058" t="e">
        <f>VLOOKUP(H1930,'LƯƠNG KT'!$D$15:$U$94,16,0)</f>
        <v>#N/A</v>
      </c>
      <c r="J1934" s="1059" t="e">
        <f>+I1934*$L$6</f>
        <v>#N/A</v>
      </c>
      <c r="K1934" s="1085"/>
      <c r="L1934" s="1085"/>
      <c r="M1934" s="1085"/>
      <c r="N1934" s="1085"/>
      <c r="O1934" s="1085"/>
    </row>
    <row r="1935" spans="1:15" ht="15" customHeight="1">
      <c r="A1935" s="1052" t="s">
        <v>371</v>
      </c>
      <c r="B1935" s="869" t="s">
        <v>372</v>
      </c>
      <c r="C1935" s="1058" t="e">
        <f>VLOOKUP(B1930,'LƯƠNG KT'!$D$15:$U$94,9,0)*$L$10</f>
        <v>#N/A</v>
      </c>
      <c r="D1935" s="1059" t="e">
        <f>+C1935*0.5*3000</f>
        <v>#N/A</v>
      </c>
      <c r="E1935" s="1061"/>
      <c r="F1935" s="1061"/>
      <c r="G1935" s="1052" t="s">
        <v>371</v>
      </c>
      <c r="H1935" s="869" t="s">
        <v>372</v>
      </c>
      <c r="I1935" s="1058" t="e">
        <f>VLOOKUP(H1930,'LƯƠNG KT'!$D$15:$U$94,9,0)*$L$10</f>
        <v>#N/A</v>
      </c>
      <c r="J1935" s="1059" t="e">
        <f>+I1935*0.5*3000</f>
        <v>#N/A</v>
      </c>
      <c r="K1935" s="1085"/>
      <c r="L1935" s="1085"/>
      <c r="M1935" s="1085"/>
      <c r="N1935" s="1085"/>
      <c r="O1935" s="1085"/>
    </row>
    <row r="1936" spans="1:15" ht="15" customHeight="1">
      <c r="A1936" s="1052" t="s">
        <v>374</v>
      </c>
      <c r="B1936" s="869" t="s">
        <v>375</v>
      </c>
      <c r="C1936" s="1058" t="e">
        <f>VLOOKUP(B1930,'LƯƠNG KT'!$D$15:$U$94,8,0)*$L$11</f>
        <v>#N/A</v>
      </c>
      <c r="D1936" s="1059" t="e">
        <f>VLOOKUP(B1930,'LƯƠNG KT'!$D$15:$U$94,13,0)-D1935</f>
        <v>#N/A</v>
      </c>
      <c r="E1936" s="1063"/>
      <c r="F1936" s="1061"/>
      <c r="G1936" s="1052" t="s">
        <v>374</v>
      </c>
      <c r="H1936" s="869" t="s">
        <v>375</v>
      </c>
      <c r="I1936" s="1058" t="e">
        <f>VLOOKUP(H1930,'LƯƠNG KT'!$D$15:$U$94,8,0)*$L$11</f>
        <v>#N/A</v>
      </c>
      <c r="J1936" s="1059" t="e">
        <f>VLOOKUP(H1930,'LƯƠNG KT'!$D$15:$U$94,13,0)-J1935</f>
        <v>#N/A</v>
      </c>
      <c r="K1936" s="1085"/>
      <c r="L1936" s="1085"/>
      <c r="M1936" s="1085"/>
      <c r="N1936" s="1085"/>
      <c r="O1936" s="1085"/>
    </row>
    <row r="1937" spans="1:15" ht="15" customHeight="1">
      <c r="A1937" s="1059" t="s">
        <v>377</v>
      </c>
      <c r="B1937" s="869" t="s">
        <v>378</v>
      </c>
      <c r="C1937" s="1058"/>
      <c r="D1937" s="1059"/>
      <c r="E1937" s="1065"/>
      <c r="F1937" s="1065"/>
      <c r="G1937" s="1059" t="s">
        <v>377</v>
      </c>
      <c r="H1937" s="869" t="s">
        <v>378</v>
      </c>
      <c r="I1937" s="1058"/>
      <c r="J1937" s="1059"/>
    </row>
    <row r="1938" spans="1:15" ht="15" customHeight="1">
      <c r="A1938" s="1066" t="s">
        <v>379</v>
      </c>
      <c r="B1938" s="869" t="s">
        <v>380</v>
      </c>
      <c r="C1938" s="1058"/>
      <c r="D1938" s="1059"/>
      <c r="E1938" s="1063"/>
      <c r="F1938" s="1065"/>
      <c r="G1938" s="1066" t="s">
        <v>379</v>
      </c>
      <c r="H1938" s="869" t="s">
        <v>380</v>
      </c>
      <c r="I1938" s="1058"/>
      <c r="J1938" s="1059"/>
    </row>
    <row r="1939" spans="1:15" ht="15" customHeight="1">
      <c r="A1939" s="1052" t="s">
        <v>381</v>
      </c>
      <c r="B1939" s="869" t="s">
        <v>382</v>
      </c>
      <c r="C1939" s="1058"/>
      <c r="D1939" s="1059">
        <f>D1938</f>
        <v>0</v>
      </c>
      <c r="E1939" s="1067"/>
      <c r="F1939" s="1051"/>
      <c r="G1939" s="1052" t="s">
        <v>381</v>
      </c>
      <c r="H1939" s="869" t="s">
        <v>382</v>
      </c>
      <c r="I1939" s="1058"/>
      <c r="J1939" s="1059">
        <f>J1938</f>
        <v>0</v>
      </c>
    </row>
    <row r="1940" spans="1:15" ht="15" customHeight="1">
      <c r="A1940" s="1068" t="s">
        <v>383</v>
      </c>
      <c r="B1940" s="1069" t="s">
        <v>384</v>
      </c>
      <c r="C1940" s="1070"/>
      <c r="D1940" s="1071" t="e">
        <f>SUM(D1931:D1936)-D1939</f>
        <v>#N/A</v>
      </c>
      <c r="E1940" s="1072"/>
      <c r="F1940" s="1073"/>
      <c r="G1940" s="1068" t="s">
        <v>383</v>
      </c>
      <c r="H1940" s="1069" t="s">
        <v>384</v>
      </c>
      <c r="I1940" s="1070"/>
      <c r="J1940" s="1071" t="e">
        <f>SUM(J1931:J1936)-J1939</f>
        <v>#N/A</v>
      </c>
    </row>
    <row r="1941" spans="1:15" ht="18.75" customHeight="1">
      <c r="A1941" s="1074"/>
      <c r="B1941" s="1075"/>
      <c r="C1941" s="1076"/>
      <c r="D1941" s="1077"/>
      <c r="E1941" s="1077"/>
      <c r="F1941" s="1078"/>
      <c r="G1941" s="1074"/>
      <c r="H1941" s="1075"/>
      <c r="I1941" s="1076"/>
      <c r="J1941" s="1077"/>
    </row>
    <row r="1942" spans="1:15" ht="18.75" customHeight="1">
      <c r="A1942" s="1075"/>
      <c r="B1942" s="1075"/>
      <c r="C1942" s="1079"/>
      <c r="D1942" s="1080"/>
      <c r="E1942" s="1075"/>
      <c r="F1942" s="1081"/>
      <c r="G1942" s="1075"/>
      <c r="H1942" s="1075"/>
      <c r="I1942" s="1079"/>
      <c r="J1942" s="1080"/>
    </row>
    <row r="1943" spans="1:15" ht="15" customHeight="1">
      <c r="A1943" s="2242" t="str">
        <f>$K$2</f>
        <v>THÁNG 09/2024</v>
      </c>
      <c r="B1943" s="2242"/>
      <c r="C1943" s="2242"/>
      <c r="D1943" s="2242"/>
      <c r="E1943" s="1050"/>
      <c r="F1943" s="1051"/>
      <c r="G1943" s="2242" t="str">
        <f>$K$2</f>
        <v>THÁNG 09/2024</v>
      </c>
      <c r="H1943" s="2242"/>
      <c r="I1943" s="2242"/>
      <c r="J1943" s="2242"/>
      <c r="K1943" s="624"/>
    </row>
    <row r="1944" spans="1:15" ht="15" customHeight="1">
      <c r="A1944" s="1052" t="s">
        <v>356</v>
      </c>
      <c r="B1944" s="1053" t="s">
        <v>160</v>
      </c>
      <c r="C1944" s="869"/>
      <c r="D1944" s="1049"/>
      <c r="E1944" s="1054"/>
      <c r="F1944" s="1055"/>
      <c r="G1944" s="1052" t="s">
        <v>356</v>
      </c>
      <c r="H1944" s="1053" t="s">
        <v>161</v>
      </c>
      <c r="I1944" s="869"/>
      <c r="J1944" s="1049"/>
      <c r="L1944" s="1088"/>
      <c r="M1944" s="1088"/>
      <c r="N1944" s="1088"/>
      <c r="O1944" s="1088"/>
    </row>
    <row r="1945" spans="1:15" ht="15" customHeight="1">
      <c r="A1945" s="1052" t="s">
        <v>359</v>
      </c>
      <c r="B1945" s="1089" t="s">
        <v>360</v>
      </c>
      <c r="C1945" s="1058" t="e">
        <f>VLOOKUP(B1944,'LƯƠNG KT'!$D$15:$U$94,3,0)</f>
        <v>#N/A</v>
      </c>
      <c r="D1945" s="1059" t="e">
        <f>+C1945*25000</f>
        <v>#N/A</v>
      </c>
      <c r="E1945" s="1060"/>
      <c r="F1945" s="1060"/>
      <c r="G1945" s="1052" t="s">
        <v>359</v>
      </c>
      <c r="H1945" s="1089" t="s">
        <v>360</v>
      </c>
      <c r="I1945" s="1058" t="e">
        <f>VLOOKUP(H1944,'LƯƠNG KT'!$D$15:$U$94,3,0)</f>
        <v>#N/A</v>
      </c>
      <c r="J1945" s="1059" t="e">
        <f>+I1945*25000</f>
        <v>#N/A</v>
      </c>
      <c r="K1945" s="1085"/>
      <c r="L1945" s="1085"/>
      <c r="M1945" s="1085"/>
      <c r="N1945" s="1085"/>
      <c r="O1945" s="1085"/>
    </row>
    <row r="1946" spans="1:15" ht="15" customHeight="1">
      <c r="A1946" s="1052" t="s">
        <v>361</v>
      </c>
      <c r="B1946" s="869" t="s">
        <v>362</v>
      </c>
      <c r="C1946" s="1058" t="e">
        <f>VLOOKUP(B1944,'LƯƠNG KT'!$D$15:$U$94,14,0)</f>
        <v>#N/A</v>
      </c>
      <c r="D1946" s="1059" t="e">
        <f>C1946*$L$4</f>
        <v>#N/A</v>
      </c>
      <c r="E1946" s="1061"/>
      <c r="F1946" s="1061"/>
      <c r="G1946" s="1052" t="s">
        <v>361</v>
      </c>
      <c r="H1946" s="869" t="s">
        <v>362</v>
      </c>
      <c r="I1946" s="1058" t="e">
        <f>VLOOKUP(H1944,'LƯƠNG KT'!$D$15:$U$94,14,0)</f>
        <v>#N/A</v>
      </c>
      <c r="J1946" s="1059" t="e">
        <f>I1946*$L$4</f>
        <v>#N/A</v>
      </c>
      <c r="K1946" s="1085"/>
      <c r="L1946" s="1085"/>
      <c r="M1946" s="1085"/>
      <c r="N1946" s="1085"/>
      <c r="O1946" s="1085"/>
    </row>
    <row r="1947" spans="1:15" ht="15" customHeight="1">
      <c r="A1947" s="1052" t="s">
        <v>364</v>
      </c>
      <c r="B1947" s="869" t="s">
        <v>365</v>
      </c>
      <c r="C1947" s="1058" t="e">
        <f>VLOOKUP(B1944,'LƯƠNG KT'!$D$15:$U$94,15,0)</f>
        <v>#N/A</v>
      </c>
      <c r="D1947" s="1059" t="e">
        <f>C1947*$L$5</f>
        <v>#N/A</v>
      </c>
      <c r="E1947" s="1061"/>
      <c r="F1947" s="1061"/>
      <c r="G1947" s="1052" t="s">
        <v>364</v>
      </c>
      <c r="H1947" s="869" t="s">
        <v>365</v>
      </c>
      <c r="I1947" s="1058" t="e">
        <f>VLOOKUP(H1944,'LƯƠNG KT'!$D$15:$U$94,15,0)</f>
        <v>#N/A</v>
      </c>
      <c r="J1947" s="1059" t="e">
        <f>I1947*$L$5</f>
        <v>#N/A</v>
      </c>
      <c r="K1947" s="1085"/>
      <c r="L1947" s="1085"/>
      <c r="M1947" s="1085"/>
      <c r="N1947" s="1085"/>
      <c r="O1947" s="1085"/>
    </row>
    <row r="1948" spans="1:15" ht="15" customHeight="1">
      <c r="A1948" s="1052" t="s">
        <v>367</v>
      </c>
      <c r="B1948" s="869"/>
      <c r="C1948" s="1058" t="e">
        <f>VLOOKUP(B1944,'LƯƠNG KT'!$D$15:$U$94,16,0)</f>
        <v>#N/A</v>
      </c>
      <c r="D1948" s="1059" t="e">
        <f>+C1948*$L$6</f>
        <v>#N/A</v>
      </c>
      <c r="E1948" s="1061"/>
      <c r="F1948" s="1061"/>
      <c r="G1948" s="1052" t="s">
        <v>367</v>
      </c>
      <c r="H1948" s="869"/>
      <c r="I1948" s="1058" t="e">
        <f>VLOOKUP(H1944,'LƯƠNG KT'!$D$15:$U$94,16,0)</f>
        <v>#N/A</v>
      </c>
      <c r="J1948" s="1059" t="e">
        <f>+I1948*$L$6</f>
        <v>#N/A</v>
      </c>
      <c r="K1948" s="1085"/>
      <c r="L1948" s="1085"/>
      <c r="M1948" s="1085"/>
      <c r="N1948" s="1085"/>
      <c r="O1948" s="1085"/>
    </row>
    <row r="1949" spans="1:15" ht="15" customHeight="1">
      <c r="A1949" s="1052" t="s">
        <v>371</v>
      </c>
      <c r="B1949" s="869" t="s">
        <v>372</v>
      </c>
      <c r="C1949" s="1058" t="e">
        <f>VLOOKUP(B1944,'LƯƠNG KT'!$D$15:$U$94,9,0)*$L$10</f>
        <v>#N/A</v>
      </c>
      <c r="D1949" s="1059" t="e">
        <f>+C1949*0.5*3000</f>
        <v>#N/A</v>
      </c>
      <c r="E1949" s="1061"/>
      <c r="F1949" s="1061"/>
      <c r="G1949" s="1052" t="s">
        <v>371</v>
      </c>
      <c r="H1949" s="869" t="s">
        <v>372</v>
      </c>
      <c r="I1949" s="1058" t="e">
        <f>VLOOKUP(H1944,'LƯƠNG KT'!$D$15:$U$94,9,0)*$L$10</f>
        <v>#N/A</v>
      </c>
      <c r="J1949" s="1059" t="e">
        <f>+I1949*0.5*3000</f>
        <v>#N/A</v>
      </c>
      <c r="K1949" s="1085"/>
      <c r="L1949" s="1085"/>
      <c r="M1949" s="1085"/>
      <c r="N1949" s="1085"/>
      <c r="O1949" s="1085"/>
    </row>
    <row r="1950" spans="1:15" ht="15" customHeight="1">
      <c r="A1950" s="1052" t="s">
        <v>374</v>
      </c>
      <c r="B1950" s="869" t="s">
        <v>375</v>
      </c>
      <c r="C1950" s="1058" t="e">
        <f>VLOOKUP(B1944,'LƯƠNG KT'!$D$15:$U$94,8,0)*$L$11</f>
        <v>#N/A</v>
      </c>
      <c r="D1950" s="1059" t="e">
        <f>VLOOKUP(B1944,'LƯƠNG KT'!$D$15:$U$94,13,0)-D1949</f>
        <v>#N/A</v>
      </c>
      <c r="E1950" s="1063"/>
      <c r="F1950" s="1061"/>
      <c r="G1950" s="1052" t="s">
        <v>374</v>
      </c>
      <c r="H1950" s="869" t="s">
        <v>375</v>
      </c>
      <c r="I1950" s="1058" t="e">
        <f>VLOOKUP(H1944,'LƯƠNG KT'!$D$15:$U$94,8,0)*$L$11</f>
        <v>#N/A</v>
      </c>
      <c r="J1950" s="1059" t="e">
        <f>VLOOKUP(H1944,'LƯƠNG KT'!$D$15:$U$94,13,0)-J1949</f>
        <v>#N/A</v>
      </c>
      <c r="K1950" s="1085"/>
      <c r="L1950" s="1085"/>
      <c r="M1950" s="1085"/>
      <c r="N1950" s="1085"/>
      <c r="O1950" s="1085"/>
    </row>
    <row r="1951" spans="1:15" ht="15" customHeight="1">
      <c r="A1951" s="1059" t="s">
        <v>377</v>
      </c>
      <c r="B1951" s="869" t="s">
        <v>378</v>
      </c>
      <c r="C1951" s="1058"/>
      <c r="D1951" s="1059"/>
      <c r="E1951" s="1065"/>
      <c r="F1951" s="1065"/>
      <c r="G1951" s="1059" t="s">
        <v>377</v>
      </c>
      <c r="H1951" s="869" t="s">
        <v>378</v>
      </c>
      <c r="I1951" s="1058"/>
      <c r="J1951" s="1059"/>
    </row>
    <row r="1952" spans="1:15" ht="15" customHeight="1">
      <c r="A1952" s="1066" t="s">
        <v>379</v>
      </c>
      <c r="B1952" s="869" t="s">
        <v>380</v>
      </c>
      <c r="C1952" s="1058"/>
      <c r="D1952" s="1059"/>
      <c r="E1952" s="1063"/>
      <c r="F1952" s="1065"/>
      <c r="G1952" s="1066" t="s">
        <v>379</v>
      </c>
      <c r="H1952" s="869" t="s">
        <v>380</v>
      </c>
      <c r="I1952" s="1058"/>
      <c r="J1952" s="1059"/>
    </row>
    <row r="1953" spans="1:15" ht="15" customHeight="1">
      <c r="A1953" s="1052" t="s">
        <v>381</v>
      </c>
      <c r="B1953" s="869" t="s">
        <v>382</v>
      </c>
      <c r="C1953" s="1058"/>
      <c r="D1953" s="1059">
        <f>D1952</f>
        <v>0</v>
      </c>
      <c r="E1953" s="1067"/>
      <c r="F1953" s="1051"/>
      <c r="G1953" s="1052" t="s">
        <v>381</v>
      </c>
      <c r="H1953" s="869" t="s">
        <v>382</v>
      </c>
      <c r="I1953" s="1058"/>
      <c r="J1953" s="1059">
        <f>J1952</f>
        <v>0</v>
      </c>
    </row>
    <row r="1954" spans="1:15" ht="15" customHeight="1">
      <c r="A1954" s="1068" t="s">
        <v>383</v>
      </c>
      <c r="B1954" s="1069" t="s">
        <v>384</v>
      </c>
      <c r="C1954" s="1070"/>
      <c r="D1954" s="1071" t="e">
        <f>SUM(D1945:D1950)-D1953</f>
        <v>#N/A</v>
      </c>
      <c r="E1954" s="1072"/>
      <c r="F1954" s="1073"/>
      <c r="G1954" s="1068" t="s">
        <v>383</v>
      </c>
      <c r="H1954" s="1069" t="s">
        <v>384</v>
      </c>
      <c r="I1954" s="1070"/>
      <c r="J1954" s="1071" t="e">
        <f>SUM(J1945:J1950)-J1953</f>
        <v>#N/A</v>
      </c>
    </row>
    <row r="1955" spans="1:15" ht="15.75" customHeight="1">
      <c r="A1955" s="1074"/>
      <c r="B1955" s="1075"/>
      <c r="C1955" s="1076"/>
      <c r="D1955" s="1077"/>
      <c r="E1955" s="1077"/>
      <c r="F1955" s="1078"/>
      <c r="G1955" s="1074"/>
      <c r="H1955" s="1075"/>
      <c r="I1955" s="1076"/>
      <c r="J1955" s="1077"/>
    </row>
    <row r="1957" spans="1:15" ht="12" customHeight="1">
      <c r="A1957" s="2243"/>
      <c r="B1957" s="2243"/>
      <c r="C1957" s="2243"/>
      <c r="D1957" s="2243"/>
      <c r="E1957" s="2243"/>
      <c r="F1957" s="2243"/>
      <c r="G1957" s="2243"/>
      <c r="H1957" s="2243"/>
      <c r="I1957" s="2243"/>
      <c r="J1957" s="2243"/>
    </row>
    <row r="1958" spans="1:15" ht="15" customHeight="1">
      <c r="A1958" s="2242" t="str">
        <f>$K$2</f>
        <v>THÁNG 09/2024</v>
      </c>
      <c r="B1958" s="2242"/>
      <c r="C1958" s="2242"/>
      <c r="D1958" s="2242"/>
      <c r="E1958" s="1050"/>
      <c r="F1958" s="1051"/>
      <c r="G1958" s="2242" t="str">
        <f>$K$2</f>
        <v>THÁNG 09/2024</v>
      </c>
      <c r="H1958" s="2242"/>
      <c r="I1958" s="2242"/>
      <c r="J1958" s="2242"/>
      <c r="K1958" s="624"/>
    </row>
    <row r="1959" spans="1:15" ht="15" customHeight="1">
      <c r="A1959" s="1052" t="s">
        <v>356</v>
      </c>
      <c r="B1959" s="1053" t="s">
        <v>162</v>
      </c>
      <c r="C1959" s="869"/>
      <c r="D1959" s="1049"/>
      <c r="E1959" s="1054"/>
      <c r="F1959" s="1055"/>
      <c r="G1959" s="1052" t="s">
        <v>356</v>
      </c>
      <c r="H1959" s="1053" t="s">
        <v>163</v>
      </c>
      <c r="I1959" s="869"/>
      <c r="J1959" s="1049"/>
      <c r="L1959" s="1088"/>
      <c r="M1959" s="1088"/>
      <c r="N1959" s="1088"/>
      <c r="O1959" s="1088"/>
    </row>
    <row r="1960" spans="1:15" ht="15" customHeight="1">
      <c r="A1960" s="1052" t="s">
        <v>359</v>
      </c>
      <c r="B1960" s="1089" t="s">
        <v>360</v>
      </c>
      <c r="C1960" s="1058" t="e">
        <f>VLOOKUP(B1959,'LƯƠNG KT'!$D$15:$U$94,3,0)</f>
        <v>#N/A</v>
      </c>
      <c r="D1960" s="1059" t="e">
        <f>+C1960*25000</f>
        <v>#N/A</v>
      </c>
      <c r="E1960" s="1060"/>
      <c r="F1960" s="1060"/>
      <c r="G1960" s="1052" t="s">
        <v>359</v>
      </c>
      <c r="H1960" s="1089" t="s">
        <v>360</v>
      </c>
      <c r="I1960" s="1058" t="e">
        <f>VLOOKUP(H1959,'LƯƠNG KT'!$D$15:$U$94,3,0)</f>
        <v>#N/A</v>
      </c>
      <c r="J1960" s="1059" t="e">
        <f>+I1960*25000</f>
        <v>#N/A</v>
      </c>
      <c r="K1960" s="1084"/>
      <c r="L1960" s="1085"/>
      <c r="M1960" s="1085"/>
      <c r="N1960" s="1085"/>
      <c r="O1960" s="1085"/>
    </row>
    <row r="1961" spans="1:15" ht="15" customHeight="1">
      <c r="A1961" s="1052" t="s">
        <v>361</v>
      </c>
      <c r="B1961" s="869" t="s">
        <v>362</v>
      </c>
      <c r="C1961" s="1058" t="e">
        <f>VLOOKUP(B1959,'LƯƠNG KT'!$D$15:$U$94,14,0)</f>
        <v>#N/A</v>
      </c>
      <c r="D1961" s="1059" t="e">
        <f>C1961*$L$4</f>
        <v>#N/A</v>
      </c>
      <c r="E1961" s="1061"/>
      <c r="F1961" s="1061"/>
      <c r="G1961" s="1052" t="s">
        <v>361</v>
      </c>
      <c r="H1961" s="869" t="s">
        <v>362</v>
      </c>
      <c r="I1961" s="1058" t="e">
        <f>VLOOKUP(H1959,'LƯƠNG KT'!$D$15:$U$94,14,0)</f>
        <v>#N/A</v>
      </c>
      <c r="J1961" s="1059" t="e">
        <f>I1961*$L$4</f>
        <v>#N/A</v>
      </c>
      <c r="K1961" s="1084"/>
      <c r="L1961" s="1085"/>
      <c r="M1961" s="1085"/>
      <c r="N1961" s="1085"/>
      <c r="O1961" s="1085"/>
    </row>
    <row r="1962" spans="1:15" ht="15" customHeight="1">
      <c r="A1962" s="1052" t="s">
        <v>364</v>
      </c>
      <c r="B1962" s="869" t="s">
        <v>365</v>
      </c>
      <c r="C1962" s="1058" t="e">
        <f>VLOOKUP(B1959,'LƯƠNG KT'!$D$15:$U$94,15,0)</f>
        <v>#N/A</v>
      </c>
      <c r="D1962" s="1059" t="e">
        <f>C1962*$L$5</f>
        <v>#N/A</v>
      </c>
      <c r="E1962" s="1061"/>
      <c r="F1962" s="1061"/>
      <c r="G1962" s="1052" t="s">
        <v>364</v>
      </c>
      <c r="H1962" s="869" t="s">
        <v>365</v>
      </c>
      <c r="I1962" s="1058" t="e">
        <f>VLOOKUP(H1959,'LƯƠNG KT'!$D$15:$U$94,15,0)</f>
        <v>#N/A</v>
      </c>
      <c r="J1962" s="1059" t="e">
        <f>I1962*$L$5</f>
        <v>#N/A</v>
      </c>
      <c r="K1962" s="1084"/>
      <c r="L1962" s="1085"/>
      <c r="M1962" s="1085"/>
      <c r="N1962" s="1085"/>
      <c r="O1962" s="1085"/>
    </row>
    <row r="1963" spans="1:15" ht="15" customHeight="1">
      <c r="A1963" s="1052" t="s">
        <v>367</v>
      </c>
      <c r="B1963" s="869"/>
      <c r="C1963" s="1058" t="e">
        <f>VLOOKUP(B1959,'LƯƠNG KT'!$D$15:$U$94,16,0)</f>
        <v>#N/A</v>
      </c>
      <c r="D1963" s="1059" t="e">
        <f>+C1963*$L$6</f>
        <v>#N/A</v>
      </c>
      <c r="E1963" s="1061"/>
      <c r="F1963" s="1061"/>
      <c r="G1963" s="1052" t="s">
        <v>367</v>
      </c>
      <c r="H1963" s="869"/>
      <c r="I1963" s="1058" t="e">
        <f>VLOOKUP(H1959,'LƯƠNG KT'!$D$15:$U$94,16,0)</f>
        <v>#N/A</v>
      </c>
      <c r="J1963" s="1059" t="e">
        <f>+I1963*$L$6</f>
        <v>#N/A</v>
      </c>
      <c r="K1963" s="1085"/>
      <c r="L1963" s="1085"/>
      <c r="M1963" s="1085"/>
      <c r="N1963" s="1085"/>
      <c r="O1963" s="1085"/>
    </row>
    <row r="1964" spans="1:15" ht="15" customHeight="1">
      <c r="A1964" s="1052" t="s">
        <v>371</v>
      </c>
      <c r="B1964" s="869" t="s">
        <v>372</v>
      </c>
      <c r="C1964" s="1058" t="e">
        <f>VLOOKUP(B1959,'LƯƠNG KT'!$D$15:$U$94,9,0)*$L$10</f>
        <v>#N/A</v>
      </c>
      <c r="D1964" s="1059" t="e">
        <f>+C1964*0.5*3000</f>
        <v>#N/A</v>
      </c>
      <c r="E1964" s="1061"/>
      <c r="F1964" s="1061"/>
      <c r="G1964" s="1052" t="s">
        <v>371</v>
      </c>
      <c r="H1964" s="869" t="s">
        <v>372</v>
      </c>
      <c r="I1964" s="1058" t="e">
        <f>VLOOKUP(H1959,'LƯƠNG KT'!$D$15:$U$94,9,0)*$L$10</f>
        <v>#N/A</v>
      </c>
      <c r="J1964" s="1059" t="e">
        <f>+I1964*0.5*3000</f>
        <v>#N/A</v>
      </c>
      <c r="K1964" s="1085"/>
      <c r="L1964" s="1085"/>
      <c r="M1964" s="1085"/>
      <c r="N1964" s="1085"/>
      <c r="O1964" s="1085"/>
    </row>
    <row r="1965" spans="1:15" ht="15" customHeight="1">
      <c r="A1965" s="1052" t="s">
        <v>374</v>
      </c>
      <c r="B1965" s="869" t="s">
        <v>375</v>
      </c>
      <c r="C1965" s="1058" t="e">
        <f>VLOOKUP(B1959,'LƯƠNG KT'!$D$15:$U$94,8,0)*$L$11</f>
        <v>#N/A</v>
      </c>
      <c r="D1965" s="1059" t="e">
        <f>VLOOKUP(B1959,'LƯƠNG KT'!$D$15:$U$94,13,0)-D1964</f>
        <v>#N/A</v>
      </c>
      <c r="E1965" s="1063"/>
      <c r="F1965" s="1061"/>
      <c r="G1965" s="1052" t="s">
        <v>374</v>
      </c>
      <c r="H1965" s="869" t="s">
        <v>375</v>
      </c>
      <c r="I1965" s="1058" t="e">
        <f>VLOOKUP(H1959,'LƯƠNG KT'!$D$15:$U$94,8,0)*$L$11</f>
        <v>#N/A</v>
      </c>
      <c r="J1965" s="1059" t="e">
        <f>VLOOKUP(H1959,'LƯƠNG KT'!$D$15:$U$94,13,0)-J1964</f>
        <v>#N/A</v>
      </c>
      <c r="K1965" s="1085"/>
      <c r="L1965" s="1085"/>
      <c r="M1965" s="1085"/>
      <c r="N1965" s="1085"/>
      <c r="O1965" s="1085"/>
    </row>
    <row r="1966" spans="1:15" ht="15" customHeight="1">
      <c r="A1966" s="1059" t="s">
        <v>377</v>
      </c>
      <c r="B1966" s="869" t="s">
        <v>378</v>
      </c>
      <c r="C1966" s="1058"/>
      <c r="D1966" s="1059"/>
      <c r="E1966" s="1065"/>
      <c r="F1966" s="1065"/>
      <c r="G1966" s="1059" t="s">
        <v>377</v>
      </c>
      <c r="H1966" s="869" t="s">
        <v>378</v>
      </c>
      <c r="I1966" s="1058"/>
      <c r="J1966" s="1059"/>
    </row>
    <row r="1967" spans="1:15" ht="15" customHeight="1">
      <c r="A1967" s="1066" t="s">
        <v>379</v>
      </c>
      <c r="B1967" s="869" t="s">
        <v>380</v>
      </c>
      <c r="C1967" s="1058"/>
      <c r="D1967" s="1059"/>
      <c r="E1967" s="1063"/>
      <c r="F1967" s="1065"/>
      <c r="G1967" s="1066" t="s">
        <v>379</v>
      </c>
      <c r="H1967" s="869" t="s">
        <v>380</v>
      </c>
      <c r="I1967" s="1058"/>
      <c r="J1967" s="1059"/>
    </row>
    <row r="1968" spans="1:15" ht="15" customHeight="1">
      <c r="A1968" s="1052" t="s">
        <v>381</v>
      </c>
      <c r="B1968" s="869" t="s">
        <v>382</v>
      </c>
      <c r="C1968" s="1058"/>
      <c r="D1968" s="1059">
        <f>D1967</f>
        <v>0</v>
      </c>
      <c r="E1968" s="1067"/>
      <c r="F1968" s="1051"/>
      <c r="G1968" s="1052" t="s">
        <v>381</v>
      </c>
      <c r="H1968" s="869" t="s">
        <v>382</v>
      </c>
      <c r="I1968" s="1058"/>
      <c r="J1968" s="1059">
        <f>J1967</f>
        <v>0</v>
      </c>
    </row>
    <row r="1969" spans="1:15" ht="15" customHeight="1">
      <c r="A1969" s="1068" t="s">
        <v>383</v>
      </c>
      <c r="B1969" s="1069" t="s">
        <v>384</v>
      </c>
      <c r="C1969" s="1070"/>
      <c r="D1969" s="1071" t="e">
        <f>SUM(D1960:D1965)-D1968</f>
        <v>#N/A</v>
      </c>
      <c r="E1969" s="1072"/>
      <c r="F1969" s="1073"/>
      <c r="G1969" s="1068" t="s">
        <v>383</v>
      </c>
      <c r="H1969" s="1069" t="s">
        <v>384</v>
      </c>
      <c r="I1969" s="1070"/>
      <c r="J1969" s="1071" t="e">
        <f>SUM(J1960:J1965)-J1968</f>
        <v>#N/A</v>
      </c>
    </row>
    <row r="1970" spans="1:15" ht="12.6" customHeight="1">
      <c r="A1970" s="1074"/>
      <c r="B1970" s="1075"/>
      <c r="C1970" s="1076"/>
      <c r="D1970" s="1077"/>
      <c r="E1970" s="1077"/>
      <c r="F1970" s="1078"/>
      <c r="G1970" s="1074"/>
      <c r="H1970" s="1075"/>
      <c r="I1970" s="1076"/>
      <c r="J1970" s="1077"/>
    </row>
    <row r="1971" spans="1:15" ht="12.6" customHeight="1">
      <c r="A1971" s="1075"/>
      <c r="B1971" s="1075"/>
      <c r="C1971" s="1079"/>
      <c r="D1971" s="1080"/>
      <c r="E1971" s="1075"/>
      <c r="F1971" s="1081"/>
      <c r="G1971" s="1075"/>
      <c r="H1971" s="1075"/>
      <c r="I1971" s="1079"/>
      <c r="J1971" s="1080"/>
    </row>
    <row r="1972" spans="1:15" ht="15" customHeight="1">
      <c r="A1972" s="2242" t="str">
        <f>$K$2</f>
        <v>THÁNG 09/2024</v>
      </c>
      <c r="B1972" s="2242"/>
      <c r="C1972" s="2242"/>
      <c r="D1972" s="2242"/>
      <c r="E1972" s="1050"/>
      <c r="F1972" s="1051"/>
      <c r="G1972" s="2242" t="str">
        <f>$K$2</f>
        <v>THÁNG 09/2024</v>
      </c>
      <c r="H1972" s="2242"/>
      <c r="I1972" s="2242"/>
      <c r="J1972" s="2242"/>
      <c r="K1972" s="624"/>
    </row>
    <row r="1973" spans="1:15" ht="15" customHeight="1">
      <c r="A1973" s="1052" t="s">
        <v>356</v>
      </c>
      <c r="B1973" s="1053" t="s">
        <v>164</v>
      </c>
      <c r="C1973" s="869"/>
      <c r="D1973" s="1049"/>
      <c r="E1973" s="1054"/>
      <c r="F1973" s="1055"/>
      <c r="G1973" s="1052" t="s">
        <v>356</v>
      </c>
      <c r="H1973" s="1053" t="s">
        <v>165</v>
      </c>
      <c r="I1973" s="869"/>
      <c r="J1973" s="1049"/>
      <c r="L1973" s="1088"/>
      <c r="M1973" s="1088"/>
      <c r="N1973" s="1088"/>
      <c r="O1973" s="1088"/>
    </row>
    <row r="1974" spans="1:15" ht="15" customHeight="1">
      <c r="A1974" s="1052" t="s">
        <v>359</v>
      </c>
      <c r="B1974" s="1089" t="s">
        <v>360</v>
      </c>
      <c r="C1974" s="1058" t="e">
        <f>VLOOKUP(B1973,'LƯƠNG KT'!$D$15:$U$94,3,0)</f>
        <v>#N/A</v>
      </c>
      <c r="D1974" s="1059" t="e">
        <f>+C1974*25000</f>
        <v>#N/A</v>
      </c>
      <c r="E1974" s="1060"/>
      <c r="F1974" s="1060"/>
      <c r="G1974" s="1052" t="s">
        <v>359</v>
      </c>
      <c r="H1974" s="1089" t="s">
        <v>360</v>
      </c>
      <c r="I1974" s="1058" t="e">
        <f>VLOOKUP(H1973,'LƯƠNG KT'!$D$15:$U$94,3,0)</f>
        <v>#N/A</v>
      </c>
      <c r="J1974" s="1059" t="e">
        <f>+I1974*25000</f>
        <v>#N/A</v>
      </c>
      <c r="K1974" s="1085"/>
      <c r="L1974" s="1085"/>
      <c r="M1974" s="1085"/>
      <c r="N1974" s="1085"/>
      <c r="O1974" s="1085"/>
    </row>
    <row r="1975" spans="1:15" ht="15" customHeight="1">
      <c r="A1975" s="1052" t="s">
        <v>361</v>
      </c>
      <c r="B1975" s="869" t="s">
        <v>362</v>
      </c>
      <c r="C1975" s="1058" t="e">
        <f>VLOOKUP(B1973,'LƯƠNG KT'!$D$15:$U$94,14,0)</f>
        <v>#N/A</v>
      </c>
      <c r="D1975" s="1059" t="e">
        <f>C1975*$L$4</f>
        <v>#N/A</v>
      </c>
      <c r="E1975" s="1061"/>
      <c r="F1975" s="1061"/>
      <c r="G1975" s="1052" t="s">
        <v>361</v>
      </c>
      <c r="H1975" s="869" t="s">
        <v>362</v>
      </c>
      <c r="I1975" s="1058" t="e">
        <f>VLOOKUP(H1973,'LƯƠNG KT'!$D$15:$U$94,14,0)</f>
        <v>#N/A</v>
      </c>
      <c r="J1975" s="1059" t="e">
        <f>I1975*$L$4</f>
        <v>#N/A</v>
      </c>
      <c r="K1975" s="1085"/>
      <c r="L1975" s="1085"/>
      <c r="M1975" s="1085"/>
      <c r="N1975" s="1085"/>
      <c r="O1975" s="1085"/>
    </row>
    <row r="1976" spans="1:15" ht="15" customHeight="1">
      <c r="A1976" s="1052" t="s">
        <v>364</v>
      </c>
      <c r="B1976" s="869" t="s">
        <v>365</v>
      </c>
      <c r="C1976" s="1058" t="e">
        <f>VLOOKUP(B1973,'LƯƠNG KT'!$D$15:$U$94,15,0)</f>
        <v>#N/A</v>
      </c>
      <c r="D1976" s="1059" t="e">
        <f>C1976*$L$5</f>
        <v>#N/A</v>
      </c>
      <c r="E1976" s="1061"/>
      <c r="F1976" s="1061"/>
      <c r="G1976" s="1052" t="s">
        <v>364</v>
      </c>
      <c r="H1976" s="869" t="s">
        <v>365</v>
      </c>
      <c r="I1976" s="1058" t="e">
        <f>VLOOKUP(H1973,'LƯƠNG KT'!$D$15:$U$94,15,0)</f>
        <v>#N/A</v>
      </c>
      <c r="J1976" s="1059" t="e">
        <f>I1976*$L$5</f>
        <v>#N/A</v>
      </c>
      <c r="K1976" s="1085"/>
      <c r="L1976" s="1085"/>
      <c r="M1976" s="1085"/>
      <c r="N1976" s="1085"/>
      <c r="O1976" s="1085"/>
    </row>
    <row r="1977" spans="1:15" ht="15" customHeight="1">
      <c r="A1977" s="1052" t="s">
        <v>367</v>
      </c>
      <c r="B1977" s="869"/>
      <c r="C1977" s="1058" t="e">
        <f>VLOOKUP(B1973,'LƯƠNG KT'!$D$15:$U$94,16,0)</f>
        <v>#N/A</v>
      </c>
      <c r="D1977" s="1059" t="e">
        <f>+C1977*$L$6</f>
        <v>#N/A</v>
      </c>
      <c r="E1977" s="1061"/>
      <c r="F1977" s="1061"/>
      <c r="G1977" s="1052" t="s">
        <v>367</v>
      </c>
      <c r="H1977" s="869"/>
      <c r="I1977" s="1058" t="e">
        <f>VLOOKUP(H1973,'LƯƠNG KT'!$D$15:$U$94,16,0)</f>
        <v>#N/A</v>
      </c>
      <c r="J1977" s="1059" t="e">
        <f>+I1977*$L$6</f>
        <v>#N/A</v>
      </c>
      <c r="K1977" s="1085"/>
      <c r="L1977" s="1085"/>
      <c r="M1977" s="1085"/>
      <c r="N1977" s="1085"/>
      <c r="O1977" s="1085"/>
    </row>
    <row r="1978" spans="1:15" ht="15" customHeight="1">
      <c r="A1978" s="1052" t="s">
        <v>371</v>
      </c>
      <c r="B1978" s="869" t="s">
        <v>372</v>
      </c>
      <c r="C1978" s="1058" t="e">
        <f>VLOOKUP(B1973,'LƯƠNG KT'!$D$15:$U$94,9,0)*$L$10</f>
        <v>#N/A</v>
      </c>
      <c r="D1978" s="1059" t="e">
        <f>+C1978*0.5*3000</f>
        <v>#N/A</v>
      </c>
      <c r="E1978" s="1061"/>
      <c r="F1978" s="1061"/>
      <c r="G1978" s="1052" t="s">
        <v>371</v>
      </c>
      <c r="H1978" s="869" t="s">
        <v>372</v>
      </c>
      <c r="I1978" s="1058" t="e">
        <f>VLOOKUP(H1973,'LƯƠNG KT'!$D$15:$U$94,9,0)*$L$10</f>
        <v>#N/A</v>
      </c>
      <c r="J1978" s="1059" t="e">
        <f>+I1978*0.5*3000</f>
        <v>#N/A</v>
      </c>
      <c r="K1978" s="1085"/>
      <c r="L1978" s="1085"/>
      <c r="M1978" s="1085"/>
      <c r="N1978" s="1085"/>
      <c r="O1978" s="1085"/>
    </row>
    <row r="1979" spans="1:15" ht="15" customHeight="1">
      <c r="A1979" s="1052" t="s">
        <v>374</v>
      </c>
      <c r="B1979" s="869" t="s">
        <v>375</v>
      </c>
      <c r="C1979" s="1058" t="e">
        <f>VLOOKUP(B1973,'LƯƠNG KT'!$D$15:$U$94,8,0)*$L$11</f>
        <v>#N/A</v>
      </c>
      <c r="D1979" s="1059" t="e">
        <f>VLOOKUP(B1973,'LƯƠNG KT'!$D$15:$U$94,13,0)-D1978</f>
        <v>#N/A</v>
      </c>
      <c r="E1979" s="1063"/>
      <c r="F1979" s="1061"/>
      <c r="G1979" s="1052" t="s">
        <v>374</v>
      </c>
      <c r="H1979" s="869" t="s">
        <v>375</v>
      </c>
      <c r="I1979" s="1058" t="e">
        <f>VLOOKUP(H1973,'LƯƠNG KT'!$D$15:$U$94,8,0)*$L$11</f>
        <v>#N/A</v>
      </c>
      <c r="J1979" s="1059" t="e">
        <f>VLOOKUP(H1973,'LƯƠNG KT'!$D$15:$U$94,13,0)-J1978</f>
        <v>#N/A</v>
      </c>
      <c r="K1979" s="1085"/>
      <c r="L1979" s="1085"/>
      <c r="M1979" s="1085"/>
      <c r="N1979" s="1085"/>
      <c r="O1979" s="1085"/>
    </row>
    <row r="1980" spans="1:15" ht="15" customHeight="1">
      <c r="A1980" s="1059" t="s">
        <v>377</v>
      </c>
      <c r="B1980" s="869" t="s">
        <v>378</v>
      </c>
      <c r="C1980" s="1058"/>
      <c r="D1980" s="1059"/>
      <c r="E1980" s="1065"/>
      <c r="F1980" s="1065"/>
      <c r="G1980" s="1059" t="s">
        <v>377</v>
      </c>
      <c r="H1980" s="869" t="s">
        <v>378</v>
      </c>
      <c r="I1980" s="1058"/>
      <c r="J1980" s="1059"/>
    </row>
    <row r="1981" spans="1:15" ht="15" customHeight="1">
      <c r="A1981" s="1066" t="s">
        <v>379</v>
      </c>
      <c r="B1981" s="869" t="s">
        <v>380</v>
      </c>
      <c r="C1981" s="1058"/>
      <c r="D1981" s="1059"/>
      <c r="E1981" s="1063"/>
      <c r="F1981" s="1065"/>
      <c r="G1981" s="1066" t="s">
        <v>379</v>
      </c>
      <c r="H1981" s="869" t="s">
        <v>380</v>
      </c>
      <c r="I1981" s="1058"/>
      <c r="J1981" s="1059"/>
    </row>
    <row r="1982" spans="1:15" ht="15" customHeight="1">
      <c r="A1982" s="1052" t="s">
        <v>381</v>
      </c>
      <c r="B1982" s="869" t="s">
        <v>382</v>
      </c>
      <c r="C1982" s="1058"/>
      <c r="D1982" s="1059">
        <f>D1981</f>
        <v>0</v>
      </c>
      <c r="E1982" s="1067"/>
      <c r="F1982" s="1051"/>
      <c r="G1982" s="1052" t="s">
        <v>381</v>
      </c>
      <c r="H1982" s="869" t="s">
        <v>382</v>
      </c>
      <c r="I1982" s="1058"/>
      <c r="J1982" s="1059">
        <f>J1981</f>
        <v>0</v>
      </c>
    </row>
    <row r="1983" spans="1:15" ht="15" customHeight="1">
      <c r="A1983" s="1068" t="s">
        <v>383</v>
      </c>
      <c r="B1983" s="1069" t="s">
        <v>384</v>
      </c>
      <c r="C1983" s="1070"/>
      <c r="D1983" s="1071" t="e">
        <f>SUM(D1974:D1979)-D1982</f>
        <v>#N/A</v>
      </c>
      <c r="E1983" s="1072"/>
      <c r="F1983" s="1073"/>
      <c r="G1983" s="1068" t="s">
        <v>383</v>
      </c>
      <c r="H1983" s="1069" t="s">
        <v>384</v>
      </c>
      <c r="I1983" s="1070"/>
      <c r="J1983" s="1071" t="e">
        <f>SUM(J1974:J1979)-J1982</f>
        <v>#N/A</v>
      </c>
    </row>
    <row r="1984" spans="1:15" ht="18.75" customHeight="1">
      <c r="A1984" s="1074"/>
      <c r="B1984" s="1075"/>
      <c r="C1984" s="1076"/>
      <c r="D1984" s="1077"/>
      <c r="E1984" s="1077"/>
      <c r="F1984" s="1078"/>
      <c r="G1984" s="1074"/>
      <c r="H1984" s="1075"/>
      <c r="I1984" s="1076"/>
      <c r="J1984" s="1077"/>
    </row>
    <row r="1985" spans="1:15" ht="18.75" customHeight="1">
      <c r="A1985" s="1075"/>
      <c r="B1985" s="1075"/>
      <c r="C1985" s="1079"/>
      <c r="D1985" s="1080"/>
      <c r="E1985" s="1075"/>
      <c r="F1985" s="1081"/>
      <c r="G1985" s="1075"/>
      <c r="H1985" s="1075"/>
      <c r="I1985" s="1079"/>
      <c r="J1985" s="1080"/>
    </row>
    <row r="1986" spans="1:15" ht="15" customHeight="1">
      <c r="A1986" s="2242" t="str">
        <f>$K$2</f>
        <v>THÁNG 09/2024</v>
      </c>
      <c r="B1986" s="2242"/>
      <c r="C1986" s="2242"/>
      <c r="D1986" s="2242"/>
      <c r="E1986" s="1050"/>
      <c r="F1986" s="1051"/>
      <c r="G1986" s="2242" t="str">
        <f>$K$2</f>
        <v>THÁNG 09/2024</v>
      </c>
      <c r="H1986" s="2242"/>
      <c r="I1986" s="2242"/>
      <c r="J1986" s="2242"/>
      <c r="K1986" s="624"/>
    </row>
    <row r="1987" spans="1:15" ht="15" customHeight="1">
      <c r="A1987" s="1052" t="s">
        <v>356</v>
      </c>
      <c r="B1987" s="1053" t="s">
        <v>166</v>
      </c>
      <c r="C1987" s="869"/>
      <c r="D1987" s="1049"/>
      <c r="E1987" s="1054"/>
      <c r="F1987" s="1055"/>
      <c r="G1987" s="1052" t="s">
        <v>356</v>
      </c>
      <c r="H1987" s="1053" t="s">
        <v>167</v>
      </c>
      <c r="I1987" s="869"/>
      <c r="J1987" s="1049"/>
      <c r="L1987" s="1088"/>
      <c r="M1987" s="1088"/>
      <c r="N1987" s="1088"/>
      <c r="O1987" s="1088"/>
    </row>
    <row r="1988" spans="1:15" ht="15" customHeight="1">
      <c r="A1988" s="1052" t="s">
        <v>359</v>
      </c>
      <c r="B1988" s="1089" t="s">
        <v>360</v>
      </c>
      <c r="C1988" s="1058" t="e">
        <f>VLOOKUP(B1987,'LƯƠNG KT'!$D$15:$U$94,3,0)</f>
        <v>#N/A</v>
      </c>
      <c r="D1988" s="1059" t="e">
        <f>+C1988*25000</f>
        <v>#N/A</v>
      </c>
      <c r="E1988" s="1060"/>
      <c r="F1988" s="1060"/>
      <c r="G1988" s="1052" t="s">
        <v>359</v>
      </c>
      <c r="H1988" s="1089" t="s">
        <v>360</v>
      </c>
      <c r="I1988" s="1058" t="e">
        <f>VLOOKUP(H1987,'LƯƠNG KT'!$D$15:$U$94,3,0)</f>
        <v>#N/A</v>
      </c>
      <c r="J1988" s="1059" t="e">
        <f>+I1988*25000</f>
        <v>#N/A</v>
      </c>
      <c r="K1988" s="1085"/>
      <c r="L1988" s="1085"/>
      <c r="M1988" s="1085"/>
      <c r="N1988" s="1085"/>
      <c r="O1988" s="1085"/>
    </row>
    <row r="1989" spans="1:15" ht="15" customHeight="1">
      <c r="A1989" s="1052" t="s">
        <v>361</v>
      </c>
      <c r="B1989" s="869" t="s">
        <v>362</v>
      </c>
      <c r="C1989" s="1058" t="e">
        <f>VLOOKUP(B1987,'LƯƠNG KT'!$D$15:$U$94,14,0)</f>
        <v>#N/A</v>
      </c>
      <c r="D1989" s="1059" t="e">
        <f>C1989*$L$4</f>
        <v>#N/A</v>
      </c>
      <c r="E1989" s="1061"/>
      <c r="F1989" s="1061"/>
      <c r="G1989" s="1052" t="s">
        <v>361</v>
      </c>
      <c r="H1989" s="869" t="s">
        <v>362</v>
      </c>
      <c r="I1989" s="1058" t="e">
        <f>VLOOKUP(H1987,'LƯƠNG KT'!$D$15:$U$94,14,0)</f>
        <v>#N/A</v>
      </c>
      <c r="J1989" s="1059" t="e">
        <f>I1989*$L$4</f>
        <v>#N/A</v>
      </c>
      <c r="K1989" s="1085"/>
      <c r="L1989" s="1085"/>
      <c r="M1989" s="1085"/>
      <c r="N1989" s="1085"/>
      <c r="O1989" s="1085"/>
    </row>
    <row r="1990" spans="1:15" ht="15" customHeight="1">
      <c r="A1990" s="1052" t="s">
        <v>364</v>
      </c>
      <c r="B1990" s="869" t="s">
        <v>365</v>
      </c>
      <c r="C1990" s="1058" t="e">
        <f>VLOOKUP(B1987,'LƯƠNG KT'!$D$15:$U$94,15,0)</f>
        <v>#N/A</v>
      </c>
      <c r="D1990" s="1059" t="e">
        <f>C1990*$L$5</f>
        <v>#N/A</v>
      </c>
      <c r="E1990" s="1061"/>
      <c r="F1990" s="1061"/>
      <c r="G1990" s="1052" t="s">
        <v>364</v>
      </c>
      <c r="H1990" s="869" t="s">
        <v>365</v>
      </c>
      <c r="I1990" s="1058" t="e">
        <f>VLOOKUP(H1987,'LƯƠNG KT'!$D$15:$U$94,15,0)</f>
        <v>#N/A</v>
      </c>
      <c r="J1990" s="1059" t="e">
        <f>I1990*$L$5</f>
        <v>#N/A</v>
      </c>
      <c r="K1990" s="1085"/>
      <c r="L1990" s="1085"/>
      <c r="M1990" s="1085"/>
      <c r="N1990" s="1085"/>
      <c r="O1990" s="1085"/>
    </row>
    <row r="1991" spans="1:15" ht="15" customHeight="1">
      <c r="A1991" s="1052" t="s">
        <v>367</v>
      </c>
      <c r="B1991" s="869"/>
      <c r="C1991" s="1058" t="e">
        <f>VLOOKUP(B1987,'LƯƠNG KT'!$D$15:$U$94,16,0)</f>
        <v>#N/A</v>
      </c>
      <c r="D1991" s="1059" t="e">
        <f>+C1991*$L$6</f>
        <v>#N/A</v>
      </c>
      <c r="E1991" s="1061"/>
      <c r="F1991" s="1061"/>
      <c r="G1991" s="1052" t="s">
        <v>367</v>
      </c>
      <c r="H1991" s="869"/>
      <c r="I1991" s="1058" t="e">
        <f>VLOOKUP(H1987,'LƯƠNG KT'!$D$15:$U$94,16,0)</f>
        <v>#N/A</v>
      </c>
      <c r="J1991" s="1059" t="e">
        <f>+I1991*$L$6</f>
        <v>#N/A</v>
      </c>
      <c r="K1991" s="1085"/>
      <c r="L1991" s="1085"/>
      <c r="M1991" s="1085"/>
      <c r="N1991" s="1085"/>
      <c r="O1991" s="1085"/>
    </row>
    <row r="1992" spans="1:15" ht="15" customHeight="1">
      <c r="A1992" s="1052" t="s">
        <v>371</v>
      </c>
      <c r="B1992" s="869" t="s">
        <v>372</v>
      </c>
      <c r="C1992" s="1058" t="e">
        <f>VLOOKUP(B1987,'LƯƠNG KT'!$D$15:$U$94,9,0)*$L$10</f>
        <v>#N/A</v>
      </c>
      <c r="D1992" s="1059" t="e">
        <f>+C1992*0.5*3000</f>
        <v>#N/A</v>
      </c>
      <c r="E1992" s="1061"/>
      <c r="F1992" s="1061"/>
      <c r="G1992" s="1052" t="s">
        <v>371</v>
      </c>
      <c r="H1992" s="869" t="s">
        <v>372</v>
      </c>
      <c r="I1992" s="1058" t="e">
        <f>VLOOKUP(H1987,'LƯƠNG KT'!$D$15:$U$94,9,0)*$L$10</f>
        <v>#N/A</v>
      </c>
      <c r="J1992" s="1059" t="e">
        <f>+I1992*0.5*3000</f>
        <v>#N/A</v>
      </c>
      <c r="K1992" s="1085"/>
      <c r="L1992" s="1085"/>
      <c r="M1992" s="1085"/>
      <c r="N1992" s="1085"/>
      <c r="O1992" s="1085"/>
    </row>
    <row r="1993" spans="1:15" ht="15" customHeight="1">
      <c r="A1993" s="1052" t="s">
        <v>374</v>
      </c>
      <c r="B1993" s="869" t="s">
        <v>375</v>
      </c>
      <c r="C1993" s="1058" t="e">
        <f>VLOOKUP(B1987,'LƯƠNG KT'!$D$15:$U$94,8,0)*$L$11</f>
        <v>#N/A</v>
      </c>
      <c r="D1993" s="1059" t="e">
        <f>VLOOKUP(B1987,'LƯƠNG KT'!$D$15:$U$94,13,0)-D1992</f>
        <v>#N/A</v>
      </c>
      <c r="E1993" s="1063"/>
      <c r="F1993" s="1061"/>
      <c r="G1993" s="1052" t="s">
        <v>374</v>
      </c>
      <c r="H1993" s="869" t="s">
        <v>375</v>
      </c>
      <c r="I1993" s="1058" t="e">
        <f>VLOOKUP(H1987,'LƯƠNG KT'!$D$15:$U$94,8,0)*$L$11</f>
        <v>#N/A</v>
      </c>
      <c r="J1993" s="1059" t="e">
        <f>VLOOKUP(H1987,'LƯƠNG KT'!$D$15:$U$94,13,0)-J1992</f>
        <v>#N/A</v>
      </c>
      <c r="K1993" s="1085"/>
      <c r="L1993" s="1085"/>
      <c r="M1993" s="1085"/>
      <c r="N1993" s="1085"/>
      <c r="O1993" s="1085"/>
    </row>
    <row r="1994" spans="1:15" ht="15" customHeight="1">
      <c r="A1994" s="1059" t="s">
        <v>377</v>
      </c>
      <c r="B1994" s="869" t="s">
        <v>378</v>
      </c>
      <c r="C1994" s="1058"/>
      <c r="D1994" s="1059"/>
      <c r="E1994" s="1065"/>
      <c r="F1994" s="1065"/>
      <c r="G1994" s="1059" t="s">
        <v>377</v>
      </c>
      <c r="H1994" s="869" t="s">
        <v>378</v>
      </c>
      <c r="I1994" s="1058"/>
      <c r="J1994" s="1059"/>
    </row>
    <row r="1995" spans="1:15" ht="15" customHeight="1">
      <c r="A1995" s="1066" t="s">
        <v>379</v>
      </c>
      <c r="B1995" s="869" t="s">
        <v>380</v>
      </c>
      <c r="C1995" s="1058"/>
      <c r="D1995" s="1059"/>
      <c r="E1995" s="1063"/>
      <c r="F1995" s="1065"/>
      <c r="G1995" s="1066" t="s">
        <v>379</v>
      </c>
      <c r="H1995" s="869" t="s">
        <v>380</v>
      </c>
      <c r="I1995" s="1058"/>
      <c r="J1995" s="1059"/>
    </row>
    <row r="1996" spans="1:15" ht="15" customHeight="1">
      <c r="A1996" s="1052" t="s">
        <v>381</v>
      </c>
      <c r="B1996" s="869" t="s">
        <v>382</v>
      </c>
      <c r="C1996" s="1058"/>
      <c r="D1996" s="1059">
        <f>D1995</f>
        <v>0</v>
      </c>
      <c r="E1996" s="1067"/>
      <c r="F1996" s="1051"/>
      <c r="G1996" s="1052" t="s">
        <v>381</v>
      </c>
      <c r="H1996" s="869" t="s">
        <v>382</v>
      </c>
      <c r="I1996" s="1058"/>
      <c r="J1996" s="1059">
        <f>J1995</f>
        <v>0</v>
      </c>
    </row>
    <row r="1997" spans="1:15" ht="15" customHeight="1">
      <c r="A1997" s="1068" t="s">
        <v>383</v>
      </c>
      <c r="B1997" s="1069" t="s">
        <v>384</v>
      </c>
      <c r="C1997" s="1070"/>
      <c r="D1997" s="1071" t="e">
        <f>SUM(D1988:D1993)-D1996</f>
        <v>#N/A</v>
      </c>
      <c r="E1997" s="1072"/>
      <c r="F1997" s="1073"/>
      <c r="G1997" s="1068" t="s">
        <v>383</v>
      </c>
      <c r="H1997" s="1069" t="s">
        <v>384</v>
      </c>
      <c r="I1997" s="1070"/>
      <c r="J1997" s="1071" t="e">
        <f>SUM(J1988:J1993)-J1996</f>
        <v>#N/A</v>
      </c>
    </row>
    <row r="1998" spans="1:15" ht="18.75" customHeight="1">
      <c r="A1998" s="1074"/>
      <c r="B1998" s="1075"/>
      <c r="C1998" s="1076"/>
      <c r="D1998" s="1077"/>
      <c r="E1998" s="1077"/>
      <c r="F1998" s="1078"/>
      <c r="G1998" s="1074"/>
      <c r="H1998" s="1075"/>
      <c r="I1998" s="1076"/>
      <c r="J1998" s="1077"/>
    </row>
    <row r="1999" spans="1:15" ht="18.75" customHeight="1">
      <c r="A1999" s="1075"/>
      <c r="B1999" s="1075"/>
      <c r="C1999" s="1079"/>
      <c r="D1999" s="1080"/>
      <c r="E1999" s="1075"/>
      <c r="F1999" s="1081"/>
      <c r="G1999" s="1075"/>
      <c r="H1999" s="1075"/>
      <c r="I1999" s="1079"/>
      <c r="J1999" s="1080"/>
    </row>
    <row r="2000" spans="1:15" ht="15" customHeight="1">
      <c r="A2000" s="2242" t="str">
        <f>$K$2</f>
        <v>THÁNG 09/2024</v>
      </c>
      <c r="B2000" s="2242"/>
      <c r="C2000" s="2242"/>
      <c r="D2000" s="2242"/>
      <c r="E2000" s="1050"/>
      <c r="F2000" s="1051"/>
      <c r="G2000" s="2242" t="str">
        <f>$K$2</f>
        <v>THÁNG 09/2024</v>
      </c>
      <c r="H2000" s="2242"/>
      <c r="I2000" s="2242"/>
      <c r="J2000" s="2242"/>
      <c r="K2000" s="624"/>
    </row>
    <row r="2001" spans="1:15" ht="15" customHeight="1">
      <c r="A2001" s="1052" t="s">
        <v>356</v>
      </c>
      <c r="B2001" s="1053" t="s">
        <v>168</v>
      </c>
      <c r="C2001" s="869"/>
      <c r="D2001" s="1049"/>
      <c r="E2001" s="1054"/>
      <c r="F2001" s="1055"/>
      <c r="G2001" s="1052" t="s">
        <v>356</v>
      </c>
      <c r="H2001" s="1053" t="s">
        <v>169</v>
      </c>
      <c r="I2001" s="869"/>
      <c r="J2001" s="1049"/>
      <c r="L2001" s="1088"/>
      <c r="M2001" s="1088"/>
      <c r="N2001" s="1088"/>
      <c r="O2001" s="1088"/>
    </row>
    <row r="2002" spans="1:15" ht="15" customHeight="1">
      <c r="A2002" s="1052" t="s">
        <v>359</v>
      </c>
      <c r="B2002" s="1089" t="s">
        <v>360</v>
      </c>
      <c r="C2002" s="1058" t="e">
        <f>VLOOKUP(B2001,'LƯƠNG KT'!$D$15:$U$94,3,0)</f>
        <v>#N/A</v>
      </c>
      <c r="D2002" s="1059" t="e">
        <f>+C2002*25000</f>
        <v>#N/A</v>
      </c>
      <c r="E2002" s="1060"/>
      <c r="F2002" s="1060"/>
      <c r="G2002" s="1052" t="s">
        <v>359</v>
      </c>
      <c r="H2002" s="1089" t="s">
        <v>360</v>
      </c>
      <c r="I2002" s="1058" t="e">
        <f>VLOOKUP(H2001,'LƯƠNG KT'!$D$15:$U$94,3,0)</f>
        <v>#N/A</v>
      </c>
      <c r="J2002" s="1059" t="e">
        <f>+I2002*25000</f>
        <v>#N/A</v>
      </c>
      <c r="K2002" s="1085"/>
      <c r="L2002" s="1085"/>
      <c r="M2002" s="1085"/>
      <c r="N2002" s="1085"/>
      <c r="O2002" s="1085"/>
    </row>
    <row r="2003" spans="1:15" ht="15" customHeight="1">
      <c r="A2003" s="1052" t="s">
        <v>361</v>
      </c>
      <c r="B2003" s="869" t="s">
        <v>362</v>
      </c>
      <c r="C2003" s="1058" t="e">
        <f>VLOOKUP(B2001,'LƯƠNG KT'!$D$15:$U$94,14,0)</f>
        <v>#N/A</v>
      </c>
      <c r="D2003" s="1059" t="e">
        <f>C2003*$L$4</f>
        <v>#N/A</v>
      </c>
      <c r="E2003" s="1061"/>
      <c r="F2003" s="1061"/>
      <c r="G2003" s="1052" t="s">
        <v>361</v>
      </c>
      <c r="H2003" s="869" t="s">
        <v>362</v>
      </c>
      <c r="I2003" s="1058" t="e">
        <f>VLOOKUP(H2001,'LƯƠNG KT'!$D$15:$U$94,14,0)</f>
        <v>#N/A</v>
      </c>
      <c r="J2003" s="1059" t="e">
        <f>I2003*$L$4</f>
        <v>#N/A</v>
      </c>
      <c r="K2003" s="1085"/>
      <c r="L2003" s="1085"/>
      <c r="M2003" s="1085"/>
      <c r="N2003" s="1085"/>
      <c r="O2003" s="1085"/>
    </row>
    <row r="2004" spans="1:15" ht="15" customHeight="1">
      <c r="A2004" s="1052" t="s">
        <v>364</v>
      </c>
      <c r="B2004" s="869" t="s">
        <v>365</v>
      </c>
      <c r="C2004" s="1058" t="e">
        <f>VLOOKUP(B2001,'LƯƠNG KT'!$D$15:$U$94,15,0)</f>
        <v>#N/A</v>
      </c>
      <c r="D2004" s="1059" t="e">
        <f>C2004*$L$5</f>
        <v>#N/A</v>
      </c>
      <c r="E2004" s="1061"/>
      <c r="F2004" s="1061"/>
      <c r="G2004" s="1052" t="s">
        <v>364</v>
      </c>
      <c r="H2004" s="869" t="s">
        <v>365</v>
      </c>
      <c r="I2004" s="1058" t="e">
        <f>VLOOKUP(H2001,'LƯƠNG KT'!$D$15:$U$94,15,0)</f>
        <v>#N/A</v>
      </c>
      <c r="J2004" s="1059" t="e">
        <f>I2004*$L$5</f>
        <v>#N/A</v>
      </c>
      <c r="K2004" s="1085"/>
      <c r="L2004" s="1085"/>
      <c r="M2004" s="1085"/>
      <c r="N2004" s="1085"/>
      <c r="O2004" s="1085"/>
    </row>
    <row r="2005" spans="1:15" ht="15" customHeight="1">
      <c r="A2005" s="1052" t="s">
        <v>367</v>
      </c>
      <c r="B2005" s="869"/>
      <c r="C2005" s="1058" t="e">
        <f>VLOOKUP(B2001,'LƯƠNG KT'!$D$15:$U$94,16,0)</f>
        <v>#N/A</v>
      </c>
      <c r="D2005" s="1059" t="e">
        <f>+C2005*$L$6</f>
        <v>#N/A</v>
      </c>
      <c r="E2005" s="1061"/>
      <c r="F2005" s="1061"/>
      <c r="G2005" s="1052" t="s">
        <v>367</v>
      </c>
      <c r="H2005" s="869"/>
      <c r="I2005" s="1058" t="e">
        <f>VLOOKUP(H2001,'LƯƠNG KT'!$D$15:$U$94,16,0)</f>
        <v>#N/A</v>
      </c>
      <c r="J2005" s="1059" t="e">
        <f>+I2005*$L$6</f>
        <v>#N/A</v>
      </c>
      <c r="K2005" s="1085"/>
      <c r="L2005" s="1085"/>
      <c r="M2005" s="1085"/>
      <c r="N2005" s="1085"/>
      <c r="O2005" s="1085"/>
    </row>
    <row r="2006" spans="1:15" ht="15" customHeight="1">
      <c r="A2006" s="1052" t="s">
        <v>371</v>
      </c>
      <c r="B2006" s="869" t="s">
        <v>372</v>
      </c>
      <c r="C2006" s="1058" t="e">
        <f>VLOOKUP(B2001,'LƯƠNG KT'!$D$15:$U$94,9,0)*$L$10</f>
        <v>#N/A</v>
      </c>
      <c r="D2006" s="1059" t="e">
        <f>+C2006*0.5*3000</f>
        <v>#N/A</v>
      </c>
      <c r="E2006" s="1061"/>
      <c r="F2006" s="1061"/>
      <c r="G2006" s="1052" t="s">
        <v>371</v>
      </c>
      <c r="H2006" s="869" t="s">
        <v>372</v>
      </c>
      <c r="I2006" s="1058" t="e">
        <f>VLOOKUP(H2001,'LƯƠNG KT'!$D$15:$U$94,9,0)*$L$10</f>
        <v>#N/A</v>
      </c>
      <c r="J2006" s="1059" t="e">
        <f>+I2006*0.5*3000</f>
        <v>#N/A</v>
      </c>
      <c r="K2006" s="1085"/>
      <c r="L2006" s="1085"/>
      <c r="M2006" s="1085"/>
      <c r="N2006" s="1085"/>
      <c r="O2006" s="1085"/>
    </row>
    <row r="2007" spans="1:15" ht="15" customHeight="1">
      <c r="A2007" s="1052" t="s">
        <v>374</v>
      </c>
      <c r="B2007" s="869" t="s">
        <v>375</v>
      </c>
      <c r="C2007" s="1058" t="e">
        <f>VLOOKUP(B2001,'LƯƠNG KT'!$D$15:$U$94,8,0)*$L$11</f>
        <v>#N/A</v>
      </c>
      <c r="D2007" s="1059" t="e">
        <f>VLOOKUP(B2001,'LƯƠNG KT'!$D$15:$U$94,13,0)-D2006</f>
        <v>#N/A</v>
      </c>
      <c r="E2007" s="1063"/>
      <c r="F2007" s="1061"/>
      <c r="G2007" s="1052" t="s">
        <v>374</v>
      </c>
      <c r="H2007" s="869" t="s">
        <v>375</v>
      </c>
      <c r="I2007" s="1058" t="e">
        <f>VLOOKUP(H2001,'LƯƠNG KT'!$D$15:$U$94,8,0)*$L$11</f>
        <v>#N/A</v>
      </c>
      <c r="J2007" s="1059" t="e">
        <f>VLOOKUP(H2001,'LƯƠNG KT'!$D$15:$U$94,13,0)-J2006</f>
        <v>#N/A</v>
      </c>
      <c r="K2007" s="1085"/>
      <c r="L2007" s="1085"/>
      <c r="M2007" s="1085"/>
      <c r="N2007" s="1085"/>
      <c r="O2007" s="1085"/>
    </row>
    <row r="2008" spans="1:15" ht="15" customHeight="1">
      <c r="A2008" s="1059" t="s">
        <v>377</v>
      </c>
      <c r="B2008" s="869" t="s">
        <v>378</v>
      </c>
      <c r="C2008" s="1058"/>
      <c r="D2008" s="1059"/>
      <c r="E2008" s="1065"/>
      <c r="F2008" s="1065"/>
      <c r="G2008" s="1059" t="s">
        <v>377</v>
      </c>
      <c r="H2008" s="869" t="s">
        <v>378</v>
      </c>
      <c r="I2008" s="1058"/>
      <c r="J2008" s="1059"/>
    </row>
    <row r="2009" spans="1:15" ht="15" customHeight="1">
      <c r="A2009" s="1066" t="s">
        <v>379</v>
      </c>
      <c r="B2009" s="869" t="s">
        <v>380</v>
      </c>
      <c r="C2009" s="1058"/>
      <c r="D2009" s="1059"/>
      <c r="E2009" s="1063"/>
      <c r="F2009" s="1065"/>
      <c r="G2009" s="1066" t="s">
        <v>379</v>
      </c>
      <c r="H2009" s="869" t="s">
        <v>380</v>
      </c>
      <c r="I2009" s="1058"/>
      <c r="J2009" s="1059"/>
    </row>
    <row r="2010" spans="1:15" ht="15" customHeight="1">
      <c r="A2010" s="1052" t="s">
        <v>381</v>
      </c>
      <c r="B2010" s="869" t="s">
        <v>382</v>
      </c>
      <c r="C2010" s="1058"/>
      <c r="D2010" s="1059">
        <f>D2009</f>
        <v>0</v>
      </c>
      <c r="E2010" s="1067"/>
      <c r="F2010" s="1051"/>
      <c r="G2010" s="1052" t="s">
        <v>381</v>
      </c>
      <c r="H2010" s="869" t="s">
        <v>382</v>
      </c>
      <c r="I2010" s="1058"/>
      <c r="J2010" s="1059">
        <f>J2009</f>
        <v>0</v>
      </c>
    </row>
    <row r="2011" spans="1:15" ht="15" customHeight="1">
      <c r="A2011" s="1068" t="s">
        <v>383</v>
      </c>
      <c r="B2011" s="1069" t="s">
        <v>384</v>
      </c>
      <c r="C2011" s="1070"/>
      <c r="D2011" s="1071" t="e">
        <f>SUM(D2002:D2007)-D2010</f>
        <v>#N/A</v>
      </c>
      <c r="E2011" s="1072"/>
      <c r="F2011" s="1073"/>
      <c r="G2011" s="1068" t="s">
        <v>383</v>
      </c>
      <c r="H2011" s="1069" t="s">
        <v>384</v>
      </c>
      <c r="I2011" s="1070"/>
      <c r="J2011" s="1071" t="e">
        <f>SUM(J2002:J2007)-J2010</f>
        <v>#N/A</v>
      </c>
    </row>
    <row r="2012" spans="1:15" ht="15.75" customHeight="1">
      <c r="A2012" s="1074"/>
      <c r="B2012" s="1075"/>
      <c r="C2012" s="1076"/>
      <c r="D2012" s="1077"/>
      <c r="E2012" s="1077"/>
      <c r="F2012" s="1078"/>
      <c r="G2012" s="1074"/>
      <c r="H2012" s="1075"/>
      <c r="I2012" s="1076"/>
      <c r="J2012" s="1077"/>
    </row>
    <row r="2014" spans="1:15" ht="12" customHeight="1">
      <c r="A2014" s="2243"/>
      <c r="B2014" s="2243"/>
      <c r="C2014" s="2243"/>
      <c r="D2014" s="2243"/>
      <c r="E2014" s="2243"/>
      <c r="F2014" s="2243"/>
      <c r="G2014" s="2243"/>
      <c r="H2014" s="2243"/>
      <c r="I2014" s="2243"/>
      <c r="J2014" s="2243"/>
    </row>
    <row r="2015" spans="1:15" ht="15" customHeight="1">
      <c r="A2015" s="2242" t="str">
        <f>$K$2</f>
        <v>THÁNG 09/2024</v>
      </c>
      <c r="B2015" s="2242"/>
      <c r="C2015" s="2242"/>
      <c r="D2015" s="2242"/>
      <c r="E2015" s="1050"/>
      <c r="F2015" s="1051"/>
      <c r="G2015" s="2242" t="str">
        <f>$K$2</f>
        <v>THÁNG 09/2024</v>
      </c>
      <c r="H2015" s="2242"/>
      <c r="I2015" s="2242"/>
      <c r="J2015" s="2242"/>
      <c r="K2015" s="624"/>
    </row>
    <row r="2016" spans="1:15" ht="15" customHeight="1">
      <c r="A2016" s="1052" t="s">
        <v>356</v>
      </c>
      <c r="B2016" s="1053" t="s">
        <v>170</v>
      </c>
      <c r="C2016" s="869"/>
      <c r="D2016" s="1049"/>
      <c r="E2016" s="1054"/>
      <c r="F2016" s="1055"/>
      <c r="G2016" s="1052" t="s">
        <v>356</v>
      </c>
      <c r="H2016" s="1053" t="s">
        <v>171</v>
      </c>
      <c r="I2016" s="869"/>
      <c r="J2016" s="1049"/>
      <c r="L2016" s="1088"/>
      <c r="M2016" s="1088"/>
      <c r="N2016" s="1088"/>
      <c r="O2016" s="1088"/>
    </row>
    <row r="2017" spans="1:15" ht="15" customHeight="1">
      <c r="A2017" s="1052" t="s">
        <v>359</v>
      </c>
      <c r="B2017" s="1089" t="s">
        <v>360</v>
      </c>
      <c r="C2017" s="1058" t="e">
        <f>VLOOKUP(B2016,'LƯƠNG KT'!$D$15:$U$94,3,0)</f>
        <v>#N/A</v>
      </c>
      <c r="D2017" s="1059" t="e">
        <f>+C2017*25000</f>
        <v>#N/A</v>
      </c>
      <c r="E2017" s="1060"/>
      <c r="F2017" s="1060"/>
      <c r="G2017" s="1052" t="s">
        <v>359</v>
      </c>
      <c r="H2017" s="1089" t="s">
        <v>360</v>
      </c>
      <c r="I2017" s="1058" t="e">
        <f>VLOOKUP(H2016,'LƯƠNG KT'!$D$15:$U$94,3,0)</f>
        <v>#N/A</v>
      </c>
      <c r="J2017" s="1059" t="e">
        <f>+I2017*25000</f>
        <v>#N/A</v>
      </c>
      <c r="K2017" s="1084"/>
      <c r="L2017" s="1085"/>
      <c r="M2017" s="1085"/>
      <c r="N2017" s="1085"/>
      <c r="O2017" s="1085"/>
    </row>
    <row r="2018" spans="1:15" ht="15" customHeight="1">
      <c r="A2018" s="1052" t="s">
        <v>361</v>
      </c>
      <c r="B2018" s="869" t="s">
        <v>362</v>
      </c>
      <c r="C2018" s="1058" t="e">
        <f>VLOOKUP(B2016,'LƯƠNG KT'!$D$15:$U$94,14,0)</f>
        <v>#N/A</v>
      </c>
      <c r="D2018" s="1059" t="e">
        <f>C2018*$L$4</f>
        <v>#N/A</v>
      </c>
      <c r="E2018" s="1061"/>
      <c r="F2018" s="1061"/>
      <c r="G2018" s="1052" t="s">
        <v>361</v>
      </c>
      <c r="H2018" s="869" t="s">
        <v>362</v>
      </c>
      <c r="I2018" s="1058" t="e">
        <f>VLOOKUP(H2016,'LƯƠNG KT'!$D$15:$U$94,14,0)</f>
        <v>#N/A</v>
      </c>
      <c r="J2018" s="1059" t="e">
        <f>I2018*$L$4</f>
        <v>#N/A</v>
      </c>
      <c r="K2018" s="1084"/>
      <c r="L2018" s="1085"/>
      <c r="M2018" s="1085"/>
      <c r="N2018" s="1085"/>
      <c r="O2018" s="1085"/>
    </row>
    <row r="2019" spans="1:15" ht="15" customHeight="1">
      <c r="A2019" s="1052" t="s">
        <v>364</v>
      </c>
      <c r="B2019" s="869" t="s">
        <v>365</v>
      </c>
      <c r="C2019" s="1058" t="e">
        <f>VLOOKUP(B2016,'LƯƠNG KT'!$D$15:$U$94,15,0)</f>
        <v>#N/A</v>
      </c>
      <c r="D2019" s="1059" t="e">
        <f>C2019*$L$5</f>
        <v>#N/A</v>
      </c>
      <c r="E2019" s="1061"/>
      <c r="F2019" s="1061"/>
      <c r="G2019" s="1052" t="s">
        <v>364</v>
      </c>
      <c r="H2019" s="869" t="s">
        <v>365</v>
      </c>
      <c r="I2019" s="1058" t="e">
        <f>VLOOKUP(H2016,'LƯƠNG KT'!$D$15:$U$94,15,0)</f>
        <v>#N/A</v>
      </c>
      <c r="J2019" s="1059" t="e">
        <f>I2019*$L$5</f>
        <v>#N/A</v>
      </c>
      <c r="K2019" s="1084"/>
      <c r="L2019" s="1085"/>
      <c r="M2019" s="1085"/>
      <c r="N2019" s="1085"/>
      <c r="O2019" s="1085"/>
    </row>
    <row r="2020" spans="1:15" ht="15" customHeight="1">
      <c r="A2020" s="1052" t="s">
        <v>367</v>
      </c>
      <c r="B2020" s="869"/>
      <c r="C2020" s="1058" t="e">
        <f>VLOOKUP(B2016,'LƯƠNG KT'!$D$15:$U$94,16,0)</f>
        <v>#N/A</v>
      </c>
      <c r="D2020" s="1059" t="e">
        <f>+C2020*$L$6</f>
        <v>#N/A</v>
      </c>
      <c r="E2020" s="1061"/>
      <c r="F2020" s="1061"/>
      <c r="G2020" s="1052" t="s">
        <v>367</v>
      </c>
      <c r="H2020" s="869"/>
      <c r="I2020" s="1058" t="e">
        <f>VLOOKUP(H2016,'LƯƠNG KT'!$D$15:$U$94,16,0)</f>
        <v>#N/A</v>
      </c>
      <c r="J2020" s="1059" t="e">
        <f>+I2020*$L$6</f>
        <v>#N/A</v>
      </c>
      <c r="K2020" s="1085"/>
      <c r="L2020" s="1085"/>
      <c r="M2020" s="1085"/>
      <c r="N2020" s="1085"/>
      <c r="O2020" s="1085"/>
    </row>
    <row r="2021" spans="1:15" ht="15" customHeight="1">
      <c r="A2021" s="1052" t="s">
        <v>371</v>
      </c>
      <c r="B2021" s="869" t="s">
        <v>372</v>
      </c>
      <c r="C2021" s="1058" t="e">
        <f>VLOOKUP(B2016,'LƯƠNG KT'!$D$15:$U$94,9,0)*$L$10</f>
        <v>#N/A</v>
      </c>
      <c r="D2021" s="1059" t="e">
        <f>+C2021*0.5*3000</f>
        <v>#N/A</v>
      </c>
      <c r="E2021" s="1061"/>
      <c r="F2021" s="1061"/>
      <c r="G2021" s="1052" t="s">
        <v>371</v>
      </c>
      <c r="H2021" s="869" t="s">
        <v>372</v>
      </c>
      <c r="I2021" s="1058" t="e">
        <f>VLOOKUP(H2016,'LƯƠNG KT'!$D$15:$U$94,9,0)*$L$10</f>
        <v>#N/A</v>
      </c>
      <c r="J2021" s="1059" t="e">
        <f>+I2021*0.5*3000</f>
        <v>#N/A</v>
      </c>
      <c r="K2021" s="1085"/>
      <c r="L2021" s="1085"/>
      <c r="M2021" s="1085"/>
      <c r="N2021" s="1085"/>
      <c r="O2021" s="1085"/>
    </row>
    <row r="2022" spans="1:15" ht="15" customHeight="1">
      <c r="A2022" s="1052" t="s">
        <v>374</v>
      </c>
      <c r="B2022" s="869" t="s">
        <v>375</v>
      </c>
      <c r="C2022" s="1058" t="e">
        <f>VLOOKUP(B2016,'LƯƠNG KT'!$D$15:$U$94,8,0)*$L$11</f>
        <v>#N/A</v>
      </c>
      <c r="D2022" s="1059" t="e">
        <f>VLOOKUP(B2016,'LƯƠNG KT'!$D$15:$U$94,13,0)-D2021</f>
        <v>#N/A</v>
      </c>
      <c r="E2022" s="1063"/>
      <c r="F2022" s="1061"/>
      <c r="G2022" s="1052" t="s">
        <v>374</v>
      </c>
      <c r="H2022" s="869" t="s">
        <v>375</v>
      </c>
      <c r="I2022" s="1058" t="e">
        <f>VLOOKUP(H2016,'LƯƠNG KT'!$D$15:$U$94,8,0)*$L$11</f>
        <v>#N/A</v>
      </c>
      <c r="J2022" s="1059" t="e">
        <f>VLOOKUP(H2016,'LƯƠNG KT'!$D$15:$U$94,13,0)-J2021</f>
        <v>#N/A</v>
      </c>
      <c r="K2022" s="1085"/>
      <c r="L2022" s="1085"/>
      <c r="M2022" s="1085"/>
      <c r="N2022" s="1085"/>
      <c r="O2022" s="1085"/>
    </row>
    <row r="2023" spans="1:15" ht="15" customHeight="1">
      <c r="A2023" s="1059" t="s">
        <v>377</v>
      </c>
      <c r="B2023" s="869" t="s">
        <v>378</v>
      </c>
      <c r="C2023" s="1058"/>
      <c r="D2023" s="1059"/>
      <c r="E2023" s="1065"/>
      <c r="F2023" s="1065"/>
      <c r="G2023" s="1059" t="s">
        <v>377</v>
      </c>
      <c r="H2023" s="869" t="s">
        <v>378</v>
      </c>
      <c r="I2023" s="1058"/>
      <c r="J2023" s="1059"/>
    </row>
    <row r="2024" spans="1:15" ht="15" customHeight="1">
      <c r="A2024" s="1066" t="s">
        <v>379</v>
      </c>
      <c r="B2024" s="869" t="s">
        <v>380</v>
      </c>
      <c r="C2024" s="1058"/>
      <c r="D2024" s="1059"/>
      <c r="E2024" s="1063"/>
      <c r="F2024" s="1065"/>
      <c r="G2024" s="1066" t="s">
        <v>379</v>
      </c>
      <c r="H2024" s="869" t="s">
        <v>380</v>
      </c>
      <c r="I2024" s="1058"/>
      <c r="J2024" s="1059"/>
    </row>
    <row r="2025" spans="1:15" ht="15" customHeight="1">
      <c r="A2025" s="1052" t="s">
        <v>381</v>
      </c>
      <c r="B2025" s="869" t="s">
        <v>382</v>
      </c>
      <c r="C2025" s="1058"/>
      <c r="D2025" s="1059">
        <f>D2024</f>
        <v>0</v>
      </c>
      <c r="E2025" s="1067"/>
      <c r="F2025" s="1051"/>
      <c r="G2025" s="1052" t="s">
        <v>381</v>
      </c>
      <c r="H2025" s="869" t="s">
        <v>382</v>
      </c>
      <c r="I2025" s="1058"/>
      <c r="J2025" s="1059">
        <f>J2024</f>
        <v>0</v>
      </c>
    </row>
    <row r="2026" spans="1:15" ht="15" customHeight="1">
      <c r="A2026" s="1068" t="s">
        <v>383</v>
      </c>
      <c r="B2026" s="1069" t="s">
        <v>384</v>
      </c>
      <c r="C2026" s="1070"/>
      <c r="D2026" s="1071" t="e">
        <f>SUM(D2017:D2022)-D2025</f>
        <v>#N/A</v>
      </c>
      <c r="E2026" s="1072"/>
      <c r="F2026" s="1073"/>
      <c r="G2026" s="1068" t="s">
        <v>383</v>
      </c>
      <c r="H2026" s="1069" t="s">
        <v>384</v>
      </c>
      <c r="I2026" s="1070"/>
      <c r="J2026" s="1071" t="e">
        <f>SUM(J2017:J2022)-J2025</f>
        <v>#N/A</v>
      </c>
    </row>
    <row r="2027" spans="1:15" ht="12.6" customHeight="1">
      <c r="A2027" s="1074"/>
      <c r="B2027" s="1075"/>
      <c r="C2027" s="1076"/>
      <c r="D2027" s="1077"/>
      <c r="E2027" s="1077"/>
      <c r="F2027" s="1078"/>
      <c r="G2027" s="1074"/>
      <c r="H2027" s="1075"/>
      <c r="I2027" s="1076"/>
      <c r="J2027" s="1077"/>
    </row>
    <row r="2028" spans="1:15" ht="12.6" customHeight="1">
      <c r="A2028" s="1075"/>
      <c r="B2028" s="1075"/>
      <c r="C2028" s="1079"/>
      <c r="D2028" s="1080"/>
      <c r="E2028" s="1075"/>
      <c r="F2028" s="1081"/>
      <c r="G2028" s="1075"/>
      <c r="H2028" s="1075"/>
      <c r="I2028" s="1079"/>
      <c r="J2028" s="1080"/>
    </row>
    <row r="2029" spans="1:15" ht="15" customHeight="1">
      <c r="A2029" s="2242" t="str">
        <f>$K$2</f>
        <v>THÁNG 09/2024</v>
      </c>
      <c r="B2029" s="2242"/>
      <c r="C2029" s="2242"/>
      <c r="D2029" s="2242"/>
      <c r="E2029" s="1050"/>
      <c r="F2029" s="1051"/>
      <c r="G2029" s="2242" t="str">
        <f>$K$2</f>
        <v>THÁNG 09/2024</v>
      </c>
      <c r="H2029" s="2242"/>
      <c r="I2029" s="2242"/>
      <c r="J2029" s="2242"/>
      <c r="K2029" s="624"/>
    </row>
    <row r="2030" spans="1:15" ht="15" customHeight="1">
      <c r="A2030" s="1052" t="s">
        <v>356</v>
      </c>
      <c r="B2030" s="1053" t="s">
        <v>172</v>
      </c>
      <c r="C2030" s="869"/>
      <c r="D2030" s="1049"/>
      <c r="E2030" s="1054"/>
      <c r="F2030" s="1055"/>
      <c r="G2030" s="1052" t="s">
        <v>356</v>
      </c>
      <c r="H2030" s="1053" t="s">
        <v>173</v>
      </c>
      <c r="I2030" s="869"/>
      <c r="J2030" s="1049"/>
      <c r="L2030" s="1088"/>
      <c r="M2030" s="1088"/>
      <c r="N2030" s="1088"/>
      <c r="O2030" s="1088"/>
    </row>
    <row r="2031" spans="1:15" ht="15" customHeight="1">
      <c r="A2031" s="1052" t="s">
        <v>359</v>
      </c>
      <c r="B2031" s="1089" t="s">
        <v>360</v>
      </c>
      <c r="C2031" s="1058" t="e">
        <f>VLOOKUP(B2030,'LƯƠNG KT'!$D$15:$U$94,3,0)</f>
        <v>#N/A</v>
      </c>
      <c r="D2031" s="1059" t="e">
        <f>+C2031*25000</f>
        <v>#N/A</v>
      </c>
      <c r="E2031" s="1060"/>
      <c r="F2031" s="1060"/>
      <c r="G2031" s="1052" t="s">
        <v>359</v>
      </c>
      <c r="H2031" s="1089" t="s">
        <v>360</v>
      </c>
      <c r="I2031" s="1058" t="e">
        <f>VLOOKUP(H2030,'LƯƠNG KT'!$D$15:$U$94,3,0)</f>
        <v>#N/A</v>
      </c>
      <c r="J2031" s="1059" t="e">
        <f>+I2031*25000</f>
        <v>#N/A</v>
      </c>
      <c r="K2031" s="1085"/>
      <c r="L2031" s="1085"/>
      <c r="M2031" s="1085"/>
      <c r="N2031" s="1085"/>
      <c r="O2031" s="1085"/>
    </row>
    <row r="2032" spans="1:15" ht="15" customHeight="1">
      <c r="A2032" s="1052" t="s">
        <v>361</v>
      </c>
      <c r="B2032" s="869" t="s">
        <v>362</v>
      </c>
      <c r="C2032" s="1058" t="e">
        <f>VLOOKUP(B2030,'LƯƠNG KT'!$D$15:$U$94,14,0)</f>
        <v>#N/A</v>
      </c>
      <c r="D2032" s="1059" t="e">
        <f>C2032*$L$4</f>
        <v>#N/A</v>
      </c>
      <c r="E2032" s="1061"/>
      <c r="F2032" s="1061"/>
      <c r="G2032" s="1052" t="s">
        <v>361</v>
      </c>
      <c r="H2032" s="869" t="s">
        <v>362</v>
      </c>
      <c r="I2032" s="1058" t="e">
        <f>VLOOKUP(H2030,'LƯƠNG KT'!$D$15:$U$94,14,0)</f>
        <v>#N/A</v>
      </c>
      <c r="J2032" s="1059" t="e">
        <f>I2032*$L$4</f>
        <v>#N/A</v>
      </c>
      <c r="K2032" s="1085"/>
      <c r="L2032" s="1085"/>
      <c r="M2032" s="1085"/>
      <c r="N2032" s="1085"/>
      <c r="O2032" s="1085"/>
    </row>
    <row r="2033" spans="1:15" ht="15" customHeight="1">
      <c r="A2033" s="1052" t="s">
        <v>364</v>
      </c>
      <c r="B2033" s="869" t="s">
        <v>365</v>
      </c>
      <c r="C2033" s="1058" t="e">
        <f>VLOOKUP(B2030,'LƯƠNG KT'!$D$15:$U$94,15,0)</f>
        <v>#N/A</v>
      </c>
      <c r="D2033" s="1059" t="e">
        <f>C2033*$L$5</f>
        <v>#N/A</v>
      </c>
      <c r="E2033" s="1061"/>
      <c r="F2033" s="1061"/>
      <c r="G2033" s="1052" t="s">
        <v>364</v>
      </c>
      <c r="H2033" s="869" t="s">
        <v>365</v>
      </c>
      <c r="I2033" s="1058" t="e">
        <f>VLOOKUP(H2030,'LƯƠNG KT'!$D$15:$U$94,15,0)</f>
        <v>#N/A</v>
      </c>
      <c r="J2033" s="1059" t="e">
        <f>I2033*$L$5</f>
        <v>#N/A</v>
      </c>
      <c r="K2033" s="1085"/>
      <c r="L2033" s="1085"/>
      <c r="M2033" s="1085"/>
      <c r="N2033" s="1085"/>
      <c r="O2033" s="1085"/>
    </row>
    <row r="2034" spans="1:15" ht="15" customHeight="1">
      <c r="A2034" s="1052" t="s">
        <v>367</v>
      </c>
      <c r="B2034" s="869"/>
      <c r="C2034" s="1058" t="e">
        <f>VLOOKUP(B2030,'LƯƠNG KT'!$D$15:$U$94,16,0)</f>
        <v>#N/A</v>
      </c>
      <c r="D2034" s="1059" t="e">
        <f>+C2034*$L$6</f>
        <v>#N/A</v>
      </c>
      <c r="E2034" s="1061"/>
      <c r="F2034" s="1061"/>
      <c r="G2034" s="1052" t="s">
        <v>367</v>
      </c>
      <c r="H2034" s="869"/>
      <c r="I2034" s="1058" t="e">
        <f>VLOOKUP(H2030,'LƯƠNG KT'!$D$15:$U$94,16,0)</f>
        <v>#N/A</v>
      </c>
      <c r="J2034" s="1059" t="e">
        <f>+I2034*$L$6</f>
        <v>#N/A</v>
      </c>
      <c r="K2034" s="1085"/>
      <c r="L2034" s="1085"/>
      <c r="M2034" s="1085"/>
      <c r="N2034" s="1085"/>
      <c r="O2034" s="1085"/>
    </row>
    <row r="2035" spans="1:15" ht="15" customHeight="1">
      <c r="A2035" s="1052" t="s">
        <v>371</v>
      </c>
      <c r="B2035" s="869" t="s">
        <v>372</v>
      </c>
      <c r="C2035" s="1058" t="e">
        <f>VLOOKUP(B2030,'LƯƠNG KT'!$D$15:$U$94,9,0)*$L$10</f>
        <v>#N/A</v>
      </c>
      <c r="D2035" s="1059" t="e">
        <f>+C2035*0.5*3000</f>
        <v>#N/A</v>
      </c>
      <c r="E2035" s="1061"/>
      <c r="F2035" s="1061"/>
      <c r="G2035" s="1052" t="s">
        <v>371</v>
      </c>
      <c r="H2035" s="869" t="s">
        <v>372</v>
      </c>
      <c r="I2035" s="1058" t="e">
        <f>VLOOKUP(H2030,'LƯƠNG KT'!$D$15:$U$94,9,0)*$L$10</f>
        <v>#N/A</v>
      </c>
      <c r="J2035" s="1059" t="e">
        <f>+I2035*0.5*3000</f>
        <v>#N/A</v>
      </c>
      <c r="K2035" s="1085"/>
      <c r="L2035" s="1085"/>
      <c r="M2035" s="1085"/>
      <c r="N2035" s="1085"/>
      <c r="O2035" s="1085"/>
    </row>
    <row r="2036" spans="1:15" ht="15" customHeight="1">
      <c r="A2036" s="1052" t="s">
        <v>374</v>
      </c>
      <c r="B2036" s="869" t="s">
        <v>375</v>
      </c>
      <c r="C2036" s="1058" t="e">
        <f>VLOOKUP(B2030,'LƯƠNG KT'!$D$15:$U$94,8,0)*$L$11</f>
        <v>#N/A</v>
      </c>
      <c r="D2036" s="1059" t="e">
        <f>VLOOKUP(B2030,'LƯƠNG KT'!$D$15:$U$94,13,0)-D2035</f>
        <v>#N/A</v>
      </c>
      <c r="E2036" s="1063"/>
      <c r="F2036" s="1061"/>
      <c r="G2036" s="1052" t="s">
        <v>374</v>
      </c>
      <c r="H2036" s="869" t="s">
        <v>375</v>
      </c>
      <c r="I2036" s="1058" t="e">
        <f>VLOOKUP(H2030,'LƯƠNG KT'!$D$15:$U$94,8,0)*$L$11</f>
        <v>#N/A</v>
      </c>
      <c r="J2036" s="1059" t="e">
        <f>VLOOKUP(H2030,'LƯƠNG KT'!$D$15:$U$94,13,0)-J2035</f>
        <v>#N/A</v>
      </c>
      <c r="K2036" s="1085"/>
      <c r="L2036" s="1085"/>
      <c r="M2036" s="1085"/>
      <c r="N2036" s="1085"/>
      <c r="O2036" s="1085"/>
    </row>
    <row r="2037" spans="1:15" ht="15" customHeight="1">
      <c r="A2037" s="1059" t="s">
        <v>377</v>
      </c>
      <c r="B2037" s="869" t="s">
        <v>378</v>
      </c>
      <c r="C2037" s="1058"/>
      <c r="D2037" s="1059"/>
      <c r="E2037" s="1065"/>
      <c r="F2037" s="1065"/>
      <c r="G2037" s="1059" t="s">
        <v>377</v>
      </c>
      <c r="H2037" s="869" t="s">
        <v>378</v>
      </c>
      <c r="I2037" s="1058"/>
      <c r="J2037" s="1059"/>
    </row>
    <row r="2038" spans="1:15" ht="15" customHeight="1">
      <c r="A2038" s="1066" t="s">
        <v>379</v>
      </c>
      <c r="B2038" s="869" t="s">
        <v>380</v>
      </c>
      <c r="C2038" s="1058"/>
      <c r="D2038" s="1059"/>
      <c r="E2038" s="1063"/>
      <c r="F2038" s="1065"/>
      <c r="G2038" s="1066" t="s">
        <v>379</v>
      </c>
      <c r="H2038" s="869" t="s">
        <v>380</v>
      </c>
      <c r="I2038" s="1058"/>
      <c r="J2038" s="1059"/>
    </row>
    <row r="2039" spans="1:15" ht="15" customHeight="1">
      <c r="A2039" s="1052" t="s">
        <v>381</v>
      </c>
      <c r="B2039" s="869" t="s">
        <v>382</v>
      </c>
      <c r="C2039" s="1058"/>
      <c r="D2039" s="1059">
        <f>D2038</f>
        <v>0</v>
      </c>
      <c r="E2039" s="1067"/>
      <c r="F2039" s="1051"/>
      <c r="G2039" s="1052" t="s">
        <v>381</v>
      </c>
      <c r="H2039" s="869" t="s">
        <v>382</v>
      </c>
      <c r="I2039" s="1058"/>
      <c r="J2039" s="1059">
        <f>J2038</f>
        <v>0</v>
      </c>
    </row>
    <row r="2040" spans="1:15" ht="15" customHeight="1">
      <c r="A2040" s="1068" t="s">
        <v>383</v>
      </c>
      <c r="B2040" s="1069" t="s">
        <v>384</v>
      </c>
      <c r="C2040" s="1070"/>
      <c r="D2040" s="1071" t="e">
        <f>SUM(D2031:D2036)-D2039</f>
        <v>#N/A</v>
      </c>
      <c r="E2040" s="1072"/>
      <c r="F2040" s="1073"/>
      <c r="G2040" s="1068" t="s">
        <v>383</v>
      </c>
      <c r="H2040" s="1069" t="s">
        <v>384</v>
      </c>
      <c r="I2040" s="1070"/>
      <c r="J2040" s="1071" t="e">
        <f>SUM(J2031:J2036)-J2039</f>
        <v>#N/A</v>
      </c>
    </row>
    <row r="2041" spans="1:15" ht="18.75" customHeight="1">
      <c r="A2041" s="1074"/>
      <c r="B2041" s="1075"/>
      <c r="C2041" s="1076"/>
      <c r="D2041" s="1077"/>
      <c r="E2041" s="1077"/>
      <c r="F2041" s="1078"/>
      <c r="G2041" s="1074"/>
      <c r="H2041" s="1075"/>
      <c r="I2041" s="1076"/>
      <c r="J2041" s="1077"/>
    </row>
    <row r="2042" spans="1:15" ht="18.75" customHeight="1">
      <c r="A2042" s="1075"/>
      <c r="B2042" s="1075"/>
      <c r="C2042" s="1079"/>
      <c r="D2042" s="1080"/>
      <c r="E2042" s="1075"/>
      <c r="F2042" s="1081"/>
      <c r="G2042" s="1075"/>
      <c r="H2042" s="1075"/>
      <c r="I2042" s="1079"/>
      <c r="J2042" s="1080"/>
    </row>
    <row r="2043" spans="1:15" ht="15" customHeight="1">
      <c r="A2043" s="2242" t="str">
        <f>$K$2</f>
        <v>THÁNG 09/2024</v>
      </c>
      <c r="B2043" s="2242"/>
      <c r="C2043" s="2242"/>
      <c r="D2043" s="2242"/>
      <c r="E2043" s="1050"/>
      <c r="F2043" s="1051"/>
      <c r="G2043" s="2242" t="str">
        <f>$K$2</f>
        <v>THÁNG 09/2024</v>
      </c>
      <c r="H2043" s="2242"/>
      <c r="I2043" s="2242"/>
      <c r="J2043" s="2242"/>
      <c r="K2043" s="624"/>
    </row>
    <row r="2044" spans="1:15" ht="15" customHeight="1">
      <c r="A2044" s="1052" t="s">
        <v>356</v>
      </c>
      <c r="B2044" s="1053" t="s">
        <v>174</v>
      </c>
      <c r="C2044" s="869"/>
      <c r="D2044" s="1049"/>
      <c r="E2044" s="1054"/>
      <c r="F2044" s="1055"/>
      <c r="G2044" s="1052" t="s">
        <v>356</v>
      </c>
      <c r="H2044" s="1053" t="s">
        <v>175</v>
      </c>
      <c r="I2044" s="869"/>
      <c r="J2044" s="1049"/>
      <c r="L2044" s="1088"/>
      <c r="M2044" s="1088"/>
      <c r="N2044" s="1088"/>
      <c r="O2044" s="1088"/>
    </row>
    <row r="2045" spans="1:15" ht="15" customHeight="1">
      <c r="A2045" s="1052" t="s">
        <v>359</v>
      </c>
      <c r="B2045" s="1089" t="s">
        <v>360</v>
      </c>
      <c r="C2045" s="1058" t="e">
        <f>VLOOKUP(B2044,'LƯƠNG KT'!$D$15:$U$94,3,0)</f>
        <v>#N/A</v>
      </c>
      <c r="D2045" s="1059" t="e">
        <f>+C2045*25000</f>
        <v>#N/A</v>
      </c>
      <c r="E2045" s="1060"/>
      <c r="F2045" s="1060"/>
      <c r="G2045" s="1052" t="s">
        <v>359</v>
      </c>
      <c r="H2045" s="1089" t="s">
        <v>360</v>
      </c>
      <c r="I2045" s="1058" t="e">
        <f>VLOOKUP(H2044,'LƯƠNG KT'!$D$15:$U$94,3,0)</f>
        <v>#N/A</v>
      </c>
      <c r="J2045" s="1059" t="e">
        <f>+I2045*25000</f>
        <v>#N/A</v>
      </c>
      <c r="K2045" s="1085"/>
      <c r="L2045" s="1085"/>
      <c r="M2045" s="1085"/>
      <c r="N2045" s="1085"/>
      <c r="O2045" s="1085"/>
    </row>
    <row r="2046" spans="1:15" ht="15" customHeight="1">
      <c r="A2046" s="1052" t="s">
        <v>361</v>
      </c>
      <c r="B2046" s="869" t="s">
        <v>362</v>
      </c>
      <c r="C2046" s="1058" t="e">
        <f>VLOOKUP(B2044,'LƯƠNG KT'!$D$15:$U$94,14,0)</f>
        <v>#N/A</v>
      </c>
      <c r="D2046" s="1059" t="e">
        <f>C2046*$L$4</f>
        <v>#N/A</v>
      </c>
      <c r="E2046" s="1061"/>
      <c r="F2046" s="1061"/>
      <c r="G2046" s="1052" t="s">
        <v>361</v>
      </c>
      <c r="H2046" s="869" t="s">
        <v>362</v>
      </c>
      <c r="I2046" s="1058" t="e">
        <f>VLOOKUP(H2044,'LƯƠNG KT'!$D$15:$U$94,14,0)</f>
        <v>#N/A</v>
      </c>
      <c r="J2046" s="1059" t="e">
        <f>I2046*$L$4</f>
        <v>#N/A</v>
      </c>
      <c r="K2046" s="1085"/>
      <c r="L2046" s="1085"/>
      <c r="M2046" s="1085"/>
      <c r="N2046" s="1085"/>
      <c r="O2046" s="1085"/>
    </row>
    <row r="2047" spans="1:15" ht="15" customHeight="1">
      <c r="A2047" s="1052" t="s">
        <v>364</v>
      </c>
      <c r="B2047" s="869" t="s">
        <v>365</v>
      </c>
      <c r="C2047" s="1058" t="e">
        <f>VLOOKUP(B2044,'LƯƠNG KT'!$D$15:$U$94,15,0)</f>
        <v>#N/A</v>
      </c>
      <c r="D2047" s="1059" t="e">
        <f>C2047*$L$5</f>
        <v>#N/A</v>
      </c>
      <c r="E2047" s="1061"/>
      <c r="F2047" s="1061"/>
      <c r="G2047" s="1052" t="s">
        <v>364</v>
      </c>
      <c r="H2047" s="869" t="s">
        <v>365</v>
      </c>
      <c r="I2047" s="1058" t="e">
        <f>VLOOKUP(H2044,'LƯƠNG KT'!$D$15:$U$94,15,0)</f>
        <v>#N/A</v>
      </c>
      <c r="J2047" s="1059" t="e">
        <f>I2047*$L$5</f>
        <v>#N/A</v>
      </c>
      <c r="K2047" s="1085"/>
      <c r="L2047" s="1085"/>
      <c r="M2047" s="1085"/>
      <c r="N2047" s="1085"/>
      <c r="O2047" s="1085"/>
    </row>
    <row r="2048" spans="1:15" ht="15" customHeight="1">
      <c r="A2048" s="1052" t="s">
        <v>367</v>
      </c>
      <c r="B2048" s="869"/>
      <c r="C2048" s="1058" t="e">
        <f>VLOOKUP(B2044,'LƯƠNG KT'!$D$15:$U$94,16,0)</f>
        <v>#N/A</v>
      </c>
      <c r="D2048" s="1059" t="e">
        <f>+C2048*$L$6</f>
        <v>#N/A</v>
      </c>
      <c r="E2048" s="1061"/>
      <c r="F2048" s="1061"/>
      <c r="G2048" s="1052" t="s">
        <v>367</v>
      </c>
      <c r="H2048" s="869"/>
      <c r="I2048" s="1058" t="e">
        <f>VLOOKUP(H2044,'LƯƠNG KT'!$D$15:$U$94,16,0)</f>
        <v>#N/A</v>
      </c>
      <c r="J2048" s="1059" t="e">
        <f>+I2048*$L$6</f>
        <v>#N/A</v>
      </c>
      <c r="K2048" s="1085"/>
      <c r="L2048" s="1085"/>
      <c r="M2048" s="1085"/>
      <c r="N2048" s="1085"/>
      <c r="O2048" s="1085"/>
    </row>
    <row r="2049" spans="1:15" ht="15" customHeight="1">
      <c r="A2049" s="1052" t="s">
        <v>371</v>
      </c>
      <c r="B2049" s="869" t="s">
        <v>372</v>
      </c>
      <c r="C2049" s="1058" t="e">
        <f>VLOOKUP(B2044,'LƯƠNG KT'!$D$15:$U$94,9,0)*$L$10</f>
        <v>#N/A</v>
      </c>
      <c r="D2049" s="1059" t="e">
        <f>+C2049*0.5*3000</f>
        <v>#N/A</v>
      </c>
      <c r="E2049" s="1061"/>
      <c r="F2049" s="1061"/>
      <c r="G2049" s="1052" t="s">
        <v>371</v>
      </c>
      <c r="H2049" s="869" t="s">
        <v>372</v>
      </c>
      <c r="I2049" s="1058" t="e">
        <f>VLOOKUP(H2044,'LƯƠNG KT'!$D$15:$U$94,9,0)*$L$10</f>
        <v>#N/A</v>
      </c>
      <c r="J2049" s="1059" t="e">
        <f>+I2049*0.5*3000</f>
        <v>#N/A</v>
      </c>
      <c r="K2049" s="1085"/>
      <c r="L2049" s="1085"/>
      <c r="M2049" s="1085"/>
      <c r="N2049" s="1085"/>
      <c r="O2049" s="1085"/>
    </row>
    <row r="2050" spans="1:15" ht="15" customHeight="1">
      <c r="A2050" s="1052" t="s">
        <v>374</v>
      </c>
      <c r="B2050" s="869" t="s">
        <v>375</v>
      </c>
      <c r="C2050" s="1058" t="e">
        <f>VLOOKUP(B2044,'LƯƠNG KT'!$D$15:$U$94,8,0)*$L$11</f>
        <v>#N/A</v>
      </c>
      <c r="D2050" s="1059" t="e">
        <f>VLOOKUP(B2044,'LƯƠNG KT'!$D$15:$U$94,13,0)-D2049</f>
        <v>#N/A</v>
      </c>
      <c r="E2050" s="1063"/>
      <c r="F2050" s="1061"/>
      <c r="G2050" s="1052" t="s">
        <v>374</v>
      </c>
      <c r="H2050" s="869" t="s">
        <v>375</v>
      </c>
      <c r="I2050" s="1058" t="e">
        <f>VLOOKUP(H2044,'LƯƠNG KT'!$D$15:$U$94,8,0)*$L$11</f>
        <v>#N/A</v>
      </c>
      <c r="J2050" s="1059" t="e">
        <f>VLOOKUP(H2044,'LƯƠNG KT'!$D$15:$U$94,13,0)-J2049</f>
        <v>#N/A</v>
      </c>
      <c r="K2050" s="1085"/>
      <c r="L2050" s="1085"/>
      <c r="M2050" s="1085"/>
      <c r="N2050" s="1085"/>
      <c r="O2050" s="1085"/>
    </row>
    <row r="2051" spans="1:15" ht="15" customHeight="1">
      <c r="A2051" s="1059" t="s">
        <v>377</v>
      </c>
      <c r="B2051" s="869" t="s">
        <v>378</v>
      </c>
      <c r="C2051" s="1058"/>
      <c r="D2051" s="1059"/>
      <c r="E2051" s="1065"/>
      <c r="F2051" s="1065"/>
      <c r="G2051" s="1059" t="s">
        <v>377</v>
      </c>
      <c r="H2051" s="869" t="s">
        <v>378</v>
      </c>
      <c r="I2051" s="1058"/>
      <c r="J2051" s="1059"/>
    </row>
    <row r="2052" spans="1:15" ht="15" customHeight="1">
      <c r="A2052" s="1066" t="s">
        <v>379</v>
      </c>
      <c r="B2052" s="869" t="s">
        <v>380</v>
      </c>
      <c r="C2052" s="1058"/>
      <c r="D2052" s="1059"/>
      <c r="E2052" s="1063"/>
      <c r="F2052" s="1065"/>
      <c r="G2052" s="1066" t="s">
        <v>379</v>
      </c>
      <c r="H2052" s="869" t="s">
        <v>380</v>
      </c>
      <c r="I2052" s="1058"/>
      <c r="J2052" s="1059"/>
    </row>
    <row r="2053" spans="1:15" ht="15" customHeight="1">
      <c r="A2053" s="1052" t="s">
        <v>381</v>
      </c>
      <c r="B2053" s="869" t="s">
        <v>382</v>
      </c>
      <c r="C2053" s="1058"/>
      <c r="D2053" s="1059">
        <f>D2052</f>
        <v>0</v>
      </c>
      <c r="E2053" s="1067"/>
      <c r="F2053" s="1051"/>
      <c r="G2053" s="1052" t="s">
        <v>381</v>
      </c>
      <c r="H2053" s="869" t="s">
        <v>382</v>
      </c>
      <c r="I2053" s="1058"/>
      <c r="J2053" s="1059">
        <f>J2052</f>
        <v>0</v>
      </c>
    </row>
    <row r="2054" spans="1:15" ht="15" customHeight="1">
      <c r="A2054" s="1068" t="s">
        <v>383</v>
      </c>
      <c r="B2054" s="1069" t="s">
        <v>384</v>
      </c>
      <c r="C2054" s="1070"/>
      <c r="D2054" s="1071" t="e">
        <f>SUM(D2045:D2050)-D2053</f>
        <v>#N/A</v>
      </c>
      <c r="E2054" s="1072"/>
      <c r="F2054" s="1073"/>
      <c r="G2054" s="1068" t="s">
        <v>383</v>
      </c>
      <c r="H2054" s="1069" t="s">
        <v>384</v>
      </c>
      <c r="I2054" s="1070"/>
      <c r="J2054" s="1071" t="e">
        <f>SUM(J2045:J2050)-J2053</f>
        <v>#N/A</v>
      </c>
    </row>
    <row r="2055" spans="1:15" ht="18.75" customHeight="1">
      <c r="A2055" s="1074"/>
      <c r="B2055" s="1075"/>
      <c r="C2055" s="1076"/>
      <c r="D2055" s="1077"/>
      <c r="E2055" s="1077"/>
      <c r="F2055" s="1078"/>
      <c r="G2055" s="1074"/>
      <c r="H2055" s="1075"/>
      <c r="I2055" s="1076"/>
      <c r="J2055" s="1077"/>
    </row>
    <row r="2056" spans="1:15" ht="18.75" customHeight="1">
      <c r="A2056" s="1075"/>
      <c r="B2056" s="1075"/>
      <c r="C2056" s="1079"/>
      <c r="D2056" s="1080"/>
      <c r="E2056" s="1075"/>
      <c r="F2056" s="1081"/>
      <c r="G2056" s="1075"/>
      <c r="H2056" s="1075"/>
      <c r="I2056" s="1079"/>
      <c r="J2056" s="1080"/>
    </row>
    <row r="2057" spans="1:15" ht="15" customHeight="1">
      <c r="A2057" s="2242" t="str">
        <f>$K$2</f>
        <v>THÁNG 09/2024</v>
      </c>
      <c r="B2057" s="2242"/>
      <c r="C2057" s="2242"/>
      <c r="D2057" s="2242"/>
      <c r="E2057" s="1050"/>
      <c r="F2057" s="1051"/>
      <c r="G2057" s="2242" t="str">
        <f>$K$2</f>
        <v>THÁNG 09/2024</v>
      </c>
      <c r="H2057" s="2242"/>
      <c r="I2057" s="2242"/>
      <c r="J2057" s="2242"/>
      <c r="K2057" s="624"/>
    </row>
    <row r="2058" spans="1:15" ht="15" customHeight="1">
      <c r="A2058" s="1052" t="s">
        <v>356</v>
      </c>
      <c r="B2058" s="1053" t="s">
        <v>176</v>
      </c>
      <c r="C2058" s="869"/>
      <c r="D2058" s="1049"/>
      <c r="E2058" s="1054"/>
      <c r="F2058" s="1055"/>
      <c r="G2058" s="1052" t="s">
        <v>356</v>
      </c>
      <c r="H2058" s="1053" t="s">
        <v>177</v>
      </c>
      <c r="I2058" s="869"/>
      <c r="J2058" s="1049"/>
      <c r="L2058" s="1088"/>
      <c r="M2058" s="1088"/>
      <c r="N2058" s="1088"/>
      <c r="O2058" s="1088"/>
    </row>
    <row r="2059" spans="1:15" ht="15" customHeight="1">
      <c r="A2059" s="1052" t="s">
        <v>359</v>
      </c>
      <c r="B2059" s="1089" t="s">
        <v>360</v>
      </c>
      <c r="C2059" s="1058" t="e">
        <f>VLOOKUP(B2058,'LƯƠNG KT'!$D$15:$U$94,3,0)</f>
        <v>#N/A</v>
      </c>
      <c r="D2059" s="1059" t="e">
        <f>+C2059*25000</f>
        <v>#N/A</v>
      </c>
      <c r="E2059" s="1060"/>
      <c r="F2059" s="1060"/>
      <c r="G2059" s="1052" t="s">
        <v>359</v>
      </c>
      <c r="H2059" s="1089" t="s">
        <v>360</v>
      </c>
      <c r="I2059" s="1058" t="e">
        <f>VLOOKUP(H2058,'LƯƠNG KT'!$D$15:$U$94,3,0)</f>
        <v>#N/A</v>
      </c>
      <c r="J2059" s="1059" t="e">
        <f>+I2059*25000</f>
        <v>#N/A</v>
      </c>
      <c r="K2059" s="1085"/>
      <c r="L2059" s="1085"/>
      <c r="M2059" s="1085"/>
      <c r="N2059" s="1085"/>
      <c r="O2059" s="1085"/>
    </row>
    <row r="2060" spans="1:15" ht="15" customHeight="1">
      <c r="A2060" s="1052" t="s">
        <v>361</v>
      </c>
      <c r="B2060" s="869" t="s">
        <v>362</v>
      </c>
      <c r="C2060" s="1058" t="e">
        <f>VLOOKUP(B2058,'LƯƠNG KT'!$D$15:$U$94,14,0)</f>
        <v>#N/A</v>
      </c>
      <c r="D2060" s="1059" t="e">
        <f>C2060*$L$4</f>
        <v>#N/A</v>
      </c>
      <c r="E2060" s="1061"/>
      <c r="F2060" s="1061"/>
      <c r="G2060" s="1052" t="s">
        <v>361</v>
      </c>
      <c r="H2060" s="869" t="s">
        <v>362</v>
      </c>
      <c r="I2060" s="1058" t="e">
        <f>VLOOKUP(H2058,'LƯƠNG KT'!$D$15:$U$94,14,0)</f>
        <v>#N/A</v>
      </c>
      <c r="J2060" s="1059" t="e">
        <f>I2060*$L$4</f>
        <v>#N/A</v>
      </c>
      <c r="K2060" s="1085"/>
      <c r="L2060" s="1085"/>
      <c r="M2060" s="1085"/>
      <c r="N2060" s="1085"/>
      <c r="O2060" s="1085"/>
    </row>
    <row r="2061" spans="1:15" ht="15" customHeight="1">
      <c r="A2061" s="1052" t="s">
        <v>364</v>
      </c>
      <c r="B2061" s="869" t="s">
        <v>365</v>
      </c>
      <c r="C2061" s="1058" t="e">
        <f>VLOOKUP(B2058,'LƯƠNG KT'!$D$15:$U$94,15,0)</f>
        <v>#N/A</v>
      </c>
      <c r="D2061" s="1059" t="e">
        <f>C2061*$L$5</f>
        <v>#N/A</v>
      </c>
      <c r="E2061" s="1061"/>
      <c r="F2061" s="1061"/>
      <c r="G2061" s="1052" t="s">
        <v>364</v>
      </c>
      <c r="H2061" s="869" t="s">
        <v>365</v>
      </c>
      <c r="I2061" s="1058" t="e">
        <f>VLOOKUP(H2058,'LƯƠNG KT'!$D$15:$U$94,15,0)</f>
        <v>#N/A</v>
      </c>
      <c r="J2061" s="1059" t="e">
        <f>I2061*$L$5</f>
        <v>#N/A</v>
      </c>
      <c r="K2061" s="1085"/>
      <c r="L2061" s="1085"/>
      <c r="M2061" s="1085"/>
      <c r="N2061" s="1085"/>
      <c r="O2061" s="1085"/>
    </row>
    <row r="2062" spans="1:15" ht="15" customHeight="1">
      <c r="A2062" s="1052" t="s">
        <v>367</v>
      </c>
      <c r="B2062" s="869"/>
      <c r="C2062" s="1058" t="e">
        <f>VLOOKUP(B2058,'LƯƠNG KT'!$D$15:$U$94,16,0)</f>
        <v>#N/A</v>
      </c>
      <c r="D2062" s="1059" t="e">
        <f>+C2062*$L$6</f>
        <v>#N/A</v>
      </c>
      <c r="E2062" s="1061"/>
      <c r="F2062" s="1061"/>
      <c r="G2062" s="1052" t="s">
        <v>367</v>
      </c>
      <c r="H2062" s="869"/>
      <c r="I2062" s="1058" t="e">
        <f>VLOOKUP(H2058,'LƯƠNG KT'!$D$15:$U$94,16,0)</f>
        <v>#N/A</v>
      </c>
      <c r="J2062" s="1059" t="e">
        <f>+I2062*$L$6</f>
        <v>#N/A</v>
      </c>
      <c r="K2062" s="1085"/>
      <c r="L2062" s="1085"/>
      <c r="M2062" s="1085"/>
      <c r="N2062" s="1085"/>
      <c r="O2062" s="1085"/>
    </row>
    <row r="2063" spans="1:15" ht="15" customHeight="1">
      <c r="A2063" s="1052" t="s">
        <v>371</v>
      </c>
      <c r="B2063" s="869" t="s">
        <v>372</v>
      </c>
      <c r="C2063" s="1058" t="e">
        <f>VLOOKUP(B2058,'LƯƠNG KT'!$D$15:$U$94,9,0)*$L$10</f>
        <v>#N/A</v>
      </c>
      <c r="D2063" s="1059" t="e">
        <f>+C2063*0.5*3000</f>
        <v>#N/A</v>
      </c>
      <c r="E2063" s="1061"/>
      <c r="F2063" s="1061"/>
      <c r="G2063" s="1052" t="s">
        <v>371</v>
      </c>
      <c r="H2063" s="869" t="s">
        <v>372</v>
      </c>
      <c r="I2063" s="1058" t="e">
        <f>VLOOKUP(H2058,'LƯƠNG KT'!$D$15:$U$94,9,0)*$L$10</f>
        <v>#N/A</v>
      </c>
      <c r="J2063" s="1059" t="e">
        <f>+I2063*0.5*3000</f>
        <v>#N/A</v>
      </c>
      <c r="K2063" s="1085"/>
      <c r="L2063" s="1085"/>
      <c r="M2063" s="1085"/>
      <c r="N2063" s="1085"/>
      <c r="O2063" s="1085"/>
    </row>
    <row r="2064" spans="1:15" ht="15" customHeight="1">
      <c r="A2064" s="1052" t="s">
        <v>374</v>
      </c>
      <c r="B2064" s="869" t="s">
        <v>375</v>
      </c>
      <c r="C2064" s="1058" t="e">
        <f>VLOOKUP(B2058,'LƯƠNG KT'!$D$15:$U$94,8,0)*$L$11</f>
        <v>#N/A</v>
      </c>
      <c r="D2064" s="1059" t="e">
        <f>VLOOKUP(B2058,'LƯƠNG KT'!$D$15:$U$94,13,0)-D2063</f>
        <v>#N/A</v>
      </c>
      <c r="E2064" s="1063"/>
      <c r="F2064" s="1061"/>
      <c r="G2064" s="1052" t="s">
        <v>374</v>
      </c>
      <c r="H2064" s="869" t="s">
        <v>375</v>
      </c>
      <c r="I2064" s="1058" t="e">
        <f>VLOOKUP(H2058,'LƯƠNG KT'!$D$15:$U$94,8,0)*$L$11</f>
        <v>#N/A</v>
      </c>
      <c r="J2064" s="1059" t="e">
        <f>VLOOKUP(H2058,'LƯƠNG KT'!$D$15:$U$94,13,0)-J2063</f>
        <v>#N/A</v>
      </c>
      <c r="K2064" s="1085"/>
      <c r="L2064" s="1085"/>
      <c r="M2064" s="1085"/>
      <c r="N2064" s="1085"/>
      <c r="O2064" s="1085"/>
    </row>
    <row r="2065" spans="1:15" ht="15" customHeight="1">
      <c r="A2065" s="1059" t="s">
        <v>377</v>
      </c>
      <c r="B2065" s="869" t="s">
        <v>378</v>
      </c>
      <c r="C2065" s="1058"/>
      <c r="D2065" s="1059"/>
      <c r="E2065" s="1065"/>
      <c r="F2065" s="1065"/>
      <c r="G2065" s="1059" t="s">
        <v>377</v>
      </c>
      <c r="H2065" s="869" t="s">
        <v>378</v>
      </c>
      <c r="I2065" s="1058"/>
      <c r="J2065" s="1059"/>
    </row>
    <row r="2066" spans="1:15" ht="15" customHeight="1">
      <c r="A2066" s="1066" t="s">
        <v>379</v>
      </c>
      <c r="B2066" s="869" t="s">
        <v>380</v>
      </c>
      <c r="C2066" s="1058"/>
      <c r="D2066" s="1059"/>
      <c r="E2066" s="1063"/>
      <c r="F2066" s="1065"/>
      <c r="G2066" s="1066" t="s">
        <v>379</v>
      </c>
      <c r="H2066" s="869" t="s">
        <v>380</v>
      </c>
      <c r="I2066" s="1058"/>
      <c r="J2066" s="1059"/>
    </row>
    <row r="2067" spans="1:15" ht="15" customHeight="1">
      <c r="A2067" s="1052" t="s">
        <v>381</v>
      </c>
      <c r="B2067" s="869" t="s">
        <v>382</v>
      </c>
      <c r="C2067" s="1058"/>
      <c r="D2067" s="1059">
        <f>D2066</f>
        <v>0</v>
      </c>
      <c r="E2067" s="1067"/>
      <c r="F2067" s="1051"/>
      <c r="G2067" s="1052" t="s">
        <v>381</v>
      </c>
      <c r="H2067" s="869" t="s">
        <v>382</v>
      </c>
      <c r="I2067" s="1058"/>
      <c r="J2067" s="1059">
        <f>J2066</f>
        <v>0</v>
      </c>
    </row>
    <row r="2068" spans="1:15" ht="15" customHeight="1">
      <c r="A2068" s="1068" t="s">
        <v>383</v>
      </c>
      <c r="B2068" s="1069" t="s">
        <v>384</v>
      </c>
      <c r="C2068" s="1070"/>
      <c r="D2068" s="1071" t="e">
        <f>SUM(D2059:D2064)-D2067</f>
        <v>#N/A</v>
      </c>
      <c r="E2068" s="1072"/>
      <c r="F2068" s="1073"/>
      <c r="G2068" s="1068" t="s">
        <v>383</v>
      </c>
      <c r="H2068" s="1069" t="s">
        <v>384</v>
      </c>
      <c r="I2068" s="1070"/>
      <c r="J2068" s="1071" t="e">
        <f>SUM(J2059:J2064)-J2067</f>
        <v>#N/A</v>
      </c>
    </row>
    <row r="2069" spans="1:15" ht="15.75" customHeight="1">
      <c r="A2069" s="1074"/>
      <c r="B2069" s="1075"/>
      <c r="C2069" s="1076"/>
      <c r="D2069" s="1077"/>
      <c r="E2069" s="1077"/>
      <c r="F2069" s="1078"/>
      <c r="G2069" s="1074"/>
      <c r="H2069" s="1075"/>
      <c r="I2069" s="1076"/>
      <c r="J2069" s="1077"/>
    </row>
    <row r="2071" spans="1:15" ht="12" customHeight="1">
      <c r="A2071" s="2243"/>
      <c r="B2071" s="2243"/>
      <c r="C2071" s="2243"/>
      <c r="D2071" s="2243"/>
      <c r="E2071" s="2243"/>
      <c r="F2071" s="2243"/>
      <c r="G2071" s="2243"/>
      <c r="H2071" s="2243"/>
      <c r="I2071" s="2243"/>
      <c r="J2071" s="2243"/>
    </row>
    <row r="2072" spans="1:15" ht="15" customHeight="1">
      <c r="A2072" s="2242" t="str">
        <f>$K$2</f>
        <v>THÁNG 09/2024</v>
      </c>
      <c r="B2072" s="2242"/>
      <c r="C2072" s="2242"/>
      <c r="D2072" s="2242"/>
      <c r="E2072" s="1050"/>
      <c r="F2072" s="1051"/>
      <c r="G2072" s="2242" t="str">
        <f>$K$2</f>
        <v>THÁNG 09/2024</v>
      </c>
      <c r="H2072" s="2242"/>
      <c r="I2072" s="2242"/>
      <c r="J2072" s="2242"/>
      <c r="K2072" s="624"/>
    </row>
    <row r="2073" spans="1:15" ht="15" customHeight="1">
      <c r="A2073" s="1052" t="s">
        <v>356</v>
      </c>
      <c r="B2073" s="1053" t="s">
        <v>178</v>
      </c>
      <c r="C2073" s="869"/>
      <c r="D2073" s="1049"/>
      <c r="E2073" s="1054"/>
      <c r="F2073" s="1055"/>
      <c r="G2073" s="1052" t="s">
        <v>356</v>
      </c>
      <c r="H2073" s="1053" t="s">
        <v>179</v>
      </c>
      <c r="I2073" s="869"/>
      <c r="J2073" s="1049"/>
      <c r="L2073" s="1088"/>
      <c r="M2073" s="1088"/>
      <c r="N2073" s="1088"/>
      <c r="O2073" s="1088"/>
    </row>
    <row r="2074" spans="1:15" ht="15" customHeight="1">
      <c r="A2074" s="1052" t="s">
        <v>359</v>
      </c>
      <c r="B2074" s="1089" t="s">
        <v>360</v>
      </c>
      <c r="C2074" s="1058" t="e">
        <f>VLOOKUP(B2073,'LƯƠNG KT'!$D$15:$U$94,3,0)</f>
        <v>#N/A</v>
      </c>
      <c r="D2074" s="1059" t="e">
        <f>+C2074*25000</f>
        <v>#N/A</v>
      </c>
      <c r="E2074" s="1060"/>
      <c r="F2074" s="1060"/>
      <c r="G2074" s="1052" t="s">
        <v>359</v>
      </c>
      <c r="H2074" s="1089" t="s">
        <v>360</v>
      </c>
      <c r="I2074" s="1058" t="e">
        <f>VLOOKUP(H2073,'LƯƠNG KT'!$D$15:$U$94,3,0)</f>
        <v>#N/A</v>
      </c>
      <c r="J2074" s="1059" t="e">
        <f>+I2074*25000</f>
        <v>#N/A</v>
      </c>
      <c r="K2074" s="1084"/>
      <c r="L2074" s="1085"/>
      <c r="M2074" s="1085"/>
      <c r="N2074" s="1085"/>
      <c r="O2074" s="1085"/>
    </row>
    <row r="2075" spans="1:15" ht="15" customHeight="1">
      <c r="A2075" s="1052" t="s">
        <v>361</v>
      </c>
      <c r="B2075" s="869" t="s">
        <v>362</v>
      </c>
      <c r="C2075" s="1058" t="e">
        <f>VLOOKUP(B2073,'LƯƠNG KT'!$D$15:$U$94,14,0)</f>
        <v>#N/A</v>
      </c>
      <c r="D2075" s="1059" t="e">
        <f>C2075*$L$4</f>
        <v>#N/A</v>
      </c>
      <c r="E2075" s="1061"/>
      <c r="F2075" s="1061"/>
      <c r="G2075" s="1052" t="s">
        <v>361</v>
      </c>
      <c r="H2075" s="869" t="s">
        <v>362</v>
      </c>
      <c r="I2075" s="1058" t="e">
        <f>VLOOKUP(H2073,'LƯƠNG KT'!$D$15:$U$94,14,0)</f>
        <v>#N/A</v>
      </c>
      <c r="J2075" s="1059" t="e">
        <f>I2075*$L$4</f>
        <v>#N/A</v>
      </c>
      <c r="K2075" s="1084"/>
      <c r="L2075" s="1085"/>
      <c r="M2075" s="1085"/>
      <c r="N2075" s="1085"/>
      <c r="O2075" s="1085"/>
    </row>
    <row r="2076" spans="1:15" ht="15" customHeight="1">
      <c r="A2076" s="1052" t="s">
        <v>364</v>
      </c>
      <c r="B2076" s="869" t="s">
        <v>365</v>
      </c>
      <c r="C2076" s="1058" t="e">
        <f>VLOOKUP(B2073,'LƯƠNG KT'!$D$15:$U$94,15,0)</f>
        <v>#N/A</v>
      </c>
      <c r="D2076" s="1059" t="e">
        <f>C2076*$L$5</f>
        <v>#N/A</v>
      </c>
      <c r="E2076" s="1061"/>
      <c r="F2076" s="1061"/>
      <c r="G2076" s="1052" t="s">
        <v>364</v>
      </c>
      <c r="H2076" s="869" t="s">
        <v>365</v>
      </c>
      <c r="I2076" s="1058" t="e">
        <f>VLOOKUP(H2073,'LƯƠNG KT'!$D$15:$U$94,15,0)</f>
        <v>#N/A</v>
      </c>
      <c r="J2076" s="1059" t="e">
        <f>I2076*$L$5</f>
        <v>#N/A</v>
      </c>
      <c r="K2076" s="1084"/>
      <c r="L2076" s="1085"/>
      <c r="M2076" s="1085"/>
      <c r="N2076" s="1085"/>
      <c r="O2076" s="1085"/>
    </row>
    <row r="2077" spans="1:15" ht="15" customHeight="1">
      <c r="A2077" s="1052" t="s">
        <v>367</v>
      </c>
      <c r="B2077" s="869"/>
      <c r="C2077" s="1058" t="e">
        <f>VLOOKUP(B2073,'LƯƠNG KT'!$D$15:$U$94,16,0)</f>
        <v>#N/A</v>
      </c>
      <c r="D2077" s="1059" t="e">
        <f>+C2077*$L$6</f>
        <v>#N/A</v>
      </c>
      <c r="E2077" s="1061"/>
      <c r="F2077" s="1061"/>
      <c r="G2077" s="1052" t="s">
        <v>367</v>
      </c>
      <c r="H2077" s="869"/>
      <c r="I2077" s="1058" t="e">
        <f>VLOOKUP(H2073,'LƯƠNG KT'!$D$15:$U$94,16,0)</f>
        <v>#N/A</v>
      </c>
      <c r="J2077" s="1059" t="e">
        <f>+I2077*$L$6</f>
        <v>#N/A</v>
      </c>
      <c r="K2077" s="1085"/>
      <c r="L2077" s="1085"/>
      <c r="M2077" s="1085"/>
      <c r="N2077" s="1085"/>
      <c r="O2077" s="1085"/>
    </row>
    <row r="2078" spans="1:15" ht="15" customHeight="1">
      <c r="A2078" s="1052" t="s">
        <v>371</v>
      </c>
      <c r="B2078" s="869" t="s">
        <v>372</v>
      </c>
      <c r="C2078" s="1058" t="e">
        <f>VLOOKUP(B2073,'LƯƠNG KT'!$D$15:$U$94,9,0)*$L$10</f>
        <v>#N/A</v>
      </c>
      <c r="D2078" s="1059" t="e">
        <f>+C2078*0.5*3000</f>
        <v>#N/A</v>
      </c>
      <c r="E2078" s="1061"/>
      <c r="F2078" s="1061"/>
      <c r="G2078" s="1052" t="s">
        <v>371</v>
      </c>
      <c r="H2078" s="869" t="s">
        <v>372</v>
      </c>
      <c r="I2078" s="1058" t="e">
        <f>VLOOKUP(H2073,'LƯƠNG KT'!$D$15:$U$94,9,0)*$L$10</f>
        <v>#N/A</v>
      </c>
      <c r="J2078" s="1059" t="e">
        <f>+I2078*0.5*3000</f>
        <v>#N/A</v>
      </c>
      <c r="K2078" s="1085"/>
      <c r="L2078" s="1085"/>
      <c r="M2078" s="1085"/>
      <c r="N2078" s="1085"/>
      <c r="O2078" s="1085"/>
    </row>
    <row r="2079" spans="1:15" ht="15" customHeight="1">
      <c r="A2079" s="1052" t="s">
        <v>374</v>
      </c>
      <c r="B2079" s="869" t="s">
        <v>375</v>
      </c>
      <c r="C2079" s="1058" t="e">
        <f>VLOOKUP(B2073,'LƯƠNG KT'!$D$15:$U$94,8,0)*$L$11</f>
        <v>#N/A</v>
      </c>
      <c r="D2079" s="1059" t="e">
        <f>VLOOKUP(B2073,'LƯƠNG KT'!$D$15:$U$94,13,0)-D2078</f>
        <v>#N/A</v>
      </c>
      <c r="E2079" s="1063"/>
      <c r="F2079" s="1061"/>
      <c r="G2079" s="1052" t="s">
        <v>374</v>
      </c>
      <c r="H2079" s="869" t="s">
        <v>375</v>
      </c>
      <c r="I2079" s="1058" t="e">
        <f>VLOOKUP(H2073,'LƯƠNG KT'!$D$15:$U$94,8,0)*$L$11</f>
        <v>#N/A</v>
      </c>
      <c r="J2079" s="1059" t="e">
        <f>VLOOKUP(H2073,'LƯƠNG KT'!$D$15:$U$94,13,0)-J2078</f>
        <v>#N/A</v>
      </c>
      <c r="K2079" s="1085"/>
      <c r="L2079" s="1085"/>
      <c r="M2079" s="1085"/>
      <c r="N2079" s="1085"/>
      <c r="O2079" s="1085"/>
    </row>
    <row r="2080" spans="1:15" ht="15" customHeight="1">
      <c r="A2080" s="1059" t="s">
        <v>377</v>
      </c>
      <c r="B2080" s="869" t="s">
        <v>378</v>
      </c>
      <c r="C2080" s="1058"/>
      <c r="D2080" s="1059"/>
      <c r="E2080" s="1065"/>
      <c r="F2080" s="1065"/>
      <c r="G2080" s="1059" t="s">
        <v>377</v>
      </c>
      <c r="H2080" s="869" t="s">
        <v>378</v>
      </c>
      <c r="I2080" s="1058"/>
      <c r="J2080" s="1059"/>
    </row>
    <row r="2081" spans="1:15" ht="15" customHeight="1">
      <c r="A2081" s="1066" t="s">
        <v>379</v>
      </c>
      <c r="B2081" s="869" t="s">
        <v>380</v>
      </c>
      <c r="C2081" s="1058"/>
      <c r="D2081" s="1059"/>
      <c r="E2081" s="1063"/>
      <c r="F2081" s="1065"/>
      <c r="G2081" s="1066" t="s">
        <v>379</v>
      </c>
      <c r="H2081" s="869" t="s">
        <v>380</v>
      </c>
      <c r="I2081" s="1058"/>
      <c r="J2081" s="1059"/>
    </row>
    <row r="2082" spans="1:15" ht="15" customHeight="1">
      <c r="A2082" s="1052" t="s">
        <v>381</v>
      </c>
      <c r="B2082" s="869" t="s">
        <v>382</v>
      </c>
      <c r="C2082" s="1058"/>
      <c r="D2082" s="1059">
        <f>D2081</f>
        <v>0</v>
      </c>
      <c r="E2082" s="1067"/>
      <c r="F2082" s="1051"/>
      <c r="G2082" s="1052" t="s">
        <v>381</v>
      </c>
      <c r="H2082" s="869" t="s">
        <v>382</v>
      </c>
      <c r="I2082" s="1058"/>
      <c r="J2082" s="1059">
        <f>J2081</f>
        <v>0</v>
      </c>
    </row>
    <row r="2083" spans="1:15" ht="15" customHeight="1">
      <c r="A2083" s="1068" t="s">
        <v>383</v>
      </c>
      <c r="B2083" s="1069" t="s">
        <v>384</v>
      </c>
      <c r="C2083" s="1070"/>
      <c r="D2083" s="1071" t="e">
        <f>SUM(D2074:D2079)-D2082</f>
        <v>#N/A</v>
      </c>
      <c r="E2083" s="1072"/>
      <c r="F2083" s="1073"/>
      <c r="G2083" s="1068" t="s">
        <v>383</v>
      </c>
      <c r="H2083" s="1069" t="s">
        <v>384</v>
      </c>
      <c r="I2083" s="1070"/>
      <c r="J2083" s="1071" t="e">
        <f>SUM(J2074:J2079)-J2082</f>
        <v>#N/A</v>
      </c>
    </row>
    <row r="2084" spans="1:15" ht="12.6" customHeight="1">
      <c r="A2084" s="1074"/>
      <c r="B2084" s="1075"/>
      <c r="C2084" s="1076"/>
      <c r="D2084" s="1077"/>
      <c r="E2084" s="1077"/>
      <c r="F2084" s="1078"/>
      <c r="G2084" s="1074"/>
      <c r="H2084" s="1075"/>
      <c r="I2084" s="1076"/>
      <c r="J2084" s="1077"/>
    </row>
    <row r="2085" spans="1:15" ht="12.6" customHeight="1">
      <c r="A2085" s="1075"/>
      <c r="B2085" s="1075"/>
      <c r="C2085" s="1079"/>
      <c r="D2085" s="1080"/>
      <c r="E2085" s="1075"/>
      <c r="F2085" s="1081"/>
      <c r="G2085" s="1075"/>
      <c r="H2085" s="1075"/>
      <c r="I2085" s="1079"/>
      <c r="J2085" s="1080"/>
    </row>
    <row r="2086" spans="1:15" ht="15" customHeight="1">
      <c r="A2086" s="2242" t="str">
        <f>$K$2</f>
        <v>THÁNG 09/2024</v>
      </c>
      <c r="B2086" s="2242"/>
      <c r="C2086" s="2242"/>
      <c r="D2086" s="2242"/>
      <c r="E2086" s="1050"/>
      <c r="F2086" s="1051"/>
      <c r="G2086" s="2242" t="str">
        <f>$K$2</f>
        <v>THÁNG 09/2024</v>
      </c>
      <c r="H2086" s="2242"/>
      <c r="I2086" s="2242"/>
      <c r="J2086" s="2242"/>
      <c r="K2086" s="624"/>
    </row>
    <row r="2087" spans="1:15" ht="15" customHeight="1">
      <c r="A2087" s="1052" t="s">
        <v>356</v>
      </c>
      <c r="B2087" s="1053" t="s">
        <v>180</v>
      </c>
      <c r="C2087" s="869"/>
      <c r="D2087" s="1049"/>
      <c r="E2087" s="1054"/>
      <c r="F2087" s="1055"/>
      <c r="G2087" s="1052" t="s">
        <v>356</v>
      </c>
      <c r="H2087" s="1053" t="s">
        <v>181</v>
      </c>
      <c r="I2087" s="869"/>
      <c r="J2087" s="1049"/>
      <c r="L2087" s="1088"/>
      <c r="M2087" s="1088"/>
      <c r="N2087" s="1088"/>
      <c r="O2087" s="1088"/>
    </row>
    <row r="2088" spans="1:15" ht="15" customHeight="1">
      <c r="A2088" s="1052" t="s">
        <v>359</v>
      </c>
      <c r="B2088" s="1089" t="s">
        <v>360</v>
      </c>
      <c r="C2088" s="1058" t="e">
        <f>VLOOKUP(B2087,'LƯƠNG KT'!$D$15:$U$94,3,0)</f>
        <v>#N/A</v>
      </c>
      <c r="D2088" s="1059" t="e">
        <f>+C2088*25000</f>
        <v>#N/A</v>
      </c>
      <c r="E2088" s="1060"/>
      <c r="F2088" s="1060"/>
      <c r="G2088" s="1052" t="s">
        <v>359</v>
      </c>
      <c r="H2088" s="1089" t="s">
        <v>360</v>
      </c>
      <c r="I2088" s="1058" t="e">
        <f>VLOOKUP(H2087,'LƯƠNG KT'!$D$15:$U$94,3,0)</f>
        <v>#N/A</v>
      </c>
      <c r="J2088" s="1059" t="e">
        <f>+I2088*25000</f>
        <v>#N/A</v>
      </c>
      <c r="K2088" s="1085"/>
      <c r="L2088" s="1085"/>
      <c r="M2088" s="1085"/>
      <c r="N2088" s="1085"/>
      <c r="O2088" s="1085"/>
    </row>
    <row r="2089" spans="1:15" ht="15" customHeight="1">
      <c r="A2089" s="1052" t="s">
        <v>361</v>
      </c>
      <c r="B2089" s="869" t="s">
        <v>362</v>
      </c>
      <c r="C2089" s="1058" t="e">
        <f>VLOOKUP(B2087,'LƯƠNG KT'!$D$15:$U$94,14,0)</f>
        <v>#N/A</v>
      </c>
      <c r="D2089" s="1059" t="e">
        <f>C2089*$L$4</f>
        <v>#N/A</v>
      </c>
      <c r="E2089" s="1061"/>
      <c r="F2089" s="1061"/>
      <c r="G2089" s="1052" t="s">
        <v>361</v>
      </c>
      <c r="H2089" s="869" t="s">
        <v>362</v>
      </c>
      <c r="I2089" s="1058" t="e">
        <f>VLOOKUP(H2087,'LƯƠNG KT'!$D$15:$U$94,14,0)</f>
        <v>#N/A</v>
      </c>
      <c r="J2089" s="1059" t="e">
        <f>I2089*$L$4</f>
        <v>#N/A</v>
      </c>
      <c r="K2089" s="1085"/>
      <c r="L2089" s="1085"/>
      <c r="M2089" s="1085"/>
      <c r="N2089" s="1085"/>
      <c r="O2089" s="1085"/>
    </row>
    <row r="2090" spans="1:15" ht="15" customHeight="1">
      <c r="A2090" s="1052" t="s">
        <v>364</v>
      </c>
      <c r="B2090" s="869" t="s">
        <v>365</v>
      </c>
      <c r="C2090" s="1058" t="e">
        <f>VLOOKUP(B2087,'LƯƠNG KT'!$D$15:$U$94,15,0)</f>
        <v>#N/A</v>
      </c>
      <c r="D2090" s="1059" t="e">
        <f>C2090*$L$5</f>
        <v>#N/A</v>
      </c>
      <c r="E2090" s="1061"/>
      <c r="F2090" s="1061"/>
      <c r="G2090" s="1052" t="s">
        <v>364</v>
      </c>
      <c r="H2090" s="869" t="s">
        <v>365</v>
      </c>
      <c r="I2090" s="1058" t="e">
        <f>VLOOKUP(H2087,'LƯƠNG KT'!$D$15:$U$94,15,0)</f>
        <v>#N/A</v>
      </c>
      <c r="J2090" s="1059" t="e">
        <f>I2090*$L$5</f>
        <v>#N/A</v>
      </c>
      <c r="K2090" s="1085"/>
      <c r="L2090" s="1085"/>
      <c r="M2090" s="1085"/>
      <c r="N2090" s="1085"/>
      <c r="O2090" s="1085"/>
    </row>
    <row r="2091" spans="1:15" ht="15" customHeight="1">
      <c r="A2091" s="1052" t="s">
        <v>367</v>
      </c>
      <c r="B2091" s="869"/>
      <c r="C2091" s="1058" t="e">
        <f>VLOOKUP(B2087,'LƯƠNG KT'!$D$15:$U$94,16,0)</f>
        <v>#N/A</v>
      </c>
      <c r="D2091" s="1059" t="e">
        <f>+C2091*$L$6</f>
        <v>#N/A</v>
      </c>
      <c r="E2091" s="1061"/>
      <c r="F2091" s="1061"/>
      <c r="G2091" s="1052" t="s">
        <v>367</v>
      </c>
      <c r="H2091" s="869"/>
      <c r="I2091" s="1058" t="e">
        <f>VLOOKUP(H2087,'LƯƠNG KT'!$D$15:$U$94,16,0)</f>
        <v>#N/A</v>
      </c>
      <c r="J2091" s="1059" t="e">
        <f>+I2091*$L$6</f>
        <v>#N/A</v>
      </c>
      <c r="K2091" s="1085"/>
      <c r="L2091" s="1085"/>
      <c r="M2091" s="1085"/>
      <c r="N2091" s="1085"/>
      <c r="O2091" s="1085"/>
    </row>
    <row r="2092" spans="1:15" ht="15" customHeight="1">
      <c r="A2092" s="1052" t="s">
        <v>371</v>
      </c>
      <c r="B2092" s="869" t="s">
        <v>372</v>
      </c>
      <c r="C2092" s="1058" t="e">
        <f>VLOOKUP(B2087,'LƯƠNG KT'!$D$15:$U$94,9,0)*$L$10</f>
        <v>#N/A</v>
      </c>
      <c r="D2092" s="1059" t="e">
        <f>+C2092*0.5*3000</f>
        <v>#N/A</v>
      </c>
      <c r="E2092" s="1061"/>
      <c r="F2092" s="1061"/>
      <c r="G2092" s="1052" t="s">
        <v>371</v>
      </c>
      <c r="H2092" s="869" t="s">
        <v>372</v>
      </c>
      <c r="I2092" s="1058" t="e">
        <f>VLOOKUP(H2087,'LƯƠNG KT'!$D$15:$U$94,9,0)*$L$10</f>
        <v>#N/A</v>
      </c>
      <c r="J2092" s="1059" t="e">
        <f>+I2092*0.5*3000</f>
        <v>#N/A</v>
      </c>
      <c r="K2092" s="1085"/>
      <c r="L2092" s="1085"/>
      <c r="M2092" s="1085"/>
      <c r="N2092" s="1085"/>
      <c r="O2092" s="1085"/>
    </row>
    <row r="2093" spans="1:15" ht="15" customHeight="1">
      <c r="A2093" s="1052" t="s">
        <v>374</v>
      </c>
      <c r="B2093" s="869" t="s">
        <v>375</v>
      </c>
      <c r="C2093" s="1058" t="e">
        <f>VLOOKUP(B2087,'LƯƠNG KT'!$D$15:$U$94,8,0)*$L$11</f>
        <v>#N/A</v>
      </c>
      <c r="D2093" s="1059" t="e">
        <f>VLOOKUP(B2087,'LƯƠNG KT'!$D$15:$U$94,13,0)-D2092</f>
        <v>#N/A</v>
      </c>
      <c r="E2093" s="1063"/>
      <c r="F2093" s="1061"/>
      <c r="G2093" s="1052" t="s">
        <v>374</v>
      </c>
      <c r="H2093" s="869" t="s">
        <v>375</v>
      </c>
      <c r="I2093" s="1058" t="e">
        <f>VLOOKUP(H2087,'LƯƠNG KT'!$D$15:$U$94,8,0)*$L$11</f>
        <v>#N/A</v>
      </c>
      <c r="J2093" s="1059" t="e">
        <f>VLOOKUP(H2087,'LƯƠNG KT'!$D$15:$U$94,13,0)-J2092</f>
        <v>#N/A</v>
      </c>
      <c r="K2093" s="1085"/>
      <c r="L2093" s="1085"/>
      <c r="M2093" s="1085"/>
      <c r="N2093" s="1085"/>
      <c r="O2093" s="1085"/>
    </row>
    <row r="2094" spans="1:15" ht="15" customHeight="1">
      <c r="A2094" s="1059" t="s">
        <v>377</v>
      </c>
      <c r="B2094" s="869" t="s">
        <v>378</v>
      </c>
      <c r="C2094" s="1058"/>
      <c r="D2094" s="1059"/>
      <c r="E2094" s="1065"/>
      <c r="F2094" s="1065"/>
      <c r="G2094" s="1059" t="s">
        <v>377</v>
      </c>
      <c r="H2094" s="869" t="s">
        <v>378</v>
      </c>
      <c r="I2094" s="1058"/>
      <c r="J2094" s="1059"/>
    </row>
    <row r="2095" spans="1:15" ht="15" customHeight="1">
      <c r="A2095" s="1066" t="s">
        <v>379</v>
      </c>
      <c r="B2095" s="869" t="s">
        <v>380</v>
      </c>
      <c r="C2095" s="1058"/>
      <c r="D2095" s="1059"/>
      <c r="E2095" s="1063"/>
      <c r="F2095" s="1065"/>
      <c r="G2095" s="1066" t="s">
        <v>379</v>
      </c>
      <c r="H2095" s="869" t="s">
        <v>380</v>
      </c>
      <c r="I2095" s="1058"/>
      <c r="J2095" s="1059"/>
    </row>
    <row r="2096" spans="1:15" ht="15" customHeight="1">
      <c r="A2096" s="1052" t="s">
        <v>381</v>
      </c>
      <c r="B2096" s="869" t="s">
        <v>382</v>
      </c>
      <c r="C2096" s="1058"/>
      <c r="D2096" s="1059">
        <f>D2095</f>
        <v>0</v>
      </c>
      <c r="E2096" s="1067"/>
      <c r="F2096" s="1051"/>
      <c r="G2096" s="1052" t="s">
        <v>381</v>
      </c>
      <c r="H2096" s="869" t="s">
        <v>382</v>
      </c>
      <c r="I2096" s="1058"/>
      <c r="J2096" s="1059">
        <f>J2095</f>
        <v>0</v>
      </c>
    </row>
    <row r="2097" spans="1:15" ht="15" customHeight="1">
      <c r="A2097" s="1068" t="s">
        <v>383</v>
      </c>
      <c r="B2097" s="1069" t="s">
        <v>384</v>
      </c>
      <c r="C2097" s="1070"/>
      <c r="D2097" s="1071" t="e">
        <f>SUM(D2088:D2093)-D2096</f>
        <v>#N/A</v>
      </c>
      <c r="E2097" s="1072"/>
      <c r="F2097" s="1073"/>
      <c r="G2097" s="1068" t="s">
        <v>383</v>
      </c>
      <c r="H2097" s="1069" t="s">
        <v>384</v>
      </c>
      <c r="I2097" s="1070"/>
      <c r="J2097" s="1071" t="e">
        <f>SUM(J2088:J2093)-J2096</f>
        <v>#N/A</v>
      </c>
    </row>
    <row r="2098" spans="1:15" ht="18.75" customHeight="1">
      <c r="A2098" s="1074"/>
      <c r="B2098" s="1075"/>
      <c r="C2098" s="1076"/>
      <c r="D2098" s="1077"/>
      <c r="E2098" s="1077"/>
      <c r="F2098" s="1078"/>
      <c r="G2098" s="1074"/>
      <c r="H2098" s="1075"/>
      <c r="I2098" s="1076"/>
      <c r="J2098" s="1077"/>
    </row>
    <row r="2099" spans="1:15" ht="18.75" customHeight="1">
      <c r="A2099" s="1075"/>
      <c r="B2099" s="1075"/>
      <c r="C2099" s="1079"/>
      <c r="D2099" s="1080"/>
      <c r="E2099" s="1075"/>
      <c r="F2099" s="1081"/>
      <c r="G2099" s="1075"/>
      <c r="H2099" s="1075"/>
      <c r="I2099" s="1079"/>
      <c r="J2099" s="1080"/>
    </row>
    <row r="2100" spans="1:15" ht="15" customHeight="1">
      <c r="A2100" s="2242" t="str">
        <f>$K$2</f>
        <v>THÁNG 09/2024</v>
      </c>
      <c r="B2100" s="2242"/>
      <c r="C2100" s="2242"/>
      <c r="D2100" s="2242"/>
      <c r="E2100" s="1050"/>
      <c r="F2100" s="1051"/>
      <c r="G2100" s="2242" t="str">
        <f>$K$2</f>
        <v>THÁNG 09/2024</v>
      </c>
      <c r="H2100" s="2242"/>
      <c r="I2100" s="2242"/>
      <c r="J2100" s="2242"/>
      <c r="K2100" s="624"/>
    </row>
    <row r="2101" spans="1:15" ht="15" customHeight="1">
      <c r="A2101" s="1052" t="s">
        <v>356</v>
      </c>
      <c r="B2101" s="1053" t="s">
        <v>182</v>
      </c>
      <c r="C2101" s="869"/>
      <c r="D2101" s="1049"/>
      <c r="E2101" s="1054"/>
      <c r="F2101" s="1055"/>
      <c r="G2101" s="1052" t="s">
        <v>356</v>
      </c>
      <c r="H2101" s="1053" t="s">
        <v>183</v>
      </c>
      <c r="I2101" s="869"/>
      <c r="J2101" s="1049"/>
      <c r="L2101" s="1088"/>
      <c r="M2101" s="1088"/>
      <c r="N2101" s="1088"/>
      <c r="O2101" s="1088"/>
    </row>
    <row r="2102" spans="1:15" ht="15" customHeight="1">
      <c r="A2102" s="1052" t="s">
        <v>359</v>
      </c>
      <c r="B2102" s="1089" t="s">
        <v>360</v>
      </c>
      <c r="C2102" s="1058" t="e">
        <f>VLOOKUP(B2101,'LƯƠNG KT'!$D$15:$U$94,3,0)</f>
        <v>#N/A</v>
      </c>
      <c r="D2102" s="1059" t="e">
        <f>+C2102*25000</f>
        <v>#N/A</v>
      </c>
      <c r="E2102" s="1060"/>
      <c r="F2102" s="1060"/>
      <c r="G2102" s="1052" t="s">
        <v>359</v>
      </c>
      <c r="H2102" s="1089" t="s">
        <v>360</v>
      </c>
      <c r="I2102" s="1058" t="e">
        <f>VLOOKUP(H2101,'LƯƠNG KT'!$D$15:$U$94,3,0)</f>
        <v>#N/A</v>
      </c>
      <c r="J2102" s="1059" t="e">
        <f>+I2102*25000</f>
        <v>#N/A</v>
      </c>
      <c r="K2102" s="1085"/>
      <c r="L2102" s="1085"/>
      <c r="M2102" s="1085"/>
      <c r="N2102" s="1085"/>
      <c r="O2102" s="1085"/>
    </row>
    <row r="2103" spans="1:15" ht="15" customHeight="1">
      <c r="A2103" s="1052" t="s">
        <v>361</v>
      </c>
      <c r="B2103" s="869" t="s">
        <v>362</v>
      </c>
      <c r="C2103" s="1058" t="e">
        <f>VLOOKUP(B2101,'LƯƠNG KT'!$D$15:$U$94,14,0)</f>
        <v>#N/A</v>
      </c>
      <c r="D2103" s="1059" t="e">
        <f>C2103*$L$4</f>
        <v>#N/A</v>
      </c>
      <c r="E2103" s="1061"/>
      <c r="F2103" s="1061"/>
      <c r="G2103" s="1052" t="s">
        <v>361</v>
      </c>
      <c r="H2103" s="869" t="s">
        <v>362</v>
      </c>
      <c r="I2103" s="1058" t="e">
        <f>VLOOKUP(H2101,'LƯƠNG KT'!$D$15:$U$94,14,0)</f>
        <v>#N/A</v>
      </c>
      <c r="J2103" s="1059" t="e">
        <f>I2103*$L$4</f>
        <v>#N/A</v>
      </c>
      <c r="K2103" s="1085"/>
      <c r="L2103" s="1085"/>
      <c r="M2103" s="1085"/>
      <c r="N2103" s="1085"/>
      <c r="O2103" s="1085"/>
    </row>
    <row r="2104" spans="1:15" ht="15" customHeight="1">
      <c r="A2104" s="1052" t="s">
        <v>364</v>
      </c>
      <c r="B2104" s="869" t="s">
        <v>365</v>
      </c>
      <c r="C2104" s="1058" t="e">
        <f>VLOOKUP(B2101,'LƯƠNG KT'!$D$15:$U$94,15,0)</f>
        <v>#N/A</v>
      </c>
      <c r="D2104" s="1059" t="e">
        <f>C2104*$L$5</f>
        <v>#N/A</v>
      </c>
      <c r="E2104" s="1061"/>
      <c r="F2104" s="1061"/>
      <c r="G2104" s="1052" t="s">
        <v>364</v>
      </c>
      <c r="H2104" s="869" t="s">
        <v>365</v>
      </c>
      <c r="I2104" s="1058" t="e">
        <f>VLOOKUP(H2101,'LƯƠNG KT'!$D$15:$U$94,15,0)</f>
        <v>#N/A</v>
      </c>
      <c r="J2104" s="1059" t="e">
        <f>I2104*$L$5</f>
        <v>#N/A</v>
      </c>
      <c r="K2104" s="1085"/>
      <c r="L2104" s="1085"/>
      <c r="M2104" s="1085"/>
      <c r="N2104" s="1085"/>
      <c r="O2104" s="1085"/>
    </row>
    <row r="2105" spans="1:15" ht="15" customHeight="1">
      <c r="A2105" s="1052" t="s">
        <v>367</v>
      </c>
      <c r="B2105" s="869"/>
      <c r="C2105" s="1058" t="e">
        <f>VLOOKUP(B2101,'LƯƠNG KT'!$D$15:$U$94,16,0)</f>
        <v>#N/A</v>
      </c>
      <c r="D2105" s="1059" t="e">
        <f>+C2105*$L$6</f>
        <v>#N/A</v>
      </c>
      <c r="E2105" s="1061"/>
      <c r="F2105" s="1061"/>
      <c r="G2105" s="1052" t="s">
        <v>367</v>
      </c>
      <c r="H2105" s="869"/>
      <c r="I2105" s="1058" t="e">
        <f>VLOOKUP(H2101,'LƯƠNG KT'!$D$15:$U$94,16,0)</f>
        <v>#N/A</v>
      </c>
      <c r="J2105" s="1059" t="e">
        <f>+I2105*$L$6</f>
        <v>#N/A</v>
      </c>
      <c r="K2105" s="1085"/>
      <c r="L2105" s="1085"/>
      <c r="M2105" s="1085"/>
      <c r="N2105" s="1085"/>
      <c r="O2105" s="1085"/>
    </row>
    <row r="2106" spans="1:15" ht="15" customHeight="1">
      <c r="A2106" s="1052" t="s">
        <v>371</v>
      </c>
      <c r="B2106" s="869" t="s">
        <v>372</v>
      </c>
      <c r="C2106" s="1058" t="e">
        <f>VLOOKUP(B2101,'LƯƠNG KT'!$D$15:$U$94,9,0)*$L$10</f>
        <v>#N/A</v>
      </c>
      <c r="D2106" s="1059" t="e">
        <f>+C2106*0.5*3000</f>
        <v>#N/A</v>
      </c>
      <c r="E2106" s="1061"/>
      <c r="F2106" s="1061"/>
      <c r="G2106" s="1052" t="s">
        <v>371</v>
      </c>
      <c r="H2106" s="869" t="s">
        <v>372</v>
      </c>
      <c r="I2106" s="1058" t="e">
        <f>VLOOKUP(H2101,'LƯƠNG KT'!$D$15:$U$94,9,0)*$L$10</f>
        <v>#N/A</v>
      </c>
      <c r="J2106" s="1059" t="e">
        <f>+I2106*0.5*3000</f>
        <v>#N/A</v>
      </c>
      <c r="K2106" s="1085"/>
      <c r="L2106" s="1085"/>
      <c r="M2106" s="1085"/>
      <c r="N2106" s="1085"/>
      <c r="O2106" s="1085"/>
    </row>
    <row r="2107" spans="1:15" ht="15" customHeight="1">
      <c r="A2107" s="1052" t="s">
        <v>374</v>
      </c>
      <c r="B2107" s="869" t="s">
        <v>375</v>
      </c>
      <c r="C2107" s="1058" t="e">
        <f>VLOOKUP(B2101,'LƯƠNG KT'!$D$15:$U$94,8,0)*$L$11</f>
        <v>#N/A</v>
      </c>
      <c r="D2107" s="1059" t="e">
        <f>VLOOKUP(B2101,'LƯƠNG KT'!$D$15:$U$94,13,0)-D2106</f>
        <v>#N/A</v>
      </c>
      <c r="E2107" s="1063"/>
      <c r="F2107" s="1061"/>
      <c r="G2107" s="1052" t="s">
        <v>374</v>
      </c>
      <c r="H2107" s="869" t="s">
        <v>375</v>
      </c>
      <c r="I2107" s="1058" t="e">
        <f>VLOOKUP(H2101,'LƯƠNG KT'!$D$15:$U$94,8,0)*$L$11</f>
        <v>#N/A</v>
      </c>
      <c r="J2107" s="1059" t="e">
        <f>VLOOKUP(H2101,'LƯƠNG KT'!$D$15:$U$94,13,0)-J2106</f>
        <v>#N/A</v>
      </c>
      <c r="K2107" s="1085"/>
      <c r="L2107" s="1085"/>
      <c r="M2107" s="1085"/>
      <c r="N2107" s="1085"/>
      <c r="O2107" s="1085"/>
    </row>
    <row r="2108" spans="1:15" ht="15" customHeight="1">
      <c r="A2108" s="1059" t="s">
        <v>377</v>
      </c>
      <c r="B2108" s="869" t="s">
        <v>378</v>
      </c>
      <c r="C2108" s="1058"/>
      <c r="D2108" s="1059"/>
      <c r="E2108" s="1065"/>
      <c r="F2108" s="1065"/>
      <c r="G2108" s="1059" t="s">
        <v>377</v>
      </c>
      <c r="H2108" s="869" t="s">
        <v>378</v>
      </c>
      <c r="I2108" s="1058"/>
      <c r="J2108" s="1059"/>
    </row>
    <row r="2109" spans="1:15" ht="15" customHeight="1">
      <c r="A2109" s="1066" t="s">
        <v>379</v>
      </c>
      <c r="B2109" s="869" t="s">
        <v>380</v>
      </c>
      <c r="C2109" s="1058"/>
      <c r="D2109" s="1059"/>
      <c r="E2109" s="1063"/>
      <c r="F2109" s="1065"/>
      <c r="G2109" s="1066" t="s">
        <v>379</v>
      </c>
      <c r="H2109" s="869" t="s">
        <v>380</v>
      </c>
      <c r="I2109" s="1058"/>
      <c r="J2109" s="1059"/>
    </row>
    <row r="2110" spans="1:15" ht="15" customHeight="1">
      <c r="A2110" s="1052" t="s">
        <v>381</v>
      </c>
      <c r="B2110" s="869" t="s">
        <v>382</v>
      </c>
      <c r="C2110" s="1058"/>
      <c r="D2110" s="1059">
        <f>D2109</f>
        <v>0</v>
      </c>
      <c r="E2110" s="1067"/>
      <c r="F2110" s="1051"/>
      <c r="G2110" s="1052" t="s">
        <v>381</v>
      </c>
      <c r="H2110" s="869" t="s">
        <v>382</v>
      </c>
      <c r="I2110" s="1058"/>
      <c r="J2110" s="1059">
        <f>J2109</f>
        <v>0</v>
      </c>
    </row>
    <row r="2111" spans="1:15" ht="15" customHeight="1">
      <c r="A2111" s="1068" t="s">
        <v>383</v>
      </c>
      <c r="B2111" s="1069" t="s">
        <v>384</v>
      </c>
      <c r="C2111" s="1070"/>
      <c r="D2111" s="1071" t="e">
        <f>SUM(D2102:D2107)-D2110</f>
        <v>#N/A</v>
      </c>
      <c r="E2111" s="1072"/>
      <c r="F2111" s="1073"/>
      <c r="G2111" s="1068" t="s">
        <v>383</v>
      </c>
      <c r="H2111" s="1069" t="s">
        <v>384</v>
      </c>
      <c r="I2111" s="1070"/>
      <c r="J2111" s="1071" t="e">
        <f>SUM(J2102:J2107)-J2110</f>
        <v>#N/A</v>
      </c>
    </row>
    <row r="2112" spans="1:15" ht="18.75" customHeight="1">
      <c r="A2112" s="1074"/>
      <c r="B2112" s="1075"/>
      <c r="C2112" s="1076"/>
      <c r="D2112" s="1077"/>
      <c r="E2112" s="1077"/>
      <c r="F2112" s="1078"/>
      <c r="G2112" s="1074"/>
      <c r="H2112" s="1075"/>
      <c r="I2112" s="1076"/>
      <c r="J2112" s="1077"/>
    </row>
    <row r="2113" spans="1:15" ht="18.75" customHeight="1">
      <c r="A2113" s="1075"/>
      <c r="B2113" s="1075"/>
      <c r="C2113" s="1079"/>
      <c r="D2113" s="1080"/>
      <c r="E2113" s="1075"/>
      <c r="F2113" s="1081"/>
      <c r="G2113" s="1075"/>
      <c r="H2113" s="1075"/>
      <c r="I2113" s="1079"/>
      <c r="J2113" s="1080"/>
    </row>
    <row r="2114" spans="1:15" ht="15" customHeight="1">
      <c r="A2114" s="2242" t="str">
        <f>$K$2</f>
        <v>THÁNG 09/2024</v>
      </c>
      <c r="B2114" s="2242"/>
      <c r="C2114" s="2242"/>
      <c r="D2114" s="2242"/>
      <c r="E2114" s="1050"/>
      <c r="F2114" s="1051"/>
      <c r="G2114" s="2242" t="str">
        <f>$K$2</f>
        <v>THÁNG 09/2024</v>
      </c>
      <c r="H2114" s="2242"/>
      <c r="I2114" s="2242"/>
      <c r="J2114" s="2242"/>
      <c r="K2114" s="624"/>
    </row>
    <row r="2115" spans="1:15" ht="15" customHeight="1">
      <c r="A2115" s="1052" t="s">
        <v>356</v>
      </c>
      <c r="B2115" s="1053" t="s">
        <v>184</v>
      </c>
      <c r="C2115" s="869"/>
      <c r="D2115" s="1049"/>
      <c r="E2115" s="1054"/>
      <c r="F2115" s="1055"/>
      <c r="G2115" s="1052" t="s">
        <v>356</v>
      </c>
      <c r="H2115" s="1053" t="s">
        <v>185</v>
      </c>
      <c r="I2115" s="869"/>
      <c r="J2115" s="1049"/>
      <c r="L2115" s="1088"/>
      <c r="M2115" s="1088"/>
      <c r="N2115" s="1088"/>
      <c r="O2115" s="1088"/>
    </row>
    <row r="2116" spans="1:15" ht="15" customHeight="1">
      <c r="A2116" s="1052" t="s">
        <v>359</v>
      </c>
      <c r="B2116" s="1089" t="s">
        <v>360</v>
      </c>
      <c r="C2116" s="1058" t="e">
        <f>VLOOKUP(B2115,'LƯƠNG KT'!$D$15:$U$94,3,0)</f>
        <v>#N/A</v>
      </c>
      <c r="D2116" s="1059" t="e">
        <f>+C2116*25000</f>
        <v>#N/A</v>
      </c>
      <c r="E2116" s="1060"/>
      <c r="F2116" s="1060"/>
      <c r="G2116" s="1052" t="s">
        <v>359</v>
      </c>
      <c r="H2116" s="1089" t="s">
        <v>360</v>
      </c>
      <c r="I2116" s="1058" t="e">
        <f>VLOOKUP(H2115,'LƯƠNG KT'!$D$15:$U$94,3,0)</f>
        <v>#N/A</v>
      </c>
      <c r="J2116" s="1059" t="e">
        <f>+I2116*25000</f>
        <v>#N/A</v>
      </c>
      <c r="K2116" s="1085"/>
      <c r="L2116" s="1085"/>
      <c r="M2116" s="1085"/>
      <c r="N2116" s="1085"/>
      <c r="O2116" s="1085"/>
    </row>
    <row r="2117" spans="1:15" ht="15" customHeight="1">
      <c r="A2117" s="1052" t="s">
        <v>361</v>
      </c>
      <c r="B2117" s="869" t="s">
        <v>362</v>
      </c>
      <c r="C2117" s="1058" t="e">
        <f>VLOOKUP(B2115,'LƯƠNG KT'!$D$15:$U$94,14,0)</f>
        <v>#N/A</v>
      </c>
      <c r="D2117" s="1059" t="e">
        <f>C2117*$L$4</f>
        <v>#N/A</v>
      </c>
      <c r="E2117" s="1061"/>
      <c r="F2117" s="1061"/>
      <c r="G2117" s="1052" t="s">
        <v>361</v>
      </c>
      <c r="H2117" s="869" t="s">
        <v>362</v>
      </c>
      <c r="I2117" s="1058" t="e">
        <f>VLOOKUP(H2115,'LƯƠNG KT'!$D$15:$U$94,14,0)</f>
        <v>#N/A</v>
      </c>
      <c r="J2117" s="1059" t="e">
        <f>I2117*$L$4</f>
        <v>#N/A</v>
      </c>
      <c r="K2117" s="1085"/>
      <c r="L2117" s="1085"/>
      <c r="M2117" s="1085"/>
      <c r="N2117" s="1085"/>
      <c r="O2117" s="1085"/>
    </row>
    <row r="2118" spans="1:15" ht="15" customHeight="1">
      <c r="A2118" s="1052" t="s">
        <v>364</v>
      </c>
      <c r="B2118" s="869" t="s">
        <v>365</v>
      </c>
      <c r="C2118" s="1058" t="e">
        <f>VLOOKUP(B2115,'LƯƠNG KT'!$D$15:$U$94,15,0)</f>
        <v>#N/A</v>
      </c>
      <c r="D2118" s="1059" t="e">
        <f>C2118*$L$5</f>
        <v>#N/A</v>
      </c>
      <c r="E2118" s="1061"/>
      <c r="F2118" s="1061"/>
      <c r="G2118" s="1052" t="s">
        <v>364</v>
      </c>
      <c r="H2118" s="869" t="s">
        <v>365</v>
      </c>
      <c r="I2118" s="1058" t="e">
        <f>VLOOKUP(H2115,'LƯƠNG KT'!$D$15:$U$94,15,0)</f>
        <v>#N/A</v>
      </c>
      <c r="J2118" s="1059" t="e">
        <f>I2118*$L$5</f>
        <v>#N/A</v>
      </c>
      <c r="K2118" s="1085"/>
      <c r="L2118" s="1085"/>
      <c r="M2118" s="1085"/>
      <c r="N2118" s="1085"/>
      <c r="O2118" s="1085"/>
    </row>
    <row r="2119" spans="1:15" ht="15" customHeight="1">
      <c r="A2119" s="1052" t="s">
        <v>367</v>
      </c>
      <c r="B2119" s="869"/>
      <c r="C2119" s="1058" t="e">
        <f>VLOOKUP(B2115,'LƯƠNG KT'!$D$15:$U$94,16,0)</f>
        <v>#N/A</v>
      </c>
      <c r="D2119" s="1059" t="e">
        <f>+C2119*$L$6</f>
        <v>#N/A</v>
      </c>
      <c r="E2119" s="1061"/>
      <c r="F2119" s="1061"/>
      <c r="G2119" s="1052" t="s">
        <v>367</v>
      </c>
      <c r="H2119" s="869"/>
      <c r="I2119" s="1058" t="e">
        <f>VLOOKUP(H2115,'LƯƠNG KT'!$D$15:$U$94,16,0)</f>
        <v>#N/A</v>
      </c>
      <c r="J2119" s="1059" t="e">
        <f>+I2119*$L$6</f>
        <v>#N/A</v>
      </c>
      <c r="K2119" s="1085"/>
      <c r="L2119" s="1085"/>
      <c r="M2119" s="1085"/>
      <c r="N2119" s="1085"/>
      <c r="O2119" s="1085"/>
    </row>
    <row r="2120" spans="1:15" ht="15" customHeight="1">
      <c r="A2120" s="1052" t="s">
        <v>371</v>
      </c>
      <c r="B2120" s="869" t="s">
        <v>372</v>
      </c>
      <c r="C2120" s="1058" t="e">
        <f>VLOOKUP(B2115,'LƯƠNG KT'!$D$15:$U$94,9,0)*$L$10</f>
        <v>#N/A</v>
      </c>
      <c r="D2120" s="1059" t="e">
        <f>+C2120*0.5*3000</f>
        <v>#N/A</v>
      </c>
      <c r="E2120" s="1061"/>
      <c r="F2120" s="1061"/>
      <c r="G2120" s="1052" t="s">
        <v>371</v>
      </c>
      <c r="H2120" s="869" t="s">
        <v>372</v>
      </c>
      <c r="I2120" s="1058" t="e">
        <f>VLOOKUP(H2115,'LƯƠNG KT'!$D$15:$U$94,9,0)*$L$10</f>
        <v>#N/A</v>
      </c>
      <c r="J2120" s="1059" t="e">
        <f>+I2120*0.5*3000</f>
        <v>#N/A</v>
      </c>
      <c r="K2120" s="1085"/>
      <c r="L2120" s="1085"/>
      <c r="M2120" s="1085"/>
      <c r="N2120" s="1085"/>
      <c r="O2120" s="1085"/>
    </row>
    <row r="2121" spans="1:15" ht="15" customHeight="1">
      <c r="A2121" s="1052" t="s">
        <v>374</v>
      </c>
      <c r="B2121" s="869" t="s">
        <v>375</v>
      </c>
      <c r="C2121" s="1058" t="e">
        <f>VLOOKUP(B2115,'LƯƠNG KT'!$D$15:$U$94,8,0)*$L$11</f>
        <v>#N/A</v>
      </c>
      <c r="D2121" s="1059" t="e">
        <f>VLOOKUP(B2115,'LƯƠNG KT'!$D$15:$U$94,13,0)-D2120</f>
        <v>#N/A</v>
      </c>
      <c r="E2121" s="1063"/>
      <c r="F2121" s="1061"/>
      <c r="G2121" s="1052" t="s">
        <v>374</v>
      </c>
      <c r="H2121" s="869" t="s">
        <v>375</v>
      </c>
      <c r="I2121" s="1058" t="e">
        <f>VLOOKUP(H2115,'LƯƠNG KT'!$D$15:$U$94,8,0)*$L$11</f>
        <v>#N/A</v>
      </c>
      <c r="J2121" s="1059" t="e">
        <f>VLOOKUP(H2115,'LƯƠNG KT'!$D$15:$U$94,13,0)-J2120</f>
        <v>#N/A</v>
      </c>
      <c r="K2121" s="1085"/>
      <c r="L2121" s="1085"/>
      <c r="M2121" s="1085"/>
      <c r="N2121" s="1085"/>
      <c r="O2121" s="1085"/>
    </row>
    <row r="2122" spans="1:15" ht="15" customHeight="1">
      <c r="A2122" s="1059" t="s">
        <v>377</v>
      </c>
      <c r="B2122" s="869" t="s">
        <v>378</v>
      </c>
      <c r="C2122" s="1058"/>
      <c r="D2122" s="1059"/>
      <c r="E2122" s="1065"/>
      <c r="F2122" s="1065"/>
      <c r="G2122" s="1059" t="s">
        <v>377</v>
      </c>
      <c r="H2122" s="869" t="s">
        <v>378</v>
      </c>
      <c r="I2122" s="1058"/>
      <c r="J2122" s="1059"/>
    </row>
    <row r="2123" spans="1:15" ht="15" customHeight="1">
      <c r="A2123" s="1066" t="s">
        <v>379</v>
      </c>
      <c r="B2123" s="869" t="s">
        <v>380</v>
      </c>
      <c r="C2123" s="1058"/>
      <c r="D2123" s="1059"/>
      <c r="E2123" s="1063"/>
      <c r="F2123" s="1065"/>
      <c r="G2123" s="1066" t="s">
        <v>379</v>
      </c>
      <c r="H2123" s="869" t="s">
        <v>380</v>
      </c>
      <c r="I2123" s="1058"/>
      <c r="J2123" s="1059"/>
    </row>
    <row r="2124" spans="1:15" ht="15" customHeight="1">
      <c r="A2124" s="1052" t="s">
        <v>381</v>
      </c>
      <c r="B2124" s="869" t="s">
        <v>382</v>
      </c>
      <c r="C2124" s="1058"/>
      <c r="D2124" s="1059">
        <f>D2123</f>
        <v>0</v>
      </c>
      <c r="E2124" s="1067"/>
      <c r="F2124" s="1051"/>
      <c r="G2124" s="1052" t="s">
        <v>381</v>
      </c>
      <c r="H2124" s="869" t="s">
        <v>382</v>
      </c>
      <c r="I2124" s="1058"/>
      <c r="J2124" s="1059">
        <f>J2123</f>
        <v>0</v>
      </c>
    </row>
    <row r="2125" spans="1:15" ht="15" customHeight="1">
      <c r="A2125" s="1068" t="s">
        <v>383</v>
      </c>
      <c r="B2125" s="1069" t="s">
        <v>384</v>
      </c>
      <c r="C2125" s="1070"/>
      <c r="D2125" s="1071" t="e">
        <f>SUM(D2116:D2121)-D2124</f>
        <v>#N/A</v>
      </c>
      <c r="E2125" s="1072"/>
      <c r="F2125" s="1073"/>
      <c r="G2125" s="1068" t="s">
        <v>383</v>
      </c>
      <c r="H2125" s="1069" t="s">
        <v>384</v>
      </c>
      <c r="I2125" s="1070"/>
      <c r="J2125" s="1071" t="e">
        <f>SUM(J2116:J2121)-J2124</f>
        <v>#N/A</v>
      </c>
    </row>
    <row r="2126" spans="1:15" ht="15.75" customHeight="1">
      <c r="A2126" s="1074"/>
      <c r="B2126" s="1075"/>
      <c r="C2126" s="1076"/>
      <c r="D2126" s="1077"/>
      <c r="E2126" s="1077"/>
      <c r="F2126" s="1078"/>
      <c r="G2126" s="1074"/>
      <c r="H2126" s="1075"/>
      <c r="I2126" s="1076"/>
      <c r="J2126" s="1077"/>
    </row>
    <row r="2128" spans="1:15" ht="12" customHeight="1">
      <c r="A2128" s="2243"/>
      <c r="B2128" s="2243"/>
      <c r="C2128" s="2243"/>
      <c r="D2128" s="2243"/>
      <c r="E2128" s="2243"/>
      <c r="F2128" s="2243"/>
      <c r="G2128" s="2243"/>
      <c r="H2128" s="2243"/>
      <c r="I2128" s="2243"/>
      <c r="J2128" s="2243"/>
    </row>
    <row r="2129" spans="1:15" ht="15" customHeight="1">
      <c r="A2129" s="2242" t="str">
        <f>$K$2</f>
        <v>THÁNG 09/2024</v>
      </c>
      <c r="B2129" s="2242"/>
      <c r="C2129" s="2242"/>
      <c r="D2129" s="2242"/>
      <c r="E2129" s="1050"/>
      <c r="F2129" s="1051"/>
      <c r="G2129" s="2242" t="str">
        <f>$K$2</f>
        <v>THÁNG 09/2024</v>
      </c>
      <c r="H2129" s="2242"/>
      <c r="I2129" s="2242"/>
      <c r="J2129" s="2242"/>
      <c r="K2129" s="624"/>
    </row>
    <row r="2130" spans="1:15" ht="15" customHeight="1">
      <c r="A2130" s="1052" t="s">
        <v>356</v>
      </c>
      <c r="B2130" s="1053" t="s">
        <v>186</v>
      </c>
      <c r="C2130" s="869"/>
      <c r="D2130" s="1049"/>
      <c r="E2130" s="1054"/>
      <c r="F2130" s="1055"/>
      <c r="G2130" s="1052" t="s">
        <v>356</v>
      </c>
      <c r="H2130" s="1053" t="s">
        <v>187</v>
      </c>
      <c r="I2130" s="869"/>
      <c r="J2130" s="1049"/>
      <c r="L2130" s="1088"/>
      <c r="M2130" s="1088"/>
      <c r="N2130" s="1088"/>
      <c r="O2130" s="1088"/>
    </row>
    <row r="2131" spans="1:15" ht="15" customHeight="1">
      <c r="A2131" s="1052" t="s">
        <v>359</v>
      </c>
      <c r="B2131" s="1089" t="s">
        <v>360</v>
      </c>
      <c r="C2131" s="1058" t="e">
        <f>VLOOKUP(B2130,'LƯƠNG KT'!$D$15:$U$94,3,0)</f>
        <v>#N/A</v>
      </c>
      <c r="D2131" s="1059" t="e">
        <f>+C2131*25000</f>
        <v>#N/A</v>
      </c>
      <c r="E2131" s="1060"/>
      <c r="F2131" s="1060"/>
      <c r="G2131" s="1052" t="s">
        <v>359</v>
      </c>
      <c r="H2131" s="1089" t="s">
        <v>360</v>
      </c>
      <c r="I2131" s="1058" t="e">
        <f>VLOOKUP(H2130,'LƯƠNG KT'!$D$15:$U$94,3,0)</f>
        <v>#N/A</v>
      </c>
      <c r="J2131" s="1059" t="e">
        <f>+I2131*25000</f>
        <v>#N/A</v>
      </c>
      <c r="K2131" s="1084"/>
      <c r="L2131" s="1085"/>
      <c r="M2131" s="1085"/>
      <c r="N2131" s="1085"/>
      <c r="O2131" s="1085"/>
    </row>
    <row r="2132" spans="1:15" ht="15" customHeight="1">
      <c r="A2132" s="1052" t="s">
        <v>361</v>
      </c>
      <c r="B2132" s="869" t="s">
        <v>362</v>
      </c>
      <c r="C2132" s="1058" t="e">
        <f>VLOOKUP(B2130,'LƯƠNG KT'!$D$15:$U$94,14,0)</f>
        <v>#N/A</v>
      </c>
      <c r="D2132" s="1059" t="e">
        <f>C2132*$L$4</f>
        <v>#N/A</v>
      </c>
      <c r="E2132" s="1061"/>
      <c r="F2132" s="1061"/>
      <c r="G2132" s="1052" t="s">
        <v>361</v>
      </c>
      <c r="H2132" s="869" t="s">
        <v>362</v>
      </c>
      <c r="I2132" s="1058" t="e">
        <f>VLOOKUP(H2130,'LƯƠNG KT'!$D$15:$U$94,14,0)</f>
        <v>#N/A</v>
      </c>
      <c r="J2132" s="1059" t="e">
        <f>I2132*$L$4</f>
        <v>#N/A</v>
      </c>
      <c r="K2132" s="1084"/>
      <c r="L2132" s="1085"/>
      <c r="M2132" s="1085"/>
      <c r="N2132" s="1085"/>
      <c r="O2132" s="1085"/>
    </row>
    <row r="2133" spans="1:15" ht="15" customHeight="1">
      <c r="A2133" s="1052" t="s">
        <v>364</v>
      </c>
      <c r="B2133" s="869" t="s">
        <v>365</v>
      </c>
      <c r="C2133" s="1058" t="e">
        <f>VLOOKUP(B2130,'LƯƠNG KT'!$D$15:$U$94,15,0)</f>
        <v>#N/A</v>
      </c>
      <c r="D2133" s="1059" t="e">
        <f>C2133*$L$5</f>
        <v>#N/A</v>
      </c>
      <c r="E2133" s="1061"/>
      <c r="F2133" s="1061"/>
      <c r="G2133" s="1052" t="s">
        <v>364</v>
      </c>
      <c r="H2133" s="869" t="s">
        <v>365</v>
      </c>
      <c r="I2133" s="1058" t="e">
        <f>VLOOKUP(H2130,'LƯƠNG KT'!$D$15:$U$94,15,0)</f>
        <v>#N/A</v>
      </c>
      <c r="J2133" s="1059" t="e">
        <f>I2133*$L$5</f>
        <v>#N/A</v>
      </c>
      <c r="K2133" s="1084"/>
      <c r="L2133" s="1085"/>
      <c r="M2133" s="1085"/>
      <c r="N2133" s="1085"/>
      <c r="O2133" s="1085"/>
    </row>
    <row r="2134" spans="1:15" ht="15" customHeight="1">
      <c r="A2134" s="1052" t="s">
        <v>367</v>
      </c>
      <c r="B2134" s="869"/>
      <c r="C2134" s="1058" t="e">
        <f>VLOOKUP(B2130,'LƯƠNG KT'!$D$15:$U$94,16,0)</f>
        <v>#N/A</v>
      </c>
      <c r="D2134" s="1059" t="e">
        <f>+C2134*$L$6</f>
        <v>#N/A</v>
      </c>
      <c r="E2134" s="1061"/>
      <c r="F2134" s="1061"/>
      <c r="G2134" s="1052" t="s">
        <v>367</v>
      </c>
      <c r="H2134" s="869"/>
      <c r="I2134" s="1058" t="e">
        <f>VLOOKUP(H2130,'LƯƠNG KT'!$D$15:$U$94,16,0)</f>
        <v>#N/A</v>
      </c>
      <c r="J2134" s="1059" t="e">
        <f>+I2134*$L$6</f>
        <v>#N/A</v>
      </c>
      <c r="K2134" s="1085"/>
      <c r="L2134" s="1085"/>
      <c r="M2134" s="1085"/>
      <c r="N2134" s="1085"/>
      <c r="O2134" s="1085"/>
    </row>
    <row r="2135" spans="1:15" ht="15" customHeight="1">
      <c r="A2135" s="1052" t="s">
        <v>371</v>
      </c>
      <c r="B2135" s="869" t="s">
        <v>372</v>
      </c>
      <c r="C2135" s="1058" t="e">
        <f>VLOOKUP(B2130,'LƯƠNG KT'!$D$15:$U$94,9,0)*$L$10</f>
        <v>#N/A</v>
      </c>
      <c r="D2135" s="1059" t="e">
        <f>+C2135*0.5*3000</f>
        <v>#N/A</v>
      </c>
      <c r="E2135" s="1061"/>
      <c r="F2135" s="1061"/>
      <c r="G2135" s="1052" t="s">
        <v>371</v>
      </c>
      <c r="H2135" s="869" t="s">
        <v>372</v>
      </c>
      <c r="I2135" s="1058" t="e">
        <f>VLOOKUP(H2130,'LƯƠNG KT'!$D$15:$U$94,9,0)*$L$10</f>
        <v>#N/A</v>
      </c>
      <c r="J2135" s="1059" t="e">
        <f>+I2135*0.5*3000</f>
        <v>#N/A</v>
      </c>
      <c r="K2135" s="1085"/>
      <c r="L2135" s="1085"/>
      <c r="M2135" s="1085"/>
      <c r="N2135" s="1085"/>
      <c r="O2135" s="1085"/>
    </row>
    <row r="2136" spans="1:15" ht="15" customHeight="1">
      <c r="A2136" s="1052" t="s">
        <v>374</v>
      </c>
      <c r="B2136" s="869" t="s">
        <v>375</v>
      </c>
      <c r="C2136" s="1058" t="e">
        <f>VLOOKUP(B2130,'LƯƠNG KT'!$D$15:$U$94,8,0)*$L$11</f>
        <v>#N/A</v>
      </c>
      <c r="D2136" s="1059" t="e">
        <f>VLOOKUP(B2130,'LƯƠNG KT'!$D$15:$U$94,13,0)-D2135</f>
        <v>#N/A</v>
      </c>
      <c r="E2136" s="1063"/>
      <c r="F2136" s="1061"/>
      <c r="G2136" s="1052" t="s">
        <v>374</v>
      </c>
      <c r="H2136" s="869" t="s">
        <v>375</v>
      </c>
      <c r="I2136" s="1058" t="e">
        <f>VLOOKUP(H2130,'LƯƠNG KT'!$D$15:$U$94,8,0)*$L$11</f>
        <v>#N/A</v>
      </c>
      <c r="J2136" s="1059" t="e">
        <f>VLOOKUP(H2130,'LƯƠNG KT'!$D$15:$U$94,13,0)-J2135</f>
        <v>#N/A</v>
      </c>
      <c r="K2136" s="1085"/>
      <c r="L2136" s="1085"/>
      <c r="M2136" s="1085"/>
      <c r="N2136" s="1085"/>
      <c r="O2136" s="1085"/>
    </row>
    <row r="2137" spans="1:15" ht="15" customHeight="1">
      <c r="A2137" s="1059" t="s">
        <v>377</v>
      </c>
      <c r="B2137" s="869" t="s">
        <v>378</v>
      </c>
      <c r="C2137" s="1058"/>
      <c r="D2137" s="1059"/>
      <c r="E2137" s="1065"/>
      <c r="F2137" s="1065"/>
      <c r="G2137" s="1059" t="s">
        <v>377</v>
      </c>
      <c r="H2137" s="869" t="s">
        <v>378</v>
      </c>
      <c r="I2137" s="1058"/>
      <c r="J2137" s="1059"/>
    </row>
    <row r="2138" spans="1:15" ht="15" customHeight="1">
      <c r="A2138" s="1066" t="s">
        <v>379</v>
      </c>
      <c r="B2138" s="869" t="s">
        <v>380</v>
      </c>
      <c r="C2138" s="1058"/>
      <c r="D2138" s="1059"/>
      <c r="E2138" s="1063"/>
      <c r="F2138" s="1065"/>
      <c r="G2138" s="1066" t="s">
        <v>379</v>
      </c>
      <c r="H2138" s="869" t="s">
        <v>380</v>
      </c>
      <c r="I2138" s="1058"/>
      <c r="J2138" s="1059"/>
    </row>
    <row r="2139" spans="1:15" ht="15" customHeight="1">
      <c r="A2139" s="1052" t="s">
        <v>381</v>
      </c>
      <c r="B2139" s="869" t="s">
        <v>382</v>
      </c>
      <c r="C2139" s="1058"/>
      <c r="D2139" s="1059">
        <f>D2138</f>
        <v>0</v>
      </c>
      <c r="E2139" s="1067"/>
      <c r="F2139" s="1051"/>
      <c r="G2139" s="1052" t="s">
        <v>381</v>
      </c>
      <c r="H2139" s="869" t="s">
        <v>382</v>
      </c>
      <c r="I2139" s="1058"/>
      <c r="J2139" s="1059">
        <f>J2138</f>
        <v>0</v>
      </c>
    </row>
    <row r="2140" spans="1:15" ht="15" customHeight="1">
      <c r="A2140" s="1068" t="s">
        <v>383</v>
      </c>
      <c r="B2140" s="1069" t="s">
        <v>384</v>
      </c>
      <c r="C2140" s="1070"/>
      <c r="D2140" s="1071" t="e">
        <f>SUM(D2131:D2136)-D2139</f>
        <v>#N/A</v>
      </c>
      <c r="E2140" s="1072"/>
      <c r="F2140" s="1073"/>
      <c r="G2140" s="1068" t="s">
        <v>383</v>
      </c>
      <c r="H2140" s="1069" t="s">
        <v>384</v>
      </c>
      <c r="I2140" s="1070"/>
      <c r="J2140" s="1071" t="e">
        <f>SUM(J2131:J2136)-J2139</f>
        <v>#N/A</v>
      </c>
    </row>
    <row r="2141" spans="1:15" ht="12.6" customHeight="1">
      <c r="A2141" s="1074"/>
      <c r="B2141" s="1075"/>
      <c r="C2141" s="1076"/>
      <c r="D2141" s="1077"/>
      <c r="E2141" s="1077"/>
      <c r="F2141" s="1078"/>
      <c r="G2141" s="1074"/>
      <c r="H2141" s="1075"/>
      <c r="I2141" s="1076"/>
      <c r="J2141" s="1077"/>
    </row>
    <row r="2142" spans="1:15" ht="12.6" customHeight="1">
      <c r="A2142" s="1075"/>
      <c r="B2142" s="1075"/>
      <c r="C2142" s="1079"/>
      <c r="D2142" s="1080"/>
      <c r="E2142" s="1075"/>
      <c r="F2142" s="1081"/>
      <c r="G2142" s="1075"/>
      <c r="H2142" s="1075"/>
      <c r="I2142" s="1079"/>
      <c r="J2142" s="1080"/>
    </row>
    <row r="2143" spans="1:15" ht="15" customHeight="1">
      <c r="A2143" s="2242" t="str">
        <f>$K$2</f>
        <v>THÁNG 09/2024</v>
      </c>
      <c r="B2143" s="2242"/>
      <c r="C2143" s="2242"/>
      <c r="D2143" s="2242"/>
      <c r="E2143" s="1050"/>
      <c r="F2143" s="1051"/>
      <c r="G2143" s="2242" t="str">
        <f>$K$2</f>
        <v>THÁNG 09/2024</v>
      </c>
      <c r="H2143" s="2242"/>
      <c r="I2143" s="2242"/>
      <c r="J2143" s="2242"/>
      <c r="K2143" s="624"/>
    </row>
    <row r="2144" spans="1:15" ht="15" customHeight="1">
      <c r="A2144" s="1052" t="s">
        <v>356</v>
      </c>
      <c r="B2144" s="1053" t="s">
        <v>188</v>
      </c>
      <c r="C2144" s="869"/>
      <c r="D2144" s="1049"/>
      <c r="E2144" s="1054"/>
      <c r="F2144" s="1055"/>
      <c r="G2144" s="1052" t="s">
        <v>356</v>
      </c>
      <c r="H2144" s="1053" t="s">
        <v>189</v>
      </c>
      <c r="I2144" s="869"/>
      <c r="J2144" s="1049"/>
      <c r="L2144" s="1088"/>
      <c r="M2144" s="1088"/>
      <c r="N2144" s="1088"/>
      <c r="O2144" s="1088"/>
    </row>
    <row r="2145" spans="1:15" ht="15" customHeight="1">
      <c r="A2145" s="1052" t="s">
        <v>359</v>
      </c>
      <c r="B2145" s="1089" t="s">
        <v>360</v>
      </c>
      <c r="C2145" s="1058" t="e">
        <f>VLOOKUP(B2144,'LƯƠNG KT'!$D$15:$U$94,3,0)</f>
        <v>#N/A</v>
      </c>
      <c r="D2145" s="1059" t="e">
        <f>+C2145*25000</f>
        <v>#N/A</v>
      </c>
      <c r="E2145" s="1060"/>
      <c r="F2145" s="1060"/>
      <c r="G2145" s="1052" t="s">
        <v>359</v>
      </c>
      <c r="H2145" s="1089" t="s">
        <v>360</v>
      </c>
      <c r="I2145" s="1058" t="e">
        <f>VLOOKUP(H2144,'LƯƠNG KT'!$D$15:$U$94,3,0)</f>
        <v>#N/A</v>
      </c>
      <c r="J2145" s="1059" t="e">
        <f>+I2145*25000</f>
        <v>#N/A</v>
      </c>
      <c r="K2145" s="1085"/>
      <c r="L2145" s="1085"/>
      <c r="M2145" s="1085"/>
      <c r="N2145" s="1085"/>
      <c r="O2145" s="1085"/>
    </row>
    <row r="2146" spans="1:15" ht="15" customHeight="1">
      <c r="A2146" s="1052" t="s">
        <v>361</v>
      </c>
      <c r="B2146" s="869" t="s">
        <v>362</v>
      </c>
      <c r="C2146" s="1058" t="e">
        <f>VLOOKUP(B2144,'LƯƠNG KT'!$D$15:$U$94,14,0)</f>
        <v>#N/A</v>
      </c>
      <c r="D2146" s="1059" t="e">
        <f>C2146*$L$4</f>
        <v>#N/A</v>
      </c>
      <c r="E2146" s="1061"/>
      <c r="F2146" s="1061"/>
      <c r="G2146" s="1052" t="s">
        <v>361</v>
      </c>
      <c r="H2146" s="869" t="s">
        <v>362</v>
      </c>
      <c r="I2146" s="1058" t="e">
        <f>VLOOKUP(H2144,'LƯƠNG KT'!$D$15:$U$94,14,0)</f>
        <v>#N/A</v>
      </c>
      <c r="J2146" s="1059" t="e">
        <f>I2146*$L$4</f>
        <v>#N/A</v>
      </c>
      <c r="K2146" s="1085"/>
      <c r="L2146" s="1085"/>
      <c r="M2146" s="1085"/>
      <c r="N2146" s="1085"/>
      <c r="O2146" s="1085"/>
    </row>
    <row r="2147" spans="1:15" ht="15" customHeight="1">
      <c r="A2147" s="1052" t="s">
        <v>364</v>
      </c>
      <c r="B2147" s="869" t="s">
        <v>365</v>
      </c>
      <c r="C2147" s="1058" t="e">
        <f>VLOOKUP(B2144,'LƯƠNG KT'!$D$15:$U$94,15,0)</f>
        <v>#N/A</v>
      </c>
      <c r="D2147" s="1059" t="e">
        <f>C2147*$L$5</f>
        <v>#N/A</v>
      </c>
      <c r="E2147" s="1061"/>
      <c r="F2147" s="1061"/>
      <c r="G2147" s="1052" t="s">
        <v>364</v>
      </c>
      <c r="H2147" s="869" t="s">
        <v>365</v>
      </c>
      <c r="I2147" s="1058" t="e">
        <f>VLOOKUP(H2144,'LƯƠNG KT'!$D$15:$U$94,15,0)</f>
        <v>#N/A</v>
      </c>
      <c r="J2147" s="1059" t="e">
        <f>I2147*$L$5</f>
        <v>#N/A</v>
      </c>
      <c r="K2147" s="1085"/>
      <c r="L2147" s="1085"/>
      <c r="M2147" s="1085"/>
      <c r="N2147" s="1085"/>
      <c r="O2147" s="1085"/>
    </row>
    <row r="2148" spans="1:15" ht="15" customHeight="1">
      <c r="A2148" s="1052" t="s">
        <v>367</v>
      </c>
      <c r="B2148" s="869"/>
      <c r="C2148" s="1058" t="e">
        <f>VLOOKUP(B2144,'LƯƠNG KT'!$D$15:$U$94,16,0)</f>
        <v>#N/A</v>
      </c>
      <c r="D2148" s="1059" t="e">
        <f>+C2148*$L$6</f>
        <v>#N/A</v>
      </c>
      <c r="E2148" s="1061"/>
      <c r="F2148" s="1061"/>
      <c r="G2148" s="1052" t="s">
        <v>367</v>
      </c>
      <c r="H2148" s="869"/>
      <c r="I2148" s="1058" t="e">
        <f>VLOOKUP(H2144,'LƯƠNG KT'!$D$15:$U$94,16,0)</f>
        <v>#N/A</v>
      </c>
      <c r="J2148" s="1059" t="e">
        <f>+I2148*$L$6</f>
        <v>#N/A</v>
      </c>
      <c r="K2148" s="1085"/>
      <c r="L2148" s="1085"/>
      <c r="M2148" s="1085"/>
      <c r="N2148" s="1085"/>
      <c r="O2148" s="1085"/>
    </row>
    <row r="2149" spans="1:15" ht="15" customHeight="1">
      <c r="A2149" s="1052" t="s">
        <v>371</v>
      </c>
      <c r="B2149" s="869" t="s">
        <v>372</v>
      </c>
      <c r="C2149" s="1058" t="e">
        <f>VLOOKUP(B2144,'LƯƠNG KT'!$D$15:$U$94,9,0)*$L$10</f>
        <v>#N/A</v>
      </c>
      <c r="D2149" s="1059" t="e">
        <f>+C2149*0.5*3000</f>
        <v>#N/A</v>
      </c>
      <c r="E2149" s="1061"/>
      <c r="F2149" s="1061"/>
      <c r="G2149" s="1052" t="s">
        <v>371</v>
      </c>
      <c r="H2149" s="869" t="s">
        <v>372</v>
      </c>
      <c r="I2149" s="1058" t="e">
        <f>VLOOKUP(H2144,'LƯƠNG KT'!$D$15:$U$94,9,0)*$L$10</f>
        <v>#N/A</v>
      </c>
      <c r="J2149" s="1059" t="e">
        <f>+I2149*0.5*3000</f>
        <v>#N/A</v>
      </c>
      <c r="K2149" s="1085"/>
      <c r="L2149" s="1085"/>
      <c r="M2149" s="1085"/>
      <c r="N2149" s="1085"/>
      <c r="O2149" s="1085"/>
    </row>
    <row r="2150" spans="1:15" ht="15" customHeight="1">
      <c r="A2150" s="1052" t="s">
        <v>374</v>
      </c>
      <c r="B2150" s="869" t="s">
        <v>375</v>
      </c>
      <c r="C2150" s="1058" t="e">
        <f>VLOOKUP(B2144,'LƯƠNG KT'!$D$15:$U$94,8,0)*$L$11</f>
        <v>#N/A</v>
      </c>
      <c r="D2150" s="1059" t="e">
        <f>VLOOKUP(B2144,'LƯƠNG KT'!$D$15:$U$94,13,0)-D2149</f>
        <v>#N/A</v>
      </c>
      <c r="E2150" s="1063"/>
      <c r="F2150" s="1061"/>
      <c r="G2150" s="1052" t="s">
        <v>374</v>
      </c>
      <c r="H2150" s="869" t="s">
        <v>375</v>
      </c>
      <c r="I2150" s="1058" t="e">
        <f>VLOOKUP(H2144,'LƯƠNG KT'!$D$15:$U$94,8,0)*$L$11</f>
        <v>#N/A</v>
      </c>
      <c r="J2150" s="1059" t="e">
        <f>VLOOKUP(H2144,'LƯƠNG KT'!$D$15:$U$94,13,0)-J2149</f>
        <v>#N/A</v>
      </c>
      <c r="K2150" s="1085"/>
      <c r="L2150" s="1085"/>
      <c r="M2150" s="1085"/>
      <c r="N2150" s="1085"/>
      <c r="O2150" s="1085"/>
    </row>
    <row r="2151" spans="1:15" ht="15" customHeight="1">
      <c r="A2151" s="1059" t="s">
        <v>377</v>
      </c>
      <c r="B2151" s="869" t="s">
        <v>378</v>
      </c>
      <c r="C2151" s="1058"/>
      <c r="D2151" s="1059"/>
      <c r="E2151" s="1065"/>
      <c r="F2151" s="1065"/>
      <c r="G2151" s="1059" t="s">
        <v>377</v>
      </c>
      <c r="H2151" s="869" t="s">
        <v>378</v>
      </c>
      <c r="I2151" s="1058"/>
      <c r="J2151" s="1059"/>
    </row>
    <row r="2152" spans="1:15" ht="15" customHeight="1">
      <c r="A2152" s="1066" t="s">
        <v>379</v>
      </c>
      <c r="B2152" s="869" t="s">
        <v>380</v>
      </c>
      <c r="C2152" s="1058"/>
      <c r="D2152" s="1059"/>
      <c r="E2152" s="1063"/>
      <c r="F2152" s="1065"/>
      <c r="G2152" s="1066" t="s">
        <v>379</v>
      </c>
      <c r="H2152" s="869" t="s">
        <v>380</v>
      </c>
      <c r="I2152" s="1058"/>
      <c r="J2152" s="1059"/>
    </row>
    <row r="2153" spans="1:15" ht="15" customHeight="1">
      <c r="A2153" s="1052" t="s">
        <v>381</v>
      </c>
      <c r="B2153" s="869" t="s">
        <v>382</v>
      </c>
      <c r="C2153" s="1058"/>
      <c r="D2153" s="1059">
        <f>D2152</f>
        <v>0</v>
      </c>
      <c r="E2153" s="1067"/>
      <c r="F2153" s="1051"/>
      <c r="G2153" s="1052" t="s">
        <v>381</v>
      </c>
      <c r="H2153" s="869" t="s">
        <v>382</v>
      </c>
      <c r="I2153" s="1058"/>
      <c r="J2153" s="1059">
        <f>J2152</f>
        <v>0</v>
      </c>
    </row>
    <row r="2154" spans="1:15" ht="15" customHeight="1">
      <c r="A2154" s="1068" t="s">
        <v>383</v>
      </c>
      <c r="B2154" s="1069" t="s">
        <v>384</v>
      </c>
      <c r="C2154" s="1070"/>
      <c r="D2154" s="1071" t="e">
        <f>SUM(D2145:D2150)-D2153</f>
        <v>#N/A</v>
      </c>
      <c r="E2154" s="1072"/>
      <c r="F2154" s="1073"/>
      <c r="G2154" s="1068" t="s">
        <v>383</v>
      </c>
      <c r="H2154" s="1069" t="s">
        <v>384</v>
      </c>
      <c r="I2154" s="1070"/>
      <c r="J2154" s="1071" t="e">
        <f>SUM(J2145:J2150)-J2153</f>
        <v>#N/A</v>
      </c>
    </row>
    <row r="2155" spans="1:15" ht="18.75" customHeight="1">
      <c r="A2155" s="1074"/>
      <c r="B2155" s="1075"/>
      <c r="C2155" s="1076"/>
      <c r="D2155" s="1077"/>
      <c r="E2155" s="1077"/>
      <c r="F2155" s="1078"/>
      <c r="G2155" s="1074"/>
      <c r="H2155" s="1075"/>
      <c r="I2155" s="1076"/>
      <c r="J2155" s="1077"/>
    </row>
    <row r="2156" spans="1:15" ht="18.75" customHeight="1">
      <c r="A2156" s="1075"/>
      <c r="B2156" s="1075"/>
      <c r="C2156" s="1079"/>
      <c r="D2156" s="1080"/>
      <c r="E2156" s="1075"/>
      <c r="F2156" s="1081"/>
      <c r="G2156" s="1075"/>
      <c r="H2156" s="1075"/>
      <c r="I2156" s="1079"/>
      <c r="J2156" s="1080"/>
    </row>
    <row r="2157" spans="1:15" ht="15" customHeight="1">
      <c r="A2157" s="2242" t="str">
        <f>$K$2</f>
        <v>THÁNG 09/2024</v>
      </c>
      <c r="B2157" s="2242"/>
      <c r="C2157" s="2242"/>
      <c r="D2157" s="2242"/>
      <c r="E2157" s="1050"/>
      <c r="F2157" s="1051"/>
      <c r="G2157" s="2242" t="str">
        <f>$K$2</f>
        <v>THÁNG 09/2024</v>
      </c>
      <c r="H2157" s="2242"/>
      <c r="I2157" s="2242"/>
      <c r="J2157" s="2242"/>
      <c r="K2157" s="624"/>
    </row>
    <row r="2158" spans="1:15" ht="15" customHeight="1">
      <c r="A2158" s="1052" t="s">
        <v>356</v>
      </c>
      <c r="B2158" s="1053" t="s">
        <v>190</v>
      </c>
      <c r="C2158" s="869"/>
      <c r="D2158" s="1049"/>
      <c r="E2158" s="1054"/>
      <c r="F2158" s="1055"/>
      <c r="G2158" s="1052" t="s">
        <v>356</v>
      </c>
      <c r="H2158" s="1053" t="s">
        <v>191</v>
      </c>
      <c r="I2158" s="869"/>
      <c r="J2158" s="1049"/>
      <c r="L2158" s="1088"/>
      <c r="M2158" s="1088"/>
      <c r="N2158" s="1088"/>
      <c r="O2158" s="1088"/>
    </row>
    <row r="2159" spans="1:15" ht="15" customHeight="1">
      <c r="A2159" s="1052" t="s">
        <v>359</v>
      </c>
      <c r="B2159" s="1089" t="s">
        <v>360</v>
      </c>
      <c r="C2159" s="1058" t="e">
        <f>VLOOKUP(B2158,'LƯƠNG KT'!$D$15:$U$94,3,0)</f>
        <v>#N/A</v>
      </c>
      <c r="D2159" s="1059" t="e">
        <f>+C2159*25000</f>
        <v>#N/A</v>
      </c>
      <c r="E2159" s="1060"/>
      <c r="F2159" s="1060"/>
      <c r="G2159" s="1052" t="s">
        <v>359</v>
      </c>
      <c r="H2159" s="1089" t="s">
        <v>360</v>
      </c>
      <c r="I2159" s="1058" t="e">
        <f>VLOOKUP(H2158,'LƯƠNG KT'!$D$15:$U$94,3,0)</f>
        <v>#N/A</v>
      </c>
      <c r="J2159" s="1059" t="e">
        <f>+I2159*25000</f>
        <v>#N/A</v>
      </c>
      <c r="K2159" s="1085"/>
      <c r="L2159" s="1085"/>
      <c r="M2159" s="1085"/>
      <c r="N2159" s="1085"/>
      <c r="O2159" s="1085"/>
    </row>
    <row r="2160" spans="1:15" ht="15" customHeight="1">
      <c r="A2160" s="1052" t="s">
        <v>361</v>
      </c>
      <c r="B2160" s="869" t="s">
        <v>362</v>
      </c>
      <c r="C2160" s="1058" t="e">
        <f>VLOOKUP(B2158,'LƯƠNG KT'!$D$15:$U$94,14,0)</f>
        <v>#N/A</v>
      </c>
      <c r="D2160" s="1059" t="e">
        <f>C2160*$L$4</f>
        <v>#N/A</v>
      </c>
      <c r="E2160" s="1061"/>
      <c r="F2160" s="1061"/>
      <c r="G2160" s="1052" t="s">
        <v>361</v>
      </c>
      <c r="H2160" s="869" t="s">
        <v>362</v>
      </c>
      <c r="I2160" s="1058" t="e">
        <f>VLOOKUP(H2158,'LƯƠNG KT'!$D$15:$U$94,14,0)</f>
        <v>#N/A</v>
      </c>
      <c r="J2160" s="1059" t="e">
        <f>I2160*$L$4</f>
        <v>#N/A</v>
      </c>
      <c r="K2160" s="1085"/>
      <c r="L2160" s="1085"/>
      <c r="M2160" s="1085"/>
      <c r="N2160" s="1085"/>
      <c r="O2160" s="1085"/>
    </row>
    <row r="2161" spans="1:15" ht="15" customHeight="1">
      <c r="A2161" s="1052" t="s">
        <v>364</v>
      </c>
      <c r="B2161" s="869" t="s">
        <v>365</v>
      </c>
      <c r="C2161" s="1058" t="e">
        <f>VLOOKUP(B2158,'LƯƠNG KT'!$D$15:$U$94,15,0)</f>
        <v>#N/A</v>
      </c>
      <c r="D2161" s="1059" t="e">
        <f>C2161*$L$5</f>
        <v>#N/A</v>
      </c>
      <c r="E2161" s="1061"/>
      <c r="F2161" s="1061"/>
      <c r="G2161" s="1052" t="s">
        <v>364</v>
      </c>
      <c r="H2161" s="869" t="s">
        <v>365</v>
      </c>
      <c r="I2161" s="1058" t="e">
        <f>VLOOKUP(H2158,'LƯƠNG KT'!$D$15:$U$94,15,0)</f>
        <v>#N/A</v>
      </c>
      <c r="J2161" s="1059" t="e">
        <f>I2161*$L$5</f>
        <v>#N/A</v>
      </c>
      <c r="K2161" s="1085"/>
      <c r="L2161" s="1085"/>
      <c r="M2161" s="1085"/>
      <c r="N2161" s="1085"/>
      <c r="O2161" s="1085"/>
    </row>
    <row r="2162" spans="1:15" ht="15" customHeight="1">
      <c r="A2162" s="1052" t="s">
        <v>367</v>
      </c>
      <c r="B2162" s="869"/>
      <c r="C2162" s="1058" t="e">
        <f>VLOOKUP(B2158,'LƯƠNG KT'!$D$15:$U$94,16,0)</f>
        <v>#N/A</v>
      </c>
      <c r="D2162" s="1059" t="e">
        <f>+C2162*$L$6</f>
        <v>#N/A</v>
      </c>
      <c r="E2162" s="1061"/>
      <c r="F2162" s="1061"/>
      <c r="G2162" s="1052" t="s">
        <v>367</v>
      </c>
      <c r="H2162" s="869"/>
      <c r="I2162" s="1058" t="e">
        <f>VLOOKUP(H2158,'LƯƠNG KT'!$D$15:$U$94,16,0)</f>
        <v>#N/A</v>
      </c>
      <c r="J2162" s="1059" t="e">
        <f>+I2162*$L$6</f>
        <v>#N/A</v>
      </c>
      <c r="K2162" s="1085"/>
      <c r="L2162" s="1085"/>
      <c r="M2162" s="1085"/>
      <c r="N2162" s="1085"/>
      <c r="O2162" s="1085"/>
    </row>
    <row r="2163" spans="1:15" ht="15" customHeight="1">
      <c r="A2163" s="1052" t="s">
        <v>371</v>
      </c>
      <c r="B2163" s="869" t="s">
        <v>372</v>
      </c>
      <c r="C2163" s="1058" t="e">
        <f>VLOOKUP(B2158,'LƯƠNG KT'!$D$15:$U$94,9,0)*$L$10</f>
        <v>#N/A</v>
      </c>
      <c r="D2163" s="1059" t="e">
        <f>+C2163*0.5*3000</f>
        <v>#N/A</v>
      </c>
      <c r="E2163" s="1061"/>
      <c r="F2163" s="1061"/>
      <c r="G2163" s="1052" t="s">
        <v>371</v>
      </c>
      <c r="H2163" s="869" t="s">
        <v>372</v>
      </c>
      <c r="I2163" s="1058" t="e">
        <f>VLOOKUP(H2158,'LƯƠNG KT'!$D$15:$U$94,9,0)*$L$10</f>
        <v>#N/A</v>
      </c>
      <c r="J2163" s="1059" t="e">
        <f>+I2163*0.5*3000</f>
        <v>#N/A</v>
      </c>
      <c r="K2163" s="1085"/>
      <c r="L2163" s="1085"/>
      <c r="M2163" s="1085"/>
      <c r="N2163" s="1085"/>
      <c r="O2163" s="1085"/>
    </row>
    <row r="2164" spans="1:15" ht="15" customHeight="1">
      <c r="A2164" s="1052" t="s">
        <v>374</v>
      </c>
      <c r="B2164" s="869" t="s">
        <v>375</v>
      </c>
      <c r="C2164" s="1058" t="e">
        <f>VLOOKUP(B2158,'LƯƠNG KT'!$D$15:$U$94,8,0)*$L$11</f>
        <v>#N/A</v>
      </c>
      <c r="D2164" s="1059" t="e">
        <f>VLOOKUP(B2158,'LƯƠNG KT'!$D$15:$U$94,13,0)-D2163</f>
        <v>#N/A</v>
      </c>
      <c r="E2164" s="1063"/>
      <c r="F2164" s="1061"/>
      <c r="G2164" s="1052" t="s">
        <v>374</v>
      </c>
      <c r="H2164" s="869" t="s">
        <v>375</v>
      </c>
      <c r="I2164" s="1058" t="e">
        <f>VLOOKUP(H2158,'LƯƠNG KT'!$D$15:$U$94,8,0)*$L$11</f>
        <v>#N/A</v>
      </c>
      <c r="J2164" s="1059" t="e">
        <f>VLOOKUP(H2158,'LƯƠNG KT'!$D$15:$U$94,13,0)-J2163</f>
        <v>#N/A</v>
      </c>
      <c r="K2164" s="1085"/>
      <c r="L2164" s="1085"/>
      <c r="M2164" s="1085"/>
      <c r="N2164" s="1085"/>
      <c r="O2164" s="1085"/>
    </row>
    <row r="2165" spans="1:15" ht="15" customHeight="1">
      <c r="A2165" s="1059" t="s">
        <v>377</v>
      </c>
      <c r="B2165" s="869" t="s">
        <v>378</v>
      </c>
      <c r="C2165" s="1058"/>
      <c r="D2165" s="1059"/>
      <c r="E2165" s="1065"/>
      <c r="F2165" s="1065"/>
      <c r="G2165" s="1059" t="s">
        <v>377</v>
      </c>
      <c r="H2165" s="869" t="s">
        <v>378</v>
      </c>
      <c r="I2165" s="1058"/>
      <c r="J2165" s="1059"/>
    </row>
    <row r="2166" spans="1:15" ht="15" customHeight="1">
      <c r="A2166" s="1066" t="s">
        <v>379</v>
      </c>
      <c r="B2166" s="869" t="s">
        <v>380</v>
      </c>
      <c r="C2166" s="1058"/>
      <c r="D2166" s="1059"/>
      <c r="E2166" s="1063"/>
      <c r="F2166" s="1065"/>
      <c r="G2166" s="1066" t="s">
        <v>379</v>
      </c>
      <c r="H2166" s="869" t="s">
        <v>380</v>
      </c>
      <c r="I2166" s="1058"/>
      <c r="J2166" s="1059"/>
    </row>
    <row r="2167" spans="1:15" ht="15" customHeight="1">
      <c r="A2167" s="1052" t="s">
        <v>381</v>
      </c>
      <c r="B2167" s="869" t="s">
        <v>382</v>
      </c>
      <c r="C2167" s="1058"/>
      <c r="D2167" s="1059">
        <f>D2166</f>
        <v>0</v>
      </c>
      <c r="E2167" s="1067"/>
      <c r="F2167" s="1051"/>
      <c r="G2167" s="1052" t="s">
        <v>381</v>
      </c>
      <c r="H2167" s="869" t="s">
        <v>382</v>
      </c>
      <c r="I2167" s="1058"/>
      <c r="J2167" s="1059">
        <f>J2166</f>
        <v>0</v>
      </c>
    </row>
    <row r="2168" spans="1:15" ht="15" customHeight="1">
      <c r="A2168" s="1068" t="s">
        <v>383</v>
      </c>
      <c r="B2168" s="1069" t="s">
        <v>384</v>
      </c>
      <c r="C2168" s="1070"/>
      <c r="D2168" s="1071" t="e">
        <f>SUM(D2159:D2164)-D2167</f>
        <v>#N/A</v>
      </c>
      <c r="E2168" s="1072"/>
      <c r="F2168" s="1073"/>
      <c r="G2168" s="1068" t="s">
        <v>383</v>
      </c>
      <c r="H2168" s="1069" t="s">
        <v>384</v>
      </c>
      <c r="I2168" s="1070"/>
      <c r="J2168" s="1071" t="e">
        <f>SUM(J2159:J2164)-J2167</f>
        <v>#N/A</v>
      </c>
    </row>
    <row r="2169" spans="1:15" ht="18.75" customHeight="1">
      <c r="A2169" s="1074"/>
      <c r="B2169" s="1075"/>
      <c r="C2169" s="1076"/>
      <c r="D2169" s="1077"/>
      <c r="E2169" s="1077"/>
      <c r="F2169" s="1078"/>
      <c r="G2169" s="1074"/>
      <c r="H2169" s="1075"/>
      <c r="I2169" s="1076"/>
      <c r="J2169" s="1077"/>
    </row>
    <row r="2170" spans="1:15" ht="18.75" customHeight="1">
      <c r="A2170" s="1075"/>
      <c r="B2170" s="1075"/>
      <c r="C2170" s="1079"/>
      <c r="D2170" s="1080"/>
      <c r="E2170" s="1075"/>
      <c r="F2170" s="1081"/>
      <c r="G2170" s="1075"/>
      <c r="H2170" s="1075"/>
      <c r="I2170" s="1079"/>
      <c r="J2170" s="1080"/>
    </row>
    <row r="2171" spans="1:15" ht="15" customHeight="1">
      <c r="A2171" s="2242" t="str">
        <f>$K$2</f>
        <v>THÁNG 09/2024</v>
      </c>
      <c r="B2171" s="2242"/>
      <c r="C2171" s="2242"/>
      <c r="D2171" s="2242"/>
      <c r="E2171" s="1050"/>
      <c r="F2171" s="1051"/>
      <c r="G2171" s="2242" t="str">
        <f>$K$2</f>
        <v>THÁNG 09/2024</v>
      </c>
      <c r="H2171" s="2242"/>
      <c r="I2171" s="2242"/>
      <c r="J2171" s="2242"/>
      <c r="K2171" s="624"/>
    </row>
    <row r="2172" spans="1:15" ht="15" customHeight="1">
      <c r="A2172" s="1052" t="s">
        <v>356</v>
      </c>
      <c r="B2172" s="1053" t="s">
        <v>504</v>
      </c>
      <c r="C2172" s="869"/>
      <c r="D2172" s="1049"/>
      <c r="E2172" s="1054"/>
      <c r="F2172" s="1055"/>
      <c r="G2172" s="1052" t="s">
        <v>356</v>
      </c>
      <c r="H2172" s="1053" t="s">
        <v>193</v>
      </c>
      <c r="I2172" s="869"/>
      <c r="J2172" s="1049"/>
      <c r="L2172" s="1088"/>
      <c r="M2172" s="1088"/>
      <c r="N2172" s="1088"/>
      <c r="O2172" s="1088"/>
    </row>
    <row r="2173" spans="1:15" ht="15" customHeight="1">
      <c r="A2173" s="1052" t="s">
        <v>359</v>
      </c>
      <c r="B2173" s="1089" t="s">
        <v>360</v>
      </c>
      <c r="C2173" s="1058" t="e">
        <f>VLOOKUP(B2172,'LƯƠNG KT'!$D$15:$U$94,3,0)</f>
        <v>#N/A</v>
      </c>
      <c r="D2173" s="1059" t="e">
        <f>+C2173*25000</f>
        <v>#N/A</v>
      </c>
      <c r="E2173" s="1060"/>
      <c r="F2173" s="1060"/>
      <c r="G2173" s="1052" t="s">
        <v>359</v>
      </c>
      <c r="H2173" s="1089" t="s">
        <v>360</v>
      </c>
      <c r="I2173" s="1058" t="e">
        <f>VLOOKUP(H2172,'LƯƠNG KT'!$D$15:$U$94,3,0)</f>
        <v>#N/A</v>
      </c>
      <c r="J2173" s="1059" t="e">
        <f>+I2173*25000</f>
        <v>#N/A</v>
      </c>
      <c r="K2173" s="1085"/>
      <c r="L2173" s="1085"/>
      <c r="M2173" s="1085"/>
      <c r="N2173" s="1085"/>
      <c r="O2173" s="1085"/>
    </row>
    <row r="2174" spans="1:15" ht="15" customHeight="1">
      <c r="A2174" s="1052" t="s">
        <v>361</v>
      </c>
      <c r="B2174" s="869" t="s">
        <v>362</v>
      </c>
      <c r="C2174" s="1058" t="e">
        <f>VLOOKUP(B2172,'LƯƠNG KT'!$D$15:$U$94,14,0)</f>
        <v>#N/A</v>
      </c>
      <c r="D2174" s="1059" t="e">
        <f>C2174*$L$4</f>
        <v>#N/A</v>
      </c>
      <c r="E2174" s="1061"/>
      <c r="F2174" s="1061"/>
      <c r="G2174" s="1052" t="s">
        <v>361</v>
      </c>
      <c r="H2174" s="869" t="s">
        <v>362</v>
      </c>
      <c r="I2174" s="1058" t="e">
        <f>VLOOKUP(H2172,'LƯƠNG KT'!$D$15:$U$94,14,0)</f>
        <v>#N/A</v>
      </c>
      <c r="J2174" s="1059" t="e">
        <f>I2174*$L$4</f>
        <v>#N/A</v>
      </c>
      <c r="K2174" s="1085"/>
      <c r="L2174" s="1085"/>
      <c r="M2174" s="1085"/>
      <c r="N2174" s="1085"/>
      <c r="O2174" s="1085"/>
    </row>
    <row r="2175" spans="1:15" ht="15" customHeight="1">
      <c r="A2175" s="1052" t="s">
        <v>364</v>
      </c>
      <c r="B2175" s="869" t="s">
        <v>365</v>
      </c>
      <c r="C2175" s="1058" t="e">
        <f>VLOOKUP(B2172,'LƯƠNG KT'!$D$15:$U$94,15,0)</f>
        <v>#N/A</v>
      </c>
      <c r="D2175" s="1059" t="e">
        <f>C2175*$L$5</f>
        <v>#N/A</v>
      </c>
      <c r="E2175" s="1061"/>
      <c r="F2175" s="1061"/>
      <c r="G2175" s="1052" t="s">
        <v>364</v>
      </c>
      <c r="H2175" s="869" t="s">
        <v>365</v>
      </c>
      <c r="I2175" s="1058" t="e">
        <f>VLOOKUP(H2172,'LƯƠNG KT'!$D$15:$U$94,15,0)</f>
        <v>#N/A</v>
      </c>
      <c r="J2175" s="1059" t="e">
        <f>I2175*$L$5</f>
        <v>#N/A</v>
      </c>
      <c r="K2175" s="1085"/>
      <c r="L2175" s="1085"/>
      <c r="M2175" s="1085"/>
      <c r="N2175" s="1085"/>
      <c r="O2175" s="1085"/>
    </row>
    <row r="2176" spans="1:15" ht="15" customHeight="1">
      <c r="A2176" s="1052" t="s">
        <v>367</v>
      </c>
      <c r="B2176" s="869"/>
      <c r="C2176" s="1058" t="e">
        <f>VLOOKUP(B2172,'LƯƠNG KT'!$D$15:$U$94,16,0)</f>
        <v>#N/A</v>
      </c>
      <c r="D2176" s="1059" t="e">
        <f>+C2176*$L$6</f>
        <v>#N/A</v>
      </c>
      <c r="E2176" s="1061"/>
      <c r="F2176" s="1061"/>
      <c r="G2176" s="1052" t="s">
        <v>367</v>
      </c>
      <c r="H2176" s="869"/>
      <c r="I2176" s="1058" t="e">
        <f>VLOOKUP(H2172,'LƯƠNG KT'!$D$15:$U$94,16,0)</f>
        <v>#N/A</v>
      </c>
      <c r="J2176" s="1059" t="e">
        <f>+I2176*$L$6</f>
        <v>#N/A</v>
      </c>
      <c r="K2176" s="1085"/>
      <c r="L2176" s="1085"/>
      <c r="M2176" s="1085"/>
      <c r="N2176" s="1085"/>
      <c r="O2176" s="1085"/>
    </row>
    <row r="2177" spans="1:15" ht="15" customHeight="1">
      <c r="A2177" s="1052" t="s">
        <v>371</v>
      </c>
      <c r="B2177" s="869" t="s">
        <v>372</v>
      </c>
      <c r="C2177" s="1058" t="e">
        <f>VLOOKUP(B2172,'LƯƠNG KT'!$D$15:$U$94,9,0)*$L$10</f>
        <v>#N/A</v>
      </c>
      <c r="D2177" s="1059" t="e">
        <f>+C2177*0.5*3000</f>
        <v>#N/A</v>
      </c>
      <c r="E2177" s="1061"/>
      <c r="F2177" s="1061"/>
      <c r="G2177" s="1052" t="s">
        <v>371</v>
      </c>
      <c r="H2177" s="869" t="s">
        <v>372</v>
      </c>
      <c r="I2177" s="1058" t="e">
        <f>VLOOKUP(H2172,'LƯƠNG KT'!$D$15:$U$94,9,0)*$L$10</f>
        <v>#N/A</v>
      </c>
      <c r="J2177" s="1059" t="e">
        <f>+I2177*0.5*3000</f>
        <v>#N/A</v>
      </c>
      <c r="K2177" s="1085"/>
      <c r="L2177" s="1085"/>
      <c r="M2177" s="1085"/>
      <c r="N2177" s="1085"/>
      <c r="O2177" s="1085"/>
    </row>
    <row r="2178" spans="1:15" ht="15" customHeight="1">
      <c r="A2178" s="1052" t="s">
        <v>374</v>
      </c>
      <c r="B2178" s="869" t="s">
        <v>375</v>
      </c>
      <c r="C2178" s="1058" t="e">
        <f>VLOOKUP(B2172,'LƯƠNG KT'!$D$15:$U$94,8,0)*$L$11</f>
        <v>#N/A</v>
      </c>
      <c r="D2178" s="1059" t="e">
        <f>VLOOKUP(B2172,'LƯƠNG KT'!$D$15:$U$94,13,0)-D2177</f>
        <v>#N/A</v>
      </c>
      <c r="E2178" s="1063"/>
      <c r="F2178" s="1061"/>
      <c r="G2178" s="1052" t="s">
        <v>374</v>
      </c>
      <c r="H2178" s="869" t="s">
        <v>375</v>
      </c>
      <c r="I2178" s="1058" t="e">
        <f>VLOOKUP(H2172,'LƯƠNG KT'!$D$15:$U$94,8,0)*$L$11</f>
        <v>#N/A</v>
      </c>
      <c r="J2178" s="1059" t="e">
        <f>VLOOKUP(H2172,'LƯƠNG KT'!$D$15:$U$94,13,0)-J2177</f>
        <v>#N/A</v>
      </c>
      <c r="K2178" s="1085"/>
      <c r="L2178" s="1085"/>
      <c r="M2178" s="1085"/>
      <c r="N2178" s="1085"/>
      <c r="O2178" s="1085"/>
    </row>
    <row r="2179" spans="1:15" ht="15" customHeight="1">
      <c r="A2179" s="1059" t="s">
        <v>377</v>
      </c>
      <c r="B2179" s="869" t="s">
        <v>378</v>
      </c>
      <c r="C2179" s="1058"/>
      <c r="D2179" s="1059"/>
      <c r="E2179" s="1065"/>
      <c r="F2179" s="1065"/>
      <c r="G2179" s="1059" t="s">
        <v>377</v>
      </c>
      <c r="H2179" s="869" t="s">
        <v>378</v>
      </c>
      <c r="I2179" s="1058"/>
      <c r="J2179" s="1059"/>
    </row>
    <row r="2180" spans="1:15" ht="15" customHeight="1">
      <c r="A2180" s="1066" t="s">
        <v>379</v>
      </c>
      <c r="B2180" s="869" t="s">
        <v>380</v>
      </c>
      <c r="C2180" s="1058"/>
      <c r="D2180" s="1059"/>
      <c r="E2180" s="1063"/>
      <c r="F2180" s="1065"/>
      <c r="G2180" s="1066" t="s">
        <v>379</v>
      </c>
      <c r="H2180" s="869" t="s">
        <v>380</v>
      </c>
      <c r="I2180" s="1058"/>
      <c r="J2180" s="1059"/>
    </row>
    <row r="2181" spans="1:15" ht="15" customHeight="1">
      <c r="A2181" s="1052" t="s">
        <v>381</v>
      </c>
      <c r="B2181" s="869" t="s">
        <v>382</v>
      </c>
      <c r="C2181" s="1058"/>
      <c r="D2181" s="1059">
        <f>D2180</f>
        <v>0</v>
      </c>
      <c r="E2181" s="1067"/>
      <c r="F2181" s="1051"/>
      <c r="G2181" s="1052" t="s">
        <v>381</v>
      </c>
      <c r="H2181" s="869" t="s">
        <v>382</v>
      </c>
      <c r="I2181" s="1058"/>
      <c r="J2181" s="1059">
        <f>J2180</f>
        <v>0</v>
      </c>
    </row>
    <row r="2182" spans="1:15" ht="15" customHeight="1">
      <c r="A2182" s="1068" t="s">
        <v>383</v>
      </c>
      <c r="B2182" s="1069" t="s">
        <v>384</v>
      </c>
      <c r="C2182" s="1070"/>
      <c r="D2182" s="1071" t="e">
        <f>SUM(D2173:D2178)-D2181</f>
        <v>#N/A</v>
      </c>
      <c r="E2182" s="1072"/>
      <c r="F2182" s="1073"/>
      <c r="G2182" s="1068" t="s">
        <v>383</v>
      </c>
      <c r="H2182" s="1069" t="s">
        <v>384</v>
      </c>
      <c r="I2182" s="1070"/>
      <c r="J2182" s="1071" t="e">
        <f>SUM(J2173:J2178)-J2181</f>
        <v>#N/A</v>
      </c>
    </row>
    <row r="2183" spans="1:15" ht="15.75" customHeight="1">
      <c r="A2183" s="1074"/>
      <c r="B2183" s="1075"/>
      <c r="C2183" s="1076"/>
      <c r="D2183" s="1077"/>
      <c r="E2183" s="1077"/>
      <c r="F2183" s="1078"/>
      <c r="G2183" s="1074"/>
      <c r="H2183" s="1075"/>
      <c r="I2183" s="1076"/>
      <c r="J2183" s="1077"/>
    </row>
    <row r="2185" spans="1:15" ht="12" customHeight="1">
      <c r="A2185" s="2243"/>
      <c r="B2185" s="2243"/>
      <c r="C2185" s="2243"/>
      <c r="D2185" s="2243"/>
      <c r="E2185" s="2243"/>
      <c r="F2185" s="2243"/>
      <c r="G2185" s="2243"/>
      <c r="H2185" s="2243"/>
      <c r="I2185" s="2243"/>
      <c r="J2185" s="2243"/>
    </row>
    <row r="2186" spans="1:15" ht="15" customHeight="1">
      <c r="A2186" s="2242" t="str">
        <f>$K$2</f>
        <v>THÁNG 09/2024</v>
      </c>
      <c r="B2186" s="2242"/>
      <c r="C2186" s="2242"/>
      <c r="D2186" s="2242"/>
      <c r="E2186" s="1050"/>
      <c r="F2186" s="1051"/>
      <c r="G2186" s="2242" t="str">
        <f>$K$2</f>
        <v>THÁNG 09/2024</v>
      </c>
      <c r="H2186" s="2242"/>
      <c r="I2186" s="2242"/>
      <c r="J2186" s="2242"/>
      <c r="K2186" s="624"/>
    </row>
    <row r="2187" spans="1:15" ht="15" customHeight="1">
      <c r="A2187" s="1052" t="s">
        <v>356</v>
      </c>
      <c r="B2187" s="1053" t="s">
        <v>194</v>
      </c>
      <c r="C2187" s="869"/>
      <c r="D2187" s="1049"/>
      <c r="E2187" s="1054"/>
      <c r="F2187" s="1055"/>
      <c r="G2187" s="1052" t="s">
        <v>356</v>
      </c>
      <c r="H2187" s="1053" t="s">
        <v>195</v>
      </c>
      <c r="I2187" s="869"/>
      <c r="J2187" s="1049"/>
      <c r="L2187" s="1088"/>
      <c r="M2187" s="1088"/>
      <c r="N2187" s="1088"/>
      <c r="O2187" s="1088"/>
    </row>
    <row r="2188" spans="1:15" ht="15" customHeight="1">
      <c r="A2188" s="1052" t="s">
        <v>359</v>
      </c>
      <c r="B2188" s="1089" t="s">
        <v>360</v>
      </c>
      <c r="C2188" s="1058" t="e">
        <f>VLOOKUP(B2187,'LƯƠNG KT'!$D$15:$U$94,3,0)</f>
        <v>#N/A</v>
      </c>
      <c r="D2188" s="1059" t="e">
        <f>+C2188*25000</f>
        <v>#N/A</v>
      </c>
      <c r="E2188" s="1060"/>
      <c r="F2188" s="1060"/>
      <c r="G2188" s="1052" t="s">
        <v>359</v>
      </c>
      <c r="H2188" s="1089" t="s">
        <v>360</v>
      </c>
      <c r="I2188" s="1058" t="e">
        <f>VLOOKUP(H2187,'LƯƠNG KT'!$D$15:$U$94,3,0)</f>
        <v>#N/A</v>
      </c>
      <c r="J2188" s="1059" t="e">
        <f>+I2188*25000</f>
        <v>#N/A</v>
      </c>
      <c r="K2188" s="1084"/>
      <c r="L2188" s="1085"/>
      <c r="M2188" s="1085"/>
      <c r="N2188" s="1085"/>
      <c r="O2188" s="1085"/>
    </row>
    <row r="2189" spans="1:15" ht="15" customHeight="1">
      <c r="A2189" s="1052" t="s">
        <v>361</v>
      </c>
      <c r="B2189" s="869" t="s">
        <v>362</v>
      </c>
      <c r="C2189" s="1058" t="e">
        <f>VLOOKUP(B2187,'LƯƠNG KT'!$D$15:$U$94,14,0)</f>
        <v>#N/A</v>
      </c>
      <c r="D2189" s="1059" t="e">
        <f>C2189*$L$4</f>
        <v>#N/A</v>
      </c>
      <c r="E2189" s="1061"/>
      <c r="F2189" s="1061"/>
      <c r="G2189" s="1052" t="s">
        <v>361</v>
      </c>
      <c r="H2189" s="869" t="s">
        <v>362</v>
      </c>
      <c r="I2189" s="1058" t="e">
        <f>VLOOKUP(H2187,'LƯƠNG KT'!$D$15:$U$94,14,0)</f>
        <v>#N/A</v>
      </c>
      <c r="J2189" s="1059" t="e">
        <f>I2189*$L$4</f>
        <v>#N/A</v>
      </c>
      <c r="K2189" s="1084"/>
      <c r="L2189" s="1085"/>
      <c r="M2189" s="1085"/>
      <c r="N2189" s="1085"/>
      <c r="O2189" s="1085"/>
    </row>
    <row r="2190" spans="1:15" ht="15" customHeight="1">
      <c r="A2190" s="1052" t="s">
        <v>364</v>
      </c>
      <c r="B2190" s="869" t="s">
        <v>365</v>
      </c>
      <c r="C2190" s="1058" t="e">
        <f>VLOOKUP(B2187,'LƯƠNG KT'!$D$15:$U$94,15,0)</f>
        <v>#N/A</v>
      </c>
      <c r="D2190" s="1059" t="e">
        <f>C2190*$L$5</f>
        <v>#N/A</v>
      </c>
      <c r="E2190" s="1061"/>
      <c r="F2190" s="1061"/>
      <c r="G2190" s="1052" t="s">
        <v>364</v>
      </c>
      <c r="H2190" s="869" t="s">
        <v>365</v>
      </c>
      <c r="I2190" s="1058" t="e">
        <f>VLOOKUP(H2187,'LƯƠNG KT'!$D$15:$U$94,15,0)</f>
        <v>#N/A</v>
      </c>
      <c r="J2190" s="1059" t="e">
        <f>I2190*$L$5</f>
        <v>#N/A</v>
      </c>
      <c r="K2190" s="1084"/>
      <c r="L2190" s="1085"/>
      <c r="M2190" s="1085"/>
      <c r="N2190" s="1085"/>
      <c r="O2190" s="1085"/>
    </row>
    <row r="2191" spans="1:15" ht="15" customHeight="1">
      <c r="A2191" s="1052" t="s">
        <v>367</v>
      </c>
      <c r="B2191" s="869"/>
      <c r="C2191" s="1058" t="e">
        <f>VLOOKUP(B2187,'LƯƠNG KT'!$D$15:$U$94,16,0)</f>
        <v>#N/A</v>
      </c>
      <c r="D2191" s="1059" t="e">
        <f>+C2191*$L$6</f>
        <v>#N/A</v>
      </c>
      <c r="E2191" s="1061"/>
      <c r="F2191" s="1061"/>
      <c r="G2191" s="1052" t="s">
        <v>367</v>
      </c>
      <c r="H2191" s="869"/>
      <c r="I2191" s="1058" t="e">
        <f>VLOOKUP(H2187,'LƯƠNG KT'!$D$15:$U$94,16,0)</f>
        <v>#N/A</v>
      </c>
      <c r="J2191" s="1059" t="e">
        <f>+I2191*$L$6</f>
        <v>#N/A</v>
      </c>
      <c r="K2191" s="1085"/>
      <c r="L2191" s="1085"/>
      <c r="M2191" s="1085"/>
      <c r="N2191" s="1085"/>
      <c r="O2191" s="1085"/>
    </row>
    <row r="2192" spans="1:15" ht="15" customHeight="1">
      <c r="A2192" s="1052" t="s">
        <v>371</v>
      </c>
      <c r="B2192" s="869" t="s">
        <v>372</v>
      </c>
      <c r="C2192" s="1058" t="e">
        <f>VLOOKUP(B2187,'LƯƠNG KT'!$D$15:$U$94,9,0)*$L$10</f>
        <v>#N/A</v>
      </c>
      <c r="D2192" s="1059" t="e">
        <f>+C2192*0.5*3000</f>
        <v>#N/A</v>
      </c>
      <c r="E2192" s="1061"/>
      <c r="F2192" s="1061"/>
      <c r="G2192" s="1052" t="s">
        <v>371</v>
      </c>
      <c r="H2192" s="869" t="s">
        <v>372</v>
      </c>
      <c r="I2192" s="1058" t="e">
        <f>VLOOKUP(H2187,'LƯƠNG KT'!$D$15:$U$94,9,0)*$L$10</f>
        <v>#N/A</v>
      </c>
      <c r="J2192" s="1059" t="e">
        <f>+I2192*0.5*3000</f>
        <v>#N/A</v>
      </c>
      <c r="K2192" s="1085"/>
      <c r="L2192" s="1085"/>
      <c r="M2192" s="1085"/>
      <c r="N2192" s="1085"/>
      <c r="O2192" s="1085"/>
    </row>
    <row r="2193" spans="1:15" ht="15" customHeight="1">
      <c r="A2193" s="1052" t="s">
        <v>374</v>
      </c>
      <c r="B2193" s="869" t="s">
        <v>375</v>
      </c>
      <c r="C2193" s="1058" t="e">
        <f>VLOOKUP(B2187,'LƯƠNG KT'!$D$15:$U$94,8,0)*$L$11</f>
        <v>#N/A</v>
      </c>
      <c r="D2193" s="1059" t="e">
        <f>VLOOKUP(B2187,'LƯƠNG KT'!$D$15:$U$94,13,0)-D2192</f>
        <v>#N/A</v>
      </c>
      <c r="E2193" s="1063"/>
      <c r="F2193" s="1061"/>
      <c r="G2193" s="1052" t="s">
        <v>374</v>
      </c>
      <c r="H2193" s="869" t="s">
        <v>375</v>
      </c>
      <c r="I2193" s="1058" t="e">
        <f>VLOOKUP(H2187,'LƯƠNG KT'!$D$15:$U$94,8,0)*$L$11</f>
        <v>#N/A</v>
      </c>
      <c r="J2193" s="1059" t="e">
        <f>VLOOKUP(H2187,'LƯƠNG KT'!$D$15:$U$94,13,0)-J2192</f>
        <v>#N/A</v>
      </c>
      <c r="K2193" s="1085"/>
      <c r="L2193" s="1085"/>
      <c r="M2193" s="1085"/>
      <c r="N2193" s="1085"/>
      <c r="O2193" s="1085"/>
    </row>
    <row r="2194" spans="1:15" ht="15" customHeight="1">
      <c r="A2194" s="1059" t="s">
        <v>377</v>
      </c>
      <c r="B2194" s="869" t="s">
        <v>378</v>
      </c>
      <c r="C2194" s="1058"/>
      <c r="D2194" s="1059"/>
      <c r="E2194" s="1065"/>
      <c r="F2194" s="1065"/>
      <c r="G2194" s="1059" t="s">
        <v>377</v>
      </c>
      <c r="H2194" s="869" t="s">
        <v>378</v>
      </c>
      <c r="I2194" s="1058"/>
      <c r="J2194" s="1059"/>
    </row>
    <row r="2195" spans="1:15" ht="15" customHeight="1">
      <c r="A2195" s="1066" t="s">
        <v>379</v>
      </c>
      <c r="B2195" s="869" t="s">
        <v>380</v>
      </c>
      <c r="C2195" s="1058"/>
      <c r="D2195" s="1059"/>
      <c r="E2195" s="1063"/>
      <c r="F2195" s="1065"/>
      <c r="G2195" s="1066" t="s">
        <v>379</v>
      </c>
      <c r="H2195" s="869" t="s">
        <v>380</v>
      </c>
      <c r="I2195" s="1058"/>
      <c r="J2195" s="1059"/>
    </row>
    <row r="2196" spans="1:15" ht="15" customHeight="1">
      <c r="A2196" s="1052" t="s">
        <v>381</v>
      </c>
      <c r="B2196" s="869" t="s">
        <v>382</v>
      </c>
      <c r="C2196" s="1058"/>
      <c r="D2196" s="1059">
        <f>D2195</f>
        <v>0</v>
      </c>
      <c r="E2196" s="1067"/>
      <c r="F2196" s="1051"/>
      <c r="G2196" s="1052" t="s">
        <v>381</v>
      </c>
      <c r="H2196" s="869" t="s">
        <v>382</v>
      </c>
      <c r="I2196" s="1058"/>
      <c r="J2196" s="1059">
        <f>J2195</f>
        <v>0</v>
      </c>
    </row>
    <row r="2197" spans="1:15" ht="15" customHeight="1">
      <c r="A2197" s="1068" t="s">
        <v>383</v>
      </c>
      <c r="B2197" s="1069" t="s">
        <v>384</v>
      </c>
      <c r="C2197" s="1070"/>
      <c r="D2197" s="1071" t="e">
        <f>SUM(D2188:D2193)-D2196</f>
        <v>#N/A</v>
      </c>
      <c r="E2197" s="1072"/>
      <c r="F2197" s="1073"/>
      <c r="G2197" s="1068" t="s">
        <v>383</v>
      </c>
      <c r="H2197" s="1069" t="s">
        <v>384</v>
      </c>
      <c r="I2197" s="1070"/>
      <c r="J2197" s="1071" t="e">
        <f>SUM(J2188:J2193)-J2196</f>
        <v>#N/A</v>
      </c>
    </row>
    <row r="2198" spans="1:15" ht="12.6" customHeight="1">
      <c r="A2198" s="1074"/>
      <c r="B2198" s="1075"/>
      <c r="C2198" s="1076"/>
      <c r="D2198" s="1077"/>
      <c r="E2198" s="1077"/>
      <c r="F2198" s="1078"/>
      <c r="G2198" s="1074"/>
      <c r="H2198" s="1075"/>
      <c r="I2198" s="1076"/>
      <c r="J2198" s="1077"/>
    </row>
    <row r="2199" spans="1:15" ht="12.6" customHeight="1">
      <c r="A2199" s="1075"/>
      <c r="B2199" s="1075"/>
      <c r="C2199" s="1079"/>
      <c r="D2199" s="1080"/>
      <c r="E2199" s="1075"/>
      <c r="F2199" s="1081"/>
      <c r="G2199" s="1075"/>
      <c r="H2199" s="1075"/>
      <c r="I2199" s="1079"/>
      <c r="J2199" s="1080"/>
    </row>
    <row r="2200" spans="1:15" ht="15" customHeight="1">
      <c r="A2200" s="2242" t="str">
        <f>$K$2</f>
        <v>THÁNG 09/2024</v>
      </c>
      <c r="B2200" s="2242"/>
      <c r="C2200" s="2242"/>
      <c r="D2200" s="2242"/>
      <c r="E2200" s="1050"/>
      <c r="F2200" s="1051"/>
      <c r="G2200" s="2242" t="str">
        <f>$K$2</f>
        <v>THÁNG 09/2024</v>
      </c>
      <c r="H2200" s="2242"/>
      <c r="I2200" s="2242"/>
      <c r="J2200" s="2242"/>
      <c r="K2200" s="624"/>
    </row>
    <row r="2201" spans="1:15" ht="15" customHeight="1">
      <c r="A2201" s="1052" t="s">
        <v>356</v>
      </c>
      <c r="B2201" s="1053" t="s">
        <v>196</v>
      </c>
      <c r="C2201" s="869"/>
      <c r="D2201" s="1049"/>
      <c r="E2201" s="1054"/>
      <c r="F2201" s="1055"/>
      <c r="G2201" s="1052" t="s">
        <v>356</v>
      </c>
      <c r="H2201" s="1053" t="s">
        <v>197</v>
      </c>
      <c r="I2201" s="869"/>
      <c r="J2201" s="1049"/>
      <c r="L2201" s="1088"/>
      <c r="M2201" s="1088"/>
      <c r="N2201" s="1088"/>
      <c r="O2201" s="1088"/>
    </row>
    <row r="2202" spans="1:15" ht="15" customHeight="1">
      <c r="A2202" s="1052" t="s">
        <v>359</v>
      </c>
      <c r="B2202" s="1089" t="s">
        <v>360</v>
      </c>
      <c r="C2202" s="1058" t="e">
        <f>VLOOKUP(B2201,'LƯƠNG KT'!$D$15:$U$94,3,0)</f>
        <v>#N/A</v>
      </c>
      <c r="D2202" s="1059" t="e">
        <f>+C2202*25000</f>
        <v>#N/A</v>
      </c>
      <c r="E2202" s="1060"/>
      <c r="F2202" s="1060"/>
      <c r="G2202" s="1052" t="s">
        <v>359</v>
      </c>
      <c r="H2202" s="1089" t="s">
        <v>360</v>
      </c>
      <c r="I2202" s="1058" t="e">
        <f>VLOOKUP(H2201,'LƯƠNG KT'!$D$15:$U$94,3,0)</f>
        <v>#N/A</v>
      </c>
      <c r="J2202" s="1059" t="e">
        <f>+I2202*25000</f>
        <v>#N/A</v>
      </c>
      <c r="K2202" s="1085"/>
      <c r="L2202" s="1085"/>
      <c r="M2202" s="1085"/>
      <c r="N2202" s="1085"/>
      <c r="O2202" s="1085"/>
    </row>
    <row r="2203" spans="1:15" ht="15" customHeight="1">
      <c r="A2203" s="1052" t="s">
        <v>361</v>
      </c>
      <c r="B2203" s="869" t="s">
        <v>362</v>
      </c>
      <c r="C2203" s="1058" t="e">
        <f>VLOOKUP(B2201,'LƯƠNG KT'!$D$15:$U$94,14,0)</f>
        <v>#N/A</v>
      </c>
      <c r="D2203" s="1059" t="e">
        <f>C2203*$L$4</f>
        <v>#N/A</v>
      </c>
      <c r="E2203" s="1061"/>
      <c r="F2203" s="1061"/>
      <c r="G2203" s="1052" t="s">
        <v>361</v>
      </c>
      <c r="H2203" s="869" t="s">
        <v>362</v>
      </c>
      <c r="I2203" s="1058" t="e">
        <f>VLOOKUP(H2201,'LƯƠNG KT'!$D$15:$U$94,14,0)</f>
        <v>#N/A</v>
      </c>
      <c r="J2203" s="1059" t="e">
        <f>I2203*$L$4</f>
        <v>#N/A</v>
      </c>
      <c r="K2203" s="1085"/>
      <c r="L2203" s="1085"/>
      <c r="M2203" s="1085"/>
      <c r="N2203" s="1085"/>
      <c r="O2203" s="1085"/>
    </row>
    <row r="2204" spans="1:15" ht="15" customHeight="1">
      <c r="A2204" s="1052" t="s">
        <v>364</v>
      </c>
      <c r="B2204" s="869" t="s">
        <v>365</v>
      </c>
      <c r="C2204" s="1058" t="e">
        <f>VLOOKUP(B2201,'LƯƠNG KT'!$D$15:$U$94,15,0)</f>
        <v>#N/A</v>
      </c>
      <c r="D2204" s="1059" t="e">
        <f>C2204*$L$5</f>
        <v>#N/A</v>
      </c>
      <c r="E2204" s="1061"/>
      <c r="F2204" s="1061"/>
      <c r="G2204" s="1052" t="s">
        <v>364</v>
      </c>
      <c r="H2204" s="869" t="s">
        <v>365</v>
      </c>
      <c r="I2204" s="1058" t="e">
        <f>VLOOKUP(H2201,'LƯƠNG KT'!$D$15:$U$94,15,0)</f>
        <v>#N/A</v>
      </c>
      <c r="J2204" s="1059" t="e">
        <f>I2204*$L$5</f>
        <v>#N/A</v>
      </c>
      <c r="K2204" s="1085"/>
      <c r="L2204" s="1085"/>
      <c r="M2204" s="1085"/>
      <c r="N2204" s="1085"/>
      <c r="O2204" s="1085"/>
    </row>
    <row r="2205" spans="1:15" ht="15" customHeight="1">
      <c r="A2205" s="1052" t="s">
        <v>367</v>
      </c>
      <c r="B2205" s="869"/>
      <c r="C2205" s="1058" t="e">
        <f>VLOOKUP(B2201,'LƯƠNG KT'!$D$15:$U$94,16,0)</f>
        <v>#N/A</v>
      </c>
      <c r="D2205" s="1059" t="e">
        <f>+C2205*$L$6</f>
        <v>#N/A</v>
      </c>
      <c r="E2205" s="1061"/>
      <c r="F2205" s="1061"/>
      <c r="G2205" s="1052" t="s">
        <v>367</v>
      </c>
      <c r="H2205" s="869"/>
      <c r="I2205" s="1058" t="e">
        <f>VLOOKUP(H2201,'LƯƠNG KT'!$D$15:$U$94,16,0)</f>
        <v>#N/A</v>
      </c>
      <c r="J2205" s="1059" t="e">
        <f>+I2205*$L$6</f>
        <v>#N/A</v>
      </c>
      <c r="K2205" s="1085"/>
      <c r="L2205" s="1085"/>
      <c r="M2205" s="1085"/>
      <c r="N2205" s="1085"/>
      <c r="O2205" s="1085"/>
    </row>
    <row r="2206" spans="1:15" ht="15" customHeight="1">
      <c r="A2206" s="1052" t="s">
        <v>371</v>
      </c>
      <c r="B2206" s="869" t="s">
        <v>372</v>
      </c>
      <c r="C2206" s="1058" t="e">
        <f>VLOOKUP(B2201,'LƯƠNG KT'!$D$15:$U$94,9,0)*$L$10</f>
        <v>#N/A</v>
      </c>
      <c r="D2206" s="1059" t="e">
        <f>+C2206*0.5*3000</f>
        <v>#N/A</v>
      </c>
      <c r="E2206" s="1061"/>
      <c r="F2206" s="1061"/>
      <c r="G2206" s="1052" t="s">
        <v>371</v>
      </c>
      <c r="H2206" s="869" t="s">
        <v>372</v>
      </c>
      <c r="I2206" s="1058" t="e">
        <f>VLOOKUP(H2201,'LƯƠNG KT'!$D$15:$U$94,9,0)*$L$10</f>
        <v>#N/A</v>
      </c>
      <c r="J2206" s="1059" t="e">
        <f>+I2206*0.5*3000</f>
        <v>#N/A</v>
      </c>
      <c r="K2206" s="1085"/>
      <c r="L2206" s="1085"/>
      <c r="M2206" s="1085"/>
      <c r="N2206" s="1085"/>
      <c r="O2206" s="1085"/>
    </row>
    <row r="2207" spans="1:15" ht="15" customHeight="1">
      <c r="A2207" s="1052" t="s">
        <v>374</v>
      </c>
      <c r="B2207" s="869" t="s">
        <v>375</v>
      </c>
      <c r="C2207" s="1058" t="e">
        <f>VLOOKUP(B2201,'LƯƠNG KT'!$D$15:$U$94,8,0)*$L$11</f>
        <v>#N/A</v>
      </c>
      <c r="D2207" s="1059" t="e">
        <f>VLOOKUP(B2201,'LƯƠNG KT'!$D$15:$U$94,13,0)-D2206</f>
        <v>#N/A</v>
      </c>
      <c r="E2207" s="1063"/>
      <c r="F2207" s="1061"/>
      <c r="G2207" s="1052" t="s">
        <v>374</v>
      </c>
      <c r="H2207" s="869" t="s">
        <v>375</v>
      </c>
      <c r="I2207" s="1058" t="e">
        <f>VLOOKUP(H2201,'LƯƠNG KT'!$D$15:$U$94,8,0)*$L$11</f>
        <v>#N/A</v>
      </c>
      <c r="J2207" s="1059" t="e">
        <f>VLOOKUP(H2201,'LƯƠNG KT'!$D$15:$U$94,13,0)-J2206</f>
        <v>#N/A</v>
      </c>
      <c r="K2207" s="1085"/>
      <c r="L2207" s="1085"/>
      <c r="M2207" s="1085"/>
      <c r="N2207" s="1085"/>
      <c r="O2207" s="1085"/>
    </row>
    <row r="2208" spans="1:15" ht="15" customHeight="1">
      <c r="A2208" s="1059" t="s">
        <v>377</v>
      </c>
      <c r="B2208" s="869" t="s">
        <v>378</v>
      </c>
      <c r="C2208" s="1058"/>
      <c r="D2208" s="1059"/>
      <c r="E2208" s="1065"/>
      <c r="F2208" s="1065"/>
      <c r="G2208" s="1059" t="s">
        <v>377</v>
      </c>
      <c r="H2208" s="869" t="s">
        <v>378</v>
      </c>
      <c r="I2208" s="1058"/>
      <c r="J2208" s="1059"/>
    </row>
    <row r="2209" spans="1:15" ht="15" customHeight="1">
      <c r="A2209" s="1066" t="s">
        <v>379</v>
      </c>
      <c r="B2209" s="869" t="s">
        <v>380</v>
      </c>
      <c r="C2209" s="1058"/>
      <c r="D2209" s="1059"/>
      <c r="E2209" s="1063"/>
      <c r="F2209" s="1065"/>
      <c r="G2209" s="1066" t="s">
        <v>379</v>
      </c>
      <c r="H2209" s="869" t="s">
        <v>380</v>
      </c>
      <c r="I2209" s="1058"/>
      <c r="J2209" s="1059"/>
    </row>
    <row r="2210" spans="1:15" ht="15" customHeight="1">
      <c r="A2210" s="1052" t="s">
        <v>381</v>
      </c>
      <c r="B2210" s="869" t="s">
        <v>382</v>
      </c>
      <c r="C2210" s="1058"/>
      <c r="D2210" s="1059">
        <f>D2209</f>
        <v>0</v>
      </c>
      <c r="E2210" s="1067"/>
      <c r="F2210" s="1051"/>
      <c r="G2210" s="1052" t="s">
        <v>381</v>
      </c>
      <c r="H2210" s="869" t="s">
        <v>382</v>
      </c>
      <c r="I2210" s="1058"/>
      <c r="J2210" s="1059">
        <f>J2209</f>
        <v>0</v>
      </c>
    </row>
    <row r="2211" spans="1:15" ht="15" customHeight="1">
      <c r="A2211" s="1068" t="s">
        <v>383</v>
      </c>
      <c r="B2211" s="1069" t="s">
        <v>384</v>
      </c>
      <c r="C2211" s="1070"/>
      <c r="D2211" s="1071" t="e">
        <f>SUM(D2202:D2207)-D2210</f>
        <v>#N/A</v>
      </c>
      <c r="E2211" s="1072"/>
      <c r="F2211" s="1073"/>
      <c r="G2211" s="1068" t="s">
        <v>383</v>
      </c>
      <c r="H2211" s="1069" t="s">
        <v>384</v>
      </c>
      <c r="I2211" s="1070"/>
      <c r="J2211" s="1071" t="e">
        <f>SUM(J2202:J2207)-J2210</f>
        <v>#N/A</v>
      </c>
    </row>
    <row r="2212" spans="1:15" ht="18.75" customHeight="1">
      <c r="A2212" s="1074"/>
      <c r="B2212" s="1075"/>
      <c r="C2212" s="1076"/>
      <c r="D2212" s="1077"/>
      <c r="E2212" s="1077"/>
      <c r="F2212" s="1078"/>
      <c r="G2212" s="1074"/>
      <c r="H2212" s="1075"/>
      <c r="I2212" s="1076"/>
      <c r="J2212" s="1077"/>
    </row>
    <row r="2213" spans="1:15" ht="18.75" customHeight="1">
      <c r="A2213" s="1075"/>
      <c r="B2213" s="1075"/>
      <c r="C2213" s="1079"/>
      <c r="D2213" s="1080"/>
      <c r="E2213" s="1075"/>
      <c r="F2213" s="1081"/>
      <c r="G2213" s="1075"/>
      <c r="H2213" s="1075"/>
      <c r="I2213" s="1079"/>
      <c r="J2213" s="1080"/>
    </row>
    <row r="2214" spans="1:15" ht="15" customHeight="1">
      <c r="A2214" s="2242" t="str">
        <f>$K$2</f>
        <v>THÁNG 09/2024</v>
      </c>
      <c r="B2214" s="2242"/>
      <c r="C2214" s="2242"/>
      <c r="D2214" s="2242"/>
      <c r="E2214" s="1050"/>
      <c r="F2214" s="1051"/>
      <c r="G2214" s="2242" t="str">
        <f>$K$2</f>
        <v>THÁNG 09/2024</v>
      </c>
      <c r="H2214" s="2242"/>
      <c r="I2214" s="2242"/>
      <c r="J2214" s="2242"/>
      <c r="K2214" s="624"/>
    </row>
    <row r="2215" spans="1:15" ht="15" customHeight="1">
      <c r="A2215" s="1052" t="s">
        <v>356</v>
      </c>
      <c r="B2215" s="1053" t="s">
        <v>198</v>
      </c>
      <c r="C2215" s="869"/>
      <c r="D2215" s="1049"/>
      <c r="E2215" s="1054"/>
      <c r="F2215" s="1055"/>
      <c r="G2215" s="1052" t="s">
        <v>356</v>
      </c>
      <c r="H2215" s="1053" t="s">
        <v>199</v>
      </c>
      <c r="I2215" s="869"/>
      <c r="J2215" s="1049"/>
      <c r="L2215" s="1088"/>
      <c r="M2215" s="1088"/>
      <c r="N2215" s="1088"/>
      <c r="O2215" s="1088"/>
    </row>
    <row r="2216" spans="1:15" ht="15" customHeight="1">
      <c r="A2216" s="1052" t="s">
        <v>359</v>
      </c>
      <c r="B2216" s="1089" t="s">
        <v>360</v>
      </c>
      <c r="C2216" s="1058" t="e">
        <f>VLOOKUP(B2215,'LƯƠNG KT'!$D$15:$U$94,3,0)</f>
        <v>#N/A</v>
      </c>
      <c r="D2216" s="1059" t="e">
        <f>+C2216*25000</f>
        <v>#N/A</v>
      </c>
      <c r="E2216" s="1060"/>
      <c r="F2216" s="1060"/>
      <c r="G2216" s="1052" t="s">
        <v>359</v>
      </c>
      <c r="H2216" s="1089" t="s">
        <v>360</v>
      </c>
      <c r="I2216" s="1058" t="e">
        <f>VLOOKUP(H2215,'LƯƠNG KT'!$D$15:$U$94,3,0)</f>
        <v>#N/A</v>
      </c>
      <c r="J2216" s="1059" t="e">
        <f>+I2216*25000</f>
        <v>#N/A</v>
      </c>
      <c r="K2216" s="1085"/>
      <c r="L2216" s="1085"/>
      <c r="M2216" s="1085"/>
      <c r="N2216" s="1085"/>
      <c r="O2216" s="1085"/>
    </row>
    <row r="2217" spans="1:15" ht="15" customHeight="1">
      <c r="A2217" s="1052" t="s">
        <v>361</v>
      </c>
      <c r="B2217" s="869" t="s">
        <v>362</v>
      </c>
      <c r="C2217" s="1058" t="e">
        <f>VLOOKUP(B2215,'LƯƠNG KT'!$D$15:$U$94,14,0)</f>
        <v>#N/A</v>
      </c>
      <c r="D2217" s="1059" t="e">
        <f>C2217*$L$4</f>
        <v>#N/A</v>
      </c>
      <c r="E2217" s="1061"/>
      <c r="F2217" s="1061"/>
      <c r="G2217" s="1052" t="s">
        <v>361</v>
      </c>
      <c r="H2217" s="869" t="s">
        <v>362</v>
      </c>
      <c r="I2217" s="1058" t="e">
        <f>VLOOKUP(H2215,'LƯƠNG KT'!$D$15:$U$94,14,0)</f>
        <v>#N/A</v>
      </c>
      <c r="J2217" s="1059" t="e">
        <f>I2217*$L$4</f>
        <v>#N/A</v>
      </c>
      <c r="K2217" s="1085"/>
      <c r="L2217" s="1085"/>
      <c r="M2217" s="1085"/>
      <c r="N2217" s="1085"/>
      <c r="O2217" s="1085"/>
    </row>
    <row r="2218" spans="1:15" ht="15" customHeight="1">
      <c r="A2218" s="1052" t="s">
        <v>364</v>
      </c>
      <c r="B2218" s="869" t="s">
        <v>365</v>
      </c>
      <c r="C2218" s="1058" t="e">
        <f>VLOOKUP(B2215,'LƯƠNG KT'!$D$15:$U$94,15,0)</f>
        <v>#N/A</v>
      </c>
      <c r="D2218" s="1059" t="e">
        <f>C2218*$L$5</f>
        <v>#N/A</v>
      </c>
      <c r="E2218" s="1061"/>
      <c r="F2218" s="1061"/>
      <c r="G2218" s="1052" t="s">
        <v>364</v>
      </c>
      <c r="H2218" s="869" t="s">
        <v>365</v>
      </c>
      <c r="I2218" s="1058" t="e">
        <f>VLOOKUP(H2215,'LƯƠNG KT'!$D$15:$U$94,15,0)</f>
        <v>#N/A</v>
      </c>
      <c r="J2218" s="1059" t="e">
        <f>I2218*$L$5</f>
        <v>#N/A</v>
      </c>
      <c r="K2218" s="1085"/>
      <c r="L2218" s="1085"/>
      <c r="M2218" s="1085"/>
      <c r="N2218" s="1085"/>
      <c r="O2218" s="1085"/>
    </row>
    <row r="2219" spans="1:15" ht="15" customHeight="1">
      <c r="A2219" s="1052" t="s">
        <v>367</v>
      </c>
      <c r="B2219" s="869"/>
      <c r="C2219" s="1058" t="e">
        <f>VLOOKUP(B2215,'LƯƠNG KT'!$D$15:$U$94,16,0)</f>
        <v>#N/A</v>
      </c>
      <c r="D2219" s="1059" t="e">
        <f>+C2219*$L$6</f>
        <v>#N/A</v>
      </c>
      <c r="E2219" s="1061"/>
      <c r="F2219" s="1061"/>
      <c r="G2219" s="1052" t="s">
        <v>367</v>
      </c>
      <c r="H2219" s="869"/>
      <c r="I2219" s="1058" t="e">
        <f>VLOOKUP(H2215,'LƯƠNG KT'!$D$15:$U$94,16,0)</f>
        <v>#N/A</v>
      </c>
      <c r="J2219" s="1059" t="e">
        <f>+I2219*$L$6</f>
        <v>#N/A</v>
      </c>
      <c r="K2219" s="1085"/>
      <c r="L2219" s="1085"/>
      <c r="M2219" s="1085"/>
      <c r="N2219" s="1085"/>
      <c r="O2219" s="1085"/>
    </row>
    <row r="2220" spans="1:15" ht="15" customHeight="1">
      <c r="A2220" s="1052" t="s">
        <v>371</v>
      </c>
      <c r="B2220" s="869" t="s">
        <v>372</v>
      </c>
      <c r="C2220" s="1058" t="e">
        <f>VLOOKUP(B2215,'LƯƠNG KT'!$D$15:$U$94,9,0)*$L$10</f>
        <v>#N/A</v>
      </c>
      <c r="D2220" s="1059" t="e">
        <f>+C2220*0.5*3000</f>
        <v>#N/A</v>
      </c>
      <c r="E2220" s="1061"/>
      <c r="F2220" s="1061"/>
      <c r="G2220" s="1052" t="s">
        <v>371</v>
      </c>
      <c r="H2220" s="869" t="s">
        <v>372</v>
      </c>
      <c r="I2220" s="1058" t="e">
        <f>VLOOKUP(H2215,'LƯƠNG KT'!$D$15:$U$94,9,0)*$L$10</f>
        <v>#N/A</v>
      </c>
      <c r="J2220" s="1059" t="e">
        <f>+I2220*0.5*3000</f>
        <v>#N/A</v>
      </c>
      <c r="K2220" s="1085"/>
      <c r="L2220" s="1085"/>
      <c r="M2220" s="1085"/>
      <c r="N2220" s="1085"/>
      <c r="O2220" s="1085"/>
    </row>
    <row r="2221" spans="1:15" ht="15" customHeight="1">
      <c r="A2221" s="1052" t="s">
        <v>374</v>
      </c>
      <c r="B2221" s="869" t="s">
        <v>375</v>
      </c>
      <c r="C2221" s="1058" t="e">
        <f>VLOOKUP(B2215,'LƯƠNG KT'!$D$15:$U$94,8,0)*$L$11</f>
        <v>#N/A</v>
      </c>
      <c r="D2221" s="1059" t="e">
        <f>VLOOKUP(B2215,'LƯƠNG KT'!$D$15:$U$94,13,0)-D2220</f>
        <v>#N/A</v>
      </c>
      <c r="E2221" s="1063"/>
      <c r="F2221" s="1061"/>
      <c r="G2221" s="1052" t="s">
        <v>374</v>
      </c>
      <c r="H2221" s="869" t="s">
        <v>375</v>
      </c>
      <c r="I2221" s="1058" t="e">
        <f>VLOOKUP(H2215,'LƯƠNG KT'!$D$15:$U$94,8,0)*$L$11</f>
        <v>#N/A</v>
      </c>
      <c r="J2221" s="1059" t="e">
        <f>VLOOKUP(H2215,'LƯƠNG KT'!$D$15:$U$94,13,0)-J2220</f>
        <v>#N/A</v>
      </c>
      <c r="K2221" s="1085"/>
      <c r="L2221" s="1085"/>
      <c r="M2221" s="1085"/>
      <c r="N2221" s="1085"/>
      <c r="O2221" s="1085"/>
    </row>
    <row r="2222" spans="1:15" ht="15" customHeight="1">
      <c r="A2222" s="1059" t="s">
        <v>377</v>
      </c>
      <c r="B2222" s="869" t="s">
        <v>378</v>
      </c>
      <c r="C2222" s="1058"/>
      <c r="D2222" s="1059"/>
      <c r="E2222" s="1065"/>
      <c r="F2222" s="1065"/>
      <c r="G2222" s="1059" t="s">
        <v>377</v>
      </c>
      <c r="H2222" s="869" t="s">
        <v>378</v>
      </c>
      <c r="I2222" s="1058"/>
      <c r="J2222" s="1059"/>
    </row>
    <row r="2223" spans="1:15" ht="15" customHeight="1">
      <c r="A2223" s="1066" t="s">
        <v>379</v>
      </c>
      <c r="B2223" s="869" t="s">
        <v>380</v>
      </c>
      <c r="C2223" s="1058"/>
      <c r="D2223" s="1059"/>
      <c r="E2223" s="1063"/>
      <c r="F2223" s="1065"/>
      <c r="G2223" s="1066" t="s">
        <v>379</v>
      </c>
      <c r="H2223" s="869" t="s">
        <v>380</v>
      </c>
      <c r="I2223" s="1058"/>
      <c r="J2223" s="1059"/>
    </row>
    <row r="2224" spans="1:15" ht="15" customHeight="1">
      <c r="A2224" s="1052" t="s">
        <v>381</v>
      </c>
      <c r="B2224" s="869" t="s">
        <v>382</v>
      </c>
      <c r="C2224" s="1058"/>
      <c r="D2224" s="1059">
        <f>D2223</f>
        <v>0</v>
      </c>
      <c r="E2224" s="1067"/>
      <c r="F2224" s="1051"/>
      <c r="G2224" s="1052" t="s">
        <v>381</v>
      </c>
      <c r="H2224" s="869" t="s">
        <v>382</v>
      </c>
      <c r="I2224" s="1058"/>
      <c r="J2224" s="1059">
        <f>J2223</f>
        <v>0</v>
      </c>
    </row>
    <row r="2225" spans="1:15" ht="15" customHeight="1">
      <c r="A2225" s="1068" t="s">
        <v>383</v>
      </c>
      <c r="B2225" s="1069" t="s">
        <v>384</v>
      </c>
      <c r="C2225" s="1070"/>
      <c r="D2225" s="1071" t="e">
        <f>SUM(D2216:D2221)-D2224</f>
        <v>#N/A</v>
      </c>
      <c r="E2225" s="1072"/>
      <c r="F2225" s="1073"/>
      <c r="G2225" s="1068" t="s">
        <v>383</v>
      </c>
      <c r="H2225" s="1069" t="s">
        <v>384</v>
      </c>
      <c r="I2225" s="1070"/>
      <c r="J2225" s="1071" t="e">
        <f>SUM(J2216:J2221)-J2224</f>
        <v>#N/A</v>
      </c>
    </row>
    <row r="2226" spans="1:15" ht="18.75" customHeight="1">
      <c r="A2226" s="1074"/>
      <c r="B2226" s="1075"/>
      <c r="C2226" s="1076"/>
      <c r="D2226" s="1077"/>
      <c r="E2226" s="1077"/>
      <c r="F2226" s="1078"/>
      <c r="G2226" s="1074"/>
      <c r="H2226" s="1075"/>
      <c r="I2226" s="1076"/>
      <c r="J2226" s="1077"/>
    </row>
    <row r="2227" spans="1:15" ht="18.75" customHeight="1">
      <c r="A2227" s="1075"/>
      <c r="B2227" s="1075"/>
      <c r="C2227" s="1079"/>
      <c r="D2227" s="1080"/>
      <c r="E2227" s="1075"/>
      <c r="F2227" s="1081"/>
      <c r="G2227" s="1075"/>
      <c r="H2227" s="1075"/>
      <c r="I2227" s="1079"/>
      <c r="J2227" s="1080"/>
    </row>
    <row r="2228" spans="1:15" ht="15" customHeight="1">
      <c r="A2228" s="2242" t="str">
        <f>$K$2</f>
        <v>THÁNG 09/2024</v>
      </c>
      <c r="B2228" s="2242"/>
      <c r="C2228" s="2242"/>
      <c r="D2228" s="2242"/>
      <c r="E2228" s="1050"/>
      <c r="F2228" s="1051"/>
      <c r="G2228" s="2242" t="str">
        <f>$K$2</f>
        <v>THÁNG 09/2024</v>
      </c>
      <c r="H2228" s="2242"/>
      <c r="I2228" s="2242"/>
      <c r="J2228" s="2242"/>
      <c r="K2228" s="624"/>
    </row>
    <row r="2229" spans="1:15" ht="15" customHeight="1">
      <c r="A2229" s="1052" t="s">
        <v>356</v>
      </c>
      <c r="B2229" s="1053" t="s">
        <v>200</v>
      </c>
      <c r="C2229" s="869"/>
      <c r="D2229" s="1049"/>
      <c r="E2229" s="1054"/>
      <c r="F2229" s="1055"/>
      <c r="G2229" s="1052" t="s">
        <v>356</v>
      </c>
      <c r="H2229" s="1053" t="s">
        <v>201</v>
      </c>
      <c r="I2229" s="869"/>
      <c r="J2229" s="1049"/>
      <c r="L2229" s="1088"/>
      <c r="M2229" s="1088"/>
      <c r="N2229" s="1088"/>
      <c r="O2229" s="1088"/>
    </row>
    <row r="2230" spans="1:15" ht="15" customHeight="1">
      <c r="A2230" s="1052" t="s">
        <v>359</v>
      </c>
      <c r="B2230" s="1089" t="s">
        <v>360</v>
      </c>
      <c r="C2230" s="1058" t="e">
        <f>VLOOKUP(B2229,'LƯƠNG KT'!$D$15:$U$94,3,0)</f>
        <v>#N/A</v>
      </c>
      <c r="D2230" s="1059" t="e">
        <f>+C2230*25000</f>
        <v>#N/A</v>
      </c>
      <c r="E2230" s="1060"/>
      <c r="F2230" s="1060"/>
      <c r="G2230" s="1052" t="s">
        <v>359</v>
      </c>
      <c r="H2230" s="1089" t="s">
        <v>360</v>
      </c>
      <c r="I2230" s="1058" t="e">
        <f>VLOOKUP(H2229,'LƯƠNG KT'!$D$15:$U$94,3,0)</f>
        <v>#N/A</v>
      </c>
      <c r="J2230" s="1059" t="e">
        <f>+I2230*25000</f>
        <v>#N/A</v>
      </c>
      <c r="K2230" s="1085"/>
      <c r="L2230" s="1085"/>
      <c r="M2230" s="1085"/>
      <c r="N2230" s="1085"/>
      <c r="O2230" s="1085"/>
    </row>
    <row r="2231" spans="1:15" ht="15" customHeight="1">
      <c r="A2231" s="1052" t="s">
        <v>361</v>
      </c>
      <c r="B2231" s="869" t="s">
        <v>362</v>
      </c>
      <c r="C2231" s="1058" t="e">
        <f>VLOOKUP(B2229,'LƯƠNG KT'!$D$15:$U$94,14,0)</f>
        <v>#N/A</v>
      </c>
      <c r="D2231" s="1059" t="e">
        <f>C2231*$L$4</f>
        <v>#N/A</v>
      </c>
      <c r="E2231" s="1061"/>
      <c r="F2231" s="1061"/>
      <c r="G2231" s="1052" t="s">
        <v>361</v>
      </c>
      <c r="H2231" s="869" t="s">
        <v>362</v>
      </c>
      <c r="I2231" s="1058" t="e">
        <f>VLOOKUP(H2229,'LƯƠNG KT'!$D$15:$U$94,14,0)</f>
        <v>#N/A</v>
      </c>
      <c r="J2231" s="1059" t="e">
        <f>I2231*$L$4</f>
        <v>#N/A</v>
      </c>
      <c r="K2231" s="1085"/>
      <c r="L2231" s="1085"/>
      <c r="M2231" s="1085"/>
      <c r="N2231" s="1085"/>
      <c r="O2231" s="1085"/>
    </row>
    <row r="2232" spans="1:15" ht="15" customHeight="1">
      <c r="A2232" s="1052" t="s">
        <v>364</v>
      </c>
      <c r="B2232" s="869" t="s">
        <v>365</v>
      </c>
      <c r="C2232" s="1058" t="e">
        <f>VLOOKUP(B2229,'LƯƠNG KT'!$D$15:$U$94,15,0)</f>
        <v>#N/A</v>
      </c>
      <c r="D2232" s="1059" t="e">
        <f>C2232*$L$5</f>
        <v>#N/A</v>
      </c>
      <c r="E2232" s="1061"/>
      <c r="F2232" s="1061"/>
      <c r="G2232" s="1052" t="s">
        <v>364</v>
      </c>
      <c r="H2232" s="869" t="s">
        <v>365</v>
      </c>
      <c r="I2232" s="1058" t="e">
        <f>VLOOKUP(H2229,'LƯƠNG KT'!$D$15:$U$94,15,0)</f>
        <v>#N/A</v>
      </c>
      <c r="J2232" s="1059" t="e">
        <f>I2232*$L$5</f>
        <v>#N/A</v>
      </c>
      <c r="K2232" s="1085"/>
      <c r="L2232" s="1085"/>
      <c r="M2232" s="1085"/>
      <c r="N2232" s="1085"/>
      <c r="O2232" s="1085"/>
    </row>
    <row r="2233" spans="1:15" ht="15" customHeight="1">
      <c r="A2233" s="1052" t="s">
        <v>367</v>
      </c>
      <c r="B2233" s="869"/>
      <c r="C2233" s="1058" t="e">
        <f>VLOOKUP(B2229,'LƯƠNG KT'!$D$15:$U$94,16,0)</f>
        <v>#N/A</v>
      </c>
      <c r="D2233" s="1059" t="e">
        <f>+C2233*$L$6</f>
        <v>#N/A</v>
      </c>
      <c r="E2233" s="1061"/>
      <c r="F2233" s="1061"/>
      <c r="G2233" s="1052" t="s">
        <v>367</v>
      </c>
      <c r="H2233" s="869"/>
      <c r="I2233" s="1058" t="e">
        <f>VLOOKUP(H2229,'LƯƠNG KT'!$D$15:$U$94,16,0)</f>
        <v>#N/A</v>
      </c>
      <c r="J2233" s="1059" t="e">
        <f>+I2233*$L$6</f>
        <v>#N/A</v>
      </c>
      <c r="K2233" s="1085"/>
      <c r="L2233" s="1085"/>
      <c r="M2233" s="1085"/>
      <c r="N2233" s="1085"/>
      <c r="O2233" s="1085"/>
    </row>
    <row r="2234" spans="1:15" ht="15" customHeight="1">
      <c r="A2234" s="1052" t="s">
        <v>371</v>
      </c>
      <c r="B2234" s="869" t="s">
        <v>372</v>
      </c>
      <c r="C2234" s="1058" t="e">
        <f>VLOOKUP(B2229,'LƯƠNG KT'!$D$15:$U$94,9,0)*$L$10</f>
        <v>#N/A</v>
      </c>
      <c r="D2234" s="1059" t="e">
        <f>+C2234*0.5*3000</f>
        <v>#N/A</v>
      </c>
      <c r="E2234" s="1061"/>
      <c r="F2234" s="1061"/>
      <c r="G2234" s="1052" t="s">
        <v>371</v>
      </c>
      <c r="H2234" s="869" t="s">
        <v>372</v>
      </c>
      <c r="I2234" s="1058" t="e">
        <f>VLOOKUP(H2229,'LƯƠNG KT'!$D$15:$U$94,9,0)*$L$10</f>
        <v>#N/A</v>
      </c>
      <c r="J2234" s="1059" t="e">
        <f>+I2234*0.5*3000</f>
        <v>#N/A</v>
      </c>
      <c r="K2234" s="1085"/>
      <c r="L2234" s="1085"/>
      <c r="M2234" s="1085"/>
      <c r="N2234" s="1085"/>
      <c r="O2234" s="1085"/>
    </row>
    <row r="2235" spans="1:15" ht="15" customHeight="1">
      <c r="A2235" s="1052" t="s">
        <v>374</v>
      </c>
      <c r="B2235" s="869" t="s">
        <v>375</v>
      </c>
      <c r="C2235" s="1058" t="e">
        <f>VLOOKUP(B2229,'LƯƠNG KT'!$D$15:$U$94,8,0)*$L$11</f>
        <v>#N/A</v>
      </c>
      <c r="D2235" s="1059" t="e">
        <f>VLOOKUP(B2229,'LƯƠNG KT'!$D$15:$U$94,13,0)-D2234</f>
        <v>#N/A</v>
      </c>
      <c r="E2235" s="1063"/>
      <c r="F2235" s="1061"/>
      <c r="G2235" s="1052" t="s">
        <v>374</v>
      </c>
      <c r="H2235" s="869" t="s">
        <v>375</v>
      </c>
      <c r="I2235" s="1058" t="e">
        <f>VLOOKUP(H2229,'LƯƠNG KT'!$D$15:$U$94,8,0)*$L$11</f>
        <v>#N/A</v>
      </c>
      <c r="J2235" s="1059" t="e">
        <f>VLOOKUP(H2229,'LƯƠNG KT'!$D$15:$U$94,13,0)-J2234</f>
        <v>#N/A</v>
      </c>
      <c r="K2235" s="1085"/>
      <c r="L2235" s="1085"/>
      <c r="M2235" s="1085"/>
      <c r="N2235" s="1085"/>
      <c r="O2235" s="1085"/>
    </row>
    <row r="2236" spans="1:15" ht="15" customHeight="1">
      <c r="A2236" s="1059" t="s">
        <v>377</v>
      </c>
      <c r="B2236" s="869" t="s">
        <v>378</v>
      </c>
      <c r="C2236" s="1058"/>
      <c r="D2236" s="1059"/>
      <c r="E2236" s="1065"/>
      <c r="F2236" s="1065"/>
      <c r="G2236" s="1059" t="s">
        <v>377</v>
      </c>
      <c r="H2236" s="869" t="s">
        <v>378</v>
      </c>
      <c r="I2236" s="1058"/>
      <c r="J2236" s="1059"/>
    </row>
    <row r="2237" spans="1:15" ht="15" customHeight="1">
      <c r="A2237" s="1066" t="s">
        <v>379</v>
      </c>
      <c r="B2237" s="869" t="s">
        <v>380</v>
      </c>
      <c r="C2237" s="1058"/>
      <c r="D2237" s="1059"/>
      <c r="E2237" s="1063"/>
      <c r="F2237" s="1065"/>
      <c r="G2237" s="1066" t="s">
        <v>379</v>
      </c>
      <c r="H2237" s="869" t="s">
        <v>380</v>
      </c>
      <c r="I2237" s="1058"/>
      <c r="J2237" s="1059"/>
    </row>
    <row r="2238" spans="1:15" ht="15" customHeight="1">
      <c r="A2238" s="1052" t="s">
        <v>381</v>
      </c>
      <c r="B2238" s="869" t="s">
        <v>382</v>
      </c>
      <c r="C2238" s="1058"/>
      <c r="D2238" s="1059">
        <f>D2237</f>
        <v>0</v>
      </c>
      <c r="E2238" s="1067"/>
      <c r="F2238" s="1051"/>
      <c r="G2238" s="1052" t="s">
        <v>381</v>
      </c>
      <c r="H2238" s="869" t="s">
        <v>382</v>
      </c>
      <c r="I2238" s="1058"/>
      <c r="J2238" s="1059">
        <f>J2237</f>
        <v>0</v>
      </c>
    </row>
    <row r="2239" spans="1:15" ht="15" customHeight="1">
      <c r="A2239" s="1068" t="s">
        <v>383</v>
      </c>
      <c r="B2239" s="1069" t="s">
        <v>384</v>
      </c>
      <c r="C2239" s="1070"/>
      <c r="D2239" s="1071" t="e">
        <f>SUM(D2230:D2235)-D2238</f>
        <v>#N/A</v>
      </c>
      <c r="E2239" s="1072"/>
      <c r="F2239" s="1073"/>
      <c r="G2239" s="1068" t="s">
        <v>383</v>
      </c>
      <c r="H2239" s="1069" t="s">
        <v>384</v>
      </c>
      <c r="I2239" s="1070"/>
      <c r="J2239" s="1071" t="e">
        <f>SUM(J2230:J2235)-J2238</f>
        <v>#N/A</v>
      </c>
    </row>
    <row r="2240" spans="1:15" ht="15.75" customHeight="1">
      <c r="A2240" s="1074"/>
      <c r="B2240" s="1075"/>
      <c r="C2240" s="1076"/>
      <c r="D2240" s="1077"/>
      <c r="E2240" s="1077"/>
      <c r="F2240" s="1078"/>
      <c r="G2240" s="1074"/>
      <c r="H2240" s="1075"/>
      <c r="I2240" s="1076"/>
      <c r="J2240" s="1077"/>
    </row>
    <row r="2242" spans="1:15" ht="12" customHeight="1">
      <c r="A2242" s="2243"/>
      <c r="B2242" s="2243"/>
      <c r="C2242" s="2243"/>
      <c r="D2242" s="2243"/>
      <c r="E2242" s="2243"/>
      <c r="F2242" s="2243"/>
      <c r="G2242" s="2243"/>
      <c r="H2242" s="2243"/>
      <c r="I2242" s="2243"/>
      <c r="J2242" s="2243"/>
    </row>
    <row r="2243" spans="1:15" ht="15" customHeight="1">
      <c r="A2243" s="2242" t="str">
        <f>$K$2</f>
        <v>THÁNG 09/2024</v>
      </c>
      <c r="B2243" s="2242"/>
      <c r="C2243" s="2242"/>
      <c r="D2243" s="2242"/>
      <c r="E2243" s="1050"/>
      <c r="F2243" s="1051"/>
      <c r="G2243" s="2242" t="str">
        <f>$K$2</f>
        <v>THÁNG 09/2024</v>
      </c>
      <c r="H2243" s="2242"/>
      <c r="I2243" s="2242"/>
      <c r="J2243" s="2242"/>
      <c r="K2243" s="624"/>
    </row>
    <row r="2244" spans="1:15" ht="15" customHeight="1">
      <c r="A2244" s="1052" t="s">
        <v>356</v>
      </c>
      <c r="B2244" s="1053" t="s">
        <v>202</v>
      </c>
      <c r="C2244" s="869"/>
      <c r="D2244" s="1049"/>
      <c r="E2244" s="1054"/>
      <c r="F2244" s="1055"/>
      <c r="G2244" s="1052" t="s">
        <v>356</v>
      </c>
      <c r="H2244" s="1053" t="s">
        <v>203</v>
      </c>
      <c r="I2244" s="869"/>
      <c r="J2244" s="1049"/>
      <c r="L2244" s="1088"/>
      <c r="M2244" s="1088"/>
      <c r="N2244" s="1088"/>
      <c r="O2244" s="1088"/>
    </row>
    <row r="2245" spans="1:15" ht="15" customHeight="1">
      <c r="A2245" s="1052" t="s">
        <v>359</v>
      </c>
      <c r="B2245" s="1089" t="s">
        <v>360</v>
      </c>
      <c r="C2245" s="1058" t="e">
        <f>VLOOKUP(B2244,'LƯƠNG KT'!$D$15:$U$94,3,0)</f>
        <v>#N/A</v>
      </c>
      <c r="D2245" s="1059" t="e">
        <f>+C2245*25000</f>
        <v>#N/A</v>
      </c>
      <c r="E2245" s="1060"/>
      <c r="F2245" s="1060"/>
      <c r="G2245" s="1052" t="s">
        <v>359</v>
      </c>
      <c r="H2245" s="1089" t="s">
        <v>360</v>
      </c>
      <c r="I2245" s="1058" t="e">
        <f>VLOOKUP(H2244,'LƯƠNG KT'!$D$15:$U$94,3,0)</f>
        <v>#N/A</v>
      </c>
      <c r="J2245" s="1059" t="e">
        <f>+I2245*25000</f>
        <v>#N/A</v>
      </c>
      <c r="K2245" s="1084"/>
      <c r="L2245" s="1085"/>
      <c r="M2245" s="1085"/>
      <c r="N2245" s="1085"/>
      <c r="O2245" s="1085"/>
    </row>
    <row r="2246" spans="1:15" ht="15" customHeight="1">
      <c r="A2246" s="1052" t="s">
        <v>361</v>
      </c>
      <c r="B2246" s="869" t="s">
        <v>362</v>
      </c>
      <c r="C2246" s="1058" t="e">
        <f>VLOOKUP(B2244,'LƯƠNG KT'!$D$15:$U$94,14,0)</f>
        <v>#N/A</v>
      </c>
      <c r="D2246" s="1059" t="e">
        <f>C2246*$L$4</f>
        <v>#N/A</v>
      </c>
      <c r="E2246" s="1061"/>
      <c r="F2246" s="1061"/>
      <c r="G2246" s="1052" t="s">
        <v>361</v>
      </c>
      <c r="H2246" s="869" t="s">
        <v>362</v>
      </c>
      <c r="I2246" s="1058" t="e">
        <f>VLOOKUP(H2244,'LƯƠNG KT'!$D$15:$U$94,14,0)</f>
        <v>#N/A</v>
      </c>
      <c r="J2246" s="1059" t="e">
        <f>I2246*$L$4</f>
        <v>#N/A</v>
      </c>
      <c r="K2246" s="1084"/>
      <c r="L2246" s="1085"/>
      <c r="M2246" s="1085"/>
      <c r="N2246" s="1085"/>
      <c r="O2246" s="1085"/>
    </row>
    <row r="2247" spans="1:15" ht="15" customHeight="1">
      <c r="A2247" s="1052" t="s">
        <v>364</v>
      </c>
      <c r="B2247" s="869" t="s">
        <v>365</v>
      </c>
      <c r="C2247" s="1058" t="e">
        <f>VLOOKUP(B2244,'LƯƠNG KT'!$D$15:$U$94,15,0)</f>
        <v>#N/A</v>
      </c>
      <c r="D2247" s="1059" t="e">
        <f>C2247*$L$5</f>
        <v>#N/A</v>
      </c>
      <c r="E2247" s="1061"/>
      <c r="F2247" s="1061"/>
      <c r="G2247" s="1052" t="s">
        <v>364</v>
      </c>
      <c r="H2247" s="869" t="s">
        <v>365</v>
      </c>
      <c r="I2247" s="1058" t="e">
        <f>VLOOKUP(H2244,'LƯƠNG KT'!$D$15:$U$94,15,0)</f>
        <v>#N/A</v>
      </c>
      <c r="J2247" s="1059" t="e">
        <f>I2247*$L$5</f>
        <v>#N/A</v>
      </c>
      <c r="K2247" s="1084"/>
      <c r="L2247" s="1085"/>
      <c r="M2247" s="1085"/>
      <c r="N2247" s="1085"/>
      <c r="O2247" s="1085"/>
    </row>
    <row r="2248" spans="1:15" ht="15" customHeight="1">
      <c r="A2248" s="1052" t="s">
        <v>367</v>
      </c>
      <c r="B2248" s="869"/>
      <c r="C2248" s="1058" t="e">
        <f>VLOOKUP(B2244,'LƯƠNG KT'!$D$15:$U$94,16,0)</f>
        <v>#N/A</v>
      </c>
      <c r="D2248" s="1059" t="e">
        <f>+C2248*$L$6</f>
        <v>#N/A</v>
      </c>
      <c r="E2248" s="1061"/>
      <c r="F2248" s="1061"/>
      <c r="G2248" s="1052" t="s">
        <v>367</v>
      </c>
      <c r="H2248" s="869"/>
      <c r="I2248" s="1058" t="e">
        <f>VLOOKUP(H2244,'LƯƠNG KT'!$D$15:$U$94,16,0)</f>
        <v>#N/A</v>
      </c>
      <c r="J2248" s="1059" t="e">
        <f>+I2248*$L$6</f>
        <v>#N/A</v>
      </c>
      <c r="K2248" s="1085"/>
      <c r="L2248" s="1085"/>
      <c r="M2248" s="1085"/>
      <c r="N2248" s="1085"/>
      <c r="O2248" s="1085"/>
    </row>
    <row r="2249" spans="1:15" ht="15" customHeight="1">
      <c r="A2249" s="1052" t="s">
        <v>371</v>
      </c>
      <c r="B2249" s="869" t="s">
        <v>372</v>
      </c>
      <c r="C2249" s="1058" t="e">
        <f>VLOOKUP(B2244,'LƯƠNG KT'!$D$15:$U$94,9,0)*$L$10</f>
        <v>#N/A</v>
      </c>
      <c r="D2249" s="1059" t="e">
        <f>+C2249*0.5*3000</f>
        <v>#N/A</v>
      </c>
      <c r="E2249" s="1061"/>
      <c r="F2249" s="1061"/>
      <c r="G2249" s="1052" t="s">
        <v>371</v>
      </c>
      <c r="H2249" s="869" t="s">
        <v>372</v>
      </c>
      <c r="I2249" s="1058" t="e">
        <f>VLOOKUP(H2244,'LƯƠNG KT'!$D$15:$U$94,9,0)*$L$10</f>
        <v>#N/A</v>
      </c>
      <c r="J2249" s="1059" t="e">
        <f>+I2249*0.5*3000</f>
        <v>#N/A</v>
      </c>
      <c r="K2249" s="1085"/>
      <c r="L2249" s="1085"/>
      <c r="M2249" s="1085"/>
      <c r="N2249" s="1085"/>
      <c r="O2249" s="1085"/>
    </row>
    <row r="2250" spans="1:15" ht="15" customHeight="1">
      <c r="A2250" s="1052" t="s">
        <v>374</v>
      </c>
      <c r="B2250" s="869" t="s">
        <v>375</v>
      </c>
      <c r="C2250" s="1058" t="e">
        <f>VLOOKUP(B2244,'LƯƠNG KT'!$D$15:$U$94,8,0)*$L$11</f>
        <v>#N/A</v>
      </c>
      <c r="D2250" s="1059" t="e">
        <f>VLOOKUP(B2244,'LƯƠNG KT'!$D$15:$U$94,13,0)-D2249</f>
        <v>#N/A</v>
      </c>
      <c r="E2250" s="1063"/>
      <c r="F2250" s="1061"/>
      <c r="G2250" s="1052" t="s">
        <v>374</v>
      </c>
      <c r="H2250" s="869" t="s">
        <v>375</v>
      </c>
      <c r="I2250" s="1058" t="e">
        <f>VLOOKUP(H2244,'LƯƠNG KT'!$D$15:$U$94,8,0)*$L$11</f>
        <v>#N/A</v>
      </c>
      <c r="J2250" s="1059" t="e">
        <f>VLOOKUP(H2244,'LƯƠNG KT'!$D$15:$U$94,13,0)-J2249</f>
        <v>#N/A</v>
      </c>
      <c r="K2250" s="1085"/>
      <c r="L2250" s="1085"/>
      <c r="M2250" s="1085"/>
      <c r="N2250" s="1085"/>
      <c r="O2250" s="1085"/>
    </row>
    <row r="2251" spans="1:15" ht="15" customHeight="1">
      <c r="A2251" s="1059" t="s">
        <v>377</v>
      </c>
      <c r="B2251" s="869" t="s">
        <v>378</v>
      </c>
      <c r="C2251" s="1058"/>
      <c r="D2251" s="1059"/>
      <c r="E2251" s="1065"/>
      <c r="F2251" s="1065"/>
      <c r="G2251" s="1059" t="s">
        <v>377</v>
      </c>
      <c r="H2251" s="869" t="s">
        <v>378</v>
      </c>
      <c r="I2251" s="1058"/>
      <c r="J2251" s="1059"/>
    </row>
    <row r="2252" spans="1:15" ht="15" customHeight="1">
      <c r="A2252" s="1066" t="s">
        <v>379</v>
      </c>
      <c r="B2252" s="869" t="s">
        <v>380</v>
      </c>
      <c r="C2252" s="1058"/>
      <c r="D2252" s="1059"/>
      <c r="E2252" s="1063"/>
      <c r="F2252" s="1065"/>
      <c r="G2252" s="1066" t="s">
        <v>379</v>
      </c>
      <c r="H2252" s="869" t="s">
        <v>380</v>
      </c>
      <c r="I2252" s="1058"/>
      <c r="J2252" s="1059"/>
    </row>
    <row r="2253" spans="1:15" ht="15" customHeight="1">
      <c r="A2253" s="1052" t="s">
        <v>381</v>
      </c>
      <c r="B2253" s="869" t="s">
        <v>382</v>
      </c>
      <c r="C2253" s="1058"/>
      <c r="D2253" s="1059">
        <f>D2252</f>
        <v>0</v>
      </c>
      <c r="E2253" s="1067"/>
      <c r="F2253" s="1051"/>
      <c r="G2253" s="1052" t="s">
        <v>381</v>
      </c>
      <c r="H2253" s="869" t="s">
        <v>382</v>
      </c>
      <c r="I2253" s="1058"/>
      <c r="J2253" s="1059">
        <f>J2252</f>
        <v>0</v>
      </c>
    </row>
    <row r="2254" spans="1:15" ht="15" customHeight="1">
      <c r="A2254" s="1068" t="s">
        <v>383</v>
      </c>
      <c r="B2254" s="1069" t="s">
        <v>384</v>
      </c>
      <c r="C2254" s="1070"/>
      <c r="D2254" s="1071" t="e">
        <f>SUM(D2245:D2250)-D2253</f>
        <v>#N/A</v>
      </c>
      <c r="E2254" s="1072"/>
      <c r="F2254" s="1073"/>
      <c r="G2254" s="1068" t="s">
        <v>383</v>
      </c>
      <c r="H2254" s="1069" t="s">
        <v>384</v>
      </c>
      <c r="I2254" s="1070"/>
      <c r="J2254" s="1071" t="e">
        <f>SUM(J2245:J2250)-J2253</f>
        <v>#N/A</v>
      </c>
    </row>
    <row r="2255" spans="1:15" ht="12.6" customHeight="1">
      <c r="A2255" s="1074"/>
      <c r="B2255" s="1075"/>
      <c r="C2255" s="1076"/>
      <c r="D2255" s="1077"/>
      <c r="E2255" s="1077"/>
      <c r="F2255" s="1078"/>
      <c r="G2255" s="1074"/>
      <c r="H2255" s="1075"/>
      <c r="I2255" s="1076"/>
      <c r="J2255" s="1077"/>
    </row>
    <row r="2256" spans="1:15" ht="12.6" customHeight="1">
      <c r="A2256" s="1075"/>
      <c r="B2256" s="1075"/>
      <c r="C2256" s="1079"/>
      <c r="D2256" s="1080"/>
      <c r="E2256" s="1075"/>
      <c r="F2256" s="1081"/>
      <c r="G2256" s="1075"/>
      <c r="H2256" s="1075"/>
      <c r="I2256" s="1079"/>
      <c r="J2256" s="1080"/>
    </row>
    <row r="2257" spans="1:15" ht="15" customHeight="1">
      <c r="A2257" s="2242" t="str">
        <f>$K$2</f>
        <v>THÁNG 09/2024</v>
      </c>
      <c r="B2257" s="2242"/>
      <c r="C2257" s="2242"/>
      <c r="D2257" s="2242"/>
      <c r="E2257" s="1050"/>
      <c r="F2257" s="1051"/>
      <c r="G2257" s="2242" t="str">
        <f>$K$2</f>
        <v>THÁNG 09/2024</v>
      </c>
      <c r="H2257" s="2242"/>
      <c r="I2257" s="2242"/>
      <c r="J2257" s="2242"/>
      <c r="K2257" s="624"/>
    </row>
    <row r="2258" spans="1:15" ht="15" customHeight="1">
      <c r="A2258" s="1052" t="s">
        <v>356</v>
      </c>
      <c r="B2258" s="1053" t="s">
        <v>204</v>
      </c>
      <c r="C2258" s="869"/>
      <c r="D2258" s="1049"/>
      <c r="E2258" s="1054"/>
      <c r="F2258" s="1055"/>
      <c r="G2258" s="1052" t="s">
        <v>356</v>
      </c>
      <c r="H2258" s="1053" t="s">
        <v>205</v>
      </c>
      <c r="I2258" s="869"/>
      <c r="J2258" s="1049"/>
      <c r="L2258" s="1088"/>
      <c r="M2258" s="1088"/>
      <c r="N2258" s="1088"/>
      <c r="O2258" s="1088"/>
    </row>
    <row r="2259" spans="1:15" ht="15" customHeight="1">
      <c r="A2259" s="1052" t="s">
        <v>359</v>
      </c>
      <c r="B2259" s="1089" t="s">
        <v>360</v>
      </c>
      <c r="C2259" s="1058" t="e">
        <f>VLOOKUP(B2258,'LƯƠNG KT'!$D$15:$U$94,3,0)</f>
        <v>#N/A</v>
      </c>
      <c r="D2259" s="1059" t="e">
        <f>+C2259*25000</f>
        <v>#N/A</v>
      </c>
      <c r="E2259" s="1060"/>
      <c r="F2259" s="1060"/>
      <c r="G2259" s="1052" t="s">
        <v>359</v>
      </c>
      <c r="H2259" s="1089" t="s">
        <v>360</v>
      </c>
      <c r="I2259" s="1058" t="e">
        <f>VLOOKUP(H2258,'LƯƠNG KT'!$D$15:$U$94,3,0)</f>
        <v>#N/A</v>
      </c>
      <c r="J2259" s="1059" t="e">
        <f>+I2259*25000</f>
        <v>#N/A</v>
      </c>
      <c r="K2259" s="1085"/>
      <c r="L2259" s="1085"/>
      <c r="M2259" s="1085"/>
      <c r="N2259" s="1085"/>
      <c r="O2259" s="1085"/>
    </row>
    <row r="2260" spans="1:15" ht="15" customHeight="1">
      <c r="A2260" s="1052" t="s">
        <v>361</v>
      </c>
      <c r="B2260" s="869" t="s">
        <v>362</v>
      </c>
      <c r="C2260" s="1058" t="e">
        <f>VLOOKUP(B2258,'LƯƠNG KT'!$D$15:$U$94,14,0)</f>
        <v>#N/A</v>
      </c>
      <c r="D2260" s="1059" t="e">
        <f>C2260*$L$4</f>
        <v>#N/A</v>
      </c>
      <c r="E2260" s="1061"/>
      <c r="F2260" s="1061"/>
      <c r="G2260" s="1052" t="s">
        <v>361</v>
      </c>
      <c r="H2260" s="869" t="s">
        <v>362</v>
      </c>
      <c r="I2260" s="1058" t="e">
        <f>VLOOKUP(H2258,'LƯƠNG KT'!$D$15:$U$94,14,0)</f>
        <v>#N/A</v>
      </c>
      <c r="J2260" s="1059" t="e">
        <f>I2260*$L$4</f>
        <v>#N/A</v>
      </c>
      <c r="K2260" s="1085"/>
      <c r="L2260" s="1085"/>
      <c r="M2260" s="1085"/>
      <c r="N2260" s="1085"/>
      <c r="O2260" s="1085"/>
    </row>
    <row r="2261" spans="1:15" ht="15" customHeight="1">
      <c r="A2261" s="1052" t="s">
        <v>364</v>
      </c>
      <c r="B2261" s="869" t="s">
        <v>365</v>
      </c>
      <c r="C2261" s="1058" t="e">
        <f>VLOOKUP(B2258,'LƯƠNG KT'!$D$15:$U$94,15,0)</f>
        <v>#N/A</v>
      </c>
      <c r="D2261" s="1059" t="e">
        <f>C2261*$L$5</f>
        <v>#N/A</v>
      </c>
      <c r="E2261" s="1061"/>
      <c r="F2261" s="1061"/>
      <c r="G2261" s="1052" t="s">
        <v>364</v>
      </c>
      <c r="H2261" s="869" t="s">
        <v>365</v>
      </c>
      <c r="I2261" s="1058" t="e">
        <f>VLOOKUP(H2258,'LƯƠNG KT'!$D$15:$U$94,15,0)</f>
        <v>#N/A</v>
      </c>
      <c r="J2261" s="1059" t="e">
        <f>I2261*$L$5</f>
        <v>#N/A</v>
      </c>
      <c r="K2261" s="1085"/>
      <c r="L2261" s="1085"/>
      <c r="M2261" s="1085"/>
      <c r="N2261" s="1085"/>
      <c r="O2261" s="1085"/>
    </row>
    <row r="2262" spans="1:15" ht="15" customHeight="1">
      <c r="A2262" s="1052" t="s">
        <v>367</v>
      </c>
      <c r="B2262" s="869"/>
      <c r="C2262" s="1058" t="e">
        <f>VLOOKUP(B2258,'LƯƠNG KT'!$D$15:$U$94,16,0)</f>
        <v>#N/A</v>
      </c>
      <c r="D2262" s="1059" t="e">
        <f>+C2262*$L$6</f>
        <v>#N/A</v>
      </c>
      <c r="E2262" s="1061"/>
      <c r="F2262" s="1061"/>
      <c r="G2262" s="1052" t="s">
        <v>367</v>
      </c>
      <c r="H2262" s="869"/>
      <c r="I2262" s="1058" t="e">
        <f>VLOOKUP(H2258,'LƯƠNG KT'!$D$15:$U$94,16,0)</f>
        <v>#N/A</v>
      </c>
      <c r="J2262" s="1059" t="e">
        <f>+I2262*$L$6</f>
        <v>#N/A</v>
      </c>
      <c r="K2262" s="1085"/>
      <c r="L2262" s="1085"/>
      <c r="M2262" s="1085"/>
      <c r="N2262" s="1085"/>
      <c r="O2262" s="1085"/>
    </row>
    <row r="2263" spans="1:15" ht="15" customHeight="1">
      <c r="A2263" s="1052" t="s">
        <v>371</v>
      </c>
      <c r="B2263" s="869" t="s">
        <v>372</v>
      </c>
      <c r="C2263" s="1058" t="e">
        <f>VLOOKUP(B2258,'LƯƠNG KT'!$D$15:$U$94,9,0)*$L$10</f>
        <v>#N/A</v>
      </c>
      <c r="D2263" s="1059" t="e">
        <f>+C2263*0.5*3000</f>
        <v>#N/A</v>
      </c>
      <c r="E2263" s="1061"/>
      <c r="F2263" s="1061"/>
      <c r="G2263" s="1052" t="s">
        <v>371</v>
      </c>
      <c r="H2263" s="869" t="s">
        <v>372</v>
      </c>
      <c r="I2263" s="1058" t="e">
        <f>VLOOKUP(H2258,'LƯƠNG KT'!$D$15:$U$94,9,0)*$L$10</f>
        <v>#N/A</v>
      </c>
      <c r="J2263" s="1059" t="e">
        <f>+I2263*0.5*3000</f>
        <v>#N/A</v>
      </c>
      <c r="K2263" s="1085"/>
      <c r="L2263" s="1085"/>
      <c r="M2263" s="1085"/>
      <c r="N2263" s="1085"/>
      <c r="O2263" s="1085"/>
    </row>
    <row r="2264" spans="1:15" ht="15" customHeight="1">
      <c r="A2264" s="1052" t="s">
        <v>374</v>
      </c>
      <c r="B2264" s="869" t="s">
        <v>375</v>
      </c>
      <c r="C2264" s="1058" t="e">
        <f>VLOOKUP(B2258,'LƯƠNG KT'!$D$15:$U$94,8,0)*$L$11</f>
        <v>#N/A</v>
      </c>
      <c r="D2264" s="1059" t="e">
        <f>VLOOKUP(B2258,'LƯƠNG KT'!$D$15:$U$94,13,0)-D2263</f>
        <v>#N/A</v>
      </c>
      <c r="E2264" s="1063"/>
      <c r="F2264" s="1061"/>
      <c r="G2264" s="1052" t="s">
        <v>374</v>
      </c>
      <c r="H2264" s="869" t="s">
        <v>375</v>
      </c>
      <c r="I2264" s="1058" t="e">
        <f>VLOOKUP(H2258,'LƯƠNG KT'!$D$15:$U$94,8,0)*$L$11</f>
        <v>#N/A</v>
      </c>
      <c r="J2264" s="1059" t="e">
        <f>VLOOKUP(H2258,'LƯƠNG KT'!$D$15:$U$94,13,0)-J2263</f>
        <v>#N/A</v>
      </c>
      <c r="K2264" s="1085"/>
      <c r="L2264" s="1085"/>
      <c r="M2264" s="1085"/>
      <c r="N2264" s="1085"/>
      <c r="O2264" s="1085"/>
    </row>
    <row r="2265" spans="1:15" ht="15" customHeight="1">
      <c r="A2265" s="1059" t="s">
        <v>377</v>
      </c>
      <c r="B2265" s="869" t="s">
        <v>378</v>
      </c>
      <c r="C2265" s="1058"/>
      <c r="D2265" s="1059"/>
      <c r="E2265" s="1065"/>
      <c r="F2265" s="1065"/>
      <c r="G2265" s="1059" t="s">
        <v>377</v>
      </c>
      <c r="H2265" s="869" t="s">
        <v>378</v>
      </c>
      <c r="I2265" s="1058"/>
      <c r="J2265" s="1059"/>
    </row>
    <row r="2266" spans="1:15" ht="15" customHeight="1">
      <c r="A2266" s="1066" t="s">
        <v>379</v>
      </c>
      <c r="B2266" s="869" t="s">
        <v>380</v>
      </c>
      <c r="C2266" s="1058"/>
      <c r="D2266" s="1059"/>
      <c r="E2266" s="1063"/>
      <c r="F2266" s="1065"/>
      <c r="G2266" s="1066" t="s">
        <v>379</v>
      </c>
      <c r="H2266" s="869" t="s">
        <v>380</v>
      </c>
      <c r="I2266" s="1058"/>
      <c r="J2266" s="1059"/>
    </row>
    <row r="2267" spans="1:15" ht="15" customHeight="1">
      <c r="A2267" s="1052" t="s">
        <v>381</v>
      </c>
      <c r="B2267" s="869" t="s">
        <v>382</v>
      </c>
      <c r="C2267" s="1058"/>
      <c r="D2267" s="1059">
        <f>D2266</f>
        <v>0</v>
      </c>
      <c r="E2267" s="1067"/>
      <c r="F2267" s="1051"/>
      <c r="G2267" s="1052" t="s">
        <v>381</v>
      </c>
      <c r="H2267" s="869" t="s">
        <v>382</v>
      </c>
      <c r="I2267" s="1058"/>
      <c r="J2267" s="1059">
        <f>J2266</f>
        <v>0</v>
      </c>
    </row>
    <row r="2268" spans="1:15" ht="15" customHeight="1">
      <c r="A2268" s="1068" t="s">
        <v>383</v>
      </c>
      <c r="B2268" s="1069" t="s">
        <v>384</v>
      </c>
      <c r="C2268" s="1070"/>
      <c r="D2268" s="1071" t="e">
        <f>SUM(D2259:D2264)-D2267</f>
        <v>#N/A</v>
      </c>
      <c r="E2268" s="1072"/>
      <c r="F2268" s="1073"/>
      <c r="G2268" s="1068" t="s">
        <v>383</v>
      </c>
      <c r="H2268" s="1069" t="s">
        <v>384</v>
      </c>
      <c r="I2268" s="1070"/>
      <c r="J2268" s="1071" t="e">
        <f>SUM(J2259:J2264)-J2267</f>
        <v>#N/A</v>
      </c>
    </row>
    <row r="2269" spans="1:15" ht="18.75" customHeight="1">
      <c r="A2269" s="1074"/>
      <c r="B2269" s="1075"/>
      <c r="C2269" s="1076"/>
      <c r="D2269" s="1077"/>
      <c r="E2269" s="1077"/>
      <c r="F2269" s="1078"/>
      <c r="G2269" s="1074"/>
      <c r="H2269" s="1075"/>
      <c r="I2269" s="1076"/>
      <c r="J2269" s="1077"/>
    </row>
    <row r="2270" spans="1:15" ht="18.75" customHeight="1">
      <c r="A2270" s="1075"/>
      <c r="B2270" s="1075"/>
      <c r="C2270" s="1079"/>
      <c r="D2270" s="1080"/>
      <c r="E2270" s="1075"/>
      <c r="F2270" s="1081"/>
      <c r="G2270" s="1075"/>
      <c r="H2270" s="1075"/>
      <c r="I2270" s="1079"/>
      <c r="J2270" s="1080"/>
    </row>
    <row r="2271" spans="1:15" ht="15" customHeight="1">
      <c r="A2271" s="2242" t="str">
        <f>$K$2</f>
        <v>THÁNG 09/2024</v>
      </c>
      <c r="B2271" s="2242"/>
      <c r="C2271" s="2242"/>
      <c r="D2271" s="2242"/>
      <c r="E2271" s="1050"/>
      <c r="F2271" s="1051"/>
      <c r="G2271" s="2242" t="str">
        <f>$K$2</f>
        <v>THÁNG 09/2024</v>
      </c>
      <c r="H2271" s="2242"/>
      <c r="I2271" s="2242"/>
      <c r="J2271" s="2242"/>
      <c r="K2271" s="624"/>
    </row>
    <row r="2272" spans="1:15" ht="15" customHeight="1">
      <c r="A2272" s="1052" t="s">
        <v>356</v>
      </c>
      <c r="B2272" s="1053" t="s">
        <v>505</v>
      </c>
      <c r="C2272" s="869"/>
      <c r="D2272" s="1049"/>
      <c r="E2272" s="1054"/>
      <c r="F2272" s="1055"/>
      <c r="G2272" s="1052" t="s">
        <v>356</v>
      </c>
      <c r="H2272" s="1053" t="s">
        <v>506</v>
      </c>
      <c r="I2272" s="869"/>
      <c r="J2272" s="1049"/>
      <c r="L2272" s="1088"/>
      <c r="M2272" s="1088"/>
      <c r="N2272" s="1088"/>
      <c r="O2272" s="1088"/>
    </row>
    <row r="2273" spans="1:15" ht="15" customHeight="1">
      <c r="A2273" s="1052" t="s">
        <v>359</v>
      </c>
      <c r="B2273" s="1089" t="s">
        <v>360</v>
      </c>
      <c r="C2273" s="1058" t="e">
        <f>VLOOKUP(B2272,'LƯƠNG KT'!$D$15:$U$94,3,0)</f>
        <v>#N/A</v>
      </c>
      <c r="D2273" s="1059" t="e">
        <f>+C2273*25000</f>
        <v>#N/A</v>
      </c>
      <c r="E2273" s="1060"/>
      <c r="F2273" s="1060"/>
      <c r="G2273" s="1052" t="s">
        <v>359</v>
      </c>
      <c r="H2273" s="1089" t="s">
        <v>360</v>
      </c>
      <c r="I2273" s="1058" t="e">
        <f>VLOOKUP(H2272,'LƯƠNG KT'!$D$15:$U$94,3,0)</f>
        <v>#N/A</v>
      </c>
      <c r="J2273" s="1059" t="e">
        <f>+I2273*25000</f>
        <v>#N/A</v>
      </c>
      <c r="K2273" s="1085"/>
      <c r="L2273" s="1085"/>
      <c r="M2273" s="1085"/>
      <c r="N2273" s="1085"/>
      <c r="O2273" s="1085"/>
    </row>
    <row r="2274" spans="1:15" ht="15" customHeight="1">
      <c r="A2274" s="1052" t="s">
        <v>361</v>
      </c>
      <c r="B2274" s="869" t="s">
        <v>362</v>
      </c>
      <c r="C2274" s="1058" t="e">
        <f>VLOOKUP(B2272,'LƯƠNG KT'!$D$15:$U$94,14,0)</f>
        <v>#N/A</v>
      </c>
      <c r="D2274" s="1059" t="e">
        <f>C2274*$L$4</f>
        <v>#N/A</v>
      </c>
      <c r="E2274" s="1061"/>
      <c r="F2274" s="1061"/>
      <c r="G2274" s="1052" t="s">
        <v>361</v>
      </c>
      <c r="H2274" s="869" t="s">
        <v>362</v>
      </c>
      <c r="I2274" s="1058" t="e">
        <f>VLOOKUP(H2272,'LƯƠNG KT'!$D$15:$U$94,14,0)</f>
        <v>#N/A</v>
      </c>
      <c r="J2274" s="1059" t="e">
        <f>I2274*$L$4</f>
        <v>#N/A</v>
      </c>
      <c r="K2274" s="1085"/>
      <c r="L2274" s="1085"/>
      <c r="M2274" s="1085"/>
      <c r="N2274" s="1085"/>
      <c r="O2274" s="1085"/>
    </row>
    <row r="2275" spans="1:15" ht="15" customHeight="1">
      <c r="A2275" s="1052" t="s">
        <v>364</v>
      </c>
      <c r="B2275" s="869" t="s">
        <v>365</v>
      </c>
      <c r="C2275" s="1058" t="e">
        <f>VLOOKUP(B2272,'LƯƠNG KT'!$D$15:$U$94,15,0)</f>
        <v>#N/A</v>
      </c>
      <c r="D2275" s="1059" t="e">
        <f>C2275*$L$5</f>
        <v>#N/A</v>
      </c>
      <c r="E2275" s="1061"/>
      <c r="F2275" s="1061"/>
      <c r="G2275" s="1052" t="s">
        <v>364</v>
      </c>
      <c r="H2275" s="869" t="s">
        <v>365</v>
      </c>
      <c r="I2275" s="1058" t="e">
        <f>VLOOKUP(H2272,'LƯƠNG KT'!$D$15:$U$94,15,0)</f>
        <v>#N/A</v>
      </c>
      <c r="J2275" s="1059" t="e">
        <f>I2275*$L$5</f>
        <v>#N/A</v>
      </c>
      <c r="K2275" s="1085"/>
      <c r="L2275" s="1085"/>
      <c r="M2275" s="1085"/>
      <c r="N2275" s="1085"/>
      <c r="O2275" s="1085"/>
    </row>
    <row r="2276" spans="1:15" ht="15" customHeight="1">
      <c r="A2276" s="1052" t="s">
        <v>367</v>
      </c>
      <c r="B2276" s="869"/>
      <c r="C2276" s="1058" t="e">
        <f>VLOOKUP(B2272,'LƯƠNG KT'!$D$15:$U$94,16,0)</f>
        <v>#N/A</v>
      </c>
      <c r="D2276" s="1059" t="e">
        <f>+C2276*$L$6</f>
        <v>#N/A</v>
      </c>
      <c r="E2276" s="1061"/>
      <c r="F2276" s="1061"/>
      <c r="G2276" s="1052" t="s">
        <v>367</v>
      </c>
      <c r="H2276" s="869"/>
      <c r="I2276" s="1058" t="e">
        <f>VLOOKUP(H2272,'LƯƠNG KT'!$D$15:$U$94,16,0)</f>
        <v>#N/A</v>
      </c>
      <c r="J2276" s="1059" t="e">
        <f>+I2276*$L$6</f>
        <v>#N/A</v>
      </c>
      <c r="K2276" s="1085"/>
      <c r="L2276" s="1085"/>
      <c r="M2276" s="1085"/>
      <c r="N2276" s="1085"/>
      <c r="O2276" s="1085"/>
    </row>
    <row r="2277" spans="1:15" ht="15" customHeight="1">
      <c r="A2277" s="1052" t="s">
        <v>371</v>
      </c>
      <c r="B2277" s="869" t="s">
        <v>372</v>
      </c>
      <c r="C2277" s="1058" t="e">
        <f>VLOOKUP(B2272,'LƯƠNG KT'!$D$15:$U$94,9,0)*$L$10</f>
        <v>#N/A</v>
      </c>
      <c r="D2277" s="1059" t="e">
        <f>+C2277*0.5*3000</f>
        <v>#N/A</v>
      </c>
      <c r="E2277" s="1061"/>
      <c r="F2277" s="1061"/>
      <c r="G2277" s="1052" t="s">
        <v>371</v>
      </c>
      <c r="H2277" s="869" t="s">
        <v>372</v>
      </c>
      <c r="I2277" s="1058" t="e">
        <f>VLOOKUP(H2272,'LƯƠNG KT'!$D$15:$U$94,9,0)*$L$10</f>
        <v>#N/A</v>
      </c>
      <c r="J2277" s="1059" t="e">
        <f>+I2277*0.5*3000</f>
        <v>#N/A</v>
      </c>
      <c r="K2277" s="1085"/>
      <c r="L2277" s="1085"/>
      <c r="M2277" s="1085"/>
      <c r="N2277" s="1085"/>
      <c r="O2277" s="1085"/>
    </row>
    <row r="2278" spans="1:15" ht="15" customHeight="1">
      <c r="A2278" s="1052" t="s">
        <v>374</v>
      </c>
      <c r="B2278" s="869" t="s">
        <v>375</v>
      </c>
      <c r="C2278" s="1058" t="e">
        <f>VLOOKUP(B2272,'LƯƠNG KT'!$D$15:$U$94,8,0)*$L$11</f>
        <v>#N/A</v>
      </c>
      <c r="D2278" s="1059" t="e">
        <f>VLOOKUP(B2272,'LƯƠNG KT'!$D$15:$U$94,13,0)-D2277</f>
        <v>#N/A</v>
      </c>
      <c r="E2278" s="1063"/>
      <c r="F2278" s="1061"/>
      <c r="G2278" s="1052" t="s">
        <v>374</v>
      </c>
      <c r="H2278" s="869" t="s">
        <v>375</v>
      </c>
      <c r="I2278" s="1058" t="e">
        <f>VLOOKUP(H2272,'LƯƠNG KT'!$D$15:$U$94,8,0)*$L$11</f>
        <v>#N/A</v>
      </c>
      <c r="J2278" s="1059" t="e">
        <f>VLOOKUP(H2272,'LƯƠNG KT'!$D$15:$U$94,13,0)-J2277</f>
        <v>#N/A</v>
      </c>
      <c r="K2278" s="1085"/>
      <c r="L2278" s="1085"/>
      <c r="M2278" s="1085"/>
      <c r="N2278" s="1085"/>
      <c r="O2278" s="1085"/>
    </row>
    <row r="2279" spans="1:15" ht="15" customHeight="1">
      <c r="A2279" s="1059" t="s">
        <v>377</v>
      </c>
      <c r="B2279" s="869" t="s">
        <v>378</v>
      </c>
      <c r="C2279" s="1058"/>
      <c r="D2279" s="1059"/>
      <c r="E2279" s="1065"/>
      <c r="F2279" s="1065"/>
      <c r="G2279" s="1059" t="s">
        <v>377</v>
      </c>
      <c r="H2279" s="869" t="s">
        <v>378</v>
      </c>
      <c r="I2279" s="1058"/>
      <c r="J2279" s="1059"/>
    </row>
    <row r="2280" spans="1:15" ht="15" customHeight="1">
      <c r="A2280" s="1066" t="s">
        <v>379</v>
      </c>
      <c r="B2280" s="869" t="s">
        <v>380</v>
      </c>
      <c r="C2280" s="1058"/>
      <c r="D2280" s="1059"/>
      <c r="E2280" s="1063"/>
      <c r="F2280" s="1065"/>
      <c r="G2280" s="1066" t="s">
        <v>379</v>
      </c>
      <c r="H2280" s="869" t="s">
        <v>380</v>
      </c>
      <c r="I2280" s="1058"/>
      <c r="J2280" s="1059"/>
    </row>
    <row r="2281" spans="1:15" ht="15" customHeight="1">
      <c r="A2281" s="1052" t="s">
        <v>381</v>
      </c>
      <c r="B2281" s="869" t="s">
        <v>382</v>
      </c>
      <c r="C2281" s="1058"/>
      <c r="D2281" s="1059">
        <f>D2280</f>
        <v>0</v>
      </c>
      <c r="E2281" s="1067"/>
      <c r="F2281" s="1051"/>
      <c r="G2281" s="1052" t="s">
        <v>381</v>
      </c>
      <c r="H2281" s="869" t="s">
        <v>382</v>
      </c>
      <c r="I2281" s="1058"/>
      <c r="J2281" s="1059">
        <f>J2280</f>
        <v>0</v>
      </c>
    </row>
    <row r="2282" spans="1:15" ht="15" customHeight="1">
      <c r="A2282" s="1068" t="s">
        <v>383</v>
      </c>
      <c r="B2282" s="1069" t="s">
        <v>384</v>
      </c>
      <c r="C2282" s="1070"/>
      <c r="D2282" s="1071" t="e">
        <f>SUM(D2273:D2278)-D2281</f>
        <v>#N/A</v>
      </c>
      <c r="E2282" s="1072"/>
      <c r="F2282" s="1073"/>
      <c r="G2282" s="1068" t="s">
        <v>383</v>
      </c>
      <c r="H2282" s="1069" t="s">
        <v>384</v>
      </c>
      <c r="I2282" s="1070"/>
      <c r="J2282" s="1071" t="e">
        <f>SUM(J2273:J2278)-J2281</f>
        <v>#N/A</v>
      </c>
    </row>
    <row r="2283" spans="1:15" ht="18.75" customHeight="1">
      <c r="A2283" s="1074"/>
      <c r="B2283" s="1075"/>
      <c r="C2283" s="1076"/>
      <c r="D2283" s="1077"/>
      <c r="E2283" s="1077"/>
      <c r="F2283" s="1078"/>
      <c r="G2283" s="1074"/>
      <c r="H2283" s="1075"/>
      <c r="I2283" s="1076"/>
      <c r="J2283" s="1077"/>
    </row>
    <row r="2284" spans="1:15" ht="18.75" customHeight="1">
      <c r="A2284" s="1075"/>
      <c r="B2284" s="1075"/>
      <c r="C2284" s="1079"/>
      <c r="D2284" s="1080"/>
      <c r="E2284" s="1075"/>
      <c r="F2284" s="1081"/>
      <c r="G2284" s="1075"/>
      <c r="H2284" s="1075"/>
      <c r="I2284" s="1079"/>
      <c r="J2284" s="1080"/>
    </row>
    <row r="2285" spans="1:15" ht="15" customHeight="1">
      <c r="A2285" s="2242" t="str">
        <f>$K$2</f>
        <v>THÁNG 09/2024</v>
      </c>
      <c r="B2285" s="2242"/>
      <c r="C2285" s="2242"/>
      <c r="D2285" s="2242"/>
      <c r="E2285" s="1050"/>
      <c r="F2285" s="1051"/>
      <c r="G2285" s="2242" t="str">
        <f>$K$2</f>
        <v>THÁNG 09/2024</v>
      </c>
      <c r="H2285" s="2242"/>
      <c r="I2285" s="2242"/>
      <c r="J2285" s="2242"/>
      <c r="K2285" s="624"/>
    </row>
    <row r="2286" spans="1:15" ht="15" customHeight="1">
      <c r="A2286" s="1052" t="s">
        <v>356</v>
      </c>
      <c r="B2286" s="1053" t="s">
        <v>507</v>
      </c>
      <c r="C2286" s="869"/>
      <c r="D2286" s="1049"/>
      <c r="E2286" s="1054"/>
      <c r="F2286" s="1055"/>
      <c r="G2286" s="1052" t="s">
        <v>356</v>
      </c>
      <c r="H2286" s="1053"/>
      <c r="I2286" s="869"/>
      <c r="J2286" s="1049"/>
      <c r="L2286" s="1088"/>
      <c r="M2286" s="1088"/>
      <c r="N2286" s="1088"/>
      <c r="O2286" s="1088"/>
    </row>
    <row r="2287" spans="1:15" ht="15" customHeight="1">
      <c r="A2287" s="1052" t="s">
        <v>359</v>
      </c>
      <c r="B2287" s="1089" t="s">
        <v>360</v>
      </c>
      <c r="C2287" s="1058" t="e">
        <f>VLOOKUP(B2286,'LƯƠNG KT'!$D$15:$U$94,3,0)</f>
        <v>#N/A</v>
      </c>
      <c r="D2287" s="1059" t="e">
        <f>+C2287*25000</f>
        <v>#N/A</v>
      </c>
      <c r="E2287" s="1060"/>
      <c r="F2287" s="1060"/>
      <c r="G2287" s="1052" t="s">
        <v>359</v>
      </c>
      <c r="H2287" s="1089" t="s">
        <v>360</v>
      </c>
      <c r="I2287" s="1058" t="e">
        <f>VLOOKUP(H2286,'LƯƠNG KT'!$D$15:$U$94,3,0)</f>
        <v>#N/A</v>
      </c>
      <c r="J2287" s="1059" t="e">
        <f>+I2287*25000</f>
        <v>#N/A</v>
      </c>
      <c r="K2287" s="1085"/>
      <c r="L2287" s="1085"/>
      <c r="M2287" s="1085"/>
      <c r="N2287" s="1085"/>
      <c r="O2287" s="1085"/>
    </row>
    <row r="2288" spans="1:15" ht="15" customHeight="1">
      <c r="A2288" s="1052" t="s">
        <v>361</v>
      </c>
      <c r="B2288" s="869" t="s">
        <v>362</v>
      </c>
      <c r="C2288" s="1058" t="e">
        <f>VLOOKUP(B2286,'LƯƠNG KT'!$D$15:$U$94,14,0)</f>
        <v>#N/A</v>
      </c>
      <c r="D2288" s="1059" t="e">
        <f>C2288*$L$4</f>
        <v>#N/A</v>
      </c>
      <c r="E2288" s="1061"/>
      <c r="F2288" s="1061"/>
      <c r="G2288" s="1052" t="s">
        <v>361</v>
      </c>
      <c r="H2288" s="869" t="s">
        <v>362</v>
      </c>
      <c r="I2288" s="1058" t="e">
        <f>VLOOKUP(H2286,'LƯƠNG KT'!$D$15:$U$94,14,0)</f>
        <v>#N/A</v>
      </c>
      <c r="J2288" s="1059" t="e">
        <f>I2288*$L$4</f>
        <v>#N/A</v>
      </c>
      <c r="K2288" s="1085"/>
      <c r="L2288" s="1085"/>
      <c r="M2288" s="1085"/>
      <c r="N2288" s="1085"/>
      <c r="O2288" s="1085"/>
    </row>
    <row r="2289" spans="1:15" ht="15" customHeight="1">
      <c r="A2289" s="1052" t="s">
        <v>364</v>
      </c>
      <c r="B2289" s="869" t="s">
        <v>365</v>
      </c>
      <c r="C2289" s="1058" t="e">
        <f>VLOOKUP(B2286,'LƯƠNG KT'!$D$15:$U$94,15,0)</f>
        <v>#N/A</v>
      </c>
      <c r="D2289" s="1059" t="e">
        <f>C2289*$L$5</f>
        <v>#N/A</v>
      </c>
      <c r="E2289" s="1061"/>
      <c r="F2289" s="1061"/>
      <c r="G2289" s="1052" t="s">
        <v>364</v>
      </c>
      <c r="H2289" s="869" t="s">
        <v>365</v>
      </c>
      <c r="I2289" s="1058" t="e">
        <f>VLOOKUP(H2286,'LƯƠNG KT'!$D$15:$U$94,15,0)</f>
        <v>#N/A</v>
      </c>
      <c r="J2289" s="1059" t="e">
        <f>I2289*$L$5</f>
        <v>#N/A</v>
      </c>
      <c r="K2289" s="1085"/>
      <c r="L2289" s="1085"/>
      <c r="M2289" s="1085"/>
      <c r="N2289" s="1085"/>
      <c r="O2289" s="1085"/>
    </row>
    <row r="2290" spans="1:15" ht="15" customHeight="1">
      <c r="A2290" s="1052" t="s">
        <v>367</v>
      </c>
      <c r="B2290" s="869"/>
      <c r="C2290" s="1058" t="e">
        <f>VLOOKUP(B2286,'LƯƠNG KT'!$D$15:$U$94,16,0)</f>
        <v>#N/A</v>
      </c>
      <c r="D2290" s="1059" t="e">
        <f>+C2290*$L$6</f>
        <v>#N/A</v>
      </c>
      <c r="E2290" s="1061"/>
      <c r="F2290" s="1061"/>
      <c r="G2290" s="1052" t="s">
        <v>367</v>
      </c>
      <c r="H2290" s="869"/>
      <c r="I2290" s="1058" t="e">
        <f>VLOOKUP(H2286,'LƯƠNG KT'!$D$15:$U$94,16,0)</f>
        <v>#N/A</v>
      </c>
      <c r="J2290" s="1059" t="e">
        <f>+I2290*$L$6</f>
        <v>#N/A</v>
      </c>
      <c r="K2290" s="1085"/>
      <c r="L2290" s="1085"/>
      <c r="M2290" s="1085"/>
      <c r="N2290" s="1085"/>
      <c r="O2290" s="1085"/>
    </row>
    <row r="2291" spans="1:15" ht="15" customHeight="1">
      <c r="A2291" s="1052" t="s">
        <v>371</v>
      </c>
      <c r="B2291" s="869" t="s">
        <v>372</v>
      </c>
      <c r="C2291" s="1058" t="e">
        <f>VLOOKUP(B2286,'LƯƠNG KT'!$D$15:$U$94,9,0)*$L$10</f>
        <v>#N/A</v>
      </c>
      <c r="D2291" s="1059" t="e">
        <f>+C2291*0.5*3000</f>
        <v>#N/A</v>
      </c>
      <c r="E2291" s="1061"/>
      <c r="F2291" s="1061"/>
      <c r="G2291" s="1052" t="s">
        <v>371</v>
      </c>
      <c r="H2291" s="869" t="s">
        <v>372</v>
      </c>
      <c r="I2291" s="1058" t="e">
        <f>VLOOKUP(H2286,'LƯƠNG KT'!$D$15:$U$94,9,0)*$L$10</f>
        <v>#N/A</v>
      </c>
      <c r="J2291" s="1059" t="e">
        <f>+I2291*0.5*3000</f>
        <v>#N/A</v>
      </c>
      <c r="K2291" s="1085"/>
      <c r="L2291" s="1085"/>
      <c r="M2291" s="1085"/>
      <c r="N2291" s="1085"/>
      <c r="O2291" s="1085"/>
    </row>
    <row r="2292" spans="1:15" ht="15" customHeight="1">
      <c r="A2292" s="1052" t="s">
        <v>374</v>
      </c>
      <c r="B2292" s="869" t="s">
        <v>375</v>
      </c>
      <c r="C2292" s="1058" t="e">
        <f>VLOOKUP(B2286,'LƯƠNG KT'!$D$15:$U$94,8,0)*$L$11</f>
        <v>#N/A</v>
      </c>
      <c r="D2292" s="1059" t="e">
        <f>VLOOKUP(B2286,'LƯƠNG KT'!$D$15:$U$94,13,0)-D2291</f>
        <v>#N/A</v>
      </c>
      <c r="E2292" s="1063"/>
      <c r="F2292" s="1061"/>
      <c r="G2292" s="1052" t="s">
        <v>374</v>
      </c>
      <c r="H2292" s="869" t="s">
        <v>375</v>
      </c>
      <c r="I2292" s="1058" t="e">
        <f>VLOOKUP(H2286,'LƯƠNG KT'!$D$15:$U$94,8,0)*$L$11</f>
        <v>#N/A</v>
      </c>
      <c r="J2292" s="1059" t="e">
        <f>VLOOKUP(H2286,'LƯƠNG KT'!$D$15:$U$94,13,0)-J2291</f>
        <v>#N/A</v>
      </c>
      <c r="K2292" s="1085"/>
      <c r="L2292" s="1085"/>
      <c r="M2292" s="1085"/>
      <c r="N2292" s="1085"/>
      <c r="O2292" s="1085"/>
    </row>
    <row r="2293" spans="1:15" ht="15" customHeight="1">
      <c r="A2293" s="1059" t="s">
        <v>377</v>
      </c>
      <c r="B2293" s="869" t="s">
        <v>378</v>
      </c>
      <c r="C2293" s="1058"/>
      <c r="D2293" s="1059"/>
      <c r="E2293" s="1065"/>
      <c r="F2293" s="1065"/>
      <c r="G2293" s="1059" t="s">
        <v>377</v>
      </c>
      <c r="H2293" s="869" t="s">
        <v>378</v>
      </c>
      <c r="I2293" s="1058"/>
      <c r="J2293" s="1059"/>
    </row>
    <row r="2294" spans="1:15" ht="15" customHeight="1">
      <c r="A2294" s="1066" t="s">
        <v>379</v>
      </c>
      <c r="B2294" s="869" t="s">
        <v>380</v>
      </c>
      <c r="C2294" s="1058"/>
      <c r="D2294" s="1059"/>
      <c r="E2294" s="1063"/>
      <c r="F2294" s="1065"/>
      <c r="G2294" s="1066" t="s">
        <v>379</v>
      </c>
      <c r="H2294" s="869" t="s">
        <v>380</v>
      </c>
      <c r="I2294" s="1058"/>
      <c r="J2294" s="1059"/>
    </row>
    <row r="2295" spans="1:15" ht="15" customHeight="1">
      <c r="A2295" s="1052" t="s">
        <v>381</v>
      </c>
      <c r="B2295" s="869" t="s">
        <v>382</v>
      </c>
      <c r="C2295" s="1058"/>
      <c r="D2295" s="1059"/>
      <c r="E2295" s="1067"/>
      <c r="F2295" s="1051"/>
      <c r="G2295" s="1052" t="s">
        <v>381</v>
      </c>
      <c r="H2295" s="869" t="s">
        <v>382</v>
      </c>
      <c r="I2295" s="1058"/>
      <c r="J2295" s="1059"/>
    </row>
    <row r="2296" spans="1:15" ht="15" customHeight="1">
      <c r="A2296" s="1068" t="s">
        <v>383</v>
      </c>
      <c r="B2296" s="1069" t="s">
        <v>384</v>
      </c>
      <c r="C2296" s="1070"/>
      <c r="D2296" s="1071" t="e">
        <f>SUM(D2287:D2292)-D2295</f>
        <v>#N/A</v>
      </c>
      <c r="E2296" s="1072"/>
      <c r="F2296" s="1073"/>
      <c r="G2296" s="1068" t="s">
        <v>383</v>
      </c>
      <c r="H2296" s="1069" t="s">
        <v>384</v>
      </c>
      <c r="I2296" s="1070"/>
      <c r="J2296" s="1071"/>
    </row>
    <row r="2297" spans="1:15" ht="15.75" customHeight="1">
      <c r="A2297" s="1074"/>
      <c r="B2297" s="1075"/>
      <c r="C2297" s="1076"/>
      <c r="D2297" s="1077"/>
      <c r="E2297" s="1077"/>
      <c r="F2297" s="1078"/>
      <c r="G2297" s="1074"/>
      <c r="H2297" s="1075"/>
      <c r="I2297" s="1076"/>
      <c r="J2297" s="1077"/>
    </row>
    <row r="2299" spans="1:15" ht="12" customHeight="1">
      <c r="A2299" s="2243"/>
      <c r="B2299" s="2243"/>
      <c r="C2299" s="2243"/>
      <c r="D2299" s="2243"/>
      <c r="E2299" s="2243"/>
      <c r="F2299" s="2243"/>
      <c r="G2299" s="2243"/>
      <c r="H2299" s="2243"/>
      <c r="I2299" s="2243"/>
      <c r="J2299" s="2243"/>
    </row>
    <row r="2300" spans="1:15" ht="15" customHeight="1">
      <c r="A2300" s="2242" t="str">
        <f>$K$2</f>
        <v>THÁNG 09/2024</v>
      </c>
      <c r="B2300" s="2242"/>
      <c r="C2300" s="2242"/>
      <c r="D2300" s="2242"/>
      <c r="E2300" s="1050"/>
      <c r="F2300" s="1051"/>
      <c r="G2300" s="2242" t="str">
        <f>$K$2</f>
        <v>THÁNG 09/2024</v>
      </c>
      <c r="H2300" s="2242"/>
      <c r="I2300" s="2242"/>
      <c r="J2300" s="2242"/>
      <c r="K2300" s="624"/>
    </row>
    <row r="2301" spans="1:15" ht="15" customHeight="1">
      <c r="A2301" s="1052" t="s">
        <v>356</v>
      </c>
      <c r="B2301" s="1053"/>
      <c r="C2301" s="869"/>
      <c r="D2301" s="1049"/>
      <c r="E2301" s="1054"/>
      <c r="F2301" s="1055"/>
      <c r="G2301" s="1052" t="s">
        <v>356</v>
      </c>
      <c r="H2301" s="1053"/>
      <c r="I2301" s="869"/>
      <c r="J2301" s="1049"/>
      <c r="L2301" s="1088"/>
      <c r="M2301" s="1088"/>
      <c r="N2301" s="1088"/>
      <c r="O2301" s="1088"/>
    </row>
    <row r="2302" spans="1:15" ht="15" customHeight="1">
      <c r="A2302" s="1052" t="s">
        <v>359</v>
      </c>
      <c r="B2302" s="1089" t="s">
        <v>360</v>
      </c>
      <c r="C2302" s="1058"/>
      <c r="D2302" s="1059"/>
      <c r="E2302" s="1060"/>
      <c r="F2302" s="1060"/>
      <c r="G2302" s="1052" t="s">
        <v>359</v>
      </c>
      <c r="H2302" s="1089" t="s">
        <v>360</v>
      </c>
      <c r="I2302" s="1058"/>
      <c r="J2302" s="1059"/>
      <c r="K2302" s="1084"/>
      <c r="L2302" s="1085"/>
      <c r="M2302" s="1085"/>
      <c r="N2302" s="1085"/>
      <c r="O2302" s="1085"/>
    </row>
    <row r="2303" spans="1:15" ht="15" customHeight="1">
      <c r="A2303" s="1052" t="s">
        <v>361</v>
      </c>
      <c r="B2303" s="869" t="s">
        <v>362</v>
      </c>
      <c r="C2303" s="1058"/>
      <c r="D2303" s="1059"/>
      <c r="E2303" s="1061"/>
      <c r="F2303" s="1061"/>
      <c r="G2303" s="1052" t="s">
        <v>361</v>
      </c>
      <c r="H2303" s="869" t="s">
        <v>362</v>
      </c>
      <c r="I2303" s="1058"/>
      <c r="J2303" s="1059"/>
      <c r="K2303" s="1084"/>
      <c r="L2303" s="1085"/>
      <c r="M2303" s="1085"/>
      <c r="N2303" s="1085"/>
      <c r="O2303" s="1085"/>
    </row>
    <row r="2304" spans="1:15" ht="15" customHeight="1">
      <c r="A2304" s="1052" t="s">
        <v>364</v>
      </c>
      <c r="B2304" s="869" t="s">
        <v>365</v>
      </c>
      <c r="C2304" s="1058"/>
      <c r="D2304" s="1059"/>
      <c r="E2304" s="1061"/>
      <c r="F2304" s="1061"/>
      <c r="G2304" s="1052" t="s">
        <v>364</v>
      </c>
      <c r="H2304" s="869" t="s">
        <v>365</v>
      </c>
      <c r="I2304" s="1058"/>
      <c r="J2304" s="1059"/>
      <c r="K2304" s="1084"/>
      <c r="L2304" s="1085"/>
      <c r="M2304" s="1085"/>
      <c r="N2304" s="1085"/>
      <c r="O2304" s="1085"/>
    </row>
    <row r="2305" spans="1:15" ht="15" customHeight="1">
      <c r="A2305" s="1052" t="s">
        <v>508</v>
      </c>
      <c r="B2305" s="869"/>
      <c r="C2305" s="1058"/>
      <c r="D2305" s="1059"/>
      <c r="E2305" s="1061"/>
      <c r="F2305" s="1061"/>
      <c r="G2305" s="1052" t="s">
        <v>508</v>
      </c>
      <c r="H2305" s="869"/>
      <c r="I2305" s="1058"/>
      <c r="J2305" s="1059"/>
      <c r="K2305" s="1085"/>
      <c r="L2305" s="1085"/>
      <c r="M2305" s="1085"/>
      <c r="N2305" s="1085"/>
      <c r="O2305" s="1085"/>
    </row>
    <row r="2306" spans="1:15" ht="15" customHeight="1">
      <c r="A2306" s="1052" t="s">
        <v>371</v>
      </c>
      <c r="B2306" s="869" t="s">
        <v>372</v>
      </c>
      <c r="C2306" s="1058"/>
      <c r="D2306" s="1059"/>
      <c r="E2306" s="1061"/>
      <c r="F2306" s="1061"/>
      <c r="G2306" s="1052" t="s">
        <v>371</v>
      </c>
      <c r="H2306" s="869" t="s">
        <v>372</v>
      </c>
      <c r="I2306" s="1058"/>
      <c r="J2306" s="1059"/>
      <c r="K2306" s="1085"/>
      <c r="L2306" s="1085"/>
      <c r="M2306" s="1085"/>
      <c r="N2306" s="1085"/>
      <c r="O2306" s="1085"/>
    </row>
    <row r="2307" spans="1:15" ht="15" customHeight="1">
      <c r="A2307" s="1052" t="s">
        <v>374</v>
      </c>
      <c r="B2307" s="869" t="s">
        <v>375</v>
      </c>
      <c r="C2307" s="1058"/>
      <c r="D2307" s="1059"/>
      <c r="E2307" s="1063"/>
      <c r="F2307" s="1061"/>
      <c r="G2307" s="1052" t="s">
        <v>374</v>
      </c>
      <c r="H2307" s="869" t="s">
        <v>375</v>
      </c>
      <c r="I2307" s="1058"/>
      <c r="J2307" s="1059"/>
      <c r="K2307" s="1085"/>
      <c r="L2307" s="1085"/>
      <c r="M2307" s="1085"/>
      <c r="N2307" s="1085"/>
      <c r="O2307" s="1085"/>
    </row>
    <row r="2308" spans="1:15" ht="15" customHeight="1">
      <c r="A2308" s="1059" t="s">
        <v>377</v>
      </c>
      <c r="B2308" s="869" t="s">
        <v>378</v>
      </c>
      <c r="C2308" s="1058"/>
      <c r="D2308" s="1059"/>
      <c r="E2308" s="1065"/>
      <c r="F2308" s="1065"/>
      <c r="G2308" s="1059" t="s">
        <v>377</v>
      </c>
      <c r="H2308" s="869" t="s">
        <v>378</v>
      </c>
      <c r="I2308" s="1058"/>
      <c r="J2308" s="1059"/>
    </row>
    <row r="2309" spans="1:15" ht="15" customHeight="1">
      <c r="A2309" s="1066" t="s">
        <v>379</v>
      </c>
      <c r="B2309" s="869" t="s">
        <v>380</v>
      </c>
      <c r="C2309" s="1058"/>
      <c r="D2309" s="1059"/>
      <c r="E2309" s="1063"/>
      <c r="F2309" s="1065"/>
      <c r="G2309" s="1066" t="s">
        <v>379</v>
      </c>
      <c r="H2309" s="869" t="s">
        <v>380</v>
      </c>
      <c r="I2309" s="1058"/>
      <c r="J2309" s="1059"/>
    </row>
    <row r="2310" spans="1:15" ht="15" customHeight="1">
      <c r="A2310" s="1052" t="s">
        <v>381</v>
      </c>
      <c r="B2310" s="869" t="s">
        <v>382</v>
      </c>
      <c r="C2310" s="1058"/>
      <c r="D2310" s="1059"/>
      <c r="E2310" s="1067"/>
      <c r="F2310" s="1051"/>
      <c r="G2310" s="1052" t="s">
        <v>381</v>
      </c>
      <c r="H2310" s="869" t="s">
        <v>382</v>
      </c>
      <c r="I2310" s="1058"/>
      <c r="J2310" s="1059"/>
    </row>
    <row r="2311" spans="1:15" ht="15" customHeight="1">
      <c r="A2311" s="1068" t="s">
        <v>383</v>
      </c>
      <c r="B2311" s="1069" t="s">
        <v>384</v>
      </c>
      <c r="C2311" s="1070"/>
      <c r="D2311" s="1071"/>
      <c r="E2311" s="1072"/>
      <c r="F2311" s="1073"/>
      <c r="G2311" s="1068" t="s">
        <v>383</v>
      </c>
      <c r="H2311" s="1069" t="s">
        <v>384</v>
      </c>
      <c r="I2311" s="1070"/>
      <c r="J2311" s="1071"/>
      <c r="K2311" s="1090" t="s">
        <v>503</v>
      </c>
      <c r="L2311" s="1090" t="e">
        <f>D2353+D2339+J2339+J2325+D2325+D2311+J2311+J2296+D2296+D2282+J2282+J2268+D2268+D2254+J2254+J2239+D2239+D2225+J2225+J2211+D2211+D2197+J2197+J2182+D2182+D2168+J2168+J2154+D2154+D2140+J2140+J2125+D2125+D2111+J2111+J2097+D2097+D2083+J2083+J2068+D2068+D2054+J2054+J2040+D2040+D2026+J2026+D2011+J2011+J1997+D1997+D1983+J1983+J1969+D1969+J1954+D1954+D1940+J1940+J1926+D1926+D1912+J1912+J1897+D1897+J1883+D1883+D1869+J1869+J1855+D1855+D1840+J1840+J1826+D1826+D1812+J1812+J1798+D1798+D1783+J1783+J1769+D1769+D1755+J1755+J1741+D1741+D1726+J1726+J1712+D1712+D1698+J1698+J1684+D1684</f>
        <v>#N/A</v>
      </c>
      <c r="M2311" s="1090"/>
      <c r="N2311" s="1090"/>
      <c r="O2311" s="1090"/>
    </row>
    <row r="2312" spans="1:15" ht="12.6" customHeight="1">
      <c r="A2312" s="1074"/>
      <c r="B2312" s="1075"/>
      <c r="C2312" s="1076"/>
      <c r="D2312" s="1077"/>
      <c r="E2312" s="1077"/>
      <c r="F2312" s="1078"/>
      <c r="G2312" s="1074"/>
      <c r="H2312" s="1075"/>
      <c r="I2312" s="1076"/>
      <c r="J2312" s="1077"/>
    </row>
    <row r="2313" spans="1:15" ht="12.6" customHeight="1">
      <c r="A2313" s="1075"/>
      <c r="B2313" s="1075"/>
      <c r="C2313" s="1079"/>
      <c r="D2313" s="1080"/>
      <c r="E2313" s="1075"/>
      <c r="F2313" s="1081"/>
      <c r="G2313" s="1075"/>
      <c r="H2313" s="1075"/>
      <c r="I2313" s="1079"/>
      <c r="J2313" s="1080"/>
    </row>
    <row r="2314" spans="1:15" ht="15" customHeight="1">
      <c r="A2314" s="2242"/>
      <c r="B2314" s="2242"/>
      <c r="C2314" s="2242"/>
      <c r="D2314" s="2242"/>
      <c r="E2314" s="1050"/>
      <c r="F2314" s="1051"/>
      <c r="G2314" s="2242"/>
      <c r="H2314" s="2242"/>
      <c r="I2314" s="2242"/>
      <c r="J2314" s="2242"/>
      <c r="K2314" s="624"/>
    </row>
    <row r="2315" spans="1:15" ht="15" customHeight="1">
      <c r="A2315" s="1052"/>
      <c r="B2315" s="1053"/>
      <c r="C2315" s="869"/>
      <c r="D2315" s="1049"/>
      <c r="E2315" s="1054"/>
      <c r="F2315" s="1055"/>
      <c r="G2315" s="1052"/>
      <c r="H2315" s="1053"/>
      <c r="I2315" s="869"/>
      <c r="J2315" s="1049"/>
      <c r="L2315" s="1088"/>
      <c r="M2315" s="1088"/>
      <c r="N2315" s="1088"/>
      <c r="O2315" s="1088"/>
    </row>
    <row r="2316" spans="1:15" ht="15" customHeight="1">
      <c r="A2316" s="1052"/>
      <c r="B2316" s="1089"/>
      <c r="C2316" s="1058"/>
      <c r="D2316" s="1059"/>
      <c r="E2316" s="1060"/>
      <c r="F2316" s="1060"/>
      <c r="G2316" s="1052"/>
      <c r="H2316" s="1089"/>
      <c r="I2316" s="1058"/>
      <c r="J2316" s="1059"/>
      <c r="K2316" s="1085"/>
      <c r="L2316" s="1085"/>
      <c r="M2316" s="1085"/>
      <c r="N2316" s="1085"/>
      <c r="O2316" s="1085"/>
    </row>
    <row r="2317" spans="1:15" ht="15" customHeight="1">
      <c r="A2317" s="1052"/>
      <c r="B2317" s="869"/>
      <c r="C2317" s="1058"/>
      <c r="D2317" s="1059"/>
      <c r="E2317" s="1061"/>
      <c r="F2317" s="1061"/>
      <c r="G2317" s="1052"/>
      <c r="H2317" s="869"/>
      <c r="I2317" s="1058"/>
      <c r="J2317" s="1059"/>
      <c r="K2317" s="1085"/>
      <c r="L2317" s="1085"/>
      <c r="M2317" s="1085"/>
      <c r="N2317" s="1085"/>
      <c r="O2317" s="1085"/>
    </row>
    <row r="2318" spans="1:15" ht="15" customHeight="1">
      <c r="A2318" s="1052"/>
      <c r="B2318" s="869"/>
      <c r="C2318" s="1058"/>
      <c r="D2318" s="1059"/>
      <c r="E2318" s="1061"/>
      <c r="F2318" s="1061"/>
      <c r="G2318" s="1052"/>
      <c r="H2318" s="869"/>
      <c r="I2318" s="1058"/>
      <c r="J2318" s="1059"/>
      <c r="K2318" s="1085"/>
      <c r="L2318" s="1085"/>
      <c r="M2318" s="1085"/>
      <c r="N2318" s="1085"/>
      <c r="O2318" s="1085"/>
    </row>
    <row r="2319" spans="1:15" ht="15" customHeight="1">
      <c r="A2319" s="1052"/>
      <c r="B2319" s="869"/>
      <c r="C2319" s="1058"/>
      <c r="D2319" s="1059"/>
      <c r="E2319" s="1061"/>
      <c r="F2319" s="1061"/>
      <c r="G2319" s="1052"/>
      <c r="H2319" s="869"/>
      <c r="I2319" s="1058"/>
      <c r="J2319" s="1059"/>
      <c r="K2319" s="1085"/>
      <c r="L2319" s="1085"/>
      <c r="M2319" s="1085"/>
      <c r="N2319" s="1085"/>
      <c r="O2319" s="1085"/>
    </row>
    <row r="2320" spans="1:15" ht="15" customHeight="1">
      <c r="A2320" s="1052"/>
      <c r="B2320" s="869"/>
      <c r="C2320" s="1058"/>
      <c r="D2320" s="1059"/>
      <c r="E2320" s="1061"/>
      <c r="F2320" s="1061"/>
      <c r="G2320" s="1052"/>
      <c r="H2320" s="869"/>
      <c r="I2320" s="1058"/>
      <c r="J2320" s="1059"/>
      <c r="K2320" s="1085"/>
      <c r="L2320" s="1085"/>
      <c r="M2320" s="1085"/>
      <c r="N2320" s="1085"/>
      <c r="O2320" s="1085"/>
    </row>
    <row r="2321" spans="1:15" ht="15" customHeight="1">
      <c r="A2321" s="1052"/>
      <c r="B2321" s="869"/>
      <c r="C2321" s="1058"/>
      <c r="D2321" s="1059"/>
      <c r="E2321" s="1063"/>
      <c r="F2321" s="1061"/>
      <c r="G2321" s="1052"/>
      <c r="H2321" s="869"/>
      <c r="I2321" s="1058"/>
      <c r="J2321" s="1059"/>
      <c r="K2321" s="1085"/>
      <c r="L2321" s="1085"/>
      <c r="M2321" s="1085"/>
      <c r="N2321" s="1085"/>
      <c r="O2321" s="1085"/>
    </row>
    <row r="2322" spans="1:15" ht="15" customHeight="1">
      <c r="A2322" s="1059"/>
      <c r="B2322" s="869"/>
      <c r="C2322" s="1058"/>
      <c r="D2322" s="1059"/>
      <c r="E2322" s="1065"/>
      <c r="F2322" s="1065"/>
      <c r="G2322" s="1059"/>
      <c r="H2322" s="869"/>
      <c r="I2322" s="1058"/>
      <c r="J2322" s="1059"/>
    </row>
    <row r="2323" spans="1:15" ht="15" customHeight="1">
      <c r="A2323" s="1066"/>
      <c r="B2323" s="869"/>
      <c r="C2323" s="1058"/>
      <c r="D2323" s="1059"/>
      <c r="E2323" s="1063"/>
      <c r="F2323" s="1065"/>
      <c r="G2323" s="1066"/>
      <c r="H2323" s="869"/>
      <c r="I2323" s="1058"/>
      <c r="J2323" s="1059"/>
    </row>
    <row r="2324" spans="1:15" ht="15" customHeight="1">
      <c r="A2324" s="1052"/>
      <c r="B2324" s="869"/>
      <c r="C2324" s="1058"/>
      <c r="D2324" s="1059"/>
      <c r="E2324" s="1067"/>
      <c r="F2324" s="1051"/>
      <c r="G2324" s="1052"/>
      <c r="H2324" s="869"/>
      <c r="I2324" s="1058"/>
      <c r="J2324" s="1059"/>
    </row>
    <row r="2325" spans="1:15" ht="15" customHeight="1">
      <c r="A2325" s="1068"/>
      <c r="B2325" s="1069"/>
      <c r="C2325" s="1070"/>
      <c r="D2325" s="1071"/>
      <c r="E2325" s="1072"/>
      <c r="F2325" s="1073"/>
      <c r="G2325" s="1068"/>
      <c r="H2325" s="1069"/>
      <c r="I2325" s="1070"/>
      <c r="J2325" s="1071"/>
    </row>
    <row r="2326" spans="1:15" ht="18.75" customHeight="1">
      <c r="A2326" s="1074"/>
      <c r="B2326" s="1075"/>
      <c r="C2326" s="1076"/>
      <c r="D2326" s="1077"/>
      <c r="E2326" s="1077"/>
      <c r="F2326" s="1078"/>
      <c r="G2326" s="1074"/>
      <c r="H2326" s="1075"/>
      <c r="I2326" s="1076"/>
      <c r="J2326" s="1077"/>
    </row>
    <row r="2327" spans="1:15" ht="18.75" customHeight="1">
      <c r="A2327" s="1075"/>
      <c r="B2327" s="1075"/>
      <c r="C2327" s="1079"/>
      <c r="D2327" s="1080"/>
      <c r="E2327" s="1075"/>
      <c r="F2327" s="1081"/>
      <c r="G2327" s="1075"/>
      <c r="H2327" s="1075"/>
      <c r="I2327" s="1079"/>
      <c r="J2327" s="1080"/>
    </row>
    <row r="2328" spans="1:15" ht="15" customHeight="1">
      <c r="A2328" s="2242"/>
      <c r="B2328" s="2242"/>
      <c r="C2328" s="2242"/>
      <c r="D2328" s="2242"/>
      <c r="E2328" s="1050"/>
      <c r="F2328" s="1051"/>
      <c r="G2328" s="2242"/>
      <c r="H2328" s="2242"/>
      <c r="I2328" s="2242"/>
      <c r="J2328" s="2242"/>
      <c r="K2328" s="624"/>
    </row>
    <row r="2329" spans="1:15" ht="15" customHeight="1">
      <c r="A2329" s="1052"/>
      <c r="B2329" s="1053"/>
      <c r="C2329" s="869"/>
      <c r="D2329" s="1049"/>
      <c r="E2329" s="1054"/>
      <c r="F2329" s="1055"/>
      <c r="G2329" s="1052"/>
      <c r="H2329" s="1053"/>
      <c r="I2329" s="869"/>
      <c r="J2329" s="1049"/>
      <c r="L2329" s="1088"/>
      <c r="M2329" s="1088"/>
      <c r="N2329" s="1088"/>
      <c r="O2329" s="1088"/>
    </row>
    <row r="2330" spans="1:15" ht="15" customHeight="1">
      <c r="A2330" s="1052"/>
      <c r="B2330" s="1089"/>
      <c r="C2330" s="1058"/>
      <c r="D2330" s="1059"/>
      <c r="E2330" s="1060"/>
      <c r="F2330" s="1060"/>
      <c r="G2330" s="1052"/>
      <c r="H2330" s="1089"/>
      <c r="I2330" s="1058"/>
      <c r="J2330" s="1059"/>
      <c r="K2330" s="1085"/>
      <c r="L2330" s="1085"/>
      <c r="M2330" s="1085"/>
      <c r="N2330" s="1085"/>
      <c r="O2330" s="1085"/>
    </row>
    <row r="2331" spans="1:15" ht="15" customHeight="1">
      <c r="A2331" s="1052"/>
      <c r="B2331" s="869"/>
      <c r="C2331" s="1058"/>
      <c r="D2331" s="1059"/>
      <c r="E2331" s="1061"/>
      <c r="F2331" s="1061"/>
      <c r="G2331" s="1052"/>
      <c r="H2331" s="869"/>
      <c r="I2331" s="1058"/>
      <c r="J2331" s="1059"/>
      <c r="K2331" s="1085"/>
      <c r="L2331" s="1085"/>
      <c r="M2331" s="1085"/>
      <c r="N2331" s="1085"/>
      <c r="O2331" s="1085"/>
    </row>
    <row r="2332" spans="1:15" ht="15" customHeight="1">
      <c r="A2332" s="1052"/>
      <c r="B2332" s="869"/>
      <c r="C2332" s="1058"/>
      <c r="D2332" s="1059"/>
      <c r="E2332" s="1061"/>
      <c r="F2332" s="1061"/>
      <c r="G2332" s="1052"/>
      <c r="H2332" s="869"/>
      <c r="I2332" s="1058"/>
      <c r="J2332" s="1059"/>
      <c r="K2332" s="1085"/>
      <c r="L2332" s="1085"/>
      <c r="M2332" s="1085"/>
      <c r="N2332" s="1085"/>
      <c r="O2332" s="1085"/>
    </row>
    <row r="2333" spans="1:15" ht="15" customHeight="1">
      <c r="A2333" s="1052"/>
      <c r="B2333" s="869"/>
      <c r="C2333" s="1058"/>
      <c r="D2333" s="1059"/>
      <c r="E2333" s="1061"/>
      <c r="F2333" s="1061"/>
      <c r="G2333" s="1052"/>
      <c r="H2333" s="869"/>
      <c r="I2333" s="1058"/>
      <c r="J2333" s="1059"/>
      <c r="K2333" s="1085"/>
      <c r="L2333" s="1085"/>
      <c r="M2333" s="1085"/>
      <c r="N2333" s="1085"/>
      <c r="O2333" s="1085"/>
    </row>
    <row r="2334" spans="1:15" ht="15" customHeight="1">
      <c r="A2334" s="1052"/>
      <c r="B2334" s="869"/>
      <c r="C2334" s="1058"/>
      <c r="D2334" s="1059"/>
      <c r="E2334" s="1061"/>
      <c r="F2334" s="1061"/>
      <c r="G2334" s="1052"/>
      <c r="H2334" s="869"/>
      <c r="I2334" s="1058"/>
      <c r="J2334" s="1059"/>
      <c r="K2334" s="1085"/>
      <c r="L2334" s="1085"/>
      <c r="M2334" s="1085"/>
      <c r="N2334" s="1085"/>
      <c r="O2334" s="1085"/>
    </row>
    <row r="2335" spans="1:15" ht="15" customHeight="1">
      <c r="A2335" s="1052"/>
      <c r="B2335" s="869"/>
      <c r="C2335" s="1058"/>
      <c r="D2335" s="1059"/>
      <c r="E2335" s="1063"/>
      <c r="F2335" s="1061"/>
      <c r="G2335" s="1052"/>
      <c r="H2335" s="869"/>
      <c r="I2335" s="1058"/>
      <c r="J2335" s="1059"/>
      <c r="K2335" s="1085"/>
      <c r="L2335" s="1085"/>
      <c r="M2335" s="1085"/>
      <c r="N2335" s="1085"/>
      <c r="O2335" s="1085"/>
    </row>
    <row r="2336" spans="1:15" ht="15" customHeight="1">
      <c r="A2336" s="1059"/>
      <c r="B2336" s="869"/>
      <c r="C2336" s="1058"/>
      <c r="D2336" s="1059"/>
      <c r="E2336" s="1065"/>
      <c r="F2336" s="1065"/>
      <c r="G2336" s="1059"/>
      <c r="H2336" s="869"/>
      <c r="I2336" s="1058"/>
      <c r="J2336" s="1059"/>
    </row>
    <row r="2337" spans="1:15" ht="15" customHeight="1">
      <c r="A2337" s="1066"/>
      <c r="B2337" s="869"/>
      <c r="C2337" s="1058"/>
      <c r="D2337" s="1059"/>
      <c r="E2337" s="1063"/>
      <c r="F2337" s="1065"/>
      <c r="G2337" s="1066"/>
      <c r="H2337" s="869"/>
      <c r="I2337" s="1058"/>
      <c r="J2337" s="1059"/>
    </row>
    <row r="2338" spans="1:15" ht="15" customHeight="1">
      <c r="A2338" s="1052"/>
      <c r="B2338" s="869"/>
      <c r="C2338" s="1058"/>
      <c r="D2338" s="1059"/>
      <c r="E2338" s="1067"/>
      <c r="F2338" s="1051"/>
      <c r="G2338" s="1052"/>
      <c r="H2338" s="869"/>
      <c r="I2338" s="1058"/>
      <c r="J2338" s="1059"/>
    </row>
    <row r="2339" spans="1:15" ht="15" customHeight="1">
      <c r="A2339" s="1068"/>
      <c r="B2339" s="1069"/>
      <c r="C2339" s="1070"/>
      <c r="D2339" s="1071"/>
      <c r="E2339" s="1072"/>
      <c r="F2339" s="1073"/>
      <c r="G2339" s="1068"/>
      <c r="H2339" s="1069"/>
      <c r="I2339" s="1070"/>
      <c r="J2339" s="1071"/>
    </row>
    <row r="2340" spans="1:15" ht="18.75" customHeight="1">
      <c r="A2340" s="1074"/>
      <c r="B2340" s="1075"/>
      <c r="C2340" s="1076"/>
      <c r="D2340" s="1077"/>
      <c r="E2340" s="1077"/>
      <c r="F2340" s="1078"/>
      <c r="G2340" s="1074"/>
      <c r="H2340" s="1075"/>
      <c r="I2340" s="1076"/>
      <c r="J2340" s="1077"/>
    </row>
    <row r="2341" spans="1:15" ht="18.75" customHeight="1">
      <c r="A2341" s="1075"/>
      <c r="B2341" s="1075"/>
      <c r="C2341" s="1079"/>
      <c r="D2341" s="1080"/>
      <c r="E2341" s="1075"/>
      <c r="F2341" s="1081"/>
      <c r="G2341" s="1075"/>
      <c r="H2341" s="1075"/>
      <c r="I2341" s="1079"/>
      <c r="J2341" s="1080"/>
    </row>
    <row r="2342" spans="1:15" ht="15" customHeight="1">
      <c r="A2342" s="2242"/>
      <c r="B2342" s="2242"/>
      <c r="C2342" s="2242"/>
      <c r="D2342" s="2242"/>
      <c r="E2342" s="1050"/>
      <c r="F2342" s="1051"/>
      <c r="G2342" s="2242"/>
      <c r="H2342" s="2242"/>
      <c r="I2342" s="2242"/>
      <c r="J2342" s="2242"/>
      <c r="K2342" s="624"/>
    </row>
    <row r="2343" spans="1:15" ht="15" customHeight="1">
      <c r="A2343" s="1052"/>
      <c r="B2343" s="1053"/>
      <c r="C2343" s="869"/>
      <c r="D2343" s="1049"/>
      <c r="E2343" s="1054"/>
      <c r="F2343" s="1055"/>
      <c r="G2343" s="1052"/>
      <c r="H2343" s="1053"/>
      <c r="I2343" s="869"/>
      <c r="J2343" s="1049"/>
      <c r="L2343" s="1088"/>
      <c r="M2343" s="1088"/>
      <c r="N2343" s="1088"/>
      <c r="O2343" s="1088"/>
    </row>
    <row r="2344" spans="1:15" ht="15" customHeight="1">
      <c r="A2344" s="1052"/>
      <c r="B2344" s="1089"/>
      <c r="C2344" s="1058"/>
      <c r="D2344" s="1059"/>
      <c r="E2344" s="1060"/>
      <c r="F2344" s="1060"/>
      <c r="G2344" s="1052"/>
      <c r="H2344" s="1089"/>
      <c r="I2344" s="1058"/>
      <c r="J2344" s="1059"/>
      <c r="K2344" s="1085"/>
      <c r="L2344" s="1085"/>
      <c r="M2344" s="1085"/>
      <c r="N2344" s="1085"/>
      <c r="O2344" s="1085"/>
    </row>
    <row r="2345" spans="1:15" ht="15" customHeight="1">
      <c r="A2345" s="1052"/>
      <c r="B2345" s="869"/>
      <c r="C2345" s="1058"/>
      <c r="D2345" s="1059"/>
      <c r="E2345" s="1061"/>
      <c r="F2345" s="1061"/>
      <c r="G2345" s="1052"/>
      <c r="H2345" s="869"/>
      <c r="I2345" s="1058"/>
      <c r="J2345" s="1059"/>
      <c r="K2345" s="1085"/>
      <c r="L2345" s="1085"/>
      <c r="M2345" s="1085"/>
      <c r="N2345" s="1085"/>
      <c r="O2345" s="1085"/>
    </row>
    <row r="2346" spans="1:15" ht="15" customHeight="1">
      <c r="A2346" s="1052"/>
      <c r="B2346" s="869"/>
      <c r="C2346" s="1058"/>
      <c r="D2346" s="1059"/>
      <c r="E2346" s="1061"/>
      <c r="F2346" s="1061"/>
      <c r="G2346" s="1052"/>
      <c r="H2346" s="869"/>
      <c r="I2346" s="1058"/>
      <c r="J2346" s="1059"/>
      <c r="K2346" s="1085"/>
      <c r="L2346" s="1085"/>
      <c r="M2346" s="1085"/>
      <c r="N2346" s="1085"/>
      <c r="O2346" s="1085"/>
    </row>
    <row r="2347" spans="1:15" ht="15" customHeight="1">
      <c r="A2347" s="1052"/>
      <c r="B2347" s="869"/>
      <c r="C2347" s="1058"/>
      <c r="D2347" s="1059"/>
      <c r="E2347" s="1061"/>
      <c r="F2347" s="1061"/>
      <c r="G2347" s="1052"/>
      <c r="H2347" s="869"/>
      <c r="I2347" s="1058"/>
      <c r="J2347" s="1059"/>
      <c r="K2347" s="1085"/>
      <c r="L2347" s="1085"/>
      <c r="M2347" s="1085"/>
      <c r="N2347" s="1085"/>
      <c r="O2347" s="1085"/>
    </row>
    <row r="2348" spans="1:15" ht="15" customHeight="1">
      <c r="A2348" s="1052"/>
      <c r="B2348" s="869"/>
      <c r="C2348" s="1058"/>
      <c r="D2348" s="1059"/>
      <c r="E2348" s="1061"/>
      <c r="F2348" s="1061"/>
      <c r="G2348" s="1052"/>
      <c r="H2348" s="869"/>
      <c r="I2348" s="1058"/>
      <c r="J2348" s="1059"/>
    </row>
    <row r="2349" spans="1:15" ht="15" customHeight="1">
      <c r="A2349" s="1052"/>
      <c r="B2349" s="869"/>
      <c r="C2349" s="1058"/>
      <c r="D2349" s="1059"/>
      <c r="E2349" s="1063"/>
      <c r="F2349" s="1061"/>
      <c r="G2349" s="1052"/>
      <c r="H2349" s="869"/>
      <c r="I2349" s="1058"/>
      <c r="J2349" s="1059"/>
      <c r="K2349" s="1085"/>
      <c r="L2349" s="1085"/>
      <c r="M2349" s="1085"/>
      <c r="N2349" s="1085"/>
      <c r="O2349" s="1085"/>
    </row>
    <row r="2350" spans="1:15" ht="15" customHeight="1">
      <c r="A2350" s="1059"/>
      <c r="B2350" s="869"/>
      <c r="C2350" s="1058"/>
      <c r="D2350" s="1059"/>
      <c r="E2350" s="1065"/>
      <c r="F2350" s="1065"/>
      <c r="G2350" s="1059"/>
      <c r="H2350" s="869"/>
      <c r="I2350" s="1058"/>
      <c r="J2350" s="1059"/>
    </row>
    <row r="2351" spans="1:15" ht="15" customHeight="1">
      <c r="A2351" s="1066"/>
      <c r="B2351" s="869"/>
      <c r="C2351" s="1058"/>
      <c r="D2351" s="1059"/>
      <c r="E2351" s="1063"/>
      <c r="F2351" s="1065"/>
      <c r="G2351" s="1066"/>
      <c r="H2351" s="869"/>
      <c r="I2351" s="1058"/>
      <c r="J2351" s="1059"/>
    </row>
    <row r="2352" spans="1:15" ht="15" customHeight="1">
      <c r="A2352" s="1052"/>
      <c r="B2352" s="869"/>
      <c r="C2352" s="1058"/>
      <c r="D2352" s="1059"/>
      <c r="E2352" s="1067"/>
      <c r="F2352" s="1051"/>
      <c r="G2352" s="1052"/>
      <c r="H2352" s="869"/>
      <c r="I2352" s="1058"/>
      <c r="J2352" s="1059"/>
    </row>
    <row r="2353" spans="1:15" ht="15" customHeight="1">
      <c r="A2353" s="1068"/>
      <c r="B2353" s="1069"/>
      <c r="C2353" s="1070"/>
      <c r="D2353" s="1071"/>
      <c r="E2353" s="1072"/>
      <c r="F2353" s="1073"/>
      <c r="G2353" s="1068"/>
      <c r="H2353" s="1069"/>
      <c r="I2353" s="1070"/>
      <c r="J2353" s="1071"/>
    </row>
    <row r="2354" spans="1:15" ht="15.75" customHeight="1">
      <c r="A2354" s="1074"/>
      <c r="B2354" s="1075"/>
      <c r="C2354" s="1076"/>
      <c r="D2354" s="1077"/>
      <c r="E2354" s="1077"/>
      <c r="F2354" s="1078"/>
      <c r="G2354" s="1074"/>
      <c r="H2354" s="1075"/>
      <c r="I2354" s="1076"/>
      <c r="J2354" s="1077"/>
    </row>
    <row r="2356" spans="1:15" ht="12" customHeight="1">
      <c r="A2356" s="2244" t="s">
        <v>509</v>
      </c>
      <c r="B2356" s="2244"/>
      <c r="C2356" s="2244"/>
      <c r="D2356" s="2244"/>
      <c r="E2356" s="2244"/>
      <c r="F2356" s="2244"/>
      <c r="G2356" s="2244"/>
      <c r="H2356" s="2244"/>
      <c r="I2356" s="2244"/>
      <c r="J2356" s="2244"/>
    </row>
    <row r="2357" spans="1:15" ht="15" customHeight="1">
      <c r="A2357" s="2242" t="str">
        <f>$K$2</f>
        <v>THÁNG 09/2024</v>
      </c>
      <c r="B2357" s="2242"/>
      <c r="C2357" s="2242"/>
      <c r="D2357" s="2242"/>
      <c r="E2357" s="1050"/>
      <c r="F2357" s="1051"/>
      <c r="G2357" s="2242" t="str">
        <f>$K$2</f>
        <v>THÁNG 09/2024</v>
      </c>
      <c r="H2357" s="2242"/>
      <c r="I2357" s="2242"/>
      <c r="J2357" s="2242"/>
      <c r="K2357" s="624"/>
    </row>
    <row r="2358" spans="1:15" ht="15" customHeight="1">
      <c r="A2358" s="1052" t="s">
        <v>356</v>
      </c>
      <c r="B2358" s="1053" t="s">
        <v>206</v>
      </c>
      <c r="C2358" s="869"/>
      <c r="D2358" s="1049"/>
      <c r="E2358" s="1054"/>
      <c r="F2358" s="1055"/>
      <c r="G2358" s="1052" t="s">
        <v>356</v>
      </c>
      <c r="H2358" s="1053" t="s">
        <v>207</v>
      </c>
      <c r="I2358" s="869"/>
      <c r="J2358" s="1049"/>
      <c r="L2358" s="1088"/>
      <c r="M2358" s="1088"/>
      <c r="N2358" s="1088"/>
      <c r="O2358" s="1088"/>
    </row>
    <row r="2359" spans="1:15" ht="15" customHeight="1">
      <c r="A2359" s="1052" t="s">
        <v>359</v>
      </c>
      <c r="B2359" s="1089" t="s">
        <v>360</v>
      </c>
      <c r="C2359" s="1058" t="e">
        <f>VLOOKUP(B2358,'LƯƠNG KT'!$D$15:$U$94,3,0)</f>
        <v>#N/A</v>
      </c>
      <c r="D2359" s="1059" t="e">
        <f>+C2359*25000</f>
        <v>#N/A</v>
      </c>
      <c r="E2359" s="1060"/>
      <c r="F2359" s="1060"/>
      <c r="G2359" s="1052" t="s">
        <v>359</v>
      </c>
      <c r="H2359" s="1089" t="s">
        <v>360</v>
      </c>
      <c r="I2359" s="1058" t="e">
        <f>VLOOKUP(H2358,'LƯƠNG KT'!$D$15:$U$94,3,0)</f>
        <v>#N/A</v>
      </c>
      <c r="J2359" s="1059" t="e">
        <f>+I2359*25000</f>
        <v>#N/A</v>
      </c>
      <c r="K2359" s="1084"/>
      <c r="L2359" s="1085"/>
      <c r="M2359" s="1085"/>
      <c r="N2359" s="1085"/>
      <c r="O2359" s="1085"/>
    </row>
    <row r="2360" spans="1:15" ht="15" customHeight="1">
      <c r="A2360" s="1052" t="s">
        <v>361</v>
      </c>
      <c r="B2360" s="869" t="s">
        <v>362</v>
      </c>
      <c r="C2360" s="1058" t="e">
        <f>VLOOKUP(B2358,'LƯƠNG KT'!$D$15:$U$94,14,0)</f>
        <v>#N/A</v>
      </c>
      <c r="D2360" s="1059" t="e">
        <f>C2360*$L$4</f>
        <v>#N/A</v>
      </c>
      <c r="E2360" s="1061"/>
      <c r="F2360" s="1061"/>
      <c r="G2360" s="1052" t="s">
        <v>361</v>
      </c>
      <c r="H2360" s="869" t="s">
        <v>362</v>
      </c>
      <c r="I2360" s="1058" t="e">
        <f>VLOOKUP(H2358,'LƯƠNG KT'!$D$15:$U$94,14,0)</f>
        <v>#N/A</v>
      </c>
      <c r="J2360" s="1059" t="e">
        <f>I2360*$L$4</f>
        <v>#N/A</v>
      </c>
      <c r="K2360" s="1084"/>
      <c r="L2360" s="1085"/>
      <c r="M2360" s="1085"/>
      <c r="N2360" s="1085"/>
      <c r="O2360" s="1085"/>
    </row>
    <row r="2361" spans="1:15" ht="15" customHeight="1">
      <c r="A2361" s="1052" t="s">
        <v>364</v>
      </c>
      <c r="B2361" s="869" t="s">
        <v>365</v>
      </c>
      <c r="C2361" s="1058" t="e">
        <f>VLOOKUP(B2358,'LƯƠNG KT'!$D$15:$U$94,15,0)</f>
        <v>#N/A</v>
      </c>
      <c r="D2361" s="1059" t="e">
        <f>C2361*$L$5</f>
        <v>#N/A</v>
      </c>
      <c r="E2361" s="1061"/>
      <c r="F2361" s="1061"/>
      <c r="G2361" s="1052" t="s">
        <v>364</v>
      </c>
      <c r="H2361" s="869" t="s">
        <v>365</v>
      </c>
      <c r="I2361" s="1058" t="e">
        <f>VLOOKUP(H2358,'LƯƠNG KT'!$D$15:$U$94,15,0)</f>
        <v>#N/A</v>
      </c>
      <c r="J2361" s="1059" t="e">
        <f>I2361*$L$5</f>
        <v>#N/A</v>
      </c>
      <c r="K2361" s="1084"/>
      <c r="L2361" s="1085"/>
      <c r="M2361" s="1085"/>
      <c r="N2361" s="1085"/>
      <c r="O2361" s="1085"/>
    </row>
    <row r="2362" spans="1:15" ht="15" customHeight="1">
      <c r="A2362" s="1052" t="s">
        <v>367</v>
      </c>
      <c r="B2362" s="869"/>
      <c r="C2362" s="1058" t="e">
        <f>VLOOKUP(B2358,'LƯƠNG KT'!$D$15:$U$94,16,0)</f>
        <v>#N/A</v>
      </c>
      <c r="D2362" s="1059" t="e">
        <f>+C2362*$L$6</f>
        <v>#N/A</v>
      </c>
      <c r="E2362" s="1061"/>
      <c r="F2362" s="1061"/>
      <c r="G2362" s="1052" t="s">
        <v>367</v>
      </c>
      <c r="H2362" s="869"/>
      <c r="I2362" s="1058" t="e">
        <f>VLOOKUP(H2358,'LƯƠNG KT'!$D$15:$U$94,16,0)</f>
        <v>#N/A</v>
      </c>
      <c r="J2362" s="1059" t="e">
        <f>+I2362*$L$6</f>
        <v>#N/A</v>
      </c>
      <c r="K2362" s="1085"/>
      <c r="L2362" s="1085"/>
      <c r="M2362" s="1085"/>
      <c r="N2362" s="1085"/>
      <c r="O2362" s="1085"/>
    </row>
    <row r="2363" spans="1:15" ht="15" customHeight="1">
      <c r="A2363" s="1052" t="s">
        <v>371</v>
      </c>
      <c r="B2363" s="869" t="s">
        <v>372</v>
      </c>
      <c r="C2363" s="1058" t="e">
        <f>VLOOKUP(B2358,'LƯƠNG KT'!$D$15:$U$94,9,0)*$L$10</f>
        <v>#N/A</v>
      </c>
      <c r="D2363" s="1059" t="e">
        <f>+C2363*0.5*3000</f>
        <v>#N/A</v>
      </c>
      <c r="E2363" s="1061"/>
      <c r="F2363" s="1061"/>
      <c r="G2363" s="1052" t="s">
        <v>371</v>
      </c>
      <c r="H2363" s="869" t="s">
        <v>372</v>
      </c>
      <c r="I2363" s="1058" t="e">
        <f>VLOOKUP(H2358,'LƯƠNG KT'!$D$15:$U$94,9,0)*$L$10</f>
        <v>#N/A</v>
      </c>
      <c r="J2363" s="1059" t="e">
        <f>+I2363*0.5*3000</f>
        <v>#N/A</v>
      </c>
      <c r="K2363" s="1085"/>
      <c r="L2363" s="1085"/>
      <c r="M2363" s="1085"/>
      <c r="N2363" s="1085"/>
      <c r="O2363" s="1085"/>
    </row>
    <row r="2364" spans="1:15" ht="15" customHeight="1">
      <c r="A2364" s="1052" t="s">
        <v>374</v>
      </c>
      <c r="B2364" s="869" t="s">
        <v>375</v>
      </c>
      <c r="C2364" s="1058" t="e">
        <f>VLOOKUP(B2358,'LƯƠNG KT'!$D$15:$U$94,8,0)*$L$11</f>
        <v>#N/A</v>
      </c>
      <c r="D2364" s="1059" t="e">
        <f>VLOOKUP(B2358,'LƯƠNG KT'!$D$15:$U$94,13,0)-D2363</f>
        <v>#N/A</v>
      </c>
      <c r="E2364" s="1063"/>
      <c r="F2364" s="1061"/>
      <c r="G2364" s="1052" t="s">
        <v>374</v>
      </c>
      <c r="H2364" s="869" t="s">
        <v>375</v>
      </c>
      <c r="I2364" s="1058" t="e">
        <f>VLOOKUP(H2358,'LƯƠNG KT'!$D$15:$U$94,8,0)*$L$11</f>
        <v>#N/A</v>
      </c>
      <c r="J2364" s="1059" t="e">
        <f>VLOOKUP(H2358,'LƯƠNG KT'!$D$15:$U$94,13,0)-J2363</f>
        <v>#N/A</v>
      </c>
      <c r="K2364" s="1085"/>
      <c r="L2364" s="1085"/>
      <c r="M2364" s="1085"/>
      <c r="N2364" s="1085"/>
      <c r="O2364" s="1085"/>
    </row>
    <row r="2365" spans="1:15" ht="15" customHeight="1">
      <c r="A2365" s="1059" t="s">
        <v>377</v>
      </c>
      <c r="B2365" s="869" t="s">
        <v>378</v>
      </c>
      <c r="C2365" s="1058"/>
      <c r="D2365" s="1059"/>
      <c r="E2365" s="1065"/>
      <c r="F2365" s="1065"/>
      <c r="G2365" s="1059" t="s">
        <v>377</v>
      </c>
      <c r="H2365" s="869" t="s">
        <v>378</v>
      </c>
      <c r="I2365" s="1058"/>
      <c r="J2365" s="1059"/>
    </row>
    <row r="2366" spans="1:15" ht="15" customHeight="1">
      <c r="A2366" s="1066" t="s">
        <v>379</v>
      </c>
      <c r="B2366" s="869" t="s">
        <v>380</v>
      </c>
      <c r="C2366" s="1058"/>
      <c r="D2366" s="1059"/>
      <c r="E2366" s="1063"/>
      <c r="F2366" s="1065"/>
      <c r="G2366" s="1066" t="s">
        <v>379</v>
      </c>
      <c r="H2366" s="869" t="s">
        <v>380</v>
      </c>
      <c r="I2366" s="1058"/>
      <c r="J2366" s="1059"/>
    </row>
    <row r="2367" spans="1:15" ht="15" customHeight="1">
      <c r="A2367" s="1052" t="s">
        <v>381</v>
      </c>
      <c r="B2367" s="869" t="s">
        <v>382</v>
      </c>
      <c r="C2367" s="1058"/>
      <c r="D2367" s="1059">
        <f>D2366</f>
        <v>0</v>
      </c>
      <c r="E2367" s="1067"/>
      <c r="F2367" s="1051"/>
      <c r="G2367" s="1052" t="s">
        <v>381</v>
      </c>
      <c r="H2367" s="869" t="s">
        <v>382</v>
      </c>
      <c r="I2367" s="1058"/>
      <c r="J2367" s="1059">
        <f>J2366</f>
        <v>0</v>
      </c>
    </row>
    <row r="2368" spans="1:15" ht="15" customHeight="1">
      <c r="A2368" s="1068" t="s">
        <v>383</v>
      </c>
      <c r="B2368" s="1069" t="s">
        <v>384</v>
      </c>
      <c r="C2368" s="1070"/>
      <c r="D2368" s="1071" t="e">
        <f>SUM(D2359:D2364)-D2367</f>
        <v>#N/A</v>
      </c>
      <c r="E2368" s="1072"/>
      <c r="F2368" s="1073"/>
      <c r="G2368" s="1068" t="s">
        <v>383</v>
      </c>
      <c r="H2368" s="1069" t="s">
        <v>384</v>
      </c>
      <c r="I2368" s="1070"/>
      <c r="J2368" s="1071" t="e">
        <f>SUM(J2359:J2364)-J2367</f>
        <v>#N/A</v>
      </c>
    </row>
    <row r="2369" spans="1:15" ht="12.6" customHeight="1">
      <c r="A2369" s="1074"/>
      <c r="B2369" s="1075"/>
      <c r="C2369" s="1076"/>
      <c r="D2369" s="1077"/>
      <c r="E2369" s="1077"/>
      <c r="F2369" s="1078"/>
      <c r="G2369" s="1074"/>
      <c r="H2369" s="1075"/>
      <c r="I2369" s="1076"/>
      <c r="J2369" s="1077"/>
    </row>
    <row r="2370" spans="1:15" ht="12.6" customHeight="1">
      <c r="A2370" s="1075"/>
      <c r="B2370" s="1075"/>
      <c r="C2370" s="1079"/>
      <c r="D2370" s="1080"/>
      <c r="E2370" s="1075"/>
      <c r="F2370" s="1081"/>
      <c r="G2370" s="1075"/>
      <c r="H2370" s="1075"/>
      <c r="I2370" s="1079"/>
      <c r="J2370" s="1080"/>
    </row>
    <row r="2371" spans="1:15" ht="15" customHeight="1">
      <c r="A2371" s="2242" t="str">
        <f>$K$2</f>
        <v>THÁNG 09/2024</v>
      </c>
      <c r="B2371" s="2242"/>
      <c r="C2371" s="2242"/>
      <c r="D2371" s="2242"/>
      <c r="E2371" s="1050"/>
      <c r="F2371" s="1051"/>
      <c r="G2371" s="2242" t="str">
        <f>$K$2</f>
        <v>THÁNG 09/2024</v>
      </c>
      <c r="H2371" s="2242"/>
      <c r="I2371" s="2242"/>
      <c r="J2371" s="2242"/>
      <c r="K2371" s="624"/>
    </row>
    <row r="2372" spans="1:15" ht="15" customHeight="1">
      <c r="A2372" s="1052" t="s">
        <v>356</v>
      </c>
      <c r="B2372" s="1053" t="s">
        <v>208</v>
      </c>
      <c r="C2372" s="869"/>
      <c r="D2372" s="1049"/>
      <c r="E2372" s="1054"/>
      <c r="F2372" s="1055"/>
      <c r="G2372" s="1052" t="s">
        <v>356</v>
      </c>
      <c r="H2372" s="1053" t="s">
        <v>209</v>
      </c>
      <c r="I2372" s="869"/>
      <c r="J2372" s="1049"/>
      <c r="L2372" s="1088"/>
      <c r="M2372" s="1088"/>
      <c r="N2372" s="1088"/>
      <c r="O2372" s="1088"/>
    </row>
    <row r="2373" spans="1:15" ht="15" customHeight="1">
      <c r="A2373" s="1052" t="s">
        <v>359</v>
      </c>
      <c r="B2373" s="1089" t="s">
        <v>360</v>
      </c>
      <c r="C2373" s="1058" t="e">
        <f>VLOOKUP(B2372,'LƯƠNG KT'!$D$15:$U$94,3,0)</f>
        <v>#N/A</v>
      </c>
      <c r="D2373" s="1059" t="e">
        <f>+C2373*25000</f>
        <v>#N/A</v>
      </c>
      <c r="E2373" s="1060"/>
      <c r="F2373" s="1060"/>
      <c r="G2373" s="1052" t="s">
        <v>359</v>
      </c>
      <c r="H2373" s="1089" t="s">
        <v>360</v>
      </c>
      <c r="I2373" s="1058" t="e">
        <f>VLOOKUP(H2372,'LƯƠNG KT'!$D$15:$U$94,3,0)</f>
        <v>#N/A</v>
      </c>
      <c r="J2373" s="1059" t="e">
        <f>+I2373*25000</f>
        <v>#N/A</v>
      </c>
      <c r="K2373" s="1085"/>
      <c r="L2373" s="1085"/>
      <c r="M2373" s="1085"/>
      <c r="N2373" s="1085"/>
      <c r="O2373" s="1085"/>
    </row>
    <row r="2374" spans="1:15" ht="15" customHeight="1">
      <c r="A2374" s="1052" t="s">
        <v>361</v>
      </c>
      <c r="B2374" s="869" t="s">
        <v>362</v>
      </c>
      <c r="C2374" s="1058" t="e">
        <f>VLOOKUP(B2372,'LƯƠNG KT'!$D$15:$U$94,14,0)</f>
        <v>#N/A</v>
      </c>
      <c r="D2374" s="1059" t="e">
        <f>C2374*$L$4</f>
        <v>#N/A</v>
      </c>
      <c r="E2374" s="1061"/>
      <c r="F2374" s="1061"/>
      <c r="G2374" s="1052" t="s">
        <v>361</v>
      </c>
      <c r="H2374" s="869" t="s">
        <v>362</v>
      </c>
      <c r="I2374" s="1058" t="e">
        <f>VLOOKUP(H2372,'LƯƠNG KT'!$D$15:$U$94,14,0)</f>
        <v>#N/A</v>
      </c>
      <c r="J2374" s="1059" t="e">
        <f>I2374*$L$4</f>
        <v>#N/A</v>
      </c>
      <c r="K2374" s="1085"/>
      <c r="L2374" s="1085"/>
      <c r="M2374" s="1085"/>
      <c r="N2374" s="1085"/>
      <c r="O2374" s="1085"/>
    </row>
    <row r="2375" spans="1:15" ht="15" customHeight="1">
      <c r="A2375" s="1052" t="s">
        <v>364</v>
      </c>
      <c r="B2375" s="869" t="s">
        <v>365</v>
      </c>
      <c r="C2375" s="1058" t="e">
        <f>VLOOKUP(B2372,'LƯƠNG KT'!$D$15:$U$94,15,0)</f>
        <v>#N/A</v>
      </c>
      <c r="D2375" s="1059" t="e">
        <f>C2375*$L$5</f>
        <v>#N/A</v>
      </c>
      <c r="E2375" s="1061"/>
      <c r="F2375" s="1061"/>
      <c r="G2375" s="1052" t="s">
        <v>364</v>
      </c>
      <c r="H2375" s="869" t="s">
        <v>365</v>
      </c>
      <c r="I2375" s="1058" t="e">
        <f>VLOOKUP(H2372,'LƯƠNG KT'!$D$15:$U$94,15,0)</f>
        <v>#N/A</v>
      </c>
      <c r="J2375" s="1059" t="e">
        <f>I2375*$L$5</f>
        <v>#N/A</v>
      </c>
      <c r="K2375" s="1085"/>
      <c r="L2375" s="1085"/>
      <c r="M2375" s="1085"/>
      <c r="N2375" s="1085"/>
      <c r="O2375" s="1085"/>
    </row>
    <row r="2376" spans="1:15" ht="15" customHeight="1">
      <c r="A2376" s="1052" t="s">
        <v>367</v>
      </c>
      <c r="B2376" s="869"/>
      <c r="C2376" s="1058" t="e">
        <f>VLOOKUP(B2372,'LƯƠNG KT'!$D$15:$U$94,16,0)</f>
        <v>#N/A</v>
      </c>
      <c r="D2376" s="1059" t="e">
        <f>+C2376*$L$6</f>
        <v>#N/A</v>
      </c>
      <c r="E2376" s="1061"/>
      <c r="F2376" s="1061"/>
      <c r="G2376" s="1052" t="s">
        <v>367</v>
      </c>
      <c r="H2376" s="869"/>
      <c r="I2376" s="1058" t="e">
        <f>VLOOKUP(H2372,'LƯƠNG KT'!$D$15:$U$94,16,0)</f>
        <v>#N/A</v>
      </c>
      <c r="J2376" s="1059" t="e">
        <f>+I2376*$L$6</f>
        <v>#N/A</v>
      </c>
      <c r="K2376" s="1085"/>
      <c r="L2376" s="1085"/>
      <c r="M2376" s="1085"/>
      <c r="N2376" s="1085"/>
      <c r="O2376" s="1085"/>
    </row>
    <row r="2377" spans="1:15" ht="15" customHeight="1">
      <c r="A2377" s="1052" t="s">
        <v>371</v>
      </c>
      <c r="B2377" s="869" t="s">
        <v>372</v>
      </c>
      <c r="C2377" s="1058" t="e">
        <f>VLOOKUP(B2372,'LƯƠNG KT'!$D$15:$U$94,9,0)*$L$10</f>
        <v>#N/A</v>
      </c>
      <c r="D2377" s="1059" t="e">
        <f>+C2377*0.5*3000</f>
        <v>#N/A</v>
      </c>
      <c r="E2377" s="1061"/>
      <c r="F2377" s="1061"/>
      <c r="G2377" s="1052" t="s">
        <v>371</v>
      </c>
      <c r="H2377" s="869" t="s">
        <v>372</v>
      </c>
      <c r="I2377" s="1058" t="e">
        <f>VLOOKUP(H2372,'LƯƠNG KT'!$D$15:$U$94,9,0)*$L$10</f>
        <v>#N/A</v>
      </c>
      <c r="J2377" s="1059" t="e">
        <f>+I2377*0.5*3000</f>
        <v>#N/A</v>
      </c>
      <c r="K2377" s="1085"/>
      <c r="L2377" s="1085"/>
      <c r="M2377" s="1085"/>
      <c r="N2377" s="1085"/>
      <c r="O2377" s="1085"/>
    </row>
    <row r="2378" spans="1:15" ht="15" customHeight="1">
      <c r="A2378" s="1052" t="s">
        <v>374</v>
      </c>
      <c r="B2378" s="869" t="s">
        <v>375</v>
      </c>
      <c r="C2378" s="1058" t="e">
        <f>VLOOKUP(B2372,'LƯƠNG KT'!$D$15:$U$94,8,0)*$L$11</f>
        <v>#N/A</v>
      </c>
      <c r="D2378" s="1059" t="e">
        <f>VLOOKUP(B2372,'LƯƠNG KT'!$D$15:$U$94,13,0)-D2377</f>
        <v>#N/A</v>
      </c>
      <c r="E2378" s="1063"/>
      <c r="F2378" s="1061"/>
      <c r="G2378" s="1052" t="s">
        <v>374</v>
      </c>
      <c r="H2378" s="869" t="s">
        <v>375</v>
      </c>
      <c r="I2378" s="1058" t="e">
        <f>VLOOKUP(H2372,'LƯƠNG KT'!$D$15:$U$94,8,0)*$L$11</f>
        <v>#N/A</v>
      </c>
      <c r="J2378" s="1059" t="e">
        <f>VLOOKUP(H2372,'LƯƠNG KT'!$D$15:$U$94,13,0)-J2377</f>
        <v>#N/A</v>
      </c>
      <c r="K2378" s="1085"/>
      <c r="L2378" s="1085"/>
      <c r="M2378" s="1085"/>
      <c r="N2378" s="1085"/>
      <c r="O2378" s="1085"/>
    </row>
    <row r="2379" spans="1:15" ht="15" customHeight="1">
      <c r="A2379" s="1059" t="s">
        <v>377</v>
      </c>
      <c r="B2379" s="869" t="s">
        <v>378</v>
      </c>
      <c r="C2379" s="1058"/>
      <c r="D2379" s="1059"/>
      <c r="E2379" s="1065"/>
      <c r="F2379" s="1065"/>
      <c r="G2379" s="1059" t="s">
        <v>377</v>
      </c>
      <c r="H2379" s="869" t="s">
        <v>378</v>
      </c>
      <c r="I2379" s="1058"/>
      <c r="J2379" s="1059"/>
    </row>
    <row r="2380" spans="1:15" ht="15" customHeight="1">
      <c r="A2380" s="1066" t="s">
        <v>379</v>
      </c>
      <c r="B2380" s="869" t="s">
        <v>380</v>
      </c>
      <c r="C2380" s="1058"/>
      <c r="D2380" s="1059"/>
      <c r="E2380" s="1063"/>
      <c r="F2380" s="1065"/>
      <c r="G2380" s="1066" t="s">
        <v>379</v>
      </c>
      <c r="H2380" s="869" t="s">
        <v>380</v>
      </c>
      <c r="I2380" s="1058"/>
      <c r="J2380" s="1059"/>
    </row>
    <row r="2381" spans="1:15" ht="15" customHeight="1">
      <c r="A2381" s="1052" t="s">
        <v>381</v>
      </c>
      <c r="B2381" s="869" t="s">
        <v>382</v>
      </c>
      <c r="C2381" s="1058"/>
      <c r="D2381" s="1059">
        <f>D2380</f>
        <v>0</v>
      </c>
      <c r="E2381" s="1067"/>
      <c r="F2381" s="1051"/>
      <c r="G2381" s="1052" t="s">
        <v>381</v>
      </c>
      <c r="H2381" s="869" t="s">
        <v>382</v>
      </c>
      <c r="I2381" s="1058"/>
      <c r="J2381" s="1059">
        <f>J2380</f>
        <v>0</v>
      </c>
    </row>
    <row r="2382" spans="1:15" ht="15" customHeight="1">
      <c r="A2382" s="1068" t="s">
        <v>383</v>
      </c>
      <c r="B2382" s="1069" t="s">
        <v>384</v>
      </c>
      <c r="C2382" s="1070"/>
      <c r="D2382" s="1071" t="e">
        <f>SUM(D2373:D2378)-D2381</f>
        <v>#N/A</v>
      </c>
      <c r="E2382" s="1072"/>
      <c r="F2382" s="1073"/>
      <c r="G2382" s="1068" t="s">
        <v>383</v>
      </c>
      <c r="H2382" s="1069" t="s">
        <v>384</v>
      </c>
      <c r="I2382" s="1070"/>
      <c r="J2382" s="1071" t="e">
        <f>SUM(J2373:J2378)-J2381</f>
        <v>#N/A</v>
      </c>
    </row>
    <row r="2383" spans="1:15" ht="18.75" customHeight="1">
      <c r="A2383" s="1074"/>
      <c r="B2383" s="1075"/>
      <c r="C2383" s="1076"/>
      <c r="D2383" s="1077"/>
      <c r="E2383" s="1077"/>
      <c r="F2383" s="1078"/>
      <c r="G2383" s="1074"/>
      <c r="H2383" s="1075"/>
      <c r="I2383" s="1076"/>
      <c r="J2383" s="1077"/>
    </row>
    <row r="2384" spans="1:15" ht="18.75" customHeight="1">
      <c r="A2384" s="1075"/>
      <c r="B2384" s="1075"/>
      <c r="C2384" s="1079"/>
      <c r="D2384" s="1080"/>
      <c r="E2384" s="1075"/>
      <c r="F2384" s="1081"/>
      <c r="G2384" s="1075"/>
      <c r="H2384" s="1075"/>
      <c r="I2384" s="1079"/>
      <c r="J2384" s="1080"/>
    </row>
    <row r="2385" spans="1:15" ht="15" customHeight="1">
      <c r="A2385" s="2242" t="str">
        <f>$K$2</f>
        <v>THÁNG 09/2024</v>
      </c>
      <c r="B2385" s="2242"/>
      <c r="C2385" s="2242"/>
      <c r="D2385" s="2242"/>
      <c r="E2385" s="1050"/>
      <c r="F2385" s="1051"/>
      <c r="G2385" s="2242" t="str">
        <f>$K$2</f>
        <v>THÁNG 09/2024</v>
      </c>
      <c r="H2385" s="2242"/>
      <c r="I2385" s="2242"/>
      <c r="J2385" s="2242"/>
      <c r="K2385" s="624"/>
    </row>
    <row r="2386" spans="1:15" ht="15" customHeight="1">
      <c r="A2386" s="1052" t="s">
        <v>356</v>
      </c>
      <c r="B2386" s="1053" t="s">
        <v>210</v>
      </c>
      <c r="C2386" s="869"/>
      <c r="D2386" s="1049"/>
      <c r="E2386" s="1054"/>
      <c r="F2386" s="1055"/>
      <c r="G2386" s="1052" t="s">
        <v>356</v>
      </c>
      <c r="H2386" s="1053" t="s">
        <v>211</v>
      </c>
      <c r="I2386" s="869"/>
      <c r="J2386" s="1049"/>
      <c r="L2386" s="1088"/>
      <c r="M2386" s="1088"/>
      <c r="N2386" s="1088"/>
      <c r="O2386" s="1088"/>
    </row>
    <row r="2387" spans="1:15" ht="15" customHeight="1">
      <c r="A2387" s="1052" t="s">
        <v>359</v>
      </c>
      <c r="B2387" s="1089" t="s">
        <v>360</v>
      </c>
      <c r="C2387" s="1058" t="e">
        <f>VLOOKUP(B2386,'LƯƠNG KT'!$D$15:$U$94,3,0)</f>
        <v>#N/A</v>
      </c>
      <c r="D2387" s="1059" t="e">
        <f>+C2387*25000</f>
        <v>#N/A</v>
      </c>
      <c r="E2387" s="1060"/>
      <c r="F2387" s="1060"/>
      <c r="G2387" s="1052" t="s">
        <v>359</v>
      </c>
      <c r="H2387" s="1089" t="s">
        <v>360</v>
      </c>
      <c r="I2387" s="1058" t="e">
        <f>VLOOKUP(H2386,'LƯƠNG KT'!$D$15:$U$94,3,0)</f>
        <v>#N/A</v>
      </c>
      <c r="J2387" s="1059" t="e">
        <f>+I2387*25000</f>
        <v>#N/A</v>
      </c>
      <c r="K2387" s="1085"/>
      <c r="L2387" s="1085"/>
      <c r="M2387" s="1085"/>
      <c r="N2387" s="1085"/>
      <c r="O2387" s="1085"/>
    </row>
    <row r="2388" spans="1:15" ht="15" customHeight="1">
      <c r="A2388" s="1052" t="s">
        <v>361</v>
      </c>
      <c r="B2388" s="869" t="s">
        <v>362</v>
      </c>
      <c r="C2388" s="1058" t="e">
        <f>VLOOKUP(B2386,'LƯƠNG KT'!$D$15:$U$94,14,0)</f>
        <v>#N/A</v>
      </c>
      <c r="D2388" s="1059" t="e">
        <f>C2388*$L$4</f>
        <v>#N/A</v>
      </c>
      <c r="E2388" s="1061"/>
      <c r="F2388" s="1061"/>
      <c r="G2388" s="1052" t="s">
        <v>361</v>
      </c>
      <c r="H2388" s="869" t="s">
        <v>362</v>
      </c>
      <c r="I2388" s="1058" t="e">
        <f>VLOOKUP(H2386,'LƯƠNG KT'!$D$15:$U$94,14,0)</f>
        <v>#N/A</v>
      </c>
      <c r="J2388" s="1059" t="e">
        <f>I2388*$L$4</f>
        <v>#N/A</v>
      </c>
      <c r="K2388" s="1085"/>
      <c r="L2388" s="1085"/>
      <c r="M2388" s="1085"/>
      <c r="N2388" s="1085"/>
      <c r="O2388" s="1085"/>
    </row>
    <row r="2389" spans="1:15" ht="15" customHeight="1">
      <c r="A2389" s="1052" t="s">
        <v>364</v>
      </c>
      <c r="B2389" s="869" t="s">
        <v>365</v>
      </c>
      <c r="C2389" s="1058" t="e">
        <f>VLOOKUP(B2386,'LƯƠNG KT'!$D$15:$U$94,15,0)</f>
        <v>#N/A</v>
      </c>
      <c r="D2389" s="1059" t="e">
        <f>C2389*$L$5</f>
        <v>#N/A</v>
      </c>
      <c r="E2389" s="1061"/>
      <c r="F2389" s="1061"/>
      <c r="G2389" s="1052" t="s">
        <v>364</v>
      </c>
      <c r="H2389" s="869" t="s">
        <v>365</v>
      </c>
      <c r="I2389" s="1058" t="e">
        <f>VLOOKUP(H2386,'LƯƠNG KT'!$D$15:$U$94,15,0)</f>
        <v>#N/A</v>
      </c>
      <c r="J2389" s="1059" t="e">
        <f>I2389*$L$5</f>
        <v>#N/A</v>
      </c>
      <c r="K2389" s="1085"/>
      <c r="L2389" s="1085"/>
      <c r="M2389" s="1085"/>
      <c r="N2389" s="1085"/>
      <c r="O2389" s="1085"/>
    </row>
    <row r="2390" spans="1:15" ht="15" customHeight="1">
      <c r="A2390" s="1052" t="s">
        <v>367</v>
      </c>
      <c r="B2390" s="869"/>
      <c r="C2390" s="1058" t="e">
        <f>VLOOKUP(B2386,'LƯƠNG KT'!$D$15:$U$94,16,0)</f>
        <v>#N/A</v>
      </c>
      <c r="D2390" s="1059" t="e">
        <f>+C2390*$L$6</f>
        <v>#N/A</v>
      </c>
      <c r="E2390" s="1061"/>
      <c r="F2390" s="1061"/>
      <c r="G2390" s="1052" t="s">
        <v>367</v>
      </c>
      <c r="H2390" s="869"/>
      <c r="I2390" s="1058" t="e">
        <f>VLOOKUP(H2386,'LƯƠNG KT'!$D$15:$U$94,16,0)</f>
        <v>#N/A</v>
      </c>
      <c r="J2390" s="1059" t="e">
        <f>+I2390*$L$6</f>
        <v>#N/A</v>
      </c>
      <c r="K2390" s="1085"/>
      <c r="L2390" s="1085"/>
      <c r="M2390" s="1085"/>
      <c r="N2390" s="1085"/>
      <c r="O2390" s="1085"/>
    </row>
    <row r="2391" spans="1:15" ht="15" customHeight="1">
      <c r="A2391" s="1052" t="s">
        <v>371</v>
      </c>
      <c r="B2391" s="869" t="s">
        <v>372</v>
      </c>
      <c r="C2391" s="1058" t="e">
        <f>VLOOKUP(B2386,'LƯƠNG KT'!$D$15:$U$94,9,0)*$L$10</f>
        <v>#N/A</v>
      </c>
      <c r="D2391" s="1059" t="e">
        <f>+C2391*0.5*3000</f>
        <v>#N/A</v>
      </c>
      <c r="E2391" s="1061"/>
      <c r="F2391" s="1061"/>
      <c r="G2391" s="1052" t="s">
        <v>371</v>
      </c>
      <c r="H2391" s="869" t="s">
        <v>372</v>
      </c>
      <c r="I2391" s="1058" t="e">
        <f>VLOOKUP(H2386,'LƯƠNG KT'!$D$15:$U$94,9,0)*$L$10</f>
        <v>#N/A</v>
      </c>
      <c r="J2391" s="1059" t="e">
        <f>+I2391*0.5*3000</f>
        <v>#N/A</v>
      </c>
      <c r="K2391" s="1085"/>
      <c r="L2391" s="1085"/>
      <c r="M2391" s="1085"/>
      <c r="N2391" s="1085"/>
      <c r="O2391" s="1085"/>
    </row>
    <row r="2392" spans="1:15" ht="15" customHeight="1">
      <c r="A2392" s="1052" t="s">
        <v>374</v>
      </c>
      <c r="B2392" s="869" t="s">
        <v>375</v>
      </c>
      <c r="C2392" s="1058" t="e">
        <f>VLOOKUP(B2386,'LƯƠNG KT'!$D$15:$U$94,8,0)*$L$11</f>
        <v>#N/A</v>
      </c>
      <c r="D2392" s="1059" t="e">
        <f>VLOOKUP(B2386,'LƯƠNG KT'!$D$15:$U$94,13,0)-D2391</f>
        <v>#N/A</v>
      </c>
      <c r="E2392" s="1063"/>
      <c r="F2392" s="1061"/>
      <c r="G2392" s="1052" t="s">
        <v>374</v>
      </c>
      <c r="H2392" s="869" t="s">
        <v>375</v>
      </c>
      <c r="I2392" s="1058" t="e">
        <f>VLOOKUP(H2386,'LƯƠNG KT'!$D$15:$U$94,8,0)*$L$11</f>
        <v>#N/A</v>
      </c>
      <c r="J2392" s="1059" t="e">
        <f>VLOOKUP(H2386,'LƯƠNG KT'!$D$15:$U$94,13,0)-J2391</f>
        <v>#N/A</v>
      </c>
      <c r="K2392" s="1085"/>
      <c r="L2392" s="1085"/>
      <c r="M2392" s="1085"/>
      <c r="N2392" s="1085"/>
      <c r="O2392" s="1085"/>
    </row>
    <row r="2393" spans="1:15" ht="15" customHeight="1">
      <c r="A2393" s="1059" t="s">
        <v>377</v>
      </c>
      <c r="B2393" s="869" t="s">
        <v>378</v>
      </c>
      <c r="C2393" s="1058"/>
      <c r="D2393" s="1059"/>
      <c r="E2393" s="1065"/>
      <c r="F2393" s="1065"/>
      <c r="G2393" s="1059" t="s">
        <v>377</v>
      </c>
      <c r="H2393" s="869" t="s">
        <v>378</v>
      </c>
      <c r="I2393" s="1058"/>
      <c r="J2393" s="1059"/>
    </row>
    <row r="2394" spans="1:15" ht="15" customHeight="1">
      <c r="A2394" s="1066" t="s">
        <v>379</v>
      </c>
      <c r="B2394" s="869" t="s">
        <v>380</v>
      </c>
      <c r="C2394" s="1058"/>
      <c r="D2394" s="1059"/>
      <c r="E2394" s="1063"/>
      <c r="F2394" s="1065"/>
      <c r="G2394" s="1066" t="s">
        <v>379</v>
      </c>
      <c r="H2394" s="869" t="s">
        <v>380</v>
      </c>
      <c r="I2394" s="1058"/>
      <c r="J2394" s="1059"/>
    </row>
    <row r="2395" spans="1:15" ht="15" customHeight="1">
      <c r="A2395" s="1052" t="s">
        <v>381</v>
      </c>
      <c r="B2395" s="869" t="s">
        <v>382</v>
      </c>
      <c r="C2395" s="1058"/>
      <c r="D2395" s="1059">
        <f>D2394</f>
        <v>0</v>
      </c>
      <c r="E2395" s="1067"/>
      <c r="F2395" s="1051"/>
      <c r="G2395" s="1052" t="s">
        <v>381</v>
      </c>
      <c r="H2395" s="869" t="s">
        <v>382</v>
      </c>
      <c r="I2395" s="1058"/>
      <c r="J2395" s="1059">
        <f>J2394</f>
        <v>0</v>
      </c>
    </row>
    <row r="2396" spans="1:15" ht="15" customHeight="1">
      <c r="A2396" s="1068" t="s">
        <v>383</v>
      </c>
      <c r="B2396" s="1069" t="s">
        <v>384</v>
      </c>
      <c r="C2396" s="1070"/>
      <c r="D2396" s="1071" t="e">
        <f>SUM(D2387:D2392)-D2395</f>
        <v>#N/A</v>
      </c>
      <c r="E2396" s="1072"/>
      <c r="F2396" s="1073"/>
      <c r="G2396" s="1068" t="s">
        <v>383</v>
      </c>
      <c r="H2396" s="1069" t="s">
        <v>384</v>
      </c>
      <c r="I2396" s="1070"/>
      <c r="J2396" s="1071" t="e">
        <f>SUM(J2387:J2392)-J2395</f>
        <v>#N/A</v>
      </c>
    </row>
    <row r="2397" spans="1:15" ht="18.75" customHeight="1">
      <c r="A2397" s="1074"/>
      <c r="B2397" s="1075"/>
      <c r="C2397" s="1076"/>
      <c r="D2397" s="1077"/>
      <c r="E2397" s="1077"/>
      <c r="F2397" s="1078"/>
      <c r="G2397" s="1074"/>
      <c r="H2397" s="1075"/>
      <c r="I2397" s="1076"/>
      <c r="J2397" s="1077"/>
    </row>
    <row r="2398" spans="1:15" ht="18.75" customHeight="1">
      <c r="A2398" s="1075"/>
      <c r="B2398" s="1075"/>
      <c r="C2398" s="1079"/>
      <c r="D2398" s="1080"/>
      <c r="E2398" s="1075"/>
      <c r="F2398" s="1081"/>
      <c r="G2398" s="1075"/>
      <c r="H2398" s="1075"/>
      <c r="I2398" s="1079"/>
      <c r="J2398" s="1080"/>
    </row>
    <row r="2399" spans="1:15" ht="15" customHeight="1">
      <c r="A2399" s="2242" t="str">
        <f>$K$2</f>
        <v>THÁNG 09/2024</v>
      </c>
      <c r="B2399" s="2242"/>
      <c r="C2399" s="2242"/>
      <c r="D2399" s="2242"/>
      <c r="E2399" s="1050"/>
      <c r="F2399" s="1051"/>
      <c r="G2399" s="2242" t="str">
        <f>$K$2</f>
        <v>THÁNG 09/2024</v>
      </c>
      <c r="H2399" s="2242"/>
      <c r="I2399" s="2242"/>
      <c r="J2399" s="2242"/>
      <c r="K2399" s="624"/>
    </row>
    <row r="2400" spans="1:15" ht="15" customHeight="1">
      <c r="A2400" s="1052" t="s">
        <v>356</v>
      </c>
      <c r="B2400" s="1053" t="s">
        <v>212</v>
      </c>
      <c r="C2400" s="869"/>
      <c r="D2400" s="1049"/>
      <c r="E2400" s="1054"/>
      <c r="F2400" s="1055"/>
      <c r="G2400" s="1052" t="s">
        <v>356</v>
      </c>
      <c r="H2400" s="1053" t="s">
        <v>213</v>
      </c>
      <c r="I2400" s="869"/>
      <c r="J2400" s="1049"/>
      <c r="L2400" s="1088"/>
      <c r="M2400" s="1088"/>
      <c r="N2400" s="1088"/>
      <c r="O2400" s="1088"/>
    </row>
    <row r="2401" spans="1:15" ht="15" customHeight="1">
      <c r="A2401" s="1052" t="s">
        <v>359</v>
      </c>
      <c r="B2401" s="1089" t="s">
        <v>360</v>
      </c>
      <c r="C2401" s="1058" t="e">
        <f>VLOOKUP(B2400,'LƯƠNG KT'!$D$15:$U$94,3,0)</f>
        <v>#N/A</v>
      </c>
      <c r="D2401" s="1059" t="e">
        <f>+C2401*25000</f>
        <v>#N/A</v>
      </c>
      <c r="E2401" s="1060"/>
      <c r="F2401" s="1060"/>
      <c r="G2401" s="1052" t="s">
        <v>359</v>
      </c>
      <c r="H2401" s="1089" t="s">
        <v>360</v>
      </c>
      <c r="I2401" s="1058" t="e">
        <f>VLOOKUP(H2400,'LƯƠNG KT'!$D$15:$U$94,3,0)</f>
        <v>#N/A</v>
      </c>
      <c r="J2401" s="1059" t="e">
        <f>+I2401*25000</f>
        <v>#N/A</v>
      </c>
      <c r="K2401" s="1085"/>
      <c r="L2401" s="1085"/>
      <c r="M2401" s="1085"/>
      <c r="N2401" s="1085"/>
      <c r="O2401" s="1085"/>
    </row>
    <row r="2402" spans="1:15" ht="15" customHeight="1">
      <c r="A2402" s="1052" t="s">
        <v>361</v>
      </c>
      <c r="B2402" s="869" t="s">
        <v>362</v>
      </c>
      <c r="C2402" s="1058" t="e">
        <f>VLOOKUP(B2400,'LƯƠNG KT'!$D$15:$U$94,14,0)</f>
        <v>#N/A</v>
      </c>
      <c r="D2402" s="1059" t="e">
        <f>C2402*$L$4</f>
        <v>#N/A</v>
      </c>
      <c r="E2402" s="1061"/>
      <c r="F2402" s="1061"/>
      <c r="G2402" s="1052" t="s">
        <v>361</v>
      </c>
      <c r="H2402" s="869" t="s">
        <v>362</v>
      </c>
      <c r="I2402" s="1058" t="e">
        <f>VLOOKUP(H2400,'LƯƠNG KT'!$D$15:$U$94,14,0)</f>
        <v>#N/A</v>
      </c>
      <c r="J2402" s="1059" t="e">
        <f>I2402*$L$4</f>
        <v>#N/A</v>
      </c>
      <c r="K2402" s="1085"/>
      <c r="L2402" s="1085"/>
      <c r="M2402" s="1085"/>
      <c r="N2402" s="1085"/>
      <c r="O2402" s="1085"/>
    </row>
    <row r="2403" spans="1:15" ht="15" customHeight="1">
      <c r="A2403" s="1052" t="s">
        <v>364</v>
      </c>
      <c r="B2403" s="869" t="s">
        <v>365</v>
      </c>
      <c r="C2403" s="1058" t="e">
        <f>VLOOKUP(B2400,'LƯƠNG KT'!$D$15:$U$94,15,0)</f>
        <v>#N/A</v>
      </c>
      <c r="D2403" s="1059" t="e">
        <f>C2403*$L$5</f>
        <v>#N/A</v>
      </c>
      <c r="E2403" s="1061"/>
      <c r="F2403" s="1061"/>
      <c r="G2403" s="1052" t="s">
        <v>364</v>
      </c>
      <c r="H2403" s="869" t="s">
        <v>365</v>
      </c>
      <c r="I2403" s="1058" t="e">
        <f>VLOOKUP(H2400,'LƯƠNG KT'!$D$15:$U$94,15,0)</f>
        <v>#N/A</v>
      </c>
      <c r="J2403" s="1059" t="e">
        <f>I2403*$L$5</f>
        <v>#N/A</v>
      </c>
      <c r="K2403" s="1085"/>
      <c r="L2403" s="1085"/>
      <c r="M2403" s="1085"/>
      <c r="N2403" s="1085"/>
      <c r="O2403" s="1085"/>
    </row>
    <row r="2404" spans="1:15" ht="15" customHeight="1">
      <c r="A2404" s="1052" t="s">
        <v>367</v>
      </c>
      <c r="B2404" s="869"/>
      <c r="C2404" s="1058" t="e">
        <f>VLOOKUP(B2400,'LƯƠNG KT'!$D$15:$U$94,16,0)</f>
        <v>#N/A</v>
      </c>
      <c r="D2404" s="1059" t="e">
        <f>+C2404*$L$6</f>
        <v>#N/A</v>
      </c>
      <c r="E2404" s="1061"/>
      <c r="F2404" s="1061"/>
      <c r="G2404" s="1052" t="s">
        <v>367</v>
      </c>
      <c r="H2404" s="869"/>
      <c r="I2404" s="1058" t="e">
        <f>VLOOKUP(H2400,'LƯƠNG KT'!$D$15:$U$94,16,0)</f>
        <v>#N/A</v>
      </c>
      <c r="J2404" s="1059" t="e">
        <f>+I2404*$L$6</f>
        <v>#N/A</v>
      </c>
      <c r="K2404" s="1085"/>
      <c r="L2404" s="1085"/>
      <c r="M2404" s="1085"/>
      <c r="N2404" s="1085"/>
      <c r="O2404" s="1085"/>
    </row>
    <row r="2405" spans="1:15" ht="15" customHeight="1">
      <c r="A2405" s="1052" t="s">
        <v>371</v>
      </c>
      <c r="B2405" s="869" t="s">
        <v>372</v>
      </c>
      <c r="C2405" s="1058" t="e">
        <f>VLOOKUP(B2400,'LƯƠNG KT'!$D$15:$U$94,9,0)*$L$10</f>
        <v>#N/A</v>
      </c>
      <c r="D2405" s="1059" t="e">
        <f>+C2405*0.5*3000</f>
        <v>#N/A</v>
      </c>
      <c r="E2405" s="1061"/>
      <c r="F2405" s="1061"/>
      <c r="G2405" s="1052" t="s">
        <v>371</v>
      </c>
      <c r="H2405" s="869" t="s">
        <v>372</v>
      </c>
      <c r="I2405" s="1058" t="e">
        <f>VLOOKUP(H2400,'LƯƠNG KT'!$D$15:$U$94,9,0)*$L$10</f>
        <v>#N/A</v>
      </c>
      <c r="J2405" s="1059" t="e">
        <f>+I2405*0.5*3000</f>
        <v>#N/A</v>
      </c>
      <c r="K2405" s="1085"/>
      <c r="L2405" s="1085"/>
      <c r="M2405" s="1085"/>
      <c r="N2405" s="1085"/>
      <c r="O2405" s="1085"/>
    </row>
    <row r="2406" spans="1:15" ht="15" customHeight="1">
      <c r="A2406" s="1052" t="s">
        <v>374</v>
      </c>
      <c r="B2406" s="869" t="s">
        <v>375</v>
      </c>
      <c r="C2406" s="1058" t="e">
        <f>VLOOKUP(B2400,'LƯƠNG KT'!$D$15:$U$94,8,0)*$L$11</f>
        <v>#N/A</v>
      </c>
      <c r="D2406" s="1059" t="e">
        <f>VLOOKUP(B2400,'LƯƠNG KT'!$D$15:$U$94,13,0)-D2405</f>
        <v>#N/A</v>
      </c>
      <c r="E2406" s="1063"/>
      <c r="F2406" s="1061"/>
      <c r="G2406" s="1052" t="s">
        <v>374</v>
      </c>
      <c r="H2406" s="869" t="s">
        <v>375</v>
      </c>
      <c r="I2406" s="1058" t="e">
        <f>VLOOKUP(H2400,'LƯƠNG KT'!$D$15:$U$94,8,0)*$L$11</f>
        <v>#N/A</v>
      </c>
      <c r="J2406" s="1059" t="e">
        <f>VLOOKUP(H2400,'LƯƠNG KT'!$D$15:$U$94,13,0)-J2405</f>
        <v>#N/A</v>
      </c>
      <c r="K2406" s="1085"/>
      <c r="L2406" s="1085"/>
      <c r="M2406" s="1085"/>
      <c r="N2406" s="1085"/>
      <c r="O2406" s="1085"/>
    </row>
    <row r="2407" spans="1:15" ht="15" customHeight="1">
      <c r="A2407" s="1059" t="s">
        <v>377</v>
      </c>
      <c r="B2407" s="869" t="s">
        <v>378</v>
      </c>
      <c r="C2407" s="1058"/>
      <c r="D2407" s="1059"/>
      <c r="E2407" s="1065"/>
      <c r="F2407" s="1065"/>
      <c r="G2407" s="1059" t="s">
        <v>377</v>
      </c>
      <c r="H2407" s="869" t="s">
        <v>378</v>
      </c>
      <c r="I2407" s="1058"/>
      <c r="J2407" s="1059"/>
    </row>
    <row r="2408" spans="1:15" ht="15" customHeight="1">
      <c r="A2408" s="1066" t="s">
        <v>379</v>
      </c>
      <c r="B2408" s="869" t="s">
        <v>380</v>
      </c>
      <c r="C2408" s="1058"/>
      <c r="D2408" s="1059"/>
      <c r="E2408" s="1063"/>
      <c r="F2408" s="1065"/>
      <c r="G2408" s="1066" t="s">
        <v>379</v>
      </c>
      <c r="H2408" s="869" t="s">
        <v>380</v>
      </c>
      <c r="I2408" s="1058"/>
      <c r="J2408" s="1059"/>
    </row>
    <row r="2409" spans="1:15" ht="15" customHeight="1">
      <c r="A2409" s="1052" t="s">
        <v>381</v>
      </c>
      <c r="B2409" s="869" t="s">
        <v>382</v>
      </c>
      <c r="C2409" s="1058"/>
      <c r="D2409" s="1059">
        <f>D2408</f>
        <v>0</v>
      </c>
      <c r="E2409" s="1067"/>
      <c r="F2409" s="1051"/>
      <c r="G2409" s="1052" t="s">
        <v>381</v>
      </c>
      <c r="H2409" s="869" t="s">
        <v>382</v>
      </c>
      <c r="I2409" s="1058"/>
      <c r="J2409" s="1059">
        <f>J2408</f>
        <v>0</v>
      </c>
    </row>
    <row r="2410" spans="1:15" ht="15" customHeight="1">
      <c r="A2410" s="1068" t="s">
        <v>383</v>
      </c>
      <c r="B2410" s="1069" t="s">
        <v>384</v>
      </c>
      <c r="C2410" s="1070"/>
      <c r="D2410" s="1071" t="e">
        <f>SUM(D2401:D2406)-D2409</f>
        <v>#N/A</v>
      </c>
      <c r="E2410" s="1072"/>
      <c r="F2410" s="1073"/>
      <c r="G2410" s="1068" t="s">
        <v>383</v>
      </c>
      <c r="H2410" s="1069" t="s">
        <v>384</v>
      </c>
      <c r="I2410" s="1070"/>
      <c r="J2410" s="1071" t="e">
        <f>SUM(J2401:J2406)-J2409</f>
        <v>#N/A</v>
      </c>
    </row>
    <row r="2411" spans="1:15" ht="15.75" customHeight="1">
      <c r="A2411" s="1074"/>
      <c r="B2411" s="1075"/>
      <c r="C2411" s="1076"/>
      <c r="D2411" s="1077"/>
      <c r="E2411" s="1077"/>
      <c r="F2411" s="1078"/>
      <c r="G2411" s="1074"/>
      <c r="H2411" s="1075"/>
      <c r="I2411" s="1076"/>
      <c r="J2411" s="1077"/>
    </row>
    <row r="2413" spans="1:15" ht="12" customHeight="1">
      <c r="A2413" s="2243"/>
      <c r="B2413" s="2243"/>
      <c r="C2413" s="2243"/>
      <c r="D2413" s="2243"/>
      <c r="E2413" s="2243"/>
      <c r="F2413" s="2243"/>
      <c r="G2413" s="2243"/>
      <c r="H2413" s="2243"/>
      <c r="I2413" s="2243"/>
      <c r="J2413" s="2243"/>
    </row>
    <row r="2414" spans="1:15" ht="15" customHeight="1">
      <c r="A2414" s="2242" t="str">
        <f>$K$2</f>
        <v>THÁNG 09/2024</v>
      </c>
      <c r="B2414" s="2242"/>
      <c r="C2414" s="2242"/>
      <c r="D2414" s="2242"/>
      <c r="E2414" s="1050"/>
      <c r="F2414" s="1051"/>
      <c r="G2414" s="2242" t="str">
        <f>$K$2</f>
        <v>THÁNG 09/2024</v>
      </c>
      <c r="H2414" s="2242"/>
      <c r="I2414" s="2242"/>
      <c r="J2414" s="2242"/>
      <c r="K2414" s="624"/>
    </row>
    <row r="2415" spans="1:15" ht="15" customHeight="1">
      <c r="A2415" s="1052" t="s">
        <v>356</v>
      </c>
      <c r="B2415" s="1053" t="s">
        <v>214</v>
      </c>
      <c r="C2415" s="869"/>
      <c r="D2415" s="1049"/>
      <c r="E2415" s="1054"/>
      <c r="F2415" s="1055"/>
      <c r="G2415" s="1052" t="s">
        <v>356</v>
      </c>
      <c r="H2415" s="1053" t="s">
        <v>215</v>
      </c>
      <c r="I2415" s="869"/>
      <c r="J2415" s="1049"/>
      <c r="L2415" s="1088"/>
      <c r="M2415" s="1088"/>
      <c r="N2415" s="1088"/>
      <c r="O2415" s="1088"/>
    </row>
    <row r="2416" spans="1:15" ht="15" customHeight="1">
      <c r="A2416" s="1052" t="s">
        <v>359</v>
      </c>
      <c r="B2416" s="1089" t="s">
        <v>360</v>
      </c>
      <c r="C2416" s="1058" t="e">
        <f>VLOOKUP(B2415,'LƯƠNG KT'!$D$15:$U$94,3,0)</f>
        <v>#N/A</v>
      </c>
      <c r="D2416" s="1059" t="e">
        <f>+C2416*25000</f>
        <v>#N/A</v>
      </c>
      <c r="E2416" s="1060"/>
      <c r="F2416" s="1060"/>
      <c r="G2416" s="1052" t="s">
        <v>359</v>
      </c>
      <c r="H2416" s="1089" t="s">
        <v>360</v>
      </c>
      <c r="I2416" s="1058" t="e">
        <f>VLOOKUP(H2415,'LƯƠNG KT'!$D$15:$U$94,3,0)</f>
        <v>#N/A</v>
      </c>
      <c r="J2416" s="1059" t="e">
        <f>+I2416*25000</f>
        <v>#N/A</v>
      </c>
      <c r="K2416" s="1084"/>
      <c r="L2416" s="1085"/>
      <c r="M2416" s="1085"/>
      <c r="N2416" s="1085"/>
      <c r="O2416" s="1085"/>
    </row>
    <row r="2417" spans="1:15" ht="15" customHeight="1">
      <c r="A2417" s="1052" t="s">
        <v>361</v>
      </c>
      <c r="B2417" s="869" t="s">
        <v>362</v>
      </c>
      <c r="C2417" s="1058" t="e">
        <f>VLOOKUP(B2415,'LƯƠNG KT'!$D$15:$U$94,14,0)</f>
        <v>#N/A</v>
      </c>
      <c r="D2417" s="1059" t="e">
        <f>C2417*$L$4</f>
        <v>#N/A</v>
      </c>
      <c r="E2417" s="1061"/>
      <c r="F2417" s="1061"/>
      <c r="G2417" s="1052" t="s">
        <v>361</v>
      </c>
      <c r="H2417" s="869" t="s">
        <v>362</v>
      </c>
      <c r="I2417" s="1058" t="e">
        <f>VLOOKUP(H2415,'LƯƠNG KT'!$D$15:$U$94,14,0)</f>
        <v>#N/A</v>
      </c>
      <c r="J2417" s="1059" t="e">
        <f>I2417*$L$4</f>
        <v>#N/A</v>
      </c>
      <c r="K2417" s="1084"/>
      <c r="L2417" s="1085"/>
      <c r="M2417" s="1085"/>
      <c r="N2417" s="1085"/>
      <c r="O2417" s="1085"/>
    </row>
    <row r="2418" spans="1:15" ht="15" customHeight="1">
      <c r="A2418" s="1052" t="s">
        <v>364</v>
      </c>
      <c r="B2418" s="869" t="s">
        <v>365</v>
      </c>
      <c r="C2418" s="1058" t="e">
        <f>VLOOKUP(B2415,'LƯƠNG KT'!$D$15:$U$94,15,0)</f>
        <v>#N/A</v>
      </c>
      <c r="D2418" s="1059" t="e">
        <f>C2418*$L$5</f>
        <v>#N/A</v>
      </c>
      <c r="E2418" s="1061"/>
      <c r="F2418" s="1061"/>
      <c r="G2418" s="1052" t="s">
        <v>364</v>
      </c>
      <c r="H2418" s="869" t="s">
        <v>365</v>
      </c>
      <c r="I2418" s="1058" t="e">
        <f>VLOOKUP(H2415,'LƯƠNG KT'!$D$15:$U$94,15,0)</f>
        <v>#N/A</v>
      </c>
      <c r="J2418" s="1059" t="e">
        <f>I2418*$L$5</f>
        <v>#N/A</v>
      </c>
      <c r="K2418" s="1084"/>
      <c r="L2418" s="1085"/>
      <c r="M2418" s="1085"/>
      <c r="N2418" s="1085"/>
      <c r="O2418" s="1085"/>
    </row>
    <row r="2419" spans="1:15" ht="15" customHeight="1">
      <c r="A2419" s="1052" t="s">
        <v>367</v>
      </c>
      <c r="B2419" s="869"/>
      <c r="C2419" s="1058" t="e">
        <f>VLOOKUP(B2415,'LƯƠNG KT'!$D$15:$U$94,16,0)</f>
        <v>#N/A</v>
      </c>
      <c r="D2419" s="1059" t="e">
        <f>+C2419*$L$6</f>
        <v>#N/A</v>
      </c>
      <c r="E2419" s="1061"/>
      <c r="F2419" s="1061"/>
      <c r="G2419" s="1052" t="s">
        <v>367</v>
      </c>
      <c r="H2419" s="869"/>
      <c r="I2419" s="1058" t="e">
        <f>VLOOKUP(H2415,'LƯƠNG KT'!$D$15:$U$94,16,0)</f>
        <v>#N/A</v>
      </c>
      <c r="J2419" s="1059" t="e">
        <f>+I2419*$L$6</f>
        <v>#N/A</v>
      </c>
      <c r="K2419" s="1085"/>
      <c r="L2419" s="1085"/>
      <c r="M2419" s="1085"/>
      <c r="N2419" s="1085"/>
      <c r="O2419" s="1085"/>
    </row>
    <row r="2420" spans="1:15" ht="15" customHeight="1">
      <c r="A2420" s="1052" t="s">
        <v>371</v>
      </c>
      <c r="B2420" s="869" t="s">
        <v>372</v>
      </c>
      <c r="C2420" s="1058" t="e">
        <f>VLOOKUP(B2415,'LƯƠNG KT'!$D$15:$U$94,9,0)*$L$10</f>
        <v>#N/A</v>
      </c>
      <c r="D2420" s="1059" t="e">
        <f>+C2420*0.5*3000</f>
        <v>#N/A</v>
      </c>
      <c r="E2420" s="1061"/>
      <c r="F2420" s="1061"/>
      <c r="G2420" s="1052" t="s">
        <v>371</v>
      </c>
      <c r="H2420" s="869" t="s">
        <v>372</v>
      </c>
      <c r="I2420" s="1058" t="e">
        <f>VLOOKUP(H2415,'LƯƠNG KT'!$D$15:$U$94,9,0)*$L$10</f>
        <v>#N/A</v>
      </c>
      <c r="J2420" s="1059" t="e">
        <f>+I2420*0.5*3000</f>
        <v>#N/A</v>
      </c>
      <c r="K2420" s="1085"/>
      <c r="L2420" s="1085"/>
      <c r="M2420" s="1085"/>
      <c r="N2420" s="1085"/>
      <c r="O2420" s="1085"/>
    </row>
    <row r="2421" spans="1:15" ht="15" customHeight="1">
      <c r="A2421" s="1052" t="s">
        <v>374</v>
      </c>
      <c r="B2421" s="869" t="s">
        <v>375</v>
      </c>
      <c r="C2421" s="1058" t="e">
        <f>VLOOKUP(B2415,'LƯƠNG KT'!$D$15:$U$94,8,0)*$L$11</f>
        <v>#N/A</v>
      </c>
      <c r="D2421" s="1059" t="e">
        <f>VLOOKUP(B2415,'LƯƠNG KT'!$D$15:$U$94,13,0)-D2420</f>
        <v>#N/A</v>
      </c>
      <c r="E2421" s="1063"/>
      <c r="F2421" s="1061"/>
      <c r="G2421" s="1052" t="s">
        <v>374</v>
      </c>
      <c r="H2421" s="869" t="s">
        <v>375</v>
      </c>
      <c r="I2421" s="1058" t="e">
        <f>VLOOKUP(H2415,'LƯƠNG KT'!$D$15:$U$94,8,0)*$L$11</f>
        <v>#N/A</v>
      </c>
      <c r="J2421" s="1059" t="e">
        <f>VLOOKUP(H2415,'LƯƠNG KT'!$D$15:$U$94,13,0)-J2420</f>
        <v>#N/A</v>
      </c>
      <c r="K2421" s="1085"/>
      <c r="L2421" s="1085"/>
      <c r="M2421" s="1085"/>
      <c r="N2421" s="1085"/>
      <c r="O2421" s="1085"/>
    </row>
    <row r="2422" spans="1:15" ht="15" customHeight="1">
      <c r="A2422" s="1059" t="s">
        <v>377</v>
      </c>
      <c r="B2422" s="869" t="s">
        <v>378</v>
      </c>
      <c r="C2422" s="1058"/>
      <c r="D2422" s="1059"/>
      <c r="E2422" s="1065"/>
      <c r="F2422" s="1065"/>
      <c r="G2422" s="1059" t="s">
        <v>377</v>
      </c>
      <c r="H2422" s="869" t="s">
        <v>378</v>
      </c>
      <c r="I2422" s="1058"/>
      <c r="J2422" s="1059"/>
    </row>
    <row r="2423" spans="1:15" ht="15" customHeight="1">
      <c r="A2423" s="1066" t="s">
        <v>379</v>
      </c>
      <c r="B2423" s="869" t="s">
        <v>380</v>
      </c>
      <c r="C2423" s="1058"/>
      <c r="D2423" s="1059"/>
      <c r="E2423" s="1063"/>
      <c r="F2423" s="1065"/>
      <c r="G2423" s="1066" t="s">
        <v>379</v>
      </c>
      <c r="H2423" s="869" t="s">
        <v>380</v>
      </c>
      <c r="I2423" s="1058"/>
      <c r="J2423" s="1059"/>
    </row>
    <row r="2424" spans="1:15" ht="15" customHeight="1">
      <c r="A2424" s="1052" t="s">
        <v>381</v>
      </c>
      <c r="B2424" s="869" t="s">
        <v>382</v>
      </c>
      <c r="C2424" s="1058"/>
      <c r="D2424" s="1059">
        <f>D2423</f>
        <v>0</v>
      </c>
      <c r="E2424" s="1067"/>
      <c r="F2424" s="1051"/>
      <c r="G2424" s="1052" t="s">
        <v>381</v>
      </c>
      <c r="H2424" s="869" t="s">
        <v>382</v>
      </c>
      <c r="I2424" s="1058"/>
      <c r="J2424" s="1059">
        <f>J2423</f>
        <v>0</v>
      </c>
    </row>
    <row r="2425" spans="1:15" ht="15" customHeight="1">
      <c r="A2425" s="1068" t="s">
        <v>383</v>
      </c>
      <c r="B2425" s="1069" t="s">
        <v>384</v>
      </c>
      <c r="C2425" s="1070"/>
      <c r="D2425" s="1071" t="e">
        <f>SUM(D2416:D2421)-D2424</f>
        <v>#N/A</v>
      </c>
      <c r="E2425" s="1072"/>
      <c r="F2425" s="1073"/>
      <c r="G2425" s="1068" t="s">
        <v>383</v>
      </c>
      <c r="H2425" s="1069" t="s">
        <v>384</v>
      </c>
      <c r="I2425" s="1070"/>
      <c r="J2425" s="1071" t="e">
        <f>SUM(J2416:J2421)-J2424</f>
        <v>#N/A</v>
      </c>
    </row>
    <row r="2426" spans="1:15" ht="12.6" customHeight="1">
      <c r="A2426" s="1074"/>
      <c r="B2426" s="1075"/>
      <c r="C2426" s="1076"/>
      <c r="D2426" s="1077"/>
      <c r="E2426" s="1077"/>
      <c r="F2426" s="1078"/>
      <c r="G2426" s="1074"/>
      <c r="H2426" s="1075"/>
      <c r="I2426" s="1076"/>
      <c r="J2426" s="1077"/>
    </row>
    <row r="2427" spans="1:15" ht="12.6" customHeight="1">
      <c r="A2427" s="1075"/>
      <c r="B2427" s="1075"/>
      <c r="C2427" s="1079"/>
      <c r="D2427" s="1080"/>
      <c r="E2427" s="1075"/>
      <c r="F2427" s="1081"/>
      <c r="G2427" s="1075"/>
      <c r="H2427" s="1075"/>
      <c r="I2427" s="1079"/>
      <c r="J2427" s="1080"/>
    </row>
    <row r="2428" spans="1:15" ht="15" customHeight="1">
      <c r="A2428" s="2242" t="str">
        <f>$K$2</f>
        <v>THÁNG 09/2024</v>
      </c>
      <c r="B2428" s="2242"/>
      <c r="C2428" s="2242"/>
      <c r="D2428" s="2242"/>
      <c r="E2428" s="1050"/>
      <c r="F2428" s="1051"/>
      <c r="G2428" s="2242" t="str">
        <f>$K$2</f>
        <v>THÁNG 09/2024</v>
      </c>
      <c r="H2428" s="2242"/>
      <c r="I2428" s="2242"/>
      <c r="J2428" s="2242"/>
      <c r="K2428" s="624"/>
    </row>
    <row r="2429" spans="1:15" ht="15" customHeight="1">
      <c r="A2429" s="1052" t="s">
        <v>356</v>
      </c>
      <c r="B2429" s="1053" t="s">
        <v>216</v>
      </c>
      <c r="C2429" s="869"/>
      <c r="D2429" s="1049"/>
      <c r="E2429" s="1054"/>
      <c r="F2429" s="1055"/>
      <c r="G2429" s="1052" t="s">
        <v>356</v>
      </c>
      <c r="H2429" s="1053" t="s">
        <v>217</v>
      </c>
      <c r="I2429" s="869"/>
      <c r="J2429" s="1049"/>
      <c r="L2429" s="1088"/>
      <c r="M2429" s="1088"/>
      <c r="N2429" s="1088"/>
      <c r="O2429" s="1088"/>
    </row>
    <row r="2430" spans="1:15" ht="15" customHeight="1">
      <c r="A2430" s="1052" t="s">
        <v>359</v>
      </c>
      <c r="B2430" s="1089" t="s">
        <v>360</v>
      </c>
      <c r="C2430" s="1058" t="e">
        <f>VLOOKUP(B2429,'LƯƠNG KT'!$D$15:$U$94,3,0)</f>
        <v>#N/A</v>
      </c>
      <c r="D2430" s="1059" t="e">
        <f>+C2430*25000</f>
        <v>#N/A</v>
      </c>
      <c r="E2430" s="1060"/>
      <c r="F2430" s="1060"/>
      <c r="G2430" s="1052" t="s">
        <v>359</v>
      </c>
      <c r="H2430" s="1089" t="s">
        <v>360</v>
      </c>
      <c r="I2430" s="1058" t="e">
        <f>VLOOKUP(H2429,'LƯƠNG KT'!$D$15:$U$94,3,0)</f>
        <v>#N/A</v>
      </c>
      <c r="J2430" s="1059" t="e">
        <f>+I2430*25000</f>
        <v>#N/A</v>
      </c>
      <c r="K2430" s="1085"/>
      <c r="L2430" s="1085"/>
      <c r="M2430" s="1085"/>
      <c r="N2430" s="1085"/>
      <c r="O2430" s="1085"/>
    </row>
    <row r="2431" spans="1:15" ht="15" customHeight="1">
      <c r="A2431" s="1052" t="s">
        <v>361</v>
      </c>
      <c r="B2431" s="869" t="s">
        <v>362</v>
      </c>
      <c r="C2431" s="1058" t="e">
        <f>VLOOKUP(B2429,'LƯƠNG KT'!$D$15:$U$94,14,0)</f>
        <v>#N/A</v>
      </c>
      <c r="D2431" s="1059" t="e">
        <f>C2431*$L$4</f>
        <v>#N/A</v>
      </c>
      <c r="E2431" s="1061"/>
      <c r="F2431" s="1061"/>
      <c r="G2431" s="1052" t="s">
        <v>361</v>
      </c>
      <c r="H2431" s="869" t="s">
        <v>362</v>
      </c>
      <c r="I2431" s="1058" t="e">
        <f>VLOOKUP(H2429,'LƯƠNG KT'!$D$15:$U$94,14,0)</f>
        <v>#N/A</v>
      </c>
      <c r="J2431" s="1059" t="e">
        <f>I2431*$L$4</f>
        <v>#N/A</v>
      </c>
      <c r="K2431" s="1085"/>
      <c r="L2431" s="1085"/>
      <c r="M2431" s="1085"/>
      <c r="N2431" s="1085"/>
      <c r="O2431" s="1085"/>
    </row>
    <row r="2432" spans="1:15" ht="15" customHeight="1">
      <c r="A2432" s="1052" t="s">
        <v>364</v>
      </c>
      <c r="B2432" s="869" t="s">
        <v>365</v>
      </c>
      <c r="C2432" s="1058" t="e">
        <f>VLOOKUP(B2429,'LƯƠNG KT'!$D$15:$U$94,15,0)</f>
        <v>#N/A</v>
      </c>
      <c r="D2432" s="1059" t="e">
        <f>C2432*$L$5</f>
        <v>#N/A</v>
      </c>
      <c r="E2432" s="1061"/>
      <c r="F2432" s="1061"/>
      <c r="G2432" s="1052" t="s">
        <v>364</v>
      </c>
      <c r="H2432" s="869" t="s">
        <v>365</v>
      </c>
      <c r="I2432" s="1058" t="e">
        <f>VLOOKUP(H2429,'LƯƠNG KT'!$D$15:$U$94,15,0)</f>
        <v>#N/A</v>
      </c>
      <c r="J2432" s="1059" t="e">
        <f>I2432*$L$5</f>
        <v>#N/A</v>
      </c>
      <c r="K2432" s="1085"/>
      <c r="L2432" s="1085"/>
      <c r="M2432" s="1085"/>
      <c r="N2432" s="1085"/>
      <c r="O2432" s="1085"/>
    </row>
    <row r="2433" spans="1:15" ht="15" customHeight="1">
      <c r="A2433" s="1052" t="s">
        <v>367</v>
      </c>
      <c r="B2433" s="869"/>
      <c r="C2433" s="1058" t="e">
        <f>VLOOKUP(B2429,'LƯƠNG KT'!$D$15:$U$94,16,0)</f>
        <v>#N/A</v>
      </c>
      <c r="D2433" s="1059" t="e">
        <f>+C2433*$L$6</f>
        <v>#N/A</v>
      </c>
      <c r="E2433" s="1061"/>
      <c r="F2433" s="1061"/>
      <c r="G2433" s="1052" t="s">
        <v>367</v>
      </c>
      <c r="H2433" s="869"/>
      <c r="I2433" s="1058" t="e">
        <f>VLOOKUP(H2429,'LƯƠNG KT'!$D$15:$U$94,16,0)</f>
        <v>#N/A</v>
      </c>
      <c r="J2433" s="1059" t="e">
        <f>+I2433*$L$6</f>
        <v>#N/A</v>
      </c>
      <c r="K2433" s="1085"/>
      <c r="L2433" s="1085"/>
      <c r="M2433" s="1085"/>
      <c r="N2433" s="1085"/>
      <c r="O2433" s="1085"/>
    </row>
    <row r="2434" spans="1:15" ht="15" customHeight="1">
      <c r="A2434" s="1052" t="s">
        <v>371</v>
      </c>
      <c r="B2434" s="869" t="s">
        <v>372</v>
      </c>
      <c r="C2434" s="1058" t="e">
        <f>VLOOKUP(B2429,'LƯƠNG KT'!$D$15:$U$94,9,0)*$L$10</f>
        <v>#N/A</v>
      </c>
      <c r="D2434" s="1059" t="e">
        <f>+C2434*0.5*3000</f>
        <v>#N/A</v>
      </c>
      <c r="E2434" s="1061"/>
      <c r="F2434" s="1061"/>
      <c r="G2434" s="1052" t="s">
        <v>371</v>
      </c>
      <c r="H2434" s="869" t="s">
        <v>372</v>
      </c>
      <c r="I2434" s="1058" t="e">
        <f>VLOOKUP(H2429,'LƯƠNG KT'!$D$15:$U$94,9,0)*$L$10</f>
        <v>#N/A</v>
      </c>
      <c r="J2434" s="1059" t="e">
        <f>+I2434*0.5*3000</f>
        <v>#N/A</v>
      </c>
      <c r="K2434" s="1085"/>
      <c r="L2434" s="1085"/>
      <c r="M2434" s="1085"/>
      <c r="N2434" s="1085"/>
      <c r="O2434" s="1085"/>
    </row>
    <row r="2435" spans="1:15" ht="15" customHeight="1">
      <c r="A2435" s="1052" t="s">
        <v>374</v>
      </c>
      <c r="B2435" s="869" t="s">
        <v>375</v>
      </c>
      <c r="C2435" s="1058" t="e">
        <f>VLOOKUP(B2429,'LƯƠNG KT'!$D$15:$U$94,8,0)*$L$11</f>
        <v>#N/A</v>
      </c>
      <c r="D2435" s="1059" t="e">
        <f>VLOOKUP(B2429,'LƯƠNG KT'!$D$15:$U$94,13,0)-D2434</f>
        <v>#N/A</v>
      </c>
      <c r="E2435" s="1063"/>
      <c r="F2435" s="1061"/>
      <c r="G2435" s="1052" t="s">
        <v>374</v>
      </c>
      <c r="H2435" s="869" t="s">
        <v>375</v>
      </c>
      <c r="I2435" s="1058" t="e">
        <f>VLOOKUP(H2429,'LƯƠNG KT'!$D$15:$U$94,8,0)*$L$11</f>
        <v>#N/A</v>
      </c>
      <c r="J2435" s="1059" t="e">
        <f>VLOOKUP(H2429,'LƯƠNG KT'!$D$15:$U$94,13,0)-J2434</f>
        <v>#N/A</v>
      </c>
      <c r="K2435" s="1085"/>
      <c r="L2435" s="1085"/>
      <c r="M2435" s="1085"/>
      <c r="N2435" s="1085"/>
      <c r="O2435" s="1085"/>
    </row>
    <row r="2436" spans="1:15" ht="15" customHeight="1">
      <c r="A2436" s="1059" t="s">
        <v>377</v>
      </c>
      <c r="B2436" s="869" t="s">
        <v>378</v>
      </c>
      <c r="C2436" s="1058"/>
      <c r="D2436" s="1059"/>
      <c r="E2436" s="1065"/>
      <c r="F2436" s="1065"/>
      <c r="G2436" s="1059" t="s">
        <v>377</v>
      </c>
      <c r="H2436" s="869" t="s">
        <v>378</v>
      </c>
      <c r="I2436" s="1058"/>
      <c r="J2436" s="1059"/>
    </row>
    <row r="2437" spans="1:15" ht="15" customHeight="1">
      <c r="A2437" s="1066" t="s">
        <v>379</v>
      </c>
      <c r="B2437" s="869" t="s">
        <v>380</v>
      </c>
      <c r="C2437" s="1058"/>
      <c r="D2437" s="1059"/>
      <c r="E2437" s="1063"/>
      <c r="F2437" s="1065"/>
      <c r="G2437" s="1066" t="s">
        <v>379</v>
      </c>
      <c r="H2437" s="869" t="s">
        <v>380</v>
      </c>
      <c r="I2437" s="1058"/>
      <c r="J2437" s="1059"/>
    </row>
    <row r="2438" spans="1:15" ht="15" customHeight="1">
      <c r="A2438" s="1052" t="s">
        <v>381</v>
      </c>
      <c r="B2438" s="869" t="s">
        <v>382</v>
      </c>
      <c r="C2438" s="1058"/>
      <c r="D2438" s="1059">
        <f>D2437</f>
        <v>0</v>
      </c>
      <c r="E2438" s="1067"/>
      <c r="F2438" s="1051"/>
      <c r="G2438" s="1052" t="s">
        <v>381</v>
      </c>
      <c r="H2438" s="869" t="s">
        <v>382</v>
      </c>
      <c r="I2438" s="1058"/>
      <c r="J2438" s="1059">
        <f>J2437</f>
        <v>0</v>
      </c>
    </row>
    <row r="2439" spans="1:15" ht="15" customHeight="1">
      <c r="A2439" s="1068" t="s">
        <v>383</v>
      </c>
      <c r="B2439" s="1069" t="s">
        <v>384</v>
      </c>
      <c r="C2439" s="1070"/>
      <c r="D2439" s="1071" t="e">
        <f>SUM(D2430:D2435)-D2438</f>
        <v>#N/A</v>
      </c>
      <c r="E2439" s="1072"/>
      <c r="F2439" s="1073"/>
      <c r="G2439" s="1068" t="s">
        <v>383</v>
      </c>
      <c r="H2439" s="1069" t="s">
        <v>384</v>
      </c>
      <c r="I2439" s="1070"/>
      <c r="J2439" s="1071" t="e">
        <f>SUM(J2430:J2435)-J2438</f>
        <v>#N/A</v>
      </c>
    </row>
    <row r="2440" spans="1:15" ht="18.75" customHeight="1">
      <c r="A2440" s="1074"/>
      <c r="B2440" s="1075"/>
      <c r="C2440" s="1076"/>
      <c r="D2440" s="1077"/>
      <c r="E2440" s="1077"/>
      <c r="F2440" s="1078"/>
      <c r="G2440" s="1074"/>
      <c r="H2440" s="1075"/>
      <c r="I2440" s="1076"/>
      <c r="J2440" s="1077"/>
    </row>
    <row r="2441" spans="1:15" ht="18.75" customHeight="1">
      <c r="A2441" s="1075"/>
      <c r="B2441" s="1075"/>
      <c r="C2441" s="1079"/>
      <c r="D2441" s="1080"/>
      <c r="E2441" s="1075"/>
      <c r="F2441" s="1081"/>
      <c r="G2441" s="1075"/>
      <c r="H2441" s="1075"/>
      <c r="I2441" s="1079"/>
      <c r="J2441" s="1080"/>
    </row>
    <row r="2442" spans="1:15" ht="15" customHeight="1">
      <c r="A2442" s="2242" t="str">
        <f>$K$2</f>
        <v>THÁNG 09/2024</v>
      </c>
      <c r="B2442" s="2242"/>
      <c r="C2442" s="2242"/>
      <c r="D2442" s="2242"/>
      <c r="E2442" s="1050"/>
      <c r="F2442" s="1051"/>
      <c r="G2442" s="2242" t="str">
        <f>$K$2</f>
        <v>THÁNG 09/2024</v>
      </c>
      <c r="H2442" s="2242"/>
      <c r="I2442" s="2242"/>
      <c r="J2442" s="2242"/>
      <c r="K2442" s="624"/>
    </row>
    <row r="2443" spans="1:15" ht="15" customHeight="1">
      <c r="A2443" s="1052" t="s">
        <v>356</v>
      </c>
      <c r="B2443" s="1053" t="s">
        <v>218</v>
      </c>
      <c r="C2443" s="869"/>
      <c r="D2443" s="1049"/>
      <c r="E2443" s="1054"/>
      <c r="F2443" s="1055"/>
      <c r="G2443" s="1052" t="s">
        <v>356</v>
      </c>
      <c r="H2443" s="1053" t="s">
        <v>219</v>
      </c>
      <c r="I2443" s="869"/>
      <c r="J2443" s="1049"/>
      <c r="L2443" s="1088"/>
      <c r="M2443" s="1088"/>
      <c r="N2443" s="1088"/>
      <c r="O2443" s="1088"/>
    </row>
    <row r="2444" spans="1:15" ht="15" customHeight="1">
      <c r="A2444" s="1052" t="s">
        <v>359</v>
      </c>
      <c r="B2444" s="1089" t="s">
        <v>360</v>
      </c>
      <c r="C2444" s="1058" t="e">
        <f>VLOOKUP(B2443,'LƯƠNG KT'!$D$15:$U$94,3,0)</f>
        <v>#N/A</v>
      </c>
      <c r="D2444" s="1059" t="e">
        <f>+C2444*25000</f>
        <v>#N/A</v>
      </c>
      <c r="E2444" s="1060"/>
      <c r="F2444" s="1060"/>
      <c r="G2444" s="1052" t="s">
        <v>359</v>
      </c>
      <c r="H2444" s="1089" t="s">
        <v>360</v>
      </c>
      <c r="I2444" s="1058" t="e">
        <f>VLOOKUP(H2443,'LƯƠNG KT'!$D$15:$U$94,3,0)</f>
        <v>#N/A</v>
      </c>
      <c r="J2444" s="1059" t="e">
        <f>+I2444*25000</f>
        <v>#N/A</v>
      </c>
      <c r="K2444" s="1085"/>
      <c r="L2444" s="1085"/>
      <c r="M2444" s="1085"/>
      <c r="N2444" s="1085"/>
      <c r="O2444" s="1085"/>
    </row>
    <row r="2445" spans="1:15" ht="15" customHeight="1">
      <c r="A2445" s="1052" t="s">
        <v>361</v>
      </c>
      <c r="B2445" s="869" t="s">
        <v>362</v>
      </c>
      <c r="C2445" s="1058" t="e">
        <f>VLOOKUP(B2443,'LƯƠNG KT'!$D$15:$U$94,14,0)</f>
        <v>#N/A</v>
      </c>
      <c r="D2445" s="1059" t="e">
        <f>C2445*$L$4</f>
        <v>#N/A</v>
      </c>
      <c r="E2445" s="1061"/>
      <c r="F2445" s="1061"/>
      <c r="G2445" s="1052" t="s">
        <v>361</v>
      </c>
      <c r="H2445" s="869" t="s">
        <v>362</v>
      </c>
      <c r="I2445" s="1058" t="e">
        <f>VLOOKUP(H2443,'LƯƠNG KT'!$D$15:$U$94,14,0)</f>
        <v>#N/A</v>
      </c>
      <c r="J2445" s="1059" t="e">
        <f>I2445*$L$4</f>
        <v>#N/A</v>
      </c>
      <c r="K2445" s="1085"/>
      <c r="L2445" s="1085"/>
      <c r="M2445" s="1085"/>
      <c r="N2445" s="1085"/>
      <c r="O2445" s="1085"/>
    </row>
    <row r="2446" spans="1:15" ht="15" customHeight="1">
      <c r="A2446" s="1052" t="s">
        <v>364</v>
      </c>
      <c r="B2446" s="869" t="s">
        <v>365</v>
      </c>
      <c r="C2446" s="1058" t="e">
        <f>VLOOKUP(B2443,'LƯƠNG KT'!$D$15:$U$94,15,0)</f>
        <v>#N/A</v>
      </c>
      <c r="D2446" s="1059" t="e">
        <f>C2446*$L$5</f>
        <v>#N/A</v>
      </c>
      <c r="E2446" s="1061"/>
      <c r="F2446" s="1061"/>
      <c r="G2446" s="1052" t="s">
        <v>364</v>
      </c>
      <c r="H2446" s="869" t="s">
        <v>365</v>
      </c>
      <c r="I2446" s="1058" t="e">
        <f>VLOOKUP(H2443,'LƯƠNG KT'!$D$15:$U$94,15,0)</f>
        <v>#N/A</v>
      </c>
      <c r="J2446" s="1059" t="e">
        <f>I2446*$L$5</f>
        <v>#N/A</v>
      </c>
      <c r="K2446" s="1085"/>
      <c r="L2446" s="1085"/>
      <c r="M2446" s="1085"/>
      <c r="N2446" s="1085"/>
      <c r="O2446" s="1085"/>
    </row>
    <row r="2447" spans="1:15" ht="15" customHeight="1">
      <c r="A2447" s="1052" t="s">
        <v>367</v>
      </c>
      <c r="B2447" s="869"/>
      <c r="C2447" s="1058" t="e">
        <f>VLOOKUP(B2443,'LƯƠNG KT'!$D$15:$U$94,16,0)</f>
        <v>#N/A</v>
      </c>
      <c r="D2447" s="1059" t="e">
        <f>+C2447*$L$6</f>
        <v>#N/A</v>
      </c>
      <c r="E2447" s="1061"/>
      <c r="F2447" s="1061"/>
      <c r="G2447" s="1052" t="s">
        <v>367</v>
      </c>
      <c r="H2447" s="869"/>
      <c r="I2447" s="1058" t="e">
        <f>VLOOKUP(H2443,'LƯƠNG KT'!$D$15:$U$94,16,0)</f>
        <v>#N/A</v>
      </c>
      <c r="J2447" s="1059" t="e">
        <f>+I2447*$L$6</f>
        <v>#N/A</v>
      </c>
      <c r="K2447" s="1085"/>
      <c r="L2447" s="1085"/>
      <c r="M2447" s="1085"/>
      <c r="N2447" s="1085"/>
      <c r="O2447" s="1085"/>
    </row>
    <row r="2448" spans="1:15" ht="15" customHeight="1">
      <c r="A2448" s="1052" t="s">
        <v>371</v>
      </c>
      <c r="B2448" s="869" t="s">
        <v>372</v>
      </c>
      <c r="C2448" s="1058" t="e">
        <f>VLOOKUP(B2443,'LƯƠNG KT'!$D$15:$U$94,9,0)*$L$10</f>
        <v>#N/A</v>
      </c>
      <c r="D2448" s="1059" t="e">
        <f>+C2448*0.5*3000</f>
        <v>#N/A</v>
      </c>
      <c r="E2448" s="1061"/>
      <c r="F2448" s="1061"/>
      <c r="G2448" s="1052" t="s">
        <v>371</v>
      </c>
      <c r="H2448" s="869" t="s">
        <v>372</v>
      </c>
      <c r="I2448" s="1058" t="e">
        <f>VLOOKUP(H2443,'LƯƠNG KT'!$D$15:$U$94,9,0)*$L$10</f>
        <v>#N/A</v>
      </c>
      <c r="J2448" s="1059" t="e">
        <f>+I2448*0.5*3000</f>
        <v>#N/A</v>
      </c>
      <c r="K2448" s="1085"/>
      <c r="L2448" s="1085"/>
      <c r="M2448" s="1085"/>
      <c r="N2448" s="1085"/>
      <c r="O2448" s="1085"/>
    </row>
    <row r="2449" spans="1:15" ht="15" customHeight="1">
      <c r="A2449" s="1052" t="s">
        <v>374</v>
      </c>
      <c r="B2449" s="869" t="s">
        <v>375</v>
      </c>
      <c r="C2449" s="1058" t="e">
        <f>VLOOKUP(B2443,'LƯƠNG KT'!$D$15:$U$94,8,0)*$L$11</f>
        <v>#N/A</v>
      </c>
      <c r="D2449" s="1059" t="e">
        <f>VLOOKUP(B2443,'LƯƠNG KT'!$D$15:$U$94,13,0)-D2448</f>
        <v>#N/A</v>
      </c>
      <c r="E2449" s="1063"/>
      <c r="F2449" s="1061"/>
      <c r="G2449" s="1052" t="s">
        <v>374</v>
      </c>
      <c r="H2449" s="869" t="s">
        <v>375</v>
      </c>
      <c r="I2449" s="1058" t="e">
        <f>VLOOKUP(H2443,'LƯƠNG KT'!$D$15:$U$94,8,0)*$L$11</f>
        <v>#N/A</v>
      </c>
      <c r="J2449" s="1059" t="e">
        <f>VLOOKUP(H2443,'LƯƠNG KT'!$D$15:$U$94,13,0)-J2448</f>
        <v>#N/A</v>
      </c>
      <c r="K2449" s="1085"/>
      <c r="L2449" s="1085"/>
      <c r="M2449" s="1085"/>
      <c r="N2449" s="1085"/>
      <c r="O2449" s="1085"/>
    </row>
    <row r="2450" spans="1:15" ht="15" customHeight="1">
      <c r="A2450" s="1059" t="s">
        <v>377</v>
      </c>
      <c r="B2450" s="869" t="s">
        <v>378</v>
      </c>
      <c r="C2450" s="1058"/>
      <c r="D2450" s="1059"/>
      <c r="E2450" s="1065"/>
      <c r="F2450" s="1065"/>
      <c r="G2450" s="1059" t="s">
        <v>377</v>
      </c>
      <c r="H2450" s="869" t="s">
        <v>378</v>
      </c>
      <c r="I2450" s="1058"/>
      <c r="J2450" s="1059"/>
    </row>
    <row r="2451" spans="1:15" ht="15" customHeight="1">
      <c r="A2451" s="1066" t="s">
        <v>379</v>
      </c>
      <c r="B2451" s="869" t="s">
        <v>380</v>
      </c>
      <c r="C2451" s="1058"/>
      <c r="D2451" s="1059"/>
      <c r="E2451" s="1063"/>
      <c r="F2451" s="1065"/>
      <c r="G2451" s="1066" t="s">
        <v>379</v>
      </c>
      <c r="H2451" s="869" t="s">
        <v>380</v>
      </c>
      <c r="I2451" s="1058"/>
      <c r="J2451" s="1059"/>
    </row>
    <row r="2452" spans="1:15" ht="15" customHeight="1">
      <c r="A2452" s="1052" t="s">
        <v>381</v>
      </c>
      <c r="B2452" s="869" t="s">
        <v>382</v>
      </c>
      <c r="C2452" s="1058"/>
      <c r="D2452" s="1059">
        <f>D2451</f>
        <v>0</v>
      </c>
      <c r="E2452" s="1067"/>
      <c r="F2452" s="1051"/>
      <c r="G2452" s="1052" t="s">
        <v>381</v>
      </c>
      <c r="H2452" s="869" t="s">
        <v>382</v>
      </c>
      <c r="I2452" s="1058"/>
      <c r="J2452" s="1059">
        <f>J2451</f>
        <v>0</v>
      </c>
    </row>
    <row r="2453" spans="1:15" ht="15" customHeight="1">
      <c r="A2453" s="1068" t="s">
        <v>383</v>
      </c>
      <c r="B2453" s="1069" t="s">
        <v>384</v>
      </c>
      <c r="C2453" s="1070"/>
      <c r="D2453" s="1071" t="e">
        <f>SUM(D2444:D2449)-D2452</f>
        <v>#N/A</v>
      </c>
      <c r="E2453" s="1072"/>
      <c r="F2453" s="1073"/>
      <c r="G2453" s="1068" t="s">
        <v>383</v>
      </c>
      <c r="H2453" s="1069" t="s">
        <v>384</v>
      </c>
      <c r="I2453" s="1070"/>
      <c r="J2453" s="1071" t="e">
        <f>SUM(J2444:J2449)-J2452</f>
        <v>#N/A</v>
      </c>
    </row>
    <row r="2454" spans="1:15" ht="18.75" customHeight="1">
      <c r="A2454" s="1074"/>
      <c r="B2454" s="1075"/>
      <c r="C2454" s="1076"/>
      <c r="D2454" s="1077"/>
      <c r="E2454" s="1077"/>
      <c r="F2454" s="1078"/>
      <c r="G2454" s="1074"/>
      <c r="H2454" s="1075"/>
      <c r="I2454" s="1076"/>
      <c r="J2454" s="1077"/>
    </row>
    <row r="2455" spans="1:15" ht="18.75" customHeight="1">
      <c r="A2455" s="1075"/>
      <c r="B2455" s="1075"/>
      <c r="C2455" s="1079"/>
      <c r="D2455" s="1080"/>
      <c r="E2455" s="1075"/>
      <c r="F2455" s="1081"/>
      <c r="G2455" s="1075"/>
      <c r="H2455" s="1075"/>
      <c r="I2455" s="1079"/>
      <c r="J2455" s="1080"/>
    </row>
    <row r="2456" spans="1:15" ht="15" customHeight="1">
      <c r="A2456" s="2242" t="str">
        <f>$K$2</f>
        <v>THÁNG 09/2024</v>
      </c>
      <c r="B2456" s="2242"/>
      <c r="C2456" s="2242"/>
      <c r="D2456" s="2242"/>
      <c r="E2456" s="1050"/>
      <c r="F2456" s="1051"/>
      <c r="G2456" s="2242" t="str">
        <f>$K$2</f>
        <v>THÁNG 09/2024</v>
      </c>
      <c r="H2456" s="2242"/>
      <c r="I2456" s="2242"/>
      <c r="J2456" s="2242"/>
      <c r="K2456" s="624"/>
    </row>
    <row r="2457" spans="1:15" ht="15" customHeight="1">
      <c r="A2457" s="1052" t="s">
        <v>356</v>
      </c>
      <c r="B2457" s="1053" t="s">
        <v>220</v>
      </c>
      <c r="C2457" s="869"/>
      <c r="D2457" s="1049"/>
      <c r="E2457" s="1054"/>
      <c r="F2457" s="1055"/>
      <c r="G2457" s="1052" t="s">
        <v>356</v>
      </c>
      <c r="H2457" s="1053" t="s">
        <v>221</v>
      </c>
      <c r="I2457" s="869"/>
      <c r="J2457" s="1049"/>
      <c r="L2457" s="1088"/>
      <c r="M2457" s="1088"/>
      <c r="N2457" s="1088"/>
      <c r="O2457" s="1088"/>
    </row>
    <row r="2458" spans="1:15" ht="15" customHeight="1">
      <c r="A2458" s="1052" t="s">
        <v>359</v>
      </c>
      <c r="B2458" s="1089" t="s">
        <v>360</v>
      </c>
      <c r="C2458" s="1058" t="e">
        <f>VLOOKUP(B2457,'LƯƠNG KT'!$D$15:$U$94,3,0)</f>
        <v>#N/A</v>
      </c>
      <c r="D2458" s="1059" t="e">
        <f>+C2458*25000</f>
        <v>#N/A</v>
      </c>
      <c r="E2458" s="1060"/>
      <c r="F2458" s="1060"/>
      <c r="G2458" s="1052" t="s">
        <v>359</v>
      </c>
      <c r="H2458" s="1089" t="s">
        <v>360</v>
      </c>
      <c r="I2458" s="1058" t="e">
        <f>VLOOKUP(H2457,'LƯƠNG KT'!$D$15:$U$94,3,0)</f>
        <v>#N/A</v>
      </c>
      <c r="J2458" s="1059" t="e">
        <f>+I2458*25000</f>
        <v>#N/A</v>
      </c>
      <c r="K2458" s="1085"/>
      <c r="L2458" s="1085"/>
      <c r="M2458" s="1085"/>
      <c r="N2458" s="1085"/>
      <c r="O2458" s="1085"/>
    </row>
    <row r="2459" spans="1:15" ht="15" customHeight="1">
      <c r="A2459" s="1052" t="s">
        <v>361</v>
      </c>
      <c r="B2459" s="869" t="s">
        <v>362</v>
      </c>
      <c r="C2459" s="1058" t="e">
        <f>VLOOKUP(B2457,'LƯƠNG KT'!$D$15:$U$94,14,0)</f>
        <v>#N/A</v>
      </c>
      <c r="D2459" s="1059" t="e">
        <f>C2459*$L$4</f>
        <v>#N/A</v>
      </c>
      <c r="E2459" s="1061"/>
      <c r="F2459" s="1061"/>
      <c r="G2459" s="1052" t="s">
        <v>361</v>
      </c>
      <c r="H2459" s="869" t="s">
        <v>362</v>
      </c>
      <c r="I2459" s="1058" t="e">
        <f>VLOOKUP(H2457,'LƯƠNG KT'!$D$15:$U$94,14,0)</f>
        <v>#N/A</v>
      </c>
      <c r="J2459" s="1059" t="e">
        <f>I2459*$L$4</f>
        <v>#N/A</v>
      </c>
      <c r="K2459" s="1085"/>
      <c r="L2459" s="1085"/>
      <c r="M2459" s="1085"/>
      <c r="N2459" s="1085"/>
      <c r="O2459" s="1085"/>
    </row>
    <row r="2460" spans="1:15" ht="15" customHeight="1">
      <c r="A2460" s="1052" t="s">
        <v>364</v>
      </c>
      <c r="B2460" s="869" t="s">
        <v>365</v>
      </c>
      <c r="C2460" s="1058" t="e">
        <f>VLOOKUP(B2457,'LƯƠNG KT'!$D$15:$U$94,15,0)</f>
        <v>#N/A</v>
      </c>
      <c r="D2460" s="1059" t="e">
        <f>C2460*$L$5</f>
        <v>#N/A</v>
      </c>
      <c r="E2460" s="1061"/>
      <c r="F2460" s="1061"/>
      <c r="G2460" s="1052" t="s">
        <v>364</v>
      </c>
      <c r="H2460" s="869" t="s">
        <v>365</v>
      </c>
      <c r="I2460" s="1058" t="e">
        <f>VLOOKUP(H2457,'LƯƠNG KT'!$D$15:$U$94,15,0)</f>
        <v>#N/A</v>
      </c>
      <c r="J2460" s="1059" t="e">
        <f>I2460*$L$5</f>
        <v>#N/A</v>
      </c>
      <c r="K2460" s="1085"/>
      <c r="L2460" s="1085"/>
      <c r="M2460" s="1085"/>
      <c r="N2460" s="1085"/>
      <c r="O2460" s="1085"/>
    </row>
    <row r="2461" spans="1:15" ht="15" customHeight="1">
      <c r="A2461" s="1052" t="s">
        <v>367</v>
      </c>
      <c r="B2461" s="869"/>
      <c r="C2461" s="1058" t="e">
        <f>VLOOKUP(B2457,'LƯƠNG KT'!$D$15:$U$94,16,0)</f>
        <v>#N/A</v>
      </c>
      <c r="D2461" s="1059" t="e">
        <f>+C2461*$L$6</f>
        <v>#N/A</v>
      </c>
      <c r="E2461" s="1061"/>
      <c r="F2461" s="1061"/>
      <c r="G2461" s="1052" t="s">
        <v>367</v>
      </c>
      <c r="H2461" s="869"/>
      <c r="I2461" s="1058" t="e">
        <f>VLOOKUP(H2457,'LƯƠNG KT'!$D$15:$U$94,16,0)</f>
        <v>#N/A</v>
      </c>
      <c r="J2461" s="1059" t="e">
        <f>+I2461*$L$6</f>
        <v>#N/A</v>
      </c>
      <c r="K2461" s="1085"/>
      <c r="L2461" s="1085"/>
      <c r="M2461" s="1085"/>
      <c r="N2461" s="1085"/>
      <c r="O2461" s="1085"/>
    </row>
    <row r="2462" spans="1:15" ht="15" customHeight="1">
      <c r="A2462" s="1052" t="s">
        <v>371</v>
      </c>
      <c r="B2462" s="869" t="s">
        <v>372</v>
      </c>
      <c r="C2462" s="1058" t="e">
        <f>VLOOKUP(B2457,'LƯƠNG KT'!$D$15:$U$94,9,0)*$L$10</f>
        <v>#N/A</v>
      </c>
      <c r="D2462" s="1059" t="e">
        <f>+C2462*0.5*3000</f>
        <v>#N/A</v>
      </c>
      <c r="E2462" s="1061"/>
      <c r="F2462" s="1061"/>
      <c r="G2462" s="1052" t="s">
        <v>371</v>
      </c>
      <c r="H2462" s="869" t="s">
        <v>372</v>
      </c>
      <c r="I2462" s="1058" t="e">
        <f>VLOOKUP(H2457,'LƯƠNG KT'!$D$15:$U$94,9,0)*$L$10</f>
        <v>#N/A</v>
      </c>
      <c r="J2462" s="1059" t="e">
        <f>+I2462*0.5*3000</f>
        <v>#N/A</v>
      </c>
      <c r="K2462" s="1085"/>
      <c r="L2462" s="1085"/>
      <c r="M2462" s="1085"/>
      <c r="N2462" s="1085"/>
      <c r="O2462" s="1085"/>
    </row>
    <row r="2463" spans="1:15" ht="15" customHeight="1">
      <c r="A2463" s="1052" t="s">
        <v>374</v>
      </c>
      <c r="B2463" s="869" t="s">
        <v>375</v>
      </c>
      <c r="C2463" s="1058" t="e">
        <f>VLOOKUP(B2457,'LƯƠNG KT'!$D$15:$U$94,8,0)*$L$11</f>
        <v>#N/A</v>
      </c>
      <c r="D2463" s="1059" t="e">
        <f>VLOOKUP(B2457,'LƯƠNG KT'!$D$15:$U$94,13,0)-D2462</f>
        <v>#N/A</v>
      </c>
      <c r="E2463" s="1063"/>
      <c r="F2463" s="1061"/>
      <c r="G2463" s="1052" t="s">
        <v>374</v>
      </c>
      <c r="H2463" s="869" t="s">
        <v>375</v>
      </c>
      <c r="I2463" s="1058" t="e">
        <f>VLOOKUP(H2457,'LƯƠNG KT'!$D$15:$U$94,8,0)*$L$11</f>
        <v>#N/A</v>
      </c>
      <c r="J2463" s="1059" t="e">
        <f>VLOOKUP(H2457,'LƯƠNG KT'!$D$15:$U$94,13,0)-J2462</f>
        <v>#N/A</v>
      </c>
      <c r="K2463" s="1085"/>
      <c r="L2463" s="1085"/>
      <c r="M2463" s="1085"/>
      <c r="N2463" s="1085"/>
      <c r="O2463" s="1085"/>
    </row>
    <row r="2464" spans="1:15" ht="15" customHeight="1">
      <c r="A2464" s="1059" t="s">
        <v>377</v>
      </c>
      <c r="B2464" s="869" t="s">
        <v>378</v>
      </c>
      <c r="C2464" s="1058"/>
      <c r="D2464" s="1059"/>
      <c r="E2464" s="1065"/>
      <c r="F2464" s="1065"/>
      <c r="G2464" s="1059" t="s">
        <v>377</v>
      </c>
      <c r="H2464" s="869" t="s">
        <v>378</v>
      </c>
      <c r="I2464" s="1058"/>
      <c r="J2464" s="1059"/>
    </row>
    <row r="2465" spans="1:15" ht="15" customHeight="1">
      <c r="A2465" s="1066" t="s">
        <v>379</v>
      </c>
      <c r="B2465" s="869" t="s">
        <v>380</v>
      </c>
      <c r="C2465" s="1058"/>
      <c r="D2465" s="1059"/>
      <c r="E2465" s="1063"/>
      <c r="F2465" s="1065"/>
      <c r="G2465" s="1066" t="s">
        <v>379</v>
      </c>
      <c r="H2465" s="869" t="s">
        <v>380</v>
      </c>
      <c r="I2465" s="1058"/>
      <c r="J2465" s="1059"/>
    </row>
    <row r="2466" spans="1:15" ht="15" customHeight="1">
      <c r="A2466" s="1052" t="s">
        <v>381</v>
      </c>
      <c r="B2466" s="869" t="s">
        <v>382</v>
      </c>
      <c r="C2466" s="1058"/>
      <c r="D2466" s="1059">
        <f>D2465</f>
        <v>0</v>
      </c>
      <c r="E2466" s="1067"/>
      <c r="F2466" s="1051"/>
      <c r="G2466" s="1052" t="s">
        <v>381</v>
      </c>
      <c r="H2466" s="869" t="s">
        <v>382</v>
      </c>
      <c r="I2466" s="1058"/>
      <c r="J2466" s="1059">
        <f>J2465</f>
        <v>0</v>
      </c>
    </row>
    <row r="2467" spans="1:15" ht="15" customHeight="1">
      <c r="A2467" s="1068" t="s">
        <v>383</v>
      </c>
      <c r="B2467" s="1069" t="s">
        <v>384</v>
      </c>
      <c r="C2467" s="1070"/>
      <c r="D2467" s="1071" t="e">
        <f>SUM(D2458:D2463)-D2466</f>
        <v>#N/A</v>
      </c>
      <c r="E2467" s="1072"/>
      <c r="F2467" s="1073"/>
      <c r="G2467" s="1068" t="s">
        <v>383</v>
      </c>
      <c r="H2467" s="1069" t="s">
        <v>384</v>
      </c>
      <c r="I2467" s="1070"/>
      <c r="J2467" s="1071" t="e">
        <f>SUM(J2458:J2463)-J2466</f>
        <v>#N/A</v>
      </c>
    </row>
    <row r="2468" spans="1:15" ht="15.75" customHeight="1">
      <c r="A2468" s="1074"/>
      <c r="B2468" s="1075"/>
      <c r="C2468" s="1076"/>
      <c r="D2468" s="1077"/>
      <c r="E2468" s="1077"/>
      <c r="F2468" s="1078"/>
      <c r="G2468" s="1074"/>
      <c r="H2468" s="1075"/>
      <c r="I2468" s="1076"/>
      <c r="J2468" s="1077"/>
    </row>
    <row r="2470" spans="1:15" ht="12" customHeight="1">
      <c r="A2470" s="2243"/>
      <c r="B2470" s="2243"/>
      <c r="C2470" s="2243"/>
      <c r="D2470" s="2243"/>
      <c r="E2470" s="2243"/>
      <c r="F2470" s="2243"/>
      <c r="G2470" s="2243"/>
      <c r="H2470" s="2243"/>
      <c r="I2470" s="2243"/>
      <c r="J2470" s="2243"/>
    </row>
    <row r="2471" spans="1:15" ht="15" customHeight="1">
      <c r="A2471" s="2242" t="str">
        <f>$K$2</f>
        <v>THÁNG 09/2024</v>
      </c>
      <c r="B2471" s="2242"/>
      <c r="C2471" s="2242"/>
      <c r="D2471" s="2242"/>
      <c r="E2471" s="1050"/>
      <c r="F2471" s="1051"/>
      <c r="G2471" s="2242" t="str">
        <f>$K$2</f>
        <v>THÁNG 09/2024</v>
      </c>
      <c r="H2471" s="2242"/>
      <c r="I2471" s="2242"/>
      <c r="J2471" s="2242"/>
      <c r="K2471" s="624"/>
    </row>
    <row r="2472" spans="1:15" ht="15" customHeight="1">
      <c r="A2472" s="1052" t="s">
        <v>356</v>
      </c>
      <c r="B2472" s="1053" t="s">
        <v>222</v>
      </c>
      <c r="C2472" s="869"/>
      <c r="D2472" s="1049"/>
      <c r="E2472" s="1054"/>
      <c r="F2472" s="1055"/>
      <c r="G2472" s="1052" t="s">
        <v>356</v>
      </c>
      <c r="H2472" s="1053" t="s">
        <v>223</v>
      </c>
      <c r="I2472" s="869"/>
      <c r="J2472" s="1049"/>
      <c r="L2472" s="1088"/>
      <c r="M2472" s="1088"/>
      <c r="N2472" s="1088"/>
      <c r="O2472" s="1088"/>
    </row>
    <row r="2473" spans="1:15" ht="15" customHeight="1">
      <c r="A2473" s="1052" t="s">
        <v>359</v>
      </c>
      <c r="B2473" s="1089" t="s">
        <v>360</v>
      </c>
      <c r="C2473" s="1058" t="e">
        <f>VLOOKUP(B2472,'LƯƠNG KT'!$D$15:$U$94,3,0)</f>
        <v>#N/A</v>
      </c>
      <c r="D2473" s="1059" t="e">
        <f>+C2473*25000</f>
        <v>#N/A</v>
      </c>
      <c r="E2473" s="1060"/>
      <c r="F2473" s="1060"/>
      <c r="G2473" s="1052" t="s">
        <v>359</v>
      </c>
      <c r="H2473" s="1089" t="s">
        <v>360</v>
      </c>
      <c r="I2473" s="1058" t="e">
        <f>VLOOKUP(H2472,'LƯƠNG KT'!$D$15:$U$94,3,0)</f>
        <v>#N/A</v>
      </c>
      <c r="J2473" s="1059" t="e">
        <f>+I2473*25000</f>
        <v>#N/A</v>
      </c>
      <c r="K2473" s="1084"/>
      <c r="L2473" s="1085"/>
      <c r="M2473" s="1085"/>
      <c r="N2473" s="1085"/>
      <c r="O2473" s="1085"/>
    </row>
    <row r="2474" spans="1:15" ht="15" customHeight="1">
      <c r="A2474" s="1052" t="s">
        <v>361</v>
      </c>
      <c r="B2474" s="869" t="s">
        <v>362</v>
      </c>
      <c r="C2474" s="1058" t="e">
        <f>VLOOKUP(B2472,'LƯƠNG KT'!$D$15:$U$94,14,0)</f>
        <v>#N/A</v>
      </c>
      <c r="D2474" s="1059" t="e">
        <f>C2474*$L$4</f>
        <v>#N/A</v>
      </c>
      <c r="E2474" s="1061"/>
      <c r="F2474" s="1061"/>
      <c r="G2474" s="1052" t="s">
        <v>361</v>
      </c>
      <c r="H2474" s="869" t="s">
        <v>362</v>
      </c>
      <c r="I2474" s="1058" t="e">
        <f>VLOOKUP(H2472,'LƯƠNG KT'!$D$15:$U$94,14,0)</f>
        <v>#N/A</v>
      </c>
      <c r="J2474" s="1059" t="e">
        <f>I2474*$L$4</f>
        <v>#N/A</v>
      </c>
      <c r="K2474" s="1084"/>
      <c r="L2474" s="1085"/>
      <c r="M2474" s="1085"/>
      <c r="N2474" s="1085"/>
      <c r="O2474" s="1085"/>
    </row>
    <row r="2475" spans="1:15" ht="15" customHeight="1">
      <c r="A2475" s="1052" t="s">
        <v>364</v>
      </c>
      <c r="B2475" s="869" t="s">
        <v>365</v>
      </c>
      <c r="C2475" s="1058" t="e">
        <f>VLOOKUP(B2472,'LƯƠNG KT'!$D$15:$U$94,15,0)</f>
        <v>#N/A</v>
      </c>
      <c r="D2475" s="1059" t="e">
        <f>C2475*$L$5</f>
        <v>#N/A</v>
      </c>
      <c r="E2475" s="1061"/>
      <c r="F2475" s="1061"/>
      <c r="G2475" s="1052" t="s">
        <v>364</v>
      </c>
      <c r="H2475" s="869" t="s">
        <v>365</v>
      </c>
      <c r="I2475" s="1058" t="e">
        <f>VLOOKUP(H2472,'LƯƠNG KT'!$D$15:$U$94,15,0)</f>
        <v>#N/A</v>
      </c>
      <c r="J2475" s="1059" t="e">
        <f>I2475*$L$5</f>
        <v>#N/A</v>
      </c>
      <c r="K2475" s="1084"/>
      <c r="L2475" s="1085"/>
      <c r="M2475" s="1085"/>
      <c r="N2475" s="1085"/>
      <c r="O2475" s="1085"/>
    </row>
    <row r="2476" spans="1:15" ht="15" customHeight="1">
      <c r="A2476" s="1052" t="s">
        <v>367</v>
      </c>
      <c r="B2476" s="869"/>
      <c r="C2476" s="1058" t="e">
        <f>VLOOKUP(B2472,'LƯƠNG KT'!$D$15:$U$94,16,0)</f>
        <v>#N/A</v>
      </c>
      <c r="D2476" s="1059" t="e">
        <f>+C2476*$L$6</f>
        <v>#N/A</v>
      </c>
      <c r="E2476" s="1061"/>
      <c r="F2476" s="1061"/>
      <c r="G2476" s="1052" t="s">
        <v>367</v>
      </c>
      <c r="H2476" s="869"/>
      <c r="I2476" s="1058" t="e">
        <f>VLOOKUP(H2472,'LƯƠNG KT'!$D$15:$U$94,16,0)</f>
        <v>#N/A</v>
      </c>
      <c r="J2476" s="1059" t="e">
        <f>+I2476*$L$6</f>
        <v>#N/A</v>
      </c>
      <c r="K2476" s="1085"/>
      <c r="L2476" s="1085"/>
      <c r="M2476" s="1085"/>
      <c r="N2476" s="1085"/>
      <c r="O2476" s="1085"/>
    </row>
    <row r="2477" spans="1:15" ht="15" customHeight="1">
      <c r="A2477" s="1052" t="s">
        <v>371</v>
      </c>
      <c r="B2477" s="869" t="s">
        <v>372</v>
      </c>
      <c r="C2477" s="1058" t="e">
        <f>VLOOKUP(B2472,'LƯƠNG KT'!$D$15:$U$94,9,0)*$L$10</f>
        <v>#N/A</v>
      </c>
      <c r="D2477" s="1059" t="e">
        <f>+C2477*0.5*3000</f>
        <v>#N/A</v>
      </c>
      <c r="E2477" s="1061"/>
      <c r="F2477" s="1061"/>
      <c r="G2477" s="1052" t="s">
        <v>371</v>
      </c>
      <c r="H2477" s="869" t="s">
        <v>372</v>
      </c>
      <c r="I2477" s="1058" t="e">
        <f>VLOOKUP(H2472,'LƯƠNG KT'!$D$15:$U$94,9,0)*$L$10</f>
        <v>#N/A</v>
      </c>
      <c r="J2477" s="1059" t="e">
        <f>+I2477*0.5*3000</f>
        <v>#N/A</v>
      </c>
      <c r="K2477" s="1085"/>
      <c r="L2477" s="1085"/>
      <c r="M2477" s="1085"/>
      <c r="N2477" s="1085"/>
      <c r="O2477" s="1085"/>
    </row>
    <row r="2478" spans="1:15" ht="15" customHeight="1">
      <c r="A2478" s="1052" t="s">
        <v>374</v>
      </c>
      <c r="B2478" s="869" t="s">
        <v>375</v>
      </c>
      <c r="C2478" s="1058" t="e">
        <f>VLOOKUP(B2472,'LƯƠNG KT'!$D$15:$U$94,8,0)*$L$11</f>
        <v>#N/A</v>
      </c>
      <c r="D2478" s="1059" t="e">
        <f>VLOOKUP(B2472,'LƯƠNG KT'!$D$15:$U$94,13,0)-D2477</f>
        <v>#N/A</v>
      </c>
      <c r="E2478" s="1063"/>
      <c r="F2478" s="1061"/>
      <c r="G2478" s="1052" t="s">
        <v>374</v>
      </c>
      <c r="H2478" s="869" t="s">
        <v>375</v>
      </c>
      <c r="I2478" s="1058" t="e">
        <f>VLOOKUP(H2472,'LƯƠNG KT'!$D$15:$U$94,8,0)*$L$11</f>
        <v>#N/A</v>
      </c>
      <c r="J2478" s="1059" t="e">
        <f>VLOOKUP(H2472,'LƯƠNG KT'!$D$15:$U$94,13,0)-J2477</f>
        <v>#N/A</v>
      </c>
      <c r="K2478" s="1085"/>
      <c r="L2478" s="1085"/>
      <c r="M2478" s="1085"/>
      <c r="N2478" s="1085"/>
      <c r="O2478" s="1085"/>
    </row>
    <row r="2479" spans="1:15" ht="15" customHeight="1">
      <c r="A2479" s="1059" t="s">
        <v>377</v>
      </c>
      <c r="B2479" s="869" t="s">
        <v>378</v>
      </c>
      <c r="C2479" s="1058"/>
      <c r="D2479" s="1059"/>
      <c r="E2479" s="1065"/>
      <c r="F2479" s="1065"/>
      <c r="G2479" s="1059" t="s">
        <v>377</v>
      </c>
      <c r="H2479" s="869" t="s">
        <v>378</v>
      </c>
      <c r="I2479" s="1058"/>
      <c r="J2479" s="1059"/>
    </row>
    <row r="2480" spans="1:15" ht="15" customHeight="1">
      <c r="A2480" s="1066" t="s">
        <v>379</v>
      </c>
      <c r="B2480" s="869" t="s">
        <v>380</v>
      </c>
      <c r="C2480" s="1058"/>
      <c r="D2480" s="1059"/>
      <c r="E2480" s="1063"/>
      <c r="F2480" s="1065"/>
      <c r="G2480" s="1066" t="s">
        <v>379</v>
      </c>
      <c r="H2480" s="869" t="s">
        <v>380</v>
      </c>
      <c r="I2480" s="1058"/>
      <c r="J2480" s="1059"/>
    </row>
    <row r="2481" spans="1:15" ht="15" customHeight="1">
      <c r="A2481" s="1052" t="s">
        <v>381</v>
      </c>
      <c r="B2481" s="869" t="s">
        <v>382</v>
      </c>
      <c r="C2481" s="1058"/>
      <c r="D2481" s="1059">
        <f>D2480</f>
        <v>0</v>
      </c>
      <c r="E2481" s="1067"/>
      <c r="F2481" s="1051"/>
      <c r="G2481" s="1052" t="s">
        <v>381</v>
      </c>
      <c r="H2481" s="869" t="s">
        <v>382</v>
      </c>
      <c r="I2481" s="1058"/>
      <c r="J2481" s="1059">
        <f>J2480</f>
        <v>0</v>
      </c>
    </row>
    <row r="2482" spans="1:15" ht="15" customHeight="1">
      <c r="A2482" s="1068" t="s">
        <v>383</v>
      </c>
      <c r="B2482" s="1069" t="s">
        <v>384</v>
      </c>
      <c r="C2482" s="1070"/>
      <c r="D2482" s="1071" t="e">
        <f>SUM(D2473:D2478)-D2481</f>
        <v>#N/A</v>
      </c>
      <c r="E2482" s="1072"/>
      <c r="F2482" s="1073"/>
      <c r="G2482" s="1068" t="s">
        <v>383</v>
      </c>
      <c r="H2482" s="1069" t="s">
        <v>384</v>
      </c>
      <c r="I2482" s="1070"/>
      <c r="J2482" s="1071" t="e">
        <f>SUM(J2473:J2478)-J2481</f>
        <v>#N/A</v>
      </c>
    </row>
    <row r="2483" spans="1:15" ht="12.6" customHeight="1">
      <c r="A2483" s="1074"/>
      <c r="B2483" s="1075"/>
      <c r="C2483" s="1076"/>
      <c r="D2483" s="1077"/>
      <c r="E2483" s="1077"/>
      <c r="F2483" s="1078"/>
      <c r="G2483" s="1074"/>
      <c r="H2483" s="1075"/>
      <c r="I2483" s="1076"/>
      <c r="J2483" s="1077"/>
    </row>
    <row r="2484" spans="1:15" ht="12.6" customHeight="1">
      <c r="A2484" s="1075"/>
      <c r="B2484" s="1075"/>
      <c r="C2484" s="1079"/>
      <c r="D2484" s="1080"/>
      <c r="E2484" s="1075"/>
      <c r="F2484" s="1081"/>
      <c r="G2484" s="1075"/>
      <c r="H2484" s="1075"/>
      <c r="I2484" s="1079"/>
      <c r="J2484" s="1080"/>
    </row>
    <row r="2485" spans="1:15" ht="15" customHeight="1">
      <c r="A2485" s="2242" t="str">
        <f>$K$2</f>
        <v>THÁNG 09/2024</v>
      </c>
      <c r="B2485" s="2242"/>
      <c r="C2485" s="2242"/>
      <c r="D2485" s="2242"/>
      <c r="E2485" s="1050"/>
      <c r="F2485" s="1051"/>
      <c r="G2485" s="2242" t="str">
        <f>$K$2</f>
        <v>THÁNG 09/2024</v>
      </c>
      <c r="H2485" s="2242"/>
      <c r="I2485" s="2242"/>
      <c r="J2485" s="2242"/>
      <c r="K2485" s="624"/>
    </row>
    <row r="2486" spans="1:15" ht="15" customHeight="1">
      <c r="A2486" s="1052" t="s">
        <v>356</v>
      </c>
      <c r="B2486" s="1053" t="s">
        <v>224</v>
      </c>
      <c r="C2486" s="869"/>
      <c r="D2486" s="1049"/>
      <c r="E2486" s="1054"/>
      <c r="F2486" s="1055"/>
      <c r="G2486" s="1052" t="s">
        <v>356</v>
      </c>
      <c r="H2486" s="1053" t="s">
        <v>225</v>
      </c>
      <c r="I2486" s="869"/>
      <c r="J2486" s="1049"/>
      <c r="L2486" s="1088"/>
      <c r="M2486" s="1088"/>
      <c r="N2486" s="1088"/>
      <c r="O2486" s="1088"/>
    </row>
    <row r="2487" spans="1:15" ht="15" customHeight="1">
      <c r="A2487" s="1052" t="s">
        <v>359</v>
      </c>
      <c r="B2487" s="1089" t="s">
        <v>360</v>
      </c>
      <c r="C2487" s="1058" t="e">
        <f>VLOOKUP(B2486,'LƯƠNG KT'!$D$15:$U$94,3,0)</f>
        <v>#N/A</v>
      </c>
      <c r="D2487" s="1059" t="e">
        <f>+C2487*25000</f>
        <v>#N/A</v>
      </c>
      <c r="E2487" s="1060"/>
      <c r="F2487" s="1060"/>
      <c r="G2487" s="1052" t="s">
        <v>359</v>
      </c>
      <c r="H2487" s="1089" t="s">
        <v>360</v>
      </c>
      <c r="I2487" s="1058" t="e">
        <f>VLOOKUP(H2486,'LƯƠNG KT'!$D$15:$U$94,3,0)</f>
        <v>#N/A</v>
      </c>
      <c r="J2487" s="1059" t="e">
        <f>+I2487*25000</f>
        <v>#N/A</v>
      </c>
      <c r="K2487" s="1085"/>
      <c r="L2487" s="1085"/>
      <c r="M2487" s="1085"/>
      <c r="N2487" s="1085"/>
      <c r="O2487" s="1085"/>
    </row>
    <row r="2488" spans="1:15" ht="15" customHeight="1">
      <c r="A2488" s="1052" t="s">
        <v>361</v>
      </c>
      <c r="B2488" s="869" t="s">
        <v>362</v>
      </c>
      <c r="C2488" s="1058" t="e">
        <f>VLOOKUP(B2486,'LƯƠNG KT'!$D$15:$U$94,14,0)</f>
        <v>#N/A</v>
      </c>
      <c r="D2488" s="1059" t="e">
        <f>C2488*$L$4</f>
        <v>#N/A</v>
      </c>
      <c r="E2488" s="1061"/>
      <c r="F2488" s="1061"/>
      <c r="G2488" s="1052" t="s">
        <v>361</v>
      </c>
      <c r="H2488" s="869" t="s">
        <v>362</v>
      </c>
      <c r="I2488" s="1058" t="e">
        <f>VLOOKUP(H2486,'LƯƠNG KT'!$D$15:$U$94,14,0)</f>
        <v>#N/A</v>
      </c>
      <c r="J2488" s="1059" t="e">
        <f>I2488*$L$4</f>
        <v>#N/A</v>
      </c>
      <c r="K2488" s="1085"/>
      <c r="L2488" s="1085"/>
      <c r="M2488" s="1085"/>
      <c r="N2488" s="1085"/>
      <c r="O2488" s="1085"/>
    </row>
    <row r="2489" spans="1:15" ht="15" customHeight="1">
      <c r="A2489" s="1052" t="s">
        <v>364</v>
      </c>
      <c r="B2489" s="869" t="s">
        <v>365</v>
      </c>
      <c r="C2489" s="1058" t="e">
        <f>VLOOKUP(B2486,'LƯƠNG KT'!$D$15:$U$94,15,0)</f>
        <v>#N/A</v>
      </c>
      <c r="D2489" s="1059" t="e">
        <f>C2489*$L$5</f>
        <v>#N/A</v>
      </c>
      <c r="E2489" s="1061"/>
      <c r="F2489" s="1061"/>
      <c r="G2489" s="1052" t="s">
        <v>364</v>
      </c>
      <c r="H2489" s="869" t="s">
        <v>365</v>
      </c>
      <c r="I2489" s="1058" t="e">
        <f>VLOOKUP(H2486,'LƯƠNG KT'!$D$15:$U$94,15,0)</f>
        <v>#N/A</v>
      </c>
      <c r="J2489" s="1059" t="e">
        <f>I2489*$L$5</f>
        <v>#N/A</v>
      </c>
      <c r="K2489" s="1085"/>
      <c r="L2489" s="1085"/>
      <c r="M2489" s="1085"/>
      <c r="N2489" s="1085"/>
      <c r="O2489" s="1085"/>
    </row>
    <row r="2490" spans="1:15" ht="15" customHeight="1">
      <c r="A2490" s="1052" t="s">
        <v>367</v>
      </c>
      <c r="B2490" s="869"/>
      <c r="C2490" s="1058" t="e">
        <f>VLOOKUP(B2486,'LƯƠNG KT'!$D$15:$U$94,16,0)</f>
        <v>#N/A</v>
      </c>
      <c r="D2490" s="1059" t="e">
        <f>+C2490*$L$6</f>
        <v>#N/A</v>
      </c>
      <c r="E2490" s="1061"/>
      <c r="F2490" s="1061"/>
      <c r="G2490" s="1052" t="s">
        <v>367</v>
      </c>
      <c r="H2490" s="869"/>
      <c r="I2490" s="1058" t="e">
        <f>VLOOKUP(H2486,'LƯƠNG KT'!$D$15:$U$94,16,0)</f>
        <v>#N/A</v>
      </c>
      <c r="J2490" s="1059" t="e">
        <f>+I2490*$L$6</f>
        <v>#N/A</v>
      </c>
      <c r="K2490" s="1085"/>
      <c r="L2490" s="1085"/>
      <c r="M2490" s="1085"/>
      <c r="N2490" s="1085"/>
      <c r="O2490" s="1085"/>
    </row>
    <row r="2491" spans="1:15" ht="15" customHeight="1">
      <c r="A2491" s="1052" t="s">
        <v>371</v>
      </c>
      <c r="B2491" s="869" t="s">
        <v>372</v>
      </c>
      <c r="C2491" s="1058" t="e">
        <f>VLOOKUP(B2486,'LƯƠNG KT'!$D$15:$U$94,9,0)*$L$10</f>
        <v>#N/A</v>
      </c>
      <c r="D2491" s="1059" t="e">
        <f>+C2491*0.5*3000</f>
        <v>#N/A</v>
      </c>
      <c r="E2491" s="1061"/>
      <c r="F2491" s="1061"/>
      <c r="G2491" s="1052" t="s">
        <v>371</v>
      </c>
      <c r="H2491" s="869" t="s">
        <v>372</v>
      </c>
      <c r="I2491" s="1058" t="e">
        <f>VLOOKUP(H2486,'LƯƠNG KT'!$D$15:$U$94,9,0)*$L$10</f>
        <v>#N/A</v>
      </c>
      <c r="J2491" s="1059" t="e">
        <f>+I2491*0.5*3000</f>
        <v>#N/A</v>
      </c>
      <c r="K2491" s="1085"/>
      <c r="L2491" s="1085"/>
      <c r="M2491" s="1085"/>
      <c r="N2491" s="1085"/>
      <c r="O2491" s="1085"/>
    </row>
    <row r="2492" spans="1:15" ht="15" customHeight="1">
      <c r="A2492" s="1052" t="s">
        <v>374</v>
      </c>
      <c r="B2492" s="869" t="s">
        <v>375</v>
      </c>
      <c r="C2492" s="1058" t="e">
        <f>VLOOKUP(B2486,'LƯƠNG KT'!$D$15:$U$94,8,0)*$L$11</f>
        <v>#N/A</v>
      </c>
      <c r="D2492" s="1059" t="e">
        <f>VLOOKUP(B2486,'LƯƠNG KT'!$D$15:$U$94,13,0)-D2491</f>
        <v>#N/A</v>
      </c>
      <c r="E2492" s="1063"/>
      <c r="F2492" s="1061"/>
      <c r="G2492" s="1052" t="s">
        <v>374</v>
      </c>
      <c r="H2492" s="869" t="s">
        <v>375</v>
      </c>
      <c r="I2492" s="1058" t="e">
        <f>VLOOKUP(H2486,'LƯƠNG KT'!$D$15:$U$94,8,0)*$L$11</f>
        <v>#N/A</v>
      </c>
      <c r="J2492" s="1059" t="e">
        <f>VLOOKUP(H2486,'LƯƠNG KT'!$D$15:$U$94,13,0)-J2491</f>
        <v>#N/A</v>
      </c>
      <c r="K2492" s="1085"/>
      <c r="L2492" s="1085"/>
      <c r="M2492" s="1085"/>
      <c r="N2492" s="1085"/>
      <c r="O2492" s="1085"/>
    </row>
    <row r="2493" spans="1:15" ht="15" customHeight="1">
      <c r="A2493" s="1059" t="s">
        <v>377</v>
      </c>
      <c r="B2493" s="869" t="s">
        <v>378</v>
      </c>
      <c r="C2493" s="1058"/>
      <c r="D2493" s="1059"/>
      <c r="E2493" s="1065"/>
      <c r="F2493" s="1065"/>
      <c r="G2493" s="1059" t="s">
        <v>377</v>
      </c>
      <c r="H2493" s="869" t="s">
        <v>378</v>
      </c>
      <c r="I2493" s="1058"/>
      <c r="J2493" s="1059"/>
    </row>
    <row r="2494" spans="1:15" ht="15" customHeight="1">
      <c r="A2494" s="1066" t="s">
        <v>379</v>
      </c>
      <c r="B2494" s="869" t="s">
        <v>380</v>
      </c>
      <c r="C2494" s="1058"/>
      <c r="D2494" s="1059"/>
      <c r="E2494" s="1063"/>
      <c r="F2494" s="1065"/>
      <c r="G2494" s="1066" t="s">
        <v>379</v>
      </c>
      <c r="H2494" s="869" t="s">
        <v>380</v>
      </c>
      <c r="I2494" s="1058"/>
      <c r="J2494" s="1059"/>
    </row>
    <row r="2495" spans="1:15" ht="15" customHeight="1">
      <c r="A2495" s="1052" t="s">
        <v>381</v>
      </c>
      <c r="B2495" s="869" t="s">
        <v>382</v>
      </c>
      <c r="C2495" s="1058"/>
      <c r="D2495" s="1059">
        <f>D2494</f>
        <v>0</v>
      </c>
      <c r="E2495" s="1067"/>
      <c r="F2495" s="1051"/>
      <c r="G2495" s="1052" t="s">
        <v>381</v>
      </c>
      <c r="H2495" s="869" t="s">
        <v>382</v>
      </c>
      <c r="I2495" s="1058"/>
      <c r="J2495" s="1059">
        <f>J2494</f>
        <v>0</v>
      </c>
    </row>
    <row r="2496" spans="1:15" ht="15" customHeight="1">
      <c r="A2496" s="1068" t="s">
        <v>383</v>
      </c>
      <c r="B2496" s="1069" t="s">
        <v>384</v>
      </c>
      <c r="C2496" s="1070"/>
      <c r="D2496" s="1071" t="e">
        <f>SUM(D2487:D2492)-D2495</f>
        <v>#N/A</v>
      </c>
      <c r="E2496" s="1072"/>
      <c r="F2496" s="1073"/>
      <c r="G2496" s="1068" t="s">
        <v>383</v>
      </c>
      <c r="H2496" s="1069" t="s">
        <v>384</v>
      </c>
      <c r="I2496" s="1070"/>
      <c r="J2496" s="1071" t="e">
        <f>SUM(J2487:J2492)-J2495</f>
        <v>#N/A</v>
      </c>
    </row>
    <row r="2497" spans="1:15" ht="18.75" customHeight="1">
      <c r="A2497" s="1074"/>
      <c r="B2497" s="1075"/>
      <c r="C2497" s="1076"/>
      <c r="D2497" s="1077"/>
      <c r="E2497" s="1077"/>
      <c r="F2497" s="1078"/>
      <c r="G2497" s="1074"/>
      <c r="H2497" s="1075"/>
      <c r="I2497" s="1076"/>
      <c r="J2497" s="1077"/>
    </row>
    <row r="2498" spans="1:15" ht="18.75" customHeight="1">
      <c r="A2498" s="1075"/>
      <c r="B2498" s="1075"/>
      <c r="C2498" s="1079"/>
      <c r="D2498" s="1080"/>
      <c r="E2498" s="1075"/>
      <c r="F2498" s="1081"/>
      <c r="G2498" s="1075"/>
      <c r="H2498" s="1075"/>
      <c r="I2498" s="1079"/>
      <c r="J2498" s="1080"/>
    </row>
    <row r="2499" spans="1:15" ht="15" customHeight="1">
      <c r="A2499" s="2242" t="str">
        <f>$K$2</f>
        <v>THÁNG 09/2024</v>
      </c>
      <c r="B2499" s="2242"/>
      <c r="C2499" s="2242"/>
      <c r="D2499" s="2242"/>
      <c r="E2499" s="1050"/>
      <c r="F2499" s="1051"/>
      <c r="G2499" s="2242" t="str">
        <f>$K$2</f>
        <v>THÁNG 09/2024</v>
      </c>
      <c r="H2499" s="2242"/>
      <c r="I2499" s="2242"/>
      <c r="J2499" s="2242"/>
      <c r="K2499" s="624"/>
    </row>
    <row r="2500" spans="1:15" ht="15" customHeight="1">
      <c r="A2500" s="1052" t="s">
        <v>356</v>
      </c>
      <c r="B2500" s="1053" t="s">
        <v>226</v>
      </c>
      <c r="C2500" s="869"/>
      <c r="D2500" s="1049"/>
      <c r="E2500" s="1054"/>
      <c r="F2500" s="1055"/>
      <c r="G2500" s="1052" t="s">
        <v>356</v>
      </c>
      <c r="H2500" s="1053" t="s">
        <v>227</v>
      </c>
      <c r="I2500" s="869"/>
      <c r="J2500" s="1049"/>
      <c r="L2500" s="1088"/>
      <c r="M2500" s="1088"/>
      <c r="N2500" s="1088"/>
      <c r="O2500" s="1088"/>
    </row>
    <row r="2501" spans="1:15" ht="15" customHeight="1">
      <c r="A2501" s="1052" t="s">
        <v>359</v>
      </c>
      <c r="B2501" s="1089" t="s">
        <v>360</v>
      </c>
      <c r="C2501" s="1058" t="e">
        <f>VLOOKUP(B2500,'LƯƠNG KT'!$D$15:$U$94,3,0)</f>
        <v>#N/A</v>
      </c>
      <c r="D2501" s="1059" t="e">
        <f>+C2501*25000</f>
        <v>#N/A</v>
      </c>
      <c r="E2501" s="1060"/>
      <c r="F2501" s="1060"/>
      <c r="G2501" s="1052" t="s">
        <v>359</v>
      </c>
      <c r="H2501" s="1089" t="s">
        <v>360</v>
      </c>
      <c r="I2501" s="1058" t="e">
        <f>VLOOKUP(H2500,'LƯƠNG KT'!$D$15:$U$94,3,0)</f>
        <v>#N/A</v>
      </c>
      <c r="J2501" s="1059" t="e">
        <f>+I2501*25000</f>
        <v>#N/A</v>
      </c>
      <c r="K2501" s="1085"/>
      <c r="L2501" s="1085"/>
      <c r="M2501" s="1085"/>
      <c r="N2501" s="1085"/>
      <c r="O2501" s="1085"/>
    </row>
    <row r="2502" spans="1:15" ht="15" customHeight="1">
      <c r="A2502" s="1052" t="s">
        <v>361</v>
      </c>
      <c r="B2502" s="869" t="s">
        <v>362</v>
      </c>
      <c r="C2502" s="1058" t="e">
        <f>VLOOKUP(B2500,'LƯƠNG KT'!$D$15:$U$94,14,0)</f>
        <v>#N/A</v>
      </c>
      <c r="D2502" s="1059" t="e">
        <f>C2502*$L$4</f>
        <v>#N/A</v>
      </c>
      <c r="E2502" s="1061"/>
      <c r="F2502" s="1061"/>
      <c r="G2502" s="1052" t="s">
        <v>361</v>
      </c>
      <c r="H2502" s="869" t="s">
        <v>362</v>
      </c>
      <c r="I2502" s="1058" t="e">
        <f>VLOOKUP(H2500,'LƯƠNG KT'!$D$15:$U$94,14,0)</f>
        <v>#N/A</v>
      </c>
      <c r="J2502" s="1059" t="e">
        <f>I2502*$L$4</f>
        <v>#N/A</v>
      </c>
      <c r="K2502" s="1085"/>
      <c r="L2502" s="1085"/>
      <c r="M2502" s="1085"/>
      <c r="N2502" s="1085"/>
      <c r="O2502" s="1085"/>
    </row>
    <row r="2503" spans="1:15" ht="15" customHeight="1">
      <c r="A2503" s="1052" t="s">
        <v>364</v>
      </c>
      <c r="B2503" s="869" t="s">
        <v>365</v>
      </c>
      <c r="C2503" s="1058" t="e">
        <f>VLOOKUP(B2500,'LƯƠNG KT'!$D$15:$U$94,15,0)</f>
        <v>#N/A</v>
      </c>
      <c r="D2503" s="1059" t="e">
        <f>C2503*$L$5</f>
        <v>#N/A</v>
      </c>
      <c r="E2503" s="1061"/>
      <c r="F2503" s="1061"/>
      <c r="G2503" s="1052" t="s">
        <v>364</v>
      </c>
      <c r="H2503" s="869" t="s">
        <v>365</v>
      </c>
      <c r="I2503" s="1058" t="e">
        <f>VLOOKUP(H2500,'LƯƠNG KT'!$D$15:$U$94,15,0)</f>
        <v>#N/A</v>
      </c>
      <c r="J2503" s="1059" t="e">
        <f>I2503*$L$5</f>
        <v>#N/A</v>
      </c>
      <c r="K2503" s="1085"/>
      <c r="L2503" s="1085"/>
      <c r="M2503" s="1085"/>
      <c r="N2503" s="1085"/>
      <c r="O2503" s="1085"/>
    </row>
    <row r="2504" spans="1:15" ht="15" customHeight="1">
      <c r="A2504" s="1052" t="s">
        <v>367</v>
      </c>
      <c r="B2504" s="869"/>
      <c r="C2504" s="1058" t="e">
        <f>VLOOKUP(B2500,'LƯƠNG KT'!$D$15:$U$94,16,0)</f>
        <v>#N/A</v>
      </c>
      <c r="D2504" s="1059" t="e">
        <f>+C2504*$L$6</f>
        <v>#N/A</v>
      </c>
      <c r="E2504" s="1061"/>
      <c r="F2504" s="1061"/>
      <c r="G2504" s="1052" t="s">
        <v>367</v>
      </c>
      <c r="H2504" s="869"/>
      <c r="I2504" s="1058" t="e">
        <f>VLOOKUP(H2500,'LƯƠNG KT'!$D$15:$U$94,16,0)</f>
        <v>#N/A</v>
      </c>
      <c r="J2504" s="1059" t="e">
        <f>+I2504*$L$6</f>
        <v>#N/A</v>
      </c>
      <c r="K2504" s="1085"/>
      <c r="L2504" s="1085"/>
      <c r="M2504" s="1085"/>
      <c r="N2504" s="1085"/>
      <c r="O2504" s="1085"/>
    </row>
    <row r="2505" spans="1:15" ht="15" customHeight="1">
      <c r="A2505" s="1052" t="s">
        <v>371</v>
      </c>
      <c r="B2505" s="869" t="s">
        <v>372</v>
      </c>
      <c r="C2505" s="1058" t="e">
        <f>VLOOKUP(B2500,'LƯƠNG KT'!$D$15:$U$94,9,0)*$L$10</f>
        <v>#N/A</v>
      </c>
      <c r="D2505" s="1059" t="e">
        <f>+C2505*0.5*3000</f>
        <v>#N/A</v>
      </c>
      <c r="E2505" s="1061"/>
      <c r="F2505" s="1061"/>
      <c r="G2505" s="1052" t="s">
        <v>371</v>
      </c>
      <c r="H2505" s="869" t="s">
        <v>372</v>
      </c>
      <c r="I2505" s="1058" t="e">
        <f>VLOOKUP(H2500,'LƯƠNG KT'!$D$15:$U$94,9,0)*$L$10</f>
        <v>#N/A</v>
      </c>
      <c r="J2505" s="1059" t="e">
        <f>+I2505*0.5*3000</f>
        <v>#N/A</v>
      </c>
      <c r="K2505" s="1085"/>
      <c r="L2505" s="1085"/>
      <c r="M2505" s="1085"/>
      <c r="N2505" s="1085"/>
      <c r="O2505" s="1085"/>
    </row>
    <row r="2506" spans="1:15" ht="15" customHeight="1">
      <c r="A2506" s="1052" t="s">
        <v>374</v>
      </c>
      <c r="B2506" s="869" t="s">
        <v>375</v>
      </c>
      <c r="C2506" s="1058" t="e">
        <f>VLOOKUP(B2500,'LƯƠNG KT'!$D$15:$U$94,8,0)*$L$11</f>
        <v>#N/A</v>
      </c>
      <c r="D2506" s="1059" t="e">
        <f>VLOOKUP(B2500,'LƯƠNG KT'!$D$15:$U$94,13,0)-D2505</f>
        <v>#N/A</v>
      </c>
      <c r="E2506" s="1063"/>
      <c r="F2506" s="1061"/>
      <c r="G2506" s="1052" t="s">
        <v>374</v>
      </c>
      <c r="H2506" s="869" t="s">
        <v>375</v>
      </c>
      <c r="I2506" s="1058" t="e">
        <f>VLOOKUP(H2500,'LƯƠNG KT'!$D$15:$U$94,8,0)*$L$11</f>
        <v>#N/A</v>
      </c>
      <c r="J2506" s="1059" t="e">
        <f>VLOOKUP(H2500,'LƯƠNG KT'!$D$15:$U$94,13,0)-J2505</f>
        <v>#N/A</v>
      </c>
      <c r="K2506" s="1085"/>
      <c r="L2506" s="1085"/>
      <c r="M2506" s="1085"/>
      <c r="N2506" s="1085"/>
      <c r="O2506" s="1085"/>
    </row>
    <row r="2507" spans="1:15" ht="15" customHeight="1">
      <c r="A2507" s="1059" t="s">
        <v>377</v>
      </c>
      <c r="B2507" s="869" t="s">
        <v>378</v>
      </c>
      <c r="C2507" s="1058"/>
      <c r="D2507" s="1059"/>
      <c r="E2507" s="1065"/>
      <c r="F2507" s="1065"/>
      <c r="G2507" s="1059" t="s">
        <v>377</v>
      </c>
      <c r="H2507" s="869" t="s">
        <v>378</v>
      </c>
      <c r="I2507" s="1058"/>
      <c r="J2507" s="1059"/>
    </row>
    <row r="2508" spans="1:15" ht="15" customHeight="1">
      <c r="A2508" s="1066" t="s">
        <v>379</v>
      </c>
      <c r="B2508" s="869" t="s">
        <v>380</v>
      </c>
      <c r="C2508" s="1058"/>
      <c r="D2508" s="1059"/>
      <c r="E2508" s="1063"/>
      <c r="F2508" s="1065"/>
      <c r="G2508" s="1066" t="s">
        <v>379</v>
      </c>
      <c r="H2508" s="869" t="s">
        <v>380</v>
      </c>
      <c r="I2508" s="1058"/>
      <c r="J2508" s="1059"/>
    </row>
    <row r="2509" spans="1:15" ht="15" customHeight="1">
      <c r="A2509" s="1052" t="s">
        <v>381</v>
      </c>
      <c r="B2509" s="869" t="s">
        <v>382</v>
      </c>
      <c r="C2509" s="1058"/>
      <c r="D2509" s="1059">
        <f>D2508</f>
        <v>0</v>
      </c>
      <c r="E2509" s="1067"/>
      <c r="F2509" s="1051"/>
      <c r="G2509" s="1052" t="s">
        <v>381</v>
      </c>
      <c r="H2509" s="869" t="s">
        <v>382</v>
      </c>
      <c r="I2509" s="1058"/>
      <c r="J2509" s="1059">
        <f>J2508</f>
        <v>0</v>
      </c>
    </row>
    <row r="2510" spans="1:15" ht="15" customHeight="1">
      <c r="A2510" s="1068" t="s">
        <v>383</v>
      </c>
      <c r="B2510" s="1069" t="s">
        <v>384</v>
      </c>
      <c r="C2510" s="1070"/>
      <c r="D2510" s="1071" t="e">
        <f>SUM(D2501:D2506)-D2509</f>
        <v>#N/A</v>
      </c>
      <c r="E2510" s="1072"/>
      <c r="F2510" s="1073"/>
      <c r="G2510" s="1068" t="s">
        <v>383</v>
      </c>
      <c r="H2510" s="1069" t="s">
        <v>384</v>
      </c>
      <c r="I2510" s="1070"/>
      <c r="J2510" s="1071" t="e">
        <f>SUM(J2501:J2506)-J2509</f>
        <v>#N/A</v>
      </c>
    </row>
    <row r="2511" spans="1:15" ht="18.75" customHeight="1">
      <c r="A2511" s="1074"/>
      <c r="B2511" s="1075"/>
      <c r="C2511" s="1076"/>
      <c r="D2511" s="1077"/>
      <c r="E2511" s="1077"/>
      <c r="F2511" s="1078"/>
      <c r="G2511" s="1074"/>
      <c r="H2511" s="1075"/>
      <c r="I2511" s="1076"/>
      <c r="J2511" s="1077"/>
    </row>
    <row r="2512" spans="1:15" ht="18.75" customHeight="1">
      <c r="A2512" s="1075"/>
      <c r="B2512" s="1075"/>
      <c r="C2512" s="1079"/>
      <c r="D2512" s="1080"/>
      <c r="E2512" s="1075"/>
      <c r="F2512" s="1081"/>
      <c r="G2512" s="1075"/>
      <c r="H2512" s="1075"/>
      <c r="I2512" s="1079"/>
      <c r="J2512" s="1080"/>
    </row>
    <row r="2513" spans="1:15" ht="15" customHeight="1">
      <c r="A2513" s="2242" t="str">
        <f>$K$2</f>
        <v>THÁNG 09/2024</v>
      </c>
      <c r="B2513" s="2242"/>
      <c r="C2513" s="2242"/>
      <c r="D2513" s="2242"/>
      <c r="E2513" s="1050"/>
      <c r="F2513" s="1051"/>
      <c r="G2513" s="2242" t="str">
        <f>$K$2</f>
        <v>THÁNG 09/2024</v>
      </c>
      <c r="H2513" s="2242"/>
      <c r="I2513" s="2242"/>
      <c r="J2513" s="2242"/>
      <c r="K2513" s="624"/>
    </row>
    <row r="2514" spans="1:15" ht="15" customHeight="1">
      <c r="A2514" s="1052" t="s">
        <v>356</v>
      </c>
      <c r="B2514" s="1053" t="s">
        <v>228</v>
      </c>
      <c r="C2514" s="869"/>
      <c r="D2514" s="1049"/>
      <c r="E2514" s="1054"/>
      <c r="F2514" s="1055"/>
      <c r="G2514" s="1052" t="s">
        <v>356</v>
      </c>
      <c r="H2514" s="1053" t="s">
        <v>229</v>
      </c>
      <c r="I2514" s="869"/>
      <c r="J2514" s="1049"/>
      <c r="L2514" s="1088"/>
      <c r="M2514" s="1088"/>
      <c r="N2514" s="1088"/>
      <c r="O2514" s="1088"/>
    </row>
    <row r="2515" spans="1:15" ht="15" customHeight="1">
      <c r="A2515" s="1052" t="s">
        <v>359</v>
      </c>
      <c r="B2515" s="1089" t="s">
        <v>360</v>
      </c>
      <c r="C2515" s="1058" t="e">
        <f>VLOOKUP(B2514,'LƯƠNG KT'!$D$15:$U$94,3,0)</f>
        <v>#N/A</v>
      </c>
      <c r="D2515" s="1059" t="e">
        <f>+C2515*25000</f>
        <v>#N/A</v>
      </c>
      <c r="E2515" s="1060"/>
      <c r="F2515" s="1060"/>
      <c r="G2515" s="1052" t="s">
        <v>359</v>
      </c>
      <c r="H2515" s="1089" t="s">
        <v>360</v>
      </c>
      <c r="I2515" s="1058" t="e">
        <f>VLOOKUP(H2514,'LƯƠNG KT'!$D$15:$U$94,3,0)</f>
        <v>#N/A</v>
      </c>
      <c r="J2515" s="1059" t="e">
        <f>+I2515*25000</f>
        <v>#N/A</v>
      </c>
      <c r="K2515" s="1085"/>
      <c r="L2515" s="1085"/>
      <c r="M2515" s="1085"/>
      <c r="N2515" s="1085"/>
      <c r="O2515" s="1085"/>
    </row>
    <row r="2516" spans="1:15" ht="15" customHeight="1">
      <c r="A2516" s="1052" t="s">
        <v>361</v>
      </c>
      <c r="B2516" s="869" t="s">
        <v>362</v>
      </c>
      <c r="C2516" s="1058" t="e">
        <f>VLOOKUP(B2514,'LƯƠNG KT'!$D$15:$U$94,14,0)</f>
        <v>#N/A</v>
      </c>
      <c r="D2516" s="1059" t="e">
        <f>C2516*$L$4</f>
        <v>#N/A</v>
      </c>
      <c r="E2516" s="1061"/>
      <c r="F2516" s="1061"/>
      <c r="G2516" s="1052" t="s">
        <v>361</v>
      </c>
      <c r="H2516" s="869" t="s">
        <v>362</v>
      </c>
      <c r="I2516" s="1058" t="e">
        <f>VLOOKUP(H2514,'LƯƠNG KT'!$D$15:$U$94,14,0)</f>
        <v>#N/A</v>
      </c>
      <c r="J2516" s="1059" t="e">
        <f>I2516*$L$4</f>
        <v>#N/A</v>
      </c>
      <c r="K2516" s="1085"/>
      <c r="L2516" s="1085"/>
      <c r="M2516" s="1085"/>
      <c r="N2516" s="1085"/>
      <c r="O2516" s="1085"/>
    </row>
    <row r="2517" spans="1:15" ht="15" customHeight="1">
      <c r="A2517" s="1052" t="s">
        <v>364</v>
      </c>
      <c r="B2517" s="869" t="s">
        <v>365</v>
      </c>
      <c r="C2517" s="1058" t="e">
        <f>VLOOKUP(B2514,'LƯƠNG KT'!$D$15:$U$94,15,0)</f>
        <v>#N/A</v>
      </c>
      <c r="D2517" s="1059" t="e">
        <f>C2517*$L$5</f>
        <v>#N/A</v>
      </c>
      <c r="E2517" s="1061"/>
      <c r="F2517" s="1061"/>
      <c r="G2517" s="1052" t="s">
        <v>364</v>
      </c>
      <c r="H2517" s="869" t="s">
        <v>365</v>
      </c>
      <c r="I2517" s="1058" t="e">
        <f>VLOOKUP(H2514,'LƯƠNG KT'!$D$15:$U$94,15,0)</f>
        <v>#N/A</v>
      </c>
      <c r="J2517" s="1059" t="e">
        <f>I2517*$L$5</f>
        <v>#N/A</v>
      </c>
      <c r="K2517" s="1085"/>
      <c r="L2517" s="1085"/>
      <c r="M2517" s="1085"/>
      <c r="N2517" s="1085"/>
      <c r="O2517" s="1085"/>
    </row>
    <row r="2518" spans="1:15" ht="15" customHeight="1">
      <c r="A2518" s="1052" t="s">
        <v>367</v>
      </c>
      <c r="B2518" s="869"/>
      <c r="C2518" s="1058" t="e">
        <f>VLOOKUP(B2514,'LƯƠNG KT'!$D$15:$U$94,16,0)</f>
        <v>#N/A</v>
      </c>
      <c r="D2518" s="1059" t="e">
        <f>+C2518*$L$6</f>
        <v>#N/A</v>
      </c>
      <c r="E2518" s="1061"/>
      <c r="F2518" s="1061"/>
      <c r="G2518" s="1052" t="s">
        <v>367</v>
      </c>
      <c r="H2518" s="869"/>
      <c r="I2518" s="1058" t="e">
        <f>VLOOKUP(H2514,'LƯƠNG KT'!$D$15:$U$94,16,0)</f>
        <v>#N/A</v>
      </c>
      <c r="J2518" s="1059" t="e">
        <f>+I2518*$L$6</f>
        <v>#N/A</v>
      </c>
      <c r="K2518" s="1085"/>
      <c r="L2518" s="1085"/>
      <c r="M2518" s="1085"/>
      <c r="N2518" s="1085"/>
      <c r="O2518" s="1085"/>
    </row>
    <row r="2519" spans="1:15" ht="15" customHeight="1">
      <c r="A2519" s="1052" t="s">
        <v>371</v>
      </c>
      <c r="B2519" s="869" t="s">
        <v>372</v>
      </c>
      <c r="C2519" s="1058" t="e">
        <f>VLOOKUP(B2514,'LƯƠNG KT'!$D$15:$U$94,9,0)*$L$10</f>
        <v>#N/A</v>
      </c>
      <c r="D2519" s="1059" t="e">
        <f>+C2519*0.5*3000</f>
        <v>#N/A</v>
      </c>
      <c r="E2519" s="1061"/>
      <c r="F2519" s="1061"/>
      <c r="G2519" s="1052" t="s">
        <v>371</v>
      </c>
      <c r="H2519" s="869" t="s">
        <v>372</v>
      </c>
      <c r="I2519" s="1058" t="e">
        <f>VLOOKUP(H2514,'LƯƠNG KT'!$D$15:$U$94,9,0)*$L$10</f>
        <v>#N/A</v>
      </c>
      <c r="J2519" s="1059" t="e">
        <f>+I2519*0.5*3000</f>
        <v>#N/A</v>
      </c>
      <c r="K2519" s="1085"/>
      <c r="L2519" s="1085"/>
      <c r="M2519" s="1085"/>
      <c r="N2519" s="1085"/>
      <c r="O2519" s="1085"/>
    </row>
    <row r="2520" spans="1:15" ht="15" customHeight="1">
      <c r="A2520" s="1052" t="s">
        <v>374</v>
      </c>
      <c r="B2520" s="869" t="s">
        <v>375</v>
      </c>
      <c r="C2520" s="1058" t="e">
        <f>VLOOKUP(B2514,'LƯƠNG KT'!$D$15:$U$94,8,0)*$L$11</f>
        <v>#N/A</v>
      </c>
      <c r="D2520" s="1059" t="e">
        <f>VLOOKUP(B2514,'LƯƠNG KT'!$D$15:$U$94,13,0)-D2519</f>
        <v>#N/A</v>
      </c>
      <c r="E2520" s="1063"/>
      <c r="F2520" s="1061"/>
      <c r="G2520" s="1052" t="s">
        <v>374</v>
      </c>
      <c r="H2520" s="869" t="s">
        <v>375</v>
      </c>
      <c r="I2520" s="1058" t="e">
        <f>VLOOKUP(H2514,'LƯƠNG KT'!$D$15:$U$94,8,0)*$L$11</f>
        <v>#N/A</v>
      </c>
      <c r="J2520" s="1059" t="e">
        <f>VLOOKUP(H2514,'LƯƠNG KT'!$D$15:$U$94,13,0)-J2519</f>
        <v>#N/A</v>
      </c>
      <c r="K2520" s="1085"/>
      <c r="L2520" s="1085"/>
      <c r="M2520" s="1085"/>
      <c r="N2520" s="1085"/>
      <c r="O2520" s="1085"/>
    </row>
    <row r="2521" spans="1:15" ht="15" customHeight="1">
      <c r="A2521" s="1059" t="s">
        <v>377</v>
      </c>
      <c r="B2521" s="869" t="s">
        <v>378</v>
      </c>
      <c r="C2521" s="1058"/>
      <c r="D2521" s="1059"/>
      <c r="E2521" s="1065"/>
      <c r="F2521" s="1065"/>
      <c r="G2521" s="1059" t="s">
        <v>377</v>
      </c>
      <c r="H2521" s="869" t="s">
        <v>378</v>
      </c>
      <c r="I2521" s="1058"/>
      <c r="J2521" s="1059"/>
    </row>
    <row r="2522" spans="1:15" ht="15" customHeight="1">
      <c r="A2522" s="1066" t="s">
        <v>379</v>
      </c>
      <c r="B2522" s="869" t="s">
        <v>380</v>
      </c>
      <c r="C2522" s="1058"/>
      <c r="D2522" s="1059"/>
      <c r="E2522" s="1063"/>
      <c r="F2522" s="1065"/>
      <c r="G2522" s="1066" t="s">
        <v>379</v>
      </c>
      <c r="H2522" s="869" t="s">
        <v>380</v>
      </c>
      <c r="I2522" s="1058"/>
      <c r="J2522" s="1059"/>
    </row>
    <row r="2523" spans="1:15" ht="15" customHeight="1">
      <c r="A2523" s="1052" t="s">
        <v>381</v>
      </c>
      <c r="B2523" s="869" t="s">
        <v>382</v>
      </c>
      <c r="C2523" s="1058"/>
      <c r="D2523" s="1059">
        <f>D2522</f>
        <v>0</v>
      </c>
      <c r="E2523" s="1067"/>
      <c r="F2523" s="1051"/>
      <c r="G2523" s="1052" t="s">
        <v>381</v>
      </c>
      <c r="H2523" s="869" t="s">
        <v>382</v>
      </c>
      <c r="I2523" s="1058"/>
      <c r="J2523" s="1059">
        <f>J2522</f>
        <v>0</v>
      </c>
    </row>
    <row r="2524" spans="1:15" ht="15" customHeight="1">
      <c r="A2524" s="1068" t="s">
        <v>383</v>
      </c>
      <c r="B2524" s="1069" t="s">
        <v>384</v>
      </c>
      <c r="C2524" s="1070"/>
      <c r="D2524" s="1071" t="e">
        <f>SUM(D2515:D2520)-D2523</f>
        <v>#N/A</v>
      </c>
      <c r="E2524" s="1072"/>
      <c r="F2524" s="1073"/>
      <c r="G2524" s="1068" t="s">
        <v>383</v>
      </c>
      <c r="H2524" s="1069" t="s">
        <v>384</v>
      </c>
      <c r="I2524" s="1070"/>
      <c r="J2524" s="1071" t="e">
        <f>SUM(J2515:J2520)-J2523</f>
        <v>#N/A</v>
      </c>
    </row>
    <row r="2525" spans="1:15" ht="15.75" customHeight="1">
      <c r="A2525" s="1074"/>
      <c r="B2525" s="1075"/>
      <c r="C2525" s="1076"/>
      <c r="D2525" s="1077"/>
      <c r="E2525" s="1077"/>
      <c r="F2525" s="1078"/>
      <c r="G2525" s="1074"/>
      <c r="H2525" s="1075"/>
      <c r="I2525" s="1076"/>
      <c r="J2525" s="1077"/>
    </row>
    <row r="2527" spans="1:15" ht="12" customHeight="1">
      <c r="A2527" s="2243"/>
      <c r="B2527" s="2243"/>
      <c r="C2527" s="2243"/>
      <c r="D2527" s="2243"/>
      <c r="E2527" s="2243"/>
      <c r="F2527" s="2243"/>
      <c r="G2527" s="2243"/>
      <c r="H2527" s="2243"/>
      <c r="I2527" s="2243"/>
      <c r="J2527" s="2243"/>
    </row>
    <row r="2528" spans="1:15" ht="15" customHeight="1">
      <c r="A2528" s="2242" t="str">
        <f>$K$2</f>
        <v>THÁNG 09/2024</v>
      </c>
      <c r="B2528" s="2242"/>
      <c r="C2528" s="2242"/>
      <c r="D2528" s="2242"/>
      <c r="E2528" s="1050"/>
      <c r="F2528" s="1051"/>
      <c r="G2528" s="2242" t="str">
        <f>$K$2</f>
        <v>THÁNG 09/2024</v>
      </c>
      <c r="H2528" s="2242"/>
      <c r="I2528" s="2242"/>
      <c r="J2528" s="2242"/>
      <c r="K2528" s="624"/>
    </row>
    <row r="2529" spans="1:15" ht="15" customHeight="1">
      <c r="A2529" s="1052" t="s">
        <v>356</v>
      </c>
      <c r="B2529" s="1053" t="s">
        <v>230</v>
      </c>
      <c r="C2529" s="869"/>
      <c r="D2529" s="1049"/>
      <c r="E2529" s="1054"/>
      <c r="F2529" s="1055"/>
      <c r="G2529" s="1052" t="s">
        <v>356</v>
      </c>
      <c r="H2529" s="1053" t="s">
        <v>231</v>
      </c>
      <c r="I2529" s="869"/>
      <c r="J2529" s="1049"/>
      <c r="L2529" s="1088"/>
      <c r="M2529" s="1088"/>
      <c r="N2529" s="1088"/>
      <c r="O2529" s="1088"/>
    </row>
    <row r="2530" spans="1:15" ht="15" customHeight="1">
      <c r="A2530" s="1052" t="s">
        <v>359</v>
      </c>
      <c r="B2530" s="1089" t="s">
        <v>360</v>
      </c>
      <c r="C2530" s="1058" t="e">
        <f>VLOOKUP(B2529,'LƯƠNG KT'!$D$15:$U$94,3,0)</f>
        <v>#N/A</v>
      </c>
      <c r="D2530" s="1059" t="e">
        <f>+C2530*25000</f>
        <v>#N/A</v>
      </c>
      <c r="E2530" s="1060"/>
      <c r="F2530" s="1060"/>
      <c r="G2530" s="1052" t="s">
        <v>359</v>
      </c>
      <c r="H2530" s="1089" t="s">
        <v>360</v>
      </c>
      <c r="I2530" s="1058" t="e">
        <f>VLOOKUP(H2529,'LƯƠNG KT'!$D$15:$U$94,3,0)</f>
        <v>#N/A</v>
      </c>
      <c r="J2530" s="1059" t="e">
        <f>+I2530*25000</f>
        <v>#N/A</v>
      </c>
      <c r="K2530" s="1084"/>
      <c r="L2530" s="1085"/>
      <c r="M2530" s="1085"/>
      <c r="N2530" s="1085"/>
      <c r="O2530" s="1085"/>
    </row>
    <row r="2531" spans="1:15" ht="15" customHeight="1">
      <c r="A2531" s="1052" t="s">
        <v>361</v>
      </c>
      <c r="B2531" s="869" t="s">
        <v>362</v>
      </c>
      <c r="C2531" s="1058" t="e">
        <f>VLOOKUP(B2529,'LƯƠNG KT'!$D$15:$U$94,14,0)</f>
        <v>#N/A</v>
      </c>
      <c r="D2531" s="1059" t="e">
        <f>C2531*$L$4</f>
        <v>#N/A</v>
      </c>
      <c r="E2531" s="1061"/>
      <c r="F2531" s="1061"/>
      <c r="G2531" s="1052" t="s">
        <v>361</v>
      </c>
      <c r="H2531" s="869" t="s">
        <v>362</v>
      </c>
      <c r="I2531" s="1058" t="e">
        <f>VLOOKUP(H2529,'LƯƠNG KT'!$D$15:$U$94,14,0)</f>
        <v>#N/A</v>
      </c>
      <c r="J2531" s="1059" t="e">
        <f>I2531*$L$4</f>
        <v>#N/A</v>
      </c>
      <c r="K2531" s="1084"/>
      <c r="L2531" s="1085"/>
      <c r="M2531" s="1085"/>
      <c r="N2531" s="1085"/>
      <c r="O2531" s="1085"/>
    </row>
    <row r="2532" spans="1:15" ht="15" customHeight="1">
      <c r="A2532" s="1052" t="s">
        <v>364</v>
      </c>
      <c r="B2532" s="869" t="s">
        <v>365</v>
      </c>
      <c r="C2532" s="1058" t="e">
        <f>VLOOKUP(B2529,'LƯƠNG KT'!$D$15:$U$94,15,0)</f>
        <v>#N/A</v>
      </c>
      <c r="D2532" s="1059" t="e">
        <f>C2532*$L$5</f>
        <v>#N/A</v>
      </c>
      <c r="E2532" s="1061"/>
      <c r="F2532" s="1061"/>
      <c r="G2532" s="1052" t="s">
        <v>364</v>
      </c>
      <c r="H2532" s="869" t="s">
        <v>365</v>
      </c>
      <c r="I2532" s="1058" t="e">
        <f>VLOOKUP(H2529,'LƯƠNG KT'!$D$15:$U$94,15,0)</f>
        <v>#N/A</v>
      </c>
      <c r="J2532" s="1059" t="e">
        <f>I2532*$L$5</f>
        <v>#N/A</v>
      </c>
      <c r="K2532" s="1084"/>
      <c r="L2532" s="1085"/>
      <c r="M2532" s="1085"/>
      <c r="N2532" s="1085"/>
      <c r="O2532" s="1085"/>
    </row>
    <row r="2533" spans="1:15" ht="15" customHeight="1">
      <c r="A2533" s="1052" t="s">
        <v>367</v>
      </c>
      <c r="B2533" s="869"/>
      <c r="C2533" s="1058" t="e">
        <f>VLOOKUP(B2529,'LƯƠNG KT'!$D$15:$U$94,16,0)</f>
        <v>#N/A</v>
      </c>
      <c r="D2533" s="1059" t="e">
        <f>+C2533*$L$6</f>
        <v>#N/A</v>
      </c>
      <c r="E2533" s="1061"/>
      <c r="F2533" s="1061"/>
      <c r="G2533" s="1052" t="s">
        <v>367</v>
      </c>
      <c r="H2533" s="869"/>
      <c r="I2533" s="1058" t="e">
        <f>VLOOKUP(H2529,'LƯƠNG KT'!$D$15:$U$94,16,0)</f>
        <v>#N/A</v>
      </c>
      <c r="J2533" s="1059" t="e">
        <f>+I2533*$L$6</f>
        <v>#N/A</v>
      </c>
      <c r="K2533" s="1085"/>
      <c r="L2533" s="1085"/>
      <c r="M2533" s="1085"/>
      <c r="N2533" s="1085"/>
      <c r="O2533" s="1085"/>
    </row>
    <row r="2534" spans="1:15" ht="15" customHeight="1">
      <c r="A2534" s="1052" t="s">
        <v>371</v>
      </c>
      <c r="B2534" s="869" t="s">
        <v>372</v>
      </c>
      <c r="C2534" s="1058" t="e">
        <f>VLOOKUP(B2529,'LƯƠNG KT'!$D$15:$U$94,9,0)*$L$10</f>
        <v>#N/A</v>
      </c>
      <c r="D2534" s="1059" t="e">
        <f>+C2534*0.5*3000</f>
        <v>#N/A</v>
      </c>
      <c r="E2534" s="1061"/>
      <c r="F2534" s="1061"/>
      <c r="G2534" s="1052" t="s">
        <v>371</v>
      </c>
      <c r="H2534" s="869" t="s">
        <v>372</v>
      </c>
      <c r="I2534" s="1058" t="e">
        <f>VLOOKUP(H2529,'LƯƠNG KT'!$D$15:$U$94,9,0)*$L$10</f>
        <v>#N/A</v>
      </c>
      <c r="J2534" s="1059" t="e">
        <f>+I2534*0.5*3000</f>
        <v>#N/A</v>
      </c>
      <c r="K2534" s="1085"/>
      <c r="L2534" s="1085"/>
      <c r="M2534" s="1085"/>
      <c r="N2534" s="1085"/>
      <c r="O2534" s="1085"/>
    </row>
    <row r="2535" spans="1:15" ht="15" customHeight="1">
      <c r="A2535" s="1052" t="s">
        <v>374</v>
      </c>
      <c r="B2535" s="869" t="s">
        <v>375</v>
      </c>
      <c r="C2535" s="1058" t="e">
        <f>VLOOKUP(B2529,'LƯƠNG KT'!$D$15:$U$94,8,0)*$L$11</f>
        <v>#N/A</v>
      </c>
      <c r="D2535" s="1059" t="e">
        <f>VLOOKUP(B2529,'LƯƠNG KT'!$D$15:$U$94,13,0)-D2534</f>
        <v>#N/A</v>
      </c>
      <c r="E2535" s="1063"/>
      <c r="F2535" s="1061"/>
      <c r="G2535" s="1052" t="s">
        <v>374</v>
      </c>
      <c r="H2535" s="869" t="s">
        <v>375</v>
      </c>
      <c r="I2535" s="1058" t="e">
        <f>VLOOKUP(H2529,'LƯƠNG KT'!$D$15:$U$94,8,0)*$L$11</f>
        <v>#N/A</v>
      </c>
      <c r="J2535" s="1059" t="e">
        <f>VLOOKUP(H2529,'LƯƠNG KT'!$D$15:$U$94,13,0)-J2534</f>
        <v>#N/A</v>
      </c>
      <c r="K2535" s="1085"/>
      <c r="L2535" s="1085"/>
      <c r="M2535" s="1085"/>
      <c r="N2535" s="1085"/>
      <c r="O2535" s="1085"/>
    </row>
    <row r="2536" spans="1:15" ht="15" customHeight="1">
      <c r="A2536" s="1059" t="s">
        <v>377</v>
      </c>
      <c r="B2536" s="869" t="s">
        <v>378</v>
      </c>
      <c r="C2536" s="1058"/>
      <c r="D2536" s="1059"/>
      <c r="E2536" s="1065"/>
      <c r="F2536" s="1065"/>
      <c r="G2536" s="1059" t="s">
        <v>377</v>
      </c>
      <c r="H2536" s="869" t="s">
        <v>378</v>
      </c>
      <c r="I2536" s="1058"/>
      <c r="J2536" s="1059"/>
    </row>
    <row r="2537" spans="1:15" ht="15" customHeight="1">
      <c r="A2537" s="1066" t="s">
        <v>379</v>
      </c>
      <c r="B2537" s="869" t="s">
        <v>380</v>
      </c>
      <c r="C2537" s="1058"/>
      <c r="D2537" s="1059"/>
      <c r="E2537" s="1063"/>
      <c r="F2537" s="1065"/>
      <c r="G2537" s="1066" t="s">
        <v>379</v>
      </c>
      <c r="H2537" s="869" t="s">
        <v>380</v>
      </c>
      <c r="I2537" s="1058"/>
      <c r="J2537" s="1059"/>
    </row>
    <row r="2538" spans="1:15" ht="15" customHeight="1">
      <c r="A2538" s="1052" t="s">
        <v>381</v>
      </c>
      <c r="B2538" s="869" t="s">
        <v>382</v>
      </c>
      <c r="C2538" s="1058"/>
      <c r="D2538" s="1059">
        <f>D2537</f>
        <v>0</v>
      </c>
      <c r="E2538" s="1067"/>
      <c r="F2538" s="1051"/>
      <c r="G2538" s="1052" t="s">
        <v>381</v>
      </c>
      <c r="H2538" s="869" t="s">
        <v>382</v>
      </c>
      <c r="I2538" s="1058"/>
      <c r="J2538" s="1059">
        <f>J2537</f>
        <v>0</v>
      </c>
    </row>
    <row r="2539" spans="1:15" ht="15" customHeight="1">
      <c r="A2539" s="1068" t="s">
        <v>383</v>
      </c>
      <c r="B2539" s="1069" t="s">
        <v>384</v>
      </c>
      <c r="C2539" s="1070"/>
      <c r="D2539" s="1071" t="e">
        <f>SUM(D2530:D2535)-D2538</f>
        <v>#N/A</v>
      </c>
      <c r="E2539" s="1072"/>
      <c r="F2539" s="1073"/>
      <c r="G2539" s="1068" t="s">
        <v>383</v>
      </c>
      <c r="H2539" s="1069" t="s">
        <v>384</v>
      </c>
      <c r="I2539" s="1070"/>
      <c r="J2539" s="1071" t="e">
        <f>SUM(J2530:J2535)-J2538</f>
        <v>#N/A</v>
      </c>
    </row>
    <row r="2540" spans="1:15" ht="12.6" customHeight="1">
      <c r="A2540" s="1074"/>
      <c r="B2540" s="1075"/>
      <c r="C2540" s="1076"/>
      <c r="D2540" s="1077"/>
      <c r="E2540" s="1077"/>
      <c r="F2540" s="1078"/>
      <c r="G2540" s="1074"/>
      <c r="H2540" s="1075"/>
      <c r="I2540" s="1076"/>
      <c r="J2540" s="1077"/>
    </row>
    <row r="2541" spans="1:15" ht="12.6" customHeight="1">
      <c r="A2541" s="1075"/>
      <c r="B2541" s="1075"/>
      <c r="C2541" s="1079"/>
      <c r="D2541" s="1080"/>
      <c r="E2541" s="1075"/>
      <c r="F2541" s="1081"/>
      <c r="G2541" s="1075"/>
      <c r="H2541" s="1075"/>
      <c r="I2541" s="1079"/>
      <c r="J2541" s="1080"/>
    </row>
    <row r="2542" spans="1:15" ht="15" customHeight="1">
      <c r="A2542" s="2242" t="str">
        <f>$K$2</f>
        <v>THÁNG 09/2024</v>
      </c>
      <c r="B2542" s="2242"/>
      <c r="C2542" s="2242"/>
      <c r="D2542" s="2242"/>
      <c r="E2542" s="1050"/>
      <c r="F2542" s="1051"/>
      <c r="G2542" s="2242" t="str">
        <f>$K$2</f>
        <v>THÁNG 09/2024</v>
      </c>
      <c r="H2542" s="2242"/>
      <c r="I2542" s="2242"/>
      <c r="J2542" s="2242"/>
      <c r="K2542" s="624"/>
    </row>
    <row r="2543" spans="1:15" ht="15" customHeight="1">
      <c r="A2543" s="1052" t="s">
        <v>356</v>
      </c>
      <c r="B2543" s="1053" t="s">
        <v>232</v>
      </c>
      <c r="C2543" s="869"/>
      <c r="D2543" s="1049"/>
      <c r="E2543" s="1054"/>
      <c r="F2543" s="1055"/>
      <c r="G2543" s="1052" t="s">
        <v>356</v>
      </c>
      <c r="H2543" s="1053" t="s">
        <v>233</v>
      </c>
      <c r="I2543" s="869"/>
      <c r="J2543" s="1049"/>
      <c r="L2543" s="1088"/>
      <c r="M2543" s="1088"/>
      <c r="N2543" s="1088"/>
      <c r="O2543" s="1088"/>
    </row>
    <row r="2544" spans="1:15" ht="15" customHeight="1">
      <c r="A2544" s="1052" t="s">
        <v>359</v>
      </c>
      <c r="B2544" s="1089" t="s">
        <v>360</v>
      </c>
      <c r="C2544" s="1058" t="e">
        <f>VLOOKUP(B2543,'LƯƠNG KT'!$D$15:$U$94,3,0)</f>
        <v>#N/A</v>
      </c>
      <c r="D2544" s="1059" t="e">
        <f>+C2544*25000</f>
        <v>#N/A</v>
      </c>
      <c r="E2544" s="1060"/>
      <c r="F2544" s="1060"/>
      <c r="G2544" s="1052" t="s">
        <v>359</v>
      </c>
      <c r="H2544" s="1089" t="s">
        <v>360</v>
      </c>
      <c r="I2544" s="1058" t="e">
        <f>VLOOKUP(H2543,'LƯƠNG KT'!$D$15:$U$94,3,0)</f>
        <v>#N/A</v>
      </c>
      <c r="J2544" s="1059" t="e">
        <f>+I2544*25000</f>
        <v>#N/A</v>
      </c>
      <c r="K2544" s="1085"/>
      <c r="L2544" s="1085"/>
      <c r="M2544" s="1085"/>
      <c r="N2544" s="1085"/>
      <c r="O2544" s="1085"/>
    </row>
    <row r="2545" spans="1:15" ht="15" customHeight="1">
      <c r="A2545" s="1052" t="s">
        <v>361</v>
      </c>
      <c r="B2545" s="869" t="s">
        <v>362</v>
      </c>
      <c r="C2545" s="1058" t="e">
        <f>VLOOKUP(B2543,'LƯƠNG KT'!$D$15:$U$94,14,0)</f>
        <v>#N/A</v>
      </c>
      <c r="D2545" s="1059" t="e">
        <f>C2545*$L$4</f>
        <v>#N/A</v>
      </c>
      <c r="E2545" s="1061"/>
      <c r="F2545" s="1061"/>
      <c r="G2545" s="1052" t="s">
        <v>361</v>
      </c>
      <c r="H2545" s="869" t="s">
        <v>362</v>
      </c>
      <c r="I2545" s="1058" t="e">
        <f>VLOOKUP(H2543,'LƯƠNG KT'!$D$15:$U$94,14,0)</f>
        <v>#N/A</v>
      </c>
      <c r="J2545" s="1059" t="e">
        <f>I2545*$L$4</f>
        <v>#N/A</v>
      </c>
      <c r="K2545" s="1085"/>
      <c r="L2545" s="1085"/>
      <c r="M2545" s="1085"/>
      <c r="N2545" s="1085"/>
      <c r="O2545" s="1085"/>
    </row>
    <row r="2546" spans="1:15" ht="15" customHeight="1">
      <c r="A2546" s="1052" t="s">
        <v>364</v>
      </c>
      <c r="B2546" s="869" t="s">
        <v>365</v>
      </c>
      <c r="C2546" s="1058" t="e">
        <f>VLOOKUP(B2543,'LƯƠNG KT'!$D$15:$U$94,15,0)</f>
        <v>#N/A</v>
      </c>
      <c r="D2546" s="1059" t="e">
        <f>C2546*$L$5</f>
        <v>#N/A</v>
      </c>
      <c r="E2546" s="1061"/>
      <c r="F2546" s="1061"/>
      <c r="G2546" s="1052" t="s">
        <v>364</v>
      </c>
      <c r="H2546" s="869" t="s">
        <v>365</v>
      </c>
      <c r="I2546" s="1058" t="e">
        <f>VLOOKUP(H2543,'LƯƠNG KT'!$D$15:$U$94,15,0)</f>
        <v>#N/A</v>
      </c>
      <c r="J2546" s="1059" t="e">
        <f>I2546*$L$5</f>
        <v>#N/A</v>
      </c>
      <c r="K2546" s="1085"/>
      <c r="L2546" s="1085"/>
      <c r="M2546" s="1085"/>
      <c r="N2546" s="1085"/>
      <c r="O2546" s="1085"/>
    </row>
    <row r="2547" spans="1:15" ht="15" customHeight="1">
      <c r="A2547" s="1052" t="s">
        <v>367</v>
      </c>
      <c r="B2547" s="869"/>
      <c r="C2547" s="1058" t="e">
        <f>VLOOKUP(B2543,'LƯƠNG KT'!$D$15:$U$94,16,0)</f>
        <v>#N/A</v>
      </c>
      <c r="D2547" s="1059" t="e">
        <f>+C2547*$L$6</f>
        <v>#N/A</v>
      </c>
      <c r="E2547" s="1061"/>
      <c r="F2547" s="1061"/>
      <c r="G2547" s="1052" t="s">
        <v>367</v>
      </c>
      <c r="H2547" s="869"/>
      <c r="I2547" s="1058" t="e">
        <f>VLOOKUP(H2543,'LƯƠNG KT'!$D$15:$U$94,16,0)</f>
        <v>#N/A</v>
      </c>
      <c r="J2547" s="1059" t="e">
        <f>+I2547*$L$6</f>
        <v>#N/A</v>
      </c>
      <c r="K2547" s="1085"/>
      <c r="L2547" s="1085"/>
      <c r="M2547" s="1085"/>
      <c r="N2547" s="1085"/>
      <c r="O2547" s="1085"/>
    </row>
    <row r="2548" spans="1:15" ht="15" customHeight="1">
      <c r="A2548" s="1052" t="s">
        <v>371</v>
      </c>
      <c r="B2548" s="869" t="s">
        <v>372</v>
      </c>
      <c r="C2548" s="1058" t="e">
        <f>VLOOKUP(B2543,'LƯƠNG KT'!$D$15:$U$94,9,0)*$L$10</f>
        <v>#N/A</v>
      </c>
      <c r="D2548" s="1059" t="e">
        <f>+C2548*0.5*3000</f>
        <v>#N/A</v>
      </c>
      <c r="E2548" s="1061"/>
      <c r="F2548" s="1061"/>
      <c r="G2548" s="1052" t="s">
        <v>371</v>
      </c>
      <c r="H2548" s="869" t="s">
        <v>372</v>
      </c>
      <c r="I2548" s="1058" t="e">
        <f>VLOOKUP(H2543,'LƯƠNG KT'!$D$15:$U$94,9,0)*$L$10</f>
        <v>#N/A</v>
      </c>
      <c r="J2548" s="1059" t="e">
        <f>+I2548*0.5*3000</f>
        <v>#N/A</v>
      </c>
      <c r="K2548" s="1085"/>
      <c r="L2548" s="1085"/>
      <c r="M2548" s="1085"/>
      <c r="N2548" s="1085"/>
      <c r="O2548" s="1085"/>
    </row>
    <row r="2549" spans="1:15" ht="15" customHeight="1">
      <c r="A2549" s="1052" t="s">
        <v>374</v>
      </c>
      <c r="B2549" s="869" t="s">
        <v>375</v>
      </c>
      <c r="C2549" s="1058" t="e">
        <f>VLOOKUP(B2543,'LƯƠNG KT'!$D$15:$U$94,8,0)*$L$11</f>
        <v>#N/A</v>
      </c>
      <c r="D2549" s="1059" t="e">
        <f>VLOOKUP(B2543,'LƯƠNG KT'!$D$15:$U$94,13,0)-D2548</f>
        <v>#N/A</v>
      </c>
      <c r="E2549" s="1063"/>
      <c r="F2549" s="1061"/>
      <c r="G2549" s="1052" t="s">
        <v>374</v>
      </c>
      <c r="H2549" s="869" t="s">
        <v>375</v>
      </c>
      <c r="I2549" s="1058" t="e">
        <f>VLOOKUP(H2543,'LƯƠNG KT'!$D$15:$U$94,8,0)*$L$11</f>
        <v>#N/A</v>
      </c>
      <c r="J2549" s="1059" t="e">
        <f>VLOOKUP(H2543,'LƯƠNG KT'!$D$15:$U$94,13,0)-J2548</f>
        <v>#N/A</v>
      </c>
      <c r="K2549" s="1085"/>
      <c r="L2549" s="1085"/>
      <c r="M2549" s="1085"/>
      <c r="N2549" s="1085"/>
      <c r="O2549" s="1085"/>
    </row>
    <row r="2550" spans="1:15" ht="15" customHeight="1">
      <c r="A2550" s="1059" t="s">
        <v>377</v>
      </c>
      <c r="B2550" s="869" t="s">
        <v>378</v>
      </c>
      <c r="C2550" s="1058"/>
      <c r="D2550" s="1059"/>
      <c r="E2550" s="1065"/>
      <c r="F2550" s="1065"/>
      <c r="G2550" s="1059" t="s">
        <v>377</v>
      </c>
      <c r="H2550" s="869" t="s">
        <v>378</v>
      </c>
      <c r="I2550" s="1058"/>
      <c r="J2550" s="1059"/>
    </row>
    <row r="2551" spans="1:15" ht="15" customHeight="1">
      <c r="A2551" s="1066" t="s">
        <v>379</v>
      </c>
      <c r="B2551" s="869" t="s">
        <v>380</v>
      </c>
      <c r="C2551" s="1058"/>
      <c r="D2551" s="1059"/>
      <c r="E2551" s="1063"/>
      <c r="F2551" s="1065"/>
      <c r="G2551" s="1066" t="s">
        <v>379</v>
      </c>
      <c r="H2551" s="869" t="s">
        <v>380</v>
      </c>
      <c r="I2551" s="1058"/>
      <c r="J2551" s="1059"/>
    </row>
    <row r="2552" spans="1:15" ht="15" customHeight="1">
      <c r="A2552" s="1052" t="s">
        <v>381</v>
      </c>
      <c r="B2552" s="869" t="s">
        <v>382</v>
      </c>
      <c r="C2552" s="1058"/>
      <c r="D2552" s="1059">
        <f>D2551</f>
        <v>0</v>
      </c>
      <c r="E2552" s="1067"/>
      <c r="F2552" s="1051"/>
      <c r="G2552" s="1052" t="s">
        <v>381</v>
      </c>
      <c r="H2552" s="869" t="s">
        <v>382</v>
      </c>
      <c r="I2552" s="1058"/>
      <c r="J2552" s="1059">
        <f>J2551</f>
        <v>0</v>
      </c>
    </row>
    <row r="2553" spans="1:15" ht="15" customHeight="1">
      <c r="A2553" s="1068" t="s">
        <v>383</v>
      </c>
      <c r="B2553" s="1069" t="s">
        <v>384</v>
      </c>
      <c r="C2553" s="1070"/>
      <c r="D2553" s="1071" t="e">
        <f>SUM(D2544:D2549)-D2552</f>
        <v>#N/A</v>
      </c>
      <c r="E2553" s="1072"/>
      <c r="F2553" s="1073"/>
      <c r="G2553" s="1068" t="s">
        <v>383</v>
      </c>
      <c r="H2553" s="1069" t="s">
        <v>384</v>
      </c>
      <c r="I2553" s="1070"/>
      <c r="J2553" s="1071" t="e">
        <f>SUM(J2544:J2549)-J2552</f>
        <v>#N/A</v>
      </c>
    </row>
    <row r="2554" spans="1:15" ht="18.75" customHeight="1">
      <c r="A2554" s="1074"/>
      <c r="B2554" s="1075"/>
      <c r="C2554" s="1076"/>
      <c r="D2554" s="1077"/>
      <c r="E2554" s="1077"/>
      <c r="F2554" s="1078"/>
      <c r="G2554" s="1074"/>
      <c r="H2554" s="1075"/>
      <c r="I2554" s="1076"/>
      <c r="J2554" s="1077"/>
    </row>
    <row r="2555" spans="1:15" ht="18.75" customHeight="1">
      <c r="A2555" s="1075"/>
      <c r="B2555" s="1075"/>
      <c r="C2555" s="1079"/>
      <c r="D2555" s="1080"/>
      <c r="E2555" s="1075"/>
      <c r="F2555" s="1081"/>
      <c r="G2555" s="1075"/>
      <c r="H2555" s="1075"/>
      <c r="I2555" s="1079"/>
      <c r="J2555" s="1080"/>
    </row>
    <row r="2556" spans="1:15" ht="15" customHeight="1">
      <c r="A2556" s="2242" t="str">
        <f>$K$2</f>
        <v>THÁNG 09/2024</v>
      </c>
      <c r="B2556" s="2242"/>
      <c r="C2556" s="2242"/>
      <c r="D2556" s="2242"/>
      <c r="E2556" s="1050"/>
      <c r="F2556" s="1051"/>
      <c r="G2556" s="2242" t="str">
        <f>$K$2</f>
        <v>THÁNG 09/2024</v>
      </c>
      <c r="H2556" s="2242"/>
      <c r="I2556" s="2242"/>
      <c r="J2556" s="2242"/>
      <c r="K2556" s="624"/>
    </row>
    <row r="2557" spans="1:15" ht="15" customHeight="1">
      <c r="A2557" s="1052" t="s">
        <v>356</v>
      </c>
      <c r="B2557" s="1053" t="s">
        <v>234</v>
      </c>
      <c r="C2557" s="869"/>
      <c r="D2557" s="1049"/>
      <c r="E2557" s="1054"/>
      <c r="F2557" s="1055"/>
      <c r="G2557" s="1052" t="s">
        <v>356</v>
      </c>
      <c r="H2557" s="1053" t="s">
        <v>235</v>
      </c>
      <c r="I2557" s="869"/>
      <c r="J2557" s="1049"/>
      <c r="L2557" s="1088"/>
      <c r="M2557" s="1088"/>
      <c r="N2557" s="1088"/>
      <c r="O2557" s="1088"/>
    </row>
    <row r="2558" spans="1:15" ht="15" customHeight="1">
      <c r="A2558" s="1052" t="s">
        <v>359</v>
      </c>
      <c r="B2558" s="1089" t="s">
        <v>360</v>
      </c>
      <c r="C2558" s="1058" t="e">
        <f>VLOOKUP(B2557,'LƯƠNG KT'!$D$15:$U$94,3,0)</f>
        <v>#N/A</v>
      </c>
      <c r="D2558" s="1059" t="e">
        <f>+C2558*25000</f>
        <v>#N/A</v>
      </c>
      <c r="E2558" s="1060"/>
      <c r="F2558" s="1060"/>
      <c r="G2558" s="1052" t="s">
        <v>359</v>
      </c>
      <c r="H2558" s="1089" t="s">
        <v>360</v>
      </c>
      <c r="I2558" s="1058" t="e">
        <f>VLOOKUP(H2557,'LƯƠNG KT'!$D$15:$U$94,3,0)</f>
        <v>#N/A</v>
      </c>
      <c r="J2558" s="1059" t="e">
        <f>+I2558*25000</f>
        <v>#N/A</v>
      </c>
      <c r="K2558" s="1085"/>
      <c r="L2558" s="1085"/>
      <c r="M2558" s="1085"/>
      <c r="N2558" s="1085"/>
      <c r="O2558" s="1085"/>
    </row>
    <row r="2559" spans="1:15" ht="15" customHeight="1">
      <c r="A2559" s="1052" t="s">
        <v>361</v>
      </c>
      <c r="B2559" s="869" t="s">
        <v>362</v>
      </c>
      <c r="C2559" s="1058" t="e">
        <f>VLOOKUP(B2557,'LƯƠNG KT'!$D$15:$U$94,14,0)</f>
        <v>#N/A</v>
      </c>
      <c r="D2559" s="1059" t="e">
        <f>C2559*$L$4</f>
        <v>#N/A</v>
      </c>
      <c r="E2559" s="1061"/>
      <c r="F2559" s="1061"/>
      <c r="G2559" s="1052" t="s">
        <v>361</v>
      </c>
      <c r="H2559" s="869" t="s">
        <v>362</v>
      </c>
      <c r="I2559" s="1058" t="e">
        <f>VLOOKUP(H2557,'LƯƠNG KT'!$D$15:$U$94,14,0)</f>
        <v>#N/A</v>
      </c>
      <c r="J2559" s="1059" t="e">
        <f>I2559*$L$4</f>
        <v>#N/A</v>
      </c>
      <c r="K2559" s="1085"/>
      <c r="L2559" s="1085"/>
      <c r="M2559" s="1085"/>
      <c r="N2559" s="1085"/>
      <c r="O2559" s="1085"/>
    </row>
    <row r="2560" spans="1:15" ht="15" customHeight="1">
      <c r="A2560" s="1052" t="s">
        <v>364</v>
      </c>
      <c r="B2560" s="869" t="s">
        <v>365</v>
      </c>
      <c r="C2560" s="1058" t="e">
        <f>VLOOKUP(B2557,'LƯƠNG KT'!$D$15:$U$94,15,0)</f>
        <v>#N/A</v>
      </c>
      <c r="D2560" s="1059" t="e">
        <f>C2560*$L$5</f>
        <v>#N/A</v>
      </c>
      <c r="E2560" s="1061"/>
      <c r="F2560" s="1061"/>
      <c r="G2560" s="1052" t="s">
        <v>364</v>
      </c>
      <c r="H2560" s="869" t="s">
        <v>365</v>
      </c>
      <c r="I2560" s="1058" t="e">
        <f>VLOOKUP(H2557,'LƯƠNG KT'!$D$15:$U$94,15,0)</f>
        <v>#N/A</v>
      </c>
      <c r="J2560" s="1059" t="e">
        <f>I2560*$L$5</f>
        <v>#N/A</v>
      </c>
      <c r="K2560" s="1085"/>
      <c r="L2560" s="1085"/>
      <c r="M2560" s="1085"/>
      <c r="N2560" s="1085"/>
      <c r="O2560" s="1085"/>
    </row>
    <row r="2561" spans="1:15" ht="15" customHeight="1">
      <c r="A2561" s="1052" t="s">
        <v>367</v>
      </c>
      <c r="B2561" s="869"/>
      <c r="C2561" s="1058" t="e">
        <f>VLOOKUP(B2557,'LƯƠNG KT'!$D$15:$U$94,16,0)</f>
        <v>#N/A</v>
      </c>
      <c r="D2561" s="1059" t="e">
        <f>+C2561*$L$6</f>
        <v>#N/A</v>
      </c>
      <c r="E2561" s="1061"/>
      <c r="F2561" s="1061"/>
      <c r="G2561" s="1052" t="s">
        <v>367</v>
      </c>
      <c r="H2561" s="869"/>
      <c r="I2561" s="1058" t="e">
        <f>VLOOKUP(H2557,'LƯƠNG KT'!$D$15:$U$94,16,0)</f>
        <v>#N/A</v>
      </c>
      <c r="J2561" s="1059" t="e">
        <f>+I2561*$L$6</f>
        <v>#N/A</v>
      </c>
      <c r="K2561" s="1085"/>
      <c r="L2561" s="1085"/>
      <c r="M2561" s="1085"/>
      <c r="N2561" s="1085"/>
      <c r="O2561" s="1085"/>
    </row>
    <row r="2562" spans="1:15" ht="15" customHeight="1">
      <c r="A2562" s="1052" t="s">
        <v>371</v>
      </c>
      <c r="B2562" s="869" t="s">
        <v>372</v>
      </c>
      <c r="C2562" s="1058" t="e">
        <f>VLOOKUP(B2557,'LƯƠNG KT'!$D$15:$U$94,9,0)*$L$10</f>
        <v>#N/A</v>
      </c>
      <c r="D2562" s="1059" t="e">
        <f>+C2562*0.5*3000</f>
        <v>#N/A</v>
      </c>
      <c r="E2562" s="1061"/>
      <c r="F2562" s="1061"/>
      <c r="G2562" s="1052" t="s">
        <v>371</v>
      </c>
      <c r="H2562" s="869" t="s">
        <v>372</v>
      </c>
      <c r="I2562" s="1058" t="e">
        <f>VLOOKUP(H2557,'LƯƠNG KT'!$D$15:$U$94,9,0)*$L$10</f>
        <v>#N/A</v>
      </c>
      <c r="J2562" s="1059" t="e">
        <f>+I2562*0.5*3000</f>
        <v>#N/A</v>
      </c>
      <c r="K2562" s="1085"/>
      <c r="L2562" s="1085"/>
      <c r="M2562" s="1085"/>
      <c r="N2562" s="1085"/>
      <c r="O2562" s="1085"/>
    </row>
    <row r="2563" spans="1:15" ht="15" customHeight="1">
      <c r="A2563" s="1052" t="s">
        <v>374</v>
      </c>
      <c r="B2563" s="869" t="s">
        <v>375</v>
      </c>
      <c r="C2563" s="1058" t="e">
        <f>VLOOKUP(B2557,'LƯƠNG KT'!$D$15:$U$94,8,0)*$L$11</f>
        <v>#N/A</v>
      </c>
      <c r="D2563" s="1059" t="e">
        <f>VLOOKUP(B2557,'LƯƠNG KT'!$D$15:$U$94,13,0)-D2562</f>
        <v>#N/A</v>
      </c>
      <c r="E2563" s="1063"/>
      <c r="F2563" s="1061"/>
      <c r="G2563" s="1052" t="s">
        <v>374</v>
      </c>
      <c r="H2563" s="869" t="s">
        <v>375</v>
      </c>
      <c r="I2563" s="1058" t="e">
        <f>VLOOKUP(H2557,'LƯƠNG KT'!$D$15:$U$94,8,0)*$L$11</f>
        <v>#N/A</v>
      </c>
      <c r="J2563" s="1059" t="e">
        <f>VLOOKUP(H2557,'LƯƠNG KT'!$D$15:$U$94,13,0)-J2562</f>
        <v>#N/A</v>
      </c>
      <c r="K2563" s="1085"/>
      <c r="L2563" s="1085"/>
      <c r="M2563" s="1085"/>
      <c r="N2563" s="1085"/>
      <c r="O2563" s="1085"/>
    </row>
    <row r="2564" spans="1:15" ht="15" customHeight="1">
      <c r="A2564" s="1059" t="s">
        <v>377</v>
      </c>
      <c r="B2564" s="869" t="s">
        <v>378</v>
      </c>
      <c r="C2564" s="1058"/>
      <c r="D2564" s="1059"/>
      <c r="E2564" s="1065"/>
      <c r="F2564" s="1065"/>
      <c r="G2564" s="1059" t="s">
        <v>377</v>
      </c>
      <c r="H2564" s="869" t="s">
        <v>378</v>
      </c>
      <c r="I2564" s="1058"/>
      <c r="J2564" s="1059"/>
    </row>
    <row r="2565" spans="1:15" ht="15" customHeight="1">
      <c r="A2565" s="1066" t="s">
        <v>379</v>
      </c>
      <c r="B2565" s="869" t="s">
        <v>380</v>
      </c>
      <c r="C2565" s="1058"/>
      <c r="D2565" s="1059"/>
      <c r="E2565" s="1063"/>
      <c r="F2565" s="1065"/>
      <c r="G2565" s="1066" t="s">
        <v>379</v>
      </c>
      <c r="H2565" s="869" t="s">
        <v>380</v>
      </c>
      <c r="I2565" s="1058"/>
      <c r="J2565" s="1059"/>
    </row>
    <row r="2566" spans="1:15" ht="15" customHeight="1">
      <c r="A2566" s="1052" t="s">
        <v>381</v>
      </c>
      <c r="B2566" s="869" t="s">
        <v>382</v>
      </c>
      <c r="C2566" s="1058"/>
      <c r="D2566" s="1059">
        <f>D2565</f>
        <v>0</v>
      </c>
      <c r="E2566" s="1067"/>
      <c r="F2566" s="1051"/>
      <c r="G2566" s="1052" t="s">
        <v>381</v>
      </c>
      <c r="H2566" s="869" t="s">
        <v>382</v>
      </c>
      <c r="I2566" s="1058"/>
      <c r="J2566" s="1059">
        <f>J2565</f>
        <v>0</v>
      </c>
    </row>
    <row r="2567" spans="1:15" ht="15" customHeight="1">
      <c r="A2567" s="1068" t="s">
        <v>383</v>
      </c>
      <c r="B2567" s="1069" t="s">
        <v>384</v>
      </c>
      <c r="C2567" s="1070"/>
      <c r="D2567" s="1071" t="e">
        <f>SUM(D2558:D2563)-D2566</f>
        <v>#N/A</v>
      </c>
      <c r="E2567" s="1072"/>
      <c r="F2567" s="1073"/>
      <c r="G2567" s="1068" t="s">
        <v>383</v>
      </c>
      <c r="H2567" s="1069" t="s">
        <v>384</v>
      </c>
      <c r="I2567" s="1070"/>
      <c r="J2567" s="1071" t="e">
        <f>SUM(J2558:J2563)-J2566</f>
        <v>#N/A</v>
      </c>
    </row>
    <row r="2568" spans="1:15" ht="18.75" customHeight="1">
      <c r="A2568" s="1074"/>
      <c r="B2568" s="1075"/>
      <c r="C2568" s="1076"/>
      <c r="D2568" s="1077"/>
      <c r="E2568" s="1077"/>
      <c r="F2568" s="1078"/>
      <c r="G2568" s="1074"/>
      <c r="H2568" s="1075"/>
      <c r="I2568" s="1076"/>
      <c r="J2568" s="1077"/>
    </row>
    <row r="2569" spans="1:15" ht="18.75" customHeight="1">
      <c r="A2569" s="1075"/>
      <c r="B2569" s="1075"/>
      <c r="C2569" s="1079"/>
      <c r="D2569" s="1080"/>
      <c r="E2569" s="1075"/>
      <c r="F2569" s="1081"/>
      <c r="G2569" s="1075"/>
      <c r="H2569" s="1075"/>
      <c r="I2569" s="1079"/>
      <c r="J2569" s="1080"/>
    </row>
    <row r="2570" spans="1:15" ht="15" customHeight="1">
      <c r="A2570" s="2242" t="str">
        <f>$K$2</f>
        <v>THÁNG 09/2024</v>
      </c>
      <c r="B2570" s="2242"/>
      <c r="C2570" s="2242"/>
      <c r="D2570" s="2242"/>
      <c r="E2570" s="1050"/>
      <c r="F2570" s="1051"/>
      <c r="G2570" s="2242" t="str">
        <f>$K$2</f>
        <v>THÁNG 09/2024</v>
      </c>
      <c r="H2570" s="2242"/>
      <c r="I2570" s="2242"/>
      <c r="J2570" s="2242"/>
      <c r="K2570" s="624"/>
    </row>
    <row r="2571" spans="1:15" ht="15" customHeight="1">
      <c r="A2571" s="1052" t="s">
        <v>356</v>
      </c>
      <c r="B2571" s="1053" t="s">
        <v>236</v>
      </c>
      <c r="C2571" s="869"/>
      <c r="D2571" s="1049"/>
      <c r="E2571" s="1054"/>
      <c r="F2571" s="1055"/>
      <c r="G2571" s="1052" t="s">
        <v>356</v>
      </c>
      <c r="H2571" s="1053" t="s">
        <v>237</v>
      </c>
      <c r="I2571" s="869"/>
      <c r="J2571" s="1049"/>
      <c r="L2571" s="1088"/>
      <c r="M2571" s="1088"/>
      <c r="N2571" s="1088"/>
      <c r="O2571" s="1088"/>
    </row>
    <row r="2572" spans="1:15" ht="15" customHeight="1">
      <c r="A2572" s="1052" t="s">
        <v>359</v>
      </c>
      <c r="B2572" s="1089" t="s">
        <v>360</v>
      </c>
      <c r="C2572" s="1058" t="e">
        <f>VLOOKUP(B2571,'LƯƠNG KT'!$D$15:$U$94,3,0)</f>
        <v>#N/A</v>
      </c>
      <c r="D2572" s="1059" t="e">
        <f>+C2572*25000</f>
        <v>#N/A</v>
      </c>
      <c r="E2572" s="1060"/>
      <c r="F2572" s="1060"/>
      <c r="G2572" s="1052" t="s">
        <v>359</v>
      </c>
      <c r="H2572" s="1089" t="s">
        <v>360</v>
      </c>
      <c r="I2572" s="1058" t="e">
        <f>VLOOKUP(H2571,'LƯƠNG KT'!$D$15:$U$94,3,0)</f>
        <v>#N/A</v>
      </c>
      <c r="J2572" s="1059" t="e">
        <f>+I2572*25000</f>
        <v>#N/A</v>
      </c>
      <c r="K2572" s="1085"/>
      <c r="L2572" s="1085"/>
      <c r="M2572" s="1085"/>
      <c r="N2572" s="1085"/>
      <c r="O2572" s="1085"/>
    </row>
    <row r="2573" spans="1:15" ht="15" customHeight="1">
      <c r="A2573" s="1052" t="s">
        <v>361</v>
      </c>
      <c r="B2573" s="869" t="s">
        <v>362</v>
      </c>
      <c r="C2573" s="1058" t="e">
        <f>VLOOKUP(B2571,'LƯƠNG KT'!$D$15:$U$94,14,0)</f>
        <v>#N/A</v>
      </c>
      <c r="D2573" s="1059" t="e">
        <f>C2573*$L$4</f>
        <v>#N/A</v>
      </c>
      <c r="E2573" s="1061"/>
      <c r="F2573" s="1061"/>
      <c r="G2573" s="1052" t="s">
        <v>361</v>
      </c>
      <c r="H2573" s="869" t="s">
        <v>362</v>
      </c>
      <c r="I2573" s="1058" t="e">
        <f>VLOOKUP(H2571,'LƯƠNG KT'!$D$15:$U$94,14,0)</f>
        <v>#N/A</v>
      </c>
      <c r="J2573" s="1059" t="e">
        <f>I2573*$L$4</f>
        <v>#N/A</v>
      </c>
      <c r="K2573" s="1085"/>
      <c r="L2573" s="1085"/>
      <c r="M2573" s="1085"/>
      <c r="N2573" s="1085"/>
      <c r="O2573" s="1085"/>
    </row>
    <row r="2574" spans="1:15" ht="15" customHeight="1">
      <c r="A2574" s="1052" t="s">
        <v>364</v>
      </c>
      <c r="B2574" s="869" t="s">
        <v>365</v>
      </c>
      <c r="C2574" s="1058" t="e">
        <f>VLOOKUP(B2571,'LƯƠNG KT'!$D$15:$U$94,15,0)</f>
        <v>#N/A</v>
      </c>
      <c r="D2574" s="1059" t="e">
        <f>C2574*$L$5</f>
        <v>#N/A</v>
      </c>
      <c r="E2574" s="1061"/>
      <c r="F2574" s="1061"/>
      <c r="G2574" s="1052" t="s">
        <v>364</v>
      </c>
      <c r="H2574" s="869" t="s">
        <v>365</v>
      </c>
      <c r="I2574" s="1058" t="e">
        <f>VLOOKUP(H2571,'LƯƠNG KT'!$D$15:$U$94,15,0)</f>
        <v>#N/A</v>
      </c>
      <c r="J2574" s="1059" t="e">
        <f>I2574*$L$5</f>
        <v>#N/A</v>
      </c>
      <c r="K2574" s="1085"/>
      <c r="L2574" s="1085"/>
      <c r="M2574" s="1085"/>
      <c r="N2574" s="1085"/>
      <c r="O2574" s="1085"/>
    </row>
    <row r="2575" spans="1:15" ht="15" customHeight="1">
      <c r="A2575" s="1052" t="s">
        <v>367</v>
      </c>
      <c r="B2575" s="869"/>
      <c r="C2575" s="1058" t="e">
        <f>VLOOKUP(B2571,'LƯƠNG KT'!$D$15:$U$94,16,0)</f>
        <v>#N/A</v>
      </c>
      <c r="D2575" s="1059" t="e">
        <f>+C2575*$L$6</f>
        <v>#N/A</v>
      </c>
      <c r="E2575" s="1061"/>
      <c r="F2575" s="1061"/>
      <c r="G2575" s="1052" t="s">
        <v>367</v>
      </c>
      <c r="H2575" s="869"/>
      <c r="I2575" s="1058" t="e">
        <f>VLOOKUP(H2571,'LƯƠNG KT'!$D$15:$U$94,16,0)</f>
        <v>#N/A</v>
      </c>
      <c r="J2575" s="1059" t="e">
        <f>+I2575*$L$6</f>
        <v>#N/A</v>
      </c>
      <c r="K2575" s="1085"/>
      <c r="L2575" s="1085"/>
      <c r="M2575" s="1085"/>
      <c r="N2575" s="1085"/>
      <c r="O2575" s="1085"/>
    </row>
    <row r="2576" spans="1:15" ht="15" customHeight="1">
      <c r="A2576" s="1052" t="s">
        <v>371</v>
      </c>
      <c r="B2576" s="869" t="s">
        <v>372</v>
      </c>
      <c r="C2576" s="1058" t="e">
        <f>VLOOKUP(B2571,'LƯƠNG KT'!$D$15:$U$94,9,0)*$L$10</f>
        <v>#N/A</v>
      </c>
      <c r="D2576" s="1059" t="e">
        <f>+C2576*0.5*3000</f>
        <v>#N/A</v>
      </c>
      <c r="E2576" s="1061"/>
      <c r="F2576" s="1061"/>
      <c r="G2576" s="1052" t="s">
        <v>371</v>
      </c>
      <c r="H2576" s="869" t="s">
        <v>372</v>
      </c>
      <c r="I2576" s="1058" t="e">
        <f>VLOOKUP(H2571,'LƯƠNG KT'!$D$15:$U$94,9,0)*$L$10</f>
        <v>#N/A</v>
      </c>
      <c r="J2576" s="1059" t="e">
        <f>+I2576*0.5*3000</f>
        <v>#N/A</v>
      </c>
      <c r="K2576" s="1085"/>
      <c r="L2576" s="1085"/>
      <c r="M2576" s="1085"/>
      <c r="N2576" s="1085"/>
      <c r="O2576" s="1085"/>
    </row>
    <row r="2577" spans="1:15" ht="15" customHeight="1">
      <c r="A2577" s="1052" t="s">
        <v>374</v>
      </c>
      <c r="B2577" s="869" t="s">
        <v>375</v>
      </c>
      <c r="C2577" s="1058" t="e">
        <f>VLOOKUP(B2571,'LƯƠNG KT'!$D$15:$U$94,8,0)*$L$11</f>
        <v>#N/A</v>
      </c>
      <c r="D2577" s="1059" t="e">
        <f>VLOOKUP(B2571,'LƯƠNG KT'!$D$15:$U$94,13,0)-D2576</f>
        <v>#N/A</v>
      </c>
      <c r="E2577" s="1063"/>
      <c r="F2577" s="1061"/>
      <c r="G2577" s="1052" t="s">
        <v>374</v>
      </c>
      <c r="H2577" s="869" t="s">
        <v>375</v>
      </c>
      <c r="I2577" s="1058" t="e">
        <f>VLOOKUP(H2571,'LƯƠNG KT'!$D$15:$U$94,8,0)*$L$11</f>
        <v>#N/A</v>
      </c>
      <c r="J2577" s="1059" t="e">
        <f>VLOOKUP(H2571,'LƯƠNG KT'!$D$15:$U$94,13,0)-J2576</f>
        <v>#N/A</v>
      </c>
      <c r="K2577" s="1085"/>
      <c r="L2577" s="1085"/>
      <c r="M2577" s="1085"/>
      <c r="N2577" s="1085"/>
      <c r="O2577" s="1085"/>
    </row>
    <row r="2578" spans="1:15" ht="15" customHeight="1">
      <c r="A2578" s="1059" t="s">
        <v>377</v>
      </c>
      <c r="B2578" s="869" t="s">
        <v>378</v>
      </c>
      <c r="C2578" s="1058"/>
      <c r="D2578" s="1059"/>
      <c r="E2578" s="1065"/>
      <c r="F2578" s="1065"/>
      <c r="G2578" s="1059" t="s">
        <v>377</v>
      </c>
      <c r="H2578" s="869" t="s">
        <v>378</v>
      </c>
      <c r="I2578" s="1058"/>
      <c r="J2578" s="1059"/>
    </row>
    <row r="2579" spans="1:15" ht="15" customHeight="1">
      <c r="A2579" s="1066" t="s">
        <v>379</v>
      </c>
      <c r="B2579" s="869" t="s">
        <v>380</v>
      </c>
      <c r="C2579" s="1058"/>
      <c r="D2579" s="1059"/>
      <c r="E2579" s="1063"/>
      <c r="F2579" s="1065"/>
      <c r="G2579" s="1066" t="s">
        <v>379</v>
      </c>
      <c r="H2579" s="869" t="s">
        <v>380</v>
      </c>
      <c r="I2579" s="1058"/>
      <c r="J2579" s="1059"/>
    </row>
    <row r="2580" spans="1:15" ht="15" customHeight="1">
      <c r="A2580" s="1052" t="s">
        <v>381</v>
      </c>
      <c r="B2580" s="869" t="s">
        <v>382</v>
      </c>
      <c r="C2580" s="1058"/>
      <c r="D2580" s="1059">
        <f>D2579</f>
        <v>0</v>
      </c>
      <c r="E2580" s="1067"/>
      <c r="F2580" s="1051"/>
      <c r="G2580" s="1052" t="s">
        <v>381</v>
      </c>
      <c r="H2580" s="869" t="s">
        <v>382</v>
      </c>
      <c r="I2580" s="1058"/>
      <c r="J2580" s="1059">
        <f>J2579</f>
        <v>0</v>
      </c>
    </row>
    <row r="2581" spans="1:15" ht="15" customHeight="1">
      <c r="A2581" s="1068" t="s">
        <v>383</v>
      </c>
      <c r="B2581" s="1069" t="s">
        <v>384</v>
      </c>
      <c r="C2581" s="1070"/>
      <c r="D2581" s="1071" t="e">
        <f>SUM(D2572:D2577)-D2580</f>
        <v>#N/A</v>
      </c>
      <c r="E2581" s="1072"/>
      <c r="F2581" s="1073"/>
      <c r="G2581" s="1068" t="s">
        <v>383</v>
      </c>
      <c r="H2581" s="1069" t="s">
        <v>384</v>
      </c>
      <c r="I2581" s="1070"/>
      <c r="J2581" s="1071" t="e">
        <f>SUM(J2572:J2577)-J2580</f>
        <v>#N/A</v>
      </c>
    </row>
    <row r="2582" spans="1:15" ht="15.75" customHeight="1">
      <c r="A2582" s="1074"/>
      <c r="B2582" s="1075"/>
      <c r="C2582" s="1076"/>
      <c r="D2582" s="1077"/>
      <c r="E2582" s="1077"/>
      <c r="F2582" s="1078"/>
      <c r="G2582" s="1074"/>
      <c r="H2582" s="1075"/>
      <c r="I2582" s="1076"/>
      <c r="J2582" s="1077"/>
    </row>
    <row r="2584" spans="1:15" ht="12" customHeight="1">
      <c r="A2584" s="2243"/>
      <c r="B2584" s="2243"/>
      <c r="C2584" s="2243"/>
      <c r="D2584" s="2243"/>
      <c r="E2584" s="2243"/>
      <c r="F2584" s="2243"/>
      <c r="G2584" s="2243"/>
      <c r="H2584" s="2243"/>
      <c r="I2584" s="2243"/>
      <c r="J2584" s="2243"/>
    </row>
    <row r="2585" spans="1:15" ht="15" customHeight="1">
      <c r="A2585" s="2242" t="str">
        <f>$K$2</f>
        <v>THÁNG 09/2024</v>
      </c>
      <c r="B2585" s="2242"/>
      <c r="C2585" s="2242"/>
      <c r="D2585" s="2242"/>
      <c r="E2585" s="1050"/>
      <c r="F2585" s="1051"/>
      <c r="G2585" s="2242" t="str">
        <f>$K$2</f>
        <v>THÁNG 09/2024</v>
      </c>
      <c r="H2585" s="2242"/>
      <c r="I2585" s="2242"/>
      <c r="J2585" s="2242"/>
      <c r="K2585" s="624"/>
    </row>
    <row r="2586" spans="1:15" ht="15" customHeight="1">
      <c r="A2586" s="1052" t="s">
        <v>356</v>
      </c>
      <c r="B2586" s="1053" t="s">
        <v>238</v>
      </c>
      <c r="C2586" s="869"/>
      <c r="D2586" s="1049"/>
      <c r="E2586" s="1054"/>
      <c r="F2586" s="1055"/>
      <c r="G2586" s="1052" t="s">
        <v>356</v>
      </c>
      <c r="H2586" s="1053" t="s">
        <v>239</v>
      </c>
      <c r="I2586" s="869"/>
      <c r="J2586" s="1049"/>
      <c r="L2586" s="1088"/>
      <c r="M2586" s="1088"/>
      <c r="N2586" s="1088"/>
      <c r="O2586" s="1088"/>
    </row>
    <row r="2587" spans="1:15" ht="15" customHeight="1">
      <c r="A2587" s="1052" t="s">
        <v>359</v>
      </c>
      <c r="B2587" s="1089" t="s">
        <v>360</v>
      </c>
      <c r="C2587" s="1058" t="e">
        <f>VLOOKUP(B2586,'LƯƠNG KT'!$D$15:$U$94,3,0)</f>
        <v>#N/A</v>
      </c>
      <c r="D2587" s="1059" t="e">
        <f>+C2587*25000</f>
        <v>#N/A</v>
      </c>
      <c r="E2587" s="1060"/>
      <c r="F2587" s="1060"/>
      <c r="G2587" s="1052" t="s">
        <v>359</v>
      </c>
      <c r="H2587" s="1089" t="s">
        <v>360</v>
      </c>
      <c r="I2587" s="1058" t="e">
        <f>VLOOKUP(H2586,'LƯƠNG KT'!$D$15:$U$94,3,0)</f>
        <v>#N/A</v>
      </c>
      <c r="J2587" s="1059" t="e">
        <f>+I2587*25000</f>
        <v>#N/A</v>
      </c>
      <c r="K2587" s="1084"/>
      <c r="L2587" s="1085"/>
      <c r="M2587" s="1085"/>
      <c r="N2587" s="1085"/>
      <c r="O2587" s="1085"/>
    </row>
    <row r="2588" spans="1:15" ht="15" customHeight="1">
      <c r="A2588" s="1052" t="s">
        <v>361</v>
      </c>
      <c r="B2588" s="869" t="s">
        <v>362</v>
      </c>
      <c r="C2588" s="1058" t="e">
        <f>VLOOKUP(B2586,'LƯƠNG KT'!$D$15:$U$94,14,0)</f>
        <v>#N/A</v>
      </c>
      <c r="D2588" s="1059" t="e">
        <f>C2588*$L$4</f>
        <v>#N/A</v>
      </c>
      <c r="E2588" s="1061"/>
      <c r="F2588" s="1061"/>
      <c r="G2588" s="1052" t="s">
        <v>361</v>
      </c>
      <c r="H2588" s="869" t="s">
        <v>362</v>
      </c>
      <c r="I2588" s="1058" t="e">
        <f>VLOOKUP(H2586,'LƯƠNG KT'!$D$15:$U$94,14,0)</f>
        <v>#N/A</v>
      </c>
      <c r="J2588" s="1059" t="e">
        <f>I2588*$L$4</f>
        <v>#N/A</v>
      </c>
      <c r="K2588" s="1084"/>
      <c r="L2588" s="1085"/>
      <c r="M2588" s="1085"/>
      <c r="N2588" s="1085"/>
      <c r="O2588" s="1085"/>
    </row>
    <row r="2589" spans="1:15" ht="15" customHeight="1">
      <c r="A2589" s="1052" t="s">
        <v>364</v>
      </c>
      <c r="B2589" s="869" t="s">
        <v>365</v>
      </c>
      <c r="C2589" s="1058" t="e">
        <f>VLOOKUP(B2586,'LƯƠNG KT'!$D$15:$U$94,15,0)</f>
        <v>#N/A</v>
      </c>
      <c r="D2589" s="1059" t="e">
        <f>C2589*$L$5</f>
        <v>#N/A</v>
      </c>
      <c r="E2589" s="1061"/>
      <c r="F2589" s="1061"/>
      <c r="G2589" s="1052" t="s">
        <v>364</v>
      </c>
      <c r="H2589" s="869" t="s">
        <v>365</v>
      </c>
      <c r="I2589" s="1058" t="e">
        <f>VLOOKUP(H2586,'LƯƠNG KT'!$D$15:$U$94,15,0)</f>
        <v>#N/A</v>
      </c>
      <c r="J2589" s="1059" t="e">
        <f>I2589*$L$5</f>
        <v>#N/A</v>
      </c>
      <c r="K2589" s="1084"/>
      <c r="L2589" s="1085"/>
      <c r="M2589" s="1085"/>
      <c r="N2589" s="1085"/>
      <c r="O2589" s="1085"/>
    </row>
    <row r="2590" spans="1:15" ht="15" customHeight="1">
      <c r="A2590" s="1052" t="s">
        <v>367</v>
      </c>
      <c r="B2590" s="869"/>
      <c r="C2590" s="1058" t="e">
        <f>VLOOKUP(B2586,'LƯƠNG KT'!$D$15:$U$94,16,0)</f>
        <v>#N/A</v>
      </c>
      <c r="D2590" s="1059" t="e">
        <f>+C2590*$L$6</f>
        <v>#N/A</v>
      </c>
      <c r="E2590" s="1061"/>
      <c r="F2590" s="1061"/>
      <c r="G2590" s="1052" t="s">
        <v>367</v>
      </c>
      <c r="H2590" s="869"/>
      <c r="I2590" s="1058" t="e">
        <f>VLOOKUP(H2586,'LƯƠNG KT'!$D$15:$U$94,16,0)</f>
        <v>#N/A</v>
      </c>
      <c r="J2590" s="1059" t="e">
        <f>+I2590*$L$6</f>
        <v>#N/A</v>
      </c>
      <c r="K2590" s="1085"/>
      <c r="L2590" s="1085"/>
      <c r="M2590" s="1085"/>
      <c r="N2590" s="1085"/>
      <c r="O2590" s="1085"/>
    </row>
    <row r="2591" spans="1:15" ht="15" customHeight="1">
      <c r="A2591" s="1052" t="s">
        <v>371</v>
      </c>
      <c r="B2591" s="869" t="s">
        <v>372</v>
      </c>
      <c r="C2591" s="1058" t="e">
        <f>VLOOKUP(B2586,'LƯƠNG KT'!$D$15:$U$94,9,0)*$L$10</f>
        <v>#N/A</v>
      </c>
      <c r="D2591" s="1059" t="e">
        <f>+C2591*0.5*3000</f>
        <v>#N/A</v>
      </c>
      <c r="E2591" s="1061"/>
      <c r="F2591" s="1061"/>
      <c r="G2591" s="1052" t="s">
        <v>371</v>
      </c>
      <c r="H2591" s="869" t="s">
        <v>372</v>
      </c>
      <c r="I2591" s="1058" t="e">
        <f>VLOOKUP(H2586,'LƯƠNG KT'!$D$15:$U$94,9,0)*$L$10</f>
        <v>#N/A</v>
      </c>
      <c r="J2591" s="1059" t="e">
        <f>+I2591*0.5*3000</f>
        <v>#N/A</v>
      </c>
      <c r="K2591" s="1085"/>
      <c r="L2591" s="1085"/>
      <c r="M2591" s="1085"/>
      <c r="N2591" s="1085"/>
      <c r="O2591" s="1085"/>
    </row>
    <row r="2592" spans="1:15" ht="15" customHeight="1">
      <c r="A2592" s="1052" t="s">
        <v>374</v>
      </c>
      <c r="B2592" s="869" t="s">
        <v>375</v>
      </c>
      <c r="C2592" s="1058" t="e">
        <f>VLOOKUP(B2586,'LƯƠNG KT'!$D$15:$U$94,8,0)*$L$11</f>
        <v>#N/A</v>
      </c>
      <c r="D2592" s="1059" t="e">
        <f>VLOOKUP(B2586,'LƯƠNG KT'!$D$15:$U$94,13,0)-D2591</f>
        <v>#N/A</v>
      </c>
      <c r="E2592" s="1063"/>
      <c r="F2592" s="1061"/>
      <c r="G2592" s="1052" t="s">
        <v>374</v>
      </c>
      <c r="H2592" s="869" t="s">
        <v>375</v>
      </c>
      <c r="I2592" s="1058" t="e">
        <f>VLOOKUP(H2586,'LƯƠNG KT'!$D$15:$U$94,8,0)*$L$11</f>
        <v>#N/A</v>
      </c>
      <c r="J2592" s="1059" t="e">
        <f>VLOOKUP(H2586,'LƯƠNG KT'!$D$15:$U$94,13,0)-J2591</f>
        <v>#N/A</v>
      </c>
      <c r="K2592" s="1085"/>
      <c r="L2592" s="1085"/>
      <c r="M2592" s="1085"/>
      <c r="N2592" s="1085"/>
      <c r="O2592" s="1085"/>
    </row>
    <row r="2593" spans="1:15" ht="15" customHeight="1">
      <c r="A2593" s="1059" t="s">
        <v>377</v>
      </c>
      <c r="B2593" s="869" t="s">
        <v>378</v>
      </c>
      <c r="C2593" s="1058"/>
      <c r="D2593" s="1059"/>
      <c r="E2593" s="1065"/>
      <c r="F2593" s="1065"/>
      <c r="G2593" s="1059" t="s">
        <v>377</v>
      </c>
      <c r="H2593" s="869" t="s">
        <v>378</v>
      </c>
      <c r="I2593" s="1058"/>
      <c r="J2593" s="1059"/>
    </row>
    <row r="2594" spans="1:15" ht="15" customHeight="1">
      <c r="A2594" s="1066" t="s">
        <v>379</v>
      </c>
      <c r="B2594" s="869" t="s">
        <v>380</v>
      </c>
      <c r="C2594" s="1058"/>
      <c r="D2594" s="1059"/>
      <c r="E2594" s="1063"/>
      <c r="F2594" s="1065"/>
      <c r="G2594" s="1066" t="s">
        <v>379</v>
      </c>
      <c r="H2594" s="869" t="s">
        <v>380</v>
      </c>
      <c r="I2594" s="1058"/>
      <c r="J2594" s="1059"/>
    </row>
    <row r="2595" spans="1:15" ht="15" customHeight="1">
      <c r="A2595" s="1052" t="s">
        <v>381</v>
      </c>
      <c r="B2595" s="869" t="s">
        <v>382</v>
      </c>
      <c r="C2595" s="1058"/>
      <c r="D2595" s="1059">
        <f>D2594</f>
        <v>0</v>
      </c>
      <c r="E2595" s="1067"/>
      <c r="F2595" s="1051"/>
      <c r="G2595" s="1052" t="s">
        <v>381</v>
      </c>
      <c r="H2595" s="869" t="s">
        <v>382</v>
      </c>
      <c r="I2595" s="1058"/>
      <c r="J2595" s="1059">
        <f>J2594</f>
        <v>0</v>
      </c>
    </row>
    <row r="2596" spans="1:15" ht="15" customHeight="1">
      <c r="A2596" s="1068" t="s">
        <v>383</v>
      </c>
      <c r="B2596" s="1069" t="s">
        <v>384</v>
      </c>
      <c r="C2596" s="1070"/>
      <c r="D2596" s="1071" t="e">
        <f>SUM(D2587:D2592)-D2595</f>
        <v>#N/A</v>
      </c>
      <c r="E2596" s="1072"/>
      <c r="F2596" s="1073"/>
      <c r="G2596" s="1068" t="s">
        <v>383</v>
      </c>
      <c r="H2596" s="1069" t="s">
        <v>384</v>
      </c>
      <c r="I2596" s="1070"/>
      <c r="J2596" s="1071" t="e">
        <f>SUM(J2587:J2592)-J2595</f>
        <v>#N/A</v>
      </c>
    </row>
    <row r="2597" spans="1:15" ht="12.6" customHeight="1">
      <c r="A2597" s="1074"/>
      <c r="B2597" s="1075"/>
      <c r="C2597" s="1076"/>
      <c r="D2597" s="1077"/>
      <c r="E2597" s="1077"/>
      <c r="F2597" s="1078"/>
      <c r="G2597" s="1074"/>
      <c r="H2597" s="1075"/>
      <c r="I2597" s="1076"/>
      <c r="J2597" s="1077"/>
    </row>
    <row r="2598" spans="1:15" ht="12.6" customHeight="1">
      <c r="A2598" s="1075"/>
      <c r="B2598" s="1075"/>
      <c r="C2598" s="1079"/>
      <c r="D2598" s="1080"/>
      <c r="E2598" s="1075"/>
      <c r="F2598" s="1081"/>
      <c r="G2598" s="1075"/>
      <c r="H2598" s="1075"/>
      <c r="I2598" s="1079"/>
      <c r="J2598" s="1080"/>
    </row>
    <row r="2599" spans="1:15" ht="15" customHeight="1">
      <c r="A2599" s="2242" t="str">
        <f>$K$2</f>
        <v>THÁNG 09/2024</v>
      </c>
      <c r="B2599" s="2242"/>
      <c r="C2599" s="2242"/>
      <c r="D2599" s="2242"/>
      <c r="E2599" s="1050"/>
      <c r="F2599" s="1051"/>
      <c r="G2599" s="2242" t="str">
        <f>$K$2</f>
        <v>THÁNG 09/2024</v>
      </c>
      <c r="H2599" s="2242"/>
      <c r="I2599" s="2242"/>
      <c r="J2599" s="2242"/>
      <c r="K2599" s="624"/>
    </row>
    <row r="2600" spans="1:15" ht="15" customHeight="1">
      <c r="A2600" s="1052" t="s">
        <v>356</v>
      </c>
      <c r="B2600" s="1053" t="s">
        <v>240</v>
      </c>
      <c r="C2600" s="869"/>
      <c r="D2600" s="1049"/>
      <c r="E2600" s="1054"/>
      <c r="F2600" s="1055"/>
      <c r="G2600" s="1052" t="s">
        <v>356</v>
      </c>
      <c r="H2600" s="1053" t="s">
        <v>241</v>
      </c>
      <c r="I2600" s="869"/>
      <c r="J2600" s="1049"/>
      <c r="L2600" s="1088"/>
      <c r="M2600" s="1088"/>
      <c r="N2600" s="1088"/>
      <c r="O2600" s="1088"/>
    </row>
    <row r="2601" spans="1:15" ht="15" customHeight="1">
      <c r="A2601" s="1052" t="s">
        <v>359</v>
      </c>
      <c r="B2601" s="1089" t="s">
        <v>360</v>
      </c>
      <c r="C2601" s="1058" t="e">
        <f>VLOOKUP(B2600,'LƯƠNG KT'!$D$15:$U$94,3,0)</f>
        <v>#N/A</v>
      </c>
      <c r="D2601" s="1059" t="e">
        <f>+C2601*25000</f>
        <v>#N/A</v>
      </c>
      <c r="E2601" s="1060"/>
      <c r="F2601" s="1060"/>
      <c r="G2601" s="1052" t="s">
        <v>359</v>
      </c>
      <c r="H2601" s="1089" t="s">
        <v>360</v>
      </c>
      <c r="I2601" s="1058" t="e">
        <f>VLOOKUP(H2600,'LƯƠNG KT'!$D$15:$U$94,3,0)</f>
        <v>#N/A</v>
      </c>
      <c r="J2601" s="1059" t="e">
        <f>+I2601*25000</f>
        <v>#N/A</v>
      </c>
      <c r="K2601" s="1085"/>
      <c r="L2601" s="1085"/>
      <c r="M2601" s="1085"/>
      <c r="N2601" s="1085"/>
      <c r="O2601" s="1085"/>
    </row>
    <row r="2602" spans="1:15" ht="15" customHeight="1">
      <c r="A2602" s="1052" t="s">
        <v>361</v>
      </c>
      <c r="B2602" s="869" t="s">
        <v>362</v>
      </c>
      <c r="C2602" s="1058" t="e">
        <f>VLOOKUP(B2600,'LƯƠNG KT'!$D$15:$U$94,14,0)</f>
        <v>#N/A</v>
      </c>
      <c r="D2602" s="1059" t="e">
        <f>C2602*$L$4</f>
        <v>#N/A</v>
      </c>
      <c r="E2602" s="1061"/>
      <c r="F2602" s="1061"/>
      <c r="G2602" s="1052" t="s">
        <v>361</v>
      </c>
      <c r="H2602" s="869" t="s">
        <v>362</v>
      </c>
      <c r="I2602" s="1058" t="e">
        <f>VLOOKUP(H2600,'LƯƠNG KT'!$D$15:$U$94,14,0)</f>
        <v>#N/A</v>
      </c>
      <c r="J2602" s="1059" t="e">
        <f>I2602*$L$4</f>
        <v>#N/A</v>
      </c>
      <c r="K2602" s="1085"/>
      <c r="L2602" s="1085"/>
      <c r="M2602" s="1085"/>
      <c r="N2602" s="1085"/>
      <c r="O2602" s="1085"/>
    </row>
    <row r="2603" spans="1:15" ht="15" customHeight="1">
      <c r="A2603" s="1052" t="s">
        <v>364</v>
      </c>
      <c r="B2603" s="869" t="s">
        <v>365</v>
      </c>
      <c r="C2603" s="1058" t="e">
        <f>VLOOKUP(B2600,'LƯƠNG KT'!$D$15:$U$94,15,0)</f>
        <v>#N/A</v>
      </c>
      <c r="D2603" s="1059" t="e">
        <f>C2603*$L$5</f>
        <v>#N/A</v>
      </c>
      <c r="E2603" s="1061"/>
      <c r="F2603" s="1061"/>
      <c r="G2603" s="1052" t="s">
        <v>364</v>
      </c>
      <c r="H2603" s="869" t="s">
        <v>365</v>
      </c>
      <c r="I2603" s="1058" t="e">
        <f>VLOOKUP(H2600,'LƯƠNG KT'!$D$15:$U$94,15,0)</f>
        <v>#N/A</v>
      </c>
      <c r="J2603" s="1059" t="e">
        <f>I2603*$L$5</f>
        <v>#N/A</v>
      </c>
      <c r="K2603" s="1085"/>
      <c r="L2603" s="1085"/>
      <c r="M2603" s="1085"/>
      <c r="N2603" s="1085"/>
      <c r="O2603" s="1085"/>
    </row>
    <row r="2604" spans="1:15" ht="15" customHeight="1">
      <c r="A2604" s="1052" t="s">
        <v>367</v>
      </c>
      <c r="B2604" s="869"/>
      <c r="C2604" s="1058" t="e">
        <f>VLOOKUP(B2600,'LƯƠNG KT'!$D$15:$U$94,16,0)</f>
        <v>#N/A</v>
      </c>
      <c r="D2604" s="1059" t="e">
        <f>+C2604*$L$6</f>
        <v>#N/A</v>
      </c>
      <c r="E2604" s="1061"/>
      <c r="F2604" s="1061"/>
      <c r="G2604" s="1052" t="s">
        <v>367</v>
      </c>
      <c r="H2604" s="869"/>
      <c r="I2604" s="1058" t="e">
        <f>VLOOKUP(H2600,'LƯƠNG KT'!$D$15:$U$94,16,0)</f>
        <v>#N/A</v>
      </c>
      <c r="J2604" s="1059" t="e">
        <f>+I2604*$L$6</f>
        <v>#N/A</v>
      </c>
      <c r="K2604" s="1085"/>
      <c r="L2604" s="1085"/>
      <c r="M2604" s="1085"/>
      <c r="N2604" s="1085"/>
      <c r="O2604" s="1085"/>
    </row>
    <row r="2605" spans="1:15" ht="15" customHeight="1">
      <c r="A2605" s="1052" t="s">
        <v>371</v>
      </c>
      <c r="B2605" s="869" t="s">
        <v>372</v>
      </c>
      <c r="C2605" s="1058" t="e">
        <f>VLOOKUP(B2600,'LƯƠNG KT'!$D$15:$U$94,9,0)*$L$10</f>
        <v>#N/A</v>
      </c>
      <c r="D2605" s="1059" t="e">
        <f>+C2605*0.5*3000</f>
        <v>#N/A</v>
      </c>
      <c r="E2605" s="1061"/>
      <c r="F2605" s="1061"/>
      <c r="G2605" s="1052" t="s">
        <v>371</v>
      </c>
      <c r="H2605" s="869" t="s">
        <v>372</v>
      </c>
      <c r="I2605" s="1058" t="e">
        <f>VLOOKUP(H2600,'LƯƠNG KT'!$D$15:$U$94,9,0)*$L$10</f>
        <v>#N/A</v>
      </c>
      <c r="J2605" s="1059" t="e">
        <f>+I2605*0.5*3000</f>
        <v>#N/A</v>
      </c>
      <c r="K2605" s="1085"/>
      <c r="L2605" s="1085"/>
      <c r="M2605" s="1085"/>
      <c r="N2605" s="1085"/>
      <c r="O2605" s="1085"/>
    </row>
    <row r="2606" spans="1:15" ht="15" customHeight="1">
      <c r="A2606" s="1052" t="s">
        <v>374</v>
      </c>
      <c r="B2606" s="869" t="s">
        <v>375</v>
      </c>
      <c r="C2606" s="1058" t="e">
        <f>VLOOKUP(B2600,'LƯƠNG KT'!$D$15:$U$94,8,0)*$L$11</f>
        <v>#N/A</v>
      </c>
      <c r="D2606" s="1059" t="e">
        <f>VLOOKUP(B2600,'LƯƠNG KT'!$D$15:$U$94,13,0)-D2605</f>
        <v>#N/A</v>
      </c>
      <c r="E2606" s="1063"/>
      <c r="F2606" s="1061"/>
      <c r="G2606" s="1052" t="s">
        <v>374</v>
      </c>
      <c r="H2606" s="869" t="s">
        <v>375</v>
      </c>
      <c r="I2606" s="1058" t="e">
        <f>VLOOKUP(H2600,'LƯƠNG KT'!$D$15:$U$94,8,0)*$L$11</f>
        <v>#N/A</v>
      </c>
      <c r="J2606" s="1059" t="e">
        <f>VLOOKUP(H2600,'LƯƠNG KT'!$D$15:$U$94,13,0)-J2605</f>
        <v>#N/A</v>
      </c>
      <c r="K2606" s="1085"/>
      <c r="L2606" s="1085"/>
      <c r="M2606" s="1085"/>
      <c r="N2606" s="1085"/>
      <c r="O2606" s="1085"/>
    </row>
    <row r="2607" spans="1:15" ht="15" customHeight="1">
      <c r="A2607" s="1059" t="s">
        <v>377</v>
      </c>
      <c r="B2607" s="869" t="s">
        <v>378</v>
      </c>
      <c r="C2607" s="1058"/>
      <c r="D2607" s="1059"/>
      <c r="E2607" s="1065"/>
      <c r="F2607" s="1065"/>
      <c r="G2607" s="1059" t="s">
        <v>377</v>
      </c>
      <c r="H2607" s="869" t="s">
        <v>378</v>
      </c>
      <c r="I2607" s="1058"/>
      <c r="J2607" s="1059"/>
    </row>
    <row r="2608" spans="1:15" ht="15" customHeight="1">
      <c r="A2608" s="1066" t="s">
        <v>379</v>
      </c>
      <c r="B2608" s="869" t="s">
        <v>380</v>
      </c>
      <c r="C2608" s="1058"/>
      <c r="D2608" s="1059"/>
      <c r="E2608" s="1063"/>
      <c r="F2608" s="1065"/>
      <c r="G2608" s="1066" t="s">
        <v>379</v>
      </c>
      <c r="H2608" s="869" t="s">
        <v>380</v>
      </c>
      <c r="I2608" s="1058"/>
      <c r="J2608" s="1059"/>
    </row>
    <row r="2609" spans="1:15" ht="15" customHeight="1">
      <c r="A2609" s="1052" t="s">
        <v>381</v>
      </c>
      <c r="B2609" s="869" t="s">
        <v>382</v>
      </c>
      <c r="C2609" s="1058"/>
      <c r="D2609" s="1059">
        <f>D2608</f>
        <v>0</v>
      </c>
      <c r="E2609" s="1067"/>
      <c r="F2609" s="1051"/>
      <c r="G2609" s="1052" t="s">
        <v>381</v>
      </c>
      <c r="H2609" s="869" t="s">
        <v>382</v>
      </c>
      <c r="I2609" s="1058"/>
      <c r="J2609" s="1059">
        <f>J2608</f>
        <v>0</v>
      </c>
    </row>
    <row r="2610" spans="1:15" ht="15" customHeight="1">
      <c r="A2610" s="1068" t="s">
        <v>383</v>
      </c>
      <c r="B2610" s="1069" t="s">
        <v>384</v>
      </c>
      <c r="C2610" s="1070"/>
      <c r="D2610" s="1071" t="e">
        <f>SUM(D2601:D2606)-D2609</f>
        <v>#N/A</v>
      </c>
      <c r="E2610" s="1072"/>
      <c r="F2610" s="1073"/>
      <c r="G2610" s="1068" t="s">
        <v>383</v>
      </c>
      <c r="H2610" s="1069" t="s">
        <v>384</v>
      </c>
      <c r="I2610" s="1070"/>
      <c r="J2610" s="1071" t="e">
        <f>SUM(J2601:J2606)-J2609</f>
        <v>#N/A</v>
      </c>
    </row>
    <row r="2611" spans="1:15" ht="18.75" customHeight="1">
      <c r="A2611" s="1074"/>
      <c r="B2611" s="1075"/>
      <c r="C2611" s="1076"/>
      <c r="D2611" s="1077"/>
      <c r="E2611" s="1077"/>
      <c r="F2611" s="1078"/>
      <c r="G2611" s="1074"/>
      <c r="H2611" s="1075"/>
      <c r="I2611" s="1076"/>
      <c r="J2611" s="1077"/>
    </row>
    <row r="2612" spans="1:15" ht="18.75" customHeight="1">
      <c r="A2612" s="1075"/>
      <c r="B2612" s="1075"/>
      <c r="C2612" s="1079"/>
      <c r="D2612" s="1080"/>
      <c r="E2612" s="1075"/>
      <c r="F2612" s="1081"/>
      <c r="G2612" s="1075"/>
      <c r="H2612" s="1075"/>
      <c r="I2612" s="1079"/>
      <c r="J2612" s="1080"/>
    </row>
    <row r="2613" spans="1:15" ht="15" customHeight="1">
      <c r="A2613" s="2242" t="str">
        <f>$K$2</f>
        <v>THÁNG 09/2024</v>
      </c>
      <c r="B2613" s="2242"/>
      <c r="C2613" s="2242"/>
      <c r="D2613" s="2242"/>
      <c r="E2613" s="1050"/>
      <c r="F2613" s="1051"/>
      <c r="G2613" s="2242" t="str">
        <f>$K$2</f>
        <v>THÁNG 09/2024</v>
      </c>
      <c r="H2613" s="2242"/>
      <c r="I2613" s="2242"/>
      <c r="J2613" s="2242"/>
      <c r="K2613" s="624"/>
    </row>
    <row r="2614" spans="1:15" ht="15" customHeight="1">
      <c r="A2614" s="1052" t="s">
        <v>356</v>
      </c>
      <c r="B2614" s="1053" t="s">
        <v>242</v>
      </c>
      <c r="C2614" s="869"/>
      <c r="D2614" s="1049"/>
      <c r="E2614" s="1054"/>
      <c r="F2614" s="1055"/>
      <c r="G2614" s="1052" t="s">
        <v>356</v>
      </c>
      <c r="H2614" s="1053" t="s">
        <v>243</v>
      </c>
      <c r="I2614" s="869"/>
      <c r="J2614" s="1049"/>
      <c r="L2614" s="1088"/>
      <c r="M2614" s="1088"/>
      <c r="N2614" s="1088"/>
      <c r="O2614" s="1088"/>
    </row>
    <row r="2615" spans="1:15" ht="15" customHeight="1">
      <c r="A2615" s="1052" t="s">
        <v>359</v>
      </c>
      <c r="B2615" s="1089" t="s">
        <v>360</v>
      </c>
      <c r="C2615" s="1058" t="e">
        <f>VLOOKUP(B2614,'LƯƠNG KT'!$D$15:$U$94,3,0)</f>
        <v>#N/A</v>
      </c>
      <c r="D2615" s="1059" t="e">
        <f>+C2615*25000</f>
        <v>#N/A</v>
      </c>
      <c r="E2615" s="1060"/>
      <c r="F2615" s="1060"/>
      <c r="G2615" s="1052" t="s">
        <v>359</v>
      </c>
      <c r="H2615" s="1089" t="s">
        <v>360</v>
      </c>
      <c r="I2615" s="1058" t="e">
        <f>VLOOKUP(H2614,'LƯƠNG KT'!$D$15:$U$94,3,0)</f>
        <v>#N/A</v>
      </c>
      <c r="J2615" s="1059" t="e">
        <f>+I2615*25000</f>
        <v>#N/A</v>
      </c>
      <c r="K2615" s="1085"/>
      <c r="L2615" s="1085"/>
      <c r="M2615" s="1085"/>
      <c r="N2615" s="1085"/>
      <c r="O2615" s="1085"/>
    </row>
    <row r="2616" spans="1:15" ht="15" customHeight="1">
      <c r="A2616" s="1052" t="s">
        <v>361</v>
      </c>
      <c r="B2616" s="869" t="s">
        <v>362</v>
      </c>
      <c r="C2616" s="1058" t="e">
        <f>VLOOKUP(B2614,'LƯƠNG KT'!$D$15:$U$94,14,0)</f>
        <v>#N/A</v>
      </c>
      <c r="D2616" s="1059" t="e">
        <f>C2616*$L$4</f>
        <v>#N/A</v>
      </c>
      <c r="E2616" s="1061"/>
      <c r="F2616" s="1061"/>
      <c r="G2616" s="1052" t="s">
        <v>361</v>
      </c>
      <c r="H2616" s="869" t="s">
        <v>362</v>
      </c>
      <c r="I2616" s="1058" t="e">
        <f>VLOOKUP(H2614,'LƯƠNG KT'!$D$15:$U$94,14,0)</f>
        <v>#N/A</v>
      </c>
      <c r="J2616" s="1059" t="e">
        <f>I2616*$L$4</f>
        <v>#N/A</v>
      </c>
      <c r="K2616" s="1085"/>
      <c r="L2616" s="1085"/>
      <c r="M2616" s="1085"/>
      <c r="N2616" s="1085"/>
      <c r="O2616" s="1085"/>
    </row>
    <row r="2617" spans="1:15" ht="15" customHeight="1">
      <c r="A2617" s="1052" t="s">
        <v>364</v>
      </c>
      <c r="B2617" s="869" t="s">
        <v>365</v>
      </c>
      <c r="C2617" s="1058" t="e">
        <f>VLOOKUP(B2614,'LƯƠNG KT'!$D$15:$U$94,15,0)</f>
        <v>#N/A</v>
      </c>
      <c r="D2617" s="1059" t="e">
        <f>C2617*$L$5</f>
        <v>#N/A</v>
      </c>
      <c r="E2617" s="1061"/>
      <c r="F2617" s="1061"/>
      <c r="G2617" s="1052" t="s">
        <v>364</v>
      </c>
      <c r="H2617" s="869" t="s">
        <v>365</v>
      </c>
      <c r="I2617" s="1058" t="e">
        <f>VLOOKUP(H2614,'LƯƠNG KT'!$D$15:$U$94,15,0)</f>
        <v>#N/A</v>
      </c>
      <c r="J2617" s="1059" t="e">
        <f>I2617*$L$5</f>
        <v>#N/A</v>
      </c>
      <c r="K2617" s="1085"/>
      <c r="L2617" s="1085"/>
      <c r="M2617" s="1085"/>
      <c r="N2617" s="1085"/>
      <c r="O2617" s="1085"/>
    </row>
    <row r="2618" spans="1:15" ht="15" customHeight="1">
      <c r="A2618" s="1052" t="s">
        <v>367</v>
      </c>
      <c r="B2618" s="869"/>
      <c r="C2618" s="1058" t="e">
        <f>VLOOKUP(B2614,'LƯƠNG KT'!$D$15:$U$94,16,0)</f>
        <v>#N/A</v>
      </c>
      <c r="D2618" s="1059" t="e">
        <f>+C2618*$L$6</f>
        <v>#N/A</v>
      </c>
      <c r="E2618" s="1061"/>
      <c r="F2618" s="1061"/>
      <c r="G2618" s="1052" t="s">
        <v>367</v>
      </c>
      <c r="H2618" s="869"/>
      <c r="I2618" s="1058" t="e">
        <f>VLOOKUP(H2614,'LƯƠNG KT'!$D$15:$U$94,16,0)</f>
        <v>#N/A</v>
      </c>
      <c r="J2618" s="1059" t="e">
        <f>+I2618*$L$6</f>
        <v>#N/A</v>
      </c>
      <c r="K2618" s="1085"/>
      <c r="L2618" s="1085"/>
      <c r="M2618" s="1085"/>
      <c r="N2618" s="1085"/>
      <c r="O2618" s="1085"/>
    </row>
    <row r="2619" spans="1:15" ht="15" customHeight="1">
      <c r="A2619" s="1052" t="s">
        <v>371</v>
      </c>
      <c r="B2619" s="869" t="s">
        <v>372</v>
      </c>
      <c r="C2619" s="1058" t="e">
        <f>VLOOKUP(B2614,'LƯƠNG KT'!$D$15:$U$94,9,0)*$L$10</f>
        <v>#N/A</v>
      </c>
      <c r="D2619" s="1059" t="e">
        <f>+C2619*0.5*3000</f>
        <v>#N/A</v>
      </c>
      <c r="E2619" s="1061"/>
      <c r="F2619" s="1061"/>
      <c r="G2619" s="1052" t="s">
        <v>371</v>
      </c>
      <c r="H2619" s="869" t="s">
        <v>372</v>
      </c>
      <c r="I2619" s="1058" t="e">
        <f>VLOOKUP(H2614,'LƯƠNG KT'!$D$15:$U$94,9,0)*$L$10</f>
        <v>#N/A</v>
      </c>
      <c r="J2619" s="1059" t="e">
        <f>+I2619*0.5*3000</f>
        <v>#N/A</v>
      </c>
      <c r="K2619" s="1085"/>
      <c r="L2619" s="1085"/>
      <c r="M2619" s="1085"/>
      <c r="N2619" s="1085"/>
      <c r="O2619" s="1085"/>
    </row>
    <row r="2620" spans="1:15" ht="15" customHeight="1">
      <c r="A2620" s="1052" t="s">
        <v>374</v>
      </c>
      <c r="B2620" s="869" t="s">
        <v>375</v>
      </c>
      <c r="C2620" s="1058" t="e">
        <f>VLOOKUP(B2614,'LƯƠNG KT'!$D$15:$U$94,8,0)*$L$11</f>
        <v>#N/A</v>
      </c>
      <c r="D2620" s="1059" t="e">
        <f>VLOOKUP(B2614,'LƯƠNG KT'!$D$15:$U$94,13,0)-D2619</f>
        <v>#N/A</v>
      </c>
      <c r="E2620" s="1063"/>
      <c r="F2620" s="1061"/>
      <c r="G2620" s="1052" t="s">
        <v>374</v>
      </c>
      <c r="H2620" s="869" t="s">
        <v>375</v>
      </c>
      <c r="I2620" s="1058" t="e">
        <f>VLOOKUP(H2614,'LƯƠNG KT'!$D$15:$U$94,8,0)*$L$11</f>
        <v>#N/A</v>
      </c>
      <c r="J2620" s="1059" t="e">
        <f>VLOOKUP(H2614,'LƯƠNG KT'!$D$15:$U$94,13,0)-J2619</f>
        <v>#N/A</v>
      </c>
      <c r="K2620" s="1085"/>
      <c r="L2620" s="1085"/>
      <c r="M2620" s="1085"/>
      <c r="N2620" s="1085"/>
      <c r="O2620" s="1085"/>
    </row>
    <row r="2621" spans="1:15" ht="15" customHeight="1">
      <c r="A2621" s="1059" t="s">
        <v>377</v>
      </c>
      <c r="B2621" s="869" t="s">
        <v>378</v>
      </c>
      <c r="C2621" s="1058"/>
      <c r="D2621" s="1059"/>
      <c r="E2621" s="1065"/>
      <c r="F2621" s="1065"/>
      <c r="G2621" s="1059" t="s">
        <v>377</v>
      </c>
      <c r="H2621" s="869" t="s">
        <v>378</v>
      </c>
      <c r="I2621" s="1058"/>
      <c r="J2621" s="1059"/>
    </row>
    <row r="2622" spans="1:15" ht="15" customHeight="1">
      <c r="A2622" s="1066" t="s">
        <v>379</v>
      </c>
      <c r="B2622" s="869" t="s">
        <v>380</v>
      </c>
      <c r="C2622" s="1058"/>
      <c r="D2622" s="1059"/>
      <c r="E2622" s="1063"/>
      <c r="F2622" s="1065"/>
      <c r="G2622" s="1066" t="s">
        <v>379</v>
      </c>
      <c r="H2622" s="869" t="s">
        <v>380</v>
      </c>
      <c r="I2622" s="1058"/>
      <c r="J2622" s="1059"/>
    </row>
    <row r="2623" spans="1:15" ht="15" customHeight="1">
      <c r="A2623" s="1052" t="s">
        <v>381</v>
      </c>
      <c r="B2623" s="869" t="s">
        <v>382</v>
      </c>
      <c r="C2623" s="1058"/>
      <c r="D2623" s="1059">
        <f>D2622</f>
        <v>0</v>
      </c>
      <c r="E2623" s="1067"/>
      <c r="F2623" s="1051"/>
      <c r="G2623" s="1052" t="s">
        <v>381</v>
      </c>
      <c r="H2623" s="869" t="s">
        <v>382</v>
      </c>
      <c r="I2623" s="1058"/>
      <c r="J2623" s="1059">
        <f>J2622</f>
        <v>0</v>
      </c>
    </row>
    <row r="2624" spans="1:15" ht="15" customHeight="1">
      <c r="A2624" s="1068" t="s">
        <v>383</v>
      </c>
      <c r="B2624" s="1069" t="s">
        <v>384</v>
      </c>
      <c r="C2624" s="1070"/>
      <c r="D2624" s="1071" t="e">
        <f>SUM(D2615:D2620)-D2623</f>
        <v>#N/A</v>
      </c>
      <c r="E2624" s="1072"/>
      <c r="F2624" s="1073"/>
      <c r="G2624" s="1068" t="s">
        <v>383</v>
      </c>
      <c r="H2624" s="1069" t="s">
        <v>384</v>
      </c>
      <c r="I2624" s="1070"/>
      <c r="J2624" s="1071" t="e">
        <f>SUM(J2615:J2620)-J2623</f>
        <v>#N/A</v>
      </c>
    </row>
    <row r="2625" spans="1:15" ht="18.75" customHeight="1">
      <c r="A2625" s="1074"/>
      <c r="B2625" s="1075"/>
      <c r="C2625" s="1076"/>
      <c r="D2625" s="1077"/>
      <c r="E2625" s="1077"/>
      <c r="F2625" s="1078"/>
      <c r="G2625" s="1074"/>
      <c r="H2625" s="1075"/>
      <c r="I2625" s="1076"/>
      <c r="J2625" s="1077"/>
    </row>
    <row r="2626" spans="1:15" ht="18.75" customHeight="1">
      <c r="A2626" s="1075"/>
      <c r="B2626" s="1075"/>
      <c r="C2626" s="1079"/>
      <c r="D2626" s="1080"/>
      <c r="E2626" s="1075"/>
      <c r="F2626" s="1081"/>
      <c r="G2626" s="1075"/>
      <c r="H2626" s="1075"/>
      <c r="I2626" s="1079"/>
      <c r="J2626" s="1080"/>
    </row>
    <row r="2627" spans="1:15" ht="15" customHeight="1">
      <c r="A2627" s="2242" t="str">
        <f>$K$2</f>
        <v>THÁNG 09/2024</v>
      </c>
      <c r="B2627" s="2242"/>
      <c r="C2627" s="2242"/>
      <c r="D2627" s="2242"/>
      <c r="E2627" s="1050"/>
      <c r="F2627" s="1051"/>
      <c r="G2627" s="2242" t="str">
        <f>$K$2</f>
        <v>THÁNG 09/2024</v>
      </c>
      <c r="H2627" s="2242"/>
      <c r="I2627" s="2242"/>
      <c r="J2627" s="2242"/>
      <c r="K2627" s="624"/>
    </row>
    <row r="2628" spans="1:15" ht="15" customHeight="1">
      <c r="A2628" s="1052" t="s">
        <v>356</v>
      </c>
      <c r="B2628" s="1053" t="s">
        <v>244</v>
      </c>
      <c r="C2628" s="869"/>
      <c r="D2628" s="1049"/>
      <c r="E2628" s="1054"/>
      <c r="F2628" s="1055"/>
      <c r="G2628" s="1052" t="s">
        <v>356</v>
      </c>
      <c r="H2628" s="1053" t="s">
        <v>245</v>
      </c>
      <c r="I2628" s="869"/>
      <c r="J2628" s="1049"/>
      <c r="L2628" s="1088"/>
      <c r="M2628" s="1088"/>
      <c r="N2628" s="1088"/>
      <c r="O2628" s="1088"/>
    </row>
    <row r="2629" spans="1:15" ht="15" customHeight="1">
      <c r="A2629" s="1052" t="s">
        <v>359</v>
      </c>
      <c r="B2629" s="1089" t="s">
        <v>360</v>
      </c>
      <c r="C2629" s="1058" t="e">
        <f>VLOOKUP(B2628,'LƯƠNG KT'!$D$15:$U$94,3,0)</f>
        <v>#N/A</v>
      </c>
      <c r="D2629" s="1059" t="e">
        <f>+C2629*25000</f>
        <v>#N/A</v>
      </c>
      <c r="E2629" s="1060"/>
      <c r="F2629" s="1060"/>
      <c r="G2629" s="1052" t="s">
        <v>359</v>
      </c>
      <c r="H2629" s="1089" t="s">
        <v>360</v>
      </c>
      <c r="I2629" s="1058" t="e">
        <f>VLOOKUP(H2628,'LƯƠNG KT'!$D$15:$U$94,3,0)</f>
        <v>#N/A</v>
      </c>
      <c r="J2629" s="1059" t="e">
        <f>+I2629*25000</f>
        <v>#N/A</v>
      </c>
      <c r="K2629" s="1085"/>
      <c r="L2629" s="1085"/>
      <c r="M2629" s="1085"/>
      <c r="N2629" s="1085"/>
      <c r="O2629" s="1085"/>
    </row>
    <row r="2630" spans="1:15" ht="15" customHeight="1">
      <c r="A2630" s="1052" t="s">
        <v>361</v>
      </c>
      <c r="B2630" s="869" t="s">
        <v>362</v>
      </c>
      <c r="C2630" s="1058" t="e">
        <f>VLOOKUP(B2628,'LƯƠNG KT'!$D$15:$U$94,14,0)</f>
        <v>#N/A</v>
      </c>
      <c r="D2630" s="1059" t="e">
        <f>C2630*$L$4</f>
        <v>#N/A</v>
      </c>
      <c r="E2630" s="1061"/>
      <c r="F2630" s="1061"/>
      <c r="G2630" s="1052" t="s">
        <v>361</v>
      </c>
      <c r="H2630" s="869" t="s">
        <v>362</v>
      </c>
      <c r="I2630" s="1058" t="e">
        <f>VLOOKUP(H2628,'LƯƠNG KT'!$D$15:$U$94,14,0)</f>
        <v>#N/A</v>
      </c>
      <c r="J2630" s="1059" t="e">
        <f>I2630*$L$4</f>
        <v>#N/A</v>
      </c>
      <c r="K2630" s="1085"/>
      <c r="L2630" s="1085"/>
      <c r="M2630" s="1085"/>
      <c r="N2630" s="1085"/>
      <c r="O2630" s="1085"/>
    </row>
    <row r="2631" spans="1:15" ht="15" customHeight="1">
      <c r="A2631" s="1052" t="s">
        <v>364</v>
      </c>
      <c r="B2631" s="869" t="s">
        <v>365</v>
      </c>
      <c r="C2631" s="1058" t="e">
        <f>VLOOKUP(B2628,'LƯƠNG KT'!$D$15:$U$94,15,0)</f>
        <v>#N/A</v>
      </c>
      <c r="D2631" s="1059" t="e">
        <f>C2631*$L$5</f>
        <v>#N/A</v>
      </c>
      <c r="E2631" s="1061"/>
      <c r="F2631" s="1061"/>
      <c r="G2631" s="1052" t="s">
        <v>364</v>
      </c>
      <c r="H2631" s="869" t="s">
        <v>365</v>
      </c>
      <c r="I2631" s="1058" t="e">
        <f>VLOOKUP(H2628,'LƯƠNG KT'!$D$15:$U$94,15,0)</f>
        <v>#N/A</v>
      </c>
      <c r="J2631" s="1059" t="e">
        <f>I2631*$L$5</f>
        <v>#N/A</v>
      </c>
      <c r="K2631" s="1085"/>
      <c r="L2631" s="1085"/>
      <c r="M2631" s="1085"/>
      <c r="N2631" s="1085"/>
      <c r="O2631" s="1085"/>
    </row>
    <row r="2632" spans="1:15" ht="15" customHeight="1">
      <c r="A2632" s="1052" t="s">
        <v>367</v>
      </c>
      <c r="B2632" s="869"/>
      <c r="C2632" s="1058" t="e">
        <f>VLOOKUP(B2628,'LƯƠNG KT'!$D$15:$U$94,16,0)</f>
        <v>#N/A</v>
      </c>
      <c r="D2632" s="1059" t="e">
        <f>+C2632*$L$6</f>
        <v>#N/A</v>
      </c>
      <c r="E2632" s="1061"/>
      <c r="F2632" s="1061"/>
      <c r="G2632" s="1052" t="s">
        <v>367</v>
      </c>
      <c r="H2632" s="869"/>
      <c r="I2632" s="1058" t="e">
        <f>VLOOKUP(H2628,'LƯƠNG KT'!$D$15:$U$94,16,0)</f>
        <v>#N/A</v>
      </c>
      <c r="J2632" s="1059" t="e">
        <f>+I2632*$L$6</f>
        <v>#N/A</v>
      </c>
      <c r="K2632" s="1085"/>
      <c r="L2632" s="1085"/>
      <c r="M2632" s="1085"/>
      <c r="N2632" s="1085"/>
      <c r="O2632" s="1085"/>
    </row>
    <row r="2633" spans="1:15" ht="15" customHeight="1">
      <c r="A2633" s="1052" t="s">
        <v>371</v>
      </c>
      <c r="B2633" s="869" t="s">
        <v>372</v>
      </c>
      <c r="C2633" s="1058" t="e">
        <f>VLOOKUP(B2628,'LƯƠNG KT'!$D$15:$U$94,9,0)*$L$10</f>
        <v>#N/A</v>
      </c>
      <c r="D2633" s="1059" t="e">
        <f>+C2633*0.5*3000</f>
        <v>#N/A</v>
      </c>
      <c r="E2633" s="1061"/>
      <c r="F2633" s="1061"/>
      <c r="G2633" s="1052" t="s">
        <v>371</v>
      </c>
      <c r="H2633" s="869" t="s">
        <v>372</v>
      </c>
      <c r="I2633" s="1058" t="e">
        <f>VLOOKUP(H2628,'LƯƠNG KT'!$D$15:$U$94,9,0)*$L$10</f>
        <v>#N/A</v>
      </c>
      <c r="J2633" s="1059" t="e">
        <f>+I2633*0.5*3000</f>
        <v>#N/A</v>
      </c>
      <c r="K2633" s="1085"/>
      <c r="L2633" s="1085"/>
      <c r="M2633" s="1085"/>
      <c r="N2633" s="1085"/>
      <c r="O2633" s="1085"/>
    </row>
    <row r="2634" spans="1:15" ht="15" customHeight="1">
      <c r="A2634" s="1052" t="s">
        <v>374</v>
      </c>
      <c r="B2634" s="869" t="s">
        <v>375</v>
      </c>
      <c r="C2634" s="1058" t="e">
        <f>VLOOKUP(B2628,'LƯƠNG KT'!$D$15:$U$94,8,0)*$L$11</f>
        <v>#N/A</v>
      </c>
      <c r="D2634" s="1059" t="e">
        <f>VLOOKUP(B2628,'LƯƠNG KT'!$D$15:$U$94,13,0)-D2633</f>
        <v>#N/A</v>
      </c>
      <c r="E2634" s="1063"/>
      <c r="F2634" s="1061"/>
      <c r="G2634" s="1052" t="s">
        <v>374</v>
      </c>
      <c r="H2634" s="869" t="s">
        <v>375</v>
      </c>
      <c r="I2634" s="1058" t="e">
        <f>VLOOKUP(H2628,'LƯƠNG KT'!$D$15:$U$94,8,0)*$L$11</f>
        <v>#N/A</v>
      </c>
      <c r="J2634" s="1059" t="e">
        <f>VLOOKUP(H2628,'LƯƠNG KT'!$D$15:$U$94,13,0)-J2633</f>
        <v>#N/A</v>
      </c>
      <c r="K2634" s="1085"/>
      <c r="L2634" s="1085"/>
      <c r="M2634" s="1085"/>
      <c r="N2634" s="1085"/>
      <c r="O2634" s="1085"/>
    </row>
    <row r="2635" spans="1:15" ht="15" customHeight="1">
      <c r="A2635" s="1059" t="s">
        <v>377</v>
      </c>
      <c r="B2635" s="869" t="s">
        <v>378</v>
      </c>
      <c r="C2635" s="1058"/>
      <c r="D2635" s="1059"/>
      <c r="E2635" s="1065"/>
      <c r="F2635" s="1065"/>
      <c r="G2635" s="1059" t="s">
        <v>377</v>
      </c>
      <c r="H2635" s="869" t="s">
        <v>378</v>
      </c>
      <c r="I2635" s="1058"/>
      <c r="J2635" s="1059"/>
    </row>
    <row r="2636" spans="1:15" ht="15" customHeight="1">
      <c r="A2636" s="1066" t="s">
        <v>379</v>
      </c>
      <c r="B2636" s="869" t="s">
        <v>380</v>
      </c>
      <c r="C2636" s="1058"/>
      <c r="D2636" s="1059"/>
      <c r="E2636" s="1063"/>
      <c r="F2636" s="1065"/>
      <c r="G2636" s="1066" t="s">
        <v>379</v>
      </c>
      <c r="H2636" s="869" t="s">
        <v>380</v>
      </c>
      <c r="I2636" s="1058"/>
      <c r="J2636" s="1059"/>
    </row>
    <row r="2637" spans="1:15" ht="15" customHeight="1">
      <c r="A2637" s="1052" t="s">
        <v>381</v>
      </c>
      <c r="B2637" s="869" t="s">
        <v>382</v>
      </c>
      <c r="C2637" s="1058"/>
      <c r="D2637" s="1059">
        <f>D2636</f>
        <v>0</v>
      </c>
      <c r="E2637" s="1067"/>
      <c r="F2637" s="1051"/>
      <c r="G2637" s="1052" t="s">
        <v>381</v>
      </c>
      <c r="H2637" s="869" t="s">
        <v>382</v>
      </c>
      <c r="I2637" s="1058"/>
      <c r="J2637" s="1059">
        <f>J2636</f>
        <v>0</v>
      </c>
    </row>
    <row r="2638" spans="1:15" ht="15" customHeight="1">
      <c r="A2638" s="1068" t="s">
        <v>383</v>
      </c>
      <c r="B2638" s="1069" t="s">
        <v>384</v>
      </c>
      <c r="C2638" s="1070"/>
      <c r="D2638" s="1071" t="e">
        <f>SUM(D2629:D2634)-D2637</f>
        <v>#N/A</v>
      </c>
      <c r="E2638" s="1072"/>
      <c r="F2638" s="1073"/>
      <c r="G2638" s="1068" t="s">
        <v>383</v>
      </c>
      <c r="H2638" s="1069" t="s">
        <v>384</v>
      </c>
      <c r="I2638" s="1070"/>
      <c r="J2638" s="1071" t="e">
        <f>SUM(J2629:J2634)-J2637</f>
        <v>#N/A</v>
      </c>
    </row>
    <row r="2639" spans="1:15" ht="15.75" customHeight="1">
      <c r="A2639" s="1074"/>
      <c r="B2639" s="1075"/>
      <c r="C2639" s="1076"/>
      <c r="D2639" s="1077"/>
      <c r="E2639" s="1077"/>
      <c r="F2639" s="1078"/>
      <c r="G2639" s="1074"/>
      <c r="H2639" s="1075"/>
      <c r="I2639" s="1076"/>
      <c r="J2639" s="1077"/>
    </row>
    <row r="2641" spans="1:15" ht="12" customHeight="1">
      <c r="A2641" s="2243"/>
      <c r="B2641" s="2243"/>
      <c r="C2641" s="2243"/>
      <c r="D2641" s="2243"/>
      <c r="E2641" s="2243"/>
      <c r="F2641" s="2243"/>
      <c r="G2641" s="2243"/>
      <c r="H2641" s="2243"/>
      <c r="I2641" s="2243"/>
      <c r="J2641" s="2243"/>
    </row>
    <row r="2642" spans="1:15" ht="15" customHeight="1">
      <c r="A2642" s="2242" t="str">
        <f>$K$2</f>
        <v>THÁNG 09/2024</v>
      </c>
      <c r="B2642" s="2242"/>
      <c r="C2642" s="2242"/>
      <c r="D2642" s="2242"/>
      <c r="E2642" s="1050"/>
      <c r="F2642" s="1051"/>
      <c r="G2642" s="2242" t="str">
        <f>$K$2</f>
        <v>THÁNG 09/2024</v>
      </c>
      <c r="H2642" s="2242"/>
      <c r="I2642" s="2242"/>
      <c r="J2642" s="2242"/>
      <c r="K2642" s="624"/>
    </row>
    <row r="2643" spans="1:15" ht="15" customHeight="1">
      <c r="A2643" s="1052" t="s">
        <v>356</v>
      </c>
      <c r="B2643" s="1053" t="s">
        <v>246</v>
      </c>
      <c r="C2643" s="869"/>
      <c r="D2643" s="1049"/>
      <c r="E2643" s="1054"/>
      <c r="F2643" s="1055"/>
      <c r="G2643" s="1052" t="s">
        <v>356</v>
      </c>
      <c r="H2643" s="1053" t="s">
        <v>247</v>
      </c>
      <c r="I2643" s="869"/>
      <c r="J2643" s="1049"/>
      <c r="L2643" s="1088"/>
      <c r="M2643" s="1088"/>
      <c r="N2643" s="1088"/>
      <c r="O2643" s="1088"/>
    </row>
    <row r="2644" spans="1:15" ht="15" customHeight="1">
      <c r="A2644" s="1052" t="s">
        <v>359</v>
      </c>
      <c r="B2644" s="1089" t="s">
        <v>360</v>
      </c>
      <c r="C2644" s="1058" t="e">
        <f>VLOOKUP(B2643,'LƯƠNG KT'!$D$15:$U$94,3,0)</f>
        <v>#N/A</v>
      </c>
      <c r="D2644" s="1059" t="e">
        <f>+C2644*25000</f>
        <v>#N/A</v>
      </c>
      <c r="E2644" s="1060"/>
      <c r="F2644" s="1060"/>
      <c r="G2644" s="1052" t="s">
        <v>359</v>
      </c>
      <c r="H2644" s="1089" t="s">
        <v>360</v>
      </c>
      <c r="I2644" s="1058" t="e">
        <f>VLOOKUP(H2643,'LƯƠNG KT'!$D$15:$U$94,3,0)</f>
        <v>#N/A</v>
      </c>
      <c r="J2644" s="1059" t="e">
        <f>+I2644*25000</f>
        <v>#N/A</v>
      </c>
      <c r="K2644" s="1084"/>
      <c r="L2644" s="1085"/>
      <c r="M2644" s="1085"/>
      <c r="N2644" s="1085"/>
      <c r="O2644" s="1085"/>
    </row>
    <row r="2645" spans="1:15" ht="15" customHeight="1">
      <c r="A2645" s="1052" t="s">
        <v>361</v>
      </c>
      <c r="B2645" s="869" t="s">
        <v>362</v>
      </c>
      <c r="C2645" s="1058" t="e">
        <f>VLOOKUP(B2643,'LƯƠNG KT'!$D$15:$U$94,14,0)</f>
        <v>#N/A</v>
      </c>
      <c r="D2645" s="1059" t="e">
        <f>C2645*$L$4</f>
        <v>#N/A</v>
      </c>
      <c r="E2645" s="1061"/>
      <c r="F2645" s="1061"/>
      <c r="G2645" s="1052" t="s">
        <v>361</v>
      </c>
      <c r="H2645" s="869" t="s">
        <v>362</v>
      </c>
      <c r="I2645" s="1058" t="e">
        <f>VLOOKUP(H2643,'LƯƠNG KT'!$D$15:$U$94,14,0)</f>
        <v>#N/A</v>
      </c>
      <c r="J2645" s="1059" t="e">
        <f>I2645*$L$4</f>
        <v>#N/A</v>
      </c>
      <c r="K2645" s="1084"/>
      <c r="L2645" s="1085"/>
      <c r="M2645" s="1085"/>
      <c r="N2645" s="1085"/>
      <c r="O2645" s="1085"/>
    </row>
    <row r="2646" spans="1:15" ht="15" customHeight="1">
      <c r="A2646" s="1052" t="s">
        <v>364</v>
      </c>
      <c r="B2646" s="869" t="s">
        <v>365</v>
      </c>
      <c r="C2646" s="1058" t="e">
        <f>VLOOKUP(B2643,'LƯƠNG KT'!$D$15:$U$94,15,0)</f>
        <v>#N/A</v>
      </c>
      <c r="D2646" s="1059" t="e">
        <f>C2646*$L$5</f>
        <v>#N/A</v>
      </c>
      <c r="E2646" s="1061"/>
      <c r="F2646" s="1061"/>
      <c r="G2646" s="1052" t="s">
        <v>364</v>
      </c>
      <c r="H2646" s="869" t="s">
        <v>365</v>
      </c>
      <c r="I2646" s="1058" t="e">
        <f>VLOOKUP(H2643,'LƯƠNG KT'!$D$15:$U$94,15,0)</f>
        <v>#N/A</v>
      </c>
      <c r="J2646" s="1059" t="e">
        <f>I2646*$L$5</f>
        <v>#N/A</v>
      </c>
      <c r="K2646" s="1084"/>
      <c r="L2646" s="1085"/>
      <c r="M2646" s="1085"/>
      <c r="N2646" s="1085"/>
      <c r="O2646" s="1085"/>
    </row>
    <row r="2647" spans="1:15" ht="15" customHeight="1">
      <c r="A2647" s="1052" t="s">
        <v>367</v>
      </c>
      <c r="B2647" s="869"/>
      <c r="C2647" s="1058" t="e">
        <f>VLOOKUP(B2643,'LƯƠNG KT'!$D$15:$U$94,16,0)</f>
        <v>#N/A</v>
      </c>
      <c r="D2647" s="1059" t="e">
        <f>+C2647*$L$6</f>
        <v>#N/A</v>
      </c>
      <c r="E2647" s="1061"/>
      <c r="F2647" s="1061"/>
      <c r="G2647" s="1052" t="s">
        <v>367</v>
      </c>
      <c r="H2647" s="869"/>
      <c r="I2647" s="1058" t="e">
        <f>VLOOKUP(H2643,'LƯƠNG KT'!$D$15:$U$94,16,0)</f>
        <v>#N/A</v>
      </c>
      <c r="J2647" s="1059" t="e">
        <f>+I2647*$L$6</f>
        <v>#N/A</v>
      </c>
      <c r="K2647" s="1085"/>
      <c r="L2647" s="1085"/>
      <c r="M2647" s="1085"/>
      <c r="N2647" s="1085"/>
      <c r="O2647" s="1085"/>
    </row>
    <row r="2648" spans="1:15" ht="15" customHeight="1">
      <c r="A2648" s="1052" t="s">
        <v>371</v>
      </c>
      <c r="B2648" s="869" t="s">
        <v>372</v>
      </c>
      <c r="C2648" s="1058" t="e">
        <f>VLOOKUP(B2643,'LƯƠNG KT'!$D$15:$U$94,9,0)*$L$10</f>
        <v>#N/A</v>
      </c>
      <c r="D2648" s="1059" t="e">
        <f>+C2648*0.5*3000</f>
        <v>#N/A</v>
      </c>
      <c r="E2648" s="1061"/>
      <c r="F2648" s="1061"/>
      <c r="G2648" s="1052" t="s">
        <v>371</v>
      </c>
      <c r="H2648" s="869" t="s">
        <v>372</v>
      </c>
      <c r="I2648" s="1058" t="e">
        <f>VLOOKUP(H2643,'LƯƠNG KT'!$D$15:$U$94,9,0)*$L$10</f>
        <v>#N/A</v>
      </c>
      <c r="J2648" s="1059" t="e">
        <f>+I2648*0.5*3000</f>
        <v>#N/A</v>
      </c>
      <c r="K2648" s="1085"/>
      <c r="L2648" s="1085"/>
      <c r="M2648" s="1085"/>
      <c r="N2648" s="1085"/>
      <c r="O2648" s="1085"/>
    </row>
    <row r="2649" spans="1:15" ht="15" customHeight="1">
      <c r="A2649" s="1052" t="s">
        <v>374</v>
      </c>
      <c r="B2649" s="869" t="s">
        <v>375</v>
      </c>
      <c r="C2649" s="1058" t="e">
        <f>VLOOKUP(B2643,'LƯƠNG KT'!$D$15:$U$94,8,0)*$L$11</f>
        <v>#N/A</v>
      </c>
      <c r="D2649" s="1059" t="e">
        <f>VLOOKUP(B2643,'LƯƠNG KT'!$D$15:$U$94,13,0)-D2648</f>
        <v>#N/A</v>
      </c>
      <c r="E2649" s="1063"/>
      <c r="F2649" s="1061"/>
      <c r="G2649" s="1052" t="s">
        <v>374</v>
      </c>
      <c r="H2649" s="869" t="s">
        <v>375</v>
      </c>
      <c r="I2649" s="1058" t="e">
        <f>VLOOKUP(H2643,'LƯƠNG KT'!$D$15:$U$94,8,0)*$L$11</f>
        <v>#N/A</v>
      </c>
      <c r="J2649" s="1059" t="e">
        <f>VLOOKUP(H2643,'LƯƠNG KT'!$D$15:$U$94,13,0)-J2648</f>
        <v>#N/A</v>
      </c>
      <c r="K2649" s="1085"/>
      <c r="L2649" s="1085"/>
      <c r="M2649" s="1085"/>
      <c r="N2649" s="1085"/>
      <c r="O2649" s="1085"/>
    </row>
    <row r="2650" spans="1:15" ht="15" customHeight="1">
      <c r="A2650" s="1059" t="s">
        <v>377</v>
      </c>
      <c r="B2650" s="869" t="s">
        <v>378</v>
      </c>
      <c r="C2650" s="1058"/>
      <c r="D2650" s="1059"/>
      <c r="E2650" s="1065"/>
      <c r="F2650" s="1065"/>
      <c r="G2650" s="1059" t="s">
        <v>377</v>
      </c>
      <c r="H2650" s="869" t="s">
        <v>378</v>
      </c>
      <c r="I2650" s="1058"/>
      <c r="J2650" s="1059"/>
    </row>
    <row r="2651" spans="1:15" ht="15" customHeight="1">
      <c r="A2651" s="1066" t="s">
        <v>379</v>
      </c>
      <c r="B2651" s="869" t="s">
        <v>380</v>
      </c>
      <c r="C2651" s="1058"/>
      <c r="D2651" s="1059"/>
      <c r="E2651" s="1063"/>
      <c r="F2651" s="1065"/>
      <c r="G2651" s="1066" t="s">
        <v>379</v>
      </c>
      <c r="H2651" s="869" t="s">
        <v>380</v>
      </c>
      <c r="I2651" s="1058"/>
      <c r="J2651" s="1059"/>
    </row>
    <row r="2652" spans="1:15" ht="15" customHeight="1">
      <c r="A2652" s="1052" t="s">
        <v>381</v>
      </c>
      <c r="B2652" s="869" t="s">
        <v>382</v>
      </c>
      <c r="C2652" s="1058"/>
      <c r="D2652" s="1059">
        <f>D2651</f>
        <v>0</v>
      </c>
      <c r="E2652" s="1067"/>
      <c r="F2652" s="1051"/>
      <c r="G2652" s="1052" t="s">
        <v>381</v>
      </c>
      <c r="H2652" s="869" t="s">
        <v>382</v>
      </c>
      <c r="I2652" s="1058"/>
      <c r="J2652" s="1059">
        <f>J2651</f>
        <v>0</v>
      </c>
    </row>
    <row r="2653" spans="1:15" ht="15" customHeight="1">
      <c r="A2653" s="1068" t="s">
        <v>383</v>
      </c>
      <c r="B2653" s="1069" t="s">
        <v>384</v>
      </c>
      <c r="C2653" s="1070"/>
      <c r="D2653" s="1071" t="e">
        <f>SUM(D2644:D2649)-D2652</f>
        <v>#N/A</v>
      </c>
      <c r="E2653" s="1072"/>
      <c r="F2653" s="1073"/>
      <c r="G2653" s="1068" t="s">
        <v>383</v>
      </c>
      <c r="H2653" s="1069" t="s">
        <v>384</v>
      </c>
      <c r="I2653" s="1070"/>
      <c r="J2653" s="1071" t="e">
        <f>SUM(J2644:J2649)-J2652</f>
        <v>#N/A</v>
      </c>
    </row>
    <row r="2654" spans="1:15" ht="12.6" customHeight="1">
      <c r="A2654" s="1074"/>
      <c r="B2654" s="1075"/>
      <c r="C2654" s="1076"/>
      <c r="D2654" s="1077"/>
      <c r="E2654" s="1077"/>
      <c r="F2654" s="1078"/>
      <c r="G2654" s="1074"/>
      <c r="H2654" s="1075"/>
      <c r="I2654" s="1076"/>
      <c r="J2654" s="1077"/>
    </row>
    <row r="2655" spans="1:15" ht="12.6" customHeight="1">
      <c r="A2655" s="1075"/>
      <c r="B2655" s="1075"/>
      <c r="C2655" s="1079"/>
      <c r="D2655" s="1080"/>
      <c r="E2655" s="1075"/>
      <c r="F2655" s="1081"/>
      <c r="G2655" s="1075"/>
      <c r="H2655" s="1075"/>
      <c r="I2655" s="1079"/>
      <c r="J2655" s="1080"/>
    </row>
    <row r="2656" spans="1:15" ht="15" customHeight="1">
      <c r="A2656" s="2242" t="str">
        <f>$K$2</f>
        <v>THÁNG 09/2024</v>
      </c>
      <c r="B2656" s="2242"/>
      <c r="C2656" s="2242"/>
      <c r="D2656" s="2242"/>
      <c r="E2656" s="1050"/>
      <c r="F2656" s="1051"/>
      <c r="G2656" s="2242" t="str">
        <f>$K$2</f>
        <v>THÁNG 09/2024</v>
      </c>
      <c r="H2656" s="2242"/>
      <c r="I2656" s="2242"/>
      <c r="J2656" s="2242"/>
      <c r="K2656" s="624"/>
    </row>
    <row r="2657" spans="1:15" ht="15" customHeight="1">
      <c r="A2657" s="1052" t="s">
        <v>356</v>
      </c>
      <c r="B2657" s="1053" t="s">
        <v>248</v>
      </c>
      <c r="C2657" s="869"/>
      <c r="D2657" s="1049"/>
      <c r="E2657" s="1054"/>
      <c r="F2657" s="1055"/>
      <c r="G2657" s="1052" t="s">
        <v>356</v>
      </c>
      <c r="H2657" s="1053" t="s">
        <v>249</v>
      </c>
      <c r="I2657" s="869"/>
      <c r="J2657" s="1049"/>
      <c r="L2657" s="1088"/>
      <c r="M2657" s="1088"/>
      <c r="N2657" s="1088"/>
      <c r="O2657" s="1088"/>
    </row>
    <row r="2658" spans="1:15" ht="15" customHeight="1">
      <c r="A2658" s="1052" t="s">
        <v>359</v>
      </c>
      <c r="B2658" s="1089" t="s">
        <v>360</v>
      </c>
      <c r="C2658" s="1058" t="e">
        <f>VLOOKUP(B2657,'LƯƠNG KT'!$D$15:$U$94,3,0)</f>
        <v>#N/A</v>
      </c>
      <c r="D2658" s="1059" t="e">
        <f>+C2658*25000</f>
        <v>#N/A</v>
      </c>
      <c r="E2658" s="1060"/>
      <c r="F2658" s="1060"/>
      <c r="G2658" s="1052" t="s">
        <v>359</v>
      </c>
      <c r="H2658" s="1089" t="s">
        <v>360</v>
      </c>
      <c r="I2658" s="1058" t="e">
        <f>VLOOKUP(H2657,'LƯƠNG KT'!$D$15:$U$94,3,0)</f>
        <v>#N/A</v>
      </c>
      <c r="J2658" s="1059" t="e">
        <f>+I2658*25000</f>
        <v>#N/A</v>
      </c>
      <c r="K2658" s="1085"/>
      <c r="L2658" s="1085"/>
      <c r="M2658" s="1085"/>
      <c r="N2658" s="1085"/>
      <c r="O2658" s="1085"/>
    </row>
    <row r="2659" spans="1:15" ht="15" customHeight="1">
      <c r="A2659" s="1052" t="s">
        <v>361</v>
      </c>
      <c r="B2659" s="869" t="s">
        <v>362</v>
      </c>
      <c r="C2659" s="1058" t="e">
        <f>VLOOKUP(B2657,'LƯƠNG KT'!$D$15:$U$94,14,0)</f>
        <v>#N/A</v>
      </c>
      <c r="D2659" s="1059" t="e">
        <f>C2659*$L$4</f>
        <v>#N/A</v>
      </c>
      <c r="E2659" s="1061"/>
      <c r="F2659" s="1061"/>
      <c r="G2659" s="1052" t="s">
        <v>361</v>
      </c>
      <c r="H2659" s="869" t="s">
        <v>362</v>
      </c>
      <c r="I2659" s="1058" t="e">
        <f>VLOOKUP(H2657,'LƯƠNG KT'!$D$15:$U$94,14,0)</f>
        <v>#N/A</v>
      </c>
      <c r="J2659" s="1059" t="e">
        <f>I2659*$L$4</f>
        <v>#N/A</v>
      </c>
      <c r="K2659" s="1085"/>
      <c r="L2659" s="1085"/>
      <c r="M2659" s="1085"/>
      <c r="N2659" s="1085"/>
      <c r="O2659" s="1085"/>
    </row>
    <row r="2660" spans="1:15" ht="15" customHeight="1">
      <c r="A2660" s="1052" t="s">
        <v>364</v>
      </c>
      <c r="B2660" s="869" t="s">
        <v>365</v>
      </c>
      <c r="C2660" s="1058" t="e">
        <f>VLOOKUP(B2657,'LƯƠNG KT'!$D$15:$U$94,15,0)</f>
        <v>#N/A</v>
      </c>
      <c r="D2660" s="1059" t="e">
        <f>C2660*$L$5</f>
        <v>#N/A</v>
      </c>
      <c r="E2660" s="1061"/>
      <c r="F2660" s="1061"/>
      <c r="G2660" s="1052" t="s">
        <v>364</v>
      </c>
      <c r="H2660" s="869" t="s">
        <v>365</v>
      </c>
      <c r="I2660" s="1058" t="e">
        <f>VLOOKUP(H2657,'LƯƠNG KT'!$D$15:$U$94,15,0)</f>
        <v>#N/A</v>
      </c>
      <c r="J2660" s="1059" t="e">
        <f>I2660*$L$5</f>
        <v>#N/A</v>
      </c>
      <c r="K2660" s="1085"/>
      <c r="L2660" s="1085"/>
      <c r="M2660" s="1085"/>
      <c r="N2660" s="1085"/>
      <c r="O2660" s="1085"/>
    </row>
    <row r="2661" spans="1:15" ht="15" customHeight="1">
      <c r="A2661" s="1052" t="s">
        <v>367</v>
      </c>
      <c r="B2661" s="869"/>
      <c r="C2661" s="1058" t="e">
        <f>VLOOKUP(B2657,'LƯƠNG KT'!$D$15:$U$94,16,0)</f>
        <v>#N/A</v>
      </c>
      <c r="D2661" s="1059" t="e">
        <f>+C2661*$L$6</f>
        <v>#N/A</v>
      </c>
      <c r="E2661" s="1061"/>
      <c r="F2661" s="1061"/>
      <c r="G2661" s="1052" t="s">
        <v>367</v>
      </c>
      <c r="H2661" s="869"/>
      <c r="I2661" s="1058" t="e">
        <f>VLOOKUP(H2657,'LƯƠNG KT'!$D$15:$U$94,16,0)</f>
        <v>#N/A</v>
      </c>
      <c r="J2661" s="1059" t="e">
        <f>+I2661*$L$6</f>
        <v>#N/A</v>
      </c>
      <c r="K2661" s="1085"/>
      <c r="L2661" s="1085"/>
      <c r="M2661" s="1085"/>
      <c r="N2661" s="1085"/>
      <c r="O2661" s="1085"/>
    </row>
    <row r="2662" spans="1:15" ht="15" customHeight="1">
      <c r="A2662" s="1052" t="s">
        <v>371</v>
      </c>
      <c r="B2662" s="869" t="s">
        <v>372</v>
      </c>
      <c r="C2662" s="1058" t="e">
        <f>VLOOKUP(B2657,'LƯƠNG KT'!$D$15:$U$94,9,0)*$L$10</f>
        <v>#N/A</v>
      </c>
      <c r="D2662" s="1059" t="e">
        <f>+C2662*0.5*3000</f>
        <v>#N/A</v>
      </c>
      <c r="E2662" s="1061"/>
      <c r="F2662" s="1061"/>
      <c r="G2662" s="1052" t="s">
        <v>371</v>
      </c>
      <c r="H2662" s="869" t="s">
        <v>372</v>
      </c>
      <c r="I2662" s="1058" t="e">
        <f>VLOOKUP(H2657,'LƯƠNG KT'!$D$15:$U$94,9,0)*$L$10</f>
        <v>#N/A</v>
      </c>
      <c r="J2662" s="1059" t="e">
        <f>+I2662*0.5*3000</f>
        <v>#N/A</v>
      </c>
      <c r="K2662" s="1085"/>
      <c r="L2662" s="1085"/>
      <c r="M2662" s="1085"/>
      <c r="N2662" s="1085"/>
      <c r="O2662" s="1085"/>
    </row>
    <row r="2663" spans="1:15" ht="15" customHeight="1">
      <c r="A2663" s="1052" t="s">
        <v>374</v>
      </c>
      <c r="B2663" s="869" t="s">
        <v>375</v>
      </c>
      <c r="C2663" s="1058" t="e">
        <f>VLOOKUP(B2657,'LƯƠNG KT'!$D$15:$U$94,8,0)*$L$11</f>
        <v>#N/A</v>
      </c>
      <c r="D2663" s="1059" t="e">
        <f>VLOOKUP(B2657,'LƯƠNG KT'!$D$15:$U$94,13,0)-D2662</f>
        <v>#N/A</v>
      </c>
      <c r="E2663" s="1063"/>
      <c r="F2663" s="1061"/>
      <c r="G2663" s="1052" t="s">
        <v>374</v>
      </c>
      <c r="H2663" s="869" t="s">
        <v>375</v>
      </c>
      <c r="I2663" s="1058" t="e">
        <f>VLOOKUP(H2657,'LƯƠNG KT'!$D$15:$U$94,8,0)*$L$11</f>
        <v>#N/A</v>
      </c>
      <c r="J2663" s="1059" t="e">
        <f>VLOOKUP(H2657,'LƯƠNG KT'!$D$15:$U$94,13,0)-J2662</f>
        <v>#N/A</v>
      </c>
      <c r="K2663" s="1085"/>
      <c r="L2663" s="1085"/>
      <c r="M2663" s="1085"/>
      <c r="N2663" s="1085"/>
      <c r="O2663" s="1085"/>
    </row>
    <row r="2664" spans="1:15" ht="15" customHeight="1">
      <c r="A2664" s="1059" t="s">
        <v>377</v>
      </c>
      <c r="B2664" s="869" t="s">
        <v>378</v>
      </c>
      <c r="C2664" s="1058"/>
      <c r="D2664" s="1059"/>
      <c r="E2664" s="1065"/>
      <c r="F2664" s="1065"/>
      <c r="G2664" s="1059" t="s">
        <v>377</v>
      </c>
      <c r="H2664" s="869" t="s">
        <v>378</v>
      </c>
      <c r="I2664" s="1058"/>
      <c r="J2664" s="1059"/>
    </row>
    <row r="2665" spans="1:15" ht="15" customHeight="1">
      <c r="A2665" s="1066" t="s">
        <v>379</v>
      </c>
      <c r="B2665" s="869" t="s">
        <v>380</v>
      </c>
      <c r="C2665" s="1058"/>
      <c r="D2665" s="1059"/>
      <c r="E2665" s="1063"/>
      <c r="F2665" s="1065"/>
      <c r="G2665" s="1066" t="s">
        <v>379</v>
      </c>
      <c r="H2665" s="869" t="s">
        <v>380</v>
      </c>
      <c r="I2665" s="1058"/>
      <c r="J2665" s="1059"/>
    </row>
    <row r="2666" spans="1:15" ht="15" customHeight="1">
      <c r="A2666" s="1052" t="s">
        <v>381</v>
      </c>
      <c r="B2666" s="869" t="s">
        <v>382</v>
      </c>
      <c r="C2666" s="1058"/>
      <c r="D2666" s="1059">
        <f>D2665</f>
        <v>0</v>
      </c>
      <c r="E2666" s="1067"/>
      <c r="F2666" s="1051"/>
      <c r="G2666" s="1052" t="s">
        <v>381</v>
      </c>
      <c r="H2666" s="869" t="s">
        <v>382</v>
      </c>
      <c r="I2666" s="1058"/>
      <c r="J2666" s="1059">
        <f>J2665</f>
        <v>0</v>
      </c>
    </row>
    <row r="2667" spans="1:15" ht="15" customHeight="1">
      <c r="A2667" s="1068" t="s">
        <v>383</v>
      </c>
      <c r="B2667" s="1069" t="s">
        <v>384</v>
      </c>
      <c r="C2667" s="1070"/>
      <c r="D2667" s="1071" t="e">
        <f>SUM(D2658:D2663)-D2666</f>
        <v>#N/A</v>
      </c>
      <c r="E2667" s="1072"/>
      <c r="F2667" s="1073"/>
      <c r="G2667" s="1068" t="s">
        <v>383</v>
      </c>
      <c r="H2667" s="1069" t="s">
        <v>384</v>
      </c>
      <c r="I2667" s="1070"/>
      <c r="J2667" s="1071" t="e">
        <f>SUM(J2658:J2663)-J2666</f>
        <v>#N/A</v>
      </c>
    </row>
    <row r="2668" spans="1:15" ht="18.75" customHeight="1">
      <c r="A2668" s="1074"/>
      <c r="B2668" s="1075"/>
      <c r="C2668" s="1076"/>
      <c r="D2668" s="1077"/>
      <c r="E2668" s="1077"/>
      <c r="F2668" s="1078"/>
      <c r="G2668" s="1074"/>
      <c r="H2668" s="1075"/>
      <c r="I2668" s="1076"/>
      <c r="J2668" s="1077"/>
    </row>
    <row r="2669" spans="1:15" ht="18.75" customHeight="1">
      <c r="A2669" s="1075"/>
      <c r="B2669" s="1075"/>
      <c r="C2669" s="1079"/>
      <c r="D2669" s="1080"/>
      <c r="E2669" s="1075"/>
      <c r="F2669" s="1081"/>
      <c r="G2669" s="1075"/>
      <c r="H2669" s="1075"/>
      <c r="I2669" s="1079"/>
      <c r="J2669" s="1080"/>
    </row>
    <row r="2670" spans="1:15" ht="15" customHeight="1">
      <c r="A2670" s="2242" t="str">
        <f>$K$2</f>
        <v>THÁNG 09/2024</v>
      </c>
      <c r="B2670" s="2242"/>
      <c r="C2670" s="2242"/>
      <c r="D2670" s="2242"/>
      <c r="E2670" s="1050"/>
      <c r="F2670" s="1051"/>
      <c r="G2670" s="2242" t="str">
        <f>$K$2</f>
        <v>THÁNG 09/2024</v>
      </c>
      <c r="H2670" s="2242"/>
      <c r="I2670" s="2242"/>
      <c r="J2670" s="2242"/>
      <c r="K2670" s="624"/>
    </row>
    <row r="2671" spans="1:15" ht="15" customHeight="1">
      <c r="A2671" s="1052" t="s">
        <v>356</v>
      </c>
      <c r="B2671" s="1053" t="s">
        <v>250</v>
      </c>
      <c r="C2671" s="869"/>
      <c r="D2671" s="1049"/>
      <c r="E2671" s="1054"/>
      <c r="F2671" s="1055"/>
      <c r="G2671" s="1052" t="s">
        <v>356</v>
      </c>
      <c r="H2671" s="1053" t="s">
        <v>251</v>
      </c>
      <c r="I2671" s="869"/>
      <c r="J2671" s="1049"/>
      <c r="L2671" s="1088"/>
      <c r="M2671" s="1088"/>
      <c r="N2671" s="1088"/>
      <c r="O2671" s="1088"/>
    </row>
    <row r="2672" spans="1:15" ht="15" customHeight="1">
      <c r="A2672" s="1052" t="s">
        <v>359</v>
      </c>
      <c r="B2672" s="1089" t="s">
        <v>360</v>
      </c>
      <c r="C2672" s="1058" t="e">
        <f>VLOOKUP(B2671,'LƯƠNG KT'!$D$15:$U$94,3,0)</f>
        <v>#N/A</v>
      </c>
      <c r="D2672" s="1059" t="e">
        <f>+C2672*25000</f>
        <v>#N/A</v>
      </c>
      <c r="E2672" s="1060"/>
      <c r="F2672" s="1060"/>
      <c r="G2672" s="1052" t="s">
        <v>359</v>
      </c>
      <c r="H2672" s="1089" t="s">
        <v>360</v>
      </c>
      <c r="I2672" s="1058" t="e">
        <f>VLOOKUP(H2671,'LƯƠNG KT'!$D$15:$U$94,3,0)</f>
        <v>#N/A</v>
      </c>
      <c r="J2672" s="1059" t="e">
        <f>+I2672*25000</f>
        <v>#N/A</v>
      </c>
      <c r="K2672" s="1085"/>
      <c r="L2672" s="1085"/>
      <c r="M2672" s="1085"/>
      <c r="N2672" s="1085"/>
      <c r="O2672" s="1085"/>
    </row>
    <row r="2673" spans="1:15" ht="15" customHeight="1">
      <c r="A2673" s="1052" t="s">
        <v>361</v>
      </c>
      <c r="B2673" s="869" t="s">
        <v>362</v>
      </c>
      <c r="C2673" s="1058" t="e">
        <f>VLOOKUP(B2671,'LƯƠNG KT'!$D$15:$U$94,14,0)</f>
        <v>#N/A</v>
      </c>
      <c r="D2673" s="1059" t="e">
        <f>C2673*$L$4</f>
        <v>#N/A</v>
      </c>
      <c r="E2673" s="1061"/>
      <c r="F2673" s="1061"/>
      <c r="G2673" s="1052" t="s">
        <v>361</v>
      </c>
      <c r="H2673" s="869" t="s">
        <v>362</v>
      </c>
      <c r="I2673" s="1058" t="e">
        <f>VLOOKUP(H2671,'LƯƠNG KT'!$D$15:$U$94,14,0)</f>
        <v>#N/A</v>
      </c>
      <c r="J2673" s="1059" t="e">
        <f>I2673*$L$4</f>
        <v>#N/A</v>
      </c>
      <c r="K2673" s="1085"/>
      <c r="L2673" s="1085"/>
      <c r="M2673" s="1085"/>
      <c r="N2673" s="1085"/>
      <c r="O2673" s="1085"/>
    </row>
    <row r="2674" spans="1:15" ht="15" customHeight="1">
      <c r="A2674" s="1052" t="s">
        <v>364</v>
      </c>
      <c r="B2674" s="869" t="s">
        <v>365</v>
      </c>
      <c r="C2674" s="1058" t="e">
        <f>VLOOKUP(B2671,'LƯƠNG KT'!$D$15:$U$94,15,0)</f>
        <v>#N/A</v>
      </c>
      <c r="D2674" s="1059" t="e">
        <f>C2674*$L$5</f>
        <v>#N/A</v>
      </c>
      <c r="E2674" s="1061"/>
      <c r="F2674" s="1061"/>
      <c r="G2674" s="1052" t="s">
        <v>364</v>
      </c>
      <c r="H2674" s="869" t="s">
        <v>365</v>
      </c>
      <c r="I2674" s="1058" t="e">
        <f>VLOOKUP(H2671,'LƯƠNG KT'!$D$15:$U$94,15,0)</f>
        <v>#N/A</v>
      </c>
      <c r="J2674" s="1059" t="e">
        <f>I2674*$L$5</f>
        <v>#N/A</v>
      </c>
      <c r="K2674" s="1085"/>
      <c r="L2674" s="1085"/>
      <c r="M2674" s="1085"/>
      <c r="N2674" s="1085"/>
      <c r="O2674" s="1085"/>
    </row>
    <row r="2675" spans="1:15" ht="15" customHeight="1">
      <c r="A2675" s="1052" t="s">
        <v>367</v>
      </c>
      <c r="B2675" s="869"/>
      <c r="C2675" s="1058" t="e">
        <f>VLOOKUP(B2671,'LƯƠNG KT'!$D$15:$U$94,16,0)</f>
        <v>#N/A</v>
      </c>
      <c r="D2675" s="1059" t="e">
        <f>+C2675*$L$6</f>
        <v>#N/A</v>
      </c>
      <c r="E2675" s="1061"/>
      <c r="F2675" s="1061"/>
      <c r="G2675" s="1052" t="s">
        <v>367</v>
      </c>
      <c r="H2675" s="869"/>
      <c r="I2675" s="1058" t="e">
        <f>VLOOKUP(H2671,'LƯƠNG KT'!$D$15:$U$94,16,0)</f>
        <v>#N/A</v>
      </c>
      <c r="J2675" s="1059" t="e">
        <f>+I2675*$L$6</f>
        <v>#N/A</v>
      </c>
      <c r="K2675" s="1085"/>
      <c r="L2675" s="1085"/>
      <c r="M2675" s="1085"/>
      <c r="N2675" s="1085"/>
      <c r="O2675" s="1085"/>
    </row>
    <row r="2676" spans="1:15" ht="15" customHeight="1">
      <c r="A2676" s="1052" t="s">
        <v>371</v>
      </c>
      <c r="B2676" s="869" t="s">
        <v>372</v>
      </c>
      <c r="C2676" s="1058" t="e">
        <f>VLOOKUP(B2671,'LƯƠNG KT'!$D$15:$U$94,9,0)*$L$10</f>
        <v>#N/A</v>
      </c>
      <c r="D2676" s="1059" t="e">
        <f>+C2676*0.5*3000</f>
        <v>#N/A</v>
      </c>
      <c r="E2676" s="1061"/>
      <c r="F2676" s="1061"/>
      <c r="G2676" s="1052" t="s">
        <v>371</v>
      </c>
      <c r="H2676" s="869" t="s">
        <v>372</v>
      </c>
      <c r="I2676" s="1058" t="e">
        <f>VLOOKUP(H2671,'LƯƠNG KT'!$D$15:$U$94,9,0)*$L$10</f>
        <v>#N/A</v>
      </c>
      <c r="J2676" s="1059" t="e">
        <f>+I2676*0.5*3000</f>
        <v>#N/A</v>
      </c>
      <c r="K2676" s="1085"/>
      <c r="L2676" s="1085"/>
      <c r="M2676" s="1085"/>
      <c r="N2676" s="1085"/>
      <c r="O2676" s="1085"/>
    </row>
    <row r="2677" spans="1:15" ht="15" customHeight="1">
      <c r="A2677" s="1052" t="s">
        <v>374</v>
      </c>
      <c r="B2677" s="869" t="s">
        <v>375</v>
      </c>
      <c r="C2677" s="1058" t="e">
        <f>VLOOKUP(B2671,'LƯƠNG KT'!$D$15:$U$94,8,0)*$L$11</f>
        <v>#N/A</v>
      </c>
      <c r="D2677" s="1059" t="e">
        <f>VLOOKUP(B2671,'LƯƠNG KT'!$D$15:$U$94,13,0)-D2676</f>
        <v>#N/A</v>
      </c>
      <c r="E2677" s="1063"/>
      <c r="F2677" s="1061"/>
      <c r="G2677" s="1052" t="s">
        <v>374</v>
      </c>
      <c r="H2677" s="869" t="s">
        <v>375</v>
      </c>
      <c r="I2677" s="1058" t="e">
        <f>VLOOKUP(H2671,'LƯƠNG KT'!$D$15:$U$94,8,0)*$L$11</f>
        <v>#N/A</v>
      </c>
      <c r="J2677" s="1059" t="e">
        <f>VLOOKUP(H2671,'LƯƠNG KT'!$D$15:$U$94,13,0)-J2676</f>
        <v>#N/A</v>
      </c>
      <c r="K2677" s="1085"/>
      <c r="L2677" s="1085"/>
      <c r="M2677" s="1085"/>
      <c r="N2677" s="1085"/>
      <c r="O2677" s="1085"/>
    </row>
    <row r="2678" spans="1:15" ht="15" customHeight="1">
      <c r="A2678" s="1059" t="s">
        <v>377</v>
      </c>
      <c r="B2678" s="869" t="s">
        <v>378</v>
      </c>
      <c r="C2678" s="1058"/>
      <c r="D2678" s="1059"/>
      <c r="E2678" s="1065"/>
      <c r="F2678" s="1065"/>
      <c r="G2678" s="1059" t="s">
        <v>377</v>
      </c>
      <c r="H2678" s="869" t="s">
        <v>378</v>
      </c>
      <c r="I2678" s="1058"/>
      <c r="J2678" s="1059"/>
    </row>
    <row r="2679" spans="1:15" ht="15" customHeight="1">
      <c r="A2679" s="1066" t="s">
        <v>379</v>
      </c>
      <c r="B2679" s="869" t="s">
        <v>380</v>
      </c>
      <c r="C2679" s="1058"/>
      <c r="D2679" s="1059"/>
      <c r="E2679" s="1063"/>
      <c r="F2679" s="1065"/>
      <c r="G2679" s="1066" t="s">
        <v>379</v>
      </c>
      <c r="H2679" s="869" t="s">
        <v>380</v>
      </c>
      <c r="I2679" s="1058"/>
      <c r="J2679" s="1059"/>
    </row>
    <row r="2680" spans="1:15" ht="15" customHeight="1">
      <c r="A2680" s="1052" t="s">
        <v>381</v>
      </c>
      <c r="B2680" s="869" t="s">
        <v>382</v>
      </c>
      <c r="C2680" s="1058"/>
      <c r="D2680" s="1059">
        <f>D2679</f>
        <v>0</v>
      </c>
      <c r="E2680" s="1067"/>
      <c r="F2680" s="1051"/>
      <c r="G2680" s="1052" t="s">
        <v>381</v>
      </c>
      <c r="H2680" s="869" t="s">
        <v>382</v>
      </c>
      <c r="I2680" s="1058"/>
      <c r="J2680" s="1059">
        <f>J2679</f>
        <v>0</v>
      </c>
    </row>
    <row r="2681" spans="1:15" ht="15" customHeight="1">
      <c r="A2681" s="1068" t="s">
        <v>383</v>
      </c>
      <c r="B2681" s="1069" t="s">
        <v>384</v>
      </c>
      <c r="C2681" s="1070"/>
      <c r="D2681" s="1071" t="e">
        <f>SUM(D2672:D2677)-D2680</f>
        <v>#N/A</v>
      </c>
      <c r="E2681" s="1072"/>
      <c r="F2681" s="1073"/>
      <c r="G2681" s="1068" t="s">
        <v>383</v>
      </c>
      <c r="H2681" s="1069" t="s">
        <v>384</v>
      </c>
      <c r="I2681" s="1070"/>
      <c r="J2681" s="1071" t="e">
        <f>SUM(J2672:J2677)-J2680</f>
        <v>#N/A</v>
      </c>
    </row>
    <row r="2682" spans="1:15" ht="18.75" customHeight="1">
      <c r="A2682" s="1074"/>
      <c r="B2682" s="1075"/>
      <c r="C2682" s="1076"/>
      <c r="D2682" s="1077"/>
      <c r="E2682" s="1077"/>
      <c r="F2682" s="1078"/>
      <c r="G2682" s="1074"/>
      <c r="H2682" s="1075"/>
      <c r="I2682" s="1076"/>
      <c r="J2682" s="1077"/>
    </row>
    <row r="2683" spans="1:15" ht="18.75" customHeight="1">
      <c r="A2683" s="1075"/>
      <c r="B2683" s="1075"/>
      <c r="C2683" s="1079"/>
      <c r="D2683" s="1080"/>
      <c r="E2683" s="1075"/>
      <c r="F2683" s="1081"/>
      <c r="G2683" s="1075"/>
      <c r="H2683" s="1075"/>
      <c r="I2683" s="1079"/>
      <c r="J2683" s="1080"/>
    </row>
    <row r="2684" spans="1:15" ht="15" customHeight="1">
      <c r="A2684" s="2242" t="str">
        <f>$K$2</f>
        <v>THÁNG 09/2024</v>
      </c>
      <c r="B2684" s="2242"/>
      <c r="C2684" s="2242"/>
      <c r="D2684" s="2242"/>
      <c r="E2684" s="1050"/>
      <c r="F2684" s="1051"/>
      <c r="G2684" s="2242" t="str">
        <f>$K$2</f>
        <v>THÁNG 09/2024</v>
      </c>
      <c r="H2684" s="2242"/>
      <c r="I2684" s="2242"/>
      <c r="J2684" s="2242"/>
      <c r="K2684" s="624"/>
    </row>
    <row r="2685" spans="1:15" ht="15" customHeight="1">
      <c r="A2685" s="1052" t="s">
        <v>356</v>
      </c>
      <c r="B2685" s="1053" t="s">
        <v>252</v>
      </c>
      <c r="C2685" s="869"/>
      <c r="D2685" s="1049"/>
      <c r="E2685" s="1054"/>
      <c r="F2685" s="1055"/>
      <c r="G2685" s="1052" t="s">
        <v>356</v>
      </c>
      <c r="H2685" s="1053" t="s">
        <v>253</v>
      </c>
      <c r="I2685" s="869"/>
      <c r="J2685" s="1049"/>
      <c r="L2685" s="1088"/>
      <c r="M2685" s="1088"/>
      <c r="N2685" s="1088"/>
      <c r="O2685" s="1088"/>
    </row>
    <row r="2686" spans="1:15" ht="15" customHeight="1">
      <c r="A2686" s="1052" t="s">
        <v>359</v>
      </c>
      <c r="B2686" s="1089" t="s">
        <v>360</v>
      </c>
      <c r="C2686" s="1058" t="e">
        <f>VLOOKUP(B2685,'LƯƠNG KT'!$D$15:$U$94,3,0)</f>
        <v>#N/A</v>
      </c>
      <c r="D2686" s="1059" t="e">
        <f>+C2686*25000</f>
        <v>#N/A</v>
      </c>
      <c r="E2686" s="1060"/>
      <c r="F2686" s="1060"/>
      <c r="G2686" s="1052" t="s">
        <v>359</v>
      </c>
      <c r="H2686" s="1089" t="s">
        <v>360</v>
      </c>
      <c r="I2686" s="1058" t="e">
        <f>VLOOKUP(H2685,'LƯƠNG KT'!$D$15:$U$94,3,0)</f>
        <v>#N/A</v>
      </c>
      <c r="J2686" s="1059" t="e">
        <f>+I2686*25000</f>
        <v>#N/A</v>
      </c>
      <c r="K2686" s="1085"/>
      <c r="L2686" s="1085"/>
      <c r="M2686" s="1085"/>
      <c r="N2686" s="1085"/>
      <c r="O2686" s="1085"/>
    </row>
    <row r="2687" spans="1:15" ht="15" customHeight="1">
      <c r="A2687" s="1052" t="s">
        <v>361</v>
      </c>
      <c r="B2687" s="869" t="s">
        <v>362</v>
      </c>
      <c r="C2687" s="1058" t="e">
        <f>VLOOKUP(B2685,'LƯƠNG KT'!$D$15:$U$94,14,0)</f>
        <v>#N/A</v>
      </c>
      <c r="D2687" s="1059" t="e">
        <f>C2687*$L$4</f>
        <v>#N/A</v>
      </c>
      <c r="E2687" s="1061"/>
      <c r="F2687" s="1061"/>
      <c r="G2687" s="1052" t="s">
        <v>361</v>
      </c>
      <c r="H2687" s="869" t="s">
        <v>362</v>
      </c>
      <c r="I2687" s="1058" t="e">
        <f>VLOOKUP(H2685,'LƯƠNG KT'!$D$15:$U$94,14,0)</f>
        <v>#N/A</v>
      </c>
      <c r="J2687" s="1059" t="e">
        <f>I2687*$L$4</f>
        <v>#N/A</v>
      </c>
      <c r="K2687" s="1085"/>
      <c r="L2687" s="1085"/>
      <c r="M2687" s="1085"/>
      <c r="N2687" s="1085"/>
      <c r="O2687" s="1085"/>
    </row>
    <row r="2688" spans="1:15" ht="15" customHeight="1">
      <c r="A2688" s="1052" t="s">
        <v>364</v>
      </c>
      <c r="B2688" s="869" t="s">
        <v>365</v>
      </c>
      <c r="C2688" s="1058" t="e">
        <f>VLOOKUP(B2685,'LƯƠNG KT'!$D$15:$U$94,15,0)</f>
        <v>#N/A</v>
      </c>
      <c r="D2688" s="1059" t="e">
        <f>C2688*$L$5</f>
        <v>#N/A</v>
      </c>
      <c r="E2688" s="1061"/>
      <c r="F2688" s="1061"/>
      <c r="G2688" s="1052" t="s">
        <v>364</v>
      </c>
      <c r="H2688" s="869" t="s">
        <v>365</v>
      </c>
      <c r="I2688" s="1058" t="e">
        <f>VLOOKUP(H2685,'LƯƠNG KT'!$D$15:$U$94,15,0)</f>
        <v>#N/A</v>
      </c>
      <c r="J2688" s="1059" t="e">
        <f>I2688*$L$5</f>
        <v>#N/A</v>
      </c>
      <c r="K2688" s="1085"/>
      <c r="L2688" s="1085"/>
      <c r="M2688" s="1085"/>
      <c r="N2688" s="1085"/>
      <c r="O2688" s="1085"/>
    </row>
    <row r="2689" spans="1:15" ht="15" customHeight="1">
      <c r="A2689" s="1052" t="s">
        <v>367</v>
      </c>
      <c r="B2689" s="869"/>
      <c r="C2689" s="1058" t="e">
        <f>VLOOKUP(B2685,'LƯƠNG KT'!$D$15:$U$94,16,0)</f>
        <v>#N/A</v>
      </c>
      <c r="D2689" s="1059" t="e">
        <f>+C2689*$L$6</f>
        <v>#N/A</v>
      </c>
      <c r="E2689" s="1061"/>
      <c r="F2689" s="1061"/>
      <c r="G2689" s="1052" t="s">
        <v>367</v>
      </c>
      <c r="H2689" s="869"/>
      <c r="I2689" s="1058" t="e">
        <f>VLOOKUP(H2685,'LƯƠNG KT'!$D$15:$U$94,16,0)</f>
        <v>#N/A</v>
      </c>
      <c r="J2689" s="1059" t="e">
        <f>+I2689*$L$6</f>
        <v>#N/A</v>
      </c>
      <c r="K2689" s="1085"/>
      <c r="L2689" s="1085"/>
      <c r="M2689" s="1085"/>
      <c r="N2689" s="1085"/>
      <c r="O2689" s="1085"/>
    </row>
    <row r="2690" spans="1:15" ht="15" customHeight="1">
      <c r="A2690" s="1052" t="s">
        <v>371</v>
      </c>
      <c r="B2690" s="869" t="s">
        <v>372</v>
      </c>
      <c r="C2690" s="1058" t="e">
        <f>VLOOKUP(B2685,'LƯƠNG KT'!$D$15:$U$94,9,0)*$L$10</f>
        <v>#N/A</v>
      </c>
      <c r="D2690" s="1059" t="e">
        <f>+C2690*0.5*3000</f>
        <v>#N/A</v>
      </c>
      <c r="E2690" s="1061"/>
      <c r="F2690" s="1061"/>
      <c r="G2690" s="1052" t="s">
        <v>371</v>
      </c>
      <c r="H2690" s="869" t="s">
        <v>372</v>
      </c>
      <c r="I2690" s="1058" t="e">
        <f>VLOOKUP(H2685,'LƯƠNG KT'!$D$15:$U$94,9,0)*$L$10</f>
        <v>#N/A</v>
      </c>
      <c r="J2690" s="1059" t="e">
        <f>+I2690*0.5*3000</f>
        <v>#N/A</v>
      </c>
      <c r="K2690" s="1085"/>
      <c r="L2690" s="1085"/>
      <c r="M2690" s="1085"/>
      <c r="N2690" s="1085"/>
      <c r="O2690" s="1085"/>
    </row>
    <row r="2691" spans="1:15" ht="15" customHeight="1">
      <c r="A2691" s="1052" t="s">
        <v>374</v>
      </c>
      <c r="B2691" s="869" t="s">
        <v>375</v>
      </c>
      <c r="C2691" s="1058" t="e">
        <f>VLOOKUP(B2685,'LƯƠNG KT'!$D$15:$U$94,8,0)*$L$11</f>
        <v>#N/A</v>
      </c>
      <c r="D2691" s="1059" t="e">
        <f>VLOOKUP(B2685,'LƯƠNG KT'!$D$15:$U$94,13,0)-D2690</f>
        <v>#N/A</v>
      </c>
      <c r="E2691" s="1063"/>
      <c r="F2691" s="1061"/>
      <c r="G2691" s="1052" t="s">
        <v>374</v>
      </c>
      <c r="H2691" s="869" t="s">
        <v>375</v>
      </c>
      <c r="I2691" s="1058" t="e">
        <f>VLOOKUP(H2685,'LƯƠNG KT'!$D$15:$U$94,8,0)*$L$11</f>
        <v>#N/A</v>
      </c>
      <c r="J2691" s="1059" t="e">
        <f>VLOOKUP(H2685,'LƯƠNG KT'!$D$15:$U$94,13,0)-J2690</f>
        <v>#N/A</v>
      </c>
      <c r="K2691" s="1085"/>
      <c r="L2691" s="1085"/>
      <c r="M2691" s="1085"/>
      <c r="N2691" s="1085"/>
      <c r="O2691" s="1085"/>
    </row>
    <row r="2692" spans="1:15" ht="15" customHeight="1">
      <c r="A2692" s="1059" t="s">
        <v>377</v>
      </c>
      <c r="B2692" s="869" t="s">
        <v>378</v>
      </c>
      <c r="C2692" s="1058"/>
      <c r="D2692" s="1059"/>
      <c r="E2692" s="1065"/>
      <c r="F2692" s="1065"/>
      <c r="G2692" s="1059" t="s">
        <v>377</v>
      </c>
      <c r="H2692" s="869" t="s">
        <v>378</v>
      </c>
      <c r="I2692" s="1058"/>
      <c r="J2692" s="1059"/>
    </row>
    <row r="2693" spans="1:15" ht="15" customHeight="1">
      <c r="A2693" s="1066" t="s">
        <v>379</v>
      </c>
      <c r="B2693" s="869" t="s">
        <v>380</v>
      </c>
      <c r="C2693" s="1058"/>
      <c r="D2693" s="1059"/>
      <c r="E2693" s="1063"/>
      <c r="F2693" s="1065"/>
      <c r="G2693" s="1066" t="s">
        <v>379</v>
      </c>
      <c r="H2693" s="869" t="s">
        <v>380</v>
      </c>
      <c r="I2693" s="1058"/>
      <c r="J2693" s="1059"/>
    </row>
    <row r="2694" spans="1:15" ht="15" customHeight="1">
      <c r="A2694" s="1052" t="s">
        <v>381</v>
      </c>
      <c r="B2694" s="869" t="s">
        <v>382</v>
      </c>
      <c r="C2694" s="1058"/>
      <c r="D2694" s="1059">
        <f>D2693</f>
        <v>0</v>
      </c>
      <c r="E2694" s="1067"/>
      <c r="F2694" s="1051"/>
      <c r="G2694" s="1052" t="s">
        <v>381</v>
      </c>
      <c r="H2694" s="869" t="s">
        <v>382</v>
      </c>
      <c r="I2694" s="1058"/>
      <c r="J2694" s="1059">
        <f>J2693</f>
        <v>0</v>
      </c>
    </row>
    <row r="2695" spans="1:15" ht="15" customHeight="1">
      <c r="A2695" s="1068" t="s">
        <v>383</v>
      </c>
      <c r="B2695" s="1069" t="s">
        <v>384</v>
      </c>
      <c r="C2695" s="1070"/>
      <c r="D2695" s="1071" t="e">
        <f>SUM(D2686:D2691)-D2694</f>
        <v>#N/A</v>
      </c>
      <c r="E2695" s="1072"/>
      <c r="F2695" s="1073"/>
      <c r="G2695" s="1068" t="s">
        <v>383</v>
      </c>
      <c r="H2695" s="1069" t="s">
        <v>384</v>
      </c>
      <c r="I2695" s="1070"/>
      <c r="J2695" s="1071" t="e">
        <f>SUM(J2686:J2691)-J2694</f>
        <v>#N/A</v>
      </c>
    </row>
    <row r="2696" spans="1:15" ht="15.75" customHeight="1">
      <c r="A2696" s="1074"/>
      <c r="B2696" s="1075"/>
      <c r="C2696" s="1076"/>
      <c r="D2696" s="1077"/>
      <c r="E2696" s="1077"/>
      <c r="F2696" s="1078"/>
      <c r="G2696" s="1074"/>
      <c r="H2696" s="1075"/>
      <c r="I2696" s="1076"/>
      <c r="J2696" s="1077"/>
    </row>
    <row r="2698" spans="1:15" ht="12" customHeight="1">
      <c r="A2698" s="2243"/>
      <c r="B2698" s="2243"/>
      <c r="C2698" s="2243"/>
      <c r="D2698" s="2243"/>
      <c r="E2698" s="2243"/>
      <c r="F2698" s="2243"/>
      <c r="G2698" s="2243"/>
      <c r="H2698" s="2243"/>
      <c r="I2698" s="2243"/>
      <c r="J2698" s="2243"/>
    </row>
    <row r="2699" spans="1:15" ht="15" customHeight="1">
      <c r="A2699" s="2242" t="str">
        <f>$K$2</f>
        <v>THÁNG 09/2024</v>
      </c>
      <c r="B2699" s="2242"/>
      <c r="C2699" s="2242"/>
      <c r="D2699" s="2242"/>
      <c r="E2699" s="1050"/>
      <c r="F2699" s="1051"/>
      <c r="G2699" s="2242" t="str">
        <f>$K$2</f>
        <v>THÁNG 09/2024</v>
      </c>
      <c r="H2699" s="2242"/>
      <c r="I2699" s="2242"/>
      <c r="J2699" s="2242"/>
      <c r="K2699" s="624"/>
    </row>
    <row r="2700" spans="1:15" ht="15" customHeight="1">
      <c r="A2700" s="1052" t="s">
        <v>356</v>
      </c>
      <c r="B2700" s="1053" t="s">
        <v>254</v>
      </c>
      <c r="C2700" s="869"/>
      <c r="D2700" s="1049"/>
      <c r="E2700" s="1054"/>
      <c r="F2700" s="1055"/>
      <c r="G2700" s="1052" t="s">
        <v>356</v>
      </c>
      <c r="H2700" s="1053" t="s">
        <v>255</v>
      </c>
      <c r="I2700" s="869"/>
      <c r="J2700" s="1049"/>
      <c r="L2700" s="1088"/>
      <c r="M2700" s="1088"/>
      <c r="N2700" s="1088"/>
      <c r="O2700" s="1088"/>
    </row>
    <row r="2701" spans="1:15" ht="15" customHeight="1">
      <c r="A2701" s="1052" t="s">
        <v>359</v>
      </c>
      <c r="B2701" s="1089" t="s">
        <v>360</v>
      </c>
      <c r="C2701" s="1058" t="e">
        <f>VLOOKUP(B2700,'LƯƠNG KT'!$D$15:$U$94,3,0)</f>
        <v>#N/A</v>
      </c>
      <c r="D2701" s="1059" t="e">
        <f>+C2701*25000</f>
        <v>#N/A</v>
      </c>
      <c r="E2701" s="1060"/>
      <c r="F2701" s="1060"/>
      <c r="G2701" s="1052" t="s">
        <v>359</v>
      </c>
      <c r="H2701" s="1089" t="s">
        <v>360</v>
      </c>
      <c r="I2701" s="1058" t="e">
        <f>VLOOKUP(H2700,'LƯƠNG KT'!$D$15:$U$94,3,0)</f>
        <v>#N/A</v>
      </c>
      <c r="J2701" s="1059" t="e">
        <f>+I2701*25000</f>
        <v>#N/A</v>
      </c>
      <c r="K2701" s="1084"/>
      <c r="L2701" s="1085"/>
      <c r="M2701" s="1085"/>
      <c r="N2701" s="1085"/>
      <c r="O2701" s="1085"/>
    </row>
    <row r="2702" spans="1:15" ht="15" customHeight="1">
      <c r="A2702" s="1052" t="s">
        <v>361</v>
      </c>
      <c r="B2702" s="869" t="s">
        <v>362</v>
      </c>
      <c r="C2702" s="1058" t="e">
        <f>VLOOKUP(B2700,'LƯƠNG KT'!$D$15:$U$94,14,0)</f>
        <v>#N/A</v>
      </c>
      <c r="D2702" s="1059" t="e">
        <f>C2702*$L$4</f>
        <v>#N/A</v>
      </c>
      <c r="E2702" s="1061"/>
      <c r="F2702" s="1061"/>
      <c r="G2702" s="1052" t="s">
        <v>361</v>
      </c>
      <c r="H2702" s="869" t="s">
        <v>362</v>
      </c>
      <c r="I2702" s="1058" t="e">
        <f>VLOOKUP(H2700,'LƯƠNG KT'!$D$15:$U$94,14,0)</f>
        <v>#N/A</v>
      </c>
      <c r="J2702" s="1059" t="e">
        <f>I2702*$L$4</f>
        <v>#N/A</v>
      </c>
      <c r="K2702" s="1084"/>
      <c r="L2702" s="1085"/>
      <c r="M2702" s="1085"/>
      <c r="N2702" s="1085"/>
      <c r="O2702" s="1085"/>
    </row>
    <row r="2703" spans="1:15" ht="15" customHeight="1">
      <c r="A2703" s="1052" t="s">
        <v>364</v>
      </c>
      <c r="B2703" s="869" t="s">
        <v>365</v>
      </c>
      <c r="C2703" s="1058" t="e">
        <f>VLOOKUP(B2700,'LƯƠNG KT'!$D$15:$U$94,15,0)</f>
        <v>#N/A</v>
      </c>
      <c r="D2703" s="1059" t="e">
        <f>C2703*$L$5</f>
        <v>#N/A</v>
      </c>
      <c r="E2703" s="1061"/>
      <c r="F2703" s="1061"/>
      <c r="G2703" s="1052" t="s">
        <v>364</v>
      </c>
      <c r="H2703" s="869" t="s">
        <v>365</v>
      </c>
      <c r="I2703" s="1058" t="e">
        <f>VLOOKUP(H2700,'LƯƠNG KT'!$D$15:$U$94,15,0)</f>
        <v>#N/A</v>
      </c>
      <c r="J2703" s="1059" t="e">
        <f>I2703*$L$5</f>
        <v>#N/A</v>
      </c>
      <c r="K2703" s="1084"/>
      <c r="L2703" s="1085"/>
      <c r="M2703" s="1085"/>
      <c r="N2703" s="1085"/>
      <c r="O2703" s="1085"/>
    </row>
    <row r="2704" spans="1:15" ht="15" customHeight="1">
      <c r="A2704" s="1052" t="s">
        <v>367</v>
      </c>
      <c r="B2704" s="869"/>
      <c r="C2704" s="1058" t="e">
        <f>VLOOKUP(B2700,'LƯƠNG KT'!$D$15:$U$94,16,0)</f>
        <v>#N/A</v>
      </c>
      <c r="D2704" s="1059" t="e">
        <f>+C2704*$L$6</f>
        <v>#N/A</v>
      </c>
      <c r="E2704" s="1061"/>
      <c r="F2704" s="1061"/>
      <c r="G2704" s="1052" t="s">
        <v>367</v>
      </c>
      <c r="H2704" s="869"/>
      <c r="I2704" s="1058" t="e">
        <f>VLOOKUP(H2700,'LƯƠNG KT'!$D$15:$U$94,16,0)</f>
        <v>#N/A</v>
      </c>
      <c r="J2704" s="1059" t="e">
        <f>+I2704*$L$6</f>
        <v>#N/A</v>
      </c>
      <c r="K2704" s="1085"/>
      <c r="L2704" s="1085"/>
      <c r="M2704" s="1085"/>
      <c r="N2704" s="1085"/>
      <c r="O2704" s="1085"/>
    </row>
    <row r="2705" spans="1:15" ht="15" customHeight="1">
      <c r="A2705" s="1052" t="s">
        <v>371</v>
      </c>
      <c r="B2705" s="869" t="s">
        <v>372</v>
      </c>
      <c r="C2705" s="1058" t="e">
        <f>VLOOKUP(B2700,'LƯƠNG KT'!$D$15:$U$94,9,0)*$L$10</f>
        <v>#N/A</v>
      </c>
      <c r="D2705" s="1059" t="e">
        <f>+C2705*0.5*3000</f>
        <v>#N/A</v>
      </c>
      <c r="E2705" s="1061"/>
      <c r="F2705" s="1061"/>
      <c r="G2705" s="1052" t="s">
        <v>371</v>
      </c>
      <c r="H2705" s="869" t="s">
        <v>372</v>
      </c>
      <c r="I2705" s="1058" t="e">
        <f>VLOOKUP(H2700,'LƯƠNG KT'!$D$15:$U$94,9,0)*$L$10</f>
        <v>#N/A</v>
      </c>
      <c r="J2705" s="1059" t="e">
        <f>+I2705*0.5*3000</f>
        <v>#N/A</v>
      </c>
      <c r="K2705" s="1085"/>
      <c r="L2705" s="1085"/>
      <c r="M2705" s="1085"/>
      <c r="N2705" s="1085"/>
      <c r="O2705" s="1085"/>
    </row>
    <row r="2706" spans="1:15" ht="15" customHeight="1">
      <c r="A2706" s="1052" t="s">
        <v>374</v>
      </c>
      <c r="B2706" s="869" t="s">
        <v>375</v>
      </c>
      <c r="C2706" s="1058" t="e">
        <f>VLOOKUP(B2700,'LƯƠNG KT'!$D$15:$U$94,8,0)*$L$11</f>
        <v>#N/A</v>
      </c>
      <c r="D2706" s="1059" t="e">
        <f>VLOOKUP(B2700,'LƯƠNG KT'!$D$15:$U$94,13,0)-D2705</f>
        <v>#N/A</v>
      </c>
      <c r="E2706" s="1063"/>
      <c r="F2706" s="1061"/>
      <c r="G2706" s="1052" t="s">
        <v>374</v>
      </c>
      <c r="H2706" s="869" t="s">
        <v>375</v>
      </c>
      <c r="I2706" s="1058" t="e">
        <f>VLOOKUP(H2700,'LƯƠNG KT'!$D$15:$U$94,8,0)*$L$11</f>
        <v>#N/A</v>
      </c>
      <c r="J2706" s="1059" t="e">
        <f>VLOOKUP(H2700,'LƯƠNG KT'!$D$15:$U$94,13,0)-J2705</f>
        <v>#N/A</v>
      </c>
      <c r="K2706" s="1085"/>
      <c r="L2706" s="1085"/>
      <c r="M2706" s="1085"/>
      <c r="N2706" s="1085"/>
      <c r="O2706" s="1085"/>
    </row>
    <row r="2707" spans="1:15" ht="15" customHeight="1">
      <c r="A2707" s="1059" t="s">
        <v>377</v>
      </c>
      <c r="B2707" s="869" t="s">
        <v>378</v>
      </c>
      <c r="C2707" s="1058"/>
      <c r="D2707" s="1059"/>
      <c r="E2707" s="1065"/>
      <c r="F2707" s="1065"/>
      <c r="G2707" s="1059" t="s">
        <v>377</v>
      </c>
      <c r="H2707" s="869" t="s">
        <v>378</v>
      </c>
      <c r="I2707" s="1058"/>
      <c r="J2707" s="1059"/>
    </row>
    <row r="2708" spans="1:15" ht="15" customHeight="1">
      <c r="A2708" s="1066" t="s">
        <v>379</v>
      </c>
      <c r="B2708" s="869" t="s">
        <v>380</v>
      </c>
      <c r="C2708" s="1058"/>
      <c r="D2708" s="1059"/>
      <c r="E2708" s="1063"/>
      <c r="F2708" s="1065"/>
      <c r="G2708" s="1066" t="s">
        <v>379</v>
      </c>
      <c r="H2708" s="869" t="s">
        <v>380</v>
      </c>
      <c r="I2708" s="1058"/>
      <c r="J2708" s="1059"/>
    </row>
    <row r="2709" spans="1:15" ht="15" customHeight="1">
      <c r="A2709" s="1052" t="s">
        <v>381</v>
      </c>
      <c r="B2709" s="869" t="s">
        <v>382</v>
      </c>
      <c r="C2709" s="1058"/>
      <c r="D2709" s="1059">
        <f>D2708</f>
        <v>0</v>
      </c>
      <c r="E2709" s="1067"/>
      <c r="F2709" s="1051"/>
      <c r="G2709" s="1052" t="s">
        <v>381</v>
      </c>
      <c r="H2709" s="869" t="s">
        <v>382</v>
      </c>
      <c r="I2709" s="1058"/>
      <c r="J2709" s="1059">
        <f>J2708</f>
        <v>0</v>
      </c>
    </row>
    <row r="2710" spans="1:15" ht="15" customHeight="1">
      <c r="A2710" s="1068" t="s">
        <v>383</v>
      </c>
      <c r="B2710" s="1069" t="s">
        <v>384</v>
      </c>
      <c r="C2710" s="1070"/>
      <c r="D2710" s="1071" t="e">
        <f>SUM(D2701:D2706)-D2709</f>
        <v>#N/A</v>
      </c>
      <c r="E2710" s="1072"/>
      <c r="F2710" s="1073"/>
      <c r="G2710" s="1068" t="s">
        <v>383</v>
      </c>
      <c r="H2710" s="1069" t="s">
        <v>384</v>
      </c>
      <c r="I2710" s="1070"/>
      <c r="J2710" s="1071" t="e">
        <f>SUM(J2701:J2706)-J2709</f>
        <v>#N/A</v>
      </c>
    </row>
    <row r="2711" spans="1:15" ht="12.6" customHeight="1">
      <c r="A2711" s="1074"/>
      <c r="B2711" s="1075"/>
      <c r="C2711" s="1076"/>
      <c r="D2711" s="1077"/>
      <c r="E2711" s="1077"/>
      <c r="F2711" s="1078"/>
      <c r="G2711" s="1074"/>
      <c r="H2711" s="1075"/>
      <c r="I2711" s="1076"/>
      <c r="J2711" s="1077"/>
    </row>
    <row r="2712" spans="1:15" ht="12.6" customHeight="1">
      <c r="A2712" s="1075"/>
      <c r="B2712" s="1075"/>
      <c r="C2712" s="1079"/>
      <c r="D2712" s="1080"/>
      <c r="E2712" s="1075"/>
      <c r="F2712" s="1081"/>
      <c r="G2712" s="1075"/>
      <c r="H2712" s="1075"/>
      <c r="I2712" s="1079"/>
      <c r="J2712" s="1080"/>
    </row>
    <row r="2713" spans="1:15" ht="15" customHeight="1">
      <c r="A2713" s="2242" t="str">
        <f>$K$2</f>
        <v>THÁNG 09/2024</v>
      </c>
      <c r="B2713" s="2242"/>
      <c r="C2713" s="2242"/>
      <c r="D2713" s="2242"/>
      <c r="E2713" s="1050"/>
      <c r="F2713" s="1051"/>
      <c r="G2713" s="2242" t="str">
        <f>$K$2</f>
        <v>THÁNG 09/2024</v>
      </c>
      <c r="H2713" s="2242"/>
      <c r="I2713" s="2242"/>
      <c r="J2713" s="2242"/>
      <c r="K2713" s="624"/>
    </row>
    <row r="2714" spans="1:15" ht="15" customHeight="1">
      <c r="A2714" s="1052" t="s">
        <v>356</v>
      </c>
      <c r="B2714" s="1053" t="s">
        <v>256</v>
      </c>
      <c r="C2714" s="869"/>
      <c r="D2714" s="1049"/>
      <c r="E2714" s="1054"/>
      <c r="F2714" s="1055"/>
      <c r="G2714" s="1052" t="s">
        <v>356</v>
      </c>
      <c r="H2714" s="1053" t="s">
        <v>257</v>
      </c>
      <c r="I2714" s="869"/>
      <c r="J2714" s="1049"/>
      <c r="L2714" s="1088"/>
      <c r="M2714" s="1088"/>
      <c r="N2714" s="1088"/>
      <c r="O2714" s="1088"/>
    </row>
    <row r="2715" spans="1:15" ht="15" customHeight="1">
      <c r="A2715" s="1052" t="s">
        <v>359</v>
      </c>
      <c r="B2715" s="1089" t="s">
        <v>360</v>
      </c>
      <c r="C2715" s="1058" t="e">
        <f>VLOOKUP(B2714,'LƯƠNG KT'!$D$15:$U$94,3,0)</f>
        <v>#N/A</v>
      </c>
      <c r="D2715" s="1059" t="e">
        <f>+C2715*25000</f>
        <v>#N/A</v>
      </c>
      <c r="E2715" s="1060"/>
      <c r="F2715" s="1060"/>
      <c r="G2715" s="1052" t="s">
        <v>359</v>
      </c>
      <c r="H2715" s="1089" t="s">
        <v>360</v>
      </c>
      <c r="I2715" s="1058" t="e">
        <f>VLOOKUP(H2714,'LƯƠNG KT'!$D$15:$U$94,3,0)</f>
        <v>#N/A</v>
      </c>
      <c r="J2715" s="1059" t="e">
        <f>+I2715*25000</f>
        <v>#N/A</v>
      </c>
      <c r="K2715" s="1085"/>
      <c r="L2715" s="1085"/>
      <c r="M2715" s="1085"/>
      <c r="N2715" s="1085"/>
      <c r="O2715" s="1085"/>
    </row>
    <row r="2716" spans="1:15" ht="15" customHeight="1">
      <c r="A2716" s="1052" t="s">
        <v>361</v>
      </c>
      <c r="B2716" s="869" t="s">
        <v>362</v>
      </c>
      <c r="C2716" s="1058" t="e">
        <f>VLOOKUP(B2714,'LƯƠNG KT'!$D$15:$U$94,14,0)</f>
        <v>#N/A</v>
      </c>
      <c r="D2716" s="1059" t="e">
        <f>C2716*$L$4</f>
        <v>#N/A</v>
      </c>
      <c r="E2716" s="1061"/>
      <c r="F2716" s="1061"/>
      <c r="G2716" s="1052" t="s">
        <v>361</v>
      </c>
      <c r="H2716" s="869" t="s">
        <v>362</v>
      </c>
      <c r="I2716" s="1058" t="e">
        <f>VLOOKUP(H2714,'LƯƠNG KT'!$D$15:$U$94,14,0)</f>
        <v>#N/A</v>
      </c>
      <c r="J2716" s="1059" t="e">
        <f>I2716*$L$4</f>
        <v>#N/A</v>
      </c>
      <c r="K2716" s="1085"/>
      <c r="L2716" s="1085"/>
      <c r="M2716" s="1085"/>
      <c r="N2716" s="1085"/>
      <c r="O2716" s="1085"/>
    </row>
    <row r="2717" spans="1:15" ht="15" customHeight="1">
      <c r="A2717" s="1052" t="s">
        <v>364</v>
      </c>
      <c r="B2717" s="869" t="s">
        <v>365</v>
      </c>
      <c r="C2717" s="1058" t="e">
        <f>VLOOKUP(B2714,'LƯƠNG KT'!$D$15:$U$94,15,0)</f>
        <v>#N/A</v>
      </c>
      <c r="D2717" s="1059" t="e">
        <f>C2717*$L$5</f>
        <v>#N/A</v>
      </c>
      <c r="E2717" s="1061"/>
      <c r="F2717" s="1061"/>
      <c r="G2717" s="1052" t="s">
        <v>364</v>
      </c>
      <c r="H2717" s="869" t="s">
        <v>365</v>
      </c>
      <c r="I2717" s="1058" t="e">
        <f>VLOOKUP(H2714,'LƯƠNG KT'!$D$15:$U$94,15,0)</f>
        <v>#N/A</v>
      </c>
      <c r="J2717" s="1059" t="e">
        <f>I2717*$L$5</f>
        <v>#N/A</v>
      </c>
      <c r="K2717" s="1085"/>
      <c r="L2717" s="1085"/>
      <c r="M2717" s="1085"/>
      <c r="N2717" s="1085"/>
      <c r="O2717" s="1085"/>
    </row>
    <row r="2718" spans="1:15" ht="15" customHeight="1">
      <c r="A2718" s="1052" t="s">
        <v>367</v>
      </c>
      <c r="B2718" s="869"/>
      <c r="C2718" s="1058" t="e">
        <f>VLOOKUP(B2714,'LƯƠNG KT'!$D$15:$U$94,16,0)</f>
        <v>#N/A</v>
      </c>
      <c r="D2718" s="1059" t="e">
        <f>+C2718*$L$6</f>
        <v>#N/A</v>
      </c>
      <c r="E2718" s="1061"/>
      <c r="F2718" s="1061"/>
      <c r="G2718" s="1052" t="s">
        <v>367</v>
      </c>
      <c r="H2718" s="869"/>
      <c r="I2718" s="1058" t="e">
        <f>VLOOKUP(H2714,'LƯƠNG KT'!$D$15:$U$94,16,0)</f>
        <v>#N/A</v>
      </c>
      <c r="J2718" s="1059" t="e">
        <f>+I2718*$L$6</f>
        <v>#N/A</v>
      </c>
      <c r="K2718" s="1053" t="s">
        <v>259</v>
      </c>
      <c r="L2718" s="1085"/>
      <c r="M2718" s="1085"/>
      <c r="N2718" s="1085"/>
      <c r="O2718" s="1085"/>
    </row>
    <row r="2719" spans="1:15" ht="15" customHeight="1">
      <c r="A2719" s="1052" t="s">
        <v>371</v>
      </c>
      <c r="B2719" s="869" t="s">
        <v>372</v>
      </c>
      <c r="C2719" s="1058" t="e">
        <f>VLOOKUP(B2714,'LƯƠNG KT'!$D$15:$U$94,9,0)*$L$10</f>
        <v>#N/A</v>
      </c>
      <c r="D2719" s="1059" t="e">
        <f>+C2719*0.5*3000</f>
        <v>#N/A</v>
      </c>
      <c r="E2719" s="1061"/>
      <c r="F2719" s="1061"/>
      <c r="G2719" s="1052" t="s">
        <v>371</v>
      </c>
      <c r="H2719" s="869" t="s">
        <v>372</v>
      </c>
      <c r="I2719" s="1058" t="e">
        <f>VLOOKUP(H2714,'LƯƠNG KT'!$D$15:$U$94,9,0)*$L$10</f>
        <v>#N/A</v>
      </c>
      <c r="J2719" s="1059" t="e">
        <f>+I2719*0.5*3000</f>
        <v>#N/A</v>
      </c>
      <c r="K2719" s="1085"/>
      <c r="L2719" s="1085"/>
      <c r="M2719" s="1085"/>
      <c r="N2719" s="1085"/>
      <c r="O2719" s="1085"/>
    </row>
    <row r="2720" spans="1:15" ht="15" customHeight="1">
      <c r="A2720" s="1052" t="s">
        <v>374</v>
      </c>
      <c r="B2720" s="869" t="s">
        <v>375</v>
      </c>
      <c r="C2720" s="1058" t="e">
        <f>VLOOKUP(B2714,'LƯƠNG KT'!$D$15:$U$94,8,0)*$L$11</f>
        <v>#N/A</v>
      </c>
      <c r="D2720" s="1059" t="e">
        <f>VLOOKUP(B2714,'LƯƠNG KT'!$D$15:$U$94,13,0)-D2719</f>
        <v>#N/A</v>
      </c>
      <c r="E2720" s="1063"/>
      <c r="F2720" s="1061"/>
      <c r="G2720" s="1052" t="s">
        <v>374</v>
      </c>
      <c r="H2720" s="869" t="s">
        <v>375</v>
      </c>
      <c r="I2720" s="1058" t="e">
        <f>VLOOKUP(H2714,'LƯƠNG KT'!$D$15:$U$94,8,0)*$L$11</f>
        <v>#N/A</v>
      </c>
      <c r="J2720" s="1059" t="e">
        <f>VLOOKUP(H2714,'LƯƠNG KT'!$D$15:$U$94,13,0)-J2719</f>
        <v>#N/A</v>
      </c>
      <c r="K2720" s="1085"/>
      <c r="L2720" s="1085"/>
      <c r="M2720" s="1085"/>
      <c r="N2720" s="1085"/>
      <c r="O2720" s="1085"/>
    </row>
    <row r="2721" spans="1:15" ht="15" customHeight="1">
      <c r="A2721" s="1059" t="s">
        <v>377</v>
      </c>
      <c r="B2721" s="869" t="s">
        <v>378</v>
      </c>
      <c r="C2721" s="1058"/>
      <c r="D2721" s="1059"/>
      <c r="E2721" s="1065"/>
      <c r="F2721" s="1065"/>
      <c r="G2721" s="1059" t="s">
        <v>377</v>
      </c>
      <c r="H2721" s="869" t="s">
        <v>378</v>
      </c>
      <c r="I2721" s="1058"/>
      <c r="J2721" s="1059"/>
    </row>
    <row r="2722" spans="1:15" ht="15" customHeight="1">
      <c r="A2722" s="1066" t="s">
        <v>379</v>
      </c>
      <c r="B2722" s="869" t="s">
        <v>380</v>
      </c>
      <c r="C2722" s="1058"/>
      <c r="D2722" s="1059"/>
      <c r="E2722" s="1063"/>
      <c r="F2722" s="1065"/>
      <c r="G2722" s="1066" t="s">
        <v>379</v>
      </c>
      <c r="H2722" s="869" t="s">
        <v>380</v>
      </c>
      <c r="I2722" s="1058"/>
      <c r="J2722" s="1059"/>
    </row>
    <row r="2723" spans="1:15" ht="15" customHeight="1">
      <c r="A2723" s="1052" t="s">
        <v>381</v>
      </c>
      <c r="B2723" s="869" t="s">
        <v>382</v>
      </c>
      <c r="C2723" s="1058"/>
      <c r="D2723" s="1059">
        <f>D2722</f>
        <v>0</v>
      </c>
      <c r="E2723" s="1067"/>
      <c r="F2723" s="1051"/>
      <c r="G2723" s="1052" t="s">
        <v>381</v>
      </c>
      <c r="H2723" s="869" t="s">
        <v>382</v>
      </c>
      <c r="I2723" s="1058"/>
      <c r="J2723" s="1059">
        <f>J2722</f>
        <v>0</v>
      </c>
    </row>
    <row r="2724" spans="1:15" ht="15" customHeight="1">
      <c r="A2724" s="1068" t="s">
        <v>383</v>
      </c>
      <c r="B2724" s="1069" t="s">
        <v>384</v>
      </c>
      <c r="C2724" s="1070"/>
      <c r="D2724" s="1071" t="e">
        <f>SUM(D2715:D2720)-D2723</f>
        <v>#N/A</v>
      </c>
      <c r="E2724" s="1072"/>
      <c r="F2724" s="1073"/>
      <c r="G2724" s="1068" t="s">
        <v>383</v>
      </c>
      <c r="H2724" s="1069" t="s">
        <v>384</v>
      </c>
      <c r="I2724" s="1070"/>
      <c r="J2724" s="1071" t="e">
        <f>SUM(J2715:J2720)-J2723</f>
        <v>#N/A</v>
      </c>
    </row>
    <row r="2725" spans="1:15" ht="18.75" customHeight="1">
      <c r="A2725" s="1074"/>
      <c r="B2725" s="1075"/>
      <c r="C2725" s="1076"/>
      <c r="D2725" s="1077"/>
      <c r="E2725" s="1077"/>
      <c r="F2725" s="1078"/>
      <c r="G2725" s="1074"/>
      <c r="H2725" s="1075"/>
      <c r="I2725" s="1076"/>
      <c r="J2725" s="1077"/>
    </row>
    <row r="2726" spans="1:15" ht="18.75" customHeight="1">
      <c r="A2726" s="1075"/>
      <c r="B2726" s="1075"/>
      <c r="C2726" s="1079"/>
      <c r="D2726" s="1080"/>
      <c r="E2726" s="1075"/>
      <c r="F2726" s="1081"/>
      <c r="G2726" s="1075"/>
      <c r="H2726" s="1075"/>
      <c r="I2726" s="1079"/>
      <c r="J2726" s="1080"/>
    </row>
    <row r="2727" spans="1:15" ht="15" customHeight="1">
      <c r="A2727" s="2242" t="str">
        <f>$K$2</f>
        <v>THÁNG 09/2024</v>
      </c>
      <c r="B2727" s="2242"/>
      <c r="C2727" s="2242"/>
      <c r="D2727" s="2242"/>
      <c r="E2727" s="1050"/>
      <c r="F2727" s="1051"/>
      <c r="G2727" s="2242" t="str">
        <f>$K$2</f>
        <v>THÁNG 09/2024</v>
      </c>
      <c r="H2727" s="2242"/>
      <c r="I2727" s="2242"/>
      <c r="J2727" s="2242"/>
      <c r="K2727" s="624"/>
    </row>
    <row r="2728" spans="1:15" ht="15" customHeight="1">
      <c r="A2728" s="1052" t="s">
        <v>356</v>
      </c>
      <c r="B2728" s="1053" t="s">
        <v>258</v>
      </c>
      <c r="C2728" s="869"/>
      <c r="D2728" s="1049"/>
      <c r="E2728" s="1054"/>
      <c r="F2728" s="1055"/>
      <c r="G2728" s="1052" t="s">
        <v>356</v>
      </c>
      <c r="H2728" s="1053" t="s">
        <v>259</v>
      </c>
      <c r="I2728" s="869"/>
      <c r="J2728" s="1049"/>
      <c r="L2728" s="1088"/>
      <c r="M2728" s="1088"/>
      <c r="N2728" s="1088"/>
      <c r="O2728" s="1088"/>
    </row>
    <row r="2729" spans="1:15" ht="15" customHeight="1">
      <c r="A2729" s="1052" t="s">
        <v>359</v>
      </c>
      <c r="B2729" s="1089" t="s">
        <v>360</v>
      </c>
      <c r="C2729" s="1058" t="e">
        <f>VLOOKUP(B2728,'LƯƠNG KT'!$D$15:$U$94,3,0)</f>
        <v>#N/A</v>
      </c>
      <c r="D2729" s="1059" t="e">
        <f>+C2729*25000</f>
        <v>#N/A</v>
      </c>
      <c r="E2729" s="1060"/>
      <c r="F2729" s="1060"/>
      <c r="G2729" s="1052" t="s">
        <v>359</v>
      </c>
      <c r="H2729" s="1089" t="s">
        <v>360</v>
      </c>
      <c r="I2729" s="1058" t="e">
        <f>VLOOKUP(H2728,'LƯƠNG KT'!$D$15:$U$94,3,0)</f>
        <v>#N/A</v>
      </c>
      <c r="J2729" s="1059" t="e">
        <f>+I2729*25000</f>
        <v>#N/A</v>
      </c>
      <c r="K2729" s="1085"/>
      <c r="L2729" s="1085"/>
      <c r="M2729" s="1085"/>
      <c r="N2729" s="1085"/>
      <c r="O2729" s="1085"/>
    </row>
    <row r="2730" spans="1:15" ht="15" customHeight="1">
      <c r="A2730" s="1052" t="s">
        <v>361</v>
      </c>
      <c r="B2730" s="869" t="s">
        <v>362</v>
      </c>
      <c r="C2730" s="1058" t="e">
        <f>VLOOKUP(B2728,'LƯƠNG KT'!$D$15:$U$94,14,0)</f>
        <v>#N/A</v>
      </c>
      <c r="D2730" s="1059" t="e">
        <f>C2730*$L$4</f>
        <v>#N/A</v>
      </c>
      <c r="E2730" s="1061"/>
      <c r="F2730" s="1061"/>
      <c r="G2730" s="1052" t="s">
        <v>361</v>
      </c>
      <c r="H2730" s="869" t="s">
        <v>362</v>
      </c>
      <c r="I2730" s="1058" t="e">
        <f>VLOOKUP(H2728,'LƯƠNG KT'!$D$15:$U$94,14,0)</f>
        <v>#N/A</v>
      </c>
      <c r="J2730" s="1059" t="e">
        <f>I2730*$L$4</f>
        <v>#N/A</v>
      </c>
      <c r="K2730" s="1085"/>
      <c r="L2730" s="1085"/>
      <c r="M2730" s="1085"/>
      <c r="N2730" s="1085"/>
      <c r="O2730" s="1085"/>
    </row>
    <row r="2731" spans="1:15" ht="15" customHeight="1">
      <c r="A2731" s="1052" t="s">
        <v>364</v>
      </c>
      <c r="B2731" s="869" t="s">
        <v>365</v>
      </c>
      <c r="C2731" s="1058" t="e">
        <f>VLOOKUP(B2728,'LƯƠNG KT'!$D$15:$U$94,15,0)</f>
        <v>#N/A</v>
      </c>
      <c r="D2731" s="1059" t="e">
        <f>C2731*$L$5</f>
        <v>#N/A</v>
      </c>
      <c r="E2731" s="1061"/>
      <c r="F2731" s="1061"/>
      <c r="G2731" s="1052" t="s">
        <v>364</v>
      </c>
      <c r="H2731" s="869" t="s">
        <v>365</v>
      </c>
      <c r="I2731" s="1058" t="e">
        <f>VLOOKUP(H2728,'LƯƠNG KT'!$D$15:$U$94,15,0)</f>
        <v>#N/A</v>
      </c>
      <c r="J2731" s="1059" t="e">
        <f>I2731*$L$5</f>
        <v>#N/A</v>
      </c>
      <c r="K2731" s="1085"/>
      <c r="L2731" s="1085"/>
      <c r="M2731" s="1085"/>
      <c r="N2731" s="1085"/>
      <c r="O2731" s="1085"/>
    </row>
    <row r="2732" spans="1:15" ht="15" customHeight="1">
      <c r="A2732" s="1052" t="s">
        <v>367</v>
      </c>
      <c r="B2732" s="869"/>
      <c r="C2732" s="1058" t="e">
        <f>VLOOKUP(B2728,'LƯƠNG KT'!$D$15:$U$94,16,0)</f>
        <v>#N/A</v>
      </c>
      <c r="D2732" s="1059" t="e">
        <f>+C2732*$L$6</f>
        <v>#N/A</v>
      </c>
      <c r="E2732" s="1061"/>
      <c r="F2732" s="1061"/>
      <c r="G2732" s="1052" t="s">
        <v>367</v>
      </c>
      <c r="H2732" s="869"/>
      <c r="I2732" s="1058" t="e">
        <f>VLOOKUP(H2728,'LƯƠNG KT'!$D$15:$U$94,16,0)</f>
        <v>#N/A</v>
      </c>
      <c r="J2732" s="1059" t="e">
        <f>+I2732*$L$6</f>
        <v>#N/A</v>
      </c>
      <c r="K2732" s="1085"/>
      <c r="L2732" s="1085"/>
      <c r="M2732" s="1085"/>
      <c r="N2732" s="1085"/>
      <c r="O2732" s="1085"/>
    </row>
    <row r="2733" spans="1:15" ht="15" customHeight="1">
      <c r="A2733" s="1052" t="s">
        <v>371</v>
      </c>
      <c r="B2733" s="869" t="s">
        <v>372</v>
      </c>
      <c r="C2733" s="1058" t="e">
        <f>VLOOKUP(B2728,'LƯƠNG KT'!$D$15:$U$94,9,0)*$L$10</f>
        <v>#N/A</v>
      </c>
      <c r="D2733" s="1059" t="e">
        <f>+C2733*0.5*3000</f>
        <v>#N/A</v>
      </c>
      <c r="E2733" s="1061"/>
      <c r="F2733" s="1061"/>
      <c r="G2733" s="1052" t="s">
        <v>371</v>
      </c>
      <c r="H2733" s="869" t="s">
        <v>372</v>
      </c>
      <c r="I2733" s="1058" t="e">
        <f>VLOOKUP(H2728,'LƯƠNG KT'!$D$15:$U$94,9,0)*$L$10</f>
        <v>#N/A</v>
      </c>
      <c r="J2733" s="1059" t="e">
        <f>+I2733*0.5*3000</f>
        <v>#N/A</v>
      </c>
      <c r="K2733" s="1085"/>
      <c r="L2733" s="1085"/>
      <c r="M2733" s="1085"/>
      <c r="N2733" s="1085"/>
      <c r="O2733" s="1085"/>
    </row>
    <row r="2734" spans="1:15" ht="15" customHeight="1">
      <c r="A2734" s="1052" t="s">
        <v>374</v>
      </c>
      <c r="B2734" s="869" t="s">
        <v>375</v>
      </c>
      <c r="C2734" s="1058" t="e">
        <f>VLOOKUP(B2728,'LƯƠNG KT'!$D$15:$U$94,8,0)*$L$11</f>
        <v>#N/A</v>
      </c>
      <c r="D2734" s="1059" t="e">
        <f>VLOOKUP(B2728,'LƯƠNG KT'!$D$15:$U$94,13,0)-D2733</f>
        <v>#N/A</v>
      </c>
      <c r="E2734" s="1063"/>
      <c r="F2734" s="1061"/>
      <c r="G2734" s="1052" t="s">
        <v>374</v>
      </c>
      <c r="H2734" s="869" t="s">
        <v>375</v>
      </c>
      <c r="I2734" s="1058" t="e">
        <f>VLOOKUP(H2728,'LƯƠNG KT'!$D$15:$U$94,8,0)*$L$11</f>
        <v>#N/A</v>
      </c>
      <c r="J2734" s="1059" t="e">
        <f>VLOOKUP(H2728,'LƯƠNG KT'!$D$15:$U$94,13,0)-J2733</f>
        <v>#N/A</v>
      </c>
      <c r="K2734" s="1085"/>
      <c r="L2734" s="1085"/>
      <c r="M2734" s="1085"/>
      <c r="N2734" s="1085"/>
      <c r="O2734" s="1085"/>
    </row>
    <row r="2735" spans="1:15" ht="15" customHeight="1">
      <c r="A2735" s="1059" t="s">
        <v>377</v>
      </c>
      <c r="B2735" s="869" t="s">
        <v>378</v>
      </c>
      <c r="C2735" s="1058"/>
      <c r="D2735" s="1059"/>
      <c r="E2735" s="1065"/>
      <c r="F2735" s="1065"/>
      <c r="G2735" s="1059" t="s">
        <v>377</v>
      </c>
      <c r="H2735" s="869" t="s">
        <v>378</v>
      </c>
      <c r="I2735" s="1058"/>
      <c r="J2735" s="1059"/>
    </row>
    <row r="2736" spans="1:15" ht="15" customHeight="1">
      <c r="A2736" s="1066" t="s">
        <v>379</v>
      </c>
      <c r="B2736" s="869" t="s">
        <v>380</v>
      </c>
      <c r="C2736" s="1058"/>
      <c r="D2736" s="1059"/>
      <c r="E2736" s="1063"/>
      <c r="F2736" s="1065"/>
      <c r="G2736" s="1066" t="s">
        <v>379</v>
      </c>
      <c r="H2736" s="869" t="s">
        <v>380</v>
      </c>
      <c r="I2736" s="1058"/>
      <c r="J2736" s="1059"/>
    </row>
    <row r="2737" spans="1:15" ht="15" customHeight="1">
      <c r="A2737" s="1052" t="s">
        <v>381</v>
      </c>
      <c r="B2737" s="869" t="s">
        <v>382</v>
      </c>
      <c r="C2737" s="1058"/>
      <c r="D2737" s="1059">
        <f>D2736</f>
        <v>0</v>
      </c>
      <c r="E2737" s="1067"/>
      <c r="F2737" s="1051"/>
      <c r="G2737" s="1052" t="s">
        <v>381</v>
      </c>
      <c r="H2737" s="869" t="s">
        <v>382</v>
      </c>
      <c r="I2737" s="1058"/>
      <c r="J2737" s="1059">
        <f>J2736</f>
        <v>0</v>
      </c>
    </row>
    <row r="2738" spans="1:15" ht="15" customHeight="1">
      <c r="A2738" s="1068" t="s">
        <v>383</v>
      </c>
      <c r="B2738" s="1069" t="s">
        <v>384</v>
      </c>
      <c r="C2738" s="1070"/>
      <c r="D2738" s="1071" t="e">
        <f>SUM(D2729:D2734)-D2737</f>
        <v>#N/A</v>
      </c>
      <c r="E2738" s="1072"/>
      <c r="F2738" s="1073"/>
      <c r="G2738" s="1068" t="s">
        <v>383</v>
      </c>
      <c r="H2738" s="1069" t="s">
        <v>384</v>
      </c>
      <c r="I2738" s="1070"/>
      <c r="J2738" s="1071" t="e">
        <f>SUM(J2729:J2734)-J2737</f>
        <v>#N/A</v>
      </c>
    </row>
    <row r="2739" spans="1:15" ht="18.75" customHeight="1">
      <c r="A2739" s="1074"/>
      <c r="B2739" s="1075"/>
      <c r="C2739" s="1076"/>
      <c r="D2739" s="1077"/>
      <c r="E2739" s="1077"/>
      <c r="F2739" s="1078"/>
      <c r="G2739" s="1074"/>
      <c r="H2739" s="1075"/>
      <c r="I2739" s="1076"/>
      <c r="J2739" s="1077"/>
    </row>
    <row r="2740" spans="1:15" ht="18.75" customHeight="1">
      <c r="A2740" s="1075"/>
      <c r="B2740" s="1075"/>
      <c r="C2740" s="1079"/>
      <c r="D2740" s="1080"/>
      <c r="E2740" s="1075"/>
      <c r="F2740" s="1081"/>
      <c r="G2740" s="1075"/>
      <c r="H2740" s="1075"/>
      <c r="I2740" s="1079"/>
      <c r="J2740" s="1080"/>
    </row>
    <row r="2741" spans="1:15" ht="15" customHeight="1">
      <c r="A2741" s="2242" t="str">
        <f>$K$2</f>
        <v>THÁNG 09/2024</v>
      </c>
      <c r="B2741" s="2242"/>
      <c r="C2741" s="2242"/>
      <c r="D2741" s="2242"/>
      <c r="E2741" s="1050"/>
      <c r="F2741" s="1051"/>
      <c r="G2741" s="2242" t="str">
        <f>$K$2</f>
        <v>THÁNG 09/2024</v>
      </c>
      <c r="H2741" s="2242"/>
      <c r="I2741" s="2242"/>
      <c r="J2741" s="2242"/>
      <c r="K2741" s="624"/>
    </row>
    <row r="2742" spans="1:15" ht="15" customHeight="1">
      <c r="A2742" s="1052" t="s">
        <v>356</v>
      </c>
      <c r="B2742" s="1053" t="s">
        <v>260</v>
      </c>
      <c r="C2742" s="869"/>
      <c r="D2742" s="1049"/>
      <c r="E2742" s="1054"/>
      <c r="F2742" s="1055"/>
      <c r="G2742" s="1052" t="s">
        <v>356</v>
      </c>
      <c r="H2742" s="1053" t="s">
        <v>261</v>
      </c>
      <c r="I2742" s="869"/>
      <c r="J2742" s="1049"/>
      <c r="L2742" s="1088"/>
      <c r="M2742" s="1088"/>
      <c r="N2742" s="1088"/>
      <c r="O2742" s="1088"/>
    </row>
    <row r="2743" spans="1:15" ht="15" customHeight="1">
      <c r="A2743" s="1052" t="s">
        <v>359</v>
      </c>
      <c r="B2743" s="1089" t="s">
        <v>360</v>
      </c>
      <c r="C2743" s="1058" t="e">
        <f>VLOOKUP(B2742,'LƯƠNG KT'!$D$15:$U$94,3,0)</f>
        <v>#N/A</v>
      </c>
      <c r="D2743" s="1059" t="e">
        <f>+C2743*25000</f>
        <v>#N/A</v>
      </c>
      <c r="E2743" s="1060"/>
      <c r="F2743" s="1060"/>
      <c r="G2743" s="1052" t="s">
        <v>359</v>
      </c>
      <c r="H2743" s="1089" t="s">
        <v>360</v>
      </c>
      <c r="I2743" s="1058" t="e">
        <f>VLOOKUP(H2742,'LƯƠNG KT'!$D$15:$U$94,3,0)</f>
        <v>#N/A</v>
      </c>
      <c r="J2743" s="1059" t="e">
        <f>+I2743*25000</f>
        <v>#N/A</v>
      </c>
      <c r="K2743" s="1085"/>
      <c r="L2743" s="1085"/>
      <c r="M2743" s="1085"/>
      <c r="N2743" s="1085"/>
      <c r="O2743" s="1085"/>
    </row>
    <row r="2744" spans="1:15" ht="15" customHeight="1">
      <c r="A2744" s="1052" t="s">
        <v>361</v>
      </c>
      <c r="B2744" s="869" t="s">
        <v>362</v>
      </c>
      <c r="C2744" s="1058" t="e">
        <f>VLOOKUP(B2742,'LƯƠNG KT'!$D$15:$U$94,14,0)</f>
        <v>#N/A</v>
      </c>
      <c r="D2744" s="1059" t="e">
        <f>C2744*$L$4</f>
        <v>#N/A</v>
      </c>
      <c r="E2744" s="1061"/>
      <c r="F2744" s="1061"/>
      <c r="G2744" s="1052" t="s">
        <v>361</v>
      </c>
      <c r="H2744" s="869" t="s">
        <v>362</v>
      </c>
      <c r="I2744" s="1058" t="e">
        <f>VLOOKUP(H2742,'LƯƠNG KT'!$D$15:$U$94,14,0)</f>
        <v>#N/A</v>
      </c>
      <c r="J2744" s="1059" t="e">
        <f>I2744*$L$4</f>
        <v>#N/A</v>
      </c>
      <c r="K2744" s="1085"/>
      <c r="L2744" s="1085"/>
      <c r="M2744" s="1085"/>
      <c r="N2744" s="1085"/>
      <c r="O2744" s="1085"/>
    </row>
    <row r="2745" spans="1:15" ht="15" customHeight="1">
      <c r="A2745" s="1052" t="s">
        <v>364</v>
      </c>
      <c r="B2745" s="869" t="s">
        <v>365</v>
      </c>
      <c r="C2745" s="1058" t="e">
        <f>VLOOKUP(B2742,'LƯƠNG KT'!$D$15:$U$94,15,0)</f>
        <v>#N/A</v>
      </c>
      <c r="D2745" s="1059" t="e">
        <f>C2745*$L$5</f>
        <v>#N/A</v>
      </c>
      <c r="E2745" s="1061"/>
      <c r="F2745" s="1061"/>
      <c r="G2745" s="1052" t="s">
        <v>364</v>
      </c>
      <c r="H2745" s="869" t="s">
        <v>365</v>
      </c>
      <c r="I2745" s="1058" t="e">
        <f>VLOOKUP(H2742,'LƯƠNG KT'!$D$15:$U$94,15,0)</f>
        <v>#N/A</v>
      </c>
      <c r="J2745" s="1059" t="e">
        <f>I2745*$L$5</f>
        <v>#N/A</v>
      </c>
      <c r="K2745" s="1085"/>
      <c r="L2745" s="1085"/>
      <c r="M2745" s="1085"/>
      <c r="N2745" s="1085"/>
      <c r="O2745" s="1085"/>
    </row>
    <row r="2746" spans="1:15" ht="15" customHeight="1">
      <c r="A2746" s="1052" t="s">
        <v>367</v>
      </c>
      <c r="B2746" s="869"/>
      <c r="C2746" s="1058" t="e">
        <f>VLOOKUP(B2742,'LƯƠNG KT'!$D$15:$U$94,16,0)</f>
        <v>#N/A</v>
      </c>
      <c r="D2746" s="1059" t="e">
        <f>+C2746*$L$6</f>
        <v>#N/A</v>
      </c>
      <c r="E2746" s="1061"/>
      <c r="F2746" s="1061"/>
      <c r="G2746" s="1052" t="s">
        <v>367</v>
      </c>
      <c r="H2746" s="869"/>
      <c r="I2746" s="1058" t="e">
        <f>VLOOKUP(H2742,'LƯƠNG KT'!$D$15:$U$94,16,0)</f>
        <v>#N/A</v>
      </c>
      <c r="J2746" s="1059" t="e">
        <f>+I2746*$L$6</f>
        <v>#N/A</v>
      </c>
      <c r="K2746" s="1085"/>
      <c r="L2746" s="1085"/>
      <c r="M2746" s="1085"/>
      <c r="N2746" s="1085"/>
      <c r="O2746" s="1085"/>
    </row>
    <row r="2747" spans="1:15" ht="15" customHeight="1">
      <c r="A2747" s="1052" t="s">
        <v>371</v>
      </c>
      <c r="B2747" s="869" t="s">
        <v>372</v>
      </c>
      <c r="C2747" s="1058" t="e">
        <f>VLOOKUP(B2742,'LƯƠNG KT'!$D$15:$U$94,9,0)*$L$10</f>
        <v>#N/A</v>
      </c>
      <c r="D2747" s="1059" t="e">
        <f>+C2747*0.5*3000</f>
        <v>#N/A</v>
      </c>
      <c r="E2747" s="1061"/>
      <c r="F2747" s="1061"/>
      <c r="G2747" s="1052" t="s">
        <v>371</v>
      </c>
      <c r="H2747" s="869" t="s">
        <v>372</v>
      </c>
      <c r="I2747" s="1058" t="e">
        <f>VLOOKUP(H2742,'LƯƠNG KT'!$D$15:$U$94,9,0)*$L$10</f>
        <v>#N/A</v>
      </c>
      <c r="J2747" s="1059" t="e">
        <f>+I2747*0.5*3000</f>
        <v>#N/A</v>
      </c>
      <c r="K2747" s="1085"/>
      <c r="L2747" s="1085"/>
      <c r="M2747" s="1085"/>
      <c r="N2747" s="1085"/>
      <c r="O2747" s="1085"/>
    </row>
    <row r="2748" spans="1:15" ht="15" customHeight="1">
      <c r="A2748" s="1052" t="s">
        <v>374</v>
      </c>
      <c r="B2748" s="869" t="s">
        <v>375</v>
      </c>
      <c r="C2748" s="1058" t="e">
        <f>VLOOKUP(B2742,'LƯƠNG KT'!$D$15:$U$94,8,0)*$L$11</f>
        <v>#N/A</v>
      </c>
      <c r="D2748" s="1059" t="e">
        <f>VLOOKUP(B2742,'LƯƠNG KT'!$D$15:$U$94,13,0)-D2747</f>
        <v>#N/A</v>
      </c>
      <c r="E2748" s="1063"/>
      <c r="F2748" s="1061"/>
      <c r="G2748" s="1052" t="s">
        <v>374</v>
      </c>
      <c r="H2748" s="869" t="s">
        <v>375</v>
      </c>
      <c r="I2748" s="1058" t="e">
        <f>VLOOKUP(H2742,'LƯƠNG KT'!$D$15:$U$94,8,0)*$L$11</f>
        <v>#N/A</v>
      </c>
      <c r="J2748" s="1059" t="e">
        <f>VLOOKUP(H2742,'LƯƠNG KT'!$D$15:$U$94,13,0)-J2747</f>
        <v>#N/A</v>
      </c>
      <c r="K2748" s="1085"/>
      <c r="L2748" s="1085"/>
      <c r="M2748" s="1085"/>
      <c r="N2748" s="1085"/>
      <c r="O2748" s="1085"/>
    </row>
    <row r="2749" spans="1:15" ht="15" customHeight="1">
      <c r="A2749" s="1059" t="s">
        <v>377</v>
      </c>
      <c r="B2749" s="869" t="s">
        <v>378</v>
      </c>
      <c r="C2749" s="1058"/>
      <c r="D2749" s="1059"/>
      <c r="E2749" s="1065"/>
      <c r="F2749" s="1065"/>
      <c r="G2749" s="1059" t="s">
        <v>377</v>
      </c>
      <c r="H2749" s="869" t="s">
        <v>378</v>
      </c>
      <c r="I2749" s="1058"/>
      <c r="J2749" s="1059"/>
    </row>
    <row r="2750" spans="1:15" ht="15" customHeight="1">
      <c r="A2750" s="1066" t="s">
        <v>379</v>
      </c>
      <c r="B2750" s="869" t="s">
        <v>380</v>
      </c>
      <c r="C2750" s="1058"/>
      <c r="D2750" s="1059"/>
      <c r="E2750" s="1063"/>
      <c r="F2750" s="1065"/>
      <c r="G2750" s="1066" t="s">
        <v>379</v>
      </c>
      <c r="H2750" s="869" t="s">
        <v>380</v>
      </c>
      <c r="I2750" s="1058"/>
      <c r="J2750" s="1059"/>
    </row>
    <row r="2751" spans="1:15" ht="15" customHeight="1">
      <c r="A2751" s="1052" t="s">
        <v>381</v>
      </c>
      <c r="B2751" s="869" t="s">
        <v>382</v>
      </c>
      <c r="C2751" s="1058"/>
      <c r="D2751" s="1059">
        <f>D2750</f>
        <v>0</v>
      </c>
      <c r="E2751" s="1067"/>
      <c r="F2751" s="1051"/>
      <c r="G2751" s="1052" t="s">
        <v>381</v>
      </c>
      <c r="H2751" s="869" t="s">
        <v>382</v>
      </c>
      <c r="I2751" s="1058"/>
      <c r="J2751" s="1059">
        <f>J2750</f>
        <v>0</v>
      </c>
    </row>
    <row r="2752" spans="1:15" ht="15" customHeight="1">
      <c r="A2752" s="1068" t="s">
        <v>383</v>
      </c>
      <c r="B2752" s="1069" t="s">
        <v>384</v>
      </c>
      <c r="C2752" s="1070"/>
      <c r="D2752" s="1071" t="e">
        <f>SUM(D2743:D2748)-D2751</f>
        <v>#N/A</v>
      </c>
      <c r="E2752" s="1072"/>
      <c r="F2752" s="1073"/>
      <c r="G2752" s="1068" t="s">
        <v>383</v>
      </c>
      <c r="H2752" s="1069" t="s">
        <v>384</v>
      </c>
      <c r="I2752" s="1070"/>
      <c r="J2752" s="1071" t="e">
        <f>SUM(J2743:J2748)-J2751</f>
        <v>#N/A</v>
      </c>
    </row>
    <row r="2753" spans="1:15" ht="15.75" customHeight="1">
      <c r="A2753" s="1074"/>
      <c r="B2753" s="1075"/>
      <c r="C2753" s="1076"/>
      <c r="D2753" s="1077"/>
      <c r="E2753" s="1077"/>
      <c r="F2753" s="1078"/>
      <c r="G2753" s="1074"/>
      <c r="H2753" s="1075"/>
      <c r="I2753" s="1076"/>
      <c r="J2753" s="1077"/>
    </row>
    <row r="2755" spans="1:15" ht="12" customHeight="1">
      <c r="A2755" s="2243"/>
      <c r="B2755" s="2243"/>
      <c r="C2755" s="2243"/>
      <c r="D2755" s="2243"/>
      <c r="E2755" s="2243"/>
      <c r="F2755" s="2243"/>
      <c r="G2755" s="2243"/>
      <c r="H2755" s="2243"/>
      <c r="I2755" s="2243"/>
      <c r="J2755" s="2243"/>
    </row>
    <row r="2756" spans="1:15" ht="15" customHeight="1">
      <c r="A2756" s="2242" t="str">
        <f>$K$2</f>
        <v>THÁNG 09/2024</v>
      </c>
      <c r="B2756" s="2242"/>
      <c r="C2756" s="2242"/>
      <c r="D2756" s="2242"/>
      <c r="E2756" s="1050"/>
      <c r="F2756" s="1051"/>
      <c r="G2756" s="2242" t="str">
        <f>$K$2</f>
        <v>THÁNG 09/2024</v>
      </c>
      <c r="H2756" s="2242"/>
      <c r="I2756" s="2242"/>
      <c r="J2756" s="2242"/>
      <c r="K2756" s="624"/>
    </row>
    <row r="2757" spans="1:15" ht="15" customHeight="1">
      <c r="A2757" s="1052" t="s">
        <v>356</v>
      </c>
      <c r="B2757" s="1053" t="s">
        <v>262</v>
      </c>
      <c r="C2757" s="869"/>
      <c r="D2757" s="1049"/>
      <c r="E2757" s="1054"/>
      <c r="F2757" s="1055"/>
      <c r="G2757" s="1052" t="s">
        <v>356</v>
      </c>
      <c r="H2757" s="1053" t="s">
        <v>263</v>
      </c>
      <c r="I2757" s="869"/>
      <c r="J2757" s="1049"/>
      <c r="L2757" s="1088"/>
      <c r="M2757" s="1088"/>
      <c r="N2757" s="1088"/>
      <c r="O2757" s="1088"/>
    </row>
    <row r="2758" spans="1:15" ht="15" customHeight="1">
      <c r="A2758" s="1052" t="s">
        <v>359</v>
      </c>
      <c r="B2758" s="1089" t="s">
        <v>360</v>
      </c>
      <c r="C2758" s="1058" t="e">
        <f>VLOOKUP(B2757,'LƯƠNG KT'!$D$15:$U$94,3,0)</f>
        <v>#N/A</v>
      </c>
      <c r="D2758" s="1059" t="e">
        <f>+C2758*25000</f>
        <v>#N/A</v>
      </c>
      <c r="E2758" s="1060"/>
      <c r="F2758" s="1060"/>
      <c r="G2758" s="1052" t="s">
        <v>359</v>
      </c>
      <c r="H2758" s="1089" t="s">
        <v>360</v>
      </c>
      <c r="I2758" s="1058" t="e">
        <f>VLOOKUP(H2757,'LƯƠNG KT'!$D$15:$U$94,3,0)</f>
        <v>#N/A</v>
      </c>
      <c r="J2758" s="1059" t="e">
        <f>+I2758*25000</f>
        <v>#N/A</v>
      </c>
      <c r="K2758" s="1084"/>
      <c r="L2758" s="1085"/>
      <c r="M2758" s="1085"/>
      <c r="N2758" s="1085"/>
      <c r="O2758" s="1085"/>
    </row>
    <row r="2759" spans="1:15" ht="15" customHeight="1">
      <c r="A2759" s="1052" t="s">
        <v>361</v>
      </c>
      <c r="B2759" s="869" t="s">
        <v>362</v>
      </c>
      <c r="C2759" s="1058" t="e">
        <f>VLOOKUP(B2757,'LƯƠNG KT'!$D$15:$U$94,14,0)</f>
        <v>#N/A</v>
      </c>
      <c r="D2759" s="1059" t="e">
        <f>C2759*$L$4</f>
        <v>#N/A</v>
      </c>
      <c r="E2759" s="1061"/>
      <c r="F2759" s="1061"/>
      <c r="G2759" s="1052" t="s">
        <v>361</v>
      </c>
      <c r="H2759" s="869" t="s">
        <v>362</v>
      </c>
      <c r="I2759" s="1058" t="e">
        <f>VLOOKUP(H2757,'LƯƠNG KT'!$D$15:$U$94,14,0)</f>
        <v>#N/A</v>
      </c>
      <c r="J2759" s="1059" t="e">
        <f>I2759*$L$4</f>
        <v>#N/A</v>
      </c>
      <c r="K2759" s="1084"/>
      <c r="L2759" s="1085"/>
      <c r="M2759" s="1085"/>
      <c r="N2759" s="1085"/>
      <c r="O2759" s="1085"/>
    </row>
    <row r="2760" spans="1:15" ht="15" customHeight="1">
      <c r="A2760" s="1052" t="s">
        <v>364</v>
      </c>
      <c r="B2760" s="869" t="s">
        <v>365</v>
      </c>
      <c r="C2760" s="1058" t="e">
        <f>VLOOKUP(B2757,'LƯƠNG KT'!$D$15:$U$94,15,0)</f>
        <v>#N/A</v>
      </c>
      <c r="D2760" s="1059" t="e">
        <f>C2760*$L$5</f>
        <v>#N/A</v>
      </c>
      <c r="E2760" s="1061"/>
      <c r="F2760" s="1061"/>
      <c r="G2760" s="1052" t="s">
        <v>364</v>
      </c>
      <c r="H2760" s="869" t="s">
        <v>365</v>
      </c>
      <c r="I2760" s="1058" t="e">
        <f>VLOOKUP(H2757,'LƯƠNG KT'!$D$15:$U$94,15,0)</f>
        <v>#N/A</v>
      </c>
      <c r="J2760" s="1059" t="e">
        <f>I2760*$L$5</f>
        <v>#N/A</v>
      </c>
      <c r="K2760" s="1084"/>
      <c r="L2760" s="1085"/>
      <c r="M2760" s="1085"/>
      <c r="N2760" s="1085"/>
      <c r="O2760" s="1085"/>
    </row>
    <row r="2761" spans="1:15" ht="15" customHeight="1">
      <c r="A2761" s="1052" t="s">
        <v>367</v>
      </c>
      <c r="B2761" s="869"/>
      <c r="C2761" s="1058" t="e">
        <f>VLOOKUP(B2757,'LƯƠNG KT'!$D$15:$U$94,16,0)</f>
        <v>#N/A</v>
      </c>
      <c r="D2761" s="1059" t="e">
        <f>+C2761*$L$6</f>
        <v>#N/A</v>
      </c>
      <c r="E2761" s="1061"/>
      <c r="F2761" s="1061"/>
      <c r="G2761" s="1052" t="s">
        <v>367</v>
      </c>
      <c r="H2761" s="869"/>
      <c r="I2761" s="1058" t="e">
        <f>VLOOKUP(H2757,'LƯƠNG KT'!$D$15:$U$94,16,0)</f>
        <v>#N/A</v>
      </c>
      <c r="J2761" s="1059" t="e">
        <f>+I2761*$L$6</f>
        <v>#N/A</v>
      </c>
      <c r="K2761" s="1085"/>
      <c r="L2761" s="1085"/>
      <c r="M2761" s="1085"/>
      <c r="N2761" s="1085"/>
      <c r="O2761" s="1085"/>
    </row>
    <row r="2762" spans="1:15" ht="15" customHeight="1">
      <c r="A2762" s="1052" t="s">
        <v>371</v>
      </c>
      <c r="B2762" s="869" t="s">
        <v>372</v>
      </c>
      <c r="C2762" s="1058" t="e">
        <f>VLOOKUP(B2757,'LƯƠNG KT'!$D$15:$U$94,9,0)*$L$10</f>
        <v>#N/A</v>
      </c>
      <c r="D2762" s="1059" t="e">
        <f>+C2762*0.5*3000</f>
        <v>#N/A</v>
      </c>
      <c r="E2762" s="1061"/>
      <c r="F2762" s="1061"/>
      <c r="G2762" s="1052" t="s">
        <v>371</v>
      </c>
      <c r="H2762" s="869" t="s">
        <v>372</v>
      </c>
      <c r="I2762" s="1058" t="e">
        <f>VLOOKUP(H2757,'LƯƠNG KT'!$D$15:$U$94,9,0)*$L$10</f>
        <v>#N/A</v>
      </c>
      <c r="J2762" s="1059" t="e">
        <f>+I2762*0.5*3000</f>
        <v>#N/A</v>
      </c>
      <c r="K2762" s="1085"/>
      <c r="L2762" s="1085"/>
      <c r="M2762" s="1085"/>
      <c r="N2762" s="1085"/>
      <c r="O2762" s="1085"/>
    </row>
    <row r="2763" spans="1:15" ht="15" customHeight="1">
      <c r="A2763" s="1052" t="s">
        <v>374</v>
      </c>
      <c r="B2763" s="869" t="s">
        <v>375</v>
      </c>
      <c r="C2763" s="1058" t="e">
        <f>VLOOKUP(B2757,'LƯƠNG KT'!$D$15:$U$94,8,0)*$L$11</f>
        <v>#N/A</v>
      </c>
      <c r="D2763" s="1059" t="e">
        <f>VLOOKUP(B2757,'LƯƠNG KT'!$D$15:$U$94,13,0)-D2762</f>
        <v>#N/A</v>
      </c>
      <c r="E2763" s="1063"/>
      <c r="F2763" s="1061"/>
      <c r="G2763" s="1052" t="s">
        <v>374</v>
      </c>
      <c r="H2763" s="869" t="s">
        <v>375</v>
      </c>
      <c r="I2763" s="1058" t="e">
        <f>VLOOKUP(H2757,'LƯƠNG KT'!$D$15:$U$94,8,0)*$L$11</f>
        <v>#N/A</v>
      </c>
      <c r="J2763" s="1059" t="e">
        <f>VLOOKUP(H2757,'LƯƠNG KT'!$D$15:$U$94,13,0)-J2762</f>
        <v>#N/A</v>
      </c>
      <c r="K2763" s="1085"/>
      <c r="L2763" s="1085"/>
      <c r="M2763" s="1085"/>
      <c r="N2763" s="1085"/>
      <c r="O2763" s="1085"/>
    </row>
    <row r="2764" spans="1:15" ht="15" customHeight="1">
      <c r="A2764" s="1059" t="s">
        <v>377</v>
      </c>
      <c r="B2764" s="869" t="s">
        <v>378</v>
      </c>
      <c r="C2764" s="1058"/>
      <c r="D2764" s="1059"/>
      <c r="E2764" s="1065"/>
      <c r="F2764" s="1065"/>
      <c r="G2764" s="1059" t="s">
        <v>377</v>
      </c>
      <c r="H2764" s="869" t="s">
        <v>378</v>
      </c>
      <c r="I2764" s="1058"/>
      <c r="J2764" s="1059"/>
    </row>
    <row r="2765" spans="1:15" ht="15" customHeight="1">
      <c r="A2765" s="1066" t="s">
        <v>379</v>
      </c>
      <c r="B2765" s="869" t="s">
        <v>380</v>
      </c>
      <c r="C2765" s="1058"/>
      <c r="D2765" s="1059"/>
      <c r="E2765" s="1063"/>
      <c r="F2765" s="1065"/>
      <c r="G2765" s="1066" t="s">
        <v>379</v>
      </c>
      <c r="H2765" s="869" t="s">
        <v>380</v>
      </c>
      <c r="I2765" s="1058"/>
      <c r="J2765" s="1059"/>
    </row>
    <row r="2766" spans="1:15" ht="15" customHeight="1">
      <c r="A2766" s="1052" t="s">
        <v>381</v>
      </c>
      <c r="B2766" s="869" t="s">
        <v>382</v>
      </c>
      <c r="C2766" s="1058"/>
      <c r="D2766" s="1059">
        <f>D2765</f>
        <v>0</v>
      </c>
      <c r="E2766" s="1067"/>
      <c r="F2766" s="1051"/>
      <c r="G2766" s="1052" t="s">
        <v>381</v>
      </c>
      <c r="H2766" s="869" t="s">
        <v>382</v>
      </c>
      <c r="I2766" s="1058"/>
      <c r="J2766" s="1059">
        <f>J2765</f>
        <v>0</v>
      </c>
    </row>
    <row r="2767" spans="1:15" ht="15" customHeight="1">
      <c r="A2767" s="1068" t="s">
        <v>383</v>
      </c>
      <c r="B2767" s="1069" t="s">
        <v>384</v>
      </c>
      <c r="C2767" s="1070"/>
      <c r="D2767" s="1071" t="e">
        <f>SUM(D2758:D2763)-D2766</f>
        <v>#N/A</v>
      </c>
      <c r="E2767" s="1072"/>
      <c r="F2767" s="1073"/>
      <c r="G2767" s="1068" t="s">
        <v>383</v>
      </c>
      <c r="H2767" s="1069" t="s">
        <v>384</v>
      </c>
      <c r="I2767" s="1070"/>
      <c r="J2767" s="1071" t="e">
        <f>SUM(J2758:J2763)-J2766</f>
        <v>#N/A</v>
      </c>
    </row>
    <row r="2768" spans="1:15" ht="12.6" customHeight="1">
      <c r="A2768" s="1074"/>
      <c r="B2768" s="1075"/>
      <c r="C2768" s="1076"/>
      <c r="D2768" s="1077"/>
      <c r="E2768" s="1077"/>
      <c r="F2768" s="1078"/>
      <c r="G2768" s="1074"/>
      <c r="H2768" s="1075"/>
      <c r="I2768" s="1076"/>
      <c r="J2768" s="1077"/>
    </row>
    <row r="2769" spans="1:15" ht="12.6" customHeight="1">
      <c r="A2769" s="1075"/>
      <c r="B2769" s="1075"/>
      <c r="C2769" s="1079"/>
      <c r="D2769" s="1080"/>
      <c r="E2769" s="1075"/>
      <c r="F2769" s="1081"/>
      <c r="G2769" s="1075"/>
      <c r="H2769" s="1075"/>
      <c r="I2769" s="1079"/>
      <c r="J2769" s="1080"/>
    </row>
    <row r="2770" spans="1:15" ht="15" customHeight="1">
      <c r="A2770" s="2242" t="str">
        <f>$K$2</f>
        <v>THÁNG 09/2024</v>
      </c>
      <c r="B2770" s="2242"/>
      <c r="C2770" s="2242"/>
      <c r="D2770" s="2242"/>
      <c r="E2770" s="1050"/>
      <c r="F2770" s="1051"/>
      <c r="G2770" s="2242" t="str">
        <f>$K$2</f>
        <v>THÁNG 09/2024</v>
      </c>
      <c r="H2770" s="2242"/>
      <c r="I2770" s="2242"/>
      <c r="J2770" s="2242"/>
      <c r="K2770" s="624"/>
    </row>
    <row r="2771" spans="1:15" ht="15" customHeight="1">
      <c r="A2771" s="1052" t="s">
        <v>356</v>
      </c>
      <c r="B2771" s="1053" t="s">
        <v>264</v>
      </c>
      <c r="C2771" s="869"/>
      <c r="D2771" s="1049"/>
      <c r="E2771" s="1054"/>
      <c r="F2771" s="1055"/>
      <c r="G2771" s="1052" t="s">
        <v>356</v>
      </c>
      <c r="H2771" s="1053" t="s">
        <v>265</v>
      </c>
      <c r="I2771" s="869"/>
      <c r="J2771" s="1049"/>
      <c r="L2771" s="1088"/>
      <c r="M2771" s="1088"/>
      <c r="N2771" s="1088"/>
      <c r="O2771" s="1088"/>
    </row>
    <row r="2772" spans="1:15" ht="15" customHeight="1">
      <c r="A2772" s="1052" t="s">
        <v>359</v>
      </c>
      <c r="B2772" s="1089" t="s">
        <v>360</v>
      </c>
      <c r="C2772" s="1058" t="e">
        <f>VLOOKUP(B2771,'LƯƠNG KT'!$D$15:$U$94,3,0)</f>
        <v>#N/A</v>
      </c>
      <c r="D2772" s="1059" t="e">
        <f>+C2772*25000</f>
        <v>#N/A</v>
      </c>
      <c r="E2772" s="1060"/>
      <c r="F2772" s="1060"/>
      <c r="G2772" s="1052" t="s">
        <v>359</v>
      </c>
      <c r="H2772" s="1089" t="s">
        <v>360</v>
      </c>
      <c r="I2772" s="1058" t="e">
        <f>VLOOKUP(H2771,'LƯƠNG KT'!$D$15:$U$94,3,0)</f>
        <v>#N/A</v>
      </c>
      <c r="J2772" s="1059" t="e">
        <f>+I2772*25000</f>
        <v>#N/A</v>
      </c>
      <c r="K2772" s="1085"/>
      <c r="L2772" s="1085"/>
      <c r="M2772" s="1085"/>
      <c r="N2772" s="1085"/>
      <c r="O2772" s="1085"/>
    </row>
    <row r="2773" spans="1:15" ht="15" customHeight="1">
      <c r="A2773" s="1052" t="s">
        <v>361</v>
      </c>
      <c r="B2773" s="869" t="s">
        <v>362</v>
      </c>
      <c r="C2773" s="1058" t="e">
        <f>VLOOKUP(B2771,'LƯƠNG KT'!$D$15:$U$94,14,0)</f>
        <v>#N/A</v>
      </c>
      <c r="D2773" s="1059" t="e">
        <f>C2773*$L$4</f>
        <v>#N/A</v>
      </c>
      <c r="E2773" s="1061"/>
      <c r="F2773" s="1061"/>
      <c r="G2773" s="1052" t="s">
        <v>361</v>
      </c>
      <c r="H2773" s="869" t="s">
        <v>362</v>
      </c>
      <c r="I2773" s="1058" t="e">
        <f>VLOOKUP(H2771,'LƯƠNG KT'!$D$15:$U$94,14,0)</f>
        <v>#N/A</v>
      </c>
      <c r="J2773" s="1059" t="e">
        <f>I2773*$L$4</f>
        <v>#N/A</v>
      </c>
      <c r="K2773" s="1085"/>
      <c r="L2773" s="1085"/>
      <c r="M2773" s="1085"/>
      <c r="N2773" s="1085"/>
      <c r="O2773" s="1085"/>
    </row>
    <row r="2774" spans="1:15" ht="15" customHeight="1">
      <c r="A2774" s="1052" t="s">
        <v>364</v>
      </c>
      <c r="B2774" s="869" t="s">
        <v>365</v>
      </c>
      <c r="C2774" s="1058" t="e">
        <f>VLOOKUP(B2771,'LƯƠNG KT'!$D$15:$U$94,15,0)</f>
        <v>#N/A</v>
      </c>
      <c r="D2774" s="1059" t="e">
        <f>C2774*$L$5</f>
        <v>#N/A</v>
      </c>
      <c r="E2774" s="1061"/>
      <c r="F2774" s="1061"/>
      <c r="G2774" s="1052" t="s">
        <v>364</v>
      </c>
      <c r="H2774" s="869" t="s">
        <v>365</v>
      </c>
      <c r="I2774" s="1058" t="e">
        <f>VLOOKUP(H2771,'LƯƠNG KT'!$D$15:$U$94,15,0)</f>
        <v>#N/A</v>
      </c>
      <c r="J2774" s="1059" t="e">
        <f>I2774*$L$5</f>
        <v>#N/A</v>
      </c>
      <c r="K2774" s="1085"/>
      <c r="L2774" s="1085"/>
      <c r="M2774" s="1085"/>
      <c r="N2774" s="1085"/>
      <c r="O2774" s="1085"/>
    </row>
    <row r="2775" spans="1:15" ht="15" customHeight="1">
      <c r="A2775" s="1052" t="s">
        <v>367</v>
      </c>
      <c r="B2775" s="869"/>
      <c r="C2775" s="1058" t="e">
        <f>VLOOKUP(B2771,'LƯƠNG KT'!$D$15:$U$94,16,0)</f>
        <v>#N/A</v>
      </c>
      <c r="D2775" s="1059" t="e">
        <f>+C2775*$L$6</f>
        <v>#N/A</v>
      </c>
      <c r="E2775" s="1061"/>
      <c r="F2775" s="1061"/>
      <c r="G2775" s="1052" t="s">
        <v>367</v>
      </c>
      <c r="H2775" s="869"/>
      <c r="I2775" s="1058" t="e">
        <f>VLOOKUP(H2771,'LƯƠNG KT'!$D$15:$U$94,16,0)</f>
        <v>#N/A</v>
      </c>
      <c r="J2775" s="1059" t="e">
        <f>+I2775*$L$6</f>
        <v>#N/A</v>
      </c>
      <c r="K2775" s="1085"/>
      <c r="L2775" s="1085"/>
      <c r="M2775" s="1085"/>
      <c r="N2775" s="1085"/>
      <c r="O2775" s="1085"/>
    </row>
    <row r="2776" spans="1:15" ht="15" customHeight="1">
      <c r="A2776" s="1052" t="s">
        <v>371</v>
      </c>
      <c r="B2776" s="869" t="s">
        <v>372</v>
      </c>
      <c r="C2776" s="1058" t="e">
        <f>VLOOKUP(B2771,'LƯƠNG KT'!$D$15:$U$94,9,0)*$L$10</f>
        <v>#N/A</v>
      </c>
      <c r="D2776" s="1059" t="e">
        <f>+C2776*0.5*3000</f>
        <v>#N/A</v>
      </c>
      <c r="E2776" s="1061"/>
      <c r="F2776" s="1061"/>
      <c r="G2776" s="1052" t="s">
        <v>371</v>
      </c>
      <c r="H2776" s="869" t="s">
        <v>372</v>
      </c>
      <c r="I2776" s="1058" t="e">
        <f>VLOOKUP(H2771,'LƯƠNG KT'!$D$15:$U$94,9,0)*$L$10</f>
        <v>#N/A</v>
      </c>
      <c r="J2776" s="1059" t="e">
        <f>+I2776*0.5*3000</f>
        <v>#N/A</v>
      </c>
      <c r="K2776" s="1085"/>
      <c r="L2776" s="1085"/>
      <c r="M2776" s="1085"/>
      <c r="N2776" s="1085"/>
      <c r="O2776" s="1085"/>
    </row>
    <row r="2777" spans="1:15" ht="15" customHeight="1">
      <c r="A2777" s="1052" t="s">
        <v>374</v>
      </c>
      <c r="B2777" s="869" t="s">
        <v>375</v>
      </c>
      <c r="C2777" s="1058" t="e">
        <f>VLOOKUP(B2771,'LƯƠNG KT'!$D$15:$U$94,8,0)*$L$11</f>
        <v>#N/A</v>
      </c>
      <c r="D2777" s="1059" t="e">
        <f>VLOOKUP(B2771,'LƯƠNG KT'!$D$15:$U$94,13,0)-D2776</f>
        <v>#N/A</v>
      </c>
      <c r="E2777" s="1063"/>
      <c r="F2777" s="1061"/>
      <c r="G2777" s="1052" t="s">
        <v>374</v>
      </c>
      <c r="H2777" s="869" t="s">
        <v>375</v>
      </c>
      <c r="I2777" s="1058" t="e">
        <f>VLOOKUP(H2771,'LƯƠNG KT'!$D$15:$U$94,8,0)*$L$11</f>
        <v>#N/A</v>
      </c>
      <c r="J2777" s="1059" t="e">
        <f>VLOOKUP(H2771,'LƯƠNG KT'!$D$15:$U$94,13,0)-J2776</f>
        <v>#N/A</v>
      </c>
      <c r="K2777" s="1085"/>
      <c r="L2777" s="1085"/>
      <c r="M2777" s="1085"/>
      <c r="N2777" s="1085"/>
      <c r="O2777" s="1085"/>
    </row>
    <row r="2778" spans="1:15" ht="15" customHeight="1">
      <c r="A2778" s="1059" t="s">
        <v>377</v>
      </c>
      <c r="B2778" s="869" t="s">
        <v>378</v>
      </c>
      <c r="C2778" s="1058"/>
      <c r="D2778" s="1059"/>
      <c r="E2778" s="1065"/>
      <c r="F2778" s="1065"/>
      <c r="G2778" s="1059" t="s">
        <v>377</v>
      </c>
      <c r="H2778" s="869" t="s">
        <v>378</v>
      </c>
      <c r="I2778" s="1058"/>
      <c r="J2778" s="1059"/>
    </row>
    <row r="2779" spans="1:15" ht="15" customHeight="1">
      <c r="A2779" s="1066" t="s">
        <v>379</v>
      </c>
      <c r="B2779" s="869" t="s">
        <v>380</v>
      </c>
      <c r="C2779" s="1058"/>
      <c r="D2779" s="1059"/>
      <c r="E2779" s="1063"/>
      <c r="F2779" s="1065"/>
      <c r="G2779" s="1066" t="s">
        <v>379</v>
      </c>
      <c r="H2779" s="869" t="s">
        <v>380</v>
      </c>
      <c r="I2779" s="1058"/>
      <c r="J2779" s="1059"/>
    </row>
    <row r="2780" spans="1:15" ht="15" customHeight="1">
      <c r="A2780" s="1052" t="s">
        <v>381</v>
      </c>
      <c r="B2780" s="869" t="s">
        <v>382</v>
      </c>
      <c r="C2780" s="1058"/>
      <c r="D2780" s="1059">
        <f>D2779</f>
        <v>0</v>
      </c>
      <c r="E2780" s="1067"/>
      <c r="F2780" s="1051"/>
      <c r="G2780" s="1052" t="s">
        <v>381</v>
      </c>
      <c r="H2780" s="869" t="s">
        <v>382</v>
      </c>
      <c r="I2780" s="1058"/>
      <c r="J2780" s="1059">
        <f>J2779</f>
        <v>0</v>
      </c>
    </row>
    <row r="2781" spans="1:15" ht="15" customHeight="1">
      <c r="A2781" s="1068" t="s">
        <v>383</v>
      </c>
      <c r="B2781" s="1069" t="s">
        <v>384</v>
      </c>
      <c r="C2781" s="1070"/>
      <c r="D2781" s="1071" t="e">
        <f>SUM(D2772:D2777)-D2780</f>
        <v>#N/A</v>
      </c>
      <c r="E2781" s="1072"/>
      <c r="F2781" s="1073"/>
      <c r="G2781" s="1068" t="s">
        <v>383</v>
      </c>
      <c r="H2781" s="1069" t="s">
        <v>384</v>
      </c>
      <c r="I2781" s="1070"/>
      <c r="J2781" s="1071" t="e">
        <f>SUM(J2772:J2777)-J2780</f>
        <v>#N/A</v>
      </c>
    </row>
    <row r="2782" spans="1:15" ht="18.75" customHeight="1">
      <c r="A2782" s="1074"/>
      <c r="B2782" s="1075"/>
      <c r="C2782" s="1076"/>
      <c r="D2782" s="1077"/>
      <c r="E2782" s="1077"/>
      <c r="F2782" s="1078"/>
      <c r="G2782" s="1074"/>
      <c r="H2782" s="1075"/>
      <c r="I2782" s="1076"/>
      <c r="J2782" s="1077"/>
    </row>
    <row r="2783" spans="1:15" ht="18.75" customHeight="1">
      <c r="A2783" s="1075"/>
      <c r="B2783" s="1075"/>
      <c r="C2783" s="1079"/>
      <c r="D2783" s="1080"/>
      <c r="E2783" s="1075"/>
      <c r="F2783" s="1081"/>
      <c r="G2783" s="1075"/>
      <c r="H2783" s="1075"/>
      <c r="I2783" s="1079"/>
      <c r="J2783" s="1080"/>
    </row>
    <row r="2784" spans="1:15" ht="15" customHeight="1">
      <c r="A2784" s="2242" t="str">
        <f>$K$2</f>
        <v>THÁNG 09/2024</v>
      </c>
      <c r="B2784" s="2242"/>
      <c r="C2784" s="2242"/>
      <c r="D2784" s="2242"/>
      <c r="E2784" s="1050"/>
      <c r="F2784" s="1051"/>
      <c r="G2784" s="2242" t="str">
        <f>$K$2</f>
        <v>THÁNG 09/2024</v>
      </c>
      <c r="H2784" s="2242"/>
      <c r="I2784" s="2242"/>
      <c r="J2784" s="2242"/>
      <c r="K2784" s="624"/>
    </row>
    <row r="2785" spans="1:15" ht="15" customHeight="1">
      <c r="A2785" s="1052" t="s">
        <v>356</v>
      </c>
      <c r="B2785" s="1053" t="s">
        <v>266</v>
      </c>
      <c r="C2785" s="869"/>
      <c r="D2785" s="1049"/>
      <c r="E2785" s="1054"/>
      <c r="F2785" s="1055"/>
      <c r="G2785" s="1052" t="s">
        <v>356</v>
      </c>
      <c r="H2785" s="1053" t="s">
        <v>267</v>
      </c>
      <c r="I2785" s="869"/>
      <c r="J2785" s="1049"/>
      <c r="L2785" s="1088"/>
      <c r="M2785" s="1088"/>
      <c r="N2785" s="1088"/>
      <c r="O2785" s="1088"/>
    </row>
    <row r="2786" spans="1:15" ht="15" customHeight="1">
      <c r="A2786" s="1052" t="s">
        <v>359</v>
      </c>
      <c r="B2786" s="1089" t="s">
        <v>360</v>
      </c>
      <c r="C2786" s="1058" t="e">
        <f>VLOOKUP(B2785,'LƯƠNG KT'!$D$15:$U$94,3,0)</f>
        <v>#N/A</v>
      </c>
      <c r="D2786" s="1059" t="e">
        <f>+C2786*25000</f>
        <v>#N/A</v>
      </c>
      <c r="E2786" s="1060"/>
      <c r="F2786" s="1060"/>
      <c r="G2786" s="1052" t="s">
        <v>359</v>
      </c>
      <c r="H2786" s="1089" t="s">
        <v>360</v>
      </c>
      <c r="I2786" s="1058" t="e">
        <f>VLOOKUP(H2785,'LƯƠNG KT'!$D$15:$U$94,3,0)</f>
        <v>#N/A</v>
      </c>
      <c r="J2786" s="1059" t="e">
        <f>+I2786*25000</f>
        <v>#N/A</v>
      </c>
      <c r="K2786" s="1085"/>
      <c r="L2786" s="1085"/>
      <c r="M2786" s="1085"/>
      <c r="N2786" s="1085"/>
      <c r="O2786" s="1085"/>
    </row>
    <row r="2787" spans="1:15" ht="15" customHeight="1">
      <c r="A2787" s="1052" t="s">
        <v>361</v>
      </c>
      <c r="B2787" s="869" t="s">
        <v>362</v>
      </c>
      <c r="C2787" s="1058" t="e">
        <f>VLOOKUP(B2785,'LƯƠNG KT'!$D$15:$U$94,14,0)</f>
        <v>#N/A</v>
      </c>
      <c r="D2787" s="1059" t="e">
        <f>C2787*$L$4</f>
        <v>#N/A</v>
      </c>
      <c r="E2787" s="1061"/>
      <c r="F2787" s="1061"/>
      <c r="G2787" s="1052" t="s">
        <v>361</v>
      </c>
      <c r="H2787" s="869" t="s">
        <v>362</v>
      </c>
      <c r="I2787" s="1058" t="e">
        <f>VLOOKUP(H2785,'LƯƠNG KT'!$D$15:$U$94,14,0)</f>
        <v>#N/A</v>
      </c>
      <c r="J2787" s="1059" t="e">
        <f>I2787*$L$4</f>
        <v>#N/A</v>
      </c>
      <c r="K2787" s="1085"/>
      <c r="L2787" s="1085"/>
      <c r="M2787" s="1085"/>
      <c r="N2787" s="1085"/>
      <c r="O2787" s="1085"/>
    </row>
    <row r="2788" spans="1:15" ht="15" customHeight="1">
      <c r="A2788" s="1052" t="s">
        <v>364</v>
      </c>
      <c r="B2788" s="869" t="s">
        <v>365</v>
      </c>
      <c r="C2788" s="1058" t="e">
        <f>VLOOKUP(B2785,'LƯƠNG KT'!$D$15:$U$94,15,0)</f>
        <v>#N/A</v>
      </c>
      <c r="D2788" s="1059" t="e">
        <f>C2788*$L$5</f>
        <v>#N/A</v>
      </c>
      <c r="E2788" s="1061"/>
      <c r="F2788" s="1061"/>
      <c r="G2788" s="1052" t="s">
        <v>364</v>
      </c>
      <c r="H2788" s="869" t="s">
        <v>365</v>
      </c>
      <c r="I2788" s="1058" t="e">
        <f>VLOOKUP(H2785,'LƯƠNG KT'!$D$15:$U$94,15,0)</f>
        <v>#N/A</v>
      </c>
      <c r="J2788" s="1059" t="e">
        <f>I2788*$L$5</f>
        <v>#N/A</v>
      </c>
      <c r="K2788" s="1085"/>
      <c r="L2788" s="1085"/>
      <c r="M2788" s="1085"/>
      <c r="N2788" s="1085"/>
      <c r="O2788" s="1085"/>
    </row>
    <row r="2789" spans="1:15" ht="15" customHeight="1">
      <c r="A2789" s="1052" t="s">
        <v>367</v>
      </c>
      <c r="B2789" s="869"/>
      <c r="C2789" s="1058" t="e">
        <f>VLOOKUP(B2785,'LƯƠNG KT'!$D$15:$U$94,16,0)</f>
        <v>#N/A</v>
      </c>
      <c r="D2789" s="1059" t="e">
        <f>+C2789*$L$6</f>
        <v>#N/A</v>
      </c>
      <c r="E2789" s="1061"/>
      <c r="F2789" s="1061"/>
      <c r="G2789" s="1052" t="s">
        <v>367</v>
      </c>
      <c r="H2789" s="869"/>
      <c r="I2789" s="1058" t="e">
        <f>VLOOKUP(H2785,'LƯƠNG KT'!$D$15:$U$94,16,0)</f>
        <v>#N/A</v>
      </c>
      <c r="J2789" s="1059" t="e">
        <f>+I2789*$L$6</f>
        <v>#N/A</v>
      </c>
      <c r="K2789" s="1085"/>
      <c r="L2789" s="1085"/>
      <c r="M2789" s="1085"/>
      <c r="N2789" s="1085"/>
      <c r="O2789" s="1085"/>
    </row>
    <row r="2790" spans="1:15" ht="15" customHeight="1">
      <c r="A2790" s="1052" t="s">
        <v>371</v>
      </c>
      <c r="B2790" s="869" t="s">
        <v>372</v>
      </c>
      <c r="C2790" s="1058" t="e">
        <f>VLOOKUP(B2785,'LƯƠNG KT'!$D$15:$U$94,9,0)*$L$10</f>
        <v>#N/A</v>
      </c>
      <c r="D2790" s="1059" t="e">
        <f>+C2790*0.5*3000</f>
        <v>#N/A</v>
      </c>
      <c r="E2790" s="1061"/>
      <c r="F2790" s="1061"/>
      <c r="G2790" s="1052" t="s">
        <v>371</v>
      </c>
      <c r="H2790" s="869" t="s">
        <v>372</v>
      </c>
      <c r="I2790" s="1058" t="e">
        <f>VLOOKUP(H2785,'LƯƠNG KT'!$D$15:$U$94,9,0)*$L$10</f>
        <v>#N/A</v>
      </c>
      <c r="J2790" s="1059" t="e">
        <f>+I2790*0.5*3000</f>
        <v>#N/A</v>
      </c>
      <c r="K2790" s="1085"/>
      <c r="L2790" s="1085"/>
      <c r="M2790" s="1085"/>
      <c r="N2790" s="1085"/>
      <c r="O2790" s="1085"/>
    </row>
    <row r="2791" spans="1:15" ht="15" customHeight="1">
      <c r="A2791" s="1052" t="s">
        <v>374</v>
      </c>
      <c r="B2791" s="869" t="s">
        <v>375</v>
      </c>
      <c r="C2791" s="1058" t="e">
        <f>VLOOKUP(B2785,'LƯƠNG KT'!$D$15:$U$94,8,0)*$L$11</f>
        <v>#N/A</v>
      </c>
      <c r="D2791" s="1059" t="e">
        <f>VLOOKUP(B2785,'LƯƠNG KT'!$D$15:$U$94,13,0)-D2790</f>
        <v>#N/A</v>
      </c>
      <c r="E2791" s="1063"/>
      <c r="F2791" s="1061"/>
      <c r="G2791" s="1052" t="s">
        <v>374</v>
      </c>
      <c r="H2791" s="869" t="s">
        <v>375</v>
      </c>
      <c r="I2791" s="1058" t="e">
        <f>VLOOKUP(H2785,'LƯƠNG KT'!$D$15:$U$94,8,0)*$L$11</f>
        <v>#N/A</v>
      </c>
      <c r="J2791" s="1059" t="e">
        <f>VLOOKUP(H2785,'LƯƠNG KT'!$D$15:$U$94,13,0)-J2790</f>
        <v>#N/A</v>
      </c>
      <c r="K2791" s="1085"/>
      <c r="L2791" s="1085"/>
      <c r="M2791" s="1085"/>
      <c r="N2791" s="1085"/>
      <c r="O2791" s="1085"/>
    </row>
    <row r="2792" spans="1:15" ht="15" customHeight="1">
      <c r="A2792" s="1059" t="s">
        <v>377</v>
      </c>
      <c r="B2792" s="869" t="s">
        <v>378</v>
      </c>
      <c r="C2792" s="1058"/>
      <c r="D2792" s="1059"/>
      <c r="E2792" s="1065"/>
      <c r="F2792" s="1065"/>
      <c r="G2792" s="1059" t="s">
        <v>377</v>
      </c>
      <c r="H2792" s="869" t="s">
        <v>378</v>
      </c>
      <c r="I2792" s="1058"/>
      <c r="J2792" s="1059"/>
    </row>
    <row r="2793" spans="1:15" ht="15" customHeight="1">
      <c r="A2793" s="1066" t="s">
        <v>379</v>
      </c>
      <c r="B2793" s="869" t="s">
        <v>380</v>
      </c>
      <c r="C2793" s="1058"/>
      <c r="D2793" s="1059"/>
      <c r="E2793" s="1063"/>
      <c r="F2793" s="1065"/>
      <c r="G2793" s="1066" t="s">
        <v>379</v>
      </c>
      <c r="H2793" s="869" t="s">
        <v>380</v>
      </c>
      <c r="I2793" s="1058"/>
      <c r="J2793" s="1059"/>
    </row>
    <row r="2794" spans="1:15" ht="15" customHeight="1">
      <c r="A2794" s="1052" t="s">
        <v>381</v>
      </c>
      <c r="B2794" s="869" t="s">
        <v>382</v>
      </c>
      <c r="C2794" s="1058"/>
      <c r="D2794" s="1059">
        <f>D2793</f>
        <v>0</v>
      </c>
      <c r="E2794" s="1067"/>
      <c r="F2794" s="1051"/>
      <c r="G2794" s="1052" t="s">
        <v>381</v>
      </c>
      <c r="H2794" s="869" t="s">
        <v>382</v>
      </c>
      <c r="I2794" s="1058"/>
      <c r="J2794" s="1059">
        <f>J2793</f>
        <v>0</v>
      </c>
    </row>
    <row r="2795" spans="1:15" ht="15" customHeight="1">
      <c r="A2795" s="1068" t="s">
        <v>383</v>
      </c>
      <c r="B2795" s="1069" t="s">
        <v>384</v>
      </c>
      <c r="C2795" s="1070"/>
      <c r="D2795" s="1071" t="e">
        <f>SUM(D2786:D2791)-D2794</f>
        <v>#N/A</v>
      </c>
      <c r="E2795" s="1072"/>
      <c r="F2795" s="1073"/>
      <c r="G2795" s="1068" t="s">
        <v>383</v>
      </c>
      <c r="H2795" s="1069" t="s">
        <v>384</v>
      </c>
      <c r="I2795" s="1070"/>
      <c r="J2795" s="1071" t="e">
        <f>SUM(J2786:J2791)-J2794</f>
        <v>#N/A</v>
      </c>
    </row>
    <row r="2796" spans="1:15" ht="18.75" customHeight="1">
      <c r="A2796" s="1074"/>
      <c r="B2796" s="1075"/>
      <c r="C2796" s="1076"/>
      <c r="D2796" s="1077"/>
      <c r="E2796" s="1077"/>
      <c r="F2796" s="1078"/>
      <c r="G2796" s="1074"/>
      <c r="H2796" s="1075"/>
      <c r="I2796" s="1076"/>
      <c r="J2796" s="1077"/>
    </row>
    <row r="2797" spans="1:15" ht="18.75" customHeight="1">
      <c r="A2797" s="1075"/>
      <c r="B2797" s="1075"/>
      <c r="C2797" s="1079"/>
      <c r="D2797" s="1080"/>
      <c r="E2797" s="1075"/>
      <c r="F2797" s="1081"/>
      <c r="G2797" s="1075"/>
      <c r="H2797" s="1075"/>
      <c r="I2797" s="1079"/>
      <c r="J2797" s="1080"/>
    </row>
    <row r="2798" spans="1:15" ht="15" customHeight="1">
      <c r="A2798" s="2242" t="str">
        <f>$K$2</f>
        <v>THÁNG 09/2024</v>
      </c>
      <c r="B2798" s="2242"/>
      <c r="C2798" s="2242"/>
      <c r="D2798" s="2242"/>
      <c r="E2798" s="1050"/>
      <c r="F2798" s="1051"/>
      <c r="G2798" s="2242" t="str">
        <f>$K$2</f>
        <v>THÁNG 09/2024</v>
      </c>
      <c r="H2798" s="2242"/>
      <c r="I2798" s="2242"/>
      <c r="J2798" s="2242"/>
      <c r="K2798" s="624"/>
    </row>
    <row r="2799" spans="1:15" ht="15" customHeight="1">
      <c r="A2799" s="1052" t="s">
        <v>356</v>
      </c>
      <c r="B2799" s="1053" t="s">
        <v>268</v>
      </c>
      <c r="C2799" s="869"/>
      <c r="D2799" s="1049"/>
      <c r="E2799" s="1054"/>
      <c r="F2799" s="1055"/>
      <c r="G2799" s="1052" t="s">
        <v>356</v>
      </c>
      <c r="H2799" s="1053" t="s">
        <v>269</v>
      </c>
      <c r="I2799" s="869"/>
      <c r="J2799" s="1049"/>
      <c r="L2799" s="1088"/>
      <c r="M2799" s="1088"/>
      <c r="N2799" s="1088"/>
      <c r="O2799" s="1088"/>
    </row>
    <row r="2800" spans="1:15" ht="15" customHeight="1">
      <c r="A2800" s="1052" t="s">
        <v>359</v>
      </c>
      <c r="B2800" s="1089" t="s">
        <v>360</v>
      </c>
      <c r="C2800" s="1058" t="e">
        <f>VLOOKUP(B2799,'LƯƠNG KT'!$D$15:$U$94,3,0)</f>
        <v>#N/A</v>
      </c>
      <c r="D2800" s="1059" t="e">
        <f>+C2800*25000</f>
        <v>#N/A</v>
      </c>
      <c r="E2800" s="1060"/>
      <c r="F2800" s="1060"/>
      <c r="G2800" s="1052" t="s">
        <v>359</v>
      </c>
      <c r="H2800" s="1089" t="s">
        <v>360</v>
      </c>
      <c r="I2800" s="1058" t="e">
        <f>VLOOKUP(H2799,'LƯƠNG KT'!$D$15:$U$94,3,0)</f>
        <v>#N/A</v>
      </c>
      <c r="J2800" s="1059" t="e">
        <f>+I2800*25000</f>
        <v>#N/A</v>
      </c>
      <c r="K2800" s="1085"/>
      <c r="L2800" s="1085"/>
      <c r="M2800" s="1085"/>
      <c r="N2800" s="1085"/>
      <c r="O2800" s="1085"/>
    </row>
    <row r="2801" spans="1:15" ht="15" customHeight="1">
      <c r="A2801" s="1052" t="s">
        <v>361</v>
      </c>
      <c r="B2801" s="869" t="s">
        <v>362</v>
      </c>
      <c r="C2801" s="1058" t="e">
        <f>VLOOKUP(B2799,'LƯƠNG KT'!$D$15:$U$94,14,0)</f>
        <v>#N/A</v>
      </c>
      <c r="D2801" s="1059" t="e">
        <f>C2801*$L$4</f>
        <v>#N/A</v>
      </c>
      <c r="E2801" s="1061"/>
      <c r="F2801" s="1061"/>
      <c r="G2801" s="1052" t="s">
        <v>361</v>
      </c>
      <c r="H2801" s="869" t="s">
        <v>362</v>
      </c>
      <c r="I2801" s="1058" t="e">
        <f>VLOOKUP(H2799,'LƯƠNG KT'!$D$15:$U$94,14,0)</f>
        <v>#N/A</v>
      </c>
      <c r="J2801" s="1059" t="e">
        <f>I2801*$L$4</f>
        <v>#N/A</v>
      </c>
      <c r="K2801" s="1085"/>
      <c r="L2801" s="1085"/>
      <c r="M2801" s="1085"/>
      <c r="N2801" s="1085"/>
      <c r="O2801" s="1085"/>
    </row>
    <row r="2802" spans="1:15" ht="15" customHeight="1">
      <c r="A2802" s="1052" t="s">
        <v>364</v>
      </c>
      <c r="B2802" s="869" t="s">
        <v>365</v>
      </c>
      <c r="C2802" s="1058" t="e">
        <f>VLOOKUP(B2799,'LƯƠNG KT'!$D$15:$U$94,15,0)</f>
        <v>#N/A</v>
      </c>
      <c r="D2802" s="1059" t="e">
        <f>C2802*$L$5</f>
        <v>#N/A</v>
      </c>
      <c r="E2802" s="1061"/>
      <c r="F2802" s="1061"/>
      <c r="G2802" s="1052" t="s">
        <v>364</v>
      </c>
      <c r="H2802" s="869" t="s">
        <v>365</v>
      </c>
      <c r="I2802" s="1058" t="e">
        <f>VLOOKUP(H2799,'LƯƠNG KT'!$D$15:$U$94,15,0)</f>
        <v>#N/A</v>
      </c>
      <c r="J2802" s="1059" t="e">
        <f>I2802*$L$5</f>
        <v>#N/A</v>
      </c>
      <c r="K2802" s="1085"/>
      <c r="L2802" s="1085"/>
      <c r="M2802" s="1085"/>
      <c r="N2802" s="1085"/>
      <c r="O2802" s="1085"/>
    </row>
    <row r="2803" spans="1:15" ht="15" customHeight="1">
      <c r="A2803" s="1052" t="s">
        <v>367</v>
      </c>
      <c r="B2803" s="869"/>
      <c r="C2803" s="1058" t="e">
        <f>VLOOKUP(B2799,'LƯƠNG KT'!$D$15:$U$94,16,0)</f>
        <v>#N/A</v>
      </c>
      <c r="D2803" s="1059" t="e">
        <f>+C2803*$L$6</f>
        <v>#N/A</v>
      </c>
      <c r="E2803" s="1061"/>
      <c r="F2803" s="1061"/>
      <c r="G2803" s="1052" t="s">
        <v>367</v>
      </c>
      <c r="H2803" s="869"/>
      <c r="I2803" s="1058" t="e">
        <f>VLOOKUP(H2799,'LƯƠNG KT'!$D$15:$U$94,16,0)</f>
        <v>#N/A</v>
      </c>
      <c r="J2803" s="1059" t="e">
        <f>+I2803*$L$6</f>
        <v>#N/A</v>
      </c>
      <c r="K2803" s="1085"/>
      <c r="L2803" s="1085"/>
      <c r="M2803" s="1085"/>
      <c r="N2803" s="1085"/>
      <c r="O2803" s="1085"/>
    </row>
    <row r="2804" spans="1:15" ht="15" customHeight="1">
      <c r="A2804" s="1052" t="s">
        <v>371</v>
      </c>
      <c r="B2804" s="869" t="s">
        <v>372</v>
      </c>
      <c r="C2804" s="1058" t="e">
        <f>VLOOKUP(B2799,'LƯƠNG KT'!$D$15:$U$94,9,0)*$L$10</f>
        <v>#N/A</v>
      </c>
      <c r="D2804" s="1059" t="e">
        <f>+C2804*0.5*3000</f>
        <v>#N/A</v>
      </c>
      <c r="E2804" s="1061"/>
      <c r="F2804" s="1061"/>
      <c r="G2804" s="1052" t="s">
        <v>371</v>
      </c>
      <c r="H2804" s="869" t="s">
        <v>372</v>
      </c>
      <c r="I2804" s="1058" t="e">
        <f>VLOOKUP(H2799,'LƯƠNG KT'!$D$15:$U$94,9,0)*$L$10</f>
        <v>#N/A</v>
      </c>
      <c r="J2804" s="1059" t="e">
        <f>+I2804*0.5*3000</f>
        <v>#N/A</v>
      </c>
      <c r="K2804" s="1085"/>
      <c r="L2804" s="1085"/>
      <c r="M2804" s="1085"/>
      <c r="N2804" s="1085"/>
      <c r="O2804" s="1085"/>
    </row>
    <row r="2805" spans="1:15" ht="15" customHeight="1">
      <c r="A2805" s="1052" t="s">
        <v>374</v>
      </c>
      <c r="B2805" s="869" t="s">
        <v>375</v>
      </c>
      <c r="C2805" s="1058" t="e">
        <f>VLOOKUP(B2799,'LƯƠNG KT'!$D$15:$U$94,8,0)*$L$11</f>
        <v>#N/A</v>
      </c>
      <c r="D2805" s="1059" t="e">
        <f>VLOOKUP(B2799,'LƯƠNG KT'!$D$15:$U$94,13,0)-D2804</f>
        <v>#N/A</v>
      </c>
      <c r="E2805" s="1063"/>
      <c r="F2805" s="1061"/>
      <c r="G2805" s="1052" t="s">
        <v>374</v>
      </c>
      <c r="H2805" s="869" t="s">
        <v>375</v>
      </c>
      <c r="I2805" s="1058" t="e">
        <f>VLOOKUP(H2799,'LƯƠNG KT'!$D$15:$U$94,8,0)*$L$11</f>
        <v>#N/A</v>
      </c>
      <c r="J2805" s="1059" t="e">
        <f>VLOOKUP(H2799,'LƯƠNG KT'!$D$15:$U$94,13,0)-J2804</f>
        <v>#N/A</v>
      </c>
      <c r="K2805" s="1085"/>
      <c r="L2805" s="1085"/>
      <c r="M2805" s="1085"/>
      <c r="N2805" s="1085"/>
      <c r="O2805" s="1085"/>
    </row>
    <row r="2806" spans="1:15" ht="15" customHeight="1">
      <c r="A2806" s="1059" t="s">
        <v>377</v>
      </c>
      <c r="B2806" s="869" t="s">
        <v>378</v>
      </c>
      <c r="C2806" s="1058"/>
      <c r="D2806" s="1059"/>
      <c r="E2806" s="1065"/>
      <c r="F2806" s="1065"/>
      <c r="G2806" s="1059" t="s">
        <v>377</v>
      </c>
      <c r="H2806" s="869" t="s">
        <v>378</v>
      </c>
      <c r="I2806" s="1058"/>
      <c r="J2806" s="1059"/>
    </row>
    <row r="2807" spans="1:15" ht="15" customHeight="1">
      <c r="A2807" s="1066" t="s">
        <v>379</v>
      </c>
      <c r="B2807" s="869" t="s">
        <v>380</v>
      </c>
      <c r="C2807" s="1058"/>
      <c r="D2807" s="1059"/>
      <c r="E2807" s="1063"/>
      <c r="F2807" s="1065"/>
      <c r="G2807" s="1066" t="s">
        <v>379</v>
      </c>
      <c r="H2807" s="869" t="s">
        <v>380</v>
      </c>
      <c r="I2807" s="1058"/>
      <c r="J2807" s="1059"/>
    </row>
    <row r="2808" spans="1:15" ht="15" customHeight="1">
      <c r="A2808" s="1052" t="s">
        <v>381</v>
      </c>
      <c r="B2808" s="869" t="s">
        <v>382</v>
      </c>
      <c r="C2808" s="1058"/>
      <c r="D2808" s="1059">
        <f>D2807</f>
        <v>0</v>
      </c>
      <c r="E2808" s="1067"/>
      <c r="F2808" s="1051"/>
      <c r="G2808" s="1052" t="s">
        <v>381</v>
      </c>
      <c r="H2808" s="869" t="s">
        <v>382</v>
      </c>
      <c r="I2808" s="1058"/>
      <c r="J2808" s="1059">
        <f>J2807</f>
        <v>0</v>
      </c>
    </row>
    <row r="2809" spans="1:15" ht="15" customHeight="1">
      <c r="A2809" s="1068" t="s">
        <v>383</v>
      </c>
      <c r="B2809" s="1069" t="s">
        <v>384</v>
      </c>
      <c r="C2809" s="1070"/>
      <c r="D2809" s="1071" t="e">
        <f>SUM(D2800:D2805)-D2808</f>
        <v>#N/A</v>
      </c>
      <c r="E2809" s="1072"/>
      <c r="F2809" s="1073"/>
      <c r="G2809" s="1068" t="s">
        <v>383</v>
      </c>
      <c r="H2809" s="1069" t="s">
        <v>384</v>
      </c>
      <c r="I2809" s="1070"/>
      <c r="J2809" s="1071" t="e">
        <f>SUM(J2800:J2805)-J2808</f>
        <v>#N/A</v>
      </c>
    </row>
    <row r="2810" spans="1:15" ht="15.75" customHeight="1">
      <c r="A2810" s="1074"/>
      <c r="B2810" s="1075"/>
      <c r="C2810" s="1076"/>
      <c r="D2810" s="1077"/>
      <c r="E2810" s="1077"/>
      <c r="F2810" s="1078"/>
      <c r="G2810" s="1074"/>
      <c r="H2810" s="1075"/>
      <c r="I2810" s="1076"/>
      <c r="J2810" s="1077"/>
    </row>
    <row r="2812" spans="1:15" ht="12" customHeight="1">
      <c r="A2812" s="2243"/>
      <c r="B2812" s="2243"/>
      <c r="C2812" s="2243"/>
      <c r="D2812" s="2243"/>
      <c r="E2812" s="2243"/>
      <c r="F2812" s="2243"/>
      <c r="G2812" s="2243"/>
      <c r="H2812" s="2243"/>
      <c r="I2812" s="2243"/>
      <c r="J2812" s="2243"/>
    </row>
    <row r="2813" spans="1:15" ht="15" customHeight="1">
      <c r="A2813" s="2242" t="str">
        <f>$K$2</f>
        <v>THÁNG 09/2024</v>
      </c>
      <c r="B2813" s="2242"/>
      <c r="C2813" s="2242"/>
      <c r="D2813" s="2242"/>
      <c r="E2813" s="1050"/>
      <c r="F2813" s="1051"/>
      <c r="G2813" s="2242" t="str">
        <f>$K$2</f>
        <v>THÁNG 09/2024</v>
      </c>
      <c r="H2813" s="2242"/>
      <c r="I2813" s="2242"/>
      <c r="J2813" s="2242"/>
      <c r="K2813" s="624"/>
    </row>
    <row r="2814" spans="1:15" ht="15" customHeight="1">
      <c r="A2814" s="1052" t="s">
        <v>356</v>
      </c>
      <c r="B2814" s="1053" t="s">
        <v>271</v>
      </c>
      <c r="C2814" s="869"/>
      <c r="D2814" s="1049"/>
      <c r="E2814" s="1054"/>
      <c r="F2814" s="1055"/>
      <c r="G2814" s="1052" t="s">
        <v>356</v>
      </c>
      <c r="H2814" s="1053" t="s">
        <v>270</v>
      </c>
      <c r="I2814" s="869"/>
      <c r="J2814" s="1049"/>
      <c r="L2814" s="1088"/>
      <c r="M2814" s="1088"/>
      <c r="N2814" s="1088"/>
      <c r="O2814" s="1088"/>
    </row>
    <row r="2815" spans="1:15" ht="15" customHeight="1">
      <c r="A2815" s="1052" t="s">
        <v>359</v>
      </c>
      <c r="B2815" s="1089" t="s">
        <v>360</v>
      </c>
      <c r="C2815" s="1058" t="e">
        <f>VLOOKUP(B2814,'LƯƠNG KT'!$D$15:$U$94,3,0)</f>
        <v>#N/A</v>
      </c>
      <c r="D2815" s="1059" t="e">
        <f>+C2815*25000</f>
        <v>#N/A</v>
      </c>
      <c r="E2815" s="1060"/>
      <c r="F2815" s="1060"/>
      <c r="G2815" s="1052" t="s">
        <v>359</v>
      </c>
      <c r="H2815" s="1089" t="s">
        <v>360</v>
      </c>
      <c r="I2815" s="1058" t="e">
        <f>VLOOKUP(H2814,'LƯƠNG KT'!$D$15:$U$94,3,0)</f>
        <v>#N/A</v>
      </c>
      <c r="J2815" s="1059" t="e">
        <f>+I2815*25000</f>
        <v>#N/A</v>
      </c>
      <c r="K2815" s="1084"/>
      <c r="L2815" s="1085"/>
      <c r="M2815" s="1085"/>
      <c r="N2815" s="1085"/>
      <c r="O2815" s="1085"/>
    </row>
    <row r="2816" spans="1:15" ht="15" customHeight="1">
      <c r="A2816" s="1052" t="s">
        <v>361</v>
      </c>
      <c r="B2816" s="869" t="s">
        <v>362</v>
      </c>
      <c r="C2816" s="1058" t="e">
        <f>VLOOKUP(B2814,'LƯƠNG KT'!$D$15:$U$94,14,0)</f>
        <v>#N/A</v>
      </c>
      <c r="D2816" s="1059" t="e">
        <f>C2816*$L$4</f>
        <v>#N/A</v>
      </c>
      <c r="E2816" s="1061"/>
      <c r="F2816" s="1061"/>
      <c r="G2816" s="1052" t="s">
        <v>361</v>
      </c>
      <c r="H2816" s="869" t="s">
        <v>362</v>
      </c>
      <c r="I2816" s="1058" t="e">
        <f>VLOOKUP(H2814,'LƯƠNG KT'!$D$15:$U$94,14,0)</f>
        <v>#N/A</v>
      </c>
      <c r="J2816" s="1059" t="e">
        <f>I2816*$L$4</f>
        <v>#N/A</v>
      </c>
      <c r="K2816" s="1084"/>
      <c r="L2816" s="1085"/>
      <c r="M2816" s="1085"/>
      <c r="N2816" s="1085"/>
      <c r="O2816" s="1085"/>
    </row>
    <row r="2817" spans="1:15" ht="15" customHeight="1">
      <c r="A2817" s="1052" t="s">
        <v>364</v>
      </c>
      <c r="B2817" s="869" t="s">
        <v>365</v>
      </c>
      <c r="C2817" s="1058" t="e">
        <f>VLOOKUP(B2814,'LƯƠNG KT'!$D$15:$U$94,15,0)</f>
        <v>#N/A</v>
      </c>
      <c r="D2817" s="1059" t="e">
        <f>C2817*$L$5</f>
        <v>#N/A</v>
      </c>
      <c r="E2817" s="1061"/>
      <c r="F2817" s="1061"/>
      <c r="G2817" s="1052" t="s">
        <v>364</v>
      </c>
      <c r="H2817" s="869" t="s">
        <v>365</v>
      </c>
      <c r="I2817" s="1058" t="e">
        <f>VLOOKUP(H2814,'LƯƠNG KT'!$D$15:$U$94,15,0)</f>
        <v>#N/A</v>
      </c>
      <c r="J2817" s="1059" t="e">
        <f>I2817*$L$5</f>
        <v>#N/A</v>
      </c>
      <c r="K2817" s="1084"/>
      <c r="L2817" s="1085"/>
      <c r="M2817" s="1085"/>
      <c r="N2817" s="1085"/>
      <c r="O2817" s="1085"/>
    </row>
    <row r="2818" spans="1:15" ht="15" customHeight="1">
      <c r="A2818" s="1052" t="s">
        <v>367</v>
      </c>
      <c r="B2818" s="869"/>
      <c r="C2818" s="1058" t="e">
        <f>VLOOKUP(B2814,'LƯƠNG KT'!$D$15:$U$94,16,0)</f>
        <v>#N/A</v>
      </c>
      <c r="D2818" s="1059" t="e">
        <f>+C2818*$L$6</f>
        <v>#N/A</v>
      </c>
      <c r="E2818" s="1061"/>
      <c r="F2818" s="1061"/>
      <c r="G2818" s="1052" t="s">
        <v>367</v>
      </c>
      <c r="H2818" s="869"/>
      <c r="I2818" s="1058" t="e">
        <f>VLOOKUP(H2814,'LƯƠNG KT'!$D$15:$U$94,16,0)</f>
        <v>#N/A</v>
      </c>
      <c r="J2818" s="1059" t="e">
        <f>+I2818*$L$6</f>
        <v>#N/A</v>
      </c>
      <c r="K2818" s="1085"/>
      <c r="L2818" s="1085"/>
      <c r="M2818" s="1085"/>
      <c r="N2818" s="1085"/>
      <c r="O2818" s="1085"/>
    </row>
    <row r="2819" spans="1:15" ht="15" customHeight="1">
      <c r="A2819" s="1052" t="s">
        <v>371</v>
      </c>
      <c r="B2819" s="869" t="s">
        <v>372</v>
      </c>
      <c r="C2819" s="1058" t="e">
        <f>VLOOKUP(B2814,'LƯƠNG KT'!$D$15:$U$94,9,0)*$L$10</f>
        <v>#N/A</v>
      </c>
      <c r="D2819" s="1059" t="e">
        <f>+C2819*0.5*3000</f>
        <v>#N/A</v>
      </c>
      <c r="E2819" s="1061"/>
      <c r="F2819" s="1061"/>
      <c r="G2819" s="1052" t="s">
        <v>371</v>
      </c>
      <c r="H2819" s="869" t="s">
        <v>372</v>
      </c>
      <c r="I2819" s="1058" t="e">
        <f>VLOOKUP(H2814,'LƯƠNG KT'!$D$15:$U$94,9,0)*$L$10</f>
        <v>#N/A</v>
      </c>
      <c r="J2819" s="1059" t="e">
        <f>+I2819*0.5*3000</f>
        <v>#N/A</v>
      </c>
      <c r="K2819" s="1085"/>
      <c r="L2819" s="1085"/>
      <c r="M2819" s="1085"/>
      <c r="N2819" s="1085"/>
      <c r="O2819" s="1085"/>
    </row>
    <row r="2820" spans="1:15" ht="15" customHeight="1">
      <c r="A2820" s="1052" t="s">
        <v>374</v>
      </c>
      <c r="B2820" s="869" t="s">
        <v>375</v>
      </c>
      <c r="C2820" s="1058" t="e">
        <f>VLOOKUP(B2814,'LƯƠNG KT'!$D$15:$U$94,8,0)*$L$11</f>
        <v>#N/A</v>
      </c>
      <c r="D2820" s="1059" t="e">
        <f>VLOOKUP(B2814,'LƯƠNG KT'!$D$15:$U$94,13,0)-D2819</f>
        <v>#N/A</v>
      </c>
      <c r="E2820" s="1063"/>
      <c r="F2820" s="1061"/>
      <c r="G2820" s="1052" t="s">
        <v>374</v>
      </c>
      <c r="H2820" s="869" t="s">
        <v>375</v>
      </c>
      <c r="I2820" s="1058" t="e">
        <f>VLOOKUP(H2814,'LƯƠNG KT'!$D$15:$U$94,8,0)*$L$11</f>
        <v>#N/A</v>
      </c>
      <c r="J2820" s="1059" t="e">
        <f>VLOOKUP(H2814,'LƯƠNG KT'!$D$15:$U$94,13,0)-J2819</f>
        <v>#N/A</v>
      </c>
      <c r="K2820" s="1085"/>
      <c r="L2820" s="1085"/>
      <c r="M2820" s="1085"/>
      <c r="N2820" s="1085"/>
      <c r="O2820" s="1085"/>
    </row>
    <row r="2821" spans="1:15" ht="15" customHeight="1">
      <c r="A2821" s="1059" t="s">
        <v>377</v>
      </c>
      <c r="B2821" s="869" t="s">
        <v>378</v>
      </c>
      <c r="C2821" s="1058"/>
      <c r="D2821" s="1059"/>
      <c r="E2821" s="1065"/>
      <c r="F2821" s="1065"/>
      <c r="G2821" s="1059" t="s">
        <v>377</v>
      </c>
      <c r="H2821" s="869" t="s">
        <v>378</v>
      </c>
      <c r="I2821" s="1058"/>
      <c r="J2821" s="1059"/>
    </row>
    <row r="2822" spans="1:15" ht="15" customHeight="1">
      <c r="A2822" s="1066" t="s">
        <v>379</v>
      </c>
      <c r="B2822" s="869" t="s">
        <v>380</v>
      </c>
      <c r="C2822" s="1058"/>
      <c r="D2822" s="1059"/>
      <c r="E2822" s="1063"/>
      <c r="F2822" s="1065"/>
      <c r="G2822" s="1066" t="s">
        <v>379</v>
      </c>
      <c r="H2822" s="869" t="s">
        <v>380</v>
      </c>
      <c r="I2822" s="1058"/>
      <c r="J2822" s="1059"/>
    </row>
    <row r="2823" spans="1:15" ht="15" customHeight="1">
      <c r="A2823" s="1052" t="s">
        <v>381</v>
      </c>
      <c r="B2823" s="869" t="s">
        <v>382</v>
      </c>
      <c r="C2823" s="1058"/>
      <c r="D2823" s="1059">
        <f>D2822</f>
        <v>0</v>
      </c>
      <c r="E2823" s="1067"/>
      <c r="F2823" s="1051"/>
      <c r="G2823" s="1052" t="s">
        <v>381</v>
      </c>
      <c r="H2823" s="869" t="s">
        <v>382</v>
      </c>
      <c r="I2823" s="1058"/>
      <c r="J2823" s="1059">
        <f>J2822</f>
        <v>0</v>
      </c>
    </row>
    <row r="2824" spans="1:15" ht="15" customHeight="1">
      <c r="A2824" s="1068" t="s">
        <v>383</v>
      </c>
      <c r="B2824" s="1069" t="s">
        <v>384</v>
      </c>
      <c r="C2824" s="1070"/>
      <c r="D2824" s="1071" t="e">
        <f>SUM(D2815:D2820)-D2823</f>
        <v>#N/A</v>
      </c>
      <c r="E2824" s="1072"/>
      <c r="F2824" s="1073"/>
      <c r="G2824" s="1068" t="s">
        <v>383</v>
      </c>
      <c r="H2824" s="1069" t="s">
        <v>384</v>
      </c>
      <c r="I2824" s="1070"/>
      <c r="J2824" s="1071" t="e">
        <f>SUM(J2815:J2820)-J2823</f>
        <v>#N/A</v>
      </c>
    </row>
    <row r="2825" spans="1:15" ht="12.6" customHeight="1">
      <c r="A2825" s="1074"/>
      <c r="B2825" s="1075"/>
      <c r="C2825" s="1076"/>
      <c r="D2825" s="1077"/>
      <c r="E2825" s="1077"/>
      <c r="F2825" s="1078"/>
      <c r="G2825" s="1074"/>
      <c r="H2825" s="1075"/>
      <c r="I2825" s="1076"/>
      <c r="J2825" s="1077"/>
    </row>
    <row r="2826" spans="1:15" ht="12.6" customHeight="1">
      <c r="A2826" s="1075"/>
      <c r="B2826" s="1075"/>
      <c r="C2826" s="1079"/>
      <c r="D2826" s="1080"/>
      <c r="E2826" s="1075"/>
      <c r="F2826" s="1081"/>
      <c r="G2826" s="1075"/>
      <c r="H2826" s="1075"/>
      <c r="I2826" s="1079"/>
      <c r="J2826" s="1080"/>
    </row>
    <row r="2827" spans="1:15" ht="15" customHeight="1">
      <c r="A2827" s="2242" t="str">
        <f>$K$2</f>
        <v>THÁNG 09/2024</v>
      </c>
      <c r="B2827" s="2242"/>
      <c r="C2827" s="2242"/>
      <c r="D2827" s="2242"/>
      <c r="E2827" s="1050"/>
      <c r="F2827" s="1051"/>
      <c r="G2827" s="2242" t="str">
        <f>$K$2</f>
        <v>THÁNG 09/2024</v>
      </c>
      <c r="H2827" s="2242"/>
      <c r="I2827" s="2242"/>
      <c r="J2827" s="2242"/>
      <c r="K2827" s="624"/>
    </row>
    <row r="2828" spans="1:15" ht="15" customHeight="1">
      <c r="A2828" s="1052" t="s">
        <v>356</v>
      </c>
      <c r="B2828" s="1053" t="s">
        <v>272</v>
      </c>
      <c r="C2828" s="869"/>
      <c r="D2828" s="1049"/>
      <c r="E2828" s="1054"/>
      <c r="F2828" s="1055"/>
      <c r="G2828" s="1052" t="s">
        <v>356</v>
      </c>
      <c r="H2828" s="1053" t="s">
        <v>273</v>
      </c>
      <c r="I2828" s="869"/>
      <c r="J2828" s="1049"/>
      <c r="L2828" s="1088"/>
      <c r="M2828" s="1088"/>
      <c r="N2828" s="1088"/>
      <c r="O2828" s="1088"/>
    </row>
    <row r="2829" spans="1:15" ht="15" customHeight="1">
      <c r="A2829" s="1052" t="s">
        <v>359</v>
      </c>
      <c r="B2829" s="1089" t="s">
        <v>360</v>
      </c>
      <c r="C2829" s="1058" t="e">
        <f>VLOOKUP(B2828,'LƯƠNG KT'!$D$15:$U$94,3,0)</f>
        <v>#N/A</v>
      </c>
      <c r="D2829" s="1059" t="e">
        <f>+C2829*25000</f>
        <v>#N/A</v>
      </c>
      <c r="E2829" s="1060"/>
      <c r="F2829" s="1060"/>
      <c r="G2829" s="1052" t="s">
        <v>359</v>
      </c>
      <c r="H2829" s="1089" t="s">
        <v>360</v>
      </c>
      <c r="I2829" s="1058" t="e">
        <f>VLOOKUP(H2828,'LƯƠNG KT'!$D$15:$U$94,3,0)</f>
        <v>#N/A</v>
      </c>
      <c r="J2829" s="1059" t="e">
        <f>+I2829*25000</f>
        <v>#N/A</v>
      </c>
      <c r="K2829" s="1085"/>
      <c r="L2829" s="1085"/>
      <c r="M2829" s="1085"/>
      <c r="N2829" s="1085"/>
      <c r="O2829" s="1085"/>
    </row>
    <row r="2830" spans="1:15" ht="15" customHeight="1">
      <c r="A2830" s="1052" t="s">
        <v>361</v>
      </c>
      <c r="B2830" s="869" t="s">
        <v>362</v>
      </c>
      <c r="C2830" s="1058" t="e">
        <f>VLOOKUP(B2828,'LƯƠNG KT'!$D$15:$U$94,14,0)</f>
        <v>#N/A</v>
      </c>
      <c r="D2830" s="1059" t="e">
        <f>C2830*$L$4</f>
        <v>#N/A</v>
      </c>
      <c r="E2830" s="1061"/>
      <c r="F2830" s="1061"/>
      <c r="G2830" s="1052" t="s">
        <v>361</v>
      </c>
      <c r="H2830" s="869" t="s">
        <v>362</v>
      </c>
      <c r="I2830" s="1058" t="e">
        <f>VLOOKUP(H2828,'LƯƠNG KT'!$D$15:$U$94,14,0)</f>
        <v>#N/A</v>
      </c>
      <c r="J2830" s="1059" t="e">
        <f>I2830*$L$4</f>
        <v>#N/A</v>
      </c>
      <c r="K2830" s="1085"/>
      <c r="L2830" s="1085"/>
      <c r="M2830" s="1085"/>
      <c r="N2830" s="1085"/>
      <c r="O2830" s="1085"/>
    </row>
    <row r="2831" spans="1:15" ht="15" customHeight="1">
      <c r="A2831" s="1052" t="s">
        <v>364</v>
      </c>
      <c r="B2831" s="869" t="s">
        <v>365</v>
      </c>
      <c r="C2831" s="1058" t="e">
        <f>VLOOKUP(B2828,'LƯƠNG KT'!$D$15:$U$94,15,0)</f>
        <v>#N/A</v>
      </c>
      <c r="D2831" s="1059" t="e">
        <f>C2831*$L$5</f>
        <v>#N/A</v>
      </c>
      <c r="E2831" s="1061"/>
      <c r="F2831" s="1061"/>
      <c r="G2831" s="1052" t="s">
        <v>364</v>
      </c>
      <c r="H2831" s="869" t="s">
        <v>365</v>
      </c>
      <c r="I2831" s="1058" t="e">
        <f>VLOOKUP(H2828,'LƯƠNG KT'!$D$15:$U$94,15,0)</f>
        <v>#N/A</v>
      </c>
      <c r="J2831" s="1059" t="e">
        <f>I2831*$L$5</f>
        <v>#N/A</v>
      </c>
      <c r="K2831" s="1085"/>
      <c r="L2831" s="1085"/>
      <c r="M2831" s="1085"/>
      <c r="N2831" s="1085"/>
      <c r="O2831" s="1085"/>
    </row>
    <row r="2832" spans="1:15" ht="15" customHeight="1">
      <c r="A2832" s="1052" t="s">
        <v>367</v>
      </c>
      <c r="B2832" s="869"/>
      <c r="C2832" s="1058" t="e">
        <f>VLOOKUP(B2828,'LƯƠNG KT'!$D$15:$U$94,16,0)</f>
        <v>#N/A</v>
      </c>
      <c r="D2832" s="1059" t="e">
        <f>+C2832*$L$6</f>
        <v>#N/A</v>
      </c>
      <c r="E2832" s="1061"/>
      <c r="F2832" s="1061"/>
      <c r="G2832" s="1052" t="s">
        <v>367</v>
      </c>
      <c r="H2832" s="869"/>
      <c r="I2832" s="1058" t="e">
        <f>VLOOKUP(H2828,'LƯƠNG KT'!$D$15:$U$94,16,0)</f>
        <v>#N/A</v>
      </c>
      <c r="J2832" s="1059" t="e">
        <f>+I2832*$L$6</f>
        <v>#N/A</v>
      </c>
      <c r="K2832" s="1085"/>
      <c r="L2832" s="1085"/>
      <c r="M2832" s="1085"/>
      <c r="N2832" s="1085"/>
      <c r="O2832" s="1085"/>
    </row>
    <row r="2833" spans="1:15" ht="15" customHeight="1">
      <c r="A2833" s="1052" t="s">
        <v>371</v>
      </c>
      <c r="B2833" s="869" t="s">
        <v>372</v>
      </c>
      <c r="C2833" s="1058" t="e">
        <f>VLOOKUP(B2828,'LƯƠNG KT'!$D$15:$U$94,9,0)*$L$10</f>
        <v>#N/A</v>
      </c>
      <c r="D2833" s="1059" t="e">
        <f>+C2833*0.5*3000</f>
        <v>#N/A</v>
      </c>
      <c r="E2833" s="1061"/>
      <c r="F2833" s="1061"/>
      <c r="G2833" s="1052" t="s">
        <v>371</v>
      </c>
      <c r="H2833" s="869" t="s">
        <v>372</v>
      </c>
      <c r="I2833" s="1058" t="e">
        <f>VLOOKUP(H2828,'LƯƠNG KT'!$D$15:$U$94,9,0)*$L$10</f>
        <v>#N/A</v>
      </c>
      <c r="J2833" s="1059" t="e">
        <f>+I2833*0.5*3000</f>
        <v>#N/A</v>
      </c>
      <c r="K2833" s="1085"/>
      <c r="L2833" s="1085"/>
      <c r="M2833" s="1085"/>
      <c r="N2833" s="1085"/>
      <c r="O2833" s="1085"/>
    </row>
    <row r="2834" spans="1:15" ht="15" customHeight="1">
      <c r="A2834" s="1052" t="s">
        <v>374</v>
      </c>
      <c r="B2834" s="869" t="s">
        <v>375</v>
      </c>
      <c r="C2834" s="1058" t="e">
        <f>VLOOKUP(B2828,'LƯƠNG KT'!$D$15:$U$94,8,0)*$L$11</f>
        <v>#N/A</v>
      </c>
      <c r="D2834" s="1059" t="e">
        <f>VLOOKUP(B2828,'LƯƠNG KT'!$D$15:$U$94,13,0)-D2833</f>
        <v>#N/A</v>
      </c>
      <c r="E2834" s="1063"/>
      <c r="F2834" s="1061"/>
      <c r="G2834" s="1052" t="s">
        <v>374</v>
      </c>
      <c r="H2834" s="869" t="s">
        <v>375</v>
      </c>
      <c r="I2834" s="1058" t="e">
        <f>VLOOKUP(H2828,'LƯƠNG KT'!$D$15:$U$94,8,0)*$L$11</f>
        <v>#N/A</v>
      </c>
      <c r="J2834" s="1059" t="e">
        <f>VLOOKUP(H2828,'LƯƠNG KT'!$D$15:$U$94,13,0)-J2833</f>
        <v>#N/A</v>
      </c>
      <c r="K2834" s="1085"/>
      <c r="L2834" s="1085"/>
      <c r="M2834" s="1085"/>
      <c r="N2834" s="1085"/>
      <c r="O2834" s="1085"/>
    </row>
    <row r="2835" spans="1:15" ht="15" customHeight="1">
      <c r="A2835" s="1059" t="s">
        <v>377</v>
      </c>
      <c r="B2835" s="869" t="s">
        <v>378</v>
      </c>
      <c r="C2835" s="1058"/>
      <c r="D2835" s="1059"/>
      <c r="E2835" s="1065"/>
      <c r="F2835" s="1065"/>
      <c r="G2835" s="1059" t="s">
        <v>377</v>
      </c>
      <c r="H2835" s="869" t="s">
        <v>378</v>
      </c>
      <c r="I2835" s="1058"/>
      <c r="J2835" s="1059"/>
    </row>
    <row r="2836" spans="1:15" ht="15" customHeight="1">
      <c r="A2836" s="1066" t="s">
        <v>379</v>
      </c>
      <c r="B2836" s="869" t="s">
        <v>380</v>
      </c>
      <c r="C2836" s="1058"/>
      <c r="D2836" s="1059"/>
      <c r="E2836" s="1063"/>
      <c r="F2836" s="1065"/>
      <c r="G2836" s="1066" t="s">
        <v>379</v>
      </c>
      <c r="H2836" s="869" t="s">
        <v>380</v>
      </c>
      <c r="I2836" s="1058"/>
      <c r="J2836" s="1059"/>
    </row>
    <row r="2837" spans="1:15" ht="15" customHeight="1">
      <c r="A2837" s="1052" t="s">
        <v>381</v>
      </c>
      <c r="B2837" s="869" t="s">
        <v>382</v>
      </c>
      <c r="C2837" s="1058"/>
      <c r="D2837" s="1059">
        <f>D2836</f>
        <v>0</v>
      </c>
      <c r="E2837" s="1067"/>
      <c r="F2837" s="1051"/>
      <c r="G2837" s="1052" t="s">
        <v>381</v>
      </c>
      <c r="H2837" s="869" t="s">
        <v>382</v>
      </c>
      <c r="I2837" s="1058"/>
      <c r="J2837" s="1059">
        <f>J2836</f>
        <v>0</v>
      </c>
    </row>
    <row r="2838" spans="1:15" ht="15" customHeight="1">
      <c r="A2838" s="1068" t="s">
        <v>383</v>
      </c>
      <c r="B2838" s="1069" t="s">
        <v>384</v>
      </c>
      <c r="C2838" s="1070"/>
      <c r="D2838" s="1071" t="e">
        <f>SUM(D2829:D2834)-D2837</f>
        <v>#N/A</v>
      </c>
      <c r="E2838" s="1072"/>
      <c r="F2838" s="1073"/>
      <c r="G2838" s="1068" t="s">
        <v>383</v>
      </c>
      <c r="H2838" s="1069" t="s">
        <v>384</v>
      </c>
      <c r="I2838" s="1070"/>
      <c r="J2838" s="1071" t="e">
        <f>SUM(J2829:J2834)-J2837</f>
        <v>#N/A</v>
      </c>
    </row>
    <row r="2839" spans="1:15" ht="18.75" customHeight="1">
      <c r="A2839" s="1074"/>
      <c r="B2839" s="1075"/>
      <c r="C2839" s="1076"/>
      <c r="D2839" s="1077"/>
      <c r="E2839" s="1077"/>
      <c r="F2839" s="1078"/>
      <c r="G2839" s="1074"/>
      <c r="H2839" s="1075"/>
      <c r="I2839" s="1076"/>
      <c r="J2839" s="1077"/>
    </row>
    <row r="2840" spans="1:15" ht="18.75" customHeight="1">
      <c r="A2840" s="1075"/>
      <c r="B2840" s="1075"/>
      <c r="C2840" s="1079"/>
      <c r="D2840" s="1080"/>
      <c r="E2840" s="1075"/>
      <c r="F2840" s="1081"/>
      <c r="G2840" s="1075"/>
      <c r="H2840" s="1075"/>
      <c r="I2840" s="1079"/>
      <c r="J2840" s="1080"/>
    </row>
    <row r="2841" spans="1:15" ht="15" customHeight="1">
      <c r="A2841" s="2242" t="str">
        <f>$K$2</f>
        <v>THÁNG 09/2024</v>
      </c>
      <c r="B2841" s="2242"/>
      <c r="C2841" s="2242"/>
      <c r="D2841" s="2242"/>
      <c r="E2841" s="1050"/>
      <c r="F2841" s="1051"/>
      <c r="G2841" s="2242" t="str">
        <f>$K$2</f>
        <v>THÁNG 09/2024</v>
      </c>
      <c r="H2841" s="2242"/>
      <c r="I2841" s="2242"/>
      <c r="J2841" s="2242"/>
      <c r="K2841" s="624"/>
    </row>
    <row r="2842" spans="1:15" ht="15" customHeight="1">
      <c r="A2842" s="1052" t="s">
        <v>356</v>
      </c>
      <c r="B2842" s="1053" t="s">
        <v>274</v>
      </c>
      <c r="C2842" s="869"/>
      <c r="D2842" s="1049"/>
      <c r="E2842" s="1054"/>
      <c r="F2842" s="1055"/>
      <c r="G2842" s="1052" t="s">
        <v>356</v>
      </c>
      <c r="H2842" s="1053" t="s">
        <v>510</v>
      </c>
      <c r="I2842" s="869"/>
      <c r="J2842" s="1049"/>
      <c r="L2842" s="1088"/>
      <c r="M2842" s="1088"/>
      <c r="N2842" s="1088"/>
      <c r="O2842" s="1088"/>
    </row>
    <row r="2843" spans="1:15" ht="15" customHeight="1">
      <c r="A2843" s="1052" t="s">
        <v>359</v>
      </c>
      <c r="B2843" s="1089" t="s">
        <v>360</v>
      </c>
      <c r="C2843" s="1058" t="e">
        <f>VLOOKUP(B2842,'LƯƠNG KT'!$D$15:$U$94,3,0)</f>
        <v>#N/A</v>
      </c>
      <c r="D2843" s="1059" t="e">
        <f>+C2843*25000</f>
        <v>#N/A</v>
      </c>
      <c r="E2843" s="1060"/>
      <c r="F2843" s="1060"/>
      <c r="G2843" s="1052" t="s">
        <v>359</v>
      </c>
      <c r="H2843" s="1089" t="s">
        <v>360</v>
      </c>
      <c r="I2843" s="1058" t="e">
        <f>VLOOKUP(H2842,'LƯƠNG KT'!$D$15:$U$94,3,0)</f>
        <v>#N/A</v>
      </c>
      <c r="J2843" s="1059" t="e">
        <f>+I2843*25000</f>
        <v>#N/A</v>
      </c>
      <c r="K2843" s="1085"/>
      <c r="L2843" s="1085"/>
      <c r="M2843" s="1085"/>
      <c r="N2843" s="1085"/>
      <c r="O2843" s="1085"/>
    </row>
    <row r="2844" spans="1:15" ht="15" customHeight="1">
      <c r="A2844" s="1052" t="s">
        <v>361</v>
      </c>
      <c r="B2844" s="869" t="s">
        <v>362</v>
      </c>
      <c r="C2844" s="1058" t="e">
        <f>VLOOKUP(B2842,'LƯƠNG KT'!$D$15:$U$94,14,0)</f>
        <v>#N/A</v>
      </c>
      <c r="D2844" s="1059" t="e">
        <f>C2844*$L$4</f>
        <v>#N/A</v>
      </c>
      <c r="E2844" s="1061"/>
      <c r="F2844" s="1061"/>
      <c r="G2844" s="1052" t="s">
        <v>361</v>
      </c>
      <c r="H2844" s="869" t="s">
        <v>362</v>
      </c>
      <c r="I2844" s="1058" t="e">
        <f>VLOOKUP(H2842,'LƯƠNG KT'!$D$15:$U$94,14,0)</f>
        <v>#N/A</v>
      </c>
      <c r="J2844" s="1059" t="e">
        <f>I2844*$L$4</f>
        <v>#N/A</v>
      </c>
      <c r="K2844" s="1085"/>
      <c r="L2844" s="1085"/>
      <c r="M2844" s="1085"/>
      <c r="N2844" s="1085"/>
      <c r="O2844" s="1085"/>
    </row>
    <row r="2845" spans="1:15" ht="15" customHeight="1">
      <c r="A2845" s="1052" t="s">
        <v>364</v>
      </c>
      <c r="B2845" s="869" t="s">
        <v>365</v>
      </c>
      <c r="C2845" s="1058" t="e">
        <f>VLOOKUP(B2842,'LƯƠNG KT'!$D$15:$U$94,15,0)</f>
        <v>#N/A</v>
      </c>
      <c r="D2845" s="1059" t="e">
        <f>C2845*$L$5</f>
        <v>#N/A</v>
      </c>
      <c r="E2845" s="1061"/>
      <c r="F2845" s="1061"/>
      <c r="G2845" s="1052" t="s">
        <v>364</v>
      </c>
      <c r="H2845" s="869" t="s">
        <v>365</v>
      </c>
      <c r="I2845" s="1058" t="e">
        <f>VLOOKUP(H2842,'LƯƠNG KT'!$D$15:$U$94,15,0)</f>
        <v>#N/A</v>
      </c>
      <c r="J2845" s="1059" t="e">
        <f>I2845*$L$5</f>
        <v>#N/A</v>
      </c>
      <c r="K2845" s="1085"/>
      <c r="L2845" s="1085"/>
      <c r="M2845" s="1085"/>
      <c r="N2845" s="1085"/>
      <c r="O2845" s="1085"/>
    </row>
    <row r="2846" spans="1:15" ht="15" customHeight="1">
      <c r="A2846" s="1052" t="s">
        <v>367</v>
      </c>
      <c r="B2846" s="869"/>
      <c r="C2846" s="1058" t="e">
        <f>VLOOKUP(B2842,'LƯƠNG KT'!$D$15:$U$94,16,0)</f>
        <v>#N/A</v>
      </c>
      <c r="D2846" s="1059" t="e">
        <f>+C2846*$L$6</f>
        <v>#N/A</v>
      </c>
      <c r="E2846" s="1061"/>
      <c r="F2846" s="1061"/>
      <c r="G2846" s="1052" t="s">
        <v>367</v>
      </c>
      <c r="H2846" s="869"/>
      <c r="I2846" s="1058" t="e">
        <f>VLOOKUP(H2842,'LƯƠNG KT'!$D$15:$U$94,16,0)</f>
        <v>#N/A</v>
      </c>
      <c r="J2846" s="1059" t="e">
        <f>+I2846*$L$6</f>
        <v>#N/A</v>
      </c>
      <c r="K2846" s="1085"/>
      <c r="L2846" s="1085"/>
      <c r="M2846" s="1085"/>
      <c r="N2846" s="1085"/>
      <c r="O2846" s="1085"/>
    </row>
    <row r="2847" spans="1:15" ht="15" customHeight="1">
      <c r="A2847" s="1052" t="s">
        <v>371</v>
      </c>
      <c r="B2847" s="869" t="s">
        <v>372</v>
      </c>
      <c r="C2847" s="1058" t="e">
        <f>VLOOKUP(B2842,'LƯƠNG KT'!$D$15:$U$94,9,0)*$L$10</f>
        <v>#N/A</v>
      </c>
      <c r="D2847" s="1059" t="e">
        <f>+C2847*0.5*3000</f>
        <v>#N/A</v>
      </c>
      <c r="E2847" s="1061"/>
      <c r="F2847" s="1061"/>
      <c r="G2847" s="1052" t="s">
        <v>371</v>
      </c>
      <c r="H2847" s="869" t="s">
        <v>372</v>
      </c>
      <c r="I2847" s="1058" t="e">
        <f>VLOOKUP(H2842,'LƯƠNG KT'!$D$15:$U$94,9,0)*$L$10</f>
        <v>#N/A</v>
      </c>
      <c r="J2847" s="1059" t="e">
        <f>+I2847*0.5*3000</f>
        <v>#N/A</v>
      </c>
      <c r="K2847" s="1085"/>
      <c r="L2847" s="1085"/>
      <c r="M2847" s="1085"/>
      <c r="N2847" s="1085"/>
      <c r="O2847" s="1085"/>
    </row>
    <row r="2848" spans="1:15" ht="15" customHeight="1">
      <c r="A2848" s="1052" t="s">
        <v>374</v>
      </c>
      <c r="B2848" s="869" t="s">
        <v>375</v>
      </c>
      <c r="C2848" s="1058" t="e">
        <f>VLOOKUP(B2842,'LƯƠNG KT'!$D$15:$U$94,8,0)*$L$11</f>
        <v>#N/A</v>
      </c>
      <c r="D2848" s="1059" t="e">
        <f>VLOOKUP(B2842,'LƯƠNG KT'!$D$15:$U$94,13,0)-D2847</f>
        <v>#N/A</v>
      </c>
      <c r="E2848" s="1063"/>
      <c r="F2848" s="1061"/>
      <c r="G2848" s="1052" t="s">
        <v>374</v>
      </c>
      <c r="H2848" s="869" t="s">
        <v>375</v>
      </c>
      <c r="I2848" s="1058" t="e">
        <f>VLOOKUP(H2842,'LƯƠNG KT'!$D$15:$U$94,8,0)*$L$11</f>
        <v>#N/A</v>
      </c>
      <c r="J2848" s="1059" t="e">
        <f>VLOOKUP(H2842,'LƯƠNG KT'!$D$15:$U$94,13,0)-J2847</f>
        <v>#N/A</v>
      </c>
      <c r="K2848" s="1085"/>
      <c r="L2848" s="1085"/>
      <c r="M2848" s="1085"/>
      <c r="N2848" s="1085"/>
      <c r="O2848" s="1085"/>
    </row>
    <row r="2849" spans="1:15" ht="15" customHeight="1">
      <c r="A2849" s="1059" t="s">
        <v>377</v>
      </c>
      <c r="B2849" s="869" t="s">
        <v>378</v>
      </c>
      <c r="C2849" s="1058"/>
      <c r="D2849" s="1059"/>
      <c r="E2849" s="1065"/>
      <c r="F2849" s="1065"/>
      <c r="G2849" s="1059" t="s">
        <v>377</v>
      </c>
      <c r="H2849" s="869" t="s">
        <v>378</v>
      </c>
      <c r="I2849" s="1058"/>
      <c r="J2849" s="1059"/>
    </row>
    <row r="2850" spans="1:15" ht="15" customHeight="1">
      <c r="A2850" s="1066" t="s">
        <v>379</v>
      </c>
      <c r="B2850" s="869" t="s">
        <v>380</v>
      </c>
      <c r="C2850" s="1058"/>
      <c r="D2850" s="1059"/>
      <c r="E2850" s="1063"/>
      <c r="F2850" s="1065"/>
      <c r="G2850" s="1066" t="s">
        <v>379</v>
      </c>
      <c r="H2850" s="869" t="s">
        <v>380</v>
      </c>
      <c r="I2850" s="1058"/>
      <c r="J2850" s="1059"/>
    </row>
    <row r="2851" spans="1:15" ht="15" customHeight="1">
      <c r="A2851" s="1052" t="s">
        <v>381</v>
      </c>
      <c r="B2851" s="869" t="s">
        <v>382</v>
      </c>
      <c r="C2851" s="1058"/>
      <c r="D2851" s="1059">
        <f>D2850</f>
        <v>0</v>
      </c>
      <c r="E2851" s="1067"/>
      <c r="F2851" s="1051"/>
      <c r="G2851" s="1052" t="s">
        <v>381</v>
      </c>
      <c r="H2851" s="869" t="s">
        <v>382</v>
      </c>
      <c r="I2851" s="1058"/>
      <c r="J2851" s="1059">
        <f>J2850</f>
        <v>0</v>
      </c>
    </row>
    <row r="2852" spans="1:15" ht="15" customHeight="1">
      <c r="A2852" s="1068" t="s">
        <v>383</v>
      </c>
      <c r="B2852" s="1069" t="s">
        <v>384</v>
      </c>
      <c r="C2852" s="1070"/>
      <c r="D2852" s="1071" t="e">
        <f>SUM(D2843:D2848)-D2851</f>
        <v>#N/A</v>
      </c>
      <c r="E2852" s="1072"/>
      <c r="F2852" s="1073"/>
      <c r="G2852" s="1068" t="s">
        <v>383</v>
      </c>
      <c r="H2852" s="1069" t="s">
        <v>384</v>
      </c>
      <c r="I2852" s="1070"/>
      <c r="J2852" s="1071" t="e">
        <f>SUM(J2843:J2848)-J2851</f>
        <v>#N/A</v>
      </c>
    </row>
    <row r="2853" spans="1:15" ht="18.75" customHeight="1">
      <c r="A2853" s="1074"/>
      <c r="B2853" s="1075"/>
      <c r="C2853" s="1076"/>
      <c r="D2853" s="1077"/>
      <c r="E2853" s="1077"/>
      <c r="F2853" s="1078"/>
      <c r="G2853" s="1074"/>
      <c r="H2853" s="1075"/>
      <c r="I2853" s="1076"/>
      <c r="J2853" s="1077"/>
    </row>
    <row r="2854" spans="1:15" ht="18.75" customHeight="1">
      <c r="A2854" s="1075"/>
      <c r="B2854" s="1075"/>
      <c r="C2854" s="1079"/>
      <c r="D2854" s="1080"/>
      <c r="E2854" s="1075"/>
      <c r="F2854" s="1081"/>
      <c r="G2854" s="1075"/>
      <c r="H2854" s="1075"/>
      <c r="I2854" s="1079"/>
      <c r="J2854" s="1080"/>
    </row>
    <row r="2855" spans="1:15" ht="15" customHeight="1">
      <c r="A2855" s="2242" t="str">
        <f>$K$2</f>
        <v>THÁNG 09/2024</v>
      </c>
      <c r="B2855" s="2242"/>
      <c r="C2855" s="2242"/>
      <c r="D2855" s="2242"/>
      <c r="E2855" s="1050"/>
      <c r="F2855" s="1051"/>
      <c r="G2855" s="2242" t="str">
        <f>$K$2</f>
        <v>THÁNG 09/2024</v>
      </c>
      <c r="H2855" s="2242"/>
      <c r="I2855" s="2242"/>
      <c r="J2855" s="2242"/>
      <c r="K2855" s="624"/>
    </row>
    <row r="2856" spans="1:15" ht="15" customHeight="1">
      <c r="A2856" s="1052" t="s">
        <v>356</v>
      </c>
      <c r="B2856" s="1053" t="s">
        <v>511</v>
      </c>
      <c r="C2856" s="869"/>
      <c r="D2856" s="1049"/>
      <c r="E2856" s="1054"/>
      <c r="F2856" s="1055"/>
      <c r="G2856" s="1052" t="s">
        <v>356</v>
      </c>
      <c r="H2856" s="1053" t="s">
        <v>512</v>
      </c>
      <c r="I2856" s="869"/>
      <c r="J2856" s="1049"/>
      <c r="L2856" s="1088"/>
      <c r="M2856" s="1088"/>
      <c r="N2856" s="1088"/>
      <c r="O2856" s="1088"/>
    </row>
    <row r="2857" spans="1:15" ht="15" customHeight="1">
      <c r="A2857" s="1052" t="s">
        <v>359</v>
      </c>
      <c r="B2857" s="1089" t="s">
        <v>360</v>
      </c>
      <c r="C2857" s="1058" t="e">
        <f>VLOOKUP(B2856,'LƯƠNG KT'!$D$15:$U$94,3,0)</f>
        <v>#N/A</v>
      </c>
      <c r="D2857" s="1059" t="e">
        <f>+C2857*25000</f>
        <v>#N/A</v>
      </c>
      <c r="E2857" s="1060"/>
      <c r="F2857" s="1060"/>
      <c r="G2857" s="1052" t="s">
        <v>359</v>
      </c>
      <c r="H2857" s="1089" t="s">
        <v>360</v>
      </c>
      <c r="I2857" s="1058" t="e">
        <f>VLOOKUP(H2856,'LƯƠNG KT'!$D$15:$U$94,3,0)</f>
        <v>#N/A</v>
      </c>
      <c r="J2857" s="1059" t="e">
        <f>+I2857*25000</f>
        <v>#N/A</v>
      </c>
      <c r="K2857" s="1085"/>
      <c r="L2857" s="1085"/>
      <c r="M2857" s="1085"/>
      <c r="N2857" s="1085"/>
      <c r="O2857" s="1085"/>
    </row>
    <row r="2858" spans="1:15" ht="15" customHeight="1">
      <c r="A2858" s="1052" t="s">
        <v>361</v>
      </c>
      <c r="B2858" s="869" t="s">
        <v>362</v>
      </c>
      <c r="C2858" s="1058" t="e">
        <f>VLOOKUP(B2856,'LƯƠNG KT'!$D$15:$U$94,14,0)</f>
        <v>#N/A</v>
      </c>
      <c r="D2858" s="1059" t="e">
        <f>C2858*$L$4</f>
        <v>#N/A</v>
      </c>
      <c r="E2858" s="1061"/>
      <c r="F2858" s="1061"/>
      <c r="G2858" s="1052" t="s">
        <v>361</v>
      </c>
      <c r="H2858" s="869" t="s">
        <v>362</v>
      </c>
      <c r="I2858" s="1058" t="e">
        <f>VLOOKUP(H2856,'LƯƠNG KT'!$D$15:$U$94,14,0)</f>
        <v>#N/A</v>
      </c>
      <c r="J2858" s="1059" t="e">
        <f>I2858*$L$4</f>
        <v>#N/A</v>
      </c>
      <c r="K2858" s="1085"/>
      <c r="L2858" s="1085"/>
      <c r="M2858" s="1085"/>
      <c r="N2858" s="1085"/>
      <c r="O2858" s="1085"/>
    </row>
    <row r="2859" spans="1:15" ht="15" customHeight="1">
      <c r="A2859" s="1052" t="s">
        <v>364</v>
      </c>
      <c r="B2859" s="869" t="s">
        <v>365</v>
      </c>
      <c r="C2859" s="1058" t="e">
        <f>VLOOKUP(B2856,'LƯƠNG KT'!$D$15:$U$94,15,0)</f>
        <v>#N/A</v>
      </c>
      <c r="D2859" s="1059" t="e">
        <f>C2859*$L$5</f>
        <v>#N/A</v>
      </c>
      <c r="E2859" s="1061"/>
      <c r="F2859" s="1061"/>
      <c r="G2859" s="1052" t="s">
        <v>364</v>
      </c>
      <c r="H2859" s="869" t="s">
        <v>365</v>
      </c>
      <c r="I2859" s="1058" t="e">
        <f>VLOOKUP(H2856,'LƯƠNG KT'!$D$15:$U$94,15,0)</f>
        <v>#N/A</v>
      </c>
      <c r="J2859" s="1059" t="e">
        <f>I2859*$L$5</f>
        <v>#N/A</v>
      </c>
      <c r="K2859" s="1085"/>
      <c r="L2859" s="1085"/>
      <c r="M2859" s="1085"/>
      <c r="N2859" s="1085"/>
      <c r="O2859" s="1085"/>
    </row>
    <row r="2860" spans="1:15" ht="15" customHeight="1">
      <c r="A2860" s="1052" t="s">
        <v>367</v>
      </c>
      <c r="B2860" s="869"/>
      <c r="C2860" s="1058" t="e">
        <f>VLOOKUP(B2856,'LƯƠNG KT'!$D$15:$U$94,16,0)</f>
        <v>#N/A</v>
      </c>
      <c r="D2860" s="1059" t="e">
        <f>+C2860*$L$6</f>
        <v>#N/A</v>
      </c>
      <c r="E2860" s="1061"/>
      <c r="F2860" s="1061"/>
      <c r="G2860" s="1052" t="s">
        <v>367</v>
      </c>
      <c r="H2860" s="869"/>
      <c r="I2860" s="1058" t="e">
        <f>VLOOKUP(H2856,'LƯƠNG KT'!$D$15:$U$94,16,0)</f>
        <v>#N/A</v>
      </c>
      <c r="J2860" s="1059" t="e">
        <f>+I2860*$L$6</f>
        <v>#N/A</v>
      </c>
      <c r="K2860" s="1085"/>
      <c r="L2860" s="1085"/>
      <c r="M2860" s="1085"/>
      <c r="N2860" s="1085"/>
      <c r="O2860" s="1085"/>
    </row>
    <row r="2861" spans="1:15" ht="15" customHeight="1">
      <c r="A2861" s="1052" t="s">
        <v>371</v>
      </c>
      <c r="B2861" s="869" t="s">
        <v>372</v>
      </c>
      <c r="C2861" s="1058" t="e">
        <f>VLOOKUP(B2856,'LƯƠNG KT'!$D$15:$U$94,9,0)*$L$10</f>
        <v>#N/A</v>
      </c>
      <c r="D2861" s="1059" t="e">
        <f>+C2861*0.5*3000</f>
        <v>#N/A</v>
      </c>
      <c r="E2861" s="1061"/>
      <c r="F2861" s="1061"/>
      <c r="G2861" s="1052" t="s">
        <v>371</v>
      </c>
      <c r="H2861" s="869" t="s">
        <v>372</v>
      </c>
      <c r="I2861" s="1058" t="e">
        <f>VLOOKUP(H2856,'LƯƠNG KT'!$D$15:$U$94,9,0)*$L$10</f>
        <v>#N/A</v>
      </c>
      <c r="J2861" s="1059" t="e">
        <f>+I2861*0.5*3000</f>
        <v>#N/A</v>
      </c>
      <c r="K2861" s="1085"/>
      <c r="L2861" s="1085"/>
      <c r="M2861" s="1085"/>
      <c r="N2861" s="1085"/>
      <c r="O2861" s="1085"/>
    </row>
    <row r="2862" spans="1:15" ht="15" customHeight="1">
      <c r="A2862" s="1052" t="s">
        <v>374</v>
      </c>
      <c r="B2862" s="869" t="s">
        <v>375</v>
      </c>
      <c r="C2862" s="1058" t="e">
        <f>VLOOKUP(B2856,'LƯƠNG KT'!$D$15:$U$94,8,0)*$L$11</f>
        <v>#N/A</v>
      </c>
      <c r="D2862" s="1059" t="e">
        <f>VLOOKUP(B2856,'LƯƠNG KT'!$D$15:$U$94,13,0)-D2861</f>
        <v>#N/A</v>
      </c>
      <c r="E2862" s="1063"/>
      <c r="F2862" s="1061"/>
      <c r="G2862" s="1052" t="s">
        <v>374</v>
      </c>
      <c r="H2862" s="869" t="s">
        <v>375</v>
      </c>
      <c r="I2862" s="1058" t="e">
        <f>VLOOKUP(H2856,'LƯƠNG KT'!$D$15:$U$94,8,0)*$L$11</f>
        <v>#N/A</v>
      </c>
      <c r="J2862" s="1059" t="e">
        <f>VLOOKUP(H2856,'LƯƠNG KT'!$D$15:$U$94,13,0)-J2861</f>
        <v>#N/A</v>
      </c>
      <c r="K2862" s="1085"/>
      <c r="L2862" s="1085"/>
      <c r="M2862" s="1085"/>
      <c r="N2862" s="1085"/>
      <c r="O2862" s="1085"/>
    </row>
    <row r="2863" spans="1:15" ht="15" customHeight="1">
      <c r="A2863" s="1059" t="s">
        <v>377</v>
      </c>
      <c r="B2863" s="869" t="s">
        <v>378</v>
      </c>
      <c r="C2863" s="1058"/>
      <c r="D2863" s="1059"/>
      <c r="E2863" s="1065"/>
      <c r="F2863" s="1065"/>
      <c r="G2863" s="1059" t="s">
        <v>377</v>
      </c>
      <c r="H2863" s="869" t="s">
        <v>378</v>
      </c>
      <c r="I2863" s="1058"/>
      <c r="J2863" s="1059"/>
    </row>
    <row r="2864" spans="1:15" ht="15" customHeight="1">
      <c r="A2864" s="1066" t="s">
        <v>379</v>
      </c>
      <c r="B2864" s="869" t="s">
        <v>380</v>
      </c>
      <c r="C2864" s="1058"/>
      <c r="D2864" s="1059"/>
      <c r="E2864" s="1063"/>
      <c r="F2864" s="1065"/>
      <c r="G2864" s="1066" t="s">
        <v>379</v>
      </c>
      <c r="H2864" s="869" t="s">
        <v>380</v>
      </c>
      <c r="I2864" s="1058"/>
      <c r="J2864" s="1059"/>
    </row>
    <row r="2865" spans="1:15" ht="15" customHeight="1">
      <c r="A2865" s="1052" t="s">
        <v>381</v>
      </c>
      <c r="B2865" s="869" t="s">
        <v>382</v>
      </c>
      <c r="C2865" s="1058"/>
      <c r="D2865" s="1059">
        <f>D2864</f>
        <v>0</v>
      </c>
      <c r="E2865" s="1067"/>
      <c r="F2865" s="1051"/>
      <c r="G2865" s="1052" t="s">
        <v>381</v>
      </c>
      <c r="H2865" s="869" t="s">
        <v>382</v>
      </c>
      <c r="I2865" s="1058"/>
      <c r="J2865" s="1059">
        <f>J2864</f>
        <v>0</v>
      </c>
    </row>
    <row r="2866" spans="1:15" ht="15" customHeight="1">
      <c r="A2866" s="1068" t="s">
        <v>383</v>
      </c>
      <c r="B2866" s="1069" t="s">
        <v>384</v>
      </c>
      <c r="C2866" s="1070"/>
      <c r="D2866" s="1071" t="e">
        <f>SUM(D2857:D2862)-D2865</f>
        <v>#N/A</v>
      </c>
      <c r="E2866" s="1072"/>
      <c r="F2866" s="1073"/>
      <c r="G2866" s="1068" t="s">
        <v>383</v>
      </c>
      <c r="H2866" s="1069" t="s">
        <v>384</v>
      </c>
      <c r="I2866" s="1070"/>
      <c r="J2866" s="1071" t="e">
        <f>SUM(J2857:J2862)-J2865</f>
        <v>#N/A</v>
      </c>
    </row>
    <row r="2867" spans="1:15" ht="15.75" customHeight="1">
      <c r="A2867" s="1074"/>
      <c r="B2867" s="1075"/>
      <c r="C2867" s="1076"/>
      <c r="D2867" s="1077"/>
      <c r="E2867" s="1077"/>
      <c r="F2867" s="1078"/>
      <c r="G2867" s="1074"/>
      <c r="H2867" s="1075"/>
      <c r="I2867" s="1076"/>
      <c r="J2867" s="1077"/>
    </row>
    <row r="2869" spans="1:15" ht="12" customHeight="1">
      <c r="A2869" s="2243"/>
      <c r="B2869" s="2243"/>
      <c r="C2869" s="2243"/>
      <c r="D2869" s="2243"/>
      <c r="E2869" s="2243"/>
      <c r="F2869" s="2243"/>
      <c r="G2869" s="2243"/>
      <c r="H2869" s="2243"/>
      <c r="I2869" s="2243"/>
      <c r="J2869" s="2243"/>
    </row>
    <row r="2870" spans="1:15" ht="15" customHeight="1">
      <c r="A2870" s="2242" t="str">
        <f>$K$2</f>
        <v>THÁNG 09/2024</v>
      </c>
      <c r="B2870" s="2242"/>
      <c r="C2870" s="2242"/>
      <c r="D2870" s="2242"/>
      <c r="E2870" s="1050"/>
      <c r="F2870" s="1051"/>
      <c r="G2870" s="2242" t="str">
        <f>$K$2</f>
        <v>THÁNG 09/2024</v>
      </c>
      <c r="H2870" s="2242"/>
      <c r="I2870" s="2242"/>
      <c r="J2870" s="2242"/>
      <c r="K2870" s="624"/>
    </row>
    <row r="2871" spans="1:15" ht="15" customHeight="1">
      <c r="A2871" s="1052" t="s">
        <v>356</v>
      </c>
      <c r="B2871" s="1053" t="s">
        <v>278</v>
      </c>
      <c r="C2871" s="869"/>
      <c r="D2871" s="1049"/>
      <c r="E2871" s="1054"/>
      <c r="F2871" s="1055"/>
      <c r="G2871" s="1052" t="s">
        <v>356</v>
      </c>
      <c r="H2871" s="1053" t="s">
        <v>281</v>
      </c>
      <c r="I2871" s="869"/>
      <c r="J2871" s="1049"/>
      <c r="L2871" s="1088"/>
      <c r="M2871" s="1088"/>
      <c r="N2871" s="1088"/>
      <c r="O2871" s="1088"/>
    </row>
    <row r="2872" spans="1:15" ht="15" customHeight="1">
      <c r="A2872" s="1052" t="s">
        <v>359</v>
      </c>
      <c r="B2872" s="1089" t="s">
        <v>360</v>
      </c>
      <c r="C2872" s="1058" t="e">
        <f>VLOOKUP(B2871,'LƯƠNG KT'!$D$15:$U$94,3,0)</f>
        <v>#N/A</v>
      </c>
      <c r="D2872" s="1059" t="e">
        <f>+C2872*25000</f>
        <v>#N/A</v>
      </c>
      <c r="E2872" s="1060"/>
      <c r="F2872" s="1060"/>
      <c r="G2872" s="1052" t="s">
        <v>359</v>
      </c>
      <c r="H2872" s="1089" t="s">
        <v>360</v>
      </c>
      <c r="I2872" s="1058" t="e">
        <f>VLOOKUP(H2871,'LƯƠNG KT'!$D$15:$U$94,3,0)</f>
        <v>#N/A</v>
      </c>
      <c r="J2872" s="1059" t="e">
        <f>+I2872*25000</f>
        <v>#N/A</v>
      </c>
      <c r="K2872" s="1084"/>
      <c r="L2872" s="1085"/>
      <c r="M2872" s="1085"/>
      <c r="N2872" s="1085"/>
      <c r="O2872" s="1085"/>
    </row>
    <row r="2873" spans="1:15" ht="15" customHeight="1">
      <c r="A2873" s="1052" t="s">
        <v>361</v>
      </c>
      <c r="B2873" s="869" t="s">
        <v>362</v>
      </c>
      <c r="C2873" s="1058" t="e">
        <f>VLOOKUP(B2871,'LƯƠNG KT'!$D$15:$U$94,14,0)</f>
        <v>#N/A</v>
      </c>
      <c r="D2873" s="1059" t="e">
        <f>C2873*$L$4</f>
        <v>#N/A</v>
      </c>
      <c r="E2873" s="1061"/>
      <c r="F2873" s="1061"/>
      <c r="G2873" s="1052" t="s">
        <v>361</v>
      </c>
      <c r="H2873" s="869" t="s">
        <v>362</v>
      </c>
      <c r="I2873" s="1058" t="e">
        <f>VLOOKUP(H2871,'LƯƠNG KT'!$D$15:$U$94,14,0)</f>
        <v>#N/A</v>
      </c>
      <c r="J2873" s="1059" t="e">
        <f>I2873*$L$4</f>
        <v>#N/A</v>
      </c>
      <c r="K2873" s="1084"/>
      <c r="L2873" s="1085"/>
      <c r="M2873" s="1085"/>
      <c r="N2873" s="1085"/>
      <c r="O2873" s="1085"/>
    </row>
    <row r="2874" spans="1:15" ht="15" customHeight="1">
      <c r="A2874" s="1052" t="s">
        <v>364</v>
      </c>
      <c r="B2874" s="869" t="s">
        <v>365</v>
      </c>
      <c r="C2874" s="1058" t="e">
        <f>VLOOKUP(B2871,'LƯƠNG KT'!$D$15:$U$94,15,0)</f>
        <v>#N/A</v>
      </c>
      <c r="D2874" s="1059" t="e">
        <f>C2874*$L$5</f>
        <v>#N/A</v>
      </c>
      <c r="E2874" s="1061"/>
      <c r="F2874" s="1061"/>
      <c r="G2874" s="1052" t="s">
        <v>364</v>
      </c>
      <c r="H2874" s="869" t="s">
        <v>365</v>
      </c>
      <c r="I2874" s="1058" t="e">
        <f>VLOOKUP(H2871,'LƯƠNG KT'!$D$15:$U$94,15,0)</f>
        <v>#N/A</v>
      </c>
      <c r="J2874" s="1059" t="e">
        <f>I2874*$L$5</f>
        <v>#N/A</v>
      </c>
      <c r="K2874" s="1084"/>
      <c r="L2874" s="1085"/>
      <c r="M2874" s="1085"/>
      <c r="N2874" s="1085"/>
      <c r="O2874" s="1085"/>
    </row>
    <row r="2875" spans="1:15" ht="15" customHeight="1">
      <c r="A2875" s="1052" t="s">
        <v>367</v>
      </c>
      <c r="B2875" s="869"/>
      <c r="C2875" s="1058" t="e">
        <f>VLOOKUP(B2871,'LƯƠNG KT'!$D$15:$U$94,16,0)</f>
        <v>#N/A</v>
      </c>
      <c r="D2875" s="1059" t="e">
        <f>+C2875*$L$6</f>
        <v>#N/A</v>
      </c>
      <c r="E2875" s="1061"/>
      <c r="F2875" s="1061"/>
      <c r="G2875" s="1052" t="s">
        <v>367</v>
      </c>
      <c r="H2875" s="869"/>
      <c r="I2875" s="1058" t="e">
        <f>VLOOKUP(H2871,'LƯƠNG KT'!$D$15:$U$94,16,0)</f>
        <v>#N/A</v>
      </c>
      <c r="J2875" s="1059" t="e">
        <f>+I2875*$L$6</f>
        <v>#N/A</v>
      </c>
      <c r="K2875" s="1085"/>
      <c r="L2875" s="1085"/>
      <c r="M2875" s="1085"/>
      <c r="N2875" s="1085"/>
      <c r="O2875" s="1085"/>
    </row>
    <row r="2876" spans="1:15" ht="15" customHeight="1">
      <c r="A2876" s="1052" t="s">
        <v>371</v>
      </c>
      <c r="B2876" s="869" t="s">
        <v>372</v>
      </c>
      <c r="C2876" s="1058" t="e">
        <f>VLOOKUP(B2871,'LƯƠNG KT'!$D$15:$U$94,9,0)*$L$10</f>
        <v>#N/A</v>
      </c>
      <c r="D2876" s="1059" t="e">
        <f>+C2876*0.5*3000</f>
        <v>#N/A</v>
      </c>
      <c r="E2876" s="1061"/>
      <c r="F2876" s="1061"/>
      <c r="G2876" s="1052" t="s">
        <v>371</v>
      </c>
      <c r="H2876" s="869" t="s">
        <v>372</v>
      </c>
      <c r="I2876" s="1058" t="e">
        <f>VLOOKUP(H2871,'LƯƠNG KT'!$D$15:$U$94,9,0)*$L$10</f>
        <v>#N/A</v>
      </c>
      <c r="J2876" s="1059" t="e">
        <f>+I2876*0.5*3000</f>
        <v>#N/A</v>
      </c>
      <c r="K2876" s="1085"/>
      <c r="L2876" s="1085"/>
      <c r="M2876" s="1085"/>
      <c r="N2876" s="1085"/>
      <c r="O2876" s="1085"/>
    </row>
    <row r="2877" spans="1:15" ht="15" customHeight="1">
      <c r="A2877" s="1052" t="s">
        <v>374</v>
      </c>
      <c r="B2877" s="869" t="s">
        <v>375</v>
      </c>
      <c r="C2877" s="1058" t="e">
        <f>VLOOKUP(B2871,'LƯƠNG KT'!$D$15:$U$94,8,0)*$L$11</f>
        <v>#N/A</v>
      </c>
      <c r="D2877" s="1059" t="e">
        <f>VLOOKUP(B2871,'LƯƠNG KT'!$D$15:$U$94,13,0)-D2876</f>
        <v>#N/A</v>
      </c>
      <c r="E2877" s="1063"/>
      <c r="F2877" s="1061"/>
      <c r="G2877" s="1052" t="s">
        <v>374</v>
      </c>
      <c r="H2877" s="869" t="s">
        <v>375</v>
      </c>
      <c r="I2877" s="1058" t="e">
        <f>VLOOKUP(H2871,'LƯƠNG KT'!$D$15:$U$94,8,0)*$L$11</f>
        <v>#N/A</v>
      </c>
      <c r="J2877" s="1059" t="e">
        <f>VLOOKUP(H2871,'LƯƠNG KT'!$D$15:$U$94,13,0)-J2876</f>
        <v>#N/A</v>
      </c>
      <c r="K2877" s="1085"/>
      <c r="L2877" s="1085"/>
      <c r="M2877" s="1085"/>
      <c r="N2877" s="1085"/>
      <c r="O2877" s="1085"/>
    </row>
    <row r="2878" spans="1:15" ht="15" customHeight="1">
      <c r="A2878" s="1059" t="s">
        <v>377</v>
      </c>
      <c r="B2878" s="869" t="s">
        <v>378</v>
      </c>
      <c r="C2878" s="1058"/>
      <c r="D2878" s="1059"/>
      <c r="E2878" s="1065"/>
      <c r="F2878" s="1065"/>
      <c r="G2878" s="1059" t="s">
        <v>377</v>
      </c>
      <c r="H2878" s="869" t="s">
        <v>378</v>
      </c>
      <c r="I2878" s="1058"/>
      <c r="J2878" s="1059"/>
    </row>
    <row r="2879" spans="1:15" ht="15" customHeight="1">
      <c r="A2879" s="1066" t="s">
        <v>379</v>
      </c>
      <c r="B2879" s="869" t="s">
        <v>380</v>
      </c>
      <c r="C2879" s="1058"/>
      <c r="D2879" s="1059"/>
      <c r="E2879" s="1063"/>
      <c r="F2879" s="1065"/>
      <c r="G2879" s="1066" t="s">
        <v>379</v>
      </c>
      <c r="H2879" s="869" t="s">
        <v>380</v>
      </c>
      <c r="I2879" s="1058"/>
      <c r="J2879" s="1059"/>
    </row>
    <row r="2880" spans="1:15" ht="15" customHeight="1">
      <c r="A2880" s="1052" t="s">
        <v>381</v>
      </c>
      <c r="B2880" s="869" t="s">
        <v>382</v>
      </c>
      <c r="C2880" s="1058"/>
      <c r="D2880" s="1059">
        <f>D2879</f>
        <v>0</v>
      </c>
      <c r="E2880" s="1067"/>
      <c r="F2880" s="1051"/>
      <c r="G2880" s="1052" t="s">
        <v>381</v>
      </c>
      <c r="H2880" s="869" t="s">
        <v>382</v>
      </c>
      <c r="I2880" s="1058"/>
      <c r="J2880" s="1059">
        <f>J2879</f>
        <v>0</v>
      </c>
    </row>
    <row r="2881" spans="1:15" ht="15" customHeight="1">
      <c r="A2881" s="1068" t="s">
        <v>383</v>
      </c>
      <c r="B2881" s="1069" t="s">
        <v>384</v>
      </c>
      <c r="C2881" s="1070"/>
      <c r="D2881" s="1071" t="e">
        <f>SUM(D2872:D2877)-D2880</f>
        <v>#N/A</v>
      </c>
      <c r="E2881" s="1072"/>
      <c r="F2881" s="1073"/>
      <c r="G2881" s="1068" t="s">
        <v>383</v>
      </c>
      <c r="H2881" s="1069" t="s">
        <v>384</v>
      </c>
      <c r="I2881" s="1070"/>
      <c r="J2881" s="1071" t="e">
        <f>SUM(J2872:J2877)-J2880</f>
        <v>#N/A</v>
      </c>
    </row>
    <row r="2882" spans="1:15" ht="12.6" customHeight="1">
      <c r="A2882" s="1074"/>
      <c r="B2882" s="1075"/>
      <c r="C2882" s="1076"/>
      <c r="D2882" s="1077"/>
      <c r="E2882" s="1077"/>
      <c r="F2882" s="1078"/>
      <c r="G2882" s="1074"/>
      <c r="H2882" s="1075"/>
      <c r="I2882" s="1076"/>
      <c r="J2882" s="1077"/>
    </row>
    <row r="2883" spans="1:15" ht="12.6" customHeight="1">
      <c r="A2883" s="1075"/>
      <c r="B2883" s="1075"/>
      <c r="C2883" s="1079"/>
      <c r="D2883" s="1080"/>
      <c r="E2883" s="1075"/>
      <c r="F2883" s="1081"/>
      <c r="G2883" s="1075"/>
      <c r="H2883" s="1075"/>
      <c r="I2883" s="1079"/>
      <c r="J2883" s="1080"/>
    </row>
    <row r="2884" spans="1:15" ht="15" customHeight="1">
      <c r="A2884" s="2242" t="str">
        <f>$K$2</f>
        <v>THÁNG 09/2024</v>
      </c>
      <c r="B2884" s="2242"/>
      <c r="C2884" s="2242"/>
      <c r="D2884" s="2242"/>
      <c r="E2884" s="1050"/>
      <c r="F2884" s="1051"/>
      <c r="G2884" s="2242" t="str">
        <f>$K$2</f>
        <v>THÁNG 09/2024</v>
      </c>
      <c r="H2884" s="2242"/>
      <c r="I2884" s="2242"/>
      <c r="J2884" s="2242"/>
      <c r="K2884" s="624"/>
    </row>
    <row r="2885" spans="1:15" ht="15" customHeight="1">
      <c r="A2885" s="1052" t="s">
        <v>356</v>
      </c>
      <c r="B2885" s="1053" t="s">
        <v>283</v>
      </c>
      <c r="C2885" s="869"/>
      <c r="D2885" s="1049"/>
      <c r="E2885" s="1054"/>
      <c r="F2885" s="1055"/>
      <c r="G2885" s="1052" t="s">
        <v>356</v>
      </c>
      <c r="H2885" s="1053" t="s">
        <v>280</v>
      </c>
      <c r="I2885" s="869"/>
      <c r="J2885" s="1049"/>
      <c r="L2885" s="1088"/>
      <c r="M2885" s="1088"/>
      <c r="N2885" s="1088"/>
      <c r="O2885" s="1088"/>
    </row>
    <row r="2886" spans="1:15" ht="15" customHeight="1">
      <c r="A2886" s="1052" t="s">
        <v>359</v>
      </c>
      <c r="B2886" s="1089" t="s">
        <v>360</v>
      </c>
      <c r="C2886" s="1058" t="e">
        <f>VLOOKUP(B2885,'LƯƠNG KT'!$D$15:$U$94,3,0)</f>
        <v>#N/A</v>
      </c>
      <c r="D2886" s="1059" t="e">
        <f>+C2886*25000</f>
        <v>#N/A</v>
      </c>
      <c r="E2886" s="1060"/>
      <c r="F2886" s="1060"/>
      <c r="G2886" s="1052" t="s">
        <v>359</v>
      </c>
      <c r="H2886" s="1089" t="s">
        <v>360</v>
      </c>
      <c r="I2886" s="1058" t="e">
        <f>VLOOKUP(H2885,'LƯƠNG KT'!$D$15:$U$94,3,0)</f>
        <v>#N/A</v>
      </c>
      <c r="J2886" s="1059" t="e">
        <f>+I2886*25000</f>
        <v>#N/A</v>
      </c>
      <c r="K2886" s="1085"/>
      <c r="L2886" s="1085"/>
      <c r="M2886" s="1085"/>
      <c r="N2886" s="1085"/>
      <c r="O2886" s="1085"/>
    </row>
    <row r="2887" spans="1:15" ht="15" customHeight="1">
      <c r="A2887" s="1052" t="s">
        <v>361</v>
      </c>
      <c r="B2887" s="869" t="s">
        <v>362</v>
      </c>
      <c r="C2887" s="1058" t="e">
        <f>VLOOKUP(B2885,'LƯƠNG KT'!$D$15:$U$94,14,0)</f>
        <v>#N/A</v>
      </c>
      <c r="D2887" s="1059" t="e">
        <f>C2887*$L$4</f>
        <v>#N/A</v>
      </c>
      <c r="E2887" s="1061"/>
      <c r="F2887" s="1061"/>
      <c r="G2887" s="1052" t="s">
        <v>361</v>
      </c>
      <c r="H2887" s="869" t="s">
        <v>362</v>
      </c>
      <c r="I2887" s="1058" t="e">
        <f>VLOOKUP(H2885,'LƯƠNG KT'!$D$15:$U$94,14,0)</f>
        <v>#N/A</v>
      </c>
      <c r="J2887" s="1059" t="e">
        <f>I2887*$L$4</f>
        <v>#N/A</v>
      </c>
      <c r="K2887" s="1085"/>
      <c r="L2887" s="1085"/>
      <c r="M2887" s="1085"/>
      <c r="N2887" s="1085"/>
      <c r="O2887" s="1085"/>
    </row>
    <row r="2888" spans="1:15" ht="15" customHeight="1">
      <c r="A2888" s="1052" t="s">
        <v>364</v>
      </c>
      <c r="B2888" s="869" t="s">
        <v>365</v>
      </c>
      <c r="C2888" s="1058" t="e">
        <f>VLOOKUP(B2885,'LƯƠNG KT'!$D$15:$U$94,15,0)</f>
        <v>#N/A</v>
      </c>
      <c r="D2888" s="1059" t="e">
        <f>C2888*$L$5</f>
        <v>#N/A</v>
      </c>
      <c r="E2888" s="1061"/>
      <c r="F2888" s="1061"/>
      <c r="G2888" s="1052" t="s">
        <v>364</v>
      </c>
      <c r="H2888" s="869" t="s">
        <v>365</v>
      </c>
      <c r="I2888" s="1058" t="e">
        <f>VLOOKUP(H2885,'LƯƠNG KT'!$D$15:$U$94,15,0)</f>
        <v>#N/A</v>
      </c>
      <c r="J2888" s="1059" t="e">
        <f>I2888*$L$5</f>
        <v>#N/A</v>
      </c>
      <c r="K2888" s="1085"/>
      <c r="L2888" s="1085"/>
      <c r="M2888" s="1085"/>
      <c r="N2888" s="1085"/>
      <c r="O2888" s="1085"/>
    </row>
    <row r="2889" spans="1:15" ht="15" customHeight="1">
      <c r="A2889" s="1052" t="s">
        <v>367</v>
      </c>
      <c r="B2889" s="869"/>
      <c r="C2889" s="1058" t="e">
        <f>VLOOKUP(B2885,'LƯƠNG KT'!$D$15:$U$94,16,0)</f>
        <v>#N/A</v>
      </c>
      <c r="D2889" s="1059" t="e">
        <f>+C2889*$L$6</f>
        <v>#N/A</v>
      </c>
      <c r="E2889" s="1061"/>
      <c r="F2889" s="1061"/>
      <c r="G2889" s="1052" t="s">
        <v>367</v>
      </c>
      <c r="H2889" s="869"/>
      <c r="I2889" s="1058" t="e">
        <f>VLOOKUP(H2885,'LƯƠNG KT'!$D$15:$U$94,16,0)</f>
        <v>#N/A</v>
      </c>
      <c r="J2889" s="1059" t="e">
        <f>+I2889*$L$6</f>
        <v>#N/A</v>
      </c>
      <c r="K2889" s="1085"/>
      <c r="L2889" s="1085"/>
      <c r="M2889" s="1085"/>
      <c r="N2889" s="1085"/>
      <c r="O2889" s="1085"/>
    </row>
    <row r="2890" spans="1:15" ht="15" customHeight="1">
      <c r="A2890" s="1052" t="s">
        <v>371</v>
      </c>
      <c r="B2890" s="869" t="s">
        <v>372</v>
      </c>
      <c r="C2890" s="1058" t="e">
        <f>VLOOKUP(B2885,'LƯƠNG KT'!$D$15:$U$94,9,0)*$L$10</f>
        <v>#N/A</v>
      </c>
      <c r="D2890" s="1059" t="e">
        <f>+C2890*0.5*3000</f>
        <v>#N/A</v>
      </c>
      <c r="E2890" s="1061"/>
      <c r="F2890" s="1061"/>
      <c r="G2890" s="1052" t="s">
        <v>371</v>
      </c>
      <c r="H2890" s="869" t="s">
        <v>372</v>
      </c>
      <c r="I2890" s="1058" t="e">
        <f>VLOOKUP(H2885,'LƯƠNG KT'!$D$15:$U$94,9,0)*$L$10</f>
        <v>#N/A</v>
      </c>
      <c r="J2890" s="1059" t="e">
        <f>+I2890*0.5*3000</f>
        <v>#N/A</v>
      </c>
      <c r="K2890" s="1085"/>
      <c r="L2890" s="1085"/>
      <c r="M2890" s="1085"/>
      <c r="N2890" s="1085"/>
      <c r="O2890" s="1085"/>
    </row>
    <row r="2891" spans="1:15" ht="15" customHeight="1">
      <c r="A2891" s="1052" t="s">
        <v>374</v>
      </c>
      <c r="B2891" s="869" t="s">
        <v>375</v>
      </c>
      <c r="C2891" s="1058" t="e">
        <f>VLOOKUP(B2885,'LƯƠNG KT'!$D$15:$U$94,8,0)*$L$11</f>
        <v>#N/A</v>
      </c>
      <c r="D2891" s="1059" t="e">
        <f>VLOOKUP(B2885,'LƯƠNG KT'!$D$15:$U$94,13,0)-D2890</f>
        <v>#N/A</v>
      </c>
      <c r="E2891" s="1063"/>
      <c r="F2891" s="1061"/>
      <c r="G2891" s="1052" t="s">
        <v>374</v>
      </c>
      <c r="H2891" s="869" t="s">
        <v>375</v>
      </c>
      <c r="I2891" s="1058" t="e">
        <f>VLOOKUP(H2885,'LƯƠNG KT'!$D$15:$U$94,8,0)*$L$11</f>
        <v>#N/A</v>
      </c>
      <c r="J2891" s="1059" t="e">
        <f>VLOOKUP(H2885,'LƯƠNG KT'!$D$15:$U$94,13,0)-J2890</f>
        <v>#N/A</v>
      </c>
      <c r="K2891" s="1085"/>
      <c r="L2891" s="1085"/>
      <c r="M2891" s="1085"/>
      <c r="N2891" s="1085"/>
      <c r="O2891" s="1085"/>
    </row>
    <row r="2892" spans="1:15" ht="15" customHeight="1">
      <c r="A2892" s="1059" t="s">
        <v>377</v>
      </c>
      <c r="B2892" s="869" t="s">
        <v>378</v>
      </c>
      <c r="C2892" s="1058"/>
      <c r="D2892" s="1059"/>
      <c r="E2892" s="1065"/>
      <c r="F2892" s="1065"/>
      <c r="G2892" s="1059" t="s">
        <v>377</v>
      </c>
      <c r="H2892" s="869" t="s">
        <v>378</v>
      </c>
      <c r="I2892" s="1058"/>
      <c r="J2892" s="1059"/>
    </row>
    <row r="2893" spans="1:15" ht="15" customHeight="1">
      <c r="A2893" s="1066" t="s">
        <v>379</v>
      </c>
      <c r="B2893" s="869" t="s">
        <v>380</v>
      </c>
      <c r="C2893" s="1058"/>
      <c r="D2893" s="1059"/>
      <c r="E2893" s="1063"/>
      <c r="F2893" s="1065"/>
      <c r="G2893" s="1066" t="s">
        <v>379</v>
      </c>
      <c r="H2893" s="869" t="s">
        <v>380</v>
      </c>
      <c r="I2893" s="1058"/>
      <c r="J2893" s="1059"/>
    </row>
    <row r="2894" spans="1:15" ht="15" customHeight="1">
      <c r="A2894" s="1052" t="s">
        <v>381</v>
      </c>
      <c r="B2894" s="869" t="s">
        <v>382</v>
      </c>
      <c r="C2894" s="1058"/>
      <c r="D2894" s="1059">
        <f>D2893</f>
        <v>0</v>
      </c>
      <c r="E2894" s="1067"/>
      <c r="F2894" s="1051"/>
      <c r="G2894" s="1052" t="s">
        <v>381</v>
      </c>
      <c r="H2894" s="869" t="s">
        <v>382</v>
      </c>
      <c r="I2894" s="1058"/>
      <c r="J2894" s="1059">
        <f>J2893</f>
        <v>0</v>
      </c>
    </row>
    <row r="2895" spans="1:15" ht="15" customHeight="1">
      <c r="A2895" s="1068" t="s">
        <v>383</v>
      </c>
      <c r="B2895" s="1069" t="s">
        <v>384</v>
      </c>
      <c r="C2895" s="1070"/>
      <c r="D2895" s="1071" t="e">
        <f>SUM(D2886:D2891)-D2894</f>
        <v>#N/A</v>
      </c>
      <c r="E2895" s="1072"/>
      <c r="F2895" s="1073"/>
      <c r="G2895" s="1068" t="s">
        <v>383</v>
      </c>
      <c r="H2895" s="1069" t="s">
        <v>384</v>
      </c>
      <c r="I2895" s="1070"/>
      <c r="J2895" s="1071" t="e">
        <f>SUM(J2886:J2891)-J2894</f>
        <v>#N/A</v>
      </c>
    </row>
    <row r="2896" spans="1:15" ht="18.75" customHeight="1">
      <c r="A2896" s="1074"/>
      <c r="B2896" s="1075"/>
      <c r="C2896" s="1076"/>
      <c r="D2896" s="1077"/>
      <c r="E2896" s="1077"/>
      <c r="F2896" s="1078"/>
      <c r="G2896" s="1074"/>
      <c r="H2896" s="1075"/>
      <c r="I2896" s="1076"/>
      <c r="J2896" s="1077"/>
    </row>
    <row r="2897" spans="1:15" ht="18.75" customHeight="1">
      <c r="A2897" s="1075"/>
      <c r="B2897" s="1075"/>
      <c r="C2897" s="1079"/>
      <c r="D2897" s="1080"/>
      <c r="E2897" s="1075"/>
      <c r="F2897" s="1081"/>
      <c r="G2897" s="1075"/>
      <c r="H2897" s="1075"/>
      <c r="I2897" s="1079"/>
      <c r="J2897" s="1080"/>
    </row>
    <row r="2898" spans="1:15" ht="15" customHeight="1">
      <c r="A2898" s="2242" t="str">
        <f>$K$2</f>
        <v>THÁNG 09/2024</v>
      </c>
      <c r="B2898" s="2242"/>
      <c r="C2898" s="2242"/>
      <c r="D2898" s="2242"/>
      <c r="E2898" s="1050"/>
      <c r="F2898" s="1051"/>
      <c r="G2898" s="2242" t="str">
        <f>$K$2</f>
        <v>THÁNG 09/2024</v>
      </c>
      <c r="H2898" s="2242"/>
      <c r="I2898" s="2242"/>
      <c r="J2898" s="2242"/>
      <c r="K2898" s="624"/>
    </row>
    <row r="2899" spans="1:15" ht="15" customHeight="1">
      <c r="A2899" s="1052" t="s">
        <v>356</v>
      </c>
      <c r="B2899" s="1053" t="s">
        <v>282</v>
      </c>
      <c r="C2899" s="869"/>
      <c r="D2899" s="1049"/>
      <c r="E2899" s="1054"/>
      <c r="F2899" s="1055"/>
      <c r="G2899" s="1052" t="s">
        <v>356</v>
      </c>
      <c r="H2899" s="1053" t="s">
        <v>284</v>
      </c>
      <c r="I2899" s="869"/>
      <c r="J2899" s="1049"/>
      <c r="L2899" s="1088"/>
      <c r="M2899" s="1088"/>
      <c r="N2899" s="1088"/>
      <c r="O2899" s="1088"/>
    </row>
    <row r="2900" spans="1:15" ht="15" customHeight="1">
      <c r="A2900" s="1052" t="s">
        <v>359</v>
      </c>
      <c r="B2900" s="1089" t="s">
        <v>360</v>
      </c>
      <c r="C2900" s="1058" t="e">
        <f>VLOOKUP(B2899,'LƯƠNG KT'!$D$15:$U$94,3,0)</f>
        <v>#N/A</v>
      </c>
      <c r="D2900" s="1059" t="e">
        <f>+C2900*25000</f>
        <v>#N/A</v>
      </c>
      <c r="E2900" s="1060"/>
      <c r="F2900" s="1060"/>
      <c r="G2900" s="1052" t="s">
        <v>359</v>
      </c>
      <c r="H2900" s="1089" t="s">
        <v>360</v>
      </c>
      <c r="I2900" s="1058" t="e">
        <f>VLOOKUP(H2899,'LƯƠNG KT'!$D$15:$U$94,3,0)</f>
        <v>#N/A</v>
      </c>
      <c r="J2900" s="1059" t="e">
        <f>+I2900*25000</f>
        <v>#N/A</v>
      </c>
      <c r="K2900" s="1085"/>
      <c r="L2900" s="1085"/>
      <c r="M2900" s="1085"/>
      <c r="N2900" s="1085"/>
      <c r="O2900" s="1085"/>
    </row>
    <row r="2901" spans="1:15" ht="15" customHeight="1">
      <c r="A2901" s="1052" t="s">
        <v>361</v>
      </c>
      <c r="B2901" s="869" t="s">
        <v>362</v>
      </c>
      <c r="C2901" s="1058" t="e">
        <f>VLOOKUP(B2899,'LƯƠNG KT'!$D$15:$U$94,14,0)</f>
        <v>#N/A</v>
      </c>
      <c r="D2901" s="1059" t="e">
        <f>C2901*$L$4</f>
        <v>#N/A</v>
      </c>
      <c r="E2901" s="1061"/>
      <c r="F2901" s="1061"/>
      <c r="G2901" s="1052" t="s">
        <v>361</v>
      </c>
      <c r="H2901" s="869" t="s">
        <v>362</v>
      </c>
      <c r="I2901" s="1058" t="e">
        <f>VLOOKUP(H2899,'LƯƠNG KT'!$D$15:$U$94,14,0)</f>
        <v>#N/A</v>
      </c>
      <c r="J2901" s="1059" t="e">
        <f>I2901*$L$4</f>
        <v>#N/A</v>
      </c>
      <c r="K2901" s="1085"/>
      <c r="L2901" s="1085"/>
      <c r="M2901" s="1085"/>
      <c r="N2901" s="1085"/>
      <c r="O2901" s="1085"/>
    </row>
    <row r="2902" spans="1:15" ht="15" customHeight="1">
      <c r="A2902" s="1052" t="s">
        <v>364</v>
      </c>
      <c r="B2902" s="869" t="s">
        <v>365</v>
      </c>
      <c r="C2902" s="1058" t="e">
        <f>VLOOKUP(B2899,'LƯƠNG KT'!$D$15:$U$94,15,0)</f>
        <v>#N/A</v>
      </c>
      <c r="D2902" s="1059" t="e">
        <f>C2902*$L$5</f>
        <v>#N/A</v>
      </c>
      <c r="E2902" s="1061"/>
      <c r="F2902" s="1061"/>
      <c r="G2902" s="1052" t="s">
        <v>364</v>
      </c>
      <c r="H2902" s="869" t="s">
        <v>365</v>
      </c>
      <c r="I2902" s="1058" t="e">
        <f>VLOOKUP(H2899,'LƯƠNG KT'!$D$15:$U$94,15,0)</f>
        <v>#N/A</v>
      </c>
      <c r="J2902" s="1059" t="e">
        <f>I2902*$L$5</f>
        <v>#N/A</v>
      </c>
      <c r="K2902" s="1085"/>
      <c r="L2902" s="1085"/>
      <c r="M2902" s="1085"/>
      <c r="N2902" s="1085"/>
      <c r="O2902" s="1085"/>
    </row>
    <row r="2903" spans="1:15" ht="15" customHeight="1">
      <c r="A2903" s="1052" t="s">
        <v>367</v>
      </c>
      <c r="B2903" s="869"/>
      <c r="C2903" s="1058" t="e">
        <f>VLOOKUP(B2899,'LƯƠNG KT'!$D$15:$U$94,16,0)</f>
        <v>#N/A</v>
      </c>
      <c r="D2903" s="1059" t="e">
        <f>+C2903*$L$6</f>
        <v>#N/A</v>
      </c>
      <c r="E2903" s="1061"/>
      <c r="F2903" s="1061"/>
      <c r="G2903" s="1052" t="s">
        <v>367</v>
      </c>
      <c r="H2903" s="869"/>
      <c r="I2903" s="1058" t="e">
        <f>VLOOKUP(H2899,'LƯƠNG KT'!$D$15:$U$94,16,0)</f>
        <v>#N/A</v>
      </c>
      <c r="J2903" s="1059" t="e">
        <f>+I2903*$L$6</f>
        <v>#N/A</v>
      </c>
      <c r="K2903" s="1085"/>
      <c r="L2903" s="1085"/>
      <c r="M2903" s="1085"/>
      <c r="N2903" s="1085"/>
      <c r="O2903" s="1085"/>
    </row>
    <row r="2904" spans="1:15" ht="15" customHeight="1">
      <c r="A2904" s="1052" t="s">
        <v>371</v>
      </c>
      <c r="B2904" s="869" t="s">
        <v>372</v>
      </c>
      <c r="C2904" s="1058" t="e">
        <f>VLOOKUP(B2899,'LƯƠNG KT'!$D$15:$U$94,9,0)*$L$10</f>
        <v>#N/A</v>
      </c>
      <c r="D2904" s="1059" t="e">
        <f>+C2904*0.5*3000</f>
        <v>#N/A</v>
      </c>
      <c r="E2904" s="1061"/>
      <c r="F2904" s="1061"/>
      <c r="G2904" s="1052" t="s">
        <v>371</v>
      </c>
      <c r="H2904" s="869" t="s">
        <v>372</v>
      </c>
      <c r="I2904" s="1058" t="e">
        <f>VLOOKUP(H2899,'LƯƠNG KT'!$D$15:$U$94,9,0)*$L$10</f>
        <v>#N/A</v>
      </c>
      <c r="J2904" s="1059" t="e">
        <f>+I2904*0.5*3000</f>
        <v>#N/A</v>
      </c>
      <c r="K2904" s="1085"/>
      <c r="L2904" s="1085"/>
      <c r="M2904" s="1085"/>
      <c r="N2904" s="1085"/>
      <c r="O2904" s="1085"/>
    </row>
    <row r="2905" spans="1:15" ht="15" customHeight="1">
      <c r="A2905" s="1052" t="s">
        <v>374</v>
      </c>
      <c r="B2905" s="869" t="s">
        <v>375</v>
      </c>
      <c r="C2905" s="1058" t="e">
        <f>VLOOKUP(B2899,'LƯƠNG KT'!$D$15:$U$94,8,0)*$L$11</f>
        <v>#N/A</v>
      </c>
      <c r="D2905" s="1059" t="e">
        <f>VLOOKUP(B2899,'LƯƠNG KT'!$D$15:$U$94,13,0)-D2904</f>
        <v>#N/A</v>
      </c>
      <c r="E2905" s="1063"/>
      <c r="F2905" s="1061"/>
      <c r="G2905" s="1052" t="s">
        <v>374</v>
      </c>
      <c r="H2905" s="869" t="s">
        <v>375</v>
      </c>
      <c r="I2905" s="1058" t="e">
        <f>VLOOKUP(H2899,'LƯƠNG KT'!$D$15:$U$94,8,0)*$L$11</f>
        <v>#N/A</v>
      </c>
      <c r="J2905" s="1059" t="e">
        <f>VLOOKUP(H2899,'LƯƠNG KT'!$D$15:$U$94,13,0)-J2904</f>
        <v>#N/A</v>
      </c>
      <c r="K2905" s="1085"/>
      <c r="L2905" s="1085"/>
      <c r="M2905" s="1085"/>
      <c r="N2905" s="1085"/>
      <c r="O2905" s="1085"/>
    </row>
    <row r="2906" spans="1:15" ht="15" customHeight="1">
      <c r="A2906" s="1059" t="s">
        <v>377</v>
      </c>
      <c r="B2906" s="869" t="s">
        <v>378</v>
      </c>
      <c r="C2906" s="1058"/>
      <c r="D2906" s="1059"/>
      <c r="E2906" s="1065"/>
      <c r="F2906" s="1065"/>
      <c r="G2906" s="1059" t="s">
        <v>377</v>
      </c>
      <c r="H2906" s="869" t="s">
        <v>378</v>
      </c>
      <c r="I2906" s="1058"/>
      <c r="J2906" s="1059"/>
    </row>
    <row r="2907" spans="1:15" ht="15" customHeight="1">
      <c r="A2907" s="1066" t="s">
        <v>379</v>
      </c>
      <c r="B2907" s="869" t="s">
        <v>380</v>
      </c>
      <c r="C2907" s="1058"/>
      <c r="D2907" s="1059"/>
      <c r="E2907" s="1063"/>
      <c r="F2907" s="1065"/>
      <c r="G2907" s="1066" t="s">
        <v>379</v>
      </c>
      <c r="H2907" s="869" t="s">
        <v>380</v>
      </c>
      <c r="I2907" s="1058"/>
      <c r="J2907" s="1059"/>
    </row>
    <row r="2908" spans="1:15" ht="15" customHeight="1">
      <c r="A2908" s="1052" t="s">
        <v>381</v>
      </c>
      <c r="B2908" s="869" t="s">
        <v>382</v>
      </c>
      <c r="C2908" s="1058"/>
      <c r="D2908" s="1059">
        <f>D2907</f>
        <v>0</v>
      </c>
      <c r="E2908" s="1067"/>
      <c r="F2908" s="1051"/>
      <c r="G2908" s="1052" t="s">
        <v>381</v>
      </c>
      <c r="H2908" s="869" t="s">
        <v>382</v>
      </c>
      <c r="I2908" s="1058"/>
      <c r="J2908" s="1059">
        <f>J2907</f>
        <v>0</v>
      </c>
    </row>
    <row r="2909" spans="1:15" ht="15" customHeight="1">
      <c r="A2909" s="1068" t="s">
        <v>383</v>
      </c>
      <c r="B2909" s="1069" t="s">
        <v>384</v>
      </c>
      <c r="C2909" s="1070"/>
      <c r="D2909" s="1071" t="e">
        <f>SUM(D2900:D2905)-D2908</f>
        <v>#N/A</v>
      </c>
      <c r="E2909" s="1072"/>
      <c r="F2909" s="1073"/>
      <c r="G2909" s="1068" t="s">
        <v>383</v>
      </c>
      <c r="H2909" s="1069" t="s">
        <v>384</v>
      </c>
      <c r="I2909" s="1070"/>
      <c r="J2909" s="1071" t="e">
        <f>SUM(J2900:J2905)-J2908</f>
        <v>#N/A</v>
      </c>
    </row>
    <row r="2910" spans="1:15" ht="18.75" customHeight="1">
      <c r="A2910" s="1074"/>
      <c r="B2910" s="1075"/>
      <c r="C2910" s="1076"/>
      <c r="D2910" s="1077"/>
      <c r="E2910" s="1077"/>
      <c r="F2910" s="1078"/>
      <c r="G2910" s="1074"/>
      <c r="H2910" s="1075"/>
      <c r="I2910" s="1076"/>
      <c r="J2910" s="1077"/>
    </row>
    <row r="2911" spans="1:15" ht="18.75" customHeight="1">
      <c r="A2911" s="1075"/>
      <c r="B2911" s="1075"/>
      <c r="C2911" s="1079"/>
      <c r="D2911" s="1080"/>
      <c r="E2911" s="1075"/>
      <c r="F2911" s="1081"/>
      <c r="G2911" s="1075"/>
      <c r="H2911" s="1075"/>
      <c r="I2911" s="1079"/>
      <c r="J2911" s="1080"/>
    </row>
    <row r="2912" spans="1:15" ht="15" customHeight="1">
      <c r="A2912" s="2242" t="str">
        <f>$K$2</f>
        <v>THÁNG 09/2024</v>
      </c>
      <c r="B2912" s="2242"/>
      <c r="C2912" s="2242"/>
      <c r="D2912" s="2242"/>
      <c r="E2912" s="1050"/>
      <c r="F2912" s="1051"/>
      <c r="G2912" s="2242" t="str">
        <f>$K$2</f>
        <v>THÁNG 09/2024</v>
      </c>
      <c r="H2912" s="2242"/>
      <c r="I2912" s="2242"/>
      <c r="J2912" s="2242"/>
      <c r="K2912" s="624"/>
    </row>
    <row r="2913" spans="1:15" ht="15" customHeight="1">
      <c r="A2913" s="1052" t="s">
        <v>356</v>
      </c>
      <c r="B2913" s="1053" t="s">
        <v>279</v>
      </c>
      <c r="C2913" s="869"/>
      <c r="D2913" s="1049"/>
      <c r="E2913" s="1054"/>
      <c r="F2913" s="1055"/>
      <c r="G2913" s="1052" t="s">
        <v>356</v>
      </c>
      <c r="H2913" s="1053" t="s">
        <v>513</v>
      </c>
      <c r="I2913" s="869"/>
      <c r="J2913" s="1049"/>
      <c r="L2913" s="1088"/>
      <c r="M2913" s="1088"/>
      <c r="N2913" s="1088"/>
      <c r="O2913" s="1088"/>
    </row>
    <row r="2914" spans="1:15" ht="15" customHeight="1">
      <c r="A2914" s="1052" t="s">
        <v>359</v>
      </c>
      <c r="B2914" s="1089" t="s">
        <v>360</v>
      </c>
      <c r="C2914" s="1058" t="e">
        <f>VLOOKUP(B2913,'LƯƠNG KT'!$D$15:$U$94,3,0)</f>
        <v>#N/A</v>
      </c>
      <c r="D2914" s="1059" t="e">
        <f>+C2914*25000</f>
        <v>#N/A</v>
      </c>
      <c r="E2914" s="1060"/>
      <c r="F2914" s="1060"/>
      <c r="G2914" s="1052" t="s">
        <v>359</v>
      </c>
      <c r="H2914" s="1089" t="s">
        <v>360</v>
      </c>
      <c r="I2914" s="1058" t="e">
        <f>VLOOKUP(H2913,'LƯƠNG KT'!$D$15:$U$94,3,0)</f>
        <v>#N/A</v>
      </c>
      <c r="J2914" s="1059" t="e">
        <f>+I2914*25000</f>
        <v>#N/A</v>
      </c>
      <c r="K2914" s="1085"/>
      <c r="L2914" s="1085"/>
      <c r="M2914" s="1085"/>
      <c r="N2914" s="1085"/>
      <c r="O2914" s="1085"/>
    </row>
    <row r="2915" spans="1:15" ht="15" customHeight="1">
      <c r="A2915" s="1052" t="s">
        <v>361</v>
      </c>
      <c r="B2915" s="869" t="s">
        <v>362</v>
      </c>
      <c r="C2915" s="1058" t="e">
        <f>VLOOKUP(B2913,'LƯƠNG KT'!$D$15:$U$94,14,0)</f>
        <v>#N/A</v>
      </c>
      <c r="D2915" s="1059" t="e">
        <f>C2915*$L$4</f>
        <v>#N/A</v>
      </c>
      <c r="E2915" s="1061"/>
      <c r="F2915" s="1061"/>
      <c r="G2915" s="1052" t="s">
        <v>361</v>
      </c>
      <c r="H2915" s="869" t="s">
        <v>362</v>
      </c>
      <c r="I2915" s="1058" t="e">
        <f>VLOOKUP(H2913,'LƯƠNG KT'!$D$15:$U$94,14,0)</f>
        <v>#N/A</v>
      </c>
      <c r="J2915" s="1059" t="e">
        <f>I2915*$L$4</f>
        <v>#N/A</v>
      </c>
      <c r="K2915" s="1085"/>
      <c r="L2915" s="1085"/>
      <c r="M2915" s="1085"/>
      <c r="N2915" s="1085"/>
      <c r="O2915" s="1085"/>
    </row>
    <row r="2916" spans="1:15" ht="15" customHeight="1">
      <c r="A2916" s="1052" t="s">
        <v>364</v>
      </c>
      <c r="B2916" s="869" t="s">
        <v>365</v>
      </c>
      <c r="C2916" s="1058" t="e">
        <f>VLOOKUP(B2913,'LƯƠNG KT'!$D$15:$U$94,15,0)</f>
        <v>#N/A</v>
      </c>
      <c r="D2916" s="1059" t="e">
        <f>C2916*$L$5</f>
        <v>#N/A</v>
      </c>
      <c r="E2916" s="1061"/>
      <c r="F2916" s="1061"/>
      <c r="G2916" s="1052" t="s">
        <v>364</v>
      </c>
      <c r="H2916" s="869" t="s">
        <v>365</v>
      </c>
      <c r="I2916" s="1058" t="e">
        <f>VLOOKUP(H2913,'LƯƠNG KT'!$D$15:$U$94,15,0)</f>
        <v>#N/A</v>
      </c>
      <c r="J2916" s="1059" t="e">
        <f>I2916*$L$5</f>
        <v>#N/A</v>
      </c>
      <c r="K2916" s="1085"/>
      <c r="L2916" s="1085"/>
      <c r="M2916" s="1085"/>
      <c r="N2916" s="1085"/>
      <c r="O2916" s="1085"/>
    </row>
    <row r="2917" spans="1:15" ht="15" customHeight="1">
      <c r="A2917" s="1052" t="s">
        <v>367</v>
      </c>
      <c r="B2917" s="869"/>
      <c r="C2917" s="1058" t="e">
        <f>VLOOKUP(B2913,'LƯƠNG KT'!$D$15:$U$94,16,0)</f>
        <v>#N/A</v>
      </c>
      <c r="D2917" s="1059" t="e">
        <f>+C2917*$L$6</f>
        <v>#N/A</v>
      </c>
      <c r="E2917" s="1061"/>
      <c r="F2917" s="1061"/>
      <c r="G2917" s="1052" t="s">
        <v>367</v>
      </c>
      <c r="H2917" s="869"/>
      <c r="I2917" s="1058" t="e">
        <f>VLOOKUP(H2913,'LƯƠNG KT'!$D$15:$U$94,16,0)</f>
        <v>#N/A</v>
      </c>
      <c r="J2917" s="1059" t="e">
        <f>+I2917*$L$6</f>
        <v>#N/A</v>
      </c>
      <c r="K2917" s="1085"/>
      <c r="L2917" s="1085"/>
      <c r="M2917" s="1085"/>
      <c r="N2917" s="1085"/>
      <c r="O2917" s="1085"/>
    </row>
    <row r="2918" spans="1:15" ht="15" customHeight="1">
      <c r="A2918" s="1052" t="s">
        <v>371</v>
      </c>
      <c r="B2918" s="869" t="s">
        <v>372</v>
      </c>
      <c r="C2918" s="1058" t="e">
        <f>VLOOKUP(B2913,'LƯƠNG KT'!$D$15:$U$94,9,0)*$L$10</f>
        <v>#N/A</v>
      </c>
      <c r="D2918" s="1059" t="e">
        <f>+C2918*0.5*3000</f>
        <v>#N/A</v>
      </c>
      <c r="E2918" s="1061"/>
      <c r="F2918" s="1061"/>
      <c r="G2918" s="1052" t="s">
        <v>371</v>
      </c>
      <c r="H2918" s="869" t="s">
        <v>372</v>
      </c>
      <c r="I2918" s="1058" t="e">
        <f>VLOOKUP(H2913,'LƯƠNG KT'!$D$15:$U$94,9,0)*$L$10</f>
        <v>#N/A</v>
      </c>
      <c r="J2918" s="1059" t="e">
        <f>+I2918*0.5*3000</f>
        <v>#N/A</v>
      </c>
      <c r="K2918" s="1085"/>
      <c r="L2918" s="1085"/>
      <c r="M2918" s="1085"/>
      <c r="N2918" s="1085"/>
      <c r="O2918" s="1085"/>
    </row>
    <row r="2919" spans="1:15" ht="15" customHeight="1">
      <c r="A2919" s="1052" t="s">
        <v>374</v>
      </c>
      <c r="B2919" s="869" t="s">
        <v>375</v>
      </c>
      <c r="C2919" s="1058" t="e">
        <f>VLOOKUP(B2913,'LƯƠNG KT'!$D$15:$U$94,8,0)*$L$11</f>
        <v>#N/A</v>
      </c>
      <c r="D2919" s="1059" t="e">
        <f>VLOOKUP(B2913,'LƯƠNG KT'!$D$15:$U$94,13,0)-D2918</f>
        <v>#N/A</v>
      </c>
      <c r="E2919" s="1063"/>
      <c r="F2919" s="1061"/>
      <c r="G2919" s="1052" t="s">
        <v>374</v>
      </c>
      <c r="H2919" s="869" t="s">
        <v>375</v>
      </c>
      <c r="I2919" s="1058" t="e">
        <f>VLOOKUP(H2913,'LƯƠNG KT'!$D$15:$U$94,8,0)*$L$11</f>
        <v>#N/A</v>
      </c>
      <c r="J2919" s="1059" t="e">
        <f>VLOOKUP(H2913,'LƯƠNG KT'!$D$15:$U$94,13,0)-J2918</f>
        <v>#N/A</v>
      </c>
      <c r="K2919" s="1090" t="s">
        <v>509</v>
      </c>
      <c r="L2919" s="1090" t="e">
        <f>+J2923+D2923+D2909+J2909+J2895+D2895+D2881+J2881+J2866+D2866+D2852+J2852+J2838+D2838+D2824+J2824+J2809+D2809+D2795+J2795+J2781+D2781+D2767+J2767+J2752+D2752+D2738+J2738+J2724+D2724+D2710+J2710+D2695+J2695+J2681+D2681+D2667+J2667+J2653+D2653+J2638+D2638+D2624+J2624+J2610+D2610+D2596+J2596+J2581+D2581+J2567+D2567+D2553+J2553+J2539+D2539+D2524+J2524+J2510+D2510+D2496+J2496+J2482+D2482+D2467+J2467+J2453+D2453+D2439+J2439+J2425+D2425+D2410+J2410+J2396+D2396+D2382+J2382+J2368+D2368</f>
        <v>#N/A</v>
      </c>
      <c r="M2919" s="1090"/>
      <c r="N2919" s="1090"/>
      <c r="O2919" s="1090"/>
    </row>
    <row r="2920" spans="1:15" ht="15" customHeight="1">
      <c r="A2920" s="1059" t="s">
        <v>377</v>
      </c>
      <c r="B2920" s="869" t="s">
        <v>378</v>
      </c>
      <c r="C2920" s="1058"/>
      <c r="D2920" s="1059"/>
      <c r="E2920" s="1065"/>
      <c r="F2920" s="1065"/>
      <c r="G2920" s="1059" t="s">
        <v>377</v>
      </c>
      <c r="H2920" s="869" t="s">
        <v>378</v>
      </c>
      <c r="I2920" s="1058"/>
      <c r="J2920" s="1059"/>
    </row>
    <row r="2921" spans="1:15" ht="15" customHeight="1">
      <c r="A2921" s="1066" t="s">
        <v>379</v>
      </c>
      <c r="B2921" s="869" t="s">
        <v>380</v>
      </c>
      <c r="C2921" s="1058"/>
      <c r="D2921" s="1059"/>
      <c r="E2921" s="1063"/>
      <c r="F2921" s="1065"/>
      <c r="G2921" s="1066" t="s">
        <v>379</v>
      </c>
      <c r="H2921" s="869" t="s">
        <v>380</v>
      </c>
      <c r="I2921" s="1058"/>
      <c r="J2921" s="1059"/>
    </row>
    <row r="2922" spans="1:15" ht="15" customHeight="1">
      <c r="A2922" s="1052" t="s">
        <v>381</v>
      </c>
      <c r="B2922" s="869" t="s">
        <v>382</v>
      </c>
      <c r="C2922" s="1058"/>
      <c r="D2922" s="1059">
        <f>D2921</f>
        <v>0</v>
      </c>
      <c r="E2922" s="1067"/>
      <c r="F2922" s="1051"/>
      <c r="G2922" s="1052" t="s">
        <v>381</v>
      </c>
      <c r="H2922" s="869" t="s">
        <v>382</v>
      </c>
      <c r="I2922" s="1058"/>
      <c r="J2922" s="1059"/>
    </row>
    <row r="2923" spans="1:15" ht="15" customHeight="1">
      <c r="A2923" s="1068" t="s">
        <v>383</v>
      </c>
      <c r="B2923" s="1069" t="s">
        <v>384</v>
      </c>
      <c r="C2923" s="1070"/>
      <c r="D2923" s="1071" t="e">
        <f>SUM(D2914:D2919)-D2922</f>
        <v>#N/A</v>
      </c>
      <c r="E2923" s="1072"/>
      <c r="F2923" s="1073"/>
      <c r="G2923" s="1068" t="s">
        <v>383</v>
      </c>
      <c r="H2923" s="1069" t="s">
        <v>384</v>
      </c>
      <c r="I2923" s="1070"/>
      <c r="J2923" s="1071"/>
    </row>
    <row r="2924" spans="1:15" ht="15.75" customHeight="1">
      <c r="A2924" s="1074"/>
      <c r="B2924" s="1075"/>
      <c r="C2924" s="1076"/>
      <c r="D2924" s="1077"/>
      <c r="E2924" s="1077"/>
      <c r="F2924" s="1078"/>
      <c r="G2924" s="1074"/>
      <c r="H2924" s="1075"/>
      <c r="I2924" s="1076"/>
      <c r="J2924" s="1077"/>
    </row>
    <row r="2926" spans="1:15" ht="12" customHeight="1">
      <c r="A2926" s="2244" t="s">
        <v>514</v>
      </c>
      <c r="B2926" s="2244"/>
      <c r="C2926" s="2244"/>
      <c r="D2926" s="2244"/>
      <c r="E2926" s="2244"/>
      <c r="F2926" s="2244"/>
      <c r="G2926" s="2244"/>
      <c r="H2926" s="2244"/>
      <c r="I2926" s="2244"/>
      <c r="J2926" s="2244"/>
    </row>
    <row r="2927" spans="1:15" ht="15" customHeight="1">
      <c r="A2927" s="2242" t="str">
        <f>$K$2</f>
        <v>THÁNG 09/2024</v>
      </c>
      <c r="B2927" s="2242"/>
      <c r="C2927" s="2242"/>
      <c r="D2927" s="2242"/>
      <c r="E2927" s="1050"/>
      <c r="F2927" s="1051"/>
      <c r="G2927" s="2242" t="str">
        <f>$K$2</f>
        <v>THÁNG 09/2024</v>
      </c>
      <c r="H2927" s="2242"/>
      <c r="I2927" s="2242"/>
      <c r="J2927" s="2242"/>
      <c r="K2927" s="624"/>
    </row>
    <row r="2928" spans="1:15" ht="15" customHeight="1">
      <c r="A2928" s="1052" t="s">
        <v>356</v>
      </c>
      <c r="B2928" s="1053" t="s">
        <v>308</v>
      </c>
      <c r="C2928" s="869"/>
      <c r="D2928" s="1049"/>
      <c r="E2928" s="1054"/>
      <c r="F2928" s="1055"/>
      <c r="G2928" s="1052" t="s">
        <v>356</v>
      </c>
      <c r="H2928" s="1053" t="s">
        <v>309</v>
      </c>
      <c r="I2928" s="869"/>
      <c r="J2928" s="1049"/>
      <c r="L2928" s="1088"/>
      <c r="M2928" s="1088"/>
      <c r="N2928" s="1088"/>
      <c r="O2928" s="1088"/>
    </row>
    <row r="2929" spans="1:15" ht="15" customHeight="1">
      <c r="A2929" s="1052" t="s">
        <v>359</v>
      </c>
      <c r="B2929" s="1089" t="s">
        <v>360</v>
      </c>
      <c r="C2929" s="1058" t="e">
        <f>VLOOKUP(B2928,'LƯƠNG KT'!$D$15:$U$94,3,0)</f>
        <v>#N/A</v>
      </c>
      <c r="D2929" s="1059" t="e">
        <f>+C2929*25000</f>
        <v>#N/A</v>
      </c>
      <c r="E2929" s="1060"/>
      <c r="F2929" s="1060"/>
      <c r="G2929" s="1052" t="s">
        <v>359</v>
      </c>
      <c r="H2929" s="1089" t="s">
        <v>360</v>
      </c>
      <c r="I2929" s="1058" t="e">
        <f>VLOOKUP(H2928,'LƯƠNG KT'!$D$15:$U$94,3,0)</f>
        <v>#N/A</v>
      </c>
      <c r="J2929" s="1059" t="e">
        <f>+I2929*25000</f>
        <v>#N/A</v>
      </c>
      <c r="K2929" s="1084"/>
      <c r="L2929" s="1085"/>
      <c r="M2929" s="1085"/>
      <c r="N2929" s="1085"/>
      <c r="O2929" s="1085"/>
    </row>
    <row r="2930" spans="1:15" ht="15" customHeight="1">
      <c r="A2930" s="1052" t="s">
        <v>361</v>
      </c>
      <c r="B2930" s="869" t="s">
        <v>362</v>
      </c>
      <c r="C2930" s="1058" t="e">
        <f>VLOOKUP(B2928,'LƯƠNG KT'!$D$15:$U$94,14,0)</f>
        <v>#N/A</v>
      </c>
      <c r="D2930" s="1059" t="e">
        <f>C2930*$L$4</f>
        <v>#N/A</v>
      </c>
      <c r="E2930" s="1061"/>
      <c r="F2930" s="1061"/>
      <c r="G2930" s="1052" t="s">
        <v>361</v>
      </c>
      <c r="H2930" s="869" t="s">
        <v>362</v>
      </c>
      <c r="I2930" s="1058" t="e">
        <f>VLOOKUP(H2928,'LƯƠNG KT'!$D$15:$U$94,14,0)</f>
        <v>#N/A</v>
      </c>
      <c r="J2930" s="1059" t="e">
        <f>I2930*$L$4</f>
        <v>#N/A</v>
      </c>
      <c r="K2930" s="1084"/>
      <c r="L2930" s="1085"/>
      <c r="M2930" s="1085"/>
      <c r="N2930" s="1085"/>
      <c r="O2930" s="1085"/>
    </row>
    <row r="2931" spans="1:15" ht="15" customHeight="1">
      <c r="A2931" s="1052" t="s">
        <v>364</v>
      </c>
      <c r="B2931" s="869" t="s">
        <v>365</v>
      </c>
      <c r="C2931" s="1058" t="e">
        <f>VLOOKUP(B2928,'LƯƠNG KT'!$D$15:$U$94,15,0)</f>
        <v>#N/A</v>
      </c>
      <c r="D2931" s="1059" t="e">
        <f>C2931*$L$5</f>
        <v>#N/A</v>
      </c>
      <c r="E2931" s="1061"/>
      <c r="F2931" s="1061"/>
      <c r="G2931" s="1052" t="s">
        <v>364</v>
      </c>
      <c r="H2931" s="869" t="s">
        <v>365</v>
      </c>
      <c r="I2931" s="1058" t="e">
        <f>VLOOKUP(H2928,'LƯƠNG KT'!$D$15:$U$94,15,0)</f>
        <v>#N/A</v>
      </c>
      <c r="J2931" s="1059" t="e">
        <f>I2931*$L$5</f>
        <v>#N/A</v>
      </c>
      <c r="K2931" s="1084"/>
      <c r="L2931" s="1085"/>
      <c r="M2931" s="1085"/>
      <c r="N2931" s="1085"/>
      <c r="O2931" s="1085"/>
    </row>
    <row r="2932" spans="1:15" ht="15" customHeight="1">
      <c r="A2932" s="1052" t="s">
        <v>367</v>
      </c>
      <c r="B2932" s="869"/>
      <c r="C2932" s="1058" t="e">
        <f>VLOOKUP(B2928,'LƯƠNG KT'!$D$15:$U$94,16,0)</f>
        <v>#N/A</v>
      </c>
      <c r="D2932" s="1059" t="e">
        <f>+C2932*$L$6</f>
        <v>#N/A</v>
      </c>
      <c r="E2932" s="1061"/>
      <c r="F2932" s="1061"/>
      <c r="G2932" s="1052" t="s">
        <v>367</v>
      </c>
      <c r="H2932" s="869"/>
      <c r="I2932" s="1058" t="e">
        <f>VLOOKUP(H2928,'LƯƠNG KT'!$D$15:$U$94,16,0)</f>
        <v>#N/A</v>
      </c>
      <c r="J2932" s="1059" t="e">
        <f>+I2932*$L$6</f>
        <v>#N/A</v>
      </c>
      <c r="K2932" s="1085"/>
      <c r="L2932" s="1085"/>
      <c r="M2932" s="1085"/>
      <c r="N2932" s="1085"/>
      <c r="O2932" s="1085"/>
    </row>
    <row r="2933" spans="1:15" ht="15" customHeight="1">
      <c r="A2933" s="1052" t="s">
        <v>515</v>
      </c>
      <c r="B2933" s="869"/>
      <c r="C2933" s="1058" t="e">
        <f>VLOOKUP(B2928,'LƯƠNG KT'!$D$15:$U$94,17,0)</f>
        <v>#N/A</v>
      </c>
      <c r="D2933" s="1059" t="e">
        <f>+C2933*$L$7</f>
        <v>#N/A</v>
      </c>
      <c r="E2933" s="1061"/>
      <c r="F2933" s="1061"/>
      <c r="G2933" s="1052" t="s">
        <v>515</v>
      </c>
      <c r="H2933" s="869"/>
      <c r="I2933" s="1058" t="e">
        <f>VLOOKUP(H2928,'LƯƠNG KT'!$D$15:$U$94,17,0)</f>
        <v>#N/A</v>
      </c>
      <c r="J2933" s="1059" t="e">
        <f>+I2933*$L$7</f>
        <v>#N/A</v>
      </c>
      <c r="K2933" s="1085"/>
      <c r="L2933" s="1085"/>
      <c r="M2933" s="1085"/>
      <c r="N2933" s="1085"/>
      <c r="O2933" s="1085"/>
    </row>
    <row r="2934" spans="1:15" ht="15" customHeight="1">
      <c r="A2934" s="1052" t="s">
        <v>371</v>
      </c>
      <c r="B2934" s="869" t="s">
        <v>372</v>
      </c>
      <c r="C2934" s="1058" t="e">
        <f>VLOOKUP(B2928,'LƯƠNG KT'!$D$15:$U$94,9,0)*$L$10</f>
        <v>#N/A</v>
      </c>
      <c r="D2934" s="1059" t="e">
        <f>+C2934*0.5*3000</f>
        <v>#N/A</v>
      </c>
      <c r="E2934" s="1061"/>
      <c r="F2934" s="1061"/>
      <c r="G2934" s="1052" t="s">
        <v>371</v>
      </c>
      <c r="H2934" s="869" t="s">
        <v>372</v>
      </c>
      <c r="I2934" s="1058" t="e">
        <f>VLOOKUP(H2928,'LƯƠNG KT'!$D$15:$U$94,9,0)*$L$10</f>
        <v>#N/A</v>
      </c>
      <c r="J2934" s="1059" t="e">
        <f>+I2934*0.5*3000</f>
        <v>#N/A</v>
      </c>
      <c r="K2934" s="1085"/>
      <c r="L2934" s="1085"/>
      <c r="M2934" s="1085"/>
      <c r="N2934" s="1085"/>
      <c r="O2934" s="1085"/>
    </row>
    <row r="2935" spans="1:15" ht="15" customHeight="1">
      <c r="A2935" s="1052" t="s">
        <v>374</v>
      </c>
      <c r="B2935" s="869" t="s">
        <v>375</v>
      </c>
      <c r="C2935" s="1058" t="e">
        <f>VLOOKUP(B2928,'LƯƠNG KT'!$D$15:$U$94,8,0)*$L$11</f>
        <v>#N/A</v>
      </c>
      <c r="D2935" s="1059" t="e">
        <f>VLOOKUP(B2928,'LƯƠNG KT'!$D$15:$U$94,13,0)-D2934</f>
        <v>#N/A</v>
      </c>
      <c r="E2935" s="1063"/>
      <c r="F2935" s="1061"/>
      <c r="G2935" s="1052" t="s">
        <v>374</v>
      </c>
      <c r="H2935" s="869" t="s">
        <v>375</v>
      </c>
      <c r="I2935" s="1058" t="e">
        <f>VLOOKUP(H2928,'LƯƠNG KT'!$D$15:$U$94,8,0)*$L$11</f>
        <v>#N/A</v>
      </c>
      <c r="J2935" s="1059" t="e">
        <f>VLOOKUP(H2928,'LƯƠNG KT'!$D$15:$U$94,13,0)-J2934</f>
        <v>#N/A</v>
      </c>
      <c r="K2935" s="1085"/>
      <c r="L2935" s="1085"/>
      <c r="M2935" s="1085"/>
      <c r="N2935" s="1085"/>
      <c r="O2935" s="1085"/>
    </row>
    <row r="2936" spans="1:15" ht="15" customHeight="1">
      <c r="A2936" s="1059" t="s">
        <v>377</v>
      </c>
      <c r="B2936" s="869" t="s">
        <v>378</v>
      </c>
      <c r="C2936" s="1058"/>
      <c r="D2936" s="1059"/>
      <c r="E2936" s="1065"/>
      <c r="F2936" s="1065"/>
      <c r="G2936" s="1059" t="s">
        <v>377</v>
      </c>
      <c r="H2936" s="869" t="s">
        <v>378</v>
      </c>
      <c r="I2936" s="1058"/>
      <c r="J2936" s="1059"/>
    </row>
    <row r="2937" spans="1:15" ht="15" customHeight="1">
      <c r="A2937" s="1066" t="s">
        <v>379</v>
      </c>
      <c r="B2937" s="869" t="s">
        <v>380</v>
      </c>
      <c r="C2937" s="1058"/>
      <c r="D2937" s="1059"/>
      <c r="E2937" s="1063"/>
      <c r="F2937" s="1065"/>
      <c r="G2937" s="1066" t="s">
        <v>379</v>
      </c>
      <c r="H2937" s="869" t="s">
        <v>380</v>
      </c>
      <c r="I2937" s="1058"/>
      <c r="J2937" s="1059"/>
    </row>
    <row r="2938" spans="1:15" ht="15" customHeight="1">
      <c r="A2938" s="1052" t="s">
        <v>381</v>
      </c>
      <c r="B2938" s="869" t="s">
        <v>382</v>
      </c>
      <c r="C2938" s="1058"/>
      <c r="D2938" s="1059">
        <f>D2937</f>
        <v>0</v>
      </c>
      <c r="E2938" s="1067"/>
      <c r="F2938" s="1051"/>
      <c r="G2938" s="1052" t="s">
        <v>381</v>
      </c>
      <c r="H2938" s="869" t="s">
        <v>382</v>
      </c>
      <c r="I2938" s="1058"/>
      <c r="J2938" s="1059">
        <f>J2937</f>
        <v>0</v>
      </c>
    </row>
    <row r="2939" spans="1:15" ht="15" customHeight="1">
      <c r="A2939" s="1068" t="s">
        <v>383</v>
      </c>
      <c r="B2939" s="1069" t="s">
        <v>384</v>
      </c>
      <c r="C2939" s="1070"/>
      <c r="D2939" s="1071" t="e">
        <f>SUM(D2929:D2935)-D2938</f>
        <v>#N/A</v>
      </c>
      <c r="E2939" s="1072"/>
      <c r="F2939" s="1073"/>
      <c r="G2939" s="1068" t="s">
        <v>383</v>
      </c>
      <c r="H2939" s="1069" t="s">
        <v>384</v>
      </c>
      <c r="I2939" s="1070"/>
      <c r="J2939" s="1071" t="e">
        <f>SUM(J2929:J2935)-J2938</f>
        <v>#N/A</v>
      </c>
    </row>
    <row r="2940" spans="1:15" ht="12.6" customHeight="1">
      <c r="A2940" s="1074"/>
      <c r="B2940" s="1075"/>
      <c r="C2940" s="1076"/>
      <c r="D2940" s="1077"/>
      <c r="E2940" s="1077"/>
      <c r="F2940" s="1078"/>
      <c r="G2940" s="1074"/>
      <c r="H2940" s="1075"/>
      <c r="I2940" s="1076"/>
      <c r="J2940" s="1077"/>
    </row>
    <row r="2941" spans="1:15" ht="12.6" customHeight="1">
      <c r="A2941" s="1075"/>
      <c r="B2941" s="1075"/>
      <c r="C2941" s="1079"/>
      <c r="D2941" s="1080"/>
      <c r="E2941" s="1075"/>
      <c r="F2941" s="1081"/>
      <c r="G2941" s="1075"/>
      <c r="H2941" s="1075"/>
      <c r="I2941" s="1079"/>
      <c r="J2941" s="1080"/>
    </row>
    <row r="2942" spans="1:15" ht="15" customHeight="1">
      <c r="A2942" s="2242" t="str">
        <f>$K$2</f>
        <v>THÁNG 09/2024</v>
      </c>
      <c r="B2942" s="2242"/>
      <c r="C2942" s="2242"/>
      <c r="D2942" s="2242"/>
      <c r="E2942" s="1050"/>
      <c r="F2942" s="1051"/>
      <c r="G2942" s="2242" t="str">
        <f>$K$2</f>
        <v>THÁNG 09/2024</v>
      </c>
      <c r="H2942" s="2242"/>
      <c r="I2942" s="2242"/>
      <c r="J2942" s="2242"/>
      <c r="K2942" s="624"/>
    </row>
    <row r="2943" spans="1:15" ht="15" customHeight="1">
      <c r="A2943" s="1052" t="s">
        <v>356</v>
      </c>
      <c r="B2943" s="1053" t="s">
        <v>310</v>
      </c>
      <c r="C2943" s="869"/>
      <c r="D2943" s="1049"/>
      <c r="E2943" s="1054"/>
      <c r="F2943" s="1055"/>
      <c r="G2943" s="1052" t="s">
        <v>356</v>
      </c>
      <c r="H2943" s="1053" t="s">
        <v>311</v>
      </c>
      <c r="I2943" s="869"/>
      <c r="J2943" s="1049"/>
      <c r="L2943" s="1088"/>
      <c r="M2943" s="1088"/>
      <c r="N2943" s="1088"/>
      <c r="O2943" s="1088"/>
    </row>
    <row r="2944" spans="1:15" ht="15" customHeight="1">
      <c r="A2944" s="1052" t="s">
        <v>359</v>
      </c>
      <c r="B2944" s="1089" t="s">
        <v>360</v>
      </c>
      <c r="C2944" s="1058" t="e">
        <f>VLOOKUP(B2943,'LƯƠNG KT'!$D$15:$U$94,3,0)</f>
        <v>#N/A</v>
      </c>
      <c r="D2944" s="1059" t="e">
        <f>+C2944*25000</f>
        <v>#N/A</v>
      </c>
      <c r="E2944" s="1060"/>
      <c r="F2944" s="1060"/>
      <c r="G2944" s="1052" t="s">
        <v>359</v>
      </c>
      <c r="H2944" s="1089" t="s">
        <v>360</v>
      </c>
      <c r="I2944" s="1058" t="e">
        <f>VLOOKUP(H2943,'LƯƠNG KT'!$D$15:$U$94,3,0)</f>
        <v>#N/A</v>
      </c>
      <c r="J2944" s="1059" t="e">
        <f>+I2944*25000</f>
        <v>#N/A</v>
      </c>
      <c r="K2944" s="1085"/>
      <c r="L2944" s="1085"/>
      <c r="M2944" s="1085"/>
      <c r="N2944" s="1085"/>
      <c r="O2944" s="1085"/>
    </row>
    <row r="2945" spans="1:15" ht="15" customHeight="1">
      <c r="A2945" s="1052" t="s">
        <v>361</v>
      </c>
      <c r="B2945" s="869" t="s">
        <v>362</v>
      </c>
      <c r="C2945" s="1058" t="e">
        <f>VLOOKUP(B2943,'LƯƠNG KT'!$D$15:$U$94,14,0)</f>
        <v>#N/A</v>
      </c>
      <c r="D2945" s="1059" t="e">
        <f>C2945*$L$4</f>
        <v>#N/A</v>
      </c>
      <c r="E2945" s="1061"/>
      <c r="F2945" s="1061"/>
      <c r="G2945" s="1052" t="s">
        <v>361</v>
      </c>
      <c r="H2945" s="869" t="s">
        <v>362</v>
      </c>
      <c r="I2945" s="1058" t="e">
        <f>VLOOKUP(H2943,'LƯƠNG KT'!$D$15:$U$94,14,0)</f>
        <v>#N/A</v>
      </c>
      <c r="J2945" s="1059" t="e">
        <f>I2945*$L$4</f>
        <v>#N/A</v>
      </c>
      <c r="K2945" s="1085"/>
      <c r="L2945" s="1085"/>
      <c r="M2945" s="1085"/>
      <c r="N2945" s="1085"/>
      <c r="O2945" s="1085"/>
    </row>
    <row r="2946" spans="1:15" ht="15" customHeight="1">
      <c r="A2946" s="1052" t="s">
        <v>364</v>
      </c>
      <c r="B2946" s="869" t="s">
        <v>365</v>
      </c>
      <c r="C2946" s="1058" t="e">
        <f>VLOOKUP(B2943,'LƯƠNG KT'!$D$15:$U$94,15,0)</f>
        <v>#N/A</v>
      </c>
      <c r="D2946" s="1059" t="e">
        <f>C2946*$L$5</f>
        <v>#N/A</v>
      </c>
      <c r="E2946" s="1061"/>
      <c r="F2946" s="1061"/>
      <c r="G2946" s="1052" t="s">
        <v>364</v>
      </c>
      <c r="H2946" s="869" t="s">
        <v>365</v>
      </c>
      <c r="I2946" s="1058" t="e">
        <f>VLOOKUP(H2943,'LƯƠNG KT'!$D$15:$U$94,15,0)</f>
        <v>#N/A</v>
      </c>
      <c r="J2946" s="1059" t="e">
        <f>I2946*$L$5</f>
        <v>#N/A</v>
      </c>
      <c r="K2946" s="1085"/>
      <c r="L2946" s="1085"/>
      <c r="M2946" s="1085"/>
      <c r="N2946" s="1085"/>
      <c r="O2946" s="1085"/>
    </row>
    <row r="2947" spans="1:15" ht="15" customHeight="1">
      <c r="A2947" s="1052" t="s">
        <v>367</v>
      </c>
      <c r="B2947" s="869"/>
      <c r="C2947" s="1058" t="e">
        <f>VLOOKUP(B2943,'LƯƠNG KT'!$D$15:$U$94,16,0)</f>
        <v>#N/A</v>
      </c>
      <c r="D2947" s="1059" t="e">
        <f>+C2947*$L$6</f>
        <v>#N/A</v>
      </c>
      <c r="E2947" s="1061"/>
      <c r="F2947" s="1061"/>
      <c r="G2947" s="1052" t="s">
        <v>367</v>
      </c>
      <c r="H2947" s="869"/>
      <c r="I2947" s="1058" t="e">
        <f>VLOOKUP(H2943,'LƯƠNG KT'!$D$15:$U$94,16,0)</f>
        <v>#N/A</v>
      </c>
      <c r="J2947" s="1059" t="e">
        <f>+I2947*$L$6</f>
        <v>#N/A</v>
      </c>
      <c r="K2947" s="1085"/>
      <c r="L2947" s="1085"/>
      <c r="M2947" s="1085"/>
      <c r="N2947" s="1085"/>
      <c r="O2947" s="1085"/>
    </row>
    <row r="2948" spans="1:15" ht="15" customHeight="1">
      <c r="A2948" s="1052" t="s">
        <v>515</v>
      </c>
      <c r="B2948" s="869"/>
      <c r="C2948" s="1058" t="e">
        <f>VLOOKUP(B2943,'LƯƠNG KT'!$D$15:$U$94,17,0)</f>
        <v>#N/A</v>
      </c>
      <c r="D2948" s="1059" t="e">
        <f>+C2948*$L$7</f>
        <v>#N/A</v>
      </c>
      <c r="E2948" s="1061"/>
      <c r="F2948" s="1061"/>
      <c r="G2948" s="1052" t="s">
        <v>515</v>
      </c>
      <c r="H2948" s="869"/>
      <c r="I2948" s="1058" t="e">
        <f>VLOOKUP(H2943,'LƯƠNG KT'!$D$15:$U$94,17,0)</f>
        <v>#N/A</v>
      </c>
      <c r="J2948" s="1059" t="e">
        <f>+I2948*$L$7</f>
        <v>#N/A</v>
      </c>
      <c r="K2948" s="1085"/>
      <c r="L2948" s="1085"/>
      <c r="M2948" s="1085"/>
      <c r="N2948" s="1085"/>
      <c r="O2948" s="1085"/>
    </row>
    <row r="2949" spans="1:15" ht="15" customHeight="1">
      <c r="A2949" s="1052" t="s">
        <v>371</v>
      </c>
      <c r="B2949" s="869" t="s">
        <v>372</v>
      </c>
      <c r="C2949" s="1058" t="e">
        <f>VLOOKUP(B2943,'LƯƠNG KT'!$D$15:$U$94,9,0)*$L$10</f>
        <v>#N/A</v>
      </c>
      <c r="D2949" s="1059" t="e">
        <f>+C2949*0.5*3000</f>
        <v>#N/A</v>
      </c>
      <c r="E2949" s="1061"/>
      <c r="F2949" s="1061"/>
      <c r="G2949" s="1052" t="s">
        <v>371</v>
      </c>
      <c r="H2949" s="869" t="s">
        <v>372</v>
      </c>
      <c r="I2949" s="1058" t="e">
        <f>VLOOKUP(H2943,'LƯƠNG KT'!$D$15:$U$94,9,0)*$L$10</f>
        <v>#N/A</v>
      </c>
      <c r="J2949" s="1059" t="e">
        <f>+I2949*0.5*3000</f>
        <v>#N/A</v>
      </c>
      <c r="K2949" s="1085"/>
      <c r="L2949" s="1085"/>
      <c r="M2949" s="1085"/>
      <c r="N2949" s="1085"/>
      <c r="O2949" s="1085"/>
    </row>
    <row r="2950" spans="1:15" ht="15" customHeight="1">
      <c r="A2950" s="1052" t="s">
        <v>374</v>
      </c>
      <c r="B2950" s="869" t="s">
        <v>375</v>
      </c>
      <c r="C2950" s="1058" t="e">
        <f>VLOOKUP(B2943,'LƯƠNG KT'!$D$15:$U$94,8,0)*$L$11</f>
        <v>#N/A</v>
      </c>
      <c r="D2950" s="1059" t="e">
        <f>VLOOKUP(B2943,'LƯƠNG KT'!$D$15:$U$94,13,0)-D2949</f>
        <v>#N/A</v>
      </c>
      <c r="E2950" s="1063"/>
      <c r="F2950" s="1061"/>
      <c r="G2950" s="1052" t="s">
        <v>374</v>
      </c>
      <c r="H2950" s="869" t="s">
        <v>375</v>
      </c>
      <c r="I2950" s="1058" t="e">
        <f>VLOOKUP(H2943,'LƯƠNG KT'!$D$15:$U$94,8,0)*$L$11</f>
        <v>#N/A</v>
      </c>
      <c r="J2950" s="1059" t="e">
        <f>VLOOKUP(H2943,'LƯƠNG KT'!$D$15:$U$94,13,0)-J2949</f>
        <v>#N/A</v>
      </c>
      <c r="K2950" s="1085"/>
      <c r="L2950" s="1085"/>
      <c r="M2950" s="1085"/>
      <c r="N2950" s="1085"/>
      <c r="O2950" s="1085"/>
    </row>
    <row r="2951" spans="1:15" ht="15" customHeight="1">
      <c r="A2951" s="1059" t="s">
        <v>377</v>
      </c>
      <c r="B2951" s="869" t="s">
        <v>378</v>
      </c>
      <c r="C2951" s="1058"/>
      <c r="D2951" s="1059"/>
      <c r="E2951" s="1065"/>
      <c r="F2951" s="1065"/>
      <c r="G2951" s="1059" t="s">
        <v>377</v>
      </c>
      <c r="H2951" s="869" t="s">
        <v>378</v>
      </c>
      <c r="I2951" s="1058"/>
      <c r="J2951" s="1059"/>
    </row>
    <row r="2952" spans="1:15" ht="15" customHeight="1">
      <c r="A2952" s="1066" t="s">
        <v>379</v>
      </c>
      <c r="B2952" s="869" t="s">
        <v>380</v>
      </c>
      <c r="C2952" s="1058"/>
      <c r="D2952" s="1059"/>
      <c r="E2952" s="1063"/>
      <c r="F2952" s="1065"/>
      <c r="G2952" s="1066" t="s">
        <v>379</v>
      </c>
      <c r="H2952" s="869" t="s">
        <v>380</v>
      </c>
      <c r="I2952" s="1058"/>
      <c r="J2952" s="1059"/>
    </row>
    <row r="2953" spans="1:15" ht="15" customHeight="1">
      <c r="A2953" s="1052" t="s">
        <v>381</v>
      </c>
      <c r="B2953" s="869" t="s">
        <v>382</v>
      </c>
      <c r="C2953" s="1058"/>
      <c r="D2953" s="1059">
        <f>D2952</f>
        <v>0</v>
      </c>
      <c r="E2953" s="1067"/>
      <c r="F2953" s="1051"/>
      <c r="G2953" s="1052" t="s">
        <v>381</v>
      </c>
      <c r="H2953" s="869" t="s">
        <v>382</v>
      </c>
      <c r="I2953" s="1058"/>
      <c r="J2953" s="1059">
        <f>J2952</f>
        <v>0</v>
      </c>
    </row>
    <row r="2954" spans="1:15" ht="15" customHeight="1">
      <c r="A2954" s="1068" t="s">
        <v>383</v>
      </c>
      <c r="B2954" s="1069" t="s">
        <v>384</v>
      </c>
      <c r="C2954" s="1070"/>
      <c r="D2954" s="1071" t="e">
        <f>SUM(D2944:D2950)-D2953</f>
        <v>#N/A</v>
      </c>
      <c r="E2954" s="1072"/>
      <c r="F2954" s="1073"/>
      <c r="G2954" s="1068" t="s">
        <v>383</v>
      </c>
      <c r="H2954" s="1069" t="s">
        <v>384</v>
      </c>
      <c r="I2954" s="1070"/>
      <c r="J2954" s="1071" t="e">
        <f>SUM(J2944:J2950)-J2953</f>
        <v>#N/A</v>
      </c>
    </row>
    <row r="2955" spans="1:15" ht="11.25" customHeight="1">
      <c r="A2955" s="1074"/>
      <c r="B2955" s="1075"/>
      <c r="C2955" s="1076"/>
      <c r="D2955" s="1077"/>
      <c r="E2955" s="1077"/>
      <c r="F2955" s="1078"/>
      <c r="G2955" s="1074"/>
      <c r="H2955" s="1075"/>
      <c r="I2955" s="1076"/>
      <c r="J2955" s="1077"/>
    </row>
    <row r="2956" spans="1:15" ht="11.25" customHeight="1">
      <c r="A2956" s="1075"/>
      <c r="B2956" s="1075"/>
      <c r="C2956" s="1079"/>
      <c r="D2956" s="1080"/>
      <c r="E2956" s="1075"/>
      <c r="F2956" s="1081"/>
      <c r="G2956" s="1075"/>
      <c r="H2956" s="1075"/>
      <c r="I2956" s="1079"/>
      <c r="J2956" s="1080"/>
    </row>
    <row r="2957" spans="1:15" ht="15" customHeight="1">
      <c r="A2957" s="2242" t="str">
        <f>$K$2</f>
        <v>THÁNG 09/2024</v>
      </c>
      <c r="B2957" s="2242"/>
      <c r="C2957" s="2242"/>
      <c r="D2957" s="2242"/>
      <c r="E2957" s="1050"/>
      <c r="F2957" s="1051"/>
      <c r="G2957" s="2242" t="str">
        <f>$K$2</f>
        <v>THÁNG 09/2024</v>
      </c>
      <c r="H2957" s="2242"/>
      <c r="I2957" s="2242"/>
      <c r="J2957" s="2242"/>
      <c r="K2957" s="624"/>
    </row>
    <row r="2958" spans="1:15" ht="15" customHeight="1">
      <c r="A2958" s="1052" t="s">
        <v>356</v>
      </c>
      <c r="B2958" s="1053" t="s">
        <v>312</v>
      </c>
      <c r="C2958" s="869"/>
      <c r="D2958" s="1049"/>
      <c r="E2958" s="1054"/>
      <c r="F2958" s="1055"/>
      <c r="G2958" s="1052" t="s">
        <v>356</v>
      </c>
      <c r="H2958" s="1053" t="s">
        <v>313</v>
      </c>
      <c r="I2958" s="869"/>
      <c r="J2958" s="1049"/>
      <c r="L2958" s="1088"/>
      <c r="M2958" s="1088"/>
      <c r="N2958" s="1088"/>
      <c r="O2958" s="1088"/>
    </row>
    <row r="2959" spans="1:15" ht="15" customHeight="1">
      <c r="A2959" s="1052" t="s">
        <v>359</v>
      </c>
      <c r="B2959" s="1089" t="s">
        <v>360</v>
      </c>
      <c r="C2959" s="1058" t="e">
        <f>VLOOKUP(B2958,'LƯƠNG KT'!$D$15:$U$94,3,0)</f>
        <v>#N/A</v>
      </c>
      <c r="D2959" s="1059" t="e">
        <f>+C2959*25000</f>
        <v>#N/A</v>
      </c>
      <c r="E2959" s="1060"/>
      <c r="F2959" s="1060"/>
      <c r="G2959" s="1052" t="s">
        <v>359</v>
      </c>
      <c r="H2959" s="1089" t="s">
        <v>360</v>
      </c>
      <c r="I2959" s="1058" t="e">
        <f>VLOOKUP(H2958,'LƯƠNG KT'!$D$15:$U$94,3,0)</f>
        <v>#N/A</v>
      </c>
      <c r="J2959" s="1059" t="e">
        <f>+I2959*25000</f>
        <v>#N/A</v>
      </c>
      <c r="K2959" s="1085"/>
      <c r="L2959" s="1085"/>
      <c r="M2959" s="1085"/>
      <c r="N2959" s="1085"/>
      <c r="O2959" s="1085"/>
    </row>
    <row r="2960" spans="1:15" ht="15" customHeight="1">
      <c r="A2960" s="1052" t="s">
        <v>361</v>
      </c>
      <c r="B2960" s="869" t="s">
        <v>362</v>
      </c>
      <c r="C2960" s="1058" t="e">
        <f>VLOOKUP(B2958,'LƯƠNG KT'!$D$15:$U$94,14,0)</f>
        <v>#N/A</v>
      </c>
      <c r="D2960" s="1059" t="e">
        <f>C2960*$L$4</f>
        <v>#N/A</v>
      </c>
      <c r="E2960" s="1061"/>
      <c r="F2960" s="1061"/>
      <c r="G2960" s="1052" t="s">
        <v>361</v>
      </c>
      <c r="H2960" s="869" t="s">
        <v>362</v>
      </c>
      <c r="I2960" s="1058" t="e">
        <f>VLOOKUP(H2958,'LƯƠNG KT'!$D$15:$U$94,14,0)</f>
        <v>#N/A</v>
      </c>
      <c r="J2960" s="1059" t="e">
        <f>I2960*$L$4</f>
        <v>#N/A</v>
      </c>
      <c r="K2960" s="1085"/>
      <c r="L2960" s="1085"/>
      <c r="M2960" s="1085"/>
      <c r="N2960" s="1085"/>
      <c r="O2960" s="1085"/>
    </row>
    <row r="2961" spans="1:15" ht="15" customHeight="1">
      <c r="A2961" s="1052" t="s">
        <v>364</v>
      </c>
      <c r="B2961" s="869" t="s">
        <v>365</v>
      </c>
      <c r="C2961" s="1058" t="e">
        <f>VLOOKUP(B2958,'LƯƠNG KT'!$D$15:$U$94,15,0)</f>
        <v>#N/A</v>
      </c>
      <c r="D2961" s="1059" t="e">
        <f>C2961*$L$5</f>
        <v>#N/A</v>
      </c>
      <c r="E2961" s="1061"/>
      <c r="F2961" s="1061"/>
      <c r="G2961" s="1052" t="s">
        <v>364</v>
      </c>
      <c r="H2961" s="869" t="s">
        <v>365</v>
      </c>
      <c r="I2961" s="1058" t="e">
        <f>VLOOKUP(H2958,'LƯƠNG KT'!$D$15:$U$94,15,0)</f>
        <v>#N/A</v>
      </c>
      <c r="J2961" s="1059" t="e">
        <f>I2961*$L$5</f>
        <v>#N/A</v>
      </c>
      <c r="K2961" s="1085"/>
      <c r="L2961" s="1085"/>
      <c r="M2961" s="1085"/>
      <c r="N2961" s="1085"/>
      <c r="O2961" s="1085"/>
    </row>
    <row r="2962" spans="1:15" ht="15" customHeight="1">
      <c r="A2962" s="1052" t="s">
        <v>367</v>
      </c>
      <c r="B2962" s="869"/>
      <c r="C2962" s="1058" t="e">
        <f>VLOOKUP(B2958,'LƯƠNG KT'!$D$15:$U$94,16,0)</f>
        <v>#N/A</v>
      </c>
      <c r="D2962" s="1059" t="e">
        <f>+C2962*$L$6</f>
        <v>#N/A</v>
      </c>
      <c r="E2962" s="1061"/>
      <c r="F2962" s="1061"/>
      <c r="G2962" s="1052" t="s">
        <v>367</v>
      </c>
      <c r="H2962" s="869"/>
      <c r="I2962" s="1058" t="e">
        <f>VLOOKUP(H2958,'LƯƠNG KT'!$D$15:$U$94,16,0)</f>
        <v>#N/A</v>
      </c>
      <c r="J2962" s="1059" t="e">
        <f>+I2962*$L$6</f>
        <v>#N/A</v>
      </c>
      <c r="K2962" s="1085"/>
      <c r="L2962" s="1085"/>
      <c r="M2962" s="1085"/>
      <c r="N2962" s="1085"/>
      <c r="O2962" s="1085"/>
    </row>
    <row r="2963" spans="1:15" ht="15" customHeight="1">
      <c r="A2963" s="1052" t="s">
        <v>515</v>
      </c>
      <c r="B2963" s="869"/>
      <c r="C2963" s="1058" t="e">
        <f>VLOOKUP(B2958,'LƯƠNG KT'!$D$15:$U$94,17,0)</f>
        <v>#N/A</v>
      </c>
      <c r="D2963" s="1059" t="e">
        <f>+C2963*$L$7</f>
        <v>#N/A</v>
      </c>
      <c r="E2963" s="1061"/>
      <c r="F2963" s="1061"/>
      <c r="G2963" s="1052" t="s">
        <v>515</v>
      </c>
      <c r="H2963" s="869"/>
      <c r="I2963" s="1058" t="e">
        <f>VLOOKUP(H2958,'LƯƠNG KT'!$D$15:$U$94,17,0)</f>
        <v>#N/A</v>
      </c>
      <c r="J2963" s="1059" t="e">
        <f>+I2963*$L$7</f>
        <v>#N/A</v>
      </c>
      <c r="K2963" s="1085"/>
      <c r="L2963" s="1085"/>
      <c r="M2963" s="1085"/>
      <c r="N2963" s="1085"/>
      <c r="O2963" s="1085"/>
    </row>
    <row r="2964" spans="1:15" ht="15" customHeight="1">
      <c r="A2964" s="1052" t="s">
        <v>371</v>
      </c>
      <c r="B2964" s="869" t="s">
        <v>372</v>
      </c>
      <c r="C2964" s="1058" t="e">
        <f>VLOOKUP(B2958,'LƯƠNG KT'!$D$15:$U$94,9,0)*$L$10</f>
        <v>#N/A</v>
      </c>
      <c r="D2964" s="1059" t="e">
        <f>+C2964*0.5*3000</f>
        <v>#N/A</v>
      </c>
      <c r="E2964" s="1061"/>
      <c r="F2964" s="1061"/>
      <c r="G2964" s="1052" t="s">
        <v>371</v>
      </c>
      <c r="H2964" s="869" t="s">
        <v>372</v>
      </c>
      <c r="I2964" s="1058" t="e">
        <f>VLOOKUP(H2958,'LƯƠNG KT'!$D$15:$U$94,9,0)*$L$10</f>
        <v>#N/A</v>
      </c>
      <c r="J2964" s="1059" t="e">
        <f>+I2964*0.5*3000</f>
        <v>#N/A</v>
      </c>
      <c r="K2964" s="1085"/>
      <c r="L2964" s="1085"/>
      <c r="M2964" s="1085"/>
      <c r="N2964" s="1085"/>
      <c r="O2964" s="1085"/>
    </row>
    <row r="2965" spans="1:15" ht="15" customHeight="1">
      <c r="A2965" s="1052" t="s">
        <v>374</v>
      </c>
      <c r="B2965" s="869" t="s">
        <v>375</v>
      </c>
      <c r="C2965" s="1058" t="e">
        <f>VLOOKUP(B2958,'LƯƠNG KT'!$D$15:$U$94,8,0)*$L$11</f>
        <v>#N/A</v>
      </c>
      <c r="D2965" s="1059" t="e">
        <f>VLOOKUP(B2958,'LƯƠNG KT'!$D$15:$U$94,13,0)-D2964</f>
        <v>#N/A</v>
      </c>
      <c r="E2965" s="1063"/>
      <c r="F2965" s="1061"/>
      <c r="G2965" s="1052" t="s">
        <v>374</v>
      </c>
      <c r="H2965" s="869" t="s">
        <v>375</v>
      </c>
      <c r="I2965" s="1058" t="e">
        <f>VLOOKUP(H2958,'LƯƠNG KT'!$D$15:$U$94,8,0)*$L$11</f>
        <v>#N/A</v>
      </c>
      <c r="J2965" s="1059" t="e">
        <f>VLOOKUP(H2958,'LƯƠNG KT'!$D$15:$U$94,13,0)-J2964</f>
        <v>#N/A</v>
      </c>
      <c r="K2965" s="1085"/>
      <c r="L2965" s="1085"/>
      <c r="M2965" s="1085"/>
      <c r="N2965" s="1085"/>
      <c r="O2965" s="1085"/>
    </row>
    <row r="2966" spans="1:15" ht="15" customHeight="1">
      <c r="A2966" s="1059" t="s">
        <v>377</v>
      </c>
      <c r="B2966" s="869" t="s">
        <v>378</v>
      </c>
      <c r="C2966" s="1058"/>
      <c r="D2966" s="1059"/>
      <c r="E2966" s="1065"/>
      <c r="F2966" s="1065"/>
      <c r="G2966" s="1059" t="s">
        <v>377</v>
      </c>
      <c r="H2966" s="869" t="s">
        <v>378</v>
      </c>
      <c r="I2966" s="1058"/>
      <c r="J2966" s="1059"/>
    </row>
    <row r="2967" spans="1:15" ht="15" customHeight="1">
      <c r="A2967" s="1066" t="s">
        <v>379</v>
      </c>
      <c r="B2967" s="869" t="s">
        <v>380</v>
      </c>
      <c r="C2967" s="1058"/>
      <c r="D2967" s="1059"/>
      <c r="E2967" s="1063"/>
      <c r="F2967" s="1065"/>
      <c r="G2967" s="1066" t="s">
        <v>379</v>
      </c>
      <c r="H2967" s="869" t="s">
        <v>380</v>
      </c>
      <c r="I2967" s="1058"/>
      <c r="J2967" s="1059"/>
    </row>
    <row r="2968" spans="1:15" ht="15" customHeight="1">
      <c r="A2968" s="1052" t="s">
        <v>381</v>
      </c>
      <c r="B2968" s="869" t="s">
        <v>382</v>
      </c>
      <c r="C2968" s="1058"/>
      <c r="D2968" s="1059">
        <f>D2967</f>
        <v>0</v>
      </c>
      <c r="E2968" s="1067"/>
      <c r="F2968" s="1051"/>
      <c r="G2968" s="1052" t="s">
        <v>381</v>
      </c>
      <c r="H2968" s="869" t="s">
        <v>382</v>
      </c>
      <c r="I2968" s="1058"/>
      <c r="J2968" s="1059">
        <f>J2967</f>
        <v>0</v>
      </c>
    </row>
    <row r="2969" spans="1:15" ht="15" customHeight="1">
      <c r="A2969" s="1068" t="s">
        <v>383</v>
      </c>
      <c r="B2969" s="1069" t="s">
        <v>384</v>
      </c>
      <c r="C2969" s="1070"/>
      <c r="D2969" s="1071" t="e">
        <f>SUM(D2959:D2965)-D2968</f>
        <v>#N/A</v>
      </c>
      <c r="E2969" s="1072"/>
      <c r="F2969" s="1073"/>
      <c r="G2969" s="1068" t="s">
        <v>383</v>
      </c>
      <c r="H2969" s="1069" t="s">
        <v>384</v>
      </c>
      <c r="I2969" s="1070"/>
      <c r="J2969" s="1071" t="e">
        <f>SUM(J2959:J2965)-J2968</f>
        <v>#N/A</v>
      </c>
    </row>
    <row r="2970" spans="1:15" ht="11.25" customHeight="1">
      <c r="A2970" s="1074"/>
      <c r="B2970" s="1075"/>
      <c r="C2970" s="1076"/>
      <c r="D2970" s="1077"/>
      <c r="E2970" s="1077"/>
      <c r="F2970" s="1078"/>
      <c r="G2970" s="1074"/>
      <c r="H2970" s="1075"/>
      <c r="I2970" s="1076"/>
      <c r="J2970" s="1077"/>
    </row>
    <row r="2971" spans="1:15" ht="11.25" customHeight="1">
      <c r="A2971" s="1075"/>
      <c r="B2971" s="1075"/>
      <c r="C2971" s="1079"/>
      <c r="D2971" s="1080"/>
      <c r="E2971" s="1075"/>
      <c r="F2971" s="1081"/>
      <c r="G2971" s="1075"/>
      <c r="H2971" s="1075"/>
      <c r="I2971" s="1079"/>
      <c r="J2971" s="1080"/>
    </row>
    <row r="2972" spans="1:15" ht="15" customHeight="1">
      <c r="A2972" s="2242" t="str">
        <f>$K$2</f>
        <v>THÁNG 09/2024</v>
      </c>
      <c r="B2972" s="2242"/>
      <c r="C2972" s="2242"/>
      <c r="D2972" s="2242"/>
      <c r="E2972" s="1050"/>
      <c r="F2972" s="1051"/>
      <c r="G2972" s="2242" t="str">
        <f>$K$2</f>
        <v>THÁNG 09/2024</v>
      </c>
      <c r="H2972" s="2242"/>
      <c r="I2972" s="2242"/>
      <c r="J2972" s="2242"/>
      <c r="K2972" s="624"/>
    </row>
    <row r="2973" spans="1:15" ht="15" customHeight="1">
      <c r="A2973" s="1052" t="s">
        <v>356</v>
      </c>
      <c r="B2973" s="1053" t="s">
        <v>314</v>
      </c>
      <c r="C2973" s="869"/>
      <c r="D2973" s="1049"/>
      <c r="E2973" s="1054"/>
      <c r="F2973" s="1055"/>
      <c r="G2973" s="1052" t="s">
        <v>356</v>
      </c>
      <c r="H2973" s="1053" t="s">
        <v>315</v>
      </c>
      <c r="I2973" s="869"/>
      <c r="J2973" s="1049"/>
      <c r="L2973" s="1088"/>
      <c r="M2973" s="1088"/>
      <c r="N2973" s="1088"/>
      <c r="O2973" s="1088"/>
    </row>
    <row r="2974" spans="1:15" ht="15" customHeight="1">
      <c r="A2974" s="1052" t="s">
        <v>359</v>
      </c>
      <c r="B2974" s="1089" t="s">
        <v>360</v>
      </c>
      <c r="C2974" s="1058" t="e">
        <f>VLOOKUP(B2973,'LƯƠNG KT'!$D$15:$U$94,3,0)</f>
        <v>#N/A</v>
      </c>
      <c r="D2974" s="1059" t="e">
        <f>+C2974*25000</f>
        <v>#N/A</v>
      </c>
      <c r="E2974" s="1060"/>
      <c r="F2974" s="1060"/>
      <c r="G2974" s="1052" t="s">
        <v>359</v>
      </c>
      <c r="H2974" s="1089" t="s">
        <v>360</v>
      </c>
      <c r="I2974" s="1058" t="e">
        <f>VLOOKUP(H2973,'LƯƠNG KT'!$D$15:$U$94,3,0)</f>
        <v>#N/A</v>
      </c>
      <c r="J2974" s="1059" t="e">
        <f>+I2974*25000</f>
        <v>#N/A</v>
      </c>
      <c r="K2974" s="1085"/>
      <c r="L2974" s="1085"/>
      <c r="M2974" s="1085"/>
      <c r="N2974" s="1085"/>
      <c r="O2974" s="1085"/>
    </row>
    <row r="2975" spans="1:15" ht="15" customHeight="1">
      <c r="A2975" s="1052" t="s">
        <v>361</v>
      </c>
      <c r="B2975" s="869" t="s">
        <v>362</v>
      </c>
      <c r="C2975" s="1058" t="e">
        <f>VLOOKUP(B2973,'LƯƠNG KT'!$D$15:$U$94,14,0)</f>
        <v>#N/A</v>
      </c>
      <c r="D2975" s="1059" t="e">
        <f>C2975*$L$4</f>
        <v>#N/A</v>
      </c>
      <c r="E2975" s="1061"/>
      <c r="F2975" s="1061"/>
      <c r="G2975" s="1052" t="s">
        <v>361</v>
      </c>
      <c r="H2975" s="869" t="s">
        <v>362</v>
      </c>
      <c r="I2975" s="1058" t="e">
        <f>VLOOKUP(H2973,'LƯƠNG KT'!$D$15:$U$94,14,0)</f>
        <v>#N/A</v>
      </c>
      <c r="J2975" s="1059" t="e">
        <f>I2975*$L$4</f>
        <v>#N/A</v>
      </c>
      <c r="K2975" s="1085"/>
      <c r="L2975" s="1085"/>
      <c r="M2975" s="1085"/>
      <c r="N2975" s="1085"/>
      <c r="O2975" s="1085"/>
    </row>
    <row r="2976" spans="1:15" ht="15" customHeight="1">
      <c r="A2976" s="1052" t="s">
        <v>364</v>
      </c>
      <c r="B2976" s="869" t="s">
        <v>365</v>
      </c>
      <c r="C2976" s="1058" t="e">
        <f>VLOOKUP(B2973,'LƯƠNG KT'!$D$15:$U$94,15,0)</f>
        <v>#N/A</v>
      </c>
      <c r="D2976" s="1059" t="e">
        <f>C2976*$L$5</f>
        <v>#N/A</v>
      </c>
      <c r="E2976" s="1061"/>
      <c r="F2976" s="1061"/>
      <c r="G2976" s="1052" t="s">
        <v>364</v>
      </c>
      <c r="H2976" s="869" t="s">
        <v>365</v>
      </c>
      <c r="I2976" s="1058" t="e">
        <f>VLOOKUP(H2973,'LƯƠNG KT'!$D$15:$U$94,15,0)</f>
        <v>#N/A</v>
      </c>
      <c r="J2976" s="1059" t="e">
        <f>I2976*$L$5</f>
        <v>#N/A</v>
      </c>
      <c r="K2976" s="1085"/>
      <c r="L2976" s="1085"/>
      <c r="M2976" s="1085"/>
      <c r="N2976" s="1085"/>
      <c r="O2976" s="1085"/>
    </row>
    <row r="2977" spans="1:15" ht="15" customHeight="1">
      <c r="A2977" s="1052" t="s">
        <v>367</v>
      </c>
      <c r="B2977" s="869"/>
      <c r="C2977" s="1058" t="e">
        <f>VLOOKUP(B2973,'LƯƠNG KT'!$D$15:$U$94,16,0)</f>
        <v>#N/A</v>
      </c>
      <c r="D2977" s="1059" t="e">
        <f>+C2977*$L$6</f>
        <v>#N/A</v>
      </c>
      <c r="E2977" s="1061"/>
      <c r="F2977" s="1061"/>
      <c r="G2977" s="1052" t="s">
        <v>367</v>
      </c>
      <c r="H2977" s="869"/>
      <c r="I2977" s="1058" t="e">
        <f>VLOOKUP(H2973,'LƯƠNG KT'!$D$15:$U$94,16,0)</f>
        <v>#N/A</v>
      </c>
      <c r="J2977" s="1059" t="e">
        <f>+I2977*$L$6</f>
        <v>#N/A</v>
      </c>
      <c r="K2977" s="1085"/>
      <c r="L2977" s="1085"/>
      <c r="M2977" s="1085"/>
      <c r="N2977" s="1085"/>
      <c r="O2977" s="1085"/>
    </row>
    <row r="2978" spans="1:15" ht="15" customHeight="1">
      <c r="A2978" s="1052" t="s">
        <v>515</v>
      </c>
      <c r="B2978" s="869"/>
      <c r="C2978" s="1058" t="e">
        <f>VLOOKUP(B2973,'LƯƠNG KT'!$D$15:$U$94,17,0)</f>
        <v>#N/A</v>
      </c>
      <c r="D2978" s="1059" t="e">
        <f>+C2978*$L$7</f>
        <v>#N/A</v>
      </c>
      <c r="E2978" s="1061"/>
      <c r="F2978" s="1061"/>
      <c r="G2978" s="1052" t="s">
        <v>515</v>
      </c>
      <c r="H2978" s="869"/>
      <c r="I2978" s="1058" t="e">
        <f>VLOOKUP(H2973,'LƯƠNG KT'!$D$15:$U$94,17,0)</f>
        <v>#N/A</v>
      </c>
      <c r="J2978" s="1059" t="e">
        <f>+I2978*$L$7</f>
        <v>#N/A</v>
      </c>
      <c r="K2978" s="1085"/>
      <c r="L2978" s="1085"/>
      <c r="M2978" s="1085"/>
      <c r="N2978" s="1085"/>
      <c r="O2978" s="1085"/>
    </row>
    <row r="2979" spans="1:15" ht="15" customHeight="1">
      <c r="A2979" s="1052" t="s">
        <v>371</v>
      </c>
      <c r="B2979" s="869" t="s">
        <v>372</v>
      </c>
      <c r="C2979" s="1058" t="e">
        <f>VLOOKUP(B2973,'LƯƠNG KT'!$D$15:$U$94,9,0)*$L$10</f>
        <v>#N/A</v>
      </c>
      <c r="D2979" s="1059" t="e">
        <f>+C2979*0.5*3000</f>
        <v>#N/A</v>
      </c>
      <c r="E2979" s="1061"/>
      <c r="F2979" s="1061"/>
      <c r="G2979" s="1052" t="s">
        <v>371</v>
      </c>
      <c r="H2979" s="869" t="s">
        <v>372</v>
      </c>
      <c r="I2979" s="1058" t="e">
        <f>VLOOKUP(H2973,'LƯƠNG KT'!$D$15:$U$94,9,0)*$L$10</f>
        <v>#N/A</v>
      </c>
      <c r="J2979" s="1059" t="e">
        <f>+I2979*0.5*3000</f>
        <v>#N/A</v>
      </c>
      <c r="K2979" s="1085"/>
      <c r="L2979" s="1085"/>
      <c r="M2979" s="1085"/>
      <c r="N2979" s="1085"/>
      <c r="O2979" s="1085"/>
    </row>
    <row r="2980" spans="1:15" ht="15" customHeight="1">
      <c r="A2980" s="1052" t="s">
        <v>374</v>
      </c>
      <c r="B2980" s="869" t="s">
        <v>375</v>
      </c>
      <c r="C2980" s="1058" t="e">
        <f>VLOOKUP(B2973,'LƯƠNG KT'!$D$15:$U$94,8,0)*$L$11</f>
        <v>#N/A</v>
      </c>
      <c r="D2980" s="1059" t="e">
        <f>VLOOKUP(B2973,'LƯƠNG KT'!$D$15:$U$94,13,0)-D2979</f>
        <v>#N/A</v>
      </c>
      <c r="E2980" s="1063"/>
      <c r="F2980" s="1061"/>
      <c r="G2980" s="1052" t="s">
        <v>374</v>
      </c>
      <c r="H2980" s="869" t="s">
        <v>375</v>
      </c>
      <c r="I2980" s="1058" t="e">
        <f>VLOOKUP(H2973,'LƯƠNG KT'!$D$15:$U$94,8,0)*$L$11</f>
        <v>#N/A</v>
      </c>
      <c r="J2980" s="1059" t="e">
        <f>VLOOKUP(H2973,'LƯƠNG KT'!$D$15:$U$94,13,0)-J2979</f>
        <v>#N/A</v>
      </c>
      <c r="K2980" s="1085"/>
      <c r="L2980" s="1085"/>
      <c r="M2980" s="1085"/>
      <c r="N2980" s="1085"/>
      <c r="O2980" s="1085"/>
    </row>
    <row r="2981" spans="1:15" ht="15" customHeight="1">
      <c r="A2981" s="1059" t="s">
        <v>377</v>
      </c>
      <c r="B2981" s="869" t="s">
        <v>378</v>
      </c>
      <c r="C2981" s="1058"/>
      <c r="D2981" s="1059"/>
      <c r="E2981" s="1065"/>
      <c r="F2981" s="1065"/>
      <c r="G2981" s="1059" t="s">
        <v>377</v>
      </c>
      <c r="H2981" s="869" t="s">
        <v>378</v>
      </c>
      <c r="I2981" s="1058"/>
      <c r="J2981" s="1059"/>
    </row>
    <row r="2982" spans="1:15" ht="15" customHeight="1">
      <c r="A2982" s="1066" t="s">
        <v>379</v>
      </c>
      <c r="B2982" s="869" t="s">
        <v>380</v>
      </c>
      <c r="C2982" s="1058"/>
      <c r="D2982" s="1059"/>
      <c r="E2982" s="1063"/>
      <c r="F2982" s="1065"/>
      <c r="G2982" s="1066" t="s">
        <v>379</v>
      </c>
      <c r="H2982" s="869" t="s">
        <v>380</v>
      </c>
      <c r="I2982" s="1058"/>
      <c r="J2982" s="1059"/>
    </row>
    <row r="2983" spans="1:15" ht="15" customHeight="1">
      <c r="A2983" s="1052" t="s">
        <v>381</v>
      </c>
      <c r="B2983" s="869" t="s">
        <v>382</v>
      </c>
      <c r="C2983" s="1058"/>
      <c r="D2983" s="1059">
        <f>D2982</f>
        <v>0</v>
      </c>
      <c r="E2983" s="1067"/>
      <c r="F2983" s="1051"/>
      <c r="G2983" s="1052" t="s">
        <v>381</v>
      </c>
      <c r="H2983" s="869" t="s">
        <v>382</v>
      </c>
      <c r="I2983" s="1058"/>
      <c r="J2983" s="1059">
        <f>J2982</f>
        <v>0</v>
      </c>
    </row>
    <row r="2984" spans="1:15" ht="15" customHeight="1">
      <c r="A2984" s="1068" t="s">
        <v>383</v>
      </c>
      <c r="B2984" s="1069" t="s">
        <v>384</v>
      </c>
      <c r="C2984" s="1070"/>
      <c r="D2984" s="1071" t="e">
        <f>SUM(D2974:D2980)-D2983</f>
        <v>#N/A</v>
      </c>
      <c r="E2984" s="1072"/>
      <c r="F2984" s="1073"/>
      <c r="G2984" s="1068" t="s">
        <v>383</v>
      </c>
      <c r="H2984" s="1069" t="s">
        <v>384</v>
      </c>
      <c r="I2984" s="1070"/>
      <c r="J2984" s="1071" t="e">
        <f>SUM(J2974:J2980)-J2983</f>
        <v>#N/A</v>
      </c>
    </row>
    <row r="2985" spans="1:15" ht="6.75" customHeight="1">
      <c r="A2985" s="1074"/>
      <c r="B2985" s="1075"/>
      <c r="C2985" s="1076"/>
      <c r="D2985" s="1077"/>
      <c r="E2985" s="1077"/>
      <c r="F2985" s="1078"/>
      <c r="G2985" s="1074"/>
      <c r="H2985" s="1075"/>
      <c r="I2985" s="1076"/>
      <c r="J2985" s="1077"/>
    </row>
    <row r="2986" spans="1:15" ht="6.75" customHeight="1"/>
    <row r="2987" spans="1:15" ht="6.75" customHeight="1">
      <c r="A2987" s="2243"/>
      <c r="B2987" s="2243"/>
      <c r="C2987" s="2243"/>
      <c r="D2987" s="2243"/>
      <c r="E2987" s="2243"/>
      <c r="F2987" s="2243"/>
      <c r="G2987" s="2243"/>
      <c r="H2987" s="2243"/>
      <c r="I2987" s="2243"/>
      <c r="J2987" s="2243"/>
    </row>
    <row r="2988" spans="1:15" ht="15" customHeight="1">
      <c r="A2988" s="2242" t="str">
        <f>$K$2</f>
        <v>THÁNG 09/2024</v>
      </c>
      <c r="B2988" s="2242"/>
      <c r="C2988" s="2242"/>
      <c r="D2988" s="2242"/>
      <c r="E2988" s="1050"/>
      <c r="F2988" s="1051"/>
      <c r="G2988" s="2242" t="str">
        <f>$K$2</f>
        <v>THÁNG 09/2024</v>
      </c>
      <c r="H2988" s="2242"/>
      <c r="I2988" s="2242"/>
      <c r="J2988" s="2242"/>
      <c r="K2988" s="624"/>
    </row>
    <row r="2989" spans="1:15" ht="15" customHeight="1">
      <c r="A2989" s="1052" t="s">
        <v>356</v>
      </c>
      <c r="B2989" s="1053" t="s">
        <v>316</v>
      </c>
      <c r="C2989" s="869"/>
      <c r="D2989" s="1049"/>
      <c r="E2989" s="1054"/>
      <c r="F2989" s="1055"/>
      <c r="G2989" s="1052" t="s">
        <v>356</v>
      </c>
      <c r="H2989" s="1053" t="s">
        <v>317</v>
      </c>
      <c r="I2989" s="869"/>
      <c r="J2989" s="1049"/>
      <c r="L2989" s="1088"/>
      <c r="M2989" s="1088"/>
      <c r="N2989" s="1088"/>
      <c r="O2989" s="1088"/>
    </row>
    <row r="2990" spans="1:15" ht="15" customHeight="1">
      <c r="A2990" s="1052" t="s">
        <v>359</v>
      </c>
      <c r="B2990" s="1089" t="s">
        <v>360</v>
      </c>
      <c r="C2990" s="1058" t="e">
        <f>VLOOKUP(B2989,'LƯƠNG KT'!$D$15:$U$94,3,0)</f>
        <v>#N/A</v>
      </c>
      <c r="D2990" s="1059" t="e">
        <f>+C2990*25000</f>
        <v>#N/A</v>
      </c>
      <c r="E2990" s="1060"/>
      <c r="F2990" s="1060"/>
      <c r="G2990" s="1052" t="s">
        <v>359</v>
      </c>
      <c r="H2990" s="1089" t="s">
        <v>360</v>
      </c>
      <c r="I2990" s="1058" t="e">
        <f>VLOOKUP(H2989,'LƯƠNG KT'!$D$15:$U$94,3,0)</f>
        <v>#N/A</v>
      </c>
      <c r="J2990" s="1059" t="e">
        <f>+I2990*25000</f>
        <v>#N/A</v>
      </c>
      <c r="K2990" s="1084"/>
      <c r="L2990" s="1085"/>
      <c r="M2990" s="1085"/>
      <c r="N2990" s="1085"/>
      <c r="O2990" s="1085"/>
    </row>
    <row r="2991" spans="1:15" ht="15" customHeight="1">
      <c r="A2991" s="1052" t="s">
        <v>361</v>
      </c>
      <c r="B2991" s="869" t="s">
        <v>362</v>
      </c>
      <c r="C2991" s="1058" t="e">
        <f>VLOOKUP(B2989,'LƯƠNG KT'!$D$15:$U$94,14,0)</f>
        <v>#N/A</v>
      </c>
      <c r="D2991" s="1059" t="e">
        <f>C2991*$L$4</f>
        <v>#N/A</v>
      </c>
      <c r="E2991" s="1061"/>
      <c r="F2991" s="1061"/>
      <c r="G2991" s="1052" t="s">
        <v>361</v>
      </c>
      <c r="H2991" s="869" t="s">
        <v>362</v>
      </c>
      <c r="I2991" s="1058" t="e">
        <f>VLOOKUP(H2989,'LƯƠNG KT'!$D$15:$U$94,14,0)</f>
        <v>#N/A</v>
      </c>
      <c r="J2991" s="1059" t="e">
        <f>I2991*$L$4</f>
        <v>#N/A</v>
      </c>
      <c r="K2991" s="1084"/>
      <c r="L2991" s="1085"/>
      <c r="M2991" s="1085"/>
      <c r="N2991" s="1085"/>
      <c r="O2991" s="1085"/>
    </row>
    <row r="2992" spans="1:15" ht="15" customHeight="1">
      <c r="A2992" s="1052" t="s">
        <v>364</v>
      </c>
      <c r="B2992" s="869" t="s">
        <v>365</v>
      </c>
      <c r="C2992" s="1058" t="e">
        <f>VLOOKUP(B2989,'LƯƠNG KT'!$D$15:$U$94,15,0)</f>
        <v>#N/A</v>
      </c>
      <c r="D2992" s="1059" t="e">
        <f>C2992*$L$5</f>
        <v>#N/A</v>
      </c>
      <c r="E2992" s="1061"/>
      <c r="F2992" s="1061"/>
      <c r="G2992" s="1052" t="s">
        <v>364</v>
      </c>
      <c r="H2992" s="869" t="s">
        <v>365</v>
      </c>
      <c r="I2992" s="1058" t="e">
        <f>VLOOKUP(H2989,'LƯƠNG KT'!$D$15:$U$94,15,0)</f>
        <v>#N/A</v>
      </c>
      <c r="J2992" s="1059" t="e">
        <f>I2992*$L$5</f>
        <v>#N/A</v>
      </c>
      <c r="K2992" s="1084"/>
      <c r="L2992" s="1085"/>
      <c r="M2992" s="1085"/>
      <c r="N2992" s="1085"/>
      <c r="O2992" s="1085"/>
    </row>
    <row r="2993" spans="1:15" ht="15" customHeight="1">
      <c r="A2993" s="1052" t="s">
        <v>367</v>
      </c>
      <c r="B2993" s="869"/>
      <c r="C2993" s="1058" t="e">
        <f>VLOOKUP(B2989,'LƯƠNG KT'!$D$15:$U$94,16,0)</f>
        <v>#N/A</v>
      </c>
      <c r="D2993" s="1059" t="e">
        <f>+C2993*$L$6</f>
        <v>#N/A</v>
      </c>
      <c r="E2993" s="1061"/>
      <c r="F2993" s="1061"/>
      <c r="G2993" s="1052" t="s">
        <v>367</v>
      </c>
      <c r="H2993" s="869"/>
      <c r="I2993" s="1058" t="e">
        <f>VLOOKUP(H2989,'LƯƠNG KT'!$D$15:$U$94,16,0)</f>
        <v>#N/A</v>
      </c>
      <c r="J2993" s="1059" t="e">
        <f>+I2993*$L$6</f>
        <v>#N/A</v>
      </c>
      <c r="K2993" s="1084"/>
      <c r="L2993" s="1085"/>
      <c r="M2993" s="1085"/>
      <c r="N2993" s="1085"/>
      <c r="O2993" s="1085"/>
    </row>
    <row r="2994" spans="1:15" ht="15" customHeight="1">
      <c r="A2994" s="1052" t="s">
        <v>515</v>
      </c>
      <c r="B2994" s="869"/>
      <c r="C2994" s="1058" t="e">
        <f>VLOOKUP(B2989,'LƯƠNG KT'!$D$15:$U$94,17,0)</f>
        <v>#N/A</v>
      </c>
      <c r="D2994" s="1059" t="e">
        <f>+C2994*$L$7</f>
        <v>#N/A</v>
      </c>
      <c r="E2994" s="1061"/>
      <c r="F2994" s="1061"/>
      <c r="G2994" s="1052" t="s">
        <v>515</v>
      </c>
      <c r="H2994" s="869"/>
      <c r="I2994" s="1058" t="e">
        <f>VLOOKUP(H2989,'LƯƠNG KT'!$D$15:$U$94,17,0)</f>
        <v>#N/A</v>
      </c>
      <c r="J2994" s="1059" t="e">
        <f>+I2994*$L$7</f>
        <v>#N/A</v>
      </c>
      <c r="K2994" s="1085"/>
      <c r="L2994" s="1085"/>
      <c r="M2994" s="1085"/>
      <c r="N2994" s="1085"/>
      <c r="O2994" s="1085"/>
    </row>
    <row r="2995" spans="1:15" ht="15" customHeight="1">
      <c r="A2995" s="1052" t="s">
        <v>371</v>
      </c>
      <c r="B2995" s="869" t="s">
        <v>372</v>
      </c>
      <c r="C2995" s="1058" t="e">
        <f>VLOOKUP(B2989,'LƯƠNG KT'!$D$15:$U$94,9,0)*$L$10</f>
        <v>#N/A</v>
      </c>
      <c r="D2995" s="1059" t="e">
        <f>+C2995*0.5*3000</f>
        <v>#N/A</v>
      </c>
      <c r="E2995" s="1061"/>
      <c r="F2995" s="1061"/>
      <c r="G2995" s="1052" t="s">
        <v>371</v>
      </c>
      <c r="H2995" s="869" t="s">
        <v>372</v>
      </c>
      <c r="I2995" s="1058" t="e">
        <f>VLOOKUP(H2989,'LƯƠNG KT'!$D$15:$U$94,9,0)*$L$10</f>
        <v>#N/A</v>
      </c>
      <c r="J2995" s="1059" t="e">
        <f>+I2995*0.5*3000</f>
        <v>#N/A</v>
      </c>
      <c r="K2995" s="1085"/>
      <c r="L2995" s="1085"/>
      <c r="M2995" s="1085"/>
      <c r="N2995" s="1085"/>
      <c r="O2995" s="1085"/>
    </row>
    <row r="2996" spans="1:15" ht="15" customHeight="1">
      <c r="A2996" s="1052" t="s">
        <v>374</v>
      </c>
      <c r="B2996" s="869" t="s">
        <v>375</v>
      </c>
      <c r="C2996" s="1058" t="e">
        <f>VLOOKUP(B2989,'LƯƠNG KT'!$D$15:$U$94,8,0)*$L$11</f>
        <v>#N/A</v>
      </c>
      <c r="D2996" s="1059" t="e">
        <f>VLOOKUP(B2989,'LƯƠNG KT'!$D$15:$U$94,13,0)-D2995</f>
        <v>#N/A</v>
      </c>
      <c r="E2996" s="1063"/>
      <c r="F2996" s="1061"/>
      <c r="G2996" s="1052" t="s">
        <v>374</v>
      </c>
      <c r="H2996" s="869" t="s">
        <v>375</v>
      </c>
      <c r="I2996" s="1058" t="e">
        <f>VLOOKUP(H2989,'LƯƠNG KT'!$D$15:$U$94,8,0)*$L$11</f>
        <v>#N/A</v>
      </c>
      <c r="J2996" s="1059" t="e">
        <f>VLOOKUP(H2989,'LƯƠNG KT'!$D$15:$U$94,13,0)-J2995</f>
        <v>#N/A</v>
      </c>
      <c r="K2996" s="1085"/>
      <c r="L2996" s="1085"/>
      <c r="M2996" s="1085"/>
      <c r="N2996" s="1085"/>
      <c r="O2996" s="1085"/>
    </row>
    <row r="2997" spans="1:15" ht="15" customHeight="1">
      <c r="A2997" s="1059" t="s">
        <v>377</v>
      </c>
      <c r="B2997" s="869" t="s">
        <v>378</v>
      </c>
      <c r="C2997" s="1058"/>
      <c r="D2997" s="1059"/>
      <c r="E2997" s="1065"/>
      <c r="F2997" s="1065"/>
      <c r="G2997" s="1059" t="s">
        <v>377</v>
      </c>
      <c r="H2997" s="869" t="s">
        <v>378</v>
      </c>
      <c r="I2997" s="1058"/>
      <c r="J2997" s="1059"/>
    </row>
    <row r="2998" spans="1:15" ht="15" customHeight="1">
      <c r="A2998" s="1066" t="s">
        <v>379</v>
      </c>
      <c r="B2998" s="869" t="s">
        <v>380</v>
      </c>
      <c r="C2998" s="1058"/>
      <c r="D2998" s="1059"/>
      <c r="E2998" s="1063"/>
      <c r="F2998" s="1065"/>
      <c r="G2998" s="1066" t="s">
        <v>379</v>
      </c>
      <c r="H2998" s="869" t="s">
        <v>380</v>
      </c>
      <c r="I2998" s="1058"/>
      <c r="J2998" s="1059"/>
    </row>
    <row r="2999" spans="1:15" ht="15" customHeight="1">
      <c r="A2999" s="1052" t="s">
        <v>381</v>
      </c>
      <c r="B2999" s="869" t="s">
        <v>382</v>
      </c>
      <c r="C2999" s="1058"/>
      <c r="D2999" s="1059">
        <f>D2998</f>
        <v>0</v>
      </c>
      <c r="E2999" s="1067"/>
      <c r="F2999" s="1051"/>
      <c r="G2999" s="1052" t="s">
        <v>381</v>
      </c>
      <c r="H2999" s="869" t="s">
        <v>382</v>
      </c>
      <c r="I2999" s="1058"/>
      <c r="J2999" s="1059">
        <f>J2998</f>
        <v>0</v>
      </c>
    </row>
    <row r="3000" spans="1:15" ht="15" customHeight="1">
      <c r="A3000" s="1068" t="s">
        <v>383</v>
      </c>
      <c r="B3000" s="1069" t="s">
        <v>384</v>
      </c>
      <c r="C3000" s="1070"/>
      <c r="D3000" s="1071" t="e">
        <f>SUM(D2990:D2996)-D2999</f>
        <v>#N/A</v>
      </c>
      <c r="E3000" s="1072"/>
      <c r="F3000" s="1073"/>
      <c r="G3000" s="1068" t="s">
        <v>383</v>
      </c>
      <c r="H3000" s="1069" t="s">
        <v>384</v>
      </c>
      <c r="I3000" s="1070"/>
      <c r="J3000" s="1071" t="e">
        <f>SUM(J2990:J2996)-J2999</f>
        <v>#N/A</v>
      </c>
    </row>
    <row r="3001" spans="1:15" ht="6.75" customHeight="1">
      <c r="A3001" s="1074"/>
      <c r="B3001" s="1075"/>
      <c r="C3001" s="1076"/>
      <c r="D3001" s="1077"/>
      <c r="E3001" s="1077"/>
      <c r="F3001" s="1078"/>
      <c r="G3001" s="1074"/>
      <c r="H3001" s="1075"/>
      <c r="I3001" s="1076"/>
      <c r="J3001" s="1077"/>
    </row>
    <row r="3002" spans="1:15" ht="6.75" customHeight="1">
      <c r="A3002" s="1075"/>
      <c r="B3002" s="1075"/>
      <c r="C3002" s="1079"/>
      <c r="D3002" s="1080"/>
      <c r="E3002" s="1075"/>
      <c r="F3002" s="1081"/>
      <c r="G3002" s="1075"/>
      <c r="H3002" s="1075"/>
      <c r="I3002" s="1079"/>
      <c r="J3002" s="1080"/>
    </row>
    <row r="3003" spans="1:15" ht="15" customHeight="1">
      <c r="A3003" s="2242" t="str">
        <f>$K$2</f>
        <v>THÁNG 09/2024</v>
      </c>
      <c r="B3003" s="2242"/>
      <c r="C3003" s="2242"/>
      <c r="D3003" s="2242"/>
      <c r="E3003" s="1050"/>
      <c r="F3003" s="1051"/>
      <c r="G3003" s="2242" t="str">
        <f>$K$2</f>
        <v>THÁNG 09/2024</v>
      </c>
      <c r="H3003" s="2242"/>
      <c r="I3003" s="2242"/>
      <c r="J3003" s="2242"/>
      <c r="K3003" s="624"/>
    </row>
    <row r="3004" spans="1:15" ht="15" customHeight="1">
      <c r="A3004" s="1052" t="s">
        <v>356</v>
      </c>
      <c r="B3004" s="1053" t="s">
        <v>318</v>
      </c>
      <c r="C3004" s="869"/>
      <c r="D3004" s="1049"/>
      <c r="E3004" s="1054"/>
      <c r="F3004" s="1055"/>
      <c r="G3004" s="1052" t="s">
        <v>356</v>
      </c>
      <c r="H3004" s="1053" t="s">
        <v>319</v>
      </c>
      <c r="I3004" s="869"/>
      <c r="J3004" s="1049"/>
      <c r="L3004" s="1088"/>
      <c r="M3004" s="1088"/>
      <c r="N3004" s="1088"/>
      <c r="O3004" s="1088"/>
    </row>
    <row r="3005" spans="1:15" ht="15" customHeight="1">
      <c r="A3005" s="1052" t="s">
        <v>359</v>
      </c>
      <c r="B3005" s="1089" t="s">
        <v>360</v>
      </c>
      <c r="C3005" s="1058" t="e">
        <f>VLOOKUP(B3004,'LƯƠNG KT'!$D$15:$U$94,3,0)</f>
        <v>#N/A</v>
      </c>
      <c r="D3005" s="1059" t="e">
        <f>+C3005*25000</f>
        <v>#N/A</v>
      </c>
      <c r="E3005" s="1060"/>
      <c r="F3005" s="1060"/>
      <c r="G3005" s="1052" t="s">
        <v>359</v>
      </c>
      <c r="H3005" s="1089" t="s">
        <v>360</v>
      </c>
      <c r="I3005" s="1058" t="e">
        <f>VLOOKUP(H3004,'LƯƠNG KT'!$D$15:$U$94,3,0)</f>
        <v>#N/A</v>
      </c>
      <c r="J3005" s="1059" t="e">
        <f>+I3005*25000</f>
        <v>#N/A</v>
      </c>
      <c r="K3005" s="1085"/>
      <c r="L3005" s="1085"/>
      <c r="M3005" s="1085"/>
      <c r="N3005" s="1085"/>
      <c r="O3005" s="1085"/>
    </row>
    <row r="3006" spans="1:15" ht="15" customHeight="1">
      <c r="A3006" s="1052" t="s">
        <v>361</v>
      </c>
      <c r="B3006" s="869" t="s">
        <v>362</v>
      </c>
      <c r="C3006" s="1058" t="e">
        <f>VLOOKUP(B3004,'LƯƠNG KT'!$D$15:$U$94,14,0)</f>
        <v>#N/A</v>
      </c>
      <c r="D3006" s="1059" t="e">
        <f>C3006*$L$4</f>
        <v>#N/A</v>
      </c>
      <c r="E3006" s="1061"/>
      <c r="F3006" s="1061"/>
      <c r="G3006" s="1052" t="s">
        <v>361</v>
      </c>
      <c r="H3006" s="869" t="s">
        <v>362</v>
      </c>
      <c r="I3006" s="1058" t="e">
        <f>VLOOKUP(H3004,'LƯƠNG KT'!$D$15:$U$94,14,0)</f>
        <v>#N/A</v>
      </c>
      <c r="J3006" s="1059" t="e">
        <f>I3006*$L$4</f>
        <v>#N/A</v>
      </c>
      <c r="K3006" s="1085"/>
      <c r="L3006" s="1085"/>
      <c r="M3006" s="1085"/>
      <c r="N3006" s="1085"/>
      <c r="O3006" s="1085"/>
    </row>
    <row r="3007" spans="1:15" ht="15" customHeight="1">
      <c r="A3007" s="1052" t="s">
        <v>364</v>
      </c>
      <c r="B3007" s="869" t="s">
        <v>365</v>
      </c>
      <c r="C3007" s="1058" t="e">
        <f>VLOOKUP(B3004,'LƯƠNG KT'!$D$15:$U$94,15,0)</f>
        <v>#N/A</v>
      </c>
      <c r="D3007" s="1059" t="e">
        <f>C3007*$L$5</f>
        <v>#N/A</v>
      </c>
      <c r="E3007" s="1061"/>
      <c r="F3007" s="1061"/>
      <c r="G3007" s="1052" t="s">
        <v>364</v>
      </c>
      <c r="H3007" s="869" t="s">
        <v>365</v>
      </c>
      <c r="I3007" s="1058" t="e">
        <f>VLOOKUP(H3004,'LƯƠNG KT'!$D$15:$U$94,15,0)</f>
        <v>#N/A</v>
      </c>
      <c r="J3007" s="1059" t="e">
        <f>I3007*$L$5</f>
        <v>#N/A</v>
      </c>
      <c r="K3007" s="1085"/>
      <c r="L3007" s="1085"/>
      <c r="M3007" s="1085"/>
      <c r="N3007" s="1085"/>
      <c r="O3007" s="1085"/>
    </row>
    <row r="3008" spans="1:15" ht="15" customHeight="1">
      <c r="A3008" s="1052" t="s">
        <v>367</v>
      </c>
      <c r="B3008" s="869"/>
      <c r="C3008" s="1058" t="e">
        <f>VLOOKUP(B3004,'LƯƠNG KT'!$D$15:$U$94,16,0)</f>
        <v>#N/A</v>
      </c>
      <c r="D3008" s="1059" t="e">
        <f>+C3008*$L$6</f>
        <v>#N/A</v>
      </c>
      <c r="E3008" s="1061"/>
      <c r="F3008" s="1061"/>
      <c r="G3008" s="1052" t="s">
        <v>367</v>
      </c>
      <c r="H3008" s="869"/>
      <c r="I3008" s="1058" t="e">
        <f>VLOOKUP(H3004,'LƯƠNG KT'!$D$15:$U$94,16,0)</f>
        <v>#N/A</v>
      </c>
      <c r="J3008" s="1059" t="e">
        <f>+I3008*$L$6</f>
        <v>#N/A</v>
      </c>
      <c r="K3008" s="1085"/>
      <c r="L3008" s="1085"/>
      <c r="M3008" s="1085"/>
      <c r="N3008" s="1085"/>
      <c r="O3008" s="1085"/>
    </row>
    <row r="3009" spans="1:15" ht="15" customHeight="1">
      <c r="A3009" s="1052" t="s">
        <v>515</v>
      </c>
      <c r="B3009" s="869"/>
      <c r="C3009" s="1058" t="e">
        <f>VLOOKUP(B3004,'LƯƠNG KT'!$D$15:$U$94,17,0)</f>
        <v>#N/A</v>
      </c>
      <c r="D3009" s="1059" t="e">
        <f>+C3009*$L$7</f>
        <v>#N/A</v>
      </c>
      <c r="E3009" s="1061"/>
      <c r="F3009" s="1061"/>
      <c r="G3009" s="1052" t="s">
        <v>515</v>
      </c>
      <c r="H3009" s="869"/>
      <c r="I3009" s="1058" t="e">
        <f>VLOOKUP(H3004,'LƯƠNG KT'!$D$15:$U$94,17,0)</f>
        <v>#N/A</v>
      </c>
      <c r="J3009" s="1059" t="e">
        <f>+I3009*$L$7</f>
        <v>#N/A</v>
      </c>
      <c r="K3009" s="1085"/>
      <c r="L3009" s="1085"/>
      <c r="M3009" s="1085"/>
      <c r="N3009" s="1085"/>
      <c r="O3009" s="1085"/>
    </row>
    <row r="3010" spans="1:15" ht="15" customHeight="1">
      <c r="A3010" s="1052" t="s">
        <v>371</v>
      </c>
      <c r="B3010" s="869" t="s">
        <v>372</v>
      </c>
      <c r="C3010" s="1058" t="e">
        <f>VLOOKUP(B3004,'LƯƠNG KT'!$D$15:$U$94,9,0)*$L$10</f>
        <v>#N/A</v>
      </c>
      <c r="D3010" s="1059" t="e">
        <f>+C3010*0.5*3000</f>
        <v>#N/A</v>
      </c>
      <c r="E3010" s="1061"/>
      <c r="F3010" s="1061"/>
      <c r="G3010" s="1052" t="s">
        <v>371</v>
      </c>
      <c r="H3010" s="869" t="s">
        <v>372</v>
      </c>
      <c r="I3010" s="1058" t="e">
        <f>VLOOKUP(H3004,'LƯƠNG KT'!$D$15:$U$94,9,0)*$L$10</f>
        <v>#N/A</v>
      </c>
      <c r="J3010" s="1059" t="e">
        <f>+I3010*0.5*3000</f>
        <v>#N/A</v>
      </c>
      <c r="K3010" s="1085"/>
      <c r="L3010" s="1085"/>
      <c r="M3010" s="1085"/>
      <c r="N3010" s="1085"/>
      <c r="O3010" s="1085"/>
    </row>
    <row r="3011" spans="1:15" ht="15" customHeight="1">
      <c r="A3011" s="1052" t="s">
        <v>374</v>
      </c>
      <c r="B3011" s="869" t="s">
        <v>375</v>
      </c>
      <c r="C3011" s="1058" t="e">
        <f>VLOOKUP(B3004,'LƯƠNG KT'!$D$15:$U$94,8,0)*$L$11</f>
        <v>#N/A</v>
      </c>
      <c r="D3011" s="1059" t="e">
        <f>VLOOKUP(B3004,'LƯƠNG KT'!$D$15:$U$94,13,0)-D3010</f>
        <v>#N/A</v>
      </c>
      <c r="E3011" s="1063"/>
      <c r="F3011" s="1061"/>
      <c r="G3011" s="1052" t="s">
        <v>374</v>
      </c>
      <c r="H3011" s="869" t="s">
        <v>375</v>
      </c>
      <c r="I3011" s="1058" t="e">
        <f>VLOOKUP(H3004,'LƯƠNG KT'!$D$15:$U$94,8,0)*$L$11</f>
        <v>#N/A</v>
      </c>
      <c r="J3011" s="1059" t="e">
        <f>VLOOKUP(H3004,'LƯƠNG KT'!$D$15:$U$94,13,0)-J3010</f>
        <v>#N/A</v>
      </c>
      <c r="K3011" s="1085"/>
      <c r="L3011" s="1085"/>
      <c r="M3011" s="1085"/>
      <c r="N3011" s="1085"/>
      <c r="O3011" s="1085"/>
    </row>
    <row r="3012" spans="1:15" ht="15" customHeight="1">
      <c r="A3012" s="1059" t="s">
        <v>377</v>
      </c>
      <c r="B3012" s="869" t="s">
        <v>378</v>
      </c>
      <c r="C3012" s="1058"/>
      <c r="D3012" s="1059"/>
      <c r="E3012" s="1065"/>
      <c r="F3012" s="1065"/>
      <c r="G3012" s="1059" t="s">
        <v>377</v>
      </c>
      <c r="H3012" s="869" t="s">
        <v>378</v>
      </c>
      <c r="I3012" s="1058"/>
      <c r="J3012" s="1059"/>
    </row>
    <row r="3013" spans="1:15" ht="15" customHeight="1">
      <c r="A3013" s="1066" t="s">
        <v>379</v>
      </c>
      <c r="B3013" s="869" t="s">
        <v>380</v>
      </c>
      <c r="C3013" s="1058"/>
      <c r="D3013" s="1059"/>
      <c r="E3013" s="1063"/>
      <c r="F3013" s="1065"/>
      <c r="G3013" s="1066" t="s">
        <v>379</v>
      </c>
      <c r="H3013" s="869" t="s">
        <v>380</v>
      </c>
      <c r="I3013" s="1058"/>
      <c r="J3013" s="1059"/>
    </row>
    <row r="3014" spans="1:15" ht="15" customHeight="1">
      <c r="A3014" s="1052" t="s">
        <v>381</v>
      </c>
      <c r="B3014" s="869" t="s">
        <v>382</v>
      </c>
      <c r="C3014" s="1058"/>
      <c r="D3014" s="1059">
        <f>D3013</f>
        <v>0</v>
      </c>
      <c r="E3014" s="1067"/>
      <c r="F3014" s="1051"/>
      <c r="G3014" s="1052" t="s">
        <v>381</v>
      </c>
      <c r="H3014" s="869" t="s">
        <v>382</v>
      </c>
      <c r="I3014" s="1058"/>
      <c r="J3014" s="1059">
        <f>J3013</f>
        <v>0</v>
      </c>
    </row>
    <row r="3015" spans="1:15" ht="15" customHeight="1">
      <c r="A3015" s="1068" t="s">
        <v>383</v>
      </c>
      <c r="B3015" s="1069" t="s">
        <v>384</v>
      </c>
      <c r="C3015" s="1070"/>
      <c r="D3015" s="1071" t="e">
        <f>SUM(D3005:D3011)-D3014</f>
        <v>#N/A</v>
      </c>
      <c r="E3015" s="1072"/>
      <c r="F3015" s="1073"/>
      <c r="G3015" s="1068" t="s">
        <v>383</v>
      </c>
      <c r="H3015" s="1069" t="s">
        <v>384</v>
      </c>
      <c r="I3015" s="1070"/>
      <c r="J3015" s="1071" t="e">
        <f>SUM(J3005:J3011)-J3014</f>
        <v>#N/A</v>
      </c>
    </row>
    <row r="3016" spans="1:15" ht="6.75" customHeight="1">
      <c r="A3016" s="1074"/>
      <c r="B3016" s="1075"/>
      <c r="C3016" s="1076"/>
      <c r="D3016" s="1077"/>
      <c r="E3016" s="1077"/>
      <c r="F3016" s="1078"/>
      <c r="G3016" s="1074"/>
      <c r="H3016" s="1075"/>
      <c r="I3016" s="1076"/>
      <c r="J3016" s="1077"/>
    </row>
    <row r="3017" spans="1:15" ht="6.75" customHeight="1">
      <c r="A3017" s="1075"/>
      <c r="B3017" s="1075"/>
      <c r="C3017" s="1079"/>
      <c r="D3017" s="1080"/>
      <c r="E3017" s="1075"/>
      <c r="F3017" s="1081"/>
      <c r="G3017" s="1075"/>
      <c r="H3017" s="1075"/>
      <c r="I3017" s="1079"/>
      <c r="J3017" s="1080"/>
    </row>
    <row r="3018" spans="1:15" ht="15" customHeight="1">
      <c r="A3018" s="2242" t="str">
        <f>$K$2</f>
        <v>THÁNG 09/2024</v>
      </c>
      <c r="B3018" s="2242"/>
      <c r="C3018" s="2242"/>
      <c r="D3018" s="2242"/>
      <c r="E3018" s="1050"/>
      <c r="F3018" s="1051"/>
      <c r="G3018" s="2242" t="str">
        <f>$K$2</f>
        <v>THÁNG 09/2024</v>
      </c>
      <c r="H3018" s="2242"/>
      <c r="I3018" s="2242"/>
      <c r="J3018" s="2242"/>
      <c r="K3018" s="624"/>
    </row>
    <row r="3019" spans="1:15" ht="15" customHeight="1">
      <c r="A3019" s="1052" t="s">
        <v>356</v>
      </c>
      <c r="B3019" s="1053" t="s">
        <v>320</v>
      </c>
      <c r="C3019" s="869"/>
      <c r="D3019" s="1049"/>
      <c r="E3019" s="1054"/>
      <c r="F3019" s="1055"/>
      <c r="G3019" s="1052" t="s">
        <v>356</v>
      </c>
      <c r="H3019" s="1053" t="s">
        <v>321</v>
      </c>
      <c r="I3019" s="869"/>
      <c r="J3019" s="1049"/>
      <c r="L3019" s="1088"/>
      <c r="M3019" s="1088"/>
      <c r="N3019" s="1088"/>
      <c r="O3019" s="1088"/>
    </row>
    <row r="3020" spans="1:15" ht="15" customHeight="1">
      <c r="A3020" s="1052" t="s">
        <v>359</v>
      </c>
      <c r="B3020" s="1089" t="s">
        <v>360</v>
      </c>
      <c r="C3020" s="1058" t="e">
        <f>VLOOKUP(B3019,'LƯƠNG KT'!$D$15:$U$94,3,0)</f>
        <v>#N/A</v>
      </c>
      <c r="D3020" s="1059" t="e">
        <f>+C3020*25000</f>
        <v>#N/A</v>
      </c>
      <c r="E3020" s="1060"/>
      <c r="F3020" s="1060"/>
      <c r="G3020" s="1052" t="s">
        <v>359</v>
      </c>
      <c r="H3020" s="1089" t="s">
        <v>360</v>
      </c>
      <c r="I3020" s="1058" t="e">
        <f>VLOOKUP(H3019,'LƯƠNG KT'!$D$15:$U$94,3,0)</f>
        <v>#N/A</v>
      </c>
      <c r="J3020" s="1059" t="e">
        <f>+I3020*25000</f>
        <v>#N/A</v>
      </c>
      <c r="K3020" s="1085"/>
      <c r="L3020" s="1085"/>
      <c r="M3020" s="1085"/>
      <c r="N3020" s="1085"/>
      <c r="O3020" s="1085"/>
    </row>
    <row r="3021" spans="1:15" ht="15" customHeight="1">
      <c r="A3021" s="1052" t="s">
        <v>361</v>
      </c>
      <c r="B3021" s="869" t="s">
        <v>362</v>
      </c>
      <c r="C3021" s="1058" t="e">
        <f>VLOOKUP(B3019,'LƯƠNG KT'!$D$15:$U$94,14,0)</f>
        <v>#N/A</v>
      </c>
      <c r="D3021" s="1059" t="e">
        <f>C3021*$L$4</f>
        <v>#N/A</v>
      </c>
      <c r="E3021" s="1061"/>
      <c r="F3021" s="1061"/>
      <c r="G3021" s="1052" t="s">
        <v>361</v>
      </c>
      <c r="H3021" s="869" t="s">
        <v>362</v>
      </c>
      <c r="I3021" s="1058" t="e">
        <f>VLOOKUP(H3019,'LƯƠNG KT'!$D$15:$U$94,14,0)</f>
        <v>#N/A</v>
      </c>
      <c r="J3021" s="1059" t="e">
        <f>I3021*$L$4</f>
        <v>#N/A</v>
      </c>
      <c r="K3021" s="1085"/>
      <c r="L3021" s="1085"/>
      <c r="M3021" s="1085"/>
      <c r="N3021" s="1085"/>
      <c r="O3021" s="1085"/>
    </row>
    <row r="3022" spans="1:15" ht="15" customHeight="1">
      <c r="A3022" s="1052" t="s">
        <v>364</v>
      </c>
      <c r="B3022" s="869" t="s">
        <v>365</v>
      </c>
      <c r="C3022" s="1058" t="e">
        <f>VLOOKUP(B3019,'LƯƠNG KT'!$D$15:$U$94,15,0)</f>
        <v>#N/A</v>
      </c>
      <c r="D3022" s="1059" t="e">
        <f>C3022*$L$5</f>
        <v>#N/A</v>
      </c>
      <c r="E3022" s="1061"/>
      <c r="F3022" s="1061"/>
      <c r="G3022" s="1052" t="s">
        <v>364</v>
      </c>
      <c r="H3022" s="869" t="s">
        <v>365</v>
      </c>
      <c r="I3022" s="1058" t="e">
        <f>VLOOKUP(H3019,'LƯƠNG KT'!$D$15:$U$94,15,0)</f>
        <v>#N/A</v>
      </c>
      <c r="J3022" s="1059" t="e">
        <f>I3022*$L$5</f>
        <v>#N/A</v>
      </c>
      <c r="K3022" s="1085"/>
      <c r="L3022" s="1085"/>
      <c r="M3022" s="1085"/>
      <c r="N3022" s="1085"/>
      <c r="O3022" s="1085"/>
    </row>
    <row r="3023" spans="1:15" ht="15" customHeight="1">
      <c r="A3023" s="1052" t="s">
        <v>367</v>
      </c>
      <c r="B3023" s="869"/>
      <c r="C3023" s="1058" t="e">
        <f>VLOOKUP(B3019,'LƯƠNG KT'!$D$15:$U$94,16,0)</f>
        <v>#N/A</v>
      </c>
      <c r="D3023" s="1059" t="e">
        <f>+C3023*$L$6</f>
        <v>#N/A</v>
      </c>
      <c r="E3023" s="1061"/>
      <c r="F3023" s="1061"/>
      <c r="G3023" s="1052" t="s">
        <v>367</v>
      </c>
      <c r="H3023" s="869"/>
      <c r="I3023" s="1058" t="e">
        <f>VLOOKUP(H3019,'LƯƠNG KT'!$D$15:$U$94,16,0)</f>
        <v>#N/A</v>
      </c>
      <c r="J3023" s="1059" t="e">
        <f>+I3023*$L$6</f>
        <v>#N/A</v>
      </c>
      <c r="K3023" s="1085"/>
      <c r="L3023" s="1085"/>
      <c r="M3023" s="1085"/>
      <c r="N3023" s="1085"/>
      <c r="O3023" s="1085"/>
    </row>
    <row r="3024" spans="1:15" ht="15" customHeight="1">
      <c r="A3024" s="1052" t="s">
        <v>515</v>
      </c>
      <c r="B3024" s="869"/>
      <c r="C3024" s="1058" t="e">
        <f>VLOOKUP(B3019,'LƯƠNG KT'!$D$15:$U$94,17,0)</f>
        <v>#N/A</v>
      </c>
      <c r="D3024" s="1059" t="e">
        <f>+C3024*$L$7</f>
        <v>#N/A</v>
      </c>
      <c r="E3024" s="1061"/>
      <c r="F3024" s="1061"/>
      <c r="G3024" s="1052" t="s">
        <v>515</v>
      </c>
      <c r="H3024" s="869"/>
      <c r="I3024" s="1058" t="e">
        <f>VLOOKUP(H3019,'LƯƠNG KT'!$D$15:$U$94,17,0)</f>
        <v>#N/A</v>
      </c>
      <c r="J3024" s="1059" t="e">
        <f>+I3024*$L$7</f>
        <v>#N/A</v>
      </c>
      <c r="K3024" s="1085"/>
      <c r="L3024" s="1085"/>
      <c r="M3024" s="1085"/>
      <c r="N3024" s="1085"/>
      <c r="O3024" s="1085"/>
    </row>
    <row r="3025" spans="1:15" ht="15" customHeight="1">
      <c r="A3025" s="1052" t="s">
        <v>371</v>
      </c>
      <c r="B3025" s="869" t="s">
        <v>372</v>
      </c>
      <c r="C3025" s="1058" t="e">
        <f>VLOOKUP(B3019,'LƯƠNG KT'!$D$15:$U$94,9,0)*$L$10</f>
        <v>#N/A</v>
      </c>
      <c r="D3025" s="1059" t="e">
        <f>+C3025*0.5*3000</f>
        <v>#N/A</v>
      </c>
      <c r="E3025" s="1061"/>
      <c r="F3025" s="1061"/>
      <c r="G3025" s="1052" t="s">
        <v>371</v>
      </c>
      <c r="H3025" s="869" t="s">
        <v>372</v>
      </c>
      <c r="I3025" s="1058" t="e">
        <f>VLOOKUP(H3019,'LƯƠNG KT'!$D$15:$U$94,9,0)*$L$10</f>
        <v>#N/A</v>
      </c>
      <c r="J3025" s="1059" t="e">
        <f>+I3025*0.5*3000</f>
        <v>#N/A</v>
      </c>
      <c r="K3025" s="1085"/>
      <c r="L3025" s="1085"/>
      <c r="M3025" s="1085"/>
      <c r="N3025" s="1085"/>
      <c r="O3025" s="1085"/>
    </row>
    <row r="3026" spans="1:15" ht="15" customHeight="1">
      <c r="A3026" s="1052" t="s">
        <v>374</v>
      </c>
      <c r="B3026" s="869" t="s">
        <v>375</v>
      </c>
      <c r="C3026" s="1058" t="e">
        <f>VLOOKUP(B3019,'LƯƠNG KT'!$D$15:$U$94,8,0)*$L$11</f>
        <v>#N/A</v>
      </c>
      <c r="D3026" s="1059" t="e">
        <f>VLOOKUP(B3019,'LƯƠNG KT'!$D$15:$U$94,13,0)-D3025</f>
        <v>#N/A</v>
      </c>
      <c r="E3026" s="1063"/>
      <c r="F3026" s="1061"/>
      <c r="G3026" s="1052" t="s">
        <v>374</v>
      </c>
      <c r="H3026" s="869" t="s">
        <v>375</v>
      </c>
      <c r="I3026" s="1058" t="e">
        <f>VLOOKUP(H3019,'LƯƠNG KT'!$D$15:$U$94,8,0)*$L$11</f>
        <v>#N/A</v>
      </c>
      <c r="J3026" s="1059" t="e">
        <f>VLOOKUP(H3019,'LƯƠNG KT'!$D$15:$U$94,13,0)-J3025</f>
        <v>#N/A</v>
      </c>
      <c r="K3026" s="1085"/>
      <c r="L3026" s="1085"/>
      <c r="M3026" s="1085"/>
      <c r="N3026" s="1085"/>
      <c r="O3026" s="1085"/>
    </row>
    <row r="3027" spans="1:15" ht="15" customHeight="1">
      <c r="A3027" s="1059" t="s">
        <v>377</v>
      </c>
      <c r="B3027" s="869" t="s">
        <v>378</v>
      </c>
      <c r="C3027" s="1058"/>
      <c r="D3027" s="1059"/>
      <c r="E3027" s="1065"/>
      <c r="F3027" s="1065"/>
      <c r="G3027" s="1059" t="s">
        <v>377</v>
      </c>
      <c r="H3027" s="869" t="s">
        <v>378</v>
      </c>
      <c r="I3027" s="1058"/>
      <c r="J3027" s="1059"/>
    </row>
    <row r="3028" spans="1:15" ht="15" customHeight="1">
      <c r="A3028" s="1066" t="s">
        <v>379</v>
      </c>
      <c r="B3028" s="869" t="s">
        <v>380</v>
      </c>
      <c r="C3028" s="1058"/>
      <c r="D3028" s="1059"/>
      <c r="E3028" s="1063"/>
      <c r="F3028" s="1065"/>
      <c r="G3028" s="1066" t="s">
        <v>379</v>
      </c>
      <c r="H3028" s="869" t="s">
        <v>380</v>
      </c>
      <c r="I3028" s="1058"/>
      <c r="J3028" s="1059"/>
    </row>
    <row r="3029" spans="1:15" ht="15" customHeight="1">
      <c r="A3029" s="1052" t="s">
        <v>381</v>
      </c>
      <c r="B3029" s="869" t="s">
        <v>382</v>
      </c>
      <c r="C3029" s="1058"/>
      <c r="D3029" s="1059">
        <f>D3028</f>
        <v>0</v>
      </c>
      <c r="E3029" s="1067"/>
      <c r="F3029" s="1051"/>
      <c r="G3029" s="1052" t="s">
        <v>381</v>
      </c>
      <c r="H3029" s="869" t="s">
        <v>382</v>
      </c>
      <c r="I3029" s="1058"/>
      <c r="J3029" s="1059">
        <f>J3028</f>
        <v>0</v>
      </c>
    </row>
    <row r="3030" spans="1:15" ht="15" customHeight="1">
      <c r="A3030" s="1068" t="s">
        <v>383</v>
      </c>
      <c r="B3030" s="1069" t="s">
        <v>384</v>
      </c>
      <c r="C3030" s="1070"/>
      <c r="D3030" s="1071" t="e">
        <f>SUM(D3020:D3026)-D3029</f>
        <v>#N/A</v>
      </c>
      <c r="E3030" s="1072"/>
      <c r="F3030" s="1073"/>
      <c r="G3030" s="1068" t="s">
        <v>383</v>
      </c>
      <c r="H3030" s="1069" t="s">
        <v>384</v>
      </c>
      <c r="I3030" s="1070"/>
      <c r="J3030" s="1071" t="e">
        <f>SUM(J3020:J3026)-J3029</f>
        <v>#N/A</v>
      </c>
    </row>
    <row r="3031" spans="1:15" ht="6.75" customHeight="1">
      <c r="A3031" s="1074"/>
      <c r="B3031" s="1075"/>
      <c r="C3031" s="1076"/>
      <c r="D3031" s="1077"/>
      <c r="E3031" s="1077"/>
      <c r="F3031" s="1078"/>
      <c r="G3031" s="1074"/>
      <c r="H3031" s="1075"/>
      <c r="I3031" s="1076"/>
      <c r="J3031" s="1077"/>
    </row>
    <row r="3032" spans="1:15" ht="6.75" customHeight="1">
      <c r="A3032" s="1075"/>
      <c r="B3032" s="1075"/>
      <c r="C3032" s="1079"/>
      <c r="D3032" s="1080"/>
      <c r="E3032" s="1075"/>
      <c r="F3032" s="1081"/>
      <c r="G3032" s="1075"/>
      <c r="H3032" s="1075"/>
      <c r="I3032" s="1079"/>
      <c r="J3032" s="1080"/>
    </row>
    <row r="3033" spans="1:15" ht="15" customHeight="1">
      <c r="A3033" s="2242" t="str">
        <f>$K$2</f>
        <v>THÁNG 09/2024</v>
      </c>
      <c r="B3033" s="2242"/>
      <c r="C3033" s="2242"/>
      <c r="D3033" s="2242"/>
      <c r="E3033" s="1050"/>
      <c r="F3033" s="1051"/>
      <c r="G3033" s="2242" t="str">
        <f>$K$2</f>
        <v>THÁNG 09/2024</v>
      </c>
      <c r="H3033" s="2242"/>
      <c r="I3033" s="2242"/>
      <c r="J3033" s="2242"/>
      <c r="K3033" s="624"/>
    </row>
    <row r="3034" spans="1:15" ht="15" customHeight="1">
      <c r="A3034" s="1052" t="s">
        <v>356</v>
      </c>
      <c r="B3034" s="1053" t="s">
        <v>322</v>
      </c>
      <c r="C3034" s="869"/>
      <c r="D3034" s="1049"/>
      <c r="E3034" s="1054"/>
      <c r="F3034" s="1055"/>
      <c r="G3034" s="1052" t="s">
        <v>356</v>
      </c>
      <c r="H3034" s="1053" t="s">
        <v>323</v>
      </c>
      <c r="I3034" s="869"/>
      <c r="J3034" s="1049"/>
      <c r="L3034" s="1088"/>
      <c r="M3034" s="1088"/>
      <c r="N3034" s="1088"/>
      <c r="O3034" s="1088"/>
    </row>
    <row r="3035" spans="1:15" ht="15" customHeight="1">
      <c r="A3035" s="1052" t="s">
        <v>359</v>
      </c>
      <c r="B3035" s="1089" t="s">
        <v>360</v>
      </c>
      <c r="C3035" s="1058" t="e">
        <f>VLOOKUP(B3034,'LƯƠNG KT'!$D$15:$U$94,3,0)</f>
        <v>#N/A</v>
      </c>
      <c r="D3035" s="1059" t="e">
        <f>+C3035*25000</f>
        <v>#N/A</v>
      </c>
      <c r="E3035" s="1060"/>
      <c r="F3035" s="1060"/>
      <c r="G3035" s="1052" t="s">
        <v>359</v>
      </c>
      <c r="H3035" s="1089" t="s">
        <v>360</v>
      </c>
      <c r="I3035" s="1058" t="e">
        <f>VLOOKUP(H3034,'LƯƠNG KT'!$D$15:$U$94,3,0)</f>
        <v>#N/A</v>
      </c>
      <c r="J3035" s="1059" t="e">
        <f>+I3035*25000</f>
        <v>#N/A</v>
      </c>
      <c r="K3035" s="1085"/>
      <c r="L3035" s="1085"/>
      <c r="M3035" s="1085"/>
      <c r="N3035" s="1085"/>
      <c r="O3035" s="1085"/>
    </row>
    <row r="3036" spans="1:15" ht="15" customHeight="1">
      <c r="A3036" s="1052" t="s">
        <v>361</v>
      </c>
      <c r="B3036" s="869" t="s">
        <v>362</v>
      </c>
      <c r="C3036" s="1058" t="e">
        <f>VLOOKUP(B3034,'LƯƠNG KT'!$D$15:$U$94,14,0)</f>
        <v>#N/A</v>
      </c>
      <c r="D3036" s="1059" t="e">
        <f>C3036*$L$4</f>
        <v>#N/A</v>
      </c>
      <c r="E3036" s="1061"/>
      <c r="F3036" s="1061"/>
      <c r="G3036" s="1052" t="s">
        <v>361</v>
      </c>
      <c r="H3036" s="869" t="s">
        <v>362</v>
      </c>
      <c r="I3036" s="1058" t="e">
        <f>VLOOKUP(H3034,'LƯƠNG KT'!$D$15:$U$94,14,0)</f>
        <v>#N/A</v>
      </c>
      <c r="J3036" s="1059" t="e">
        <f>I3036*$L$4</f>
        <v>#N/A</v>
      </c>
      <c r="K3036" s="1085"/>
      <c r="L3036" s="1085"/>
      <c r="M3036" s="1085"/>
      <c r="N3036" s="1085"/>
      <c r="O3036" s="1085"/>
    </row>
    <row r="3037" spans="1:15" ht="15" customHeight="1">
      <c r="A3037" s="1052" t="s">
        <v>364</v>
      </c>
      <c r="B3037" s="869" t="s">
        <v>365</v>
      </c>
      <c r="C3037" s="1058" t="e">
        <f>VLOOKUP(B3034,'LƯƠNG KT'!$D$15:$U$94,15,0)</f>
        <v>#N/A</v>
      </c>
      <c r="D3037" s="1059" t="e">
        <f>C3037*$L$5</f>
        <v>#N/A</v>
      </c>
      <c r="E3037" s="1061"/>
      <c r="F3037" s="1061"/>
      <c r="G3037" s="1052" t="s">
        <v>364</v>
      </c>
      <c r="H3037" s="869" t="s">
        <v>365</v>
      </c>
      <c r="I3037" s="1058" t="e">
        <f>VLOOKUP(H3034,'LƯƠNG KT'!$D$15:$U$94,15,0)</f>
        <v>#N/A</v>
      </c>
      <c r="J3037" s="1059" t="e">
        <f>I3037*$L$5</f>
        <v>#N/A</v>
      </c>
      <c r="K3037" s="1085"/>
      <c r="L3037" s="1085"/>
      <c r="M3037" s="1085"/>
      <c r="N3037" s="1085"/>
      <c r="O3037" s="1085"/>
    </row>
    <row r="3038" spans="1:15" ht="15" customHeight="1">
      <c r="A3038" s="1052" t="s">
        <v>367</v>
      </c>
      <c r="B3038" s="869"/>
      <c r="C3038" s="1058" t="e">
        <f>VLOOKUP(B3034,'LƯƠNG KT'!$D$15:$U$94,16,0)</f>
        <v>#N/A</v>
      </c>
      <c r="D3038" s="1059" t="e">
        <f>+C3038*$L$6</f>
        <v>#N/A</v>
      </c>
      <c r="E3038" s="1061"/>
      <c r="F3038" s="1061"/>
      <c r="G3038" s="1052" t="s">
        <v>367</v>
      </c>
      <c r="H3038" s="869"/>
      <c r="I3038" s="1058" t="e">
        <f>VLOOKUP(H3034,'LƯƠNG KT'!$D$15:$U$94,16,0)</f>
        <v>#N/A</v>
      </c>
      <c r="J3038" s="1059" t="e">
        <f>+I3038*$L$6</f>
        <v>#N/A</v>
      </c>
      <c r="K3038" s="1085"/>
      <c r="L3038" s="1085"/>
      <c r="M3038" s="1085"/>
      <c r="N3038" s="1085"/>
      <c r="O3038" s="1085"/>
    </row>
    <row r="3039" spans="1:15" ht="15" customHeight="1">
      <c r="A3039" s="1052" t="s">
        <v>515</v>
      </c>
      <c r="B3039" s="869"/>
      <c r="C3039" s="1058" t="e">
        <f>VLOOKUP(B3034,'LƯƠNG KT'!$D$15:$U$94,17,0)</f>
        <v>#N/A</v>
      </c>
      <c r="D3039" s="1059" t="e">
        <f>+C3039*$L$7</f>
        <v>#N/A</v>
      </c>
      <c r="E3039" s="1061"/>
      <c r="F3039" s="1061"/>
      <c r="G3039" s="1052" t="s">
        <v>515</v>
      </c>
      <c r="H3039" s="869"/>
      <c r="I3039" s="1058" t="e">
        <f>VLOOKUP(H3034,'LƯƠNG KT'!$D$15:$U$94,17,0)</f>
        <v>#N/A</v>
      </c>
      <c r="J3039" s="1059" t="e">
        <f>+I3039*$L$7</f>
        <v>#N/A</v>
      </c>
      <c r="K3039" s="1085"/>
      <c r="L3039" s="1085"/>
      <c r="M3039" s="1085"/>
      <c r="N3039" s="1085"/>
      <c r="O3039" s="1085"/>
    </row>
    <row r="3040" spans="1:15" ht="15" customHeight="1">
      <c r="A3040" s="1052" t="s">
        <v>371</v>
      </c>
      <c r="B3040" s="869" t="s">
        <v>372</v>
      </c>
      <c r="C3040" s="1058" t="e">
        <f>VLOOKUP(B3034,'LƯƠNG KT'!$D$15:$U$94,9,0)*$L$10</f>
        <v>#N/A</v>
      </c>
      <c r="D3040" s="1059" t="e">
        <f>+C3040*0.5*3000</f>
        <v>#N/A</v>
      </c>
      <c r="E3040" s="1061"/>
      <c r="F3040" s="1061"/>
      <c r="G3040" s="1052" t="s">
        <v>371</v>
      </c>
      <c r="H3040" s="869" t="s">
        <v>372</v>
      </c>
      <c r="I3040" s="1058" t="e">
        <f>VLOOKUP(H3034,'LƯƠNG KT'!$D$15:$U$94,9,0)*$L$10</f>
        <v>#N/A</v>
      </c>
      <c r="J3040" s="1059" t="e">
        <f>+I3040*0.5*3000</f>
        <v>#N/A</v>
      </c>
      <c r="K3040" s="1085"/>
      <c r="L3040" s="1085"/>
      <c r="M3040" s="1085"/>
      <c r="N3040" s="1085"/>
      <c r="O3040" s="1085"/>
    </row>
    <row r="3041" spans="1:15" ht="15" customHeight="1">
      <c r="A3041" s="1052" t="s">
        <v>374</v>
      </c>
      <c r="B3041" s="869" t="s">
        <v>375</v>
      </c>
      <c r="C3041" s="1058" t="e">
        <f>VLOOKUP(B3034,'LƯƠNG KT'!$D$15:$U$94,8,0)*$L$11</f>
        <v>#N/A</v>
      </c>
      <c r="D3041" s="1059" t="e">
        <f>VLOOKUP(B3034,'LƯƠNG KT'!$D$15:$U$94,13,0)-D3040</f>
        <v>#N/A</v>
      </c>
      <c r="E3041" s="1063"/>
      <c r="F3041" s="1061"/>
      <c r="G3041" s="1052" t="s">
        <v>374</v>
      </c>
      <c r="H3041" s="869" t="s">
        <v>375</v>
      </c>
      <c r="I3041" s="1058" t="e">
        <f>VLOOKUP(H3034,'LƯƠNG KT'!$D$15:$U$94,8,0)*$L$11</f>
        <v>#N/A</v>
      </c>
      <c r="J3041" s="1059" t="e">
        <f>VLOOKUP(H3034,'LƯƠNG KT'!$D$15:$U$94,13,0)-J3040</f>
        <v>#N/A</v>
      </c>
      <c r="K3041" s="1085"/>
      <c r="L3041" s="1085"/>
      <c r="M3041" s="1085"/>
      <c r="N3041" s="1085"/>
      <c r="O3041" s="1085"/>
    </row>
    <row r="3042" spans="1:15" ht="15" customHeight="1">
      <c r="A3042" s="1059" t="s">
        <v>377</v>
      </c>
      <c r="B3042" s="869" t="s">
        <v>378</v>
      </c>
      <c r="C3042" s="1058"/>
      <c r="D3042" s="1059"/>
      <c r="E3042" s="1065"/>
      <c r="F3042" s="1065"/>
      <c r="G3042" s="1059" t="s">
        <v>377</v>
      </c>
      <c r="H3042" s="869" t="s">
        <v>378</v>
      </c>
      <c r="I3042" s="1058"/>
      <c r="J3042" s="1059"/>
    </row>
    <row r="3043" spans="1:15" ht="15" customHeight="1">
      <c r="A3043" s="1066" t="s">
        <v>379</v>
      </c>
      <c r="B3043" s="869" t="s">
        <v>380</v>
      </c>
      <c r="C3043" s="1058"/>
      <c r="D3043" s="1059"/>
      <c r="E3043" s="1063"/>
      <c r="F3043" s="1065"/>
      <c r="G3043" s="1066" t="s">
        <v>379</v>
      </c>
      <c r="H3043" s="869" t="s">
        <v>380</v>
      </c>
      <c r="I3043" s="1058"/>
      <c r="J3043" s="1059"/>
    </row>
    <row r="3044" spans="1:15" ht="15" customHeight="1">
      <c r="A3044" s="1052" t="s">
        <v>381</v>
      </c>
      <c r="B3044" s="869" t="s">
        <v>382</v>
      </c>
      <c r="C3044" s="1058"/>
      <c r="D3044" s="1059">
        <f>D3043</f>
        <v>0</v>
      </c>
      <c r="E3044" s="1067"/>
      <c r="F3044" s="1051"/>
      <c r="G3044" s="1052" t="s">
        <v>381</v>
      </c>
      <c r="H3044" s="869" t="s">
        <v>382</v>
      </c>
      <c r="I3044" s="1058"/>
      <c r="J3044" s="1059">
        <f>J3043</f>
        <v>0</v>
      </c>
    </row>
    <row r="3045" spans="1:15" ht="15" customHeight="1">
      <c r="A3045" s="1068" t="s">
        <v>383</v>
      </c>
      <c r="B3045" s="1069" t="s">
        <v>384</v>
      </c>
      <c r="C3045" s="1070"/>
      <c r="D3045" s="1071" t="e">
        <f>SUM(D3035:D3041)-D3044</f>
        <v>#N/A</v>
      </c>
      <c r="E3045" s="1072"/>
      <c r="F3045" s="1073"/>
      <c r="G3045" s="1068" t="s">
        <v>383</v>
      </c>
      <c r="H3045" s="1069" t="s">
        <v>384</v>
      </c>
      <c r="I3045" s="1070"/>
      <c r="J3045" s="1071" t="e">
        <f>SUM(J3035:J3041)-J3044</f>
        <v>#N/A</v>
      </c>
    </row>
    <row r="3046" spans="1:15" ht="15.75" customHeight="1">
      <c r="A3046" s="1074"/>
      <c r="B3046" s="1075"/>
      <c r="C3046" s="1076"/>
      <c r="D3046" s="1077"/>
      <c r="E3046" s="1077"/>
      <c r="F3046" s="1078"/>
      <c r="G3046" s="1074"/>
      <c r="H3046" s="1075"/>
      <c r="I3046" s="1076"/>
      <c r="J3046" s="1077"/>
    </row>
    <row r="3047" spans="1:15" ht="6.75" customHeight="1"/>
    <row r="3048" spans="1:15" ht="6.75" customHeight="1">
      <c r="A3048" s="2243"/>
      <c r="B3048" s="2243"/>
      <c r="C3048" s="2243"/>
      <c r="D3048" s="2243"/>
      <c r="E3048" s="2243"/>
      <c r="F3048" s="2243"/>
      <c r="G3048" s="2243"/>
      <c r="H3048" s="2243"/>
      <c r="I3048" s="2243"/>
      <c r="J3048" s="2243"/>
    </row>
    <row r="3049" spans="1:15" ht="15" customHeight="1">
      <c r="A3049" s="2242" t="str">
        <f>$K$2</f>
        <v>THÁNG 09/2024</v>
      </c>
      <c r="B3049" s="2242"/>
      <c r="C3049" s="2242"/>
      <c r="D3049" s="2242"/>
      <c r="E3049" s="1050"/>
      <c r="F3049" s="1051"/>
      <c r="G3049" s="2242" t="str">
        <f>$K$2</f>
        <v>THÁNG 09/2024</v>
      </c>
      <c r="H3049" s="2242"/>
      <c r="I3049" s="2242"/>
      <c r="J3049" s="2242"/>
      <c r="K3049" s="624"/>
    </row>
    <row r="3050" spans="1:15" ht="15" customHeight="1">
      <c r="A3050" s="1052" t="s">
        <v>356</v>
      </c>
      <c r="B3050" s="1053" t="s">
        <v>324</v>
      </c>
      <c r="C3050" s="869"/>
      <c r="D3050" s="1049"/>
      <c r="E3050" s="1054"/>
      <c r="F3050" s="1055"/>
      <c r="G3050" s="1052" t="s">
        <v>356</v>
      </c>
      <c r="H3050" s="1053" t="s">
        <v>325</v>
      </c>
      <c r="I3050" s="869"/>
      <c r="J3050" s="1049"/>
      <c r="L3050" s="1088"/>
      <c r="M3050" s="1088"/>
      <c r="N3050" s="1088"/>
      <c r="O3050" s="1088"/>
    </row>
    <row r="3051" spans="1:15" ht="15" customHeight="1">
      <c r="A3051" s="1052" t="s">
        <v>359</v>
      </c>
      <c r="B3051" s="1089" t="s">
        <v>360</v>
      </c>
      <c r="C3051" s="1058" t="e">
        <f>VLOOKUP(B3050,'LƯƠNG KT'!$D$15:$U$94,3,0)</f>
        <v>#N/A</v>
      </c>
      <c r="D3051" s="1059" t="e">
        <f>+C3051*25000</f>
        <v>#N/A</v>
      </c>
      <c r="E3051" s="1060"/>
      <c r="F3051" s="1060"/>
      <c r="G3051" s="1052" t="s">
        <v>359</v>
      </c>
      <c r="H3051" s="1089" t="s">
        <v>360</v>
      </c>
      <c r="I3051" s="1058" t="e">
        <f>VLOOKUP(H3050,'LƯƠNG KT'!$D$15:$U$94,3,0)</f>
        <v>#N/A</v>
      </c>
      <c r="J3051" s="1059" t="e">
        <f>+I3051*25000</f>
        <v>#N/A</v>
      </c>
      <c r="K3051" s="1084"/>
      <c r="L3051" s="1085"/>
      <c r="M3051" s="1085"/>
      <c r="N3051" s="1085"/>
      <c r="O3051" s="1085"/>
    </row>
    <row r="3052" spans="1:15" ht="15" customHeight="1">
      <c r="A3052" s="1052" t="s">
        <v>361</v>
      </c>
      <c r="B3052" s="869" t="s">
        <v>362</v>
      </c>
      <c r="C3052" s="1058" t="e">
        <f>VLOOKUP(B3050,'LƯƠNG KT'!$D$15:$U$94,14,0)</f>
        <v>#N/A</v>
      </c>
      <c r="D3052" s="1059" t="e">
        <f>C3052*$L$4</f>
        <v>#N/A</v>
      </c>
      <c r="E3052" s="1061"/>
      <c r="F3052" s="1061"/>
      <c r="G3052" s="1052" t="s">
        <v>361</v>
      </c>
      <c r="H3052" s="869" t="s">
        <v>362</v>
      </c>
      <c r="I3052" s="1058" t="e">
        <f>VLOOKUP(H3050,'LƯƠNG KT'!$D$15:$U$94,14,0)</f>
        <v>#N/A</v>
      </c>
      <c r="J3052" s="1059" t="e">
        <f>I3052*$L$4</f>
        <v>#N/A</v>
      </c>
      <c r="K3052" s="1084"/>
      <c r="L3052" s="1085"/>
      <c r="M3052" s="1085"/>
      <c r="N3052" s="1085"/>
      <c r="O3052" s="1085"/>
    </row>
    <row r="3053" spans="1:15" ht="15" customHeight="1">
      <c r="A3053" s="1052" t="s">
        <v>364</v>
      </c>
      <c r="B3053" s="869" t="s">
        <v>365</v>
      </c>
      <c r="C3053" s="1058" t="e">
        <f>VLOOKUP(B3050,'LƯƠNG KT'!$D$15:$U$94,15,0)</f>
        <v>#N/A</v>
      </c>
      <c r="D3053" s="1059" t="e">
        <f>C3053*$L$5</f>
        <v>#N/A</v>
      </c>
      <c r="E3053" s="1061"/>
      <c r="F3053" s="1061"/>
      <c r="G3053" s="1052" t="s">
        <v>364</v>
      </c>
      <c r="H3053" s="869" t="s">
        <v>365</v>
      </c>
      <c r="I3053" s="1058" t="e">
        <f>VLOOKUP(H3050,'LƯƠNG KT'!$D$15:$U$94,15,0)</f>
        <v>#N/A</v>
      </c>
      <c r="J3053" s="1059" t="e">
        <f>I3053*$L$5</f>
        <v>#N/A</v>
      </c>
      <c r="K3053" s="1084"/>
      <c r="L3053" s="1085"/>
      <c r="M3053" s="1085"/>
      <c r="N3053" s="1085"/>
      <c r="O3053" s="1085"/>
    </row>
    <row r="3054" spans="1:15" ht="15" customHeight="1">
      <c r="A3054" s="1052" t="s">
        <v>367</v>
      </c>
      <c r="B3054" s="869"/>
      <c r="C3054" s="1058" t="e">
        <f>VLOOKUP(B3050,'LƯƠNG KT'!$D$15:$U$94,16,0)</f>
        <v>#N/A</v>
      </c>
      <c r="D3054" s="1059" t="e">
        <f>+C3054*$L$6</f>
        <v>#N/A</v>
      </c>
      <c r="E3054" s="1061"/>
      <c r="F3054" s="1061"/>
      <c r="G3054" s="1052" t="s">
        <v>367</v>
      </c>
      <c r="H3054" s="869"/>
      <c r="I3054" s="1058" t="e">
        <f>VLOOKUP(H3050,'LƯƠNG KT'!$D$15:$U$94,16,0)</f>
        <v>#N/A</v>
      </c>
      <c r="J3054" s="1059" t="e">
        <f>+I3054*$L$6</f>
        <v>#N/A</v>
      </c>
      <c r="K3054" s="1084"/>
      <c r="L3054" s="1085"/>
      <c r="M3054" s="1085"/>
      <c r="N3054" s="1085"/>
      <c r="O3054" s="1085"/>
    </row>
    <row r="3055" spans="1:15" ht="15" customHeight="1">
      <c r="A3055" s="1052" t="s">
        <v>515</v>
      </c>
      <c r="B3055" s="869"/>
      <c r="C3055" s="1058" t="e">
        <f>VLOOKUP(B3050,'LƯƠNG KT'!$D$15:$U$94,17,0)</f>
        <v>#N/A</v>
      </c>
      <c r="D3055" s="1059" t="e">
        <f>+C3055*$L$7</f>
        <v>#N/A</v>
      </c>
      <c r="E3055" s="1061"/>
      <c r="F3055" s="1061"/>
      <c r="G3055" s="1052" t="s">
        <v>515</v>
      </c>
      <c r="H3055" s="869"/>
      <c r="I3055" s="1058" t="e">
        <f>VLOOKUP(H3050,'LƯƠNG KT'!$D$15:$U$94,17,0)</f>
        <v>#N/A</v>
      </c>
      <c r="J3055" s="1059" t="e">
        <f>+I3055*$L$7</f>
        <v>#N/A</v>
      </c>
      <c r="K3055" s="1085"/>
      <c r="L3055" s="1085"/>
      <c r="M3055" s="1085"/>
      <c r="N3055" s="1085"/>
      <c r="O3055" s="1085"/>
    </row>
    <row r="3056" spans="1:15" ht="15" customHeight="1">
      <c r="A3056" s="1052" t="s">
        <v>371</v>
      </c>
      <c r="B3056" s="869" t="s">
        <v>372</v>
      </c>
      <c r="C3056" s="1058" t="e">
        <f>VLOOKUP(B3050,'LƯƠNG KT'!$D$15:$U$94,9,0)*$L$10</f>
        <v>#N/A</v>
      </c>
      <c r="D3056" s="1059" t="e">
        <f>+C3056*0.5*3000</f>
        <v>#N/A</v>
      </c>
      <c r="E3056" s="1061"/>
      <c r="F3056" s="1061"/>
      <c r="G3056" s="1052" t="s">
        <v>371</v>
      </c>
      <c r="H3056" s="869" t="s">
        <v>372</v>
      </c>
      <c r="I3056" s="1058" t="e">
        <f>VLOOKUP(H3050,'LƯƠNG KT'!$D$15:$U$94,9,0)*$L$10</f>
        <v>#N/A</v>
      </c>
      <c r="J3056" s="1059" t="e">
        <f>+I3056*0.5*3000</f>
        <v>#N/A</v>
      </c>
      <c r="K3056" s="1085"/>
      <c r="L3056" s="1085"/>
      <c r="M3056" s="1085"/>
      <c r="N3056" s="1085"/>
      <c r="O3056" s="1085"/>
    </row>
    <row r="3057" spans="1:15" ht="15" customHeight="1">
      <c r="A3057" s="1052" t="s">
        <v>374</v>
      </c>
      <c r="B3057" s="869" t="s">
        <v>375</v>
      </c>
      <c r="C3057" s="1058" t="e">
        <f>VLOOKUP(B3050,'LƯƠNG KT'!$D$15:$U$94,8,0)*$L$11</f>
        <v>#N/A</v>
      </c>
      <c r="D3057" s="1059" t="e">
        <f>VLOOKUP(B3050,'LƯƠNG KT'!$D$15:$U$94,13,0)-D3056</f>
        <v>#N/A</v>
      </c>
      <c r="E3057" s="1063"/>
      <c r="F3057" s="1061"/>
      <c r="G3057" s="1052" t="s">
        <v>374</v>
      </c>
      <c r="H3057" s="869" t="s">
        <v>375</v>
      </c>
      <c r="I3057" s="1058" t="e">
        <f>VLOOKUP(H3050,'LƯƠNG KT'!$D$15:$U$94,8,0)*$L$11</f>
        <v>#N/A</v>
      </c>
      <c r="J3057" s="1059" t="e">
        <f>VLOOKUP(H3050,'LƯƠNG KT'!$D$15:$U$94,13,0)-J3056</f>
        <v>#N/A</v>
      </c>
      <c r="K3057" s="1085"/>
      <c r="L3057" s="1085"/>
      <c r="M3057" s="1085"/>
      <c r="N3057" s="1085"/>
      <c r="O3057" s="1085"/>
    </row>
    <row r="3058" spans="1:15" ht="15" customHeight="1">
      <c r="A3058" s="1059" t="s">
        <v>377</v>
      </c>
      <c r="B3058" s="869" t="s">
        <v>378</v>
      </c>
      <c r="C3058" s="1058"/>
      <c r="D3058" s="1059"/>
      <c r="E3058" s="1065"/>
      <c r="F3058" s="1065"/>
      <c r="G3058" s="1059" t="s">
        <v>377</v>
      </c>
      <c r="H3058" s="869" t="s">
        <v>378</v>
      </c>
      <c r="I3058" s="1058"/>
      <c r="J3058" s="1059"/>
    </row>
    <row r="3059" spans="1:15" ht="15" customHeight="1">
      <c r="A3059" s="1066" t="s">
        <v>379</v>
      </c>
      <c r="B3059" s="869" t="s">
        <v>380</v>
      </c>
      <c r="C3059" s="1058"/>
      <c r="D3059" s="1059"/>
      <c r="E3059" s="1063"/>
      <c r="F3059" s="1065"/>
      <c r="G3059" s="1066" t="s">
        <v>379</v>
      </c>
      <c r="H3059" s="869" t="s">
        <v>380</v>
      </c>
      <c r="I3059" s="1058"/>
      <c r="J3059" s="1059"/>
    </row>
    <row r="3060" spans="1:15" ht="15" customHeight="1">
      <c r="A3060" s="1052" t="s">
        <v>381</v>
      </c>
      <c r="B3060" s="869" t="s">
        <v>382</v>
      </c>
      <c r="C3060" s="1058"/>
      <c r="D3060" s="1059">
        <f>D3059</f>
        <v>0</v>
      </c>
      <c r="E3060" s="1067"/>
      <c r="F3060" s="1051"/>
      <c r="G3060" s="1052" t="s">
        <v>381</v>
      </c>
      <c r="H3060" s="869" t="s">
        <v>382</v>
      </c>
      <c r="I3060" s="1058"/>
      <c r="J3060" s="1059">
        <f>J3059</f>
        <v>0</v>
      </c>
    </row>
    <row r="3061" spans="1:15" ht="15" customHeight="1">
      <c r="A3061" s="1068" t="s">
        <v>383</v>
      </c>
      <c r="B3061" s="1069" t="s">
        <v>384</v>
      </c>
      <c r="C3061" s="1070"/>
      <c r="D3061" s="1071" t="e">
        <f>SUM(D3051:D3057)-D3060</f>
        <v>#N/A</v>
      </c>
      <c r="E3061" s="1072"/>
      <c r="F3061" s="1073"/>
      <c r="G3061" s="1068" t="s">
        <v>383</v>
      </c>
      <c r="H3061" s="1069" t="s">
        <v>384</v>
      </c>
      <c r="I3061" s="1070"/>
      <c r="J3061" s="1071" t="e">
        <f>SUM(J3051:J3057)-J3060</f>
        <v>#N/A</v>
      </c>
    </row>
    <row r="3062" spans="1:15" ht="12.6" customHeight="1">
      <c r="A3062" s="1074"/>
      <c r="B3062" s="1075"/>
      <c r="C3062" s="1076"/>
      <c r="D3062" s="1077"/>
      <c r="E3062" s="1077"/>
      <c r="F3062" s="1078"/>
      <c r="G3062" s="1074"/>
      <c r="H3062" s="1075"/>
      <c r="I3062" s="1076"/>
      <c r="J3062" s="1077"/>
    </row>
    <row r="3063" spans="1:15" ht="12.6" customHeight="1">
      <c r="A3063" s="1075"/>
      <c r="B3063" s="1075"/>
      <c r="C3063" s="1079"/>
      <c r="D3063" s="1080"/>
      <c r="E3063" s="1075"/>
      <c r="F3063" s="1081"/>
      <c r="G3063" s="1075"/>
      <c r="H3063" s="1075"/>
      <c r="I3063" s="1079"/>
      <c r="J3063" s="1080"/>
    </row>
    <row r="3064" spans="1:15" ht="15" customHeight="1">
      <c r="A3064" s="2242" t="str">
        <f>$K$2</f>
        <v>THÁNG 09/2024</v>
      </c>
      <c r="B3064" s="2242"/>
      <c r="C3064" s="2242"/>
      <c r="D3064" s="2242"/>
      <c r="E3064" s="1050"/>
      <c r="F3064" s="1051"/>
      <c r="G3064" s="2242" t="str">
        <f>$K$2</f>
        <v>THÁNG 09/2024</v>
      </c>
      <c r="H3064" s="2242"/>
      <c r="I3064" s="2242"/>
      <c r="J3064" s="2242"/>
      <c r="K3064" s="624"/>
    </row>
    <row r="3065" spans="1:15" ht="15" customHeight="1">
      <c r="A3065" s="1052" t="s">
        <v>356</v>
      </c>
      <c r="B3065" s="1053" t="s">
        <v>326</v>
      </c>
      <c r="C3065" s="869"/>
      <c r="D3065" s="1049"/>
      <c r="E3065" s="1054"/>
      <c r="F3065" s="1055"/>
      <c r="G3065" s="1052" t="s">
        <v>356</v>
      </c>
      <c r="H3065" s="1053" t="s">
        <v>327</v>
      </c>
      <c r="I3065" s="869"/>
      <c r="J3065" s="1049"/>
      <c r="L3065" s="1088"/>
      <c r="M3065" s="1088"/>
      <c r="N3065" s="1088"/>
      <c r="O3065" s="1088"/>
    </row>
    <row r="3066" spans="1:15" ht="15" customHeight="1">
      <c r="A3066" s="1052" t="s">
        <v>359</v>
      </c>
      <c r="B3066" s="1089" t="s">
        <v>360</v>
      </c>
      <c r="C3066" s="1058" t="e">
        <f>VLOOKUP(B3065,'LƯƠNG KT'!$D$15:$U$94,3,0)</f>
        <v>#N/A</v>
      </c>
      <c r="D3066" s="1059" t="e">
        <f>+C3066*25000</f>
        <v>#N/A</v>
      </c>
      <c r="E3066" s="1060"/>
      <c r="F3066" s="1060"/>
      <c r="G3066" s="1052" t="s">
        <v>359</v>
      </c>
      <c r="H3066" s="1089" t="s">
        <v>360</v>
      </c>
      <c r="I3066" s="1058" t="e">
        <f>VLOOKUP(H3065,'LƯƠNG KT'!$D$15:$U$94,3,0)</f>
        <v>#N/A</v>
      </c>
      <c r="J3066" s="1059" t="e">
        <f>+I3066*25000</f>
        <v>#N/A</v>
      </c>
      <c r="K3066" s="1085"/>
      <c r="L3066" s="1085"/>
      <c r="M3066" s="1085"/>
      <c r="N3066" s="1085"/>
      <c r="O3066" s="1085"/>
    </row>
    <row r="3067" spans="1:15" ht="15" customHeight="1">
      <c r="A3067" s="1052" t="s">
        <v>361</v>
      </c>
      <c r="B3067" s="869" t="s">
        <v>362</v>
      </c>
      <c r="C3067" s="1058" t="e">
        <f>VLOOKUP(B3065,'LƯƠNG KT'!$D$15:$U$94,14,0)</f>
        <v>#N/A</v>
      </c>
      <c r="D3067" s="1059" t="e">
        <f>C3067*$L$4</f>
        <v>#N/A</v>
      </c>
      <c r="E3067" s="1061"/>
      <c r="F3067" s="1061"/>
      <c r="G3067" s="1052" t="s">
        <v>361</v>
      </c>
      <c r="H3067" s="869" t="s">
        <v>362</v>
      </c>
      <c r="I3067" s="1058" t="e">
        <f>VLOOKUP(H3065,'LƯƠNG KT'!$D$15:$U$94,14,0)</f>
        <v>#N/A</v>
      </c>
      <c r="J3067" s="1059" t="e">
        <f>I3067*$L$4</f>
        <v>#N/A</v>
      </c>
      <c r="K3067" s="1085"/>
      <c r="L3067" s="1085"/>
      <c r="M3067" s="1085"/>
      <c r="N3067" s="1085"/>
      <c r="O3067" s="1085"/>
    </row>
    <row r="3068" spans="1:15" ht="15" customHeight="1">
      <c r="A3068" s="1052" t="s">
        <v>364</v>
      </c>
      <c r="B3068" s="869" t="s">
        <v>365</v>
      </c>
      <c r="C3068" s="1058" t="e">
        <f>VLOOKUP(B3065,'LƯƠNG KT'!$D$15:$U$94,15,0)</f>
        <v>#N/A</v>
      </c>
      <c r="D3068" s="1059" t="e">
        <f>C3068*$L$5</f>
        <v>#N/A</v>
      </c>
      <c r="E3068" s="1061"/>
      <c r="F3068" s="1061"/>
      <c r="G3068" s="1052" t="s">
        <v>364</v>
      </c>
      <c r="H3068" s="869" t="s">
        <v>365</v>
      </c>
      <c r="I3068" s="1058" t="e">
        <f>VLOOKUP(H3065,'LƯƠNG KT'!$D$15:$U$94,15,0)</f>
        <v>#N/A</v>
      </c>
      <c r="J3068" s="1059" t="e">
        <f>I3068*$L$5</f>
        <v>#N/A</v>
      </c>
      <c r="K3068" s="1085"/>
      <c r="L3068" s="1085"/>
      <c r="M3068" s="1085"/>
      <c r="N3068" s="1085"/>
      <c r="O3068" s="1085"/>
    </row>
    <row r="3069" spans="1:15" ht="15" customHeight="1">
      <c r="A3069" s="1052" t="s">
        <v>367</v>
      </c>
      <c r="B3069" s="869"/>
      <c r="C3069" s="1058" t="e">
        <f>VLOOKUP(B3065,'LƯƠNG KT'!$D$15:$U$94,16,0)</f>
        <v>#N/A</v>
      </c>
      <c r="D3069" s="1059" t="e">
        <f>+C3069*$L$6</f>
        <v>#N/A</v>
      </c>
      <c r="E3069" s="1061"/>
      <c r="F3069" s="1061"/>
      <c r="G3069" s="1052" t="s">
        <v>367</v>
      </c>
      <c r="H3069" s="869"/>
      <c r="I3069" s="1058" t="e">
        <f>VLOOKUP(H3065,'LƯƠNG KT'!$D$15:$U$94,16,0)</f>
        <v>#N/A</v>
      </c>
      <c r="J3069" s="1059" t="e">
        <f>+I3069*$L$6</f>
        <v>#N/A</v>
      </c>
      <c r="K3069" s="1085"/>
      <c r="L3069" s="1085"/>
      <c r="M3069" s="1085"/>
      <c r="N3069" s="1085"/>
      <c r="O3069" s="1085"/>
    </row>
    <row r="3070" spans="1:15" ht="15" customHeight="1">
      <c r="A3070" s="1052" t="s">
        <v>515</v>
      </c>
      <c r="B3070" s="869"/>
      <c r="C3070" s="1058" t="e">
        <f>VLOOKUP(B3065,'LƯƠNG KT'!$D$15:$U$94,17,0)</f>
        <v>#N/A</v>
      </c>
      <c r="D3070" s="1059" t="e">
        <f>+C3070*$L$7</f>
        <v>#N/A</v>
      </c>
      <c r="E3070" s="1061"/>
      <c r="F3070" s="1061"/>
      <c r="G3070" s="1052" t="s">
        <v>515</v>
      </c>
      <c r="H3070" s="869"/>
      <c r="I3070" s="1058" t="e">
        <f>VLOOKUP(H3065,'LƯƠNG KT'!$D$15:$U$94,17,0)</f>
        <v>#N/A</v>
      </c>
      <c r="J3070" s="1059" t="e">
        <f>+I3070*$L$7</f>
        <v>#N/A</v>
      </c>
      <c r="K3070" s="1085"/>
      <c r="L3070" s="1085"/>
      <c r="M3070" s="1085"/>
      <c r="N3070" s="1085"/>
      <c r="O3070" s="1085"/>
    </row>
    <row r="3071" spans="1:15" ht="15" customHeight="1">
      <c r="A3071" s="1052" t="s">
        <v>371</v>
      </c>
      <c r="B3071" s="869" t="s">
        <v>372</v>
      </c>
      <c r="C3071" s="1058" t="e">
        <f>VLOOKUP(B3065,'LƯƠNG KT'!$D$15:$U$94,9,0)*$L$10</f>
        <v>#N/A</v>
      </c>
      <c r="D3071" s="1059" t="e">
        <f>+C3071*0.5*3000</f>
        <v>#N/A</v>
      </c>
      <c r="E3071" s="1061"/>
      <c r="F3071" s="1061"/>
      <c r="G3071" s="1052" t="s">
        <v>371</v>
      </c>
      <c r="H3071" s="869" t="s">
        <v>372</v>
      </c>
      <c r="I3071" s="1058" t="e">
        <f>VLOOKUP(H3065,'LƯƠNG KT'!$D$15:$U$94,9,0)*$L$10</f>
        <v>#N/A</v>
      </c>
      <c r="J3071" s="1059" t="e">
        <f>+I3071*0.5*3000</f>
        <v>#N/A</v>
      </c>
      <c r="K3071" s="1085"/>
      <c r="L3071" s="1085"/>
      <c r="M3071" s="1085"/>
      <c r="N3071" s="1085"/>
      <c r="O3071" s="1085"/>
    </row>
    <row r="3072" spans="1:15" ht="15" customHeight="1">
      <c r="A3072" s="1052" t="s">
        <v>374</v>
      </c>
      <c r="B3072" s="869" t="s">
        <v>375</v>
      </c>
      <c r="C3072" s="1058" t="e">
        <f>VLOOKUP(B3065,'LƯƠNG KT'!$D$15:$U$94,8,0)*$L$11</f>
        <v>#N/A</v>
      </c>
      <c r="D3072" s="1059" t="e">
        <f>VLOOKUP(B3065,'LƯƠNG KT'!$D$15:$U$94,13,0)-D3071</f>
        <v>#N/A</v>
      </c>
      <c r="E3072" s="1063"/>
      <c r="F3072" s="1061"/>
      <c r="G3072" s="1052" t="s">
        <v>374</v>
      </c>
      <c r="H3072" s="869" t="s">
        <v>375</v>
      </c>
      <c r="I3072" s="1058" t="e">
        <f>VLOOKUP(H3065,'LƯƠNG KT'!$D$15:$U$94,8,0)*$L$11</f>
        <v>#N/A</v>
      </c>
      <c r="J3072" s="1059" t="e">
        <f>VLOOKUP(H3065,'LƯƠNG KT'!$D$15:$U$94,13,0)-J3071</f>
        <v>#N/A</v>
      </c>
      <c r="K3072" s="1085"/>
      <c r="L3072" s="1085"/>
      <c r="M3072" s="1085"/>
      <c r="N3072" s="1085"/>
      <c r="O3072" s="1085"/>
    </row>
    <row r="3073" spans="1:15" ht="15" customHeight="1">
      <c r="A3073" s="1059" t="s">
        <v>377</v>
      </c>
      <c r="B3073" s="869" t="s">
        <v>378</v>
      </c>
      <c r="C3073" s="1058"/>
      <c r="D3073" s="1059"/>
      <c r="E3073" s="1065"/>
      <c r="F3073" s="1065"/>
      <c r="G3073" s="1059" t="s">
        <v>377</v>
      </c>
      <c r="H3073" s="869" t="s">
        <v>378</v>
      </c>
      <c r="I3073" s="1058"/>
      <c r="J3073" s="1059"/>
    </row>
    <row r="3074" spans="1:15" ht="15" customHeight="1">
      <c r="A3074" s="1066" t="s">
        <v>379</v>
      </c>
      <c r="B3074" s="869" t="s">
        <v>380</v>
      </c>
      <c r="C3074" s="1058"/>
      <c r="D3074" s="1059"/>
      <c r="E3074" s="1063"/>
      <c r="F3074" s="1065"/>
      <c r="G3074" s="1066" t="s">
        <v>379</v>
      </c>
      <c r="H3074" s="869" t="s">
        <v>380</v>
      </c>
      <c r="I3074" s="1058"/>
      <c r="J3074" s="1059"/>
    </row>
    <row r="3075" spans="1:15" ht="15" customHeight="1">
      <c r="A3075" s="1052" t="s">
        <v>381</v>
      </c>
      <c r="B3075" s="869" t="s">
        <v>382</v>
      </c>
      <c r="C3075" s="1058"/>
      <c r="D3075" s="1059">
        <f>D3074</f>
        <v>0</v>
      </c>
      <c r="E3075" s="1067"/>
      <c r="F3075" s="1051"/>
      <c r="G3075" s="1052" t="s">
        <v>381</v>
      </c>
      <c r="H3075" s="869" t="s">
        <v>382</v>
      </c>
      <c r="I3075" s="1058"/>
      <c r="J3075" s="1059">
        <f>J3074</f>
        <v>0</v>
      </c>
    </row>
    <row r="3076" spans="1:15" ht="15" customHeight="1">
      <c r="A3076" s="1068" t="s">
        <v>383</v>
      </c>
      <c r="B3076" s="1069" t="s">
        <v>384</v>
      </c>
      <c r="C3076" s="1070"/>
      <c r="D3076" s="1071" t="e">
        <f>SUM(D3066:D3072)-D3075</f>
        <v>#N/A</v>
      </c>
      <c r="E3076" s="1072"/>
      <c r="F3076" s="1073"/>
      <c r="G3076" s="1068" t="s">
        <v>383</v>
      </c>
      <c r="H3076" s="1069" t="s">
        <v>384</v>
      </c>
      <c r="I3076" s="1070"/>
      <c r="J3076" s="1071" t="e">
        <f>SUM(J3066:J3072)-J3075</f>
        <v>#N/A</v>
      </c>
    </row>
    <row r="3077" spans="1:15" ht="6.75" customHeight="1">
      <c r="A3077" s="1074"/>
      <c r="B3077" s="1075"/>
      <c r="C3077" s="1076"/>
      <c r="D3077" s="1077"/>
      <c r="E3077" s="1077"/>
      <c r="F3077" s="1078"/>
      <c r="G3077" s="1074"/>
      <c r="H3077" s="1075"/>
      <c r="I3077" s="1076"/>
      <c r="J3077" s="1077"/>
    </row>
    <row r="3078" spans="1:15" ht="6.75" customHeight="1">
      <c r="A3078" s="1075"/>
      <c r="B3078" s="1075"/>
      <c r="C3078" s="1079"/>
      <c r="D3078" s="1080"/>
      <c r="E3078" s="1075"/>
      <c r="F3078" s="1081"/>
      <c r="G3078" s="1075"/>
      <c r="H3078" s="1075"/>
      <c r="I3078" s="1079"/>
      <c r="J3078" s="1080"/>
    </row>
    <row r="3079" spans="1:15" ht="15" customHeight="1">
      <c r="A3079" s="2242" t="str">
        <f>$K$2</f>
        <v>THÁNG 09/2024</v>
      </c>
      <c r="B3079" s="2242"/>
      <c r="C3079" s="2242"/>
      <c r="D3079" s="2242"/>
      <c r="E3079" s="1050"/>
      <c r="F3079" s="1051"/>
      <c r="G3079" s="2242" t="str">
        <f>$K$2</f>
        <v>THÁNG 09/2024</v>
      </c>
      <c r="H3079" s="2242"/>
      <c r="I3079" s="2242"/>
      <c r="J3079" s="2242"/>
      <c r="K3079" s="624"/>
    </row>
    <row r="3080" spans="1:15" ht="15" customHeight="1">
      <c r="A3080" s="1052" t="s">
        <v>356</v>
      </c>
      <c r="B3080" s="1053" t="s">
        <v>328</v>
      </c>
      <c r="C3080" s="869"/>
      <c r="D3080" s="1049"/>
      <c r="E3080" s="1054"/>
      <c r="F3080" s="1055"/>
      <c r="G3080" s="1052" t="s">
        <v>356</v>
      </c>
      <c r="H3080" s="1053" t="s">
        <v>329</v>
      </c>
      <c r="I3080" s="869"/>
      <c r="J3080" s="1049"/>
      <c r="L3080" s="1088"/>
      <c r="M3080" s="1088"/>
      <c r="N3080" s="1088"/>
      <c r="O3080" s="1088"/>
    </row>
    <row r="3081" spans="1:15" ht="15" customHeight="1">
      <c r="A3081" s="1052" t="s">
        <v>359</v>
      </c>
      <c r="B3081" s="1089" t="s">
        <v>360</v>
      </c>
      <c r="C3081" s="1058" t="e">
        <f>VLOOKUP(B3080,'LƯƠNG KT'!$D$15:$U$94,3,0)</f>
        <v>#N/A</v>
      </c>
      <c r="D3081" s="1059" t="e">
        <f>+C3081*25000</f>
        <v>#N/A</v>
      </c>
      <c r="E3081" s="1060"/>
      <c r="F3081" s="1060"/>
      <c r="G3081" s="1052" t="s">
        <v>359</v>
      </c>
      <c r="H3081" s="1089" t="s">
        <v>360</v>
      </c>
      <c r="I3081" s="1058" t="e">
        <f>VLOOKUP(H3080,'LƯƠNG KT'!$D$15:$U$94,3,0)</f>
        <v>#N/A</v>
      </c>
      <c r="J3081" s="1059" t="e">
        <f>+I3081*25000</f>
        <v>#N/A</v>
      </c>
      <c r="K3081" s="1085"/>
      <c r="L3081" s="1085"/>
      <c r="M3081" s="1085"/>
      <c r="N3081" s="1085"/>
      <c r="O3081" s="1085"/>
    </row>
    <row r="3082" spans="1:15" ht="15" customHeight="1">
      <c r="A3082" s="1052" t="s">
        <v>361</v>
      </c>
      <c r="B3082" s="869" t="s">
        <v>362</v>
      </c>
      <c r="C3082" s="1058" t="e">
        <f>VLOOKUP(B3080,'LƯƠNG KT'!$D$15:$U$94,14,0)</f>
        <v>#N/A</v>
      </c>
      <c r="D3082" s="1059" t="e">
        <f>C3082*$L$4</f>
        <v>#N/A</v>
      </c>
      <c r="E3082" s="1061"/>
      <c r="F3082" s="1061"/>
      <c r="G3082" s="1052" t="s">
        <v>361</v>
      </c>
      <c r="H3082" s="869" t="s">
        <v>362</v>
      </c>
      <c r="I3082" s="1058" t="e">
        <f>VLOOKUP(H3080,'LƯƠNG KT'!$D$15:$U$94,14,0)</f>
        <v>#N/A</v>
      </c>
      <c r="J3082" s="1059" t="e">
        <f>I3082*$L$4</f>
        <v>#N/A</v>
      </c>
      <c r="K3082" s="1085"/>
      <c r="L3082" s="1085"/>
      <c r="M3082" s="1085"/>
      <c r="N3082" s="1085"/>
      <c r="O3082" s="1085"/>
    </row>
    <row r="3083" spans="1:15" ht="15" customHeight="1">
      <c r="A3083" s="1052" t="s">
        <v>364</v>
      </c>
      <c r="B3083" s="869" t="s">
        <v>365</v>
      </c>
      <c r="C3083" s="1058" t="e">
        <f>VLOOKUP(B3080,'LƯƠNG KT'!$D$15:$U$94,15,0)</f>
        <v>#N/A</v>
      </c>
      <c r="D3083" s="1059" t="e">
        <f>C3083*$L$5</f>
        <v>#N/A</v>
      </c>
      <c r="E3083" s="1061"/>
      <c r="F3083" s="1061"/>
      <c r="G3083" s="1052" t="s">
        <v>364</v>
      </c>
      <c r="H3083" s="869" t="s">
        <v>365</v>
      </c>
      <c r="I3083" s="1058" t="e">
        <f>VLOOKUP(H3080,'LƯƠNG KT'!$D$15:$U$94,15,0)</f>
        <v>#N/A</v>
      </c>
      <c r="J3083" s="1059" t="e">
        <f>I3083*$L$5</f>
        <v>#N/A</v>
      </c>
      <c r="K3083" s="1085"/>
      <c r="L3083" s="1085"/>
      <c r="M3083" s="1085"/>
      <c r="N3083" s="1085"/>
      <c r="O3083" s="1085"/>
    </row>
    <row r="3084" spans="1:15" ht="15" customHeight="1">
      <c r="A3084" s="1052" t="s">
        <v>367</v>
      </c>
      <c r="B3084" s="869"/>
      <c r="C3084" s="1058" t="e">
        <f>VLOOKUP(B3080,'LƯƠNG KT'!$D$15:$U$94,16,0)</f>
        <v>#N/A</v>
      </c>
      <c r="D3084" s="1059" t="e">
        <f>+C3084*$L$6</f>
        <v>#N/A</v>
      </c>
      <c r="E3084" s="1061"/>
      <c r="F3084" s="1061"/>
      <c r="G3084" s="1052" t="s">
        <v>367</v>
      </c>
      <c r="H3084" s="869"/>
      <c r="I3084" s="1058" t="e">
        <f>VLOOKUP(H3080,'LƯƠNG KT'!$D$15:$U$94,16,0)</f>
        <v>#N/A</v>
      </c>
      <c r="J3084" s="1059" t="e">
        <f>+I3084*$L$6</f>
        <v>#N/A</v>
      </c>
      <c r="K3084" s="1085"/>
      <c r="L3084" s="1085"/>
      <c r="M3084" s="1085"/>
      <c r="N3084" s="1085"/>
      <c r="O3084" s="1085"/>
    </row>
    <row r="3085" spans="1:15" ht="15" customHeight="1">
      <c r="A3085" s="1052" t="s">
        <v>515</v>
      </c>
      <c r="B3085" s="869"/>
      <c r="C3085" s="1058" t="e">
        <f>VLOOKUP(B3080,'LƯƠNG KT'!$D$15:$U$94,17,0)</f>
        <v>#N/A</v>
      </c>
      <c r="D3085" s="1059" t="e">
        <f>+C3085*$L$7</f>
        <v>#N/A</v>
      </c>
      <c r="E3085" s="1061"/>
      <c r="F3085" s="1061"/>
      <c r="G3085" s="1052" t="s">
        <v>515</v>
      </c>
      <c r="H3085" s="869"/>
      <c r="I3085" s="1058" t="e">
        <f>VLOOKUP(H3080,'LƯƠNG KT'!$D$15:$U$94,17,0)</f>
        <v>#N/A</v>
      </c>
      <c r="J3085" s="1059" t="e">
        <f>+I3085*$L$7</f>
        <v>#N/A</v>
      </c>
      <c r="K3085" s="1085"/>
      <c r="L3085" s="1085"/>
      <c r="M3085" s="1085"/>
      <c r="N3085" s="1085"/>
      <c r="O3085" s="1085"/>
    </row>
    <row r="3086" spans="1:15" ht="15" customHeight="1">
      <c r="A3086" s="1052" t="s">
        <v>371</v>
      </c>
      <c r="B3086" s="869" t="s">
        <v>372</v>
      </c>
      <c r="C3086" s="1058" t="e">
        <f>VLOOKUP(B3080,'LƯƠNG KT'!$D$15:$U$94,9,0)*$L$10</f>
        <v>#N/A</v>
      </c>
      <c r="D3086" s="1059" t="e">
        <f>+C3086*0.5*3000</f>
        <v>#N/A</v>
      </c>
      <c r="E3086" s="1061"/>
      <c r="F3086" s="1061"/>
      <c r="G3086" s="1052" t="s">
        <v>371</v>
      </c>
      <c r="H3086" s="869" t="s">
        <v>372</v>
      </c>
      <c r="I3086" s="1058" t="e">
        <f>VLOOKUP(H3080,'LƯƠNG KT'!$D$15:$U$94,9,0)*$L$10</f>
        <v>#N/A</v>
      </c>
      <c r="J3086" s="1059" t="e">
        <f>+I3086*0.5*3000</f>
        <v>#N/A</v>
      </c>
      <c r="K3086" s="1085"/>
      <c r="L3086" s="1085"/>
      <c r="M3086" s="1085"/>
      <c r="N3086" s="1085"/>
      <c r="O3086" s="1085"/>
    </row>
    <row r="3087" spans="1:15" ht="15" customHeight="1">
      <c r="A3087" s="1052" t="s">
        <v>374</v>
      </c>
      <c r="B3087" s="869" t="s">
        <v>375</v>
      </c>
      <c r="C3087" s="1058" t="e">
        <f>VLOOKUP(B3080,'LƯƠNG KT'!$D$15:$U$94,8,0)*$L$11</f>
        <v>#N/A</v>
      </c>
      <c r="D3087" s="1059" t="e">
        <f>VLOOKUP(B3080,'LƯƠNG KT'!$D$15:$U$94,13,0)-D3086</f>
        <v>#N/A</v>
      </c>
      <c r="E3087" s="1063"/>
      <c r="F3087" s="1061"/>
      <c r="G3087" s="1052" t="s">
        <v>374</v>
      </c>
      <c r="H3087" s="869" t="s">
        <v>375</v>
      </c>
      <c r="I3087" s="1058" t="e">
        <f>VLOOKUP(H3080,'LƯƠNG KT'!$D$15:$U$94,8,0)*$L$11</f>
        <v>#N/A</v>
      </c>
      <c r="J3087" s="1059" t="e">
        <f>VLOOKUP(H3080,'LƯƠNG KT'!$D$15:$U$94,13,0)-J3086</f>
        <v>#N/A</v>
      </c>
      <c r="K3087" s="1085"/>
      <c r="L3087" s="1085"/>
      <c r="M3087" s="1085"/>
      <c r="N3087" s="1085"/>
      <c r="O3087" s="1085"/>
    </row>
    <row r="3088" spans="1:15" ht="15" customHeight="1">
      <c r="A3088" s="1059" t="s">
        <v>377</v>
      </c>
      <c r="B3088" s="869" t="s">
        <v>378</v>
      </c>
      <c r="C3088" s="1058"/>
      <c r="D3088" s="1059"/>
      <c r="E3088" s="1065"/>
      <c r="F3088" s="1065"/>
      <c r="G3088" s="1059" t="s">
        <v>377</v>
      </c>
      <c r="H3088" s="869" t="s">
        <v>378</v>
      </c>
      <c r="I3088" s="1058"/>
      <c r="J3088" s="1059"/>
    </row>
    <row r="3089" spans="1:15" ht="15" customHeight="1">
      <c r="A3089" s="1066" t="s">
        <v>379</v>
      </c>
      <c r="B3089" s="869" t="s">
        <v>380</v>
      </c>
      <c r="C3089" s="1058"/>
      <c r="D3089" s="1059"/>
      <c r="E3089" s="1063"/>
      <c r="F3089" s="1065"/>
      <c r="G3089" s="1066" t="s">
        <v>379</v>
      </c>
      <c r="H3089" s="869" t="s">
        <v>380</v>
      </c>
      <c r="I3089" s="1058"/>
      <c r="J3089" s="1059"/>
    </row>
    <row r="3090" spans="1:15" ht="15" customHeight="1">
      <c r="A3090" s="1052" t="s">
        <v>381</v>
      </c>
      <c r="B3090" s="869" t="s">
        <v>382</v>
      </c>
      <c r="C3090" s="1058"/>
      <c r="D3090" s="1059">
        <f>D3089</f>
        <v>0</v>
      </c>
      <c r="E3090" s="1067"/>
      <c r="F3090" s="1051"/>
      <c r="G3090" s="1052" t="s">
        <v>381</v>
      </c>
      <c r="H3090" s="869" t="s">
        <v>382</v>
      </c>
      <c r="I3090" s="1058"/>
      <c r="J3090" s="1059">
        <f>J3089</f>
        <v>0</v>
      </c>
    </row>
    <row r="3091" spans="1:15" ht="15" customHeight="1">
      <c r="A3091" s="1068" t="s">
        <v>383</v>
      </c>
      <c r="B3091" s="1069" t="s">
        <v>384</v>
      </c>
      <c r="C3091" s="1070"/>
      <c r="D3091" s="1071" t="e">
        <f>SUM(D3081:D3087)-D3090</f>
        <v>#N/A</v>
      </c>
      <c r="E3091" s="1072"/>
      <c r="F3091" s="1073"/>
      <c r="G3091" s="1068" t="s">
        <v>383</v>
      </c>
      <c r="H3091" s="1069" t="s">
        <v>384</v>
      </c>
      <c r="I3091" s="1070"/>
      <c r="J3091" s="1071" t="e">
        <f>SUM(J3081:J3087)-J3090</f>
        <v>#N/A</v>
      </c>
    </row>
    <row r="3092" spans="1:15" ht="6.75" customHeight="1">
      <c r="A3092" s="1074"/>
      <c r="B3092" s="1075"/>
      <c r="C3092" s="1076"/>
      <c r="D3092" s="1077"/>
      <c r="E3092" s="1077"/>
      <c r="F3092" s="1078"/>
      <c r="G3092" s="1074"/>
      <c r="H3092" s="1075"/>
      <c r="I3092" s="1076"/>
      <c r="J3092" s="1077"/>
    </row>
    <row r="3093" spans="1:15" ht="6.75" customHeight="1">
      <c r="A3093" s="1075"/>
      <c r="B3093" s="1075"/>
      <c r="C3093" s="1079"/>
      <c r="D3093" s="1080"/>
      <c r="E3093" s="1075"/>
      <c r="F3093" s="1081"/>
      <c r="G3093" s="1075"/>
      <c r="H3093" s="1075"/>
      <c r="I3093" s="1079"/>
      <c r="J3093" s="1080"/>
    </row>
    <row r="3094" spans="1:15" ht="15" customHeight="1">
      <c r="A3094" s="2242" t="str">
        <f>$K$2</f>
        <v>THÁNG 09/2024</v>
      </c>
      <c r="B3094" s="2242"/>
      <c r="C3094" s="2242"/>
      <c r="D3094" s="2242"/>
      <c r="E3094" s="1050"/>
      <c r="F3094" s="1051"/>
      <c r="G3094" s="2242" t="str">
        <f>$K$2</f>
        <v>THÁNG 09/2024</v>
      </c>
      <c r="H3094" s="2242"/>
      <c r="I3094" s="2242"/>
      <c r="J3094" s="2242"/>
      <c r="K3094" s="624"/>
    </row>
    <row r="3095" spans="1:15" ht="15" customHeight="1">
      <c r="A3095" s="1052" t="s">
        <v>356</v>
      </c>
      <c r="B3095" s="1053" t="s">
        <v>516</v>
      </c>
      <c r="C3095" s="869"/>
      <c r="D3095" s="1049"/>
      <c r="E3095" s="1054"/>
      <c r="F3095" s="1055"/>
      <c r="G3095" s="1052" t="s">
        <v>356</v>
      </c>
      <c r="H3095" s="1053" t="s">
        <v>287</v>
      </c>
      <c r="I3095" s="869"/>
      <c r="J3095" s="1049"/>
      <c r="L3095" s="1088"/>
      <c r="M3095" s="1088"/>
      <c r="N3095" s="1088"/>
      <c r="O3095" s="1088"/>
    </row>
    <row r="3096" spans="1:15" ht="15" customHeight="1">
      <c r="A3096" s="1052" t="s">
        <v>359</v>
      </c>
      <c r="B3096" s="1089" t="s">
        <v>360</v>
      </c>
      <c r="C3096" s="1058" t="e">
        <f>VLOOKUP(B3095,'LƯƠNG KT'!$D$15:$U$94,3,0)</f>
        <v>#N/A</v>
      </c>
      <c r="D3096" s="1059" t="e">
        <f>+C3096*25000</f>
        <v>#N/A</v>
      </c>
      <c r="E3096" s="1060"/>
      <c r="F3096" s="1060"/>
      <c r="G3096" s="1052" t="s">
        <v>359</v>
      </c>
      <c r="H3096" s="1089" t="s">
        <v>360</v>
      </c>
      <c r="I3096" s="1058" t="e">
        <f>VLOOKUP(H3095,'LƯƠNG KT'!$D$15:$U$94,3,0)</f>
        <v>#N/A</v>
      </c>
      <c r="J3096" s="1059" t="e">
        <f>+I3096*25000</f>
        <v>#N/A</v>
      </c>
      <c r="K3096" s="1085"/>
      <c r="L3096" s="1085"/>
      <c r="M3096" s="1085"/>
      <c r="N3096" s="1085"/>
      <c r="O3096" s="1085"/>
    </row>
    <row r="3097" spans="1:15" ht="15" customHeight="1">
      <c r="A3097" s="1052" t="s">
        <v>361</v>
      </c>
      <c r="B3097" s="869" t="s">
        <v>362</v>
      </c>
      <c r="C3097" s="1058" t="e">
        <f>VLOOKUP(B3095,'LƯƠNG KT'!$D$15:$U$94,14,0)</f>
        <v>#N/A</v>
      </c>
      <c r="D3097" s="1059" t="e">
        <f>C3097*$L$4</f>
        <v>#N/A</v>
      </c>
      <c r="E3097" s="1061"/>
      <c r="F3097" s="1061"/>
      <c r="G3097" s="1052" t="s">
        <v>361</v>
      </c>
      <c r="H3097" s="869" t="s">
        <v>362</v>
      </c>
      <c r="I3097" s="1058" t="e">
        <f>VLOOKUP(H3095,'LƯƠNG KT'!$D$15:$U$94,14,0)</f>
        <v>#N/A</v>
      </c>
      <c r="J3097" s="1059" t="e">
        <f>I3097*$L$4</f>
        <v>#N/A</v>
      </c>
      <c r="K3097" s="1085"/>
      <c r="L3097" s="1085"/>
      <c r="M3097" s="1085"/>
      <c r="N3097" s="1085"/>
      <c r="O3097" s="1085"/>
    </row>
    <row r="3098" spans="1:15" ht="15" customHeight="1">
      <c r="A3098" s="1052" t="s">
        <v>364</v>
      </c>
      <c r="B3098" s="869" t="s">
        <v>365</v>
      </c>
      <c r="C3098" s="1058" t="e">
        <f>VLOOKUP(B3095,'LƯƠNG KT'!$D$15:$U$94,15,0)</f>
        <v>#N/A</v>
      </c>
      <c r="D3098" s="1059" t="e">
        <f>C3098*$L$5</f>
        <v>#N/A</v>
      </c>
      <c r="E3098" s="1061"/>
      <c r="F3098" s="1061"/>
      <c r="G3098" s="1052" t="s">
        <v>364</v>
      </c>
      <c r="H3098" s="869" t="s">
        <v>365</v>
      </c>
      <c r="I3098" s="1058" t="e">
        <f>VLOOKUP(H3095,'LƯƠNG KT'!$D$15:$U$94,15,0)</f>
        <v>#N/A</v>
      </c>
      <c r="J3098" s="1059" t="e">
        <f>I3098*$L$5</f>
        <v>#N/A</v>
      </c>
      <c r="K3098" s="1085"/>
      <c r="L3098" s="1085"/>
      <c r="M3098" s="1085"/>
      <c r="N3098" s="1085"/>
      <c r="O3098" s="1085"/>
    </row>
    <row r="3099" spans="1:15" ht="15" customHeight="1">
      <c r="A3099" s="1052" t="s">
        <v>367</v>
      </c>
      <c r="B3099" s="869"/>
      <c r="C3099" s="1058" t="e">
        <f>VLOOKUP(B3095,'LƯƠNG KT'!$D$15:$U$94,16,0)</f>
        <v>#N/A</v>
      </c>
      <c r="D3099" s="1059" t="e">
        <f>+C3099*$L$6</f>
        <v>#N/A</v>
      </c>
      <c r="E3099" s="1061"/>
      <c r="F3099" s="1061"/>
      <c r="G3099" s="1052" t="s">
        <v>367</v>
      </c>
      <c r="H3099" s="869"/>
      <c r="I3099" s="1058" t="e">
        <f>VLOOKUP(H3095,'LƯƠNG KT'!$D$15:$U$94,16,0)</f>
        <v>#N/A</v>
      </c>
      <c r="J3099" s="1059" t="e">
        <f>+I3099*$L$6</f>
        <v>#N/A</v>
      </c>
      <c r="K3099" s="1085"/>
      <c r="L3099" s="1085"/>
      <c r="M3099" s="1085"/>
      <c r="N3099" s="1085"/>
      <c r="O3099" s="1085"/>
    </row>
    <row r="3100" spans="1:15" ht="15" customHeight="1">
      <c r="A3100" s="1052" t="s">
        <v>515</v>
      </c>
      <c r="B3100" s="869"/>
      <c r="C3100" s="1058" t="e">
        <f>VLOOKUP(B3095,'LƯƠNG KT'!$D$15:$U$94,17,0)</f>
        <v>#N/A</v>
      </c>
      <c r="D3100" s="1059" t="e">
        <f>+C3100*$L$7</f>
        <v>#N/A</v>
      </c>
      <c r="E3100" s="1061"/>
      <c r="F3100" s="1061"/>
      <c r="G3100" s="1052" t="s">
        <v>515</v>
      </c>
      <c r="H3100" s="869"/>
      <c r="I3100" s="1058" t="e">
        <f>VLOOKUP(H3095,'LƯƠNG KT'!$D$15:$U$94,17,0)</f>
        <v>#N/A</v>
      </c>
      <c r="J3100" s="1059" t="e">
        <f>+I3100*$L$7</f>
        <v>#N/A</v>
      </c>
      <c r="K3100" s="1085"/>
      <c r="L3100" s="1085"/>
      <c r="M3100" s="1085"/>
      <c r="N3100" s="1085"/>
      <c r="O3100" s="1085"/>
    </row>
    <row r="3101" spans="1:15" ht="15" customHeight="1">
      <c r="A3101" s="1052" t="s">
        <v>371</v>
      </c>
      <c r="B3101" s="869" t="s">
        <v>372</v>
      </c>
      <c r="C3101" s="1058" t="e">
        <f>VLOOKUP(B3095,'LƯƠNG KT'!$D$15:$U$94,9,0)*$L$10</f>
        <v>#N/A</v>
      </c>
      <c r="D3101" s="1059" t="e">
        <f>+C3101*0.5*3000</f>
        <v>#N/A</v>
      </c>
      <c r="E3101" s="1061"/>
      <c r="F3101" s="1061"/>
      <c r="G3101" s="1052" t="s">
        <v>371</v>
      </c>
      <c r="H3101" s="869" t="s">
        <v>372</v>
      </c>
      <c r="I3101" s="1058" t="e">
        <f>VLOOKUP(H3095,'LƯƠNG KT'!$D$15:$U$94,9,0)*$L$10</f>
        <v>#N/A</v>
      </c>
      <c r="J3101" s="1059" t="e">
        <f>+I3101*0.5*3000</f>
        <v>#N/A</v>
      </c>
      <c r="K3101" s="1085"/>
      <c r="L3101" s="1085"/>
      <c r="M3101" s="1085"/>
      <c r="N3101" s="1085"/>
      <c r="O3101" s="1085"/>
    </row>
    <row r="3102" spans="1:15" ht="15" customHeight="1">
      <c r="A3102" s="1052" t="s">
        <v>374</v>
      </c>
      <c r="B3102" s="869" t="s">
        <v>375</v>
      </c>
      <c r="C3102" s="1058" t="e">
        <f>VLOOKUP(B3095,'LƯƠNG KT'!$D$15:$U$94,8,0)*$L$11</f>
        <v>#N/A</v>
      </c>
      <c r="D3102" s="1059" t="e">
        <f>VLOOKUP(B3095,'LƯƠNG KT'!$D$15:$U$94,13,0)-D3101</f>
        <v>#N/A</v>
      </c>
      <c r="E3102" s="1063"/>
      <c r="F3102" s="1061"/>
      <c r="G3102" s="1052" t="s">
        <v>374</v>
      </c>
      <c r="H3102" s="869" t="s">
        <v>375</v>
      </c>
      <c r="I3102" s="1058" t="e">
        <f>VLOOKUP(H3095,'LƯƠNG KT'!$D$15:$U$94,8,0)*$L$11</f>
        <v>#N/A</v>
      </c>
      <c r="J3102" s="1059" t="e">
        <f>VLOOKUP(H3095,'LƯƠNG KT'!$D$15:$U$94,13,0)-J3101</f>
        <v>#N/A</v>
      </c>
      <c r="K3102" s="1085"/>
      <c r="L3102" s="1085"/>
      <c r="M3102" s="1085"/>
      <c r="N3102" s="1085"/>
      <c r="O3102" s="1085"/>
    </row>
    <row r="3103" spans="1:15" ht="15" customHeight="1">
      <c r="A3103" s="1059" t="s">
        <v>377</v>
      </c>
      <c r="B3103" s="869" t="s">
        <v>378</v>
      </c>
      <c r="C3103" s="1058"/>
      <c r="D3103" s="1059"/>
      <c r="E3103" s="1065"/>
      <c r="F3103" s="1065"/>
      <c r="G3103" s="1059" t="s">
        <v>377</v>
      </c>
      <c r="H3103" s="869" t="s">
        <v>378</v>
      </c>
      <c r="I3103" s="1058"/>
      <c r="J3103" s="1059"/>
    </row>
    <row r="3104" spans="1:15" ht="15" customHeight="1">
      <c r="A3104" s="1066" t="s">
        <v>379</v>
      </c>
      <c r="B3104" s="869" t="s">
        <v>380</v>
      </c>
      <c r="C3104" s="1058"/>
      <c r="D3104" s="1059"/>
      <c r="E3104" s="1063"/>
      <c r="F3104" s="1065"/>
      <c r="G3104" s="1066" t="s">
        <v>379</v>
      </c>
      <c r="H3104" s="869" t="s">
        <v>380</v>
      </c>
      <c r="I3104" s="1058"/>
      <c r="J3104" s="1059"/>
    </row>
    <row r="3105" spans="1:15" ht="15" customHeight="1">
      <c r="A3105" s="1052" t="s">
        <v>381</v>
      </c>
      <c r="B3105" s="869" t="s">
        <v>382</v>
      </c>
      <c r="C3105" s="1058"/>
      <c r="D3105" s="1059">
        <f>D3104</f>
        <v>0</v>
      </c>
      <c r="E3105" s="1067"/>
      <c r="F3105" s="1051"/>
      <c r="G3105" s="1052" t="s">
        <v>381</v>
      </c>
      <c r="H3105" s="869" t="s">
        <v>382</v>
      </c>
      <c r="I3105" s="1058"/>
      <c r="J3105" s="1059">
        <f>J3104</f>
        <v>0</v>
      </c>
    </row>
    <row r="3106" spans="1:15" ht="15" customHeight="1">
      <c r="A3106" s="1068" t="s">
        <v>383</v>
      </c>
      <c r="B3106" s="1069" t="s">
        <v>384</v>
      </c>
      <c r="C3106" s="1070"/>
      <c r="D3106" s="1071" t="e">
        <f>SUM(D3096:D3102)-D3105</f>
        <v>#N/A</v>
      </c>
      <c r="E3106" s="1072"/>
      <c r="F3106" s="1073"/>
      <c r="G3106" s="1068" t="s">
        <v>383</v>
      </c>
      <c r="H3106" s="1069" t="s">
        <v>384</v>
      </c>
      <c r="I3106" s="1070"/>
      <c r="J3106" s="1071" t="e">
        <f>SUM(J3096:J3102)-J3105</f>
        <v>#N/A</v>
      </c>
    </row>
    <row r="3107" spans="1:15" ht="15.75" customHeight="1">
      <c r="A3107" s="1074"/>
      <c r="B3107" s="1075"/>
      <c r="C3107" s="1076"/>
      <c r="D3107" s="1077"/>
      <c r="E3107" s="1077"/>
      <c r="F3107" s="1078"/>
      <c r="G3107" s="1074"/>
      <c r="H3107" s="1075"/>
      <c r="I3107" s="1076"/>
      <c r="J3107" s="1077"/>
    </row>
    <row r="3109" spans="1:15" ht="12" customHeight="1">
      <c r="A3109" s="2243"/>
      <c r="B3109" s="2243"/>
      <c r="C3109" s="2243"/>
      <c r="D3109" s="2243"/>
      <c r="E3109" s="2243"/>
      <c r="F3109" s="2243"/>
      <c r="G3109" s="2243"/>
      <c r="H3109" s="2243"/>
      <c r="I3109" s="2243"/>
      <c r="J3109" s="2243"/>
    </row>
    <row r="3110" spans="1:15" ht="15" customHeight="1">
      <c r="A3110" s="2242" t="str">
        <f>$K$2</f>
        <v>THÁNG 09/2024</v>
      </c>
      <c r="B3110" s="2242"/>
      <c r="C3110" s="2242"/>
      <c r="D3110" s="2242"/>
      <c r="E3110" s="1050"/>
      <c r="F3110" s="1051"/>
      <c r="G3110" s="2242" t="str">
        <f>$K$2</f>
        <v>THÁNG 09/2024</v>
      </c>
      <c r="H3110" s="2242"/>
      <c r="I3110" s="2242"/>
      <c r="J3110" s="2242"/>
      <c r="K3110" s="624"/>
    </row>
    <row r="3111" spans="1:15" ht="15" customHeight="1">
      <c r="A3111" s="1052" t="s">
        <v>356</v>
      </c>
      <c r="B3111" s="1053" t="s">
        <v>288</v>
      </c>
      <c r="C3111" s="869"/>
      <c r="D3111" s="1049"/>
      <c r="E3111" s="1054"/>
      <c r="F3111" s="1055"/>
      <c r="G3111" s="1052" t="s">
        <v>356</v>
      </c>
      <c r="H3111" s="1053" t="s">
        <v>289</v>
      </c>
      <c r="I3111" s="869"/>
      <c r="J3111" s="1049"/>
      <c r="L3111" s="1088"/>
      <c r="M3111" s="1088"/>
      <c r="N3111" s="1088"/>
      <c r="O3111" s="1088"/>
    </row>
    <row r="3112" spans="1:15" ht="15" customHeight="1">
      <c r="A3112" s="1052" t="s">
        <v>359</v>
      </c>
      <c r="B3112" s="1089" t="s">
        <v>360</v>
      </c>
      <c r="C3112" s="1058" t="e">
        <f>VLOOKUP(B3111,'LƯƠNG KT'!$D$15:$U$94,3,0)</f>
        <v>#N/A</v>
      </c>
      <c r="D3112" s="1059" t="e">
        <f>+C3112*25000</f>
        <v>#N/A</v>
      </c>
      <c r="E3112" s="1060"/>
      <c r="F3112" s="1060"/>
      <c r="G3112" s="1052" t="s">
        <v>359</v>
      </c>
      <c r="H3112" s="1089" t="s">
        <v>360</v>
      </c>
      <c r="I3112" s="1058" t="e">
        <f>VLOOKUP(H3111,'LƯƠNG KT'!$D$15:$U$94,3,0)</f>
        <v>#N/A</v>
      </c>
      <c r="J3112" s="1059" t="e">
        <f>+I3112*25000</f>
        <v>#N/A</v>
      </c>
      <c r="K3112" s="1084"/>
      <c r="L3112" s="1085"/>
      <c r="M3112" s="1085"/>
      <c r="N3112" s="1085"/>
      <c r="O3112" s="1085"/>
    </row>
    <row r="3113" spans="1:15" ht="15" customHeight="1">
      <c r="A3113" s="1052" t="s">
        <v>361</v>
      </c>
      <c r="B3113" s="869" t="s">
        <v>362</v>
      </c>
      <c r="C3113" s="1058" t="e">
        <f>VLOOKUP(B3111,'LƯƠNG KT'!$D$15:$U$94,14,0)</f>
        <v>#N/A</v>
      </c>
      <c r="D3113" s="1059" t="e">
        <f>C3113*$L$4</f>
        <v>#N/A</v>
      </c>
      <c r="E3113" s="1061"/>
      <c r="F3113" s="1061"/>
      <c r="G3113" s="1052" t="s">
        <v>361</v>
      </c>
      <c r="H3113" s="869" t="s">
        <v>362</v>
      </c>
      <c r="I3113" s="1058" t="e">
        <f>VLOOKUP(H3111,'LƯƠNG KT'!$D$15:$U$94,14,0)</f>
        <v>#N/A</v>
      </c>
      <c r="J3113" s="1059" t="e">
        <f>I3113*$L$4</f>
        <v>#N/A</v>
      </c>
      <c r="K3113" s="1084"/>
      <c r="L3113" s="1085"/>
      <c r="M3113" s="1085"/>
      <c r="N3113" s="1085"/>
      <c r="O3113" s="1085"/>
    </row>
    <row r="3114" spans="1:15" ht="15" customHeight="1">
      <c r="A3114" s="1052" t="s">
        <v>364</v>
      </c>
      <c r="B3114" s="869" t="s">
        <v>365</v>
      </c>
      <c r="C3114" s="1058" t="e">
        <f>VLOOKUP(B3111,'LƯƠNG KT'!$D$15:$U$94,15,0)</f>
        <v>#N/A</v>
      </c>
      <c r="D3114" s="1059" t="e">
        <f>C3114*$L$5</f>
        <v>#N/A</v>
      </c>
      <c r="E3114" s="1061"/>
      <c r="F3114" s="1061"/>
      <c r="G3114" s="1052" t="s">
        <v>364</v>
      </c>
      <c r="H3114" s="869" t="s">
        <v>365</v>
      </c>
      <c r="I3114" s="1058" t="e">
        <f>VLOOKUP(H3111,'LƯƠNG KT'!$D$15:$U$94,15,0)</f>
        <v>#N/A</v>
      </c>
      <c r="J3114" s="1059" t="e">
        <f>I3114*$L$5</f>
        <v>#N/A</v>
      </c>
      <c r="K3114" s="1084"/>
      <c r="L3114" s="1085"/>
      <c r="M3114" s="1085"/>
      <c r="N3114" s="1085"/>
      <c r="O3114" s="1085"/>
    </row>
    <row r="3115" spans="1:15" ht="15" customHeight="1">
      <c r="A3115" s="1052" t="s">
        <v>367</v>
      </c>
      <c r="B3115" s="869"/>
      <c r="C3115" s="1058" t="e">
        <f>VLOOKUP(B3111,'LƯƠNG KT'!$D$15:$U$94,16,0)</f>
        <v>#N/A</v>
      </c>
      <c r="D3115" s="1059" t="e">
        <f>+C3115*$L$6</f>
        <v>#N/A</v>
      </c>
      <c r="E3115" s="1061"/>
      <c r="F3115" s="1061"/>
      <c r="G3115" s="1052" t="s">
        <v>367</v>
      </c>
      <c r="H3115" s="869"/>
      <c r="I3115" s="1058" t="e">
        <f>VLOOKUP(H3111,'LƯƠNG KT'!$D$15:$U$94,16,0)</f>
        <v>#N/A</v>
      </c>
      <c r="J3115" s="1059" t="e">
        <f>+I3115*$L$6</f>
        <v>#N/A</v>
      </c>
      <c r="K3115" s="1085"/>
      <c r="L3115" s="1085"/>
      <c r="M3115" s="1085"/>
      <c r="N3115" s="1085"/>
      <c r="O3115" s="1085"/>
    </row>
    <row r="3116" spans="1:15" ht="15" customHeight="1">
      <c r="A3116" s="1052" t="s">
        <v>515</v>
      </c>
      <c r="B3116" s="869"/>
      <c r="C3116" s="1058" t="e">
        <f>VLOOKUP(B3111,'LƯƠNG KT'!$D$15:$U$94,17,0)</f>
        <v>#N/A</v>
      </c>
      <c r="D3116" s="1059" t="e">
        <f>+C3116*$L$7</f>
        <v>#N/A</v>
      </c>
      <c r="E3116" s="1061"/>
      <c r="F3116" s="1061"/>
      <c r="G3116" s="1052" t="s">
        <v>515</v>
      </c>
      <c r="H3116" s="869"/>
      <c r="I3116" s="1058" t="e">
        <f>VLOOKUP(H3111,'LƯƠNG KT'!$D$15:$U$94,17,0)</f>
        <v>#N/A</v>
      </c>
      <c r="J3116" s="1059" t="e">
        <f>+I3116*$L$7</f>
        <v>#N/A</v>
      </c>
      <c r="K3116" s="1085"/>
      <c r="L3116" s="1085"/>
      <c r="M3116" s="1085"/>
      <c r="N3116" s="1085"/>
      <c r="O3116" s="1085"/>
    </row>
    <row r="3117" spans="1:15" ht="15" customHeight="1">
      <c r="A3117" s="1052" t="s">
        <v>371</v>
      </c>
      <c r="B3117" s="869" t="s">
        <v>372</v>
      </c>
      <c r="C3117" s="1058" t="e">
        <f>VLOOKUP(B3111,'LƯƠNG KT'!$D$15:$U$94,9,0)*$L$10</f>
        <v>#N/A</v>
      </c>
      <c r="D3117" s="1059" t="e">
        <f>+C3117*0.5*3000</f>
        <v>#N/A</v>
      </c>
      <c r="E3117" s="1061"/>
      <c r="F3117" s="1061"/>
      <c r="G3117" s="1052" t="s">
        <v>371</v>
      </c>
      <c r="H3117" s="869" t="s">
        <v>372</v>
      </c>
      <c r="I3117" s="1058" t="e">
        <f>VLOOKUP(H3111,'LƯƠNG KT'!$D$15:$U$94,9,0)*$L$10</f>
        <v>#N/A</v>
      </c>
      <c r="J3117" s="1059" t="e">
        <f>+I3117*0.5*3000</f>
        <v>#N/A</v>
      </c>
      <c r="K3117" s="1085"/>
      <c r="L3117" s="1085"/>
      <c r="M3117" s="1085"/>
      <c r="N3117" s="1085"/>
      <c r="O3117" s="1085"/>
    </row>
    <row r="3118" spans="1:15" ht="15" customHeight="1">
      <c r="A3118" s="1052" t="s">
        <v>374</v>
      </c>
      <c r="B3118" s="869" t="s">
        <v>375</v>
      </c>
      <c r="C3118" s="1058" t="e">
        <f>VLOOKUP(B3111,'LƯƠNG KT'!$D$15:$U$94,8,0)*$L$11</f>
        <v>#N/A</v>
      </c>
      <c r="D3118" s="1059" t="e">
        <f>VLOOKUP(B3111,'LƯƠNG KT'!$D$15:$U$94,13,0)-D3117</f>
        <v>#N/A</v>
      </c>
      <c r="E3118" s="1063"/>
      <c r="F3118" s="1061"/>
      <c r="G3118" s="1052" t="s">
        <v>374</v>
      </c>
      <c r="H3118" s="869" t="s">
        <v>375</v>
      </c>
      <c r="I3118" s="1058" t="e">
        <f>VLOOKUP(H3111,'LƯƠNG KT'!$D$15:$U$94,8,0)*$L$11</f>
        <v>#N/A</v>
      </c>
      <c r="J3118" s="1059" t="e">
        <f>VLOOKUP(H3111,'LƯƠNG KT'!$D$15:$U$94,13,0)-J3117</f>
        <v>#N/A</v>
      </c>
      <c r="K3118" s="1085"/>
      <c r="L3118" s="1085"/>
      <c r="M3118" s="1085"/>
      <c r="N3118" s="1085"/>
      <c r="O3118" s="1085"/>
    </row>
    <row r="3119" spans="1:15" ht="15" customHeight="1">
      <c r="A3119" s="1059" t="s">
        <v>377</v>
      </c>
      <c r="B3119" s="869" t="s">
        <v>378</v>
      </c>
      <c r="C3119" s="1058"/>
      <c r="D3119" s="1059"/>
      <c r="E3119" s="1065"/>
      <c r="F3119" s="1065"/>
      <c r="G3119" s="1059" t="s">
        <v>377</v>
      </c>
      <c r="H3119" s="869" t="s">
        <v>378</v>
      </c>
      <c r="I3119" s="1058"/>
      <c r="J3119" s="1059"/>
    </row>
    <row r="3120" spans="1:15" ht="15" customHeight="1">
      <c r="A3120" s="1066" t="s">
        <v>379</v>
      </c>
      <c r="B3120" s="869" t="s">
        <v>380</v>
      </c>
      <c r="C3120" s="1058"/>
      <c r="D3120" s="1059"/>
      <c r="E3120" s="1063"/>
      <c r="F3120" s="1065"/>
      <c r="G3120" s="1066" t="s">
        <v>379</v>
      </c>
      <c r="H3120" s="869" t="s">
        <v>380</v>
      </c>
      <c r="I3120" s="1058"/>
      <c r="J3120" s="1059"/>
    </row>
    <row r="3121" spans="1:15" ht="15" customHeight="1">
      <c r="A3121" s="1052" t="s">
        <v>381</v>
      </c>
      <c r="B3121" s="869" t="s">
        <v>382</v>
      </c>
      <c r="C3121" s="1058"/>
      <c r="D3121" s="1059">
        <f>D3120</f>
        <v>0</v>
      </c>
      <c r="E3121" s="1067"/>
      <c r="F3121" s="1051"/>
      <c r="G3121" s="1052" t="s">
        <v>381</v>
      </c>
      <c r="H3121" s="869" t="s">
        <v>382</v>
      </c>
      <c r="I3121" s="1058"/>
      <c r="J3121" s="1059">
        <f>J3120</f>
        <v>0</v>
      </c>
    </row>
    <row r="3122" spans="1:15" ht="15" customHeight="1">
      <c r="A3122" s="1068" t="s">
        <v>383</v>
      </c>
      <c r="B3122" s="1069" t="s">
        <v>384</v>
      </c>
      <c r="C3122" s="1070"/>
      <c r="D3122" s="1071" t="e">
        <f>SUM(D3112:D3118)-D3121</f>
        <v>#N/A</v>
      </c>
      <c r="E3122" s="1072"/>
      <c r="F3122" s="1073"/>
      <c r="G3122" s="1068" t="s">
        <v>383</v>
      </c>
      <c r="H3122" s="1069" t="s">
        <v>384</v>
      </c>
      <c r="I3122" s="1070"/>
      <c r="J3122" s="1071" t="e">
        <f>SUM(J3112:J3118)-J3121</f>
        <v>#N/A</v>
      </c>
    </row>
    <row r="3123" spans="1:15" ht="12.6" customHeight="1">
      <c r="A3123" s="1074"/>
      <c r="B3123" s="1075"/>
      <c r="C3123" s="1076"/>
      <c r="D3123" s="1077"/>
      <c r="E3123" s="1077"/>
      <c r="F3123" s="1078"/>
      <c r="G3123" s="1074"/>
      <c r="H3123" s="1075"/>
      <c r="I3123" s="1076"/>
      <c r="J3123" s="1077"/>
    </row>
    <row r="3124" spans="1:15" ht="12.6" customHeight="1">
      <c r="A3124" s="1075"/>
      <c r="B3124" s="1075"/>
      <c r="C3124" s="1079"/>
      <c r="D3124" s="1080"/>
      <c r="E3124" s="1075"/>
      <c r="F3124" s="1081"/>
      <c r="G3124" s="1075"/>
      <c r="H3124" s="1075"/>
      <c r="I3124" s="1079"/>
      <c r="J3124" s="1080"/>
    </row>
    <row r="3125" spans="1:15" ht="15" customHeight="1">
      <c r="A3125" s="2242" t="str">
        <f>$K$2</f>
        <v>THÁNG 09/2024</v>
      </c>
      <c r="B3125" s="2242"/>
      <c r="C3125" s="2242"/>
      <c r="D3125" s="2242"/>
      <c r="E3125" s="1050"/>
      <c r="F3125" s="1051"/>
      <c r="G3125" s="2242" t="str">
        <f>$K$2</f>
        <v>THÁNG 09/2024</v>
      </c>
      <c r="H3125" s="2242"/>
      <c r="I3125" s="2242"/>
      <c r="J3125" s="2242"/>
      <c r="K3125" s="624"/>
    </row>
    <row r="3126" spans="1:15" ht="15" customHeight="1">
      <c r="A3126" s="1052" t="s">
        <v>356</v>
      </c>
      <c r="B3126" s="1053" t="s">
        <v>517</v>
      </c>
      <c r="C3126" s="869"/>
      <c r="D3126" s="1049"/>
      <c r="E3126" s="1054"/>
      <c r="F3126" s="1055"/>
      <c r="G3126" s="1052" t="s">
        <v>356</v>
      </c>
      <c r="H3126" s="1053" t="s">
        <v>291</v>
      </c>
      <c r="I3126" s="869"/>
      <c r="J3126" s="1049"/>
      <c r="L3126" s="1088"/>
      <c r="M3126" s="1088"/>
      <c r="N3126" s="1088"/>
      <c r="O3126" s="1088"/>
    </row>
    <row r="3127" spans="1:15" ht="15" customHeight="1">
      <c r="A3127" s="1052" t="s">
        <v>359</v>
      </c>
      <c r="B3127" s="1089" t="s">
        <v>360</v>
      </c>
      <c r="C3127" s="1058" t="e">
        <f>VLOOKUP(B3126,'LƯƠNG KT'!$D$15:$U$94,3,0)</f>
        <v>#N/A</v>
      </c>
      <c r="D3127" s="1059" t="e">
        <f>+C3127*25000</f>
        <v>#N/A</v>
      </c>
      <c r="E3127" s="1060"/>
      <c r="F3127" s="1060"/>
      <c r="G3127" s="1052" t="s">
        <v>359</v>
      </c>
      <c r="H3127" s="1089" t="s">
        <v>360</v>
      </c>
      <c r="I3127" s="1058" t="e">
        <f>VLOOKUP(H3126,'LƯƠNG KT'!$D$15:$U$94,3,0)</f>
        <v>#N/A</v>
      </c>
      <c r="J3127" s="1059" t="e">
        <f>+I3127*25000</f>
        <v>#N/A</v>
      </c>
      <c r="K3127" s="1085"/>
      <c r="L3127" s="1085"/>
      <c r="M3127" s="1085"/>
      <c r="N3127" s="1085"/>
      <c r="O3127" s="1085"/>
    </row>
    <row r="3128" spans="1:15" ht="15" customHeight="1">
      <c r="A3128" s="1052" t="s">
        <v>361</v>
      </c>
      <c r="B3128" s="869" t="s">
        <v>362</v>
      </c>
      <c r="C3128" s="1058" t="e">
        <f>VLOOKUP(B3126,'LƯƠNG KT'!$D$15:$U$94,14,0)</f>
        <v>#N/A</v>
      </c>
      <c r="D3128" s="1059" t="e">
        <f>C3128*$L$4</f>
        <v>#N/A</v>
      </c>
      <c r="E3128" s="1061"/>
      <c r="F3128" s="1061"/>
      <c r="G3128" s="1052" t="s">
        <v>361</v>
      </c>
      <c r="H3128" s="869" t="s">
        <v>362</v>
      </c>
      <c r="I3128" s="1058" t="e">
        <f>VLOOKUP(H3126,'LƯƠNG KT'!$D$15:$U$94,14,0)</f>
        <v>#N/A</v>
      </c>
      <c r="J3128" s="1059" t="e">
        <f>I3128*$L$4</f>
        <v>#N/A</v>
      </c>
      <c r="K3128" s="1085"/>
      <c r="L3128" s="1085"/>
      <c r="M3128" s="1085"/>
      <c r="N3128" s="1085"/>
      <c r="O3128" s="1085"/>
    </row>
    <row r="3129" spans="1:15" ht="15" customHeight="1">
      <c r="A3129" s="1052" t="s">
        <v>364</v>
      </c>
      <c r="B3129" s="869" t="s">
        <v>365</v>
      </c>
      <c r="C3129" s="1058" t="e">
        <f>VLOOKUP(B3126,'LƯƠNG KT'!$D$15:$U$94,15,0)</f>
        <v>#N/A</v>
      </c>
      <c r="D3129" s="1059" t="e">
        <f>C3129*$L$5</f>
        <v>#N/A</v>
      </c>
      <c r="E3129" s="1061"/>
      <c r="F3129" s="1061"/>
      <c r="G3129" s="1052" t="s">
        <v>364</v>
      </c>
      <c r="H3129" s="869" t="s">
        <v>365</v>
      </c>
      <c r="I3129" s="1058" t="e">
        <f>VLOOKUP(H3126,'LƯƠNG KT'!$D$15:$U$94,15,0)</f>
        <v>#N/A</v>
      </c>
      <c r="J3129" s="1059" t="e">
        <f>I3129*$L$5</f>
        <v>#N/A</v>
      </c>
      <c r="K3129" s="1085"/>
      <c r="L3129" s="1085"/>
      <c r="M3129" s="1085"/>
      <c r="N3129" s="1085"/>
      <c r="O3129" s="1085"/>
    </row>
    <row r="3130" spans="1:15" ht="15" customHeight="1">
      <c r="A3130" s="1052" t="s">
        <v>367</v>
      </c>
      <c r="B3130" s="869"/>
      <c r="C3130" s="1058" t="e">
        <f>VLOOKUP(B3126,'LƯƠNG KT'!$D$15:$U$94,16,0)</f>
        <v>#N/A</v>
      </c>
      <c r="D3130" s="1059" t="e">
        <f>+C3130*$L$6</f>
        <v>#N/A</v>
      </c>
      <c r="E3130" s="1061"/>
      <c r="F3130" s="1061"/>
      <c r="G3130" s="1052" t="s">
        <v>367</v>
      </c>
      <c r="H3130" s="869"/>
      <c r="I3130" s="1058" t="e">
        <f>VLOOKUP(H3126,'LƯƠNG KT'!$D$15:$U$94,16,0)</f>
        <v>#N/A</v>
      </c>
      <c r="J3130" s="1059" t="e">
        <f>+I3130*$L$6</f>
        <v>#N/A</v>
      </c>
      <c r="K3130" s="1085"/>
      <c r="L3130" s="1085"/>
      <c r="M3130" s="1085"/>
      <c r="N3130" s="1085"/>
      <c r="O3130" s="1085"/>
    </row>
    <row r="3131" spans="1:15" ht="15" customHeight="1">
      <c r="A3131" s="1052" t="s">
        <v>515</v>
      </c>
      <c r="B3131" s="869"/>
      <c r="C3131" s="1058" t="e">
        <f>VLOOKUP(B3126,'LƯƠNG KT'!$D$15:$U$94,17,0)</f>
        <v>#N/A</v>
      </c>
      <c r="D3131" s="1059" t="e">
        <f>+C3131*$L$7</f>
        <v>#N/A</v>
      </c>
      <c r="E3131" s="1061"/>
      <c r="F3131" s="1061"/>
      <c r="G3131" s="1052" t="s">
        <v>515</v>
      </c>
      <c r="H3131" s="869"/>
      <c r="I3131" s="1058" t="e">
        <f>VLOOKUP(H3126,'LƯƠNG KT'!$D$15:$U$94,17,0)</f>
        <v>#N/A</v>
      </c>
      <c r="J3131" s="1059" t="e">
        <f>+I3131*$L$7</f>
        <v>#N/A</v>
      </c>
      <c r="K3131" s="1085"/>
      <c r="L3131" s="1085"/>
      <c r="M3131" s="1085"/>
      <c r="N3131" s="1085"/>
      <c r="O3131" s="1085"/>
    </row>
    <row r="3132" spans="1:15" ht="15" customHeight="1">
      <c r="A3132" s="1052" t="s">
        <v>371</v>
      </c>
      <c r="B3132" s="869" t="s">
        <v>372</v>
      </c>
      <c r="C3132" s="1058" t="e">
        <f>VLOOKUP(B3126,'LƯƠNG KT'!$D$15:$U$94,9,0)*$L$10</f>
        <v>#N/A</v>
      </c>
      <c r="D3132" s="1059" t="e">
        <f>+C3132*0.5*3000</f>
        <v>#N/A</v>
      </c>
      <c r="E3132" s="1061"/>
      <c r="F3132" s="1061"/>
      <c r="G3132" s="1052" t="s">
        <v>371</v>
      </c>
      <c r="H3132" s="869" t="s">
        <v>372</v>
      </c>
      <c r="I3132" s="1058" t="e">
        <f>VLOOKUP(H3126,'LƯƠNG KT'!$D$15:$U$94,9,0)*$L$10</f>
        <v>#N/A</v>
      </c>
      <c r="J3132" s="1059" t="e">
        <f>+I3132*0.5*3000</f>
        <v>#N/A</v>
      </c>
      <c r="K3132" s="1085"/>
      <c r="L3132" s="1085"/>
      <c r="M3132" s="1085"/>
      <c r="N3132" s="1085"/>
      <c r="O3132" s="1085"/>
    </row>
    <row r="3133" spans="1:15" ht="15" customHeight="1">
      <c r="A3133" s="1052" t="s">
        <v>374</v>
      </c>
      <c r="B3133" s="869" t="s">
        <v>375</v>
      </c>
      <c r="C3133" s="1058" t="e">
        <f>VLOOKUP(B3126,'LƯƠNG KT'!$D$15:$U$94,8,0)*$L$11</f>
        <v>#N/A</v>
      </c>
      <c r="D3133" s="1059" t="e">
        <f>VLOOKUP(B3126,'LƯƠNG KT'!$D$15:$U$94,13,0)-D3132</f>
        <v>#N/A</v>
      </c>
      <c r="E3133" s="1063"/>
      <c r="F3133" s="1061"/>
      <c r="G3133" s="1052" t="s">
        <v>374</v>
      </c>
      <c r="H3133" s="869" t="s">
        <v>375</v>
      </c>
      <c r="I3133" s="1058" t="e">
        <f>VLOOKUP(H3126,'LƯƠNG KT'!$D$15:$U$94,8,0)*$L$11</f>
        <v>#N/A</v>
      </c>
      <c r="J3133" s="1059" t="e">
        <f>VLOOKUP(H3126,'LƯƠNG KT'!$D$15:$U$94,13,0)-J3132</f>
        <v>#N/A</v>
      </c>
      <c r="K3133" s="1085"/>
      <c r="L3133" s="1085"/>
      <c r="M3133" s="1085"/>
      <c r="N3133" s="1085"/>
      <c r="O3133" s="1085"/>
    </row>
    <row r="3134" spans="1:15" ht="15" customHeight="1">
      <c r="A3134" s="1059" t="s">
        <v>377</v>
      </c>
      <c r="B3134" s="869" t="s">
        <v>378</v>
      </c>
      <c r="C3134" s="1058"/>
      <c r="D3134" s="1059"/>
      <c r="E3134" s="1065"/>
      <c r="F3134" s="1065"/>
      <c r="G3134" s="1059" t="s">
        <v>377</v>
      </c>
      <c r="H3134" s="869" t="s">
        <v>378</v>
      </c>
      <c r="I3134" s="1058"/>
      <c r="J3134" s="1059"/>
    </row>
    <row r="3135" spans="1:15" ht="15" customHeight="1">
      <c r="A3135" s="1066" t="s">
        <v>379</v>
      </c>
      <c r="B3135" s="869" t="s">
        <v>380</v>
      </c>
      <c r="C3135" s="1058"/>
      <c r="D3135" s="1059"/>
      <c r="E3135" s="1063"/>
      <c r="F3135" s="1065"/>
      <c r="G3135" s="1066" t="s">
        <v>379</v>
      </c>
      <c r="H3135" s="869" t="s">
        <v>380</v>
      </c>
      <c r="I3135" s="1058"/>
      <c r="J3135" s="1059"/>
    </row>
    <row r="3136" spans="1:15" ht="15" customHeight="1">
      <c r="A3136" s="1052" t="s">
        <v>381</v>
      </c>
      <c r="B3136" s="869" t="s">
        <v>382</v>
      </c>
      <c r="C3136" s="1058"/>
      <c r="D3136" s="1059">
        <f>D3135</f>
        <v>0</v>
      </c>
      <c r="E3136" s="1067"/>
      <c r="F3136" s="1051"/>
      <c r="G3136" s="1052" t="s">
        <v>381</v>
      </c>
      <c r="H3136" s="869" t="s">
        <v>382</v>
      </c>
      <c r="I3136" s="1058"/>
      <c r="J3136" s="1059">
        <f>J3135</f>
        <v>0</v>
      </c>
    </row>
    <row r="3137" spans="1:15" ht="15" customHeight="1">
      <c r="A3137" s="1068" t="s">
        <v>383</v>
      </c>
      <c r="B3137" s="1069" t="s">
        <v>384</v>
      </c>
      <c r="C3137" s="1070"/>
      <c r="D3137" s="1071" t="e">
        <f>SUM(D3127:D3133)-D3136</f>
        <v>#N/A</v>
      </c>
      <c r="E3137" s="1072"/>
      <c r="F3137" s="1073"/>
      <c r="G3137" s="1068" t="s">
        <v>383</v>
      </c>
      <c r="H3137" s="1069" t="s">
        <v>384</v>
      </c>
      <c r="I3137" s="1070"/>
      <c r="J3137" s="1071" t="e">
        <f>SUM(J3127:J3133)-J3136</f>
        <v>#N/A</v>
      </c>
    </row>
    <row r="3138" spans="1:15" ht="13.5" customHeight="1">
      <c r="A3138" s="1074"/>
      <c r="B3138" s="1075"/>
      <c r="C3138" s="1076"/>
      <c r="D3138" s="1077"/>
      <c r="E3138" s="1077"/>
      <c r="F3138" s="1078"/>
      <c r="G3138" s="1074"/>
      <c r="H3138" s="1075"/>
      <c r="I3138" s="1076"/>
      <c r="J3138" s="1077"/>
    </row>
    <row r="3139" spans="1:15" ht="13.5" customHeight="1">
      <c r="A3139" s="1075"/>
      <c r="B3139" s="1075"/>
      <c r="C3139" s="1079"/>
      <c r="D3139" s="1080"/>
      <c r="E3139" s="1075"/>
      <c r="F3139" s="1081"/>
      <c r="G3139" s="1075"/>
      <c r="H3139" s="1075"/>
      <c r="I3139" s="1079"/>
      <c r="J3139" s="1080"/>
    </row>
    <row r="3140" spans="1:15" ht="15" customHeight="1">
      <c r="A3140" s="2242" t="str">
        <f>$K$2</f>
        <v>THÁNG 09/2024</v>
      </c>
      <c r="B3140" s="2242"/>
      <c r="C3140" s="2242"/>
      <c r="D3140" s="2242"/>
      <c r="E3140" s="1050"/>
      <c r="F3140" s="1051"/>
      <c r="G3140" s="2242" t="str">
        <f>$K$2</f>
        <v>THÁNG 09/2024</v>
      </c>
      <c r="H3140" s="2242"/>
      <c r="I3140" s="2242"/>
      <c r="J3140" s="2242"/>
      <c r="K3140" s="624"/>
    </row>
    <row r="3141" spans="1:15" ht="15" customHeight="1">
      <c r="A3141" s="1052" t="s">
        <v>356</v>
      </c>
      <c r="B3141" s="1053" t="s">
        <v>292</v>
      </c>
      <c r="C3141" s="869"/>
      <c r="D3141" s="1049"/>
      <c r="E3141" s="1054"/>
      <c r="F3141" s="1055"/>
      <c r="G3141" s="1052" t="s">
        <v>356</v>
      </c>
      <c r="H3141" s="1053" t="s">
        <v>293</v>
      </c>
      <c r="I3141" s="869"/>
      <c r="J3141" s="1049"/>
      <c r="L3141" s="1088"/>
      <c r="M3141" s="1088"/>
      <c r="N3141" s="1088"/>
      <c r="O3141" s="1088"/>
    </row>
    <row r="3142" spans="1:15" ht="15" customHeight="1">
      <c r="A3142" s="1052" t="s">
        <v>359</v>
      </c>
      <c r="B3142" s="1089" t="s">
        <v>360</v>
      </c>
      <c r="C3142" s="1058" t="e">
        <f>VLOOKUP(B3141,'LƯƠNG KT'!$D$15:$U$94,3,0)</f>
        <v>#N/A</v>
      </c>
      <c r="D3142" s="1059" t="e">
        <f>+C3142*25000</f>
        <v>#N/A</v>
      </c>
      <c r="E3142" s="1060"/>
      <c r="F3142" s="1060"/>
      <c r="G3142" s="1052" t="s">
        <v>359</v>
      </c>
      <c r="H3142" s="1089" t="s">
        <v>360</v>
      </c>
      <c r="I3142" s="1058" t="e">
        <f>VLOOKUP(H3141,'LƯƠNG KT'!$D$15:$U$94,3,0)</f>
        <v>#N/A</v>
      </c>
      <c r="J3142" s="1059" t="e">
        <f>+I3142*25000</f>
        <v>#N/A</v>
      </c>
      <c r="K3142" s="1085"/>
      <c r="L3142" s="1085"/>
      <c r="M3142" s="1085"/>
      <c r="N3142" s="1085"/>
      <c r="O3142" s="1085"/>
    </row>
    <row r="3143" spans="1:15" ht="15" customHeight="1">
      <c r="A3143" s="1052" t="s">
        <v>361</v>
      </c>
      <c r="B3143" s="869" t="s">
        <v>362</v>
      </c>
      <c r="C3143" s="1058" t="e">
        <f>VLOOKUP(B3141,'LƯƠNG KT'!$D$15:$U$94,14,0)</f>
        <v>#N/A</v>
      </c>
      <c r="D3143" s="1059" t="e">
        <f>C3143*$L$4</f>
        <v>#N/A</v>
      </c>
      <c r="E3143" s="1061"/>
      <c r="F3143" s="1061"/>
      <c r="G3143" s="1052" t="s">
        <v>361</v>
      </c>
      <c r="H3143" s="869" t="s">
        <v>362</v>
      </c>
      <c r="I3143" s="1058" t="e">
        <f>VLOOKUP(H3141,'LƯƠNG KT'!$D$15:$U$94,14,0)</f>
        <v>#N/A</v>
      </c>
      <c r="J3143" s="1059" t="e">
        <f>I3143*$L$4</f>
        <v>#N/A</v>
      </c>
      <c r="K3143" s="1085"/>
      <c r="L3143" s="1085"/>
      <c r="M3143" s="1085"/>
      <c r="N3143" s="1085"/>
      <c r="O3143" s="1085"/>
    </row>
    <row r="3144" spans="1:15" ht="15" customHeight="1">
      <c r="A3144" s="1052" t="s">
        <v>364</v>
      </c>
      <c r="B3144" s="869" t="s">
        <v>365</v>
      </c>
      <c r="C3144" s="1058" t="e">
        <f>VLOOKUP(B3141,'LƯƠNG KT'!$D$15:$U$94,15,0)</f>
        <v>#N/A</v>
      </c>
      <c r="D3144" s="1059" t="e">
        <f>C3144*$L$5</f>
        <v>#N/A</v>
      </c>
      <c r="E3144" s="1061"/>
      <c r="F3144" s="1061"/>
      <c r="G3144" s="1052" t="s">
        <v>364</v>
      </c>
      <c r="H3144" s="869" t="s">
        <v>365</v>
      </c>
      <c r="I3144" s="1058" t="e">
        <f>VLOOKUP(H3141,'LƯƠNG KT'!$D$15:$U$94,15,0)</f>
        <v>#N/A</v>
      </c>
      <c r="J3144" s="1059" t="e">
        <f>I3144*$L$5</f>
        <v>#N/A</v>
      </c>
      <c r="K3144" s="1085"/>
      <c r="L3144" s="1085"/>
      <c r="M3144" s="1085"/>
      <c r="N3144" s="1085"/>
      <c r="O3144" s="1085"/>
    </row>
    <row r="3145" spans="1:15" ht="15" customHeight="1">
      <c r="A3145" s="1052" t="s">
        <v>367</v>
      </c>
      <c r="B3145" s="869"/>
      <c r="C3145" s="1058" t="e">
        <f>VLOOKUP(B3141,'LƯƠNG KT'!$D$15:$U$94,16,0)</f>
        <v>#N/A</v>
      </c>
      <c r="D3145" s="1059" t="e">
        <f>+C3145*$L$6</f>
        <v>#N/A</v>
      </c>
      <c r="E3145" s="1061"/>
      <c r="F3145" s="1061"/>
      <c r="G3145" s="1052" t="s">
        <v>367</v>
      </c>
      <c r="H3145" s="869"/>
      <c r="I3145" s="1058" t="e">
        <f>VLOOKUP(H3141,'LƯƠNG KT'!$D$15:$U$94,16,0)</f>
        <v>#N/A</v>
      </c>
      <c r="J3145" s="1059" t="e">
        <f>+I3145*$L$6</f>
        <v>#N/A</v>
      </c>
      <c r="K3145" s="1085"/>
      <c r="L3145" s="1085"/>
      <c r="M3145" s="1085"/>
      <c r="N3145" s="1085"/>
      <c r="O3145" s="1085"/>
    </row>
    <row r="3146" spans="1:15" ht="15" customHeight="1">
      <c r="A3146" s="1052" t="s">
        <v>515</v>
      </c>
      <c r="B3146" s="869"/>
      <c r="C3146" s="1058" t="e">
        <f>VLOOKUP(B3141,'LƯƠNG KT'!$D$15:$U$94,17,0)</f>
        <v>#N/A</v>
      </c>
      <c r="D3146" s="1059" t="e">
        <f>+C3146*$L$7</f>
        <v>#N/A</v>
      </c>
      <c r="E3146" s="1061"/>
      <c r="F3146" s="1061"/>
      <c r="G3146" s="1052" t="s">
        <v>515</v>
      </c>
      <c r="H3146" s="869"/>
      <c r="I3146" s="1058" t="e">
        <f>VLOOKUP(H3141,'LƯƠNG KT'!$D$15:$U$94,17,0)</f>
        <v>#N/A</v>
      </c>
      <c r="J3146" s="1059" t="e">
        <f>+I3146*$L$7</f>
        <v>#N/A</v>
      </c>
      <c r="K3146" s="1085"/>
      <c r="L3146" s="1085"/>
      <c r="M3146" s="1085"/>
      <c r="N3146" s="1085"/>
      <c r="O3146" s="1085"/>
    </row>
    <row r="3147" spans="1:15" ht="15" customHeight="1">
      <c r="A3147" s="1052" t="s">
        <v>371</v>
      </c>
      <c r="B3147" s="869" t="s">
        <v>372</v>
      </c>
      <c r="C3147" s="1058" t="e">
        <f>VLOOKUP(B3141,'LƯƠNG KT'!$D$15:$U$94,9,0)*$L$10</f>
        <v>#N/A</v>
      </c>
      <c r="D3147" s="1059" t="e">
        <f>+C3147*0.5*3000</f>
        <v>#N/A</v>
      </c>
      <c r="E3147" s="1061"/>
      <c r="F3147" s="1061"/>
      <c r="G3147" s="1052" t="s">
        <v>371</v>
      </c>
      <c r="H3147" s="869" t="s">
        <v>372</v>
      </c>
      <c r="I3147" s="1058" t="e">
        <f>VLOOKUP(H3141,'LƯƠNG KT'!$D$15:$U$94,9,0)*$L$10</f>
        <v>#N/A</v>
      </c>
      <c r="J3147" s="1059" t="e">
        <f>+I3147*0.5*3000</f>
        <v>#N/A</v>
      </c>
      <c r="K3147" s="1085"/>
      <c r="L3147" s="1085"/>
      <c r="M3147" s="1085"/>
      <c r="N3147" s="1085"/>
      <c r="O3147" s="1085"/>
    </row>
    <row r="3148" spans="1:15" ht="15" customHeight="1">
      <c r="A3148" s="1052" t="s">
        <v>374</v>
      </c>
      <c r="B3148" s="869" t="s">
        <v>375</v>
      </c>
      <c r="C3148" s="1058" t="e">
        <f>VLOOKUP(B3141,'LƯƠNG KT'!$D$15:$U$94,8,0)*$L$11</f>
        <v>#N/A</v>
      </c>
      <c r="D3148" s="1059" t="e">
        <f>VLOOKUP(B3141,'LƯƠNG KT'!$D$15:$U$94,13,0)-D3147</f>
        <v>#N/A</v>
      </c>
      <c r="E3148" s="1063"/>
      <c r="F3148" s="1061"/>
      <c r="G3148" s="1052" t="s">
        <v>374</v>
      </c>
      <c r="H3148" s="869" t="s">
        <v>375</v>
      </c>
      <c r="I3148" s="1058" t="e">
        <f>VLOOKUP(H3141,'LƯƠNG KT'!$D$15:$U$94,8,0)*$L$11</f>
        <v>#N/A</v>
      </c>
      <c r="J3148" s="1059" t="e">
        <f>VLOOKUP(H3141,'LƯƠNG KT'!$D$15:$U$94,13,0)-J3147</f>
        <v>#N/A</v>
      </c>
      <c r="K3148" s="1085"/>
      <c r="L3148" s="1085"/>
      <c r="M3148" s="1085"/>
      <c r="N3148" s="1085"/>
      <c r="O3148" s="1085"/>
    </row>
    <row r="3149" spans="1:15" ht="15" customHeight="1">
      <c r="A3149" s="1059" t="s">
        <v>377</v>
      </c>
      <c r="B3149" s="869" t="s">
        <v>378</v>
      </c>
      <c r="C3149" s="1058"/>
      <c r="D3149" s="1059"/>
      <c r="E3149" s="1065"/>
      <c r="F3149" s="1065"/>
      <c r="G3149" s="1059" t="s">
        <v>377</v>
      </c>
      <c r="H3149" s="869" t="s">
        <v>378</v>
      </c>
      <c r="I3149" s="1058"/>
      <c r="J3149" s="1059"/>
    </row>
    <row r="3150" spans="1:15" ht="15" customHeight="1">
      <c r="A3150" s="1066" t="s">
        <v>379</v>
      </c>
      <c r="B3150" s="869" t="s">
        <v>380</v>
      </c>
      <c r="C3150" s="1058"/>
      <c r="D3150" s="1059"/>
      <c r="E3150" s="1063"/>
      <c r="F3150" s="1065"/>
      <c r="G3150" s="1066" t="s">
        <v>379</v>
      </c>
      <c r="H3150" s="869" t="s">
        <v>380</v>
      </c>
      <c r="I3150" s="1058"/>
      <c r="J3150" s="1059"/>
    </row>
    <row r="3151" spans="1:15" ht="15" customHeight="1">
      <c r="A3151" s="1052" t="s">
        <v>381</v>
      </c>
      <c r="B3151" s="869" t="s">
        <v>382</v>
      </c>
      <c r="C3151" s="1058"/>
      <c r="D3151" s="1059">
        <f>D3150</f>
        <v>0</v>
      </c>
      <c r="E3151" s="1067"/>
      <c r="F3151" s="1051"/>
      <c r="G3151" s="1052" t="s">
        <v>381</v>
      </c>
      <c r="H3151" s="869" t="s">
        <v>382</v>
      </c>
      <c r="I3151" s="1058"/>
      <c r="J3151" s="1059">
        <f>J3150</f>
        <v>0</v>
      </c>
    </row>
    <row r="3152" spans="1:15" ht="15" customHeight="1">
      <c r="A3152" s="1068" t="s">
        <v>383</v>
      </c>
      <c r="B3152" s="1069" t="s">
        <v>384</v>
      </c>
      <c r="C3152" s="1070"/>
      <c r="D3152" s="1071" t="e">
        <f>SUM(D3142:D3148)-D3151</f>
        <v>#N/A</v>
      </c>
      <c r="E3152" s="1072"/>
      <c r="F3152" s="1073"/>
      <c r="G3152" s="1068" t="s">
        <v>383</v>
      </c>
      <c r="H3152" s="1069" t="s">
        <v>384</v>
      </c>
      <c r="I3152" s="1070"/>
      <c r="J3152" s="1071" t="e">
        <f>SUM(J3142:J3148)-J3151</f>
        <v>#N/A</v>
      </c>
    </row>
    <row r="3153" spans="1:15" ht="11.25" customHeight="1">
      <c r="A3153" s="1074"/>
      <c r="B3153" s="1075"/>
      <c r="C3153" s="1076"/>
      <c r="D3153" s="1077"/>
      <c r="E3153" s="1077"/>
      <c r="F3153" s="1078"/>
      <c r="G3153" s="1074"/>
      <c r="H3153" s="1075"/>
      <c r="I3153" s="1076"/>
      <c r="J3153" s="1077"/>
    </row>
    <row r="3154" spans="1:15" ht="11.25" customHeight="1">
      <c r="A3154" s="1075"/>
      <c r="B3154" s="1075"/>
      <c r="C3154" s="1079"/>
      <c r="D3154" s="1080"/>
      <c r="E3154" s="1075"/>
      <c r="F3154" s="1081"/>
      <c r="G3154" s="1075"/>
      <c r="H3154" s="1075"/>
      <c r="I3154" s="1079"/>
      <c r="J3154" s="1080"/>
    </row>
    <row r="3155" spans="1:15" ht="15" customHeight="1">
      <c r="A3155" s="2242" t="str">
        <f>$K$2</f>
        <v>THÁNG 09/2024</v>
      </c>
      <c r="B3155" s="2242"/>
      <c r="C3155" s="2242"/>
      <c r="D3155" s="2242"/>
      <c r="E3155" s="1050"/>
      <c r="F3155" s="1051"/>
      <c r="G3155" s="2242" t="str">
        <f>$K$2</f>
        <v>THÁNG 09/2024</v>
      </c>
      <c r="H3155" s="2242"/>
      <c r="I3155" s="2242"/>
      <c r="J3155" s="2242"/>
      <c r="K3155" s="624"/>
    </row>
    <row r="3156" spans="1:15" ht="15" customHeight="1">
      <c r="A3156" s="1052" t="s">
        <v>356</v>
      </c>
      <c r="B3156" s="1053" t="s">
        <v>294</v>
      </c>
      <c r="C3156" s="869"/>
      <c r="D3156" s="1049"/>
      <c r="E3156" s="1054"/>
      <c r="F3156" s="1055"/>
      <c r="G3156" s="1052" t="s">
        <v>356</v>
      </c>
      <c r="H3156" s="1053" t="s">
        <v>295</v>
      </c>
      <c r="I3156" s="869"/>
      <c r="J3156" s="1049"/>
      <c r="L3156" s="1088"/>
      <c r="M3156" s="1088"/>
      <c r="N3156" s="1088"/>
      <c r="O3156" s="1088"/>
    </row>
    <row r="3157" spans="1:15" ht="15" customHeight="1">
      <c r="A3157" s="1052" t="s">
        <v>359</v>
      </c>
      <c r="B3157" s="1089" t="s">
        <v>360</v>
      </c>
      <c r="C3157" s="1058" t="e">
        <f>VLOOKUP(B3156,'LƯƠNG KT'!$D$15:$U$94,3,0)</f>
        <v>#N/A</v>
      </c>
      <c r="D3157" s="1059" t="e">
        <f>+C3157*25000</f>
        <v>#N/A</v>
      </c>
      <c r="E3157" s="1060"/>
      <c r="F3157" s="1060"/>
      <c r="G3157" s="1052" t="s">
        <v>359</v>
      </c>
      <c r="H3157" s="1089" t="s">
        <v>360</v>
      </c>
      <c r="I3157" s="1058" t="e">
        <f>VLOOKUP(H3156,'LƯƠNG KT'!$D$15:$U$94,3,0)</f>
        <v>#N/A</v>
      </c>
      <c r="J3157" s="1059" t="e">
        <f>+I3157*25000</f>
        <v>#N/A</v>
      </c>
      <c r="K3157" s="1085"/>
      <c r="L3157" s="1085"/>
      <c r="M3157" s="1085"/>
      <c r="N3157" s="1085"/>
      <c r="O3157" s="1085"/>
    </row>
    <row r="3158" spans="1:15" ht="15" customHeight="1">
      <c r="A3158" s="1052" t="s">
        <v>361</v>
      </c>
      <c r="B3158" s="869" t="s">
        <v>362</v>
      </c>
      <c r="C3158" s="1058" t="e">
        <f>VLOOKUP(B3156,'LƯƠNG KT'!$D$15:$U$94,14,0)</f>
        <v>#N/A</v>
      </c>
      <c r="D3158" s="1059" t="e">
        <f>C3158*$L$4</f>
        <v>#N/A</v>
      </c>
      <c r="E3158" s="1061"/>
      <c r="F3158" s="1061"/>
      <c r="G3158" s="1052" t="s">
        <v>361</v>
      </c>
      <c r="H3158" s="869" t="s">
        <v>362</v>
      </c>
      <c r="I3158" s="1058" t="e">
        <f>VLOOKUP(H3156,'LƯƠNG KT'!$D$15:$U$94,14,0)</f>
        <v>#N/A</v>
      </c>
      <c r="J3158" s="1059" t="e">
        <f>I3158*$L$4</f>
        <v>#N/A</v>
      </c>
      <c r="K3158" s="1085"/>
      <c r="L3158" s="1085"/>
      <c r="M3158" s="1085"/>
      <c r="N3158" s="1085"/>
      <c r="O3158" s="1085"/>
    </row>
    <row r="3159" spans="1:15" ht="15" customHeight="1">
      <c r="A3159" s="1052" t="s">
        <v>364</v>
      </c>
      <c r="B3159" s="869" t="s">
        <v>365</v>
      </c>
      <c r="C3159" s="1058" t="e">
        <f>VLOOKUP(B3156,'LƯƠNG KT'!$D$15:$U$94,15,0)</f>
        <v>#N/A</v>
      </c>
      <c r="D3159" s="1059" t="e">
        <f>C3159*$L$5</f>
        <v>#N/A</v>
      </c>
      <c r="E3159" s="1061"/>
      <c r="F3159" s="1061"/>
      <c r="G3159" s="1052" t="s">
        <v>364</v>
      </c>
      <c r="H3159" s="869" t="s">
        <v>365</v>
      </c>
      <c r="I3159" s="1058" t="e">
        <f>VLOOKUP(H3156,'LƯƠNG KT'!$D$15:$U$94,15,0)</f>
        <v>#N/A</v>
      </c>
      <c r="J3159" s="1059" t="e">
        <f>I3159*$L$5</f>
        <v>#N/A</v>
      </c>
      <c r="K3159" s="1085"/>
      <c r="L3159" s="1085"/>
      <c r="M3159" s="1085"/>
      <c r="N3159" s="1085"/>
      <c r="O3159" s="1085"/>
    </row>
    <row r="3160" spans="1:15" ht="15" customHeight="1">
      <c r="A3160" s="1052" t="s">
        <v>367</v>
      </c>
      <c r="B3160" s="869"/>
      <c r="C3160" s="1058" t="e">
        <f>VLOOKUP(B3156,'LƯƠNG KT'!$D$15:$U$94,16,0)</f>
        <v>#N/A</v>
      </c>
      <c r="D3160" s="1059" t="e">
        <f>+C3160*$L$6</f>
        <v>#N/A</v>
      </c>
      <c r="E3160" s="1061"/>
      <c r="F3160" s="1061"/>
      <c r="G3160" s="1052" t="s">
        <v>367</v>
      </c>
      <c r="H3160" s="869"/>
      <c r="I3160" s="1058" t="e">
        <f>VLOOKUP(H3156,'LƯƠNG KT'!$D$15:$U$94,16,0)</f>
        <v>#N/A</v>
      </c>
      <c r="J3160" s="1059" t="e">
        <f>+I3160*$L$6</f>
        <v>#N/A</v>
      </c>
      <c r="K3160" s="1085"/>
      <c r="L3160" s="1085"/>
      <c r="M3160" s="1085"/>
      <c r="N3160" s="1085"/>
      <c r="O3160" s="1085"/>
    </row>
    <row r="3161" spans="1:15" ht="15" customHeight="1">
      <c r="A3161" s="1052" t="s">
        <v>515</v>
      </c>
      <c r="B3161" s="869"/>
      <c r="C3161" s="1058" t="e">
        <f>VLOOKUP(B3156,'LƯƠNG KT'!$D$15:$U$94,17,0)</f>
        <v>#N/A</v>
      </c>
      <c r="D3161" s="1059" t="e">
        <f>+C3161*$L$7</f>
        <v>#N/A</v>
      </c>
      <c r="E3161" s="1061"/>
      <c r="F3161" s="1061"/>
      <c r="G3161" s="1052" t="s">
        <v>515</v>
      </c>
      <c r="H3161" s="869"/>
      <c r="I3161" s="1058" t="e">
        <f>VLOOKUP(H3156,'LƯƠNG KT'!$D$15:$U$94,17,0)</f>
        <v>#N/A</v>
      </c>
      <c r="J3161" s="1059" t="e">
        <f>+I3161*$L$7</f>
        <v>#N/A</v>
      </c>
      <c r="K3161" s="1085"/>
      <c r="L3161" s="1085"/>
      <c r="M3161" s="1085"/>
      <c r="N3161" s="1085"/>
      <c r="O3161" s="1085"/>
    </row>
    <row r="3162" spans="1:15" ht="15" customHeight="1">
      <c r="A3162" s="1052" t="s">
        <v>371</v>
      </c>
      <c r="B3162" s="869" t="s">
        <v>372</v>
      </c>
      <c r="C3162" s="1058" t="e">
        <f>VLOOKUP(B3156,'LƯƠNG KT'!$D$15:$U$94,9,0)*$L$10</f>
        <v>#N/A</v>
      </c>
      <c r="D3162" s="1059" t="e">
        <f>+C3162*0.5*3000</f>
        <v>#N/A</v>
      </c>
      <c r="E3162" s="1061"/>
      <c r="F3162" s="1061"/>
      <c r="G3162" s="1052" t="s">
        <v>371</v>
      </c>
      <c r="H3162" s="869" t="s">
        <v>372</v>
      </c>
      <c r="I3162" s="1058" t="e">
        <f>VLOOKUP(H3156,'LƯƠNG KT'!$D$15:$U$94,9,0)*$L$10</f>
        <v>#N/A</v>
      </c>
      <c r="J3162" s="1059" t="e">
        <f>+I3162*0.5*3000</f>
        <v>#N/A</v>
      </c>
      <c r="K3162" s="1085"/>
      <c r="L3162" s="1085"/>
      <c r="M3162" s="1085"/>
      <c r="N3162" s="1085"/>
      <c r="O3162" s="1085"/>
    </row>
    <row r="3163" spans="1:15" ht="15" customHeight="1">
      <c r="A3163" s="1052" t="s">
        <v>374</v>
      </c>
      <c r="B3163" s="869" t="s">
        <v>375</v>
      </c>
      <c r="C3163" s="1058" t="e">
        <f>VLOOKUP(B3156,'LƯƠNG KT'!$D$15:$U$94,8,0)*$L$11</f>
        <v>#N/A</v>
      </c>
      <c r="D3163" s="1059" t="e">
        <f>VLOOKUP(B3156,'LƯƠNG KT'!$D$15:$U$94,13,0)-D3162</f>
        <v>#N/A</v>
      </c>
      <c r="E3163" s="1063"/>
      <c r="F3163" s="1061"/>
      <c r="G3163" s="1052" t="s">
        <v>374</v>
      </c>
      <c r="H3163" s="869" t="s">
        <v>375</v>
      </c>
      <c r="I3163" s="1058" t="e">
        <f>VLOOKUP(H3156,'LƯƠNG KT'!$D$15:$U$94,8,0)*$L$11</f>
        <v>#N/A</v>
      </c>
      <c r="J3163" s="1059" t="e">
        <f>VLOOKUP(H3156,'LƯƠNG KT'!$D$15:$U$94,13,0)-J3162</f>
        <v>#N/A</v>
      </c>
      <c r="K3163" s="1085"/>
      <c r="L3163" s="1085"/>
      <c r="M3163" s="1085"/>
      <c r="N3163" s="1085"/>
      <c r="O3163" s="1085"/>
    </row>
    <row r="3164" spans="1:15" ht="15" customHeight="1">
      <c r="A3164" s="1059" t="s">
        <v>377</v>
      </c>
      <c r="B3164" s="869" t="s">
        <v>378</v>
      </c>
      <c r="C3164" s="1058"/>
      <c r="D3164" s="1059"/>
      <c r="E3164" s="1065"/>
      <c r="F3164" s="1065"/>
      <c r="G3164" s="1059" t="s">
        <v>377</v>
      </c>
      <c r="H3164" s="869" t="s">
        <v>378</v>
      </c>
      <c r="I3164" s="1058"/>
      <c r="J3164" s="1059"/>
    </row>
    <row r="3165" spans="1:15" ht="15" customHeight="1">
      <c r="A3165" s="1066" t="s">
        <v>379</v>
      </c>
      <c r="B3165" s="869" t="s">
        <v>380</v>
      </c>
      <c r="C3165" s="1058"/>
      <c r="D3165" s="1059"/>
      <c r="E3165" s="1063"/>
      <c r="F3165" s="1065"/>
      <c r="G3165" s="1066" t="s">
        <v>379</v>
      </c>
      <c r="H3165" s="869" t="s">
        <v>380</v>
      </c>
      <c r="I3165" s="1058"/>
      <c r="J3165" s="1059"/>
    </row>
    <row r="3166" spans="1:15" ht="15" customHeight="1">
      <c r="A3166" s="1052" t="s">
        <v>381</v>
      </c>
      <c r="B3166" s="869" t="s">
        <v>382</v>
      </c>
      <c r="C3166" s="1058"/>
      <c r="D3166" s="1059">
        <f>D3165</f>
        <v>0</v>
      </c>
      <c r="E3166" s="1067"/>
      <c r="F3166" s="1051"/>
      <c r="G3166" s="1052" t="s">
        <v>381</v>
      </c>
      <c r="H3166" s="869" t="s">
        <v>382</v>
      </c>
      <c r="I3166" s="1058"/>
      <c r="J3166" s="1059">
        <f>J3165</f>
        <v>0</v>
      </c>
    </row>
    <row r="3167" spans="1:15" ht="15" customHeight="1">
      <c r="A3167" s="1068" t="s">
        <v>383</v>
      </c>
      <c r="B3167" s="1069" t="s">
        <v>384</v>
      </c>
      <c r="C3167" s="1070"/>
      <c r="D3167" s="1071" t="e">
        <f>SUM(D3157:D3163)-D3166</f>
        <v>#N/A</v>
      </c>
      <c r="E3167" s="1072"/>
      <c r="F3167" s="1073"/>
      <c r="G3167" s="1068" t="s">
        <v>383</v>
      </c>
      <c r="H3167" s="1069" t="s">
        <v>384</v>
      </c>
      <c r="I3167" s="1070"/>
      <c r="J3167" s="1071" t="e">
        <f>SUM(J3157:J3163)-J3166</f>
        <v>#N/A</v>
      </c>
    </row>
    <row r="3168" spans="1:15" ht="11.25" customHeight="1">
      <c r="A3168" s="1074"/>
      <c r="B3168" s="1075"/>
      <c r="C3168" s="1076"/>
      <c r="D3168" s="1077"/>
      <c r="E3168" s="1077"/>
      <c r="F3168" s="1078"/>
      <c r="G3168" s="1074"/>
      <c r="H3168" s="1075"/>
      <c r="I3168" s="1076"/>
      <c r="J3168" s="1077"/>
    </row>
    <row r="3169" spans="1:15" ht="15" customHeight="1">
      <c r="A3169" s="2242" t="str">
        <f>$K$2</f>
        <v>THÁNG 09/2024</v>
      </c>
      <c r="B3169" s="2242"/>
      <c r="C3169" s="2242"/>
      <c r="D3169" s="2242"/>
      <c r="E3169" s="1050"/>
      <c r="F3169" s="1051"/>
      <c r="G3169" s="2242" t="str">
        <f>$K$2</f>
        <v>THÁNG 09/2024</v>
      </c>
      <c r="H3169" s="2242"/>
      <c r="I3169" s="2242"/>
      <c r="J3169" s="2242"/>
      <c r="K3169" s="624"/>
    </row>
    <row r="3170" spans="1:15" ht="15" customHeight="1">
      <c r="A3170" s="1052" t="s">
        <v>356</v>
      </c>
      <c r="B3170" s="1053" t="s">
        <v>296</v>
      </c>
      <c r="C3170" s="869"/>
      <c r="D3170" s="1049"/>
      <c r="E3170" s="1054"/>
      <c r="F3170" s="1055"/>
      <c r="G3170" s="1052" t="s">
        <v>356</v>
      </c>
      <c r="H3170" s="1053" t="s">
        <v>297</v>
      </c>
      <c r="I3170" s="869"/>
      <c r="J3170" s="1049"/>
      <c r="L3170" s="1088"/>
      <c r="M3170" s="1088"/>
      <c r="N3170" s="1088"/>
      <c r="O3170" s="1088"/>
    </row>
    <row r="3171" spans="1:15" ht="15" customHeight="1">
      <c r="A3171" s="1052" t="s">
        <v>359</v>
      </c>
      <c r="B3171" s="1089" t="s">
        <v>360</v>
      </c>
      <c r="C3171" s="1058" t="e">
        <f>VLOOKUP(B3170,'LƯƠNG KT'!$D$15:$U$94,3,0)</f>
        <v>#N/A</v>
      </c>
      <c r="D3171" s="1059" t="e">
        <f>+C3171*25000</f>
        <v>#N/A</v>
      </c>
      <c r="E3171" s="1060"/>
      <c r="F3171" s="1060"/>
      <c r="G3171" s="1052" t="s">
        <v>359</v>
      </c>
      <c r="H3171" s="1089" t="s">
        <v>360</v>
      </c>
      <c r="I3171" s="1058" t="e">
        <f>VLOOKUP(H3170,'LƯƠNG KT'!$D$15:$U$94,3,0)</f>
        <v>#N/A</v>
      </c>
      <c r="J3171" s="1059" t="e">
        <f>+I3171*25000</f>
        <v>#N/A</v>
      </c>
      <c r="K3171" s="1084"/>
      <c r="L3171" s="1085"/>
      <c r="M3171" s="1085"/>
      <c r="N3171" s="1085"/>
      <c r="O3171" s="1085"/>
    </row>
    <row r="3172" spans="1:15" ht="15" customHeight="1">
      <c r="A3172" s="1052" t="s">
        <v>361</v>
      </c>
      <c r="B3172" s="869" t="s">
        <v>362</v>
      </c>
      <c r="C3172" s="1058" t="e">
        <f>VLOOKUP(B3170,'LƯƠNG KT'!$D$15:$U$94,14,0)</f>
        <v>#N/A</v>
      </c>
      <c r="D3172" s="1059" t="e">
        <f>C3172*$L$4</f>
        <v>#N/A</v>
      </c>
      <c r="E3172" s="1061"/>
      <c r="F3172" s="1061"/>
      <c r="G3172" s="1052" t="s">
        <v>361</v>
      </c>
      <c r="H3172" s="869" t="s">
        <v>362</v>
      </c>
      <c r="I3172" s="1058" t="e">
        <f>VLOOKUP(H3170,'LƯƠNG KT'!$D$15:$U$94,14,0)</f>
        <v>#N/A</v>
      </c>
      <c r="J3172" s="1059" t="e">
        <f>I3172*$L$4</f>
        <v>#N/A</v>
      </c>
      <c r="K3172" s="1084"/>
      <c r="L3172" s="1085"/>
      <c r="M3172" s="1085"/>
      <c r="N3172" s="1085"/>
      <c r="O3172" s="1085"/>
    </row>
    <row r="3173" spans="1:15" ht="15" customHeight="1">
      <c r="A3173" s="1052" t="s">
        <v>364</v>
      </c>
      <c r="B3173" s="869" t="s">
        <v>365</v>
      </c>
      <c r="C3173" s="1058" t="e">
        <f>VLOOKUP(B3170,'LƯƠNG KT'!$D$15:$U$94,15,0)</f>
        <v>#N/A</v>
      </c>
      <c r="D3173" s="1059" t="e">
        <f>C3173*$L$5</f>
        <v>#N/A</v>
      </c>
      <c r="E3173" s="1061"/>
      <c r="F3173" s="1061"/>
      <c r="G3173" s="1052" t="s">
        <v>364</v>
      </c>
      <c r="H3173" s="869" t="s">
        <v>365</v>
      </c>
      <c r="I3173" s="1058" t="e">
        <f>VLOOKUP(H3170,'LƯƠNG KT'!$D$15:$U$94,15,0)</f>
        <v>#N/A</v>
      </c>
      <c r="J3173" s="1059" t="e">
        <f>I3173*$L$5</f>
        <v>#N/A</v>
      </c>
      <c r="K3173" s="1084"/>
      <c r="L3173" s="1085"/>
      <c r="M3173" s="1085"/>
      <c r="N3173" s="1085"/>
      <c r="O3173" s="1085"/>
    </row>
    <row r="3174" spans="1:15" ht="15" customHeight="1">
      <c r="A3174" s="1052" t="s">
        <v>367</v>
      </c>
      <c r="B3174" s="869"/>
      <c r="C3174" s="1058" t="e">
        <f>VLOOKUP(B3170,'LƯƠNG KT'!$D$15:$U$94,16,0)</f>
        <v>#N/A</v>
      </c>
      <c r="D3174" s="1059" t="e">
        <f>+C3174*$L$6</f>
        <v>#N/A</v>
      </c>
      <c r="E3174" s="1061"/>
      <c r="F3174" s="1061"/>
      <c r="G3174" s="1052" t="s">
        <v>367</v>
      </c>
      <c r="H3174" s="869"/>
      <c r="I3174" s="1058" t="e">
        <f>VLOOKUP(H3170,'LƯƠNG KT'!$D$15:$U$94,16,0)</f>
        <v>#N/A</v>
      </c>
      <c r="J3174" s="1059" t="e">
        <f>+I3174*$L$6</f>
        <v>#N/A</v>
      </c>
      <c r="K3174" s="1085"/>
      <c r="L3174" s="1085"/>
      <c r="M3174" s="1085"/>
      <c r="N3174" s="1085"/>
      <c r="O3174" s="1085"/>
    </row>
    <row r="3175" spans="1:15" ht="15" customHeight="1">
      <c r="A3175" s="1052" t="s">
        <v>515</v>
      </c>
      <c r="B3175" s="869"/>
      <c r="C3175" s="1058" t="e">
        <f>VLOOKUP(B3170,'LƯƠNG KT'!$D$15:$U$94,17,0)</f>
        <v>#N/A</v>
      </c>
      <c r="D3175" s="1059" t="e">
        <f>+C3175*$L$7</f>
        <v>#N/A</v>
      </c>
      <c r="E3175" s="1061"/>
      <c r="F3175" s="1061"/>
      <c r="G3175" s="1052" t="s">
        <v>515</v>
      </c>
      <c r="H3175" s="869"/>
      <c r="I3175" s="1058" t="e">
        <f>VLOOKUP(H3170,'LƯƠNG KT'!$D$15:$U$94,17,0)</f>
        <v>#N/A</v>
      </c>
      <c r="J3175" s="1059" t="e">
        <f>+I3175*$L$7</f>
        <v>#N/A</v>
      </c>
      <c r="K3175" s="1085"/>
      <c r="L3175" s="1085"/>
      <c r="M3175" s="1085"/>
      <c r="N3175" s="1085"/>
      <c r="O3175" s="1085"/>
    </row>
    <row r="3176" spans="1:15" ht="15" customHeight="1">
      <c r="A3176" s="1052" t="s">
        <v>371</v>
      </c>
      <c r="B3176" s="869" t="s">
        <v>372</v>
      </c>
      <c r="C3176" s="1058" t="e">
        <f>VLOOKUP(B3170,'LƯƠNG KT'!$D$15:$U$94,9,0)*$L$10</f>
        <v>#N/A</v>
      </c>
      <c r="D3176" s="1059" t="e">
        <f>+C3176*0.5*3000</f>
        <v>#N/A</v>
      </c>
      <c r="E3176" s="1061"/>
      <c r="F3176" s="1061"/>
      <c r="G3176" s="1052" t="s">
        <v>371</v>
      </c>
      <c r="H3176" s="869" t="s">
        <v>372</v>
      </c>
      <c r="I3176" s="1058" t="e">
        <f>VLOOKUP(H3170,'LƯƠNG KT'!$D$15:$U$94,9,0)*$L$10</f>
        <v>#N/A</v>
      </c>
      <c r="J3176" s="1059" t="e">
        <f>+I3176*0.5*3000</f>
        <v>#N/A</v>
      </c>
      <c r="K3176" s="1085"/>
      <c r="L3176" s="1085"/>
      <c r="M3176" s="1085"/>
      <c r="N3176" s="1085"/>
      <c r="O3176" s="1085"/>
    </row>
    <row r="3177" spans="1:15" ht="15" customHeight="1">
      <c r="A3177" s="1052" t="s">
        <v>374</v>
      </c>
      <c r="B3177" s="869" t="s">
        <v>375</v>
      </c>
      <c r="C3177" s="1058" t="e">
        <f>VLOOKUP(B3170,'LƯƠNG KT'!$D$15:$U$94,8,0)*$L$11</f>
        <v>#N/A</v>
      </c>
      <c r="D3177" s="1059" t="e">
        <f>VLOOKUP(B3170,'LƯƠNG KT'!$D$15:$U$94,13,0)-D3176</f>
        <v>#N/A</v>
      </c>
      <c r="E3177" s="1063"/>
      <c r="F3177" s="1061"/>
      <c r="G3177" s="1052" t="s">
        <v>374</v>
      </c>
      <c r="H3177" s="869" t="s">
        <v>375</v>
      </c>
      <c r="I3177" s="1058" t="e">
        <f>VLOOKUP(H3170,'LƯƠNG KT'!$D$15:$U$94,8,0)*$L$11</f>
        <v>#N/A</v>
      </c>
      <c r="J3177" s="1059" t="e">
        <f>VLOOKUP(H3170,'LƯƠNG KT'!$D$15:$U$94,13,0)-J3176</f>
        <v>#N/A</v>
      </c>
      <c r="K3177" s="1085"/>
      <c r="L3177" s="1085"/>
      <c r="M3177" s="1085"/>
      <c r="N3177" s="1085"/>
      <c r="O3177" s="1085"/>
    </row>
    <row r="3178" spans="1:15" ht="15" customHeight="1">
      <c r="A3178" s="1059" t="s">
        <v>377</v>
      </c>
      <c r="B3178" s="869" t="s">
        <v>378</v>
      </c>
      <c r="C3178" s="1058"/>
      <c r="D3178" s="1059"/>
      <c r="E3178" s="1065"/>
      <c r="F3178" s="1065"/>
      <c r="G3178" s="1059" t="s">
        <v>377</v>
      </c>
      <c r="H3178" s="869" t="s">
        <v>378</v>
      </c>
      <c r="I3178" s="1058"/>
      <c r="J3178" s="1059"/>
    </row>
    <row r="3179" spans="1:15" ht="15" customHeight="1">
      <c r="A3179" s="1066" t="s">
        <v>379</v>
      </c>
      <c r="B3179" s="869" t="s">
        <v>380</v>
      </c>
      <c r="C3179" s="1058"/>
      <c r="D3179" s="1059"/>
      <c r="E3179" s="1063"/>
      <c r="F3179" s="1065"/>
      <c r="G3179" s="1066" t="s">
        <v>379</v>
      </c>
      <c r="H3179" s="869" t="s">
        <v>380</v>
      </c>
      <c r="I3179" s="1058"/>
      <c r="J3179" s="1059"/>
    </row>
    <row r="3180" spans="1:15" ht="15" customHeight="1">
      <c r="A3180" s="1052" t="s">
        <v>381</v>
      </c>
      <c r="B3180" s="869" t="s">
        <v>382</v>
      </c>
      <c r="C3180" s="1058"/>
      <c r="D3180" s="1059">
        <f>D3179</f>
        <v>0</v>
      </c>
      <c r="E3180" s="1067"/>
      <c r="F3180" s="1051"/>
      <c r="G3180" s="1052" t="s">
        <v>381</v>
      </c>
      <c r="H3180" s="869" t="s">
        <v>382</v>
      </c>
      <c r="I3180" s="1058"/>
      <c r="J3180" s="1059">
        <f>J3179</f>
        <v>0</v>
      </c>
    </row>
    <row r="3181" spans="1:15" ht="15" customHeight="1">
      <c r="A3181" s="1068" t="s">
        <v>383</v>
      </c>
      <c r="B3181" s="1069" t="s">
        <v>384</v>
      </c>
      <c r="C3181" s="1070"/>
      <c r="D3181" s="1071" t="e">
        <f>SUM(D3171:D3177)-D3180</f>
        <v>#N/A</v>
      </c>
      <c r="E3181" s="1072"/>
      <c r="F3181" s="1073"/>
      <c r="G3181" s="1068" t="s">
        <v>383</v>
      </c>
      <c r="H3181" s="1069" t="s">
        <v>384</v>
      </c>
      <c r="I3181" s="1070"/>
      <c r="J3181" s="1071" t="e">
        <f>SUM(J3171:J3177)-J3180</f>
        <v>#N/A</v>
      </c>
    </row>
    <row r="3182" spans="1:15" ht="11.25" customHeight="1">
      <c r="A3182" s="1074"/>
      <c r="B3182" s="1075"/>
      <c r="C3182" s="1076"/>
      <c r="D3182" s="1077"/>
      <c r="E3182" s="1077"/>
      <c r="F3182" s="1078"/>
      <c r="G3182" s="1074"/>
      <c r="H3182" s="1075"/>
      <c r="I3182" s="1076"/>
      <c r="J3182" s="1077"/>
    </row>
    <row r="3183" spans="1:15" ht="11.25" customHeight="1">
      <c r="A3183" s="1075"/>
      <c r="B3183" s="1075"/>
      <c r="C3183" s="1079"/>
      <c r="D3183" s="1080"/>
      <c r="E3183" s="1075"/>
      <c r="F3183" s="1081"/>
      <c r="G3183" s="1075"/>
      <c r="H3183" s="1075"/>
      <c r="I3183" s="1079"/>
      <c r="J3183" s="1080"/>
    </row>
    <row r="3184" spans="1:15" ht="15" customHeight="1">
      <c r="A3184" s="2242" t="str">
        <f>$K$2</f>
        <v>THÁNG 09/2024</v>
      </c>
      <c r="B3184" s="2242"/>
      <c r="C3184" s="2242"/>
      <c r="D3184" s="2242"/>
      <c r="E3184" s="1050"/>
      <c r="F3184" s="1051"/>
      <c r="G3184" s="2242" t="str">
        <f>$K$2</f>
        <v>THÁNG 09/2024</v>
      </c>
      <c r="H3184" s="2242"/>
      <c r="I3184" s="2242"/>
      <c r="J3184" s="2242"/>
      <c r="K3184" s="624"/>
    </row>
    <row r="3185" spans="1:15" ht="15" customHeight="1">
      <c r="A3185" s="1052" t="s">
        <v>356</v>
      </c>
      <c r="B3185" s="1053" t="s">
        <v>518</v>
      </c>
      <c r="C3185" s="869"/>
      <c r="D3185" s="1049"/>
      <c r="E3185" s="1054"/>
      <c r="F3185" s="1055"/>
      <c r="G3185" s="1052" t="s">
        <v>356</v>
      </c>
      <c r="H3185" s="1053" t="s">
        <v>299</v>
      </c>
      <c r="I3185" s="869"/>
      <c r="J3185" s="1049"/>
      <c r="L3185" s="1088"/>
      <c r="M3185" s="1088"/>
      <c r="N3185" s="1088"/>
      <c r="O3185" s="1088"/>
    </row>
    <row r="3186" spans="1:15" ht="15" customHeight="1">
      <c r="A3186" s="1052" t="s">
        <v>359</v>
      </c>
      <c r="B3186" s="1089" t="s">
        <v>360</v>
      </c>
      <c r="C3186" s="1058" t="e">
        <f>VLOOKUP(B3185,'LƯƠNG KT'!$D$15:$U$94,3,0)</f>
        <v>#N/A</v>
      </c>
      <c r="D3186" s="1059" t="e">
        <f>+C3186*25000</f>
        <v>#N/A</v>
      </c>
      <c r="E3186" s="1060"/>
      <c r="F3186" s="1060"/>
      <c r="G3186" s="1052" t="s">
        <v>359</v>
      </c>
      <c r="H3186" s="1089" t="s">
        <v>360</v>
      </c>
      <c r="I3186" s="1058" t="e">
        <f>VLOOKUP(H3185,'LƯƠNG KT'!$D$15:$U$94,3,0)</f>
        <v>#N/A</v>
      </c>
      <c r="J3186" s="1059" t="e">
        <f>+I3186*25000</f>
        <v>#N/A</v>
      </c>
      <c r="K3186" s="1085"/>
      <c r="L3186" s="1085"/>
      <c r="M3186" s="1085"/>
      <c r="N3186" s="1085"/>
      <c r="O3186" s="1085"/>
    </row>
    <row r="3187" spans="1:15" ht="15" customHeight="1">
      <c r="A3187" s="1052" t="s">
        <v>361</v>
      </c>
      <c r="B3187" s="869" t="s">
        <v>362</v>
      </c>
      <c r="C3187" s="1058" t="e">
        <f>VLOOKUP(B3185,'LƯƠNG KT'!$D$15:$U$94,14,0)</f>
        <v>#N/A</v>
      </c>
      <c r="D3187" s="1059" t="e">
        <f>C3187*$L$4</f>
        <v>#N/A</v>
      </c>
      <c r="E3187" s="1061"/>
      <c r="F3187" s="1061"/>
      <c r="G3187" s="1052" t="s">
        <v>361</v>
      </c>
      <c r="H3187" s="869" t="s">
        <v>362</v>
      </c>
      <c r="I3187" s="1058" t="e">
        <f>VLOOKUP(H3185,'LƯƠNG KT'!$D$15:$U$94,14,0)</f>
        <v>#N/A</v>
      </c>
      <c r="J3187" s="1059" t="e">
        <f>I3187*$L$4</f>
        <v>#N/A</v>
      </c>
      <c r="K3187" s="1085"/>
      <c r="L3187" s="1085"/>
      <c r="M3187" s="1085"/>
      <c r="N3187" s="1085"/>
      <c r="O3187" s="1085"/>
    </row>
    <row r="3188" spans="1:15" ht="15" customHeight="1">
      <c r="A3188" s="1052" t="s">
        <v>364</v>
      </c>
      <c r="B3188" s="869" t="s">
        <v>365</v>
      </c>
      <c r="C3188" s="1058" t="e">
        <f>VLOOKUP(B3185,'LƯƠNG KT'!$D$15:$U$94,15,0)</f>
        <v>#N/A</v>
      </c>
      <c r="D3188" s="1059" t="e">
        <f>C3188*$L$5</f>
        <v>#N/A</v>
      </c>
      <c r="E3188" s="1061"/>
      <c r="F3188" s="1061"/>
      <c r="G3188" s="1052" t="s">
        <v>364</v>
      </c>
      <c r="H3188" s="869" t="s">
        <v>365</v>
      </c>
      <c r="I3188" s="1058" t="e">
        <f>VLOOKUP(H3185,'LƯƠNG KT'!$D$15:$U$94,15,0)</f>
        <v>#N/A</v>
      </c>
      <c r="J3188" s="1059" t="e">
        <f>I3188*$L$5</f>
        <v>#N/A</v>
      </c>
      <c r="K3188" s="1085"/>
      <c r="L3188" s="1085"/>
      <c r="M3188" s="1085"/>
      <c r="N3188" s="1085"/>
      <c r="O3188" s="1085"/>
    </row>
    <row r="3189" spans="1:15" ht="15" customHeight="1">
      <c r="A3189" s="1052" t="s">
        <v>367</v>
      </c>
      <c r="B3189" s="869"/>
      <c r="C3189" s="1058" t="e">
        <f>VLOOKUP(B3185,'LƯƠNG KT'!$D$15:$U$94,16,0)</f>
        <v>#N/A</v>
      </c>
      <c r="D3189" s="1059" t="e">
        <f>+C3189*$L$6</f>
        <v>#N/A</v>
      </c>
      <c r="E3189" s="1061"/>
      <c r="F3189" s="1061"/>
      <c r="G3189" s="1052" t="s">
        <v>367</v>
      </c>
      <c r="H3189" s="869"/>
      <c r="I3189" s="1058" t="e">
        <f>VLOOKUP(H3185,'LƯƠNG KT'!$D$15:$U$94,16,0)</f>
        <v>#N/A</v>
      </c>
      <c r="J3189" s="1059" t="e">
        <f>+I3189*$L$6</f>
        <v>#N/A</v>
      </c>
      <c r="K3189" s="1085"/>
      <c r="L3189" s="1085"/>
      <c r="M3189" s="1085"/>
      <c r="N3189" s="1085"/>
      <c r="O3189" s="1085"/>
    </row>
    <row r="3190" spans="1:15" ht="15" customHeight="1">
      <c r="A3190" s="1052" t="s">
        <v>515</v>
      </c>
      <c r="B3190" s="869"/>
      <c r="C3190" s="1058" t="e">
        <f>VLOOKUP(B3185,'LƯƠNG KT'!$D$15:$U$94,17,0)</f>
        <v>#N/A</v>
      </c>
      <c r="D3190" s="1059" t="e">
        <f>+C3190*$L$7</f>
        <v>#N/A</v>
      </c>
      <c r="E3190" s="1061"/>
      <c r="F3190" s="1061"/>
      <c r="G3190" s="1052" t="s">
        <v>515</v>
      </c>
      <c r="H3190" s="869"/>
      <c r="I3190" s="1058" t="e">
        <f>VLOOKUP(H3185,'LƯƠNG KT'!$D$15:$U$94,17,0)</f>
        <v>#N/A</v>
      </c>
      <c r="J3190" s="1059" t="e">
        <f>+I3190*$L$7</f>
        <v>#N/A</v>
      </c>
      <c r="K3190" s="1085"/>
      <c r="L3190" s="1085"/>
      <c r="M3190" s="1085"/>
      <c r="N3190" s="1085"/>
      <c r="O3190" s="1085"/>
    </row>
    <row r="3191" spans="1:15" ht="15" customHeight="1">
      <c r="A3191" s="1052" t="s">
        <v>371</v>
      </c>
      <c r="B3191" s="869" t="s">
        <v>372</v>
      </c>
      <c r="C3191" s="1058" t="e">
        <f>VLOOKUP(B3185,'LƯƠNG KT'!$D$15:$U$94,9,0)*$L$10</f>
        <v>#N/A</v>
      </c>
      <c r="D3191" s="1059" t="e">
        <f>+C3191*0.5*3000</f>
        <v>#N/A</v>
      </c>
      <c r="E3191" s="1061"/>
      <c r="F3191" s="1061"/>
      <c r="G3191" s="1052" t="s">
        <v>371</v>
      </c>
      <c r="H3191" s="869" t="s">
        <v>372</v>
      </c>
      <c r="I3191" s="1058" t="e">
        <f>VLOOKUP(H3185,'LƯƠNG KT'!$D$15:$U$94,9,0)*$L$10</f>
        <v>#N/A</v>
      </c>
      <c r="J3191" s="1059" t="e">
        <f>+I3191*0.5*3000</f>
        <v>#N/A</v>
      </c>
      <c r="K3191" s="1085"/>
      <c r="L3191" s="1085"/>
      <c r="M3191" s="1085"/>
      <c r="N3191" s="1085"/>
      <c r="O3191" s="1085"/>
    </row>
    <row r="3192" spans="1:15" ht="15" customHeight="1">
      <c r="A3192" s="1052" t="s">
        <v>374</v>
      </c>
      <c r="B3192" s="869" t="s">
        <v>375</v>
      </c>
      <c r="C3192" s="1058" t="e">
        <f>VLOOKUP(B3185,'LƯƠNG KT'!$D$15:$U$94,8,0)*$L$11</f>
        <v>#N/A</v>
      </c>
      <c r="D3192" s="1059" t="e">
        <f>VLOOKUP(B3185,'LƯƠNG KT'!$D$15:$U$94,13,0)-D3191</f>
        <v>#N/A</v>
      </c>
      <c r="E3192" s="1063"/>
      <c r="F3192" s="1061"/>
      <c r="G3192" s="1052" t="s">
        <v>374</v>
      </c>
      <c r="H3192" s="869" t="s">
        <v>375</v>
      </c>
      <c r="I3192" s="1058" t="e">
        <f>VLOOKUP(H3185,'LƯƠNG KT'!$D$15:$U$94,8,0)*$L$11</f>
        <v>#N/A</v>
      </c>
      <c r="J3192" s="1059" t="e">
        <f>VLOOKUP(H3185,'LƯƠNG KT'!$D$15:$U$94,13,0)-J3191</f>
        <v>#N/A</v>
      </c>
      <c r="K3192" s="1085"/>
      <c r="L3192" s="1085"/>
      <c r="M3192" s="1085"/>
      <c r="N3192" s="1085"/>
      <c r="O3192" s="1085"/>
    </row>
    <row r="3193" spans="1:15" ht="15" customHeight="1">
      <c r="A3193" s="1059" t="s">
        <v>377</v>
      </c>
      <c r="B3193" s="869" t="s">
        <v>378</v>
      </c>
      <c r="C3193" s="1058"/>
      <c r="D3193" s="1059"/>
      <c r="E3193" s="1065"/>
      <c r="F3193" s="1065"/>
      <c r="G3193" s="1059" t="s">
        <v>377</v>
      </c>
      <c r="H3193" s="869" t="s">
        <v>378</v>
      </c>
      <c r="I3193" s="1058"/>
      <c r="J3193" s="1059"/>
    </row>
    <row r="3194" spans="1:15" ht="15" customHeight="1">
      <c r="A3194" s="1066" t="s">
        <v>379</v>
      </c>
      <c r="B3194" s="869" t="s">
        <v>380</v>
      </c>
      <c r="C3194" s="1058"/>
      <c r="D3194" s="1059"/>
      <c r="E3194" s="1063"/>
      <c r="F3194" s="1065"/>
      <c r="G3194" s="1066" t="s">
        <v>379</v>
      </c>
      <c r="H3194" s="869" t="s">
        <v>380</v>
      </c>
      <c r="I3194" s="1058"/>
      <c r="J3194" s="1059"/>
    </row>
    <row r="3195" spans="1:15" ht="15" customHeight="1">
      <c r="A3195" s="1052" t="s">
        <v>381</v>
      </c>
      <c r="B3195" s="869" t="s">
        <v>382</v>
      </c>
      <c r="C3195" s="1058"/>
      <c r="D3195" s="1059">
        <f>D3194</f>
        <v>0</v>
      </c>
      <c r="E3195" s="1067"/>
      <c r="F3195" s="1051"/>
      <c r="G3195" s="1052" t="s">
        <v>381</v>
      </c>
      <c r="H3195" s="869" t="s">
        <v>382</v>
      </c>
      <c r="I3195" s="1058"/>
      <c r="J3195" s="1059">
        <f>J3194</f>
        <v>0</v>
      </c>
    </row>
    <row r="3196" spans="1:15" ht="15" customHeight="1">
      <c r="A3196" s="1068" t="s">
        <v>383</v>
      </c>
      <c r="B3196" s="1069" t="s">
        <v>384</v>
      </c>
      <c r="C3196" s="1070"/>
      <c r="D3196" s="1071" t="e">
        <f>SUM(D3186:D3192)-D3195</f>
        <v>#N/A</v>
      </c>
      <c r="E3196" s="1072"/>
      <c r="F3196" s="1073"/>
      <c r="G3196" s="1068" t="s">
        <v>383</v>
      </c>
      <c r="H3196" s="1069" t="s">
        <v>384</v>
      </c>
      <c r="I3196" s="1070"/>
      <c r="J3196" s="1071" t="e">
        <f>SUM(J3186:J3192)-J3195</f>
        <v>#N/A</v>
      </c>
    </row>
    <row r="3197" spans="1:15" ht="11.25" customHeight="1">
      <c r="A3197" s="1074"/>
      <c r="B3197" s="1075"/>
      <c r="C3197" s="1076"/>
      <c r="D3197" s="1077"/>
      <c r="E3197" s="1077"/>
      <c r="F3197" s="1078"/>
      <c r="G3197" s="1074"/>
      <c r="H3197" s="1075"/>
      <c r="I3197" s="1076"/>
      <c r="J3197" s="1077"/>
    </row>
    <row r="3198" spans="1:15" ht="11.25" customHeight="1">
      <c r="A3198" s="1075"/>
      <c r="B3198" s="1075"/>
      <c r="C3198" s="1079"/>
      <c r="D3198" s="1080"/>
      <c r="E3198" s="1075"/>
      <c r="F3198" s="1081"/>
      <c r="G3198" s="1075"/>
      <c r="H3198" s="1075"/>
      <c r="I3198" s="1079"/>
      <c r="J3198" s="1080"/>
    </row>
    <row r="3199" spans="1:15" ht="15" customHeight="1">
      <c r="A3199" s="2242" t="str">
        <f>$K$2</f>
        <v>THÁNG 09/2024</v>
      </c>
      <c r="B3199" s="2242"/>
      <c r="C3199" s="2242"/>
      <c r="D3199" s="2242"/>
      <c r="E3199" s="1050"/>
      <c r="F3199" s="1051"/>
      <c r="G3199" s="2242" t="str">
        <f>$K$2</f>
        <v>THÁNG 09/2024</v>
      </c>
      <c r="H3199" s="2242"/>
      <c r="I3199" s="2242"/>
      <c r="J3199" s="2242"/>
      <c r="K3199" s="624"/>
    </row>
    <row r="3200" spans="1:15" ht="15" customHeight="1">
      <c r="A3200" s="1052" t="s">
        <v>356</v>
      </c>
      <c r="B3200" s="1053" t="s">
        <v>300</v>
      </c>
      <c r="C3200" s="869"/>
      <c r="D3200" s="1049"/>
      <c r="E3200" s="1054"/>
      <c r="F3200" s="1055"/>
      <c r="G3200" s="1052" t="s">
        <v>356</v>
      </c>
      <c r="H3200" s="1053" t="s">
        <v>301</v>
      </c>
      <c r="I3200" s="869"/>
      <c r="J3200" s="1049"/>
      <c r="L3200" s="1088"/>
      <c r="M3200" s="1088"/>
      <c r="N3200" s="1088"/>
      <c r="O3200" s="1088"/>
    </row>
    <row r="3201" spans="1:15" ht="15" customHeight="1">
      <c r="A3201" s="1052" t="s">
        <v>359</v>
      </c>
      <c r="B3201" s="1089" t="s">
        <v>360</v>
      </c>
      <c r="C3201" s="1058" t="e">
        <f>VLOOKUP(B3200,'LƯƠNG KT'!$D$15:$U$94,3,0)</f>
        <v>#N/A</v>
      </c>
      <c r="D3201" s="1059" t="e">
        <f>+C3201*25000</f>
        <v>#N/A</v>
      </c>
      <c r="E3201" s="1060"/>
      <c r="F3201" s="1060"/>
      <c r="G3201" s="1052" t="s">
        <v>359</v>
      </c>
      <c r="H3201" s="1089" t="s">
        <v>360</v>
      </c>
      <c r="I3201" s="1058" t="e">
        <f>VLOOKUP(H3200,'LƯƠNG KT'!$D$15:$U$94,3,0)</f>
        <v>#N/A</v>
      </c>
      <c r="J3201" s="1059" t="e">
        <f>+I3201*25000</f>
        <v>#N/A</v>
      </c>
      <c r="K3201" s="1085"/>
      <c r="L3201" s="1085"/>
      <c r="M3201" s="1085"/>
      <c r="N3201" s="1085"/>
      <c r="O3201" s="1085"/>
    </row>
    <row r="3202" spans="1:15" ht="15" customHeight="1">
      <c r="A3202" s="1052" t="s">
        <v>361</v>
      </c>
      <c r="B3202" s="869" t="s">
        <v>362</v>
      </c>
      <c r="C3202" s="1058" t="e">
        <f>VLOOKUP(B3200,'LƯƠNG KT'!$D$15:$U$94,14,0)</f>
        <v>#N/A</v>
      </c>
      <c r="D3202" s="1059" t="e">
        <f>C3202*$L$4</f>
        <v>#N/A</v>
      </c>
      <c r="E3202" s="1061"/>
      <c r="F3202" s="1061"/>
      <c r="G3202" s="1052" t="s">
        <v>361</v>
      </c>
      <c r="H3202" s="869" t="s">
        <v>362</v>
      </c>
      <c r="I3202" s="1058" t="e">
        <f>VLOOKUP(H3200,'LƯƠNG KT'!$D$15:$U$94,14,0)</f>
        <v>#N/A</v>
      </c>
      <c r="J3202" s="1059" t="e">
        <f>I3202*$L$4</f>
        <v>#N/A</v>
      </c>
      <c r="K3202" s="1085"/>
      <c r="L3202" s="1085"/>
      <c r="M3202" s="1085"/>
      <c r="N3202" s="1085"/>
      <c r="O3202" s="1085"/>
    </row>
    <row r="3203" spans="1:15" ht="15" customHeight="1">
      <c r="A3203" s="1052" t="s">
        <v>364</v>
      </c>
      <c r="B3203" s="869" t="s">
        <v>365</v>
      </c>
      <c r="C3203" s="1058" t="e">
        <f>VLOOKUP(B3200,'LƯƠNG KT'!$D$15:$U$94,15,0)</f>
        <v>#N/A</v>
      </c>
      <c r="D3203" s="1059" t="e">
        <f>C3203*$L$5</f>
        <v>#N/A</v>
      </c>
      <c r="E3203" s="1061"/>
      <c r="F3203" s="1061"/>
      <c r="G3203" s="1052" t="s">
        <v>364</v>
      </c>
      <c r="H3203" s="869" t="s">
        <v>365</v>
      </c>
      <c r="I3203" s="1058" t="e">
        <f>VLOOKUP(H3200,'LƯƠNG KT'!$D$15:$U$94,15,0)</f>
        <v>#N/A</v>
      </c>
      <c r="J3203" s="1059" t="e">
        <f>I3203*$L$5</f>
        <v>#N/A</v>
      </c>
      <c r="K3203" s="1085"/>
      <c r="L3203" s="1085"/>
      <c r="M3203" s="1085"/>
      <c r="N3203" s="1085"/>
      <c r="O3203" s="1085"/>
    </row>
    <row r="3204" spans="1:15" ht="15" customHeight="1">
      <c r="A3204" s="1052" t="s">
        <v>367</v>
      </c>
      <c r="B3204" s="869"/>
      <c r="C3204" s="1058" t="e">
        <f>VLOOKUP(B3200,'LƯƠNG KT'!$D$15:$U$94,16,0)</f>
        <v>#N/A</v>
      </c>
      <c r="D3204" s="1059" t="e">
        <f>+C3204*$L$6</f>
        <v>#N/A</v>
      </c>
      <c r="E3204" s="1061"/>
      <c r="F3204" s="1061"/>
      <c r="G3204" s="1052" t="s">
        <v>367</v>
      </c>
      <c r="H3204" s="869"/>
      <c r="I3204" s="1058" t="e">
        <f>VLOOKUP(H3200,'LƯƠNG KT'!$D$15:$U$94,16,0)</f>
        <v>#N/A</v>
      </c>
      <c r="J3204" s="1059" t="e">
        <f>+I3204*$L$6</f>
        <v>#N/A</v>
      </c>
      <c r="K3204" s="1085"/>
      <c r="L3204" s="1085"/>
      <c r="M3204" s="1085"/>
      <c r="N3204" s="1085"/>
      <c r="O3204" s="1085"/>
    </row>
    <row r="3205" spans="1:15" ht="15" customHeight="1">
      <c r="A3205" s="1052" t="s">
        <v>515</v>
      </c>
      <c r="B3205" s="869"/>
      <c r="C3205" s="1058" t="e">
        <f>VLOOKUP(B3200,'LƯƠNG KT'!$D$15:$U$94,17,0)</f>
        <v>#N/A</v>
      </c>
      <c r="D3205" s="1059" t="e">
        <f>+C3205*$L$7</f>
        <v>#N/A</v>
      </c>
      <c r="E3205" s="1061"/>
      <c r="F3205" s="1061"/>
      <c r="G3205" s="1052" t="s">
        <v>515</v>
      </c>
      <c r="H3205" s="869"/>
      <c r="I3205" s="1058" t="e">
        <f>VLOOKUP(H3200,'LƯƠNG KT'!$D$15:$U$94,17,0)</f>
        <v>#N/A</v>
      </c>
      <c r="J3205" s="1059" t="e">
        <f>+I3205*$L$7</f>
        <v>#N/A</v>
      </c>
      <c r="K3205" s="1085"/>
      <c r="L3205" s="1085"/>
      <c r="M3205" s="1085"/>
      <c r="N3205" s="1085"/>
      <c r="O3205" s="1085"/>
    </row>
    <row r="3206" spans="1:15" ht="15" customHeight="1">
      <c r="A3206" s="1052" t="s">
        <v>371</v>
      </c>
      <c r="B3206" s="869" t="s">
        <v>372</v>
      </c>
      <c r="C3206" s="1058" t="e">
        <f>VLOOKUP(B3200,'LƯƠNG KT'!$D$15:$U$94,9,0)*$L$10</f>
        <v>#N/A</v>
      </c>
      <c r="D3206" s="1059" t="e">
        <f>+C3206*0.5*3000</f>
        <v>#N/A</v>
      </c>
      <c r="E3206" s="1061"/>
      <c r="F3206" s="1061"/>
      <c r="G3206" s="1052" t="s">
        <v>371</v>
      </c>
      <c r="H3206" s="869" t="s">
        <v>372</v>
      </c>
      <c r="I3206" s="1058" t="e">
        <f>VLOOKUP(H3200,'LƯƠNG KT'!$D$15:$U$94,9,0)*$L$10</f>
        <v>#N/A</v>
      </c>
      <c r="J3206" s="1059" t="e">
        <f>+I3206*0.5*3000</f>
        <v>#N/A</v>
      </c>
      <c r="K3206" s="1085"/>
      <c r="L3206" s="1085"/>
      <c r="M3206" s="1085"/>
      <c r="N3206" s="1085"/>
      <c r="O3206" s="1085"/>
    </row>
    <row r="3207" spans="1:15" ht="15" customHeight="1">
      <c r="A3207" s="1052" t="s">
        <v>374</v>
      </c>
      <c r="B3207" s="869" t="s">
        <v>375</v>
      </c>
      <c r="C3207" s="1058" t="e">
        <f>VLOOKUP(B3200,'LƯƠNG KT'!$D$15:$U$94,8,0)*$L$11</f>
        <v>#N/A</v>
      </c>
      <c r="D3207" s="1059" t="e">
        <f>VLOOKUP(B3200,'LƯƠNG KT'!$D$15:$U$94,13,0)-D3206</f>
        <v>#N/A</v>
      </c>
      <c r="E3207" s="1063"/>
      <c r="F3207" s="1061"/>
      <c r="G3207" s="1052" t="s">
        <v>374</v>
      </c>
      <c r="H3207" s="869" t="s">
        <v>375</v>
      </c>
      <c r="I3207" s="1058" t="e">
        <f>VLOOKUP(H3200,'LƯƠNG KT'!$D$15:$U$94,8,0)*$L$11</f>
        <v>#N/A</v>
      </c>
      <c r="J3207" s="1059" t="e">
        <f>VLOOKUP(H3200,'LƯƠNG KT'!$D$15:$U$94,13,0)-J3206</f>
        <v>#N/A</v>
      </c>
      <c r="K3207" s="1085"/>
      <c r="L3207" s="1085"/>
      <c r="M3207" s="1085"/>
      <c r="N3207" s="1085"/>
      <c r="O3207" s="1085"/>
    </row>
    <row r="3208" spans="1:15" ht="15" customHeight="1">
      <c r="A3208" s="1059" t="s">
        <v>377</v>
      </c>
      <c r="B3208" s="869" t="s">
        <v>378</v>
      </c>
      <c r="C3208" s="1058"/>
      <c r="D3208" s="1059"/>
      <c r="E3208" s="1065"/>
      <c r="F3208" s="1065"/>
      <c r="G3208" s="1059" t="s">
        <v>377</v>
      </c>
      <c r="H3208" s="869" t="s">
        <v>378</v>
      </c>
      <c r="I3208" s="1058"/>
      <c r="J3208" s="1059"/>
    </row>
    <row r="3209" spans="1:15" ht="15" customHeight="1">
      <c r="A3209" s="1066" t="s">
        <v>379</v>
      </c>
      <c r="B3209" s="869" t="s">
        <v>380</v>
      </c>
      <c r="C3209" s="1058"/>
      <c r="D3209" s="1059"/>
      <c r="E3209" s="1063"/>
      <c r="F3209" s="1065"/>
      <c r="G3209" s="1066" t="s">
        <v>379</v>
      </c>
      <c r="H3209" s="869" t="s">
        <v>380</v>
      </c>
      <c r="I3209" s="1058"/>
      <c r="J3209" s="1059"/>
    </row>
    <row r="3210" spans="1:15" ht="15" customHeight="1">
      <c r="A3210" s="1052" t="s">
        <v>381</v>
      </c>
      <c r="B3210" s="869" t="s">
        <v>382</v>
      </c>
      <c r="C3210" s="1058"/>
      <c r="D3210" s="1059">
        <f>D3209</f>
        <v>0</v>
      </c>
      <c r="E3210" s="1067"/>
      <c r="F3210" s="1051"/>
      <c r="G3210" s="1052" t="s">
        <v>381</v>
      </c>
      <c r="H3210" s="869" t="s">
        <v>382</v>
      </c>
      <c r="I3210" s="1058"/>
      <c r="J3210" s="1059">
        <f>J3209</f>
        <v>0</v>
      </c>
    </row>
    <row r="3211" spans="1:15" ht="15" customHeight="1">
      <c r="A3211" s="1068" t="s">
        <v>383</v>
      </c>
      <c r="B3211" s="1069" t="s">
        <v>384</v>
      </c>
      <c r="C3211" s="1070"/>
      <c r="D3211" s="1071" t="e">
        <f>SUM(D3201:D3207)-D3210</f>
        <v>#N/A</v>
      </c>
      <c r="E3211" s="1072"/>
      <c r="F3211" s="1073"/>
      <c r="G3211" s="1068" t="s">
        <v>383</v>
      </c>
      <c r="H3211" s="1069" t="s">
        <v>384</v>
      </c>
      <c r="I3211" s="1070"/>
      <c r="J3211" s="1071" t="e">
        <f>SUM(J3201:J3207)-J3210</f>
        <v>#N/A</v>
      </c>
    </row>
    <row r="3212" spans="1:15" ht="11.25" customHeight="1">
      <c r="A3212" s="1074"/>
      <c r="B3212" s="1075"/>
      <c r="C3212" s="1076"/>
      <c r="D3212" s="1077"/>
      <c r="E3212" s="1077"/>
      <c r="F3212" s="1078"/>
      <c r="G3212" s="1074"/>
      <c r="H3212" s="1075"/>
      <c r="I3212" s="1076"/>
      <c r="J3212" s="1077"/>
    </row>
    <row r="3213" spans="1:15" ht="11.25" customHeight="1">
      <c r="A3213" s="1075"/>
      <c r="B3213" s="1075"/>
      <c r="C3213" s="1079"/>
      <c r="D3213" s="1080"/>
      <c r="E3213" s="1075"/>
      <c r="F3213" s="1081"/>
      <c r="G3213" s="1075"/>
      <c r="H3213" s="1075"/>
      <c r="I3213" s="1079"/>
      <c r="J3213" s="1080"/>
    </row>
    <row r="3214" spans="1:15" ht="15" customHeight="1">
      <c r="A3214" s="2242" t="str">
        <f>$K$2</f>
        <v>THÁNG 09/2024</v>
      </c>
      <c r="B3214" s="2242"/>
      <c r="C3214" s="2242"/>
      <c r="D3214" s="2242"/>
      <c r="E3214" s="1050"/>
      <c r="F3214" s="1051"/>
      <c r="G3214" s="2242" t="str">
        <f>$K$2</f>
        <v>THÁNG 09/2024</v>
      </c>
      <c r="H3214" s="2242"/>
      <c r="I3214" s="2242"/>
      <c r="J3214" s="2242"/>
      <c r="K3214" s="624"/>
    </row>
    <row r="3215" spans="1:15" ht="15" customHeight="1">
      <c r="A3215" s="1052" t="s">
        <v>356</v>
      </c>
      <c r="B3215" s="1053" t="s">
        <v>302</v>
      </c>
      <c r="C3215" s="869"/>
      <c r="D3215" s="1049"/>
      <c r="E3215" s="1054"/>
      <c r="F3215" s="1055"/>
      <c r="G3215" s="1052" t="s">
        <v>356</v>
      </c>
      <c r="H3215" s="1053" t="s">
        <v>303</v>
      </c>
      <c r="I3215" s="869"/>
      <c r="J3215" s="1049"/>
      <c r="L3215" s="1088"/>
      <c r="M3215" s="1088"/>
      <c r="N3215" s="1088"/>
      <c r="O3215" s="1088"/>
    </row>
    <row r="3216" spans="1:15" ht="15" customHeight="1">
      <c r="A3216" s="1052" t="s">
        <v>359</v>
      </c>
      <c r="B3216" s="1089" t="s">
        <v>360</v>
      </c>
      <c r="C3216" s="1058" t="e">
        <f>VLOOKUP(B3215,'LƯƠNG KT'!$D$15:$U$94,3,0)</f>
        <v>#N/A</v>
      </c>
      <c r="D3216" s="1059" t="e">
        <f>+C3216*25000</f>
        <v>#N/A</v>
      </c>
      <c r="E3216" s="1060"/>
      <c r="F3216" s="1060"/>
      <c r="G3216" s="1052" t="s">
        <v>359</v>
      </c>
      <c r="H3216" s="1089" t="s">
        <v>360</v>
      </c>
      <c r="I3216" s="1058" t="e">
        <f>VLOOKUP(H3215,'LƯƠNG KT'!$D$15:$U$94,3,0)</f>
        <v>#N/A</v>
      </c>
      <c r="J3216" s="1059" t="e">
        <f>+I3216*25000</f>
        <v>#N/A</v>
      </c>
      <c r="K3216" s="1085"/>
      <c r="L3216" s="1085"/>
      <c r="M3216" s="1085"/>
      <c r="N3216" s="1085"/>
      <c r="O3216" s="1085"/>
    </row>
    <row r="3217" spans="1:15" ht="15" customHeight="1">
      <c r="A3217" s="1052" t="s">
        <v>361</v>
      </c>
      <c r="B3217" s="869" t="s">
        <v>362</v>
      </c>
      <c r="C3217" s="1058" t="e">
        <f>VLOOKUP(B3215,'LƯƠNG KT'!$D$15:$U$94,14,0)</f>
        <v>#N/A</v>
      </c>
      <c r="D3217" s="1059" t="e">
        <f>C3217*$L$4</f>
        <v>#N/A</v>
      </c>
      <c r="E3217" s="1061"/>
      <c r="F3217" s="1061"/>
      <c r="G3217" s="1052" t="s">
        <v>361</v>
      </c>
      <c r="H3217" s="869" t="s">
        <v>362</v>
      </c>
      <c r="I3217" s="1058" t="e">
        <f>VLOOKUP(H3215,'LƯƠNG KT'!$D$15:$U$94,14,0)</f>
        <v>#N/A</v>
      </c>
      <c r="J3217" s="1059" t="e">
        <f>I3217*$L$4</f>
        <v>#N/A</v>
      </c>
      <c r="K3217" s="1085"/>
      <c r="L3217" s="1085"/>
      <c r="M3217" s="1085"/>
      <c r="N3217" s="1085"/>
      <c r="O3217" s="1085"/>
    </row>
    <row r="3218" spans="1:15" ht="15" customHeight="1">
      <c r="A3218" s="1052" t="s">
        <v>364</v>
      </c>
      <c r="B3218" s="869" t="s">
        <v>365</v>
      </c>
      <c r="C3218" s="1058" t="e">
        <f>VLOOKUP(B3215,'LƯƠNG KT'!$D$15:$U$94,15,0)</f>
        <v>#N/A</v>
      </c>
      <c r="D3218" s="1059" t="e">
        <f>C3218*$L$5</f>
        <v>#N/A</v>
      </c>
      <c r="E3218" s="1061"/>
      <c r="F3218" s="1061"/>
      <c r="G3218" s="1052" t="s">
        <v>364</v>
      </c>
      <c r="H3218" s="869" t="s">
        <v>365</v>
      </c>
      <c r="I3218" s="1058" t="e">
        <f>VLOOKUP(H3215,'LƯƠNG KT'!$D$15:$U$94,15,0)</f>
        <v>#N/A</v>
      </c>
      <c r="J3218" s="1059" t="e">
        <f>I3218*$L$5</f>
        <v>#N/A</v>
      </c>
      <c r="K3218" s="1085"/>
      <c r="L3218" s="1085"/>
      <c r="M3218" s="1085"/>
      <c r="N3218" s="1085"/>
      <c r="O3218" s="1085"/>
    </row>
    <row r="3219" spans="1:15" ht="15" customHeight="1">
      <c r="A3219" s="1052" t="s">
        <v>367</v>
      </c>
      <c r="B3219" s="869"/>
      <c r="C3219" s="1058" t="e">
        <f>VLOOKUP(B3215,'LƯƠNG KT'!$D$15:$U$94,16,0)</f>
        <v>#N/A</v>
      </c>
      <c r="D3219" s="1059" t="e">
        <f>+C3219*$L$6</f>
        <v>#N/A</v>
      </c>
      <c r="E3219" s="1061"/>
      <c r="F3219" s="1061"/>
      <c r="G3219" s="1052" t="s">
        <v>367</v>
      </c>
      <c r="H3219" s="869"/>
      <c r="I3219" s="1058" t="e">
        <f>VLOOKUP(H3215,'LƯƠNG KT'!$D$15:$U$94,16,0)</f>
        <v>#N/A</v>
      </c>
      <c r="J3219" s="1059" t="e">
        <f>+I3219*$L$6</f>
        <v>#N/A</v>
      </c>
      <c r="K3219" s="1085"/>
      <c r="L3219" s="1085"/>
      <c r="M3219" s="1085"/>
      <c r="N3219" s="1085"/>
      <c r="O3219" s="1085"/>
    </row>
    <row r="3220" spans="1:15" ht="15" customHeight="1">
      <c r="A3220" s="1052" t="s">
        <v>515</v>
      </c>
      <c r="B3220" s="869"/>
      <c r="C3220" s="1058" t="e">
        <f>VLOOKUP(B3215,'LƯƠNG KT'!$D$15:$U$94,17,0)</f>
        <v>#N/A</v>
      </c>
      <c r="D3220" s="1059" t="e">
        <f>+C3220*$L$7</f>
        <v>#N/A</v>
      </c>
      <c r="E3220" s="1061"/>
      <c r="F3220" s="1061"/>
      <c r="G3220" s="1052" t="s">
        <v>515</v>
      </c>
      <c r="H3220" s="869"/>
      <c r="I3220" s="1058" t="e">
        <f>VLOOKUP(H3215,'LƯƠNG KT'!$D$15:$U$94,17,0)</f>
        <v>#N/A</v>
      </c>
      <c r="J3220" s="1059" t="e">
        <f>+I3220*$L$7</f>
        <v>#N/A</v>
      </c>
      <c r="K3220" s="1085"/>
      <c r="L3220" s="1085"/>
      <c r="M3220" s="1085"/>
      <c r="N3220" s="1085"/>
      <c r="O3220" s="1085"/>
    </row>
    <row r="3221" spans="1:15" ht="15" customHeight="1">
      <c r="A3221" s="1052" t="s">
        <v>519</v>
      </c>
      <c r="B3221" s="869"/>
      <c r="C3221" s="1058"/>
      <c r="D3221" s="1059" t="e">
        <f>VLOOKUP(B3215,'LƯƠNG KT'!$D$15:$U$94,18,0)</f>
        <v>#N/A</v>
      </c>
      <c r="E3221" s="1061"/>
      <c r="F3221" s="1061"/>
      <c r="G3221" s="1052" t="s">
        <v>519</v>
      </c>
      <c r="H3221" s="869"/>
      <c r="I3221" s="1058"/>
      <c r="J3221" s="1059" t="e">
        <f>VLOOKUP(H3215,'LƯƠNG KT'!$D$15:$U$94,18,0)</f>
        <v>#N/A</v>
      </c>
      <c r="K3221" s="1085"/>
      <c r="L3221" s="1085"/>
      <c r="M3221" s="1085"/>
      <c r="N3221" s="1085"/>
      <c r="O3221" s="1085"/>
    </row>
    <row r="3222" spans="1:15" ht="15" customHeight="1">
      <c r="A3222" s="1052" t="s">
        <v>371</v>
      </c>
      <c r="B3222" s="869" t="s">
        <v>372</v>
      </c>
      <c r="C3222" s="1058" t="e">
        <f>VLOOKUP(B3215,'LƯƠNG KT'!$D$15:$U$94,9,0)*$L$10</f>
        <v>#N/A</v>
      </c>
      <c r="D3222" s="1059" t="e">
        <f>+C3222*0.5*3000</f>
        <v>#N/A</v>
      </c>
      <c r="E3222" s="1061"/>
      <c r="F3222" s="1061"/>
      <c r="G3222" s="1052" t="s">
        <v>371</v>
      </c>
      <c r="H3222" s="869" t="s">
        <v>372</v>
      </c>
      <c r="I3222" s="1058" t="e">
        <f>VLOOKUP(H3215,'LƯƠNG KT'!$D$15:$U$94,9,0)*$L$10</f>
        <v>#N/A</v>
      </c>
      <c r="J3222" s="1059" t="e">
        <f>+I3222*0.5*3000</f>
        <v>#N/A</v>
      </c>
      <c r="K3222" s="1085"/>
      <c r="L3222" s="1085"/>
      <c r="M3222" s="1085"/>
      <c r="N3222" s="1085"/>
      <c r="O3222" s="1085"/>
    </row>
    <row r="3223" spans="1:15" ht="15" customHeight="1">
      <c r="A3223" s="1052" t="s">
        <v>374</v>
      </c>
      <c r="B3223" s="869" t="s">
        <v>375</v>
      </c>
      <c r="C3223" s="1058" t="e">
        <f>VLOOKUP(B3215,'LƯƠNG KT'!$D$15:$U$94,8,0)*$L$11</f>
        <v>#N/A</v>
      </c>
      <c r="D3223" s="1059" t="e">
        <f>VLOOKUP(B3215,'LƯƠNG KT'!$D$15:$U$94,13,0)-D3222</f>
        <v>#N/A</v>
      </c>
      <c r="E3223" s="1063"/>
      <c r="F3223" s="1061"/>
      <c r="G3223" s="1052" t="s">
        <v>374</v>
      </c>
      <c r="H3223" s="869" t="s">
        <v>375</v>
      </c>
      <c r="I3223" s="1058" t="e">
        <f>VLOOKUP(H3215,'LƯƠNG KT'!$D$15:$U$94,8,0)*$L$11</f>
        <v>#N/A</v>
      </c>
      <c r="J3223" s="1059" t="e">
        <f>VLOOKUP(H3215,'LƯƠNG KT'!$D$15:$U$94,13,0)-J3222</f>
        <v>#N/A</v>
      </c>
      <c r="K3223" s="1085"/>
      <c r="L3223" s="1085"/>
      <c r="M3223" s="1085"/>
      <c r="N3223" s="1085"/>
      <c r="O3223" s="1085"/>
    </row>
    <row r="3224" spans="1:15" ht="15" customHeight="1">
      <c r="A3224" s="1059" t="s">
        <v>377</v>
      </c>
      <c r="B3224" s="869" t="s">
        <v>378</v>
      </c>
      <c r="C3224" s="1058"/>
      <c r="D3224" s="1059"/>
      <c r="E3224" s="1065"/>
      <c r="F3224" s="1065"/>
      <c r="G3224" s="1059" t="s">
        <v>377</v>
      </c>
      <c r="H3224" s="869" t="s">
        <v>378</v>
      </c>
      <c r="I3224" s="1058"/>
      <c r="J3224" s="1059"/>
    </row>
    <row r="3225" spans="1:15" ht="15" customHeight="1">
      <c r="A3225" s="1066" t="s">
        <v>379</v>
      </c>
      <c r="B3225" s="869" t="s">
        <v>380</v>
      </c>
      <c r="C3225" s="1058"/>
      <c r="D3225" s="1059"/>
      <c r="E3225" s="1063"/>
      <c r="F3225" s="1065"/>
      <c r="G3225" s="1066" t="s">
        <v>379</v>
      </c>
      <c r="H3225" s="869" t="s">
        <v>380</v>
      </c>
      <c r="I3225" s="1058"/>
      <c r="J3225" s="1059"/>
    </row>
    <row r="3226" spans="1:15" ht="15" customHeight="1">
      <c r="A3226" s="1068" t="s">
        <v>383</v>
      </c>
      <c r="B3226" s="1069" t="s">
        <v>384</v>
      </c>
      <c r="C3226" s="1070"/>
      <c r="D3226" s="1071" t="e">
        <f>SUM(D3216:D3223)</f>
        <v>#N/A</v>
      </c>
      <c r="E3226" s="1072"/>
      <c r="F3226" s="1073"/>
      <c r="G3226" s="1068" t="s">
        <v>383</v>
      </c>
      <c r="H3226" s="1069" t="s">
        <v>384</v>
      </c>
      <c r="I3226" s="1070"/>
      <c r="J3226" s="1071" t="e">
        <f>SUM(J3216:J3223)</f>
        <v>#N/A</v>
      </c>
    </row>
    <row r="3227" spans="1:15" ht="12" customHeight="1">
      <c r="A3227" s="2243"/>
      <c r="B3227" s="2243"/>
      <c r="C3227" s="2243"/>
      <c r="D3227" s="2243"/>
      <c r="E3227" s="2243"/>
      <c r="F3227" s="2243"/>
      <c r="G3227" s="2243"/>
      <c r="H3227" s="2243"/>
      <c r="I3227" s="2243"/>
      <c r="J3227" s="2243"/>
    </row>
    <row r="3228" spans="1:15" ht="15" customHeight="1">
      <c r="A3228" s="2242" t="str">
        <f>$K$2</f>
        <v>THÁNG 09/2024</v>
      </c>
      <c r="B3228" s="2242"/>
      <c r="C3228" s="2242"/>
      <c r="D3228" s="2242"/>
      <c r="E3228" s="1050"/>
      <c r="F3228" s="1051"/>
      <c r="G3228" s="2242" t="str">
        <f>$K$2</f>
        <v>THÁNG 09/2024</v>
      </c>
      <c r="H3228" s="2242"/>
      <c r="I3228" s="2242"/>
      <c r="J3228" s="2242"/>
      <c r="K3228" s="624"/>
    </row>
    <row r="3229" spans="1:15" ht="15" customHeight="1">
      <c r="A3229" s="1052" t="s">
        <v>356</v>
      </c>
      <c r="B3229" s="1053" t="s">
        <v>304</v>
      </c>
      <c r="C3229" s="869"/>
      <c r="D3229" s="1049"/>
      <c r="E3229" s="1054"/>
      <c r="F3229" s="1055"/>
      <c r="G3229" s="1052" t="s">
        <v>356</v>
      </c>
      <c r="H3229" s="1053" t="s">
        <v>331</v>
      </c>
      <c r="I3229" s="869"/>
      <c r="J3229" s="1049"/>
      <c r="L3229" s="1088"/>
      <c r="M3229" s="1088"/>
      <c r="N3229" s="1088"/>
      <c r="O3229" s="1088"/>
    </row>
    <row r="3230" spans="1:15" ht="15" customHeight="1">
      <c r="A3230" s="1052" t="s">
        <v>359</v>
      </c>
      <c r="B3230" s="1089" t="s">
        <v>360</v>
      </c>
      <c r="C3230" s="1058" t="e">
        <f>VLOOKUP(B3229,'LƯƠNG KT'!$D$15:$U$94,3,0)</f>
        <v>#N/A</v>
      </c>
      <c r="D3230" s="1059" t="e">
        <f>+C3230*25000</f>
        <v>#N/A</v>
      </c>
      <c r="E3230" s="1060"/>
      <c r="F3230" s="1060"/>
      <c r="G3230" s="1052" t="s">
        <v>359</v>
      </c>
      <c r="H3230" s="1089" t="s">
        <v>360</v>
      </c>
      <c r="I3230" s="1058" t="e">
        <f>VLOOKUP(H3229,'LƯƠNG KT'!$D$15:$U$94,3,0)</f>
        <v>#N/A</v>
      </c>
      <c r="J3230" s="1059" t="e">
        <f>+I3230*25000</f>
        <v>#N/A</v>
      </c>
      <c r="K3230" s="1084"/>
      <c r="L3230" s="1085"/>
      <c r="M3230" s="1085"/>
      <c r="N3230" s="1085"/>
      <c r="O3230" s="1085"/>
    </row>
    <row r="3231" spans="1:15" ht="15" customHeight="1">
      <c r="A3231" s="1052" t="s">
        <v>361</v>
      </c>
      <c r="B3231" s="869" t="s">
        <v>362</v>
      </c>
      <c r="C3231" s="1058" t="e">
        <f>VLOOKUP(B3229,'LƯƠNG KT'!$D$15:$U$94,14,0)</f>
        <v>#N/A</v>
      </c>
      <c r="D3231" s="1059" t="e">
        <f>C3231*$L$4</f>
        <v>#N/A</v>
      </c>
      <c r="E3231" s="1061"/>
      <c r="F3231" s="1061"/>
      <c r="G3231" s="1052" t="s">
        <v>361</v>
      </c>
      <c r="H3231" s="869" t="s">
        <v>362</v>
      </c>
      <c r="I3231" s="1058" t="e">
        <f>VLOOKUP(H3229,'LƯƠNG KT'!$D$15:$U$94,14,0)</f>
        <v>#N/A</v>
      </c>
      <c r="J3231" s="1059" t="e">
        <f>I3231*$L$4</f>
        <v>#N/A</v>
      </c>
      <c r="K3231" s="1084"/>
      <c r="L3231" s="1085"/>
      <c r="M3231" s="1085"/>
      <c r="N3231" s="1085"/>
      <c r="O3231" s="1085"/>
    </row>
    <row r="3232" spans="1:15" ht="15" customHeight="1">
      <c r="A3232" s="1052" t="s">
        <v>364</v>
      </c>
      <c r="B3232" s="869" t="s">
        <v>365</v>
      </c>
      <c r="C3232" s="1058" t="e">
        <f>VLOOKUP(B3229,'LƯƠNG KT'!$D$15:$U$94,15,0)</f>
        <v>#N/A</v>
      </c>
      <c r="D3232" s="1059" t="e">
        <f>C3232*$L$5</f>
        <v>#N/A</v>
      </c>
      <c r="E3232" s="1061"/>
      <c r="F3232" s="1061"/>
      <c r="G3232" s="1052" t="s">
        <v>364</v>
      </c>
      <c r="H3232" s="869" t="s">
        <v>365</v>
      </c>
      <c r="I3232" s="1058" t="e">
        <f>VLOOKUP(H3229,'LƯƠNG KT'!$D$15:$U$94,15,0)</f>
        <v>#N/A</v>
      </c>
      <c r="J3232" s="1059" t="e">
        <f>I3232*$L$5</f>
        <v>#N/A</v>
      </c>
      <c r="K3232" s="1084"/>
      <c r="L3232" s="1085"/>
      <c r="M3232" s="1085"/>
      <c r="N3232" s="1085"/>
      <c r="O3232" s="1085"/>
    </row>
    <row r="3233" spans="1:15" ht="15" customHeight="1">
      <c r="A3233" s="1052" t="s">
        <v>367</v>
      </c>
      <c r="B3233" s="869"/>
      <c r="C3233" s="1058" t="e">
        <f>VLOOKUP(B3229,'LƯƠNG KT'!$D$15:$U$94,16,0)</f>
        <v>#N/A</v>
      </c>
      <c r="D3233" s="1059" t="e">
        <f>+C3233*$L$6</f>
        <v>#N/A</v>
      </c>
      <c r="E3233" s="1061"/>
      <c r="F3233" s="1061"/>
      <c r="G3233" s="1052" t="s">
        <v>367</v>
      </c>
      <c r="H3233" s="869"/>
      <c r="I3233" s="1058" t="e">
        <f>VLOOKUP(H3229,'LƯƠNG KT'!$D$15:$U$94,16,0)</f>
        <v>#N/A</v>
      </c>
      <c r="J3233" s="1059" t="e">
        <f>+I3233*$L$6</f>
        <v>#N/A</v>
      </c>
      <c r="K3233" s="1085"/>
      <c r="L3233" s="1085"/>
      <c r="M3233" s="1085"/>
      <c r="N3233" s="1085"/>
      <c r="O3233" s="1085"/>
    </row>
    <row r="3234" spans="1:15" ht="15" customHeight="1">
      <c r="A3234" s="1052" t="s">
        <v>515</v>
      </c>
      <c r="B3234" s="869"/>
      <c r="C3234" s="1058" t="e">
        <f>VLOOKUP(B3229,'LƯƠNG KT'!$D$15:$U$94,17,0)</f>
        <v>#N/A</v>
      </c>
      <c r="D3234" s="1059" t="e">
        <f>+C3234*$L$7</f>
        <v>#N/A</v>
      </c>
      <c r="E3234" s="1061"/>
      <c r="F3234" s="1061"/>
      <c r="G3234" s="1052" t="s">
        <v>515</v>
      </c>
      <c r="H3234" s="869"/>
      <c r="I3234" s="1058" t="e">
        <f>VLOOKUP(H3229,'LƯƠNG KT'!$D$15:$U$94,17,0)</f>
        <v>#N/A</v>
      </c>
      <c r="J3234" s="1059" t="e">
        <f>+I3234*$L$7</f>
        <v>#N/A</v>
      </c>
      <c r="K3234" s="1085"/>
      <c r="L3234" s="1085"/>
      <c r="M3234" s="1085"/>
      <c r="N3234" s="1085"/>
      <c r="O3234" s="1085"/>
    </row>
    <row r="3235" spans="1:15" ht="15" customHeight="1">
      <c r="A3235" s="1052" t="s">
        <v>519</v>
      </c>
      <c r="B3235" s="869"/>
      <c r="C3235" s="1058"/>
      <c r="D3235" s="1059" t="e">
        <f>VLOOKUP(B3229,'LƯƠNG KT'!$D$15:$U$94,18,0)</f>
        <v>#N/A</v>
      </c>
      <c r="E3235" s="1061"/>
      <c r="F3235" s="1061"/>
      <c r="G3235" s="1052" t="s">
        <v>519</v>
      </c>
      <c r="H3235" s="869"/>
      <c r="I3235" s="1058" t="e">
        <f>VLOOKUP(H3229,'LƯƠNG KT'!$D$15:$U$94,19,0)</f>
        <v>#N/A</v>
      </c>
      <c r="J3235" s="1059" t="e">
        <f>I3235*20000</f>
        <v>#N/A</v>
      </c>
      <c r="K3235" s="1085"/>
      <c r="L3235" s="1085"/>
      <c r="M3235" s="1085"/>
      <c r="N3235" s="1085"/>
      <c r="O3235" s="1085"/>
    </row>
    <row r="3236" spans="1:15" ht="15" customHeight="1">
      <c r="A3236" s="1052" t="s">
        <v>371</v>
      </c>
      <c r="B3236" s="869" t="s">
        <v>372</v>
      </c>
      <c r="C3236" s="1058" t="e">
        <f>VLOOKUP(B3229,'LƯƠNG KT'!$D$15:$U$94,9,0)*$L$10</f>
        <v>#N/A</v>
      </c>
      <c r="D3236" s="1059" t="e">
        <f>+C3236*0.5*3000</f>
        <v>#N/A</v>
      </c>
      <c r="E3236" s="1061"/>
      <c r="F3236" s="1061"/>
      <c r="G3236" s="1052" t="s">
        <v>371</v>
      </c>
      <c r="H3236" s="869" t="s">
        <v>372</v>
      </c>
      <c r="I3236" s="1058" t="e">
        <f>VLOOKUP(H3229,'LƯƠNG KT'!$D$15:$U$94,9,0)*$L$10</f>
        <v>#N/A</v>
      </c>
      <c r="J3236" s="1059" t="e">
        <f>+I3236*0.5*3000</f>
        <v>#N/A</v>
      </c>
      <c r="K3236" s="1085"/>
      <c r="L3236" s="1085"/>
      <c r="M3236" s="1085"/>
      <c r="N3236" s="1085"/>
      <c r="O3236" s="1085"/>
    </row>
    <row r="3237" spans="1:15" ht="15" customHeight="1">
      <c r="A3237" s="1052" t="s">
        <v>374</v>
      </c>
      <c r="B3237" s="869" t="s">
        <v>375</v>
      </c>
      <c r="C3237" s="1058" t="e">
        <f>VLOOKUP(B3229,'LƯƠNG KT'!$D$15:$U$94,8,0)*$L$11</f>
        <v>#N/A</v>
      </c>
      <c r="D3237" s="1059" t="e">
        <f>VLOOKUP(B3229,'LƯƠNG KT'!$D$15:$U$94,13,0)-D3236</f>
        <v>#N/A</v>
      </c>
      <c r="E3237" s="1063"/>
      <c r="F3237" s="1061"/>
      <c r="G3237" s="1052" t="s">
        <v>374</v>
      </c>
      <c r="H3237" s="869" t="s">
        <v>375</v>
      </c>
      <c r="I3237" s="1058" t="e">
        <f>VLOOKUP(H3229,'LƯƠNG KT'!$D$15:$U$94,8,0)*$L$11</f>
        <v>#N/A</v>
      </c>
      <c r="J3237" s="1059" t="e">
        <f>VLOOKUP(H3229,'LƯƠNG KT'!$D$15:$U$94,13,0)-J3236</f>
        <v>#N/A</v>
      </c>
      <c r="K3237" s="1085"/>
      <c r="L3237" s="1085"/>
      <c r="M3237" s="1085"/>
      <c r="N3237" s="1085"/>
      <c r="O3237" s="1085"/>
    </row>
    <row r="3238" spans="1:15" ht="15" customHeight="1">
      <c r="A3238" s="1059" t="s">
        <v>377</v>
      </c>
      <c r="B3238" s="869" t="s">
        <v>378</v>
      </c>
      <c r="C3238" s="1058"/>
      <c r="D3238" s="1059"/>
      <c r="E3238" s="1065"/>
      <c r="F3238" s="1065"/>
      <c r="G3238" s="1059" t="s">
        <v>377</v>
      </c>
      <c r="H3238" s="869" t="s">
        <v>378</v>
      </c>
      <c r="I3238" s="1058"/>
      <c r="J3238" s="1059"/>
    </row>
    <row r="3239" spans="1:15" ht="15" customHeight="1">
      <c r="A3239" s="1066" t="s">
        <v>379</v>
      </c>
      <c r="B3239" s="869" t="s">
        <v>380</v>
      </c>
      <c r="C3239" s="1058"/>
      <c r="D3239" s="1059"/>
      <c r="E3239" s="1063"/>
      <c r="F3239" s="1065"/>
      <c r="G3239" s="1066" t="s">
        <v>379</v>
      </c>
      <c r="H3239" s="869" t="s">
        <v>380</v>
      </c>
      <c r="I3239" s="1058"/>
      <c r="J3239" s="1059"/>
    </row>
    <row r="3240" spans="1:15" ht="15" customHeight="1">
      <c r="A3240" s="1068" t="s">
        <v>383</v>
      </c>
      <c r="B3240" s="1069" t="s">
        <v>384</v>
      </c>
      <c r="C3240" s="1070"/>
      <c r="D3240" s="1071" t="e">
        <f>SUM(D3230:D3237)</f>
        <v>#N/A</v>
      </c>
      <c r="E3240" s="1072"/>
      <c r="F3240" s="1073"/>
      <c r="G3240" s="1068" t="s">
        <v>383</v>
      </c>
      <c r="H3240" s="1069" t="s">
        <v>384</v>
      </c>
      <c r="I3240" s="1070"/>
      <c r="J3240" s="1071" t="e">
        <f>SUM(J3230:J3237)</f>
        <v>#N/A</v>
      </c>
    </row>
    <row r="3241" spans="1:15" ht="12.6" customHeight="1">
      <c r="A3241" s="1074"/>
      <c r="B3241" s="1075"/>
      <c r="C3241" s="1076"/>
      <c r="D3241" s="1077"/>
      <c r="E3241" s="1077"/>
      <c r="F3241" s="1078"/>
      <c r="G3241" s="1074"/>
      <c r="H3241" s="1075"/>
      <c r="I3241" s="1076"/>
      <c r="J3241" s="1077"/>
    </row>
    <row r="3242" spans="1:15" ht="12.6" customHeight="1">
      <c r="A3242" s="1075"/>
      <c r="B3242" s="1075"/>
      <c r="C3242" s="1079"/>
      <c r="D3242" s="1080"/>
      <c r="E3242" s="1075"/>
      <c r="F3242" s="1081"/>
      <c r="G3242" s="1075"/>
      <c r="H3242" s="1075"/>
      <c r="I3242" s="1079"/>
      <c r="J3242" s="1080"/>
    </row>
    <row r="3243" spans="1:15" ht="15" customHeight="1">
      <c r="A3243" s="2242" t="str">
        <f>$K$2</f>
        <v>THÁNG 09/2024</v>
      </c>
      <c r="B3243" s="2242"/>
      <c r="C3243" s="2242"/>
      <c r="D3243" s="2242"/>
      <c r="E3243" s="1050"/>
      <c r="F3243" s="1051"/>
      <c r="G3243" s="2242" t="str">
        <f>$K$2</f>
        <v>THÁNG 09/2024</v>
      </c>
      <c r="H3243" s="2242"/>
      <c r="I3243" s="2242"/>
      <c r="J3243" s="2242"/>
      <c r="K3243" s="624"/>
    </row>
    <row r="3244" spans="1:15" ht="15" customHeight="1">
      <c r="A3244" s="1052" t="s">
        <v>356</v>
      </c>
      <c r="B3244" s="1053" t="s">
        <v>332</v>
      </c>
      <c r="C3244" s="869"/>
      <c r="D3244" s="1049"/>
      <c r="E3244" s="1054"/>
      <c r="F3244" s="1055"/>
      <c r="G3244" s="1052" t="s">
        <v>356</v>
      </c>
      <c r="H3244" s="1053" t="s">
        <v>333</v>
      </c>
      <c r="I3244" s="869"/>
      <c r="J3244" s="1049"/>
      <c r="L3244" s="1088"/>
      <c r="M3244" s="1088"/>
      <c r="N3244" s="1088"/>
      <c r="O3244" s="1088"/>
    </row>
    <row r="3245" spans="1:15" ht="15" customHeight="1">
      <c r="A3245" s="1052" t="s">
        <v>359</v>
      </c>
      <c r="B3245" s="1089" t="s">
        <v>360</v>
      </c>
      <c r="C3245" s="1058" t="e">
        <f>VLOOKUP(B3244,'LƯƠNG KT'!$D$15:$U$94,3,0)</f>
        <v>#N/A</v>
      </c>
      <c r="D3245" s="1059" t="e">
        <f>+C3245*25000</f>
        <v>#N/A</v>
      </c>
      <c r="E3245" s="1060"/>
      <c r="F3245" s="1060"/>
      <c r="G3245" s="1052" t="s">
        <v>359</v>
      </c>
      <c r="H3245" s="1089" t="s">
        <v>360</v>
      </c>
      <c r="I3245" s="1058" t="e">
        <f>VLOOKUP(H3244,'LƯƠNG KT'!$D$15:$U$94,3,0)</f>
        <v>#N/A</v>
      </c>
      <c r="J3245" s="1059" t="e">
        <f>+I3245*25000</f>
        <v>#N/A</v>
      </c>
      <c r="K3245" s="1085"/>
      <c r="L3245" s="1085"/>
      <c r="M3245" s="1085"/>
      <c r="N3245" s="1085"/>
      <c r="O3245" s="1085"/>
    </row>
    <row r="3246" spans="1:15" ht="15" customHeight="1">
      <c r="A3246" s="1052" t="s">
        <v>361</v>
      </c>
      <c r="B3246" s="869" t="s">
        <v>362</v>
      </c>
      <c r="C3246" s="1058" t="e">
        <f>VLOOKUP(B3244,'LƯƠNG KT'!$D$15:$U$94,14,0)</f>
        <v>#N/A</v>
      </c>
      <c r="D3246" s="1059" t="e">
        <f>C3246*$L$4</f>
        <v>#N/A</v>
      </c>
      <c r="E3246" s="1061"/>
      <c r="F3246" s="1061"/>
      <c r="G3246" s="1052" t="s">
        <v>361</v>
      </c>
      <c r="H3246" s="869" t="s">
        <v>362</v>
      </c>
      <c r="I3246" s="1058" t="e">
        <f>VLOOKUP(H3244,'LƯƠNG KT'!$D$15:$U$94,14,0)</f>
        <v>#N/A</v>
      </c>
      <c r="J3246" s="1059" t="e">
        <f>I3246*$L$4</f>
        <v>#N/A</v>
      </c>
      <c r="K3246" s="1085"/>
      <c r="L3246" s="1085"/>
      <c r="M3246" s="1085"/>
      <c r="N3246" s="1085"/>
      <c r="O3246" s="1085"/>
    </row>
    <row r="3247" spans="1:15" ht="15" customHeight="1">
      <c r="A3247" s="1052" t="s">
        <v>364</v>
      </c>
      <c r="B3247" s="869" t="s">
        <v>365</v>
      </c>
      <c r="C3247" s="1058" t="e">
        <f>VLOOKUP(B3244,'LƯƠNG KT'!$D$15:$U$94,15,0)</f>
        <v>#N/A</v>
      </c>
      <c r="D3247" s="1059" t="e">
        <f>C3247*$L$5</f>
        <v>#N/A</v>
      </c>
      <c r="E3247" s="1061"/>
      <c r="F3247" s="1061"/>
      <c r="G3247" s="1052" t="s">
        <v>364</v>
      </c>
      <c r="H3247" s="869" t="s">
        <v>365</v>
      </c>
      <c r="I3247" s="1058" t="e">
        <f>VLOOKUP(H3244,'LƯƠNG KT'!$D$15:$U$94,15,0)</f>
        <v>#N/A</v>
      </c>
      <c r="J3247" s="1059" t="e">
        <f>I3247*$L$5</f>
        <v>#N/A</v>
      </c>
      <c r="K3247" s="1085"/>
      <c r="L3247" s="1085"/>
      <c r="M3247" s="1085"/>
      <c r="N3247" s="1085"/>
      <c r="O3247" s="1085"/>
    </row>
    <row r="3248" spans="1:15" ht="15" customHeight="1">
      <c r="A3248" s="1052" t="s">
        <v>367</v>
      </c>
      <c r="B3248" s="869"/>
      <c r="C3248" s="1058" t="e">
        <f>VLOOKUP(B3244,'LƯƠNG KT'!$D$15:$U$94,16,0)</f>
        <v>#N/A</v>
      </c>
      <c r="D3248" s="1059" t="e">
        <f>+C3248*$L$6</f>
        <v>#N/A</v>
      </c>
      <c r="E3248" s="1061"/>
      <c r="F3248" s="1061"/>
      <c r="G3248" s="1052" t="s">
        <v>367</v>
      </c>
      <c r="H3248" s="869"/>
      <c r="I3248" s="1058" t="e">
        <f>VLOOKUP(H3244,'LƯƠNG KT'!$D$15:$U$94,16,0)</f>
        <v>#N/A</v>
      </c>
      <c r="J3248" s="1059" t="e">
        <f>+I3248*$L$6</f>
        <v>#N/A</v>
      </c>
      <c r="K3248" s="1085"/>
      <c r="L3248" s="1085"/>
      <c r="M3248" s="1085"/>
      <c r="N3248" s="1085"/>
      <c r="O3248" s="1085"/>
    </row>
    <row r="3249" spans="1:15" ht="15" customHeight="1">
      <c r="A3249" s="1052" t="s">
        <v>515</v>
      </c>
      <c r="B3249" s="869"/>
      <c r="C3249" s="1058" t="e">
        <f>VLOOKUP(B3244,'LƯƠNG KT'!$D$15:$U$94,17,0)</f>
        <v>#N/A</v>
      </c>
      <c r="D3249" s="1059" t="e">
        <f>+C3249*$L$7</f>
        <v>#N/A</v>
      </c>
      <c r="E3249" s="1061"/>
      <c r="F3249" s="1061"/>
      <c r="G3249" s="1052" t="s">
        <v>515</v>
      </c>
      <c r="H3249" s="869"/>
      <c r="I3249" s="1058" t="e">
        <f>VLOOKUP(H3244,'LƯƠNG KT'!$D$15:$U$94,17,0)</f>
        <v>#N/A</v>
      </c>
      <c r="J3249" s="1059" t="e">
        <f>+I3249*$L$7</f>
        <v>#N/A</v>
      </c>
      <c r="K3249" s="1085"/>
      <c r="L3249" s="1085"/>
      <c r="M3249" s="1085"/>
      <c r="N3249" s="1085"/>
      <c r="O3249" s="1085"/>
    </row>
    <row r="3250" spans="1:15" ht="15" customHeight="1">
      <c r="A3250" s="1052" t="s">
        <v>519</v>
      </c>
      <c r="B3250" s="869"/>
      <c r="C3250" s="1058" t="e">
        <f>VLOOKUP(B3244,'LƯƠNG KT'!$D$15:$U$94,19,0)</f>
        <v>#N/A</v>
      </c>
      <c r="D3250" s="1059" t="e">
        <f>C3250*20000</f>
        <v>#N/A</v>
      </c>
      <c r="E3250" s="1061"/>
      <c r="F3250" s="1061"/>
      <c r="G3250" s="1052" t="s">
        <v>519</v>
      </c>
      <c r="H3250" s="869"/>
      <c r="I3250" s="1058" t="e">
        <f>VLOOKUP(H3244,'LƯƠNG KT'!$D$15:$U$94,19,0)</f>
        <v>#N/A</v>
      </c>
      <c r="J3250" s="1059" t="e">
        <f>I3250*20000</f>
        <v>#N/A</v>
      </c>
      <c r="K3250" s="1085"/>
      <c r="L3250" s="1085"/>
      <c r="M3250" s="1085"/>
      <c r="N3250" s="1085"/>
      <c r="O3250" s="1085"/>
    </row>
    <row r="3251" spans="1:15" ht="15" customHeight="1">
      <c r="A3251" s="1052" t="s">
        <v>371</v>
      </c>
      <c r="B3251" s="869" t="s">
        <v>372</v>
      </c>
      <c r="C3251" s="1058" t="e">
        <f>VLOOKUP(B3244,'LƯƠNG KT'!$D$15:$U$94,9,0)*$L$10</f>
        <v>#N/A</v>
      </c>
      <c r="D3251" s="1059" t="e">
        <f>+C3251*0.5*3000</f>
        <v>#N/A</v>
      </c>
      <c r="E3251" s="1061"/>
      <c r="F3251" s="1061"/>
      <c r="G3251" s="1052" t="s">
        <v>371</v>
      </c>
      <c r="H3251" s="869" t="s">
        <v>372</v>
      </c>
      <c r="I3251" s="1058" t="e">
        <f>VLOOKUP(H3244,'LƯƠNG KT'!$D$15:$U$94,9,0)*$L$10</f>
        <v>#N/A</v>
      </c>
      <c r="J3251" s="1059" t="e">
        <f>+I3251*0.5*3000</f>
        <v>#N/A</v>
      </c>
      <c r="K3251" s="1085"/>
      <c r="L3251" s="1085"/>
      <c r="M3251" s="1085"/>
      <c r="N3251" s="1085"/>
      <c r="O3251" s="1085"/>
    </row>
    <row r="3252" spans="1:15" ht="15" customHeight="1">
      <c r="A3252" s="1052" t="s">
        <v>374</v>
      </c>
      <c r="B3252" s="869" t="s">
        <v>375</v>
      </c>
      <c r="C3252" s="1058" t="e">
        <f>VLOOKUP(B3244,'LƯƠNG KT'!$D$15:$U$94,8,0)*$L$11</f>
        <v>#N/A</v>
      </c>
      <c r="D3252" s="1059" t="e">
        <f>VLOOKUP(B3244,'LƯƠNG KT'!$D$15:$U$94,13,0)-D3251</f>
        <v>#N/A</v>
      </c>
      <c r="E3252" s="1063"/>
      <c r="F3252" s="1061"/>
      <c r="G3252" s="1052" t="s">
        <v>374</v>
      </c>
      <c r="H3252" s="869" t="s">
        <v>375</v>
      </c>
      <c r="I3252" s="1058" t="e">
        <f>VLOOKUP(H3244,'LƯƠNG KT'!$D$15:$U$94,8,0)*$L$11</f>
        <v>#N/A</v>
      </c>
      <c r="J3252" s="1059" t="e">
        <f>VLOOKUP(H3244,'LƯƠNG KT'!$D$15:$U$94,13,0)-J3251</f>
        <v>#N/A</v>
      </c>
    </row>
    <row r="3253" spans="1:15" ht="15" customHeight="1">
      <c r="A3253" s="1059" t="s">
        <v>377</v>
      </c>
      <c r="B3253" s="869" t="s">
        <v>378</v>
      </c>
      <c r="C3253" s="1058"/>
      <c r="D3253" s="1059"/>
      <c r="E3253" s="1065"/>
      <c r="F3253" s="1065"/>
      <c r="G3253" s="1059" t="s">
        <v>377</v>
      </c>
      <c r="H3253" s="869" t="s">
        <v>378</v>
      </c>
      <c r="I3253" s="1058"/>
      <c r="J3253" s="1059"/>
    </row>
    <row r="3254" spans="1:15" ht="15" customHeight="1">
      <c r="A3254" s="1066" t="s">
        <v>379</v>
      </c>
      <c r="B3254" s="869" t="s">
        <v>380</v>
      </c>
      <c r="C3254" s="1058"/>
      <c r="D3254" s="1059"/>
      <c r="E3254" s="1063"/>
      <c r="F3254" s="1065"/>
      <c r="G3254" s="1066" t="s">
        <v>379</v>
      </c>
      <c r="H3254" s="869" t="s">
        <v>380</v>
      </c>
      <c r="I3254" s="1058"/>
      <c r="J3254" s="1059"/>
    </row>
    <row r="3255" spans="1:15" ht="18" customHeight="1">
      <c r="A3255" s="1068" t="s">
        <v>383</v>
      </c>
      <c r="B3255" s="1069" t="s">
        <v>384</v>
      </c>
      <c r="C3255" s="1070"/>
      <c r="D3255" s="1071" t="e">
        <f>SUM(D3245:D3252)</f>
        <v>#N/A</v>
      </c>
      <c r="E3255" s="1072"/>
      <c r="F3255" s="1073"/>
      <c r="G3255" s="1068" t="s">
        <v>383</v>
      </c>
      <c r="H3255" s="1069" t="s">
        <v>384</v>
      </c>
      <c r="I3255" s="1070"/>
      <c r="J3255" s="1071" t="e">
        <f>SUM(J3245:J3252)</f>
        <v>#N/A</v>
      </c>
    </row>
    <row r="3256" spans="1:15" ht="18" customHeight="1">
      <c r="A3256" s="1097"/>
      <c r="B3256" s="1098"/>
      <c r="C3256" s="1099"/>
      <c r="D3256" s="1100"/>
      <c r="E3256" s="1096"/>
      <c r="F3256" s="1072"/>
      <c r="G3256" s="1097"/>
      <c r="H3256" s="1098"/>
      <c r="I3256" s="1099"/>
      <c r="J3256" s="1100"/>
    </row>
    <row r="3257" spans="1:15" ht="7.5" customHeight="1">
      <c r="A3257" s="1075"/>
      <c r="B3257" s="1075"/>
      <c r="C3257" s="1079"/>
      <c r="D3257" s="1080"/>
      <c r="E3257" s="1075"/>
      <c r="F3257" s="1081"/>
      <c r="G3257" s="1075"/>
      <c r="H3257" s="1075"/>
      <c r="I3257" s="1079"/>
      <c r="J3257" s="1080"/>
    </row>
    <row r="3258" spans="1:15" ht="15" customHeight="1">
      <c r="A3258" s="2242" t="str">
        <f>$K$2</f>
        <v>THÁNG 09/2024</v>
      </c>
      <c r="B3258" s="2242"/>
      <c r="C3258" s="2242"/>
      <c r="D3258" s="2242"/>
      <c r="E3258" s="1050"/>
      <c r="F3258" s="1051"/>
      <c r="G3258" s="2242" t="str">
        <f>$K$2</f>
        <v>THÁNG 09/2024</v>
      </c>
      <c r="H3258" s="2242"/>
      <c r="I3258" s="2242"/>
      <c r="J3258" s="2242"/>
      <c r="K3258" s="624"/>
    </row>
    <row r="3259" spans="1:15" ht="15" customHeight="1">
      <c r="A3259" s="1052" t="s">
        <v>356</v>
      </c>
      <c r="B3259" s="1053" t="s">
        <v>334</v>
      </c>
      <c r="C3259" s="869"/>
      <c r="D3259" s="1049"/>
      <c r="E3259" s="1054"/>
      <c r="F3259" s="1055"/>
      <c r="G3259" s="1052" t="s">
        <v>356</v>
      </c>
      <c r="H3259" s="1053" t="s">
        <v>305</v>
      </c>
      <c r="I3259" s="869"/>
      <c r="J3259" s="1049"/>
      <c r="L3259" s="1088"/>
      <c r="M3259" s="1088"/>
      <c r="N3259" s="1088"/>
      <c r="O3259" s="1088"/>
    </row>
    <row r="3260" spans="1:15" ht="15" customHeight="1">
      <c r="A3260" s="1052" t="s">
        <v>359</v>
      </c>
      <c r="B3260" s="1089" t="s">
        <v>360</v>
      </c>
      <c r="C3260" s="1058" t="e">
        <f>VLOOKUP(B3259,'LƯƠNG KT'!$D$15:$U$94,3,0)</f>
        <v>#N/A</v>
      </c>
      <c r="D3260" s="1059" t="e">
        <f>+C3260*25000</f>
        <v>#N/A</v>
      </c>
      <c r="E3260" s="1060"/>
      <c r="F3260" s="1060"/>
      <c r="G3260" s="1052" t="s">
        <v>359</v>
      </c>
      <c r="H3260" s="1089" t="s">
        <v>360</v>
      </c>
      <c r="I3260" s="1058" t="e">
        <f>VLOOKUP(H3259,'LƯƠNG KT'!$D$15:$U$94,3,0)</f>
        <v>#N/A</v>
      </c>
      <c r="J3260" s="1059" t="e">
        <f>+I3260*25000</f>
        <v>#N/A</v>
      </c>
      <c r="K3260" s="1085"/>
      <c r="L3260" s="1085"/>
      <c r="M3260" s="1085"/>
      <c r="N3260" s="1085"/>
      <c r="O3260" s="1085"/>
    </row>
    <row r="3261" spans="1:15" ht="15" customHeight="1">
      <c r="A3261" s="1052" t="s">
        <v>361</v>
      </c>
      <c r="B3261" s="869" t="s">
        <v>362</v>
      </c>
      <c r="C3261" s="1058" t="e">
        <f>VLOOKUP(B3259,'LƯƠNG KT'!$D$15:$U$94,14,0)</f>
        <v>#N/A</v>
      </c>
      <c r="D3261" s="1059" t="e">
        <f>C3261*$L$4</f>
        <v>#N/A</v>
      </c>
      <c r="E3261" s="1061"/>
      <c r="F3261" s="1061"/>
      <c r="G3261" s="1052" t="s">
        <v>361</v>
      </c>
      <c r="H3261" s="869" t="s">
        <v>362</v>
      </c>
      <c r="I3261" s="1058" t="e">
        <f>VLOOKUP(H3259,'LƯƠNG KT'!$D$15:$U$94,14,0)</f>
        <v>#N/A</v>
      </c>
      <c r="J3261" s="1059" t="e">
        <f>I3261*$L$4</f>
        <v>#N/A</v>
      </c>
      <c r="K3261" s="1085"/>
      <c r="L3261" s="1085"/>
      <c r="M3261" s="1085"/>
      <c r="N3261" s="1085"/>
      <c r="O3261" s="1085"/>
    </row>
    <row r="3262" spans="1:15" ht="15" customHeight="1">
      <c r="A3262" s="1052" t="s">
        <v>364</v>
      </c>
      <c r="B3262" s="869" t="s">
        <v>365</v>
      </c>
      <c r="C3262" s="1058" t="e">
        <f>VLOOKUP(B3259,'LƯƠNG KT'!$D$15:$U$94,15,0)</f>
        <v>#N/A</v>
      </c>
      <c r="D3262" s="1059" t="e">
        <f>C3262*$L$5</f>
        <v>#N/A</v>
      </c>
      <c r="E3262" s="1061"/>
      <c r="F3262" s="1061"/>
      <c r="G3262" s="1052" t="s">
        <v>364</v>
      </c>
      <c r="H3262" s="869" t="s">
        <v>365</v>
      </c>
      <c r="I3262" s="1058" t="e">
        <f>VLOOKUP(H3259,'LƯƠNG KT'!$D$15:$U$94,15,0)</f>
        <v>#N/A</v>
      </c>
      <c r="J3262" s="1059" t="e">
        <f>I3262*$L$5</f>
        <v>#N/A</v>
      </c>
      <c r="K3262" s="1085"/>
      <c r="L3262" s="1085"/>
      <c r="M3262" s="1085"/>
      <c r="N3262" s="1085"/>
      <c r="O3262" s="1085"/>
    </row>
    <row r="3263" spans="1:15" ht="15" customHeight="1">
      <c r="A3263" s="1052" t="s">
        <v>367</v>
      </c>
      <c r="B3263" s="869"/>
      <c r="C3263" s="1058" t="e">
        <f>VLOOKUP(B3259,'LƯƠNG KT'!$D$15:$U$94,16,0)</f>
        <v>#N/A</v>
      </c>
      <c r="D3263" s="1059" t="e">
        <f>+C3263*$L$6</f>
        <v>#N/A</v>
      </c>
      <c r="E3263" s="1061"/>
      <c r="F3263" s="1061"/>
      <c r="G3263" s="1052" t="s">
        <v>367</v>
      </c>
      <c r="H3263" s="869"/>
      <c r="I3263" s="1058" t="e">
        <f>VLOOKUP(H3259,'LƯƠNG KT'!$D$15:$U$94,16,0)</f>
        <v>#N/A</v>
      </c>
      <c r="J3263" s="1059" t="e">
        <f>+I3263*$L$6</f>
        <v>#N/A</v>
      </c>
      <c r="K3263" s="1085"/>
      <c r="L3263" s="1085"/>
      <c r="M3263" s="1085"/>
      <c r="N3263" s="1085"/>
      <c r="O3263" s="1085"/>
    </row>
    <row r="3264" spans="1:15" ht="15" customHeight="1">
      <c r="A3264" s="1052" t="s">
        <v>515</v>
      </c>
      <c r="B3264" s="869"/>
      <c r="C3264" s="1058" t="e">
        <f>VLOOKUP(B3259,'LƯƠNG KT'!$D$15:$U$94,17,0)</f>
        <v>#N/A</v>
      </c>
      <c r="D3264" s="1059" t="e">
        <f>+C3264*$L$7</f>
        <v>#N/A</v>
      </c>
      <c r="E3264" s="1061"/>
      <c r="F3264" s="1061"/>
      <c r="G3264" s="1052" t="s">
        <v>515</v>
      </c>
      <c r="H3264" s="869"/>
      <c r="I3264" s="1058" t="e">
        <f>VLOOKUP(H3259,'LƯƠNG KT'!$D$15:$U$94,17,0)</f>
        <v>#N/A</v>
      </c>
      <c r="J3264" s="1059" t="e">
        <f>+I3264*$L$7</f>
        <v>#N/A</v>
      </c>
      <c r="K3264" s="1085"/>
      <c r="L3264" s="1085"/>
      <c r="M3264" s="1085"/>
      <c r="N3264" s="1085"/>
      <c r="O3264" s="1085"/>
    </row>
    <row r="3265" spans="1:15" ht="15" customHeight="1">
      <c r="A3265" s="1052" t="s">
        <v>519</v>
      </c>
      <c r="B3265" s="869"/>
      <c r="C3265" s="1058" t="e">
        <f>VLOOKUP(B3259,'LƯƠNG KT'!$D$15:$U$94,19,0)</f>
        <v>#N/A</v>
      </c>
      <c r="D3265" s="1059" t="e">
        <f>C3265*20000</f>
        <v>#N/A</v>
      </c>
      <c r="E3265" s="1061"/>
      <c r="F3265" s="1061"/>
      <c r="G3265" s="1052" t="s">
        <v>519</v>
      </c>
      <c r="H3265" s="869"/>
      <c r="I3265" s="1058" t="e">
        <f>VLOOKUP(H3259,'LƯƠNG KT'!$D$15:$U$94,19,0)</f>
        <v>#N/A</v>
      </c>
      <c r="J3265" s="1059" t="e">
        <f>I3265*20000</f>
        <v>#N/A</v>
      </c>
      <c r="K3265" s="1085"/>
      <c r="L3265" s="1085"/>
      <c r="M3265" s="1085"/>
      <c r="N3265" s="1085"/>
      <c r="O3265" s="1085"/>
    </row>
    <row r="3266" spans="1:15" ht="15" customHeight="1">
      <c r="A3266" s="1052" t="s">
        <v>371</v>
      </c>
      <c r="B3266" s="869" t="s">
        <v>372</v>
      </c>
      <c r="C3266" s="1058" t="e">
        <f>VLOOKUP(B3259,'LƯƠNG KT'!$D$15:$U$94,9,0)*$L$10</f>
        <v>#N/A</v>
      </c>
      <c r="D3266" s="1059" t="e">
        <f>+C3266*0.5*3000</f>
        <v>#N/A</v>
      </c>
      <c r="E3266" s="1061"/>
      <c r="F3266" s="1061"/>
      <c r="G3266" s="1052" t="s">
        <v>371</v>
      </c>
      <c r="H3266" s="869" t="s">
        <v>372</v>
      </c>
      <c r="I3266" s="1058" t="e">
        <f>VLOOKUP(H3259,'LƯƠNG KT'!$D$15:$U$94,9,0)*$L$10</f>
        <v>#N/A</v>
      </c>
      <c r="J3266" s="1059" t="e">
        <f>+I3266*0.5*3000</f>
        <v>#N/A</v>
      </c>
      <c r="K3266" s="1085"/>
      <c r="L3266" s="1085"/>
      <c r="M3266" s="1085"/>
      <c r="N3266" s="1085"/>
      <c r="O3266" s="1085"/>
    </row>
    <row r="3267" spans="1:15" ht="15" customHeight="1">
      <c r="A3267" s="1052" t="s">
        <v>374</v>
      </c>
      <c r="B3267" s="869" t="s">
        <v>375</v>
      </c>
      <c r="C3267" s="1058" t="e">
        <f>VLOOKUP(B3259,'LƯƠNG KT'!$D$15:$U$94,8,0)*$L$11</f>
        <v>#N/A</v>
      </c>
      <c r="D3267" s="1059" t="e">
        <f>VLOOKUP(B3259,'LƯƠNG KT'!$D$15:$U$94,13,0)-D3266</f>
        <v>#N/A</v>
      </c>
      <c r="E3267" s="1063"/>
      <c r="F3267" s="1061"/>
      <c r="G3267" s="1052" t="s">
        <v>374</v>
      </c>
      <c r="H3267" s="869" t="s">
        <v>375</v>
      </c>
      <c r="I3267" s="1058" t="e">
        <f>VLOOKUP(H3259,'LƯƠNG KT'!$D$15:$U$94,8,0)*$L$11</f>
        <v>#N/A</v>
      </c>
      <c r="J3267" s="1059" t="e">
        <f>VLOOKUP(H3259,'LƯƠNG KT'!$D$15:$U$94,13,0)-J3266</f>
        <v>#N/A</v>
      </c>
      <c r="K3267" s="1085"/>
      <c r="L3267" s="1085"/>
      <c r="M3267" s="1085"/>
      <c r="N3267" s="1085"/>
      <c r="O3267" s="1085"/>
    </row>
    <row r="3268" spans="1:15" ht="15" customHeight="1">
      <c r="A3268" s="1059" t="s">
        <v>377</v>
      </c>
      <c r="B3268" s="869" t="s">
        <v>378</v>
      </c>
      <c r="C3268" s="1058"/>
      <c r="D3268" s="1059"/>
      <c r="E3268" s="1065"/>
      <c r="F3268" s="1065"/>
      <c r="G3268" s="1059" t="s">
        <v>377</v>
      </c>
      <c r="H3268" s="869" t="s">
        <v>378</v>
      </c>
      <c r="I3268" s="1058"/>
      <c r="J3268" s="1059"/>
    </row>
    <row r="3269" spans="1:15" ht="15" customHeight="1">
      <c r="A3269" s="1066" t="s">
        <v>379</v>
      </c>
      <c r="B3269" s="869" t="s">
        <v>380</v>
      </c>
      <c r="C3269" s="1058"/>
      <c r="D3269" s="1059"/>
      <c r="E3269" s="1063"/>
      <c r="F3269" s="1065"/>
      <c r="G3269" s="1066" t="s">
        <v>379</v>
      </c>
      <c r="H3269" s="869" t="s">
        <v>380</v>
      </c>
      <c r="I3269" s="1058"/>
      <c r="J3269" s="1059"/>
    </row>
    <row r="3270" spans="1:15" ht="15" customHeight="1">
      <c r="A3270" s="1068" t="s">
        <v>383</v>
      </c>
      <c r="B3270" s="1069" t="s">
        <v>384</v>
      </c>
      <c r="C3270" s="1070"/>
      <c r="D3270" s="1071" t="e">
        <f>SUM(D3260:D3267)</f>
        <v>#N/A</v>
      </c>
      <c r="E3270" s="1072"/>
      <c r="F3270" s="1073"/>
      <c r="G3270" s="1068" t="s">
        <v>383</v>
      </c>
      <c r="H3270" s="1069" t="s">
        <v>384</v>
      </c>
      <c r="I3270" s="1070"/>
      <c r="J3270" s="1071" t="e">
        <f>SUM(J3260:J3267)</f>
        <v>#N/A</v>
      </c>
      <c r="K3270" s="1090" t="s">
        <v>514</v>
      </c>
      <c r="L3270" s="1090" t="e">
        <f>J3356+D3372+J3372+D3298+J3298+D3313+J3313+D3327+J3327+D3341+J3341+D3356+J3284+D3284+J3270+D3270+D3255+J3255+J3240+D3240+J3226+D3226+D3211+J3211+J3196+D3196+D3181+J3181+J3167+D3167+J3152+D3152+D3137+J3137+J3122+D3122+D3106+J3106+J3091+D3091+D3076+J3076+J3061+D3061+D3045+J3045+J3030+D3030+D3015+J3015+J3000+D3000+D2984+J2984+J2969+D2969+D2954+J2954+J2939+D2939</f>
        <v>#N/A</v>
      </c>
      <c r="M3270" s="1090"/>
      <c r="N3270" s="1090"/>
      <c r="O3270" s="1090"/>
    </row>
    <row r="3271" spans="1:15" ht="18.75" customHeight="1">
      <c r="A3271" s="1075"/>
      <c r="B3271" s="1075"/>
      <c r="C3271" s="1079"/>
      <c r="D3271" s="1080"/>
      <c r="E3271" s="1075"/>
      <c r="F3271" s="1081"/>
      <c r="G3271" s="1075"/>
      <c r="H3271" s="1075"/>
      <c r="I3271" s="1079"/>
      <c r="J3271" s="1080"/>
    </row>
    <row r="3272" spans="1:15" ht="15" customHeight="1">
      <c r="A3272" s="2242" t="str">
        <f>$K$2</f>
        <v>THÁNG 09/2024</v>
      </c>
      <c r="B3272" s="2242"/>
      <c r="C3272" s="2242"/>
      <c r="D3272" s="2242"/>
      <c r="E3272" s="1050"/>
      <c r="F3272" s="1051"/>
      <c r="G3272" s="2242" t="str">
        <f>$K$2</f>
        <v>THÁNG 09/2024</v>
      </c>
      <c r="H3272" s="2242"/>
      <c r="I3272" s="2242"/>
      <c r="J3272" s="2242"/>
      <c r="K3272" s="624"/>
    </row>
    <row r="3273" spans="1:15" ht="15" customHeight="1">
      <c r="A3273" s="1052" t="s">
        <v>356</v>
      </c>
      <c r="B3273" s="1053" t="s">
        <v>335</v>
      </c>
      <c r="C3273" s="869"/>
      <c r="D3273" s="1049"/>
      <c r="E3273" s="1054"/>
      <c r="F3273" s="1055"/>
      <c r="G3273" s="1052" t="s">
        <v>356</v>
      </c>
      <c r="H3273" s="1053" t="s">
        <v>336</v>
      </c>
      <c r="I3273" s="869"/>
      <c r="J3273" s="1049"/>
      <c r="K3273" s="1101" t="s">
        <v>427</v>
      </c>
      <c r="L3273" s="1101" t="e">
        <f>+L378</f>
        <v>#N/A</v>
      </c>
      <c r="M3273" s="1102" t="e">
        <f>+#REF!</f>
        <v>#REF!</v>
      </c>
      <c r="N3273" s="1102" t="e">
        <f>#REF!</f>
        <v>#REF!</v>
      </c>
      <c r="O3273" s="1102" t="e">
        <f>+L3273-M3273</f>
        <v>#N/A</v>
      </c>
    </row>
    <row r="3274" spans="1:15" ht="15" customHeight="1">
      <c r="A3274" s="1052" t="s">
        <v>359</v>
      </c>
      <c r="B3274" s="1089" t="s">
        <v>360</v>
      </c>
      <c r="C3274" s="1058" t="e">
        <f>VLOOKUP(B3273,'LƯƠNG KT'!$D$15:$U$94,3,0)</f>
        <v>#N/A</v>
      </c>
      <c r="D3274" s="1059" t="e">
        <f>+C3274*25000</f>
        <v>#N/A</v>
      </c>
      <c r="E3274" s="1060"/>
      <c r="F3274" s="1060"/>
      <c r="G3274" s="1052" t="s">
        <v>359</v>
      </c>
      <c r="H3274" s="1089" t="s">
        <v>360</v>
      </c>
      <c r="I3274" s="1058" t="e">
        <f>VLOOKUP(H3273,'LƯƠNG KT'!$D$15:$U$94,3,0)</f>
        <v>#N/A</v>
      </c>
      <c r="J3274" s="1059" t="e">
        <f>+I3274*25000</f>
        <v>#N/A</v>
      </c>
      <c r="K3274" s="1101" t="s">
        <v>520</v>
      </c>
      <c r="L3274" s="1101" t="e">
        <f>+L801</f>
        <v>#N/A</v>
      </c>
      <c r="M3274" s="1101" t="e">
        <f>+#REF!</f>
        <v>#REF!</v>
      </c>
      <c r="N3274" s="1101" t="e">
        <f>#REF!</f>
        <v>#REF!</v>
      </c>
      <c r="O3274" s="1102" t="e">
        <f t="shared" ref="O3274:O3281" si="6">+L3274-M3274</f>
        <v>#N/A</v>
      </c>
    </row>
    <row r="3275" spans="1:15" ht="15" customHeight="1">
      <c r="A3275" s="1052" t="s">
        <v>361</v>
      </c>
      <c r="B3275" s="869" t="s">
        <v>362</v>
      </c>
      <c r="C3275" s="1058" t="e">
        <f>VLOOKUP(B3273,'LƯƠNG KT'!$D$15:$U$94,14,0)</f>
        <v>#N/A</v>
      </c>
      <c r="D3275" s="1059" t="e">
        <f>C3275*$L$4</f>
        <v>#N/A</v>
      </c>
      <c r="E3275" s="1061"/>
      <c r="F3275" s="1061"/>
      <c r="G3275" s="1052" t="s">
        <v>361</v>
      </c>
      <c r="H3275" s="869" t="s">
        <v>362</v>
      </c>
      <c r="I3275" s="1058" t="e">
        <f>VLOOKUP(H3273,'LƯƠNG KT'!$D$15:$U$94,14,0)</f>
        <v>#N/A</v>
      </c>
      <c r="J3275" s="1059" t="e">
        <f>I3275*$L$4</f>
        <v>#N/A</v>
      </c>
      <c r="K3275" s="1101" t="s">
        <v>521</v>
      </c>
      <c r="L3275" s="1101" t="e">
        <f>+L1493</f>
        <v>#N/A</v>
      </c>
      <c r="M3275" s="1101" t="e">
        <f>+'Đội 3'!AE101</f>
        <v>#N/A</v>
      </c>
      <c r="N3275" s="1101" t="e">
        <f>+'Đội 3'!#REF!</f>
        <v>#REF!</v>
      </c>
      <c r="O3275" s="1102" t="e">
        <f t="shared" si="6"/>
        <v>#N/A</v>
      </c>
    </row>
    <row r="3276" spans="1:15" ht="15" customHeight="1">
      <c r="A3276" s="1052" t="s">
        <v>364</v>
      </c>
      <c r="B3276" s="869" t="s">
        <v>365</v>
      </c>
      <c r="C3276" s="1058" t="e">
        <f>VLOOKUP(B3273,'LƯƠNG KT'!$D$15:$U$94,15,0)</f>
        <v>#N/A</v>
      </c>
      <c r="D3276" s="1059" t="e">
        <f>C3276*$L$5</f>
        <v>#N/A</v>
      </c>
      <c r="E3276" s="1061"/>
      <c r="F3276" s="1061"/>
      <c r="G3276" s="1052" t="s">
        <v>364</v>
      </c>
      <c r="H3276" s="869" t="s">
        <v>365</v>
      </c>
      <c r="I3276" s="1058" t="e">
        <f>VLOOKUP(H3273,'LƯƠNG KT'!$D$15:$U$94,15,0)</f>
        <v>#N/A</v>
      </c>
      <c r="J3276" s="1059" t="e">
        <f>I3276*$L$5</f>
        <v>#N/A</v>
      </c>
      <c r="K3276" s="1101" t="s">
        <v>123</v>
      </c>
      <c r="L3276" s="1101" t="e">
        <f>+L2311</f>
        <v>#N/A</v>
      </c>
      <c r="M3276" s="1101" t="e">
        <f>+'Đội 4'!AE99</f>
        <v>#N/A</v>
      </c>
      <c r="N3276" s="1101" t="e">
        <f>'Đội 4'!AE98</f>
        <v>#N/A</v>
      </c>
      <c r="O3276" s="1102" t="e">
        <f t="shared" si="6"/>
        <v>#N/A</v>
      </c>
    </row>
    <row r="3277" spans="1:15" ht="15" customHeight="1">
      <c r="A3277" s="1052" t="s">
        <v>367</v>
      </c>
      <c r="B3277" s="869"/>
      <c r="C3277" s="1058" t="e">
        <f>VLOOKUP(B3273,'LƯƠNG KT'!$D$15:$U$94,16,0)</f>
        <v>#N/A</v>
      </c>
      <c r="D3277" s="1059" t="e">
        <f>+C3277*$L$6</f>
        <v>#N/A</v>
      </c>
      <c r="E3277" s="1061"/>
      <c r="F3277" s="1061"/>
      <c r="G3277" s="1052" t="s">
        <v>367</v>
      </c>
      <c r="H3277" s="869"/>
      <c r="I3277" s="1058" t="e">
        <f>VLOOKUP(H3273,'LƯƠNG KT'!$D$15:$U$94,16,0)</f>
        <v>#N/A</v>
      </c>
      <c r="J3277" s="1059" t="e">
        <f>+I3277*$L$6</f>
        <v>#N/A</v>
      </c>
      <c r="K3277" s="1101" t="s">
        <v>522</v>
      </c>
      <c r="L3277" s="1101" t="e">
        <f>+L2919</f>
        <v>#N/A</v>
      </c>
      <c r="M3277" s="1101" t="e">
        <f>+'Đội 5'!AE85+'Đội 5 - KV71ha'!AE21</f>
        <v>#N/A</v>
      </c>
      <c r="N3277" s="1101" t="e">
        <f>+'Đội 5'!#REF!</f>
        <v>#REF!</v>
      </c>
      <c r="O3277" s="1102" t="e">
        <f t="shared" si="6"/>
        <v>#N/A</v>
      </c>
    </row>
    <row r="3278" spans="1:15" ht="15" customHeight="1">
      <c r="A3278" s="1052" t="s">
        <v>515</v>
      </c>
      <c r="B3278" s="869"/>
      <c r="C3278" s="1058" t="e">
        <f>VLOOKUP(B3273,'LƯƠNG KT'!$D$15:$U$94,17,0)</f>
        <v>#N/A</v>
      </c>
      <c r="D3278" s="1059" t="e">
        <f>+C3278*$L$7</f>
        <v>#N/A</v>
      </c>
      <c r="E3278" s="1061"/>
      <c r="F3278" s="1061"/>
      <c r="G3278" s="1052" t="s">
        <v>515</v>
      </c>
      <c r="H3278" s="869"/>
      <c r="I3278" s="1058" t="e">
        <f>VLOOKUP(H3273,'LƯƠNG KT'!$D$15:$U$94,17,0)</f>
        <v>#N/A</v>
      </c>
      <c r="J3278" s="1059" t="e">
        <f>+I3278*$L$7</f>
        <v>#N/A</v>
      </c>
      <c r="K3278" s="1101" t="s">
        <v>285</v>
      </c>
      <c r="L3278" s="1101" t="e">
        <f>+L3270</f>
        <v>#N/A</v>
      </c>
      <c r="M3278" s="1101" t="e">
        <f>+'Đội 6'!AE78</f>
        <v>#N/A</v>
      </c>
      <c r="N3278" s="1101" t="e">
        <f>+'Đội 6'!#REF!</f>
        <v>#REF!</v>
      </c>
      <c r="O3278" s="1102" t="e">
        <f t="shared" si="6"/>
        <v>#N/A</v>
      </c>
    </row>
    <row r="3279" spans="1:15" ht="15" customHeight="1">
      <c r="A3279" s="1052" t="s">
        <v>519</v>
      </c>
      <c r="B3279" s="869"/>
      <c r="C3279" s="1058" t="e">
        <f>VLOOKUP(B3273,'LƯƠNG KT'!$D$15:$U$94,19,0)</f>
        <v>#N/A</v>
      </c>
      <c r="D3279" s="1059" t="e">
        <f>C3279*20000</f>
        <v>#N/A</v>
      </c>
      <c r="E3279" s="1061"/>
      <c r="F3279" s="1061"/>
      <c r="G3279" s="1052" t="s">
        <v>519</v>
      </c>
      <c r="H3279" s="869"/>
      <c r="I3279" s="1058" t="e">
        <f>VLOOKUP(H3273,'LƯƠNG KT'!$D$15:$U$94,19,0)</f>
        <v>#N/A</v>
      </c>
      <c r="J3279" s="1059" t="e">
        <f>I3279*20000</f>
        <v>#N/A</v>
      </c>
      <c r="K3279" s="1101" t="s">
        <v>523</v>
      </c>
      <c r="L3279" s="1101" t="e">
        <f>+L1631</f>
        <v>#N/A</v>
      </c>
      <c r="M3279" s="1101" t="e">
        <f>+'Đ3 - XC'!AE21</f>
        <v>#N/A</v>
      </c>
      <c r="N3279" s="1101"/>
      <c r="O3279" s="1102" t="e">
        <f t="shared" si="6"/>
        <v>#N/A</v>
      </c>
    </row>
    <row r="3280" spans="1:15" ht="15" customHeight="1">
      <c r="A3280" s="1052" t="s">
        <v>371</v>
      </c>
      <c r="B3280" s="869" t="s">
        <v>372</v>
      </c>
      <c r="C3280" s="1058" t="e">
        <f>VLOOKUP(B3273,'LƯƠNG KT'!$D$15:$U$94,9,0)*$L$10</f>
        <v>#N/A</v>
      </c>
      <c r="D3280" s="1059" t="e">
        <f>+C3280*0.5*3000</f>
        <v>#N/A</v>
      </c>
      <c r="E3280" s="1061"/>
      <c r="F3280" s="1061"/>
      <c r="G3280" s="1052" t="s">
        <v>371</v>
      </c>
      <c r="H3280" s="869" t="s">
        <v>372</v>
      </c>
      <c r="I3280" s="1058" t="e">
        <f>VLOOKUP(H3273,'LƯƠNG KT'!$D$15:$U$94,9,0)*$L$10</f>
        <v>#N/A</v>
      </c>
      <c r="J3280" s="1059" t="e">
        <f>+I3280*0.5*3000</f>
        <v>#N/A</v>
      </c>
      <c r="K3280" s="1101" t="s">
        <v>524</v>
      </c>
      <c r="L3280" s="1101" t="e">
        <f>+L1582</f>
        <v>#N/A</v>
      </c>
      <c r="M3280" s="1101" t="e">
        <f>'Đ3 - TC'!AE25</f>
        <v>#N/A</v>
      </c>
      <c r="N3280" s="1101"/>
      <c r="O3280" s="1102" t="e">
        <f t="shared" si="6"/>
        <v>#N/A</v>
      </c>
    </row>
    <row r="3281" spans="1:15" ht="15" customHeight="1">
      <c r="A3281" s="1052" t="s">
        <v>374</v>
      </c>
      <c r="B3281" s="869" t="s">
        <v>375</v>
      </c>
      <c r="C3281" s="1058" t="e">
        <f>VLOOKUP(B3273,'LƯƠNG KT'!$D$15:$U$94,8,0)*$L$11</f>
        <v>#N/A</v>
      </c>
      <c r="D3281" s="1059" t="e">
        <f>VLOOKUP(B3273,'LƯƠNG KT'!$D$15:$U$94,13,0)-D3280</f>
        <v>#N/A</v>
      </c>
      <c r="E3281" s="1063"/>
      <c r="F3281" s="1061"/>
      <c r="G3281" s="1052" t="s">
        <v>374</v>
      </c>
      <c r="H3281" s="869" t="s">
        <v>375</v>
      </c>
      <c r="I3281" s="1058" t="e">
        <f>VLOOKUP(H3273,'LƯƠNG KT'!$D$15:$U$94,8,0)*$L$11</f>
        <v>#N/A</v>
      </c>
      <c r="J3281" s="1059" t="e">
        <f>VLOOKUP(H3273,'LƯƠNG KT'!$D$15:$U$94,13,0)-J3280</f>
        <v>#N/A</v>
      </c>
      <c r="K3281" s="1101" t="s">
        <v>525</v>
      </c>
      <c r="L3281" s="1101" t="e">
        <f>SUM(L3273:L3280)</f>
        <v>#N/A</v>
      </c>
      <c r="M3281" s="1101" t="e">
        <f>SUM(M3273:M3280)</f>
        <v>#REF!</v>
      </c>
      <c r="N3281" s="1101" t="e">
        <f>SUM(N3273:N3280)</f>
        <v>#REF!</v>
      </c>
      <c r="O3281" s="1102" t="e">
        <f t="shared" si="6"/>
        <v>#N/A</v>
      </c>
    </row>
    <row r="3282" spans="1:15" ht="15" customHeight="1">
      <c r="A3282" s="1059" t="s">
        <v>377</v>
      </c>
      <c r="B3282" s="869" t="s">
        <v>378</v>
      </c>
      <c r="C3282" s="1058"/>
      <c r="D3282" s="1059"/>
      <c r="E3282" s="1065"/>
      <c r="F3282" s="1065"/>
      <c r="G3282" s="1059" t="s">
        <v>377</v>
      </c>
      <c r="H3282" s="869" t="s">
        <v>378</v>
      </c>
      <c r="I3282" s="1058"/>
      <c r="J3282" s="1059"/>
      <c r="M3282" s="1101"/>
      <c r="N3282" s="1101" t="e">
        <f>+M3281-N3281</f>
        <v>#REF!</v>
      </c>
      <c r="O3282" s="1102" t="e">
        <f>+L3281-N3282</f>
        <v>#N/A</v>
      </c>
    </row>
    <row r="3283" spans="1:15" ht="15" customHeight="1">
      <c r="A3283" s="1066" t="s">
        <v>379</v>
      </c>
      <c r="B3283" s="869" t="s">
        <v>380</v>
      </c>
      <c r="C3283" s="1058"/>
      <c r="D3283" s="1059"/>
      <c r="E3283" s="1063"/>
      <c r="F3283" s="1065"/>
      <c r="G3283" s="1066" t="s">
        <v>379</v>
      </c>
      <c r="H3283" s="869" t="s">
        <v>380</v>
      </c>
      <c r="I3283" s="1058"/>
      <c r="J3283" s="1059"/>
      <c r="L3283" s="1045" t="e">
        <f>+#REF!+L3281</f>
        <v>#REF!</v>
      </c>
    </row>
    <row r="3284" spans="1:15" ht="15" customHeight="1">
      <c r="A3284" s="1068" t="s">
        <v>383</v>
      </c>
      <c r="B3284" s="1069" t="s">
        <v>384</v>
      </c>
      <c r="C3284" s="1070"/>
      <c r="D3284" s="1071" t="e">
        <f>SUM(D3274:D3281)</f>
        <v>#N/A</v>
      </c>
      <c r="E3284" s="1072"/>
      <c r="F3284" s="1073"/>
      <c r="G3284" s="1068" t="s">
        <v>383</v>
      </c>
      <c r="H3284" s="1069" t="s">
        <v>384</v>
      </c>
      <c r="I3284" s="1070"/>
      <c r="J3284" s="1071" t="e">
        <f>SUM(J3274:J3281)</f>
        <v>#N/A</v>
      </c>
    </row>
    <row r="3285" spans="1:15" ht="15" customHeight="1">
      <c r="A3285" s="1068"/>
      <c r="B3285" s="1069"/>
      <c r="C3285" s="1070"/>
      <c r="D3285" s="1071"/>
      <c r="E3285" s="1096"/>
      <c r="F3285" s="1073"/>
      <c r="G3285" s="1068"/>
      <c r="H3285" s="1069"/>
      <c r="I3285" s="1070"/>
      <c r="J3285" s="1071"/>
    </row>
    <row r="3286" spans="1:15" ht="15" customHeight="1">
      <c r="A3286" s="2242" t="str">
        <f>$K$2</f>
        <v>THÁNG 09/2024</v>
      </c>
      <c r="B3286" s="2242"/>
      <c r="C3286" s="2242"/>
      <c r="D3286" s="2242"/>
      <c r="E3286" s="1050"/>
      <c r="F3286" s="1051"/>
      <c r="G3286" s="2242" t="str">
        <f>$K$2</f>
        <v>THÁNG 09/2024</v>
      </c>
      <c r="H3286" s="2242"/>
      <c r="I3286" s="2242"/>
      <c r="J3286" s="2242"/>
      <c r="K3286" s="624"/>
    </row>
    <row r="3287" spans="1:15" ht="15" customHeight="1">
      <c r="A3287" s="1052" t="s">
        <v>356</v>
      </c>
      <c r="B3287" s="1053" t="s">
        <v>337</v>
      </c>
      <c r="C3287" s="869"/>
      <c r="D3287" s="1049"/>
      <c r="E3287" s="1054"/>
      <c r="F3287" s="1055"/>
      <c r="G3287" s="1052" t="s">
        <v>356</v>
      </c>
      <c r="H3287" s="1053" t="s">
        <v>338</v>
      </c>
      <c r="I3287" s="869"/>
      <c r="J3287" s="1049"/>
      <c r="L3287" s="1088"/>
      <c r="M3287" s="1088"/>
      <c r="N3287" s="1088"/>
      <c r="O3287" s="1088"/>
    </row>
    <row r="3288" spans="1:15" ht="15" customHeight="1">
      <c r="A3288" s="1052" t="s">
        <v>359</v>
      </c>
      <c r="B3288" s="1089" t="s">
        <v>360</v>
      </c>
      <c r="C3288" s="1058" t="e">
        <f>VLOOKUP(B3287,'LƯƠNG KT'!$D$15:$U$94,3,0)</f>
        <v>#N/A</v>
      </c>
      <c r="D3288" s="1059" t="e">
        <f>+C3288*25000</f>
        <v>#N/A</v>
      </c>
      <c r="E3288" s="1060"/>
      <c r="F3288" s="1060"/>
      <c r="G3288" s="1052" t="s">
        <v>359</v>
      </c>
      <c r="H3288" s="1089" t="s">
        <v>360</v>
      </c>
      <c r="I3288" s="1058" t="e">
        <f>VLOOKUP(H3287,'LƯƠNG KT'!$D$15:$U$94,3,0)</f>
        <v>#N/A</v>
      </c>
      <c r="J3288" s="1059" t="e">
        <f>+I3288*25000</f>
        <v>#N/A</v>
      </c>
      <c r="K3288" s="1084"/>
      <c r="L3288" s="1085"/>
      <c r="M3288" s="1085"/>
      <c r="N3288" s="1085"/>
      <c r="O3288" s="1085"/>
    </row>
    <row r="3289" spans="1:15" ht="15" customHeight="1">
      <c r="A3289" s="1052" t="s">
        <v>361</v>
      </c>
      <c r="B3289" s="869" t="s">
        <v>362</v>
      </c>
      <c r="C3289" s="1058" t="e">
        <f>VLOOKUP(B3287,'LƯƠNG KT'!$D$15:$U$94,14,0)</f>
        <v>#N/A</v>
      </c>
      <c r="D3289" s="1059" t="e">
        <f>C3289*$L$4</f>
        <v>#N/A</v>
      </c>
      <c r="E3289" s="1061"/>
      <c r="F3289" s="1061"/>
      <c r="G3289" s="1052" t="s">
        <v>361</v>
      </c>
      <c r="H3289" s="869" t="s">
        <v>362</v>
      </c>
      <c r="I3289" s="1058" t="e">
        <f>VLOOKUP(H3287,'LƯƠNG KT'!$D$15:$U$94,14,0)</f>
        <v>#N/A</v>
      </c>
      <c r="J3289" s="1059" t="e">
        <f>I3289*$L$4</f>
        <v>#N/A</v>
      </c>
      <c r="K3289" s="1084"/>
      <c r="L3289" s="1085"/>
      <c r="M3289" s="1085"/>
      <c r="N3289" s="1085"/>
      <c r="O3289" s="1085"/>
    </row>
    <row r="3290" spans="1:15" ht="15" customHeight="1">
      <c r="A3290" s="1052" t="s">
        <v>364</v>
      </c>
      <c r="B3290" s="869" t="s">
        <v>365</v>
      </c>
      <c r="C3290" s="1058" t="e">
        <f>VLOOKUP(B3287,'LƯƠNG KT'!$D$15:$U$94,15,0)</f>
        <v>#N/A</v>
      </c>
      <c r="D3290" s="1059" t="e">
        <f>C3290*$L$5</f>
        <v>#N/A</v>
      </c>
      <c r="E3290" s="1061"/>
      <c r="F3290" s="1061"/>
      <c r="G3290" s="1052" t="s">
        <v>364</v>
      </c>
      <c r="H3290" s="869" t="s">
        <v>365</v>
      </c>
      <c r="I3290" s="1058" t="e">
        <f>VLOOKUP(H3287,'LƯƠNG KT'!$D$15:$U$94,15,0)</f>
        <v>#N/A</v>
      </c>
      <c r="J3290" s="1059" t="e">
        <f>I3290*$L$5</f>
        <v>#N/A</v>
      </c>
      <c r="K3290" s="1084"/>
      <c r="L3290" s="1085"/>
      <c r="M3290" s="1085"/>
      <c r="N3290" s="1085"/>
      <c r="O3290" s="1085"/>
    </row>
    <row r="3291" spans="1:15" ht="15" customHeight="1">
      <c r="A3291" s="1052" t="s">
        <v>367</v>
      </c>
      <c r="B3291" s="869"/>
      <c r="C3291" s="1058" t="e">
        <f>VLOOKUP(B3287,'LƯƠNG KT'!$D$15:$U$94,16,0)</f>
        <v>#N/A</v>
      </c>
      <c r="D3291" s="1059" t="e">
        <f>+C3291*$L$6</f>
        <v>#N/A</v>
      </c>
      <c r="E3291" s="1061"/>
      <c r="F3291" s="1061"/>
      <c r="G3291" s="1052" t="s">
        <v>367</v>
      </c>
      <c r="H3291" s="869"/>
      <c r="I3291" s="1058" t="e">
        <f>VLOOKUP(H3287,'LƯƠNG KT'!$D$15:$U$94,16,0)</f>
        <v>#N/A</v>
      </c>
      <c r="J3291" s="1059" t="e">
        <f>+I3291*$L$6</f>
        <v>#N/A</v>
      </c>
      <c r="K3291" s="1085"/>
      <c r="L3291" s="1085"/>
      <c r="M3291" s="1085"/>
      <c r="N3291" s="1085"/>
      <c r="O3291" s="1085"/>
    </row>
    <row r="3292" spans="1:15" ht="15" customHeight="1">
      <c r="A3292" s="1052" t="s">
        <v>515</v>
      </c>
      <c r="B3292" s="869"/>
      <c r="C3292" s="1058" t="e">
        <f>VLOOKUP(B3287,'LƯƠNG KT'!$D$15:$U$94,17,0)</f>
        <v>#N/A</v>
      </c>
      <c r="D3292" s="1059" t="e">
        <f>+C3292*$L$7</f>
        <v>#N/A</v>
      </c>
      <c r="E3292" s="1061"/>
      <c r="F3292" s="1061"/>
      <c r="G3292" s="1052" t="s">
        <v>515</v>
      </c>
      <c r="H3292" s="869"/>
      <c r="I3292" s="1058" t="e">
        <f>VLOOKUP(H3287,'LƯƠNG KT'!$D$15:$U$94,17,0)</f>
        <v>#N/A</v>
      </c>
      <c r="J3292" s="1059" t="e">
        <f>+I3292*$L$7</f>
        <v>#N/A</v>
      </c>
      <c r="K3292" s="1085"/>
      <c r="L3292" s="1085"/>
      <c r="M3292" s="1085"/>
      <c r="N3292" s="1085"/>
      <c r="O3292" s="1085"/>
    </row>
    <row r="3293" spans="1:15" ht="15" customHeight="1">
      <c r="A3293" s="1052" t="s">
        <v>519</v>
      </c>
      <c r="B3293" s="869"/>
      <c r="C3293" s="1058" t="e">
        <f>VLOOKUP(B3287,'LƯƠNG KT'!$D$15:$U$94,19,0)</f>
        <v>#N/A</v>
      </c>
      <c r="D3293" s="1059" t="e">
        <f>C3293*20000</f>
        <v>#N/A</v>
      </c>
      <c r="E3293" s="1061"/>
      <c r="F3293" s="1061"/>
      <c r="G3293" s="1052" t="s">
        <v>519</v>
      </c>
      <c r="H3293" s="869"/>
      <c r="I3293" s="1058" t="e">
        <f>VLOOKUP(H3287,'LƯƠNG KT'!$D$15:$U$94,19,0)</f>
        <v>#N/A</v>
      </c>
      <c r="J3293" s="1059" t="e">
        <f>I3293*20000</f>
        <v>#N/A</v>
      </c>
      <c r="K3293" s="1085"/>
      <c r="L3293" s="1085"/>
      <c r="M3293" s="1085"/>
      <c r="N3293" s="1085"/>
      <c r="O3293" s="1085"/>
    </row>
    <row r="3294" spans="1:15" ht="15" customHeight="1">
      <c r="A3294" s="1052" t="s">
        <v>371</v>
      </c>
      <c r="B3294" s="869" t="s">
        <v>372</v>
      </c>
      <c r="C3294" s="1058" t="e">
        <f>VLOOKUP(B3287,'LƯƠNG KT'!$D$15:$U$94,9,0)*$L$10</f>
        <v>#N/A</v>
      </c>
      <c r="D3294" s="1059" t="e">
        <f>+C3294*0.5*3000</f>
        <v>#N/A</v>
      </c>
      <c r="E3294" s="1061"/>
      <c r="F3294" s="1061"/>
      <c r="G3294" s="1052" t="s">
        <v>371</v>
      </c>
      <c r="H3294" s="869" t="s">
        <v>372</v>
      </c>
      <c r="I3294" s="1058" t="e">
        <f>VLOOKUP(H3287,'LƯƠNG KT'!$D$15:$U$94,9,0)*$L$10</f>
        <v>#N/A</v>
      </c>
      <c r="J3294" s="1059" t="e">
        <f>+I3294*0.5*3000</f>
        <v>#N/A</v>
      </c>
      <c r="K3294" s="1085"/>
      <c r="L3294" s="1085"/>
      <c r="M3294" s="1085"/>
      <c r="N3294" s="1085"/>
      <c r="O3294" s="1085"/>
    </row>
    <row r="3295" spans="1:15" ht="15" customHeight="1">
      <c r="A3295" s="1052" t="s">
        <v>374</v>
      </c>
      <c r="B3295" s="869" t="s">
        <v>375</v>
      </c>
      <c r="C3295" s="1058" t="e">
        <f>VLOOKUP(B3287,'LƯƠNG KT'!$D$15:$U$94,8,0)*$L$11</f>
        <v>#N/A</v>
      </c>
      <c r="D3295" s="1059" t="e">
        <f>VLOOKUP(B3287,'LƯƠNG KT'!$D$15:$U$94,13,0)-D3294</f>
        <v>#N/A</v>
      </c>
      <c r="E3295" s="1063"/>
      <c r="F3295" s="1061"/>
      <c r="G3295" s="1052" t="s">
        <v>374</v>
      </c>
      <c r="H3295" s="869" t="s">
        <v>375</v>
      </c>
      <c r="I3295" s="1058" t="e">
        <f>VLOOKUP(H3287,'LƯƠNG KT'!$D$15:$U$94,8,0)*$L$11</f>
        <v>#N/A</v>
      </c>
      <c r="J3295" s="1059" t="e">
        <f>VLOOKUP(H3287,'LƯƠNG KT'!$D$15:$U$94,13,0)-J3294</f>
        <v>#N/A</v>
      </c>
      <c r="K3295" s="1085"/>
      <c r="L3295" s="1085"/>
      <c r="M3295" s="1085"/>
      <c r="N3295" s="1085"/>
      <c r="O3295" s="1085"/>
    </row>
    <row r="3296" spans="1:15" ht="15" customHeight="1">
      <c r="A3296" s="1059" t="s">
        <v>377</v>
      </c>
      <c r="B3296" s="869" t="s">
        <v>378</v>
      </c>
      <c r="C3296" s="1058"/>
      <c r="D3296" s="1059"/>
      <c r="E3296" s="1065"/>
      <c r="F3296" s="1065"/>
      <c r="G3296" s="1059" t="s">
        <v>377</v>
      </c>
      <c r="H3296" s="869" t="s">
        <v>378</v>
      </c>
      <c r="I3296" s="1058"/>
      <c r="J3296" s="1059"/>
    </row>
    <row r="3297" spans="1:15" ht="15" customHeight="1">
      <c r="A3297" s="1066" t="s">
        <v>379</v>
      </c>
      <c r="B3297" s="869" t="s">
        <v>380</v>
      </c>
      <c r="C3297" s="1058"/>
      <c r="D3297" s="1059"/>
      <c r="E3297" s="1063"/>
      <c r="F3297" s="1065"/>
      <c r="G3297" s="1066" t="s">
        <v>379</v>
      </c>
      <c r="H3297" s="869" t="s">
        <v>380</v>
      </c>
      <c r="I3297" s="1058"/>
      <c r="J3297" s="1059"/>
    </row>
    <row r="3298" spans="1:15" ht="15" customHeight="1">
      <c r="A3298" s="1068" t="s">
        <v>383</v>
      </c>
      <c r="B3298" s="1069" t="s">
        <v>384</v>
      </c>
      <c r="C3298" s="1070"/>
      <c r="D3298" s="1071" t="e">
        <f>SUM(D3288:D3295)</f>
        <v>#N/A</v>
      </c>
      <c r="E3298" s="1072"/>
      <c r="F3298" s="1073"/>
      <c r="G3298" s="1068" t="s">
        <v>383</v>
      </c>
      <c r="H3298" s="1069" t="s">
        <v>384</v>
      </c>
      <c r="I3298" s="1070"/>
      <c r="J3298" s="1071" t="e">
        <f>SUM(J3288:J3295)</f>
        <v>#N/A</v>
      </c>
    </row>
    <row r="3299" spans="1:15" ht="12.6" customHeight="1">
      <c r="A3299" s="1074"/>
      <c r="B3299" s="1075"/>
      <c r="C3299" s="1076"/>
      <c r="D3299" s="1077"/>
      <c r="E3299" s="1077"/>
      <c r="F3299" s="1078"/>
      <c r="G3299" s="1074"/>
      <c r="H3299" s="1075"/>
      <c r="I3299" s="1076"/>
      <c r="J3299" s="1077"/>
    </row>
    <row r="3300" spans="1:15" ht="12.6" customHeight="1">
      <c r="A3300" s="1075"/>
      <c r="B3300" s="1075"/>
      <c r="C3300" s="1079"/>
      <c r="D3300" s="1080"/>
      <c r="E3300" s="1075"/>
      <c r="F3300" s="1081"/>
      <c r="G3300" s="1075"/>
      <c r="H3300" s="1075"/>
      <c r="I3300" s="1079"/>
      <c r="J3300" s="1080"/>
    </row>
    <row r="3301" spans="1:15" ht="15" customHeight="1">
      <c r="A3301" s="2242" t="str">
        <f>$K$2</f>
        <v>THÁNG 09/2024</v>
      </c>
      <c r="B3301" s="2242"/>
      <c r="C3301" s="2242"/>
      <c r="D3301" s="2242"/>
      <c r="E3301" s="1050"/>
      <c r="F3301" s="1051"/>
      <c r="G3301" s="2242" t="str">
        <f>$K$2</f>
        <v>THÁNG 09/2024</v>
      </c>
      <c r="H3301" s="2242"/>
      <c r="I3301" s="2242"/>
      <c r="J3301" s="2242"/>
      <c r="K3301" s="624"/>
    </row>
    <row r="3302" spans="1:15" ht="15" customHeight="1">
      <c r="A3302" s="1052" t="s">
        <v>356</v>
      </c>
      <c r="B3302" s="1053" t="s">
        <v>339</v>
      </c>
      <c r="C3302" s="869"/>
      <c r="D3302" s="1049"/>
      <c r="E3302" s="1054"/>
      <c r="F3302" s="1055"/>
      <c r="G3302" s="1052" t="s">
        <v>356</v>
      </c>
      <c r="H3302" s="1053" t="s">
        <v>340</v>
      </c>
      <c r="I3302" s="869"/>
      <c r="J3302" s="1049"/>
      <c r="L3302" s="1088"/>
      <c r="M3302" s="1088"/>
      <c r="N3302" s="1088"/>
      <c r="O3302" s="1088"/>
    </row>
    <row r="3303" spans="1:15" ht="15" customHeight="1">
      <c r="A3303" s="1052" t="s">
        <v>359</v>
      </c>
      <c r="B3303" s="1089" t="s">
        <v>360</v>
      </c>
      <c r="C3303" s="1058" t="e">
        <f>VLOOKUP(B3302,'LƯƠNG KT'!$D$15:$U$94,3,0)</f>
        <v>#N/A</v>
      </c>
      <c r="D3303" s="1059" t="e">
        <f>+C3303*25000</f>
        <v>#N/A</v>
      </c>
      <c r="E3303" s="1060"/>
      <c r="F3303" s="1060"/>
      <c r="G3303" s="1052" t="s">
        <v>359</v>
      </c>
      <c r="H3303" s="1089" t="s">
        <v>360</v>
      </c>
      <c r="I3303" s="1058" t="e">
        <f>VLOOKUP(H3302,'LƯƠNG KT'!$D$15:$U$94,3,0)</f>
        <v>#N/A</v>
      </c>
      <c r="J3303" s="1059" t="e">
        <f>+I3303*25000</f>
        <v>#N/A</v>
      </c>
      <c r="K3303" s="1085"/>
      <c r="L3303" s="1085"/>
      <c r="M3303" s="1085"/>
      <c r="N3303" s="1085"/>
      <c r="O3303" s="1085"/>
    </row>
    <row r="3304" spans="1:15" ht="15" customHeight="1">
      <c r="A3304" s="1052" t="s">
        <v>361</v>
      </c>
      <c r="B3304" s="869" t="s">
        <v>362</v>
      </c>
      <c r="C3304" s="1058" t="e">
        <f>VLOOKUP(B3302,'LƯƠNG KT'!$D$15:$U$94,14,0)</f>
        <v>#N/A</v>
      </c>
      <c r="D3304" s="1059" t="e">
        <f>C3304*$L$4</f>
        <v>#N/A</v>
      </c>
      <c r="E3304" s="1061"/>
      <c r="F3304" s="1061"/>
      <c r="G3304" s="1052" t="s">
        <v>361</v>
      </c>
      <c r="H3304" s="869" t="s">
        <v>362</v>
      </c>
      <c r="I3304" s="1058" t="e">
        <f>VLOOKUP(H3302,'LƯƠNG KT'!$D$15:$U$94,14,0)</f>
        <v>#N/A</v>
      </c>
      <c r="J3304" s="1059" t="e">
        <f>I3304*$L$4</f>
        <v>#N/A</v>
      </c>
      <c r="K3304" s="1085"/>
      <c r="L3304" s="1085"/>
      <c r="M3304" s="1085"/>
      <c r="N3304" s="1085"/>
      <c r="O3304" s="1085"/>
    </row>
    <row r="3305" spans="1:15" ht="15" customHeight="1">
      <c r="A3305" s="1052" t="s">
        <v>364</v>
      </c>
      <c r="B3305" s="869" t="s">
        <v>365</v>
      </c>
      <c r="C3305" s="1058" t="e">
        <f>VLOOKUP(B3302,'LƯƠNG KT'!$D$15:$U$94,15,0)</f>
        <v>#N/A</v>
      </c>
      <c r="D3305" s="1059" t="e">
        <f>C3305*$L$5</f>
        <v>#N/A</v>
      </c>
      <c r="E3305" s="1061"/>
      <c r="F3305" s="1061"/>
      <c r="G3305" s="1052" t="s">
        <v>364</v>
      </c>
      <c r="H3305" s="869" t="s">
        <v>365</v>
      </c>
      <c r="I3305" s="1058" t="e">
        <f>VLOOKUP(H3302,'LƯƠNG KT'!$D$15:$U$94,15,0)</f>
        <v>#N/A</v>
      </c>
      <c r="J3305" s="1059" t="e">
        <f>I3305*$L$5</f>
        <v>#N/A</v>
      </c>
      <c r="K3305" s="1085"/>
      <c r="L3305" s="1085"/>
      <c r="M3305" s="1085"/>
      <c r="N3305" s="1085"/>
      <c r="O3305" s="1085"/>
    </row>
    <row r="3306" spans="1:15" ht="15" customHeight="1">
      <c r="A3306" s="1052" t="s">
        <v>367</v>
      </c>
      <c r="B3306" s="869"/>
      <c r="C3306" s="1058" t="e">
        <f>VLOOKUP(B3302,'LƯƠNG KT'!$D$15:$U$94,16,0)</f>
        <v>#N/A</v>
      </c>
      <c r="D3306" s="1059" t="e">
        <f>+C3306*$L$6</f>
        <v>#N/A</v>
      </c>
      <c r="E3306" s="1061"/>
      <c r="F3306" s="1061"/>
      <c r="G3306" s="1052" t="s">
        <v>367</v>
      </c>
      <c r="H3306" s="869"/>
      <c r="I3306" s="1058" t="e">
        <f>VLOOKUP(H3302,'LƯƠNG KT'!$D$15:$U$94,16,0)</f>
        <v>#N/A</v>
      </c>
      <c r="J3306" s="1059" t="e">
        <f>+I3306*$L$6</f>
        <v>#N/A</v>
      </c>
      <c r="K3306" s="1085"/>
      <c r="L3306" s="1085"/>
      <c r="M3306" s="1085"/>
      <c r="N3306" s="1085"/>
      <c r="O3306" s="1085"/>
    </row>
    <row r="3307" spans="1:15" ht="15" customHeight="1">
      <c r="A3307" s="1052" t="s">
        <v>515</v>
      </c>
      <c r="B3307" s="869"/>
      <c r="C3307" s="1058" t="e">
        <f>VLOOKUP(B3302,'LƯƠNG KT'!$D$15:$U$94,17,0)</f>
        <v>#N/A</v>
      </c>
      <c r="D3307" s="1059" t="e">
        <f>+C3307*$L$7</f>
        <v>#N/A</v>
      </c>
      <c r="E3307" s="1061"/>
      <c r="F3307" s="1061"/>
      <c r="G3307" s="1052" t="s">
        <v>515</v>
      </c>
      <c r="H3307" s="869"/>
      <c r="I3307" s="1058" t="e">
        <f>VLOOKUP(H3302,'LƯƠNG KT'!$D$15:$U$94,17,0)</f>
        <v>#N/A</v>
      </c>
      <c r="J3307" s="1059" t="e">
        <f>+I3307*$L$7</f>
        <v>#N/A</v>
      </c>
      <c r="K3307" s="1085"/>
      <c r="L3307" s="1085"/>
      <c r="M3307" s="1085"/>
      <c r="N3307" s="1085"/>
      <c r="O3307" s="1085"/>
    </row>
    <row r="3308" spans="1:15" ht="15" customHeight="1">
      <c r="A3308" s="1052" t="s">
        <v>519</v>
      </c>
      <c r="B3308" s="869"/>
      <c r="C3308" s="1058" t="e">
        <f>VLOOKUP(B3302,'LƯƠNG KT'!$D$15:$U$94,19,0)</f>
        <v>#N/A</v>
      </c>
      <c r="D3308" s="1059" t="e">
        <f>C3308*20000</f>
        <v>#N/A</v>
      </c>
      <c r="E3308" s="1061"/>
      <c r="F3308" s="1061"/>
      <c r="G3308" s="1052" t="s">
        <v>519</v>
      </c>
      <c r="H3308" s="869"/>
      <c r="I3308" s="1058" t="e">
        <f>VLOOKUP(H3302,'LƯƠNG KT'!$D$15:$U$94,19,0)</f>
        <v>#N/A</v>
      </c>
      <c r="J3308" s="1059" t="e">
        <f>I3308*20000</f>
        <v>#N/A</v>
      </c>
      <c r="K3308" s="1085"/>
      <c r="L3308" s="1085"/>
      <c r="M3308" s="1085"/>
      <c r="N3308" s="1085"/>
      <c r="O3308" s="1085"/>
    </row>
    <row r="3309" spans="1:15" ht="15" customHeight="1">
      <c r="A3309" s="1052" t="s">
        <v>371</v>
      </c>
      <c r="B3309" s="869" t="s">
        <v>372</v>
      </c>
      <c r="C3309" s="1058" t="e">
        <f>VLOOKUP(B3302,'LƯƠNG KT'!$D$15:$U$94,9,0)*$L$10</f>
        <v>#N/A</v>
      </c>
      <c r="D3309" s="1059" t="e">
        <f>+C3309*0.5*3000</f>
        <v>#N/A</v>
      </c>
      <c r="E3309" s="1061"/>
      <c r="F3309" s="1061"/>
      <c r="G3309" s="1052" t="s">
        <v>371</v>
      </c>
      <c r="H3309" s="869" t="s">
        <v>372</v>
      </c>
      <c r="I3309" s="1058" t="e">
        <f>VLOOKUP(H3302,'LƯƠNG KT'!$D$15:$U$94,9,0)*$L$10</f>
        <v>#N/A</v>
      </c>
      <c r="J3309" s="1059" t="e">
        <f>+I3309*0.5*3000</f>
        <v>#N/A</v>
      </c>
      <c r="K3309" s="1085"/>
      <c r="L3309" s="1085"/>
      <c r="M3309" s="1085"/>
      <c r="N3309" s="1085"/>
      <c r="O3309" s="1085"/>
    </row>
    <row r="3310" spans="1:15" ht="15" customHeight="1">
      <c r="A3310" s="1052" t="s">
        <v>374</v>
      </c>
      <c r="B3310" s="869" t="s">
        <v>375</v>
      </c>
      <c r="C3310" s="1058" t="e">
        <f>VLOOKUP(B3302,'LƯƠNG KT'!$D$15:$U$94,8,0)*$L$11</f>
        <v>#N/A</v>
      </c>
      <c r="D3310" s="1059" t="e">
        <f>VLOOKUP(B3302,'LƯƠNG KT'!$D$15:$U$94,13,0)-D3309</f>
        <v>#N/A</v>
      </c>
      <c r="E3310" s="1063"/>
      <c r="F3310" s="1061"/>
      <c r="G3310" s="1052" t="s">
        <v>374</v>
      </c>
      <c r="H3310" s="869" t="s">
        <v>375</v>
      </c>
      <c r="I3310" s="1058" t="e">
        <f>VLOOKUP(H3302,'LƯƠNG KT'!$D$15:$U$94,8,0)*$L$11</f>
        <v>#N/A</v>
      </c>
      <c r="J3310" s="1059" t="e">
        <f>VLOOKUP(H3302,'LƯƠNG KT'!$D$15:$U$94,13,0)-J3309</f>
        <v>#N/A</v>
      </c>
      <c r="K3310" s="1085"/>
      <c r="L3310" s="1085"/>
      <c r="M3310" s="1085"/>
      <c r="N3310" s="1085"/>
      <c r="O3310" s="1085"/>
    </row>
    <row r="3311" spans="1:15" ht="15" customHeight="1">
      <c r="A3311" s="1059" t="s">
        <v>377</v>
      </c>
      <c r="B3311" s="869" t="s">
        <v>378</v>
      </c>
      <c r="C3311" s="1058"/>
      <c r="D3311" s="1059"/>
      <c r="E3311" s="1065"/>
      <c r="F3311" s="1065"/>
      <c r="G3311" s="1059" t="s">
        <v>377</v>
      </c>
      <c r="H3311" s="869" t="s">
        <v>378</v>
      </c>
      <c r="I3311" s="1058"/>
      <c r="J3311" s="1059"/>
    </row>
    <row r="3312" spans="1:15" ht="15" customHeight="1">
      <c r="A3312" s="1066" t="s">
        <v>379</v>
      </c>
      <c r="B3312" s="869" t="s">
        <v>380</v>
      </c>
      <c r="C3312" s="1058"/>
      <c r="D3312" s="1059"/>
      <c r="E3312" s="1063"/>
      <c r="F3312" s="1065"/>
      <c r="G3312" s="1066" t="s">
        <v>379</v>
      </c>
      <c r="H3312" s="869" t="s">
        <v>380</v>
      </c>
      <c r="I3312" s="1058"/>
      <c r="J3312" s="1059"/>
    </row>
    <row r="3313" spans="1:15" ht="15" customHeight="1">
      <c r="A3313" s="1068" t="s">
        <v>383</v>
      </c>
      <c r="B3313" s="1069" t="s">
        <v>384</v>
      </c>
      <c r="C3313" s="1070"/>
      <c r="D3313" s="1071" t="e">
        <f>SUM(D3303:D3310)</f>
        <v>#N/A</v>
      </c>
      <c r="E3313" s="1072"/>
      <c r="F3313" s="1073"/>
      <c r="G3313" s="1068" t="s">
        <v>383</v>
      </c>
      <c r="H3313" s="1069" t="s">
        <v>384</v>
      </c>
      <c r="I3313" s="1070"/>
      <c r="J3313" s="1071" t="e">
        <f>SUM(J3303:J3310)</f>
        <v>#N/A</v>
      </c>
    </row>
    <row r="3314" spans="1:15" ht="18.75" customHeight="1">
      <c r="A3314" s="1074"/>
      <c r="B3314" s="1075"/>
      <c r="C3314" s="1076"/>
      <c r="D3314" s="1077"/>
      <c r="E3314" s="1077"/>
      <c r="F3314" s="1078"/>
      <c r="G3314" s="1074"/>
      <c r="H3314" s="1075"/>
      <c r="I3314" s="1076"/>
      <c r="J3314" s="1077"/>
    </row>
    <row r="3315" spans="1:15" ht="15" customHeight="1">
      <c r="A3315" s="2242" t="str">
        <f>$K$2</f>
        <v>THÁNG 09/2024</v>
      </c>
      <c r="B3315" s="2242"/>
      <c r="C3315" s="2242"/>
      <c r="D3315" s="2242"/>
      <c r="E3315" s="1050"/>
      <c r="F3315" s="1051"/>
      <c r="G3315" s="2242" t="str">
        <f>$K$2</f>
        <v>THÁNG 09/2024</v>
      </c>
      <c r="H3315" s="2242"/>
      <c r="I3315" s="2242"/>
      <c r="J3315" s="2242"/>
      <c r="K3315" s="624"/>
    </row>
    <row r="3316" spans="1:15" ht="15" customHeight="1">
      <c r="A3316" s="1052" t="s">
        <v>356</v>
      </c>
      <c r="B3316" s="1053" t="s">
        <v>341</v>
      </c>
      <c r="C3316" s="869"/>
      <c r="D3316" s="1049"/>
      <c r="E3316" s="1054"/>
      <c r="F3316" s="1055"/>
      <c r="G3316" s="1052" t="s">
        <v>356</v>
      </c>
      <c r="H3316" s="1053" t="s">
        <v>342</v>
      </c>
      <c r="I3316" s="869"/>
      <c r="J3316" s="1049"/>
      <c r="L3316" s="1088"/>
      <c r="M3316" s="1088"/>
      <c r="N3316" s="1088"/>
      <c r="O3316" s="1088"/>
    </row>
    <row r="3317" spans="1:15" ht="15" customHeight="1">
      <c r="A3317" s="1052" t="s">
        <v>359</v>
      </c>
      <c r="B3317" s="1089" t="s">
        <v>360</v>
      </c>
      <c r="C3317" s="1058" t="e">
        <f>VLOOKUP(B3316,'LƯƠNG KT'!$D$15:$U$94,3,0)</f>
        <v>#N/A</v>
      </c>
      <c r="D3317" s="1059" t="e">
        <f>+C3317*25000</f>
        <v>#N/A</v>
      </c>
      <c r="E3317" s="1060"/>
      <c r="F3317" s="1060"/>
      <c r="G3317" s="1052" t="s">
        <v>359</v>
      </c>
      <c r="H3317" s="1089" t="s">
        <v>360</v>
      </c>
      <c r="I3317" s="1058" t="e">
        <f>VLOOKUP(H3316,'LƯƠNG KT'!$D$15:$U$94,3,0)</f>
        <v>#N/A</v>
      </c>
      <c r="J3317" s="1059" t="e">
        <f>+I3317*25000</f>
        <v>#N/A</v>
      </c>
      <c r="K3317" s="1085"/>
      <c r="L3317" s="1085"/>
      <c r="M3317" s="1085"/>
      <c r="N3317" s="1085"/>
      <c r="O3317" s="1085"/>
    </row>
    <row r="3318" spans="1:15" ht="15" customHeight="1">
      <c r="A3318" s="1052" t="s">
        <v>361</v>
      </c>
      <c r="B3318" s="869" t="s">
        <v>362</v>
      </c>
      <c r="C3318" s="1058" t="e">
        <f>VLOOKUP(B3316,'LƯƠNG KT'!$D$15:$U$94,14,0)</f>
        <v>#N/A</v>
      </c>
      <c r="D3318" s="1059" t="e">
        <f>C3318*$L$4</f>
        <v>#N/A</v>
      </c>
      <c r="E3318" s="1061"/>
      <c r="F3318" s="1061"/>
      <c r="G3318" s="1052" t="s">
        <v>361</v>
      </c>
      <c r="H3318" s="869" t="s">
        <v>362</v>
      </c>
      <c r="I3318" s="1058" t="e">
        <f>VLOOKUP(H3316,'LƯƠNG KT'!$D$15:$U$94,14,0)</f>
        <v>#N/A</v>
      </c>
      <c r="J3318" s="1059" t="e">
        <f>I3318*$L$4</f>
        <v>#N/A</v>
      </c>
      <c r="K3318" s="1085"/>
      <c r="L3318" s="1085"/>
      <c r="M3318" s="1085"/>
      <c r="N3318" s="1085"/>
      <c r="O3318" s="1085"/>
    </row>
    <row r="3319" spans="1:15" ht="15" customHeight="1">
      <c r="A3319" s="1052" t="s">
        <v>364</v>
      </c>
      <c r="B3319" s="869" t="s">
        <v>365</v>
      </c>
      <c r="C3319" s="1058" t="e">
        <f>VLOOKUP(B3316,'LƯƠNG KT'!$D$15:$U$94,15,0)</f>
        <v>#N/A</v>
      </c>
      <c r="D3319" s="1059" t="e">
        <f>C3319*$L$5</f>
        <v>#N/A</v>
      </c>
      <c r="E3319" s="1061"/>
      <c r="F3319" s="1061"/>
      <c r="G3319" s="1052" t="s">
        <v>364</v>
      </c>
      <c r="H3319" s="869" t="s">
        <v>365</v>
      </c>
      <c r="I3319" s="1058" t="e">
        <f>VLOOKUP(H3316,'LƯƠNG KT'!$D$15:$U$94,15,0)</f>
        <v>#N/A</v>
      </c>
      <c r="J3319" s="1059" t="e">
        <f>I3319*$L$5</f>
        <v>#N/A</v>
      </c>
      <c r="K3319" s="1085"/>
      <c r="L3319" s="1085"/>
      <c r="M3319" s="1085"/>
      <c r="N3319" s="1085"/>
      <c r="O3319" s="1085"/>
    </row>
    <row r="3320" spans="1:15" ht="15" customHeight="1">
      <c r="A3320" s="1052" t="s">
        <v>367</v>
      </c>
      <c r="B3320" s="869"/>
      <c r="C3320" s="1058" t="e">
        <f>VLOOKUP(B3316,'LƯƠNG KT'!$D$15:$U$94,16,0)</f>
        <v>#N/A</v>
      </c>
      <c r="D3320" s="1059" t="e">
        <f>+C3320*$L$6</f>
        <v>#N/A</v>
      </c>
      <c r="E3320" s="1061"/>
      <c r="F3320" s="1061"/>
      <c r="G3320" s="1052" t="s">
        <v>367</v>
      </c>
      <c r="H3320" s="869"/>
      <c r="I3320" s="1058" t="e">
        <f>VLOOKUP(H3316,'LƯƠNG KT'!$D$15:$U$94,16,0)</f>
        <v>#N/A</v>
      </c>
      <c r="J3320" s="1059" t="e">
        <f>+I3320*$L$6</f>
        <v>#N/A</v>
      </c>
      <c r="K3320" s="1085"/>
      <c r="L3320" s="1085"/>
      <c r="M3320" s="1085"/>
      <c r="N3320" s="1085"/>
      <c r="O3320" s="1085"/>
    </row>
    <row r="3321" spans="1:15" ht="15" customHeight="1">
      <c r="A3321" s="1052" t="s">
        <v>515</v>
      </c>
      <c r="B3321" s="869"/>
      <c r="C3321" s="1058" t="e">
        <f>VLOOKUP(B3316,'LƯƠNG KT'!$D$15:$U$94,17,0)</f>
        <v>#N/A</v>
      </c>
      <c r="D3321" s="1059" t="e">
        <f>+C3321*$L$7</f>
        <v>#N/A</v>
      </c>
      <c r="E3321" s="1061"/>
      <c r="F3321" s="1061"/>
      <c r="G3321" s="1052" t="s">
        <v>515</v>
      </c>
      <c r="H3321" s="869"/>
      <c r="I3321" s="1058" t="e">
        <f>VLOOKUP(H3316,'LƯƠNG KT'!$D$15:$U$94,17,0)</f>
        <v>#N/A</v>
      </c>
      <c r="J3321" s="1059" t="e">
        <f>+I3321*$L$7</f>
        <v>#N/A</v>
      </c>
      <c r="K3321" s="1085"/>
      <c r="L3321" s="1085"/>
      <c r="M3321" s="1085"/>
      <c r="N3321" s="1085"/>
      <c r="O3321" s="1085"/>
    </row>
    <row r="3322" spans="1:15" ht="15" customHeight="1">
      <c r="A3322" s="1052" t="s">
        <v>519</v>
      </c>
      <c r="B3322" s="869"/>
      <c r="C3322" s="1058" t="e">
        <f>VLOOKUP(B3316,'LƯƠNG KT'!$D$15:$U$94,19,0)</f>
        <v>#N/A</v>
      </c>
      <c r="D3322" s="1059" t="e">
        <f>C3322*20000</f>
        <v>#N/A</v>
      </c>
      <c r="E3322" s="1061"/>
      <c r="F3322" s="1061"/>
      <c r="G3322" s="1052" t="s">
        <v>519</v>
      </c>
      <c r="H3322" s="869"/>
      <c r="I3322" s="1058" t="e">
        <f>VLOOKUP(H3316,'LƯƠNG KT'!$D$15:$U$94,19,0)</f>
        <v>#N/A</v>
      </c>
      <c r="J3322" s="1059" t="e">
        <f>I3322*20000</f>
        <v>#N/A</v>
      </c>
      <c r="K3322" s="1085"/>
      <c r="L3322" s="1085"/>
      <c r="M3322" s="1085"/>
      <c r="N3322" s="1085"/>
      <c r="O3322" s="1085"/>
    </row>
    <row r="3323" spans="1:15" ht="15" customHeight="1">
      <c r="A3323" s="1052" t="s">
        <v>371</v>
      </c>
      <c r="B3323" s="869" t="s">
        <v>372</v>
      </c>
      <c r="C3323" s="1058" t="e">
        <f>VLOOKUP(B3316,'LƯƠNG KT'!$D$15:$U$94,9,0)*$L$10</f>
        <v>#N/A</v>
      </c>
      <c r="D3323" s="1059" t="e">
        <f>+C3323*0.5*3000</f>
        <v>#N/A</v>
      </c>
      <c r="E3323" s="1061"/>
      <c r="F3323" s="1061"/>
      <c r="G3323" s="1052" t="s">
        <v>371</v>
      </c>
      <c r="H3323" s="869" t="s">
        <v>372</v>
      </c>
      <c r="I3323" s="1058" t="e">
        <f>VLOOKUP(H3316,'LƯƠNG KT'!$D$15:$U$94,9,0)*$L$10</f>
        <v>#N/A</v>
      </c>
      <c r="J3323" s="1059" t="e">
        <f>+I3323*0.5*3000</f>
        <v>#N/A</v>
      </c>
      <c r="K3323" s="1085"/>
      <c r="L3323" s="1085"/>
      <c r="M3323" s="1085"/>
      <c r="N3323" s="1085"/>
      <c r="O3323" s="1085"/>
    </row>
    <row r="3324" spans="1:15" ht="15" customHeight="1">
      <c r="A3324" s="1052" t="s">
        <v>374</v>
      </c>
      <c r="B3324" s="869" t="s">
        <v>375</v>
      </c>
      <c r="C3324" s="1058" t="e">
        <f>VLOOKUP(B3316,'LƯƠNG KT'!$D$15:$U$94,8,0)*$L$11</f>
        <v>#N/A</v>
      </c>
      <c r="D3324" s="1059" t="e">
        <f>VLOOKUP(B3316,'LƯƠNG KT'!$D$15:$U$94,13,0)-D3323</f>
        <v>#N/A</v>
      </c>
      <c r="E3324" s="1063"/>
      <c r="F3324" s="1061"/>
      <c r="G3324" s="1052" t="s">
        <v>374</v>
      </c>
      <c r="H3324" s="869" t="s">
        <v>375</v>
      </c>
      <c r="I3324" s="1058" t="e">
        <f>VLOOKUP(H3316,'LƯƠNG KT'!$D$15:$U$94,8,0)*$L$11</f>
        <v>#N/A</v>
      </c>
      <c r="J3324" s="1059" t="e">
        <f>VLOOKUP(H3316,'LƯƠNG KT'!$D$15:$U$94,13,0)-J3323</f>
        <v>#N/A</v>
      </c>
      <c r="K3324" s="1085"/>
      <c r="L3324" s="1085"/>
      <c r="M3324" s="1085"/>
      <c r="N3324" s="1085"/>
      <c r="O3324" s="1085"/>
    </row>
    <row r="3325" spans="1:15" ht="15" customHeight="1">
      <c r="A3325" s="1059" t="s">
        <v>377</v>
      </c>
      <c r="B3325" s="869" t="s">
        <v>378</v>
      </c>
      <c r="C3325" s="1058"/>
      <c r="D3325" s="1059"/>
      <c r="E3325" s="1065"/>
      <c r="F3325" s="1065"/>
      <c r="G3325" s="1059" t="s">
        <v>377</v>
      </c>
      <c r="H3325" s="869" t="s">
        <v>378</v>
      </c>
      <c r="I3325" s="1058"/>
      <c r="J3325" s="1059"/>
    </row>
    <row r="3326" spans="1:15" ht="15" customHeight="1">
      <c r="A3326" s="1066" t="s">
        <v>379</v>
      </c>
      <c r="B3326" s="869" t="s">
        <v>380</v>
      </c>
      <c r="C3326" s="1058"/>
      <c r="D3326" s="1059"/>
      <c r="E3326" s="1063"/>
      <c r="F3326" s="1065"/>
      <c r="G3326" s="1066" t="s">
        <v>379</v>
      </c>
      <c r="H3326" s="869" t="s">
        <v>380</v>
      </c>
      <c r="I3326" s="1058"/>
      <c r="J3326" s="1059"/>
    </row>
    <row r="3327" spans="1:15" ht="15" customHeight="1">
      <c r="A3327" s="1068" t="s">
        <v>383</v>
      </c>
      <c r="B3327" s="1069" t="s">
        <v>384</v>
      </c>
      <c r="C3327" s="1070"/>
      <c r="D3327" s="1071" t="e">
        <f>SUM(D3317:D3324)</f>
        <v>#N/A</v>
      </c>
      <c r="E3327" s="1072"/>
      <c r="F3327" s="1073"/>
      <c r="G3327" s="1068" t="s">
        <v>383</v>
      </c>
      <c r="H3327" s="1069" t="s">
        <v>384</v>
      </c>
      <c r="I3327" s="1070"/>
      <c r="J3327" s="1071" t="e">
        <f>SUM(J3317:J3324)</f>
        <v>#N/A</v>
      </c>
      <c r="K3327" s="1090"/>
      <c r="L3327" s="1090"/>
      <c r="M3327" s="1090"/>
      <c r="N3327" s="1090"/>
      <c r="O3327" s="1090"/>
    </row>
    <row r="3328" spans="1:15" ht="18.75" customHeight="1">
      <c r="A3328" s="1074"/>
      <c r="B3328" s="1075"/>
      <c r="C3328" s="1076"/>
      <c r="D3328" s="1077"/>
      <c r="E3328" s="1077"/>
      <c r="F3328" s="1078"/>
      <c r="G3328" s="1074"/>
      <c r="H3328" s="1075"/>
      <c r="I3328" s="1076"/>
      <c r="J3328" s="1077"/>
    </row>
    <row r="3329" spans="1:15" ht="15" customHeight="1">
      <c r="A3329" s="2242" t="str">
        <f>$K$2</f>
        <v>THÁNG 09/2024</v>
      </c>
      <c r="B3329" s="2242"/>
      <c r="C3329" s="2242"/>
      <c r="D3329" s="2242"/>
      <c r="E3329" s="1050"/>
      <c r="F3329" s="1051"/>
      <c r="G3329" s="2242" t="str">
        <f>$K$2</f>
        <v>THÁNG 09/2024</v>
      </c>
      <c r="H3329" s="2242"/>
      <c r="I3329" s="2242"/>
      <c r="J3329" s="2242"/>
      <c r="K3329" s="624"/>
    </row>
    <row r="3330" spans="1:15" ht="15" customHeight="1">
      <c r="A3330" s="1052" t="s">
        <v>356</v>
      </c>
      <c r="B3330" s="1053" t="s">
        <v>343</v>
      </c>
      <c r="C3330" s="869"/>
      <c r="D3330" s="1049"/>
      <c r="E3330" s="1054"/>
      <c r="F3330" s="1055"/>
      <c r="G3330" s="1052" t="s">
        <v>356</v>
      </c>
      <c r="H3330" s="1053" t="s">
        <v>344</v>
      </c>
      <c r="I3330" s="869"/>
      <c r="J3330" s="1049"/>
      <c r="K3330" s="1101"/>
      <c r="L3330" s="1102"/>
      <c r="M3330" s="1102"/>
      <c r="N3330" s="1102"/>
      <c r="O3330" s="1102"/>
    </row>
    <row r="3331" spans="1:15" ht="15" customHeight="1">
      <c r="A3331" s="1052" t="s">
        <v>359</v>
      </c>
      <c r="B3331" s="1089" t="s">
        <v>360</v>
      </c>
      <c r="C3331" s="1058" t="e">
        <f>VLOOKUP(B3330,'LƯƠNG KT'!$D$15:$U$94,3,0)</f>
        <v>#N/A</v>
      </c>
      <c r="D3331" s="1059" t="e">
        <f>+C3331*25000</f>
        <v>#N/A</v>
      </c>
      <c r="E3331" s="1060"/>
      <c r="F3331" s="1060"/>
      <c r="G3331" s="1052" t="s">
        <v>359</v>
      </c>
      <c r="H3331" s="1089" t="s">
        <v>360</v>
      </c>
      <c r="I3331" s="1058" t="e">
        <f>VLOOKUP(H3330,'LƯƠNG KT'!$D$15:$U$94,3,0)</f>
        <v>#N/A</v>
      </c>
      <c r="J3331" s="1059" t="e">
        <f>+I3331*25000</f>
        <v>#N/A</v>
      </c>
      <c r="K3331" s="1101"/>
      <c r="L3331" s="1101"/>
      <c r="M3331" s="1101"/>
      <c r="N3331" s="1101"/>
      <c r="O3331" s="1101"/>
    </row>
    <row r="3332" spans="1:15" ht="15" customHeight="1">
      <c r="A3332" s="1052" t="s">
        <v>361</v>
      </c>
      <c r="B3332" s="869" t="s">
        <v>362</v>
      </c>
      <c r="C3332" s="1058" t="e">
        <f>VLOOKUP(B3330,'LƯƠNG KT'!$D$15:$U$94,14,0)</f>
        <v>#N/A</v>
      </c>
      <c r="D3332" s="1059" t="e">
        <f>C3332*$L$4</f>
        <v>#N/A</v>
      </c>
      <c r="E3332" s="1061"/>
      <c r="F3332" s="1061"/>
      <c r="G3332" s="1052" t="s">
        <v>361</v>
      </c>
      <c r="H3332" s="869" t="s">
        <v>362</v>
      </c>
      <c r="I3332" s="1058" t="e">
        <f>VLOOKUP(H3330,'LƯƠNG KT'!$D$15:$U$94,14,0)</f>
        <v>#N/A</v>
      </c>
      <c r="J3332" s="1059" t="e">
        <f>I3332*$L$4</f>
        <v>#N/A</v>
      </c>
      <c r="K3332" s="1101"/>
      <c r="L3332" s="1101"/>
      <c r="M3332" s="1101"/>
      <c r="N3332" s="1101"/>
      <c r="O3332" s="1101"/>
    </row>
    <row r="3333" spans="1:15" ht="15" customHeight="1">
      <c r="A3333" s="1052" t="s">
        <v>364</v>
      </c>
      <c r="B3333" s="869" t="s">
        <v>365</v>
      </c>
      <c r="C3333" s="1058" t="e">
        <f>VLOOKUP(B3330,'LƯƠNG KT'!$D$15:$U$94,15,0)</f>
        <v>#N/A</v>
      </c>
      <c r="D3333" s="1059" t="e">
        <f>C3333*$L$5</f>
        <v>#N/A</v>
      </c>
      <c r="E3333" s="1061"/>
      <c r="F3333" s="1061"/>
      <c r="G3333" s="1052" t="s">
        <v>364</v>
      </c>
      <c r="H3333" s="869" t="s">
        <v>365</v>
      </c>
      <c r="I3333" s="1058" t="e">
        <f>VLOOKUP(H3330,'LƯƠNG KT'!$D$15:$U$94,15,0)</f>
        <v>#N/A</v>
      </c>
      <c r="J3333" s="1059" t="e">
        <f>I3333*$L$5</f>
        <v>#N/A</v>
      </c>
      <c r="K3333" s="1101"/>
      <c r="L3333" s="1101"/>
      <c r="M3333" s="1101"/>
      <c r="N3333" s="1101"/>
      <c r="O3333" s="1101"/>
    </row>
    <row r="3334" spans="1:15" ht="15" customHeight="1">
      <c r="A3334" s="1052" t="s">
        <v>367</v>
      </c>
      <c r="B3334" s="869"/>
      <c r="C3334" s="1058" t="e">
        <f>VLOOKUP(B3330,'LƯƠNG KT'!$D$15:$U$94,16,0)</f>
        <v>#N/A</v>
      </c>
      <c r="D3334" s="1059" t="e">
        <f>+C3334*$L$6</f>
        <v>#N/A</v>
      </c>
      <c r="E3334" s="1061"/>
      <c r="F3334" s="1061"/>
      <c r="G3334" s="1052" t="s">
        <v>367</v>
      </c>
      <c r="H3334" s="869"/>
      <c r="I3334" s="1058" t="e">
        <f>VLOOKUP(H3330,'LƯƠNG KT'!$D$15:$U$94,16,0)</f>
        <v>#N/A</v>
      </c>
      <c r="J3334" s="1059" t="e">
        <f>+I3334*$L$6</f>
        <v>#N/A</v>
      </c>
      <c r="K3334" s="1101"/>
      <c r="L3334" s="1101"/>
      <c r="M3334" s="1101"/>
      <c r="N3334" s="1101"/>
      <c r="O3334" s="1101"/>
    </row>
    <row r="3335" spans="1:15" ht="15" customHeight="1">
      <c r="A3335" s="1052" t="s">
        <v>515</v>
      </c>
      <c r="B3335" s="869"/>
      <c r="C3335" s="1058" t="e">
        <f>VLOOKUP(B3330,'LƯƠNG KT'!$D$15:$U$94,17,0)</f>
        <v>#N/A</v>
      </c>
      <c r="D3335" s="1059" t="e">
        <f>+C3335*$L$7</f>
        <v>#N/A</v>
      </c>
      <c r="E3335" s="1061"/>
      <c r="F3335" s="1061"/>
      <c r="G3335" s="1052" t="s">
        <v>515</v>
      </c>
      <c r="H3335" s="869"/>
      <c r="I3335" s="1058" t="e">
        <f>VLOOKUP(H3330,'LƯƠNG KT'!$D$15:$U$94,17,0)</f>
        <v>#N/A</v>
      </c>
      <c r="J3335" s="1059" t="e">
        <f>+I3335*$L$7</f>
        <v>#N/A</v>
      </c>
      <c r="K3335" s="1101"/>
      <c r="L3335" s="1101"/>
      <c r="M3335" s="1101"/>
      <c r="N3335" s="1101"/>
      <c r="O3335" s="1101"/>
    </row>
    <row r="3336" spans="1:15" ht="15" customHeight="1">
      <c r="A3336" s="1052" t="s">
        <v>519</v>
      </c>
      <c r="B3336" s="869"/>
      <c r="C3336" s="1058" t="e">
        <f>VLOOKUP(B3330,'LƯƠNG KT'!$D$15:$U$94,19,0)</f>
        <v>#N/A</v>
      </c>
      <c r="D3336" s="1059" t="e">
        <f>C3336*20000</f>
        <v>#N/A</v>
      </c>
      <c r="E3336" s="1061"/>
      <c r="F3336" s="1061"/>
      <c r="G3336" s="1052" t="s">
        <v>519</v>
      </c>
      <c r="H3336" s="869"/>
      <c r="I3336" s="1058" t="e">
        <f>VLOOKUP(H3330,'LƯƠNG KT'!$D$15:$U$94,19,0)</f>
        <v>#N/A</v>
      </c>
      <c r="J3336" s="1059" t="e">
        <f>I3336*20000</f>
        <v>#N/A</v>
      </c>
      <c r="K3336" s="1101"/>
      <c r="L3336" s="1101"/>
      <c r="M3336" s="1101"/>
      <c r="N3336" s="1101"/>
      <c r="O3336" s="1101"/>
    </row>
    <row r="3337" spans="1:15" ht="15" customHeight="1">
      <c r="A3337" s="1052" t="s">
        <v>371</v>
      </c>
      <c r="B3337" s="869" t="s">
        <v>372</v>
      </c>
      <c r="C3337" s="1058" t="e">
        <f>VLOOKUP(B3330,'LƯƠNG KT'!$D$15:$U$94,9,0)*$L$10</f>
        <v>#N/A</v>
      </c>
      <c r="D3337" s="1059" t="e">
        <f>+C3337*0.5*3000</f>
        <v>#N/A</v>
      </c>
      <c r="E3337" s="1061"/>
      <c r="F3337" s="1061"/>
      <c r="G3337" s="1052" t="s">
        <v>371</v>
      </c>
      <c r="H3337" s="869" t="s">
        <v>372</v>
      </c>
      <c r="I3337" s="1058" t="e">
        <f>VLOOKUP(H3330,'LƯƠNG KT'!$D$15:$U$94,9,0)*$L$10</f>
        <v>#N/A</v>
      </c>
      <c r="J3337" s="1059" t="e">
        <f>+I3337*0.5*3000</f>
        <v>#N/A</v>
      </c>
      <c r="K3337" s="1101"/>
      <c r="L3337" s="1101"/>
      <c r="M3337" s="1101"/>
      <c r="N3337" s="1101"/>
      <c r="O3337" s="1101"/>
    </row>
    <row r="3338" spans="1:15" ht="15" customHeight="1">
      <c r="A3338" s="1052" t="s">
        <v>374</v>
      </c>
      <c r="B3338" s="869" t="s">
        <v>375</v>
      </c>
      <c r="C3338" s="1058" t="e">
        <f>VLOOKUP(B3330,'LƯƠNG KT'!$D$15:$U$94,8,0)*$L$11</f>
        <v>#N/A</v>
      </c>
      <c r="D3338" s="1059" t="e">
        <f>VLOOKUP(B3330,'LƯƠNG KT'!$D$15:$U$94,13,0)-D3337</f>
        <v>#N/A</v>
      </c>
      <c r="E3338" s="1063"/>
      <c r="F3338" s="1061"/>
      <c r="G3338" s="1052" t="s">
        <v>374</v>
      </c>
      <c r="H3338" s="869" t="s">
        <v>375</v>
      </c>
      <c r="I3338" s="1058" t="e">
        <f>VLOOKUP(H3330,'LƯƠNG KT'!$D$15:$U$94,8,0)*$L$11</f>
        <v>#N/A</v>
      </c>
      <c r="J3338" s="1059" t="e">
        <f>VLOOKUP(H3330,'LƯƠNG KT'!$D$15:$U$94,13,0)-J3337</f>
        <v>#N/A</v>
      </c>
      <c r="K3338" s="1101"/>
      <c r="L3338" s="1101"/>
      <c r="M3338" s="1101"/>
      <c r="N3338" s="1101"/>
      <c r="O3338" s="1101"/>
    </row>
    <row r="3339" spans="1:15" ht="15" customHeight="1">
      <c r="A3339" s="1059" t="s">
        <v>377</v>
      </c>
      <c r="B3339" s="869" t="s">
        <v>378</v>
      </c>
      <c r="C3339" s="1058"/>
      <c r="D3339" s="1059"/>
      <c r="E3339" s="1065"/>
      <c r="F3339" s="1065"/>
      <c r="G3339" s="1059" t="s">
        <v>377</v>
      </c>
      <c r="H3339" s="869" t="s">
        <v>378</v>
      </c>
      <c r="I3339" s="1058"/>
      <c r="J3339" s="1059"/>
      <c r="K3339" s="1101"/>
      <c r="L3339" s="1101"/>
      <c r="M3339" s="1101"/>
      <c r="N3339" s="1101"/>
      <c r="O3339" s="1101"/>
    </row>
    <row r="3340" spans="1:15" ht="15" customHeight="1">
      <c r="A3340" s="1066" t="s">
        <v>379</v>
      </c>
      <c r="B3340" s="869" t="s">
        <v>380</v>
      </c>
      <c r="C3340" s="1058"/>
      <c r="D3340" s="1059"/>
      <c r="E3340" s="1063"/>
      <c r="F3340" s="1065"/>
      <c r="G3340" s="1066" t="s">
        <v>379</v>
      </c>
      <c r="H3340" s="869" t="s">
        <v>380</v>
      </c>
      <c r="I3340" s="1058"/>
      <c r="J3340" s="1059"/>
      <c r="K3340" s="1101"/>
      <c r="L3340" s="1101"/>
      <c r="M3340" s="1101"/>
      <c r="N3340" s="1101"/>
      <c r="O3340" s="1101"/>
    </row>
    <row r="3341" spans="1:15" ht="15" customHeight="1">
      <c r="A3341" s="1068" t="s">
        <v>383</v>
      </c>
      <c r="B3341" s="1069" t="s">
        <v>384</v>
      </c>
      <c r="C3341" s="1070"/>
      <c r="D3341" s="1071" t="e">
        <f>SUM(D3331:D3338)</f>
        <v>#N/A</v>
      </c>
      <c r="E3341" s="1072"/>
      <c r="F3341" s="1073"/>
      <c r="G3341" s="1068" t="s">
        <v>383</v>
      </c>
      <c r="H3341" s="1069" t="s">
        <v>384</v>
      </c>
      <c r="I3341" s="1070"/>
      <c r="J3341" s="1071" t="e">
        <f>SUM(J3331:J3338)</f>
        <v>#N/A</v>
      </c>
    </row>
    <row r="3342" spans="1:15" ht="15.75" customHeight="1">
      <c r="A3342" s="1074"/>
      <c r="B3342" s="1075"/>
      <c r="C3342" s="1076"/>
      <c r="D3342" s="1077"/>
      <c r="E3342" s="1077"/>
      <c r="F3342" s="1078"/>
      <c r="G3342" s="1074"/>
      <c r="H3342" s="1075"/>
      <c r="I3342" s="1076"/>
      <c r="J3342" s="1077"/>
    </row>
    <row r="3343" spans="1:15" ht="12" customHeight="1">
      <c r="A3343" s="2243"/>
      <c r="B3343" s="2243"/>
      <c r="C3343" s="2243"/>
      <c r="D3343" s="2243"/>
      <c r="E3343" s="2243"/>
      <c r="F3343" s="2243"/>
      <c r="G3343" s="2243"/>
      <c r="H3343" s="2243"/>
      <c r="I3343" s="2243"/>
      <c r="J3343" s="2243"/>
    </row>
    <row r="3344" spans="1:15" ht="15" customHeight="1">
      <c r="A3344" s="2242" t="str">
        <f>$K$2</f>
        <v>THÁNG 09/2024</v>
      </c>
      <c r="B3344" s="2242"/>
      <c r="C3344" s="2242"/>
      <c r="D3344" s="2242"/>
      <c r="E3344" s="1050"/>
      <c r="F3344" s="1051"/>
      <c r="G3344" s="2242" t="str">
        <f>$K$2</f>
        <v>THÁNG 09/2024</v>
      </c>
      <c r="H3344" s="2242"/>
      <c r="I3344" s="2242"/>
      <c r="J3344" s="2242"/>
      <c r="K3344" s="624"/>
    </row>
    <row r="3345" spans="1:15" ht="15" customHeight="1">
      <c r="A3345" s="1052" t="s">
        <v>356</v>
      </c>
      <c r="B3345" s="1053" t="s">
        <v>345</v>
      </c>
      <c r="C3345" s="869"/>
      <c r="D3345" s="1049"/>
      <c r="E3345" s="1054"/>
      <c r="F3345" s="1055"/>
      <c r="G3345" s="1052" t="s">
        <v>356</v>
      </c>
      <c r="H3345" s="1053" t="s">
        <v>346</v>
      </c>
      <c r="I3345" s="869"/>
      <c r="J3345" s="1049"/>
      <c r="L3345" s="1088"/>
      <c r="M3345" s="1088"/>
      <c r="N3345" s="1088"/>
      <c r="O3345" s="1088"/>
    </row>
    <row r="3346" spans="1:15" ht="15" customHeight="1">
      <c r="A3346" s="1052" t="s">
        <v>359</v>
      </c>
      <c r="B3346" s="1089" t="s">
        <v>360</v>
      </c>
      <c r="C3346" s="1058" t="e">
        <f>VLOOKUP(B3345,'LƯƠNG KT'!$D$15:$U$94,3,0)</f>
        <v>#N/A</v>
      </c>
      <c r="D3346" s="1059" t="e">
        <f>+C3346*25000</f>
        <v>#N/A</v>
      </c>
      <c r="E3346" s="1060"/>
      <c r="F3346" s="1060"/>
      <c r="G3346" s="1052" t="s">
        <v>359</v>
      </c>
      <c r="H3346" s="1089" t="s">
        <v>360</v>
      </c>
      <c r="I3346" s="1058" t="e">
        <f>VLOOKUP(H3345,'LƯƠNG KT'!$D$15:$U$94,3,0)</f>
        <v>#N/A</v>
      </c>
      <c r="J3346" s="1059" t="e">
        <f>+I3346*25000</f>
        <v>#N/A</v>
      </c>
      <c r="K3346" s="1084"/>
      <c r="L3346" s="1085"/>
      <c r="M3346" s="1085"/>
      <c r="N3346" s="1085"/>
      <c r="O3346" s="1085"/>
    </row>
    <row r="3347" spans="1:15" ht="15" customHeight="1">
      <c r="A3347" s="1052" t="s">
        <v>361</v>
      </c>
      <c r="B3347" s="869" t="s">
        <v>362</v>
      </c>
      <c r="C3347" s="1058" t="e">
        <f>VLOOKUP(B3345,'LƯƠNG KT'!$D$15:$U$94,14,0)</f>
        <v>#N/A</v>
      </c>
      <c r="D3347" s="1059" t="e">
        <f>C3347*$L$4</f>
        <v>#N/A</v>
      </c>
      <c r="E3347" s="1061"/>
      <c r="F3347" s="1061"/>
      <c r="G3347" s="1052" t="s">
        <v>361</v>
      </c>
      <c r="H3347" s="869" t="s">
        <v>362</v>
      </c>
      <c r="I3347" s="1058" t="e">
        <f>VLOOKUP(H3345,'LƯƠNG KT'!$D$15:$U$94,14,0)</f>
        <v>#N/A</v>
      </c>
      <c r="J3347" s="1059" t="e">
        <f>I3347*$L$4</f>
        <v>#N/A</v>
      </c>
      <c r="K3347" s="1084"/>
      <c r="L3347" s="1085"/>
      <c r="M3347" s="1085"/>
      <c r="N3347" s="1085"/>
      <c r="O3347" s="1085"/>
    </row>
    <row r="3348" spans="1:15" ht="15" customHeight="1">
      <c r="A3348" s="1052" t="s">
        <v>364</v>
      </c>
      <c r="B3348" s="869" t="s">
        <v>365</v>
      </c>
      <c r="C3348" s="1058" t="e">
        <f>VLOOKUP(B3345,'LƯƠNG KT'!$D$15:$U$94,15,0)</f>
        <v>#N/A</v>
      </c>
      <c r="D3348" s="1059" t="e">
        <f>C3348*$L$5</f>
        <v>#N/A</v>
      </c>
      <c r="E3348" s="1061"/>
      <c r="F3348" s="1061"/>
      <c r="G3348" s="1052" t="s">
        <v>364</v>
      </c>
      <c r="H3348" s="869" t="s">
        <v>365</v>
      </c>
      <c r="I3348" s="1058" t="e">
        <f>VLOOKUP(H3345,'LƯƠNG KT'!$D$15:$U$94,15,0)</f>
        <v>#N/A</v>
      </c>
      <c r="J3348" s="1059" t="e">
        <f>I3348*$L$5</f>
        <v>#N/A</v>
      </c>
      <c r="K3348" s="1084"/>
      <c r="L3348" s="1085"/>
      <c r="M3348" s="1085"/>
      <c r="N3348" s="1085"/>
      <c r="O3348" s="1085"/>
    </row>
    <row r="3349" spans="1:15" ht="15" customHeight="1">
      <c r="A3349" s="1052" t="s">
        <v>367</v>
      </c>
      <c r="B3349" s="869"/>
      <c r="C3349" s="1058" t="e">
        <f>VLOOKUP(B3345,'LƯƠNG KT'!$D$15:$U$94,16,0)</f>
        <v>#N/A</v>
      </c>
      <c r="D3349" s="1059" t="e">
        <f>+C3349*$L$6</f>
        <v>#N/A</v>
      </c>
      <c r="E3349" s="1061"/>
      <c r="F3349" s="1061"/>
      <c r="G3349" s="1052" t="s">
        <v>367</v>
      </c>
      <c r="H3349" s="869"/>
      <c r="I3349" s="1058" t="e">
        <f>VLOOKUP(H3345,'LƯƠNG KT'!$D$15:$U$94,16,0)</f>
        <v>#N/A</v>
      </c>
      <c r="J3349" s="1059" t="e">
        <f>+I3349*$L$6</f>
        <v>#N/A</v>
      </c>
      <c r="K3349" s="1084"/>
      <c r="L3349" s="1085"/>
      <c r="M3349" s="1085"/>
      <c r="N3349" s="1085"/>
      <c r="O3349" s="1085"/>
    </row>
    <row r="3350" spans="1:15" ht="15" customHeight="1">
      <c r="A3350" s="1052" t="s">
        <v>515</v>
      </c>
      <c r="B3350" s="869"/>
      <c r="C3350" s="1058" t="e">
        <f>VLOOKUP(B3345,'LƯƠNG KT'!$D$15:$U$94,17,0)</f>
        <v>#N/A</v>
      </c>
      <c r="D3350" s="1059" t="e">
        <f>+C3350*$L$7</f>
        <v>#N/A</v>
      </c>
      <c r="E3350" s="1061"/>
      <c r="F3350" s="1061"/>
      <c r="G3350" s="1052" t="s">
        <v>515</v>
      </c>
      <c r="H3350" s="869"/>
      <c r="I3350" s="1058" t="e">
        <f>VLOOKUP(H3345,'LƯƠNG KT'!$D$15:$U$94,17,0)</f>
        <v>#N/A</v>
      </c>
      <c r="J3350" s="1059" t="e">
        <f>+I3350*$L$7</f>
        <v>#N/A</v>
      </c>
      <c r="K3350" s="1085"/>
      <c r="L3350" s="1085"/>
      <c r="M3350" s="1085"/>
      <c r="N3350" s="1085"/>
      <c r="O3350" s="1085"/>
    </row>
    <row r="3351" spans="1:15" ht="15" customHeight="1">
      <c r="A3351" s="1052" t="s">
        <v>519</v>
      </c>
      <c r="B3351" s="869"/>
      <c r="C3351" s="1058" t="e">
        <f>VLOOKUP(B3345,'LƯƠNG KT'!$D$15:$U$94,19,0)</f>
        <v>#N/A</v>
      </c>
      <c r="D3351" s="1059" t="e">
        <f>C3351*20000</f>
        <v>#N/A</v>
      </c>
      <c r="E3351" s="1061"/>
      <c r="F3351" s="1061"/>
      <c r="G3351" s="1052" t="s">
        <v>519</v>
      </c>
      <c r="H3351" s="869"/>
      <c r="I3351" s="1058" t="e">
        <f>VLOOKUP(H3345,'LƯƠNG KT'!$D$15:$U$94,19,0)</f>
        <v>#N/A</v>
      </c>
      <c r="J3351" s="1059" t="e">
        <f>I3351*20000</f>
        <v>#N/A</v>
      </c>
      <c r="K3351" s="1085"/>
      <c r="L3351" s="1085"/>
      <c r="M3351" s="1085"/>
      <c r="N3351" s="1085"/>
      <c r="O3351" s="1085"/>
    </row>
    <row r="3352" spans="1:15" ht="15" customHeight="1">
      <c r="A3352" s="1052" t="s">
        <v>371</v>
      </c>
      <c r="B3352" s="869" t="s">
        <v>372</v>
      </c>
      <c r="C3352" s="1058" t="e">
        <f>VLOOKUP(B3345,'LƯƠNG KT'!$D$15:$U$94,9,0)*$L$10</f>
        <v>#N/A</v>
      </c>
      <c r="D3352" s="1059" t="e">
        <f>+C3352*0.5*3000</f>
        <v>#N/A</v>
      </c>
      <c r="E3352" s="1061"/>
      <c r="F3352" s="1061"/>
      <c r="G3352" s="1052" t="s">
        <v>371</v>
      </c>
      <c r="H3352" s="869" t="s">
        <v>372</v>
      </c>
      <c r="I3352" s="1058" t="e">
        <f>VLOOKUP(H3345,'LƯƠNG KT'!$D$15:$U$94,9,0)*$L$10</f>
        <v>#N/A</v>
      </c>
      <c r="J3352" s="1059" t="e">
        <f>+I3352*0.5*3000</f>
        <v>#N/A</v>
      </c>
      <c r="K3352" s="1085"/>
      <c r="L3352" s="1085"/>
      <c r="M3352" s="1085"/>
      <c r="N3352" s="1085"/>
      <c r="O3352" s="1085"/>
    </row>
    <row r="3353" spans="1:15" ht="15" customHeight="1">
      <c r="A3353" s="1052" t="s">
        <v>374</v>
      </c>
      <c r="B3353" s="869" t="s">
        <v>375</v>
      </c>
      <c r="C3353" s="1058" t="e">
        <f>VLOOKUP(B3345,'LƯƠNG KT'!$D$15:$U$94,8,0)*$L$11</f>
        <v>#N/A</v>
      </c>
      <c r="D3353" s="1059" t="e">
        <f>VLOOKUP(B3345,'LƯƠNG KT'!$D$15:$U$94,13,0)-D3352</f>
        <v>#N/A</v>
      </c>
      <c r="E3353" s="1063"/>
      <c r="F3353" s="1061"/>
      <c r="G3353" s="1052" t="s">
        <v>374</v>
      </c>
      <c r="H3353" s="869" t="s">
        <v>375</v>
      </c>
      <c r="I3353" s="1058" t="e">
        <f>VLOOKUP(H3345,'LƯƠNG KT'!$D$15:$U$94,8,0)*$L$11</f>
        <v>#N/A</v>
      </c>
      <c r="J3353" s="1059" t="e">
        <f>VLOOKUP(H3345,'LƯƠNG KT'!$D$15:$U$94,13,0)-J3352</f>
        <v>#N/A</v>
      </c>
      <c r="K3353" s="1085"/>
      <c r="L3353" s="1085"/>
      <c r="M3353" s="1085"/>
      <c r="N3353" s="1085"/>
      <c r="O3353" s="1085"/>
    </row>
    <row r="3354" spans="1:15" ht="15" customHeight="1">
      <c r="A3354" s="1059" t="s">
        <v>377</v>
      </c>
      <c r="B3354" s="869" t="s">
        <v>378</v>
      </c>
      <c r="C3354" s="1058"/>
      <c r="D3354" s="1059"/>
      <c r="E3354" s="1065"/>
      <c r="F3354" s="1065"/>
      <c r="G3354" s="1059" t="s">
        <v>377</v>
      </c>
      <c r="H3354" s="869" t="s">
        <v>378</v>
      </c>
      <c r="I3354" s="1058"/>
      <c r="J3354" s="1059"/>
    </row>
    <row r="3355" spans="1:15" ht="15" customHeight="1">
      <c r="A3355" s="1066" t="s">
        <v>379</v>
      </c>
      <c r="B3355" s="869" t="s">
        <v>380</v>
      </c>
      <c r="C3355" s="1058"/>
      <c r="D3355" s="1059"/>
      <c r="E3355" s="1063"/>
      <c r="F3355" s="1065"/>
      <c r="G3355" s="1066" t="s">
        <v>379</v>
      </c>
      <c r="H3355" s="869" t="s">
        <v>380</v>
      </c>
      <c r="I3355" s="1058"/>
      <c r="J3355" s="1059"/>
    </row>
    <row r="3356" spans="1:15" ht="15" customHeight="1">
      <c r="A3356" s="1068" t="s">
        <v>383</v>
      </c>
      <c r="B3356" s="1069" t="s">
        <v>384</v>
      </c>
      <c r="C3356" s="1070"/>
      <c r="D3356" s="1071" t="e">
        <f>SUM(D3346:D3353)</f>
        <v>#N/A</v>
      </c>
      <c r="E3356" s="1072"/>
      <c r="F3356" s="1073"/>
      <c r="G3356" s="1068" t="s">
        <v>383</v>
      </c>
      <c r="H3356" s="1069" t="s">
        <v>384</v>
      </c>
      <c r="I3356" s="1070"/>
      <c r="J3356" s="1071" t="e">
        <f>SUM(J3346:J3353)</f>
        <v>#N/A</v>
      </c>
    </row>
    <row r="3357" spans="1:15" ht="12.6" customHeight="1">
      <c r="A3357" s="1074"/>
      <c r="B3357" s="1075"/>
      <c r="C3357" s="1076"/>
      <c r="D3357" s="1077"/>
      <c r="E3357" s="1077"/>
      <c r="F3357" s="1078"/>
      <c r="G3357" s="1074"/>
      <c r="H3357" s="1075"/>
      <c r="I3357" s="1076"/>
      <c r="J3357" s="1077"/>
    </row>
    <row r="3358" spans="1:15" ht="12.6" customHeight="1">
      <c r="A3358" s="1075"/>
      <c r="B3358" s="1075"/>
      <c r="C3358" s="1079"/>
      <c r="D3358" s="1080"/>
      <c r="E3358" s="1075"/>
      <c r="F3358" s="1081"/>
      <c r="G3358" s="1075"/>
      <c r="H3358" s="1075"/>
      <c r="I3358" s="1079"/>
      <c r="J3358" s="1080"/>
    </row>
    <row r="3359" spans="1:15" ht="15" customHeight="1">
      <c r="A3359" s="2242"/>
      <c r="B3359" s="2242"/>
      <c r="C3359" s="2242"/>
      <c r="D3359" s="2242"/>
      <c r="E3359" s="1050"/>
      <c r="F3359" s="1051"/>
      <c r="G3359" s="2242"/>
      <c r="H3359" s="2242"/>
      <c r="I3359" s="2242"/>
      <c r="J3359" s="2242"/>
      <c r="K3359" s="624"/>
    </row>
    <row r="3360" spans="1:15" ht="15" customHeight="1">
      <c r="A3360" s="2242" t="str">
        <f>$K$2</f>
        <v>THÁNG 09/2024</v>
      </c>
      <c r="B3360" s="2242"/>
      <c r="C3360" s="2242"/>
      <c r="D3360" s="2242"/>
      <c r="E3360" s="1054"/>
      <c r="F3360" s="1055"/>
      <c r="G3360" s="2242" t="str">
        <f>$K$2</f>
        <v>THÁNG 09/2024</v>
      </c>
      <c r="H3360" s="2242"/>
      <c r="I3360" s="2242"/>
      <c r="J3360" s="2242"/>
      <c r="L3360" s="1088"/>
      <c r="M3360" s="1088"/>
      <c r="N3360" s="1088"/>
      <c r="O3360" s="1088"/>
    </row>
    <row r="3361" spans="1:15" ht="15" customHeight="1">
      <c r="A3361" s="1052" t="s">
        <v>356</v>
      </c>
      <c r="B3361" s="1053" t="s">
        <v>526</v>
      </c>
      <c r="C3361" s="869"/>
      <c r="D3361" s="1049"/>
      <c r="E3361" s="1060"/>
      <c r="F3361" s="1060"/>
      <c r="G3361" s="1052" t="s">
        <v>356</v>
      </c>
      <c r="H3361" s="1053" t="s">
        <v>527</v>
      </c>
      <c r="I3361" s="869"/>
      <c r="J3361" s="1049"/>
      <c r="K3361" s="1085"/>
      <c r="L3361" s="1085"/>
      <c r="M3361" s="1085"/>
      <c r="N3361" s="1085"/>
      <c r="O3361" s="1085"/>
    </row>
    <row r="3362" spans="1:15" ht="15" customHeight="1">
      <c r="A3362" s="1052" t="s">
        <v>359</v>
      </c>
      <c r="B3362" s="1089" t="s">
        <v>360</v>
      </c>
      <c r="C3362" s="1058" t="e">
        <f>VLOOKUP(B3361,'LƯƠNG KT'!$D$15:$U$94,3,0)</f>
        <v>#N/A</v>
      </c>
      <c r="D3362" s="1059" t="e">
        <f>+C3362*25000</f>
        <v>#N/A</v>
      </c>
      <c r="E3362" s="1060"/>
      <c r="F3362" s="1060"/>
      <c r="G3362" s="1052" t="s">
        <v>359</v>
      </c>
      <c r="H3362" s="1089" t="s">
        <v>360</v>
      </c>
      <c r="I3362" s="1058" t="e">
        <f>VLOOKUP(H3361,'LƯƠNG KT'!$D$15:$U$94,3,0)</f>
        <v>#N/A</v>
      </c>
      <c r="J3362" s="1059" t="e">
        <f>+I3362*25000</f>
        <v>#N/A</v>
      </c>
      <c r="K3362" s="1085"/>
      <c r="L3362" s="1085"/>
      <c r="M3362" s="1085"/>
      <c r="N3362" s="1085"/>
      <c r="O3362" s="1085"/>
    </row>
    <row r="3363" spans="1:15" ht="15" customHeight="1">
      <c r="A3363" s="1052" t="s">
        <v>361</v>
      </c>
      <c r="B3363" s="869" t="s">
        <v>362</v>
      </c>
      <c r="C3363" s="1058" t="e">
        <f>VLOOKUP(B3361,'LƯƠNG KT'!$D$15:$U$94,14,0)</f>
        <v>#N/A</v>
      </c>
      <c r="D3363" s="1059" t="e">
        <f>C3363*$L$4</f>
        <v>#N/A</v>
      </c>
      <c r="E3363" s="1061"/>
      <c r="F3363" s="1061"/>
      <c r="G3363" s="1052" t="s">
        <v>361</v>
      </c>
      <c r="H3363" s="869" t="s">
        <v>362</v>
      </c>
      <c r="I3363" s="1058" t="e">
        <f>VLOOKUP(H3361,'LƯƠNG KT'!$D$15:$U$94,14,0)</f>
        <v>#N/A</v>
      </c>
      <c r="J3363" s="1059" t="e">
        <f>I3363*$L$4</f>
        <v>#N/A</v>
      </c>
      <c r="K3363" s="1085"/>
      <c r="L3363" s="1085"/>
      <c r="M3363" s="1085"/>
      <c r="N3363" s="1085"/>
      <c r="O3363" s="1085"/>
    </row>
    <row r="3364" spans="1:15" ht="15" customHeight="1">
      <c r="A3364" s="1052" t="s">
        <v>364</v>
      </c>
      <c r="B3364" s="869" t="s">
        <v>365</v>
      </c>
      <c r="C3364" s="1058" t="e">
        <f>VLOOKUP(B3361,'LƯƠNG KT'!$D$15:$U$94,15,0)</f>
        <v>#N/A</v>
      </c>
      <c r="D3364" s="1059" t="e">
        <f>C3364*$L$5</f>
        <v>#N/A</v>
      </c>
      <c r="E3364" s="1061"/>
      <c r="F3364" s="1061"/>
      <c r="G3364" s="1052" t="s">
        <v>364</v>
      </c>
      <c r="H3364" s="869" t="s">
        <v>365</v>
      </c>
      <c r="I3364" s="1058" t="e">
        <f>VLOOKUP(H3361,'LƯƠNG KT'!$D$15:$U$94,15,0)</f>
        <v>#N/A</v>
      </c>
      <c r="J3364" s="1059" t="e">
        <f>I3364*$L$5</f>
        <v>#N/A</v>
      </c>
      <c r="K3364" s="1085"/>
      <c r="L3364" s="1085"/>
      <c r="M3364" s="1085"/>
      <c r="N3364" s="1085"/>
      <c r="O3364" s="1085"/>
    </row>
    <row r="3365" spans="1:15" ht="15" customHeight="1">
      <c r="A3365" s="1052" t="s">
        <v>367</v>
      </c>
      <c r="B3365" s="869"/>
      <c r="C3365" s="1058" t="e">
        <f>VLOOKUP(B3361,'LƯƠNG KT'!$D$15:$U$94,16,0)</f>
        <v>#N/A</v>
      </c>
      <c r="D3365" s="1059" t="e">
        <f>+C3365*$L$6</f>
        <v>#N/A</v>
      </c>
      <c r="E3365" s="1061"/>
      <c r="F3365" s="1061"/>
      <c r="G3365" s="1052" t="s">
        <v>367</v>
      </c>
      <c r="H3365" s="869"/>
      <c r="I3365" s="1058" t="e">
        <f>VLOOKUP(H3361,'LƯƠNG KT'!$D$15:$U$94,16,0)</f>
        <v>#N/A</v>
      </c>
      <c r="J3365" s="1059" t="e">
        <f>+I3365*$L$6</f>
        <v>#N/A</v>
      </c>
      <c r="K3365" s="1085"/>
      <c r="L3365" s="1085"/>
      <c r="M3365" s="1085"/>
      <c r="N3365" s="1085"/>
      <c r="O3365" s="1085"/>
    </row>
    <row r="3366" spans="1:15" ht="15" customHeight="1">
      <c r="A3366" s="1052" t="s">
        <v>515</v>
      </c>
      <c r="B3366" s="869"/>
      <c r="C3366" s="1058" t="e">
        <f>VLOOKUP(B3361,'LƯƠNG KT'!$D$15:$U$94,17,0)</f>
        <v>#N/A</v>
      </c>
      <c r="D3366" s="1059" t="e">
        <f>+C3366*$L$7</f>
        <v>#N/A</v>
      </c>
      <c r="E3366" s="1061"/>
      <c r="F3366" s="1061"/>
      <c r="G3366" s="1052" t="s">
        <v>515</v>
      </c>
      <c r="H3366" s="869"/>
      <c r="I3366" s="1058" t="e">
        <f>VLOOKUP(H3361,'LƯƠNG KT'!$D$15:$U$94,17,0)</f>
        <v>#N/A</v>
      </c>
      <c r="J3366" s="1059" t="e">
        <f>+I3366*$L$7</f>
        <v>#N/A</v>
      </c>
      <c r="K3366" s="1085"/>
      <c r="L3366" s="1085"/>
      <c r="M3366" s="1085"/>
      <c r="N3366" s="1085"/>
      <c r="O3366" s="1085"/>
    </row>
    <row r="3367" spans="1:15" ht="15" customHeight="1">
      <c r="A3367" s="1052" t="s">
        <v>519</v>
      </c>
      <c r="B3367" s="869"/>
      <c r="C3367" s="1058"/>
      <c r="D3367" s="1059" t="e">
        <f>VLOOKUP(B3361,'LƯƠNG KT'!$D$15:$U$94,18,0)</f>
        <v>#N/A</v>
      </c>
      <c r="E3367" s="1061"/>
      <c r="F3367" s="1061"/>
      <c r="G3367" s="1052" t="s">
        <v>519</v>
      </c>
      <c r="H3367" s="869"/>
      <c r="I3367" s="1058"/>
      <c r="J3367" s="1059" t="e">
        <f>VLOOKUP(H3361,'LƯƠNG KT'!$D$15:$U$94,18,0)</f>
        <v>#N/A</v>
      </c>
      <c r="K3367" s="1085"/>
      <c r="L3367" s="1085"/>
      <c r="M3367" s="1085"/>
      <c r="N3367" s="1085"/>
      <c r="O3367" s="1085"/>
    </row>
    <row r="3368" spans="1:15" ht="15" customHeight="1">
      <c r="A3368" s="1052" t="s">
        <v>371</v>
      </c>
      <c r="B3368" s="869" t="s">
        <v>372</v>
      </c>
      <c r="C3368" s="1058" t="e">
        <f>VLOOKUP(B3361,'LƯƠNG KT'!$D$15:$U$94,9,0)*$L$10</f>
        <v>#N/A</v>
      </c>
      <c r="D3368" s="1059" t="e">
        <f>+C3368*0.5*3000</f>
        <v>#N/A</v>
      </c>
      <c r="E3368" s="1061"/>
      <c r="F3368" s="1061"/>
      <c r="G3368" s="1052" t="s">
        <v>371</v>
      </c>
      <c r="H3368" s="869" t="s">
        <v>372</v>
      </c>
      <c r="I3368" s="1058" t="e">
        <f>VLOOKUP(H3361,'LƯƠNG KT'!$D$15:$U$94,9,0)*$L$10</f>
        <v>#N/A</v>
      </c>
      <c r="J3368" s="1059" t="e">
        <f>+I3368*0.5*3000</f>
        <v>#N/A</v>
      </c>
      <c r="K3368" s="1085"/>
      <c r="L3368" s="1085"/>
      <c r="M3368" s="1085"/>
      <c r="N3368" s="1085"/>
      <c r="O3368" s="1085"/>
    </row>
    <row r="3369" spans="1:15" ht="15" customHeight="1">
      <c r="A3369" s="1052" t="s">
        <v>374</v>
      </c>
      <c r="B3369" s="869" t="s">
        <v>375</v>
      </c>
      <c r="C3369" s="1058" t="e">
        <f>VLOOKUP(B3361,'LƯƠNG KT'!$D$15:$U$94,8,0)*$L$11</f>
        <v>#N/A</v>
      </c>
      <c r="D3369" s="1059" t="e">
        <f>VLOOKUP(B3361,'LƯƠNG KT'!$D$15:$U$94,13,0)-D3368</f>
        <v>#N/A</v>
      </c>
      <c r="E3369" s="1063"/>
      <c r="F3369" s="1061"/>
      <c r="G3369" s="1052" t="s">
        <v>374</v>
      </c>
      <c r="H3369" s="869" t="s">
        <v>375</v>
      </c>
      <c r="I3369" s="1058" t="e">
        <f>VLOOKUP(H3361,'LƯƠNG KT'!$D$15:$U$94,8,0)*$L$11</f>
        <v>#N/A</v>
      </c>
      <c r="J3369" s="1059" t="e">
        <f>VLOOKUP(H3361,'LƯƠNG KT'!$D$15:$U$94,13,0)-J3368</f>
        <v>#N/A</v>
      </c>
    </row>
    <row r="3370" spans="1:15" ht="15" customHeight="1">
      <c r="A3370" s="1059" t="s">
        <v>377</v>
      </c>
      <c r="B3370" s="869" t="s">
        <v>378</v>
      </c>
      <c r="C3370" s="1058"/>
      <c r="D3370" s="1059"/>
      <c r="E3370" s="1065"/>
      <c r="F3370" s="1065"/>
      <c r="G3370" s="1059" t="s">
        <v>377</v>
      </c>
      <c r="H3370" s="869" t="s">
        <v>378</v>
      </c>
      <c r="I3370" s="1058"/>
      <c r="J3370" s="1059"/>
    </row>
    <row r="3371" spans="1:15" ht="15" customHeight="1">
      <c r="A3371" s="1066" t="s">
        <v>379</v>
      </c>
      <c r="B3371" s="869" t="s">
        <v>380</v>
      </c>
      <c r="C3371" s="1058"/>
      <c r="D3371" s="1059"/>
      <c r="E3371" s="1063"/>
      <c r="F3371" s="1065"/>
      <c r="G3371" s="1066" t="s">
        <v>379</v>
      </c>
      <c r="H3371" s="869" t="s">
        <v>380</v>
      </c>
      <c r="I3371" s="1058"/>
      <c r="J3371" s="1059"/>
    </row>
    <row r="3372" spans="1:15" ht="18.75" customHeight="1">
      <c r="A3372" s="1068" t="s">
        <v>383</v>
      </c>
      <c r="B3372" s="1069" t="s">
        <v>384</v>
      </c>
      <c r="C3372" s="1070"/>
      <c r="D3372" s="1071"/>
      <c r="E3372" s="1072"/>
      <c r="F3372" s="1073"/>
      <c r="G3372" s="1068" t="s">
        <v>383</v>
      </c>
      <c r="H3372" s="1069" t="s">
        <v>384</v>
      </c>
      <c r="I3372" s="1070"/>
      <c r="J3372" s="1071"/>
    </row>
    <row r="3373" spans="1:15" ht="18.75" customHeight="1">
      <c r="A3373" s="1075"/>
      <c r="B3373" s="1075"/>
      <c r="C3373" s="1079"/>
      <c r="D3373" s="1080"/>
      <c r="E3373" s="1075"/>
      <c r="F3373" s="1081"/>
      <c r="G3373" s="1075"/>
      <c r="H3373" s="1075"/>
      <c r="I3373" s="1079"/>
      <c r="J3373" s="1080"/>
    </row>
    <row r="3374" spans="1:15" ht="15" customHeight="1">
      <c r="A3374" s="2242"/>
      <c r="B3374" s="2242"/>
      <c r="C3374" s="2242"/>
      <c r="D3374" s="2242"/>
      <c r="E3374" s="1050"/>
      <c r="F3374" s="1051"/>
      <c r="G3374" s="2242"/>
      <c r="H3374" s="2242"/>
      <c r="I3374" s="2242"/>
      <c r="J3374" s="2242"/>
      <c r="K3374" s="624"/>
    </row>
    <row r="3375" spans="1:15" ht="15" customHeight="1">
      <c r="A3375" s="1052"/>
      <c r="B3375" s="1053"/>
      <c r="C3375" s="869"/>
      <c r="D3375" s="1049"/>
      <c r="E3375" s="1054"/>
      <c r="F3375" s="1055"/>
      <c r="G3375" s="1052"/>
      <c r="H3375" s="1053"/>
      <c r="I3375" s="869"/>
      <c r="J3375" s="1049"/>
      <c r="L3375" s="1088"/>
      <c r="M3375" s="1088"/>
      <c r="N3375" s="1088"/>
      <c r="O3375" s="1088"/>
    </row>
    <row r="3376" spans="1:15" ht="15" customHeight="1">
      <c r="A3376" s="1052"/>
      <c r="B3376" s="1089"/>
      <c r="C3376" s="1058"/>
      <c r="D3376" s="1059"/>
      <c r="E3376" s="1060"/>
      <c r="F3376" s="1060"/>
      <c r="G3376" s="1052"/>
      <c r="H3376" s="1089"/>
      <c r="I3376" s="1058"/>
      <c r="J3376" s="1059"/>
      <c r="K3376" s="1085"/>
      <c r="L3376" s="1085"/>
      <c r="M3376" s="1085"/>
      <c r="N3376" s="1085"/>
      <c r="O3376" s="1085"/>
    </row>
    <row r="3377" spans="1:15" ht="15" customHeight="1">
      <c r="A3377" s="1052"/>
      <c r="B3377" s="869"/>
      <c r="C3377" s="1058"/>
      <c r="D3377" s="1059"/>
      <c r="E3377" s="1061"/>
      <c r="F3377" s="1061"/>
      <c r="G3377" s="1052"/>
      <c r="H3377" s="869"/>
      <c r="I3377" s="1058"/>
      <c r="J3377" s="1059"/>
      <c r="K3377" s="1085"/>
      <c r="L3377" s="1085"/>
      <c r="M3377" s="1085"/>
      <c r="N3377" s="1085"/>
      <c r="O3377" s="1085"/>
    </row>
    <row r="3378" spans="1:15" ht="15" customHeight="1">
      <c r="A3378" s="1052"/>
      <c r="B3378" s="869"/>
      <c r="C3378" s="1058"/>
      <c r="D3378" s="1059"/>
      <c r="E3378" s="1061"/>
      <c r="F3378" s="1061"/>
      <c r="G3378" s="1052"/>
      <c r="H3378" s="869"/>
      <c r="I3378" s="1058"/>
      <c r="J3378" s="1059"/>
      <c r="K3378" s="1085"/>
      <c r="L3378" s="1085"/>
      <c r="M3378" s="1085"/>
      <c r="N3378" s="1085"/>
      <c r="O3378" s="1085"/>
    </row>
    <row r="3379" spans="1:15" ht="15" customHeight="1">
      <c r="A3379" s="1052"/>
      <c r="B3379" s="869"/>
      <c r="C3379" s="1058"/>
      <c r="D3379" s="1059"/>
      <c r="E3379" s="1061"/>
      <c r="F3379" s="1061"/>
      <c r="G3379" s="1052"/>
      <c r="H3379" s="869"/>
      <c r="I3379" s="1058"/>
      <c r="J3379" s="1059"/>
      <c r="K3379" s="1085"/>
      <c r="L3379" s="1085"/>
      <c r="M3379" s="1085"/>
      <c r="N3379" s="1085"/>
      <c r="O3379" s="1085"/>
    </row>
    <row r="3380" spans="1:15" ht="15" customHeight="1">
      <c r="A3380" s="1052"/>
      <c r="B3380" s="869"/>
      <c r="C3380" s="1058"/>
      <c r="D3380" s="1059"/>
      <c r="E3380" s="1061"/>
      <c r="F3380" s="1061"/>
      <c r="G3380" s="1052"/>
      <c r="H3380" s="869"/>
      <c r="I3380" s="1058"/>
      <c r="J3380" s="1059"/>
      <c r="K3380" s="1085"/>
      <c r="L3380" s="1085"/>
      <c r="M3380" s="1085"/>
      <c r="N3380" s="1085"/>
      <c r="O3380" s="1085"/>
    </row>
    <row r="3381" spans="1:15" ht="15" customHeight="1">
      <c r="A3381" s="1052"/>
      <c r="B3381" s="869"/>
      <c r="C3381" s="1058"/>
      <c r="D3381" s="1059"/>
      <c r="E3381" s="1063"/>
      <c r="F3381" s="1061"/>
      <c r="G3381" s="1052"/>
      <c r="H3381" s="869"/>
      <c r="I3381" s="1058"/>
      <c r="J3381" s="1059"/>
      <c r="K3381" s="1085"/>
      <c r="L3381" s="1085"/>
      <c r="M3381" s="1085"/>
      <c r="N3381" s="1085"/>
      <c r="O3381" s="1085"/>
    </row>
    <row r="3382" spans="1:15" ht="15" customHeight="1">
      <c r="A3382" s="1059"/>
      <c r="B3382" s="869"/>
      <c r="C3382" s="1058"/>
      <c r="D3382" s="1059"/>
      <c r="E3382" s="1065"/>
      <c r="F3382" s="1065"/>
      <c r="G3382" s="1059"/>
      <c r="H3382" s="869"/>
      <c r="I3382" s="1058"/>
      <c r="J3382" s="1059"/>
    </row>
    <row r="3383" spans="1:15" ht="15" customHeight="1">
      <c r="A3383" s="1066"/>
      <c r="B3383" s="869"/>
      <c r="C3383" s="1058"/>
      <c r="D3383" s="1059"/>
      <c r="E3383" s="1063"/>
      <c r="F3383" s="1065"/>
      <c r="G3383" s="1066"/>
      <c r="H3383" s="869"/>
      <c r="I3383" s="1058"/>
      <c r="J3383" s="1059"/>
    </row>
    <row r="3384" spans="1:15" ht="15" customHeight="1">
      <c r="A3384" s="1052"/>
      <c r="B3384" s="869"/>
      <c r="C3384" s="1058"/>
      <c r="D3384" s="1059"/>
      <c r="E3384" s="1067"/>
      <c r="F3384" s="1051"/>
      <c r="G3384" s="1052"/>
      <c r="H3384" s="869"/>
      <c r="I3384" s="1058"/>
      <c r="J3384" s="1059"/>
    </row>
    <row r="3385" spans="1:15" ht="15" customHeight="1">
      <c r="A3385" s="1068"/>
      <c r="B3385" s="1069"/>
      <c r="C3385" s="1070"/>
      <c r="D3385" s="1071"/>
      <c r="E3385" s="1072"/>
      <c r="F3385" s="1073"/>
      <c r="G3385" s="1068"/>
      <c r="H3385" s="1069"/>
      <c r="I3385" s="1070"/>
      <c r="J3385" s="1071"/>
      <c r="K3385" s="1090"/>
      <c r="L3385" s="1090"/>
      <c r="M3385" s="1090"/>
      <c r="N3385" s="1090"/>
      <c r="O3385" s="1090"/>
    </row>
    <row r="3386" spans="1:15" ht="18.75" customHeight="1">
      <c r="A3386" s="1074"/>
      <c r="B3386" s="1075"/>
      <c r="C3386" s="1076"/>
      <c r="D3386" s="1077"/>
      <c r="E3386" s="1077"/>
      <c r="F3386" s="1078"/>
      <c r="G3386" s="1074"/>
      <c r="H3386" s="1075"/>
      <c r="I3386" s="1076"/>
      <c r="J3386" s="1077"/>
    </row>
    <row r="3387" spans="1:15" ht="18.75" customHeight="1">
      <c r="A3387" s="1075"/>
      <c r="B3387" s="1075"/>
      <c r="C3387" s="1079"/>
      <c r="D3387" s="1080"/>
      <c r="E3387" s="1075"/>
      <c r="F3387" s="1081"/>
      <c r="G3387" s="1075"/>
      <c r="H3387" s="1075"/>
      <c r="I3387" s="1079"/>
      <c r="J3387" s="1080"/>
    </row>
    <row r="3388" spans="1:15" ht="18.75" customHeight="1">
      <c r="A3388" s="1075"/>
      <c r="B3388" s="1075"/>
      <c r="C3388" s="1079"/>
      <c r="D3388" s="1080"/>
      <c r="E3388" s="1075"/>
      <c r="F3388" s="1081"/>
      <c r="G3388" s="1075"/>
      <c r="H3388" s="1075"/>
      <c r="I3388" s="1079"/>
      <c r="J3388" s="1080"/>
    </row>
    <row r="3389" spans="1:15" ht="15" customHeight="1">
      <c r="A3389" s="2242"/>
      <c r="B3389" s="2242"/>
      <c r="C3389" s="2242"/>
      <c r="D3389" s="2242"/>
      <c r="E3389" s="1050"/>
      <c r="F3389" s="1051"/>
      <c r="G3389" s="2242"/>
      <c r="H3389" s="2242"/>
      <c r="I3389" s="2242"/>
      <c r="J3389" s="2242"/>
      <c r="K3389" s="624"/>
    </row>
    <row r="3390" spans="1:15" ht="15" customHeight="1">
      <c r="A3390" s="1052"/>
      <c r="B3390" s="1053"/>
      <c r="C3390" s="869"/>
      <c r="D3390" s="1049"/>
      <c r="E3390" s="1054"/>
      <c r="F3390" s="1055"/>
      <c r="G3390" s="1052"/>
      <c r="H3390" s="1053"/>
      <c r="I3390" s="869"/>
      <c r="J3390" s="1049"/>
      <c r="K3390" s="1101"/>
      <c r="L3390" s="1102"/>
      <c r="M3390" s="1102"/>
      <c r="N3390" s="1102"/>
      <c r="O3390" s="1102"/>
    </row>
    <row r="3391" spans="1:15" ht="15" customHeight="1">
      <c r="A3391" s="1052"/>
      <c r="B3391" s="1089"/>
      <c r="C3391" s="1058"/>
      <c r="D3391" s="1059"/>
      <c r="E3391" s="1060"/>
      <c r="F3391" s="1060"/>
      <c r="G3391" s="1052"/>
      <c r="H3391" s="1089"/>
      <c r="I3391" s="1058"/>
      <c r="J3391" s="1059"/>
      <c r="K3391" s="1101"/>
      <c r="L3391" s="1101"/>
      <c r="M3391" s="1101"/>
      <c r="N3391" s="1101"/>
      <c r="O3391" s="1101"/>
    </row>
    <row r="3392" spans="1:15" ht="15" customHeight="1">
      <c r="A3392" s="1052"/>
      <c r="B3392" s="869"/>
      <c r="C3392" s="1058"/>
      <c r="D3392" s="1059"/>
      <c r="E3392" s="1061"/>
      <c r="F3392" s="1061"/>
      <c r="G3392" s="1052"/>
      <c r="H3392" s="869"/>
      <c r="I3392" s="1058"/>
      <c r="J3392" s="1059"/>
      <c r="K3392" s="1101"/>
      <c r="L3392" s="1101"/>
      <c r="M3392" s="1101"/>
      <c r="N3392" s="1101"/>
      <c r="O3392" s="1101"/>
    </row>
    <row r="3393" spans="1:15" ht="15" customHeight="1">
      <c r="A3393" s="1052"/>
      <c r="B3393" s="869"/>
      <c r="C3393" s="1058"/>
      <c r="D3393" s="1059"/>
      <c r="E3393" s="1061"/>
      <c r="F3393" s="1061"/>
      <c r="G3393" s="1052"/>
      <c r="H3393" s="869"/>
      <c r="I3393" s="1058"/>
      <c r="J3393" s="1059"/>
      <c r="K3393" s="1101"/>
      <c r="L3393" s="1101"/>
      <c r="M3393" s="1101"/>
      <c r="N3393" s="1101"/>
      <c r="O3393" s="1101"/>
    </row>
    <row r="3394" spans="1:15" ht="15" customHeight="1">
      <c r="A3394" s="1052"/>
      <c r="B3394" s="869"/>
      <c r="C3394" s="1058"/>
      <c r="D3394" s="1059"/>
      <c r="E3394" s="1061"/>
      <c r="F3394" s="1061"/>
      <c r="G3394" s="1052"/>
      <c r="H3394" s="869"/>
      <c r="I3394" s="1058"/>
      <c r="J3394" s="1059"/>
      <c r="K3394" s="1101"/>
      <c r="L3394" s="1101"/>
      <c r="M3394" s="1101"/>
      <c r="N3394" s="1101"/>
      <c r="O3394" s="1101"/>
    </row>
    <row r="3395" spans="1:15" ht="15" customHeight="1">
      <c r="A3395" s="1052"/>
      <c r="B3395" s="869"/>
      <c r="C3395" s="1058"/>
      <c r="D3395" s="1059"/>
      <c r="E3395" s="1061"/>
      <c r="F3395" s="1061"/>
      <c r="G3395" s="1052"/>
      <c r="H3395" s="869"/>
      <c r="I3395" s="1058"/>
      <c r="J3395" s="1059"/>
      <c r="K3395" s="1101"/>
      <c r="L3395" s="1101"/>
      <c r="M3395" s="1101"/>
      <c r="N3395" s="1101"/>
      <c r="O3395" s="1101"/>
    </row>
    <row r="3396" spans="1:15" ht="15" customHeight="1">
      <c r="A3396" s="1052"/>
      <c r="B3396" s="869"/>
      <c r="C3396" s="1058"/>
      <c r="D3396" s="1059"/>
      <c r="E3396" s="1063"/>
      <c r="F3396" s="1061"/>
      <c r="G3396" s="1052"/>
      <c r="H3396" s="869"/>
      <c r="I3396" s="1058"/>
      <c r="J3396" s="1059"/>
      <c r="K3396" s="1101"/>
      <c r="L3396" s="1101"/>
      <c r="M3396" s="1101"/>
      <c r="N3396" s="1101"/>
      <c r="O3396" s="1101"/>
    </row>
    <row r="3397" spans="1:15" ht="15" customHeight="1">
      <c r="A3397" s="1059"/>
      <c r="B3397" s="869"/>
      <c r="C3397" s="1058"/>
      <c r="D3397" s="1059"/>
      <c r="E3397" s="1065"/>
      <c r="F3397" s="1065"/>
      <c r="G3397" s="1059"/>
      <c r="H3397" s="869"/>
      <c r="I3397" s="1058"/>
      <c r="J3397" s="1059"/>
      <c r="K3397" s="1101"/>
      <c r="L3397" s="1101"/>
      <c r="M3397" s="1101"/>
      <c r="N3397" s="1101"/>
      <c r="O3397" s="1101"/>
    </row>
    <row r="3398" spans="1:15" ht="15" customHeight="1">
      <c r="A3398" s="1066"/>
      <c r="B3398" s="869"/>
      <c r="C3398" s="1058"/>
      <c r="D3398" s="1059"/>
      <c r="E3398" s="1063"/>
      <c r="F3398" s="1065"/>
      <c r="G3398" s="1066"/>
      <c r="H3398" s="869"/>
      <c r="I3398" s="1058"/>
      <c r="J3398" s="1059"/>
      <c r="K3398" s="1101"/>
      <c r="L3398" s="1101"/>
      <c r="M3398" s="1101"/>
      <c r="N3398" s="1101"/>
      <c r="O3398" s="1101"/>
    </row>
    <row r="3399" spans="1:15" ht="15" customHeight="1">
      <c r="A3399" s="1052"/>
      <c r="B3399" s="869"/>
      <c r="C3399" s="1058"/>
      <c r="D3399" s="1059"/>
      <c r="E3399" s="1067"/>
      <c r="F3399" s="1051"/>
      <c r="G3399" s="1052"/>
      <c r="H3399" s="869"/>
      <c r="I3399" s="1058"/>
      <c r="J3399" s="1059"/>
    </row>
    <row r="3400" spans="1:15" ht="15" customHeight="1">
      <c r="A3400" s="1068"/>
      <c r="B3400" s="1069"/>
      <c r="C3400" s="1070"/>
      <c r="D3400" s="1071"/>
      <c r="E3400" s="1072"/>
      <c r="F3400" s="1073"/>
      <c r="G3400" s="1068"/>
      <c r="H3400" s="1069"/>
      <c r="I3400" s="1070"/>
      <c r="J3400" s="1071"/>
    </row>
    <row r="3401" spans="1:15" ht="15.75" customHeight="1">
      <c r="A3401" s="1074"/>
      <c r="B3401" s="1075"/>
      <c r="C3401" s="1076"/>
      <c r="D3401" s="1077"/>
      <c r="E3401" s="1077"/>
      <c r="F3401" s="1078"/>
      <c r="G3401" s="1074"/>
      <c r="H3401" s="1075"/>
      <c r="I3401" s="1076"/>
      <c r="J3401" s="1077"/>
    </row>
  </sheetData>
  <mergeCells count="531">
    <mergeCell ref="A1:J1"/>
    <mergeCell ref="A2:D2"/>
    <mergeCell ref="G2:J2"/>
    <mergeCell ref="A18:D18"/>
    <mergeCell ref="G18:J18"/>
    <mergeCell ref="A34:D34"/>
    <mergeCell ref="G34:J34"/>
    <mergeCell ref="A50:D50"/>
    <mergeCell ref="G50:J50"/>
    <mergeCell ref="A66:J66"/>
    <mergeCell ref="A67:D67"/>
    <mergeCell ref="G67:J67"/>
    <mergeCell ref="A83:D83"/>
    <mergeCell ref="G83:J83"/>
    <mergeCell ref="A99:D99"/>
    <mergeCell ref="G99:J99"/>
    <mergeCell ref="A115:D115"/>
    <mergeCell ref="G115:J115"/>
    <mergeCell ref="A131:J131"/>
    <mergeCell ref="A132:D132"/>
    <mergeCell ref="G132:J132"/>
    <mergeCell ref="A148:D148"/>
    <mergeCell ref="G148:J148"/>
    <mergeCell ref="A162:D162"/>
    <mergeCell ref="G162:J162"/>
    <mergeCell ref="A176:D176"/>
    <mergeCell ref="G176:J176"/>
    <mergeCell ref="A190:J190"/>
    <mergeCell ref="A191:D191"/>
    <mergeCell ref="G191:J191"/>
    <mergeCell ref="A205:D205"/>
    <mergeCell ref="G205:J205"/>
    <mergeCell ref="A219:D219"/>
    <mergeCell ref="G219:J219"/>
    <mergeCell ref="A233:D233"/>
    <mergeCell ref="G233:J233"/>
    <mergeCell ref="A247:J247"/>
    <mergeCell ref="A248:D248"/>
    <mergeCell ref="G248:J248"/>
    <mergeCell ref="A262:D262"/>
    <mergeCell ref="G262:J262"/>
    <mergeCell ref="A276:D276"/>
    <mergeCell ref="G276:J276"/>
    <mergeCell ref="A290:D290"/>
    <mergeCell ref="G290:J290"/>
    <mergeCell ref="A304:J304"/>
    <mergeCell ref="A305:D305"/>
    <mergeCell ref="G305:J305"/>
    <mergeCell ref="A319:D319"/>
    <mergeCell ref="G319:J319"/>
    <mergeCell ref="A333:D333"/>
    <mergeCell ref="G333:J333"/>
    <mergeCell ref="A347:D347"/>
    <mergeCell ref="G347:J347"/>
    <mergeCell ref="A361:J361"/>
    <mergeCell ref="A362:D362"/>
    <mergeCell ref="G362:J362"/>
    <mergeCell ref="A376:D376"/>
    <mergeCell ref="G376:J376"/>
    <mergeCell ref="A390:D390"/>
    <mergeCell ref="G390:J390"/>
    <mergeCell ref="A404:D404"/>
    <mergeCell ref="G404:J404"/>
    <mergeCell ref="A418:J418"/>
    <mergeCell ref="A419:D419"/>
    <mergeCell ref="G419:J419"/>
    <mergeCell ref="A433:D433"/>
    <mergeCell ref="G433:J433"/>
    <mergeCell ref="A447:D447"/>
    <mergeCell ref="G447:J447"/>
    <mergeCell ref="A461:D461"/>
    <mergeCell ref="G461:J461"/>
    <mergeCell ref="A475:J475"/>
    <mergeCell ref="A476:D476"/>
    <mergeCell ref="G476:J476"/>
    <mergeCell ref="A490:D490"/>
    <mergeCell ref="G490:J490"/>
    <mergeCell ref="A504:D504"/>
    <mergeCell ref="G504:J504"/>
    <mergeCell ref="A518:D518"/>
    <mergeCell ref="G518:J518"/>
    <mergeCell ref="A532:J532"/>
    <mergeCell ref="A533:D533"/>
    <mergeCell ref="G533:J533"/>
    <mergeCell ref="A547:D547"/>
    <mergeCell ref="G547:J547"/>
    <mergeCell ref="A561:D561"/>
    <mergeCell ref="G561:J561"/>
    <mergeCell ref="A575:D575"/>
    <mergeCell ref="G575:J575"/>
    <mergeCell ref="A589:J589"/>
    <mergeCell ref="A590:D590"/>
    <mergeCell ref="G590:J590"/>
    <mergeCell ref="A604:D604"/>
    <mergeCell ref="G604:J604"/>
    <mergeCell ref="A618:D618"/>
    <mergeCell ref="G618:J618"/>
    <mergeCell ref="A632:D632"/>
    <mergeCell ref="G632:J632"/>
    <mergeCell ref="A646:J646"/>
    <mergeCell ref="A647:D647"/>
    <mergeCell ref="G647:J647"/>
    <mergeCell ref="A661:D661"/>
    <mergeCell ref="G661:J661"/>
    <mergeCell ref="A675:D675"/>
    <mergeCell ref="G675:J675"/>
    <mergeCell ref="A689:D689"/>
    <mergeCell ref="G689:J689"/>
    <mergeCell ref="A703:J703"/>
    <mergeCell ref="A704:D704"/>
    <mergeCell ref="G704:J704"/>
    <mergeCell ref="A718:D718"/>
    <mergeCell ref="G718:J718"/>
    <mergeCell ref="A732:D732"/>
    <mergeCell ref="G732:J732"/>
    <mergeCell ref="A746:D746"/>
    <mergeCell ref="G746:J746"/>
    <mergeCell ref="A760:J760"/>
    <mergeCell ref="A761:D761"/>
    <mergeCell ref="G761:J761"/>
    <mergeCell ref="A775:D775"/>
    <mergeCell ref="G775:J775"/>
    <mergeCell ref="A789:D789"/>
    <mergeCell ref="G789:J789"/>
    <mergeCell ref="A803:D803"/>
    <mergeCell ref="G803:J803"/>
    <mergeCell ref="A817:J817"/>
    <mergeCell ref="A818:D818"/>
    <mergeCell ref="G818:J818"/>
    <mergeCell ref="A832:D832"/>
    <mergeCell ref="G832:J832"/>
    <mergeCell ref="A846:D846"/>
    <mergeCell ref="G846:J846"/>
    <mergeCell ref="A860:D860"/>
    <mergeCell ref="G860:J860"/>
    <mergeCell ref="A874:J874"/>
    <mergeCell ref="A875:D875"/>
    <mergeCell ref="G875:J875"/>
    <mergeCell ref="A889:D889"/>
    <mergeCell ref="G889:J889"/>
    <mergeCell ref="A903:D903"/>
    <mergeCell ref="G903:J903"/>
    <mergeCell ref="A917:D917"/>
    <mergeCell ref="G917:J917"/>
    <mergeCell ref="A931:J931"/>
    <mergeCell ref="A932:D932"/>
    <mergeCell ref="G932:J932"/>
    <mergeCell ref="A946:D946"/>
    <mergeCell ref="G946:J946"/>
    <mergeCell ref="A960:D960"/>
    <mergeCell ref="G960:J960"/>
    <mergeCell ref="A974:D974"/>
    <mergeCell ref="G974:J974"/>
    <mergeCell ref="A988:J988"/>
    <mergeCell ref="A989:D989"/>
    <mergeCell ref="G989:J989"/>
    <mergeCell ref="A1003:D1003"/>
    <mergeCell ref="G1003:J1003"/>
    <mergeCell ref="A1017:D1017"/>
    <mergeCell ref="G1017:J1017"/>
    <mergeCell ref="A1031:D1031"/>
    <mergeCell ref="G1031:J1031"/>
    <mergeCell ref="A1045:J1045"/>
    <mergeCell ref="A1046:D1046"/>
    <mergeCell ref="G1046:J1046"/>
    <mergeCell ref="A1060:D1060"/>
    <mergeCell ref="G1060:J1060"/>
    <mergeCell ref="A1074:D1074"/>
    <mergeCell ref="G1074:J1074"/>
    <mergeCell ref="A1088:D1088"/>
    <mergeCell ref="G1088:J1088"/>
    <mergeCell ref="A1102:J1102"/>
    <mergeCell ref="A1103:D1103"/>
    <mergeCell ref="G1103:J1103"/>
    <mergeCell ref="A1117:D1117"/>
    <mergeCell ref="G1117:J1117"/>
    <mergeCell ref="A1131:D1131"/>
    <mergeCell ref="G1131:J1131"/>
    <mergeCell ref="A1145:D1145"/>
    <mergeCell ref="G1145:J1145"/>
    <mergeCell ref="A1159:J1159"/>
    <mergeCell ref="A1160:D1160"/>
    <mergeCell ref="G1160:J1160"/>
    <mergeCell ref="A1174:D1174"/>
    <mergeCell ref="G1174:J1174"/>
    <mergeCell ref="A1188:D1188"/>
    <mergeCell ref="G1188:J1188"/>
    <mergeCell ref="A1202:D1202"/>
    <mergeCell ref="G1202:J1202"/>
    <mergeCell ref="A1216:J1216"/>
    <mergeCell ref="A1217:D1217"/>
    <mergeCell ref="G1217:J1217"/>
    <mergeCell ref="A1231:D1231"/>
    <mergeCell ref="G1231:J1231"/>
    <mergeCell ref="A1245:D1245"/>
    <mergeCell ref="G1245:J1245"/>
    <mergeCell ref="A1259:D1259"/>
    <mergeCell ref="G1259:J1259"/>
    <mergeCell ref="A1273:J1273"/>
    <mergeCell ref="A1274:D1274"/>
    <mergeCell ref="G1274:J1274"/>
    <mergeCell ref="A1288:D1288"/>
    <mergeCell ref="G1288:J1288"/>
    <mergeCell ref="A1302:D1302"/>
    <mergeCell ref="G1302:J1302"/>
    <mergeCell ref="A1316:D1316"/>
    <mergeCell ref="G1316:J1316"/>
    <mergeCell ref="A1330:J1330"/>
    <mergeCell ref="A1331:D1331"/>
    <mergeCell ref="G1331:J1331"/>
    <mergeCell ref="A1345:D1345"/>
    <mergeCell ref="G1345:J1345"/>
    <mergeCell ref="A1359:D1359"/>
    <mergeCell ref="G1359:J1359"/>
    <mergeCell ref="A1373:D1373"/>
    <mergeCell ref="G1373:J1373"/>
    <mergeCell ref="A1387:J1387"/>
    <mergeCell ref="A1388:D1388"/>
    <mergeCell ref="G1388:J1388"/>
    <mergeCell ref="A1402:D1402"/>
    <mergeCell ref="G1402:J1402"/>
    <mergeCell ref="A1416:D1416"/>
    <mergeCell ref="G1416:J1416"/>
    <mergeCell ref="A1430:D1430"/>
    <mergeCell ref="G1430:J1430"/>
    <mergeCell ref="A1444:J1444"/>
    <mergeCell ref="A1445:D1445"/>
    <mergeCell ref="G1445:J1445"/>
    <mergeCell ref="A1459:D1459"/>
    <mergeCell ref="G1459:J1459"/>
    <mergeCell ref="A1473:D1473"/>
    <mergeCell ref="G1473:J1473"/>
    <mergeCell ref="A1487:D1487"/>
    <mergeCell ref="G1487:J1487"/>
    <mergeCell ref="A1501:J1501"/>
    <mergeCell ref="A1502:D1502"/>
    <mergeCell ref="G1502:J1502"/>
    <mergeCell ref="A1516:D1516"/>
    <mergeCell ref="G1516:J1516"/>
    <mergeCell ref="A1530:D1530"/>
    <mergeCell ref="G1530:J1530"/>
    <mergeCell ref="A1544:D1544"/>
    <mergeCell ref="G1544:J1544"/>
    <mergeCell ref="A1558:J1558"/>
    <mergeCell ref="A1559:D1559"/>
    <mergeCell ref="G1559:J1559"/>
    <mergeCell ref="A1573:D1573"/>
    <mergeCell ref="G1573:J1573"/>
    <mergeCell ref="A1587:D1587"/>
    <mergeCell ref="G1587:J1587"/>
    <mergeCell ref="A1601:D1601"/>
    <mergeCell ref="G1601:J1601"/>
    <mergeCell ref="A1615:J1615"/>
    <mergeCell ref="A1616:D1616"/>
    <mergeCell ref="G1616:J1616"/>
    <mergeCell ref="A1630:D1630"/>
    <mergeCell ref="G1630:J1630"/>
    <mergeCell ref="A1644:D1644"/>
    <mergeCell ref="G1644:J1644"/>
    <mergeCell ref="A1658:D1658"/>
    <mergeCell ref="G1658:J1658"/>
    <mergeCell ref="A1672:J1672"/>
    <mergeCell ref="A1673:D1673"/>
    <mergeCell ref="G1673:J1673"/>
    <mergeCell ref="A1687:D1687"/>
    <mergeCell ref="G1687:J1687"/>
    <mergeCell ref="A1701:D1701"/>
    <mergeCell ref="G1701:J1701"/>
    <mergeCell ref="A1715:D1715"/>
    <mergeCell ref="G1715:J1715"/>
    <mergeCell ref="A1729:J1729"/>
    <mergeCell ref="A1730:D1730"/>
    <mergeCell ref="G1730:J1730"/>
    <mergeCell ref="A1744:D1744"/>
    <mergeCell ref="G1744:J1744"/>
    <mergeCell ref="A1758:D1758"/>
    <mergeCell ref="G1758:J1758"/>
    <mergeCell ref="A1772:D1772"/>
    <mergeCell ref="G1772:J1772"/>
    <mergeCell ref="A1786:J1786"/>
    <mergeCell ref="A1787:D1787"/>
    <mergeCell ref="G1787:J1787"/>
    <mergeCell ref="A1801:D1801"/>
    <mergeCell ref="G1801:J1801"/>
    <mergeCell ref="A1815:D1815"/>
    <mergeCell ref="G1815:J1815"/>
    <mergeCell ref="A1829:D1829"/>
    <mergeCell ref="G1829:J1829"/>
    <mergeCell ref="A1843:J1843"/>
    <mergeCell ref="A1844:D1844"/>
    <mergeCell ref="G1844:J1844"/>
    <mergeCell ref="A1858:D1858"/>
    <mergeCell ref="G1858:J1858"/>
    <mergeCell ref="A1872:D1872"/>
    <mergeCell ref="G1872:J1872"/>
    <mergeCell ref="A1886:D1886"/>
    <mergeCell ref="G1886:J1886"/>
    <mergeCell ref="A1900:J1900"/>
    <mergeCell ref="A1901:D1901"/>
    <mergeCell ref="G1901:J1901"/>
    <mergeCell ref="A1915:D1915"/>
    <mergeCell ref="G1915:J1915"/>
    <mergeCell ref="A1929:D1929"/>
    <mergeCell ref="G1929:J1929"/>
    <mergeCell ref="A1943:D1943"/>
    <mergeCell ref="G1943:J1943"/>
    <mergeCell ref="A1957:J1957"/>
    <mergeCell ref="A1958:D1958"/>
    <mergeCell ref="G1958:J1958"/>
    <mergeCell ref="A1972:D1972"/>
    <mergeCell ref="G1972:J1972"/>
    <mergeCell ref="A1986:D1986"/>
    <mergeCell ref="G1986:J1986"/>
    <mergeCell ref="A2000:D2000"/>
    <mergeCell ref="G2000:J2000"/>
    <mergeCell ref="A2014:J2014"/>
    <mergeCell ref="A2015:D2015"/>
    <mergeCell ref="G2015:J2015"/>
    <mergeCell ref="A2029:D2029"/>
    <mergeCell ref="G2029:J2029"/>
    <mergeCell ref="A2043:D2043"/>
    <mergeCell ref="G2043:J2043"/>
    <mergeCell ref="A2057:D2057"/>
    <mergeCell ref="G2057:J2057"/>
    <mergeCell ref="A2071:J2071"/>
    <mergeCell ref="A2072:D2072"/>
    <mergeCell ref="G2072:J2072"/>
    <mergeCell ref="A2086:D2086"/>
    <mergeCell ref="G2086:J2086"/>
    <mergeCell ref="A2100:D2100"/>
    <mergeCell ref="G2100:J2100"/>
    <mergeCell ref="A2114:D2114"/>
    <mergeCell ref="G2114:J2114"/>
    <mergeCell ref="A2128:J2128"/>
    <mergeCell ref="A2129:D2129"/>
    <mergeCell ref="G2129:J2129"/>
    <mergeCell ref="A2143:D2143"/>
    <mergeCell ref="G2143:J2143"/>
    <mergeCell ref="A2157:D2157"/>
    <mergeCell ref="G2157:J2157"/>
    <mergeCell ref="A2171:D2171"/>
    <mergeCell ref="G2171:J2171"/>
    <mergeCell ref="A2185:J2185"/>
    <mergeCell ref="A2186:D2186"/>
    <mergeCell ref="G2186:J2186"/>
    <mergeCell ref="A2200:D2200"/>
    <mergeCell ref="G2200:J2200"/>
    <mergeCell ref="A2214:D2214"/>
    <mergeCell ref="G2214:J2214"/>
    <mergeCell ref="A2228:D2228"/>
    <mergeCell ref="G2228:J2228"/>
    <mergeCell ref="A2242:J2242"/>
    <mergeCell ref="A2243:D2243"/>
    <mergeCell ref="G2243:J2243"/>
    <mergeCell ref="A2257:D2257"/>
    <mergeCell ref="G2257:J2257"/>
    <mergeCell ref="A2271:D2271"/>
    <mergeCell ref="G2271:J2271"/>
    <mergeCell ref="A2285:D2285"/>
    <mergeCell ref="G2285:J2285"/>
    <mergeCell ref="A2299:J2299"/>
    <mergeCell ref="A2300:D2300"/>
    <mergeCell ref="G2300:J2300"/>
    <mergeCell ref="A2314:D2314"/>
    <mergeCell ref="G2314:J2314"/>
    <mergeCell ref="A2328:D2328"/>
    <mergeCell ref="G2328:J2328"/>
    <mergeCell ref="A2342:D2342"/>
    <mergeCell ref="G2342:J2342"/>
    <mergeCell ref="A2356:J2356"/>
    <mergeCell ref="A2357:D2357"/>
    <mergeCell ref="G2357:J2357"/>
    <mergeCell ref="A2371:D2371"/>
    <mergeCell ref="G2371:J2371"/>
    <mergeCell ref="A2385:D2385"/>
    <mergeCell ref="G2385:J2385"/>
    <mergeCell ref="A2399:D2399"/>
    <mergeCell ref="G2399:J2399"/>
    <mergeCell ref="A2413:J2413"/>
    <mergeCell ref="A2414:D2414"/>
    <mergeCell ref="G2414:J2414"/>
    <mergeCell ref="A2428:D2428"/>
    <mergeCell ref="G2428:J2428"/>
    <mergeCell ref="A2442:D2442"/>
    <mergeCell ref="G2442:J2442"/>
    <mergeCell ref="A2456:D2456"/>
    <mergeCell ref="G2456:J2456"/>
    <mergeCell ref="A2470:J2470"/>
    <mergeCell ref="A2471:D2471"/>
    <mergeCell ref="G2471:J2471"/>
    <mergeCell ref="A2485:D2485"/>
    <mergeCell ref="G2485:J2485"/>
    <mergeCell ref="A2499:D2499"/>
    <mergeCell ref="G2499:J2499"/>
    <mergeCell ref="A2513:D2513"/>
    <mergeCell ref="G2513:J2513"/>
    <mergeCell ref="A2527:J2527"/>
    <mergeCell ref="A2528:D2528"/>
    <mergeCell ref="G2528:J2528"/>
    <mergeCell ref="A2542:D2542"/>
    <mergeCell ref="G2542:J2542"/>
    <mergeCell ref="A2556:D2556"/>
    <mergeCell ref="G2556:J2556"/>
    <mergeCell ref="A2570:D2570"/>
    <mergeCell ref="G2570:J2570"/>
    <mergeCell ref="A2584:J2584"/>
    <mergeCell ref="A2585:D2585"/>
    <mergeCell ref="G2585:J2585"/>
    <mergeCell ref="A2599:D2599"/>
    <mergeCell ref="G2599:J2599"/>
    <mergeCell ref="A2613:D2613"/>
    <mergeCell ref="G2613:J2613"/>
    <mergeCell ref="A2627:D2627"/>
    <mergeCell ref="G2627:J2627"/>
    <mergeCell ref="A2641:J2641"/>
    <mergeCell ref="A2642:D2642"/>
    <mergeCell ref="G2642:J2642"/>
    <mergeCell ref="A2656:D2656"/>
    <mergeCell ref="G2656:J2656"/>
    <mergeCell ref="A2670:D2670"/>
    <mergeCell ref="G2670:J2670"/>
    <mergeCell ref="A2684:D2684"/>
    <mergeCell ref="G2684:J2684"/>
    <mergeCell ref="A2698:J2698"/>
    <mergeCell ref="A2699:D2699"/>
    <mergeCell ref="G2699:J2699"/>
    <mergeCell ref="A2713:D2713"/>
    <mergeCell ref="G2713:J2713"/>
    <mergeCell ref="A2727:D2727"/>
    <mergeCell ref="G2727:J2727"/>
    <mergeCell ref="A2741:D2741"/>
    <mergeCell ref="G2741:J2741"/>
    <mergeCell ref="A2755:J2755"/>
    <mergeCell ref="A2756:D2756"/>
    <mergeCell ref="G2756:J2756"/>
    <mergeCell ref="A2770:D2770"/>
    <mergeCell ref="G2770:J2770"/>
    <mergeCell ref="A2784:D2784"/>
    <mergeCell ref="G2784:J2784"/>
    <mergeCell ref="A2798:D2798"/>
    <mergeCell ref="G2798:J2798"/>
    <mergeCell ref="A2812:J2812"/>
    <mergeCell ref="A2813:D2813"/>
    <mergeCell ref="G2813:J2813"/>
    <mergeCell ref="A2827:D2827"/>
    <mergeCell ref="G2827:J2827"/>
    <mergeCell ref="A2841:D2841"/>
    <mergeCell ref="G2841:J2841"/>
    <mergeCell ref="A2855:D2855"/>
    <mergeCell ref="G2855:J2855"/>
    <mergeCell ref="A2869:J2869"/>
    <mergeCell ref="A2870:D2870"/>
    <mergeCell ref="G2870:J2870"/>
    <mergeCell ref="A2884:D2884"/>
    <mergeCell ref="G2884:J2884"/>
    <mergeCell ref="A2898:D2898"/>
    <mergeCell ref="G2898:J2898"/>
    <mergeCell ref="A2912:D2912"/>
    <mergeCell ref="G2912:J2912"/>
    <mergeCell ref="A2926:J2926"/>
    <mergeCell ref="A2927:D2927"/>
    <mergeCell ref="G2927:J2927"/>
    <mergeCell ref="A2942:D2942"/>
    <mergeCell ref="G2942:J2942"/>
    <mergeCell ref="A2957:D2957"/>
    <mergeCell ref="G2957:J2957"/>
    <mergeCell ref="A2972:D2972"/>
    <mergeCell ref="G2972:J2972"/>
    <mergeCell ref="A2987:J2987"/>
    <mergeCell ref="A2988:D2988"/>
    <mergeCell ref="G2988:J2988"/>
    <mergeCell ref="A3003:D3003"/>
    <mergeCell ref="G3003:J3003"/>
    <mergeCell ref="A3018:D3018"/>
    <mergeCell ref="G3018:J3018"/>
    <mergeCell ref="A3033:D3033"/>
    <mergeCell ref="G3033:J3033"/>
    <mergeCell ref="A3048:J3048"/>
    <mergeCell ref="A3049:D3049"/>
    <mergeCell ref="G3049:J3049"/>
    <mergeCell ref="A3064:D3064"/>
    <mergeCell ref="G3064:J3064"/>
    <mergeCell ref="A3079:D3079"/>
    <mergeCell ref="G3079:J3079"/>
    <mergeCell ref="A3094:D3094"/>
    <mergeCell ref="G3094:J3094"/>
    <mergeCell ref="A3109:J3109"/>
    <mergeCell ref="A3110:D3110"/>
    <mergeCell ref="G3110:J3110"/>
    <mergeCell ref="A3125:D3125"/>
    <mergeCell ref="G3125:J3125"/>
    <mergeCell ref="A3140:D3140"/>
    <mergeCell ref="G3140:J3140"/>
    <mergeCell ref="A3155:D3155"/>
    <mergeCell ref="G3155:J3155"/>
    <mergeCell ref="A3169:D3169"/>
    <mergeCell ref="G3169:J3169"/>
    <mergeCell ref="A3184:D3184"/>
    <mergeCell ref="G3184:J3184"/>
    <mergeCell ref="A3199:D3199"/>
    <mergeCell ref="G3199:J3199"/>
    <mergeCell ref="A3214:D3214"/>
    <mergeCell ref="G3214:J3214"/>
    <mergeCell ref="A3227:J3227"/>
    <mergeCell ref="A3228:D3228"/>
    <mergeCell ref="G3228:J3228"/>
    <mergeCell ref="A3243:D3243"/>
    <mergeCell ref="G3243:J3243"/>
    <mergeCell ref="A3258:D3258"/>
    <mergeCell ref="G3258:J3258"/>
    <mergeCell ref="A3272:D3272"/>
    <mergeCell ref="G3272:J3272"/>
    <mergeCell ref="A3286:D3286"/>
    <mergeCell ref="G3286:J3286"/>
    <mergeCell ref="A3359:D3359"/>
    <mergeCell ref="G3359:J3359"/>
    <mergeCell ref="A3360:D3360"/>
    <mergeCell ref="G3360:J3360"/>
    <mergeCell ref="A3374:D3374"/>
    <mergeCell ref="G3374:J3374"/>
    <mergeCell ref="A3389:D3389"/>
    <mergeCell ref="G3389:J3389"/>
    <mergeCell ref="A3301:D3301"/>
    <mergeCell ref="G3301:J3301"/>
    <mergeCell ref="A3315:D3315"/>
    <mergeCell ref="G3315:J3315"/>
    <mergeCell ref="A3329:D3329"/>
    <mergeCell ref="G3329:J3329"/>
    <mergeCell ref="A3343:J3343"/>
    <mergeCell ref="A3344:D3344"/>
    <mergeCell ref="G3344:J3344"/>
  </mergeCells>
  <pageMargins left="0.39370078740157499" right="0" top="0.39370078740157499" bottom="0" header="0.31496062992126" footer="3.9370078740157501E-2"/>
  <pageSetup scale="8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70C0"/>
  </sheetPr>
  <dimension ref="A1:U466"/>
  <sheetViews>
    <sheetView workbookViewId="0">
      <selection activeCell="S16" sqref="S15:S16"/>
    </sheetView>
  </sheetViews>
  <sheetFormatPr defaultColWidth="9.140625" defaultRowHeight="15"/>
  <cols>
    <col min="1" max="1" width="6.140625" style="987" customWidth="1"/>
    <col min="2" max="2" width="5.5703125" style="987" customWidth="1"/>
    <col min="3" max="4" width="9" style="987" hidden="1" customWidth="1"/>
    <col min="5" max="5" width="18.28515625" style="987" customWidth="1"/>
    <col min="6" max="6" width="15.5703125" style="987" customWidth="1"/>
    <col min="7" max="9" width="10.42578125" style="987" customWidth="1"/>
    <col min="10" max="10" width="12" style="987" customWidth="1"/>
    <col min="11" max="11" width="15" style="987" customWidth="1"/>
    <col min="12" max="12" width="19.28515625" style="987" customWidth="1"/>
    <col min="13" max="13" width="18.85546875" style="987" customWidth="1"/>
    <col min="14" max="16384" width="9.140625" style="987"/>
  </cols>
  <sheetData>
    <row r="1" spans="1:14" ht="16.5">
      <c r="A1" s="2268" t="s">
        <v>0</v>
      </c>
      <c r="B1" s="2268"/>
      <c r="C1" s="2268"/>
      <c r="D1" s="2268"/>
      <c r="E1" s="2268"/>
      <c r="F1" s="2268"/>
      <c r="G1" s="2268"/>
      <c r="H1" s="2268"/>
      <c r="I1" s="2268"/>
      <c r="J1" s="2268"/>
      <c r="K1" s="2268"/>
      <c r="L1" s="2268"/>
      <c r="M1" s="2268"/>
    </row>
    <row r="2" spans="1:14" ht="16.5">
      <c r="A2" s="2268" t="s">
        <v>1</v>
      </c>
      <c r="B2" s="2268"/>
      <c r="C2" s="2268"/>
      <c r="D2" s="2268"/>
      <c r="E2" s="2268"/>
      <c r="F2" s="2268"/>
      <c r="G2" s="2268"/>
      <c r="H2" s="2268"/>
      <c r="I2" s="2268"/>
      <c r="J2" s="2268"/>
      <c r="K2" s="2268"/>
      <c r="L2" s="2268"/>
      <c r="M2" s="2268"/>
    </row>
    <row r="3" spans="1:14" ht="16.5">
      <c r="A3" s="2269" t="s">
        <v>2</v>
      </c>
      <c r="B3" s="2268"/>
      <c r="C3" s="2268"/>
      <c r="D3" s="2268"/>
      <c r="E3" s="2268"/>
      <c r="F3" s="2268"/>
      <c r="G3" s="2268"/>
      <c r="H3" s="2268"/>
      <c r="I3" s="2268"/>
      <c r="J3" s="2268"/>
      <c r="K3" s="2268"/>
      <c r="L3" s="2268"/>
      <c r="M3" s="2268"/>
    </row>
    <row r="4" spans="1:14" ht="10.5" customHeight="1">
      <c r="A4" s="1577"/>
      <c r="B4" s="1578"/>
      <c r="C4" s="1578"/>
      <c r="D4" s="1578"/>
      <c r="E4" s="1578"/>
      <c r="F4" s="1578"/>
      <c r="G4" s="1578"/>
      <c r="H4" s="1578"/>
      <c r="I4" s="1578"/>
      <c r="J4" s="1578"/>
      <c r="K4" s="1578"/>
      <c r="L4" s="1578"/>
      <c r="M4" s="1578"/>
    </row>
    <row r="5" spans="1:14" ht="15.75">
      <c r="A5" s="1579" t="s">
        <v>3</v>
      </c>
      <c r="B5" s="1579"/>
      <c r="C5" s="1579"/>
      <c r="D5" s="1579"/>
      <c r="E5" s="1579"/>
      <c r="F5" s="1579"/>
      <c r="G5" s="1580"/>
      <c r="H5" s="1580"/>
      <c r="I5" s="1580"/>
      <c r="J5" s="1580"/>
      <c r="K5" s="1580"/>
      <c r="L5" s="1579"/>
      <c r="M5" s="1589"/>
    </row>
    <row r="6" spans="1:14" ht="19.5" customHeight="1">
      <c r="A6" s="2270" t="s">
        <v>4</v>
      </c>
      <c r="B6" s="2270"/>
      <c r="C6" s="2270"/>
      <c r="D6" s="2270"/>
      <c r="E6" s="2270"/>
      <c r="F6" s="2270"/>
      <c r="G6" s="1581"/>
      <c r="H6" s="1581"/>
      <c r="I6" s="1581"/>
      <c r="J6" s="1581"/>
      <c r="K6" s="1581"/>
      <c r="L6" s="1590"/>
      <c r="M6" s="1589"/>
    </row>
    <row r="7" spans="1:14" ht="16.5">
      <c r="A7" s="1581"/>
      <c r="B7" s="1581"/>
      <c r="C7" s="1581"/>
      <c r="D7" s="1581"/>
      <c r="E7" s="1581"/>
      <c r="F7" s="1581"/>
      <c r="G7" s="1581"/>
      <c r="H7" s="1581"/>
      <c r="I7" s="1581"/>
      <c r="J7" s="1581"/>
      <c r="K7" s="1581"/>
      <c r="L7" s="1581"/>
      <c r="M7" s="1589"/>
    </row>
    <row r="8" spans="1:14" ht="48.75" customHeight="1">
      <c r="A8" s="2271" t="s">
        <v>528</v>
      </c>
      <c r="B8" s="2271"/>
      <c r="C8" s="2271"/>
      <c r="D8" s="2271"/>
      <c r="E8" s="2271"/>
      <c r="F8" s="2271"/>
      <c r="G8" s="2271"/>
      <c r="H8" s="2271"/>
      <c r="I8" s="2271"/>
      <c r="J8" s="2271"/>
      <c r="K8" s="2271"/>
      <c r="L8" s="2271"/>
      <c r="M8" s="2271"/>
      <c r="N8" s="1591"/>
    </row>
    <row r="9" spans="1:14" ht="19.5">
      <c r="A9" s="2265"/>
      <c r="B9" s="2265"/>
      <c r="C9" s="2265"/>
      <c r="D9" s="2265"/>
      <c r="E9" s="2265"/>
      <c r="F9" s="2265"/>
      <c r="G9" s="2265"/>
      <c r="H9" s="2265"/>
      <c r="I9" s="2265"/>
      <c r="J9" s="2265"/>
      <c r="K9" s="2265"/>
      <c r="L9" s="2265"/>
      <c r="M9" s="1592"/>
    </row>
    <row r="10" spans="1:14" ht="30.75" customHeight="1">
      <c r="A10" s="2255" t="s">
        <v>6</v>
      </c>
      <c r="B10" s="2256"/>
      <c r="C10" s="1582" t="s">
        <v>7</v>
      </c>
      <c r="D10" s="1583"/>
      <c r="E10" s="2246" t="s">
        <v>8</v>
      </c>
      <c r="F10" s="2248" t="s">
        <v>9</v>
      </c>
      <c r="G10" s="2266" t="s">
        <v>529</v>
      </c>
      <c r="H10" s="2267"/>
      <c r="I10" s="2267"/>
      <c r="J10" s="2267"/>
      <c r="K10" s="2250" t="s">
        <v>530</v>
      </c>
      <c r="L10" s="2251" t="s">
        <v>10</v>
      </c>
      <c r="M10" s="2253" t="s">
        <v>531</v>
      </c>
    </row>
    <row r="11" spans="1:14" ht="30.75" customHeight="1">
      <c r="A11" s="2257"/>
      <c r="B11" s="2258"/>
      <c r="C11" s="1584"/>
      <c r="D11" s="1585"/>
      <c r="E11" s="2247"/>
      <c r="F11" s="2249"/>
      <c r="G11" s="1632" t="s">
        <v>532</v>
      </c>
      <c r="H11" s="1632" t="s">
        <v>533</v>
      </c>
      <c r="I11" s="1632" t="s">
        <v>534</v>
      </c>
      <c r="J11" s="1633" t="s">
        <v>535</v>
      </c>
      <c r="K11" s="2250"/>
      <c r="L11" s="2252"/>
      <c r="M11" s="2254"/>
    </row>
    <row r="12" spans="1:14" s="1576" customFormat="1" ht="18.75" customHeight="1">
      <c r="A12" s="2260" t="s">
        <v>13</v>
      </c>
      <c r="B12" s="2261"/>
      <c r="C12" s="2261"/>
      <c r="D12" s="2261"/>
      <c r="E12" s="2261"/>
      <c r="F12" s="2262"/>
      <c r="G12" s="544">
        <f>COUNTIF(G13:G55,"X")</f>
        <v>43</v>
      </c>
      <c r="H12" s="544">
        <f>COUNTIF(H13:H55,"X")</f>
        <v>43</v>
      </c>
      <c r="I12" s="544">
        <f>COUNTIF(I13:I55,"X")</f>
        <v>42</v>
      </c>
      <c r="J12" s="544">
        <f>COUNTIF(J13:J55,"X")</f>
        <v>40</v>
      </c>
      <c r="K12" s="544">
        <f>SUM(K13:K55)</f>
        <v>168</v>
      </c>
      <c r="L12" s="1593">
        <f>SUM(L13:L55)</f>
        <v>16800000</v>
      </c>
      <c r="M12" s="1593"/>
    </row>
    <row r="13" spans="1:14" ht="18.75" customHeight="1">
      <c r="A13" s="1586">
        <v>1</v>
      </c>
      <c r="B13" s="1587">
        <v>1</v>
      </c>
      <c r="C13" s="1588"/>
      <c r="D13" s="1588"/>
      <c r="E13" s="625" t="s">
        <v>357</v>
      </c>
      <c r="F13" s="1588" t="s">
        <v>15</v>
      </c>
      <c r="G13" s="1587" t="s">
        <v>536</v>
      </c>
      <c r="H13" s="1587" t="s">
        <v>536</v>
      </c>
      <c r="I13" s="1587" t="s">
        <v>536</v>
      </c>
      <c r="J13" s="1587" t="s">
        <v>536</v>
      </c>
      <c r="K13" s="544">
        <f t="shared" ref="K13:K55" si="0">COUNTIF(G13:J13,"X")</f>
        <v>4</v>
      </c>
      <c r="L13" s="1594">
        <f>K13*100000</f>
        <v>400000</v>
      </c>
      <c r="M13" s="1595"/>
    </row>
    <row r="14" spans="1:14" ht="18.75" customHeight="1">
      <c r="A14" s="1586">
        <v>2</v>
      </c>
      <c r="B14" s="1587">
        <v>2</v>
      </c>
      <c r="C14" s="1588"/>
      <c r="D14" s="1588"/>
      <c r="E14" s="625" t="s">
        <v>358</v>
      </c>
      <c r="F14" s="1588" t="s">
        <v>15</v>
      </c>
      <c r="G14" s="1587" t="s">
        <v>536</v>
      </c>
      <c r="H14" s="1587" t="s">
        <v>536</v>
      </c>
      <c r="I14" s="1587" t="s">
        <v>536</v>
      </c>
      <c r="J14" s="1587"/>
      <c r="K14" s="544">
        <f t="shared" si="0"/>
        <v>3</v>
      </c>
      <c r="L14" s="1594">
        <f t="shared" ref="L14:L77" si="1">K14*100000</f>
        <v>300000</v>
      </c>
      <c r="M14" s="1595"/>
    </row>
    <row r="15" spans="1:14" ht="18.75" customHeight="1">
      <c r="A15" s="1586">
        <v>3</v>
      </c>
      <c r="B15" s="1587">
        <v>3</v>
      </c>
      <c r="C15" s="1588"/>
      <c r="D15" s="1588"/>
      <c r="E15" s="625" t="s">
        <v>385</v>
      </c>
      <c r="F15" s="1588" t="s">
        <v>15</v>
      </c>
      <c r="G15" s="1587" t="s">
        <v>536</v>
      </c>
      <c r="H15" s="1587" t="s">
        <v>536</v>
      </c>
      <c r="I15" s="1587" t="s">
        <v>536</v>
      </c>
      <c r="J15" s="1587" t="s">
        <v>536</v>
      </c>
      <c r="K15" s="544">
        <f t="shared" si="0"/>
        <v>4</v>
      </c>
      <c r="L15" s="1594">
        <f t="shared" si="1"/>
        <v>400000</v>
      </c>
      <c r="M15" s="1595"/>
    </row>
    <row r="16" spans="1:14" ht="18.75" customHeight="1">
      <c r="A16" s="1586">
        <v>4</v>
      </c>
      <c r="B16" s="1587">
        <v>4</v>
      </c>
      <c r="C16" s="1588"/>
      <c r="D16" s="1588"/>
      <c r="E16" s="625" t="s">
        <v>386</v>
      </c>
      <c r="F16" s="1588" t="s">
        <v>15</v>
      </c>
      <c r="G16" s="1587" t="s">
        <v>536</v>
      </c>
      <c r="H16" s="1587" t="s">
        <v>536</v>
      </c>
      <c r="I16" s="1587" t="s">
        <v>536</v>
      </c>
      <c r="J16" s="1587"/>
      <c r="K16" s="544">
        <f t="shared" si="0"/>
        <v>3</v>
      </c>
      <c r="L16" s="1594">
        <f t="shared" si="1"/>
        <v>300000</v>
      </c>
      <c r="M16" s="1595"/>
    </row>
    <row r="17" spans="1:13" ht="18.75" customHeight="1">
      <c r="A17" s="1586">
        <v>5</v>
      </c>
      <c r="B17" s="1587">
        <v>5</v>
      </c>
      <c r="C17" s="1588"/>
      <c r="D17" s="1588"/>
      <c r="E17" s="625" t="s">
        <v>387</v>
      </c>
      <c r="F17" s="1588" t="s">
        <v>15</v>
      </c>
      <c r="G17" s="1587" t="s">
        <v>536</v>
      </c>
      <c r="H17" s="1587" t="s">
        <v>536</v>
      </c>
      <c r="I17" s="1587"/>
      <c r="J17" s="1587"/>
      <c r="K17" s="544">
        <f t="shared" si="0"/>
        <v>2</v>
      </c>
      <c r="L17" s="1594">
        <f t="shared" si="1"/>
        <v>200000</v>
      </c>
      <c r="M17" s="1595"/>
    </row>
    <row r="18" spans="1:13" ht="18.75" customHeight="1">
      <c r="A18" s="1586">
        <v>6</v>
      </c>
      <c r="B18" s="1587">
        <v>6</v>
      </c>
      <c r="C18" s="1588"/>
      <c r="D18" s="1588"/>
      <c r="E18" s="625" t="s">
        <v>388</v>
      </c>
      <c r="F18" s="1588" t="s">
        <v>15</v>
      </c>
      <c r="G18" s="1587" t="s">
        <v>536</v>
      </c>
      <c r="H18" s="1587" t="s">
        <v>536</v>
      </c>
      <c r="I18" s="1587" t="s">
        <v>536</v>
      </c>
      <c r="J18" s="1587" t="s">
        <v>536</v>
      </c>
      <c r="K18" s="544">
        <f t="shared" si="0"/>
        <v>4</v>
      </c>
      <c r="L18" s="1594">
        <f t="shared" si="1"/>
        <v>400000</v>
      </c>
      <c r="M18" s="1595"/>
    </row>
    <row r="19" spans="1:13" ht="18.75" customHeight="1">
      <c r="A19" s="1586">
        <v>7</v>
      </c>
      <c r="B19" s="1587">
        <v>7</v>
      </c>
      <c r="C19" s="1588"/>
      <c r="D19" s="1588"/>
      <c r="E19" s="625" t="s">
        <v>389</v>
      </c>
      <c r="F19" s="1588" t="s">
        <v>15</v>
      </c>
      <c r="G19" s="1587" t="s">
        <v>536</v>
      </c>
      <c r="H19" s="1587" t="s">
        <v>536</v>
      </c>
      <c r="I19" s="1587" t="s">
        <v>536</v>
      </c>
      <c r="J19" s="1587" t="s">
        <v>536</v>
      </c>
      <c r="K19" s="544">
        <f t="shared" si="0"/>
        <v>4</v>
      </c>
      <c r="L19" s="1594">
        <f t="shared" si="1"/>
        <v>400000</v>
      </c>
      <c r="M19" s="1595"/>
    </row>
    <row r="20" spans="1:13" ht="18.75" customHeight="1">
      <c r="A20" s="1586">
        <v>8</v>
      </c>
      <c r="B20" s="1587">
        <v>8</v>
      </c>
      <c r="C20" s="1588"/>
      <c r="D20" s="1588"/>
      <c r="E20" s="625" t="s">
        <v>390</v>
      </c>
      <c r="F20" s="1588" t="s">
        <v>15</v>
      </c>
      <c r="G20" s="1587" t="s">
        <v>536</v>
      </c>
      <c r="H20" s="1587" t="s">
        <v>536</v>
      </c>
      <c r="I20" s="1587" t="s">
        <v>536</v>
      </c>
      <c r="J20" s="1587" t="s">
        <v>536</v>
      </c>
      <c r="K20" s="544">
        <f t="shared" si="0"/>
        <v>4</v>
      </c>
      <c r="L20" s="1594">
        <f t="shared" si="1"/>
        <v>400000</v>
      </c>
      <c r="M20" s="1595"/>
    </row>
    <row r="21" spans="1:13" ht="18.75" customHeight="1">
      <c r="A21" s="1586">
        <v>9</v>
      </c>
      <c r="B21" s="1587">
        <v>9</v>
      </c>
      <c r="C21" s="1588"/>
      <c r="D21" s="1588"/>
      <c r="E21" s="625" t="s">
        <v>391</v>
      </c>
      <c r="F21" s="1588" t="s">
        <v>15</v>
      </c>
      <c r="G21" s="1587" t="s">
        <v>536</v>
      </c>
      <c r="H21" s="1587" t="s">
        <v>536</v>
      </c>
      <c r="I21" s="1587" t="s">
        <v>536</v>
      </c>
      <c r="J21" s="1587" t="s">
        <v>536</v>
      </c>
      <c r="K21" s="544">
        <f t="shared" si="0"/>
        <v>4</v>
      </c>
      <c r="L21" s="1594">
        <f t="shared" si="1"/>
        <v>400000</v>
      </c>
      <c r="M21" s="1595"/>
    </row>
    <row r="22" spans="1:13" ht="18.75" customHeight="1">
      <c r="A22" s="1586">
        <v>10</v>
      </c>
      <c r="B22" s="1587">
        <v>10</v>
      </c>
      <c r="C22" s="1588"/>
      <c r="D22" s="1588"/>
      <c r="E22" s="625" t="s">
        <v>392</v>
      </c>
      <c r="F22" s="1588" t="s">
        <v>15</v>
      </c>
      <c r="G22" s="1587" t="s">
        <v>536</v>
      </c>
      <c r="H22" s="1587" t="s">
        <v>536</v>
      </c>
      <c r="I22" s="1587" t="s">
        <v>536</v>
      </c>
      <c r="J22" s="1587" t="s">
        <v>536</v>
      </c>
      <c r="K22" s="544">
        <f t="shared" si="0"/>
        <v>4</v>
      </c>
      <c r="L22" s="1594">
        <f t="shared" si="1"/>
        <v>400000</v>
      </c>
      <c r="M22" s="1595"/>
    </row>
    <row r="23" spans="1:13" ht="18.75" customHeight="1">
      <c r="A23" s="1586">
        <v>11</v>
      </c>
      <c r="B23" s="1587">
        <v>11</v>
      </c>
      <c r="C23" s="1588"/>
      <c r="D23" s="1588"/>
      <c r="E23" s="625" t="s">
        <v>393</v>
      </c>
      <c r="F23" s="1588" t="s">
        <v>15</v>
      </c>
      <c r="G23" s="1587" t="s">
        <v>536</v>
      </c>
      <c r="H23" s="1587" t="s">
        <v>536</v>
      </c>
      <c r="I23" s="1587" t="s">
        <v>536</v>
      </c>
      <c r="J23" s="1587" t="s">
        <v>536</v>
      </c>
      <c r="K23" s="544">
        <f t="shared" si="0"/>
        <v>4</v>
      </c>
      <c r="L23" s="1594">
        <f t="shared" si="1"/>
        <v>400000</v>
      </c>
      <c r="M23" s="1595"/>
    </row>
    <row r="24" spans="1:13" ht="18.75" customHeight="1">
      <c r="A24" s="1586">
        <v>12</v>
      </c>
      <c r="B24" s="1587">
        <v>12</v>
      </c>
      <c r="C24" s="1588"/>
      <c r="D24" s="1588"/>
      <c r="E24" s="625" t="s">
        <v>394</v>
      </c>
      <c r="F24" s="1588" t="s">
        <v>15</v>
      </c>
      <c r="G24" s="1587" t="s">
        <v>536</v>
      </c>
      <c r="H24" s="1587" t="s">
        <v>536</v>
      </c>
      <c r="I24" s="1587" t="s">
        <v>536</v>
      </c>
      <c r="J24" s="1587" t="s">
        <v>536</v>
      </c>
      <c r="K24" s="544">
        <f t="shared" si="0"/>
        <v>4</v>
      </c>
      <c r="L24" s="1594">
        <f t="shared" si="1"/>
        <v>400000</v>
      </c>
      <c r="M24" s="1595"/>
    </row>
    <row r="25" spans="1:13" ht="18.75" customHeight="1">
      <c r="A25" s="1586">
        <v>13</v>
      </c>
      <c r="B25" s="1587">
        <v>13</v>
      </c>
      <c r="C25" s="1588"/>
      <c r="D25" s="1588"/>
      <c r="E25" s="625" t="s">
        <v>537</v>
      </c>
      <c r="F25" s="1588" t="s">
        <v>15</v>
      </c>
      <c r="G25" s="1587" t="s">
        <v>536</v>
      </c>
      <c r="H25" s="1587" t="s">
        <v>536</v>
      </c>
      <c r="I25" s="1587" t="s">
        <v>536</v>
      </c>
      <c r="J25" s="1587" t="s">
        <v>536</v>
      </c>
      <c r="K25" s="544">
        <f t="shared" si="0"/>
        <v>4</v>
      </c>
      <c r="L25" s="1594">
        <f t="shared" si="1"/>
        <v>400000</v>
      </c>
      <c r="M25" s="1595"/>
    </row>
    <row r="26" spans="1:13" ht="18.75" customHeight="1">
      <c r="A26" s="1586">
        <v>14</v>
      </c>
      <c r="B26" s="1587">
        <v>14</v>
      </c>
      <c r="C26" s="1588"/>
      <c r="D26" s="1588"/>
      <c r="E26" s="625" t="s">
        <v>396</v>
      </c>
      <c r="F26" s="1588" t="s">
        <v>15</v>
      </c>
      <c r="G26" s="1587" t="s">
        <v>536</v>
      </c>
      <c r="H26" s="1587" t="s">
        <v>536</v>
      </c>
      <c r="I26" s="1587" t="s">
        <v>536</v>
      </c>
      <c r="J26" s="1587" t="s">
        <v>536</v>
      </c>
      <c r="K26" s="544">
        <f t="shared" si="0"/>
        <v>4</v>
      </c>
      <c r="L26" s="1594">
        <f t="shared" si="1"/>
        <v>400000</v>
      </c>
      <c r="M26" s="1595"/>
    </row>
    <row r="27" spans="1:13" ht="18.75" customHeight="1">
      <c r="A27" s="1586">
        <v>15</v>
      </c>
      <c r="B27" s="1587">
        <v>15</v>
      </c>
      <c r="C27" s="1588"/>
      <c r="D27" s="1588"/>
      <c r="E27" s="625" t="s">
        <v>397</v>
      </c>
      <c r="F27" s="1588" t="s">
        <v>15</v>
      </c>
      <c r="G27" s="1587" t="s">
        <v>536</v>
      </c>
      <c r="H27" s="1587" t="s">
        <v>536</v>
      </c>
      <c r="I27" s="1587" t="s">
        <v>536</v>
      </c>
      <c r="J27" s="1587" t="s">
        <v>536</v>
      </c>
      <c r="K27" s="544">
        <f t="shared" si="0"/>
        <v>4</v>
      </c>
      <c r="L27" s="1594">
        <f t="shared" si="1"/>
        <v>400000</v>
      </c>
      <c r="M27" s="1595"/>
    </row>
    <row r="28" spans="1:13" ht="18.75" customHeight="1">
      <c r="A28" s="1586">
        <v>16</v>
      </c>
      <c r="B28" s="1587">
        <v>16</v>
      </c>
      <c r="C28" s="1588"/>
      <c r="D28" s="1588"/>
      <c r="E28" s="625" t="s">
        <v>398</v>
      </c>
      <c r="F28" s="1588" t="s">
        <v>15</v>
      </c>
      <c r="G28" s="1587" t="s">
        <v>536</v>
      </c>
      <c r="H28" s="1587" t="s">
        <v>536</v>
      </c>
      <c r="I28" s="1587" t="s">
        <v>536</v>
      </c>
      <c r="J28" s="1587" t="s">
        <v>536</v>
      </c>
      <c r="K28" s="544">
        <f t="shared" si="0"/>
        <v>4</v>
      </c>
      <c r="L28" s="1594">
        <f t="shared" si="1"/>
        <v>400000</v>
      </c>
      <c r="M28" s="1595"/>
    </row>
    <row r="29" spans="1:13" ht="18.75" customHeight="1">
      <c r="A29" s="1586">
        <v>17</v>
      </c>
      <c r="B29" s="1587">
        <v>17</v>
      </c>
      <c r="C29" s="1588"/>
      <c r="D29" s="1588"/>
      <c r="E29" s="625" t="s">
        <v>108</v>
      </c>
      <c r="F29" s="1588" t="s">
        <v>15</v>
      </c>
      <c r="G29" s="1587" t="s">
        <v>536</v>
      </c>
      <c r="H29" s="1587" t="s">
        <v>536</v>
      </c>
      <c r="I29" s="1587" t="s">
        <v>536</v>
      </c>
      <c r="J29" s="1587" t="s">
        <v>536</v>
      </c>
      <c r="K29" s="544">
        <f t="shared" si="0"/>
        <v>4</v>
      </c>
      <c r="L29" s="1594">
        <f t="shared" si="1"/>
        <v>400000</v>
      </c>
      <c r="M29" s="1595"/>
    </row>
    <row r="30" spans="1:13" ht="18.75" customHeight="1">
      <c r="A30" s="1586">
        <v>18</v>
      </c>
      <c r="B30" s="1587">
        <v>18</v>
      </c>
      <c r="C30" s="1588"/>
      <c r="D30" s="1588"/>
      <c r="E30" s="625" t="s">
        <v>400</v>
      </c>
      <c r="F30" s="1588" t="s">
        <v>15</v>
      </c>
      <c r="G30" s="1587" t="s">
        <v>536</v>
      </c>
      <c r="H30" s="1587" t="s">
        <v>536</v>
      </c>
      <c r="I30" s="1587" t="s">
        <v>536</v>
      </c>
      <c r="J30" s="1587" t="s">
        <v>536</v>
      </c>
      <c r="K30" s="544">
        <f t="shared" si="0"/>
        <v>4</v>
      </c>
      <c r="L30" s="1594">
        <f t="shared" si="1"/>
        <v>400000</v>
      </c>
      <c r="M30" s="1595"/>
    </row>
    <row r="31" spans="1:13" ht="18.75" customHeight="1">
      <c r="A31" s="1586">
        <v>19</v>
      </c>
      <c r="B31" s="1587">
        <v>19</v>
      </c>
      <c r="C31" s="1588"/>
      <c r="D31" s="1588"/>
      <c r="E31" s="625" t="s">
        <v>401</v>
      </c>
      <c r="F31" s="1588" t="s">
        <v>15</v>
      </c>
      <c r="G31" s="1587" t="s">
        <v>536</v>
      </c>
      <c r="H31" s="1587" t="s">
        <v>536</v>
      </c>
      <c r="I31" s="1587" t="s">
        <v>536</v>
      </c>
      <c r="J31" s="1587" t="s">
        <v>536</v>
      </c>
      <c r="K31" s="544">
        <f t="shared" si="0"/>
        <v>4</v>
      </c>
      <c r="L31" s="1594">
        <f t="shared" si="1"/>
        <v>400000</v>
      </c>
      <c r="M31" s="1595"/>
    </row>
    <row r="32" spans="1:13" ht="18.75" customHeight="1">
      <c r="A32" s="1586">
        <v>20</v>
      </c>
      <c r="B32" s="1587">
        <v>20</v>
      </c>
      <c r="C32" s="1588"/>
      <c r="D32" s="1588"/>
      <c r="E32" s="625" t="s">
        <v>402</v>
      </c>
      <c r="F32" s="1588" t="s">
        <v>15</v>
      </c>
      <c r="G32" s="1587" t="s">
        <v>536</v>
      </c>
      <c r="H32" s="1587" t="s">
        <v>536</v>
      </c>
      <c r="I32" s="1587" t="s">
        <v>536</v>
      </c>
      <c r="J32" s="1587" t="s">
        <v>536</v>
      </c>
      <c r="K32" s="544">
        <f t="shared" si="0"/>
        <v>4</v>
      </c>
      <c r="L32" s="1594">
        <f t="shared" si="1"/>
        <v>400000</v>
      </c>
      <c r="M32" s="1595"/>
    </row>
    <row r="33" spans="1:13" ht="18.75" customHeight="1">
      <c r="A33" s="1586">
        <v>21</v>
      </c>
      <c r="B33" s="1587">
        <v>21</v>
      </c>
      <c r="C33" s="1588"/>
      <c r="D33" s="1588"/>
      <c r="E33" s="625" t="s">
        <v>403</v>
      </c>
      <c r="F33" s="1588" t="s">
        <v>15</v>
      </c>
      <c r="G33" s="1587" t="s">
        <v>536</v>
      </c>
      <c r="H33" s="1587" t="s">
        <v>536</v>
      </c>
      <c r="I33" s="1587" t="s">
        <v>536</v>
      </c>
      <c r="J33" s="1587" t="s">
        <v>536</v>
      </c>
      <c r="K33" s="544">
        <f t="shared" si="0"/>
        <v>4</v>
      </c>
      <c r="L33" s="1594">
        <f t="shared" si="1"/>
        <v>400000</v>
      </c>
      <c r="M33" s="1595"/>
    </row>
    <row r="34" spans="1:13" ht="18.75" customHeight="1">
      <c r="A34" s="1586">
        <v>22</v>
      </c>
      <c r="B34" s="1587">
        <v>22</v>
      </c>
      <c r="C34" s="1588"/>
      <c r="D34" s="1588"/>
      <c r="E34" s="625" t="s">
        <v>404</v>
      </c>
      <c r="F34" s="1588" t="s">
        <v>15</v>
      </c>
      <c r="G34" s="1587" t="s">
        <v>536</v>
      </c>
      <c r="H34" s="1587" t="s">
        <v>536</v>
      </c>
      <c r="I34" s="1587" t="s">
        <v>536</v>
      </c>
      <c r="J34" s="1587" t="s">
        <v>536</v>
      </c>
      <c r="K34" s="544">
        <f t="shared" si="0"/>
        <v>4</v>
      </c>
      <c r="L34" s="1594">
        <f t="shared" si="1"/>
        <v>400000</v>
      </c>
      <c r="M34" s="1595"/>
    </row>
    <row r="35" spans="1:13" ht="18.75" customHeight="1">
      <c r="A35" s="1586">
        <v>23</v>
      </c>
      <c r="B35" s="1587">
        <v>23</v>
      </c>
      <c r="C35" s="1588"/>
      <c r="D35" s="1588"/>
      <c r="E35" s="625" t="s">
        <v>405</v>
      </c>
      <c r="F35" s="1588" t="s">
        <v>15</v>
      </c>
      <c r="G35" s="1587" t="s">
        <v>536</v>
      </c>
      <c r="H35" s="1587" t="s">
        <v>536</v>
      </c>
      <c r="I35" s="1587" t="s">
        <v>536</v>
      </c>
      <c r="J35" s="1587" t="s">
        <v>536</v>
      </c>
      <c r="K35" s="544">
        <f t="shared" si="0"/>
        <v>4</v>
      </c>
      <c r="L35" s="1594">
        <f t="shared" si="1"/>
        <v>400000</v>
      </c>
      <c r="M35" s="1595"/>
    </row>
    <row r="36" spans="1:13" ht="18.75" customHeight="1">
      <c r="A36" s="1586">
        <v>24</v>
      </c>
      <c r="B36" s="1587">
        <v>24</v>
      </c>
      <c r="C36" s="1588"/>
      <c r="D36" s="1588"/>
      <c r="E36" s="625" t="s">
        <v>406</v>
      </c>
      <c r="F36" s="1588" t="s">
        <v>15</v>
      </c>
      <c r="G36" s="1587" t="s">
        <v>536</v>
      </c>
      <c r="H36" s="1587" t="s">
        <v>536</v>
      </c>
      <c r="I36" s="1587" t="s">
        <v>536</v>
      </c>
      <c r="J36" s="1587" t="s">
        <v>536</v>
      </c>
      <c r="K36" s="544">
        <f t="shared" si="0"/>
        <v>4</v>
      </c>
      <c r="L36" s="1594">
        <f t="shared" si="1"/>
        <v>400000</v>
      </c>
      <c r="M36" s="1595"/>
    </row>
    <row r="37" spans="1:13" ht="18.75" customHeight="1">
      <c r="A37" s="1586">
        <v>25</v>
      </c>
      <c r="B37" s="1587">
        <v>25</v>
      </c>
      <c r="C37" s="1588"/>
      <c r="D37" s="1588"/>
      <c r="E37" s="625" t="s">
        <v>407</v>
      </c>
      <c r="F37" s="1588" t="s">
        <v>15</v>
      </c>
      <c r="G37" s="1587" t="s">
        <v>536</v>
      </c>
      <c r="H37" s="1587" t="s">
        <v>536</v>
      </c>
      <c r="I37" s="1587" t="s">
        <v>536</v>
      </c>
      <c r="J37" s="1587" t="s">
        <v>536</v>
      </c>
      <c r="K37" s="544">
        <f t="shared" si="0"/>
        <v>4</v>
      </c>
      <c r="L37" s="1594">
        <f t="shared" si="1"/>
        <v>400000</v>
      </c>
      <c r="M37" s="1595"/>
    </row>
    <row r="38" spans="1:13" ht="18.75" customHeight="1">
      <c r="A38" s="1586">
        <v>26</v>
      </c>
      <c r="B38" s="1587">
        <v>26</v>
      </c>
      <c r="C38" s="1588"/>
      <c r="D38" s="1588"/>
      <c r="E38" s="625" t="s">
        <v>408</v>
      </c>
      <c r="F38" s="1588" t="s">
        <v>15</v>
      </c>
      <c r="G38" s="1587" t="s">
        <v>536</v>
      </c>
      <c r="H38" s="1587" t="s">
        <v>536</v>
      </c>
      <c r="I38" s="1587" t="s">
        <v>536</v>
      </c>
      <c r="J38" s="1587" t="s">
        <v>536</v>
      </c>
      <c r="K38" s="544">
        <f t="shared" si="0"/>
        <v>4</v>
      </c>
      <c r="L38" s="1594">
        <f t="shared" si="1"/>
        <v>400000</v>
      </c>
      <c r="M38" s="1595"/>
    </row>
    <row r="39" spans="1:13" ht="18.75" customHeight="1">
      <c r="A39" s="1586">
        <v>27</v>
      </c>
      <c r="B39" s="1587">
        <v>27</v>
      </c>
      <c r="C39" s="1588"/>
      <c r="D39" s="1588"/>
      <c r="E39" s="625" t="s">
        <v>409</v>
      </c>
      <c r="F39" s="1588" t="s">
        <v>15</v>
      </c>
      <c r="G39" s="1587" t="s">
        <v>536</v>
      </c>
      <c r="H39" s="1587" t="s">
        <v>536</v>
      </c>
      <c r="I39" s="1587" t="s">
        <v>536</v>
      </c>
      <c r="J39" s="1587" t="s">
        <v>536</v>
      </c>
      <c r="K39" s="544">
        <f t="shared" si="0"/>
        <v>4</v>
      </c>
      <c r="L39" s="1594">
        <f t="shared" si="1"/>
        <v>400000</v>
      </c>
      <c r="M39" s="1595"/>
    </row>
    <row r="40" spans="1:13" ht="18.75" customHeight="1">
      <c r="A40" s="1586">
        <v>28</v>
      </c>
      <c r="B40" s="1587">
        <v>28</v>
      </c>
      <c r="C40" s="1588"/>
      <c r="D40" s="1588"/>
      <c r="E40" s="625" t="s">
        <v>410</v>
      </c>
      <c r="F40" s="1588" t="s">
        <v>15</v>
      </c>
      <c r="G40" s="1587" t="s">
        <v>536</v>
      </c>
      <c r="H40" s="1587" t="s">
        <v>536</v>
      </c>
      <c r="I40" s="1587" t="s">
        <v>536</v>
      </c>
      <c r="J40" s="1587" t="s">
        <v>536</v>
      </c>
      <c r="K40" s="544">
        <f t="shared" si="0"/>
        <v>4</v>
      </c>
      <c r="L40" s="1594">
        <f t="shared" si="1"/>
        <v>400000</v>
      </c>
      <c r="M40" s="1595"/>
    </row>
    <row r="41" spans="1:13" ht="18.75" customHeight="1">
      <c r="A41" s="1586">
        <v>29</v>
      </c>
      <c r="B41" s="1587">
        <v>29</v>
      </c>
      <c r="C41" s="1588"/>
      <c r="D41" s="1588"/>
      <c r="E41" s="625" t="s">
        <v>411</v>
      </c>
      <c r="F41" s="1588" t="s">
        <v>15</v>
      </c>
      <c r="G41" s="1587" t="s">
        <v>536</v>
      </c>
      <c r="H41" s="1587" t="s">
        <v>536</v>
      </c>
      <c r="I41" s="1587" t="s">
        <v>536</v>
      </c>
      <c r="J41" s="1587" t="s">
        <v>536</v>
      </c>
      <c r="K41" s="544">
        <f t="shared" si="0"/>
        <v>4</v>
      </c>
      <c r="L41" s="1594">
        <f t="shared" si="1"/>
        <v>400000</v>
      </c>
      <c r="M41" s="1595"/>
    </row>
    <row r="42" spans="1:13" ht="18.75" customHeight="1">
      <c r="A42" s="1586">
        <v>30</v>
      </c>
      <c r="B42" s="1587">
        <v>30</v>
      </c>
      <c r="C42" s="1588"/>
      <c r="D42" s="1588"/>
      <c r="E42" s="625" t="s">
        <v>412</v>
      </c>
      <c r="F42" s="1588" t="s">
        <v>15</v>
      </c>
      <c r="G42" s="1587" t="s">
        <v>536</v>
      </c>
      <c r="H42" s="1587" t="s">
        <v>536</v>
      </c>
      <c r="I42" s="1587" t="s">
        <v>536</v>
      </c>
      <c r="J42" s="1587" t="s">
        <v>536</v>
      </c>
      <c r="K42" s="544">
        <f t="shared" si="0"/>
        <v>4</v>
      </c>
      <c r="L42" s="1594">
        <f t="shared" si="1"/>
        <v>400000</v>
      </c>
      <c r="M42" s="1595"/>
    </row>
    <row r="43" spans="1:13" ht="18.75" customHeight="1">
      <c r="A43" s="1586">
        <v>31</v>
      </c>
      <c r="B43" s="1587">
        <v>31</v>
      </c>
      <c r="C43" s="1588"/>
      <c r="D43" s="1588"/>
      <c r="E43" s="625" t="s">
        <v>413</v>
      </c>
      <c r="F43" s="1588" t="s">
        <v>15</v>
      </c>
      <c r="G43" s="1587" t="s">
        <v>536</v>
      </c>
      <c r="H43" s="1587" t="s">
        <v>536</v>
      </c>
      <c r="I43" s="1587" t="s">
        <v>536</v>
      </c>
      <c r="J43" s="1587" t="s">
        <v>536</v>
      </c>
      <c r="K43" s="544">
        <f t="shared" si="0"/>
        <v>4</v>
      </c>
      <c r="L43" s="1594">
        <f t="shared" si="1"/>
        <v>400000</v>
      </c>
      <c r="M43" s="1595"/>
    </row>
    <row r="44" spans="1:13" ht="18.75" customHeight="1">
      <c r="A44" s="1586">
        <v>32</v>
      </c>
      <c r="B44" s="1587">
        <v>32</v>
      </c>
      <c r="C44" s="1588"/>
      <c r="D44" s="1588"/>
      <c r="E44" s="625" t="s">
        <v>414</v>
      </c>
      <c r="F44" s="1588" t="s">
        <v>15</v>
      </c>
      <c r="G44" s="1587" t="s">
        <v>536</v>
      </c>
      <c r="H44" s="1587" t="s">
        <v>536</v>
      </c>
      <c r="I44" s="1587" t="s">
        <v>536</v>
      </c>
      <c r="J44" s="1587" t="s">
        <v>536</v>
      </c>
      <c r="K44" s="544">
        <f t="shared" si="0"/>
        <v>4</v>
      </c>
      <c r="L44" s="1594">
        <f t="shared" si="1"/>
        <v>400000</v>
      </c>
      <c r="M44" s="1595"/>
    </row>
    <row r="45" spans="1:13" ht="18.75" customHeight="1">
      <c r="A45" s="1586">
        <v>33</v>
      </c>
      <c r="B45" s="1587">
        <v>33</v>
      </c>
      <c r="C45" s="1588"/>
      <c r="D45" s="1588"/>
      <c r="E45" s="625" t="s">
        <v>415</v>
      </c>
      <c r="F45" s="1588" t="s">
        <v>15</v>
      </c>
      <c r="G45" s="1587" t="s">
        <v>536</v>
      </c>
      <c r="H45" s="1587" t="s">
        <v>536</v>
      </c>
      <c r="I45" s="1587" t="s">
        <v>536</v>
      </c>
      <c r="J45" s="1587" t="s">
        <v>536</v>
      </c>
      <c r="K45" s="544">
        <f t="shared" si="0"/>
        <v>4</v>
      </c>
      <c r="L45" s="1594">
        <f t="shared" si="1"/>
        <v>400000</v>
      </c>
      <c r="M45" s="1595"/>
    </row>
    <row r="46" spans="1:13" ht="18.75" customHeight="1">
      <c r="A46" s="1586">
        <v>34</v>
      </c>
      <c r="B46" s="1587">
        <v>34</v>
      </c>
      <c r="C46" s="1588"/>
      <c r="D46" s="1588"/>
      <c r="E46" s="625" t="s">
        <v>416</v>
      </c>
      <c r="F46" s="1588" t="s">
        <v>15</v>
      </c>
      <c r="G46" s="1587" t="s">
        <v>536</v>
      </c>
      <c r="H46" s="1587" t="s">
        <v>536</v>
      </c>
      <c r="I46" s="1587" t="s">
        <v>536</v>
      </c>
      <c r="J46" s="1587" t="s">
        <v>536</v>
      </c>
      <c r="K46" s="544">
        <f t="shared" si="0"/>
        <v>4</v>
      </c>
      <c r="L46" s="1594">
        <f t="shared" si="1"/>
        <v>400000</v>
      </c>
      <c r="M46" s="1595"/>
    </row>
    <row r="47" spans="1:13" ht="18.75" customHeight="1">
      <c r="A47" s="1586">
        <v>35</v>
      </c>
      <c r="B47" s="1587">
        <v>35</v>
      </c>
      <c r="C47" s="1588"/>
      <c r="D47" s="1588"/>
      <c r="E47" s="625" t="s">
        <v>417</v>
      </c>
      <c r="F47" s="1588" t="s">
        <v>15</v>
      </c>
      <c r="G47" s="1587" t="s">
        <v>536</v>
      </c>
      <c r="H47" s="1587" t="s">
        <v>536</v>
      </c>
      <c r="I47" s="1587" t="s">
        <v>536</v>
      </c>
      <c r="J47" s="1587" t="s">
        <v>536</v>
      </c>
      <c r="K47" s="544">
        <f t="shared" si="0"/>
        <v>4</v>
      </c>
      <c r="L47" s="1594">
        <f t="shared" si="1"/>
        <v>400000</v>
      </c>
      <c r="M47" s="1595"/>
    </row>
    <row r="48" spans="1:13" ht="18.75" customHeight="1">
      <c r="A48" s="1586">
        <v>36</v>
      </c>
      <c r="B48" s="1587">
        <v>36</v>
      </c>
      <c r="C48" s="1588"/>
      <c r="D48" s="1588"/>
      <c r="E48" s="625" t="s">
        <v>418</v>
      </c>
      <c r="F48" s="1588" t="s">
        <v>15</v>
      </c>
      <c r="G48" s="1587" t="s">
        <v>536</v>
      </c>
      <c r="H48" s="1587" t="s">
        <v>536</v>
      </c>
      <c r="I48" s="1587" t="s">
        <v>536</v>
      </c>
      <c r="J48" s="1587" t="s">
        <v>536</v>
      </c>
      <c r="K48" s="544">
        <f t="shared" si="0"/>
        <v>4</v>
      </c>
      <c r="L48" s="1594">
        <f t="shared" si="1"/>
        <v>400000</v>
      </c>
      <c r="M48" s="1595"/>
    </row>
    <row r="49" spans="1:16" ht="18.75" customHeight="1">
      <c r="A49" s="1586">
        <v>37</v>
      </c>
      <c r="B49" s="1587">
        <v>37</v>
      </c>
      <c r="C49" s="1588"/>
      <c r="D49" s="1588"/>
      <c r="E49" s="625" t="s">
        <v>419</v>
      </c>
      <c r="F49" s="1588" t="s">
        <v>15</v>
      </c>
      <c r="G49" s="1587" t="s">
        <v>536</v>
      </c>
      <c r="H49" s="1587" t="s">
        <v>536</v>
      </c>
      <c r="I49" s="1587" t="s">
        <v>536</v>
      </c>
      <c r="J49" s="1587" t="s">
        <v>536</v>
      </c>
      <c r="K49" s="544">
        <f t="shared" si="0"/>
        <v>4</v>
      </c>
      <c r="L49" s="1594">
        <f t="shared" si="1"/>
        <v>400000</v>
      </c>
      <c r="M49" s="1595"/>
    </row>
    <row r="50" spans="1:16" ht="18.75" customHeight="1">
      <c r="A50" s="1586">
        <v>38</v>
      </c>
      <c r="B50" s="1587">
        <v>38</v>
      </c>
      <c r="C50" s="1588"/>
      <c r="D50" s="1588"/>
      <c r="E50" s="625" t="s">
        <v>420</v>
      </c>
      <c r="F50" s="1588" t="s">
        <v>15</v>
      </c>
      <c r="G50" s="1587" t="s">
        <v>536</v>
      </c>
      <c r="H50" s="1587" t="s">
        <v>536</v>
      </c>
      <c r="I50" s="1587" t="s">
        <v>536</v>
      </c>
      <c r="J50" s="1587" t="s">
        <v>536</v>
      </c>
      <c r="K50" s="544">
        <f t="shared" si="0"/>
        <v>4</v>
      </c>
      <c r="L50" s="1594">
        <f t="shared" si="1"/>
        <v>400000</v>
      </c>
      <c r="M50" s="1595"/>
    </row>
    <row r="51" spans="1:16" ht="18.75" customHeight="1">
      <c r="A51" s="1586">
        <v>39</v>
      </c>
      <c r="B51" s="1587">
        <v>39</v>
      </c>
      <c r="C51" s="1588"/>
      <c r="D51" s="1588"/>
      <c r="E51" s="625" t="s">
        <v>421</v>
      </c>
      <c r="F51" s="1588" t="s">
        <v>15</v>
      </c>
      <c r="G51" s="1587" t="s">
        <v>536</v>
      </c>
      <c r="H51" s="1587" t="s">
        <v>536</v>
      </c>
      <c r="I51" s="1587" t="s">
        <v>536</v>
      </c>
      <c r="J51" s="1587" t="s">
        <v>536</v>
      </c>
      <c r="K51" s="544">
        <f t="shared" si="0"/>
        <v>4</v>
      </c>
      <c r="L51" s="1594">
        <f t="shared" si="1"/>
        <v>400000</v>
      </c>
      <c r="M51" s="1595"/>
    </row>
    <row r="52" spans="1:16" ht="18.75" customHeight="1">
      <c r="A52" s="1586">
        <v>40</v>
      </c>
      <c r="B52" s="1587">
        <v>40</v>
      </c>
      <c r="C52" s="1588"/>
      <c r="D52" s="1588"/>
      <c r="E52" s="625" t="s">
        <v>422</v>
      </c>
      <c r="F52" s="1588" t="s">
        <v>15</v>
      </c>
      <c r="G52" s="1587" t="s">
        <v>536</v>
      </c>
      <c r="H52" s="1587" t="s">
        <v>536</v>
      </c>
      <c r="I52" s="1587" t="s">
        <v>536</v>
      </c>
      <c r="J52" s="1587" t="s">
        <v>536</v>
      </c>
      <c r="K52" s="544">
        <f t="shared" si="0"/>
        <v>4</v>
      </c>
      <c r="L52" s="1594">
        <f t="shared" si="1"/>
        <v>400000</v>
      </c>
      <c r="M52" s="1595"/>
    </row>
    <row r="53" spans="1:16" ht="18.75" customHeight="1">
      <c r="A53" s="1586">
        <v>41</v>
      </c>
      <c r="B53" s="1587">
        <v>41</v>
      </c>
      <c r="C53" s="1588"/>
      <c r="D53" s="1588"/>
      <c r="E53" s="625" t="s">
        <v>423</v>
      </c>
      <c r="F53" s="1588" t="s">
        <v>15</v>
      </c>
      <c r="G53" s="1587" t="s">
        <v>536</v>
      </c>
      <c r="H53" s="1587" t="s">
        <v>536</v>
      </c>
      <c r="I53" s="1587" t="s">
        <v>536</v>
      </c>
      <c r="J53" s="1587" t="s">
        <v>536</v>
      </c>
      <c r="K53" s="544">
        <f t="shared" si="0"/>
        <v>4</v>
      </c>
      <c r="L53" s="1594">
        <f t="shared" si="1"/>
        <v>400000</v>
      </c>
      <c r="M53" s="1595"/>
    </row>
    <row r="54" spans="1:16" ht="18.75" customHeight="1">
      <c r="A54" s="1586">
        <v>42</v>
      </c>
      <c r="B54" s="1587">
        <v>42</v>
      </c>
      <c r="C54" s="1588"/>
      <c r="D54" s="1588"/>
      <c r="E54" s="625" t="s">
        <v>424</v>
      </c>
      <c r="F54" s="1588" t="s">
        <v>15</v>
      </c>
      <c r="G54" s="1587" t="s">
        <v>536</v>
      </c>
      <c r="H54" s="1587" t="s">
        <v>536</v>
      </c>
      <c r="I54" s="1587" t="s">
        <v>536</v>
      </c>
      <c r="J54" s="1587" t="s">
        <v>536</v>
      </c>
      <c r="K54" s="544">
        <f t="shared" si="0"/>
        <v>4</v>
      </c>
      <c r="L54" s="1594">
        <f t="shared" si="1"/>
        <v>400000</v>
      </c>
      <c r="M54" s="1595"/>
    </row>
    <row r="55" spans="1:16" ht="18.75" customHeight="1">
      <c r="A55" s="1586">
        <v>43</v>
      </c>
      <c r="B55" s="1587">
        <v>43</v>
      </c>
      <c r="C55" s="1588"/>
      <c r="D55" s="1588"/>
      <c r="E55" s="625" t="s">
        <v>425</v>
      </c>
      <c r="F55" s="1588" t="s">
        <v>15</v>
      </c>
      <c r="G55" s="1587" t="s">
        <v>536</v>
      </c>
      <c r="H55" s="1587" t="s">
        <v>536</v>
      </c>
      <c r="I55" s="1587" t="s">
        <v>536</v>
      </c>
      <c r="J55" s="1587" t="s">
        <v>536</v>
      </c>
      <c r="K55" s="544">
        <f t="shared" si="0"/>
        <v>4</v>
      </c>
      <c r="L55" s="1594">
        <f t="shared" si="1"/>
        <v>400000</v>
      </c>
      <c r="M55" s="1595"/>
    </row>
    <row r="56" spans="1:16" ht="18.75" customHeight="1">
      <c r="A56" s="2260" t="s">
        <v>58</v>
      </c>
      <c r="B56" s="2261"/>
      <c r="C56" s="2261"/>
      <c r="D56" s="2261"/>
      <c r="E56" s="2261"/>
      <c r="F56" s="2262"/>
      <c r="G56" s="544">
        <f>COUNTIF(G57:G111,"X")</f>
        <v>50</v>
      </c>
      <c r="H56" s="544">
        <f>COUNTIF(H57:H111,"X")</f>
        <v>53</v>
      </c>
      <c r="I56" s="544">
        <f>COUNTIF(I57:I111,"X")</f>
        <v>52</v>
      </c>
      <c r="J56" s="544">
        <f>COUNTIF(J57:J111,"X")</f>
        <v>49</v>
      </c>
      <c r="K56" s="544">
        <f>SUM(K57:K111)</f>
        <v>204</v>
      </c>
      <c r="L56" s="1593">
        <f>SUM(L57:L111)</f>
        <v>20400000</v>
      </c>
      <c r="M56" s="1593"/>
    </row>
    <row r="57" spans="1:16" ht="18.75" customHeight="1">
      <c r="A57" s="1586">
        <v>44</v>
      </c>
      <c r="B57" s="1587">
        <v>1</v>
      </c>
      <c r="C57" s="1588"/>
      <c r="D57" s="1588"/>
      <c r="E57" s="625" t="s">
        <v>430</v>
      </c>
      <c r="F57" s="1588" t="s">
        <v>15</v>
      </c>
      <c r="G57" s="1587"/>
      <c r="H57" s="1587"/>
      <c r="I57" s="1587" t="s">
        <v>536</v>
      </c>
      <c r="J57" s="1587"/>
      <c r="K57" s="544">
        <f t="shared" ref="K57:K111" si="2">COUNTIF(G57:J57,"X")</f>
        <v>1</v>
      </c>
      <c r="L57" s="1594">
        <f t="shared" si="1"/>
        <v>100000</v>
      </c>
      <c r="M57" s="1595"/>
    </row>
    <row r="58" spans="1:16" ht="18.75" customHeight="1">
      <c r="A58" s="1586">
        <v>45</v>
      </c>
      <c r="B58" s="1587">
        <v>2</v>
      </c>
      <c r="C58" s="1588"/>
      <c r="D58" s="1588"/>
      <c r="E58" s="625" t="s">
        <v>431</v>
      </c>
      <c r="F58" s="1588" t="s">
        <v>15</v>
      </c>
      <c r="G58" s="1587" t="s">
        <v>536</v>
      </c>
      <c r="H58" s="1587" t="s">
        <v>536</v>
      </c>
      <c r="I58" s="1587" t="s">
        <v>536</v>
      </c>
      <c r="J58" s="1587" t="s">
        <v>536</v>
      </c>
      <c r="K58" s="544">
        <f t="shared" si="2"/>
        <v>4</v>
      </c>
      <c r="L58" s="1594">
        <f t="shared" si="1"/>
        <v>400000</v>
      </c>
      <c r="M58" s="1595"/>
    </row>
    <row r="59" spans="1:16" ht="18.75" customHeight="1">
      <c r="A59" s="1586">
        <v>46</v>
      </c>
      <c r="B59" s="1587">
        <v>3</v>
      </c>
      <c r="C59" s="1588"/>
      <c r="D59" s="1588"/>
      <c r="E59" s="625" t="s">
        <v>432</v>
      </c>
      <c r="F59" s="1588" t="s">
        <v>15</v>
      </c>
      <c r="G59" s="1587" t="s">
        <v>536</v>
      </c>
      <c r="H59" s="1587" t="s">
        <v>536</v>
      </c>
      <c r="I59" s="1587" t="s">
        <v>536</v>
      </c>
      <c r="J59" s="1587" t="s">
        <v>536</v>
      </c>
      <c r="K59" s="544">
        <f t="shared" si="2"/>
        <v>4</v>
      </c>
      <c r="L59" s="1594">
        <f t="shared" si="1"/>
        <v>400000</v>
      </c>
      <c r="M59" s="1595"/>
    </row>
    <row r="60" spans="1:16" ht="18.75" customHeight="1">
      <c r="A60" s="1586">
        <v>47</v>
      </c>
      <c r="B60" s="1587">
        <v>4</v>
      </c>
      <c r="C60" s="1588"/>
      <c r="D60" s="1588"/>
      <c r="E60" s="625" t="s">
        <v>433</v>
      </c>
      <c r="F60" s="1588" t="s">
        <v>15</v>
      </c>
      <c r="G60" s="1587" t="s">
        <v>536</v>
      </c>
      <c r="H60" s="1587" t="s">
        <v>536</v>
      </c>
      <c r="I60" s="1587" t="s">
        <v>536</v>
      </c>
      <c r="J60" s="1587" t="s">
        <v>536</v>
      </c>
      <c r="K60" s="544">
        <f t="shared" si="2"/>
        <v>4</v>
      </c>
      <c r="L60" s="1594">
        <f t="shared" si="1"/>
        <v>400000</v>
      </c>
      <c r="M60" s="1595"/>
    </row>
    <row r="61" spans="1:16" ht="18.75" customHeight="1">
      <c r="A61" s="1586">
        <v>48</v>
      </c>
      <c r="B61" s="1587">
        <v>5</v>
      </c>
      <c r="C61" s="1588"/>
      <c r="D61" s="1588"/>
      <c r="E61" s="625" t="s">
        <v>434</v>
      </c>
      <c r="F61" s="1588" t="s">
        <v>15</v>
      </c>
      <c r="G61" s="1587" t="s">
        <v>536</v>
      </c>
      <c r="H61" s="1587" t="s">
        <v>536</v>
      </c>
      <c r="I61" s="1587" t="s">
        <v>536</v>
      </c>
      <c r="J61" s="1587" t="s">
        <v>536</v>
      </c>
      <c r="K61" s="544">
        <f t="shared" si="2"/>
        <v>4</v>
      </c>
      <c r="L61" s="1594">
        <f t="shared" si="1"/>
        <v>400000</v>
      </c>
      <c r="M61" s="1595"/>
      <c r="P61" s="987">
        <f>5+2+3+6</f>
        <v>16</v>
      </c>
    </row>
    <row r="62" spans="1:16" ht="18.75" customHeight="1">
      <c r="A62" s="1586">
        <v>49</v>
      </c>
      <c r="B62" s="1587">
        <v>6</v>
      </c>
      <c r="C62" s="1588"/>
      <c r="D62" s="1588"/>
      <c r="E62" s="625" t="s">
        <v>538</v>
      </c>
      <c r="F62" s="1588" t="s">
        <v>15</v>
      </c>
      <c r="G62" s="1587"/>
      <c r="H62" s="1587" t="s">
        <v>536</v>
      </c>
      <c r="I62" s="1587" t="s">
        <v>536</v>
      </c>
      <c r="J62" s="1587" t="s">
        <v>536</v>
      </c>
      <c r="K62" s="544">
        <f t="shared" si="2"/>
        <v>3</v>
      </c>
      <c r="L62" s="1594">
        <f t="shared" si="1"/>
        <v>300000</v>
      </c>
      <c r="M62" s="1595"/>
      <c r="P62" s="987">
        <f>55*4</f>
        <v>220</v>
      </c>
    </row>
    <row r="63" spans="1:16" ht="18.75" customHeight="1">
      <c r="A63" s="1586">
        <v>50</v>
      </c>
      <c r="B63" s="1587">
        <v>7</v>
      </c>
      <c r="C63" s="1588"/>
      <c r="D63" s="1588"/>
      <c r="E63" s="625" t="s">
        <v>436</v>
      </c>
      <c r="F63" s="1588" t="s">
        <v>15</v>
      </c>
      <c r="G63" s="1587" t="s">
        <v>536</v>
      </c>
      <c r="H63" s="1587" t="s">
        <v>536</v>
      </c>
      <c r="I63" s="1587" t="s">
        <v>536</v>
      </c>
      <c r="J63" s="1587" t="s">
        <v>536</v>
      </c>
      <c r="K63" s="544">
        <f t="shared" si="2"/>
        <v>4</v>
      </c>
      <c r="L63" s="1594">
        <f t="shared" si="1"/>
        <v>400000</v>
      </c>
      <c r="M63" s="1595"/>
      <c r="P63" s="987">
        <f>+P62-P61</f>
        <v>204</v>
      </c>
    </row>
    <row r="64" spans="1:16" ht="18.75" customHeight="1">
      <c r="A64" s="1586">
        <v>51</v>
      </c>
      <c r="B64" s="1587">
        <v>8</v>
      </c>
      <c r="C64" s="1588"/>
      <c r="D64" s="1588"/>
      <c r="E64" s="625" t="s">
        <v>437</v>
      </c>
      <c r="F64" s="1588" t="s">
        <v>15</v>
      </c>
      <c r="G64" s="1587" t="s">
        <v>536</v>
      </c>
      <c r="H64" s="1587" t="s">
        <v>536</v>
      </c>
      <c r="I64" s="1587"/>
      <c r="J64" s="1587" t="s">
        <v>536</v>
      </c>
      <c r="K64" s="544">
        <f t="shared" si="2"/>
        <v>3</v>
      </c>
      <c r="L64" s="1594">
        <f t="shared" si="1"/>
        <v>300000</v>
      </c>
      <c r="M64" s="1595"/>
    </row>
    <row r="65" spans="1:13" ht="18.75" customHeight="1">
      <c r="A65" s="1586">
        <v>52</v>
      </c>
      <c r="B65" s="1587">
        <v>9</v>
      </c>
      <c r="C65" s="1588"/>
      <c r="D65" s="1588"/>
      <c r="E65" s="625" t="s">
        <v>539</v>
      </c>
      <c r="F65" s="1588" t="s">
        <v>15</v>
      </c>
      <c r="G65" s="1587" t="s">
        <v>536</v>
      </c>
      <c r="H65" s="1587" t="s">
        <v>536</v>
      </c>
      <c r="I65" s="1587" t="s">
        <v>536</v>
      </c>
      <c r="J65" s="1587" t="s">
        <v>536</v>
      </c>
      <c r="K65" s="544">
        <f t="shared" si="2"/>
        <v>4</v>
      </c>
      <c r="L65" s="1594">
        <f t="shared" si="1"/>
        <v>400000</v>
      </c>
      <c r="M65" s="1595"/>
    </row>
    <row r="66" spans="1:13" ht="18.75" customHeight="1">
      <c r="A66" s="1586">
        <v>53</v>
      </c>
      <c r="B66" s="1587">
        <v>10</v>
      </c>
      <c r="C66" s="1588"/>
      <c r="D66" s="1588"/>
      <c r="E66" s="625" t="s">
        <v>439</v>
      </c>
      <c r="F66" s="1588" t="s">
        <v>15</v>
      </c>
      <c r="G66" s="1587" t="s">
        <v>536</v>
      </c>
      <c r="H66" s="1587" t="s">
        <v>536</v>
      </c>
      <c r="I66" s="1587" t="s">
        <v>536</v>
      </c>
      <c r="J66" s="1587"/>
      <c r="K66" s="544">
        <f t="shared" si="2"/>
        <v>3</v>
      </c>
      <c r="L66" s="1594">
        <f t="shared" si="1"/>
        <v>300000</v>
      </c>
      <c r="M66" s="1595"/>
    </row>
    <row r="67" spans="1:13" ht="18.75" customHeight="1">
      <c r="A67" s="1586">
        <v>54</v>
      </c>
      <c r="B67" s="1587">
        <v>11</v>
      </c>
      <c r="C67" s="1588"/>
      <c r="D67" s="1588"/>
      <c r="E67" s="625" t="s">
        <v>440</v>
      </c>
      <c r="F67" s="1588" t="s">
        <v>15</v>
      </c>
      <c r="G67" s="1587" t="s">
        <v>536</v>
      </c>
      <c r="H67" s="1587" t="s">
        <v>536</v>
      </c>
      <c r="I67" s="1587" t="s">
        <v>536</v>
      </c>
      <c r="J67" s="1587" t="s">
        <v>536</v>
      </c>
      <c r="K67" s="544">
        <f t="shared" si="2"/>
        <v>4</v>
      </c>
      <c r="L67" s="1594">
        <f t="shared" si="1"/>
        <v>400000</v>
      </c>
      <c r="M67" s="1595"/>
    </row>
    <row r="68" spans="1:13" ht="18.75" customHeight="1">
      <c r="A68" s="1586">
        <v>55</v>
      </c>
      <c r="B68" s="1587">
        <v>12</v>
      </c>
      <c r="C68" s="1588"/>
      <c r="D68" s="1588"/>
      <c r="E68" s="625" t="s">
        <v>441</v>
      </c>
      <c r="F68" s="1588" t="s">
        <v>15</v>
      </c>
      <c r="G68" s="1587" t="s">
        <v>536</v>
      </c>
      <c r="H68" s="1587" t="s">
        <v>536</v>
      </c>
      <c r="I68" s="1587" t="s">
        <v>536</v>
      </c>
      <c r="J68" s="1587" t="s">
        <v>536</v>
      </c>
      <c r="K68" s="544">
        <f t="shared" si="2"/>
        <v>4</v>
      </c>
      <c r="L68" s="1594">
        <f t="shared" si="1"/>
        <v>400000</v>
      </c>
      <c r="M68" s="1595"/>
    </row>
    <row r="69" spans="1:13" ht="18.75" customHeight="1">
      <c r="A69" s="1586">
        <v>56</v>
      </c>
      <c r="B69" s="1587">
        <v>13</v>
      </c>
      <c r="C69" s="1588"/>
      <c r="D69" s="1588"/>
      <c r="E69" s="625" t="s">
        <v>442</v>
      </c>
      <c r="F69" s="1588" t="s">
        <v>15</v>
      </c>
      <c r="G69" s="1587" t="s">
        <v>536</v>
      </c>
      <c r="H69" s="1587" t="s">
        <v>536</v>
      </c>
      <c r="I69" s="1587" t="s">
        <v>536</v>
      </c>
      <c r="J69" s="1587" t="s">
        <v>536</v>
      </c>
      <c r="K69" s="544">
        <f t="shared" si="2"/>
        <v>4</v>
      </c>
      <c r="L69" s="1594">
        <f t="shared" si="1"/>
        <v>400000</v>
      </c>
      <c r="M69" s="1595"/>
    </row>
    <row r="70" spans="1:13" ht="18.75" customHeight="1">
      <c r="A70" s="1586">
        <v>57</v>
      </c>
      <c r="B70" s="1587">
        <v>14</v>
      </c>
      <c r="C70" s="1588"/>
      <c r="D70" s="1588"/>
      <c r="E70" s="625" t="s">
        <v>443</v>
      </c>
      <c r="F70" s="1588" t="s">
        <v>15</v>
      </c>
      <c r="G70" s="1587" t="s">
        <v>536</v>
      </c>
      <c r="H70" s="1587" t="s">
        <v>536</v>
      </c>
      <c r="I70" s="1587" t="s">
        <v>536</v>
      </c>
      <c r="J70" s="1587" t="s">
        <v>536</v>
      </c>
      <c r="K70" s="544">
        <f t="shared" si="2"/>
        <v>4</v>
      </c>
      <c r="L70" s="1594">
        <f t="shared" si="1"/>
        <v>400000</v>
      </c>
      <c r="M70" s="1595"/>
    </row>
    <row r="71" spans="1:13" ht="18.75" customHeight="1">
      <c r="A71" s="1586">
        <v>58</v>
      </c>
      <c r="B71" s="1587">
        <v>15</v>
      </c>
      <c r="C71" s="1588"/>
      <c r="D71" s="1588"/>
      <c r="E71" s="625" t="s">
        <v>540</v>
      </c>
      <c r="F71" s="1588" t="s">
        <v>15</v>
      </c>
      <c r="G71" s="1587" t="s">
        <v>536</v>
      </c>
      <c r="H71" s="1587" t="s">
        <v>536</v>
      </c>
      <c r="I71" s="1587" t="s">
        <v>536</v>
      </c>
      <c r="J71" s="1587" t="s">
        <v>536</v>
      </c>
      <c r="K71" s="544">
        <f t="shared" si="2"/>
        <v>4</v>
      </c>
      <c r="L71" s="1594">
        <f t="shared" si="1"/>
        <v>400000</v>
      </c>
      <c r="M71" s="1595"/>
    </row>
    <row r="72" spans="1:13" ht="18.75" customHeight="1">
      <c r="A72" s="1586">
        <v>59</v>
      </c>
      <c r="B72" s="1587">
        <v>16</v>
      </c>
      <c r="C72" s="1588"/>
      <c r="D72" s="1588"/>
      <c r="E72" s="625" t="s">
        <v>445</v>
      </c>
      <c r="F72" s="1588" t="s">
        <v>15</v>
      </c>
      <c r="G72" s="1587"/>
      <c r="H72" s="1587" t="s">
        <v>536</v>
      </c>
      <c r="I72" s="1587" t="s">
        <v>536</v>
      </c>
      <c r="J72" s="1587" t="s">
        <v>536</v>
      </c>
      <c r="K72" s="544">
        <f t="shared" si="2"/>
        <v>3</v>
      </c>
      <c r="L72" s="1594">
        <f t="shared" si="1"/>
        <v>300000</v>
      </c>
      <c r="M72" s="1595"/>
    </row>
    <row r="73" spans="1:13" ht="18.75" customHeight="1">
      <c r="A73" s="1586">
        <v>60</v>
      </c>
      <c r="B73" s="1587">
        <v>17</v>
      </c>
      <c r="C73" s="1588"/>
      <c r="D73" s="1588"/>
      <c r="E73" s="625" t="s">
        <v>541</v>
      </c>
      <c r="F73" s="1588" t="s">
        <v>15</v>
      </c>
      <c r="G73" s="1587" t="s">
        <v>536</v>
      </c>
      <c r="H73" s="1587" t="s">
        <v>536</v>
      </c>
      <c r="I73" s="1587" t="s">
        <v>536</v>
      </c>
      <c r="J73" s="1587"/>
      <c r="K73" s="544">
        <f t="shared" si="2"/>
        <v>3</v>
      </c>
      <c r="L73" s="1594">
        <f t="shared" si="1"/>
        <v>300000</v>
      </c>
      <c r="M73" s="1595"/>
    </row>
    <row r="74" spans="1:13" ht="18.75" customHeight="1">
      <c r="A74" s="1586">
        <v>61</v>
      </c>
      <c r="B74" s="1587">
        <v>18</v>
      </c>
      <c r="C74" s="1588"/>
      <c r="D74" s="1588"/>
      <c r="E74" s="625" t="s">
        <v>542</v>
      </c>
      <c r="F74" s="1588" t="s">
        <v>15</v>
      </c>
      <c r="G74" s="1587" t="s">
        <v>536</v>
      </c>
      <c r="H74" s="1587" t="s">
        <v>536</v>
      </c>
      <c r="I74" s="1587" t="s">
        <v>536</v>
      </c>
      <c r="J74" s="1587"/>
      <c r="K74" s="544">
        <f t="shared" si="2"/>
        <v>3</v>
      </c>
      <c r="L74" s="1594">
        <f t="shared" si="1"/>
        <v>300000</v>
      </c>
      <c r="M74" s="1595"/>
    </row>
    <row r="75" spans="1:13" ht="18.75" customHeight="1">
      <c r="A75" s="1586">
        <v>62</v>
      </c>
      <c r="B75" s="1587">
        <v>19</v>
      </c>
      <c r="C75" s="1588"/>
      <c r="D75" s="1588"/>
      <c r="E75" s="625" t="s">
        <v>447</v>
      </c>
      <c r="F75" s="1588" t="s">
        <v>15</v>
      </c>
      <c r="G75" s="1587" t="s">
        <v>536</v>
      </c>
      <c r="H75" s="1587" t="s">
        <v>536</v>
      </c>
      <c r="I75" s="1587" t="s">
        <v>536</v>
      </c>
      <c r="J75" s="1587" t="s">
        <v>536</v>
      </c>
      <c r="K75" s="544">
        <f t="shared" si="2"/>
        <v>4</v>
      </c>
      <c r="L75" s="1594">
        <f t="shared" si="1"/>
        <v>400000</v>
      </c>
      <c r="M75" s="1595"/>
    </row>
    <row r="76" spans="1:13" ht="18.75" customHeight="1">
      <c r="A76" s="1586">
        <v>63</v>
      </c>
      <c r="B76" s="1587">
        <v>20</v>
      </c>
      <c r="C76" s="1588"/>
      <c r="D76" s="1588"/>
      <c r="E76" s="625" t="s">
        <v>448</v>
      </c>
      <c r="F76" s="1588" t="s">
        <v>15</v>
      </c>
      <c r="G76" s="1587" t="s">
        <v>536</v>
      </c>
      <c r="H76" s="1587" t="s">
        <v>536</v>
      </c>
      <c r="I76" s="1587" t="s">
        <v>536</v>
      </c>
      <c r="J76" s="1587" t="s">
        <v>536</v>
      </c>
      <c r="K76" s="544">
        <f t="shared" si="2"/>
        <v>4</v>
      </c>
      <c r="L76" s="1594">
        <f t="shared" si="1"/>
        <v>400000</v>
      </c>
      <c r="M76" s="1595"/>
    </row>
    <row r="77" spans="1:13" ht="18.75" customHeight="1">
      <c r="A77" s="1586">
        <v>64</v>
      </c>
      <c r="B77" s="1587">
        <v>21</v>
      </c>
      <c r="C77" s="1588"/>
      <c r="D77" s="1588"/>
      <c r="E77" s="625" t="s">
        <v>449</v>
      </c>
      <c r="F77" s="1588" t="s">
        <v>15</v>
      </c>
      <c r="G77" s="1587" t="s">
        <v>536</v>
      </c>
      <c r="H77" s="1587" t="s">
        <v>536</v>
      </c>
      <c r="I77" s="1587" t="s">
        <v>536</v>
      </c>
      <c r="J77" s="1587" t="s">
        <v>536</v>
      </c>
      <c r="K77" s="544">
        <f t="shared" si="2"/>
        <v>4</v>
      </c>
      <c r="L77" s="1594">
        <f t="shared" si="1"/>
        <v>400000</v>
      </c>
      <c r="M77" s="1595"/>
    </row>
    <row r="78" spans="1:13" ht="18.75" customHeight="1">
      <c r="A78" s="1586">
        <v>65</v>
      </c>
      <c r="B78" s="1587">
        <v>22</v>
      </c>
      <c r="C78" s="1588"/>
      <c r="D78" s="1588"/>
      <c r="E78" s="625" t="s">
        <v>543</v>
      </c>
      <c r="F78" s="1588" t="s">
        <v>15</v>
      </c>
      <c r="G78" s="1587" t="s">
        <v>536</v>
      </c>
      <c r="H78" s="1587" t="s">
        <v>536</v>
      </c>
      <c r="I78" s="1587" t="s">
        <v>536</v>
      </c>
      <c r="J78" s="1587" t="s">
        <v>536</v>
      </c>
      <c r="K78" s="544">
        <f t="shared" si="2"/>
        <v>4</v>
      </c>
      <c r="L78" s="1594">
        <f t="shared" ref="L78:L111" si="3">K78*100000</f>
        <v>400000</v>
      </c>
      <c r="M78" s="1595"/>
    </row>
    <row r="79" spans="1:13" ht="18.75" customHeight="1">
      <c r="A79" s="1586">
        <v>66</v>
      </c>
      <c r="B79" s="1587">
        <v>23</v>
      </c>
      <c r="C79" s="1588"/>
      <c r="D79" s="1588"/>
      <c r="E79" s="625" t="s">
        <v>451</v>
      </c>
      <c r="F79" s="1588" t="s">
        <v>15</v>
      </c>
      <c r="G79" s="1587" t="s">
        <v>536</v>
      </c>
      <c r="H79" s="1587" t="s">
        <v>536</v>
      </c>
      <c r="I79" s="1587" t="s">
        <v>536</v>
      </c>
      <c r="J79" s="1587" t="s">
        <v>536</v>
      </c>
      <c r="K79" s="544">
        <f t="shared" si="2"/>
        <v>4</v>
      </c>
      <c r="L79" s="1594">
        <f t="shared" si="3"/>
        <v>400000</v>
      </c>
      <c r="M79" s="1595"/>
    </row>
    <row r="80" spans="1:13" ht="18.75" customHeight="1">
      <c r="A80" s="1586">
        <v>67</v>
      </c>
      <c r="B80" s="1587">
        <v>24</v>
      </c>
      <c r="C80" s="1588"/>
      <c r="D80" s="1588"/>
      <c r="E80" s="625" t="s">
        <v>452</v>
      </c>
      <c r="F80" s="1588" t="s">
        <v>15</v>
      </c>
      <c r="G80" s="1587" t="s">
        <v>536</v>
      </c>
      <c r="H80" s="1587" t="s">
        <v>536</v>
      </c>
      <c r="I80" s="1587" t="s">
        <v>536</v>
      </c>
      <c r="J80" s="1587" t="s">
        <v>536</v>
      </c>
      <c r="K80" s="544">
        <f t="shared" si="2"/>
        <v>4</v>
      </c>
      <c r="L80" s="1594">
        <f t="shared" si="3"/>
        <v>400000</v>
      </c>
      <c r="M80" s="1595"/>
    </row>
    <row r="81" spans="1:13" ht="18.75" customHeight="1">
      <c r="A81" s="1586">
        <v>68</v>
      </c>
      <c r="B81" s="1587">
        <v>25</v>
      </c>
      <c r="C81" s="1588"/>
      <c r="D81" s="1588"/>
      <c r="E81" s="625" t="s">
        <v>453</v>
      </c>
      <c r="F81" s="1588" t="s">
        <v>15</v>
      </c>
      <c r="G81" s="1587" t="s">
        <v>536</v>
      </c>
      <c r="H81" s="1587" t="s">
        <v>536</v>
      </c>
      <c r="I81" s="1587" t="s">
        <v>536</v>
      </c>
      <c r="J81" s="1587" t="s">
        <v>536</v>
      </c>
      <c r="K81" s="544">
        <f t="shared" si="2"/>
        <v>4</v>
      </c>
      <c r="L81" s="1594">
        <f t="shared" si="3"/>
        <v>400000</v>
      </c>
      <c r="M81" s="1595"/>
    </row>
    <row r="82" spans="1:13" ht="18.75" customHeight="1">
      <c r="A82" s="1586">
        <v>69</v>
      </c>
      <c r="B82" s="1587">
        <v>26</v>
      </c>
      <c r="C82" s="1588"/>
      <c r="D82" s="1588"/>
      <c r="E82" s="625" t="s">
        <v>544</v>
      </c>
      <c r="F82" s="1588" t="s">
        <v>15</v>
      </c>
      <c r="G82" s="1587" t="s">
        <v>536</v>
      </c>
      <c r="H82" s="1587" t="s">
        <v>536</v>
      </c>
      <c r="I82" s="1587" t="s">
        <v>536</v>
      </c>
      <c r="J82" s="1587"/>
      <c r="K82" s="544">
        <f t="shared" si="2"/>
        <v>3</v>
      </c>
      <c r="L82" s="1594">
        <f t="shared" si="3"/>
        <v>300000</v>
      </c>
      <c r="M82" s="1595"/>
    </row>
    <row r="83" spans="1:13" ht="18.75" customHeight="1">
      <c r="A83" s="1586">
        <v>70</v>
      </c>
      <c r="B83" s="1587">
        <v>27</v>
      </c>
      <c r="C83" s="1588"/>
      <c r="D83" s="1588"/>
      <c r="E83" s="625" t="s">
        <v>455</v>
      </c>
      <c r="F83" s="1588" t="s">
        <v>15</v>
      </c>
      <c r="G83" s="1587" t="s">
        <v>536</v>
      </c>
      <c r="H83" s="1587" t="s">
        <v>536</v>
      </c>
      <c r="I83" s="1587" t="s">
        <v>536</v>
      </c>
      <c r="J83" s="1587" t="s">
        <v>536</v>
      </c>
      <c r="K83" s="544">
        <f t="shared" si="2"/>
        <v>4</v>
      </c>
      <c r="L83" s="1594">
        <f t="shared" si="3"/>
        <v>400000</v>
      </c>
      <c r="M83" s="1595"/>
    </row>
    <row r="84" spans="1:13" ht="18.75" customHeight="1">
      <c r="A84" s="1586">
        <v>71</v>
      </c>
      <c r="B84" s="1587">
        <v>28</v>
      </c>
      <c r="C84" s="1588"/>
      <c r="D84" s="1588"/>
      <c r="E84" s="625" t="s">
        <v>456</v>
      </c>
      <c r="F84" s="1588" t="s">
        <v>15</v>
      </c>
      <c r="G84" s="1587"/>
      <c r="H84" s="1587" t="s">
        <v>536</v>
      </c>
      <c r="I84" s="1587"/>
      <c r="J84" s="1587" t="s">
        <v>536</v>
      </c>
      <c r="K84" s="544">
        <f t="shared" si="2"/>
        <v>2</v>
      </c>
      <c r="L84" s="1594">
        <f t="shared" si="3"/>
        <v>200000</v>
      </c>
      <c r="M84" s="1595"/>
    </row>
    <row r="85" spans="1:13" ht="18.75" customHeight="1">
      <c r="A85" s="1586">
        <v>72</v>
      </c>
      <c r="B85" s="1587">
        <v>29</v>
      </c>
      <c r="C85" s="1588"/>
      <c r="D85" s="1588"/>
      <c r="E85" s="625" t="s">
        <v>545</v>
      </c>
      <c r="F85" s="1588" t="s">
        <v>15</v>
      </c>
      <c r="G85" s="1587"/>
      <c r="H85" s="1587" t="s">
        <v>536</v>
      </c>
      <c r="I85" s="1587" t="s">
        <v>536</v>
      </c>
      <c r="J85" s="1587" t="s">
        <v>536</v>
      </c>
      <c r="K85" s="544">
        <f t="shared" si="2"/>
        <v>3</v>
      </c>
      <c r="L85" s="1594">
        <f t="shared" si="3"/>
        <v>300000</v>
      </c>
      <c r="M85" s="1595"/>
    </row>
    <row r="86" spans="1:13" ht="18.75" customHeight="1">
      <c r="A86" s="1586">
        <v>73</v>
      </c>
      <c r="B86" s="1587">
        <v>30</v>
      </c>
      <c r="C86" s="1588"/>
      <c r="D86" s="1588"/>
      <c r="E86" s="625" t="s">
        <v>458</v>
      </c>
      <c r="F86" s="1588" t="s">
        <v>15</v>
      </c>
      <c r="G86" s="1587" t="s">
        <v>536</v>
      </c>
      <c r="H86" s="1587" t="s">
        <v>536</v>
      </c>
      <c r="I86" s="1587" t="s">
        <v>536</v>
      </c>
      <c r="J86" s="1587" t="s">
        <v>536</v>
      </c>
      <c r="K86" s="544">
        <f t="shared" si="2"/>
        <v>4</v>
      </c>
      <c r="L86" s="1594">
        <f t="shared" si="3"/>
        <v>400000</v>
      </c>
      <c r="M86" s="1595"/>
    </row>
    <row r="87" spans="1:13" ht="18.75" customHeight="1">
      <c r="A87" s="1586">
        <v>74</v>
      </c>
      <c r="B87" s="1587">
        <v>31</v>
      </c>
      <c r="C87" s="1588"/>
      <c r="D87" s="1588"/>
      <c r="E87" s="625" t="s">
        <v>459</v>
      </c>
      <c r="F87" s="1588" t="s">
        <v>15</v>
      </c>
      <c r="G87" s="1587" t="s">
        <v>536</v>
      </c>
      <c r="H87" s="1587" t="s">
        <v>536</v>
      </c>
      <c r="I87" s="1587" t="s">
        <v>536</v>
      </c>
      <c r="J87" s="1587" t="s">
        <v>536</v>
      </c>
      <c r="K87" s="544">
        <f t="shared" si="2"/>
        <v>4</v>
      </c>
      <c r="L87" s="1594">
        <f t="shared" si="3"/>
        <v>400000</v>
      </c>
      <c r="M87" s="1595"/>
    </row>
    <row r="88" spans="1:13" ht="18.75" customHeight="1">
      <c r="A88" s="1586">
        <v>75</v>
      </c>
      <c r="B88" s="1587">
        <v>32</v>
      </c>
      <c r="C88" s="1588"/>
      <c r="D88" s="1588"/>
      <c r="E88" s="625" t="s">
        <v>460</v>
      </c>
      <c r="F88" s="1588" t="s">
        <v>15</v>
      </c>
      <c r="G88" s="1587" t="s">
        <v>536</v>
      </c>
      <c r="H88" s="1587" t="s">
        <v>536</v>
      </c>
      <c r="I88" s="1587" t="s">
        <v>536</v>
      </c>
      <c r="J88" s="1587" t="s">
        <v>536</v>
      </c>
      <c r="K88" s="544">
        <f t="shared" si="2"/>
        <v>4</v>
      </c>
      <c r="L88" s="1594">
        <f t="shared" si="3"/>
        <v>400000</v>
      </c>
      <c r="M88" s="1595"/>
    </row>
    <row r="89" spans="1:13" ht="18.75" customHeight="1">
      <c r="A89" s="1586">
        <v>76</v>
      </c>
      <c r="B89" s="1587">
        <v>33</v>
      </c>
      <c r="C89" s="1588"/>
      <c r="D89" s="1588"/>
      <c r="E89" s="625" t="s">
        <v>461</v>
      </c>
      <c r="F89" s="1588" t="s">
        <v>15</v>
      </c>
      <c r="G89" s="1587" t="s">
        <v>536</v>
      </c>
      <c r="H89" s="1587" t="s">
        <v>536</v>
      </c>
      <c r="I89" s="1587" t="s">
        <v>536</v>
      </c>
      <c r="J89" s="1587" t="s">
        <v>536</v>
      </c>
      <c r="K89" s="544">
        <f t="shared" si="2"/>
        <v>4</v>
      </c>
      <c r="L89" s="1594">
        <f t="shared" si="3"/>
        <v>400000</v>
      </c>
      <c r="M89" s="1595"/>
    </row>
    <row r="90" spans="1:13" ht="18.75" customHeight="1">
      <c r="A90" s="1586">
        <v>77</v>
      </c>
      <c r="B90" s="1587">
        <v>34</v>
      </c>
      <c r="C90" s="1588"/>
      <c r="D90" s="1588"/>
      <c r="E90" s="625" t="s">
        <v>546</v>
      </c>
      <c r="F90" s="1588" t="s">
        <v>15</v>
      </c>
      <c r="G90" s="1587" t="s">
        <v>536</v>
      </c>
      <c r="H90" s="1587" t="s">
        <v>536</v>
      </c>
      <c r="I90" s="1587" t="s">
        <v>536</v>
      </c>
      <c r="J90" s="1587" t="s">
        <v>536</v>
      </c>
      <c r="K90" s="544">
        <f t="shared" si="2"/>
        <v>4</v>
      </c>
      <c r="L90" s="1594">
        <f t="shared" si="3"/>
        <v>400000</v>
      </c>
      <c r="M90" s="1595"/>
    </row>
    <row r="91" spans="1:13" ht="18.75" customHeight="1">
      <c r="A91" s="1586">
        <v>78</v>
      </c>
      <c r="B91" s="1587">
        <v>35</v>
      </c>
      <c r="C91" s="1588"/>
      <c r="D91" s="1588"/>
      <c r="E91" s="625" t="s">
        <v>463</v>
      </c>
      <c r="F91" s="1588" t="s">
        <v>15</v>
      </c>
      <c r="G91" s="1587" t="s">
        <v>536</v>
      </c>
      <c r="H91" s="1587" t="s">
        <v>536</v>
      </c>
      <c r="I91" s="1587" t="s">
        <v>536</v>
      </c>
      <c r="J91" s="1587"/>
      <c r="K91" s="544">
        <f t="shared" si="2"/>
        <v>3</v>
      </c>
      <c r="L91" s="1594">
        <f t="shared" si="3"/>
        <v>300000</v>
      </c>
      <c r="M91" s="1595"/>
    </row>
    <row r="92" spans="1:13" ht="18.75" customHeight="1">
      <c r="A92" s="1586">
        <v>79</v>
      </c>
      <c r="B92" s="1587">
        <v>36</v>
      </c>
      <c r="C92" s="1588"/>
      <c r="D92" s="1588"/>
      <c r="E92" s="625" t="s">
        <v>547</v>
      </c>
      <c r="F92" s="1588" t="s">
        <v>15</v>
      </c>
      <c r="G92" s="1587" t="s">
        <v>536</v>
      </c>
      <c r="H92" s="1587" t="s">
        <v>536</v>
      </c>
      <c r="I92" s="1587" t="s">
        <v>536</v>
      </c>
      <c r="J92" s="1587" t="s">
        <v>536</v>
      </c>
      <c r="K92" s="544">
        <f t="shared" si="2"/>
        <v>4</v>
      </c>
      <c r="L92" s="1594">
        <f t="shared" si="3"/>
        <v>400000</v>
      </c>
      <c r="M92" s="1595"/>
    </row>
    <row r="93" spans="1:13" ht="18.75" customHeight="1">
      <c r="A93" s="1586">
        <v>80</v>
      </c>
      <c r="B93" s="1587">
        <v>37</v>
      </c>
      <c r="C93" s="1588"/>
      <c r="D93" s="1588"/>
      <c r="E93" s="625" t="s">
        <v>465</v>
      </c>
      <c r="F93" s="1588" t="s">
        <v>15</v>
      </c>
      <c r="G93" s="1587" t="s">
        <v>536</v>
      </c>
      <c r="H93" s="1587" t="s">
        <v>536</v>
      </c>
      <c r="I93" s="1587" t="s">
        <v>536</v>
      </c>
      <c r="J93" s="1587" t="s">
        <v>536</v>
      </c>
      <c r="K93" s="544">
        <f t="shared" si="2"/>
        <v>4</v>
      </c>
      <c r="L93" s="1594">
        <f t="shared" si="3"/>
        <v>400000</v>
      </c>
      <c r="M93" s="1595"/>
    </row>
    <row r="94" spans="1:13" ht="18.75" customHeight="1">
      <c r="A94" s="1586">
        <v>81</v>
      </c>
      <c r="B94" s="1587">
        <v>38</v>
      </c>
      <c r="C94" s="1588"/>
      <c r="D94" s="1588"/>
      <c r="E94" s="625" t="s">
        <v>466</v>
      </c>
      <c r="F94" s="1588" t="s">
        <v>15</v>
      </c>
      <c r="G94" s="1587" t="s">
        <v>536</v>
      </c>
      <c r="H94" s="1587" t="s">
        <v>536</v>
      </c>
      <c r="I94" s="1587" t="s">
        <v>536</v>
      </c>
      <c r="J94" s="1587" t="s">
        <v>536</v>
      </c>
      <c r="K94" s="544">
        <f t="shared" si="2"/>
        <v>4</v>
      </c>
      <c r="L94" s="1594">
        <f t="shared" si="3"/>
        <v>400000</v>
      </c>
      <c r="M94" s="1595"/>
    </row>
    <row r="95" spans="1:13" ht="18.75" customHeight="1">
      <c r="A95" s="1586">
        <v>82</v>
      </c>
      <c r="B95" s="1587">
        <v>39</v>
      </c>
      <c r="C95" s="1588"/>
      <c r="D95" s="1588"/>
      <c r="E95" s="625" t="s">
        <v>548</v>
      </c>
      <c r="F95" s="1588" t="s">
        <v>15</v>
      </c>
      <c r="G95" s="1587" t="s">
        <v>536</v>
      </c>
      <c r="H95" s="1587" t="s">
        <v>536</v>
      </c>
      <c r="I95" s="1587" t="s">
        <v>536</v>
      </c>
      <c r="J95" s="1587" t="s">
        <v>536</v>
      </c>
      <c r="K95" s="544">
        <f t="shared" si="2"/>
        <v>4</v>
      </c>
      <c r="L95" s="1594">
        <f t="shared" si="3"/>
        <v>400000</v>
      </c>
      <c r="M95" s="1595"/>
    </row>
    <row r="96" spans="1:13" ht="18.75" customHeight="1">
      <c r="A96" s="1586">
        <v>83</v>
      </c>
      <c r="B96" s="1587">
        <v>40</v>
      </c>
      <c r="C96" s="1588"/>
      <c r="D96" s="1588"/>
      <c r="E96" s="625" t="s">
        <v>468</v>
      </c>
      <c r="F96" s="1588" t="s">
        <v>15</v>
      </c>
      <c r="G96" s="1587" t="s">
        <v>536</v>
      </c>
      <c r="H96" s="1587" t="s">
        <v>536</v>
      </c>
      <c r="I96" s="1587" t="s">
        <v>536</v>
      </c>
      <c r="J96" s="1587" t="s">
        <v>536</v>
      </c>
      <c r="K96" s="544">
        <f t="shared" si="2"/>
        <v>4</v>
      </c>
      <c r="L96" s="1594">
        <f t="shared" si="3"/>
        <v>400000</v>
      </c>
      <c r="M96" s="1595"/>
    </row>
    <row r="97" spans="1:21" ht="18.75" customHeight="1">
      <c r="A97" s="1586">
        <v>84</v>
      </c>
      <c r="B97" s="1587">
        <v>41</v>
      </c>
      <c r="C97" s="1588"/>
      <c r="D97" s="1588"/>
      <c r="E97" s="625" t="s">
        <v>469</v>
      </c>
      <c r="F97" s="1588" t="s">
        <v>15</v>
      </c>
      <c r="G97" s="1587" t="s">
        <v>536</v>
      </c>
      <c r="H97" s="1587" t="s">
        <v>536</v>
      </c>
      <c r="I97" s="1587" t="s">
        <v>536</v>
      </c>
      <c r="J97" s="1587" t="s">
        <v>536</v>
      </c>
      <c r="K97" s="544">
        <f t="shared" si="2"/>
        <v>4</v>
      </c>
      <c r="L97" s="1594">
        <f t="shared" si="3"/>
        <v>400000</v>
      </c>
      <c r="M97" s="1595"/>
    </row>
    <row r="98" spans="1:21" ht="18.75" customHeight="1">
      <c r="A98" s="1586">
        <v>85</v>
      </c>
      <c r="B98" s="1587">
        <v>42</v>
      </c>
      <c r="C98" s="1588"/>
      <c r="D98" s="1588"/>
      <c r="E98" s="625" t="s">
        <v>470</v>
      </c>
      <c r="F98" s="1588" t="s">
        <v>15</v>
      </c>
      <c r="G98" s="1587" t="s">
        <v>536</v>
      </c>
      <c r="H98" s="1587" t="s">
        <v>536</v>
      </c>
      <c r="I98" s="1587" t="s">
        <v>536</v>
      </c>
      <c r="J98" s="1587" t="s">
        <v>536</v>
      </c>
      <c r="K98" s="544">
        <f t="shared" si="2"/>
        <v>4</v>
      </c>
      <c r="L98" s="1594">
        <f t="shared" si="3"/>
        <v>400000</v>
      </c>
      <c r="M98" s="1595"/>
    </row>
    <row r="99" spans="1:21" ht="18.75" customHeight="1">
      <c r="A99" s="1586">
        <v>86</v>
      </c>
      <c r="B99" s="1587">
        <v>43</v>
      </c>
      <c r="C99" s="1588"/>
      <c r="D99" s="1588"/>
      <c r="E99" s="625" t="s">
        <v>549</v>
      </c>
      <c r="F99" s="1588" t="s">
        <v>15</v>
      </c>
      <c r="G99" s="1587" t="s">
        <v>536</v>
      </c>
      <c r="H99" s="1587" t="s">
        <v>536</v>
      </c>
      <c r="I99" s="1587" t="s">
        <v>536</v>
      </c>
      <c r="J99" s="1587" t="s">
        <v>536</v>
      </c>
      <c r="K99" s="544">
        <f t="shared" si="2"/>
        <v>4</v>
      </c>
      <c r="L99" s="1594">
        <f t="shared" si="3"/>
        <v>400000</v>
      </c>
      <c r="M99" s="1595"/>
    </row>
    <row r="100" spans="1:21" ht="18.75" customHeight="1">
      <c r="A100" s="1586">
        <v>87</v>
      </c>
      <c r="B100" s="1587">
        <v>44</v>
      </c>
      <c r="C100" s="1588"/>
      <c r="D100" s="1588"/>
      <c r="E100" s="625" t="s">
        <v>472</v>
      </c>
      <c r="F100" s="1588" t="s">
        <v>15</v>
      </c>
      <c r="G100" s="1587" t="s">
        <v>536</v>
      </c>
      <c r="H100" s="1587" t="s">
        <v>536</v>
      </c>
      <c r="I100" s="1587" t="s">
        <v>536</v>
      </c>
      <c r="J100" s="1587" t="s">
        <v>536</v>
      </c>
      <c r="K100" s="544">
        <f t="shared" si="2"/>
        <v>4</v>
      </c>
      <c r="L100" s="1594">
        <f t="shared" si="3"/>
        <v>400000</v>
      </c>
      <c r="M100" s="1595"/>
    </row>
    <row r="101" spans="1:21" ht="18.75" customHeight="1">
      <c r="A101" s="1586">
        <v>88</v>
      </c>
      <c r="B101" s="1587">
        <v>45</v>
      </c>
      <c r="C101" s="1588"/>
      <c r="D101" s="1588"/>
      <c r="E101" s="625" t="s">
        <v>473</v>
      </c>
      <c r="F101" s="1588" t="s">
        <v>15</v>
      </c>
      <c r="G101" s="1587" t="s">
        <v>536</v>
      </c>
      <c r="H101" s="1587" t="s">
        <v>536</v>
      </c>
      <c r="I101" s="1587" t="s">
        <v>536</v>
      </c>
      <c r="J101" s="1587" t="s">
        <v>536</v>
      </c>
      <c r="K101" s="544">
        <f t="shared" si="2"/>
        <v>4</v>
      </c>
      <c r="L101" s="1594">
        <f t="shared" si="3"/>
        <v>400000</v>
      </c>
      <c r="M101" s="1595"/>
      <c r="U101" s="1596"/>
    </row>
    <row r="102" spans="1:21" ht="18.75" customHeight="1">
      <c r="A102" s="1586">
        <v>89</v>
      </c>
      <c r="B102" s="1587">
        <v>46</v>
      </c>
      <c r="C102" s="1588"/>
      <c r="D102" s="1588"/>
      <c r="E102" s="625" t="s">
        <v>550</v>
      </c>
      <c r="F102" s="1588" t="s">
        <v>15</v>
      </c>
      <c r="G102" s="1587" t="s">
        <v>536</v>
      </c>
      <c r="H102" s="1587" t="s">
        <v>536</v>
      </c>
      <c r="I102" s="1587" t="s">
        <v>536</v>
      </c>
      <c r="J102" s="1587" t="s">
        <v>536</v>
      </c>
      <c r="K102" s="544">
        <f t="shared" si="2"/>
        <v>4</v>
      </c>
      <c r="L102" s="1594">
        <f t="shared" si="3"/>
        <v>400000</v>
      </c>
      <c r="M102" s="1595"/>
    </row>
    <row r="103" spans="1:21" ht="18.75" customHeight="1">
      <c r="A103" s="1586">
        <v>90</v>
      </c>
      <c r="B103" s="1587">
        <v>47</v>
      </c>
      <c r="C103" s="1588"/>
      <c r="D103" s="1588"/>
      <c r="E103" s="625" t="s">
        <v>475</v>
      </c>
      <c r="F103" s="1588" t="s">
        <v>15</v>
      </c>
      <c r="G103" s="1587" t="s">
        <v>536</v>
      </c>
      <c r="H103" s="1587" t="s">
        <v>536</v>
      </c>
      <c r="I103" s="1587" t="s">
        <v>536</v>
      </c>
      <c r="J103" s="1587" t="s">
        <v>536</v>
      </c>
      <c r="K103" s="544">
        <f t="shared" si="2"/>
        <v>4</v>
      </c>
      <c r="L103" s="1594">
        <f t="shared" si="3"/>
        <v>400000</v>
      </c>
      <c r="M103" s="1595"/>
    </row>
    <row r="104" spans="1:21" ht="18.75" customHeight="1">
      <c r="A104" s="1586">
        <v>91</v>
      </c>
      <c r="B104" s="1587">
        <v>48</v>
      </c>
      <c r="C104" s="1588"/>
      <c r="D104" s="1588"/>
      <c r="E104" s="625" t="s">
        <v>551</v>
      </c>
      <c r="F104" s="1588" t="s">
        <v>15</v>
      </c>
      <c r="G104" s="1587" t="s">
        <v>536</v>
      </c>
      <c r="H104" s="1587" t="s">
        <v>536</v>
      </c>
      <c r="I104" s="1587" t="s">
        <v>536</v>
      </c>
      <c r="J104" s="1587" t="s">
        <v>536</v>
      </c>
      <c r="K104" s="544">
        <f t="shared" si="2"/>
        <v>4</v>
      </c>
      <c r="L104" s="1594">
        <f t="shared" si="3"/>
        <v>400000</v>
      </c>
      <c r="M104" s="1595"/>
    </row>
    <row r="105" spans="1:21" ht="18.75" customHeight="1">
      <c r="A105" s="1586">
        <v>92</v>
      </c>
      <c r="B105" s="1587">
        <v>49</v>
      </c>
      <c r="C105" s="1588"/>
      <c r="D105" s="1588"/>
      <c r="E105" s="625" t="s">
        <v>477</v>
      </c>
      <c r="F105" s="1588" t="s">
        <v>15</v>
      </c>
      <c r="G105" s="1587" t="s">
        <v>536</v>
      </c>
      <c r="H105" s="1587" t="s">
        <v>536</v>
      </c>
      <c r="I105" s="1587" t="s">
        <v>536</v>
      </c>
      <c r="J105" s="1587" t="s">
        <v>536</v>
      </c>
      <c r="K105" s="544">
        <f t="shared" si="2"/>
        <v>4</v>
      </c>
      <c r="L105" s="1594">
        <f t="shared" si="3"/>
        <v>400000</v>
      </c>
      <c r="M105" s="1595"/>
    </row>
    <row r="106" spans="1:21" ht="18.75" customHeight="1">
      <c r="A106" s="1586">
        <v>93</v>
      </c>
      <c r="B106" s="1587">
        <v>50</v>
      </c>
      <c r="C106" s="1588"/>
      <c r="D106" s="1588"/>
      <c r="E106" s="625" t="s">
        <v>552</v>
      </c>
      <c r="F106" s="1588" t="s">
        <v>15</v>
      </c>
      <c r="G106" s="1587" t="s">
        <v>536</v>
      </c>
      <c r="H106" s="1587" t="s">
        <v>536</v>
      </c>
      <c r="I106" s="1587" t="s">
        <v>536</v>
      </c>
      <c r="J106" s="1587" t="s">
        <v>536</v>
      </c>
      <c r="K106" s="544">
        <f t="shared" si="2"/>
        <v>4</v>
      </c>
      <c r="L106" s="1594">
        <f t="shared" si="3"/>
        <v>400000</v>
      </c>
      <c r="M106" s="1595"/>
    </row>
    <row r="107" spans="1:21" ht="18.75" customHeight="1">
      <c r="A107" s="1586">
        <v>94</v>
      </c>
      <c r="B107" s="1587">
        <v>51</v>
      </c>
      <c r="C107" s="1588"/>
      <c r="D107" s="1588"/>
      <c r="E107" s="625" t="s">
        <v>479</v>
      </c>
      <c r="F107" s="1588" t="s">
        <v>15</v>
      </c>
      <c r="G107" s="1587" t="s">
        <v>536</v>
      </c>
      <c r="H107" s="1587" t="s">
        <v>536</v>
      </c>
      <c r="I107" s="1587" t="s">
        <v>536</v>
      </c>
      <c r="J107" s="1587" t="s">
        <v>536</v>
      </c>
      <c r="K107" s="544">
        <f t="shared" si="2"/>
        <v>4</v>
      </c>
      <c r="L107" s="1594">
        <f t="shared" si="3"/>
        <v>400000</v>
      </c>
      <c r="M107" s="1595"/>
    </row>
    <row r="108" spans="1:21" ht="18.75" customHeight="1">
      <c r="A108" s="1586">
        <v>95</v>
      </c>
      <c r="B108" s="1587">
        <v>52</v>
      </c>
      <c r="C108" s="1588"/>
      <c r="D108" s="1588"/>
      <c r="E108" s="625" t="s">
        <v>480</v>
      </c>
      <c r="F108" s="1588" t="s">
        <v>15</v>
      </c>
      <c r="G108" s="1587" t="s">
        <v>536</v>
      </c>
      <c r="H108" s="1587" t="s">
        <v>536</v>
      </c>
      <c r="I108" s="1587" t="s">
        <v>536</v>
      </c>
      <c r="J108" s="1587" t="s">
        <v>536</v>
      </c>
      <c r="K108" s="544">
        <f t="shared" si="2"/>
        <v>4</v>
      </c>
      <c r="L108" s="1594">
        <f t="shared" si="3"/>
        <v>400000</v>
      </c>
      <c r="M108" s="1595"/>
    </row>
    <row r="109" spans="1:21" ht="18.75" customHeight="1">
      <c r="A109" s="1586">
        <v>96</v>
      </c>
      <c r="B109" s="1587">
        <v>53</v>
      </c>
      <c r="C109" s="1588"/>
      <c r="D109" s="1588"/>
      <c r="E109" s="625" t="s">
        <v>481</v>
      </c>
      <c r="F109" s="1588" t="s">
        <v>15</v>
      </c>
      <c r="G109" s="1587" t="s">
        <v>536</v>
      </c>
      <c r="H109" s="1587"/>
      <c r="I109" s="1587"/>
      <c r="J109" s="1587" t="s">
        <v>536</v>
      </c>
      <c r="K109" s="544">
        <f t="shared" si="2"/>
        <v>2</v>
      </c>
      <c r="L109" s="1594">
        <f t="shared" si="3"/>
        <v>200000</v>
      </c>
      <c r="M109" s="1595"/>
    </row>
    <row r="110" spans="1:21" ht="18.75" customHeight="1">
      <c r="A110" s="1586">
        <v>97</v>
      </c>
      <c r="B110" s="1587">
        <v>54</v>
      </c>
      <c r="C110" s="1588"/>
      <c r="D110" s="1588"/>
      <c r="E110" s="625" t="s">
        <v>553</v>
      </c>
      <c r="F110" s="1588" t="s">
        <v>15</v>
      </c>
      <c r="G110" s="1587" t="s">
        <v>536</v>
      </c>
      <c r="H110" s="1587" t="s">
        <v>536</v>
      </c>
      <c r="I110" s="1587" t="s">
        <v>536</v>
      </c>
      <c r="J110" s="1587" t="s">
        <v>536</v>
      </c>
      <c r="K110" s="544">
        <f t="shared" si="2"/>
        <v>4</v>
      </c>
      <c r="L110" s="1594">
        <f t="shared" si="3"/>
        <v>400000</v>
      </c>
      <c r="M110" s="1595"/>
    </row>
    <row r="111" spans="1:21" ht="18.75" customHeight="1">
      <c r="A111" s="1586">
        <v>98</v>
      </c>
      <c r="B111" s="1587">
        <v>55</v>
      </c>
      <c r="C111" s="1588"/>
      <c r="D111" s="1588"/>
      <c r="E111" s="625" t="s">
        <v>483</v>
      </c>
      <c r="F111" s="1588" t="s">
        <v>15</v>
      </c>
      <c r="G111" s="1587" t="s">
        <v>536</v>
      </c>
      <c r="H111" s="1587" t="s">
        <v>536</v>
      </c>
      <c r="I111" s="1587" t="s">
        <v>536</v>
      </c>
      <c r="J111" s="1587" t="s">
        <v>536</v>
      </c>
      <c r="K111" s="544">
        <f t="shared" si="2"/>
        <v>4</v>
      </c>
      <c r="L111" s="1594">
        <f t="shared" si="3"/>
        <v>400000</v>
      </c>
      <c r="M111" s="1595"/>
    </row>
    <row r="112" spans="1:21" ht="18.75" customHeight="1">
      <c r="A112" s="2260" t="s">
        <v>73</v>
      </c>
      <c r="B112" s="2261"/>
      <c r="C112" s="2261"/>
      <c r="D112" s="2261"/>
      <c r="E112" s="2261"/>
      <c r="F112" s="2262"/>
      <c r="G112" s="544">
        <f>COUNTIF(G113:G205,"X")</f>
        <v>86</v>
      </c>
      <c r="H112" s="544">
        <f>COUNTIF(H113:H205,"X")</f>
        <v>81</v>
      </c>
      <c r="I112" s="544">
        <f>COUNTIF(I113:I205,"X")</f>
        <v>63</v>
      </c>
      <c r="J112" s="544">
        <f>COUNTIF(J113:J205,"X")</f>
        <v>65</v>
      </c>
      <c r="K112" s="544">
        <f>SUM(K113:K205)</f>
        <v>295</v>
      </c>
      <c r="L112" s="1593">
        <f>SUM(L113:L205)</f>
        <v>29500000</v>
      </c>
      <c r="M112" s="1593"/>
      <c r="O112" s="987">
        <f>+G112+G206+G218</f>
        <v>104</v>
      </c>
      <c r="P112" s="987">
        <f t="shared" ref="P112:R112" si="4">+H112+H206+H218</f>
        <v>99</v>
      </c>
      <c r="Q112" s="987">
        <f t="shared" si="4"/>
        <v>76</v>
      </c>
      <c r="R112" s="987">
        <f t="shared" si="4"/>
        <v>83</v>
      </c>
    </row>
    <row r="113" spans="1:18" ht="18.75" customHeight="1">
      <c r="A113" s="1586">
        <v>99</v>
      </c>
      <c r="B113" s="1587">
        <v>1</v>
      </c>
      <c r="C113" s="1588"/>
      <c r="D113" s="1588"/>
      <c r="E113" s="625" t="s">
        <v>14</v>
      </c>
      <c r="F113" s="1588" t="s">
        <v>15</v>
      </c>
      <c r="G113" s="1587" t="s">
        <v>536</v>
      </c>
      <c r="H113" s="1587"/>
      <c r="I113" s="1587"/>
      <c r="J113" s="1587" t="s">
        <v>536</v>
      </c>
      <c r="K113" s="544">
        <f t="shared" ref="K113:K176" si="5">COUNTIF(G113:J113,"X")</f>
        <v>2</v>
      </c>
      <c r="L113" s="1594">
        <f t="shared" ref="L113:L176" si="6">K113*100000</f>
        <v>200000</v>
      </c>
      <c r="M113" s="1595"/>
      <c r="O113" s="987">
        <v>0</v>
      </c>
      <c r="R113" s="987">
        <f>111-33</f>
        <v>78</v>
      </c>
    </row>
    <row r="114" spans="1:18" ht="18.75" customHeight="1">
      <c r="A114" s="1586">
        <v>100</v>
      </c>
      <c r="B114" s="1587">
        <v>2</v>
      </c>
      <c r="C114" s="1588"/>
      <c r="D114" s="1588"/>
      <c r="E114" s="625" t="s">
        <v>16</v>
      </c>
      <c r="F114" s="1588" t="s">
        <v>15</v>
      </c>
      <c r="G114" s="1587" t="s">
        <v>536</v>
      </c>
      <c r="H114" s="1587" t="s">
        <v>536</v>
      </c>
      <c r="I114" s="1587" t="s">
        <v>536</v>
      </c>
      <c r="J114" s="1587" t="s">
        <v>536</v>
      </c>
      <c r="K114" s="544">
        <f t="shared" si="5"/>
        <v>4</v>
      </c>
      <c r="L114" s="1594">
        <f t="shared" si="6"/>
        <v>400000</v>
      </c>
      <c r="M114" s="1595"/>
      <c r="N114" s="987" t="s">
        <v>554</v>
      </c>
      <c r="O114" s="987">
        <v>72</v>
      </c>
      <c r="R114" s="987">
        <f>111-24</f>
        <v>87</v>
      </c>
    </row>
    <row r="115" spans="1:18" ht="18.75" customHeight="1">
      <c r="A115" s="1586">
        <v>101</v>
      </c>
      <c r="B115" s="1587">
        <v>3</v>
      </c>
      <c r="C115" s="1588"/>
      <c r="D115" s="1588"/>
      <c r="E115" s="625" t="s">
        <v>555</v>
      </c>
      <c r="F115" s="1588" t="s">
        <v>15</v>
      </c>
      <c r="G115" s="1587" t="s">
        <v>536</v>
      </c>
      <c r="H115" s="1587" t="s">
        <v>536</v>
      </c>
      <c r="I115" s="1587" t="s">
        <v>536</v>
      </c>
      <c r="J115" s="1587" t="s">
        <v>536</v>
      </c>
      <c r="K115" s="544">
        <f t="shared" si="5"/>
        <v>4</v>
      </c>
      <c r="L115" s="1594">
        <f t="shared" si="6"/>
        <v>400000</v>
      </c>
      <c r="M115" s="1595"/>
      <c r="N115" s="987" t="s">
        <v>554</v>
      </c>
      <c r="O115" s="987">
        <v>45</v>
      </c>
      <c r="R115" s="987">
        <f>111-24</f>
        <v>87</v>
      </c>
    </row>
    <row r="116" spans="1:18" ht="18.75" customHeight="1">
      <c r="A116" s="1586">
        <v>102</v>
      </c>
      <c r="B116" s="1587">
        <v>4</v>
      </c>
      <c r="C116" s="1588"/>
      <c r="D116" s="1588"/>
      <c r="E116" s="625" t="s">
        <v>18</v>
      </c>
      <c r="F116" s="1588" t="s">
        <v>15</v>
      </c>
      <c r="G116" s="1587" t="s">
        <v>536</v>
      </c>
      <c r="H116" s="1587" t="s">
        <v>536</v>
      </c>
      <c r="I116" s="1587" t="s">
        <v>536</v>
      </c>
      <c r="J116" s="1587" t="s">
        <v>536</v>
      </c>
      <c r="K116" s="544">
        <f t="shared" si="5"/>
        <v>4</v>
      </c>
      <c r="L116" s="1594">
        <f t="shared" si="6"/>
        <v>400000</v>
      </c>
      <c r="M116" s="1595"/>
      <c r="N116" s="987" t="s">
        <v>554</v>
      </c>
      <c r="O116" s="987">
        <v>45</v>
      </c>
    </row>
    <row r="117" spans="1:18" ht="18.75" customHeight="1">
      <c r="A117" s="1586">
        <v>103</v>
      </c>
      <c r="B117" s="1587">
        <v>5</v>
      </c>
      <c r="C117" s="1588"/>
      <c r="D117" s="1588"/>
      <c r="E117" s="625" t="s">
        <v>556</v>
      </c>
      <c r="F117" s="1588" t="s">
        <v>15</v>
      </c>
      <c r="G117" s="1587" t="s">
        <v>536</v>
      </c>
      <c r="H117" s="1587" t="s">
        <v>536</v>
      </c>
      <c r="I117" s="1587" t="s">
        <v>536</v>
      </c>
      <c r="J117" s="1587" t="s">
        <v>536</v>
      </c>
      <c r="K117" s="544">
        <f t="shared" si="5"/>
        <v>4</v>
      </c>
      <c r="L117" s="1594">
        <f t="shared" si="6"/>
        <v>400000</v>
      </c>
      <c r="M117" s="1595"/>
      <c r="N117" s="987" t="s">
        <v>554</v>
      </c>
      <c r="O117" s="987">
        <v>40</v>
      </c>
    </row>
    <row r="118" spans="1:18" ht="18.75" customHeight="1">
      <c r="A118" s="1586">
        <v>104</v>
      </c>
      <c r="B118" s="1587">
        <v>6</v>
      </c>
      <c r="C118" s="1588"/>
      <c r="D118" s="1588"/>
      <c r="E118" s="625" t="s">
        <v>557</v>
      </c>
      <c r="F118" s="1588" t="s">
        <v>15</v>
      </c>
      <c r="G118" s="1587" t="s">
        <v>536</v>
      </c>
      <c r="H118" s="1587" t="s">
        <v>536</v>
      </c>
      <c r="I118" s="1587"/>
      <c r="J118" s="1587"/>
      <c r="K118" s="544">
        <f t="shared" si="5"/>
        <v>2</v>
      </c>
      <c r="L118" s="1594">
        <f t="shared" si="6"/>
        <v>200000</v>
      </c>
      <c r="M118" s="1595"/>
      <c r="N118" s="987" t="s">
        <v>554</v>
      </c>
      <c r="O118" s="987">
        <v>84</v>
      </c>
    </row>
    <row r="119" spans="1:18" ht="18.75" customHeight="1">
      <c r="A119" s="1586">
        <v>105</v>
      </c>
      <c r="B119" s="1587">
        <v>7</v>
      </c>
      <c r="C119" s="1588"/>
      <c r="D119" s="1588"/>
      <c r="E119" s="625" t="s">
        <v>21</v>
      </c>
      <c r="F119" s="1588" t="s">
        <v>15</v>
      </c>
      <c r="G119" s="1587" t="s">
        <v>536</v>
      </c>
      <c r="H119" s="1587" t="s">
        <v>536</v>
      </c>
      <c r="I119" s="1587" t="s">
        <v>536</v>
      </c>
      <c r="J119" s="1587" t="s">
        <v>536</v>
      </c>
      <c r="K119" s="544">
        <f t="shared" si="5"/>
        <v>4</v>
      </c>
      <c r="L119" s="1594">
        <f t="shared" si="6"/>
        <v>400000</v>
      </c>
      <c r="M119" s="1595"/>
      <c r="N119" s="987" t="s">
        <v>554</v>
      </c>
      <c r="O119" s="987">
        <v>52</v>
      </c>
    </row>
    <row r="120" spans="1:18" ht="18.75" customHeight="1">
      <c r="A120" s="1586">
        <v>106</v>
      </c>
      <c r="B120" s="1587">
        <v>8</v>
      </c>
      <c r="C120" s="1588"/>
      <c r="D120" s="1588"/>
      <c r="E120" s="625" t="s">
        <v>22</v>
      </c>
      <c r="F120" s="1588" t="s">
        <v>15</v>
      </c>
      <c r="G120" s="1587" t="s">
        <v>536</v>
      </c>
      <c r="H120" s="1587" t="s">
        <v>536</v>
      </c>
      <c r="I120" s="1587" t="s">
        <v>536</v>
      </c>
      <c r="J120" s="1587" t="s">
        <v>536</v>
      </c>
      <c r="K120" s="544">
        <f t="shared" si="5"/>
        <v>4</v>
      </c>
      <c r="L120" s="1594">
        <f t="shared" si="6"/>
        <v>400000</v>
      </c>
      <c r="M120" s="1595"/>
      <c r="N120" s="987" t="s">
        <v>554</v>
      </c>
      <c r="O120" s="987">
        <v>58</v>
      </c>
    </row>
    <row r="121" spans="1:18" ht="18.75" customHeight="1">
      <c r="A121" s="1586">
        <v>107</v>
      </c>
      <c r="B121" s="1587">
        <v>9</v>
      </c>
      <c r="C121" s="1588"/>
      <c r="D121" s="1588"/>
      <c r="E121" s="625" t="s">
        <v>23</v>
      </c>
      <c r="F121" s="1588" t="s">
        <v>15</v>
      </c>
      <c r="G121" s="1587" t="s">
        <v>536</v>
      </c>
      <c r="H121" s="1587" t="s">
        <v>536</v>
      </c>
      <c r="I121" s="1587" t="s">
        <v>536</v>
      </c>
      <c r="J121" s="1587" t="s">
        <v>536</v>
      </c>
      <c r="K121" s="544">
        <f t="shared" si="5"/>
        <v>4</v>
      </c>
      <c r="L121" s="1594">
        <f t="shared" si="6"/>
        <v>400000</v>
      </c>
      <c r="M121" s="1595"/>
      <c r="N121" s="987" t="s">
        <v>554</v>
      </c>
      <c r="O121" s="987">
        <v>62</v>
      </c>
    </row>
    <row r="122" spans="1:18" ht="18.75" customHeight="1">
      <c r="A122" s="1586">
        <v>108</v>
      </c>
      <c r="B122" s="1587">
        <v>10</v>
      </c>
      <c r="C122" s="1588"/>
      <c r="D122" s="1588"/>
      <c r="E122" s="625" t="s">
        <v>24</v>
      </c>
      <c r="F122" s="1588" t="s">
        <v>15</v>
      </c>
      <c r="G122" s="1587" t="s">
        <v>536</v>
      </c>
      <c r="H122" s="1587"/>
      <c r="I122" s="1587"/>
      <c r="J122" s="1587"/>
      <c r="K122" s="544">
        <f t="shared" si="5"/>
        <v>1</v>
      </c>
      <c r="L122" s="1594">
        <f t="shared" si="6"/>
        <v>100000</v>
      </c>
      <c r="M122" s="1595"/>
      <c r="O122" s="987">
        <v>0</v>
      </c>
    </row>
    <row r="123" spans="1:18" ht="18.75" customHeight="1">
      <c r="A123" s="1586">
        <v>109</v>
      </c>
      <c r="B123" s="1587">
        <v>11</v>
      </c>
      <c r="C123" s="1588"/>
      <c r="D123" s="1588"/>
      <c r="E123" s="625" t="s">
        <v>25</v>
      </c>
      <c r="F123" s="1588" t="s">
        <v>15</v>
      </c>
      <c r="G123" s="1587" t="s">
        <v>536</v>
      </c>
      <c r="H123" s="1587" t="s">
        <v>536</v>
      </c>
      <c r="I123" s="1587" t="s">
        <v>536</v>
      </c>
      <c r="J123" s="1587"/>
      <c r="K123" s="544">
        <f t="shared" si="5"/>
        <v>3</v>
      </c>
      <c r="L123" s="1594">
        <f t="shared" si="6"/>
        <v>300000</v>
      </c>
      <c r="M123" s="1595"/>
      <c r="N123" s="987" t="s">
        <v>554</v>
      </c>
      <c r="O123" s="987">
        <v>67</v>
      </c>
    </row>
    <row r="124" spans="1:18" ht="18.75" customHeight="1">
      <c r="A124" s="1586">
        <v>110</v>
      </c>
      <c r="B124" s="1587">
        <v>12</v>
      </c>
      <c r="C124" s="1588"/>
      <c r="D124" s="1588"/>
      <c r="E124" s="625" t="s">
        <v>26</v>
      </c>
      <c r="F124" s="1588" t="s">
        <v>15</v>
      </c>
      <c r="G124" s="1587" t="s">
        <v>536</v>
      </c>
      <c r="H124" s="1587" t="s">
        <v>536</v>
      </c>
      <c r="I124" s="1587" t="s">
        <v>536</v>
      </c>
      <c r="J124" s="1587" t="s">
        <v>536</v>
      </c>
      <c r="K124" s="544">
        <f t="shared" si="5"/>
        <v>4</v>
      </c>
      <c r="L124" s="1594">
        <f t="shared" si="6"/>
        <v>400000</v>
      </c>
      <c r="M124" s="1595"/>
      <c r="N124" s="987" t="s">
        <v>554</v>
      </c>
      <c r="O124" s="987">
        <v>55</v>
      </c>
    </row>
    <row r="125" spans="1:18" ht="18.75" customHeight="1">
      <c r="A125" s="1586">
        <v>111</v>
      </c>
      <c r="B125" s="1587">
        <v>13</v>
      </c>
      <c r="C125" s="1588"/>
      <c r="D125" s="1588"/>
      <c r="E125" s="625" t="s">
        <v>27</v>
      </c>
      <c r="F125" s="1588" t="s">
        <v>15</v>
      </c>
      <c r="G125" s="1587" t="s">
        <v>536</v>
      </c>
      <c r="H125" s="1587" t="s">
        <v>536</v>
      </c>
      <c r="I125" s="1587" t="s">
        <v>536</v>
      </c>
      <c r="J125" s="1587" t="s">
        <v>536</v>
      </c>
      <c r="K125" s="544">
        <f t="shared" si="5"/>
        <v>4</v>
      </c>
      <c r="L125" s="1594">
        <f t="shared" si="6"/>
        <v>400000</v>
      </c>
      <c r="M125" s="1595"/>
      <c r="N125" s="987" t="s">
        <v>554</v>
      </c>
      <c r="O125" s="987">
        <v>146</v>
      </c>
    </row>
    <row r="126" spans="1:18" ht="18.75" customHeight="1">
      <c r="A126" s="1586">
        <v>112</v>
      </c>
      <c r="B126" s="1587">
        <v>14</v>
      </c>
      <c r="C126" s="1588"/>
      <c r="D126" s="1588"/>
      <c r="E126" s="625" t="s">
        <v>28</v>
      </c>
      <c r="F126" s="1588" t="s">
        <v>15</v>
      </c>
      <c r="G126" s="1587" t="s">
        <v>536</v>
      </c>
      <c r="H126" s="1587" t="s">
        <v>536</v>
      </c>
      <c r="I126" s="1587" t="s">
        <v>536</v>
      </c>
      <c r="J126" s="1587" t="s">
        <v>536</v>
      </c>
      <c r="K126" s="544">
        <f t="shared" si="5"/>
        <v>4</v>
      </c>
      <c r="L126" s="1594">
        <f t="shared" si="6"/>
        <v>400000</v>
      </c>
      <c r="M126" s="1595"/>
      <c r="N126" s="987" t="s">
        <v>554</v>
      </c>
      <c r="O126" s="987">
        <v>147</v>
      </c>
    </row>
    <row r="127" spans="1:18" ht="18.75" customHeight="1">
      <c r="A127" s="1586">
        <v>113</v>
      </c>
      <c r="B127" s="1587">
        <v>15</v>
      </c>
      <c r="C127" s="1588"/>
      <c r="D127" s="1588"/>
      <c r="E127" s="625" t="s">
        <v>29</v>
      </c>
      <c r="F127" s="1588" t="s">
        <v>15</v>
      </c>
      <c r="G127" s="1587" t="s">
        <v>536</v>
      </c>
      <c r="H127" s="1587" t="s">
        <v>536</v>
      </c>
      <c r="I127" s="1587"/>
      <c r="J127" s="1587" t="s">
        <v>536</v>
      </c>
      <c r="K127" s="544">
        <f t="shared" si="5"/>
        <v>3</v>
      </c>
      <c r="L127" s="1594">
        <f t="shared" si="6"/>
        <v>300000</v>
      </c>
      <c r="M127" s="1595"/>
      <c r="N127" s="987" t="s">
        <v>554</v>
      </c>
      <c r="O127" s="987">
        <v>64</v>
      </c>
    </row>
    <row r="128" spans="1:18" ht="18.75" customHeight="1">
      <c r="A128" s="1586">
        <v>114</v>
      </c>
      <c r="B128" s="1587">
        <v>16</v>
      </c>
      <c r="C128" s="1588"/>
      <c r="D128" s="1588"/>
      <c r="E128" s="625" t="s">
        <v>30</v>
      </c>
      <c r="F128" s="1588" t="s">
        <v>15</v>
      </c>
      <c r="G128" s="1587" t="s">
        <v>536</v>
      </c>
      <c r="H128" s="1587" t="s">
        <v>536</v>
      </c>
      <c r="I128" s="1587"/>
      <c r="J128" s="1587" t="s">
        <v>536</v>
      </c>
      <c r="K128" s="544">
        <f t="shared" si="5"/>
        <v>3</v>
      </c>
      <c r="L128" s="1594">
        <f t="shared" si="6"/>
        <v>300000</v>
      </c>
      <c r="M128" s="1595"/>
      <c r="N128" s="987" t="s">
        <v>554</v>
      </c>
      <c r="O128" s="987">
        <v>71</v>
      </c>
    </row>
    <row r="129" spans="1:15" ht="18.75" customHeight="1">
      <c r="A129" s="1586">
        <v>115</v>
      </c>
      <c r="B129" s="1587">
        <v>17</v>
      </c>
      <c r="C129" s="1588"/>
      <c r="D129" s="1588"/>
      <c r="E129" s="625" t="s">
        <v>31</v>
      </c>
      <c r="F129" s="1588" t="s">
        <v>15</v>
      </c>
      <c r="G129" s="1587" t="s">
        <v>536</v>
      </c>
      <c r="H129" s="1587" t="s">
        <v>536</v>
      </c>
      <c r="I129" s="1587" t="s">
        <v>536</v>
      </c>
      <c r="J129" s="1587" t="s">
        <v>536</v>
      </c>
      <c r="K129" s="544">
        <f t="shared" si="5"/>
        <v>4</v>
      </c>
      <c r="L129" s="1594">
        <f t="shared" si="6"/>
        <v>400000</v>
      </c>
      <c r="M129" s="1595"/>
      <c r="N129" s="987" t="s">
        <v>554</v>
      </c>
      <c r="O129" s="987">
        <v>65</v>
      </c>
    </row>
    <row r="130" spans="1:15" ht="18.75" customHeight="1">
      <c r="A130" s="1586">
        <v>116</v>
      </c>
      <c r="B130" s="1587">
        <v>18</v>
      </c>
      <c r="C130" s="1588"/>
      <c r="D130" s="1588"/>
      <c r="E130" s="625" t="s">
        <v>32</v>
      </c>
      <c r="F130" s="1588" t="s">
        <v>15</v>
      </c>
      <c r="G130" s="1587" t="s">
        <v>536</v>
      </c>
      <c r="H130" s="1587" t="s">
        <v>536</v>
      </c>
      <c r="I130" s="1587" t="s">
        <v>536</v>
      </c>
      <c r="J130" s="1587" t="s">
        <v>536</v>
      </c>
      <c r="K130" s="544">
        <f t="shared" si="5"/>
        <v>4</v>
      </c>
      <c r="L130" s="1594">
        <f t="shared" si="6"/>
        <v>400000</v>
      </c>
      <c r="M130" s="1595"/>
      <c r="N130" s="987" t="s">
        <v>554</v>
      </c>
      <c r="O130" s="987">
        <v>60</v>
      </c>
    </row>
    <row r="131" spans="1:15" ht="18.75" customHeight="1">
      <c r="A131" s="1586">
        <v>117</v>
      </c>
      <c r="B131" s="1587">
        <v>19</v>
      </c>
      <c r="C131" s="1588"/>
      <c r="D131" s="1588"/>
      <c r="E131" s="625" t="s">
        <v>33</v>
      </c>
      <c r="F131" s="1588" t="s">
        <v>15</v>
      </c>
      <c r="G131" s="1587" t="s">
        <v>536</v>
      </c>
      <c r="H131" s="1587" t="s">
        <v>536</v>
      </c>
      <c r="I131" s="1587" t="s">
        <v>536</v>
      </c>
      <c r="J131" s="1587" t="s">
        <v>536</v>
      </c>
      <c r="K131" s="544">
        <f t="shared" si="5"/>
        <v>4</v>
      </c>
      <c r="L131" s="1594">
        <f t="shared" si="6"/>
        <v>400000</v>
      </c>
      <c r="M131" s="1595"/>
      <c r="N131" s="987" t="s">
        <v>554</v>
      </c>
      <c r="O131" s="987">
        <v>58</v>
      </c>
    </row>
    <row r="132" spans="1:15" ht="18.75" customHeight="1">
      <c r="A132" s="1586">
        <v>118</v>
      </c>
      <c r="B132" s="1587">
        <v>20</v>
      </c>
      <c r="C132" s="1588"/>
      <c r="D132" s="1588"/>
      <c r="E132" s="625" t="s">
        <v>34</v>
      </c>
      <c r="F132" s="1588" t="s">
        <v>15</v>
      </c>
      <c r="G132" s="1587" t="s">
        <v>536</v>
      </c>
      <c r="H132" s="1587"/>
      <c r="I132" s="1587"/>
      <c r="J132" s="1587"/>
      <c r="K132" s="544">
        <f t="shared" si="5"/>
        <v>1</v>
      </c>
      <c r="L132" s="1594">
        <f t="shared" si="6"/>
        <v>100000</v>
      </c>
      <c r="M132" s="1595"/>
      <c r="O132" s="987">
        <v>0</v>
      </c>
    </row>
    <row r="133" spans="1:15" ht="18.75" customHeight="1">
      <c r="A133" s="1586">
        <v>119</v>
      </c>
      <c r="B133" s="1587">
        <v>21</v>
      </c>
      <c r="C133" s="1588"/>
      <c r="D133" s="1588"/>
      <c r="E133" s="625" t="s">
        <v>35</v>
      </c>
      <c r="F133" s="1588" t="s">
        <v>15</v>
      </c>
      <c r="G133" s="1587"/>
      <c r="H133" s="1587" t="s">
        <v>536</v>
      </c>
      <c r="I133" s="1587" t="s">
        <v>536</v>
      </c>
      <c r="J133" s="1587" t="s">
        <v>536</v>
      </c>
      <c r="K133" s="544">
        <f t="shared" si="5"/>
        <v>3</v>
      </c>
      <c r="L133" s="1594">
        <f t="shared" si="6"/>
        <v>300000</v>
      </c>
      <c r="M133" s="1595"/>
      <c r="N133" s="987" t="s">
        <v>554</v>
      </c>
      <c r="O133" s="987">
        <v>55</v>
      </c>
    </row>
    <row r="134" spans="1:15" ht="18.75" customHeight="1">
      <c r="A134" s="1586">
        <v>120</v>
      </c>
      <c r="B134" s="1587">
        <v>22</v>
      </c>
      <c r="C134" s="1588"/>
      <c r="D134" s="1588"/>
      <c r="E134" s="625" t="s">
        <v>36</v>
      </c>
      <c r="F134" s="1588" t="s">
        <v>15</v>
      </c>
      <c r="G134" s="1587" t="s">
        <v>536</v>
      </c>
      <c r="H134" s="1587" t="s">
        <v>536</v>
      </c>
      <c r="I134" s="1587"/>
      <c r="J134" s="1587"/>
      <c r="K134" s="544">
        <f t="shared" si="5"/>
        <v>2</v>
      </c>
      <c r="L134" s="1594">
        <f t="shared" si="6"/>
        <v>200000</v>
      </c>
      <c r="M134" s="1595"/>
      <c r="N134" s="987" t="s">
        <v>554</v>
      </c>
      <c r="O134" s="987">
        <v>72</v>
      </c>
    </row>
    <row r="135" spans="1:15" ht="18.75" customHeight="1">
      <c r="A135" s="1586">
        <v>121</v>
      </c>
      <c r="B135" s="1587">
        <v>23</v>
      </c>
      <c r="C135" s="1588"/>
      <c r="D135" s="1588"/>
      <c r="E135" s="625" t="s">
        <v>37</v>
      </c>
      <c r="F135" s="1588" t="s">
        <v>15</v>
      </c>
      <c r="G135" s="1587" t="s">
        <v>536</v>
      </c>
      <c r="H135" s="1587" t="s">
        <v>536</v>
      </c>
      <c r="I135" s="1587"/>
      <c r="J135" s="1587"/>
      <c r="K135" s="544">
        <f t="shared" si="5"/>
        <v>2</v>
      </c>
      <c r="L135" s="1594">
        <f t="shared" si="6"/>
        <v>200000</v>
      </c>
      <c r="M135" s="1595"/>
      <c r="N135" s="987" t="s">
        <v>554</v>
      </c>
      <c r="O135" s="987">
        <v>58</v>
      </c>
    </row>
    <row r="136" spans="1:15" ht="18.75" customHeight="1">
      <c r="A136" s="1586">
        <v>122</v>
      </c>
      <c r="B136" s="1587">
        <v>24</v>
      </c>
      <c r="C136" s="1588"/>
      <c r="D136" s="1588"/>
      <c r="E136" s="625" t="s">
        <v>38</v>
      </c>
      <c r="F136" s="1588" t="s">
        <v>15</v>
      </c>
      <c r="G136" s="1587" t="s">
        <v>536</v>
      </c>
      <c r="H136" s="1587"/>
      <c r="I136" s="1587"/>
      <c r="J136" s="1587"/>
      <c r="K136" s="544">
        <f t="shared" si="5"/>
        <v>1</v>
      </c>
      <c r="L136" s="1594">
        <f t="shared" si="6"/>
        <v>100000</v>
      </c>
      <c r="M136" s="1595"/>
      <c r="O136" s="987">
        <v>0</v>
      </c>
    </row>
    <row r="137" spans="1:15" ht="18.75" customHeight="1">
      <c r="A137" s="1586">
        <v>123</v>
      </c>
      <c r="B137" s="1587">
        <v>25</v>
      </c>
      <c r="C137" s="1588"/>
      <c r="D137" s="1588"/>
      <c r="E137" s="625" t="s">
        <v>39</v>
      </c>
      <c r="F137" s="1588" t="s">
        <v>15</v>
      </c>
      <c r="G137" s="1587" t="s">
        <v>536</v>
      </c>
      <c r="H137" s="1587"/>
      <c r="I137" s="1587"/>
      <c r="J137" s="1587"/>
      <c r="K137" s="544">
        <f t="shared" si="5"/>
        <v>1</v>
      </c>
      <c r="L137" s="1594">
        <f t="shared" si="6"/>
        <v>100000</v>
      </c>
      <c r="M137" s="1595"/>
      <c r="O137" s="987">
        <v>0</v>
      </c>
    </row>
    <row r="138" spans="1:15" ht="18.75" customHeight="1">
      <c r="A138" s="1586">
        <v>124</v>
      </c>
      <c r="B138" s="1587">
        <v>26</v>
      </c>
      <c r="C138" s="1588"/>
      <c r="D138" s="1588"/>
      <c r="E138" s="625" t="s">
        <v>40</v>
      </c>
      <c r="F138" s="1588" t="s">
        <v>15</v>
      </c>
      <c r="G138" s="1587" t="s">
        <v>536</v>
      </c>
      <c r="H138" s="1587" t="s">
        <v>536</v>
      </c>
      <c r="I138" s="1587" t="s">
        <v>536</v>
      </c>
      <c r="J138" s="1587"/>
      <c r="K138" s="544">
        <f t="shared" si="5"/>
        <v>3</v>
      </c>
      <c r="L138" s="1594">
        <f t="shared" si="6"/>
        <v>300000</v>
      </c>
      <c r="M138" s="1595"/>
      <c r="N138" s="987" t="s">
        <v>554</v>
      </c>
      <c r="O138" s="987">
        <v>55</v>
      </c>
    </row>
    <row r="139" spans="1:15" ht="18.75" customHeight="1">
      <c r="A139" s="1586">
        <v>125</v>
      </c>
      <c r="B139" s="1587">
        <v>27</v>
      </c>
      <c r="C139" s="1588"/>
      <c r="D139" s="1588"/>
      <c r="E139" s="625" t="s">
        <v>41</v>
      </c>
      <c r="F139" s="1588" t="s">
        <v>15</v>
      </c>
      <c r="G139" s="1587" t="s">
        <v>536</v>
      </c>
      <c r="H139" s="1587" t="s">
        <v>536</v>
      </c>
      <c r="I139" s="1587" t="s">
        <v>536</v>
      </c>
      <c r="J139" s="1587" t="s">
        <v>536</v>
      </c>
      <c r="K139" s="544">
        <f t="shared" si="5"/>
        <v>4</v>
      </c>
      <c r="L139" s="1594">
        <f t="shared" si="6"/>
        <v>400000</v>
      </c>
      <c r="M139" s="1595"/>
      <c r="N139" s="987" t="s">
        <v>554</v>
      </c>
      <c r="O139" s="987">
        <v>72</v>
      </c>
    </row>
    <row r="140" spans="1:15" ht="18.75" customHeight="1">
      <c r="A140" s="1586">
        <v>126</v>
      </c>
      <c r="B140" s="1587">
        <v>28</v>
      </c>
      <c r="C140" s="1588"/>
      <c r="D140" s="1588"/>
      <c r="E140" s="625" t="s">
        <v>42</v>
      </c>
      <c r="F140" s="1588" t="s">
        <v>15</v>
      </c>
      <c r="G140" s="1587" t="s">
        <v>536</v>
      </c>
      <c r="H140" s="1587" t="s">
        <v>536</v>
      </c>
      <c r="I140" s="1587" t="s">
        <v>536</v>
      </c>
      <c r="J140" s="1587" t="s">
        <v>536</v>
      </c>
      <c r="K140" s="544">
        <f t="shared" si="5"/>
        <v>4</v>
      </c>
      <c r="L140" s="1594">
        <f t="shared" si="6"/>
        <v>400000</v>
      </c>
      <c r="M140" s="1595"/>
      <c r="N140" s="987" t="s">
        <v>554</v>
      </c>
      <c r="O140" s="987">
        <v>71</v>
      </c>
    </row>
    <row r="141" spans="1:15" ht="18.75" customHeight="1">
      <c r="A141" s="1586">
        <v>127</v>
      </c>
      <c r="B141" s="1587">
        <v>29</v>
      </c>
      <c r="C141" s="1588"/>
      <c r="D141" s="1588"/>
      <c r="E141" s="625" t="s">
        <v>43</v>
      </c>
      <c r="F141" s="1588" t="s">
        <v>15</v>
      </c>
      <c r="G141" s="1587" t="s">
        <v>536</v>
      </c>
      <c r="H141" s="1587"/>
      <c r="I141" s="1587"/>
      <c r="J141" s="1587"/>
      <c r="K141" s="544">
        <f t="shared" si="5"/>
        <v>1</v>
      </c>
      <c r="L141" s="1594">
        <f t="shared" si="6"/>
        <v>100000</v>
      </c>
      <c r="M141" s="1595"/>
      <c r="O141" s="987">
        <v>0</v>
      </c>
    </row>
    <row r="142" spans="1:15" ht="18.75" customHeight="1">
      <c r="A142" s="1586">
        <v>128</v>
      </c>
      <c r="B142" s="1587">
        <v>30</v>
      </c>
      <c r="C142" s="1588"/>
      <c r="D142" s="1588"/>
      <c r="E142" s="625" t="s">
        <v>44</v>
      </c>
      <c r="F142" s="1588" t="s">
        <v>15</v>
      </c>
      <c r="G142" s="1587" t="s">
        <v>536</v>
      </c>
      <c r="H142" s="1587" t="s">
        <v>536</v>
      </c>
      <c r="I142" s="1587" t="s">
        <v>536</v>
      </c>
      <c r="J142" s="1587"/>
      <c r="K142" s="544">
        <f t="shared" si="5"/>
        <v>3</v>
      </c>
      <c r="L142" s="1594">
        <f t="shared" si="6"/>
        <v>300000</v>
      </c>
      <c r="M142" s="1595"/>
      <c r="N142" s="987" t="s">
        <v>554</v>
      </c>
      <c r="O142" s="987">
        <v>92</v>
      </c>
    </row>
    <row r="143" spans="1:15" ht="18.75" customHeight="1">
      <c r="A143" s="1586">
        <v>129</v>
      </c>
      <c r="B143" s="1587">
        <v>31</v>
      </c>
      <c r="C143" s="1588"/>
      <c r="D143" s="1588"/>
      <c r="E143" s="625" t="s">
        <v>45</v>
      </c>
      <c r="F143" s="1588" t="s">
        <v>15</v>
      </c>
      <c r="G143" s="1587" t="s">
        <v>536</v>
      </c>
      <c r="H143" s="1587" t="s">
        <v>536</v>
      </c>
      <c r="I143" s="1587" t="s">
        <v>536</v>
      </c>
      <c r="J143" s="1587" t="s">
        <v>536</v>
      </c>
      <c r="K143" s="544">
        <f t="shared" si="5"/>
        <v>4</v>
      </c>
      <c r="L143" s="1594">
        <f t="shared" si="6"/>
        <v>400000</v>
      </c>
      <c r="M143" s="1595"/>
      <c r="N143" s="987" t="s">
        <v>554</v>
      </c>
      <c r="O143" s="987">
        <v>56</v>
      </c>
    </row>
    <row r="144" spans="1:15" ht="18.75" customHeight="1">
      <c r="A144" s="1586">
        <v>130</v>
      </c>
      <c r="B144" s="1587">
        <v>32</v>
      </c>
      <c r="C144" s="1588"/>
      <c r="D144" s="1588"/>
      <c r="E144" s="625" t="s">
        <v>46</v>
      </c>
      <c r="F144" s="1588" t="s">
        <v>15</v>
      </c>
      <c r="G144" s="1587" t="s">
        <v>536</v>
      </c>
      <c r="H144" s="1587"/>
      <c r="I144" s="1587" t="s">
        <v>536</v>
      </c>
      <c r="J144" s="1587"/>
      <c r="K144" s="544">
        <f t="shared" si="5"/>
        <v>2</v>
      </c>
      <c r="L144" s="1594">
        <f t="shared" si="6"/>
        <v>200000</v>
      </c>
      <c r="M144" s="1595"/>
      <c r="O144" s="987">
        <v>100</v>
      </c>
    </row>
    <row r="145" spans="1:21" ht="18.75" customHeight="1">
      <c r="A145" s="1586">
        <v>131</v>
      </c>
      <c r="B145" s="1587">
        <v>33</v>
      </c>
      <c r="C145" s="1588"/>
      <c r="D145" s="1588"/>
      <c r="E145" s="625" t="s">
        <v>47</v>
      </c>
      <c r="F145" s="1588" t="s">
        <v>15</v>
      </c>
      <c r="G145" s="1587" t="s">
        <v>536</v>
      </c>
      <c r="H145" s="1587" t="s">
        <v>536</v>
      </c>
      <c r="I145" s="1587" t="s">
        <v>536</v>
      </c>
      <c r="J145" s="1587" t="s">
        <v>536</v>
      </c>
      <c r="K145" s="544">
        <f t="shared" si="5"/>
        <v>4</v>
      </c>
      <c r="L145" s="1594">
        <f t="shared" si="6"/>
        <v>400000</v>
      </c>
      <c r="M145" s="1595"/>
      <c r="N145" s="987" t="s">
        <v>554</v>
      </c>
      <c r="O145" s="987">
        <v>102</v>
      </c>
    </row>
    <row r="146" spans="1:21" ht="18.75" customHeight="1">
      <c r="A146" s="1586">
        <v>132</v>
      </c>
      <c r="B146" s="1587">
        <v>34</v>
      </c>
      <c r="C146" s="1588"/>
      <c r="D146" s="1588"/>
      <c r="E146" s="625" t="s">
        <v>48</v>
      </c>
      <c r="F146" s="1588" t="s">
        <v>15</v>
      </c>
      <c r="G146" s="1587"/>
      <c r="H146" s="1587" t="s">
        <v>536</v>
      </c>
      <c r="I146" s="1587" t="s">
        <v>536</v>
      </c>
      <c r="J146" s="1587" t="s">
        <v>536</v>
      </c>
      <c r="K146" s="544">
        <f t="shared" si="5"/>
        <v>3</v>
      </c>
      <c r="L146" s="1594">
        <f t="shared" si="6"/>
        <v>300000</v>
      </c>
      <c r="M146" s="1595"/>
      <c r="N146" s="987" t="s">
        <v>554</v>
      </c>
      <c r="O146" s="987">
        <v>50</v>
      </c>
    </row>
    <row r="147" spans="1:21" ht="18.75" customHeight="1">
      <c r="A147" s="1586">
        <v>133</v>
      </c>
      <c r="B147" s="1587">
        <v>35</v>
      </c>
      <c r="C147" s="1588"/>
      <c r="D147" s="1588"/>
      <c r="E147" s="625" t="s">
        <v>49</v>
      </c>
      <c r="F147" s="1588" t="s">
        <v>15</v>
      </c>
      <c r="G147" s="1587" t="s">
        <v>536</v>
      </c>
      <c r="H147" s="1587" t="s">
        <v>536</v>
      </c>
      <c r="I147" s="1587"/>
      <c r="J147" s="1587" t="s">
        <v>536</v>
      </c>
      <c r="K147" s="544">
        <f t="shared" si="5"/>
        <v>3</v>
      </c>
      <c r="L147" s="1594">
        <f t="shared" si="6"/>
        <v>300000</v>
      </c>
      <c r="M147" s="1595"/>
      <c r="N147" s="987" t="s">
        <v>554</v>
      </c>
      <c r="O147" s="987">
        <v>65</v>
      </c>
    </row>
    <row r="148" spans="1:21" ht="18.75" customHeight="1">
      <c r="A148" s="1586">
        <v>134</v>
      </c>
      <c r="B148" s="1587">
        <v>36</v>
      </c>
      <c r="C148" s="1588"/>
      <c r="D148" s="1588"/>
      <c r="E148" s="625" t="s">
        <v>50</v>
      </c>
      <c r="F148" s="1588" t="s">
        <v>15</v>
      </c>
      <c r="G148" s="1587" t="s">
        <v>536</v>
      </c>
      <c r="H148" s="1587" t="s">
        <v>536</v>
      </c>
      <c r="I148" s="1587"/>
      <c r="J148" s="1587" t="s">
        <v>536</v>
      </c>
      <c r="K148" s="544">
        <f t="shared" si="5"/>
        <v>3</v>
      </c>
      <c r="L148" s="1594">
        <f t="shared" si="6"/>
        <v>300000</v>
      </c>
      <c r="M148" s="1595"/>
      <c r="N148" s="987" t="s">
        <v>554</v>
      </c>
      <c r="O148" s="987">
        <v>66</v>
      </c>
    </row>
    <row r="149" spans="1:21" ht="18.75" customHeight="1">
      <c r="A149" s="1586">
        <v>135</v>
      </c>
      <c r="B149" s="1587">
        <v>37</v>
      </c>
      <c r="C149" s="1588"/>
      <c r="D149" s="1588"/>
      <c r="E149" s="625" t="s">
        <v>51</v>
      </c>
      <c r="F149" s="1588" t="s">
        <v>15</v>
      </c>
      <c r="G149" s="1587" t="s">
        <v>536</v>
      </c>
      <c r="H149" s="1587" t="s">
        <v>536</v>
      </c>
      <c r="I149" s="1587" t="s">
        <v>536</v>
      </c>
      <c r="J149" s="1587" t="s">
        <v>536</v>
      </c>
      <c r="K149" s="544">
        <f t="shared" si="5"/>
        <v>4</v>
      </c>
      <c r="L149" s="1594">
        <f t="shared" si="6"/>
        <v>400000</v>
      </c>
      <c r="M149" s="1595"/>
      <c r="N149" s="987" t="s">
        <v>554</v>
      </c>
      <c r="O149" s="987">
        <v>98</v>
      </c>
    </row>
    <row r="150" spans="1:21" ht="18.75" customHeight="1">
      <c r="A150" s="1586">
        <v>136</v>
      </c>
      <c r="B150" s="1587">
        <v>38</v>
      </c>
      <c r="C150" s="1588"/>
      <c r="D150" s="1588"/>
      <c r="E150" s="625" t="s">
        <v>52</v>
      </c>
      <c r="F150" s="1588" t="s">
        <v>15</v>
      </c>
      <c r="G150" s="1587" t="s">
        <v>536</v>
      </c>
      <c r="H150" s="1587" t="s">
        <v>536</v>
      </c>
      <c r="I150" s="1587" t="s">
        <v>536</v>
      </c>
      <c r="J150" s="1587"/>
      <c r="K150" s="544">
        <f t="shared" si="5"/>
        <v>3</v>
      </c>
      <c r="L150" s="1594">
        <f t="shared" si="6"/>
        <v>300000</v>
      </c>
      <c r="M150" s="1595"/>
      <c r="N150" s="987" t="s">
        <v>554</v>
      </c>
      <c r="O150" s="987">
        <v>65</v>
      </c>
    </row>
    <row r="151" spans="1:21" ht="18.75" customHeight="1">
      <c r="A151" s="1586">
        <v>137</v>
      </c>
      <c r="B151" s="1587">
        <v>39</v>
      </c>
      <c r="C151" s="1588"/>
      <c r="D151" s="1588"/>
      <c r="E151" s="625" t="s">
        <v>53</v>
      </c>
      <c r="F151" s="1588" t="s">
        <v>15</v>
      </c>
      <c r="G151" s="1587" t="s">
        <v>536</v>
      </c>
      <c r="H151" s="1587" t="s">
        <v>536</v>
      </c>
      <c r="I151" s="1587" t="s">
        <v>536</v>
      </c>
      <c r="J151" s="1587"/>
      <c r="K151" s="544">
        <f t="shared" si="5"/>
        <v>3</v>
      </c>
      <c r="L151" s="1594">
        <f t="shared" si="6"/>
        <v>300000</v>
      </c>
      <c r="M151" s="1595"/>
      <c r="N151" s="987" t="s">
        <v>554</v>
      </c>
      <c r="O151" s="987">
        <v>50</v>
      </c>
    </row>
    <row r="152" spans="1:21" ht="18.75" customHeight="1">
      <c r="A152" s="1586">
        <v>138</v>
      </c>
      <c r="B152" s="1587">
        <v>40</v>
      </c>
      <c r="C152" s="1588"/>
      <c r="D152" s="1588"/>
      <c r="E152" s="625" t="s">
        <v>54</v>
      </c>
      <c r="F152" s="1588" t="s">
        <v>15</v>
      </c>
      <c r="G152" s="1587" t="s">
        <v>536</v>
      </c>
      <c r="H152" s="1587" t="s">
        <v>536</v>
      </c>
      <c r="I152" s="1587" t="s">
        <v>536</v>
      </c>
      <c r="J152" s="1587" t="s">
        <v>536</v>
      </c>
      <c r="K152" s="544">
        <f t="shared" si="5"/>
        <v>4</v>
      </c>
      <c r="L152" s="1594">
        <f t="shared" si="6"/>
        <v>400000</v>
      </c>
      <c r="M152" s="1595"/>
      <c r="N152" s="987" t="s">
        <v>554</v>
      </c>
      <c r="O152" s="987">
        <v>60</v>
      </c>
    </row>
    <row r="153" spans="1:21" ht="18.75" customHeight="1">
      <c r="A153" s="1586">
        <v>139</v>
      </c>
      <c r="B153" s="1587">
        <v>41</v>
      </c>
      <c r="C153" s="1588"/>
      <c r="D153" s="1588"/>
      <c r="E153" s="625" t="s">
        <v>55</v>
      </c>
      <c r="F153" s="1588" t="s">
        <v>15</v>
      </c>
      <c r="G153" s="1587" t="s">
        <v>536</v>
      </c>
      <c r="H153" s="1587" t="s">
        <v>536</v>
      </c>
      <c r="I153" s="1587" t="s">
        <v>536</v>
      </c>
      <c r="J153" s="1587" t="s">
        <v>536</v>
      </c>
      <c r="K153" s="544">
        <f t="shared" si="5"/>
        <v>4</v>
      </c>
      <c r="L153" s="1594">
        <f t="shared" si="6"/>
        <v>400000</v>
      </c>
      <c r="M153" s="1595"/>
      <c r="N153" s="987" t="s">
        <v>554</v>
      </c>
      <c r="O153" s="987">
        <v>29</v>
      </c>
    </row>
    <row r="154" spans="1:21" ht="18.75" customHeight="1">
      <c r="A154" s="1586">
        <v>140</v>
      </c>
      <c r="B154" s="1587">
        <v>42</v>
      </c>
      <c r="C154" s="1588"/>
      <c r="D154" s="1588"/>
      <c r="E154" s="625" t="s">
        <v>56</v>
      </c>
      <c r="F154" s="1588" t="s">
        <v>15</v>
      </c>
      <c r="G154" s="1587" t="s">
        <v>536</v>
      </c>
      <c r="H154" s="1587" t="s">
        <v>536</v>
      </c>
      <c r="I154" s="1587" t="s">
        <v>536</v>
      </c>
      <c r="J154" s="1587" t="s">
        <v>536</v>
      </c>
      <c r="K154" s="544">
        <f t="shared" si="5"/>
        <v>4</v>
      </c>
      <c r="L154" s="1594">
        <f t="shared" si="6"/>
        <v>400000</v>
      </c>
      <c r="M154" s="1595"/>
      <c r="N154" s="987" t="s">
        <v>554</v>
      </c>
      <c r="O154" s="987">
        <v>69</v>
      </c>
    </row>
    <row r="155" spans="1:21" ht="18.75" customHeight="1">
      <c r="A155" s="1586">
        <v>141</v>
      </c>
      <c r="B155" s="1587">
        <v>43</v>
      </c>
      <c r="C155" s="1588"/>
      <c r="D155" s="1588"/>
      <c r="E155" s="625" t="s">
        <v>57</v>
      </c>
      <c r="F155" s="1588" t="s">
        <v>15</v>
      </c>
      <c r="G155" s="1587" t="s">
        <v>536</v>
      </c>
      <c r="H155" s="1587" t="s">
        <v>536</v>
      </c>
      <c r="I155" s="1587" t="s">
        <v>536</v>
      </c>
      <c r="J155" s="1587" t="s">
        <v>536</v>
      </c>
      <c r="K155" s="544">
        <f t="shared" si="5"/>
        <v>4</v>
      </c>
      <c r="L155" s="1594">
        <f t="shared" si="6"/>
        <v>400000</v>
      </c>
      <c r="M155" s="1595"/>
      <c r="N155" s="987" t="s">
        <v>554</v>
      </c>
      <c r="O155" s="987">
        <v>52</v>
      </c>
    </row>
    <row r="156" spans="1:21" ht="18.75" customHeight="1">
      <c r="A156" s="1586">
        <v>142</v>
      </c>
      <c r="B156" s="1587">
        <v>44</v>
      </c>
      <c r="C156" s="1588"/>
      <c r="D156" s="1588"/>
      <c r="E156" s="625" t="s">
        <v>59</v>
      </c>
      <c r="F156" s="1588" t="s">
        <v>15</v>
      </c>
      <c r="G156" s="1587" t="s">
        <v>536</v>
      </c>
      <c r="H156" s="1587" t="s">
        <v>536</v>
      </c>
      <c r="I156" s="1587" t="s">
        <v>536</v>
      </c>
      <c r="J156" s="1587" t="s">
        <v>536</v>
      </c>
      <c r="K156" s="544">
        <f t="shared" si="5"/>
        <v>4</v>
      </c>
      <c r="L156" s="1594">
        <f t="shared" si="6"/>
        <v>400000</v>
      </c>
      <c r="M156" s="1595"/>
      <c r="N156" s="987" t="s">
        <v>554</v>
      </c>
      <c r="O156" s="987">
        <v>83</v>
      </c>
    </row>
    <row r="157" spans="1:21" ht="18.75" customHeight="1">
      <c r="A157" s="1586">
        <v>143</v>
      </c>
      <c r="B157" s="1587">
        <v>45</v>
      </c>
      <c r="C157" s="1588"/>
      <c r="D157" s="1588"/>
      <c r="E157" s="625" t="s">
        <v>60</v>
      </c>
      <c r="F157" s="1588" t="s">
        <v>15</v>
      </c>
      <c r="G157" s="1587" t="s">
        <v>536</v>
      </c>
      <c r="H157" s="1587" t="s">
        <v>536</v>
      </c>
      <c r="I157" s="1587"/>
      <c r="J157" s="1587"/>
      <c r="K157" s="544">
        <f t="shared" si="5"/>
        <v>2</v>
      </c>
      <c r="L157" s="1594">
        <f t="shared" si="6"/>
        <v>200000</v>
      </c>
      <c r="M157" s="1595"/>
      <c r="N157" s="987" t="s">
        <v>554</v>
      </c>
      <c r="O157" s="987">
        <v>84</v>
      </c>
      <c r="U157" s="1596"/>
    </row>
    <row r="158" spans="1:21" ht="18.75" customHeight="1">
      <c r="A158" s="1586">
        <v>144</v>
      </c>
      <c r="B158" s="1587">
        <v>46</v>
      </c>
      <c r="C158" s="1588"/>
      <c r="D158" s="1588"/>
      <c r="E158" s="625" t="s">
        <v>61</v>
      </c>
      <c r="F158" s="1588" t="s">
        <v>15</v>
      </c>
      <c r="G158" s="1587" t="s">
        <v>536</v>
      </c>
      <c r="H158" s="1587" t="s">
        <v>536</v>
      </c>
      <c r="I158" s="1587"/>
      <c r="J158" s="1587"/>
      <c r="K158" s="544">
        <f t="shared" si="5"/>
        <v>2</v>
      </c>
      <c r="L158" s="1594">
        <f t="shared" si="6"/>
        <v>200000</v>
      </c>
      <c r="M158" s="1595"/>
      <c r="N158" s="987" t="s">
        <v>554</v>
      </c>
      <c r="O158" s="987">
        <v>87</v>
      </c>
    </row>
    <row r="159" spans="1:21" ht="18.75" customHeight="1">
      <c r="A159" s="1586">
        <v>145</v>
      </c>
      <c r="B159" s="1587">
        <v>47</v>
      </c>
      <c r="C159" s="1588"/>
      <c r="D159" s="1588"/>
      <c r="E159" s="625" t="s">
        <v>62</v>
      </c>
      <c r="F159" s="1588" t="s">
        <v>15</v>
      </c>
      <c r="G159" s="1587" t="s">
        <v>536</v>
      </c>
      <c r="H159" s="1587" t="s">
        <v>536</v>
      </c>
      <c r="I159" s="1587" t="s">
        <v>536</v>
      </c>
      <c r="J159" s="1587" t="s">
        <v>536</v>
      </c>
      <c r="K159" s="544">
        <f t="shared" si="5"/>
        <v>4</v>
      </c>
      <c r="L159" s="1594">
        <f t="shared" si="6"/>
        <v>400000</v>
      </c>
      <c r="M159" s="1595"/>
      <c r="N159" s="987" t="s">
        <v>554</v>
      </c>
      <c r="O159" s="987">
        <v>102</v>
      </c>
    </row>
    <row r="160" spans="1:21" ht="18.75" customHeight="1">
      <c r="A160" s="1586">
        <v>146</v>
      </c>
      <c r="B160" s="1587">
        <v>48</v>
      </c>
      <c r="C160" s="1588"/>
      <c r="D160" s="1588"/>
      <c r="E160" s="625" t="s">
        <v>63</v>
      </c>
      <c r="F160" s="1588" t="s">
        <v>15</v>
      </c>
      <c r="G160" s="1587" t="s">
        <v>536</v>
      </c>
      <c r="H160" s="1587" t="s">
        <v>536</v>
      </c>
      <c r="I160" s="1587" t="s">
        <v>536</v>
      </c>
      <c r="J160" s="1587" t="s">
        <v>536</v>
      </c>
      <c r="K160" s="544">
        <f t="shared" si="5"/>
        <v>4</v>
      </c>
      <c r="L160" s="1594">
        <f t="shared" si="6"/>
        <v>400000</v>
      </c>
      <c r="M160" s="1595"/>
      <c r="N160" s="987" t="s">
        <v>554</v>
      </c>
      <c r="O160" s="987">
        <v>112</v>
      </c>
    </row>
    <row r="161" spans="1:15" ht="18.75" customHeight="1">
      <c r="A161" s="1586">
        <v>147</v>
      </c>
      <c r="B161" s="1587">
        <v>49</v>
      </c>
      <c r="C161" s="1588"/>
      <c r="D161" s="1588"/>
      <c r="E161" s="625" t="s">
        <v>64</v>
      </c>
      <c r="F161" s="1588" t="s">
        <v>15</v>
      </c>
      <c r="G161" s="1587" t="s">
        <v>536</v>
      </c>
      <c r="H161" s="1587" t="s">
        <v>536</v>
      </c>
      <c r="I161" s="1587" t="s">
        <v>536</v>
      </c>
      <c r="J161" s="1587" t="s">
        <v>536</v>
      </c>
      <c r="K161" s="544">
        <f t="shared" si="5"/>
        <v>4</v>
      </c>
      <c r="L161" s="1594">
        <f t="shared" si="6"/>
        <v>400000</v>
      </c>
      <c r="M161" s="1595"/>
      <c r="N161" s="987" t="s">
        <v>554</v>
      </c>
      <c r="O161" s="987">
        <v>78</v>
      </c>
    </row>
    <row r="162" spans="1:15" ht="18.75" customHeight="1">
      <c r="A162" s="1586">
        <v>148</v>
      </c>
      <c r="B162" s="1587">
        <v>50</v>
      </c>
      <c r="C162" s="1588"/>
      <c r="D162" s="1588"/>
      <c r="E162" s="625" t="s">
        <v>65</v>
      </c>
      <c r="F162" s="1588" t="s">
        <v>15</v>
      </c>
      <c r="G162" s="1587" t="s">
        <v>536</v>
      </c>
      <c r="H162" s="1587" t="s">
        <v>536</v>
      </c>
      <c r="I162" s="1587" t="s">
        <v>536</v>
      </c>
      <c r="J162" s="1587" t="s">
        <v>536</v>
      </c>
      <c r="K162" s="544">
        <f t="shared" si="5"/>
        <v>4</v>
      </c>
      <c r="L162" s="1594">
        <f t="shared" si="6"/>
        <v>400000</v>
      </c>
      <c r="M162" s="1595"/>
      <c r="N162" s="987" t="s">
        <v>554</v>
      </c>
      <c r="O162" s="987">
        <v>87</v>
      </c>
    </row>
    <row r="163" spans="1:15" ht="18.75" customHeight="1">
      <c r="A163" s="1586">
        <v>149</v>
      </c>
      <c r="B163" s="1587">
        <v>51</v>
      </c>
      <c r="C163" s="1588"/>
      <c r="D163" s="1588"/>
      <c r="E163" s="625" t="s">
        <v>66</v>
      </c>
      <c r="F163" s="1588" t="s">
        <v>15</v>
      </c>
      <c r="G163" s="1587" t="s">
        <v>536</v>
      </c>
      <c r="H163" s="1587" t="s">
        <v>536</v>
      </c>
      <c r="I163" s="1587" t="s">
        <v>536</v>
      </c>
      <c r="J163" s="1587"/>
      <c r="K163" s="544">
        <f t="shared" si="5"/>
        <v>3</v>
      </c>
      <c r="L163" s="1594">
        <f t="shared" si="6"/>
        <v>300000</v>
      </c>
      <c r="M163" s="1595"/>
      <c r="N163" s="987" t="s">
        <v>554</v>
      </c>
      <c r="O163" s="987">
        <v>82</v>
      </c>
    </row>
    <row r="164" spans="1:15" ht="18.75" customHeight="1">
      <c r="A164" s="1586">
        <v>150</v>
      </c>
      <c r="B164" s="1587">
        <v>52</v>
      </c>
      <c r="C164" s="1588"/>
      <c r="D164" s="1588"/>
      <c r="E164" s="625" t="s">
        <v>67</v>
      </c>
      <c r="F164" s="1588" t="s">
        <v>15</v>
      </c>
      <c r="G164" s="1587" t="s">
        <v>536</v>
      </c>
      <c r="H164" s="1587" t="s">
        <v>536</v>
      </c>
      <c r="I164" s="1587" t="s">
        <v>536</v>
      </c>
      <c r="J164" s="1587" t="s">
        <v>536</v>
      </c>
      <c r="K164" s="544">
        <f t="shared" si="5"/>
        <v>4</v>
      </c>
      <c r="L164" s="1594">
        <f t="shared" si="6"/>
        <v>400000</v>
      </c>
      <c r="M164" s="1595"/>
      <c r="N164" s="987" t="s">
        <v>554</v>
      </c>
      <c r="O164" s="987">
        <v>59</v>
      </c>
    </row>
    <row r="165" spans="1:15" ht="18.75" customHeight="1">
      <c r="A165" s="1586">
        <v>151</v>
      </c>
      <c r="B165" s="1587">
        <v>53</v>
      </c>
      <c r="C165" s="1588"/>
      <c r="D165" s="1588"/>
      <c r="E165" s="625" t="s">
        <v>68</v>
      </c>
      <c r="F165" s="1588" t="s">
        <v>15</v>
      </c>
      <c r="G165" s="1587" t="s">
        <v>536</v>
      </c>
      <c r="H165" s="1587" t="s">
        <v>536</v>
      </c>
      <c r="I165" s="1587"/>
      <c r="J165" s="1587" t="s">
        <v>536</v>
      </c>
      <c r="K165" s="544">
        <f t="shared" si="5"/>
        <v>3</v>
      </c>
      <c r="L165" s="1594">
        <f t="shared" si="6"/>
        <v>300000</v>
      </c>
      <c r="M165" s="1595"/>
      <c r="N165" s="987" t="s">
        <v>554</v>
      </c>
      <c r="O165" s="987">
        <v>70</v>
      </c>
    </row>
    <row r="166" spans="1:15" ht="18.75" customHeight="1">
      <c r="A166" s="1586">
        <v>152</v>
      </c>
      <c r="B166" s="1587">
        <v>54</v>
      </c>
      <c r="C166" s="1588"/>
      <c r="D166" s="1588"/>
      <c r="E166" s="625" t="s">
        <v>69</v>
      </c>
      <c r="F166" s="1588" t="s">
        <v>15</v>
      </c>
      <c r="G166" s="1587" t="s">
        <v>536</v>
      </c>
      <c r="H166" s="1587" t="s">
        <v>536</v>
      </c>
      <c r="I166" s="1587"/>
      <c r="J166" s="1587" t="s">
        <v>536</v>
      </c>
      <c r="K166" s="544">
        <f t="shared" si="5"/>
        <v>3</v>
      </c>
      <c r="L166" s="1594">
        <f t="shared" si="6"/>
        <v>300000</v>
      </c>
      <c r="M166" s="1595"/>
      <c r="N166" s="987" t="s">
        <v>554</v>
      </c>
      <c r="O166" s="987">
        <v>83</v>
      </c>
    </row>
    <row r="167" spans="1:15" ht="18.75" customHeight="1">
      <c r="A167" s="1586">
        <v>153</v>
      </c>
      <c r="B167" s="1587">
        <v>55</v>
      </c>
      <c r="C167" s="1588"/>
      <c r="D167" s="1588"/>
      <c r="E167" s="625" t="s">
        <v>70</v>
      </c>
      <c r="F167" s="1588" t="s">
        <v>15</v>
      </c>
      <c r="G167" s="1587" t="s">
        <v>536</v>
      </c>
      <c r="H167" s="1587" t="s">
        <v>536</v>
      </c>
      <c r="I167" s="1587"/>
      <c r="J167" s="1587"/>
      <c r="K167" s="544">
        <f t="shared" si="5"/>
        <v>2</v>
      </c>
      <c r="L167" s="1594">
        <f t="shared" si="6"/>
        <v>200000</v>
      </c>
      <c r="M167" s="1595"/>
      <c r="N167" s="987" t="s">
        <v>554</v>
      </c>
      <c r="O167" s="987">
        <v>45</v>
      </c>
    </row>
    <row r="168" spans="1:15" ht="18.75" customHeight="1">
      <c r="A168" s="1586">
        <v>154</v>
      </c>
      <c r="B168" s="1587">
        <v>56</v>
      </c>
      <c r="C168" s="1588"/>
      <c r="D168" s="1588"/>
      <c r="E168" s="625" t="s">
        <v>71</v>
      </c>
      <c r="F168" s="1588" t="s">
        <v>15</v>
      </c>
      <c r="G168" s="1587" t="s">
        <v>536</v>
      </c>
      <c r="H168" s="1587" t="s">
        <v>536</v>
      </c>
      <c r="I168" s="1587"/>
      <c r="J168" s="1587" t="s">
        <v>536</v>
      </c>
      <c r="K168" s="544">
        <f t="shared" si="5"/>
        <v>3</v>
      </c>
      <c r="L168" s="1594">
        <f t="shared" si="6"/>
        <v>300000</v>
      </c>
      <c r="M168" s="1595"/>
      <c r="N168" s="987" t="s">
        <v>554</v>
      </c>
      <c r="O168" s="987">
        <v>45</v>
      </c>
    </row>
    <row r="169" spans="1:15" ht="18.75" customHeight="1">
      <c r="A169" s="1586">
        <v>155</v>
      </c>
      <c r="B169" s="1587">
        <v>57</v>
      </c>
      <c r="C169" s="1588"/>
      <c r="D169" s="1588"/>
      <c r="E169" s="625" t="s">
        <v>72</v>
      </c>
      <c r="F169" s="1588" t="s">
        <v>15</v>
      </c>
      <c r="G169" s="1587" t="s">
        <v>536</v>
      </c>
      <c r="H169" s="1587" t="s">
        <v>536</v>
      </c>
      <c r="I169" s="1587"/>
      <c r="J169" s="1587" t="s">
        <v>536</v>
      </c>
      <c r="K169" s="544">
        <f t="shared" si="5"/>
        <v>3</v>
      </c>
      <c r="L169" s="1594">
        <f t="shared" si="6"/>
        <v>300000</v>
      </c>
      <c r="M169" s="1595"/>
      <c r="N169" s="987" t="s">
        <v>554</v>
      </c>
      <c r="O169" s="987">
        <v>47</v>
      </c>
    </row>
    <row r="170" spans="1:15" ht="18.75" customHeight="1">
      <c r="A170" s="1586">
        <v>156</v>
      </c>
      <c r="B170" s="1587">
        <v>58</v>
      </c>
      <c r="C170" s="1588"/>
      <c r="D170" s="1588"/>
      <c r="E170" s="625" t="s">
        <v>74</v>
      </c>
      <c r="F170" s="1588" t="s">
        <v>15</v>
      </c>
      <c r="G170" s="1587" t="s">
        <v>536</v>
      </c>
      <c r="H170" s="1587" t="s">
        <v>536</v>
      </c>
      <c r="I170" s="1587" t="s">
        <v>536</v>
      </c>
      <c r="J170" s="1587"/>
      <c r="K170" s="544">
        <f t="shared" si="5"/>
        <v>3</v>
      </c>
      <c r="L170" s="1594">
        <f t="shared" si="6"/>
        <v>300000</v>
      </c>
      <c r="M170" s="1595"/>
      <c r="N170" s="987" t="s">
        <v>554</v>
      </c>
      <c r="O170" s="987">
        <v>77</v>
      </c>
    </row>
    <row r="171" spans="1:15" ht="18.75" customHeight="1">
      <c r="A171" s="1586">
        <v>157</v>
      </c>
      <c r="B171" s="1587">
        <v>59</v>
      </c>
      <c r="C171" s="1588"/>
      <c r="D171" s="1588"/>
      <c r="E171" s="625" t="s">
        <v>75</v>
      </c>
      <c r="F171" s="1588" t="s">
        <v>15</v>
      </c>
      <c r="G171" s="1587" t="s">
        <v>536</v>
      </c>
      <c r="H171" s="1587" t="s">
        <v>536</v>
      </c>
      <c r="I171" s="1587" t="s">
        <v>536</v>
      </c>
      <c r="J171" s="1587"/>
      <c r="K171" s="544">
        <f t="shared" si="5"/>
        <v>3</v>
      </c>
      <c r="L171" s="1594">
        <f t="shared" si="6"/>
        <v>300000</v>
      </c>
      <c r="M171" s="1595"/>
      <c r="N171" s="987" t="s">
        <v>554</v>
      </c>
      <c r="O171" s="987">
        <v>84</v>
      </c>
    </row>
    <row r="172" spans="1:15" ht="18.75" customHeight="1">
      <c r="A172" s="1586">
        <v>158</v>
      </c>
      <c r="B172" s="1587">
        <v>60</v>
      </c>
      <c r="C172" s="1588"/>
      <c r="D172" s="1588"/>
      <c r="E172" s="625" t="s">
        <v>76</v>
      </c>
      <c r="F172" s="1588" t="s">
        <v>15</v>
      </c>
      <c r="G172" s="1587" t="s">
        <v>536</v>
      </c>
      <c r="H172" s="1587"/>
      <c r="I172" s="1587"/>
      <c r="J172" s="1587"/>
      <c r="K172" s="544">
        <f t="shared" si="5"/>
        <v>1</v>
      </c>
      <c r="L172" s="1594">
        <f t="shared" si="6"/>
        <v>100000</v>
      </c>
      <c r="M172" s="1595"/>
      <c r="O172" s="987">
        <v>0</v>
      </c>
    </row>
    <row r="173" spans="1:15" ht="18.75" customHeight="1">
      <c r="A173" s="1586">
        <v>159</v>
      </c>
      <c r="B173" s="1587">
        <v>61</v>
      </c>
      <c r="C173" s="1588"/>
      <c r="D173" s="1588"/>
      <c r="E173" s="625" t="s">
        <v>77</v>
      </c>
      <c r="F173" s="1588" t="s">
        <v>15</v>
      </c>
      <c r="G173" s="1587" t="s">
        <v>536</v>
      </c>
      <c r="H173" s="1587" t="s">
        <v>536</v>
      </c>
      <c r="I173" s="1587" t="s">
        <v>536</v>
      </c>
      <c r="J173" s="1587" t="s">
        <v>536</v>
      </c>
      <c r="K173" s="544">
        <f t="shared" si="5"/>
        <v>4</v>
      </c>
      <c r="L173" s="1594">
        <f t="shared" si="6"/>
        <v>400000</v>
      </c>
      <c r="M173" s="1595"/>
      <c r="N173" s="987" t="s">
        <v>554</v>
      </c>
      <c r="O173" s="987">
        <v>82</v>
      </c>
    </row>
    <row r="174" spans="1:15" ht="18.75" customHeight="1">
      <c r="A174" s="1586">
        <v>160</v>
      </c>
      <c r="B174" s="1587">
        <v>62</v>
      </c>
      <c r="C174" s="1588"/>
      <c r="D174" s="1588"/>
      <c r="E174" s="625" t="s">
        <v>78</v>
      </c>
      <c r="F174" s="1588" t="s">
        <v>15</v>
      </c>
      <c r="G174" s="1587" t="s">
        <v>536</v>
      </c>
      <c r="H174" s="1587" t="s">
        <v>536</v>
      </c>
      <c r="I174" s="1587" t="s">
        <v>536</v>
      </c>
      <c r="J174" s="1587" t="s">
        <v>536</v>
      </c>
      <c r="K174" s="544">
        <f t="shared" si="5"/>
        <v>4</v>
      </c>
      <c r="L174" s="1594">
        <f t="shared" si="6"/>
        <v>400000</v>
      </c>
      <c r="M174" s="1595"/>
      <c r="N174" s="987" t="s">
        <v>554</v>
      </c>
      <c r="O174" s="987">
        <v>81</v>
      </c>
    </row>
    <row r="175" spans="1:15" ht="18.75" customHeight="1">
      <c r="A175" s="1586">
        <v>161</v>
      </c>
      <c r="B175" s="1587">
        <v>63</v>
      </c>
      <c r="C175" s="1588"/>
      <c r="D175" s="1588"/>
      <c r="E175" s="625" t="s">
        <v>79</v>
      </c>
      <c r="F175" s="1588" t="s">
        <v>15</v>
      </c>
      <c r="G175" s="1587"/>
      <c r="H175" s="1587" t="s">
        <v>536</v>
      </c>
      <c r="I175" s="1587"/>
      <c r="J175" s="1587"/>
      <c r="K175" s="544">
        <f t="shared" si="5"/>
        <v>1</v>
      </c>
      <c r="L175" s="1594">
        <f t="shared" si="6"/>
        <v>100000</v>
      </c>
      <c r="M175" s="1595"/>
      <c r="N175" s="987" t="s">
        <v>554</v>
      </c>
      <c r="O175" s="987">
        <v>50</v>
      </c>
    </row>
    <row r="176" spans="1:15" ht="18.75" customHeight="1">
      <c r="A176" s="1586">
        <v>162</v>
      </c>
      <c r="B176" s="1587">
        <v>64</v>
      </c>
      <c r="C176" s="1588"/>
      <c r="D176" s="1588"/>
      <c r="E176" s="625" t="s">
        <v>80</v>
      </c>
      <c r="F176" s="1588" t="s">
        <v>15</v>
      </c>
      <c r="G176" s="1587" t="s">
        <v>536</v>
      </c>
      <c r="H176" s="1587" t="s">
        <v>536</v>
      </c>
      <c r="I176" s="1587" t="s">
        <v>536</v>
      </c>
      <c r="J176" s="1587" t="s">
        <v>536</v>
      </c>
      <c r="K176" s="544">
        <f t="shared" si="5"/>
        <v>4</v>
      </c>
      <c r="L176" s="1594">
        <f t="shared" si="6"/>
        <v>400000</v>
      </c>
      <c r="M176" s="1595"/>
      <c r="N176" s="987" t="s">
        <v>554</v>
      </c>
      <c r="O176" s="987">
        <v>72</v>
      </c>
    </row>
    <row r="177" spans="1:15" ht="18.75" customHeight="1">
      <c r="A177" s="1586">
        <v>163</v>
      </c>
      <c r="B177" s="1587">
        <v>65</v>
      </c>
      <c r="C177" s="1588"/>
      <c r="D177" s="1588"/>
      <c r="E177" s="625" t="s">
        <v>81</v>
      </c>
      <c r="F177" s="1588" t="s">
        <v>15</v>
      </c>
      <c r="G177" s="1587" t="s">
        <v>536</v>
      </c>
      <c r="H177" s="1587"/>
      <c r="I177" s="1587" t="s">
        <v>536</v>
      </c>
      <c r="J177" s="1587"/>
      <c r="K177" s="544">
        <f t="shared" ref="K177:K205" si="7">COUNTIF(G177:J177,"X")</f>
        <v>2</v>
      </c>
      <c r="L177" s="1594">
        <f t="shared" ref="L177:L240" si="8">K177*100000</f>
        <v>200000</v>
      </c>
      <c r="M177" s="1595"/>
      <c r="O177" s="987">
        <v>90</v>
      </c>
    </row>
    <row r="178" spans="1:15" ht="18.75" customHeight="1">
      <c r="A178" s="1586">
        <v>164</v>
      </c>
      <c r="B178" s="1587">
        <v>66</v>
      </c>
      <c r="C178" s="1588"/>
      <c r="D178" s="1588"/>
      <c r="E178" s="625" t="s">
        <v>82</v>
      </c>
      <c r="F178" s="1588" t="s">
        <v>15</v>
      </c>
      <c r="G178" s="1587" t="s">
        <v>536</v>
      </c>
      <c r="H178" s="1587"/>
      <c r="I178" s="1587" t="s">
        <v>536</v>
      </c>
      <c r="J178" s="1587"/>
      <c r="K178" s="544">
        <f t="shared" si="7"/>
        <v>2</v>
      </c>
      <c r="L178" s="1594">
        <f t="shared" si="8"/>
        <v>200000</v>
      </c>
      <c r="M178" s="1595"/>
      <c r="O178" s="987">
        <v>95</v>
      </c>
    </row>
    <row r="179" spans="1:15" ht="18.75" customHeight="1">
      <c r="A179" s="1586">
        <v>165</v>
      </c>
      <c r="B179" s="1587">
        <v>67</v>
      </c>
      <c r="C179" s="1588"/>
      <c r="D179" s="1588"/>
      <c r="E179" s="625" t="s">
        <v>83</v>
      </c>
      <c r="F179" s="1588" t="s">
        <v>15</v>
      </c>
      <c r="G179" s="1587" t="s">
        <v>536</v>
      </c>
      <c r="H179" s="1587" t="s">
        <v>536</v>
      </c>
      <c r="I179" s="1587"/>
      <c r="J179" s="1587"/>
      <c r="K179" s="544">
        <f t="shared" si="7"/>
        <v>2</v>
      </c>
      <c r="L179" s="1594">
        <f t="shared" si="8"/>
        <v>200000</v>
      </c>
      <c r="M179" s="1595"/>
      <c r="N179" s="987" t="s">
        <v>554</v>
      </c>
      <c r="O179" s="987">
        <v>87</v>
      </c>
    </row>
    <row r="180" spans="1:15" ht="18.75" customHeight="1">
      <c r="A180" s="1586">
        <v>166</v>
      </c>
      <c r="B180" s="1587">
        <v>68</v>
      </c>
      <c r="C180" s="1588"/>
      <c r="D180" s="1588"/>
      <c r="E180" s="625" t="s">
        <v>84</v>
      </c>
      <c r="F180" s="1588" t="s">
        <v>15</v>
      </c>
      <c r="G180" s="1587" t="s">
        <v>536</v>
      </c>
      <c r="H180" s="1587" t="s">
        <v>536</v>
      </c>
      <c r="I180" s="1587" t="s">
        <v>536</v>
      </c>
      <c r="J180" s="1587" t="s">
        <v>536</v>
      </c>
      <c r="K180" s="544">
        <f t="shared" si="7"/>
        <v>4</v>
      </c>
      <c r="L180" s="1594">
        <f t="shared" si="8"/>
        <v>400000</v>
      </c>
      <c r="M180" s="1595"/>
      <c r="N180" s="987" t="s">
        <v>554</v>
      </c>
      <c r="O180" s="987">
        <v>145</v>
      </c>
    </row>
    <row r="181" spans="1:15" ht="18.75" customHeight="1">
      <c r="A181" s="1586">
        <v>167</v>
      </c>
      <c r="B181" s="1587">
        <v>69</v>
      </c>
      <c r="C181" s="1588"/>
      <c r="D181" s="1588"/>
      <c r="E181" s="625" t="s">
        <v>85</v>
      </c>
      <c r="F181" s="1588" t="s">
        <v>15</v>
      </c>
      <c r="G181" s="1587" t="s">
        <v>536</v>
      </c>
      <c r="H181" s="1587" t="s">
        <v>536</v>
      </c>
      <c r="I181" s="1587" t="s">
        <v>536</v>
      </c>
      <c r="J181" s="1587" t="s">
        <v>536</v>
      </c>
      <c r="K181" s="544">
        <f t="shared" si="7"/>
        <v>4</v>
      </c>
      <c r="L181" s="1594">
        <f t="shared" si="8"/>
        <v>400000</v>
      </c>
      <c r="M181" s="1595"/>
      <c r="N181" s="987" t="s">
        <v>554</v>
      </c>
      <c r="O181" s="987">
        <v>62</v>
      </c>
    </row>
    <row r="182" spans="1:15" ht="18.75" customHeight="1">
      <c r="A182" s="1586">
        <v>168</v>
      </c>
      <c r="B182" s="1587">
        <v>70</v>
      </c>
      <c r="C182" s="1588"/>
      <c r="D182" s="1588"/>
      <c r="E182" s="625" t="s">
        <v>86</v>
      </c>
      <c r="F182" s="1588" t="s">
        <v>15</v>
      </c>
      <c r="G182" s="1587" t="s">
        <v>536</v>
      </c>
      <c r="H182" s="1587" t="s">
        <v>536</v>
      </c>
      <c r="I182" s="1587"/>
      <c r="J182" s="1587"/>
      <c r="K182" s="544">
        <f t="shared" si="7"/>
        <v>2</v>
      </c>
      <c r="L182" s="1594">
        <f t="shared" si="8"/>
        <v>200000</v>
      </c>
      <c r="M182" s="1595"/>
      <c r="N182" s="987" t="s">
        <v>558</v>
      </c>
      <c r="O182" s="987">
        <v>38</v>
      </c>
    </row>
    <row r="183" spans="1:15" ht="18.75" customHeight="1">
      <c r="A183" s="1586">
        <v>169</v>
      </c>
      <c r="B183" s="1587">
        <v>71</v>
      </c>
      <c r="C183" s="1588"/>
      <c r="D183" s="1588"/>
      <c r="E183" s="625" t="s">
        <v>87</v>
      </c>
      <c r="F183" s="1588" t="s">
        <v>15</v>
      </c>
      <c r="G183" s="1587" t="s">
        <v>536</v>
      </c>
      <c r="H183" s="1587" t="s">
        <v>536</v>
      </c>
      <c r="I183" s="1587" t="s">
        <v>536</v>
      </c>
      <c r="J183" s="1587" t="s">
        <v>536</v>
      </c>
      <c r="K183" s="544">
        <f t="shared" si="7"/>
        <v>4</v>
      </c>
      <c r="L183" s="1594">
        <f t="shared" si="8"/>
        <v>400000</v>
      </c>
      <c r="M183" s="1595"/>
      <c r="N183" s="987" t="s">
        <v>554</v>
      </c>
      <c r="O183" s="987">
        <v>74</v>
      </c>
    </row>
    <row r="184" spans="1:15" ht="18.75" customHeight="1">
      <c r="A184" s="1586">
        <v>170</v>
      </c>
      <c r="B184" s="1587">
        <v>72</v>
      </c>
      <c r="C184" s="1588"/>
      <c r="D184" s="1588"/>
      <c r="E184" s="625" t="s">
        <v>88</v>
      </c>
      <c r="F184" s="1588" t="s">
        <v>15</v>
      </c>
      <c r="G184" s="1587" t="s">
        <v>536</v>
      </c>
      <c r="H184" s="1587" t="s">
        <v>536</v>
      </c>
      <c r="I184" s="1587" t="s">
        <v>536</v>
      </c>
      <c r="J184" s="1587" t="s">
        <v>536</v>
      </c>
      <c r="K184" s="544">
        <f t="shared" si="7"/>
        <v>4</v>
      </c>
      <c r="L184" s="1594">
        <f t="shared" si="8"/>
        <v>400000</v>
      </c>
      <c r="M184" s="1595"/>
      <c r="N184" s="987" t="s">
        <v>554</v>
      </c>
      <c r="O184" s="987">
        <v>76</v>
      </c>
    </row>
    <row r="185" spans="1:15" ht="18.75" customHeight="1">
      <c r="A185" s="1586">
        <v>171</v>
      </c>
      <c r="B185" s="1587">
        <v>73</v>
      </c>
      <c r="C185" s="1588"/>
      <c r="D185" s="1588"/>
      <c r="E185" s="625" t="s">
        <v>89</v>
      </c>
      <c r="F185" s="1588" t="s">
        <v>15</v>
      </c>
      <c r="G185" s="1587"/>
      <c r="H185" s="1587" t="s">
        <v>536</v>
      </c>
      <c r="I185" s="1587"/>
      <c r="J185" s="1587" t="s">
        <v>536</v>
      </c>
      <c r="K185" s="544">
        <f t="shared" si="7"/>
        <v>2</v>
      </c>
      <c r="L185" s="1594">
        <f t="shared" si="8"/>
        <v>200000</v>
      </c>
      <c r="M185" s="1595"/>
      <c r="N185" s="987" t="s">
        <v>554</v>
      </c>
      <c r="O185" s="987">
        <v>81</v>
      </c>
    </row>
    <row r="186" spans="1:15" ht="18.75" customHeight="1">
      <c r="A186" s="1586">
        <v>172</v>
      </c>
      <c r="B186" s="1587">
        <v>74</v>
      </c>
      <c r="C186" s="1588"/>
      <c r="D186" s="1588"/>
      <c r="E186" s="625" t="s">
        <v>90</v>
      </c>
      <c r="F186" s="1588" t="s">
        <v>15</v>
      </c>
      <c r="G186" s="1587"/>
      <c r="H186" s="1587" t="s">
        <v>536</v>
      </c>
      <c r="I186" s="1587"/>
      <c r="J186" s="1587" t="s">
        <v>536</v>
      </c>
      <c r="K186" s="544">
        <f t="shared" si="7"/>
        <v>2</v>
      </c>
      <c r="L186" s="1594">
        <f t="shared" si="8"/>
        <v>200000</v>
      </c>
      <c r="M186" s="1595"/>
      <c r="N186" s="987" t="s">
        <v>554</v>
      </c>
      <c r="O186" s="987">
        <v>81</v>
      </c>
    </row>
    <row r="187" spans="1:15" ht="18.75" customHeight="1">
      <c r="A187" s="1586">
        <v>173</v>
      </c>
      <c r="B187" s="1587">
        <v>75</v>
      </c>
      <c r="C187" s="1588"/>
      <c r="D187" s="1588"/>
      <c r="E187" s="625" t="s">
        <v>91</v>
      </c>
      <c r="F187" s="1588" t="s">
        <v>15</v>
      </c>
      <c r="G187" s="1587" t="s">
        <v>536</v>
      </c>
      <c r="H187" s="1587" t="s">
        <v>536</v>
      </c>
      <c r="I187" s="1587" t="s">
        <v>536</v>
      </c>
      <c r="J187" s="1587" t="s">
        <v>536</v>
      </c>
      <c r="K187" s="544">
        <f t="shared" si="7"/>
        <v>4</v>
      </c>
      <c r="L187" s="1594">
        <f t="shared" si="8"/>
        <v>400000</v>
      </c>
      <c r="M187" s="1595"/>
      <c r="N187" s="987" t="s">
        <v>554</v>
      </c>
      <c r="O187" s="987">
        <v>82</v>
      </c>
    </row>
    <row r="188" spans="1:15" ht="18.75" customHeight="1">
      <c r="A188" s="1586">
        <v>174</v>
      </c>
      <c r="B188" s="1587">
        <v>76</v>
      </c>
      <c r="C188" s="1588"/>
      <c r="D188" s="1588"/>
      <c r="E188" s="625" t="s">
        <v>92</v>
      </c>
      <c r="F188" s="1588" t="s">
        <v>15</v>
      </c>
      <c r="G188" s="1587" t="s">
        <v>536</v>
      </c>
      <c r="H188" s="1587" t="s">
        <v>536</v>
      </c>
      <c r="I188" s="1587" t="s">
        <v>536</v>
      </c>
      <c r="J188" s="1587" t="s">
        <v>536</v>
      </c>
      <c r="K188" s="544">
        <f t="shared" si="7"/>
        <v>4</v>
      </c>
      <c r="L188" s="1594">
        <f t="shared" si="8"/>
        <v>400000</v>
      </c>
      <c r="M188" s="1595"/>
      <c r="N188" s="987" t="s">
        <v>554</v>
      </c>
      <c r="O188" s="987">
        <v>58</v>
      </c>
    </row>
    <row r="189" spans="1:15" ht="18.75" customHeight="1">
      <c r="A189" s="1586">
        <v>175</v>
      </c>
      <c r="B189" s="1587">
        <v>77</v>
      </c>
      <c r="C189" s="1588"/>
      <c r="D189" s="1588"/>
      <c r="E189" s="625" t="s">
        <v>93</v>
      </c>
      <c r="F189" s="1588" t="s">
        <v>15</v>
      </c>
      <c r="G189" s="1587" t="s">
        <v>536</v>
      </c>
      <c r="H189" s="1587" t="s">
        <v>536</v>
      </c>
      <c r="I189" s="1587" t="s">
        <v>536</v>
      </c>
      <c r="J189" s="1587" t="s">
        <v>536</v>
      </c>
      <c r="K189" s="544">
        <f t="shared" si="7"/>
        <v>4</v>
      </c>
      <c r="L189" s="1594">
        <f t="shared" si="8"/>
        <v>400000</v>
      </c>
      <c r="M189" s="1595"/>
      <c r="N189" s="987" t="s">
        <v>554</v>
      </c>
      <c r="O189" s="987">
        <v>60</v>
      </c>
    </row>
    <row r="190" spans="1:15" ht="18.75" customHeight="1">
      <c r="A190" s="1586">
        <v>176</v>
      </c>
      <c r="B190" s="1587">
        <v>78</v>
      </c>
      <c r="C190" s="1588"/>
      <c r="D190" s="1588"/>
      <c r="E190" s="625" t="s">
        <v>94</v>
      </c>
      <c r="F190" s="1588" t="s">
        <v>15</v>
      </c>
      <c r="G190" s="1587" t="s">
        <v>536</v>
      </c>
      <c r="H190" s="1587" t="s">
        <v>536</v>
      </c>
      <c r="I190" s="1587" t="s">
        <v>536</v>
      </c>
      <c r="J190" s="1587" t="s">
        <v>536</v>
      </c>
      <c r="K190" s="544">
        <f t="shared" si="7"/>
        <v>4</v>
      </c>
      <c r="L190" s="1594">
        <f t="shared" si="8"/>
        <v>400000</v>
      </c>
      <c r="M190" s="1595"/>
      <c r="N190" s="987" t="s">
        <v>554</v>
      </c>
      <c r="O190" s="987">
        <v>73</v>
      </c>
    </row>
    <row r="191" spans="1:15" ht="18.75" customHeight="1">
      <c r="A191" s="1586">
        <v>177</v>
      </c>
      <c r="B191" s="1587">
        <v>79</v>
      </c>
      <c r="C191" s="1588"/>
      <c r="D191" s="1588"/>
      <c r="E191" s="625" t="s">
        <v>95</v>
      </c>
      <c r="F191" s="1588" t="s">
        <v>15</v>
      </c>
      <c r="G191" s="1587" t="s">
        <v>536</v>
      </c>
      <c r="H191" s="1587" t="s">
        <v>536</v>
      </c>
      <c r="I191" s="1587" t="s">
        <v>536</v>
      </c>
      <c r="J191" s="1587" t="s">
        <v>536</v>
      </c>
      <c r="K191" s="544">
        <f t="shared" si="7"/>
        <v>4</v>
      </c>
      <c r="L191" s="1594">
        <f t="shared" si="8"/>
        <v>400000</v>
      </c>
      <c r="M191" s="1595"/>
      <c r="N191" s="987" t="s">
        <v>554</v>
      </c>
      <c r="O191" s="987">
        <v>75</v>
      </c>
    </row>
    <row r="192" spans="1:15" ht="18.75" customHeight="1">
      <c r="A192" s="1586">
        <v>178</v>
      </c>
      <c r="B192" s="1587">
        <v>80</v>
      </c>
      <c r="C192" s="1588"/>
      <c r="D192" s="1588"/>
      <c r="E192" s="625" t="s">
        <v>96</v>
      </c>
      <c r="F192" s="1588" t="s">
        <v>15</v>
      </c>
      <c r="G192" s="1587" t="s">
        <v>536</v>
      </c>
      <c r="H192" s="1587" t="s">
        <v>536</v>
      </c>
      <c r="I192" s="1587" t="s">
        <v>536</v>
      </c>
      <c r="J192" s="1587" t="s">
        <v>536</v>
      </c>
      <c r="K192" s="544">
        <f t="shared" si="7"/>
        <v>4</v>
      </c>
      <c r="L192" s="1594">
        <f t="shared" si="8"/>
        <v>400000</v>
      </c>
      <c r="M192" s="1595"/>
      <c r="N192" s="987" t="s">
        <v>554</v>
      </c>
      <c r="O192" s="987">
        <v>56</v>
      </c>
    </row>
    <row r="193" spans="1:15" ht="18.75" customHeight="1">
      <c r="A193" s="1586">
        <v>179</v>
      </c>
      <c r="B193" s="1587">
        <v>81</v>
      </c>
      <c r="C193" s="1588"/>
      <c r="D193" s="1588"/>
      <c r="E193" s="625" t="s">
        <v>97</v>
      </c>
      <c r="F193" s="1588" t="s">
        <v>15</v>
      </c>
      <c r="G193" s="1587" t="s">
        <v>536</v>
      </c>
      <c r="H193" s="1587" t="s">
        <v>536</v>
      </c>
      <c r="I193" s="1587" t="s">
        <v>536</v>
      </c>
      <c r="J193" s="1587" t="s">
        <v>536</v>
      </c>
      <c r="K193" s="544">
        <f t="shared" si="7"/>
        <v>4</v>
      </c>
      <c r="L193" s="1594">
        <f t="shared" si="8"/>
        <v>400000</v>
      </c>
      <c r="M193" s="1595"/>
      <c r="N193" s="987" t="s">
        <v>554</v>
      </c>
      <c r="O193" s="987">
        <v>59</v>
      </c>
    </row>
    <row r="194" spans="1:15" ht="18.75" customHeight="1">
      <c r="A194" s="1586">
        <v>180</v>
      </c>
      <c r="B194" s="1587">
        <v>82</v>
      </c>
      <c r="C194" s="1588"/>
      <c r="D194" s="1588"/>
      <c r="E194" s="625" t="s">
        <v>98</v>
      </c>
      <c r="F194" s="1588" t="s">
        <v>15</v>
      </c>
      <c r="G194" s="1587" t="s">
        <v>536</v>
      </c>
      <c r="H194" s="1587" t="s">
        <v>536</v>
      </c>
      <c r="I194" s="1587" t="s">
        <v>536</v>
      </c>
      <c r="J194" s="1587" t="s">
        <v>536</v>
      </c>
      <c r="K194" s="544">
        <f t="shared" si="7"/>
        <v>4</v>
      </c>
      <c r="L194" s="1594">
        <f t="shared" si="8"/>
        <v>400000</v>
      </c>
      <c r="M194" s="1595"/>
      <c r="N194" s="987" t="s">
        <v>554</v>
      </c>
      <c r="O194" s="987">
        <v>84</v>
      </c>
    </row>
    <row r="195" spans="1:15" ht="18.75" customHeight="1">
      <c r="A195" s="1586">
        <v>181</v>
      </c>
      <c r="B195" s="1587">
        <v>83</v>
      </c>
      <c r="C195" s="1588"/>
      <c r="D195" s="1588"/>
      <c r="E195" s="625" t="s">
        <v>99</v>
      </c>
      <c r="F195" s="1588" t="s">
        <v>15</v>
      </c>
      <c r="G195" s="1587" t="s">
        <v>536</v>
      </c>
      <c r="H195" s="1587" t="s">
        <v>536</v>
      </c>
      <c r="I195" s="1587" t="s">
        <v>536</v>
      </c>
      <c r="J195" s="1587" t="s">
        <v>536</v>
      </c>
      <c r="K195" s="544">
        <f t="shared" si="7"/>
        <v>4</v>
      </c>
      <c r="L195" s="1594">
        <f t="shared" si="8"/>
        <v>400000</v>
      </c>
      <c r="M195" s="1595"/>
      <c r="N195" s="987" t="s">
        <v>554</v>
      </c>
      <c r="O195" s="987">
        <v>84</v>
      </c>
    </row>
    <row r="196" spans="1:15" ht="18.75" customHeight="1">
      <c r="A196" s="1586">
        <v>182</v>
      </c>
      <c r="B196" s="1587">
        <v>84</v>
      </c>
      <c r="C196" s="1588"/>
      <c r="D196" s="1588"/>
      <c r="E196" s="625" t="s">
        <v>100</v>
      </c>
      <c r="F196" s="1588" t="s">
        <v>15</v>
      </c>
      <c r="G196" s="1587" t="s">
        <v>536</v>
      </c>
      <c r="H196" s="1587" t="s">
        <v>536</v>
      </c>
      <c r="I196" s="1587" t="s">
        <v>536</v>
      </c>
      <c r="J196" s="1587" t="s">
        <v>536</v>
      </c>
      <c r="K196" s="544">
        <f t="shared" si="7"/>
        <v>4</v>
      </c>
      <c r="L196" s="1594">
        <f t="shared" si="8"/>
        <v>400000</v>
      </c>
      <c r="M196" s="1595"/>
      <c r="N196" s="987" t="s">
        <v>554</v>
      </c>
      <c r="O196" s="987">
        <v>80</v>
      </c>
    </row>
    <row r="197" spans="1:15" ht="18.75" customHeight="1">
      <c r="A197" s="1586">
        <v>183</v>
      </c>
      <c r="B197" s="1587">
        <v>85</v>
      </c>
      <c r="C197" s="1588"/>
      <c r="D197" s="1588"/>
      <c r="E197" s="625" t="s">
        <v>559</v>
      </c>
      <c r="F197" s="1588" t="s">
        <v>15</v>
      </c>
      <c r="G197" s="1587" t="s">
        <v>536</v>
      </c>
      <c r="H197" s="1587" t="s">
        <v>536</v>
      </c>
      <c r="I197" s="1587" t="s">
        <v>536</v>
      </c>
      <c r="J197" s="1587" t="s">
        <v>536</v>
      </c>
      <c r="K197" s="544">
        <f t="shared" si="7"/>
        <v>4</v>
      </c>
      <c r="L197" s="1594">
        <f t="shared" si="8"/>
        <v>400000</v>
      </c>
      <c r="M197" s="1595"/>
      <c r="N197" s="987" t="s">
        <v>554</v>
      </c>
      <c r="O197" s="987">
        <v>87</v>
      </c>
    </row>
    <row r="198" spans="1:15" ht="18.75" customHeight="1">
      <c r="A198" s="1586">
        <v>184</v>
      </c>
      <c r="B198" s="1587">
        <v>86</v>
      </c>
      <c r="C198" s="1588"/>
      <c r="D198" s="1588"/>
      <c r="E198" s="625" t="s">
        <v>102</v>
      </c>
      <c r="F198" s="1588" t="s">
        <v>15</v>
      </c>
      <c r="G198" s="1587" t="s">
        <v>536</v>
      </c>
      <c r="H198" s="1587" t="s">
        <v>536</v>
      </c>
      <c r="I198" s="1587"/>
      <c r="J198" s="1587"/>
      <c r="K198" s="544">
        <f t="shared" si="7"/>
        <v>2</v>
      </c>
      <c r="L198" s="1594">
        <f t="shared" si="8"/>
        <v>200000</v>
      </c>
      <c r="M198" s="1595"/>
      <c r="N198" s="987" t="s">
        <v>554</v>
      </c>
      <c r="O198" s="987">
        <v>107</v>
      </c>
    </row>
    <row r="199" spans="1:15" ht="18.75" customHeight="1">
      <c r="A199" s="1586">
        <v>185</v>
      </c>
      <c r="B199" s="1587">
        <v>87</v>
      </c>
      <c r="C199" s="1588"/>
      <c r="D199" s="1588"/>
      <c r="E199" s="625" t="s">
        <v>487</v>
      </c>
      <c r="F199" s="1588" t="s">
        <v>15</v>
      </c>
      <c r="G199" s="1587" t="s">
        <v>536</v>
      </c>
      <c r="H199" s="1587" t="s">
        <v>536</v>
      </c>
      <c r="I199" s="1587" t="s">
        <v>536</v>
      </c>
      <c r="J199" s="1587" t="s">
        <v>536</v>
      </c>
      <c r="K199" s="544">
        <f t="shared" si="7"/>
        <v>4</v>
      </c>
      <c r="L199" s="1594">
        <f t="shared" si="8"/>
        <v>400000</v>
      </c>
      <c r="M199" s="1595"/>
      <c r="N199" s="987" t="s">
        <v>554</v>
      </c>
      <c r="O199" s="987">
        <v>94</v>
      </c>
    </row>
    <row r="200" spans="1:15" ht="18.75" customHeight="1">
      <c r="A200" s="1586">
        <v>186</v>
      </c>
      <c r="B200" s="1587">
        <v>88</v>
      </c>
      <c r="C200" s="1588"/>
      <c r="D200" s="1588"/>
      <c r="E200" s="625" t="s">
        <v>488</v>
      </c>
      <c r="F200" s="1588" t="s">
        <v>15</v>
      </c>
      <c r="G200" s="1587" t="s">
        <v>536</v>
      </c>
      <c r="H200" s="1587" t="s">
        <v>536</v>
      </c>
      <c r="I200" s="1587"/>
      <c r="J200" s="1587"/>
      <c r="K200" s="544">
        <f t="shared" si="7"/>
        <v>2</v>
      </c>
      <c r="L200" s="1594">
        <f t="shared" si="8"/>
        <v>200000</v>
      </c>
      <c r="M200" s="1595"/>
      <c r="N200" s="987" t="s">
        <v>554</v>
      </c>
      <c r="O200" s="987">
        <v>108</v>
      </c>
    </row>
    <row r="201" spans="1:15" ht="18.75" customHeight="1">
      <c r="A201" s="1586">
        <v>187</v>
      </c>
      <c r="B201" s="1587">
        <v>89</v>
      </c>
      <c r="C201" s="1588"/>
      <c r="D201" s="1588"/>
      <c r="E201" s="625" t="s">
        <v>489</v>
      </c>
      <c r="F201" s="1588" t="s">
        <v>15</v>
      </c>
      <c r="G201" s="1587" t="s">
        <v>536</v>
      </c>
      <c r="H201" s="1587" t="s">
        <v>536</v>
      </c>
      <c r="I201" s="1587" t="s">
        <v>536</v>
      </c>
      <c r="J201" s="1587" t="s">
        <v>536</v>
      </c>
      <c r="K201" s="544">
        <f t="shared" si="7"/>
        <v>4</v>
      </c>
      <c r="L201" s="1594">
        <f t="shared" si="8"/>
        <v>400000</v>
      </c>
      <c r="M201" s="1595"/>
      <c r="N201" s="987" t="s">
        <v>554</v>
      </c>
      <c r="O201" s="987">
        <v>94</v>
      </c>
    </row>
    <row r="202" spans="1:15" ht="18.75" customHeight="1">
      <c r="A202" s="1586">
        <v>188</v>
      </c>
      <c r="B202" s="1587">
        <v>90</v>
      </c>
      <c r="C202" s="1588"/>
      <c r="D202" s="1588"/>
      <c r="E202" s="625" t="s">
        <v>490</v>
      </c>
      <c r="F202" s="1588" t="s">
        <v>15</v>
      </c>
      <c r="G202" s="1587" t="s">
        <v>536</v>
      </c>
      <c r="H202" s="1587" t="s">
        <v>536</v>
      </c>
      <c r="I202" s="1587" t="s">
        <v>536</v>
      </c>
      <c r="J202" s="1587" t="s">
        <v>536</v>
      </c>
      <c r="K202" s="544">
        <f t="shared" si="7"/>
        <v>4</v>
      </c>
      <c r="L202" s="1594">
        <f t="shared" si="8"/>
        <v>400000</v>
      </c>
      <c r="M202" s="1595"/>
      <c r="N202" s="987" t="s">
        <v>554</v>
      </c>
      <c r="O202" s="987">
        <v>94</v>
      </c>
    </row>
    <row r="203" spans="1:15" ht="18.75" customHeight="1">
      <c r="A203" s="1586">
        <v>189</v>
      </c>
      <c r="B203" s="1587">
        <v>91</v>
      </c>
      <c r="C203" s="1597"/>
      <c r="D203" s="1597"/>
      <c r="E203" s="625" t="s">
        <v>491</v>
      </c>
      <c r="F203" s="1588" t="s">
        <v>15</v>
      </c>
      <c r="G203" s="1587" t="s">
        <v>536</v>
      </c>
      <c r="H203" s="1587" t="s">
        <v>536</v>
      </c>
      <c r="I203" s="1587" t="s">
        <v>536</v>
      </c>
      <c r="J203" s="1587" t="s">
        <v>536</v>
      </c>
      <c r="K203" s="544">
        <f t="shared" si="7"/>
        <v>4</v>
      </c>
      <c r="L203" s="1594">
        <f t="shared" si="8"/>
        <v>400000</v>
      </c>
      <c r="M203" s="1595"/>
      <c r="N203" s="987" t="s">
        <v>554</v>
      </c>
      <c r="O203" s="987">
        <v>69</v>
      </c>
    </row>
    <row r="204" spans="1:15" ht="18.75" customHeight="1">
      <c r="A204" s="1586">
        <v>190</v>
      </c>
      <c r="B204" s="1587">
        <v>92</v>
      </c>
      <c r="C204" s="1597"/>
      <c r="D204" s="1597"/>
      <c r="E204" s="625" t="s">
        <v>492</v>
      </c>
      <c r="F204" s="1588" t="s">
        <v>15</v>
      </c>
      <c r="G204" s="1587"/>
      <c r="H204" s="1587"/>
      <c r="I204" s="1587"/>
      <c r="J204" s="1587" t="s">
        <v>536</v>
      </c>
      <c r="K204" s="544">
        <f t="shared" si="7"/>
        <v>1</v>
      </c>
      <c r="L204" s="1594">
        <f t="shared" si="8"/>
        <v>100000</v>
      </c>
      <c r="M204" s="1595"/>
      <c r="O204" s="987">
        <v>0</v>
      </c>
    </row>
    <row r="205" spans="1:15" ht="18.75" customHeight="1">
      <c r="A205" s="1586">
        <v>191</v>
      </c>
      <c r="B205" s="1587">
        <v>93</v>
      </c>
      <c r="C205" s="1597"/>
      <c r="D205" s="1597"/>
      <c r="E205" s="625" t="s">
        <v>493</v>
      </c>
      <c r="F205" s="1588" t="s">
        <v>15</v>
      </c>
      <c r="G205" s="1587"/>
      <c r="H205" s="1587"/>
      <c r="I205" s="1587"/>
      <c r="J205" s="1587" t="s">
        <v>536</v>
      </c>
      <c r="K205" s="544">
        <f t="shared" si="7"/>
        <v>1</v>
      </c>
      <c r="L205" s="1594">
        <f t="shared" si="8"/>
        <v>100000</v>
      </c>
      <c r="M205" s="1595"/>
      <c r="O205" s="987">
        <v>0</v>
      </c>
    </row>
    <row r="206" spans="1:15" ht="18.75" customHeight="1">
      <c r="A206" s="2260" t="s">
        <v>103</v>
      </c>
      <c r="B206" s="2261"/>
      <c r="C206" s="2261"/>
      <c r="D206" s="2261"/>
      <c r="E206" s="2261"/>
      <c r="F206" s="2262"/>
      <c r="G206" s="544">
        <f>COUNTIF(G207:G217,"X")</f>
        <v>11</v>
      </c>
      <c r="H206" s="544">
        <f>COUNTIF(H207:H217,"X")</f>
        <v>11</v>
      </c>
      <c r="I206" s="544">
        <f>COUNTIF(I207:I217,"X")</f>
        <v>6</v>
      </c>
      <c r="J206" s="544">
        <f>COUNTIF(J207:J217,"X")</f>
        <v>11</v>
      </c>
      <c r="K206" s="544">
        <f>SUM(K207:K217)</f>
        <v>39</v>
      </c>
      <c r="L206" s="1599">
        <f>SUM(L207:L217)</f>
        <v>3900000</v>
      </c>
      <c r="M206" s="1600"/>
      <c r="N206" s="987" t="s">
        <v>536</v>
      </c>
      <c r="O206" s="987">
        <v>0</v>
      </c>
    </row>
    <row r="207" spans="1:15" ht="18.75" customHeight="1">
      <c r="A207" s="1586">
        <v>192</v>
      </c>
      <c r="B207" s="1587">
        <v>1</v>
      </c>
      <c r="C207" s="1588"/>
      <c r="D207" s="1588"/>
      <c r="E207" s="1598" t="s">
        <v>496</v>
      </c>
      <c r="F207" s="1588" t="s">
        <v>15</v>
      </c>
      <c r="G207" s="1587" t="s">
        <v>536</v>
      </c>
      <c r="H207" s="1587" t="s">
        <v>536</v>
      </c>
      <c r="I207" s="1587"/>
      <c r="J207" s="1587" t="s">
        <v>536</v>
      </c>
      <c r="K207" s="544">
        <f t="shared" ref="K207:K217" si="9">COUNTIF(G207:J207,"X")</f>
        <v>3</v>
      </c>
      <c r="L207" s="1594">
        <f t="shared" si="8"/>
        <v>300000</v>
      </c>
      <c r="M207" s="1595"/>
    </row>
    <row r="208" spans="1:15" ht="18.75" customHeight="1">
      <c r="A208" s="1586">
        <v>193</v>
      </c>
      <c r="B208" s="1587">
        <v>2</v>
      </c>
      <c r="C208" s="1588"/>
      <c r="D208" s="1588"/>
      <c r="E208" s="1598" t="s">
        <v>105</v>
      </c>
      <c r="F208" s="1588" t="s">
        <v>15</v>
      </c>
      <c r="G208" s="1587" t="s">
        <v>536</v>
      </c>
      <c r="H208" s="1587" t="s">
        <v>536</v>
      </c>
      <c r="I208" s="1587"/>
      <c r="J208" s="1587" t="s">
        <v>536</v>
      </c>
      <c r="K208" s="544">
        <f t="shared" si="9"/>
        <v>3</v>
      </c>
      <c r="L208" s="1594">
        <f t="shared" si="8"/>
        <v>300000</v>
      </c>
      <c r="M208" s="1595"/>
    </row>
    <row r="209" spans="1:13" ht="18.75" customHeight="1">
      <c r="A209" s="1586">
        <v>194</v>
      </c>
      <c r="B209" s="1587">
        <v>3</v>
      </c>
      <c r="C209" s="1588"/>
      <c r="D209" s="1588"/>
      <c r="E209" s="1598" t="s">
        <v>497</v>
      </c>
      <c r="F209" s="1588" t="s">
        <v>15</v>
      </c>
      <c r="G209" s="1587" t="s">
        <v>536</v>
      </c>
      <c r="H209" s="1587" t="s">
        <v>536</v>
      </c>
      <c r="I209" s="1587" t="s">
        <v>536</v>
      </c>
      <c r="J209" s="1587" t="s">
        <v>536</v>
      </c>
      <c r="K209" s="544">
        <f t="shared" si="9"/>
        <v>4</v>
      </c>
      <c r="L209" s="1594">
        <f t="shared" si="8"/>
        <v>400000</v>
      </c>
      <c r="M209" s="1595"/>
    </row>
    <row r="210" spans="1:13" ht="18.75" customHeight="1">
      <c r="A210" s="1586">
        <v>195</v>
      </c>
      <c r="B210" s="1587">
        <v>4</v>
      </c>
      <c r="C210" s="1588"/>
      <c r="D210" s="1588"/>
      <c r="E210" s="1598" t="s">
        <v>498</v>
      </c>
      <c r="F210" s="1588" t="s">
        <v>15</v>
      </c>
      <c r="G210" s="1587" t="s">
        <v>536</v>
      </c>
      <c r="H210" s="1587" t="s">
        <v>536</v>
      </c>
      <c r="I210" s="1587" t="s">
        <v>536</v>
      </c>
      <c r="J210" s="1587" t="s">
        <v>536</v>
      </c>
      <c r="K210" s="544">
        <f t="shared" si="9"/>
        <v>4</v>
      </c>
      <c r="L210" s="1594">
        <f t="shared" si="8"/>
        <v>400000</v>
      </c>
      <c r="M210" s="1595"/>
    </row>
    <row r="211" spans="1:13" ht="18.75" customHeight="1">
      <c r="A211" s="1586">
        <v>196</v>
      </c>
      <c r="B211" s="1587">
        <v>5</v>
      </c>
      <c r="C211" s="1588"/>
      <c r="D211" s="1588"/>
      <c r="E211" s="1598" t="s">
        <v>108</v>
      </c>
      <c r="F211" s="1588" t="s">
        <v>15</v>
      </c>
      <c r="G211" s="1587" t="s">
        <v>536</v>
      </c>
      <c r="H211" s="1587" t="s">
        <v>536</v>
      </c>
      <c r="I211" s="1587"/>
      <c r="J211" s="1587" t="s">
        <v>536</v>
      </c>
      <c r="K211" s="544">
        <f t="shared" si="9"/>
        <v>3</v>
      </c>
      <c r="L211" s="1594">
        <f t="shared" si="8"/>
        <v>300000</v>
      </c>
      <c r="M211" s="1595"/>
    </row>
    <row r="212" spans="1:13" ht="18.75" customHeight="1">
      <c r="A212" s="1586">
        <v>197</v>
      </c>
      <c r="B212" s="1587">
        <v>6</v>
      </c>
      <c r="C212" s="1588"/>
      <c r="D212" s="1588"/>
      <c r="E212" s="1598" t="s">
        <v>109</v>
      </c>
      <c r="F212" s="1588" t="s">
        <v>15</v>
      </c>
      <c r="G212" s="1587" t="s">
        <v>536</v>
      </c>
      <c r="H212" s="1587" t="s">
        <v>536</v>
      </c>
      <c r="I212" s="1587"/>
      <c r="J212" s="1587" t="s">
        <v>536</v>
      </c>
      <c r="K212" s="544">
        <f t="shared" si="9"/>
        <v>3</v>
      </c>
      <c r="L212" s="1594">
        <f t="shared" si="8"/>
        <v>300000</v>
      </c>
      <c r="M212" s="1595"/>
    </row>
    <row r="213" spans="1:13" ht="18.75" customHeight="1">
      <c r="A213" s="1586">
        <v>198</v>
      </c>
      <c r="B213" s="1587">
        <v>7</v>
      </c>
      <c r="C213" s="1588"/>
      <c r="D213" s="1588"/>
      <c r="E213" s="1598" t="s">
        <v>110</v>
      </c>
      <c r="F213" s="1588" t="s">
        <v>15</v>
      </c>
      <c r="G213" s="1587" t="s">
        <v>536</v>
      </c>
      <c r="H213" s="1587" t="s">
        <v>536</v>
      </c>
      <c r="I213" s="1587"/>
      <c r="J213" s="1587" t="s">
        <v>536</v>
      </c>
      <c r="K213" s="544">
        <f t="shared" si="9"/>
        <v>3</v>
      </c>
      <c r="L213" s="1594">
        <f t="shared" si="8"/>
        <v>300000</v>
      </c>
      <c r="M213" s="1595"/>
    </row>
    <row r="214" spans="1:13" ht="18.75" customHeight="1">
      <c r="A214" s="1586">
        <v>199</v>
      </c>
      <c r="B214" s="1587">
        <v>8</v>
      </c>
      <c r="C214" s="1588"/>
      <c r="D214" s="1588"/>
      <c r="E214" s="1598" t="s">
        <v>111</v>
      </c>
      <c r="F214" s="1588" t="s">
        <v>15</v>
      </c>
      <c r="G214" s="1587" t="s">
        <v>536</v>
      </c>
      <c r="H214" s="1587" t="s">
        <v>536</v>
      </c>
      <c r="I214" s="1587" t="s">
        <v>536</v>
      </c>
      <c r="J214" s="1587" t="s">
        <v>536</v>
      </c>
      <c r="K214" s="544">
        <f t="shared" si="9"/>
        <v>4</v>
      </c>
      <c r="L214" s="1594">
        <f t="shared" si="8"/>
        <v>400000</v>
      </c>
      <c r="M214" s="1595"/>
    </row>
    <row r="215" spans="1:13" ht="18.75" customHeight="1">
      <c r="A215" s="1586">
        <v>200</v>
      </c>
      <c r="B215" s="1587">
        <v>9</v>
      </c>
      <c r="C215" s="1588"/>
      <c r="D215" s="1588"/>
      <c r="E215" s="1598" t="s">
        <v>112</v>
      </c>
      <c r="F215" s="1588" t="s">
        <v>15</v>
      </c>
      <c r="G215" s="1587" t="s">
        <v>536</v>
      </c>
      <c r="H215" s="1587" t="s">
        <v>536</v>
      </c>
      <c r="I215" s="1587" t="s">
        <v>536</v>
      </c>
      <c r="J215" s="1587" t="s">
        <v>536</v>
      </c>
      <c r="K215" s="544">
        <f t="shared" si="9"/>
        <v>4</v>
      </c>
      <c r="L215" s="1594">
        <f t="shared" si="8"/>
        <v>400000</v>
      </c>
      <c r="M215" s="1595"/>
    </row>
    <row r="216" spans="1:13" ht="18.75" customHeight="1">
      <c r="A216" s="1586">
        <v>201</v>
      </c>
      <c r="B216" s="1587">
        <v>10</v>
      </c>
      <c r="C216" s="1588"/>
      <c r="D216" s="1588"/>
      <c r="E216" s="1598" t="s">
        <v>113</v>
      </c>
      <c r="F216" s="1588" t="s">
        <v>15</v>
      </c>
      <c r="G216" s="1587" t="s">
        <v>536</v>
      </c>
      <c r="H216" s="1587" t="s">
        <v>536</v>
      </c>
      <c r="I216" s="1587" t="s">
        <v>536</v>
      </c>
      <c r="J216" s="1587" t="s">
        <v>536</v>
      </c>
      <c r="K216" s="544">
        <f t="shared" si="9"/>
        <v>4</v>
      </c>
      <c r="L216" s="1594">
        <f t="shared" si="8"/>
        <v>400000</v>
      </c>
      <c r="M216" s="1595"/>
    </row>
    <row r="217" spans="1:13" ht="18.75" customHeight="1">
      <c r="A217" s="1586">
        <v>202</v>
      </c>
      <c r="B217" s="1587">
        <v>11</v>
      </c>
      <c r="C217" s="1588"/>
      <c r="D217" s="1588"/>
      <c r="E217" s="1598" t="s">
        <v>499</v>
      </c>
      <c r="F217" s="1588" t="s">
        <v>15</v>
      </c>
      <c r="G217" s="1587" t="s">
        <v>536</v>
      </c>
      <c r="H217" s="1587" t="s">
        <v>536</v>
      </c>
      <c r="I217" s="1587" t="s">
        <v>536</v>
      </c>
      <c r="J217" s="1587" t="s">
        <v>536</v>
      </c>
      <c r="K217" s="544">
        <f t="shared" si="9"/>
        <v>4</v>
      </c>
      <c r="L217" s="1594">
        <f t="shared" si="8"/>
        <v>400000</v>
      </c>
      <c r="M217" s="1595"/>
    </row>
    <row r="218" spans="1:13" ht="18.75" customHeight="1">
      <c r="A218" s="2260" t="s">
        <v>115</v>
      </c>
      <c r="B218" s="2261"/>
      <c r="C218" s="2261"/>
      <c r="D218" s="2261"/>
      <c r="E218" s="2261"/>
      <c r="F218" s="2262"/>
      <c r="G218" s="544">
        <f>COUNTIF(G219:G225,"X")</f>
        <v>7</v>
      </c>
      <c r="H218" s="544">
        <f>COUNTIF(H219:H225,"X")</f>
        <v>7</v>
      </c>
      <c r="I218" s="544">
        <f>COUNTIF(I219:I225,"X")</f>
        <v>7</v>
      </c>
      <c r="J218" s="544">
        <f>COUNTIF(J219:J225,"X")</f>
        <v>7</v>
      </c>
      <c r="K218" s="544">
        <f>SUM(K219:K225)</f>
        <v>28</v>
      </c>
      <c r="L218" s="1599">
        <f>SUM(L219:L225)</f>
        <v>2800000</v>
      </c>
      <c r="M218" s="1595"/>
    </row>
    <row r="219" spans="1:13" ht="18.75" customHeight="1">
      <c r="A219" s="1586">
        <v>203</v>
      </c>
      <c r="B219" s="1587">
        <v>1</v>
      </c>
      <c r="C219" s="1588"/>
      <c r="D219" s="1588"/>
      <c r="E219" s="1598" t="s">
        <v>500</v>
      </c>
      <c r="F219" s="1588" t="s">
        <v>15</v>
      </c>
      <c r="G219" s="1587" t="s">
        <v>536</v>
      </c>
      <c r="H219" s="1587" t="s">
        <v>536</v>
      </c>
      <c r="I219" s="1587" t="s">
        <v>536</v>
      </c>
      <c r="J219" s="1587" t="s">
        <v>536</v>
      </c>
      <c r="K219" s="544">
        <f t="shared" ref="K219:K225" si="10">COUNTIF(G219:J219,"X")</f>
        <v>4</v>
      </c>
      <c r="L219" s="1594">
        <f t="shared" si="8"/>
        <v>400000</v>
      </c>
      <c r="M219" s="1595"/>
    </row>
    <row r="220" spans="1:13" ht="18.75" customHeight="1">
      <c r="A220" s="1586">
        <v>204</v>
      </c>
      <c r="B220" s="1587">
        <v>2</v>
      </c>
      <c r="C220" s="1588"/>
      <c r="D220" s="1588"/>
      <c r="E220" s="1598" t="s">
        <v>501</v>
      </c>
      <c r="F220" s="1588" t="s">
        <v>15</v>
      </c>
      <c r="G220" s="1587" t="s">
        <v>536</v>
      </c>
      <c r="H220" s="1587" t="s">
        <v>536</v>
      </c>
      <c r="I220" s="1587" t="s">
        <v>536</v>
      </c>
      <c r="J220" s="1587" t="s">
        <v>536</v>
      </c>
      <c r="K220" s="544">
        <f t="shared" si="10"/>
        <v>4</v>
      </c>
      <c r="L220" s="1594">
        <f t="shared" si="8"/>
        <v>400000</v>
      </c>
      <c r="M220" s="1595"/>
    </row>
    <row r="221" spans="1:13" ht="18.75" customHeight="1">
      <c r="A221" s="1586">
        <v>205</v>
      </c>
      <c r="B221" s="1587">
        <v>3</v>
      </c>
      <c r="C221" s="1588"/>
      <c r="D221" s="1588"/>
      <c r="E221" s="1598" t="s">
        <v>119</v>
      </c>
      <c r="F221" s="1588" t="s">
        <v>15</v>
      </c>
      <c r="G221" s="1587" t="s">
        <v>536</v>
      </c>
      <c r="H221" s="1587" t="s">
        <v>536</v>
      </c>
      <c r="I221" s="1587" t="s">
        <v>536</v>
      </c>
      <c r="J221" s="1587" t="s">
        <v>536</v>
      </c>
      <c r="K221" s="544">
        <f t="shared" si="10"/>
        <v>4</v>
      </c>
      <c r="L221" s="1594">
        <f t="shared" si="8"/>
        <v>400000</v>
      </c>
      <c r="M221" s="1595"/>
    </row>
    <row r="222" spans="1:13" ht="18.75" customHeight="1">
      <c r="A222" s="1586">
        <v>206</v>
      </c>
      <c r="B222" s="1587">
        <v>4</v>
      </c>
      <c r="C222" s="1588"/>
      <c r="D222" s="1588"/>
      <c r="E222" s="1598" t="s">
        <v>120</v>
      </c>
      <c r="F222" s="1588" t="s">
        <v>15</v>
      </c>
      <c r="G222" s="1587" t="s">
        <v>536</v>
      </c>
      <c r="H222" s="1587" t="s">
        <v>536</v>
      </c>
      <c r="I222" s="1587" t="s">
        <v>536</v>
      </c>
      <c r="J222" s="1587" t="s">
        <v>536</v>
      </c>
      <c r="K222" s="544">
        <f t="shared" si="10"/>
        <v>4</v>
      </c>
      <c r="L222" s="1594">
        <f t="shared" si="8"/>
        <v>400000</v>
      </c>
      <c r="M222" s="1595"/>
    </row>
    <row r="223" spans="1:13" ht="18.75" customHeight="1">
      <c r="A223" s="1586">
        <v>207</v>
      </c>
      <c r="B223" s="1587">
        <v>5</v>
      </c>
      <c r="C223" s="1588"/>
      <c r="D223" s="1588"/>
      <c r="E223" s="1598" t="s">
        <v>117</v>
      </c>
      <c r="F223" s="1588" t="s">
        <v>15</v>
      </c>
      <c r="G223" s="1587" t="s">
        <v>536</v>
      </c>
      <c r="H223" s="1587" t="s">
        <v>536</v>
      </c>
      <c r="I223" s="1587" t="s">
        <v>536</v>
      </c>
      <c r="J223" s="1587" t="s">
        <v>536</v>
      </c>
      <c r="K223" s="544">
        <f t="shared" si="10"/>
        <v>4</v>
      </c>
      <c r="L223" s="1594">
        <f t="shared" si="8"/>
        <v>400000</v>
      </c>
      <c r="M223" s="1595"/>
    </row>
    <row r="224" spans="1:13" ht="18.75" customHeight="1">
      <c r="A224" s="1586">
        <v>208</v>
      </c>
      <c r="B224" s="1587">
        <v>6</v>
      </c>
      <c r="C224" s="1588"/>
      <c r="D224" s="1588"/>
      <c r="E224" s="1598" t="s">
        <v>122</v>
      </c>
      <c r="F224" s="1588" t="s">
        <v>15</v>
      </c>
      <c r="G224" s="1587" t="s">
        <v>536</v>
      </c>
      <c r="H224" s="1587" t="s">
        <v>536</v>
      </c>
      <c r="I224" s="1587" t="s">
        <v>536</v>
      </c>
      <c r="J224" s="1587" t="s">
        <v>536</v>
      </c>
      <c r="K224" s="544">
        <f t="shared" si="10"/>
        <v>4</v>
      </c>
      <c r="L224" s="1594">
        <f t="shared" si="8"/>
        <v>400000</v>
      </c>
      <c r="M224" s="1595"/>
    </row>
    <row r="225" spans="1:13" ht="18.75" customHeight="1">
      <c r="A225" s="1586">
        <v>209</v>
      </c>
      <c r="B225" s="1587">
        <v>7</v>
      </c>
      <c r="C225" s="1588"/>
      <c r="D225" s="1588"/>
      <c r="E225" s="1598" t="s">
        <v>121</v>
      </c>
      <c r="F225" s="1588" t="s">
        <v>15</v>
      </c>
      <c r="G225" s="1587" t="s">
        <v>536</v>
      </c>
      <c r="H225" s="1587" t="s">
        <v>536</v>
      </c>
      <c r="I225" s="1587" t="s">
        <v>536</v>
      </c>
      <c r="J225" s="1587" t="s">
        <v>536</v>
      </c>
      <c r="K225" s="544">
        <f t="shared" si="10"/>
        <v>4</v>
      </c>
      <c r="L225" s="1594">
        <f t="shared" si="8"/>
        <v>400000</v>
      </c>
      <c r="M225" s="1595"/>
    </row>
    <row r="226" spans="1:13" ht="18.75" customHeight="1">
      <c r="A226" s="2260" t="s">
        <v>123</v>
      </c>
      <c r="B226" s="2261"/>
      <c r="C226" s="2261"/>
      <c r="D226" s="2261"/>
      <c r="E226" s="2261"/>
      <c r="F226" s="2262"/>
      <c r="G226" s="544">
        <f>COUNTIF(G227:G308,"X")</f>
        <v>82</v>
      </c>
      <c r="H226" s="544">
        <f>COUNTIF(H227:H308,"X")</f>
        <v>80</v>
      </c>
      <c r="I226" s="544">
        <f>COUNTIF(I227:I308,"X")</f>
        <v>82</v>
      </c>
      <c r="J226" s="544">
        <f>COUNTIF(J227:J308,"X")</f>
        <v>82</v>
      </c>
      <c r="K226" s="544">
        <f>SUM(K227:K308)</f>
        <v>326</v>
      </c>
      <c r="L226" s="1599">
        <f>SUM(L227:L308)</f>
        <v>32600000</v>
      </c>
      <c r="M226" s="1595"/>
    </row>
    <row r="227" spans="1:13" ht="18.75" customHeight="1">
      <c r="A227" s="1586">
        <v>210</v>
      </c>
      <c r="B227" s="1587">
        <v>1</v>
      </c>
      <c r="C227" s="1588"/>
      <c r="D227" s="1588"/>
      <c r="E227" s="1598" t="s">
        <v>124</v>
      </c>
      <c r="F227" s="1588" t="s">
        <v>15</v>
      </c>
      <c r="G227" s="1587" t="s">
        <v>536</v>
      </c>
      <c r="H227" s="1587" t="s">
        <v>536</v>
      </c>
      <c r="I227" s="1587" t="s">
        <v>536</v>
      </c>
      <c r="J227" s="1587" t="s">
        <v>536</v>
      </c>
      <c r="K227" s="544">
        <f t="shared" ref="K227:K290" si="11">COUNTIF(G227:J227,"X")</f>
        <v>4</v>
      </c>
      <c r="L227" s="1594">
        <f t="shared" si="8"/>
        <v>400000</v>
      </c>
      <c r="M227" s="1595"/>
    </row>
    <row r="228" spans="1:13" ht="18.75" customHeight="1">
      <c r="A228" s="1586">
        <v>211</v>
      </c>
      <c r="B228" s="1587">
        <v>2</v>
      </c>
      <c r="C228" s="1588"/>
      <c r="D228" s="1588"/>
      <c r="E228" s="1598" t="s">
        <v>125</v>
      </c>
      <c r="F228" s="1588" t="s">
        <v>15</v>
      </c>
      <c r="G228" s="1587" t="s">
        <v>536</v>
      </c>
      <c r="H228" s="1587" t="s">
        <v>536</v>
      </c>
      <c r="I228" s="1587" t="s">
        <v>536</v>
      </c>
      <c r="J228" s="1587" t="s">
        <v>536</v>
      </c>
      <c r="K228" s="544">
        <f t="shared" si="11"/>
        <v>4</v>
      </c>
      <c r="L228" s="1594">
        <f t="shared" si="8"/>
        <v>400000</v>
      </c>
      <c r="M228" s="1595"/>
    </row>
    <row r="229" spans="1:13" ht="18.75" customHeight="1">
      <c r="A229" s="1586">
        <v>212</v>
      </c>
      <c r="B229" s="1587">
        <v>3</v>
      </c>
      <c r="C229" s="1588"/>
      <c r="D229" s="1588"/>
      <c r="E229" s="1598" t="s">
        <v>560</v>
      </c>
      <c r="F229" s="1588" t="s">
        <v>15</v>
      </c>
      <c r="G229" s="1587" t="s">
        <v>536</v>
      </c>
      <c r="H229" s="1587" t="s">
        <v>536</v>
      </c>
      <c r="I229" s="1587" t="s">
        <v>536</v>
      </c>
      <c r="J229" s="1587" t="s">
        <v>536</v>
      </c>
      <c r="K229" s="544">
        <f t="shared" si="11"/>
        <v>4</v>
      </c>
      <c r="L229" s="1594">
        <f t="shared" si="8"/>
        <v>400000</v>
      </c>
      <c r="M229" s="1595"/>
    </row>
    <row r="230" spans="1:13" ht="18.75" customHeight="1">
      <c r="A230" s="1586">
        <v>213</v>
      </c>
      <c r="B230" s="1587">
        <v>4</v>
      </c>
      <c r="C230" s="1588"/>
      <c r="D230" s="1588"/>
      <c r="E230" s="1598" t="s">
        <v>127</v>
      </c>
      <c r="F230" s="1588" t="s">
        <v>15</v>
      </c>
      <c r="G230" s="1587" t="s">
        <v>536</v>
      </c>
      <c r="H230" s="1587" t="s">
        <v>536</v>
      </c>
      <c r="I230" s="1587" t="s">
        <v>536</v>
      </c>
      <c r="J230" s="1587" t="s">
        <v>536</v>
      </c>
      <c r="K230" s="544">
        <f t="shared" si="11"/>
        <v>4</v>
      </c>
      <c r="L230" s="1594">
        <f t="shared" si="8"/>
        <v>400000</v>
      </c>
      <c r="M230" s="1595"/>
    </row>
    <row r="231" spans="1:13" ht="18.75" customHeight="1">
      <c r="A231" s="1586">
        <v>214</v>
      </c>
      <c r="B231" s="1587">
        <v>5</v>
      </c>
      <c r="C231" s="1588"/>
      <c r="D231" s="1588"/>
      <c r="E231" s="1598" t="s">
        <v>128</v>
      </c>
      <c r="F231" s="1588" t="s">
        <v>15</v>
      </c>
      <c r="G231" s="1587" t="s">
        <v>536</v>
      </c>
      <c r="H231" s="1587" t="s">
        <v>536</v>
      </c>
      <c r="I231" s="1587" t="s">
        <v>536</v>
      </c>
      <c r="J231" s="1587" t="s">
        <v>536</v>
      </c>
      <c r="K231" s="544">
        <f t="shared" si="11"/>
        <v>4</v>
      </c>
      <c r="L231" s="1594">
        <f t="shared" si="8"/>
        <v>400000</v>
      </c>
      <c r="M231" s="1595"/>
    </row>
    <row r="232" spans="1:13" ht="18.75" customHeight="1">
      <c r="A232" s="1586">
        <v>215</v>
      </c>
      <c r="B232" s="1587">
        <v>6</v>
      </c>
      <c r="C232" s="1588"/>
      <c r="D232" s="1588"/>
      <c r="E232" s="1598" t="s">
        <v>129</v>
      </c>
      <c r="F232" s="1588" t="s">
        <v>15</v>
      </c>
      <c r="G232" s="1587" t="s">
        <v>536</v>
      </c>
      <c r="H232" s="1587" t="s">
        <v>536</v>
      </c>
      <c r="I232" s="1587" t="s">
        <v>536</v>
      </c>
      <c r="J232" s="1587" t="s">
        <v>536</v>
      </c>
      <c r="K232" s="544">
        <f t="shared" si="11"/>
        <v>4</v>
      </c>
      <c r="L232" s="1594">
        <f t="shared" si="8"/>
        <v>400000</v>
      </c>
      <c r="M232" s="1595"/>
    </row>
    <row r="233" spans="1:13" ht="18.75" customHeight="1">
      <c r="A233" s="1586">
        <v>216</v>
      </c>
      <c r="B233" s="1587">
        <v>7</v>
      </c>
      <c r="C233" s="1588"/>
      <c r="D233" s="1588"/>
      <c r="E233" s="1598" t="s">
        <v>561</v>
      </c>
      <c r="F233" s="1588" t="s">
        <v>15</v>
      </c>
      <c r="G233" s="1587" t="s">
        <v>536</v>
      </c>
      <c r="H233" s="1587" t="s">
        <v>536</v>
      </c>
      <c r="I233" s="1587" t="s">
        <v>536</v>
      </c>
      <c r="J233" s="1587" t="s">
        <v>536</v>
      </c>
      <c r="K233" s="544">
        <f t="shared" si="11"/>
        <v>4</v>
      </c>
      <c r="L233" s="1594">
        <f t="shared" si="8"/>
        <v>400000</v>
      </c>
      <c r="M233" s="1595"/>
    </row>
    <row r="234" spans="1:13" ht="18.75" customHeight="1">
      <c r="A234" s="1586">
        <v>217</v>
      </c>
      <c r="B234" s="1587">
        <v>8</v>
      </c>
      <c r="C234" s="1588"/>
      <c r="D234" s="1588"/>
      <c r="E234" s="1598" t="s">
        <v>131</v>
      </c>
      <c r="F234" s="1588" t="s">
        <v>15</v>
      </c>
      <c r="G234" s="1587" t="s">
        <v>536</v>
      </c>
      <c r="H234" s="1587" t="s">
        <v>536</v>
      </c>
      <c r="I234" s="1587" t="s">
        <v>536</v>
      </c>
      <c r="J234" s="1587" t="s">
        <v>536</v>
      </c>
      <c r="K234" s="544">
        <f t="shared" si="11"/>
        <v>4</v>
      </c>
      <c r="L234" s="1594">
        <f t="shared" si="8"/>
        <v>400000</v>
      </c>
      <c r="M234" s="1595"/>
    </row>
    <row r="235" spans="1:13" ht="18.75" customHeight="1">
      <c r="A235" s="1586">
        <v>218</v>
      </c>
      <c r="B235" s="1587">
        <v>9</v>
      </c>
      <c r="C235" s="1588"/>
      <c r="D235" s="1588"/>
      <c r="E235" s="1598" t="s">
        <v>132</v>
      </c>
      <c r="F235" s="1588" t="s">
        <v>15</v>
      </c>
      <c r="G235" s="1587" t="s">
        <v>536</v>
      </c>
      <c r="H235" s="1587" t="s">
        <v>536</v>
      </c>
      <c r="I235" s="1587" t="s">
        <v>536</v>
      </c>
      <c r="J235" s="1587" t="s">
        <v>536</v>
      </c>
      <c r="K235" s="544">
        <f t="shared" si="11"/>
        <v>4</v>
      </c>
      <c r="L235" s="1594">
        <f t="shared" si="8"/>
        <v>400000</v>
      </c>
      <c r="M235" s="1595"/>
    </row>
    <row r="236" spans="1:13" ht="18.75" customHeight="1">
      <c r="A236" s="1586">
        <v>219</v>
      </c>
      <c r="B236" s="1587">
        <v>10</v>
      </c>
      <c r="C236" s="1588"/>
      <c r="D236" s="1588"/>
      <c r="E236" s="1598" t="s">
        <v>133</v>
      </c>
      <c r="F236" s="1588" t="s">
        <v>15</v>
      </c>
      <c r="G236" s="1587" t="s">
        <v>536</v>
      </c>
      <c r="H236" s="1587" t="s">
        <v>536</v>
      </c>
      <c r="I236" s="1587" t="s">
        <v>536</v>
      </c>
      <c r="J236" s="1587" t="s">
        <v>536</v>
      </c>
      <c r="K236" s="544">
        <f t="shared" si="11"/>
        <v>4</v>
      </c>
      <c r="L236" s="1594">
        <f t="shared" si="8"/>
        <v>400000</v>
      </c>
      <c r="M236" s="1595"/>
    </row>
    <row r="237" spans="1:13" ht="18.75" customHeight="1">
      <c r="A237" s="1586">
        <v>220</v>
      </c>
      <c r="B237" s="1587">
        <v>11</v>
      </c>
      <c r="C237" s="1588"/>
      <c r="D237" s="1588"/>
      <c r="E237" s="1598" t="s">
        <v>134</v>
      </c>
      <c r="F237" s="1588" t="s">
        <v>15</v>
      </c>
      <c r="G237" s="1587" t="s">
        <v>536</v>
      </c>
      <c r="H237" s="1587" t="s">
        <v>536</v>
      </c>
      <c r="I237" s="1587" t="s">
        <v>536</v>
      </c>
      <c r="J237" s="1587" t="s">
        <v>536</v>
      </c>
      <c r="K237" s="544">
        <f t="shared" si="11"/>
        <v>4</v>
      </c>
      <c r="L237" s="1594">
        <f t="shared" si="8"/>
        <v>400000</v>
      </c>
      <c r="M237" s="1595"/>
    </row>
    <row r="238" spans="1:13" ht="18.75" customHeight="1">
      <c r="A238" s="1586">
        <v>221</v>
      </c>
      <c r="B238" s="1587">
        <v>12</v>
      </c>
      <c r="C238" s="1588"/>
      <c r="D238" s="1588"/>
      <c r="E238" s="1598" t="s">
        <v>135</v>
      </c>
      <c r="F238" s="1588" t="s">
        <v>15</v>
      </c>
      <c r="G238" s="1587" t="s">
        <v>536</v>
      </c>
      <c r="H238" s="1587" t="s">
        <v>536</v>
      </c>
      <c r="I238" s="1587" t="s">
        <v>536</v>
      </c>
      <c r="J238" s="1587" t="s">
        <v>536</v>
      </c>
      <c r="K238" s="544">
        <f t="shared" si="11"/>
        <v>4</v>
      </c>
      <c r="L238" s="1594">
        <f t="shared" si="8"/>
        <v>400000</v>
      </c>
      <c r="M238" s="1595"/>
    </row>
    <row r="239" spans="1:13" ht="18.75" customHeight="1">
      <c r="A239" s="1586">
        <v>222</v>
      </c>
      <c r="B239" s="1587">
        <v>13</v>
      </c>
      <c r="C239" s="1588"/>
      <c r="D239" s="1588"/>
      <c r="E239" s="1598" t="s">
        <v>136</v>
      </c>
      <c r="F239" s="1588" t="s">
        <v>15</v>
      </c>
      <c r="G239" s="1587" t="s">
        <v>536</v>
      </c>
      <c r="H239" s="1587" t="s">
        <v>536</v>
      </c>
      <c r="I239" s="1587" t="s">
        <v>536</v>
      </c>
      <c r="J239" s="1587" t="s">
        <v>536</v>
      </c>
      <c r="K239" s="544">
        <f t="shared" si="11"/>
        <v>4</v>
      </c>
      <c r="L239" s="1594">
        <f t="shared" si="8"/>
        <v>400000</v>
      </c>
      <c r="M239" s="1595"/>
    </row>
    <row r="240" spans="1:13" ht="18.75" customHeight="1">
      <c r="A240" s="1586">
        <v>223</v>
      </c>
      <c r="B240" s="1587">
        <v>14</v>
      </c>
      <c r="C240" s="1588"/>
      <c r="D240" s="1588"/>
      <c r="E240" s="1598" t="s">
        <v>562</v>
      </c>
      <c r="F240" s="1588" t="s">
        <v>15</v>
      </c>
      <c r="G240" s="1587" t="s">
        <v>536</v>
      </c>
      <c r="H240" s="1587" t="s">
        <v>536</v>
      </c>
      <c r="I240" s="1587" t="s">
        <v>536</v>
      </c>
      <c r="J240" s="1587" t="s">
        <v>536</v>
      </c>
      <c r="K240" s="544">
        <f t="shared" si="11"/>
        <v>4</v>
      </c>
      <c r="L240" s="1594">
        <f t="shared" si="8"/>
        <v>400000</v>
      </c>
      <c r="M240" s="1595"/>
    </row>
    <row r="241" spans="1:13" ht="18.75" customHeight="1">
      <c r="A241" s="1586">
        <v>224</v>
      </c>
      <c r="B241" s="1587">
        <v>15</v>
      </c>
      <c r="C241" s="1588"/>
      <c r="D241" s="1588"/>
      <c r="E241" s="1598" t="s">
        <v>563</v>
      </c>
      <c r="F241" s="1588" t="s">
        <v>15</v>
      </c>
      <c r="G241" s="1587" t="s">
        <v>536</v>
      </c>
      <c r="H241" s="1587" t="s">
        <v>536</v>
      </c>
      <c r="I241" s="1587" t="s">
        <v>536</v>
      </c>
      <c r="J241" s="1587" t="s">
        <v>536</v>
      </c>
      <c r="K241" s="544">
        <f t="shared" si="11"/>
        <v>4</v>
      </c>
      <c r="L241" s="1594">
        <f t="shared" ref="L241:L304" si="12">K241*100000</f>
        <v>400000</v>
      </c>
      <c r="M241" s="1595"/>
    </row>
    <row r="242" spans="1:13" ht="18.75" customHeight="1">
      <c r="A242" s="1586">
        <v>225</v>
      </c>
      <c r="B242" s="1587">
        <v>16</v>
      </c>
      <c r="C242" s="1588"/>
      <c r="D242" s="1588"/>
      <c r="E242" s="1598" t="s">
        <v>139</v>
      </c>
      <c r="F242" s="1588" t="s">
        <v>15</v>
      </c>
      <c r="G242" s="1587" t="s">
        <v>536</v>
      </c>
      <c r="H242" s="1587" t="s">
        <v>536</v>
      </c>
      <c r="I242" s="1587" t="s">
        <v>536</v>
      </c>
      <c r="J242" s="1587" t="s">
        <v>536</v>
      </c>
      <c r="K242" s="544">
        <f t="shared" si="11"/>
        <v>4</v>
      </c>
      <c r="L242" s="1594">
        <f t="shared" si="12"/>
        <v>400000</v>
      </c>
      <c r="M242" s="1595"/>
    </row>
    <row r="243" spans="1:13" ht="18.75" customHeight="1">
      <c r="A243" s="1586">
        <v>226</v>
      </c>
      <c r="B243" s="1587">
        <v>17</v>
      </c>
      <c r="C243" s="1588"/>
      <c r="D243" s="1588"/>
      <c r="E243" s="1598" t="s">
        <v>481</v>
      </c>
      <c r="F243" s="1588" t="s">
        <v>15</v>
      </c>
      <c r="G243" s="1587" t="s">
        <v>536</v>
      </c>
      <c r="H243" s="1587" t="s">
        <v>536</v>
      </c>
      <c r="I243" s="1587" t="s">
        <v>536</v>
      </c>
      <c r="J243" s="1587" t="s">
        <v>536</v>
      </c>
      <c r="K243" s="544">
        <f t="shared" si="11"/>
        <v>4</v>
      </c>
      <c r="L243" s="1594">
        <f t="shared" si="12"/>
        <v>400000</v>
      </c>
      <c r="M243" s="1595"/>
    </row>
    <row r="244" spans="1:13" ht="18.75" customHeight="1">
      <c r="A244" s="1586">
        <v>227</v>
      </c>
      <c r="B244" s="1587">
        <v>18</v>
      </c>
      <c r="C244" s="1588"/>
      <c r="D244" s="1588"/>
      <c r="E244" s="1598" t="s">
        <v>564</v>
      </c>
      <c r="F244" s="1588" t="s">
        <v>15</v>
      </c>
      <c r="G244" s="1587" t="s">
        <v>536</v>
      </c>
      <c r="H244" s="1587" t="s">
        <v>536</v>
      </c>
      <c r="I244" s="1587" t="s">
        <v>536</v>
      </c>
      <c r="J244" s="1587" t="s">
        <v>536</v>
      </c>
      <c r="K244" s="544">
        <f t="shared" si="11"/>
        <v>4</v>
      </c>
      <c r="L244" s="1594">
        <f t="shared" si="12"/>
        <v>400000</v>
      </c>
      <c r="M244" s="1595"/>
    </row>
    <row r="245" spans="1:13" ht="18.75" customHeight="1">
      <c r="A245" s="1586">
        <v>228</v>
      </c>
      <c r="B245" s="1587">
        <v>19</v>
      </c>
      <c r="C245" s="1588"/>
      <c r="D245" s="1588"/>
      <c r="E245" s="1598" t="s">
        <v>142</v>
      </c>
      <c r="F245" s="1588" t="s">
        <v>15</v>
      </c>
      <c r="G245" s="1587" t="s">
        <v>536</v>
      </c>
      <c r="H245" s="1587" t="s">
        <v>536</v>
      </c>
      <c r="I245" s="1587" t="s">
        <v>536</v>
      </c>
      <c r="J245" s="1587" t="s">
        <v>536</v>
      </c>
      <c r="K245" s="544">
        <f t="shared" si="11"/>
        <v>4</v>
      </c>
      <c r="L245" s="1594">
        <f t="shared" si="12"/>
        <v>400000</v>
      </c>
      <c r="M245" s="1595"/>
    </row>
    <row r="246" spans="1:13" ht="18.75" customHeight="1">
      <c r="A246" s="1586">
        <v>229</v>
      </c>
      <c r="B246" s="1587">
        <v>20</v>
      </c>
      <c r="C246" s="1588"/>
      <c r="D246" s="1588"/>
      <c r="E246" s="1598" t="s">
        <v>143</v>
      </c>
      <c r="F246" s="1588" t="s">
        <v>15</v>
      </c>
      <c r="G246" s="1587" t="s">
        <v>536</v>
      </c>
      <c r="H246" s="1587" t="s">
        <v>536</v>
      </c>
      <c r="I246" s="1587" t="s">
        <v>536</v>
      </c>
      <c r="J246" s="1587" t="s">
        <v>536</v>
      </c>
      <c r="K246" s="544">
        <f t="shared" si="11"/>
        <v>4</v>
      </c>
      <c r="L246" s="1594">
        <f t="shared" si="12"/>
        <v>400000</v>
      </c>
      <c r="M246" s="1595"/>
    </row>
    <row r="247" spans="1:13" ht="18.75" customHeight="1">
      <c r="A247" s="1586">
        <v>230</v>
      </c>
      <c r="B247" s="1587">
        <v>21</v>
      </c>
      <c r="C247" s="1588"/>
      <c r="D247" s="1588"/>
      <c r="E247" s="1598" t="s">
        <v>144</v>
      </c>
      <c r="F247" s="1588" t="s">
        <v>15</v>
      </c>
      <c r="G247" s="1587" t="s">
        <v>536</v>
      </c>
      <c r="H247" s="1587" t="s">
        <v>536</v>
      </c>
      <c r="I247" s="1587" t="s">
        <v>536</v>
      </c>
      <c r="J247" s="1587" t="s">
        <v>536</v>
      </c>
      <c r="K247" s="544">
        <f t="shared" si="11"/>
        <v>4</v>
      </c>
      <c r="L247" s="1594">
        <f t="shared" si="12"/>
        <v>400000</v>
      </c>
      <c r="M247" s="1595"/>
    </row>
    <row r="248" spans="1:13" ht="18.75" customHeight="1">
      <c r="A248" s="1586">
        <v>231</v>
      </c>
      <c r="B248" s="1587">
        <v>22</v>
      </c>
      <c r="C248" s="1588"/>
      <c r="D248" s="1588"/>
      <c r="E248" s="1598" t="s">
        <v>145</v>
      </c>
      <c r="F248" s="1588" t="s">
        <v>15</v>
      </c>
      <c r="G248" s="1587" t="s">
        <v>536</v>
      </c>
      <c r="H248" s="1587" t="s">
        <v>536</v>
      </c>
      <c r="I248" s="1587" t="s">
        <v>536</v>
      </c>
      <c r="J248" s="1587" t="s">
        <v>536</v>
      </c>
      <c r="K248" s="544">
        <f t="shared" si="11"/>
        <v>4</v>
      </c>
      <c r="L248" s="1594">
        <f t="shared" si="12"/>
        <v>400000</v>
      </c>
      <c r="M248" s="1595"/>
    </row>
    <row r="249" spans="1:13" ht="18.75" customHeight="1">
      <c r="A249" s="1586">
        <v>232</v>
      </c>
      <c r="B249" s="1587">
        <v>23</v>
      </c>
      <c r="C249" s="1588"/>
      <c r="D249" s="1588"/>
      <c r="E249" s="1598" t="s">
        <v>565</v>
      </c>
      <c r="F249" s="1588" t="s">
        <v>15</v>
      </c>
      <c r="G249" s="1587" t="s">
        <v>536</v>
      </c>
      <c r="H249" s="1587" t="s">
        <v>536</v>
      </c>
      <c r="I249" s="1587" t="s">
        <v>536</v>
      </c>
      <c r="J249" s="1587" t="s">
        <v>536</v>
      </c>
      <c r="K249" s="544">
        <f t="shared" si="11"/>
        <v>4</v>
      </c>
      <c r="L249" s="1594">
        <f t="shared" si="12"/>
        <v>400000</v>
      </c>
      <c r="M249" s="1595"/>
    </row>
    <row r="250" spans="1:13" ht="18.75" customHeight="1">
      <c r="A250" s="1586">
        <v>233</v>
      </c>
      <c r="B250" s="1587">
        <v>24</v>
      </c>
      <c r="C250" s="1588"/>
      <c r="D250" s="1588"/>
      <c r="E250" s="1598" t="s">
        <v>147</v>
      </c>
      <c r="F250" s="1588" t="s">
        <v>15</v>
      </c>
      <c r="G250" s="1587" t="s">
        <v>536</v>
      </c>
      <c r="H250" s="1587" t="s">
        <v>536</v>
      </c>
      <c r="I250" s="1587" t="s">
        <v>536</v>
      </c>
      <c r="J250" s="1587" t="s">
        <v>536</v>
      </c>
      <c r="K250" s="544">
        <f t="shared" si="11"/>
        <v>4</v>
      </c>
      <c r="L250" s="1594">
        <f t="shared" si="12"/>
        <v>400000</v>
      </c>
      <c r="M250" s="1595"/>
    </row>
    <row r="251" spans="1:13" ht="18.75" customHeight="1">
      <c r="A251" s="1586">
        <v>234</v>
      </c>
      <c r="B251" s="1587">
        <v>25</v>
      </c>
      <c r="C251" s="1588"/>
      <c r="D251" s="1588"/>
      <c r="E251" s="1598" t="s">
        <v>566</v>
      </c>
      <c r="F251" s="1588" t="s">
        <v>15</v>
      </c>
      <c r="G251" s="1587" t="s">
        <v>536</v>
      </c>
      <c r="H251" s="1587" t="s">
        <v>536</v>
      </c>
      <c r="I251" s="1587" t="s">
        <v>536</v>
      </c>
      <c r="J251" s="1587" t="s">
        <v>536</v>
      </c>
      <c r="K251" s="544">
        <f t="shared" si="11"/>
        <v>4</v>
      </c>
      <c r="L251" s="1594">
        <f t="shared" si="12"/>
        <v>400000</v>
      </c>
      <c r="M251" s="1595"/>
    </row>
    <row r="252" spans="1:13" ht="18.75" customHeight="1">
      <c r="A252" s="1586">
        <v>235</v>
      </c>
      <c r="B252" s="1587">
        <v>26</v>
      </c>
      <c r="C252" s="1588"/>
      <c r="D252" s="1588"/>
      <c r="E252" s="1598" t="s">
        <v>567</v>
      </c>
      <c r="F252" s="1588" t="s">
        <v>15</v>
      </c>
      <c r="G252" s="1587" t="s">
        <v>536</v>
      </c>
      <c r="H252" s="1587" t="s">
        <v>536</v>
      </c>
      <c r="I252" s="1587" t="s">
        <v>536</v>
      </c>
      <c r="J252" s="1587" t="s">
        <v>536</v>
      </c>
      <c r="K252" s="544">
        <f t="shared" si="11"/>
        <v>4</v>
      </c>
      <c r="L252" s="1594">
        <f t="shared" si="12"/>
        <v>400000</v>
      </c>
      <c r="M252" s="1595"/>
    </row>
    <row r="253" spans="1:13" ht="18.75" customHeight="1">
      <c r="A253" s="1586">
        <v>236</v>
      </c>
      <c r="B253" s="1587">
        <v>27</v>
      </c>
      <c r="C253" s="1588"/>
      <c r="D253" s="1588"/>
      <c r="E253" s="1598" t="s">
        <v>150</v>
      </c>
      <c r="F253" s="1588" t="s">
        <v>15</v>
      </c>
      <c r="G253" s="1587" t="s">
        <v>536</v>
      </c>
      <c r="H253" s="1587" t="s">
        <v>536</v>
      </c>
      <c r="I253" s="1587" t="s">
        <v>536</v>
      </c>
      <c r="J253" s="1587" t="s">
        <v>536</v>
      </c>
      <c r="K253" s="544">
        <f t="shared" si="11"/>
        <v>4</v>
      </c>
      <c r="L253" s="1594">
        <f t="shared" si="12"/>
        <v>400000</v>
      </c>
      <c r="M253" s="1595"/>
    </row>
    <row r="254" spans="1:13" ht="18.75" customHeight="1">
      <c r="A254" s="1586">
        <v>237</v>
      </c>
      <c r="B254" s="1587">
        <v>28</v>
      </c>
      <c r="C254" s="1588"/>
      <c r="D254" s="1588"/>
      <c r="E254" s="1598" t="s">
        <v>151</v>
      </c>
      <c r="F254" s="1588" t="s">
        <v>15</v>
      </c>
      <c r="G254" s="1587" t="s">
        <v>536</v>
      </c>
      <c r="H254" s="1587" t="s">
        <v>536</v>
      </c>
      <c r="I254" s="1587" t="s">
        <v>536</v>
      </c>
      <c r="J254" s="1587" t="s">
        <v>536</v>
      </c>
      <c r="K254" s="544">
        <f t="shared" si="11"/>
        <v>4</v>
      </c>
      <c r="L254" s="1594">
        <f t="shared" si="12"/>
        <v>400000</v>
      </c>
      <c r="M254" s="1595"/>
    </row>
    <row r="255" spans="1:13" ht="18.75" customHeight="1">
      <c r="A255" s="1586">
        <v>238</v>
      </c>
      <c r="B255" s="1587">
        <v>29</v>
      </c>
      <c r="C255" s="1588"/>
      <c r="D255" s="1588"/>
      <c r="E255" s="1598" t="s">
        <v>568</v>
      </c>
      <c r="F255" s="1588" t="s">
        <v>15</v>
      </c>
      <c r="G255" s="1587" t="s">
        <v>536</v>
      </c>
      <c r="H255" s="1587" t="s">
        <v>536</v>
      </c>
      <c r="I255" s="1587" t="s">
        <v>536</v>
      </c>
      <c r="J255" s="1587" t="s">
        <v>536</v>
      </c>
      <c r="K255" s="544">
        <f t="shared" si="11"/>
        <v>4</v>
      </c>
      <c r="L255" s="1594">
        <f t="shared" si="12"/>
        <v>400000</v>
      </c>
      <c r="M255" s="1595"/>
    </row>
    <row r="256" spans="1:13" ht="18.75" customHeight="1">
      <c r="A256" s="1586">
        <v>239</v>
      </c>
      <c r="B256" s="1587">
        <v>30</v>
      </c>
      <c r="C256" s="1588"/>
      <c r="D256" s="1588"/>
      <c r="E256" s="1598" t="s">
        <v>569</v>
      </c>
      <c r="F256" s="1588" t="s">
        <v>15</v>
      </c>
      <c r="G256" s="1587" t="s">
        <v>536</v>
      </c>
      <c r="H256" s="1587" t="s">
        <v>536</v>
      </c>
      <c r="I256" s="1587" t="s">
        <v>536</v>
      </c>
      <c r="J256" s="1587" t="s">
        <v>536</v>
      </c>
      <c r="K256" s="544">
        <f t="shared" si="11"/>
        <v>4</v>
      </c>
      <c r="L256" s="1594">
        <f t="shared" si="12"/>
        <v>400000</v>
      </c>
      <c r="M256" s="1595"/>
    </row>
    <row r="257" spans="1:13" ht="18.75" customHeight="1">
      <c r="A257" s="1586">
        <v>240</v>
      </c>
      <c r="B257" s="1587">
        <v>31</v>
      </c>
      <c r="C257" s="1588"/>
      <c r="D257" s="1588"/>
      <c r="E257" s="1598" t="s">
        <v>154</v>
      </c>
      <c r="F257" s="1588" t="s">
        <v>15</v>
      </c>
      <c r="G257" s="1587" t="s">
        <v>536</v>
      </c>
      <c r="H257" s="1587" t="s">
        <v>536</v>
      </c>
      <c r="I257" s="1587" t="s">
        <v>536</v>
      </c>
      <c r="J257" s="1587" t="s">
        <v>536</v>
      </c>
      <c r="K257" s="544">
        <f t="shared" si="11"/>
        <v>4</v>
      </c>
      <c r="L257" s="1594">
        <f t="shared" si="12"/>
        <v>400000</v>
      </c>
      <c r="M257" s="1595"/>
    </row>
    <row r="258" spans="1:13" ht="18.75" customHeight="1">
      <c r="A258" s="1586">
        <v>241</v>
      </c>
      <c r="B258" s="1587">
        <v>32</v>
      </c>
      <c r="C258" s="1588"/>
      <c r="D258" s="1588"/>
      <c r="E258" s="1598" t="s">
        <v>155</v>
      </c>
      <c r="F258" s="1588" t="s">
        <v>15</v>
      </c>
      <c r="G258" s="1587" t="s">
        <v>536</v>
      </c>
      <c r="H258" s="1587" t="s">
        <v>536</v>
      </c>
      <c r="I258" s="1587" t="s">
        <v>536</v>
      </c>
      <c r="J258" s="1587" t="s">
        <v>536</v>
      </c>
      <c r="K258" s="544">
        <f t="shared" si="11"/>
        <v>4</v>
      </c>
      <c r="L258" s="1594">
        <f t="shared" si="12"/>
        <v>400000</v>
      </c>
      <c r="M258" s="1595"/>
    </row>
    <row r="259" spans="1:13" ht="18.75" customHeight="1">
      <c r="A259" s="1586">
        <v>242</v>
      </c>
      <c r="B259" s="1587">
        <v>33</v>
      </c>
      <c r="C259" s="1588"/>
      <c r="D259" s="1588"/>
      <c r="E259" s="1598" t="s">
        <v>156</v>
      </c>
      <c r="F259" s="1588" t="s">
        <v>15</v>
      </c>
      <c r="G259" s="1587" t="s">
        <v>536</v>
      </c>
      <c r="H259" s="1587" t="s">
        <v>536</v>
      </c>
      <c r="I259" s="1587" t="s">
        <v>536</v>
      </c>
      <c r="J259" s="1587" t="s">
        <v>536</v>
      </c>
      <c r="K259" s="544">
        <f t="shared" si="11"/>
        <v>4</v>
      </c>
      <c r="L259" s="1594">
        <f t="shared" si="12"/>
        <v>400000</v>
      </c>
      <c r="M259" s="1595"/>
    </row>
    <row r="260" spans="1:13" ht="18.75" customHeight="1">
      <c r="A260" s="1586">
        <v>243</v>
      </c>
      <c r="B260" s="1587">
        <v>34</v>
      </c>
      <c r="C260" s="1588"/>
      <c r="D260" s="1588"/>
      <c r="E260" s="1598" t="s">
        <v>157</v>
      </c>
      <c r="F260" s="1588" t="s">
        <v>15</v>
      </c>
      <c r="G260" s="1587" t="s">
        <v>536</v>
      </c>
      <c r="H260" s="1587" t="s">
        <v>536</v>
      </c>
      <c r="I260" s="1587" t="s">
        <v>536</v>
      </c>
      <c r="J260" s="1587" t="s">
        <v>536</v>
      </c>
      <c r="K260" s="544">
        <f t="shared" si="11"/>
        <v>4</v>
      </c>
      <c r="L260" s="1594">
        <f t="shared" si="12"/>
        <v>400000</v>
      </c>
      <c r="M260" s="1595"/>
    </row>
    <row r="261" spans="1:13" ht="18.75" customHeight="1">
      <c r="A261" s="1586">
        <v>244</v>
      </c>
      <c r="B261" s="1587">
        <v>35</v>
      </c>
      <c r="C261" s="1588"/>
      <c r="D261" s="1588"/>
      <c r="E261" s="1598" t="s">
        <v>158</v>
      </c>
      <c r="F261" s="1588" t="s">
        <v>15</v>
      </c>
      <c r="G261" s="1587" t="s">
        <v>536</v>
      </c>
      <c r="H261" s="1587" t="s">
        <v>536</v>
      </c>
      <c r="I261" s="1587" t="s">
        <v>536</v>
      </c>
      <c r="J261" s="1587" t="s">
        <v>536</v>
      </c>
      <c r="K261" s="544">
        <f t="shared" si="11"/>
        <v>4</v>
      </c>
      <c r="L261" s="1594">
        <f t="shared" si="12"/>
        <v>400000</v>
      </c>
      <c r="M261" s="1595"/>
    </row>
    <row r="262" spans="1:13" ht="18.75" customHeight="1">
      <c r="A262" s="1586">
        <v>245</v>
      </c>
      <c r="B262" s="1587">
        <v>36</v>
      </c>
      <c r="C262" s="1588"/>
      <c r="D262" s="1588"/>
      <c r="E262" s="1598" t="s">
        <v>159</v>
      </c>
      <c r="F262" s="1588" t="s">
        <v>15</v>
      </c>
      <c r="G262" s="1587" t="s">
        <v>536</v>
      </c>
      <c r="H262" s="1587" t="s">
        <v>536</v>
      </c>
      <c r="I262" s="1587" t="s">
        <v>536</v>
      </c>
      <c r="J262" s="1587" t="s">
        <v>536</v>
      </c>
      <c r="K262" s="544">
        <f t="shared" si="11"/>
        <v>4</v>
      </c>
      <c r="L262" s="1594">
        <f t="shared" si="12"/>
        <v>400000</v>
      </c>
      <c r="M262" s="1595"/>
    </row>
    <row r="263" spans="1:13" ht="18.75" customHeight="1">
      <c r="A263" s="1586">
        <v>246</v>
      </c>
      <c r="B263" s="1587">
        <v>37</v>
      </c>
      <c r="C263" s="1588"/>
      <c r="D263" s="1588"/>
      <c r="E263" s="1598" t="s">
        <v>160</v>
      </c>
      <c r="F263" s="1588" t="s">
        <v>15</v>
      </c>
      <c r="G263" s="1587" t="s">
        <v>536</v>
      </c>
      <c r="H263" s="1587" t="s">
        <v>536</v>
      </c>
      <c r="I263" s="1587" t="s">
        <v>536</v>
      </c>
      <c r="J263" s="1587" t="s">
        <v>536</v>
      </c>
      <c r="K263" s="544">
        <f t="shared" si="11"/>
        <v>4</v>
      </c>
      <c r="L263" s="1594">
        <f t="shared" si="12"/>
        <v>400000</v>
      </c>
      <c r="M263" s="1595"/>
    </row>
    <row r="264" spans="1:13" ht="18.75" customHeight="1">
      <c r="A264" s="1586">
        <v>247</v>
      </c>
      <c r="B264" s="1587">
        <v>38</v>
      </c>
      <c r="C264" s="1588"/>
      <c r="D264" s="1588"/>
      <c r="E264" s="1598" t="s">
        <v>161</v>
      </c>
      <c r="F264" s="1588" t="s">
        <v>15</v>
      </c>
      <c r="G264" s="1587" t="s">
        <v>536</v>
      </c>
      <c r="H264" s="1587" t="s">
        <v>536</v>
      </c>
      <c r="I264" s="1587" t="s">
        <v>536</v>
      </c>
      <c r="J264" s="1587" t="s">
        <v>536</v>
      </c>
      <c r="K264" s="544">
        <f t="shared" si="11"/>
        <v>4</v>
      </c>
      <c r="L264" s="1594">
        <f t="shared" si="12"/>
        <v>400000</v>
      </c>
      <c r="M264" s="1595"/>
    </row>
    <row r="265" spans="1:13" ht="18.75" customHeight="1">
      <c r="A265" s="1586">
        <v>248</v>
      </c>
      <c r="B265" s="1587">
        <v>39</v>
      </c>
      <c r="C265" s="1588"/>
      <c r="D265" s="1588"/>
      <c r="E265" s="1598" t="s">
        <v>162</v>
      </c>
      <c r="F265" s="1588" t="s">
        <v>15</v>
      </c>
      <c r="G265" s="1587" t="s">
        <v>536</v>
      </c>
      <c r="H265" s="1587" t="s">
        <v>536</v>
      </c>
      <c r="I265" s="1587" t="s">
        <v>536</v>
      </c>
      <c r="J265" s="1587" t="s">
        <v>536</v>
      </c>
      <c r="K265" s="544">
        <f t="shared" si="11"/>
        <v>4</v>
      </c>
      <c r="L265" s="1594">
        <f t="shared" si="12"/>
        <v>400000</v>
      </c>
      <c r="M265" s="1595"/>
    </row>
    <row r="266" spans="1:13" ht="18.75" customHeight="1">
      <c r="A266" s="1586">
        <v>249</v>
      </c>
      <c r="B266" s="1587">
        <v>40</v>
      </c>
      <c r="C266" s="1588"/>
      <c r="D266" s="1588"/>
      <c r="E266" s="1598" t="s">
        <v>163</v>
      </c>
      <c r="F266" s="1588" t="s">
        <v>15</v>
      </c>
      <c r="G266" s="1587" t="s">
        <v>536</v>
      </c>
      <c r="H266" s="1587" t="s">
        <v>536</v>
      </c>
      <c r="I266" s="1587" t="s">
        <v>536</v>
      </c>
      <c r="J266" s="1587" t="s">
        <v>536</v>
      </c>
      <c r="K266" s="544">
        <f t="shared" si="11"/>
        <v>4</v>
      </c>
      <c r="L266" s="1594">
        <f t="shared" si="12"/>
        <v>400000</v>
      </c>
      <c r="M266" s="1595"/>
    </row>
    <row r="267" spans="1:13" ht="18.75" customHeight="1">
      <c r="A267" s="1586">
        <v>250</v>
      </c>
      <c r="B267" s="1587">
        <v>41</v>
      </c>
      <c r="C267" s="1588"/>
      <c r="D267" s="1588"/>
      <c r="E267" s="1598" t="s">
        <v>164</v>
      </c>
      <c r="F267" s="1588" t="s">
        <v>15</v>
      </c>
      <c r="G267" s="1587" t="s">
        <v>536</v>
      </c>
      <c r="H267" s="1587" t="s">
        <v>536</v>
      </c>
      <c r="I267" s="1587" t="s">
        <v>536</v>
      </c>
      <c r="J267" s="1587" t="s">
        <v>536</v>
      </c>
      <c r="K267" s="544">
        <f t="shared" si="11"/>
        <v>4</v>
      </c>
      <c r="L267" s="1594">
        <f t="shared" si="12"/>
        <v>400000</v>
      </c>
      <c r="M267" s="1595"/>
    </row>
    <row r="268" spans="1:13" ht="18.75" customHeight="1">
      <c r="A268" s="1586">
        <v>251</v>
      </c>
      <c r="B268" s="1587">
        <v>42</v>
      </c>
      <c r="C268" s="1588"/>
      <c r="D268" s="1588"/>
      <c r="E268" s="1598" t="s">
        <v>165</v>
      </c>
      <c r="F268" s="1588" t="s">
        <v>15</v>
      </c>
      <c r="G268" s="1587" t="s">
        <v>536</v>
      </c>
      <c r="H268" s="1587" t="s">
        <v>536</v>
      </c>
      <c r="I268" s="1587" t="s">
        <v>536</v>
      </c>
      <c r="J268" s="1587" t="s">
        <v>536</v>
      </c>
      <c r="K268" s="544">
        <f t="shared" si="11"/>
        <v>4</v>
      </c>
      <c r="L268" s="1594">
        <f t="shared" si="12"/>
        <v>400000</v>
      </c>
      <c r="M268" s="1595"/>
    </row>
    <row r="269" spans="1:13" ht="18.75" customHeight="1">
      <c r="A269" s="1586">
        <v>252</v>
      </c>
      <c r="B269" s="1587">
        <v>43</v>
      </c>
      <c r="C269" s="1588"/>
      <c r="D269" s="1588"/>
      <c r="E269" s="1598" t="s">
        <v>166</v>
      </c>
      <c r="F269" s="1588" t="s">
        <v>15</v>
      </c>
      <c r="G269" s="1587" t="s">
        <v>536</v>
      </c>
      <c r="H269" s="1587" t="s">
        <v>536</v>
      </c>
      <c r="I269" s="1587" t="s">
        <v>536</v>
      </c>
      <c r="J269" s="1587" t="s">
        <v>536</v>
      </c>
      <c r="K269" s="544">
        <f t="shared" si="11"/>
        <v>4</v>
      </c>
      <c r="L269" s="1594">
        <f t="shared" si="12"/>
        <v>400000</v>
      </c>
      <c r="M269" s="1595"/>
    </row>
    <row r="270" spans="1:13" ht="18.75" customHeight="1">
      <c r="A270" s="1586">
        <v>253</v>
      </c>
      <c r="B270" s="1587">
        <v>44</v>
      </c>
      <c r="C270" s="1588"/>
      <c r="D270" s="1588"/>
      <c r="E270" s="1598" t="s">
        <v>167</v>
      </c>
      <c r="F270" s="1588" t="s">
        <v>15</v>
      </c>
      <c r="G270" s="1587" t="s">
        <v>536</v>
      </c>
      <c r="H270" s="1587" t="s">
        <v>536</v>
      </c>
      <c r="I270" s="1587" t="s">
        <v>536</v>
      </c>
      <c r="J270" s="1587" t="s">
        <v>536</v>
      </c>
      <c r="K270" s="544">
        <f t="shared" si="11"/>
        <v>4</v>
      </c>
      <c r="L270" s="1594">
        <f t="shared" si="12"/>
        <v>400000</v>
      </c>
      <c r="M270" s="1595"/>
    </row>
    <row r="271" spans="1:13" ht="18.75" customHeight="1">
      <c r="A271" s="1586">
        <v>254</v>
      </c>
      <c r="B271" s="1587">
        <v>45</v>
      </c>
      <c r="C271" s="1588"/>
      <c r="D271" s="1588"/>
      <c r="E271" s="1598" t="s">
        <v>570</v>
      </c>
      <c r="F271" s="1588" t="s">
        <v>15</v>
      </c>
      <c r="G271" s="1587" t="s">
        <v>536</v>
      </c>
      <c r="H271" s="1587" t="s">
        <v>536</v>
      </c>
      <c r="I271" s="1587" t="s">
        <v>536</v>
      </c>
      <c r="J271" s="1587" t="s">
        <v>536</v>
      </c>
      <c r="K271" s="544">
        <f t="shared" si="11"/>
        <v>4</v>
      </c>
      <c r="L271" s="1594">
        <f t="shared" si="12"/>
        <v>400000</v>
      </c>
      <c r="M271" s="1595"/>
    </row>
    <row r="272" spans="1:13" ht="18.75" customHeight="1">
      <c r="A272" s="1586">
        <v>255</v>
      </c>
      <c r="B272" s="1587">
        <v>46</v>
      </c>
      <c r="C272" s="1588"/>
      <c r="D272" s="1588"/>
      <c r="E272" s="1598" t="s">
        <v>169</v>
      </c>
      <c r="F272" s="1588" t="s">
        <v>15</v>
      </c>
      <c r="G272" s="1587" t="s">
        <v>536</v>
      </c>
      <c r="H272" s="1587" t="s">
        <v>536</v>
      </c>
      <c r="I272" s="1587" t="s">
        <v>536</v>
      </c>
      <c r="J272" s="1587" t="s">
        <v>536</v>
      </c>
      <c r="K272" s="544">
        <f t="shared" si="11"/>
        <v>4</v>
      </c>
      <c r="L272" s="1594">
        <f t="shared" si="12"/>
        <v>400000</v>
      </c>
      <c r="M272" s="1595"/>
    </row>
    <row r="273" spans="1:13" ht="18.75" customHeight="1">
      <c r="A273" s="1586">
        <v>256</v>
      </c>
      <c r="B273" s="1587">
        <v>47</v>
      </c>
      <c r="C273" s="1588"/>
      <c r="D273" s="1588"/>
      <c r="E273" s="1598" t="s">
        <v>571</v>
      </c>
      <c r="F273" s="1588" t="s">
        <v>15</v>
      </c>
      <c r="G273" s="1587" t="s">
        <v>536</v>
      </c>
      <c r="H273" s="1587" t="s">
        <v>536</v>
      </c>
      <c r="I273" s="1587" t="s">
        <v>536</v>
      </c>
      <c r="J273" s="1587" t="s">
        <v>536</v>
      </c>
      <c r="K273" s="544">
        <f t="shared" si="11"/>
        <v>4</v>
      </c>
      <c r="L273" s="1594">
        <f t="shared" si="12"/>
        <v>400000</v>
      </c>
      <c r="M273" s="1595"/>
    </row>
    <row r="274" spans="1:13" ht="18.75" customHeight="1">
      <c r="A274" s="1586">
        <v>257</v>
      </c>
      <c r="B274" s="1587">
        <v>48</v>
      </c>
      <c r="C274" s="1588"/>
      <c r="D274" s="1588"/>
      <c r="E274" s="1598" t="s">
        <v>572</v>
      </c>
      <c r="F274" s="1588" t="s">
        <v>15</v>
      </c>
      <c r="G274" s="1587" t="s">
        <v>536</v>
      </c>
      <c r="H274" s="1587" t="s">
        <v>536</v>
      </c>
      <c r="I274" s="1587" t="s">
        <v>536</v>
      </c>
      <c r="J274" s="1587" t="s">
        <v>536</v>
      </c>
      <c r="K274" s="544">
        <f t="shared" si="11"/>
        <v>4</v>
      </c>
      <c r="L274" s="1594">
        <f t="shared" si="12"/>
        <v>400000</v>
      </c>
      <c r="M274" s="1595"/>
    </row>
    <row r="275" spans="1:13" ht="18.75" customHeight="1">
      <c r="A275" s="1586">
        <v>258</v>
      </c>
      <c r="B275" s="1587">
        <v>49</v>
      </c>
      <c r="C275" s="1588"/>
      <c r="D275" s="1588"/>
      <c r="E275" s="1598" t="s">
        <v>172</v>
      </c>
      <c r="F275" s="1588" t="s">
        <v>15</v>
      </c>
      <c r="G275" s="1587" t="s">
        <v>536</v>
      </c>
      <c r="H275" s="1587" t="s">
        <v>536</v>
      </c>
      <c r="I275" s="1587" t="s">
        <v>536</v>
      </c>
      <c r="J275" s="1587" t="s">
        <v>536</v>
      </c>
      <c r="K275" s="544">
        <f t="shared" si="11"/>
        <v>4</v>
      </c>
      <c r="L275" s="1594">
        <f t="shared" si="12"/>
        <v>400000</v>
      </c>
      <c r="M275" s="1595"/>
    </row>
    <row r="276" spans="1:13" ht="18.75" customHeight="1">
      <c r="A276" s="1586">
        <v>259</v>
      </c>
      <c r="B276" s="1587">
        <v>50</v>
      </c>
      <c r="C276" s="1588"/>
      <c r="D276" s="1588"/>
      <c r="E276" s="1598" t="s">
        <v>173</v>
      </c>
      <c r="F276" s="1588" t="s">
        <v>15</v>
      </c>
      <c r="G276" s="1587" t="s">
        <v>536</v>
      </c>
      <c r="H276" s="1587" t="s">
        <v>536</v>
      </c>
      <c r="I276" s="1587" t="s">
        <v>536</v>
      </c>
      <c r="J276" s="1587" t="s">
        <v>536</v>
      </c>
      <c r="K276" s="544">
        <f t="shared" si="11"/>
        <v>4</v>
      </c>
      <c r="L276" s="1594">
        <f t="shared" si="12"/>
        <v>400000</v>
      </c>
      <c r="M276" s="1595"/>
    </row>
    <row r="277" spans="1:13" ht="18.75" customHeight="1">
      <c r="A277" s="1586">
        <v>260</v>
      </c>
      <c r="B277" s="1587">
        <v>51</v>
      </c>
      <c r="C277" s="1588"/>
      <c r="D277" s="1588"/>
      <c r="E277" s="1598" t="s">
        <v>174</v>
      </c>
      <c r="F277" s="1588" t="s">
        <v>15</v>
      </c>
      <c r="G277" s="1587" t="s">
        <v>536</v>
      </c>
      <c r="H277" s="1587" t="s">
        <v>536</v>
      </c>
      <c r="I277" s="1587" t="s">
        <v>536</v>
      </c>
      <c r="J277" s="1587" t="s">
        <v>536</v>
      </c>
      <c r="K277" s="544">
        <f t="shared" si="11"/>
        <v>4</v>
      </c>
      <c r="L277" s="1594">
        <f t="shared" si="12"/>
        <v>400000</v>
      </c>
      <c r="M277" s="1595"/>
    </row>
    <row r="278" spans="1:13" ht="18.75" customHeight="1">
      <c r="A278" s="1586">
        <v>261</v>
      </c>
      <c r="B278" s="1587">
        <v>52</v>
      </c>
      <c r="C278" s="1588"/>
      <c r="D278" s="1588"/>
      <c r="E278" s="1598" t="s">
        <v>175</v>
      </c>
      <c r="F278" s="1588" t="s">
        <v>15</v>
      </c>
      <c r="G278" s="1587" t="s">
        <v>536</v>
      </c>
      <c r="H278" s="1587" t="s">
        <v>536</v>
      </c>
      <c r="I278" s="1587" t="s">
        <v>536</v>
      </c>
      <c r="J278" s="1587" t="s">
        <v>536</v>
      </c>
      <c r="K278" s="544">
        <f t="shared" si="11"/>
        <v>4</v>
      </c>
      <c r="L278" s="1594">
        <f t="shared" si="12"/>
        <v>400000</v>
      </c>
      <c r="M278" s="1595"/>
    </row>
    <row r="279" spans="1:13" ht="18.75" customHeight="1">
      <c r="A279" s="1586">
        <v>262</v>
      </c>
      <c r="B279" s="1587">
        <v>53</v>
      </c>
      <c r="C279" s="1588"/>
      <c r="D279" s="1588"/>
      <c r="E279" s="1598" t="s">
        <v>573</v>
      </c>
      <c r="F279" s="1588" t="s">
        <v>15</v>
      </c>
      <c r="G279" s="1587" t="s">
        <v>536</v>
      </c>
      <c r="H279" s="1587" t="s">
        <v>536</v>
      </c>
      <c r="I279" s="1587" t="s">
        <v>536</v>
      </c>
      <c r="J279" s="1587" t="s">
        <v>536</v>
      </c>
      <c r="K279" s="544">
        <f t="shared" si="11"/>
        <v>4</v>
      </c>
      <c r="L279" s="1594">
        <f t="shared" si="12"/>
        <v>400000</v>
      </c>
      <c r="M279" s="1595"/>
    </row>
    <row r="280" spans="1:13" ht="18.75" customHeight="1">
      <c r="A280" s="1586">
        <v>263</v>
      </c>
      <c r="B280" s="1587">
        <v>54</v>
      </c>
      <c r="C280" s="1588"/>
      <c r="D280" s="1588"/>
      <c r="E280" s="1598" t="s">
        <v>177</v>
      </c>
      <c r="F280" s="1588" t="s">
        <v>15</v>
      </c>
      <c r="G280" s="1587" t="s">
        <v>536</v>
      </c>
      <c r="H280" s="1587" t="s">
        <v>536</v>
      </c>
      <c r="I280" s="1587" t="s">
        <v>536</v>
      </c>
      <c r="J280" s="1587" t="s">
        <v>536</v>
      </c>
      <c r="K280" s="544">
        <f t="shared" si="11"/>
        <v>4</v>
      </c>
      <c r="L280" s="1594">
        <f t="shared" si="12"/>
        <v>400000</v>
      </c>
      <c r="M280" s="1595"/>
    </row>
    <row r="281" spans="1:13" ht="18.75" customHeight="1">
      <c r="A281" s="1586">
        <v>264</v>
      </c>
      <c r="B281" s="1587">
        <v>55</v>
      </c>
      <c r="C281" s="1588"/>
      <c r="D281" s="1588"/>
      <c r="E281" s="1598" t="s">
        <v>178</v>
      </c>
      <c r="F281" s="1588" t="s">
        <v>15</v>
      </c>
      <c r="G281" s="1587" t="s">
        <v>536</v>
      </c>
      <c r="H281" s="1587" t="s">
        <v>536</v>
      </c>
      <c r="I281" s="1587" t="s">
        <v>536</v>
      </c>
      <c r="J281" s="1587" t="s">
        <v>536</v>
      </c>
      <c r="K281" s="544">
        <f t="shared" si="11"/>
        <v>4</v>
      </c>
      <c r="L281" s="1594">
        <f t="shared" si="12"/>
        <v>400000</v>
      </c>
      <c r="M281" s="1595"/>
    </row>
    <row r="282" spans="1:13" ht="18.75" customHeight="1">
      <c r="A282" s="1586">
        <v>265</v>
      </c>
      <c r="B282" s="1587">
        <v>56</v>
      </c>
      <c r="C282" s="1588"/>
      <c r="D282" s="1588"/>
      <c r="E282" s="1598" t="s">
        <v>179</v>
      </c>
      <c r="F282" s="1588" t="s">
        <v>15</v>
      </c>
      <c r="G282" s="1587" t="s">
        <v>536</v>
      </c>
      <c r="H282" s="1587" t="s">
        <v>536</v>
      </c>
      <c r="I282" s="1587" t="s">
        <v>536</v>
      </c>
      <c r="J282" s="1587" t="s">
        <v>536</v>
      </c>
      <c r="K282" s="544">
        <f t="shared" si="11"/>
        <v>4</v>
      </c>
      <c r="L282" s="1594">
        <f t="shared" si="12"/>
        <v>400000</v>
      </c>
      <c r="M282" s="1595"/>
    </row>
    <row r="283" spans="1:13" ht="18.75" customHeight="1">
      <c r="A283" s="1586">
        <v>266</v>
      </c>
      <c r="B283" s="1587">
        <v>57</v>
      </c>
      <c r="C283" s="1588"/>
      <c r="D283" s="1588"/>
      <c r="E283" s="1598" t="s">
        <v>180</v>
      </c>
      <c r="F283" s="1588" t="s">
        <v>15</v>
      </c>
      <c r="G283" s="1587" t="s">
        <v>536</v>
      </c>
      <c r="H283" s="1587" t="s">
        <v>536</v>
      </c>
      <c r="I283" s="1587" t="s">
        <v>536</v>
      </c>
      <c r="J283" s="1587" t="s">
        <v>536</v>
      </c>
      <c r="K283" s="544">
        <f t="shared" si="11"/>
        <v>4</v>
      </c>
      <c r="L283" s="1594">
        <f t="shared" si="12"/>
        <v>400000</v>
      </c>
      <c r="M283" s="1595"/>
    </row>
    <row r="284" spans="1:13" ht="18.75" customHeight="1">
      <c r="A284" s="1586">
        <v>267</v>
      </c>
      <c r="B284" s="1587">
        <v>58</v>
      </c>
      <c r="C284" s="1588"/>
      <c r="D284" s="1588"/>
      <c r="E284" s="1598" t="s">
        <v>181</v>
      </c>
      <c r="F284" s="1588" t="s">
        <v>15</v>
      </c>
      <c r="G284" s="1587" t="s">
        <v>536</v>
      </c>
      <c r="H284" s="1587" t="s">
        <v>536</v>
      </c>
      <c r="I284" s="1587" t="s">
        <v>536</v>
      </c>
      <c r="J284" s="1587" t="s">
        <v>536</v>
      </c>
      <c r="K284" s="544">
        <f t="shared" si="11"/>
        <v>4</v>
      </c>
      <c r="L284" s="1594">
        <f t="shared" si="12"/>
        <v>400000</v>
      </c>
      <c r="M284" s="1595"/>
    </row>
    <row r="285" spans="1:13" ht="18.75" customHeight="1">
      <c r="A285" s="1586">
        <v>268</v>
      </c>
      <c r="B285" s="1587">
        <v>59</v>
      </c>
      <c r="C285" s="1588"/>
      <c r="D285" s="1588"/>
      <c r="E285" s="1598" t="s">
        <v>182</v>
      </c>
      <c r="F285" s="1588" t="s">
        <v>15</v>
      </c>
      <c r="G285" s="1587" t="s">
        <v>536</v>
      </c>
      <c r="H285" s="1587" t="s">
        <v>536</v>
      </c>
      <c r="I285" s="1587" t="s">
        <v>536</v>
      </c>
      <c r="J285" s="1587" t="s">
        <v>536</v>
      </c>
      <c r="K285" s="544">
        <f t="shared" si="11"/>
        <v>4</v>
      </c>
      <c r="L285" s="1594">
        <f t="shared" si="12"/>
        <v>400000</v>
      </c>
      <c r="M285" s="1595"/>
    </row>
    <row r="286" spans="1:13" ht="18.75" customHeight="1">
      <c r="A286" s="1586">
        <v>269</v>
      </c>
      <c r="B286" s="1587">
        <v>60</v>
      </c>
      <c r="C286" s="1588"/>
      <c r="D286" s="1588"/>
      <c r="E286" s="1598" t="s">
        <v>183</v>
      </c>
      <c r="F286" s="1588" t="s">
        <v>15</v>
      </c>
      <c r="G286" s="1587" t="s">
        <v>536</v>
      </c>
      <c r="H286" s="1587" t="s">
        <v>536</v>
      </c>
      <c r="I286" s="1587" t="s">
        <v>536</v>
      </c>
      <c r="J286" s="1587" t="s">
        <v>536</v>
      </c>
      <c r="K286" s="544">
        <f t="shared" si="11"/>
        <v>4</v>
      </c>
      <c r="L286" s="1594">
        <f t="shared" si="12"/>
        <v>400000</v>
      </c>
      <c r="M286" s="1595"/>
    </row>
    <row r="287" spans="1:13" ht="18.75" customHeight="1">
      <c r="A287" s="1586">
        <v>270</v>
      </c>
      <c r="B287" s="1587">
        <v>61</v>
      </c>
      <c r="C287" s="1588"/>
      <c r="D287" s="1588"/>
      <c r="E287" s="1598" t="s">
        <v>574</v>
      </c>
      <c r="F287" s="1588" t="s">
        <v>15</v>
      </c>
      <c r="G287" s="1587" t="s">
        <v>536</v>
      </c>
      <c r="H287" s="1587" t="s">
        <v>536</v>
      </c>
      <c r="I287" s="1587" t="s">
        <v>536</v>
      </c>
      <c r="J287" s="1587" t="s">
        <v>536</v>
      </c>
      <c r="K287" s="544">
        <f t="shared" si="11"/>
        <v>4</v>
      </c>
      <c r="L287" s="1594">
        <f t="shared" si="12"/>
        <v>400000</v>
      </c>
      <c r="M287" s="1595"/>
    </row>
    <row r="288" spans="1:13" ht="18.75" customHeight="1">
      <c r="A288" s="1586">
        <v>271</v>
      </c>
      <c r="B288" s="1587">
        <v>62</v>
      </c>
      <c r="C288" s="1588"/>
      <c r="D288" s="1588"/>
      <c r="E288" s="1598" t="s">
        <v>185</v>
      </c>
      <c r="F288" s="1588" t="s">
        <v>15</v>
      </c>
      <c r="G288" s="1587" t="s">
        <v>536</v>
      </c>
      <c r="H288" s="1587" t="s">
        <v>536</v>
      </c>
      <c r="I288" s="1587" t="s">
        <v>536</v>
      </c>
      <c r="J288" s="1587" t="s">
        <v>536</v>
      </c>
      <c r="K288" s="544">
        <f t="shared" si="11"/>
        <v>4</v>
      </c>
      <c r="L288" s="1594">
        <f t="shared" si="12"/>
        <v>400000</v>
      </c>
      <c r="M288" s="1595"/>
    </row>
    <row r="289" spans="1:13" ht="18.75" customHeight="1">
      <c r="A289" s="1586">
        <v>272</v>
      </c>
      <c r="B289" s="1587">
        <v>63</v>
      </c>
      <c r="C289" s="1588"/>
      <c r="D289" s="1588"/>
      <c r="E289" s="1598" t="s">
        <v>186</v>
      </c>
      <c r="F289" s="1588" t="s">
        <v>15</v>
      </c>
      <c r="G289" s="1587" t="s">
        <v>536</v>
      </c>
      <c r="H289" s="1587" t="s">
        <v>536</v>
      </c>
      <c r="I289" s="1587" t="s">
        <v>536</v>
      </c>
      <c r="J289" s="1587" t="s">
        <v>536</v>
      </c>
      <c r="K289" s="544">
        <f t="shared" si="11"/>
        <v>4</v>
      </c>
      <c r="L289" s="1594">
        <f t="shared" si="12"/>
        <v>400000</v>
      </c>
      <c r="M289" s="1595"/>
    </row>
    <row r="290" spans="1:13" ht="18.75" customHeight="1">
      <c r="A290" s="1586">
        <v>273</v>
      </c>
      <c r="B290" s="1587">
        <v>64</v>
      </c>
      <c r="C290" s="1588"/>
      <c r="D290" s="1588"/>
      <c r="E290" s="1598" t="s">
        <v>187</v>
      </c>
      <c r="F290" s="1588" t="s">
        <v>15</v>
      </c>
      <c r="G290" s="1587" t="s">
        <v>536</v>
      </c>
      <c r="H290" s="1587" t="s">
        <v>536</v>
      </c>
      <c r="I290" s="1587" t="s">
        <v>536</v>
      </c>
      <c r="J290" s="1587" t="s">
        <v>536</v>
      </c>
      <c r="K290" s="544">
        <f t="shared" si="11"/>
        <v>4</v>
      </c>
      <c r="L290" s="1594">
        <f t="shared" si="12"/>
        <v>400000</v>
      </c>
      <c r="M290" s="1595"/>
    </row>
    <row r="291" spans="1:13" ht="18.75" customHeight="1">
      <c r="A291" s="1586">
        <v>274</v>
      </c>
      <c r="B291" s="1587">
        <v>65</v>
      </c>
      <c r="C291" s="1588"/>
      <c r="D291" s="1588"/>
      <c r="E291" s="1598" t="s">
        <v>188</v>
      </c>
      <c r="F291" s="1588" t="s">
        <v>15</v>
      </c>
      <c r="G291" s="1587" t="s">
        <v>536</v>
      </c>
      <c r="H291" s="1587" t="s">
        <v>536</v>
      </c>
      <c r="I291" s="1587" t="s">
        <v>536</v>
      </c>
      <c r="J291" s="1587" t="s">
        <v>536</v>
      </c>
      <c r="K291" s="544">
        <f t="shared" ref="K291:K308" si="13">COUNTIF(G291:J291,"X")</f>
        <v>4</v>
      </c>
      <c r="L291" s="1594">
        <f t="shared" si="12"/>
        <v>400000</v>
      </c>
      <c r="M291" s="1595"/>
    </row>
    <row r="292" spans="1:13" ht="18.75" customHeight="1">
      <c r="A292" s="1586">
        <v>275</v>
      </c>
      <c r="B292" s="1587">
        <v>66</v>
      </c>
      <c r="C292" s="1588"/>
      <c r="D292" s="1588"/>
      <c r="E292" s="1598" t="s">
        <v>189</v>
      </c>
      <c r="F292" s="1588" t="s">
        <v>15</v>
      </c>
      <c r="G292" s="1587" t="s">
        <v>536</v>
      </c>
      <c r="H292" s="1587" t="s">
        <v>536</v>
      </c>
      <c r="I292" s="1587" t="s">
        <v>536</v>
      </c>
      <c r="J292" s="1587" t="s">
        <v>536</v>
      </c>
      <c r="K292" s="544">
        <f t="shared" si="13"/>
        <v>4</v>
      </c>
      <c r="L292" s="1594">
        <f t="shared" si="12"/>
        <v>400000</v>
      </c>
      <c r="M292" s="1595"/>
    </row>
    <row r="293" spans="1:13" ht="18.75" customHeight="1">
      <c r="A293" s="1586">
        <v>276</v>
      </c>
      <c r="B293" s="1587">
        <v>67</v>
      </c>
      <c r="C293" s="1588"/>
      <c r="D293" s="1588"/>
      <c r="E293" s="1598" t="s">
        <v>190</v>
      </c>
      <c r="F293" s="1588" t="s">
        <v>15</v>
      </c>
      <c r="G293" s="1587" t="s">
        <v>536</v>
      </c>
      <c r="H293" s="1587" t="s">
        <v>536</v>
      </c>
      <c r="I293" s="1587" t="s">
        <v>536</v>
      </c>
      <c r="J293" s="1587" t="s">
        <v>536</v>
      </c>
      <c r="K293" s="544">
        <f t="shared" si="13"/>
        <v>4</v>
      </c>
      <c r="L293" s="1594">
        <f t="shared" si="12"/>
        <v>400000</v>
      </c>
      <c r="M293" s="1595"/>
    </row>
    <row r="294" spans="1:13" ht="18.75" customHeight="1">
      <c r="A294" s="1586">
        <v>277</v>
      </c>
      <c r="B294" s="1587">
        <v>68</v>
      </c>
      <c r="C294" s="1588"/>
      <c r="D294" s="1588"/>
      <c r="E294" s="1598" t="s">
        <v>191</v>
      </c>
      <c r="F294" s="1588" t="s">
        <v>15</v>
      </c>
      <c r="G294" s="1587" t="s">
        <v>536</v>
      </c>
      <c r="H294" s="1587" t="s">
        <v>536</v>
      </c>
      <c r="I294" s="1587" t="s">
        <v>536</v>
      </c>
      <c r="J294" s="1587" t="s">
        <v>536</v>
      </c>
      <c r="K294" s="544">
        <f t="shared" si="13"/>
        <v>4</v>
      </c>
      <c r="L294" s="1594">
        <f t="shared" si="12"/>
        <v>400000</v>
      </c>
      <c r="M294" s="1595"/>
    </row>
    <row r="295" spans="1:13" ht="18.75" customHeight="1">
      <c r="A295" s="1586">
        <v>278</v>
      </c>
      <c r="B295" s="1587">
        <v>69</v>
      </c>
      <c r="C295" s="1588"/>
      <c r="D295" s="1588"/>
      <c r="E295" s="1598" t="s">
        <v>575</v>
      </c>
      <c r="F295" s="1588" t="s">
        <v>15</v>
      </c>
      <c r="G295" s="1587" t="s">
        <v>536</v>
      </c>
      <c r="H295" s="1587" t="s">
        <v>536</v>
      </c>
      <c r="I295" s="1587" t="s">
        <v>536</v>
      </c>
      <c r="J295" s="1587" t="s">
        <v>536</v>
      </c>
      <c r="K295" s="544">
        <f t="shared" si="13"/>
        <v>4</v>
      </c>
      <c r="L295" s="1594">
        <f t="shared" si="12"/>
        <v>400000</v>
      </c>
      <c r="M295" s="1595"/>
    </row>
    <row r="296" spans="1:13" ht="18.75" customHeight="1">
      <c r="A296" s="1586">
        <v>279</v>
      </c>
      <c r="B296" s="1587">
        <v>70</v>
      </c>
      <c r="C296" s="1588"/>
      <c r="D296" s="1588"/>
      <c r="E296" s="1598" t="s">
        <v>449</v>
      </c>
      <c r="F296" s="1588" t="s">
        <v>15</v>
      </c>
      <c r="G296" s="1587" t="s">
        <v>536</v>
      </c>
      <c r="H296" s="1587" t="s">
        <v>536</v>
      </c>
      <c r="I296" s="1587" t="s">
        <v>536</v>
      </c>
      <c r="J296" s="1587" t="s">
        <v>536</v>
      </c>
      <c r="K296" s="544">
        <f t="shared" si="13"/>
        <v>4</v>
      </c>
      <c r="L296" s="1594">
        <f t="shared" si="12"/>
        <v>400000</v>
      </c>
      <c r="M296" s="1595"/>
    </row>
    <row r="297" spans="1:13" ht="18.75" customHeight="1">
      <c r="A297" s="1586">
        <v>280</v>
      </c>
      <c r="B297" s="1587">
        <v>71</v>
      </c>
      <c r="C297" s="1588"/>
      <c r="D297" s="1588"/>
      <c r="E297" s="1598" t="s">
        <v>194</v>
      </c>
      <c r="F297" s="1588" t="s">
        <v>15</v>
      </c>
      <c r="G297" s="1587" t="s">
        <v>536</v>
      </c>
      <c r="H297" s="1587" t="s">
        <v>536</v>
      </c>
      <c r="I297" s="1587" t="s">
        <v>536</v>
      </c>
      <c r="J297" s="1587" t="s">
        <v>536</v>
      </c>
      <c r="K297" s="544">
        <f t="shared" si="13"/>
        <v>4</v>
      </c>
      <c r="L297" s="1594">
        <f t="shared" si="12"/>
        <v>400000</v>
      </c>
      <c r="M297" s="1595"/>
    </row>
    <row r="298" spans="1:13" ht="18.75" customHeight="1">
      <c r="A298" s="1586">
        <v>281</v>
      </c>
      <c r="B298" s="1587">
        <v>72</v>
      </c>
      <c r="C298" s="1588"/>
      <c r="D298" s="1588"/>
      <c r="E298" s="1598" t="s">
        <v>195</v>
      </c>
      <c r="F298" s="1588" t="s">
        <v>15</v>
      </c>
      <c r="G298" s="1587" t="s">
        <v>536</v>
      </c>
      <c r="H298" s="1587" t="s">
        <v>536</v>
      </c>
      <c r="I298" s="1587" t="s">
        <v>536</v>
      </c>
      <c r="J298" s="1587" t="s">
        <v>536</v>
      </c>
      <c r="K298" s="544">
        <f t="shared" si="13"/>
        <v>4</v>
      </c>
      <c r="L298" s="1594">
        <f t="shared" si="12"/>
        <v>400000</v>
      </c>
      <c r="M298" s="1595"/>
    </row>
    <row r="299" spans="1:13" ht="18.75" customHeight="1">
      <c r="A299" s="1586">
        <v>282</v>
      </c>
      <c r="B299" s="1587">
        <v>73</v>
      </c>
      <c r="C299" s="1588"/>
      <c r="D299" s="1588"/>
      <c r="E299" s="1598" t="s">
        <v>576</v>
      </c>
      <c r="F299" s="1588" t="s">
        <v>15</v>
      </c>
      <c r="G299" s="1587" t="s">
        <v>536</v>
      </c>
      <c r="H299" s="1587" t="s">
        <v>536</v>
      </c>
      <c r="I299" s="1587" t="s">
        <v>536</v>
      </c>
      <c r="J299" s="1587" t="s">
        <v>536</v>
      </c>
      <c r="K299" s="544">
        <f t="shared" si="13"/>
        <v>4</v>
      </c>
      <c r="L299" s="1594">
        <f t="shared" si="12"/>
        <v>400000</v>
      </c>
      <c r="M299" s="1595"/>
    </row>
    <row r="300" spans="1:13" ht="18.75" customHeight="1">
      <c r="A300" s="1586">
        <v>283</v>
      </c>
      <c r="B300" s="1587">
        <v>74</v>
      </c>
      <c r="C300" s="1588"/>
      <c r="D300" s="1588"/>
      <c r="E300" s="1598" t="s">
        <v>197</v>
      </c>
      <c r="F300" s="1588" t="s">
        <v>15</v>
      </c>
      <c r="G300" s="1587" t="s">
        <v>536</v>
      </c>
      <c r="H300" s="1587" t="s">
        <v>536</v>
      </c>
      <c r="I300" s="1587" t="s">
        <v>536</v>
      </c>
      <c r="J300" s="1587" t="s">
        <v>536</v>
      </c>
      <c r="K300" s="544">
        <f t="shared" si="13"/>
        <v>4</v>
      </c>
      <c r="L300" s="1594">
        <f t="shared" si="12"/>
        <v>400000</v>
      </c>
      <c r="M300" s="1595"/>
    </row>
    <row r="301" spans="1:13" ht="18.75" customHeight="1">
      <c r="A301" s="1586">
        <v>284</v>
      </c>
      <c r="B301" s="1587">
        <v>75</v>
      </c>
      <c r="C301" s="1588"/>
      <c r="D301" s="1588"/>
      <c r="E301" s="1598" t="s">
        <v>198</v>
      </c>
      <c r="F301" s="1588" t="s">
        <v>15</v>
      </c>
      <c r="G301" s="1587" t="s">
        <v>536</v>
      </c>
      <c r="H301" s="1587" t="s">
        <v>536</v>
      </c>
      <c r="I301" s="1587" t="s">
        <v>536</v>
      </c>
      <c r="J301" s="1587" t="s">
        <v>536</v>
      </c>
      <c r="K301" s="544">
        <f t="shared" si="13"/>
        <v>4</v>
      </c>
      <c r="L301" s="1594">
        <f t="shared" si="12"/>
        <v>400000</v>
      </c>
      <c r="M301" s="1595"/>
    </row>
    <row r="302" spans="1:13" ht="18.75" customHeight="1">
      <c r="A302" s="1586">
        <v>285</v>
      </c>
      <c r="B302" s="1587">
        <v>76</v>
      </c>
      <c r="C302" s="1588"/>
      <c r="D302" s="1588"/>
      <c r="E302" s="1598" t="s">
        <v>199</v>
      </c>
      <c r="F302" s="1588" t="s">
        <v>15</v>
      </c>
      <c r="G302" s="1587" t="s">
        <v>536</v>
      </c>
      <c r="H302" s="1587" t="s">
        <v>536</v>
      </c>
      <c r="I302" s="1587" t="s">
        <v>536</v>
      </c>
      <c r="J302" s="1587" t="s">
        <v>536</v>
      </c>
      <c r="K302" s="544">
        <f t="shared" si="13"/>
        <v>4</v>
      </c>
      <c r="L302" s="1594">
        <f t="shared" si="12"/>
        <v>400000</v>
      </c>
      <c r="M302" s="1595"/>
    </row>
    <row r="303" spans="1:13" ht="18.75" customHeight="1">
      <c r="A303" s="1586">
        <v>286</v>
      </c>
      <c r="B303" s="1587">
        <v>77</v>
      </c>
      <c r="C303" s="1588"/>
      <c r="D303" s="1588"/>
      <c r="E303" s="1598" t="s">
        <v>200</v>
      </c>
      <c r="F303" s="1588" t="s">
        <v>15</v>
      </c>
      <c r="G303" s="1587" t="s">
        <v>536</v>
      </c>
      <c r="H303" s="1587" t="s">
        <v>536</v>
      </c>
      <c r="I303" s="1587" t="s">
        <v>536</v>
      </c>
      <c r="J303" s="1587" t="s">
        <v>536</v>
      </c>
      <c r="K303" s="544">
        <f t="shared" si="13"/>
        <v>4</v>
      </c>
      <c r="L303" s="1594">
        <f t="shared" si="12"/>
        <v>400000</v>
      </c>
      <c r="M303" s="1595"/>
    </row>
    <row r="304" spans="1:13" ht="18.75" customHeight="1">
      <c r="A304" s="1586">
        <v>287</v>
      </c>
      <c r="B304" s="1587">
        <v>78</v>
      </c>
      <c r="C304" s="1588"/>
      <c r="D304" s="1588"/>
      <c r="E304" s="1598" t="s">
        <v>577</v>
      </c>
      <c r="F304" s="1588" t="s">
        <v>15</v>
      </c>
      <c r="G304" s="1587" t="s">
        <v>536</v>
      </c>
      <c r="H304" s="1587" t="s">
        <v>536</v>
      </c>
      <c r="I304" s="1587" t="s">
        <v>536</v>
      </c>
      <c r="J304" s="1587" t="s">
        <v>536</v>
      </c>
      <c r="K304" s="544">
        <f t="shared" si="13"/>
        <v>4</v>
      </c>
      <c r="L304" s="1594">
        <f t="shared" si="12"/>
        <v>400000</v>
      </c>
      <c r="M304" s="1595"/>
    </row>
    <row r="305" spans="1:13" ht="18.75" customHeight="1">
      <c r="A305" s="1586">
        <v>288</v>
      </c>
      <c r="B305" s="1587">
        <v>79</v>
      </c>
      <c r="C305" s="1588"/>
      <c r="D305" s="1588"/>
      <c r="E305" s="1598" t="s">
        <v>578</v>
      </c>
      <c r="F305" s="1588" t="s">
        <v>15</v>
      </c>
      <c r="G305" s="1587" t="s">
        <v>536</v>
      </c>
      <c r="H305" s="1587" t="s">
        <v>536</v>
      </c>
      <c r="I305" s="1587" t="s">
        <v>536</v>
      </c>
      <c r="J305" s="1587" t="s">
        <v>536</v>
      </c>
      <c r="K305" s="544">
        <f t="shared" si="13"/>
        <v>4</v>
      </c>
      <c r="L305" s="1594">
        <f t="shared" ref="L305:L368" si="14">K305*100000</f>
        <v>400000</v>
      </c>
      <c r="M305" s="1595"/>
    </row>
    <row r="306" spans="1:13" ht="18.75" customHeight="1">
      <c r="A306" s="1586">
        <v>289</v>
      </c>
      <c r="B306" s="1587">
        <v>80</v>
      </c>
      <c r="C306" s="1588"/>
      <c r="D306" s="1588"/>
      <c r="E306" s="1598" t="s">
        <v>203</v>
      </c>
      <c r="F306" s="1588" t="s">
        <v>15</v>
      </c>
      <c r="G306" s="1587" t="s">
        <v>536</v>
      </c>
      <c r="H306" s="1587" t="s">
        <v>536</v>
      </c>
      <c r="I306" s="1587" t="s">
        <v>536</v>
      </c>
      <c r="J306" s="1587" t="s">
        <v>536</v>
      </c>
      <c r="K306" s="544">
        <f t="shared" si="13"/>
        <v>4</v>
      </c>
      <c r="L306" s="1594">
        <f t="shared" si="14"/>
        <v>400000</v>
      </c>
      <c r="M306" s="1595"/>
    </row>
    <row r="307" spans="1:13" ht="18.75" customHeight="1">
      <c r="A307" s="1586">
        <v>290</v>
      </c>
      <c r="B307" s="1587">
        <v>81</v>
      </c>
      <c r="C307" s="1588"/>
      <c r="D307" s="1588"/>
      <c r="E307" s="1598" t="s">
        <v>579</v>
      </c>
      <c r="F307" s="1588" t="s">
        <v>15</v>
      </c>
      <c r="G307" s="1587" t="s">
        <v>536</v>
      </c>
      <c r="H307" s="1587"/>
      <c r="I307" s="1587" t="s">
        <v>536</v>
      </c>
      <c r="J307" s="1587" t="s">
        <v>536</v>
      </c>
      <c r="K307" s="544">
        <f t="shared" si="13"/>
        <v>3</v>
      </c>
      <c r="L307" s="1594">
        <f t="shared" si="14"/>
        <v>300000</v>
      </c>
      <c r="M307" s="1595"/>
    </row>
    <row r="308" spans="1:13" ht="18.75" customHeight="1">
      <c r="A308" s="1586">
        <v>291</v>
      </c>
      <c r="B308" s="1587">
        <v>82</v>
      </c>
      <c r="C308" s="1588"/>
      <c r="D308" s="1588"/>
      <c r="E308" s="1598" t="s">
        <v>205</v>
      </c>
      <c r="F308" s="1588" t="s">
        <v>15</v>
      </c>
      <c r="G308" s="1587" t="s">
        <v>536</v>
      </c>
      <c r="H308" s="1587"/>
      <c r="I308" s="1587" t="s">
        <v>536</v>
      </c>
      <c r="J308" s="1587" t="s">
        <v>536</v>
      </c>
      <c r="K308" s="544">
        <f t="shared" si="13"/>
        <v>3</v>
      </c>
      <c r="L308" s="1594">
        <f t="shared" si="14"/>
        <v>300000</v>
      </c>
      <c r="M308" s="1595"/>
    </row>
    <row r="309" spans="1:13" ht="18.75" customHeight="1">
      <c r="A309" s="2260" t="s">
        <v>522</v>
      </c>
      <c r="B309" s="2261"/>
      <c r="C309" s="2261"/>
      <c r="D309" s="2261"/>
      <c r="E309" s="2261"/>
      <c r="F309" s="2262"/>
      <c r="G309" s="544">
        <f>COUNTIF(G310:G378,"X")</f>
        <v>69</v>
      </c>
      <c r="H309" s="544">
        <f>COUNTIF(H310:H378,"X")</f>
        <v>69</v>
      </c>
      <c r="I309" s="544">
        <f>COUNTIF(I310:I378,"X")</f>
        <v>69</v>
      </c>
      <c r="J309" s="544">
        <f>COUNTIF(J310:J378,"X")</f>
        <v>69</v>
      </c>
      <c r="K309" s="544">
        <f>SUM(K310:K378)</f>
        <v>276</v>
      </c>
      <c r="L309" s="1599">
        <f>SUM(L310:L378)</f>
        <v>27600000</v>
      </c>
      <c r="M309" s="1595"/>
    </row>
    <row r="310" spans="1:13" ht="18.75" customHeight="1">
      <c r="A310" s="1586">
        <v>292</v>
      </c>
      <c r="B310" s="1587">
        <v>1</v>
      </c>
      <c r="C310" s="1588"/>
      <c r="D310" s="1588"/>
      <c r="E310" s="1598" t="s">
        <v>580</v>
      </c>
      <c r="F310" s="1588" t="s">
        <v>15</v>
      </c>
      <c r="G310" s="1587" t="s">
        <v>536</v>
      </c>
      <c r="H310" s="1587" t="s">
        <v>536</v>
      </c>
      <c r="I310" s="1587" t="s">
        <v>536</v>
      </c>
      <c r="J310" s="1587" t="s">
        <v>536</v>
      </c>
      <c r="K310" s="544">
        <f t="shared" ref="K310:K373" si="15">COUNTIF(G310:J310,"X")</f>
        <v>4</v>
      </c>
      <c r="L310" s="1594">
        <f t="shared" si="14"/>
        <v>400000</v>
      </c>
      <c r="M310" s="1595"/>
    </row>
    <row r="311" spans="1:13" ht="18.75" customHeight="1">
      <c r="A311" s="1586">
        <v>293</v>
      </c>
      <c r="B311" s="1587">
        <v>2</v>
      </c>
      <c r="C311" s="1588"/>
      <c r="D311" s="1588"/>
      <c r="E311" s="1598" t="s">
        <v>207</v>
      </c>
      <c r="F311" s="1588" t="s">
        <v>15</v>
      </c>
      <c r="G311" s="1587" t="s">
        <v>536</v>
      </c>
      <c r="H311" s="1587" t="s">
        <v>536</v>
      </c>
      <c r="I311" s="1587" t="s">
        <v>536</v>
      </c>
      <c r="J311" s="1587" t="s">
        <v>536</v>
      </c>
      <c r="K311" s="544">
        <f t="shared" si="15"/>
        <v>4</v>
      </c>
      <c r="L311" s="1594">
        <f t="shared" si="14"/>
        <v>400000</v>
      </c>
      <c r="M311" s="1595"/>
    </row>
    <row r="312" spans="1:13" ht="18.75" customHeight="1">
      <c r="A312" s="1586">
        <v>294</v>
      </c>
      <c r="B312" s="1587">
        <v>3</v>
      </c>
      <c r="C312" s="1588"/>
      <c r="D312" s="1588"/>
      <c r="E312" s="1598" t="s">
        <v>208</v>
      </c>
      <c r="F312" s="1588" t="s">
        <v>15</v>
      </c>
      <c r="G312" s="1587" t="s">
        <v>536</v>
      </c>
      <c r="H312" s="1587" t="s">
        <v>536</v>
      </c>
      <c r="I312" s="1587" t="s">
        <v>536</v>
      </c>
      <c r="J312" s="1587" t="s">
        <v>536</v>
      </c>
      <c r="K312" s="544">
        <f t="shared" si="15"/>
        <v>4</v>
      </c>
      <c r="L312" s="1594">
        <f t="shared" si="14"/>
        <v>400000</v>
      </c>
      <c r="M312" s="1595"/>
    </row>
    <row r="313" spans="1:13" ht="18.75" customHeight="1">
      <c r="A313" s="1586">
        <v>295</v>
      </c>
      <c r="B313" s="1587">
        <v>4</v>
      </c>
      <c r="C313" s="1588"/>
      <c r="D313" s="1588"/>
      <c r="E313" s="1598" t="s">
        <v>209</v>
      </c>
      <c r="F313" s="1588" t="s">
        <v>15</v>
      </c>
      <c r="G313" s="1587" t="s">
        <v>536</v>
      </c>
      <c r="H313" s="1587" t="s">
        <v>536</v>
      </c>
      <c r="I313" s="1587" t="s">
        <v>536</v>
      </c>
      <c r="J313" s="1587" t="s">
        <v>536</v>
      </c>
      <c r="K313" s="544">
        <f t="shared" si="15"/>
        <v>4</v>
      </c>
      <c r="L313" s="1594">
        <f t="shared" si="14"/>
        <v>400000</v>
      </c>
      <c r="M313" s="1595"/>
    </row>
    <row r="314" spans="1:13" ht="18.75" customHeight="1">
      <c r="A314" s="1586">
        <v>296</v>
      </c>
      <c r="B314" s="1587">
        <v>5</v>
      </c>
      <c r="C314" s="1588"/>
      <c r="D314" s="1588"/>
      <c r="E314" s="1598" t="s">
        <v>210</v>
      </c>
      <c r="F314" s="1588" t="s">
        <v>15</v>
      </c>
      <c r="G314" s="1587" t="s">
        <v>536</v>
      </c>
      <c r="H314" s="1587" t="s">
        <v>536</v>
      </c>
      <c r="I314" s="1587" t="s">
        <v>536</v>
      </c>
      <c r="J314" s="1587" t="s">
        <v>536</v>
      </c>
      <c r="K314" s="544">
        <f t="shared" si="15"/>
        <v>4</v>
      </c>
      <c r="L314" s="1594">
        <f t="shared" si="14"/>
        <v>400000</v>
      </c>
      <c r="M314" s="1595"/>
    </row>
    <row r="315" spans="1:13" ht="18.75" customHeight="1">
      <c r="A315" s="1586">
        <v>297</v>
      </c>
      <c r="B315" s="1587">
        <v>6</v>
      </c>
      <c r="C315" s="1588"/>
      <c r="D315" s="1588"/>
      <c r="E315" s="1598" t="s">
        <v>559</v>
      </c>
      <c r="F315" s="1588" t="s">
        <v>15</v>
      </c>
      <c r="G315" s="1587" t="s">
        <v>536</v>
      </c>
      <c r="H315" s="1587" t="s">
        <v>536</v>
      </c>
      <c r="I315" s="1587" t="s">
        <v>536</v>
      </c>
      <c r="J315" s="1587" t="s">
        <v>536</v>
      </c>
      <c r="K315" s="544">
        <f t="shared" si="15"/>
        <v>4</v>
      </c>
      <c r="L315" s="1594">
        <f t="shared" si="14"/>
        <v>400000</v>
      </c>
      <c r="M315" s="1595"/>
    </row>
    <row r="316" spans="1:13" ht="18.75" customHeight="1">
      <c r="A316" s="1586">
        <v>298</v>
      </c>
      <c r="B316" s="1587">
        <v>7</v>
      </c>
      <c r="C316" s="1588"/>
      <c r="D316" s="1588"/>
      <c r="E316" s="1598" t="s">
        <v>212</v>
      </c>
      <c r="F316" s="1588" t="s">
        <v>15</v>
      </c>
      <c r="G316" s="1587" t="s">
        <v>536</v>
      </c>
      <c r="H316" s="1587" t="s">
        <v>536</v>
      </c>
      <c r="I316" s="1587" t="s">
        <v>536</v>
      </c>
      <c r="J316" s="1587" t="s">
        <v>536</v>
      </c>
      <c r="K316" s="544">
        <f t="shared" si="15"/>
        <v>4</v>
      </c>
      <c r="L316" s="1594">
        <f t="shared" si="14"/>
        <v>400000</v>
      </c>
      <c r="M316" s="1595"/>
    </row>
    <row r="317" spans="1:13" ht="18.75" customHeight="1">
      <c r="A317" s="1586">
        <v>299</v>
      </c>
      <c r="B317" s="1587">
        <v>8</v>
      </c>
      <c r="C317" s="1588"/>
      <c r="D317" s="1588"/>
      <c r="E317" s="1598" t="s">
        <v>213</v>
      </c>
      <c r="F317" s="1588" t="s">
        <v>15</v>
      </c>
      <c r="G317" s="1587" t="s">
        <v>536</v>
      </c>
      <c r="H317" s="1587" t="s">
        <v>536</v>
      </c>
      <c r="I317" s="1587" t="s">
        <v>536</v>
      </c>
      <c r="J317" s="1587" t="s">
        <v>536</v>
      </c>
      <c r="K317" s="544">
        <f t="shared" si="15"/>
        <v>4</v>
      </c>
      <c r="L317" s="1594">
        <f t="shared" si="14"/>
        <v>400000</v>
      </c>
      <c r="M317" s="1595"/>
    </row>
    <row r="318" spans="1:13" ht="18.75" customHeight="1">
      <c r="A318" s="1586">
        <v>300</v>
      </c>
      <c r="B318" s="1587">
        <v>9</v>
      </c>
      <c r="C318" s="1588"/>
      <c r="D318" s="1588"/>
      <c r="E318" s="1598" t="s">
        <v>214</v>
      </c>
      <c r="F318" s="1588" t="s">
        <v>15</v>
      </c>
      <c r="G318" s="1587" t="s">
        <v>536</v>
      </c>
      <c r="H318" s="1587" t="s">
        <v>536</v>
      </c>
      <c r="I318" s="1587" t="s">
        <v>536</v>
      </c>
      <c r="J318" s="1587" t="s">
        <v>536</v>
      </c>
      <c r="K318" s="544">
        <f t="shared" si="15"/>
        <v>4</v>
      </c>
      <c r="L318" s="1594">
        <f t="shared" si="14"/>
        <v>400000</v>
      </c>
      <c r="M318" s="1595"/>
    </row>
    <row r="319" spans="1:13" ht="18.75" customHeight="1">
      <c r="A319" s="1586">
        <v>301</v>
      </c>
      <c r="B319" s="1587">
        <v>10</v>
      </c>
      <c r="C319" s="1588"/>
      <c r="D319" s="1588"/>
      <c r="E319" s="1598" t="s">
        <v>215</v>
      </c>
      <c r="F319" s="1588" t="s">
        <v>15</v>
      </c>
      <c r="G319" s="1587" t="s">
        <v>536</v>
      </c>
      <c r="H319" s="1587" t="s">
        <v>536</v>
      </c>
      <c r="I319" s="1587" t="s">
        <v>536</v>
      </c>
      <c r="J319" s="1587" t="s">
        <v>536</v>
      </c>
      <c r="K319" s="544">
        <f t="shared" si="15"/>
        <v>4</v>
      </c>
      <c r="L319" s="1594">
        <f t="shared" si="14"/>
        <v>400000</v>
      </c>
      <c r="M319" s="1595"/>
    </row>
    <row r="320" spans="1:13" ht="18.75" customHeight="1">
      <c r="A320" s="1586">
        <v>302</v>
      </c>
      <c r="B320" s="1587">
        <v>11</v>
      </c>
      <c r="C320" s="1588"/>
      <c r="D320" s="1588"/>
      <c r="E320" s="1598" t="s">
        <v>581</v>
      </c>
      <c r="F320" s="1588" t="s">
        <v>15</v>
      </c>
      <c r="G320" s="1587" t="s">
        <v>536</v>
      </c>
      <c r="H320" s="1587" t="s">
        <v>536</v>
      </c>
      <c r="I320" s="1587" t="s">
        <v>536</v>
      </c>
      <c r="J320" s="1587" t="s">
        <v>536</v>
      </c>
      <c r="K320" s="544">
        <f t="shared" si="15"/>
        <v>4</v>
      </c>
      <c r="L320" s="1594">
        <f t="shared" si="14"/>
        <v>400000</v>
      </c>
      <c r="M320" s="1595"/>
    </row>
    <row r="321" spans="1:13" ht="18.75" customHeight="1">
      <c r="A321" s="1586">
        <v>303</v>
      </c>
      <c r="B321" s="1587">
        <v>12</v>
      </c>
      <c r="C321" s="1588"/>
      <c r="D321" s="1588"/>
      <c r="E321" s="1598" t="s">
        <v>217</v>
      </c>
      <c r="F321" s="1588" t="s">
        <v>15</v>
      </c>
      <c r="G321" s="1587" t="s">
        <v>536</v>
      </c>
      <c r="H321" s="1587" t="s">
        <v>536</v>
      </c>
      <c r="I321" s="1587" t="s">
        <v>536</v>
      </c>
      <c r="J321" s="1587" t="s">
        <v>536</v>
      </c>
      <c r="K321" s="544">
        <f t="shared" si="15"/>
        <v>4</v>
      </c>
      <c r="L321" s="1594">
        <f t="shared" si="14"/>
        <v>400000</v>
      </c>
      <c r="M321" s="1595"/>
    </row>
    <row r="322" spans="1:13" ht="18.75" customHeight="1">
      <c r="A322" s="1586">
        <v>304</v>
      </c>
      <c r="B322" s="1587">
        <v>13</v>
      </c>
      <c r="C322" s="1588"/>
      <c r="D322" s="1588"/>
      <c r="E322" s="1598" t="s">
        <v>218</v>
      </c>
      <c r="F322" s="1588" t="s">
        <v>15</v>
      </c>
      <c r="G322" s="1587" t="s">
        <v>536</v>
      </c>
      <c r="H322" s="1587" t="s">
        <v>536</v>
      </c>
      <c r="I322" s="1587" t="s">
        <v>536</v>
      </c>
      <c r="J322" s="1587" t="s">
        <v>536</v>
      </c>
      <c r="K322" s="544">
        <f t="shared" si="15"/>
        <v>4</v>
      </c>
      <c r="L322" s="1594">
        <f t="shared" si="14"/>
        <v>400000</v>
      </c>
      <c r="M322" s="1595"/>
    </row>
    <row r="323" spans="1:13" ht="18.75" customHeight="1">
      <c r="A323" s="1586">
        <v>305</v>
      </c>
      <c r="B323" s="1587">
        <v>14</v>
      </c>
      <c r="C323" s="1588"/>
      <c r="D323" s="1588"/>
      <c r="E323" s="1598" t="s">
        <v>219</v>
      </c>
      <c r="F323" s="1588" t="s">
        <v>15</v>
      </c>
      <c r="G323" s="1587" t="s">
        <v>536</v>
      </c>
      <c r="H323" s="1587" t="s">
        <v>536</v>
      </c>
      <c r="I323" s="1587" t="s">
        <v>536</v>
      </c>
      <c r="J323" s="1587" t="s">
        <v>536</v>
      </c>
      <c r="K323" s="544">
        <f t="shared" si="15"/>
        <v>4</v>
      </c>
      <c r="L323" s="1594">
        <f t="shared" si="14"/>
        <v>400000</v>
      </c>
      <c r="M323" s="1595"/>
    </row>
    <row r="324" spans="1:13" ht="18.75" customHeight="1">
      <c r="A324" s="1586">
        <v>306</v>
      </c>
      <c r="B324" s="1587">
        <v>15</v>
      </c>
      <c r="C324" s="1588"/>
      <c r="D324" s="1588"/>
      <c r="E324" s="1598" t="s">
        <v>220</v>
      </c>
      <c r="F324" s="1588" t="s">
        <v>15</v>
      </c>
      <c r="G324" s="1587" t="s">
        <v>536</v>
      </c>
      <c r="H324" s="1587" t="s">
        <v>536</v>
      </c>
      <c r="I324" s="1587" t="s">
        <v>536</v>
      </c>
      <c r="J324" s="1587" t="s">
        <v>536</v>
      </c>
      <c r="K324" s="544">
        <f t="shared" si="15"/>
        <v>4</v>
      </c>
      <c r="L324" s="1594">
        <f t="shared" si="14"/>
        <v>400000</v>
      </c>
      <c r="M324" s="1595"/>
    </row>
    <row r="325" spans="1:13" ht="18.75" customHeight="1">
      <c r="A325" s="1586">
        <v>307</v>
      </c>
      <c r="B325" s="1587">
        <v>16</v>
      </c>
      <c r="C325" s="1588"/>
      <c r="D325" s="1588"/>
      <c r="E325" s="1598" t="s">
        <v>221</v>
      </c>
      <c r="F325" s="1588" t="s">
        <v>15</v>
      </c>
      <c r="G325" s="1587" t="s">
        <v>536</v>
      </c>
      <c r="H325" s="1587" t="s">
        <v>536</v>
      </c>
      <c r="I325" s="1587" t="s">
        <v>536</v>
      </c>
      <c r="J325" s="1587" t="s">
        <v>536</v>
      </c>
      <c r="K325" s="544">
        <f t="shared" si="15"/>
        <v>4</v>
      </c>
      <c r="L325" s="1594">
        <f t="shared" si="14"/>
        <v>400000</v>
      </c>
      <c r="M325" s="1595"/>
    </row>
    <row r="326" spans="1:13" ht="18.75" customHeight="1">
      <c r="A326" s="1586">
        <v>308</v>
      </c>
      <c r="B326" s="1587">
        <v>17</v>
      </c>
      <c r="C326" s="1588"/>
      <c r="D326" s="1588"/>
      <c r="E326" s="1598" t="s">
        <v>222</v>
      </c>
      <c r="F326" s="1588" t="s">
        <v>15</v>
      </c>
      <c r="G326" s="1587" t="s">
        <v>536</v>
      </c>
      <c r="H326" s="1587" t="s">
        <v>536</v>
      </c>
      <c r="I326" s="1587" t="s">
        <v>536</v>
      </c>
      <c r="J326" s="1587" t="s">
        <v>536</v>
      </c>
      <c r="K326" s="544">
        <f t="shared" si="15"/>
        <v>4</v>
      </c>
      <c r="L326" s="1594">
        <f t="shared" si="14"/>
        <v>400000</v>
      </c>
      <c r="M326" s="1595"/>
    </row>
    <row r="327" spans="1:13" ht="18.75" customHeight="1">
      <c r="A327" s="1586">
        <v>309</v>
      </c>
      <c r="B327" s="1587">
        <v>18</v>
      </c>
      <c r="C327" s="1588"/>
      <c r="D327" s="1588"/>
      <c r="E327" s="1598" t="s">
        <v>582</v>
      </c>
      <c r="F327" s="1588" t="s">
        <v>15</v>
      </c>
      <c r="G327" s="1587" t="s">
        <v>536</v>
      </c>
      <c r="H327" s="1587" t="s">
        <v>536</v>
      </c>
      <c r="I327" s="1587" t="s">
        <v>536</v>
      </c>
      <c r="J327" s="1587" t="s">
        <v>536</v>
      </c>
      <c r="K327" s="544">
        <f t="shared" si="15"/>
        <v>4</v>
      </c>
      <c r="L327" s="1594">
        <f t="shared" si="14"/>
        <v>400000</v>
      </c>
      <c r="M327" s="1595"/>
    </row>
    <row r="328" spans="1:13" ht="18.75" customHeight="1">
      <c r="A328" s="1586">
        <v>310</v>
      </c>
      <c r="B328" s="1587">
        <v>19</v>
      </c>
      <c r="C328" s="1588"/>
      <c r="D328" s="1588"/>
      <c r="E328" s="1598" t="s">
        <v>224</v>
      </c>
      <c r="F328" s="1588" t="s">
        <v>15</v>
      </c>
      <c r="G328" s="1587" t="s">
        <v>536</v>
      </c>
      <c r="H328" s="1587" t="s">
        <v>536</v>
      </c>
      <c r="I328" s="1587" t="s">
        <v>536</v>
      </c>
      <c r="J328" s="1587" t="s">
        <v>536</v>
      </c>
      <c r="K328" s="544">
        <f t="shared" si="15"/>
        <v>4</v>
      </c>
      <c r="L328" s="1594">
        <f t="shared" si="14"/>
        <v>400000</v>
      </c>
      <c r="M328" s="1595"/>
    </row>
    <row r="329" spans="1:13" ht="18.75" customHeight="1">
      <c r="A329" s="1586">
        <v>311</v>
      </c>
      <c r="B329" s="1587">
        <v>20</v>
      </c>
      <c r="C329" s="1588"/>
      <c r="D329" s="1588"/>
      <c r="E329" s="1598" t="s">
        <v>225</v>
      </c>
      <c r="F329" s="1588" t="s">
        <v>15</v>
      </c>
      <c r="G329" s="1587" t="s">
        <v>536</v>
      </c>
      <c r="H329" s="1587" t="s">
        <v>536</v>
      </c>
      <c r="I329" s="1587" t="s">
        <v>536</v>
      </c>
      <c r="J329" s="1587" t="s">
        <v>536</v>
      </c>
      <c r="K329" s="544">
        <f t="shared" si="15"/>
        <v>4</v>
      </c>
      <c r="L329" s="1594">
        <f t="shared" si="14"/>
        <v>400000</v>
      </c>
      <c r="M329" s="1595"/>
    </row>
    <row r="330" spans="1:13" ht="18.75" customHeight="1">
      <c r="A330" s="1586">
        <v>312</v>
      </c>
      <c r="B330" s="1587">
        <v>21</v>
      </c>
      <c r="C330" s="1588"/>
      <c r="D330" s="1588"/>
      <c r="E330" s="1598" t="s">
        <v>226</v>
      </c>
      <c r="F330" s="1588" t="s">
        <v>15</v>
      </c>
      <c r="G330" s="1587" t="s">
        <v>536</v>
      </c>
      <c r="H330" s="1587" t="s">
        <v>536</v>
      </c>
      <c r="I330" s="1587" t="s">
        <v>536</v>
      </c>
      <c r="J330" s="1587" t="s">
        <v>536</v>
      </c>
      <c r="K330" s="544">
        <f t="shared" si="15"/>
        <v>4</v>
      </c>
      <c r="L330" s="1594">
        <f t="shared" si="14"/>
        <v>400000</v>
      </c>
      <c r="M330" s="1595"/>
    </row>
    <row r="331" spans="1:13" ht="18.75" customHeight="1">
      <c r="A331" s="1586">
        <v>313</v>
      </c>
      <c r="B331" s="1587">
        <v>22</v>
      </c>
      <c r="C331" s="1588"/>
      <c r="D331" s="1588"/>
      <c r="E331" s="1598" t="s">
        <v>408</v>
      </c>
      <c r="F331" s="1588" t="s">
        <v>15</v>
      </c>
      <c r="G331" s="1587" t="s">
        <v>536</v>
      </c>
      <c r="H331" s="1587" t="s">
        <v>536</v>
      </c>
      <c r="I331" s="1587" t="s">
        <v>536</v>
      </c>
      <c r="J331" s="1587" t="s">
        <v>536</v>
      </c>
      <c r="K331" s="544">
        <f t="shared" si="15"/>
        <v>4</v>
      </c>
      <c r="L331" s="1594">
        <f t="shared" si="14"/>
        <v>400000</v>
      </c>
      <c r="M331" s="1595"/>
    </row>
    <row r="332" spans="1:13" ht="18.75" customHeight="1">
      <c r="A332" s="1586">
        <v>314</v>
      </c>
      <c r="B332" s="1587">
        <v>23</v>
      </c>
      <c r="C332" s="1588"/>
      <c r="D332" s="1588"/>
      <c r="E332" s="1598" t="s">
        <v>228</v>
      </c>
      <c r="F332" s="1588" t="s">
        <v>15</v>
      </c>
      <c r="G332" s="1587" t="s">
        <v>536</v>
      </c>
      <c r="H332" s="1587" t="s">
        <v>536</v>
      </c>
      <c r="I332" s="1587" t="s">
        <v>536</v>
      </c>
      <c r="J332" s="1587" t="s">
        <v>536</v>
      </c>
      <c r="K332" s="544">
        <f t="shared" si="15"/>
        <v>4</v>
      </c>
      <c r="L332" s="1594">
        <f t="shared" si="14"/>
        <v>400000</v>
      </c>
      <c r="M332" s="1595"/>
    </row>
    <row r="333" spans="1:13" ht="18.75" customHeight="1">
      <c r="A333" s="1586">
        <v>315</v>
      </c>
      <c r="B333" s="1587">
        <v>24</v>
      </c>
      <c r="C333" s="1588"/>
      <c r="D333" s="1588"/>
      <c r="E333" s="1598" t="s">
        <v>583</v>
      </c>
      <c r="F333" s="1588" t="s">
        <v>15</v>
      </c>
      <c r="G333" s="1587" t="s">
        <v>536</v>
      </c>
      <c r="H333" s="1587" t="s">
        <v>536</v>
      </c>
      <c r="I333" s="1587" t="s">
        <v>536</v>
      </c>
      <c r="J333" s="1587" t="s">
        <v>536</v>
      </c>
      <c r="K333" s="544">
        <f t="shared" si="15"/>
        <v>4</v>
      </c>
      <c r="L333" s="1594">
        <f t="shared" si="14"/>
        <v>400000</v>
      </c>
      <c r="M333" s="1595"/>
    </row>
    <row r="334" spans="1:13" ht="18.75" customHeight="1">
      <c r="A334" s="1586">
        <v>316</v>
      </c>
      <c r="B334" s="1587">
        <v>25</v>
      </c>
      <c r="C334" s="1588"/>
      <c r="D334" s="1588"/>
      <c r="E334" s="1598" t="s">
        <v>230</v>
      </c>
      <c r="F334" s="1588" t="s">
        <v>15</v>
      </c>
      <c r="G334" s="1587" t="s">
        <v>536</v>
      </c>
      <c r="H334" s="1587" t="s">
        <v>536</v>
      </c>
      <c r="I334" s="1587" t="s">
        <v>536</v>
      </c>
      <c r="J334" s="1587" t="s">
        <v>536</v>
      </c>
      <c r="K334" s="544">
        <f t="shared" si="15"/>
        <v>4</v>
      </c>
      <c r="L334" s="1594">
        <f t="shared" si="14"/>
        <v>400000</v>
      </c>
      <c r="M334" s="1595"/>
    </row>
    <row r="335" spans="1:13" ht="18.75" customHeight="1">
      <c r="A335" s="1586">
        <v>317</v>
      </c>
      <c r="B335" s="1587">
        <v>26</v>
      </c>
      <c r="C335" s="1588"/>
      <c r="D335" s="1588"/>
      <c r="E335" s="1598" t="s">
        <v>584</v>
      </c>
      <c r="F335" s="1588" t="s">
        <v>15</v>
      </c>
      <c r="G335" s="1587" t="s">
        <v>536</v>
      </c>
      <c r="H335" s="1587" t="s">
        <v>536</v>
      </c>
      <c r="I335" s="1587" t="s">
        <v>536</v>
      </c>
      <c r="J335" s="1587" t="s">
        <v>536</v>
      </c>
      <c r="K335" s="544">
        <f t="shared" si="15"/>
        <v>4</v>
      </c>
      <c r="L335" s="1594">
        <f t="shared" si="14"/>
        <v>400000</v>
      </c>
      <c r="M335" s="1595"/>
    </row>
    <row r="336" spans="1:13" ht="18.75" customHeight="1">
      <c r="A336" s="1586">
        <v>318</v>
      </c>
      <c r="B336" s="1587">
        <v>27</v>
      </c>
      <c r="C336" s="1588"/>
      <c r="D336" s="1588"/>
      <c r="E336" s="1598" t="s">
        <v>232</v>
      </c>
      <c r="F336" s="1588" t="s">
        <v>15</v>
      </c>
      <c r="G336" s="1587" t="s">
        <v>536</v>
      </c>
      <c r="H336" s="1587" t="s">
        <v>536</v>
      </c>
      <c r="I336" s="1587" t="s">
        <v>536</v>
      </c>
      <c r="J336" s="1587" t="s">
        <v>536</v>
      </c>
      <c r="K336" s="544">
        <f t="shared" si="15"/>
        <v>4</v>
      </c>
      <c r="L336" s="1594">
        <f t="shared" si="14"/>
        <v>400000</v>
      </c>
      <c r="M336" s="1595"/>
    </row>
    <row r="337" spans="1:13" ht="18.75" customHeight="1">
      <c r="A337" s="1586">
        <v>319</v>
      </c>
      <c r="B337" s="1587">
        <v>28</v>
      </c>
      <c r="C337" s="1588"/>
      <c r="D337" s="1588"/>
      <c r="E337" s="1598" t="s">
        <v>233</v>
      </c>
      <c r="F337" s="1588" t="s">
        <v>15</v>
      </c>
      <c r="G337" s="1587" t="s">
        <v>536</v>
      </c>
      <c r="H337" s="1587" t="s">
        <v>536</v>
      </c>
      <c r="I337" s="1587" t="s">
        <v>536</v>
      </c>
      <c r="J337" s="1587" t="s">
        <v>536</v>
      </c>
      <c r="K337" s="544">
        <f t="shared" si="15"/>
        <v>4</v>
      </c>
      <c r="L337" s="1594">
        <f t="shared" si="14"/>
        <v>400000</v>
      </c>
      <c r="M337" s="1595"/>
    </row>
    <row r="338" spans="1:13" ht="18.75" customHeight="1">
      <c r="A338" s="1586">
        <v>320</v>
      </c>
      <c r="B338" s="1587">
        <v>29</v>
      </c>
      <c r="C338" s="1588"/>
      <c r="D338" s="1588"/>
      <c r="E338" s="1598" t="s">
        <v>234</v>
      </c>
      <c r="F338" s="1588" t="s">
        <v>15</v>
      </c>
      <c r="G338" s="1587" t="s">
        <v>536</v>
      </c>
      <c r="H338" s="1587" t="s">
        <v>536</v>
      </c>
      <c r="I338" s="1587" t="s">
        <v>536</v>
      </c>
      <c r="J338" s="1587" t="s">
        <v>536</v>
      </c>
      <c r="K338" s="544">
        <f t="shared" si="15"/>
        <v>4</v>
      </c>
      <c r="L338" s="1594">
        <f t="shared" si="14"/>
        <v>400000</v>
      </c>
      <c r="M338" s="1595"/>
    </row>
    <row r="339" spans="1:13" ht="18.75" customHeight="1">
      <c r="A339" s="1586">
        <v>321</v>
      </c>
      <c r="B339" s="1587">
        <v>30</v>
      </c>
      <c r="C339" s="1588"/>
      <c r="D339" s="1588"/>
      <c r="E339" s="1598" t="s">
        <v>235</v>
      </c>
      <c r="F339" s="1588" t="s">
        <v>15</v>
      </c>
      <c r="G339" s="1587" t="s">
        <v>536</v>
      </c>
      <c r="H339" s="1587" t="s">
        <v>536</v>
      </c>
      <c r="I339" s="1587" t="s">
        <v>536</v>
      </c>
      <c r="J339" s="1587" t="s">
        <v>536</v>
      </c>
      <c r="K339" s="544">
        <f t="shared" si="15"/>
        <v>4</v>
      </c>
      <c r="L339" s="1594">
        <f t="shared" si="14"/>
        <v>400000</v>
      </c>
      <c r="M339" s="1595"/>
    </row>
    <row r="340" spans="1:13" ht="18.75" customHeight="1">
      <c r="A340" s="1586">
        <v>322</v>
      </c>
      <c r="B340" s="1587">
        <v>31</v>
      </c>
      <c r="C340" s="1588"/>
      <c r="D340" s="1588"/>
      <c r="E340" s="1598" t="s">
        <v>236</v>
      </c>
      <c r="F340" s="1588" t="s">
        <v>15</v>
      </c>
      <c r="G340" s="1587" t="s">
        <v>536</v>
      </c>
      <c r="H340" s="1587" t="s">
        <v>536</v>
      </c>
      <c r="I340" s="1587" t="s">
        <v>536</v>
      </c>
      <c r="J340" s="1587" t="s">
        <v>536</v>
      </c>
      <c r="K340" s="544">
        <f t="shared" si="15"/>
        <v>4</v>
      </c>
      <c r="L340" s="1594">
        <f t="shared" si="14"/>
        <v>400000</v>
      </c>
      <c r="M340" s="1595"/>
    </row>
    <row r="341" spans="1:13" ht="18.75" customHeight="1">
      <c r="A341" s="1586">
        <v>323</v>
      </c>
      <c r="B341" s="1587">
        <v>32</v>
      </c>
      <c r="C341" s="1588"/>
      <c r="D341" s="1588"/>
      <c r="E341" s="1598" t="s">
        <v>237</v>
      </c>
      <c r="F341" s="1588" t="s">
        <v>15</v>
      </c>
      <c r="G341" s="1587" t="s">
        <v>536</v>
      </c>
      <c r="H341" s="1587" t="s">
        <v>536</v>
      </c>
      <c r="I341" s="1587" t="s">
        <v>536</v>
      </c>
      <c r="J341" s="1587" t="s">
        <v>536</v>
      </c>
      <c r="K341" s="544">
        <f t="shared" si="15"/>
        <v>4</v>
      </c>
      <c r="L341" s="1594">
        <f t="shared" si="14"/>
        <v>400000</v>
      </c>
      <c r="M341" s="1595"/>
    </row>
    <row r="342" spans="1:13" ht="18.75" customHeight="1">
      <c r="A342" s="1586">
        <v>324</v>
      </c>
      <c r="B342" s="1587">
        <v>33</v>
      </c>
      <c r="C342" s="1588"/>
      <c r="D342" s="1588"/>
      <c r="E342" s="1598" t="s">
        <v>238</v>
      </c>
      <c r="F342" s="1588" t="s">
        <v>15</v>
      </c>
      <c r="G342" s="1587" t="s">
        <v>536</v>
      </c>
      <c r="H342" s="1587" t="s">
        <v>536</v>
      </c>
      <c r="I342" s="1587" t="s">
        <v>536</v>
      </c>
      <c r="J342" s="1587" t="s">
        <v>536</v>
      </c>
      <c r="K342" s="544">
        <f t="shared" si="15"/>
        <v>4</v>
      </c>
      <c r="L342" s="1594">
        <f t="shared" si="14"/>
        <v>400000</v>
      </c>
      <c r="M342" s="1595"/>
    </row>
    <row r="343" spans="1:13" ht="18.75" customHeight="1">
      <c r="A343" s="1586">
        <v>325</v>
      </c>
      <c r="B343" s="1587">
        <v>34</v>
      </c>
      <c r="C343" s="1588"/>
      <c r="D343" s="1588"/>
      <c r="E343" s="1598" t="s">
        <v>117</v>
      </c>
      <c r="F343" s="1588" t="s">
        <v>15</v>
      </c>
      <c r="G343" s="1587" t="s">
        <v>536</v>
      </c>
      <c r="H343" s="1587" t="s">
        <v>536</v>
      </c>
      <c r="I343" s="1587" t="s">
        <v>536</v>
      </c>
      <c r="J343" s="1587" t="s">
        <v>536</v>
      </c>
      <c r="K343" s="544">
        <f t="shared" si="15"/>
        <v>4</v>
      </c>
      <c r="L343" s="1594">
        <f t="shared" si="14"/>
        <v>400000</v>
      </c>
      <c r="M343" s="1595"/>
    </row>
    <row r="344" spans="1:13" ht="18.75" customHeight="1">
      <c r="A344" s="1586">
        <v>326</v>
      </c>
      <c r="B344" s="1587">
        <v>35</v>
      </c>
      <c r="C344" s="1588"/>
      <c r="D344" s="1588"/>
      <c r="E344" s="1598" t="s">
        <v>240</v>
      </c>
      <c r="F344" s="1588" t="s">
        <v>15</v>
      </c>
      <c r="G344" s="1587" t="s">
        <v>536</v>
      </c>
      <c r="H344" s="1587" t="s">
        <v>536</v>
      </c>
      <c r="I344" s="1587" t="s">
        <v>536</v>
      </c>
      <c r="J344" s="1587" t="s">
        <v>536</v>
      </c>
      <c r="K344" s="544">
        <f t="shared" si="15"/>
        <v>4</v>
      </c>
      <c r="L344" s="1594">
        <f t="shared" si="14"/>
        <v>400000</v>
      </c>
      <c r="M344" s="1595"/>
    </row>
    <row r="345" spans="1:13" ht="18.75" customHeight="1">
      <c r="A345" s="1586">
        <v>327</v>
      </c>
      <c r="B345" s="1587">
        <v>36</v>
      </c>
      <c r="C345" s="1588"/>
      <c r="D345" s="1588"/>
      <c r="E345" s="1598" t="s">
        <v>241</v>
      </c>
      <c r="F345" s="1588" t="s">
        <v>15</v>
      </c>
      <c r="G345" s="1587" t="s">
        <v>536</v>
      </c>
      <c r="H345" s="1587" t="s">
        <v>536</v>
      </c>
      <c r="I345" s="1587" t="s">
        <v>536</v>
      </c>
      <c r="J345" s="1587" t="s">
        <v>536</v>
      </c>
      <c r="K345" s="544">
        <f t="shared" si="15"/>
        <v>4</v>
      </c>
      <c r="L345" s="1594">
        <f t="shared" si="14"/>
        <v>400000</v>
      </c>
      <c r="M345" s="1595"/>
    </row>
    <row r="346" spans="1:13" ht="18.75" customHeight="1">
      <c r="A346" s="1586">
        <v>328</v>
      </c>
      <c r="B346" s="1587">
        <v>37</v>
      </c>
      <c r="C346" s="1588"/>
      <c r="D346" s="1588"/>
      <c r="E346" s="1598" t="s">
        <v>242</v>
      </c>
      <c r="F346" s="1588" t="s">
        <v>15</v>
      </c>
      <c r="G346" s="1587" t="s">
        <v>536</v>
      </c>
      <c r="H346" s="1587" t="s">
        <v>536</v>
      </c>
      <c r="I346" s="1587" t="s">
        <v>536</v>
      </c>
      <c r="J346" s="1587" t="s">
        <v>536</v>
      </c>
      <c r="K346" s="544">
        <f t="shared" si="15"/>
        <v>4</v>
      </c>
      <c r="L346" s="1594">
        <f t="shared" si="14"/>
        <v>400000</v>
      </c>
      <c r="M346" s="1595"/>
    </row>
    <row r="347" spans="1:13" ht="18.75" customHeight="1">
      <c r="A347" s="1586">
        <v>329</v>
      </c>
      <c r="B347" s="1587">
        <v>38</v>
      </c>
      <c r="C347" s="1588"/>
      <c r="D347" s="1588"/>
      <c r="E347" s="1598" t="s">
        <v>243</v>
      </c>
      <c r="F347" s="1588" t="s">
        <v>15</v>
      </c>
      <c r="G347" s="1587" t="s">
        <v>536</v>
      </c>
      <c r="H347" s="1587" t="s">
        <v>536</v>
      </c>
      <c r="I347" s="1587" t="s">
        <v>536</v>
      </c>
      <c r="J347" s="1587" t="s">
        <v>536</v>
      </c>
      <c r="K347" s="544">
        <f t="shared" si="15"/>
        <v>4</v>
      </c>
      <c r="L347" s="1594">
        <f t="shared" si="14"/>
        <v>400000</v>
      </c>
      <c r="M347" s="1595"/>
    </row>
    <row r="348" spans="1:13" ht="18.75" customHeight="1">
      <c r="A348" s="1586">
        <v>330</v>
      </c>
      <c r="B348" s="1587">
        <v>39</v>
      </c>
      <c r="C348" s="1588"/>
      <c r="D348" s="1588"/>
      <c r="E348" s="1598" t="s">
        <v>244</v>
      </c>
      <c r="F348" s="1588" t="s">
        <v>15</v>
      </c>
      <c r="G348" s="1587" t="s">
        <v>536</v>
      </c>
      <c r="H348" s="1587" t="s">
        <v>536</v>
      </c>
      <c r="I348" s="1587" t="s">
        <v>536</v>
      </c>
      <c r="J348" s="1587" t="s">
        <v>536</v>
      </c>
      <c r="K348" s="544">
        <f t="shared" si="15"/>
        <v>4</v>
      </c>
      <c r="L348" s="1594">
        <f t="shared" si="14"/>
        <v>400000</v>
      </c>
      <c r="M348" s="1595"/>
    </row>
    <row r="349" spans="1:13" ht="18.75" customHeight="1">
      <c r="A349" s="1586">
        <v>331</v>
      </c>
      <c r="B349" s="1587">
        <v>40</v>
      </c>
      <c r="C349" s="1588"/>
      <c r="D349" s="1588"/>
      <c r="E349" s="1598" t="s">
        <v>567</v>
      </c>
      <c r="F349" s="1588" t="s">
        <v>15</v>
      </c>
      <c r="G349" s="1587" t="s">
        <v>536</v>
      </c>
      <c r="H349" s="1587" t="s">
        <v>536</v>
      </c>
      <c r="I349" s="1587" t="s">
        <v>536</v>
      </c>
      <c r="J349" s="1587" t="s">
        <v>536</v>
      </c>
      <c r="K349" s="544">
        <f t="shared" si="15"/>
        <v>4</v>
      </c>
      <c r="L349" s="1594">
        <f t="shared" si="14"/>
        <v>400000</v>
      </c>
      <c r="M349" s="1595"/>
    </row>
    <row r="350" spans="1:13" ht="18.75" customHeight="1">
      <c r="A350" s="1586">
        <v>332</v>
      </c>
      <c r="B350" s="1587">
        <v>41</v>
      </c>
      <c r="C350" s="1588"/>
      <c r="D350" s="1588"/>
      <c r="E350" s="1598" t="s">
        <v>585</v>
      </c>
      <c r="F350" s="1588" t="s">
        <v>15</v>
      </c>
      <c r="G350" s="1587" t="s">
        <v>536</v>
      </c>
      <c r="H350" s="1587" t="s">
        <v>536</v>
      </c>
      <c r="I350" s="1587" t="s">
        <v>536</v>
      </c>
      <c r="J350" s="1587" t="s">
        <v>536</v>
      </c>
      <c r="K350" s="544">
        <f t="shared" si="15"/>
        <v>4</v>
      </c>
      <c r="L350" s="1594">
        <f t="shared" si="14"/>
        <v>400000</v>
      </c>
      <c r="M350" s="1595"/>
    </row>
    <row r="351" spans="1:13" ht="18.75" customHeight="1">
      <c r="A351" s="1586">
        <v>333</v>
      </c>
      <c r="B351" s="1587">
        <v>42</v>
      </c>
      <c r="C351" s="1588"/>
      <c r="D351" s="1588"/>
      <c r="E351" s="1598" t="s">
        <v>247</v>
      </c>
      <c r="F351" s="1588" t="s">
        <v>15</v>
      </c>
      <c r="G351" s="1587" t="s">
        <v>536</v>
      </c>
      <c r="H351" s="1587" t="s">
        <v>536</v>
      </c>
      <c r="I351" s="1587" t="s">
        <v>536</v>
      </c>
      <c r="J351" s="1587" t="s">
        <v>536</v>
      </c>
      <c r="K351" s="544">
        <f t="shared" si="15"/>
        <v>4</v>
      </c>
      <c r="L351" s="1594">
        <f t="shared" si="14"/>
        <v>400000</v>
      </c>
      <c r="M351" s="1595"/>
    </row>
    <row r="352" spans="1:13" ht="18.75" customHeight="1">
      <c r="A352" s="1586">
        <v>334</v>
      </c>
      <c r="B352" s="1587">
        <v>43</v>
      </c>
      <c r="C352" s="1588"/>
      <c r="D352" s="1588"/>
      <c r="E352" s="1598" t="s">
        <v>248</v>
      </c>
      <c r="F352" s="1588" t="s">
        <v>15</v>
      </c>
      <c r="G352" s="1587" t="s">
        <v>536</v>
      </c>
      <c r="H352" s="1587" t="s">
        <v>536</v>
      </c>
      <c r="I352" s="1587" t="s">
        <v>536</v>
      </c>
      <c r="J352" s="1587" t="s">
        <v>536</v>
      </c>
      <c r="K352" s="544">
        <f t="shared" si="15"/>
        <v>4</v>
      </c>
      <c r="L352" s="1594">
        <f t="shared" si="14"/>
        <v>400000</v>
      </c>
      <c r="M352" s="1595"/>
    </row>
    <row r="353" spans="1:13" ht="18.75" customHeight="1">
      <c r="A353" s="1586">
        <v>335</v>
      </c>
      <c r="B353" s="1587">
        <v>44</v>
      </c>
      <c r="C353" s="1588"/>
      <c r="D353" s="1588"/>
      <c r="E353" s="1598" t="s">
        <v>249</v>
      </c>
      <c r="F353" s="1588" t="s">
        <v>15</v>
      </c>
      <c r="G353" s="1587" t="s">
        <v>536</v>
      </c>
      <c r="H353" s="1587" t="s">
        <v>536</v>
      </c>
      <c r="I353" s="1587" t="s">
        <v>536</v>
      </c>
      <c r="J353" s="1587" t="s">
        <v>536</v>
      </c>
      <c r="K353" s="544">
        <f t="shared" si="15"/>
        <v>4</v>
      </c>
      <c r="L353" s="1594">
        <f t="shared" si="14"/>
        <v>400000</v>
      </c>
      <c r="M353" s="1595"/>
    </row>
    <row r="354" spans="1:13" ht="18.75" customHeight="1">
      <c r="A354" s="1586">
        <v>336</v>
      </c>
      <c r="B354" s="1587">
        <v>45</v>
      </c>
      <c r="C354" s="1588"/>
      <c r="D354" s="1588"/>
      <c r="E354" s="1598" t="s">
        <v>250</v>
      </c>
      <c r="F354" s="1588" t="s">
        <v>15</v>
      </c>
      <c r="G354" s="1587" t="s">
        <v>536</v>
      </c>
      <c r="H354" s="1587" t="s">
        <v>536</v>
      </c>
      <c r="I354" s="1587" t="s">
        <v>536</v>
      </c>
      <c r="J354" s="1587" t="s">
        <v>536</v>
      </c>
      <c r="K354" s="544">
        <f t="shared" si="15"/>
        <v>4</v>
      </c>
      <c r="L354" s="1594">
        <f t="shared" si="14"/>
        <v>400000</v>
      </c>
      <c r="M354" s="1595"/>
    </row>
    <row r="355" spans="1:13" ht="18.75" customHeight="1">
      <c r="A355" s="1586">
        <v>337</v>
      </c>
      <c r="B355" s="1587">
        <v>46</v>
      </c>
      <c r="C355" s="1588"/>
      <c r="D355" s="1588"/>
      <c r="E355" s="1598" t="s">
        <v>251</v>
      </c>
      <c r="F355" s="1588" t="s">
        <v>15</v>
      </c>
      <c r="G355" s="1587" t="s">
        <v>536</v>
      </c>
      <c r="H355" s="1587" t="s">
        <v>536</v>
      </c>
      <c r="I355" s="1587" t="s">
        <v>536</v>
      </c>
      <c r="J355" s="1587" t="s">
        <v>536</v>
      </c>
      <c r="K355" s="544">
        <f t="shared" si="15"/>
        <v>4</v>
      </c>
      <c r="L355" s="1594">
        <f t="shared" si="14"/>
        <v>400000</v>
      </c>
      <c r="M355" s="1595"/>
    </row>
    <row r="356" spans="1:13" ht="18.75" customHeight="1">
      <c r="A356" s="1586">
        <v>338</v>
      </c>
      <c r="B356" s="1587">
        <v>47</v>
      </c>
      <c r="C356" s="1588"/>
      <c r="D356" s="1588"/>
      <c r="E356" s="1598" t="s">
        <v>252</v>
      </c>
      <c r="F356" s="1588" t="s">
        <v>15</v>
      </c>
      <c r="G356" s="1587" t="s">
        <v>536</v>
      </c>
      <c r="H356" s="1587" t="s">
        <v>536</v>
      </c>
      <c r="I356" s="1587" t="s">
        <v>536</v>
      </c>
      <c r="J356" s="1587" t="s">
        <v>536</v>
      </c>
      <c r="K356" s="544">
        <f t="shared" si="15"/>
        <v>4</v>
      </c>
      <c r="L356" s="1594">
        <f t="shared" si="14"/>
        <v>400000</v>
      </c>
      <c r="M356" s="1595"/>
    </row>
    <row r="357" spans="1:13" ht="18.75" customHeight="1">
      <c r="A357" s="1586">
        <v>339</v>
      </c>
      <c r="B357" s="1587">
        <v>48</v>
      </c>
      <c r="C357" s="1588"/>
      <c r="D357" s="1588"/>
      <c r="E357" s="1598" t="s">
        <v>586</v>
      </c>
      <c r="F357" s="1588" t="s">
        <v>15</v>
      </c>
      <c r="G357" s="1587" t="s">
        <v>536</v>
      </c>
      <c r="H357" s="1587" t="s">
        <v>536</v>
      </c>
      <c r="I357" s="1587" t="s">
        <v>536</v>
      </c>
      <c r="J357" s="1587" t="s">
        <v>536</v>
      </c>
      <c r="K357" s="544">
        <f t="shared" si="15"/>
        <v>4</v>
      </c>
      <c r="L357" s="1594">
        <f t="shared" si="14"/>
        <v>400000</v>
      </c>
      <c r="M357" s="1595"/>
    </row>
    <row r="358" spans="1:13" ht="18.75" customHeight="1">
      <c r="A358" s="1586">
        <v>340</v>
      </c>
      <c r="B358" s="1587">
        <v>49</v>
      </c>
      <c r="C358" s="1588"/>
      <c r="D358" s="1588"/>
      <c r="E358" s="1598" t="s">
        <v>587</v>
      </c>
      <c r="F358" s="1588" t="s">
        <v>15</v>
      </c>
      <c r="G358" s="1587" t="s">
        <v>536</v>
      </c>
      <c r="H358" s="1587" t="s">
        <v>536</v>
      </c>
      <c r="I358" s="1587" t="s">
        <v>536</v>
      </c>
      <c r="J358" s="1587" t="s">
        <v>536</v>
      </c>
      <c r="K358" s="544">
        <f t="shared" si="15"/>
        <v>4</v>
      </c>
      <c r="L358" s="1594">
        <f t="shared" si="14"/>
        <v>400000</v>
      </c>
      <c r="M358" s="1595"/>
    </row>
    <row r="359" spans="1:13" ht="18.75" customHeight="1">
      <c r="A359" s="1586">
        <v>341</v>
      </c>
      <c r="B359" s="1587">
        <v>50</v>
      </c>
      <c r="C359" s="1588"/>
      <c r="D359" s="1588"/>
      <c r="E359" s="1598" t="s">
        <v>255</v>
      </c>
      <c r="F359" s="1588" t="s">
        <v>15</v>
      </c>
      <c r="G359" s="1587" t="s">
        <v>536</v>
      </c>
      <c r="H359" s="1587" t="s">
        <v>536</v>
      </c>
      <c r="I359" s="1587" t="s">
        <v>536</v>
      </c>
      <c r="J359" s="1587" t="s">
        <v>536</v>
      </c>
      <c r="K359" s="544">
        <f t="shared" si="15"/>
        <v>4</v>
      </c>
      <c r="L359" s="1594">
        <f t="shared" si="14"/>
        <v>400000</v>
      </c>
      <c r="M359" s="1595"/>
    </row>
    <row r="360" spans="1:13" ht="18.75" customHeight="1">
      <c r="A360" s="1586">
        <v>342</v>
      </c>
      <c r="B360" s="1587">
        <v>51</v>
      </c>
      <c r="C360" s="1588"/>
      <c r="D360" s="1588"/>
      <c r="E360" s="1598" t="s">
        <v>256</v>
      </c>
      <c r="F360" s="1588" t="s">
        <v>15</v>
      </c>
      <c r="G360" s="1587" t="s">
        <v>536</v>
      </c>
      <c r="H360" s="1587" t="s">
        <v>536</v>
      </c>
      <c r="I360" s="1587" t="s">
        <v>536</v>
      </c>
      <c r="J360" s="1587" t="s">
        <v>536</v>
      </c>
      <c r="K360" s="544">
        <f t="shared" si="15"/>
        <v>4</v>
      </c>
      <c r="L360" s="1594">
        <f t="shared" si="14"/>
        <v>400000</v>
      </c>
      <c r="M360" s="1595"/>
    </row>
    <row r="361" spans="1:13" ht="18.75" customHeight="1">
      <c r="A361" s="1586">
        <v>343</v>
      </c>
      <c r="B361" s="1587">
        <v>52</v>
      </c>
      <c r="C361" s="1588"/>
      <c r="D361" s="1588"/>
      <c r="E361" s="1598" t="s">
        <v>257</v>
      </c>
      <c r="F361" s="1588" t="s">
        <v>15</v>
      </c>
      <c r="G361" s="1587" t="s">
        <v>536</v>
      </c>
      <c r="H361" s="1587" t="s">
        <v>536</v>
      </c>
      <c r="I361" s="1587" t="s">
        <v>536</v>
      </c>
      <c r="J361" s="1587" t="s">
        <v>536</v>
      </c>
      <c r="K361" s="544">
        <f t="shared" si="15"/>
        <v>4</v>
      </c>
      <c r="L361" s="1594">
        <f t="shared" si="14"/>
        <v>400000</v>
      </c>
      <c r="M361" s="1595"/>
    </row>
    <row r="362" spans="1:13" ht="18.75" customHeight="1">
      <c r="A362" s="1586">
        <v>344</v>
      </c>
      <c r="B362" s="1587">
        <v>53</v>
      </c>
      <c r="C362" s="1588"/>
      <c r="D362" s="1588"/>
      <c r="E362" s="1598" t="s">
        <v>588</v>
      </c>
      <c r="F362" s="1588" t="s">
        <v>15</v>
      </c>
      <c r="G362" s="1587" t="s">
        <v>536</v>
      </c>
      <c r="H362" s="1587" t="s">
        <v>536</v>
      </c>
      <c r="I362" s="1587" t="s">
        <v>536</v>
      </c>
      <c r="J362" s="1587" t="s">
        <v>536</v>
      </c>
      <c r="K362" s="544">
        <f t="shared" si="15"/>
        <v>4</v>
      </c>
      <c r="L362" s="1594">
        <f t="shared" si="14"/>
        <v>400000</v>
      </c>
      <c r="M362" s="1595"/>
    </row>
    <row r="363" spans="1:13" ht="18.75" customHeight="1">
      <c r="A363" s="1586">
        <v>345</v>
      </c>
      <c r="B363" s="1587">
        <v>54</v>
      </c>
      <c r="C363" s="1588"/>
      <c r="D363" s="1588"/>
      <c r="E363" s="1598" t="s">
        <v>589</v>
      </c>
      <c r="F363" s="1588" t="s">
        <v>15</v>
      </c>
      <c r="G363" s="1587" t="s">
        <v>536</v>
      </c>
      <c r="H363" s="1587" t="s">
        <v>536</v>
      </c>
      <c r="I363" s="1587" t="s">
        <v>536</v>
      </c>
      <c r="J363" s="1587" t="s">
        <v>536</v>
      </c>
      <c r="K363" s="544">
        <f t="shared" si="15"/>
        <v>4</v>
      </c>
      <c r="L363" s="1594">
        <f t="shared" si="14"/>
        <v>400000</v>
      </c>
      <c r="M363" s="1595"/>
    </row>
    <row r="364" spans="1:13" ht="18.75" customHeight="1">
      <c r="A364" s="1586">
        <v>346</v>
      </c>
      <c r="B364" s="1587">
        <v>55</v>
      </c>
      <c r="C364" s="1588"/>
      <c r="D364" s="1588"/>
      <c r="E364" s="1598" t="s">
        <v>590</v>
      </c>
      <c r="F364" s="1588" t="s">
        <v>15</v>
      </c>
      <c r="G364" s="1587" t="s">
        <v>536</v>
      </c>
      <c r="H364" s="1587" t="s">
        <v>536</v>
      </c>
      <c r="I364" s="1587" t="s">
        <v>536</v>
      </c>
      <c r="J364" s="1587" t="s">
        <v>536</v>
      </c>
      <c r="K364" s="544">
        <f t="shared" si="15"/>
        <v>4</v>
      </c>
      <c r="L364" s="1594">
        <f t="shared" si="14"/>
        <v>400000</v>
      </c>
      <c r="M364" s="1595"/>
    </row>
    <row r="365" spans="1:13" ht="18.75" customHeight="1">
      <c r="A365" s="1586">
        <v>347</v>
      </c>
      <c r="B365" s="1587">
        <v>56</v>
      </c>
      <c r="C365" s="1588"/>
      <c r="D365" s="1588"/>
      <c r="E365" s="1598" t="s">
        <v>527</v>
      </c>
      <c r="F365" s="1588" t="s">
        <v>15</v>
      </c>
      <c r="G365" s="1587" t="s">
        <v>536</v>
      </c>
      <c r="H365" s="1587" t="s">
        <v>536</v>
      </c>
      <c r="I365" s="1587" t="s">
        <v>536</v>
      </c>
      <c r="J365" s="1587" t="s">
        <v>536</v>
      </c>
      <c r="K365" s="544">
        <f t="shared" si="15"/>
        <v>4</v>
      </c>
      <c r="L365" s="1594">
        <f t="shared" si="14"/>
        <v>400000</v>
      </c>
      <c r="M365" s="1595"/>
    </row>
    <row r="366" spans="1:13" ht="18.75" customHeight="1">
      <c r="A366" s="1586">
        <v>348</v>
      </c>
      <c r="B366" s="1587">
        <v>57</v>
      </c>
      <c r="C366" s="1588"/>
      <c r="D366" s="1588"/>
      <c r="E366" s="1598" t="s">
        <v>591</v>
      </c>
      <c r="F366" s="1588" t="s">
        <v>15</v>
      </c>
      <c r="G366" s="1587" t="s">
        <v>536</v>
      </c>
      <c r="H366" s="1587" t="s">
        <v>536</v>
      </c>
      <c r="I366" s="1587" t="s">
        <v>536</v>
      </c>
      <c r="J366" s="1587" t="s">
        <v>536</v>
      </c>
      <c r="K366" s="544">
        <f t="shared" si="15"/>
        <v>4</v>
      </c>
      <c r="L366" s="1594">
        <f t="shared" si="14"/>
        <v>400000</v>
      </c>
      <c r="M366" s="1595"/>
    </row>
    <row r="367" spans="1:13" ht="18.75" customHeight="1">
      <c r="A367" s="1586">
        <v>349</v>
      </c>
      <c r="B367" s="1587">
        <v>58</v>
      </c>
      <c r="C367" s="1588"/>
      <c r="D367" s="1588"/>
      <c r="E367" s="1598" t="s">
        <v>592</v>
      </c>
      <c r="F367" s="1588" t="s">
        <v>15</v>
      </c>
      <c r="G367" s="1587" t="s">
        <v>536</v>
      </c>
      <c r="H367" s="1587" t="s">
        <v>536</v>
      </c>
      <c r="I367" s="1587" t="s">
        <v>536</v>
      </c>
      <c r="J367" s="1587" t="s">
        <v>536</v>
      </c>
      <c r="K367" s="544">
        <f t="shared" si="15"/>
        <v>4</v>
      </c>
      <c r="L367" s="1594">
        <f t="shared" si="14"/>
        <v>400000</v>
      </c>
      <c r="M367" s="1595"/>
    </row>
    <row r="368" spans="1:13" ht="18.75" customHeight="1">
      <c r="A368" s="1586">
        <v>350</v>
      </c>
      <c r="B368" s="1587">
        <v>59</v>
      </c>
      <c r="C368" s="1588"/>
      <c r="D368" s="1588"/>
      <c r="E368" s="1598" t="s">
        <v>264</v>
      </c>
      <c r="F368" s="1588" t="s">
        <v>15</v>
      </c>
      <c r="G368" s="1587" t="s">
        <v>536</v>
      </c>
      <c r="H368" s="1587" t="s">
        <v>536</v>
      </c>
      <c r="I368" s="1587" t="s">
        <v>536</v>
      </c>
      <c r="J368" s="1587" t="s">
        <v>536</v>
      </c>
      <c r="K368" s="544">
        <f t="shared" si="15"/>
        <v>4</v>
      </c>
      <c r="L368" s="1594">
        <f t="shared" si="14"/>
        <v>400000</v>
      </c>
      <c r="M368" s="1595"/>
    </row>
    <row r="369" spans="1:13" ht="18.75" customHeight="1">
      <c r="A369" s="1586">
        <v>351</v>
      </c>
      <c r="B369" s="1587">
        <v>60</v>
      </c>
      <c r="C369" s="1588"/>
      <c r="D369" s="1588"/>
      <c r="E369" s="1598" t="s">
        <v>265</v>
      </c>
      <c r="F369" s="1588" t="s">
        <v>15</v>
      </c>
      <c r="G369" s="1587" t="s">
        <v>536</v>
      </c>
      <c r="H369" s="1587" t="s">
        <v>536</v>
      </c>
      <c r="I369" s="1587" t="s">
        <v>536</v>
      </c>
      <c r="J369" s="1587" t="s">
        <v>536</v>
      </c>
      <c r="K369" s="544">
        <f t="shared" si="15"/>
        <v>4</v>
      </c>
      <c r="L369" s="1594">
        <f t="shared" ref="L369:L430" si="16">K369*100000</f>
        <v>400000</v>
      </c>
      <c r="M369" s="1595"/>
    </row>
    <row r="370" spans="1:13" ht="18.75" customHeight="1">
      <c r="A370" s="1586">
        <v>352</v>
      </c>
      <c r="B370" s="1587">
        <v>61</v>
      </c>
      <c r="C370" s="1588"/>
      <c r="D370" s="1588"/>
      <c r="E370" s="1598" t="s">
        <v>266</v>
      </c>
      <c r="F370" s="1588" t="s">
        <v>15</v>
      </c>
      <c r="G370" s="1587" t="s">
        <v>536</v>
      </c>
      <c r="H370" s="1587" t="s">
        <v>536</v>
      </c>
      <c r="I370" s="1587" t="s">
        <v>536</v>
      </c>
      <c r="J370" s="1587" t="s">
        <v>536</v>
      </c>
      <c r="K370" s="544">
        <f t="shared" si="15"/>
        <v>4</v>
      </c>
      <c r="L370" s="1594">
        <f t="shared" si="16"/>
        <v>400000</v>
      </c>
      <c r="M370" s="1595"/>
    </row>
    <row r="371" spans="1:13" ht="18.75" customHeight="1">
      <c r="A371" s="1586">
        <v>353</v>
      </c>
      <c r="B371" s="1587">
        <v>62</v>
      </c>
      <c r="C371" s="1588"/>
      <c r="D371" s="1588"/>
      <c r="E371" s="1598" t="s">
        <v>593</v>
      </c>
      <c r="F371" s="1588" t="s">
        <v>15</v>
      </c>
      <c r="G371" s="1587" t="s">
        <v>536</v>
      </c>
      <c r="H371" s="1587" t="s">
        <v>536</v>
      </c>
      <c r="I371" s="1587" t="s">
        <v>536</v>
      </c>
      <c r="J371" s="1587" t="s">
        <v>536</v>
      </c>
      <c r="K371" s="544">
        <f t="shared" si="15"/>
        <v>4</v>
      </c>
      <c r="L371" s="1594">
        <f t="shared" si="16"/>
        <v>400000</v>
      </c>
      <c r="M371" s="1595"/>
    </row>
    <row r="372" spans="1:13" ht="18.75" customHeight="1">
      <c r="A372" s="1586">
        <v>354</v>
      </c>
      <c r="B372" s="1587">
        <v>63</v>
      </c>
      <c r="C372" s="1588"/>
      <c r="D372" s="1588"/>
      <c r="E372" s="1598" t="s">
        <v>594</v>
      </c>
      <c r="F372" s="1588" t="s">
        <v>15</v>
      </c>
      <c r="G372" s="1587" t="s">
        <v>536</v>
      </c>
      <c r="H372" s="1587" t="s">
        <v>536</v>
      </c>
      <c r="I372" s="1587" t="s">
        <v>536</v>
      </c>
      <c r="J372" s="1587" t="s">
        <v>536</v>
      </c>
      <c r="K372" s="544">
        <f t="shared" si="15"/>
        <v>4</v>
      </c>
      <c r="L372" s="1594">
        <f t="shared" si="16"/>
        <v>400000</v>
      </c>
      <c r="M372" s="1595"/>
    </row>
    <row r="373" spans="1:13" ht="18.75" customHeight="1">
      <c r="A373" s="1586">
        <v>355</v>
      </c>
      <c r="B373" s="1587">
        <v>64</v>
      </c>
      <c r="C373" s="1588"/>
      <c r="D373" s="1588"/>
      <c r="E373" s="1598" t="s">
        <v>269</v>
      </c>
      <c r="F373" s="1588" t="s">
        <v>15</v>
      </c>
      <c r="G373" s="1587" t="s">
        <v>536</v>
      </c>
      <c r="H373" s="1587" t="s">
        <v>536</v>
      </c>
      <c r="I373" s="1587" t="s">
        <v>536</v>
      </c>
      <c r="J373" s="1587" t="s">
        <v>536</v>
      </c>
      <c r="K373" s="544">
        <f t="shared" si="15"/>
        <v>4</v>
      </c>
      <c r="L373" s="1594">
        <f t="shared" si="16"/>
        <v>400000</v>
      </c>
      <c r="M373" s="1595"/>
    </row>
    <row r="374" spans="1:13" ht="18.75" customHeight="1">
      <c r="A374" s="1586">
        <v>356</v>
      </c>
      <c r="B374" s="1587">
        <v>65</v>
      </c>
      <c r="C374" s="1588"/>
      <c r="D374" s="1588"/>
      <c r="E374" s="1598" t="s">
        <v>270</v>
      </c>
      <c r="F374" s="1588" t="s">
        <v>15</v>
      </c>
      <c r="G374" s="1587" t="s">
        <v>536</v>
      </c>
      <c r="H374" s="1587" t="s">
        <v>536</v>
      </c>
      <c r="I374" s="1587" t="s">
        <v>536</v>
      </c>
      <c r="J374" s="1587" t="s">
        <v>536</v>
      </c>
      <c r="K374" s="544">
        <f t="shared" ref="K374:K378" si="17">COUNTIF(G374:J374,"X")</f>
        <v>4</v>
      </c>
      <c r="L374" s="1594">
        <f t="shared" si="16"/>
        <v>400000</v>
      </c>
      <c r="M374" s="1595"/>
    </row>
    <row r="375" spans="1:13" ht="18.75" customHeight="1">
      <c r="A375" s="1586">
        <v>357</v>
      </c>
      <c r="B375" s="1587">
        <v>66</v>
      </c>
      <c r="C375" s="1588"/>
      <c r="D375" s="1588"/>
      <c r="E375" s="1598" t="s">
        <v>271</v>
      </c>
      <c r="F375" s="1588" t="s">
        <v>15</v>
      </c>
      <c r="G375" s="1587" t="s">
        <v>536</v>
      </c>
      <c r="H375" s="1587" t="s">
        <v>536</v>
      </c>
      <c r="I375" s="1587" t="s">
        <v>536</v>
      </c>
      <c r="J375" s="1587" t="s">
        <v>536</v>
      </c>
      <c r="K375" s="544">
        <f t="shared" si="17"/>
        <v>4</v>
      </c>
      <c r="L375" s="1594">
        <f t="shared" si="16"/>
        <v>400000</v>
      </c>
      <c r="M375" s="1595"/>
    </row>
    <row r="376" spans="1:13" ht="18.75" customHeight="1">
      <c r="A376" s="1586">
        <v>358</v>
      </c>
      <c r="B376" s="1587">
        <v>67</v>
      </c>
      <c r="C376" s="1588"/>
      <c r="D376" s="1588"/>
      <c r="E376" s="1598" t="s">
        <v>272</v>
      </c>
      <c r="F376" s="1588" t="s">
        <v>15</v>
      </c>
      <c r="G376" s="1587" t="s">
        <v>536</v>
      </c>
      <c r="H376" s="1587" t="s">
        <v>536</v>
      </c>
      <c r="I376" s="1587" t="s">
        <v>536</v>
      </c>
      <c r="J376" s="1587" t="s">
        <v>536</v>
      </c>
      <c r="K376" s="544">
        <f t="shared" si="17"/>
        <v>4</v>
      </c>
      <c r="L376" s="1594">
        <f t="shared" si="16"/>
        <v>400000</v>
      </c>
      <c r="M376" s="1595"/>
    </row>
    <row r="377" spans="1:13" ht="18.75" customHeight="1">
      <c r="A377" s="1586">
        <v>359</v>
      </c>
      <c r="B377" s="1587">
        <v>68</v>
      </c>
      <c r="C377" s="1588"/>
      <c r="D377" s="1588"/>
      <c r="E377" s="1598" t="s">
        <v>595</v>
      </c>
      <c r="F377" s="1588" t="s">
        <v>15</v>
      </c>
      <c r="G377" s="1587" t="s">
        <v>536</v>
      </c>
      <c r="H377" s="1587" t="s">
        <v>536</v>
      </c>
      <c r="I377" s="1587" t="s">
        <v>536</v>
      </c>
      <c r="J377" s="1587" t="s">
        <v>536</v>
      </c>
      <c r="K377" s="544">
        <f t="shared" si="17"/>
        <v>4</v>
      </c>
      <c r="L377" s="1594">
        <f t="shared" si="16"/>
        <v>400000</v>
      </c>
      <c r="M377" s="1595"/>
    </row>
    <row r="378" spans="1:13" ht="18.75" customHeight="1">
      <c r="A378" s="1586">
        <v>360</v>
      </c>
      <c r="B378" s="1587">
        <v>69</v>
      </c>
      <c r="C378" s="1588"/>
      <c r="D378" s="1588"/>
      <c r="E378" s="1598" t="s">
        <v>596</v>
      </c>
      <c r="F378" s="1588" t="s">
        <v>15</v>
      </c>
      <c r="G378" s="1587" t="s">
        <v>536</v>
      </c>
      <c r="H378" s="1587" t="s">
        <v>536</v>
      </c>
      <c r="I378" s="1587" t="s">
        <v>536</v>
      </c>
      <c r="J378" s="1587" t="s">
        <v>536</v>
      </c>
      <c r="K378" s="544">
        <f t="shared" si="17"/>
        <v>4</v>
      </c>
      <c r="L378" s="1594">
        <f t="shared" si="16"/>
        <v>400000</v>
      </c>
      <c r="M378" s="1595"/>
    </row>
    <row r="379" spans="1:13" ht="18.75" customHeight="1">
      <c r="A379" s="2260" t="s">
        <v>277</v>
      </c>
      <c r="B379" s="2261"/>
      <c r="C379" s="2261"/>
      <c r="D379" s="2261"/>
      <c r="E379" s="2261"/>
      <c r="F379" s="2262"/>
      <c r="G379" s="544">
        <f>COUNTIF(G380:G386,"X")</f>
        <v>7</v>
      </c>
      <c r="H379" s="544">
        <f>COUNTIF(H380:H386,"X")</f>
        <v>7</v>
      </c>
      <c r="I379" s="544">
        <f>COUNTIF(I380:I386,"X")</f>
        <v>7</v>
      </c>
      <c r="J379" s="544">
        <f>COUNTIF(J380:J386,"X")</f>
        <v>7</v>
      </c>
      <c r="K379" s="544">
        <f>SUM(K380:K386)</f>
        <v>28</v>
      </c>
      <c r="L379" s="1599">
        <f>SUM(L380:L386)</f>
        <v>2800000</v>
      </c>
      <c r="M379" s="1595"/>
    </row>
    <row r="380" spans="1:13" ht="18.75" customHeight="1">
      <c r="A380" s="1586">
        <v>361</v>
      </c>
      <c r="B380" s="1587">
        <v>1</v>
      </c>
      <c r="C380" s="1588"/>
      <c r="D380" s="1588"/>
      <c r="E380" s="1598" t="s">
        <v>278</v>
      </c>
      <c r="F380" s="1588" t="s">
        <v>15</v>
      </c>
      <c r="G380" s="1587" t="s">
        <v>536</v>
      </c>
      <c r="H380" s="1587" t="s">
        <v>536</v>
      </c>
      <c r="I380" s="1587" t="s">
        <v>536</v>
      </c>
      <c r="J380" s="1587" t="s">
        <v>536</v>
      </c>
      <c r="K380" s="544">
        <f t="shared" ref="K380:K386" si="18">COUNTIF(G380:J380,"X")</f>
        <v>4</v>
      </c>
      <c r="L380" s="1594">
        <f t="shared" si="16"/>
        <v>400000</v>
      </c>
      <c r="M380" s="1595"/>
    </row>
    <row r="381" spans="1:13" ht="18.75" customHeight="1">
      <c r="A381" s="1586">
        <v>362</v>
      </c>
      <c r="B381" s="1587">
        <v>2</v>
      </c>
      <c r="C381" s="1588"/>
      <c r="D381" s="1588"/>
      <c r="E381" s="1598" t="s">
        <v>281</v>
      </c>
      <c r="F381" s="1588" t="s">
        <v>15</v>
      </c>
      <c r="G381" s="1587" t="s">
        <v>536</v>
      </c>
      <c r="H381" s="1587" t="s">
        <v>536</v>
      </c>
      <c r="I381" s="1587" t="s">
        <v>536</v>
      </c>
      <c r="J381" s="1587" t="s">
        <v>536</v>
      </c>
      <c r="K381" s="544">
        <f t="shared" si="18"/>
        <v>4</v>
      </c>
      <c r="L381" s="1594">
        <f t="shared" si="16"/>
        <v>400000</v>
      </c>
      <c r="M381" s="1595"/>
    </row>
    <row r="382" spans="1:13" ht="18.75" customHeight="1">
      <c r="A382" s="1586">
        <v>363</v>
      </c>
      <c r="B382" s="1587">
        <v>3</v>
      </c>
      <c r="C382" s="1588"/>
      <c r="D382" s="1588"/>
      <c r="E382" s="1598" t="s">
        <v>597</v>
      </c>
      <c r="F382" s="1588" t="s">
        <v>15</v>
      </c>
      <c r="G382" s="1587" t="s">
        <v>536</v>
      </c>
      <c r="H382" s="1587" t="s">
        <v>536</v>
      </c>
      <c r="I382" s="1587" t="s">
        <v>536</v>
      </c>
      <c r="J382" s="1587" t="s">
        <v>536</v>
      </c>
      <c r="K382" s="544">
        <f t="shared" si="18"/>
        <v>4</v>
      </c>
      <c r="L382" s="1594">
        <f t="shared" si="16"/>
        <v>400000</v>
      </c>
      <c r="M382" s="1595"/>
    </row>
    <row r="383" spans="1:13" ht="18.75" customHeight="1">
      <c r="A383" s="1586">
        <v>364</v>
      </c>
      <c r="B383" s="1587">
        <v>4</v>
      </c>
      <c r="C383" s="1588"/>
      <c r="D383" s="1588"/>
      <c r="E383" s="1598" t="s">
        <v>280</v>
      </c>
      <c r="F383" s="1588" t="s">
        <v>15</v>
      </c>
      <c r="G383" s="1587" t="s">
        <v>536</v>
      </c>
      <c r="H383" s="1587" t="s">
        <v>536</v>
      </c>
      <c r="I383" s="1587" t="s">
        <v>536</v>
      </c>
      <c r="J383" s="1587" t="s">
        <v>536</v>
      </c>
      <c r="K383" s="544">
        <f t="shared" si="18"/>
        <v>4</v>
      </c>
      <c r="L383" s="1594">
        <f t="shared" si="16"/>
        <v>400000</v>
      </c>
      <c r="M383" s="1595"/>
    </row>
    <row r="384" spans="1:13" ht="18.75" customHeight="1">
      <c r="A384" s="1586">
        <v>365</v>
      </c>
      <c r="B384" s="1587">
        <v>5</v>
      </c>
      <c r="C384" s="1588"/>
      <c r="D384" s="1588"/>
      <c r="E384" s="1598" t="s">
        <v>282</v>
      </c>
      <c r="F384" s="1588" t="s">
        <v>15</v>
      </c>
      <c r="G384" s="1587" t="s">
        <v>536</v>
      </c>
      <c r="H384" s="1587" t="s">
        <v>536</v>
      </c>
      <c r="I384" s="1587" t="s">
        <v>536</v>
      </c>
      <c r="J384" s="1587" t="s">
        <v>536</v>
      </c>
      <c r="K384" s="544">
        <f t="shared" si="18"/>
        <v>4</v>
      </c>
      <c r="L384" s="1594">
        <f t="shared" si="16"/>
        <v>400000</v>
      </c>
      <c r="M384" s="1595"/>
    </row>
    <row r="385" spans="1:13" ht="18.75" customHeight="1">
      <c r="A385" s="1586">
        <v>366</v>
      </c>
      <c r="B385" s="1587">
        <v>6</v>
      </c>
      <c r="C385" s="1588"/>
      <c r="D385" s="1588"/>
      <c r="E385" s="1598" t="s">
        <v>284</v>
      </c>
      <c r="F385" s="1588" t="s">
        <v>15</v>
      </c>
      <c r="G385" s="1587" t="s">
        <v>536</v>
      </c>
      <c r="H385" s="1587" t="s">
        <v>536</v>
      </c>
      <c r="I385" s="1587" t="s">
        <v>536</v>
      </c>
      <c r="J385" s="1587" t="s">
        <v>536</v>
      </c>
      <c r="K385" s="544">
        <f t="shared" si="18"/>
        <v>4</v>
      </c>
      <c r="L385" s="1594">
        <f t="shared" si="16"/>
        <v>400000</v>
      </c>
      <c r="M385" s="1595"/>
    </row>
    <row r="386" spans="1:13" ht="18.75" customHeight="1">
      <c r="A386" s="1586">
        <v>367</v>
      </c>
      <c r="B386" s="1587">
        <v>7</v>
      </c>
      <c r="C386" s="1588"/>
      <c r="D386" s="1588"/>
      <c r="E386" s="1598" t="s">
        <v>279</v>
      </c>
      <c r="F386" s="1588" t="s">
        <v>15</v>
      </c>
      <c r="G386" s="1587" t="s">
        <v>536</v>
      </c>
      <c r="H386" s="1587" t="s">
        <v>536</v>
      </c>
      <c r="I386" s="1587" t="s">
        <v>536</v>
      </c>
      <c r="J386" s="1587" t="s">
        <v>536</v>
      </c>
      <c r="K386" s="544">
        <f t="shared" si="18"/>
        <v>4</v>
      </c>
      <c r="L386" s="1594">
        <f t="shared" si="16"/>
        <v>400000</v>
      </c>
      <c r="M386" s="1595"/>
    </row>
    <row r="387" spans="1:13" ht="18.75" customHeight="1">
      <c r="A387" s="2260" t="s">
        <v>285</v>
      </c>
      <c r="B387" s="2261"/>
      <c r="C387" s="2261"/>
      <c r="D387" s="2261"/>
      <c r="E387" s="2261"/>
      <c r="F387" s="2262"/>
      <c r="G387" s="544">
        <f>COUNTIF(G388:G443,"X")</f>
        <v>54</v>
      </c>
      <c r="H387" s="544">
        <f>COUNTIF(H388:H443,"X")</f>
        <v>52</v>
      </c>
      <c r="I387" s="544">
        <f>COUNTIF(I388:I443,"X")</f>
        <v>49</v>
      </c>
      <c r="J387" s="544">
        <f>COUNTIF(J388:J443,"X")</f>
        <v>42</v>
      </c>
      <c r="K387" s="544">
        <f>SUM(K388:K443)</f>
        <v>197</v>
      </c>
      <c r="L387" s="1599">
        <f>SUM(L388:L443)</f>
        <v>19700000</v>
      </c>
      <c r="M387" s="1595"/>
    </row>
    <row r="388" spans="1:13" ht="18.75" customHeight="1">
      <c r="A388" s="1586">
        <v>368</v>
      </c>
      <c r="B388" s="1587">
        <v>1</v>
      </c>
      <c r="C388" s="1588"/>
      <c r="D388" s="1588"/>
      <c r="E388" s="1598" t="s">
        <v>308</v>
      </c>
      <c r="F388" s="1588" t="s">
        <v>15</v>
      </c>
      <c r="G388" s="1587" t="s">
        <v>536</v>
      </c>
      <c r="H388" s="1587" t="s">
        <v>536</v>
      </c>
      <c r="I388" s="1587"/>
      <c r="J388" s="1587"/>
      <c r="K388" s="544">
        <f t="shared" ref="K388:K443" si="19">COUNTIF(G388:J388,"X")</f>
        <v>2</v>
      </c>
      <c r="L388" s="1594">
        <f t="shared" si="16"/>
        <v>200000</v>
      </c>
      <c r="M388" s="1595"/>
    </row>
    <row r="389" spans="1:13" ht="18.75" customHeight="1">
      <c r="A389" s="1586">
        <v>369</v>
      </c>
      <c r="B389" s="1587">
        <v>2</v>
      </c>
      <c r="C389" s="1588"/>
      <c r="D389" s="1588"/>
      <c r="E389" s="1598" t="s">
        <v>309</v>
      </c>
      <c r="F389" s="1588" t="s">
        <v>15</v>
      </c>
      <c r="G389" s="1587"/>
      <c r="H389" s="1587" t="s">
        <v>536</v>
      </c>
      <c r="I389" s="1587" t="s">
        <v>536</v>
      </c>
      <c r="J389" s="1587"/>
      <c r="K389" s="544">
        <f t="shared" si="19"/>
        <v>2</v>
      </c>
      <c r="L389" s="1594">
        <f t="shared" si="16"/>
        <v>200000</v>
      </c>
      <c r="M389" s="1595"/>
    </row>
    <row r="390" spans="1:13" ht="18.75" customHeight="1">
      <c r="A390" s="1586">
        <v>370</v>
      </c>
      <c r="B390" s="1587">
        <v>3</v>
      </c>
      <c r="C390" s="1588"/>
      <c r="D390" s="1588"/>
      <c r="E390" s="1598" t="s">
        <v>310</v>
      </c>
      <c r="F390" s="1588" t="s">
        <v>15</v>
      </c>
      <c r="G390" s="1587" t="s">
        <v>536</v>
      </c>
      <c r="H390" s="1587" t="s">
        <v>536</v>
      </c>
      <c r="I390" s="1587" t="s">
        <v>536</v>
      </c>
      <c r="J390" s="1587" t="s">
        <v>536</v>
      </c>
      <c r="K390" s="544">
        <f t="shared" si="19"/>
        <v>4</v>
      </c>
      <c r="L390" s="1594">
        <f t="shared" si="16"/>
        <v>400000</v>
      </c>
      <c r="M390" s="1595"/>
    </row>
    <row r="391" spans="1:13" ht="18.75" customHeight="1">
      <c r="A391" s="1586">
        <v>371</v>
      </c>
      <c r="B391" s="1587">
        <v>4</v>
      </c>
      <c r="C391" s="1588"/>
      <c r="D391" s="1588"/>
      <c r="E391" s="1598" t="s">
        <v>311</v>
      </c>
      <c r="F391" s="1588" t="s">
        <v>15</v>
      </c>
      <c r="G391" s="1587" t="s">
        <v>536</v>
      </c>
      <c r="H391" s="1587" t="s">
        <v>536</v>
      </c>
      <c r="I391" s="1587" t="s">
        <v>536</v>
      </c>
      <c r="J391" s="1587" t="s">
        <v>536</v>
      </c>
      <c r="K391" s="544">
        <f t="shared" si="19"/>
        <v>4</v>
      </c>
      <c r="L391" s="1594">
        <f t="shared" si="16"/>
        <v>400000</v>
      </c>
      <c r="M391" s="1595"/>
    </row>
    <row r="392" spans="1:13" ht="18.75" customHeight="1">
      <c r="A392" s="1586">
        <v>372</v>
      </c>
      <c r="B392" s="1587">
        <v>5</v>
      </c>
      <c r="C392" s="1588"/>
      <c r="D392" s="1588"/>
      <c r="E392" s="1598" t="s">
        <v>312</v>
      </c>
      <c r="F392" s="1588" t="s">
        <v>15</v>
      </c>
      <c r="G392" s="1587" t="s">
        <v>536</v>
      </c>
      <c r="H392" s="1587" t="s">
        <v>536</v>
      </c>
      <c r="I392" s="1587" t="s">
        <v>536</v>
      </c>
      <c r="J392" s="1587" t="s">
        <v>536</v>
      </c>
      <c r="K392" s="544">
        <f t="shared" si="19"/>
        <v>4</v>
      </c>
      <c r="L392" s="1594">
        <f t="shared" si="16"/>
        <v>400000</v>
      </c>
      <c r="M392" s="1595"/>
    </row>
    <row r="393" spans="1:13" ht="18.75" customHeight="1">
      <c r="A393" s="1586">
        <v>373</v>
      </c>
      <c r="B393" s="1587">
        <v>6</v>
      </c>
      <c r="C393" s="1588"/>
      <c r="D393" s="1588"/>
      <c r="E393" s="1598" t="s">
        <v>313</v>
      </c>
      <c r="F393" s="1588" t="s">
        <v>15</v>
      </c>
      <c r="G393" s="1587" t="s">
        <v>536</v>
      </c>
      <c r="H393" s="1587" t="s">
        <v>536</v>
      </c>
      <c r="I393" s="1587" t="s">
        <v>536</v>
      </c>
      <c r="J393" s="1587"/>
      <c r="K393" s="544">
        <f t="shared" si="19"/>
        <v>3</v>
      </c>
      <c r="L393" s="1594">
        <f t="shared" si="16"/>
        <v>300000</v>
      </c>
      <c r="M393" s="1595"/>
    </row>
    <row r="394" spans="1:13" ht="18.75" customHeight="1">
      <c r="A394" s="1586">
        <v>374</v>
      </c>
      <c r="B394" s="1587">
        <v>7</v>
      </c>
      <c r="C394" s="1588"/>
      <c r="D394" s="1588"/>
      <c r="E394" s="1598" t="s">
        <v>314</v>
      </c>
      <c r="F394" s="1588" t="s">
        <v>15</v>
      </c>
      <c r="G394" s="1587" t="s">
        <v>536</v>
      </c>
      <c r="H394" s="1587" t="s">
        <v>536</v>
      </c>
      <c r="I394" s="1587" t="s">
        <v>536</v>
      </c>
      <c r="J394" s="1587"/>
      <c r="K394" s="544">
        <f t="shared" si="19"/>
        <v>3</v>
      </c>
      <c r="L394" s="1594">
        <f t="shared" si="16"/>
        <v>300000</v>
      </c>
      <c r="M394" s="1595"/>
    </row>
    <row r="395" spans="1:13" ht="18.75" customHeight="1">
      <c r="A395" s="1586">
        <v>375</v>
      </c>
      <c r="B395" s="1587">
        <v>8</v>
      </c>
      <c r="C395" s="1588"/>
      <c r="D395" s="1588"/>
      <c r="E395" s="1598" t="s">
        <v>315</v>
      </c>
      <c r="F395" s="1588" t="s">
        <v>15</v>
      </c>
      <c r="G395" s="1587" t="s">
        <v>536</v>
      </c>
      <c r="H395" s="1587" t="s">
        <v>536</v>
      </c>
      <c r="I395" s="1587" t="s">
        <v>536</v>
      </c>
      <c r="J395" s="1587" t="s">
        <v>536</v>
      </c>
      <c r="K395" s="544">
        <f t="shared" si="19"/>
        <v>4</v>
      </c>
      <c r="L395" s="1594">
        <f t="shared" si="16"/>
        <v>400000</v>
      </c>
      <c r="M395" s="1595"/>
    </row>
    <row r="396" spans="1:13" ht="18.75" customHeight="1">
      <c r="A396" s="1586">
        <v>376</v>
      </c>
      <c r="B396" s="1587">
        <v>9</v>
      </c>
      <c r="C396" s="1588"/>
      <c r="D396" s="1588"/>
      <c r="E396" s="1598" t="s">
        <v>316</v>
      </c>
      <c r="F396" s="1588" t="s">
        <v>15</v>
      </c>
      <c r="G396" s="1587" t="s">
        <v>536</v>
      </c>
      <c r="H396" s="1587"/>
      <c r="I396" s="1587" t="s">
        <v>536</v>
      </c>
      <c r="J396" s="1587"/>
      <c r="K396" s="544">
        <f t="shared" si="19"/>
        <v>2</v>
      </c>
      <c r="L396" s="1594">
        <f t="shared" si="16"/>
        <v>200000</v>
      </c>
      <c r="M396" s="1595"/>
    </row>
    <row r="397" spans="1:13" ht="18.75" customHeight="1">
      <c r="A397" s="1586">
        <v>377</v>
      </c>
      <c r="B397" s="1587">
        <v>10</v>
      </c>
      <c r="C397" s="1588"/>
      <c r="D397" s="1588"/>
      <c r="E397" s="1598" t="s">
        <v>317</v>
      </c>
      <c r="F397" s="1588" t="s">
        <v>15</v>
      </c>
      <c r="G397" s="1587" t="s">
        <v>536</v>
      </c>
      <c r="H397" s="1587" t="s">
        <v>536</v>
      </c>
      <c r="I397" s="1587" t="s">
        <v>536</v>
      </c>
      <c r="J397" s="1587" t="s">
        <v>536</v>
      </c>
      <c r="K397" s="544">
        <f t="shared" si="19"/>
        <v>4</v>
      </c>
      <c r="L397" s="1594">
        <f t="shared" si="16"/>
        <v>400000</v>
      </c>
      <c r="M397" s="1595"/>
    </row>
    <row r="398" spans="1:13" ht="18.75" customHeight="1">
      <c r="A398" s="1586">
        <v>378</v>
      </c>
      <c r="B398" s="1587">
        <v>11</v>
      </c>
      <c r="C398" s="1588"/>
      <c r="D398" s="1588"/>
      <c r="E398" s="1598" t="s">
        <v>318</v>
      </c>
      <c r="F398" s="1588" t="s">
        <v>15</v>
      </c>
      <c r="G398" s="1587" t="s">
        <v>536</v>
      </c>
      <c r="H398" s="1587"/>
      <c r="I398" s="1587"/>
      <c r="J398" s="1587"/>
      <c r="K398" s="544">
        <f t="shared" si="19"/>
        <v>1</v>
      </c>
      <c r="L398" s="1594">
        <f t="shared" si="16"/>
        <v>100000</v>
      </c>
      <c r="M398" s="1595"/>
    </row>
    <row r="399" spans="1:13" ht="18.75" customHeight="1">
      <c r="A399" s="1586">
        <v>379</v>
      </c>
      <c r="B399" s="1587">
        <v>12</v>
      </c>
      <c r="C399" s="1588"/>
      <c r="D399" s="1588"/>
      <c r="E399" s="1598" t="s">
        <v>319</v>
      </c>
      <c r="F399" s="1588" t="s">
        <v>15</v>
      </c>
      <c r="G399" s="1587" t="s">
        <v>536</v>
      </c>
      <c r="H399" s="1587" t="s">
        <v>536</v>
      </c>
      <c r="I399" s="1587" t="s">
        <v>536</v>
      </c>
      <c r="J399" s="1587" t="s">
        <v>536</v>
      </c>
      <c r="K399" s="544">
        <f t="shared" si="19"/>
        <v>4</v>
      </c>
      <c r="L399" s="1594">
        <f t="shared" si="16"/>
        <v>400000</v>
      </c>
      <c r="M399" s="1595"/>
    </row>
    <row r="400" spans="1:13" ht="18.75" customHeight="1">
      <c r="A400" s="1586">
        <v>380</v>
      </c>
      <c r="B400" s="1587">
        <v>13</v>
      </c>
      <c r="C400" s="1588"/>
      <c r="D400" s="1588"/>
      <c r="E400" s="1598" t="s">
        <v>320</v>
      </c>
      <c r="F400" s="1588" t="s">
        <v>15</v>
      </c>
      <c r="G400" s="1587" t="s">
        <v>536</v>
      </c>
      <c r="H400" s="1587" t="s">
        <v>536</v>
      </c>
      <c r="I400" s="1587" t="s">
        <v>536</v>
      </c>
      <c r="J400" s="1587" t="s">
        <v>536</v>
      </c>
      <c r="K400" s="544">
        <f t="shared" si="19"/>
        <v>4</v>
      </c>
      <c r="L400" s="1594">
        <f t="shared" si="16"/>
        <v>400000</v>
      </c>
      <c r="M400" s="1595"/>
    </row>
    <row r="401" spans="1:13" ht="18.75" customHeight="1">
      <c r="A401" s="1586">
        <v>381</v>
      </c>
      <c r="B401" s="1587">
        <v>14</v>
      </c>
      <c r="C401" s="1588"/>
      <c r="D401" s="1588"/>
      <c r="E401" s="1598" t="s">
        <v>321</v>
      </c>
      <c r="F401" s="1588" t="s">
        <v>15</v>
      </c>
      <c r="G401" s="1587" t="s">
        <v>536</v>
      </c>
      <c r="H401" s="1587" t="s">
        <v>536</v>
      </c>
      <c r="I401" s="1587" t="s">
        <v>536</v>
      </c>
      <c r="J401" s="1587" t="s">
        <v>536</v>
      </c>
      <c r="K401" s="544">
        <f t="shared" si="19"/>
        <v>4</v>
      </c>
      <c r="L401" s="1594">
        <f t="shared" si="16"/>
        <v>400000</v>
      </c>
      <c r="M401" s="1595"/>
    </row>
    <row r="402" spans="1:13" ht="18.75" customHeight="1">
      <c r="A402" s="1586">
        <v>382</v>
      </c>
      <c r="B402" s="1587">
        <v>15</v>
      </c>
      <c r="C402" s="1588"/>
      <c r="D402" s="1588"/>
      <c r="E402" s="1598" t="s">
        <v>322</v>
      </c>
      <c r="F402" s="1588" t="s">
        <v>15</v>
      </c>
      <c r="G402" s="1587" t="s">
        <v>536</v>
      </c>
      <c r="H402" s="1587" t="s">
        <v>536</v>
      </c>
      <c r="I402" s="1587"/>
      <c r="J402" s="1587"/>
      <c r="K402" s="544">
        <f t="shared" si="19"/>
        <v>2</v>
      </c>
      <c r="L402" s="1594">
        <f t="shared" si="16"/>
        <v>200000</v>
      </c>
      <c r="M402" s="1595"/>
    </row>
    <row r="403" spans="1:13" ht="18.75" customHeight="1">
      <c r="A403" s="1586">
        <v>383</v>
      </c>
      <c r="B403" s="1587">
        <v>16</v>
      </c>
      <c r="C403" s="1588"/>
      <c r="D403" s="1588"/>
      <c r="E403" s="1598" t="s">
        <v>324</v>
      </c>
      <c r="F403" s="1588" t="s">
        <v>15</v>
      </c>
      <c r="G403" s="1587" t="s">
        <v>536</v>
      </c>
      <c r="H403" s="1587" t="s">
        <v>536</v>
      </c>
      <c r="I403" s="1587" t="s">
        <v>536</v>
      </c>
      <c r="J403" s="1587" t="s">
        <v>536</v>
      </c>
      <c r="K403" s="544">
        <f t="shared" si="19"/>
        <v>4</v>
      </c>
      <c r="L403" s="1594">
        <f t="shared" si="16"/>
        <v>400000</v>
      </c>
      <c r="M403" s="1595"/>
    </row>
    <row r="404" spans="1:13" ht="18.75" customHeight="1">
      <c r="A404" s="1586">
        <v>384</v>
      </c>
      <c r="B404" s="1587">
        <v>17</v>
      </c>
      <c r="C404" s="1588"/>
      <c r="D404" s="1588"/>
      <c r="E404" s="1598" t="s">
        <v>325</v>
      </c>
      <c r="F404" s="1588" t="s">
        <v>15</v>
      </c>
      <c r="G404" s="1587" t="s">
        <v>536</v>
      </c>
      <c r="H404" s="1587" t="s">
        <v>536</v>
      </c>
      <c r="I404" s="1587" t="s">
        <v>536</v>
      </c>
      <c r="J404" s="1587"/>
      <c r="K404" s="544">
        <f t="shared" si="19"/>
        <v>3</v>
      </c>
      <c r="L404" s="1594">
        <f t="shared" si="16"/>
        <v>300000</v>
      </c>
      <c r="M404" s="1595"/>
    </row>
    <row r="405" spans="1:13" ht="18.75" customHeight="1">
      <c r="A405" s="1586">
        <v>385</v>
      </c>
      <c r="B405" s="1587">
        <v>18</v>
      </c>
      <c r="C405" s="1588"/>
      <c r="D405" s="1588"/>
      <c r="E405" s="1598" t="s">
        <v>326</v>
      </c>
      <c r="F405" s="1588" t="s">
        <v>15</v>
      </c>
      <c r="G405" s="1587" t="s">
        <v>536</v>
      </c>
      <c r="H405" s="1587" t="s">
        <v>536</v>
      </c>
      <c r="I405" s="1587" t="s">
        <v>536</v>
      </c>
      <c r="J405" s="1587" t="s">
        <v>536</v>
      </c>
      <c r="K405" s="544">
        <f t="shared" si="19"/>
        <v>4</v>
      </c>
      <c r="L405" s="1594">
        <f t="shared" si="16"/>
        <v>400000</v>
      </c>
      <c r="M405" s="1595"/>
    </row>
    <row r="406" spans="1:13" ht="18.75" customHeight="1">
      <c r="A406" s="1586">
        <v>386</v>
      </c>
      <c r="B406" s="1587">
        <v>19</v>
      </c>
      <c r="C406" s="1588"/>
      <c r="D406" s="1588"/>
      <c r="E406" s="1598" t="s">
        <v>327</v>
      </c>
      <c r="F406" s="1588" t="s">
        <v>15</v>
      </c>
      <c r="G406" s="1587" t="s">
        <v>536</v>
      </c>
      <c r="H406" s="1587" t="s">
        <v>536</v>
      </c>
      <c r="I406" s="1587" t="s">
        <v>536</v>
      </c>
      <c r="J406" s="1587" t="s">
        <v>536</v>
      </c>
      <c r="K406" s="544">
        <f t="shared" si="19"/>
        <v>4</v>
      </c>
      <c r="L406" s="1594">
        <f t="shared" si="16"/>
        <v>400000</v>
      </c>
      <c r="M406" s="1595"/>
    </row>
    <row r="407" spans="1:13" ht="18.75" customHeight="1">
      <c r="A407" s="1586">
        <v>387</v>
      </c>
      <c r="B407" s="1587">
        <v>20</v>
      </c>
      <c r="C407" s="1588"/>
      <c r="D407" s="1588"/>
      <c r="E407" s="1598" t="s">
        <v>329</v>
      </c>
      <c r="F407" s="1588" t="s">
        <v>15</v>
      </c>
      <c r="G407" s="1587" t="s">
        <v>536</v>
      </c>
      <c r="H407" s="1587" t="s">
        <v>536</v>
      </c>
      <c r="I407" s="1587" t="s">
        <v>536</v>
      </c>
      <c r="J407" s="1587" t="s">
        <v>536</v>
      </c>
      <c r="K407" s="544">
        <f t="shared" si="19"/>
        <v>4</v>
      </c>
      <c r="L407" s="1594">
        <f t="shared" si="16"/>
        <v>400000</v>
      </c>
      <c r="M407" s="1595"/>
    </row>
    <row r="408" spans="1:13" ht="18.75" customHeight="1">
      <c r="A408" s="1586">
        <v>388</v>
      </c>
      <c r="B408" s="1587">
        <v>21</v>
      </c>
      <c r="C408" s="1588"/>
      <c r="D408" s="1588"/>
      <c r="E408" s="1598" t="s">
        <v>286</v>
      </c>
      <c r="F408" s="1588" t="s">
        <v>15</v>
      </c>
      <c r="G408" s="1587" t="s">
        <v>536</v>
      </c>
      <c r="H408" s="1587" t="s">
        <v>536</v>
      </c>
      <c r="I408" s="1587" t="s">
        <v>536</v>
      </c>
      <c r="J408" s="1587" t="s">
        <v>536</v>
      </c>
      <c r="K408" s="544">
        <f t="shared" si="19"/>
        <v>4</v>
      </c>
      <c r="L408" s="1594">
        <f t="shared" si="16"/>
        <v>400000</v>
      </c>
      <c r="M408" s="1595"/>
    </row>
    <row r="409" spans="1:13" ht="18.75" customHeight="1">
      <c r="A409" s="1586">
        <v>389</v>
      </c>
      <c r="B409" s="1587">
        <v>22</v>
      </c>
      <c r="C409" s="1588"/>
      <c r="D409" s="1588"/>
      <c r="E409" s="1598" t="s">
        <v>287</v>
      </c>
      <c r="F409" s="1588" t="s">
        <v>15</v>
      </c>
      <c r="G409" s="1587" t="s">
        <v>536</v>
      </c>
      <c r="H409" s="1587" t="s">
        <v>536</v>
      </c>
      <c r="I409" s="1587" t="s">
        <v>536</v>
      </c>
      <c r="J409" s="1587" t="s">
        <v>536</v>
      </c>
      <c r="K409" s="544">
        <f t="shared" si="19"/>
        <v>4</v>
      </c>
      <c r="L409" s="1594">
        <f t="shared" si="16"/>
        <v>400000</v>
      </c>
      <c r="M409" s="1595"/>
    </row>
    <row r="410" spans="1:13" ht="18.75" customHeight="1">
      <c r="A410" s="1586">
        <v>390</v>
      </c>
      <c r="B410" s="1587">
        <v>23</v>
      </c>
      <c r="C410" s="1588"/>
      <c r="D410" s="1588"/>
      <c r="E410" s="1598" t="s">
        <v>288</v>
      </c>
      <c r="F410" s="1588" t="s">
        <v>15</v>
      </c>
      <c r="G410" s="1587" t="s">
        <v>536</v>
      </c>
      <c r="H410" s="1587"/>
      <c r="I410" s="1587"/>
      <c r="J410" s="1587"/>
      <c r="K410" s="544">
        <f t="shared" si="19"/>
        <v>1</v>
      </c>
      <c r="L410" s="1594">
        <f t="shared" si="16"/>
        <v>100000</v>
      </c>
      <c r="M410" s="1595"/>
    </row>
    <row r="411" spans="1:13" ht="18.75" customHeight="1">
      <c r="A411" s="1586">
        <v>391</v>
      </c>
      <c r="B411" s="1587">
        <v>24</v>
      </c>
      <c r="C411" s="1588"/>
      <c r="D411" s="1588"/>
      <c r="E411" s="1598" t="s">
        <v>289</v>
      </c>
      <c r="F411" s="1588" t="s">
        <v>15</v>
      </c>
      <c r="G411" s="1587" t="s">
        <v>536</v>
      </c>
      <c r="H411" s="1587" t="s">
        <v>536</v>
      </c>
      <c r="I411" s="1587" t="s">
        <v>536</v>
      </c>
      <c r="J411" s="1587"/>
      <c r="K411" s="544">
        <f t="shared" si="19"/>
        <v>3</v>
      </c>
      <c r="L411" s="1594">
        <f t="shared" si="16"/>
        <v>300000</v>
      </c>
      <c r="M411" s="1595"/>
    </row>
    <row r="412" spans="1:13" ht="18.75" customHeight="1">
      <c r="A412" s="1586">
        <v>392</v>
      </c>
      <c r="B412" s="1587">
        <v>25</v>
      </c>
      <c r="C412" s="1588"/>
      <c r="D412" s="1588"/>
      <c r="E412" s="1598" t="s">
        <v>517</v>
      </c>
      <c r="F412" s="1588" t="s">
        <v>15</v>
      </c>
      <c r="G412" s="1587" t="s">
        <v>536</v>
      </c>
      <c r="H412" s="1587" t="s">
        <v>536</v>
      </c>
      <c r="I412" s="1587" t="s">
        <v>536</v>
      </c>
      <c r="J412" s="1587" t="s">
        <v>536</v>
      </c>
      <c r="K412" s="544">
        <f t="shared" si="19"/>
        <v>4</v>
      </c>
      <c r="L412" s="1594">
        <f t="shared" si="16"/>
        <v>400000</v>
      </c>
      <c r="M412" s="1595"/>
    </row>
    <row r="413" spans="1:13" ht="18.75" customHeight="1">
      <c r="A413" s="1586">
        <v>393</v>
      </c>
      <c r="B413" s="1587">
        <v>26</v>
      </c>
      <c r="C413" s="1588"/>
      <c r="D413" s="1588"/>
      <c r="E413" s="1598" t="s">
        <v>291</v>
      </c>
      <c r="F413" s="1588" t="s">
        <v>15</v>
      </c>
      <c r="G413" s="1587" t="s">
        <v>536</v>
      </c>
      <c r="H413" s="1587" t="s">
        <v>536</v>
      </c>
      <c r="I413" s="1587" t="s">
        <v>536</v>
      </c>
      <c r="J413" s="1587" t="s">
        <v>536</v>
      </c>
      <c r="K413" s="544">
        <f t="shared" si="19"/>
        <v>4</v>
      </c>
      <c r="L413" s="1594">
        <f t="shared" si="16"/>
        <v>400000</v>
      </c>
      <c r="M413" s="1595"/>
    </row>
    <row r="414" spans="1:13" ht="18.75" customHeight="1">
      <c r="A414" s="1586">
        <v>394</v>
      </c>
      <c r="B414" s="1587">
        <v>27</v>
      </c>
      <c r="C414" s="1588"/>
      <c r="D414" s="1588"/>
      <c r="E414" s="1598" t="s">
        <v>83</v>
      </c>
      <c r="F414" s="1588" t="s">
        <v>15</v>
      </c>
      <c r="G414" s="1587" t="s">
        <v>536</v>
      </c>
      <c r="H414" s="1587" t="s">
        <v>536</v>
      </c>
      <c r="I414" s="1587" t="s">
        <v>536</v>
      </c>
      <c r="J414" s="1587" t="s">
        <v>536</v>
      </c>
      <c r="K414" s="544">
        <f t="shared" si="19"/>
        <v>4</v>
      </c>
      <c r="L414" s="1594">
        <f t="shared" si="16"/>
        <v>400000</v>
      </c>
      <c r="M414" s="1595"/>
    </row>
    <row r="415" spans="1:13" ht="18.75" customHeight="1">
      <c r="A415" s="1586">
        <v>395</v>
      </c>
      <c r="B415" s="1587">
        <v>28</v>
      </c>
      <c r="C415" s="1588"/>
      <c r="D415" s="1588"/>
      <c r="E415" s="1598" t="s">
        <v>293</v>
      </c>
      <c r="F415" s="1588" t="s">
        <v>15</v>
      </c>
      <c r="G415" s="1587" t="s">
        <v>536</v>
      </c>
      <c r="H415" s="1587" t="s">
        <v>536</v>
      </c>
      <c r="I415" s="1587" t="s">
        <v>536</v>
      </c>
      <c r="J415" s="1587" t="s">
        <v>536</v>
      </c>
      <c r="K415" s="544">
        <f t="shared" si="19"/>
        <v>4</v>
      </c>
      <c r="L415" s="1594">
        <f t="shared" si="16"/>
        <v>400000</v>
      </c>
      <c r="M415" s="1595"/>
    </row>
    <row r="416" spans="1:13" ht="18.75" customHeight="1">
      <c r="A416" s="1586">
        <v>396</v>
      </c>
      <c r="B416" s="1587">
        <v>29</v>
      </c>
      <c r="C416" s="1588"/>
      <c r="D416" s="1588"/>
      <c r="E416" s="1598" t="s">
        <v>294</v>
      </c>
      <c r="F416" s="1588" t="s">
        <v>15</v>
      </c>
      <c r="G416" s="1587" t="s">
        <v>536</v>
      </c>
      <c r="H416" s="1587" t="s">
        <v>536</v>
      </c>
      <c r="I416" s="1587" t="s">
        <v>536</v>
      </c>
      <c r="J416" s="1587" t="s">
        <v>536</v>
      </c>
      <c r="K416" s="544">
        <f t="shared" si="19"/>
        <v>4</v>
      </c>
      <c r="L416" s="1594">
        <f t="shared" si="16"/>
        <v>400000</v>
      </c>
      <c r="M416" s="1595"/>
    </row>
    <row r="417" spans="1:13" ht="18.75" customHeight="1">
      <c r="A417" s="1586">
        <v>397</v>
      </c>
      <c r="B417" s="1587">
        <v>30</v>
      </c>
      <c r="C417" s="1588"/>
      <c r="D417" s="1588"/>
      <c r="E417" s="1598" t="s">
        <v>295</v>
      </c>
      <c r="F417" s="1588" t="s">
        <v>15</v>
      </c>
      <c r="G417" s="1587" t="s">
        <v>536</v>
      </c>
      <c r="H417" s="1587" t="s">
        <v>536</v>
      </c>
      <c r="I417" s="1587" t="s">
        <v>536</v>
      </c>
      <c r="J417" s="1587"/>
      <c r="K417" s="544">
        <f t="shared" si="19"/>
        <v>3</v>
      </c>
      <c r="L417" s="1594">
        <f t="shared" si="16"/>
        <v>300000</v>
      </c>
      <c r="M417" s="1595"/>
    </row>
    <row r="418" spans="1:13" ht="18.75" customHeight="1">
      <c r="A418" s="1586">
        <v>398</v>
      </c>
      <c r="B418" s="1587">
        <v>31</v>
      </c>
      <c r="C418" s="1588"/>
      <c r="D418" s="1588"/>
      <c r="E418" s="1598" t="s">
        <v>296</v>
      </c>
      <c r="F418" s="1588" t="s">
        <v>15</v>
      </c>
      <c r="G418" s="1587" t="s">
        <v>536</v>
      </c>
      <c r="H418" s="1587"/>
      <c r="I418" s="1587"/>
      <c r="J418" s="1587"/>
      <c r="K418" s="544">
        <f t="shared" si="19"/>
        <v>1</v>
      </c>
      <c r="L418" s="1594">
        <f t="shared" si="16"/>
        <v>100000</v>
      </c>
      <c r="M418" s="1595"/>
    </row>
    <row r="419" spans="1:13" ht="18.75" customHeight="1">
      <c r="A419" s="1586">
        <v>399</v>
      </c>
      <c r="B419" s="1587">
        <v>32</v>
      </c>
      <c r="C419" s="1588"/>
      <c r="D419" s="1588"/>
      <c r="E419" s="1598" t="s">
        <v>297</v>
      </c>
      <c r="F419" s="1588" t="s">
        <v>15</v>
      </c>
      <c r="G419" s="1587" t="s">
        <v>536</v>
      </c>
      <c r="H419" s="1587" t="s">
        <v>536</v>
      </c>
      <c r="I419" s="1587" t="s">
        <v>536</v>
      </c>
      <c r="J419" s="1587" t="s">
        <v>536</v>
      </c>
      <c r="K419" s="544">
        <f t="shared" si="19"/>
        <v>4</v>
      </c>
      <c r="L419" s="1594">
        <f t="shared" si="16"/>
        <v>400000</v>
      </c>
      <c r="M419" s="1595"/>
    </row>
    <row r="420" spans="1:13" ht="18.75" customHeight="1">
      <c r="A420" s="1586">
        <v>400</v>
      </c>
      <c r="B420" s="1587">
        <v>33</v>
      </c>
      <c r="C420" s="1588"/>
      <c r="D420" s="1588"/>
      <c r="E420" s="1598" t="s">
        <v>298</v>
      </c>
      <c r="F420" s="1588" t="s">
        <v>15</v>
      </c>
      <c r="G420" s="1587" t="s">
        <v>536</v>
      </c>
      <c r="H420" s="1587" t="s">
        <v>536</v>
      </c>
      <c r="I420" s="1587" t="s">
        <v>536</v>
      </c>
      <c r="J420" s="1587" t="s">
        <v>536</v>
      </c>
      <c r="K420" s="544">
        <f t="shared" si="19"/>
        <v>4</v>
      </c>
      <c r="L420" s="1594">
        <f t="shared" si="16"/>
        <v>400000</v>
      </c>
      <c r="M420" s="1595"/>
    </row>
    <row r="421" spans="1:13" ht="18.75" customHeight="1">
      <c r="A421" s="1586">
        <v>401</v>
      </c>
      <c r="B421" s="1587">
        <v>34</v>
      </c>
      <c r="C421" s="1588"/>
      <c r="D421" s="1588"/>
      <c r="E421" s="1598" t="s">
        <v>299</v>
      </c>
      <c r="F421" s="1588" t="s">
        <v>15</v>
      </c>
      <c r="G421" s="1587" t="s">
        <v>536</v>
      </c>
      <c r="H421" s="1587" t="s">
        <v>536</v>
      </c>
      <c r="I421" s="1587" t="s">
        <v>536</v>
      </c>
      <c r="J421" s="1587" t="s">
        <v>536</v>
      </c>
      <c r="K421" s="544">
        <f t="shared" si="19"/>
        <v>4</v>
      </c>
      <c r="L421" s="1594">
        <f t="shared" si="16"/>
        <v>400000</v>
      </c>
      <c r="M421" s="1595"/>
    </row>
    <row r="422" spans="1:13" ht="18.75" customHeight="1">
      <c r="A422" s="1586">
        <v>402</v>
      </c>
      <c r="B422" s="1587">
        <v>35</v>
      </c>
      <c r="C422" s="1588"/>
      <c r="D422" s="1588"/>
      <c r="E422" s="1598" t="s">
        <v>300</v>
      </c>
      <c r="F422" s="1588" t="s">
        <v>15</v>
      </c>
      <c r="G422" s="1587" t="s">
        <v>536</v>
      </c>
      <c r="H422" s="1587" t="s">
        <v>536</v>
      </c>
      <c r="I422" s="1587"/>
      <c r="J422" s="1587"/>
      <c r="K422" s="544">
        <f t="shared" si="19"/>
        <v>2</v>
      </c>
      <c r="L422" s="1594">
        <f t="shared" si="16"/>
        <v>200000</v>
      </c>
      <c r="M422" s="1595"/>
    </row>
    <row r="423" spans="1:13" ht="18.75" customHeight="1">
      <c r="A423" s="1586">
        <v>403</v>
      </c>
      <c r="B423" s="1587">
        <v>36</v>
      </c>
      <c r="C423" s="1588"/>
      <c r="D423" s="1588"/>
      <c r="E423" s="1598" t="s">
        <v>301</v>
      </c>
      <c r="F423" s="1588" t="s">
        <v>15</v>
      </c>
      <c r="G423" s="1587" t="s">
        <v>536</v>
      </c>
      <c r="H423" s="1587" t="s">
        <v>536</v>
      </c>
      <c r="I423" s="1587"/>
      <c r="J423" s="1587"/>
      <c r="K423" s="544">
        <f t="shared" si="19"/>
        <v>2</v>
      </c>
      <c r="L423" s="1594">
        <f t="shared" si="16"/>
        <v>200000</v>
      </c>
      <c r="M423" s="1595"/>
    </row>
    <row r="424" spans="1:13" ht="18.75" customHeight="1">
      <c r="A424" s="1586">
        <v>404</v>
      </c>
      <c r="B424" s="1587">
        <v>37</v>
      </c>
      <c r="C424" s="1588"/>
      <c r="D424" s="1588"/>
      <c r="E424" s="1598" t="s">
        <v>302</v>
      </c>
      <c r="F424" s="1588" t="s">
        <v>15</v>
      </c>
      <c r="G424" s="1587" t="s">
        <v>536</v>
      </c>
      <c r="H424" s="1587" t="s">
        <v>536</v>
      </c>
      <c r="I424" s="1587" t="s">
        <v>536</v>
      </c>
      <c r="J424" s="1587" t="s">
        <v>536</v>
      </c>
      <c r="K424" s="544">
        <f t="shared" si="19"/>
        <v>4</v>
      </c>
      <c r="L424" s="1594">
        <f t="shared" si="16"/>
        <v>400000</v>
      </c>
      <c r="M424" s="1595"/>
    </row>
    <row r="425" spans="1:13" ht="18.75" customHeight="1">
      <c r="A425" s="1586">
        <v>405</v>
      </c>
      <c r="B425" s="1587">
        <v>38</v>
      </c>
      <c r="C425" s="1588"/>
      <c r="D425" s="1588"/>
      <c r="E425" s="1598" t="s">
        <v>303</v>
      </c>
      <c r="F425" s="1588" t="s">
        <v>15</v>
      </c>
      <c r="G425" s="1587" t="s">
        <v>536</v>
      </c>
      <c r="H425" s="1587" t="s">
        <v>536</v>
      </c>
      <c r="I425" s="1587" t="s">
        <v>536</v>
      </c>
      <c r="J425" s="1587" t="s">
        <v>536</v>
      </c>
      <c r="K425" s="544">
        <f t="shared" si="19"/>
        <v>4</v>
      </c>
      <c r="L425" s="1594">
        <f t="shared" si="16"/>
        <v>400000</v>
      </c>
      <c r="M425" s="1595"/>
    </row>
    <row r="426" spans="1:13" ht="18.75" customHeight="1">
      <c r="A426" s="1586">
        <v>406</v>
      </c>
      <c r="B426" s="1587">
        <v>39</v>
      </c>
      <c r="C426" s="1588"/>
      <c r="D426" s="1588"/>
      <c r="E426" s="1598" t="s">
        <v>304</v>
      </c>
      <c r="F426" s="1588" t="s">
        <v>15</v>
      </c>
      <c r="G426" s="1587"/>
      <c r="H426" s="1587" t="s">
        <v>536</v>
      </c>
      <c r="I426" s="1587" t="s">
        <v>536</v>
      </c>
      <c r="J426" s="1587" t="s">
        <v>536</v>
      </c>
      <c r="K426" s="544">
        <f t="shared" si="19"/>
        <v>3</v>
      </c>
      <c r="L426" s="1594">
        <f t="shared" si="16"/>
        <v>300000</v>
      </c>
      <c r="M426" s="1595"/>
    </row>
    <row r="427" spans="1:13" ht="18.75" customHeight="1">
      <c r="A427" s="1586">
        <v>407</v>
      </c>
      <c r="B427" s="1587">
        <v>40</v>
      </c>
      <c r="C427" s="1588"/>
      <c r="D427" s="1588"/>
      <c r="E427" s="1598" t="s">
        <v>305</v>
      </c>
      <c r="F427" s="1588" t="s">
        <v>15</v>
      </c>
      <c r="G427" s="1587" t="s">
        <v>536</v>
      </c>
      <c r="H427" s="1587" t="s">
        <v>536</v>
      </c>
      <c r="I427" s="1587" t="s">
        <v>536</v>
      </c>
      <c r="J427" s="1587" t="s">
        <v>536</v>
      </c>
      <c r="K427" s="544">
        <f t="shared" si="19"/>
        <v>4</v>
      </c>
      <c r="L427" s="1594">
        <f t="shared" si="16"/>
        <v>400000</v>
      </c>
      <c r="M427" s="1595"/>
    </row>
    <row r="428" spans="1:13" ht="18.75" customHeight="1">
      <c r="A428" s="1586">
        <v>408</v>
      </c>
      <c r="B428" s="1587">
        <v>41</v>
      </c>
      <c r="C428" s="1588"/>
      <c r="D428" s="1588"/>
      <c r="E428" s="1598" t="s">
        <v>331</v>
      </c>
      <c r="F428" s="1588" t="s">
        <v>15</v>
      </c>
      <c r="G428" s="1587" t="s">
        <v>536</v>
      </c>
      <c r="H428" s="1587" t="s">
        <v>536</v>
      </c>
      <c r="I428" s="1587" t="s">
        <v>536</v>
      </c>
      <c r="J428" s="1587" t="s">
        <v>536</v>
      </c>
      <c r="K428" s="544">
        <f t="shared" si="19"/>
        <v>4</v>
      </c>
      <c r="L428" s="1594">
        <f t="shared" si="16"/>
        <v>400000</v>
      </c>
      <c r="M428" s="1595"/>
    </row>
    <row r="429" spans="1:13" ht="18.75" customHeight="1">
      <c r="A429" s="1586">
        <v>409</v>
      </c>
      <c r="B429" s="1587">
        <v>42</v>
      </c>
      <c r="C429" s="1588"/>
      <c r="D429" s="1588"/>
      <c r="E429" s="1598" t="s">
        <v>108</v>
      </c>
      <c r="F429" s="1588" t="s">
        <v>15</v>
      </c>
      <c r="G429" s="1587" t="s">
        <v>536</v>
      </c>
      <c r="H429" s="1587" t="s">
        <v>536</v>
      </c>
      <c r="I429" s="1587" t="s">
        <v>536</v>
      </c>
      <c r="J429" s="1587" t="s">
        <v>536</v>
      </c>
      <c r="K429" s="544">
        <f t="shared" si="19"/>
        <v>4</v>
      </c>
      <c r="L429" s="1594">
        <f t="shared" si="16"/>
        <v>400000</v>
      </c>
      <c r="M429" s="1595"/>
    </row>
    <row r="430" spans="1:13" ht="18.75" customHeight="1">
      <c r="A430" s="1586">
        <v>410</v>
      </c>
      <c r="B430" s="1587">
        <v>43</v>
      </c>
      <c r="C430" s="1588"/>
      <c r="D430" s="1588"/>
      <c r="E430" s="1598" t="s">
        <v>333</v>
      </c>
      <c r="F430" s="1588" t="s">
        <v>15</v>
      </c>
      <c r="G430" s="1587" t="s">
        <v>536</v>
      </c>
      <c r="H430" s="1587" t="s">
        <v>536</v>
      </c>
      <c r="I430" s="1587" t="s">
        <v>536</v>
      </c>
      <c r="J430" s="1587" t="s">
        <v>536</v>
      </c>
      <c r="K430" s="544">
        <f t="shared" si="19"/>
        <v>4</v>
      </c>
      <c r="L430" s="1594">
        <f t="shared" si="16"/>
        <v>400000</v>
      </c>
      <c r="M430" s="1595"/>
    </row>
    <row r="431" spans="1:13" ht="18.75" customHeight="1">
      <c r="A431" s="1586">
        <v>411</v>
      </c>
      <c r="B431" s="1587">
        <v>44</v>
      </c>
      <c r="C431" s="1588"/>
      <c r="D431" s="1588"/>
      <c r="E431" s="1598" t="s">
        <v>555</v>
      </c>
      <c r="F431" s="1588" t="s">
        <v>15</v>
      </c>
      <c r="G431" s="1587" t="s">
        <v>536</v>
      </c>
      <c r="H431" s="1587" t="s">
        <v>536</v>
      </c>
      <c r="I431" s="1587" t="s">
        <v>536</v>
      </c>
      <c r="J431" s="1587" t="s">
        <v>536</v>
      </c>
      <c r="K431" s="544">
        <f t="shared" si="19"/>
        <v>4</v>
      </c>
      <c r="L431" s="1594">
        <f t="shared" ref="L431:L453" si="20">K431*100000</f>
        <v>400000</v>
      </c>
      <c r="M431" s="1595"/>
    </row>
    <row r="432" spans="1:13" ht="18.75" customHeight="1">
      <c r="A432" s="1586">
        <v>412</v>
      </c>
      <c r="B432" s="1587">
        <v>45</v>
      </c>
      <c r="C432" s="1588"/>
      <c r="D432" s="1588"/>
      <c r="E432" s="1598" t="s">
        <v>335</v>
      </c>
      <c r="F432" s="1588" t="s">
        <v>15</v>
      </c>
      <c r="G432" s="1587" t="s">
        <v>536</v>
      </c>
      <c r="H432" s="1587" t="s">
        <v>536</v>
      </c>
      <c r="I432" s="1587" t="s">
        <v>536</v>
      </c>
      <c r="J432" s="1587" t="s">
        <v>536</v>
      </c>
      <c r="K432" s="544">
        <f t="shared" si="19"/>
        <v>4</v>
      </c>
      <c r="L432" s="1594">
        <f t="shared" si="20"/>
        <v>400000</v>
      </c>
      <c r="M432" s="1595"/>
    </row>
    <row r="433" spans="1:13" ht="18.75" customHeight="1">
      <c r="A433" s="1586">
        <v>413</v>
      </c>
      <c r="B433" s="1587">
        <v>46</v>
      </c>
      <c r="C433" s="1588"/>
      <c r="D433" s="1588"/>
      <c r="E433" s="1598" t="s">
        <v>565</v>
      </c>
      <c r="F433" s="1588" t="s">
        <v>15</v>
      </c>
      <c r="G433" s="1587" t="s">
        <v>536</v>
      </c>
      <c r="H433" s="1587" t="s">
        <v>536</v>
      </c>
      <c r="I433" s="1587" t="s">
        <v>536</v>
      </c>
      <c r="J433" s="1587" t="s">
        <v>536</v>
      </c>
      <c r="K433" s="544">
        <f t="shared" si="19"/>
        <v>4</v>
      </c>
      <c r="L433" s="1594">
        <f t="shared" si="20"/>
        <v>400000</v>
      </c>
      <c r="M433" s="1595"/>
    </row>
    <row r="434" spans="1:13" ht="18.75" customHeight="1">
      <c r="A434" s="1586">
        <v>414</v>
      </c>
      <c r="B434" s="1587">
        <v>47</v>
      </c>
      <c r="C434" s="1588"/>
      <c r="D434" s="1588"/>
      <c r="E434" s="1598" t="s">
        <v>337</v>
      </c>
      <c r="F434" s="1588" t="s">
        <v>15</v>
      </c>
      <c r="G434" s="1587" t="s">
        <v>536</v>
      </c>
      <c r="H434" s="1587" t="s">
        <v>536</v>
      </c>
      <c r="I434" s="1587" t="s">
        <v>536</v>
      </c>
      <c r="J434" s="1587" t="s">
        <v>536</v>
      </c>
      <c r="K434" s="544">
        <f t="shared" si="19"/>
        <v>4</v>
      </c>
      <c r="L434" s="1594">
        <f t="shared" si="20"/>
        <v>400000</v>
      </c>
      <c r="M434" s="1595"/>
    </row>
    <row r="435" spans="1:13" ht="18.75" customHeight="1">
      <c r="A435" s="1586">
        <v>415</v>
      </c>
      <c r="B435" s="1587">
        <v>48</v>
      </c>
      <c r="C435" s="1588"/>
      <c r="D435" s="1588"/>
      <c r="E435" s="1598" t="s">
        <v>338</v>
      </c>
      <c r="F435" s="1588" t="s">
        <v>15</v>
      </c>
      <c r="G435" s="1587" t="s">
        <v>536</v>
      </c>
      <c r="H435" s="1587" t="s">
        <v>536</v>
      </c>
      <c r="I435" s="1587" t="s">
        <v>536</v>
      </c>
      <c r="J435" s="1587" t="s">
        <v>536</v>
      </c>
      <c r="K435" s="544">
        <f t="shared" si="19"/>
        <v>4</v>
      </c>
      <c r="L435" s="1594">
        <f t="shared" si="20"/>
        <v>400000</v>
      </c>
      <c r="M435" s="1595"/>
    </row>
    <row r="436" spans="1:13" ht="18.75" customHeight="1">
      <c r="A436" s="1586">
        <v>416</v>
      </c>
      <c r="B436" s="1587">
        <v>49</v>
      </c>
      <c r="C436" s="1588"/>
      <c r="D436" s="1588"/>
      <c r="E436" s="1598" t="s">
        <v>339</v>
      </c>
      <c r="F436" s="1588" t="s">
        <v>15</v>
      </c>
      <c r="G436" s="1587" t="s">
        <v>536</v>
      </c>
      <c r="H436" s="1587" t="s">
        <v>536</v>
      </c>
      <c r="I436" s="1587" t="s">
        <v>536</v>
      </c>
      <c r="J436" s="1587" t="s">
        <v>536</v>
      </c>
      <c r="K436" s="544">
        <f t="shared" si="19"/>
        <v>4</v>
      </c>
      <c r="L436" s="1594">
        <f t="shared" si="20"/>
        <v>400000</v>
      </c>
      <c r="M436" s="1595"/>
    </row>
    <row r="437" spans="1:13" ht="18.75" customHeight="1">
      <c r="A437" s="1586">
        <v>417</v>
      </c>
      <c r="B437" s="1587">
        <v>50</v>
      </c>
      <c r="C437" s="1588"/>
      <c r="D437" s="1588"/>
      <c r="E437" s="1598" t="s">
        <v>340</v>
      </c>
      <c r="F437" s="1588" t="s">
        <v>15</v>
      </c>
      <c r="G437" s="1587" t="s">
        <v>536</v>
      </c>
      <c r="H437" s="1587" t="s">
        <v>536</v>
      </c>
      <c r="I437" s="1587" t="s">
        <v>536</v>
      </c>
      <c r="J437" s="1587" t="s">
        <v>536</v>
      </c>
      <c r="K437" s="544">
        <f t="shared" si="19"/>
        <v>4</v>
      </c>
      <c r="L437" s="1594">
        <f t="shared" si="20"/>
        <v>400000</v>
      </c>
      <c r="M437" s="1595"/>
    </row>
    <row r="438" spans="1:13" ht="18.75" customHeight="1">
      <c r="A438" s="1586">
        <v>418</v>
      </c>
      <c r="B438" s="1587">
        <v>51</v>
      </c>
      <c r="C438" s="1588"/>
      <c r="D438" s="1588"/>
      <c r="E438" s="1598" t="s">
        <v>341</v>
      </c>
      <c r="F438" s="1588" t="s">
        <v>15</v>
      </c>
      <c r="G438" s="1587" t="s">
        <v>536</v>
      </c>
      <c r="H438" s="1587" t="s">
        <v>536</v>
      </c>
      <c r="I438" s="1587" t="s">
        <v>536</v>
      </c>
      <c r="J438" s="1587" t="s">
        <v>536</v>
      </c>
      <c r="K438" s="544">
        <f t="shared" si="19"/>
        <v>4</v>
      </c>
      <c r="L438" s="1594">
        <f t="shared" si="20"/>
        <v>400000</v>
      </c>
      <c r="M438" s="1595"/>
    </row>
    <row r="439" spans="1:13" ht="18.75" customHeight="1">
      <c r="A439" s="1586">
        <v>419</v>
      </c>
      <c r="B439" s="1587">
        <v>52</v>
      </c>
      <c r="C439" s="1588"/>
      <c r="D439" s="1588"/>
      <c r="E439" s="1598" t="s">
        <v>342</v>
      </c>
      <c r="F439" s="1588" t="s">
        <v>15</v>
      </c>
      <c r="G439" s="1587" t="s">
        <v>536</v>
      </c>
      <c r="H439" s="1587" t="s">
        <v>536</v>
      </c>
      <c r="I439" s="1587" t="s">
        <v>536</v>
      </c>
      <c r="J439" s="1587" t="s">
        <v>536</v>
      </c>
      <c r="K439" s="544">
        <f t="shared" si="19"/>
        <v>4</v>
      </c>
      <c r="L439" s="1594">
        <f t="shared" si="20"/>
        <v>400000</v>
      </c>
      <c r="M439" s="1595"/>
    </row>
    <row r="440" spans="1:13" ht="18.75" customHeight="1">
      <c r="A440" s="1586">
        <v>420</v>
      </c>
      <c r="B440" s="1587">
        <v>53</v>
      </c>
      <c r="C440" s="1588"/>
      <c r="D440" s="1588"/>
      <c r="E440" s="1598" t="s">
        <v>343</v>
      </c>
      <c r="F440" s="1588" t="s">
        <v>15</v>
      </c>
      <c r="G440" s="1587" t="s">
        <v>536</v>
      </c>
      <c r="H440" s="1587" t="s">
        <v>536</v>
      </c>
      <c r="I440" s="1587" t="s">
        <v>536</v>
      </c>
      <c r="J440" s="1587" t="s">
        <v>536</v>
      </c>
      <c r="K440" s="544">
        <f t="shared" si="19"/>
        <v>4</v>
      </c>
      <c r="L440" s="1594">
        <f t="shared" si="20"/>
        <v>400000</v>
      </c>
      <c r="M440" s="1595"/>
    </row>
    <row r="441" spans="1:13" ht="18.75" customHeight="1">
      <c r="A441" s="1586">
        <v>421</v>
      </c>
      <c r="B441" s="1587">
        <v>54</v>
      </c>
      <c r="C441" s="1588"/>
      <c r="D441" s="1588"/>
      <c r="E441" s="1598" t="s">
        <v>583</v>
      </c>
      <c r="F441" s="1588" t="s">
        <v>15</v>
      </c>
      <c r="G441" s="1587" t="s">
        <v>536</v>
      </c>
      <c r="H441" s="1587" t="s">
        <v>536</v>
      </c>
      <c r="I441" s="1587" t="s">
        <v>536</v>
      </c>
      <c r="J441" s="1587" t="s">
        <v>536</v>
      </c>
      <c r="K441" s="544">
        <f t="shared" si="19"/>
        <v>4</v>
      </c>
      <c r="L441" s="1594">
        <f t="shared" si="20"/>
        <v>400000</v>
      </c>
      <c r="M441" s="1595"/>
    </row>
    <row r="442" spans="1:13" ht="18.75" customHeight="1">
      <c r="A442" s="1586">
        <v>422</v>
      </c>
      <c r="B442" s="1587">
        <v>55</v>
      </c>
      <c r="C442" s="1588"/>
      <c r="D442" s="1588"/>
      <c r="E442" s="1598" t="s">
        <v>598</v>
      </c>
      <c r="F442" s="1588" t="s">
        <v>15</v>
      </c>
      <c r="G442" s="1587" t="s">
        <v>536</v>
      </c>
      <c r="H442" s="1587" t="s">
        <v>536</v>
      </c>
      <c r="I442" s="1587" t="s">
        <v>536</v>
      </c>
      <c r="J442" s="1587" t="s">
        <v>536</v>
      </c>
      <c r="K442" s="544">
        <f t="shared" si="19"/>
        <v>4</v>
      </c>
      <c r="L442" s="1594">
        <f t="shared" si="20"/>
        <v>400000</v>
      </c>
      <c r="M442" s="1595"/>
    </row>
    <row r="443" spans="1:13" ht="18.75" customHeight="1">
      <c r="A443" s="1586">
        <v>423</v>
      </c>
      <c r="B443" s="1587">
        <v>56</v>
      </c>
      <c r="C443" s="1588"/>
      <c r="D443" s="1588"/>
      <c r="E443" s="1598" t="s">
        <v>172</v>
      </c>
      <c r="F443" s="1588" t="s">
        <v>15</v>
      </c>
      <c r="G443" s="1587" t="s">
        <v>536</v>
      </c>
      <c r="H443" s="1587" t="s">
        <v>536</v>
      </c>
      <c r="I443" s="1587" t="s">
        <v>536</v>
      </c>
      <c r="J443" s="1587" t="s">
        <v>536</v>
      </c>
      <c r="K443" s="544">
        <f t="shared" si="19"/>
        <v>4</v>
      </c>
      <c r="L443" s="1594">
        <f t="shared" si="20"/>
        <v>400000</v>
      </c>
      <c r="M443" s="1595"/>
    </row>
    <row r="444" spans="1:13" ht="18.75" customHeight="1">
      <c r="A444" s="2260" t="s">
        <v>599</v>
      </c>
      <c r="B444" s="2261"/>
      <c r="C444" s="2261"/>
      <c r="D444" s="2261"/>
      <c r="E444" s="2261"/>
      <c r="F444" s="2262"/>
      <c r="G444" s="544">
        <f>COUNTIF(G445:G453,"X")</f>
        <v>9</v>
      </c>
      <c r="H444" s="544">
        <f>COUNTIF(H445:H453,"X")</f>
        <v>8</v>
      </c>
      <c r="I444" s="544">
        <f>COUNTIF(I445:I453,"X")</f>
        <v>0</v>
      </c>
      <c r="J444" s="544">
        <f>COUNTIF(J445:J453,"X")</f>
        <v>6</v>
      </c>
      <c r="K444" s="544">
        <f>SUM(K445:K453)</f>
        <v>23</v>
      </c>
      <c r="L444" s="1599">
        <f>SUM(L445:L453)</f>
        <v>2300000</v>
      </c>
      <c r="M444" s="1595"/>
    </row>
    <row r="445" spans="1:13" ht="18.75" customHeight="1">
      <c r="A445" s="1586">
        <v>424</v>
      </c>
      <c r="B445" s="1587">
        <v>1</v>
      </c>
      <c r="C445" s="1588"/>
      <c r="D445" s="1588"/>
      <c r="E445" s="1598" t="s">
        <v>126</v>
      </c>
      <c r="F445" s="1588" t="s">
        <v>599</v>
      </c>
      <c r="G445" s="1587" t="s">
        <v>536</v>
      </c>
      <c r="H445" s="1587" t="s">
        <v>536</v>
      </c>
      <c r="I445" s="1587"/>
      <c r="J445" s="1587" t="s">
        <v>536</v>
      </c>
      <c r="K445" s="544">
        <f t="shared" ref="K445:K453" si="21">COUNTIF(G445:J445,"X")</f>
        <v>3</v>
      </c>
      <c r="L445" s="1594">
        <f t="shared" si="20"/>
        <v>300000</v>
      </c>
      <c r="M445" s="1595"/>
    </row>
    <row r="446" spans="1:13" ht="18.75" customHeight="1">
      <c r="A446" s="1586">
        <v>425</v>
      </c>
      <c r="B446" s="1587">
        <v>2</v>
      </c>
      <c r="C446" s="1588"/>
      <c r="D446" s="1588"/>
      <c r="E446" s="1598" t="s">
        <v>600</v>
      </c>
      <c r="F446" s="1588" t="s">
        <v>599</v>
      </c>
      <c r="G446" s="1587" t="s">
        <v>536</v>
      </c>
      <c r="H446" s="1587" t="s">
        <v>536</v>
      </c>
      <c r="I446" s="1587"/>
      <c r="J446" s="1587" t="s">
        <v>536</v>
      </c>
      <c r="K446" s="544">
        <f t="shared" si="21"/>
        <v>3</v>
      </c>
      <c r="L446" s="1594">
        <f t="shared" si="20"/>
        <v>300000</v>
      </c>
      <c r="M446" s="1595"/>
    </row>
    <row r="447" spans="1:13" ht="18.75" customHeight="1">
      <c r="A447" s="1586">
        <v>426</v>
      </c>
      <c r="B447" s="1587">
        <v>3</v>
      </c>
      <c r="C447" s="1588"/>
      <c r="D447" s="1588"/>
      <c r="E447" s="1598" t="s">
        <v>601</v>
      </c>
      <c r="F447" s="1588" t="s">
        <v>599</v>
      </c>
      <c r="G447" s="1587" t="s">
        <v>536</v>
      </c>
      <c r="H447" s="1587" t="s">
        <v>536</v>
      </c>
      <c r="I447" s="1587"/>
      <c r="J447" s="1587" t="s">
        <v>536</v>
      </c>
      <c r="K447" s="544">
        <f t="shared" si="21"/>
        <v>3</v>
      </c>
      <c r="L447" s="1594">
        <f t="shared" si="20"/>
        <v>300000</v>
      </c>
      <c r="M447" s="1595"/>
    </row>
    <row r="448" spans="1:13" ht="18.75" customHeight="1">
      <c r="A448" s="1586">
        <v>427</v>
      </c>
      <c r="B448" s="1587">
        <v>4</v>
      </c>
      <c r="C448" s="1588"/>
      <c r="D448" s="1588"/>
      <c r="E448" s="1598" t="s">
        <v>602</v>
      </c>
      <c r="F448" s="1588" t="s">
        <v>599</v>
      </c>
      <c r="G448" s="1587" t="s">
        <v>536</v>
      </c>
      <c r="H448" s="1587" t="s">
        <v>536</v>
      </c>
      <c r="I448" s="1587"/>
      <c r="J448" s="1587" t="s">
        <v>536</v>
      </c>
      <c r="K448" s="544">
        <f t="shared" si="21"/>
        <v>3</v>
      </c>
      <c r="L448" s="1594">
        <f t="shared" si="20"/>
        <v>300000</v>
      </c>
      <c r="M448" s="1595"/>
    </row>
    <row r="449" spans="1:16" ht="18.75" customHeight="1">
      <c r="A449" s="1586">
        <v>428</v>
      </c>
      <c r="B449" s="1587">
        <v>5</v>
      </c>
      <c r="C449" s="1588"/>
      <c r="D449" s="1588"/>
      <c r="E449" s="1598" t="s">
        <v>603</v>
      </c>
      <c r="F449" s="1588" t="s">
        <v>599</v>
      </c>
      <c r="G449" s="1587" t="s">
        <v>536</v>
      </c>
      <c r="H449" s="1587"/>
      <c r="I449" s="1587"/>
      <c r="J449" s="1587"/>
      <c r="K449" s="544">
        <f t="shared" si="21"/>
        <v>1</v>
      </c>
      <c r="L449" s="1594">
        <f t="shared" si="20"/>
        <v>100000</v>
      </c>
      <c r="M449" s="1595"/>
    </row>
    <row r="450" spans="1:16" ht="18.75" customHeight="1">
      <c r="A450" s="1586">
        <v>429</v>
      </c>
      <c r="B450" s="1587">
        <v>6</v>
      </c>
      <c r="C450" s="1588"/>
      <c r="D450" s="1588"/>
      <c r="E450" s="1598" t="s">
        <v>604</v>
      </c>
      <c r="F450" s="1588" t="s">
        <v>599</v>
      </c>
      <c r="G450" s="1587" t="s">
        <v>536</v>
      </c>
      <c r="H450" s="1587" t="s">
        <v>536</v>
      </c>
      <c r="I450" s="1587"/>
      <c r="J450" s="1587"/>
      <c r="K450" s="544">
        <f t="shared" si="21"/>
        <v>2</v>
      </c>
      <c r="L450" s="1594">
        <f t="shared" si="20"/>
        <v>200000</v>
      </c>
      <c r="M450" s="1595"/>
    </row>
    <row r="451" spans="1:16" ht="18.75" customHeight="1">
      <c r="A451" s="1586">
        <v>430</v>
      </c>
      <c r="B451" s="1587">
        <v>7</v>
      </c>
      <c r="C451" s="1588"/>
      <c r="D451" s="1588"/>
      <c r="E451" s="1598" t="s">
        <v>605</v>
      </c>
      <c r="F451" s="1588" t="s">
        <v>599</v>
      </c>
      <c r="G451" s="1587" t="s">
        <v>536</v>
      </c>
      <c r="H451" s="1587" t="s">
        <v>536</v>
      </c>
      <c r="I451" s="1587"/>
      <c r="J451" s="1587" t="s">
        <v>536</v>
      </c>
      <c r="K451" s="544">
        <f t="shared" si="21"/>
        <v>3</v>
      </c>
      <c r="L451" s="1594">
        <f t="shared" si="20"/>
        <v>300000</v>
      </c>
      <c r="M451" s="1595"/>
    </row>
    <row r="452" spans="1:16" ht="18.75" customHeight="1">
      <c r="A452" s="1586">
        <v>431</v>
      </c>
      <c r="B452" s="1587">
        <v>8</v>
      </c>
      <c r="C452" s="1588"/>
      <c r="D452" s="1588"/>
      <c r="E452" s="1598" t="s">
        <v>606</v>
      </c>
      <c r="F452" s="1588" t="s">
        <v>599</v>
      </c>
      <c r="G452" s="1587" t="s">
        <v>536</v>
      </c>
      <c r="H452" s="1587" t="s">
        <v>536</v>
      </c>
      <c r="I452" s="1587"/>
      <c r="J452" s="1587" t="s">
        <v>536</v>
      </c>
      <c r="K452" s="544">
        <f t="shared" si="21"/>
        <v>3</v>
      </c>
      <c r="L452" s="1594">
        <f t="shared" si="20"/>
        <v>300000</v>
      </c>
      <c r="M452" s="1595"/>
    </row>
    <row r="453" spans="1:16" ht="18.75" customHeight="1">
      <c r="A453" s="1586">
        <v>432</v>
      </c>
      <c r="B453" s="1587">
        <v>9</v>
      </c>
      <c r="C453" s="1588"/>
      <c r="D453" s="1588"/>
      <c r="E453" s="1598" t="s">
        <v>607</v>
      </c>
      <c r="F453" s="1588" t="s">
        <v>599</v>
      </c>
      <c r="G453" s="1587" t="s">
        <v>536</v>
      </c>
      <c r="H453" s="1587" t="s">
        <v>536</v>
      </c>
      <c r="I453" s="1587"/>
      <c r="J453" s="1587"/>
      <c r="K453" s="544">
        <f t="shared" si="21"/>
        <v>2</v>
      </c>
      <c r="L453" s="1594">
        <f t="shared" si="20"/>
        <v>200000</v>
      </c>
      <c r="M453" s="1595"/>
    </row>
    <row r="454" spans="1:16" ht="16.5">
      <c r="A454" s="2263" t="s">
        <v>608</v>
      </c>
      <c r="B454" s="2263"/>
      <c r="C454" s="2263"/>
      <c r="D454" s="2263"/>
      <c r="E454" s="2263"/>
      <c r="F454" s="1601"/>
      <c r="G454" s="544">
        <f t="shared" ref="G454:L454" si="22">G444+G387+G379+G309+G226+G218+G206+G112+G56+G12</f>
        <v>418</v>
      </c>
      <c r="H454" s="544">
        <f t="shared" si="22"/>
        <v>411</v>
      </c>
      <c r="I454" s="544">
        <f t="shared" si="22"/>
        <v>377</v>
      </c>
      <c r="J454" s="544">
        <f t="shared" si="22"/>
        <v>378</v>
      </c>
      <c r="K454" s="1603">
        <f t="shared" si="22"/>
        <v>1584</v>
      </c>
      <c r="L454" s="1601">
        <f t="shared" si="22"/>
        <v>158400000</v>
      </c>
      <c r="M454" s="1601"/>
    </row>
    <row r="455" spans="1:16" ht="16.5">
      <c r="A455" s="2263" t="s">
        <v>609</v>
      </c>
      <c r="B455" s="2263"/>
      <c r="C455" s="2263"/>
      <c r="D455" s="2263"/>
      <c r="E455" s="2263"/>
      <c r="F455" s="2263"/>
      <c r="G455" s="2263"/>
      <c r="H455" s="2263"/>
      <c r="I455" s="2263"/>
      <c r="J455" s="2263"/>
      <c r="K455" s="2263"/>
      <c r="L455" s="2263"/>
      <c r="M455" s="2263"/>
    </row>
    <row r="456" spans="1:16" ht="16.5">
      <c r="A456" s="2264" t="s">
        <v>610</v>
      </c>
      <c r="B456" s="2264"/>
      <c r="C456" s="2264"/>
      <c r="D456" s="2264"/>
      <c r="E456" s="2264"/>
      <c r="F456" s="2264"/>
      <c r="G456" s="2264"/>
      <c r="H456" s="2264"/>
      <c r="I456" s="2264"/>
      <c r="J456" s="2264"/>
      <c r="K456" s="2264"/>
      <c r="L456" s="2264"/>
      <c r="M456" s="2264"/>
    </row>
    <row r="457" spans="1:16" ht="27" customHeight="1">
      <c r="A457" s="2259" t="s">
        <v>611</v>
      </c>
      <c r="B457" s="2259"/>
      <c r="C457" s="2259"/>
      <c r="D457" s="2259"/>
      <c r="E457" s="2259"/>
      <c r="F457" s="2259"/>
      <c r="G457" s="2259"/>
      <c r="H457" s="2259"/>
      <c r="I457" s="642"/>
      <c r="J457" s="642"/>
      <c r="K457" s="2259" t="s">
        <v>612</v>
      </c>
      <c r="L457" s="2259"/>
      <c r="M457" s="2259"/>
    </row>
    <row r="462" spans="1:16" ht="43.5" customHeight="1">
      <c r="K462" s="2259" t="s">
        <v>613</v>
      </c>
      <c r="L462" s="2259"/>
      <c r="M462" s="2259"/>
      <c r="P462" s="987">
        <f>55*200</f>
        <v>11000</v>
      </c>
    </row>
    <row r="463" spans="1:16" s="642" customFormat="1" ht="33" customHeight="1">
      <c r="A463" s="2259" t="s">
        <v>614</v>
      </c>
      <c r="B463" s="2259"/>
      <c r="C463" s="2259"/>
      <c r="D463" s="2259"/>
      <c r="E463" s="2259"/>
      <c r="F463" s="2259" t="s">
        <v>615</v>
      </c>
      <c r="G463" s="2259"/>
      <c r="H463" s="2259"/>
      <c r="I463" s="2259"/>
      <c r="J463" s="2259"/>
      <c r="K463" s="2259" t="s">
        <v>616</v>
      </c>
      <c r="L463" s="2259"/>
      <c r="M463" s="2259"/>
    </row>
    <row r="466" spans="1:13" ht="16.5">
      <c r="A466" s="1602"/>
      <c r="B466" s="2245"/>
      <c r="C466" s="2245"/>
      <c r="D466" s="2245"/>
      <c r="E466" s="2245"/>
      <c r="L466" s="2245"/>
      <c r="M466" s="2245"/>
    </row>
  </sheetData>
  <mergeCells count="34">
    <mergeCell ref="A1:M1"/>
    <mergeCell ref="A2:M2"/>
    <mergeCell ref="A3:M3"/>
    <mergeCell ref="A6:F6"/>
    <mergeCell ref="A8:M8"/>
    <mergeCell ref="A9:L9"/>
    <mergeCell ref="G10:J10"/>
    <mergeCell ref="A12:F12"/>
    <mergeCell ref="A56:F56"/>
    <mergeCell ref="A112:F112"/>
    <mergeCell ref="A454:E454"/>
    <mergeCell ref="A455:M455"/>
    <mergeCell ref="A456:M456"/>
    <mergeCell ref="A206:F206"/>
    <mergeCell ref="A218:F218"/>
    <mergeCell ref="A226:F226"/>
    <mergeCell ref="A309:F309"/>
    <mergeCell ref="A379:F379"/>
    <mergeCell ref="B466:E466"/>
    <mergeCell ref="L466:M466"/>
    <mergeCell ref="E10:E11"/>
    <mergeCell ref="F10:F11"/>
    <mergeCell ref="K10:K11"/>
    <mergeCell ref="L10:L11"/>
    <mergeCell ref="M10:M11"/>
    <mergeCell ref="A10:B11"/>
    <mergeCell ref="A457:H457"/>
    <mergeCell ref="K457:M457"/>
    <mergeCell ref="K462:M462"/>
    <mergeCell ref="A463:E463"/>
    <mergeCell ref="F463:J463"/>
    <mergeCell ref="K463:M463"/>
    <mergeCell ref="A387:F387"/>
    <mergeCell ref="A444:F444"/>
  </mergeCells>
  <pageMargins left="0.27559055118110198" right="0.27559055118110198" top="0.43307086614173201" bottom="0.62992125984252001" header="0.31496062992126" footer="0.31496062992126"/>
  <pageSetup paperSize="9" orientation="landscape"/>
  <headerFooter>
    <oddFooter>&amp;RPage &amp;P/19</oddFooter>
  </headerFooter>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30A0"/>
  </sheetPr>
  <dimension ref="A1:R2667"/>
  <sheetViews>
    <sheetView showZeros="0" topLeftCell="A2522" zoomScale="130" zoomScaleNormal="130" workbookViewId="0">
      <selection activeCell="D2535" sqref="D2535:D2544"/>
    </sheetView>
  </sheetViews>
  <sheetFormatPr defaultColWidth="9.140625" defaultRowHeight="15"/>
  <cols>
    <col min="1" max="1" width="5" style="28" customWidth="1"/>
    <col min="2" max="2" width="12.85546875" style="28" hidden="1" customWidth="1"/>
    <col min="3" max="3" width="13.5703125" style="80" hidden="1" customWidth="1"/>
    <col min="4" max="4" width="14.28515625" style="28" customWidth="1"/>
    <col min="5" max="5" width="12.140625" style="28" customWidth="1"/>
    <col min="6" max="6" width="19.85546875" style="28" customWidth="1"/>
    <col min="7" max="7" width="14.85546875" style="42" customWidth="1"/>
    <col min="8" max="8" width="14.85546875" style="76" customWidth="1"/>
    <col min="9" max="9" width="12.140625" style="76" customWidth="1"/>
    <col min="10" max="10" width="12.140625" style="28" customWidth="1"/>
    <col min="11" max="11" width="12.140625" style="76" hidden="1" customWidth="1"/>
    <col min="12" max="12" width="12.140625" style="80" customWidth="1"/>
    <col min="13" max="13" width="13.5703125" style="28" customWidth="1"/>
    <col min="14" max="14" width="12.7109375" style="82" customWidth="1"/>
    <col min="15" max="15" width="19.140625" style="28" customWidth="1"/>
    <col min="16" max="16" width="13.5703125" style="28" customWidth="1"/>
    <col min="17" max="17" width="13.7109375" style="28" customWidth="1"/>
    <col min="18" max="18" width="11.42578125" style="28" customWidth="1"/>
    <col min="19" max="16384" width="9.140625" style="28"/>
  </cols>
  <sheetData>
    <row r="1" spans="1:15" s="41" customFormat="1" ht="15.75">
      <c r="A1" s="2287" t="s">
        <v>617</v>
      </c>
      <c r="B1" s="2287"/>
      <c r="C1" s="2287"/>
      <c r="D1" s="2287"/>
      <c r="E1" s="2287"/>
      <c r="F1" s="2287"/>
      <c r="G1" s="2287"/>
      <c r="H1" s="2287"/>
      <c r="I1" s="2287"/>
      <c r="J1" s="2287"/>
      <c r="K1" s="2287"/>
      <c r="L1" s="2287"/>
      <c r="M1" s="2287"/>
      <c r="N1" s="2287"/>
    </row>
    <row r="2" spans="1:15" s="41" customFormat="1" ht="15.75">
      <c r="A2" s="2287" t="s">
        <v>618</v>
      </c>
      <c r="B2" s="2287"/>
      <c r="C2" s="2287"/>
      <c r="D2" s="2287"/>
      <c r="E2" s="2287"/>
      <c r="F2" s="2287"/>
      <c r="G2" s="2287"/>
      <c r="H2" s="2287"/>
      <c r="I2" s="2287"/>
      <c r="J2" s="2287"/>
      <c r="K2" s="2287"/>
      <c r="L2" s="2287"/>
      <c r="M2" s="2287"/>
      <c r="N2" s="2287"/>
    </row>
    <row r="3" spans="1:15" ht="10.5" customHeight="1">
      <c r="A3" s="2288" t="s">
        <v>619</v>
      </c>
      <c r="B3" s="2272"/>
      <c r="C3" s="2272"/>
      <c r="D3" s="2272"/>
      <c r="E3" s="2272"/>
      <c r="F3" s="2272"/>
      <c r="G3" s="2272"/>
      <c r="H3" s="2272"/>
      <c r="I3" s="2272"/>
      <c r="J3" s="2272"/>
      <c r="K3" s="2272"/>
      <c r="L3" s="2272"/>
      <c r="M3" s="2272"/>
      <c r="N3" s="2272"/>
    </row>
    <row r="4" spans="1:15" ht="17.25" customHeight="1">
      <c r="A4" s="2289" t="s">
        <v>3</v>
      </c>
      <c r="B4" s="2289"/>
      <c r="C4" s="2289"/>
      <c r="D4" s="2289"/>
      <c r="E4" s="2289"/>
      <c r="F4" s="2289"/>
      <c r="G4" s="2289"/>
      <c r="H4" s="43"/>
      <c r="I4" s="43"/>
      <c r="J4" s="43"/>
      <c r="K4" s="43"/>
      <c r="L4" s="43"/>
      <c r="M4" s="43"/>
      <c r="N4" s="43"/>
    </row>
    <row r="5" spans="1:15" ht="17.25" customHeight="1">
      <c r="A5" s="26" t="s">
        <v>620</v>
      </c>
      <c r="B5" s="41"/>
      <c r="C5" s="41"/>
      <c r="D5" s="41"/>
      <c r="E5" s="41"/>
      <c r="F5" s="41"/>
      <c r="G5" s="543"/>
      <c r="H5" s="43"/>
      <c r="I5" s="43"/>
      <c r="J5" s="43"/>
      <c r="K5" s="43"/>
      <c r="L5" s="43"/>
      <c r="M5" s="43"/>
      <c r="N5" s="43"/>
    </row>
    <row r="6" spans="1:15" ht="29.25" customHeight="1">
      <c r="A6" s="2290" t="s">
        <v>621</v>
      </c>
      <c r="B6" s="2290"/>
      <c r="C6" s="2290"/>
      <c r="D6" s="2290"/>
      <c r="E6" s="2290"/>
      <c r="F6" s="2290"/>
      <c r="G6" s="2290"/>
      <c r="H6" s="2290"/>
      <c r="I6" s="2290"/>
      <c r="J6" s="2290"/>
      <c r="K6" s="2290"/>
      <c r="L6" s="2290"/>
      <c r="M6" s="2290"/>
      <c r="N6" s="2290"/>
    </row>
    <row r="7" spans="1:15" ht="16.5">
      <c r="D7" s="2273"/>
      <c r="E7" s="2273"/>
      <c r="F7" s="2273"/>
      <c r="G7" s="2273"/>
      <c r="N7" s="553"/>
    </row>
    <row r="8" spans="1:15" ht="16.5">
      <c r="D8" s="2273" t="s">
        <v>622</v>
      </c>
      <c r="E8" s="2273"/>
      <c r="F8" s="82">
        <v>660</v>
      </c>
      <c r="G8" s="82"/>
      <c r="N8" s="553"/>
    </row>
    <row r="9" spans="1:15" ht="9" customHeight="1">
      <c r="J9" s="554"/>
      <c r="N9" s="553"/>
    </row>
    <row r="10" spans="1:15" ht="24.75" customHeight="1">
      <c r="A10" s="2274" t="s">
        <v>623</v>
      </c>
      <c r="B10" s="2275" t="s">
        <v>624</v>
      </c>
      <c r="C10" s="2276" t="s">
        <v>625</v>
      </c>
      <c r="D10" s="2274" t="s">
        <v>626</v>
      </c>
      <c r="E10" s="2275" t="s">
        <v>9</v>
      </c>
      <c r="F10" s="2277" t="s">
        <v>627</v>
      </c>
      <c r="G10" s="2284" t="s">
        <v>628</v>
      </c>
      <c r="H10" s="2285"/>
      <c r="I10" s="2286"/>
      <c r="J10" s="2277" t="s">
        <v>629</v>
      </c>
      <c r="K10" s="2275" t="s">
        <v>630</v>
      </c>
      <c r="L10" s="2275" t="s">
        <v>631</v>
      </c>
      <c r="M10" s="2275" t="s">
        <v>632</v>
      </c>
      <c r="N10" s="2275" t="s">
        <v>12</v>
      </c>
    </row>
    <row r="11" spans="1:15" ht="26.25" customHeight="1">
      <c r="A11" s="2274"/>
      <c r="B11" s="2275"/>
      <c r="C11" s="2276"/>
      <c r="D11" s="2274"/>
      <c r="E11" s="2275"/>
      <c r="F11" s="2278"/>
      <c r="G11" s="861" t="s">
        <v>633</v>
      </c>
      <c r="H11" s="861" t="s">
        <v>634</v>
      </c>
      <c r="I11" s="861" t="s">
        <v>635</v>
      </c>
      <c r="J11" s="2278"/>
      <c r="K11" s="2275"/>
      <c r="L11" s="2274"/>
      <c r="M11" s="2274"/>
      <c r="N11" s="2275"/>
    </row>
    <row r="12" spans="1:15" s="539" customFormat="1" ht="18.75" hidden="1" customHeight="1">
      <c r="A12" s="1533" t="s">
        <v>636</v>
      </c>
      <c r="B12" s="1533"/>
      <c r="C12" s="1534" t="s">
        <v>637</v>
      </c>
      <c r="D12" s="1533" t="s">
        <v>638</v>
      </c>
      <c r="E12" s="1533" t="s">
        <v>639</v>
      </c>
      <c r="F12" s="1533"/>
      <c r="G12" s="1533" t="s">
        <v>640</v>
      </c>
      <c r="H12" s="1535" t="s">
        <v>641</v>
      </c>
      <c r="I12" s="1533" t="s">
        <v>642</v>
      </c>
      <c r="J12" s="1541" t="s">
        <v>643</v>
      </c>
      <c r="K12" s="1533" t="s">
        <v>644</v>
      </c>
      <c r="L12" s="1533" t="s">
        <v>645</v>
      </c>
      <c r="M12" s="1533" t="s">
        <v>646</v>
      </c>
      <c r="N12" s="1542"/>
    </row>
    <row r="13" spans="1:15" s="540" customFormat="1" ht="14.25" customHeight="1">
      <c r="A13" s="1536">
        <v>1</v>
      </c>
      <c r="B13" s="1537"/>
      <c r="C13" s="1538" t="s">
        <v>647</v>
      </c>
      <c r="D13" s="1539" t="s">
        <v>421</v>
      </c>
      <c r="E13" s="166" t="s">
        <v>15</v>
      </c>
      <c r="F13" s="166"/>
      <c r="G13" s="1540">
        <v>40000</v>
      </c>
      <c r="H13" s="1540">
        <v>614840.625</v>
      </c>
      <c r="I13" s="1540">
        <v>118678.99679999999</v>
      </c>
      <c r="J13" s="1466">
        <f>SUM(G13:I13)</f>
        <v>773519.62179999996</v>
      </c>
      <c r="K13" s="1466"/>
      <c r="L13" s="1540"/>
      <c r="M13" s="1540">
        <f>J13-L13</f>
        <v>773519.62179999996</v>
      </c>
      <c r="N13" s="1539"/>
      <c r="O13" s="559">
        <f>1300000-M13</f>
        <v>526480.37820000004</v>
      </c>
    </row>
    <row r="14" spans="1:15" s="540" customFormat="1" ht="14.25" customHeight="1">
      <c r="A14" s="1536">
        <v>2</v>
      </c>
      <c r="B14" s="1537"/>
      <c r="C14" s="1538" t="s">
        <v>648</v>
      </c>
      <c r="D14" s="1539" t="s">
        <v>649</v>
      </c>
      <c r="E14" s="166" t="s">
        <v>15</v>
      </c>
      <c r="F14" s="166"/>
      <c r="G14" s="1540">
        <v>40000</v>
      </c>
      <c r="H14" s="1540">
        <v>554373.09900000005</v>
      </c>
      <c r="I14" s="1540">
        <v>107985.26639999999</v>
      </c>
      <c r="J14" s="1466">
        <f t="shared" ref="J14:J55" si="0">SUM(G14:I14)</f>
        <v>702358.36540000001</v>
      </c>
      <c r="K14" s="1466"/>
      <c r="L14" s="1540"/>
      <c r="M14" s="1540">
        <f t="shared" ref="M14:M77" si="1">J14-L14</f>
        <v>702358.36540000001</v>
      </c>
      <c r="N14" s="1539"/>
      <c r="O14" s="559">
        <f>MIN(M14:M193,M195:M524,M526:M1097,M1099:M1141,M1143:M1183,M1185:M1694,M1696:M2162,M2164:M2552)</f>
        <v>544338.9</v>
      </c>
    </row>
    <row r="15" spans="1:15" s="540" customFormat="1" ht="14.25" customHeight="1">
      <c r="A15" s="1536">
        <v>3</v>
      </c>
      <c r="B15" s="1537" t="str">
        <f>VLOOKUP(D15,'[2]DS CN MOI UP'!$B$11:$C$447,2,0)</f>
        <v>02429</v>
      </c>
      <c r="C15" s="1538" t="s">
        <v>650</v>
      </c>
      <c r="D15" s="1539" t="s">
        <v>402</v>
      </c>
      <c r="E15" s="166" t="s">
        <v>15</v>
      </c>
      <c r="F15" s="166"/>
      <c r="G15" s="1540">
        <v>40000</v>
      </c>
      <c r="H15" s="1540">
        <v>554373.09900000005</v>
      </c>
      <c r="I15" s="1540">
        <v>106506.792</v>
      </c>
      <c r="J15" s="1466">
        <f t="shared" si="0"/>
        <v>700879.89099999995</v>
      </c>
      <c r="K15" s="1466"/>
      <c r="L15" s="1540"/>
      <c r="M15" s="1540">
        <f t="shared" si="1"/>
        <v>700879.89099999995</v>
      </c>
      <c r="N15" s="1539"/>
      <c r="O15" s="559"/>
    </row>
    <row r="16" spans="1:15" s="540" customFormat="1" ht="14.25" customHeight="1">
      <c r="A16" s="1536">
        <v>4</v>
      </c>
      <c r="B16" s="1537" t="e">
        <f>VLOOKUP(D16,'[2]DS CN MOI UP'!$B$11:$C$447,2,0)</f>
        <v>#N/A</v>
      </c>
      <c r="C16" s="1538" t="s">
        <v>651</v>
      </c>
      <c r="D16" s="1539" t="s">
        <v>652</v>
      </c>
      <c r="E16" s="166" t="s">
        <v>15</v>
      </c>
      <c r="F16" s="166"/>
      <c r="G16" s="1540">
        <v>40000</v>
      </c>
      <c r="H16" s="1540">
        <v>554373.09900000005</v>
      </c>
      <c r="I16" s="1540">
        <v>75304.754400000005</v>
      </c>
      <c r="J16" s="1466">
        <f t="shared" si="0"/>
        <v>669677.85340000002</v>
      </c>
      <c r="K16" s="1466"/>
      <c r="L16" s="1540"/>
      <c r="M16" s="1540">
        <f t="shared" si="1"/>
        <v>669677.85340000002</v>
      </c>
      <c r="N16" s="1539"/>
      <c r="O16" s="559"/>
    </row>
    <row r="17" spans="1:15" s="540" customFormat="1" ht="14.25" customHeight="1">
      <c r="A17" s="1536">
        <v>5</v>
      </c>
      <c r="B17" s="1537" t="str">
        <f>VLOOKUP(D17,'[2]DS CN MOI UP'!$B$11:$C$447,2,0)</f>
        <v>02431</v>
      </c>
      <c r="C17" s="1538" t="s">
        <v>651</v>
      </c>
      <c r="D17" s="1539" t="s">
        <v>409</v>
      </c>
      <c r="E17" s="166" t="s">
        <v>15</v>
      </c>
      <c r="F17" s="166"/>
      <c r="G17" s="1540">
        <v>40000</v>
      </c>
      <c r="H17" s="1540">
        <v>635040.18900000001</v>
      </c>
      <c r="I17" s="1540">
        <v>150609.50880000001</v>
      </c>
      <c r="J17" s="1466">
        <f t="shared" si="0"/>
        <v>825649.69779999997</v>
      </c>
      <c r="K17" s="1466"/>
      <c r="L17" s="1540"/>
      <c r="M17" s="1540">
        <f t="shared" si="1"/>
        <v>825649.69779999997</v>
      </c>
      <c r="N17" s="1539"/>
      <c r="O17" s="559"/>
    </row>
    <row r="18" spans="1:15" s="540" customFormat="1" ht="14.25" customHeight="1">
      <c r="A18" s="1536">
        <v>6</v>
      </c>
      <c r="B18" s="1537" t="e">
        <f>VLOOKUP(D18,'[2]DS CN MOI UP'!$B$11:$C$447,2,0)</f>
        <v>#N/A</v>
      </c>
      <c r="C18" s="1538" t="s">
        <v>651</v>
      </c>
      <c r="D18" s="1539" t="s">
        <v>653</v>
      </c>
      <c r="E18" s="166" t="s">
        <v>15</v>
      </c>
      <c r="F18" s="166"/>
      <c r="G18" s="1540">
        <v>40000</v>
      </c>
      <c r="H18" s="1540">
        <v>544338.9</v>
      </c>
      <c r="I18" s="1540">
        <v>146532.6</v>
      </c>
      <c r="J18" s="1466">
        <f t="shared" si="0"/>
        <v>730871.5</v>
      </c>
      <c r="K18" s="1466"/>
      <c r="L18" s="1540"/>
      <c r="M18" s="1540">
        <f t="shared" si="1"/>
        <v>730871.5</v>
      </c>
      <c r="N18" s="1539"/>
      <c r="O18" s="559"/>
    </row>
    <row r="19" spans="1:15" s="540" customFormat="1" ht="14.25" customHeight="1">
      <c r="A19" s="1536">
        <v>7</v>
      </c>
      <c r="B19" s="1537" t="str">
        <f>VLOOKUP(D19,'[2]DS CN MOI UP'!$B$11:$C$447,2,0)</f>
        <v>02433</v>
      </c>
      <c r="C19" s="1538" t="s">
        <v>651</v>
      </c>
      <c r="D19" s="1539" t="s">
        <v>391</v>
      </c>
      <c r="E19" s="166" t="s">
        <v>15</v>
      </c>
      <c r="F19" s="166"/>
      <c r="G19" s="1540">
        <v>40000</v>
      </c>
      <c r="H19" s="1540">
        <v>574572.66299999994</v>
      </c>
      <c r="I19" s="1540">
        <v>107519.124</v>
      </c>
      <c r="J19" s="1466">
        <f t="shared" si="0"/>
        <v>722091.78700000001</v>
      </c>
      <c r="K19" s="1466"/>
      <c r="L19" s="1540"/>
      <c r="M19" s="1540">
        <f t="shared" si="1"/>
        <v>722091.78700000001</v>
      </c>
      <c r="N19" s="1539"/>
      <c r="O19" s="559"/>
    </row>
    <row r="20" spans="1:15" s="540" customFormat="1" ht="14.25" customHeight="1">
      <c r="A20" s="1536">
        <v>8</v>
      </c>
      <c r="B20" s="1537" t="e">
        <f>VLOOKUP(D20,'[2]DS CN MOI UP'!$B$11:$C$447,2,0)</f>
        <v>#N/A</v>
      </c>
      <c r="C20" s="1538" t="s">
        <v>651</v>
      </c>
      <c r="D20" s="1539" t="s">
        <v>414</v>
      </c>
      <c r="E20" s="166" t="s">
        <v>15</v>
      </c>
      <c r="F20" s="166"/>
      <c r="G20" s="1540">
        <v>40000</v>
      </c>
      <c r="H20" s="1540">
        <v>604806.42599999998</v>
      </c>
      <c r="I20" s="1540">
        <v>109019.124</v>
      </c>
      <c r="J20" s="1466">
        <f t="shared" si="0"/>
        <v>753825.55</v>
      </c>
      <c r="K20" s="1466"/>
      <c r="L20" s="1540"/>
      <c r="M20" s="1540">
        <f t="shared" si="1"/>
        <v>753825.55</v>
      </c>
      <c r="N20" s="1539"/>
      <c r="O20" s="559"/>
    </row>
    <row r="21" spans="1:15" s="540" customFormat="1" ht="14.25" customHeight="1">
      <c r="A21" s="1536">
        <v>9</v>
      </c>
      <c r="B21" s="1537" t="str">
        <f>VLOOKUP(D21,'[2]DS CN MOI UP'!$B$11:$C$447,2,0)</f>
        <v>03436</v>
      </c>
      <c r="C21" s="1538" t="s">
        <v>651</v>
      </c>
      <c r="D21" s="1539" t="s">
        <v>398</v>
      </c>
      <c r="E21" s="166" t="s">
        <v>15</v>
      </c>
      <c r="F21" s="166"/>
      <c r="G21" s="1540">
        <v>40000</v>
      </c>
      <c r="H21" s="1540">
        <v>584606.86199999996</v>
      </c>
      <c r="I21" s="1540">
        <v>229728.84</v>
      </c>
      <c r="J21" s="1466">
        <f t="shared" si="0"/>
        <v>854335.70200000005</v>
      </c>
      <c r="K21" s="1466"/>
      <c r="L21" s="1540"/>
      <c r="M21" s="1540">
        <f t="shared" si="1"/>
        <v>854335.70200000005</v>
      </c>
      <c r="N21" s="1539"/>
      <c r="O21" s="559"/>
    </row>
    <row r="22" spans="1:15" s="540" customFormat="1" ht="14.25" customHeight="1">
      <c r="A22" s="1536">
        <v>10</v>
      </c>
      <c r="B22" s="1537" t="str">
        <f>VLOOKUP(D22,'[2]DS CN MOI UP'!$B$11:$C$447,2,0)</f>
        <v>02638</v>
      </c>
      <c r="C22" s="1538" t="s">
        <v>651</v>
      </c>
      <c r="D22" s="1539" t="s">
        <v>591</v>
      </c>
      <c r="E22" s="166" t="s">
        <v>15</v>
      </c>
      <c r="F22" s="166"/>
      <c r="G22" s="1540">
        <v>40000</v>
      </c>
      <c r="H22" s="1540">
        <v>635040.18900000001</v>
      </c>
      <c r="I22" s="1540">
        <v>193212.22560000001</v>
      </c>
      <c r="J22" s="1466">
        <f t="shared" si="0"/>
        <v>868252.41460000002</v>
      </c>
      <c r="K22" s="1466"/>
      <c r="L22" s="1540"/>
      <c r="M22" s="1540">
        <f t="shared" si="1"/>
        <v>868252.41460000002</v>
      </c>
      <c r="N22" s="1539"/>
      <c r="O22" s="559"/>
    </row>
    <row r="23" spans="1:15" s="540" customFormat="1" ht="14.25" customHeight="1">
      <c r="A23" s="1536">
        <v>11</v>
      </c>
      <c r="B23" s="1537" t="str">
        <f>VLOOKUP(D23,'[2]DS CN MOI UP'!$B$11:$C$447,2,0)</f>
        <v>02437</v>
      </c>
      <c r="C23" s="1538" t="s">
        <v>651</v>
      </c>
      <c r="D23" s="1539" t="s">
        <v>410</v>
      </c>
      <c r="E23" s="166" t="s">
        <v>15</v>
      </c>
      <c r="F23" s="166"/>
      <c r="G23" s="1540">
        <v>40000</v>
      </c>
      <c r="H23" s="1540">
        <v>524139.33600000001</v>
      </c>
      <c r="I23" s="1540">
        <v>524139.33600000001</v>
      </c>
      <c r="J23" s="1466">
        <f t="shared" si="0"/>
        <v>1088278.672</v>
      </c>
      <c r="K23" s="1466"/>
      <c r="L23" s="1540"/>
      <c r="M23" s="1540">
        <f t="shared" si="1"/>
        <v>1088278.672</v>
      </c>
      <c r="N23" s="1539"/>
      <c r="O23" s="559"/>
    </row>
    <row r="24" spans="1:15" s="540" customFormat="1" ht="14.25" customHeight="1">
      <c r="A24" s="1536">
        <v>12</v>
      </c>
      <c r="B24" s="1537" t="str">
        <f>VLOOKUP(D24,'[2]DS CN MOI UP'!$B$11:$C$447,2,0)</f>
        <v>02438</v>
      </c>
      <c r="C24" s="1538" t="s">
        <v>651</v>
      </c>
      <c r="D24" s="1539" t="s">
        <v>419</v>
      </c>
      <c r="E24" s="166" t="s">
        <v>15</v>
      </c>
      <c r="F24" s="166"/>
      <c r="G24" s="1540">
        <v>40000</v>
      </c>
      <c r="H24" s="1540">
        <v>635040.18900000001</v>
      </c>
      <c r="I24" s="1540">
        <v>524139.33600000001</v>
      </c>
      <c r="J24" s="1466">
        <f t="shared" si="0"/>
        <v>1199179.5249999999</v>
      </c>
      <c r="K24" s="1466"/>
      <c r="L24" s="1540"/>
      <c r="M24" s="1540">
        <f t="shared" si="1"/>
        <v>1199179.5249999999</v>
      </c>
      <c r="N24" s="1539"/>
      <c r="O24" s="559"/>
    </row>
    <row r="25" spans="1:15" s="540" customFormat="1" ht="14.25" customHeight="1">
      <c r="A25" s="1536">
        <v>13</v>
      </c>
      <c r="B25" s="1537" t="str">
        <f>VLOOKUP(D25,'[2]DS CN MOI UP'!$B$11:$C$447,2,0)</f>
        <v>02440</v>
      </c>
      <c r="C25" s="1538" t="s">
        <v>651</v>
      </c>
      <c r="D25" s="1539" t="s">
        <v>357</v>
      </c>
      <c r="E25" s="166" t="s">
        <v>15</v>
      </c>
      <c r="F25" s="166"/>
      <c r="G25" s="1540">
        <v>40000</v>
      </c>
      <c r="H25" s="1540">
        <v>635040.18900000001</v>
      </c>
      <c r="I25" s="1540">
        <v>524139.33600000001</v>
      </c>
      <c r="J25" s="1466">
        <f t="shared" si="0"/>
        <v>1199179.5249999999</v>
      </c>
      <c r="K25" s="1466"/>
      <c r="L25" s="1540"/>
      <c r="M25" s="1540">
        <f t="shared" si="1"/>
        <v>1199179.5249999999</v>
      </c>
      <c r="N25" s="1539"/>
      <c r="O25" s="559"/>
    </row>
    <row r="26" spans="1:15" s="540" customFormat="1" ht="14.25" customHeight="1">
      <c r="A26" s="1536">
        <v>14</v>
      </c>
      <c r="B26" s="1537" t="str">
        <f>VLOOKUP(D26,'[2]DS CN MOI UP'!$B$11:$C$447,2,0)</f>
        <v>02442</v>
      </c>
      <c r="C26" s="1538" t="s">
        <v>651</v>
      </c>
      <c r="D26" s="1539" t="s">
        <v>420</v>
      </c>
      <c r="E26" s="166" t="s">
        <v>15</v>
      </c>
      <c r="F26" s="166"/>
      <c r="G26" s="1540">
        <v>40000</v>
      </c>
      <c r="H26" s="1540">
        <v>554373.09900000005</v>
      </c>
      <c r="I26" s="1540">
        <v>524139.33600000001</v>
      </c>
      <c r="J26" s="1466">
        <f t="shared" si="0"/>
        <v>1118512.4350000001</v>
      </c>
      <c r="K26" s="1466"/>
      <c r="L26" s="1540"/>
      <c r="M26" s="1540">
        <f t="shared" si="1"/>
        <v>1118512.4350000001</v>
      </c>
      <c r="N26" s="1539"/>
      <c r="O26" s="559"/>
    </row>
    <row r="27" spans="1:15" s="540" customFormat="1" ht="14.25" customHeight="1">
      <c r="A27" s="1536">
        <v>15</v>
      </c>
      <c r="B27" s="1537" t="str">
        <f>VLOOKUP(D27,'[2]DS CN MOI UP'!$B$11:$C$447,2,0)</f>
        <v>02441</v>
      </c>
      <c r="C27" s="1538" t="s">
        <v>651</v>
      </c>
      <c r="D27" s="1539" t="s">
        <v>389</v>
      </c>
      <c r="E27" s="166" t="s">
        <v>15</v>
      </c>
      <c r="F27" s="166"/>
      <c r="G27" s="1540">
        <v>40000</v>
      </c>
      <c r="H27" s="1540">
        <v>433438.04700000002</v>
      </c>
      <c r="I27" s="1540">
        <v>184104.59760000001</v>
      </c>
      <c r="J27" s="1466">
        <f t="shared" si="0"/>
        <v>657542.6446</v>
      </c>
      <c r="K27" s="1466"/>
      <c r="L27" s="1540"/>
      <c r="M27" s="1540">
        <f t="shared" si="1"/>
        <v>657542.6446</v>
      </c>
      <c r="N27" s="1539"/>
      <c r="O27" s="559"/>
    </row>
    <row r="28" spans="1:15" s="540" customFormat="1" ht="14.25" customHeight="1">
      <c r="A28" s="1536">
        <v>16</v>
      </c>
      <c r="B28" s="1537" t="str">
        <f>VLOOKUP(D28,'[2]DS CN MOI UP'!$B$11:$C$447,2,0)</f>
        <v>03441</v>
      </c>
      <c r="C28" s="1538" t="s">
        <v>654</v>
      </c>
      <c r="D28" s="1539" t="s">
        <v>404</v>
      </c>
      <c r="E28" s="166" t="s">
        <v>15</v>
      </c>
      <c r="F28" s="166"/>
      <c r="G28" s="1540">
        <v>40000</v>
      </c>
      <c r="H28" s="1540">
        <v>383004.72</v>
      </c>
      <c r="I28" s="1540">
        <v>251034.90599999999</v>
      </c>
      <c r="J28" s="1466">
        <f t="shared" si="0"/>
        <v>674039.62600000005</v>
      </c>
      <c r="K28" s="1466"/>
      <c r="L28" s="1540"/>
      <c r="M28" s="1540">
        <f t="shared" si="1"/>
        <v>674039.62600000005</v>
      </c>
      <c r="N28" s="1539"/>
      <c r="O28" s="559"/>
    </row>
    <row r="29" spans="1:15" s="540" customFormat="1" ht="14.25" customHeight="1">
      <c r="A29" s="1536">
        <v>17</v>
      </c>
      <c r="B29" s="1537" t="str">
        <f>VLOOKUP(D29,'[2]DS CN MOI UP'!$B$11:$C$447,2,0)</f>
        <v>02439</v>
      </c>
      <c r="C29" s="1538" t="s">
        <v>654</v>
      </c>
      <c r="D29" s="1539" t="s">
        <v>415</v>
      </c>
      <c r="E29" s="166" t="s">
        <v>15</v>
      </c>
      <c r="F29" s="166"/>
      <c r="G29" s="1540">
        <v>40000</v>
      </c>
      <c r="H29" s="1540">
        <v>312502.995</v>
      </c>
      <c r="I29" s="1540">
        <v>312502.995</v>
      </c>
      <c r="J29" s="1466">
        <f t="shared" si="0"/>
        <v>665005.99</v>
      </c>
      <c r="K29" s="1466"/>
      <c r="L29" s="1540"/>
      <c r="M29" s="1540">
        <f t="shared" si="1"/>
        <v>665005.99</v>
      </c>
      <c r="N29" s="1539"/>
      <c r="O29" s="559"/>
    </row>
    <row r="30" spans="1:15" s="540" customFormat="1" ht="14.25" customHeight="1">
      <c r="A30" s="1536">
        <v>18</v>
      </c>
      <c r="B30" s="1537" t="str">
        <f>VLOOKUP(D30,'[2]DS CN MOI UP'!$B$11:$C$447,2,0)</f>
        <v>03428</v>
      </c>
      <c r="C30" s="1538" t="s">
        <v>654</v>
      </c>
      <c r="D30" s="1539" t="s">
        <v>388</v>
      </c>
      <c r="E30" s="166" t="s">
        <v>15</v>
      </c>
      <c r="F30" s="166"/>
      <c r="G30" s="1540">
        <v>40000</v>
      </c>
      <c r="H30" s="1540">
        <v>614840.625</v>
      </c>
      <c r="I30" s="1540">
        <v>614840.625</v>
      </c>
      <c r="J30" s="1466">
        <f t="shared" si="0"/>
        <v>1269681.25</v>
      </c>
      <c r="K30" s="1466"/>
      <c r="L30" s="1540"/>
      <c r="M30" s="1540">
        <f t="shared" si="1"/>
        <v>1269681.25</v>
      </c>
      <c r="N30" s="1539"/>
      <c r="O30" s="559"/>
    </row>
    <row r="31" spans="1:15" s="540" customFormat="1" ht="14.25" customHeight="1">
      <c r="A31" s="1536">
        <v>19</v>
      </c>
      <c r="B31" s="1537" t="e">
        <f>VLOOKUP(D31,'[2]DS CN MOI UP'!$B$11:$C$447,2,0)</f>
        <v>#N/A</v>
      </c>
      <c r="C31" s="1538" t="s">
        <v>654</v>
      </c>
      <c r="D31" s="1539" t="s">
        <v>655</v>
      </c>
      <c r="E31" s="166" t="s">
        <v>15</v>
      </c>
      <c r="F31" s="166"/>
      <c r="G31" s="1540">
        <v>40000</v>
      </c>
      <c r="H31" s="1540">
        <v>554373.09900000005</v>
      </c>
      <c r="I31" s="1540">
        <v>554373.09900000005</v>
      </c>
      <c r="J31" s="1466">
        <f t="shared" si="0"/>
        <v>1148746.1980000001</v>
      </c>
      <c r="K31" s="1466"/>
      <c r="L31" s="1540"/>
      <c r="M31" s="1540">
        <f t="shared" si="1"/>
        <v>1148746.1980000001</v>
      </c>
      <c r="N31" s="1539"/>
      <c r="O31" s="559"/>
    </row>
    <row r="32" spans="1:15" s="540" customFormat="1" ht="14.25" customHeight="1">
      <c r="A32" s="1536">
        <v>20</v>
      </c>
      <c r="B32" s="1537" t="e">
        <f>VLOOKUP(D32,'[2]DS CN MOI UP'!$B$11:$C$447,2,0)</f>
        <v>#N/A</v>
      </c>
      <c r="C32" s="1538" t="s">
        <v>654</v>
      </c>
      <c r="D32" s="1539" t="s">
        <v>656</v>
      </c>
      <c r="E32" s="166" t="s">
        <v>15</v>
      </c>
      <c r="F32" s="166"/>
      <c r="G32" s="1540">
        <v>40000</v>
      </c>
      <c r="H32" s="1540">
        <v>554373.09900000005</v>
      </c>
      <c r="I32" s="1540">
        <v>554373.09900000005</v>
      </c>
      <c r="J32" s="1466">
        <f t="shared" si="0"/>
        <v>1148746.1980000001</v>
      </c>
      <c r="K32" s="1466"/>
      <c r="L32" s="1540"/>
      <c r="M32" s="1540">
        <f t="shared" si="1"/>
        <v>1148746.1980000001</v>
      </c>
      <c r="N32" s="1539"/>
      <c r="O32" s="559"/>
    </row>
    <row r="33" spans="1:15" s="540" customFormat="1" ht="14.25" customHeight="1">
      <c r="A33" s="1536">
        <v>21</v>
      </c>
      <c r="B33" s="1537" t="e">
        <f>VLOOKUP(D33,'[2]DS CN MOI UP'!$B$11:$C$447,2,0)</f>
        <v>#N/A</v>
      </c>
      <c r="C33" s="1538" t="s">
        <v>654</v>
      </c>
      <c r="D33" s="1539" t="s">
        <v>657</v>
      </c>
      <c r="E33" s="166" t="s">
        <v>15</v>
      </c>
      <c r="F33" s="166"/>
      <c r="G33" s="1540">
        <v>40000</v>
      </c>
      <c r="H33" s="1540">
        <v>554373.09900000005</v>
      </c>
      <c r="I33" s="1540">
        <v>554373.09900000005</v>
      </c>
      <c r="J33" s="1466">
        <f t="shared" si="0"/>
        <v>1148746.1980000001</v>
      </c>
      <c r="K33" s="1466"/>
      <c r="L33" s="1540"/>
      <c r="M33" s="1540">
        <f t="shared" si="1"/>
        <v>1148746.1980000001</v>
      </c>
      <c r="N33" s="1539"/>
      <c r="O33" s="559"/>
    </row>
    <row r="34" spans="1:15" s="540" customFormat="1" ht="14.25" customHeight="1">
      <c r="A34" s="1536">
        <v>22</v>
      </c>
      <c r="B34" s="1537" t="e">
        <f>VLOOKUP(D34,'[2]DS CN MOI UP'!$B$11:$C$447,2,0)</f>
        <v>#N/A</v>
      </c>
      <c r="C34" s="1538" t="s">
        <v>654</v>
      </c>
      <c r="D34" s="1539" t="s">
        <v>658</v>
      </c>
      <c r="E34" s="166" t="s">
        <v>15</v>
      </c>
      <c r="F34" s="166"/>
      <c r="G34" s="1540"/>
      <c r="H34" s="1540">
        <v>635040.18900000001</v>
      </c>
      <c r="I34" s="1540">
        <v>635040.18900000001</v>
      </c>
      <c r="J34" s="1466">
        <f t="shared" si="0"/>
        <v>1270080.378</v>
      </c>
      <c r="K34" s="1466"/>
      <c r="L34" s="1540"/>
      <c r="M34" s="1540">
        <f t="shared" si="1"/>
        <v>1270080.378</v>
      </c>
      <c r="N34" s="1539"/>
      <c r="O34" s="559"/>
    </row>
    <row r="35" spans="1:15" s="540" customFormat="1" ht="14.25" customHeight="1">
      <c r="A35" s="1536">
        <v>23</v>
      </c>
      <c r="B35" s="1537" t="e">
        <f>VLOOKUP(D35,'[2]DS CN MOI UP'!$B$11:$C$447,2,0)</f>
        <v>#N/A</v>
      </c>
      <c r="C35" s="1538" t="s">
        <v>654</v>
      </c>
      <c r="D35" s="1539" t="s">
        <v>659</v>
      </c>
      <c r="E35" s="166" t="s">
        <v>15</v>
      </c>
      <c r="F35" s="166"/>
      <c r="G35" s="1540">
        <v>40000</v>
      </c>
      <c r="H35" s="1540">
        <v>544338.9</v>
      </c>
      <c r="I35" s="1540">
        <v>544338.9</v>
      </c>
      <c r="J35" s="1466">
        <f t="shared" si="0"/>
        <v>1128677.8</v>
      </c>
      <c r="K35" s="1466"/>
      <c r="L35" s="1540"/>
      <c r="M35" s="1540">
        <f t="shared" si="1"/>
        <v>1128677.8</v>
      </c>
      <c r="N35" s="1539"/>
      <c r="O35" s="559"/>
    </row>
    <row r="36" spans="1:15" s="540" customFormat="1" ht="14.25" customHeight="1">
      <c r="A36" s="1536">
        <v>24</v>
      </c>
      <c r="B36" s="1537" t="e">
        <f>VLOOKUP(D36,'[2]DS CN MOI UP'!$B$11:$C$447,2,0)</f>
        <v>#N/A</v>
      </c>
      <c r="C36" s="1538" t="s">
        <v>654</v>
      </c>
      <c r="D36" s="1539" t="s">
        <v>660</v>
      </c>
      <c r="E36" s="166" t="s">
        <v>15</v>
      </c>
      <c r="F36" s="166"/>
      <c r="G36" s="1540">
        <v>40000</v>
      </c>
      <c r="H36" s="1540">
        <v>574572.66299999994</v>
      </c>
      <c r="I36" s="1540">
        <v>574572.66299999994</v>
      </c>
      <c r="J36" s="1466">
        <f t="shared" si="0"/>
        <v>1189145.3259999999</v>
      </c>
      <c r="K36" s="1466"/>
      <c r="L36" s="1540"/>
      <c r="M36" s="1540">
        <f t="shared" si="1"/>
        <v>1189145.3259999999</v>
      </c>
      <c r="N36" s="1539"/>
      <c r="O36" s="559"/>
    </row>
    <row r="37" spans="1:15" s="540" customFormat="1" ht="14.25" customHeight="1">
      <c r="A37" s="1536">
        <v>25</v>
      </c>
      <c r="B37" s="1537" t="e">
        <f>VLOOKUP(D37,'[2]DS CN MOI UP'!$B$11:$C$447,2,0)</f>
        <v>#N/A</v>
      </c>
      <c r="C37" s="1538" t="s">
        <v>654</v>
      </c>
      <c r="D37" s="1539" t="s">
        <v>661</v>
      </c>
      <c r="E37" s="166" t="s">
        <v>15</v>
      </c>
      <c r="F37" s="166"/>
      <c r="G37" s="1540">
        <v>40000</v>
      </c>
      <c r="H37" s="1540">
        <v>604806.42599999998</v>
      </c>
      <c r="I37" s="1540">
        <v>604806.42599999998</v>
      </c>
      <c r="J37" s="1466">
        <f t="shared" si="0"/>
        <v>1249612.852</v>
      </c>
      <c r="K37" s="1466"/>
      <c r="L37" s="1540"/>
      <c r="M37" s="1540">
        <f t="shared" si="1"/>
        <v>1249612.852</v>
      </c>
      <c r="N37" s="1539"/>
      <c r="O37" s="559"/>
    </row>
    <row r="38" spans="1:15" s="540" customFormat="1" ht="14.25" customHeight="1">
      <c r="A38" s="1536">
        <v>26</v>
      </c>
      <c r="B38" s="1537" t="e">
        <f>VLOOKUP(D38,'[2]DS CN MOI UP'!$B$11:$C$447,2,0)</f>
        <v>#N/A</v>
      </c>
      <c r="C38" s="1538" t="s">
        <v>654</v>
      </c>
      <c r="D38" s="1539" t="s">
        <v>662</v>
      </c>
      <c r="E38" s="166" t="s">
        <v>15</v>
      </c>
      <c r="F38" s="166"/>
      <c r="G38" s="1540">
        <v>40000</v>
      </c>
      <c r="H38" s="1540">
        <v>584606.86199999996</v>
      </c>
      <c r="I38" s="1540">
        <v>584606.86199999996</v>
      </c>
      <c r="J38" s="1466">
        <f t="shared" si="0"/>
        <v>1209213.7239999999</v>
      </c>
      <c r="K38" s="1466"/>
      <c r="L38" s="1540"/>
      <c r="M38" s="1540">
        <f t="shared" si="1"/>
        <v>1209213.7239999999</v>
      </c>
      <c r="N38" s="1539"/>
      <c r="O38" s="559"/>
    </row>
    <row r="39" spans="1:15" s="540" customFormat="1" ht="14.25" customHeight="1">
      <c r="A39" s="1536">
        <v>27</v>
      </c>
      <c r="B39" s="1537" t="str">
        <f>VLOOKUP(D39,'[2]DS CN MOI UP'!$B$11:$C$447,2,0)</f>
        <v>03442</v>
      </c>
      <c r="C39" s="1538" t="s">
        <v>654</v>
      </c>
      <c r="D39" s="1539" t="s">
        <v>406</v>
      </c>
      <c r="E39" s="166" t="s">
        <v>15</v>
      </c>
      <c r="F39" s="166"/>
      <c r="G39" s="1540"/>
      <c r="H39" s="1540">
        <v>635040.18900000001</v>
      </c>
      <c r="I39" s="1540">
        <v>635040.18900000001</v>
      </c>
      <c r="J39" s="1466">
        <f t="shared" si="0"/>
        <v>1270080.378</v>
      </c>
      <c r="K39" s="1466"/>
      <c r="L39" s="1540"/>
      <c r="M39" s="1540">
        <f t="shared" si="1"/>
        <v>1270080.378</v>
      </c>
      <c r="N39" s="1539"/>
      <c r="O39" s="559"/>
    </row>
    <row r="40" spans="1:15" s="540" customFormat="1" ht="14.25" customHeight="1">
      <c r="A40" s="1536">
        <v>28</v>
      </c>
      <c r="B40" s="1537" t="str">
        <f>VLOOKUP(D40,'[2]DS CN MOI UP'!$B$11:$C$447,2,0)</f>
        <v>03439</v>
      </c>
      <c r="C40" s="1538" t="s">
        <v>654</v>
      </c>
      <c r="D40" s="1539" t="s">
        <v>401</v>
      </c>
      <c r="E40" s="166" t="s">
        <v>15</v>
      </c>
      <c r="F40" s="166"/>
      <c r="G40" s="1540">
        <v>40000</v>
      </c>
      <c r="H40" s="1540">
        <v>524139.33600000001</v>
      </c>
      <c r="I40" s="1540">
        <v>524139.33600000001</v>
      </c>
      <c r="J40" s="1466">
        <f t="shared" si="0"/>
        <v>1088278.672</v>
      </c>
      <c r="K40" s="1466"/>
      <c r="L40" s="1540"/>
      <c r="M40" s="1540">
        <f t="shared" si="1"/>
        <v>1088278.672</v>
      </c>
      <c r="N40" s="1539"/>
      <c r="O40" s="559"/>
    </row>
    <row r="41" spans="1:15" s="540" customFormat="1" ht="14.25" customHeight="1">
      <c r="A41" s="1536">
        <v>29</v>
      </c>
      <c r="B41" s="1537" t="e">
        <f>VLOOKUP(D41,'[2]DS CN MOI UP'!$B$11:$C$447,2,0)</f>
        <v>#N/A</v>
      </c>
      <c r="C41" s="1538" t="s">
        <v>654</v>
      </c>
      <c r="D41" s="1539" t="s">
        <v>663</v>
      </c>
      <c r="E41" s="166" t="s">
        <v>15</v>
      </c>
      <c r="F41" s="166"/>
      <c r="G41" s="1540">
        <v>40000</v>
      </c>
      <c r="H41" s="1540">
        <v>554373.09900000005</v>
      </c>
      <c r="I41" s="1540">
        <v>554373.09900000005</v>
      </c>
      <c r="J41" s="1466">
        <f t="shared" si="0"/>
        <v>1148746.1980000001</v>
      </c>
      <c r="K41" s="1466"/>
      <c r="L41" s="1540"/>
      <c r="M41" s="1540">
        <f t="shared" si="1"/>
        <v>1148746.1980000001</v>
      </c>
      <c r="N41" s="1539"/>
      <c r="O41" s="559"/>
    </row>
    <row r="42" spans="1:15" s="540" customFormat="1" ht="14.25" customHeight="1">
      <c r="A42" s="1536">
        <v>30</v>
      </c>
      <c r="B42" s="1537" t="str">
        <f>VLOOKUP(D42,'[2]DS CN MOI UP'!$B$11:$C$447,2,0)</f>
        <v>03443</v>
      </c>
      <c r="C42" s="1538" t="s">
        <v>654</v>
      </c>
      <c r="D42" s="1539" t="s">
        <v>407</v>
      </c>
      <c r="E42" s="166" t="s">
        <v>15</v>
      </c>
      <c r="F42" s="166"/>
      <c r="G42" s="1540">
        <v>40000</v>
      </c>
      <c r="H42" s="1540">
        <v>554373.09900000005</v>
      </c>
      <c r="I42" s="1540">
        <v>265581.23460003</v>
      </c>
      <c r="J42" s="1466">
        <f t="shared" si="0"/>
        <v>859954.33360003005</v>
      </c>
      <c r="K42" s="1466"/>
      <c r="L42" s="1540"/>
      <c r="M42" s="1540">
        <f t="shared" si="1"/>
        <v>859954.33360003005</v>
      </c>
      <c r="N42" s="1539"/>
      <c r="O42" s="559"/>
    </row>
    <row r="43" spans="1:15" s="540" customFormat="1" ht="14.25" customHeight="1">
      <c r="A43" s="1536">
        <v>31</v>
      </c>
      <c r="B43" s="1537" t="e">
        <f>VLOOKUP(D43,'[2]DS CN MOI UP'!$B$11:$C$447,2,0)</f>
        <v>#N/A</v>
      </c>
      <c r="C43" s="1538" t="s">
        <v>654</v>
      </c>
      <c r="D43" s="1539" t="s">
        <v>664</v>
      </c>
      <c r="E43" s="166" t="s">
        <v>15</v>
      </c>
      <c r="F43" s="166"/>
      <c r="G43" s="1540">
        <v>40000</v>
      </c>
      <c r="H43" s="1466">
        <v>614840.625</v>
      </c>
      <c r="I43" s="1466">
        <v>118678.99679999999</v>
      </c>
      <c r="J43" s="1466">
        <f t="shared" si="0"/>
        <v>773519.62179999996</v>
      </c>
      <c r="K43" s="1466"/>
      <c r="L43" s="1540"/>
      <c r="M43" s="1540">
        <f t="shared" si="1"/>
        <v>773519.62179999996</v>
      </c>
      <c r="N43" s="1539"/>
      <c r="O43" s="559"/>
    </row>
    <row r="44" spans="1:15" s="540" customFormat="1" ht="14.25" customHeight="1">
      <c r="A44" s="1536">
        <v>32</v>
      </c>
      <c r="B44" s="1537" t="str">
        <f>VLOOKUP(D44,'[2]DS CN MOI UP'!$B$11:$C$447,2,0)</f>
        <v>03446</v>
      </c>
      <c r="C44" s="1538" t="s">
        <v>654</v>
      </c>
      <c r="D44" s="1539" t="s">
        <v>412</v>
      </c>
      <c r="E44" s="166" t="s">
        <v>15</v>
      </c>
      <c r="F44" s="166"/>
      <c r="G44" s="1540">
        <v>40000</v>
      </c>
      <c r="H44" s="1466">
        <v>554373.09900000005</v>
      </c>
      <c r="I44" s="1466">
        <v>107985.26639999999</v>
      </c>
      <c r="J44" s="1466">
        <f t="shared" si="0"/>
        <v>702358.36540000001</v>
      </c>
      <c r="K44" s="1466"/>
      <c r="L44" s="1540"/>
      <c r="M44" s="1540">
        <f t="shared" si="1"/>
        <v>702358.36540000001</v>
      </c>
      <c r="N44" s="1539"/>
      <c r="O44" s="559"/>
    </row>
    <row r="45" spans="1:15" s="540" customFormat="1" ht="14.25" customHeight="1">
      <c r="A45" s="1536">
        <v>33</v>
      </c>
      <c r="B45" s="1537" t="str">
        <f>VLOOKUP(D45,'[2]DS CN MOI UP'!$B$11:$C$447,2,0)</f>
        <v>03440</v>
      </c>
      <c r="C45" s="1538" t="s">
        <v>654</v>
      </c>
      <c r="D45" s="1539" t="s">
        <v>403</v>
      </c>
      <c r="E45" s="166" t="s">
        <v>15</v>
      </c>
      <c r="F45" s="166"/>
      <c r="G45" s="1540">
        <v>40000</v>
      </c>
      <c r="H45" s="1466">
        <v>554373.09900000005</v>
      </c>
      <c r="I45" s="1466">
        <v>106506.792</v>
      </c>
      <c r="J45" s="1466">
        <f t="shared" si="0"/>
        <v>700879.89099999995</v>
      </c>
      <c r="K45" s="1466"/>
      <c r="L45" s="1540"/>
      <c r="M45" s="1540">
        <f t="shared" si="1"/>
        <v>700879.89099999995</v>
      </c>
      <c r="N45" s="1539"/>
      <c r="O45" s="559"/>
    </row>
    <row r="46" spans="1:15" s="540" customFormat="1" ht="14.25" customHeight="1">
      <c r="A46" s="1536">
        <v>34</v>
      </c>
      <c r="B46" s="1537" t="str">
        <f>VLOOKUP(D46,'[2]DS CN MOI UP'!$B$11:$C$447,2,0)</f>
        <v>03852</v>
      </c>
      <c r="C46" s="1538" t="s">
        <v>654</v>
      </c>
      <c r="D46" s="1539" t="s">
        <v>471</v>
      </c>
      <c r="E46" s="166" t="s">
        <v>15</v>
      </c>
      <c r="F46" s="166"/>
      <c r="G46" s="1540">
        <v>40000</v>
      </c>
      <c r="H46" s="1466">
        <v>554373.09900000005</v>
      </c>
      <c r="I46" s="1466">
        <v>75304.754400000005</v>
      </c>
      <c r="J46" s="1466">
        <f t="shared" si="0"/>
        <v>669677.85340000002</v>
      </c>
      <c r="K46" s="1466"/>
      <c r="L46" s="1540"/>
      <c r="M46" s="1540">
        <f t="shared" si="1"/>
        <v>669677.85340000002</v>
      </c>
      <c r="N46" s="1539"/>
      <c r="O46" s="559"/>
    </row>
    <row r="47" spans="1:15" s="540" customFormat="1" ht="14.25" customHeight="1">
      <c r="A47" s="1536">
        <v>35</v>
      </c>
      <c r="B47" s="1537" t="e">
        <f>VLOOKUP(D47,'[2]DS CN MOI UP'!$B$11:$C$447,2,0)</f>
        <v>#N/A</v>
      </c>
      <c r="C47" s="1538" t="s">
        <v>654</v>
      </c>
      <c r="D47" s="1539" t="s">
        <v>665</v>
      </c>
      <c r="E47" s="166" t="s">
        <v>15</v>
      </c>
      <c r="F47" s="166"/>
      <c r="G47" s="1540">
        <v>40000</v>
      </c>
      <c r="H47" s="1466">
        <v>635040.18900000001</v>
      </c>
      <c r="I47" s="1466">
        <v>150609.50880000001</v>
      </c>
      <c r="J47" s="1466">
        <f t="shared" si="0"/>
        <v>825649.69779999997</v>
      </c>
      <c r="K47" s="1466"/>
      <c r="L47" s="1540"/>
      <c r="M47" s="1540">
        <f t="shared" si="1"/>
        <v>825649.69779999997</v>
      </c>
      <c r="N47" s="1539"/>
      <c r="O47" s="559"/>
    </row>
    <row r="48" spans="1:15" s="540" customFormat="1" ht="14.25" customHeight="1">
      <c r="A48" s="1536">
        <v>36</v>
      </c>
      <c r="B48" s="1537" t="e">
        <f>VLOOKUP(D48,'[2]DS CN MOI UP'!$B$11:$C$447,2,0)</f>
        <v>#N/A</v>
      </c>
      <c r="C48" s="1538" t="s">
        <v>654</v>
      </c>
      <c r="D48" s="1539" t="s">
        <v>666</v>
      </c>
      <c r="E48" s="166" t="s">
        <v>15</v>
      </c>
      <c r="F48" s="166"/>
      <c r="G48" s="1540">
        <v>40000</v>
      </c>
      <c r="H48" s="1466">
        <v>544338.9</v>
      </c>
      <c r="I48" s="1466">
        <v>146532.6</v>
      </c>
      <c r="J48" s="1466">
        <f t="shared" si="0"/>
        <v>730871.5</v>
      </c>
      <c r="K48" s="1466"/>
      <c r="L48" s="1540"/>
      <c r="M48" s="1540">
        <f t="shared" si="1"/>
        <v>730871.5</v>
      </c>
      <c r="N48" s="1539"/>
      <c r="O48" s="559"/>
    </row>
    <row r="49" spans="1:15" s="540" customFormat="1" ht="14.25" customHeight="1">
      <c r="A49" s="1536">
        <v>37</v>
      </c>
      <c r="B49" s="1537" t="e">
        <f>VLOOKUP(D49,'[2]DS CN MOI UP'!$B$11:$C$447,2,0)</f>
        <v>#N/A</v>
      </c>
      <c r="C49" s="1538" t="s">
        <v>654</v>
      </c>
      <c r="D49" s="1539" t="s">
        <v>333</v>
      </c>
      <c r="E49" s="166" t="s">
        <v>15</v>
      </c>
      <c r="F49" s="166"/>
      <c r="G49" s="1540">
        <v>40000</v>
      </c>
      <c r="H49" s="1466">
        <v>574572.66299999994</v>
      </c>
      <c r="I49" s="1466">
        <v>107519.124</v>
      </c>
      <c r="J49" s="1466">
        <f t="shared" si="0"/>
        <v>722091.78700000001</v>
      </c>
      <c r="K49" s="1466"/>
      <c r="L49" s="1540"/>
      <c r="M49" s="1540">
        <f t="shared" si="1"/>
        <v>722091.78700000001</v>
      </c>
      <c r="N49" s="1539"/>
      <c r="O49" s="559"/>
    </row>
    <row r="50" spans="1:15" s="540" customFormat="1" ht="14.25" customHeight="1">
      <c r="A50" s="1536">
        <v>38</v>
      </c>
      <c r="B50" s="1537" t="e">
        <f>VLOOKUP(D50,'[2]DS CN MOI UP'!$B$11:$C$447,2,0)</f>
        <v>#N/A</v>
      </c>
      <c r="C50" s="1538" t="s">
        <v>654</v>
      </c>
      <c r="D50" s="1539" t="s">
        <v>667</v>
      </c>
      <c r="E50" s="166" t="s">
        <v>15</v>
      </c>
      <c r="F50" s="166"/>
      <c r="G50" s="1540">
        <v>40000</v>
      </c>
      <c r="H50" s="1466">
        <v>604806.42599999998</v>
      </c>
      <c r="I50" s="1466">
        <v>109019.124</v>
      </c>
      <c r="J50" s="1466">
        <f t="shared" si="0"/>
        <v>753825.55</v>
      </c>
      <c r="K50" s="1466"/>
      <c r="L50" s="1540"/>
      <c r="M50" s="1540">
        <f t="shared" si="1"/>
        <v>753825.55</v>
      </c>
      <c r="N50" s="1539"/>
      <c r="O50" s="559"/>
    </row>
    <row r="51" spans="1:15" s="540" customFormat="1" ht="14.25" customHeight="1">
      <c r="A51" s="1536">
        <v>39</v>
      </c>
      <c r="B51" s="1537" t="e">
        <f>VLOOKUP(D51,'[2]DS CN MOI UP'!$B$11:$C$447,2,0)</f>
        <v>#N/A</v>
      </c>
      <c r="C51" s="1538" t="s">
        <v>654</v>
      </c>
      <c r="D51" s="1539" t="s">
        <v>668</v>
      </c>
      <c r="E51" s="166" t="s">
        <v>15</v>
      </c>
      <c r="F51" s="166"/>
      <c r="G51" s="1540">
        <v>40000</v>
      </c>
      <c r="H51" s="1466">
        <v>584606.86199999996</v>
      </c>
      <c r="I51" s="1466">
        <v>229728.84</v>
      </c>
      <c r="J51" s="1466">
        <f t="shared" si="0"/>
        <v>854335.70200000005</v>
      </c>
      <c r="K51" s="1466"/>
      <c r="L51" s="1540"/>
      <c r="M51" s="1540">
        <f t="shared" si="1"/>
        <v>854335.70200000005</v>
      </c>
      <c r="N51" s="1539"/>
      <c r="O51" s="559"/>
    </row>
    <row r="52" spans="1:15" s="540" customFormat="1" ht="14.25" customHeight="1">
      <c r="A52" s="1536">
        <v>40</v>
      </c>
      <c r="B52" s="1537" t="e">
        <f>VLOOKUP(D52,'[2]DS CN MOI UP'!$B$11:$C$447,2,0)</f>
        <v>#N/A</v>
      </c>
      <c r="C52" s="1538" t="s">
        <v>654</v>
      </c>
      <c r="D52" s="1539" t="s">
        <v>669</v>
      </c>
      <c r="E52" s="166" t="s">
        <v>15</v>
      </c>
      <c r="F52" s="166"/>
      <c r="G52" s="1540">
        <v>40000</v>
      </c>
      <c r="H52" s="1466">
        <v>635040.18900000001</v>
      </c>
      <c r="I52" s="1466">
        <v>193212.22560000001</v>
      </c>
      <c r="J52" s="1466">
        <f t="shared" si="0"/>
        <v>868252.41460000002</v>
      </c>
      <c r="K52" s="1466"/>
      <c r="L52" s="1540"/>
      <c r="M52" s="1540">
        <f t="shared" si="1"/>
        <v>868252.41460000002</v>
      </c>
      <c r="N52" s="1539"/>
      <c r="O52" s="559"/>
    </row>
    <row r="53" spans="1:15" s="540" customFormat="1" ht="14.25" customHeight="1">
      <c r="A53" s="1536">
        <v>41</v>
      </c>
      <c r="B53" s="1537" t="e">
        <f>VLOOKUP(D53,'[2]DS CN MOI UP'!$B$11:$C$447,2,0)</f>
        <v>#N/A</v>
      </c>
      <c r="C53" s="1538" t="s">
        <v>654</v>
      </c>
      <c r="D53" s="1539" t="s">
        <v>670</v>
      </c>
      <c r="E53" s="166" t="s">
        <v>15</v>
      </c>
      <c r="F53" s="166"/>
      <c r="G53" s="1540">
        <v>40000</v>
      </c>
      <c r="H53" s="1466">
        <v>524139.33600000001</v>
      </c>
      <c r="I53" s="1466">
        <v>524139.33600000001</v>
      </c>
      <c r="J53" s="1466">
        <f t="shared" si="0"/>
        <v>1088278.672</v>
      </c>
      <c r="K53" s="1466"/>
      <c r="L53" s="1540"/>
      <c r="M53" s="1540">
        <f t="shared" si="1"/>
        <v>1088278.672</v>
      </c>
      <c r="N53" s="1539"/>
      <c r="O53" s="559"/>
    </row>
    <row r="54" spans="1:15" s="540" customFormat="1" ht="14.25" customHeight="1">
      <c r="A54" s="1536">
        <v>42</v>
      </c>
      <c r="B54" s="1537" t="str">
        <f>VLOOKUP(D54,'[2]DS CN MOI UP'!$B$11:$C$447,2,0)</f>
        <v>03451</v>
      </c>
      <c r="C54" s="1538" t="s">
        <v>654</v>
      </c>
      <c r="D54" s="1539" t="s">
        <v>418</v>
      </c>
      <c r="E54" s="166" t="s">
        <v>15</v>
      </c>
      <c r="F54" s="166"/>
      <c r="G54" s="1540">
        <v>40000</v>
      </c>
      <c r="H54" s="1466">
        <v>635040.18900000001</v>
      </c>
      <c r="I54" s="1466">
        <v>524139.33600000001</v>
      </c>
      <c r="J54" s="1466">
        <f t="shared" si="0"/>
        <v>1199179.5249999999</v>
      </c>
      <c r="K54" s="1466"/>
      <c r="L54" s="1540"/>
      <c r="M54" s="1540">
        <f t="shared" si="1"/>
        <v>1199179.5249999999</v>
      </c>
      <c r="N54" s="1539"/>
      <c r="O54" s="559"/>
    </row>
    <row r="55" spans="1:15" s="540" customFormat="1" ht="14.25" customHeight="1">
      <c r="A55" s="1536">
        <v>43</v>
      </c>
      <c r="B55" s="1537" t="str">
        <f>VLOOKUP(D55,'[2]DS CN MOI UP'!$B$11:$C$447,2,0)</f>
        <v>03438</v>
      </c>
      <c r="C55" s="1538" t="s">
        <v>654</v>
      </c>
      <c r="D55" s="1539" t="s">
        <v>400</v>
      </c>
      <c r="E55" s="166" t="s">
        <v>15</v>
      </c>
      <c r="F55" s="166"/>
      <c r="G55" s="1540">
        <v>40000</v>
      </c>
      <c r="H55" s="1466">
        <v>635040.18900000001</v>
      </c>
      <c r="I55" s="1466">
        <v>524139.33600000001</v>
      </c>
      <c r="J55" s="1466">
        <f t="shared" si="0"/>
        <v>1199179.5249999999</v>
      </c>
      <c r="K55" s="1466"/>
      <c r="L55" s="1540"/>
      <c r="M55" s="1540">
        <f t="shared" si="1"/>
        <v>1199179.5249999999</v>
      </c>
      <c r="N55" s="1539"/>
      <c r="O55" s="559"/>
    </row>
    <row r="56" spans="1:15" s="540" customFormat="1" ht="14.25" customHeight="1">
      <c r="A56" s="1536">
        <v>44</v>
      </c>
      <c r="B56" s="1537"/>
      <c r="C56" s="1538" t="s">
        <v>648</v>
      </c>
      <c r="D56" s="1539" t="s">
        <v>416</v>
      </c>
      <c r="E56" s="166" t="s">
        <v>15</v>
      </c>
      <c r="F56" s="166"/>
      <c r="G56" s="1540">
        <v>40000</v>
      </c>
      <c r="H56" s="1466">
        <v>554373.09900000005</v>
      </c>
      <c r="I56" s="1466">
        <v>524139.33600000001</v>
      </c>
      <c r="J56" s="1466">
        <f t="shared" ref="J56:J119" si="2">SUM(G56:I56)</f>
        <v>1118512.4350000001</v>
      </c>
      <c r="K56" s="1466"/>
      <c r="L56" s="1540"/>
      <c r="M56" s="1540">
        <f t="shared" si="1"/>
        <v>1118512.4350000001</v>
      </c>
      <c r="N56" s="1539"/>
      <c r="O56" s="559"/>
    </row>
    <row r="57" spans="1:15" s="540" customFormat="1" ht="14.25" customHeight="1">
      <c r="A57" s="1536">
        <v>45</v>
      </c>
      <c r="B57" s="1537" t="str">
        <f>VLOOKUP(D57,'[2]DS CN MOI UP'!$B$11:$C$447,2,0)</f>
        <v>03432</v>
      </c>
      <c r="C57" s="1538" t="s">
        <v>650</v>
      </c>
      <c r="D57" s="1539" t="s">
        <v>394</v>
      </c>
      <c r="E57" s="166" t="s">
        <v>15</v>
      </c>
      <c r="F57" s="166"/>
      <c r="G57" s="1540">
        <v>40000</v>
      </c>
      <c r="H57" s="1466">
        <v>635040.18900000001</v>
      </c>
      <c r="I57" s="1466">
        <v>524139.33600000001</v>
      </c>
      <c r="J57" s="1466">
        <f t="shared" si="2"/>
        <v>1199179.5249999999</v>
      </c>
      <c r="K57" s="1466"/>
      <c r="L57" s="1540"/>
      <c r="M57" s="1540">
        <f t="shared" si="1"/>
        <v>1199179.5249999999</v>
      </c>
      <c r="N57" s="1539"/>
      <c r="O57" s="559"/>
    </row>
    <row r="58" spans="1:15" s="540" customFormat="1" ht="14.25" customHeight="1">
      <c r="A58" s="1536">
        <v>46</v>
      </c>
      <c r="B58" s="1537" t="str">
        <f>VLOOKUP(D58,'[2]DS CN MOI UP'!$B$11:$C$447,2,0)</f>
        <v>02680</v>
      </c>
      <c r="C58" s="1538" t="s">
        <v>651</v>
      </c>
      <c r="D58" s="1539" t="s">
        <v>91</v>
      </c>
      <c r="E58" s="166" t="s">
        <v>15</v>
      </c>
      <c r="F58" s="166"/>
      <c r="G58" s="1540">
        <v>40000</v>
      </c>
      <c r="H58" s="1466">
        <v>635040.18900000001</v>
      </c>
      <c r="I58" s="1466">
        <v>524139.33600000001</v>
      </c>
      <c r="J58" s="1466">
        <f t="shared" si="2"/>
        <v>1199179.5249999999</v>
      </c>
      <c r="K58" s="1466"/>
      <c r="L58" s="1540"/>
      <c r="M58" s="1540">
        <f t="shared" si="1"/>
        <v>1199179.5249999999</v>
      </c>
      <c r="N58" s="1539"/>
      <c r="O58" s="559"/>
    </row>
    <row r="59" spans="1:15" s="540" customFormat="1" ht="14.25" customHeight="1">
      <c r="A59" s="1536">
        <v>47</v>
      </c>
      <c r="B59" s="1537" t="str">
        <f>VLOOKUP(D59,'[2]DS CN MOI UP'!$B$11:$C$447,2,0)</f>
        <v>03444</v>
      </c>
      <c r="C59" s="1538" t="s">
        <v>651</v>
      </c>
      <c r="D59" s="1539" t="s">
        <v>408</v>
      </c>
      <c r="E59" s="166" t="s">
        <v>15</v>
      </c>
      <c r="F59" s="166"/>
      <c r="G59" s="1540">
        <v>40000</v>
      </c>
      <c r="H59" s="1466">
        <v>635040.18900000001</v>
      </c>
      <c r="I59" s="1466">
        <v>524139.33600000001</v>
      </c>
      <c r="J59" s="1466">
        <f t="shared" si="2"/>
        <v>1199179.5249999999</v>
      </c>
      <c r="K59" s="1466"/>
      <c r="L59" s="1540"/>
      <c r="M59" s="1540">
        <f t="shared" si="1"/>
        <v>1199179.5249999999</v>
      </c>
      <c r="N59" s="1539"/>
      <c r="O59" s="559"/>
    </row>
    <row r="60" spans="1:15" s="540" customFormat="1" ht="14.25" customHeight="1">
      <c r="A60" s="1536">
        <v>48</v>
      </c>
      <c r="B60" s="1537" t="e">
        <f>VLOOKUP(D60,'[2]DS CN MOI UP'!$B$11:$C$447,2,0)</f>
        <v>#N/A</v>
      </c>
      <c r="C60" s="1538" t="s">
        <v>651</v>
      </c>
      <c r="D60" s="1539" t="s">
        <v>671</v>
      </c>
      <c r="E60" s="166" t="s">
        <v>15</v>
      </c>
      <c r="F60" s="166"/>
      <c r="G60" s="1540">
        <v>40000</v>
      </c>
      <c r="H60" s="1466">
        <v>614840.625</v>
      </c>
      <c r="I60" s="1466">
        <v>614840.625</v>
      </c>
      <c r="J60" s="1466">
        <f t="shared" si="2"/>
        <v>1269681.25</v>
      </c>
      <c r="K60" s="1466"/>
      <c r="L60" s="1540"/>
      <c r="M60" s="1540">
        <f t="shared" si="1"/>
        <v>1269681.25</v>
      </c>
      <c r="N60" s="1539"/>
      <c r="O60" s="559"/>
    </row>
    <row r="61" spans="1:15" s="540" customFormat="1" ht="14.25" customHeight="1">
      <c r="A61" s="1536">
        <v>49</v>
      </c>
      <c r="B61" s="1537" t="e">
        <f>VLOOKUP(D61,'[2]DS CN MOI UP'!$B$11:$C$447,2,0)</f>
        <v>#N/A</v>
      </c>
      <c r="C61" s="1538" t="s">
        <v>651</v>
      </c>
      <c r="D61" s="1539" t="s">
        <v>672</v>
      </c>
      <c r="E61" s="166" t="s">
        <v>15</v>
      </c>
      <c r="F61" s="166"/>
      <c r="G61" s="1540">
        <v>40000</v>
      </c>
      <c r="H61" s="1466">
        <v>554373.09900000005</v>
      </c>
      <c r="I61" s="1466">
        <v>554373.09900000005</v>
      </c>
      <c r="J61" s="1466">
        <f t="shared" si="2"/>
        <v>1148746.1980000001</v>
      </c>
      <c r="K61" s="1466"/>
      <c r="L61" s="1540"/>
      <c r="M61" s="1540">
        <f t="shared" si="1"/>
        <v>1148746.1980000001</v>
      </c>
      <c r="N61" s="1539"/>
      <c r="O61" s="559"/>
    </row>
    <row r="62" spans="1:15" s="540" customFormat="1" ht="14.25" customHeight="1">
      <c r="A62" s="1536">
        <v>50</v>
      </c>
      <c r="B62" s="1537" t="e">
        <f>VLOOKUP(D62,'[2]DS CN MOI UP'!$B$11:$C$447,2,0)</f>
        <v>#N/A</v>
      </c>
      <c r="C62" s="1538" t="s">
        <v>651</v>
      </c>
      <c r="D62" s="1539" t="s">
        <v>673</v>
      </c>
      <c r="E62" s="166" t="s">
        <v>15</v>
      </c>
      <c r="F62" s="166"/>
      <c r="G62" s="1540">
        <v>40000</v>
      </c>
      <c r="H62" s="1466">
        <v>554373.09900000005</v>
      </c>
      <c r="I62" s="1466">
        <v>554373.09900000005</v>
      </c>
      <c r="J62" s="1466">
        <f t="shared" si="2"/>
        <v>1148746.1980000001</v>
      </c>
      <c r="K62" s="1466"/>
      <c r="L62" s="1540"/>
      <c r="M62" s="1540">
        <f t="shared" si="1"/>
        <v>1148746.1980000001</v>
      </c>
      <c r="N62" s="1539"/>
      <c r="O62" s="559"/>
    </row>
    <row r="63" spans="1:15" s="540" customFormat="1" ht="14.25" customHeight="1">
      <c r="A63" s="1536">
        <v>51</v>
      </c>
      <c r="B63" s="1537" t="e">
        <f>VLOOKUP(D63,'[2]DS CN MOI UP'!$B$11:$C$447,2,0)</f>
        <v>#N/A</v>
      </c>
      <c r="C63" s="1538" t="s">
        <v>651</v>
      </c>
      <c r="D63" s="1539" t="s">
        <v>426</v>
      </c>
      <c r="E63" s="166" t="s">
        <v>15</v>
      </c>
      <c r="F63" s="166"/>
      <c r="G63" s="1540">
        <v>40000</v>
      </c>
      <c r="H63" s="1466">
        <v>554373.09900000005</v>
      </c>
      <c r="I63" s="1466">
        <v>554373.09900000005</v>
      </c>
      <c r="J63" s="1466">
        <f t="shared" si="2"/>
        <v>1148746.1980000001</v>
      </c>
      <c r="K63" s="1466"/>
      <c r="L63" s="1540"/>
      <c r="M63" s="1540">
        <f t="shared" si="1"/>
        <v>1148746.1980000001</v>
      </c>
      <c r="N63" s="1539"/>
      <c r="O63" s="559"/>
    </row>
    <row r="64" spans="1:15" s="540" customFormat="1" ht="14.25" customHeight="1">
      <c r="A64" s="1536">
        <v>52</v>
      </c>
      <c r="B64" s="1537" t="str">
        <f>VLOOKUP(D64,'[2]DS CN MOI UP'!$B$11:$C$447,2,0)</f>
        <v>03433</v>
      </c>
      <c r="C64" s="1538" t="s">
        <v>651</v>
      </c>
      <c r="D64" s="1539" t="s">
        <v>537</v>
      </c>
      <c r="E64" s="166" t="s">
        <v>15</v>
      </c>
      <c r="F64" s="166"/>
      <c r="G64" s="1540"/>
      <c r="H64" s="1466">
        <v>635040.18900000001</v>
      </c>
      <c r="I64" s="1466">
        <v>635040.18900000001</v>
      </c>
      <c r="J64" s="1466">
        <f t="shared" si="2"/>
        <v>1270080.378</v>
      </c>
      <c r="K64" s="1466"/>
      <c r="L64" s="1540"/>
      <c r="M64" s="1540">
        <f t="shared" si="1"/>
        <v>1270080.378</v>
      </c>
      <c r="N64" s="1539"/>
      <c r="O64" s="559"/>
    </row>
    <row r="65" spans="1:15" s="540" customFormat="1" ht="14.25" customHeight="1">
      <c r="A65" s="1536">
        <v>53</v>
      </c>
      <c r="B65" s="1537" t="str">
        <f>VLOOKUP(D65,'[2]DS CN MOI UP'!$B$11:$C$447,2,0)</f>
        <v>03427</v>
      </c>
      <c r="C65" s="1538" t="s">
        <v>651</v>
      </c>
      <c r="D65" s="1539" t="s">
        <v>387</v>
      </c>
      <c r="E65" s="166" t="s">
        <v>15</v>
      </c>
      <c r="F65" s="166"/>
      <c r="G65" s="1540">
        <v>40000</v>
      </c>
      <c r="H65" s="1466">
        <v>544338.9</v>
      </c>
      <c r="I65" s="1466">
        <v>544338.9</v>
      </c>
      <c r="J65" s="1466">
        <f t="shared" si="2"/>
        <v>1128677.8</v>
      </c>
      <c r="K65" s="1466"/>
      <c r="L65" s="1540"/>
      <c r="M65" s="1540">
        <f t="shared" si="1"/>
        <v>1128677.8</v>
      </c>
      <c r="N65" s="1539"/>
      <c r="O65" s="559"/>
    </row>
    <row r="66" spans="1:15" s="540" customFormat="1" ht="14.25" customHeight="1">
      <c r="A66" s="1536">
        <v>54</v>
      </c>
      <c r="B66" s="1537" t="e">
        <f>VLOOKUP(D66,'[2]DS CN MOI UP'!$B$11:$C$447,2,0)</f>
        <v>#N/A</v>
      </c>
      <c r="C66" s="1538" t="s">
        <v>651</v>
      </c>
      <c r="D66" s="1539" t="s">
        <v>674</v>
      </c>
      <c r="E66" s="166" t="s">
        <v>15</v>
      </c>
      <c r="F66" s="166"/>
      <c r="G66" s="1540">
        <v>40000</v>
      </c>
      <c r="H66" s="1466">
        <v>574572.66299999994</v>
      </c>
      <c r="I66" s="1466">
        <v>574572.66299999994</v>
      </c>
      <c r="J66" s="1466">
        <f t="shared" si="2"/>
        <v>1189145.3259999999</v>
      </c>
      <c r="K66" s="1466"/>
      <c r="L66" s="1540"/>
      <c r="M66" s="1540">
        <f t="shared" si="1"/>
        <v>1189145.3259999999</v>
      </c>
      <c r="N66" s="1539"/>
      <c r="O66" s="559"/>
    </row>
    <row r="67" spans="1:15" s="540" customFormat="1" ht="14.25" customHeight="1">
      <c r="A67" s="1536">
        <v>55</v>
      </c>
      <c r="B67" s="1537" t="e">
        <f>VLOOKUP(D67,'[2]DS CN MOI UP'!$B$11:$C$447,2,0)</f>
        <v>#N/A</v>
      </c>
      <c r="C67" s="1538" t="s">
        <v>651</v>
      </c>
      <c r="D67" s="1539" t="s">
        <v>675</v>
      </c>
      <c r="E67" s="166" t="s">
        <v>15</v>
      </c>
      <c r="F67" s="166"/>
      <c r="G67" s="1540">
        <v>40000</v>
      </c>
      <c r="H67" s="1466">
        <v>604806.42599999998</v>
      </c>
      <c r="I67" s="1466">
        <v>604806.42599999998</v>
      </c>
      <c r="J67" s="1466">
        <f t="shared" si="2"/>
        <v>1249612.852</v>
      </c>
      <c r="K67" s="1466"/>
      <c r="L67" s="1540"/>
      <c r="M67" s="1540">
        <f t="shared" si="1"/>
        <v>1249612.852</v>
      </c>
      <c r="N67" s="1539"/>
      <c r="O67" s="559"/>
    </row>
    <row r="68" spans="1:15" s="540" customFormat="1" ht="14.25" customHeight="1">
      <c r="A68" s="1536">
        <v>56</v>
      </c>
      <c r="B68" s="1537" t="e">
        <f>VLOOKUP(D68,'[2]DS CN MOI UP'!$B$11:$C$447,2,0)</f>
        <v>#N/A</v>
      </c>
      <c r="C68" s="1538" t="s">
        <v>651</v>
      </c>
      <c r="D68" s="1539" t="s">
        <v>676</v>
      </c>
      <c r="E68" s="166" t="s">
        <v>15</v>
      </c>
      <c r="F68" s="166"/>
      <c r="G68" s="1540">
        <v>40000</v>
      </c>
      <c r="H68" s="1466">
        <v>584606.86199999996</v>
      </c>
      <c r="I68" s="1466">
        <v>584606.86199999996</v>
      </c>
      <c r="J68" s="1466">
        <f t="shared" si="2"/>
        <v>1209213.7239999999</v>
      </c>
      <c r="K68" s="1466"/>
      <c r="L68" s="1540"/>
      <c r="M68" s="1540">
        <f t="shared" si="1"/>
        <v>1209213.7239999999</v>
      </c>
      <c r="N68" s="1539"/>
      <c r="O68" s="559"/>
    </row>
    <row r="69" spans="1:15" s="540" customFormat="1" ht="14.25" customHeight="1">
      <c r="A69" s="1536">
        <v>57</v>
      </c>
      <c r="B69" s="1537" t="e">
        <f>VLOOKUP(D69,'[2]DS CN MOI UP'!$B$11:$C$447,2,0)</f>
        <v>#N/A</v>
      </c>
      <c r="C69" s="1538" t="s">
        <v>651</v>
      </c>
      <c r="D69" s="1539" t="s">
        <v>677</v>
      </c>
      <c r="E69" s="166" t="s">
        <v>15</v>
      </c>
      <c r="F69" s="166"/>
      <c r="G69" s="1540"/>
      <c r="H69" s="1466">
        <v>635040.18900000001</v>
      </c>
      <c r="I69" s="1466">
        <v>635040.18900000001</v>
      </c>
      <c r="J69" s="1466">
        <f t="shared" si="2"/>
        <v>1270080.378</v>
      </c>
      <c r="K69" s="1466"/>
      <c r="L69" s="1540"/>
      <c r="M69" s="1540">
        <f t="shared" si="1"/>
        <v>1270080.378</v>
      </c>
      <c r="N69" s="1539"/>
      <c r="O69" s="559"/>
    </row>
    <row r="70" spans="1:15" s="540" customFormat="1" ht="14.25" customHeight="1">
      <c r="A70" s="1536">
        <v>58</v>
      </c>
      <c r="B70" s="1537" t="e">
        <f>VLOOKUP(D70,'[2]DS CN MOI UP'!$B$11:$C$447,2,0)</f>
        <v>#N/A</v>
      </c>
      <c r="C70" s="1538" t="s">
        <v>654</v>
      </c>
      <c r="D70" s="1539" t="s">
        <v>678</v>
      </c>
      <c r="E70" s="166" t="s">
        <v>15</v>
      </c>
      <c r="F70" s="166"/>
      <c r="G70" s="1540">
        <v>80000</v>
      </c>
      <c r="H70" s="1466">
        <v>524139.33600000001</v>
      </c>
      <c r="I70" s="1466">
        <v>524139.33600000001</v>
      </c>
      <c r="J70" s="1466">
        <f t="shared" si="2"/>
        <v>1128278.672</v>
      </c>
      <c r="K70" s="1466"/>
      <c r="L70" s="1540"/>
      <c r="M70" s="1540">
        <f t="shared" si="1"/>
        <v>1128278.672</v>
      </c>
      <c r="N70" s="1539"/>
      <c r="O70" s="559"/>
    </row>
    <row r="71" spans="1:15" s="540" customFormat="1" ht="14.25" customHeight="1">
      <c r="A71" s="1536">
        <v>59</v>
      </c>
      <c r="B71" s="1537" t="str">
        <f>VLOOKUP(D71,'[2]DS CN MOI UP'!$B$11:$C$447,2,0)</f>
        <v>02499</v>
      </c>
      <c r="C71" s="1538" t="s">
        <v>654</v>
      </c>
      <c r="D71" s="1539" t="s">
        <v>80</v>
      </c>
      <c r="E71" s="166" t="s">
        <v>15</v>
      </c>
      <c r="F71" s="166"/>
      <c r="G71" s="1540">
        <v>40000</v>
      </c>
      <c r="H71" s="1466">
        <v>554373.09900000005</v>
      </c>
      <c r="I71" s="1466">
        <v>554373.09900000005</v>
      </c>
      <c r="J71" s="1466">
        <f t="shared" si="2"/>
        <v>1148746.1980000001</v>
      </c>
      <c r="K71" s="1466"/>
      <c r="L71" s="1540"/>
      <c r="M71" s="1540">
        <f t="shared" si="1"/>
        <v>1148746.1980000001</v>
      </c>
      <c r="N71" s="1539"/>
      <c r="O71" s="559"/>
    </row>
    <row r="72" spans="1:15" s="540" customFormat="1" ht="14.25" customHeight="1">
      <c r="A72" s="1536">
        <v>60</v>
      </c>
      <c r="B72" s="1537" t="e">
        <f>VLOOKUP(D72,'[2]DS CN MOI UP'!$B$11:$C$447,2,0)</f>
        <v>#N/A</v>
      </c>
      <c r="C72" s="1538" t="s">
        <v>654</v>
      </c>
      <c r="D72" s="1539" t="s">
        <v>679</v>
      </c>
      <c r="E72" s="166" t="s">
        <v>15</v>
      </c>
      <c r="F72" s="166"/>
      <c r="G72" s="1540">
        <v>40000</v>
      </c>
      <c r="H72" s="1466">
        <v>554373.09900000005</v>
      </c>
      <c r="I72" s="1466">
        <v>554373.09900000005</v>
      </c>
      <c r="J72" s="1466">
        <f t="shared" si="2"/>
        <v>1148746.1980000001</v>
      </c>
      <c r="K72" s="1466"/>
      <c r="L72" s="1540"/>
      <c r="M72" s="1540">
        <f t="shared" si="1"/>
        <v>1148746.1980000001</v>
      </c>
      <c r="N72" s="1539"/>
      <c r="O72" s="559"/>
    </row>
    <row r="73" spans="1:15" s="540" customFormat="1" ht="14.25" customHeight="1">
      <c r="A73" s="1536">
        <v>61</v>
      </c>
      <c r="B73" s="1537" t="str">
        <f>VLOOKUP(D73,'[2]DS CN MOI UP'!$B$11:$C$447,2,0)</f>
        <v>02594</v>
      </c>
      <c r="C73" s="1538" t="s">
        <v>654</v>
      </c>
      <c r="D73" s="1539" t="s">
        <v>207</v>
      </c>
      <c r="E73" s="166" t="s">
        <v>15</v>
      </c>
      <c r="F73" s="166"/>
      <c r="G73" s="1540">
        <v>40000</v>
      </c>
      <c r="H73" s="1466">
        <v>614840.625</v>
      </c>
      <c r="I73" s="1466">
        <v>554373.09900000005</v>
      </c>
      <c r="J73" s="1466">
        <f t="shared" si="2"/>
        <v>1209213.7239999999</v>
      </c>
      <c r="K73" s="1466"/>
      <c r="L73" s="1540"/>
      <c r="M73" s="1540">
        <f t="shared" si="1"/>
        <v>1209213.7239999999</v>
      </c>
      <c r="N73" s="1539"/>
      <c r="O73" s="559"/>
    </row>
    <row r="74" spans="1:15" s="540" customFormat="1" ht="14.25" customHeight="1">
      <c r="A74" s="1536">
        <v>62</v>
      </c>
      <c r="B74" s="1537" t="e">
        <f>VLOOKUP(D74,'[2]DS CN MOI UP'!$B$11:$C$447,2,0)</f>
        <v>#N/A</v>
      </c>
      <c r="C74" s="1538" t="s">
        <v>654</v>
      </c>
      <c r="D74" s="1539" t="s">
        <v>680</v>
      </c>
      <c r="E74" s="166" t="s">
        <v>15</v>
      </c>
      <c r="F74" s="166"/>
      <c r="G74" s="1540">
        <v>40000</v>
      </c>
      <c r="H74" s="1466">
        <v>614840.625</v>
      </c>
      <c r="I74" s="1466">
        <v>554373.09900000005</v>
      </c>
      <c r="J74" s="1466">
        <f t="shared" si="2"/>
        <v>1209213.7239999999</v>
      </c>
      <c r="K74" s="1466"/>
      <c r="L74" s="1540"/>
      <c r="M74" s="1540">
        <f t="shared" si="1"/>
        <v>1209213.7239999999</v>
      </c>
      <c r="N74" s="1539"/>
      <c r="O74" s="559"/>
    </row>
    <row r="75" spans="1:15" s="540" customFormat="1" ht="14.25" customHeight="1">
      <c r="A75" s="1536">
        <v>63</v>
      </c>
      <c r="B75" s="1537" t="e">
        <f>VLOOKUP(D75,'[2]DS CN MOI UP'!$B$11:$C$447,2,0)</f>
        <v>#N/A</v>
      </c>
      <c r="C75" s="1538" t="s">
        <v>654</v>
      </c>
      <c r="D75" s="1539" t="s">
        <v>681</v>
      </c>
      <c r="E75" s="166" t="s">
        <v>15</v>
      </c>
      <c r="F75" s="166"/>
      <c r="G75" s="1540">
        <v>40000</v>
      </c>
      <c r="H75" s="1466">
        <v>614840.625</v>
      </c>
      <c r="I75" s="1466">
        <v>554373.09900000005</v>
      </c>
      <c r="J75" s="1466">
        <f t="shared" si="2"/>
        <v>1209213.7239999999</v>
      </c>
      <c r="K75" s="1466"/>
      <c r="L75" s="1540"/>
      <c r="M75" s="1540">
        <f t="shared" si="1"/>
        <v>1209213.7239999999</v>
      </c>
      <c r="N75" s="1539"/>
      <c r="O75" s="559"/>
    </row>
    <row r="76" spans="1:15" s="540" customFormat="1" ht="14.25" customHeight="1">
      <c r="A76" s="1536">
        <v>64</v>
      </c>
      <c r="B76" s="1537" t="e">
        <f>VLOOKUP(D76,'[2]DS CN MOI UP'!$B$11:$C$447,2,0)</f>
        <v>#N/A</v>
      </c>
      <c r="C76" s="1538" t="s">
        <v>654</v>
      </c>
      <c r="D76" s="1539" t="s">
        <v>682</v>
      </c>
      <c r="E76" s="166" t="s">
        <v>15</v>
      </c>
      <c r="F76" s="166"/>
      <c r="G76" s="1540">
        <v>40000</v>
      </c>
      <c r="H76" s="1466">
        <v>614840.625</v>
      </c>
      <c r="I76" s="1466">
        <v>554373.09900000005</v>
      </c>
      <c r="J76" s="1466">
        <f t="shared" si="2"/>
        <v>1209213.7239999999</v>
      </c>
      <c r="K76" s="1466"/>
      <c r="L76" s="1540"/>
      <c r="M76" s="1540">
        <f t="shared" si="1"/>
        <v>1209213.7239999999</v>
      </c>
      <c r="N76" s="1539"/>
      <c r="O76" s="559"/>
    </row>
    <row r="77" spans="1:15" s="540" customFormat="1" ht="14.25" customHeight="1">
      <c r="A77" s="1536">
        <v>65</v>
      </c>
      <c r="B77" s="1537" t="e">
        <f>VLOOKUP(D77,'[2]DS CN MOI UP'!$B$11:$C$447,2,0)</f>
        <v>#N/A</v>
      </c>
      <c r="C77" s="1538" t="s">
        <v>654</v>
      </c>
      <c r="D77" s="1539" t="s">
        <v>683</v>
      </c>
      <c r="E77" s="166" t="s">
        <v>15</v>
      </c>
      <c r="F77" s="166"/>
      <c r="G77" s="1540">
        <v>40000</v>
      </c>
      <c r="H77" s="1466">
        <v>614840.625</v>
      </c>
      <c r="I77" s="1466">
        <v>554373.09900000005</v>
      </c>
      <c r="J77" s="1466">
        <f t="shared" si="2"/>
        <v>1209213.7239999999</v>
      </c>
      <c r="K77" s="1466"/>
      <c r="L77" s="1540"/>
      <c r="M77" s="1540">
        <f t="shared" si="1"/>
        <v>1209213.7239999999</v>
      </c>
      <c r="N77" s="1539"/>
      <c r="O77" s="559"/>
    </row>
    <row r="78" spans="1:15" s="540" customFormat="1" ht="14.25" customHeight="1">
      <c r="A78" s="1536">
        <v>66</v>
      </c>
      <c r="B78" s="1537" t="e">
        <f>VLOOKUP(D78,'[2]DS CN MOI UP'!$B$11:$C$447,2,0)</f>
        <v>#N/A</v>
      </c>
      <c r="C78" s="1538" t="s">
        <v>654</v>
      </c>
      <c r="D78" s="1539" t="s">
        <v>684</v>
      </c>
      <c r="E78" s="166" t="s">
        <v>15</v>
      </c>
      <c r="F78" s="166"/>
      <c r="G78" s="1540">
        <v>40000</v>
      </c>
      <c r="H78" s="1466">
        <v>544338.9</v>
      </c>
      <c r="I78" s="1466">
        <v>554373.09900000005</v>
      </c>
      <c r="J78" s="1466">
        <f t="shared" si="2"/>
        <v>1138711.9990000001</v>
      </c>
      <c r="K78" s="1466"/>
      <c r="L78" s="1540"/>
      <c r="M78" s="1540">
        <f t="shared" ref="M78:M141" si="3">J78-L78</f>
        <v>1138711.9990000001</v>
      </c>
      <c r="N78" s="1539"/>
      <c r="O78" s="559"/>
    </row>
    <row r="79" spans="1:15" s="540" customFormat="1" ht="14.25" customHeight="1">
      <c r="A79" s="1536">
        <v>67</v>
      </c>
      <c r="B79" s="1537" t="e">
        <f>VLOOKUP(D79,'[2]DS CN MOI UP'!$B$11:$C$447,2,0)</f>
        <v>#N/A</v>
      </c>
      <c r="C79" s="1538" t="s">
        <v>654</v>
      </c>
      <c r="D79" s="1539" t="s">
        <v>685</v>
      </c>
      <c r="E79" s="166" t="s">
        <v>15</v>
      </c>
      <c r="F79" s="166"/>
      <c r="G79" s="1540">
        <v>40000</v>
      </c>
      <c r="H79" s="1466">
        <v>574572.66299999994</v>
      </c>
      <c r="I79" s="1466">
        <v>554373.09900000005</v>
      </c>
      <c r="J79" s="1466">
        <f t="shared" si="2"/>
        <v>1168945.7620000001</v>
      </c>
      <c r="K79" s="1466"/>
      <c r="L79" s="1540"/>
      <c r="M79" s="1540">
        <f t="shared" si="3"/>
        <v>1168945.7620000001</v>
      </c>
      <c r="N79" s="1539"/>
      <c r="O79" s="559"/>
    </row>
    <row r="80" spans="1:15" s="540" customFormat="1" ht="14.25" customHeight="1">
      <c r="A80" s="1536">
        <v>68</v>
      </c>
      <c r="B80" s="1537" t="str">
        <f>VLOOKUP(D80,'[2]DS CN MOI UP'!$B$11:$C$447,2,0)</f>
        <v>02437</v>
      </c>
      <c r="C80" s="1538" t="s">
        <v>654</v>
      </c>
      <c r="D80" s="1539" t="s">
        <v>410</v>
      </c>
      <c r="E80" s="166" t="s">
        <v>15</v>
      </c>
      <c r="F80" s="166"/>
      <c r="G80" s="1540">
        <v>40000</v>
      </c>
      <c r="H80" s="1466">
        <v>604806.42599999998</v>
      </c>
      <c r="I80" s="1466">
        <v>554373.09900000005</v>
      </c>
      <c r="J80" s="1466">
        <f t="shared" si="2"/>
        <v>1199179.5249999999</v>
      </c>
      <c r="K80" s="1466"/>
      <c r="L80" s="1540"/>
      <c r="M80" s="1540">
        <f t="shared" si="3"/>
        <v>1199179.5249999999</v>
      </c>
      <c r="N80" s="1539"/>
      <c r="O80" s="559"/>
    </row>
    <row r="81" spans="1:15" s="540" customFormat="1" ht="14.25" customHeight="1">
      <c r="A81" s="1536">
        <v>69</v>
      </c>
      <c r="B81" s="1537" t="e">
        <f>VLOOKUP(D81,'[2]DS CN MOI UP'!$B$11:$C$447,2,0)</f>
        <v>#N/A</v>
      </c>
      <c r="C81" s="1538" t="s">
        <v>654</v>
      </c>
      <c r="D81" s="1539" t="s">
        <v>686</v>
      </c>
      <c r="E81" s="166" t="s">
        <v>15</v>
      </c>
      <c r="F81" s="166"/>
      <c r="G81" s="1540">
        <v>40000</v>
      </c>
      <c r="H81" s="1466">
        <v>584606.86199999996</v>
      </c>
      <c r="I81" s="1466">
        <v>554373.09900000005</v>
      </c>
      <c r="J81" s="1466">
        <f t="shared" si="2"/>
        <v>1178979.9609999999</v>
      </c>
      <c r="K81" s="1466"/>
      <c r="L81" s="1540"/>
      <c r="M81" s="1540">
        <f t="shared" si="3"/>
        <v>1178979.9609999999</v>
      </c>
      <c r="N81" s="1539"/>
      <c r="O81" s="559"/>
    </row>
    <row r="82" spans="1:15" s="540" customFormat="1" ht="14.25" customHeight="1">
      <c r="A82" s="1536">
        <v>70</v>
      </c>
      <c r="B82" s="1537" t="e">
        <f>VLOOKUP(D82,'[2]DS CN MOI UP'!$B$11:$C$447,2,0)</f>
        <v>#N/A</v>
      </c>
      <c r="C82" s="1538" t="s">
        <v>654</v>
      </c>
      <c r="D82" s="1539" t="s">
        <v>687</v>
      </c>
      <c r="E82" s="166" t="s">
        <v>15</v>
      </c>
      <c r="F82" s="166"/>
      <c r="G82" s="1540">
        <v>40000</v>
      </c>
      <c r="H82" s="1466">
        <v>635040.18900000001</v>
      </c>
      <c r="I82" s="1466">
        <v>554373.09900000005</v>
      </c>
      <c r="J82" s="1466">
        <f t="shared" si="2"/>
        <v>1229413.2879999999</v>
      </c>
      <c r="K82" s="1466"/>
      <c r="L82" s="1540"/>
      <c r="M82" s="1540">
        <f t="shared" si="3"/>
        <v>1229413.2879999999</v>
      </c>
      <c r="N82" s="1539"/>
      <c r="O82" s="559"/>
    </row>
    <row r="83" spans="1:15" s="540" customFormat="1" ht="14.25" customHeight="1">
      <c r="A83" s="1536">
        <v>71</v>
      </c>
      <c r="B83" s="1537" t="e">
        <f>VLOOKUP(D83,'[2]DS CN MOI UP'!$B$11:$C$447,2,0)</f>
        <v>#N/A</v>
      </c>
      <c r="C83" s="1538" t="s">
        <v>654</v>
      </c>
      <c r="D83" s="1539" t="s">
        <v>649</v>
      </c>
      <c r="E83" s="166" t="s">
        <v>15</v>
      </c>
      <c r="F83" s="166"/>
      <c r="G83" s="1540">
        <v>40000</v>
      </c>
      <c r="H83" s="1466">
        <v>524139.33600000001</v>
      </c>
      <c r="I83" s="1466">
        <v>524139.33600000001</v>
      </c>
      <c r="J83" s="1466">
        <f t="shared" si="2"/>
        <v>1088278.672</v>
      </c>
      <c r="K83" s="1466"/>
      <c r="L83" s="1540"/>
      <c r="M83" s="1540">
        <f t="shared" si="3"/>
        <v>1088278.672</v>
      </c>
      <c r="N83" s="1539"/>
      <c r="O83" s="559"/>
    </row>
    <row r="84" spans="1:15" s="540" customFormat="1" ht="14.25" customHeight="1">
      <c r="A84" s="1536">
        <v>72</v>
      </c>
      <c r="B84" s="1537" t="e">
        <f>VLOOKUP(D84,'[2]DS CN MOI UP'!$B$11:$C$447,2,0)</f>
        <v>#N/A</v>
      </c>
      <c r="C84" s="1538" t="s">
        <v>654</v>
      </c>
      <c r="D84" s="1539" t="s">
        <v>688</v>
      </c>
      <c r="E84" s="166" t="s">
        <v>15</v>
      </c>
      <c r="F84" s="166"/>
      <c r="G84" s="1540">
        <v>40000</v>
      </c>
      <c r="H84" s="1466">
        <v>635040.18900000001</v>
      </c>
      <c r="I84" s="1466">
        <v>524139.33600000001</v>
      </c>
      <c r="J84" s="1466">
        <f t="shared" si="2"/>
        <v>1199179.5249999999</v>
      </c>
      <c r="K84" s="1466"/>
      <c r="L84" s="1540"/>
      <c r="M84" s="1540">
        <f t="shared" si="3"/>
        <v>1199179.5249999999</v>
      </c>
      <c r="N84" s="1539"/>
      <c r="O84" s="559"/>
    </row>
    <row r="85" spans="1:15" s="540" customFormat="1" ht="14.25" customHeight="1">
      <c r="A85" s="1536">
        <v>73</v>
      </c>
      <c r="B85" s="1537" t="str">
        <f>VLOOKUP(D85,'[2]DS CN MOI UP'!$B$11:$C$447,2,0)</f>
        <v>02431</v>
      </c>
      <c r="C85" s="1538" t="s">
        <v>654</v>
      </c>
      <c r="D85" s="1539" t="s">
        <v>409</v>
      </c>
      <c r="E85" s="166" t="s">
        <v>15</v>
      </c>
      <c r="F85" s="166"/>
      <c r="G85" s="1540">
        <v>40000</v>
      </c>
      <c r="H85" s="1466">
        <v>635040.18900000001</v>
      </c>
      <c r="I85" s="1466">
        <v>524139.33600000001</v>
      </c>
      <c r="J85" s="1466">
        <f t="shared" si="2"/>
        <v>1199179.5249999999</v>
      </c>
      <c r="K85" s="1466"/>
      <c r="L85" s="1540"/>
      <c r="M85" s="1540">
        <f t="shared" si="3"/>
        <v>1199179.5249999999</v>
      </c>
      <c r="N85" s="1539"/>
      <c r="O85" s="559"/>
    </row>
    <row r="86" spans="1:15" s="540" customFormat="1" ht="14.25" customHeight="1">
      <c r="A86" s="1536">
        <v>74</v>
      </c>
      <c r="B86" s="1537" t="e">
        <f>VLOOKUP(D86,'[2]DS CN MOI UP'!$B$11:$C$447,2,0)</f>
        <v>#N/A</v>
      </c>
      <c r="C86" s="1538" t="s">
        <v>654</v>
      </c>
      <c r="D86" s="1539" t="s">
        <v>689</v>
      </c>
      <c r="E86" s="166" t="s">
        <v>15</v>
      </c>
      <c r="F86" s="166"/>
      <c r="G86" s="1540">
        <v>40000</v>
      </c>
      <c r="H86" s="1466">
        <v>635040.18900000001</v>
      </c>
      <c r="I86" s="1466">
        <v>524139.33600000001</v>
      </c>
      <c r="J86" s="1466">
        <f t="shared" si="2"/>
        <v>1199179.5249999999</v>
      </c>
      <c r="K86" s="1466"/>
      <c r="L86" s="1540"/>
      <c r="M86" s="1540">
        <f t="shared" si="3"/>
        <v>1199179.5249999999</v>
      </c>
      <c r="N86" s="1539"/>
      <c r="O86" s="559"/>
    </row>
    <row r="87" spans="1:15" s="540" customFormat="1" ht="14.25" customHeight="1">
      <c r="A87" s="1536">
        <v>75</v>
      </c>
      <c r="B87" s="1537" t="str">
        <f>VLOOKUP(D87,'[2]DS CN MOI UP'!$B$11:$C$447,2,0)</f>
        <v>02438</v>
      </c>
      <c r="C87" s="1538" t="s">
        <v>654</v>
      </c>
      <c r="D87" s="1539" t="s">
        <v>419</v>
      </c>
      <c r="E87" s="166" t="s">
        <v>15</v>
      </c>
      <c r="F87" s="166"/>
      <c r="G87" s="1540">
        <v>40000</v>
      </c>
      <c r="H87" s="1466">
        <v>635040.18900000001</v>
      </c>
      <c r="I87" s="1466">
        <v>524139.33600000001</v>
      </c>
      <c r="J87" s="1466">
        <f t="shared" si="2"/>
        <v>1199179.5249999999</v>
      </c>
      <c r="K87" s="1466"/>
      <c r="L87" s="1540"/>
      <c r="M87" s="1540">
        <f t="shared" si="3"/>
        <v>1199179.5249999999</v>
      </c>
      <c r="N87" s="1539"/>
      <c r="O87" s="559"/>
    </row>
    <row r="88" spans="1:15" s="540" customFormat="1" ht="14.25" customHeight="1">
      <c r="A88" s="1536">
        <v>76</v>
      </c>
      <c r="B88" s="1537" t="e">
        <f>VLOOKUP(D88,'[2]DS CN MOI UP'!$B$11:$C$447,2,0)</f>
        <v>#N/A</v>
      </c>
      <c r="C88" s="1538" t="s">
        <v>654</v>
      </c>
      <c r="D88" s="1539" t="s">
        <v>676</v>
      </c>
      <c r="E88" s="166" t="s">
        <v>15</v>
      </c>
      <c r="F88" s="166"/>
      <c r="G88" s="1540">
        <v>40000</v>
      </c>
      <c r="H88" s="1466">
        <v>635040.18900000001</v>
      </c>
      <c r="I88" s="1466">
        <v>524139.33600000001</v>
      </c>
      <c r="J88" s="1466">
        <f t="shared" si="2"/>
        <v>1199179.5249999999</v>
      </c>
      <c r="K88" s="1466"/>
      <c r="L88" s="1540"/>
      <c r="M88" s="1540">
        <f t="shared" si="3"/>
        <v>1199179.5249999999</v>
      </c>
      <c r="N88" s="1539"/>
      <c r="O88" s="559"/>
    </row>
    <row r="89" spans="1:15" s="540" customFormat="1" ht="14.25" customHeight="1">
      <c r="A89" s="1536">
        <v>77</v>
      </c>
      <c r="B89" s="1537" t="e">
        <f>VLOOKUP(D89,'[2]DS CN MOI UP'!$B$11:$C$447,2,0)</f>
        <v>#N/A</v>
      </c>
      <c r="C89" s="1538" t="s">
        <v>654</v>
      </c>
      <c r="D89" s="1539" t="s">
        <v>690</v>
      </c>
      <c r="E89" s="166" t="s">
        <v>15</v>
      </c>
      <c r="F89" s="166"/>
      <c r="G89" s="1540">
        <v>40000</v>
      </c>
      <c r="H89" s="1466">
        <v>635040.18900000001</v>
      </c>
      <c r="I89" s="1466">
        <v>524139.33600000001</v>
      </c>
      <c r="J89" s="1466">
        <f t="shared" si="2"/>
        <v>1199179.5249999999</v>
      </c>
      <c r="K89" s="1466"/>
      <c r="L89" s="1540"/>
      <c r="M89" s="1540">
        <f t="shared" si="3"/>
        <v>1199179.5249999999</v>
      </c>
      <c r="N89" s="1539"/>
      <c r="O89" s="559"/>
    </row>
    <row r="90" spans="1:15" s="540" customFormat="1" ht="14.25" customHeight="1">
      <c r="A90" s="1536">
        <v>78</v>
      </c>
      <c r="B90" s="1537" t="e">
        <f>VLOOKUP(D90,'[2]DS CN MOI UP'!$B$11:$C$447,2,0)</f>
        <v>#N/A</v>
      </c>
      <c r="C90" s="1538" t="s">
        <v>654</v>
      </c>
      <c r="D90" s="1539" t="s">
        <v>691</v>
      </c>
      <c r="E90" s="1468" t="s">
        <v>15</v>
      </c>
      <c r="F90" s="166"/>
      <c r="G90" s="1540">
        <v>40000</v>
      </c>
      <c r="H90" s="1466">
        <v>635040.18900000001</v>
      </c>
      <c r="I90" s="1466">
        <v>614840.625</v>
      </c>
      <c r="J90" s="1466">
        <f t="shared" si="2"/>
        <v>1289880.814</v>
      </c>
      <c r="K90" s="1466"/>
      <c r="L90" s="1540"/>
      <c r="M90" s="1540">
        <f t="shared" si="3"/>
        <v>1289880.814</v>
      </c>
      <c r="N90" s="1539"/>
      <c r="O90" s="559"/>
    </row>
    <row r="91" spans="1:15" s="540" customFormat="1" ht="14.25" customHeight="1">
      <c r="A91" s="1536">
        <v>79</v>
      </c>
      <c r="B91" s="1537" t="e">
        <f>VLOOKUP(D91,'[2]DS CN MOI UP'!$B$11:$C$447,2,0)</f>
        <v>#N/A</v>
      </c>
      <c r="C91" s="1538" t="s">
        <v>654</v>
      </c>
      <c r="D91" s="1539" t="s">
        <v>692</v>
      </c>
      <c r="E91" s="1468" t="s">
        <v>15</v>
      </c>
      <c r="F91" s="166"/>
      <c r="G91" s="1540">
        <v>40000</v>
      </c>
      <c r="H91" s="1466">
        <v>554373.09900000005</v>
      </c>
      <c r="I91" s="1466">
        <v>554373.09900000005</v>
      </c>
      <c r="J91" s="1466">
        <f t="shared" si="2"/>
        <v>1148746.1980000001</v>
      </c>
      <c r="K91" s="1466"/>
      <c r="L91" s="1540"/>
      <c r="M91" s="1540">
        <f t="shared" si="3"/>
        <v>1148746.1980000001</v>
      </c>
      <c r="N91" s="1539"/>
      <c r="O91" s="559"/>
    </row>
    <row r="92" spans="1:15" s="540" customFormat="1" ht="14.25" customHeight="1">
      <c r="A92" s="1536">
        <v>80</v>
      </c>
      <c r="B92" s="1537" t="e">
        <f>VLOOKUP(D92,'[2]DS CN MOI UP'!$B$11:$C$447,2,0)</f>
        <v>#N/A</v>
      </c>
      <c r="C92" s="1538" t="s">
        <v>654</v>
      </c>
      <c r="D92" s="1539" t="s">
        <v>693</v>
      </c>
      <c r="E92" s="1468" t="s">
        <v>15</v>
      </c>
      <c r="F92" s="166"/>
      <c r="G92" s="1540">
        <v>40000</v>
      </c>
      <c r="H92" s="1466">
        <v>554373.09900000005</v>
      </c>
      <c r="I92" s="1466">
        <v>554373.09900000005</v>
      </c>
      <c r="J92" s="1466">
        <f t="shared" si="2"/>
        <v>1148746.1980000001</v>
      </c>
      <c r="K92" s="1466"/>
      <c r="L92" s="1540"/>
      <c r="M92" s="1540">
        <f t="shared" si="3"/>
        <v>1148746.1980000001</v>
      </c>
      <c r="N92" s="1539"/>
      <c r="O92" s="559"/>
    </row>
    <row r="93" spans="1:15" s="540" customFormat="1" ht="14.25" customHeight="1">
      <c r="A93" s="1536">
        <v>81</v>
      </c>
      <c r="B93" s="1537" t="e">
        <f>VLOOKUP(D93,'[2]DS CN MOI UP'!$B$11:$C$447,2,0)</f>
        <v>#N/A</v>
      </c>
      <c r="C93" s="1538" t="s">
        <v>654</v>
      </c>
      <c r="D93" s="1539" t="s">
        <v>681</v>
      </c>
      <c r="E93" s="1468" t="s">
        <v>15</v>
      </c>
      <c r="F93" s="166"/>
      <c r="G93" s="1540">
        <v>40000</v>
      </c>
      <c r="H93" s="1466">
        <v>554373.09900000005</v>
      </c>
      <c r="I93" s="1466">
        <v>554373.09900000005</v>
      </c>
      <c r="J93" s="1466">
        <f t="shared" si="2"/>
        <v>1148746.1980000001</v>
      </c>
      <c r="K93" s="1466"/>
      <c r="L93" s="1540"/>
      <c r="M93" s="1540">
        <f t="shared" si="3"/>
        <v>1148746.1980000001</v>
      </c>
      <c r="N93" s="1539"/>
      <c r="O93" s="559"/>
    </row>
    <row r="94" spans="1:15" s="540" customFormat="1" ht="14.25" customHeight="1">
      <c r="A94" s="1536">
        <v>82</v>
      </c>
      <c r="B94" s="1537" t="e">
        <f>VLOOKUP(D94,'[2]DS CN MOI UP'!$B$11:$C$447,2,0)</f>
        <v>#N/A</v>
      </c>
      <c r="C94" s="1538" t="s">
        <v>654</v>
      </c>
      <c r="D94" s="1539" t="s">
        <v>694</v>
      </c>
      <c r="E94" s="1468" t="s">
        <v>15</v>
      </c>
      <c r="F94" s="166"/>
      <c r="G94" s="1540"/>
      <c r="H94" s="1466">
        <v>635040.18900000001</v>
      </c>
      <c r="I94" s="1466">
        <v>635040.18900000001</v>
      </c>
      <c r="J94" s="1466">
        <f t="shared" si="2"/>
        <v>1270080.378</v>
      </c>
      <c r="K94" s="1466"/>
      <c r="L94" s="1540"/>
      <c r="M94" s="1540">
        <f t="shared" si="3"/>
        <v>1270080.378</v>
      </c>
      <c r="N94" s="1539"/>
      <c r="O94" s="559"/>
    </row>
    <row r="95" spans="1:15" s="540" customFormat="1" ht="14.25" customHeight="1">
      <c r="A95" s="1536">
        <v>83</v>
      </c>
      <c r="B95" s="1537" t="e">
        <f>VLOOKUP(D95,'[2]DS CN MOI UP'!$B$11:$C$447,2,0)</f>
        <v>#N/A</v>
      </c>
      <c r="C95" s="1538" t="s">
        <v>654</v>
      </c>
      <c r="D95" s="1539" t="s">
        <v>695</v>
      </c>
      <c r="E95" s="1468" t="s">
        <v>15</v>
      </c>
      <c r="F95" s="166"/>
      <c r="G95" s="1540">
        <v>40000</v>
      </c>
      <c r="H95" s="1466">
        <v>544338.9</v>
      </c>
      <c r="I95" s="1466">
        <v>544338.9</v>
      </c>
      <c r="J95" s="1466">
        <f t="shared" si="2"/>
        <v>1128677.8</v>
      </c>
      <c r="K95" s="1466"/>
      <c r="L95" s="1540"/>
      <c r="M95" s="1540">
        <f t="shared" si="3"/>
        <v>1128677.8</v>
      </c>
      <c r="N95" s="1539"/>
      <c r="O95" s="559"/>
    </row>
    <row r="96" spans="1:15" s="540" customFormat="1" ht="14.25" customHeight="1">
      <c r="A96" s="1536">
        <v>84</v>
      </c>
      <c r="B96" s="1537" t="e">
        <f>VLOOKUP(D96,'[2]DS CN MOI UP'!$B$11:$C$447,2,0)</f>
        <v>#N/A</v>
      </c>
      <c r="C96" s="1538" t="s">
        <v>654</v>
      </c>
      <c r="D96" s="1539" t="s">
        <v>696</v>
      </c>
      <c r="E96" s="1468" t="s">
        <v>15</v>
      </c>
      <c r="F96" s="166"/>
      <c r="G96" s="1540">
        <v>40000</v>
      </c>
      <c r="H96" s="1466">
        <v>574572.66299999994</v>
      </c>
      <c r="I96" s="1466">
        <v>574572.66299999994</v>
      </c>
      <c r="J96" s="1466">
        <f t="shared" si="2"/>
        <v>1189145.3259999999</v>
      </c>
      <c r="K96" s="1466"/>
      <c r="L96" s="1540"/>
      <c r="M96" s="1540">
        <f t="shared" si="3"/>
        <v>1189145.3259999999</v>
      </c>
      <c r="N96" s="1539"/>
      <c r="O96" s="559"/>
    </row>
    <row r="97" spans="1:15" s="540" customFormat="1" ht="14.25" customHeight="1">
      <c r="A97" s="1536">
        <v>85</v>
      </c>
      <c r="B97" s="1537" t="e">
        <f>VLOOKUP(D97,'[2]DS CN MOI UP'!$B$11:$C$447,2,0)</f>
        <v>#N/A</v>
      </c>
      <c r="C97" s="1538" t="s">
        <v>654</v>
      </c>
      <c r="D97" s="1539" t="s">
        <v>697</v>
      </c>
      <c r="E97" s="1468" t="s">
        <v>15</v>
      </c>
      <c r="F97" s="166"/>
      <c r="G97" s="1540">
        <v>40000</v>
      </c>
      <c r="H97" s="1466">
        <v>604806.42599999998</v>
      </c>
      <c r="I97" s="1466">
        <v>604806.42599999998</v>
      </c>
      <c r="J97" s="1466">
        <f t="shared" si="2"/>
        <v>1249612.852</v>
      </c>
      <c r="K97" s="1466"/>
      <c r="L97" s="1540"/>
      <c r="M97" s="1540">
        <f t="shared" si="3"/>
        <v>1249612.852</v>
      </c>
      <c r="N97" s="1539"/>
      <c r="O97" s="559"/>
    </row>
    <row r="98" spans="1:15" s="540" customFormat="1" ht="14.25" customHeight="1">
      <c r="A98" s="1536">
        <v>86</v>
      </c>
      <c r="B98" s="1537"/>
      <c r="C98" s="1538" t="s">
        <v>648</v>
      </c>
      <c r="D98" s="1539" t="s">
        <v>698</v>
      </c>
      <c r="E98" s="1468" t="s">
        <v>15</v>
      </c>
      <c r="F98" s="166"/>
      <c r="G98" s="1540"/>
      <c r="H98" s="1540">
        <v>554373.09900000005</v>
      </c>
      <c r="I98" s="1466">
        <v>604806.42599999998</v>
      </c>
      <c r="J98" s="1466">
        <f t="shared" si="2"/>
        <v>1159179.5249999999</v>
      </c>
      <c r="K98" s="1466"/>
      <c r="L98" s="1540"/>
      <c r="M98" s="1540">
        <f t="shared" si="3"/>
        <v>1159179.5249999999</v>
      </c>
      <c r="N98" s="1539"/>
      <c r="O98" s="559"/>
    </row>
    <row r="99" spans="1:15" s="540" customFormat="1" ht="14.25" customHeight="1">
      <c r="A99" s="1536">
        <v>87</v>
      </c>
      <c r="B99" s="1537" t="e">
        <f>VLOOKUP(D99,'[2]DS CN MOI UP'!$B$11:$C$447,2,0)</f>
        <v>#N/A</v>
      </c>
      <c r="C99" s="1538" t="s">
        <v>650</v>
      </c>
      <c r="D99" s="1539" t="s">
        <v>699</v>
      </c>
      <c r="E99" s="1468" t="s">
        <v>15</v>
      </c>
      <c r="F99" s="166"/>
      <c r="G99" s="1540"/>
      <c r="H99" s="1540">
        <v>554373.09900000005</v>
      </c>
      <c r="I99" s="1466">
        <v>604806.42599999998</v>
      </c>
      <c r="J99" s="1466">
        <f t="shared" si="2"/>
        <v>1159179.5249999999</v>
      </c>
      <c r="K99" s="1466"/>
      <c r="L99" s="1540"/>
      <c r="M99" s="1540">
        <f t="shared" si="3"/>
        <v>1159179.5249999999</v>
      </c>
      <c r="N99" s="1539"/>
      <c r="O99" s="559"/>
    </row>
    <row r="100" spans="1:15" s="540" customFormat="1" ht="14.25" customHeight="1">
      <c r="A100" s="1536">
        <v>88</v>
      </c>
      <c r="B100" s="1537" t="e">
        <f>VLOOKUP(D100,'[2]DS CN MOI UP'!$B$11:$C$447,2,0)</f>
        <v>#N/A</v>
      </c>
      <c r="C100" s="1538" t="s">
        <v>651</v>
      </c>
      <c r="D100" s="1539" t="s">
        <v>700</v>
      </c>
      <c r="E100" s="1468" t="s">
        <v>15</v>
      </c>
      <c r="F100" s="166"/>
      <c r="G100" s="1540"/>
      <c r="H100" s="1540">
        <v>554373.09900000005</v>
      </c>
      <c r="I100" s="1466">
        <v>604806.42599999998</v>
      </c>
      <c r="J100" s="1466">
        <f t="shared" si="2"/>
        <v>1159179.5249999999</v>
      </c>
      <c r="K100" s="1466"/>
      <c r="L100" s="1540"/>
      <c r="M100" s="1540">
        <f t="shared" si="3"/>
        <v>1159179.5249999999</v>
      </c>
      <c r="N100" s="1539"/>
      <c r="O100" s="559"/>
    </row>
    <row r="101" spans="1:15" s="540" customFormat="1" ht="14.25" customHeight="1">
      <c r="A101" s="1536">
        <v>89</v>
      </c>
      <c r="B101" s="1537" t="e">
        <f>VLOOKUP(D101,'[2]DS CN MOI UP'!$B$11:$C$447,2,0)</f>
        <v>#N/A</v>
      </c>
      <c r="C101" s="1538" t="s">
        <v>651</v>
      </c>
      <c r="D101" s="1539" t="s">
        <v>701</v>
      </c>
      <c r="E101" s="1468" t="s">
        <v>15</v>
      </c>
      <c r="F101" s="166"/>
      <c r="G101" s="1540"/>
      <c r="H101" s="1540">
        <v>635040.18900000001</v>
      </c>
      <c r="I101" s="1466">
        <v>604806.42599999998</v>
      </c>
      <c r="J101" s="1466">
        <f t="shared" si="2"/>
        <v>1239846.615</v>
      </c>
      <c r="K101" s="1466"/>
      <c r="L101" s="1540"/>
      <c r="M101" s="1540">
        <f t="shared" si="3"/>
        <v>1239846.615</v>
      </c>
      <c r="N101" s="1539"/>
      <c r="O101" s="559"/>
    </row>
    <row r="102" spans="1:15" s="540" customFormat="1" ht="14.25" customHeight="1">
      <c r="A102" s="1536">
        <v>90</v>
      </c>
      <c r="B102" s="1537" t="e">
        <f>VLOOKUP(D102,'[2]DS CN MOI UP'!$B$11:$C$447,2,0)</f>
        <v>#N/A</v>
      </c>
      <c r="C102" s="1538" t="s">
        <v>651</v>
      </c>
      <c r="D102" s="1539" t="s">
        <v>702</v>
      </c>
      <c r="E102" s="1468" t="s">
        <v>15</v>
      </c>
      <c r="F102" s="166"/>
      <c r="G102" s="1540"/>
      <c r="H102" s="1540">
        <v>544338.9</v>
      </c>
      <c r="I102" s="1466">
        <v>604806.42599999998</v>
      </c>
      <c r="J102" s="1466">
        <f t="shared" si="2"/>
        <v>1149145.3259999999</v>
      </c>
      <c r="K102" s="1466"/>
      <c r="L102" s="1540"/>
      <c r="M102" s="1540">
        <f t="shared" si="3"/>
        <v>1149145.3259999999</v>
      </c>
      <c r="N102" s="1539"/>
      <c r="O102" s="559"/>
    </row>
    <row r="103" spans="1:15" s="540" customFormat="1" ht="14.25" customHeight="1">
      <c r="A103" s="1536">
        <v>91</v>
      </c>
      <c r="B103" s="1537" t="str">
        <f>VLOOKUP(D103,'[2]DS CN MOI UP'!$B$11:$C$447,2,0)</f>
        <v>02622</v>
      </c>
      <c r="C103" s="1538" t="s">
        <v>651</v>
      </c>
      <c r="D103" s="1539" t="s">
        <v>314</v>
      </c>
      <c r="E103" s="1468" t="s">
        <v>15</v>
      </c>
      <c r="F103" s="166"/>
      <c r="G103" s="1540"/>
      <c r="H103" s="1540">
        <v>574572.66299999994</v>
      </c>
      <c r="I103" s="1466">
        <v>604806.42599999998</v>
      </c>
      <c r="J103" s="1466">
        <f t="shared" si="2"/>
        <v>1179379.0889999999</v>
      </c>
      <c r="K103" s="1466"/>
      <c r="L103" s="1540"/>
      <c r="M103" s="1540">
        <f t="shared" si="3"/>
        <v>1179379.0889999999</v>
      </c>
      <c r="N103" s="1539"/>
      <c r="O103" s="559"/>
    </row>
    <row r="104" spans="1:15" s="540" customFormat="1" ht="14.25" customHeight="1">
      <c r="A104" s="1536">
        <v>92</v>
      </c>
      <c r="B104" s="1537" t="e">
        <f>VLOOKUP(D104,'[2]DS CN MOI UP'!$B$11:$C$447,2,0)</f>
        <v>#N/A</v>
      </c>
      <c r="C104" s="1538" t="s">
        <v>651</v>
      </c>
      <c r="D104" s="1539" t="s">
        <v>703</v>
      </c>
      <c r="E104" s="1468" t="s">
        <v>15</v>
      </c>
      <c r="F104" s="166"/>
      <c r="G104" s="1540"/>
      <c r="H104" s="1540">
        <v>604806.42599999998</v>
      </c>
      <c r="I104" s="1466">
        <v>604806.42599999998</v>
      </c>
      <c r="J104" s="1466">
        <f t="shared" si="2"/>
        <v>1209612.852</v>
      </c>
      <c r="K104" s="1466"/>
      <c r="L104" s="1540"/>
      <c r="M104" s="1540">
        <f t="shared" si="3"/>
        <v>1209612.852</v>
      </c>
      <c r="N104" s="1539"/>
      <c r="O104" s="559"/>
    </row>
    <row r="105" spans="1:15" s="540" customFormat="1" ht="14.25" customHeight="1">
      <c r="A105" s="1536">
        <v>93</v>
      </c>
      <c r="B105" s="1537" t="e">
        <f>VLOOKUP(D105,'[2]DS CN MOI UP'!$B$11:$C$447,2,0)</f>
        <v>#N/A</v>
      </c>
      <c r="C105" s="1538" t="s">
        <v>651</v>
      </c>
      <c r="D105" s="1539" t="s">
        <v>704</v>
      </c>
      <c r="E105" s="1468" t="s">
        <v>15</v>
      </c>
      <c r="F105" s="166"/>
      <c r="G105" s="1540"/>
      <c r="H105" s="1540">
        <v>584606.86199999996</v>
      </c>
      <c r="I105" s="1466">
        <v>604806.42599999998</v>
      </c>
      <c r="J105" s="1466">
        <f t="shared" si="2"/>
        <v>1189413.2879999999</v>
      </c>
      <c r="K105" s="1466"/>
      <c r="L105" s="1540"/>
      <c r="M105" s="1540">
        <f t="shared" si="3"/>
        <v>1189413.2879999999</v>
      </c>
      <c r="N105" s="1539"/>
      <c r="O105" s="559"/>
    </row>
    <row r="106" spans="1:15" s="540" customFormat="1" ht="14.25" customHeight="1">
      <c r="A106" s="1536">
        <v>94</v>
      </c>
      <c r="B106" s="1537" t="e">
        <f>VLOOKUP(D106,'[2]DS CN MOI UP'!$B$11:$C$447,2,0)</f>
        <v>#N/A</v>
      </c>
      <c r="C106" s="1538" t="s">
        <v>651</v>
      </c>
      <c r="D106" s="1539" t="s">
        <v>705</v>
      </c>
      <c r="E106" s="1468" t="s">
        <v>15</v>
      </c>
      <c r="F106" s="166"/>
      <c r="G106" s="1540"/>
      <c r="H106" s="1540">
        <v>635040.18900000001</v>
      </c>
      <c r="I106" s="1466">
        <v>604806.42599999998</v>
      </c>
      <c r="J106" s="1466">
        <f t="shared" si="2"/>
        <v>1239846.615</v>
      </c>
      <c r="K106" s="1466"/>
      <c r="L106" s="1540"/>
      <c r="M106" s="1540">
        <f t="shared" si="3"/>
        <v>1239846.615</v>
      </c>
      <c r="N106" s="1539"/>
      <c r="O106" s="559"/>
    </row>
    <row r="107" spans="1:15" s="540" customFormat="1" ht="14.25" customHeight="1">
      <c r="A107" s="1536">
        <v>95</v>
      </c>
      <c r="B107" s="1537" t="e">
        <f>VLOOKUP(D107,'[2]DS CN MOI UP'!$B$11:$C$447,2,0)</f>
        <v>#N/A</v>
      </c>
      <c r="C107" s="1538" t="s">
        <v>651</v>
      </c>
      <c r="D107" s="1539" t="s">
        <v>706</v>
      </c>
      <c r="E107" s="1468" t="s">
        <v>15</v>
      </c>
      <c r="F107" s="166"/>
      <c r="G107" s="1540"/>
      <c r="H107" s="1540">
        <v>524139.33600000001</v>
      </c>
      <c r="I107" s="1540">
        <v>524139.33600000001</v>
      </c>
      <c r="J107" s="1466">
        <f t="shared" si="2"/>
        <v>1048278.672</v>
      </c>
      <c r="K107" s="1466"/>
      <c r="L107" s="1540"/>
      <c r="M107" s="1540">
        <f t="shared" si="3"/>
        <v>1048278.672</v>
      </c>
      <c r="N107" s="1539"/>
      <c r="O107" s="559"/>
    </row>
    <row r="108" spans="1:15" s="540" customFormat="1" ht="14.25" customHeight="1">
      <c r="A108" s="1536">
        <v>96</v>
      </c>
      <c r="B108" s="1537" t="e">
        <f>VLOOKUP(D108,'[2]DS CN MOI UP'!$B$11:$C$447,2,0)</f>
        <v>#N/A</v>
      </c>
      <c r="C108" s="1538" t="s">
        <v>651</v>
      </c>
      <c r="D108" s="1539" t="s">
        <v>707</v>
      </c>
      <c r="E108" s="1468" t="s">
        <v>15</v>
      </c>
      <c r="F108" s="166"/>
      <c r="G108" s="1540"/>
      <c r="H108" s="1540">
        <v>635040.18900000001</v>
      </c>
      <c r="I108" s="1540">
        <v>524139.33600000001</v>
      </c>
      <c r="J108" s="1466">
        <f t="shared" si="2"/>
        <v>1159179.5249999999</v>
      </c>
      <c r="K108" s="1466"/>
      <c r="L108" s="1540"/>
      <c r="M108" s="1540">
        <f t="shared" si="3"/>
        <v>1159179.5249999999</v>
      </c>
      <c r="N108" s="1539"/>
      <c r="O108" s="559"/>
    </row>
    <row r="109" spans="1:15" s="540" customFormat="1" ht="14.25" customHeight="1">
      <c r="A109" s="1536">
        <v>97</v>
      </c>
      <c r="B109" s="1537" t="e">
        <f>VLOOKUP(D109,'[2]DS CN MOI UP'!$B$11:$C$447,2,0)</f>
        <v>#N/A</v>
      </c>
      <c r="C109" s="1538" t="s">
        <v>651</v>
      </c>
      <c r="D109" s="1539" t="s">
        <v>708</v>
      </c>
      <c r="E109" s="1468" t="s">
        <v>15</v>
      </c>
      <c r="F109" s="166"/>
      <c r="G109" s="1540"/>
      <c r="H109" s="1540">
        <v>635040.18900000001</v>
      </c>
      <c r="I109" s="1540">
        <v>524139.33600000001</v>
      </c>
      <c r="J109" s="1466">
        <f t="shared" si="2"/>
        <v>1159179.5249999999</v>
      </c>
      <c r="K109" s="1466"/>
      <c r="L109" s="1540"/>
      <c r="M109" s="1540">
        <f t="shared" si="3"/>
        <v>1159179.5249999999</v>
      </c>
      <c r="N109" s="1539"/>
      <c r="O109" s="559"/>
    </row>
    <row r="110" spans="1:15" s="540" customFormat="1" ht="14.25" customHeight="1">
      <c r="A110" s="1536">
        <v>98</v>
      </c>
      <c r="B110" s="1537" t="str">
        <f>VLOOKUP(D110,'[2]DS CN MOI UP'!$B$11:$C$447,2,0)</f>
        <v>02691</v>
      </c>
      <c r="C110" s="1538" t="s">
        <v>651</v>
      </c>
      <c r="D110" s="1539" t="s">
        <v>182</v>
      </c>
      <c r="E110" s="1468" t="s">
        <v>15</v>
      </c>
      <c r="F110" s="166"/>
      <c r="G110" s="1540"/>
      <c r="H110" s="1540">
        <v>635040.18900000001</v>
      </c>
      <c r="I110" s="1540">
        <v>524139.33600000001</v>
      </c>
      <c r="J110" s="1466">
        <f t="shared" si="2"/>
        <v>1159179.5249999999</v>
      </c>
      <c r="K110" s="1466"/>
      <c r="L110" s="1540"/>
      <c r="M110" s="1540">
        <f t="shared" si="3"/>
        <v>1159179.5249999999</v>
      </c>
      <c r="N110" s="1539"/>
      <c r="O110" s="559"/>
    </row>
    <row r="111" spans="1:15" s="540" customFormat="1" ht="14.25" customHeight="1">
      <c r="A111" s="1536">
        <v>99</v>
      </c>
      <c r="B111" s="1537" t="str">
        <f>VLOOKUP(D111,'[2]DS CN MOI UP'!$B$11:$C$447,2,0)</f>
        <v>03850</v>
      </c>
      <c r="C111" s="1538" t="s">
        <v>651</v>
      </c>
      <c r="D111" s="1539" t="s">
        <v>449</v>
      </c>
      <c r="E111" s="1468" t="s">
        <v>15</v>
      </c>
      <c r="F111" s="166"/>
      <c r="G111" s="1540"/>
      <c r="H111" s="1540">
        <v>635040.18900000001</v>
      </c>
      <c r="I111" s="1540">
        <v>524139.33600000001</v>
      </c>
      <c r="J111" s="1466">
        <f t="shared" si="2"/>
        <v>1159179.5249999999</v>
      </c>
      <c r="K111" s="1466"/>
      <c r="L111" s="1540"/>
      <c r="M111" s="1540">
        <f t="shared" si="3"/>
        <v>1159179.5249999999</v>
      </c>
      <c r="N111" s="1539"/>
      <c r="O111" s="559"/>
    </row>
    <row r="112" spans="1:15" s="540" customFormat="1" ht="14.25" customHeight="1">
      <c r="A112" s="1536">
        <v>100</v>
      </c>
      <c r="B112" s="1537" t="e">
        <f>VLOOKUP(D112,'[2]DS CN MOI UP'!$B$11:$C$447,2,0)</f>
        <v>#N/A</v>
      </c>
      <c r="C112" s="1538" t="s">
        <v>654</v>
      </c>
      <c r="D112" s="1539" t="s">
        <v>709</v>
      </c>
      <c r="E112" s="1468" t="s">
        <v>15</v>
      </c>
      <c r="F112" s="166"/>
      <c r="G112" s="1540"/>
      <c r="H112" s="1540">
        <v>635040.18900000001</v>
      </c>
      <c r="I112" s="1540">
        <v>524139.33600000001</v>
      </c>
      <c r="J112" s="1466">
        <f t="shared" si="2"/>
        <v>1159179.5249999999</v>
      </c>
      <c r="K112" s="1466"/>
      <c r="L112" s="1540"/>
      <c r="M112" s="1540">
        <f t="shared" si="3"/>
        <v>1159179.5249999999</v>
      </c>
      <c r="N112" s="1539"/>
      <c r="O112" s="559"/>
    </row>
    <row r="113" spans="1:15" s="540" customFormat="1" ht="14.25" customHeight="1">
      <c r="A113" s="1536">
        <v>101</v>
      </c>
      <c r="B113" s="1537" t="e">
        <f>VLOOKUP(D113,'[2]DS CN MOI UP'!$B$11:$C$447,2,0)</f>
        <v>#N/A</v>
      </c>
      <c r="C113" s="1538" t="s">
        <v>654</v>
      </c>
      <c r="D113" s="1539" t="s">
        <v>710</v>
      </c>
      <c r="E113" s="1468" t="s">
        <v>15</v>
      </c>
      <c r="F113" s="166"/>
      <c r="G113" s="1540"/>
      <c r="H113" s="1540">
        <v>635040.18900000001</v>
      </c>
      <c r="I113" s="1540">
        <v>152246.3358</v>
      </c>
      <c r="J113" s="1466">
        <f t="shared" si="2"/>
        <v>787286.52480000001</v>
      </c>
      <c r="K113" s="1466"/>
      <c r="L113" s="1540"/>
      <c r="M113" s="1540">
        <f t="shared" si="3"/>
        <v>787286.52480000001</v>
      </c>
      <c r="N113" s="1539"/>
      <c r="O113" s="559"/>
    </row>
    <row r="114" spans="1:15" s="540" customFormat="1" ht="14.25" customHeight="1">
      <c r="A114" s="1536">
        <v>102</v>
      </c>
      <c r="B114" s="1537" t="e">
        <f>VLOOKUP(D114,'[2]DS CN MOI UP'!$B$11:$C$447,2,0)</f>
        <v>#N/A</v>
      </c>
      <c r="C114" s="1538" t="s">
        <v>654</v>
      </c>
      <c r="D114" s="1539" t="s">
        <v>711</v>
      </c>
      <c r="E114" s="1468" t="s">
        <v>15</v>
      </c>
      <c r="F114" s="166"/>
      <c r="G114" s="1540"/>
      <c r="H114" s="1540">
        <v>614840.625</v>
      </c>
      <c r="I114" s="1540"/>
      <c r="J114" s="1466">
        <f t="shared" si="2"/>
        <v>614840.625</v>
      </c>
      <c r="K114" s="1466"/>
      <c r="L114" s="1540"/>
      <c r="M114" s="1540">
        <f t="shared" si="3"/>
        <v>614840.625</v>
      </c>
      <c r="N114" s="1539"/>
      <c r="O114" s="559"/>
    </row>
    <row r="115" spans="1:15" s="540" customFormat="1" ht="14.25" customHeight="1">
      <c r="A115" s="1536">
        <v>103</v>
      </c>
      <c r="B115" s="1537" t="e">
        <f>VLOOKUP(D115,'[2]DS CN MOI UP'!$B$11:$C$447,2,0)</f>
        <v>#N/A</v>
      </c>
      <c r="C115" s="1538" t="s">
        <v>654</v>
      </c>
      <c r="D115" s="1539" t="s">
        <v>712</v>
      </c>
      <c r="E115" s="1468" t="s">
        <v>15</v>
      </c>
      <c r="F115" s="166"/>
      <c r="G115" s="1540"/>
      <c r="H115" s="1540">
        <v>554373.09900000005</v>
      </c>
      <c r="I115" s="1540"/>
      <c r="J115" s="1466">
        <f t="shared" si="2"/>
        <v>554373.09900000005</v>
      </c>
      <c r="K115" s="1466"/>
      <c r="L115" s="1540"/>
      <c r="M115" s="1540">
        <f t="shared" si="3"/>
        <v>554373.09900000005</v>
      </c>
      <c r="N115" s="1539"/>
      <c r="O115" s="559"/>
    </row>
    <row r="116" spans="1:15" s="540" customFormat="1" ht="14.25" customHeight="1">
      <c r="A116" s="1536">
        <v>104</v>
      </c>
      <c r="B116" s="1537" t="e">
        <f>VLOOKUP(D116,'[2]DS CN MOI UP'!$B$11:$C$447,2,0)</f>
        <v>#N/A</v>
      </c>
      <c r="C116" s="1538" t="s">
        <v>654</v>
      </c>
      <c r="D116" s="1539" t="s">
        <v>713</v>
      </c>
      <c r="E116" s="1468" t="s">
        <v>15</v>
      </c>
      <c r="F116" s="166"/>
      <c r="G116" s="1540"/>
      <c r="H116" s="1540">
        <v>1250644.9522992801</v>
      </c>
      <c r="I116" s="1540"/>
      <c r="J116" s="1466">
        <f t="shared" si="2"/>
        <v>1250644.9522992801</v>
      </c>
      <c r="K116" s="1466"/>
      <c r="L116" s="1540"/>
      <c r="M116" s="1540">
        <f t="shared" si="3"/>
        <v>1250644.9522992801</v>
      </c>
      <c r="N116" s="1539"/>
      <c r="O116" s="559"/>
    </row>
    <row r="117" spans="1:15" s="540" customFormat="1" ht="14.25" customHeight="1">
      <c r="A117" s="1536">
        <v>105</v>
      </c>
      <c r="B117" s="1537" t="e">
        <f>VLOOKUP(D117,'[2]DS CN MOI UP'!$B$11:$C$447,2,0)</f>
        <v>#N/A</v>
      </c>
      <c r="C117" s="1538" t="s">
        <v>654</v>
      </c>
      <c r="D117" s="1539" t="s">
        <v>714</v>
      </c>
      <c r="E117" s="1468" t="s">
        <v>15</v>
      </c>
      <c r="F117" s="166"/>
      <c r="G117" s="1540"/>
      <c r="H117" s="1540">
        <v>554373.09900000005</v>
      </c>
      <c r="I117" s="1540"/>
      <c r="J117" s="1466">
        <f t="shared" si="2"/>
        <v>554373.09900000005</v>
      </c>
      <c r="K117" s="1466"/>
      <c r="L117" s="1540"/>
      <c r="M117" s="1540">
        <f t="shared" si="3"/>
        <v>554373.09900000005</v>
      </c>
      <c r="N117" s="1539"/>
      <c r="O117" s="559"/>
    </row>
    <row r="118" spans="1:15" s="540" customFormat="1" ht="14.25" customHeight="1">
      <c r="A118" s="1536">
        <v>106</v>
      </c>
      <c r="B118" s="1537" t="e">
        <f>VLOOKUP(D118,'[2]DS CN MOI UP'!$B$11:$C$447,2,0)</f>
        <v>#N/A</v>
      </c>
      <c r="C118" s="1538" t="s">
        <v>654</v>
      </c>
      <c r="D118" s="1539" t="s">
        <v>715</v>
      </c>
      <c r="E118" s="1468" t="s">
        <v>15</v>
      </c>
      <c r="F118" s="166"/>
      <c r="G118" s="1540"/>
      <c r="H118" s="1540">
        <v>635040.18900000001</v>
      </c>
      <c r="I118" s="1540"/>
      <c r="J118" s="1466">
        <f t="shared" si="2"/>
        <v>635040.18900000001</v>
      </c>
      <c r="K118" s="1466"/>
      <c r="L118" s="1540"/>
      <c r="M118" s="1540">
        <f t="shared" si="3"/>
        <v>635040.18900000001</v>
      </c>
      <c r="N118" s="1539"/>
      <c r="O118" s="559"/>
    </row>
    <row r="119" spans="1:15" s="540" customFormat="1" ht="14.25" customHeight="1">
      <c r="A119" s="1536">
        <v>107</v>
      </c>
      <c r="B119" s="1537" t="e">
        <f>VLOOKUP(D119,'[2]DS CN MOI UP'!$B$11:$C$447,2,0)</f>
        <v>#N/A</v>
      </c>
      <c r="C119" s="1538" t="s">
        <v>654</v>
      </c>
      <c r="D119" s="1539" t="s">
        <v>716</v>
      </c>
      <c r="E119" s="1468" t="s">
        <v>15</v>
      </c>
      <c r="F119" s="166"/>
      <c r="G119" s="1540"/>
      <c r="H119" s="1540">
        <v>544338.9</v>
      </c>
      <c r="I119" s="1540"/>
      <c r="J119" s="1466">
        <f t="shared" si="2"/>
        <v>544338.9</v>
      </c>
      <c r="K119" s="1466"/>
      <c r="L119" s="1540"/>
      <c r="M119" s="1540">
        <f t="shared" si="3"/>
        <v>544338.9</v>
      </c>
      <c r="N119" s="1539"/>
      <c r="O119" s="559"/>
    </row>
    <row r="120" spans="1:15" s="540" customFormat="1" ht="14.25" customHeight="1">
      <c r="A120" s="1536">
        <v>108</v>
      </c>
      <c r="B120" s="1537" t="e">
        <f>VLOOKUP(D120,'[2]DS CN MOI UP'!$B$11:$C$447,2,0)</f>
        <v>#N/A</v>
      </c>
      <c r="C120" s="1538" t="s">
        <v>654</v>
      </c>
      <c r="D120" s="1539" t="s">
        <v>717</v>
      </c>
      <c r="E120" s="1468" t="s">
        <v>15</v>
      </c>
      <c r="F120" s="166"/>
      <c r="G120" s="1540">
        <v>200000</v>
      </c>
      <c r="H120" s="1540">
        <v>574572.66299999994</v>
      </c>
      <c r="I120" s="1540"/>
      <c r="J120" s="1466">
        <f t="shared" ref="J120:J162" si="4">SUM(G120:I120)</f>
        <v>774572.66299999994</v>
      </c>
      <c r="K120" s="1466"/>
      <c r="L120" s="1540"/>
      <c r="M120" s="1540">
        <f t="shared" si="3"/>
        <v>774572.66299999994</v>
      </c>
      <c r="N120" s="1539"/>
      <c r="O120" s="559"/>
    </row>
    <row r="121" spans="1:15" s="540" customFormat="1" ht="14.25" customHeight="1">
      <c r="A121" s="1536">
        <v>109</v>
      </c>
      <c r="B121" s="1537" t="e">
        <f>VLOOKUP(D121,'[2]DS CN MOI UP'!$B$11:$C$447,2,0)</f>
        <v>#N/A</v>
      </c>
      <c r="C121" s="1538" t="s">
        <v>654</v>
      </c>
      <c r="D121" s="1539" t="s">
        <v>718</v>
      </c>
      <c r="E121" s="1468" t="s">
        <v>15</v>
      </c>
      <c r="F121" s="166"/>
      <c r="G121" s="1540"/>
      <c r="H121" s="1540">
        <v>1148746.1980000001</v>
      </c>
      <c r="I121" s="1540"/>
      <c r="J121" s="1466">
        <f t="shared" si="4"/>
        <v>1148746.1980000001</v>
      </c>
      <c r="K121" s="1466"/>
      <c r="L121" s="1540"/>
      <c r="M121" s="1540">
        <f t="shared" si="3"/>
        <v>1148746.1980000001</v>
      </c>
      <c r="N121" s="1539"/>
      <c r="O121" s="559"/>
    </row>
    <row r="122" spans="1:15" s="540" customFormat="1" ht="14.25" customHeight="1">
      <c r="A122" s="1536">
        <v>110</v>
      </c>
      <c r="B122" s="1537" t="e">
        <f>VLOOKUP(D122,'[2]DS CN MOI UP'!$B$11:$C$447,2,0)</f>
        <v>#N/A</v>
      </c>
      <c r="C122" s="1538" t="s">
        <v>654</v>
      </c>
      <c r="D122" s="1539" t="s">
        <v>719</v>
      </c>
      <c r="E122" s="1468" t="s">
        <v>15</v>
      </c>
      <c r="F122" s="166"/>
      <c r="G122" s="1540"/>
      <c r="H122" s="1540">
        <v>1270080.378</v>
      </c>
      <c r="I122" s="1540"/>
      <c r="J122" s="1466">
        <f t="shared" si="4"/>
        <v>1270080.378</v>
      </c>
      <c r="K122" s="1466"/>
      <c r="L122" s="1540"/>
      <c r="M122" s="1540">
        <f t="shared" si="3"/>
        <v>1270080.378</v>
      </c>
      <c r="N122" s="1539"/>
      <c r="O122" s="559"/>
    </row>
    <row r="123" spans="1:15" s="540" customFormat="1" ht="14.25" customHeight="1">
      <c r="A123" s="1536">
        <v>111</v>
      </c>
      <c r="B123" s="1537" t="str">
        <f>VLOOKUP(D123,'[2]DS CN MOI UP'!$B$11:$C$447,2,0)</f>
        <v>02433</v>
      </c>
      <c r="C123" s="1538" t="s">
        <v>654</v>
      </c>
      <c r="D123" s="1539" t="s">
        <v>391</v>
      </c>
      <c r="E123" s="1468" t="s">
        <v>15</v>
      </c>
      <c r="F123" s="166"/>
      <c r="G123" s="1540"/>
      <c r="H123" s="1540">
        <v>1128677.8</v>
      </c>
      <c r="I123" s="1540"/>
      <c r="J123" s="1466">
        <f t="shared" si="4"/>
        <v>1128677.8</v>
      </c>
      <c r="K123" s="1466"/>
      <c r="L123" s="1540"/>
      <c r="M123" s="1540">
        <f t="shared" si="3"/>
        <v>1128677.8</v>
      </c>
      <c r="N123" s="1539"/>
      <c r="O123" s="559"/>
    </row>
    <row r="124" spans="1:15" s="540" customFormat="1" ht="14.25" customHeight="1">
      <c r="A124" s="1536">
        <v>112</v>
      </c>
      <c r="B124" s="1537" t="e">
        <f>VLOOKUP(D124,'[2]DS CN MOI UP'!$B$11:$C$447,2,0)</f>
        <v>#N/A</v>
      </c>
      <c r="C124" s="1538" t="s">
        <v>654</v>
      </c>
      <c r="D124" s="1539" t="s">
        <v>720</v>
      </c>
      <c r="E124" s="1468" t="s">
        <v>15</v>
      </c>
      <c r="F124" s="166"/>
      <c r="G124" s="1540"/>
      <c r="H124" s="1540">
        <v>1189145.3259999999</v>
      </c>
      <c r="I124" s="1540"/>
      <c r="J124" s="1466">
        <f t="shared" si="4"/>
        <v>1189145.3259999999</v>
      </c>
      <c r="K124" s="1466"/>
      <c r="L124" s="1540"/>
      <c r="M124" s="1540">
        <f t="shared" si="3"/>
        <v>1189145.3259999999</v>
      </c>
      <c r="N124" s="1539"/>
      <c r="O124" s="559"/>
    </row>
    <row r="125" spans="1:15" s="540" customFormat="1" ht="14.25" customHeight="1">
      <c r="A125" s="1536">
        <v>113</v>
      </c>
      <c r="B125" s="1537" t="e">
        <f>VLOOKUP(D125,'[2]DS CN MOI UP'!$B$11:$C$447,2,0)</f>
        <v>#N/A</v>
      </c>
      <c r="C125" s="1538" t="s">
        <v>654</v>
      </c>
      <c r="D125" s="1539" t="s">
        <v>721</v>
      </c>
      <c r="E125" s="1468" t="s">
        <v>15</v>
      </c>
      <c r="F125" s="166"/>
      <c r="G125" s="1540"/>
      <c r="H125" s="1540">
        <v>1249612.852</v>
      </c>
      <c r="I125" s="1540"/>
      <c r="J125" s="1466">
        <f t="shared" si="4"/>
        <v>1249612.852</v>
      </c>
      <c r="K125" s="1466"/>
      <c r="L125" s="1540"/>
      <c r="M125" s="1540">
        <f t="shared" si="3"/>
        <v>1249612.852</v>
      </c>
      <c r="N125" s="1539"/>
      <c r="O125" s="559"/>
    </row>
    <row r="126" spans="1:15" s="540" customFormat="1" ht="14.25" customHeight="1">
      <c r="A126" s="1536">
        <v>114</v>
      </c>
      <c r="B126" s="1537" t="e">
        <f>VLOOKUP(D126,'[2]DS CN MOI UP'!$B$11:$C$447,2,0)</f>
        <v>#N/A</v>
      </c>
      <c r="C126" s="1538" t="s">
        <v>654</v>
      </c>
      <c r="D126" s="1539" t="s">
        <v>722</v>
      </c>
      <c r="E126" s="1468" t="s">
        <v>15</v>
      </c>
      <c r="F126" s="166"/>
      <c r="G126" s="1540"/>
      <c r="H126" s="1540">
        <v>1159179.5249999999</v>
      </c>
      <c r="I126" s="1540"/>
      <c r="J126" s="1466">
        <f t="shared" si="4"/>
        <v>1159179.5249999999</v>
      </c>
      <c r="K126" s="1466"/>
      <c r="L126" s="1540"/>
      <c r="M126" s="1540">
        <f t="shared" si="3"/>
        <v>1159179.5249999999</v>
      </c>
      <c r="N126" s="1539"/>
      <c r="O126" s="559"/>
    </row>
    <row r="127" spans="1:15" s="540" customFormat="1" ht="14.25" customHeight="1">
      <c r="A127" s="1536">
        <v>115</v>
      </c>
      <c r="B127" s="1537" t="e">
        <f>VLOOKUP(D127,'[2]DS CN MOI UP'!$B$11:$C$447,2,0)</f>
        <v>#N/A</v>
      </c>
      <c r="C127" s="1538" t="s">
        <v>654</v>
      </c>
      <c r="D127" s="1539" t="s">
        <v>723</v>
      </c>
      <c r="E127" s="1468" t="s">
        <v>15</v>
      </c>
      <c r="F127" s="166"/>
      <c r="G127" s="1540"/>
      <c r="H127" s="1466">
        <v>1159179.5249999999</v>
      </c>
      <c r="I127" s="1540"/>
      <c r="J127" s="1466">
        <f t="shared" si="4"/>
        <v>1159179.5249999999</v>
      </c>
      <c r="K127" s="1466"/>
      <c r="L127" s="1540"/>
      <c r="M127" s="1540">
        <f t="shared" si="3"/>
        <v>1159179.5249999999</v>
      </c>
      <c r="N127" s="1539"/>
      <c r="O127" s="559"/>
    </row>
    <row r="128" spans="1:15" s="540" customFormat="1" ht="14.25" customHeight="1">
      <c r="A128" s="1536">
        <v>116</v>
      </c>
      <c r="B128" s="1537" t="str">
        <f>VLOOKUP(D128,'[2]DS CN MOI UP'!$B$11:$C$447,2,0)</f>
        <v>03428</v>
      </c>
      <c r="C128" s="1538" t="s">
        <v>654</v>
      </c>
      <c r="D128" s="1539" t="s">
        <v>388</v>
      </c>
      <c r="E128" s="1468" t="s">
        <v>15</v>
      </c>
      <c r="F128" s="166"/>
      <c r="G128" s="1540"/>
      <c r="H128" s="1466">
        <v>1159179.5249999999</v>
      </c>
      <c r="I128" s="1540"/>
      <c r="J128" s="1466">
        <f t="shared" si="4"/>
        <v>1159179.5249999999</v>
      </c>
      <c r="K128" s="1466"/>
      <c r="L128" s="1540"/>
      <c r="M128" s="1540">
        <f t="shared" si="3"/>
        <v>1159179.5249999999</v>
      </c>
      <c r="N128" s="1539"/>
      <c r="O128" s="559"/>
    </row>
    <row r="129" spans="1:15" s="540" customFormat="1" ht="14.25" customHeight="1">
      <c r="A129" s="1536">
        <v>117</v>
      </c>
      <c r="B129" s="1537" t="e">
        <f>VLOOKUP(D129,'[2]DS CN MOI UP'!$B$11:$C$447,2,0)</f>
        <v>#N/A</v>
      </c>
      <c r="C129" s="1538" t="s">
        <v>654</v>
      </c>
      <c r="D129" s="1539" t="s">
        <v>724</v>
      </c>
      <c r="E129" s="1468" t="s">
        <v>15</v>
      </c>
      <c r="F129" s="166"/>
      <c r="G129" s="1540"/>
      <c r="H129" s="1466">
        <v>1239846.615</v>
      </c>
      <c r="I129" s="1540"/>
      <c r="J129" s="1466">
        <f t="shared" si="4"/>
        <v>1239846.615</v>
      </c>
      <c r="K129" s="1466"/>
      <c r="L129" s="1540"/>
      <c r="M129" s="1540">
        <f t="shared" si="3"/>
        <v>1239846.615</v>
      </c>
      <c r="N129" s="1539"/>
      <c r="O129" s="559"/>
    </row>
    <row r="130" spans="1:15" s="540" customFormat="1" ht="14.25" customHeight="1">
      <c r="A130" s="1536">
        <v>118</v>
      </c>
      <c r="B130" s="1537" t="e">
        <f>VLOOKUP(D130,'[2]DS CN MOI UP'!$B$11:$C$447,2,0)</f>
        <v>#N/A</v>
      </c>
      <c r="C130" s="1538" t="s">
        <v>654</v>
      </c>
      <c r="D130" s="1539" t="s">
        <v>725</v>
      </c>
      <c r="E130" s="1468" t="s">
        <v>15</v>
      </c>
      <c r="F130" s="166"/>
      <c r="G130" s="1540"/>
      <c r="H130" s="1466">
        <v>1149145.3259999999</v>
      </c>
      <c r="I130" s="1540"/>
      <c r="J130" s="1466">
        <f t="shared" si="4"/>
        <v>1149145.3259999999</v>
      </c>
      <c r="K130" s="1466"/>
      <c r="L130" s="1540"/>
      <c r="M130" s="1540">
        <f t="shared" si="3"/>
        <v>1149145.3259999999</v>
      </c>
      <c r="N130" s="1539"/>
      <c r="O130" s="559"/>
    </row>
    <row r="131" spans="1:15" s="540" customFormat="1" ht="14.25" customHeight="1">
      <c r="A131" s="1536">
        <v>119</v>
      </c>
      <c r="B131" s="1537" t="e">
        <f>VLOOKUP(D131,'[2]DS CN MOI UP'!$B$11:$C$447,2,0)</f>
        <v>#N/A</v>
      </c>
      <c r="C131" s="1538" t="s">
        <v>654</v>
      </c>
      <c r="D131" s="1539" t="s">
        <v>726</v>
      </c>
      <c r="E131" s="1468" t="s">
        <v>15</v>
      </c>
      <c r="F131" s="166"/>
      <c r="G131" s="1540"/>
      <c r="H131" s="1466">
        <v>1179379.0889999999</v>
      </c>
      <c r="I131" s="1540"/>
      <c r="J131" s="1466">
        <f t="shared" si="4"/>
        <v>1179379.0889999999</v>
      </c>
      <c r="K131" s="1466"/>
      <c r="L131" s="1540"/>
      <c r="M131" s="1540">
        <f t="shared" si="3"/>
        <v>1179379.0889999999</v>
      </c>
      <c r="N131" s="1539"/>
      <c r="O131" s="559"/>
    </row>
    <row r="132" spans="1:15" s="540" customFormat="1" ht="14.25" customHeight="1">
      <c r="A132" s="1536">
        <v>120</v>
      </c>
      <c r="B132" s="1537" t="e">
        <f>VLOOKUP(D132,'[2]DS CN MOI UP'!$B$11:$C$447,2,0)</f>
        <v>#N/A</v>
      </c>
      <c r="C132" s="1538" t="s">
        <v>654</v>
      </c>
      <c r="D132" s="1539" t="s">
        <v>727</v>
      </c>
      <c r="E132" s="1468" t="s">
        <v>15</v>
      </c>
      <c r="F132" s="166"/>
      <c r="G132" s="1540"/>
      <c r="H132" s="1466">
        <v>1209612.852</v>
      </c>
      <c r="I132" s="1540"/>
      <c r="J132" s="1466">
        <f t="shared" si="4"/>
        <v>1209612.852</v>
      </c>
      <c r="K132" s="1466"/>
      <c r="L132" s="1540"/>
      <c r="M132" s="1540">
        <f t="shared" si="3"/>
        <v>1209612.852</v>
      </c>
      <c r="N132" s="1539"/>
      <c r="O132" s="559"/>
    </row>
    <row r="133" spans="1:15" s="540" customFormat="1" ht="14.25" customHeight="1">
      <c r="A133" s="1536">
        <v>121</v>
      </c>
      <c r="B133" s="1537" t="e">
        <f>VLOOKUP(D133,'[2]DS CN MOI UP'!$B$11:$C$447,2,0)</f>
        <v>#N/A</v>
      </c>
      <c r="C133" s="1538" t="s">
        <v>654</v>
      </c>
      <c r="D133" s="1539" t="s">
        <v>728</v>
      </c>
      <c r="E133" s="1468" t="s">
        <v>15</v>
      </c>
      <c r="F133" s="166"/>
      <c r="G133" s="1540"/>
      <c r="H133" s="1466">
        <v>1189413.2879999999</v>
      </c>
      <c r="I133" s="1540"/>
      <c r="J133" s="1466">
        <f t="shared" si="4"/>
        <v>1189413.2879999999</v>
      </c>
      <c r="K133" s="1466"/>
      <c r="L133" s="1540"/>
      <c r="M133" s="1540">
        <f t="shared" si="3"/>
        <v>1189413.2879999999</v>
      </c>
      <c r="N133" s="1539"/>
      <c r="O133" s="559"/>
    </row>
    <row r="134" spans="1:15" s="540" customFormat="1" ht="14.25" customHeight="1">
      <c r="A134" s="1536">
        <v>122</v>
      </c>
      <c r="B134" s="1537" t="str">
        <f>VLOOKUP(D134,'[2]DS CN MOI UP'!$B$11:$C$447,2,0)</f>
        <v>03354</v>
      </c>
      <c r="C134" s="1538" t="s">
        <v>654</v>
      </c>
      <c r="D134" s="1539" t="s">
        <v>191</v>
      </c>
      <c r="E134" s="1468" t="s">
        <v>15</v>
      </c>
      <c r="F134" s="166"/>
      <c r="G134" s="1540"/>
      <c r="H134" s="1466">
        <v>1239846.615</v>
      </c>
      <c r="I134" s="1540"/>
      <c r="J134" s="1466">
        <f t="shared" si="4"/>
        <v>1239846.615</v>
      </c>
      <c r="K134" s="1466"/>
      <c r="L134" s="1540"/>
      <c r="M134" s="1540">
        <f t="shared" si="3"/>
        <v>1239846.615</v>
      </c>
      <c r="N134" s="1539"/>
      <c r="O134" s="559"/>
    </row>
    <row r="135" spans="1:15" s="540" customFormat="1" ht="14.25" customHeight="1">
      <c r="A135" s="1536">
        <v>123</v>
      </c>
      <c r="B135" s="1537" t="e">
        <f>VLOOKUP(D135,'[2]DS CN MOI UP'!$B$11:$C$447,2,0)</f>
        <v>#N/A</v>
      </c>
      <c r="C135" s="1538" t="s">
        <v>654</v>
      </c>
      <c r="D135" s="1539" t="s">
        <v>729</v>
      </c>
      <c r="E135" s="1468" t="s">
        <v>15</v>
      </c>
      <c r="F135" s="166"/>
      <c r="G135" s="1540"/>
      <c r="H135" s="1466">
        <v>1048278.672</v>
      </c>
      <c r="I135" s="1540"/>
      <c r="J135" s="1466">
        <f t="shared" si="4"/>
        <v>1048278.672</v>
      </c>
      <c r="K135" s="1466"/>
      <c r="L135" s="1540"/>
      <c r="M135" s="1540">
        <f t="shared" si="3"/>
        <v>1048278.672</v>
      </c>
      <c r="N135" s="1539"/>
      <c r="O135" s="559"/>
    </row>
    <row r="136" spans="1:15" s="540" customFormat="1" ht="14.25" customHeight="1">
      <c r="A136" s="1536">
        <v>124</v>
      </c>
      <c r="B136" s="1537" t="e">
        <f>VLOOKUP(D136,'[2]DS CN MOI UP'!$B$11:$C$447,2,0)</f>
        <v>#N/A</v>
      </c>
      <c r="C136" s="1538" t="s">
        <v>654</v>
      </c>
      <c r="D136" s="1539" t="s">
        <v>730</v>
      </c>
      <c r="E136" s="1468" t="s">
        <v>15</v>
      </c>
      <c r="F136" s="166"/>
      <c r="G136" s="1540"/>
      <c r="H136" s="1466">
        <v>1159179.5249999999</v>
      </c>
      <c r="I136" s="1540"/>
      <c r="J136" s="1466">
        <f t="shared" si="4"/>
        <v>1159179.5249999999</v>
      </c>
      <c r="K136" s="1466"/>
      <c r="L136" s="1540"/>
      <c r="M136" s="1540">
        <f t="shared" si="3"/>
        <v>1159179.5249999999</v>
      </c>
      <c r="N136" s="1539"/>
      <c r="O136" s="559"/>
    </row>
    <row r="137" spans="1:15" s="540" customFormat="1" ht="14.25" customHeight="1">
      <c r="A137" s="1536">
        <v>125</v>
      </c>
      <c r="B137" s="1537" t="e">
        <f>VLOOKUP(D137,'[2]DS CN MOI UP'!$B$11:$C$447,2,0)</f>
        <v>#N/A</v>
      </c>
      <c r="C137" s="1538" t="s">
        <v>654</v>
      </c>
      <c r="D137" s="1539" t="s">
        <v>731</v>
      </c>
      <c r="E137" s="1468" t="s">
        <v>15</v>
      </c>
      <c r="F137" s="166"/>
      <c r="G137" s="1540"/>
      <c r="H137" s="1466">
        <v>1159179.5249999999</v>
      </c>
      <c r="I137" s="1466"/>
      <c r="J137" s="1466">
        <f t="shared" si="4"/>
        <v>1159179.5249999999</v>
      </c>
      <c r="K137" s="1466"/>
      <c r="L137" s="1540"/>
      <c r="M137" s="1540">
        <f t="shared" si="3"/>
        <v>1159179.5249999999</v>
      </c>
      <c r="N137" s="1539"/>
      <c r="O137" s="559"/>
    </row>
    <row r="138" spans="1:15" s="540" customFormat="1" ht="14.25" customHeight="1">
      <c r="A138" s="1536">
        <v>126</v>
      </c>
      <c r="B138" s="1537" t="str">
        <f>VLOOKUP(D138,'[2]DS CN MOI UP'!$B$11:$C$447,2,0)</f>
        <v>03277</v>
      </c>
      <c r="C138" s="1538" t="s">
        <v>654</v>
      </c>
      <c r="D138" s="1539" t="s">
        <v>437</v>
      </c>
      <c r="E138" s="1468" t="s">
        <v>15</v>
      </c>
      <c r="F138" s="166"/>
      <c r="G138" s="1540"/>
      <c r="H138" s="1466">
        <v>1159179.5249999999</v>
      </c>
      <c r="I138" s="1466"/>
      <c r="J138" s="1466">
        <f t="shared" si="4"/>
        <v>1159179.5249999999</v>
      </c>
      <c r="K138" s="1466"/>
      <c r="L138" s="1540"/>
      <c r="M138" s="1540">
        <f t="shared" si="3"/>
        <v>1159179.5249999999</v>
      </c>
      <c r="N138" s="1539"/>
      <c r="O138" s="559"/>
    </row>
    <row r="139" spans="1:15" s="540" customFormat="1" ht="14.25" customHeight="1">
      <c r="A139" s="1536">
        <v>127</v>
      </c>
      <c r="B139" s="1537" t="e">
        <f>VLOOKUP(D139,'[2]DS CN MOI UP'!$B$11:$C$447,2,0)</f>
        <v>#N/A</v>
      </c>
      <c r="C139" s="1538" t="s">
        <v>654</v>
      </c>
      <c r="D139" s="1539" t="s">
        <v>732</v>
      </c>
      <c r="E139" s="1468" t="s">
        <v>15</v>
      </c>
      <c r="F139" s="166"/>
      <c r="G139" s="1540"/>
      <c r="H139" s="1466">
        <v>1159179.5249999999</v>
      </c>
      <c r="I139" s="1466"/>
      <c r="J139" s="1466">
        <f t="shared" si="4"/>
        <v>1159179.5249999999</v>
      </c>
      <c r="K139" s="1466"/>
      <c r="L139" s="1540"/>
      <c r="M139" s="1540">
        <f t="shared" si="3"/>
        <v>1159179.5249999999</v>
      </c>
      <c r="N139" s="1539"/>
      <c r="O139" s="559"/>
    </row>
    <row r="140" spans="1:15" s="540" customFormat="1" ht="14.25" customHeight="1">
      <c r="A140" s="1536">
        <v>128</v>
      </c>
      <c r="B140" s="1537"/>
      <c r="C140" s="1538" t="s">
        <v>648</v>
      </c>
      <c r="D140" s="1539" t="s">
        <v>733</v>
      </c>
      <c r="E140" s="1468" t="s">
        <v>15</v>
      </c>
      <c r="F140" s="166"/>
      <c r="G140" s="1540"/>
      <c r="H140" s="1466">
        <v>1159179.5249999999</v>
      </c>
      <c r="I140" s="1466"/>
      <c r="J140" s="1466">
        <f t="shared" si="4"/>
        <v>1159179.5249999999</v>
      </c>
      <c r="K140" s="1466"/>
      <c r="L140" s="1540"/>
      <c r="M140" s="1540">
        <f t="shared" si="3"/>
        <v>1159179.5249999999</v>
      </c>
      <c r="N140" s="1539"/>
      <c r="O140" s="559"/>
    </row>
    <row r="141" spans="1:15" s="540" customFormat="1" ht="14.25" customHeight="1">
      <c r="A141" s="1536">
        <v>129</v>
      </c>
      <c r="B141" s="1537" t="e">
        <f>VLOOKUP(D141,'[2]DS CN MOI UP'!$B$11:$C$447,2,0)</f>
        <v>#N/A</v>
      </c>
      <c r="C141" s="1538" t="s">
        <v>650</v>
      </c>
      <c r="D141" s="1539" t="s">
        <v>734</v>
      </c>
      <c r="E141" s="1468" t="s">
        <v>15</v>
      </c>
      <c r="F141" s="166"/>
      <c r="G141" s="1540"/>
      <c r="H141" s="1466">
        <v>1159179.5249999999</v>
      </c>
      <c r="I141" s="1466"/>
      <c r="J141" s="1466">
        <f t="shared" si="4"/>
        <v>1159179.5249999999</v>
      </c>
      <c r="K141" s="1466"/>
      <c r="L141" s="1540"/>
      <c r="M141" s="1540">
        <f t="shared" si="3"/>
        <v>1159179.5249999999</v>
      </c>
      <c r="N141" s="1539"/>
      <c r="O141" s="559"/>
    </row>
    <row r="142" spans="1:15" s="540" customFormat="1" ht="14.25" customHeight="1">
      <c r="A142" s="1536">
        <v>130</v>
      </c>
      <c r="B142" s="1537" t="e">
        <f>VLOOKUP(D142,'[2]DS CN MOI UP'!$B$11:$C$447,2,0)</f>
        <v>#N/A</v>
      </c>
      <c r="C142" s="1538" t="s">
        <v>651</v>
      </c>
      <c r="D142" s="1539" t="s">
        <v>735</v>
      </c>
      <c r="E142" s="1468" t="s">
        <v>15</v>
      </c>
      <c r="F142" s="166"/>
      <c r="G142" s="1540"/>
      <c r="H142" s="1466">
        <v>1138979.9609999999</v>
      </c>
      <c r="I142" s="1466"/>
      <c r="J142" s="1466">
        <f t="shared" si="4"/>
        <v>1138979.9609999999</v>
      </c>
      <c r="K142" s="1466"/>
      <c r="L142" s="1540"/>
      <c r="M142" s="1540">
        <f t="shared" ref="M142:M186" si="5">J142-L142</f>
        <v>1138979.9609999999</v>
      </c>
      <c r="N142" s="1539"/>
      <c r="O142" s="559"/>
    </row>
    <row r="143" spans="1:15" s="540" customFormat="1" ht="14.25" customHeight="1">
      <c r="A143" s="1536">
        <v>131</v>
      </c>
      <c r="B143" s="1537" t="e">
        <f>VLOOKUP(D143,'[2]DS CN MOI UP'!$B$11:$C$447,2,0)</f>
        <v>#N/A</v>
      </c>
      <c r="C143" s="1538" t="s">
        <v>651</v>
      </c>
      <c r="D143" s="1539" t="s">
        <v>736</v>
      </c>
      <c r="E143" s="1468" t="s">
        <v>15</v>
      </c>
      <c r="F143" s="166"/>
      <c r="G143" s="1540"/>
      <c r="H143" s="1466">
        <v>1108746.1980000001</v>
      </c>
      <c r="I143" s="1466"/>
      <c r="J143" s="1466">
        <f t="shared" si="4"/>
        <v>1108746.1980000001</v>
      </c>
      <c r="K143" s="1466"/>
      <c r="L143" s="1540"/>
      <c r="M143" s="1540">
        <f t="shared" si="5"/>
        <v>1108746.1980000001</v>
      </c>
      <c r="N143" s="1539"/>
      <c r="O143" s="559"/>
    </row>
    <row r="144" spans="1:15" s="540" customFormat="1" ht="14.25" customHeight="1">
      <c r="A144" s="1536">
        <v>132</v>
      </c>
      <c r="B144" s="1537" t="e">
        <f>VLOOKUP(D144,'[2]DS CN MOI UP'!$B$11:$C$447,2,0)</f>
        <v>#N/A</v>
      </c>
      <c r="C144" s="1538" t="s">
        <v>651</v>
      </c>
      <c r="D144" s="1539" t="s">
        <v>737</v>
      </c>
      <c r="E144" s="1468" t="s">
        <v>15</v>
      </c>
      <c r="F144" s="166"/>
      <c r="G144" s="1540"/>
      <c r="H144" s="1466">
        <v>1108746.1980000001</v>
      </c>
      <c r="I144" s="1466"/>
      <c r="J144" s="1466">
        <f t="shared" si="4"/>
        <v>1108746.1980000001</v>
      </c>
      <c r="K144" s="1466"/>
      <c r="L144" s="1540"/>
      <c r="M144" s="1540">
        <f t="shared" si="5"/>
        <v>1108746.1980000001</v>
      </c>
      <c r="N144" s="1539"/>
      <c r="O144" s="559"/>
    </row>
    <row r="145" spans="1:15" s="540" customFormat="1" ht="14.25" customHeight="1">
      <c r="A145" s="1536">
        <v>133</v>
      </c>
      <c r="B145" s="1537" t="e">
        <f>VLOOKUP(D145,'[2]DS CN MOI UP'!$B$11:$C$447,2,0)</f>
        <v>#N/A</v>
      </c>
      <c r="C145" s="1538" t="s">
        <v>651</v>
      </c>
      <c r="D145" s="1539" t="s">
        <v>728</v>
      </c>
      <c r="E145" s="1468" t="s">
        <v>15</v>
      </c>
      <c r="F145" s="166"/>
      <c r="G145" s="1540"/>
      <c r="H145" s="1466">
        <v>1108746.1980000001</v>
      </c>
      <c r="I145" s="1466"/>
      <c r="J145" s="1466">
        <f t="shared" si="4"/>
        <v>1108746.1980000001</v>
      </c>
      <c r="K145" s="1466"/>
      <c r="L145" s="1540"/>
      <c r="M145" s="1540">
        <f t="shared" si="5"/>
        <v>1108746.1980000001</v>
      </c>
      <c r="N145" s="1539"/>
      <c r="O145" s="559"/>
    </row>
    <row r="146" spans="1:15" s="540" customFormat="1" ht="14.25" customHeight="1">
      <c r="A146" s="1536">
        <v>134</v>
      </c>
      <c r="B146" s="1537" t="e">
        <f>VLOOKUP(D146,'[2]DS CN MOI UP'!$B$11:$C$447,2,0)</f>
        <v>#N/A</v>
      </c>
      <c r="C146" s="1538" t="s">
        <v>651</v>
      </c>
      <c r="D146" s="1539" t="s">
        <v>738</v>
      </c>
      <c r="E146" s="1468" t="s">
        <v>15</v>
      </c>
      <c r="F146" s="166"/>
      <c r="G146" s="1540"/>
      <c r="H146" s="1466">
        <v>1270080.378</v>
      </c>
      <c r="I146" s="1466"/>
      <c r="J146" s="1466">
        <f t="shared" si="4"/>
        <v>1270080.378</v>
      </c>
      <c r="K146" s="1466"/>
      <c r="L146" s="1540"/>
      <c r="M146" s="1540">
        <f t="shared" si="5"/>
        <v>1270080.378</v>
      </c>
      <c r="N146" s="1539"/>
      <c r="O146" s="559"/>
    </row>
    <row r="147" spans="1:15" s="540" customFormat="1" ht="14.25" customHeight="1">
      <c r="A147" s="1536">
        <v>135</v>
      </c>
      <c r="B147" s="1537" t="e">
        <f>VLOOKUP(D147,'[2]DS CN MOI UP'!$B$11:$C$447,2,0)</f>
        <v>#N/A</v>
      </c>
      <c r="C147" s="1538" t="s">
        <v>651</v>
      </c>
      <c r="D147" s="1539" t="s">
        <v>739</v>
      </c>
      <c r="E147" s="1468" t="s">
        <v>15</v>
      </c>
      <c r="F147" s="166"/>
      <c r="G147" s="1540"/>
      <c r="H147" s="1466">
        <v>1088677.8</v>
      </c>
      <c r="I147" s="1466"/>
      <c r="J147" s="1466">
        <f t="shared" si="4"/>
        <v>1088677.8</v>
      </c>
      <c r="K147" s="1466"/>
      <c r="L147" s="1540"/>
      <c r="M147" s="1540">
        <f t="shared" si="5"/>
        <v>1088677.8</v>
      </c>
      <c r="N147" s="1539"/>
      <c r="O147" s="559"/>
    </row>
    <row r="148" spans="1:15" s="540" customFormat="1" ht="14.25" customHeight="1">
      <c r="A148" s="1536">
        <v>136</v>
      </c>
      <c r="B148" s="1537" t="e">
        <f>VLOOKUP(D148,'[2]DS CN MOI UP'!$B$11:$C$447,2,0)</f>
        <v>#N/A</v>
      </c>
      <c r="C148" s="1538" t="s">
        <v>651</v>
      </c>
      <c r="D148" s="1539" t="s">
        <v>740</v>
      </c>
      <c r="E148" s="1468" t="s">
        <v>15</v>
      </c>
      <c r="F148" s="166"/>
      <c r="G148" s="1540"/>
      <c r="H148" s="1540">
        <v>1148746.1980000001</v>
      </c>
      <c r="I148" s="1466"/>
      <c r="J148" s="1466">
        <f t="shared" si="4"/>
        <v>1148746.1980000001</v>
      </c>
      <c r="K148" s="1466"/>
      <c r="L148" s="1540"/>
      <c r="M148" s="1540">
        <f t="shared" si="5"/>
        <v>1148746.1980000001</v>
      </c>
      <c r="N148" s="1539"/>
      <c r="O148" s="559"/>
    </row>
    <row r="149" spans="1:15" s="540" customFormat="1" ht="14.25" customHeight="1">
      <c r="A149" s="1536">
        <v>137</v>
      </c>
      <c r="B149" s="1537" t="e">
        <f>VLOOKUP(D149,'[2]DS CN MOI UP'!$B$11:$C$447,2,0)</f>
        <v>#N/A</v>
      </c>
      <c r="C149" s="1538" t="s">
        <v>651</v>
      </c>
      <c r="D149" s="1539" t="s">
        <v>741</v>
      </c>
      <c r="E149" s="1468" t="s">
        <v>15</v>
      </c>
      <c r="F149" s="166"/>
      <c r="G149" s="1540"/>
      <c r="H149" s="1540">
        <v>1270080.378</v>
      </c>
      <c r="I149" s="1466"/>
      <c r="J149" s="1466">
        <f t="shared" si="4"/>
        <v>1270080.378</v>
      </c>
      <c r="K149" s="1466"/>
      <c r="L149" s="1540"/>
      <c r="M149" s="1540">
        <f t="shared" si="5"/>
        <v>1270080.378</v>
      </c>
      <c r="N149" s="1539"/>
      <c r="O149" s="559"/>
    </row>
    <row r="150" spans="1:15" s="540" customFormat="1" ht="14.25" customHeight="1">
      <c r="A150" s="1536">
        <v>138</v>
      </c>
      <c r="B150" s="1537" t="e">
        <f>VLOOKUP(D150,'[2]DS CN MOI UP'!$B$11:$C$447,2,0)</f>
        <v>#N/A</v>
      </c>
      <c r="C150" s="1538" t="s">
        <v>651</v>
      </c>
      <c r="D150" s="1539" t="s">
        <v>742</v>
      </c>
      <c r="E150" s="1468" t="s">
        <v>15</v>
      </c>
      <c r="F150" s="166"/>
      <c r="G150" s="1540"/>
      <c r="H150" s="1540">
        <v>1128677.8</v>
      </c>
      <c r="I150" s="1466"/>
      <c r="J150" s="1466">
        <f t="shared" si="4"/>
        <v>1128677.8</v>
      </c>
      <c r="K150" s="1466"/>
      <c r="L150" s="1540"/>
      <c r="M150" s="1540">
        <f t="shared" si="5"/>
        <v>1128677.8</v>
      </c>
      <c r="N150" s="1539"/>
      <c r="O150" s="559"/>
    </row>
    <row r="151" spans="1:15" s="540" customFormat="1" ht="14.25" customHeight="1">
      <c r="A151" s="1536">
        <v>139</v>
      </c>
      <c r="B151" s="1537" t="e">
        <f>VLOOKUP(D151,'[2]DS CN MOI UP'!$B$11:$C$447,2,0)</f>
        <v>#N/A</v>
      </c>
      <c r="C151" s="1538" t="s">
        <v>651</v>
      </c>
      <c r="D151" s="1539" t="s">
        <v>743</v>
      </c>
      <c r="E151" s="1468" t="s">
        <v>15</v>
      </c>
      <c r="F151" s="166"/>
      <c r="G151" s="1540"/>
      <c r="H151" s="1540">
        <v>1189145.3259999999</v>
      </c>
      <c r="I151" s="1466"/>
      <c r="J151" s="1466">
        <f t="shared" si="4"/>
        <v>1189145.3259999999</v>
      </c>
      <c r="K151" s="1466"/>
      <c r="L151" s="1540"/>
      <c r="M151" s="1540">
        <f t="shared" si="5"/>
        <v>1189145.3259999999</v>
      </c>
      <c r="N151" s="1539"/>
      <c r="O151" s="559"/>
    </row>
    <row r="152" spans="1:15" s="540" customFormat="1" ht="14.25" customHeight="1">
      <c r="A152" s="1536">
        <v>140</v>
      </c>
      <c r="B152" s="1537" t="e">
        <f>VLOOKUP(D152,'[2]DS CN MOI UP'!$B$11:$C$447,2,0)</f>
        <v>#N/A</v>
      </c>
      <c r="C152" s="1538" t="s">
        <v>651</v>
      </c>
      <c r="D152" s="1539" t="s">
        <v>744</v>
      </c>
      <c r="E152" s="1468" t="s">
        <v>15</v>
      </c>
      <c r="F152" s="166"/>
      <c r="G152" s="1540"/>
      <c r="H152" s="1540">
        <v>1249612.852</v>
      </c>
      <c r="I152" s="1466"/>
      <c r="J152" s="1466">
        <f t="shared" si="4"/>
        <v>1249612.852</v>
      </c>
      <c r="K152" s="1466"/>
      <c r="L152" s="1540"/>
      <c r="M152" s="1540">
        <f t="shared" si="5"/>
        <v>1249612.852</v>
      </c>
      <c r="N152" s="1539"/>
      <c r="O152" s="559"/>
    </row>
    <row r="153" spans="1:15" s="540" customFormat="1" ht="14.25" customHeight="1">
      <c r="A153" s="1536">
        <v>141</v>
      </c>
      <c r="B153" s="1537" t="e">
        <f>VLOOKUP(D153,'[2]DS CN MOI UP'!$B$11:$C$447,2,0)</f>
        <v>#N/A</v>
      </c>
      <c r="C153" s="1538" t="s">
        <v>651</v>
      </c>
      <c r="D153" s="1539" t="s">
        <v>745</v>
      </c>
      <c r="E153" s="1468" t="s">
        <v>15</v>
      </c>
      <c r="F153" s="166"/>
      <c r="G153" s="1540"/>
      <c r="H153" s="1540">
        <v>1159179.5249999999</v>
      </c>
      <c r="I153" s="1466"/>
      <c r="J153" s="1466">
        <f t="shared" si="4"/>
        <v>1159179.5249999999</v>
      </c>
      <c r="K153" s="1466"/>
      <c r="L153" s="1540"/>
      <c r="M153" s="1540">
        <f t="shared" si="5"/>
        <v>1159179.5249999999</v>
      </c>
      <c r="N153" s="1539"/>
      <c r="O153" s="559"/>
    </row>
    <row r="154" spans="1:15" s="540" customFormat="1" ht="14.25" customHeight="1">
      <c r="A154" s="1536">
        <v>142</v>
      </c>
      <c r="B154" s="1537" t="e">
        <f>VLOOKUP(D154,'[2]DS CN MOI UP'!$B$11:$C$447,2,0)</f>
        <v>#N/A</v>
      </c>
      <c r="C154" s="1538" t="s">
        <v>654</v>
      </c>
      <c r="D154" s="1539" t="s">
        <v>746</v>
      </c>
      <c r="E154" s="1468" t="s">
        <v>15</v>
      </c>
      <c r="F154" s="166"/>
      <c r="G154" s="1540">
        <v>50000</v>
      </c>
      <c r="H154" s="1466">
        <v>1159179.5249999999</v>
      </c>
      <c r="I154" s="1466"/>
      <c r="J154" s="1466">
        <f t="shared" si="4"/>
        <v>1209179.5249999999</v>
      </c>
      <c r="K154" s="1466"/>
      <c r="L154" s="1540"/>
      <c r="M154" s="1540">
        <f t="shared" si="5"/>
        <v>1209179.5249999999</v>
      </c>
      <c r="N154" s="1539"/>
      <c r="O154" s="559"/>
    </row>
    <row r="155" spans="1:15" s="540" customFormat="1" ht="14.25" customHeight="1">
      <c r="A155" s="1536">
        <v>143</v>
      </c>
      <c r="B155" s="1537" t="e">
        <f>VLOOKUP(D155,'[2]DS CN MOI UP'!$B$11:$C$447,2,0)</f>
        <v>#N/A</v>
      </c>
      <c r="C155" s="1538" t="s">
        <v>654</v>
      </c>
      <c r="D155" s="1539" t="s">
        <v>747</v>
      </c>
      <c r="E155" s="1468" t="s">
        <v>15</v>
      </c>
      <c r="F155" s="166"/>
      <c r="G155" s="1540">
        <f>50*25000</f>
        <v>1250000</v>
      </c>
      <c r="H155" s="1466"/>
      <c r="I155" s="1466"/>
      <c r="J155" s="1466">
        <f t="shared" si="4"/>
        <v>1250000</v>
      </c>
      <c r="K155" s="1466"/>
      <c r="L155" s="1540"/>
      <c r="M155" s="1540">
        <f t="shared" si="5"/>
        <v>1250000</v>
      </c>
      <c r="N155" s="1539"/>
      <c r="O155" s="559"/>
    </row>
    <row r="156" spans="1:15" s="540" customFormat="1" ht="14.25" customHeight="1">
      <c r="A156" s="1536">
        <v>144</v>
      </c>
      <c r="B156" s="1537" t="e">
        <f>VLOOKUP(D156,'[2]DS CN MOI UP'!$B$11:$C$447,2,0)</f>
        <v>#N/A</v>
      </c>
      <c r="C156" s="1538" t="s">
        <v>654</v>
      </c>
      <c r="D156" s="1539" t="s">
        <v>748</v>
      </c>
      <c r="E156" s="1468" t="s">
        <v>15</v>
      </c>
      <c r="F156" s="166"/>
      <c r="G156" s="1540">
        <f t="shared" ref="G156:H169" si="6">50*25000</f>
        <v>1250000</v>
      </c>
      <c r="H156" s="1466"/>
      <c r="I156" s="1466"/>
      <c r="J156" s="1466">
        <f t="shared" si="4"/>
        <v>1250000</v>
      </c>
      <c r="K156" s="1466"/>
      <c r="L156" s="1540"/>
      <c r="M156" s="1540">
        <f t="shared" si="5"/>
        <v>1250000</v>
      </c>
      <c r="N156" s="1539"/>
      <c r="O156" s="559"/>
    </row>
    <row r="157" spans="1:15" s="540" customFormat="1" ht="14.25" customHeight="1">
      <c r="A157" s="1536">
        <v>145</v>
      </c>
      <c r="B157" s="1537" t="e">
        <f>VLOOKUP(D157,'[2]DS CN MOI UP'!$B$11:$C$447,2,0)</f>
        <v>#N/A</v>
      </c>
      <c r="C157" s="1538" t="s">
        <v>654</v>
      </c>
      <c r="D157" s="1539" t="s">
        <v>749</v>
      </c>
      <c r="E157" s="1468" t="s">
        <v>15</v>
      </c>
      <c r="F157" s="166"/>
      <c r="G157" s="1540">
        <f t="shared" si="6"/>
        <v>1250000</v>
      </c>
      <c r="H157" s="1466"/>
      <c r="I157" s="1466"/>
      <c r="J157" s="1466">
        <f t="shared" si="4"/>
        <v>1250000</v>
      </c>
      <c r="K157" s="1466"/>
      <c r="L157" s="1540"/>
      <c r="M157" s="1540">
        <f t="shared" si="5"/>
        <v>1250000</v>
      </c>
      <c r="N157" s="1539"/>
      <c r="O157" s="559"/>
    </row>
    <row r="158" spans="1:15" s="540" customFormat="1" ht="14.25" customHeight="1">
      <c r="A158" s="1536">
        <v>146</v>
      </c>
      <c r="B158" s="1537" t="e">
        <f>VLOOKUP(D158,'[2]DS CN MOI UP'!$B$11:$C$447,2,0)</f>
        <v>#N/A</v>
      </c>
      <c r="C158" s="1538" t="s">
        <v>654</v>
      </c>
      <c r="D158" s="1539" t="s">
        <v>750</v>
      </c>
      <c r="E158" s="1468" t="s">
        <v>15</v>
      </c>
      <c r="F158" s="166"/>
      <c r="G158" s="1540">
        <f t="shared" si="6"/>
        <v>1250000</v>
      </c>
      <c r="H158" s="1466"/>
      <c r="I158" s="1466"/>
      <c r="J158" s="1466">
        <f t="shared" si="4"/>
        <v>1250000</v>
      </c>
      <c r="K158" s="1466"/>
      <c r="L158" s="1540"/>
      <c r="M158" s="1540">
        <f t="shared" si="5"/>
        <v>1250000</v>
      </c>
      <c r="N158" s="1539"/>
      <c r="O158" s="559"/>
    </row>
    <row r="159" spans="1:15" s="540" customFormat="1" ht="14.25" customHeight="1">
      <c r="A159" s="1536">
        <v>147</v>
      </c>
      <c r="B159" s="1537" t="e">
        <f>VLOOKUP(D159,'[2]DS CN MOI UP'!$B$11:$C$447,2,0)</f>
        <v>#N/A</v>
      </c>
      <c r="C159" s="1538" t="s">
        <v>654</v>
      </c>
      <c r="D159" s="1539" t="s">
        <v>751</v>
      </c>
      <c r="E159" s="1468" t="s">
        <v>15</v>
      </c>
      <c r="F159" s="166"/>
      <c r="G159" s="1540">
        <f t="shared" si="6"/>
        <v>1250000</v>
      </c>
      <c r="H159" s="1466"/>
      <c r="I159" s="1466"/>
      <c r="J159" s="1466">
        <f t="shared" si="4"/>
        <v>1250000</v>
      </c>
      <c r="K159" s="1466"/>
      <c r="L159" s="1540"/>
      <c r="M159" s="1540">
        <f t="shared" si="5"/>
        <v>1250000</v>
      </c>
      <c r="N159" s="1539"/>
      <c r="O159" s="559"/>
    </row>
    <row r="160" spans="1:15" s="540" customFormat="1" ht="14.25" customHeight="1">
      <c r="A160" s="1536">
        <v>148</v>
      </c>
      <c r="B160" s="1537" t="e">
        <f>VLOOKUP(D160,'[2]DS CN MOI UP'!$B$11:$C$447,2,0)</f>
        <v>#N/A</v>
      </c>
      <c r="C160" s="1538" t="s">
        <v>654</v>
      </c>
      <c r="D160" s="1539" t="s">
        <v>752</v>
      </c>
      <c r="E160" s="1468" t="s">
        <v>15</v>
      </c>
      <c r="F160" s="166"/>
      <c r="G160" s="1540">
        <f t="shared" si="6"/>
        <v>1250000</v>
      </c>
      <c r="H160" s="1466"/>
      <c r="I160" s="1466"/>
      <c r="J160" s="1466">
        <f t="shared" si="4"/>
        <v>1250000</v>
      </c>
      <c r="K160" s="1466"/>
      <c r="L160" s="1540"/>
      <c r="M160" s="1540">
        <f t="shared" si="5"/>
        <v>1250000</v>
      </c>
      <c r="N160" s="1539"/>
      <c r="O160" s="559"/>
    </row>
    <row r="161" spans="1:15" s="540" customFormat="1" ht="14.25" customHeight="1">
      <c r="A161" s="1536">
        <v>149</v>
      </c>
      <c r="B161" s="1537" t="e">
        <f>VLOOKUP(D161,'[2]DS CN MOI UP'!$B$11:$C$447,2,0)</f>
        <v>#N/A</v>
      </c>
      <c r="C161" s="1538" t="s">
        <v>654</v>
      </c>
      <c r="D161" s="1539" t="s">
        <v>753</v>
      </c>
      <c r="E161" s="1468" t="s">
        <v>15</v>
      </c>
      <c r="F161" s="166"/>
      <c r="G161" s="1540">
        <f t="shared" si="6"/>
        <v>1250000</v>
      </c>
      <c r="H161" s="1466"/>
      <c r="I161" s="1466"/>
      <c r="J161" s="1466">
        <f t="shared" si="4"/>
        <v>1250000</v>
      </c>
      <c r="K161" s="1466"/>
      <c r="L161" s="1540"/>
      <c r="M161" s="1540">
        <f t="shared" si="5"/>
        <v>1250000</v>
      </c>
      <c r="N161" s="1539"/>
      <c r="O161" s="559"/>
    </row>
    <row r="162" spans="1:15" s="540" customFormat="1" ht="14.25" customHeight="1">
      <c r="A162" s="1536">
        <v>150</v>
      </c>
      <c r="B162" s="1537" t="e">
        <f>VLOOKUP(D162,'[2]DS CN MOI UP'!$B$11:$C$447,2,0)</f>
        <v>#N/A</v>
      </c>
      <c r="C162" s="1538" t="s">
        <v>654</v>
      </c>
      <c r="D162" s="1539" t="s">
        <v>754</v>
      </c>
      <c r="E162" s="1468" t="s">
        <v>15</v>
      </c>
      <c r="F162" s="166"/>
      <c r="G162" s="1540">
        <f t="shared" si="6"/>
        <v>1250000</v>
      </c>
      <c r="H162" s="1466"/>
      <c r="I162" s="1466"/>
      <c r="J162" s="1466">
        <f t="shared" si="4"/>
        <v>1250000</v>
      </c>
      <c r="K162" s="1466"/>
      <c r="L162" s="1540"/>
      <c r="M162" s="1540">
        <f t="shared" si="5"/>
        <v>1250000</v>
      </c>
      <c r="N162" s="1539"/>
      <c r="O162" s="559"/>
    </row>
    <row r="163" spans="1:15" s="540" customFormat="1" ht="14.25" customHeight="1">
      <c r="A163" s="1536">
        <v>151</v>
      </c>
      <c r="B163" s="1537"/>
      <c r="C163" s="1538"/>
      <c r="D163" s="1539" t="s">
        <v>755</v>
      </c>
      <c r="E163" s="1468" t="s">
        <v>15</v>
      </c>
      <c r="F163" s="166"/>
      <c r="G163" s="1540"/>
      <c r="H163" s="1466"/>
      <c r="I163" s="1466">
        <v>612577.64199997496</v>
      </c>
      <c r="J163" s="1466">
        <f t="shared" ref="J163:J192" si="7">SUM(G163:I163)</f>
        <v>612577.64199997496</v>
      </c>
      <c r="K163" s="1466"/>
      <c r="L163" s="1540"/>
      <c r="M163" s="1540">
        <f t="shared" si="5"/>
        <v>612577.64199997496</v>
      </c>
      <c r="N163" s="1539"/>
      <c r="O163" s="559"/>
    </row>
    <row r="164" spans="1:15" s="540" customFormat="1" ht="14.25" customHeight="1">
      <c r="A164" s="1536">
        <v>152</v>
      </c>
      <c r="B164" s="1537"/>
      <c r="C164" s="1538"/>
      <c r="D164" s="1539" t="s">
        <v>756</v>
      </c>
      <c r="E164" s="1468" t="s">
        <v>15</v>
      </c>
      <c r="F164" s="166"/>
      <c r="G164" s="1540"/>
      <c r="H164" s="1466"/>
      <c r="I164" s="1540">
        <v>793845.76000003505</v>
      </c>
      <c r="J164" s="1466">
        <f t="shared" si="7"/>
        <v>793845.76000003505</v>
      </c>
      <c r="K164" s="1466"/>
      <c r="L164" s="1540"/>
      <c r="M164" s="1540">
        <f t="shared" si="5"/>
        <v>793845.76000003505</v>
      </c>
      <c r="N164" s="1539"/>
      <c r="O164" s="559"/>
    </row>
    <row r="165" spans="1:15" s="540" customFormat="1" ht="14.25" customHeight="1">
      <c r="A165" s="1536">
        <v>153</v>
      </c>
      <c r="B165" s="1537"/>
      <c r="C165" s="1538"/>
      <c r="D165" s="1539" t="s">
        <v>757</v>
      </c>
      <c r="E165" s="1468" t="s">
        <v>15</v>
      </c>
      <c r="F165" s="166"/>
      <c r="G165" s="1540"/>
      <c r="H165" s="1466">
        <v>1270080.378</v>
      </c>
      <c r="I165" s="1466"/>
      <c r="J165" s="1466">
        <f t="shared" si="7"/>
        <v>1270080.378</v>
      </c>
      <c r="K165" s="1466"/>
      <c r="L165" s="1540"/>
      <c r="M165" s="1540">
        <f t="shared" si="5"/>
        <v>1270080.378</v>
      </c>
      <c r="N165" s="1539"/>
      <c r="O165" s="559"/>
    </row>
    <row r="166" spans="1:15" s="540" customFormat="1" ht="14.25" customHeight="1">
      <c r="A166" s="1536">
        <v>154</v>
      </c>
      <c r="B166" s="1537"/>
      <c r="C166" s="1538"/>
      <c r="D166" s="1539" t="s">
        <v>758</v>
      </c>
      <c r="E166" s="1468" t="s">
        <v>15</v>
      </c>
      <c r="F166" s="166"/>
      <c r="G166" s="1540"/>
      <c r="H166" s="1466">
        <v>1128677.8</v>
      </c>
      <c r="I166" s="1466"/>
      <c r="J166" s="1466">
        <f t="shared" si="7"/>
        <v>1128677.8</v>
      </c>
      <c r="K166" s="1466"/>
      <c r="L166" s="1540"/>
      <c r="M166" s="1540">
        <f t="shared" si="5"/>
        <v>1128677.8</v>
      </c>
      <c r="N166" s="1539"/>
      <c r="O166" s="559"/>
    </row>
    <row r="167" spans="1:15" s="540" customFormat="1" ht="14.25" customHeight="1">
      <c r="A167" s="1536">
        <v>155</v>
      </c>
      <c r="B167" s="1537"/>
      <c r="C167" s="1538"/>
      <c r="D167" s="1539" t="s">
        <v>759</v>
      </c>
      <c r="E167" s="1468" t="s">
        <v>15</v>
      </c>
      <c r="F167" s="166"/>
      <c r="G167" s="1540"/>
      <c r="H167" s="1466">
        <v>1189145.3259999999</v>
      </c>
      <c r="I167" s="1466"/>
      <c r="J167" s="1466">
        <f t="shared" si="7"/>
        <v>1189145.3259999999</v>
      </c>
      <c r="K167" s="1466"/>
      <c r="L167" s="1540"/>
      <c r="M167" s="1540">
        <f t="shared" si="5"/>
        <v>1189145.3259999999</v>
      </c>
      <c r="N167" s="1539"/>
      <c r="O167" s="559"/>
    </row>
    <row r="168" spans="1:15" s="540" customFormat="1" ht="14.25" customHeight="1">
      <c r="A168" s="1536">
        <v>156</v>
      </c>
      <c r="B168" s="1537"/>
      <c r="C168" s="1538"/>
      <c r="D168" s="1539" t="s">
        <v>760</v>
      </c>
      <c r="E168" s="1468" t="s">
        <v>15</v>
      </c>
      <c r="F168" s="166"/>
      <c r="G168" s="1540"/>
      <c r="H168" s="1466">
        <v>1128677.8</v>
      </c>
      <c r="I168" s="1466"/>
      <c r="J168" s="1466">
        <f t="shared" si="7"/>
        <v>1128677.8</v>
      </c>
      <c r="K168" s="1466"/>
      <c r="L168" s="1540"/>
      <c r="M168" s="1540">
        <f t="shared" si="5"/>
        <v>1128677.8</v>
      </c>
      <c r="N168" s="1539"/>
      <c r="O168" s="559"/>
    </row>
    <row r="169" spans="1:15" s="540" customFormat="1" ht="14.25" customHeight="1">
      <c r="A169" s="1536">
        <v>157</v>
      </c>
      <c r="B169" s="1537"/>
      <c r="C169" s="1538"/>
      <c r="D169" s="1539" t="s">
        <v>761</v>
      </c>
      <c r="E169" s="1468" t="s">
        <v>15</v>
      </c>
      <c r="F169" s="166"/>
      <c r="G169" s="1540"/>
      <c r="H169" s="1540">
        <f t="shared" si="6"/>
        <v>1250000</v>
      </c>
      <c r="I169" s="1466"/>
      <c r="J169" s="1466">
        <f t="shared" si="7"/>
        <v>1250000</v>
      </c>
      <c r="K169" s="1466"/>
      <c r="L169" s="1540"/>
      <c r="M169" s="1540">
        <f t="shared" si="5"/>
        <v>1250000</v>
      </c>
      <c r="N169" s="1539"/>
      <c r="O169" s="559"/>
    </row>
    <row r="170" spans="1:15" s="540" customFormat="1" ht="14.25" customHeight="1">
      <c r="A170" s="1536">
        <v>158</v>
      </c>
      <c r="B170" s="1537"/>
      <c r="C170" s="1538"/>
      <c r="D170" s="1539" t="s">
        <v>762</v>
      </c>
      <c r="E170" s="1468" t="s">
        <v>15</v>
      </c>
      <c r="F170" s="166"/>
      <c r="G170" s="1540"/>
      <c r="H170" s="1466">
        <v>1148746.1980000001</v>
      </c>
      <c r="I170" s="1466"/>
      <c r="J170" s="1466">
        <f t="shared" si="7"/>
        <v>1148746.1980000001</v>
      </c>
      <c r="K170" s="1466"/>
      <c r="L170" s="1540"/>
      <c r="M170" s="1540">
        <f t="shared" si="5"/>
        <v>1148746.1980000001</v>
      </c>
      <c r="N170" s="1539"/>
      <c r="O170" s="559"/>
    </row>
    <row r="171" spans="1:15" s="540" customFormat="1" ht="14.25" customHeight="1">
      <c r="A171" s="1536">
        <v>159</v>
      </c>
      <c r="B171" s="1537"/>
      <c r="C171" s="1538"/>
      <c r="D171" s="1539" t="s">
        <v>763</v>
      </c>
      <c r="E171" s="1468" t="s">
        <v>15</v>
      </c>
      <c r="F171" s="166"/>
      <c r="G171" s="1540"/>
      <c r="H171" s="1466">
        <v>1270080.378</v>
      </c>
      <c r="I171" s="1466"/>
      <c r="J171" s="1466">
        <f t="shared" si="7"/>
        <v>1270080.378</v>
      </c>
      <c r="K171" s="1466"/>
      <c r="L171" s="1540"/>
      <c r="M171" s="1540">
        <f t="shared" si="5"/>
        <v>1270080.378</v>
      </c>
      <c r="N171" s="1539"/>
      <c r="O171" s="559"/>
    </row>
    <row r="172" spans="1:15" s="540" customFormat="1" ht="14.25" customHeight="1">
      <c r="A172" s="1536">
        <v>160</v>
      </c>
      <c r="B172" s="1537"/>
      <c r="C172" s="1538"/>
      <c r="D172" s="1539" t="s">
        <v>764</v>
      </c>
      <c r="E172" s="1468" t="s">
        <v>15</v>
      </c>
      <c r="F172" s="166"/>
      <c r="G172" s="1540"/>
      <c r="H172" s="1466">
        <v>1128677.8</v>
      </c>
      <c r="I172" s="1466"/>
      <c r="J172" s="1466">
        <f t="shared" si="7"/>
        <v>1128677.8</v>
      </c>
      <c r="K172" s="1466"/>
      <c r="L172" s="1540"/>
      <c r="M172" s="1540">
        <f t="shared" si="5"/>
        <v>1128677.8</v>
      </c>
      <c r="N172" s="1539"/>
      <c r="O172" s="559"/>
    </row>
    <row r="173" spans="1:15" s="540" customFormat="1" ht="14.25" customHeight="1">
      <c r="A173" s="1536">
        <v>161</v>
      </c>
      <c r="B173" s="1537"/>
      <c r="C173" s="1538"/>
      <c r="D173" s="1539" t="s">
        <v>765</v>
      </c>
      <c r="E173" s="1468" t="s">
        <v>15</v>
      </c>
      <c r="F173" s="166"/>
      <c r="G173" s="1540"/>
      <c r="H173" s="1466">
        <v>1189145.3259999999</v>
      </c>
      <c r="I173" s="1466"/>
      <c r="J173" s="1466">
        <f t="shared" si="7"/>
        <v>1189145.3259999999</v>
      </c>
      <c r="K173" s="1466"/>
      <c r="L173" s="1540"/>
      <c r="M173" s="1540">
        <f t="shared" si="5"/>
        <v>1189145.3259999999</v>
      </c>
      <c r="N173" s="1539"/>
      <c r="O173" s="559"/>
    </row>
    <row r="174" spans="1:15" s="540" customFormat="1" ht="14.25" customHeight="1">
      <c r="A174" s="1536">
        <v>162</v>
      </c>
      <c r="B174" s="1537"/>
      <c r="C174" s="1538"/>
      <c r="D174" s="1539" t="s">
        <v>766</v>
      </c>
      <c r="E174" s="1468" t="s">
        <v>15</v>
      </c>
      <c r="F174" s="166"/>
      <c r="G174" s="1540"/>
      <c r="H174" s="1466">
        <v>1128677.8</v>
      </c>
      <c r="I174" s="1466"/>
      <c r="J174" s="1466">
        <f t="shared" si="7"/>
        <v>1128677.8</v>
      </c>
      <c r="K174" s="1466"/>
      <c r="L174" s="1540"/>
      <c r="M174" s="1540">
        <f t="shared" si="5"/>
        <v>1128677.8</v>
      </c>
      <c r="N174" s="1539"/>
      <c r="O174" s="559"/>
    </row>
    <row r="175" spans="1:15" s="540" customFormat="1" ht="14.25" customHeight="1">
      <c r="A175" s="1536">
        <v>163</v>
      </c>
      <c r="B175" s="1537"/>
      <c r="C175" s="1538"/>
      <c r="D175" s="1539" t="s">
        <v>767</v>
      </c>
      <c r="E175" s="1468" t="s">
        <v>15</v>
      </c>
      <c r="F175" s="166"/>
      <c r="G175" s="1540"/>
      <c r="H175" s="1466">
        <v>1128677.8</v>
      </c>
      <c r="I175" s="1466"/>
      <c r="J175" s="1466">
        <f t="shared" si="7"/>
        <v>1128677.8</v>
      </c>
      <c r="K175" s="1466"/>
      <c r="L175" s="1540"/>
      <c r="M175" s="1540">
        <f t="shared" si="5"/>
        <v>1128677.8</v>
      </c>
      <c r="N175" s="1539"/>
      <c r="O175" s="559"/>
    </row>
    <row r="176" spans="1:15" s="540" customFormat="1" ht="14.25" customHeight="1">
      <c r="A176" s="1536">
        <v>164</v>
      </c>
      <c r="B176" s="1537"/>
      <c r="C176" s="1538"/>
      <c r="D176" s="1539" t="s">
        <v>768</v>
      </c>
      <c r="E176" s="1468" t="s">
        <v>15</v>
      </c>
      <c r="F176" s="166"/>
      <c r="G176" s="1540"/>
      <c r="H176" s="1466">
        <v>1270080.378</v>
      </c>
      <c r="I176" s="1466"/>
      <c r="J176" s="1466">
        <f t="shared" si="7"/>
        <v>1270080.378</v>
      </c>
      <c r="K176" s="1466"/>
      <c r="L176" s="1540"/>
      <c r="M176" s="1540">
        <f t="shared" si="5"/>
        <v>1270080.378</v>
      </c>
      <c r="N176" s="1539"/>
      <c r="O176" s="559"/>
    </row>
    <row r="177" spans="1:16" s="540" customFormat="1" ht="14.25" customHeight="1">
      <c r="A177" s="1536">
        <v>165</v>
      </c>
      <c r="B177" s="1537"/>
      <c r="C177" s="1538"/>
      <c r="D177" s="1539" t="s">
        <v>769</v>
      </c>
      <c r="E177" s="1468" t="s">
        <v>15</v>
      </c>
      <c r="F177" s="166"/>
      <c r="G177" s="1540"/>
      <c r="H177" s="1466">
        <v>1128677.8</v>
      </c>
      <c r="I177" s="1466"/>
      <c r="J177" s="1466">
        <f t="shared" si="7"/>
        <v>1128677.8</v>
      </c>
      <c r="K177" s="1466"/>
      <c r="L177" s="1540"/>
      <c r="M177" s="1540">
        <f t="shared" si="5"/>
        <v>1128677.8</v>
      </c>
      <c r="N177" s="1539"/>
      <c r="O177" s="559"/>
    </row>
    <row r="178" spans="1:16" s="540" customFormat="1" ht="14.25" customHeight="1">
      <c r="A178" s="1536">
        <v>166</v>
      </c>
      <c r="B178" s="1537"/>
      <c r="C178" s="1538"/>
      <c r="D178" s="1539" t="s">
        <v>770</v>
      </c>
      <c r="E178" s="1468" t="s">
        <v>15</v>
      </c>
      <c r="F178" s="166"/>
      <c r="G178" s="1540"/>
      <c r="H178" s="1466">
        <v>1189145.3259999999</v>
      </c>
      <c r="I178" s="1466"/>
      <c r="J178" s="1466">
        <f t="shared" si="7"/>
        <v>1189145.3259999999</v>
      </c>
      <c r="K178" s="1466"/>
      <c r="L178" s="1540"/>
      <c r="M178" s="1540">
        <f t="shared" si="5"/>
        <v>1189145.3259999999</v>
      </c>
      <c r="N178" s="1539"/>
      <c r="O178" s="559"/>
    </row>
    <row r="179" spans="1:16" s="540" customFormat="1" ht="14.25" customHeight="1">
      <c r="A179" s="1536">
        <v>167</v>
      </c>
      <c r="B179" s="1537"/>
      <c r="C179" s="1538"/>
      <c r="D179" s="1539" t="s">
        <v>771</v>
      </c>
      <c r="E179" s="1468" t="s">
        <v>15</v>
      </c>
      <c r="F179" s="166"/>
      <c r="G179" s="1540"/>
      <c r="H179" s="1466">
        <v>1108746.1980000001</v>
      </c>
      <c r="I179" s="1466"/>
      <c r="J179" s="1466">
        <f t="shared" si="7"/>
        <v>1108746.1980000001</v>
      </c>
      <c r="K179" s="1466"/>
      <c r="L179" s="1540"/>
      <c r="M179" s="1540">
        <f t="shared" si="5"/>
        <v>1108746.1980000001</v>
      </c>
      <c r="N179" s="1539"/>
      <c r="O179" s="559"/>
    </row>
    <row r="180" spans="1:16" s="540" customFormat="1" ht="14.25" customHeight="1">
      <c r="A180" s="1536">
        <v>168</v>
      </c>
      <c r="B180" s="1537"/>
      <c r="C180" s="1538"/>
      <c r="D180" s="1539" t="s">
        <v>772</v>
      </c>
      <c r="E180" s="1468" t="s">
        <v>15</v>
      </c>
      <c r="F180" s="166"/>
      <c r="G180" s="1540"/>
      <c r="H180" s="1466">
        <v>1270080.378</v>
      </c>
      <c r="I180" s="1466"/>
      <c r="J180" s="1466">
        <f t="shared" si="7"/>
        <v>1270080.378</v>
      </c>
      <c r="K180" s="1466"/>
      <c r="L180" s="1540"/>
      <c r="M180" s="1540">
        <f t="shared" si="5"/>
        <v>1270080.378</v>
      </c>
      <c r="N180" s="1539"/>
      <c r="O180" s="559"/>
    </row>
    <row r="181" spans="1:16" s="540" customFormat="1" ht="14.25" customHeight="1">
      <c r="A181" s="1536">
        <v>169</v>
      </c>
      <c r="B181" s="1537"/>
      <c r="C181" s="1538"/>
      <c r="D181" s="1539" t="s">
        <v>773</v>
      </c>
      <c r="E181" s="1468" t="s">
        <v>15</v>
      </c>
      <c r="F181" s="166"/>
      <c r="G181" s="1540"/>
      <c r="H181" s="1466">
        <v>1088677.8</v>
      </c>
      <c r="I181" s="1466"/>
      <c r="J181" s="1466">
        <f t="shared" si="7"/>
        <v>1088677.8</v>
      </c>
      <c r="K181" s="1466"/>
      <c r="L181" s="1540"/>
      <c r="M181" s="1540">
        <f t="shared" si="5"/>
        <v>1088677.8</v>
      </c>
      <c r="N181" s="1539"/>
      <c r="O181" s="559"/>
    </row>
    <row r="182" spans="1:16" s="540" customFormat="1" ht="14.25" customHeight="1">
      <c r="A182" s="1536">
        <v>170</v>
      </c>
      <c r="B182" s="1537"/>
      <c r="C182" s="1538"/>
      <c r="D182" s="1539" t="s">
        <v>774</v>
      </c>
      <c r="E182" s="1468" t="s">
        <v>15</v>
      </c>
      <c r="F182" s="166"/>
      <c r="G182" s="1540"/>
      <c r="H182" s="1466">
        <v>1149145.3259999999</v>
      </c>
      <c r="I182" s="1466"/>
      <c r="J182" s="1466">
        <f t="shared" si="7"/>
        <v>1149145.3259999999</v>
      </c>
      <c r="K182" s="1466"/>
      <c r="L182" s="1540"/>
      <c r="M182" s="1540">
        <f t="shared" si="5"/>
        <v>1149145.3259999999</v>
      </c>
      <c r="N182" s="1539"/>
      <c r="O182" s="559"/>
    </row>
    <row r="183" spans="1:16" s="540" customFormat="1" ht="14.25" customHeight="1">
      <c r="A183" s="1536">
        <v>171</v>
      </c>
      <c r="B183" s="1537"/>
      <c r="C183" s="1538"/>
      <c r="D183" s="1539" t="s">
        <v>775</v>
      </c>
      <c r="E183" s="1468" t="s">
        <v>15</v>
      </c>
      <c r="F183" s="166"/>
      <c r="G183" s="1540"/>
      <c r="H183" s="1466">
        <v>1209612.852</v>
      </c>
      <c r="I183" s="1466"/>
      <c r="J183" s="1466">
        <f t="shared" si="7"/>
        <v>1209612.852</v>
      </c>
      <c r="K183" s="1466"/>
      <c r="L183" s="1540"/>
      <c r="M183" s="1540">
        <f t="shared" si="5"/>
        <v>1209612.852</v>
      </c>
      <c r="N183" s="1539"/>
      <c r="O183" s="559"/>
    </row>
    <row r="184" spans="1:16" s="540" customFormat="1" ht="14.25" customHeight="1">
      <c r="A184" s="1536">
        <v>172</v>
      </c>
      <c r="B184" s="1537"/>
      <c r="C184" s="1538"/>
      <c r="D184" s="1539" t="s">
        <v>776</v>
      </c>
      <c r="E184" s="1468" t="s">
        <v>15</v>
      </c>
      <c r="F184" s="166"/>
      <c r="G184" s="1540"/>
      <c r="H184" s="1466">
        <v>1169213.7239999999</v>
      </c>
      <c r="I184" s="1466"/>
      <c r="J184" s="1466">
        <f t="shared" si="7"/>
        <v>1169213.7239999999</v>
      </c>
      <c r="K184" s="1466"/>
      <c r="L184" s="1540"/>
      <c r="M184" s="1540">
        <f t="shared" si="5"/>
        <v>1169213.7239999999</v>
      </c>
      <c r="N184" s="1539"/>
      <c r="O184" s="559"/>
    </row>
    <row r="185" spans="1:16" s="540" customFormat="1" ht="14.25" customHeight="1">
      <c r="A185" s="1536">
        <v>173</v>
      </c>
      <c r="B185" s="1537"/>
      <c r="C185" s="1538"/>
      <c r="D185" s="1539" t="s">
        <v>777</v>
      </c>
      <c r="E185" s="1468" t="s">
        <v>15</v>
      </c>
      <c r="F185" s="166"/>
      <c r="G185" s="1540"/>
      <c r="H185" s="1466">
        <v>1270080.378</v>
      </c>
      <c r="I185" s="1466"/>
      <c r="J185" s="1466">
        <f t="shared" si="7"/>
        <v>1270080.378</v>
      </c>
      <c r="K185" s="1466"/>
      <c r="L185" s="1540"/>
      <c r="M185" s="1540">
        <f t="shared" si="5"/>
        <v>1270080.378</v>
      </c>
      <c r="N185" s="1539"/>
      <c r="O185" s="559"/>
    </row>
    <row r="186" spans="1:16" s="540" customFormat="1" ht="14.25" customHeight="1">
      <c r="A186" s="1536">
        <v>174</v>
      </c>
      <c r="B186" s="1537"/>
      <c r="C186" s="1538"/>
      <c r="D186" s="1539" t="s">
        <v>778</v>
      </c>
      <c r="E186" s="1468" t="s">
        <v>15</v>
      </c>
      <c r="F186" s="166"/>
      <c r="G186" s="1540">
        <v>200000</v>
      </c>
      <c r="H186" s="1466">
        <f>-O186</f>
        <v>432176.21855245502</v>
      </c>
      <c r="I186" s="1466">
        <v>618297.51399998495</v>
      </c>
      <c r="J186" s="1466">
        <f t="shared" si="7"/>
        <v>1250473.7325524399</v>
      </c>
      <c r="K186" s="1466"/>
      <c r="L186" s="1540"/>
      <c r="M186" s="1540">
        <f t="shared" si="5"/>
        <v>1250473.7325524399</v>
      </c>
      <c r="N186" s="1539"/>
      <c r="O186" s="559">
        <v>-432176.21855245502</v>
      </c>
      <c r="P186" s="540">
        <v>490448.68400001503</v>
      </c>
    </row>
    <row r="187" spans="1:16" s="540" customFormat="1" ht="14.25" customHeight="1">
      <c r="A187" s="1536">
        <v>175</v>
      </c>
      <c r="B187" s="1537"/>
      <c r="C187" s="1538"/>
      <c r="D187" s="1539" t="s">
        <v>415</v>
      </c>
      <c r="E187" s="1468" t="s">
        <v>15</v>
      </c>
      <c r="F187" s="166"/>
      <c r="G187" s="1540">
        <v>100000</v>
      </c>
      <c r="H187" s="1466"/>
      <c r="I187" s="1466">
        <v>1169213.7239999999</v>
      </c>
      <c r="J187" s="1466">
        <f t="shared" si="7"/>
        <v>1269213.7239999999</v>
      </c>
      <c r="K187" s="1466"/>
      <c r="L187" s="1540"/>
      <c r="M187" s="1540">
        <f t="shared" ref="M187:M192" si="8">J187-L187</f>
        <v>1269213.7239999999</v>
      </c>
      <c r="N187" s="1539"/>
      <c r="O187" s="559"/>
    </row>
    <row r="188" spans="1:16" s="540" customFormat="1" ht="14.25" customHeight="1">
      <c r="A188" s="1536">
        <v>176</v>
      </c>
      <c r="B188" s="1537"/>
      <c r="C188" s="1538"/>
      <c r="D188" s="1539" t="s">
        <v>779</v>
      </c>
      <c r="E188" s="1468" t="s">
        <v>15</v>
      </c>
      <c r="F188" s="166"/>
      <c r="G188" s="1540">
        <v>71000</v>
      </c>
      <c r="H188" s="1466"/>
      <c r="I188" s="1466">
        <v>1169213.7239999999</v>
      </c>
      <c r="J188" s="1466">
        <f t="shared" si="7"/>
        <v>1240213.7239999999</v>
      </c>
      <c r="K188" s="1466"/>
      <c r="L188" s="1540"/>
      <c r="M188" s="1540">
        <f t="shared" si="8"/>
        <v>1240213.7239999999</v>
      </c>
      <c r="N188" s="1539"/>
      <c r="O188" s="559"/>
    </row>
    <row r="189" spans="1:16" s="540" customFormat="1" ht="14.25" customHeight="1">
      <c r="A189" s="1536">
        <v>177</v>
      </c>
      <c r="B189" s="1537"/>
      <c r="C189" s="1538"/>
      <c r="D189" s="1539" t="s">
        <v>780</v>
      </c>
      <c r="E189" s="1468" t="s">
        <v>15</v>
      </c>
      <c r="F189" s="166"/>
      <c r="G189" s="1540"/>
      <c r="H189" s="1466"/>
      <c r="I189" s="1466">
        <v>1108746.1980000001</v>
      </c>
      <c r="J189" s="1466">
        <f t="shared" si="7"/>
        <v>1108746.1980000001</v>
      </c>
      <c r="K189" s="1466"/>
      <c r="L189" s="1540"/>
      <c r="M189" s="1540">
        <f t="shared" si="8"/>
        <v>1108746.1980000001</v>
      </c>
      <c r="N189" s="1539"/>
      <c r="O189" s="559"/>
    </row>
    <row r="190" spans="1:16" s="540" customFormat="1" ht="14.25" customHeight="1">
      <c r="A190" s="1536">
        <v>178</v>
      </c>
      <c r="B190" s="1537"/>
      <c r="C190" s="1538"/>
      <c r="D190" s="1539" t="s">
        <v>781</v>
      </c>
      <c r="E190" s="1468" t="s">
        <v>15</v>
      </c>
      <c r="F190" s="166"/>
      <c r="G190" s="1540"/>
      <c r="H190" s="1466"/>
      <c r="I190" s="1466">
        <v>1169213.7239999999</v>
      </c>
      <c r="J190" s="1466">
        <f t="shared" si="7"/>
        <v>1169213.7239999999</v>
      </c>
      <c r="K190" s="1466"/>
      <c r="L190" s="1540"/>
      <c r="M190" s="1540">
        <f t="shared" si="8"/>
        <v>1169213.7239999999</v>
      </c>
      <c r="N190" s="1539"/>
      <c r="O190" s="559"/>
    </row>
    <row r="191" spans="1:16" s="540" customFormat="1" ht="14.25" customHeight="1">
      <c r="A191" s="1536">
        <v>179</v>
      </c>
      <c r="B191" s="1537"/>
      <c r="C191" s="1538"/>
      <c r="D191" s="1539" t="s">
        <v>782</v>
      </c>
      <c r="E191" s="1468" t="s">
        <v>15</v>
      </c>
      <c r="F191" s="166"/>
      <c r="G191" s="1540"/>
      <c r="H191" s="1466"/>
      <c r="I191" s="1466">
        <v>1169213.7239999999</v>
      </c>
      <c r="J191" s="1466">
        <f t="shared" si="7"/>
        <v>1169213.7239999999</v>
      </c>
      <c r="K191" s="1466"/>
      <c r="L191" s="1540"/>
      <c r="M191" s="1540">
        <f t="shared" si="8"/>
        <v>1169213.7239999999</v>
      </c>
      <c r="N191" s="1539"/>
      <c r="O191" s="559"/>
    </row>
    <row r="192" spans="1:16" s="540" customFormat="1" ht="14.25" customHeight="1">
      <c r="A192" s="1536">
        <v>180</v>
      </c>
      <c r="B192" s="1537"/>
      <c r="C192" s="1538"/>
      <c r="D192" s="1539" t="s">
        <v>783</v>
      </c>
      <c r="E192" s="1468" t="s">
        <v>15</v>
      </c>
      <c r="F192" s="166"/>
      <c r="G192" s="1540"/>
      <c r="H192" s="1466"/>
      <c r="I192" s="1466">
        <v>1108746.1980000001</v>
      </c>
      <c r="J192" s="1466">
        <f t="shared" si="7"/>
        <v>1108746.1980000001</v>
      </c>
      <c r="K192" s="1466"/>
      <c r="L192" s="1540"/>
      <c r="M192" s="1540">
        <f t="shared" si="8"/>
        <v>1108746.1980000001</v>
      </c>
      <c r="N192" s="1539"/>
      <c r="O192" s="559"/>
    </row>
    <row r="193" spans="1:18" s="541" customFormat="1" ht="14.25" customHeight="1">
      <c r="A193" s="1543" t="s">
        <v>427</v>
      </c>
      <c r="B193" s="1537" t="e">
        <f>VLOOKUP(A193,'[2]DS CN MOI UP'!$B$11:$C$447,2,0)</f>
        <v>#N/A</v>
      </c>
      <c r="C193" s="1543"/>
      <c r="E193" s="1543"/>
      <c r="F193" s="1543"/>
      <c r="G193" s="1205">
        <f t="shared" ref="G193:M193" si="9">SUM(G13:G192)</f>
        <v>13861000</v>
      </c>
      <c r="H193" s="1205">
        <f t="shared" si="9"/>
        <v>128784660.506852</v>
      </c>
      <c r="I193" s="1205">
        <f t="shared" si="9"/>
        <v>55401912</v>
      </c>
      <c r="J193" s="1205">
        <f t="shared" si="9"/>
        <v>198047572.506852</v>
      </c>
      <c r="K193" s="1205">
        <f t="shared" si="9"/>
        <v>0</v>
      </c>
      <c r="L193" s="1205">
        <f t="shared" si="9"/>
        <v>0</v>
      </c>
      <c r="M193" s="1205">
        <f t="shared" si="9"/>
        <v>198047572.506852</v>
      </c>
      <c r="N193" s="1544"/>
      <c r="O193" s="560" t="e">
        <f>'LƯƠNG CNTT'!#REF!</f>
        <v>#REF!</v>
      </c>
      <c r="P193" s="560" t="e">
        <f>'LƯƠNG CNTT'!#REF!</f>
        <v>#REF!</v>
      </c>
      <c r="Q193" s="560" t="e">
        <f>'LƯƠNG CNTT'!#REF!</f>
        <v>#REF!</v>
      </c>
      <c r="R193" s="560" t="e">
        <f>'LƯƠNG CNTT'!#REF!</f>
        <v>#REF!</v>
      </c>
    </row>
    <row r="194" spans="1:18" s="540" customFormat="1" ht="14.25" customHeight="1">
      <c r="A194" s="1536">
        <v>1</v>
      </c>
      <c r="B194" s="1537" t="e">
        <f>VLOOKUP(D194,'[2]DS CN MOI UP'!$B$11:$C$447,2,0)</f>
        <v>#N/A</v>
      </c>
      <c r="C194" s="1538" t="s">
        <v>784</v>
      </c>
      <c r="D194" s="166" t="s">
        <v>755</v>
      </c>
      <c r="E194" s="1468" t="s">
        <v>15</v>
      </c>
      <c r="F194" s="1468"/>
      <c r="G194" s="1540"/>
      <c r="H194" s="1540">
        <v>554373.09900000005</v>
      </c>
      <c r="I194" s="1540">
        <v>554373.09900000005</v>
      </c>
      <c r="J194" s="1466">
        <f t="shared" ref="J194:J409" si="10">SUM(G194:I194)</f>
        <v>1108746.1980000001</v>
      </c>
      <c r="K194" s="1466"/>
      <c r="L194" s="1466"/>
      <c r="M194" s="1540">
        <f t="shared" ref="M194:M356" si="11">J194-L194</f>
        <v>1108746.1980000001</v>
      </c>
      <c r="N194" s="166"/>
      <c r="O194" s="559" t="e">
        <f>+G193-O193</f>
        <v>#REF!</v>
      </c>
      <c r="P194" s="559" t="e">
        <f>+H193-P193</f>
        <v>#REF!</v>
      </c>
      <c r="Q194" s="559" t="e">
        <f>+I193-Q193</f>
        <v>#REF!</v>
      </c>
    </row>
    <row r="195" spans="1:18" s="540" customFormat="1" ht="14.25" customHeight="1">
      <c r="A195" s="1536">
        <v>2</v>
      </c>
      <c r="B195" s="1537"/>
      <c r="C195" s="1538" t="s">
        <v>648</v>
      </c>
      <c r="D195" s="1539" t="s">
        <v>785</v>
      </c>
      <c r="E195" s="166" t="s">
        <v>15</v>
      </c>
      <c r="F195" s="166"/>
      <c r="G195" s="1540"/>
      <c r="H195" s="1540">
        <v>554373.09900000005</v>
      </c>
      <c r="I195" s="1540">
        <v>554373.09900000005</v>
      </c>
      <c r="J195" s="1466">
        <f>SUM(G195:I195)</f>
        <v>1108746.1980000001</v>
      </c>
      <c r="K195" s="1466"/>
      <c r="L195" s="1540"/>
      <c r="M195" s="1540">
        <f t="shared" si="11"/>
        <v>1108746.1980000001</v>
      </c>
      <c r="N195" s="1539"/>
      <c r="O195" s="559">
        <v>120218000</v>
      </c>
      <c r="P195" s="540">
        <v>152682881.62961999</v>
      </c>
      <c r="Q195" s="540">
        <v>47889267.193999998</v>
      </c>
      <c r="R195" s="540">
        <v>320790148.82362002</v>
      </c>
    </row>
    <row r="196" spans="1:18" s="540" customFormat="1" ht="14.25" customHeight="1">
      <c r="A196" s="1536">
        <v>3</v>
      </c>
      <c r="B196" s="1537" t="e">
        <f>VLOOKUP(D196,'[2]DS CN MOI UP'!$B$11:$C$447,2,0)</f>
        <v>#N/A</v>
      </c>
      <c r="C196" s="1538" t="s">
        <v>650</v>
      </c>
      <c r="D196" s="1539" t="s">
        <v>786</v>
      </c>
      <c r="E196" s="166" t="s">
        <v>15</v>
      </c>
      <c r="F196" s="166"/>
      <c r="G196" s="1540"/>
      <c r="H196" s="1540">
        <v>635040.18900000001</v>
      </c>
      <c r="I196" s="1540">
        <v>635040.18900000001</v>
      </c>
      <c r="J196" s="1466">
        <f t="shared" si="10"/>
        <v>1270080.378</v>
      </c>
      <c r="K196" s="1466"/>
      <c r="L196" s="1540"/>
      <c r="M196" s="1540">
        <f t="shared" si="11"/>
        <v>1270080.378</v>
      </c>
      <c r="N196" s="1539"/>
      <c r="O196" s="559"/>
    </row>
    <row r="197" spans="1:18" s="540" customFormat="1" ht="14.25" customHeight="1">
      <c r="A197" s="1536">
        <v>4</v>
      </c>
      <c r="B197" s="1537" t="e">
        <f>VLOOKUP(D197,'[2]DS CN MOI UP'!$B$11:$C$447,2,0)</f>
        <v>#N/A</v>
      </c>
      <c r="C197" s="1538" t="s">
        <v>651</v>
      </c>
      <c r="D197" s="1539" t="s">
        <v>787</v>
      </c>
      <c r="E197" s="166" t="s">
        <v>15</v>
      </c>
      <c r="F197" s="166"/>
      <c r="G197" s="1540"/>
      <c r="H197" s="1540">
        <v>544338.9</v>
      </c>
      <c r="I197" s="1540">
        <v>544338.9</v>
      </c>
      <c r="J197" s="1466">
        <f t="shared" si="10"/>
        <v>1088677.8</v>
      </c>
      <c r="K197" s="1466"/>
      <c r="L197" s="1540"/>
      <c r="M197" s="1540">
        <f t="shared" si="11"/>
        <v>1088677.8</v>
      </c>
      <c r="N197" s="1539"/>
      <c r="O197" s="559"/>
      <c r="P197" s="559"/>
    </row>
    <row r="198" spans="1:18" s="540" customFormat="1" ht="14.25" customHeight="1">
      <c r="A198" s="1536">
        <v>5</v>
      </c>
      <c r="B198" s="1537" t="e">
        <f>VLOOKUP(D198,'[2]DS CN MOI UP'!$B$11:$C$447,2,0)</f>
        <v>#N/A</v>
      </c>
      <c r="C198" s="1538" t="s">
        <v>651</v>
      </c>
      <c r="D198" s="1539" t="s">
        <v>788</v>
      </c>
      <c r="E198" s="166" t="s">
        <v>15</v>
      </c>
      <c r="F198" s="166"/>
      <c r="G198" s="1540"/>
      <c r="H198" s="1540">
        <v>574572.66299999994</v>
      </c>
      <c r="I198" s="1540">
        <v>574572.66299999994</v>
      </c>
      <c r="J198" s="1466">
        <f t="shared" si="10"/>
        <v>1149145.3259999999</v>
      </c>
      <c r="K198" s="1466"/>
      <c r="L198" s="1540"/>
      <c r="M198" s="1540">
        <f t="shared" si="11"/>
        <v>1149145.3259999999</v>
      </c>
      <c r="N198" s="1539"/>
      <c r="O198" s="559"/>
    </row>
    <row r="199" spans="1:18" s="540" customFormat="1" ht="14.25" customHeight="1">
      <c r="A199" s="1536">
        <v>6</v>
      </c>
      <c r="B199" s="1537" t="e">
        <f>VLOOKUP(D199,'[2]DS CN MOI UP'!$B$11:$C$447,2,0)</f>
        <v>#N/A</v>
      </c>
      <c r="C199" s="1538" t="s">
        <v>651</v>
      </c>
      <c r="D199" s="1539" t="s">
        <v>789</v>
      </c>
      <c r="E199" s="166" t="s">
        <v>15</v>
      </c>
      <c r="F199" s="166"/>
      <c r="G199" s="1540"/>
      <c r="H199" s="1540">
        <v>604806.42599999998</v>
      </c>
      <c r="I199" s="1540">
        <v>604806.42599999998</v>
      </c>
      <c r="J199" s="1466">
        <f t="shared" si="10"/>
        <v>1209612.852</v>
      </c>
      <c r="K199" s="1466"/>
      <c r="L199" s="1540"/>
      <c r="M199" s="1540">
        <f t="shared" si="11"/>
        <v>1209612.852</v>
      </c>
      <c r="N199" s="1539"/>
      <c r="O199" s="559"/>
    </row>
    <row r="200" spans="1:18" s="540" customFormat="1" ht="14.25" customHeight="1">
      <c r="A200" s="1536">
        <v>7</v>
      </c>
      <c r="B200" s="1537" t="e">
        <f>VLOOKUP(D200,'[2]DS CN MOI UP'!$B$11:$C$447,2,0)</f>
        <v>#N/A</v>
      </c>
      <c r="C200" s="1538" t="s">
        <v>651</v>
      </c>
      <c r="D200" s="1539" t="s">
        <v>790</v>
      </c>
      <c r="E200" s="166" t="s">
        <v>15</v>
      </c>
      <c r="F200" s="166"/>
      <c r="G200" s="1540"/>
      <c r="H200" s="1540">
        <v>584606.86199999996</v>
      </c>
      <c r="I200" s="1540">
        <v>584606.86199999996</v>
      </c>
      <c r="J200" s="1466">
        <f t="shared" si="10"/>
        <v>1169213.7239999999</v>
      </c>
      <c r="K200" s="1466"/>
      <c r="L200" s="1540"/>
      <c r="M200" s="1540">
        <f t="shared" si="11"/>
        <v>1169213.7239999999</v>
      </c>
      <c r="N200" s="1539"/>
      <c r="O200" s="559"/>
    </row>
    <row r="201" spans="1:18" s="540" customFormat="1" ht="14.25" customHeight="1">
      <c r="A201" s="1536">
        <v>8</v>
      </c>
      <c r="B201" s="1537" t="e">
        <f>VLOOKUP(D201,'[2]DS CN MOI UP'!$B$11:$C$447,2,0)</f>
        <v>#N/A</v>
      </c>
      <c r="C201" s="1538" t="s">
        <v>651</v>
      </c>
      <c r="D201" s="1539" t="s">
        <v>791</v>
      </c>
      <c r="E201" s="166" t="s">
        <v>15</v>
      </c>
      <c r="F201" s="166"/>
      <c r="G201" s="1540"/>
      <c r="H201" s="1540">
        <v>635040.18900000001</v>
      </c>
      <c r="I201" s="1540">
        <v>635040.18900000001</v>
      </c>
      <c r="J201" s="1466">
        <f t="shared" si="10"/>
        <v>1270080.378</v>
      </c>
      <c r="K201" s="1466"/>
      <c r="L201" s="1540"/>
      <c r="M201" s="1540">
        <f t="shared" si="11"/>
        <v>1270080.378</v>
      </c>
      <c r="N201" s="1539"/>
      <c r="O201" s="559"/>
    </row>
    <row r="202" spans="1:18" s="540" customFormat="1" ht="14.25" customHeight="1">
      <c r="A202" s="1536">
        <v>9</v>
      </c>
      <c r="B202" s="1537" t="e">
        <f>VLOOKUP(D202,'[2]DS CN MOI UP'!$B$11:$C$447,2,0)</f>
        <v>#N/A</v>
      </c>
      <c r="C202" s="1538" t="s">
        <v>651</v>
      </c>
      <c r="D202" s="1539" t="s">
        <v>792</v>
      </c>
      <c r="E202" s="166" t="s">
        <v>15</v>
      </c>
      <c r="F202" s="166"/>
      <c r="G202" s="1540"/>
      <c r="H202" s="1540">
        <v>524139.33600000001</v>
      </c>
      <c r="I202" s="1540">
        <v>524139.33600000001</v>
      </c>
      <c r="J202" s="1466">
        <f t="shared" si="10"/>
        <v>1048278.672</v>
      </c>
      <c r="K202" s="1466"/>
      <c r="L202" s="1540"/>
      <c r="M202" s="1540">
        <f t="shared" si="11"/>
        <v>1048278.672</v>
      </c>
      <c r="N202" s="1539"/>
      <c r="O202" s="559"/>
    </row>
    <row r="203" spans="1:18" s="540" customFormat="1" ht="14.25" customHeight="1">
      <c r="A203" s="1536">
        <v>10</v>
      </c>
      <c r="B203" s="1537" t="e">
        <f>VLOOKUP(D203,'[2]DS CN MOI UP'!$B$11:$C$447,2,0)</f>
        <v>#N/A</v>
      </c>
      <c r="C203" s="1538" t="s">
        <v>651</v>
      </c>
      <c r="D203" s="1539" t="s">
        <v>793</v>
      </c>
      <c r="E203" s="166" t="s">
        <v>15</v>
      </c>
      <c r="F203" s="166"/>
      <c r="G203" s="1540"/>
      <c r="H203" s="1540">
        <v>554373.09900000005</v>
      </c>
      <c r="I203" s="1540">
        <v>554373.09900000005</v>
      </c>
      <c r="J203" s="1466">
        <f t="shared" si="10"/>
        <v>1108746.1980000001</v>
      </c>
      <c r="K203" s="1466"/>
      <c r="L203" s="1540"/>
      <c r="M203" s="1540">
        <f t="shared" si="11"/>
        <v>1108746.1980000001</v>
      </c>
      <c r="N203" s="1539"/>
      <c r="O203" s="559"/>
    </row>
    <row r="204" spans="1:18" s="540" customFormat="1" ht="14.25" customHeight="1">
      <c r="A204" s="1536">
        <v>11</v>
      </c>
      <c r="B204" s="1537" t="e">
        <f>VLOOKUP(D204,'[2]DS CN MOI UP'!$B$11:$C$447,2,0)</f>
        <v>#N/A</v>
      </c>
      <c r="C204" s="1538" t="s">
        <v>651</v>
      </c>
      <c r="D204" s="1539" t="s">
        <v>794</v>
      </c>
      <c r="E204" s="166" t="s">
        <v>15</v>
      </c>
      <c r="F204" s="166"/>
      <c r="G204" s="1540"/>
      <c r="H204" s="1540">
        <v>554373.09900000005</v>
      </c>
      <c r="I204" s="1540">
        <v>554373.09900000005</v>
      </c>
      <c r="J204" s="1466">
        <f t="shared" si="10"/>
        <v>1108746.1980000001</v>
      </c>
      <c r="K204" s="1466"/>
      <c r="L204" s="1540"/>
      <c r="M204" s="1540">
        <f t="shared" si="11"/>
        <v>1108746.1980000001</v>
      </c>
      <c r="N204" s="1539"/>
      <c r="O204" s="559"/>
    </row>
    <row r="205" spans="1:18" s="540" customFormat="1" ht="14.25" customHeight="1">
      <c r="A205" s="1536">
        <v>12</v>
      </c>
      <c r="B205" s="1537" t="e">
        <f>VLOOKUP(D205,'[2]DS CN MOI UP'!$B$11:$C$447,2,0)</f>
        <v>#N/A</v>
      </c>
      <c r="C205" s="1538" t="s">
        <v>651</v>
      </c>
      <c r="D205" s="1539" t="s">
        <v>795</v>
      </c>
      <c r="E205" s="166" t="s">
        <v>15</v>
      </c>
      <c r="F205" s="166"/>
      <c r="G205" s="1540"/>
      <c r="H205" s="1540">
        <v>635040.18900000001</v>
      </c>
      <c r="I205" s="1540">
        <v>635040.18900000001</v>
      </c>
      <c r="J205" s="1466">
        <f t="shared" si="10"/>
        <v>1270080.378</v>
      </c>
      <c r="K205" s="1466"/>
      <c r="L205" s="1540"/>
      <c r="M205" s="1540">
        <f t="shared" si="11"/>
        <v>1270080.378</v>
      </c>
      <c r="N205" s="1539"/>
      <c r="O205" s="559"/>
    </row>
    <row r="206" spans="1:18" s="540" customFormat="1" ht="14.25" customHeight="1">
      <c r="A206" s="1536">
        <v>13</v>
      </c>
      <c r="B206" s="1537" t="e">
        <f>VLOOKUP(D206,'[2]DS CN MOI UP'!$B$11:$C$447,2,0)</f>
        <v>#N/A</v>
      </c>
      <c r="C206" s="1538" t="s">
        <v>651</v>
      </c>
      <c r="D206" s="1539" t="s">
        <v>796</v>
      </c>
      <c r="E206" s="166" t="s">
        <v>15</v>
      </c>
      <c r="F206" s="166"/>
      <c r="G206" s="1540"/>
      <c r="H206" s="1540">
        <v>544338.9</v>
      </c>
      <c r="I206" s="1540">
        <v>544338.9</v>
      </c>
      <c r="J206" s="1466">
        <f t="shared" si="10"/>
        <v>1088677.8</v>
      </c>
      <c r="K206" s="1466"/>
      <c r="L206" s="1540"/>
      <c r="M206" s="1540">
        <f t="shared" si="11"/>
        <v>1088677.8</v>
      </c>
      <c r="N206" s="1539"/>
      <c r="O206" s="559"/>
    </row>
    <row r="207" spans="1:18" s="540" customFormat="1" ht="14.25" customHeight="1">
      <c r="A207" s="1536">
        <v>14</v>
      </c>
      <c r="B207" s="1537" t="e">
        <f>VLOOKUP(D207,'[2]DS CN MOI UP'!$B$11:$C$447,2,0)</f>
        <v>#N/A</v>
      </c>
      <c r="C207" s="1538" t="s">
        <v>651</v>
      </c>
      <c r="D207" s="1539" t="s">
        <v>797</v>
      </c>
      <c r="E207" s="166" t="s">
        <v>15</v>
      </c>
      <c r="F207" s="166"/>
      <c r="G207" s="1540"/>
      <c r="H207" s="1540">
        <v>574572.66299999994</v>
      </c>
      <c r="I207" s="1540">
        <v>574572.66299999994</v>
      </c>
      <c r="J207" s="1466">
        <f t="shared" si="10"/>
        <v>1149145.3259999999</v>
      </c>
      <c r="K207" s="1466"/>
      <c r="L207" s="1540"/>
      <c r="M207" s="1540">
        <f t="shared" si="11"/>
        <v>1149145.3259999999</v>
      </c>
      <c r="N207" s="1539"/>
      <c r="O207" s="559"/>
    </row>
    <row r="208" spans="1:18" s="540" customFormat="1" ht="14.25" customHeight="1">
      <c r="A208" s="1536">
        <v>15</v>
      </c>
      <c r="B208" s="1537" t="e">
        <f>VLOOKUP(D208,'[2]DS CN MOI UP'!$B$11:$C$447,2,0)</f>
        <v>#N/A</v>
      </c>
      <c r="C208" s="1538" t="s">
        <v>651</v>
      </c>
      <c r="D208" s="1539" t="s">
        <v>798</v>
      </c>
      <c r="E208" s="166" t="s">
        <v>15</v>
      </c>
      <c r="F208" s="166"/>
      <c r="G208" s="1540"/>
      <c r="H208" s="1540">
        <v>604806.42599999998</v>
      </c>
      <c r="I208" s="1540">
        <v>604806.42599999998</v>
      </c>
      <c r="J208" s="1466">
        <f t="shared" si="10"/>
        <v>1209612.852</v>
      </c>
      <c r="K208" s="1466"/>
      <c r="L208" s="1540"/>
      <c r="M208" s="1540">
        <f t="shared" si="11"/>
        <v>1209612.852</v>
      </c>
      <c r="N208" s="1539"/>
      <c r="O208" s="559"/>
    </row>
    <row r="209" spans="1:15" s="540" customFormat="1" ht="14.25" customHeight="1">
      <c r="A209" s="1536">
        <v>16</v>
      </c>
      <c r="B209" s="1537" t="e">
        <f>VLOOKUP(D209,'[2]DS CN MOI UP'!$B$11:$C$447,2,0)</f>
        <v>#N/A</v>
      </c>
      <c r="C209" s="1538" t="s">
        <v>654</v>
      </c>
      <c r="D209" s="1539" t="s">
        <v>799</v>
      </c>
      <c r="E209" s="166" t="s">
        <v>15</v>
      </c>
      <c r="F209" s="166"/>
      <c r="G209" s="1540"/>
      <c r="H209" s="1540">
        <v>584606.86199999996</v>
      </c>
      <c r="I209" s="1540">
        <v>584606.86199999996</v>
      </c>
      <c r="J209" s="1466">
        <f t="shared" si="10"/>
        <v>1169213.7239999999</v>
      </c>
      <c r="K209" s="1466"/>
      <c r="L209" s="1540"/>
      <c r="M209" s="1540">
        <f t="shared" si="11"/>
        <v>1169213.7239999999</v>
      </c>
      <c r="N209" s="1539"/>
      <c r="O209" s="559"/>
    </row>
    <row r="210" spans="1:15" s="540" customFormat="1" ht="14.25" customHeight="1">
      <c r="A210" s="1536">
        <v>17</v>
      </c>
      <c r="B210" s="1537" t="e">
        <f>VLOOKUP(D210,'[2]DS CN MOI UP'!$B$11:$C$447,2,0)</f>
        <v>#N/A</v>
      </c>
      <c r="C210" s="1538" t="s">
        <v>654</v>
      </c>
      <c r="D210" s="1539" t="s">
        <v>800</v>
      </c>
      <c r="E210" s="166" t="s">
        <v>15</v>
      </c>
      <c r="F210" s="166"/>
      <c r="G210" s="1540"/>
      <c r="H210" s="1540">
        <v>635040.18900000001</v>
      </c>
      <c r="I210" s="1540">
        <v>635040.18900000001</v>
      </c>
      <c r="J210" s="1466">
        <f t="shared" si="10"/>
        <v>1270080.378</v>
      </c>
      <c r="K210" s="1466"/>
      <c r="L210" s="1540"/>
      <c r="M210" s="1540">
        <f t="shared" si="11"/>
        <v>1270080.378</v>
      </c>
      <c r="N210" s="1539"/>
      <c r="O210" s="559"/>
    </row>
    <row r="211" spans="1:15" s="540" customFormat="1" ht="14.25" customHeight="1">
      <c r="A211" s="1536">
        <v>18</v>
      </c>
      <c r="B211" s="1537" t="e">
        <f>VLOOKUP(D211,'[2]DS CN MOI UP'!$B$11:$C$447,2,0)</f>
        <v>#N/A</v>
      </c>
      <c r="C211" s="1538" t="s">
        <v>654</v>
      </c>
      <c r="D211" s="1539" t="s">
        <v>801</v>
      </c>
      <c r="E211" s="166" t="s">
        <v>15</v>
      </c>
      <c r="F211" s="166"/>
      <c r="G211" s="1540"/>
      <c r="H211" s="1540">
        <v>524139.33600000001</v>
      </c>
      <c r="I211" s="1540">
        <v>524139.33600000001</v>
      </c>
      <c r="J211" s="1466">
        <f t="shared" si="10"/>
        <v>1048278.672</v>
      </c>
      <c r="K211" s="1466"/>
      <c r="L211" s="1540"/>
      <c r="M211" s="1540">
        <f t="shared" si="11"/>
        <v>1048278.672</v>
      </c>
      <c r="N211" s="1539"/>
      <c r="O211" s="559"/>
    </row>
    <row r="212" spans="1:15" s="540" customFormat="1" ht="14.25" customHeight="1">
      <c r="A212" s="1536">
        <v>19</v>
      </c>
      <c r="B212" s="1537" t="e">
        <f>VLOOKUP(D212,'[2]DS CN MOI UP'!$B$11:$C$447,2,0)</f>
        <v>#N/A</v>
      </c>
      <c r="C212" s="1538" t="s">
        <v>654</v>
      </c>
      <c r="D212" s="1539" t="s">
        <v>802</v>
      </c>
      <c r="E212" s="166" t="s">
        <v>15</v>
      </c>
      <c r="F212" s="166"/>
      <c r="G212" s="1540"/>
      <c r="H212" s="1540">
        <v>554373.09900000005</v>
      </c>
      <c r="I212" s="1540">
        <v>554373.09900000005</v>
      </c>
      <c r="J212" s="1466">
        <f t="shared" si="10"/>
        <v>1108746.1980000001</v>
      </c>
      <c r="K212" s="1466"/>
      <c r="L212" s="1540"/>
      <c r="M212" s="1540">
        <f t="shared" si="11"/>
        <v>1108746.1980000001</v>
      </c>
      <c r="N212" s="1539"/>
      <c r="O212" s="559"/>
    </row>
    <row r="213" spans="1:15" s="540" customFormat="1" ht="14.25" customHeight="1">
      <c r="A213" s="1536">
        <v>20</v>
      </c>
      <c r="B213" s="1537" t="e">
        <f>VLOOKUP(D213,'[2]DS CN MOI UP'!$B$11:$C$447,2,0)</f>
        <v>#N/A</v>
      </c>
      <c r="C213" s="1538" t="s">
        <v>654</v>
      </c>
      <c r="D213" s="1539" t="s">
        <v>803</v>
      </c>
      <c r="E213" s="166" t="s">
        <v>15</v>
      </c>
      <c r="F213" s="166"/>
      <c r="G213" s="1540"/>
      <c r="H213" s="1540">
        <v>554373.09900000005</v>
      </c>
      <c r="I213" s="1540">
        <v>554373.09900000005</v>
      </c>
      <c r="J213" s="1466">
        <f t="shared" si="10"/>
        <v>1108746.1980000001</v>
      </c>
      <c r="K213" s="1466"/>
      <c r="L213" s="1540"/>
      <c r="M213" s="1540">
        <f t="shared" si="11"/>
        <v>1108746.1980000001</v>
      </c>
      <c r="N213" s="1539"/>
      <c r="O213" s="559"/>
    </row>
    <row r="214" spans="1:15" s="540" customFormat="1" ht="14.25" customHeight="1">
      <c r="A214" s="1536">
        <v>21</v>
      </c>
      <c r="B214" s="1537" t="e">
        <f>VLOOKUP(D214,'[2]DS CN MOI UP'!$B$11:$C$447,2,0)</f>
        <v>#N/A</v>
      </c>
      <c r="C214" s="1538" t="s">
        <v>654</v>
      </c>
      <c r="D214" s="1539" t="s">
        <v>804</v>
      </c>
      <c r="E214" s="166" t="s">
        <v>15</v>
      </c>
      <c r="F214" s="166"/>
      <c r="G214" s="1540"/>
      <c r="H214" s="1540">
        <v>554373.09900000005</v>
      </c>
      <c r="I214" s="1540">
        <v>554373.09900000005</v>
      </c>
      <c r="J214" s="1466">
        <f t="shared" si="10"/>
        <v>1108746.1980000001</v>
      </c>
      <c r="K214" s="1466"/>
      <c r="L214" s="1540"/>
      <c r="M214" s="1540">
        <f t="shared" si="11"/>
        <v>1108746.1980000001</v>
      </c>
      <c r="N214" s="1539"/>
      <c r="O214" s="559"/>
    </row>
    <row r="215" spans="1:15" s="540" customFormat="1" ht="14.25" customHeight="1">
      <c r="A215" s="1536">
        <v>22</v>
      </c>
      <c r="B215" s="1537" t="e">
        <f>VLOOKUP(D215,'[2]DS CN MOI UP'!$B$11:$C$447,2,0)</f>
        <v>#N/A</v>
      </c>
      <c r="C215" s="1538" t="s">
        <v>654</v>
      </c>
      <c r="D215" s="1539" t="s">
        <v>805</v>
      </c>
      <c r="E215" s="166" t="s">
        <v>15</v>
      </c>
      <c r="F215" s="166"/>
      <c r="G215" s="1540"/>
      <c r="H215" s="1540">
        <v>635040.18900000001</v>
      </c>
      <c r="I215" s="1540">
        <v>635040.18900000001</v>
      </c>
      <c r="J215" s="1466">
        <f t="shared" si="10"/>
        <v>1270080.378</v>
      </c>
      <c r="K215" s="1466"/>
      <c r="L215" s="1540"/>
      <c r="M215" s="1540">
        <f t="shared" si="11"/>
        <v>1270080.378</v>
      </c>
      <c r="N215" s="1539"/>
      <c r="O215" s="559"/>
    </row>
    <row r="216" spans="1:15" s="540" customFormat="1" ht="14.25" customHeight="1">
      <c r="A216" s="1536">
        <v>23</v>
      </c>
      <c r="B216" s="1537" t="e">
        <f>VLOOKUP(D216,'[2]DS CN MOI UP'!$B$11:$C$447,2,0)</f>
        <v>#N/A</v>
      </c>
      <c r="C216" s="1538" t="s">
        <v>654</v>
      </c>
      <c r="D216" s="1539" t="s">
        <v>806</v>
      </c>
      <c r="E216" s="166" t="s">
        <v>15</v>
      </c>
      <c r="F216" s="166"/>
      <c r="G216" s="1540"/>
      <c r="H216" s="1540">
        <v>544338.9</v>
      </c>
      <c r="I216" s="1540">
        <v>544338.9</v>
      </c>
      <c r="J216" s="1466">
        <f t="shared" si="10"/>
        <v>1088677.8</v>
      </c>
      <c r="K216" s="1466"/>
      <c r="L216" s="1540"/>
      <c r="M216" s="1540">
        <f t="shared" si="11"/>
        <v>1088677.8</v>
      </c>
      <c r="N216" s="1539"/>
      <c r="O216" s="559"/>
    </row>
    <row r="217" spans="1:15" s="540" customFormat="1" ht="14.25" customHeight="1">
      <c r="A217" s="1536">
        <v>24</v>
      </c>
      <c r="B217" s="1537" t="e">
        <f>VLOOKUP(D217,'[2]DS CN MOI UP'!$B$11:$C$447,2,0)</f>
        <v>#N/A</v>
      </c>
      <c r="C217" s="1538" t="s">
        <v>654</v>
      </c>
      <c r="D217" s="1539" t="s">
        <v>807</v>
      </c>
      <c r="E217" s="166" t="s">
        <v>15</v>
      </c>
      <c r="F217" s="166"/>
      <c r="G217" s="1540"/>
      <c r="H217" s="1540">
        <v>574572.66299999994</v>
      </c>
      <c r="I217" s="1540">
        <v>574572.66299999994</v>
      </c>
      <c r="J217" s="1466">
        <f t="shared" si="10"/>
        <v>1149145.3259999999</v>
      </c>
      <c r="K217" s="1466"/>
      <c r="L217" s="1540"/>
      <c r="M217" s="1540">
        <f t="shared" si="11"/>
        <v>1149145.3259999999</v>
      </c>
      <c r="N217" s="1539"/>
      <c r="O217" s="559"/>
    </row>
    <row r="218" spans="1:15" s="540" customFormat="1" ht="14.25" customHeight="1">
      <c r="A218" s="1536">
        <v>25</v>
      </c>
      <c r="B218" s="1537" t="e">
        <f>VLOOKUP(D218,'[2]DS CN MOI UP'!$B$11:$C$447,2,0)</f>
        <v>#N/A</v>
      </c>
      <c r="C218" s="1538" t="s">
        <v>654</v>
      </c>
      <c r="D218" s="1539" t="s">
        <v>808</v>
      </c>
      <c r="E218" s="166" t="s">
        <v>15</v>
      </c>
      <c r="F218" s="166"/>
      <c r="G218" s="1540"/>
      <c r="H218" s="1540">
        <v>604806.42599999998</v>
      </c>
      <c r="I218" s="1540">
        <v>604806.42599999998</v>
      </c>
      <c r="J218" s="1466">
        <f t="shared" si="10"/>
        <v>1209612.852</v>
      </c>
      <c r="K218" s="1466"/>
      <c r="L218" s="1540"/>
      <c r="M218" s="1540">
        <f t="shared" si="11"/>
        <v>1209612.852</v>
      </c>
      <c r="N218" s="1539"/>
      <c r="O218" s="559"/>
    </row>
    <row r="219" spans="1:15" s="540" customFormat="1" ht="14.25" customHeight="1">
      <c r="A219" s="1536">
        <v>26</v>
      </c>
      <c r="B219" s="1537" t="e">
        <f>VLOOKUP(D219,'[2]DS CN MOI UP'!$B$11:$C$447,2,0)</f>
        <v>#N/A</v>
      </c>
      <c r="C219" s="1538" t="s">
        <v>654</v>
      </c>
      <c r="D219" s="1539" t="s">
        <v>809</v>
      </c>
      <c r="E219" s="166" t="s">
        <v>15</v>
      </c>
      <c r="F219" s="166"/>
      <c r="G219" s="1540"/>
      <c r="H219" s="1540">
        <v>584606.86199999996</v>
      </c>
      <c r="I219" s="1540">
        <v>584606.86199999996</v>
      </c>
      <c r="J219" s="1466">
        <f t="shared" si="10"/>
        <v>1169213.7239999999</v>
      </c>
      <c r="K219" s="1466"/>
      <c r="L219" s="1540"/>
      <c r="M219" s="1540">
        <f t="shared" si="11"/>
        <v>1169213.7239999999</v>
      </c>
      <c r="N219" s="1539"/>
      <c r="O219" s="559"/>
    </row>
    <row r="220" spans="1:15" s="540" customFormat="1" ht="14.25" customHeight="1">
      <c r="A220" s="1536">
        <v>27</v>
      </c>
      <c r="B220" s="1537" t="e">
        <f>VLOOKUP(D220,'[2]DS CN MOI UP'!$B$11:$C$447,2,0)</f>
        <v>#N/A</v>
      </c>
      <c r="C220" s="1538" t="s">
        <v>654</v>
      </c>
      <c r="D220" s="1539" t="s">
        <v>810</v>
      </c>
      <c r="E220" s="166" t="s">
        <v>15</v>
      </c>
      <c r="F220" s="166"/>
      <c r="G220" s="1540"/>
      <c r="H220" s="1540">
        <v>635040.18900000001</v>
      </c>
      <c r="I220" s="1540">
        <v>635040.18900000001</v>
      </c>
      <c r="J220" s="1466">
        <f t="shared" si="10"/>
        <v>1270080.378</v>
      </c>
      <c r="K220" s="1466"/>
      <c r="L220" s="1540"/>
      <c r="M220" s="1540">
        <f t="shared" si="11"/>
        <v>1270080.378</v>
      </c>
      <c r="N220" s="1539"/>
      <c r="O220" s="559"/>
    </row>
    <row r="221" spans="1:15" s="540" customFormat="1" ht="14.25" customHeight="1">
      <c r="A221" s="1536">
        <v>28</v>
      </c>
      <c r="B221" s="1537" t="e">
        <f>VLOOKUP(D221,'[2]DS CN MOI UP'!$B$11:$C$447,2,0)</f>
        <v>#N/A</v>
      </c>
      <c r="C221" s="1538" t="s">
        <v>654</v>
      </c>
      <c r="D221" s="1539" t="s">
        <v>811</v>
      </c>
      <c r="E221" s="166" t="s">
        <v>15</v>
      </c>
      <c r="F221" s="166"/>
      <c r="G221" s="1540"/>
      <c r="H221" s="1540">
        <v>524139.33600000001</v>
      </c>
      <c r="I221" s="1540">
        <v>524139.33600000001</v>
      </c>
      <c r="J221" s="1466">
        <f t="shared" si="10"/>
        <v>1048278.672</v>
      </c>
      <c r="K221" s="1466"/>
      <c r="L221" s="1540"/>
      <c r="M221" s="1540">
        <f t="shared" si="11"/>
        <v>1048278.672</v>
      </c>
      <c r="N221" s="1539"/>
      <c r="O221" s="559"/>
    </row>
    <row r="222" spans="1:15" s="540" customFormat="1" ht="14.25" customHeight="1">
      <c r="A222" s="1536">
        <v>29</v>
      </c>
      <c r="B222" s="1537" t="e">
        <f>VLOOKUP(D222,'[2]DS CN MOI UP'!$B$11:$C$447,2,0)</f>
        <v>#N/A</v>
      </c>
      <c r="C222" s="1538" t="s">
        <v>654</v>
      </c>
      <c r="D222" s="1539" t="s">
        <v>812</v>
      </c>
      <c r="E222" s="166" t="s">
        <v>15</v>
      </c>
      <c r="F222" s="166"/>
      <c r="G222" s="1540"/>
      <c r="H222" s="1540">
        <v>554373.09900000005</v>
      </c>
      <c r="I222" s="1540">
        <v>554373.09900000005</v>
      </c>
      <c r="J222" s="1466">
        <f t="shared" si="10"/>
        <v>1108746.1980000001</v>
      </c>
      <c r="K222" s="1466"/>
      <c r="L222" s="1540"/>
      <c r="M222" s="1540">
        <f t="shared" si="11"/>
        <v>1108746.1980000001</v>
      </c>
      <c r="N222" s="1539"/>
      <c r="O222" s="559"/>
    </row>
    <row r="223" spans="1:15" s="540" customFormat="1" ht="14.25" customHeight="1">
      <c r="A223" s="1536">
        <v>30</v>
      </c>
      <c r="B223" s="1537" t="e">
        <f>VLOOKUP(D223,'[2]DS CN MOI UP'!$B$11:$C$447,2,0)</f>
        <v>#N/A</v>
      </c>
      <c r="C223" s="1538" t="s">
        <v>654</v>
      </c>
      <c r="D223" s="1539" t="s">
        <v>813</v>
      </c>
      <c r="E223" s="166" t="s">
        <v>15</v>
      </c>
      <c r="F223" s="166"/>
      <c r="G223" s="1540"/>
      <c r="H223" s="1540">
        <v>554373.09900000005</v>
      </c>
      <c r="I223" s="1540">
        <v>554373.09900000005</v>
      </c>
      <c r="J223" s="1466">
        <f t="shared" si="10"/>
        <v>1108746.1980000001</v>
      </c>
      <c r="K223" s="1466"/>
      <c r="L223" s="1540"/>
      <c r="M223" s="1540">
        <f t="shared" si="11"/>
        <v>1108746.1980000001</v>
      </c>
      <c r="N223" s="1539"/>
      <c r="O223" s="559"/>
    </row>
    <row r="224" spans="1:15" s="540" customFormat="1" ht="14.25" customHeight="1">
      <c r="A224" s="1536">
        <v>31</v>
      </c>
      <c r="B224" s="1537" t="e">
        <f>VLOOKUP(D224,'[2]DS CN MOI UP'!$B$11:$C$447,2,0)</f>
        <v>#N/A</v>
      </c>
      <c r="C224" s="1538" t="s">
        <v>654</v>
      </c>
      <c r="D224" s="1539" t="s">
        <v>814</v>
      </c>
      <c r="E224" s="166" t="s">
        <v>15</v>
      </c>
      <c r="F224" s="166"/>
      <c r="G224" s="1540"/>
      <c r="H224" s="1466">
        <v>614840.625</v>
      </c>
      <c r="I224" s="1540">
        <v>554373.09900000005</v>
      </c>
      <c r="J224" s="1466">
        <f t="shared" si="10"/>
        <v>1169213.7239999999</v>
      </c>
      <c r="K224" s="1466"/>
      <c r="L224" s="1540"/>
      <c r="M224" s="1540">
        <f t="shared" si="11"/>
        <v>1169213.7239999999</v>
      </c>
      <c r="N224" s="1539"/>
      <c r="O224" s="559"/>
    </row>
    <row r="225" spans="1:15" s="540" customFormat="1" ht="14.25" customHeight="1">
      <c r="A225" s="1536">
        <v>32</v>
      </c>
      <c r="B225" s="1537" t="e">
        <f>VLOOKUP(D225,'[2]DS CN MOI UP'!$B$11:$C$447,2,0)</f>
        <v>#N/A</v>
      </c>
      <c r="C225" s="1538" t="s">
        <v>654</v>
      </c>
      <c r="D225" s="1539" t="s">
        <v>815</v>
      </c>
      <c r="E225" s="166" t="s">
        <v>15</v>
      </c>
      <c r="F225" s="166"/>
      <c r="G225" s="1540"/>
      <c r="H225" s="1466">
        <v>554373.09900000005</v>
      </c>
      <c r="I225" s="1540">
        <v>554373.09900000005</v>
      </c>
      <c r="J225" s="1466">
        <f t="shared" si="10"/>
        <v>1108746.1980000001</v>
      </c>
      <c r="K225" s="1466"/>
      <c r="L225" s="1540"/>
      <c r="M225" s="1540">
        <f t="shared" si="11"/>
        <v>1108746.1980000001</v>
      </c>
      <c r="N225" s="1539"/>
      <c r="O225" s="559"/>
    </row>
    <row r="226" spans="1:15" s="540" customFormat="1" ht="14.25" customHeight="1">
      <c r="A226" s="1536">
        <v>33</v>
      </c>
      <c r="B226" s="1537" t="e">
        <f>VLOOKUP(D226,'[2]DS CN MOI UP'!$B$11:$C$447,2,0)</f>
        <v>#N/A</v>
      </c>
      <c r="C226" s="1538" t="s">
        <v>654</v>
      </c>
      <c r="D226" s="1539" t="s">
        <v>816</v>
      </c>
      <c r="E226" s="166" t="s">
        <v>15</v>
      </c>
      <c r="F226" s="166"/>
      <c r="G226" s="1540"/>
      <c r="H226" s="1466">
        <v>554373.09900000005</v>
      </c>
      <c r="I226" s="1540">
        <v>554373.09900000005</v>
      </c>
      <c r="J226" s="1466">
        <f t="shared" si="10"/>
        <v>1108746.1980000001</v>
      </c>
      <c r="K226" s="1466"/>
      <c r="L226" s="1540"/>
      <c r="M226" s="1540">
        <f t="shared" si="11"/>
        <v>1108746.1980000001</v>
      </c>
      <c r="N226" s="1539"/>
      <c r="O226" s="559"/>
    </row>
    <row r="227" spans="1:15" s="540" customFormat="1" ht="14.25" customHeight="1">
      <c r="A227" s="1536">
        <v>34</v>
      </c>
      <c r="B227" s="1537" t="str">
        <f>VLOOKUP(D227,'[2]DS CN MOI UP'!$B$11:$C$447,2,0)</f>
        <v>03279</v>
      </c>
      <c r="C227" s="1538" t="s">
        <v>654</v>
      </c>
      <c r="D227" s="1539" t="s">
        <v>440</v>
      </c>
      <c r="E227" s="166" t="s">
        <v>15</v>
      </c>
      <c r="F227" s="166"/>
      <c r="G227" s="1540"/>
      <c r="H227" s="1466">
        <v>554373.09900000005</v>
      </c>
      <c r="I227" s="1540">
        <v>554373.09900000005</v>
      </c>
      <c r="J227" s="1466">
        <f t="shared" si="10"/>
        <v>1108746.1980000001</v>
      </c>
      <c r="K227" s="1466"/>
      <c r="L227" s="1540"/>
      <c r="M227" s="1540">
        <f t="shared" si="11"/>
        <v>1108746.1980000001</v>
      </c>
      <c r="N227" s="1539"/>
      <c r="O227" s="559"/>
    </row>
    <row r="228" spans="1:15" s="540" customFormat="1" ht="14.25" customHeight="1">
      <c r="A228" s="1536">
        <v>35</v>
      </c>
      <c r="B228" s="1537" t="e">
        <f>VLOOKUP(D228,'[2]DS CN MOI UP'!$B$11:$C$447,2,0)</f>
        <v>#N/A</v>
      </c>
      <c r="C228" s="1538" t="s">
        <v>654</v>
      </c>
      <c r="D228" s="1539" t="s">
        <v>817</v>
      </c>
      <c r="E228" s="166" t="s">
        <v>15</v>
      </c>
      <c r="F228" s="166"/>
      <c r="G228" s="1540"/>
      <c r="H228" s="1466">
        <v>635040.18900000001</v>
      </c>
      <c r="I228" s="1540">
        <v>554373.09900000005</v>
      </c>
      <c r="J228" s="1466">
        <f t="shared" si="10"/>
        <v>1189413.2879999999</v>
      </c>
      <c r="K228" s="1466"/>
      <c r="L228" s="1540"/>
      <c r="M228" s="1540">
        <f t="shared" si="11"/>
        <v>1189413.2879999999</v>
      </c>
      <c r="N228" s="1539"/>
      <c r="O228" s="559"/>
    </row>
    <row r="229" spans="1:15" s="540" customFormat="1" ht="14.25" customHeight="1">
      <c r="A229" s="1536">
        <v>36</v>
      </c>
      <c r="B229" s="1537" t="e">
        <f>VLOOKUP(D229,'[2]DS CN MOI UP'!$B$11:$C$447,2,0)</f>
        <v>#N/A</v>
      </c>
      <c r="C229" s="1538" t="s">
        <v>654</v>
      </c>
      <c r="D229" s="1539" t="s">
        <v>790</v>
      </c>
      <c r="E229" s="166" t="s">
        <v>15</v>
      </c>
      <c r="F229" s="166"/>
      <c r="G229" s="1540"/>
      <c r="H229" s="1466">
        <v>544338.9</v>
      </c>
      <c r="I229" s="1540">
        <v>554373.09900000005</v>
      </c>
      <c r="J229" s="1466">
        <f t="shared" si="10"/>
        <v>1098711.9990000001</v>
      </c>
      <c r="K229" s="1466"/>
      <c r="L229" s="1540"/>
      <c r="M229" s="1540">
        <f t="shared" si="11"/>
        <v>1098711.9990000001</v>
      </c>
      <c r="N229" s="1539"/>
      <c r="O229" s="559"/>
    </row>
    <row r="230" spans="1:15" s="540" customFormat="1" ht="14.25" customHeight="1">
      <c r="A230" s="1536">
        <v>37</v>
      </c>
      <c r="B230" s="1537" t="e">
        <f>VLOOKUP(D230,'[2]DS CN MOI UP'!$B$11:$C$447,2,0)</f>
        <v>#N/A</v>
      </c>
      <c r="C230" s="1538" t="s">
        <v>654</v>
      </c>
      <c r="D230" s="1539" t="s">
        <v>818</v>
      </c>
      <c r="E230" s="166" t="s">
        <v>15</v>
      </c>
      <c r="F230" s="166"/>
      <c r="G230" s="1540"/>
      <c r="H230" s="1466">
        <v>574572.66299999994</v>
      </c>
      <c r="I230" s="1540">
        <v>554373.09900000005</v>
      </c>
      <c r="J230" s="1466">
        <f t="shared" si="10"/>
        <v>1128945.7620000001</v>
      </c>
      <c r="K230" s="1466"/>
      <c r="L230" s="1540"/>
      <c r="M230" s="1540">
        <f t="shared" si="11"/>
        <v>1128945.7620000001</v>
      </c>
      <c r="N230" s="1539"/>
      <c r="O230" s="559"/>
    </row>
    <row r="231" spans="1:15" s="540" customFormat="1" ht="14.25" customHeight="1">
      <c r="A231" s="1536">
        <v>38</v>
      </c>
      <c r="B231" s="1537" t="e">
        <f>VLOOKUP(D231,'[2]DS CN MOI UP'!$B$11:$C$447,2,0)</f>
        <v>#N/A</v>
      </c>
      <c r="C231" s="1538" t="s">
        <v>654</v>
      </c>
      <c r="D231" s="1539" t="s">
        <v>819</v>
      </c>
      <c r="E231" s="166" t="s">
        <v>15</v>
      </c>
      <c r="F231" s="166"/>
      <c r="G231" s="1540"/>
      <c r="H231" s="1466">
        <v>604806.42599999998</v>
      </c>
      <c r="I231" s="1540">
        <v>554373.09900000005</v>
      </c>
      <c r="J231" s="1466">
        <f t="shared" si="10"/>
        <v>1159179.5249999999</v>
      </c>
      <c r="K231" s="1466"/>
      <c r="L231" s="1540"/>
      <c r="M231" s="1540">
        <f t="shared" si="11"/>
        <v>1159179.5249999999</v>
      </c>
      <c r="N231" s="1539"/>
      <c r="O231" s="559"/>
    </row>
    <row r="232" spans="1:15" s="540" customFormat="1" ht="14.25" customHeight="1">
      <c r="A232" s="1536">
        <v>39</v>
      </c>
      <c r="B232" s="1537" t="e">
        <f>VLOOKUP(D232,'[2]DS CN MOI UP'!$B$11:$C$447,2,0)</f>
        <v>#N/A</v>
      </c>
      <c r="C232" s="1538" t="s">
        <v>654</v>
      </c>
      <c r="D232" s="1539" t="s">
        <v>820</v>
      </c>
      <c r="E232" s="166" t="s">
        <v>15</v>
      </c>
      <c r="F232" s="166"/>
      <c r="G232" s="1540"/>
      <c r="H232" s="1466">
        <v>584606.86199999996</v>
      </c>
      <c r="I232" s="1540">
        <v>554373.09900000005</v>
      </c>
      <c r="J232" s="1466">
        <f t="shared" si="10"/>
        <v>1138979.9609999999</v>
      </c>
      <c r="K232" s="1466"/>
      <c r="L232" s="1540"/>
      <c r="M232" s="1540">
        <f t="shared" si="11"/>
        <v>1138979.9609999999</v>
      </c>
      <c r="N232" s="1539"/>
      <c r="O232" s="559"/>
    </row>
    <row r="233" spans="1:15" s="540" customFormat="1" ht="14.25" customHeight="1">
      <c r="A233" s="1536">
        <v>40</v>
      </c>
      <c r="B233" s="1537" t="e">
        <f>VLOOKUP(D233,'[2]DS CN MOI UP'!$B$11:$C$447,2,0)</f>
        <v>#N/A</v>
      </c>
      <c r="C233" s="1538" t="s">
        <v>654</v>
      </c>
      <c r="D233" s="1539" t="s">
        <v>821</v>
      </c>
      <c r="E233" s="166" t="s">
        <v>15</v>
      </c>
      <c r="F233" s="166"/>
      <c r="G233" s="1540"/>
      <c r="H233" s="1466">
        <v>635040.18900000001</v>
      </c>
      <c r="I233" s="1540">
        <v>554373.09900000005</v>
      </c>
      <c r="J233" s="1466">
        <f t="shared" si="10"/>
        <v>1189413.2879999999</v>
      </c>
      <c r="K233" s="1466"/>
      <c r="L233" s="1540"/>
      <c r="M233" s="1540">
        <f t="shared" si="11"/>
        <v>1189413.2879999999</v>
      </c>
      <c r="N233" s="1539"/>
      <c r="O233" s="559"/>
    </row>
    <row r="234" spans="1:15" s="540" customFormat="1" ht="14.25" customHeight="1">
      <c r="A234" s="1536">
        <v>41</v>
      </c>
      <c r="B234" s="1537" t="e">
        <f>VLOOKUP(D234,'[2]DS CN MOI UP'!$B$11:$C$447,2,0)</f>
        <v>#N/A</v>
      </c>
      <c r="C234" s="1538" t="s">
        <v>654</v>
      </c>
      <c r="D234" s="1539" t="s">
        <v>822</v>
      </c>
      <c r="E234" s="166" t="s">
        <v>15</v>
      </c>
      <c r="F234" s="166"/>
      <c r="G234" s="1540"/>
      <c r="H234" s="1466">
        <v>524139.33600000001</v>
      </c>
      <c r="I234" s="1466">
        <v>524139.33600000001</v>
      </c>
      <c r="J234" s="1466">
        <f t="shared" si="10"/>
        <v>1048278.672</v>
      </c>
      <c r="K234" s="1466"/>
      <c r="L234" s="1540"/>
      <c r="M234" s="1540">
        <f t="shared" si="11"/>
        <v>1048278.672</v>
      </c>
      <c r="N234" s="1539"/>
      <c r="O234" s="559"/>
    </row>
    <row r="235" spans="1:15" s="540" customFormat="1" ht="14.25" customHeight="1">
      <c r="A235" s="1536">
        <v>42</v>
      </c>
      <c r="B235" s="1537" t="e">
        <f>VLOOKUP(D235,'[2]DS CN MOI UP'!$B$11:$C$447,2,0)</f>
        <v>#N/A</v>
      </c>
      <c r="C235" s="1538" t="s">
        <v>654</v>
      </c>
      <c r="D235" s="1539" t="s">
        <v>823</v>
      </c>
      <c r="E235" s="166" t="s">
        <v>15</v>
      </c>
      <c r="F235" s="166"/>
      <c r="G235" s="1540"/>
      <c r="H235" s="1466">
        <v>635040.18900000001</v>
      </c>
      <c r="I235" s="1466">
        <v>524139.33600000001</v>
      </c>
      <c r="J235" s="1466">
        <f t="shared" si="10"/>
        <v>1159179.5249999999</v>
      </c>
      <c r="K235" s="1466"/>
      <c r="L235" s="1540"/>
      <c r="M235" s="1540">
        <f t="shared" si="11"/>
        <v>1159179.5249999999</v>
      </c>
      <c r="N235" s="1539"/>
      <c r="O235" s="559"/>
    </row>
    <row r="236" spans="1:15" s="540" customFormat="1" ht="14.25" customHeight="1">
      <c r="A236" s="1536">
        <v>43</v>
      </c>
      <c r="B236" s="1537" t="e">
        <f>VLOOKUP(D236,'[2]DS CN MOI UP'!$B$11:$C$447,2,0)</f>
        <v>#N/A</v>
      </c>
      <c r="C236" s="1538" t="s">
        <v>654</v>
      </c>
      <c r="D236" s="1539" t="s">
        <v>824</v>
      </c>
      <c r="E236" s="166" t="s">
        <v>15</v>
      </c>
      <c r="F236" s="166"/>
      <c r="G236" s="1540"/>
      <c r="H236" s="1466">
        <v>635040.18900000001</v>
      </c>
      <c r="I236" s="1466">
        <v>524139.33600000001</v>
      </c>
      <c r="J236" s="1466">
        <f t="shared" si="10"/>
        <v>1159179.5249999999</v>
      </c>
      <c r="K236" s="1466"/>
      <c r="L236" s="1540"/>
      <c r="M236" s="1540">
        <f t="shared" si="11"/>
        <v>1159179.5249999999</v>
      </c>
      <c r="N236" s="1539"/>
      <c r="O236" s="559"/>
    </row>
    <row r="237" spans="1:15" s="540" customFormat="1" ht="14.25" customHeight="1">
      <c r="A237" s="1536">
        <v>44</v>
      </c>
      <c r="B237" s="1537"/>
      <c r="C237" s="1538" t="s">
        <v>648</v>
      </c>
      <c r="D237" s="1539" t="s">
        <v>825</v>
      </c>
      <c r="E237" s="166" t="s">
        <v>15</v>
      </c>
      <c r="F237" s="166"/>
      <c r="G237" s="1540"/>
      <c r="H237" s="1466">
        <v>554373.09900000005</v>
      </c>
      <c r="I237" s="1466">
        <v>524139.33600000001</v>
      </c>
      <c r="J237" s="1466">
        <f t="shared" si="10"/>
        <v>1078512.4350000001</v>
      </c>
      <c r="K237" s="1466"/>
      <c r="L237" s="1540"/>
      <c r="M237" s="1540">
        <f t="shared" si="11"/>
        <v>1078512.4350000001</v>
      </c>
      <c r="N237" s="1539"/>
      <c r="O237" s="559"/>
    </row>
    <row r="238" spans="1:15" s="540" customFormat="1" ht="14.25" customHeight="1">
      <c r="A238" s="1536">
        <v>45</v>
      </c>
      <c r="B238" s="1537" t="e">
        <f>VLOOKUP(D238,'[2]DS CN MOI UP'!$B$11:$C$447,2,0)</f>
        <v>#N/A</v>
      </c>
      <c r="C238" s="1538" t="s">
        <v>650</v>
      </c>
      <c r="D238" s="1539" t="s">
        <v>826</v>
      </c>
      <c r="E238" s="166" t="s">
        <v>15</v>
      </c>
      <c r="F238" s="166"/>
      <c r="G238" s="1540"/>
      <c r="H238" s="1466">
        <v>635040.18900000001</v>
      </c>
      <c r="I238" s="1466">
        <v>524139.33600000001</v>
      </c>
      <c r="J238" s="1466">
        <f t="shared" si="10"/>
        <v>1159179.5249999999</v>
      </c>
      <c r="K238" s="1466"/>
      <c r="L238" s="1540"/>
      <c r="M238" s="1540">
        <f t="shared" si="11"/>
        <v>1159179.5249999999</v>
      </c>
      <c r="N238" s="1539"/>
      <c r="O238" s="559"/>
    </row>
    <row r="239" spans="1:15" s="540" customFormat="1" ht="14.25" customHeight="1">
      <c r="A239" s="1536">
        <v>46</v>
      </c>
      <c r="B239" s="1537" t="e">
        <f>VLOOKUP(D239,'[2]DS CN MOI UP'!$B$11:$C$447,2,0)</f>
        <v>#N/A</v>
      </c>
      <c r="C239" s="1538" t="s">
        <v>651</v>
      </c>
      <c r="D239" s="1539" t="s">
        <v>827</v>
      </c>
      <c r="E239" s="166" t="s">
        <v>15</v>
      </c>
      <c r="F239" s="166"/>
      <c r="G239" s="1540"/>
      <c r="H239" s="1466">
        <v>635040.18900000001</v>
      </c>
      <c r="I239" s="1466">
        <v>524139.33600000001</v>
      </c>
      <c r="J239" s="1466">
        <f t="shared" si="10"/>
        <v>1159179.5249999999</v>
      </c>
      <c r="K239" s="1466"/>
      <c r="L239" s="1540"/>
      <c r="M239" s="1540">
        <f t="shared" si="11"/>
        <v>1159179.5249999999</v>
      </c>
      <c r="N239" s="1539"/>
      <c r="O239" s="559"/>
    </row>
    <row r="240" spans="1:15" s="540" customFormat="1" ht="14.25" customHeight="1">
      <c r="A240" s="1536">
        <v>47</v>
      </c>
      <c r="B240" s="1537" t="e">
        <f>VLOOKUP(D240,'[2]DS CN MOI UP'!$B$11:$C$447,2,0)</f>
        <v>#N/A</v>
      </c>
      <c r="C240" s="1538" t="s">
        <v>651</v>
      </c>
      <c r="D240" s="1539" t="s">
        <v>828</v>
      </c>
      <c r="E240" s="166" t="s">
        <v>15</v>
      </c>
      <c r="F240" s="166"/>
      <c r="G240" s="1540"/>
      <c r="H240" s="1466">
        <v>635040.18900000001</v>
      </c>
      <c r="I240" s="1466">
        <v>524139.33600000001</v>
      </c>
      <c r="J240" s="1466">
        <f t="shared" si="10"/>
        <v>1159179.5249999999</v>
      </c>
      <c r="K240" s="1466"/>
      <c r="L240" s="1540"/>
      <c r="M240" s="1540">
        <f t="shared" si="11"/>
        <v>1159179.5249999999</v>
      </c>
      <c r="N240" s="1539"/>
      <c r="O240" s="559"/>
    </row>
    <row r="241" spans="1:15" s="540" customFormat="1" ht="14.25" customHeight="1">
      <c r="A241" s="1536">
        <v>48</v>
      </c>
      <c r="B241" s="1537" t="e">
        <f>VLOOKUP(D241,'[2]DS CN MOI UP'!$B$11:$C$447,2,0)</f>
        <v>#N/A</v>
      </c>
      <c r="C241" s="1538" t="s">
        <v>651</v>
      </c>
      <c r="D241" s="1539" t="s">
        <v>829</v>
      </c>
      <c r="E241" s="166" t="s">
        <v>15</v>
      </c>
      <c r="F241" s="166"/>
      <c r="G241" s="1540"/>
      <c r="H241" s="1466">
        <v>614840.625</v>
      </c>
      <c r="I241" s="1466">
        <v>614840.625</v>
      </c>
      <c r="J241" s="1466">
        <f t="shared" si="10"/>
        <v>1229681.25</v>
      </c>
      <c r="K241" s="1466"/>
      <c r="L241" s="1540"/>
      <c r="M241" s="1540">
        <f t="shared" si="11"/>
        <v>1229681.25</v>
      </c>
      <c r="N241" s="1539"/>
      <c r="O241" s="559"/>
    </row>
    <row r="242" spans="1:15" s="540" customFormat="1" ht="14.25" customHeight="1">
      <c r="A242" s="1536">
        <v>49</v>
      </c>
      <c r="B242" s="1537" t="e">
        <f>VLOOKUP(D242,'[2]DS CN MOI UP'!$B$11:$C$447,2,0)</f>
        <v>#N/A</v>
      </c>
      <c r="C242" s="1538" t="s">
        <v>651</v>
      </c>
      <c r="D242" s="1539" t="s">
        <v>830</v>
      </c>
      <c r="E242" s="166" t="s">
        <v>15</v>
      </c>
      <c r="F242" s="166"/>
      <c r="G242" s="1540"/>
      <c r="H242" s="1466">
        <v>554373.09900000005</v>
      </c>
      <c r="I242" s="1466">
        <v>554373.09900000005</v>
      </c>
      <c r="J242" s="1466">
        <f t="shared" si="10"/>
        <v>1108746.1980000001</v>
      </c>
      <c r="K242" s="1466"/>
      <c r="L242" s="1540"/>
      <c r="M242" s="1540">
        <f t="shared" si="11"/>
        <v>1108746.1980000001</v>
      </c>
      <c r="N242" s="1539"/>
      <c r="O242" s="559"/>
    </row>
    <row r="243" spans="1:15" s="540" customFormat="1" ht="14.25" customHeight="1">
      <c r="A243" s="1536">
        <v>50</v>
      </c>
      <c r="B243" s="1537" t="e">
        <f>VLOOKUP(D243,'[2]DS CN MOI UP'!$B$11:$C$447,2,0)</f>
        <v>#N/A</v>
      </c>
      <c r="C243" s="1538" t="s">
        <v>651</v>
      </c>
      <c r="D243" s="1539" t="s">
        <v>831</v>
      </c>
      <c r="E243" s="166" t="s">
        <v>15</v>
      </c>
      <c r="F243" s="166"/>
      <c r="G243" s="1540"/>
      <c r="H243" s="1466">
        <v>554373.09900000005</v>
      </c>
      <c r="I243" s="1466">
        <v>554373.09900000005</v>
      </c>
      <c r="J243" s="1466">
        <f t="shared" si="10"/>
        <v>1108746.1980000001</v>
      </c>
      <c r="K243" s="1466"/>
      <c r="L243" s="1540"/>
      <c r="M243" s="1540">
        <f t="shared" si="11"/>
        <v>1108746.1980000001</v>
      </c>
      <c r="N243" s="1539"/>
      <c r="O243" s="559"/>
    </row>
    <row r="244" spans="1:15" s="540" customFormat="1" ht="14.25" customHeight="1">
      <c r="A244" s="1536">
        <v>51</v>
      </c>
      <c r="B244" s="1537" t="e">
        <f>VLOOKUP(D244,'[2]DS CN MOI UP'!$B$11:$C$447,2,0)</f>
        <v>#N/A</v>
      </c>
      <c r="C244" s="1538" t="s">
        <v>651</v>
      </c>
      <c r="D244" s="1539" t="s">
        <v>832</v>
      </c>
      <c r="E244" s="166" t="s">
        <v>15</v>
      </c>
      <c r="F244" s="166"/>
      <c r="G244" s="1540"/>
      <c r="H244" s="1466">
        <v>554373.09900000005</v>
      </c>
      <c r="I244" s="1466">
        <v>554373.09900000005</v>
      </c>
      <c r="J244" s="1466">
        <f t="shared" si="10"/>
        <v>1108746.1980000001</v>
      </c>
      <c r="K244" s="1466"/>
      <c r="L244" s="1540"/>
      <c r="M244" s="1540">
        <f t="shared" si="11"/>
        <v>1108746.1980000001</v>
      </c>
      <c r="N244" s="1539"/>
      <c r="O244" s="559"/>
    </row>
    <row r="245" spans="1:15" s="540" customFormat="1" ht="14.25" customHeight="1">
      <c r="A245" s="1536">
        <v>52</v>
      </c>
      <c r="B245" s="1537" t="e">
        <f>VLOOKUP(D245,'[2]DS CN MOI UP'!$B$11:$C$447,2,0)</f>
        <v>#N/A</v>
      </c>
      <c r="C245" s="1538" t="s">
        <v>651</v>
      </c>
      <c r="D245" s="1539" t="s">
        <v>833</v>
      </c>
      <c r="E245" s="166" t="s">
        <v>15</v>
      </c>
      <c r="F245" s="166"/>
      <c r="G245" s="1540"/>
      <c r="H245" s="1466">
        <v>635040.18900000001</v>
      </c>
      <c r="I245" s="1466">
        <v>635040.18900000001</v>
      </c>
      <c r="J245" s="1466">
        <f t="shared" si="10"/>
        <v>1270080.378</v>
      </c>
      <c r="K245" s="1466"/>
      <c r="L245" s="1540"/>
      <c r="M245" s="1540">
        <f t="shared" si="11"/>
        <v>1270080.378</v>
      </c>
      <c r="N245" s="1539"/>
      <c r="O245" s="559"/>
    </row>
    <row r="246" spans="1:15" s="540" customFormat="1" ht="14.25" customHeight="1">
      <c r="A246" s="1536">
        <v>53</v>
      </c>
      <c r="B246" s="1537" t="e">
        <f>VLOOKUP(D246,'[2]DS CN MOI UP'!$B$11:$C$447,2,0)</f>
        <v>#N/A</v>
      </c>
      <c r="C246" s="1538" t="s">
        <v>651</v>
      </c>
      <c r="D246" s="1539" t="s">
        <v>834</v>
      </c>
      <c r="E246" s="166" t="s">
        <v>15</v>
      </c>
      <c r="F246" s="166"/>
      <c r="G246" s="1540"/>
      <c r="H246" s="1466">
        <v>544338.9</v>
      </c>
      <c r="I246" s="1466">
        <v>544338.9</v>
      </c>
      <c r="J246" s="1466">
        <f t="shared" si="10"/>
        <v>1088677.8</v>
      </c>
      <c r="K246" s="1466"/>
      <c r="L246" s="1540"/>
      <c r="M246" s="1540">
        <f t="shared" si="11"/>
        <v>1088677.8</v>
      </c>
      <c r="N246" s="1539"/>
      <c r="O246" s="559"/>
    </row>
    <row r="247" spans="1:15" s="540" customFormat="1" ht="14.25" customHeight="1">
      <c r="A247" s="1536">
        <v>54</v>
      </c>
      <c r="B247" s="1537" t="e">
        <f>VLOOKUP(D247,'[2]DS CN MOI UP'!$B$11:$C$447,2,0)</f>
        <v>#N/A</v>
      </c>
      <c r="C247" s="1538" t="s">
        <v>651</v>
      </c>
      <c r="D247" s="1539" t="s">
        <v>835</v>
      </c>
      <c r="E247" s="166" t="s">
        <v>15</v>
      </c>
      <c r="F247" s="166"/>
      <c r="G247" s="1540"/>
      <c r="H247" s="1466">
        <v>574572.66299999994</v>
      </c>
      <c r="I247" s="1466">
        <v>574572.66299999994</v>
      </c>
      <c r="J247" s="1466">
        <f t="shared" si="10"/>
        <v>1149145.3259999999</v>
      </c>
      <c r="K247" s="1466"/>
      <c r="L247" s="1540"/>
      <c r="M247" s="1540">
        <f t="shared" si="11"/>
        <v>1149145.3259999999</v>
      </c>
      <c r="N247" s="1539"/>
      <c r="O247" s="559"/>
    </row>
    <row r="248" spans="1:15" s="540" customFormat="1" ht="14.25" customHeight="1">
      <c r="A248" s="1536">
        <v>55</v>
      </c>
      <c r="B248" s="1537" t="e">
        <f>VLOOKUP(D248,'[2]DS CN MOI UP'!$B$11:$C$447,2,0)</f>
        <v>#N/A</v>
      </c>
      <c r="C248" s="1538" t="s">
        <v>651</v>
      </c>
      <c r="D248" s="1539" t="s">
        <v>836</v>
      </c>
      <c r="E248" s="166" t="s">
        <v>15</v>
      </c>
      <c r="F248" s="166"/>
      <c r="G248" s="1540"/>
      <c r="H248" s="1466">
        <v>604806.42599999998</v>
      </c>
      <c r="I248" s="1466">
        <v>604806.42599999998</v>
      </c>
      <c r="J248" s="1466">
        <f t="shared" si="10"/>
        <v>1209612.852</v>
      </c>
      <c r="K248" s="1466"/>
      <c r="L248" s="1540"/>
      <c r="M248" s="1540">
        <f t="shared" si="11"/>
        <v>1209612.852</v>
      </c>
      <c r="N248" s="1539"/>
      <c r="O248" s="559"/>
    </row>
    <row r="249" spans="1:15" s="540" customFormat="1" ht="14.25" customHeight="1">
      <c r="A249" s="1536">
        <v>56</v>
      </c>
      <c r="B249" s="1537" t="e">
        <f>VLOOKUP(D249,'[2]DS CN MOI UP'!$B$11:$C$447,2,0)</f>
        <v>#N/A</v>
      </c>
      <c r="C249" s="1538" t="s">
        <v>651</v>
      </c>
      <c r="D249" s="1539" t="s">
        <v>837</v>
      </c>
      <c r="E249" s="166" t="s">
        <v>15</v>
      </c>
      <c r="F249" s="166"/>
      <c r="G249" s="1540"/>
      <c r="H249" s="1466">
        <v>584606.86199999996</v>
      </c>
      <c r="I249" s="1466">
        <v>584606.86199999996</v>
      </c>
      <c r="J249" s="1466">
        <f t="shared" si="10"/>
        <v>1169213.7239999999</v>
      </c>
      <c r="K249" s="1466"/>
      <c r="L249" s="1540"/>
      <c r="M249" s="1540">
        <f t="shared" si="11"/>
        <v>1169213.7239999999</v>
      </c>
      <c r="N249" s="1539"/>
      <c r="O249" s="559"/>
    </row>
    <row r="250" spans="1:15" s="540" customFormat="1" ht="14.25" customHeight="1">
      <c r="A250" s="1536">
        <v>57</v>
      </c>
      <c r="B250" s="1537" t="e">
        <f>VLOOKUP(D250,'[2]DS CN MOI UP'!$B$11:$C$447,2,0)</f>
        <v>#N/A</v>
      </c>
      <c r="C250" s="1538" t="s">
        <v>651</v>
      </c>
      <c r="D250" s="1539" t="s">
        <v>838</v>
      </c>
      <c r="E250" s="166" t="s">
        <v>15</v>
      </c>
      <c r="F250" s="166"/>
      <c r="G250" s="1540"/>
      <c r="H250" s="1466">
        <v>635040.18900000001</v>
      </c>
      <c r="I250" s="1466">
        <v>635040.18900000001</v>
      </c>
      <c r="J250" s="1466">
        <f t="shared" si="10"/>
        <v>1270080.378</v>
      </c>
      <c r="K250" s="1466"/>
      <c r="L250" s="1540"/>
      <c r="M250" s="1540">
        <f t="shared" si="11"/>
        <v>1270080.378</v>
      </c>
      <c r="N250" s="1539"/>
      <c r="O250" s="559"/>
    </row>
    <row r="251" spans="1:15" s="540" customFormat="1" ht="14.25" customHeight="1">
      <c r="A251" s="1536">
        <v>58</v>
      </c>
      <c r="B251" s="1537" t="e">
        <f>VLOOKUP(D251,'[2]DS CN MOI UP'!$B$11:$C$447,2,0)</f>
        <v>#N/A</v>
      </c>
      <c r="C251" s="1538" t="s">
        <v>654</v>
      </c>
      <c r="D251" s="1539" t="s">
        <v>839</v>
      </c>
      <c r="E251" s="166" t="s">
        <v>15</v>
      </c>
      <c r="F251" s="166"/>
      <c r="G251" s="1540"/>
      <c r="H251" s="1466">
        <v>524139.33600000001</v>
      </c>
      <c r="I251" s="1466">
        <v>524139.33600000001</v>
      </c>
      <c r="J251" s="1466">
        <f t="shared" si="10"/>
        <v>1048278.672</v>
      </c>
      <c r="K251" s="1466"/>
      <c r="L251" s="1540"/>
      <c r="M251" s="1540">
        <f t="shared" si="11"/>
        <v>1048278.672</v>
      </c>
      <c r="N251" s="1539"/>
      <c r="O251" s="559"/>
    </row>
    <row r="252" spans="1:15" s="540" customFormat="1" ht="14.25" customHeight="1">
      <c r="A252" s="1536">
        <v>59</v>
      </c>
      <c r="B252" s="1537" t="e">
        <f>VLOOKUP(D252,'[2]DS CN MOI UP'!$B$11:$C$447,2,0)</f>
        <v>#N/A</v>
      </c>
      <c r="C252" s="1538" t="s">
        <v>654</v>
      </c>
      <c r="D252" s="1539" t="s">
        <v>759</v>
      </c>
      <c r="E252" s="166" t="s">
        <v>15</v>
      </c>
      <c r="F252" s="166"/>
      <c r="G252" s="1540"/>
      <c r="H252" s="1466">
        <v>554373.09900000005</v>
      </c>
      <c r="I252" s="1466">
        <v>554373.09900000005</v>
      </c>
      <c r="J252" s="1466">
        <f t="shared" si="10"/>
        <v>1108746.1980000001</v>
      </c>
      <c r="K252" s="1466"/>
      <c r="L252" s="1540"/>
      <c r="M252" s="1540">
        <f t="shared" si="11"/>
        <v>1108746.1980000001</v>
      </c>
      <c r="N252" s="1539"/>
      <c r="O252" s="559"/>
    </row>
    <row r="253" spans="1:15" s="540" customFormat="1" ht="14.25" customHeight="1">
      <c r="A253" s="1536">
        <v>60</v>
      </c>
      <c r="B253" s="1537" t="e">
        <f>VLOOKUP(D253,'[2]DS CN MOI UP'!$B$11:$C$447,2,0)</f>
        <v>#N/A</v>
      </c>
      <c r="C253" s="1538" t="s">
        <v>654</v>
      </c>
      <c r="D253" s="1539" t="s">
        <v>840</v>
      </c>
      <c r="E253" s="166" t="s">
        <v>15</v>
      </c>
      <c r="F253" s="166"/>
      <c r="G253" s="1540"/>
      <c r="H253" s="1466">
        <v>554373.09900000005</v>
      </c>
      <c r="I253" s="1466">
        <v>554373.09900000005</v>
      </c>
      <c r="J253" s="1466">
        <f t="shared" si="10"/>
        <v>1108746.1980000001</v>
      </c>
      <c r="K253" s="1466"/>
      <c r="L253" s="1540"/>
      <c r="M253" s="1540">
        <f t="shared" si="11"/>
        <v>1108746.1980000001</v>
      </c>
      <c r="N253" s="1539"/>
      <c r="O253" s="559"/>
    </row>
    <row r="254" spans="1:15" s="540" customFormat="1" ht="14.25" customHeight="1">
      <c r="A254" s="1536">
        <v>61</v>
      </c>
      <c r="B254" s="1537" t="e">
        <f>VLOOKUP(D254,'[2]DS CN MOI UP'!$B$11:$C$447,2,0)</f>
        <v>#N/A</v>
      </c>
      <c r="C254" s="1538" t="s">
        <v>654</v>
      </c>
      <c r="D254" s="1539" t="s">
        <v>841</v>
      </c>
      <c r="E254" s="166" t="s">
        <v>15</v>
      </c>
      <c r="F254" s="166"/>
      <c r="G254" s="1540"/>
      <c r="H254" s="1466">
        <v>614840.625</v>
      </c>
      <c r="I254" s="1466">
        <v>554373.09900000005</v>
      </c>
      <c r="J254" s="1466">
        <f t="shared" si="10"/>
        <v>1169213.7239999999</v>
      </c>
      <c r="K254" s="1466"/>
      <c r="L254" s="1540"/>
      <c r="M254" s="1540">
        <f t="shared" si="11"/>
        <v>1169213.7239999999</v>
      </c>
      <c r="N254" s="1539"/>
      <c r="O254" s="559"/>
    </row>
    <row r="255" spans="1:15" s="540" customFormat="1" ht="14.25" customHeight="1">
      <c r="A255" s="1536">
        <v>62</v>
      </c>
      <c r="B255" s="1537" t="e">
        <f>VLOOKUP(D255,'[2]DS CN MOI UP'!$B$11:$C$447,2,0)</f>
        <v>#N/A</v>
      </c>
      <c r="C255" s="1538" t="s">
        <v>654</v>
      </c>
      <c r="D255" s="1539" t="s">
        <v>842</v>
      </c>
      <c r="E255" s="166" t="s">
        <v>15</v>
      </c>
      <c r="F255" s="166"/>
      <c r="G255" s="1540"/>
      <c r="H255" s="1466">
        <v>614840.625</v>
      </c>
      <c r="I255" s="1466">
        <v>554373.09900000005</v>
      </c>
      <c r="J255" s="1466">
        <f t="shared" si="10"/>
        <v>1169213.7239999999</v>
      </c>
      <c r="K255" s="1466"/>
      <c r="L255" s="1540"/>
      <c r="M255" s="1540">
        <f t="shared" si="11"/>
        <v>1169213.7239999999</v>
      </c>
      <c r="N255" s="1539"/>
      <c r="O255" s="559"/>
    </row>
    <row r="256" spans="1:15" s="540" customFormat="1" ht="14.25" customHeight="1">
      <c r="A256" s="1536">
        <v>63</v>
      </c>
      <c r="B256" s="1537" t="e">
        <f>VLOOKUP(D256,'[2]DS CN MOI UP'!$B$11:$C$447,2,0)</f>
        <v>#N/A</v>
      </c>
      <c r="C256" s="1538" t="s">
        <v>654</v>
      </c>
      <c r="D256" s="1539" t="s">
        <v>843</v>
      </c>
      <c r="E256" s="166" t="s">
        <v>15</v>
      </c>
      <c r="F256" s="166"/>
      <c r="G256" s="1540"/>
      <c r="H256" s="1466">
        <v>614840.625</v>
      </c>
      <c r="I256" s="1466">
        <v>554373.09900000005</v>
      </c>
      <c r="J256" s="1466">
        <f t="shared" si="10"/>
        <v>1169213.7239999999</v>
      </c>
      <c r="K256" s="1466"/>
      <c r="L256" s="1540"/>
      <c r="M256" s="1540">
        <f t="shared" si="11"/>
        <v>1169213.7239999999</v>
      </c>
      <c r="N256" s="1539"/>
      <c r="O256" s="559"/>
    </row>
    <row r="257" spans="1:15" s="540" customFormat="1" ht="14.25" customHeight="1">
      <c r="A257" s="1536">
        <v>64</v>
      </c>
      <c r="B257" s="1537" t="e">
        <f>VLOOKUP(D257,'[2]DS CN MOI UP'!$B$11:$C$447,2,0)</f>
        <v>#N/A</v>
      </c>
      <c r="C257" s="1538" t="s">
        <v>654</v>
      </c>
      <c r="D257" s="1539" t="s">
        <v>844</v>
      </c>
      <c r="E257" s="166" t="s">
        <v>15</v>
      </c>
      <c r="F257" s="166"/>
      <c r="G257" s="1540"/>
      <c r="H257" s="1466">
        <v>614840.625</v>
      </c>
      <c r="I257" s="1466">
        <v>554373.09900000005</v>
      </c>
      <c r="J257" s="1466">
        <f t="shared" si="10"/>
        <v>1169213.7239999999</v>
      </c>
      <c r="K257" s="1466"/>
      <c r="L257" s="1540"/>
      <c r="M257" s="1540">
        <f t="shared" si="11"/>
        <v>1169213.7239999999</v>
      </c>
      <c r="N257" s="1539"/>
      <c r="O257" s="559"/>
    </row>
    <row r="258" spans="1:15" s="540" customFormat="1" ht="14.25" customHeight="1">
      <c r="A258" s="1536">
        <v>65</v>
      </c>
      <c r="B258" s="1537" t="e">
        <f>VLOOKUP(D258,'[2]DS CN MOI UP'!$B$11:$C$447,2,0)</f>
        <v>#N/A</v>
      </c>
      <c r="C258" s="1538" t="s">
        <v>654</v>
      </c>
      <c r="D258" s="1539" t="s">
        <v>845</v>
      </c>
      <c r="E258" s="166" t="s">
        <v>15</v>
      </c>
      <c r="F258" s="166"/>
      <c r="G258" s="1540"/>
      <c r="H258" s="1466">
        <v>614840.625</v>
      </c>
      <c r="I258" s="1466">
        <v>554373.09900000005</v>
      </c>
      <c r="J258" s="1466">
        <f t="shared" si="10"/>
        <v>1169213.7239999999</v>
      </c>
      <c r="K258" s="1466"/>
      <c r="L258" s="1540"/>
      <c r="M258" s="1540">
        <f t="shared" si="11"/>
        <v>1169213.7239999999</v>
      </c>
      <c r="N258" s="1539"/>
      <c r="O258" s="559"/>
    </row>
    <row r="259" spans="1:15" s="540" customFormat="1" ht="14.25" customHeight="1">
      <c r="A259" s="1536">
        <v>66</v>
      </c>
      <c r="B259" s="1537" t="e">
        <f>VLOOKUP(D259,'[2]DS CN MOI UP'!$B$11:$C$447,2,0)</f>
        <v>#N/A</v>
      </c>
      <c r="C259" s="1538" t="s">
        <v>654</v>
      </c>
      <c r="D259" s="1539" t="s">
        <v>846</v>
      </c>
      <c r="E259" s="166" t="s">
        <v>15</v>
      </c>
      <c r="F259" s="166"/>
      <c r="G259" s="1540"/>
      <c r="H259" s="1466">
        <v>544338.9</v>
      </c>
      <c r="I259" s="1466">
        <v>554373.09900000005</v>
      </c>
      <c r="J259" s="1466">
        <f t="shared" si="10"/>
        <v>1098711.9990000001</v>
      </c>
      <c r="K259" s="1466"/>
      <c r="L259" s="1540"/>
      <c r="M259" s="1540">
        <f t="shared" si="11"/>
        <v>1098711.9990000001</v>
      </c>
      <c r="N259" s="1539"/>
      <c r="O259" s="559"/>
    </row>
    <row r="260" spans="1:15" s="540" customFormat="1" ht="14.25" customHeight="1">
      <c r="A260" s="1536">
        <v>67</v>
      </c>
      <c r="B260" s="1537" t="e">
        <f>VLOOKUP(D260,'[2]DS CN MOI UP'!$B$11:$C$447,2,0)</f>
        <v>#N/A</v>
      </c>
      <c r="C260" s="1538" t="s">
        <v>654</v>
      </c>
      <c r="D260" s="1539" t="s">
        <v>847</v>
      </c>
      <c r="E260" s="166" t="s">
        <v>15</v>
      </c>
      <c r="F260" s="166"/>
      <c r="G260" s="1540"/>
      <c r="H260" s="1466">
        <v>574572.66299999994</v>
      </c>
      <c r="I260" s="1466">
        <v>554373.09900000005</v>
      </c>
      <c r="J260" s="1466">
        <f t="shared" si="10"/>
        <v>1128945.7620000001</v>
      </c>
      <c r="K260" s="1466"/>
      <c r="L260" s="1540"/>
      <c r="M260" s="1540">
        <f t="shared" si="11"/>
        <v>1128945.7620000001</v>
      </c>
      <c r="N260" s="1539"/>
      <c r="O260" s="559"/>
    </row>
    <row r="261" spans="1:15" s="540" customFormat="1" ht="14.25" customHeight="1">
      <c r="A261" s="1536">
        <v>68</v>
      </c>
      <c r="B261" s="1537" t="e">
        <f>VLOOKUP(D261,'[2]DS CN MOI UP'!$B$11:$C$447,2,0)</f>
        <v>#N/A</v>
      </c>
      <c r="C261" s="1538" t="s">
        <v>654</v>
      </c>
      <c r="D261" s="1539" t="s">
        <v>848</v>
      </c>
      <c r="E261" s="166" t="s">
        <v>15</v>
      </c>
      <c r="F261" s="166"/>
      <c r="G261" s="1540"/>
      <c r="H261" s="1466">
        <v>604806.42599999998</v>
      </c>
      <c r="I261" s="1466">
        <v>554373.09900000005</v>
      </c>
      <c r="J261" s="1466">
        <f t="shared" si="10"/>
        <v>1159179.5249999999</v>
      </c>
      <c r="K261" s="1466"/>
      <c r="L261" s="1540"/>
      <c r="M261" s="1540">
        <f t="shared" si="11"/>
        <v>1159179.5249999999</v>
      </c>
      <c r="N261" s="1539"/>
      <c r="O261" s="559"/>
    </row>
    <row r="262" spans="1:15" s="540" customFormat="1" ht="14.25" customHeight="1">
      <c r="A262" s="1536">
        <v>69</v>
      </c>
      <c r="B262" s="1537" t="e">
        <f>VLOOKUP(D262,'[2]DS CN MOI UP'!$B$11:$C$447,2,0)</f>
        <v>#N/A</v>
      </c>
      <c r="C262" s="1538" t="s">
        <v>654</v>
      </c>
      <c r="D262" s="1539" t="s">
        <v>849</v>
      </c>
      <c r="E262" s="166" t="s">
        <v>15</v>
      </c>
      <c r="F262" s="166"/>
      <c r="G262" s="1540"/>
      <c r="H262" s="1466">
        <v>584606.86199999996</v>
      </c>
      <c r="I262" s="1466">
        <v>554373.09900000005</v>
      </c>
      <c r="J262" s="1466">
        <f t="shared" si="10"/>
        <v>1138979.9609999999</v>
      </c>
      <c r="K262" s="1466"/>
      <c r="L262" s="1540"/>
      <c r="M262" s="1540">
        <f t="shared" si="11"/>
        <v>1138979.9609999999</v>
      </c>
      <c r="N262" s="1539"/>
      <c r="O262" s="559"/>
    </row>
    <row r="263" spans="1:15" s="540" customFormat="1" ht="14.25" customHeight="1">
      <c r="A263" s="1536">
        <v>70</v>
      </c>
      <c r="B263" s="1537" t="e">
        <f>VLOOKUP(D263,'[2]DS CN MOI UP'!$B$11:$C$447,2,0)</f>
        <v>#N/A</v>
      </c>
      <c r="C263" s="1538" t="s">
        <v>654</v>
      </c>
      <c r="D263" s="1539" t="s">
        <v>850</v>
      </c>
      <c r="E263" s="166" t="s">
        <v>15</v>
      </c>
      <c r="F263" s="166"/>
      <c r="G263" s="1540"/>
      <c r="H263" s="1466">
        <v>635040.18900000001</v>
      </c>
      <c r="I263" s="1466">
        <v>554373.09900000005</v>
      </c>
      <c r="J263" s="1466">
        <f t="shared" si="10"/>
        <v>1189413.2879999999</v>
      </c>
      <c r="K263" s="1466"/>
      <c r="L263" s="1540"/>
      <c r="M263" s="1540">
        <f t="shared" si="11"/>
        <v>1189413.2879999999</v>
      </c>
      <c r="N263" s="1539"/>
      <c r="O263" s="559"/>
    </row>
    <row r="264" spans="1:15" s="540" customFormat="1" ht="14.25" customHeight="1">
      <c r="A264" s="1536">
        <v>71</v>
      </c>
      <c r="B264" s="1537" t="e">
        <f>VLOOKUP(D264,'[2]DS CN MOI UP'!$B$11:$C$447,2,0)</f>
        <v>#N/A</v>
      </c>
      <c r="C264" s="1538" t="s">
        <v>654</v>
      </c>
      <c r="D264" s="1539" t="s">
        <v>851</v>
      </c>
      <c r="E264" s="166" t="s">
        <v>15</v>
      </c>
      <c r="F264" s="166"/>
      <c r="G264" s="1540"/>
      <c r="H264" s="1466">
        <v>524139.33600000001</v>
      </c>
      <c r="I264" s="1466">
        <v>524139.33600000001</v>
      </c>
      <c r="J264" s="1466">
        <f t="shared" si="10"/>
        <v>1048278.672</v>
      </c>
      <c r="K264" s="1466"/>
      <c r="L264" s="1540"/>
      <c r="M264" s="1540">
        <f t="shared" si="11"/>
        <v>1048278.672</v>
      </c>
      <c r="N264" s="1539"/>
      <c r="O264" s="559"/>
    </row>
    <row r="265" spans="1:15" s="540" customFormat="1" ht="14.25" customHeight="1">
      <c r="A265" s="1536">
        <v>72</v>
      </c>
      <c r="B265" s="1537" t="e">
        <f>VLOOKUP(D265,'[2]DS CN MOI UP'!$B$11:$C$447,2,0)</f>
        <v>#N/A</v>
      </c>
      <c r="C265" s="1538" t="s">
        <v>654</v>
      </c>
      <c r="D265" s="1539" t="s">
        <v>852</v>
      </c>
      <c r="E265" s="166" t="s">
        <v>15</v>
      </c>
      <c r="F265" s="166"/>
      <c r="G265" s="1540"/>
      <c r="H265" s="1466">
        <v>635040.18900000001</v>
      </c>
      <c r="I265" s="1466">
        <v>524139.33600000001</v>
      </c>
      <c r="J265" s="1466">
        <f t="shared" si="10"/>
        <v>1159179.5249999999</v>
      </c>
      <c r="K265" s="1466"/>
      <c r="L265" s="1540"/>
      <c r="M265" s="1540">
        <f t="shared" si="11"/>
        <v>1159179.5249999999</v>
      </c>
      <c r="N265" s="1539"/>
      <c r="O265" s="559"/>
    </row>
    <row r="266" spans="1:15" s="540" customFormat="1" ht="14.25" customHeight="1">
      <c r="A266" s="1536">
        <v>73</v>
      </c>
      <c r="B266" s="1537" t="e">
        <f>VLOOKUP(D266,'[2]DS CN MOI UP'!$B$11:$C$447,2,0)</f>
        <v>#N/A</v>
      </c>
      <c r="C266" s="1538" t="s">
        <v>654</v>
      </c>
      <c r="D266" s="1539" t="s">
        <v>853</v>
      </c>
      <c r="E266" s="166" t="s">
        <v>15</v>
      </c>
      <c r="F266" s="166"/>
      <c r="G266" s="1540"/>
      <c r="H266" s="1466">
        <v>635040.18900000001</v>
      </c>
      <c r="I266" s="1466">
        <v>524139.33600000001</v>
      </c>
      <c r="J266" s="1466">
        <f t="shared" si="10"/>
        <v>1159179.5249999999</v>
      </c>
      <c r="K266" s="1466"/>
      <c r="L266" s="1540"/>
      <c r="M266" s="1540">
        <f t="shared" si="11"/>
        <v>1159179.5249999999</v>
      </c>
      <c r="N266" s="1539"/>
      <c r="O266" s="559"/>
    </row>
    <row r="267" spans="1:15" s="540" customFormat="1" ht="14.25" customHeight="1">
      <c r="A267" s="1536">
        <v>74</v>
      </c>
      <c r="B267" s="1537" t="e">
        <f>VLOOKUP(D267,'[2]DS CN MOI UP'!$B$11:$C$447,2,0)</f>
        <v>#N/A</v>
      </c>
      <c r="C267" s="1538" t="s">
        <v>654</v>
      </c>
      <c r="D267" s="1539" t="s">
        <v>854</v>
      </c>
      <c r="E267" s="166" t="s">
        <v>15</v>
      </c>
      <c r="F267" s="166"/>
      <c r="G267" s="1540"/>
      <c r="H267" s="1466">
        <v>635040.18900000001</v>
      </c>
      <c r="I267" s="1466">
        <v>524139.33600000001</v>
      </c>
      <c r="J267" s="1466">
        <f t="shared" si="10"/>
        <v>1159179.5249999999</v>
      </c>
      <c r="K267" s="1466"/>
      <c r="L267" s="1540"/>
      <c r="M267" s="1540">
        <f t="shared" si="11"/>
        <v>1159179.5249999999</v>
      </c>
      <c r="N267" s="1539"/>
      <c r="O267" s="559"/>
    </row>
    <row r="268" spans="1:15" s="540" customFormat="1" ht="14.25" customHeight="1">
      <c r="A268" s="1536">
        <v>75</v>
      </c>
      <c r="B268" s="1537" t="str">
        <f>VLOOKUP(D268,'[2]DS CN MOI UP'!$B$11:$C$447,2,0)</f>
        <v>02481</v>
      </c>
      <c r="C268" s="1538" t="s">
        <v>654</v>
      </c>
      <c r="D268" s="1539" t="s">
        <v>86</v>
      </c>
      <c r="E268" s="166" t="s">
        <v>15</v>
      </c>
      <c r="F268" s="166"/>
      <c r="G268" s="1540"/>
      <c r="H268" s="1466">
        <v>635040.18900000001</v>
      </c>
      <c r="I268" s="1466">
        <v>524139.33600000001</v>
      </c>
      <c r="J268" s="1466">
        <f t="shared" si="10"/>
        <v>1159179.5249999999</v>
      </c>
      <c r="K268" s="1466"/>
      <c r="L268" s="1540"/>
      <c r="M268" s="1540">
        <f t="shared" si="11"/>
        <v>1159179.5249999999</v>
      </c>
      <c r="N268" s="1539"/>
      <c r="O268" s="559"/>
    </row>
    <row r="269" spans="1:15" s="540" customFormat="1" ht="14.25" customHeight="1">
      <c r="A269" s="1536">
        <v>76</v>
      </c>
      <c r="B269" s="1537" t="e">
        <f>VLOOKUP(D269,'[2]DS CN MOI UP'!$B$11:$C$447,2,0)</f>
        <v>#N/A</v>
      </c>
      <c r="C269" s="1538" t="s">
        <v>654</v>
      </c>
      <c r="D269" s="1539" t="s">
        <v>855</v>
      </c>
      <c r="E269" s="166" t="s">
        <v>15</v>
      </c>
      <c r="F269" s="166"/>
      <c r="G269" s="1540"/>
      <c r="H269" s="1466">
        <v>635040.18900000001</v>
      </c>
      <c r="I269" s="1466">
        <v>524139.33600000001</v>
      </c>
      <c r="J269" s="1466">
        <f t="shared" si="10"/>
        <v>1159179.5249999999</v>
      </c>
      <c r="K269" s="1466"/>
      <c r="L269" s="1540"/>
      <c r="M269" s="1540">
        <f t="shared" si="11"/>
        <v>1159179.5249999999</v>
      </c>
      <c r="N269" s="1539"/>
      <c r="O269" s="559"/>
    </row>
    <row r="270" spans="1:15" s="540" customFormat="1" ht="14.25" customHeight="1">
      <c r="A270" s="1536">
        <v>77</v>
      </c>
      <c r="B270" s="1537" t="e">
        <f>VLOOKUP(D270,'[2]DS CN MOI UP'!$B$11:$C$447,2,0)</f>
        <v>#N/A</v>
      </c>
      <c r="C270" s="1538" t="s">
        <v>654</v>
      </c>
      <c r="D270" s="1539" t="s">
        <v>856</v>
      </c>
      <c r="E270" s="166" t="s">
        <v>15</v>
      </c>
      <c r="F270" s="166"/>
      <c r="G270" s="1540"/>
      <c r="H270" s="1466">
        <v>635040.18900000001</v>
      </c>
      <c r="I270" s="1466">
        <v>524139.33600000001</v>
      </c>
      <c r="J270" s="1466">
        <f t="shared" si="10"/>
        <v>1159179.5249999999</v>
      </c>
      <c r="K270" s="1466"/>
      <c r="L270" s="1540"/>
      <c r="M270" s="1540">
        <f t="shared" si="11"/>
        <v>1159179.5249999999</v>
      </c>
      <c r="N270" s="1539"/>
      <c r="O270" s="559"/>
    </row>
    <row r="271" spans="1:15" s="540" customFormat="1" ht="14.25" customHeight="1">
      <c r="A271" s="1536">
        <v>78</v>
      </c>
      <c r="B271" s="1537" t="e">
        <f>VLOOKUP(D271,'[2]DS CN MOI UP'!$B$11:$C$447,2,0)</f>
        <v>#N/A</v>
      </c>
      <c r="C271" s="1538" t="s">
        <v>654</v>
      </c>
      <c r="D271" s="1539" t="s">
        <v>857</v>
      </c>
      <c r="E271" s="166" t="s">
        <v>15</v>
      </c>
      <c r="F271" s="166"/>
      <c r="G271" s="1540"/>
      <c r="H271" s="1466">
        <v>635040.18900000001</v>
      </c>
      <c r="I271" s="1466">
        <v>148846.32500000999</v>
      </c>
      <c r="J271" s="1466">
        <f t="shared" si="10"/>
        <v>783886.51400000998</v>
      </c>
      <c r="K271" s="1466"/>
      <c r="L271" s="1540"/>
      <c r="M271" s="1540">
        <f t="shared" si="11"/>
        <v>783886.51400000998</v>
      </c>
      <c r="N271" s="1539"/>
      <c r="O271" s="559"/>
    </row>
    <row r="272" spans="1:15" s="540" customFormat="1" ht="14.25" customHeight="1">
      <c r="A272" s="1536">
        <v>79</v>
      </c>
      <c r="B272" s="1537" t="e">
        <f>VLOOKUP(D272,'[2]DS CN MOI UP'!$B$11:$C$447,2,0)</f>
        <v>#N/A</v>
      </c>
      <c r="C272" s="1538" t="s">
        <v>654</v>
      </c>
      <c r="D272" s="1539" t="s">
        <v>858</v>
      </c>
      <c r="E272" s="166" t="s">
        <v>15</v>
      </c>
      <c r="F272" s="166"/>
      <c r="G272" s="1540"/>
      <c r="H272" s="1466">
        <v>554373.09900000005</v>
      </c>
      <c r="I272" s="1466">
        <v>554373.09900000005</v>
      </c>
      <c r="J272" s="1466">
        <f t="shared" si="10"/>
        <v>1108746.1980000001</v>
      </c>
      <c r="K272" s="1466"/>
      <c r="L272" s="1540"/>
      <c r="M272" s="1540">
        <f t="shared" si="11"/>
        <v>1108746.1980000001</v>
      </c>
      <c r="N272" s="1539"/>
      <c r="O272" s="559"/>
    </row>
    <row r="273" spans="1:15" s="540" customFormat="1" ht="14.25" customHeight="1">
      <c r="A273" s="1536">
        <v>80</v>
      </c>
      <c r="B273" s="1537" t="e">
        <f>VLOOKUP(D273,'[2]DS CN MOI UP'!$B$11:$C$447,2,0)</f>
        <v>#N/A</v>
      </c>
      <c r="C273" s="1538" t="s">
        <v>654</v>
      </c>
      <c r="D273" s="1539" t="s">
        <v>859</v>
      </c>
      <c r="E273" s="166" t="s">
        <v>15</v>
      </c>
      <c r="F273" s="166"/>
      <c r="G273" s="1540"/>
      <c r="H273" s="1466">
        <v>554373.09900000005</v>
      </c>
      <c r="I273" s="1466">
        <v>554373.09900000005</v>
      </c>
      <c r="J273" s="1466">
        <f t="shared" si="10"/>
        <v>1108746.1980000001</v>
      </c>
      <c r="K273" s="1466"/>
      <c r="L273" s="1540"/>
      <c r="M273" s="1540">
        <f t="shared" si="11"/>
        <v>1108746.1980000001</v>
      </c>
      <c r="N273" s="1539"/>
      <c r="O273" s="559"/>
    </row>
    <row r="274" spans="1:15" s="540" customFormat="1" ht="14.25" customHeight="1">
      <c r="A274" s="1536">
        <v>81</v>
      </c>
      <c r="B274" s="1537" t="e">
        <f>VLOOKUP(D274,'[2]DS CN MOI UP'!$B$11:$C$447,2,0)</f>
        <v>#N/A</v>
      </c>
      <c r="C274" s="1538" t="s">
        <v>654</v>
      </c>
      <c r="D274" s="1539" t="s">
        <v>860</v>
      </c>
      <c r="E274" s="166" t="s">
        <v>15</v>
      </c>
      <c r="F274" s="166"/>
      <c r="G274" s="1540"/>
      <c r="H274" s="1466">
        <v>554373.09900000005</v>
      </c>
      <c r="I274" s="1466">
        <v>554373.09900000005</v>
      </c>
      <c r="J274" s="1466">
        <f t="shared" si="10"/>
        <v>1108746.1980000001</v>
      </c>
      <c r="K274" s="1466"/>
      <c r="L274" s="1540"/>
      <c r="M274" s="1540">
        <f t="shared" si="11"/>
        <v>1108746.1980000001</v>
      </c>
      <c r="N274" s="1539"/>
      <c r="O274" s="559"/>
    </row>
    <row r="275" spans="1:15" s="540" customFormat="1" ht="14.25" customHeight="1">
      <c r="A275" s="1536">
        <v>82</v>
      </c>
      <c r="B275" s="1537" t="e">
        <f>VLOOKUP(D275,'[2]DS CN MOI UP'!$B$11:$C$447,2,0)</f>
        <v>#N/A</v>
      </c>
      <c r="C275" s="1538" t="s">
        <v>654</v>
      </c>
      <c r="D275" s="1539" t="s">
        <v>861</v>
      </c>
      <c r="E275" s="166" t="s">
        <v>15</v>
      </c>
      <c r="F275" s="166"/>
      <c r="G275" s="1540"/>
      <c r="H275" s="1466">
        <v>635040.18900000001</v>
      </c>
      <c r="I275" s="1466">
        <v>635040.18900000001</v>
      </c>
      <c r="J275" s="1466">
        <f t="shared" si="10"/>
        <v>1270080.378</v>
      </c>
      <c r="K275" s="1466"/>
      <c r="L275" s="1540"/>
      <c r="M275" s="1540">
        <f t="shared" si="11"/>
        <v>1270080.378</v>
      </c>
      <c r="N275" s="1539"/>
      <c r="O275" s="559"/>
    </row>
    <row r="276" spans="1:15" s="540" customFormat="1" ht="14.25" customHeight="1">
      <c r="A276" s="1536">
        <v>83</v>
      </c>
      <c r="B276" s="1537" t="e">
        <f>VLOOKUP(D276,'[2]DS CN MOI UP'!$B$11:$C$447,2,0)</f>
        <v>#N/A</v>
      </c>
      <c r="C276" s="1538" t="s">
        <v>654</v>
      </c>
      <c r="D276" s="1539" t="s">
        <v>862</v>
      </c>
      <c r="E276" s="166" t="s">
        <v>15</v>
      </c>
      <c r="F276" s="166"/>
      <c r="G276" s="1540"/>
      <c r="H276" s="1466">
        <v>544338.9</v>
      </c>
      <c r="I276" s="1466">
        <v>544338.9</v>
      </c>
      <c r="J276" s="1466">
        <f t="shared" si="10"/>
        <v>1088677.8</v>
      </c>
      <c r="K276" s="1466"/>
      <c r="L276" s="1540"/>
      <c r="M276" s="1540">
        <f t="shared" si="11"/>
        <v>1088677.8</v>
      </c>
      <c r="N276" s="1539"/>
      <c r="O276" s="559"/>
    </row>
    <row r="277" spans="1:15" s="540" customFormat="1" ht="14.25" customHeight="1">
      <c r="A277" s="1536">
        <v>84</v>
      </c>
      <c r="B277" s="1537" t="e">
        <f>VLOOKUP(D277,'[2]DS CN MOI UP'!$B$11:$C$447,2,0)</f>
        <v>#N/A</v>
      </c>
      <c r="C277" s="1538" t="s">
        <v>654</v>
      </c>
      <c r="D277" s="1539" t="s">
        <v>863</v>
      </c>
      <c r="E277" s="166" t="s">
        <v>15</v>
      </c>
      <c r="F277" s="166"/>
      <c r="G277" s="1540"/>
      <c r="H277" s="1466">
        <v>574572.66299999994</v>
      </c>
      <c r="I277" s="1466">
        <v>574572.66299999994</v>
      </c>
      <c r="J277" s="1466">
        <f t="shared" si="10"/>
        <v>1149145.3259999999</v>
      </c>
      <c r="K277" s="1466"/>
      <c r="L277" s="1540"/>
      <c r="M277" s="1540">
        <f t="shared" si="11"/>
        <v>1149145.3259999999</v>
      </c>
      <c r="N277" s="1539"/>
      <c r="O277" s="559"/>
    </row>
    <row r="278" spans="1:15" s="540" customFormat="1" ht="14.25" customHeight="1">
      <c r="A278" s="1536">
        <v>85</v>
      </c>
      <c r="B278" s="1537" t="e">
        <f>VLOOKUP(D278,'[2]DS CN MOI UP'!$B$11:$C$447,2,0)</f>
        <v>#N/A</v>
      </c>
      <c r="C278" s="1538" t="s">
        <v>654</v>
      </c>
      <c r="D278" s="1539" t="s">
        <v>864</v>
      </c>
      <c r="E278" s="166" t="s">
        <v>15</v>
      </c>
      <c r="F278" s="166"/>
      <c r="G278" s="1540"/>
      <c r="H278" s="1466">
        <v>604806.42599999998</v>
      </c>
      <c r="I278" s="1466">
        <v>604806.42599999998</v>
      </c>
      <c r="J278" s="1466">
        <f t="shared" si="10"/>
        <v>1209612.852</v>
      </c>
      <c r="K278" s="1466"/>
      <c r="L278" s="1540"/>
      <c r="M278" s="1540">
        <f t="shared" si="11"/>
        <v>1209612.852</v>
      </c>
      <c r="N278" s="1539"/>
      <c r="O278" s="559"/>
    </row>
    <row r="279" spans="1:15" s="540" customFormat="1" ht="14.25" customHeight="1">
      <c r="A279" s="1536">
        <v>86</v>
      </c>
      <c r="B279" s="1537"/>
      <c r="C279" s="1538" t="s">
        <v>648</v>
      </c>
      <c r="D279" s="1539" t="s">
        <v>865</v>
      </c>
      <c r="E279" s="166" t="s">
        <v>15</v>
      </c>
      <c r="F279" s="166"/>
      <c r="G279" s="1540"/>
      <c r="H279" s="1540">
        <v>554373.09900000005</v>
      </c>
      <c r="I279" s="1466">
        <v>604806.42599999998</v>
      </c>
      <c r="J279" s="1466">
        <f t="shared" si="10"/>
        <v>1159179.5249999999</v>
      </c>
      <c r="K279" s="1466"/>
      <c r="L279" s="1540"/>
      <c r="M279" s="1540">
        <f t="shared" si="11"/>
        <v>1159179.5249999999</v>
      </c>
      <c r="N279" s="1539"/>
      <c r="O279" s="559"/>
    </row>
    <row r="280" spans="1:15" s="540" customFormat="1" ht="14.25" customHeight="1">
      <c r="A280" s="1536">
        <v>87</v>
      </c>
      <c r="B280" s="1537" t="e">
        <f>VLOOKUP(D280,'[2]DS CN MOI UP'!$B$11:$C$447,2,0)</f>
        <v>#N/A</v>
      </c>
      <c r="C280" s="1538" t="s">
        <v>650</v>
      </c>
      <c r="D280" s="1539" t="s">
        <v>866</v>
      </c>
      <c r="E280" s="166" t="s">
        <v>15</v>
      </c>
      <c r="F280" s="166"/>
      <c r="G280" s="1540"/>
      <c r="H280" s="1540">
        <v>554373.09900000005</v>
      </c>
      <c r="I280" s="1466">
        <v>604806.42599999998</v>
      </c>
      <c r="J280" s="1466">
        <f t="shared" si="10"/>
        <v>1159179.5249999999</v>
      </c>
      <c r="K280" s="1466"/>
      <c r="L280" s="1540"/>
      <c r="M280" s="1540">
        <f t="shared" si="11"/>
        <v>1159179.5249999999</v>
      </c>
      <c r="N280" s="1539"/>
      <c r="O280" s="559"/>
    </row>
    <row r="281" spans="1:15" s="540" customFormat="1" ht="14.25" customHeight="1">
      <c r="A281" s="1536">
        <v>88</v>
      </c>
      <c r="B281" s="1537" t="e">
        <f>VLOOKUP(D281,'[2]DS CN MOI UP'!$B$11:$C$447,2,0)</f>
        <v>#N/A</v>
      </c>
      <c r="C281" s="1538" t="s">
        <v>651</v>
      </c>
      <c r="D281" s="1539" t="s">
        <v>867</v>
      </c>
      <c r="E281" s="166" t="s">
        <v>15</v>
      </c>
      <c r="F281" s="166"/>
      <c r="G281" s="1540"/>
      <c r="H281" s="1540">
        <v>554373.09900000005</v>
      </c>
      <c r="I281" s="1466">
        <v>674716.90120000497</v>
      </c>
      <c r="J281" s="1466">
        <f t="shared" si="10"/>
        <v>1229090.0002000099</v>
      </c>
      <c r="K281" s="1466"/>
      <c r="L281" s="1540"/>
      <c r="M281" s="1540">
        <f t="shared" si="11"/>
        <v>1229090.0002000099</v>
      </c>
      <c r="N281" s="1539"/>
      <c r="O281" s="559">
        <v>69910.475200004905</v>
      </c>
    </row>
    <row r="282" spans="1:15" s="540" customFormat="1" ht="14.25" customHeight="1">
      <c r="A282" s="1536">
        <v>89</v>
      </c>
      <c r="B282" s="1537" t="e">
        <f>VLOOKUP(D282,'[2]DS CN MOI UP'!$B$11:$C$447,2,0)</f>
        <v>#N/A</v>
      </c>
      <c r="C282" s="1538" t="s">
        <v>651</v>
      </c>
      <c r="D282" s="1539" t="s">
        <v>868</v>
      </c>
      <c r="E282" s="166" t="s">
        <v>15</v>
      </c>
      <c r="F282" s="166"/>
      <c r="G282" s="1540"/>
      <c r="H282" s="1540">
        <v>635040.18900000001</v>
      </c>
      <c r="I282" s="1466">
        <v>604806.42599999998</v>
      </c>
      <c r="J282" s="1466">
        <f t="shared" si="10"/>
        <v>1239846.615</v>
      </c>
      <c r="K282" s="1466"/>
      <c r="L282" s="1540"/>
      <c r="M282" s="1540">
        <f t="shared" si="11"/>
        <v>1239846.615</v>
      </c>
      <c r="N282" s="1539"/>
      <c r="O282" s="559"/>
    </row>
    <row r="283" spans="1:15" s="540" customFormat="1" ht="14.25" customHeight="1">
      <c r="A283" s="1536">
        <v>90</v>
      </c>
      <c r="B283" s="1537" t="e">
        <f>VLOOKUP(D283,'[2]DS CN MOI UP'!$B$11:$C$447,2,0)</f>
        <v>#N/A</v>
      </c>
      <c r="C283" s="1538" t="s">
        <v>651</v>
      </c>
      <c r="D283" s="1539" t="s">
        <v>869</v>
      </c>
      <c r="E283" s="166" t="s">
        <v>15</v>
      </c>
      <c r="F283" s="166"/>
      <c r="G283" s="1540"/>
      <c r="H283" s="1540">
        <v>554373.09900000005</v>
      </c>
      <c r="I283" s="1540">
        <v>554373.09900000005</v>
      </c>
      <c r="J283" s="1466">
        <f t="shared" si="10"/>
        <v>1108746.1980000001</v>
      </c>
      <c r="K283" s="1466"/>
      <c r="L283" s="1540"/>
      <c r="M283" s="1540">
        <f t="shared" si="11"/>
        <v>1108746.1980000001</v>
      </c>
      <c r="N283" s="1539"/>
      <c r="O283" s="559"/>
    </row>
    <row r="284" spans="1:15" s="540" customFormat="1" ht="14.25" customHeight="1">
      <c r="A284" s="1536">
        <v>91</v>
      </c>
      <c r="B284" s="1537" t="e">
        <f>VLOOKUP(D284,'[2]DS CN MOI UP'!$B$11:$C$447,2,0)</f>
        <v>#N/A</v>
      </c>
      <c r="C284" s="1538" t="s">
        <v>651</v>
      </c>
      <c r="D284" s="1539" t="s">
        <v>870</v>
      </c>
      <c r="E284" s="166" t="s">
        <v>15</v>
      </c>
      <c r="F284" s="166"/>
      <c r="G284" s="1540"/>
      <c r="H284" s="1540">
        <v>554373.09900000005</v>
      </c>
      <c r="I284" s="1540">
        <v>554373.09900000005</v>
      </c>
      <c r="J284" s="1466">
        <f t="shared" si="10"/>
        <v>1108746.1980000001</v>
      </c>
      <c r="K284" s="1466"/>
      <c r="L284" s="1540"/>
      <c r="M284" s="1540">
        <f t="shared" si="11"/>
        <v>1108746.1980000001</v>
      </c>
      <c r="N284" s="1539"/>
      <c r="O284" s="559"/>
    </row>
    <row r="285" spans="1:15" s="540" customFormat="1" ht="14.25" customHeight="1">
      <c r="A285" s="1536">
        <v>92</v>
      </c>
      <c r="B285" s="1537" t="e">
        <f>VLOOKUP(D285,'[2]DS CN MOI UP'!$B$11:$C$447,2,0)</f>
        <v>#N/A</v>
      </c>
      <c r="C285" s="1538" t="s">
        <v>651</v>
      </c>
      <c r="D285" s="1539" t="s">
        <v>871</v>
      </c>
      <c r="E285" s="166" t="s">
        <v>15</v>
      </c>
      <c r="F285" s="166"/>
      <c r="G285" s="1540"/>
      <c r="H285" s="1540">
        <v>635040.18900000001</v>
      </c>
      <c r="I285" s="1540">
        <v>635040.18900000001</v>
      </c>
      <c r="J285" s="1466">
        <f t="shared" si="10"/>
        <v>1270080.378</v>
      </c>
      <c r="K285" s="1466"/>
      <c r="L285" s="1540"/>
      <c r="M285" s="1540">
        <f t="shared" si="11"/>
        <v>1270080.378</v>
      </c>
      <c r="N285" s="1539"/>
      <c r="O285" s="559"/>
    </row>
    <row r="286" spans="1:15" s="540" customFormat="1" ht="14.25" customHeight="1">
      <c r="A286" s="1536">
        <v>93</v>
      </c>
      <c r="B286" s="1537" t="e">
        <f>VLOOKUP(D286,'[2]DS CN MOI UP'!$B$11:$C$447,2,0)</f>
        <v>#N/A</v>
      </c>
      <c r="C286" s="1538" t="s">
        <v>651</v>
      </c>
      <c r="D286" s="1539" t="s">
        <v>872</v>
      </c>
      <c r="E286" s="166" t="s">
        <v>15</v>
      </c>
      <c r="F286" s="166"/>
      <c r="G286" s="1540"/>
      <c r="H286" s="1540">
        <v>544338.9</v>
      </c>
      <c r="I286" s="1540">
        <v>544338.9</v>
      </c>
      <c r="J286" s="1466">
        <f t="shared" si="10"/>
        <v>1088677.8</v>
      </c>
      <c r="K286" s="1466"/>
      <c r="L286" s="1540"/>
      <c r="M286" s="1540">
        <f t="shared" si="11"/>
        <v>1088677.8</v>
      </c>
      <c r="N286" s="1539"/>
      <c r="O286" s="559"/>
    </row>
    <row r="287" spans="1:15" s="540" customFormat="1" ht="14.25" customHeight="1">
      <c r="A287" s="1536">
        <v>94</v>
      </c>
      <c r="B287" s="1537" t="e">
        <f>VLOOKUP(D287,'[2]DS CN MOI UP'!$B$11:$C$447,2,0)</f>
        <v>#N/A</v>
      </c>
      <c r="C287" s="1538" t="s">
        <v>651</v>
      </c>
      <c r="D287" s="1539" t="s">
        <v>873</v>
      </c>
      <c r="E287" s="166" t="s">
        <v>15</v>
      </c>
      <c r="F287" s="166"/>
      <c r="G287" s="1540"/>
      <c r="H287" s="1540">
        <v>574572.66299999994</v>
      </c>
      <c r="I287" s="1540">
        <v>574572.66299999994</v>
      </c>
      <c r="J287" s="1466">
        <f t="shared" si="10"/>
        <v>1149145.3259999999</v>
      </c>
      <c r="K287" s="1466"/>
      <c r="L287" s="1540"/>
      <c r="M287" s="1540">
        <f t="shared" si="11"/>
        <v>1149145.3259999999</v>
      </c>
      <c r="N287" s="1539"/>
      <c r="O287" s="559"/>
    </row>
    <row r="288" spans="1:15" s="540" customFormat="1" ht="14.25" customHeight="1">
      <c r="A288" s="1536">
        <v>95</v>
      </c>
      <c r="B288" s="1537" t="e">
        <f>VLOOKUP(D288,'[2]DS CN MOI UP'!$B$11:$C$447,2,0)</f>
        <v>#N/A</v>
      </c>
      <c r="C288" s="1538" t="s">
        <v>651</v>
      </c>
      <c r="D288" s="1539" t="s">
        <v>874</v>
      </c>
      <c r="E288" s="166" t="s">
        <v>15</v>
      </c>
      <c r="F288" s="166"/>
      <c r="G288" s="1540"/>
      <c r="H288" s="1540">
        <v>604806.42599999998</v>
      </c>
      <c r="I288" s="1540">
        <v>604806.42599999998</v>
      </c>
      <c r="J288" s="1466">
        <f t="shared" si="10"/>
        <v>1209612.852</v>
      </c>
      <c r="K288" s="1466"/>
      <c r="L288" s="1540"/>
      <c r="M288" s="1540">
        <f t="shared" si="11"/>
        <v>1209612.852</v>
      </c>
      <c r="N288" s="1539"/>
      <c r="O288" s="559"/>
    </row>
    <row r="289" spans="1:15" s="540" customFormat="1" ht="14.25" customHeight="1">
      <c r="A289" s="1536">
        <v>96</v>
      </c>
      <c r="B289" s="1537" t="e">
        <f>VLOOKUP(D289,'[2]DS CN MOI UP'!$B$11:$C$447,2,0)</f>
        <v>#N/A</v>
      </c>
      <c r="C289" s="1538" t="s">
        <v>651</v>
      </c>
      <c r="D289" s="1539" t="s">
        <v>875</v>
      </c>
      <c r="E289" s="166" t="s">
        <v>15</v>
      </c>
      <c r="F289" s="166"/>
      <c r="G289" s="1540"/>
      <c r="H289" s="1540">
        <v>584606.86199999996</v>
      </c>
      <c r="I289" s="1540">
        <v>584606.86199999996</v>
      </c>
      <c r="J289" s="1466">
        <f t="shared" si="10"/>
        <v>1169213.7239999999</v>
      </c>
      <c r="K289" s="1466"/>
      <c r="L289" s="1540"/>
      <c r="M289" s="1540">
        <f t="shared" si="11"/>
        <v>1169213.7239999999</v>
      </c>
      <c r="N289" s="1539"/>
      <c r="O289" s="559"/>
    </row>
    <row r="290" spans="1:15" s="540" customFormat="1" ht="14.25" customHeight="1">
      <c r="A290" s="1536">
        <v>97</v>
      </c>
      <c r="B290" s="1537" t="e">
        <f>VLOOKUP(D290,'[2]DS CN MOI UP'!$B$11:$C$447,2,0)</f>
        <v>#N/A</v>
      </c>
      <c r="C290" s="1538" t="s">
        <v>651</v>
      </c>
      <c r="D290" s="1539" t="s">
        <v>876</v>
      </c>
      <c r="E290" s="166" t="s">
        <v>15</v>
      </c>
      <c r="F290" s="166"/>
      <c r="G290" s="1540"/>
      <c r="H290" s="1540">
        <v>635040.18900000001</v>
      </c>
      <c r="I290" s="1540">
        <v>635040.18900000001</v>
      </c>
      <c r="J290" s="1466">
        <f t="shared" si="10"/>
        <v>1270080.378</v>
      </c>
      <c r="K290" s="1466"/>
      <c r="L290" s="1540"/>
      <c r="M290" s="1540">
        <f t="shared" si="11"/>
        <v>1270080.378</v>
      </c>
      <c r="N290" s="1539"/>
      <c r="O290" s="559"/>
    </row>
    <row r="291" spans="1:15" s="540" customFormat="1" ht="14.25" customHeight="1">
      <c r="A291" s="1536">
        <v>98</v>
      </c>
      <c r="B291" s="1537" t="e">
        <f>VLOOKUP(D291,'[2]DS CN MOI UP'!$B$11:$C$447,2,0)</f>
        <v>#N/A</v>
      </c>
      <c r="C291" s="1538" t="s">
        <v>651</v>
      </c>
      <c r="D291" s="1539" t="s">
        <v>567</v>
      </c>
      <c r="E291" s="166" t="s">
        <v>15</v>
      </c>
      <c r="F291" s="166"/>
      <c r="G291" s="1540"/>
      <c r="H291" s="1540">
        <v>524139.33600000001</v>
      </c>
      <c r="I291" s="1540">
        <v>524139.33600000001</v>
      </c>
      <c r="J291" s="1466">
        <f t="shared" si="10"/>
        <v>1048278.672</v>
      </c>
      <c r="K291" s="1466"/>
      <c r="L291" s="1540"/>
      <c r="M291" s="1540">
        <f t="shared" si="11"/>
        <v>1048278.672</v>
      </c>
      <c r="N291" s="1539"/>
      <c r="O291" s="559"/>
    </row>
    <row r="292" spans="1:15" s="540" customFormat="1" ht="14.25" customHeight="1">
      <c r="A292" s="1536">
        <v>99</v>
      </c>
      <c r="B292" s="1537" t="e">
        <f>VLOOKUP(D292,'[2]DS CN MOI UP'!$B$11:$C$447,2,0)</f>
        <v>#N/A</v>
      </c>
      <c r="C292" s="1538" t="s">
        <v>651</v>
      </c>
      <c r="D292" s="1539" t="s">
        <v>877</v>
      </c>
      <c r="E292" s="166" t="s">
        <v>15</v>
      </c>
      <c r="F292" s="166"/>
      <c r="G292" s="1540"/>
      <c r="H292" s="1540">
        <v>554373.09900000005</v>
      </c>
      <c r="I292" s="1540">
        <v>578208.38579999702</v>
      </c>
      <c r="J292" s="1466">
        <f t="shared" si="10"/>
        <v>1132581.4848</v>
      </c>
      <c r="K292" s="1466"/>
      <c r="L292" s="1540"/>
      <c r="M292" s="1540">
        <f t="shared" si="11"/>
        <v>1132581.4848</v>
      </c>
      <c r="N292" s="1539"/>
      <c r="O292" s="559"/>
    </row>
    <row r="293" spans="1:15" s="540" customFormat="1" ht="14.25" customHeight="1">
      <c r="A293" s="1536">
        <v>100</v>
      </c>
      <c r="B293" s="1537" t="e">
        <f>VLOOKUP(D293,'[2]DS CN MOI UP'!$B$11:$C$447,2,0)</f>
        <v>#N/A</v>
      </c>
      <c r="C293" s="1538" t="s">
        <v>654</v>
      </c>
      <c r="D293" s="1539" t="s">
        <v>878</v>
      </c>
      <c r="E293" s="166" t="s">
        <v>15</v>
      </c>
      <c r="F293" s="166"/>
      <c r="G293" s="1540"/>
      <c r="H293" s="1540">
        <v>1108746.1980000001</v>
      </c>
      <c r="I293" s="1540"/>
      <c r="J293" s="1466">
        <f t="shared" si="10"/>
        <v>1108746.1980000001</v>
      </c>
      <c r="K293" s="1466"/>
      <c r="L293" s="1540"/>
      <c r="M293" s="1540">
        <f t="shared" si="11"/>
        <v>1108746.1980000001</v>
      </c>
      <c r="N293" s="1539"/>
      <c r="O293" s="559"/>
    </row>
    <row r="294" spans="1:15" s="540" customFormat="1" ht="14.25" customHeight="1">
      <c r="A294" s="1536">
        <v>101</v>
      </c>
      <c r="B294" s="1537" t="e">
        <f>VLOOKUP(D294,'[2]DS CN MOI UP'!$B$11:$C$447,2,0)</f>
        <v>#N/A</v>
      </c>
      <c r="C294" s="1538" t="s">
        <v>654</v>
      </c>
      <c r="D294" s="1539" t="s">
        <v>879</v>
      </c>
      <c r="E294" s="166" t="s">
        <v>15</v>
      </c>
      <c r="F294" s="166"/>
      <c r="G294" s="1540"/>
      <c r="H294" s="1540">
        <v>1270080.378</v>
      </c>
      <c r="I294" s="1540"/>
      <c r="J294" s="1466">
        <f t="shared" si="10"/>
        <v>1270080.378</v>
      </c>
      <c r="K294" s="1466"/>
      <c r="L294" s="1540"/>
      <c r="M294" s="1540">
        <f t="shared" si="11"/>
        <v>1270080.378</v>
      </c>
      <c r="N294" s="1539"/>
      <c r="O294" s="559"/>
    </row>
    <row r="295" spans="1:15" s="540" customFormat="1" ht="14.25" customHeight="1">
      <c r="A295" s="1536">
        <v>102</v>
      </c>
      <c r="B295" s="1537" t="e">
        <f>VLOOKUP(D295,'[2]DS CN MOI UP'!$B$11:$C$447,2,0)</f>
        <v>#N/A</v>
      </c>
      <c r="C295" s="1538" t="s">
        <v>654</v>
      </c>
      <c r="D295" s="1539" t="s">
        <v>880</v>
      </c>
      <c r="E295" s="166" t="s">
        <v>15</v>
      </c>
      <c r="F295" s="166"/>
      <c r="G295" s="1540"/>
      <c r="H295" s="1540">
        <v>1088677.8</v>
      </c>
      <c r="I295" s="1540"/>
      <c r="J295" s="1466">
        <f t="shared" si="10"/>
        <v>1088677.8</v>
      </c>
      <c r="K295" s="1466"/>
      <c r="L295" s="1540"/>
      <c r="M295" s="1540">
        <f t="shared" si="11"/>
        <v>1088677.8</v>
      </c>
      <c r="N295" s="1539"/>
      <c r="O295" s="559"/>
    </row>
    <row r="296" spans="1:15" s="540" customFormat="1" ht="14.25" customHeight="1">
      <c r="A296" s="1536">
        <v>103</v>
      </c>
      <c r="B296" s="1537" t="e">
        <f>VLOOKUP(D296,'[2]DS CN MOI UP'!$B$11:$C$447,2,0)</f>
        <v>#N/A</v>
      </c>
      <c r="C296" s="1538" t="s">
        <v>654</v>
      </c>
      <c r="D296" s="1539" t="s">
        <v>881</v>
      </c>
      <c r="E296" s="166" t="s">
        <v>15</v>
      </c>
      <c r="F296" s="166"/>
      <c r="G296" s="1540"/>
      <c r="H296" s="1540">
        <v>1149145.3259999999</v>
      </c>
      <c r="I296" s="1540"/>
      <c r="J296" s="1466">
        <f t="shared" si="10"/>
        <v>1149145.3259999999</v>
      </c>
      <c r="K296" s="1466"/>
      <c r="L296" s="1540"/>
      <c r="M296" s="1540">
        <f t="shared" si="11"/>
        <v>1149145.3259999999</v>
      </c>
      <c r="N296" s="1539"/>
      <c r="O296" s="559"/>
    </row>
    <row r="297" spans="1:15" s="540" customFormat="1" ht="14.25" customHeight="1">
      <c r="A297" s="1536">
        <v>104</v>
      </c>
      <c r="B297" s="1537" t="e">
        <f>VLOOKUP(D297,'[2]DS CN MOI UP'!$B$11:$C$447,2,0)</f>
        <v>#N/A</v>
      </c>
      <c r="C297" s="1538" t="s">
        <v>654</v>
      </c>
      <c r="D297" s="1539" t="s">
        <v>882</v>
      </c>
      <c r="E297" s="166" t="s">
        <v>15</v>
      </c>
      <c r="F297" s="166"/>
      <c r="G297" s="1540"/>
      <c r="H297" s="1540">
        <v>1209612.852</v>
      </c>
      <c r="I297" s="1540"/>
      <c r="J297" s="1466">
        <f t="shared" si="10"/>
        <v>1209612.852</v>
      </c>
      <c r="K297" s="1466"/>
      <c r="L297" s="1540"/>
      <c r="M297" s="1540">
        <f t="shared" si="11"/>
        <v>1209612.852</v>
      </c>
      <c r="N297" s="1539"/>
      <c r="O297" s="559"/>
    </row>
    <row r="298" spans="1:15" s="540" customFormat="1" ht="14.25" customHeight="1">
      <c r="A298" s="1536">
        <v>105</v>
      </c>
      <c r="B298" s="1537" t="e">
        <f>VLOOKUP(D298,'[2]DS CN MOI UP'!$B$11:$C$447,2,0)</f>
        <v>#N/A</v>
      </c>
      <c r="C298" s="1538" t="s">
        <v>654</v>
      </c>
      <c r="D298" s="1539" t="s">
        <v>883</v>
      </c>
      <c r="E298" s="166" t="s">
        <v>15</v>
      </c>
      <c r="F298" s="166"/>
      <c r="G298" s="1540"/>
      <c r="H298" s="1540">
        <v>1169213.7239999999</v>
      </c>
      <c r="I298" s="1540"/>
      <c r="J298" s="1466">
        <f t="shared" si="10"/>
        <v>1169213.7239999999</v>
      </c>
      <c r="K298" s="1466"/>
      <c r="L298" s="1540"/>
      <c r="M298" s="1540">
        <f t="shared" si="11"/>
        <v>1169213.7239999999</v>
      </c>
      <c r="N298" s="1539"/>
      <c r="O298" s="559"/>
    </row>
    <row r="299" spans="1:15" s="540" customFormat="1" ht="14.25" customHeight="1">
      <c r="A299" s="1536">
        <v>106</v>
      </c>
      <c r="B299" s="1537" t="e">
        <f>VLOOKUP(D299,'[2]DS CN MOI UP'!$B$11:$C$447,2,0)</f>
        <v>#N/A</v>
      </c>
      <c r="C299" s="1538" t="s">
        <v>654</v>
      </c>
      <c r="D299" s="1539" t="s">
        <v>884</v>
      </c>
      <c r="E299" s="166" t="s">
        <v>15</v>
      </c>
      <c r="F299" s="166"/>
      <c r="G299" s="1540"/>
      <c r="H299" s="1540">
        <v>1270080.378</v>
      </c>
      <c r="I299" s="1540"/>
      <c r="J299" s="1466">
        <f t="shared" si="10"/>
        <v>1270080.378</v>
      </c>
      <c r="K299" s="1466"/>
      <c r="L299" s="1540"/>
      <c r="M299" s="1540">
        <f t="shared" si="11"/>
        <v>1270080.378</v>
      </c>
      <c r="N299" s="1539"/>
      <c r="O299" s="559"/>
    </row>
    <row r="300" spans="1:15" s="540" customFormat="1" ht="14.25" customHeight="1">
      <c r="A300" s="1536">
        <v>107</v>
      </c>
      <c r="B300" s="1537" t="e">
        <f>VLOOKUP(D300,'[2]DS CN MOI UP'!$B$11:$C$447,2,0)</f>
        <v>#N/A</v>
      </c>
      <c r="C300" s="1538" t="s">
        <v>654</v>
      </c>
      <c r="D300" s="1539" t="s">
        <v>885</v>
      </c>
      <c r="E300" s="166" t="s">
        <v>15</v>
      </c>
      <c r="F300" s="166"/>
      <c r="G300" s="1540"/>
      <c r="H300" s="1540">
        <v>1048278.672</v>
      </c>
      <c r="I300" s="1540"/>
      <c r="J300" s="1466">
        <f t="shared" si="10"/>
        <v>1048278.672</v>
      </c>
      <c r="K300" s="1466"/>
      <c r="L300" s="1540"/>
      <c r="M300" s="1540">
        <f t="shared" si="11"/>
        <v>1048278.672</v>
      </c>
      <c r="N300" s="1539"/>
      <c r="O300" s="559">
        <v>71635.225599981801</v>
      </c>
    </row>
    <row r="301" spans="1:15" s="540" customFormat="1" ht="14.25" customHeight="1">
      <c r="A301" s="1536">
        <v>108</v>
      </c>
      <c r="B301" s="1537" t="e">
        <f>VLOOKUP(D301,'[2]DS CN MOI UP'!$B$11:$C$447,2,0)</f>
        <v>#N/A</v>
      </c>
      <c r="C301" s="1538" t="s">
        <v>654</v>
      </c>
      <c r="D301" s="1539" t="s">
        <v>886</v>
      </c>
      <c r="E301" s="166" t="s">
        <v>15</v>
      </c>
      <c r="F301" s="166"/>
      <c r="G301" s="1540"/>
      <c r="H301" s="1540">
        <v>1159179.5249999999</v>
      </c>
      <c r="I301" s="1540"/>
      <c r="J301" s="1466">
        <f t="shared" si="10"/>
        <v>1159179.5249999999</v>
      </c>
      <c r="K301" s="1466"/>
      <c r="L301" s="1540"/>
      <c r="M301" s="1540">
        <f t="shared" si="11"/>
        <v>1159179.5249999999</v>
      </c>
      <c r="N301" s="1539"/>
      <c r="O301" s="559"/>
    </row>
    <row r="302" spans="1:15" s="540" customFormat="1" ht="14.25" customHeight="1">
      <c r="A302" s="1536">
        <v>109</v>
      </c>
      <c r="B302" s="1537" t="e">
        <f>VLOOKUP(D302,'[2]DS CN MOI UP'!$B$11:$C$447,2,0)</f>
        <v>#N/A</v>
      </c>
      <c r="C302" s="1538" t="s">
        <v>654</v>
      </c>
      <c r="D302" s="1539" t="s">
        <v>887</v>
      </c>
      <c r="E302" s="166" t="s">
        <v>15</v>
      </c>
      <c r="F302" s="166"/>
      <c r="G302" s="1540"/>
      <c r="H302" s="1540">
        <v>1148746.1980000001</v>
      </c>
      <c r="I302" s="1540"/>
      <c r="J302" s="1466">
        <f>SUM(G302:I302)</f>
        <v>1148746.1980000001</v>
      </c>
      <c r="K302" s="1466"/>
      <c r="L302" s="1540"/>
      <c r="M302" s="1540">
        <f t="shared" si="11"/>
        <v>1148746.1980000001</v>
      </c>
      <c r="N302" s="1539"/>
      <c r="O302" s="559"/>
    </row>
    <row r="303" spans="1:15" s="540" customFormat="1" ht="14.25" customHeight="1">
      <c r="A303" s="1536">
        <v>110</v>
      </c>
      <c r="B303" s="1537" t="e">
        <f>VLOOKUP(D303,'[2]DS CN MOI UP'!$B$11:$C$447,2,0)</f>
        <v>#N/A</v>
      </c>
      <c r="C303" s="1538" t="s">
        <v>654</v>
      </c>
      <c r="D303" s="1539" t="s">
        <v>888</v>
      </c>
      <c r="E303" s="166" t="s">
        <v>15</v>
      </c>
      <c r="F303" s="166"/>
      <c r="G303" s="1540"/>
      <c r="H303" s="1540">
        <v>1270080.378</v>
      </c>
      <c r="I303" s="1540"/>
      <c r="J303" s="1466">
        <f t="shared" si="10"/>
        <v>1270080.378</v>
      </c>
      <c r="K303" s="1466"/>
      <c r="L303" s="1540"/>
      <c r="M303" s="1540">
        <f t="shared" si="11"/>
        <v>1270080.378</v>
      </c>
      <c r="N303" s="1539"/>
      <c r="O303" s="559"/>
    </row>
    <row r="304" spans="1:15" s="540" customFormat="1" ht="14.25" customHeight="1">
      <c r="A304" s="1536">
        <v>111</v>
      </c>
      <c r="B304" s="1537" t="e">
        <f>VLOOKUP(D304,'[2]DS CN MOI UP'!$B$11:$C$447,2,0)</f>
        <v>#N/A</v>
      </c>
      <c r="C304" s="1538" t="s">
        <v>654</v>
      </c>
      <c r="D304" s="1539" t="s">
        <v>889</v>
      </c>
      <c r="E304" s="166" t="s">
        <v>15</v>
      </c>
      <c r="F304" s="166"/>
      <c r="G304" s="1540"/>
      <c r="H304" s="1540">
        <v>1128677.8</v>
      </c>
      <c r="I304" s="1540"/>
      <c r="J304" s="1466">
        <f t="shared" si="10"/>
        <v>1128677.8</v>
      </c>
      <c r="K304" s="1466"/>
      <c r="L304" s="1540"/>
      <c r="M304" s="1540">
        <f t="shared" si="11"/>
        <v>1128677.8</v>
      </c>
      <c r="N304" s="1539"/>
      <c r="O304" s="559"/>
    </row>
    <row r="305" spans="1:15" s="540" customFormat="1" ht="14.25" customHeight="1">
      <c r="A305" s="1536">
        <v>112</v>
      </c>
      <c r="B305" s="1537" t="e">
        <f>VLOOKUP(D305,'[2]DS CN MOI UP'!$B$11:$C$447,2,0)</f>
        <v>#N/A</v>
      </c>
      <c r="C305" s="1538" t="s">
        <v>654</v>
      </c>
      <c r="D305" s="1539" t="s">
        <v>890</v>
      </c>
      <c r="E305" s="166" t="s">
        <v>15</v>
      </c>
      <c r="F305" s="166"/>
      <c r="G305" s="1540"/>
      <c r="H305" s="1540">
        <v>1189145.3259999999</v>
      </c>
      <c r="I305" s="1540"/>
      <c r="J305" s="1466">
        <f t="shared" si="10"/>
        <v>1189145.3259999999</v>
      </c>
      <c r="K305" s="1466"/>
      <c r="L305" s="1540"/>
      <c r="M305" s="1540">
        <f t="shared" si="11"/>
        <v>1189145.3259999999</v>
      </c>
      <c r="N305" s="1539"/>
      <c r="O305" s="559"/>
    </row>
    <row r="306" spans="1:15" s="540" customFormat="1" ht="14.25" customHeight="1">
      <c r="A306" s="1536">
        <v>113</v>
      </c>
      <c r="B306" s="1537" t="e">
        <f>VLOOKUP(D306,'[2]DS CN MOI UP'!$B$11:$C$447,2,0)</f>
        <v>#N/A</v>
      </c>
      <c r="C306" s="1538" t="s">
        <v>654</v>
      </c>
      <c r="D306" s="1539" t="s">
        <v>891</v>
      </c>
      <c r="E306" s="166" t="s">
        <v>15</v>
      </c>
      <c r="F306" s="166"/>
      <c r="G306" s="1540"/>
      <c r="H306" s="1540">
        <v>1249612.852</v>
      </c>
      <c r="I306" s="1540"/>
      <c r="J306" s="1466">
        <f t="shared" si="10"/>
        <v>1249612.852</v>
      </c>
      <c r="K306" s="1466"/>
      <c r="L306" s="1540"/>
      <c r="M306" s="1540">
        <f t="shared" si="11"/>
        <v>1249612.852</v>
      </c>
      <c r="N306" s="1539"/>
      <c r="O306" s="559"/>
    </row>
    <row r="307" spans="1:15" s="540" customFormat="1" ht="14.25" customHeight="1">
      <c r="A307" s="1536">
        <v>114</v>
      </c>
      <c r="B307" s="1537" t="e">
        <f>VLOOKUP(D307,'[2]DS CN MOI UP'!$B$11:$C$447,2,0)</f>
        <v>#N/A</v>
      </c>
      <c r="C307" s="1538" t="s">
        <v>654</v>
      </c>
      <c r="D307" s="1539" t="s">
        <v>892</v>
      </c>
      <c r="E307" s="166" t="s">
        <v>15</v>
      </c>
      <c r="F307" s="166"/>
      <c r="G307" s="1540"/>
      <c r="H307" s="1540">
        <v>1159179.5249999999</v>
      </c>
      <c r="I307" s="1540"/>
      <c r="J307" s="1466">
        <f t="shared" si="10"/>
        <v>1159179.5249999999</v>
      </c>
      <c r="K307" s="1466"/>
      <c r="L307" s="1540"/>
      <c r="M307" s="1540">
        <f t="shared" si="11"/>
        <v>1159179.5249999999</v>
      </c>
      <c r="N307" s="1539"/>
      <c r="O307" s="559"/>
    </row>
    <row r="308" spans="1:15" s="540" customFormat="1" ht="14.25" customHeight="1">
      <c r="A308" s="1536">
        <v>115</v>
      </c>
      <c r="B308" s="1537" t="e">
        <f>VLOOKUP(D308,'[2]DS CN MOI UP'!$B$11:$C$447,2,0)</f>
        <v>#N/A</v>
      </c>
      <c r="C308" s="1538" t="s">
        <v>654</v>
      </c>
      <c r="D308" s="1539" t="s">
        <v>893</v>
      </c>
      <c r="E308" s="166" t="s">
        <v>15</v>
      </c>
      <c r="F308" s="166"/>
      <c r="G308" s="1540"/>
      <c r="H308" s="1466">
        <v>1159179.5249999999</v>
      </c>
      <c r="I308" s="1540"/>
      <c r="J308" s="1466">
        <f t="shared" si="10"/>
        <v>1159179.5249999999</v>
      </c>
      <c r="K308" s="1466"/>
      <c r="L308" s="1540"/>
      <c r="M308" s="1540">
        <f t="shared" si="11"/>
        <v>1159179.5249999999</v>
      </c>
      <c r="N308" s="1539"/>
      <c r="O308" s="559"/>
    </row>
    <row r="309" spans="1:15" s="540" customFormat="1" ht="14.25" customHeight="1">
      <c r="A309" s="1536">
        <v>116</v>
      </c>
      <c r="B309" s="1537" t="e">
        <f>VLOOKUP(D309,'[2]DS CN MOI UP'!$B$11:$C$447,2,0)</f>
        <v>#N/A</v>
      </c>
      <c r="C309" s="1538" t="s">
        <v>654</v>
      </c>
      <c r="D309" s="1539" t="s">
        <v>894</v>
      </c>
      <c r="E309" s="166" t="s">
        <v>15</v>
      </c>
      <c r="F309" s="166"/>
      <c r="G309" s="1540"/>
      <c r="H309" s="1466">
        <v>1159179.5249999999</v>
      </c>
      <c r="I309" s="1540"/>
      <c r="J309" s="1466">
        <f t="shared" si="10"/>
        <v>1159179.5249999999</v>
      </c>
      <c r="K309" s="1466"/>
      <c r="L309" s="1540"/>
      <c r="M309" s="1540">
        <f t="shared" si="11"/>
        <v>1159179.5249999999</v>
      </c>
      <c r="N309" s="1539"/>
      <c r="O309" s="559"/>
    </row>
    <row r="310" spans="1:15" s="540" customFormat="1" ht="14.25" customHeight="1">
      <c r="A310" s="1536">
        <v>117</v>
      </c>
      <c r="B310" s="1537" t="str">
        <f>VLOOKUP(D310,'[2]DS CN MOI UP'!$B$11:$C$447,2,0)</f>
        <v>02665</v>
      </c>
      <c r="C310" s="1538" t="s">
        <v>654</v>
      </c>
      <c r="D310" s="1539" t="s">
        <v>482</v>
      </c>
      <c r="E310" s="166" t="s">
        <v>15</v>
      </c>
      <c r="F310" s="166"/>
      <c r="G310" s="1540"/>
      <c r="H310" s="1466">
        <v>1239846.615</v>
      </c>
      <c r="I310" s="1540"/>
      <c r="J310" s="1466">
        <f t="shared" si="10"/>
        <v>1239846.615</v>
      </c>
      <c r="K310" s="1466"/>
      <c r="L310" s="1540"/>
      <c r="M310" s="1540">
        <f t="shared" si="11"/>
        <v>1239846.615</v>
      </c>
      <c r="N310" s="1539"/>
      <c r="O310" s="559"/>
    </row>
    <row r="311" spans="1:15" s="540" customFormat="1" ht="14.25" customHeight="1">
      <c r="A311" s="1536">
        <v>118</v>
      </c>
      <c r="B311" s="1537" t="e">
        <f>VLOOKUP(D311,'[2]DS CN MOI UP'!$B$11:$C$447,2,0)</f>
        <v>#N/A</v>
      </c>
      <c r="C311" s="1538" t="s">
        <v>654</v>
      </c>
      <c r="D311" s="1539" t="s">
        <v>895</v>
      </c>
      <c r="E311" s="166" t="s">
        <v>15</v>
      </c>
      <c r="F311" s="166"/>
      <c r="G311" s="1540"/>
      <c r="H311" s="1466">
        <v>1149145.3259999999</v>
      </c>
      <c r="I311" s="1540"/>
      <c r="J311" s="1466">
        <f t="shared" si="10"/>
        <v>1149145.3259999999</v>
      </c>
      <c r="K311" s="1466"/>
      <c r="L311" s="1540"/>
      <c r="M311" s="1540">
        <f t="shared" si="11"/>
        <v>1149145.3259999999</v>
      </c>
      <c r="N311" s="1539"/>
      <c r="O311" s="559"/>
    </row>
    <row r="312" spans="1:15" s="540" customFormat="1" ht="14.25" customHeight="1">
      <c r="A312" s="1536">
        <v>119</v>
      </c>
      <c r="B312" s="1537" t="str">
        <f>VLOOKUP(D312,'[2]DS CN MOI UP'!$B$11:$C$447,2,0)</f>
        <v>02667</v>
      </c>
      <c r="C312" s="1538" t="s">
        <v>654</v>
      </c>
      <c r="D312" s="1539" t="s">
        <v>446</v>
      </c>
      <c r="E312" s="166" t="s">
        <v>15</v>
      </c>
      <c r="F312" s="166"/>
      <c r="G312" s="1540"/>
      <c r="H312" s="1466">
        <v>1179379.0889999999</v>
      </c>
      <c r="I312" s="1540"/>
      <c r="J312" s="1466">
        <f t="shared" si="10"/>
        <v>1179379.0889999999</v>
      </c>
      <c r="K312" s="1466"/>
      <c r="L312" s="1540"/>
      <c r="M312" s="1540">
        <f t="shared" si="11"/>
        <v>1179379.0889999999</v>
      </c>
      <c r="N312" s="1539"/>
      <c r="O312" s="559"/>
    </row>
    <row r="313" spans="1:15" s="540" customFormat="1" ht="14.25" customHeight="1">
      <c r="A313" s="1536">
        <v>120</v>
      </c>
      <c r="B313" s="1537" t="str">
        <f>VLOOKUP(D313,'[2]DS CN MOI UP'!$B$11:$C$447,2,0)</f>
        <v>02517</v>
      </c>
      <c r="C313" s="1538" t="s">
        <v>654</v>
      </c>
      <c r="D313" s="1539" t="s">
        <v>161</v>
      </c>
      <c r="E313" s="166" t="s">
        <v>15</v>
      </c>
      <c r="F313" s="166"/>
      <c r="G313" s="1540"/>
      <c r="H313" s="1466">
        <v>1209612.852</v>
      </c>
      <c r="I313" s="1540"/>
      <c r="J313" s="1466">
        <f t="shared" si="10"/>
        <v>1209612.852</v>
      </c>
      <c r="K313" s="1466"/>
      <c r="L313" s="1540"/>
      <c r="M313" s="1540">
        <f t="shared" si="11"/>
        <v>1209612.852</v>
      </c>
      <c r="N313" s="1539"/>
      <c r="O313" s="559"/>
    </row>
    <row r="314" spans="1:15" s="540" customFormat="1" ht="14.25" customHeight="1">
      <c r="A314" s="1536">
        <v>121</v>
      </c>
      <c r="B314" s="1537" t="str">
        <f>VLOOKUP(D314,'[2]DS CN MOI UP'!$B$11:$C$447,2,0)</f>
        <v>02666</v>
      </c>
      <c r="C314" s="1538" t="s">
        <v>654</v>
      </c>
      <c r="D314" s="1539" t="s">
        <v>435</v>
      </c>
      <c r="E314" s="166" t="s">
        <v>15</v>
      </c>
      <c r="F314" s="166"/>
      <c r="G314" s="1540"/>
      <c r="H314" s="1466">
        <v>1189413.2879999999</v>
      </c>
      <c r="I314" s="1540"/>
      <c r="J314" s="1466">
        <f t="shared" si="10"/>
        <v>1189413.2879999999</v>
      </c>
      <c r="K314" s="1466"/>
      <c r="L314" s="1540"/>
      <c r="M314" s="1540">
        <f t="shared" si="11"/>
        <v>1189413.2879999999</v>
      </c>
      <c r="N314" s="1539"/>
      <c r="O314" s="559"/>
    </row>
    <row r="315" spans="1:15" s="540" customFormat="1" ht="14.25" customHeight="1">
      <c r="A315" s="1536">
        <v>122</v>
      </c>
      <c r="B315" s="1537" t="e">
        <f>VLOOKUP(D315,'[2]DS CN MOI UP'!$B$11:$C$447,2,0)</f>
        <v>#N/A</v>
      </c>
      <c r="C315" s="1538" t="s">
        <v>654</v>
      </c>
      <c r="D315" s="1539" t="s">
        <v>896</v>
      </c>
      <c r="E315" s="166" t="s">
        <v>15</v>
      </c>
      <c r="F315" s="166"/>
      <c r="G315" s="1540"/>
      <c r="H315" s="1466">
        <v>1239846.615</v>
      </c>
      <c r="I315" s="1540"/>
      <c r="J315" s="1466">
        <f t="shared" si="10"/>
        <v>1239846.615</v>
      </c>
      <c r="K315" s="1466"/>
      <c r="L315" s="1540"/>
      <c r="M315" s="1540">
        <f t="shared" si="11"/>
        <v>1239846.615</v>
      </c>
      <c r="N315" s="1539"/>
      <c r="O315" s="559"/>
    </row>
    <row r="316" spans="1:15" s="540" customFormat="1" ht="14.25" customHeight="1">
      <c r="A316" s="1536">
        <v>123</v>
      </c>
      <c r="B316" s="1537" t="e">
        <f>VLOOKUP(D316,'[2]DS CN MOI UP'!$B$11:$C$447,2,0)</f>
        <v>#N/A</v>
      </c>
      <c r="C316" s="1538" t="s">
        <v>654</v>
      </c>
      <c r="D316" s="1539" t="s">
        <v>897</v>
      </c>
      <c r="E316" s="166" t="s">
        <v>15</v>
      </c>
      <c r="F316" s="166"/>
      <c r="G316" s="1540"/>
      <c r="H316" s="1466">
        <v>1048278.672</v>
      </c>
      <c r="I316" s="1540"/>
      <c r="J316" s="1466">
        <f t="shared" si="10"/>
        <v>1048278.672</v>
      </c>
      <c r="K316" s="1466"/>
      <c r="L316" s="1540"/>
      <c r="M316" s="1540">
        <f t="shared" si="11"/>
        <v>1048278.672</v>
      </c>
      <c r="N316" s="1539"/>
      <c r="O316" s="559"/>
    </row>
    <row r="317" spans="1:15" s="540" customFormat="1" ht="14.25" customHeight="1">
      <c r="A317" s="1536">
        <v>124</v>
      </c>
      <c r="B317" s="1537" t="str">
        <f>VLOOKUP(D317,'[2]DS CN MOI UP'!$B$11:$C$447,2,0)</f>
        <v>02671</v>
      </c>
      <c r="C317" s="1538" t="s">
        <v>654</v>
      </c>
      <c r="D317" s="1539" t="s">
        <v>453</v>
      </c>
      <c r="E317" s="166" t="s">
        <v>15</v>
      </c>
      <c r="F317" s="166"/>
      <c r="G317" s="1540"/>
      <c r="H317" s="1466">
        <v>1159179.5249999999</v>
      </c>
      <c r="I317" s="1540"/>
      <c r="J317" s="1466">
        <f t="shared" si="10"/>
        <v>1159179.5249999999</v>
      </c>
      <c r="K317" s="1466"/>
      <c r="L317" s="1540"/>
      <c r="M317" s="1540">
        <f t="shared" si="11"/>
        <v>1159179.5249999999</v>
      </c>
      <c r="N317" s="1539"/>
      <c r="O317" s="559"/>
    </row>
    <row r="318" spans="1:15" s="540" customFormat="1" ht="14.25" customHeight="1">
      <c r="A318" s="1536">
        <v>125</v>
      </c>
      <c r="B318" s="1537" t="e">
        <f>VLOOKUP(D318,'[2]DS CN MOI UP'!$B$11:$C$447,2,0)</f>
        <v>#N/A</v>
      </c>
      <c r="C318" s="1538" t="s">
        <v>654</v>
      </c>
      <c r="D318" s="1539" t="s">
        <v>898</v>
      </c>
      <c r="E318" s="166" t="s">
        <v>15</v>
      </c>
      <c r="F318" s="166"/>
      <c r="G318" s="1540"/>
      <c r="H318" s="1466">
        <v>1159179.5249999999</v>
      </c>
      <c r="I318" s="1466"/>
      <c r="J318" s="1466">
        <f t="shared" si="10"/>
        <v>1159179.5249999999</v>
      </c>
      <c r="K318" s="1466"/>
      <c r="L318" s="1540"/>
      <c r="M318" s="1540">
        <f t="shared" si="11"/>
        <v>1159179.5249999999</v>
      </c>
      <c r="N318" s="1539"/>
      <c r="O318" s="559"/>
    </row>
    <row r="319" spans="1:15" s="540" customFormat="1" ht="14.25" customHeight="1">
      <c r="A319" s="1536">
        <v>126</v>
      </c>
      <c r="B319" s="1537" t="e">
        <f>VLOOKUP(D319,'[2]DS CN MOI UP'!$B$11:$C$447,2,0)</f>
        <v>#N/A</v>
      </c>
      <c r="C319" s="1538" t="s">
        <v>654</v>
      </c>
      <c r="D319" s="1539" t="s">
        <v>899</v>
      </c>
      <c r="E319" s="166" t="s">
        <v>15</v>
      </c>
      <c r="F319" s="166"/>
      <c r="G319" s="1540"/>
      <c r="H319" s="1466">
        <v>1159179.5249999999</v>
      </c>
      <c r="I319" s="1466"/>
      <c r="J319" s="1466">
        <f t="shared" si="10"/>
        <v>1159179.5249999999</v>
      </c>
      <c r="K319" s="1466"/>
      <c r="L319" s="1540"/>
      <c r="M319" s="1540">
        <f t="shared" si="11"/>
        <v>1159179.5249999999</v>
      </c>
      <c r="N319" s="1539"/>
      <c r="O319" s="559"/>
    </row>
    <row r="320" spans="1:15" s="540" customFormat="1" ht="14.25" customHeight="1">
      <c r="A320" s="1536">
        <v>127</v>
      </c>
      <c r="B320" s="1537" t="e">
        <f>VLOOKUP(D320,'[2]DS CN MOI UP'!$B$11:$C$447,2,0)</f>
        <v>#N/A</v>
      </c>
      <c r="C320" s="1538" t="s">
        <v>654</v>
      </c>
      <c r="D320" s="1539" t="s">
        <v>900</v>
      </c>
      <c r="E320" s="166" t="s">
        <v>15</v>
      </c>
      <c r="F320" s="166"/>
      <c r="G320" s="1540"/>
      <c r="H320" s="1466">
        <v>1159179.5249999999</v>
      </c>
      <c r="I320" s="1466"/>
      <c r="J320" s="1466">
        <f t="shared" si="10"/>
        <v>1159179.5249999999</v>
      </c>
      <c r="K320" s="1466"/>
      <c r="L320" s="1540"/>
      <c r="M320" s="1540">
        <f t="shared" si="11"/>
        <v>1159179.5249999999</v>
      </c>
      <c r="N320" s="1539"/>
      <c r="O320" s="559"/>
    </row>
    <row r="321" spans="1:15" s="540" customFormat="1" ht="14.25" customHeight="1">
      <c r="A321" s="1536">
        <v>128</v>
      </c>
      <c r="B321" s="1537"/>
      <c r="C321" s="1538" t="s">
        <v>648</v>
      </c>
      <c r="D321" s="1539" t="s">
        <v>480</v>
      </c>
      <c r="E321" s="166" t="s">
        <v>15</v>
      </c>
      <c r="F321" s="166"/>
      <c r="G321" s="1540"/>
      <c r="H321" s="1466">
        <v>1159179.5249999999</v>
      </c>
      <c r="I321" s="1466"/>
      <c r="J321" s="1466">
        <f t="shared" si="10"/>
        <v>1159179.5249999999</v>
      </c>
      <c r="K321" s="1466"/>
      <c r="L321" s="1540"/>
      <c r="M321" s="1540">
        <f t="shared" si="11"/>
        <v>1159179.5249999999</v>
      </c>
      <c r="N321" s="1539"/>
      <c r="O321" s="559"/>
    </row>
    <row r="322" spans="1:15" s="540" customFormat="1" ht="14.25" customHeight="1">
      <c r="A322" s="1536">
        <v>129</v>
      </c>
      <c r="B322" s="1537" t="e">
        <f>VLOOKUP(D322,'[2]DS CN MOI UP'!$B$11:$C$447,2,0)</f>
        <v>#N/A</v>
      </c>
      <c r="C322" s="1538" t="s">
        <v>650</v>
      </c>
      <c r="D322" s="1539" t="s">
        <v>901</v>
      </c>
      <c r="E322" s="166" t="s">
        <v>15</v>
      </c>
      <c r="F322" s="166"/>
      <c r="G322" s="1540"/>
      <c r="H322" s="1466">
        <v>1159179.5249999999</v>
      </c>
      <c r="I322" s="1466"/>
      <c r="J322" s="1466">
        <f t="shared" si="10"/>
        <v>1159179.5249999999</v>
      </c>
      <c r="K322" s="1466"/>
      <c r="L322" s="1540"/>
      <c r="M322" s="1540">
        <f t="shared" si="11"/>
        <v>1159179.5249999999</v>
      </c>
      <c r="N322" s="1539"/>
      <c r="O322" s="559"/>
    </row>
    <row r="323" spans="1:15" s="540" customFormat="1" ht="14.25" customHeight="1">
      <c r="A323" s="1536">
        <v>130</v>
      </c>
      <c r="B323" s="1537" t="str">
        <f>VLOOKUP(D323,'[2]DS CN MOI UP'!$B$11:$C$447,2,0)</f>
        <v>03304</v>
      </c>
      <c r="C323" s="1538" t="s">
        <v>651</v>
      </c>
      <c r="D323" s="1539" t="s">
        <v>467</v>
      </c>
      <c r="E323" s="166" t="s">
        <v>15</v>
      </c>
      <c r="F323" s="166"/>
      <c r="G323" s="1540"/>
      <c r="H323" s="1466">
        <v>1138979.9609999999</v>
      </c>
      <c r="I323" s="1466"/>
      <c r="J323" s="1466">
        <f t="shared" si="10"/>
        <v>1138979.9609999999</v>
      </c>
      <c r="K323" s="1466"/>
      <c r="L323" s="1540"/>
      <c r="M323" s="1540">
        <f t="shared" si="11"/>
        <v>1138979.9609999999</v>
      </c>
      <c r="N323" s="1539"/>
      <c r="O323" s="559"/>
    </row>
    <row r="324" spans="1:15" s="540" customFormat="1" ht="14.25" customHeight="1">
      <c r="A324" s="1536">
        <v>131</v>
      </c>
      <c r="B324" s="1537" t="e">
        <f>VLOOKUP(D324,'[2]DS CN MOI UP'!$B$11:$C$447,2,0)</f>
        <v>#N/A</v>
      </c>
      <c r="C324" s="1538" t="s">
        <v>651</v>
      </c>
      <c r="D324" s="1539" t="s">
        <v>902</v>
      </c>
      <c r="E324" s="166" t="s">
        <v>15</v>
      </c>
      <c r="F324" s="166"/>
      <c r="G324" s="1540"/>
      <c r="H324" s="1466">
        <v>1108746.1980000001</v>
      </c>
      <c r="I324" s="1466"/>
      <c r="J324" s="1466">
        <f t="shared" si="10"/>
        <v>1108746.1980000001</v>
      </c>
      <c r="K324" s="1466"/>
      <c r="L324" s="1540"/>
      <c r="M324" s="1540">
        <f t="shared" si="11"/>
        <v>1108746.1980000001</v>
      </c>
      <c r="N324" s="1539"/>
      <c r="O324" s="559"/>
    </row>
    <row r="325" spans="1:15" s="540" customFormat="1" ht="14.25" customHeight="1">
      <c r="A325" s="1536">
        <v>132</v>
      </c>
      <c r="B325" s="1537" t="e">
        <f>VLOOKUP(D325,'[2]DS CN MOI UP'!$B$11:$C$447,2,0)</f>
        <v>#N/A</v>
      </c>
      <c r="C325" s="1538" t="s">
        <v>651</v>
      </c>
      <c r="D325" s="1539" t="s">
        <v>540</v>
      </c>
      <c r="E325" s="166" t="s">
        <v>15</v>
      </c>
      <c r="F325" s="166"/>
      <c r="G325" s="1540"/>
      <c r="H325" s="1466">
        <v>1108746.1980000001</v>
      </c>
      <c r="I325" s="1466"/>
      <c r="J325" s="1466">
        <f t="shared" si="10"/>
        <v>1108746.1980000001</v>
      </c>
      <c r="K325" s="1466"/>
      <c r="L325" s="1540"/>
      <c r="M325" s="1540">
        <f t="shared" si="11"/>
        <v>1108746.1980000001</v>
      </c>
      <c r="N325" s="1539"/>
      <c r="O325" s="559"/>
    </row>
    <row r="326" spans="1:15" s="540" customFormat="1" ht="14.25" customHeight="1">
      <c r="A326" s="1536">
        <v>133</v>
      </c>
      <c r="B326" s="1537" t="e">
        <f>VLOOKUP(D326,'[2]DS CN MOI UP'!$B$11:$C$447,2,0)</f>
        <v>#N/A</v>
      </c>
      <c r="C326" s="1538" t="s">
        <v>651</v>
      </c>
      <c r="D326" s="1539" t="s">
        <v>903</v>
      </c>
      <c r="E326" s="166" t="s">
        <v>15</v>
      </c>
      <c r="F326" s="166"/>
      <c r="G326" s="1540"/>
      <c r="H326" s="1466">
        <v>1108746.1980000001</v>
      </c>
      <c r="I326" s="1466"/>
      <c r="J326" s="1466">
        <f t="shared" si="10"/>
        <v>1108746.1980000001</v>
      </c>
      <c r="K326" s="1466"/>
      <c r="L326" s="1540"/>
      <c r="M326" s="1540">
        <f t="shared" si="11"/>
        <v>1108746.1980000001</v>
      </c>
      <c r="N326" s="1539"/>
      <c r="O326" s="559"/>
    </row>
    <row r="327" spans="1:15" s="540" customFormat="1" ht="14.25" customHeight="1">
      <c r="A327" s="1536">
        <v>134</v>
      </c>
      <c r="B327" s="1537" t="e">
        <f>VLOOKUP(D327,'[2]DS CN MOI UP'!$B$11:$C$447,2,0)</f>
        <v>#N/A</v>
      </c>
      <c r="C327" s="1538" t="s">
        <v>651</v>
      </c>
      <c r="D327" s="1539" t="s">
        <v>904</v>
      </c>
      <c r="E327" s="166" t="s">
        <v>15</v>
      </c>
      <c r="F327" s="166"/>
      <c r="G327" s="1540"/>
      <c r="H327" s="1466">
        <v>1270080.378</v>
      </c>
      <c r="I327" s="1466"/>
      <c r="J327" s="1466">
        <f t="shared" si="10"/>
        <v>1270080.378</v>
      </c>
      <c r="K327" s="1466"/>
      <c r="L327" s="1540"/>
      <c r="M327" s="1540">
        <f t="shared" si="11"/>
        <v>1270080.378</v>
      </c>
      <c r="N327" s="1539"/>
      <c r="O327" s="559"/>
    </row>
    <row r="328" spans="1:15" s="540" customFormat="1" ht="14.25" customHeight="1">
      <c r="A328" s="1536">
        <v>135</v>
      </c>
      <c r="B328" s="1537" t="e">
        <f>VLOOKUP(D328,'[2]DS CN MOI UP'!$B$11:$C$447,2,0)</f>
        <v>#N/A</v>
      </c>
      <c r="C328" s="1538" t="s">
        <v>651</v>
      </c>
      <c r="D328" s="1539" t="s">
        <v>905</v>
      </c>
      <c r="E328" s="166" t="s">
        <v>15</v>
      </c>
      <c r="F328" s="166"/>
      <c r="G328" s="1540"/>
      <c r="H328" s="1466">
        <v>1088677.8</v>
      </c>
      <c r="I328" s="1466"/>
      <c r="J328" s="1466">
        <f t="shared" si="10"/>
        <v>1088677.8</v>
      </c>
      <c r="K328" s="1466"/>
      <c r="L328" s="1540"/>
      <c r="M328" s="1540">
        <f t="shared" si="11"/>
        <v>1088677.8</v>
      </c>
      <c r="N328" s="1539"/>
      <c r="O328" s="559"/>
    </row>
    <row r="329" spans="1:15" s="540" customFormat="1" ht="14.25" customHeight="1">
      <c r="A329" s="1536">
        <v>136</v>
      </c>
      <c r="B329" s="1537" t="str">
        <f>VLOOKUP(D329,'[2]DS CN MOI UP'!$B$11:$C$447,2,0)</f>
        <v>02669</v>
      </c>
      <c r="C329" s="1538" t="s">
        <v>651</v>
      </c>
      <c r="D329" s="1539" t="s">
        <v>450</v>
      </c>
      <c r="E329" s="166" t="s">
        <v>15</v>
      </c>
      <c r="F329" s="166"/>
      <c r="G329" s="1540"/>
      <c r="H329" s="1540">
        <v>1148746.1980000001</v>
      </c>
      <c r="I329" s="1466"/>
      <c r="J329" s="1466">
        <f t="shared" si="10"/>
        <v>1148746.1980000001</v>
      </c>
      <c r="K329" s="1466"/>
      <c r="L329" s="1540"/>
      <c r="M329" s="1540">
        <f t="shared" si="11"/>
        <v>1148746.1980000001</v>
      </c>
      <c r="N329" s="1539"/>
      <c r="O329" s="559"/>
    </row>
    <row r="330" spans="1:15" s="540" customFormat="1" ht="14.25" customHeight="1">
      <c r="A330" s="1536">
        <v>137</v>
      </c>
      <c r="B330" s="1537" t="e">
        <f>VLOOKUP(D330,'[2]DS CN MOI UP'!$B$11:$C$447,2,0)</f>
        <v>#N/A</v>
      </c>
      <c r="C330" s="1538" t="s">
        <v>651</v>
      </c>
      <c r="D330" s="1539" t="s">
        <v>906</v>
      </c>
      <c r="E330" s="166" t="s">
        <v>15</v>
      </c>
      <c r="F330" s="166"/>
      <c r="G330" s="1540"/>
      <c r="H330" s="1540">
        <v>1270080.378</v>
      </c>
      <c r="I330" s="1466"/>
      <c r="J330" s="1466">
        <f t="shared" si="10"/>
        <v>1270080.378</v>
      </c>
      <c r="K330" s="1466"/>
      <c r="L330" s="1540"/>
      <c r="M330" s="1540">
        <f t="shared" si="11"/>
        <v>1270080.378</v>
      </c>
      <c r="N330" s="1539"/>
      <c r="O330" s="559"/>
    </row>
    <row r="331" spans="1:15" s="540" customFormat="1" ht="14.25" customHeight="1">
      <c r="A331" s="1536">
        <v>138</v>
      </c>
      <c r="B331" s="1537" t="e">
        <f>VLOOKUP(D331,'[2]DS CN MOI UP'!$B$11:$C$447,2,0)</f>
        <v>#N/A</v>
      </c>
      <c r="C331" s="1538" t="s">
        <v>651</v>
      </c>
      <c r="D331" s="1539" t="s">
        <v>907</v>
      </c>
      <c r="E331" s="166" t="s">
        <v>15</v>
      </c>
      <c r="F331" s="166"/>
      <c r="G331" s="1540"/>
      <c r="H331" s="1540">
        <v>1128677.8</v>
      </c>
      <c r="I331" s="1466"/>
      <c r="J331" s="1466">
        <f t="shared" si="10"/>
        <v>1128677.8</v>
      </c>
      <c r="K331" s="1466"/>
      <c r="L331" s="1540"/>
      <c r="M331" s="1540">
        <f t="shared" si="11"/>
        <v>1128677.8</v>
      </c>
      <c r="N331" s="1539"/>
      <c r="O331" s="559"/>
    </row>
    <row r="332" spans="1:15" s="540" customFormat="1" ht="14.25" customHeight="1">
      <c r="A332" s="1536">
        <v>139</v>
      </c>
      <c r="B332" s="1537" t="e">
        <f>VLOOKUP(D332,'[2]DS CN MOI UP'!$B$11:$C$447,2,0)</f>
        <v>#N/A</v>
      </c>
      <c r="C332" s="1538" t="s">
        <v>651</v>
      </c>
      <c r="D332" s="1539" t="s">
        <v>506</v>
      </c>
      <c r="E332" s="166" t="s">
        <v>15</v>
      </c>
      <c r="F332" s="166"/>
      <c r="G332" s="1540"/>
      <c r="H332" s="1540">
        <v>1189145.3259999999</v>
      </c>
      <c r="I332" s="1466"/>
      <c r="J332" s="1466">
        <f t="shared" si="10"/>
        <v>1189145.3259999999</v>
      </c>
      <c r="K332" s="1466"/>
      <c r="L332" s="1540"/>
      <c r="M332" s="1540">
        <f t="shared" si="11"/>
        <v>1189145.3259999999</v>
      </c>
      <c r="N332" s="1539"/>
      <c r="O332" s="559"/>
    </row>
    <row r="333" spans="1:15" s="540" customFormat="1" ht="14.25" customHeight="1">
      <c r="A333" s="1536">
        <v>140</v>
      </c>
      <c r="B333" s="1537" t="str">
        <f>VLOOKUP(D333,'[2]DS CN MOI UP'!$B$11:$C$447,2,0)</f>
        <v>03291</v>
      </c>
      <c r="C333" s="1538" t="s">
        <v>651</v>
      </c>
      <c r="D333" s="1539" t="s">
        <v>454</v>
      </c>
      <c r="E333" s="166" t="s">
        <v>15</v>
      </c>
      <c r="F333" s="166"/>
      <c r="G333" s="1540"/>
      <c r="H333" s="1540">
        <v>1249612.852</v>
      </c>
      <c r="I333" s="1466"/>
      <c r="J333" s="1466">
        <f t="shared" si="10"/>
        <v>1249612.852</v>
      </c>
      <c r="K333" s="1466"/>
      <c r="L333" s="1540"/>
      <c r="M333" s="1540">
        <f t="shared" si="11"/>
        <v>1249612.852</v>
      </c>
      <c r="N333" s="1539"/>
      <c r="O333" s="559"/>
    </row>
    <row r="334" spans="1:15" s="540" customFormat="1" ht="14.25" customHeight="1">
      <c r="A334" s="1536">
        <v>141</v>
      </c>
      <c r="B334" s="1537" t="e">
        <f>VLOOKUP(D334,'[2]DS CN MOI UP'!$B$11:$C$447,2,0)</f>
        <v>#N/A</v>
      </c>
      <c r="C334" s="1538" t="s">
        <v>651</v>
      </c>
      <c r="D334" s="1539" t="s">
        <v>908</v>
      </c>
      <c r="E334" s="166" t="s">
        <v>15</v>
      </c>
      <c r="F334" s="166"/>
      <c r="G334" s="1540"/>
      <c r="H334" s="1540">
        <v>1159179.5249999999</v>
      </c>
      <c r="I334" s="1466"/>
      <c r="J334" s="1466">
        <f t="shared" si="10"/>
        <v>1159179.5249999999</v>
      </c>
      <c r="K334" s="1466"/>
      <c r="L334" s="1540"/>
      <c r="M334" s="1540">
        <f t="shared" si="11"/>
        <v>1159179.5249999999</v>
      </c>
      <c r="N334" s="1539"/>
      <c r="O334" s="559"/>
    </row>
    <row r="335" spans="1:15" s="540" customFormat="1" ht="14.25" customHeight="1">
      <c r="A335" s="1536">
        <v>142</v>
      </c>
      <c r="B335" s="1537" t="str">
        <f>VLOOKUP(D335,'[2]DS CN MOI UP'!$B$11:$C$447,2,0)</f>
        <v>03314</v>
      </c>
      <c r="C335" s="1538" t="s">
        <v>654</v>
      </c>
      <c r="D335" s="1539" t="s">
        <v>909</v>
      </c>
      <c r="E335" s="166" t="s">
        <v>15</v>
      </c>
      <c r="F335" s="166"/>
      <c r="G335" s="1540"/>
      <c r="H335" s="1466">
        <v>1159179.5249999999</v>
      </c>
      <c r="I335" s="1466"/>
      <c r="J335" s="1466">
        <f t="shared" si="10"/>
        <v>1159179.5249999999</v>
      </c>
      <c r="K335" s="1466"/>
      <c r="L335" s="1540"/>
      <c r="M335" s="1540">
        <f t="shared" si="11"/>
        <v>1159179.5249999999</v>
      </c>
      <c r="N335" s="1539"/>
      <c r="O335" s="559"/>
    </row>
    <row r="336" spans="1:15" s="540" customFormat="1" ht="14.25" customHeight="1">
      <c r="A336" s="1536">
        <v>143</v>
      </c>
      <c r="B336" s="1537" t="e">
        <f>VLOOKUP(D336,'[2]DS CN MOI UP'!$B$11:$C$447,2,0)</f>
        <v>#N/A</v>
      </c>
      <c r="C336" s="1538" t="s">
        <v>654</v>
      </c>
      <c r="D336" s="1539" t="s">
        <v>910</v>
      </c>
      <c r="E336" s="166" t="s">
        <v>15</v>
      </c>
      <c r="F336" s="166"/>
      <c r="G336" s="1540"/>
      <c r="H336" s="1466">
        <v>1159179.5249999999</v>
      </c>
      <c r="I336" s="1466"/>
      <c r="J336" s="1466">
        <f t="shared" si="10"/>
        <v>1159179.5249999999</v>
      </c>
      <c r="K336" s="1466"/>
      <c r="L336" s="1540"/>
      <c r="M336" s="1540">
        <f t="shared" si="11"/>
        <v>1159179.5249999999</v>
      </c>
      <c r="N336" s="1539"/>
      <c r="O336" s="559"/>
    </row>
    <row r="337" spans="1:17" s="540" customFormat="1" ht="14.25" customHeight="1">
      <c r="A337" s="1536">
        <v>144</v>
      </c>
      <c r="B337" s="1537" t="str">
        <f>VLOOKUP(D337,'[2]DS CN MOI UP'!$B$11:$C$447,2,0)</f>
        <v>02673</v>
      </c>
      <c r="C337" s="1538" t="s">
        <v>651</v>
      </c>
      <c r="D337" s="1539" t="s">
        <v>438</v>
      </c>
      <c r="E337" s="166" t="s">
        <v>15</v>
      </c>
      <c r="F337" s="166"/>
      <c r="G337" s="1540"/>
      <c r="H337" s="1466">
        <v>1239846.615</v>
      </c>
      <c r="I337" s="1466"/>
      <c r="J337" s="1466">
        <f t="shared" si="10"/>
        <v>1239846.615</v>
      </c>
      <c r="K337" s="1466"/>
      <c r="L337" s="1540"/>
      <c r="M337" s="1540">
        <f t="shared" si="11"/>
        <v>1239846.615</v>
      </c>
      <c r="N337" s="1539"/>
      <c r="O337" s="559"/>
    </row>
    <row r="338" spans="1:17" s="540" customFormat="1" ht="14.25" customHeight="1">
      <c r="A338" s="1536">
        <v>145</v>
      </c>
      <c r="B338" s="1537" t="e">
        <f>VLOOKUP(D338,'[2]DS CN MOI UP'!$B$11:$C$447,2,0)</f>
        <v>#N/A</v>
      </c>
      <c r="C338" s="1538" t="s">
        <v>651</v>
      </c>
      <c r="D338" s="1539" t="s">
        <v>911</v>
      </c>
      <c r="E338" s="166" t="s">
        <v>15</v>
      </c>
      <c r="F338" s="166"/>
      <c r="G338" s="1540"/>
      <c r="H338" s="1466">
        <v>1149145.3259999999</v>
      </c>
      <c r="I338" s="1466"/>
      <c r="J338" s="1466">
        <f t="shared" si="10"/>
        <v>1149145.3259999999</v>
      </c>
      <c r="K338" s="1466"/>
      <c r="L338" s="1540"/>
      <c r="M338" s="1540">
        <f t="shared" si="11"/>
        <v>1149145.3259999999</v>
      </c>
      <c r="N338" s="1539"/>
      <c r="O338" s="559"/>
    </row>
    <row r="339" spans="1:17" s="540" customFormat="1" ht="14.25" customHeight="1">
      <c r="A339" s="1536">
        <v>146</v>
      </c>
      <c r="B339" s="1537" t="str">
        <f>VLOOKUP(D339,'[2]DS CN MOI UP'!$B$11:$C$447,2,0)</f>
        <v>03287</v>
      </c>
      <c r="C339" s="1538" t="s">
        <v>651</v>
      </c>
      <c r="D339" s="1539" t="s">
        <v>447</v>
      </c>
      <c r="E339" s="166" t="s">
        <v>15</v>
      </c>
      <c r="F339" s="166"/>
      <c r="G339" s="1540"/>
      <c r="H339" s="1466">
        <v>1108746.1980000001</v>
      </c>
      <c r="I339" s="1466"/>
      <c r="J339" s="1466">
        <f t="shared" si="10"/>
        <v>1108746.1980000001</v>
      </c>
      <c r="K339" s="1466"/>
      <c r="L339" s="1540"/>
      <c r="M339" s="1540">
        <f t="shared" si="11"/>
        <v>1108746.1980000001</v>
      </c>
      <c r="N339" s="1539"/>
      <c r="O339" s="559"/>
    </row>
    <row r="340" spans="1:17" s="540" customFormat="1" ht="14.25" customHeight="1">
      <c r="A340" s="1536">
        <v>147</v>
      </c>
      <c r="B340" s="1537" t="str">
        <f>VLOOKUP(D340,'[2]DS CN MOI UP'!$B$11:$C$447,2,0)</f>
        <v>03849</v>
      </c>
      <c r="C340" s="1538" t="s">
        <v>912</v>
      </c>
      <c r="D340" s="166" t="s">
        <v>348</v>
      </c>
      <c r="E340" s="1468" t="s">
        <v>15</v>
      </c>
      <c r="F340" s="1468"/>
      <c r="G340" s="1540"/>
      <c r="H340" s="1466">
        <v>1108746.1980000001</v>
      </c>
      <c r="I340" s="1466"/>
      <c r="J340" s="1466">
        <f t="shared" si="10"/>
        <v>1108746.1980000001</v>
      </c>
      <c r="K340" s="1466"/>
      <c r="L340" s="1466"/>
      <c r="M340" s="1540">
        <f t="shared" si="11"/>
        <v>1108746.1980000001</v>
      </c>
      <c r="N340" s="166"/>
      <c r="O340" s="559"/>
      <c r="P340" s="1545">
        <v>-49659.449199914903</v>
      </c>
      <c r="Q340" s="1545">
        <v>326680.24640008801</v>
      </c>
    </row>
    <row r="341" spans="1:17" s="540" customFormat="1" ht="14.25" customHeight="1">
      <c r="A341" s="1536">
        <v>148</v>
      </c>
      <c r="B341" s="1537" t="str">
        <f>VLOOKUP(D341,'[2]DS CN MOI UP'!$B$11:$C$447,2,0)</f>
        <v>03301</v>
      </c>
      <c r="C341" s="1538" t="s">
        <v>912</v>
      </c>
      <c r="D341" s="166" t="s">
        <v>464</v>
      </c>
      <c r="E341" s="1468" t="s">
        <v>15</v>
      </c>
      <c r="F341" s="1468"/>
      <c r="G341" s="1540"/>
      <c r="H341" s="1466">
        <v>1270080.378</v>
      </c>
      <c r="I341" s="1466"/>
      <c r="J341" s="1466">
        <f t="shared" si="10"/>
        <v>1270080.378</v>
      </c>
      <c r="K341" s="1466"/>
      <c r="L341" s="1466"/>
      <c r="M341" s="1540">
        <f t="shared" si="11"/>
        <v>1270080.378</v>
      </c>
      <c r="N341" s="166"/>
      <c r="O341" s="559"/>
      <c r="Q341" s="559" t="e">
        <f>-Q194</f>
        <v>#REF!</v>
      </c>
    </row>
    <row r="342" spans="1:17" s="540" customFormat="1" ht="14.25" customHeight="1">
      <c r="A342" s="1536">
        <v>149</v>
      </c>
      <c r="B342" s="1537" t="str">
        <f>VLOOKUP(D342,'[2]DS CN MOI UP'!$B$11:$C$447,2,0)</f>
        <v>03298</v>
      </c>
      <c r="C342" s="1538" t="s">
        <v>912</v>
      </c>
      <c r="D342" s="166" t="s">
        <v>461</v>
      </c>
      <c r="E342" s="1468" t="s">
        <v>15</v>
      </c>
      <c r="F342" s="1468"/>
      <c r="G342" s="1540"/>
      <c r="H342" s="1466">
        <v>1088677.8</v>
      </c>
      <c r="I342" s="1466"/>
      <c r="J342" s="1466">
        <f t="shared" si="10"/>
        <v>1088677.8</v>
      </c>
      <c r="K342" s="1466"/>
      <c r="L342" s="1466"/>
      <c r="M342" s="1540">
        <f t="shared" si="11"/>
        <v>1088677.8</v>
      </c>
      <c r="N342" s="166"/>
      <c r="O342" s="559"/>
    </row>
    <row r="343" spans="1:17" s="540" customFormat="1" ht="14.25" customHeight="1">
      <c r="A343" s="1536">
        <v>150</v>
      </c>
      <c r="B343" s="1537" t="e">
        <f>VLOOKUP(D343,'[2]DS CN MOI UP'!$B$11:$C$447,2,0)</f>
        <v>#N/A</v>
      </c>
      <c r="C343" s="1538" t="s">
        <v>912</v>
      </c>
      <c r="D343" s="166" t="s">
        <v>913</v>
      </c>
      <c r="E343" s="1468" t="s">
        <v>15</v>
      </c>
      <c r="F343" s="1468"/>
      <c r="G343" s="1540"/>
      <c r="H343" s="1540">
        <v>1148746.1980000001</v>
      </c>
      <c r="I343" s="1540"/>
      <c r="J343" s="1466">
        <f t="shared" si="10"/>
        <v>1148746.1980000001</v>
      </c>
      <c r="K343" s="1466"/>
      <c r="L343" s="1466"/>
      <c r="M343" s="1540">
        <f t="shared" si="11"/>
        <v>1148746.1980000001</v>
      </c>
      <c r="N343" s="166"/>
      <c r="O343" s="559"/>
    </row>
    <row r="344" spans="1:17" s="540" customFormat="1" ht="14.25" customHeight="1">
      <c r="A344" s="1536">
        <v>151</v>
      </c>
      <c r="B344" s="1537" t="e">
        <f>VLOOKUP(D344,'[2]DS CN MOI UP'!$B$11:$C$447,2,0)</f>
        <v>#N/A</v>
      </c>
      <c r="C344" s="1538" t="s">
        <v>912</v>
      </c>
      <c r="D344" s="166" t="s">
        <v>914</v>
      </c>
      <c r="E344" s="1468" t="s">
        <v>15</v>
      </c>
      <c r="F344" s="1468"/>
      <c r="G344" s="1540"/>
      <c r="H344" s="1540">
        <v>1270080.378</v>
      </c>
      <c r="I344" s="1540"/>
      <c r="J344" s="1466">
        <f t="shared" si="10"/>
        <v>1270080.378</v>
      </c>
      <c r="K344" s="1466"/>
      <c r="L344" s="1466"/>
      <c r="M344" s="1540">
        <f t="shared" si="11"/>
        <v>1270080.378</v>
      </c>
      <c r="N344" s="166"/>
      <c r="O344" s="559"/>
    </row>
    <row r="345" spans="1:17" s="540" customFormat="1" ht="14.25" customHeight="1">
      <c r="A345" s="1536">
        <v>152</v>
      </c>
      <c r="B345" s="1537" t="e">
        <f>VLOOKUP(D345,'[2]DS CN MOI UP'!$B$11:$C$447,2,0)</f>
        <v>#N/A</v>
      </c>
      <c r="C345" s="1538" t="s">
        <v>912</v>
      </c>
      <c r="D345" s="166" t="s">
        <v>915</v>
      </c>
      <c r="E345" s="1468" t="s">
        <v>15</v>
      </c>
      <c r="F345" s="1468"/>
      <c r="G345" s="1540"/>
      <c r="H345" s="1540">
        <v>1128677.8</v>
      </c>
      <c r="I345" s="1540"/>
      <c r="J345" s="1466">
        <f t="shared" si="10"/>
        <v>1128677.8</v>
      </c>
      <c r="K345" s="1466"/>
      <c r="L345" s="1466"/>
      <c r="M345" s="1540">
        <f t="shared" si="11"/>
        <v>1128677.8</v>
      </c>
      <c r="N345" s="166"/>
      <c r="O345" s="559"/>
    </row>
    <row r="346" spans="1:17" s="540" customFormat="1" ht="14.25" customHeight="1">
      <c r="A346" s="1536">
        <v>153</v>
      </c>
      <c r="B346" s="1537" t="e">
        <f>VLOOKUP(D346,'[2]DS CN MOI UP'!$B$11:$C$447,2,0)</f>
        <v>#N/A</v>
      </c>
      <c r="C346" s="1538" t="s">
        <v>912</v>
      </c>
      <c r="D346" s="166" t="s">
        <v>916</v>
      </c>
      <c r="E346" s="1468" t="s">
        <v>15</v>
      </c>
      <c r="F346" s="1468"/>
      <c r="G346" s="1540"/>
      <c r="H346" s="1540">
        <v>1189145.3259999999</v>
      </c>
      <c r="I346" s="1540"/>
      <c r="J346" s="1466">
        <f t="shared" si="10"/>
        <v>1189145.3259999999</v>
      </c>
      <c r="K346" s="1466"/>
      <c r="L346" s="1466"/>
      <c r="M346" s="1540">
        <f t="shared" si="11"/>
        <v>1189145.3259999999</v>
      </c>
      <c r="N346" s="166"/>
      <c r="O346" s="559"/>
    </row>
    <row r="347" spans="1:17" s="540" customFormat="1" ht="14.25" customHeight="1">
      <c r="A347" s="1536">
        <v>154</v>
      </c>
      <c r="B347" s="1537" t="e">
        <f>VLOOKUP(D347,'[2]DS CN MOI UP'!$B$11:$C$447,2,0)</f>
        <v>#N/A</v>
      </c>
      <c r="C347" s="1538" t="s">
        <v>912</v>
      </c>
      <c r="D347" s="166" t="s">
        <v>917</v>
      </c>
      <c r="E347" s="1468" t="s">
        <v>15</v>
      </c>
      <c r="F347" s="1468"/>
      <c r="G347" s="1540"/>
      <c r="H347" s="1540">
        <v>1249612.852</v>
      </c>
      <c r="I347" s="1540"/>
      <c r="J347" s="1466">
        <f t="shared" si="10"/>
        <v>1249612.852</v>
      </c>
      <c r="K347" s="1466"/>
      <c r="L347" s="1466"/>
      <c r="M347" s="1540">
        <f t="shared" si="11"/>
        <v>1249612.852</v>
      </c>
      <c r="N347" s="166"/>
      <c r="O347" s="559"/>
    </row>
    <row r="348" spans="1:17" s="540" customFormat="1" ht="14.25" customHeight="1">
      <c r="A348" s="1536">
        <v>155</v>
      </c>
      <c r="B348" s="1537" t="e">
        <f>VLOOKUP(D348,'[2]DS CN MOI UP'!$B$11:$C$447,2,0)</f>
        <v>#N/A</v>
      </c>
      <c r="C348" s="1538" t="s">
        <v>918</v>
      </c>
      <c r="D348" s="166" t="s">
        <v>919</v>
      </c>
      <c r="E348" s="1468" t="s">
        <v>15</v>
      </c>
      <c r="F348" s="1468"/>
      <c r="G348" s="1540"/>
      <c r="H348" s="1540">
        <v>1159179.5249999999</v>
      </c>
      <c r="I348" s="1540"/>
      <c r="J348" s="1466">
        <f t="shared" si="10"/>
        <v>1159179.5249999999</v>
      </c>
      <c r="K348" s="1466"/>
      <c r="L348" s="1466"/>
      <c r="M348" s="1540">
        <f t="shared" si="11"/>
        <v>1159179.5249999999</v>
      </c>
      <c r="N348" s="166"/>
      <c r="O348" s="559"/>
    </row>
    <row r="349" spans="1:17" s="540" customFormat="1" ht="14.25" customHeight="1">
      <c r="A349" s="1536">
        <v>156</v>
      </c>
      <c r="B349" s="1537" t="e">
        <f>VLOOKUP(D349,'[2]DS CN MOI UP'!$B$11:$C$447,2,0)</f>
        <v>#N/A</v>
      </c>
      <c r="C349" s="1538" t="s">
        <v>918</v>
      </c>
      <c r="D349" s="166" t="s">
        <v>920</v>
      </c>
      <c r="E349" s="1468" t="s">
        <v>15</v>
      </c>
      <c r="F349" s="1468"/>
      <c r="G349" s="1540"/>
      <c r="H349" s="1466">
        <v>1159179.5249999999</v>
      </c>
      <c r="I349" s="1540"/>
      <c r="J349" s="1466">
        <f t="shared" si="10"/>
        <v>1159179.5249999999</v>
      </c>
      <c r="K349" s="1466"/>
      <c r="L349" s="1466"/>
      <c r="M349" s="1540">
        <f t="shared" si="11"/>
        <v>1159179.5249999999</v>
      </c>
      <c r="N349" s="166"/>
      <c r="O349" s="559"/>
    </row>
    <row r="350" spans="1:17" s="540" customFormat="1" ht="14.25" customHeight="1">
      <c r="A350" s="1536">
        <v>157</v>
      </c>
      <c r="B350" s="1537" t="e">
        <f>VLOOKUP(D350,'[2]DS CN MOI UP'!$B$11:$C$447,2,0)</f>
        <v>#N/A</v>
      </c>
      <c r="C350" s="1538" t="s">
        <v>918</v>
      </c>
      <c r="D350" s="166" t="s">
        <v>921</v>
      </c>
      <c r="E350" s="1468" t="s">
        <v>15</v>
      </c>
      <c r="F350" s="1468"/>
      <c r="G350" s="1540"/>
      <c r="H350" s="1466">
        <v>1159179.5249999999</v>
      </c>
      <c r="I350" s="1540"/>
      <c r="J350" s="1466">
        <f t="shared" si="10"/>
        <v>1159179.5249999999</v>
      </c>
      <c r="K350" s="1466"/>
      <c r="L350" s="1466"/>
      <c r="M350" s="1540">
        <f t="shared" si="11"/>
        <v>1159179.5249999999</v>
      </c>
      <c r="N350" s="166"/>
      <c r="O350" s="559"/>
    </row>
    <row r="351" spans="1:17" s="540" customFormat="1" ht="14.25" customHeight="1">
      <c r="A351" s="1536">
        <v>158</v>
      </c>
      <c r="B351" s="1537" t="e">
        <f>VLOOKUP(D351,'[2]DS CN MOI UP'!$B$11:$C$447,2,0)</f>
        <v>#N/A</v>
      </c>
      <c r="C351" s="1538" t="s">
        <v>912</v>
      </c>
      <c r="D351" s="166" t="s">
        <v>922</v>
      </c>
      <c r="E351" s="1468" t="s">
        <v>15</v>
      </c>
      <c r="F351" s="1468"/>
      <c r="G351" s="1540"/>
      <c r="H351" s="1540">
        <v>1128677.8</v>
      </c>
      <c r="I351" s="1540"/>
      <c r="J351" s="1466">
        <f t="shared" si="10"/>
        <v>1128677.8</v>
      </c>
      <c r="K351" s="1466"/>
      <c r="L351" s="1466"/>
      <c r="M351" s="1540">
        <f t="shared" si="11"/>
        <v>1128677.8</v>
      </c>
      <c r="N351" s="166"/>
      <c r="O351" s="559"/>
    </row>
    <row r="352" spans="1:17" s="540" customFormat="1" ht="14.25" customHeight="1">
      <c r="A352" s="1536">
        <v>159</v>
      </c>
      <c r="B352" s="1537" t="e">
        <f>VLOOKUP(D352,'[2]DS CN MOI UP'!$B$11:$C$447,2,0)</f>
        <v>#N/A</v>
      </c>
      <c r="C352" s="1538" t="s">
        <v>912</v>
      </c>
      <c r="D352" s="166" t="s">
        <v>923</v>
      </c>
      <c r="E352" s="1468" t="s">
        <v>15</v>
      </c>
      <c r="F352" s="1468"/>
      <c r="G352" s="1540"/>
      <c r="H352" s="1540">
        <v>1189145.3259999999</v>
      </c>
      <c r="I352" s="1540"/>
      <c r="J352" s="1466">
        <f t="shared" si="10"/>
        <v>1189145.3259999999</v>
      </c>
      <c r="K352" s="1466"/>
      <c r="L352" s="1466"/>
      <c r="M352" s="1540">
        <f t="shared" si="11"/>
        <v>1189145.3259999999</v>
      </c>
      <c r="N352" s="166"/>
      <c r="O352" s="559"/>
    </row>
    <row r="353" spans="1:15" s="540" customFormat="1" ht="14.25" customHeight="1">
      <c r="A353" s="1536">
        <v>160</v>
      </c>
      <c r="B353" s="1537" t="e">
        <f>VLOOKUP(D353,'[2]DS CN MOI UP'!$B$11:$C$447,2,0)</f>
        <v>#N/A</v>
      </c>
      <c r="C353" s="1538" t="s">
        <v>912</v>
      </c>
      <c r="D353" s="166" t="s">
        <v>924</v>
      </c>
      <c r="E353" s="1468" t="s">
        <v>15</v>
      </c>
      <c r="F353" s="1468"/>
      <c r="G353" s="1540"/>
      <c r="H353" s="1540">
        <v>1249612.852</v>
      </c>
      <c r="I353" s="1540"/>
      <c r="J353" s="1466">
        <f t="shared" si="10"/>
        <v>1249612.852</v>
      </c>
      <c r="K353" s="1466"/>
      <c r="L353" s="1466"/>
      <c r="M353" s="1540">
        <f t="shared" si="11"/>
        <v>1249612.852</v>
      </c>
      <c r="N353" s="166"/>
      <c r="O353" s="559"/>
    </row>
    <row r="354" spans="1:15" s="540" customFormat="1" ht="14.25" customHeight="1">
      <c r="A354" s="1536">
        <v>161</v>
      </c>
      <c r="B354" s="1537" t="e">
        <f>VLOOKUP(D354,'[2]DS CN MOI UP'!$B$11:$C$447,2,0)</f>
        <v>#N/A</v>
      </c>
      <c r="C354" s="1538" t="s">
        <v>918</v>
      </c>
      <c r="D354" s="166" t="s">
        <v>925</v>
      </c>
      <c r="E354" s="1468" t="s">
        <v>15</v>
      </c>
      <c r="F354" s="1468"/>
      <c r="G354" s="1540"/>
      <c r="H354" s="1540">
        <v>1159179.5249999999</v>
      </c>
      <c r="I354" s="1540"/>
      <c r="J354" s="1466">
        <f t="shared" si="10"/>
        <v>1159179.5249999999</v>
      </c>
      <c r="K354" s="1466"/>
      <c r="L354" s="1466"/>
      <c r="M354" s="1540">
        <f t="shared" si="11"/>
        <v>1159179.5249999999</v>
      </c>
      <c r="N354" s="166"/>
      <c r="O354" s="559"/>
    </row>
    <row r="355" spans="1:15" s="540" customFormat="1" ht="14.25" customHeight="1">
      <c r="A355" s="1536">
        <v>162</v>
      </c>
      <c r="B355" s="1537" t="e">
        <f>VLOOKUP(D355,'[2]DS CN MOI UP'!$B$11:$C$447,2,0)</f>
        <v>#N/A</v>
      </c>
      <c r="C355" s="1538" t="s">
        <v>918</v>
      </c>
      <c r="D355" s="166" t="s">
        <v>926</v>
      </c>
      <c r="E355" s="1468" t="s">
        <v>15</v>
      </c>
      <c r="F355" s="1468"/>
      <c r="G355" s="1540"/>
      <c r="H355" s="1466">
        <v>1159179.5249999999</v>
      </c>
      <c r="I355" s="1540"/>
      <c r="J355" s="1466">
        <f t="shared" si="10"/>
        <v>1159179.5249999999</v>
      </c>
      <c r="K355" s="1466"/>
      <c r="L355" s="1466"/>
      <c r="M355" s="1540">
        <f t="shared" si="11"/>
        <v>1159179.5249999999</v>
      </c>
      <c r="N355" s="166"/>
      <c r="O355" s="559"/>
    </row>
    <row r="356" spans="1:15" s="540" customFormat="1" ht="14.25" customHeight="1">
      <c r="A356" s="1536">
        <v>163</v>
      </c>
      <c r="B356" s="1537" t="e">
        <f>VLOOKUP(D356,'[2]DS CN MOI UP'!$B$11:$C$447,2,0)</f>
        <v>#N/A</v>
      </c>
      <c r="C356" s="1538" t="s">
        <v>918</v>
      </c>
      <c r="D356" s="166" t="s">
        <v>863</v>
      </c>
      <c r="E356" s="1468" t="s">
        <v>15</v>
      </c>
      <c r="F356" s="1468"/>
      <c r="G356" s="1540"/>
      <c r="H356" s="1466">
        <v>1159179.5249999999</v>
      </c>
      <c r="I356" s="1540"/>
      <c r="J356" s="1466">
        <f t="shared" si="10"/>
        <v>1159179.5249999999</v>
      </c>
      <c r="K356" s="1466"/>
      <c r="L356" s="1466"/>
      <c r="M356" s="1540">
        <f t="shared" si="11"/>
        <v>1159179.5249999999</v>
      </c>
      <c r="N356" s="166"/>
      <c r="O356" s="559"/>
    </row>
    <row r="357" spans="1:15" s="540" customFormat="1" ht="14.25" customHeight="1">
      <c r="A357" s="1536">
        <v>164</v>
      </c>
      <c r="B357" s="1537" t="e">
        <f>VLOOKUP(D357,'[2]DS CN MOI UP'!$B$11:$C$447,2,0)</f>
        <v>#N/A</v>
      </c>
      <c r="C357" s="1538" t="s">
        <v>654</v>
      </c>
      <c r="D357" s="1539" t="s">
        <v>927</v>
      </c>
      <c r="E357" s="1468" t="s">
        <v>15</v>
      </c>
      <c r="F357" s="166"/>
      <c r="G357" s="1540"/>
      <c r="H357" s="1466">
        <v>1048278.672</v>
      </c>
      <c r="I357" s="1466"/>
      <c r="J357" s="1466">
        <f t="shared" si="10"/>
        <v>1048278.672</v>
      </c>
      <c r="K357" s="1466"/>
      <c r="L357" s="1540"/>
      <c r="M357" s="1540">
        <f t="shared" ref="M357:M430" si="12">J357-L357</f>
        <v>1048278.672</v>
      </c>
      <c r="N357" s="1539"/>
      <c r="O357" s="559"/>
    </row>
    <row r="358" spans="1:15" s="540" customFormat="1" ht="14.25" customHeight="1">
      <c r="A358" s="1536">
        <v>165</v>
      </c>
      <c r="B358" s="1537" t="e">
        <f>VLOOKUP(D358,'[2]DS CN MOI UP'!$B$11:$C$447,2,0)</f>
        <v>#N/A</v>
      </c>
      <c r="C358" s="1538" t="s">
        <v>654</v>
      </c>
      <c r="D358" s="1539" t="s">
        <v>928</v>
      </c>
      <c r="E358" s="1468" t="s">
        <v>15</v>
      </c>
      <c r="F358" s="166"/>
      <c r="G358" s="1540"/>
      <c r="H358" s="1466">
        <v>1159179.5249999999</v>
      </c>
      <c r="I358" s="1466"/>
      <c r="J358" s="1466">
        <f t="shared" si="10"/>
        <v>1159179.5249999999</v>
      </c>
      <c r="K358" s="1466"/>
      <c r="L358" s="1540"/>
      <c r="M358" s="1540">
        <f t="shared" si="12"/>
        <v>1159179.5249999999</v>
      </c>
      <c r="N358" s="1539"/>
      <c r="O358" s="559"/>
    </row>
    <row r="359" spans="1:15" s="540" customFormat="1" ht="14.25" customHeight="1">
      <c r="A359" s="1536">
        <v>166</v>
      </c>
      <c r="B359" s="1537" t="e">
        <f>VLOOKUP(D359,'[2]DS CN MOI UP'!$B$11:$C$447,2,0)</f>
        <v>#N/A</v>
      </c>
      <c r="C359" s="1538" t="s">
        <v>654</v>
      </c>
      <c r="D359" s="1539" t="s">
        <v>929</v>
      </c>
      <c r="E359" s="1468" t="s">
        <v>15</v>
      </c>
      <c r="F359" s="166"/>
      <c r="G359" s="1540"/>
      <c r="H359" s="1466">
        <v>1159179.5249999999</v>
      </c>
      <c r="I359" s="1466"/>
      <c r="J359" s="1466">
        <f t="shared" si="10"/>
        <v>1159179.5249999999</v>
      </c>
      <c r="K359" s="1466"/>
      <c r="L359" s="1540"/>
      <c r="M359" s="1540">
        <f t="shared" si="12"/>
        <v>1159179.5249999999</v>
      </c>
      <c r="N359" s="1539"/>
      <c r="O359" s="559"/>
    </row>
    <row r="360" spans="1:15" s="540" customFormat="1" ht="14.25" customHeight="1">
      <c r="A360" s="1536">
        <v>167</v>
      </c>
      <c r="B360" s="1537" t="e">
        <f>VLOOKUP(D360,'[2]DS CN MOI UP'!$B$11:$C$447,2,0)</f>
        <v>#N/A</v>
      </c>
      <c r="C360" s="1538" t="s">
        <v>654</v>
      </c>
      <c r="D360" s="1539" t="s">
        <v>930</v>
      </c>
      <c r="E360" s="1468" t="s">
        <v>15</v>
      </c>
      <c r="F360" s="166"/>
      <c r="G360" s="1540"/>
      <c r="H360" s="1466">
        <v>1159179.5249999999</v>
      </c>
      <c r="I360" s="1466"/>
      <c r="J360" s="1466">
        <f t="shared" si="10"/>
        <v>1159179.5249999999</v>
      </c>
      <c r="K360" s="1466"/>
      <c r="L360" s="1540"/>
      <c r="M360" s="1540">
        <f t="shared" si="12"/>
        <v>1159179.5249999999</v>
      </c>
      <c r="N360" s="1539"/>
      <c r="O360" s="559"/>
    </row>
    <row r="361" spans="1:15" s="540" customFormat="1" ht="14.25" customHeight="1">
      <c r="A361" s="1536">
        <v>168</v>
      </c>
      <c r="B361" s="1537" t="e">
        <f>VLOOKUP(D361,'[2]DS CN MOI UP'!$B$11:$C$447,2,0)</f>
        <v>#N/A</v>
      </c>
      <c r="C361" s="1538" t="s">
        <v>654</v>
      </c>
      <c r="D361" s="1539" t="s">
        <v>931</v>
      </c>
      <c r="E361" s="1468" t="s">
        <v>15</v>
      </c>
      <c r="F361" s="166"/>
      <c r="G361" s="1540"/>
      <c r="H361" s="1466">
        <v>1159179.5249999999</v>
      </c>
      <c r="I361" s="1466"/>
      <c r="J361" s="1466">
        <f t="shared" si="10"/>
        <v>1159179.5249999999</v>
      </c>
      <c r="K361" s="1466"/>
      <c r="L361" s="1540"/>
      <c r="M361" s="1540">
        <f t="shared" si="12"/>
        <v>1159179.5249999999</v>
      </c>
      <c r="N361" s="1539"/>
      <c r="O361" s="559"/>
    </row>
    <row r="362" spans="1:15" s="540" customFormat="1" ht="14.25" customHeight="1">
      <c r="A362" s="1536">
        <v>169</v>
      </c>
      <c r="B362" s="1537" t="e">
        <f>VLOOKUP(D362,'[2]DS CN MOI UP'!$B$11:$C$447,2,0)</f>
        <v>#N/A</v>
      </c>
      <c r="C362" s="1538" t="s">
        <v>654</v>
      </c>
      <c r="D362" s="1539" t="s">
        <v>932</v>
      </c>
      <c r="E362" s="1468" t="s">
        <v>15</v>
      </c>
      <c r="F362" s="166"/>
      <c r="G362" s="1540"/>
      <c r="H362" s="1466">
        <v>1159179.5249999999</v>
      </c>
      <c r="I362" s="1466"/>
      <c r="J362" s="1466">
        <f t="shared" si="10"/>
        <v>1159179.5249999999</v>
      </c>
      <c r="K362" s="1466"/>
      <c r="L362" s="1540"/>
      <c r="M362" s="1540">
        <f t="shared" si="12"/>
        <v>1159179.5249999999</v>
      </c>
      <c r="N362" s="1539"/>
      <c r="O362" s="559"/>
    </row>
    <row r="363" spans="1:15" s="540" customFormat="1" ht="14.25" customHeight="1">
      <c r="A363" s="1536">
        <v>170</v>
      </c>
      <c r="B363" s="1537" t="e">
        <f>VLOOKUP(D363,'[2]DS CN MOI UP'!$B$11:$C$447,2,0)</f>
        <v>#N/A</v>
      </c>
      <c r="C363" s="1538" t="s">
        <v>654</v>
      </c>
      <c r="D363" s="1539" t="s">
        <v>933</v>
      </c>
      <c r="E363" s="1468" t="s">
        <v>15</v>
      </c>
      <c r="F363" s="166"/>
      <c r="G363" s="1540"/>
      <c r="H363" s="1466">
        <v>1159179.5249999999</v>
      </c>
      <c r="I363" s="1466"/>
      <c r="J363" s="1466">
        <f t="shared" si="10"/>
        <v>1159179.5249999999</v>
      </c>
      <c r="K363" s="1466"/>
      <c r="L363" s="1540"/>
      <c r="M363" s="1540">
        <f t="shared" si="12"/>
        <v>1159179.5249999999</v>
      </c>
      <c r="N363" s="1539"/>
      <c r="O363" s="559"/>
    </row>
    <row r="364" spans="1:15" s="540" customFormat="1" ht="14.25" customHeight="1">
      <c r="A364" s="1536">
        <v>171</v>
      </c>
      <c r="B364" s="1537" t="e">
        <f>VLOOKUP(D364,'[2]DS CN MOI UP'!$B$11:$C$447,2,0)</f>
        <v>#N/A</v>
      </c>
      <c r="C364" s="1538" t="s">
        <v>654</v>
      </c>
      <c r="D364" s="1539" t="s">
        <v>934</v>
      </c>
      <c r="E364" s="1468" t="s">
        <v>15</v>
      </c>
      <c r="F364" s="166"/>
      <c r="G364" s="1540"/>
      <c r="H364" s="1466">
        <v>1249880.814</v>
      </c>
      <c r="I364" s="1466"/>
      <c r="J364" s="1466">
        <f t="shared" si="10"/>
        <v>1249880.814</v>
      </c>
      <c r="K364" s="1466"/>
      <c r="L364" s="1540"/>
      <c r="M364" s="1540">
        <f t="shared" si="12"/>
        <v>1249880.814</v>
      </c>
      <c r="N364" s="1539"/>
      <c r="O364" s="559"/>
    </row>
    <row r="365" spans="1:15" s="540" customFormat="1" ht="14.25" customHeight="1">
      <c r="A365" s="1536">
        <v>172</v>
      </c>
      <c r="B365" s="1537" t="e">
        <f>VLOOKUP(D365,'[2]DS CN MOI UP'!$B$11:$C$447,2,0)</f>
        <v>#N/A</v>
      </c>
      <c r="C365" s="1538" t="s">
        <v>654</v>
      </c>
      <c r="D365" s="1539" t="s">
        <v>935</v>
      </c>
      <c r="E365" s="1468" t="s">
        <v>15</v>
      </c>
      <c r="F365" s="166"/>
      <c r="G365" s="1540"/>
      <c r="H365" s="1466">
        <v>1108746.1980000001</v>
      </c>
      <c r="I365" s="1466"/>
      <c r="J365" s="1466">
        <f t="shared" si="10"/>
        <v>1108746.1980000001</v>
      </c>
      <c r="K365" s="1466"/>
      <c r="L365" s="1540"/>
      <c r="M365" s="1540">
        <f t="shared" si="12"/>
        <v>1108746.1980000001</v>
      </c>
      <c r="N365" s="1539"/>
      <c r="O365" s="559"/>
    </row>
    <row r="366" spans="1:15" s="540" customFormat="1" ht="14.25" customHeight="1">
      <c r="A366" s="1536">
        <v>173</v>
      </c>
      <c r="B366" s="1537" t="e">
        <f>VLOOKUP(D366,'[2]DS CN MOI UP'!$B$11:$C$447,2,0)</f>
        <v>#N/A</v>
      </c>
      <c r="C366" s="1538" t="s">
        <v>654</v>
      </c>
      <c r="D366" s="1539" t="s">
        <v>936</v>
      </c>
      <c r="E366" s="1468" t="s">
        <v>15</v>
      </c>
      <c r="F366" s="166"/>
      <c r="G366" s="1540"/>
      <c r="H366" s="1466">
        <v>1108746.1980000001</v>
      </c>
      <c r="I366" s="1466"/>
      <c r="J366" s="1466">
        <f t="shared" si="10"/>
        <v>1108746.1980000001</v>
      </c>
      <c r="K366" s="1466"/>
      <c r="L366" s="1540"/>
      <c r="M366" s="1540">
        <f t="shared" si="12"/>
        <v>1108746.1980000001</v>
      </c>
      <c r="N366" s="1539"/>
      <c r="O366" s="559"/>
    </row>
    <row r="367" spans="1:15" s="540" customFormat="1" ht="14.25" customHeight="1">
      <c r="A367" s="1536">
        <v>174</v>
      </c>
      <c r="B367" s="1537" t="e">
        <f>VLOOKUP(D367,'[2]DS CN MOI UP'!$B$11:$C$447,2,0)</f>
        <v>#N/A</v>
      </c>
      <c r="C367" s="1538" t="s">
        <v>654</v>
      </c>
      <c r="D367" s="1539" t="s">
        <v>937</v>
      </c>
      <c r="E367" s="1468" t="s">
        <v>15</v>
      </c>
      <c r="F367" s="166"/>
      <c r="G367" s="1540"/>
      <c r="H367" s="1466">
        <v>1108746.1980000001</v>
      </c>
      <c r="I367" s="1466"/>
      <c r="J367" s="1466">
        <f t="shared" si="10"/>
        <v>1108746.1980000001</v>
      </c>
      <c r="K367" s="1466"/>
      <c r="L367" s="1540"/>
      <c r="M367" s="1540">
        <f t="shared" si="12"/>
        <v>1108746.1980000001</v>
      </c>
      <c r="N367" s="1539"/>
      <c r="O367" s="559"/>
    </row>
    <row r="368" spans="1:15" s="540" customFormat="1" ht="14.25" customHeight="1">
      <c r="A368" s="1536">
        <v>175</v>
      </c>
      <c r="B368" s="1537" t="e">
        <f>VLOOKUP(D368,'[2]DS CN MOI UP'!$B$11:$C$447,2,0)</f>
        <v>#N/A</v>
      </c>
      <c r="C368" s="1538" t="s">
        <v>654</v>
      </c>
      <c r="D368" s="1539" t="s">
        <v>938</v>
      </c>
      <c r="E368" s="1468" t="s">
        <v>15</v>
      </c>
      <c r="F368" s="166"/>
      <c r="G368" s="1540"/>
      <c r="H368" s="1466">
        <v>1270080.378</v>
      </c>
      <c r="I368" s="1466"/>
      <c r="J368" s="1466">
        <f t="shared" si="10"/>
        <v>1270080.378</v>
      </c>
      <c r="K368" s="1466"/>
      <c r="L368" s="1540"/>
      <c r="M368" s="1540">
        <f t="shared" si="12"/>
        <v>1270080.378</v>
      </c>
      <c r="N368" s="1539"/>
      <c r="O368" s="559"/>
    </row>
    <row r="369" spans="1:15" s="540" customFormat="1" ht="14.25" customHeight="1">
      <c r="A369" s="1536">
        <v>176</v>
      </c>
      <c r="B369" s="1537" t="e">
        <f>VLOOKUP(D369,'[2]DS CN MOI UP'!$B$11:$C$447,2,0)</f>
        <v>#N/A</v>
      </c>
      <c r="C369" s="1538" t="s">
        <v>654</v>
      </c>
      <c r="D369" s="1539" t="s">
        <v>939</v>
      </c>
      <c r="E369" s="1468" t="s">
        <v>15</v>
      </c>
      <c r="F369" s="166"/>
      <c r="G369" s="1540"/>
      <c r="H369" s="1466">
        <v>1088677.8</v>
      </c>
      <c r="I369" s="1466"/>
      <c r="J369" s="1466">
        <f t="shared" si="10"/>
        <v>1088677.8</v>
      </c>
      <c r="K369" s="1466"/>
      <c r="L369" s="1540"/>
      <c r="M369" s="1540">
        <f t="shared" si="12"/>
        <v>1088677.8</v>
      </c>
      <c r="N369" s="1539"/>
      <c r="O369" s="559"/>
    </row>
    <row r="370" spans="1:15" s="540" customFormat="1" ht="14.25" customHeight="1">
      <c r="A370" s="1536">
        <v>177</v>
      </c>
      <c r="B370" s="1537" t="e">
        <f>VLOOKUP(D370,'[2]DS CN MOI UP'!$B$11:$C$447,2,0)</f>
        <v>#N/A</v>
      </c>
      <c r="C370" s="1538" t="s">
        <v>654</v>
      </c>
      <c r="D370" s="1539" t="s">
        <v>940</v>
      </c>
      <c r="E370" s="1468" t="s">
        <v>15</v>
      </c>
      <c r="F370" s="166"/>
      <c r="G370" s="1540"/>
      <c r="H370" s="1466">
        <v>1149145.3259999999</v>
      </c>
      <c r="I370" s="1466"/>
      <c r="J370" s="1466">
        <f t="shared" si="10"/>
        <v>1149145.3259999999</v>
      </c>
      <c r="K370" s="1466"/>
      <c r="L370" s="1540"/>
      <c r="M370" s="1540">
        <f t="shared" si="12"/>
        <v>1149145.3259999999</v>
      </c>
      <c r="N370" s="1539"/>
      <c r="O370" s="559"/>
    </row>
    <row r="371" spans="1:15" s="540" customFormat="1" ht="14.25" customHeight="1">
      <c r="A371" s="1536">
        <v>178</v>
      </c>
      <c r="B371" s="1537" t="e">
        <f>VLOOKUP(D371,'[2]DS CN MOI UP'!$B$11:$C$447,2,0)</f>
        <v>#N/A</v>
      </c>
      <c r="C371" s="1538" t="s">
        <v>654</v>
      </c>
      <c r="D371" s="1539" t="s">
        <v>941</v>
      </c>
      <c r="E371" s="1468" t="s">
        <v>15</v>
      </c>
      <c r="F371" s="166"/>
      <c r="G371" s="1540"/>
      <c r="H371" s="1466">
        <v>1209612.852</v>
      </c>
      <c r="I371" s="1466"/>
      <c r="J371" s="1466">
        <f t="shared" si="10"/>
        <v>1209612.852</v>
      </c>
      <c r="K371" s="1466"/>
      <c r="L371" s="1540"/>
      <c r="M371" s="1540">
        <f t="shared" si="12"/>
        <v>1209612.852</v>
      </c>
      <c r="N371" s="1539"/>
      <c r="O371" s="559"/>
    </row>
    <row r="372" spans="1:15" s="540" customFormat="1" ht="14.25" customHeight="1">
      <c r="A372" s="1536">
        <v>179</v>
      </c>
      <c r="B372" s="1537"/>
      <c r="C372" s="1538" t="s">
        <v>648</v>
      </c>
      <c r="D372" s="1539" t="s">
        <v>942</v>
      </c>
      <c r="E372" s="1468" t="s">
        <v>15</v>
      </c>
      <c r="F372" s="166"/>
      <c r="G372" s="1540"/>
      <c r="H372" s="1540">
        <v>1078512.4350000001</v>
      </c>
      <c r="I372" s="1466"/>
      <c r="J372" s="1466">
        <f t="shared" si="10"/>
        <v>1078512.4350000001</v>
      </c>
      <c r="K372" s="1466"/>
      <c r="L372" s="1540"/>
      <c r="M372" s="1540">
        <f t="shared" si="12"/>
        <v>1078512.4350000001</v>
      </c>
      <c r="N372" s="1539"/>
      <c r="O372" s="559"/>
    </row>
    <row r="373" spans="1:15" s="540" customFormat="1" ht="14.25" customHeight="1">
      <c r="A373" s="1536">
        <v>180</v>
      </c>
      <c r="B373" s="1537" t="e">
        <f>VLOOKUP(D373,'[2]DS CN MOI UP'!$B$11:$C$447,2,0)</f>
        <v>#N/A</v>
      </c>
      <c r="C373" s="1538" t="s">
        <v>650</v>
      </c>
      <c r="D373" s="1539" t="s">
        <v>943</v>
      </c>
      <c r="E373" s="1468" t="s">
        <v>15</v>
      </c>
      <c r="F373" s="166"/>
      <c r="G373" s="1540"/>
      <c r="H373" s="1540">
        <v>1169213.7239999999</v>
      </c>
      <c r="I373" s="1466"/>
      <c r="J373" s="1466">
        <f t="shared" si="10"/>
        <v>1169213.7239999999</v>
      </c>
      <c r="K373" s="1466"/>
      <c r="L373" s="1540"/>
      <c r="M373" s="1540">
        <f t="shared" si="12"/>
        <v>1169213.7239999999</v>
      </c>
      <c r="N373" s="1539"/>
      <c r="O373" s="559"/>
    </row>
    <row r="374" spans="1:15" s="540" customFormat="1" ht="14.25" customHeight="1">
      <c r="A374" s="1536">
        <v>181</v>
      </c>
      <c r="B374" s="1537" t="e">
        <f>VLOOKUP(D374,'[2]DS CN MOI UP'!$B$11:$C$447,2,0)</f>
        <v>#N/A</v>
      </c>
      <c r="C374" s="1538" t="s">
        <v>651</v>
      </c>
      <c r="D374" s="1539" t="s">
        <v>944</v>
      </c>
      <c r="E374" s="1468" t="s">
        <v>15</v>
      </c>
      <c r="F374" s="166"/>
      <c r="G374" s="1540"/>
      <c r="H374" s="1540">
        <v>1108746.1980000001</v>
      </c>
      <c r="I374" s="1466"/>
      <c r="J374" s="1466">
        <f t="shared" si="10"/>
        <v>1108746.1980000001</v>
      </c>
      <c r="K374" s="1466"/>
      <c r="L374" s="1540"/>
      <c r="M374" s="1540">
        <f t="shared" si="12"/>
        <v>1108746.1980000001</v>
      </c>
      <c r="N374" s="1539"/>
      <c r="O374" s="559">
        <v>69910.475200004905</v>
      </c>
    </row>
    <row r="375" spans="1:15" s="540" customFormat="1" ht="14.25" customHeight="1">
      <c r="A375" s="1536">
        <v>182</v>
      </c>
      <c r="B375" s="1537" t="e">
        <f>VLOOKUP(D375,'[2]DS CN MOI UP'!$B$11:$C$447,2,0)</f>
        <v>#N/A</v>
      </c>
      <c r="C375" s="1538" t="s">
        <v>651</v>
      </c>
      <c r="D375" s="1539" t="s">
        <v>945</v>
      </c>
      <c r="E375" s="1468" t="s">
        <v>15</v>
      </c>
      <c r="F375" s="166"/>
      <c r="G375" s="1540"/>
      <c r="H375" s="1540">
        <v>1249880.814</v>
      </c>
      <c r="I375" s="1466"/>
      <c r="J375" s="1466">
        <f t="shared" si="10"/>
        <v>1249880.814</v>
      </c>
      <c r="K375" s="1466"/>
      <c r="L375" s="1540"/>
      <c r="M375" s="1540">
        <f t="shared" si="12"/>
        <v>1249880.814</v>
      </c>
      <c r="N375" s="1539"/>
      <c r="O375" s="559"/>
    </row>
    <row r="376" spans="1:15" s="540" customFormat="1" ht="14.25" customHeight="1">
      <c r="A376" s="1536">
        <v>183</v>
      </c>
      <c r="B376" s="1537" t="e">
        <f>VLOOKUP(D376,'[2]DS CN MOI UP'!$B$11:$C$447,2,0)</f>
        <v>#N/A</v>
      </c>
      <c r="C376" s="1538" t="s">
        <v>918</v>
      </c>
      <c r="D376" s="166" t="s">
        <v>946</v>
      </c>
      <c r="E376" s="1468" t="s">
        <v>15</v>
      </c>
      <c r="F376" s="1468"/>
      <c r="G376" s="1540"/>
      <c r="H376" s="1466">
        <v>1250078.7010463499</v>
      </c>
      <c r="I376" s="1466"/>
      <c r="J376" s="1466">
        <f t="shared" si="10"/>
        <v>1250078.7010463499</v>
      </c>
      <c r="K376" s="1466"/>
      <c r="L376" s="1466"/>
      <c r="M376" s="1540">
        <f t="shared" si="12"/>
        <v>1250078.7010463499</v>
      </c>
      <c r="N376" s="166"/>
      <c r="O376" s="559"/>
    </row>
    <row r="377" spans="1:15" s="540" customFormat="1" ht="14.25" customHeight="1">
      <c r="A377" s="1536">
        <v>184</v>
      </c>
      <c r="B377" s="1537" t="e">
        <f>VLOOKUP(D377,'[2]DS CN MOI UP'!$B$11:$C$447,2,0)</f>
        <v>#N/A</v>
      </c>
      <c r="C377" s="1538" t="s">
        <v>918</v>
      </c>
      <c r="D377" s="166" t="s">
        <v>947</v>
      </c>
      <c r="E377" s="1468" t="s">
        <v>15</v>
      </c>
      <c r="F377" s="1468"/>
      <c r="G377" s="1540"/>
      <c r="H377" s="1540">
        <v>1199179.5249999999</v>
      </c>
      <c r="I377" s="1540"/>
      <c r="J377" s="1466">
        <f t="shared" si="10"/>
        <v>1199179.5249999999</v>
      </c>
      <c r="K377" s="1466"/>
      <c r="L377" s="1466"/>
      <c r="M377" s="1540">
        <f t="shared" si="12"/>
        <v>1199179.5249999999</v>
      </c>
      <c r="N377" s="166"/>
      <c r="O377" s="559"/>
    </row>
    <row r="378" spans="1:15" s="540" customFormat="1" ht="14.25" customHeight="1">
      <c r="A378" s="1536">
        <v>185</v>
      </c>
      <c r="B378" s="1537" t="e">
        <f>VLOOKUP(D378,'[2]DS CN MOI UP'!$B$11:$C$447,2,0)</f>
        <v>#N/A</v>
      </c>
      <c r="C378" s="1538" t="s">
        <v>918</v>
      </c>
      <c r="D378" s="166" t="s">
        <v>948</v>
      </c>
      <c r="E378" s="1468" t="s">
        <v>15</v>
      </c>
      <c r="F378" s="1468"/>
      <c r="G378" s="1540"/>
      <c r="H378" s="1540">
        <v>1269681.25</v>
      </c>
      <c r="I378" s="1540"/>
      <c r="J378" s="1466">
        <f t="shared" si="10"/>
        <v>1269681.25</v>
      </c>
      <c r="K378" s="1466"/>
      <c r="L378" s="1466"/>
      <c r="M378" s="1540">
        <f t="shared" si="12"/>
        <v>1269681.25</v>
      </c>
      <c r="N378" s="166"/>
      <c r="O378" s="559"/>
    </row>
    <row r="379" spans="1:15" s="540" customFormat="1" ht="14.25" customHeight="1">
      <c r="A379" s="1536">
        <v>186</v>
      </c>
      <c r="B379" s="1537" t="e">
        <f>VLOOKUP(D379,'[2]DS CN MOI UP'!$B$11:$C$447,2,0)</f>
        <v>#N/A</v>
      </c>
      <c r="C379" s="1538" t="s">
        <v>918</v>
      </c>
      <c r="D379" s="166" t="s">
        <v>714</v>
      </c>
      <c r="E379" s="1468" t="s">
        <v>15</v>
      </c>
      <c r="F379" s="1468"/>
      <c r="G379" s="1540"/>
      <c r="H379" s="1540">
        <v>1148746.1980000001</v>
      </c>
      <c r="I379" s="1540"/>
      <c r="J379" s="1466">
        <f t="shared" si="10"/>
        <v>1148746.1980000001</v>
      </c>
      <c r="K379" s="1466"/>
      <c r="L379" s="1466"/>
      <c r="M379" s="1540">
        <f t="shared" si="12"/>
        <v>1148746.1980000001</v>
      </c>
      <c r="N379" s="166"/>
      <c r="O379" s="559"/>
    </row>
    <row r="380" spans="1:15" s="540" customFormat="1" ht="14.25" customHeight="1">
      <c r="A380" s="1536">
        <v>187</v>
      </c>
      <c r="B380" s="1537" t="e">
        <f>VLOOKUP(D380,'[2]DS CN MOI UP'!$B$11:$C$447,2,0)</f>
        <v>#N/A</v>
      </c>
      <c r="C380" s="1538" t="s">
        <v>918</v>
      </c>
      <c r="D380" s="166" t="s">
        <v>949</v>
      </c>
      <c r="E380" s="1468" t="s">
        <v>15</v>
      </c>
      <c r="F380" s="1468"/>
      <c r="G380" s="1540"/>
      <c r="H380" s="1540">
        <v>1148746.1980000001</v>
      </c>
      <c r="I380" s="1540"/>
      <c r="J380" s="1466">
        <f t="shared" si="10"/>
        <v>1148746.1980000001</v>
      </c>
      <c r="K380" s="1466"/>
      <c r="L380" s="1466"/>
      <c r="M380" s="1540">
        <f t="shared" si="12"/>
        <v>1148746.1980000001</v>
      </c>
      <c r="N380" s="166"/>
      <c r="O380" s="559"/>
    </row>
    <row r="381" spans="1:15" s="540" customFormat="1" ht="14.25" customHeight="1">
      <c r="A381" s="1536">
        <v>188</v>
      </c>
      <c r="B381" s="1537" t="e">
        <f>VLOOKUP(D381,'[2]DS CN MOI UP'!$B$11:$C$447,2,0)</f>
        <v>#N/A</v>
      </c>
      <c r="C381" s="1538" t="s">
        <v>918</v>
      </c>
      <c r="D381" s="166" t="s">
        <v>950</v>
      </c>
      <c r="E381" s="1468" t="s">
        <v>15</v>
      </c>
      <c r="F381" s="1468"/>
      <c r="G381" s="1540"/>
      <c r="H381" s="1540">
        <v>1148746.1980000001</v>
      </c>
      <c r="I381" s="1540"/>
      <c r="J381" s="1466">
        <f t="shared" si="10"/>
        <v>1148746.1980000001</v>
      </c>
      <c r="K381" s="1466"/>
      <c r="L381" s="1466"/>
      <c r="M381" s="1540">
        <f t="shared" si="12"/>
        <v>1148746.1980000001</v>
      </c>
      <c r="N381" s="166"/>
      <c r="O381" s="559"/>
    </row>
    <row r="382" spans="1:15" s="540" customFormat="1" ht="14.25" customHeight="1">
      <c r="A382" s="1536">
        <v>189</v>
      </c>
      <c r="B382" s="1537" t="e">
        <f>VLOOKUP(D382,'[2]DS CN MOI UP'!$B$11:$C$447,2,0)</f>
        <v>#N/A</v>
      </c>
      <c r="C382" s="1538" t="s">
        <v>918</v>
      </c>
      <c r="D382" s="166" t="s">
        <v>951</v>
      </c>
      <c r="E382" s="1468" t="s">
        <v>15</v>
      </c>
      <c r="F382" s="1468"/>
      <c r="G382" s="1540"/>
      <c r="H382" s="1540">
        <v>1270080.378</v>
      </c>
      <c r="I382" s="1540"/>
      <c r="J382" s="1466">
        <f t="shared" si="10"/>
        <v>1270080.378</v>
      </c>
      <c r="K382" s="1466"/>
      <c r="L382" s="1466"/>
      <c r="M382" s="1540">
        <f t="shared" si="12"/>
        <v>1270080.378</v>
      </c>
      <c r="N382" s="166"/>
      <c r="O382" s="559"/>
    </row>
    <row r="383" spans="1:15" s="540" customFormat="1" ht="14.25" customHeight="1">
      <c r="A383" s="1536">
        <v>190</v>
      </c>
      <c r="B383" s="1537" t="str">
        <f>VLOOKUP(D383,'[2]DS CN MOI UP'!$B$11:$C$447,2,0)</f>
        <v>02572</v>
      </c>
      <c r="C383" s="1538" t="s">
        <v>918</v>
      </c>
      <c r="D383" s="166" t="s">
        <v>271</v>
      </c>
      <c r="E383" s="1468" t="s">
        <v>15</v>
      </c>
      <c r="F383" s="1468"/>
      <c r="G383" s="1540"/>
      <c r="H383" s="1540">
        <v>1128677.8</v>
      </c>
      <c r="I383" s="1540"/>
      <c r="J383" s="1466">
        <f t="shared" si="10"/>
        <v>1128677.8</v>
      </c>
      <c r="K383" s="1466"/>
      <c r="L383" s="1466"/>
      <c r="M383" s="1540">
        <f t="shared" si="12"/>
        <v>1128677.8</v>
      </c>
      <c r="N383" s="166"/>
      <c r="O383" s="559"/>
    </row>
    <row r="384" spans="1:15" s="540" customFormat="1" ht="14.25" customHeight="1">
      <c r="A384" s="1536">
        <v>191</v>
      </c>
      <c r="B384" s="1537" t="e">
        <f>VLOOKUP(D384,'[2]DS CN MOI UP'!$B$11:$C$447,2,0)</f>
        <v>#N/A</v>
      </c>
      <c r="C384" s="1538" t="s">
        <v>918</v>
      </c>
      <c r="D384" s="166" t="s">
        <v>952</v>
      </c>
      <c r="E384" s="1468" t="s">
        <v>15</v>
      </c>
      <c r="F384" s="1468"/>
      <c r="G384" s="1540"/>
      <c r="H384" s="1540">
        <v>1189145.3259999999</v>
      </c>
      <c r="I384" s="1540"/>
      <c r="J384" s="1466">
        <f t="shared" si="10"/>
        <v>1189145.3259999999</v>
      </c>
      <c r="K384" s="1466"/>
      <c r="L384" s="1466"/>
      <c r="M384" s="1540">
        <f t="shared" si="12"/>
        <v>1189145.3259999999</v>
      </c>
      <c r="N384" s="166"/>
      <c r="O384" s="559"/>
    </row>
    <row r="385" spans="1:15" s="540" customFormat="1" ht="14.25" customHeight="1">
      <c r="A385" s="1536">
        <v>192</v>
      </c>
      <c r="B385" s="1537" t="e">
        <f>VLOOKUP(D385,'[2]DS CN MOI UP'!$B$11:$C$447,2,0)</f>
        <v>#N/A</v>
      </c>
      <c r="C385" s="1538" t="s">
        <v>918</v>
      </c>
      <c r="D385" s="166" t="s">
        <v>953</v>
      </c>
      <c r="E385" s="1468" t="s">
        <v>15</v>
      </c>
      <c r="F385" s="1468"/>
      <c r="G385" s="1540"/>
      <c r="H385" s="1540">
        <v>1249612.852</v>
      </c>
      <c r="I385" s="1540"/>
      <c r="J385" s="1466">
        <f t="shared" si="10"/>
        <v>1249612.852</v>
      </c>
      <c r="K385" s="1466"/>
      <c r="L385" s="1466"/>
      <c r="M385" s="1540">
        <f t="shared" si="12"/>
        <v>1249612.852</v>
      </c>
      <c r="N385" s="166"/>
      <c r="O385" s="559"/>
    </row>
    <row r="386" spans="1:15" s="540" customFormat="1" ht="14.25" customHeight="1">
      <c r="A386" s="1536">
        <v>193</v>
      </c>
      <c r="B386" s="1537" t="e">
        <f>VLOOKUP(D386,'[2]DS CN MOI UP'!$B$11:$C$447,2,0)</f>
        <v>#N/A</v>
      </c>
      <c r="C386" s="1538" t="s">
        <v>918</v>
      </c>
      <c r="D386" s="166" t="s">
        <v>954</v>
      </c>
      <c r="E386" s="1468" t="s">
        <v>15</v>
      </c>
      <c r="F386" s="1468"/>
      <c r="G386" s="1540"/>
      <c r="H386" s="1540">
        <v>1199179.5249999999</v>
      </c>
      <c r="I386" s="1540"/>
      <c r="J386" s="1466">
        <f t="shared" si="10"/>
        <v>1199179.5249999999</v>
      </c>
      <c r="K386" s="1466"/>
      <c r="L386" s="1466"/>
      <c r="M386" s="1540">
        <f t="shared" si="12"/>
        <v>1199179.5249999999</v>
      </c>
      <c r="N386" s="166"/>
      <c r="O386" s="559"/>
    </row>
    <row r="387" spans="1:15" s="540" customFormat="1" ht="14.25" customHeight="1">
      <c r="A387" s="1536">
        <v>194</v>
      </c>
      <c r="B387" s="1537" t="e">
        <f>VLOOKUP(D387,'[2]DS CN MOI UP'!$B$11:$C$447,2,0)</f>
        <v>#N/A</v>
      </c>
      <c r="C387" s="1538" t="s">
        <v>918</v>
      </c>
      <c r="D387" s="166" t="s">
        <v>955</v>
      </c>
      <c r="E387" s="1468" t="s">
        <v>15</v>
      </c>
      <c r="F387" s="1468"/>
      <c r="G387" s="1540"/>
      <c r="H387" s="1540">
        <v>1269681.25</v>
      </c>
      <c r="I387" s="1540"/>
      <c r="J387" s="1466">
        <f t="shared" si="10"/>
        <v>1269681.25</v>
      </c>
      <c r="K387" s="1466"/>
      <c r="L387" s="1466"/>
      <c r="M387" s="1540">
        <f t="shared" si="12"/>
        <v>1269681.25</v>
      </c>
      <c r="N387" s="166"/>
      <c r="O387" s="559"/>
    </row>
    <row r="388" spans="1:15" s="540" customFormat="1" ht="14.25" customHeight="1">
      <c r="A388" s="1536">
        <v>195</v>
      </c>
      <c r="B388" s="1537" t="e">
        <f>VLOOKUP(D388,'[2]DS CN MOI UP'!$B$11:$C$447,2,0)</f>
        <v>#N/A</v>
      </c>
      <c r="C388" s="1538" t="s">
        <v>918</v>
      </c>
      <c r="D388" s="166" t="s">
        <v>956</v>
      </c>
      <c r="E388" s="1468" t="s">
        <v>15</v>
      </c>
      <c r="F388" s="1468"/>
      <c r="G388" s="1540"/>
      <c r="H388" s="1540">
        <v>1148746.1980000001</v>
      </c>
      <c r="I388" s="1540"/>
      <c r="J388" s="1466">
        <f t="shared" si="10"/>
        <v>1148746.1980000001</v>
      </c>
      <c r="K388" s="1466"/>
      <c r="L388" s="1466"/>
      <c r="M388" s="1540">
        <f t="shared" si="12"/>
        <v>1148746.1980000001</v>
      </c>
      <c r="N388" s="166"/>
      <c r="O388" s="559"/>
    </row>
    <row r="389" spans="1:15" s="540" customFormat="1" ht="14.25" customHeight="1">
      <c r="A389" s="1536">
        <v>196</v>
      </c>
      <c r="B389" s="1537" t="e">
        <f>VLOOKUP(D389,'[2]DS CN MOI UP'!$B$11:$C$447,2,0)</f>
        <v>#N/A</v>
      </c>
      <c r="C389" s="1538" t="s">
        <v>918</v>
      </c>
      <c r="D389" s="166" t="s">
        <v>957</v>
      </c>
      <c r="E389" s="1468" t="s">
        <v>15</v>
      </c>
      <c r="F389" s="1468"/>
      <c r="G389" s="1540"/>
      <c r="H389" s="1540">
        <v>1148746.1980000001</v>
      </c>
      <c r="I389" s="1540"/>
      <c r="J389" s="1466">
        <f t="shared" si="10"/>
        <v>1148746.1980000001</v>
      </c>
      <c r="K389" s="1466"/>
      <c r="L389" s="1466"/>
      <c r="M389" s="1540">
        <f t="shared" si="12"/>
        <v>1148746.1980000001</v>
      </c>
      <c r="N389" s="166"/>
      <c r="O389" s="559"/>
    </row>
    <row r="390" spans="1:15" s="540" customFormat="1" ht="14.25" customHeight="1">
      <c r="A390" s="1536">
        <v>197</v>
      </c>
      <c r="B390" s="1537" t="e">
        <f>VLOOKUP(D390,'[2]DS CN MOI UP'!$B$11:$C$447,2,0)</f>
        <v>#N/A</v>
      </c>
      <c r="C390" s="1538" t="s">
        <v>918</v>
      </c>
      <c r="D390" s="166" t="s">
        <v>958</v>
      </c>
      <c r="E390" s="1468" t="s">
        <v>15</v>
      </c>
      <c r="F390" s="1468"/>
      <c r="G390" s="1540"/>
      <c r="H390" s="1540">
        <v>1148746.1980000001</v>
      </c>
      <c r="I390" s="1540"/>
      <c r="J390" s="1466">
        <f t="shared" si="10"/>
        <v>1148746.1980000001</v>
      </c>
      <c r="K390" s="1466"/>
      <c r="L390" s="1466"/>
      <c r="M390" s="1540">
        <f t="shared" si="12"/>
        <v>1148746.1980000001</v>
      </c>
      <c r="N390" s="166"/>
      <c r="O390" s="559"/>
    </row>
    <row r="391" spans="1:15" s="540" customFormat="1" ht="14.25" customHeight="1">
      <c r="A391" s="1536">
        <v>198</v>
      </c>
      <c r="B391" s="1537" t="e">
        <f>VLOOKUP(D391,'[2]DS CN MOI UP'!$B$11:$C$447,2,0)</f>
        <v>#N/A</v>
      </c>
      <c r="C391" s="1538" t="s">
        <v>918</v>
      </c>
      <c r="D391" s="166" t="s">
        <v>959</v>
      </c>
      <c r="E391" s="1468" t="s">
        <v>15</v>
      </c>
      <c r="F391" s="1468"/>
      <c r="G391" s="1540"/>
      <c r="H391" s="1540">
        <v>1269681.25</v>
      </c>
      <c r="I391" s="1540"/>
      <c r="J391" s="1466">
        <f t="shared" si="10"/>
        <v>1269681.25</v>
      </c>
      <c r="K391" s="1466"/>
      <c r="L391" s="1466"/>
      <c r="M391" s="1540">
        <f t="shared" si="12"/>
        <v>1269681.25</v>
      </c>
      <c r="N391" s="166"/>
      <c r="O391" s="559"/>
    </row>
    <row r="392" spans="1:15" s="540" customFormat="1" ht="14.25" customHeight="1">
      <c r="A392" s="1536">
        <v>199</v>
      </c>
      <c r="B392" s="1537" t="e">
        <f>VLOOKUP(D392,'[2]DS CN MOI UP'!$B$11:$C$447,2,0)</f>
        <v>#N/A</v>
      </c>
      <c r="C392" s="1538" t="s">
        <v>918</v>
      </c>
      <c r="D392" s="166" t="s">
        <v>960</v>
      </c>
      <c r="E392" s="1468" t="s">
        <v>15</v>
      </c>
      <c r="F392" s="1468"/>
      <c r="G392" s="1540">
        <v>1128677.8</v>
      </c>
      <c r="H392" s="1466"/>
      <c r="I392" s="1540"/>
      <c r="J392" s="1466">
        <f t="shared" si="10"/>
        <v>1128677.8</v>
      </c>
      <c r="K392" s="1466"/>
      <c r="L392" s="1466"/>
      <c r="M392" s="1540">
        <f t="shared" si="12"/>
        <v>1128677.8</v>
      </c>
      <c r="N392" s="166"/>
      <c r="O392" s="559"/>
    </row>
    <row r="393" spans="1:15" s="540" customFormat="1" ht="14.25" customHeight="1">
      <c r="A393" s="1536">
        <v>200</v>
      </c>
      <c r="B393" s="1537" t="e">
        <f>VLOOKUP(D393,'[2]DS CN MOI UP'!$B$11:$C$447,2,0)</f>
        <v>#N/A</v>
      </c>
      <c r="C393" s="1538" t="s">
        <v>918</v>
      </c>
      <c r="D393" s="166" t="s">
        <v>961</v>
      </c>
      <c r="E393" s="1468" t="s">
        <v>15</v>
      </c>
      <c r="F393" s="1468"/>
      <c r="G393" s="1540">
        <v>1189145.3259999999</v>
      </c>
      <c r="H393" s="1466"/>
      <c r="I393" s="1540"/>
      <c r="J393" s="1466">
        <f t="shared" si="10"/>
        <v>1189145.3259999999</v>
      </c>
      <c r="K393" s="1466"/>
      <c r="L393" s="1466"/>
      <c r="M393" s="1540">
        <f t="shared" si="12"/>
        <v>1189145.3259999999</v>
      </c>
      <c r="N393" s="166"/>
      <c r="O393" s="559"/>
    </row>
    <row r="394" spans="1:15" s="540" customFormat="1" ht="14.25" customHeight="1">
      <c r="A394" s="1536">
        <v>201</v>
      </c>
      <c r="B394" s="1537" t="e">
        <f>VLOOKUP(D394,'[2]DS CN MOI UP'!$B$11:$C$447,2,0)</f>
        <v>#N/A</v>
      </c>
      <c r="C394" s="1538" t="s">
        <v>918</v>
      </c>
      <c r="D394" s="166" t="s">
        <v>962</v>
      </c>
      <c r="E394" s="1468" t="s">
        <v>15</v>
      </c>
      <c r="F394" s="1468"/>
      <c r="G394" s="1540">
        <v>1249612.852</v>
      </c>
      <c r="H394" s="1466"/>
      <c r="I394" s="1540"/>
      <c r="J394" s="1466">
        <f t="shared" si="10"/>
        <v>1249612.852</v>
      </c>
      <c r="K394" s="1466"/>
      <c r="L394" s="1466"/>
      <c r="M394" s="1540">
        <f t="shared" si="12"/>
        <v>1249612.852</v>
      </c>
      <c r="N394" s="166"/>
      <c r="O394" s="559"/>
    </row>
    <row r="395" spans="1:15" s="540" customFormat="1" ht="14.25" customHeight="1">
      <c r="A395" s="1536">
        <v>202</v>
      </c>
      <c r="B395" s="1537" t="e">
        <f>VLOOKUP(D395,'[2]DS CN MOI UP'!$B$11:$C$447,2,0)</f>
        <v>#N/A</v>
      </c>
      <c r="C395" s="1538" t="s">
        <v>918</v>
      </c>
      <c r="D395" s="166" t="s">
        <v>963</v>
      </c>
      <c r="E395" s="1468" t="s">
        <v>15</v>
      </c>
      <c r="F395" s="1468"/>
      <c r="G395" s="1540">
        <v>1199179.5249999999</v>
      </c>
      <c r="H395" s="1466"/>
      <c r="I395" s="1540"/>
      <c r="J395" s="1466">
        <f t="shared" si="10"/>
        <v>1199179.5249999999</v>
      </c>
      <c r="K395" s="1466"/>
      <c r="L395" s="1466"/>
      <c r="M395" s="1540">
        <f t="shared" si="12"/>
        <v>1199179.5249999999</v>
      </c>
      <c r="N395" s="166"/>
      <c r="O395" s="559"/>
    </row>
    <row r="396" spans="1:15" s="540" customFormat="1" ht="14.25" customHeight="1">
      <c r="A396" s="1536">
        <v>203</v>
      </c>
      <c r="B396" s="1537" t="e">
        <f>VLOOKUP(D396,'[2]DS CN MOI UP'!$B$11:$C$447,2,0)</f>
        <v>#N/A</v>
      </c>
      <c r="C396" s="1538" t="s">
        <v>918</v>
      </c>
      <c r="D396" s="166" t="s">
        <v>964</v>
      </c>
      <c r="E396" s="1468" t="s">
        <v>15</v>
      </c>
      <c r="F396" s="1468"/>
      <c r="G396" s="1540">
        <v>1269681.25</v>
      </c>
      <c r="H396" s="1466"/>
      <c r="I396" s="1540"/>
      <c r="J396" s="1466">
        <f t="shared" si="10"/>
        <v>1269681.25</v>
      </c>
      <c r="K396" s="1466"/>
      <c r="L396" s="1466"/>
      <c r="M396" s="1540">
        <f t="shared" si="12"/>
        <v>1269681.25</v>
      </c>
      <c r="N396" s="166"/>
      <c r="O396" s="559"/>
    </row>
    <row r="397" spans="1:15" s="540" customFormat="1" ht="14.25" customHeight="1">
      <c r="A397" s="1536">
        <v>204</v>
      </c>
      <c r="B397" s="1537" t="e">
        <f>VLOOKUP(D397,'[2]DS CN MOI UP'!$B$11:$C$447,2,0)</f>
        <v>#N/A</v>
      </c>
      <c r="C397" s="1538" t="s">
        <v>918</v>
      </c>
      <c r="D397" s="166" t="s">
        <v>965</v>
      </c>
      <c r="E397" s="1468" t="s">
        <v>15</v>
      </c>
      <c r="F397" s="1468"/>
      <c r="G397" s="1540">
        <v>1148746.1980000001</v>
      </c>
      <c r="H397" s="1466"/>
      <c r="I397" s="1540"/>
      <c r="J397" s="1466">
        <f t="shared" si="10"/>
        <v>1148746.1980000001</v>
      </c>
      <c r="K397" s="1466"/>
      <c r="L397" s="1466"/>
      <c r="M397" s="1540">
        <f t="shared" si="12"/>
        <v>1148746.1980000001</v>
      </c>
      <c r="N397" s="166"/>
      <c r="O397" s="559"/>
    </row>
    <row r="398" spans="1:15" s="540" customFormat="1" ht="14.25" customHeight="1">
      <c r="A398" s="1536">
        <v>205</v>
      </c>
      <c r="B398" s="1537" t="e">
        <f>VLOOKUP(D398,'[2]DS CN MOI UP'!$B$11:$C$447,2,0)</f>
        <v>#N/A</v>
      </c>
      <c r="C398" s="1538" t="s">
        <v>918</v>
      </c>
      <c r="D398" s="166" t="s">
        <v>966</v>
      </c>
      <c r="E398" s="1468" t="s">
        <v>15</v>
      </c>
      <c r="F398" s="1468"/>
      <c r="G398" s="1540">
        <v>1148746.1980000001</v>
      </c>
      <c r="H398" s="1466"/>
      <c r="I398" s="1540"/>
      <c r="J398" s="1466">
        <f t="shared" si="10"/>
        <v>1148746.1980000001</v>
      </c>
      <c r="K398" s="1466"/>
      <c r="L398" s="1466"/>
      <c r="M398" s="1540">
        <f t="shared" si="12"/>
        <v>1148746.1980000001</v>
      </c>
      <c r="N398" s="166"/>
      <c r="O398" s="559"/>
    </row>
    <row r="399" spans="1:15" s="540" customFormat="1" ht="14.25" customHeight="1">
      <c r="A399" s="1536">
        <v>206</v>
      </c>
      <c r="B399" s="1537" t="str">
        <f>VLOOKUP(D399,'[2]DS CN MOI UP'!$B$11:$C$447,2,0)</f>
        <v>02465</v>
      </c>
      <c r="C399" s="1538" t="s">
        <v>918</v>
      </c>
      <c r="D399" s="166" t="s">
        <v>19</v>
      </c>
      <c r="E399" s="1468" t="s">
        <v>15</v>
      </c>
      <c r="F399" s="1468"/>
      <c r="G399" s="1540">
        <v>1148746.1980000001</v>
      </c>
      <c r="H399" s="1466"/>
      <c r="I399" s="1540"/>
      <c r="J399" s="1466">
        <f t="shared" si="10"/>
        <v>1148746.1980000001</v>
      </c>
      <c r="K399" s="1466"/>
      <c r="L399" s="1466"/>
      <c r="M399" s="1540">
        <f t="shared" si="12"/>
        <v>1148746.1980000001</v>
      </c>
      <c r="N399" s="166"/>
      <c r="O399" s="559"/>
    </row>
    <row r="400" spans="1:15" s="540" customFormat="1" ht="14.25" customHeight="1">
      <c r="A400" s="1536">
        <v>207</v>
      </c>
      <c r="B400" s="1537" t="e">
        <f>VLOOKUP(D400,'[2]DS CN MOI UP'!$B$11:$C$447,2,0)</f>
        <v>#N/A</v>
      </c>
      <c r="C400" s="1538" t="s">
        <v>918</v>
      </c>
      <c r="D400" s="166" t="s">
        <v>967</v>
      </c>
      <c r="E400" s="1468" t="s">
        <v>15</v>
      </c>
      <c r="F400" s="1468"/>
      <c r="G400" s="1540">
        <v>1270080.378</v>
      </c>
      <c r="H400" s="1466"/>
      <c r="I400" s="1540"/>
      <c r="J400" s="1466">
        <f t="shared" si="10"/>
        <v>1270080.378</v>
      </c>
      <c r="K400" s="1466"/>
      <c r="L400" s="1466"/>
      <c r="M400" s="1540">
        <f t="shared" si="12"/>
        <v>1270080.378</v>
      </c>
      <c r="N400" s="166"/>
      <c r="O400" s="559"/>
    </row>
    <row r="401" spans="1:15" s="540" customFormat="1" ht="14.25" customHeight="1">
      <c r="A401" s="1536">
        <v>208</v>
      </c>
      <c r="B401" s="1537" t="e">
        <f>VLOOKUP(D401,'[2]DS CN MOI UP'!$B$11:$C$447,2,0)</f>
        <v>#N/A</v>
      </c>
      <c r="C401" s="1538" t="s">
        <v>918</v>
      </c>
      <c r="D401" s="166" t="s">
        <v>968</v>
      </c>
      <c r="E401" s="1468" t="s">
        <v>15</v>
      </c>
      <c r="F401" s="1468"/>
      <c r="G401" s="1540">
        <v>1128677.8</v>
      </c>
      <c r="H401" s="1466"/>
      <c r="I401" s="1540"/>
      <c r="J401" s="1466">
        <f t="shared" si="10"/>
        <v>1128677.8</v>
      </c>
      <c r="K401" s="1466"/>
      <c r="L401" s="1466"/>
      <c r="M401" s="1540">
        <f t="shared" si="12"/>
        <v>1128677.8</v>
      </c>
      <c r="N401" s="166"/>
      <c r="O401" s="559"/>
    </row>
    <row r="402" spans="1:15" s="540" customFormat="1" ht="14.25" customHeight="1">
      <c r="A402" s="1536">
        <v>209</v>
      </c>
      <c r="B402" s="1537" t="e">
        <f>VLOOKUP(D402,'[2]DS CN MOI UP'!$B$11:$C$447,2,0)</f>
        <v>#N/A</v>
      </c>
      <c r="C402" s="1538" t="s">
        <v>918</v>
      </c>
      <c r="D402" s="166" t="s">
        <v>969</v>
      </c>
      <c r="E402" s="1468" t="s">
        <v>15</v>
      </c>
      <c r="F402" s="1468"/>
      <c r="G402" s="1540">
        <v>1189145.3259999999</v>
      </c>
      <c r="H402" s="1466"/>
      <c r="I402" s="1540"/>
      <c r="J402" s="1466">
        <f t="shared" si="10"/>
        <v>1189145.3259999999</v>
      </c>
      <c r="K402" s="1466"/>
      <c r="L402" s="1466"/>
      <c r="M402" s="1540">
        <f t="shared" si="12"/>
        <v>1189145.3259999999</v>
      </c>
      <c r="N402" s="166"/>
      <c r="O402" s="559"/>
    </row>
    <row r="403" spans="1:15" s="540" customFormat="1" ht="14.25" customHeight="1">
      <c r="A403" s="1536">
        <v>210</v>
      </c>
      <c r="B403" s="1537" t="e">
        <f>VLOOKUP(D403,'[2]DS CN MOI UP'!$B$11:$C$447,2,0)</f>
        <v>#N/A</v>
      </c>
      <c r="C403" s="1538" t="s">
        <v>918</v>
      </c>
      <c r="D403" s="166" t="s">
        <v>735</v>
      </c>
      <c r="E403" s="1468" t="s">
        <v>15</v>
      </c>
      <c r="F403" s="1468"/>
      <c r="G403" s="1540">
        <v>1249612.852</v>
      </c>
      <c r="H403" s="1466"/>
      <c r="I403" s="1540"/>
      <c r="J403" s="1466">
        <f t="shared" si="10"/>
        <v>1249612.852</v>
      </c>
      <c r="K403" s="1466"/>
      <c r="L403" s="1466"/>
      <c r="M403" s="1540">
        <f t="shared" si="12"/>
        <v>1249612.852</v>
      </c>
      <c r="N403" s="166"/>
      <c r="O403" s="559"/>
    </row>
    <row r="404" spans="1:15" s="540" customFormat="1" ht="14.25" customHeight="1">
      <c r="A404" s="1536">
        <v>211</v>
      </c>
      <c r="B404" s="1537" t="e">
        <f>VLOOKUP(D404,'[2]DS CN MOI UP'!$B$11:$C$447,2,0)</f>
        <v>#N/A</v>
      </c>
      <c r="C404" s="1538" t="s">
        <v>918</v>
      </c>
      <c r="D404" s="166" t="s">
        <v>970</v>
      </c>
      <c r="E404" s="1468" t="s">
        <v>15</v>
      </c>
      <c r="F404" s="1468"/>
      <c r="G404" s="1540">
        <v>1199179.5249999999</v>
      </c>
      <c r="H404" s="1466"/>
      <c r="I404" s="1540"/>
      <c r="J404" s="1466">
        <f t="shared" si="10"/>
        <v>1199179.5249999999</v>
      </c>
      <c r="K404" s="1466"/>
      <c r="L404" s="1466"/>
      <c r="M404" s="1540">
        <f t="shared" si="12"/>
        <v>1199179.5249999999</v>
      </c>
      <c r="N404" s="166"/>
      <c r="O404" s="559"/>
    </row>
    <row r="405" spans="1:15" s="540" customFormat="1" ht="14.25" customHeight="1">
      <c r="A405" s="1536">
        <v>212</v>
      </c>
      <c r="B405" s="1537" t="e">
        <f>VLOOKUP(D405,'[2]DS CN MOI UP'!$B$11:$C$447,2,0)</f>
        <v>#N/A</v>
      </c>
      <c r="C405" s="1538" t="s">
        <v>918</v>
      </c>
      <c r="D405" s="166" t="s">
        <v>971</v>
      </c>
      <c r="E405" s="1468" t="s">
        <v>15</v>
      </c>
      <c r="F405" s="1468"/>
      <c r="G405" s="1540">
        <v>1140022.574</v>
      </c>
      <c r="H405" s="1466"/>
      <c r="I405" s="1540"/>
      <c r="J405" s="1466">
        <f t="shared" si="10"/>
        <v>1140022.574</v>
      </c>
      <c r="K405" s="1466"/>
      <c r="L405" s="1466"/>
      <c r="M405" s="1540">
        <f t="shared" si="12"/>
        <v>1140022.574</v>
      </c>
      <c r="N405" s="166"/>
      <c r="O405" s="559"/>
    </row>
    <row r="406" spans="1:15" s="540" customFormat="1" ht="14.25" customHeight="1">
      <c r="A406" s="1536">
        <v>213</v>
      </c>
      <c r="B406" s="1537" t="e">
        <f>VLOOKUP(D406,'[2]DS CN MOI UP'!$B$11:$C$447,2,0)</f>
        <v>#N/A</v>
      </c>
      <c r="C406" s="1538" t="s">
        <v>918</v>
      </c>
      <c r="D406" s="166" t="s">
        <v>972</v>
      </c>
      <c r="E406" s="1468" t="s">
        <v>15</v>
      </c>
      <c r="F406" s="1468"/>
      <c r="G406" s="1540">
        <v>1148746.1980000001</v>
      </c>
      <c r="H406" s="1466"/>
      <c r="I406" s="1540"/>
      <c r="J406" s="1466">
        <f t="shared" si="10"/>
        <v>1148746.1980000001</v>
      </c>
      <c r="K406" s="1466"/>
      <c r="L406" s="1466"/>
      <c r="M406" s="1540">
        <f t="shared" si="12"/>
        <v>1148746.1980000001</v>
      </c>
      <c r="N406" s="166"/>
      <c r="O406" s="559"/>
    </row>
    <row r="407" spans="1:15" s="540" customFormat="1" ht="14.25" customHeight="1">
      <c r="A407" s="1536">
        <v>214</v>
      </c>
      <c r="B407" s="1537" t="e">
        <f>VLOOKUP(D407,'[2]DS CN MOI UP'!$B$11:$C$447,2,0)</f>
        <v>#N/A</v>
      </c>
      <c r="C407" s="1538" t="s">
        <v>918</v>
      </c>
      <c r="D407" s="166" t="s">
        <v>973</v>
      </c>
      <c r="E407" s="1468" t="s">
        <v>15</v>
      </c>
      <c r="F407" s="1468"/>
      <c r="G407" s="1540"/>
      <c r="H407" s="1540"/>
      <c r="I407" s="1540">
        <v>1199179.5249999999</v>
      </c>
      <c r="J407" s="1466">
        <f t="shared" si="10"/>
        <v>1199179.5249999999</v>
      </c>
      <c r="K407" s="1466"/>
      <c r="L407" s="1466"/>
      <c r="M407" s="1540">
        <f t="shared" si="12"/>
        <v>1199179.5249999999</v>
      </c>
      <c r="N407" s="166"/>
      <c r="O407" s="559"/>
    </row>
    <row r="408" spans="1:15" s="540" customFormat="1" ht="14.25" customHeight="1">
      <c r="A408" s="1536">
        <v>215</v>
      </c>
      <c r="B408" s="1537" t="e">
        <f>VLOOKUP(D408,'[2]DS CN MOI UP'!$B$11:$C$447,2,0)</f>
        <v>#N/A</v>
      </c>
      <c r="C408" s="1538" t="s">
        <v>918</v>
      </c>
      <c r="D408" s="166" t="s">
        <v>974</v>
      </c>
      <c r="E408" s="1468" t="s">
        <v>15</v>
      </c>
      <c r="F408" s="1468"/>
      <c r="G408" s="1540"/>
      <c r="H408" s="1540"/>
      <c r="I408" s="1540">
        <v>1269681.25</v>
      </c>
      <c r="J408" s="1466">
        <f t="shared" si="10"/>
        <v>1269681.25</v>
      </c>
      <c r="K408" s="1466"/>
      <c r="L408" s="1466"/>
      <c r="M408" s="1540">
        <f t="shared" si="12"/>
        <v>1269681.25</v>
      </c>
      <c r="N408" s="166"/>
      <c r="O408" s="559"/>
    </row>
    <row r="409" spans="1:15" s="540" customFormat="1" ht="14.25" customHeight="1">
      <c r="A409" s="1536">
        <v>216</v>
      </c>
      <c r="B409" s="1537" t="str">
        <f>VLOOKUP(D409,'[2]DS CN MOI UP'!$B$11:$C$447,2,0)</f>
        <v>03289</v>
      </c>
      <c r="C409" s="1538" t="s">
        <v>918</v>
      </c>
      <c r="D409" s="166" t="s">
        <v>451</v>
      </c>
      <c r="E409" s="1468" t="s">
        <v>15</v>
      </c>
      <c r="F409" s="1468"/>
      <c r="G409" s="1540"/>
      <c r="H409" s="1540"/>
      <c r="I409" s="1540">
        <v>1148746.1980000001</v>
      </c>
      <c r="J409" s="1466">
        <f t="shared" si="10"/>
        <v>1148746.1980000001</v>
      </c>
      <c r="K409" s="1466"/>
      <c r="L409" s="1466"/>
      <c r="M409" s="1540">
        <f t="shared" si="12"/>
        <v>1148746.1980000001</v>
      </c>
      <c r="N409" s="166"/>
      <c r="O409" s="559"/>
    </row>
    <row r="410" spans="1:15" s="540" customFormat="1" ht="14.25" customHeight="1">
      <c r="A410" s="1536">
        <v>217</v>
      </c>
      <c r="B410" s="1537" t="e">
        <f>VLOOKUP(D410,'[2]DS CN MOI UP'!$B$11:$C$447,2,0)</f>
        <v>#N/A</v>
      </c>
      <c r="C410" s="1538" t="s">
        <v>918</v>
      </c>
      <c r="D410" s="166" t="s">
        <v>877</v>
      </c>
      <c r="E410" s="1468" t="s">
        <v>15</v>
      </c>
      <c r="F410" s="1468"/>
      <c r="G410" s="1540"/>
      <c r="H410" s="1540"/>
      <c r="I410" s="1540">
        <v>1148746.1980000001</v>
      </c>
      <c r="J410" s="1466">
        <f t="shared" ref="J410:J430" si="13">SUM(G410:I410)</f>
        <v>1148746.1980000001</v>
      </c>
      <c r="K410" s="1466"/>
      <c r="L410" s="1466"/>
      <c r="M410" s="1540">
        <f t="shared" si="12"/>
        <v>1148746.1980000001</v>
      </c>
      <c r="N410" s="166"/>
      <c r="O410" s="559"/>
    </row>
    <row r="411" spans="1:15" s="540" customFormat="1" ht="14.25" customHeight="1">
      <c r="A411" s="1536">
        <v>218</v>
      </c>
      <c r="B411" s="1537" t="e">
        <f>VLOOKUP(D411,'[2]DS CN MOI UP'!$B$11:$C$447,2,0)</f>
        <v>#N/A</v>
      </c>
      <c r="C411" s="1538" t="s">
        <v>918</v>
      </c>
      <c r="D411" s="166" t="s">
        <v>975</v>
      </c>
      <c r="E411" s="1468" t="s">
        <v>15</v>
      </c>
      <c r="F411" s="1468"/>
      <c r="G411" s="1540"/>
      <c r="H411" s="1540"/>
      <c r="I411" s="1540">
        <v>1148746.1980000001</v>
      </c>
      <c r="J411" s="1466">
        <f t="shared" si="13"/>
        <v>1148746.1980000001</v>
      </c>
      <c r="K411" s="1466"/>
      <c r="L411" s="1466"/>
      <c r="M411" s="1540">
        <f t="shared" si="12"/>
        <v>1148746.1980000001</v>
      </c>
      <c r="N411" s="166"/>
      <c r="O411" s="559"/>
    </row>
    <row r="412" spans="1:15" s="540" customFormat="1" ht="14.25" customHeight="1">
      <c r="A412" s="1536">
        <v>219</v>
      </c>
      <c r="B412" s="1537" t="e">
        <f>VLOOKUP(D412,'[2]DS CN MOI UP'!$B$11:$C$447,2,0)</f>
        <v>#N/A</v>
      </c>
      <c r="C412" s="1538" t="s">
        <v>918</v>
      </c>
      <c r="D412" s="166" t="s">
        <v>976</v>
      </c>
      <c r="E412" s="1468" t="s">
        <v>15</v>
      </c>
      <c r="F412" s="1468"/>
      <c r="G412" s="1540"/>
      <c r="H412" s="1540"/>
      <c r="I412" s="1540">
        <v>1270080.378</v>
      </c>
      <c r="J412" s="1466">
        <f t="shared" si="13"/>
        <v>1270080.378</v>
      </c>
      <c r="K412" s="1466"/>
      <c r="L412" s="1466"/>
      <c r="M412" s="1540">
        <f t="shared" si="12"/>
        <v>1270080.378</v>
      </c>
      <c r="N412" s="166"/>
      <c r="O412" s="559"/>
    </row>
    <row r="413" spans="1:15" s="540" customFormat="1" ht="14.25" customHeight="1">
      <c r="A413" s="1536">
        <v>220</v>
      </c>
      <c r="B413" s="1537" t="e">
        <f>VLOOKUP(D413,'[2]DS CN MOI UP'!$B$11:$C$447,2,0)</f>
        <v>#N/A</v>
      </c>
      <c r="C413" s="1538" t="s">
        <v>918</v>
      </c>
      <c r="D413" s="166" t="s">
        <v>977</v>
      </c>
      <c r="E413" s="1468" t="s">
        <v>15</v>
      </c>
      <c r="F413" s="1468"/>
      <c r="G413" s="1540"/>
      <c r="H413" s="1540"/>
      <c r="I413" s="1540">
        <v>1128677.8</v>
      </c>
      <c r="J413" s="1466">
        <f t="shared" si="13"/>
        <v>1128677.8</v>
      </c>
      <c r="K413" s="1466"/>
      <c r="L413" s="1466"/>
      <c r="M413" s="1540">
        <f t="shared" si="12"/>
        <v>1128677.8</v>
      </c>
      <c r="N413" s="166"/>
      <c r="O413" s="559"/>
    </row>
    <row r="414" spans="1:15" s="540" customFormat="1" ht="14.25" customHeight="1">
      <c r="A414" s="1536">
        <v>221</v>
      </c>
      <c r="B414" s="1537" t="e">
        <f>VLOOKUP(D414,'[2]DS CN MOI UP'!$B$11:$C$447,2,0)</f>
        <v>#N/A</v>
      </c>
      <c r="C414" s="1538" t="s">
        <v>918</v>
      </c>
      <c r="D414" s="166" t="s">
        <v>978</v>
      </c>
      <c r="E414" s="1468" t="s">
        <v>15</v>
      </c>
      <c r="F414" s="1468"/>
      <c r="G414" s="1540"/>
      <c r="H414" s="1540"/>
      <c r="I414" s="1540">
        <v>1189145.3259999999</v>
      </c>
      <c r="J414" s="1466">
        <f t="shared" si="13"/>
        <v>1189145.3259999999</v>
      </c>
      <c r="K414" s="1466"/>
      <c r="L414" s="1466"/>
      <c r="M414" s="1540">
        <f t="shared" si="12"/>
        <v>1189145.3259999999</v>
      </c>
      <c r="N414" s="166"/>
      <c r="O414" s="559"/>
    </row>
    <row r="415" spans="1:15" s="540" customFormat="1" ht="14.25" customHeight="1">
      <c r="A415" s="1536">
        <v>222</v>
      </c>
      <c r="B415" s="1537" t="str">
        <f>VLOOKUP(D415,'[2]DS CN MOI UP'!$B$11:$C$447,2,0)</f>
        <v>03282</v>
      </c>
      <c r="C415" s="1538" t="s">
        <v>918</v>
      </c>
      <c r="D415" s="166" t="s">
        <v>443</v>
      </c>
      <c r="E415" s="1468" t="s">
        <v>15</v>
      </c>
      <c r="F415" s="1468"/>
      <c r="G415" s="1540"/>
      <c r="H415" s="1540"/>
      <c r="I415" s="1540">
        <v>1249612.852</v>
      </c>
      <c r="J415" s="1466">
        <f t="shared" si="13"/>
        <v>1249612.852</v>
      </c>
      <c r="K415" s="1466"/>
      <c r="L415" s="1466"/>
      <c r="M415" s="1540">
        <f t="shared" si="12"/>
        <v>1249612.852</v>
      </c>
      <c r="N415" s="166"/>
      <c r="O415" s="559"/>
    </row>
    <row r="416" spans="1:15" s="540" customFormat="1" ht="14.25" customHeight="1">
      <c r="A416" s="1536">
        <v>223</v>
      </c>
      <c r="B416" s="1537" t="e">
        <f>VLOOKUP(D416,'[2]DS CN MOI UP'!$B$11:$C$447,2,0)</f>
        <v>#N/A</v>
      </c>
      <c r="C416" s="1538" t="s">
        <v>918</v>
      </c>
      <c r="D416" s="166" t="s">
        <v>979</v>
      </c>
      <c r="E416" s="1468" t="s">
        <v>15</v>
      </c>
      <c r="F416" s="1468"/>
      <c r="G416" s="1540"/>
      <c r="H416" s="1540"/>
      <c r="I416" s="1540">
        <v>1199179.5249999999</v>
      </c>
      <c r="J416" s="1466">
        <f t="shared" si="13"/>
        <v>1199179.5249999999</v>
      </c>
      <c r="K416" s="1466"/>
      <c r="L416" s="1466"/>
      <c r="M416" s="1540">
        <f t="shared" si="12"/>
        <v>1199179.5249999999</v>
      </c>
      <c r="N416" s="166"/>
      <c r="O416" s="559"/>
    </row>
    <row r="417" spans="1:15" s="540" customFormat="1" ht="14.25" customHeight="1">
      <c r="A417" s="1536">
        <v>224</v>
      </c>
      <c r="B417" s="1537" t="e">
        <f>VLOOKUP(D417,'[2]DS CN MOI UP'!$B$11:$C$447,2,0)</f>
        <v>#N/A</v>
      </c>
      <c r="C417" s="1538" t="s">
        <v>918</v>
      </c>
      <c r="D417" s="166" t="s">
        <v>980</v>
      </c>
      <c r="E417" s="1468" t="s">
        <v>15</v>
      </c>
      <c r="F417" s="1468"/>
      <c r="G417" s="1540"/>
      <c r="H417" s="1540"/>
      <c r="I417" s="1540">
        <v>1269681.25</v>
      </c>
      <c r="J417" s="1466">
        <f t="shared" si="13"/>
        <v>1269681.25</v>
      </c>
      <c r="K417" s="1466"/>
      <c r="L417" s="1466"/>
      <c r="M417" s="1540">
        <f t="shared" si="12"/>
        <v>1269681.25</v>
      </c>
      <c r="N417" s="166"/>
      <c r="O417" s="559"/>
    </row>
    <row r="418" spans="1:15" s="540" customFormat="1" ht="14.25" customHeight="1">
      <c r="A418" s="1536">
        <v>225</v>
      </c>
      <c r="B418" s="1537" t="e">
        <f>VLOOKUP(D418,'[2]DS CN MOI UP'!$B$11:$C$447,2,0)</f>
        <v>#N/A</v>
      </c>
      <c r="C418" s="1538" t="s">
        <v>918</v>
      </c>
      <c r="D418" s="166" t="s">
        <v>981</v>
      </c>
      <c r="E418" s="1468" t="s">
        <v>15</v>
      </c>
      <c r="F418" s="1468"/>
      <c r="G418" s="1540"/>
      <c r="H418" s="1540"/>
      <c r="I418" s="1540">
        <v>1148746.1980000001</v>
      </c>
      <c r="J418" s="1466">
        <f t="shared" si="13"/>
        <v>1148746.1980000001</v>
      </c>
      <c r="K418" s="1466"/>
      <c r="L418" s="1466"/>
      <c r="M418" s="1540">
        <f t="shared" si="12"/>
        <v>1148746.1980000001</v>
      </c>
      <c r="N418" s="166"/>
      <c r="O418" s="559"/>
    </row>
    <row r="419" spans="1:15" s="540" customFormat="1" ht="14.25" customHeight="1">
      <c r="A419" s="1536">
        <v>226</v>
      </c>
      <c r="B419" s="1537" t="e">
        <f>VLOOKUP(D419,'[2]DS CN MOI UP'!$B$11:$C$447,2,0)</f>
        <v>#N/A</v>
      </c>
      <c r="C419" s="1538" t="s">
        <v>918</v>
      </c>
      <c r="D419" s="166" t="s">
        <v>982</v>
      </c>
      <c r="E419" s="1468" t="s">
        <v>15</v>
      </c>
      <c r="F419" s="1468"/>
      <c r="G419" s="1540"/>
      <c r="H419" s="1540"/>
      <c r="I419" s="1540">
        <v>1148746.1980000001</v>
      </c>
      <c r="J419" s="1466">
        <f t="shared" si="13"/>
        <v>1148746.1980000001</v>
      </c>
      <c r="K419" s="1466"/>
      <c r="L419" s="1466"/>
      <c r="M419" s="1540">
        <f t="shared" si="12"/>
        <v>1148746.1980000001</v>
      </c>
      <c r="N419" s="166"/>
      <c r="O419" s="559"/>
    </row>
    <row r="420" spans="1:15" s="540" customFormat="1" ht="14.25" customHeight="1">
      <c r="A420" s="1536">
        <v>227</v>
      </c>
      <c r="B420" s="1537" t="e">
        <f>VLOOKUP(D420,'[2]DS CN MOI UP'!$B$11:$C$447,2,0)</f>
        <v>#N/A</v>
      </c>
      <c r="C420" s="1538" t="s">
        <v>918</v>
      </c>
      <c r="D420" s="166" t="s">
        <v>983</v>
      </c>
      <c r="E420" s="1468" t="s">
        <v>15</v>
      </c>
      <c r="F420" s="1468"/>
      <c r="G420" s="1540"/>
      <c r="H420" s="1540"/>
      <c r="I420" s="1540">
        <v>1148746.1980000001</v>
      </c>
      <c r="J420" s="1466">
        <f t="shared" si="13"/>
        <v>1148746.1980000001</v>
      </c>
      <c r="K420" s="1466"/>
      <c r="L420" s="1466"/>
      <c r="M420" s="1540">
        <f t="shared" si="12"/>
        <v>1148746.1980000001</v>
      </c>
      <c r="N420" s="166"/>
      <c r="O420" s="559"/>
    </row>
    <row r="421" spans="1:15" s="540" customFormat="1" ht="14.25" customHeight="1">
      <c r="A421" s="1536">
        <v>228</v>
      </c>
      <c r="B421" s="1537" t="e">
        <f>VLOOKUP(D421,'[2]DS CN MOI UP'!$B$11:$C$447,2,0)</f>
        <v>#N/A</v>
      </c>
      <c r="C421" s="1538" t="s">
        <v>918</v>
      </c>
      <c r="D421" s="166" t="s">
        <v>984</v>
      </c>
      <c r="E421" s="1468" t="s">
        <v>15</v>
      </c>
      <c r="F421" s="1468"/>
      <c r="G421" s="1540"/>
      <c r="H421" s="1540"/>
      <c r="I421" s="1540">
        <v>1182767.6969999899</v>
      </c>
      <c r="J421" s="1466">
        <f t="shared" si="13"/>
        <v>1182767.6969999899</v>
      </c>
      <c r="K421" s="1466"/>
      <c r="L421" s="1466"/>
      <c r="M421" s="1540">
        <f t="shared" si="12"/>
        <v>1182767.6969999899</v>
      </c>
      <c r="N421" s="166"/>
      <c r="O421" s="559">
        <v>87312.681000009194</v>
      </c>
    </row>
    <row r="422" spans="1:15" s="540" customFormat="1" ht="14.25" customHeight="1">
      <c r="A422" s="1536">
        <v>229</v>
      </c>
      <c r="B422" s="1537" t="e">
        <f>VLOOKUP(D422,'[2]DS CN MOI UP'!$B$11:$C$447,2,0)</f>
        <v>#N/A</v>
      </c>
      <c r="C422" s="1538" t="s">
        <v>918</v>
      </c>
      <c r="D422" s="166" t="s">
        <v>985</v>
      </c>
      <c r="E422" s="1468" t="s">
        <v>15</v>
      </c>
      <c r="F422" s="1468"/>
      <c r="G422" s="1540"/>
      <c r="H422" s="1540"/>
      <c r="I422" s="1540">
        <v>1128677.8</v>
      </c>
      <c r="J422" s="1466">
        <f t="shared" si="13"/>
        <v>1128677.8</v>
      </c>
      <c r="K422" s="1466"/>
      <c r="L422" s="1466"/>
      <c r="M422" s="1540">
        <f t="shared" si="12"/>
        <v>1128677.8</v>
      </c>
      <c r="N422" s="166"/>
      <c r="O422" s="559"/>
    </row>
    <row r="423" spans="1:15" s="540" customFormat="1" ht="14.25" customHeight="1">
      <c r="A423" s="1536">
        <v>230</v>
      </c>
      <c r="B423" s="1537" t="e">
        <f>VLOOKUP(D423,'[2]DS CN MOI UP'!$B$11:$C$447,2,0)</f>
        <v>#N/A</v>
      </c>
      <c r="C423" s="1538" t="s">
        <v>918</v>
      </c>
      <c r="D423" s="166" t="s">
        <v>986</v>
      </c>
      <c r="E423" s="1468" t="s">
        <v>15</v>
      </c>
      <c r="F423" s="1468"/>
      <c r="G423" s="1540"/>
      <c r="H423" s="1540"/>
      <c r="I423" s="1540">
        <v>1189145.3259999999</v>
      </c>
      <c r="J423" s="1466">
        <f t="shared" si="13"/>
        <v>1189145.3259999999</v>
      </c>
      <c r="K423" s="1466"/>
      <c r="L423" s="1466"/>
      <c r="M423" s="1540">
        <f t="shared" si="12"/>
        <v>1189145.3259999999</v>
      </c>
      <c r="N423" s="166"/>
      <c r="O423" s="559"/>
    </row>
    <row r="424" spans="1:15" s="540" customFormat="1" ht="14.25" customHeight="1">
      <c r="A424" s="1536">
        <v>231</v>
      </c>
      <c r="B424" s="1537" t="e">
        <f>VLOOKUP(D424,'[2]DS CN MOI UP'!$B$11:$C$447,2,0)</f>
        <v>#N/A</v>
      </c>
      <c r="C424" s="1538" t="s">
        <v>918</v>
      </c>
      <c r="D424" s="166" t="s">
        <v>987</v>
      </c>
      <c r="E424" s="1468" t="s">
        <v>15</v>
      </c>
      <c r="F424" s="1468"/>
      <c r="G424" s="1540"/>
      <c r="H424" s="1540">
        <v>1249612.852</v>
      </c>
      <c r="I424" s="1540"/>
      <c r="J424" s="1466">
        <f t="shared" si="13"/>
        <v>1249612.852</v>
      </c>
      <c r="K424" s="1466"/>
      <c r="L424" s="1466"/>
      <c r="M424" s="1540">
        <f t="shared" si="12"/>
        <v>1249612.852</v>
      </c>
      <c r="N424" s="166"/>
      <c r="O424" s="559"/>
    </row>
    <row r="425" spans="1:15" s="540" customFormat="1" ht="14.25" customHeight="1">
      <c r="A425" s="1536">
        <v>232</v>
      </c>
      <c r="B425" s="1537" t="e">
        <f>VLOOKUP(D425,'[2]DS CN MOI UP'!$B$11:$C$447,2,0)</f>
        <v>#N/A</v>
      </c>
      <c r="C425" s="1538" t="s">
        <v>918</v>
      </c>
      <c r="D425" s="166" t="s">
        <v>988</v>
      </c>
      <c r="E425" s="1468" t="s">
        <v>15</v>
      </c>
      <c r="F425" s="1468"/>
      <c r="G425" s="1540"/>
      <c r="H425" s="1540">
        <v>1270080.378</v>
      </c>
      <c r="I425" s="1540"/>
      <c r="J425" s="1466">
        <f t="shared" si="13"/>
        <v>1270080.378</v>
      </c>
      <c r="K425" s="1466"/>
      <c r="L425" s="1466"/>
      <c r="M425" s="1540">
        <f t="shared" si="12"/>
        <v>1270080.378</v>
      </c>
      <c r="N425" s="166"/>
      <c r="O425" s="559"/>
    </row>
    <row r="426" spans="1:15" s="540" customFormat="1" ht="14.25" customHeight="1">
      <c r="A426" s="1536">
        <v>233</v>
      </c>
      <c r="B426" s="1537" t="e">
        <f>VLOOKUP(D426,'[2]DS CN MOI UP'!$B$11:$C$447,2,0)</f>
        <v>#N/A</v>
      </c>
      <c r="C426" s="1538" t="s">
        <v>918</v>
      </c>
      <c r="D426" s="166" t="s">
        <v>989</v>
      </c>
      <c r="E426" s="1468" t="s">
        <v>15</v>
      </c>
      <c r="F426" s="1468"/>
      <c r="G426" s="1540"/>
      <c r="H426" s="1540">
        <v>1128677.8</v>
      </c>
      <c r="I426" s="1540"/>
      <c r="J426" s="1466">
        <f t="shared" si="13"/>
        <v>1128677.8</v>
      </c>
      <c r="K426" s="1466"/>
      <c r="L426" s="1466"/>
      <c r="M426" s="1540">
        <f t="shared" si="12"/>
        <v>1128677.8</v>
      </c>
      <c r="N426" s="166"/>
      <c r="O426" s="559"/>
    </row>
    <row r="427" spans="1:15" s="540" customFormat="1" ht="14.25" customHeight="1">
      <c r="A427" s="1536">
        <v>234</v>
      </c>
      <c r="B427" s="1537" t="e">
        <f>VLOOKUP(D427,'[2]DS CN MOI UP'!$B$11:$C$447,2,0)</f>
        <v>#N/A</v>
      </c>
      <c r="C427" s="1538" t="s">
        <v>918</v>
      </c>
      <c r="D427" s="166" t="s">
        <v>990</v>
      </c>
      <c r="E427" s="1468" t="s">
        <v>15</v>
      </c>
      <c r="F427" s="1468"/>
      <c r="G427" s="1540"/>
      <c r="H427" s="1540">
        <v>1189145.3259999999</v>
      </c>
      <c r="I427" s="1540"/>
      <c r="J427" s="1466">
        <f t="shared" si="13"/>
        <v>1189145.3259999999</v>
      </c>
      <c r="K427" s="1466"/>
      <c r="L427" s="1466"/>
      <c r="M427" s="1540">
        <f t="shared" si="12"/>
        <v>1189145.3259999999</v>
      </c>
      <c r="N427" s="166"/>
      <c r="O427" s="559"/>
    </row>
    <row r="428" spans="1:15" s="540" customFormat="1" ht="14.25" customHeight="1">
      <c r="A428" s="1536">
        <v>235</v>
      </c>
      <c r="B428" s="1537" t="e">
        <f>VLOOKUP(D428,'[2]DS CN MOI UP'!$B$11:$C$447,2,0)</f>
        <v>#N/A</v>
      </c>
      <c r="C428" s="1538" t="s">
        <v>918</v>
      </c>
      <c r="D428" s="166" t="s">
        <v>991</v>
      </c>
      <c r="E428" s="1468" t="s">
        <v>15</v>
      </c>
      <c r="F428" s="1468"/>
      <c r="G428" s="1540"/>
      <c r="H428" s="1540">
        <v>1249612.852</v>
      </c>
      <c r="I428" s="1540"/>
      <c r="J428" s="1466">
        <f t="shared" si="13"/>
        <v>1249612.852</v>
      </c>
      <c r="K428" s="1466"/>
      <c r="L428" s="1466"/>
      <c r="M428" s="1540">
        <f t="shared" si="12"/>
        <v>1249612.852</v>
      </c>
      <c r="N428" s="166"/>
      <c r="O428" s="559"/>
    </row>
    <row r="429" spans="1:15" s="540" customFormat="1" ht="14.25" customHeight="1">
      <c r="A429" s="1536">
        <v>236</v>
      </c>
      <c r="B429" s="1537" t="e">
        <f>VLOOKUP(D429,'[2]DS CN MOI UP'!$B$11:$C$447,2,0)</f>
        <v>#N/A</v>
      </c>
      <c r="C429" s="1538" t="s">
        <v>918</v>
      </c>
      <c r="D429" s="166" t="s">
        <v>992</v>
      </c>
      <c r="E429" s="1468" t="s">
        <v>15</v>
      </c>
      <c r="F429" s="1468"/>
      <c r="G429" s="1540"/>
      <c r="H429" s="1540">
        <v>1205129.2677231401</v>
      </c>
      <c r="I429" s="1540"/>
      <c r="J429" s="1466">
        <f t="shared" si="13"/>
        <v>1205129.2677231401</v>
      </c>
      <c r="K429" s="1466"/>
      <c r="L429" s="1466"/>
      <c r="M429" s="1540">
        <f t="shared" si="12"/>
        <v>1205129.2677231401</v>
      </c>
      <c r="N429" s="166"/>
      <c r="O429" s="559"/>
    </row>
    <row r="430" spans="1:15" s="540" customFormat="1" ht="14.25" customHeight="1">
      <c r="A430" s="1536">
        <v>237</v>
      </c>
      <c r="B430" s="1537" t="e">
        <f>VLOOKUP(D430,'[2]DS CN MOI UP'!$B$11:$C$447,2,0)</f>
        <v>#N/A</v>
      </c>
      <c r="C430" s="1538" t="s">
        <v>918</v>
      </c>
      <c r="D430" s="166" t="s">
        <v>993</v>
      </c>
      <c r="E430" s="1468" t="s">
        <v>15</v>
      </c>
      <c r="F430" s="1468"/>
      <c r="G430" s="1540"/>
      <c r="H430" s="1540">
        <v>1269681.25</v>
      </c>
      <c r="I430" s="1540"/>
      <c r="J430" s="1466">
        <f t="shared" si="13"/>
        <v>1269681.25</v>
      </c>
      <c r="K430" s="1466"/>
      <c r="L430" s="1466"/>
      <c r="M430" s="1540">
        <f t="shared" si="12"/>
        <v>1269681.25</v>
      </c>
      <c r="N430" s="166"/>
      <c r="O430" s="559"/>
    </row>
    <row r="431" spans="1:15" s="540" customFormat="1" ht="14.25" customHeight="1">
      <c r="A431" s="1536">
        <v>238</v>
      </c>
      <c r="B431" s="1537" t="e">
        <f>VLOOKUP(D431,'[2]DS CN MOI UP'!$B$11:$C$447,2,0)</f>
        <v>#N/A</v>
      </c>
      <c r="C431" s="1538" t="s">
        <v>918</v>
      </c>
      <c r="D431" s="166" t="s">
        <v>994</v>
      </c>
      <c r="E431" s="1468" t="s">
        <v>15</v>
      </c>
      <c r="F431" s="1468"/>
      <c r="G431" s="1540"/>
      <c r="H431" s="1540">
        <v>1148746.1980000001</v>
      </c>
      <c r="I431" s="1540"/>
      <c r="J431" s="1466">
        <f t="shared" ref="J431:J464" si="14">SUM(G431:I431)</f>
        <v>1148746.1980000001</v>
      </c>
      <c r="K431" s="1466"/>
      <c r="L431" s="1466"/>
      <c r="M431" s="1540">
        <f t="shared" ref="M431:M464" si="15">J431-L431</f>
        <v>1148746.1980000001</v>
      </c>
      <c r="N431" s="166"/>
      <c r="O431" s="559"/>
    </row>
    <row r="432" spans="1:15" s="540" customFormat="1" ht="14.25" customHeight="1">
      <c r="A432" s="1536">
        <v>239</v>
      </c>
      <c r="B432" s="1537"/>
      <c r="C432" s="1538"/>
      <c r="D432" s="166" t="s">
        <v>995</v>
      </c>
      <c r="E432" s="1468" t="s">
        <v>15</v>
      </c>
      <c r="F432" s="1468"/>
      <c r="G432" s="1540">
        <v>580000</v>
      </c>
      <c r="H432" s="1540">
        <v>554373.09900000005</v>
      </c>
      <c r="I432" s="1540"/>
      <c r="J432" s="1466">
        <f t="shared" si="14"/>
        <v>1134373.0989999999</v>
      </c>
      <c r="K432" s="1466"/>
      <c r="L432" s="1466"/>
      <c r="M432" s="1540">
        <f t="shared" si="15"/>
        <v>1134373.0989999999</v>
      </c>
      <c r="N432" s="166"/>
      <c r="O432" s="559"/>
    </row>
    <row r="433" spans="1:15" s="540" customFormat="1" ht="14.25" customHeight="1">
      <c r="A433" s="1536">
        <v>240</v>
      </c>
      <c r="B433" s="1537"/>
      <c r="C433" s="1538"/>
      <c r="D433" s="166" t="s">
        <v>996</v>
      </c>
      <c r="E433" s="1468" t="s">
        <v>15</v>
      </c>
      <c r="F433" s="1468"/>
      <c r="G433" s="1540">
        <v>580000</v>
      </c>
      <c r="H433" s="1540">
        <v>635040.18900000001</v>
      </c>
      <c r="I433" s="1540"/>
      <c r="J433" s="1466">
        <f t="shared" si="14"/>
        <v>1215040.189</v>
      </c>
      <c r="K433" s="1466"/>
      <c r="L433" s="1466"/>
      <c r="M433" s="1540">
        <f t="shared" si="15"/>
        <v>1215040.189</v>
      </c>
      <c r="N433" s="166"/>
      <c r="O433" s="559"/>
    </row>
    <row r="434" spans="1:15" s="540" customFormat="1" ht="14.25" customHeight="1">
      <c r="A434" s="1536">
        <v>241</v>
      </c>
      <c r="B434" s="1537"/>
      <c r="C434" s="1538"/>
      <c r="D434" s="166" t="s">
        <v>997</v>
      </c>
      <c r="E434" s="1468" t="s">
        <v>15</v>
      </c>
      <c r="F434" s="1468"/>
      <c r="G434" s="1540">
        <v>580000</v>
      </c>
      <c r="H434" s="1540">
        <v>544338.9</v>
      </c>
      <c r="I434" s="1540"/>
      <c r="J434" s="1466">
        <f t="shared" si="14"/>
        <v>1124338.8999999999</v>
      </c>
      <c r="K434" s="1466"/>
      <c r="L434" s="1466"/>
      <c r="M434" s="1540">
        <f t="shared" si="15"/>
        <v>1124338.8999999999</v>
      </c>
      <c r="N434" s="166"/>
      <c r="O434" s="559"/>
    </row>
    <row r="435" spans="1:15" s="540" customFormat="1" ht="14.25" customHeight="1">
      <c r="A435" s="1536">
        <v>242</v>
      </c>
      <c r="B435" s="1537"/>
      <c r="C435" s="1538"/>
      <c r="D435" s="166" t="s">
        <v>998</v>
      </c>
      <c r="E435" s="1468" t="s">
        <v>15</v>
      </c>
      <c r="F435" s="1468"/>
      <c r="G435" s="1540">
        <v>580000</v>
      </c>
      <c r="H435" s="1540">
        <v>574572.66299999994</v>
      </c>
      <c r="I435" s="1540"/>
      <c r="J435" s="1466">
        <f t="shared" si="14"/>
        <v>1154572.6629999999</v>
      </c>
      <c r="K435" s="1466"/>
      <c r="L435" s="1466"/>
      <c r="M435" s="1540">
        <f t="shared" si="15"/>
        <v>1154572.6629999999</v>
      </c>
      <c r="N435" s="166"/>
      <c r="O435" s="559"/>
    </row>
    <row r="436" spans="1:15" s="540" customFormat="1" ht="14.25" customHeight="1">
      <c r="A436" s="1536">
        <v>243</v>
      </c>
      <c r="B436" s="1537"/>
      <c r="C436" s="1538"/>
      <c r="D436" s="166" t="s">
        <v>877</v>
      </c>
      <c r="E436" s="1468" t="s">
        <v>15</v>
      </c>
      <c r="F436" s="1468"/>
      <c r="G436" s="1540">
        <v>580000</v>
      </c>
      <c r="H436" s="1540">
        <v>604806.42599999998</v>
      </c>
      <c r="I436" s="1540"/>
      <c r="J436" s="1466">
        <f t="shared" si="14"/>
        <v>1184806.426</v>
      </c>
      <c r="K436" s="1466"/>
      <c r="L436" s="1466"/>
      <c r="M436" s="1540">
        <f t="shared" si="15"/>
        <v>1184806.426</v>
      </c>
      <c r="N436" s="166"/>
      <c r="O436" s="559"/>
    </row>
    <row r="437" spans="1:15" s="540" customFormat="1" ht="14.25" customHeight="1">
      <c r="A437" s="1536">
        <v>244</v>
      </c>
      <c r="B437" s="1537"/>
      <c r="C437" s="1538"/>
      <c r="D437" s="166" t="s">
        <v>999</v>
      </c>
      <c r="E437" s="1468" t="s">
        <v>15</v>
      </c>
      <c r="F437" s="1468"/>
      <c r="G437" s="1540">
        <v>580000</v>
      </c>
      <c r="H437" s="1540">
        <v>584606.86199999996</v>
      </c>
      <c r="I437" s="1540"/>
      <c r="J437" s="1466">
        <f t="shared" si="14"/>
        <v>1164606.862</v>
      </c>
      <c r="K437" s="1466"/>
      <c r="L437" s="1466"/>
      <c r="M437" s="1540">
        <f t="shared" si="15"/>
        <v>1164606.862</v>
      </c>
      <c r="N437" s="166"/>
      <c r="O437" s="559"/>
    </row>
    <row r="438" spans="1:15" s="540" customFormat="1" ht="14.25" customHeight="1">
      <c r="A438" s="1536">
        <v>245</v>
      </c>
      <c r="B438" s="1537"/>
      <c r="C438" s="1538"/>
      <c r="D438" s="166" t="s">
        <v>1000</v>
      </c>
      <c r="E438" s="1468" t="s">
        <v>15</v>
      </c>
      <c r="F438" s="1468"/>
      <c r="G438" s="1540">
        <v>580000</v>
      </c>
      <c r="H438" s="1540">
        <v>635040.18900000001</v>
      </c>
      <c r="I438" s="1540"/>
      <c r="J438" s="1466">
        <f t="shared" si="14"/>
        <v>1215040.189</v>
      </c>
      <c r="K438" s="1466"/>
      <c r="L438" s="1466"/>
      <c r="M438" s="1540">
        <f t="shared" si="15"/>
        <v>1215040.189</v>
      </c>
      <c r="N438" s="166"/>
      <c r="O438" s="559"/>
    </row>
    <row r="439" spans="1:15" s="540" customFormat="1" ht="14.25" customHeight="1">
      <c r="A439" s="1536">
        <v>246</v>
      </c>
      <c r="B439" s="1537"/>
      <c r="C439" s="1538"/>
      <c r="D439" s="166" t="s">
        <v>1001</v>
      </c>
      <c r="E439" s="1468" t="s">
        <v>15</v>
      </c>
      <c r="F439" s="1468"/>
      <c r="G439" s="1540">
        <v>580000</v>
      </c>
      <c r="H439" s="1540">
        <v>524139.33600000001</v>
      </c>
      <c r="I439" s="1540"/>
      <c r="J439" s="1466">
        <f t="shared" si="14"/>
        <v>1104139.3359999999</v>
      </c>
      <c r="K439" s="1466"/>
      <c r="L439" s="1466"/>
      <c r="M439" s="1540">
        <f t="shared" si="15"/>
        <v>1104139.3359999999</v>
      </c>
      <c r="N439" s="166"/>
      <c r="O439" s="559"/>
    </row>
    <row r="440" spans="1:15" s="540" customFormat="1" ht="14.25" customHeight="1">
      <c r="A440" s="1536">
        <v>247</v>
      </c>
      <c r="B440" s="1537"/>
      <c r="C440" s="1538"/>
      <c r="D440" s="166" t="s">
        <v>1002</v>
      </c>
      <c r="E440" s="1468" t="s">
        <v>15</v>
      </c>
      <c r="F440" s="1468"/>
      <c r="G440" s="1540">
        <v>580000</v>
      </c>
      <c r="H440" s="1540">
        <v>635040.18900000001</v>
      </c>
      <c r="I440" s="1540"/>
      <c r="J440" s="1466">
        <f t="shared" si="14"/>
        <v>1215040.189</v>
      </c>
      <c r="K440" s="1466"/>
      <c r="L440" s="1466"/>
      <c r="M440" s="1540">
        <f t="shared" si="15"/>
        <v>1215040.189</v>
      </c>
      <c r="N440" s="166"/>
      <c r="O440" s="559"/>
    </row>
    <row r="441" spans="1:15" s="540" customFormat="1" ht="14.25" customHeight="1">
      <c r="A441" s="1536">
        <v>248</v>
      </c>
      <c r="B441" s="1537"/>
      <c r="C441" s="1538"/>
      <c r="D441" s="166" t="s">
        <v>1003</v>
      </c>
      <c r="E441" s="1468" t="s">
        <v>15</v>
      </c>
      <c r="F441" s="1468"/>
      <c r="G441" s="1540">
        <v>580000</v>
      </c>
      <c r="H441" s="1540">
        <v>635040.18900000001</v>
      </c>
      <c r="I441" s="1540"/>
      <c r="J441" s="1466">
        <f t="shared" si="14"/>
        <v>1215040.189</v>
      </c>
      <c r="K441" s="1466"/>
      <c r="L441" s="1466"/>
      <c r="M441" s="1540">
        <f t="shared" si="15"/>
        <v>1215040.189</v>
      </c>
      <c r="N441" s="166"/>
      <c r="O441" s="559"/>
    </row>
    <row r="442" spans="1:15" s="540" customFormat="1" ht="14.25" customHeight="1">
      <c r="A442" s="1536">
        <v>249</v>
      </c>
      <c r="B442" s="1537"/>
      <c r="C442" s="1538"/>
      <c r="D442" s="166" t="s">
        <v>1004</v>
      </c>
      <c r="E442" s="1468" t="s">
        <v>15</v>
      </c>
      <c r="F442" s="1468"/>
      <c r="G442" s="1540">
        <v>580000</v>
      </c>
      <c r="H442" s="1540">
        <v>554373.09900000005</v>
      </c>
      <c r="I442" s="1540"/>
      <c r="J442" s="1466">
        <f t="shared" si="14"/>
        <v>1134373.0989999999</v>
      </c>
      <c r="K442" s="1466"/>
      <c r="L442" s="1466"/>
      <c r="M442" s="1540">
        <f t="shared" si="15"/>
        <v>1134373.0989999999</v>
      </c>
      <c r="N442" s="166"/>
      <c r="O442" s="559"/>
    </row>
    <row r="443" spans="1:15" s="540" customFormat="1" ht="14.25" customHeight="1">
      <c r="A443" s="1536">
        <v>250</v>
      </c>
      <c r="B443" s="1537"/>
      <c r="C443" s="1538"/>
      <c r="D443" s="166" t="s">
        <v>1005</v>
      </c>
      <c r="E443" s="1468" t="s">
        <v>15</v>
      </c>
      <c r="F443" s="1468"/>
      <c r="G443" s="1540">
        <v>580000</v>
      </c>
      <c r="H443" s="1540">
        <v>554373.09900000005</v>
      </c>
      <c r="I443" s="1540"/>
      <c r="J443" s="1466">
        <f t="shared" si="14"/>
        <v>1134373.0989999999</v>
      </c>
      <c r="K443" s="1466"/>
      <c r="L443" s="1466"/>
      <c r="M443" s="1540">
        <f t="shared" si="15"/>
        <v>1134373.0989999999</v>
      </c>
      <c r="N443" s="166"/>
      <c r="O443" s="559"/>
    </row>
    <row r="444" spans="1:15" s="540" customFormat="1" ht="14.25" customHeight="1">
      <c r="A444" s="1536">
        <v>251</v>
      </c>
      <c r="B444" s="1537"/>
      <c r="C444" s="1538"/>
      <c r="D444" s="166" t="s">
        <v>1006</v>
      </c>
      <c r="E444" s="1468" t="s">
        <v>15</v>
      </c>
      <c r="F444" s="1468"/>
      <c r="G444" s="1540">
        <v>580000</v>
      </c>
      <c r="H444" s="1540">
        <v>635040.18900000001</v>
      </c>
      <c r="I444" s="1540"/>
      <c r="J444" s="1466">
        <f t="shared" ref="J444:J455" si="16">SUM(G444:I444)</f>
        <v>1215040.189</v>
      </c>
      <c r="K444" s="1466"/>
      <c r="L444" s="1466"/>
      <c r="M444" s="1540">
        <f t="shared" ref="M444:M455" si="17">J444-L444</f>
        <v>1215040.189</v>
      </c>
      <c r="N444" s="166"/>
      <c r="O444" s="559"/>
    </row>
    <row r="445" spans="1:15" s="540" customFormat="1" ht="14.25" customHeight="1">
      <c r="A445" s="1536">
        <v>252</v>
      </c>
      <c r="B445" s="1537"/>
      <c r="C445" s="1538"/>
      <c r="D445" s="166" t="s">
        <v>1007</v>
      </c>
      <c r="E445" s="1468" t="s">
        <v>15</v>
      </c>
      <c r="F445" s="1468"/>
      <c r="G445" s="1540">
        <v>580000</v>
      </c>
      <c r="H445" s="1540">
        <v>544338.9</v>
      </c>
      <c r="I445" s="1540"/>
      <c r="J445" s="1466">
        <f t="shared" si="16"/>
        <v>1124338.8999999999</v>
      </c>
      <c r="K445" s="1466"/>
      <c r="L445" s="1466"/>
      <c r="M445" s="1540">
        <f t="shared" si="17"/>
        <v>1124338.8999999999</v>
      </c>
      <c r="N445" s="166"/>
      <c r="O445" s="559"/>
    </row>
    <row r="446" spans="1:15" s="540" customFormat="1" ht="14.25" customHeight="1">
      <c r="A446" s="1536">
        <v>253</v>
      </c>
      <c r="B446" s="1537"/>
      <c r="C446" s="1538"/>
      <c r="D446" s="166" t="s">
        <v>1008</v>
      </c>
      <c r="E446" s="1468" t="s">
        <v>15</v>
      </c>
      <c r="F446" s="1468"/>
      <c r="G446" s="1540">
        <v>580000</v>
      </c>
      <c r="H446" s="1540">
        <v>574572.66299999994</v>
      </c>
      <c r="I446" s="1540"/>
      <c r="J446" s="1466">
        <f t="shared" si="16"/>
        <v>1154572.6629999999</v>
      </c>
      <c r="K446" s="1466"/>
      <c r="L446" s="1466"/>
      <c r="M446" s="1540">
        <f t="shared" si="17"/>
        <v>1154572.6629999999</v>
      </c>
      <c r="N446" s="166"/>
      <c r="O446" s="559"/>
    </row>
    <row r="447" spans="1:15" s="540" customFormat="1" ht="14.25" customHeight="1">
      <c r="A447" s="1536">
        <v>254</v>
      </c>
      <c r="B447" s="1537"/>
      <c r="C447" s="1538"/>
      <c r="D447" s="166" t="s">
        <v>108</v>
      </c>
      <c r="E447" s="1468" t="s">
        <v>15</v>
      </c>
      <c r="F447" s="1468"/>
      <c r="G447" s="1540">
        <v>580000</v>
      </c>
      <c r="H447" s="1540">
        <v>604806.42599999998</v>
      </c>
      <c r="I447" s="1540"/>
      <c r="J447" s="1466">
        <f t="shared" si="16"/>
        <v>1184806.426</v>
      </c>
      <c r="K447" s="1466"/>
      <c r="L447" s="1466"/>
      <c r="M447" s="1540">
        <f t="shared" si="17"/>
        <v>1184806.426</v>
      </c>
      <c r="N447" s="166"/>
      <c r="O447" s="559"/>
    </row>
    <row r="448" spans="1:15" s="540" customFormat="1" ht="14.25" customHeight="1">
      <c r="A448" s="1536">
        <v>255</v>
      </c>
      <c r="B448" s="1537"/>
      <c r="C448" s="1538"/>
      <c r="D448" s="166" t="s">
        <v>1009</v>
      </c>
      <c r="E448" s="1468" t="s">
        <v>15</v>
      </c>
      <c r="F448" s="1468"/>
      <c r="G448" s="1540">
        <v>580000</v>
      </c>
      <c r="H448" s="1540">
        <v>584606.86199999996</v>
      </c>
      <c r="I448" s="1540"/>
      <c r="J448" s="1466">
        <f t="shared" si="16"/>
        <v>1164606.862</v>
      </c>
      <c r="K448" s="1466"/>
      <c r="L448" s="1466"/>
      <c r="M448" s="1540">
        <f t="shared" si="17"/>
        <v>1164606.862</v>
      </c>
      <c r="N448" s="166"/>
      <c r="O448" s="559"/>
    </row>
    <row r="449" spans="1:15" s="540" customFormat="1" ht="14.25" customHeight="1">
      <c r="A449" s="1536">
        <v>256</v>
      </c>
      <c r="B449" s="1537"/>
      <c r="C449" s="1538"/>
      <c r="D449" s="166" t="s">
        <v>1010</v>
      </c>
      <c r="E449" s="1468" t="s">
        <v>15</v>
      </c>
      <c r="F449" s="1468"/>
      <c r="G449" s="1540">
        <v>580000</v>
      </c>
      <c r="H449" s="1540">
        <v>635040.18900000001</v>
      </c>
      <c r="I449" s="1540"/>
      <c r="J449" s="1466">
        <f t="shared" si="16"/>
        <v>1215040.189</v>
      </c>
      <c r="K449" s="1466"/>
      <c r="L449" s="1466"/>
      <c r="M449" s="1540">
        <f t="shared" si="17"/>
        <v>1215040.189</v>
      </c>
      <c r="N449" s="166"/>
      <c r="O449" s="559"/>
    </row>
    <row r="450" spans="1:15" s="540" customFormat="1" ht="14.25" customHeight="1">
      <c r="A450" s="1536">
        <v>257</v>
      </c>
      <c r="B450" s="1537"/>
      <c r="C450" s="1538"/>
      <c r="D450" s="166" t="s">
        <v>1011</v>
      </c>
      <c r="E450" s="1468" t="s">
        <v>15</v>
      </c>
      <c r="F450" s="1468"/>
      <c r="G450" s="1540">
        <v>580000</v>
      </c>
      <c r="H450" s="1540">
        <v>524139.33600000001</v>
      </c>
      <c r="I450" s="1540"/>
      <c r="J450" s="1466">
        <f t="shared" si="16"/>
        <v>1104139.3359999999</v>
      </c>
      <c r="K450" s="1466"/>
      <c r="L450" s="1466"/>
      <c r="M450" s="1540">
        <f t="shared" si="17"/>
        <v>1104139.3359999999</v>
      </c>
      <c r="N450" s="166"/>
      <c r="O450" s="559"/>
    </row>
    <row r="451" spans="1:15" s="540" customFormat="1" ht="14.25" customHeight="1">
      <c r="A451" s="1536">
        <v>258</v>
      </c>
      <c r="B451" s="1537"/>
      <c r="C451" s="1538"/>
      <c r="D451" s="166" t="s">
        <v>1012</v>
      </c>
      <c r="E451" s="1468" t="s">
        <v>15</v>
      </c>
      <c r="F451" s="1468"/>
      <c r="G451" s="1540">
        <v>580000</v>
      </c>
      <c r="H451" s="1540">
        <v>635040.18900000001</v>
      </c>
      <c r="I451" s="1540"/>
      <c r="J451" s="1466">
        <f t="shared" si="16"/>
        <v>1215040.189</v>
      </c>
      <c r="K451" s="1466"/>
      <c r="L451" s="1466"/>
      <c r="M451" s="1540">
        <f t="shared" si="17"/>
        <v>1215040.189</v>
      </c>
      <c r="N451" s="166"/>
      <c r="O451" s="559"/>
    </row>
    <row r="452" spans="1:15" s="540" customFormat="1" ht="14.25" customHeight="1">
      <c r="A452" s="1536">
        <v>259</v>
      </c>
      <c r="B452" s="1537"/>
      <c r="C452" s="1538"/>
      <c r="D452" s="166" t="s">
        <v>1013</v>
      </c>
      <c r="E452" s="1468" t="s">
        <v>15</v>
      </c>
      <c r="F452" s="1468"/>
      <c r="G452" s="1540">
        <v>580000</v>
      </c>
      <c r="H452" s="1540">
        <v>635040.18900000001</v>
      </c>
      <c r="I452" s="1540"/>
      <c r="J452" s="1466">
        <f t="shared" si="16"/>
        <v>1215040.189</v>
      </c>
      <c r="K452" s="1466"/>
      <c r="L452" s="1466"/>
      <c r="M452" s="1540">
        <f t="shared" si="17"/>
        <v>1215040.189</v>
      </c>
      <c r="N452" s="166"/>
      <c r="O452" s="559"/>
    </row>
    <row r="453" spans="1:15" s="540" customFormat="1" ht="14.25" customHeight="1">
      <c r="A453" s="1536">
        <v>260</v>
      </c>
      <c r="B453" s="1537"/>
      <c r="C453" s="1538"/>
      <c r="D453" s="166" t="s">
        <v>1014</v>
      </c>
      <c r="E453" s="1468" t="s">
        <v>15</v>
      </c>
      <c r="F453" s="1468"/>
      <c r="G453" s="1540">
        <v>580000</v>
      </c>
      <c r="H453" s="1540">
        <v>554373.09900000005</v>
      </c>
      <c r="I453" s="1540"/>
      <c r="J453" s="1466">
        <f t="shared" si="16"/>
        <v>1134373.0989999999</v>
      </c>
      <c r="K453" s="1466"/>
      <c r="L453" s="1466"/>
      <c r="M453" s="1540">
        <f t="shared" si="17"/>
        <v>1134373.0989999999</v>
      </c>
      <c r="N453" s="166"/>
      <c r="O453" s="559"/>
    </row>
    <row r="454" spans="1:15" s="540" customFormat="1" ht="14.25" customHeight="1">
      <c r="A454" s="1536">
        <v>261</v>
      </c>
      <c r="B454" s="1537"/>
      <c r="C454" s="1538"/>
      <c r="D454" s="166" t="s">
        <v>1015</v>
      </c>
      <c r="E454" s="1468" t="s">
        <v>15</v>
      </c>
      <c r="F454" s="1468"/>
      <c r="G454" s="1540">
        <v>580000</v>
      </c>
      <c r="H454" s="1540">
        <v>554373.09900000005</v>
      </c>
      <c r="I454" s="1540"/>
      <c r="J454" s="1466">
        <f t="shared" si="16"/>
        <v>1134373.0989999999</v>
      </c>
      <c r="K454" s="1466"/>
      <c r="L454" s="1466"/>
      <c r="M454" s="1540">
        <f t="shared" si="17"/>
        <v>1134373.0989999999</v>
      </c>
      <c r="N454" s="166"/>
      <c r="O454" s="559"/>
    </row>
    <row r="455" spans="1:15" s="540" customFormat="1" ht="14.25" customHeight="1">
      <c r="A455" s="1536">
        <v>262</v>
      </c>
      <c r="B455" s="1537"/>
      <c r="C455" s="1538"/>
      <c r="D455" s="166" t="s">
        <v>1016</v>
      </c>
      <c r="E455" s="1468" t="s">
        <v>15</v>
      </c>
      <c r="F455" s="1468"/>
      <c r="G455" s="1540">
        <v>580000</v>
      </c>
      <c r="H455" s="1540">
        <v>635040.18900000001</v>
      </c>
      <c r="I455" s="1540"/>
      <c r="J455" s="1466">
        <f t="shared" si="16"/>
        <v>1215040.189</v>
      </c>
      <c r="K455" s="1466"/>
      <c r="L455" s="1466"/>
      <c r="M455" s="1540">
        <f t="shared" si="17"/>
        <v>1215040.189</v>
      </c>
      <c r="N455" s="166"/>
      <c r="O455" s="559"/>
    </row>
    <row r="456" spans="1:15" s="540" customFormat="1" ht="14.25" customHeight="1">
      <c r="A456" s="1536">
        <v>263</v>
      </c>
      <c r="B456" s="1537"/>
      <c r="C456" s="1538"/>
      <c r="D456" s="166" t="s">
        <v>1017</v>
      </c>
      <c r="E456" s="1468" t="s">
        <v>15</v>
      </c>
      <c r="F456" s="1468"/>
      <c r="G456" s="1540">
        <v>580000</v>
      </c>
      <c r="H456" s="1540">
        <v>544338.9</v>
      </c>
      <c r="I456" s="1540"/>
      <c r="J456" s="1466">
        <f t="shared" si="14"/>
        <v>1124338.8999999999</v>
      </c>
      <c r="K456" s="1466"/>
      <c r="L456" s="1466"/>
      <c r="M456" s="1540">
        <f t="shared" si="15"/>
        <v>1124338.8999999999</v>
      </c>
      <c r="N456" s="166"/>
      <c r="O456" s="559"/>
    </row>
    <row r="457" spans="1:15" s="540" customFormat="1" ht="14.25" customHeight="1">
      <c r="A457" s="1536">
        <v>264</v>
      </c>
      <c r="B457" s="1537"/>
      <c r="C457" s="1538"/>
      <c r="D457" s="166" t="s">
        <v>1018</v>
      </c>
      <c r="E457" s="1468" t="s">
        <v>15</v>
      </c>
      <c r="F457" s="1468"/>
      <c r="G457" s="1540">
        <v>580000</v>
      </c>
      <c r="H457" s="1540">
        <v>574572.66299999994</v>
      </c>
      <c r="I457" s="1540"/>
      <c r="J457" s="1466">
        <f t="shared" si="14"/>
        <v>1154572.6629999999</v>
      </c>
      <c r="K457" s="1466"/>
      <c r="L457" s="1466"/>
      <c r="M457" s="1540">
        <f t="shared" si="15"/>
        <v>1154572.6629999999</v>
      </c>
      <c r="N457" s="166"/>
      <c r="O457" s="559"/>
    </row>
    <row r="458" spans="1:15" s="540" customFormat="1" ht="14.25" customHeight="1">
      <c r="A458" s="1536">
        <v>265</v>
      </c>
      <c r="B458" s="1537"/>
      <c r="C458" s="1538"/>
      <c r="D458" s="166" t="s">
        <v>1019</v>
      </c>
      <c r="E458" s="1468" t="s">
        <v>15</v>
      </c>
      <c r="F458" s="1468"/>
      <c r="G458" s="1540">
        <v>580000</v>
      </c>
      <c r="H458" s="1540">
        <v>604806.42599999998</v>
      </c>
      <c r="I458" s="1540"/>
      <c r="J458" s="1466">
        <f t="shared" si="14"/>
        <v>1184806.426</v>
      </c>
      <c r="K458" s="1466"/>
      <c r="L458" s="1466"/>
      <c r="M458" s="1540">
        <f t="shared" si="15"/>
        <v>1184806.426</v>
      </c>
      <c r="N458" s="166"/>
      <c r="O458" s="559"/>
    </row>
    <row r="459" spans="1:15" s="540" customFormat="1" ht="14.25" customHeight="1">
      <c r="A459" s="1536">
        <v>266</v>
      </c>
      <c r="B459" s="1537"/>
      <c r="C459" s="1538"/>
      <c r="D459" s="166" t="s">
        <v>1020</v>
      </c>
      <c r="E459" s="1468" t="s">
        <v>15</v>
      </c>
      <c r="F459" s="1468"/>
      <c r="G459" s="1540">
        <v>580000</v>
      </c>
      <c r="H459" s="1540">
        <v>584606.86199999996</v>
      </c>
      <c r="I459" s="1540"/>
      <c r="J459" s="1466">
        <f t="shared" si="14"/>
        <v>1164606.862</v>
      </c>
      <c r="K459" s="1466"/>
      <c r="L459" s="1466"/>
      <c r="M459" s="1540">
        <f t="shared" si="15"/>
        <v>1164606.862</v>
      </c>
      <c r="N459" s="166"/>
      <c r="O459" s="559"/>
    </row>
    <row r="460" spans="1:15" s="540" customFormat="1" ht="14.25" customHeight="1">
      <c r="A460" s="1536">
        <v>267</v>
      </c>
      <c r="B460" s="1537"/>
      <c r="C460" s="1538"/>
      <c r="D460" s="166" t="s">
        <v>1021</v>
      </c>
      <c r="E460" s="1468" t="s">
        <v>15</v>
      </c>
      <c r="F460" s="1468"/>
      <c r="G460" s="1540">
        <v>580000</v>
      </c>
      <c r="H460" s="1540">
        <v>635040.18900000001</v>
      </c>
      <c r="I460" s="1540"/>
      <c r="J460" s="1466">
        <f t="shared" si="14"/>
        <v>1215040.189</v>
      </c>
      <c r="K460" s="1466"/>
      <c r="L460" s="1466"/>
      <c r="M460" s="1540">
        <f t="shared" si="15"/>
        <v>1215040.189</v>
      </c>
      <c r="N460" s="166"/>
      <c r="O460" s="559"/>
    </row>
    <row r="461" spans="1:15" s="540" customFormat="1" ht="14.25" customHeight="1">
      <c r="A461" s="1536">
        <v>268</v>
      </c>
      <c r="B461" s="1537"/>
      <c r="C461" s="1538"/>
      <c r="D461" s="166" t="s">
        <v>1022</v>
      </c>
      <c r="E461" s="1468" t="s">
        <v>15</v>
      </c>
      <c r="F461" s="1468"/>
      <c r="G461" s="1540">
        <v>580000</v>
      </c>
      <c r="H461" s="1540">
        <v>524139.33600000001</v>
      </c>
      <c r="I461" s="1540"/>
      <c r="J461" s="1466">
        <f t="shared" si="14"/>
        <v>1104139.3359999999</v>
      </c>
      <c r="K461" s="1466"/>
      <c r="L461" s="1466"/>
      <c r="M461" s="1540">
        <f t="shared" si="15"/>
        <v>1104139.3359999999</v>
      </c>
      <c r="N461" s="166"/>
      <c r="O461" s="559"/>
    </row>
    <row r="462" spans="1:15" s="540" customFormat="1" ht="14.25" customHeight="1">
      <c r="A462" s="1536">
        <v>269</v>
      </c>
      <c r="B462" s="1537"/>
      <c r="C462" s="1538"/>
      <c r="D462" s="166" t="s">
        <v>1023</v>
      </c>
      <c r="E462" s="1468" t="s">
        <v>15</v>
      </c>
      <c r="F462" s="1468"/>
      <c r="G462" s="1540">
        <v>580000</v>
      </c>
      <c r="H462" s="1540">
        <v>635040.18900000001</v>
      </c>
      <c r="I462" s="1540"/>
      <c r="J462" s="1466">
        <f t="shared" si="14"/>
        <v>1215040.189</v>
      </c>
      <c r="K462" s="1466"/>
      <c r="L462" s="1466"/>
      <c r="M462" s="1540">
        <f t="shared" si="15"/>
        <v>1215040.189</v>
      </c>
      <c r="N462" s="166"/>
      <c r="O462" s="559"/>
    </row>
    <row r="463" spans="1:15" s="540" customFormat="1" ht="14.25" customHeight="1">
      <c r="A463" s="1536">
        <v>270</v>
      </c>
      <c r="B463" s="1537"/>
      <c r="C463" s="1538"/>
      <c r="D463" s="166" t="s">
        <v>585</v>
      </c>
      <c r="E463" s="1468" t="s">
        <v>15</v>
      </c>
      <c r="F463" s="1468"/>
      <c r="G463" s="1540">
        <v>580000</v>
      </c>
      <c r="H463" s="1540">
        <v>635040.18900000001</v>
      </c>
      <c r="I463" s="1540"/>
      <c r="J463" s="1466">
        <f t="shared" si="14"/>
        <v>1215040.189</v>
      </c>
      <c r="K463" s="1466"/>
      <c r="L463" s="1466"/>
      <c r="M463" s="1540">
        <f t="shared" si="15"/>
        <v>1215040.189</v>
      </c>
      <c r="N463" s="166"/>
      <c r="O463" s="559"/>
    </row>
    <row r="464" spans="1:15" s="540" customFormat="1" ht="14.25" customHeight="1">
      <c r="A464" s="1536">
        <v>271</v>
      </c>
      <c r="B464" s="1537"/>
      <c r="C464" s="1538"/>
      <c r="D464" s="166" t="s">
        <v>1024</v>
      </c>
      <c r="E464" s="1468" t="s">
        <v>15</v>
      </c>
      <c r="F464" s="1468"/>
      <c r="G464" s="1540">
        <v>580000</v>
      </c>
      <c r="H464" s="1540">
        <v>554373.09900000005</v>
      </c>
      <c r="I464" s="1540"/>
      <c r="J464" s="1466">
        <f t="shared" si="14"/>
        <v>1134373.0989999999</v>
      </c>
      <c r="K464" s="1466"/>
      <c r="L464" s="1466"/>
      <c r="M464" s="1540">
        <f t="shared" si="15"/>
        <v>1134373.0989999999</v>
      </c>
      <c r="N464" s="166"/>
      <c r="O464" s="559"/>
    </row>
    <row r="465" spans="1:15" s="540" customFormat="1" ht="14.25" customHeight="1">
      <c r="A465" s="1536">
        <v>272</v>
      </c>
      <c r="B465" s="1537"/>
      <c r="C465" s="1538"/>
      <c r="D465" s="166" t="s">
        <v>1025</v>
      </c>
      <c r="E465" s="1468" t="s">
        <v>15</v>
      </c>
      <c r="F465" s="1468"/>
      <c r="G465" s="1540">
        <v>580000</v>
      </c>
      <c r="H465" s="1540">
        <v>584606.86199999996</v>
      </c>
      <c r="I465" s="1540"/>
      <c r="J465" s="1466">
        <f t="shared" ref="J465:J511" si="18">SUM(G465:I465)</f>
        <v>1164606.862</v>
      </c>
      <c r="K465" s="1466"/>
      <c r="L465" s="1466"/>
      <c r="M465" s="1540">
        <f t="shared" ref="M465:M511" si="19">J465-L465</f>
        <v>1164606.862</v>
      </c>
      <c r="N465" s="166"/>
      <c r="O465" s="559"/>
    </row>
    <row r="466" spans="1:15" s="540" customFormat="1" ht="14.25" customHeight="1">
      <c r="A466" s="1536">
        <v>273</v>
      </c>
      <c r="B466" s="1537"/>
      <c r="C466" s="1538"/>
      <c r="D466" s="166" t="s">
        <v>1026</v>
      </c>
      <c r="E466" s="1468" t="s">
        <v>15</v>
      </c>
      <c r="F466" s="1468"/>
      <c r="G466" s="1540">
        <v>580000</v>
      </c>
      <c r="H466" s="1540">
        <v>635040.18900000001</v>
      </c>
      <c r="I466" s="1540"/>
      <c r="J466" s="1466">
        <f t="shared" si="18"/>
        <v>1215040.189</v>
      </c>
      <c r="K466" s="1466"/>
      <c r="L466" s="1466"/>
      <c r="M466" s="1540">
        <f t="shared" si="19"/>
        <v>1215040.189</v>
      </c>
      <c r="N466" s="166"/>
      <c r="O466" s="559"/>
    </row>
    <row r="467" spans="1:15" s="540" customFormat="1" ht="14.25" customHeight="1">
      <c r="A467" s="1536">
        <v>274</v>
      </c>
      <c r="B467" s="1537"/>
      <c r="C467" s="1538"/>
      <c r="D467" s="166" t="s">
        <v>1027</v>
      </c>
      <c r="E467" s="1468" t="s">
        <v>15</v>
      </c>
      <c r="F467" s="1468"/>
      <c r="G467" s="1540">
        <v>580000</v>
      </c>
      <c r="H467" s="1540">
        <v>524139.33600000001</v>
      </c>
      <c r="I467" s="1540"/>
      <c r="J467" s="1466">
        <f t="shared" si="18"/>
        <v>1104139.3359999999</v>
      </c>
      <c r="K467" s="1466"/>
      <c r="L467" s="1466"/>
      <c r="M467" s="1540">
        <f t="shared" si="19"/>
        <v>1104139.3359999999</v>
      </c>
      <c r="N467" s="166"/>
      <c r="O467" s="559"/>
    </row>
    <row r="468" spans="1:15" s="540" customFormat="1" ht="14.25" customHeight="1">
      <c r="A468" s="1536">
        <v>275</v>
      </c>
      <c r="B468" s="1537"/>
      <c r="C468" s="1538"/>
      <c r="D468" s="166" t="s">
        <v>1028</v>
      </c>
      <c r="E468" s="1468" t="s">
        <v>15</v>
      </c>
      <c r="F468" s="1468"/>
      <c r="G468" s="1540">
        <v>580000</v>
      </c>
      <c r="H468" s="1540">
        <v>635040.18900000001</v>
      </c>
      <c r="I468" s="1540"/>
      <c r="J468" s="1466">
        <f t="shared" si="18"/>
        <v>1215040.189</v>
      </c>
      <c r="K468" s="1466"/>
      <c r="L468" s="1466"/>
      <c r="M468" s="1540">
        <f t="shared" si="19"/>
        <v>1215040.189</v>
      </c>
      <c r="N468" s="166"/>
      <c r="O468" s="559"/>
    </row>
    <row r="469" spans="1:15" s="540" customFormat="1" ht="14.25" customHeight="1">
      <c r="A469" s="1536">
        <v>276</v>
      </c>
      <c r="B469" s="1537"/>
      <c r="C469" s="1538"/>
      <c r="D469" s="166" t="s">
        <v>1029</v>
      </c>
      <c r="E469" s="1468" t="s">
        <v>15</v>
      </c>
      <c r="F469" s="1468"/>
      <c r="G469" s="1540">
        <v>580000</v>
      </c>
      <c r="H469" s="1540">
        <v>635040.18900000001</v>
      </c>
      <c r="I469" s="1540"/>
      <c r="J469" s="1466">
        <f t="shared" si="18"/>
        <v>1215040.189</v>
      </c>
      <c r="K469" s="1466"/>
      <c r="L469" s="1466"/>
      <c r="M469" s="1540">
        <f t="shared" si="19"/>
        <v>1215040.189</v>
      </c>
      <c r="N469" s="166"/>
      <c r="O469" s="559"/>
    </row>
    <row r="470" spans="1:15" s="540" customFormat="1" ht="14.25" customHeight="1">
      <c r="A470" s="1536">
        <v>277</v>
      </c>
      <c r="B470" s="1537"/>
      <c r="C470" s="1538"/>
      <c r="D470" s="166" t="s">
        <v>1030</v>
      </c>
      <c r="E470" s="1468" t="s">
        <v>15</v>
      </c>
      <c r="F470" s="1468"/>
      <c r="G470" s="1540">
        <v>580000</v>
      </c>
      <c r="H470" s="1540">
        <v>554373.09900000005</v>
      </c>
      <c r="I470" s="1540"/>
      <c r="J470" s="1466">
        <f t="shared" si="18"/>
        <v>1134373.0989999999</v>
      </c>
      <c r="K470" s="1466"/>
      <c r="L470" s="1466"/>
      <c r="M470" s="1540">
        <f t="shared" si="19"/>
        <v>1134373.0989999999</v>
      </c>
      <c r="N470" s="166"/>
      <c r="O470" s="559"/>
    </row>
    <row r="471" spans="1:15" s="540" customFormat="1" ht="14.25" customHeight="1">
      <c r="A471" s="1536">
        <v>278</v>
      </c>
      <c r="B471" s="1537"/>
      <c r="C471" s="1538"/>
      <c r="D471" s="166" t="s">
        <v>559</v>
      </c>
      <c r="E471" s="1468" t="s">
        <v>15</v>
      </c>
      <c r="F471" s="1468"/>
      <c r="G471" s="1540">
        <v>580000</v>
      </c>
      <c r="H471" s="1540">
        <v>554373.09900000005</v>
      </c>
      <c r="I471" s="1540"/>
      <c r="J471" s="1466">
        <f t="shared" si="18"/>
        <v>1134373.0989999999</v>
      </c>
      <c r="K471" s="1466"/>
      <c r="L471" s="1466"/>
      <c r="M471" s="1540">
        <f t="shared" si="19"/>
        <v>1134373.0989999999</v>
      </c>
      <c r="N471" s="166"/>
      <c r="O471" s="559"/>
    </row>
    <row r="472" spans="1:15" s="540" customFormat="1" ht="14.25" customHeight="1">
      <c r="A472" s="1536">
        <v>279</v>
      </c>
      <c r="B472" s="1537"/>
      <c r="C472" s="1538"/>
      <c r="D472" s="166" t="s">
        <v>1031</v>
      </c>
      <c r="E472" s="1468" t="s">
        <v>15</v>
      </c>
      <c r="F472" s="1468"/>
      <c r="G472" s="1540">
        <v>580000</v>
      </c>
      <c r="H472" s="1540">
        <v>635040.18900000001</v>
      </c>
      <c r="I472" s="1540"/>
      <c r="J472" s="1466">
        <f t="shared" si="18"/>
        <v>1215040.189</v>
      </c>
      <c r="K472" s="1466"/>
      <c r="L472" s="1466"/>
      <c r="M472" s="1540">
        <f t="shared" si="19"/>
        <v>1215040.189</v>
      </c>
      <c r="N472" s="166"/>
      <c r="O472" s="559"/>
    </row>
    <row r="473" spans="1:15" s="540" customFormat="1" ht="14.25" customHeight="1">
      <c r="A473" s="1536">
        <v>280</v>
      </c>
      <c r="B473" s="1537"/>
      <c r="C473" s="1538"/>
      <c r="D473" s="166" t="s">
        <v>657</v>
      </c>
      <c r="E473" s="1468" t="s">
        <v>15</v>
      </c>
      <c r="F473" s="1468"/>
      <c r="G473" s="1540">
        <v>580000</v>
      </c>
      <c r="H473" s="1540">
        <v>544338.9</v>
      </c>
      <c r="I473" s="1540"/>
      <c r="J473" s="1466">
        <f t="shared" si="18"/>
        <v>1124338.8999999999</v>
      </c>
      <c r="K473" s="1466"/>
      <c r="L473" s="1466"/>
      <c r="M473" s="1540">
        <f t="shared" si="19"/>
        <v>1124338.8999999999</v>
      </c>
      <c r="N473" s="166"/>
      <c r="O473" s="559"/>
    </row>
    <row r="474" spans="1:15" s="540" customFormat="1" ht="14.25" customHeight="1">
      <c r="A474" s="1536">
        <v>281</v>
      </c>
      <c r="B474" s="1537"/>
      <c r="C474" s="1538"/>
      <c r="D474" s="166" t="s">
        <v>1032</v>
      </c>
      <c r="E474" s="1468" t="s">
        <v>15</v>
      </c>
      <c r="F474" s="1468"/>
      <c r="G474" s="1540">
        <v>580000</v>
      </c>
      <c r="H474" s="1540">
        <v>574572.66299999994</v>
      </c>
      <c r="I474" s="1540"/>
      <c r="J474" s="1466">
        <f t="shared" si="18"/>
        <v>1154572.6629999999</v>
      </c>
      <c r="K474" s="1466"/>
      <c r="L474" s="1466"/>
      <c r="M474" s="1540">
        <f t="shared" si="19"/>
        <v>1154572.6629999999</v>
      </c>
      <c r="N474" s="166"/>
      <c r="O474" s="559"/>
    </row>
    <row r="475" spans="1:15" s="540" customFormat="1" ht="14.25" customHeight="1">
      <c r="A475" s="1536">
        <v>282</v>
      </c>
      <c r="B475" s="1537"/>
      <c r="C475" s="1538"/>
      <c r="D475" s="166" t="s">
        <v>1033</v>
      </c>
      <c r="E475" s="1468" t="s">
        <v>15</v>
      </c>
      <c r="F475" s="1468"/>
      <c r="G475" s="1540">
        <v>580000</v>
      </c>
      <c r="H475" s="1540">
        <v>604806.42599999998</v>
      </c>
      <c r="I475" s="1540"/>
      <c r="J475" s="1466">
        <f t="shared" si="18"/>
        <v>1184806.426</v>
      </c>
      <c r="K475" s="1466"/>
      <c r="L475" s="1466"/>
      <c r="M475" s="1540">
        <f t="shared" si="19"/>
        <v>1184806.426</v>
      </c>
      <c r="N475" s="166"/>
      <c r="O475" s="559"/>
    </row>
    <row r="476" spans="1:15" s="540" customFormat="1" ht="14.25" customHeight="1">
      <c r="A476" s="1536">
        <v>283</v>
      </c>
      <c r="B476" s="1537"/>
      <c r="C476" s="1538"/>
      <c r="D476" s="166" t="s">
        <v>1034</v>
      </c>
      <c r="E476" s="1468" t="s">
        <v>15</v>
      </c>
      <c r="F476" s="1468"/>
      <c r="G476" s="1540">
        <v>580000</v>
      </c>
      <c r="H476" s="1540">
        <v>584606.86199999996</v>
      </c>
      <c r="I476" s="1540"/>
      <c r="J476" s="1466">
        <f t="shared" si="18"/>
        <v>1164606.862</v>
      </c>
      <c r="K476" s="1466"/>
      <c r="L476" s="1466"/>
      <c r="M476" s="1540">
        <f t="shared" si="19"/>
        <v>1164606.862</v>
      </c>
      <c r="N476" s="166"/>
      <c r="O476" s="559"/>
    </row>
    <row r="477" spans="1:15" s="540" customFormat="1" ht="14.25" customHeight="1">
      <c r="A477" s="1536">
        <v>284</v>
      </c>
      <c r="B477" s="1537"/>
      <c r="C477" s="1538"/>
      <c r="D477" s="166" t="s">
        <v>1035</v>
      </c>
      <c r="E477" s="1468" t="s">
        <v>15</v>
      </c>
      <c r="F477" s="1468"/>
      <c r="G477" s="1540">
        <v>580000</v>
      </c>
      <c r="H477" s="1540">
        <v>635040.18900000001</v>
      </c>
      <c r="I477" s="1540"/>
      <c r="J477" s="1466">
        <f t="shared" si="18"/>
        <v>1215040.189</v>
      </c>
      <c r="K477" s="1466"/>
      <c r="L477" s="1466"/>
      <c r="M477" s="1540">
        <f t="shared" si="19"/>
        <v>1215040.189</v>
      </c>
      <c r="N477" s="166"/>
      <c r="O477" s="559"/>
    </row>
    <row r="478" spans="1:15" s="540" customFormat="1" ht="14.25" customHeight="1">
      <c r="A478" s="1536">
        <v>285</v>
      </c>
      <c r="B478" s="1537"/>
      <c r="C478" s="1538"/>
      <c r="D478" s="166" t="s">
        <v>1036</v>
      </c>
      <c r="E478" s="1468" t="s">
        <v>15</v>
      </c>
      <c r="F478" s="1468"/>
      <c r="G478" s="1540">
        <v>580000</v>
      </c>
      <c r="H478" s="1540">
        <v>524139.33600000001</v>
      </c>
      <c r="I478" s="1540"/>
      <c r="J478" s="1466">
        <f t="shared" si="18"/>
        <v>1104139.3359999999</v>
      </c>
      <c r="K478" s="1466"/>
      <c r="L478" s="1466"/>
      <c r="M478" s="1540">
        <f t="shared" si="19"/>
        <v>1104139.3359999999</v>
      </c>
      <c r="N478" s="166"/>
      <c r="O478" s="559"/>
    </row>
    <row r="479" spans="1:15" s="540" customFormat="1" ht="14.25" customHeight="1">
      <c r="A479" s="1536">
        <v>286</v>
      </c>
      <c r="B479" s="1537"/>
      <c r="C479" s="1538"/>
      <c r="D479" s="166" t="s">
        <v>1037</v>
      </c>
      <c r="E479" s="1468" t="s">
        <v>15</v>
      </c>
      <c r="F479" s="1468"/>
      <c r="G479" s="1540">
        <v>580000</v>
      </c>
      <c r="H479" s="1540">
        <v>635040.18900000001</v>
      </c>
      <c r="I479" s="1540"/>
      <c r="J479" s="1466">
        <f t="shared" si="18"/>
        <v>1215040.189</v>
      </c>
      <c r="K479" s="1466"/>
      <c r="L479" s="1466"/>
      <c r="M479" s="1540">
        <f t="shared" si="19"/>
        <v>1215040.189</v>
      </c>
      <c r="N479" s="166"/>
      <c r="O479" s="559"/>
    </row>
    <row r="480" spans="1:15" s="540" customFormat="1" ht="14.25" customHeight="1">
      <c r="A480" s="1536">
        <v>287</v>
      </c>
      <c r="B480" s="1537"/>
      <c r="C480" s="1538"/>
      <c r="D480" s="166" t="s">
        <v>1038</v>
      </c>
      <c r="E480" s="1468" t="s">
        <v>15</v>
      </c>
      <c r="F480" s="1468"/>
      <c r="G480" s="1540">
        <v>580000</v>
      </c>
      <c r="H480" s="1540">
        <v>635040.18900000001</v>
      </c>
      <c r="I480" s="1540"/>
      <c r="J480" s="1466">
        <f t="shared" si="18"/>
        <v>1215040.189</v>
      </c>
      <c r="K480" s="1466"/>
      <c r="L480" s="1466"/>
      <c r="M480" s="1540">
        <f t="shared" si="19"/>
        <v>1215040.189</v>
      </c>
      <c r="N480" s="166"/>
      <c r="O480" s="559"/>
    </row>
    <row r="481" spans="1:15" s="540" customFormat="1" ht="14.25" customHeight="1">
      <c r="A481" s="1536">
        <v>288</v>
      </c>
      <c r="B481" s="1537"/>
      <c r="C481" s="1538"/>
      <c r="D481" s="166" t="s">
        <v>1039</v>
      </c>
      <c r="E481" s="1468" t="s">
        <v>15</v>
      </c>
      <c r="F481" s="1468"/>
      <c r="G481" s="1540">
        <v>580000</v>
      </c>
      <c r="H481" s="1540">
        <v>554373.09900000005</v>
      </c>
      <c r="I481" s="1540"/>
      <c r="J481" s="1466">
        <f t="shared" si="18"/>
        <v>1134373.0989999999</v>
      </c>
      <c r="K481" s="1466"/>
      <c r="L481" s="1466"/>
      <c r="M481" s="1540">
        <f t="shared" si="19"/>
        <v>1134373.0989999999</v>
      </c>
      <c r="N481" s="166"/>
      <c r="O481" s="559"/>
    </row>
    <row r="482" spans="1:15" s="540" customFormat="1" ht="14.25" customHeight="1">
      <c r="A482" s="1536">
        <v>289</v>
      </c>
      <c r="B482" s="1537"/>
      <c r="C482" s="1538"/>
      <c r="D482" s="166" t="s">
        <v>1040</v>
      </c>
      <c r="E482" s="1468" t="s">
        <v>15</v>
      </c>
      <c r="F482" s="1468"/>
      <c r="G482" s="1540">
        <v>580000</v>
      </c>
      <c r="H482" s="1540">
        <v>584606.86199999996</v>
      </c>
      <c r="I482" s="1540"/>
      <c r="J482" s="1466">
        <f t="shared" si="18"/>
        <v>1164606.862</v>
      </c>
      <c r="K482" s="1466"/>
      <c r="L482" s="1466"/>
      <c r="M482" s="1540">
        <f t="shared" si="19"/>
        <v>1164606.862</v>
      </c>
      <c r="N482" s="166"/>
      <c r="O482" s="559"/>
    </row>
    <row r="483" spans="1:15" s="540" customFormat="1" ht="14.25" customHeight="1">
      <c r="A483" s="1536">
        <v>290</v>
      </c>
      <c r="B483" s="1537"/>
      <c r="C483" s="1538"/>
      <c r="D483" s="166" t="s">
        <v>1041</v>
      </c>
      <c r="E483" s="1468" t="s">
        <v>15</v>
      </c>
      <c r="F483" s="1468"/>
      <c r="G483" s="1540">
        <v>580000</v>
      </c>
      <c r="H483" s="1540">
        <v>635040.18900000001</v>
      </c>
      <c r="I483" s="1540"/>
      <c r="J483" s="1466">
        <f t="shared" si="18"/>
        <v>1215040.189</v>
      </c>
      <c r="K483" s="1466"/>
      <c r="L483" s="1466"/>
      <c r="M483" s="1540">
        <f t="shared" si="19"/>
        <v>1215040.189</v>
      </c>
      <c r="N483" s="166"/>
      <c r="O483" s="559"/>
    </row>
    <row r="484" spans="1:15" s="540" customFormat="1" ht="14.25" customHeight="1">
      <c r="A484" s="1536">
        <v>291</v>
      </c>
      <c r="B484" s="1537"/>
      <c r="C484" s="1538"/>
      <c r="D484" s="166" t="s">
        <v>1042</v>
      </c>
      <c r="E484" s="1468" t="s">
        <v>15</v>
      </c>
      <c r="F484" s="1468"/>
      <c r="G484" s="1540">
        <v>580000</v>
      </c>
      <c r="H484" s="1540">
        <v>524139.33600000001</v>
      </c>
      <c r="I484" s="1540"/>
      <c r="J484" s="1466">
        <f t="shared" si="18"/>
        <v>1104139.3359999999</v>
      </c>
      <c r="K484" s="1466"/>
      <c r="L484" s="1466"/>
      <c r="M484" s="1540">
        <f t="shared" si="19"/>
        <v>1104139.3359999999</v>
      </c>
      <c r="N484" s="166"/>
      <c r="O484" s="559"/>
    </row>
    <row r="485" spans="1:15" s="540" customFormat="1" ht="14.25" customHeight="1">
      <c r="A485" s="1536">
        <v>292</v>
      </c>
      <c r="B485" s="1537"/>
      <c r="C485" s="1538"/>
      <c r="D485" s="166" t="s">
        <v>1043</v>
      </c>
      <c r="E485" s="1468" t="s">
        <v>15</v>
      </c>
      <c r="F485" s="1468"/>
      <c r="G485" s="1540">
        <v>580000</v>
      </c>
      <c r="H485" s="1540">
        <v>635040.18900000001</v>
      </c>
      <c r="I485" s="1540"/>
      <c r="J485" s="1466">
        <f t="shared" si="18"/>
        <v>1215040.189</v>
      </c>
      <c r="K485" s="1466"/>
      <c r="L485" s="1466"/>
      <c r="M485" s="1540">
        <f t="shared" si="19"/>
        <v>1215040.189</v>
      </c>
      <c r="N485" s="166"/>
      <c r="O485" s="559"/>
    </row>
    <row r="486" spans="1:15" s="540" customFormat="1" ht="14.25" customHeight="1">
      <c r="A486" s="1536">
        <v>293</v>
      </c>
      <c r="B486" s="1537"/>
      <c r="C486" s="1538"/>
      <c r="D486" s="166" t="s">
        <v>1044</v>
      </c>
      <c r="E486" s="1468" t="s">
        <v>15</v>
      </c>
      <c r="F486" s="1468"/>
      <c r="G486" s="1540">
        <v>580000</v>
      </c>
      <c r="H486" s="1540">
        <v>635040.18900000001</v>
      </c>
      <c r="I486" s="1540"/>
      <c r="J486" s="1466">
        <f t="shared" ref="J486:J498" si="20">SUM(G486:I486)</f>
        <v>1215040.189</v>
      </c>
      <c r="K486" s="1466"/>
      <c r="L486" s="1466"/>
      <c r="M486" s="1540">
        <f t="shared" ref="M486:M498" si="21">J486-L486</f>
        <v>1215040.189</v>
      </c>
      <c r="N486" s="166"/>
      <c r="O486" s="559"/>
    </row>
    <row r="487" spans="1:15" s="540" customFormat="1" ht="14.25" customHeight="1">
      <c r="A487" s="1536">
        <v>294</v>
      </c>
      <c r="B487" s="1537"/>
      <c r="C487" s="1538"/>
      <c r="D487" s="166" t="s">
        <v>1045</v>
      </c>
      <c r="E487" s="1468" t="s">
        <v>15</v>
      </c>
      <c r="F487" s="1468"/>
      <c r="G487" s="1540">
        <v>580000</v>
      </c>
      <c r="H487" s="1540">
        <v>554373.09900000005</v>
      </c>
      <c r="I487" s="1540"/>
      <c r="J487" s="1466">
        <f t="shared" si="20"/>
        <v>1134373.0989999999</v>
      </c>
      <c r="K487" s="1466"/>
      <c r="L487" s="1466"/>
      <c r="M487" s="1540">
        <f t="shared" si="21"/>
        <v>1134373.0989999999</v>
      </c>
      <c r="N487" s="166"/>
      <c r="O487" s="559"/>
    </row>
    <row r="488" spans="1:15" s="540" customFormat="1" ht="14.25" customHeight="1">
      <c r="A488" s="1536">
        <v>295</v>
      </c>
      <c r="B488" s="1537"/>
      <c r="C488" s="1538"/>
      <c r="D488" s="166" t="s">
        <v>1046</v>
      </c>
      <c r="E488" s="1468" t="s">
        <v>15</v>
      </c>
      <c r="F488" s="1468"/>
      <c r="G488" s="1540">
        <v>580000</v>
      </c>
      <c r="H488" s="1540">
        <v>554373.09900000005</v>
      </c>
      <c r="I488" s="1540"/>
      <c r="J488" s="1466">
        <f t="shared" si="20"/>
        <v>1134373.0989999999</v>
      </c>
      <c r="K488" s="1466"/>
      <c r="L488" s="1466"/>
      <c r="M488" s="1540">
        <f t="shared" si="21"/>
        <v>1134373.0989999999</v>
      </c>
      <c r="N488" s="166"/>
      <c r="O488" s="559"/>
    </row>
    <row r="489" spans="1:15" s="540" customFormat="1" ht="14.25" customHeight="1">
      <c r="A489" s="1536">
        <v>296</v>
      </c>
      <c r="B489" s="1537"/>
      <c r="C489" s="1538"/>
      <c r="D489" s="166" t="s">
        <v>1047</v>
      </c>
      <c r="E489" s="1468" t="s">
        <v>15</v>
      </c>
      <c r="F489" s="1468"/>
      <c r="G489" s="1540">
        <v>580000</v>
      </c>
      <c r="H489" s="1540">
        <v>635040.18900000001</v>
      </c>
      <c r="I489" s="1540"/>
      <c r="J489" s="1466">
        <f t="shared" si="20"/>
        <v>1215040.189</v>
      </c>
      <c r="K489" s="1466"/>
      <c r="L489" s="1466"/>
      <c r="M489" s="1540">
        <f t="shared" si="21"/>
        <v>1215040.189</v>
      </c>
      <c r="N489" s="166"/>
      <c r="O489" s="559"/>
    </row>
    <row r="490" spans="1:15" s="540" customFormat="1" ht="14.25" customHeight="1">
      <c r="A490" s="1536">
        <v>297</v>
      </c>
      <c r="B490" s="1537"/>
      <c r="C490" s="1538"/>
      <c r="D490" s="166" t="s">
        <v>1048</v>
      </c>
      <c r="E490" s="1468" t="s">
        <v>15</v>
      </c>
      <c r="F490" s="1468"/>
      <c r="G490" s="1540">
        <v>580000</v>
      </c>
      <c r="H490" s="1540">
        <v>544338.9</v>
      </c>
      <c r="I490" s="1540"/>
      <c r="J490" s="1466">
        <f t="shared" si="20"/>
        <v>1124338.8999999999</v>
      </c>
      <c r="K490" s="1466"/>
      <c r="L490" s="1466"/>
      <c r="M490" s="1540">
        <f t="shared" si="21"/>
        <v>1124338.8999999999</v>
      </c>
      <c r="N490" s="166"/>
      <c r="O490" s="559"/>
    </row>
    <row r="491" spans="1:15" s="540" customFormat="1" ht="14.25" customHeight="1">
      <c r="A491" s="1536">
        <v>298</v>
      </c>
      <c r="B491" s="1537"/>
      <c r="C491" s="1538"/>
      <c r="D491" s="166" t="s">
        <v>1049</v>
      </c>
      <c r="E491" s="1468" t="s">
        <v>15</v>
      </c>
      <c r="F491" s="1468"/>
      <c r="G491" s="1540">
        <v>580000</v>
      </c>
      <c r="H491" s="1540">
        <v>574572.66299999994</v>
      </c>
      <c r="I491" s="1540"/>
      <c r="J491" s="1466">
        <f t="shared" si="20"/>
        <v>1154572.6629999999</v>
      </c>
      <c r="K491" s="1466"/>
      <c r="L491" s="1466"/>
      <c r="M491" s="1540">
        <f t="shared" si="21"/>
        <v>1154572.6629999999</v>
      </c>
      <c r="N491" s="166"/>
      <c r="O491" s="559"/>
    </row>
    <row r="492" spans="1:15" s="540" customFormat="1" ht="14.25" customHeight="1">
      <c r="A492" s="1536">
        <v>299</v>
      </c>
      <c r="B492" s="1537"/>
      <c r="C492" s="1538"/>
      <c r="D492" s="166" t="s">
        <v>1050</v>
      </c>
      <c r="E492" s="1468" t="s">
        <v>15</v>
      </c>
      <c r="F492" s="1468"/>
      <c r="G492" s="1540">
        <v>580000</v>
      </c>
      <c r="H492" s="1540">
        <v>604806.42599999998</v>
      </c>
      <c r="I492" s="1540"/>
      <c r="J492" s="1466">
        <f t="shared" si="20"/>
        <v>1184806.426</v>
      </c>
      <c r="K492" s="1466"/>
      <c r="L492" s="1466"/>
      <c r="M492" s="1540">
        <f t="shared" si="21"/>
        <v>1184806.426</v>
      </c>
      <c r="N492" s="166"/>
      <c r="O492" s="559"/>
    </row>
    <row r="493" spans="1:15" s="540" customFormat="1" ht="14.25" customHeight="1">
      <c r="A493" s="1536">
        <v>300</v>
      </c>
      <c r="B493" s="1537"/>
      <c r="C493" s="1538"/>
      <c r="D493" s="166" t="s">
        <v>657</v>
      </c>
      <c r="E493" s="1468" t="s">
        <v>15</v>
      </c>
      <c r="F493" s="1468"/>
      <c r="G493" s="1540">
        <v>580000</v>
      </c>
      <c r="H493" s="1540">
        <v>584606.86199999996</v>
      </c>
      <c r="I493" s="1540"/>
      <c r="J493" s="1466">
        <f t="shared" si="20"/>
        <v>1164606.862</v>
      </c>
      <c r="K493" s="1466"/>
      <c r="L493" s="1466"/>
      <c r="M493" s="1540">
        <f t="shared" si="21"/>
        <v>1164606.862</v>
      </c>
      <c r="N493" s="166"/>
      <c r="O493" s="559"/>
    </row>
    <row r="494" spans="1:15" s="540" customFormat="1" ht="14.25" customHeight="1">
      <c r="A494" s="1536">
        <v>301</v>
      </c>
      <c r="B494" s="1537"/>
      <c r="C494" s="1538"/>
      <c r="D494" s="166" t="s">
        <v>1032</v>
      </c>
      <c r="E494" s="1468" t="s">
        <v>15</v>
      </c>
      <c r="F494" s="1468"/>
      <c r="G494" s="1540">
        <v>580000</v>
      </c>
      <c r="H494" s="1540">
        <v>635040.18900000001</v>
      </c>
      <c r="I494" s="1540"/>
      <c r="J494" s="1466">
        <f t="shared" si="20"/>
        <v>1215040.189</v>
      </c>
      <c r="K494" s="1466"/>
      <c r="L494" s="1466"/>
      <c r="M494" s="1540">
        <f t="shared" si="21"/>
        <v>1215040.189</v>
      </c>
      <c r="N494" s="166"/>
      <c r="O494" s="559"/>
    </row>
    <row r="495" spans="1:15" s="540" customFormat="1" ht="14.25" customHeight="1">
      <c r="A495" s="1536">
        <v>302</v>
      </c>
      <c r="B495" s="1537"/>
      <c r="C495" s="1538"/>
      <c r="D495" s="166" t="s">
        <v>1033</v>
      </c>
      <c r="E495" s="1468" t="s">
        <v>15</v>
      </c>
      <c r="F495" s="1468"/>
      <c r="G495" s="1540">
        <v>580000</v>
      </c>
      <c r="H495" s="1540">
        <v>524139.33600000001</v>
      </c>
      <c r="I495" s="1540"/>
      <c r="J495" s="1466">
        <f t="shared" si="20"/>
        <v>1104139.3359999999</v>
      </c>
      <c r="K495" s="1466"/>
      <c r="L495" s="1466"/>
      <c r="M495" s="1540">
        <f t="shared" si="21"/>
        <v>1104139.3359999999</v>
      </c>
      <c r="N495" s="166"/>
      <c r="O495" s="559"/>
    </row>
    <row r="496" spans="1:15" s="540" customFormat="1" ht="14.25" customHeight="1">
      <c r="A496" s="1536">
        <v>303</v>
      </c>
      <c r="B496" s="1537"/>
      <c r="C496" s="1538"/>
      <c r="D496" s="166" t="s">
        <v>1034</v>
      </c>
      <c r="E496" s="1468" t="s">
        <v>15</v>
      </c>
      <c r="F496" s="1468"/>
      <c r="G496" s="1540">
        <v>580000</v>
      </c>
      <c r="H496" s="1540">
        <v>635040.18900000001</v>
      </c>
      <c r="I496" s="1540"/>
      <c r="J496" s="1466">
        <f t="shared" si="20"/>
        <v>1215040.189</v>
      </c>
      <c r="K496" s="1466"/>
      <c r="L496" s="1466"/>
      <c r="M496" s="1540">
        <f t="shared" si="21"/>
        <v>1215040.189</v>
      </c>
      <c r="N496" s="166"/>
      <c r="O496" s="559"/>
    </row>
    <row r="497" spans="1:15" s="540" customFormat="1" ht="14.25" customHeight="1">
      <c r="A497" s="1536">
        <v>304</v>
      </c>
      <c r="B497" s="1537"/>
      <c r="C497" s="1538"/>
      <c r="D497" s="166" t="s">
        <v>1035</v>
      </c>
      <c r="E497" s="1468" t="s">
        <v>15</v>
      </c>
      <c r="F497" s="1468"/>
      <c r="G497" s="1540">
        <v>580000</v>
      </c>
      <c r="H497" s="1540">
        <v>635040.18900000001</v>
      </c>
      <c r="I497" s="1540"/>
      <c r="J497" s="1466">
        <f t="shared" si="20"/>
        <v>1215040.189</v>
      </c>
      <c r="K497" s="1466"/>
      <c r="L497" s="1466"/>
      <c r="M497" s="1540">
        <f t="shared" si="21"/>
        <v>1215040.189</v>
      </c>
      <c r="N497" s="166"/>
      <c r="O497" s="559"/>
    </row>
    <row r="498" spans="1:15" s="540" customFormat="1" ht="14.25" customHeight="1">
      <c r="A498" s="1536">
        <v>305</v>
      </c>
      <c r="B498" s="1537"/>
      <c r="C498" s="1538"/>
      <c r="D498" s="166" t="s">
        <v>1036</v>
      </c>
      <c r="E498" s="1468" t="s">
        <v>15</v>
      </c>
      <c r="F498" s="1468"/>
      <c r="G498" s="1540">
        <v>580000</v>
      </c>
      <c r="H498" s="1540">
        <v>554373.09900000005</v>
      </c>
      <c r="I498" s="1540"/>
      <c r="J498" s="1466">
        <f t="shared" si="20"/>
        <v>1134373.0989999999</v>
      </c>
      <c r="K498" s="1466"/>
      <c r="L498" s="1466"/>
      <c r="M498" s="1540">
        <f t="shared" si="21"/>
        <v>1134373.0989999999</v>
      </c>
      <c r="N498" s="166"/>
      <c r="O498" s="559"/>
    </row>
    <row r="499" spans="1:15" s="540" customFormat="1" ht="14.25" customHeight="1">
      <c r="A499" s="1536">
        <v>306</v>
      </c>
      <c r="B499" s="1537"/>
      <c r="C499" s="1538"/>
      <c r="D499" s="166" t="s">
        <v>1037</v>
      </c>
      <c r="E499" s="1468" t="s">
        <v>15</v>
      </c>
      <c r="F499" s="1468"/>
      <c r="G499" s="1540">
        <v>580000</v>
      </c>
      <c r="H499" s="1540">
        <v>584606.86199999996</v>
      </c>
      <c r="I499" s="1540"/>
      <c r="J499" s="1466">
        <f t="shared" si="18"/>
        <v>1164606.862</v>
      </c>
      <c r="K499" s="1466"/>
      <c r="L499" s="1466"/>
      <c r="M499" s="1540">
        <f t="shared" si="19"/>
        <v>1164606.862</v>
      </c>
      <c r="N499" s="166"/>
      <c r="O499" s="559"/>
    </row>
    <row r="500" spans="1:15" s="540" customFormat="1" ht="14.25" customHeight="1">
      <c r="A500" s="1536">
        <v>307</v>
      </c>
      <c r="B500" s="1537"/>
      <c r="C500" s="1538"/>
      <c r="D500" s="166" t="s">
        <v>1038</v>
      </c>
      <c r="E500" s="1468" t="s">
        <v>15</v>
      </c>
      <c r="F500" s="1468"/>
      <c r="G500" s="1540">
        <v>580000</v>
      </c>
      <c r="H500" s="1540">
        <v>635040.18900000001</v>
      </c>
      <c r="I500" s="1540"/>
      <c r="J500" s="1466">
        <f t="shared" si="18"/>
        <v>1215040.189</v>
      </c>
      <c r="K500" s="1466"/>
      <c r="L500" s="1466"/>
      <c r="M500" s="1540">
        <f t="shared" si="19"/>
        <v>1215040.189</v>
      </c>
      <c r="N500" s="166"/>
      <c r="O500" s="559"/>
    </row>
    <row r="501" spans="1:15" s="540" customFormat="1" ht="14.25" customHeight="1">
      <c r="A501" s="1536">
        <v>308</v>
      </c>
      <c r="B501" s="1537"/>
      <c r="C501" s="1538"/>
      <c r="D501" s="166" t="s">
        <v>1039</v>
      </c>
      <c r="E501" s="1468" t="s">
        <v>15</v>
      </c>
      <c r="F501" s="1468"/>
      <c r="G501" s="1540">
        <v>580000</v>
      </c>
      <c r="H501" s="1540">
        <v>524139.33600000001</v>
      </c>
      <c r="I501" s="1540"/>
      <c r="J501" s="1466">
        <f t="shared" si="18"/>
        <v>1104139.3359999999</v>
      </c>
      <c r="K501" s="1466"/>
      <c r="L501" s="1466"/>
      <c r="M501" s="1540">
        <f t="shared" si="19"/>
        <v>1104139.3359999999</v>
      </c>
      <c r="N501" s="166"/>
      <c r="O501" s="559"/>
    </row>
    <row r="502" spans="1:15" s="540" customFormat="1" ht="14.25" customHeight="1">
      <c r="A502" s="1536">
        <v>309</v>
      </c>
      <c r="B502" s="1537"/>
      <c r="C502" s="1538"/>
      <c r="D502" s="166" t="s">
        <v>1040</v>
      </c>
      <c r="E502" s="1468" t="s">
        <v>15</v>
      </c>
      <c r="F502" s="1468"/>
      <c r="G502" s="1540">
        <v>580000</v>
      </c>
      <c r="H502" s="1540">
        <v>635040.18900000001</v>
      </c>
      <c r="I502" s="1540"/>
      <c r="J502" s="1466">
        <f t="shared" si="18"/>
        <v>1215040.189</v>
      </c>
      <c r="K502" s="1466"/>
      <c r="L502" s="1466"/>
      <c r="M502" s="1540">
        <f t="shared" si="19"/>
        <v>1215040.189</v>
      </c>
      <c r="N502" s="166"/>
      <c r="O502" s="559"/>
    </row>
    <row r="503" spans="1:15" s="540" customFormat="1" ht="14.25" customHeight="1">
      <c r="A503" s="1536">
        <v>310</v>
      </c>
      <c r="B503" s="1537"/>
      <c r="C503" s="1538"/>
      <c r="D503" s="166" t="s">
        <v>1051</v>
      </c>
      <c r="E503" s="1468" t="s">
        <v>15</v>
      </c>
      <c r="F503" s="1468"/>
      <c r="G503" s="1540">
        <v>580000</v>
      </c>
      <c r="H503" s="1540">
        <v>635040.18900000001</v>
      </c>
      <c r="I503" s="1540"/>
      <c r="J503" s="1466">
        <f t="shared" si="18"/>
        <v>1215040.189</v>
      </c>
      <c r="K503" s="1466"/>
      <c r="L503" s="1466"/>
      <c r="M503" s="1540">
        <f t="shared" si="19"/>
        <v>1215040.189</v>
      </c>
      <c r="N503" s="166"/>
      <c r="O503" s="559"/>
    </row>
    <row r="504" spans="1:15" s="540" customFormat="1" ht="14.25" customHeight="1">
      <c r="A504" s="1536">
        <v>311</v>
      </c>
      <c r="B504" s="1537"/>
      <c r="C504" s="1538"/>
      <c r="D504" s="166" t="s">
        <v>1052</v>
      </c>
      <c r="E504" s="1468" t="s">
        <v>15</v>
      </c>
      <c r="F504" s="1468"/>
      <c r="G504" s="1540">
        <v>580000</v>
      </c>
      <c r="H504" s="1540">
        <v>554373.09900000005</v>
      </c>
      <c r="I504" s="1540"/>
      <c r="J504" s="1466">
        <f t="shared" si="18"/>
        <v>1134373.0989999999</v>
      </c>
      <c r="K504" s="1466"/>
      <c r="L504" s="1466"/>
      <c r="M504" s="1540">
        <f t="shared" si="19"/>
        <v>1134373.0989999999</v>
      </c>
      <c r="N504" s="166"/>
      <c r="O504" s="559"/>
    </row>
    <row r="505" spans="1:15" s="540" customFormat="1" ht="14.25" customHeight="1">
      <c r="A505" s="1536">
        <v>312</v>
      </c>
      <c r="B505" s="1537"/>
      <c r="C505" s="1538"/>
      <c r="D505" s="166" t="s">
        <v>863</v>
      </c>
      <c r="E505" s="1468" t="s">
        <v>15</v>
      </c>
      <c r="F505" s="1468"/>
      <c r="G505" s="1540">
        <v>580000</v>
      </c>
      <c r="H505" s="1540">
        <v>554373.09900000005</v>
      </c>
      <c r="I505" s="1540"/>
      <c r="J505" s="1466">
        <f t="shared" si="18"/>
        <v>1134373.0989999999</v>
      </c>
      <c r="K505" s="1466"/>
      <c r="L505" s="1466"/>
      <c r="M505" s="1540">
        <f t="shared" si="19"/>
        <v>1134373.0989999999</v>
      </c>
      <c r="N505" s="166"/>
      <c r="O505" s="559"/>
    </row>
    <row r="506" spans="1:15" s="540" customFormat="1" ht="14.25" customHeight="1">
      <c r="A506" s="1536">
        <v>313</v>
      </c>
      <c r="B506" s="1537"/>
      <c r="C506" s="1538"/>
      <c r="D506" s="166" t="s">
        <v>1053</v>
      </c>
      <c r="E506" s="1468" t="s">
        <v>15</v>
      </c>
      <c r="F506" s="1468"/>
      <c r="G506" s="1540">
        <v>580000</v>
      </c>
      <c r="H506" s="1540">
        <v>635040.18900000001</v>
      </c>
      <c r="I506" s="1540"/>
      <c r="J506" s="1466">
        <f t="shared" si="18"/>
        <v>1215040.189</v>
      </c>
      <c r="K506" s="1466"/>
      <c r="L506" s="1466"/>
      <c r="M506" s="1540">
        <f t="shared" si="19"/>
        <v>1215040.189</v>
      </c>
      <c r="N506" s="166"/>
      <c r="O506" s="559"/>
    </row>
    <row r="507" spans="1:15" s="540" customFormat="1" ht="14.25" customHeight="1">
      <c r="A507" s="1536">
        <v>314</v>
      </c>
      <c r="B507" s="1537"/>
      <c r="C507" s="1538"/>
      <c r="D507" s="166" t="s">
        <v>1050</v>
      </c>
      <c r="E507" s="1468" t="s">
        <v>15</v>
      </c>
      <c r="F507" s="1468"/>
      <c r="G507" s="1540">
        <v>580000</v>
      </c>
      <c r="H507" s="1540">
        <v>544338.9</v>
      </c>
      <c r="I507" s="1540"/>
      <c r="J507" s="1466">
        <f t="shared" si="18"/>
        <v>1124338.8999999999</v>
      </c>
      <c r="K507" s="1466"/>
      <c r="L507" s="1466"/>
      <c r="M507" s="1540">
        <f t="shared" si="19"/>
        <v>1124338.8999999999</v>
      </c>
      <c r="N507" s="166"/>
      <c r="O507" s="559"/>
    </row>
    <row r="508" spans="1:15" s="540" customFormat="1" ht="14.25" customHeight="1">
      <c r="A508" s="1536">
        <v>315</v>
      </c>
      <c r="B508" s="1537"/>
      <c r="C508" s="1538"/>
      <c r="D508" s="166" t="s">
        <v>1054</v>
      </c>
      <c r="E508" s="1468" t="s">
        <v>15</v>
      </c>
      <c r="F508" s="1468"/>
      <c r="G508" s="1540">
        <v>580000</v>
      </c>
      <c r="H508" s="1540">
        <v>574572.66299999994</v>
      </c>
      <c r="I508" s="1540"/>
      <c r="J508" s="1466">
        <f t="shared" si="18"/>
        <v>1154572.6629999999</v>
      </c>
      <c r="K508" s="1466"/>
      <c r="L508" s="1466"/>
      <c r="M508" s="1540">
        <f t="shared" si="19"/>
        <v>1154572.6629999999</v>
      </c>
      <c r="N508" s="166"/>
      <c r="O508" s="559"/>
    </row>
    <row r="509" spans="1:15" s="540" customFormat="1" ht="14.25" customHeight="1">
      <c r="A509" s="1536">
        <v>316</v>
      </c>
      <c r="B509" s="1537"/>
      <c r="C509" s="1538"/>
      <c r="D509" s="166" t="s">
        <v>1055</v>
      </c>
      <c r="E509" s="1468" t="s">
        <v>15</v>
      </c>
      <c r="F509" s="1468"/>
      <c r="G509" s="1540">
        <v>580000</v>
      </c>
      <c r="H509" s="1540">
        <v>604806.42599999998</v>
      </c>
      <c r="I509" s="1540"/>
      <c r="J509" s="1466">
        <f t="shared" si="18"/>
        <v>1184806.426</v>
      </c>
      <c r="K509" s="1466"/>
      <c r="L509" s="1466"/>
      <c r="M509" s="1540">
        <f t="shared" si="19"/>
        <v>1184806.426</v>
      </c>
      <c r="N509" s="166"/>
      <c r="O509" s="559"/>
    </row>
    <row r="510" spans="1:15" s="540" customFormat="1" ht="14.25" customHeight="1">
      <c r="A510" s="1536">
        <v>317</v>
      </c>
      <c r="B510" s="1537"/>
      <c r="C510" s="1538"/>
      <c r="D510" s="166" t="s">
        <v>1056</v>
      </c>
      <c r="E510" s="1468" t="s">
        <v>15</v>
      </c>
      <c r="F510" s="1468"/>
      <c r="G510" s="1540">
        <v>580000</v>
      </c>
      <c r="H510" s="1540">
        <f>584606.862-O523</f>
        <v>667697.07911209401</v>
      </c>
      <c r="I510" s="1540"/>
      <c r="J510" s="1466">
        <f t="shared" si="18"/>
        <v>1247697.0791120899</v>
      </c>
      <c r="K510" s="1466"/>
      <c r="L510" s="1466"/>
      <c r="M510" s="1540">
        <f t="shared" si="19"/>
        <v>1247697.0791120899</v>
      </c>
      <c r="N510" s="166"/>
      <c r="O510" s="559"/>
    </row>
    <row r="511" spans="1:15" s="540" customFormat="1" ht="14.25" customHeight="1">
      <c r="A511" s="1536">
        <v>318</v>
      </c>
      <c r="B511" s="1537"/>
      <c r="C511" s="1538"/>
      <c r="D511" s="166" t="s">
        <v>1057</v>
      </c>
      <c r="E511" s="1468" t="s">
        <v>15</v>
      </c>
      <c r="F511" s="1468"/>
      <c r="G511" s="1540">
        <v>580000</v>
      </c>
      <c r="H511" s="1540">
        <v>635040.18900000001</v>
      </c>
      <c r="I511" s="1540"/>
      <c r="J511" s="1466">
        <f t="shared" si="18"/>
        <v>1215040.189</v>
      </c>
      <c r="K511" s="1466"/>
      <c r="L511" s="1466"/>
      <c r="M511" s="1540">
        <f t="shared" si="19"/>
        <v>1215040.189</v>
      </c>
      <c r="N511" s="166"/>
      <c r="O511" s="559"/>
    </row>
    <row r="512" spans="1:15" s="540" customFormat="1" ht="14.25" customHeight="1">
      <c r="A512" s="1536">
        <v>319</v>
      </c>
      <c r="B512" s="1537"/>
      <c r="C512" s="1538"/>
      <c r="D512" s="166" t="s">
        <v>1058</v>
      </c>
      <c r="E512" s="1468" t="s">
        <v>15</v>
      </c>
      <c r="F512" s="1468"/>
      <c r="G512" s="1540">
        <v>580000</v>
      </c>
      <c r="H512" s="1540">
        <v>524139.33600000001</v>
      </c>
      <c r="I512" s="1540"/>
      <c r="J512" s="1466">
        <f t="shared" ref="J512:J523" si="22">SUM(G512:I512)</f>
        <v>1104139.3359999999</v>
      </c>
      <c r="K512" s="1466"/>
      <c r="L512" s="1466"/>
      <c r="M512" s="1540">
        <f t="shared" ref="M512:M523" si="23">J512-L512</f>
        <v>1104139.3359999999</v>
      </c>
      <c r="N512" s="166"/>
      <c r="O512" s="559"/>
    </row>
    <row r="513" spans="1:18" s="540" customFormat="1" ht="14.25" customHeight="1">
      <c r="A513" s="1536">
        <v>320</v>
      </c>
      <c r="B513" s="1537"/>
      <c r="C513" s="1538"/>
      <c r="D513" s="166" t="s">
        <v>1059</v>
      </c>
      <c r="E513" s="1468" t="s">
        <v>15</v>
      </c>
      <c r="F513" s="1468"/>
      <c r="G513" s="1540">
        <v>580000</v>
      </c>
      <c r="H513" s="1540">
        <v>635040.18900000001</v>
      </c>
      <c r="I513" s="1540"/>
      <c r="J513" s="1466">
        <f t="shared" si="22"/>
        <v>1215040.189</v>
      </c>
      <c r="K513" s="1466"/>
      <c r="L513" s="1466"/>
      <c r="M513" s="1540">
        <f t="shared" si="23"/>
        <v>1215040.189</v>
      </c>
      <c r="N513" s="166"/>
      <c r="O513" s="559"/>
    </row>
    <row r="514" spans="1:18" s="540" customFormat="1" ht="14.25" customHeight="1">
      <c r="A514" s="1536">
        <v>321</v>
      </c>
      <c r="B514" s="1537"/>
      <c r="C514" s="1538"/>
      <c r="D514" s="166" t="s">
        <v>1060</v>
      </c>
      <c r="E514" s="1468" t="s">
        <v>15</v>
      </c>
      <c r="F514" s="1468"/>
      <c r="G514" s="1540">
        <v>580000</v>
      </c>
      <c r="H514" s="1540">
        <v>635040.18900000001</v>
      </c>
      <c r="I514" s="1540"/>
      <c r="J514" s="1466">
        <f t="shared" si="22"/>
        <v>1215040.189</v>
      </c>
      <c r="K514" s="1466"/>
      <c r="L514" s="1466"/>
      <c r="M514" s="1540">
        <f t="shared" si="23"/>
        <v>1215040.189</v>
      </c>
      <c r="N514" s="166"/>
      <c r="O514" s="559"/>
    </row>
    <row r="515" spans="1:18" s="540" customFormat="1" ht="14.25" customHeight="1">
      <c r="A515" s="1536">
        <v>322</v>
      </c>
      <c r="B515" s="1537"/>
      <c r="C515" s="1538"/>
      <c r="D515" s="166" t="s">
        <v>1061</v>
      </c>
      <c r="E515" s="1468" t="s">
        <v>15</v>
      </c>
      <c r="F515" s="1468"/>
      <c r="G515" s="1540">
        <v>580000</v>
      </c>
      <c r="H515" s="1540">
        <v>554373.09900000005</v>
      </c>
      <c r="I515" s="1540"/>
      <c r="J515" s="1466">
        <f t="shared" si="22"/>
        <v>1134373.0989999999</v>
      </c>
      <c r="K515" s="1466"/>
      <c r="L515" s="1466"/>
      <c r="M515" s="1540">
        <f t="shared" si="23"/>
        <v>1134373.0989999999</v>
      </c>
      <c r="N515" s="166"/>
      <c r="O515" s="559"/>
    </row>
    <row r="516" spans="1:18" s="540" customFormat="1" ht="14.25" customHeight="1">
      <c r="A516" s="1536">
        <v>323</v>
      </c>
      <c r="B516" s="1537"/>
      <c r="C516" s="1538"/>
      <c r="D516" s="166" t="s">
        <v>1062</v>
      </c>
      <c r="E516" s="1468" t="s">
        <v>15</v>
      </c>
      <c r="F516" s="1468"/>
      <c r="G516" s="1540">
        <v>580000</v>
      </c>
      <c r="H516" s="1540">
        <v>684606.86199999996</v>
      </c>
      <c r="I516" s="1540"/>
      <c r="J516" s="1466">
        <f t="shared" si="22"/>
        <v>1264606.862</v>
      </c>
      <c r="K516" s="1466"/>
      <c r="L516" s="1466"/>
      <c r="M516" s="1540">
        <f t="shared" si="23"/>
        <v>1264606.862</v>
      </c>
      <c r="N516" s="166"/>
      <c r="O516" s="559"/>
    </row>
    <row r="517" spans="1:18" s="540" customFormat="1" ht="14.25" customHeight="1">
      <c r="A517" s="1536">
        <v>324</v>
      </c>
      <c r="B517" s="1537"/>
      <c r="C517" s="1538"/>
      <c r="D517" s="166" t="s">
        <v>540</v>
      </c>
      <c r="E517" s="1468" t="s">
        <v>15</v>
      </c>
      <c r="F517" s="1468"/>
      <c r="G517" s="1540">
        <v>580000</v>
      </c>
      <c r="H517" s="1540">
        <v>635040.18900000001</v>
      </c>
      <c r="I517" s="1540"/>
      <c r="J517" s="1466">
        <f t="shared" si="22"/>
        <v>1215040.189</v>
      </c>
      <c r="K517" s="1466"/>
      <c r="L517" s="1466"/>
      <c r="M517" s="1540">
        <f t="shared" si="23"/>
        <v>1215040.189</v>
      </c>
      <c r="N517" s="166"/>
      <c r="O517" s="559"/>
    </row>
    <row r="518" spans="1:18" s="540" customFormat="1" ht="14.25" customHeight="1">
      <c r="A518" s="1536">
        <v>325</v>
      </c>
      <c r="B518" s="1537"/>
      <c r="C518" s="1538"/>
      <c r="D518" s="166" t="s">
        <v>1063</v>
      </c>
      <c r="E518" s="1468" t="s">
        <v>15</v>
      </c>
      <c r="F518" s="1468"/>
      <c r="G518" s="1540">
        <v>580000</v>
      </c>
      <c r="H518" s="1540">
        <v>624139.33600000001</v>
      </c>
      <c r="I518" s="1540"/>
      <c r="J518" s="1466">
        <f t="shared" si="22"/>
        <v>1204139.3359999999</v>
      </c>
      <c r="K518" s="1466"/>
      <c r="L518" s="1466"/>
      <c r="M518" s="1540">
        <f t="shared" si="23"/>
        <v>1204139.3359999999</v>
      </c>
      <c r="N518" s="166"/>
      <c r="O518" s="559"/>
    </row>
    <row r="519" spans="1:18" s="540" customFormat="1" ht="14.25" customHeight="1">
      <c r="A519" s="1536">
        <v>326</v>
      </c>
      <c r="B519" s="1537"/>
      <c r="C519" s="1538"/>
      <c r="D519" s="166" t="s">
        <v>1064</v>
      </c>
      <c r="E519" s="1468" t="s">
        <v>15</v>
      </c>
      <c r="F519" s="1468"/>
      <c r="G519" s="1540">
        <v>580000</v>
      </c>
      <c r="H519" s="1540">
        <v>635040.18900000001</v>
      </c>
      <c r="I519" s="1540"/>
      <c r="J519" s="1466">
        <f t="shared" si="22"/>
        <v>1215040.189</v>
      </c>
      <c r="K519" s="1466"/>
      <c r="L519" s="1466"/>
      <c r="M519" s="1540">
        <f t="shared" si="23"/>
        <v>1215040.189</v>
      </c>
      <c r="N519" s="166"/>
      <c r="O519" s="559"/>
    </row>
    <row r="520" spans="1:18" s="540" customFormat="1" ht="14.25" customHeight="1">
      <c r="A520" s="1536">
        <v>327</v>
      </c>
      <c r="B520" s="1537"/>
      <c r="C520" s="1538"/>
      <c r="D520" s="166" t="s">
        <v>1040</v>
      </c>
      <c r="E520" s="1468" t="s">
        <v>15</v>
      </c>
      <c r="F520" s="1468"/>
      <c r="G520" s="1540">
        <v>580000</v>
      </c>
      <c r="H520" s="1540">
        <v>635040.18900000001</v>
      </c>
      <c r="I520" s="1540"/>
      <c r="J520" s="1466">
        <f t="shared" si="22"/>
        <v>1215040.189</v>
      </c>
      <c r="K520" s="1466"/>
      <c r="L520" s="1466"/>
      <c r="M520" s="1540">
        <f t="shared" si="23"/>
        <v>1215040.189</v>
      </c>
      <c r="N520" s="166"/>
      <c r="O520" s="559"/>
    </row>
    <row r="521" spans="1:18" s="540" customFormat="1" ht="14.25" customHeight="1">
      <c r="A521" s="1536">
        <v>328</v>
      </c>
      <c r="B521" s="1537"/>
      <c r="C521" s="1538"/>
      <c r="D521" s="166" t="s">
        <v>1065</v>
      </c>
      <c r="E521" s="1468" t="s">
        <v>15</v>
      </c>
      <c r="F521" s="1468"/>
      <c r="G521" s="1540">
        <f>81000+580000</f>
        <v>661000</v>
      </c>
      <c r="H521" s="1540">
        <v>554373.09900000005</v>
      </c>
      <c r="I521" s="1540"/>
      <c r="J521" s="1466">
        <f t="shared" si="22"/>
        <v>1215373.0989999999</v>
      </c>
      <c r="K521" s="1466"/>
      <c r="L521" s="1466"/>
      <c r="M521" s="1540">
        <f t="shared" si="23"/>
        <v>1215373.0989999999</v>
      </c>
      <c r="N521" s="166"/>
      <c r="O521" s="559"/>
    </row>
    <row r="522" spans="1:18" s="540" customFormat="1" ht="14.25" customHeight="1">
      <c r="A522" s="1536">
        <v>329</v>
      </c>
      <c r="B522" s="1537"/>
      <c r="C522" s="1538"/>
      <c r="D522" s="166" t="s">
        <v>1066</v>
      </c>
      <c r="E522" s="1468" t="s">
        <v>15</v>
      </c>
      <c r="F522" s="1468"/>
      <c r="G522" s="1540"/>
      <c r="H522" s="1540">
        <v>1264606.862</v>
      </c>
      <c r="I522" s="1540"/>
      <c r="J522" s="1466">
        <f t="shared" si="22"/>
        <v>1264606.862</v>
      </c>
      <c r="K522" s="1466"/>
      <c r="L522" s="1466"/>
      <c r="M522" s="1540">
        <f t="shared" si="23"/>
        <v>1264606.862</v>
      </c>
      <c r="N522" s="166"/>
      <c r="O522" s="559"/>
    </row>
    <row r="523" spans="1:18" s="540" customFormat="1" ht="14.25" customHeight="1">
      <c r="A523" s="1536">
        <v>330</v>
      </c>
      <c r="B523" s="1537"/>
      <c r="C523" s="1538"/>
      <c r="D523" s="166" t="s">
        <v>1067</v>
      </c>
      <c r="E523" s="1468" t="s">
        <v>15</v>
      </c>
      <c r="F523" s="1468"/>
      <c r="G523" s="1540"/>
      <c r="H523" s="1540">
        <v>1215040.189</v>
      </c>
      <c r="I523" s="1540"/>
      <c r="J523" s="1466">
        <f t="shared" si="22"/>
        <v>1215040.189</v>
      </c>
      <c r="K523" s="1466"/>
      <c r="L523" s="1466"/>
      <c r="M523" s="1540">
        <f t="shared" si="23"/>
        <v>1215040.189</v>
      </c>
      <c r="N523" s="166"/>
      <c r="O523" s="559">
        <v>-83090.217112094004</v>
      </c>
      <c r="P523" s="540">
        <v>87312.681000009194</v>
      </c>
    </row>
    <row r="524" spans="1:18" s="540" customFormat="1" ht="14.25" customHeight="1">
      <c r="A524" s="1543" t="s">
        <v>520</v>
      </c>
      <c r="B524" s="1537" t="e">
        <f>VLOOKUP(A524,'[2]DS CN MOI UP'!$B$11:$C$447,2,0)</f>
        <v>#N/A</v>
      </c>
      <c r="C524" s="1543"/>
      <c r="E524" s="1543"/>
      <c r="F524" s="1543"/>
      <c r="G524" s="1546">
        <f t="shared" ref="G524:M524" si="24">SUM(G194:G523)</f>
        <v>70089000</v>
      </c>
      <c r="H524" s="1546">
        <f t="shared" si="24"/>
        <v>239603651.39288199</v>
      </c>
      <c r="I524" s="1546">
        <f t="shared" si="24"/>
        <v>75829320</v>
      </c>
      <c r="J524" s="1546">
        <f t="shared" si="24"/>
        <v>385521971.39288199</v>
      </c>
      <c r="K524" s="1546">
        <f t="shared" si="24"/>
        <v>0</v>
      </c>
      <c r="L524" s="1546">
        <f t="shared" si="24"/>
        <v>0</v>
      </c>
      <c r="M524" s="1546">
        <f t="shared" si="24"/>
        <v>385521971.39288199</v>
      </c>
      <c r="N524" s="166"/>
      <c r="O524" s="559">
        <f>'LƯƠNG CNTT'!G93</f>
        <v>0</v>
      </c>
      <c r="P524" s="559">
        <f>'LƯƠNG CNTT'!H93</f>
        <v>254121173</v>
      </c>
      <c r="Q524" s="559">
        <f>'LƯƠNG CNTT'!I93</f>
        <v>124264846</v>
      </c>
      <c r="R524" s="559">
        <f>'LƯƠNG CNTT'!J93</f>
        <v>378386019</v>
      </c>
    </row>
    <row r="525" spans="1:18" s="540" customFormat="1" ht="14.25" customHeight="1">
      <c r="A525" s="1547">
        <v>1</v>
      </c>
      <c r="B525" s="1537" t="str">
        <f>VLOOKUP(D525,'[2]DS CN MOI UP'!$B$11:$C$447,2,0)</f>
        <v>02483</v>
      </c>
      <c r="C525" s="1538" t="s">
        <v>1068</v>
      </c>
      <c r="D525" s="1468" t="s">
        <v>53</v>
      </c>
      <c r="E525" s="1468" t="s">
        <v>15</v>
      </c>
      <c r="F525" s="1468"/>
      <c r="G525" s="1540">
        <v>60000</v>
      </c>
      <c r="H525" s="1540">
        <v>554373.09900000005</v>
      </c>
      <c r="I525" s="1540">
        <v>524139.33600000001</v>
      </c>
      <c r="J525" s="1466">
        <f t="shared" ref="J525:J779" si="25">SUM(G525:I525)</f>
        <v>1138512.4350000001</v>
      </c>
      <c r="K525" s="1466"/>
      <c r="L525" s="1466"/>
      <c r="M525" s="1540">
        <f t="shared" ref="M525:M670" si="26">J525-L525</f>
        <v>1138512.4350000001</v>
      </c>
      <c r="N525" s="166"/>
      <c r="O525" s="559">
        <f>+G524-O524</f>
        <v>70089000</v>
      </c>
      <c r="P525" s="559">
        <f>+H524-P524</f>
        <v>-14517521.607118011</v>
      </c>
      <c r="Q525" s="559">
        <f>+I524-Q524</f>
        <v>-48435526</v>
      </c>
    </row>
    <row r="526" spans="1:18" s="540" customFormat="1" ht="14.25" customHeight="1">
      <c r="A526" s="1536">
        <v>2</v>
      </c>
      <c r="B526" s="1537"/>
      <c r="C526" s="1538" t="s">
        <v>648</v>
      </c>
      <c r="D526" s="1539" t="s">
        <v>490</v>
      </c>
      <c r="E526" s="166" t="s">
        <v>15</v>
      </c>
      <c r="F526" s="166"/>
      <c r="G526" s="1540">
        <v>40000</v>
      </c>
      <c r="H526" s="1540">
        <v>554373.09900000005</v>
      </c>
      <c r="I526" s="1540">
        <v>524139.33600000001</v>
      </c>
      <c r="J526" s="1466">
        <f t="shared" si="25"/>
        <v>1118512.4350000001</v>
      </c>
      <c r="K526" s="1466"/>
      <c r="L526" s="1540"/>
      <c r="M526" s="1540">
        <f t="shared" si="26"/>
        <v>1118512.4350000001</v>
      </c>
      <c r="N526" s="1539"/>
      <c r="O526" s="559"/>
    </row>
    <row r="527" spans="1:18" s="540" customFormat="1" ht="14.25" customHeight="1">
      <c r="A527" s="1547">
        <v>3</v>
      </c>
      <c r="B527" s="1537" t="str">
        <f>VLOOKUP(D527,'[2]DS CN MOI UP'!$B$11:$C$447,2,0)</f>
        <v>02485</v>
      </c>
      <c r="C527" s="1538" t="s">
        <v>650</v>
      </c>
      <c r="D527" s="1539" t="s">
        <v>31</v>
      </c>
      <c r="E527" s="166" t="s">
        <v>15</v>
      </c>
      <c r="F527" s="166"/>
      <c r="G527" s="1540">
        <v>40000</v>
      </c>
      <c r="H527" s="1540">
        <v>554373.09900000005</v>
      </c>
      <c r="I527" s="1540">
        <v>524139.33600000001</v>
      </c>
      <c r="J527" s="1466">
        <f t="shared" si="25"/>
        <v>1118512.4350000001</v>
      </c>
      <c r="K527" s="1466"/>
      <c r="L527" s="1540"/>
      <c r="M527" s="1540">
        <f t="shared" si="26"/>
        <v>1118512.4350000001</v>
      </c>
      <c r="N527" s="1539"/>
      <c r="O527" s="559">
        <v>142539000</v>
      </c>
      <c r="P527" s="540">
        <v>312111149.66973799</v>
      </c>
      <c r="Q527" s="540">
        <v>55661014.082999997</v>
      </c>
      <c r="R527" s="540">
        <v>510311163.752738</v>
      </c>
    </row>
    <row r="528" spans="1:18" s="540" customFormat="1" ht="14.25" customHeight="1">
      <c r="A528" s="1547">
        <v>4</v>
      </c>
      <c r="B528" s="1537" t="str">
        <f>VLOOKUP(D528,'[2]DS CN MOI UP'!$B$11:$C$447,2,0)</f>
        <v>02486</v>
      </c>
      <c r="C528" s="1538" t="s">
        <v>651</v>
      </c>
      <c r="D528" s="1539" t="s">
        <v>65</v>
      </c>
      <c r="E528" s="166" t="s">
        <v>15</v>
      </c>
      <c r="F528" s="166"/>
      <c r="G528" s="1540">
        <v>40000</v>
      </c>
      <c r="H528" s="1540">
        <v>554373.09900000005</v>
      </c>
      <c r="I528" s="1540">
        <v>524139.33600000001</v>
      </c>
      <c r="J528" s="1466">
        <f t="shared" si="25"/>
        <v>1118512.4350000001</v>
      </c>
      <c r="K528" s="1466"/>
      <c r="L528" s="1540"/>
      <c r="M528" s="1540">
        <f t="shared" si="26"/>
        <v>1118512.4350000001</v>
      </c>
      <c r="N528" s="1539"/>
      <c r="O528" s="559"/>
    </row>
    <row r="529" spans="1:15" s="540" customFormat="1" ht="14.25" customHeight="1">
      <c r="A529" s="1536">
        <v>5</v>
      </c>
      <c r="B529" s="1537" t="str">
        <f>VLOOKUP(D529,'[2]DS CN MOI UP'!$B$11:$C$447,2,0)</f>
        <v>02487</v>
      </c>
      <c r="C529" s="1538" t="s">
        <v>651</v>
      </c>
      <c r="D529" s="1539" t="s">
        <v>32</v>
      </c>
      <c r="E529" s="166" t="s">
        <v>15</v>
      </c>
      <c r="F529" s="166"/>
      <c r="G529" s="1540">
        <v>40000</v>
      </c>
      <c r="H529" s="1540">
        <v>635040.18900000001</v>
      </c>
      <c r="I529" s="1540">
        <v>524139.33600000001</v>
      </c>
      <c r="J529" s="1466">
        <f t="shared" si="25"/>
        <v>1199179.5249999999</v>
      </c>
      <c r="K529" s="1466"/>
      <c r="L529" s="1540"/>
      <c r="M529" s="1540">
        <f t="shared" si="26"/>
        <v>1199179.5249999999</v>
      </c>
      <c r="N529" s="1539"/>
      <c r="O529" s="559"/>
    </row>
    <row r="530" spans="1:15" s="540" customFormat="1" ht="14.25" customHeight="1">
      <c r="A530" s="1547">
        <v>6</v>
      </c>
      <c r="B530" s="1537" t="str">
        <f>VLOOKUP(D530,'[2]DS CN MOI UP'!$B$11:$C$447,2,0)</f>
        <v>02488</v>
      </c>
      <c r="C530" s="1538" t="s">
        <v>651</v>
      </c>
      <c r="D530" s="1539" t="s">
        <v>35</v>
      </c>
      <c r="E530" s="166" t="s">
        <v>15</v>
      </c>
      <c r="F530" s="166"/>
      <c r="G530" s="1540">
        <v>40000</v>
      </c>
      <c r="H530" s="1540">
        <v>544338.9</v>
      </c>
      <c r="I530" s="1540">
        <v>524139.33600000001</v>
      </c>
      <c r="J530" s="1466">
        <f t="shared" si="25"/>
        <v>1108478.236</v>
      </c>
      <c r="K530" s="1466"/>
      <c r="L530" s="1540"/>
      <c r="M530" s="1540">
        <f t="shared" si="26"/>
        <v>1108478.236</v>
      </c>
      <c r="N530" s="1539"/>
      <c r="O530" s="559"/>
    </row>
    <row r="531" spans="1:15" s="540" customFormat="1" ht="14.25" customHeight="1">
      <c r="A531" s="1547">
        <v>7</v>
      </c>
      <c r="B531" s="1537" t="e">
        <f>VLOOKUP(D531,'[2]DS CN MOI UP'!$B$11:$C$447,2,0)</f>
        <v>#N/A</v>
      </c>
      <c r="C531" s="1538" t="s">
        <v>651</v>
      </c>
      <c r="D531" s="1539" t="s">
        <v>1069</v>
      </c>
      <c r="E531" s="166" t="s">
        <v>15</v>
      </c>
      <c r="F531" s="166"/>
      <c r="G531" s="1540">
        <v>40000</v>
      </c>
      <c r="H531" s="1540">
        <v>574572.66299999994</v>
      </c>
      <c r="I531" s="1540">
        <v>524139.33600000001</v>
      </c>
      <c r="J531" s="1466">
        <f t="shared" si="25"/>
        <v>1138711.9990000001</v>
      </c>
      <c r="K531" s="1466"/>
      <c r="L531" s="1540"/>
      <c r="M531" s="1540">
        <f t="shared" si="26"/>
        <v>1138711.9990000001</v>
      </c>
      <c r="N531" s="1539"/>
      <c r="O531" s="559"/>
    </row>
    <row r="532" spans="1:15" s="540" customFormat="1" ht="14.25" customHeight="1">
      <c r="A532" s="1536">
        <v>8</v>
      </c>
      <c r="B532" s="1537" t="e">
        <f>VLOOKUP(D532,'[2]DS CN MOI UP'!$B$11:$C$447,2,0)</f>
        <v>#N/A</v>
      </c>
      <c r="C532" s="1538" t="s">
        <v>651</v>
      </c>
      <c r="D532" s="1539" t="s">
        <v>1070</v>
      </c>
      <c r="E532" s="166" t="s">
        <v>15</v>
      </c>
      <c r="F532" s="166"/>
      <c r="G532" s="1540">
        <v>40000</v>
      </c>
      <c r="H532" s="1540">
        <v>604806.42599999998</v>
      </c>
      <c r="I532" s="1540">
        <v>524139.33600000001</v>
      </c>
      <c r="J532" s="1466">
        <f t="shared" si="25"/>
        <v>1168945.7620000001</v>
      </c>
      <c r="K532" s="1466"/>
      <c r="L532" s="1540"/>
      <c r="M532" s="1540">
        <f t="shared" si="26"/>
        <v>1168945.7620000001</v>
      </c>
      <c r="N532" s="1539"/>
      <c r="O532" s="559"/>
    </row>
    <row r="533" spans="1:15" s="540" customFormat="1" ht="14.25" customHeight="1">
      <c r="A533" s="1547">
        <v>9</v>
      </c>
      <c r="B533" s="1537" t="str">
        <f>VLOOKUP(D533,'[2]DS CN MOI UP'!$B$11:$C$447,2,0)</f>
        <v>02491</v>
      </c>
      <c r="C533" s="1538" t="s">
        <v>651</v>
      </c>
      <c r="D533" s="1539" t="s">
        <v>62</v>
      </c>
      <c r="E533" s="166" t="s">
        <v>15</v>
      </c>
      <c r="F533" s="166"/>
      <c r="G533" s="1540">
        <v>40000</v>
      </c>
      <c r="H533" s="1540">
        <v>584606.86199999996</v>
      </c>
      <c r="I533" s="1540">
        <v>524139.33600000001</v>
      </c>
      <c r="J533" s="1466">
        <f t="shared" si="25"/>
        <v>1148746.1980000001</v>
      </c>
      <c r="K533" s="1466"/>
      <c r="L533" s="1540"/>
      <c r="M533" s="1540">
        <f t="shared" si="26"/>
        <v>1148746.1980000001</v>
      </c>
      <c r="N533" s="1539"/>
      <c r="O533" s="559"/>
    </row>
    <row r="534" spans="1:15" s="540" customFormat="1" ht="14.25" customHeight="1">
      <c r="A534" s="1547">
        <v>10</v>
      </c>
      <c r="B534" s="1537" t="e">
        <f>VLOOKUP(D534,'[2]DS CN MOI UP'!$B$11:$C$447,2,0)</f>
        <v>#N/A</v>
      </c>
      <c r="C534" s="1538" t="s">
        <v>651</v>
      </c>
      <c r="D534" s="1539" t="s">
        <v>1071</v>
      </c>
      <c r="E534" s="166" t="s">
        <v>15</v>
      </c>
      <c r="F534" s="166"/>
      <c r="G534" s="1540">
        <v>40000</v>
      </c>
      <c r="H534" s="1540">
        <v>635040.18900000001</v>
      </c>
      <c r="I534" s="1540">
        <v>524139.33600000001</v>
      </c>
      <c r="J534" s="1466">
        <f t="shared" si="25"/>
        <v>1199179.5249999999</v>
      </c>
      <c r="K534" s="1466"/>
      <c r="L534" s="1540"/>
      <c r="M534" s="1540">
        <f t="shared" si="26"/>
        <v>1199179.5249999999</v>
      </c>
      <c r="N534" s="1539"/>
      <c r="O534" s="559"/>
    </row>
    <row r="535" spans="1:15" s="540" customFormat="1" ht="14.25" customHeight="1">
      <c r="A535" s="1536">
        <v>11</v>
      </c>
      <c r="B535" s="1537" t="str">
        <f>VLOOKUP(D535,'[2]DS CN MOI UP'!$B$11:$C$447,2,0)</f>
        <v>02493</v>
      </c>
      <c r="C535" s="1538" t="s">
        <v>651</v>
      </c>
      <c r="D535" s="1539" t="s">
        <v>26</v>
      </c>
      <c r="E535" s="166" t="s">
        <v>15</v>
      </c>
      <c r="F535" s="166"/>
      <c r="G535" s="1540">
        <v>40000</v>
      </c>
      <c r="H535" s="1540">
        <v>524139.33600000001</v>
      </c>
      <c r="I535" s="1540">
        <v>524139.33600000001</v>
      </c>
      <c r="J535" s="1466">
        <f t="shared" si="25"/>
        <v>1088278.672</v>
      </c>
      <c r="K535" s="1466"/>
      <c r="L535" s="1540"/>
      <c r="M535" s="1540">
        <f t="shared" si="26"/>
        <v>1088278.672</v>
      </c>
      <c r="N535" s="1539"/>
      <c r="O535" s="559"/>
    </row>
    <row r="536" spans="1:15" s="540" customFormat="1" ht="14.25" customHeight="1">
      <c r="A536" s="1547">
        <v>12</v>
      </c>
      <c r="B536" s="1537" t="e">
        <f>VLOOKUP(D536,'[2]DS CN MOI UP'!$B$11:$C$447,2,0)</f>
        <v>#N/A</v>
      </c>
      <c r="C536" s="1538" t="s">
        <v>651</v>
      </c>
      <c r="D536" s="1539" t="s">
        <v>1072</v>
      </c>
      <c r="E536" s="166" t="s">
        <v>15</v>
      </c>
      <c r="F536" s="166"/>
      <c r="G536" s="1540">
        <v>40000</v>
      </c>
      <c r="H536" s="1540">
        <v>635040.18900000001</v>
      </c>
      <c r="I536" s="1540">
        <v>524139.33600000001</v>
      </c>
      <c r="J536" s="1466">
        <f t="shared" si="25"/>
        <v>1199179.5249999999</v>
      </c>
      <c r="K536" s="1466"/>
      <c r="L536" s="1540"/>
      <c r="M536" s="1540">
        <f t="shared" si="26"/>
        <v>1199179.5249999999</v>
      </c>
      <c r="N536" s="1539"/>
      <c r="O536" s="559"/>
    </row>
    <row r="537" spans="1:15" s="540" customFormat="1" ht="14.25" customHeight="1">
      <c r="A537" s="1547">
        <v>13</v>
      </c>
      <c r="B537" s="1537" t="str">
        <f>VLOOKUP(D537,'[2]DS CN MOI UP'!$B$11:$C$447,2,0)</f>
        <v>02496</v>
      </c>
      <c r="C537" s="1538" t="s">
        <v>651</v>
      </c>
      <c r="D537" s="1539" t="s">
        <v>98</v>
      </c>
      <c r="E537" s="166" t="s">
        <v>15</v>
      </c>
      <c r="F537" s="166"/>
      <c r="G537" s="1540">
        <v>40000</v>
      </c>
      <c r="H537" s="1540">
        <v>635040.18900000001</v>
      </c>
      <c r="I537" s="1540">
        <v>524139.33600000001</v>
      </c>
      <c r="J537" s="1466">
        <f t="shared" si="25"/>
        <v>1199179.5249999999</v>
      </c>
      <c r="K537" s="1466"/>
      <c r="L537" s="1540"/>
      <c r="M537" s="1540">
        <f t="shared" si="26"/>
        <v>1199179.5249999999</v>
      </c>
      <c r="N537" s="1539"/>
      <c r="O537" s="559"/>
    </row>
    <row r="538" spans="1:15" s="540" customFormat="1" ht="14.25" customHeight="1">
      <c r="A538" s="1536">
        <v>14</v>
      </c>
      <c r="B538" s="1537" t="str">
        <f>VLOOKUP(D538,'[2]DS CN MOI UP'!$B$11:$C$447,2,0)</f>
        <v>02497</v>
      </c>
      <c r="C538" s="1538" t="s">
        <v>651</v>
      </c>
      <c r="D538" s="1539" t="s">
        <v>102</v>
      </c>
      <c r="E538" s="166" t="s">
        <v>15</v>
      </c>
      <c r="F538" s="166"/>
      <c r="G538" s="1540">
        <v>40000</v>
      </c>
      <c r="H538" s="1540">
        <v>554373.09900000005</v>
      </c>
      <c r="I538" s="1540">
        <v>524139.33600000001</v>
      </c>
      <c r="J538" s="1466">
        <f t="shared" si="25"/>
        <v>1118512.4350000001</v>
      </c>
      <c r="K538" s="1466"/>
      <c r="L538" s="1540"/>
      <c r="M538" s="1540">
        <f t="shared" si="26"/>
        <v>1118512.4350000001</v>
      </c>
      <c r="N538" s="1539"/>
      <c r="O538" s="559"/>
    </row>
    <row r="539" spans="1:15" s="540" customFormat="1" ht="14.25" customHeight="1">
      <c r="A539" s="1547">
        <v>15</v>
      </c>
      <c r="B539" s="1537" t="str">
        <f>VLOOKUP(D539,'[2]DS CN MOI UP'!$B$11:$C$447,2,0)</f>
        <v>02498</v>
      </c>
      <c r="C539" s="1538" t="s">
        <v>651</v>
      </c>
      <c r="D539" s="1539" t="s">
        <v>68</v>
      </c>
      <c r="E539" s="166" t="s">
        <v>15</v>
      </c>
      <c r="F539" s="166"/>
      <c r="G539" s="1540">
        <v>40000</v>
      </c>
      <c r="H539" s="1540">
        <v>433438.04700000002</v>
      </c>
      <c r="I539" s="1540">
        <v>184104.59760000001</v>
      </c>
      <c r="J539" s="1466">
        <f t="shared" si="25"/>
        <v>657542.6446</v>
      </c>
      <c r="K539" s="1466"/>
      <c r="L539" s="1540"/>
      <c r="M539" s="1540">
        <f t="shared" si="26"/>
        <v>657542.6446</v>
      </c>
      <c r="N539" s="1539"/>
      <c r="O539" s="559"/>
    </row>
    <row r="540" spans="1:15" s="540" customFormat="1" ht="14.25" customHeight="1">
      <c r="A540" s="1547">
        <v>16</v>
      </c>
      <c r="B540" s="1537" t="str">
        <f>VLOOKUP(D540,'[2]DS CN MOI UP'!$B$11:$C$447,2,0)</f>
        <v>02499</v>
      </c>
      <c r="C540" s="1538" t="s">
        <v>654</v>
      </c>
      <c r="D540" s="1539" t="s">
        <v>80</v>
      </c>
      <c r="E540" s="166" t="s">
        <v>15</v>
      </c>
      <c r="F540" s="166"/>
      <c r="G540" s="1540">
        <v>40000</v>
      </c>
      <c r="H540" s="1540">
        <v>383004.72</v>
      </c>
      <c r="I540" s="1540">
        <v>251034.90599999999</v>
      </c>
      <c r="J540" s="1466">
        <f t="shared" si="25"/>
        <v>674039.62600000005</v>
      </c>
      <c r="K540" s="1466"/>
      <c r="L540" s="1540"/>
      <c r="M540" s="1540">
        <f t="shared" si="26"/>
        <v>674039.62600000005</v>
      </c>
      <c r="N540" s="1539"/>
      <c r="O540" s="559"/>
    </row>
    <row r="541" spans="1:15" s="540" customFormat="1" ht="14.25" customHeight="1">
      <c r="A541" s="1536">
        <v>17</v>
      </c>
      <c r="B541" s="1537" t="str">
        <f>VLOOKUP(D541,'[2]DS CN MOI UP'!$B$11:$C$447,2,0)</f>
        <v>02500</v>
      </c>
      <c r="C541" s="1538" t="s">
        <v>654</v>
      </c>
      <c r="D541" s="1539" t="s">
        <v>59</v>
      </c>
      <c r="E541" s="166" t="s">
        <v>15</v>
      </c>
      <c r="F541" s="166"/>
      <c r="G541" s="1540">
        <v>40000</v>
      </c>
      <c r="H541" s="1540">
        <v>312502.995</v>
      </c>
      <c r="I541" s="1540">
        <v>312502.995</v>
      </c>
      <c r="J541" s="1466">
        <f t="shared" si="25"/>
        <v>665005.99</v>
      </c>
      <c r="K541" s="1466"/>
      <c r="L541" s="1540"/>
      <c r="M541" s="1540">
        <f t="shared" si="26"/>
        <v>665005.99</v>
      </c>
      <c r="N541" s="1539"/>
      <c r="O541" s="559"/>
    </row>
    <row r="542" spans="1:15" s="540" customFormat="1" ht="14.25" customHeight="1">
      <c r="A542" s="1547">
        <v>18</v>
      </c>
      <c r="B542" s="1537" t="str">
        <f>VLOOKUP(D542,'[2]DS CN MOI UP'!$B$11:$C$447,2,0)</f>
        <v>02501</v>
      </c>
      <c r="C542" s="1538" t="s">
        <v>654</v>
      </c>
      <c r="D542" s="1539" t="s">
        <v>92</v>
      </c>
      <c r="E542" s="166" t="s">
        <v>15</v>
      </c>
      <c r="F542" s="166"/>
      <c r="G542" s="1540">
        <v>40000</v>
      </c>
      <c r="H542" s="1540">
        <v>614840.625</v>
      </c>
      <c r="I542" s="1540">
        <v>614840.625</v>
      </c>
      <c r="J542" s="1466">
        <f t="shared" si="25"/>
        <v>1269681.25</v>
      </c>
      <c r="K542" s="1466"/>
      <c r="L542" s="1540"/>
      <c r="M542" s="1540">
        <f t="shared" si="26"/>
        <v>1269681.25</v>
      </c>
      <c r="N542" s="1539"/>
      <c r="O542" s="559"/>
    </row>
    <row r="543" spans="1:15" s="540" customFormat="1" ht="14.25" customHeight="1">
      <c r="A543" s="1547">
        <v>19</v>
      </c>
      <c r="B543" s="1537" t="e">
        <f>VLOOKUP(D543,'[2]DS CN MOI UP'!$B$11:$C$447,2,0)</f>
        <v>#N/A</v>
      </c>
      <c r="C543" s="1538" t="s">
        <v>654</v>
      </c>
      <c r="D543" s="1539" t="s">
        <v>1073</v>
      </c>
      <c r="E543" s="166" t="s">
        <v>15</v>
      </c>
      <c r="F543" s="166"/>
      <c r="G543" s="1540">
        <v>40000</v>
      </c>
      <c r="H543" s="1540">
        <v>554373.09900000005</v>
      </c>
      <c r="I543" s="1540">
        <v>554373.09900000005</v>
      </c>
      <c r="J543" s="1466">
        <f t="shared" si="25"/>
        <v>1148746.1980000001</v>
      </c>
      <c r="K543" s="1466"/>
      <c r="L543" s="1540"/>
      <c r="M543" s="1540">
        <f t="shared" si="26"/>
        <v>1148746.1980000001</v>
      </c>
      <c r="N543" s="1539"/>
      <c r="O543" s="559"/>
    </row>
    <row r="544" spans="1:15" s="540" customFormat="1" ht="14.25" customHeight="1">
      <c r="A544" s="1536">
        <v>20</v>
      </c>
      <c r="B544" s="1537" t="str">
        <f>VLOOKUP(D544,'[2]DS CN MOI UP'!$B$11:$C$447,2,0)</f>
        <v>02503</v>
      </c>
      <c r="C544" s="1538" t="s">
        <v>654</v>
      </c>
      <c r="D544" s="1539" t="s">
        <v>93</v>
      </c>
      <c r="E544" s="166" t="s">
        <v>15</v>
      </c>
      <c r="F544" s="166"/>
      <c r="G544" s="1540">
        <v>40000</v>
      </c>
      <c r="H544" s="1540">
        <v>554373.09900000005</v>
      </c>
      <c r="I544" s="1540">
        <v>554373.09900000005</v>
      </c>
      <c r="J544" s="1466">
        <f t="shared" si="25"/>
        <v>1148746.1980000001</v>
      </c>
      <c r="K544" s="1466"/>
      <c r="L544" s="1540"/>
      <c r="M544" s="1540">
        <f t="shared" si="26"/>
        <v>1148746.1980000001</v>
      </c>
      <c r="N544" s="1539"/>
      <c r="O544" s="559"/>
    </row>
    <row r="545" spans="1:15" s="540" customFormat="1" ht="14.25" customHeight="1">
      <c r="A545" s="1547">
        <v>21</v>
      </c>
      <c r="B545" s="1537" t="str">
        <f>VLOOKUP(D545,'[2]DS CN MOI UP'!$B$11:$C$447,2,0)</f>
        <v>02504</v>
      </c>
      <c r="C545" s="1538" t="s">
        <v>654</v>
      </c>
      <c r="D545" s="1539" t="s">
        <v>77</v>
      </c>
      <c r="E545" s="166" t="s">
        <v>15</v>
      </c>
      <c r="F545" s="166"/>
      <c r="G545" s="1540">
        <v>40000</v>
      </c>
      <c r="H545" s="1540">
        <v>554373.09900000005</v>
      </c>
      <c r="I545" s="1540">
        <v>554373.09900000005</v>
      </c>
      <c r="J545" s="1466">
        <f t="shared" si="25"/>
        <v>1148746.1980000001</v>
      </c>
      <c r="K545" s="1466"/>
      <c r="L545" s="1540"/>
      <c r="M545" s="1540">
        <f t="shared" si="26"/>
        <v>1148746.1980000001</v>
      </c>
      <c r="N545" s="1539"/>
      <c r="O545" s="559"/>
    </row>
    <row r="546" spans="1:15" s="540" customFormat="1" ht="14.25" customHeight="1">
      <c r="A546" s="1547">
        <v>22</v>
      </c>
      <c r="B546" s="1537" t="str">
        <f>VLOOKUP(D546,'[2]DS CN MOI UP'!$B$11:$C$447,2,0)</f>
        <v>02506</v>
      </c>
      <c r="C546" s="1538" t="s">
        <v>654</v>
      </c>
      <c r="D546" s="1539" t="s">
        <v>49</v>
      </c>
      <c r="E546" s="166" t="s">
        <v>15</v>
      </c>
      <c r="F546" s="166"/>
      <c r="G546" s="1540"/>
      <c r="H546" s="1540">
        <v>635040.18900000001</v>
      </c>
      <c r="I546" s="1540">
        <v>635040.18900000001</v>
      </c>
      <c r="J546" s="1466">
        <f t="shared" si="25"/>
        <v>1270080.378</v>
      </c>
      <c r="K546" s="1466"/>
      <c r="L546" s="1540"/>
      <c r="M546" s="1540">
        <f t="shared" si="26"/>
        <v>1270080.378</v>
      </c>
      <c r="N546" s="1539"/>
      <c r="O546" s="559"/>
    </row>
    <row r="547" spans="1:15" s="540" customFormat="1" ht="14.25" customHeight="1">
      <c r="A547" s="1536">
        <v>23</v>
      </c>
      <c r="B547" s="1537" t="str">
        <f>VLOOKUP(D547,'[2]DS CN MOI UP'!$B$11:$C$447,2,0)</f>
        <v>02507</v>
      </c>
      <c r="C547" s="1538" t="s">
        <v>654</v>
      </c>
      <c r="D547" s="1539" t="s">
        <v>50</v>
      </c>
      <c r="E547" s="166" t="s">
        <v>15</v>
      </c>
      <c r="F547" s="166"/>
      <c r="G547" s="1540">
        <v>40000</v>
      </c>
      <c r="H547" s="1540">
        <v>544338.9</v>
      </c>
      <c r="I547" s="1540">
        <v>544338.9</v>
      </c>
      <c r="J547" s="1466">
        <f t="shared" si="25"/>
        <v>1128677.8</v>
      </c>
      <c r="K547" s="1466"/>
      <c r="L547" s="1540"/>
      <c r="M547" s="1540">
        <f t="shared" si="26"/>
        <v>1128677.8</v>
      </c>
      <c r="N547" s="1539"/>
      <c r="O547" s="559"/>
    </row>
    <row r="548" spans="1:15" s="540" customFormat="1" ht="14.25" customHeight="1">
      <c r="A548" s="1547">
        <v>24</v>
      </c>
      <c r="B548" s="1537" t="str">
        <f>VLOOKUP(D548,'[2]DS CN MOI UP'!$B$11:$C$447,2,0)</f>
        <v>02508</v>
      </c>
      <c r="C548" s="1538" t="s">
        <v>654</v>
      </c>
      <c r="D548" s="1539" t="s">
        <v>23</v>
      </c>
      <c r="E548" s="166" t="s">
        <v>15</v>
      </c>
      <c r="F548" s="166"/>
      <c r="G548" s="1540">
        <v>40000</v>
      </c>
      <c r="H548" s="1540">
        <v>574572.66299999994</v>
      </c>
      <c r="I548" s="1540">
        <v>574572.66299999994</v>
      </c>
      <c r="J548" s="1466">
        <f t="shared" si="25"/>
        <v>1189145.3259999999</v>
      </c>
      <c r="K548" s="1466"/>
      <c r="L548" s="1540"/>
      <c r="M548" s="1540">
        <f t="shared" si="26"/>
        <v>1189145.3259999999</v>
      </c>
      <c r="N548" s="1539"/>
      <c r="O548" s="559"/>
    </row>
    <row r="549" spans="1:15" s="540" customFormat="1" ht="14.25" customHeight="1">
      <c r="A549" s="1547">
        <v>25</v>
      </c>
      <c r="B549" s="1537" t="e">
        <f>VLOOKUP(D549,'[2]DS CN MOI UP'!$B$11:$C$447,2,0)</f>
        <v>#N/A</v>
      </c>
      <c r="C549" s="1538" t="s">
        <v>654</v>
      </c>
      <c r="D549" s="1539" t="s">
        <v>1074</v>
      </c>
      <c r="E549" s="166" t="s">
        <v>15</v>
      </c>
      <c r="F549" s="166"/>
      <c r="G549" s="1540">
        <v>40000</v>
      </c>
      <c r="H549" s="1540">
        <v>604806.42599999998</v>
      </c>
      <c r="I549" s="1540">
        <v>604806.42599999998</v>
      </c>
      <c r="J549" s="1466">
        <f t="shared" si="25"/>
        <v>1249612.852</v>
      </c>
      <c r="K549" s="1466"/>
      <c r="L549" s="1540"/>
      <c r="M549" s="1540">
        <f t="shared" si="26"/>
        <v>1249612.852</v>
      </c>
      <c r="N549" s="1539"/>
      <c r="O549" s="559"/>
    </row>
    <row r="550" spans="1:15" s="540" customFormat="1" ht="14.25" customHeight="1">
      <c r="A550" s="1536">
        <v>26</v>
      </c>
      <c r="B550" s="1537" t="str">
        <f>VLOOKUP(D550,'[2]DS CN MOI UP'!$B$11:$C$447,2,0)</f>
        <v>02510</v>
      </c>
      <c r="C550" s="1538" t="s">
        <v>654</v>
      </c>
      <c r="D550" s="1539" t="s">
        <v>43</v>
      </c>
      <c r="E550" s="166" t="s">
        <v>15</v>
      </c>
      <c r="F550" s="166"/>
      <c r="G550" s="1540">
        <v>40000</v>
      </c>
      <c r="H550" s="1540">
        <v>584606.86199999996</v>
      </c>
      <c r="I550" s="1540">
        <v>584606.86199999996</v>
      </c>
      <c r="J550" s="1466">
        <f t="shared" si="25"/>
        <v>1209213.7239999999</v>
      </c>
      <c r="K550" s="1466"/>
      <c r="L550" s="1540"/>
      <c r="M550" s="1540">
        <f t="shared" si="26"/>
        <v>1209213.7239999999</v>
      </c>
      <c r="N550" s="1539"/>
      <c r="O550" s="559"/>
    </row>
    <row r="551" spans="1:15" s="540" customFormat="1" ht="14.25" customHeight="1">
      <c r="A551" s="1547">
        <v>27</v>
      </c>
      <c r="B551" s="1537" t="str">
        <f>VLOOKUP(D551,'[2]DS CN MOI UP'!$B$11:$C$447,2,0)</f>
        <v>02511</v>
      </c>
      <c r="C551" s="1538" t="s">
        <v>654</v>
      </c>
      <c r="D551" s="1539" t="s">
        <v>488</v>
      </c>
      <c r="E551" s="166" t="s">
        <v>15</v>
      </c>
      <c r="F551" s="166"/>
      <c r="G551" s="1540"/>
      <c r="H551" s="1540">
        <v>635040.18900000001</v>
      </c>
      <c r="I551" s="1540">
        <v>635040.18900000001</v>
      </c>
      <c r="J551" s="1466">
        <f t="shared" si="25"/>
        <v>1270080.378</v>
      </c>
      <c r="K551" s="1466"/>
      <c r="L551" s="1540"/>
      <c r="M551" s="1540">
        <f t="shared" si="26"/>
        <v>1270080.378</v>
      </c>
      <c r="N551" s="1539"/>
      <c r="O551" s="559"/>
    </row>
    <row r="552" spans="1:15" s="540" customFormat="1" ht="14.25" customHeight="1">
      <c r="A552" s="1547">
        <v>28</v>
      </c>
      <c r="B552" s="1537" t="str">
        <f>VLOOKUP(D552,'[2]DS CN MOI UP'!$B$11:$C$447,2,0)</f>
        <v>02512</v>
      </c>
      <c r="C552" s="1538" t="s">
        <v>654</v>
      </c>
      <c r="D552" s="1539" t="s">
        <v>54</v>
      </c>
      <c r="E552" s="166" t="s">
        <v>15</v>
      </c>
      <c r="F552" s="166"/>
      <c r="G552" s="1540">
        <v>40000</v>
      </c>
      <c r="H552" s="1540">
        <v>524139.33600000001</v>
      </c>
      <c r="I552" s="1540">
        <v>524139.33600000001</v>
      </c>
      <c r="J552" s="1466">
        <f t="shared" si="25"/>
        <v>1088278.672</v>
      </c>
      <c r="K552" s="1466"/>
      <c r="L552" s="1540"/>
      <c r="M552" s="1540">
        <f t="shared" si="26"/>
        <v>1088278.672</v>
      </c>
      <c r="N552" s="1539"/>
      <c r="O552" s="559"/>
    </row>
    <row r="553" spans="1:15" s="540" customFormat="1" ht="14.25" customHeight="1">
      <c r="A553" s="1536">
        <v>29</v>
      </c>
      <c r="B553" s="1537" t="str">
        <f>VLOOKUP(D553,'[2]DS CN MOI UP'!$B$11:$C$447,2,0)</f>
        <v>02513</v>
      </c>
      <c r="C553" s="1538" t="s">
        <v>654</v>
      </c>
      <c r="D553" s="1539" t="s">
        <v>42</v>
      </c>
      <c r="E553" s="166" t="s">
        <v>15</v>
      </c>
      <c r="F553" s="166"/>
      <c r="G553" s="1540">
        <v>40000</v>
      </c>
      <c r="H553" s="1540">
        <v>554373.09900000005</v>
      </c>
      <c r="I553" s="1540">
        <v>554373.09900000005</v>
      </c>
      <c r="J553" s="1466">
        <f t="shared" si="25"/>
        <v>1148746.1980000001</v>
      </c>
      <c r="K553" s="1466"/>
      <c r="L553" s="1540"/>
      <c r="M553" s="1540">
        <f t="shared" si="26"/>
        <v>1148746.1980000001</v>
      </c>
      <c r="N553" s="1539"/>
      <c r="O553" s="559"/>
    </row>
    <row r="554" spans="1:15" s="540" customFormat="1" ht="14.25" customHeight="1">
      <c r="A554" s="1547">
        <v>30</v>
      </c>
      <c r="B554" s="1537" t="str">
        <f>VLOOKUP(D554,'[2]DS CN MOI UP'!$B$11:$C$447,2,0)</f>
        <v>02514</v>
      </c>
      <c r="C554" s="1538" t="s">
        <v>654</v>
      </c>
      <c r="D554" s="1539" t="s">
        <v>100</v>
      </c>
      <c r="E554" s="166" t="s">
        <v>15</v>
      </c>
      <c r="F554" s="166"/>
      <c r="G554" s="1540">
        <v>40000</v>
      </c>
      <c r="H554" s="1540">
        <v>554373.09900000005</v>
      </c>
      <c r="I554" s="1540">
        <v>265581.23460003</v>
      </c>
      <c r="J554" s="1466">
        <f t="shared" si="25"/>
        <v>859954.33360003005</v>
      </c>
      <c r="K554" s="1466"/>
      <c r="L554" s="1540"/>
      <c r="M554" s="1540">
        <f t="shared" si="26"/>
        <v>859954.33360003005</v>
      </c>
      <c r="N554" s="1539"/>
      <c r="O554" s="559"/>
    </row>
    <row r="555" spans="1:15" s="540" customFormat="1" ht="14.25" customHeight="1">
      <c r="A555" s="1547">
        <v>31</v>
      </c>
      <c r="B555" s="1537" t="str">
        <f>VLOOKUP(D555,'[2]DS CN MOI UP'!$B$11:$C$447,2,0)</f>
        <v>02515</v>
      </c>
      <c r="C555" s="1538" t="s">
        <v>654</v>
      </c>
      <c r="D555" s="1539" t="s">
        <v>67</v>
      </c>
      <c r="E555" s="166" t="s">
        <v>15</v>
      </c>
      <c r="F555" s="166"/>
      <c r="G555" s="1540">
        <v>40000</v>
      </c>
      <c r="H555" s="1466">
        <v>614840.625</v>
      </c>
      <c r="I555" s="1466">
        <v>118678.99679999999</v>
      </c>
      <c r="J555" s="1466">
        <f t="shared" si="25"/>
        <v>773519.62179999996</v>
      </c>
      <c r="K555" s="1466"/>
      <c r="L555" s="1540"/>
      <c r="M555" s="1540">
        <f t="shared" si="26"/>
        <v>773519.62179999996</v>
      </c>
      <c r="N555" s="1539"/>
      <c r="O555" s="559"/>
    </row>
    <row r="556" spans="1:15" s="540" customFormat="1" ht="14.25" customHeight="1">
      <c r="A556" s="1536">
        <v>32</v>
      </c>
      <c r="B556" s="1537" t="e">
        <f>VLOOKUP(D556,'[2]DS CN MOI UP'!$B$11:$C$447,2,0)</f>
        <v>#N/A</v>
      </c>
      <c r="C556" s="1538" t="s">
        <v>654</v>
      </c>
      <c r="D556" s="1539" t="s">
        <v>1075</v>
      </c>
      <c r="E556" s="166" t="s">
        <v>15</v>
      </c>
      <c r="F556" s="166"/>
      <c r="G556" s="1540">
        <v>40000</v>
      </c>
      <c r="H556" s="1466">
        <v>554373.09900000005</v>
      </c>
      <c r="I556" s="1466">
        <v>107985.26639999999</v>
      </c>
      <c r="J556" s="1466">
        <f t="shared" si="25"/>
        <v>702358.36540000001</v>
      </c>
      <c r="K556" s="1466"/>
      <c r="L556" s="1540"/>
      <c r="M556" s="1540">
        <f t="shared" si="26"/>
        <v>702358.36540000001</v>
      </c>
      <c r="N556" s="1539"/>
      <c r="O556" s="559"/>
    </row>
    <row r="557" spans="1:15" s="540" customFormat="1" ht="14.25" customHeight="1">
      <c r="A557" s="1547">
        <v>33</v>
      </c>
      <c r="B557" s="1537" t="str">
        <f>VLOOKUP(D557,'[2]DS CN MOI UP'!$B$11:$C$447,2,0)</f>
        <v>02686</v>
      </c>
      <c r="C557" s="1538" t="s">
        <v>654</v>
      </c>
      <c r="D557" s="1539" t="s">
        <v>78</v>
      </c>
      <c r="E557" s="166" t="s">
        <v>15</v>
      </c>
      <c r="F557" s="166"/>
      <c r="G557" s="1540">
        <v>40000</v>
      </c>
      <c r="H557" s="1466">
        <v>554373.09900000005</v>
      </c>
      <c r="I557" s="1466">
        <v>106506.792</v>
      </c>
      <c r="J557" s="1466">
        <f t="shared" si="25"/>
        <v>700879.89099999995</v>
      </c>
      <c r="K557" s="1466"/>
      <c r="L557" s="1540"/>
      <c r="M557" s="1540">
        <f t="shared" si="26"/>
        <v>700879.89099999995</v>
      </c>
      <c r="N557" s="1539"/>
      <c r="O557" s="559"/>
    </row>
    <row r="558" spans="1:15" s="540" customFormat="1" ht="14.25" customHeight="1">
      <c r="A558" s="1547">
        <v>34</v>
      </c>
      <c r="B558" s="1537" t="str">
        <f>VLOOKUP(D558,'[2]DS CN MOI UP'!$B$11:$C$447,2,0)</f>
        <v>02685</v>
      </c>
      <c r="C558" s="1538" t="s">
        <v>654</v>
      </c>
      <c r="D558" s="1539" t="s">
        <v>69</v>
      </c>
      <c r="E558" s="166" t="s">
        <v>15</v>
      </c>
      <c r="F558" s="166"/>
      <c r="G558" s="1540">
        <v>40000</v>
      </c>
      <c r="H558" s="1466">
        <v>554373.09900000005</v>
      </c>
      <c r="I558" s="1466">
        <v>75304.754400000005</v>
      </c>
      <c r="J558" s="1466">
        <f t="shared" si="25"/>
        <v>669677.85340000002</v>
      </c>
      <c r="K558" s="1466"/>
      <c r="L558" s="1540"/>
      <c r="M558" s="1540">
        <f t="shared" si="26"/>
        <v>669677.85340000002</v>
      </c>
      <c r="N558" s="1539"/>
      <c r="O558" s="559"/>
    </row>
    <row r="559" spans="1:15" s="540" customFormat="1" ht="14.25" customHeight="1">
      <c r="A559" s="1536">
        <v>35</v>
      </c>
      <c r="B559" s="1537" t="str">
        <f>VLOOKUP(D559,'[2]DS CN MOI UP'!$B$11:$C$447,2,0)</f>
        <v>03330</v>
      </c>
      <c r="C559" s="1538" t="s">
        <v>654</v>
      </c>
      <c r="D559" s="1539" t="s">
        <v>46</v>
      </c>
      <c r="E559" s="166" t="s">
        <v>15</v>
      </c>
      <c r="F559" s="166"/>
      <c r="G559" s="1540">
        <v>40000</v>
      </c>
      <c r="H559" s="1466">
        <v>635040.18900000001</v>
      </c>
      <c r="I559" s="1466">
        <v>150609.50880000001</v>
      </c>
      <c r="J559" s="1466">
        <f t="shared" si="25"/>
        <v>825649.69779999997</v>
      </c>
      <c r="K559" s="1466"/>
      <c r="L559" s="1540"/>
      <c r="M559" s="1540">
        <f t="shared" si="26"/>
        <v>825649.69779999997</v>
      </c>
      <c r="N559" s="1539"/>
      <c r="O559" s="559"/>
    </row>
    <row r="560" spans="1:15" s="540" customFormat="1" ht="14.25" customHeight="1">
      <c r="A560" s="1547">
        <v>36</v>
      </c>
      <c r="B560" s="1537" t="str">
        <f>VLOOKUP(D560,'[2]DS CN MOI UP'!$B$11:$C$447,2,0)</f>
        <v>02679</v>
      </c>
      <c r="C560" s="1538" t="s">
        <v>654</v>
      </c>
      <c r="D560" s="1539" t="s">
        <v>36</v>
      </c>
      <c r="E560" s="166" t="s">
        <v>15</v>
      </c>
      <c r="F560" s="166"/>
      <c r="G560" s="1540">
        <v>40000</v>
      </c>
      <c r="H560" s="1466">
        <v>544338.9</v>
      </c>
      <c r="I560" s="1466">
        <v>146532.6</v>
      </c>
      <c r="J560" s="1466">
        <f t="shared" si="25"/>
        <v>730871.5</v>
      </c>
      <c r="K560" s="1466"/>
      <c r="L560" s="1540"/>
      <c r="M560" s="1540">
        <f t="shared" si="26"/>
        <v>730871.5</v>
      </c>
      <c r="N560" s="1539"/>
      <c r="O560" s="559"/>
    </row>
    <row r="561" spans="1:15" s="540" customFormat="1" ht="14.25" customHeight="1">
      <c r="A561" s="1547">
        <v>37</v>
      </c>
      <c r="B561" s="1537" t="e">
        <f>VLOOKUP(D561,'[2]DS CN MOI UP'!$B$11:$C$447,2,0)</f>
        <v>#N/A</v>
      </c>
      <c r="C561" s="1538" t="s">
        <v>654</v>
      </c>
      <c r="D561" s="1539" t="s">
        <v>1076</v>
      </c>
      <c r="E561" s="166" t="s">
        <v>15</v>
      </c>
      <c r="F561" s="166"/>
      <c r="G561" s="1540">
        <v>40000</v>
      </c>
      <c r="H561" s="1466">
        <v>574572.66299999994</v>
      </c>
      <c r="I561" s="1466">
        <v>107519.124</v>
      </c>
      <c r="J561" s="1466">
        <f t="shared" si="25"/>
        <v>722091.78700000001</v>
      </c>
      <c r="K561" s="1466"/>
      <c r="L561" s="1540"/>
      <c r="M561" s="1540">
        <f t="shared" si="26"/>
        <v>722091.78700000001</v>
      </c>
      <c r="N561" s="1539"/>
      <c r="O561" s="559"/>
    </row>
    <row r="562" spans="1:15" s="540" customFormat="1" ht="14.25" customHeight="1">
      <c r="A562" s="1536">
        <v>38</v>
      </c>
      <c r="B562" s="1537" t="str">
        <f>VLOOKUP(D562,'[2]DS CN MOI UP'!$B$11:$C$447,2,0)</f>
        <v>02681</v>
      </c>
      <c r="C562" s="1538" t="s">
        <v>654</v>
      </c>
      <c r="D562" s="1539" t="s">
        <v>76</v>
      </c>
      <c r="E562" s="166" t="s">
        <v>15</v>
      </c>
      <c r="F562" s="166"/>
      <c r="G562" s="1540">
        <v>40000</v>
      </c>
      <c r="H562" s="1466">
        <v>604806.42599999998</v>
      </c>
      <c r="I562" s="1466">
        <v>109019.124</v>
      </c>
      <c r="J562" s="1466">
        <f t="shared" si="25"/>
        <v>753825.55</v>
      </c>
      <c r="K562" s="1466"/>
      <c r="L562" s="1540"/>
      <c r="M562" s="1540">
        <f t="shared" si="26"/>
        <v>753825.55</v>
      </c>
      <c r="N562" s="1539"/>
      <c r="O562" s="559"/>
    </row>
    <row r="563" spans="1:15" s="540" customFormat="1" ht="14.25" customHeight="1">
      <c r="A563" s="1547">
        <v>39</v>
      </c>
      <c r="B563" s="1537" t="str">
        <f>VLOOKUP(D563,'[2]DS CN MOI UP'!$B$11:$C$447,2,0)</f>
        <v>02682</v>
      </c>
      <c r="C563" s="1538" t="s">
        <v>654</v>
      </c>
      <c r="D563" s="1539" t="s">
        <v>82</v>
      </c>
      <c r="E563" s="166" t="s">
        <v>15</v>
      </c>
      <c r="F563" s="166"/>
      <c r="G563" s="1540">
        <v>40000</v>
      </c>
      <c r="H563" s="1466">
        <v>584606.86199999996</v>
      </c>
      <c r="I563" s="1466">
        <v>229728.84</v>
      </c>
      <c r="J563" s="1466">
        <f t="shared" si="25"/>
        <v>854335.70200000005</v>
      </c>
      <c r="K563" s="1466"/>
      <c r="L563" s="1540"/>
      <c r="M563" s="1540">
        <f t="shared" si="26"/>
        <v>854335.70200000005</v>
      </c>
      <c r="N563" s="1539"/>
      <c r="O563" s="559"/>
    </row>
    <row r="564" spans="1:15" s="540" customFormat="1" ht="14.25" customHeight="1">
      <c r="A564" s="1547">
        <v>40</v>
      </c>
      <c r="B564" s="1537" t="str">
        <f>VLOOKUP(D564,'[2]DS CN MOI UP'!$B$11:$C$447,2,0)</f>
        <v>02683</v>
      </c>
      <c r="C564" s="1538" t="s">
        <v>654</v>
      </c>
      <c r="D564" s="1539" t="s">
        <v>75</v>
      </c>
      <c r="E564" s="166" t="s">
        <v>15</v>
      </c>
      <c r="F564" s="166"/>
      <c r="G564" s="1540">
        <v>40000</v>
      </c>
      <c r="H564" s="1466">
        <v>635040.18900000001</v>
      </c>
      <c r="I564" s="1466">
        <v>193212.22560000001</v>
      </c>
      <c r="J564" s="1466">
        <f t="shared" si="25"/>
        <v>868252.41460000002</v>
      </c>
      <c r="K564" s="1466"/>
      <c r="L564" s="1540"/>
      <c r="M564" s="1540">
        <f t="shared" si="26"/>
        <v>868252.41460000002</v>
      </c>
      <c r="N564" s="1539"/>
      <c r="O564" s="559"/>
    </row>
    <row r="565" spans="1:15" s="540" customFormat="1" ht="14.25" customHeight="1">
      <c r="A565" s="1536">
        <v>41</v>
      </c>
      <c r="B565" s="1537" t="str">
        <f>VLOOKUP(D565,'[2]DS CN MOI UP'!$B$11:$C$447,2,0)</f>
        <v>02684</v>
      </c>
      <c r="C565" s="1538" t="s">
        <v>654</v>
      </c>
      <c r="D565" s="1539" t="s">
        <v>34</v>
      </c>
      <c r="E565" s="166" t="s">
        <v>15</v>
      </c>
      <c r="F565" s="166"/>
      <c r="G565" s="1540">
        <v>40000</v>
      </c>
      <c r="H565" s="1466">
        <v>524139.33600000001</v>
      </c>
      <c r="I565" s="1466">
        <v>524139.33600000001</v>
      </c>
      <c r="J565" s="1466">
        <f t="shared" si="25"/>
        <v>1088278.672</v>
      </c>
      <c r="K565" s="1466"/>
      <c r="L565" s="1540"/>
      <c r="M565" s="1540">
        <f t="shared" si="26"/>
        <v>1088278.672</v>
      </c>
      <c r="N565" s="1539"/>
      <c r="O565" s="559"/>
    </row>
    <row r="566" spans="1:15" s="540" customFormat="1" ht="14.25" customHeight="1">
      <c r="A566" s="1547">
        <v>42</v>
      </c>
      <c r="B566" s="1537" t="e">
        <f>VLOOKUP(D566,'[2]DS CN MOI UP'!$B$11:$C$447,2,0)</f>
        <v>#N/A</v>
      </c>
      <c r="C566" s="1538" t="s">
        <v>654</v>
      </c>
      <c r="D566" s="1539" t="s">
        <v>545</v>
      </c>
      <c r="E566" s="166" t="s">
        <v>15</v>
      </c>
      <c r="F566" s="166"/>
      <c r="G566" s="1540">
        <v>40000</v>
      </c>
      <c r="H566" s="1466">
        <v>635040.18900000001</v>
      </c>
      <c r="I566" s="1466">
        <v>524139.33600000001</v>
      </c>
      <c r="J566" s="1466">
        <f t="shared" si="25"/>
        <v>1199179.5249999999</v>
      </c>
      <c r="K566" s="1466"/>
      <c r="L566" s="1540"/>
      <c r="M566" s="1540">
        <f t="shared" si="26"/>
        <v>1199179.5249999999</v>
      </c>
      <c r="N566" s="1539"/>
      <c r="O566" s="559"/>
    </row>
    <row r="567" spans="1:15" s="540" customFormat="1" ht="14.25" customHeight="1">
      <c r="A567" s="1547">
        <v>43</v>
      </c>
      <c r="B567" s="1537" t="str">
        <f>VLOOKUP(D567,'[2]DS CN MOI UP'!$B$11:$C$447,2,0)</f>
        <v>03329</v>
      </c>
      <c r="C567" s="1538" t="s">
        <v>654</v>
      </c>
      <c r="D567" s="1539" t="s">
        <v>45</v>
      </c>
      <c r="E567" s="166" t="s">
        <v>15</v>
      </c>
      <c r="F567" s="166"/>
      <c r="G567" s="1540">
        <v>40000</v>
      </c>
      <c r="H567" s="1466">
        <v>635040.18900000001</v>
      </c>
      <c r="I567" s="1466">
        <v>524139.33600000001</v>
      </c>
      <c r="J567" s="1466">
        <f t="shared" si="25"/>
        <v>1199179.5249999999</v>
      </c>
      <c r="K567" s="1466"/>
      <c r="L567" s="1540"/>
      <c r="M567" s="1540">
        <f t="shared" si="26"/>
        <v>1199179.5249999999</v>
      </c>
      <c r="N567" s="1539"/>
      <c r="O567" s="559"/>
    </row>
    <row r="568" spans="1:15" s="540" customFormat="1" ht="14.25" customHeight="1">
      <c r="A568" s="1536">
        <v>44</v>
      </c>
      <c r="B568" s="1537"/>
      <c r="C568" s="1538" t="s">
        <v>648</v>
      </c>
      <c r="D568" s="1539" t="s">
        <v>56</v>
      </c>
      <c r="E568" s="166" t="s">
        <v>15</v>
      </c>
      <c r="F568" s="166"/>
      <c r="G568" s="1540">
        <v>40000</v>
      </c>
      <c r="H568" s="1466">
        <v>554373.09900000005</v>
      </c>
      <c r="I568" s="1466">
        <v>524139.33600000001</v>
      </c>
      <c r="J568" s="1466">
        <f t="shared" si="25"/>
        <v>1118512.4350000001</v>
      </c>
      <c r="K568" s="1466"/>
      <c r="L568" s="1540"/>
      <c r="M568" s="1540">
        <f t="shared" si="26"/>
        <v>1118512.4350000001</v>
      </c>
      <c r="N568" s="1539"/>
      <c r="O568" s="559"/>
    </row>
    <row r="569" spans="1:15" s="540" customFormat="1" ht="14.25" customHeight="1">
      <c r="A569" s="1547">
        <v>45</v>
      </c>
      <c r="B569" s="1537" t="str">
        <f>VLOOKUP(D569,'[2]DS CN MOI UP'!$B$11:$C$447,2,0)</f>
        <v>03320</v>
      </c>
      <c r="C569" s="1538" t="s">
        <v>650</v>
      </c>
      <c r="D569" s="1539" t="s">
        <v>16</v>
      </c>
      <c r="E569" s="166" t="s">
        <v>15</v>
      </c>
      <c r="F569" s="166"/>
      <c r="G569" s="1540">
        <v>40000</v>
      </c>
      <c r="H569" s="1466">
        <v>635040.18900000001</v>
      </c>
      <c r="I569" s="1466">
        <v>524139.33600000001</v>
      </c>
      <c r="J569" s="1466">
        <f t="shared" si="25"/>
        <v>1199179.5249999999</v>
      </c>
      <c r="K569" s="1466"/>
      <c r="L569" s="1540"/>
      <c r="M569" s="1540">
        <f t="shared" si="26"/>
        <v>1199179.5249999999</v>
      </c>
      <c r="N569" s="1539"/>
      <c r="O569" s="559"/>
    </row>
    <row r="570" spans="1:15" s="540" customFormat="1" ht="14.25" customHeight="1">
      <c r="A570" s="1547">
        <v>46</v>
      </c>
      <c r="B570" s="1537" t="e">
        <f>VLOOKUP(D570,'[2]DS CN MOI UP'!$B$11:$C$447,2,0)</f>
        <v>#N/A</v>
      </c>
      <c r="C570" s="1538" t="s">
        <v>651</v>
      </c>
      <c r="D570" s="1539" t="s">
        <v>559</v>
      </c>
      <c r="E570" s="166" t="s">
        <v>15</v>
      </c>
      <c r="F570" s="166"/>
      <c r="G570" s="1540">
        <v>40000</v>
      </c>
      <c r="H570" s="1466">
        <v>635040.18900000001</v>
      </c>
      <c r="I570" s="1466">
        <v>524139.33600000001</v>
      </c>
      <c r="J570" s="1466">
        <f t="shared" si="25"/>
        <v>1199179.5249999999</v>
      </c>
      <c r="K570" s="1466"/>
      <c r="L570" s="1540"/>
      <c r="M570" s="1540">
        <f t="shared" si="26"/>
        <v>1199179.5249999999</v>
      </c>
      <c r="N570" s="1539"/>
      <c r="O570" s="559"/>
    </row>
    <row r="571" spans="1:15" s="540" customFormat="1" ht="14.25" customHeight="1">
      <c r="A571" s="1536">
        <v>47</v>
      </c>
      <c r="B571" s="1537" t="e">
        <f>VLOOKUP(D571,'[2]DS CN MOI UP'!$B$11:$C$447,2,0)</f>
        <v>#N/A</v>
      </c>
      <c r="C571" s="1538" t="s">
        <v>651</v>
      </c>
      <c r="D571" s="1539" t="s">
        <v>1077</v>
      </c>
      <c r="E571" s="166" t="s">
        <v>15</v>
      </c>
      <c r="F571" s="166"/>
      <c r="G571" s="1540">
        <v>40000</v>
      </c>
      <c r="H571" s="1466">
        <v>635040.18900000001</v>
      </c>
      <c r="I571" s="1466">
        <v>524139.33600000001</v>
      </c>
      <c r="J571" s="1466">
        <f t="shared" si="25"/>
        <v>1199179.5249999999</v>
      </c>
      <c r="K571" s="1466"/>
      <c r="L571" s="1540"/>
      <c r="M571" s="1540">
        <f t="shared" si="26"/>
        <v>1199179.5249999999</v>
      </c>
      <c r="N571" s="1539"/>
      <c r="O571" s="559"/>
    </row>
    <row r="572" spans="1:15" s="540" customFormat="1" ht="14.25" customHeight="1">
      <c r="A572" s="1547">
        <v>48</v>
      </c>
      <c r="B572" s="1537" t="str">
        <f>VLOOKUP(D572,'[2]DS CN MOI UP'!$B$11:$C$447,2,0)</f>
        <v>03341</v>
      </c>
      <c r="C572" s="1538" t="s">
        <v>651</v>
      </c>
      <c r="D572" s="1539" t="s">
        <v>487</v>
      </c>
      <c r="E572" s="166" t="s">
        <v>15</v>
      </c>
      <c r="F572" s="166"/>
      <c r="G572" s="1540">
        <v>40000</v>
      </c>
      <c r="H572" s="1466">
        <v>614840.625</v>
      </c>
      <c r="I572" s="1466">
        <v>614840.625</v>
      </c>
      <c r="J572" s="1466">
        <f t="shared" si="25"/>
        <v>1269681.25</v>
      </c>
      <c r="K572" s="1466"/>
      <c r="L572" s="1540"/>
      <c r="M572" s="1540">
        <f t="shared" si="26"/>
        <v>1269681.25</v>
      </c>
      <c r="N572" s="1539"/>
      <c r="O572" s="559"/>
    </row>
    <row r="573" spans="1:15" s="540" customFormat="1" ht="14.25" customHeight="1">
      <c r="A573" s="1547">
        <v>49</v>
      </c>
      <c r="B573" s="1537" t="e">
        <f>VLOOKUP(D573,'[2]DS CN MOI UP'!$B$11:$C$447,2,0)</f>
        <v>#N/A</v>
      </c>
      <c r="C573" s="1538" t="s">
        <v>651</v>
      </c>
      <c r="D573" s="1539" t="s">
        <v>85</v>
      </c>
      <c r="E573" s="166" t="s">
        <v>15</v>
      </c>
      <c r="F573" s="166"/>
      <c r="G573" s="1540">
        <v>40000</v>
      </c>
      <c r="H573" s="1466">
        <v>554373.09900000005</v>
      </c>
      <c r="I573" s="1466">
        <v>554373.09900000005</v>
      </c>
      <c r="J573" s="1466">
        <f t="shared" si="25"/>
        <v>1148746.1980000001</v>
      </c>
      <c r="K573" s="1466"/>
      <c r="L573" s="1540"/>
      <c r="M573" s="1540">
        <f t="shared" si="26"/>
        <v>1148746.1980000001</v>
      </c>
      <c r="N573" s="1539"/>
      <c r="O573" s="559"/>
    </row>
    <row r="574" spans="1:15" s="540" customFormat="1" ht="14.25" customHeight="1">
      <c r="A574" s="1536">
        <v>50</v>
      </c>
      <c r="B574" s="1537" t="str">
        <f>VLOOKUP(D574,'[2]DS CN MOI UP'!$B$11:$C$447,2,0)</f>
        <v>03319</v>
      </c>
      <c r="C574" s="1538" t="s">
        <v>651</v>
      </c>
      <c r="D574" s="1539" t="s">
        <v>14</v>
      </c>
      <c r="E574" s="166" t="s">
        <v>15</v>
      </c>
      <c r="F574" s="166"/>
      <c r="G574" s="1540">
        <v>40000</v>
      </c>
      <c r="H574" s="1466">
        <v>554373.09900000005</v>
      </c>
      <c r="I574" s="1466">
        <v>554373.09900000005</v>
      </c>
      <c r="J574" s="1466">
        <f t="shared" si="25"/>
        <v>1148746.1980000001</v>
      </c>
      <c r="K574" s="1466"/>
      <c r="L574" s="1540"/>
      <c r="M574" s="1540">
        <f t="shared" si="26"/>
        <v>1148746.1980000001</v>
      </c>
      <c r="N574" s="1539"/>
      <c r="O574" s="559"/>
    </row>
    <row r="575" spans="1:15" s="540" customFormat="1" ht="14.25" customHeight="1">
      <c r="A575" s="1547">
        <v>51</v>
      </c>
      <c r="B575" s="1537" t="str">
        <f>VLOOKUP(D575,'[2]DS CN MOI UP'!$B$11:$C$447,2,0)</f>
        <v>02510</v>
      </c>
      <c r="C575" s="1538" t="s">
        <v>651</v>
      </c>
      <c r="D575" s="1539" t="s">
        <v>41</v>
      </c>
      <c r="E575" s="166" t="s">
        <v>15</v>
      </c>
      <c r="F575" s="166"/>
      <c r="G575" s="1540">
        <v>40000</v>
      </c>
      <c r="H575" s="1466">
        <v>554373.09900000005</v>
      </c>
      <c r="I575" s="1466">
        <v>554373.09900000005</v>
      </c>
      <c r="J575" s="1466">
        <f t="shared" si="25"/>
        <v>1148746.1980000001</v>
      </c>
      <c r="K575" s="1466"/>
      <c r="L575" s="1540"/>
      <c r="M575" s="1540">
        <f t="shared" si="26"/>
        <v>1148746.1980000001</v>
      </c>
      <c r="N575" s="1539"/>
      <c r="O575" s="559"/>
    </row>
    <row r="576" spans="1:15" s="540" customFormat="1" ht="14.25" customHeight="1">
      <c r="A576" s="1547">
        <v>52</v>
      </c>
      <c r="B576" s="1537" t="str">
        <f>VLOOKUP(D576,'[2]DS CN MOI UP'!$B$11:$C$447,2,0)</f>
        <v>03328</v>
      </c>
      <c r="C576" s="1538" t="s">
        <v>651</v>
      </c>
      <c r="D576" s="1539" t="s">
        <v>37</v>
      </c>
      <c r="E576" s="166" t="s">
        <v>15</v>
      </c>
      <c r="F576" s="166"/>
      <c r="G576" s="1540"/>
      <c r="H576" s="1466">
        <v>635040.18900000001</v>
      </c>
      <c r="I576" s="1466">
        <v>635040.18900000001</v>
      </c>
      <c r="J576" s="1466">
        <f t="shared" si="25"/>
        <v>1270080.378</v>
      </c>
      <c r="K576" s="1466"/>
      <c r="L576" s="1540"/>
      <c r="M576" s="1540">
        <f t="shared" si="26"/>
        <v>1270080.378</v>
      </c>
      <c r="N576" s="1539"/>
      <c r="O576" s="559"/>
    </row>
    <row r="577" spans="1:15" s="540" customFormat="1" ht="14.25" customHeight="1">
      <c r="A577" s="1536">
        <v>53</v>
      </c>
      <c r="B577" s="1537" t="e">
        <f>VLOOKUP(D577,'[2]DS CN MOI UP'!$B$11:$C$447,2,0)</f>
        <v>#N/A</v>
      </c>
      <c r="C577" s="1538" t="s">
        <v>651</v>
      </c>
      <c r="D577" s="1539" t="s">
        <v>1078</v>
      </c>
      <c r="E577" s="166" t="s">
        <v>15</v>
      </c>
      <c r="F577" s="166"/>
      <c r="G577" s="1540">
        <v>40000</v>
      </c>
      <c r="H577" s="1466">
        <v>544338.9</v>
      </c>
      <c r="I577" s="1466">
        <v>544338.9</v>
      </c>
      <c r="J577" s="1466">
        <f t="shared" si="25"/>
        <v>1128677.8</v>
      </c>
      <c r="K577" s="1466"/>
      <c r="L577" s="1540"/>
      <c r="M577" s="1540">
        <f t="shared" si="26"/>
        <v>1128677.8</v>
      </c>
      <c r="N577" s="1539"/>
      <c r="O577" s="559"/>
    </row>
    <row r="578" spans="1:15" s="540" customFormat="1" ht="14.25" customHeight="1">
      <c r="A578" s="1547">
        <v>54</v>
      </c>
      <c r="B578" s="1537" t="e">
        <f>VLOOKUP(D578,'[2]DS CN MOI UP'!$B$11:$C$447,2,0)</f>
        <v>#N/A</v>
      </c>
      <c r="C578" s="1538" t="s">
        <v>651</v>
      </c>
      <c r="D578" s="1539" t="s">
        <v>1079</v>
      </c>
      <c r="E578" s="166" t="s">
        <v>15</v>
      </c>
      <c r="F578" s="166"/>
      <c r="G578" s="1540">
        <v>40000</v>
      </c>
      <c r="H578" s="1466">
        <v>574572.66299999994</v>
      </c>
      <c r="I578" s="1466">
        <v>574572.66299999994</v>
      </c>
      <c r="J578" s="1466">
        <f t="shared" si="25"/>
        <v>1189145.3259999999</v>
      </c>
      <c r="K578" s="1466"/>
      <c r="L578" s="1540"/>
      <c r="M578" s="1540">
        <f t="shared" si="26"/>
        <v>1189145.3259999999</v>
      </c>
      <c r="N578" s="1539"/>
      <c r="O578" s="559"/>
    </row>
    <row r="579" spans="1:15" s="540" customFormat="1" ht="14.25" customHeight="1">
      <c r="A579" s="1547">
        <v>55</v>
      </c>
      <c r="B579" s="1537" t="e">
        <f>VLOOKUP(D579,'[2]DS CN MOI UP'!$B$11:$C$447,2,0)</f>
        <v>#N/A</v>
      </c>
      <c r="C579" s="1538" t="s">
        <v>651</v>
      </c>
      <c r="D579" s="1539" t="s">
        <v>1080</v>
      </c>
      <c r="E579" s="166" t="s">
        <v>15</v>
      </c>
      <c r="F579" s="166"/>
      <c r="G579" s="1540">
        <v>40000</v>
      </c>
      <c r="H579" s="1466">
        <v>604806.42599999998</v>
      </c>
      <c r="I579" s="1466">
        <v>604806.42599999998</v>
      </c>
      <c r="J579" s="1466">
        <f t="shared" si="25"/>
        <v>1249612.852</v>
      </c>
      <c r="K579" s="1466"/>
      <c r="L579" s="1540"/>
      <c r="M579" s="1540">
        <f t="shared" si="26"/>
        <v>1249612.852</v>
      </c>
      <c r="N579" s="1539"/>
      <c r="O579" s="559"/>
    </row>
    <row r="580" spans="1:15" s="540" customFormat="1" ht="14.25" customHeight="1">
      <c r="A580" s="1536">
        <v>56</v>
      </c>
      <c r="B580" s="1537" t="e">
        <f>VLOOKUP(D580,'[2]DS CN MOI UP'!$B$11:$C$447,2,0)</f>
        <v>#N/A</v>
      </c>
      <c r="C580" s="1538" t="s">
        <v>651</v>
      </c>
      <c r="D580" s="1539" t="s">
        <v>51</v>
      </c>
      <c r="E580" s="166" t="s">
        <v>15</v>
      </c>
      <c r="F580" s="166"/>
      <c r="G580" s="1540">
        <v>40000</v>
      </c>
      <c r="H580" s="1466">
        <v>584606.86199999996</v>
      </c>
      <c r="I580" s="1466">
        <v>584606.86199999996</v>
      </c>
      <c r="J580" s="1466">
        <f t="shared" si="25"/>
        <v>1209213.7239999999</v>
      </c>
      <c r="K580" s="1466"/>
      <c r="L580" s="1540"/>
      <c r="M580" s="1540">
        <f t="shared" si="26"/>
        <v>1209213.7239999999</v>
      </c>
      <c r="N580" s="1539"/>
      <c r="O580" s="559"/>
    </row>
    <row r="581" spans="1:15" s="540" customFormat="1" ht="14.25" customHeight="1">
      <c r="A581" s="1547">
        <v>57</v>
      </c>
      <c r="B581" s="1537" t="str">
        <f>VLOOKUP(D581,'[2]DS CN MOI UP'!$B$11:$C$447,2,0)</f>
        <v>03326</v>
      </c>
      <c r="C581" s="1538" t="s">
        <v>651</v>
      </c>
      <c r="D581" s="1539" t="s">
        <v>29</v>
      </c>
      <c r="E581" s="166" t="s">
        <v>15</v>
      </c>
      <c r="F581" s="166"/>
      <c r="G581" s="1540"/>
      <c r="H581" s="1466">
        <v>635040.18900000001</v>
      </c>
      <c r="I581" s="1466">
        <v>635040.18900000001</v>
      </c>
      <c r="J581" s="1466">
        <f t="shared" si="25"/>
        <v>1270080.378</v>
      </c>
      <c r="K581" s="1466"/>
      <c r="L581" s="1540"/>
      <c r="M581" s="1540">
        <f t="shared" si="26"/>
        <v>1270080.378</v>
      </c>
      <c r="N581" s="1539"/>
      <c r="O581" s="559"/>
    </row>
    <row r="582" spans="1:15" s="540" customFormat="1" ht="14.25" customHeight="1">
      <c r="A582" s="1547">
        <v>58</v>
      </c>
      <c r="B582" s="1537" t="e">
        <f>VLOOKUP(D582,'[2]DS CN MOI UP'!$B$11:$C$447,2,0)</f>
        <v>#N/A</v>
      </c>
      <c r="C582" s="1538" t="s">
        <v>654</v>
      </c>
      <c r="D582" s="1539" t="s">
        <v>1081</v>
      </c>
      <c r="E582" s="166" t="s">
        <v>15</v>
      </c>
      <c r="F582" s="166"/>
      <c r="G582" s="1540">
        <v>40000</v>
      </c>
      <c r="H582" s="1466">
        <v>524139.33600000001</v>
      </c>
      <c r="I582" s="1466">
        <v>524139.33600000001</v>
      </c>
      <c r="J582" s="1466">
        <f t="shared" si="25"/>
        <v>1088278.672</v>
      </c>
      <c r="K582" s="1466"/>
      <c r="L582" s="1540"/>
      <c r="M582" s="1540">
        <f t="shared" si="26"/>
        <v>1088278.672</v>
      </c>
      <c r="N582" s="1539"/>
      <c r="O582" s="559"/>
    </row>
    <row r="583" spans="1:15" s="540" customFormat="1" ht="14.25" customHeight="1">
      <c r="A583" s="1536">
        <v>59</v>
      </c>
      <c r="B583" s="1537" t="str">
        <f>VLOOKUP(D583,'[2]DS CN MOI UP'!$B$11:$C$447,2,0)</f>
        <v>03324</v>
      </c>
      <c r="C583" s="1538" t="s">
        <v>654</v>
      </c>
      <c r="D583" s="1539" t="s">
        <v>27</v>
      </c>
      <c r="E583" s="166" t="s">
        <v>15</v>
      </c>
      <c r="F583" s="166"/>
      <c r="G583" s="1540">
        <v>40000</v>
      </c>
      <c r="H583" s="1466">
        <v>554373.09900000005</v>
      </c>
      <c r="I583" s="1466">
        <v>554373.09900000005</v>
      </c>
      <c r="J583" s="1466">
        <f t="shared" si="25"/>
        <v>1148746.1980000001</v>
      </c>
      <c r="K583" s="1466"/>
      <c r="L583" s="1540"/>
      <c r="M583" s="1540">
        <f t="shared" si="26"/>
        <v>1148746.1980000001</v>
      </c>
      <c r="N583" s="1539"/>
      <c r="O583" s="559"/>
    </row>
    <row r="584" spans="1:15" s="540" customFormat="1" ht="14.25" customHeight="1">
      <c r="A584" s="1547">
        <v>60</v>
      </c>
      <c r="B584" s="1537" t="str">
        <f>VLOOKUP(D584,'[2]DS CN MOI UP'!$B$11:$C$447,2,0)</f>
        <v>03325</v>
      </c>
      <c r="C584" s="1538" t="s">
        <v>654</v>
      </c>
      <c r="D584" s="1539" t="s">
        <v>28</v>
      </c>
      <c r="E584" s="166" t="s">
        <v>15</v>
      </c>
      <c r="F584" s="166"/>
      <c r="G584" s="1540">
        <v>40000</v>
      </c>
      <c r="H584" s="1466">
        <v>554373.09900000005</v>
      </c>
      <c r="I584" s="1466">
        <v>554373.09900000005</v>
      </c>
      <c r="J584" s="1466">
        <f t="shared" si="25"/>
        <v>1148746.1980000001</v>
      </c>
      <c r="K584" s="1466"/>
      <c r="L584" s="1540"/>
      <c r="M584" s="1540">
        <f t="shared" si="26"/>
        <v>1148746.1980000001</v>
      </c>
      <c r="N584" s="1539"/>
      <c r="O584" s="559"/>
    </row>
    <row r="585" spans="1:15" s="540" customFormat="1" ht="14.25" customHeight="1">
      <c r="A585" s="1547">
        <v>61</v>
      </c>
      <c r="B585" s="1537" t="str">
        <f>VLOOKUP(D585,'[2]DS CN MOI UP'!$B$11:$C$447,2,0)</f>
        <v>03334</v>
      </c>
      <c r="C585" s="1538" t="s">
        <v>654</v>
      </c>
      <c r="D585" s="1539" t="s">
        <v>64</v>
      </c>
      <c r="E585" s="166" t="s">
        <v>15</v>
      </c>
      <c r="F585" s="166"/>
      <c r="G585" s="1540">
        <v>40000</v>
      </c>
      <c r="H585" s="1466">
        <v>614840.625</v>
      </c>
      <c r="I585" s="1466">
        <v>554373.09900000005</v>
      </c>
      <c r="J585" s="1466">
        <f t="shared" si="25"/>
        <v>1209213.7239999999</v>
      </c>
      <c r="K585" s="1466"/>
      <c r="L585" s="1540"/>
      <c r="M585" s="1540">
        <f t="shared" si="26"/>
        <v>1209213.7239999999</v>
      </c>
      <c r="N585" s="1539"/>
      <c r="O585" s="559"/>
    </row>
    <row r="586" spans="1:15" s="540" customFormat="1" ht="14.25" customHeight="1">
      <c r="A586" s="1536">
        <v>62</v>
      </c>
      <c r="B586" s="1537" t="str">
        <f>VLOOKUP(D586,'[2]DS CN MOI UP'!$B$11:$C$447,2,0)</f>
        <v>03426</v>
      </c>
      <c r="C586" s="1538" t="s">
        <v>654</v>
      </c>
      <c r="D586" s="1539" t="s">
        <v>386</v>
      </c>
      <c r="E586" s="166" t="s">
        <v>15</v>
      </c>
      <c r="F586" s="166"/>
      <c r="G586" s="1540">
        <v>40000</v>
      </c>
      <c r="H586" s="1466">
        <v>614840.625</v>
      </c>
      <c r="I586" s="1466">
        <v>554373.09900000005</v>
      </c>
      <c r="J586" s="1466">
        <f t="shared" si="25"/>
        <v>1209213.7239999999</v>
      </c>
      <c r="K586" s="1466"/>
      <c r="L586" s="1540"/>
      <c r="M586" s="1540">
        <f t="shared" si="26"/>
        <v>1209213.7239999999</v>
      </c>
      <c r="N586" s="1539"/>
      <c r="O586" s="559"/>
    </row>
    <row r="587" spans="1:15" s="540" customFormat="1" ht="14.25" customHeight="1">
      <c r="A587" s="1547">
        <v>63</v>
      </c>
      <c r="B587" s="1537" t="str">
        <f>VLOOKUP(D587,'[2]DS CN MOI UP'!$B$11:$C$447,2,0)</f>
        <v>02485</v>
      </c>
      <c r="C587" s="1538" t="s">
        <v>654</v>
      </c>
      <c r="D587" s="1539" t="s">
        <v>31</v>
      </c>
      <c r="E587" s="166" t="s">
        <v>15</v>
      </c>
      <c r="F587" s="166"/>
      <c r="G587" s="1540">
        <v>40000</v>
      </c>
      <c r="H587" s="1466">
        <v>614840.625</v>
      </c>
      <c r="I587" s="1466">
        <v>554373.09900000005</v>
      </c>
      <c r="J587" s="1466">
        <f t="shared" si="25"/>
        <v>1209213.7239999999</v>
      </c>
      <c r="K587" s="1466"/>
      <c r="L587" s="1540"/>
      <c r="M587" s="1540">
        <f t="shared" si="26"/>
        <v>1209213.7239999999</v>
      </c>
      <c r="N587" s="1539"/>
      <c r="O587" s="559"/>
    </row>
    <row r="588" spans="1:15" s="540" customFormat="1" ht="14.25" customHeight="1">
      <c r="A588" s="1547">
        <v>64</v>
      </c>
      <c r="B588" s="1537" t="e">
        <f>VLOOKUP(D588,'[2]DS CN MOI UP'!$B$11:$C$447,2,0)</f>
        <v>#N/A</v>
      </c>
      <c r="C588" s="1538" t="s">
        <v>654</v>
      </c>
      <c r="D588" s="1539" t="s">
        <v>1082</v>
      </c>
      <c r="E588" s="166" t="s">
        <v>15</v>
      </c>
      <c r="F588" s="166"/>
      <c r="G588" s="1540">
        <v>40000</v>
      </c>
      <c r="H588" s="1466">
        <v>614840.625</v>
      </c>
      <c r="I588" s="1466">
        <v>554373.09900000005</v>
      </c>
      <c r="J588" s="1466">
        <f t="shared" si="25"/>
        <v>1209213.7239999999</v>
      </c>
      <c r="K588" s="1466"/>
      <c r="L588" s="1540"/>
      <c r="M588" s="1540">
        <f t="shared" si="26"/>
        <v>1209213.7239999999</v>
      </c>
      <c r="N588" s="1539"/>
      <c r="O588" s="559"/>
    </row>
    <row r="589" spans="1:15" s="540" customFormat="1" ht="14.25" customHeight="1">
      <c r="A589" s="1536">
        <v>65</v>
      </c>
      <c r="B589" s="1537" t="str">
        <f>VLOOKUP(D589,'[2]DS CN MOI UP'!$B$11:$C$447,2,0)</f>
        <v>02451</v>
      </c>
      <c r="C589" s="1538" t="s">
        <v>654</v>
      </c>
      <c r="D589" s="1539" t="s">
        <v>60</v>
      </c>
      <c r="E589" s="166" t="s">
        <v>15</v>
      </c>
      <c r="F589" s="166"/>
      <c r="G589" s="1540">
        <v>40000</v>
      </c>
      <c r="H589" s="1466">
        <v>614840.625</v>
      </c>
      <c r="I589" s="1466">
        <v>554373.09900000005</v>
      </c>
      <c r="J589" s="1466">
        <f t="shared" si="25"/>
        <v>1209213.7239999999</v>
      </c>
      <c r="K589" s="1466"/>
      <c r="L589" s="1540"/>
      <c r="M589" s="1540">
        <f t="shared" si="26"/>
        <v>1209213.7239999999</v>
      </c>
      <c r="N589" s="1539"/>
      <c r="O589" s="559"/>
    </row>
    <row r="590" spans="1:15" s="540" customFormat="1" ht="14.25" customHeight="1">
      <c r="A590" s="1547">
        <v>66</v>
      </c>
      <c r="B590" s="1537" t="e">
        <f>VLOOKUP(D590,'[2]DS CN MOI UP'!$B$11:$C$447,2,0)</f>
        <v>#N/A</v>
      </c>
      <c r="C590" s="1538" t="s">
        <v>654</v>
      </c>
      <c r="D590" s="1539" t="s">
        <v>1083</v>
      </c>
      <c r="E590" s="166" t="s">
        <v>15</v>
      </c>
      <c r="F590" s="166"/>
      <c r="G590" s="1540">
        <v>40000</v>
      </c>
      <c r="H590" s="1466">
        <v>544338.9</v>
      </c>
      <c r="I590" s="1466">
        <v>554373.09900000005</v>
      </c>
      <c r="J590" s="1466">
        <f t="shared" si="25"/>
        <v>1138711.9990000001</v>
      </c>
      <c r="K590" s="1466"/>
      <c r="L590" s="1540"/>
      <c r="M590" s="1540">
        <f t="shared" si="26"/>
        <v>1138711.9990000001</v>
      </c>
      <c r="N590" s="1539"/>
      <c r="O590" s="559"/>
    </row>
    <row r="591" spans="1:15" s="540" customFormat="1" ht="14.25" customHeight="1">
      <c r="A591" s="1547">
        <v>67</v>
      </c>
      <c r="B591" s="1537" t="str">
        <f>VLOOKUP(D591,'[2]DS CN MOI UP'!$B$11:$C$447,2,0)</f>
        <v>02452</v>
      </c>
      <c r="C591" s="1538" t="s">
        <v>654</v>
      </c>
      <c r="D591" s="1539" t="s">
        <v>22</v>
      </c>
      <c r="E591" s="166" t="s">
        <v>15</v>
      </c>
      <c r="F591" s="166"/>
      <c r="G591" s="1540">
        <v>40000</v>
      </c>
      <c r="H591" s="1466">
        <v>574572.66299999994</v>
      </c>
      <c r="I591" s="1466">
        <v>554373.09900000005</v>
      </c>
      <c r="J591" s="1466">
        <f t="shared" si="25"/>
        <v>1168945.7620000001</v>
      </c>
      <c r="K591" s="1466"/>
      <c r="L591" s="1540"/>
      <c r="M591" s="1540">
        <f t="shared" si="26"/>
        <v>1168945.7620000001</v>
      </c>
      <c r="N591" s="1539"/>
      <c r="O591" s="559"/>
    </row>
    <row r="592" spans="1:15" s="540" customFormat="1" ht="14.25" customHeight="1">
      <c r="A592" s="1536">
        <v>68</v>
      </c>
      <c r="B592" s="1537" t="e">
        <f>VLOOKUP(D592,'[2]DS CN MOI UP'!$B$11:$C$447,2,0)</f>
        <v>#N/A</v>
      </c>
      <c r="C592" s="1538" t="s">
        <v>654</v>
      </c>
      <c r="D592" s="1539" t="s">
        <v>1084</v>
      </c>
      <c r="E592" s="166" t="s">
        <v>15</v>
      </c>
      <c r="F592" s="166"/>
      <c r="G592" s="1540">
        <v>40000</v>
      </c>
      <c r="H592" s="1466">
        <v>604806.42599999998</v>
      </c>
      <c r="I592" s="1466">
        <v>554373.09900000005</v>
      </c>
      <c r="J592" s="1466">
        <f t="shared" si="25"/>
        <v>1199179.5249999999</v>
      </c>
      <c r="K592" s="1466"/>
      <c r="L592" s="1540"/>
      <c r="M592" s="1540">
        <f t="shared" si="26"/>
        <v>1199179.5249999999</v>
      </c>
      <c r="N592" s="1539"/>
      <c r="O592" s="559"/>
    </row>
    <row r="593" spans="1:15" s="540" customFormat="1" ht="14.25" customHeight="1">
      <c r="A593" s="1547">
        <v>69</v>
      </c>
      <c r="B593" s="1537" t="e">
        <f>VLOOKUP(D593,'[2]DS CN MOI UP'!$B$11:$C$447,2,0)</f>
        <v>#N/A</v>
      </c>
      <c r="C593" s="1538" t="s">
        <v>654</v>
      </c>
      <c r="D593" s="1539" t="s">
        <v>555</v>
      </c>
      <c r="E593" s="166" t="s">
        <v>15</v>
      </c>
      <c r="F593" s="166"/>
      <c r="G593" s="1540">
        <v>40000</v>
      </c>
      <c r="H593" s="1466">
        <v>584606.86199999996</v>
      </c>
      <c r="I593" s="1466">
        <v>554373.09900000005</v>
      </c>
      <c r="J593" s="1466">
        <f t="shared" si="25"/>
        <v>1178979.9609999999</v>
      </c>
      <c r="K593" s="1466"/>
      <c r="L593" s="1540"/>
      <c r="M593" s="1540">
        <f t="shared" si="26"/>
        <v>1178979.9609999999</v>
      </c>
      <c r="N593" s="1539"/>
      <c r="O593" s="559"/>
    </row>
    <row r="594" spans="1:15" s="540" customFormat="1" ht="14.25" customHeight="1">
      <c r="A594" s="1547">
        <v>70</v>
      </c>
      <c r="B594" s="1537" t="e">
        <f>VLOOKUP(D594,'[2]DS CN MOI UP'!$B$11:$C$447,2,0)</f>
        <v>#N/A</v>
      </c>
      <c r="C594" s="1538" t="s">
        <v>654</v>
      </c>
      <c r="D594" s="1539" t="s">
        <v>1085</v>
      </c>
      <c r="E594" s="166" t="s">
        <v>15</v>
      </c>
      <c r="F594" s="166"/>
      <c r="G594" s="1540">
        <v>40000</v>
      </c>
      <c r="H594" s="1466">
        <v>635040.18900000001</v>
      </c>
      <c r="I594" s="1466">
        <v>554373.09900000005</v>
      </c>
      <c r="J594" s="1466">
        <f t="shared" si="25"/>
        <v>1229413.2879999999</v>
      </c>
      <c r="K594" s="1466"/>
      <c r="L594" s="1540"/>
      <c r="M594" s="1540">
        <f t="shared" si="26"/>
        <v>1229413.2879999999</v>
      </c>
      <c r="N594" s="1539"/>
      <c r="O594" s="559"/>
    </row>
    <row r="595" spans="1:15" s="540" customFormat="1" ht="14.25" customHeight="1">
      <c r="A595" s="1536">
        <v>71</v>
      </c>
      <c r="B595" s="1537" t="str">
        <f>VLOOKUP(D595,'[2]DS CN MOI UP'!$B$11:$C$447,2,0)</f>
        <v>02454</v>
      </c>
      <c r="C595" s="1538" t="s">
        <v>654</v>
      </c>
      <c r="D595" s="1539" t="s">
        <v>71</v>
      </c>
      <c r="E595" s="166" t="s">
        <v>15</v>
      </c>
      <c r="F595" s="166"/>
      <c r="G595" s="1540">
        <v>40000</v>
      </c>
      <c r="H595" s="1466">
        <v>524139.33600000001</v>
      </c>
      <c r="I595" s="1466">
        <v>524139.33600000001</v>
      </c>
      <c r="J595" s="1466">
        <f t="shared" si="25"/>
        <v>1088278.672</v>
      </c>
      <c r="K595" s="1466"/>
      <c r="L595" s="1540"/>
      <c r="M595" s="1540">
        <f t="shared" si="26"/>
        <v>1088278.672</v>
      </c>
      <c r="N595" s="1539"/>
      <c r="O595" s="559"/>
    </row>
    <row r="596" spans="1:15" s="540" customFormat="1" ht="14.25" customHeight="1">
      <c r="A596" s="1547">
        <v>72</v>
      </c>
      <c r="B596" s="1537" t="e">
        <f>VLOOKUP(D596,'[2]DS CN MOI UP'!$B$11:$C$447,2,0)</f>
        <v>#N/A</v>
      </c>
      <c r="C596" s="1538" t="s">
        <v>654</v>
      </c>
      <c r="D596" s="1539" t="s">
        <v>1086</v>
      </c>
      <c r="E596" s="166" t="s">
        <v>15</v>
      </c>
      <c r="F596" s="166"/>
      <c r="G596" s="1540">
        <v>40000</v>
      </c>
      <c r="H596" s="1466">
        <v>635040.18900000001</v>
      </c>
      <c r="I596" s="1466">
        <v>524139.33600000001</v>
      </c>
      <c r="J596" s="1466">
        <f t="shared" si="25"/>
        <v>1199179.5249999999</v>
      </c>
      <c r="K596" s="1466"/>
      <c r="L596" s="1540"/>
      <c r="M596" s="1540">
        <f t="shared" si="26"/>
        <v>1199179.5249999999</v>
      </c>
      <c r="N596" s="1539"/>
      <c r="O596" s="559"/>
    </row>
    <row r="597" spans="1:15" s="540" customFormat="1" ht="14.25" customHeight="1">
      <c r="A597" s="1547">
        <v>73</v>
      </c>
      <c r="B597" s="1537" t="str">
        <f>VLOOKUP(D597,'[2]DS CN MOI UP'!$B$11:$C$447,2,0)</f>
        <v>02455</v>
      </c>
      <c r="C597" s="1538" t="s">
        <v>654</v>
      </c>
      <c r="D597" s="1539" t="s">
        <v>47</v>
      </c>
      <c r="E597" s="166" t="s">
        <v>15</v>
      </c>
      <c r="F597" s="166"/>
      <c r="G597" s="1540">
        <v>40000</v>
      </c>
      <c r="H597" s="1466">
        <v>635040.18900000001</v>
      </c>
      <c r="I597" s="1466">
        <v>524139.33600000001</v>
      </c>
      <c r="J597" s="1466">
        <f t="shared" si="25"/>
        <v>1199179.5249999999</v>
      </c>
      <c r="K597" s="1466"/>
      <c r="L597" s="1540"/>
      <c r="M597" s="1540">
        <f t="shared" si="26"/>
        <v>1199179.5249999999</v>
      </c>
      <c r="N597" s="1539"/>
      <c r="O597" s="559"/>
    </row>
    <row r="598" spans="1:15" s="540" customFormat="1" ht="14.25" customHeight="1">
      <c r="A598" s="1536">
        <v>74</v>
      </c>
      <c r="B598" s="1537" t="e">
        <f>VLOOKUP(D598,'[2]DS CN MOI UP'!$B$11:$C$447,2,0)</f>
        <v>#N/A</v>
      </c>
      <c r="C598" s="1538" t="s">
        <v>654</v>
      </c>
      <c r="D598" s="1539" t="s">
        <v>1087</v>
      </c>
      <c r="E598" s="166" t="s">
        <v>15</v>
      </c>
      <c r="F598" s="166"/>
      <c r="G598" s="1540">
        <v>40000</v>
      </c>
      <c r="H598" s="1466">
        <v>635040.18900000001</v>
      </c>
      <c r="I598" s="1466">
        <v>524139.33600000001</v>
      </c>
      <c r="J598" s="1466">
        <f t="shared" si="25"/>
        <v>1199179.5249999999</v>
      </c>
      <c r="K598" s="1466"/>
      <c r="L598" s="1540"/>
      <c r="M598" s="1540">
        <f t="shared" si="26"/>
        <v>1199179.5249999999</v>
      </c>
      <c r="N598" s="1539"/>
      <c r="O598" s="559"/>
    </row>
    <row r="599" spans="1:15" s="540" customFormat="1" ht="14.25" customHeight="1">
      <c r="A599" s="1547">
        <v>75</v>
      </c>
      <c r="B599" s="1537" t="str">
        <f>VLOOKUP(D599,'[2]DS CN MOI UP'!$B$11:$C$447,2,0)</f>
        <v>02456</v>
      </c>
      <c r="C599" s="1538" t="s">
        <v>654</v>
      </c>
      <c r="D599" s="1539" t="s">
        <v>89</v>
      </c>
      <c r="E599" s="166" t="s">
        <v>15</v>
      </c>
      <c r="F599" s="166"/>
      <c r="G599" s="1540">
        <v>40000</v>
      </c>
      <c r="H599" s="1466">
        <v>635040.18900000001</v>
      </c>
      <c r="I599" s="1466">
        <v>524139.33600000001</v>
      </c>
      <c r="J599" s="1466">
        <f t="shared" si="25"/>
        <v>1199179.5249999999</v>
      </c>
      <c r="K599" s="1466"/>
      <c r="L599" s="1540"/>
      <c r="M599" s="1540">
        <f t="shared" si="26"/>
        <v>1199179.5249999999</v>
      </c>
      <c r="N599" s="1539"/>
      <c r="O599" s="559"/>
    </row>
    <row r="600" spans="1:15" s="540" customFormat="1" ht="14.25" customHeight="1">
      <c r="A600" s="1547">
        <v>76</v>
      </c>
      <c r="B600" s="1537" t="e">
        <f>VLOOKUP(D600,'[2]DS CN MOI UP'!$B$11:$C$447,2,0)</f>
        <v>#N/A</v>
      </c>
      <c r="C600" s="1538" t="s">
        <v>654</v>
      </c>
      <c r="D600" s="1539" t="s">
        <v>1088</v>
      </c>
      <c r="E600" s="166" t="s">
        <v>15</v>
      </c>
      <c r="F600" s="166"/>
      <c r="G600" s="1540">
        <v>40000</v>
      </c>
      <c r="H600" s="1466">
        <v>635040.18900000001</v>
      </c>
      <c r="I600" s="1466">
        <v>524139.33600000001</v>
      </c>
      <c r="J600" s="1466">
        <f t="shared" si="25"/>
        <v>1199179.5249999999</v>
      </c>
      <c r="K600" s="1466"/>
      <c r="L600" s="1540"/>
      <c r="M600" s="1540">
        <f t="shared" si="26"/>
        <v>1199179.5249999999</v>
      </c>
      <c r="N600" s="1539"/>
      <c r="O600" s="559"/>
    </row>
    <row r="601" spans="1:15" s="540" customFormat="1" ht="14.25" customHeight="1">
      <c r="A601" s="1536">
        <v>77</v>
      </c>
      <c r="B601" s="1537" t="str">
        <f>VLOOKUP(D601,'[2]DS CN MOI UP'!$B$11:$C$447,2,0)</f>
        <v>02457</v>
      </c>
      <c r="C601" s="1538" t="s">
        <v>654</v>
      </c>
      <c r="D601" s="1539" t="s">
        <v>63</v>
      </c>
      <c r="E601" s="166" t="s">
        <v>15</v>
      </c>
      <c r="F601" s="166"/>
      <c r="G601" s="1540">
        <v>40000</v>
      </c>
      <c r="H601" s="1466">
        <v>635040.18900000001</v>
      </c>
      <c r="I601" s="1466">
        <v>524139.33600000001</v>
      </c>
      <c r="J601" s="1466">
        <f t="shared" si="25"/>
        <v>1199179.5249999999</v>
      </c>
      <c r="K601" s="1466"/>
      <c r="L601" s="1540"/>
      <c r="M601" s="1540">
        <f t="shared" si="26"/>
        <v>1199179.5249999999</v>
      </c>
      <c r="N601" s="1539"/>
      <c r="O601" s="559"/>
    </row>
    <row r="602" spans="1:15" s="540" customFormat="1" ht="14.25" customHeight="1">
      <c r="A602" s="1547">
        <v>78</v>
      </c>
      <c r="B602" s="1537" t="e">
        <f>VLOOKUP(D602,'[2]DS CN MOI UP'!$B$11:$C$447,2,0)</f>
        <v>#N/A</v>
      </c>
      <c r="C602" s="1538" t="s">
        <v>654</v>
      </c>
      <c r="D602" s="1539" t="s">
        <v>1089</v>
      </c>
      <c r="E602" s="166" t="s">
        <v>15</v>
      </c>
      <c r="F602" s="166"/>
      <c r="G602" s="1540">
        <v>40000</v>
      </c>
      <c r="H602" s="1466">
        <v>635040.18900000001</v>
      </c>
      <c r="I602" s="1466">
        <v>614840.625</v>
      </c>
      <c r="J602" s="1466">
        <f t="shared" si="25"/>
        <v>1289880.814</v>
      </c>
      <c r="K602" s="1466"/>
      <c r="L602" s="1540"/>
      <c r="M602" s="1540">
        <f t="shared" si="26"/>
        <v>1289880.814</v>
      </c>
      <c r="N602" s="1539"/>
      <c r="O602" s="559"/>
    </row>
    <row r="603" spans="1:15" s="540" customFormat="1" ht="14.25" customHeight="1">
      <c r="A603" s="1547">
        <v>79</v>
      </c>
      <c r="B603" s="1537" t="e">
        <f>VLOOKUP(D603,'[2]DS CN MOI UP'!$B$11:$C$447,2,0)</f>
        <v>#N/A</v>
      </c>
      <c r="C603" s="1538" t="s">
        <v>654</v>
      </c>
      <c r="D603" s="1539" t="s">
        <v>929</v>
      </c>
      <c r="E603" s="166" t="s">
        <v>15</v>
      </c>
      <c r="F603" s="166"/>
      <c r="G603" s="1540">
        <v>40000</v>
      </c>
      <c r="H603" s="1466">
        <v>554373.09900000005</v>
      </c>
      <c r="I603" s="1466">
        <v>554373.09900000005</v>
      </c>
      <c r="J603" s="1466">
        <f t="shared" si="25"/>
        <v>1148746.1980000001</v>
      </c>
      <c r="K603" s="1466"/>
      <c r="L603" s="1540"/>
      <c r="M603" s="1540">
        <f t="shared" si="26"/>
        <v>1148746.1980000001</v>
      </c>
      <c r="N603" s="1539"/>
      <c r="O603" s="559"/>
    </row>
    <row r="604" spans="1:15" s="540" customFormat="1" ht="14.25" customHeight="1">
      <c r="A604" s="1536">
        <v>80</v>
      </c>
      <c r="B604" s="1537" t="str">
        <f>VLOOKUP(D604,'[2]DS CN MOI UP'!$B$11:$C$447,2,0)</f>
        <v>02458</v>
      </c>
      <c r="C604" s="1538" t="s">
        <v>654</v>
      </c>
      <c r="D604" s="1539" t="s">
        <v>492</v>
      </c>
      <c r="E604" s="166" t="s">
        <v>15</v>
      </c>
      <c r="F604" s="166"/>
      <c r="G604" s="1540">
        <v>40000</v>
      </c>
      <c r="H604" s="1466">
        <v>554373.09900000005</v>
      </c>
      <c r="I604" s="1466">
        <v>554373.09900000005</v>
      </c>
      <c r="J604" s="1466">
        <f t="shared" si="25"/>
        <v>1148746.1980000001</v>
      </c>
      <c r="K604" s="1466"/>
      <c r="L604" s="1540"/>
      <c r="M604" s="1540">
        <f t="shared" si="26"/>
        <v>1148746.1980000001</v>
      </c>
      <c r="N604" s="1539"/>
      <c r="O604" s="559"/>
    </row>
    <row r="605" spans="1:15" s="540" customFormat="1" ht="14.25" customHeight="1">
      <c r="A605" s="1547">
        <v>81</v>
      </c>
      <c r="B605" s="1537" t="e">
        <f>VLOOKUP(D605,'[2]DS CN MOI UP'!$B$11:$C$447,2,0)</f>
        <v>#N/A</v>
      </c>
      <c r="C605" s="1538" t="s">
        <v>654</v>
      </c>
      <c r="D605" s="1539" t="s">
        <v>1090</v>
      </c>
      <c r="E605" s="166" t="s">
        <v>15</v>
      </c>
      <c r="F605" s="166"/>
      <c r="G605" s="1540">
        <v>40000</v>
      </c>
      <c r="H605" s="1466">
        <v>554373.09900000005</v>
      </c>
      <c r="I605" s="1466">
        <v>554373.09900000005</v>
      </c>
      <c r="J605" s="1466">
        <f t="shared" si="25"/>
        <v>1148746.1980000001</v>
      </c>
      <c r="K605" s="1466"/>
      <c r="L605" s="1540"/>
      <c r="M605" s="1540">
        <f t="shared" si="26"/>
        <v>1148746.1980000001</v>
      </c>
      <c r="N605" s="1539"/>
      <c r="O605" s="559"/>
    </row>
    <row r="606" spans="1:15" s="540" customFormat="1" ht="14.25" customHeight="1">
      <c r="A606" s="1547">
        <v>82</v>
      </c>
      <c r="B606" s="1537" t="str">
        <f>VLOOKUP(D606,'[2]DS CN MOI UP'!$B$11:$C$447,2,0)</f>
        <v>02459</v>
      </c>
      <c r="C606" s="1538" t="s">
        <v>654</v>
      </c>
      <c r="D606" s="1539" t="s">
        <v>48</v>
      </c>
      <c r="E606" s="166" t="s">
        <v>15</v>
      </c>
      <c r="F606" s="166"/>
      <c r="G606" s="1540"/>
      <c r="H606" s="1466">
        <v>635040.18900000001</v>
      </c>
      <c r="I606" s="1466">
        <v>635040.18900000001</v>
      </c>
      <c r="J606" s="1466">
        <f t="shared" si="25"/>
        <v>1270080.378</v>
      </c>
      <c r="K606" s="1466"/>
      <c r="L606" s="1540"/>
      <c r="M606" s="1540">
        <f t="shared" si="26"/>
        <v>1270080.378</v>
      </c>
      <c r="N606" s="1539"/>
      <c r="O606" s="559"/>
    </row>
    <row r="607" spans="1:15" s="540" customFormat="1" ht="14.25" customHeight="1">
      <c r="A607" s="1536">
        <v>83</v>
      </c>
      <c r="B607" s="1537" t="e">
        <f>VLOOKUP(D607,'[2]DS CN MOI UP'!$B$11:$C$447,2,0)</f>
        <v>#N/A</v>
      </c>
      <c r="C607" s="1538" t="s">
        <v>654</v>
      </c>
      <c r="D607" s="1539" t="s">
        <v>1091</v>
      </c>
      <c r="E607" s="166" t="s">
        <v>15</v>
      </c>
      <c r="F607" s="166"/>
      <c r="G607" s="1540">
        <v>40000</v>
      </c>
      <c r="H607" s="1466">
        <v>544338.9</v>
      </c>
      <c r="I607" s="1466">
        <v>544338.9</v>
      </c>
      <c r="J607" s="1466">
        <f t="shared" si="25"/>
        <v>1128677.8</v>
      </c>
      <c r="K607" s="1466"/>
      <c r="L607" s="1540"/>
      <c r="M607" s="1540">
        <f t="shared" si="26"/>
        <v>1128677.8</v>
      </c>
      <c r="N607" s="1539"/>
      <c r="O607" s="559"/>
    </row>
    <row r="608" spans="1:15" s="540" customFormat="1" ht="14.25" customHeight="1">
      <c r="A608" s="1547">
        <v>84</v>
      </c>
      <c r="B608" s="1537" t="str">
        <f>VLOOKUP(D608,'[2]DS CN MOI UP'!$B$11:$C$447,2,0)</f>
        <v>02460</v>
      </c>
      <c r="C608" s="1538" t="s">
        <v>654</v>
      </c>
      <c r="D608" s="1539" t="s">
        <v>74</v>
      </c>
      <c r="E608" s="166" t="s">
        <v>15</v>
      </c>
      <c r="F608" s="166"/>
      <c r="G608" s="1540">
        <v>40000</v>
      </c>
      <c r="H608" s="1466">
        <v>574572.66299999994</v>
      </c>
      <c r="I608" s="1466">
        <v>574572.66299999994</v>
      </c>
      <c r="J608" s="1466">
        <f t="shared" si="25"/>
        <v>1189145.3259999999</v>
      </c>
      <c r="K608" s="1466"/>
      <c r="L608" s="1540"/>
      <c r="M608" s="1540">
        <f t="shared" si="26"/>
        <v>1189145.3259999999</v>
      </c>
      <c r="N608" s="1539"/>
      <c r="O608" s="559"/>
    </row>
    <row r="609" spans="1:15" s="540" customFormat="1" ht="14.25" customHeight="1">
      <c r="A609" s="1547">
        <v>85</v>
      </c>
      <c r="B609" s="1537" t="e">
        <f>VLOOKUP(D609,'[2]DS CN MOI UP'!$B$11:$C$447,2,0)</f>
        <v>#N/A</v>
      </c>
      <c r="C609" s="1538" t="s">
        <v>654</v>
      </c>
      <c r="D609" s="1539" t="s">
        <v>1092</v>
      </c>
      <c r="E609" s="166" t="s">
        <v>15</v>
      </c>
      <c r="F609" s="166"/>
      <c r="G609" s="1540">
        <v>40000</v>
      </c>
      <c r="H609" s="1466">
        <v>604806.42599999998</v>
      </c>
      <c r="I609" s="1466">
        <v>604806.42599999998</v>
      </c>
      <c r="J609" s="1466">
        <f t="shared" si="25"/>
        <v>1249612.852</v>
      </c>
      <c r="K609" s="1466"/>
      <c r="L609" s="1540"/>
      <c r="M609" s="1540">
        <f t="shared" si="26"/>
        <v>1249612.852</v>
      </c>
      <c r="N609" s="1539"/>
      <c r="O609" s="559"/>
    </row>
    <row r="610" spans="1:15" s="540" customFormat="1" ht="14.25" customHeight="1">
      <c r="A610" s="1536">
        <v>86</v>
      </c>
      <c r="B610" s="1537"/>
      <c r="C610" s="1538" t="s">
        <v>648</v>
      </c>
      <c r="D610" s="1539" t="s">
        <v>90</v>
      </c>
      <c r="E610" s="166" t="s">
        <v>15</v>
      </c>
      <c r="F610" s="166"/>
      <c r="G610" s="1540"/>
      <c r="H610" s="1540">
        <v>554373.09900000005</v>
      </c>
      <c r="I610" s="1466">
        <v>604806.42599999998</v>
      </c>
      <c r="J610" s="1466">
        <f t="shared" si="25"/>
        <v>1159179.5249999999</v>
      </c>
      <c r="K610" s="1466"/>
      <c r="L610" s="1540"/>
      <c r="M610" s="1540">
        <f t="shared" si="26"/>
        <v>1159179.5249999999</v>
      </c>
      <c r="N610" s="1539"/>
      <c r="O610" s="559"/>
    </row>
    <row r="611" spans="1:15" s="540" customFormat="1" ht="14.25" customHeight="1">
      <c r="A611" s="1547">
        <v>87</v>
      </c>
      <c r="B611" s="1537" t="e">
        <f>VLOOKUP(D611,'[2]DS CN MOI UP'!$B$11:$C$447,2,0)</f>
        <v>#N/A</v>
      </c>
      <c r="C611" s="1538" t="s">
        <v>650</v>
      </c>
      <c r="D611" s="1539" t="s">
        <v>1093</v>
      </c>
      <c r="E611" s="166" t="s">
        <v>15</v>
      </c>
      <c r="F611" s="166"/>
      <c r="G611" s="1540"/>
      <c r="H611" s="1540">
        <v>554373.09900000005</v>
      </c>
      <c r="I611" s="1466">
        <v>604806.42599999998</v>
      </c>
      <c r="J611" s="1466">
        <f t="shared" si="25"/>
        <v>1159179.5249999999</v>
      </c>
      <c r="K611" s="1466"/>
      <c r="L611" s="1540"/>
      <c r="M611" s="1540">
        <f t="shared" si="26"/>
        <v>1159179.5249999999</v>
      </c>
      <c r="N611" s="1539"/>
      <c r="O611" s="559"/>
    </row>
    <row r="612" spans="1:15" s="540" customFormat="1" ht="14.25" customHeight="1">
      <c r="A612" s="1547">
        <v>88</v>
      </c>
      <c r="B612" s="1537" t="str">
        <f>VLOOKUP(D612,'[2]DS CN MOI UP'!$B$11:$C$447,2,0)</f>
        <v>02462</v>
      </c>
      <c r="C612" s="1538" t="s">
        <v>651</v>
      </c>
      <c r="D612" s="1539" t="s">
        <v>61</v>
      </c>
      <c r="E612" s="166" t="s">
        <v>15</v>
      </c>
      <c r="F612" s="166"/>
      <c r="G612" s="1540"/>
      <c r="H612" s="1540">
        <v>554373.09900000005</v>
      </c>
      <c r="I612" s="1466">
        <v>604806.42599999998</v>
      </c>
      <c r="J612" s="1466">
        <f t="shared" si="25"/>
        <v>1159179.5249999999</v>
      </c>
      <c r="K612" s="1466"/>
      <c r="L612" s="1540"/>
      <c r="M612" s="1540">
        <f t="shared" si="26"/>
        <v>1159179.5249999999</v>
      </c>
      <c r="N612" s="1539"/>
      <c r="O612" s="559"/>
    </row>
    <row r="613" spans="1:15" s="540" customFormat="1" ht="14.25" customHeight="1">
      <c r="A613" s="1536">
        <v>89</v>
      </c>
      <c r="B613" s="1537" t="e">
        <f>VLOOKUP(D613,'[2]DS CN MOI UP'!$B$11:$C$447,2,0)</f>
        <v>#N/A</v>
      </c>
      <c r="C613" s="1538" t="s">
        <v>651</v>
      </c>
      <c r="D613" s="1539" t="s">
        <v>1094</v>
      </c>
      <c r="E613" s="166" t="s">
        <v>15</v>
      </c>
      <c r="F613" s="166"/>
      <c r="G613" s="1540"/>
      <c r="H613" s="1540">
        <v>635040.18900000001</v>
      </c>
      <c r="I613" s="1466">
        <v>604806.42599999998</v>
      </c>
      <c r="J613" s="1466">
        <f t="shared" si="25"/>
        <v>1239846.615</v>
      </c>
      <c r="K613" s="1466"/>
      <c r="L613" s="1540"/>
      <c r="M613" s="1540">
        <f t="shared" si="26"/>
        <v>1239846.615</v>
      </c>
      <c r="N613" s="1539"/>
      <c r="O613" s="559"/>
    </row>
    <row r="614" spans="1:15" s="540" customFormat="1" ht="14.25" customHeight="1">
      <c r="A614" s="1547">
        <v>90</v>
      </c>
      <c r="B614" s="1537" t="str">
        <f>VLOOKUP(D614,'[2]DS CN MOI UP'!$B$11:$C$447,2,0)</f>
        <v>02463</v>
      </c>
      <c r="C614" s="1538" t="s">
        <v>651</v>
      </c>
      <c r="D614" s="1539" t="s">
        <v>87</v>
      </c>
      <c r="E614" s="166" t="s">
        <v>15</v>
      </c>
      <c r="F614" s="166"/>
      <c r="G614" s="1540"/>
      <c r="H614" s="1540">
        <v>544338.9</v>
      </c>
      <c r="I614" s="1466">
        <v>604806.42599999998</v>
      </c>
      <c r="J614" s="1466">
        <f t="shared" si="25"/>
        <v>1149145.3259999999</v>
      </c>
      <c r="K614" s="1466"/>
      <c r="L614" s="1540"/>
      <c r="M614" s="1540">
        <f t="shared" si="26"/>
        <v>1149145.3259999999</v>
      </c>
      <c r="N614" s="1539"/>
      <c r="O614" s="559"/>
    </row>
    <row r="615" spans="1:15" s="540" customFormat="1" ht="14.25" customHeight="1">
      <c r="A615" s="1547">
        <v>91</v>
      </c>
      <c r="B615" s="1537" t="e">
        <f>VLOOKUP(D615,'[2]DS CN MOI UP'!$B$11:$C$447,2,0)</f>
        <v>#N/A</v>
      </c>
      <c r="C615" s="1538" t="s">
        <v>651</v>
      </c>
      <c r="D615" s="1539" t="s">
        <v>1095</v>
      </c>
      <c r="E615" s="166" t="s">
        <v>15</v>
      </c>
      <c r="F615" s="166"/>
      <c r="G615" s="1540"/>
      <c r="H615" s="1540">
        <v>574572.66299999994</v>
      </c>
      <c r="I615" s="1466">
        <v>604806.42599999998</v>
      </c>
      <c r="J615" s="1466">
        <f t="shared" si="25"/>
        <v>1179379.0889999999</v>
      </c>
      <c r="K615" s="1466"/>
      <c r="L615" s="1540"/>
      <c r="M615" s="1540">
        <f t="shared" si="26"/>
        <v>1179379.0889999999</v>
      </c>
      <c r="N615" s="1539"/>
      <c r="O615" s="559"/>
    </row>
    <row r="616" spans="1:15" s="540" customFormat="1" ht="14.25" customHeight="1">
      <c r="A616" s="1536">
        <v>92</v>
      </c>
      <c r="B616" s="1537" t="e">
        <f>VLOOKUP(D616,'[2]DS CN MOI UP'!$B$11:$C$447,2,0)</f>
        <v>#N/A</v>
      </c>
      <c r="C616" s="1538" t="s">
        <v>651</v>
      </c>
      <c r="D616" s="1539" t="s">
        <v>1096</v>
      </c>
      <c r="E616" s="166" t="s">
        <v>15</v>
      </c>
      <c r="F616" s="166"/>
      <c r="G616" s="1540"/>
      <c r="H616" s="1540">
        <v>604806.42599999998</v>
      </c>
      <c r="I616" s="1466">
        <v>604806.42599999998</v>
      </c>
      <c r="J616" s="1466">
        <f t="shared" si="25"/>
        <v>1209612.852</v>
      </c>
      <c r="K616" s="1466"/>
      <c r="L616" s="1540"/>
      <c r="M616" s="1540">
        <f t="shared" si="26"/>
        <v>1209612.852</v>
      </c>
      <c r="N616" s="1539"/>
      <c r="O616" s="559"/>
    </row>
    <row r="617" spans="1:15" s="540" customFormat="1" ht="14.25" customHeight="1">
      <c r="A617" s="1547">
        <v>93</v>
      </c>
      <c r="B617" s="1537" t="str">
        <f>VLOOKUP(D617,'[2]DS CN MOI UP'!$B$11:$C$447,2,0)</f>
        <v>02464</v>
      </c>
      <c r="C617" s="1538" t="s">
        <v>651</v>
      </c>
      <c r="D617" s="1539" t="s">
        <v>88</v>
      </c>
      <c r="E617" s="166" t="s">
        <v>15</v>
      </c>
      <c r="F617" s="166"/>
      <c r="G617" s="1540"/>
      <c r="H617" s="1540">
        <v>584606.86199999996</v>
      </c>
      <c r="I617" s="1466">
        <v>604806.42599999998</v>
      </c>
      <c r="J617" s="1466">
        <f t="shared" si="25"/>
        <v>1189413.2879999999</v>
      </c>
      <c r="K617" s="1466"/>
      <c r="L617" s="1540"/>
      <c r="M617" s="1540">
        <f t="shared" si="26"/>
        <v>1189413.2879999999</v>
      </c>
      <c r="N617" s="1539"/>
      <c r="O617" s="559"/>
    </row>
    <row r="618" spans="1:15" s="540" customFormat="1" ht="14.25" customHeight="1">
      <c r="A618" s="1547">
        <v>94</v>
      </c>
      <c r="B618" s="1537" t="e">
        <f>VLOOKUP(D618,'[2]DS CN MOI UP'!$B$11:$C$447,2,0)</f>
        <v>#N/A</v>
      </c>
      <c r="C618" s="1538" t="s">
        <v>651</v>
      </c>
      <c r="D618" s="1539" t="s">
        <v>1097</v>
      </c>
      <c r="E618" s="166" t="s">
        <v>15</v>
      </c>
      <c r="F618" s="166"/>
      <c r="G618" s="1540"/>
      <c r="H618" s="1540">
        <v>635040.18900000001</v>
      </c>
      <c r="I618" s="1466">
        <v>604806.42599999998</v>
      </c>
      <c r="J618" s="1466">
        <f t="shared" si="25"/>
        <v>1239846.615</v>
      </c>
      <c r="K618" s="1466"/>
      <c r="L618" s="1540"/>
      <c r="M618" s="1540">
        <f t="shared" si="26"/>
        <v>1239846.615</v>
      </c>
      <c r="N618" s="1539"/>
      <c r="O618" s="559"/>
    </row>
    <row r="619" spans="1:15" s="540" customFormat="1" ht="14.25" customHeight="1">
      <c r="A619" s="1536">
        <v>95</v>
      </c>
      <c r="B619" s="1537" t="str">
        <f>VLOOKUP(D619,'[2]DS CN MOI UP'!$B$11:$C$447,2,0)</f>
        <v>02583</v>
      </c>
      <c r="C619" s="1538" t="s">
        <v>651</v>
      </c>
      <c r="D619" s="1539" t="s">
        <v>581</v>
      </c>
      <c r="E619" s="166" t="s">
        <v>15</v>
      </c>
      <c r="F619" s="166"/>
      <c r="G619" s="1540"/>
      <c r="H619" s="1540">
        <v>524139.33600000001</v>
      </c>
      <c r="I619" s="1540">
        <v>524139.33600000001</v>
      </c>
      <c r="J619" s="1466">
        <f t="shared" si="25"/>
        <v>1048278.672</v>
      </c>
      <c r="K619" s="1466"/>
      <c r="L619" s="1540"/>
      <c r="M619" s="1540">
        <f t="shared" si="26"/>
        <v>1048278.672</v>
      </c>
      <c r="N619" s="1539"/>
      <c r="O619" s="559"/>
    </row>
    <row r="620" spans="1:15" s="540" customFormat="1" ht="14.25" customHeight="1">
      <c r="A620" s="1547">
        <v>96</v>
      </c>
      <c r="B620" s="1537" t="str">
        <f>VLOOKUP(D620,'[2]DS CN MOI UP'!$B$11:$C$447,2,0)</f>
        <v>02465</v>
      </c>
      <c r="C620" s="1538" t="s">
        <v>651</v>
      </c>
      <c r="D620" s="1539" t="s">
        <v>19</v>
      </c>
      <c r="E620" s="166" t="s">
        <v>15</v>
      </c>
      <c r="F620" s="166"/>
      <c r="G620" s="1540"/>
      <c r="H620" s="1540">
        <v>635040.18900000001</v>
      </c>
      <c r="I620" s="1540">
        <v>524139.33600000001</v>
      </c>
      <c r="J620" s="1466">
        <f t="shared" si="25"/>
        <v>1159179.5249999999</v>
      </c>
      <c r="K620" s="1466"/>
      <c r="L620" s="1540"/>
      <c r="M620" s="1540">
        <f t="shared" si="26"/>
        <v>1159179.5249999999</v>
      </c>
      <c r="N620" s="1539"/>
      <c r="O620" s="559"/>
    </row>
    <row r="621" spans="1:15" s="540" customFormat="1" ht="14.25" customHeight="1">
      <c r="A621" s="1547">
        <v>97</v>
      </c>
      <c r="B621" s="1537" t="e">
        <f>VLOOKUP(D621,'[2]DS CN MOI UP'!$B$11:$C$447,2,0)</f>
        <v>#N/A</v>
      </c>
      <c r="C621" s="1538" t="s">
        <v>651</v>
      </c>
      <c r="D621" s="1539" t="s">
        <v>1098</v>
      </c>
      <c r="E621" s="166" t="s">
        <v>15</v>
      </c>
      <c r="F621" s="166"/>
      <c r="G621" s="1540"/>
      <c r="H621" s="1540">
        <v>635040.18900000001</v>
      </c>
      <c r="I621" s="1540">
        <v>524139.33600000001</v>
      </c>
      <c r="J621" s="1466">
        <f t="shared" si="25"/>
        <v>1159179.5249999999</v>
      </c>
      <c r="K621" s="1466"/>
      <c r="L621" s="1540"/>
      <c r="M621" s="1540">
        <f t="shared" si="26"/>
        <v>1159179.5249999999</v>
      </c>
      <c r="N621" s="1539"/>
      <c r="O621" s="559"/>
    </row>
    <row r="622" spans="1:15" s="540" customFormat="1" ht="14.25" customHeight="1">
      <c r="A622" s="1536">
        <v>98</v>
      </c>
      <c r="B622" s="1537" t="str">
        <f>VLOOKUP(D622,'[2]DS CN MOI UP'!$B$11:$C$447,2,0)</f>
        <v>02466</v>
      </c>
      <c r="C622" s="1538" t="s">
        <v>651</v>
      </c>
      <c r="D622" s="1539" t="s">
        <v>25</v>
      </c>
      <c r="E622" s="166" t="s">
        <v>15</v>
      </c>
      <c r="F622" s="166"/>
      <c r="G622" s="1540"/>
      <c r="H622" s="1540">
        <v>635040.18900000001</v>
      </c>
      <c r="I622" s="1540">
        <v>524139.33600000001</v>
      </c>
      <c r="J622" s="1466">
        <f t="shared" si="25"/>
        <v>1159179.5249999999</v>
      </c>
      <c r="K622" s="1466"/>
      <c r="L622" s="1540"/>
      <c r="M622" s="1540">
        <f t="shared" si="26"/>
        <v>1159179.5249999999</v>
      </c>
      <c r="N622" s="1539"/>
      <c r="O622" s="559"/>
    </row>
    <row r="623" spans="1:15" s="540" customFormat="1" ht="14.25" customHeight="1">
      <c r="A623" s="1547">
        <v>99</v>
      </c>
      <c r="B623" s="1537" t="e">
        <f>VLOOKUP(D623,'[2]DS CN MOI UP'!$B$11:$C$447,2,0)</f>
        <v>#N/A</v>
      </c>
      <c r="C623" s="1538" t="s">
        <v>651</v>
      </c>
      <c r="D623" s="1539" t="s">
        <v>1099</v>
      </c>
      <c r="E623" s="166" t="s">
        <v>15</v>
      </c>
      <c r="F623" s="166"/>
      <c r="G623" s="1540"/>
      <c r="H623" s="1540">
        <v>635040.18900000001</v>
      </c>
      <c r="I623" s="1540">
        <v>524139.33600000001</v>
      </c>
      <c r="J623" s="1466">
        <f t="shared" si="25"/>
        <v>1159179.5249999999</v>
      </c>
      <c r="K623" s="1466"/>
      <c r="L623" s="1540"/>
      <c r="M623" s="1540">
        <f t="shared" si="26"/>
        <v>1159179.5249999999</v>
      </c>
      <c r="N623" s="1539"/>
      <c r="O623" s="559"/>
    </row>
    <row r="624" spans="1:15" s="540" customFormat="1" ht="14.25" customHeight="1">
      <c r="A624" s="1547">
        <v>100</v>
      </c>
      <c r="B624" s="1537" t="str">
        <f>VLOOKUP(D624,'[2]DS CN MOI UP'!$B$11:$C$447,2,0)</f>
        <v>02467</v>
      </c>
      <c r="C624" s="1538" t="s">
        <v>654</v>
      </c>
      <c r="D624" s="1539" t="s">
        <v>52</v>
      </c>
      <c r="E624" s="166" t="s">
        <v>15</v>
      </c>
      <c r="F624" s="166"/>
      <c r="G624" s="1540"/>
      <c r="H624" s="1540">
        <v>635040.18900000001</v>
      </c>
      <c r="I624" s="1540">
        <v>524139.33600000001</v>
      </c>
      <c r="J624" s="1466">
        <f t="shared" si="25"/>
        <v>1159179.5249999999</v>
      </c>
      <c r="K624" s="1466"/>
      <c r="L624" s="1540"/>
      <c r="M624" s="1540">
        <f t="shared" si="26"/>
        <v>1159179.5249999999</v>
      </c>
      <c r="N624" s="1539"/>
      <c r="O624" s="559"/>
    </row>
    <row r="625" spans="1:15" s="540" customFormat="1" ht="14.25" customHeight="1">
      <c r="A625" s="1536">
        <v>101</v>
      </c>
      <c r="B625" s="1537" t="e">
        <f>VLOOKUP(D625,'[2]DS CN MOI UP'!$B$11:$C$447,2,0)</f>
        <v>#N/A</v>
      </c>
      <c r="C625" s="1538" t="s">
        <v>654</v>
      </c>
      <c r="D625" s="1539" t="s">
        <v>1100</v>
      </c>
      <c r="E625" s="166" t="s">
        <v>15</v>
      </c>
      <c r="F625" s="166"/>
      <c r="G625" s="1540"/>
      <c r="H625" s="1540">
        <v>635040.18900000001</v>
      </c>
      <c r="I625" s="1540">
        <v>524139.33600000001</v>
      </c>
      <c r="J625" s="1466">
        <f t="shared" si="25"/>
        <v>1159179.5249999999</v>
      </c>
      <c r="K625" s="1466"/>
      <c r="L625" s="1540"/>
      <c r="M625" s="1540">
        <f t="shared" si="26"/>
        <v>1159179.5249999999</v>
      </c>
      <c r="N625" s="1539"/>
      <c r="O625" s="559"/>
    </row>
    <row r="626" spans="1:15" s="540" customFormat="1" ht="14.25" customHeight="1">
      <c r="A626" s="1547">
        <v>102</v>
      </c>
      <c r="B626" s="1537" t="str">
        <f>VLOOKUP(D626,'[2]DS CN MOI UP'!$B$11:$C$447,2,0)</f>
        <v>02468</v>
      </c>
      <c r="C626" s="1538" t="s">
        <v>654</v>
      </c>
      <c r="D626" s="1539" t="s">
        <v>94</v>
      </c>
      <c r="E626" s="166" t="s">
        <v>15</v>
      </c>
      <c r="F626" s="166"/>
      <c r="G626" s="1540"/>
      <c r="H626" s="1540">
        <v>614840.625</v>
      </c>
      <c r="I626" s="1540">
        <v>524139.33600000001</v>
      </c>
      <c r="J626" s="1466">
        <f t="shared" si="25"/>
        <v>1138979.9609999999</v>
      </c>
      <c r="K626" s="1466"/>
      <c r="L626" s="1540"/>
      <c r="M626" s="1540">
        <f t="shared" si="26"/>
        <v>1138979.9609999999</v>
      </c>
      <c r="N626" s="1539"/>
      <c r="O626" s="559"/>
    </row>
    <row r="627" spans="1:15" s="540" customFormat="1" ht="14.25" customHeight="1">
      <c r="A627" s="1547">
        <v>103</v>
      </c>
      <c r="B627" s="1537" t="e">
        <f>VLOOKUP(D627,'[2]DS CN MOI UP'!$B$11:$C$447,2,0)</f>
        <v>#N/A</v>
      </c>
      <c r="C627" s="1538" t="s">
        <v>654</v>
      </c>
      <c r="D627" s="1539" t="s">
        <v>1101</v>
      </c>
      <c r="E627" s="166" t="s">
        <v>15</v>
      </c>
      <c r="F627" s="166"/>
      <c r="G627" s="1540"/>
      <c r="H627" s="1540">
        <v>554373.09900000005</v>
      </c>
      <c r="I627" s="1540">
        <v>554373.09900000005</v>
      </c>
      <c r="J627" s="1466">
        <f t="shared" si="25"/>
        <v>1108746.1980000001</v>
      </c>
      <c r="K627" s="1466"/>
      <c r="L627" s="1540"/>
      <c r="M627" s="1540">
        <f t="shared" si="26"/>
        <v>1108746.1980000001</v>
      </c>
      <c r="N627" s="1539"/>
      <c r="O627" s="559"/>
    </row>
    <row r="628" spans="1:15" s="540" customFormat="1" ht="14.25" customHeight="1">
      <c r="A628" s="1536">
        <v>104</v>
      </c>
      <c r="B628" s="1537" t="e">
        <f>VLOOKUP(D628,'[2]DS CN MOI UP'!$B$11:$C$447,2,0)</f>
        <v>#N/A</v>
      </c>
      <c r="C628" s="1538" t="s">
        <v>654</v>
      </c>
      <c r="D628" s="1539" t="s">
        <v>1102</v>
      </c>
      <c r="E628" s="166" t="s">
        <v>15</v>
      </c>
      <c r="F628" s="166"/>
      <c r="G628" s="1540"/>
      <c r="H628" s="1540">
        <v>554373.09900000005</v>
      </c>
      <c r="I628" s="1540">
        <v>554373.09900000005</v>
      </c>
      <c r="J628" s="1466">
        <f t="shared" si="25"/>
        <v>1108746.1980000001</v>
      </c>
      <c r="K628" s="1466"/>
      <c r="L628" s="1540"/>
      <c r="M628" s="1540">
        <f t="shared" si="26"/>
        <v>1108746.1980000001</v>
      </c>
      <c r="N628" s="1539"/>
      <c r="O628" s="559"/>
    </row>
    <row r="629" spans="1:15" s="540" customFormat="1" ht="14.25" customHeight="1">
      <c r="A629" s="1547">
        <v>105</v>
      </c>
      <c r="B629" s="1537" t="str">
        <f>VLOOKUP(D629,'[2]DS CN MOI UP'!$B$11:$C$447,2,0)</f>
        <v>02469</v>
      </c>
      <c r="C629" s="1538" t="s">
        <v>654</v>
      </c>
      <c r="D629" s="1539" t="s">
        <v>38</v>
      </c>
      <c r="E629" s="166" t="s">
        <v>15</v>
      </c>
      <c r="F629" s="166"/>
      <c r="G629" s="1540"/>
      <c r="H629" s="1540">
        <v>554373.09900000005</v>
      </c>
      <c r="I629" s="1540">
        <v>554373.09900000005</v>
      </c>
      <c r="J629" s="1466">
        <f t="shared" si="25"/>
        <v>1108746.1980000001</v>
      </c>
      <c r="K629" s="1466"/>
      <c r="L629" s="1540"/>
      <c r="M629" s="1540">
        <f t="shared" si="26"/>
        <v>1108746.1980000001</v>
      </c>
      <c r="N629" s="1539"/>
      <c r="O629" s="559"/>
    </row>
    <row r="630" spans="1:15" s="540" customFormat="1" ht="14.25" customHeight="1">
      <c r="A630" s="1547">
        <v>106</v>
      </c>
      <c r="B630" s="1537" t="e">
        <f>VLOOKUP(D630,'[2]DS CN MOI UP'!$B$11:$C$447,2,0)</f>
        <v>#N/A</v>
      </c>
      <c r="C630" s="1538" t="s">
        <v>654</v>
      </c>
      <c r="D630" s="1539" t="s">
        <v>1103</v>
      </c>
      <c r="E630" s="166" t="s">
        <v>15</v>
      </c>
      <c r="F630" s="166"/>
      <c r="G630" s="1540"/>
      <c r="H630" s="1540">
        <v>635040.18900000001</v>
      </c>
      <c r="I630" s="1540">
        <v>635040.18900000001</v>
      </c>
      <c r="J630" s="1466">
        <f t="shared" si="25"/>
        <v>1270080.378</v>
      </c>
      <c r="K630" s="1466"/>
      <c r="L630" s="1540"/>
      <c r="M630" s="1540">
        <f t="shared" si="26"/>
        <v>1270080.378</v>
      </c>
      <c r="N630" s="1539"/>
      <c r="O630" s="559"/>
    </row>
    <row r="631" spans="1:15" s="540" customFormat="1" ht="14.25" customHeight="1">
      <c r="A631" s="1536">
        <v>107</v>
      </c>
      <c r="B631" s="1537" t="str">
        <f>VLOOKUP(D631,'[2]DS CN MOI UP'!$B$11:$C$447,2,0)</f>
        <v>02470</v>
      </c>
      <c r="C631" s="1538" t="s">
        <v>654</v>
      </c>
      <c r="D631" s="1539" t="s">
        <v>44</v>
      </c>
      <c r="E631" s="166" t="s">
        <v>15</v>
      </c>
      <c r="F631" s="166"/>
      <c r="G631" s="1540"/>
      <c r="H631" s="1540">
        <v>544338.9</v>
      </c>
      <c r="I631" s="1540">
        <v>380998.77679995401</v>
      </c>
      <c r="J631" s="1466">
        <f t="shared" si="25"/>
        <v>925337.67679995403</v>
      </c>
      <c r="K631" s="1466"/>
      <c r="L631" s="1540"/>
      <c r="M631" s="1540">
        <f t="shared" si="26"/>
        <v>925337.67679995403</v>
      </c>
      <c r="N631" s="1539"/>
      <c r="O631" s="559"/>
    </row>
    <row r="632" spans="1:15" s="540" customFormat="1" ht="14.25" customHeight="1">
      <c r="A632" s="1547">
        <v>108</v>
      </c>
      <c r="B632" s="1537" t="e">
        <f>VLOOKUP(D632,'[2]DS CN MOI UP'!$B$11:$C$447,2,0)</f>
        <v>#N/A</v>
      </c>
      <c r="C632" s="1538" t="s">
        <v>654</v>
      </c>
      <c r="D632" s="1539" t="s">
        <v>1104</v>
      </c>
      <c r="E632" s="166" t="s">
        <v>15</v>
      </c>
      <c r="F632" s="166"/>
      <c r="G632" s="1540"/>
      <c r="H632" s="1540">
        <v>574572.66299999994</v>
      </c>
      <c r="I632" s="1540"/>
      <c r="J632" s="1466">
        <f t="shared" si="25"/>
        <v>574572.66299999994</v>
      </c>
      <c r="K632" s="1466"/>
      <c r="L632" s="1540"/>
      <c r="M632" s="1540">
        <f t="shared" si="26"/>
        <v>574572.66299999994</v>
      </c>
      <c r="N632" s="1539"/>
      <c r="O632" s="559"/>
    </row>
    <row r="633" spans="1:15" s="540" customFormat="1" ht="14.25" customHeight="1">
      <c r="A633" s="1547">
        <v>109</v>
      </c>
      <c r="B633" s="1537" t="str">
        <f>VLOOKUP(D633,'[2]DS CN MOI UP'!$B$11:$C$447,2,0)</f>
        <v>02471</v>
      </c>
      <c r="C633" s="1538" t="s">
        <v>654</v>
      </c>
      <c r="D633" s="1539" t="s">
        <v>18</v>
      </c>
      <c r="E633" s="166" t="s">
        <v>15</v>
      </c>
      <c r="F633" s="166"/>
      <c r="G633" s="1540"/>
      <c r="H633" s="1540">
        <v>1148746.1980000001</v>
      </c>
      <c r="I633" s="1540"/>
      <c r="J633" s="1466">
        <f t="shared" si="25"/>
        <v>1148746.1980000001</v>
      </c>
      <c r="K633" s="1466"/>
      <c r="L633" s="1540"/>
      <c r="M633" s="1540">
        <f t="shared" si="26"/>
        <v>1148746.1980000001</v>
      </c>
      <c r="N633" s="1539"/>
      <c r="O633" s="559"/>
    </row>
    <row r="634" spans="1:15" s="540" customFormat="1" ht="14.25" customHeight="1">
      <c r="A634" s="1536">
        <v>110</v>
      </c>
      <c r="B634" s="1537" t="e">
        <f>VLOOKUP(D634,'[2]DS CN MOI UP'!$B$11:$C$447,2,0)</f>
        <v>#N/A</v>
      </c>
      <c r="C634" s="1538" t="s">
        <v>654</v>
      </c>
      <c r="D634" s="1539" t="s">
        <v>1105</v>
      </c>
      <c r="E634" s="166" t="s">
        <v>15</v>
      </c>
      <c r="F634" s="166"/>
      <c r="G634" s="1540"/>
      <c r="H634" s="1540">
        <v>1270080.378</v>
      </c>
      <c r="I634" s="1540"/>
      <c r="J634" s="1466">
        <f t="shared" si="25"/>
        <v>1270080.378</v>
      </c>
      <c r="K634" s="1466"/>
      <c r="L634" s="1540"/>
      <c r="M634" s="1540">
        <f t="shared" si="26"/>
        <v>1270080.378</v>
      </c>
      <c r="N634" s="1539"/>
      <c r="O634" s="559"/>
    </row>
    <row r="635" spans="1:15" s="540" customFormat="1" ht="14.25" customHeight="1">
      <c r="A635" s="1547">
        <v>111</v>
      </c>
      <c r="B635" s="1537" t="str">
        <f>VLOOKUP(D635,'[2]DS CN MOI UP'!$B$11:$C$447,2,0)</f>
        <v>02472</v>
      </c>
      <c r="C635" s="1538" t="s">
        <v>654</v>
      </c>
      <c r="D635" s="1539" t="s">
        <v>501</v>
      </c>
      <c r="E635" s="166" t="s">
        <v>15</v>
      </c>
      <c r="F635" s="166"/>
      <c r="G635" s="1540"/>
      <c r="H635" s="1540">
        <v>1128677.8</v>
      </c>
      <c r="I635" s="1540"/>
      <c r="J635" s="1466">
        <f t="shared" si="25"/>
        <v>1128677.8</v>
      </c>
      <c r="K635" s="1466"/>
      <c r="L635" s="1540"/>
      <c r="M635" s="1540">
        <f t="shared" si="26"/>
        <v>1128677.8</v>
      </c>
      <c r="N635" s="1539"/>
      <c r="O635" s="559"/>
    </row>
    <row r="636" spans="1:15" s="540" customFormat="1" ht="14.25" customHeight="1">
      <c r="A636" s="1547">
        <v>112</v>
      </c>
      <c r="B636" s="1537" t="e">
        <f>VLOOKUP(D636,'[2]DS CN MOI UP'!$B$11:$C$447,2,0)</f>
        <v>#N/A</v>
      </c>
      <c r="C636" s="1538" t="s">
        <v>654</v>
      </c>
      <c r="D636" s="1539" t="s">
        <v>1106</v>
      </c>
      <c r="E636" s="166" t="s">
        <v>15</v>
      </c>
      <c r="F636" s="166"/>
      <c r="G636" s="1540"/>
      <c r="H636" s="1540">
        <v>1189145.3259999999</v>
      </c>
      <c r="I636" s="1540"/>
      <c r="J636" s="1466">
        <f t="shared" si="25"/>
        <v>1189145.3259999999</v>
      </c>
      <c r="K636" s="1466"/>
      <c r="L636" s="1540"/>
      <c r="M636" s="1540">
        <f t="shared" si="26"/>
        <v>1189145.3259999999</v>
      </c>
      <c r="N636" s="1539"/>
      <c r="O636" s="559"/>
    </row>
    <row r="637" spans="1:15" s="540" customFormat="1" ht="14.25" customHeight="1">
      <c r="A637" s="1536">
        <v>113</v>
      </c>
      <c r="B637" s="1537" t="e">
        <f>VLOOKUP(D637,'[2]DS CN MOI UP'!$B$11:$C$447,2,0)</f>
        <v>#N/A</v>
      </c>
      <c r="C637" s="1538" t="s">
        <v>654</v>
      </c>
      <c r="D637" s="1539" t="s">
        <v>1107</v>
      </c>
      <c r="E637" s="166" t="s">
        <v>15</v>
      </c>
      <c r="F637" s="166"/>
      <c r="G637" s="1540"/>
      <c r="H637" s="1540">
        <v>1249612.852</v>
      </c>
      <c r="I637" s="1540"/>
      <c r="J637" s="1466">
        <f t="shared" si="25"/>
        <v>1249612.852</v>
      </c>
      <c r="K637" s="1466"/>
      <c r="L637" s="1540"/>
      <c r="M637" s="1540">
        <f t="shared" si="26"/>
        <v>1249612.852</v>
      </c>
      <c r="N637" s="1539"/>
      <c r="O637" s="559"/>
    </row>
    <row r="638" spans="1:15" s="540" customFormat="1" ht="14.25" customHeight="1">
      <c r="A638" s="1547">
        <v>114</v>
      </c>
      <c r="B638" s="1537" t="str">
        <f>VLOOKUP(D638,'[2]DS CN MOI UP'!$B$11:$C$447,2,0)</f>
        <v>02473</v>
      </c>
      <c r="C638" s="1538" t="s">
        <v>654</v>
      </c>
      <c r="D638" s="1539" t="s">
        <v>40</v>
      </c>
      <c r="E638" s="166" t="s">
        <v>15</v>
      </c>
      <c r="F638" s="166"/>
      <c r="G638" s="1540"/>
      <c r="H638" s="1540">
        <v>1159179.5249999999</v>
      </c>
      <c r="I638" s="1540"/>
      <c r="J638" s="1466">
        <f t="shared" si="25"/>
        <v>1159179.5249999999</v>
      </c>
      <c r="K638" s="1466"/>
      <c r="L638" s="1540"/>
      <c r="M638" s="1540">
        <f t="shared" si="26"/>
        <v>1159179.5249999999</v>
      </c>
      <c r="N638" s="1539"/>
      <c r="O638" s="559"/>
    </row>
    <row r="639" spans="1:15" s="540" customFormat="1" ht="14.25" customHeight="1">
      <c r="A639" s="1547">
        <v>115</v>
      </c>
      <c r="B639" s="1537" t="e">
        <f>VLOOKUP(D639,'[2]DS CN MOI UP'!$B$11:$C$447,2,0)</f>
        <v>#N/A</v>
      </c>
      <c r="C639" s="1538" t="s">
        <v>654</v>
      </c>
      <c r="D639" s="1539" t="s">
        <v>1108</v>
      </c>
      <c r="E639" s="166" t="s">
        <v>15</v>
      </c>
      <c r="F639" s="166"/>
      <c r="G639" s="1540"/>
      <c r="H639" s="1466">
        <v>1159179.5249999999</v>
      </c>
      <c r="I639" s="1540"/>
      <c r="J639" s="1466">
        <f t="shared" si="25"/>
        <v>1159179.5249999999</v>
      </c>
      <c r="K639" s="1466"/>
      <c r="L639" s="1540"/>
      <c r="M639" s="1540">
        <f t="shared" si="26"/>
        <v>1159179.5249999999</v>
      </c>
      <c r="N639" s="1539"/>
      <c r="O639" s="559"/>
    </row>
    <row r="640" spans="1:15" s="540" customFormat="1" ht="14.25" customHeight="1">
      <c r="A640" s="1536">
        <v>116</v>
      </c>
      <c r="B640" s="1537" t="e">
        <f>VLOOKUP(D640,'[2]DS CN MOI UP'!$B$11:$C$447,2,0)</f>
        <v>#N/A</v>
      </c>
      <c r="C640" s="1538" t="s">
        <v>654</v>
      </c>
      <c r="D640" s="1539" t="s">
        <v>1109</v>
      </c>
      <c r="E640" s="166" t="s">
        <v>15</v>
      </c>
      <c r="F640" s="166"/>
      <c r="G640" s="1540"/>
      <c r="H640" s="1466">
        <v>1159179.5249999999</v>
      </c>
      <c r="I640" s="1540"/>
      <c r="J640" s="1466">
        <f t="shared" si="25"/>
        <v>1159179.5249999999</v>
      </c>
      <c r="K640" s="1466"/>
      <c r="L640" s="1540"/>
      <c r="M640" s="1540">
        <f t="shared" si="26"/>
        <v>1159179.5249999999</v>
      </c>
      <c r="N640" s="1539"/>
      <c r="O640" s="559"/>
    </row>
    <row r="641" spans="1:15" s="540" customFormat="1" ht="14.25" customHeight="1">
      <c r="A641" s="1547">
        <v>117</v>
      </c>
      <c r="B641" s="1537" t="str">
        <f>VLOOKUP(D641,'[2]DS CN MOI UP'!$B$11:$C$447,2,0)</f>
        <v>02474</v>
      </c>
      <c r="C641" s="1538" t="s">
        <v>654</v>
      </c>
      <c r="D641" s="1539" t="s">
        <v>57</v>
      </c>
      <c r="E641" s="166" t="s">
        <v>15</v>
      </c>
      <c r="F641" s="166"/>
      <c r="G641" s="1540"/>
      <c r="H641" s="1466">
        <v>1239846.615</v>
      </c>
      <c r="I641" s="1540"/>
      <c r="J641" s="1466">
        <f t="shared" si="25"/>
        <v>1239846.615</v>
      </c>
      <c r="K641" s="1466"/>
      <c r="L641" s="1540"/>
      <c r="M641" s="1540">
        <f t="shared" si="26"/>
        <v>1239846.615</v>
      </c>
      <c r="N641" s="1539"/>
      <c r="O641" s="559"/>
    </row>
    <row r="642" spans="1:15" s="540" customFormat="1" ht="14.25" customHeight="1">
      <c r="A642" s="1547">
        <v>118</v>
      </c>
      <c r="B642" s="1537" t="e">
        <f>VLOOKUP(D642,'[2]DS CN MOI UP'!$B$11:$C$447,2,0)</f>
        <v>#N/A</v>
      </c>
      <c r="C642" s="1538" t="s">
        <v>654</v>
      </c>
      <c r="D642" s="1539" t="s">
        <v>1110</v>
      </c>
      <c r="E642" s="166" t="s">
        <v>15</v>
      </c>
      <c r="F642" s="166"/>
      <c r="G642" s="1540"/>
      <c r="H642" s="1466">
        <v>1149145.3259999999</v>
      </c>
      <c r="I642" s="1540"/>
      <c r="J642" s="1466">
        <f t="shared" si="25"/>
        <v>1149145.3259999999</v>
      </c>
      <c r="K642" s="1466"/>
      <c r="L642" s="1540"/>
      <c r="M642" s="1540">
        <f t="shared" si="26"/>
        <v>1149145.3259999999</v>
      </c>
      <c r="N642" s="1539"/>
      <c r="O642" s="559"/>
    </row>
    <row r="643" spans="1:15" s="540" customFormat="1" ht="14.25" customHeight="1">
      <c r="A643" s="1536">
        <v>119</v>
      </c>
      <c r="B643" s="1537" t="str">
        <f>VLOOKUP(D643,'[2]DS CN MOI UP'!$B$11:$C$447,2,0)</f>
        <v>02475</v>
      </c>
      <c r="C643" s="1538" t="s">
        <v>654</v>
      </c>
      <c r="D643" s="1539" t="s">
        <v>39</v>
      </c>
      <c r="E643" s="166" t="s">
        <v>15</v>
      </c>
      <c r="F643" s="166"/>
      <c r="G643" s="1540"/>
      <c r="H643" s="1466">
        <v>1179379.0889999999</v>
      </c>
      <c r="I643" s="1540"/>
      <c r="J643" s="1466">
        <f t="shared" si="25"/>
        <v>1179379.0889999999</v>
      </c>
      <c r="K643" s="1466"/>
      <c r="L643" s="1540"/>
      <c r="M643" s="1540">
        <f t="shared" si="26"/>
        <v>1179379.0889999999</v>
      </c>
      <c r="N643" s="1539"/>
      <c r="O643" s="559"/>
    </row>
    <row r="644" spans="1:15" s="540" customFormat="1" ht="14.25" customHeight="1">
      <c r="A644" s="1547">
        <v>120</v>
      </c>
      <c r="B644" s="1537" t="e">
        <f>VLOOKUP(D644,'[2]DS CN MOI UP'!$B$11:$C$447,2,0)</f>
        <v>#N/A</v>
      </c>
      <c r="C644" s="1538" t="s">
        <v>654</v>
      </c>
      <c r="D644" s="1539" t="s">
        <v>1111</v>
      </c>
      <c r="E644" s="166" t="s">
        <v>15</v>
      </c>
      <c r="F644" s="166"/>
      <c r="G644" s="1540"/>
      <c r="H644" s="1466">
        <v>1209612.852</v>
      </c>
      <c r="I644" s="1540"/>
      <c r="J644" s="1466">
        <f t="shared" si="25"/>
        <v>1209612.852</v>
      </c>
      <c r="K644" s="1466"/>
      <c r="L644" s="1540"/>
      <c r="M644" s="1540">
        <f t="shared" si="26"/>
        <v>1209612.852</v>
      </c>
      <c r="N644" s="1539"/>
      <c r="O644" s="559"/>
    </row>
    <row r="645" spans="1:15" s="540" customFormat="1" ht="14.25" customHeight="1">
      <c r="A645" s="1547">
        <v>121</v>
      </c>
      <c r="B645" s="1537" t="str">
        <f>VLOOKUP(D645,'[2]DS CN MOI UP'!$B$11:$C$447,2,0)</f>
        <v>02476</v>
      </c>
      <c r="C645" s="1538" t="s">
        <v>654</v>
      </c>
      <c r="D645" s="1539" t="s">
        <v>97</v>
      </c>
      <c r="E645" s="166" t="s">
        <v>15</v>
      </c>
      <c r="F645" s="166"/>
      <c r="G645" s="1540"/>
      <c r="H645" s="1466">
        <v>1189413.2879999999</v>
      </c>
      <c r="I645" s="1540"/>
      <c r="J645" s="1466">
        <f t="shared" si="25"/>
        <v>1189413.2879999999</v>
      </c>
      <c r="K645" s="1466"/>
      <c r="L645" s="1540"/>
      <c r="M645" s="1540">
        <f t="shared" si="26"/>
        <v>1189413.2879999999</v>
      </c>
      <c r="N645" s="1539"/>
      <c r="O645" s="559"/>
    </row>
    <row r="646" spans="1:15" s="540" customFormat="1" ht="14.25" customHeight="1">
      <c r="A646" s="1536">
        <v>122</v>
      </c>
      <c r="B646" s="1537" t="e">
        <f>VLOOKUP(D646,'[2]DS CN MOI UP'!$B$11:$C$447,2,0)</f>
        <v>#N/A</v>
      </c>
      <c r="C646" s="1538" t="s">
        <v>654</v>
      </c>
      <c r="D646" s="1539" t="s">
        <v>1112</v>
      </c>
      <c r="E646" s="166" t="s">
        <v>15</v>
      </c>
      <c r="F646" s="166"/>
      <c r="G646" s="1540"/>
      <c r="H646" s="1466">
        <v>1239846.615</v>
      </c>
      <c r="I646" s="1540"/>
      <c r="J646" s="1466">
        <f t="shared" si="25"/>
        <v>1239846.615</v>
      </c>
      <c r="K646" s="1466"/>
      <c r="L646" s="1540"/>
      <c r="M646" s="1540">
        <f t="shared" si="26"/>
        <v>1239846.615</v>
      </c>
      <c r="N646" s="1539"/>
      <c r="O646" s="559"/>
    </row>
    <row r="647" spans="1:15" s="540" customFormat="1" ht="14.25" customHeight="1">
      <c r="A647" s="1547">
        <v>123</v>
      </c>
      <c r="B647" s="1537" t="e">
        <f>VLOOKUP(D647,'[2]DS CN MOI UP'!$B$11:$C$447,2,0)</f>
        <v>#N/A</v>
      </c>
      <c r="C647" s="1538" t="s">
        <v>654</v>
      </c>
      <c r="D647" s="1539" t="s">
        <v>1113</v>
      </c>
      <c r="E647" s="166" t="s">
        <v>15</v>
      </c>
      <c r="F647" s="166"/>
      <c r="G647" s="1540"/>
      <c r="H647" s="1466">
        <v>1048278.672</v>
      </c>
      <c r="I647" s="1540"/>
      <c r="J647" s="1466">
        <f t="shared" si="25"/>
        <v>1048278.672</v>
      </c>
      <c r="K647" s="1466"/>
      <c r="L647" s="1540"/>
      <c r="M647" s="1540">
        <f t="shared" si="26"/>
        <v>1048278.672</v>
      </c>
      <c r="N647" s="1539"/>
      <c r="O647" s="559"/>
    </row>
    <row r="648" spans="1:15" s="540" customFormat="1" ht="14.25" customHeight="1">
      <c r="A648" s="1547">
        <v>124</v>
      </c>
      <c r="B648" s="1537" t="str">
        <f>VLOOKUP(D648,'[2]DS CN MOI UP'!$B$11:$C$447,2,0)</f>
        <v>02477</v>
      </c>
      <c r="C648" s="1538" t="s">
        <v>654</v>
      </c>
      <c r="D648" s="1539" t="s">
        <v>119</v>
      </c>
      <c r="E648" s="166" t="s">
        <v>15</v>
      </c>
      <c r="F648" s="166"/>
      <c r="G648" s="1540"/>
      <c r="H648" s="1466">
        <v>1159179.5249999999</v>
      </c>
      <c r="I648" s="1540"/>
      <c r="J648" s="1466">
        <f t="shared" si="25"/>
        <v>1159179.5249999999</v>
      </c>
      <c r="K648" s="1466"/>
      <c r="L648" s="1540"/>
      <c r="M648" s="1540">
        <f t="shared" si="26"/>
        <v>1159179.5249999999</v>
      </c>
      <c r="N648" s="1539"/>
      <c r="O648" s="559"/>
    </row>
    <row r="649" spans="1:15" s="540" customFormat="1" ht="14.25" customHeight="1">
      <c r="A649" s="1536">
        <v>125</v>
      </c>
      <c r="B649" s="1537" t="e">
        <f>VLOOKUP(D649,'[2]DS CN MOI UP'!$B$11:$C$447,2,0)</f>
        <v>#N/A</v>
      </c>
      <c r="C649" s="1538" t="s">
        <v>654</v>
      </c>
      <c r="D649" s="1539" t="s">
        <v>1114</v>
      </c>
      <c r="E649" s="166" t="s">
        <v>15</v>
      </c>
      <c r="F649" s="166"/>
      <c r="G649" s="1540"/>
      <c r="H649" s="1466">
        <v>1159179.5249999999</v>
      </c>
      <c r="I649" s="1466"/>
      <c r="J649" s="1466">
        <f t="shared" si="25"/>
        <v>1159179.5249999999</v>
      </c>
      <c r="K649" s="1466"/>
      <c r="L649" s="1540"/>
      <c r="M649" s="1540">
        <f t="shared" si="26"/>
        <v>1159179.5249999999</v>
      </c>
      <c r="N649" s="1539"/>
      <c r="O649" s="559"/>
    </row>
    <row r="650" spans="1:15" s="540" customFormat="1" ht="14.25" customHeight="1">
      <c r="A650" s="1547">
        <v>126</v>
      </c>
      <c r="B650" s="1537" t="e">
        <f>VLOOKUP(D650,'[2]DS CN MOI UP'!$B$11:$C$447,2,0)</f>
        <v>#N/A</v>
      </c>
      <c r="C650" s="1538" t="s">
        <v>654</v>
      </c>
      <c r="D650" s="1539" t="s">
        <v>1115</v>
      </c>
      <c r="E650" s="166" t="s">
        <v>15</v>
      </c>
      <c r="F650" s="166"/>
      <c r="G650" s="1540"/>
      <c r="H650" s="1466">
        <v>1159179.5249999999</v>
      </c>
      <c r="I650" s="1466"/>
      <c r="J650" s="1466">
        <f t="shared" si="25"/>
        <v>1159179.5249999999</v>
      </c>
      <c r="K650" s="1466"/>
      <c r="L650" s="1540"/>
      <c r="M650" s="1540">
        <f t="shared" si="26"/>
        <v>1159179.5249999999</v>
      </c>
      <c r="N650" s="1539"/>
      <c r="O650" s="559"/>
    </row>
    <row r="651" spans="1:15" s="540" customFormat="1" ht="14.25" customHeight="1">
      <c r="A651" s="1547">
        <v>127</v>
      </c>
      <c r="B651" s="1537" t="str">
        <f>VLOOKUP(D651,'[2]DS CN MOI UP'!$B$11:$C$447,2,0)</f>
        <v>02478</v>
      </c>
      <c r="C651" s="1538" t="s">
        <v>654</v>
      </c>
      <c r="D651" s="1539" t="s">
        <v>79</v>
      </c>
      <c r="E651" s="166" t="s">
        <v>15</v>
      </c>
      <c r="F651" s="166"/>
      <c r="G651" s="1540"/>
      <c r="H651" s="1466">
        <v>1159179.5249999999</v>
      </c>
      <c r="I651" s="1466"/>
      <c r="J651" s="1466">
        <f t="shared" si="25"/>
        <v>1159179.5249999999</v>
      </c>
      <c r="K651" s="1466"/>
      <c r="L651" s="1540"/>
      <c r="M651" s="1540">
        <f t="shared" si="26"/>
        <v>1159179.5249999999</v>
      </c>
      <c r="N651" s="1539"/>
      <c r="O651" s="559"/>
    </row>
    <row r="652" spans="1:15" s="540" customFormat="1" ht="14.25" customHeight="1">
      <c r="A652" s="1536">
        <v>128</v>
      </c>
      <c r="B652" s="1537"/>
      <c r="C652" s="1538" t="s">
        <v>648</v>
      </c>
      <c r="D652" s="1539" t="s">
        <v>1116</v>
      </c>
      <c r="E652" s="166" t="s">
        <v>15</v>
      </c>
      <c r="F652" s="166"/>
      <c r="G652" s="1540"/>
      <c r="H652" s="1466">
        <v>1159179.5249999999</v>
      </c>
      <c r="I652" s="1466"/>
      <c r="J652" s="1466">
        <f t="shared" si="25"/>
        <v>1159179.5249999999</v>
      </c>
      <c r="K652" s="1466"/>
      <c r="L652" s="1540"/>
      <c r="M652" s="1540">
        <f t="shared" si="26"/>
        <v>1159179.5249999999</v>
      </c>
      <c r="N652" s="1539"/>
      <c r="O652" s="559"/>
    </row>
    <row r="653" spans="1:15" s="540" customFormat="1" ht="14.25" customHeight="1">
      <c r="A653" s="1547">
        <v>129</v>
      </c>
      <c r="B653" s="1537" t="str">
        <f>VLOOKUP(D653,'[2]DS CN MOI UP'!$B$11:$C$447,2,0)</f>
        <v>02479</v>
      </c>
      <c r="C653" s="1538" t="s">
        <v>650</v>
      </c>
      <c r="D653" s="1539" t="s">
        <v>66</v>
      </c>
      <c r="E653" s="166" t="s">
        <v>15</v>
      </c>
      <c r="F653" s="166"/>
      <c r="G653" s="1540"/>
      <c r="H653" s="1466">
        <v>1159179.5249999999</v>
      </c>
      <c r="I653" s="1466"/>
      <c r="J653" s="1466">
        <f t="shared" si="25"/>
        <v>1159179.5249999999</v>
      </c>
      <c r="K653" s="1466"/>
      <c r="L653" s="1540"/>
      <c r="M653" s="1540">
        <f t="shared" si="26"/>
        <v>1159179.5249999999</v>
      </c>
      <c r="N653" s="1539"/>
      <c r="O653" s="559"/>
    </row>
    <row r="654" spans="1:15" s="540" customFormat="1" ht="14.25" customHeight="1">
      <c r="A654" s="1547">
        <v>130</v>
      </c>
      <c r="B654" s="1537" t="e">
        <f>VLOOKUP(D654,'[2]DS CN MOI UP'!$B$11:$C$447,2,0)</f>
        <v>#N/A</v>
      </c>
      <c r="C654" s="1538" t="s">
        <v>651</v>
      </c>
      <c r="D654" s="1539" t="s">
        <v>1117</v>
      </c>
      <c r="E654" s="166" t="s">
        <v>15</v>
      </c>
      <c r="F654" s="166"/>
      <c r="G654" s="1540"/>
      <c r="H654" s="1466">
        <v>1138979.9609999999</v>
      </c>
      <c r="I654" s="1466"/>
      <c r="J654" s="1466">
        <f t="shared" si="25"/>
        <v>1138979.9609999999</v>
      </c>
      <c r="K654" s="1466"/>
      <c r="L654" s="1540"/>
      <c r="M654" s="1540">
        <f t="shared" si="26"/>
        <v>1138979.9609999999</v>
      </c>
      <c r="N654" s="1539"/>
      <c r="O654" s="559"/>
    </row>
    <row r="655" spans="1:15" s="540" customFormat="1" ht="14.25" customHeight="1">
      <c r="A655" s="1536">
        <v>131</v>
      </c>
      <c r="B655" s="1537" t="str">
        <f>VLOOKUP(D655,'[2]DS CN MOI UP'!$B$11:$C$447,2,0)</f>
        <v>02480</v>
      </c>
      <c r="C655" s="1538" t="s">
        <v>651</v>
      </c>
      <c r="D655" s="1539" t="s">
        <v>493</v>
      </c>
      <c r="E655" s="166" t="s">
        <v>15</v>
      </c>
      <c r="F655" s="166"/>
      <c r="G655" s="1540"/>
      <c r="H655" s="1466">
        <v>1108746.1980000001</v>
      </c>
      <c r="I655" s="1466"/>
      <c r="J655" s="1466">
        <f t="shared" si="25"/>
        <v>1108746.1980000001</v>
      </c>
      <c r="K655" s="1466"/>
      <c r="L655" s="1540"/>
      <c r="M655" s="1540">
        <f t="shared" si="26"/>
        <v>1108746.1980000001</v>
      </c>
      <c r="N655" s="1539"/>
      <c r="O655" s="559"/>
    </row>
    <row r="656" spans="1:15" s="540" customFormat="1" ht="14.25" customHeight="1">
      <c r="A656" s="1547">
        <v>132</v>
      </c>
      <c r="B656" s="1537" t="e">
        <f>VLOOKUP(D656,'[2]DS CN MOI UP'!$B$11:$C$447,2,0)</f>
        <v>#N/A</v>
      </c>
      <c r="C656" s="1538" t="s">
        <v>651</v>
      </c>
      <c r="D656" s="1539" t="s">
        <v>1118</v>
      </c>
      <c r="E656" s="166" t="s">
        <v>15</v>
      </c>
      <c r="F656" s="166"/>
      <c r="G656" s="1540"/>
      <c r="H656" s="1466">
        <v>1108746.1980000001</v>
      </c>
      <c r="I656" s="1466"/>
      <c r="J656" s="1466">
        <f t="shared" si="25"/>
        <v>1108746.1980000001</v>
      </c>
      <c r="K656" s="1466"/>
      <c r="L656" s="1540"/>
      <c r="M656" s="1540">
        <f t="shared" si="26"/>
        <v>1108746.1980000001</v>
      </c>
      <c r="N656" s="1539"/>
      <c r="O656" s="559"/>
    </row>
    <row r="657" spans="1:17" s="540" customFormat="1" ht="14.25" customHeight="1">
      <c r="A657" s="1547">
        <v>133</v>
      </c>
      <c r="B657" s="1537" t="str">
        <f>VLOOKUP(D657,'[2]DS CN MOI UP'!$B$11:$C$447,2,0)</f>
        <v>02481</v>
      </c>
      <c r="C657" s="1538" t="s">
        <v>651</v>
      </c>
      <c r="D657" s="1539" t="s">
        <v>86</v>
      </c>
      <c r="E657" s="166" t="s">
        <v>15</v>
      </c>
      <c r="F657" s="166"/>
      <c r="G657" s="1540"/>
      <c r="H657" s="1466">
        <v>1108746.1980000001</v>
      </c>
      <c r="I657" s="1466"/>
      <c r="J657" s="1466">
        <f t="shared" si="25"/>
        <v>1108746.1980000001</v>
      </c>
      <c r="K657" s="1466"/>
      <c r="L657" s="1540"/>
      <c r="M657" s="1540">
        <f t="shared" si="26"/>
        <v>1108746.1980000001</v>
      </c>
      <c r="N657" s="1539"/>
      <c r="O657" s="559"/>
    </row>
    <row r="658" spans="1:17" s="540" customFormat="1" ht="14.25" customHeight="1">
      <c r="A658" s="1536">
        <v>134</v>
      </c>
      <c r="B658" s="1537" t="e">
        <f>VLOOKUP(D658,'[2]DS CN MOI UP'!$B$11:$C$447,2,0)</f>
        <v>#N/A</v>
      </c>
      <c r="C658" s="1538" t="s">
        <v>651</v>
      </c>
      <c r="D658" s="1539" t="s">
        <v>1119</v>
      </c>
      <c r="E658" s="166" t="s">
        <v>15</v>
      </c>
      <c r="F658" s="166"/>
      <c r="G658" s="1540"/>
      <c r="H658" s="1466">
        <v>1270080.378</v>
      </c>
      <c r="I658" s="1466"/>
      <c r="J658" s="1466">
        <f t="shared" si="25"/>
        <v>1270080.378</v>
      </c>
      <c r="K658" s="1466"/>
      <c r="L658" s="1540"/>
      <c r="M658" s="1540">
        <f t="shared" si="26"/>
        <v>1270080.378</v>
      </c>
      <c r="N658" s="1539"/>
      <c r="O658" s="559"/>
    </row>
    <row r="659" spans="1:17" s="540" customFormat="1" ht="14.25" customHeight="1">
      <c r="A659" s="1547">
        <v>135</v>
      </c>
      <c r="B659" s="1537" t="str">
        <f>VLOOKUP(D659,'[2]DS CN MOI UP'!$B$11:$C$447,2,0)</f>
        <v>02482</v>
      </c>
      <c r="C659" s="1538" t="s">
        <v>651</v>
      </c>
      <c r="D659" s="1539" t="s">
        <v>83</v>
      </c>
      <c r="E659" s="166" t="s">
        <v>15</v>
      </c>
      <c r="F659" s="166"/>
      <c r="G659" s="1540"/>
      <c r="H659" s="1466">
        <v>1088677.8</v>
      </c>
      <c r="I659" s="1466"/>
      <c r="J659" s="1466">
        <f t="shared" si="25"/>
        <v>1088677.8</v>
      </c>
      <c r="K659" s="1466"/>
      <c r="L659" s="1540"/>
      <c r="M659" s="1540">
        <f t="shared" si="26"/>
        <v>1088677.8</v>
      </c>
      <c r="N659" s="1539"/>
      <c r="O659" s="559"/>
    </row>
    <row r="660" spans="1:17" s="540" customFormat="1" ht="14.25" customHeight="1">
      <c r="A660" s="1547">
        <v>136</v>
      </c>
      <c r="B660" s="1537" t="e">
        <f>VLOOKUP(D660,'[2]DS CN MOI UP'!$B$11:$C$447,2,0)</f>
        <v>#N/A</v>
      </c>
      <c r="C660" s="1538" t="s">
        <v>651</v>
      </c>
      <c r="D660" s="1539" t="s">
        <v>1120</v>
      </c>
      <c r="E660" s="166" t="s">
        <v>15</v>
      </c>
      <c r="F660" s="166"/>
      <c r="G660" s="1540">
        <v>60000</v>
      </c>
      <c r="H660" s="1540">
        <v>1148746.1980000001</v>
      </c>
      <c r="I660" s="1466"/>
      <c r="J660" s="1466">
        <f t="shared" si="25"/>
        <v>1208746.1980000001</v>
      </c>
      <c r="K660" s="1466"/>
      <c r="L660" s="1540"/>
      <c r="M660" s="1540">
        <f t="shared" si="26"/>
        <v>1208746.1980000001</v>
      </c>
      <c r="N660" s="1539"/>
      <c r="O660" s="559"/>
    </row>
    <row r="661" spans="1:17" s="540" customFormat="1" ht="14.25" customHeight="1">
      <c r="A661" s="1536">
        <v>137</v>
      </c>
      <c r="B661" s="1537" t="str">
        <f>VLOOKUP(D661,'[2]DS CN MOI UP'!$B$11:$C$447,2,0)</f>
        <v>02483</v>
      </c>
      <c r="C661" s="1538" t="s">
        <v>651</v>
      </c>
      <c r="D661" s="1539" t="s">
        <v>53</v>
      </c>
      <c r="E661" s="166" t="s">
        <v>15</v>
      </c>
      <c r="F661" s="166"/>
      <c r="G661" s="1540"/>
      <c r="H661" s="1540">
        <v>1270080.378</v>
      </c>
      <c r="I661" s="1466"/>
      <c r="J661" s="1466">
        <f t="shared" si="25"/>
        <v>1270080.378</v>
      </c>
      <c r="K661" s="1466"/>
      <c r="L661" s="1540"/>
      <c r="M661" s="1540">
        <f t="shared" si="26"/>
        <v>1270080.378</v>
      </c>
      <c r="N661" s="1539"/>
      <c r="O661" s="559"/>
    </row>
    <row r="662" spans="1:17" s="540" customFormat="1" ht="14.25" customHeight="1">
      <c r="A662" s="1547">
        <v>138</v>
      </c>
      <c r="B662" s="1537" t="e">
        <f>VLOOKUP(D662,'[2]DS CN MOI UP'!$B$11:$C$447,2,0)</f>
        <v>#N/A</v>
      </c>
      <c r="C662" s="1538" t="s">
        <v>651</v>
      </c>
      <c r="D662" s="1539" t="s">
        <v>1121</v>
      </c>
      <c r="E662" s="166" t="s">
        <v>15</v>
      </c>
      <c r="F662" s="166"/>
      <c r="G662" s="1540">
        <v>60000</v>
      </c>
      <c r="H662" s="1540">
        <v>1128677.8</v>
      </c>
      <c r="I662" s="1466"/>
      <c r="J662" s="1466">
        <f t="shared" si="25"/>
        <v>1188677.8</v>
      </c>
      <c r="K662" s="1466"/>
      <c r="L662" s="1540"/>
      <c r="M662" s="1540">
        <f t="shared" si="26"/>
        <v>1188677.8</v>
      </c>
      <c r="N662" s="1539"/>
      <c r="O662" s="559"/>
    </row>
    <row r="663" spans="1:17" s="540" customFormat="1" ht="14.25" customHeight="1">
      <c r="A663" s="1547">
        <v>139</v>
      </c>
      <c r="B663" s="1537" t="str">
        <f>VLOOKUP(D663,'[2]DS CN MOI UP'!$B$11:$C$447,2,0)</f>
        <v>02484</v>
      </c>
      <c r="C663" s="1538" t="s">
        <v>651</v>
      </c>
      <c r="D663" s="1539" t="s">
        <v>490</v>
      </c>
      <c r="E663" s="166" t="s">
        <v>15</v>
      </c>
      <c r="F663" s="166"/>
      <c r="G663" s="1540">
        <v>60000</v>
      </c>
      <c r="H663" s="1540">
        <v>1189145.3259999999</v>
      </c>
      <c r="I663" s="1466"/>
      <c r="J663" s="1466">
        <f t="shared" si="25"/>
        <v>1249145.3259999999</v>
      </c>
      <c r="K663" s="1466"/>
      <c r="L663" s="1540"/>
      <c r="M663" s="1540">
        <f t="shared" si="26"/>
        <v>1249145.3259999999</v>
      </c>
      <c r="N663" s="1539"/>
      <c r="O663" s="559"/>
    </row>
    <row r="664" spans="1:17" s="540" customFormat="1" ht="14.25" customHeight="1">
      <c r="A664" s="1536">
        <v>140</v>
      </c>
      <c r="B664" s="1537" t="e">
        <f>VLOOKUP(D664,'[2]DS CN MOI UP'!$B$11:$C$447,2,0)</f>
        <v>#N/A</v>
      </c>
      <c r="C664" s="1538" t="s">
        <v>651</v>
      </c>
      <c r="D664" s="1539" t="s">
        <v>1122</v>
      </c>
      <c r="E664" s="166" t="s">
        <v>15</v>
      </c>
      <c r="F664" s="166"/>
      <c r="G664" s="1540"/>
      <c r="H664" s="1540">
        <v>1249612.852</v>
      </c>
      <c r="I664" s="1466"/>
      <c r="J664" s="1466">
        <f t="shared" si="25"/>
        <v>1249612.852</v>
      </c>
      <c r="K664" s="1466"/>
      <c r="L664" s="1540"/>
      <c r="M664" s="1540">
        <f t="shared" si="26"/>
        <v>1249612.852</v>
      </c>
      <c r="N664" s="1539"/>
      <c r="O664" s="559"/>
    </row>
    <row r="665" spans="1:17" s="540" customFormat="1" ht="14.25" customHeight="1">
      <c r="A665" s="1547">
        <v>141</v>
      </c>
      <c r="B665" s="1537" t="str">
        <f>VLOOKUP(D665,'[2]DS CN MOI UP'!$B$11:$C$447,2,0)</f>
        <v>02485</v>
      </c>
      <c r="C665" s="1538" t="s">
        <v>651</v>
      </c>
      <c r="D665" s="1539" t="s">
        <v>31</v>
      </c>
      <c r="E665" s="166" t="s">
        <v>15</v>
      </c>
      <c r="F665" s="166"/>
      <c r="G665" s="1540">
        <v>60000</v>
      </c>
      <c r="H665" s="1540">
        <v>1159179.5249999999</v>
      </c>
      <c r="I665" s="1466"/>
      <c r="J665" s="1466">
        <f t="shared" si="25"/>
        <v>1219179.5249999999</v>
      </c>
      <c r="K665" s="1466"/>
      <c r="L665" s="1540"/>
      <c r="M665" s="1540">
        <f t="shared" si="26"/>
        <v>1219179.5249999999</v>
      </c>
      <c r="N665" s="1539"/>
      <c r="O665" s="559"/>
    </row>
    <row r="666" spans="1:17" s="540" customFormat="1" ht="14.25" customHeight="1">
      <c r="A666" s="1547">
        <v>142</v>
      </c>
      <c r="B666" s="1537" t="e">
        <f>VLOOKUP(D666,'[2]DS CN MOI UP'!$B$11:$C$447,2,0)</f>
        <v>#N/A</v>
      </c>
      <c r="C666" s="1538" t="s">
        <v>654</v>
      </c>
      <c r="D666" s="1539" t="s">
        <v>1123</v>
      </c>
      <c r="E666" s="166" t="s">
        <v>15</v>
      </c>
      <c r="F666" s="166"/>
      <c r="G666" s="1540">
        <v>60000</v>
      </c>
      <c r="H666" s="1466">
        <v>1159179.5249999999</v>
      </c>
      <c r="I666" s="1466"/>
      <c r="J666" s="1466">
        <f t="shared" si="25"/>
        <v>1219179.5249999999</v>
      </c>
      <c r="K666" s="1466"/>
      <c r="L666" s="1540"/>
      <c r="M666" s="1540">
        <f t="shared" si="26"/>
        <v>1219179.5249999999</v>
      </c>
      <c r="N666" s="1539"/>
      <c r="O666" s="559"/>
    </row>
    <row r="667" spans="1:17" s="540" customFormat="1" ht="14.25" customHeight="1">
      <c r="A667" s="1536">
        <v>143</v>
      </c>
      <c r="B667" s="1537" t="str">
        <f>VLOOKUP(D667,'[2]DS CN MOI UP'!$B$11:$C$447,2,0)</f>
        <v>02486</v>
      </c>
      <c r="C667" s="1538" t="s">
        <v>654</v>
      </c>
      <c r="D667" s="1539" t="s">
        <v>65</v>
      </c>
      <c r="E667" s="166" t="s">
        <v>15</v>
      </c>
      <c r="F667" s="166"/>
      <c r="G667" s="1540">
        <v>60000</v>
      </c>
      <c r="H667" s="1466">
        <v>1159179.5249999999</v>
      </c>
      <c r="I667" s="1466"/>
      <c r="J667" s="1466">
        <f t="shared" si="25"/>
        <v>1219179.5249999999</v>
      </c>
      <c r="K667" s="1466"/>
      <c r="L667" s="1540"/>
      <c r="M667" s="1540">
        <f t="shared" si="26"/>
        <v>1219179.5249999999</v>
      </c>
      <c r="N667" s="1539"/>
      <c r="O667" s="559"/>
    </row>
    <row r="668" spans="1:17" s="540" customFormat="1" ht="14.25" customHeight="1">
      <c r="A668" s="1547">
        <v>144</v>
      </c>
      <c r="B668" s="1537" t="e">
        <f>VLOOKUP(D668,'[2]DS CN MOI UP'!$B$11:$C$447,2,0)</f>
        <v>#N/A</v>
      </c>
      <c r="C668" s="1538" t="s">
        <v>651</v>
      </c>
      <c r="D668" s="1539" t="s">
        <v>1124</v>
      </c>
      <c r="E668" s="166" t="s">
        <v>15</v>
      </c>
      <c r="F668" s="166"/>
      <c r="G668" s="1540">
        <v>60000</v>
      </c>
      <c r="H668" s="1466">
        <v>1239846.615</v>
      </c>
      <c r="I668" s="1466"/>
      <c r="J668" s="1466">
        <f t="shared" si="25"/>
        <v>1299846.615</v>
      </c>
      <c r="K668" s="1466"/>
      <c r="L668" s="1540"/>
      <c r="M668" s="1540">
        <f t="shared" si="26"/>
        <v>1299846.615</v>
      </c>
      <c r="N668" s="1539"/>
      <c r="O668" s="559"/>
    </row>
    <row r="669" spans="1:17" s="540" customFormat="1" ht="14.25" customHeight="1">
      <c r="A669" s="1547">
        <v>145</v>
      </c>
      <c r="B669" s="1537" t="str">
        <f>VLOOKUP(D669,'[2]DS CN MOI UP'!$B$11:$C$447,2,0)</f>
        <v>02487</v>
      </c>
      <c r="C669" s="1538" t="s">
        <v>651</v>
      </c>
      <c r="D669" s="1539" t="s">
        <v>32</v>
      </c>
      <c r="E669" s="166" t="s">
        <v>15</v>
      </c>
      <c r="F669" s="166"/>
      <c r="G669" s="1540">
        <v>60000</v>
      </c>
      <c r="H669" s="1466">
        <v>1149145.3259999999</v>
      </c>
      <c r="I669" s="1466"/>
      <c r="J669" s="1466">
        <f t="shared" si="25"/>
        <v>1209145.3259999999</v>
      </c>
      <c r="K669" s="1466"/>
      <c r="L669" s="1540"/>
      <c r="M669" s="1540">
        <f t="shared" si="26"/>
        <v>1209145.3259999999</v>
      </c>
      <c r="N669" s="1539"/>
      <c r="O669" s="559"/>
    </row>
    <row r="670" spans="1:17" s="540" customFormat="1" ht="14.25" customHeight="1">
      <c r="A670" s="1536">
        <v>146</v>
      </c>
      <c r="B670" s="1537" t="e">
        <f>VLOOKUP(D670,'[2]DS CN MOI UP'!$B$11:$C$447,2,0)</f>
        <v>#N/A</v>
      </c>
      <c r="C670" s="1538" t="s">
        <v>651</v>
      </c>
      <c r="D670" s="1539" t="s">
        <v>1125</v>
      </c>
      <c r="E670" s="166" t="s">
        <v>15</v>
      </c>
      <c r="F670" s="166"/>
      <c r="G670" s="1540">
        <v>60000</v>
      </c>
      <c r="H670" s="1466">
        <v>1229038.53819991</v>
      </c>
      <c r="I670" s="1466"/>
      <c r="J670" s="1466">
        <f t="shared" si="25"/>
        <v>1289038.53819991</v>
      </c>
      <c r="K670" s="1466"/>
      <c r="L670" s="1540"/>
      <c r="M670" s="1540">
        <f t="shared" si="26"/>
        <v>1289038.53819991</v>
      </c>
      <c r="N670" s="1539"/>
      <c r="O670" s="559"/>
    </row>
    <row r="671" spans="1:17" s="540" customFormat="1" ht="14.25" customHeight="1">
      <c r="A671" s="1547">
        <v>147</v>
      </c>
      <c r="B671" s="1537" t="str">
        <f>VLOOKUP(D671,'[2]DS CN MOI UP'!$B$11:$C$447,2,0)</f>
        <v>02488</v>
      </c>
      <c r="C671" s="1538" t="s">
        <v>1068</v>
      </c>
      <c r="D671" s="1468" t="s">
        <v>35</v>
      </c>
      <c r="E671" s="1468" t="s">
        <v>15</v>
      </c>
      <c r="F671" s="1468"/>
      <c r="G671" s="1540">
        <v>60000</v>
      </c>
      <c r="H671" s="1540">
        <v>554373.09900000005</v>
      </c>
      <c r="I671" s="1540">
        <v>524139.33600000001</v>
      </c>
      <c r="J671" s="1466">
        <f t="shared" si="25"/>
        <v>1138512.4350000001</v>
      </c>
      <c r="K671" s="1466"/>
      <c r="L671" s="1466"/>
      <c r="M671" s="1540">
        <f t="shared" ref="M671:M803" si="27">J671-L671</f>
        <v>1138512.4350000001</v>
      </c>
      <c r="N671" s="166"/>
      <c r="O671" s="559">
        <f>+G670-O670</f>
        <v>60000</v>
      </c>
      <c r="P671" s="559">
        <f>+H670-P670</f>
        <v>1229038.53819991</v>
      </c>
      <c r="Q671" s="559">
        <f>+I670-Q670</f>
        <v>0</v>
      </c>
    </row>
    <row r="672" spans="1:17" s="540" customFormat="1" ht="14.25" customHeight="1">
      <c r="A672" s="1547">
        <v>148</v>
      </c>
      <c r="B672" s="1537"/>
      <c r="C672" s="1538" t="s">
        <v>648</v>
      </c>
      <c r="D672" s="1539" t="s">
        <v>1126</v>
      </c>
      <c r="E672" s="166" t="s">
        <v>15</v>
      </c>
      <c r="F672" s="166"/>
      <c r="G672" s="1540">
        <v>40000</v>
      </c>
      <c r="H672" s="1540">
        <v>554373.09900000005</v>
      </c>
      <c r="I672" s="1540">
        <v>524139.33600000001</v>
      </c>
      <c r="J672" s="1466">
        <f t="shared" si="25"/>
        <v>1118512.4350000001</v>
      </c>
      <c r="K672" s="1466"/>
      <c r="L672" s="1540"/>
      <c r="M672" s="1540">
        <f t="shared" si="27"/>
        <v>1118512.4350000001</v>
      </c>
      <c r="N672" s="1539"/>
      <c r="O672" s="559"/>
    </row>
    <row r="673" spans="1:15" s="540" customFormat="1" ht="14.25" customHeight="1">
      <c r="A673" s="1536">
        <v>149</v>
      </c>
      <c r="B673" s="1537" t="str">
        <f>VLOOKUP(D673,'[2]DS CN MOI UP'!$B$11:$C$447,2,0)</f>
        <v>02583</v>
      </c>
      <c r="C673" s="1538" t="s">
        <v>650</v>
      </c>
      <c r="D673" s="1539" t="s">
        <v>581</v>
      </c>
      <c r="E673" s="166" t="s">
        <v>15</v>
      </c>
      <c r="F673" s="166"/>
      <c r="G673" s="1540">
        <v>40000</v>
      </c>
      <c r="H673" s="1540">
        <v>554373.09900000005</v>
      </c>
      <c r="I673" s="1540">
        <v>524139.33600000001</v>
      </c>
      <c r="J673" s="1466">
        <f t="shared" si="25"/>
        <v>1118512.4350000001</v>
      </c>
      <c r="K673" s="1466"/>
      <c r="L673" s="1540"/>
      <c r="M673" s="1540">
        <f t="shared" si="27"/>
        <v>1118512.4350000001</v>
      </c>
      <c r="N673" s="1539"/>
      <c r="O673" s="559"/>
    </row>
    <row r="674" spans="1:15" s="540" customFormat="1" ht="14.25" customHeight="1">
      <c r="A674" s="1547">
        <v>150</v>
      </c>
      <c r="B674" s="1537" t="str">
        <f>VLOOKUP(D674,'[2]DS CN MOI UP'!$B$11:$C$447,2,0)</f>
        <v>03336</v>
      </c>
      <c r="C674" s="1538" t="s">
        <v>651</v>
      </c>
      <c r="D674" s="1539" t="s">
        <v>81</v>
      </c>
      <c r="E674" s="166" t="s">
        <v>15</v>
      </c>
      <c r="F674" s="166"/>
      <c r="G674" s="1540">
        <v>40000</v>
      </c>
      <c r="H674" s="1540">
        <v>554373.09900000005</v>
      </c>
      <c r="I674" s="1540">
        <v>524139.33600000001</v>
      </c>
      <c r="J674" s="1466">
        <f t="shared" si="25"/>
        <v>1118512.4350000001</v>
      </c>
      <c r="K674" s="1466"/>
      <c r="L674" s="1540"/>
      <c r="M674" s="1540">
        <f t="shared" si="27"/>
        <v>1118512.4350000001</v>
      </c>
      <c r="N674" s="1539"/>
      <c r="O674" s="559"/>
    </row>
    <row r="675" spans="1:15" s="540" customFormat="1" ht="14.25" customHeight="1">
      <c r="A675" s="1547">
        <v>151</v>
      </c>
      <c r="B675" s="1537" t="e">
        <f>VLOOKUP(D675,'[2]DS CN MOI UP'!$B$11:$C$447,2,0)</f>
        <v>#N/A</v>
      </c>
      <c r="C675" s="1538" t="s">
        <v>651</v>
      </c>
      <c r="D675" s="1539" t="s">
        <v>1127</v>
      </c>
      <c r="E675" s="166" t="s">
        <v>15</v>
      </c>
      <c r="F675" s="166"/>
      <c r="G675" s="1540">
        <v>40000</v>
      </c>
      <c r="H675" s="1540">
        <v>635040.18900000001</v>
      </c>
      <c r="I675" s="1540">
        <v>524139.33600000001</v>
      </c>
      <c r="J675" s="1466">
        <f t="shared" si="25"/>
        <v>1199179.5249999999</v>
      </c>
      <c r="K675" s="1466"/>
      <c r="L675" s="1540"/>
      <c r="M675" s="1540">
        <f t="shared" si="27"/>
        <v>1199179.5249999999</v>
      </c>
      <c r="N675" s="1539"/>
      <c r="O675" s="559"/>
    </row>
    <row r="676" spans="1:15" s="540" customFormat="1" ht="14.25" customHeight="1">
      <c r="A676" s="1536">
        <v>152</v>
      </c>
      <c r="B676" s="1537" t="str">
        <f>VLOOKUP(D676,'[2]DS CN MOI UP'!$B$11:$C$447,2,0)</f>
        <v>02680</v>
      </c>
      <c r="C676" s="1538" t="s">
        <v>651</v>
      </c>
      <c r="D676" s="1539" t="s">
        <v>91</v>
      </c>
      <c r="E676" s="166" t="s">
        <v>15</v>
      </c>
      <c r="F676" s="166"/>
      <c r="G676" s="1540">
        <v>40000</v>
      </c>
      <c r="H676" s="1540">
        <v>544338.9</v>
      </c>
      <c r="I676" s="1540">
        <v>524139.33600000001</v>
      </c>
      <c r="J676" s="1466">
        <f t="shared" si="25"/>
        <v>1108478.236</v>
      </c>
      <c r="K676" s="1466"/>
      <c r="L676" s="1540"/>
      <c r="M676" s="1540">
        <f t="shared" si="27"/>
        <v>1108478.236</v>
      </c>
      <c r="N676" s="1539"/>
      <c r="O676" s="559"/>
    </row>
    <row r="677" spans="1:15" s="540" customFormat="1" ht="14.25" customHeight="1">
      <c r="A677" s="1547">
        <v>153</v>
      </c>
      <c r="B677" s="1537" t="e">
        <f>VLOOKUP(D677,'[2]DS CN MOI UP'!$B$11:$C$447,2,0)</f>
        <v>#N/A</v>
      </c>
      <c r="C677" s="1538" t="s">
        <v>651</v>
      </c>
      <c r="D677" s="1539" t="s">
        <v>1070</v>
      </c>
      <c r="E677" s="166" t="s">
        <v>15</v>
      </c>
      <c r="F677" s="166"/>
      <c r="G677" s="1540">
        <v>40000</v>
      </c>
      <c r="H677" s="1540">
        <v>574572.66299999994</v>
      </c>
      <c r="I677" s="1540">
        <v>524139.33600000001</v>
      </c>
      <c r="J677" s="1466">
        <f t="shared" si="25"/>
        <v>1138711.9990000001</v>
      </c>
      <c r="K677" s="1466"/>
      <c r="L677" s="1540"/>
      <c r="M677" s="1540">
        <f t="shared" si="27"/>
        <v>1138711.9990000001</v>
      </c>
      <c r="N677" s="1539"/>
      <c r="O677" s="559"/>
    </row>
    <row r="678" spans="1:15" s="540" customFormat="1" ht="14.25" customHeight="1">
      <c r="A678" s="1547">
        <v>154</v>
      </c>
      <c r="B678" s="1537" t="e">
        <f>VLOOKUP(D678,'[2]DS CN MOI UP'!$B$11:$C$447,2,0)</f>
        <v>#N/A</v>
      </c>
      <c r="C678" s="1538" t="s">
        <v>651</v>
      </c>
      <c r="D678" s="1539" t="s">
        <v>1128</v>
      </c>
      <c r="E678" s="166" t="s">
        <v>15</v>
      </c>
      <c r="F678" s="166"/>
      <c r="G678" s="1540">
        <v>40000</v>
      </c>
      <c r="H678" s="1540">
        <v>604806.42599999998</v>
      </c>
      <c r="I678" s="1540">
        <v>524139.33600000001</v>
      </c>
      <c r="J678" s="1466">
        <f t="shared" si="25"/>
        <v>1168945.7620000001</v>
      </c>
      <c r="K678" s="1466"/>
      <c r="L678" s="1540"/>
      <c r="M678" s="1540">
        <f t="shared" si="27"/>
        <v>1168945.7620000001</v>
      </c>
      <c r="N678" s="1539"/>
      <c r="O678" s="559"/>
    </row>
    <row r="679" spans="1:15" s="540" customFormat="1" ht="14.25" customHeight="1">
      <c r="A679" s="1536">
        <v>155</v>
      </c>
      <c r="B679" s="1537" t="str">
        <f>VLOOKUP(D679,'[2]DS CN MOI UP'!$B$11:$C$447,2,0)</f>
        <v>02491</v>
      </c>
      <c r="C679" s="1538" t="s">
        <v>651</v>
      </c>
      <c r="D679" s="1539" t="s">
        <v>62</v>
      </c>
      <c r="E679" s="166" t="s">
        <v>15</v>
      </c>
      <c r="F679" s="166"/>
      <c r="G679" s="1540">
        <v>40000</v>
      </c>
      <c r="H679" s="1540">
        <v>584606.86199999996</v>
      </c>
      <c r="I679" s="1540">
        <v>524139.33600000001</v>
      </c>
      <c r="J679" s="1466">
        <f t="shared" si="25"/>
        <v>1148746.1980000001</v>
      </c>
      <c r="K679" s="1466"/>
      <c r="L679" s="1540"/>
      <c r="M679" s="1540">
        <f t="shared" si="27"/>
        <v>1148746.1980000001</v>
      </c>
      <c r="N679" s="1539"/>
      <c r="O679" s="559"/>
    </row>
    <row r="680" spans="1:15" s="540" customFormat="1" ht="14.25" customHeight="1">
      <c r="A680" s="1547">
        <v>156</v>
      </c>
      <c r="B680" s="1537" t="e">
        <f>VLOOKUP(D680,'[2]DS CN MOI UP'!$B$11:$C$447,2,0)</f>
        <v>#N/A</v>
      </c>
      <c r="C680" s="1538" t="s">
        <v>651</v>
      </c>
      <c r="D680" s="1539" t="s">
        <v>1129</v>
      </c>
      <c r="E680" s="166" t="s">
        <v>15</v>
      </c>
      <c r="F680" s="166"/>
      <c r="G680" s="1540">
        <v>40000</v>
      </c>
      <c r="H680" s="1540">
        <v>635040.18900000001</v>
      </c>
      <c r="I680" s="1540">
        <v>524139.33600000001</v>
      </c>
      <c r="J680" s="1466">
        <f t="shared" si="25"/>
        <v>1199179.5249999999</v>
      </c>
      <c r="K680" s="1466"/>
      <c r="L680" s="1540"/>
      <c r="M680" s="1540">
        <f t="shared" si="27"/>
        <v>1199179.5249999999</v>
      </c>
      <c r="N680" s="1539"/>
      <c r="O680" s="559"/>
    </row>
    <row r="681" spans="1:15" s="540" customFormat="1" ht="14.25" customHeight="1">
      <c r="A681" s="1547">
        <v>157</v>
      </c>
      <c r="B681" s="1537" t="e">
        <f>VLOOKUP(D681,'[2]DS CN MOI UP'!$B$11:$C$447,2,0)</f>
        <v>#N/A</v>
      </c>
      <c r="C681" s="1538" t="s">
        <v>651</v>
      </c>
      <c r="D681" s="1539" t="s">
        <v>1071</v>
      </c>
      <c r="E681" s="166" t="s">
        <v>15</v>
      </c>
      <c r="F681" s="166"/>
      <c r="G681" s="1540">
        <v>40000</v>
      </c>
      <c r="H681" s="1540">
        <v>524139.33600000001</v>
      </c>
      <c r="I681" s="1540">
        <v>524139.33600000001</v>
      </c>
      <c r="J681" s="1466">
        <f t="shared" si="25"/>
        <v>1088278.672</v>
      </c>
      <c r="K681" s="1466"/>
      <c r="L681" s="1540"/>
      <c r="M681" s="1540">
        <f t="shared" si="27"/>
        <v>1088278.672</v>
      </c>
      <c r="N681" s="1539"/>
      <c r="O681" s="559"/>
    </row>
    <row r="682" spans="1:15" s="540" customFormat="1" ht="14.25" customHeight="1">
      <c r="A682" s="1536">
        <v>158</v>
      </c>
      <c r="B682" s="1537" t="e">
        <f>VLOOKUP(D682,'[2]DS CN MOI UP'!$B$11:$C$447,2,0)</f>
        <v>#N/A</v>
      </c>
      <c r="C682" s="1538" t="s">
        <v>651</v>
      </c>
      <c r="D682" s="1539" t="s">
        <v>1130</v>
      </c>
      <c r="E682" s="166" t="s">
        <v>15</v>
      </c>
      <c r="F682" s="166"/>
      <c r="G682" s="1540">
        <v>40000</v>
      </c>
      <c r="H682" s="1540">
        <v>635040.18900000001</v>
      </c>
      <c r="I682" s="1540">
        <v>524139.33600000001</v>
      </c>
      <c r="J682" s="1466">
        <f t="shared" si="25"/>
        <v>1199179.5249999999</v>
      </c>
      <c r="K682" s="1466"/>
      <c r="L682" s="1540"/>
      <c r="M682" s="1540">
        <f t="shared" si="27"/>
        <v>1199179.5249999999</v>
      </c>
      <c r="N682" s="1539"/>
      <c r="O682" s="559"/>
    </row>
    <row r="683" spans="1:15" s="540" customFormat="1" ht="14.25" customHeight="1">
      <c r="A683" s="1547">
        <v>159</v>
      </c>
      <c r="B683" s="1537" t="str">
        <f>VLOOKUP(D683,'[2]DS CN MOI UP'!$B$11:$C$447,2,0)</f>
        <v>02493</v>
      </c>
      <c r="C683" s="1538" t="s">
        <v>651</v>
      </c>
      <c r="D683" s="1539" t="s">
        <v>26</v>
      </c>
      <c r="E683" s="166" t="s">
        <v>15</v>
      </c>
      <c r="F683" s="166"/>
      <c r="G683" s="1540">
        <v>40000</v>
      </c>
      <c r="H683" s="1540">
        <v>635040.18900000001</v>
      </c>
      <c r="I683" s="1540">
        <v>524139.33600000001</v>
      </c>
      <c r="J683" s="1466">
        <f t="shared" si="25"/>
        <v>1199179.5249999999</v>
      </c>
      <c r="K683" s="1466"/>
      <c r="L683" s="1540"/>
      <c r="M683" s="1540">
        <f t="shared" si="27"/>
        <v>1199179.5249999999</v>
      </c>
      <c r="N683" s="1539"/>
      <c r="O683" s="559"/>
    </row>
    <row r="684" spans="1:15" s="540" customFormat="1" ht="14.25" customHeight="1">
      <c r="A684" s="1547">
        <v>160</v>
      </c>
      <c r="B684" s="1537" t="e">
        <f>VLOOKUP(D684,'[2]DS CN MOI UP'!$B$11:$C$447,2,0)</f>
        <v>#N/A</v>
      </c>
      <c r="C684" s="1538" t="s">
        <v>651</v>
      </c>
      <c r="D684" s="1539" t="s">
        <v>1085</v>
      </c>
      <c r="E684" s="166" t="s">
        <v>15</v>
      </c>
      <c r="F684" s="166"/>
      <c r="G684" s="1540">
        <v>40000</v>
      </c>
      <c r="H684" s="1540">
        <v>554373.09900000005</v>
      </c>
      <c r="I684" s="1540">
        <v>524139.33600000001</v>
      </c>
      <c r="J684" s="1466">
        <f t="shared" si="25"/>
        <v>1118512.4350000001</v>
      </c>
      <c r="K684" s="1466"/>
      <c r="L684" s="1540"/>
      <c r="M684" s="1540">
        <f t="shared" si="27"/>
        <v>1118512.4350000001</v>
      </c>
      <c r="N684" s="1539"/>
      <c r="O684" s="559"/>
    </row>
    <row r="685" spans="1:15" s="540" customFormat="1" ht="14.25" customHeight="1">
      <c r="A685" s="1536">
        <v>161</v>
      </c>
      <c r="B685" s="1537" t="e">
        <f>VLOOKUP(D685,'[2]DS CN MOI UP'!$B$11:$C$447,2,0)</f>
        <v>#N/A</v>
      </c>
      <c r="C685" s="1538" t="s">
        <v>651</v>
      </c>
      <c r="D685" s="1539" t="s">
        <v>1131</v>
      </c>
      <c r="E685" s="166" t="s">
        <v>15</v>
      </c>
      <c r="F685" s="166"/>
      <c r="G685" s="1540">
        <v>40000</v>
      </c>
      <c r="H685" s="1540">
        <v>433438.04700000002</v>
      </c>
      <c r="I685" s="1540">
        <v>184104.59760000001</v>
      </c>
      <c r="J685" s="1466">
        <f t="shared" si="25"/>
        <v>657542.6446</v>
      </c>
      <c r="K685" s="1466"/>
      <c r="L685" s="1540"/>
      <c r="M685" s="1540">
        <f t="shared" si="27"/>
        <v>657542.6446</v>
      </c>
      <c r="N685" s="1539"/>
      <c r="O685" s="559"/>
    </row>
    <row r="686" spans="1:15" s="540" customFormat="1" ht="14.25" customHeight="1">
      <c r="A686" s="1547">
        <v>162</v>
      </c>
      <c r="B686" s="1537" t="e">
        <f>VLOOKUP(D686,'[2]DS CN MOI UP'!$B$11:$C$447,2,0)</f>
        <v>#N/A</v>
      </c>
      <c r="C686" s="1538" t="s">
        <v>654</v>
      </c>
      <c r="D686" s="1539" t="s">
        <v>1072</v>
      </c>
      <c r="E686" s="166" t="s">
        <v>15</v>
      </c>
      <c r="F686" s="166"/>
      <c r="G686" s="1540">
        <v>40000</v>
      </c>
      <c r="H686" s="1540">
        <v>383004.72</v>
      </c>
      <c r="I686" s="1540">
        <v>251034.90599999999</v>
      </c>
      <c r="J686" s="1466">
        <f t="shared" si="25"/>
        <v>674039.62600000005</v>
      </c>
      <c r="K686" s="1466"/>
      <c r="L686" s="1540"/>
      <c r="M686" s="1540">
        <f t="shared" si="27"/>
        <v>674039.62600000005</v>
      </c>
      <c r="N686" s="1539"/>
      <c r="O686" s="559"/>
    </row>
    <row r="687" spans="1:15" s="540" customFormat="1" ht="14.25" customHeight="1">
      <c r="A687" s="1547">
        <v>163</v>
      </c>
      <c r="B687" s="1537" t="e">
        <f>VLOOKUP(D687,'[2]DS CN MOI UP'!$B$11:$C$447,2,0)</f>
        <v>#N/A</v>
      </c>
      <c r="C687" s="1538" t="s">
        <v>654</v>
      </c>
      <c r="D687" s="1539" t="s">
        <v>1132</v>
      </c>
      <c r="E687" s="166" t="s">
        <v>15</v>
      </c>
      <c r="F687" s="166"/>
      <c r="G687" s="1540">
        <v>40000</v>
      </c>
      <c r="H687" s="1540">
        <v>312502.995</v>
      </c>
      <c r="I687" s="1540">
        <v>312502.995</v>
      </c>
      <c r="J687" s="1466">
        <f t="shared" si="25"/>
        <v>665005.99</v>
      </c>
      <c r="K687" s="1466"/>
      <c r="L687" s="1540"/>
      <c r="M687" s="1540">
        <f t="shared" si="27"/>
        <v>665005.99</v>
      </c>
      <c r="N687" s="1539"/>
      <c r="O687" s="559"/>
    </row>
    <row r="688" spans="1:15" s="540" customFormat="1" ht="14.25" customHeight="1">
      <c r="A688" s="1536">
        <v>164</v>
      </c>
      <c r="B688" s="1537" t="str">
        <f>VLOOKUP(D688,'[2]DS CN MOI UP'!$B$11:$C$447,2,0)</f>
        <v>02495</v>
      </c>
      <c r="C688" s="1538" t="s">
        <v>654</v>
      </c>
      <c r="D688" s="1539" t="s">
        <v>120</v>
      </c>
      <c r="E688" s="166" t="s">
        <v>15</v>
      </c>
      <c r="F688" s="166"/>
      <c r="G688" s="1540">
        <v>40000</v>
      </c>
      <c r="H688" s="1540">
        <v>614840.625</v>
      </c>
      <c r="I688" s="1540">
        <v>614840.625</v>
      </c>
      <c r="J688" s="1466">
        <f t="shared" si="25"/>
        <v>1269681.25</v>
      </c>
      <c r="K688" s="1466"/>
      <c r="L688" s="1540"/>
      <c r="M688" s="1540">
        <f t="shared" si="27"/>
        <v>1269681.25</v>
      </c>
      <c r="N688" s="1539"/>
      <c r="O688" s="559"/>
    </row>
    <row r="689" spans="1:15" s="540" customFormat="1" ht="14.25" customHeight="1">
      <c r="A689" s="1547">
        <v>165</v>
      </c>
      <c r="B689" s="1537" t="e">
        <f>VLOOKUP(D689,'[2]DS CN MOI UP'!$B$11:$C$447,2,0)</f>
        <v>#N/A</v>
      </c>
      <c r="C689" s="1538" t="s">
        <v>654</v>
      </c>
      <c r="D689" s="1539" t="s">
        <v>1133</v>
      </c>
      <c r="E689" s="166" t="s">
        <v>15</v>
      </c>
      <c r="F689" s="166"/>
      <c r="G689" s="1540">
        <v>40000</v>
      </c>
      <c r="H689" s="1540">
        <v>554373.09900000005</v>
      </c>
      <c r="I689" s="1540">
        <v>554373.09900000005</v>
      </c>
      <c r="J689" s="1466">
        <f t="shared" si="25"/>
        <v>1148746.1980000001</v>
      </c>
      <c r="K689" s="1466"/>
      <c r="L689" s="1540"/>
      <c r="M689" s="1540">
        <f t="shared" si="27"/>
        <v>1148746.1980000001</v>
      </c>
      <c r="N689" s="1539"/>
      <c r="O689" s="559"/>
    </row>
    <row r="690" spans="1:15" s="540" customFormat="1" ht="14.25" customHeight="1">
      <c r="A690" s="1547">
        <v>166</v>
      </c>
      <c r="B690" s="1537" t="e">
        <f>VLOOKUP(D690,'[2]DS CN MOI UP'!$B$11:$C$447,2,0)</f>
        <v>#N/A</v>
      </c>
      <c r="C690" s="1538" t="s">
        <v>654</v>
      </c>
      <c r="D690" s="1539" t="s">
        <v>1134</v>
      </c>
      <c r="E690" s="166" t="s">
        <v>15</v>
      </c>
      <c r="F690" s="166"/>
      <c r="G690" s="1540">
        <v>40000</v>
      </c>
      <c r="H690" s="1540">
        <v>554373.09900000005</v>
      </c>
      <c r="I690" s="1540">
        <v>554373.09900000005</v>
      </c>
      <c r="J690" s="1466">
        <f t="shared" si="25"/>
        <v>1148746.1980000001</v>
      </c>
      <c r="K690" s="1466"/>
      <c r="L690" s="1540"/>
      <c r="M690" s="1540">
        <f t="shared" si="27"/>
        <v>1148746.1980000001</v>
      </c>
      <c r="N690" s="1539"/>
      <c r="O690" s="559"/>
    </row>
    <row r="691" spans="1:15" s="540" customFormat="1" ht="14.25" customHeight="1">
      <c r="A691" s="1536">
        <v>167</v>
      </c>
      <c r="B691" s="1537" t="str">
        <f>VLOOKUP(D691,'[2]DS CN MOI UP'!$B$11:$C$447,2,0)</f>
        <v>02496</v>
      </c>
      <c r="C691" s="1538" t="s">
        <v>654</v>
      </c>
      <c r="D691" s="1539" t="s">
        <v>98</v>
      </c>
      <c r="E691" s="166" t="s">
        <v>15</v>
      </c>
      <c r="F691" s="166"/>
      <c r="G691" s="1540">
        <v>40000</v>
      </c>
      <c r="H691" s="1540">
        <v>554373.09900000005</v>
      </c>
      <c r="I691" s="1540">
        <v>554373.09900000005</v>
      </c>
      <c r="J691" s="1466">
        <f t="shared" si="25"/>
        <v>1148746.1980000001</v>
      </c>
      <c r="K691" s="1466"/>
      <c r="L691" s="1540"/>
      <c r="M691" s="1540">
        <f t="shared" si="27"/>
        <v>1148746.1980000001</v>
      </c>
      <c r="N691" s="1539"/>
      <c r="O691" s="559"/>
    </row>
    <row r="692" spans="1:15" s="540" customFormat="1" ht="14.25" customHeight="1">
      <c r="A692" s="1547">
        <v>168</v>
      </c>
      <c r="B692" s="1537" t="e">
        <f>VLOOKUP(D692,'[2]DS CN MOI UP'!$B$11:$C$447,2,0)</f>
        <v>#N/A</v>
      </c>
      <c r="C692" s="1538" t="s">
        <v>654</v>
      </c>
      <c r="D692" s="1539" t="s">
        <v>1135</v>
      </c>
      <c r="E692" s="166" t="s">
        <v>15</v>
      </c>
      <c r="F692" s="166"/>
      <c r="G692" s="1540"/>
      <c r="H692" s="1540">
        <v>635040.18900000001</v>
      </c>
      <c r="I692" s="1540">
        <v>635040.18900000001</v>
      </c>
      <c r="J692" s="1466">
        <f t="shared" si="25"/>
        <v>1270080.378</v>
      </c>
      <c r="K692" s="1466"/>
      <c r="L692" s="1540"/>
      <c r="M692" s="1540">
        <f t="shared" si="27"/>
        <v>1270080.378</v>
      </c>
      <c r="N692" s="1539"/>
      <c r="O692" s="559"/>
    </row>
    <row r="693" spans="1:15" s="540" customFormat="1" ht="14.25" customHeight="1">
      <c r="A693" s="1547">
        <v>169</v>
      </c>
      <c r="B693" s="1537" t="str">
        <f>VLOOKUP(D693,'[2]DS CN MOI UP'!$B$11:$C$447,2,0)</f>
        <v>02497</v>
      </c>
      <c r="C693" s="1538" t="s">
        <v>654</v>
      </c>
      <c r="D693" s="1539" t="s">
        <v>102</v>
      </c>
      <c r="E693" s="166" t="s">
        <v>15</v>
      </c>
      <c r="F693" s="166"/>
      <c r="G693" s="1540">
        <v>40000</v>
      </c>
      <c r="H693" s="1540">
        <v>544338.9</v>
      </c>
      <c r="I693" s="1540">
        <v>544338.9</v>
      </c>
      <c r="J693" s="1466">
        <f t="shared" si="25"/>
        <v>1128677.8</v>
      </c>
      <c r="K693" s="1466"/>
      <c r="L693" s="1540"/>
      <c r="M693" s="1540">
        <f t="shared" si="27"/>
        <v>1128677.8</v>
      </c>
      <c r="N693" s="1539"/>
      <c r="O693" s="559"/>
    </row>
    <row r="694" spans="1:15" s="540" customFormat="1" ht="14.25" customHeight="1">
      <c r="A694" s="1536">
        <v>170</v>
      </c>
      <c r="B694" s="1537" t="e">
        <f>VLOOKUP(D694,'[2]DS CN MOI UP'!$B$11:$C$447,2,0)</f>
        <v>#N/A</v>
      </c>
      <c r="C694" s="1538" t="s">
        <v>654</v>
      </c>
      <c r="D694" s="1539" t="s">
        <v>1136</v>
      </c>
      <c r="E694" s="166" t="s">
        <v>15</v>
      </c>
      <c r="F694" s="166"/>
      <c r="G694" s="1540">
        <v>40000</v>
      </c>
      <c r="H694" s="1540">
        <v>574572.66299999994</v>
      </c>
      <c r="I694" s="1540">
        <v>574572.66299999994</v>
      </c>
      <c r="J694" s="1466">
        <f t="shared" si="25"/>
        <v>1189145.3259999999</v>
      </c>
      <c r="K694" s="1466"/>
      <c r="L694" s="1540"/>
      <c r="M694" s="1540">
        <f t="shared" si="27"/>
        <v>1189145.3259999999</v>
      </c>
      <c r="N694" s="1539"/>
      <c r="O694" s="559"/>
    </row>
    <row r="695" spans="1:15" s="540" customFormat="1" ht="14.25" customHeight="1">
      <c r="A695" s="1547">
        <v>171</v>
      </c>
      <c r="B695" s="1537" t="e">
        <f>VLOOKUP(D695,'[2]DS CN MOI UP'!$B$11:$C$447,2,0)</f>
        <v>#N/A</v>
      </c>
      <c r="C695" s="1538" t="s">
        <v>654</v>
      </c>
      <c r="D695" s="1539" t="s">
        <v>1137</v>
      </c>
      <c r="E695" s="166" t="s">
        <v>15</v>
      </c>
      <c r="F695" s="166"/>
      <c r="G695" s="1540">
        <v>40000</v>
      </c>
      <c r="H695" s="1540">
        <v>604806.42599999998</v>
      </c>
      <c r="I695" s="1540">
        <v>604806.42599999998</v>
      </c>
      <c r="J695" s="1466">
        <f t="shared" si="25"/>
        <v>1249612.852</v>
      </c>
      <c r="K695" s="1466"/>
      <c r="L695" s="1540"/>
      <c r="M695" s="1540">
        <f t="shared" si="27"/>
        <v>1249612.852</v>
      </c>
      <c r="N695" s="1539"/>
      <c r="O695" s="559"/>
    </row>
    <row r="696" spans="1:15" s="540" customFormat="1" ht="14.25" customHeight="1">
      <c r="A696" s="1547">
        <v>172</v>
      </c>
      <c r="B696" s="1537" t="str">
        <f>VLOOKUP(D696,'[2]DS CN MOI UP'!$B$11:$C$447,2,0)</f>
        <v>02498</v>
      </c>
      <c r="C696" s="1538" t="s">
        <v>654</v>
      </c>
      <c r="D696" s="1539" t="s">
        <v>68</v>
      </c>
      <c r="E696" s="166" t="s">
        <v>15</v>
      </c>
      <c r="F696" s="166"/>
      <c r="G696" s="1540">
        <v>40000</v>
      </c>
      <c r="H696" s="1540">
        <v>584606.86199999996</v>
      </c>
      <c r="I696" s="1540">
        <v>584606.86199999996</v>
      </c>
      <c r="J696" s="1466">
        <f t="shared" si="25"/>
        <v>1209213.7239999999</v>
      </c>
      <c r="K696" s="1466"/>
      <c r="L696" s="1540"/>
      <c r="M696" s="1540">
        <f t="shared" si="27"/>
        <v>1209213.7239999999</v>
      </c>
      <c r="N696" s="1539"/>
      <c r="O696" s="559"/>
    </row>
    <row r="697" spans="1:15" s="540" customFormat="1" ht="14.25" customHeight="1">
      <c r="A697" s="1536">
        <v>173</v>
      </c>
      <c r="B697" s="1537" t="e">
        <f>VLOOKUP(D697,'[2]DS CN MOI UP'!$B$11:$C$447,2,0)</f>
        <v>#N/A</v>
      </c>
      <c r="C697" s="1538" t="s">
        <v>654</v>
      </c>
      <c r="D697" s="1539" t="s">
        <v>1138</v>
      </c>
      <c r="E697" s="166" t="s">
        <v>15</v>
      </c>
      <c r="F697" s="166"/>
      <c r="G697" s="1540"/>
      <c r="H697" s="1540">
        <v>635040.18900000001</v>
      </c>
      <c r="I697" s="1540">
        <v>635040.18900000001</v>
      </c>
      <c r="J697" s="1466">
        <f t="shared" si="25"/>
        <v>1270080.378</v>
      </c>
      <c r="K697" s="1466"/>
      <c r="L697" s="1540"/>
      <c r="M697" s="1540">
        <f t="shared" si="27"/>
        <v>1270080.378</v>
      </c>
      <c r="N697" s="1539"/>
      <c r="O697" s="559"/>
    </row>
    <row r="698" spans="1:15" s="540" customFormat="1" ht="14.25" customHeight="1">
      <c r="A698" s="1547">
        <v>174</v>
      </c>
      <c r="B698" s="1537" t="str">
        <f>VLOOKUP(D698,'[2]DS CN MOI UP'!$B$11:$C$447,2,0)</f>
        <v>02499</v>
      </c>
      <c r="C698" s="1538" t="s">
        <v>654</v>
      </c>
      <c r="D698" s="1539" t="s">
        <v>80</v>
      </c>
      <c r="E698" s="166" t="s">
        <v>15</v>
      </c>
      <c r="F698" s="166"/>
      <c r="G698" s="1540">
        <v>40000</v>
      </c>
      <c r="H698" s="1540">
        <v>524139.33600000001</v>
      </c>
      <c r="I698" s="1540">
        <v>524139.33600000001</v>
      </c>
      <c r="J698" s="1466">
        <f t="shared" si="25"/>
        <v>1088278.672</v>
      </c>
      <c r="K698" s="1466"/>
      <c r="L698" s="1540"/>
      <c r="M698" s="1540">
        <f t="shared" si="27"/>
        <v>1088278.672</v>
      </c>
      <c r="N698" s="1539"/>
      <c r="O698" s="559"/>
    </row>
    <row r="699" spans="1:15" s="540" customFormat="1" ht="14.25" customHeight="1">
      <c r="A699" s="1547">
        <v>175</v>
      </c>
      <c r="B699" s="1537" t="e">
        <f>VLOOKUP(D699,'[2]DS CN MOI UP'!$B$11:$C$447,2,0)</f>
        <v>#N/A</v>
      </c>
      <c r="C699" s="1538" t="s">
        <v>654</v>
      </c>
      <c r="D699" s="1539" t="s">
        <v>1139</v>
      </c>
      <c r="E699" s="166" t="s">
        <v>15</v>
      </c>
      <c r="F699" s="166"/>
      <c r="G699" s="1540">
        <v>40000</v>
      </c>
      <c r="H699" s="1540">
        <v>554373.09900000005</v>
      </c>
      <c r="I699" s="1540">
        <v>554373.09900000005</v>
      </c>
      <c r="J699" s="1466">
        <f t="shared" si="25"/>
        <v>1148746.1980000001</v>
      </c>
      <c r="K699" s="1466"/>
      <c r="L699" s="1540"/>
      <c r="M699" s="1540">
        <f t="shared" si="27"/>
        <v>1148746.1980000001</v>
      </c>
      <c r="N699" s="1539"/>
      <c r="O699" s="559"/>
    </row>
    <row r="700" spans="1:15" s="540" customFormat="1" ht="14.25" customHeight="1">
      <c r="A700" s="1536">
        <v>176</v>
      </c>
      <c r="B700" s="1537" t="str">
        <f>VLOOKUP(D700,'[2]DS CN MOI UP'!$B$11:$C$447,2,0)</f>
        <v>02500</v>
      </c>
      <c r="C700" s="1538" t="s">
        <v>654</v>
      </c>
      <c r="D700" s="1539" t="s">
        <v>59</v>
      </c>
      <c r="E700" s="166" t="s">
        <v>15</v>
      </c>
      <c r="F700" s="166"/>
      <c r="G700" s="1540">
        <v>40000</v>
      </c>
      <c r="H700" s="1540">
        <v>554373.09900000005</v>
      </c>
      <c r="I700" s="1540">
        <v>265581.23460003</v>
      </c>
      <c r="J700" s="1466">
        <f t="shared" si="25"/>
        <v>859954.33360003005</v>
      </c>
      <c r="K700" s="1466"/>
      <c r="L700" s="1540"/>
      <c r="M700" s="1540">
        <f t="shared" si="27"/>
        <v>859954.33360003005</v>
      </c>
      <c r="N700" s="1539"/>
      <c r="O700" s="559"/>
    </row>
    <row r="701" spans="1:15" s="540" customFormat="1" ht="14.25" customHeight="1">
      <c r="A701" s="1547">
        <v>177</v>
      </c>
      <c r="B701" s="1537" t="str">
        <f>VLOOKUP(D701,'[2]DS CN MOI UP'!$B$11:$C$447,2,0)</f>
        <v>03387</v>
      </c>
      <c r="C701" s="1538" t="s">
        <v>654</v>
      </c>
      <c r="D701" s="1539" t="s">
        <v>235</v>
      </c>
      <c r="E701" s="166" t="s">
        <v>15</v>
      </c>
      <c r="F701" s="166"/>
      <c r="G701" s="1540">
        <v>40000</v>
      </c>
      <c r="H701" s="1466">
        <v>614840.625</v>
      </c>
      <c r="I701" s="1466">
        <v>118678.99679999999</v>
      </c>
      <c r="J701" s="1466">
        <f t="shared" si="25"/>
        <v>773519.62179999996</v>
      </c>
      <c r="K701" s="1466"/>
      <c r="L701" s="1540"/>
      <c r="M701" s="1540">
        <f t="shared" si="27"/>
        <v>773519.62179999996</v>
      </c>
      <c r="N701" s="1539"/>
      <c r="O701" s="559"/>
    </row>
    <row r="702" spans="1:15" s="540" customFormat="1" ht="14.25" customHeight="1">
      <c r="A702" s="1547">
        <v>178</v>
      </c>
      <c r="B702" s="1537" t="e">
        <f>VLOOKUP(D702,'[2]DS CN MOI UP'!$B$11:$C$447,2,0)</f>
        <v>#N/A</v>
      </c>
      <c r="C702" s="1538" t="s">
        <v>654</v>
      </c>
      <c r="D702" s="1539" t="s">
        <v>1140</v>
      </c>
      <c r="E702" s="166" t="s">
        <v>15</v>
      </c>
      <c r="F702" s="166"/>
      <c r="G702" s="1540">
        <v>40000</v>
      </c>
      <c r="H702" s="1466">
        <v>554373.09900000005</v>
      </c>
      <c r="I702" s="1466">
        <v>107985.26639999999</v>
      </c>
      <c r="J702" s="1466">
        <f t="shared" si="25"/>
        <v>702358.36540000001</v>
      </c>
      <c r="K702" s="1466"/>
      <c r="L702" s="1540"/>
      <c r="M702" s="1540">
        <f t="shared" si="27"/>
        <v>702358.36540000001</v>
      </c>
      <c r="N702" s="1539"/>
      <c r="O702" s="559"/>
    </row>
    <row r="703" spans="1:15" s="540" customFormat="1" ht="14.25" customHeight="1">
      <c r="A703" s="1536">
        <v>179</v>
      </c>
      <c r="B703" s="1537" t="e">
        <f>VLOOKUP(D703,'[2]DS CN MOI UP'!$B$11:$C$447,2,0)</f>
        <v>#N/A</v>
      </c>
      <c r="C703" s="1538" t="s">
        <v>654</v>
      </c>
      <c r="D703" s="1539" t="s">
        <v>1141</v>
      </c>
      <c r="E703" s="166" t="s">
        <v>15</v>
      </c>
      <c r="F703" s="166"/>
      <c r="G703" s="1540">
        <v>40000</v>
      </c>
      <c r="H703" s="1466">
        <v>554373.09900000005</v>
      </c>
      <c r="I703" s="1466">
        <v>106506.792</v>
      </c>
      <c r="J703" s="1466">
        <f t="shared" si="25"/>
        <v>700879.89099999995</v>
      </c>
      <c r="K703" s="1466"/>
      <c r="L703" s="1540"/>
      <c r="M703" s="1540">
        <f t="shared" si="27"/>
        <v>700879.89099999995</v>
      </c>
      <c r="N703" s="1539"/>
      <c r="O703" s="559"/>
    </row>
    <row r="704" spans="1:15" s="540" customFormat="1" ht="14.25" customHeight="1">
      <c r="A704" s="1547">
        <v>180</v>
      </c>
      <c r="B704" s="1537" t="e">
        <f>VLOOKUP(D704,'[2]DS CN MOI UP'!$B$11:$C$447,2,0)</f>
        <v>#N/A</v>
      </c>
      <c r="C704" s="1538" t="s">
        <v>654</v>
      </c>
      <c r="D704" s="1539" t="s">
        <v>1073</v>
      </c>
      <c r="E704" s="166" t="s">
        <v>15</v>
      </c>
      <c r="F704" s="166"/>
      <c r="G704" s="1540">
        <v>40000</v>
      </c>
      <c r="H704" s="1466">
        <v>554373.09900000005</v>
      </c>
      <c r="I704" s="1466">
        <v>75304.754400000005</v>
      </c>
      <c r="J704" s="1466">
        <f t="shared" si="25"/>
        <v>669677.85340000002</v>
      </c>
      <c r="K704" s="1466"/>
      <c r="L704" s="1540"/>
      <c r="M704" s="1540">
        <f t="shared" si="27"/>
        <v>669677.85340000002</v>
      </c>
      <c r="N704" s="1539"/>
      <c r="O704" s="559"/>
    </row>
    <row r="705" spans="1:15" s="540" customFormat="1" ht="14.25" customHeight="1">
      <c r="A705" s="1547">
        <v>181</v>
      </c>
      <c r="B705" s="1537" t="e">
        <f>VLOOKUP(D705,'[2]DS CN MOI UP'!$B$11:$C$447,2,0)</f>
        <v>#N/A</v>
      </c>
      <c r="C705" s="1538" t="s">
        <v>654</v>
      </c>
      <c r="D705" s="1539" t="s">
        <v>1142</v>
      </c>
      <c r="E705" s="166" t="s">
        <v>15</v>
      </c>
      <c r="F705" s="166"/>
      <c r="G705" s="1540">
        <v>40000</v>
      </c>
      <c r="H705" s="1466">
        <v>635040.18900000001</v>
      </c>
      <c r="I705" s="1466">
        <v>150609.50880000001</v>
      </c>
      <c r="J705" s="1466">
        <f t="shared" si="25"/>
        <v>825649.69779999997</v>
      </c>
      <c r="K705" s="1466"/>
      <c r="L705" s="1540"/>
      <c r="M705" s="1540">
        <f t="shared" si="27"/>
        <v>825649.69779999997</v>
      </c>
      <c r="N705" s="1539"/>
      <c r="O705" s="559"/>
    </row>
    <row r="706" spans="1:15" s="540" customFormat="1" ht="14.25" customHeight="1">
      <c r="A706" s="1536">
        <v>182</v>
      </c>
      <c r="B706" s="1537" t="str">
        <f>VLOOKUP(D706,'[2]DS CN MOI UP'!$B$11:$C$447,2,0)</f>
        <v>02503</v>
      </c>
      <c r="C706" s="1538" t="s">
        <v>654</v>
      </c>
      <c r="D706" s="1539" t="s">
        <v>93</v>
      </c>
      <c r="E706" s="166" t="s">
        <v>15</v>
      </c>
      <c r="F706" s="166"/>
      <c r="G706" s="1540">
        <v>40000</v>
      </c>
      <c r="H706" s="1466">
        <v>544338.9</v>
      </c>
      <c r="I706" s="1466">
        <v>146532.6</v>
      </c>
      <c r="J706" s="1466">
        <f t="shared" si="25"/>
        <v>730871.5</v>
      </c>
      <c r="K706" s="1466"/>
      <c r="L706" s="1540"/>
      <c r="M706" s="1540">
        <f t="shared" si="27"/>
        <v>730871.5</v>
      </c>
      <c r="N706" s="1539"/>
      <c r="O706" s="559"/>
    </row>
    <row r="707" spans="1:15" s="540" customFormat="1" ht="14.25" customHeight="1">
      <c r="A707" s="1547">
        <v>183</v>
      </c>
      <c r="B707" s="1537" t="e">
        <f>VLOOKUP(D707,'[2]DS CN MOI UP'!$B$11:$C$447,2,0)</f>
        <v>#N/A</v>
      </c>
      <c r="C707" s="1538" t="s">
        <v>654</v>
      </c>
      <c r="D707" s="1539" t="s">
        <v>1143</v>
      </c>
      <c r="E707" s="166" t="s">
        <v>15</v>
      </c>
      <c r="F707" s="166"/>
      <c r="G707" s="1540">
        <v>40000</v>
      </c>
      <c r="H707" s="1466">
        <v>574572.66299999994</v>
      </c>
      <c r="I707" s="1466">
        <v>107519.124</v>
      </c>
      <c r="J707" s="1466">
        <f t="shared" si="25"/>
        <v>722091.78700000001</v>
      </c>
      <c r="K707" s="1466"/>
      <c r="L707" s="1540"/>
      <c r="M707" s="1540">
        <f t="shared" si="27"/>
        <v>722091.78700000001</v>
      </c>
      <c r="N707" s="1539"/>
      <c r="O707" s="559"/>
    </row>
    <row r="708" spans="1:15" s="540" customFormat="1" ht="14.25" customHeight="1">
      <c r="A708" s="1547">
        <v>184</v>
      </c>
      <c r="B708" s="1537" t="str">
        <f>VLOOKUP(D708,'[2]DS CN MOI UP'!$B$11:$C$447,2,0)</f>
        <v>02504</v>
      </c>
      <c r="C708" s="1538" t="s">
        <v>654</v>
      </c>
      <c r="D708" s="1539" t="s">
        <v>77</v>
      </c>
      <c r="E708" s="166" t="s">
        <v>15</v>
      </c>
      <c r="F708" s="166"/>
      <c r="G708" s="1540">
        <v>40000</v>
      </c>
      <c r="H708" s="1466">
        <v>604806.42599999998</v>
      </c>
      <c r="I708" s="1466">
        <v>109019.124</v>
      </c>
      <c r="J708" s="1466">
        <f t="shared" si="25"/>
        <v>753825.55</v>
      </c>
      <c r="K708" s="1466"/>
      <c r="L708" s="1540"/>
      <c r="M708" s="1540">
        <f t="shared" si="27"/>
        <v>753825.55</v>
      </c>
      <c r="N708" s="1539"/>
      <c r="O708" s="559"/>
    </row>
    <row r="709" spans="1:15" s="540" customFormat="1" ht="14.25" customHeight="1">
      <c r="A709" s="1536">
        <v>185</v>
      </c>
      <c r="B709" s="1537" t="e">
        <f>VLOOKUP(D709,'[2]DS CN MOI UP'!$B$11:$C$447,2,0)</f>
        <v>#N/A</v>
      </c>
      <c r="C709" s="1538" t="s">
        <v>654</v>
      </c>
      <c r="D709" s="1539" t="s">
        <v>1144</v>
      </c>
      <c r="E709" s="166" t="s">
        <v>15</v>
      </c>
      <c r="F709" s="166"/>
      <c r="G709" s="1540">
        <v>40000</v>
      </c>
      <c r="H709" s="1466">
        <v>584606.86199999996</v>
      </c>
      <c r="I709" s="1466">
        <v>229728.84</v>
      </c>
      <c r="J709" s="1466">
        <f t="shared" si="25"/>
        <v>854335.70200000005</v>
      </c>
      <c r="K709" s="1466"/>
      <c r="L709" s="1540"/>
      <c r="M709" s="1540">
        <f t="shared" si="27"/>
        <v>854335.70200000005</v>
      </c>
      <c r="N709" s="1539"/>
      <c r="O709" s="559"/>
    </row>
    <row r="710" spans="1:15" s="540" customFormat="1" ht="14.25" customHeight="1">
      <c r="A710" s="1547">
        <v>186</v>
      </c>
      <c r="B710" s="1537" t="str">
        <f>VLOOKUP(D710,'[2]DS CN MOI UP'!$B$11:$C$447,2,0)</f>
        <v>02505</v>
      </c>
      <c r="C710" s="1538" t="s">
        <v>654</v>
      </c>
      <c r="D710" s="1539" t="s">
        <v>117</v>
      </c>
      <c r="E710" s="166" t="s">
        <v>15</v>
      </c>
      <c r="F710" s="166"/>
      <c r="G710" s="1540">
        <v>40000</v>
      </c>
      <c r="H710" s="1466">
        <v>635040.18900000001</v>
      </c>
      <c r="I710" s="1466">
        <v>193212.22560000001</v>
      </c>
      <c r="J710" s="1466">
        <f t="shared" si="25"/>
        <v>868252.41460000002</v>
      </c>
      <c r="K710" s="1466"/>
      <c r="L710" s="1540"/>
      <c r="M710" s="1540">
        <f t="shared" si="27"/>
        <v>868252.41460000002</v>
      </c>
      <c r="N710" s="1539"/>
      <c r="O710" s="559"/>
    </row>
    <row r="711" spans="1:15" s="540" customFormat="1" ht="14.25" customHeight="1">
      <c r="A711" s="1547">
        <v>187</v>
      </c>
      <c r="B711" s="1537" t="e">
        <f>VLOOKUP(D711,'[2]DS CN MOI UP'!$B$11:$C$447,2,0)</f>
        <v>#N/A</v>
      </c>
      <c r="C711" s="1538" t="s">
        <v>654</v>
      </c>
      <c r="D711" s="1539" t="s">
        <v>1145</v>
      </c>
      <c r="E711" s="166" t="s">
        <v>15</v>
      </c>
      <c r="F711" s="166"/>
      <c r="G711" s="1540">
        <v>40000</v>
      </c>
      <c r="H711" s="1466">
        <v>524139.33600000001</v>
      </c>
      <c r="I711" s="1466">
        <v>524139.33600000001</v>
      </c>
      <c r="J711" s="1466">
        <f t="shared" si="25"/>
        <v>1088278.672</v>
      </c>
      <c r="K711" s="1466"/>
      <c r="L711" s="1540"/>
      <c r="M711" s="1540">
        <f t="shared" si="27"/>
        <v>1088278.672</v>
      </c>
      <c r="N711" s="1539"/>
      <c r="O711" s="559"/>
    </row>
    <row r="712" spans="1:15" s="540" customFormat="1" ht="14.25" customHeight="1">
      <c r="A712" s="1536">
        <v>188</v>
      </c>
      <c r="B712" s="1537" t="str">
        <f>VLOOKUP(D712,'[2]DS CN MOI UP'!$B$11:$C$447,2,0)</f>
        <v>02506</v>
      </c>
      <c r="C712" s="1538" t="s">
        <v>654</v>
      </c>
      <c r="D712" s="1539" t="s">
        <v>49</v>
      </c>
      <c r="E712" s="166" t="s">
        <v>15</v>
      </c>
      <c r="F712" s="166"/>
      <c r="G712" s="1540">
        <v>40000</v>
      </c>
      <c r="H712" s="1466">
        <v>635040.18900000001</v>
      </c>
      <c r="I712" s="1466">
        <v>524139.33600000001</v>
      </c>
      <c r="J712" s="1466">
        <f t="shared" si="25"/>
        <v>1199179.5249999999</v>
      </c>
      <c r="K712" s="1466"/>
      <c r="L712" s="1540"/>
      <c r="M712" s="1540">
        <f t="shared" si="27"/>
        <v>1199179.5249999999</v>
      </c>
      <c r="N712" s="1539"/>
      <c r="O712" s="559"/>
    </row>
    <row r="713" spans="1:15" s="540" customFormat="1" ht="14.25" customHeight="1">
      <c r="A713" s="1547">
        <v>189</v>
      </c>
      <c r="B713" s="1537" t="e">
        <f>VLOOKUP(D713,'[2]DS CN MOI UP'!$B$11:$C$447,2,0)</f>
        <v>#N/A</v>
      </c>
      <c r="C713" s="1538" t="s">
        <v>654</v>
      </c>
      <c r="D713" s="1539" t="s">
        <v>1146</v>
      </c>
      <c r="E713" s="166" t="s">
        <v>15</v>
      </c>
      <c r="F713" s="166"/>
      <c r="G713" s="1540">
        <v>40000</v>
      </c>
      <c r="H713" s="1466">
        <v>635040.18900000001</v>
      </c>
      <c r="I713" s="1466">
        <v>524139.33600000001</v>
      </c>
      <c r="J713" s="1466">
        <f t="shared" si="25"/>
        <v>1199179.5249999999</v>
      </c>
      <c r="K713" s="1466"/>
      <c r="L713" s="1540"/>
      <c r="M713" s="1540">
        <f t="shared" si="27"/>
        <v>1199179.5249999999</v>
      </c>
      <c r="N713" s="1539"/>
      <c r="O713" s="559"/>
    </row>
    <row r="714" spans="1:15" s="540" customFormat="1" ht="14.25" customHeight="1">
      <c r="A714" s="1547">
        <v>190</v>
      </c>
      <c r="B714" s="1537"/>
      <c r="C714" s="1538" t="s">
        <v>648</v>
      </c>
      <c r="D714" s="1539" t="s">
        <v>1147</v>
      </c>
      <c r="E714" s="166" t="s">
        <v>15</v>
      </c>
      <c r="F714" s="166"/>
      <c r="G714" s="1540">
        <v>40000</v>
      </c>
      <c r="H714" s="1466">
        <v>554373.09900000005</v>
      </c>
      <c r="I714" s="1466">
        <v>524139.33600000001</v>
      </c>
      <c r="J714" s="1466">
        <f t="shared" si="25"/>
        <v>1118512.4350000001</v>
      </c>
      <c r="K714" s="1466"/>
      <c r="L714" s="1540"/>
      <c r="M714" s="1540">
        <f t="shared" si="27"/>
        <v>1118512.4350000001</v>
      </c>
      <c r="N714" s="1539"/>
      <c r="O714" s="559"/>
    </row>
    <row r="715" spans="1:15" s="540" customFormat="1" ht="14.25" customHeight="1">
      <c r="A715" s="1536">
        <v>191</v>
      </c>
      <c r="B715" s="1537" t="str">
        <f>VLOOKUP(D715,'[2]DS CN MOI UP'!$B$11:$C$447,2,0)</f>
        <v>02507</v>
      </c>
      <c r="C715" s="1538" t="s">
        <v>650</v>
      </c>
      <c r="D715" s="1539" t="s">
        <v>50</v>
      </c>
      <c r="E715" s="166" t="s">
        <v>15</v>
      </c>
      <c r="F715" s="166"/>
      <c r="G715" s="1540">
        <v>40000</v>
      </c>
      <c r="H715" s="1466">
        <v>635040.18900000001</v>
      </c>
      <c r="I715" s="1466">
        <v>524139.33600000001</v>
      </c>
      <c r="J715" s="1466">
        <f t="shared" si="25"/>
        <v>1199179.5249999999</v>
      </c>
      <c r="K715" s="1466"/>
      <c r="L715" s="1540"/>
      <c r="M715" s="1540">
        <f t="shared" si="27"/>
        <v>1199179.5249999999</v>
      </c>
      <c r="N715" s="1539"/>
      <c r="O715" s="559"/>
    </row>
    <row r="716" spans="1:15" s="540" customFormat="1" ht="14.25" customHeight="1">
      <c r="A716" s="1547">
        <v>192</v>
      </c>
      <c r="B716" s="1537" t="e">
        <f>VLOOKUP(D716,'[2]DS CN MOI UP'!$B$11:$C$447,2,0)</f>
        <v>#N/A</v>
      </c>
      <c r="C716" s="1538" t="s">
        <v>651</v>
      </c>
      <c r="D716" s="1539" t="s">
        <v>1148</v>
      </c>
      <c r="E716" s="166" t="s">
        <v>15</v>
      </c>
      <c r="F716" s="166"/>
      <c r="G716" s="1540">
        <v>40000</v>
      </c>
      <c r="H716" s="1466">
        <v>635040.18900000001</v>
      </c>
      <c r="I716" s="1466">
        <v>524139.33600000001</v>
      </c>
      <c r="J716" s="1466">
        <f t="shared" si="25"/>
        <v>1199179.5249999999</v>
      </c>
      <c r="K716" s="1466"/>
      <c r="L716" s="1540"/>
      <c r="M716" s="1540">
        <f t="shared" si="27"/>
        <v>1199179.5249999999</v>
      </c>
      <c r="N716" s="1539"/>
      <c r="O716" s="559"/>
    </row>
    <row r="717" spans="1:15" s="540" customFormat="1" ht="14.25" customHeight="1">
      <c r="A717" s="1547">
        <v>193</v>
      </c>
      <c r="B717" s="1537" t="e">
        <f>VLOOKUP(D717,'[2]DS CN MOI UP'!$B$11:$C$447,2,0)</f>
        <v>#N/A</v>
      </c>
      <c r="C717" s="1538" t="s">
        <v>651</v>
      </c>
      <c r="D717" s="1539" t="s">
        <v>1149</v>
      </c>
      <c r="E717" s="166" t="s">
        <v>15</v>
      </c>
      <c r="F717" s="166"/>
      <c r="G717" s="1540">
        <v>40000</v>
      </c>
      <c r="H717" s="1466">
        <v>635040.18900000001</v>
      </c>
      <c r="I717" s="1466">
        <v>524139.33600000001</v>
      </c>
      <c r="J717" s="1466">
        <f t="shared" si="25"/>
        <v>1199179.5249999999</v>
      </c>
      <c r="K717" s="1466"/>
      <c r="L717" s="1540"/>
      <c r="M717" s="1540">
        <f t="shared" si="27"/>
        <v>1199179.5249999999</v>
      </c>
      <c r="N717" s="1539"/>
      <c r="O717" s="559"/>
    </row>
    <row r="718" spans="1:15" s="540" customFormat="1" ht="14.25" customHeight="1">
      <c r="A718" s="1536">
        <v>194</v>
      </c>
      <c r="B718" s="1537" t="str">
        <f>VLOOKUP(D718,'[2]DS CN MOI UP'!$B$11:$C$447,2,0)</f>
        <v>02508</v>
      </c>
      <c r="C718" s="1538" t="s">
        <v>651</v>
      </c>
      <c r="D718" s="1539" t="s">
        <v>23</v>
      </c>
      <c r="E718" s="166" t="s">
        <v>15</v>
      </c>
      <c r="F718" s="166"/>
      <c r="G718" s="1540">
        <v>40000</v>
      </c>
      <c r="H718" s="1466">
        <v>614840.625</v>
      </c>
      <c r="I718" s="1466">
        <v>614840.625</v>
      </c>
      <c r="J718" s="1466">
        <f t="shared" si="25"/>
        <v>1269681.25</v>
      </c>
      <c r="K718" s="1466"/>
      <c r="L718" s="1540"/>
      <c r="M718" s="1540">
        <f t="shared" si="27"/>
        <v>1269681.25</v>
      </c>
      <c r="N718" s="1539"/>
      <c r="O718" s="559"/>
    </row>
    <row r="719" spans="1:15" s="540" customFormat="1" ht="14.25" customHeight="1">
      <c r="A719" s="1547">
        <v>195</v>
      </c>
      <c r="B719" s="1537" t="e">
        <f>VLOOKUP(D719,'[2]DS CN MOI UP'!$B$11:$C$447,2,0)</f>
        <v>#N/A</v>
      </c>
      <c r="C719" s="1538" t="s">
        <v>651</v>
      </c>
      <c r="D719" s="1539" t="s">
        <v>1150</v>
      </c>
      <c r="E719" s="166" t="s">
        <v>15</v>
      </c>
      <c r="F719" s="166"/>
      <c r="G719" s="1540">
        <v>40000</v>
      </c>
      <c r="H719" s="1466">
        <v>554373.09900000005</v>
      </c>
      <c r="I719" s="1466">
        <v>554373.09900000005</v>
      </c>
      <c r="J719" s="1466">
        <f t="shared" si="25"/>
        <v>1148746.1980000001</v>
      </c>
      <c r="K719" s="1466"/>
      <c r="L719" s="1540"/>
      <c r="M719" s="1540">
        <f t="shared" si="27"/>
        <v>1148746.1980000001</v>
      </c>
      <c r="N719" s="1539"/>
      <c r="O719" s="559"/>
    </row>
    <row r="720" spans="1:15" s="540" customFormat="1" ht="14.25" customHeight="1">
      <c r="A720" s="1547">
        <v>196</v>
      </c>
      <c r="B720" s="1537" t="e">
        <f>VLOOKUP(D720,'[2]DS CN MOI UP'!$B$11:$C$447,2,0)</f>
        <v>#N/A</v>
      </c>
      <c r="C720" s="1538" t="s">
        <v>651</v>
      </c>
      <c r="D720" s="1539" t="s">
        <v>1151</v>
      </c>
      <c r="E720" s="166" t="s">
        <v>15</v>
      </c>
      <c r="F720" s="166"/>
      <c r="G720" s="1540">
        <v>40000</v>
      </c>
      <c r="H720" s="1466">
        <v>554373.09900000005</v>
      </c>
      <c r="I720" s="1466">
        <v>554373.09900000005</v>
      </c>
      <c r="J720" s="1466">
        <f t="shared" si="25"/>
        <v>1148746.1980000001</v>
      </c>
      <c r="K720" s="1466"/>
      <c r="L720" s="1540"/>
      <c r="M720" s="1540">
        <f t="shared" si="27"/>
        <v>1148746.1980000001</v>
      </c>
      <c r="N720" s="1539"/>
      <c r="O720" s="559"/>
    </row>
    <row r="721" spans="1:15" s="540" customFormat="1" ht="14.25" customHeight="1">
      <c r="A721" s="1536">
        <v>197</v>
      </c>
      <c r="B721" s="1537" t="str">
        <f>VLOOKUP(D721,'[2]DS CN MOI UP'!$B$11:$C$447,2,0)</f>
        <v>02510</v>
      </c>
      <c r="C721" s="1538" t="s">
        <v>651</v>
      </c>
      <c r="D721" s="1539" t="s">
        <v>43</v>
      </c>
      <c r="E721" s="166" t="s">
        <v>15</v>
      </c>
      <c r="F721" s="166"/>
      <c r="G721" s="1540">
        <v>40000</v>
      </c>
      <c r="H721" s="1466">
        <v>554373.09900000005</v>
      </c>
      <c r="I721" s="1466">
        <v>554373.09900000005</v>
      </c>
      <c r="J721" s="1466">
        <f t="shared" si="25"/>
        <v>1148746.1980000001</v>
      </c>
      <c r="K721" s="1466"/>
      <c r="L721" s="1540"/>
      <c r="M721" s="1540">
        <f t="shared" si="27"/>
        <v>1148746.1980000001</v>
      </c>
      <c r="N721" s="1539"/>
      <c r="O721" s="559"/>
    </row>
    <row r="722" spans="1:15" s="540" customFormat="1" ht="14.25" customHeight="1">
      <c r="A722" s="1547">
        <v>198</v>
      </c>
      <c r="B722" s="1537" t="e">
        <f>VLOOKUP(D722,'[2]DS CN MOI UP'!$B$11:$C$447,2,0)</f>
        <v>#N/A</v>
      </c>
      <c r="C722" s="1538" t="s">
        <v>651</v>
      </c>
      <c r="D722" s="1539" t="s">
        <v>1152</v>
      </c>
      <c r="E722" s="166" t="s">
        <v>15</v>
      </c>
      <c r="F722" s="166"/>
      <c r="G722" s="1540"/>
      <c r="H722" s="1466">
        <v>635040.18900000001</v>
      </c>
      <c r="I722" s="1466">
        <v>635040.18900000001</v>
      </c>
      <c r="J722" s="1466">
        <f t="shared" si="25"/>
        <v>1270080.378</v>
      </c>
      <c r="K722" s="1466"/>
      <c r="L722" s="1540"/>
      <c r="M722" s="1540">
        <f t="shared" si="27"/>
        <v>1270080.378</v>
      </c>
      <c r="N722" s="1539"/>
      <c r="O722" s="559"/>
    </row>
    <row r="723" spans="1:15" s="540" customFormat="1" ht="14.25" customHeight="1">
      <c r="A723" s="1547">
        <v>199</v>
      </c>
      <c r="B723" s="1537" t="str">
        <f>VLOOKUP(D723,'[2]DS CN MOI UP'!$B$11:$C$447,2,0)</f>
        <v>02511</v>
      </c>
      <c r="C723" s="1538" t="s">
        <v>651</v>
      </c>
      <c r="D723" s="1539" t="s">
        <v>488</v>
      </c>
      <c r="E723" s="166" t="s">
        <v>15</v>
      </c>
      <c r="F723" s="166"/>
      <c r="G723" s="1540">
        <v>40000</v>
      </c>
      <c r="H723" s="1466">
        <v>544338.9</v>
      </c>
      <c r="I723" s="1466">
        <v>544338.9</v>
      </c>
      <c r="J723" s="1466">
        <f t="shared" si="25"/>
        <v>1128677.8</v>
      </c>
      <c r="K723" s="1466"/>
      <c r="L723" s="1540"/>
      <c r="M723" s="1540">
        <f t="shared" si="27"/>
        <v>1128677.8</v>
      </c>
      <c r="N723" s="1539"/>
      <c r="O723" s="559"/>
    </row>
    <row r="724" spans="1:15" s="540" customFormat="1" ht="14.25" customHeight="1">
      <c r="A724" s="1536">
        <v>200</v>
      </c>
      <c r="B724" s="1537" t="e">
        <f>VLOOKUP(D724,'[2]DS CN MOI UP'!$B$11:$C$447,2,0)</f>
        <v>#N/A</v>
      </c>
      <c r="C724" s="1538" t="s">
        <v>651</v>
      </c>
      <c r="D724" s="1539" t="s">
        <v>1153</v>
      </c>
      <c r="E724" s="166" t="s">
        <v>15</v>
      </c>
      <c r="F724" s="166"/>
      <c r="G724" s="1540">
        <v>40000</v>
      </c>
      <c r="H724" s="1466">
        <v>574572.66299999994</v>
      </c>
      <c r="I724" s="1466">
        <v>574572.66299999994</v>
      </c>
      <c r="J724" s="1466">
        <f t="shared" si="25"/>
        <v>1189145.3259999999</v>
      </c>
      <c r="K724" s="1466"/>
      <c r="L724" s="1540"/>
      <c r="M724" s="1540">
        <f t="shared" si="27"/>
        <v>1189145.3259999999</v>
      </c>
      <c r="N724" s="1539"/>
      <c r="O724" s="559"/>
    </row>
    <row r="725" spans="1:15" s="540" customFormat="1" ht="14.25" customHeight="1">
      <c r="A725" s="1547">
        <v>201</v>
      </c>
      <c r="B725" s="1537" t="e">
        <f>VLOOKUP(D725,'[2]DS CN MOI UP'!$B$11:$C$447,2,0)</f>
        <v>#N/A</v>
      </c>
      <c r="C725" s="1538" t="s">
        <v>651</v>
      </c>
      <c r="D725" s="1539" t="s">
        <v>1154</v>
      </c>
      <c r="E725" s="166" t="s">
        <v>15</v>
      </c>
      <c r="F725" s="166"/>
      <c r="G725" s="1540">
        <v>40000</v>
      </c>
      <c r="H725" s="1466">
        <v>604806.42599999998</v>
      </c>
      <c r="I725" s="1466">
        <v>604806.42599999998</v>
      </c>
      <c r="J725" s="1466">
        <f t="shared" si="25"/>
        <v>1249612.852</v>
      </c>
      <c r="K725" s="1466"/>
      <c r="L725" s="1540"/>
      <c r="M725" s="1540">
        <f t="shared" si="27"/>
        <v>1249612.852</v>
      </c>
      <c r="N725" s="1539"/>
      <c r="O725" s="559"/>
    </row>
    <row r="726" spans="1:15" s="540" customFormat="1" ht="14.25" customHeight="1">
      <c r="A726" s="1547">
        <v>202</v>
      </c>
      <c r="B726" s="1537" t="str">
        <f>VLOOKUP(D726,'[2]DS CN MOI UP'!$B$11:$C$447,2,0)</f>
        <v>02512</v>
      </c>
      <c r="C726" s="1538" t="s">
        <v>651</v>
      </c>
      <c r="D726" s="1539" t="s">
        <v>54</v>
      </c>
      <c r="E726" s="166" t="s">
        <v>15</v>
      </c>
      <c r="F726" s="166"/>
      <c r="G726" s="1540">
        <v>40000</v>
      </c>
      <c r="H726" s="1466">
        <v>584606.86199999996</v>
      </c>
      <c r="I726" s="1466">
        <v>584606.86199999996</v>
      </c>
      <c r="J726" s="1466">
        <f t="shared" si="25"/>
        <v>1209213.7239999999</v>
      </c>
      <c r="K726" s="1466"/>
      <c r="L726" s="1540"/>
      <c r="M726" s="1540">
        <f t="shared" si="27"/>
        <v>1209213.7239999999</v>
      </c>
      <c r="N726" s="1539"/>
      <c r="O726" s="559"/>
    </row>
    <row r="727" spans="1:15" s="540" customFormat="1" ht="14.25" customHeight="1">
      <c r="A727" s="1536">
        <v>203</v>
      </c>
      <c r="B727" s="1537" t="e">
        <f>VLOOKUP(D727,'[2]DS CN MOI UP'!$B$11:$C$447,2,0)</f>
        <v>#N/A</v>
      </c>
      <c r="C727" s="1538" t="s">
        <v>651</v>
      </c>
      <c r="D727" s="1539" t="s">
        <v>1155</v>
      </c>
      <c r="E727" s="166" t="s">
        <v>15</v>
      </c>
      <c r="F727" s="166"/>
      <c r="G727" s="1540"/>
      <c r="H727" s="1466">
        <v>635040.18900000001</v>
      </c>
      <c r="I727" s="1466">
        <v>635040.18900000001</v>
      </c>
      <c r="J727" s="1466">
        <f t="shared" si="25"/>
        <v>1270080.378</v>
      </c>
      <c r="K727" s="1466"/>
      <c r="L727" s="1540"/>
      <c r="M727" s="1540">
        <f t="shared" si="27"/>
        <v>1270080.378</v>
      </c>
      <c r="N727" s="1539"/>
      <c r="O727" s="559"/>
    </row>
    <row r="728" spans="1:15" s="540" customFormat="1" ht="14.25" customHeight="1">
      <c r="A728" s="1547">
        <v>204</v>
      </c>
      <c r="B728" s="1537" t="e">
        <f>VLOOKUP(D728,'[2]DS CN MOI UP'!$B$11:$C$447,2,0)</f>
        <v>#N/A</v>
      </c>
      <c r="C728" s="1538" t="s">
        <v>654</v>
      </c>
      <c r="D728" s="1539" t="s">
        <v>540</v>
      </c>
      <c r="E728" s="166" t="s">
        <v>15</v>
      </c>
      <c r="F728" s="166"/>
      <c r="G728" s="1540">
        <v>40000</v>
      </c>
      <c r="H728" s="1466">
        <v>524139.33600000001</v>
      </c>
      <c r="I728" s="1466">
        <v>524139.33600000001</v>
      </c>
      <c r="J728" s="1466">
        <f t="shared" si="25"/>
        <v>1088278.672</v>
      </c>
      <c r="K728" s="1466"/>
      <c r="L728" s="1540"/>
      <c r="M728" s="1540">
        <f t="shared" si="27"/>
        <v>1088278.672</v>
      </c>
      <c r="N728" s="1539"/>
      <c r="O728" s="559"/>
    </row>
    <row r="729" spans="1:15" s="540" customFormat="1" ht="14.25" customHeight="1">
      <c r="A729" s="1547">
        <v>205</v>
      </c>
      <c r="B729" s="1537" t="e">
        <f>VLOOKUP(D729,'[2]DS CN MOI UP'!$B$11:$C$447,2,0)</f>
        <v>#N/A</v>
      </c>
      <c r="C729" s="1538" t="s">
        <v>654</v>
      </c>
      <c r="D729" s="1539" t="s">
        <v>1156</v>
      </c>
      <c r="E729" s="166" t="s">
        <v>15</v>
      </c>
      <c r="F729" s="166"/>
      <c r="G729" s="1540">
        <v>40000</v>
      </c>
      <c r="H729" s="1466">
        <v>554373.09900000005</v>
      </c>
      <c r="I729" s="1466">
        <v>554373.09900000005</v>
      </c>
      <c r="J729" s="1466">
        <f t="shared" si="25"/>
        <v>1148746.1980000001</v>
      </c>
      <c r="K729" s="1466"/>
      <c r="L729" s="1540"/>
      <c r="M729" s="1540">
        <f t="shared" si="27"/>
        <v>1148746.1980000001</v>
      </c>
      <c r="N729" s="1539"/>
      <c r="O729" s="559"/>
    </row>
    <row r="730" spans="1:15" s="540" customFormat="1" ht="14.25" customHeight="1">
      <c r="A730" s="1536">
        <v>206</v>
      </c>
      <c r="B730" s="1537" t="e">
        <f>VLOOKUP(D730,'[2]DS CN MOI UP'!$B$11:$C$447,2,0)</f>
        <v>#N/A</v>
      </c>
      <c r="C730" s="1538" t="s">
        <v>654</v>
      </c>
      <c r="D730" s="1539" t="s">
        <v>1157</v>
      </c>
      <c r="E730" s="166" t="s">
        <v>15</v>
      </c>
      <c r="F730" s="166"/>
      <c r="G730" s="1540">
        <v>40000</v>
      </c>
      <c r="H730" s="1466">
        <v>554373.09900000005</v>
      </c>
      <c r="I730" s="1466">
        <v>554373.09900000005</v>
      </c>
      <c r="J730" s="1466">
        <f t="shared" si="25"/>
        <v>1148746.1980000001</v>
      </c>
      <c r="K730" s="1466"/>
      <c r="L730" s="1540"/>
      <c r="M730" s="1540">
        <f t="shared" si="27"/>
        <v>1148746.1980000001</v>
      </c>
      <c r="N730" s="1539"/>
      <c r="O730" s="559"/>
    </row>
    <row r="731" spans="1:15" s="540" customFormat="1" ht="14.25" customHeight="1">
      <c r="A731" s="1547">
        <v>207</v>
      </c>
      <c r="B731" s="1537" t="str">
        <f>VLOOKUP(D731,'[2]DS CN MOI UP'!$B$11:$C$447,2,0)</f>
        <v>02514</v>
      </c>
      <c r="C731" s="1538" t="s">
        <v>654</v>
      </c>
      <c r="D731" s="1539" t="s">
        <v>100</v>
      </c>
      <c r="E731" s="166" t="s">
        <v>15</v>
      </c>
      <c r="F731" s="166"/>
      <c r="G731" s="1540">
        <v>40000</v>
      </c>
      <c r="H731" s="1466">
        <v>614840.625</v>
      </c>
      <c r="I731" s="1466">
        <v>554373.09900000005</v>
      </c>
      <c r="J731" s="1466">
        <f t="shared" si="25"/>
        <v>1209213.7239999999</v>
      </c>
      <c r="K731" s="1466"/>
      <c r="L731" s="1540"/>
      <c r="M731" s="1540">
        <f t="shared" si="27"/>
        <v>1209213.7239999999</v>
      </c>
      <c r="N731" s="1539"/>
      <c r="O731" s="559"/>
    </row>
    <row r="732" spans="1:15" s="540" customFormat="1" ht="14.25" customHeight="1">
      <c r="A732" s="1547">
        <v>208</v>
      </c>
      <c r="B732" s="1537" t="e">
        <f>VLOOKUP(D732,'[2]DS CN MOI UP'!$B$11:$C$447,2,0)</f>
        <v>#N/A</v>
      </c>
      <c r="C732" s="1538" t="s">
        <v>654</v>
      </c>
      <c r="D732" s="1539" t="s">
        <v>1158</v>
      </c>
      <c r="E732" s="166" t="s">
        <v>15</v>
      </c>
      <c r="F732" s="166"/>
      <c r="G732" s="1540">
        <v>40000</v>
      </c>
      <c r="H732" s="1466">
        <v>614840.625</v>
      </c>
      <c r="I732" s="1466">
        <v>554373.09900000005</v>
      </c>
      <c r="J732" s="1466">
        <f t="shared" si="25"/>
        <v>1209213.7239999999</v>
      </c>
      <c r="K732" s="1466"/>
      <c r="L732" s="1540"/>
      <c r="M732" s="1540">
        <f t="shared" si="27"/>
        <v>1209213.7239999999</v>
      </c>
      <c r="N732" s="1539"/>
      <c r="O732" s="559"/>
    </row>
    <row r="733" spans="1:15" s="540" customFormat="1" ht="14.25" customHeight="1">
      <c r="A733" s="1536">
        <v>209</v>
      </c>
      <c r="B733" s="1537" t="e">
        <f>VLOOKUP(D733,'[2]DS CN MOI UP'!$B$11:$C$447,2,0)</f>
        <v>#N/A</v>
      </c>
      <c r="C733" s="1538" t="s">
        <v>654</v>
      </c>
      <c r="D733" s="1539" t="s">
        <v>1159</v>
      </c>
      <c r="E733" s="166" t="s">
        <v>15</v>
      </c>
      <c r="F733" s="166"/>
      <c r="G733" s="1540">
        <v>40000</v>
      </c>
      <c r="H733" s="1466">
        <v>614840.625</v>
      </c>
      <c r="I733" s="1466">
        <v>554373.09900000005</v>
      </c>
      <c r="J733" s="1466">
        <f t="shared" si="25"/>
        <v>1209213.7239999999</v>
      </c>
      <c r="K733" s="1466"/>
      <c r="L733" s="1540"/>
      <c r="M733" s="1540">
        <f t="shared" si="27"/>
        <v>1209213.7239999999</v>
      </c>
      <c r="N733" s="1539"/>
      <c r="O733" s="559"/>
    </row>
    <row r="734" spans="1:15" s="540" customFormat="1" ht="14.25" customHeight="1">
      <c r="A734" s="1547">
        <v>210</v>
      </c>
      <c r="B734" s="1537" t="e">
        <f>VLOOKUP(D734,'[2]DS CN MOI UP'!$B$11:$C$447,2,0)</f>
        <v>#N/A</v>
      </c>
      <c r="C734" s="1538" t="s">
        <v>654</v>
      </c>
      <c r="D734" s="1539" t="s">
        <v>728</v>
      </c>
      <c r="E734" s="166" t="s">
        <v>15</v>
      </c>
      <c r="F734" s="166"/>
      <c r="G734" s="1540">
        <v>40000</v>
      </c>
      <c r="H734" s="1466">
        <v>614840.625</v>
      </c>
      <c r="I734" s="1466">
        <v>554373.09900000005</v>
      </c>
      <c r="J734" s="1466">
        <f t="shared" si="25"/>
        <v>1209213.7239999999</v>
      </c>
      <c r="K734" s="1466"/>
      <c r="L734" s="1540"/>
      <c r="M734" s="1540">
        <f t="shared" si="27"/>
        <v>1209213.7239999999</v>
      </c>
      <c r="N734" s="1539"/>
      <c r="O734" s="559"/>
    </row>
    <row r="735" spans="1:15" s="540" customFormat="1" ht="14.25" customHeight="1">
      <c r="A735" s="1547">
        <v>211</v>
      </c>
      <c r="B735" s="1537" t="str">
        <f>VLOOKUP(D735,'[2]DS CN MOI UP'!$B$11:$C$447,2,0)</f>
        <v>02444</v>
      </c>
      <c r="C735" s="1538" t="s">
        <v>654</v>
      </c>
      <c r="D735" s="1539" t="s">
        <v>105</v>
      </c>
      <c r="E735" s="166" t="s">
        <v>15</v>
      </c>
      <c r="F735" s="166"/>
      <c r="G735" s="1540">
        <v>40000</v>
      </c>
      <c r="H735" s="1466">
        <v>614840.625</v>
      </c>
      <c r="I735" s="1466">
        <v>554373.09900000005</v>
      </c>
      <c r="J735" s="1466">
        <f t="shared" si="25"/>
        <v>1209213.7239999999</v>
      </c>
      <c r="K735" s="1466"/>
      <c r="L735" s="1540"/>
      <c r="M735" s="1540">
        <f t="shared" si="27"/>
        <v>1209213.7239999999</v>
      </c>
      <c r="N735" s="1539"/>
      <c r="O735" s="559"/>
    </row>
    <row r="736" spans="1:15" s="540" customFormat="1" ht="14.25" customHeight="1">
      <c r="A736" s="1536">
        <v>212</v>
      </c>
      <c r="B736" s="1537" t="str">
        <f>VLOOKUP(D736,'[2]DS CN MOI UP'!$B$11:$C$447,2,0)</f>
        <v>02445</v>
      </c>
      <c r="C736" s="1538" t="s">
        <v>654</v>
      </c>
      <c r="D736" s="1539" t="s">
        <v>109</v>
      </c>
      <c r="E736" s="166" t="s">
        <v>15</v>
      </c>
      <c r="F736" s="166"/>
      <c r="G736" s="1540">
        <v>40000</v>
      </c>
      <c r="H736" s="1466">
        <v>544338.9</v>
      </c>
      <c r="I736" s="1466">
        <v>554373.09900000005</v>
      </c>
      <c r="J736" s="1466">
        <f t="shared" si="25"/>
        <v>1138711.9990000001</v>
      </c>
      <c r="K736" s="1466"/>
      <c r="L736" s="1540"/>
      <c r="M736" s="1540">
        <f t="shared" si="27"/>
        <v>1138711.9990000001</v>
      </c>
      <c r="N736" s="1539"/>
      <c r="O736" s="559"/>
    </row>
    <row r="737" spans="1:15" s="540" customFormat="1" ht="14.25" customHeight="1">
      <c r="A737" s="1547">
        <v>213</v>
      </c>
      <c r="B737" s="1537" t="str">
        <f>VLOOKUP(D737,'[2]DS CN MOI UP'!$B$11:$C$447,2,0)</f>
        <v>02446</v>
      </c>
      <c r="C737" s="1538" t="s">
        <v>654</v>
      </c>
      <c r="D737" s="1539" t="s">
        <v>110</v>
      </c>
      <c r="E737" s="166" t="s">
        <v>15</v>
      </c>
      <c r="F737" s="166"/>
      <c r="G737" s="1540">
        <v>40000</v>
      </c>
      <c r="H737" s="1466">
        <v>574572.66299999994</v>
      </c>
      <c r="I737" s="1466">
        <v>554373.09900000005</v>
      </c>
      <c r="J737" s="1466">
        <f t="shared" si="25"/>
        <v>1168945.7620000001</v>
      </c>
      <c r="K737" s="1466"/>
      <c r="L737" s="1540"/>
      <c r="M737" s="1540">
        <f t="shared" si="27"/>
        <v>1168945.7620000001</v>
      </c>
      <c r="N737" s="1539"/>
      <c r="O737" s="559"/>
    </row>
    <row r="738" spans="1:15" s="540" customFormat="1" ht="14.25" customHeight="1">
      <c r="A738" s="1547">
        <v>214</v>
      </c>
      <c r="B738" s="1537" t="e">
        <f>VLOOKUP(D738,'[2]DS CN MOI UP'!$B$11:$C$447,2,0)</f>
        <v>#N/A</v>
      </c>
      <c r="C738" s="1538" t="s">
        <v>654</v>
      </c>
      <c r="D738" s="1539" t="s">
        <v>689</v>
      </c>
      <c r="E738" s="166" t="s">
        <v>15</v>
      </c>
      <c r="F738" s="166"/>
      <c r="G738" s="1540">
        <v>40000</v>
      </c>
      <c r="H738" s="1466">
        <v>604806.42599999998</v>
      </c>
      <c r="I738" s="1466">
        <v>554373.09900000005</v>
      </c>
      <c r="J738" s="1466">
        <f t="shared" si="25"/>
        <v>1199179.5249999999</v>
      </c>
      <c r="K738" s="1466"/>
      <c r="L738" s="1540"/>
      <c r="M738" s="1540">
        <f t="shared" si="27"/>
        <v>1199179.5249999999</v>
      </c>
      <c r="N738" s="1539"/>
      <c r="O738" s="559"/>
    </row>
    <row r="739" spans="1:15" s="540" customFormat="1" ht="14.25" customHeight="1">
      <c r="A739" s="1536">
        <v>215</v>
      </c>
      <c r="B739" s="1537" t="e">
        <f>VLOOKUP(D739,'[2]DS CN MOI UP'!$B$11:$C$447,2,0)</f>
        <v>#N/A</v>
      </c>
      <c r="C739" s="1538" t="s">
        <v>654</v>
      </c>
      <c r="D739" s="1539" t="s">
        <v>1160</v>
      </c>
      <c r="E739" s="166" t="s">
        <v>15</v>
      </c>
      <c r="F739" s="166"/>
      <c r="G739" s="1540">
        <v>40000</v>
      </c>
      <c r="H739" s="1466">
        <v>584606.86199999996</v>
      </c>
      <c r="I739" s="1466">
        <v>554373.09900000005</v>
      </c>
      <c r="J739" s="1466">
        <f t="shared" si="25"/>
        <v>1178979.9609999999</v>
      </c>
      <c r="K739" s="1466"/>
      <c r="L739" s="1540"/>
      <c r="M739" s="1540">
        <f t="shared" si="27"/>
        <v>1178979.9609999999</v>
      </c>
      <c r="N739" s="1539"/>
      <c r="O739" s="559"/>
    </row>
    <row r="740" spans="1:15" s="540" customFormat="1" ht="14.25" customHeight="1">
      <c r="A740" s="1547">
        <v>216</v>
      </c>
      <c r="B740" s="1537" t="e">
        <f>VLOOKUP(D740,'[2]DS CN MOI UP'!$B$11:$C$447,2,0)</f>
        <v>#N/A</v>
      </c>
      <c r="C740" s="1538" t="s">
        <v>654</v>
      </c>
      <c r="D740" s="1539" t="s">
        <v>1161</v>
      </c>
      <c r="E740" s="166" t="s">
        <v>15</v>
      </c>
      <c r="F740" s="166"/>
      <c r="G740" s="1540">
        <v>40000</v>
      </c>
      <c r="H740" s="1466">
        <v>635040.18900000001</v>
      </c>
      <c r="I740" s="1466">
        <v>188707.71779984201</v>
      </c>
      <c r="J740" s="1466">
        <f t="shared" si="25"/>
        <v>863747.90679984202</v>
      </c>
      <c r="K740" s="1466"/>
      <c r="L740" s="1540"/>
      <c r="M740" s="1540">
        <f t="shared" si="27"/>
        <v>863747.90679984202</v>
      </c>
      <c r="N740" s="1539"/>
      <c r="O740" s="559"/>
    </row>
    <row r="741" spans="1:15" s="540" customFormat="1" ht="14.25" customHeight="1">
      <c r="A741" s="1547">
        <v>217</v>
      </c>
      <c r="B741" s="1537" t="str">
        <f>VLOOKUP(D741,'[2]DS CN MOI UP'!$B$11:$C$447,2,0)</f>
        <v>03850</v>
      </c>
      <c r="C741" s="1538" t="s">
        <v>654</v>
      </c>
      <c r="D741" s="1539" t="s">
        <v>449</v>
      </c>
      <c r="E741" s="166" t="s">
        <v>15</v>
      </c>
      <c r="F741" s="166"/>
      <c r="G741" s="1540">
        <v>600000</v>
      </c>
      <c r="H741" s="1466">
        <v>524139.33600000001</v>
      </c>
      <c r="I741" s="1466"/>
      <c r="J741" s="1466">
        <f t="shared" si="25"/>
        <v>1124139.3359999999</v>
      </c>
      <c r="K741" s="1466"/>
      <c r="L741" s="1540"/>
      <c r="M741" s="1540">
        <f t="shared" si="27"/>
        <v>1124139.3359999999</v>
      </c>
      <c r="N741" s="1539"/>
      <c r="O741" s="559"/>
    </row>
    <row r="742" spans="1:15" s="540" customFormat="1" ht="14.25" customHeight="1">
      <c r="A742" s="1536">
        <v>218</v>
      </c>
      <c r="B742" s="1537" t="e">
        <f>VLOOKUP(D742,'[2]DS CN MOI UP'!$B$11:$C$447,2,0)</f>
        <v>#N/A</v>
      </c>
      <c r="C742" s="1538" t="s">
        <v>654</v>
      </c>
      <c r="D742" s="1539" t="s">
        <v>1162</v>
      </c>
      <c r="E742" s="166" t="s">
        <v>15</v>
      </c>
      <c r="F742" s="166"/>
      <c r="G742" s="1540">
        <v>600000</v>
      </c>
      <c r="H742" s="1466">
        <v>635040.18900000001</v>
      </c>
      <c r="I742" s="1466"/>
      <c r="J742" s="1466">
        <f t="shared" si="25"/>
        <v>1235040.189</v>
      </c>
      <c r="K742" s="1466"/>
      <c r="L742" s="1540"/>
      <c r="M742" s="1540">
        <f t="shared" si="27"/>
        <v>1235040.189</v>
      </c>
      <c r="N742" s="1539"/>
      <c r="O742" s="559"/>
    </row>
    <row r="743" spans="1:15" s="540" customFormat="1" ht="14.25" customHeight="1">
      <c r="A743" s="1547">
        <v>219</v>
      </c>
      <c r="B743" s="1537" t="e">
        <f>VLOOKUP(D743,'[2]DS CN MOI UP'!$B$11:$C$447,2,0)</f>
        <v>#N/A</v>
      </c>
      <c r="C743" s="1538" t="s">
        <v>654</v>
      </c>
      <c r="D743" s="1539" t="s">
        <v>1163</v>
      </c>
      <c r="E743" s="166" t="s">
        <v>15</v>
      </c>
      <c r="F743" s="166"/>
      <c r="G743" s="1540">
        <v>600000</v>
      </c>
      <c r="H743" s="1466">
        <v>635040.18900000001</v>
      </c>
      <c r="I743" s="1466"/>
      <c r="J743" s="1466">
        <f t="shared" si="25"/>
        <v>1235040.189</v>
      </c>
      <c r="K743" s="1466"/>
      <c r="L743" s="1540"/>
      <c r="M743" s="1540">
        <f t="shared" si="27"/>
        <v>1235040.189</v>
      </c>
      <c r="N743" s="1539"/>
      <c r="O743" s="559"/>
    </row>
    <row r="744" spans="1:15" s="540" customFormat="1" ht="14.25" customHeight="1">
      <c r="A744" s="1547">
        <v>220</v>
      </c>
      <c r="B744" s="1537" t="e">
        <f>VLOOKUP(D744,'[2]DS CN MOI UP'!$B$11:$C$447,2,0)</f>
        <v>#N/A</v>
      </c>
      <c r="C744" s="1538" t="s">
        <v>654</v>
      </c>
      <c r="D744" s="1539" t="s">
        <v>916</v>
      </c>
      <c r="E744" s="166" t="s">
        <v>15</v>
      </c>
      <c r="F744" s="166"/>
      <c r="G744" s="1540">
        <v>600000</v>
      </c>
      <c r="H744" s="1466">
        <v>635040.18900000001</v>
      </c>
      <c r="I744" s="1466"/>
      <c r="J744" s="1466">
        <f t="shared" si="25"/>
        <v>1235040.189</v>
      </c>
      <c r="K744" s="1466"/>
      <c r="L744" s="1540"/>
      <c r="M744" s="1540">
        <f t="shared" si="27"/>
        <v>1235040.189</v>
      </c>
      <c r="N744" s="1539"/>
      <c r="O744" s="559"/>
    </row>
    <row r="745" spans="1:15" s="540" customFormat="1" ht="14.25" customHeight="1">
      <c r="A745" s="1536">
        <v>221</v>
      </c>
      <c r="B745" s="1537" t="e">
        <f>VLOOKUP(D745,'[2]DS CN MOI UP'!$B$11:$C$447,2,0)</f>
        <v>#N/A</v>
      </c>
      <c r="C745" s="1538" t="s">
        <v>654</v>
      </c>
      <c r="D745" s="1539" t="s">
        <v>1164</v>
      </c>
      <c r="E745" s="166" t="s">
        <v>15</v>
      </c>
      <c r="F745" s="166"/>
      <c r="G745" s="1540">
        <v>600000</v>
      </c>
      <c r="H745" s="1466">
        <v>635040.18900000001</v>
      </c>
      <c r="I745" s="1466"/>
      <c r="J745" s="1466">
        <f t="shared" si="25"/>
        <v>1235040.189</v>
      </c>
      <c r="K745" s="1466"/>
      <c r="L745" s="1540"/>
      <c r="M745" s="1540">
        <f t="shared" si="27"/>
        <v>1235040.189</v>
      </c>
      <c r="N745" s="1539"/>
      <c r="O745" s="559"/>
    </row>
    <row r="746" spans="1:15" s="540" customFormat="1" ht="14.25" customHeight="1">
      <c r="A746" s="1547">
        <v>222</v>
      </c>
      <c r="B746" s="1537" t="e">
        <f>VLOOKUP(D746,'[2]DS CN MOI UP'!$B$11:$C$447,2,0)</f>
        <v>#N/A</v>
      </c>
      <c r="C746" s="1538" t="s">
        <v>654</v>
      </c>
      <c r="D746" s="1539" t="s">
        <v>1165</v>
      </c>
      <c r="E746" s="166" t="s">
        <v>15</v>
      </c>
      <c r="F746" s="166"/>
      <c r="G746" s="1540">
        <v>600000</v>
      </c>
      <c r="H746" s="1466">
        <v>635040.18900000001</v>
      </c>
      <c r="I746" s="1466"/>
      <c r="J746" s="1466">
        <f t="shared" si="25"/>
        <v>1235040.189</v>
      </c>
      <c r="K746" s="1466"/>
      <c r="L746" s="1540"/>
      <c r="M746" s="1540">
        <f t="shared" si="27"/>
        <v>1235040.189</v>
      </c>
      <c r="N746" s="1539"/>
      <c r="O746" s="559"/>
    </row>
    <row r="747" spans="1:15" s="540" customFormat="1" ht="14.25" customHeight="1">
      <c r="A747" s="1547">
        <v>223</v>
      </c>
      <c r="B747" s="1537" t="e">
        <f>VLOOKUP(D747,'[2]DS CN MOI UP'!$B$11:$C$447,2,0)</f>
        <v>#N/A</v>
      </c>
      <c r="C747" s="1538" t="s">
        <v>654</v>
      </c>
      <c r="D747" s="1539" t="s">
        <v>701</v>
      </c>
      <c r="E747" s="166" t="s">
        <v>15</v>
      </c>
      <c r="F747" s="166"/>
      <c r="G747" s="1540">
        <v>600000</v>
      </c>
      <c r="H747" s="1466">
        <v>635040.18900000001</v>
      </c>
      <c r="I747" s="1466"/>
      <c r="J747" s="1466">
        <f t="shared" si="25"/>
        <v>1235040.189</v>
      </c>
      <c r="K747" s="1466"/>
      <c r="L747" s="1540"/>
      <c r="M747" s="1540">
        <f t="shared" si="27"/>
        <v>1235040.189</v>
      </c>
      <c r="N747" s="1539"/>
      <c r="O747" s="559"/>
    </row>
    <row r="748" spans="1:15" s="540" customFormat="1" ht="14.25" customHeight="1">
      <c r="A748" s="1536">
        <v>224</v>
      </c>
      <c r="B748" s="1537" t="e">
        <f>VLOOKUP(D748,'[2]DS CN MOI UP'!$B$11:$C$447,2,0)</f>
        <v>#N/A</v>
      </c>
      <c r="C748" s="1538" t="s">
        <v>654</v>
      </c>
      <c r="D748" s="1539" t="s">
        <v>1166</v>
      </c>
      <c r="E748" s="166" t="s">
        <v>15</v>
      </c>
      <c r="F748" s="166"/>
      <c r="G748" s="1540">
        <v>600000</v>
      </c>
      <c r="H748" s="1466">
        <v>635040.18900000001</v>
      </c>
      <c r="I748" s="1466"/>
      <c r="J748" s="1466">
        <f t="shared" si="25"/>
        <v>1235040.189</v>
      </c>
      <c r="K748" s="1466"/>
      <c r="L748" s="1540"/>
      <c r="M748" s="1540">
        <f t="shared" si="27"/>
        <v>1235040.189</v>
      </c>
      <c r="N748" s="1539"/>
      <c r="O748" s="559"/>
    </row>
    <row r="749" spans="1:15" s="540" customFormat="1" ht="14.25" customHeight="1">
      <c r="A749" s="1547">
        <v>225</v>
      </c>
      <c r="B749" s="1537" t="str">
        <f>VLOOKUP(D749,'[2]DS CN MOI UP'!$B$11:$C$447,2,0)</f>
        <v>02532</v>
      </c>
      <c r="C749" s="1538" t="s">
        <v>654</v>
      </c>
      <c r="D749" s="1539" t="s">
        <v>158</v>
      </c>
      <c r="E749" s="166" t="s">
        <v>15</v>
      </c>
      <c r="F749" s="166"/>
      <c r="G749" s="1540">
        <v>600000</v>
      </c>
      <c r="H749" s="1466">
        <v>554373.09900000005</v>
      </c>
      <c r="I749" s="1466"/>
      <c r="J749" s="1466">
        <f t="shared" si="25"/>
        <v>1154373.0989999999</v>
      </c>
      <c r="K749" s="1466"/>
      <c r="L749" s="1540"/>
      <c r="M749" s="1540">
        <f t="shared" si="27"/>
        <v>1154373.0989999999</v>
      </c>
      <c r="N749" s="1539"/>
      <c r="O749" s="559"/>
    </row>
    <row r="750" spans="1:15" s="540" customFormat="1" ht="14.25" customHeight="1">
      <c r="A750" s="1547">
        <v>226</v>
      </c>
      <c r="B750" s="1537" t="e">
        <f>VLOOKUP(D750,'[2]DS CN MOI UP'!$B$11:$C$447,2,0)</f>
        <v>#N/A</v>
      </c>
      <c r="C750" s="1538" t="s">
        <v>654</v>
      </c>
      <c r="D750" s="1539" t="s">
        <v>1167</v>
      </c>
      <c r="E750" s="166" t="s">
        <v>15</v>
      </c>
      <c r="F750" s="166"/>
      <c r="G750" s="1540">
        <v>600000</v>
      </c>
      <c r="H750" s="1466">
        <v>554373.09900000005</v>
      </c>
      <c r="I750" s="1466"/>
      <c r="J750" s="1466">
        <f t="shared" si="25"/>
        <v>1154373.0989999999</v>
      </c>
      <c r="K750" s="1466"/>
      <c r="L750" s="1540"/>
      <c r="M750" s="1540">
        <f t="shared" si="27"/>
        <v>1154373.0989999999</v>
      </c>
      <c r="N750" s="1539"/>
      <c r="O750" s="559"/>
    </row>
    <row r="751" spans="1:15" s="540" customFormat="1" ht="14.25" customHeight="1">
      <c r="A751" s="1536">
        <v>227</v>
      </c>
      <c r="B751" s="1537" t="e">
        <f>VLOOKUP(D751,'[2]DS CN MOI UP'!$B$11:$C$447,2,0)</f>
        <v>#N/A</v>
      </c>
      <c r="C751" s="1538" t="s">
        <v>654</v>
      </c>
      <c r="D751" s="1539" t="s">
        <v>1168</v>
      </c>
      <c r="E751" s="166" t="s">
        <v>15</v>
      </c>
      <c r="F751" s="166"/>
      <c r="G751" s="1540">
        <v>600000</v>
      </c>
      <c r="H751" s="1466">
        <v>554373.09900000005</v>
      </c>
      <c r="I751" s="1466"/>
      <c r="J751" s="1466">
        <f t="shared" si="25"/>
        <v>1154373.0989999999</v>
      </c>
      <c r="K751" s="1466"/>
      <c r="L751" s="1540"/>
      <c r="M751" s="1540">
        <f t="shared" si="27"/>
        <v>1154373.0989999999</v>
      </c>
      <c r="N751" s="1539"/>
      <c r="O751" s="559"/>
    </row>
    <row r="752" spans="1:15" s="540" customFormat="1" ht="14.25" customHeight="1">
      <c r="A752" s="1547">
        <v>228</v>
      </c>
      <c r="B752" s="1537" t="str">
        <f>VLOOKUP(D752,'[2]DS CN MOI UP'!$B$11:$C$447,2,0)</f>
        <v>02533</v>
      </c>
      <c r="C752" s="1538" t="s">
        <v>654</v>
      </c>
      <c r="D752" s="1539" t="s">
        <v>198</v>
      </c>
      <c r="E752" s="166" t="s">
        <v>15</v>
      </c>
      <c r="F752" s="166"/>
      <c r="G752" s="1540">
        <v>600000</v>
      </c>
      <c r="H752" s="1466">
        <v>635040.18900000001</v>
      </c>
      <c r="I752" s="1466"/>
      <c r="J752" s="1466">
        <f t="shared" si="25"/>
        <v>1235040.189</v>
      </c>
      <c r="K752" s="1466"/>
      <c r="L752" s="1540"/>
      <c r="M752" s="1540">
        <f t="shared" si="27"/>
        <v>1235040.189</v>
      </c>
      <c r="N752" s="1539"/>
      <c r="O752" s="559"/>
    </row>
    <row r="753" spans="1:15" s="540" customFormat="1" ht="14.25" customHeight="1">
      <c r="A753" s="1547">
        <v>229</v>
      </c>
      <c r="B753" s="1537" t="e">
        <f>VLOOKUP(D753,'[2]DS CN MOI UP'!$B$11:$C$447,2,0)</f>
        <v>#N/A</v>
      </c>
      <c r="C753" s="1538" t="s">
        <v>654</v>
      </c>
      <c r="D753" s="1539" t="s">
        <v>1169</v>
      </c>
      <c r="E753" s="166" t="s">
        <v>15</v>
      </c>
      <c r="F753" s="166"/>
      <c r="G753" s="1540">
        <v>600000</v>
      </c>
      <c r="H753" s="1466">
        <v>544338.9</v>
      </c>
      <c r="I753" s="1466"/>
      <c r="J753" s="1466">
        <f t="shared" si="25"/>
        <v>1144338.8999999999</v>
      </c>
      <c r="K753" s="1466"/>
      <c r="L753" s="1540"/>
      <c r="M753" s="1540">
        <f t="shared" si="27"/>
        <v>1144338.8999999999</v>
      </c>
      <c r="N753" s="1539"/>
      <c r="O753" s="559"/>
    </row>
    <row r="754" spans="1:15" s="540" customFormat="1" ht="14.25" customHeight="1">
      <c r="A754" s="1536">
        <v>230</v>
      </c>
      <c r="B754" s="1537" t="e">
        <f>VLOOKUP(D754,'[2]DS CN MOI UP'!$B$11:$C$447,2,0)</f>
        <v>#N/A</v>
      </c>
      <c r="C754" s="1538" t="s">
        <v>654</v>
      </c>
      <c r="D754" s="1539" t="s">
        <v>567</v>
      </c>
      <c r="E754" s="166" t="s">
        <v>15</v>
      </c>
      <c r="F754" s="166"/>
      <c r="G754" s="1540">
        <v>600000</v>
      </c>
      <c r="H754" s="1466">
        <v>574572.66299999994</v>
      </c>
      <c r="I754" s="1466"/>
      <c r="J754" s="1466">
        <f t="shared" si="25"/>
        <v>1174572.6629999999</v>
      </c>
      <c r="K754" s="1466"/>
      <c r="L754" s="1540"/>
      <c r="M754" s="1540">
        <f t="shared" si="27"/>
        <v>1174572.6629999999</v>
      </c>
      <c r="N754" s="1539"/>
      <c r="O754" s="559"/>
    </row>
    <row r="755" spans="1:15" s="540" customFormat="1" ht="14.25" customHeight="1">
      <c r="A755" s="1547">
        <v>231</v>
      </c>
      <c r="B755" s="1537" t="e">
        <f>VLOOKUP(D755,'[2]DS CN MOI UP'!$B$11:$C$447,2,0)</f>
        <v>#N/A</v>
      </c>
      <c r="C755" s="1538" t="s">
        <v>654</v>
      </c>
      <c r="D755" s="1539" t="s">
        <v>1170</v>
      </c>
      <c r="E755" s="166" t="s">
        <v>15</v>
      </c>
      <c r="F755" s="166"/>
      <c r="G755" s="1540">
        <v>600000</v>
      </c>
      <c r="H755" s="1466">
        <v>604806.42599999998</v>
      </c>
      <c r="I755" s="1466"/>
      <c r="J755" s="1466">
        <f t="shared" si="25"/>
        <v>1204806.426</v>
      </c>
      <c r="K755" s="1466"/>
      <c r="L755" s="1540"/>
      <c r="M755" s="1540">
        <f t="shared" si="27"/>
        <v>1204806.426</v>
      </c>
      <c r="N755" s="1539"/>
      <c r="O755" s="559"/>
    </row>
    <row r="756" spans="1:15" s="540" customFormat="1" ht="14.25" customHeight="1">
      <c r="A756" s="1547">
        <v>232</v>
      </c>
      <c r="B756" s="1537"/>
      <c r="C756" s="1538" t="s">
        <v>648</v>
      </c>
      <c r="D756" s="1539" t="s">
        <v>165</v>
      </c>
      <c r="E756" s="166" t="s">
        <v>15</v>
      </c>
      <c r="F756" s="166"/>
      <c r="G756" s="1540">
        <v>600000</v>
      </c>
      <c r="H756" s="1540">
        <v>554373.09900000005</v>
      </c>
      <c r="I756" s="1466"/>
      <c r="J756" s="1466">
        <f t="shared" si="25"/>
        <v>1154373.0989999999</v>
      </c>
      <c r="K756" s="1466"/>
      <c r="L756" s="1540"/>
      <c r="M756" s="1540">
        <f t="shared" si="27"/>
        <v>1154373.0989999999</v>
      </c>
      <c r="N756" s="1539"/>
      <c r="O756" s="559"/>
    </row>
    <row r="757" spans="1:15" s="540" customFormat="1" ht="14.25" customHeight="1">
      <c r="A757" s="1536">
        <v>233</v>
      </c>
      <c r="B757" s="1537" t="e">
        <f>VLOOKUP(D757,'[2]DS CN MOI UP'!$B$11:$C$447,2,0)</f>
        <v>#N/A</v>
      </c>
      <c r="C757" s="1538" t="s">
        <v>650</v>
      </c>
      <c r="D757" s="1539" t="s">
        <v>1171</v>
      </c>
      <c r="E757" s="166" t="s">
        <v>15</v>
      </c>
      <c r="F757" s="166"/>
      <c r="G757" s="1540">
        <v>600000</v>
      </c>
      <c r="H757" s="1540">
        <v>554373.09900000005</v>
      </c>
      <c r="I757" s="1466"/>
      <c r="J757" s="1466">
        <f t="shared" si="25"/>
        <v>1154373.0989999999</v>
      </c>
      <c r="K757" s="1466"/>
      <c r="L757" s="1540"/>
      <c r="M757" s="1540">
        <f t="shared" si="27"/>
        <v>1154373.0989999999</v>
      </c>
      <c r="N757" s="1539"/>
      <c r="O757" s="559"/>
    </row>
    <row r="758" spans="1:15" s="540" customFormat="1" ht="14.25" customHeight="1">
      <c r="A758" s="1547">
        <v>234</v>
      </c>
      <c r="B758" s="1537" t="str">
        <f>VLOOKUP(D758,'[2]DS CN MOI UP'!$B$11:$C$447,2,0)</f>
        <v>02536</v>
      </c>
      <c r="C758" s="1538" t="s">
        <v>651</v>
      </c>
      <c r="D758" s="1539" t="s">
        <v>155</v>
      </c>
      <c r="E758" s="166" t="s">
        <v>15</v>
      </c>
      <c r="F758" s="166"/>
      <c r="G758" s="1540">
        <v>600000</v>
      </c>
      <c r="H758" s="1540">
        <v>554373.09900000005</v>
      </c>
      <c r="I758" s="1466"/>
      <c r="J758" s="1466">
        <f t="shared" si="25"/>
        <v>1154373.0989999999</v>
      </c>
      <c r="K758" s="1466"/>
      <c r="L758" s="1540"/>
      <c r="M758" s="1540">
        <f t="shared" si="27"/>
        <v>1154373.0989999999</v>
      </c>
      <c r="N758" s="1539"/>
      <c r="O758" s="559"/>
    </row>
    <row r="759" spans="1:15" s="540" customFormat="1" ht="14.25" customHeight="1">
      <c r="A759" s="1547">
        <v>235</v>
      </c>
      <c r="B759" s="1537" t="e">
        <f>VLOOKUP(D759,'[2]DS CN MOI UP'!$B$11:$C$447,2,0)</f>
        <v>#N/A</v>
      </c>
      <c r="C759" s="1538" t="s">
        <v>651</v>
      </c>
      <c r="D759" s="1539" t="s">
        <v>1172</v>
      </c>
      <c r="E759" s="166" t="s">
        <v>15</v>
      </c>
      <c r="F759" s="166"/>
      <c r="G759" s="1540">
        <v>600000</v>
      </c>
      <c r="H759" s="1540">
        <v>635040.18900000001</v>
      </c>
      <c r="I759" s="1466"/>
      <c r="J759" s="1466">
        <f t="shared" si="25"/>
        <v>1235040.189</v>
      </c>
      <c r="K759" s="1466"/>
      <c r="L759" s="1540"/>
      <c r="M759" s="1540">
        <f t="shared" si="27"/>
        <v>1235040.189</v>
      </c>
      <c r="N759" s="1539"/>
      <c r="O759" s="559"/>
    </row>
    <row r="760" spans="1:15" s="540" customFormat="1" ht="14.25" customHeight="1">
      <c r="A760" s="1536">
        <v>236</v>
      </c>
      <c r="B760" s="1537" t="e">
        <f>VLOOKUP(D760,'[2]DS CN MOI UP'!$B$11:$C$447,2,0)</f>
        <v>#N/A</v>
      </c>
      <c r="C760" s="1538" t="s">
        <v>651</v>
      </c>
      <c r="D760" s="1539" t="s">
        <v>1173</v>
      </c>
      <c r="E760" s="166" t="s">
        <v>15</v>
      </c>
      <c r="F760" s="166"/>
      <c r="G760" s="1540">
        <v>600000</v>
      </c>
      <c r="H760" s="1540">
        <v>544338.9</v>
      </c>
      <c r="I760" s="1466"/>
      <c r="J760" s="1466">
        <f t="shared" si="25"/>
        <v>1144338.8999999999</v>
      </c>
      <c r="K760" s="1466"/>
      <c r="L760" s="1540"/>
      <c r="M760" s="1540">
        <f t="shared" si="27"/>
        <v>1144338.8999999999</v>
      </c>
      <c r="N760" s="1539"/>
      <c r="O760" s="559"/>
    </row>
    <row r="761" spans="1:15" s="540" customFormat="1" ht="14.25" customHeight="1">
      <c r="A761" s="1547">
        <v>237</v>
      </c>
      <c r="B761" s="1537" t="str">
        <f>VLOOKUP(D761,'[2]DS CN MOI UP'!$B$11:$C$447,2,0)</f>
        <v>03346</v>
      </c>
      <c r="C761" s="1538" t="s">
        <v>651</v>
      </c>
      <c r="D761" s="1539" t="s">
        <v>500</v>
      </c>
      <c r="E761" s="166" t="s">
        <v>15</v>
      </c>
      <c r="F761" s="166"/>
      <c r="G761" s="1540">
        <v>600000</v>
      </c>
      <c r="H761" s="1466">
        <v>524139.33600000001</v>
      </c>
      <c r="I761" s="1466"/>
      <c r="J761" s="1466">
        <f t="shared" si="25"/>
        <v>1124139.3359999999</v>
      </c>
      <c r="K761" s="1466"/>
      <c r="L761" s="1540"/>
      <c r="M761" s="1540">
        <f t="shared" si="27"/>
        <v>1124139.3359999999</v>
      </c>
      <c r="N761" s="1539"/>
      <c r="O761" s="559"/>
    </row>
    <row r="762" spans="1:15" s="540" customFormat="1" ht="14.25" customHeight="1">
      <c r="A762" s="1547">
        <v>238</v>
      </c>
      <c r="B762" s="1537" t="str">
        <f>VLOOKUP(D762,'[2]DS CN MOI UP'!$B$11:$C$447,2,0)</f>
        <v>02472</v>
      </c>
      <c r="C762" s="1538" t="s">
        <v>651</v>
      </c>
      <c r="D762" s="1539" t="s">
        <v>501</v>
      </c>
      <c r="E762" s="166" t="s">
        <v>15</v>
      </c>
      <c r="F762" s="166"/>
      <c r="G762" s="1540">
        <v>600000</v>
      </c>
      <c r="H762" s="1466">
        <v>635040.18900000001</v>
      </c>
      <c r="I762" s="1466"/>
      <c r="J762" s="1466">
        <f t="shared" si="25"/>
        <v>1235040.189</v>
      </c>
      <c r="K762" s="1466"/>
      <c r="L762" s="1540"/>
      <c r="M762" s="1540">
        <f t="shared" si="27"/>
        <v>1235040.189</v>
      </c>
      <c r="N762" s="1539"/>
      <c r="O762" s="559"/>
    </row>
    <row r="763" spans="1:15" s="540" customFormat="1" ht="14.25" customHeight="1">
      <c r="A763" s="1536">
        <v>239</v>
      </c>
      <c r="B763" s="1537" t="str">
        <f>VLOOKUP(D763,'[2]DS CN MOI UP'!$B$11:$C$447,2,0)</f>
        <v>02477</v>
      </c>
      <c r="C763" s="1538" t="s">
        <v>651</v>
      </c>
      <c r="D763" s="1539" t="s">
        <v>119</v>
      </c>
      <c r="E763" s="166" t="s">
        <v>15</v>
      </c>
      <c r="F763" s="166"/>
      <c r="G763" s="1540">
        <v>600000</v>
      </c>
      <c r="H763" s="1466">
        <v>635040.18900000001</v>
      </c>
      <c r="I763" s="1466"/>
      <c r="J763" s="1466">
        <f t="shared" si="25"/>
        <v>1235040.189</v>
      </c>
      <c r="K763" s="1466"/>
      <c r="L763" s="1540"/>
      <c r="M763" s="1540">
        <f t="shared" si="27"/>
        <v>1235040.189</v>
      </c>
      <c r="N763" s="1539"/>
      <c r="O763" s="559"/>
    </row>
    <row r="764" spans="1:15" s="540" customFormat="1" ht="14.25" customHeight="1">
      <c r="A764" s="1547">
        <v>240</v>
      </c>
      <c r="B764" s="1537" t="str">
        <f>VLOOKUP(D764,'[2]DS CN MOI UP'!$B$11:$C$447,2,0)</f>
        <v>02495</v>
      </c>
      <c r="C764" s="1538" t="s">
        <v>651</v>
      </c>
      <c r="D764" s="1539" t="s">
        <v>120</v>
      </c>
      <c r="E764" s="166" t="s">
        <v>15</v>
      </c>
      <c r="F764" s="166"/>
      <c r="G764" s="1540">
        <v>600000</v>
      </c>
      <c r="H764" s="1466">
        <v>635040.18900000001</v>
      </c>
      <c r="I764" s="1466"/>
      <c r="J764" s="1466">
        <f t="shared" si="25"/>
        <v>1235040.189</v>
      </c>
      <c r="K764" s="1466"/>
      <c r="L764" s="1540"/>
      <c r="M764" s="1540">
        <f t="shared" si="27"/>
        <v>1235040.189</v>
      </c>
      <c r="N764" s="1539"/>
      <c r="O764" s="559"/>
    </row>
    <row r="765" spans="1:15" s="540" customFormat="1" ht="14.25" customHeight="1">
      <c r="A765" s="1547">
        <v>241</v>
      </c>
      <c r="B765" s="1537" t="str">
        <f>VLOOKUP(D765,'[2]DS CN MOI UP'!$B$11:$C$447,2,0)</f>
        <v>02505</v>
      </c>
      <c r="C765" s="1538" t="s">
        <v>651</v>
      </c>
      <c r="D765" s="1539" t="s">
        <v>117</v>
      </c>
      <c r="E765" s="166" t="s">
        <v>15</v>
      </c>
      <c r="F765" s="166"/>
      <c r="G765" s="1540">
        <v>600000</v>
      </c>
      <c r="H765" s="1466">
        <v>635040.18900000001</v>
      </c>
      <c r="I765" s="1540"/>
      <c r="J765" s="1466">
        <f t="shared" si="25"/>
        <v>1235040.189</v>
      </c>
      <c r="K765" s="1466"/>
      <c r="L765" s="1540"/>
      <c r="M765" s="1540">
        <f t="shared" si="27"/>
        <v>1235040.189</v>
      </c>
      <c r="N765" s="1539"/>
      <c r="O765" s="559"/>
    </row>
    <row r="766" spans="1:15" s="540" customFormat="1" ht="14.25" customHeight="1">
      <c r="A766" s="1536">
        <v>242</v>
      </c>
      <c r="B766" s="1537" t="str">
        <f>VLOOKUP(D766,'[2]DS CN MOI UP'!$B$11:$C$447,2,0)</f>
        <v>02516</v>
      </c>
      <c r="C766" s="1538" t="s">
        <v>651</v>
      </c>
      <c r="D766" s="1539" t="s">
        <v>122</v>
      </c>
      <c r="E766" s="166" t="s">
        <v>15</v>
      </c>
      <c r="F766" s="166"/>
      <c r="G766" s="1540">
        <v>600000</v>
      </c>
      <c r="H766" s="1466">
        <v>635040.18900000001</v>
      </c>
      <c r="I766" s="1540"/>
      <c r="J766" s="1466">
        <f t="shared" si="25"/>
        <v>1235040.189</v>
      </c>
      <c r="K766" s="1466"/>
      <c r="L766" s="1540"/>
      <c r="M766" s="1540">
        <f t="shared" si="27"/>
        <v>1235040.189</v>
      </c>
      <c r="N766" s="1539"/>
      <c r="O766" s="559"/>
    </row>
    <row r="767" spans="1:15" s="540" customFormat="1" ht="14.25" customHeight="1">
      <c r="A767" s="1547">
        <v>243</v>
      </c>
      <c r="B767" s="1537" t="str">
        <f>VLOOKUP(D767,'[2]DS CN MOI UP'!$B$11:$C$447,2,0)</f>
        <v>03347</v>
      </c>
      <c r="C767" s="1538" t="s">
        <v>651</v>
      </c>
      <c r="D767" s="1539" t="s">
        <v>121</v>
      </c>
      <c r="E767" s="166" t="s">
        <v>15</v>
      </c>
      <c r="F767" s="166"/>
      <c r="G767" s="1540">
        <v>600000</v>
      </c>
      <c r="H767" s="1466">
        <v>635040.18900000001</v>
      </c>
      <c r="I767" s="1540"/>
      <c r="J767" s="1466">
        <f t="shared" si="25"/>
        <v>1235040.189</v>
      </c>
      <c r="K767" s="1466"/>
      <c r="L767" s="1540"/>
      <c r="M767" s="1540">
        <f t="shared" si="27"/>
        <v>1235040.189</v>
      </c>
      <c r="N767" s="1539"/>
      <c r="O767" s="559"/>
    </row>
    <row r="768" spans="1:15" s="540" customFormat="1" ht="14.25" customHeight="1">
      <c r="A768" s="1547">
        <v>244</v>
      </c>
      <c r="B768" s="1537" t="str">
        <f>VLOOKUP(D768,'[2]DS CN MOI UP'!$B$11:$C$447,2,0)</f>
        <v>02539</v>
      </c>
      <c r="C768" s="1538" t="s">
        <v>651</v>
      </c>
      <c r="D768" s="1539" t="s">
        <v>195</v>
      </c>
      <c r="E768" s="166" t="s">
        <v>15</v>
      </c>
      <c r="F768" s="166"/>
      <c r="G768" s="1540">
        <v>600000</v>
      </c>
      <c r="H768" s="1466">
        <v>635040.18900000001</v>
      </c>
      <c r="I768" s="1540"/>
      <c r="J768" s="1466">
        <f t="shared" si="25"/>
        <v>1235040.189</v>
      </c>
      <c r="K768" s="1466"/>
      <c r="L768" s="1540"/>
      <c r="M768" s="1540">
        <f t="shared" si="27"/>
        <v>1235040.189</v>
      </c>
      <c r="N768" s="1539"/>
      <c r="O768" s="559"/>
    </row>
    <row r="769" spans="1:15" s="540" customFormat="1" ht="14.25" customHeight="1">
      <c r="A769" s="1536">
        <v>245</v>
      </c>
      <c r="B769" s="1537" t="e">
        <f>VLOOKUP(D769,'[2]DS CN MOI UP'!$B$11:$C$447,2,0)</f>
        <v>#N/A</v>
      </c>
      <c r="C769" s="1538" t="s">
        <v>651</v>
      </c>
      <c r="D769" s="1539" t="s">
        <v>1174</v>
      </c>
      <c r="E769" s="166" t="s">
        <v>15</v>
      </c>
      <c r="F769" s="166"/>
      <c r="G769" s="1540">
        <v>600000</v>
      </c>
      <c r="H769" s="1466">
        <v>554373.09900000005</v>
      </c>
      <c r="I769" s="1540"/>
      <c r="J769" s="1466">
        <f t="shared" si="25"/>
        <v>1154373.0989999999</v>
      </c>
      <c r="K769" s="1466"/>
      <c r="L769" s="1540"/>
      <c r="M769" s="1540">
        <f t="shared" si="27"/>
        <v>1154373.0989999999</v>
      </c>
      <c r="N769" s="1539"/>
      <c r="O769" s="559"/>
    </row>
    <row r="770" spans="1:15" s="540" customFormat="1" ht="14.25" customHeight="1">
      <c r="A770" s="1547">
        <v>246</v>
      </c>
      <c r="B770" s="1537" t="e">
        <f>VLOOKUP(D770,'[2]DS CN MOI UP'!$B$11:$C$447,2,0)</f>
        <v>#N/A</v>
      </c>
      <c r="C770" s="1538" t="s">
        <v>654</v>
      </c>
      <c r="D770" s="1539" t="s">
        <v>1175</v>
      </c>
      <c r="E770" s="166" t="s">
        <v>15</v>
      </c>
      <c r="F770" s="166"/>
      <c r="G770" s="1540">
        <v>600000</v>
      </c>
      <c r="H770" s="1466">
        <v>554373.09900000005</v>
      </c>
      <c r="I770" s="1540"/>
      <c r="J770" s="1466">
        <f t="shared" si="25"/>
        <v>1154373.0989999999</v>
      </c>
      <c r="K770" s="1466"/>
      <c r="L770" s="1540"/>
      <c r="M770" s="1540">
        <f t="shared" si="27"/>
        <v>1154373.0989999999</v>
      </c>
      <c r="N770" s="1539"/>
      <c r="O770" s="559"/>
    </row>
    <row r="771" spans="1:15" s="540" customFormat="1" ht="14.25" customHeight="1">
      <c r="A771" s="1547">
        <v>247</v>
      </c>
      <c r="B771" s="1537" t="e">
        <f>VLOOKUP(D771,'[2]DS CN MOI UP'!$B$11:$C$447,2,0)</f>
        <v>#N/A</v>
      </c>
      <c r="C771" s="1538" t="s">
        <v>654</v>
      </c>
      <c r="D771" s="1539" t="s">
        <v>1176</v>
      </c>
      <c r="E771" s="166" t="s">
        <v>15</v>
      </c>
      <c r="F771" s="166"/>
      <c r="G771" s="1540">
        <v>600000</v>
      </c>
      <c r="H771" s="1466">
        <v>554373.09900000005</v>
      </c>
      <c r="I771" s="1540"/>
      <c r="J771" s="1466">
        <f t="shared" si="25"/>
        <v>1154373.0989999999</v>
      </c>
      <c r="K771" s="1466"/>
      <c r="L771" s="1540"/>
      <c r="M771" s="1540">
        <f t="shared" si="27"/>
        <v>1154373.0989999999</v>
      </c>
      <c r="N771" s="1539"/>
      <c r="O771" s="559"/>
    </row>
    <row r="772" spans="1:15" s="540" customFormat="1" ht="14.25" customHeight="1">
      <c r="A772" s="1536">
        <v>248</v>
      </c>
      <c r="B772" s="1537" t="str">
        <f>VLOOKUP(D772,'[2]DS CN MOI UP'!$B$11:$C$447,2,0)</f>
        <v>02541</v>
      </c>
      <c r="C772" s="1538" t="s">
        <v>654</v>
      </c>
      <c r="D772" s="1539" t="s">
        <v>185</v>
      </c>
      <c r="E772" s="166" t="s">
        <v>15</v>
      </c>
      <c r="F772" s="166"/>
      <c r="G772" s="1540">
        <v>600000</v>
      </c>
      <c r="H772" s="1466">
        <v>635040.18900000001</v>
      </c>
      <c r="I772" s="1540"/>
      <c r="J772" s="1466">
        <f t="shared" si="25"/>
        <v>1235040.189</v>
      </c>
      <c r="K772" s="1466"/>
      <c r="L772" s="1540"/>
      <c r="M772" s="1540">
        <f t="shared" si="27"/>
        <v>1235040.189</v>
      </c>
      <c r="N772" s="1539"/>
      <c r="O772" s="559"/>
    </row>
    <row r="773" spans="1:15" s="540" customFormat="1" ht="14.25" customHeight="1">
      <c r="A773" s="1547">
        <v>249</v>
      </c>
      <c r="B773" s="1537" t="e">
        <f>VLOOKUP(D773,'[2]DS CN MOI UP'!$B$11:$C$447,2,0)</f>
        <v>#N/A</v>
      </c>
      <c r="C773" s="1538" t="s">
        <v>654</v>
      </c>
      <c r="D773" s="1539" t="s">
        <v>1177</v>
      </c>
      <c r="E773" s="166" t="s">
        <v>15</v>
      </c>
      <c r="F773" s="166"/>
      <c r="G773" s="1540">
        <v>600000</v>
      </c>
      <c r="H773" s="1466">
        <v>544338.9</v>
      </c>
      <c r="I773" s="1540"/>
      <c r="J773" s="1466">
        <f t="shared" si="25"/>
        <v>1144338.8999999999</v>
      </c>
      <c r="K773" s="1466"/>
      <c r="L773" s="1540"/>
      <c r="M773" s="1540">
        <f t="shared" si="27"/>
        <v>1144338.8999999999</v>
      </c>
      <c r="N773" s="1539"/>
      <c r="O773" s="559"/>
    </row>
    <row r="774" spans="1:15" s="540" customFormat="1" ht="14.25" customHeight="1">
      <c r="A774" s="1547">
        <v>250</v>
      </c>
      <c r="B774" s="1537" t="e">
        <f>VLOOKUP(D774,'[2]DS CN MOI UP'!$B$11:$C$447,2,0)</f>
        <v>#N/A</v>
      </c>
      <c r="C774" s="1538" t="s">
        <v>654</v>
      </c>
      <c r="D774" s="1539" t="s">
        <v>1178</v>
      </c>
      <c r="E774" s="166" t="s">
        <v>15</v>
      </c>
      <c r="F774" s="166"/>
      <c r="G774" s="1540">
        <v>600000</v>
      </c>
      <c r="H774" s="1466">
        <v>574572.66299999994</v>
      </c>
      <c r="I774" s="1540"/>
      <c r="J774" s="1466">
        <f t="shared" si="25"/>
        <v>1174572.6629999999</v>
      </c>
      <c r="K774" s="1466"/>
      <c r="L774" s="1540"/>
      <c r="M774" s="1540">
        <f t="shared" si="27"/>
        <v>1174572.6629999999</v>
      </c>
      <c r="N774" s="1539"/>
      <c r="O774" s="559"/>
    </row>
    <row r="775" spans="1:15" s="540" customFormat="1" ht="14.25" customHeight="1">
      <c r="A775" s="1536">
        <v>251</v>
      </c>
      <c r="B775" s="1537" t="str">
        <f>VLOOKUP(D775,'[2]DS CN MOI UP'!$B$11:$C$447,2,0)</f>
        <v>02542</v>
      </c>
      <c r="C775" s="1538" t="s">
        <v>654</v>
      </c>
      <c r="D775" s="1539" t="s">
        <v>504</v>
      </c>
      <c r="E775" s="166" t="s">
        <v>15</v>
      </c>
      <c r="F775" s="166"/>
      <c r="G775" s="1540">
        <v>600000</v>
      </c>
      <c r="H775" s="1466">
        <v>604806.42599999998</v>
      </c>
      <c r="I775" s="1540"/>
      <c r="J775" s="1466">
        <f t="shared" si="25"/>
        <v>1204806.426</v>
      </c>
      <c r="K775" s="1466"/>
      <c r="L775" s="1540"/>
      <c r="M775" s="1540">
        <f t="shared" si="27"/>
        <v>1204806.426</v>
      </c>
      <c r="N775" s="1539"/>
      <c r="O775" s="559"/>
    </row>
    <row r="776" spans="1:15" s="540" customFormat="1" ht="14.25" customHeight="1">
      <c r="A776" s="1547">
        <v>252</v>
      </c>
      <c r="B776" s="1537" t="str">
        <f>VLOOKUP(D776,'[2]DS CN MOI UP'!$B$11:$C$447,2,0)</f>
        <v>02541</v>
      </c>
      <c r="C776" s="1538" t="s">
        <v>654</v>
      </c>
      <c r="D776" s="1539" t="s">
        <v>185</v>
      </c>
      <c r="E776" s="166" t="s">
        <v>15</v>
      </c>
      <c r="F776" s="166"/>
      <c r="G776" s="1540">
        <v>600000</v>
      </c>
      <c r="H776" s="1540">
        <v>554373.09900000005</v>
      </c>
      <c r="I776" s="1540"/>
      <c r="J776" s="1466">
        <f t="shared" si="25"/>
        <v>1154373.0989999999</v>
      </c>
      <c r="K776" s="1466"/>
      <c r="L776" s="1540"/>
      <c r="M776" s="1540">
        <f t="shared" si="27"/>
        <v>1154373.0989999999</v>
      </c>
      <c r="N776" s="1539"/>
      <c r="O776" s="559"/>
    </row>
    <row r="777" spans="1:15" s="540" customFormat="1" ht="14.25" customHeight="1">
      <c r="A777" s="1547">
        <v>253</v>
      </c>
      <c r="B777" s="1537" t="e">
        <f>VLOOKUP(D777,'[2]DS CN MOI UP'!$B$11:$C$447,2,0)</f>
        <v>#N/A</v>
      </c>
      <c r="C777" s="1538" t="s">
        <v>654</v>
      </c>
      <c r="D777" s="1539" t="s">
        <v>972</v>
      </c>
      <c r="E777" s="166" t="s">
        <v>15</v>
      </c>
      <c r="F777" s="166"/>
      <c r="G777" s="1540">
        <v>600000</v>
      </c>
      <c r="H777" s="1540">
        <v>554373.09900000005</v>
      </c>
      <c r="I777" s="1540"/>
      <c r="J777" s="1466">
        <f t="shared" si="25"/>
        <v>1154373.0989999999</v>
      </c>
      <c r="K777" s="1466"/>
      <c r="L777" s="1540"/>
      <c r="M777" s="1540">
        <f t="shared" si="27"/>
        <v>1154373.0989999999</v>
      </c>
      <c r="N777" s="1539"/>
      <c r="O777" s="559"/>
    </row>
    <row r="778" spans="1:15" s="540" customFormat="1" ht="14.25" customHeight="1">
      <c r="A778" s="1536">
        <v>254</v>
      </c>
      <c r="B778" s="1537" t="str">
        <f>VLOOKUP(D778,'[2]DS CN MOI UP'!$B$11:$C$447,2,0)</f>
        <v>02543</v>
      </c>
      <c r="C778" s="1538" t="s">
        <v>654</v>
      </c>
      <c r="D778" s="1539" t="s">
        <v>189</v>
      </c>
      <c r="E778" s="166" t="s">
        <v>15</v>
      </c>
      <c r="F778" s="166"/>
      <c r="G778" s="1540">
        <v>600000</v>
      </c>
      <c r="H778" s="1540">
        <v>554373.09900000005</v>
      </c>
      <c r="I778" s="1540"/>
      <c r="J778" s="1466">
        <f t="shared" si="25"/>
        <v>1154373.0989999999</v>
      </c>
      <c r="K778" s="1466"/>
      <c r="L778" s="1540"/>
      <c r="M778" s="1540">
        <f t="shared" si="27"/>
        <v>1154373.0989999999</v>
      </c>
      <c r="N778" s="1539"/>
      <c r="O778" s="559"/>
    </row>
    <row r="779" spans="1:15" s="540" customFormat="1" ht="14.25" customHeight="1">
      <c r="A779" s="1547">
        <v>255</v>
      </c>
      <c r="B779" s="1537" t="str">
        <f>VLOOKUP(D779,'[2]DS CN MOI UP'!$B$11:$C$447,2,0)</f>
        <v>02510</v>
      </c>
      <c r="C779" s="1538" t="s">
        <v>654</v>
      </c>
      <c r="D779" s="1539" t="s">
        <v>41</v>
      </c>
      <c r="E779" s="166" t="s">
        <v>15</v>
      </c>
      <c r="F779" s="166"/>
      <c r="G779" s="1540">
        <v>600000</v>
      </c>
      <c r="H779" s="1540">
        <v>635040.18900000001</v>
      </c>
      <c r="I779" s="1540"/>
      <c r="J779" s="1466">
        <f t="shared" si="25"/>
        <v>1235040.189</v>
      </c>
      <c r="K779" s="1466"/>
      <c r="L779" s="1540"/>
      <c r="M779" s="1540">
        <f t="shared" si="27"/>
        <v>1235040.189</v>
      </c>
      <c r="N779" s="1539"/>
      <c r="O779" s="559"/>
    </row>
    <row r="780" spans="1:15" s="540" customFormat="1" ht="14.25" customHeight="1">
      <c r="A780" s="1547">
        <v>256</v>
      </c>
      <c r="B780" s="1537" t="e">
        <f>VLOOKUP(D780,'[2]DS CN MOI UP'!$B$11:$C$447,2,0)</f>
        <v>#N/A</v>
      </c>
      <c r="C780" s="1538" t="s">
        <v>654</v>
      </c>
      <c r="D780" s="1539" t="s">
        <v>1077</v>
      </c>
      <c r="E780" s="166" t="s">
        <v>15</v>
      </c>
      <c r="F780" s="166"/>
      <c r="G780" s="1540">
        <v>600000</v>
      </c>
      <c r="H780" s="1540">
        <v>544338.9</v>
      </c>
      <c r="I780" s="1540"/>
      <c r="J780" s="1466">
        <f t="shared" ref="J780:J882" si="28">SUM(G780:I780)</f>
        <v>1144338.8999999999</v>
      </c>
      <c r="K780" s="1466"/>
      <c r="L780" s="1540"/>
      <c r="M780" s="1540">
        <f t="shared" si="27"/>
        <v>1144338.8999999999</v>
      </c>
      <c r="N780" s="1539"/>
      <c r="O780" s="559"/>
    </row>
    <row r="781" spans="1:15" s="540" customFormat="1" ht="14.25" customHeight="1">
      <c r="A781" s="1536">
        <v>257</v>
      </c>
      <c r="B781" s="1537" t="e">
        <f>VLOOKUP(D781,'[2]DS CN MOI UP'!$B$11:$C$447,2,0)</f>
        <v>#N/A</v>
      </c>
      <c r="C781" s="1538" t="s">
        <v>654</v>
      </c>
      <c r="D781" s="1539" t="s">
        <v>1179</v>
      </c>
      <c r="E781" s="166" t="s">
        <v>15</v>
      </c>
      <c r="F781" s="166"/>
      <c r="G781" s="1540">
        <v>600000</v>
      </c>
      <c r="H781" s="1466">
        <v>524139.33600000001</v>
      </c>
      <c r="I781" s="1540"/>
      <c r="J781" s="1466">
        <f t="shared" si="28"/>
        <v>1124139.3359999999</v>
      </c>
      <c r="K781" s="1466"/>
      <c r="L781" s="1540"/>
      <c r="M781" s="1540">
        <f t="shared" si="27"/>
        <v>1124139.3359999999</v>
      </c>
      <c r="N781" s="1539"/>
      <c r="O781" s="559"/>
    </row>
    <row r="782" spans="1:15" s="540" customFormat="1" ht="14.25" customHeight="1">
      <c r="A782" s="1547">
        <v>258</v>
      </c>
      <c r="B782" s="1537" t="str">
        <f>VLOOKUP(D782,'[2]DS CN MOI UP'!$B$11:$C$447,2,0)</f>
        <v>02545</v>
      </c>
      <c r="C782" s="1538" t="s">
        <v>654</v>
      </c>
      <c r="D782" s="1539" t="s">
        <v>126</v>
      </c>
      <c r="E782" s="166" t="s">
        <v>15</v>
      </c>
      <c r="F782" s="166"/>
      <c r="G782" s="1540">
        <v>600000</v>
      </c>
      <c r="H782" s="1466">
        <v>635040.18900000001</v>
      </c>
      <c r="I782" s="1540"/>
      <c r="J782" s="1466">
        <f t="shared" si="28"/>
        <v>1235040.189</v>
      </c>
      <c r="K782" s="1466"/>
      <c r="L782" s="1540"/>
      <c r="M782" s="1540">
        <f t="shared" si="27"/>
        <v>1235040.189</v>
      </c>
      <c r="N782" s="1539"/>
      <c r="O782" s="559"/>
    </row>
    <row r="783" spans="1:15" s="540" customFormat="1" ht="14.25" customHeight="1">
      <c r="A783" s="1547">
        <v>259</v>
      </c>
      <c r="B783" s="1537" t="e">
        <f>VLOOKUP(D783,'[2]DS CN MOI UP'!$B$11:$C$447,2,0)</f>
        <v>#N/A</v>
      </c>
      <c r="C783" s="1538" t="s">
        <v>654</v>
      </c>
      <c r="D783" s="1539" t="s">
        <v>1180</v>
      </c>
      <c r="E783" s="166" t="s">
        <v>15</v>
      </c>
      <c r="F783" s="166"/>
      <c r="G783" s="1540">
        <v>600000</v>
      </c>
      <c r="H783" s="1466">
        <v>635040.18900000001</v>
      </c>
      <c r="I783" s="1540"/>
      <c r="J783" s="1466">
        <f t="shared" si="28"/>
        <v>1235040.189</v>
      </c>
      <c r="K783" s="1466"/>
      <c r="L783" s="1540"/>
      <c r="M783" s="1540">
        <f t="shared" si="27"/>
        <v>1235040.189</v>
      </c>
      <c r="N783" s="1539"/>
      <c r="O783" s="559"/>
    </row>
    <row r="784" spans="1:15" s="540" customFormat="1" ht="14.25" customHeight="1">
      <c r="A784" s="1536">
        <v>260</v>
      </c>
      <c r="B784" s="1537" t="str">
        <f>VLOOKUP(D784,'[2]DS CN MOI UP'!$B$11:$C$447,2,0)</f>
        <v>03402</v>
      </c>
      <c r="C784" s="1538" t="s">
        <v>654</v>
      </c>
      <c r="D784" s="1539" t="s">
        <v>312</v>
      </c>
      <c r="E784" s="166" t="s">
        <v>15</v>
      </c>
      <c r="F784" s="166"/>
      <c r="G784" s="1540">
        <v>600000</v>
      </c>
      <c r="H784" s="1466">
        <v>635040.18900000001</v>
      </c>
      <c r="I784" s="1540"/>
      <c r="J784" s="1466">
        <f t="shared" si="28"/>
        <v>1235040.189</v>
      </c>
      <c r="K784" s="1466"/>
      <c r="L784" s="1540"/>
      <c r="M784" s="1540">
        <f t="shared" si="27"/>
        <v>1235040.189</v>
      </c>
      <c r="N784" s="1539"/>
      <c r="O784" s="559"/>
    </row>
    <row r="785" spans="1:15" s="540" customFormat="1" ht="14.25" customHeight="1">
      <c r="A785" s="1547">
        <v>261</v>
      </c>
      <c r="B785" s="1537" t="e">
        <f>VLOOKUP(D785,'[2]DS CN MOI UP'!$B$11:$C$447,2,0)</f>
        <v>#N/A</v>
      </c>
      <c r="C785" s="1538" t="s">
        <v>654</v>
      </c>
      <c r="D785" s="1539" t="s">
        <v>1181</v>
      </c>
      <c r="E785" s="166" t="s">
        <v>15</v>
      </c>
      <c r="F785" s="166"/>
      <c r="G785" s="1540">
        <v>600000</v>
      </c>
      <c r="H785" s="1466">
        <v>635040.18900000001</v>
      </c>
      <c r="I785" s="1540"/>
      <c r="J785" s="1466">
        <f t="shared" si="28"/>
        <v>1235040.189</v>
      </c>
      <c r="K785" s="1466"/>
      <c r="L785" s="1540"/>
      <c r="M785" s="1540">
        <f t="shared" si="27"/>
        <v>1235040.189</v>
      </c>
      <c r="N785" s="1539"/>
      <c r="O785" s="559"/>
    </row>
    <row r="786" spans="1:15" s="540" customFormat="1" ht="14.25" customHeight="1">
      <c r="A786" s="1547">
        <v>262</v>
      </c>
      <c r="B786" s="1537" t="str">
        <f>VLOOKUP(D786,'[2]DS CN MOI UP'!$B$11:$C$447,2,0)</f>
        <v>02547</v>
      </c>
      <c r="C786" s="1538" t="s">
        <v>654</v>
      </c>
      <c r="D786" s="1539" t="s">
        <v>199</v>
      </c>
      <c r="E786" s="166" t="s">
        <v>15</v>
      </c>
      <c r="F786" s="166"/>
      <c r="G786" s="1540">
        <v>600000</v>
      </c>
      <c r="H786" s="1466">
        <v>635040.18900000001</v>
      </c>
      <c r="I786" s="1540"/>
      <c r="J786" s="1466">
        <f t="shared" si="28"/>
        <v>1235040.189</v>
      </c>
      <c r="K786" s="1466"/>
      <c r="L786" s="1540"/>
      <c r="M786" s="1540">
        <f t="shared" si="27"/>
        <v>1235040.189</v>
      </c>
      <c r="N786" s="1539"/>
      <c r="O786" s="559"/>
    </row>
    <row r="787" spans="1:15" s="540" customFormat="1" ht="14.25" customHeight="1">
      <c r="A787" s="1536">
        <v>263</v>
      </c>
      <c r="B787" s="1537" t="e">
        <f>VLOOKUP(D787,'[2]DS CN MOI UP'!$B$11:$C$447,2,0)</f>
        <v>#N/A</v>
      </c>
      <c r="C787" s="1538" t="s">
        <v>654</v>
      </c>
      <c r="D787" s="1539" t="s">
        <v>1182</v>
      </c>
      <c r="E787" s="166" t="s">
        <v>15</v>
      </c>
      <c r="F787" s="166"/>
      <c r="G787" s="1540">
        <v>600000</v>
      </c>
      <c r="H787" s="1466">
        <v>635040.18900000001</v>
      </c>
      <c r="I787" s="1540"/>
      <c r="J787" s="1466">
        <f t="shared" si="28"/>
        <v>1235040.189</v>
      </c>
      <c r="K787" s="1466"/>
      <c r="L787" s="1540"/>
      <c r="M787" s="1540">
        <f t="shared" si="27"/>
        <v>1235040.189</v>
      </c>
      <c r="N787" s="1539"/>
      <c r="O787" s="559"/>
    </row>
    <row r="788" spans="1:15" s="540" customFormat="1" ht="14.25" customHeight="1">
      <c r="A788" s="1547">
        <v>264</v>
      </c>
      <c r="B788" s="1537" t="e">
        <f>VLOOKUP(D788,'[2]DS CN MOI UP'!$B$11:$C$447,2,0)</f>
        <v>#N/A</v>
      </c>
      <c r="C788" s="1538" t="s">
        <v>654</v>
      </c>
      <c r="D788" s="1539" t="s">
        <v>1183</v>
      </c>
      <c r="E788" s="166" t="s">
        <v>15</v>
      </c>
      <c r="F788" s="166"/>
      <c r="G788" s="1540">
        <v>600000</v>
      </c>
      <c r="H788" s="1466">
        <v>635040.18900000001</v>
      </c>
      <c r="I788" s="1540"/>
      <c r="J788" s="1466">
        <f t="shared" si="28"/>
        <v>1235040.189</v>
      </c>
      <c r="K788" s="1466"/>
      <c r="L788" s="1540"/>
      <c r="M788" s="1540">
        <f t="shared" si="27"/>
        <v>1235040.189</v>
      </c>
      <c r="N788" s="1539"/>
      <c r="O788" s="559"/>
    </row>
    <row r="789" spans="1:15" s="540" customFormat="1" ht="14.25" customHeight="1">
      <c r="A789" s="1547">
        <v>265</v>
      </c>
      <c r="B789" s="1537" t="e">
        <f>VLOOKUP(D789,'[2]DS CN MOI UP'!$B$11:$C$447,2,0)</f>
        <v>#N/A</v>
      </c>
      <c r="C789" s="1538" t="s">
        <v>654</v>
      </c>
      <c r="D789" s="1539" t="s">
        <v>1184</v>
      </c>
      <c r="E789" s="166" t="s">
        <v>15</v>
      </c>
      <c r="F789" s="166"/>
      <c r="G789" s="1540">
        <v>600000</v>
      </c>
      <c r="H789" s="1466">
        <v>554373.09900000005</v>
      </c>
      <c r="I789" s="1540"/>
      <c r="J789" s="1466">
        <f t="shared" si="28"/>
        <v>1154373.0989999999</v>
      </c>
      <c r="K789" s="1466"/>
      <c r="L789" s="1540"/>
      <c r="M789" s="1540">
        <f t="shared" si="27"/>
        <v>1154373.0989999999</v>
      </c>
      <c r="N789" s="1539"/>
      <c r="O789" s="559"/>
    </row>
    <row r="790" spans="1:15" s="540" customFormat="1" ht="14.25" customHeight="1">
      <c r="A790" s="1536">
        <v>266</v>
      </c>
      <c r="B790" s="1537" t="e">
        <f>VLOOKUP(D790,'[2]DS CN MOI UP'!$B$11:$C$447,2,0)</f>
        <v>#N/A</v>
      </c>
      <c r="C790" s="1538" t="s">
        <v>654</v>
      </c>
      <c r="D790" s="1539" t="s">
        <v>1185</v>
      </c>
      <c r="E790" s="166" t="s">
        <v>15</v>
      </c>
      <c r="F790" s="166"/>
      <c r="G790" s="1540">
        <v>600000</v>
      </c>
      <c r="H790" s="1466">
        <v>554373.09900000005</v>
      </c>
      <c r="I790" s="1540"/>
      <c r="J790" s="1466">
        <f t="shared" si="28"/>
        <v>1154373.0989999999</v>
      </c>
      <c r="K790" s="1466"/>
      <c r="L790" s="1540"/>
      <c r="M790" s="1540">
        <f t="shared" si="27"/>
        <v>1154373.0989999999</v>
      </c>
      <c r="N790" s="1539"/>
      <c r="O790" s="559"/>
    </row>
    <row r="791" spans="1:15" s="540" customFormat="1" ht="14.25" customHeight="1">
      <c r="A791" s="1547">
        <v>267</v>
      </c>
      <c r="B791" s="1537" t="str">
        <f>VLOOKUP(D791,'[2]DS CN MOI UP'!$B$11:$C$447,2,0)</f>
        <v>02517</v>
      </c>
      <c r="C791" s="1538" t="s">
        <v>654</v>
      </c>
      <c r="D791" s="1539" t="s">
        <v>161</v>
      </c>
      <c r="E791" s="166" t="s">
        <v>15</v>
      </c>
      <c r="F791" s="166"/>
      <c r="G791" s="1540">
        <v>600000</v>
      </c>
      <c r="H791" s="1466">
        <v>554373.09900000005</v>
      </c>
      <c r="I791" s="1540"/>
      <c r="J791" s="1466">
        <f t="shared" si="28"/>
        <v>1154373.0989999999</v>
      </c>
      <c r="K791" s="1466"/>
      <c r="L791" s="1540"/>
      <c r="M791" s="1540">
        <f t="shared" si="27"/>
        <v>1154373.0989999999</v>
      </c>
      <c r="N791" s="1539"/>
      <c r="O791" s="559"/>
    </row>
    <row r="792" spans="1:15" s="540" customFormat="1" ht="14.25" customHeight="1">
      <c r="A792" s="1547">
        <v>268</v>
      </c>
      <c r="B792" s="1537" t="e">
        <f>VLOOKUP(D792,'[2]DS CN MOI UP'!$B$11:$C$447,2,0)</f>
        <v>#N/A</v>
      </c>
      <c r="C792" s="1538" t="s">
        <v>654</v>
      </c>
      <c r="D792" s="1539" t="s">
        <v>1186</v>
      </c>
      <c r="E792" s="166" t="s">
        <v>15</v>
      </c>
      <c r="F792" s="166"/>
      <c r="G792" s="1540">
        <v>600000</v>
      </c>
      <c r="H792" s="1466">
        <v>635040.18900000001</v>
      </c>
      <c r="I792" s="1540"/>
      <c r="J792" s="1466">
        <f t="shared" si="28"/>
        <v>1235040.189</v>
      </c>
      <c r="K792" s="1466"/>
      <c r="L792" s="1540"/>
      <c r="M792" s="1540">
        <f t="shared" si="27"/>
        <v>1235040.189</v>
      </c>
      <c r="N792" s="1539"/>
      <c r="O792" s="559"/>
    </row>
    <row r="793" spans="1:15" s="540" customFormat="1" ht="14.25" customHeight="1">
      <c r="A793" s="1536">
        <v>269</v>
      </c>
      <c r="B793" s="1537" t="str">
        <f>VLOOKUP(D793,'[2]DS CN MOI UP'!$B$11:$C$447,2,0)</f>
        <v>02518</v>
      </c>
      <c r="C793" s="1538" t="s">
        <v>654</v>
      </c>
      <c r="D793" s="1539" t="s">
        <v>135</v>
      </c>
      <c r="E793" s="166" t="s">
        <v>15</v>
      </c>
      <c r="F793" s="166"/>
      <c r="G793" s="1540">
        <v>600000</v>
      </c>
      <c r="H793" s="1466">
        <v>544338.9</v>
      </c>
      <c r="I793" s="1540"/>
      <c r="J793" s="1466">
        <f t="shared" si="28"/>
        <v>1144338.8999999999</v>
      </c>
      <c r="K793" s="1466"/>
      <c r="L793" s="1540"/>
      <c r="M793" s="1540">
        <f t="shared" si="27"/>
        <v>1144338.8999999999</v>
      </c>
      <c r="N793" s="1539"/>
      <c r="O793" s="559"/>
    </row>
    <row r="794" spans="1:15" s="540" customFormat="1" ht="14.25" customHeight="1">
      <c r="A794" s="1547">
        <v>270</v>
      </c>
      <c r="B794" s="1537" t="e">
        <f>VLOOKUP(D794,'[2]DS CN MOI UP'!$B$11:$C$447,2,0)</f>
        <v>#N/A</v>
      </c>
      <c r="C794" s="1538" t="s">
        <v>654</v>
      </c>
      <c r="D794" s="1539" t="s">
        <v>1187</v>
      </c>
      <c r="E794" s="166" t="s">
        <v>15</v>
      </c>
      <c r="F794" s="166"/>
      <c r="G794" s="1540">
        <v>600000</v>
      </c>
      <c r="H794" s="1466">
        <v>574572.66299999994</v>
      </c>
      <c r="I794" s="1540"/>
      <c r="J794" s="1466">
        <f t="shared" si="28"/>
        <v>1174572.6629999999</v>
      </c>
      <c r="K794" s="1466"/>
      <c r="L794" s="1540"/>
      <c r="M794" s="1540">
        <f t="shared" si="27"/>
        <v>1174572.6629999999</v>
      </c>
      <c r="N794" s="1539"/>
      <c r="O794" s="559"/>
    </row>
    <row r="795" spans="1:15" s="540" customFormat="1" ht="14.25" customHeight="1">
      <c r="A795" s="1547">
        <v>271</v>
      </c>
      <c r="B795" s="1537" t="str">
        <f>VLOOKUP(D795,'[2]DS CN MOI UP'!$B$11:$C$447,2,0)</f>
        <v>02519</v>
      </c>
      <c r="C795" s="1538" t="s">
        <v>654</v>
      </c>
      <c r="D795" s="1539" t="s">
        <v>173</v>
      </c>
      <c r="E795" s="166" t="s">
        <v>15</v>
      </c>
      <c r="F795" s="166"/>
      <c r="G795" s="1540">
        <v>600000</v>
      </c>
      <c r="H795" s="1466">
        <v>604806.42599999998</v>
      </c>
      <c r="I795" s="1466"/>
      <c r="J795" s="1466">
        <f t="shared" si="28"/>
        <v>1204806.426</v>
      </c>
      <c r="K795" s="1466"/>
      <c r="L795" s="1540"/>
      <c r="M795" s="1540">
        <f t="shared" si="27"/>
        <v>1204806.426</v>
      </c>
      <c r="N795" s="1539"/>
      <c r="O795" s="559"/>
    </row>
    <row r="796" spans="1:15" s="540" customFormat="1" ht="14.25" customHeight="1">
      <c r="A796" s="1536">
        <v>272</v>
      </c>
      <c r="B796" s="1537" t="e">
        <f>VLOOKUP(D796,'[2]DS CN MOI UP'!$B$11:$C$447,2,0)</f>
        <v>#N/A</v>
      </c>
      <c r="C796" s="1538" t="s">
        <v>654</v>
      </c>
      <c r="D796" s="1539" t="s">
        <v>1188</v>
      </c>
      <c r="E796" s="166" t="s">
        <v>15</v>
      </c>
      <c r="F796" s="166"/>
      <c r="G796" s="1540">
        <v>600000</v>
      </c>
      <c r="H796" s="1540">
        <v>554373.09900000005</v>
      </c>
      <c r="I796" s="1466"/>
      <c r="J796" s="1466">
        <f t="shared" si="28"/>
        <v>1154373.0989999999</v>
      </c>
      <c r="K796" s="1466"/>
      <c r="L796" s="1540"/>
      <c r="M796" s="1540">
        <f t="shared" si="27"/>
        <v>1154373.0989999999</v>
      </c>
      <c r="N796" s="1539"/>
      <c r="O796" s="559"/>
    </row>
    <row r="797" spans="1:15" s="540" customFormat="1" ht="14.25" customHeight="1">
      <c r="A797" s="1547">
        <v>273</v>
      </c>
      <c r="B797" s="1537" t="e">
        <f>VLOOKUP(D797,'[2]DS CN MOI UP'!$B$11:$C$447,2,0)</f>
        <v>#N/A</v>
      </c>
      <c r="C797" s="1538" t="s">
        <v>654</v>
      </c>
      <c r="D797" s="1539" t="s">
        <v>1189</v>
      </c>
      <c r="E797" s="166" t="s">
        <v>15</v>
      </c>
      <c r="F797" s="166"/>
      <c r="G797" s="1540">
        <v>600000</v>
      </c>
      <c r="H797" s="1540">
        <v>554373.09900000005</v>
      </c>
      <c r="I797" s="1466"/>
      <c r="J797" s="1466">
        <f t="shared" si="28"/>
        <v>1154373.0989999999</v>
      </c>
      <c r="K797" s="1466"/>
      <c r="L797" s="1540"/>
      <c r="M797" s="1540">
        <f t="shared" si="27"/>
        <v>1154373.0989999999</v>
      </c>
      <c r="N797" s="1539"/>
      <c r="O797" s="559"/>
    </row>
    <row r="798" spans="1:15" s="540" customFormat="1" ht="14.25" customHeight="1">
      <c r="A798" s="1547">
        <v>274</v>
      </c>
      <c r="B798" s="1537"/>
      <c r="C798" s="1538" t="s">
        <v>648</v>
      </c>
      <c r="D798" s="1539" t="s">
        <v>188</v>
      </c>
      <c r="E798" s="166" t="s">
        <v>15</v>
      </c>
      <c r="F798" s="166"/>
      <c r="G798" s="1540">
        <v>168500</v>
      </c>
      <c r="H798" s="1540">
        <v>1108746.1980000001</v>
      </c>
      <c r="I798" s="1466"/>
      <c r="J798" s="1466">
        <f t="shared" si="28"/>
        <v>1277246.1980000001</v>
      </c>
      <c r="K798" s="1466"/>
      <c r="L798" s="1540"/>
      <c r="M798" s="1540">
        <f t="shared" si="27"/>
        <v>1277246.1980000001</v>
      </c>
      <c r="N798" s="1539"/>
      <c r="O798" s="559"/>
    </row>
    <row r="799" spans="1:15" s="540" customFormat="1" ht="14.25" customHeight="1">
      <c r="A799" s="1536">
        <v>275</v>
      </c>
      <c r="B799" s="1537" t="e">
        <f>VLOOKUP(D799,'[2]DS CN MOI UP'!$B$11:$C$447,2,0)</f>
        <v>#N/A</v>
      </c>
      <c r="C799" s="1538" t="s">
        <v>650</v>
      </c>
      <c r="D799" s="1539" t="s">
        <v>1190</v>
      </c>
      <c r="E799" s="166" t="s">
        <v>15</v>
      </c>
      <c r="F799" s="166"/>
      <c r="G799" s="1540"/>
      <c r="H799" s="1540">
        <v>1159179.5249999999</v>
      </c>
      <c r="I799" s="1466"/>
      <c r="J799" s="1466">
        <f t="shared" si="28"/>
        <v>1159179.5249999999</v>
      </c>
      <c r="K799" s="1466"/>
      <c r="L799" s="1540"/>
      <c r="M799" s="1540">
        <f t="shared" si="27"/>
        <v>1159179.5249999999</v>
      </c>
      <c r="N799" s="1539"/>
      <c r="O799" s="559"/>
    </row>
    <row r="800" spans="1:15" s="540" customFormat="1" ht="14.25" customHeight="1">
      <c r="A800" s="1547">
        <v>276</v>
      </c>
      <c r="B800" s="1537" t="e">
        <f>VLOOKUP(D800,'[2]DS CN MOI UP'!$B$11:$C$447,2,0)</f>
        <v>#N/A</v>
      </c>
      <c r="C800" s="1538" t="s">
        <v>651</v>
      </c>
      <c r="D800" s="1539" t="s">
        <v>1191</v>
      </c>
      <c r="E800" s="166" t="s">
        <v>15</v>
      </c>
      <c r="F800" s="166"/>
      <c r="G800" s="1540"/>
      <c r="H800" s="1466">
        <v>1270080.378</v>
      </c>
      <c r="I800" s="1466"/>
      <c r="J800" s="1466">
        <f t="shared" si="28"/>
        <v>1270080.378</v>
      </c>
      <c r="K800" s="1466"/>
      <c r="L800" s="1540"/>
      <c r="M800" s="1540">
        <f t="shared" si="27"/>
        <v>1270080.378</v>
      </c>
      <c r="N800" s="1539"/>
      <c r="O800" s="559"/>
    </row>
    <row r="801" spans="1:15" s="540" customFormat="1" ht="14.25" customHeight="1">
      <c r="A801" s="1547">
        <v>277</v>
      </c>
      <c r="B801" s="1537" t="str">
        <f>VLOOKUP(D801,'[2]DS CN MOI UP'!$B$11:$C$447,2,0)</f>
        <v>02521</v>
      </c>
      <c r="C801" s="1538" t="s">
        <v>651</v>
      </c>
      <c r="D801" s="1539" t="s">
        <v>137</v>
      </c>
      <c r="E801" s="166" t="s">
        <v>15</v>
      </c>
      <c r="F801" s="166"/>
      <c r="G801" s="1540"/>
      <c r="H801" s="1466">
        <v>1159179.5249999999</v>
      </c>
      <c r="I801" s="1466"/>
      <c r="J801" s="1466">
        <f t="shared" si="28"/>
        <v>1159179.5249999999</v>
      </c>
      <c r="K801" s="1466"/>
      <c r="L801" s="1540"/>
      <c r="M801" s="1540">
        <f t="shared" si="27"/>
        <v>1159179.5249999999</v>
      </c>
      <c r="N801" s="1539"/>
      <c r="O801" s="559"/>
    </row>
    <row r="802" spans="1:15" s="540" customFormat="1" ht="14.25" customHeight="1">
      <c r="A802" s="1536">
        <v>278</v>
      </c>
      <c r="B802" s="1537" t="e">
        <f>VLOOKUP(D802,'[2]DS CN MOI UP'!$B$11:$C$447,2,0)</f>
        <v>#N/A</v>
      </c>
      <c r="C802" s="1538" t="s">
        <v>651</v>
      </c>
      <c r="D802" s="1539" t="s">
        <v>1192</v>
      </c>
      <c r="E802" s="166" t="s">
        <v>15</v>
      </c>
      <c r="F802" s="166"/>
      <c r="G802" s="1540"/>
      <c r="H802" s="1466">
        <v>1270080.378</v>
      </c>
      <c r="I802" s="1466"/>
      <c r="J802" s="1466">
        <f t="shared" si="28"/>
        <v>1270080.378</v>
      </c>
      <c r="K802" s="1466"/>
      <c r="L802" s="1540"/>
      <c r="M802" s="1540">
        <f t="shared" si="27"/>
        <v>1270080.378</v>
      </c>
      <c r="N802" s="1539"/>
      <c r="O802" s="559"/>
    </row>
    <row r="803" spans="1:15" s="540" customFormat="1" ht="14.25" customHeight="1">
      <c r="A803" s="1547">
        <v>279</v>
      </c>
      <c r="B803" s="1537" t="str">
        <f>VLOOKUP(D803,'[2]DS CN MOI UP'!$B$11:$C$447,2,0)</f>
        <v>02522</v>
      </c>
      <c r="C803" s="1538" t="s">
        <v>651</v>
      </c>
      <c r="D803" s="1539" t="s">
        <v>162</v>
      </c>
      <c r="E803" s="166" t="s">
        <v>15</v>
      </c>
      <c r="F803" s="166"/>
      <c r="G803" s="1540"/>
      <c r="H803" s="1466">
        <v>1159179.5249999999</v>
      </c>
      <c r="I803" s="1466"/>
      <c r="J803" s="1466">
        <f t="shared" si="28"/>
        <v>1159179.5249999999</v>
      </c>
      <c r="K803" s="1466"/>
      <c r="L803" s="1540"/>
      <c r="M803" s="1540">
        <f t="shared" si="27"/>
        <v>1159179.5249999999</v>
      </c>
      <c r="N803" s="1539"/>
      <c r="O803" s="559"/>
    </row>
    <row r="804" spans="1:15" s="540" customFormat="1" ht="14.25" customHeight="1">
      <c r="A804" s="1547">
        <v>280</v>
      </c>
      <c r="B804" s="1537" t="str">
        <f>VLOOKUP(D804,'[2]DS CN MOI UP'!$B$11:$C$447,2,0)</f>
        <v>02666</v>
      </c>
      <c r="C804" s="1538" t="s">
        <v>651</v>
      </c>
      <c r="D804" s="1539" t="s">
        <v>435</v>
      </c>
      <c r="E804" s="166" t="s">
        <v>15</v>
      </c>
      <c r="F804" s="166"/>
      <c r="G804" s="1540"/>
      <c r="H804" s="1540">
        <v>1138979.9609999999</v>
      </c>
      <c r="I804" s="1466"/>
      <c r="J804" s="1466">
        <f t="shared" si="28"/>
        <v>1138979.9609999999</v>
      </c>
      <c r="K804" s="1466"/>
      <c r="L804" s="1540"/>
      <c r="M804" s="1540">
        <f t="shared" ref="M804:M867" si="29">J804-L804</f>
        <v>1138979.9609999999</v>
      </c>
      <c r="N804" s="1539"/>
      <c r="O804" s="559"/>
    </row>
    <row r="805" spans="1:15" s="540" customFormat="1" ht="14.25" customHeight="1">
      <c r="A805" s="1536">
        <v>281</v>
      </c>
      <c r="B805" s="1537" t="str">
        <f>VLOOKUP(D805,'[2]DS CN MOI UP'!$B$11:$C$447,2,0)</f>
        <v>02523</v>
      </c>
      <c r="C805" s="1538" t="s">
        <v>651</v>
      </c>
      <c r="D805" s="1539" t="s">
        <v>169</v>
      </c>
      <c r="E805" s="166" t="s">
        <v>15</v>
      </c>
      <c r="F805" s="166"/>
      <c r="G805" s="1540"/>
      <c r="H805" s="1466">
        <v>1270080.378</v>
      </c>
      <c r="I805" s="1466"/>
      <c r="J805" s="1466">
        <f t="shared" si="28"/>
        <v>1270080.378</v>
      </c>
      <c r="K805" s="1466"/>
      <c r="L805" s="1540"/>
      <c r="M805" s="1540">
        <f t="shared" si="29"/>
        <v>1270080.378</v>
      </c>
      <c r="N805" s="1539"/>
      <c r="O805" s="559"/>
    </row>
    <row r="806" spans="1:15" s="540" customFormat="1" ht="14.25" customHeight="1">
      <c r="A806" s="1547">
        <v>282</v>
      </c>
      <c r="B806" s="1537" t="e">
        <f>VLOOKUP(D806,'[2]DS CN MOI UP'!$B$11:$C$447,2,0)</f>
        <v>#N/A</v>
      </c>
      <c r="C806" s="1538" t="s">
        <v>651</v>
      </c>
      <c r="D806" s="1539" t="s">
        <v>1193</v>
      </c>
      <c r="E806" s="166" t="s">
        <v>15</v>
      </c>
      <c r="F806" s="166"/>
      <c r="G806" s="1540"/>
      <c r="H806" s="1466">
        <v>1270080.378</v>
      </c>
      <c r="I806" s="1466"/>
      <c r="J806" s="1466">
        <f t="shared" si="28"/>
        <v>1270080.378</v>
      </c>
      <c r="K806" s="1466"/>
      <c r="L806" s="1540"/>
      <c r="M806" s="1540">
        <f t="shared" si="29"/>
        <v>1270080.378</v>
      </c>
      <c r="N806" s="1539"/>
      <c r="O806" s="559"/>
    </row>
    <row r="807" spans="1:15" s="540" customFormat="1" ht="14.25" customHeight="1">
      <c r="A807" s="1547">
        <v>283</v>
      </c>
      <c r="B807" s="1537" t="str">
        <f>VLOOKUP(D807,'[2]DS CN MOI UP'!$B$11:$C$447,2,0)</f>
        <v>02524</v>
      </c>
      <c r="C807" s="1538" t="s">
        <v>651</v>
      </c>
      <c r="D807" s="1539" t="s">
        <v>139</v>
      </c>
      <c r="E807" s="166" t="s">
        <v>15</v>
      </c>
      <c r="F807" s="166"/>
      <c r="G807" s="1540"/>
      <c r="H807" s="1466">
        <v>1108746.1980000001</v>
      </c>
      <c r="I807" s="1466"/>
      <c r="J807" s="1466">
        <f t="shared" si="28"/>
        <v>1108746.1980000001</v>
      </c>
      <c r="K807" s="1466"/>
      <c r="L807" s="1540"/>
      <c r="M807" s="1540">
        <f t="shared" si="29"/>
        <v>1108746.1980000001</v>
      </c>
      <c r="N807" s="1539"/>
      <c r="O807" s="559"/>
    </row>
    <row r="808" spans="1:15" s="540" customFormat="1" ht="14.25" customHeight="1">
      <c r="A808" s="1536">
        <v>284</v>
      </c>
      <c r="B808" s="1537" t="e">
        <f>VLOOKUP(D808,'[2]DS CN MOI UP'!$B$11:$C$447,2,0)</f>
        <v>#N/A</v>
      </c>
      <c r="C808" s="1538" t="s">
        <v>651</v>
      </c>
      <c r="D808" s="1539" t="s">
        <v>1194</v>
      </c>
      <c r="E808" s="166" t="s">
        <v>15</v>
      </c>
      <c r="F808" s="166"/>
      <c r="G808" s="1540"/>
      <c r="H808" s="1466">
        <v>1270080.378</v>
      </c>
      <c r="I808" s="1466"/>
      <c r="J808" s="1466">
        <f t="shared" si="28"/>
        <v>1270080.378</v>
      </c>
      <c r="K808" s="1466"/>
      <c r="L808" s="1540"/>
      <c r="M808" s="1540">
        <f t="shared" si="29"/>
        <v>1270080.378</v>
      </c>
      <c r="N808" s="1539"/>
      <c r="O808" s="559"/>
    </row>
    <row r="809" spans="1:15" s="540" customFormat="1" ht="14.25" customHeight="1">
      <c r="A809" s="1547">
        <v>285</v>
      </c>
      <c r="B809" s="1537" t="str">
        <f>VLOOKUP(D809,'[2]DS CN MOI UP'!$B$11:$C$447,2,0)</f>
        <v>02525</v>
      </c>
      <c r="C809" s="1538" t="s">
        <v>651</v>
      </c>
      <c r="D809" s="1539" t="s">
        <v>180</v>
      </c>
      <c r="E809" s="166" t="s">
        <v>15</v>
      </c>
      <c r="F809" s="166"/>
      <c r="G809" s="1540"/>
      <c r="H809" s="1466">
        <v>1259007.19934334</v>
      </c>
      <c r="I809" s="1466"/>
      <c r="J809" s="1466">
        <f t="shared" si="28"/>
        <v>1259007.19934334</v>
      </c>
      <c r="K809" s="1466"/>
      <c r="L809" s="1540"/>
      <c r="M809" s="1540">
        <f t="shared" si="29"/>
        <v>1259007.19934334</v>
      </c>
      <c r="N809" s="1539"/>
      <c r="O809" s="559"/>
    </row>
    <row r="810" spans="1:15" s="540" customFormat="1" ht="14.25" customHeight="1">
      <c r="A810" s="1547">
        <v>286</v>
      </c>
      <c r="B810" s="1537" t="e">
        <f>VLOOKUP(D810,'[2]DS CN MOI UP'!$B$11:$C$447,2,0)</f>
        <v>#N/A</v>
      </c>
      <c r="C810" s="1538" t="s">
        <v>651</v>
      </c>
      <c r="D810" s="1539" t="s">
        <v>1195</v>
      </c>
      <c r="E810" s="166" t="s">
        <v>15</v>
      </c>
      <c r="F810" s="166"/>
      <c r="G810" s="1540"/>
      <c r="H810" s="1466">
        <v>1148746.1980000001</v>
      </c>
      <c r="I810" s="1466"/>
      <c r="J810" s="1466">
        <f t="shared" si="28"/>
        <v>1148746.1980000001</v>
      </c>
      <c r="K810" s="1466"/>
      <c r="L810" s="1540"/>
      <c r="M810" s="1540">
        <f t="shared" si="29"/>
        <v>1148746.1980000001</v>
      </c>
      <c r="N810" s="1539"/>
      <c r="O810" s="559"/>
    </row>
    <row r="811" spans="1:15" s="540" customFormat="1" ht="14.25" customHeight="1">
      <c r="A811" s="1536">
        <v>287</v>
      </c>
      <c r="B811" s="1537" t="str">
        <f>VLOOKUP(D811,'[2]DS CN MOI UP'!$B$11:$C$447,2,0)</f>
        <v>02526</v>
      </c>
      <c r="C811" s="1538" t="s">
        <v>651</v>
      </c>
      <c r="D811" s="1539" t="s">
        <v>129</v>
      </c>
      <c r="E811" s="166" t="s">
        <v>15</v>
      </c>
      <c r="F811" s="166"/>
      <c r="G811" s="1540"/>
      <c r="H811" s="1466">
        <v>1270080.378</v>
      </c>
      <c r="I811" s="1466"/>
      <c r="J811" s="1466">
        <f t="shared" si="28"/>
        <v>1270080.378</v>
      </c>
      <c r="K811" s="1466"/>
      <c r="L811" s="1540"/>
      <c r="M811" s="1540">
        <f t="shared" si="29"/>
        <v>1270080.378</v>
      </c>
      <c r="N811" s="1539"/>
      <c r="O811" s="559"/>
    </row>
    <row r="812" spans="1:15" s="540" customFormat="1" ht="14.25" customHeight="1">
      <c r="A812" s="1547">
        <v>288</v>
      </c>
      <c r="B812" s="1537" t="e">
        <f>VLOOKUP(D812,'[2]DS CN MOI UP'!$B$11:$C$447,2,0)</f>
        <v>#N/A</v>
      </c>
      <c r="C812" s="1538" t="s">
        <v>651</v>
      </c>
      <c r="D812" s="1539" t="s">
        <v>1196</v>
      </c>
      <c r="E812" s="166" t="s">
        <v>15</v>
      </c>
      <c r="F812" s="166"/>
      <c r="G812" s="1540"/>
      <c r="H812" s="1466">
        <v>1128677.8</v>
      </c>
      <c r="I812" s="1466"/>
      <c r="J812" s="1466">
        <f t="shared" si="28"/>
        <v>1128677.8</v>
      </c>
      <c r="K812" s="1466"/>
      <c r="L812" s="1540"/>
      <c r="M812" s="1540">
        <f t="shared" si="29"/>
        <v>1128677.8</v>
      </c>
      <c r="N812" s="1539"/>
      <c r="O812" s="559"/>
    </row>
    <row r="813" spans="1:15" s="540" customFormat="1" ht="14.25" customHeight="1">
      <c r="A813" s="1547">
        <v>289</v>
      </c>
      <c r="B813" s="1537" t="str">
        <f>VLOOKUP(D813,'[2]DS CN MOI UP'!$B$11:$C$447,2,0)</f>
        <v>02527</v>
      </c>
      <c r="C813" s="1538" t="s">
        <v>651</v>
      </c>
      <c r="D813" s="1539" t="s">
        <v>156</v>
      </c>
      <c r="E813" s="166" t="s">
        <v>15</v>
      </c>
      <c r="F813" s="166"/>
      <c r="G813" s="1540"/>
      <c r="H813" s="1466">
        <v>1189145.3259999999</v>
      </c>
      <c r="I813" s="1466"/>
      <c r="J813" s="1466">
        <f t="shared" si="28"/>
        <v>1189145.3259999999</v>
      </c>
      <c r="K813" s="1466"/>
      <c r="L813" s="1540"/>
      <c r="M813" s="1540">
        <f t="shared" si="29"/>
        <v>1189145.3259999999</v>
      </c>
      <c r="N813" s="1539"/>
      <c r="O813" s="559"/>
    </row>
    <row r="814" spans="1:15" s="540" customFormat="1" ht="14.25" customHeight="1">
      <c r="A814" s="1536">
        <v>290</v>
      </c>
      <c r="B814" s="1537" t="e">
        <f>VLOOKUP(D814,'[2]DS CN MOI UP'!$B$11:$C$447,2,0)</f>
        <v>#N/A</v>
      </c>
      <c r="C814" s="1538" t="s">
        <v>651</v>
      </c>
      <c r="D814" s="1539" t="s">
        <v>1197</v>
      </c>
      <c r="E814" s="166" t="s">
        <v>15</v>
      </c>
      <c r="F814" s="166"/>
      <c r="G814" s="1540"/>
      <c r="H814" s="1466">
        <v>1249612.852</v>
      </c>
      <c r="I814" s="1466"/>
      <c r="J814" s="1466">
        <f t="shared" si="28"/>
        <v>1249612.852</v>
      </c>
      <c r="K814" s="1466"/>
      <c r="L814" s="1540"/>
      <c r="M814" s="1540">
        <f t="shared" si="29"/>
        <v>1249612.852</v>
      </c>
      <c r="N814" s="1539"/>
      <c r="O814" s="559"/>
    </row>
    <row r="815" spans="1:15" s="540" customFormat="1" ht="14.25" customHeight="1">
      <c r="A815" s="1547">
        <v>291</v>
      </c>
      <c r="B815" s="1537" t="str">
        <f>VLOOKUP(D815,'[2]DS CN MOI UP'!$B$11:$C$447,2,0)</f>
        <v>02528</v>
      </c>
      <c r="C815" s="1538" t="s">
        <v>651</v>
      </c>
      <c r="D815" s="1539" t="s">
        <v>159</v>
      </c>
      <c r="E815" s="166" t="s">
        <v>15</v>
      </c>
      <c r="F815" s="166"/>
      <c r="G815" s="1540"/>
      <c r="H815" s="1466">
        <v>1159179.5249999999</v>
      </c>
      <c r="I815" s="1466"/>
      <c r="J815" s="1466">
        <f t="shared" si="28"/>
        <v>1159179.5249999999</v>
      </c>
      <c r="K815" s="1466"/>
      <c r="L815" s="1540"/>
      <c r="M815" s="1540">
        <f t="shared" si="29"/>
        <v>1159179.5249999999</v>
      </c>
      <c r="N815" s="1539"/>
      <c r="O815" s="559"/>
    </row>
    <row r="816" spans="1:15" s="540" customFormat="1" ht="14.25" customHeight="1">
      <c r="A816" s="1547">
        <v>292</v>
      </c>
      <c r="B816" s="1537" t="e">
        <f>VLOOKUP(D816,'[2]DS CN MOI UP'!$B$11:$C$447,2,0)</f>
        <v>#N/A</v>
      </c>
      <c r="C816" s="1538" t="s">
        <v>651</v>
      </c>
      <c r="D816" s="1539" t="s">
        <v>1198</v>
      </c>
      <c r="E816" s="166" t="s">
        <v>15</v>
      </c>
      <c r="F816" s="166"/>
      <c r="G816" s="1540"/>
      <c r="H816" s="1466">
        <v>1148746.1980000001</v>
      </c>
      <c r="I816" s="1466"/>
      <c r="J816" s="1466">
        <f t="shared" si="28"/>
        <v>1148746.1980000001</v>
      </c>
      <c r="K816" s="1466"/>
      <c r="L816" s="1540"/>
      <c r="M816" s="1540">
        <f t="shared" si="29"/>
        <v>1148746.1980000001</v>
      </c>
      <c r="N816" s="1539"/>
      <c r="O816" s="559"/>
    </row>
    <row r="817" spans="1:15" s="540" customFormat="1" ht="14.25" customHeight="1">
      <c r="A817" s="1536">
        <v>293</v>
      </c>
      <c r="B817" s="1537" t="str">
        <f>VLOOKUP(D817,'[2]DS CN MOI UP'!$B$11:$C$447,2,0)</f>
        <v>03850</v>
      </c>
      <c r="C817" s="1538" t="s">
        <v>651</v>
      </c>
      <c r="D817" s="1539" t="s">
        <v>449</v>
      </c>
      <c r="E817" s="166" t="s">
        <v>15</v>
      </c>
      <c r="F817" s="166"/>
      <c r="G817" s="1540"/>
      <c r="H817" s="1466">
        <v>1270080.378</v>
      </c>
      <c r="I817" s="1466"/>
      <c r="J817" s="1466">
        <f t="shared" si="28"/>
        <v>1270080.378</v>
      </c>
      <c r="K817" s="1466"/>
      <c r="L817" s="1540"/>
      <c r="M817" s="1540">
        <f t="shared" si="29"/>
        <v>1270080.378</v>
      </c>
      <c r="N817" s="1539"/>
      <c r="O817" s="559">
        <v>170329.399343342</v>
      </c>
    </row>
    <row r="818" spans="1:15" s="540" customFormat="1" ht="14.25" customHeight="1">
      <c r="A818" s="1547">
        <v>294</v>
      </c>
      <c r="B818" s="1537" t="e">
        <f>VLOOKUP(D818,'[2]DS CN MOI UP'!$B$11:$C$447,2,0)</f>
        <v>#N/A</v>
      </c>
      <c r="C818" s="1538" t="s">
        <v>651</v>
      </c>
      <c r="D818" s="1539" t="s">
        <v>1162</v>
      </c>
      <c r="E818" s="166" t="s">
        <v>15</v>
      </c>
      <c r="F818" s="166"/>
      <c r="G818" s="1540"/>
      <c r="H818" s="1466">
        <v>1128677.8</v>
      </c>
      <c r="I818" s="1466"/>
      <c r="J818" s="1466">
        <f t="shared" si="28"/>
        <v>1128677.8</v>
      </c>
      <c r="K818" s="1466"/>
      <c r="L818" s="1540"/>
      <c r="M818" s="1540">
        <f t="shared" si="29"/>
        <v>1128677.8</v>
      </c>
      <c r="N818" s="1539"/>
      <c r="O818" s="559"/>
    </row>
    <row r="819" spans="1:15" s="540" customFormat="1" ht="14.25" customHeight="1">
      <c r="A819" s="1547">
        <v>295</v>
      </c>
      <c r="B819" s="1537" t="e">
        <f>VLOOKUP(D819,'[2]DS CN MOI UP'!$B$11:$C$447,2,0)</f>
        <v>#N/A</v>
      </c>
      <c r="C819" s="1538" t="s">
        <v>651</v>
      </c>
      <c r="D819" s="1539" t="s">
        <v>1163</v>
      </c>
      <c r="E819" s="166" t="s">
        <v>15</v>
      </c>
      <c r="F819" s="166"/>
      <c r="G819" s="1540"/>
      <c r="H819" s="1466">
        <v>1189145.3259999999</v>
      </c>
      <c r="I819" s="1466"/>
      <c r="J819" s="1466">
        <f t="shared" si="28"/>
        <v>1189145.3259999999</v>
      </c>
      <c r="K819" s="1466"/>
      <c r="L819" s="1540"/>
      <c r="M819" s="1540">
        <f t="shared" si="29"/>
        <v>1189145.3259999999</v>
      </c>
      <c r="N819" s="1539"/>
      <c r="O819" s="559"/>
    </row>
    <row r="820" spans="1:15" s="540" customFormat="1" ht="14.25" customHeight="1">
      <c r="A820" s="1536">
        <v>296</v>
      </c>
      <c r="B820" s="1537" t="e">
        <f>VLOOKUP(D820,'[2]DS CN MOI UP'!$B$11:$C$447,2,0)</f>
        <v>#N/A</v>
      </c>
      <c r="C820" s="1538" t="s">
        <v>651</v>
      </c>
      <c r="D820" s="1539" t="s">
        <v>916</v>
      </c>
      <c r="E820" s="166" t="s">
        <v>15</v>
      </c>
      <c r="F820" s="166"/>
      <c r="G820" s="1540"/>
      <c r="H820" s="1466">
        <v>1249612.852</v>
      </c>
      <c r="I820" s="1466"/>
      <c r="J820" s="1466">
        <f t="shared" si="28"/>
        <v>1249612.852</v>
      </c>
      <c r="K820" s="1466"/>
      <c r="L820" s="1540"/>
      <c r="M820" s="1540">
        <f t="shared" si="29"/>
        <v>1249612.852</v>
      </c>
      <c r="N820" s="1539"/>
      <c r="O820" s="559"/>
    </row>
    <row r="821" spans="1:15" s="540" customFormat="1" ht="14.25" customHeight="1">
      <c r="A821" s="1547">
        <v>297</v>
      </c>
      <c r="B821" s="1537" t="e">
        <f>VLOOKUP(D821,'[2]DS CN MOI UP'!$B$11:$C$447,2,0)</f>
        <v>#N/A</v>
      </c>
      <c r="C821" s="1538" t="s">
        <v>651</v>
      </c>
      <c r="D821" s="1539" t="s">
        <v>1164</v>
      </c>
      <c r="E821" s="166" t="s">
        <v>15</v>
      </c>
      <c r="F821" s="166"/>
      <c r="G821" s="1540"/>
      <c r="H821" s="1466">
        <v>1159179.5249999999</v>
      </c>
      <c r="I821" s="1466"/>
      <c r="J821" s="1466">
        <f t="shared" si="28"/>
        <v>1159179.5249999999</v>
      </c>
      <c r="K821" s="1466"/>
      <c r="L821" s="1540"/>
      <c r="M821" s="1540">
        <f t="shared" si="29"/>
        <v>1159179.5249999999</v>
      </c>
      <c r="N821" s="1539"/>
      <c r="O821" s="559"/>
    </row>
    <row r="822" spans="1:15" s="540" customFormat="1" ht="14.25" customHeight="1">
      <c r="A822" s="1547">
        <v>298</v>
      </c>
      <c r="B822" s="1537" t="e">
        <f>VLOOKUP(D822,'[2]DS CN MOI UP'!$B$11:$C$447,2,0)</f>
        <v>#N/A</v>
      </c>
      <c r="C822" s="1538" t="s">
        <v>651</v>
      </c>
      <c r="D822" s="1539" t="s">
        <v>1165</v>
      </c>
      <c r="E822" s="166" t="s">
        <v>15</v>
      </c>
      <c r="F822" s="166"/>
      <c r="G822" s="1540"/>
      <c r="H822" s="1466">
        <v>1249612.852</v>
      </c>
      <c r="I822" s="1466"/>
      <c r="J822" s="1466">
        <f t="shared" si="28"/>
        <v>1249612.852</v>
      </c>
      <c r="K822" s="1466"/>
      <c r="L822" s="1540"/>
      <c r="M822" s="1540">
        <f t="shared" si="29"/>
        <v>1249612.852</v>
      </c>
      <c r="N822" s="1539"/>
      <c r="O822" s="559"/>
    </row>
    <row r="823" spans="1:15" s="540" customFormat="1" ht="14.25" customHeight="1">
      <c r="A823" s="1536">
        <v>299</v>
      </c>
      <c r="B823" s="1537"/>
      <c r="C823" s="1538"/>
      <c r="D823" s="1539" t="s">
        <v>701</v>
      </c>
      <c r="E823" s="166" t="s">
        <v>15</v>
      </c>
      <c r="F823" s="166"/>
      <c r="G823" s="1540"/>
      <c r="H823" s="1466">
        <v>635040.18900000001</v>
      </c>
      <c r="I823" s="1466">
        <v>635040.18900000001</v>
      </c>
      <c r="J823" s="1466">
        <f t="shared" si="28"/>
        <v>1270080.378</v>
      </c>
      <c r="K823" s="1466"/>
      <c r="L823" s="1540"/>
      <c r="M823" s="1540">
        <f t="shared" si="29"/>
        <v>1270080.378</v>
      </c>
      <c r="N823" s="1539"/>
      <c r="O823" s="559"/>
    </row>
    <row r="824" spans="1:15" s="540" customFormat="1" ht="14.25" customHeight="1">
      <c r="A824" s="1547">
        <v>300</v>
      </c>
      <c r="B824" s="1537"/>
      <c r="C824" s="1538"/>
      <c r="D824" s="1539" t="s">
        <v>158</v>
      </c>
      <c r="E824" s="166" t="s">
        <v>15</v>
      </c>
      <c r="F824" s="166"/>
      <c r="G824" s="1540"/>
      <c r="H824" s="1466">
        <v>544338.9</v>
      </c>
      <c r="I824" s="1466">
        <v>544338.9</v>
      </c>
      <c r="J824" s="1466">
        <f t="shared" si="28"/>
        <v>1088677.8</v>
      </c>
      <c r="K824" s="1466"/>
      <c r="L824" s="1540"/>
      <c r="M824" s="1540">
        <f t="shared" si="29"/>
        <v>1088677.8</v>
      </c>
      <c r="N824" s="1539"/>
      <c r="O824" s="559"/>
    </row>
    <row r="825" spans="1:15" s="540" customFormat="1" ht="14.25" customHeight="1">
      <c r="A825" s="1547">
        <v>301</v>
      </c>
      <c r="B825" s="1537"/>
      <c r="C825" s="1538"/>
      <c r="D825" s="1539" t="s">
        <v>1167</v>
      </c>
      <c r="E825" s="166" t="s">
        <v>15</v>
      </c>
      <c r="F825" s="166"/>
      <c r="G825" s="1540"/>
      <c r="H825" s="1466">
        <v>574572.66299999994</v>
      </c>
      <c r="I825" s="1466">
        <v>574572.66299999994</v>
      </c>
      <c r="J825" s="1466">
        <f t="shared" si="28"/>
        <v>1149145.3259999999</v>
      </c>
      <c r="K825" s="1466"/>
      <c r="L825" s="1540"/>
      <c r="M825" s="1540">
        <f t="shared" si="29"/>
        <v>1149145.3259999999</v>
      </c>
      <c r="N825" s="1539"/>
      <c r="O825" s="559"/>
    </row>
    <row r="826" spans="1:15" s="540" customFormat="1" ht="14.25" customHeight="1">
      <c r="A826" s="1536">
        <v>302</v>
      </c>
      <c r="B826" s="1537"/>
      <c r="C826" s="1538"/>
      <c r="D826" s="1539" t="s">
        <v>1168</v>
      </c>
      <c r="E826" s="166" t="s">
        <v>15</v>
      </c>
      <c r="F826" s="166"/>
      <c r="G826" s="1540"/>
      <c r="H826" s="1466">
        <v>604806.42599999998</v>
      </c>
      <c r="I826" s="1466">
        <v>604806.42599999998</v>
      </c>
      <c r="J826" s="1466">
        <f t="shared" si="28"/>
        <v>1209612.852</v>
      </c>
      <c r="K826" s="1466"/>
      <c r="L826" s="1540"/>
      <c r="M826" s="1540">
        <f t="shared" si="29"/>
        <v>1209612.852</v>
      </c>
      <c r="N826" s="1539"/>
      <c r="O826" s="559"/>
    </row>
    <row r="827" spans="1:15" s="540" customFormat="1" ht="14.25" customHeight="1">
      <c r="A827" s="1547">
        <v>303</v>
      </c>
      <c r="B827" s="1537"/>
      <c r="C827" s="1538"/>
      <c r="D827" s="1539" t="s">
        <v>198</v>
      </c>
      <c r="E827" s="166" t="s">
        <v>15</v>
      </c>
      <c r="F827" s="166"/>
      <c r="G827" s="1540"/>
      <c r="H827" s="1466">
        <v>584606.86199999996</v>
      </c>
      <c r="I827" s="1466">
        <v>584606.86199999996</v>
      </c>
      <c r="J827" s="1466">
        <f t="shared" si="28"/>
        <v>1169213.7239999999</v>
      </c>
      <c r="K827" s="1466"/>
      <c r="L827" s="1540"/>
      <c r="M827" s="1540">
        <f t="shared" si="29"/>
        <v>1169213.7239999999</v>
      </c>
      <c r="N827" s="1539"/>
      <c r="O827" s="559"/>
    </row>
    <row r="828" spans="1:15" s="540" customFormat="1" ht="14.25" customHeight="1">
      <c r="A828" s="1547">
        <v>304</v>
      </c>
      <c r="B828" s="1537"/>
      <c r="C828" s="1538"/>
      <c r="D828" s="1539" t="s">
        <v>1169</v>
      </c>
      <c r="E828" s="166" t="s">
        <v>15</v>
      </c>
      <c r="F828" s="166"/>
      <c r="G828" s="1540"/>
      <c r="H828" s="1466">
        <v>635040.18900000001</v>
      </c>
      <c r="I828" s="1466">
        <v>635040.18900000001</v>
      </c>
      <c r="J828" s="1466">
        <f t="shared" si="28"/>
        <v>1270080.378</v>
      </c>
      <c r="K828" s="1466"/>
      <c r="L828" s="1540"/>
      <c r="M828" s="1540">
        <f t="shared" si="29"/>
        <v>1270080.378</v>
      </c>
      <c r="N828" s="1539"/>
      <c r="O828" s="559"/>
    </row>
    <row r="829" spans="1:15" s="540" customFormat="1" ht="14.25" customHeight="1">
      <c r="A829" s="1536">
        <v>305</v>
      </c>
      <c r="B829" s="1537"/>
      <c r="C829" s="1538"/>
      <c r="D829" s="1539" t="s">
        <v>1199</v>
      </c>
      <c r="E829" s="166" t="s">
        <v>15</v>
      </c>
      <c r="F829" s="166"/>
      <c r="G829" s="1540"/>
      <c r="H829" s="1466">
        <v>524139.33600000001</v>
      </c>
      <c r="I829" s="1466">
        <v>524139.33600000001</v>
      </c>
      <c r="J829" s="1466">
        <f t="shared" si="28"/>
        <v>1048278.672</v>
      </c>
      <c r="K829" s="1466"/>
      <c r="L829" s="1540"/>
      <c r="M829" s="1540">
        <f t="shared" si="29"/>
        <v>1048278.672</v>
      </c>
      <c r="N829" s="1539"/>
      <c r="O829" s="559"/>
    </row>
    <row r="830" spans="1:15" s="540" customFormat="1" ht="14.25" customHeight="1">
      <c r="A830" s="1547">
        <v>306</v>
      </c>
      <c r="B830" s="1537"/>
      <c r="C830" s="1538"/>
      <c r="D830" s="1539" t="s">
        <v>567</v>
      </c>
      <c r="E830" s="166" t="s">
        <v>15</v>
      </c>
      <c r="F830" s="166"/>
      <c r="G830" s="1540"/>
      <c r="H830" s="1466">
        <v>554373.09900000005</v>
      </c>
      <c r="I830" s="1466">
        <v>554373.09900000005</v>
      </c>
      <c r="J830" s="1466">
        <f t="shared" si="28"/>
        <v>1108746.1980000001</v>
      </c>
      <c r="K830" s="1466"/>
      <c r="L830" s="1540"/>
      <c r="M830" s="1540">
        <f t="shared" si="29"/>
        <v>1108746.1980000001</v>
      </c>
      <c r="N830" s="1539"/>
      <c r="O830" s="559"/>
    </row>
    <row r="831" spans="1:15" s="540" customFormat="1" ht="14.25" customHeight="1">
      <c r="A831" s="1547">
        <v>307</v>
      </c>
      <c r="B831" s="1537"/>
      <c r="C831" s="1538"/>
      <c r="D831" s="1539" t="s">
        <v>1170</v>
      </c>
      <c r="E831" s="166" t="s">
        <v>15</v>
      </c>
      <c r="F831" s="166"/>
      <c r="G831" s="1540"/>
      <c r="H831" s="1466">
        <v>554373.09900000005</v>
      </c>
      <c r="I831" s="1466">
        <v>332203.92600005202</v>
      </c>
      <c r="J831" s="1466">
        <f t="shared" si="28"/>
        <v>886577.02500005194</v>
      </c>
      <c r="K831" s="1466"/>
      <c r="L831" s="1540"/>
      <c r="M831" s="1540">
        <f t="shared" si="29"/>
        <v>886577.02500005194</v>
      </c>
      <c r="N831" s="1539"/>
      <c r="O831" s="559"/>
    </row>
    <row r="832" spans="1:15" s="540" customFormat="1" ht="14.25" customHeight="1">
      <c r="A832" s="1536">
        <v>308</v>
      </c>
      <c r="B832" s="1537"/>
      <c r="C832" s="1538"/>
      <c r="D832" s="1539" t="s">
        <v>165</v>
      </c>
      <c r="E832" s="166" t="s">
        <v>15</v>
      </c>
      <c r="F832" s="166"/>
      <c r="G832" s="1540"/>
      <c r="H832" s="1466">
        <v>614840.625</v>
      </c>
      <c r="I832" s="1466">
        <v>554373.09900000005</v>
      </c>
      <c r="J832" s="1466">
        <f t="shared" si="28"/>
        <v>1169213.7239999999</v>
      </c>
      <c r="K832" s="1466"/>
      <c r="L832" s="1540"/>
      <c r="M832" s="1540">
        <f t="shared" si="29"/>
        <v>1169213.7239999999</v>
      </c>
      <c r="N832" s="1539"/>
      <c r="O832" s="559"/>
    </row>
    <row r="833" spans="1:15" s="540" customFormat="1" ht="14.25" customHeight="1">
      <c r="A833" s="1547">
        <v>309</v>
      </c>
      <c r="B833" s="1537"/>
      <c r="C833" s="1538"/>
      <c r="D833" s="1539" t="s">
        <v>1171</v>
      </c>
      <c r="E833" s="166" t="s">
        <v>15</v>
      </c>
      <c r="F833" s="166"/>
      <c r="G833" s="1540"/>
      <c r="H833" s="1466">
        <v>614840.625</v>
      </c>
      <c r="I833" s="1466">
        <v>554373.09900000005</v>
      </c>
      <c r="J833" s="1466">
        <f t="shared" si="28"/>
        <v>1169213.7239999999</v>
      </c>
      <c r="K833" s="1466"/>
      <c r="L833" s="1540"/>
      <c r="M833" s="1540">
        <f t="shared" si="29"/>
        <v>1169213.7239999999</v>
      </c>
      <c r="N833" s="1539"/>
      <c r="O833" s="559"/>
    </row>
    <row r="834" spans="1:15" s="540" customFormat="1" ht="14.25" customHeight="1">
      <c r="A834" s="1547">
        <v>310</v>
      </c>
      <c r="B834" s="1537"/>
      <c r="C834" s="1538"/>
      <c r="D834" s="1539" t="s">
        <v>155</v>
      </c>
      <c r="E834" s="166" t="s">
        <v>15</v>
      </c>
      <c r="F834" s="166"/>
      <c r="G834" s="1466">
        <v>635040.18900000001</v>
      </c>
      <c r="H834" s="1466">
        <v>635040.18900000001</v>
      </c>
      <c r="I834" s="1466"/>
      <c r="J834" s="1466">
        <f t="shared" si="28"/>
        <v>1270080.378</v>
      </c>
      <c r="K834" s="1466"/>
      <c r="L834" s="1540"/>
      <c r="M834" s="1540">
        <f t="shared" si="29"/>
        <v>1270080.378</v>
      </c>
      <c r="N834" s="1539"/>
      <c r="O834" s="559"/>
    </row>
    <row r="835" spans="1:15" s="540" customFormat="1" ht="14.25" customHeight="1">
      <c r="A835" s="1536">
        <v>311</v>
      </c>
      <c r="B835" s="1537"/>
      <c r="C835" s="1538"/>
      <c r="D835" s="1539" t="s">
        <v>1172</v>
      </c>
      <c r="E835" s="166" t="s">
        <v>15</v>
      </c>
      <c r="F835" s="166"/>
      <c r="G835" s="1466">
        <v>544338.9</v>
      </c>
      <c r="H835" s="1466">
        <v>544338.9</v>
      </c>
      <c r="I835" s="1466"/>
      <c r="J835" s="1466">
        <f t="shared" si="28"/>
        <v>1088677.8</v>
      </c>
      <c r="K835" s="1466"/>
      <c r="L835" s="1540"/>
      <c r="M835" s="1540">
        <f t="shared" si="29"/>
        <v>1088677.8</v>
      </c>
      <c r="N835" s="1539"/>
      <c r="O835" s="559"/>
    </row>
    <row r="836" spans="1:15" s="540" customFormat="1" ht="14.25" customHeight="1">
      <c r="A836" s="1547">
        <v>312</v>
      </c>
      <c r="B836" s="1537"/>
      <c r="C836" s="1538"/>
      <c r="D836" s="1539" t="s">
        <v>1173</v>
      </c>
      <c r="E836" s="166" t="s">
        <v>15</v>
      </c>
      <c r="F836" s="166"/>
      <c r="G836" s="1466">
        <v>574572.66299999994</v>
      </c>
      <c r="H836" s="1466">
        <v>574572.66299999994</v>
      </c>
      <c r="I836" s="1466"/>
      <c r="J836" s="1466">
        <f t="shared" si="28"/>
        <v>1149145.3259999999</v>
      </c>
      <c r="K836" s="1466"/>
      <c r="L836" s="1540"/>
      <c r="M836" s="1540">
        <f t="shared" si="29"/>
        <v>1149145.3259999999</v>
      </c>
      <c r="N836" s="1539"/>
      <c r="O836" s="559"/>
    </row>
    <row r="837" spans="1:15" s="540" customFormat="1" ht="14.25" customHeight="1">
      <c r="A837" s="1547">
        <v>313</v>
      </c>
      <c r="B837" s="1537"/>
      <c r="C837" s="1538"/>
      <c r="D837" s="1539" t="s">
        <v>1200</v>
      </c>
      <c r="E837" s="166" t="s">
        <v>15</v>
      </c>
      <c r="F837" s="166"/>
      <c r="G837" s="1466">
        <v>604806.42599999998</v>
      </c>
      <c r="H837" s="1466">
        <v>604806.42599999998</v>
      </c>
      <c r="I837" s="1466"/>
      <c r="J837" s="1466">
        <f t="shared" si="28"/>
        <v>1209612.852</v>
      </c>
      <c r="K837" s="1466"/>
      <c r="L837" s="1540"/>
      <c r="M837" s="1540">
        <f t="shared" si="29"/>
        <v>1209612.852</v>
      </c>
      <c r="N837" s="1539"/>
      <c r="O837" s="559"/>
    </row>
    <row r="838" spans="1:15" s="540" customFormat="1" ht="14.25" customHeight="1">
      <c r="A838" s="1536">
        <v>314</v>
      </c>
      <c r="B838" s="1537"/>
      <c r="C838" s="1538"/>
      <c r="D838" s="1539" t="s">
        <v>150</v>
      </c>
      <c r="E838" s="166" t="s">
        <v>15</v>
      </c>
      <c r="F838" s="166"/>
      <c r="G838" s="1466">
        <v>584606.86199999996</v>
      </c>
      <c r="H838" s="1466">
        <v>584606.86199999996</v>
      </c>
      <c r="I838" s="1466"/>
      <c r="J838" s="1466">
        <f t="shared" si="28"/>
        <v>1169213.7239999999</v>
      </c>
      <c r="K838" s="1466"/>
      <c r="L838" s="1540"/>
      <c r="M838" s="1540">
        <f t="shared" si="29"/>
        <v>1169213.7239999999</v>
      </c>
      <c r="N838" s="1539"/>
      <c r="O838" s="559"/>
    </row>
    <row r="839" spans="1:15" s="540" customFormat="1" ht="14.25" customHeight="1">
      <c r="A839" s="1547">
        <v>315</v>
      </c>
      <c r="B839" s="1537"/>
      <c r="C839" s="1538"/>
      <c r="D839" s="1539" t="s">
        <v>1201</v>
      </c>
      <c r="E839" s="166" t="s">
        <v>15</v>
      </c>
      <c r="F839" s="166"/>
      <c r="G839" s="1466">
        <v>635040.18900000001</v>
      </c>
      <c r="H839" s="1466">
        <v>635040.18900000001</v>
      </c>
      <c r="I839" s="1466"/>
      <c r="J839" s="1466">
        <f t="shared" si="28"/>
        <v>1270080.378</v>
      </c>
      <c r="K839" s="1466"/>
      <c r="L839" s="1540"/>
      <c r="M839" s="1540">
        <f t="shared" si="29"/>
        <v>1270080.378</v>
      </c>
      <c r="N839" s="1539"/>
      <c r="O839" s="559"/>
    </row>
    <row r="840" spans="1:15" s="540" customFormat="1" ht="14.25" customHeight="1">
      <c r="A840" s="1547">
        <v>316</v>
      </c>
      <c r="B840" s="1537"/>
      <c r="C840" s="1538"/>
      <c r="D840" s="1539" t="s">
        <v>195</v>
      </c>
      <c r="E840" s="166" t="s">
        <v>15</v>
      </c>
      <c r="F840" s="166"/>
      <c r="G840" s="1466">
        <v>524139.33600000001</v>
      </c>
      <c r="H840" s="1466">
        <v>524139.33600000001</v>
      </c>
      <c r="I840" s="1466"/>
      <c r="J840" s="1466">
        <f t="shared" si="28"/>
        <v>1048278.672</v>
      </c>
      <c r="K840" s="1466"/>
      <c r="L840" s="1540"/>
      <c r="M840" s="1540">
        <f t="shared" si="29"/>
        <v>1048278.672</v>
      </c>
      <c r="N840" s="1539"/>
      <c r="O840" s="559"/>
    </row>
    <row r="841" spans="1:15" s="540" customFormat="1" ht="14.25" customHeight="1">
      <c r="A841" s="1536">
        <v>317</v>
      </c>
      <c r="B841" s="1537"/>
      <c r="C841" s="1538"/>
      <c r="D841" s="1539" t="s">
        <v>1174</v>
      </c>
      <c r="E841" s="166" t="s">
        <v>15</v>
      </c>
      <c r="F841" s="166"/>
      <c r="G841" s="1466">
        <v>554373.09900000005</v>
      </c>
      <c r="H841" s="1466">
        <v>554373.09900000005</v>
      </c>
      <c r="I841" s="1466"/>
      <c r="J841" s="1466">
        <f t="shared" si="28"/>
        <v>1108746.1980000001</v>
      </c>
      <c r="K841" s="1466"/>
      <c r="L841" s="1540"/>
      <c r="M841" s="1540">
        <f t="shared" si="29"/>
        <v>1108746.1980000001</v>
      </c>
      <c r="N841" s="1539"/>
      <c r="O841" s="559"/>
    </row>
    <row r="842" spans="1:15" s="540" customFormat="1" ht="14.25" customHeight="1">
      <c r="A842" s="1547">
        <v>318</v>
      </c>
      <c r="B842" s="1537"/>
      <c r="C842" s="1538"/>
      <c r="D842" s="1539" t="s">
        <v>1175</v>
      </c>
      <c r="E842" s="166" t="s">
        <v>15</v>
      </c>
      <c r="F842" s="166"/>
      <c r="G842" s="1466">
        <v>554373.09900000005</v>
      </c>
      <c r="H842" s="1466">
        <v>554373.09900000005</v>
      </c>
      <c r="I842" s="1466"/>
      <c r="J842" s="1466">
        <f t="shared" si="28"/>
        <v>1108746.1980000001</v>
      </c>
      <c r="K842" s="1466"/>
      <c r="L842" s="1540"/>
      <c r="M842" s="1540">
        <f t="shared" si="29"/>
        <v>1108746.1980000001</v>
      </c>
      <c r="N842" s="1539"/>
      <c r="O842" s="559"/>
    </row>
    <row r="843" spans="1:15" s="540" customFormat="1" ht="14.25" customHeight="1">
      <c r="A843" s="1547">
        <v>319</v>
      </c>
      <c r="B843" s="1537"/>
      <c r="C843" s="1538"/>
      <c r="D843" s="1539" t="s">
        <v>1176</v>
      </c>
      <c r="E843" s="166" t="s">
        <v>15</v>
      </c>
      <c r="F843" s="166"/>
      <c r="G843" s="1466">
        <v>614840.625</v>
      </c>
      <c r="H843" s="1466">
        <v>554373.09900000005</v>
      </c>
      <c r="I843" s="1466"/>
      <c r="J843" s="1466">
        <f t="shared" si="28"/>
        <v>1169213.7239999999</v>
      </c>
      <c r="K843" s="1466"/>
      <c r="L843" s="1540"/>
      <c r="M843" s="1540">
        <f t="shared" si="29"/>
        <v>1169213.7239999999</v>
      </c>
      <c r="N843" s="1539"/>
      <c r="O843" s="559"/>
    </row>
    <row r="844" spans="1:15" s="540" customFormat="1" ht="14.25" customHeight="1">
      <c r="A844" s="1536">
        <v>320</v>
      </c>
      <c r="B844" s="1537"/>
      <c r="C844" s="1538"/>
      <c r="D844" s="1539" t="s">
        <v>1202</v>
      </c>
      <c r="E844" s="166" t="s">
        <v>15</v>
      </c>
      <c r="F844" s="166"/>
      <c r="G844" s="1466">
        <v>614840.625</v>
      </c>
      <c r="H844" s="1466">
        <v>554373.09900000005</v>
      </c>
      <c r="I844" s="1466"/>
      <c r="J844" s="1466">
        <f t="shared" si="28"/>
        <v>1169213.7239999999</v>
      </c>
      <c r="K844" s="1466"/>
      <c r="L844" s="1540"/>
      <c r="M844" s="1540">
        <f t="shared" si="29"/>
        <v>1169213.7239999999</v>
      </c>
      <c r="N844" s="1539"/>
      <c r="O844" s="559"/>
    </row>
    <row r="845" spans="1:15" s="540" customFormat="1" ht="14.25" customHeight="1">
      <c r="A845" s="1547">
        <v>321</v>
      </c>
      <c r="B845" s="1537"/>
      <c r="C845" s="1538"/>
      <c r="D845" s="1539" t="s">
        <v>185</v>
      </c>
      <c r="E845" s="166" t="s">
        <v>15</v>
      </c>
      <c r="F845" s="166"/>
      <c r="G845" s="1466">
        <v>635040.18900000001</v>
      </c>
      <c r="H845" s="1466">
        <v>635040.18900000001</v>
      </c>
      <c r="I845" s="1466"/>
      <c r="J845" s="1466">
        <f t="shared" si="28"/>
        <v>1270080.378</v>
      </c>
      <c r="K845" s="1466"/>
      <c r="L845" s="1540"/>
      <c r="M845" s="1540">
        <f t="shared" si="29"/>
        <v>1270080.378</v>
      </c>
      <c r="N845" s="1539"/>
      <c r="O845" s="559"/>
    </row>
    <row r="846" spans="1:15" s="540" customFormat="1" ht="14.25" customHeight="1">
      <c r="A846" s="1547">
        <v>322</v>
      </c>
      <c r="B846" s="1537"/>
      <c r="C846" s="1538"/>
      <c r="D846" s="1539" t="s">
        <v>1177</v>
      </c>
      <c r="E846" s="166" t="s">
        <v>15</v>
      </c>
      <c r="F846" s="166"/>
      <c r="G846" s="1466">
        <v>544338.9</v>
      </c>
      <c r="H846" s="1466">
        <v>544338.9</v>
      </c>
      <c r="I846" s="1466"/>
      <c r="J846" s="1466">
        <f t="shared" si="28"/>
        <v>1088677.8</v>
      </c>
      <c r="K846" s="1466"/>
      <c r="L846" s="1540"/>
      <c r="M846" s="1540">
        <f t="shared" si="29"/>
        <v>1088677.8</v>
      </c>
      <c r="N846" s="1539"/>
      <c r="O846" s="559"/>
    </row>
    <row r="847" spans="1:15" s="540" customFormat="1" ht="14.25" customHeight="1">
      <c r="A847" s="1536">
        <v>323</v>
      </c>
      <c r="B847" s="1537"/>
      <c r="C847" s="1538"/>
      <c r="D847" s="1539" t="s">
        <v>1178</v>
      </c>
      <c r="E847" s="166" t="s">
        <v>15</v>
      </c>
      <c r="F847" s="166"/>
      <c r="G847" s="1466">
        <v>574572.66299999994</v>
      </c>
      <c r="H847" s="1466">
        <v>574572.66299999994</v>
      </c>
      <c r="I847" s="1466"/>
      <c r="J847" s="1466">
        <f t="shared" si="28"/>
        <v>1149145.3259999999</v>
      </c>
      <c r="K847" s="1466"/>
      <c r="L847" s="1540"/>
      <c r="M847" s="1540">
        <f t="shared" si="29"/>
        <v>1149145.3259999999</v>
      </c>
      <c r="N847" s="1539"/>
      <c r="O847" s="559"/>
    </row>
    <row r="848" spans="1:15" s="540" customFormat="1" ht="14.25" customHeight="1">
      <c r="A848" s="1547">
        <v>324</v>
      </c>
      <c r="B848" s="1537"/>
      <c r="C848" s="1538"/>
      <c r="D848" s="1539" t="s">
        <v>504</v>
      </c>
      <c r="E848" s="166" t="s">
        <v>15</v>
      </c>
      <c r="F848" s="166"/>
      <c r="G848" s="1466">
        <v>604806.42599999998</v>
      </c>
      <c r="H848" s="1466">
        <v>604806.42599999998</v>
      </c>
      <c r="I848" s="1466"/>
      <c r="J848" s="1466">
        <f t="shared" si="28"/>
        <v>1209612.852</v>
      </c>
      <c r="K848" s="1466"/>
      <c r="L848" s="1540"/>
      <c r="M848" s="1540">
        <f t="shared" si="29"/>
        <v>1209612.852</v>
      </c>
      <c r="N848" s="1539"/>
      <c r="O848" s="559"/>
    </row>
    <row r="849" spans="1:15" s="540" customFormat="1" ht="14.25" customHeight="1">
      <c r="A849" s="1547">
        <v>325</v>
      </c>
      <c r="B849" s="1537"/>
      <c r="C849" s="1538"/>
      <c r="D849" s="1539" t="s">
        <v>185</v>
      </c>
      <c r="E849" s="166" t="s">
        <v>15</v>
      </c>
      <c r="F849" s="166"/>
      <c r="G849" s="1466">
        <v>584606.86199999996</v>
      </c>
      <c r="H849" s="1466">
        <v>584606.86199999996</v>
      </c>
      <c r="I849" s="1466"/>
      <c r="J849" s="1466">
        <f t="shared" si="28"/>
        <v>1169213.7239999999</v>
      </c>
      <c r="K849" s="1466"/>
      <c r="L849" s="1540"/>
      <c r="M849" s="1540">
        <f t="shared" si="29"/>
        <v>1169213.7239999999</v>
      </c>
      <c r="N849" s="1539"/>
      <c r="O849" s="559"/>
    </row>
    <row r="850" spans="1:15" s="540" customFormat="1" ht="14.25" customHeight="1">
      <c r="A850" s="1536">
        <v>326</v>
      </c>
      <c r="B850" s="1537"/>
      <c r="C850" s="1538"/>
      <c r="D850" s="1539" t="s">
        <v>972</v>
      </c>
      <c r="E850" s="166" t="s">
        <v>15</v>
      </c>
      <c r="F850" s="166"/>
      <c r="G850" s="1466">
        <v>635040.18900000001</v>
      </c>
      <c r="H850" s="1466">
        <v>635040.18900000001</v>
      </c>
      <c r="I850" s="1466"/>
      <c r="J850" s="1466">
        <f t="shared" si="28"/>
        <v>1270080.378</v>
      </c>
      <c r="K850" s="1466"/>
      <c r="L850" s="1540"/>
      <c r="M850" s="1540">
        <f t="shared" si="29"/>
        <v>1270080.378</v>
      </c>
      <c r="N850" s="1539"/>
      <c r="O850" s="559"/>
    </row>
    <row r="851" spans="1:15" s="540" customFormat="1" ht="14.25" customHeight="1">
      <c r="A851" s="1547">
        <v>327</v>
      </c>
      <c r="B851" s="1537"/>
      <c r="C851" s="1538"/>
      <c r="D851" s="1539" t="s">
        <v>189</v>
      </c>
      <c r="E851" s="166" t="s">
        <v>15</v>
      </c>
      <c r="F851" s="166"/>
      <c r="G851" s="1466">
        <v>524139.33600000001</v>
      </c>
      <c r="H851" s="1466">
        <v>524139.33600000001</v>
      </c>
      <c r="I851" s="1466"/>
      <c r="J851" s="1466">
        <f t="shared" si="28"/>
        <v>1048278.672</v>
      </c>
      <c r="K851" s="1466"/>
      <c r="L851" s="1540"/>
      <c r="M851" s="1540">
        <f t="shared" si="29"/>
        <v>1048278.672</v>
      </c>
      <c r="N851" s="1539"/>
      <c r="O851" s="559"/>
    </row>
    <row r="852" spans="1:15" s="540" customFormat="1" ht="14.25" customHeight="1">
      <c r="A852" s="1547">
        <v>328</v>
      </c>
      <c r="B852" s="1537"/>
      <c r="C852" s="1538"/>
      <c r="D852" s="1539" t="s">
        <v>41</v>
      </c>
      <c r="E852" s="166" t="s">
        <v>15</v>
      </c>
      <c r="F852" s="166"/>
      <c r="G852" s="1466">
        <v>554373.09900000005</v>
      </c>
      <c r="H852" s="1466">
        <v>554373.09900000005</v>
      </c>
      <c r="I852" s="1466"/>
      <c r="J852" s="1466">
        <f t="shared" si="28"/>
        <v>1108746.1980000001</v>
      </c>
      <c r="K852" s="1466"/>
      <c r="L852" s="1540"/>
      <c r="M852" s="1540">
        <f t="shared" si="29"/>
        <v>1108746.1980000001</v>
      </c>
      <c r="N852" s="1539"/>
      <c r="O852" s="559"/>
    </row>
    <row r="853" spans="1:15" s="540" customFormat="1" ht="14.25" customHeight="1">
      <c r="A853" s="1536">
        <v>329</v>
      </c>
      <c r="B853" s="1537"/>
      <c r="C853" s="1538"/>
      <c r="D853" s="1539" t="s">
        <v>1077</v>
      </c>
      <c r="E853" s="166" t="s">
        <v>15</v>
      </c>
      <c r="F853" s="166"/>
      <c r="G853" s="1466">
        <v>554373.09900000005</v>
      </c>
      <c r="H853" s="1466">
        <v>554373.09900000005</v>
      </c>
      <c r="I853" s="1466"/>
      <c r="J853" s="1466">
        <f t="shared" si="28"/>
        <v>1108746.1980000001</v>
      </c>
      <c r="K853" s="1466"/>
      <c r="L853" s="1540"/>
      <c r="M853" s="1540">
        <f t="shared" si="29"/>
        <v>1108746.1980000001</v>
      </c>
      <c r="N853" s="1539"/>
      <c r="O853" s="559"/>
    </row>
    <row r="854" spans="1:15" s="540" customFormat="1" ht="14.25" customHeight="1">
      <c r="A854" s="1547">
        <v>330</v>
      </c>
      <c r="B854" s="1537"/>
      <c r="C854" s="1538"/>
      <c r="D854" s="1539" t="s">
        <v>1179</v>
      </c>
      <c r="E854" s="166" t="s">
        <v>15</v>
      </c>
      <c r="F854" s="166"/>
      <c r="G854" s="1466">
        <v>614840.625</v>
      </c>
      <c r="H854" s="1466">
        <v>554373.09900000005</v>
      </c>
      <c r="I854" s="1466"/>
      <c r="J854" s="1466">
        <f t="shared" si="28"/>
        <v>1169213.7239999999</v>
      </c>
      <c r="K854" s="1466"/>
      <c r="L854" s="1540"/>
      <c r="M854" s="1540">
        <f t="shared" si="29"/>
        <v>1169213.7239999999</v>
      </c>
      <c r="N854" s="1539"/>
      <c r="O854" s="559"/>
    </row>
    <row r="855" spans="1:15" s="540" customFormat="1" ht="14.25" customHeight="1">
      <c r="A855" s="1547">
        <v>331</v>
      </c>
      <c r="B855" s="1537"/>
      <c r="C855" s="1538"/>
      <c r="D855" s="1539" t="s">
        <v>126</v>
      </c>
      <c r="E855" s="166" t="s">
        <v>15</v>
      </c>
      <c r="F855" s="166"/>
      <c r="G855" s="1466">
        <v>614840.625</v>
      </c>
      <c r="H855" s="1466">
        <v>554373.09900000005</v>
      </c>
      <c r="I855" s="1466"/>
      <c r="J855" s="1466">
        <f t="shared" si="28"/>
        <v>1169213.7239999999</v>
      </c>
      <c r="K855" s="1466"/>
      <c r="L855" s="1540"/>
      <c r="M855" s="1540">
        <f t="shared" si="29"/>
        <v>1169213.7239999999</v>
      </c>
      <c r="N855" s="1539"/>
      <c r="O855" s="559"/>
    </row>
    <row r="856" spans="1:15" s="540" customFormat="1" ht="14.25" customHeight="1">
      <c r="A856" s="1536">
        <v>332</v>
      </c>
      <c r="B856" s="1537"/>
      <c r="C856" s="1538"/>
      <c r="D856" s="1539" t="s">
        <v>1180</v>
      </c>
      <c r="E856" s="166" t="s">
        <v>15</v>
      </c>
      <c r="F856" s="166"/>
      <c r="G856" s="1466">
        <v>635040.18900000001</v>
      </c>
      <c r="H856" s="1466">
        <v>635040.18900000001</v>
      </c>
      <c r="I856" s="1466"/>
      <c r="J856" s="1466">
        <f t="shared" si="28"/>
        <v>1270080.378</v>
      </c>
      <c r="K856" s="1466"/>
      <c r="L856" s="1540"/>
      <c r="M856" s="1540">
        <f t="shared" si="29"/>
        <v>1270080.378</v>
      </c>
      <c r="N856" s="1539"/>
      <c r="O856" s="559"/>
    </row>
    <row r="857" spans="1:15" s="540" customFormat="1" ht="14.25" customHeight="1">
      <c r="A857" s="1547">
        <v>333</v>
      </c>
      <c r="B857" s="1537"/>
      <c r="C857" s="1538"/>
      <c r="D857" s="1539" t="s">
        <v>1203</v>
      </c>
      <c r="E857" s="166" t="s">
        <v>15</v>
      </c>
      <c r="F857" s="166"/>
      <c r="G857" s="1466">
        <v>544338.9</v>
      </c>
      <c r="H857" s="1466">
        <v>544338.9</v>
      </c>
      <c r="I857" s="1466"/>
      <c r="J857" s="1466">
        <f t="shared" si="28"/>
        <v>1088677.8</v>
      </c>
      <c r="K857" s="1466"/>
      <c r="L857" s="1540"/>
      <c r="M857" s="1540">
        <f t="shared" si="29"/>
        <v>1088677.8</v>
      </c>
      <c r="N857" s="1539"/>
      <c r="O857" s="559"/>
    </row>
    <row r="858" spans="1:15" s="540" customFormat="1" ht="14.25" customHeight="1">
      <c r="A858" s="1547">
        <v>334</v>
      </c>
      <c r="B858" s="1537"/>
      <c r="C858" s="1538"/>
      <c r="D858" s="1539" t="s">
        <v>312</v>
      </c>
      <c r="E858" s="166" t="s">
        <v>15</v>
      </c>
      <c r="F858" s="166"/>
      <c r="G858" s="1466">
        <v>574572.66299999994</v>
      </c>
      <c r="H858" s="1466">
        <v>574572.66299999994</v>
      </c>
      <c r="I858" s="1466"/>
      <c r="J858" s="1466">
        <f t="shared" si="28"/>
        <v>1149145.3259999999</v>
      </c>
      <c r="K858" s="1466"/>
      <c r="L858" s="1540"/>
      <c r="M858" s="1540">
        <f t="shared" si="29"/>
        <v>1149145.3259999999</v>
      </c>
      <c r="N858" s="1539"/>
      <c r="O858" s="559"/>
    </row>
    <row r="859" spans="1:15" s="540" customFormat="1" ht="14.25" customHeight="1">
      <c r="A859" s="1536">
        <v>335</v>
      </c>
      <c r="B859" s="1537"/>
      <c r="C859" s="1538"/>
      <c r="D859" s="1539" t="s">
        <v>1181</v>
      </c>
      <c r="E859" s="166" t="s">
        <v>15</v>
      </c>
      <c r="F859" s="166"/>
      <c r="G859" s="1466">
        <v>604806.42599999998</v>
      </c>
      <c r="H859" s="1466">
        <v>604806.42599999998</v>
      </c>
      <c r="I859" s="1466"/>
      <c r="J859" s="1466">
        <f t="shared" si="28"/>
        <v>1209612.852</v>
      </c>
      <c r="K859" s="1466"/>
      <c r="L859" s="1540"/>
      <c r="M859" s="1540">
        <f t="shared" si="29"/>
        <v>1209612.852</v>
      </c>
      <c r="N859" s="1539"/>
      <c r="O859" s="559"/>
    </row>
    <row r="860" spans="1:15" s="540" customFormat="1" ht="14.25" customHeight="1">
      <c r="A860" s="1547">
        <v>336</v>
      </c>
      <c r="B860" s="1537"/>
      <c r="C860" s="1538"/>
      <c r="D860" s="1539" t="s">
        <v>72</v>
      </c>
      <c r="E860" s="166" t="s">
        <v>15</v>
      </c>
      <c r="F860" s="166"/>
      <c r="G860" s="1466">
        <v>584606.86199999996</v>
      </c>
      <c r="H860" s="1466">
        <v>584606.86199999996</v>
      </c>
      <c r="I860" s="1466"/>
      <c r="J860" s="1466">
        <f t="shared" si="28"/>
        <v>1169213.7239999999</v>
      </c>
      <c r="K860" s="1466"/>
      <c r="L860" s="1540"/>
      <c r="M860" s="1540">
        <f t="shared" si="29"/>
        <v>1169213.7239999999</v>
      </c>
      <c r="N860" s="1539"/>
      <c r="O860" s="559"/>
    </row>
    <row r="861" spans="1:15" s="540" customFormat="1" ht="14.25" customHeight="1">
      <c r="A861" s="1547">
        <v>337</v>
      </c>
      <c r="B861" s="1537"/>
      <c r="C861" s="1538"/>
      <c r="D861" s="1539" t="s">
        <v>199</v>
      </c>
      <c r="E861" s="166" t="s">
        <v>15</v>
      </c>
      <c r="F861" s="166"/>
      <c r="G861" s="1466">
        <v>635040.18900000001</v>
      </c>
      <c r="H861" s="1466">
        <v>635040.18900000001</v>
      </c>
      <c r="I861" s="1466"/>
      <c r="J861" s="1466">
        <f t="shared" si="28"/>
        <v>1270080.378</v>
      </c>
      <c r="K861" s="1466"/>
      <c r="L861" s="1540"/>
      <c r="M861" s="1540">
        <f t="shared" si="29"/>
        <v>1270080.378</v>
      </c>
      <c r="N861" s="1539"/>
      <c r="O861" s="559"/>
    </row>
    <row r="862" spans="1:15" s="540" customFormat="1" ht="14.25" customHeight="1">
      <c r="A862" s="1536">
        <v>338</v>
      </c>
      <c r="B862" s="1537"/>
      <c r="C862" s="1538"/>
      <c r="D862" s="1539" t="s">
        <v>1182</v>
      </c>
      <c r="E862" s="166" t="s">
        <v>15</v>
      </c>
      <c r="F862" s="166"/>
      <c r="G862" s="1466">
        <v>524139.33600000001</v>
      </c>
      <c r="H862" s="1466">
        <v>524139.33600000001</v>
      </c>
      <c r="I862" s="1466"/>
      <c r="J862" s="1466">
        <f t="shared" si="28"/>
        <v>1048278.672</v>
      </c>
      <c r="K862" s="1466"/>
      <c r="L862" s="1540"/>
      <c r="M862" s="1540">
        <f t="shared" si="29"/>
        <v>1048278.672</v>
      </c>
      <c r="N862" s="1539"/>
      <c r="O862" s="559"/>
    </row>
    <row r="863" spans="1:15" s="540" customFormat="1" ht="14.25" customHeight="1">
      <c r="A863" s="1547">
        <v>339</v>
      </c>
      <c r="B863" s="1537"/>
      <c r="C863" s="1538"/>
      <c r="D863" s="1539" t="s">
        <v>1183</v>
      </c>
      <c r="E863" s="166" t="s">
        <v>15</v>
      </c>
      <c r="F863" s="166"/>
      <c r="G863" s="1466">
        <v>554373.09900000005</v>
      </c>
      <c r="H863" s="1466">
        <v>554373.09900000005</v>
      </c>
      <c r="I863" s="1466"/>
      <c r="J863" s="1466">
        <f t="shared" si="28"/>
        <v>1108746.1980000001</v>
      </c>
      <c r="K863" s="1466"/>
      <c r="L863" s="1540"/>
      <c r="M863" s="1540">
        <f t="shared" si="29"/>
        <v>1108746.1980000001</v>
      </c>
      <c r="N863" s="1539"/>
      <c r="O863" s="559"/>
    </row>
    <row r="864" spans="1:15" s="540" customFormat="1" ht="14.25" customHeight="1">
      <c r="A864" s="1547">
        <v>340</v>
      </c>
      <c r="B864" s="1537"/>
      <c r="C864" s="1538"/>
      <c r="D864" s="1539" t="s">
        <v>1184</v>
      </c>
      <c r="E864" s="166" t="s">
        <v>15</v>
      </c>
      <c r="F864" s="166"/>
      <c r="G864" s="1466">
        <v>554373.09900000005</v>
      </c>
      <c r="H864" s="1466">
        <v>554373.09900000005</v>
      </c>
      <c r="I864" s="1466"/>
      <c r="J864" s="1466">
        <f t="shared" si="28"/>
        <v>1108746.1980000001</v>
      </c>
      <c r="K864" s="1466"/>
      <c r="L864" s="1540"/>
      <c r="M864" s="1540">
        <f t="shared" si="29"/>
        <v>1108746.1980000001</v>
      </c>
      <c r="N864" s="1539"/>
      <c r="O864" s="559"/>
    </row>
    <row r="865" spans="1:15" s="540" customFormat="1" ht="14.25" customHeight="1">
      <c r="A865" s="1536">
        <v>341</v>
      </c>
      <c r="B865" s="1537"/>
      <c r="C865" s="1538"/>
      <c r="D865" s="1539" t="s">
        <v>1185</v>
      </c>
      <c r="E865" s="166" t="s">
        <v>15</v>
      </c>
      <c r="F865" s="166"/>
      <c r="G865" s="1466">
        <v>614840.625</v>
      </c>
      <c r="H865" s="1466">
        <v>554373.09900000005</v>
      </c>
      <c r="I865" s="1466"/>
      <c r="J865" s="1466">
        <f t="shared" si="28"/>
        <v>1169213.7239999999</v>
      </c>
      <c r="K865" s="1466"/>
      <c r="L865" s="1540"/>
      <c r="M865" s="1540">
        <f t="shared" si="29"/>
        <v>1169213.7239999999</v>
      </c>
      <c r="N865" s="1539"/>
      <c r="O865" s="559"/>
    </row>
    <row r="866" spans="1:15" s="540" customFormat="1" ht="14.25" customHeight="1">
      <c r="A866" s="1547">
        <v>342</v>
      </c>
      <c r="B866" s="1537"/>
      <c r="C866" s="1538"/>
      <c r="D866" s="1539" t="s">
        <v>1204</v>
      </c>
      <c r="E866" s="166" t="s">
        <v>15</v>
      </c>
      <c r="F866" s="166"/>
      <c r="G866" s="1466">
        <v>614840.625</v>
      </c>
      <c r="H866" s="1466">
        <v>554373.09900000005</v>
      </c>
      <c r="I866" s="1466"/>
      <c r="J866" s="1466">
        <f t="shared" si="28"/>
        <v>1169213.7239999999</v>
      </c>
      <c r="K866" s="1466"/>
      <c r="L866" s="1540"/>
      <c r="M866" s="1540">
        <f t="shared" si="29"/>
        <v>1169213.7239999999</v>
      </c>
      <c r="N866" s="1539"/>
      <c r="O866" s="559"/>
    </row>
    <row r="867" spans="1:15" s="540" customFormat="1" ht="14.25" customHeight="1">
      <c r="A867" s="1547">
        <v>343</v>
      </c>
      <c r="B867" s="1537"/>
      <c r="C867" s="1538"/>
      <c r="D867" s="1539" t="s">
        <v>200</v>
      </c>
      <c r="E867" s="166" t="s">
        <v>15</v>
      </c>
      <c r="F867" s="166"/>
      <c r="G867" s="1466">
        <v>635040.18900000001</v>
      </c>
      <c r="H867" s="1466">
        <v>635040.18900000001</v>
      </c>
      <c r="I867" s="1466"/>
      <c r="J867" s="1466">
        <f t="shared" si="28"/>
        <v>1270080.378</v>
      </c>
      <c r="K867" s="1466"/>
      <c r="L867" s="1540"/>
      <c r="M867" s="1540">
        <f t="shared" si="29"/>
        <v>1270080.378</v>
      </c>
      <c r="N867" s="1539"/>
      <c r="O867" s="559"/>
    </row>
    <row r="868" spans="1:15" s="540" customFormat="1" ht="14.25" customHeight="1">
      <c r="A868" s="1536">
        <v>344</v>
      </c>
      <c r="B868" s="1537"/>
      <c r="C868" s="1538"/>
      <c r="D868" s="1539" t="s">
        <v>1205</v>
      </c>
      <c r="E868" s="166" t="s">
        <v>15</v>
      </c>
      <c r="F868" s="166"/>
      <c r="G868" s="1466">
        <v>544338.9</v>
      </c>
      <c r="H868" s="1466">
        <v>544338.9</v>
      </c>
      <c r="I868" s="1466"/>
      <c r="J868" s="1466">
        <f t="shared" si="28"/>
        <v>1088677.8</v>
      </c>
      <c r="K868" s="1466"/>
      <c r="L868" s="1540"/>
      <c r="M868" s="1540">
        <f t="shared" ref="M868:M930" si="30">J868-L868</f>
        <v>1088677.8</v>
      </c>
      <c r="N868" s="1539"/>
      <c r="O868" s="559"/>
    </row>
    <row r="869" spans="1:15" s="540" customFormat="1" ht="14.25" customHeight="1">
      <c r="A869" s="1547">
        <v>345</v>
      </c>
      <c r="B869" s="1537"/>
      <c r="C869" s="1538"/>
      <c r="D869" s="1539" t="s">
        <v>570</v>
      </c>
      <c r="E869" s="166" t="s">
        <v>15</v>
      </c>
      <c r="F869" s="166"/>
      <c r="G869" s="1466">
        <v>574572.66299999994</v>
      </c>
      <c r="H869" s="1466">
        <v>574572.66299999994</v>
      </c>
      <c r="I869" s="1466"/>
      <c r="J869" s="1466">
        <f t="shared" si="28"/>
        <v>1149145.3259999999</v>
      </c>
      <c r="K869" s="1466"/>
      <c r="L869" s="1540"/>
      <c r="M869" s="1540">
        <f t="shared" si="30"/>
        <v>1149145.3259999999</v>
      </c>
      <c r="N869" s="1539"/>
      <c r="O869" s="559"/>
    </row>
    <row r="870" spans="1:15" s="540" customFormat="1" ht="14.25" customHeight="1">
      <c r="A870" s="1547">
        <v>346</v>
      </c>
      <c r="B870" s="1537"/>
      <c r="C870" s="1538"/>
      <c r="D870" s="1539" t="s">
        <v>1206</v>
      </c>
      <c r="E870" s="166" t="s">
        <v>15</v>
      </c>
      <c r="F870" s="166"/>
      <c r="G870" s="1466">
        <v>604806.42599999998</v>
      </c>
      <c r="H870" s="1466">
        <v>604806.42599999998</v>
      </c>
      <c r="I870" s="1466"/>
      <c r="J870" s="1466">
        <f t="shared" si="28"/>
        <v>1209612.852</v>
      </c>
      <c r="K870" s="1466"/>
      <c r="L870" s="1540"/>
      <c r="M870" s="1540">
        <f t="shared" si="30"/>
        <v>1209612.852</v>
      </c>
      <c r="N870" s="1539"/>
      <c r="O870" s="559"/>
    </row>
    <row r="871" spans="1:15" s="540" customFormat="1" ht="14.25" customHeight="1">
      <c r="A871" s="1536">
        <v>347</v>
      </c>
      <c r="B871" s="1537"/>
      <c r="C871" s="1538"/>
      <c r="D871" s="1539" t="s">
        <v>1207</v>
      </c>
      <c r="E871" s="166" t="s">
        <v>15</v>
      </c>
      <c r="F871" s="166"/>
      <c r="G871" s="1466">
        <v>584606.86199999996</v>
      </c>
      <c r="H871" s="1466">
        <v>584606.86199999996</v>
      </c>
      <c r="I871" s="1466"/>
      <c r="J871" s="1466">
        <f t="shared" si="28"/>
        <v>1169213.7239999999</v>
      </c>
      <c r="K871" s="1466"/>
      <c r="L871" s="1540"/>
      <c r="M871" s="1540">
        <f t="shared" si="30"/>
        <v>1169213.7239999999</v>
      </c>
      <c r="N871" s="1539"/>
      <c r="O871" s="559"/>
    </row>
    <row r="872" spans="1:15" s="540" customFormat="1" ht="14.25" customHeight="1">
      <c r="A872" s="1547">
        <v>348</v>
      </c>
      <c r="B872" s="1537"/>
      <c r="C872" s="1538"/>
      <c r="D872" s="1539" t="s">
        <v>1208</v>
      </c>
      <c r="E872" s="166" t="s">
        <v>15</v>
      </c>
      <c r="F872" s="166"/>
      <c r="G872" s="1466">
        <v>635040.18900000001</v>
      </c>
      <c r="H872" s="1466">
        <v>635040.18900000001</v>
      </c>
      <c r="I872" s="1466"/>
      <c r="J872" s="1466">
        <f t="shared" si="28"/>
        <v>1270080.378</v>
      </c>
      <c r="K872" s="1466"/>
      <c r="L872" s="1540"/>
      <c r="M872" s="1540">
        <f t="shared" si="30"/>
        <v>1270080.378</v>
      </c>
      <c r="N872" s="1539"/>
      <c r="O872" s="559"/>
    </row>
    <row r="873" spans="1:15" s="540" customFormat="1" ht="14.25" customHeight="1">
      <c r="A873" s="1547">
        <v>349</v>
      </c>
      <c r="B873" s="1537"/>
      <c r="C873" s="1538"/>
      <c r="D873" s="1539" t="s">
        <v>1209</v>
      </c>
      <c r="E873" s="166" t="s">
        <v>15</v>
      </c>
      <c r="F873" s="166"/>
      <c r="G873" s="1466">
        <v>524139.33600000001</v>
      </c>
      <c r="H873" s="1466">
        <v>524139.33600000001</v>
      </c>
      <c r="I873" s="1466"/>
      <c r="J873" s="1466">
        <f t="shared" si="28"/>
        <v>1048278.672</v>
      </c>
      <c r="K873" s="1466"/>
      <c r="L873" s="1540"/>
      <c r="M873" s="1540">
        <f t="shared" si="30"/>
        <v>1048278.672</v>
      </c>
      <c r="N873" s="1539"/>
      <c r="O873" s="559"/>
    </row>
    <row r="874" spans="1:15" s="540" customFormat="1" ht="14.25" customHeight="1">
      <c r="A874" s="1536">
        <v>350</v>
      </c>
      <c r="B874" s="1537"/>
      <c r="C874" s="1538"/>
      <c r="D874" s="1539" t="s">
        <v>1210</v>
      </c>
      <c r="E874" s="166" t="s">
        <v>15</v>
      </c>
      <c r="F874" s="166"/>
      <c r="G874" s="1466">
        <v>554373.09900000005</v>
      </c>
      <c r="H874" s="1466">
        <v>554373.09900000005</v>
      </c>
      <c r="I874" s="1466"/>
      <c r="J874" s="1466">
        <f t="shared" si="28"/>
        <v>1108746.1980000001</v>
      </c>
      <c r="K874" s="1466"/>
      <c r="L874" s="1540"/>
      <c r="M874" s="1540">
        <f t="shared" si="30"/>
        <v>1108746.1980000001</v>
      </c>
      <c r="N874" s="1539"/>
      <c r="O874" s="559"/>
    </row>
    <row r="875" spans="1:15" s="540" customFormat="1" ht="14.25" customHeight="1">
      <c r="A875" s="1547">
        <v>351</v>
      </c>
      <c r="B875" s="1537"/>
      <c r="C875" s="1538"/>
      <c r="D875" s="1539" t="s">
        <v>1211</v>
      </c>
      <c r="E875" s="166" t="s">
        <v>15</v>
      </c>
      <c r="F875" s="166"/>
      <c r="G875" s="1466">
        <v>554373.09900000005</v>
      </c>
      <c r="H875" s="1466">
        <v>554373.09900000005</v>
      </c>
      <c r="I875" s="1466"/>
      <c r="J875" s="1466">
        <f t="shared" si="28"/>
        <v>1108746.1980000001</v>
      </c>
      <c r="K875" s="1466"/>
      <c r="L875" s="1540"/>
      <c r="M875" s="1540">
        <f t="shared" si="30"/>
        <v>1108746.1980000001</v>
      </c>
      <c r="N875" s="1539"/>
      <c r="O875" s="559"/>
    </row>
    <row r="876" spans="1:15" s="540" customFormat="1" ht="14.25" customHeight="1">
      <c r="A876" s="1547">
        <v>352</v>
      </c>
      <c r="B876" s="1537"/>
      <c r="C876" s="1538"/>
      <c r="D876" s="1539" t="s">
        <v>1212</v>
      </c>
      <c r="E876" s="166" t="s">
        <v>15</v>
      </c>
      <c r="F876" s="166"/>
      <c r="G876" s="1466">
        <v>614840.625</v>
      </c>
      <c r="H876" s="1466">
        <v>554373.09900000005</v>
      </c>
      <c r="I876" s="1466"/>
      <c r="J876" s="1466">
        <f t="shared" si="28"/>
        <v>1169213.7239999999</v>
      </c>
      <c r="K876" s="1466"/>
      <c r="L876" s="1540"/>
      <c r="M876" s="1540">
        <f t="shared" si="30"/>
        <v>1169213.7239999999</v>
      </c>
      <c r="N876" s="1539"/>
      <c r="O876" s="559"/>
    </row>
    <row r="877" spans="1:15" s="540" customFormat="1" ht="14.25" customHeight="1">
      <c r="A877" s="1536">
        <v>353</v>
      </c>
      <c r="B877" s="1537"/>
      <c r="C877" s="1538"/>
      <c r="D877" s="1539" t="s">
        <v>148</v>
      </c>
      <c r="E877" s="166" t="s">
        <v>15</v>
      </c>
      <c r="F877" s="166"/>
      <c r="G877" s="1466">
        <v>614840.625</v>
      </c>
      <c r="H877" s="1466">
        <v>554373.09900000005</v>
      </c>
      <c r="I877" s="1466"/>
      <c r="J877" s="1466">
        <f t="shared" si="28"/>
        <v>1169213.7239999999</v>
      </c>
      <c r="K877" s="1466"/>
      <c r="L877" s="1540"/>
      <c r="M877" s="1540">
        <f t="shared" si="30"/>
        <v>1169213.7239999999</v>
      </c>
      <c r="N877" s="1539"/>
      <c r="O877" s="559"/>
    </row>
    <row r="878" spans="1:15" s="540" customFormat="1" ht="14.25" customHeight="1">
      <c r="A878" s="1547">
        <v>354</v>
      </c>
      <c r="B878" s="1537"/>
      <c r="C878" s="1538"/>
      <c r="D878" s="1539" t="s">
        <v>1213</v>
      </c>
      <c r="E878" s="166" t="s">
        <v>15</v>
      </c>
      <c r="F878" s="166"/>
      <c r="G878" s="1466">
        <v>635040.18900000001</v>
      </c>
      <c r="H878" s="1466">
        <v>635040.18900000001</v>
      </c>
      <c r="I878" s="1466"/>
      <c r="J878" s="1466">
        <f t="shared" si="28"/>
        <v>1270080.378</v>
      </c>
      <c r="K878" s="1466"/>
      <c r="L878" s="1540"/>
      <c r="M878" s="1540">
        <f t="shared" si="30"/>
        <v>1270080.378</v>
      </c>
      <c r="N878" s="1539"/>
      <c r="O878" s="559"/>
    </row>
    <row r="879" spans="1:15" s="540" customFormat="1" ht="14.25" customHeight="1">
      <c r="A879" s="1547">
        <v>355</v>
      </c>
      <c r="B879" s="1537"/>
      <c r="C879" s="1538"/>
      <c r="D879" s="1539" t="s">
        <v>1214</v>
      </c>
      <c r="E879" s="166" t="s">
        <v>15</v>
      </c>
      <c r="F879" s="166"/>
      <c r="G879" s="1466">
        <v>544338.9</v>
      </c>
      <c r="H879" s="1466">
        <v>544338.9</v>
      </c>
      <c r="I879" s="1466"/>
      <c r="J879" s="1466">
        <f t="shared" si="28"/>
        <v>1088677.8</v>
      </c>
      <c r="K879" s="1466"/>
      <c r="L879" s="1540"/>
      <c r="M879" s="1540">
        <f t="shared" si="30"/>
        <v>1088677.8</v>
      </c>
      <c r="N879" s="1539"/>
      <c r="O879" s="559"/>
    </row>
    <row r="880" spans="1:15" s="540" customFormat="1" ht="14.25" customHeight="1">
      <c r="A880" s="1536">
        <v>356</v>
      </c>
      <c r="B880" s="1537"/>
      <c r="C880" s="1538"/>
      <c r="D880" s="1539" t="s">
        <v>1215</v>
      </c>
      <c r="E880" s="166" t="s">
        <v>15</v>
      </c>
      <c r="F880" s="166"/>
      <c r="G880" s="1466">
        <v>574572.66299999994</v>
      </c>
      <c r="H880" s="1466">
        <v>574572.66299999994</v>
      </c>
      <c r="I880" s="1466"/>
      <c r="J880" s="1466">
        <f t="shared" si="28"/>
        <v>1149145.3259999999</v>
      </c>
      <c r="K880" s="1466"/>
      <c r="L880" s="1540"/>
      <c r="M880" s="1540">
        <f t="shared" si="30"/>
        <v>1149145.3259999999</v>
      </c>
      <c r="N880" s="1539"/>
      <c r="O880" s="559"/>
    </row>
    <row r="881" spans="1:15" s="540" customFormat="1" ht="14.25" customHeight="1">
      <c r="A881" s="1547">
        <v>357</v>
      </c>
      <c r="B881" s="1537"/>
      <c r="C881" s="1538"/>
      <c r="D881" s="1539" t="s">
        <v>545</v>
      </c>
      <c r="E881" s="166" t="s">
        <v>15</v>
      </c>
      <c r="F881" s="166"/>
      <c r="G881" s="1466">
        <v>604806.42599999998</v>
      </c>
      <c r="H881" s="1466">
        <v>604806.42599999998</v>
      </c>
      <c r="I881" s="1466"/>
      <c r="J881" s="1466">
        <f t="shared" si="28"/>
        <v>1209612.852</v>
      </c>
      <c r="K881" s="1466"/>
      <c r="L881" s="1540"/>
      <c r="M881" s="1540">
        <f t="shared" si="30"/>
        <v>1209612.852</v>
      </c>
      <c r="N881" s="1539"/>
      <c r="O881" s="559"/>
    </row>
    <row r="882" spans="1:15" s="540" customFormat="1" ht="14.25" customHeight="1">
      <c r="A882" s="1547">
        <v>358</v>
      </c>
      <c r="B882" s="1537"/>
      <c r="C882" s="1538"/>
      <c r="D882" s="1539" t="s">
        <v>1216</v>
      </c>
      <c r="E882" s="166" t="s">
        <v>15</v>
      </c>
      <c r="F882" s="166"/>
      <c r="G882" s="1466">
        <v>584606.86199999996</v>
      </c>
      <c r="H882" s="1466">
        <v>584606.86199999996</v>
      </c>
      <c r="I882" s="1466"/>
      <c r="J882" s="1466">
        <f t="shared" si="28"/>
        <v>1169213.7239999999</v>
      </c>
      <c r="K882" s="1466"/>
      <c r="L882" s="1540"/>
      <c r="M882" s="1540">
        <f t="shared" si="30"/>
        <v>1169213.7239999999</v>
      </c>
      <c r="N882" s="1539"/>
      <c r="O882" s="559"/>
    </row>
    <row r="883" spans="1:15" s="540" customFormat="1" ht="14.25" customHeight="1">
      <c r="A883" s="1536">
        <v>359</v>
      </c>
      <c r="B883" s="1537"/>
      <c r="C883" s="1538"/>
      <c r="D883" s="1539" t="s">
        <v>141</v>
      </c>
      <c r="E883" s="166" t="s">
        <v>15</v>
      </c>
      <c r="F883" s="166"/>
      <c r="G883" s="1466">
        <v>635040.18900000001</v>
      </c>
      <c r="H883" s="1466">
        <v>635040.18900000001</v>
      </c>
      <c r="I883" s="1466"/>
      <c r="J883" s="1466">
        <f t="shared" ref="J883:J945" si="31">SUM(G883:I883)</f>
        <v>1270080.378</v>
      </c>
      <c r="K883" s="1466"/>
      <c r="L883" s="1540"/>
      <c r="M883" s="1540">
        <f t="shared" si="30"/>
        <v>1270080.378</v>
      </c>
      <c r="N883" s="1539"/>
      <c r="O883" s="559"/>
    </row>
    <row r="884" spans="1:15" s="540" customFormat="1" ht="14.25" customHeight="1">
      <c r="A884" s="1547">
        <v>360</v>
      </c>
      <c r="B884" s="1537"/>
      <c r="C884" s="1538"/>
      <c r="D884" s="1539" t="s">
        <v>546</v>
      </c>
      <c r="E884" s="166" t="s">
        <v>15</v>
      </c>
      <c r="F884" s="166"/>
      <c r="G884" s="1466">
        <v>524139.33600000001</v>
      </c>
      <c r="H884" s="1466">
        <v>524139.33600000001</v>
      </c>
      <c r="I884" s="1466"/>
      <c r="J884" s="1466">
        <f t="shared" si="31"/>
        <v>1048278.672</v>
      </c>
      <c r="K884" s="1466"/>
      <c r="L884" s="1540"/>
      <c r="M884" s="1540">
        <f t="shared" si="30"/>
        <v>1048278.672</v>
      </c>
      <c r="N884" s="1539"/>
      <c r="O884" s="559"/>
    </row>
    <row r="885" spans="1:15" s="540" customFormat="1" ht="14.25" customHeight="1">
      <c r="A885" s="1547">
        <v>361</v>
      </c>
      <c r="B885" s="1537"/>
      <c r="C885" s="1538"/>
      <c r="D885" s="1539" t="s">
        <v>179</v>
      </c>
      <c r="E885" s="166" t="s">
        <v>15</v>
      </c>
      <c r="F885" s="166"/>
      <c r="G885" s="1466">
        <v>554373.09900000005</v>
      </c>
      <c r="H885" s="1466">
        <v>554373.09900000005</v>
      </c>
      <c r="I885" s="1466"/>
      <c r="J885" s="1466">
        <f t="shared" si="31"/>
        <v>1108746.1980000001</v>
      </c>
      <c r="K885" s="1466"/>
      <c r="L885" s="1540"/>
      <c r="M885" s="1540">
        <f t="shared" si="30"/>
        <v>1108746.1980000001</v>
      </c>
      <c r="N885" s="1539"/>
      <c r="O885" s="559"/>
    </row>
    <row r="886" spans="1:15" s="540" customFormat="1" ht="14.25" customHeight="1">
      <c r="A886" s="1536">
        <v>362</v>
      </c>
      <c r="B886" s="1537"/>
      <c r="C886" s="1538"/>
      <c r="D886" s="1539" t="s">
        <v>1217</v>
      </c>
      <c r="E886" s="166" t="s">
        <v>15</v>
      </c>
      <c r="F886" s="166"/>
      <c r="G886" s="1466">
        <v>554373.09900000005</v>
      </c>
      <c r="H886" s="1466">
        <v>554373.09900000005</v>
      </c>
      <c r="I886" s="1466"/>
      <c r="J886" s="1466">
        <f t="shared" si="31"/>
        <v>1108746.1980000001</v>
      </c>
      <c r="K886" s="1466"/>
      <c r="L886" s="1540"/>
      <c r="M886" s="1540">
        <f t="shared" si="30"/>
        <v>1108746.1980000001</v>
      </c>
      <c r="N886" s="1539"/>
      <c r="O886" s="559"/>
    </row>
    <row r="887" spans="1:15" s="540" customFormat="1" ht="14.25" customHeight="1">
      <c r="A887" s="1547">
        <v>363</v>
      </c>
      <c r="B887" s="1537"/>
      <c r="C887" s="1538"/>
      <c r="D887" s="1539" t="s">
        <v>1218</v>
      </c>
      <c r="E887" s="166" t="s">
        <v>15</v>
      </c>
      <c r="F887" s="166"/>
      <c r="G887" s="1466">
        <v>614840.625</v>
      </c>
      <c r="H887" s="1466">
        <v>554373.09900000005</v>
      </c>
      <c r="I887" s="1466"/>
      <c r="J887" s="1466">
        <f t="shared" si="31"/>
        <v>1169213.7239999999</v>
      </c>
      <c r="K887" s="1466"/>
      <c r="L887" s="1540"/>
      <c r="M887" s="1540">
        <f t="shared" si="30"/>
        <v>1169213.7239999999</v>
      </c>
      <c r="N887" s="1539"/>
      <c r="O887" s="559"/>
    </row>
    <row r="888" spans="1:15" s="540" customFormat="1" ht="14.25" customHeight="1">
      <c r="A888" s="1547">
        <v>364</v>
      </c>
      <c r="B888" s="1537"/>
      <c r="C888" s="1538"/>
      <c r="D888" s="1539" t="s">
        <v>1219</v>
      </c>
      <c r="E888" s="166" t="s">
        <v>15</v>
      </c>
      <c r="F888" s="166"/>
      <c r="G888" s="1466">
        <v>614840.625</v>
      </c>
      <c r="H888" s="1466">
        <v>554373.09900000005</v>
      </c>
      <c r="I888" s="1466"/>
      <c r="J888" s="1466">
        <f t="shared" si="31"/>
        <v>1169213.7239999999</v>
      </c>
      <c r="K888" s="1466"/>
      <c r="L888" s="1540"/>
      <c r="M888" s="1540">
        <f t="shared" si="30"/>
        <v>1169213.7239999999</v>
      </c>
      <c r="N888" s="1539"/>
      <c r="O888" s="559"/>
    </row>
    <row r="889" spans="1:15" s="540" customFormat="1" ht="14.25" customHeight="1">
      <c r="A889" s="1536">
        <v>365</v>
      </c>
      <c r="B889" s="1537"/>
      <c r="C889" s="1538"/>
      <c r="D889" s="1539" t="s">
        <v>1220</v>
      </c>
      <c r="E889" s="166" t="s">
        <v>15</v>
      </c>
      <c r="F889" s="166"/>
      <c r="G889" s="1466">
        <v>635040.18900000001</v>
      </c>
      <c r="H889" s="1466">
        <v>635040.18900000001</v>
      </c>
      <c r="I889" s="1466"/>
      <c r="J889" s="1466">
        <f t="shared" si="31"/>
        <v>1270080.378</v>
      </c>
      <c r="K889" s="1466"/>
      <c r="L889" s="1540"/>
      <c r="M889" s="1540">
        <f t="shared" si="30"/>
        <v>1270080.378</v>
      </c>
      <c r="N889" s="1539"/>
      <c r="O889" s="559"/>
    </row>
    <row r="890" spans="1:15" s="540" customFormat="1" ht="14.25" customHeight="1">
      <c r="A890" s="1547">
        <v>366</v>
      </c>
      <c r="B890" s="1537"/>
      <c r="C890" s="1538"/>
      <c r="D890" s="1539" t="s">
        <v>205</v>
      </c>
      <c r="E890" s="166" t="s">
        <v>15</v>
      </c>
      <c r="F890" s="166"/>
      <c r="G890" s="1466">
        <v>544338.9</v>
      </c>
      <c r="H890" s="1466">
        <v>544338.9</v>
      </c>
      <c r="I890" s="1466"/>
      <c r="J890" s="1466">
        <f t="shared" si="31"/>
        <v>1088677.8</v>
      </c>
      <c r="K890" s="1466"/>
      <c r="L890" s="1540"/>
      <c r="M890" s="1540">
        <f t="shared" si="30"/>
        <v>1088677.8</v>
      </c>
      <c r="N890" s="1539"/>
      <c r="O890" s="559"/>
    </row>
    <row r="891" spans="1:15" s="540" customFormat="1" ht="14.25" customHeight="1">
      <c r="A891" s="1547">
        <v>367</v>
      </c>
      <c r="B891" s="1537"/>
      <c r="C891" s="1538"/>
      <c r="D891" s="1539" t="s">
        <v>1221</v>
      </c>
      <c r="E891" s="166" t="s">
        <v>15</v>
      </c>
      <c r="F891" s="166"/>
      <c r="G891" s="1466">
        <v>574572.66299999994</v>
      </c>
      <c r="H891" s="1466">
        <v>574572.66299999994</v>
      </c>
      <c r="I891" s="1466"/>
      <c r="J891" s="1466">
        <f t="shared" si="31"/>
        <v>1149145.3259999999</v>
      </c>
      <c r="K891" s="1466"/>
      <c r="L891" s="1540"/>
      <c r="M891" s="1540">
        <f t="shared" si="30"/>
        <v>1149145.3259999999</v>
      </c>
      <c r="N891" s="1539"/>
      <c r="O891" s="559"/>
    </row>
    <row r="892" spans="1:15" s="540" customFormat="1" ht="14.25" customHeight="1">
      <c r="A892" s="1536">
        <v>368</v>
      </c>
      <c r="B892" s="1537"/>
      <c r="C892" s="1538"/>
      <c r="D892" s="1539" t="s">
        <v>108</v>
      </c>
      <c r="E892" s="166" t="s">
        <v>15</v>
      </c>
      <c r="F892" s="166"/>
      <c r="G892" s="1466">
        <v>604806.42599999998</v>
      </c>
      <c r="H892" s="1466">
        <v>604806.42599999998</v>
      </c>
      <c r="I892" s="1466"/>
      <c r="J892" s="1466">
        <f t="shared" si="31"/>
        <v>1209612.852</v>
      </c>
      <c r="K892" s="1466"/>
      <c r="L892" s="1540"/>
      <c r="M892" s="1540">
        <f t="shared" si="30"/>
        <v>1209612.852</v>
      </c>
      <c r="N892" s="1539"/>
      <c r="O892" s="559"/>
    </row>
    <row r="893" spans="1:15" s="540" customFormat="1" ht="14.25" customHeight="1">
      <c r="A893" s="1547">
        <v>369</v>
      </c>
      <c r="B893" s="1537"/>
      <c r="C893" s="1538"/>
      <c r="D893" s="1539" t="s">
        <v>1222</v>
      </c>
      <c r="E893" s="166" t="s">
        <v>15</v>
      </c>
      <c r="F893" s="166"/>
      <c r="G893" s="1466">
        <v>584606.86199999996</v>
      </c>
      <c r="H893" s="1466">
        <v>584606.86199999996</v>
      </c>
      <c r="I893" s="1466"/>
      <c r="J893" s="1466">
        <f t="shared" si="31"/>
        <v>1169213.7239999999</v>
      </c>
      <c r="K893" s="1466"/>
      <c r="L893" s="1540"/>
      <c r="M893" s="1540">
        <f t="shared" si="30"/>
        <v>1169213.7239999999</v>
      </c>
      <c r="N893" s="1539"/>
      <c r="O893" s="559"/>
    </row>
    <row r="894" spans="1:15" s="540" customFormat="1" ht="14.25" customHeight="1">
      <c r="A894" s="1547">
        <v>370</v>
      </c>
      <c r="B894" s="1537"/>
      <c r="C894" s="1538"/>
      <c r="D894" s="1539" t="s">
        <v>1223</v>
      </c>
      <c r="E894" s="166" t="s">
        <v>15</v>
      </c>
      <c r="F894" s="166"/>
      <c r="G894" s="1466">
        <v>635040.18900000001</v>
      </c>
      <c r="H894" s="1466">
        <v>635040.18900000001</v>
      </c>
      <c r="I894" s="1466"/>
      <c r="J894" s="1466">
        <f t="shared" si="31"/>
        <v>1270080.378</v>
      </c>
      <c r="K894" s="1466"/>
      <c r="L894" s="1540"/>
      <c r="M894" s="1540">
        <f t="shared" si="30"/>
        <v>1270080.378</v>
      </c>
      <c r="N894" s="1539"/>
      <c r="O894" s="559"/>
    </row>
    <row r="895" spans="1:15" s="540" customFormat="1" ht="14.25" customHeight="1">
      <c r="A895" s="1536">
        <v>371</v>
      </c>
      <c r="B895" s="1537"/>
      <c r="C895" s="1538"/>
      <c r="D895" s="1539" t="s">
        <v>1224</v>
      </c>
      <c r="E895" s="166" t="s">
        <v>15</v>
      </c>
      <c r="F895" s="166"/>
      <c r="G895" s="1466">
        <v>524139.33600000001</v>
      </c>
      <c r="H895" s="1466">
        <v>524139.33600000001</v>
      </c>
      <c r="I895" s="1466"/>
      <c r="J895" s="1466">
        <f t="shared" si="31"/>
        <v>1048278.672</v>
      </c>
      <c r="K895" s="1466"/>
      <c r="L895" s="1540"/>
      <c r="M895" s="1540">
        <f t="shared" si="30"/>
        <v>1048278.672</v>
      </c>
      <c r="N895" s="1539"/>
      <c r="O895" s="559"/>
    </row>
    <row r="896" spans="1:15" s="540" customFormat="1" ht="14.25" customHeight="1">
      <c r="A896" s="1547">
        <v>372</v>
      </c>
      <c r="B896" s="1537"/>
      <c r="C896" s="1538"/>
      <c r="D896" s="1539" t="s">
        <v>565</v>
      </c>
      <c r="E896" s="166" t="s">
        <v>15</v>
      </c>
      <c r="F896" s="166"/>
      <c r="G896" s="1466">
        <v>104595.369999945</v>
      </c>
      <c r="H896" s="1466">
        <v>554373.09900000005</v>
      </c>
      <c r="I896" s="1466"/>
      <c r="J896" s="1466">
        <f t="shared" si="31"/>
        <v>658968.46899994498</v>
      </c>
      <c r="K896" s="1466"/>
      <c r="L896" s="1540"/>
      <c r="M896" s="1540">
        <f t="shared" si="30"/>
        <v>658968.46899994498</v>
      </c>
      <c r="N896" s="1539"/>
      <c r="O896" s="559"/>
    </row>
    <row r="897" spans="1:15" s="540" customFormat="1" ht="14.25" customHeight="1">
      <c r="A897" s="1547">
        <v>373</v>
      </c>
      <c r="B897" s="1537"/>
      <c r="C897" s="1538"/>
      <c r="D897" s="1539" t="s">
        <v>1225</v>
      </c>
      <c r="E897" s="166" t="s">
        <v>15</v>
      </c>
      <c r="F897" s="166"/>
      <c r="G897" s="1466"/>
      <c r="H897" s="1466">
        <v>554373.09900000005</v>
      </c>
      <c r="I897" s="1466"/>
      <c r="J897" s="1466">
        <f t="shared" si="31"/>
        <v>554373.09900000005</v>
      </c>
      <c r="K897" s="1466"/>
      <c r="L897" s="1540"/>
      <c r="M897" s="1540">
        <f t="shared" si="30"/>
        <v>554373.09900000005</v>
      </c>
      <c r="N897" s="1539"/>
      <c r="O897" s="559"/>
    </row>
    <row r="898" spans="1:15" s="540" customFormat="1" ht="14.25" customHeight="1">
      <c r="A898" s="1536">
        <v>374</v>
      </c>
      <c r="B898" s="1537"/>
      <c r="C898" s="1538"/>
      <c r="D898" s="1539" t="s">
        <v>166</v>
      </c>
      <c r="E898" s="166" t="s">
        <v>15</v>
      </c>
      <c r="F898" s="166"/>
      <c r="G898" s="1466"/>
      <c r="H898" s="1466">
        <v>554373.09900000005</v>
      </c>
      <c r="I898" s="1466"/>
      <c r="J898" s="1466">
        <f t="shared" si="31"/>
        <v>554373.09900000005</v>
      </c>
      <c r="K898" s="1466"/>
      <c r="L898" s="1540"/>
      <c r="M898" s="1540">
        <f t="shared" si="30"/>
        <v>554373.09900000005</v>
      </c>
      <c r="N898" s="1539"/>
      <c r="O898" s="559"/>
    </row>
    <row r="899" spans="1:15" s="540" customFormat="1" ht="14.25" customHeight="1">
      <c r="A899" s="1547">
        <v>375</v>
      </c>
      <c r="B899" s="1537"/>
      <c r="C899" s="1538"/>
      <c r="D899" s="1539" t="s">
        <v>1226</v>
      </c>
      <c r="E899" s="166" t="s">
        <v>15</v>
      </c>
      <c r="F899" s="166"/>
      <c r="G899" s="1466"/>
      <c r="H899" s="1466">
        <v>554373.09900000005</v>
      </c>
      <c r="I899" s="1466"/>
      <c r="J899" s="1466">
        <f t="shared" si="31"/>
        <v>554373.09900000005</v>
      </c>
      <c r="K899" s="1466"/>
      <c r="L899" s="1540"/>
      <c r="M899" s="1540">
        <f t="shared" si="30"/>
        <v>554373.09900000005</v>
      </c>
      <c r="N899" s="1539"/>
      <c r="O899" s="559"/>
    </row>
    <row r="900" spans="1:15" s="540" customFormat="1" ht="14.25" customHeight="1">
      <c r="A900" s="1547">
        <v>376</v>
      </c>
      <c r="B900" s="1537"/>
      <c r="C900" s="1538"/>
      <c r="D900" s="1539" t="s">
        <v>133</v>
      </c>
      <c r="E900" s="166" t="s">
        <v>15</v>
      </c>
      <c r="F900" s="166"/>
      <c r="G900" s="1466"/>
      <c r="H900" s="1466">
        <v>635040.18900000001</v>
      </c>
      <c r="I900" s="1466"/>
      <c r="J900" s="1466">
        <f t="shared" si="31"/>
        <v>635040.18900000001</v>
      </c>
      <c r="K900" s="1466"/>
      <c r="L900" s="1540"/>
      <c r="M900" s="1540">
        <f t="shared" si="30"/>
        <v>635040.18900000001</v>
      </c>
      <c r="N900" s="1539"/>
      <c r="O900" s="559"/>
    </row>
    <row r="901" spans="1:15" s="540" customFormat="1" ht="14.25" customHeight="1">
      <c r="A901" s="1536">
        <v>377</v>
      </c>
      <c r="B901" s="1537"/>
      <c r="C901" s="1538"/>
      <c r="D901" s="1539" t="s">
        <v>142</v>
      </c>
      <c r="E901" s="166" t="s">
        <v>15</v>
      </c>
      <c r="F901" s="166"/>
      <c r="G901" s="1466"/>
      <c r="H901" s="1540">
        <v>1108746.1980000001</v>
      </c>
      <c r="I901" s="1466"/>
      <c r="J901" s="1466">
        <f t="shared" si="31"/>
        <v>1108746.1980000001</v>
      </c>
      <c r="K901" s="1466"/>
      <c r="L901" s="1540"/>
      <c r="M901" s="1540">
        <f t="shared" si="30"/>
        <v>1108746.1980000001</v>
      </c>
      <c r="N901" s="1539"/>
      <c r="O901" s="559"/>
    </row>
    <row r="902" spans="1:15" s="540" customFormat="1" ht="14.25" customHeight="1">
      <c r="A902" s="1547">
        <v>378</v>
      </c>
      <c r="B902" s="1537"/>
      <c r="C902" s="1538"/>
      <c r="D902" s="1539" t="s">
        <v>546</v>
      </c>
      <c r="E902" s="166" t="s">
        <v>15</v>
      </c>
      <c r="F902" s="166"/>
      <c r="G902" s="1466"/>
      <c r="H902" s="1540">
        <v>1108746.1980000001</v>
      </c>
      <c r="I902" s="1466"/>
      <c r="J902" s="1466">
        <f t="shared" si="31"/>
        <v>1108746.1980000001</v>
      </c>
      <c r="K902" s="1466"/>
      <c r="L902" s="1540"/>
      <c r="M902" s="1540">
        <f t="shared" si="30"/>
        <v>1108746.1980000001</v>
      </c>
      <c r="N902" s="1539"/>
      <c r="O902" s="559"/>
    </row>
    <row r="903" spans="1:15" s="540" customFormat="1" ht="14.25" customHeight="1">
      <c r="A903" s="1547">
        <v>379</v>
      </c>
      <c r="B903" s="1537"/>
      <c r="C903" s="1538"/>
      <c r="D903" s="1539" t="s">
        <v>1227</v>
      </c>
      <c r="E903" s="166" t="s">
        <v>15</v>
      </c>
      <c r="F903" s="166"/>
      <c r="G903" s="1466"/>
      <c r="H903" s="1540">
        <v>1159179.5249999999</v>
      </c>
      <c r="I903" s="1466"/>
      <c r="J903" s="1466">
        <f t="shared" si="31"/>
        <v>1159179.5249999999</v>
      </c>
      <c r="K903" s="1466"/>
      <c r="L903" s="1540"/>
      <c r="M903" s="1540">
        <f t="shared" si="30"/>
        <v>1159179.5249999999</v>
      </c>
      <c r="N903" s="1539"/>
      <c r="O903" s="559"/>
    </row>
    <row r="904" spans="1:15" s="540" customFormat="1" ht="14.25" customHeight="1">
      <c r="A904" s="1536">
        <v>380</v>
      </c>
      <c r="B904" s="1537"/>
      <c r="C904" s="1538"/>
      <c r="D904" s="1539" t="s">
        <v>1228</v>
      </c>
      <c r="E904" s="166" t="s">
        <v>15</v>
      </c>
      <c r="F904" s="166"/>
      <c r="G904" s="1466"/>
      <c r="H904" s="1466">
        <v>1270080.378</v>
      </c>
      <c r="I904" s="1466"/>
      <c r="J904" s="1466">
        <f t="shared" si="31"/>
        <v>1270080.378</v>
      </c>
      <c r="K904" s="1466"/>
      <c r="L904" s="1540"/>
      <c r="M904" s="1540">
        <f t="shared" si="30"/>
        <v>1270080.378</v>
      </c>
      <c r="N904" s="1539"/>
      <c r="O904" s="559"/>
    </row>
    <row r="905" spans="1:15" s="540" customFormat="1" ht="14.25" customHeight="1">
      <c r="A905" s="1547">
        <v>381</v>
      </c>
      <c r="B905" s="1537"/>
      <c r="C905" s="1538"/>
      <c r="D905" s="1539" t="s">
        <v>577</v>
      </c>
      <c r="E905" s="166" t="s">
        <v>15</v>
      </c>
      <c r="F905" s="166"/>
      <c r="G905" s="1466"/>
      <c r="H905" s="1466">
        <v>1159179.5249999999</v>
      </c>
      <c r="I905" s="1466"/>
      <c r="J905" s="1466">
        <f t="shared" si="31"/>
        <v>1159179.5249999999</v>
      </c>
      <c r="K905" s="1466"/>
      <c r="L905" s="1540"/>
      <c r="M905" s="1540">
        <f t="shared" si="30"/>
        <v>1159179.5249999999</v>
      </c>
      <c r="N905" s="1539"/>
      <c r="O905" s="559"/>
    </row>
    <row r="906" spans="1:15" s="540" customFormat="1" ht="14.25" customHeight="1">
      <c r="A906" s="1547">
        <v>382</v>
      </c>
      <c r="B906" s="1537"/>
      <c r="C906" s="1538"/>
      <c r="D906" s="1539" t="s">
        <v>1229</v>
      </c>
      <c r="E906" s="166" t="s">
        <v>15</v>
      </c>
      <c r="F906" s="166"/>
      <c r="G906" s="1466"/>
      <c r="H906" s="1466">
        <v>1270080.378</v>
      </c>
      <c r="I906" s="1466"/>
      <c r="J906" s="1466">
        <f t="shared" si="31"/>
        <v>1270080.378</v>
      </c>
      <c r="K906" s="1466"/>
      <c r="L906" s="1540"/>
      <c r="M906" s="1540">
        <f t="shared" si="30"/>
        <v>1270080.378</v>
      </c>
      <c r="N906" s="1539"/>
      <c r="O906" s="559"/>
    </row>
    <row r="907" spans="1:15" s="540" customFormat="1" ht="14.25" customHeight="1">
      <c r="A907" s="1536">
        <v>383</v>
      </c>
      <c r="B907" s="1537"/>
      <c r="C907" s="1538"/>
      <c r="D907" s="1539" t="s">
        <v>1230</v>
      </c>
      <c r="E907" s="166" t="s">
        <v>15</v>
      </c>
      <c r="F907" s="166"/>
      <c r="G907" s="1466"/>
      <c r="H907" s="1466">
        <v>1159179.5249999999</v>
      </c>
      <c r="I907" s="1466"/>
      <c r="J907" s="1466">
        <f t="shared" si="31"/>
        <v>1159179.5249999999</v>
      </c>
      <c r="K907" s="1466"/>
      <c r="L907" s="1540"/>
      <c r="M907" s="1540">
        <f t="shared" si="30"/>
        <v>1159179.5249999999</v>
      </c>
      <c r="N907" s="1539"/>
      <c r="O907" s="559"/>
    </row>
    <row r="908" spans="1:15" s="540" customFormat="1" ht="14.25" customHeight="1">
      <c r="A908" s="1547">
        <v>384</v>
      </c>
      <c r="B908" s="1537"/>
      <c r="C908" s="1538"/>
      <c r="D908" s="1539" t="s">
        <v>132</v>
      </c>
      <c r="E908" s="166" t="s">
        <v>15</v>
      </c>
      <c r="F908" s="166"/>
      <c r="G908" s="1466"/>
      <c r="H908" s="1540">
        <v>1138979.9609999999</v>
      </c>
      <c r="I908" s="1466"/>
      <c r="J908" s="1466">
        <f t="shared" si="31"/>
        <v>1138979.9609999999</v>
      </c>
      <c r="K908" s="1466"/>
      <c r="L908" s="1540"/>
      <c r="M908" s="1540">
        <f t="shared" si="30"/>
        <v>1138979.9609999999</v>
      </c>
      <c r="N908" s="1539"/>
      <c r="O908" s="559"/>
    </row>
    <row r="909" spans="1:15" s="540" customFormat="1" ht="14.25" customHeight="1">
      <c r="A909" s="1547">
        <v>385</v>
      </c>
      <c r="B909" s="1537"/>
      <c r="C909" s="1538"/>
      <c r="D909" s="1539" t="s">
        <v>1231</v>
      </c>
      <c r="E909" s="166" t="s">
        <v>15</v>
      </c>
      <c r="F909" s="166"/>
      <c r="G909" s="1466"/>
      <c r="H909" s="1466">
        <v>1270080.378</v>
      </c>
      <c r="I909" s="1466"/>
      <c r="J909" s="1466">
        <f t="shared" si="31"/>
        <v>1270080.378</v>
      </c>
      <c r="K909" s="1466"/>
      <c r="L909" s="1540"/>
      <c r="M909" s="1540">
        <f t="shared" si="30"/>
        <v>1270080.378</v>
      </c>
      <c r="N909" s="1539"/>
      <c r="O909" s="559"/>
    </row>
    <row r="910" spans="1:15" s="540" customFormat="1" ht="14.25" customHeight="1">
      <c r="A910" s="1536">
        <v>386</v>
      </c>
      <c r="B910" s="1537"/>
      <c r="C910" s="1538"/>
      <c r="D910" s="1539" t="s">
        <v>1232</v>
      </c>
      <c r="E910" s="166" t="s">
        <v>15</v>
      </c>
      <c r="F910" s="166"/>
      <c r="G910" s="1466"/>
      <c r="H910" s="1466">
        <v>1270080.378</v>
      </c>
      <c r="I910" s="1466"/>
      <c r="J910" s="1466">
        <f t="shared" si="31"/>
        <v>1270080.378</v>
      </c>
      <c r="K910" s="1466"/>
      <c r="L910" s="1540"/>
      <c r="M910" s="1540">
        <f t="shared" si="30"/>
        <v>1270080.378</v>
      </c>
      <c r="N910" s="1539"/>
      <c r="O910" s="559"/>
    </row>
    <row r="911" spans="1:15" s="540" customFormat="1" ht="14.25" customHeight="1">
      <c r="A911" s="1547">
        <v>387</v>
      </c>
      <c r="B911" s="1537"/>
      <c r="C911" s="1538"/>
      <c r="D911" s="1539" t="s">
        <v>80</v>
      </c>
      <c r="E911" s="1468" t="s">
        <v>15</v>
      </c>
      <c r="F911" s="166"/>
      <c r="G911" s="1466"/>
      <c r="H911" s="1466">
        <v>1108746.1980000001</v>
      </c>
      <c r="I911" s="1466"/>
      <c r="J911" s="1466">
        <f t="shared" si="31"/>
        <v>1108746.1980000001</v>
      </c>
      <c r="K911" s="1466"/>
      <c r="L911" s="1540"/>
      <c r="M911" s="1540">
        <f t="shared" si="30"/>
        <v>1108746.1980000001</v>
      </c>
      <c r="N911" s="1539"/>
      <c r="O911" s="559"/>
    </row>
    <row r="912" spans="1:15" s="540" customFormat="1" ht="14.25" customHeight="1">
      <c r="A912" s="1547">
        <v>388</v>
      </c>
      <c r="B912" s="1537"/>
      <c r="C912" s="1538"/>
      <c r="D912" s="1539" t="s">
        <v>1233</v>
      </c>
      <c r="E912" s="1468" t="s">
        <v>15</v>
      </c>
      <c r="F912" s="166"/>
      <c r="G912" s="1466"/>
      <c r="H912" s="1466">
        <v>1270080.378</v>
      </c>
      <c r="I912" s="1466"/>
      <c r="J912" s="1466">
        <f t="shared" si="31"/>
        <v>1270080.378</v>
      </c>
      <c r="K912" s="1466"/>
      <c r="L912" s="1540"/>
      <c r="M912" s="1540">
        <f t="shared" si="30"/>
        <v>1270080.378</v>
      </c>
      <c r="N912" s="1539"/>
      <c r="O912" s="559"/>
    </row>
    <row r="913" spans="1:15" s="540" customFormat="1" ht="14.25" customHeight="1">
      <c r="A913" s="1536">
        <v>389</v>
      </c>
      <c r="B913" s="1537"/>
      <c r="C913" s="1538"/>
      <c r="D913" s="1539" t="s">
        <v>1234</v>
      </c>
      <c r="E913" s="1468" t="s">
        <v>15</v>
      </c>
      <c r="F913" s="166"/>
      <c r="G913" s="1466"/>
      <c r="H913" s="1466">
        <v>1259007.19934334</v>
      </c>
      <c r="I913" s="1466"/>
      <c r="J913" s="1466">
        <f t="shared" si="31"/>
        <v>1259007.19934334</v>
      </c>
      <c r="K913" s="1466"/>
      <c r="L913" s="1540"/>
      <c r="M913" s="1540">
        <f t="shared" si="30"/>
        <v>1259007.19934334</v>
      </c>
      <c r="N913" s="1539"/>
      <c r="O913" s="559"/>
    </row>
    <row r="914" spans="1:15" s="540" customFormat="1" ht="14.25" customHeight="1">
      <c r="A914" s="1547">
        <v>390</v>
      </c>
      <c r="B914" s="1537"/>
      <c r="C914" s="1538"/>
      <c r="D914" s="1539" t="s">
        <v>386</v>
      </c>
      <c r="E914" s="1468" t="s">
        <v>15</v>
      </c>
      <c r="F914" s="166"/>
      <c r="G914" s="1466"/>
      <c r="H914" s="1466">
        <v>1148746.1980000001</v>
      </c>
      <c r="I914" s="1466"/>
      <c r="J914" s="1466">
        <f t="shared" si="31"/>
        <v>1148746.1980000001</v>
      </c>
      <c r="K914" s="1466"/>
      <c r="L914" s="1540"/>
      <c r="M914" s="1540">
        <f t="shared" si="30"/>
        <v>1148746.1980000001</v>
      </c>
      <c r="N914" s="1539"/>
      <c r="O914" s="559"/>
    </row>
    <row r="915" spans="1:15" s="540" customFormat="1" ht="14.25" customHeight="1">
      <c r="A915" s="1547">
        <v>391</v>
      </c>
      <c r="B915" s="1537"/>
      <c r="C915" s="1538"/>
      <c r="D915" s="1539" t="s">
        <v>1235</v>
      </c>
      <c r="E915" s="1468" t="s">
        <v>15</v>
      </c>
      <c r="F915" s="166"/>
      <c r="G915" s="1466"/>
      <c r="H915" s="1466">
        <v>1270080.378</v>
      </c>
      <c r="I915" s="1466"/>
      <c r="J915" s="1466">
        <f t="shared" si="31"/>
        <v>1270080.378</v>
      </c>
      <c r="K915" s="1466"/>
      <c r="L915" s="1540"/>
      <c r="M915" s="1540">
        <f t="shared" si="30"/>
        <v>1270080.378</v>
      </c>
      <c r="N915" s="1539"/>
      <c r="O915" s="559"/>
    </row>
    <row r="916" spans="1:15" s="540" customFormat="1" ht="14.25" customHeight="1">
      <c r="A916" s="1536">
        <v>392</v>
      </c>
      <c r="B916" s="1537"/>
      <c r="C916" s="1538"/>
      <c r="D916" s="1539" t="s">
        <v>1236</v>
      </c>
      <c r="E916" s="1468" t="s">
        <v>15</v>
      </c>
      <c r="F916" s="166"/>
      <c r="G916" s="1466"/>
      <c r="H916" s="1466">
        <v>1128677.8</v>
      </c>
      <c r="I916" s="1466"/>
      <c r="J916" s="1466">
        <f t="shared" si="31"/>
        <v>1128677.8</v>
      </c>
      <c r="K916" s="1466"/>
      <c r="L916" s="1540"/>
      <c r="M916" s="1540">
        <f t="shared" si="30"/>
        <v>1128677.8</v>
      </c>
      <c r="N916" s="1539"/>
      <c r="O916" s="559"/>
    </row>
    <row r="917" spans="1:15" s="540" customFormat="1" ht="14.25" customHeight="1">
      <c r="A917" s="1547">
        <v>393</v>
      </c>
      <c r="B917" s="1537"/>
      <c r="C917" s="1538"/>
      <c r="D917" s="1539" t="s">
        <v>1237</v>
      </c>
      <c r="E917" s="1468" t="s">
        <v>15</v>
      </c>
      <c r="F917" s="166"/>
      <c r="G917" s="1466"/>
      <c r="H917" s="1466">
        <v>1189145.3259999999</v>
      </c>
      <c r="I917" s="1466"/>
      <c r="J917" s="1466">
        <f t="shared" si="31"/>
        <v>1189145.3259999999</v>
      </c>
      <c r="K917" s="1466"/>
      <c r="L917" s="1540"/>
      <c r="M917" s="1540">
        <f t="shared" si="30"/>
        <v>1189145.3259999999</v>
      </c>
      <c r="N917" s="1539"/>
      <c r="O917" s="559"/>
    </row>
    <row r="918" spans="1:15" s="540" customFormat="1" ht="14.25" customHeight="1">
      <c r="A918" s="1547">
        <v>394</v>
      </c>
      <c r="B918" s="1537"/>
      <c r="C918" s="1538"/>
      <c r="D918" s="1539" t="s">
        <v>730</v>
      </c>
      <c r="E918" s="1468" t="s">
        <v>15</v>
      </c>
      <c r="F918" s="166"/>
      <c r="G918" s="1466"/>
      <c r="H918" s="1540">
        <v>1108746.1980000001</v>
      </c>
      <c r="I918" s="1466"/>
      <c r="J918" s="1466">
        <f t="shared" si="31"/>
        <v>1108746.1980000001</v>
      </c>
      <c r="K918" s="1466"/>
      <c r="L918" s="1540"/>
      <c r="M918" s="1540">
        <f t="shared" si="30"/>
        <v>1108746.1980000001</v>
      </c>
      <c r="N918" s="1539"/>
      <c r="O918" s="559"/>
    </row>
    <row r="919" spans="1:15" s="540" customFormat="1" ht="14.25" customHeight="1">
      <c r="A919" s="1536">
        <v>395</v>
      </c>
      <c r="B919" s="1537"/>
      <c r="C919" s="1538"/>
      <c r="D919" s="1539" t="s">
        <v>1238</v>
      </c>
      <c r="E919" s="1468" t="s">
        <v>15</v>
      </c>
      <c r="F919" s="166"/>
      <c r="G919" s="1466"/>
      <c r="H919" s="1540">
        <v>1159179.5249999999</v>
      </c>
      <c r="I919" s="1466"/>
      <c r="J919" s="1466">
        <f t="shared" si="31"/>
        <v>1159179.5249999999</v>
      </c>
      <c r="K919" s="1466"/>
      <c r="L919" s="1540"/>
      <c r="M919" s="1540">
        <f t="shared" si="30"/>
        <v>1159179.5249999999</v>
      </c>
      <c r="N919" s="1539"/>
      <c r="O919" s="559"/>
    </row>
    <row r="920" spans="1:15" s="540" customFormat="1" ht="14.25" customHeight="1">
      <c r="A920" s="1547">
        <v>396</v>
      </c>
      <c r="B920" s="1537"/>
      <c r="C920" s="1538"/>
      <c r="D920" s="1539" t="s">
        <v>191</v>
      </c>
      <c r="E920" s="1468" t="s">
        <v>15</v>
      </c>
      <c r="F920" s="166"/>
      <c r="G920" s="1466"/>
      <c r="H920" s="1466">
        <v>1270080.378</v>
      </c>
      <c r="I920" s="1466"/>
      <c r="J920" s="1466">
        <f t="shared" si="31"/>
        <v>1270080.378</v>
      </c>
      <c r="K920" s="1466"/>
      <c r="L920" s="1540"/>
      <c r="M920" s="1540">
        <f t="shared" si="30"/>
        <v>1270080.378</v>
      </c>
      <c r="N920" s="1539"/>
      <c r="O920" s="559"/>
    </row>
    <row r="921" spans="1:15" s="540" customFormat="1" ht="14.25" customHeight="1">
      <c r="A921" s="1547">
        <v>397</v>
      </c>
      <c r="B921" s="1537"/>
      <c r="C921" s="1538"/>
      <c r="D921" s="1539" t="s">
        <v>1239</v>
      </c>
      <c r="E921" s="1468" t="s">
        <v>15</v>
      </c>
      <c r="F921" s="166"/>
      <c r="G921" s="1466"/>
      <c r="H921" s="1466">
        <v>1159179.5249999999</v>
      </c>
      <c r="I921" s="1466"/>
      <c r="J921" s="1466">
        <f t="shared" si="31"/>
        <v>1159179.5249999999</v>
      </c>
      <c r="K921" s="1466"/>
      <c r="L921" s="1540"/>
      <c r="M921" s="1540">
        <f t="shared" si="30"/>
        <v>1159179.5249999999</v>
      </c>
      <c r="N921" s="1539"/>
      <c r="O921" s="559"/>
    </row>
    <row r="922" spans="1:15" s="540" customFormat="1" ht="14.25" customHeight="1">
      <c r="A922" s="1536">
        <v>398</v>
      </c>
      <c r="B922" s="1537"/>
      <c r="C922" s="1538"/>
      <c r="D922" s="1539" t="s">
        <v>1240</v>
      </c>
      <c r="E922" s="1468" t="s">
        <v>15</v>
      </c>
      <c r="F922" s="166"/>
      <c r="G922" s="1466"/>
      <c r="H922" s="1466">
        <v>1270080.378</v>
      </c>
      <c r="I922" s="1466"/>
      <c r="J922" s="1466">
        <f t="shared" si="31"/>
        <v>1270080.378</v>
      </c>
      <c r="K922" s="1466"/>
      <c r="L922" s="1540"/>
      <c r="M922" s="1540">
        <f t="shared" si="30"/>
        <v>1270080.378</v>
      </c>
      <c r="N922" s="1539"/>
      <c r="O922" s="559"/>
    </row>
    <row r="923" spans="1:15" s="540" customFormat="1" ht="14.25" customHeight="1">
      <c r="A923" s="1547">
        <v>399</v>
      </c>
      <c r="B923" s="1537"/>
      <c r="C923" s="1538"/>
      <c r="D923" s="1539" t="s">
        <v>1241</v>
      </c>
      <c r="E923" s="1468" t="s">
        <v>15</v>
      </c>
      <c r="F923" s="166"/>
      <c r="G923" s="1466"/>
      <c r="H923" s="1466">
        <v>1159179.5249999999</v>
      </c>
      <c r="I923" s="1466"/>
      <c r="J923" s="1466">
        <f t="shared" si="31"/>
        <v>1159179.5249999999</v>
      </c>
      <c r="K923" s="1466"/>
      <c r="L923" s="1540"/>
      <c r="M923" s="1540">
        <f t="shared" si="30"/>
        <v>1159179.5249999999</v>
      </c>
      <c r="N923" s="1539"/>
      <c r="O923" s="559"/>
    </row>
    <row r="924" spans="1:15" s="540" customFormat="1" ht="14.25" customHeight="1">
      <c r="A924" s="1547">
        <v>400</v>
      </c>
      <c r="B924" s="1537"/>
      <c r="C924" s="1538"/>
      <c r="D924" s="1539" t="s">
        <v>1242</v>
      </c>
      <c r="E924" s="1468" t="s">
        <v>15</v>
      </c>
      <c r="F924" s="166"/>
      <c r="G924" s="1466"/>
      <c r="H924" s="1540">
        <v>1138979.9609999999</v>
      </c>
      <c r="I924" s="1466"/>
      <c r="J924" s="1466">
        <f t="shared" si="31"/>
        <v>1138979.9609999999</v>
      </c>
      <c r="K924" s="1466"/>
      <c r="L924" s="1540"/>
      <c r="M924" s="1540">
        <f t="shared" si="30"/>
        <v>1138979.9609999999</v>
      </c>
      <c r="N924" s="1539"/>
      <c r="O924" s="559"/>
    </row>
    <row r="925" spans="1:15" s="540" customFormat="1" ht="14.25" customHeight="1">
      <c r="A925" s="1536">
        <v>401</v>
      </c>
      <c r="B925" s="1537"/>
      <c r="C925" s="1538"/>
      <c r="D925" s="1539" t="s">
        <v>1243</v>
      </c>
      <c r="E925" s="1468" t="s">
        <v>15</v>
      </c>
      <c r="F925" s="166"/>
      <c r="G925" s="1466"/>
      <c r="H925" s="1466">
        <v>1270080.378</v>
      </c>
      <c r="I925" s="1466"/>
      <c r="J925" s="1466">
        <f t="shared" si="31"/>
        <v>1270080.378</v>
      </c>
      <c r="K925" s="1466"/>
      <c r="L925" s="1540"/>
      <c r="M925" s="1540">
        <f t="shared" si="30"/>
        <v>1270080.378</v>
      </c>
      <c r="N925" s="1539"/>
      <c r="O925" s="559"/>
    </row>
    <row r="926" spans="1:15" s="540" customFormat="1" ht="14.25" customHeight="1">
      <c r="A926" s="1547">
        <v>402</v>
      </c>
      <c r="B926" s="1537"/>
      <c r="C926" s="1538"/>
      <c r="D926" s="1539" t="s">
        <v>1244</v>
      </c>
      <c r="E926" s="1468" t="s">
        <v>15</v>
      </c>
      <c r="F926" s="166"/>
      <c r="G926" s="1466"/>
      <c r="H926" s="1466">
        <v>1270080.378</v>
      </c>
      <c r="I926" s="1466"/>
      <c r="J926" s="1466">
        <f t="shared" si="31"/>
        <v>1270080.378</v>
      </c>
      <c r="K926" s="1466"/>
      <c r="L926" s="1540"/>
      <c r="M926" s="1540">
        <f t="shared" si="30"/>
        <v>1270080.378</v>
      </c>
      <c r="N926" s="1539"/>
      <c r="O926" s="559"/>
    </row>
    <row r="927" spans="1:15" s="540" customFormat="1" ht="14.25" customHeight="1">
      <c r="A927" s="1547">
        <v>403</v>
      </c>
      <c r="B927" s="1537"/>
      <c r="C927" s="1538"/>
      <c r="D927" s="1539" t="s">
        <v>1245</v>
      </c>
      <c r="E927" s="1468" t="s">
        <v>15</v>
      </c>
      <c r="F927" s="166"/>
      <c r="G927" s="1466"/>
      <c r="H927" s="1466">
        <v>1108746.1980000001</v>
      </c>
      <c r="I927" s="1466"/>
      <c r="J927" s="1466">
        <f t="shared" si="31"/>
        <v>1108746.1980000001</v>
      </c>
      <c r="K927" s="1466"/>
      <c r="L927" s="1540"/>
      <c r="M927" s="1540">
        <f t="shared" si="30"/>
        <v>1108746.1980000001</v>
      </c>
      <c r="N927" s="1539"/>
      <c r="O927" s="559"/>
    </row>
    <row r="928" spans="1:15" s="540" customFormat="1" ht="14.25" customHeight="1">
      <c r="A928" s="1536">
        <v>404</v>
      </c>
      <c r="B928" s="1537"/>
      <c r="C928" s="1538"/>
      <c r="D928" s="1539" t="s">
        <v>1246</v>
      </c>
      <c r="E928" s="1468" t="s">
        <v>15</v>
      </c>
      <c r="F928" s="166"/>
      <c r="G928" s="1466"/>
      <c r="H928" s="1466">
        <v>1270080.378</v>
      </c>
      <c r="I928" s="1466"/>
      <c r="J928" s="1466">
        <f t="shared" si="31"/>
        <v>1270080.378</v>
      </c>
      <c r="K928" s="1466"/>
      <c r="L928" s="1540"/>
      <c r="M928" s="1540">
        <f t="shared" si="30"/>
        <v>1270080.378</v>
      </c>
      <c r="N928" s="1539"/>
      <c r="O928" s="559"/>
    </row>
    <row r="929" spans="1:15" s="540" customFormat="1" ht="14.25" customHeight="1">
      <c r="A929" s="1547">
        <v>405</v>
      </c>
      <c r="B929" s="1537"/>
      <c r="C929" s="1538"/>
      <c r="D929" s="1539" t="s">
        <v>1247</v>
      </c>
      <c r="E929" s="1468" t="s">
        <v>15</v>
      </c>
      <c r="F929" s="166"/>
      <c r="G929" s="1466"/>
      <c r="H929" s="1466">
        <v>1270080.378</v>
      </c>
      <c r="I929" s="1466"/>
      <c r="J929" s="1466">
        <f t="shared" si="31"/>
        <v>1270080.378</v>
      </c>
      <c r="K929" s="1466"/>
      <c r="L929" s="1540"/>
      <c r="M929" s="1540">
        <f t="shared" si="30"/>
        <v>1270080.378</v>
      </c>
      <c r="N929" s="1539"/>
      <c r="O929" s="559"/>
    </row>
    <row r="930" spans="1:15" s="540" customFormat="1" ht="14.25" customHeight="1">
      <c r="A930" s="1547">
        <v>406</v>
      </c>
      <c r="B930" s="1537"/>
      <c r="C930" s="1538"/>
      <c r="D930" s="1539" t="s">
        <v>1248</v>
      </c>
      <c r="E930" s="1468" t="s">
        <v>15</v>
      </c>
      <c r="F930" s="166"/>
      <c r="G930" s="1466"/>
      <c r="H930" s="1466">
        <v>1270080.378</v>
      </c>
      <c r="I930" s="1466"/>
      <c r="J930" s="1466">
        <f t="shared" si="31"/>
        <v>1270080.378</v>
      </c>
      <c r="K930" s="1466"/>
      <c r="L930" s="1540"/>
      <c r="M930" s="1540">
        <f t="shared" si="30"/>
        <v>1270080.378</v>
      </c>
      <c r="N930" s="1539"/>
      <c r="O930" s="559"/>
    </row>
    <row r="931" spans="1:15" s="540" customFormat="1" ht="14.25" customHeight="1">
      <c r="A931" s="1536">
        <v>407</v>
      </c>
      <c r="B931" s="1537"/>
      <c r="C931" s="1538"/>
      <c r="D931" s="1539" t="s">
        <v>1160</v>
      </c>
      <c r="E931" s="1468" t="s">
        <v>15</v>
      </c>
      <c r="F931" s="166"/>
      <c r="G931" s="1466"/>
      <c r="H931" s="1466">
        <v>1128677.8</v>
      </c>
      <c r="I931" s="1466"/>
      <c r="J931" s="1466">
        <f t="shared" si="31"/>
        <v>1128677.8</v>
      </c>
      <c r="K931" s="1466"/>
      <c r="L931" s="1540"/>
      <c r="M931" s="1540">
        <f t="shared" ref="M931:M968" si="32">J931-L931</f>
        <v>1128677.8</v>
      </c>
      <c r="N931" s="1539"/>
      <c r="O931" s="559"/>
    </row>
    <row r="932" spans="1:15" s="540" customFormat="1" ht="14.25" customHeight="1">
      <c r="A932" s="1547">
        <v>408</v>
      </c>
      <c r="B932" s="1537"/>
      <c r="C932" s="1538"/>
      <c r="D932" s="1539" t="s">
        <v>1222</v>
      </c>
      <c r="E932" s="1468" t="s">
        <v>15</v>
      </c>
      <c r="F932" s="166"/>
      <c r="G932" s="1466"/>
      <c r="H932" s="1466">
        <v>1189145.3259999999</v>
      </c>
      <c r="I932" s="1466"/>
      <c r="J932" s="1466">
        <f t="shared" si="31"/>
        <v>1189145.3259999999</v>
      </c>
      <c r="K932" s="1466"/>
      <c r="L932" s="1540"/>
      <c r="M932" s="1540">
        <f t="shared" si="32"/>
        <v>1189145.3259999999</v>
      </c>
      <c r="N932" s="1539"/>
      <c r="O932" s="559"/>
    </row>
    <row r="933" spans="1:15" s="540" customFormat="1" ht="14.25" customHeight="1">
      <c r="A933" s="1547">
        <v>409</v>
      </c>
      <c r="B933" s="1537"/>
      <c r="C933" s="1538"/>
      <c r="D933" s="1539" t="s">
        <v>1223</v>
      </c>
      <c r="E933" s="1468" t="s">
        <v>15</v>
      </c>
      <c r="F933" s="166"/>
      <c r="G933" s="1466"/>
      <c r="H933" s="1466">
        <v>1270080.378</v>
      </c>
      <c r="I933" s="1466"/>
      <c r="J933" s="1466">
        <f t="shared" si="31"/>
        <v>1270080.378</v>
      </c>
      <c r="K933" s="1466"/>
      <c r="L933" s="1540"/>
      <c r="M933" s="1540">
        <f t="shared" si="32"/>
        <v>1270080.378</v>
      </c>
      <c r="N933" s="1539"/>
      <c r="O933" s="559"/>
    </row>
    <row r="934" spans="1:15" s="540" customFormat="1" ht="14.25" customHeight="1">
      <c r="A934" s="1536">
        <v>410</v>
      </c>
      <c r="B934" s="1537"/>
      <c r="C934" s="1538"/>
      <c r="D934" s="1539" t="s">
        <v>1249</v>
      </c>
      <c r="E934" s="1468" t="s">
        <v>15</v>
      </c>
      <c r="F934" s="166"/>
      <c r="G934" s="1466"/>
      <c r="H934" s="1466">
        <v>1128677.8</v>
      </c>
      <c r="I934" s="1466"/>
      <c r="J934" s="1466">
        <f t="shared" si="31"/>
        <v>1128677.8</v>
      </c>
      <c r="K934" s="1466"/>
      <c r="L934" s="1540"/>
      <c r="M934" s="1540">
        <f t="shared" si="32"/>
        <v>1128677.8</v>
      </c>
      <c r="N934" s="1539"/>
      <c r="O934" s="559"/>
    </row>
    <row r="935" spans="1:15" s="540" customFormat="1" ht="14.25" customHeight="1">
      <c r="A935" s="1547">
        <v>411</v>
      </c>
      <c r="B935" s="1537"/>
      <c r="C935" s="1538"/>
      <c r="D935" s="1539" t="s">
        <v>468</v>
      </c>
      <c r="E935" s="1468" t="s">
        <v>15</v>
      </c>
      <c r="F935" s="166"/>
      <c r="G935" s="1466"/>
      <c r="H935" s="1466">
        <v>1189145.3259999999</v>
      </c>
      <c r="I935" s="1466"/>
      <c r="J935" s="1466">
        <f t="shared" si="31"/>
        <v>1189145.3259999999</v>
      </c>
      <c r="K935" s="1466"/>
      <c r="L935" s="1540"/>
      <c r="M935" s="1540">
        <f t="shared" si="32"/>
        <v>1189145.3259999999</v>
      </c>
      <c r="N935" s="1539"/>
      <c r="O935" s="559"/>
    </row>
    <row r="936" spans="1:15" s="540" customFormat="1" ht="14.25" customHeight="1">
      <c r="A936" s="1547">
        <v>412</v>
      </c>
      <c r="B936" s="1537"/>
      <c r="C936" s="1538"/>
      <c r="D936" s="1539" t="s">
        <v>1250</v>
      </c>
      <c r="E936" s="1468" t="s">
        <v>15</v>
      </c>
      <c r="F936" s="166"/>
      <c r="G936" s="1466"/>
      <c r="H936" s="1466">
        <v>1189145.3259999999</v>
      </c>
      <c r="I936" s="1466"/>
      <c r="J936" s="1466">
        <f t="shared" si="31"/>
        <v>1189145.3259999999</v>
      </c>
      <c r="K936" s="1466"/>
      <c r="L936" s="1540"/>
      <c r="M936" s="1540">
        <f t="shared" si="32"/>
        <v>1189145.3259999999</v>
      </c>
      <c r="N936" s="1539"/>
      <c r="O936" s="559"/>
    </row>
    <row r="937" spans="1:15" s="540" customFormat="1" ht="14.25" customHeight="1">
      <c r="A937" s="1536">
        <v>413</v>
      </c>
      <c r="B937" s="1537"/>
      <c r="C937" s="1538"/>
      <c r="D937" s="1539" t="s">
        <v>1251</v>
      </c>
      <c r="E937" s="1468" t="s">
        <v>15</v>
      </c>
      <c r="F937" s="166"/>
      <c r="G937" s="1466"/>
      <c r="H937" s="1540">
        <v>1108746.1980000001</v>
      </c>
      <c r="I937" s="1540"/>
      <c r="J937" s="1466">
        <f t="shared" si="31"/>
        <v>1108746.1980000001</v>
      </c>
      <c r="K937" s="1466"/>
      <c r="L937" s="1540"/>
      <c r="M937" s="1540">
        <f t="shared" si="32"/>
        <v>1108746.1980000001</v>
      </c>
      <c r="N937" s="1539"/>
      <c r="O937" s="559"/>
    </row>
    <row r="938" spans="1:15" s="540" customFormat="1" ht="14.25" customHeight="1">
      <c r="A938" s="1547">
        <v>414</v>
      </c>
      <c r="B938" s="1537"/>
      <c r="C938" s="1538"/>
      <c r="D938" s="1539" t="s">
        <v>1252</v>
      </c>
      <c r="E938" s="1468" t="s">
        <v>15</v>
      </c>
      <c r="F938" s="166"/>
      <c r="G938" s="1466"/>
      <c r="H938" s="1540">
        <v>1159179.5249999999</v>
      </c>
      <c r="I938" s="1540"/>
      <c r="J938" s="1466">
        <f t="shared" si="31"/>
        <v>1159179.5249999999</v>
      </c>
      <c r="K938" s="1466"/>
      <c r="L938" s="1540"/>
      <c r="M938" s="1540">
        <f t="shared" si="32"/>
        <v>1159179.5249999999</v>
      </c>
      <c r="N938" s="1539"/>
      <c r="O938" s="559"/>
    </row>
    <row r="939" spans="1:15" s="540" customFormat="1" ht="14.25" customHeight="1">
      <c r="A939" s="1547">
        <v>415</v>
      </c>
      <c r="B939" s="1537"/>
      <c r="C939" s="1538"/>
      <c r="D939" s="1539" t="s">
        <v>907</v>
      </c>
      <c r="E939" s="1468" t="s">
        <v>15</v>
      </c>
      <c r="F939" s="166"/>
      <c r="G939" s="1466"/>
      <c r="H939" s="1466">
        <v>1270080.378</v>
      </c>
      <c r="I939" s="1466"/>
      <c r="J939" s="1466">
        <f t="shared" si="31"/>
        <v>1270080.378</v>
      </c>
      <c r="K939" s="1466"/>
      <c r="L939" s="1540"/>
      <c r="M939" s="1540">
        <f t="shared" si="32"/>
        <v>1270080.378</v>
      </c>
      <c r="N939" s="1539"/>
      <c r="O939" s="559"/>
    </row>
    <row r="940" spans="1:15" s="540" customFormat="1" ht="14.25" customHeight="1">
      <c r="A940" s="1536">
        <v>416</v>
      </c>
      <c r="B940" s="1537"/>
      <c r="C940" s="1538"/>
      <c r="D940" s="1539" t="s">
        <v>1253</v>
      </c>
      <c r="E940" s="1468" t="s">
        <v>15</v>
      </c>
      <c r="F940" s="166"/>
      <c r="G940" s="1466"/>
      <c r="H940" s="1466">
        <v>1159179.5249999999</v>
      </c>
      <c r="I940" s="1466"/>
      <c r="J940" s="1466">
        <f t="shared" si="31"/>
        <v>1159179.5249999999</v>
      </c>
      <c r="K940" s="1466"/>
      <c r="L940" s="1540"/>
      <c r="M940" s="1540">
        <f t="shared" si="32"/>
        <v>1159179.5249999999</v>
      </c>
      <c r="N940" s="1539"/>
      <c r="O940" s="559"/>
    </row>
    <row r="941" spans="1:15" s="540" customFormat="1" ht="14.25" customHeight="1">
      <c r="A941" s="1547">
        <v>417</v>
      </c>
      <c r="B941" s="1537"/>
      <c r="C941" s="1538"/>
      <c r="D941" s="1539" t="s">
        <v>1254</v>
      </c>
      <c r="E941" s="1468" t="s">
        <v>15</v>
      </c>
      <c r="F941" s="166"/>
      <c r="G941" s="1466"/>
      <c r="H941" s="1466">
        <v>1270080.378</v>
      </c>
      <c r="I941" s="1466"/>
      <c r="J941" s="1466">
        <f t="shared" si="31"/>
        <v>1270080.378</v>
      </c>
      <c r="K941" s="1466"/>
      <c r="L941" s="1540"/>
      <c r="M941" s="1540">
        <f t="shared" si="32"/>
        <v>1270080.378</v>
      </c>
      <c r="N941" s="1539"/>
      <c r="O941" s="559"/>
    </row>
    <row r="942" spans="1:15" s="540" customFormat="1" ht="14.25" customHeight="1">
      <c r="A942" s="1547">
        <v>418</v>
      </c>
      <c r="B942" s="1537"/>
      <c r="C942" s="1538"/>
      <c r="D942" s="1539" t="s">
        <v>1255</v>
      </c>
      <c r="E942" s="1468" t="s">
        <v>15</v>
      </c>
      <c r="F942" s="166"/>
      <c r="G942" s="1466"/>
      <c r="H942" s="1466">
        <v>1159179.5249999999</v>
      </c>
      <c r="I942" s="1466"/>
      <c r="J942" s="1466">
        <f t="shared" si="31"/>
        <v>1159179.5249999999</v>
      </c>
      <c r="K942" s="1466"/>
      <c r="L942" s="1540"/>
      <c r="M942" s="1540">
        <f t="shared" si="32"/>
        <v>1159179.5249999999</v>
      </c>
      <c r="N942" s="1539"/>
      <c r="O942" s="559"/>
    </row>
    <row r="943" spans="1:15" s="540" customFormat="1" ht="14.25" customHeight="1">
      <c r="A943" s="1536">
        <v>419</v>
      </c>
      <c r="B943" s="1537"/>
      <c r="C943" s="1538"/>
      <c r="D943" s="1539" t="s">
        <v>1256</v>
      </c>
      <c r="E943" s="1468" t="s">
        <v>15</v>
      </c>
      <c r="F943" s="166"/>
      <c r="G943" s="1466"/>
      <c r="H943" s="1540">
        <v>1138979.9609999999</v>
      </c>
      <c r="I943" s="1540"/>
      <c r="J943" s="1466">
        <f t="shared" si="31"/>
        <v>1138979.9609999999</v>
      </c>
      <c r="K943" s="1466"/>
      <c r="L943" s="1540"/>
      <c r="M943" s="1540">
        <f t="shared" si="32"/>
        <v>1138979.9609999999</v>
      </c>
      <c r="N943" s="1539"/>
      <c r="O943" s="559"/>
    </row>
    <row r="944" spans="1:15" s="540" customFormat="1" ht="14.25" customHeight="1">
      <c r="A944" s="1547">
        <v>420</v>
      </c>
      <c r="B944" s="1537"/>
      <c r="C944" s="1538"/>
      <c r="D944" s="1539" t="s">
        <v>1257</v>
      </c>
      <c r="E944" s="1468" t="s">
        <v>15</v>
      </c>
      <c r="F944" s="166"/>
      <c r="G944" s="1466"/>
      <c r="H944" s="1466">
        <v>1270080.378</v>
      </c>
      <c r="I944" s="1466"/>
      <c r="J944" s="1466">
        <f t="shared" si="31"/>
        <v>1270080.378</v>
      </c>
      <c r="K944" s="1466"/>
      <c r="L944" s="1540"/>
      <c r="M944" s="1540">
        <f t="shared" si="32"/>
        <v>1270080.378</v>
      </c>
      <c r="N944" s="1539"/>
      <c r="O944" s="559"/>
    </row>
    <row r="945" spans="1:15" s="540" customFormat="1" ht="14.25" customHeight="1">
      <c r="A945" s="1547">
        <v>421</v>
      </c>
      <c r="B945" s="1537"/>
      <c r="C945" s="1538"/>
      <c r="D945" s="1539" t="s">
        <v>1258</v>
      </c>
      <c r="E945" s="1468" t="s">
        <v>15</v>
      </c>
      <c r="F945" s="166"/>
      <c r="G945" s="1466"/>
      <c r="H945" s="1466">
        <v>1270080.378</v>
      </c>
      <c r="I945" s="1466"/>
      <c r="J945" s="1466">
        <f t="shared" si="31"/>
        <v>1270080.378</v>
      </c>
      <c r="K945" s="1466"/>
      <c r="L945" s="1540"/>
      <c r="M945" s="1540">
        <f t="shared" si="32"/>
        <v>1270080.378</v>
      </c>
      <c r="N945" s="1539"/>
      <c r="O945" s="559"/>
    </row>
    <row r="946" spans="1:15" s="540" customFormat="1" ht="14.25" customHeight="1">
      <c r="A946" s="1536">
        <v>422</v>
      </c>
      <c r="B946" s="1537"/>
      <c r="C946" s="1538"/>
      <c r="D946" s="1539" t="s">
        <v>1259</v>
      </c>
      <c r="E946" s="1468" t="s">
        <v>15</v>
      </c>
      <c r="F946" s="166"/>
      <c r="G946" s="1466"/>
      <c r="H946" s="1466">
        <v>1108746.1980000001</v>
      </c>
      <c r="I946" s="1466"/>
      <c r="J946" s="1466">
        <f t="shared" ref="J946:J968" si="33">SUM(G946:I946)</f>
        <v>1108746.1980000001</v>
      </c>
      <c r="K946" s="1466"/>
      <c r="L946" s="1540"/>
      <c r="M946" s="1540">
        <f t="shared" si="32"/>
        <v>1108746.1980000001</v>
      </c>
      <c r="N946" s="1539"/>
      <c r="O946" s="559"/>
    </row>
    <row r="947" spans="1:15" s="540" customFormat="1" ht="14.25" customHeight="1">
      <c r="A947" s="1547">
        <v>423</v>
      </c>
      <c r="B947" s="1537"/>
      <c r="C947" s="1538"/>
      <c r="D947" s="1539" t="s">
        <v>1260</v>
      </c>
      <c r="E947" s="1468" t="s">
        <v>15</v>
      </c>
      <c r="F947" s="166"/>
      <c r="G947" s="1466"/>
      <c r="H947" s="1466">
        <v>1270080.378</v>
      </c>
      <c r="I947" s="1466"/>
      <c r="J947" s="1466">
        <f t="shared" si="33"/>
        <v>1270080.378</v>
      </c>
      <c r="K947" s="1466"/>
      <c r="L947" s="1540"/>
      <c r="M947" s="1540">
        <f t="shared" si="32"/>
        <v>1270080.378</v>
      </c>
      <c r="N947" s="1539"/>
      <c r="O947" s="559"/>
    </row>
    <row r="948" spans="1:15" s="540" customFormat="1" ht="14.25" customHeight="1">
      <c r="A948" s="1547">
        <v>424</v>
      </c>
      <c r="B948" s="1537"/>
      <c r="C948" s="1538"/>
      <c r="D948" s="1539" t="s">
        <v>1261</v>
      </c>
      <c r="E948" s="1468" t="s">
        <v>15</v>
      </c>
      <c r="F948" s="166"/>
      <c r="G948" s="1466"/>
      <c r="H948" s="1466">
        <v>1259007.19934334</v>
      </c>
      <c r="I948" s="1466"/>
      <c r="J948" s="1466">
        <f t="shared" si="33"/>
        <v>1259007.19934334</v>
      </c>
      <c r="K948" s="1466"/>
      <c r="L948" s="1540"/>
      <c r="M948" s="1540">
        <f t="shared" si="32"/>
        <v>1259007.19934334</v>
      </c>
      <c r="N948" s="1539"/>
      <c r="O948" s="559"/>
    </row>
    <row r="949" spans="1:15" s="540" customFormat="1" ht="14.25" customHeight="1">
      <c r="A949" s="1536">
        <v>425</v>
      </c>
      <c r="B949" s="1537"/>
      <c r="C949" s="1538"/>
      <c r="D949" s="1539" t="s">
        <v>903</v>
      </c>
      <c r="E949" s="1468" t="s">
        <v>15</v>
      </c>
      <c r="F949" s="166"/>
      <c r="G949" s="1466"/>
      <c r="H949" s="1466">
        <v>1148746.1980000001</v>
      </c>
      <c r="I949" s="1466"/>
      <c r="J949" s="1466">
        <f t="shared" si="33"/>
        <v>1148746.1980000001</v>
      </c>
      <c r="K949" s="1466"/>
      <c r="L949" s="1540"/>
      <c r="M949" s="1540">
        <f t="shared" si="32"/>
        <v>1148746.1980000001</v>
      </c>
      <c r="N949" s="1539"/>
      <c r="O949" s="559"/>
    </row>
    <row r="950" spans="1:15" s="540" customFormat="1" ht="14.25" customHeight="1">
      <c r="A950" s="1547">
        <v>426</v>
      </c>
      <c r="B950" s="1537"/>
      <c r="C950" s="1538"/>
      <c r="D950" s="1539" t="s">
        <v>1262</v>
      </c>
      <c r="E950" s="1468" t="s">
        <v>15</v>
      </c>
      <c r="F950" s="166"/>
      <c r="G950" s="1466"/>
      <c r="H950" s="1466">
        <v>1270080.378</v>
      </c>
      <c r="I950" s="1466"/>
      <c r="J950" s="1466">
        <f t="shared" si="33"/>
        <v>1270080.378</v>
      </c>
      <c r="K950" s="1466"/>
      <c r="L950" s="1540"/>
      <c r="M950" s="1540">
        <f t="shared" si="32"/>
        <v>1270080.378</v>
      </c>
      <c r="N950" s="1539"/>
      <c r="O950" s="559"/>
    </row>
    <row r="951" spans="1:15" s="540" customFormat="1" ht="14.25" customHeight="1">
      <c r="A951" s="1547">
        <v>427</v>
      </c>
      <c r="B951" s="1537"/>
      <c r="C951" s="1538"/>
      <c r="D951" s="1539" t="s">
        <v>433</v>
      </c>
      <c r="E951" s="1468" t="s">
        <v>15</v>
      </c>
      <c r="F951" s="166"/>
      <c r="G951" s="1466"/>
      <c r="H951" s="1466">
        <v>1128677.8</v>
      </c>
      <c r="I951" s="1466"/>
      <c r="J951" s="1466">
        <f t="shared" si="33"/>
        <v>1128677.8</v>
      </c>
      <c r="K951" s="1466"/>
      <c r="L951" s="1540"/>
      <c r="M951" s="1540">
        <f t="shared" si="32"/>
        <v>1128677.8</v>
      </c>
      <c r="N951" s="1539"/>
      <c r="O951" s="559"/>
    </row>
    <row r="952" spans="1:15" s="540" customFormat="1" ht="14.25" customHeight="1">
      <c r="A952" s="1536">
        <v>428</v>
      </c>
      <c r="B952" s="1537"/>
      <c r="C952" s="1538"/>
      <c r="D952" s="1539" t="s">
        <v>1263</v>
      </c>
      <c r="E952" s="1468" t="s">
        <v>15</v>
      </c>
      <c r="F952" s="166"/>
      <c r="G952" s="1466"/>
      <c r="H952" s="1466">
        <v>1189145.3259999999</v>
      </c>
      <c r="I952" s="1466"/>
      <c r="J952" s="1466">
        <f t="shared" si="33"/>
        <v>1189145.3259999999</v>
      </c>
      <c r="K952" s="1466"/>
      <c r="L952" s="1540"/>
      <c r="M952" s="1540">
        <f t="shared" si="32"/>
        <v>1189145.3259999999</v>
      </c>
      <c r="N952" s="1539"/>
      <c r="O952" s="559"/>
    </row>
    <row r="953" spans="1:15" s="540" customFormat="1" ht="14.25" customHeight="1">
      <c r="A953" s="1547">
        <v>429</v>
      </c>
      <c r="B953" s="1537"/>
      <c r="C953" s="1538"/>
      <c r="D953" s="1539" t="s">
        <v>1264</v>
      </c>
      <c r="E953" s="1468" t="s">
        <v>15</v>
      </c>
      <c r="F953" s="166"/>
      <c r="G953" s="1466"/>
      <c r="H953" s="1466">
        <v>1249612.852</v>
      </c>
      <c r="I953" s="1466"/>
      <c r="J953" s="1466">
        <f t="shared" si="33"/>
        <v>1249612.852</v>
      </c>
      <c r="K953" s="1466"/>
      <c r="L953" s="1540"/>
      <c r="M953" s="1540">
        <f t="shared" si="32"/>
        <v>1249612.852</v>
      </c>
      <c r="N953" s="1539"/>
      <c r="O953" s="559"/>
    </row>
    <row r="954" spans="1:15" s="540" customFormat="1" ht="14.25" customHeight="1">
      <c r="A954" s="1547">
        <v>430</v>
      </c>
      <c r="B954" s="1537"/>
      <c r="C954" s="1538"/>
      <c r="D954" s="1539" t="s">
        <v>1265</v>
      </c>
      <c r="E954" s="1468" t="s">
        <v>15</v>
      </c>
      <c r="F954" s="166"/>
      <c r="G954" s="1466"/>
      <c r="H954" s="1466">
        <v>1159179.5249999999</v>
      </c>
      <c r="I954" s="1466"/>
      <c r="J954" s="1466">
        <f t="shared" si="33"/>
        <v>1159179.5249999999</v>
      </c>
      <c r="K954" s="1466"/>
      <c r="L954" s="1540"/>
      <c r="M954" s="1540">
        <f t="shared" si="32"/>
        <v>1159179.5249999999</v>
      </c>
      <c r="N954" s="1539"/>
      <c r="O954" s="559"/>
    </row>
    <row r="955" spans="1:15" s="540" customFormat="1" ht="14.25" customHeight="1">
      <c r="A955" s="1536">
        <v>431</v>
      </c>
      <c r="B955" s="1537"/>
      <c r="C955" s="1538"/>
      <c r="D955" s="1539" t="s">
        <v>1266</v>
      </c>
      <c r="E955" s="1468" t="s">
        <v>15</v>
      </c>
      <c r="F955" s="166"/>
      <c r="G955" s="1466"/>
      <c r="H955" s="1540">
        <v>1108746.1980000001</v>
      </c>
      <c r="I955" s="1540"/>
      <c r="J955" s="1466">
        <f t="shared" si="33"/>
        <v>1108746.1980000001</v>
      </c>
      <c r="K955" s="1466"/>
      <c r="L955" s="1540"/>
      <c r="M955" s="1540">
        <f t="shared" si="32"/>
        <v>1108746.1980000001</v>
      </c>
      <c r="N955" s="1539"/>
      <c r="O955" s="559"/>
    </row>
    <row r="956" spans="1:15" s="540" customFormat="1" ht="14.25" customHeight="1">
      <c r="A956" s="1547">
        <v>432</v>
      </c>
      <c r="B956" s="1537"/>
      <c r="C956" s="1538"/>
      <c r="D956" s="1539" t="s">
        <v>1267</v>
      </c>
      <c r="E956" s="1468" t="s">
        <v>15</v>
      </c>
      <c r="F956" s="166"/>
      <c r="G956" s="1466"/>
      <c r="H956" s="1540">
        <v>1159179.5249999999</v>
      </c>
      <c r="I956" s="1540"/>
      <c r="J956" s="1466">
        <f t="shared" si="33"/>
        <v>1159179.5249999999</v>
      </c>
      <c r="K956" s="1466"/>
      <c r="L956" s="1540"/>
      <c r="M956" s="1540">
        <f t="shared" si="32"/>
        <v>1159179.5249999999</v>
      </c>
      <c r="N956" s="1539"/>
      <c r="O956" s="559"/>
    </row>
    <row r="957" spans="1:15" s="540" customFormat="1" ht="14.25" customHeight="1">
      <c r="A957" s="1547">
        <v>433</v>
      </c>
      <c r="B957" s="1537"/>
      <c r="C957" s="1538"/>
      <c r="D957" s="1539" t="s">
        <v>901</v>
      </c>
      <c r="E957" s="1468" t="s">
        <v>15</v>
      </c>
      <c r="F957" s="166"/>
      <c r="G957" s="1466"/>
      <c r="H957" s="1466">
        <v>1270080.378</v>
      </c>
      <c r="I957" s="1466"/>
      <c r="J957" s="1466">
        <f t="shared" si="33"/>
        <v>1270080.378</v>
      </c>
      <c r="K957" s="1466"/>
      <c r="L957" s="1540"/>
      <c r="M957" s="1540">
        <f t="shared" si="32"/>
        <v>1270080.378</v>
      </c>
      <c r="N957" s="1539"/>
      <c r="O957" s="559"/>
    </row>
    <row r="958" spans="1:15" s="540" customFormat="1" ht="14.25" customHeight="1">
      <c r="A958" s="1536">
        <v>434</v>
      </c>
      <c r="B958" s="1537"/>
      <c r="C958" s="1538"/>
      <c r="D958" s="1539" t="s">
        <v>445</v>
      </c>
      <c r="E958" s="1468" t="s">
        <v>15</v>
      </c>
      <c r="F958" s="166"/>
      <c r="G958" s="1466"/>
      <c r="H958" s="1466">
        <v>1159179.5249999999</v>
      </c>
      <c r="I958" s="1466"/>
      <c r="J958" s="1466">
        <f t="shared" si="33"/>
        <v>1159179.5249999999</v>
      </c>
      <c r="K958" s="1466"/>
      <c r="L958" s="1540"/>
      <c r="M958" s="1540">
        <f t="shared" si="32"/>
        <v>1159179.5249999999</v>
      </c>
      <c r="N958" s="1539"/>
      <c r="O958" s="559"/>
    </row>
    <row r="959" spans="1:15" s="540" customFormat="1" ht="14.25" customHeight="1">
      <c r="A959" s="1547">
        <v>435</v>
      </c>
      <c r="B959" s="1537"/>
      <c r="C959" s="1538"/>
      <c r="D959" s="1539" t="s">
        <v>1268</v>
      </c>
      <c r="E959" s="1468" t="s">
        <v>15</v>
      </c>
      <c r="F959" s="166"/>
      <c r="G959" s="1466"/>
      <c r="H959" s="1466">
        <v>1270080.378</v>
      </c>
      <c r="I959" s="1466"/>
      <c r="J959" s="1466">
        <f t="shared" si="33"/>
        <v>1270080.378</v>
      </c>
      <c r="K959" s="1466"/>
      <c r="L959" s="1540"/>
      <c r="M959" s="1540">
        <f t="shared" si="32"/>
        <v>1270080.378</v>
      </c>
      <c r="N959" s="1539"/>
      <c r="O959" s="559"/>
    </row>
    <row r="960" spans="1:15" s="540" customFormat="1" ht="14.25" customHeight="1">
      <c r="A960" s="1547">
        <v>436</v>
      </c>
      <c r="B960" s="1537"/>
      <c r="C960" s="1538"/>
      <c r="D960" s="1539" t="s">
        <v>544</v>
      </c>
      <c r="E960" s="1468" t="s">
        <v>15</v>
      </c>
      <c r="F960" s="166"/>
      <c r="G960" s="1466"/>
      <c r="H960" s="1466">
        <v>1159179.5249999999</v>
      </c>
      <c r="I960" s="1466"/>
      <c r="J960" s="1466">
        <f t="shared" si="33"/>
        <v>1159179.5249999999</v>
      </c>
      <c r="K960" s="1466"/>
      <c r="L960" s="1540"/>
      <c r="M960" s="1540">
        <f t="shared" si="32"/>
        <v>1159179.5249999999</v>
      </c>
      <c r="N960" s="1539"/>
      <c r="O960" s="559"/>
    </row>
    <row r="961" spans="1:15" s="540" customFormat="1" ht="14.25" customHeight="1">
      <c r="A961" s="1536">
        <v>437</v>
      </c>
      <c r="B961" s="1537"/>
      <c r="C961" s="1538"/>
      <c r="D961" s="1539" t="s">
        <v>1269</v>
      </c>
      <c r="E961" s="1468" t="s">
        <v>15</v>
      </c>
      <c r="F961" s="166"/>
      <c r="G961" s="1466"/>
      <c r="H961" s="1466">
        <v>1270080.378</v>
      </c>
      <c r="I961" s="1466"/>
      <c r="J961" s="1466">
        <f t="shared" si="33"/>
        <v>1270080.378</v>
      </c>
      <c r="K961" s="1466"/>
      <c r="L961" s="1540"/>
      <c r="M961" s="1540">
        <f t="shared" si="32"/>
        <v>1270080.378</v>
      </c>
      <c r="N961" s="1539"/>
      <c r="O961" s="559"/>
    </row>
    <row r="962" spans="1:15" s="540" customFormat="1" ht="14.25" customHeight="1">
      <c r="A962" s="1547">
        <v>438</v>
      </c>
      <c r="B962" s="1537"/>
      <c r="C962" s="1538"/>
      <c r="D962" s="1539" t="s">
        <v>444</v>
      </c>
      <c r="E962" s="1468" t="s">
        <v>15</v>
      </c>
      <c r="F962" s="166"/>
      <c r="G962" s="1466"/>
      <c r="H962" s="1466">
        <v>1270080.378</v>
      </c>
      <c r="I962" s="1466"/>
      <c r="J962" s="1466">
        <f t="shared" si="33"/>
        <v>1270080.378</v>
      </c>
      <c r="K962" s="1466"/>
      <c r="L962" s="1540"/>
      <c r="M962" s="1540">
        <f t="shared" si="32"/>
        <v>1270080.378</v>
      </c>
      <c r="N962" s="1539"/>
      <c r="O962" s="559"/>
    </row>
    <row r="963" spans="1:15" s="540" customFormat="1" ht="14.25" customHeight="1">
      <c r="A963" s="1547">
        <v>439</v>
      </c>
      <c r="B963" s="1537"/>
      <c r="C963" s="1538"/>
      <c r="D963" s="1539" t="s">
        <v>600</v>
      </c>
      <c r="E963" s="1468" t="s">
        <v>15</v>
      </c>
      <c r="F963" s="166"/>
      <c r="G963" s="1466"/>
      <c r="H963" s="1540">
        <v>1138979.9609999999</v>
      </c>
      <c r="I963" s="1540"/>
      <c r="J963" s="1466">
        <f t="shared" si="33"/>
        <v>1138979.9609999999</v>
      </c>
      <c r="K963" s="1466"/>
      <c r="L963" s="1540"/>
      <c r="M963" s="1540">
        <f t="shared" si="32"/>
        <v>1138979.9609999999</v>
      </c>
      <c r="N963" s="1539"/>
      <c r="O963" s="559"/>
    </row>
    <row r="964" spans="1:15" s="540" customFormat="1" ht="14.25" customHeight="1">
      <c r="A964" s="1536">
        <v>440</v>
      </c>
      <c r="B964" s="1537"/>
      <c r="C964" s="1538"/>
      <c r="D964" s="1539" t="s">
        <v>1024</v>
      </c>
      <c r="E964" s="1468" t="s">
        <v>15</v>
      </c>
      <c r="F964" s="166"/>
      <c r="G964" s="1466"/>
      <c r="H964" s="1466">
        <v>1270080.378</v>
      </c>
      <c r="I964" s="1466"/>
      <c r="J964" s="1466">
        <f t="shared" si="33"/>
        <v>1270080.378</v>
      </c>
      <c r="K964" s="1466"/>
      <c r="L964" s="1540"/>
      <c r="M964" s="1540">
        <f t="shared" si="32"/>
        <v>1270080.378</v>
      </c>
      <c r="N964" s="1539"/>
      <c r="O964" s="559"/>
    </row>
    <row r="965" spans="1:15" s="540" customFormat="1" ht="14.25" customHeight="1">
      <c r="A965" s="1547">
        <v>441</v>
      </c>
      <c r="B965" s="1537"/>
      <c r="C965" s="1538"/>
      <c r="D965" s="1539" t="s">
        <v>1270</v>
      </c>
      <c r="E965" s="1468" t="s">
        <v>15</v>
      </c>
      <c r="F965" s="166"/>
      <c r="G965" s="1466"/>
      <c r="H965" s="1466">
        <v>1270080.378</v>
      </c>
      <c r="I965" s="1466"/>
      <c r="J965" s="1466">
        <f t="shared" si="33"/>
        <v>1270080.378</v>
      </c>
      <c r="K965" s="1466"/>
      <c r="L965" s="1540"/>
      <c r="M965" s="1540">
        <f t="shared" si="32"/>
        <v>1270080.378</v>
      </c>
      <c r="N965" s="1539"/>
      <c r="O965" s="559"/>
    </row>
    <row r="966" spans="1:15" s="540" customFormat="1" ht="14.25" customHeight="1">
      <c r="A966" s="1547">
        <v>442</v>
      </c>
      <c r="B966" s="1537"/>
      <c r="C966" s="1538"/>
      <c r="D966" s="1539" t="s">
        <v>1271</v>
      </c>
      <c r="E966" s="1468" t="s">
        <v>15</v>
      </c>
      <c r="F966" s="166"/>
      <c r="G966" s="1466"/>
      <c r="H966" s="1466">
        <v>1270080.378</v>
      </c>
      <c r="I966" s="1466"/>
      <c r="J966" s="1466">
        <f t="shared" si="33"/>
        <v>1270080.378</v>
      </c>
      <c r="K966" s="1466"/>
      <c r="L966" s="1540"/>
      <c r="M966" s="1540">
        <f t="shared" si="32"/>
        <v>1270080.378</v>
      </c>
      <c r="N966" s="1539"/>
      <c r="O966" s="559"/>
    </row>
    <row r="967" spans="1:15" s="540" customFormat="1" ht="14.25" customHeight="1">
      <c r="A967" s="1536">
        <v>443</v>
      </c>
      <c r="B967" s="1537"/>
      <c r="C967" s="1538"/>
      <c r="D967" s="1539" t="s">
        <v>1272</v>
      </c>
      <c r="E967" s="1468" t="s">
        <v>15</v>
      </c>
      <c r="F967" s="166"/>
      <c r="G967" s="1466"/>
      <c r="H967" s="1466">
        <v>1270080.378</v>
      </c>
      <c r="I967" s="1466"/>
      <c r="J967" s="1466">
        <f t="shared" si="33"/>
        <v>1270080.378</v>
      </c>
      <c r="K967" s="1466"/>
      <c r="L967" s="1540"/>
      <c r="M967" s="1540">
        <f t="shared" si="32"/>
        <v>1270080.378</v>
      </c>
      <c r="N967" s="1539"/>
      <c r="O967" s="559"/>
    </row>
    <row r="968" spans="1:15" s="540" customFormat="1" ht="14.25" customHeight="1">
      <c r="A968" s="1547">
        <v>444</v>
      </c>
      <c r="B968" s="1537"/>
      <c r="C968" s="1538"/>
      <c r="D968" s="1539" t="s">
        <v>1273</v>
      </c>
      <c r="E968" s="1468" t="s">
        <v>15</v>
      </c>
      <c r="F968" s="166"/>
      <c r="G968" s="1466"/>
      <c r="H968" s="1466">
        <v>1128677.8</v>
      </c>
      <c r="I968" s="1466"/>
      <c r="J968" s="1466">
        <f t="shared" si="33"/>
        <v>1128677.8</v>
      </c>
      <c r="K968" s="1466"/>
      <c r="L968" s="1540"/>
      <c r="M968" s="1540">
        <f t="shared" si="32"/>
        <v>1128677.8</v>
      </c>
      <c r="N968" s="1539"/>
      <c r="O968" s="559"/>
    </row>
    <row r="969" spans="1:15" s="540" customFormat="1" ht="14.25" customHeight="1">
      <c r="A969" s="1547">
        <v>445</v>
      </c>
      <c r="B969" s="1537"/>
      <c r="C969" s="1538"/>
      <c r="D969" s="1539" t="s">
        <v>1274</v>
      </c>
      <c r="E969" s="1468" t="s">
        <v>15</v>
      </c>
      <c r="F969" s="166"/>
      <c r="G969" s="1466"/>
      <c r="H969" s="1466">
        <v>1189145.3259999999</v>
      </c>
      <c r="I969" s="1466"/>
      <c r="J969" s="1466">
        <f t="shared" ref="J969:J1005" si="34">SUM(G969:I969)</f>
        <v>1189145.3259999999</v>
      </c>
      <c r="K969" s="1466"/>
      <c r="L969" s="1540"/>
      <c r="M969" s="1540">
        <f t="shared" ref="M969:M1005" si="35">J969-L969</f>
        <v>1189145.3259999999</v>
      </c>
      <c r="N969" s="1539"/>
      <c r="O969" s="559"/>
    </row>
    <row r="970" spans="1:15" s="540" customFormat="1" ht="14.25" customHeight="1">
      <c r="A970" s="1536">
        <v>446</v>
      </c>
      <c r="B970" s="1537"/>
      <c r="C970" s="1538"/>
      <c r="D970" s="1539" t="s">
        <v>1275</v>
      </c>
      <c r="E970" s="1468" t="s">
        <v>15</v>
      </c>
      <c r="F970" s="166"/>
      <c r="G970" s="1466"/>
      <c r="H970" s="1466">
        <v>1270080.378</v>
      </c>
      <c r="I970" s="1466"/>
      <c r="J970" s="1466">
        <f t="shared" ref="J970:J987" si="36">SUM(G970:I970)</f>
        <v>1270080.378</v>
      </c>
      <c r="K970" s="1466"/>
      <c r="L970" s="1540"/>
      <c r="M970" s="1540">
        <f t="shared" ref="M970:M987" si="37">J970-L970</f>
        <v>1270080.378</v>
      </c>
      <c r="N970" s="1539"/>
      <c r="O970" s="559"/>
    </row>
    <row r="971" spans="1:15" s="540" customFormat="1" ht="14.25" customHeight="1">
      <c r="A971" s="1547">
        <v>447</v>
      </c>
      <c r="B971" s="1537"/>
      <c r="C971" s="1538"/>
      <c r="D971" s="1539" t="s">
        <v>1276</v>
      </c>
      <c r="E971" s="1468" t="s">
        <v>15</v>
      </c>
      <c r="F971" s="166"/>
      <c r="G971" s="1466"/>
      <c r="H971" s="1466">
        <v>1128677.8</v>
      </c>
      <c r="I971" s="1466"/>
      <c r="J971" s="1466">
        <f t="shared" si="36"/>
        <v>1128677.8</v>
      </c>
      <c r="K971" s="1466"/>
      <c r="L971" s="1540"/>
      <c r="M971" s="1540">
        <f t="shared" si="37"/>
        <v>1128677.8</v>
      </c>
      <c r="N971" s="1539"/>
      <c r="O971" s="559"/>
    </row>
    <row r="972" spans="1:15" s="540" customFormat="1" ht="14.25" customHeight="1">
      <c r="A972" s="1547">
        <v>448</v>
      </c>
      <c r="B972" s="1537"/>
      <c r="C972" s="1538"/>
      <c r="D972" s="1539" t="s">
        <v>475</v>
      </c>
      <c r="E972" s="1468" t="s">
        <v>15</v>
      </c>
      <c r="F972" s="166"/>
      <c r="G972" s="1466"/>
      <c r="H972" s="1466">
        <v>1189145.3259999999</v>
      </c>
      <c r="I972" s="1466"/>
      <c r="J972" s="1466">
        <f t="shared" si="36"/>
        <v>1189145.3259999999</v>
      </c>
      <c r="K972" s="1466"/>
      <c r="L972" s="1540"/>
      <c r="M972" s="1540">
        <f t="shared" si="37"/>
        <v>1189145.3259999999</v>
      </c>
      <c r="N972" s="1539"/>
      <c r="O972" s="559"/>
    </row>
    <row r="973" spans="1:15" s="540" customFormat="1" ht="14.25" customHeight="1">
      <c r="A973" s="1536">
        <v>449</v>
      </c>
      <c r="B973" s="1537"/>
      <c r="C973" s="1538"/>
      <c r="D973" s="1539" t="s">
        <v>1277</v>
      </c>
      <c r="E973" s="1468" t="s">
        <v>15</v>
      </c>
      <c r="F973" s="166"/>
      <c r="G973" s="1466"/>
      <c r="H973" s="1466">
        <v>1189145.3259999999</v>
      </c>
      <c r="I973" s="1466"/>
      <c r="J973" s="1466">
        <f t="shared" si="36"/>
        <v>1189145.3259999999</v>
      </c>
      <c r="K973" s="1466"/>
      <c r="L973" s="1540"/>
      <c r="M973" s="1540">
        <f t="shared" si="37"/>
        <v>1189145.3259999999</v>
      </c>
      <c r="N973" s="1539"/>
      <c r="O973" s="559"/>
    </row>
    <row r="974" spans="1:15" s="540" customFormat="1" ht="14.25" customHeight="1">
      <c r="A974" s="1547">
        <v>450</v>
      </c>
      <c r="B974" s="1537"/>
      <c r="C974" s="1538"/>
      <c r="D974" s="1539" t="s">
        <v>1278</v>
      </c>
      <c r="E974" s="1468" t="s">
        <v>15</v>
      </c>
      <c r="F974" s="166"/>
      <c r="G974" s="1466"/>
      <c r="H974" s="1540">
        <v>1108746.1980000001</v>
      </c>
      <c r="I974" s="1466"/>
      <c r="J974" s="1466">
        <f t="shared" si="36"/>
        <v>1108746.1980000001</v>
      </c>
      <c r="K974" s="1466"/>
      <c r="L974" s="1540"/>
      <c r="M974" s="1540">
        <f t="shared" si="37"/>
        <v>1108746.1980000001</v>
      </c>
      <c r="N974" s="1539"/>
      <c r="O974" s="559"/>
    </row>
    <row r="975" spans="1:15" s="540" customFormat="1" ht="14.25" customHeight="1">
      <c r="A975" s="1547">
        <v>451</v>
      </c>
      <c r="B975" s="1537"/>
      <c r="C975" s="1538"/>
      <c r="D975" s="1539" t="s">
        <v>600</v>
      </c>
      <c r="E975" s="1468" t="s">
        <v>15</v>
      </c>
      <c r="F975" s="166"/>
      <c r="G975" s="1466"/>
      <c r="H975" s="1540">
        <v>1159179.5249999999</v>
      </c>
      <c r="I975" s="1466"/>
      <c r="J975" s="1466">
        <f t="shared" si="36"/>
        <v>1159179.5249999999</v>
      </c>
      <c r="K975" s="1466"/>
      <c r="L975" s="1540"/>
      <c r="M975" s="1540">
        <f t="shared" si="37"/>
        <v>1159179.5249999999</v>
      </c>
      <c r="N975" s="1539"/>
      <c r="O975" s="559"/>
    </row>
    <row r="976" spans="1:15" s="540" customFormat="1" ht="14.25" customHeight="1">
      <c r="A976" s="1536">
        <v>452</v>
      </c>
      <c r="B976" s="1537"/>
      <c r="C976" s="1538"/>
      <c r="D976" s="1539" t="s">
        <v>312</v>
      </c>
      <c r="E976" s="1468" t="s">
        <v>15</v>
      </c>
      <c r="F976" s="166"/>
      <c r="G976" s="1466"/>
      <c r="H976" s="1466">
        <v>1270080.378</v>
      </c>
      <c r="I976" s="1466"/>
      <c r="J976" s="1466">
        <f t="shared" si="36"/>
        <v>1270080.378</v>
      </c>
      <c r="K976" s="1466"/>
      <c r="L976" s="1540"/>
      <c r="M976" s="1540">
        <f t="shared" si="37"/>
        <v>1270080.378</v>
      </c>
      <c r="N976" s="1539"/>
      <c r="O976" s="559"/>
    </row>
    <row r="977" spans="1:15" s="540" customFormat="1" ht="14.25" customHeight="1">
      <c r="A977" s="1547">
        <v>453</v>
      </c>
      <c r="B977" s="1537"/>
      <c r="C977" s="1538"/>
      <c r="D977" s="1539" t="s">
        <v>526</v>
      </c>
      <c r="E977" s="1468" t="s">
        <v>15</v>
      </c>
      <c r="F977" s="166"/>
      <c r="G977" s="1466"/>
      <c r="H977" s="1466">
        <v>1159179.5249999999</v>
      </c>
      <c r="I977" s="1466"/>
      <c r="J977" s="1466">
        <f t="shared" si="36"/>
        <v>1159179.5249999999</v>
      </c>
      <c r="K977" s="1466"/>
      <c r="L977" s="1540"/>
      <c r="M977" s="1540">
        <f t="shared" si="37"/>
        <v>1159179.5249999999</v>
      </c>
      <c r="N977" s="1539"/>
      <c r="O977" s="559"/>
    </row>
    <row r="978" spans="1:15" s="540" customFormat="1" ht="14.25" customHeight="1">
      <c r="A978" s="1547">
        <v>454</v>
      </c>
      <c r="B978" s="1537"/>
      <c r="C978" s="1538"/>
      <c r="D978" s="1539" t="s">
        <v>1279</v>
      </c>
      <c r="E978" s="1468" t="s">
        <v>15</v>
      </c>
      <c r="F978" s="166"/>
      <c r="G978" s="1466"/>
      <c r="H978" s="1466">
        <v>1270080.378</v>
      </c>
      <c r="I978" s="1466"/>
      <c r="J978" s="1466">
        <f t="shared" si="36"/>
        <v>1270080.378</v>
      </c>
      <c r="K978" s="1466"/>
      <c r="L978" s="1540"/>
      <c r="M978" s="1540">
        <f t="shared" si="37"/>
        <v>1270080.378</v>
      </c>
      <c r="N978" s="1539"/>
      <c r="O978" s="559"/>
    </row>
    <row r="979" spans="1:15" s="540" customFormat="1" ht="14.25" customHeight="1">
      <c r="A979" s="1536">
        <v>455</v>
      </c>
      <c r="B979" s="1537"/>
      <c r="C979" s="1538"/>
      <c r="D979" s="1539" t="s">
        <v>547</v>
      </c>
      <c r="E979" s="1468" t="s">
        <v>15</v>
      </c>
      <c r="F979" s="166"/>
      <c r="G979" s="1466"/>
      <c r="H979" s="1466">
        <v>1159179.5249999999</v>
      </c>
      <c r="I979" s="1466"/>
      <c r="J979" s="1466">
        <f t="shared" si="36"/>
        <v>1159179.5249999999</v>
      </c>
      <c r="K979" s="1466"/>
      <c r="L979" s="1540"/>
      <c r="M979" s="1540">
        <f t="shared" si="37"/>
        <v>1159179.5249999999</v>
      </c>
      <c r="N979" s="1539"/>
      <c r="O979" s="559"/>
    </row>
    <row r="980" spans="1:15" s="540" customFormat="1" ht="14.25" customHeight="1">
      <c r="A980" s="1547">
        <v>456</v>
      </c>
      <c r="B980" s="1537"/>
      <c r="C980" s="1538"/>
      <c r="D980" s="1539" t="s">
        <v>1280</v>
      </c>
      <c r="E980" s="1468" t="s">
        <v>15</v>
      </c>
      <c r="F980" s="166"/>
      <c r="G980" s="1466"/>
      <c r="H980" s="1540">
        <v>1138979.9609999999</v>
      </c>
      <c r="I980" s="1466"/>
      <c r="J980" s="1466">
        <f t="shared" si="36"/>
        <v>1138979.9609999999</v>
      </c>
      <c r="K980" s="1466"/>
      <c r="L980" s="1540"/>
      <c r="M980" s="1540">
        <f t="shared" si="37"/>
        <v>1138979.9609999999</v>
      </c>
      <c r="N980" s="1539"/>
      <c r="O980" s="559"/>
    </row>
    <row r="981" spans="1:15" s="540" customFormat="1" ht="14.25" customHeight="1">
      <c r="A981" s="1547">
        <v>457</v>
      </c>
      <c r="B981" s="1537"/>
      <c r="C981" s="1538"/>
      <c r="D981" s="1539" t="s">
        <v>1281</v>
      </c>
      <c r="E981" s="1468" t="s">
        <v>15</v>
      </c>
      <c r="F981" s="166"/>
      <c r="G981" s="1466"/>
      <c r="H981" s="1466">
        <v>1270080.378</v>
      </c>
      <c r="I981" s="1466"/>
      <c r="J981" s="1466">
        <f t="shared" si="36"/>
        <v>1270080.378</v>
      </c>
      <c r="K981" s="1466"/>
      <c r="L981" s="1540"/>
      <c r="M981" s="1540">
        <f t="shared" si="37"/>
        <v>1270080.378</v>
      </c>
      <c r="N981" s="1539"/>
      <c r="O981" s="559"/>
    </row>
    <row r="982" spans="1:15" s="540" customFormat="1" ht="14.25" customHeight="1">
      <c r="A982" s="1536">
        <v>458</v>
      </c>
      <c r="B982" s="1537"/>
      <c r="C982" s="1538"/>
      <c r="D982" s="1539" t="s">
        <v>1282</v>
      </c>
      <c r="E982" s="1468" t="s">
        <v>15</v>
      </c>
      <c r="F982" s="166"/>
      <c r="G982" s="1466"/>
      <c r="H982" s="1466">
        <v>1270080.378</v>
      </c>
      <c r="I982" s="1466"/>
      <c r="J982" s="1466">
        <f t="shared" si="36"/>
        <v>1270080.378</v>
      </c>
      <c r="K982" s="1466"/>
      <c r="L982" s="1540"/>
      <c r="M982" s="1540">
        <f t="shared" si="37"/>
        <v>1270080.378</v>
      </c>
      <c r="N982" s="1539"/>
      <c r="O982" s="559"/>
    </row>
    <row r="983" spans="1:15" s="540" customFormat="1" ht="14.25" customHeight="1">
      <c r="A983" s="1547">
        <v>459</v>
      </c>
      <c r="B983" s="1537"/>
      <c r="C983" s="1538"/>
      <c r="D983" s="1539" t="s">
        <v>1283</v>
      </c>
      <c r="E983" s="1468" t="s">
        <v>15</v>
      </c>
      <c r="F983" s="166"/>
      <c r="G983" s="1466"/>
      <c r="H983" s="1466">
        <v>1108746.1980000001</v>
      </c>
      <c r="I983" s="1466"/>
      <c r="J983" s="1466">
        <f t="shared" si="36"/>
        <v>1108746.1980000001</v>
      </c>
      <c r="K983" s="1466"/>
      <c r="L983" s="1540"/>
      <c r="M983" s="1540">
        <f t="shared" si="37"/>
        <v>1108746.1980000001</v>
      </c>
      <c r="N983" s="1539"/>
      <c r="O983" s="559"/>
    </row>
    <row r="984" spans="1:15" s="540" customFormat="1" ht="14.25" customHeight="1">
      <c r="A984" s="1547">
        <v>460</v>
      </c>
      <c r="B984" s="1537"/>
      <c r="C984" s="1538"/>
      <c r="D984" s="1539" t="s">
        <v>1284</v>
      </c>
      <c r="E984" s="1468" t="s">
        <v>15</v>
      </c>
      <c r="F984" s="166"/>
      <c r="G984" s="1466"/>
      <c r="H984" s="1466">
        <v>1270080.378</v>
      </c>
      <c r="I984" s="1466"/>
      <c r="J984" s="1466">
        <f t="shared" si="36"/>
        <v>1270080.378</v>
      </c>
      <c r="K984" s="1466"/>
      <c r="L984" s="1540"/>
      <c r="M984" s="1540">
        <f t="shared" si="37"/>
        <v>1270080.378</v>
      </c>
      <c r="N984" s="1539"/>
      <c r="O984" s="559"/>
    </row>
    <row r="985" spans="1:15" s="540" customFormat="1" ht="14.25" customHeight="1">
      <c r="A985" s="1536">
        <v>461</v>
      </c>
      <c r="B985" s="1537"/>
      <c r="C985" s="1538"/>
      <c r="D985" s="1539" t="s">
        <v>551</v>
      </c>
      <c r="E985" s="1468" t="s">
        <v>15</v>
      </c>
      <c r="F985" s="166"/>
      <c r="G985" s="1466"/>
      <c r="H985" s="1466">
        <v>1259007.19934334</v>
      </c>
      <c r="I985" s="1466"/>
      <c r="J985" s="1466">
        <f t="shared" si="36"/>
        <v>1259007.19934334</v>
      </c>
      <c r="K985" s="1466"/>
      <c r="L985" s="1540"/>
      <c r="M985" s="1540">
        <f t="shared" si="37"/>
        <v>1259007.19934334</v>
      </c>
      <c r="N985" s="1539"/>
      <c r="O985" s="559"/>
    </row>
    <row r="986" spans="1:15" s="540" customFormat="1" ht="14.25" customHeight="1">
      <c r="A986" s="1547">
        <v>462</v>
      </c>
      <c r="B986" s="1537"/>
      <c r="C986" s="1538"/>
      <c r="D986" s="1539" t="s">
        <v>1285</v>
      </c>
      <c r="E986" s="1468" t="s">
        <v>15</v>
      </c>
      <c r="F986" s="166"/>
      <c r="G986" s="1466"/>
      <c r="H986" s="1466">
        <v>1148746.1980000001</v>
      </c>
      <c r="I986" s="1466"/>
      <c r="J986" s="1466">
        <f t="shared" si="36"/>
        <v>1148746.1980000001</v>
      </c>
      <c r="K986" s="1466"/>
      <c r="L986" s="1540"/>
      <c r="M986" s="1540">
        <f t="shared" si="37"/>
        <v>1148746.1980000001</v>
      </c>
      <c r="N986" s="1539"/>
      <c r="O986" s="559"/>
    </row>
    <row r="987" spans="1:15" s="540" customFormat="1" ht="14.25" customHeight="1">
      <c r="A987" s="1547">
        <v>463</v>
      </c>
      <c r="B987" s="1537"/>
      <c r="C987" s="1538"/>
      <c r="D987" s="1539" t="s">
        <v>1286</v>
      </c>
      <c r="E987" s="1468" t="s">
        <v>15</v>
      </c>
      <c r="F987" s="166"/>
      <c r="G987" s="1466"/>
      <c r="H987" s="1466">
        <v>1270080.378</v>
      </c>
      <c r="I987" s="1466"/>
      <c r="J987" s="1466">
        <f t="shared" si="36"/>
        <v>1270080.378</v>
      </c>
      <c r="K987" s="1466"/>
      <c r="L987" s="1540"/>
      <c r="M987" s="1540">
        <f t="shared" si="37"/>
        <v>1270080.378</v>
      </c>
      <c r="N987" s="1539"/>
      <c r="O987" s="559"/>
    </row>
    <row r="988" spans="1:15" s="540" customFormat="1" ht="14.25" customHeight="1">
      <c r="A988" s="1536">
        <v>464</v>
      </c>
      <c r="B988" s="1537"/>
      <c r="C988" s="1538"/>
      <c r="D988" s="1539" t="s">
        <v>1287</v>
      </c>
      <c r="E988" s="1468" t="s">
        <v>15</v>
      </c>
      <c r="F988" s="166"/>
      <c r="G988" s="1466"/>
      <c r="H988" s="1466">
        <v>1128677.8</v>
      </c>
      <c r="I988" s="1466"/>
      <c r="J988" s="1466">
        <f t="shared" si="34"/>
        <v>1128677.8</v>
      </c>
      <c r="K988" s="1466"/>
      <c r="L988" s="1540"/>
      <c r="M988" s="1540">
        <f t="shared" si="35"/>
        <v>1128677.8</v>
      </c>
      <c r="N988" s="1539"/>
      <c r="O988" s="559"/>
    </row>
    <row r="989" spans="1:15" s="540" customFormat="1" ht="14.25" customHeight="1">
      <c r="A989" s="1547">
        <v>465</v>
      </c>
      <c r="B989" s="1537"/>
      <c r="C989" s="1538"/>
      <c r="D989" s="1539" t="s">
        <v>1288</v>
      </c>
      <c r="E989" s="1468" t="s">
        <v>15</v>
      </c>
      <c r="F989" s="166"/>
      <c r="G989" s="1466"/>
      <c r="H989" s="1466">
        <v>1189145.3259999999</v>
      </c>
      <c r="I989" s="1466"/>
      <c r="J989" s="1466">
        <f t="shared" si="34"/>
        <v>1189145.3259999999</v>
      </c>
      <c r="K989" s="1466"/>
      <c r="L989" s="1540"/>
      <c r="M989" s="1540">
        <f t="shared" si="35"/>
        <v>1189145.3259999999</v>
      </c>
      <c r="N989" s="1539"/>
      <c r="O989" s="559"/>
    </row>
    <row r="990" spans="1:15" s="540" customFormat="1" ht="14.25" customHeight="1">
      <c r="A990" s="1547">
        <v>466</v>
      </c>
      <c r="B990" s="1537"/>
      <c r="C990" s="1538"/>
      <c r="D990" s="1539" t="s">
        <v>215</v>
      </c>
      <c r="E990" s="1468" t="s">
        <v>15</v>
      </c>
      <c r="F990" s="166"/>
      <c r="G990" s="1466"/>
      <c r="H990" s="1466">
        <v>1249612.852</v>
      </c>
      <c r="I990" s="1466"/>
      <c r="J990" s="1466">
        <f t="shared" si="34"/>
        <v>1249612.852</v>
      </c>
      <c r="K990" s="1466"/>
      <c r="L990" s="1540"/>
      <c r="M990" s="1540">
        <f t="shared" si="35"/>
        <v>1249612.852</v>
      </c>
      <c r="N990" s="1539"/>
      <c r="O990" s="559"/>
    </row>
    <row r="991" spans="1:15" s="540" customFormat="1" ht="14.25" customHeight="1">
      <c r="A991" s="1536">
        <v>467</v>
      </c>
      <c r="B991" s="1537"/>
      <c r="C991" s="1538"/>
      <c r="D991" s="1539" t="s">
        <v>540</v>
      </c>
      <c r="E991" s="1468" t="s">
        <v>15</v>
      </c>
      <c r="F991" s="166"/>
      <c r="G991" s="1466"/>
      <c r="H991" s="1466">
        <v>1159179.5249999999</v>
      </c>
      <c r="I991" s="1466"/>
      <c r="J991" s="1466">
        <f t="shared" si="34"/>
        <v>1159179.5249999999</v>
      </c>
      <c r="K991" s="1466"/>
      <c r="L991" s="1540"/>
      <c r="M991" s="1540">
        <f t="shared" si="35"/>
        <v>1159179.5249999999</v>
      </c>
      <c r="N991" s="1539"/>
      <c r="O991" s="559"/>
    </row>
    <row r="992" spans="1:15" s="540" customFormat="1" ht="14.25" customHeight="1">
      <c r="A992" s="1547">
        <v>468</v>
      </c>
      <c r="B992" s="1537"/>
      <c r="C992" s="1538"/>
      <c r="D992" s="1539" t="s">
        <v>1289</v>
      </c>
      <c r="E992" s="1468" t="s">
        <v>15</v>
      </c>
      <c r="F992" s="166"/>
      <c r="G992" s="1466"/>
      <c r="H992" s="1540">
        <v>1108746.1980000001</v>
      </c>
      <c r="I992" s="1466"/>
      <c r="J992" s="1466">
        <f t="shared" si="34"/>
        <v>1108746.1980000001</v>
      </c>
      <c r="K992" s="1466"/>
      <c r="L992" s="1540"/>
      <c r="M992" s="1540">
        <f t="shared" si="35"/>
        <v>1108746.1980000001</v>
      </c>
      <c r="N992" s="1539"/>
      <c r="O992" s="559"/>
    </row>
    <row r="993" spans="1:15" s="540" customFormat="1" ht="14.25" customHeight="1">
      <c r="A993" s="1547">
        <v>469</v>
      </c>
      <c r="B993" s="1537"/>
      <c r="C993" s="1538"/>
      <c r="D993" s="1539" t="s">
        <v>1290</v>
      </c>
      <c r="E993" s="1468" t="s">
        <v>15</v>
      </c>
      <c r="F993" s="166"/>
      <c r="G993" s="1466"/>
      <c r="H993" s="1540">
        <v>1159179.5249999999</v>
      </c>
      <c r="I993" s="1466"/>
      <c r="J993" s="1466">
        <f t="shared" si="34"/>
        <v>1159179.5249999999</v>
      </c>
      <c r="K993" s="1466"/>
      <c r="L993" s="1540"/>
      <c r="M993" s="1540">
        <f t="shared" si="35"/>
        <v>1159179.5249999999</v>
      </c>
      <c r="N993" s="1539"/>
      <c r="O993" s="559"/>
    </row>
    <row r="994" spans="1:15" s="540" customFormat="1" ht="14.25" customHeight="1">
      <c r="A994" s="1536">
        <v>470</v>
      </c>
      <c r="B994" s="1537"/>
      <c r="C994" s="1538"/>
      <c r="D994" s="1539" t="s">
        <v>221</v>
      </c>
      <c r="E994" s="1468" t="s">
        <v>15</v>
      </c>
      <c r="F994" s="166"/>
      <c r="G994" s="1466"/>
      <c r="H994" s="1466">
        <v>1270080.378</v>
      </c>
      <c r="I994" s="1466"/>
      <c r="J994" s="1466">
        <f t="shared" si="34"/>
        <v>1270080.378</v>
      </c>
      <c r="K994" s="1466"/>
      <c r="L994" s="1540"/>
      <c r="M994" s="1540">
        <f t="shared" si="35"/>
        <v>1270080.378</v>
      </c>
      <c r="N994" s="1539"/>
      <c r="O994" s="559"/>
    </row>
    <row r="995" spans="1:15" s="540" customFormat="1" ht="14.25" customHeight="1">
      <c r="A995" s="1547">
        <v>471</v>
      </c>
      <c r="B995" s="1537"/>
      <c r="C995" s="1538"/>
      <c r="D995" s="1539" t="s">
        <v>1291</v>
      </c>
      <c r="E995" s="1468" t="s">
        <v>15</v>
      </c>
      <c r="F995" s="166"/>
      <c r="G995" s="1466"/>
      <c r="H995" s="1466">
        <v>1159179.5249999999</v>
      </c>
      <c r="I995" s="1466"/>
      <c r="J995" s="1466">
        <f t="shared" si="34"/>
        <v>1159179.5249999999</v>
      </c>
      <c r="K995" s="1466"/>
      <c r="L995" s="1540"/>
      <c r="M995" s="1540">
        <f t="shared" si="35"/>
        <v>1159179.5249999999</v>
      </c>
      <c r="N995" s="1539"/>
      <c r="O995" s="559"/>
    </row>
    <row r="996" spans="1:15" s="540" customFormat="1" ht="14.25" customHeight="1">
      <c r="A996" s="1547">
        <v>472</v>
      </c>
      <c r="B996" s="1537"/>
      <c r="C996" s="1538"/>
      <c r="D996" s="1539" t="s">
        <v>1292</v>
      </c>
      <c r="E996" s="1468" t="s">
        <v>15</v>
      </c>
      <c r="F996" s="166"/>
      <c r="G996" s="1466"/>
      <c r="H996" s="1466">
        <v>1270080.378</v>
      </c>
      <c r="I996" s="1466"/>
      <c r="J996" s="1466">
        <f t="shared" si="34"/>
        <v>1270080.378</v>
      </c>
      <c r="K996" s="1466"/>
      <c r="L996" s="1540"/>
      <c r="M996" s="1540">
        <f t="shared" si="35"/>
        <v>1270080.378</v>
      </c>
      <c r="N996" s="1539"/>
      <c r="O996" s="559"/>
    </row>
    <row r="997" spans="1:15" s="540" customFormat="1" ht="14.25" customHeight="1">
      <c r="A997" s="1536">
        <v>473</v>
      </c>
      <c r="B997" s="1537"/>
      <c r="C997" s="1538"/>
      <c r="D997" s="1539" t="s">
        <v>1293</v>
      </c>
      <c r="E997" s="1468" t="s">
        <v>15</v>
      </c>
      <c r="F997" s="166"/>
      <c r="G997" s="1466"/>
      <c r="H997" s="1466">
        <v>1159179.5249999999</v>
      </c>
      <c r="I997" s="1466"/>
      <c r="J997" s="1466">
        <f t="shared" si="34"/>
        <v>1159179.5249999999</v>
      </c>
      <c r="K997" s="1466"/>
      <c r="L997" s="1540"/>
      <c r="M997" s="1540">
        <f t="shared" si="35"/>
        <v>1159179.5249999999</v>
      </c>
      <c r="N997" s="1539"/>
      <c r="O997" s="559"/>
    </row>
    <row r="998" spans="1:15" s="540" customFormat="1" ht="14.25" customHeight="1">
      <c r="A998" s="1547">
        <v>474</v>
      </c>
      <c r="B998" s="1537"/>
      <c r="C998" s="1538"/>
      <c r="D998" s="1539" t="s">
        <v>1294</v>
      </c>
      <c r="E998" s="1468" t="s">
        <v>15</v>
      </c>
      <c r="F998" s="166"/>
      <c r="G998" s="1466"/>
      <c r="H998" s="1466">
        <v>1270080.378</v>
      </c>
      <c r="I998" s="1466"/>
      <c r="J998" s="1466">
        <f t="shared" si="34"/>
        <v>1270080.378</v>
      </c>
      <c r="K998" s="1466"/>
      <c r="L998" s="1540"/>
      <c r="M998" s="1540">
        <f t="shared" si="35"/>
        <v>1270080.378</v>
      </c>
      <c r="N998" s="1539"/>
      <c r="O998" s="559"/>
    </row>
    <row r="999" spans="1:15" s="540" customFormat="1" ht="14.25" customHeight="1">
      <c r="A999" s="1547">
        <v>475</v>
      </c>
      <c r="B999" s="1537"/>
      <c r="C999" s="1538"/>
      <c r="D999" s="1539" t="s">
        <v>1295</v>
      </c>
      <c r="E999" s="1468" t="s">
        <v>15</v>
      </c>
      <c r="F999" s="166"/>
      <c r="G999" s="1466"/>
      <c r="H999" s="1466">
        <v>1270080.378</v>
      </c>
      <c r="I999" s="1466"/>
      <c r="J999" s="1466">
        <f t="shared" si="34"/>
        <v>1270080.378</v>
      </c>
      <c r="K999" s="1466"/>
      <c r="L999" s="1540"/>
      <c r="M999" s="1540">
        <f t="shared" si="35"/>
        <v>1270080.378</v>
      </c>
      <c r="N999" s="1539"/>
      <c r="O999" s="559"/>
    </row>
    <row r="1000" spans="1:15" s="540" customFormat="1" ht="14.25" customHeight="1">
      <c r="A1000" s="1536">
        <v>476</v>
      </c>
      <c r="B1000" s="1537"/>
      <c r="C1000" s="1538"/>
      <c r="D1000" s="1539" t="s">
        <v>1296</v>
      </c>
      <c r="E1000" s="1468" t="s">
        <v>15</v>
      </c>
      <c r="F1000" s="166"/>
      <c r="G1000" s="1466"/>
      <c r="H1000" s="1540">
        <v>1138979.9609999999</v>
      </c>
      <c r="I1000" s="1466"/>
      <c r="J1000" s="1466">
        <f t="shared" si="34"/>
        <v>1138979.9609999999</v>
      </c>
      <c r="K1000" s="1466"/>
      <c r="L1000" s="1540"/>
      <c r="M1000" s="1540">
        <f t="shared" si="35"/>
        <v>1138979.9609999999</v>
      </c>
      <c r="N1000" s="1539"/>
      <c r="O1000" s="559"/>
    </row>
    <row r="1001" spans="1:15" s="540" customFormat="1" ht="14.25" customHeight="1">
      <c r="A1001" s="1547">
        <v>477</v>
      </c>
      <c r="B1001" s="1537"/>
      <c r="C1001" s="1538"/>
      <c r="D1001" s="1539" t="s">
        <v>222</v>
      </c>
      <c r="E1001" s="1468" t="s">
        <v>15</v>
      </c>
      <c r="F1001" s="166"/>
      <c r="G1001" s="1466"/>
      <c r="H1001" s="1466">
        <v>1270080.378</v>
      </c>
      <c r="I1001" s="1466"/>
      <c r="J1001" s="1466">
        <f t="shared" si="34"/>
        <v>1270080.378</v>
      </c>
      <c r="K1001" s="1466"/>
      <c r="L1001" s="1540"/>
      <c r="M1001" s="1540">
        <f t="shared" si="35"/>
        <v>1270080.378</v>
      </c>
      <c r="N1001" s="1539"/>
      <c r="O1001" s="559"/>
    </row>
    <row r="1002" spans="1:15" s="540" customFormat="1" ht="14.25" customHeight="1">
      <c r="A1002" s="1547">
        <v>478</v>
      </c>
      <c r="B1002" s="1537"/>
      <c r="C1002" s="1538"/>
      <c r="D1002" s="1539" t="s">
        <v>1070</v>
      </c>
      <c r="E1002" s="1468" t="s">
        <v>15</v>
      </c>
      <c r="F1002" s="166"/>
      <c r="G1002" s="1466"/>
      <c r="H1002" s="1466">
        <v>1270080.378</v>
      </c>
      <c r="I1002" s="1466"/>
      <c r="J1002" s="1466">
        <f t="shared" si="34"/>
        <v>1270080.378</v>
      </c>
      <c r="K1002" s="1466"/>
      <c r="L1002" s="1540"/>
      <c r="M1002" s="1540">
        <f t="shared" si="35"/>
        <v>1270080.378</v>
      </c>
      <c r="N1002" s="1539"/>
      <c r="O1002" s="559"/>
    </row>
    <row r="1003" spans="1:15" s="540" customFormat="1" ht="14.25" customHeight="1">
      <c r="A1003" s="1536">
        <v>479</v>
      </c>
      <c r="B1003" s="1537"/>
      <c r="C1003" s="1538"/>
      <c r="D1003" s="1539" t="s">
        <v>256</v>
      </c>
      <c r="E1003" s="1468" t="s">
        <v>15</v>
      </c>
      <c r="F1003" s="166"/>
      <c r="G1003" s="1466"/>
      <c r="H1003" s="1466">
        <v>1128677.8</v>
      </c>
      <c r="I1003" s="1466"/>
      <c r="J1003" s="1466">
        <f t="shared" si="34"/>
        <v>1128677.8</v>
      </c>
      <c r="K1003" s="1466"/>
      <c r="L1003" s="1540"/>
      <c r="M1003" s="1540">
        <f t="shared" si="35"/>
        <v>1128677.8</v>
      </c>
      <c r="N1003" s="1539"/>
      <c r="O1003" s="559"/>
    </row>
    <row r="1004" spans="1:15" s="540" customFormat="1" ht="14.25" customHeight="1">
      <c r="A1004" s="1547">
        <v>480</v>
      </c>
      <c r="B1004" s="1537"/>
      <c r="C1004" s="1538"/>
      <c r="D1004" s="1539" t="s">
        <v>1297</v>
      </c>
      <c r="E1004" s="1468" t="s">
        <v>15</v>
      </c>
      <c r="F1004" s="166"/>
      <c r="G1004" s="1466"/>
      <c r="H1004" s="1466">
        <v>1189145.3259999999</v>
      </c>
      <c r="I1004" s="1466"/>
      <c r="J1004" s="1466">
        <f t="shared" si="34"/>
        <v>1189145.3259999999</v>
      </c>
      <c r="K1004" s="1466"/>
      <c r="L1004" s="1540"/>
      <c r="M1004" s="1540">
        <f t="shared" si="35"/>
        <v>1189145.3259999999</v>
      </c>
      <c r="N1004" s="1539"/>
      <c r="O1004" s="559"/>
    </row>
    <row r="1005" spans="1:15" s="540" customFormat="1" ht="14.25" customHeight="1">
      <c r="A1005" s="1547">
        <v>481</v>
      </c>
      <c r="B1005" s="1537"/>
      <c r="C1005" s="1538"/>
      <c r="D1005" s="1539" t="s">
        <v>1298</v>
      </c>
      <c r="E1005" s="1468" t="s">
        <v>15</v>
      </c>
      <c r="F1005" s="166"/>
      <c r="G1005" s="1466"/>
      <c r="H1005" s="1466">
        <v>1270080.378</v>
      </c>
      <c r="I1005" s="1466"/>
      <c r="J1005" s="1466">
        <f t="shared" si="34"/>
        <v>1270080.378</v>
      </c>
      <c r="K1005" s="1466"/>
      <c r="L1005" s="1540"/>
      <c r="M1005" s="1540">
        <f t="shared" si="35"/>
        <v>1270080.378</v>
      </c>
      <c r="N1005" s="1539"/>
      <c r="O1005" s="559"/>
    </row>
    <row r="1006" spans="1:15" s="540" customFormat="1" ht="14.25" customHeight="1">
      <c r="A1006" s="1536">
        <v>482</v>
      </c>
      <c r="B1006" s="1537"/>
      <c r="C1006" s="1538"/>
      <c r="D1006" s="1539" t="s">
        <v>252</v>
      </c>
      <c r="E1006" s="1468" t="s">
        <v>15</v>
      </c>
      <c r="F1006" s="166"/>
      <c r="G1006" s="1466"/>
      <c r="H1006" s="1466">
        <v>1128677.8</v>
      </c>
      <c r="I1006" s="1466"/>
      <c r="J1006" s="1466">
        <f t="shared" ref="J1006:J1016" si="38">SUM(G1006:I1006)</f>
        <v>1128677.8</v>
      </c>
      <c r="K1006" s="1466"/>
      <c r="L1006" s="1540"/>
      <c r="M1006" s="1540">
        <f t="shared" ref="M1006:M1016" si="39">J1006-L1006</f>
        <v>1128677.8</v>
      </c>
      <c r="N1006" s="1539"/>
      <c r="O1006" s="559"/>
    </row>
    <row r="1007" spans="1:15" s="540" customFormat="1" ht="14.25" customHeight="1">
      <c r="A1007" s="1547">
        <v>483</v>
      </c>
      <c r="B1007" s="1537"/>
      <c r="C1007" s="1538"/>
      <c r="D1007" s="1539" t="s">
        <v>1299</v>
      </c>
      <c r="E1007" s="1468" t="s">
        <v>15</v>
      </c>
      <c r="F1007" s="166"/>
      <c r="G1007" s="1466"/>
      <c r="H1007" s="1466">
        <v>1189145.3259999999</v>
      </c>
      <c r="I1007" s="1466"/>
      <c r="J1007" s="1466">
        <f t="shared" si="38"/>
        <v>1189145.3259999999</v>
      </c>
      <c r="K1007" s="1466"/>
      <c r="L1007" s="1540"/>
      <c r="M1007" s="1540">
        <f t="shared" si="39"/>
        <v>1189145.3259999999</v>
      </c>
      <c r="N1007" s="1539"/>
      <c r="O1007" s="559"/>
    </row>
    <row r="1008" spans="1:15" s="540" customFormat="1" ht="14.25" customHeight="1">
      <c r="A1008" s="1547">
        <v>484</v>
      </c>
      <c r="B1008" s="1537"/>
      <c r="C1008" s="1538"/>
      <c r="D1008" s="1539" t="s">
        <v>1300</v>
      </c>
      <c r="E1008" s="1468" t="s">
        <v>15</v>
      </c>
      <c r="F1008" s="166"/>
      <c r="G1008" s="1466"/>
      <c r="H1008" s="1466">
        <v>1189145.3259999999</v>
      </c>
      <c r="I1008" s="1466"/>
      <c r="J1008" s="1466">
        <f t="shared" si="38"/>
        <v>1189145.3259999999</v>
      </c>
      <c r="K1008" s="1466"/>
      <c r="L1008" s="1540"/>
      <c r="M1008" s="1540">
        <f t="shared" si="39"/>
        <v>1189145.3259999999</v>
      </c>
      <c r="N1008" s="1539"/>
      <c r="O1008" s="559"/>
    </row>
    <row r="1009" spans="1:15" s="540" customFormat="1" ht="14.25" customHeight="1">
      <c r="A1009" s="1536">
        <v>485</v>
      </c>
      <c r="B1009" s="1537"/>
      <c r="C1009" s="1538"/>
      <c r="D1009" s="1539" t="s">
        <v>888</v>
      </c>
      <c r="E1009" s="1468" t="s">
        <v>15</v>
      </c>
      <c r="F1009" s="166"/>
      <c r="G1009" s="1466"/>
      <c r="H1009" s="1540">
        <v>1108746.1980000001</v>
      </c>
      <c r="I1009" s="1466"/>
      <c r="J1009" s="1466">
        <f t="shared" si="38"/>
        <v>1108746.1980000001</v>
      </c>
      <c r="K1009" s="1466"/>
      <c r="L1009" s="1540"/>
      <c r="M1009" s="1540">
        <f t="shared" si="39"/>
        <v>1108746.1980000001</v>
      </c>
      <c r="N1009" s="1539"/>
      <c r="O1009" s="559"/>
    </row>
    <row r="1010" spans="1:15" s="540" customFormat="1" ht="14.25" customHeight="1">
      <c r="A1010" s="1547">
        <v>486</v>
      </c>
      <c r="B1010" s="1537"/>
      <c r="C1010" s="1538"/>
      <c r="D1010" s="1539" t="s">
        <v>1301</v>
      </c>
      <c r="E1010" s="1468" t="s">
        <v>15</v>
      </c>
      <c r="F1010" s="166"/>
      <c r="G1010" s="1466"/>
      <c r="H1010" s="1540">
        <v>1159179.5249999999</v>
      </c>
      <c r="I1010" s="1466"/>
      <c r="J1010" s="1466">
        <f t="shared" si="38"/>
        <v>1159179.5249999999</v>
      </c>
      <c r="K1010" s="1466"/>
      <c r="L1010" s="1540"/>
      <c r="M1010" s="1540">
        <f t="shared" si="39"/>
        <v>1159179.5249999999</v>
      </c>
      <c r="N1010" s="1539"/>
      <c r="O1010" s="559"/>
    </row>
    <row r="1011" spans="1:15" s="540" customFormat="1" ht="14.25" customHeight="1">
      <c r="A1011" s="1547">
        <v>487</v>
      </c>
      <c r="B1011" s="1537"/>
      <c r="C1011" s="1538"/>
      <c r="D1011" s="1539" t="s">
        <v>257</v>
      </c>
      <c r="E1011" s="1468" t="s">
        <v>15</v>
      </c>
      <c r="F1011" s="166"/>
      <c r="G1011" s="1466"/>
      <c r="H1011" s="1466">
        <v>1270080.378</v>
      </c>
      <c r="I1011" s="1466"/>
      <c r="J1011" s="1466">
        <f t="shared" si="38"/>
        <v>1270080.378</v>
      </c>
      <c r="K1011" s="1466"/>
      <c r="L1011" s="1540"/>
      <c r="M1011" s="1540">
        <f t="shared" si="39"/>
        <v>1270080.378</v>
      </c>
      <c r="N1011" s="1539"/>
      <c r="O1011" s="559"/>
    </row>
    <row r="1012" spans="1:15" s="540" customFormat="1" ht="14.25" customHeight="1">
      <c r="A1012" s="1536">
        <v>488</v>
      </c>
      <c r="B1012" s="1537"/>
      <c r="C1012" s="1538"/>
      <c r="D1012" s="1539" t="s">
        <v>1302</v>
      </c>
      <c r="E1012" s="1468" t="s">
        <v>15</v>
      </c>
      <c r="F1012" s="166"/>
      <c r="G1012" s="1466"/>
      <c r="H1012" s="1466">
        <v>1159179.5249999999</v>
      </c>
      <c r="I1012" s="1466"/>
      <c r="J1012" s="1466">
        <f t="shared" si="38"/>
        <v>1159179.5249999999</v>
      </c>
      <c r="K1012" s="1466"/>
      <c r="L1012" s="1540"/>
      <c r="M1012" s="1540">
        <f t="shared" si="39"/>
        <v>1159179.5249999999</v>
      </c>
      <c r="N1012" s="1539"/>
      <c r="O1012" s="559"/>
    </row>
    <row r="1013" spans="1:15" s="540" customFormat="1" ht="14.25" customHeight="1">
      <c r="A1013" s="1547">
        <v>489</v>
      </c>
      <c r="B1013" s="1537"/>
      <c r="C1013" s="1538"/>
      <c r="D1013" s="1539" t="s">
        <v>1303</v>
      </c>
      <c r="E1013" s="1468" t="s">
        <v>15</v>
      </c>
      <c r="F1013" s="166"/>
      <c r="G1013" s="1466"/>
      <c r="H1013" s="1466">
        <v>1270080.378</v>
      </c>
      <c r="I1013" s="1466"/>
      <c r="J1013" s="1466">
        <f t="shared" si="38"/>
        <v>1270080.378</v>
      </c>
      <c r="K1013" s="1466"/>
      <c r="L1013" s="1540"/>
      <c r="M1013" s="1540">
        <f t="shared" si="39"/>
        <v>1270080.378</v>
      </c>
      <c r="N1013" s="1539"/>
      <c r="O1013" s="559"/>
    </row>
    <row r="1014" spans="1:15" s="540" customFormat="1" ht="14.25" customHeight="1">
      <c r="A1014" s="1547">
        <v>490</v>
      </c>
      <c r="B1014" s="1537"/>
      <c r="C1014" s="1538"/>
      <c r="D1014" s="1539" t="s">
        <v>1304</v>
      </c>
      <c r="E1014" s="1468" t="s">
        <v>15</v>
      </c>
      <c r="F1014" s="166"/>
      <c r="G1014" s="1466"/>
      <c r="H1014" s="1466">
        <v>1159179.5249999999</v>
      </c>
      <c r="I1014" s="1466"/>
      <c r="J1014" s="1466">
        <f t="shared" si="38"/>
        <v>1159179.5249999999</v>
      </c>
      <c r="K1014" s="1466"/>
      <c r="L1014" s="1540"/>
      <c r="M1014" s="1540">
        <f t="shared" si="39"/>
        <v>1159179.5249999999</v>
      </c>
      <c r="N1014" s="1539"/>
      <c r="O1014" s="559"/>
    </row>
    <row r="1015" spans="1:15" s="540" customFormat="1" ht="14.25" customHeight="1">
      <c r="A1015" s="1536">
        <v>491</v>
      </c>
      <c r="B1015" s="1537"/>
      <c r="C1015" s="1538"/>
      <c r="D1015" s="1539" t="s">
        <v>1305</v>
      </c>
      <c r="E1015" s="1468" t="s">
        <v>15</v>
      </c>
      <c r="F1015" s="166"/>
      <c r="G1015" s="1466"/>
      <c r="H1015" s="1540">
        <v>1138979.9609999999</v>
      </c>
      <c r="I1015" s="1466"/>
      <c r="J1015" s="1466">
        <f t="shared" si="38"/>
        <v>1138979.9609999999</v>
      </c>
      <c r="K1015" s="1466"/>
      <c r="L1015" s="1540"/>
      <c r="M1015" s="1540">
        <f t="shared" si="39"/>
        <v>1138979.9609999999</v>
      </c>
      <c r="N1015" s="1539"/>
      <c r="O1015" s="559"/>
    </row>
    <row r="1016" spans="1:15" s="540" customFormat="1" ht="14.25" customHeight="1">
      <c r="A1016" s="1547">
        <v>492</v>
      </c>
      <c r="B1016" s="1537"/>
      <c r="C1016" s="1538"/>
      <c r="D1016" s="1539" t="s">
        <v>1306</v>
      </c>
      <c r="E1016" s="1468" t="s">
        <v>15</v>
      </c>
      <c r="F1016" s="166"/>
      <c r="G1016" s="1466"/>
      <c r="H1016" s="1466">
        <v>1270080.378</v>
      </c>
      <c r="I1016" s="1466"/>
      <c r="J1016" s="1466">
        <f t="shared" si="38"/>
        <v>1270080.378</v>
      </c>
      <c r="K1016" s="1466"/>
      <c r="L1016" s="1540"/>
      <c r="M1016" s="1540">
        <f t="shared" si="39"/>
        <v>1270080.378</v>
      </c>
      <c r="N1016" s="1539"/>
      <c r="O1016" s="559"/>
    </row>
    <row r="1017" spans="1:15" s="540" customFormat="1" ht="14.25" customHeight="1">
      <c r="A1017" s="1547">
        <v>493</v>
      </c>
      <c r="B1017" s="1537"/>
      <c r="C1017" s="1538"/>
      <c r="D1017" s="1539" t="s">
        <v>1307</v>
      </c>
      <c r="E1017" s="1468" t="s">
        <v>15</v>
      </c>
      <c r="F1017" s="166"/>
      <c r="G1017" s="1466">
        <v>1270080.378</v>
      </c>
      <c r="H1017" s="1466"/>
      <c r="I1017" s="1466"/>
      <c r="J1017" s="1466">
        <f t="shared" ref="J1017:J1096" si="40">SUM(G1017:I1017)</f>
        <v>1270080.378</v>
      </c>
      <c r="K1017" s="1466"/>
      <c r="L1017" s="1540"/>
      <c r="M1017" s="1540">
        <f t="shared" ref="M1017:M1096" si="41">J1017-L1017</f>
        <v>1270080.378</v>
      </c>
      <c r="N1017" s="1539"/>
      <c r="O1017" s="559"/>
    </row>
    <row r="1018" spans="1:15" s="540" customFormat="1" ht="14.25" customHeight="1">
      <c r="A1018" s="1536">
        <v>494</v>
      </c>
      <c r="B1018" s="1537"/>
      <c r="C1018" s="1538"/>
      <c r="D1018" s="1539" t="s">
        <v>259</v>
      </c>
      <c r="E1018" s="1468" t="s">
        <v>15</v>
      </c>
      <c r="F1018" s="166"/>
      <c r="G1018" s="1466">
        <v>1128677.8</v>
      </c>
      <c r="H1018" s="1466"/>
      <c r="I1018" s="1466"/>
      <c r="J1018" s="1466">
        <f t="shared" si="40"/>
        <v>1128677.8</v>
      </c>
      <c r="K1018" s="1466"/>
      <c r="L1018" s="1540"/>
      <c r="M1018" s="1540">
        <f t="shared" si="41"/>
        <v>1128677.8</v>
      </c>
      <c r="N1018" s="1539"/>
      <c r="O1018" s="559"/>
    </row>
    <row r="1019" spans="1:15" s="540" customFormat="1" ht="14.25" customHeight="1">
      <c r="A1019" s="1547">
        <v>495</v>
      </c>
      <c r="B1019" s="1537"/>
      <c r="C1019" s="1538"/>
      <c r="D1019" s="1539" t="s">
        <v>527</v>
      </c>
      <c r="E1019" s="1468" t="s">
        <v>15</v>
      </c>
      <c r="F1019" s="166"/>
      <c r="G1019" s="1466">
        <v>1189145.3259999999</v>
      </c>
      <c r="H1019" s="1466"/>
      <c r="I1019" s="1466"/>
      <c r="J1019" s="1466">
        <f t="shared" si="40"/>
        <v>1189145.3259999999</v>
      </c>
      <c r="K1019" s="1466"/>
      <c r="L1019" s="1540"/>
      <c r="M1019" s="1540">
        <f t="shared" si="41"/>
        <v>1189145.3259999999</v>
      </c>
      <c r="N1019" s="1539"/>
      <c r="O1019" s="559"/>
    </row>
    <row r="1020" spans="1:15" s="540" customFormat="1" ht="14.25" customHeight="1">
      <c r="A1020" s="1547">
        <v>496</v>
      </c>
      <c r="B1020" s="1537"/>
      <c r="C1020" s="1538"/>
      <c r="D1020" s="1539" t="s">
        <v>1308</v>
      </c>
      <c r="E1020" s="1468" t="s">
        <v>15</v>
      </c>
      <c r="F1020" s="166"/>
      <c r="G1020" s="1466">
        <v>1189145.3259999999</v>
      </c>
      <c r="H1020" s="1466"/>
      <c r="I1020" s="1466"/>
      <c r="J1020" s="1466">
        <f t="shared" si="40"/>
        <v>1189145.3259999999</v>
      </c>
      <c r="K1020" s="1466"/>
      <c r="L1020" s="1540"/>
      <c r="M1020" s="1540">
        <f t="shared" si="41"/>
        <v>1189145.3259999999</v>
      </c>
      <c r="N1020" s="1539"/>
      <c r="O1020" s="559"/>
    </row>
    <row r="1021" spans="1:15" s="540" customFormat="1" ht="14.25" customHeight="1">
      <c r="A1021" s="1536">
        <v>497</v>
      </c>
      <c r="B1021" s="1537"/>
      <c r="C1021" s="1538"/>
      <c r="D1021" s="1539" t="s">
        <v>240</v>
      </c>
      <c r="E1021" s="1468" t="s">
        <v>15</v>
      </c>
      <c r="F1021" s="166"/>
      <c r="G1021" s="1540">
        <v>1108746.1980000001</v>
      </c>
      <c r="H1021" s="1466"/>
      <c r="I1021" s="1466"/>
      <c r="J1021" s="1466">
        <f t="shared" si="40"/>
        <v>1108746.1980000001</v>
      </c>
      <c r="K1021" s="1466"/>
      <c r="L1021" s="1540"/>
      <c r="M1021" s="1540">
        <f t="shared" si="41"/>
        <v>1108746.1980000001</v>
      </c>
      <c r="N1021" s="1539"/>
      <c r="O1021" s="559"/>
    </row>
    <row r="1022" spans="1:15" s="540" customFormat="1" ht="14.25" customHeight="1">
      <c r="A1022" s="1547">
        <v>498</v>
      </c>
      <c r="B1022" s="1537"/>
      <c r="C1022" s="1538"/>
      <c r="D1022" s="1539" t="s">
        <v>1309</v>
      </c>
      <c r="E1022" s="1468" t="s">
        <v>15</v>
      </c>
      <c r="F1022" s="166"/>
      <c r="G1022" s="1540">
        <v>1159179.5249999999</v>
      </c>
      <c r="H1022" s="1466"/>
      <c r="I1022" s="1466"/>
      <c r="J1022" s="1466">
        <f t="shared" si="40"/>
        <v>1159179.5249999999</v>
      </c>
      <c r="K1022" s="1466"/>
      <c r="L1022" s="1540"/>
      <c r="M1022" s="1540">
        <f t="shared" si="41"/>
        <v>1159179.5249999999</v>
      </c>
      <c r="N1022" s="1539"/>
      <c r="O1022" s="559"/>
    </row>
    <row r="1023" spans="1:15" s="540" customFormat="1" ht="14.25" customHeight="1">
      <c r="A1023" s="1547">
        <v>499</v>
      </c>
      <c r="B1023" s="1537"/>
      <c r="C1023" s="1538"/>
      <c r="D1023" s="1539" t="s">
        <v>708</v>
      </c>
      <c r="E1023" s="1468" t="s">
        <v>15</v>
      </c>
      <c r="F1023" s="166"/>
      <c r="G1023" s="1466">
        <v>1270080.378</v>
      </c>
      <c r="H1023" s="1466"/>
      <c r="I1023" s="1466"/>
      <c r="J1023" s="1466">
        <f t="shared" si="40"/>
        <v>1270080.378</v>
      </c>
      <c r="K1023" s="1466"/>
      <c r="L1023" s="1540"/>
      <c r="M1023" s="1540">
        <f t="shared" si="41"/>
        <v>1270080.378</v>
      </c>
      <c r="N1023" s="1539"/>
      <c r="O1023" s="559"/>
    </row>
    <row r="1024" spans="1:15" s="540" customFormat="1" ht="14.25" customHeight="1">
      <c r="A1024" s="1536">
        <v>500</v>
      </c>
      <c r="B1024" s="1537"/>
      <c r="C1024" s="1538"/>
      <c r="D1024" s="1539" t="s">
        <v>262</v>
      </c>
      <c r="E1024" s="1468" t="s">
        <v>15</v>
      </c>
      <c r="F1024" s="166"/>
      <c r="G1024" s="1466">
        <v>1159179.5249999999</v>
      </c>
      <c r="H1024" s="1466"/>
      <c r="I1024" s="1466"/>
      <c r="J1024" s="1466">
        <f t="shared" si="40"/>
        <v>1159179.5249999999</v>
      </c>
      <c r="K1024" s="1466"/>
      <c r="L1024" s="1540"/>
      <c r="M1024" s="1540">
        <f t="shared" si="41"/>
        <v>1159179.5249999999</v>
      </c>
      <c r="N1024" s="1539"/>
      <c r="O1024" s="559"/>
    </row>
    <row r="1025" spans="1:15" s="540" customFormat="1" ht="14.25" customHeight="1">
      <c r="A1025" s="1547">
        <v>501</v>
      </c>
      <c r="B1025" s="1537"/>
      <c r="C1025" s="1538"/>
      <c r="D1025" s="1539" t="s">
        <v>1310</v>
      </c>
      <c r="E1025" s="1468" t="s">
        <v>15</v>
      </c>
      <c r="F1025" s="166"/>
      <c r="G1025" s="1466">
        <v>1270080.378</v>
      </c>
      <c r="H1025" s="1466"/>
      <c r="I1025" s="1466"/>
      <c r="J1025" s="1466">
        <f t="shared" si="40"/>
        <v>1270080.378</v>
      </c>
      <c r="K1025" s="1466"/>
      <c r="L1025" s="1540"/>
      <c r="M1025" s="1540">
        <f t="shared" si="41"/>
        <v>1270080.378</v>
      </c>
      <c r="N1025" s="1539"/>
      <c r="O1025" s="559"/>
    </row>
    <row r="1026" spans="1:15" s="540" customFormat="1" ht="14.25" customHeight="1">
      <c r="A1026" s="1547">
        <v>502</v>
      </c>
      <c r="B1026" s="1537"/>
      <c r="C1026" s="1538"/>
      <c r="D1026" s="1539" t="s">
        <v>312</v>
      </c>
      <c r="E1026" s="1468" t="s">
        <v>15</v>
      </c>
      <c r="F1026" s="166"/>
      <c r="G1026" s="1466">
        <v>1159179.5249999999</v>
      </c>
      <c r="H1026" s="1466"/>
      <c r="I1026" s="1466"/>
      <c r="J1026" s="1466">
        <f t="shared" si="40"/>
        <v>1159179.5249999999</v>
      </c>
      <c r="K1026" s="1466"/>
      <c r="L1026" s="1540"/>
      <c r="M1026" s="1540">
        <f t="shared" si="41"/>
        <v>1159179.5249999999</v>
      </c>
      <c r="N1026" s="1539"/>
      <c r="O1026" s="559"/>
    </row>
    <row r="1027" spans="1:15" s="540" customFormat="1" ht="14.25" customHeight="1">
      <c r="A1027" s="1536">
        <v>503</v>
      </c>
      <c r="B1027" s="1537"/>
      <c r="C1027" s="1538"/>
      <c r="D1027" s="1539" t="s">
        <v>594</v>
      </c>
      <c r="E1027" s="1468" t="s">
        <v>15</v>
      </c>
      <c r="F1027" s="166"/>
      <c r="G1027" s="1540">
        <v>1138979.9609999999</v>
      </c>
      <c r="H1027" s="1466"/>
      <c r="I1027" s="1466"/>
      <c r="J1027" s="1466">
        <f t="shared" si="40"/>
        <v>1138979.9609999999</v>
      </c>
      <c r="K1027" s="1466"/>
      <c r="L1027" s="1540"/>
      <c r="M1027" s="1540">
        <f t="shared" si="41"/>
        <v>1138979.9609999999</v>
      </c>
      <c r="N1027" s="1539"/>
      <c r="O1027" s="559"/>
    </row>
    <row r="1028" spans="1:15" s="540" customFormat="1" ht="14.25" customHeight="1">
      <c r="A1028" s="1547">
        <v>504</v>
      </c>
      <c r="B1028" s="1537"/>
      <c r="C1028" s="1538"/>
      <c r="D1028" s="1539" t="s">
        <v>1311</v>
      </c>
      <c r="E1028" s="1468" t="s">
        <v>15</v>
      </c>
      <c r="F1028" s="166"/>
      <c r="G1028" s="1466">
        <v>1270080.378</v>
      </c>
      <c r="H1028" s="1466"/>
      <c r="I1028" s="1466"/>
      <c r="J1028" s="1466">
        <f t="shared" si="40"/>
        <v>1270080.378</v>
      </c>
      <c r="K1028" s="1466"/>
      <c r="L1028" s="1540"/>
      <c r="M1028" s="1540">
        <f t="shared" si="41"/>
        <v>1270080.378</v>
      </c>
      <c r="N1028" s="1539"/>
      <c r="O1028" s="559"/>
    </row>
    <row r="1029" spans="1:15" s="540" customFormat="1" ht="14.25" customHeight="1">
      <c r="A1029" s="1547">
        <v>505</v>
      </c>
      <c r="B1029" s="1537"/>
      <c r="C1029" s="1538"/>
      <c r="D1029" s="1539" t="s">
        <v>1312</v>
      </c>
      <c r="E1029" s="1468" t="s">
        <v>15</v>
      </c>
      <c r="F1029" s="166"/>
      <c r="G1029" s="1466">
        <v>1270080.378</v>
      </c>
      <c r="H1029" s="1466"/>
      <c r="I1029" s="1466"/>
      <c r="J1029" s="1466">
        <f t="shared" si="40"/>
        <v>1270080.378</v>
      </c>
      <c r="K1029" s="1466"/>
      <c r="L1029" s="1540"/>
      <c r="M1029" s="1540">
        <f t="shared" si="41"/>
        <v>1270080.378</v>
      </c>
      <c r="N1029" s="1539"/>
      <c r="O1029" s="559"/>
    </row>
    <row r="1030" spans="1:15" s="540" customFormat="1" ht="14.25" customHeight="1">
      <c r="A1030" s="1536">
        <v>506</v>
      </c>
      <c r="B1030" s="1537"/>
      <c r="C1030" s="1538"/>
      <c r="D1030" s="1539" t="s">
        <v>250</v>
      </c>
      <c r="E1030" s="1468" t="s">
        <v>15</v>
      </c>
      <c r="F1030" s="166"/>
      <c r="G1030" s="1466">
        <v>1108746.1980000001</v>
      </c>
      <c r="H1030" s="1466"/>
      <c r="I1030" s="1466"/>
      <c r="J1030" s="1466">
        <f t="shared" si="40"/>
        <v>1108746.1980000001</v>
      </c>
      <c r="K1030" s="1466"/>
      <c r="L1030" s="1540"/>
      <c r="M1030" s="1540">
        <f t="shared" si="41"/>
        <v>1108746.1980000001</v>
      </c>
      <c r="N1030" s="1539"/>
      <c r="O1030" s="559"/>
    </row>
    <row r="1031" spans="1:15" s="540" customFormat="1" ht="14.25" customHeight="1">
      <c r="A1031" s="1547">
        <v>507</v>
      </c>
      <c r="B1031" s="1537"/>
      <c r="C1031" s="1538"/>
      <c r="D1031" s="1539" t="s">
        <v>1313</v>
      </c>
      <c r="E1031" s="1468" t="s">
        <v>15</v>
      </c>
      <c r="F1031" s="166"/>
      <c r="G1031" s="1466">
        <v>1270080.378</v>
      </c>
      <c r="H1031" s="1466"/>
      <c r="I1031" s="1466"/>
      <c r="J1031" s="1466">
        <f t="shared" si="40"/>
        <v>1270080.378</v>
      </c>
      <c r="K1031" s="1466"/>
      <c r="L1031" s="1540"/>
      <c r="M1031" s="1540">
        <f t="shared" si="41"/>
        <v>1270080.378</v>
      </c>
      <c r="N1031" s="1539"/>
      <c r="O1031" s="559"/>
    </row>
    <row r="1032" spans="1:15" s="540" customFormat="1" ht="14.25" customHeight="1">
      <c r="A1032" s="1547">
        <v>508</v>
      </c>
      <c r="B1032" s="1537"/>
      <c r="C1032" s="1538"/>
      <c r="D1032" s="1539" t="s">
        <v>99</v>
      </c>
      <c r="E1032" s="1468" t="s">
        <v>15</v>
      </c>
      <c r="F1032" s="166"/>
      <c r="G1032" s="1466">
        <v>1259007.19934334</v>
      </c>
      <c r="H1032" s="1466"/>
      <c r="I1032" s="1466"/>
      <c r="J1032" s="1466">
        <f t="shared" si="40"/>
        <v>1259007.19934334</v>
      </c>
      <c r="K1032" s="1466"/>
      <c r="L1032" s="1540"/>
      <c r="M1032" s="1540">
        <f t="shared" si="41"/>
        <v>1259007.19934334</v>
      </c>
      <c r="N1032" s="1539"/>
      <c r="O1032" s="559"/>
    </row>
    <row r="1033" spans="1:15" s="540" customFormat="1" ht="14.25" customHeight="1">
      <c r="A1033" s="1536">
        <v>509</v>
      </c>
      <c r="B1033" s="1537"/>
      <c r="C1033" s="1538"/>
      <c r="D1033" s="1539" t="s">
        <v>246</v>
      </c>
      <c r="E1033" s="1468" t="s">
        <v>15</v>
      </c>
      <c r="F1033" s="166"/>
      <c r="G1033" s="1466">
        <v>1148746.1980000001</v>
      </c>
      <c r="H1033" s="1466"/>
      <c r="I1033" s="1466"/>
      <c r="J1033" s="1466">
        <f t="shared" si="40"/>
        <v>1148746.1980000001</v>
      </c>
      <c r="K1033" s="1466"/>
      <c r="L1033" s="1540"/>
      <c r="M1033" s="1540">
        <f t="shared" si="41"/>
        <v>1148746.1980000001</v>
      </c>
      <c r="N1033" s="1539"/>
      <c r="O1033" s="559"/>
    </row>
    <row r="1034" spans="1:15" s="540" customFormat="1" ht="14.25" customHeight="1">
      <c r="A1034" s="1547">
        <v>510</v>
      </c>
      <c r="B1034" s="1537"/>
      <c r="C1034" s="1538"/>
      <c r="D1034" s="1539" t="s">
        <v>1314</v>
      </c>
      <c r="E1034" s="1468" t="s">
        <v>15</v>
      </c>
      <c r="F1034" s="166"/>
      <c r="G1034" s="1466">
        <v>1270080.378</v>
      </c>
      <c r="H1034" s="1466"/>
      <c r="I1034" s="1466"/>
      <c r="J1034" s="1466">
        <f t="shared" si="40"/>
        <v>1270080.378</v>
      </c>
      <c r="K1034" s="1466"/>
      <c r="L1034" s="1540"/>
      <c r="M1034" s="1540">
        <f t="shared" si="41"/>
        <v>1270080.378</v>
      </c>
      <c r="N1034" s="1539"/>
      <c r="O1034" s="559"/>
    </row>
    <row r="1035" spans="1:15" s="540" customFormat="1" ht="14.25" customHeight="1">
      <c r="A1035" s="1547">
        <v>511</v>
      </c>
      <c r="B1035" s="1537"/>
      <c r="C1035" s="1538"/>
      <c r="D1035" s="1539" t="s">
        <v>207</v>
      </c>
      <c r="E1035" s="1468" t="s">
        <v>15</v>
      </c>
      <c r="F1035" s="166"/>
      <c r="G1035" s="1466">
        <v>1128677.8</v>
      </c>
      <c r="H1035" s="1466"/>
      <c r="I1035" s="1466"/>
      <c r="J1035" s="1466">
        <f t="shared" si="40"/>
        <v>1128677.8</v>
      </c>
      <c r="K1035" s="1466"/>
      <c r="L1035" s="1540"/>
      <c r="M1035" s="1540">
        <f t="shared" si="41"/>
        <v>1128677.8</v>
      </c>
      <c r="N1035" s="1539"/>
      <c r="O1035" s="559"/>
    </row>
    <row r="1036" spans="1:15" s="540" customFormat="1" ht="14.25" customHeight="1">
      <c r="A1036" s="1536">
        <v>512</v>
      </c>
      <c r="B1036" s="1537"/>
      <c r="C1036" s="1538"/>
      <c r="D1036" s="1539" t="s">
        <v>1315</v>
      </c>
      <c r="E1036" s="1468" t="s">
        <v>15</v>
      </c>
      <c r="F1036" s="166"/>
      <c r="G1036" s="1466">
        <v>1189145.3259999999</v>
      </c>
      <c r="H1036" s="1466"/>
      <c r="I1036" s="1466"/>
      <c r="J1036" s="1466">
        <f t="shared" si="40"/>
        <v>1189145.3259999999</v>
      </c>
      <c r="K1036" s="1466"/>
      <c r="L1036" s="1540"/>
      <c r="M1036" s="1540">
        <f t="shared" si="41"/>
        <v>1189145.3259999999</v>
      </c>
      <c r="N1036" s="1539"/>
      <c r="O1036" s="559"/>
    </row>
    <row r="1037" spans="1:15" s="540" customFormat="1" ht="14.25" customHeight="1">
      <c r="A1037" s="1547">
        <v>513</v>
      </c>
      <c r="B1037" s="1537"/>
      <c r="C1037" s="1538"/>
      <c r="D1037" s="1539" t="s">
        <v>1316</v>
      </c>
      <c r="E1037" s="1468" t="s">
        <v>15</v>
      </c>
      <c r="F1037" s="166"/>
      <c r="G1037" s="1466">
        <v>1249612.852</v>
      </c>
      <c r="H1037" s="1466"/>
      <c r="I1037" s="1466"/>
      <c r="J1037" s="1466">
        <f t="shared" si="40"/>
        <v>1249612.852</v>
      </c>
      <c r="K1037" s="1466"/>
      <c r="L1037" s="1540"/>
      <c r="M1037" s="1540">
        <f t="shared" si="41"/>
        <v>1249612.852</v>
      </c>
      <c r="N1037" s="1539"/>
      <c r="O1037" s="559"/>
    </row>
    <row r="1038" spans="1:15" s="540" customFormat="1" ht="14.25" customHeight="1">
      <c r="A1038" s="1547">
        <v>514</v>
      </c>
      <c r="B1038" s="1537"/>
      <c r="C1038" s="1538"/>
      <c r="D1038" s="1539" t="s">
        <v>269</v>
      </c>
      <c r="E1038" s="1468" t="s">
        <v>15</v>
      </c>
      <c r="F1038" s="166"/>
      <c r="G1038" s="1466">
        <v>1159179.5249999999</v>
      </c>
      <c r="H1038" s="1466"/>
      <c r="I1038" s="1466"/>
      <c r="J1038" s="1466">
        <f t="shared" si="40"/>
        <v>1159179.5249999999</v>
      </c>
      <c r="K1038" s="1466"/>
      <c r="L1038" s="1540"/>
      <c r="M1038" s="1540">
        <f t="shared" si="41"/>
        <v>1159179.5249999999</v>
      </c>
      <c r="N1038" s="1539"/>
      <c r="O1038" s="559"/>
    </row>
    <row r="1039" spans="1:15" s="540" customFormat="1" ht="14.25" customHeight="1">
      <c r="A1039" s="1536">
        <v>515</v>
      </c>
      <c r="B1039" s="1537"/>
      <c r="C1039" s="1538"/>
      <c r="D1039" s="1539" t="s">
        <v>1317</v>
      </c>
      <c r="E1039" s="1468" t="s">
        <v>15</v>
      </c>
      <c r="F1039" s="166"/>
      <c r="G1039" s="1540">
        <v>1108746.1980000001</v>
      </c>
      <c r="H1039" s="1466"/>
      <c r="I1039" s="1466"/>
      <c r="J1039" s="1466">
        <f t="shared" si="40"/>
        <v>1108746.1980000001</v>
      </c>
      <c r="K1039" s="1466"/>
      <c r="L1039" s="1540"/>
      <c r="M1039" s="1540">
        <f t="shared" si="41"/>
        <v>1108746.1980000001</v>
      </c>
      <c r="N1039" s="1539"/>
      <c r="O1039" s="559"/>
    </row>
    <row r="1040" spans="1:15" s="540" customFormat="1" ht="14.25" customHeight="1">
      <c r="A1040" s="1547">
        <v>516</v>
      </c>
      <c r="B1040" s="1537"/>
      <c r="C1040" s="1538"/>
      <c r="D1040" s="1539" t="s">
        <v>1318</v>
      </c>
      <c r="E1040" s="1468" t="s">
        <v>15</v>
      </c>
      <c r="F1040" s="166"/>
      <c r="G1040" s="1540">
        <v>1159179.5249999999</v>
      </c>
      <c r="H1040" s="1466"/>
      <c r="I1040" s="1466"/>
      <c r="J1040" s="1466">
        <f t="shared" si="40"/>
        <v>1159179.5249999999</v>
      </c>
      <c r="K1040" s="1466"/>
      <c r="L1040" s="1540"/>
      <c r="M1040" s="1540">
        <f t="shared" si="41"/>
        <v>1159179.5249999999</v>
      </c>
      <c r="N1040" s="1539"/>
      <c r="O1040" s="559"/>
    </row>
    <row r="1041" spans="1:15" s="540" customFormat="1" ht="14.25" customHeight="1">
      <c r="A1041" s="1547">
        <v>517</v>
      </c>
      <c r="B1041" s="1537"/>
      <c r="C1041" s="1538"/>
      <c r="D1041" s="1539" t="s">
        <v>208</v>
      </c>
      <c r="E1041" s="1468" t="s">
        <v>15</v>
      </c>
      <c r="F1041" s="166"/>
      <c r="G1041" s="1466">
        <v>1270080.378</v>
      </c>
      <c r="H1041" s="1466"/>
      <c r="I1041" s="1466"/>
      <c r="J1041" s="1466">
        <f t="shared" si="40"/>
        <v>1270080.378</v>
      </c>
      <c r="K1041" s="1466"/>
      <c r="L1041" s="1540"/>
      <c r="M1041" s="1540">
        <f t="shared" si="41"/>
        <v>1270080.378</v>
      </c>
      <c r="N1041" s="1539"/>
      <c r="O1041" s="559"/>
    </row>
    <row r="1042" spans="1:15" s="540" customFormat="1" ht="14.25" customHeight="1">
      <c r="A1042" s="1536">
        <v>518</v>
      </c>
      <c r="B1042" s="1537"/>
      <c r="C1042" s="1538"/>
      <c r="D1042" s="1539" t="s">
        <v>1319</v>
      </c>
      <c r="E1042" s="1468" t="s">
        <v>15</v>
      </c>
      <c r="F1042" s="166"/>
      <c r="G1042" s="1466">
        <v>1159179.5249999999</v>
      </c>
      <c r="H1042" s="1466"/>
      <c r="I1042" s="1466"/>
      <c r="J1042" s="1466">
        <f t="shared" si="40"/>
        <v>1159179.5249999999</v>
      </c>
      <c r="K1042" s="1466"/>
      <c r="L1042" s="1540"/>
      <c r="M1042" s="1540">
        <f t="shared" si="41"/>
        <v>1159179.5249999999</v>
      </c>
      <c r="N1042" s="1539"/>
      <c r="O1042" s="559"/>
    </row>
    <row r="1043" spans="1:15" s="540" customFormat="1" ht="14.25" customHeight="1">
      <c r="A1043" s="1547">
        <v>519</v>
      </c>
      <c r="B1043" s="1537"/>
      <c r="C1043" s="1538"/>
      <c r="D1043" s="1539" t="s">
        <v>1320</v>
      </c>
      <c r="E1043" s="1468" t="s">
        <v>15</v>
      </c>
      <c r="F1043" s="166"/>
      <c r="G1043" s="1466">
        <v>1270080.378</v>
      </c>
      <c r="H1043" s="1466"/>
      <c r="I1043" s="1466"/>
      <c r="J1043" s="1466">
        <f t="shared" si="40"/>
        <v>1270080.378</v>
      </c>
      <c r="K1043" s="1466"/>
      <c r="L1043" s="1540"/>
      <c r="M1043" s="1540">
        <f t="shared" si="41"/>
        <v>1270080.378</v>
      </c>
      <c r="N1043" s="1539"/>
      <c r="O1043" s="559"/>
    </row>
    <row r="1044" spans="1:15" s="540" customFormat="1" ht="14.25" customHeight="1">
      <c r="A1044" s="1547">
        <v>520</v>
      </c>
      <c r="B1044" s="1537"/>
      <c r="C1044" s="1538"/>
      <c r="D1044" s="1539" t="s">
        <v>261</v>
      </c>
      <c r="E1044" s="1468" t="s">
        <v>15</v>
      </c>
      <c r="F1044" s="166"/>
      <c r="G1044" s="1466">
        <v>1159179.5249999999</v>
      </c>
      <c r="H1044" s="1466"/>
      <c r="I1044" s="1466"/>
      <c r="J1044" s="1466">
        <f t="shared" si="40"/>
        <v>1159179.5249999999</v>
      </c>
      <c r="K1044" s="1466"/>
      <c r="L1044" s="1540"/>
      <c r="M1044" s="1540">
        <f t="shared" si="41"/>
        <v>1159179.5249999999</v>
      </c>
      <c r="N1044" s="1539"/>
      <c r="O1044" s="559"/>
    </row>
    <row r="1045" spans="1:15" s="540" customFormat="1" ht="14.25" customHeight="1">
      <c r="A1045" s="1536">
        <v>521</v>
      </c>
      <c r="B1045" s="1537"/>
      <c r="C1045" s="1538"/>
      <c r="D1045" s="1539" t="s">
        <v>1321</v>
      </c>
      <c r="E1045" s="1468" t="s">
        <v>15</v>
      </c>
      <c r="F1045" s="166"/>
      <c r="G1045" s="1466">
        <v>1270080.378</v>
      </c>
      <c r="H1045" s="1466"/>
      <c r="I1045" s="1466"/>
      <c r="J1045" s="1466">
        <f t="shared" si="40"/>
        <v>1270080.378</v>
      </c>
      <c r="K1045" s="1466"/>
      <c r="L1045" s="1540"/>
      <c r="M1045" s="1540">
        <f t="shared" si="41"/>
        <v>1270080.378</v>
      </c>
      <c r="N1045" s="1539"/>
      <c r="O1045" s="559"/>
    </row>
    <row r="1046" spans="1:15" s="540" customFormat="1" ht="14.25" customHeight="1">
      <c r="A1046" s="1547">
        <v>522</v>
      </c>
      <c r="B1046" s="1537"/>
      <c r="C1046" s="1538"/>
      <c r="D1046" s="1539" t="s">
        <v>1322</v>
      </c>
      <c r="E1046" s="1468" t="s">
        <v>15</v>
      </c>
      <c r="F1046" s="166"/>
      <c r="G1046" s="1466">
        <v>1270080.378</v>
      </c>
      <c r="H1046" s="1466"/>
      <c r="I1046" s="1466"/>
      <c r="J1046" s="1466">
        <f t="shared" si="40"/>
        <v>1270080.378</v>
      </c>
      <c r="K1046" s="1466"/>
      <c r="L1046" s="1540"/>
      <c r="M1046" s="1540">
        <f t="shared" si="41"/>
        <v>1270080.378</v>
      </c>
      <c r="N1046" s="1539"/>
      <c r="O1046" s="559"/>
    </row>
    <row r="1047" spans="1:15" s="540" customFormat="1" ht="14.25" customHeight="1">
      <c r="A1047" s="1547">
        <v>523</v>
      </c>
      <c r="B1047" s="1537"/>
      <c r="C1047" s="1538"/>
      <c r="D1047" s="1539" t="s">
        <v>251</v>
      </c>
      <c r="E1047" s="1468" t="s">
        <v>15</v>
      </c>
      <c r="F1047" s="166"/>
      <c r="G1047" s="1540">
        <v>1138979.9609999999</v>
      </c>
      <c r="H1047" s="1466"/>
      <c r="I1047" s="1466"/>
      <c r="J1047" s="1466">
        <f t="shared" si="40"/>
        <v>1138979.9609999999</v>
      </c>
      <c r="K1047" s="1466"/>
      <c r="L1047" s="1540"/>
      <c r="M1047" s="1540">
        <f t="shared" si="41"/>
        <v>1138979.9609999999</v>
      </c>
      <c r="N1047" s="1539"/>
      <c r="O1047" s="559"/>
    </row>
    <row r="1048" spans="1:15" s="540" customFormat="1" ht="14.25" customHeight="1">
      <c r="A1048" s="1536">
        <v>524</v>
      </c>
      <c r="B1048" s="1537"/>
      <c r="C1048" s="1538"/>
      <c r="D1048" s="1539" t="s">
        <v>1323</v>
      </c>
      <c r="E1048" s="1468" t="s">
        <v>15</v>
      </c>
      <c r="F1048" s="166"/>
      <c r="G1048" s="1466">
        <v>1270080.378</v>
      </c>
      <c r="H1048" s="1466"/>
      <c r="I1048" s="1466"/>
      <c r="J1048" s="1466">
        <f t="shared" si="40"/>
        <v>1270080.378</v>
      </c>
      <c r="K1048" s="1466"/>
      <c r="L1048" s="1540"/>
      <c r="M1048" s="1540">
        <f t="shared" si="41"/>
        <v>1270080.378</v>
      </c>
      <c r="N1048" s="1539"/>
      <c r="O1048" s="559"/>
    </row>
    <row r="1049" spans="1:15" s="540" customFormat="1" ht="14.25" customHeight="1">
      <c r="A1049" s="1547">
        <v>525</v>
      </c>
      <c r="B1049" s="1537"/>
      <c r="C1049" s="1538"/>
      <c r="D1049" s="1539" t="s">
        <v>1324</v>
      </c>
      <c r="E1049" s="1468" t="s">
        <v>15</v>
      </c>
      <c r="F1049" s="166"/>
      <c r="G1049" s="1466">
        <v>1270080.378</v>
      </c>
      <c r="H1049" s="1466"/>
      <c r="I1049" s="1466"/>
      <c r="J1049" s="1466">
        <f t="shared" si="40"/>
        <v>1270080.378</v>
      </c>
      <c r="K1049" s="1466"/>
      <c r="L1049" s="1540"/>
      <c r="M1049" s="1540">
        <f t="shared" si="41"/>
        <v>1270080.378</v>
      </c>
      <c r="N1049" s="1539"/>
      <c r="O1049" s="559"/>
    </row>
    <row r="1050" spans="1:15" s="540" customFormat="1" ht="14.25" customHeight="1">
      <c r="A1050" s="1547">
        <v>526</v>
      </c>
      <c r="B1050" s="1537"/>
      <c r="C1050" s="1538"/>
      <c r="D1050" s="1539" t="s">
        <v>224</v>
      </c>
      <c r="E1050" s="1468" t="s">
        <v>15</v>
      </c>
      <c r="F1050" s="166"/>
      <c r="G1050" s="1466">
        <v>1128677.8</v>
      </c>
      <c r="H1050" s="1466"/>
      <c r="I1050" s="1466"/>
      <c r="J1050" s="1466">
        <f t="shared" si="40"/>
        <v>1128677.8</v>
      </c>
      <c r="K1050" s="1466"/>
      <c r="L1050" s="1540"/>
      <c r="M1050" s="1540">
        <f t="shared" si="41"/>
        <v>1128677.8</v>
      </c>
      <c r="N1050" s="1539"/>
      <c r="O1050" s="559"/>
    </row>
    <row r="1051" spans="1:15" s="540" customFormat="1" ht="14.25" customHeight="1">
      <c r="A1051" s="1536">
        <v>527</v>
      </c>
      <c r="B1051" s="1537"/>
      <c r="C1051" s="1538"/>
      <c r="D1051" s="1539" t="s">
        <v>1325</v>
      </c>
      <c r="E1051" s="1468" t="s">
        <v>15</v>
      </c>
      <c r="F1051" s="166"/>
      <c r="G1051" s="1466">
        <v>1189145.3259999999</v>
      </c>
      <c r="H1051" s="1466"/>
      <c r="I1051" s="1466"/>
      <c r="J1051" s="1466">
        <f t="shared" si="40"/>
        <v>1189145.3259999999</v>
      </c>
      <c r="K1051" s="1466"/>
      <c r="L1051" s="1540"/>
      <c r="M1051" s="1540">
        <f t="shared" si="41"/>
        <v>1189145.3259999999</v>
      </c>
      <c r="N1051" s="1539"/>
      <c r="O1051" s="559"/>
    </row>
    <row r="1052" spans="1:15" s="540" customFormat="1" ht="14.25" customHeight="1">
      <c r="A1052" s="1547">
        <v>528</v>
      </c>
      <c r="B1052" s="1537"/>
      <c r="C1052" s="1538"/>
      <c r="D1052" s="1539" t="s">
        <v>218</v>
      </c>
      <c r="E1052" s="1468" t="s">
        <v>15</v>
      </c>
      <c r="F1052" s="166"/>
      <c r="G1052" s="1466">
        <v>1270080.378</v>
      </c>
      <c r="H1052" s="1466"/>
      <c r="I1052" s="1466"/>
      <c r="J1052" s="1466">
        <f t="shared" si="40"/>
        <v>1270080.378</v>
      </c>
      <c r="K1052" s="1466"/>
      <c r="L1052" s="1540"/>
      <c r="M1052" s="1540">
        <f t="shared" si="41"/>
        <v>1270080.378</v>
      </c>
      <c r="N1052" s="1539"/>
      <c r="O1052" s="559"/>
    </row>
    <row r="1053" spans="1:15" s="540" customFormat="1" ht="14.25" customHeight="1">
      <c r="A1053" s="1547">
        <v>529</v>
      </c>
      <c r="B1053" s="1537"/>
      <c r="C1053" s="1538"/>
      <c r="D1053" s="1539" t="s">
        <v>1326</v>
      </c>
      <c r="E1053" s="1468" t="s">
        <v>15</v>
      </c>
      <c r="F1053" s="166"/>
      <c r="G1053" s="1466">
        <v>1128677.8</v>
      </c>
      <c r="H1053" s="1466"/>
      <c r="I1053" s="1466"/>
      <c r="J1053" s="1466">
        <f t="shared" si="40"/>
        <v>1128677.8</v>
      </c>
      <c r="K1053" s="1466"/>
      <c r="L1053" s="1540"/>
      <c r="M1053" s="1540">
        <f t="shared" si="41"/>
        <v>1128677.8</v>
      </c>
      <c r="N1053" s="1539"/>
      <c r="O1053" s="559"/>
    </row>
    <row r="1054" spans="1:15" s="540" customFormat="1" ht="14.25" customHeight="1">
      <c r="A1054" s="1536">
        <v>530</v>
      </c>
      <c r="B1054" s="1537"/>
      <c r="C1054" s="1538"/>
      <c r="D1054" s="1539" t="s">
        <v>209</v>
      </c>
      <c r="E1054" s="1468" t="s">
        <v>15</v>
      </c>
      <c r="F1054" s="166"/>
      <c r="G1054" s="1466">
        <v>1189145.3259999999</v>
      </c>
      <c r="H1054" s="1466"/>
      <c r="I1054" s="1466"/>
      <c r="J1054" s="1466">
        <f t="shared" si="40"/>
        <v>1189145.3259999999</v>
      </c>
      <c r="K1054" s="1466"/>
      <c r="L1054" s="1540"/>
      <c r="M1054" s="1540">
        <f t="shared" si="41"/>
        <v>1189145.3259999999</v>
      </c>
      <c r="N1054" s="1539"/>
      <c r="O1054" s="559"/>
    </row>
    <row r="1055" spans="1:15" s="540" customFormat="1" ht="14.25" customHeight="1">
      <c r="A1055" s="1547">
        <v>531</v>
      </c>
      <c r="B1055" s="1537"/>
      <c r="C1055" s="1538"/>
      <c r="D1055" s="1539" t="s">
        <v>1327</v>
      </c>
      <c r="E1055" s="1468" t="s">
        <v>15</v>
      </c>
      <c r="F1055" s="166"/>
      <c r="G1055" s="1466">
        <v>1189145.3259999999</v>
      </c>
      <c r="H1055" s="1466"/>
      <c r="I1055" s="1466"/>
      <c r="J1055" s="1466">
        <f t="shared" si="40"/>
        <v>1189145.3259999999</v>
      </c>
      <c r="K1055" s="1466"/>
      <c r="L1055" s="1540"/>
      <c r="M1055" s="1540">
        <f t="shared" si="41"/>
        <v>1189145.3259999999</v>
      </c>
      <c r="N1055" s="1539"/>
      <c r="O1055" s="559"/>
    </row>
    <row r="1056" spans="1:15" s="540" customFormat="1" ht="14.25" customHeight="1">
      <c r="A1056" s="1547">
        <v>532</v>
      </c>
      <c r="B1056" s="1537"/>
      <c r="C1056" s="1538"/>
      <c r="D1056" s="1539" t="s">
        <v>1328</v>
      </c>
      <c r="E1056" s="1468" t="s">
        <v>15</v>
      </c>
      <c r="F1056" s="166"/>
      <c r="G1056" s="1466"/>
      <c r="H1056" s="1466"/>
      <c r="I1056" s="1466">
        <v>1128677.8</v>
      </c>
      <c r="J1056" s="1466">
        <f t="shared" ref="J1056:J1083" si="42">SUM(G1056:I1056)</f>
        <v>1128677.8</v>
      </c>
      <c r="K1056" s="1466"/>
      <c r="L1056" s="1540"/>
      <c r="M1056" s="1540">
        <f t="shared" ref="M1056:M1083" si="43">J1056-L1056</f>
        <v>1128677.8</v>
      </c>
      <c r="N1056" s="1539"/>
      <c r="O1056" s="559"/>
    </row>
    <row r="1057" spans="1:15" s="540" customFormat="1" ht="14.25" customHeight="1">
      <c r="A1057" s="1536">
        <v>533</v>
      </c>
      <c r="B1057" s="1537"/>
      <c r="C1057" s="1538"/>
      <c r="D1057" s="1539" t="s">
        <v>1329</v>
      </c>
      <c r="E1057" s="1468" t="s">
        <v>15</v>
      </c>
      <c r="F1057" s="166"/>
      <c r="G1057" s="1466"/>
      <c r="H1057" s="1466"/>
      <c r="I1057" s="1466">
        <v>1189145.3259999999</v>
      </c>
      <c r="J1057" s="1466">
        <f t="shared" si="42"/>
        <v>1189145.3259999999</v>
      </c>
      <c r="K1057" s="1466"/>
      <c r="L1057" s="1540"/>
      <c r="M1057" s="1540">
        <f t="shared" si="43"/>
        <v>1189145.3259999999</v>
      </c>
      <c r="N1057" s="1539"/>
      <c r="O1057" s="559"/>
    </row>
    <row r="1058" spans="1:15" s="540" customFormat="1" ht="14.25" customHeight="1">
      <c r="A1058" s="1547">
        <v>534</v>
      </c>
      <c r="B1058" s="1537"/>
      <c r="C1058" s="1538"/>
      <c r="D1058" s="1539" t="s">
        <v>408</v>
      </c>
      <c r="E1058" s="1468" t="s">
        <v>15</v>
      </c>
      <c r="F1058" s="166"/>
      <c r="G1058" s="1466"/>
      <c r="H1058" s="1466"/>
      <c r="I1058" s="1466">
        <v>1249612.852</v>
      </c>
      <c r="J1058" s="1466">
        <f t="shared" si="42"/>
        <v>1249612.852</v>
      </c>
      <c r="K1058" s="1466"/>
      <c r="L1058" s="1540"/>
      <c r="M1058" s="1540">
        <f t="shared" si="43"/>
        <v>1249612.852</v>
      </c>
      <c r="N1058" s="1539"/>
      <c r="O1058" s="559"/>
    </row>
    <row r="1059" spans="1:15" s="540" customFormat="1" ht="14.25" customHeight="1">
      <c r="A1059" s="1547">
        <v>535</v>
      </c>
      <c r="B1059" s="1537"/>
      <c r="C1059" s="1538"/>
      <c r="D1059" s="1539" t="s">
        <v>1330</v>
      </c>
      <c r="E1059" s="1468" t="s">
        <v>15</v>
      </c>
      <c r="F1059" s="166"/>
      <c r="G1059" s="1466"/>
      <c r="H1059" s="1466"/>
      <c r="I1059" s="1466">
        <v>1159179.5249999999</v>
      </c>
      <c r="J1059" s="1466">
        <f t="shared" si="42"/>
        <v>1159179.5249999999</v>
      </c>
      <c r="K1059" s="1466"/>
      <c r="L1059" s="1540"/>
      <c r="M1059" s="1540">
        <f t="shared" si="43"/>
        <v>1159179.5249999999</v>
      </c>
      <c r="N1059" s="1539"/>
      <c r="O1059" s="559"/>
    </row>
    <row r="1060" spans="1:15" s="540" customFormat="1" ht="14.25" customHeight="1">
      <c r="A1060" s="1536">
        <v>536</v>
      </c>
      <c r="B1060" s="1537"/>
      <c r="C1060" s="1538"/>
      <c r="D1060" s="1539" t="s">
        <v>214</v>
      </c>
      <c r="E1060" s="1468" t="s">
        <v>15</v>
      </c>
      <c r="F1060" s="166"/>
      <c r="G1060" s="1540"/>
      <c r="H1060" s="1466"/>
      <c r="I1060" s="1466">
        <v>1108746.1980000001</v>
      </c>
      <c r="J1060" s="1466">
        <f t="shared" si="42"/>
        <v>1108746.1980000001</v>
      </c>
      <c r="K1060" s="1466"/>
      <c r="L1060" s="1540"/>
      <c r="M1060" s="1540">
        <f t="shared" si="43"/>
        <v>1108746.1980000001</v>
      </c>
      <c r="N1060" s="1539"/>
      <c r="O1060" s="559"/>
    </row>
    <row r="1061" spans="1:15" s="540" customFormat="1" ht="14.25" customHeight="1">
      <c r="A1061" s="1547">
        <v>537</v>
      </c>
      <c r="B1061" s="1537"/>
      <c r="C1061" s="1538"/>
      <c r="D1061" s="1539" t="s">
        <v>1331</v>
      </c>
      <c r="E1061" s="1468" t="s">
        <v>15</v>
      </c>
      <c r="F1061" s="166"/>
      <c r="G1061" s="1540"/>
      <c r="H1061" s="1466"/>
      <c r="I1061" s="1466">
        <v>1159179.5249999999</v>
      </c>
      <c r="J1061" s="1466">
        <f t="shared" si="42"/>
        <v>1159179.5249999999</v>
      </c>
      <c r="K1061" s="1466"/>
      <c r="L1061" s="1540"/>
      <c r="M1061" s="1540">
        <f t="shared" si="43"/>
        <v>1159179.5249999999</v>
      </c>
      <c r="N1061" s="1539"/>
      <c r="O1061" s="559"/>
    </row>
    <row r="1062" spans="1:15" s="540" customFormat="1" ht="14.25" customHeight="1">
      <c r="A1062" s="1547">
        <v>538</v>
      </c>
      <c r="B1062" s="1537"/>
      <c r="C1062" s="1538"/>
      <c r="D1062" s="1539" t="s">
        <v>1332</v>
      </c>
      <c r="E1062" s="1468" t="s">
        <v>15</v>
      </c>
      <c r="F1062" s="166"/>
      <c r="G1062" s="1466"/>
      <c r="H1062" s="1466"/>
      <c r="I1062" s="1466">
        <v>1270080.378</v>
      </c>
      <c r="J1062" s="1466">
        <f t="shared" si="42"/>
        <v>1270080.378</v>
      </c>
      <c r="K1062" s="1466"/>
      <c r="L1062" s="1540"/>
      <c r="M1062" s="1540">
        <f t="shared" si="43"/>
        <v>1270080.378</v>
      </c>
      <c r="N1062" s="1539"/>
      <c r="O1062" s="559"/>
    </row>
    <row r="1063" spans="1:15" s="540" customFormat="1" ht="14.25" customHeight="1">
      <c r="A1063" s="1536">
        <v>539</v>
      </c>
      <c r="B1063" s="1537"/>
      <c r="C1063" s="1538"/>
      <c r="D1063" s="1539" t="s">
        <v>559</v>
      </c>
      <c r="E1063" s="1468" t="s">
        <v>15</v>
      </c>
      <c r="F1063" s="166"/>
      <c r="G1063" s="1466"/>
      <c r="H1063" s="1466"/>
      <c r="I1063" s="1466">
        <v>1159179.5249999999</v>
      </c>
      <c r="J1063" s="1466">
        <f t="shared" si="42"/>
        <v>1159179.5249999999</v>
      </c>
      <c r="K1063" s="1466"/>
      <c r="L1063" s="1540"/>
      <c r="M1063" s="1540">
        <f t="shared" si="43"/>
        <v>1159179.5249999999</v>
      </c>
      <c r="N1063" s="1539"/>
      <c r="O1063" s="559"/>
    </row>
    <row r="1064" spans="1:15" s="540" customFormat="1" ht="14.25" customHeight="1">
      <c r="A1064" s="1547">
        <v>540</v>
      </c>
      <c r="B1064" s="1537"/>
      <c r="C1064" s="1538"/>
      <c r="D1064" s="1539" t="s">
        <v>1333</v>
      </c>
      <c r="E1064" s="1468" t="s">
        <v>15</v>
      </c>
      <c r="F1064" s="166"/>
      <c r="G1064" s="1466"/>
      <c r="H1064" s="1466"/>
      <c r="I1064" s="1466">
        <v>1270080.378</v>
      </c>
      <c r="J1064" s="1466">
        <f t="shared" si="42"/>
        <v>1270080.378</v>
      </c>
      <c r="K1064" s="1466"/>
      <c r="L1064" s="1540"/>
      <c r="M1064" s="1540">
        <f t="shared" si="43"/>
        <v>1270080.378</v>
      </c>
      <c r="N1064" s="1539"/>
      <c r="O1064" s="559"/>
    </row>
    <row r="1065" spans="1:15" s="540" customFormat="1" ht="14.25" customHeight="1">
      <c r="A1065" s="1547">
        <v>541</v>
      </c>
      <c r="B1065" s="1537"/>
      <c r="C1065" s="1538"/>
      <c r="D1065" s="1539" t="s">
        <v>212</v>
      </c>
      <c r="E1065" s="1468" t="s">
        <v>15</v>
      </c>
      <c r="F1065" s="166"/>
      <c r="G1065" s="1466"/>
      <c r="H1065" s="1466"/>
      <c r="I1065" s="1466">
        <v>1159179.5249999999</v>
      </c>
      <c r="J1065" s="1466">
        <f t="shared" si="42"/>
        <v>1159179.5249999999</v>
      </c>
      <c r="K1065" s="1466"/>
      <c r="L1065" s="1540"/>
      <c r="M1065" s="1540">
        <f t="shared" si="43"/>
        <v>1159179.5249999999</v>
      </c>
      <c r="N1065" s="1539"/>
      <c r="O1065" s="559"/>
    </row>
    <row r="1066" spans="1:15" s="540" customFormat="1" ht="14.25" customHeight="1">
      <c r="A1066" s="1536">
        <v>542</v>
      </c>
      <c r="B1066" s="1537"/>
      <c r="C1066" s="1538"/>
      <c r="D1066" s="1539" t="s">
        <v>1334</v>
      </c>
      <c r="E1066" s="1468" t="s">
        <v>15</v>
      </c>
      <c r="F1066" s="166"/>
      <c r="G1066" s="1466"/>
      <c r="H1066" s="1466"/>
      <c r="I1066" s="1466">
        <v>1270080.378</v>
      </c>
      <c r="J1066" s="1466">
        <f t="shared" si="42"/>
        <v>1270080.378</v>
      </c>
      <c r="K1066" s="1466"/>
      <c r="L1066" s="1540"/>
      <c r="M1066" s="1540">
        <f t="shared" si="43"/>
        <v>1270080.378</v>
      </c>
      <c r="N1066" s="1539"/>
      <c r="O1066" s="559"/>
    </row>
    <row r="1067" spans="1:15" s="540" customFormat="1" ht="14.25" customHeight="1">
      <c r="A1067" s="1547">
        <v>543</v>
      </c>
      <c r="B1067" s="1537"/>
      <c r="C1067" s="1538"/>
      <c r="D1067" s="1539" t="s">
        <v>1335</v>
      </c>
      <c r="E1067" s="1468" t="s">
        <v>15</v>
      </c>
      <c r="F1067" s="166"/>
      <c r="G1067" s="1466"/>
      <c r="H1067" s="1466"/>
      <c r="I1067" s="1466">
        <v>1270080.378</v>
      </c>
      <c r="J1067" s="1466">
        <f t="shared" si="42"/>
        <v>1270080.378</v>
      </c>
      <c r="K1067" s="1466"/>
      <c r="L1067" s="1540"/>
      <c r="M1067" s="1540">
        <f t="shared" si="43"/>
        <v>1270080.378</v>
      </c>
      <c r="N1067" s="1539"/>
      <c r="O1067" s="559"/>
    </row>
    <row r="1068" spans="1:15" s="540" customFormat="1" ht="14.25" customHeight="1">
      <c r="A1068" s="1547">
        <v>544</v>
      </c>
      <c r="B1068" s="1537"/>
      <c r="C1068" s="1538"/>
      <c r="D1068" s="1539" t="s">
        <v>255</v>
      </c>
      <c r="E1068" s="1468" t="s">
        <v>15</v>
      </c>
      <c r="F1068" s="166"/>
      <c r="G1068" s="1540"/>
      <c r="H1068" s="1466"/>
      <c r="I1068" s="1466">
        <v>1138979.9609999999</v>
      </c>
      <c r="J1068" s="1466">
        <f t="shared" si="42"/>
        <v>1138979.9609999999</v>
      </c>
      <c r="K1068" s="1466"/>
      <c r="L1068" s="1540"/>
      <c r="M1068" s="1540">
        <f t="shared" si="43"/>
        <v>1138979.9609999999</v>
      </c>
      <c r="N1068" s="1539"/>
      <c r="O1068" s="559"/>
    </row>
    <row r="1069" spans="1:15" s="540" customFormat="1" ht="14.25" customHeight="1">
      <c r="A1069" s="1536">
        <v>545</v>
      </c>
      <c r="B1069" s="1537"/>
      <c r="C1069" s="1538"/>
      <c r="D1069" s="1539" t="s">
        <v>1336</v>
      </c>
      <c r="E1069" s="1468" t="s">
        <v>15</v>
      </c>
      <c r="F1069" s="166"/>
      <c r="G1069" s="1466"/>
      <c r="H1069" s="1466"/>
      <c r="I1069" s="1466">
        <v>1259007.19934334</v>
      </c>
      <c r="J1069" s="1466">
        <f t="shared" si="42"/>
        <v>1259007.19934334</v>
      </c>
      <c r="K1069" s="1466"/>
      <c r="L1069" s="1540"/>
      <c r="M1069" s="1540">
        <f t="shared" si="43"/>
        <v>1259007.19934334</v>
      </c>
      <c r="N1069" s="1539"/>
      <c r="O1069" s="559"/>
    </row>
    <row r="1070" spans="1:15" s="540" customFormat="1" ht="14.25" customHeight="1">
      <c r="A1070" s="1547">
        <v>546</v>
      </c>
      <c r="B1070" s="1537"/>
      <c r="C1070" s="1538"/>
      <c r="D1070" s="1539" t="s">
        <v>1337</v>
      </c>
      <c r="E1070" s="1468" t="s">
        <v>15</v>
      </c>
      <c r="F1070" s="166"/>
      <c r="G1070" s="1466"/>
      <c r="H1070" s="1466"/>
      <c r="I1070" s="1466">
        <v>1148746.1980000001</v>
      </c>
      <c r="J1070" s="1466">
        <f t="shared" si="42"/>
        <v>1148746.1980000001</v>
      </c>
      <c r="K1070" s="1466"/>
      <c r="L1070" s="1540"/>
      <c r="M1070" s="1540">
        <f t="shared" si="43"/>
        <v>1148746.1980000001</v>
      </c>
      <c r="N1070" s="1539"/>
      <c r="O1070" s="559"/>
    </row>
    <row r="1071" spans="1:15" s="540" customFormat="1" ht="14.25" customHeight="1">
      <c r="A1071" s="1547">
        <v>547</v>
      </c>
      <c r="B1071" s="1537"/>
      <c r="C1071" s="1538"/>
      <c r="D1071" s="1539" t="s">
        <v>233</v>
      </c>
      <c r="E1071" s="1468" t="s">
        <v>15</v>
      </c>
      <c r="F1071" s="166"/>
      <c r="G1071" s="1466"/>
      <c r="H1071" s="1466"/>
      <c r="I1071" s="1466">
        <v>1270080.378</v>
      </c>
      <c r="J1071" s="1466">
        <f t="shared" si="42"/>
        <v>1270080.378</v>
      </c>
      <c r="K1071" s="1466"/>
      <c r="L1071" s="1540"/>
      <c r="M1071" s="1540">
        <f t="shared" si="43"/>
        <v>1270080.378</v>
      </c>
      <c r="N1071" s="1539"/>
      <c r="O1071" s="559"/>
    </row>
    <row r="1072" spans="1:15" s="540" customFormat="1" ht="14.25" customHeight="1">
      <c r="A1072" s="1536">
        <v>548</v>
      </c>
      <c r="B1072" s="1537"/>
      <c r="C1072" s="1538"/>
      <c r="D1072" s="1539" t="s">
        <v>1338</v>
      </c>
      <c r="E1072" s="1468" t="s">
        <v>15</v>
      </c>
      <c r="F1072" s="166"/>
      <c r="G1072" s="1466"/>
      <c r="H1072" s="1466"/>
      <c r="I1072" s="1466">
        <v>1128677.8</v>
      </c>
      <c r="J1072" s="1466">
        <f t="shared" si="42"/>
        <v>1128677.8</v>
      </c>
      <c r="K1072" s="1466"/>
      <c r="L1072" s="1540"/>
      <c r="M1072" s="1540">
        <f t="shared" si="43"/>
        <v>1128677.8</v>
      </c>
      <c r="N1072" s="1539"/>
      <c r="O1072" s="559"/>
    </row>
    <row r="1073" spans="1:15" s="540" customFormat="1" ht="14.25" customHeight="1">
      <c r="A1073" s="1547">
        <v>549</v>
      </c>
      <c r="B1073" s="1537"/>
      <c r="C1073" s="1538"/>
      <c r="D1073" s="1539" t="s">
        <v>16</v>
      </c>
      <c r="E1073" s="1468" t="s">
        <v>15</v>
      </c>
      <c r="F1073" s="166"/>
      <c r="G1073" s="1466"/>
      <c r="H1073" s="1466"/>
      <c r="I1073" s="1466">
        <v>1189145.3259999999</v>
      </c>
      <c r="J1073" s="1466">
        <f t="shared" si="42"/>
        <v>1189145.3259999999</v>
      </c>
      <c r="K1073" s="1466"/>
      <c r="L1073" s="1540"/>
      <c r="M1073" s="1540">
        <f t="shared" si="43"/>
        <v>1189145.3259999999</v>
      </c>
      <c r="N1073" s="1539"/>
      <c r="O1073" s="559"/>
    </row>
    <row r="1074" spans="1:15" s="540" customFormat="1" ht="14.25" customHeight="1">
      <c r="A1074" s="1547">
        <v>550</v>
      </c>
      <c r="B1074" s="1537"/>
      <c r="C1074" s="1538"/>
      <c r="D1074" s="1539" t="s">
        <v>1339</v>
      </c>
      <c r="E1074" s="1468" t="s">
        <v>15</v>
      </c>
      <c r="F1074" s="166"/>
      <c r="G1074" s="1466"/>
      <c r="H1074" s="1466"/>
      <c r="I1074" s="1466">
        <v>1249612.852</v>
      </c>
      <c r="J1074" s="1466">
        <f t="shared" si="42"/>
        <v>1249612.852</v>
      </c>
      <c r="K1074" s="1466"/>
      <c r="L1074" s="1540"/>
      <c r="M1074" s="1540">
        <f t="shared" si="43"/>
        <v>1249612.852</v>
      </c>
      <c r="N1074" s="1539"/>
      <c r="O1074" s="559"/>
    </row>
    <row r="1075" spans="1:15" s="540" customFormat="1" ht="14.25" customHeight="1">
      <c r="A1075" s="1536">
        <v>551</v>
      </c>
      <c r="B1075" s="1537"/>
      <c r="C1075" s="1538"/>
      <c r="D1075" s="1539" t="s">
        <v>1340</v>
      </c>
      <c r="E1075" s="1468" t="s">
        <v>15</v>
      </c>
      <c r="F1075" s="166"/>
      <c r="G1075" s="1466"/>
      <c r="H1075" s="1466"/>
      <c r="I1075" s="1466">
        <v>1159179.5249999999</v>
      </c>
      <c r="J1075" s="1466">
        <f t="shared" si="42"/>
        <v>1159179.5249999999</v>
      </c>
      <c r="K1075" s="1466"/>
      <c r="L1075" s="1540"/>
      <c r="M1075" s="1540">
        <f t="shared" si="43"/>
        <v>1159179.5249999999</v>
      </c>
      <c r="N1075" s="1539"/>
      <c r="O1075" s="559"/>
    </row>
    <row r="1076" spans="1:15" s="540" customFormat="1" ht="14.25" customHeight="1">
      <c r="A1076" s="1547">
        <v>552</v>
      </c>
      <c r="B1076" s="1537"/>
      <c r="C1076" s="1538"/>
      <c r="D1076" s="1539" t="s">
        <v>206</v>
      </c>
      <c r="E1076" s="1468" t="s">
        <v>15</v>
      </c>
      <c r="F1076" s="166"/>
      <c r="G1076" s="1540"/>
      <c r="H1076" s="1466"/>
      <c r="I1076" s="1466">
        <v>1108746.1980000001</v>
      </c>
      <c r="J1076" s="1466">
        <f t="shared" si="42"/>
        <v>1108746.1980000001</v>
      </c>
      <c r="K1076" s="1466"/>
      <c r="L1076" s="1540"/>
      <c r="M1076" s="1540">
        <f t="shared" si="43"/>
        <v>1108746.1980000001</v>
      </c>
      <c r="N1076" s="1539"/>
      <c r="O1076" s="559"/>
    </row>
    <row r="1077" spans="1:15" s="540" customFormat="1" ht="14.25" customHeight="1">
      <c r="A1077" s="1547">
        <v>553</v>
      </c>
      <c r="B1077" s="1537"/>
      <c r="C1077" s="1538"/>
      <c r="D1077" s="1539" t="s">
        <v>1341</v>
      </c>
      <c r="E1077" s="1468" t="s">
        <v>15</v>
      </c>
      <c r="F1077" s="166"/>
      <c r="G1077" s="1540"/>
      <c r="H1077" s="1466"/>
      <c r="I1077" s="1466">
        <v>1159179.5249999999</v>
      </c>
      <c r="J1077" s="1466">
        <f t="shared" si="42"/>
        <v>1159179.5249999999</v>
      </c>
      <c r="K1077" s="1466"/>
      <c r="L1077" s="1540"/>
      <c r="M1077" s="1540">
        <f t="shared" si="43"/>
        <v>1159179.5249999999</v>
      </c>
      <c r="N1077" s="1539"/>
      <c r="O1077" s="559"/>
    </row>
    <row r="1078" spans="1:15" s="540" customFormat="1" ht="14.25" customHeight="1">
      <c r="A1078" s="1536">
        <v>554</v>
      </c>
      <c r="B1078" s="1537"/>
      <c r="C1078" s="1538"/>
      <c r="D1078" s="1539" t="s">
        <v>1342</v>
      </c>
      <c r="E1078" s="1468" t="s">
        <v>15</v>
      </c>
      <c r="F1078" s="166"/>
      <c r="G1078" s="1466"/>
      <c r="H1078" s="1466"/>
      <c r="I1078" s="1466">
        <v>1270080.378</v>
      </c>
      <c r="J1078" s="1466">
        <f t="shared" si="42"/>
        <v>1270080.378</v>
      </c>
      <c r="K1078" s="1466"/>
      <c r="L1078" s="1540"/>
      <c r="M1078" s="1540">
        <f t="shared" si="43"/>
        <v>1270080.378</v>
      </c>
      <c r="N1078" s="1539"/>
      <c r="O1078" s="559"/>
    </row>
    <row r="1079" spans="1:15" s="540" customFormat="1" ht="14.25" customHeight="1">
      <c r="A1079" s="1547">
        <v>555</v>
      </c>
      <c r="B1079" s="1537"/>
      <c r="C1079" s="1538"/>
      <c r="D1079" s="1539" t="s">
        <v>1343</v>
      </c>
      <c r="E1079" s="1468" t="s">
        <v>15</v>
      </c>
      <c r="F1079" s="166"/>
      <c r="G1079" s="1466"/>
      <c r="H1079" s="1466"/>
      <c r="I1079" s="1466">
        <v>1159179.5249999999</v>
      </c>
      <c r="J1079" s="1466">
        <f t="shared" si="42"/>
        <v>1159179.5249999999</v>
      </c>
      <c r="K1079" s="1466"/>
      <c r="L1079" s="1540"/>
      <c r="M1079" s="1540">
        <f t="shared" si="43"/>
        <v>1159179.5249999999</v>
      </c>
      <c r="N1079" s="1539"/>
      <c r="O1079" s="559"/>
    </row>
    <row r="1080" spans="1:15" s="540" customFormat="1" ht="14.25" customHeight="1">
      <c r="A1080" s="1547">
        <v>556</v>
      </c>
      <c r="B1080" s="1537"/>
      <c r="C1080" s="1538"/>
      <c r="D1080" s="1539" t="s">
        <v>1292</v>
      </c>
      <c r="E1080" s="1468" t="s">
        <v>15</v>
      </c>
      <c r="F1080" s="166"/>
      <c r="G1080" s="1466"/>
      <c r="H1080" s="1466"/>
      <c r="I1080" s="1466">
        <v>1270080.378</v>
      </c>
      <c r="J1080" s="1466">
        <f t="shared" si="42"/>
        <v>1270080.378</v>
      </c>
      <c r="K1080" s="1466"/>
      <c r="L1080" s="1540"/>
      <c r="M1080" s="1540">
        <f t="shared" si="43"/>
        <v>1270080.378</v>
      </c>
      <c r="N1080" s="1539"/>
      <c r="O1080" s="559"/>
    </row>
    <row r="1081" spans="1:15" s="540" customFormat="1" ht="14.25" customHeight="1">
      <c r="A1081" s="1536">
        <v>557</v>
      </c>
      <c r="B1081" s="1537"/>
      <c r="C1081" s="1538"/>
      <c r="D1081" s="1539" t="s">
        <v>449</v>
      </c>
      <c r="E1081" s="1468" t="s">
        <v>15</v>
      </c>
      <c r="F1081" s="166"/>
      <c r="G1081" s="1466"/>
      <c r="H1081" s="1466"/>
      <c r="I1081" s="1466">
        <v>1159179.5249999999</v>
      </c>
      <c r="J1081" s="1466">
        <f t="shared" si="42"/>
        <v>1159179.5249999999</v>
      </c>
      <c r="K1081" s="1466"/>
      <c r="L1081" s="1540"/>
      <c r="M1081" s="1540">
        <f t="shared" si="43"/>
        <v>1159179.5249999999</v>
      </c>
      <c r="N1081" s="1539"/>
      <c r="O1081" s="559"/>
    </row>
    <row r="1082" spans="1:15" s="540" customFormat="1" ht="14.25" customHeight="1">
      <c r="A1082" s="1547">
        <v>558</v>
      </c>
      <c r="B1082" s="1537"/>
      <c r="C1082" s="1538"/>
      <c r="D1082" s="1539" t="s">
        <v>283</v>
      </c>
      <c r="E1082" s="1468" t="s">
        <v>15</v>
      </c>
      <c r="F1082" s="166"/>
      <c r="G1082" s="1466"/>
      <c r="H1082" s="1466"/>
      <c r="I1082" s="1466">
        <v>1270080.378</v>
      </c>
      <c r="J1082" s="1466">
        <f t="shared" si="42"/>
        <v>1270080.378</v>
      </c>
      <c r="K1082" s="1466"/>
      <c r="L1082" s="1540"/>
      <c r="M1082" s="1540">
        <f t="shared" si="43"/>
        <v>1270080.378</v>
      </c>
      <c r="N1082" s="1539"/>
      <c r="O1082" s="559"/>
    </row>
    <row r="1083" spans="1:15" s="540" customFormat="1" ht="14.25" customHeight="1">
      <c r="A1083" s="1547">
        <v>559</v>
      </c>
      <c r="B1083" s="1537"/>
      <c r="C1083" s="1538"/>
      <c r="D1083" s="1539" t="s">
        <v>1324</v>
      </c>
      <c r="E1083" s="1468" t="s">
        <v>15</v>
      </c>
      <c r="F1083" s="166"/>
      <c r="G1083" s="1466"/>
      <c r="H1083" s="1466"/>
      <c r="I1083" s="1466">
        <v>1270080.378</v>
      </c>
      <c r="J1083" s="1466">
        <f t="shared" si="42"/>
        <v>1270080.378</v>
      </c>
      <c r="K1083" s="1466"/>
      <c r="L1083" s="1540"/>
      <c r="M1083" s="1540">
        <f t="shared" si="43"/>
        <v>1270080.378</v>
      </c>
      <c r="N1083" s="1539"/>
      <c r="O1083" s="559"/>
    </row>
    <row r="1084" spans="1:15" s="540" customFormat="1" ht="14.25" customHeight="1">
      <c r="A1084" s="1536">
        <v>560</v>
      </c>
      <c r="B1084" s="1537"/>
      <c r="C1084" s="1538"/>
      <c r="D1084" s="1539" t="s">
        <v>1344</v>
      </c>
      <c r="E1084" s="1468" t="s">
        <v>15</v>
      </c>
      <c r="F1084" s="166"/>
      <c r="G1084" s="1540"/>
      <c r="H1084" s="1466"/>
      <c r="I1084" s="1466">
        <v>1138979.9609999999</v>
      </c>
      <c r="J1084" s="1466">
        <f t="shared" si="40"/>
        <v>1138979.9609999999</v>
      </c>
      <c r="K1084" s="1466"/>
      <c r="L1084" s="1540"/>
      <c r="M1084" s="1540">
        <f t="shared" si="41"/>
        <v>1138979.9609999999</v>
      </c>
      <c r="N1084" s="1539"/>
      <c r="O1084" s="559"/>
    </row>
    <row r="1085" spans="1:15" s="540" customFormat="1" ht="14.25" customHeight="1">
      <c r="A1085" s="1547">
        <v>561</v>
      </c>
      <c r="B1085" s="1537"/>
      <c r="C1085" s="1538"/>
      <c r="D1085" s="1539" t="s">
        <v>1345</v>
      </c>
      <c r="E1085" s="1468" t="s">
        <v>15</v>
      </c>
      <c r="F1085" s="166"/>
      <c r="G1085" s="1540"/>
      <c r="H1085" s="1466"/>
      <c r="I1085" s="1466">
        <v>1108746.1980000001</v>
      </c>
      <c r="J1085" s="1466">
        <f t="shared" si="40"/>
        <v>1108746.1980000001</v>
      </c>
      <c r="K1085" s="1466"/>
      <c r="L1085" s="1540"/>
      <c r="M1085" s="1540">
        <f t="shared" si="41"/>
        <v>1108746.1980000001</v>
      </c>
      <c r="N1085" s="1539"/>
      <c r="O1085" s="559"/>
    </row>
    <row r="1086" spans="1:15" s="540" customFormat="1" ht="14.25" customHeight="1">
      <c r="A1086" s="1547">
        <v>562</v>
      </c>
      <c r="B1086" s="1537"/>
      <c r="C1086" s="1538"/>
      <c r="D1086" s="1539" t="s">
        <v>281</v>
      </c>
      <c r="E1086" s="1468" t="s">
        <v>15</v>
      </c>
      <c r="F1086" s="166"/>
      <c r="G1086" s="1540"/>
      <c r="H1086" s="1466"/>
      <c r="I1086" s="1466">
        <v>1159179.5249999999</v>
      </c>
      <c r="J1086" s="1466">
        <f t="shared" si="40"/>
        <v>1159179.5249999999</v>
      </c>
      <c r="K1086" s="1466"/>
      <c r="L1086" s="1540"/>
      <c r="M1086" s="1540">
        <f t="shared" si="41"/>
        <v>1159179.5249999999</v>
      </c>
      <c r="N1086" s="1539"/>
      <c r="O1086" s="559"/>
    </row>
    <row r="1087" spans="1:15" s="540" customFormat="1" ht="14.25" customHeight="1">
      <c r="A1087" s="1536">
        <v>563</v>
      </c>
      <c r="B1087" s="1537"/>
      <c r="C1087" s="1538"/>
      <c r="D1087" s="1539" t="s">
        <v>1317</v>
      </c>
      <c r="E1087" s="1468" t="s">
        <v>15</v>
      </c>
      <c r="F1087" s="166"/>
      <c r="G1087" s="1466"/>
      <c r="H1087" s="1466"/>
      <c r="I1087" s="1466">
        <v>1270080.378</v>
      </c>
      <c r="J1087" s="1466">
        <f t="shared" si="40"/>
        <v>1270080.378</v>
      </c>
      <c r="K1087" s="1466"/>
      <c r="L1087" s="1540"/>
      <c r="M1087" s="1540">
        <f t="shared" si="41"/>
        <v>1270080.378</v>
      </c>
      <c r="N1087" s="1539"/>
      <c r="O1087" s="559"/>
    </row>
    <row r="1088" spans="1:15" s="540" customFormat="1" ht="14.25" customHeight="1">
      <c r="A1088" s="1547">
        <v>564</v>
      </c>
      <c r="B1088" s="1537"/>
      <c r="C1088" s="1538"/>
      <c r="D1088" s="1539" t="s">
        <v>108</v>
      </c>
      <c r="E1088" s="1468" t="s">
        <v>15</v>
      </c>
      <c r="F1088" s="166"/>
      <c r="G1088" s="1466"/>
      <c r="H1088" s="1466"/>
      <c r="I1088" s="1466">
        <v>1159179.5249999999</v>
      </c>
      <c r="J1088" s="1466">
        <f t="shared" si="40"/>
        <v>1159179.5249999999</v>
      </c>
      <c r="K1088" s="1466"/>
      <c r="L1088" s="1540"/>
      <c r="M1088" s="1540">
        <f t="shared" si="41"/>
        <v>1159179.5249999999</v>
      </c>
      <c r="N1088" s="1539"/>
      <c r="O1088" s="559"/>
    </row>
    <row r="1089" spans="1:18" s="540" customFormat="1" ht="14.25" customHeight="1">
      <c r="A1089" s="1547">
        <v>565</v>
      </c>
      <c r="B1089" s="1537"/>
      <c r="C1089" s="1538"/>
      <c r="D1089" s="1539" t="s">
        <v>1346</v>
      </c>
      <c r="E1089" s="1468" t="s">
        <v>15</v>
      </c>
      <c r="F1089" s="166"/>
      <c r="G1089" s="1466"/>
      <c r="H1089" s="1466"/>
      <c r="I1089" s="1466">
        <v>1270080.378</v>
      </c>
      <c r="J1089" s="1466">
        <f t="shared" si="40"/>
        <v>1270080.378</v>
      </c>
      <c r="K1089" s="1466"/>
      <c r="L1089" s="1540"/>
      <c r="M1089" s="1540">
        <f t="shared" si="41"/>
        <v>1270080.378</v>
      </c>
      <c r="N1089" s="1539"/>
      <c r="O1089" s="559"/>
    </row>
    <row r="1090" spans="1:18" s="540" customFormat="1" ht="14.25" customHeight="1">
      <c r="A1090" s="1536">
        <v>566</v>
      </c>
      <c r="B1090" s="1537"/>
      <c r="C1090" s="1538"/>
      <c r="D1090" s="1539" t="s">
        <v>1347</v>
      </c>
      <c r="E1090" s="1468" t="s">
        <v>15</v>
      </c>
      <c r="F1090" s="166"/>
      <c r="G1090" s="1466"/>
      <c r="H1090" s="1466"/>
      <c r="I1090" s="1466">
        <v>1159179.5249999999</v>
      </c>
      <c r="J1090" s="1466">
        <f t="shared" si="40"/>
        <v>1159179.5249999999</v>
      </c>
      <c r="K1090" s="1466"/>
      <c r="L1090" s="1540"/>
      <c r="M1090" s="1540">
        <f t="shared" si="41"/>
        <v>1159179.5249999999</v>
      </c>
      <c r="N1090" s="1539"/>
      <c r="O1090" s="559"/>
    </row>
    <row r="1091" spans="1:18" s="540" customFormat="1" ht="14.25" customHeight="1">
      <c r="A1091" s="1547">
        <v>567</v>
      </c>
      <c r="B1091" s="1537"/>
      <c r="C1091" s="1538"/>
      <c r="D1091" s="1539" t="s">
        <v>1214</v>
      </c>
      <c r="E1091" s="1468" t="s">
        <v>15</v>
      </c>
      <c r="F1091" s="166"/>
      <c r="G1091" s="1466"/>
      <c r="H1091" s="1466"/>
      <c r="I1091" s="1466">
        <v>1270080.378</v>
      </c>
      <c r="J1091" s="1466">
        <f t="shared" si="40"/>
        <v>1270080.378</v>
      </c>
      <c r="K1091" s="1466"/>
      <c r="L1091" s="1540"/>
      <c r="M1091" s="1540">
        <f t="shared" si="41"/>
        <v>1270080.378</v>
      </c>
      <c r="N1091" s="1539"/>
      <c r="O1091" s="559"/>
    </row>
    <row r="1092" spans="1:18" s="540" customFormat="1" ht="14.25" customHeight="1">
      <c r="A1092" s="1547">
        <v>568</v>
      </c>
      <c r="B1092" s="1537"/>
      <c r="C1092" s="1538"/>
      <c r="D1092" s="1539" t="s">
        <v>280</v>
      </c>
      <c r="E1092" s="1468" t="s">
        <v>15</v>
      </c>
      <c r="F1092" s="166"/>
      <c r="G1092" s="1466"/>
      <c r="H1092" s="1466"/>
      <c r="I1092" s="1466">
        <v>1270080.378</v>
      </c>
      <c r="J1092" s="1466">
        <f t="shared" si="40"/>
        <v>1270080.378</v>
      </c>
      <c r="K1092" s="1466"/>
      <c r="L1092" s="1540"/>
      <c r="M1092" s="1540">
        <f t="shared" si="41"/>
        <v>1270080.378</v>
      </c>
      <c r="N1092" s="1539"/>
      <c r="O1092" s="559"/>
    </row>
    <row r="1093" spans="1:18" s="540" customFormat="1" ht="14.25" customHeight="1">
      <c r="A1093" s="1536">
        <v>569</v>
      </c>
      <c r="B1093" s="1537"/>
      <c r="C1093" s="1538"/>
      <c r="D1093" s="1539" t="s">
        <v>1348</v>
      </c>
      <c r="E1093" s="1468" t="s">
        <v>15</v>
      </c>
      <c r="F1093" s="166"/>
      <c r="G1093" s="1540"/>
      <c r="H1093" s="1466"/>
      <c r="I1093" s="1466">
        <v>943379.95596975496</v>
      </c>
      <c r="J1093" s="1466">
        <f t="shared" si="40"/>
        <v>943379.95596975496</v>
      </c>
      <c r="K1093" s="1466"/>
      <c r="L1093" s="1540"/>
      <c r="M1093" s="1540">
        <f t="shared" si="41"/>
        <v>943379.95596975496</v>
      </c>
      <c r="N1093" s="1539"/>
      <c r="O1093" s="559"/>
    </row>
    <row r="1094" spans="1:18" s="540" customFormat="1" ht="14.25" customHeight="1">
      <c r="A1094" s="1547">
        <v>570</v>
      </c>
      <c r="B1094" s="1537"/>
      <c r="C1094" s="1538"/>
      <c r="D1094" s="1539" t="s">
        <v>1349</v>
      </c>
      <c r="E1094" s="1468" t="s">
        <v>15</v>
      </c>
      <c r="F1094" s="166"/>
      <c r="G1094" s="1466"/>
      <c r="H1094" s="1466"/>
      <c r="I1094" s="1466">
        <v>1259179.5249999999</v>
      </c>
      <c r="J1094" s="1466">
        <f t="shared" si="40"/>
        <v>1259179.5249999999</v>
      </c>
      <c r="K1094" s="1466"/>
      <c r="L1094" s="1540"/>
      <c r="M1094" s="1540">
        <f t="shared" si="41"/>
        <v>1259179.5249999999</v>
      </c>
      <c r="N1094" s="1539"/>
      <c r="O1094" s="559"/>
    </row>
    <row r="1095" spans="1:18" s="540" customFormat="1" ht="14.25" customHeight="1">
      <c r="A1095" s="1547">
        <v>571</v>
      </c>
      <c r="B1095" s="1537"/>
      <c r="C1095" s="1538"/>
      <c r="D1095" s="1539" t="s">
        <v>386</v>
      </c>
      <c r="E1095" s="1468" t="s">
        <v>15</v>
      </c>
      <c r="F1095" s="166"/>
      <c r="G1095" s="1466"/>
      <c r="H1095" s="1466"/>
      <c r="I1095" s="1466">
        <v>1153241.7526867699</v>
      </c>
      <c r="J1095" s="1466">
        <f t="shared" si="40"/>
        <v>1153241.7526867699</v>
      </c>
      <c r="K1095" s="1466"/>
      <c r="L1095" s="1540"/>
      <c r="M1095" s="1540">
        <f t="shared" si="41"/>
        <v>1153241.7526867699</v>
      </c>
      <c r="N1095" s="1539"/>
      <c r="O1095" s="559"/>
    </row>
    <row r="1096" spans="1:18" s="540" customFormat="1" ht="14.25" customHeight="1">
      <c r="A1096" s="1536">
        <v>572</v>
      </c>
      <c r="B1096" s="1537"/>
      <c r="C1096" s="1538"/>
      <c r="D1096" s="1539" t="s">
        <v>862</v>
      </c>
      <c r="E1096" s="1468" t="s">
        <v>15</v>
      </c>
      <c r="F1096" s="166"/>
      <c r="G1096" s="1466">
        <v>779970.11165653204</v>
      </c>
      <c r="H1096" s="1466">
        <v>75068.066716313406</v>
      </c>
      <c r="I1096" s="1466"/>
      <c r="J1096" s="1466">
        <f t="shared" si="40"/>
        <v>855038.17837284505</v>
      </c>
      <c r="K1096" s="1466"/>
      <c r="L1096" s="1540"/>
      <c r="M1096" s="1540">
        <f t="shared" si="41"/>
        <v>855038.17837284505</v>
      </c>
      <c r="N1096" s="1539"/>
      <c r="O1096" s="559"/>
    </row>
    <row r="1097" spans="1:18" s="540" customFormat="1" ht="14.25" customHeight="1">
      <c r="A1097" s="1543" t="s">
        <v>521</v>
      </c>
      <c r="B1097" s="1537" t="e">
        <f>VLOOKUP(A1097,'[2]DS CN MOI UP'!$B$11:$C$447,2,0)</f>
        <v>#N/A</v>
      </c>
      <c r="C1097" s="1543"/>
      <c r="E1097" s="1543"/>
      <c r="F1097" s="1543"/>
      <c r="G1097" s="1546">
        <f t="shared" ref="G1097:M1097" si="44">SUM(G525:G1096)</f>
        <v>124787000</v>
      </c>
      <c r="H1097" s="1546">
        <f t="shared" si="44"/>
        <v>396004239.04729098</v>
      </c>
      <c r="I1097" s="1546">
        <f t="shared" si="44"/>
        <v>140784284</v>
      </c>
      <c r="J1097" s="1546">
        <f t="shared" si="44"/>
        <v>661575523.04728901</v>
      </c>
      <c r="K1097" s="1546">
        <f t="shared" si="44"/>
        <v>0</v>
      </c>
      <c r="L1097" s="1546">
        <f t="shared" si="44"/>
        <v>0</v>
      </c>
      <c r="M1097" s="1546">
        <f t="shared" si="44"/>
        <v>661575523.04728901</v>
      </c>
      <c r="N1097" s="1548"/>
      <c r="O1097" s="559" t="e">
        <f>'LƯƠNG CNTT'!#REF!</f>
        <v>#REF!</v>
      </c>
      <c r="P1097" s="559" t="e">
        <f>'LƯƠNG CNTT'!#REF!</f>
        <v>#REF!</v>
      </c>
      <c r="Q1097" s="559" t="e">
        <f>'LƯƠNG CNTT'!#REF!</f>
        <v>#REF!</v>
      </c>
    </row>
    <row r="1098" spans="1:18" s="540" customFormat="1" ht="14.25" customHeight="1">
      <c r="A1098" s="1547">
        <v>1</v>
      </c>
      <c r="B1098" s="1537" t="e">
        <f>VLOOKUP(D1098,'[2]DS CN MOI UP'!$B$11:$C$447,2,0)</f>
        <v>#N/A</v>
      </c>
      <c r="C1098" s="1538" t="s">
        <v>1350</v>
      </c>
      <c r="D1098" s="166" t="s">
        <v>1351</v>
      </c>
      <c r="E1098" s="1468" t="s">
        <v>15</v>
      </c>
      <c r="F1098" s="1468"/>
      <c r="G1098" s="1540"/>
      <c r="H1098" s="1540">
        <v>635040.18900000001</v>
      </c>
      <c r="I1098" s="1540">
        <v>524139.33600000001</v>
      </c>
      <c r="J1098" s="1466">
        <f t="shared" ref="J1098:J1368" si="45">SUM(G1098:I1098)</f>
        <v>1159179.5249999999</v>
      </c>
      <c r="K1098" s="1466"/>
      <c r="L1098" s="1466"/>
      <c r="M1098" s="1540">
        <f t="shared" ref="M1098:M1140" si="46">J1098-L1098</f>
        <v>1159179.5249999999</v>
      </c>
      <c r="N1098" s="166"/>
      <c r="O1098" s="559" t="e">
        <f>+O1097-G1097</f>
        <v>#REF!</v>
      </c>
      <c r="P1098" s="559" t="e">
        <f>+P1097-H1097</f>
        <v>#REF!</v>
      </c>
      <c r="Q1098" s="559" t="e">
        <f>+Q1097-I1097</f>
        <v>#REF!</v>
      </c>
    </row>
    <row r="1099" spans="1:18" s="540" customFormat="1" ht="14.25" customHeight="1">
      <c r="A1099" s="1547">
        <v>2</v>
      </c>
      <c r="B1099" s="1537" t="e">
        <f>VLOOKUP(D1099,'[2]DS CN MOI UP'!$B$11:$C$447,2,0)</f>
        <v>#N/A</v>
      </c>
      <c r="C1099" s="1538" t="s">
        <v>1350</v>
      </c>
      <c r="D1099" s="166" t="s">
        <v>1352</v>
      </c>
      <c r="E1099" s="1468" t="s">
        <v>15</v>
      </c>
      <c r="F1099" s="1468"/>
      <c r="G1099" s="1540"/>
      <c r="H1099" s="1540">
        <v>635040.18900000001</v>
      </c>
      <c r="I1099" s="1540">
        <v>524139.33600000001</v>
      </c>
      <c r="J1099" s="1466">
        <f t="shared" si="45"/>
        <v>1159179.5249999999</v>
      </c>
      <c r="K1099" s="1466"/>
      <c r="L1099" s="1466"/>
      <c r="M1099" s="1540">
        <f t="shared" si="46"/>
        <v>1159179.5249999999</v>
      </c>
      <c r="N1099" s="166"/>
    </row>
    <row r="1100" spans="1:18" s="540" customFormat="1" ht="14.25" customHeight="1">
      <c r="A1100" s="1547">
        <v>3</v>
      </c>
      <c r="B1100" s="1537" t="e">
        <f>VLOOKUP(D1100,'[2]DS CN MOI UP'!$B$11:$C$447,2,0)</f>
        <v>#N/A</v>
      </c>
      <c r="C1100" s="1538" t="s">
        <v>1350</v>
      </c>
      <c r="D1100" s="166" t="s">
        <v>1353</v>
      </c>
      <c r="E1100" s="1468" t="s">
        <v>15</v>
      </c>
      <c r="F1100" s="1468"/>
      <c r="G1100" s="1540"/>
      <c r="H1100" s="1540">
        <v>554373.09900000005</v>
      </c>
      <c r="I1100" s="1540">
        <v>524139.33600000001</v>
      </c>
      <c r="J1100" s="1466">
        <f t="shared" si="45"/>
        <v>1078512.4350000001</v>
      </c>
      <c r="K1100" s="1466"/>
      <c r="L1100" s="1466"/>
      <c r="M1100" s="1540">
        <f t="shared" si="46"/>
        <v>1078512.4350000001</v>
      </c>
      <c r="N1100" s="166"/>
      <c r="O1100" s="540">
        <v>186221500</v>
      </c>
      <c r="P1100" s="540">
        <v>422357214.72869003</v>
      </c>
      <c r="Q1100" s="540">
        <v>96778654.935000002</v>
      </c>
      <c r="R1100" s="540">
        <v>705357369.66369104</v>
      </c>
    </row>
    <row r="1101" spans="1:18" s="540" customFormat="1" ht="14.25" customHeight="1">
      <c r="A1101" s="1547">
        <v>4</v>
      </c>
      <c r="B1101" s="1537" t="str">
        <f>VLOOKUP(D1101,'[2]DS CN MOI UP'!$B$11:$C$447,2,0)</f>
        <v>02494</v>
      </c>
      <c r="C1101" s="1538" t="s">
        <v>1350</v>
      </c>
      <c r="D1101" s="166" t="s">
        <v>96</v>
      </c>
      <c r="E1101" s="1468" t="s">
        <v>15</v>
      </c>
      <c r="F1101" s="1468"/>
      <c r="G1101" s="1540"/>
      <c r="H1101" s="1540">
        <v>789516.939600004</v>
      </c>
      <c r="I1101" s="1540">
        <v>184104.59760000001</v>
      </c>
      <c r="J1101" s="1466">
        <f t="shared" si="45"/>
        <v>973621.53720000398</v>
      </c>
      <c r="K1101" s="1466"/>
      <c r="L1101" s="1466"/>
      <c r="M1101" s="1540">
        <f t="shared" si="46"/>
        <v>973621.53720000398</v>
      </c>
      <c r="N1101" s="166"/>
    </row>
    <row r="1102" spans="1:18" s="540" customFormat="1" ht="14.25" customHeight="1">
      <c r="A1102" s="1547">
        <v>5</v>
      </c>
      <c r="B1102" s="1537" t="str">
        <f>VLOOKUP(D1102,'[2]DS CN MOI UP'!$B$11:$C$447,2,0)</f>
        <v>02594</v>
      </c>
      <c r="C1102" s="1538" t="s">
        <v>1350</v>
      </c>
      <c r="D1102" s="166" t="s">
        <v>207</v>
      </c>
      <c r="E1102" s="1468" t="s">
        <v>15</v>
      </c>
      <c r="F1102" s="1468"/>
      <c r="G1102" s="1540"/>
      <c r="H1102" s="1540">
        <v>383004.72</v>
      </c>
      <c r="I1102" s="1540">
        <v>251034.90599999999</v>
      </c>
      <c r="J1102" s="1466">
        <f t="shared" si="45"/>
        <v>634039.62600000005</v>
      </c>
      <c r="K1102" s="1466"/>
      <c r="L1102" s="1466"/>
      <c r="M1102" s="1540">
        <f t="shared" si="46"/>
        <v>634039.62600000005</v>
      </c>
      <c r="N1102" s="166"/>
    </row>
    <row r="1103" spans="1:18" s="540" customFormat="1" ht="14.25" customHeight="1">
      <c r="A1103" s="1547">
        <v>6</v>
      </c>
      <c r="B1103" s="1537" t="e">
        <f>VLOOKUP(D1103,'[2]DS CN MOI UP'!$B$11:$C$447,2,0)</f>
        <v>#N/A</v>
      </c>
      <c r="C1103" s="1538" t="s">
        <v>1350</v>
      </c>
      <c r="D1103" s="166" t="s">
        <v>1354</v>
      </c>
      <c r="E1103" s="1468" t="s">
        <v>15</v>
      </c>
      <c r="F1103" s="1468"/>
      <c r="G1103" s="1540">
        <v>462587.53425463499</v>
      </c>
      <c r="H1103" s="1540">
        <v>312502.995</v>
      </c>
      <c r="I1103" s="1540">
        <v>312502.995</v>
      </c>
      <c r="J1103" s="1466">
        <f t="shared" si="45"/>
        <v>1087593.5242546301</v>
      </c>
      <c r="K1103" s="1466"/>
      <c r="L1103" s="1466"/>
      <c r="M1103" s="1540">
        <f t="shared" si="46"/>
        <v>1087593.5242546301</v>
      </c>
      <c r="N1103" s="166"/>
    </row>
    <row r="1104" spans="1:18" s="540" customFormat="1" ht="14.25" customHeight="1">
      <c r="A1104" s="1547">
        <v>7</v>
      </c>
      <c r="B1104" s="1537" t="e">
        <f>VLOOKUP(D1104,'[2]DS CN MOI UP'!$B$11:$C$447,2,0)</f>
        <v>#N/A</v>
      </c>
      <c r="C1104" s="1538" t="s">
        <v>1350</v>
      </c>
      <c r="D1104" s="166" t="s">
        <v>1355</v>
      </c>
      <c r="E1104" s="1468" t="s">
        <v>15</v>
      </c>
      <c r="F1104" s="1468"/>
      <c r="G1104" s="1540"/>
      <c r="H1104" s="1540">
        <v>614840.625</v>
      </c>
      <c r="I1104" s="1540">
        <v>614840.625</v>
      </c>
      <c r="J1104" s="1466">
        <f t="shared" si="45"/>
        <v>1229681.25</v>
      </c>
      <c r="K1104" s="1466"/>
      <c r="L1104" s="1466"/>
      <c r="M1104" s="1540">
        <f t="shared" si="46"/>
        <v>1229681.25</v>
      </c>
      <c r="N1104" s="166"/>
    </row>
    <row r="1105" spans="1:17" s="540" customFormat="1" ht="14.25" customHeight="1">
      <c r="A1105" s="1547">
        <v>8</v>
      </c>
      <c r="B1105" s="1537" t="str">
        <f>VLOOKUP(D1105,'[2]DS CN MOI UP'!$B$11:$C$447,2,0)</f>
        <v>02641</v>
      </c>
      <c r="C1105" s="1538" t="s">
        <v>1350</v>
      </c>
      <c r="D1105" s="166" t="s">
        <v>291</v>
      </c>
      <c r="E1105" s="1468" t="s">
        <v>15</v>
      </c>
      <c r="F1105" s="1468"/>
      <c r="G1105" s="1540"/>
      <c r="H1105" s="1540">
        <v>554373.09900000005</v>
      </c>
      <c r="I1105" s="1540">
        <v>554373.09900000005</v>
      </c>
      <c r="J1105" s="1466">
        <f t="shared" si="45"/>
        <v>1108746.1980000001</v>
      </c>
      <c r="K1105" s="1466"/>
      <c r="L1105" s="1466"/>
      <c r="M1105" s="1540">
        <f t="shared" si="46"/>
        <v>1108746.1980000001</v>
      </c>
      <c r="N1105" s="166"/>
    </row>
    <row r="1106" spans="1:17" s="540" customFormat="1" ht="14.25" customHeight="1">
      <c r="A1106" s="1547">
        <v>9</v>
      </c>
      <c r="B1106" s="1537" t="e">
        <f>VLOOKUP(D1106,'[2]DS CN MOI UP'!$B$11:$C$447,2,0)</f>
        <v>#N/A</v>
      </c>
      <c r="C1106" s="1538" t="s">
        <v>1350</v>
      </c>
      <c r="D1106" s="166" t="s">
        <v>686</v>
      </c>
      <c r="E1106" s="1468" t="s">
        <v>15</v>
      </c>
      <c r="F1106" s="1468"/>
      <c r="G1106" s="1540"/>
      <c r="H1106" s="1540">
        <v>554373.09900000005</v>
      </c>
      <c r="I1106" s="1540">
        <v>554373.09900000005</v>
      </c>
      <c r="J1106" s="1466">
        <f t="shared" si="45"/>
        <v>1108746.1980000001</v>
      </c>
      <c r="K1106" s="1466"/>
      <c r="L1106" s="1466"/>
      <c r="M1106" s="1540">
        <f t="shared" si="46"/>
        <v>1108746.1980000001</v>
      </c>
      <c r="N1106" s="166"/>
    </row>
    <row r="1107" spans="1:17" s="540" customFormat="1" ht="14.25" customHeight="1">
      <c r="A1107" s="1547">
        <v>10</v>
      </c>
      <c r="B1107" s="1537" t="e">
        <f>VLOOKUP(D1107,'[2]DS CN MOI UP'!$B$11:$C$447,2,0)</f>
        <v>#N/A</v>
      </c>
      <c r="C1107" s="1538" t="s">
        <v>1350</v>
      </c>
      <c r="D1107" s="166" t="s">
        <v>687</v>
      </c>
      <c r="E1107" s="1468" t="s">
        <v>15</v>
      </c>
      <c r="F1107" s="1468"/>
      <c r="G1107" s="1540"/>
      <c r="H1107" s="1540">
        <v>554373.09900000005</v>
      </c>
      <c r="I1107" s="1540">
        <v>554373.09900000005</v>
      </c>
      <c r="J1107" s="1466">
        <f t="shared" si="45"/>
        <v>1108746.1980000001</v>
      </c>
      <c r="K1107" s="1466"/>
      <c r="L1107" s="1466"/>
      <c r="M1107" s="1540">
        <f t="shared" si="46"/>
        <v>1108746.1980000001</v>
      </c>
      <c r="N1107" s="166"/>
    </row>
    <row r="1108" spans="1:17" s="540" customFormat="1" ht="14.25" customHeight="1">
      <c r="A1108" s="1547">
        <v>11</v>
      </c>
      <c r="B1108" s="1537" t="e">
        <f>VLOOKUP(D1108,'[2]DS CN MOI UP'!$B$11:$C$447,2,0)</f>
        <v>#N/A</v>
      </c>
      <c r="C1108" s="1538" t="s">
        <v>1350</v>
      </c>
      <c r="D1108" s="166" t="s">
        <v>649</v>
      </c>
      <c r="E1108" s="1468" t="s">
        <v>15</v>
      </c>
      <c r="F1108" s="1468"/>
      <c r="G1108" s="1540"/>
      <c r="H1108" s="1540">
        <v>635040.18900000001</v>
      </c>
      <c r="I1108" s="1540">
        <v>524139.33600000001</v>
      </c>
      <c r="J1108" s="1466">
        <f t="shared" si="45"/>
        <v>1159179.5249999999</v>
      </c>
      <c r="K1108" s="1466"/>
      <c r="L1108" s="1466"/>
      <c r="M1108" s="1540">
        <f t="shared" si="46"/>
        <v>1159179.5249999999</v>
      </c>
      <c r="N1108" s="166"/>
    </row>
    <row r="1109" spans="1:17" s="540" customFormat="1" ht="14.25" customHeight="1">
      <c r="A1109" s="1547">
        <v>12</v>
      </c>
      <c r="B1109" s="1537" t="e">
        <f>VLOOKUP(D1109,'[2]DS CN MOI UP'!$B$11:$C$447,2,0)</f>
        <v>#N/A</v>
      </c>
      <c r="C1109" s="1538" t="s">
        <v>1350</v>
      </c>
      <c r="D1109" s="166" t="s">
        <v>688</v>
      </c>
      <c r="E1109" s="1468" t="s">
        <v>15</v>
      </c>
      <c r="F1109" s="1468"/>
      <c r="G1109" s="1540"/>
      <c r="H1109" s="1540">
        <v>635040.18900000001</v>
      </c>
      <c r="I1109" s="1540">
        <v>524139.33600000001</v>
      </c>
      <c r="J1109" s="1466">
        <f t="shared" si="45"/>
        <v>1159179.5249999999</v>
      </c>
      <c r="K1109" s="1466"/>
      <c r="L1109" s="1466"/>
      <c r="M1109" s="1540">
        <f t="shared" si="46"/>
        <v>1159179.5249999999</v>
      </c>
      <c r="N1109" s="166"/>
      <c r="Q1109" s="540">
        <v>-210722.70620012301</v>
      </c>
    </row>
    <row r="1110" spans="1:17" s="540" customFormat="1" ht="14.25" customHeight="1">
      <c r="A1110" s="1547">
        <v>13</v>
      </c>
      <c r="B1110" s="1537" t="str">
        <f>VLOOKUP(D1110,'[2]DS CN MOI UP'!$B$11:$C$447,2,0)</f>
        <v>02431</v>
      </c>
      <c r="C1110" s="1538" t="s">
        <v>1350</v>
      </c>
      <c r="D1110" s="166" t="s">
        <v>409</v>
      </c>
      <c r="E1110" s="1468" t="s">
        <v>15</v>
      </c>
      <c r="F1110" s="1468"/>
      <c r="G1110" s="1540"/>
      <c r="H1110" s="1540">
        <v>554373.09900000005</v>
      </c>
      <c r="I1110" s="1540">
        <v>524139.33600000001</v>
      </c>
      <c r="J1110" s="1466">
        <f t="shared" si="45"/>
        <v>1078512.4350000001</v>
      </c>
      <c r="K1110" s="1466"/>
      <c r="L1110" s="1466"/>
      <c r="M1110" s="1540">
        <f t="shared" si="46"/>
        <v>1078512.4350000001</v>
      </c>
      <c r="N1110" s="166"/>
    </row>
    <row r="1111" spans="1:17" s="540" customFormat="1" ht="14.25" customHeight="1">
      <c r="A1111" s="1547">
        <v>14</v>
      </c>
      <c r="B1111" s="1537" t="e">
        <f>VLOOKUP(D1111,'[2]DS CN MOI UP'!$B$11:$C$447,2,0)</f>
        <v>#N/A</v>
      </c>
      <c r="C1111" s="1538" t="s">
        <v>1350</v>
      </c>
      <c r="D1111" s="166" t="s">
        <v>689</v>
      </c>
      <c r="E1111" s="1468" t="s">
        <v>15</v>
      </c>
      <c r="F1111" s="1468"/>
      <c r="G1111" s="1540">
        <v>500000</v>
      </c>
      <c r="H1111" s="1540">
        <v>433438.04700000002</v>
      </c>
      <c r="I1111" s="1540">
        <v>184104.59760000001</v>
      </c>
      <c r="J1111" s="1466">
        <f t="shared" si="45"/>
        <v>1117542.6446</v>
      </c>
      <c r="K1111" s="1466"/>
      <c r="L1111" s="1466"/>
      <c r="M1111" s="1540">
        <f t="shared" si="46"/>
        <v>1117542.6446</v>
      </c>
      <c r="N1111" s="166"/>
    </row>
    <row r="1112" spans="1:17" s="540" customFormat="1" ht="14.25" customHeight="1">
      <c r="A1112" s="1547">
        <v>15</v>
      </c>
      <c r="B1112" s="1537" t="e">
        <f>VLOOKUP(D1112,'[2]DS CN MOI UP'!$B$11:$C$447,2,0)</f>
        <v>#N/A</v>
      </c>
      <c r="C1112" s="1538" t="s">
        <v>1350</v>
      </c>
      <c r="D1112" s="166" t="s">
        <v>1356</v>
      </c>
      <c r="E1112" s="1468" t="s">
        <v>15</v>
      </c>
      <c r="F1112" s="1468"/>
      <c r="G1112" s="1540">
        <v>160000</v>
      </c>
      <c r="H1112" s="1540">
        <v>383004.72</v>
      </c>
      <c r="I1112" s="1540">
        <v>251034.90599999999</v>
      </c>
      <c r="J1112" s="1466">
        <f t="shared" si="45"/>
        <v>794039.62600000005</v>
      </c>
      <c r="K1112" s="1466"/>
      <c r="L1112" s="1466"/>
      <c r="M1112" s="1540">
        <f t="shared" si="46"/>
        <v>794039.62600000005</v>
      </c>
      <c r="N1112" s="166"/>
    </row>
    <row r="1113" spans="1:17" s="540" customFormat="1" ht="14.25" customHeight="1">
      <c r="A1113" s="1547">
        <v>16</v>
      </c>
      <c r="B1113" s="1537" t="str">
        <f>VLOOKUP(D1113,'[2]DS CN MOI UP'!$B$11:$C$447,2,0)</f>
        <v>02438</v>
      </c>
      <c r="C1113" s="1538" t="s">
        <v>1350</v>
      </c>
      <c r="D1113" s="166" t="s">
        <v>419</v>
      </c>
      <c r="E1113" s="1468" t="s">
        <v>15</v>
      </c>
      <c r="F1113" s="1468"/>
      <c r="G1113" s="1540"/>
      <c r="H1113" s="1540">
        <v>312502.995</v>
      </c>
      <c r="I1113" s="1540">
        <v>312502.995</v>
      </c>
      <c r="J1113" s="1466">
        <f t="shared" si="45"/>
        <v>625005.99</v>
      </c>
      <c r="K1113" s="1466"/>
      <c r="L1113" s="1466"/>
      <c r="M1113" s="1540">
        <f t="shared" si="46"/>
        <v>625005.99</v>
      </c>
      <c r="N1113" s="166"/>
    </row>
    <row r="1114" spans="1:17" s="540" customFormat="1" ht="14.25" customHeight="1">
      <c r="A1114" s="1547">
        <v>17</v>
      </c>
      <c r="B1114" s="1537" t="e">
        <f>VLOOKUP(D1114,'[2]DS CN MOI UP'!$B$11:$C$447,2,0)</f>
        <v>#N/A</v>
      </c>
      <c r="C1114" s="1538" t="s">
        <v>1350</v>
      </c>
      <c r="D1114" s="166" t="s">
        <v>676</v>
      </c>
      <c r="E1114" s="1468" t="s">
        <v>15</v>
      </c>
      <c r="F1114" s="1468"/>
      <c r="G1114" s="1540"/>
      <c r="H1114" s="1540">
        <v>614840.625</v>
      </c>
      <c r="I1114" s="1540">
        <v>614840.625</v>
      </c>
      <c r="J1114" s="1466">
        <f t="shared" si="45"/>
        <v>1229681.25</v>
      </c>
      <c r="K1114" s="1466"/>
      <c r="L1114" s="1466"/>
      <c r="M1114" s="1540">
        <f t="shared" si="46"/>
        <v>1229681.25</v>
      </c>
      <c r="N1114" s="166"/>
    </row>
    <row r="1115" spans="1:17" s="540" customFormat="1" ht="14.25" customHeight="1">
      <c r="A1115" s="1547">
        <v>18</v>
      </c>
      <c r="B1115" s="1537" t="e">
        <f>VLOOKUP(D1115,'[2]DS CN MOI UP'!$B$11:$C$447,2,0)</f>
        <v>#N/A</v>
      </c>
      <c r="C1115" s="1538" t="s">
        <v>1350</v>
      </c>
      <c r="D1115" s="166" t="s">
        <v>690</v>
      </c>
      <c r="E1115" s="1468" t="s">
        <v>15</v>
      </c>
      <c r="F1115" s="1468"/>
      <c r="G1115" s="1540"/>
      <c r="H1115" s="1540">
        <v>554373.09900000005</v>
      </c>
      <c r="I1115" s="1540">
        <v>554373.09900000005</v>
      </c>
      <c r="J1115" s="1466">
        <f t="shared" si="45"/>
        <v>1108746.1980000001</v>
      </c>
      <c r="K1115" s="1466"/>
      <c r="L1115" s="1466"/>
      <c r="M1115" s="1540">
        <f t="shared" si="46"/>
        <v>1108746.1980000001</v>
      </c>
      <c r="N1115" s="166"/>
    </row>
    <row r="1116" spans="1:17" s="540" customFormat="1" ht="14.25" customHeight="1">
      <c r="A1116" s="1547">
        <v>19</v>
      </c>
      <c r="B1116" s="1537" t="e">
        <f>VLOOKUP(D1116,'[2]DS CN MOI UP'!$B$11:$C$447,2,0)</f>
        <v>#N/A</v>
      </c>
      <c r="C1116" s="1538" t="s">
        <v>1350</v>
      </c>
      <c r="D1116" s="166" t="s">
        <v>691</v>
      </c>
      <c r="E1116" s="1468" t="s">
        <v>15</v>
      </c>
      <c r="F1116" s="1468"/>
      <c r="G1116" s="1540"/>
      <c r="H1116" s="1540">
        <v>554373.09900000005</v>
      </c>
      <c r="I1116" s="1540">
        <v>554373.09900000005</v>
      </c>
      <c r="J1116" s="1466">
        <f t="shared" si="45"/>
        <v>1108746.1980000001</v>
      </c>
      <c r="K1116" s="1466"/>
      <c r="L1116" s="1466"/>
      <c r="M1116" s="1540">
        <f t="shared" si="46"/>
        <v>1108746.1980000001</v>
      </c>
      <c r="N1116" s="166"/>
    </row>
    <row r="1117" spans="1:17" s="540" customFormat="1" ht="14.25" customHeight="1">
      <c r="A1117" s="1547">
        <v>20</v>
      </c>
      <c r="B1117" s="1537" t="e">
        <f>VLOOKUP(D1117,'[2]DS CN MOI UP'!$B$11:$C$447,2,0)</f>
        <v>#N/A</v>
      </c>
      <c r="C1117" s="1538" t="s">
        <v>1350</v>
      </c>
      <c r="D1117" s="166" t="s">
        <v>1357</v>
      </c>
      <c r="E1117" s="1468" t="s">
        <v>15</v>
      </c>
      <c r="F1117" s="1468"/>
      <c r="G1117" s="1540"/>
      <c r="H1117" s="1540">
        <v>554373.09900000005</v>
      </c>
      <c r="I1117" s="1540">
        <v>227087.081799999</v>
      </c>
      <c r="J1117" s="1466">
        <f t="shared" si="45"/>
        <v>781460.18079999904</v>
      </c>
      <c r="K1117" s="1466"/>
      <c r="L1117" s="1466"/>
      <c r="M1117" s="1540">
        <f t="shared" si="46"/>
        <v>781460.18079999904</v>
      </c>
      <c r="N1117" s="166"/>
    </row>
    <row r="1118" spans="1:17" s="540" customFormat="1" ht="14.25" customHeight="1">
      <c r="A1118" s="1547">
        <v>21</v>
      </c>
      <c r="B1118" s="1537" t="e">
        <f>VLOOKUP(D1118,'[2]DS CN MOI UP'!$B$11:$C$447,2,0)</f>
        <v>#N/A</v>
      </c>
      <c r="C1118" s="1538" t="s">
        <v>1350</v>
      </c>
      <c r="D1118" s="166" t="s">
        <v>693</v>
      </c>
      <c r="E1118" s="1468" t="s">
        <v>15</v>
      </c>
      <c r="F1118" s="1468"/>
      <c r="G1118" s="1540"/>
      <c r="H1118" s="1540">
        <v>1189145.3259999999</v>
      </c>
      <c r="I1118" s="1540"/>
      <c r="J1118" s="1466">
        <f t="shared" si="45"/>
        <v>1189145.3259999999</v>
      </c>
      <c r="K1118" s="1466"/>
      <c r="L1118" s="1466"/>
      <c r="M1118" s="1540">
        <f t="shared" si="46"/>
        <v>1189145.3259999999</v>
      </c>
      <c r="N1118" s="166"/>
    </row>
    <row r="1119" spans="1:17" s="540" customFormat="1" ht="14.25" customHeight="1">
      <c r="A1119" s="1547">
        <v>22</v>
      </c>
      <c r="B1119" s="1537" t="e">
        <f>VLOOKUP(D1119,'[2]DS CN MOI UP'!$B$11:$C$447,2,0)</f>
        <v>#N/A</v>
      </c>
      <c r="C1119" s="1538" t="s">
        <v>1350</v>
      </c>
      <c r="D1119" s="166" t="s">
        <v>681</v>
      </c>
      <c r="E1119" s="1468" t="s">
        <v>15</v>
      </c>
      <c r="F1119" s="1468"/>
      <c r="G1119" s="1540"/>
      <c r="H1119" s="1540">
        <v>1249612.852</v>
      </c>
      <c r="I1119" s="1540"/>
      <c r="J1119" s="1466">
        <f t="shared" si="45"/>
        <v>1249612.852</v>
      </c>
      <c r="K1119" s="1466"/>
      <c r="L1119" s="1466"/>
      <c r="M1119" s="1540">
        <f t="shared" si="46"/>
        <v>1249612.852</v>
      </c>
      <c r="N1119" s="166"/>
    </row>
    <row r="1120" spans="1:17" s="540" customFormat="1" ht="14.25" customHeight="1">
      <c r="A1120" s="1547">
        <v>23</v>
      </c>
      <c r="B1120" s="1537" t="e">
        <f>VLOOKUP(D1120,'[2]DS CN MOI UP'!$B$11:$C$447,2,0)</f>
        <v>#N/A</v>
      </c>
      <c r="C1120" s="1538" t="s">
        <v>1350</v>
      </c>
      <c r="D1120" s="166" t="s">
        <v>694</v>
      </c>
      <c r="E1120" s="1468" t="s">
        <v>15</v>
      </c>
      <c r="F1120" s="1468"/>
      <c r="G1120" s="1540"/>
      <c r="H1120" s="1540">
        <v>1249612.852</v>
      </c>
      <c r="I1120" s="1540"/>
      <c r="J1120" s="1466">
        <f t="shared" si="45"/>
        <v>1249612.852</v>
      </c>
      <c r="K1120" s="1466"/>
      <c r="L1120" s="1466"/>
      <c r="M1120" s="1540">
        <f t="shared" si="46"/>
        <v>1249612.852</v>
      </c>
      <c r="N1120" s="166"/>
    </row>
    <row r="1121" spans="1:14" s="540" customFormat="1" ht="14.25" customHeight="1">
      <c r="A1121" s="1547">
        <v>24</v>
      </c>
      <c r="B1121" s="1537" t="e">
        <f>VLOOKUP(D1121,'[2]DS CN MOI UP'!$B$11:$C$447,2,0)</f>
        <v>#N/A</v>
      </c>
      <c r="C1121" s="1538" t="s">
        <v>1350</v>
      </c>
      <c r="D1121" s="166" t="s">
        <v>695</v>
      </c>
      <c r="E1121" s="1468" t="s">
        <v>15</v>
      </c>
      <c r="F1121" s="1468"/>
      <c r="G1121" s="1540"/>
      <c r="H1121" s="1540">
        <v>1249612.852</v>
      </c>
      <c r="I1121" s="1540"/>
      <c r="J1121" s="1466">
        <f t="shared" si="45"/>
        <v>1249612.852</v>
      </c>
      <c r="K1121" s="1466"/>
      <c r="L1121" s="1466"/>
      <c r="M1121" s="1540">
        <f t="shared" si="46"/>
        <v>1249612.852</v>
      </c>
      <c r="N1121" s="166"/>
    </row>
    <row r="1122" spans="1:14" s="540" customFormat="1" ht="14.25" customHeight="1">
      <c r="A1122" s="1547">
        <v>25</v>
      </c>
      <c r="B1122" s="1537" t="e">
        <f>VLOOKUP(D1122,'[2]DS CN MOI UP'!$B$11:$C$447,2,0)</f>
        <v>#N/A</v>
      </c>
      <c r="C1122" s="1538" t="s">
        <v>1350</v>
      </c>
      <c r="D1122" s="166" t="s">
        <v>1358</v>
      </c>
      <c r="E1122" s="1468" t="s">
        <v>15</v>
      </c>
      <c r="F1122" s="1468"/>
      <c r="G1122" s="1540"/>
      <c r="H1122" s="1540">
        <v>1249612.852</v>
      </c>
      <c r="I1122" s="1540"/>
      <c r="J1122" s="1466">
        <f t="shared" si="45"/>
        <v>1249612.852</v>
      </c>
      <c r="K1122" s="1466"/>
      <c r="L1122" s="1466"/>
      <c r="M1122" s="1540">
        <f t="shared" si="46"/>
        <v>1249612.852</v>
      </c>
      <c r="N1122" s="166"/>
    </row>
    <row r="1123" spans="1:14" s="540" customFormat="1" ht="14.25" customHeight="1">
      <c r="A1123" s="1547">
        <v>26</v>
      </c>
      <c r="B1123" s="1537" t="e">
        <f>VLOOKUP(D1123,'[2]DS CN MOI UP'!$B$11:$C$447,2,0)</f>
        <v>#N/A</v>
      </c>
      <c r="C1123" s="1538" t="s">
        <v>1350</v>
      </c>
      <c r="D1123" s="166" t="s">
        <v>696</v>
      </c>
      <c r="E1123" s="1468" t="s">
        <v>15</v>
      </c>
      <c r="F1123" s="1468"/>
      <c r="G1123" s="1540"/>
      <c r="H1123" s="1540">
        <v>1249612.852</v>
      </c>
      <c r="I1123" s="1540"/>
      <c r="J1123" s="1466">
        <f t="shared" si="45"/>
        <v>1249612.852</v>
      </c>
      <c r="K1123" s="1466"/>
      <c r="L1123" s="1466"/>
      <c r="M1123" s="1540">
        <f t="shared" si="46"/>
        <v>1249612.852</v>
      </c>
      <c r="N1123" s="166"/>
    </row>
    <row r="1124" spans="1:14" s="540" customFormat="1" ht="14.25" customHeight="1">
      <c r="A1124" s="1547">
        <v>27</v>
      </c>
      <c r="B1124" s="1537" t="e">
        <f>VLOOKUP(D1124,'[2]DS CN MOI UP'!$B$11:$C$447,2,0)</f>
        <v>#N/A</v>
      </c>
      <c r="C1124" s="1538" t="s">
        <v>1350</v>
      </c>
      <c r="D1124" s="166" t="s">
        <v>698</v>
      </c>
      <c r="E1124" s="1468" t="s">
        <v>15</v>
      </c>
      <c r="F1124" s="1468"/>
      <c r="G1124" s="1540"/>
      <c r="H1124" s="1540">
        <v>1249612.852</v>
      </c>
      <c r="I1124" s="1540"/>
      <c r="J1124" s="1466">
        <f t="shared" si="45"/>
        <v>1249612.852</v>
      </c>
      <c r="K1124" s="1466"/>
      <c r="L1124" s="1466"/>
      <c r="M1124" s="1540">
        <f t="shared" si="46"/>
        <v>1249612.852</v>
      </c>
      <c r="N1124" s="166"/>
    </row>
    <row r="1125" spans="1:14" s="540" customFormat="1" ht="14.25" customHeight="1">
      <c r="A1125" s="1547">
        <v>28</v>
      </c>
      <c r="B1125" s="1537" t="e">
        <f>VLOOKUP(D1125,'[2]DS CN MOI UP'!$B$11:$C$447,2,0)</f>
        <v>#N/A</v>
      </c>
      <c r="C1125" s="1538" t="s">
        <v>1350</v>
      </c>
      <c r="D1125" s="166" t="s">
        <v>699</v>
      </c>
      <c r="E1125" s="1468" t="s">
        <v>15</v>
      </c>
      <c r="F1125" s="1468"/>
      <c r="G1125" s="1540"/>
      <c r="H1125" s="1540">
        <v>1249612.852</v>
      </c>
      <c r="I1125" s="1540"/>
      <c r="J1125" s="1466">
        <f t="shared" si="45"/>
        <v>1249612.852</v>
      </c>
      <c r="K1125" s="1466"/>
      <c r="L1125" s="1466"/>
      <c r="M1125" s="1540">
        <f t="shared" si="46"/>
        <v>1249612.852</v>
      </c>
      <c r="N1125" s="166"/>
    </row>
    <row r="1126" spans="1:14" s="540" customFormat="1" ht="14.25" customHeight="1">
      <c r="A1126" s="1547">
        <v>29</v>
      </c>
      <c r="B1126" s="1537" t="e">
        <f>VLOOKUP(D1126,'[2]DS CN MOI UP'!$B$11:$C$447,2,0)</f>
        <v>#N/A</v>
      </c>
      <c r="C1126" s="1538" t="s">
        <v>1350</v>
      </c>
      <c r="D1126" s="166" t="s">
        <v>1359</v>
      </c>
      <c r="E1126" s="1468" t="s">
        <v>15</v>
      </c>
      <c r="F1126" s="1468"/>
      <c r="G1126" s="1540"/>
      <c r="H1126" s="1540">
        <v>589497.66819929006</v>
      </c>
      <c r="I1126" s="1540">
        <v>518915.47499999998</v>
      </c>
      <c r="J1126" s="1466">
        <f t="shared" si="45"/>
        <v>1108413.1431992899</v>
      </c>
      <c r="K1126" s="1466"/>
      <c r="L1126" s="1466"/>
      <c r="M1126" s="1540">
        <f t="shared" si="46"/>
        <v>1108413.1431992899</v>
      </c>
      <c r="N1126" s="166"/>
    </row>
    <row r="1127" spans="1:14" s="540" customFormat="1" ht="14.25" customHeight="1">
      <c r="A1127" s="1547">
        <v>30</v>
      </c>
      <c r="B1127" s="1537" t="e">
        <f>VLOOKUP(D1127,'[2]DS CN MOI UP'!$B$11:$C$447,2,0)</f>
        <v>#N/A</v>
      </c>
      <c r="C1127" s="1538" t="s">
        <v>1350</v>
      </c>
      <c r="D1127" s="166" t="s">
        <v>700</v>
      </c>
      <c r="E1127" s="1468" t="s">
        <v>15</v>
      </c>
      <c r="F1127" s="1468"/>
      <c r="G1127" s="1540"/>
      <c r="H1127" s="1540">
        <v>1249612.852</v>
      </c>
      <c r="I1127" s="1540"/>
      <c r="J1127" s="1466">
        <f t="shared" si="45"/>
        <v>1249612.852</v>
      </c>
      <c r="K1127" s="1466"/>
      <c r="L1127" s="1466"/>
      <c r="M1127" s="1540">
        <f t="shared" si="46"/>
        <v>1249612.852</v>
      </c>
      <c r="N1127" s="166"/>
    </row>
    <row r="1128" spans="1:14" s="540" customFormat="1" ht="14.25" customHeight="1">
      <c r="A1128" s="1547">
        <v>31</v>
      </c>
      <c r="B1128" s="1537" t="e">
        <f>VLOOKUP(D1128,'[2]DS CN MOI UP'!$B$11:$C$447,2,0)</f>
        <v>#N/A</v>
      </c>
      <c r="C1128" s="1538" t="s">
        <v>1350</v>
      </c>
      <c r="D1128" s="166" t="s">
        <v>701</v>
      </c>
      <c r="E1128" s="1468" t="s">
        <v>15</v>
      </c>
      <c r="F1128" s="1468"/>
      <c r="G1128" s="1540"/>
      <c r="H1128" s="1540">
        <v>1249612.852</v>
      </c>
      <c r="I1128" s="1540"/>
      <c r="J1128" s="1466">
        <f t="shared" si="45"/>
        <v>1249612.852</v>
      </c>
      <c r="K1128" s="1466"/>
      <c r="L1128" s="1466"/>
      <c r="M1128" s="1540">
        <f t="shared" si="46"/>
        <v>1249612.852</v>
      </c>
      <c r="N1128" s="166"/>
    </row>
    <row r="1129" spans="1:14" s="540" customFormat="1" ht="14.25" customHeight="1">
      <c r="A1129" s="1547">
        <v>32</v>
      </c>
      <c r="B1129" s="1537" t="e">
        <f>VLOOKUP(D1129,'[2]DS CN MOI UP'!$B$11:$C$447,2,0)</f>
        <v>#N/A</v>
      </c>
      <c r="C1129" s="1538" t="s">
        <v>1350</v>
      </c>
      <c r="D1129" s="166" t="s">
        <v>702</v>
      </c>
      <c r="E1129" s="1468" t="s">
        <v>15</v>
      </c>
      <c r="F1129" s="1468"/>
      <c r="G1129" s="1540"/>
      <c r="H1129" s="1540">
        <v>1249612.852</v>
      </c>
      <c r="I1129" s="1540"/>
      <c r="J1129" s="1466">
        <f t="shared" si="45"/>
        <v>1249612.852</v>
      </c>
      <c r="K1129" s="1466"/>
      <c r="L1129" s="1466"/>
      <c r="M1129" s="1540">
        <f t="shared" si="46"/>
        <v>1249612.852</v>
      </c>
      <c r="N1129" s="166"/>
    </row>
    <row r="1130" spans="1:14" s="540" customFormat="1" ht="14.25" customHeight="1">
      <c r="A1130" s="1547">
        <v>33</v>
      </c>
      <c r="B1130" s="1537" t="str">
        <f>VLOOKUP(D1130,'[2]DS CN MOI UP'!$B$11:$C$447,2,0)</f>
        <v>02622</v>
      </c>
      <c r="C1130" s="1538" t="s">
        <v>1350</v>
      </c>
      <c r="D1130" s="166" t="s">
        <v>314</v>
      </c>
      <c r="E1130" s="1468" t="s">
        <v>15</v>
      </c>
      <c r="F1130" s="1468"/>
      <c r="G1130" s="1540"/>
      <c r="H1130" s="1540">
        <v>1249612.852</v>
      </c>
      <c r="I1130" s="1540"/>
      <c r="J1130" s="1466">
        <f t="shared" si="45"/>
        <v>1249612.852</v>
      </c>
      <c r="K1130" s="1466"/>
      <c r="L1130" s="1466"/>
      <c r="M1130" s="1540">
        <f t="shared" si="46"/>
        <v>1249612.852</v>
      </c>
      <c r="N1130" s="166"/>
    </row>
    <row r="1131" spans="1:14" s="540" customFormat="1" ht="14.25" customHeight="1">
      <c r="A1131" s="1547">
        <v>34</v>
      </c>
      <c r="B1131" s="1537" t="e">
        <f>VLOOKUP(D1131,'[2]DS CN MOI UP'!$B$11:$C$447,2,0)</f>
        <v>#N/A</v>
      </c>
      <c r="C1131" s="1538" t="s">
        <v>1350</v>
      </c>
      <c r="D1131" s="166" t="s">
        <v>703</v>
      </c>
      <c r="E1131" s="1468" t="s">
        <v>15</v>
      </c>
      <c r="F1131" s="1468"/>
      <c r="G1131" s="1540"/>
      <c r="H1131" s="1540">
        <v>498591.54184917902</v>
      </c>
      <c r="I1131" s="1540">
        <v>740006.69399999804</v>
      </c>
      <c r="J1131" s="1466">
        <f t="shared" si="45"/>
        <v>1238598.23584918</v>
      </c>
      <c r="K1131" s="1466"/>
      <c r="L1131" s="1466"/>
      <c r="M1131" s="1540">
        <f t="shared" si="46"/>
        <v>1238598.23584918</v>
      </c>
      <c r="N1131" s="166"/>
    </row>
    <row r="1132" spans="1:14" s="540" customFormat="1" ht="14.25" customHeight="1">
      <c r="A1132" s="1547">
        <v>35</v>
      </c>
      <c r="B1132" s="1537" t="e">
        <f>VLOOKUP(D1132,'[2]DS CN MOI UP'!$B$11:$C$447,2,0)</f>
        <v>#N/A</v>
      </c>
      <c r="C1132" s="1538" t="s">
        <v>1350</v>
      </c>
      <c r="D1132" s="166" t="s">
        <v>704</v>
      </c>
      <c r="E1132" s="1468" t="s">
        <v>15</v>
      </c>
      <c r="F1132" s="1468"/>
      <c r="G1132" s="1540"/>
      <c r="H1132" s="1540"/>
      <c r="I1132" s="1540">
        <v>1256564.8</v>
      </c>
      <c r="J1132" s="1466">
        <f t="shared" ref="J1132:J1140" si="47">SUM(G1132:I1132)</f>
        <v>1256564.8</v>
      </c>
      <c r="K1132" s="1466"/>
      <c r="L1132" s="1466"/>
      <c r="M1132" s="1540">
        <f t="shared" ref="M1132:M1139" si="48">J1132-L1132</f>
        <v>1256564.8</v>
      </c>
      <c r="N1132" s="166"/>
    </row>
    <row r="1133" spans="1:14" s="540" customFormat="1" ht="14.25" customHeight="1">
      <c r="A1133" s="1547">
        <v>36</v>
      </c>
      <c r="B1133" s="1537" t="e">
        <f>VLOOKUP(D1133,'[2]DS CN MOI UP'!$B$11:$C$447,2,0)</f>
        <v>#N/A</v>
      </c>
      <c r="C1133" s="1538" t="s">
        <v>1350</v>
      </c>
      <c r="D1133" s="166" t="s">
        <v>705</v>
      </c>
      <c r="E1133" s="1468" t="s">
        <v>15</v>
      </c>
      <c r="F1133" s="1468"/>
      <c r="G1133" s="1540"/>
      <c r="H1133" s="1540">
        <v>1270080.378</v>
      </c>
      <c r="I1133" s="1540"/>
      <c r="J1133" s="1466">
        <f t="shared" si="47"/>
        <v>1270080.378</v>
      </c>
      <c r="K1133" s="1466"/>
      <c r="L1133" s="1466"/>
      <c r="M1133" s="1540">
        <f t="shared" si="48"/>
        <v>1270080.378</v>
      </c>
      <c r="N1133" s="166"/>
    </row>
    <row r="1134" spans="1:14" s="540" customFormat="1" ht="14.25" customHeight="1">
      <c r="A1134" s="1547">
        <v>37</v>
      </c>
      <c r="B1134" s="1537" t="e">
        <f>VLOOKUP(D1134,'[2]DS CN MOI UP'!$B$11:$C$447,2,0)</f>
        <v>#N/A</v>
      </c>
      <c r="C1134" s="1538" t="s">
        <v>1350</v>
      </c>
      <c r="D1134" s="166" t="s">
        <v>706</v>
      </c>
      <c r="E1134" s="1468" t="s">
        <v>15</v>
      </c>
      <c r="F1134" s="1468"/>
      <c r="G1134" s="1540"/>
      <c r="H1134" s="1540">
        <v>1138979.9609999999</v>
      </c>
      <c r="I1134" s="1540"/>
      <c r="J1134" s="1466">
        <f t="shared" si="47"/>
        <v>1138979.9609999999</v>
      </c>
      <c r="K1134" s="1466"/>
      <c r="L1134" s="1466"/>
      <c r="M1134" s="1540">
        <f t="shared" si="48"/>
        <v>1138979.9609999999</v>
      </c>
      <c r="N1134" s="166"/>
    </row>
    <row r="1135" spans="1:14" s="540" customFormat="1" ht="14.25" customHeight="1">
      <c r="A1135" s="1547">
        <v>38</v>
      </c>
      <c r="B1135" s="1537" t="e">
        <f>VLOOKUP(D1135,'[2]DS CN MOI UP'!$B$11:$C$447,2,0)</f>
        <v>#N/A</v>
      </c>
      <c r="C1135" s="1538" t="s">
        <v>1350</v>
      </c>
      <c r="D1135" s="166" t="s">
        <v>707</v>
      </c>
      <c r="E1135" s="1468" t="s">
        <v>15</v>
      </c>
      <c r="F1135" s="1468"/>
      <c r="G1135" s="1540"/>
      <c r="H1135" s="1540">
        <v>1108746.1980000001</v>
      </c>
      <c r="I1135" s="1540"/>
      <c r="J1135" s="1466">
        <f t="shared" si="47"/>
        <v>1108746.1980000001</v>
      </c>
      <c r="K1135" s="1466"/>
      <c r="L1135" s="1466"/>
      <c r="M1135" s="1540">
        <f t="shared" si="48"/>
        <v>1108746.1980000001</v>
      </c>
      <c r="N1135" s="166"/>
    </row>
    <row r="1136" spans="1:14" s="540" customFormat="1" ht="14.25" customHeight="1">
      <c r="A1136" s="1547">
        <v>39</v>
      </c>
      <c r="B1136" s="1537" t="e">
        <f>VLOOKUP(D1136,'[2]DS CN MOI UP'!$B$11:$C$447,2,0)</f>
        <v>#N/A</v>
      </c>
      <c r="C1136" s="1538" t="s">
        <v>1350</v>
      </c>
      <c r="D1136" s="166" t="s">
        <v>709</v>
      </c>
      <c r="E1136" s="1468" t="s">
        <v>15</v>
      </c>
      <c r="F1136" s="1468"/>
      <c r="G1136" s="1540"/>
      <c r="H1136" s="1540"/>
      <c r="I1136" s="1540">
        <v>1159179.5249999999</v>
      </c>
      <c r="J1136" s="1466">
        <f t="shared" si="47"/>
        <v>1159179.5249999999</v>
      </c>
      <c r="K1136" s="1466"/>
      <c r="L1136" s="1466"/>
      <c r="M1136" s="1540">
        <f t="shared" si="48"/>
        <v>1159179.5249999999</v>
      </c>
      <c r="N1136" s="166"/>
    </row>
    <row r="1137" spans="1:18" s="540" customFormat="1" ht="14.25" customHeight="1">
      <c r="A1137" s="1547">
        <v>40</v>
      </c>
      <c r="B1137" s="1537" t="e">
        <f>VLOOKUP(D1137,'[2]DS CN MOI UP'!$B$11:$C$447,2,0)</f>
        <v>#N/A</v>
      </c>
      <c r="C1137" s="1538" t="s">
        <v>1350</v>
      </c>
      <c r="D1137" s="166" t="s">
        <v>710</v>
      </c>
      <c r="E1137" s="1468" t="s">
        <v>15</v>
      </c>
      <c r="F1137" s="1468"/>
      <c r="G1137" s="1540"/>
      <c r="H1137" s="1540"/>
      <c r="I1137" s="1540">
        <v>1270080.378</v>
      </c>
      <c r="J1137" s="1466">
        <f t="shared" si="47"/>
        <v>1270080.378</v>
      </c>
      <c r="K1137" s="1466"/>
      <c r="L1137" s="1466"/>
      <c r="M1137" s="1540">
        <f t="shared" si="48"/>
        <v>1270080.378</v>
      </c>
      <c r="N1137" s="166"/>
    </row>
    <row r="1138" spans="1:18" s="540" customFormat="1" ht="14.25" customHeight="1">
      <c r="A1138" s="1547">
        <v>41</v>
      </c>
      <c r="B1138" s="1537" t="e">
        <f>VLOOKUP(D1138,'[2]DS CN MOI UP'!$B$11:$C$447,2,0)</f>
        <v>#N/A</v>
      </c>
      <c r="C1138" s="1538" t="s">
        <v>1350</v>
      </c>
      <c r="D1138" s="166" t="s">
        <v>708</v>
      </c>
      <c r="E1138" s="1468" t="s">
        <v>15</v>
      </c>
      <c r="F1138" s="1468"/>
      <c r="G1138" s="1540"/>
      <c r="H1138" s="1540"/>
      <c r="I1138" s="1540">
        <v>1270080.378</v>
      </c>
      <c r="J1138" s="1466">
        <f t="shared" si="47"/>
        <v>1270080.378</v>
      </c>
      <c r="K1138" s="1466"/>
      <c r="L1138" s="1466"/>
      <c r="M1138" s="1540">
        <f t="shared" si="48"/>
        <v>1270080.378</v>
      </c>
      <c r="N1138" s="166"/>
    </row>
    <row r="1139" spans="1:18" s="540" customFormat="1" ht="14.25" customHeight="1">
      <c r="A1139" s="1547">
        <v>42</v>
      </c>
      <c r="B1139" s="1537" t="str">
        <f>VLOOKUP(D1139,'[2]DS CN MOI UP'!$B$11:$C$447,2,0)</f>
        <v>02691</v>
      </c>
      <c r="C1139" s="1538" t="s">
        <v>1350</v>
      </c>
      <c r="D1139" s="166" t="s">
        <v>182</v>
      </c>
      <c r="E1139" s="1468" t="s">
        <v>15</v>
      </c>
      <c r="F1139" s="1468"/>
      <c r="G1139" s="1540">
        <v>417412.46574536501</v>
      </c>
      <c r="H1139" s="1540"/>
      <c r="I1139" s="1540">
        <v>689000</v>
      </c>
      <c r="J1139" s="1466">
        <f t="shared" si="47"/>
        <v>1106412.4657453699</v>
      </c>
      <c r="K1139" s="1466"/>
      <c r="L1139" s="1466"/>
      <c r="M1139" s="1540">
        <f t="shared" si="48"/>
        <v>1106412.4657453699</v>
      </c>
      <c r="N1139" s="166"/>
    </row>
    <row r="1140" spans="1:18" s="540" customFormat="1" ht="14.25" customHeight="1">
      <c r="A1140" s="1547">
        <v>43</v>
      </c>
      <c r="B1140" s="1537" t="str">
        <f>VLOOKUP(D1140,'[2]DS CN MOI UP'!$B$11:$C$447,2,0)</f>
        <v>03850</v>
      </c>
      <c r="C1140" s="1538" t="s">
        <v>1350</v>
      </c>
      <c r="D1140" s="166" t="s">
        <v>449</v>
      </c>
      <c r="E1140" s="1468" t="s">
        <v>15</v>
      </c>
      <c r="F1140" s="1468"/>
      <c r="G1140" s="1540"/>
      <c r="H1140" s="1540">
        <v>1185365.55905238</v>
      </c>
      <c r="I1140" s="1540">
        <v>18875.910000000102</v>
      </c>
      <c r="J1140" s="1466">
        <f t="shared" si="47"/>
        <v>1204241.46905238</v>
      </c>
      <c r="K1140" s="1466"/>
      <c r="L1140" s="1466"/>
      <c r="M1140" s="1540">
        <f t="shared" si="46"/>
        <v>1204241.46905238</v>
      </c>
      <c r="N1140" s="166"/>
    </row>
    <row r="1141" spans="1:18" s="540" customFormat="1" ht="14.25" customHeight="1">
      <c r="A1141" s="1543" t="s">
        <v>1360</v>
      </c>
      <c r="B1141" s="1537" t="e">
        <f>VLOOKUP(A1141,'[2]DS CN MOI UP'!$B$11:$C$447,2,0)</f>
        <v>#N/A</v>
      </c>
      <c r="C1141" s="1543"/>
      <c r="E1141" s="1543"/>
      <c r="F1141" s="1543"/>
      <c r="G1141" s="1546">
        <f t="shared" ref="G1141:M1141" si="49">SUM(G1098:G1140)</f>
        <v>1540000</v>
      </c>
      <c r="H1141" s="1546">
        <f t="shared" si="49"/>
        <v>31544945.2187008</v>
      </c>
      <c r="I1141" s="1546">
        <f t="shared" si="49"/>
        <v>15791458</v>
      </c>
      <c r="J1141" s="1546">
        <f t="shared" si="49"/>
        <v>48876403.218700796</v>
      </c>
      <c r="K1141" s="1546">
        <f t="shared" si="49"/>
        <v>0</v>
      </c>
      <c r="L1141" s="1546">
        <f t="shared" si="49"/>
        <v>0</v>
      </c>
      <c r="M1141" s="1546">
        <f t="shared" si="49"/>
        <v>48876403.218700796</v>
      </c>
      <c r="N1141" s="1548"/>
      <c r="O1141" s="559" t="e">
        <f>'LƯƠNG CNTT'!#REF!</f>
        <v>#REF!</v>
      </c>
      <c r="P1141" s="559" t="e">
        <f>'LƯƠNG CNTT'!#REF!</f>
        <v>#REF!</v>
      </c>
      <c r="Q1141" s="559" t="e">
        <f>'LƯƠNG CNTT'!#REF!</f>
        <v>#REF!</v>
      </c>
    </row>
    <row r="1142" spans="1:18" s="540" customFormat="1" ht="14.25" customHeight="1">
      <c r="A1142" s="1547">
        <v>1</v>
      </c>
      <c r="B1142" s="1537" t="e">
        <f>VLOOKUP(D1142,'[2]DS CN MOI UP'!$B$11:$C$447,2,0)</f>
        <v>#N/A</v>
      </c>
      <c r="C1142" s="1538" t="s">
        <v>1350</v>
      </c>
      <c r="D1142" s="166" t="s">
        <v>1361</v>
      </c>
      <c r="E1142" s="1468" t="s">
        <v>15</v>
      </c>
      <c r="F1142" s="1468"/>
      <c r="G1142" s="1540"/>
      <c r="H1142" s="1540">
        <v>635040.18900000001</v>
      </c>
      <c r="I1142" s="1540">
        <v>524139.33600000001</v>
      </c>
      <c r="J1142" s="1466">
        <f t="shared" si="45"/>
        <v>1159179.5249999999</v>
      </c>
      <c r="K1142" s="1466"/>
      <c r="L1142" s="1466"/>
      <c r="M1142" s="1540">
        <f t="shared" ref="M1142:M1170" si="50">J1142-L1142</f>
        <v>1159179.5249999999</v>
      </c>
      <c r="N1142" s="166"/>
      <c r="O1142" s="559" t="e">
        <f>+O1141-G1141</f>
        <v>#REF!</v>
      </c>
      <c r="P1142" s="559" t="e">
        <f>+P1141-H1141</f>
        <v>#REF!</v>
      </c>
      <c r="Q1142" s="559" t="e">
        <f>+Q1141-I1141</f>
        <v>#REF!</v>
      </c>
    </row>
    <row r="1143" spans="1:18" s="540" customFormat="1" ht="14.25" customHeight="1">
      <c r="A1143" s="1547">
        <v>2</v>
      </c>
      <c r="B1143" s="1537" t="e">
        <f>VLOOKUP(D1143,'[2]DS CN MOI UP'!$B$11:$C$447,2,0)</f>
        <v>#N/A</v>
      </c>
      <c r="C1143" s="1538" t="s">
        <v>1350</v>
      </c>
      <c r="D1143" s="166" t="s">
        <v>714</v>
      </c>
      <c r="E1143" s="1468" t="s">
        <v>15</v>
      </c>
      <c r="F1143" s="1468"/>
      <c r="G1143" s="1540"/>
      <c r="H1143" s="1540">
        <v>635040.18900000001</v>
      </c>
      <c r="I1143" s="1540">
        <v>524139.33600000001</v>
      </c>
      <c r="J1143" s="1466">
        <f t="shared" si="45"/>
        <v>1159179.5249999999</v>
      </c>
      <c r="K1143" s="1466"/>
      <c r="L1143" s="1466"/>
      <c r="M1143" s="1540">
        <f t="shared" si="50"/>
        <v>1159179.5249999999</v>
      </c>
      <c r="N1143" s="166"/>
    </row>
    <row r="1144" spans="1:18" s="540" customFormat="1" ht="14.25" customHeight="1">
      <c r="A1144" s="1547">
        <v>3</v>
      </c>
      <c r="B1144" s="1537" t="e">
        <f>VLOOKUP(D1144,'[2]DS CN MOI UP'!$B$11:$C$447,2,0)</f>
        <v>#N/A</v>
      </c>
      <c r="C1144" s="1538" t="s">
        <v>1350</v>
      </c>
      <c r="D1144" s="166" t="s">
        <v>715</v>
      </c>
      <c r="E1144" s="1468" t="s">
        <v>15</v>
      </c>
      <c r="F1144" s="1468"/>
      <c r="G1144" s="1540"/>
      <c r="H1144" s="1540">
        <v>554373.09900000005</v>
      </c>
      <c r="I1144" s="1540">
        <v>524139.33600000001</v>
      </c>
      <c r="J1144" s="1466">
        <f t="shared" si="45"/>
        <v>1078512.4350000001</v>
      </c>
      <c r="K1144" s="1466"/>
      <c r="L1144" s="1466"/>
      <c r="M1144" s="1540">
        <f t="shared" si="50"/>
        <v>1078512.4350000001</v>
      </c>
      <c r="N1144" s="166"/>
      <c r="O1144" s="540">
        <v>3410000</v>
      </c>
      <c r="P1144" s="540">
        <v>33806171.650393799</v>
      </c>
      <c r="Q1144" s="540">
        <v>11184241.809</v>
      </c>
      <c r="R1144" s="540">
        <v>48400413.459393799</v>
      </c>
    </row>
    <row r="1145" spans="1:18" s="540" customFormat="1" ht="14.25" customHeight="1">
      <c r="A1145" s="1547">
        <v>4</v>
      </c>
      <c r="B1145" s="1537" t="e">
        <f>VLOOKUP(D1145,'[2]DS CN MOI UP'!$B$11:$C$447,2,0)</f>
        <v>#N/A</v>
      </c>
      <c r="C1145" s="1538" t="s">
        <v>1350</v>
      </c>
      <c r="D1145" s="166" t="s">
        <v>716</v>
      </c>
      <c r="E1145" s="1468" t="s">
        <v>15</v>
      </c>
      <c r="F1145" s="1468"/>
      <c r="G1145" s="1540"/>
      <c r="H1145" s="1540">
        <v>789516.939600004</v>
      </c>
      <c r="I1145" s="1540">
        <v>184104.59760000001</v>
      </c>
      <c r="J1145" s="1466">
        <f t="shared" si="45"/>
        <v>973621.53720000398</v>
      </c>
      <c r="K1145" s="1466"/>
      <c r="L1145" s="1466"/>
      <c r="M1145" s="1540">
        <f t="shared" si="50"/>
        <v>973621.53720000398</v>
      </c>
      <c r="N1145" s="166"/>
      <c r="O1145" s="559" t="e">
        <f>+O1141-O1144</f>
        <v>#REF!</v>
      </c>
      <c r="P1145" s="559" t="e">
        <f t="shared" ref="P1145:R1145" si="51">+P1141-P1144</f>
        <v>#REF!</v>
      </c>
      <c r="Q1145" s="559" t="e">
        <f t="shared" si="51"/>
        <v>#REF!</v>
      </c>
      <c r="R1145" s="559">
        <f t="shared" si="51"/>
        <v>-48400413.459393799</v>
      </c>
    </row>
    <row r="1146" spans="1:18" s="540" customFormat="1" ht="14.25" customHeight="1">
      <c r="A1146" s="1547">
        <v>5</v>
      </c>
      <c r="B1146" s="1537" t="e">
        <f>VLOOKUP(D1146,'[2]DS CN MOI UP'!$B$11:$C$447,2,0)</f>
        <v>#N/A</v>
      </c>
      <c r="C1146" s="1538" t="s">
        <v>1350</v>
      </c>
      <c r="D1146" s="166" t="s">
        <v>717</v>
      </c>
      <c r="E1146" s="1468" t="s">
        <v>15</v>
      </c>
      <c r="F1146" s="1468"/>
      <c r="G1146" s="1540">
        <v>420000</v>
      </c>
      <c r="H1146" s="1540">
        <v>383004.72</v>
      </c>
      <c r="I1146" s="1540">
        <v>251034.90599999999</v>
      </c>
      <c r="J1146" s="1466">
        <f t="shared" si="45"/>
        <v>1054039.6259999999</v>
      </c>
      <c r="K1146" s="1466"/>
      <c r="L1146" s="1466"/>
      <c r="M1146" s="1540">
        <f t="shared" si="50"/>
        <v>1054039.6259999999</v>
      </c>
      <c r="N1146" s="166"/>
    </row>
    <row r="1147" spans="1:18" s="540" customFormat="1" ht="14.25" customHeight="1">
      <c r="A1147" s="1547">
        <v>6</v>
      </c>
      <c r="B1147" s="1537" t="e">
        <f>VLOOKUP(D1147,'[2]DS CN MOI UP'!$B$11:$C$447,2,0)</f>
        <v>#N/A</v>
      </c>
      <c r="C1147" s="1538" t="s">
        <v>1350</v>
      </c>
      <c r="D1147" s="166" t="s">
        <v>718</v>
      </c>
      <c r="E1147" s="1468" t="s">
        <v>15</v>
      </c>
      <c r="F1147" s="1468"/>
      <c r="G1147" s="1540">
        <v>560000</v>
      </c>
      <c r="H1147" s="1540">
        <v>312502.995</v>
      </c>
      <c r="I1147" s="1540">
        <v>312502.995</v>
      </c>
      <c r="J1147" s="1466">
        <f t="shared" si="45"/>
        <v>1185005.99</v>
      </c>
      <c r="K1147" s="1466"/>
      <c r="L1147" s="1466"/>
      <c r="M1147" s="1540">
        <f t="shared" si="50"/>
        <v>1185005.99</v>
      </c>
      <c r="N1147" s="166"/>
      <c r="O1147" s="540">
        <v>-30820.474999999999</v>
      </c>
    </row>
    <row r="1148" spans="1:18" s="540" customFormat="1" ht="14.25" customHeight="1">
      <c r="A1148" s="1547">
        <v>7</v>
      </c>
      <c r="B1148" s="1537" t="str">
        <f>VLOOKUP(D1148,'[2]DS CN MOI UP'!$B$11:$C$447,2,0)</f>
        <v>02433</v>
      </c>
      <c r="C1148" s="1538" t="s">
        <v>1350</v>
      </c>
      <c r="D1148" s="166" t="s">
        <v>391</v>
      </c>
      <c r="E1148" s="1468" t="s">
        <v>15</v>
      </c>
      <c r="F1148" s="1468"/>
      <c r="G1148" s="1540"/>
      <c r="H1148" s="1540">
        <v>614840.625</v>
      </c>
      <c r="I1148" s="1540">
        <v>614840.625</v>
      </c>
      <c r="J1148" s="1466">
        <f t="shared" si="45"/>
        <v>1229681.25</v>
      </c>
      <c r="K1148" s="1466"/>
      <c r="L1148" s="1466"/>
      <c r="M1148" s="1540">
        <f t="shared" si="50"/>
        <v>1229681.25</v>
      </c>
      <c r="N1148" s="166"/>
    </row>
    <row r="1149" spans="1:18" s="540" customFormat="1" ht="14.25" customHeight="1">
      <c r="A1149" s="1547">
        <v>8</v>
      </c>
      <c r="B1149" s="1537" t="e">
        <f>VLOOKUP(D1149,'[2]DS CN MOI UP'!$B$11:$C$447,2,0)</f>
        <v>#N/A</v>
      </c>
      <c r="C1149" s="1538" t="s">
        <v>1350</v>
      </c>
      <c r="D1149" s="166" t="s">
        <v>720</v>
      </c>
      <c r="E1149" s="1468" t="s">
        <v>15</v>
      </c>
      <c r="F1149" s="1468"/>
      <c r="G1149" s="1540"/>
      <c r="H1149" s="1540">
        <v>554373.09900000005</v>
      </c>
      <c r="I1149" s="1540">
        <v>554373.09900000005</v>
      </c>
      <c r="J1149" s="1466">
        <f t="shared" si="45"/>
        <v>1108746.1980000001</v>
      </c>
      <c r="K1149" s="1466"/>
      <c r="L1149" s="1466"/>
      <c r="M1149" s="1540">
        <f t="shared" si="50"/>
        <v>1108746.1980000001</v>
      </c>
      <c r="N1149" s="166"/>
    </row>
    <row r="1150" spans="1:18" s="540" customFormat="1" ht="14.25" customHeight="1">
      <c r="A1150" s="1547">
        <v>9</v>
      </c>
      <c r="B1150" s="1537" t="e">
        <f>VLOOKUP(D1150,'[2]DS CN MOI UP'!$B$11:$C$447,2,0)</f>
        <v>#N/A</v>
      </c>
      <c r="C1150" s="1538" t="s">
        <v>1350</v>
      </c>
      <c r="D1150" s="166" t="s">
        <v>721</v>
      </c>
      <c r="E1150" s="1468" t="s">
        <v>15</v>
      </c>
      <c r="F1150" s="1468"/>
      <c r="G1150" s="1540"/>
      <c r="H1150" s="1540">
        <v>554373.09900000005</v>
      </c>
      <c r="I1150" s="1540">
        <v>554373.09900000005</v>
      </c>
      <c r="J1150" s="1466">
        <f t="shared" si="45"/>
        <v>1108746.1980000001</v>
      </c>
      <c r="K1150" s="1466"/>
      <c r="L1150" s="1466"/>
      <c r="M1150" s="1540">
        <f t="shared" si="50"/>
        <v>1108746.1980000001</v>
      </c>
      <c r="N1150" s="166"/>
    </row>
    <row r="1151" spans="1:18" s="540" customFormat="1" ht="14.25" customHeight="1">
      <c r="A1151" s="1547">
        <v>10</v>
      </c>
      <c r="B1151" s="1537" t="e">
        <f>VLOOKUP(D1151,'[2]DS CN MOI UP'!$B$11:$C$447,2,0)</f>
        <v>#N/A</v>
      </c>
      <c r="C1151" s="1538" t="s">
        <v>1350</v>
      </c>
      <c r="D1151" s="166" t="s">
        <v>722</v>
      </c>
      <c r="E1151" s="1468" t="s">
        <v>15</v>
      </c>
      <c r="F1151" s="1468"/>
      <c r="G1151" s="1540"/>
      <c r="H1151" s="1540">
        <v>554373.09900000005</v>
      </c>
      <c r="I1151" s="1540">
        <v>554373.09900000005</v>
      </c>
      <c r="J1151" s="1466">
        <f t="shared" si="45"/>
        <v>1108746.1980000001</v>
      </c>
      <c r="K1151" s="1466"/>
      <c r="L1151" s="1466"/>
      <c r="M1151" s="1540">
        <f t="shared" si="50"/>
        <v>1108746.1980000001</v>
      </c>
      <c r="N1151" s="166"/>
    </row>
    <row r="1152" spans="1:18" s="540" customFormat="1" ht="14.25" customHeight="1">
      <c r="A1152" s="1547">
        <v>11</v>
      </c>
      <c r="B1152" s="1537" t="str">
        <f>VLOOKUP(D1152,'[2]DS CN MOI UP'!$B$11:$C$447,2,0)</f>
        <v>03428</v>
      </c>
      <c r="C1152" s="1538" t="s">
        <v>1350</v>
      </c>
      <c r="D1152" s="166" t="s">
        <v>388</v>
      </c>
      <c r="E1152" s="1468" t="s">
        <v>15</v>
      </c>
      <c r="F1152" s="1468"/>
      <c r="G1152" s="1540"/>
      <c r="H1152" s="1540">
        <v>635040.18900000001</v>
      </c>
      <c r="I1152" s="1540">
        <v>524139.33600000001</v>
      </c>
      <c r="J1152" s="1466">
        <f t="shared" si="45"/>
        <v>1159179.5249999999</v>
      </c>
      <c r="K1152" s="1466"/>
      <c r="L1152" s="1466"/>
      <c r="M1152" s="1540">
        <f t="shared" si="50"/>
        <v>1159179.5249999999</v>
      </c>
      <c r="N1152" s="166"/>
    </row>
    <row r="1153" spans="1:14" s="540" customFormat="1" ht="14.25" customHeight="1">
      <c r="A1153" s="1547">
        <v>12</v>
      </c>
      <c r="B1153" s="1537" t="e">
        <f>VLOOKUP(D1153,'[2]DS CN MOI UP'!$B$11:$C$447,2,0)</f>
        <v>#N/A</v>
      </c>
      <c r="C1153" s="1538" t="s">
        <v>1350</v>
      </c>
      <c r="D1153" s="166" t="s">
        <v>724</v>
      </c>
      <c r="E1153" s="1468" t="s">
        <v>15</v>
      </c>
      <c r="F1153" s="1468"/>
      <c r="G1153" s="1540"/>
      <c r="H1153" s="1540">
        <v>635040.18900000001</v>
      </c>
      <c r="I1153" s="1540">
        <v>524139.33600000001</v>
      </c>
      <c r="J1153" s="1466">
        <f t="shared" si="45"/>
        <v>1159179.5249999999</v>
      </c>
      <c r="K1153" s="1466"/>
      <c r="L1153" s="1466"/>
      <c r="M1153" s="1540">
        <f t="shared" si="50"/>
        <v>1159179.5249999999</v>
      </c>
      <c r="N1153" s="166"/>
    </row>
    <row r="1154" spans="1:14" s="540" customFormat="1" ht="14.25" customHeight="1">
      <c r="A1154" s="1547">
        <v>13</v>
      </c>
      <c r="B1154" s="1537" t="e">
        <f>VLOOKUP(D1154,'[2]DS CN MOI UP'!$B$11:$C$447,2,0)</f>
        <v>#N/A</v>
      </c>
      <c r="C1154" s="1538" t="s">
        <v>1350</v>
      </c>
      <c r="D1154" s="166" t="s">
        <v>1362</v>
      </c>
      <c r="E1154" s="1468" t="s">
        <v>15</v>
      </c>
      <c r="F1154" s="1468"/>
      <c r="G1154" s="1540"/>
      <c r="H1154" s="1540">
        <v>554373.09900000005</v>
      </c>
      <c r="I1154" s="1540">
        <v>524139.33600000001</v>
      </c>
      <c r="J1154" s="1466">
        <f t="shared" si="45"/>
        <v>1078512.4350000001</v>
      </c>
      <c r="K1154" s="1466"/>
      <c r="L1154" s="1466"/>
      <c r="M1154" s="1540">
        <f t="shared" si="50"/>
        <v>1078512.4350000001</v>
      </c>
      <c r="N1154" s="166"/>
    </row>
    <row r="1155" spans="1:14" s="540" customFormat="1" ht="14.25" customHeight="1">
      <c r="A1155" s="1547">
        <v>14</v>
      </c>
      <c r="B1155" s="1537" t="e">
        <f>VLOOKUP(D1155,'[2]DS CN MOI UP'!$B$11:$C$447,2,0)</f>
        <v>#N/A</v>
      </c>
      <c r="C1155" s="1538" t="s">
        <v>1350</v>
      </c>
      <c r="D1155" s="166" t="s">
        <v>725</v>
      </c>
      <c r="E1155" s="1468" t="s">
        <v>15</v>
      </c>
      <c r="F1155" s="1468"/>
      <c r="G1155" s="1540"/>
      <c r="H1155" s="1540">
        <v>989516.939600004</v>
      </c>
      <c r="I1155" s="1540">
        <v>184104.59760000001</v>
      </c>
      <c r="J1155" s="1466">
        <f t="shared" si="45"/>
        <v>1173621.5371999999</v>
      </c>
      <c r="K1155" s="1466"/>
      <c r="L1155" s="1466"/>
      <c r="M1155" s="1540">
        <f t="shared" si="50"/>
        <v>1173621.5371999999</v>
      </c>
      <c r="N1155" s="166"/>
    </row>
    <row r="1156" spans="1:14" s="540" customFormat="1" ht="14.25" customHeight="1">
      <c r="A1156" s="1547">
        <v>15</v>
      </c>
      <c r="B1156" s="1537" t="e">
        <f>VLOOKUP(D1156,'[2]DS CN MOI UP'!$B$11:$C$447,2,0)</f>
        <v>#N/A</v>
      </c>
      <c r="C1156" s="1538" t="s">
        <v>1350</v>
      </c>
      <c r="D1156" s="166" t="s">
        <v>726</v>
      </c>
      <c r="E1156" s="1468" t="s">
        <v>15</v>
      </c>
      <c r="F1156" s="1468"/>
      <c r="G1156" s="1540"/>
      <c r="H1156" s="1540">
        <v>983004.72</v>
      </c>
      <c r="I1156" s="1540">
        <v>53101.445999999101</v>
      </c>
      <c r="J1156" s="1466">
        <f t="shared" si="45"/>
        <v>1036106.166</v>
      </c>
      <c r="K1156" s="1466"/>
      <c r="L1156" s="1466"/>
      <c r="M1156" s="1540">
        <f t="shared" si="50"/>
        <v>1036106.166</v>
      </c>
      <c r="N1156" s="166"/>
    </row>
    <row r="1157" spans="1:14" s="540" customFormat="1" ht="14.25" customHeight="1">
      <c r="A1157" s="1547">
        <v>16</v>
      </c>
      <c r="B1157" s="1537" t="e">
        <f>VLOOKUP(D1157,'[2]DS CN MOI UP'!$B$11:$C$447,2,0)</f>
        <v>#N/A</v>
      </c>
      <c r="C1157" s="1538" t="s">
        <v>1350</v>
      </c>
      <c r="D1157" s="166" t="s">
        <v>727</v>
      </c>
      <c r="E1157" s="1468" t="s">
        <v>15</v>
      </c>
      <c r="F1157" s="1468"/>
      <c r="G1157" s="1540"/>
      <c r="H1157" s="1540">
        <v>635040.18900000001</v>
      </c>
      <c r="I1157" s="1540">
        <v>524139.33600000001</v>
      </c>
      <c r="J1157" s="1466">
        <f t="shared" si="45"/>
        <v>1159179.5249999999</v>
      </c>
      <c r="K1157" s="1466"/>
      <c r="L1157" s="1466"/>
      <c r="M1157" s="1540">
        <f t="shared" si="50"/>
        <v>1159179.5249999999</v>
      </c>
      <c r="N1157" s="166"/>
    </row>
    <row r="1158" spans="1:14" s="540" customFormat="1" ht="14.25" customHeight="1">
      <c r="A1158" s="1547">
        <v>17</v>
      </c>
      <c r="B1158" s="1537" t="e">
        <f>VLOOKUP(D1158,'[2]DS CN MOI UP'!$B$11:$C$447,2,0)</f>
        <v>#N/A</v>
      </c>
      <c r="C1158" s="1538" t="s">
        <v>1350</v>
      </c>
      <c r="D1158" s="166" t="s">
        <v>728</v>
      </c>
      <c r="E1158" s="1468" t="s">
        <v>15</v>
      </c>
      <c r="F1158" s="1468"/>
      <c r="G1158" s="1540"/>
      <c r="H1158" s="1540">
        <v>635040.18900000001</v>
      </c>
      <c r="I1158" s="1540">
        <v>119794.66379999999</v>
      </c>
      <c r="J1158" s="1466">
        <f t="shared" si="45"/>
        <v>754834.85279999999</v>
      </c>
      <c r="K1158" s="1466"/>
      <c r="L1158" s="1466"/>
      <c r="M1158" s="1540">
        <f t="shared" si="50"/>
        <v>754834.85279999999</v>
      </c>
      <c r="N1158" s="166"/>
    </row>
    <row r="1159" spans="1:14" s="540" customFormat="1" ht="14.25" customHeight="1">
      <c r="A1159" s="1547">
        <v>18</v>
      </c>
      <c r="B1159" s="1537" t="e">
        <f>VLOOKUP(D1159,'[2]DS CN MOI UP'!$B$11:$C$447,2,0)</f>
        <v>#N/A</v>
      </c>
      <c r="C1159" s="1538" t="s">
        <v>1350</v>
      </c>
      <c r="D1159" s="166" t="s">
        <v>729</v>
      </c>
      <c r="E1159" s="1468" t="s">
        <v>15</v>
      </c>
      <c r="F1159" s="1468"/>
      <c r="G1159" s="1540"/>
      <c r="H1159" s="1540">
        <v>1189145.3259999999</v>
      </c>
      <c r="I1159" s="1540"/>
      <c r="J1159" s="1466">
        <f t="shared" si="45"/>
        <v>1189145.3259999999</v>
      </c>
      <c r="K1159" s="1466"/>
      <c r="L1159" s="1466"/>
      <c r="M1159" s="1540">
        <f t="shared" si="50"/>
        <v>1189145.3259999999</v>
      </c>
      <c r="N1159" s="166"/>
    </row>
    <row r="1160" spans="1:14" s="540" customFormat="1" ht="14.25" customHeight="1">
      <c r="A1160" s="1547">
        <v>19</v>
      </c>
      <c r="B1160" s="1537" t="e">
        <f>VLOOKUP(D1160,'[2]DS CN MOI UP'!$B$11:$C$447,2,0)</f>
        <v>#N/A</v>
      </c>
      <c r="C1160" s="1538" t="s">
        <v>1350</v>
      </c>
      <c r="D1160" s="166" t="s">
        <v>730</v>
      </c>
      <c r="E1160" s="1468" t="s">
        <v>15</v>
      </c>
      <c r="F1160" s="1468"/>
      <c r="G1160" s="1540"/>
      <c r="H1160" s="1540">
        <v>1249612.852</v>
      </c>
      <c r="I1160" s="1540"/>
      <c r="J1160" s="1466">
        <f t="shared" si="45"/>
        <v>1249612.852</v>
      </c>
      <c r="K1160" s="1466"/>
      <c r="L1160" s="1466"/>
      <c r="M1160" s="1540">
        <f t="shared" si="50"/>
        <v>1249612.852</v>
      </c>
      <c r="N1160" s="166"/>
    </row>
    <row r="1161" spans="1:14" s="540" customFormat="1" ht="14.25" customHeight="1">
      <c r="A1161" s="1547">
        <v>20</v>
      </c>
      <c r="B1161" s="1537" t="e">
        <f>VLOOKUP(D1161,'[2]DS CN MOI UP'!$B$11:$C$447,2,0)</f>
        <v>#N/A</v>
      </c>
      <c r="C1161" s="1538" t="s">
        <v>1350</v>
      </c>
      <c r="D1161" s="166" t="s">
        <v>731</v>
      </c>
      <c r="E1161" s="1468" t="s">
        <v>15</v>
      </c>
      <c r="F1161" s="1468"/>
      <c r="G1161" s="1540"/>
      <c r="H1161" s="1540">
        <v>1159179.5249999999</v>
      </c>
      <c r="I1161" s="1540"/>
      <c r="J1161" s="1466">
        <f t="shared" si="45"/>
        <v>1159179.5249999999</v>
      </c>
      <c r="K1161" s="1466"/>
      <c r="L1161" s="1466"/>
      <c r="M1161" s="1540">
        <f t="shared" si="50"/>
        <v>1159179.5249999999</v>
      </c>
      <c r="N1161" s="166"/>
    </row>
    <row r="1162" spans="1:14" s="540" customFormat="1" ht="14.25" customHeight="1">
      <c r="A1162" s="1547">
        <v>21</v>
      </c>
      <c r="B1162" s="1537" t="str">
        <f>VLOOKUP(D1162,'[2]DS CN MOI UP'!$B$11:$C$447,2,0)</f>
        <v>03277</v>
      </c>
      <c r="C1162" s="1538" t="s">
        <v>1350</v>
      </c>
      <c r="D1162" s="166" t="s">
        <v>437</v>
      </c>
      <c r="E1162" s="1468" t="s">
        <v>15</v>
      </c>
      <c r="F1162" s="1468"/>
      <c r="G1162" s="1540"/>
      <c r="H1162" s="1540">
        <v>1189145.3259999999</v>
      </c>
      <c r="I1162" s="1540"/>
      <c r="J1162" s="1466">
        <f t="shared" si="45"/>
        <v>1189145.3259999999</v>
      </c>
      <c r="K1162" s="1466"/>
      <c r="L1162" s="1466"/>
      <c r="M1162" s="1540">
        <f t="shared" si="50"/>
        <v>1189145.3259999999</v>
      </c>
      <c r="N1162" s="166"/>
    </row>
    <row r="1163" spans="1:14" s="540" customFormat="1" ht="14.25" customHeight="1">
      <c r="A1163" s="1547">
        <v>22</v>
      </c>
      <c r="B1163" s="1537"/>
      <c r="C1163" s="1538"/>
      <c r="D1163" s="166" t="s">
        <v>1363</v>
      </c>
      <c r="E1163" s="1468" t="s">
        <v>15</v>
      </c>
      <c r="F1163" s="1468"/>
      <c r="G1163" s="1540"/>
      <c r="H1163" s="1540">
        <v>1249612.852</v>
      </c>
      <c r="I1163" s="1540"/>
      <c r="J1163" s="1466">
        <f t="shared" si="45"/>
        <v>1249612.852</v>
      </c>
      <c r="K1163" s="1466"/>
      <c r="L1163" s="1466"/>
      <c r="M1163" s="1540">
        <f t="shared" si="50"/>
        <v>1249612.852</v>
      </c>
      <c r="N1163" s="166"/>
    </row>
    <row r="1164" spans="1:14" s="540" customFormat="1" ht="14.25" customHeight="1">
      <c r="A1164" s="1547">
        <v>23</v>
      </c>
      <c r="B1164" s="1537"/>
      <c r="C1164" s="1538"/>
      <c r="D1164" s="166" t="s">
        <v>732</v>
      </c>
      <c r="E1164" s="1468" t="s">
        <v>15</v>
      </c>
      <c r="F1164" s="1468"/>
      <c r="G1164" s="1540"/>
      <c r="H1164" s="1540">
        <v>1159179.5249999999</v>
      </c>
      <c r="I1164" s="1540"/>
      <c r="J1164" s="1466">
        <f t="shared" si="45"/>
        <v>1159179.5249999999</v>
      </c>
      <c r="K1164" s="1466"/>
      <c r="L1164" s="1466"/>
      <c r="M1164" s="1540">
        <f t="shared" si="50"/>
        <v>1159179.5249999999</v>
      </c>
      <c r="N1164" s="166"/>
    </row>
    <row r="1165" spans="1:14" s="540" customFormat="1" ht="14.25" customHeight="1">
      <c r="A1165" s="1547">
        <v>24</v>
      </c>
      <c r="B1165" s="1537"/>
      <c r="C1165" s="1538"/>
      <c r="D1165" s="166" t="s">
        <v>733</v>
      </c>
      <c r="E1165" s="1468" t="s">
        <v>15</v>
      </c>
      <c r="F1165" s="1468"/>
      <c r="G1165" s="1540"/>
      <c r="H1165" s="1540">
        <v>1189145.3259999999</v>
      </c>
      <c r="I1165" s="1540"/>
      <c r="J1165" s="1466">
        <f t="shared" si="45"/>
        <v>1189145.3259999999</v>
      </c>
      <c r="K1165" s="1466"/>
      <c r="L1165" s="1466"/>
      <c r="M1165" s="1540">
        <f t="shared" si="50"/>
        <v>1189145.3259999999</v>
      </c>
      <c r="N1165" s="166"/>
    </row>
    <row r="1166" spans="1:14" s="540" customFormat="1" ht="14.25" customHeight="1">
      <c r="A1166" s="1547">
        <v>25</v>
      </c>
      <c r="B1166" s="1537"/>
      <c r="C1166" s="1538"/>
      <c r="D1166" s="166" t="s">
        <v>734</v>
      </c>
      <c r="E1166" s="1468" t="s">
        <v>15</v>
      </c>
      <c r="F1166" s="1468"/>
      <c r="G1166" s="1540"/>
      <c r="H1166" s="1540">
        <v>1249612.852</v>
      </c>
      <c r="I1166" s="1540"/>
      <c r="J1166" s="1466">
        <f t="shared" si="45"/>
        <v>1249612.852</v>
      </c>
      <c r="K1166" s="1466"/>
      <c r="L1166" s="1466"/>
      <c r="M1166" s="1540">
        <f t="shared" si="50"/>
        <v>1249612.852</v>
      </c>
      <c r="N1166" s="166"/>
    </row>
    <row r="1167" spans="1:14" s="540" customFormat="1" ht="14.25" customHeight="1">
      <c r="A1167" s="1547">
        <v>26</v>
      </c>
      <c r="B1167" s="1537"/>
      <c r="C1167" s="1538"/>
      <c r="D1167" s="166" t="s">
        <v>735</v>
      </c>
      <c r="E1167" s="1468" t="s">
        <v>15</v>
      </c>
      <c r="F1167" s="1468"/>
      <c r="G1167" s="1540"/>
      <c r="H1167" s="1540">
        <v>1159179.5249999999</v>
      </c>
      <c r="I1167" s="1540"/>
      <c r="J1167" s="1466">
        <f t="shared" si="45"/>
        <v>1159179.5249999999</v>
      </c>
      <c r="K1167" s="1466"/>
      <c r="L1167" s="1466"/>
      <c r="M1167" s="1540">
        <f t="shared" si="50"/>
        <v>1159179.5249999999</v>
      </c>
      <c r="N1167" s="166"/>
    </row>
    <row r="1168" spans="1:14" s="540" customFormat="1" ht="14.25" customHeight="1">
      <c r="A1168" s="1547">
        <v>27</v>
      </c>
      <c r="B1168" s="1537"/>
      <c r="C1168" s="1538"/>
      <c r="D1168" s="166" t="s">
        <v>1064</v>
      </c>
      <c r="E1168" s="1468" t="s">
        <v>15</v>
      </c>
      <c r="F1168" s="1468"/>
      <c r="G1168" s="1540"/>
      <c r="H1168" s="1540"/>
      <c r="I1168" s="1540">
        <v>1142091.0330000001</v>
      </c>
      <c r="J1168" s="1466">
        <f t="shared" si="45"/>
        <v>1142091.0330000001</v>
      </c>
      <c r="K1168" s="1466"/>
      <c r="L1168" s="1466"/>
      <c r="M1168" s="1540">
        <f t="shared" si="50"/>
        <v>1142091.0330000001</v>
      </c>
      <c r="N1168" s="166"/>
    </row>
    <row r="1169" spans="1:17" s="540" customFormat="1" ht="14.25" customHeight="1">
      <c r="A1169" s="1547">
        <v>28</v>
      </c>
      <c r="B1169" s="1537"/>
      <c r="C1169" s="1538"/>
      <c r="D1169" s="166" t="s">
        <v>1040</v>
      </c>
      <c r="E1169" s="1468" t="s">
        <v>15</v>
      </c>
      <c r="F1169" s="1468"/>
      <c r="G1169" s="1540"/>
      <c r="H1169" s="1540">
        <v>1249612.852</v>
      </c>
      <c r="I1169" s="1540"/>
      <c r="J1169" s="1466">
        <f t="shared" si="45"/>
        <v>1249612.852</v>
      </c>
      <c r="K1169" s="1466"/>
      <c r="L1169" s="1466"/>
      <c r="M1169" s="1540">
        <f t="shared" si="50"/>
        <v>1249612.852</v>
      </c>
      <c r="N1169" s="166"/>
    </row>
    <row r="1170" spans="1:17" s="540" customFormat="1" ht="14.25" customHeight="1">
      <c r="A1170" s="1547">
        <v>29</v>
      </c>
      <c r="B1170" s="1537"/>
      <c r="C1170" s="1538"/>
      <c r="D1170" s="166" t="s">
        <v>1065</v>
      </c>
      <c r="E1170" s="1468" t="s">
        <v>15</v>
      </c>
      <c r="F1170" s="1468"/>
      <c r="G1170" s="1540"/>
      <c r="H1170" s="1540"/>
      <c r="I1170" s="1540">
        <v>1249612.852</v>
      </c>
      <c r="J1170" s="1466">
        <f t="shared" si="45"/>
        <v>1249612.852</v>
      </c>
      <c r="K1170" s="1466"/>
      <c r="L1170" s="1466"/>
      <c r="M1170" s="1540">
        <f t="shared" si="50"/>
        <v>1249612.852</v>
      </c>
      <c r="N1170" s="166"/>
    </row>
    <row r="1171" spans="1:17" s="540" customFormat="1" ht="13.9" customHeight="1">
      <c r="A1171" s="1547">
        <v>30</v>
      </c>
      <c r="B1171" s="1537"/>
      <c r="C1171" s="1538"/>
      <c r="D1171" s="166" t="s">
        <v>1066</v>
      </c>
      <c r="E1171" s="1468" t="s">
        <v>15</v>
      </c>
      <c r="F1171" s="1468"/>
      <c r="G1171" s="1540"/>
      <c r="H1171" s="1540">
        <v>902298.958846953</v>
      </c>
      <c r="I1171" s="1540">
        <v>101482.11</v>
      </c>
      <c r="J1171" s="1466">
        <f t="shared" ref="J1171:J1182" si="52">SUM(G1171:I1171)</f>
        <v>1003781.06884695</v>
      </c>
      <c r="K1171" s="1466"/>
      <c r="L1171" s="1466"/>
      <c r="M1171" s="1540">
        <f t="shared" ref="M1171:M1182" si="53">J1171-L1171</f>
        <v>1003781.06884695</v>
      </c>
      <c r="N1171" s="166"/>
    </row>
    <row r="1172" spans="1:17" s="540" customFormat="1" ht="13.9" customHeight="1">
      <c r="A1172" s="1547">
        <v>31</v>
      </c>
      <c r="B1172" s="1537"/>
      <c r="C1172" s="1538"/>
      <c r="D1172" s="166" t="s">
        <v>1067</v>
      </c>
      <c r="E1172" s="1468" t="s">
        <v>15</v>
      </c>
      <c r="F1172" s="1468"/>
      <c r="G1172" s="1540"/>
      <c r="H1172" s="1540">
        <v>88816.841157879593</v>
      </c>
      <c r="I1172" s="1540">
        <v>1159179.5249999999</v>
      </c>
      <c r="J1172" s="1466">
        <f t="shared" si="52"/>
        <v>1247996.3661578801</v>
      </c>
      <c r="K1172" s="1466"/>
      <c r="L1172" s="1466"/>
      <c r="M1172" s="1540">
        <f t="shared" si="53"/>
        <v>1247996.3661578801</v>
      </c>
      <c r="N1172" s="166"/>
      <c r="O1172" s="540">
        <v>67809.828528404207</v>
      </c>
    </row>
    <row r="1173" spans="1:17" s="540" customFormat="1" ht="13.9" customHeight="1">
      <c r="A1173" s="1547">
        <v>32</v>
      </c>
      <c r="B1173" s="1537"/>
      <c r="C1173" s="1538"/>
      <c r="D1173" s="166" t="s">
        <v>1364</v>
      </c>
      <c r="E1173" s="1468" t="s">
        <v>15</v>
      </c>
      <c r="F1173" s="1468"/>
      <c r="G1173" s="1540"/>
      <c r="H1173" s="1540">
        <v>1159179.5249999999</v>
      </c>
      <c r="I1173" s="1540"/>
      <c r="J1173" s="1466">
        <f t="shared" si="52"/>
        <v>1159179.5249999999</v>
      </c>
      <c r="K1173" s="1466"/>
      <c r="L1173" s="1466"/>
      <c r="M1173" s="1540">
        <f t="shared" si="53"/>
        <v>1159179.5249999999</v>
      </c>
      <c r="N1173" s="166"/>
    </row>
    <row r="1174" spans="1:17" s="540" customFormat="1" ht="13.9" customHeight="1">
      <c r="A1174" s="1547">
        <v>33</v>
      </c>
      <c r="B1174" s="1537"/>
      <c r="C1174" s="1538"/>
      <c r="D1174" s="166" t="s">
        <v>1065</v>
      </c>
      <c r="E1174" s="1468" t="s">
        <v>15</v>
      </c>
      <c r="F1174" s="1468"/>
      <c r="G1174" s="1540"/>
      <c r="H1174" s="1540">
        <v>1189145.3259999999</v>
      </c>
      <c r="I1174" s="1540"/>
      <c r="J1174" s="1466">
        <f t="shared" si="52"/>
        <v>1189145.3259999999</v>
      </c>
      <c r="K1174" s="1466"/>
      <c r="L1174" s="1466"/>
      <c r="M1174" s="1540">
        <f t="shared" si="53"/>
        <v>1189145.3259999999</v>
      </c>
      <c r="N1174" s="166"/>
    </row>
    <row r="1175" spans="1:17" s="540" customFormat="1" ht="13.9" customHeight="1">
      <c r="A1175" s="1547">
        <v>34</v>
      </c>
      <c r="B1175" s="1537"/>
      <c r="C1175" s="1538"/>
      <c r="D1175" s="166" t="s">
        <v>1365</v>
      </c>
      <c r="E1175" s="1468" t="s">
        <v>15</v>
      </c>
      <c r="F1175" s="1468"/>
      <c r="G1175" s="1540"/>
      <c r="H1175" s="1540">
        <v>1249612.852</v>
      </c>
      <c r="I1175" s="1540"/>
      <c r="J1175" s="1466">
        <f t="shared" si="52"/>
        <v>1249612.852</v>
      </c>
      <c r="K1175" s="1466"/>
      <c r="L1175" s="1466"/>
      <c r="M1175" s="1540">
        <f t="shared" si="53"/>
        <v>1249612.852</v>
      </c>
      <c r="N1175" s="166"/>
    </row>
    <row r="1176" spans="1:17" s="540" customFormat="1" ht="13.9" customHeight="1">
      <c r="A1176" s="1547">
        <v>35</v>
      </c>
      <c r="B1176" s="1537"/>
      <c r="C1176" s="1538"/>
      <c r="D1176" s="166" t="s">
        <v>1366</v>
      </c>
      <c r="E1176" s="1468" t="s">
        <v>15</v>
      </c>
      <c r="F1176" s="1468"/>
      <c r="G1176" s="1540"/>
      <c r="H1176" s="1540">
        <v>1159179.5249999999</v>
      </c>
      <c r="I1176" s="1540"/>
      <c r="J1176" s="1466">
        <f t="shared" si="52"/>
        <v>1159179.5249999999</v>
      </c>
      <c r="K1176" s="1466"/>
      <c r="L1176" s="1466"/>
      <c r="M1176" s="1540">
        <f t="shared" si="53"/>
        <v>1159179.5249999999</v>
      </c>
      <c r="N1176" s="166"/>
    </row>
    <row r="1177" spans="1:17" s="540" customFormat="1" ht="13.9" customHeight="1">
      <c r="A1177" s="1547">
        <v>36</v>
      </c>
      <c r="B1177" s="1537"/>
      <c r="C1177" s="1538"/>
      <c r="D1177" s="166" t="s">
        <v>1367</v>
      </c>
      <c r="E1177" s="1468" t="s">
        <v>15</v>
      </c>
      <c r="F1177" s="1468"/>
      <c r="G1177" s="1540"/>
      <c r="H1177" s="1540">
        <v>1189145.3259999999</v>
      </c>
      <c r="I1177" s="1540"/>
      <c r="J1177" s="1466">
        <f t="shared" si="52"/>
        <v>1189145.3259999999</v>
      </c>
      <c r="K1177" s="1466"/>
      <c r="L1177" s="1466"/>
      <c r="M1177" s="1540">
        <f t="shared" si="53"/>
        <v>1189145.3259999999</v>
      </c>
      <c r="N1177" s="166"/>
    </row>
    <row r="1178" spans="1:17" s="540" customFormat="1" ht="13.9" customHeight="1">
      <c r="A1178" s="1547">
        <v>37</v>
      </c>
      <c r="B1178" s="1537"/>
      <c r="C1178" s="1538"/>
      <c r="D1178" s="166" t="s">
        <v>1132</v>
      </c>
      <c r="E1178" s="1468" t="s">
        <v>15</v>
      </c>
      <c r="F1178" s="1468"/>
      <c r="G1178" s="1540"/>
      <c r="H1178" s="1540">
        <v>1159179.5249999999</v>
      </c>
      <c r="I1178" s="1540"/>
      <c r="J1178" s="1466">
        <f t="shared" si="52"/>
        <v>1159179.5249999999</v>
      </c>
      <c r="K1178" s="1466"/>
      <c r="L1178" s="1466"/>
      <c r="M1178" s="1540">
        <f t="shared" si="53"/>
        <v>1159179.5249999999</v>
      </c>
      <c r="N1178" s="166"/>
    </row>
    <row r="1179" spans="1:17" s="540" customFormat="1" ht="13.9" customHeight="1">
      <c r="A1179" s="1547">
        <v>38</v>
      </c>
      <c r="B1179" s="1537"/>
      <c r="C1179" s="1538"/>
      <c r="D1179" s="166" t="s">
        <v>1368</v>
      </c>
      <c r="E1179" s="1468" t="s">
        <v>15</v>
      </c>
      <c r="F1179" s="1468"/>
      <c r="G1179" s="1540"/>
      <c r="H1179" s="1540">
        <v>1189145.3259999999</v>
      </c>
      <c r="I1179" s="1540"/>
      <c r="J1179" s="1466">
        <f t="shared" si="52"/>
        <v>1189145.3259999999</v>
      </c>
      <c r="K1179" s="1466"/>
      <c r="L1179" s="1466"/>
      <c r="M1179" s="1540">
        <f t="shared" si="53"/>
        <v>1189145.3259999999</v>
      </c>
      <c r="N1179" s="166"/>
    </row>
    <row r="1180" spans="1:17" s="540" customFormat="1" ht="13.9" customHeight="1">
      <c r="A1180" s="1547">
        <v>39</v>
      </c>
      <c r="B1180" s="1537"/>
      <c r="C1180" s="1538"/>
      <c r="D1180" s="166" t="s">
        <v>1369</v>
      </c>
      <c r="E1180" s="1468" t="s">
        <v>15</v>
      </c>
      <c r="F1180" s="1468"/>
      <c r="G1180" s="1540"/>
      <c r="H1180" s="1540">
        <v>1249612.852</v>
      </c>
      <c r="I1180" s="1540"/>
      <c r="J1180" s="1466">
        <f t="shared" si="52"/>
        <v>1249612.852</v>
      </c>
      <c r="K1180" s="1466"/>
      <c r="L1180" s="1466"/>
      <c r="M1180" s="1540">
        <f t="shared" si="53"/>
        <v>1249612.852</v>
      </c>
      <c r="N1180" s="166"/>
    </row>
    <row r="1181" spans="1:17" s="540" customFormat="1" ht="13.9" customHeight="1">
      <c r="A1181" s="1547">
        <v>40</v>
      </c>
      <c r="B1181" s="1537"/>
      <c r="C1181" s="1538"/>
      <c r="D1181" s="166" t="s">
        <v>1370</v>
      </c>
      <c r="E1181" s="1468" t="s">
        <v>15</v>
      </c>
      <c r="F1181" s="1468"/>
      <c r="G1181" s="1540"/>
      <c r="H1181" s="1540">
        <v>1159179.5249999999</v>
      </c>
      <c r="I1181" s="1540"/>
      <c r="J1181" s="1466">
        <f t="shared" si="52"/>
        <v>1159179.5249999999</v>
      </c>
      <c r="K1181" s="1466"/>
      <c r="L1181" s="1466"/>
      <c r="M1181" s="1540">
        <f t="shared" si="53"/>
        <v>1159179.5249999999</v>
      </c>
      <c r="N1181" s="166"/>
    </row>
    <row r="1182" spans="1:17" s="540" customFormat="1" ht="13.9" customHeight="1">
      <c r="A1182" s="1547">
        <v>41</v>
      </c>
      <c r="B1182" s="1537"/>
      <c r="C1182" s="1538"/>
      <c r="D1182" s="166" t="s">
        <v>1369</v>
      </c>
      <c r="E1182" s="1468" t="s">
        <v>15</v>
      </c>
      <c r="F1182" s="1468"/>
      <c r="G1182" s="1540"/>
      <c r="H1182" s="1540">
        <v>1048486.62478551</v>
      </c>
      <c r="I1182" s="1540"/>
      <c r="J1182" s="1466">
        <f t="shared" si="52"/>
        <v>1048486.62478551</v>
      </c>
      <c r="K1182" s="1466"/>
      <c r="L1182" s="1466"/>
      <c r="M1182" s="1540">
        <f t="shared" si="53"/>
        <v>1048486.62478551</v>
      </c>
      <c r="N1182" s="166"/>
    </row>
    <row r="1183" spans="1:17" s="540" customFormat="1" ht="14.25" customHeight="1">
      <c r="A1183" s="1543" t="s">
        <v>1371</v>
      </c>
      <c r="B1183" s="1537" t="e">
        <f>VLOOKUP(A1183,'[2]DS CN MOI UP'!$B$11:$C$447,2,0)</f>
        <v>#N/A</v>
      </c>
      <c r="C1183" s="1543"/>
      <c r="E1183" s="1543"/>
      <c r="F1183" s="1543"/>
      <c r="G1183" s="1546">
        <f t="shared" ref="G1183:M1183" si="54">SUM(G1142:G1182)</f>
        <v>980000</v>
      </c>
      <c r="H1183" s="1546">
        <f t="shared" si="54"/>
        <v>35440901.735990301</v>
      </c>
      <c r="I1183" s="1546">
        <f t="shared" si="54"/>
        <v>10703944</v>
      </c>
      <c r="J1183" s="1546">
        <f t="shared" si="54"/>
        <v>47124845.735990301</v>
      </c>
      <c r="K1183" s="1546">
        <f t="shared" si="54"/>
        <v>0</v>
      </c>
      <c r="L1183" s="1546">
        <f t="shared" si="54"/>
        <v>0</v>
      </c>
      <c r="M1183" s="1546">
        <f t="shared" si="54"/>
        <v>47124845.735990301</v>
      </c>
      <c r="N1183" s="1548"/>
      <c r="O1183" s="559" t="e">
        <f>'LƯƠNG CNTT'!#REF!</f>
        <v>#REF!</v>
      </c>
      <c r="P1183" s="559" t="e">
        <f>'LƯƠNG CNTT'!#REF!</f>
        <v>#REF!</v>
      </c>
      <c r="Q1183" s="559" t="e">
        <f>'LƯƠNG CNTT'!#REF!</f>
        <v>#REF!</v>
      </c>
    </row>
    <row r="1184" spans="1:17" s="540" customFormat="1" ht="14.25" customHeight="1">
      <c r="A1184" s="1536">
        <v>1</v>
      </c>
      <c r="B1184" s="1537" t="e">
        <f>VLOOKUP(D1184,'[2]DS CN MOI UP'!$B$11:$C$447,2,0)</f>
        <v>#N/A</v>
      </c>
      <c r="C1184" s="1538" t="s">
        <v>1372</v>
      </c>
      <c r="D1184" s="1468" t="s">
        <v>1373</v>
      </c>
      <c r="E1184" s="1468" t="s">
        <v>15</v>
      </c>
      <c r="F1184" s="1468"/>
      <c r="G1184" s="1540">
        <v>60000</v>
      </c>
      <c r="H1184" s="1540">
        <v>554373.09900000005</v>
      </c>
      <c r="I1184" s="1540">
        <v>524139.33600000001</v>
      </c>
      <c r="J1184" s="1466">
        <f t="shared" si="45"/>
        <v>1138512.4350000001</v>
      </c>
      <c r="K1184" s="1466"/>
      <c r="L1184" s="1466"/>
      <c r="M1184" s="1540">
        <f t="shared" ref="M1184:M1438" si="55">J1184-L1184</f>
        <v>1138512.4350000001</v>
      </c>
      <c r="N1184" s="166"/>
      <c r="O1184" s="559" t="e">
        <f>+O1183-G1183</f>
        <v>#REF!</v>
      </c>
      <c r="P1184" s="559" t="e">
        <f>+P1183-H1183</f>
        <v>#REF!</v>
      </c>
      <c r="Q1184" s="559" t="e">
        <f>+Q1183-I1183</f>
        <v>#REF!</v>
      </c>
    </row>
    <row r="1185" spans="1:14" s="540" customFormat="1" ht="14.25" customHeight="1">
      <c r="A1185" s="1536">
        <v>2</v>
      </c>
      <c r="B1185" s="1537" t="e">
        <f>VLOOKUP(D1185,'[2]DS CN MOI UP'!$B$11:$C$447,2,0)</f>
        <v>#N/A</v>
      </c>
      <c r="C1185" s="1538" t="s">
        <v>1374</v>
      </c>
      <c r="D1185" s="1468" t="s">
        <v>1375</v>
      </c>
      <c r="E1185" s="1468" t="s">
        <v>15</v>
      </c>
      <c r="F1185" s="1468"/>
      <c r="G1185" s="1540">
        <v>40000</v>
      </c>
      <c r="H1185" s="1540">
        <v>554373.09900000005</v>
      </c>
      <c r="I1185" s="1540">
        <v>524139.33600000001</v>
      </c>
      <c r="J1185" s="1466">
        <f t="shared" si="45"/>
        <v>1118512.4350000001</v>
      </c>
      <c r="K1185" s="1466"/>
      <c r="L1185" s="1466"/>
      <c r="M1185" s="1540">
        <f t="shared" si="55"/>
        <v>1118512.4350000001</v>
      </c>
      <c r="N1185" s="166"/>
    </row>
    <row r="1186" spans="1:14" s="540" customFormat="1" ht="14.25" customHeight="1">
      <c r="A1186" s="1536">
        <v>3</v>
      </c>
      <c r="B1186" s="1537" t="e">
        <f>VLOOKUP(D1186,'[2]DS CN MOI UP'!$B$11:$C$447,2,0)</f>
        <v>#N/A</v>
      </c>
      <c r="C1186" s="1538" t="s">
        <v>1376</v>
      </c>
      <c r="D1186" s="1468" t="s">
        <v>1377</v>
      </c>
      <c r="E1186" s="1468" t="s">
        <v>15</v>
      </c>
      <c r="F1186" s="1468"/>
      <c r="G1186" s="1540">
        <v>40000</v>
      </c>
      <c r="H1186" s="1540">
        <v>554373.09900000005</v>
      </c>
      <c r="I1186" s="1540">
        <v>524139.33600000001</v>
      </c>
      <c r="J1186" s="1466">
        <f t="shared" si="45"/>
        <v>1118512.4350000001</v>
      </c>
      <c r="K1186" s="1466"/>
      <c r="L1186" s="1466"/>
      <c r="M1186" s="1540">
        <f t="shared" si="55"/>
        <v>1118512.4350000001</v>
      </c>
      <c r="N1186" s="166"/>
    </row>
    <row r="1187" spans="1:14" s="540" customFormat="1" ht="14.25" customHeight="1">
      <c r="A1187" s="1536">
        <v>4</v>
      </c>
      <c r="B1187" s="1537" t="str">
        <f>VLOOKUP(D1187,'[2]DS CN MOI UP'!$B$11:$C$447,2,0)</f>
        <v>02616</v>
      </c>
      <c r="C1187" s="1538" t="s">
        <v>1378</v>
      </c>
      <c r="D1187" s="1468" t="s">
        <v>308</v>
      </c>
      <c r="E1187" s="1468" t="s">
        <v>15</v>
      </c>
      <c r="F1187" s="1468"/>
      <c r="G1187" s="1540">
        <v>40000</v>
      </c>
      <c r="H1187" s="1540">
        <v>554373.09900000005</v>
      </c>
      <c r="I1187" s="1540">
        <v>524139.33600000001</v>
      </c>
      <c r="J1187" s="1466">
        <f t="shared" si="45"/>
        <v>1118512.4350000001</v>
      </c>
      <c r="K1187" s="1466"/>
      <c r="L1187" s="1466"/>
      <c r="M1187" s="1540">
        <f t="shared" si="55"/>
        <v>1118512.4350000001</v>
      </c>
      <c r="N1187" s="166"/>
    </row>
    <row r="1188" spans="1:14" s="540" customFormat="1" ht="14.25" customHeight="1">
      <c r="A1188" s="1536">
        <v>5</v>
      </c>
      <c r="B1188" s="1537" t="e">
        <f>VLOOKUP(D1188,'[2]DS CN MOI UP'!$B$11:$C$447,2,0)</f>
        <v>#N/A</v>
      </c>
      <c r="C1188" s="1538" t="s">
        <v>1379</v>
      </c>
      <c r="D1188" s="1468" t="s">
        <v>1380</v>
      </c>
      <c r="E1188" s="1468" t="s">
        <v>15</v>
      </c>
      <c r="F1188" s="1468"/>
      <c r="G1188" s="1540">
        <v>40000</v>
      </c>
      <c r="H1188" s="1540">
        <v>635040.18900000001</v>
      </c>
      <c r="I1188" s="1540">
        <v>524139.33600000001</v>
      </c>
      <c r="J1188" s="1466">
        <f t="shared" si="45"/>
        <v>1199179.5249999999</v>
      </c>
      <c r="K1188" s="1466"/>
      <c r="L1188" s="1466"/>
      <c r="M1188" s="1540">
        <f t="shared" si="55"/>
        <v>1199179.5249999999</v>
      </c>
      <c r="N1188" s="166"/>
    </row>
    <row r="1189" spans="1:14" s="540" customFormat="1" ht="14.25" customHeight="1">
      <c r="A1189" s="1536">
        <v>6</v>
      </c>
      <c r="B1189" s="1537" t="e">
        <f>VLOOKUP(D1189,'[2]DS CN MOI UP'!$B$11:$C$447,2,0)</f>
        <v>#N/A</v>
      </c>
      <c r="C1189" s="1538" t="s">
        <v>1381</v>
      </c>
      <c r="D1189" s="1468" t="s">
        <v>286</v>
      </c>
      <c r="E1189" s="1468" t="s">
        <v>15</v>
      </c>
      <c r="F1189" s="1468"/>
      <c r="G1189" s="1540">
        <v>40000</v>
      </c>
      <c r="H1189" s="1540">
        <v>544338.9</v>
      </c>
      <c r="I1189" s="1540">
        <v>524139.33600000001</v>
      </c>
      <c r="J1189" s="1466">
        <f t="shared" si="45"/>
        <v>1108478.236</v>
      </c>
      <c r="K1189" s="1466"/>
      <c r="L1189" s="1466"/>
      <c r="M1189" s="1540">
        <f t="shared" si="55"/>
        <v>1108478.236</v>
      </c>
      <c r="N1189" s="166"/>
    </row>
    <row r="1190" spans="1:14" s="540" customFormat="1" ht="14.25" customHeight="1">
      <c r="A1190" s="1536">
        <v>7</v>
      </c>
      <c r="B1190" s="1537" t="str">
        <f>VLOOKUP(D1190,'[2]DS CN MOI UP'!$B$11:$C$447,2,0)</f>
        <v>03419</v>
      </c>
      <c r="C1190" s="1538" t="s">
        <v>1382</v>
      </c>
      <c r="D1190" s="1468" t="s">
        <v>342</v>
      </c>
      <c r="E1190" s="1468" t="s">
        <v>15</v>
      </c>
      <c r="F1190" s="1468"/>
      <c r="G1190" s="1540">
        <v>40000</v>
      </c>
      <c r="H1190" s="1540">
        <v>574572.66299999994</v>
      </c>
      <c r="I1190" s="1540">
        <v>524139.33600000001</v>
      </c>
      <c r="J1190" s="1466">
        <f t="shared" si="45"/>
        <v>1138711.9990000001</v>
      </c>
      <c r="K1190" s="1466"/>
      <c r="L1190" s="1466"/>
      <c r="M1190" s="1540">
        <f t="shared" si="55"/>
        <v>1138711.9990000001</v>
      </c>
      <c r="N1190" s="166"/>
    </row>
    <row r="1191" spans="1:14" s="540" customFormat="1" ht="14.25" customHeight="1">
      <c r="A1191" s="1536">
        <v>8</v>
      </c>
      <c r="B1191" s="1537" t="e">
        <f>VLOOKUP(D1191,'[2]DS CN MOI UP'!$B$11:$C$447,2,0)</f>
        <v>#N/A</v>
      </c>
      <c r="C1191" s="1538" t="s">
        <v>1383</v>
      </c>
      <c r="D1191" s="1468" t="s">
        <v>1180</v>
      </c>
      <c r="E1191" s="1468" t="s">
        <v>15</v>
      </c>
      <c r="F1191" s="1468"/>
      <c r="G1191" s="1540">
        <v>40000</v>
      </c>
      <c r="H1191" s="1540">
        <v>604806.42599999998</v>
      </c>
      <c r="I1191" s="1540">
        <v>524139.33600000001</v>
      </c>
      <c r="J1191" s="1466">
        <f t="shared" si="45"/>
        <v>1168945.7620000001</v>
      </c>
      <c r="K1191" s="1466"/>
      <c r="L1191" s="1466"/>
      <c r="M1191" s="1540">
        <f t="shared" si="55"/>
        <v>1168945.7620000001</v>
      </c>
      <c r="N1191" s="166"/>
    </row>
    <row r="1192" spans="1:14" s="540" customFormat="1" ht="14.25" customHeight="1">
      <c r="A1192" s="1536">
        <v>9</v>
      </c>
      <c r="B1192" s="1537" t="e">
        <f>VLOOKUP(D1192,'[2]DS CN MOI UP'!$B$11:$C$447,2,0)</f>
        <v>#N/A</v>
      </c>
      <c r="C1192" s="1538" t="s">
        <v>1384</v>
      </c>
      <c r="D1192" s="1468" t="s">
        <v>1345</v>
      </c>
      <c r="E1192" s="1468" t="s">
        <v>15</v>
      </c>
      <c r="F1192" s="1468"/>
      <c r="G1192" s="1540">
        <v>40000</v>
      </c>
      <c r="H1192" s="1540">
        <v>584606.86199999996</v>
      </c>
      <c r="I1192" s="1540">
        <v>524139.33600000001</v>
      </c>
      <c r="J1192" s="1466">
        <f t="shared" si="45"/>
        <v>1148746.1980000001</v>
      </c>
      <c r="K1192" s="1466"/>
      <c r="L1192" s="1466"/>
      <c r="M1192" s="1540">
        <f t="shared" si="55"/>
        <v>1148746.1980000001</v>
      </c>
      <c r="N1192" s="166"/>
    </row>
    <row r="1193" spans="1:14" s="540" customFormat="1" ht="14.25" customHeight="1">
      <c r="A1193" s="1536">
        <v>10</v>
      </c>
      <c r="B1193" s="1537" t="e">
        <f>VLOOKUP(D1193,'[2]DS CN MOI UP'!$B$11:$C$447,2,0)</f>
        <v>#N/A</v>
      </c>
      <c r="C1193" s="1538" t="s">
        <v>1385</v>
      </c>
      <c r="D1193" s="1468" t="s">
        <v>1386</v>
      </c>
      <c r="E1193" s="1468" t="s">
        <v>15</v>
      </c>
      <c r="F1193" s="1468"/>
      <c r="G1193" s="1540">
        <v>40000</v>
      </c>
      <c r="H1193" s="1540">
        <v>635040.18900000001</v>
      </c>
      <c r="I1193" s="1540">
        <v>524139.33600000001</v>
      </c>
      <c r="J1193" s="1466">
        <f t="shared" si="45"/>
        <v>1199179.5249999999</v>
      </c>
      <c r="K1193" s="1466"/>
      <c r="L1193" s="1466"/>
      <c r="M1193" s="1540">
        <f t="shared" si="55"/>
        <v>1199179.5249999999</v>
      </c>
      <c r="N1193" s="166"/>
    </row>
    <row r="1194" spans="1:14" s="540" customFormat="1" ht="14.25" customHeight="1">
      <c r="A1194" s="1536">
        <v>11</v>
      </c>
      <c r="B1194" s="1537" t="e">
        <f>VLOOKUP(D1194,'[2]DS CN MOI UP'!$B$11:$C$447,2,0)</f>
        <v>#N/A</v>
      </c>
      <c r="C1194" s="1538" t="s">
        <v>1387</v>
      </c>
      <c r="D1194" s="1468" t="s">
        <v>685</v>
      </c>
      <c r="E1194" s="1468" t="s">
        <v>15</v>
      </c>
      <c r="F1194" s="1468"/>
      <c r="G1194" s="1540">
        <v>40000</v>
      </c>
      <c r="H1194" s="1540">
        <v>524139.33600000001</v>
      </c>
      <c r="I1194" s="1540">
        <v>524139.33600000001</v>
      </c>
      <c r="J1194" s="1466">
        <f t="shared" si="45"/>
        <v>1088278.672</v>
      </c>
      <c r="K1194" s="1466"/>
      <c r="L1194" s="1466"/>
      <c r="M1194" s="1540">
        <f t="shared" si="55"/>
        <v>1088278.672</v>
      </c>
      <c r="N1194" s="166"/>
    </row>
    <row r="1195" spans="1:14" s="540" customFormat="1" ht="14.25" customHeight="1">
      <c r="A1195" s="1536">
        <v>12</v>
      </c>
      <c r="B1195" s="1537" t="e">
        <f>VLOOKUP(D1195,'[2]DS CN MOI UP'!$B$11:$C$447,2,0)</f>
        <v>#N/A</v>
      </c>
      <c r="C1195" s="1538" t="s">
        <v>1388</v>
      </c>
      <c r="D1195" s="1468" t="s">
        <v>1389</v>
      </c>
      <c r="E1195" s="1468" t="s">
        <v>15</v>
      </c>
      <c r="F1195" s="1468"/>
      <c r="G1195" s="1540">
        <v>40000</v>
      </c>
      <c r="H1195" s="1540">
        <v>635040.18900000001</v>
      </c>
      <c r="I1195" s="1540">
        <v>524139.33600000001</v>
      </c>
      <c r="J1195" s="1466">
        <f t="shared" si="45"/>
        <v>1199179.5249999999</v>
      </c>
      <c r="K1195" s="1466"/>
      <c r="L1195" s="1466"/>
      <c r="M1195" s="1540">
        <f t="shared" si="55"/>
        <v>1199179.5249999999</v>
      </c>
      <c r="N1195" s="166"/>
    </row>
    <row r="1196" spans="1:14" s="540" customFormat="1" ht="14.25" customHeight="1">
      <c r="A1196" s="1536">
        <v>13</v>
      </c>
      <c r="B1196" s="1537" t="e">
        <f>VLOOKUP(D1196,'[2]DS CN MOI UP'!$B$11:$C$447,2,0)</f>
        <v>#N/A</v>
      </c>
      <c r="C1196" s="1538" t="s">
        <v>1390</v>
      </c>
      <c r="D1196" s="1468" t="s">
        <v>1070</v>
      </c>
      <c r="E1196" s="1468" t="s">
        <v>15</v>
      </c>
      <c r="F1196" s="1468"/>
      <c r="G1196" s="1540">
        <v>40000</v>
      </c>
      <c r="H1196" s="1540">
        <v>635040.18900000001</v>
      </c>
      <c r="I1196" s="1540">
        <v>524139.33600000001</v>
      </c>
      <c r="J1196" s="1466">
        <f t="shared" si="45"/>
        <v>1199179.5249999999</v>
      </c>
      <c r="K1196" s="1466"/>
      <c r="L1196" s="1466"/>
      <c r="M1196" s="1540">
        <f t="shared" si="55"/>
        <v>1199179.5249999999</v>
      </c>
      <c r="N1196" s="166"/>
    </row>
    <row r="1197" spans="1:14" s="540" customFormat="1" ht="14.25" customHeight="1">
      <c r="A1197" s="1536">
        <v>14</v>
      </c>
      <c r="B1197" s="1537" t="str">
        <f>VLOOKUP(D1197,'[2]DS CN MOI UP'!$B$11:$C$447,2,0)</f>
        <v>02621</v>
      </c>
      <c r="C1197" s="1538" t="s">
        <v>1391</v>
      </c>
      <c r="D1197" s="1468" t="s">
        <v>313</v>
      </c>
      <c r="E1197" s="1468" t="s">
        <v>15</v>
      </c>
      <c r="F1197" s="1468"/>
      <c r="G1197" s="1540">
        <v>40000</v>
      </c>
      <c r="H1197" s="1540">
        <v>554373.09900000005</v>
      </c>
      <c r="I1197" s="1540">
        <v>524139.33600000001</v>
      </c>
      <c r="J1197" s="1466">
        <f t="shared" si="45"/>
        <v>1118512.4350000001</v>
      </c>
      <c r="K1197" s="1466"/>
      <c r="L1197" s="1466"/>
      <c r="M1197" s="1540">
        <f t="shared" si="55"/>
        <v>1118512.4350000001</v>
      </c>
      <c r="N1197" s="166"/>
    </row>
    <row r="1198" spans="1:14" s="540" customFormat="1" ht="14.25" customHeight="1">
      <c r="A1198" s="1536">
        <v>15</v>
      </c>
      <c r="B1198" s="1537" t="e">
        <f>VLOOKUP(D1198,'[2]DS CN MOI UP'!$B$11:$C$447,2,0)</f>
        <v>#N/A</v>
      </c>
      <c r="C1198" s="1538" t="s">
        <v>1392</v>
      </c>
      <c r="D1198" s="1468" t="s">
        <v>1393</v>
      </c>
      <c r="E1198" s="1468" t="s">
        <v>15</v>
      </c>
      <c r="F1198" s="1468"/>
      <c r="G1198" s="1540">
        <v>60000</v>
      </c>
      <c r="H1198" s="1540">
        <v>554373.09900000005</v>
      </c>
      <c r="I1198" s="1540">
        <v>524139.33600000001</v>
      </c>
      <c r="J1198" s="1466">
        <f t="shared" si="45"/>
        <v>1138512.4350000001</v>
      </c>
      <c r="K1198" s="1466"/>
      <c r="L1198" s="1466"/>
      <c r="M1198" s="1540">
        <f t="shared" si="55"/>
        <v>1138512.4350000001</v>
      </c>
      <c r="N1198" s="166"/>
    </row>
    <row r="1199" spans="1:14" s="540" customFormat="1" ht="14.25" customHeight="1">
      <c r="A1199" s="1536">
        <v>16</v>
      </c>
      <c r="B1199" s="1537" t="e">
        <f>VLOOKUP(D1199,'[2]DS CN MOI UP'!$B$11:$C$447,2,0)</f>
        <v>#N/A</v>
      </c>
      <c r="C1199" s="1538" t="s">
        <v>1394</v>
      </c>
      <c r="D1199" s="1468" t="s">
        <v>1395</v>
      </c>
      <c r="E1199" s="1468" t="s">
        <v>15</v>
      </c>
      <c r="F1199" s="1468"/>
      <c r="G1199" s="1540">
        <v>40000</v>
      </c>
      <c r="H1199" s="1540">
        <v>554373.09900000005</v>
      </c>
      <c r="I1199" s="1540">
        <v>524139.33600000001</v>
      </c>
      <c r="J1199" s="1466">
        <f t="shared" si="45"/>
        <v>1118512.4350000001</v>
      </c>
      <c r="K1199" s="1466"/>
      <c r="L1199" s="1466"/>
      <c r="M1199" s="1540">
        <f t="shared" si="55"/>
        <v>1118512.4350000001</v>
      </c>
      <c r="N1199" s="166"/>
    </row>
    <row r="1200" spans="1:14" s="540" customFormat="1" ht="14.25" customHeight="1">
      <c r="A1200" s="1536">
        <v>17</v>
      </c>
      <c r="B1200" s="1537" t="e">
        <f>VLOOKUP(D1200,'[2]DS CN MOI UP'!$B$11:$C$447,2,0)</f>
        <v>#N/A</v>
      </c>
      <c r="C1200" s="1538" t="s">
        <v>1396</v>
      </c>
      <c r="D1200" s="1468" t="s">
        <v>1397</v>
      </c>
      <c r="E1200" s="1468" t="s">
        <v>15</v>
      </c>
      <c r="F1200" s="1468"/>
      <c r="G1200" s="1540">
        <v>40000</v>
      </c>
      <c r="H1200" s="1540">
        <v>554373.09900000005</v>
      </c>
      <c r="I1200" s="1540">
        <v>524139.33600000001</v>
      </c>
      <c r="J1200" s="1466">
        <f t="shared" si="45"/>
        <v>1118512.4350000001</v>
      </c>
      <c r="K1200" s="1466"/>
      <c r="L1200" s="1466"/>
      <c r="M1200" s="1540">
        <f t="shared" si="55"/>
        <v>1118512.4350000001</v>
      </c>
      <c r="N1200" s="166"/>
    </row>
    <row r="1201" spans="1:14" s="540" customFormat="1" ht="14.25" customHeight="1">
      <c r="A1201" s="1536">
        <v>18</v>
      </c>
      <c r="B1201" s="1537" t="e">
        <f>VLOOKUP(D1201,'[2]DS CN MOI UP'!$B$11:$C$447,2,0)</f>
        <v>#N/A</v>
      </c>
      <c r="C1201" s="1538" t="s">
        <v>1398</v>
      </c>
      <c r="D1201" s="1468" t="s">
        <v>1399</v>
      </c>
      <c r="E1201" s="1468" t="s">
        <v>15</v>
      </c>
      <c r="F1201" s="1468"/>
      <c r="G1201" s="1540">
        <v>40000</v>
      </c>
      <c r="H1201" s="1540">
        <v>554373.09900000005</v>
      </c>
      <c r="I1201" s="1540">
        <v>524139.33600000001</v>
      </c>
      <c r="J1201" s="1466">
        <f t="shared" si="45"/>
        <v>1118512.4350000001</v>
      </c>
      <c r="K1201" s="1466"/>
      <c r="L1201" s="1466"/>
      <c r="M1201" s="1540">
        <f t="shared" si="55"/>
        <v>1118512.4350000001</v>
      </c>
      <c r="N1201" s="166"/>
    </row>
    <row r="1202" spans="1:14" s="540" customFormat="1" ht="14.25" customHeight="1">
      <c r="A1202" s="1536">
        <v>19</v>
      </c>
      <c r="B1202" s="1537" t="str">
        <f>VLOOKUP(D1202,'[2]DS CN MOI UP'!$B$11:$C$447,2,0)</f>
        <v>03850</v>
      </c>
      <c r="C1202" s="1538" t="s">
        <v>1383</v>
      </c>
      <c r="D1202" s="1468" t="s">
        <v>449</v>
      </c>
      <c r="E1202" s="1468" t="s">
        <v>15</v>
      </c>
      <c r="F1202" s="1468"/>
      <c r="G1202" s="1540">
        <v>40000</v>
      </c>
      <c r="H1202" s="1540">
        <v>635040.18900000001</v>
      </c>
      <c r="I1202" s="1540">
        <v>524139.33600000001</v>
      </c>
      <c r="J1202" s="1466">
        <f t="shared" si="45"/>
        <v>1199179.5249999999</v>
      </c>
      <c r="K1202" s="1466"/>
      <c r="L1202" s="1466"/>
      <c r="M1202" s="1540">
        <f t="shared" si="55"/>
        <v>1199179.5249999999</v>
      </c>
      <c r="N1202" s="166"/>
    </row>
    <row r="1203" spans="1:14" s="540" customFormat="1" ht="14.25" customHeight="1">
      <c r="A1203" s="1536">
        <v>20</v>
      </c>
      <c r="B1203" s="1537" t="e">
        <f>VLOOKUP(D1203,'[2]DS CN MOI UP'!$B$11:$C$447,2,0)</f>
        <v>#N/A</v>
      </c>
      <c r="C1203" s="1538" t="s">
        <v>1384</v>
      </c>
      <c r="D1203" s="1468" t="s">
        <v>1400</v>
      </c>
      <c r="E1203" s="1468" t="s">
        <v>15</v>
      </c>
      <c r="F1203" s="1468"/>
      <c r="G1203" s="1540">
        <v>40000</v>
      </c>
      <c r="H1203" s="1540">
        <v>544338.9</v>
      </c>
      <c r="I1203" s="1540">
        <v>524139.33600000001</v>
      </c>
      <c r="J1203" s="1466">
        <f t="shared" si="45"/>
        <v>1108478.236</v>
      </c>
      <c r="K1203" s="1466"/>
      <c r="L1203" s="1466"/>
      <c r="M1203" s="1540">
        <f t="shared" si="55"/>
        <v>1108478.236</v>
      </c>
      <c r="N1203" s="166"/>
    </row>
    <row r="1204" spans="1:14" s="540" customFormat="1" ht="14.25" customHeight="1">
      <c r="A1204" s="1536">
        <v>21</v>
      </c>
      <c r="B1204" s="1537" t="e">
        <f>VLOOKUP(D1204,'[2]DS CN MOI UP'!$B$11:$C$447,2,0)</f>
        <v>#N/A</v>
      </c>
      <c r="C1204" s="1538" t="s">
        <v>1385</v>
      </c>
      <c r="D1204" s="1468" t="s">
        <v>1401</v>
      </c>
      <c r="E1204" s="1468" t="s">
        <v>15</v>
      </c>
      <c r="F1204" s="1468"/>
      <c r="G1204" s="1540">
        <v>40000</v>
      </c>
      <c r="H1204" s="1540">
        <v>574572.66299999994</v>
      </c>
      <c r="I1204" s="1540">
        <v>524139.33600000001</v>
      </c>
      <c r="J1204" s="1466">
        <f t="shared" si="45"/>
        <v>1138711.9990000001</v>
      </c>
      <c r="K1204" s="1466"/>
      <c r="L1204" s="1466"/>
      <c r="M1204" s="1540">
        <f t="shared" si="55"/>
        <v>1138711.9990000001</v>
      </c>
      <c r="N1204" s="166"/>
    </row>
    <row r="1205" spans="1:14" s="540" customFormat="1" ht="14.25" customHeight="1">
      <c r="A1205" s="1536">
        <v>22</v>
      </c>
      <c r="B1205" s="1537" t="str">
        <f>VLOOKUP(D1205,'[2]DS CN MOI UP'!$B$11:$C$447,2,0)</f>
        <v>02624</v>
      </c>
      <c r="C1205" s="1538" t="s">
        <v>1387</v>
      </c>
      <c r="D1205" s="1468" t="s">
        <v>317</v>
      </c>
      <c r="E1205" s="1468" t="s">
        <v>15</v>
      </c>
      <c r="F1205" s="1468"/>
      <c r="G1205" s="1540">
        <v>40000</v>
      </c>
      <c r="H1205" s="1540">
        <v>604806.42599999998</v>
      </c>
      <c r="I1205" s="1540">
        <v>524139.33600000001</v>
      </c>
      <c r="J1205" s="1466">
        <f t="shared" si="45"/>
        <v>1168945.7620000001</v>
      </c>
      <c r="K1205" s="1466"/>
      <c r="L1205" s="1466"/>
      <c r="M1205" s="1540">
        <f t="shared" si="55"/>
        <v>1168945.7620000001</v>
      </c>
      <c r="N1205" s="166"/>
    </row>
    <row r="1206" spans="1:14" s="540" customFormat="1" ht="14.25" customHeight="1">
      <c r="A1206" s="1536">
        <v>23</v>
      </c>
      <c r="B1206" s="1537" t="str">
        <f>VLOOKUP(D1206,'[2]DS CN MOI UP'!$B$11:$C$447,2,0)</f>
        <v>02500</v>
      </c>
      <c r="C1206" s="1538" t="s">
        <v>1388</v>
      </c>
      <c r="D1206" s="1468" t="s">
        <v>59</v>
      </c>
      <c r="E1206" s="1468" t="s">
        <v>15</v>
      </c>
      <c r="F1206" s="1468"/>
      <c r="G1206" s="1540">
        <v>40000</v>
      </c>
      <c r="H1206" s="1540">
        <v>584606.86199999996</v>
      </c>
      <c r="I1206" s="1540">
        <v>524139.33600000001</v>
      </c>
      <c r="J1206" s="1466">
        <f t="shared" si="45"/>
        <v>1148746.1980000001</v>
      </c>
      <c r="K1206" s="1466"/>
      <c r="L1206" s="1466"/>
      <c r="M1206" s="1540">
        <f t="shared" si="55"/>
        <v>1148746.1980000001</v>
      </c>
      <c r="N1206" s="166"/>
    </row>
    <row r="1207" spans="1:14" s="540" customFormat="1" ht="14.25" customHeight="1">
      <c r="A1207" s="1536">
        <v>24</v>
      </c>
      <c r="B1207" s="1537" t="str">
        <f>VLOOKUP(D1207,'[2]DS CN MOI UP'!$B$11:$C$447,2,0)</f>
        <v>02572</v>
      </c>
      <c r="C1207" s="1538" t="s">
        <v>1390</v>
      </c>
      <c r="D1207" s="1468" t="s">
        <v>271</v>
      </c>
      <c r="E1207" s="1468" t="s">
        <v>15</v>
      </c>
      <c r="F1207" s="1468"/>
      <c r="G1207" s="1540">
        <v>40000</v>
      </c>
      <c r="H1207" s="1540">
        <v>635040.18900000001</v>
      </c>
      <c r="I1207" s="1540">
        <v>524139.33600000001</v>
      </c>
      <c r="J1207" s="1466">
        <f t="shared" si="45"/>
        <v>1199179.5249999999</v>
      </c>
      <c r="K1207" s="1466"/>
      <c r="L1207" s="1466"/>
      <c r="M1207" s="1540">
        <f t="shared" si="55"/>
        <v>1199179.5249999999</v>
      </c>
      <c r="N1207" s="166"/>
    </row>
    <row r="1208" spans="1:14" s="540" customFormat="1" ht="14.25" customHeight="1">
      <c r="A1208" s="1536">
        <v>25</v>
      </c>
      <c r="B1208" s="1537" t="str">
        <f>VLOOKUP(D1208,'[2]DS CN MOI UP'!$B$11:$C$447,2,0)</f>
        <v>03416</v>
      </c>
      <c r="C1208" s="1538" t="s">
        <v>1391</v>
      </c>
      <c r="D1208" s="1468" t="s">
        <v>1402</v>
      </c>
      <c r="E1208" s="1468" t="s">
        <v>15</v>
      </c>
      <c r="F1208" s="1468"/>
      <c r="G1208" s="1540">
        <v>40000</v>
      </c>
      <c r="H1208" s="1540">
        <v>524139.33600000001</v>
      </c>
      <c r="I1208" s="1540">
        <v>524139.33600000001</v>
      </c>
      <c r="J1208" s="1466">
        <f t="shared" si="45"/>
        <v>1088278.672</v>
      </c>
      <c r="K1208" s="1466"/>
      <c r="L1208" s="1466"/>
      <c r="M1208" s="1540">
        <f t="shared" si="55"/>
        <v>1088278.672</v>
      </c>
      <c r="N1208" s="166"/>
    </row>
    <row r="1209" spans="1:14" s="540" customFormat="1" ht="14.25" customHeight="1">
      <c r="A1209" s="1536">
        <v>26</v>
      </c>
      <c r="B1209" s="1537" t="str">
        <f>VLOOKUP(D1209,'[2]DS CN MOI UP'!$B$11:$C$447,2,0)</f>
        <v>02626</v>
      </c>
      <c r="C1209" s="1538" t="s">
        <v>1392</v>
      </c>
      <c r="D1209" s="1468" t="s">
        <v>319</v>
      </c>
      <c r="E1209" s="1468" t="s">
        <v>15</v>
      </c>
      <c r="F1209" s="1468"/>
      <c r="G1209" s="1540">
        <v>40000</v>
      </c>
      <c r="H1209" s="1540">
        <v>635040.18900000001</v>
      </c>
      <c r="I1209" s="1540">
        <v>524139.33600000001</v>
      </c>
      <c r="J1209" s="1466">
        <f t="shared" si="45"/>
        <v>1199179.5249999999</v>
      </c>
      <c r="K1209" s="1466"/>
      <c r="L1209" s="1466"/>
      <c r="M1209" s="1540">
        <f t="shared" si="55"/>
        <v>1199179.5249999999</v>
      </c>
      <c r="N1209" s="166"/>
    </row>
    <row r="1210" spans="1:14" s="540" customFormat="1" ht="14.25" customHeight="1">
      <c r="A1210" s="1536">
        <v>27</v>
      </c>
      <c r="B1210" s="1537" t="e">
        <f>VLOOKUP(D1210,'[2]DS CN MOI UP'!$B$11:$C$447,2,0)</f>
        <v>#N/A</v>
      </c>
      <c r="C1210" s="1538" t="s">
        <v>1394</v>
      </c>
      <c r="D1210" s="1468" t="s">
        <v>1389</v>
      </c>
      <c r="E1210" s="1468" t="s">
        <v>15</v>
      </c>
      <c r="F1210" s="1468"/>
      <c r="G1210" s="1540">
        <v>40000</v>
      </c>
      <c r="H1210" s="1540">
        <v>635040.18900000001</v>
      </c>
      <c r="I1210" s="1540">
        <v>524139.33600000001</v>
      </c>
      <c r="J1210" s="1466">
        <f t="shared" si="45"/>
        <v>1199179.5249999999</v>
      </c>
      <c r="K1210" s="1466"/>
      <c r="L1210" s="1466"/>
      <c r="M1210" s="1540">
        <f t="shared" si="55"/>
        <v>1199179.5249999999</v>
      </c>
      <c r="N1210" s="166"/>
    </row>
    <row r="1211" spans="1:14" s="540" customFormat="1" ht="14.25" customHeight="1">
      <c r="A1211" s="1536">
        <v>28</v>
      </c>
      <c r="B1211" s="1537" t="e">
        <f>VLOOKUP(D1211,'[2]DS CN MOI UP'!$B$11:$C$447,2,0)</f>
        <v>#N/A</v>
      </c>
      <c r="C1211" s="1538" t="s">
        <v>1396</v>
      </c>
      <c r="D1211" s="1468" t="s">
        <v>1403</v>
      </c>
      <c r="E1211" s="1468" t="s">
        <v>15</v>
      </c>
      <c r="F1211" s="1468"/>
      <c r="G1211" s="1540">
        <v>40000</v>
      </c>
      <c r="H1211" s="1540">
        <v>554373.09900000005</v>
      </c>
      <c r="I1211" s="1540">
        <v>524139.33600000001</v>
      </c>
      <c r="J1211" s="1466">
        <f t="shared" si="45"/>
        <v>1118512.4350000001</v>
      </c>
      <c r="K1211" s="1466"/>
      <c r="L1211" s="1466"/>
      <c r="M1211" s="1540">
        <f t="shared" si="55"/>
        <v>1118512.4350000001</v>
      </c>
      <c r="N1211" s="166"/>
    </row>
    <row r="1212" spans="1:14" s="540" customFormat="1" ht="14.25" customHeight="1">
      <c r="A1212" s="1536">
        <v>29</v>
      </c>
      <c r="B1212" s="1537" t="e">
        <f>VLOOKUP(D1212,'[2]DS CN MOI UP'!$B$11:$C$447,2,0)</f>
        <v>#N/A</v>
      </c>
      <c r="C1212" s="1538" t="s">
        <v>1398</v>
      </c>
      <c r="D1212" s="1468" t="s">
        <v>1404</v>
      </c>
      <c r="E1212" s="1468" t="s">
        <v>15</v>
      </c>
      <c r="F1212" s="1468"/>
      <c r="G1212" s="1540">
        <v>60000</v>
      </c>
      <c r="H1212" s="1540">
        <v>554373.09900000005</v>
      </c>
      <c r="I1212" s="1540">
        <v>524139.33600000001</v>
      </c>
      <c r="J1212" s="1466">
        <f t="shared" si="45"/>
        <v>1138512.4350000001</v>
      </c>
      <c r="K1212" s="1466"/>
      <c r="L1212" s="1466"/>
      <c r="M1212" s="1540">
        <f t="shared" si="55"/>
        <v>1138512.4350000001</v>
      </c>
      <c r="N1212" s="166"/>
    </row>
    <row r="1213" spans="1:14" s="540" customFormat="1" ht="14.25" customHeight="1">
      <c r="A1213" s="1536">
        <v>30</v>
      </c>
      <c r="B1213" s="1537" t="str">
        <f>VLOOKUP(D1213,'[2]DS CN MOI UP'!$B$11:$C$447,2,0)</f>
        <v>02628</v>
      </c>
      <c r="C1213" s="1538" t="s">
        <v>1405</v>
      </c>
      <c r="D1213" s="1468" t="s">
        <v>321</v>
      </c>
      <c r="E1213" s="1468" t="s">
        <v>15</v>
      </c>
      <c r="F1213" s="1468"/>
      <c r="G1213" s="1540">
        <v>40000</v>
      </c>
      <c r="H1213" s="1540">
        <v>554373.09900000005</v>
      </c>
      <c r="I1213" s="1540">
        <v>524139.33600000001</v>
      </c>
      <c r="J1213" s="1466">
        <f t="shared" si="45"/>
        <v>1118512.4350000001</v>
      </c>
      <c r="K1213" s="1466"/>
      <c r="L1213" s="1466"/>
      <c r="M1213" s="1540">
        <f t="shared" si="55"/>
        <v>1118512.4350000001</v>
      </c>
      <c r="N1213" s="166"/>
    </row>
    <row r="1214" spans="1:14" s="540" customFormat="1" ht="14.25" customHeight="1">
      <c r="A1214" s="1536">
        <v>31</v>
      </c>
      <c r="B1214" s="1537" t="e">
        <f>VLOOKUP(D1214,'[2]DS CN MOI UP'!$B$11:$C$447,2,0)</f>
        <v>#N/A</v>
      </c>
      <c r="C1214" s="1538" t="s">
        <v>1406</v>
      </c>
      <c r="D1214" s="1468" t="s">
        <v>1407</v>
      </c>
      <c r="E1214" s="1468" t="s">
        <v>15</v>
      </c>
      <c r="F1214" s="1468"/>
      <c r="G1214" s="1540">
        <v>40000</v>
      </c>
      <c r="H1214" s="1540">
        <v>554373.09900000005</v>
      </c>
      <c r="I1214" s="1540">
        <v>524139.33600000001</v>
      </c>
      <c r="J1214" s="1466">
        <f t="shared" si="45"/>
        <v>1118512.4350000001</v>
      </c>
      <c r="K1214" s="1466"/>
      <c r="L1214" s="1466"/>
      <c r="M1214" s="1540">
        <f t="shared" si="55"/>
        <v>1118512.4350000001</v>
      </c>
      <c r="N1214" s="166"/>
    </row>
    <row r="1215" spans="1:14" s="540" customFormat="1" ht="14.25" customHeight="1">
      <c r="A1215" s="1536">
        <v>32</v>
      </c>
      <c r="B1215" s="1537" t="e">
        <f>VLOOKUP(D1215,'[2]DS CN MOI UP'!$B$11:$C$447,2,0)</f>
        <v>#N/A</v>
      </c>
      <c r="C1215" s="1538" t="s">
        <v>1408</v>
      </c>
      <c r="D1215" s="1468" t="s">
        <v>1409</v>
      </c>
      <c r="E1215" s="1468" t="s">
        <v>15</v>
      </c>
      <c r="F1215" s="1468"/>
      <c r="G1215" s="1540">
        <v>40000</v>
      </c>
      <c r="H1215" s="1540">
        <v>554373.09900000005</v>
      </c>
      <c r="I1215" s="1540">
        <v>524139.33600000001</v>
      </c>
      <c r="J1215" s="1466">
        <f t="shared" si="45"/>
        <v>1118512.4350000001</v>
      </c>
      <c r="K1215" s="1466"/>
      <c r="L1215" s="1466"/>
      <c r="M1215" s="1540">
        <f t="shared" si="55"/>
        <v>1118512.4350000001</v>
      </c>
      <c r="N1215" s="166"/>
    </row>
    <row r="1216" spans="1:14" s="540" customFormat="1" ht="14.25" customHeight="1">
      <c r="A1216" s="1536">
        <v>33</v>
      </c>
      <c r="B1216" s="1537" t="e">
        <f>VLOOKUP(D1216,'[2]DS CN MOI UP'!$B$11:$C$447,2,0)</f>
        <v>#N/A</v>
      </c>
      <c r="C1216" s="1538" t="s">
        <v>1410</v>
      </c>
      <c r="D1216" s="1468" t="s">
        <v>1411</v>
      </c>
      <c r="E1216" s="1468" t="s">
        <v>15</v>
      </c>
      <c r="F1216" s="1468"/>
      <c r="G1216" s="1540">
        <v>40000</v>
      </c>
      <c r="H1216" s="1540">
        <v>635040.18900000001</v>
      </c>
      <c r="I1216" s="1540">
        <v>524139.33600000001</v>
      </c>
      <c r="J1216" s="1466">
        <f t="shared" si="45"/>
        <v>1199179.5249999999</v>
      </c>
      <c r="K1216" s="1466"/>
      <c r="L1216" s="1466"/>
      <c r="M1216" s="1540">
        <f t="shared" si="55"/>
        <v>1199179.5249999999</v>
      </c>
      <c r="N1216" s="166"/>
    </row>
    <row r="1217" spans="1:14" s="540" customFormat="1" ht="14.25" customHeight="1">
      <c r="A1217" s="1536">
        <v>34</v>
      </c>
      <c r="B1217" s="1537" t="str">
        <f>VLOOKUP(D1217,'[2]DS CN MOI UP'!$B$11:$C$447,2,0)</f>
        <v>02629</v>
      </c>
      <c r="C1217" s="1538" t="s">
        <v>1412</v>
      </c>
      <c r="D1217" s="1468" t="s">
        <v>323</v>
      </c>
      <c r="E1217" s="1468" t="s">
        <v>15</v>
      </c>
      <c r="F1217" s="1468"/>
      <c r="G1217" s="1540">
        <v>40000</v>
      </c>
      <c r="H1217" s="1540">
        <v>544338.9</v>
      </c>
      <c r="I1217" s="1540">
        <v>524139.33600000001</v>
      </c>
      <c r="J1217" s="1466">
        <f t="shared" si="45"/>
        <v>1108478.236</v>
      </c>
      <c r="K1217" s="1466"/>
      <c r="L1217" s="1466"/>
      <c r="M1217" s="1540">
        <f t="shared" si="55"/>
        <v>1108478.236</v>
      </c>
      <c r="N1217" s="166"/>
    </row>
    <row r="1218" spans="1:14" s="540" customFormat="1" ht="14.25" customHeight="1">
      <c r="A1218" s="1536">
        <v>35</v>
      </c>
      <c r="B1218" s="1537" t="e">
        <f>VLOOKUP(D1218,'[2]DS CN MOI UP'!$B$11:$C$447,2,0)</f>
        <v>#N/A</v>
      </c>
      <c r="C1218" s="1538" t="s">
        <v>1413</v>
      </c>
      <c r="D1218" s="1468" t="s">
        <v>1296</v>
      </c>
      <c r="E1218" s="1468" t="s">
        <v>15</v>
      </c>
      <c r="F1218" s="1468"/>
      <c r="G1218" s="1540">
        <v>40000</v>
      </c>
      <c r="H1218" s="1540">
        <v>574572.66299999994</v>
      </c>
      <c r="I1218" s="1540">
        <v>524139.33600000001</v>
      </c>
      <c r="J1218" s="1466">
        <f t="shared" si="45"/>
        <v>1138711.9990000001</v>
      </c>
      <c r="K1218" s="1466"/>
      <c r="L1218" s="1466"/>
      <c r="M1218" s="1540">
        <f t="shared" si="55"/>
        <v>1138711.9990000001</v>
      </c>
      <c r="N1218" s="166"/>
    </row>
    <row r="1219" spans="1:14" s="540" customFormat="1" ht="14.25" customHeight="1">
      <c r="A1219" s="1536">
        <v>36</v>
      </c>
      <c r="B1219" s="1537" t="str">
        <f>VLOOKUP(D1219,'[2]DS CN MOI UP'!$B$11:$C$447,2,0)</f>
        <v>02630</v>
      </c>
      <c r="C1219" s="1538" t="s">
        <v>1414</v>
      </c>
      <c r="D1219" s="1468" t="s">
        <v>324</v>
      </c>
      <c r="E1219" s="1468" t="s">
        <v>15</v>
      </c>
      <c r="F1219" s="1468"/>
      <c r="G1219" s="1540">
        <v>40000</v>
      </c>
      <c r="H1219" s="1540">
        <v>604806.42599999998</v>
      </c>
      <c r="I1219" s="1540">
        <v>524139.33600000001</v>
      </c>
      <c r="J1219" s="1466">
        <f t="shared" si="45"/>
        <v>1168945.7620000001</v>
      </c>
      <c r="K1219" s="1466"/>
      <c r="L1219" s="1466"/>
      <c r="M1219" s="1540">
        <f t="shared" si="55"/>
        <v>1168945.7620000001</v>
      </c>
      <c r="N1219" s="166"/>
    </row>
    <row r="1220" spans="1:14" s="540" customFormat="1" ht="14.25" customHeight="1">
      <c r="A1220" s="1536">
        <v>37</v>
      </c>
      <c r="B1220" s="1537" t="e">
        <f>VLOOKUP(D1220,'[2]DS CN MOI UP'!$B$11:$C$447,2,0)</f>
        <v>#N/A</v>
      </c>
      <c r="C1220" s="1538" t="s">
        <v>1415</v>
      </c>
      <c r="D1220" s="1468" t="s">
        <v>1416</v>
      </c>
      <c r="E1220" s="1468" t="s">
        <v>15</v>
      </c>
      <c r="F1220" s="1468"/>
      <c r="G1220" s="1540">
        <v>40000</v>
      </c>
      <c r="H1220" s="1540">
        <v>584606.86199999996</v>
      </c>
      <c r="I1220" s="1540">
        <v>524139.33600000001</v>
      </c>
      <c r="J1220" s="1466">
        <f t="shared" si="45"/>
        <v>1148746.1980000001</v>
      </c>
      <c r="K1220" s="1466"/>
      <c r="L1220" s="1466"/>
      <c r="M1220" s="1540">
        <f t="shared" si="55"/>
        <v>1148746.1980000001</v>
      </c>
      <c r="N1220" s="166"/>
    </row>
    <row r="1221" spans="1:14" s="540" customFormat="1" ht="14.25" customHeight="1">
      <c r="A1221" s="1536">
        <v>38</v>
      </c>
      <c r="B1221" s="1537" t="str">
        <f>VLOOKUP(D1221,'[2]DS CN MOI UP'!$B$11:$C$447,2,0)</f>
        <v>02631</v>
      </c>
      <c r="C1221" s="1538" t="s">
        <v>1417</v>
      </c>
      <c r="D1221" s="1468" t="s">
        <v>325</v>
      </c>
      <c r="E1221" s="1468" t="s">
        <v>15</v>
      </c>
      <c r="F1221" s="1468"/>
      <c r="G1221" s="1540">
        <v>40000</v>
      </c>
      <c r="H1221" s="1540">
        <v>635040.18900000001</v>
      </c>
      <c r="I1221" s="1540">
        <v>524139.33600000001</v>
      </c>
      <c r="J1221" s="1466">
        <f t="shared" si="45"/>
        <v>1199179.5249999999</v>
      </c>
      <c r="K1221" s="1466"/>
      <c r="L1221" s="1466"/>
      <c r="M1221" s="1540">
        <f t="shared" si="55"/>
        <v>1199179.5249999999</v>
      </c>
      <c r="N1221" s="166"/>
    </row>
    <row r="1222" spans="1:14" s="540" customFormat="1" ht="14.25" customHeight="1">
      <c r="A1222" s="1536">
        <v>39</v>
      </c>
      <c r="B1222" s="1537" t="e">
        <f>VLOOKUP(D1222,'[2]DS CN MOI UP'!$B$11:$C$447,2,0)</f>
        <v>#N/A</v>
      </c>
      <c r="C1222" s="1538" t="s">
        <v>1418</v>
      </c>
      <c r="D1222" s="1468" t="s">
        <v>1419</v>
      </c>
      <c r="E1222" s="1468" t="s">
        <v>15</v>
      </c>
      <c r="F1222" s="1468"/>
      <c r="G1222" s="1540">
        <v>40000</v>
      </c>
      <c r="H1222" s="1540">
        <v>524139.33600000001</v>
      </c>
      <c r="I1222" s="1540">
        <v>524139.33600000001</v>
      </c>
      <c r="J1222" s="1466">
        <f t="shared" si="45"/>
        <v>1088278.672</v>
      </c>
      <c r="K1222" s="1466"/>
      <c r="L1222" s="1466"/>
      <c r="M1222" s="1540">
        <f t="shared" si="55"/>
        <v>1088278.672</v>
      </c>
      <c r="N1222" s="166"/>
    </row>
    <row r="1223" spans="1:14" s="540" customFormat="1" ht="14.25" customHeight="1">
      <c r="A1223" s="1536">
        <v>40</v>
      </c>
      <c r="B1223" s="1537" t="e">
        <f>VLOOKUP(D1223,'[2]DS CN MOI UP'!$B$11:$C$447,2,0)</f>
        <v>#N/A</v>
      </c>
      <c r="C1223" s="1538" t="s">
        <v>1420</v>
      </c>
      <c r="D1223" s="1468" t="s">
        <v>1421</v>
      </c>
      <c r="E1223" s="1468" t="s">
        <v>15</v>
      </c>
      <c r="F1223" s="1468"/>
      <c r="G1223" s="1540">
        <v>40000</v>
      </c>
      <c r="H1223" s="1540">
        <v>635040.18900000001</v>
      </c>
      <c r="I1223" s="1540">
        <v>524139.33600000001</v>
      </c>
      <c r="J1223" s="1466">
        <f t="shared" si="45"/>
        <v>1199179.5249999999</v>
      </c>
      <c r="K1223" s="1466"/>
      <c r="L1223" s="1466"/>
      <c r="M1223" s="1540">
        <f t="shared" si="55"/>
        <v>1199179.5249999999</v>
      </c>
      <c r="N1223" s="166"/>
    </row>
    <row r="1224" spans="1:14" s="540" customFormat="1" ht="14.25" customHeight="1">
      <c r="A1224" s="1536">
        <v>41</v>
      </c>
      <c r="B1224" s="1537" t="e">
        <f>VLOOKUP(D1224,'[2]DS CN MOI UP'!$B$11:$C$447,2,0)</f>
        <v>#N/A</v>
      </c>
      <c r="C1224" s="1538" t="s">
        <v>1422</v>
      </c>
      <c r="D1224" s="1468" t="s">
        <v>1423</v>
      </c>
      <c r="E1224" s="1468" t="s">
        <v>15</v>
      </c>
      <c r="F1224" s="1468"/>
      <c r="G1224" s="1540">
        <v>40000</v>
      </c>
      <c r="H1224" s="1540">
        <v>635040.18900000001</v>
      </c>
      <c r="I1224" s="1540">
        <v>524139.33600000001</v>
      </c>
      <c r="J1224" s="1466">
        <f t="shared" si="45"/>
        <v>1199179.5249999999</v>
      </c>
      <c r="K1224" s="1466"/>
      <c r="L1224" s="1466"/>
      <c r="M1224" s="1540">
        <f t="shared" si="55"/>
        <v>1199179.5249999999</v>
      </c>
      <c r="N1224" s="166"/>
    </row>
    <row r="1225" spans="1:14" s="540" customFormat="1" ht="14.25" customHeight="1">
      <c r="A1225" s="1536">
        <v>42</v>
      </c>
      <c r="B1225" s="1537" t="e">
        <f>VLOOKUP(D1225,'[2]DS CN MOI UP'!$B$11:$C$447,2,0)</f>
        <v>#N/A</v>
      </c>
      <c r="C1225" s="1538" t="s">
        <v>1424</v>
      </c>
      <c r="D1225" s="1468" t="s">
        <v>1425</v>
      </c>
      <c r="E1225" s="1468" t="s">
        <v>15</v>
      </c>
      <c r="F1225" s="1468"/>
      <c r="G1225" s="1540">
        <v>40000</v>
      </c>
      <c r="H1225" s="1540">
        <v>554373.09900000005</v>
      </c>
      <c r="I1225" s="1540">
        <v>524139.33600000001</v>
      </c>
      <c r="J1225" s="1466">
        <f t="shared" si="45"/>
        <v>1118512.4350000001</v>
      </c>
      <c r="K1225" s="1466"/>
      <c r="L1225" s="1466"/>
      <c r="M1225" s="1540">
        <f t="shared" si="55"/>
        <v>1118512.4350000001</v>
      </c>
      <c r="N1225" s="166"/>
    </row>
    <row r="1226" spans="1:14" s="540" customFormat="1" ht="14.25" customHeight="1">
      <c r="A1226" s="1536">
        <v>43</v>
      </c>
      <c r="B1226" s="1537" t="e">
        <f>VLOOKUP(D1226,'[2]DS CN MOI UP'!$B$11:$C$447,2,0)</f>
        <v>#N/A</v>
      </c>
      <c r="C1226" s="1538" t="s">
        <v>1426</v>
      </c>
      <c r="D1226" s="1468" t="s">
        <v>1427</v>
      </c>
      <c r="E1226" s="1468" t="s">
        <v>15</v>
      </c>
      <c r="F1226" s="1468"/>
      <c r="G1226" s="1540">
        <v>60000</v>
      </c>
      <c r="H1226" s="1540">
        <v>554373.09900000005</v>
      </c>
      <c r="I1226" s="1540">
        <v>524139.33600000001</v>
      </c>
      <c r="J1226" s="1466">
        <f t="shared" si="45"/>
        <v>1138512.4350000001</v>
      </c>
      <c r="K1226" s="1466"/>
      <c r="L1226" s="1466"/>
      <c r="M1226" s="1540">
        <f t="shared" si="55"/>
        <v>1138512.4350000001</v>
      </c>
      <c r="N1226" s="166"/>
    </row>
    <row r="1227" spans="1:14" s="540" customFormat="1" ht="14.25" customHeight="1">
      <c r="A1227" s="1536">
        <v>44</v>
      </c>
      <c r="B1227" s="1537" t="e">
        <f>VLOOKUP(D1227,'[2]DS CN MOI UP'!$B$11:$C$447,2,0)</f>
        <v>#N/A</v>
      </c>
      <c r="C1227" s="1538" t="s">
        <v>1428</v>
      </c>
      <c r="D1227" s="1468" t="s">
        <v>1429</v>
      </c>
      <c r="E1227" s="1468" t="s">
        <v>15</v>
      </c>
      <c r="F1227" s="1468"/>
      <c r="G1227" s="1540">
        <v>40000</v>
      </c>
      <c r="H1227" s="1540">
        <v>554373.09900000005</v>
      </c>
      <c r="I1227" s="1540">
        <v>524139.33600000001</v>
      </c>
      <c r="J1227" s="1466">
        <f t="shared" si="45"/>
        <v>1118512.4350000001</v>
      </c>
      <c r="K1227" s="1466"/>
      <c r="L1227" s="1466"/>
      <c r="M1227" s="1540">
        <f t="shared" si="55"/>
        <v>1118512.4350000001</v>
      </c>
      <c r="N1227" s="166"/>
    </row>
    <row r="1228" spans="1:14" s="540" customFormat="1" ht="14.25" customHeight="1">
      <c r="A1228" s="1536">
        <v>45</v>
      </c>
      <c r="B1228" s="1537" t="e">
        <f>VLOOKUP(D1228,'[2]DS CN MOI UP'!$B$11:$C$447,2,0)</f>
        <v>#N/A</v>
      </c>
      <c r="C1228" s="1538" t="s">
        <v>1430</v>
      </c>
      <c r="D1228" s="1468" t="s">
        <v>1431</v>
      </c>
      <c r="E1228" s="1468" t="s">
        <v>15</v>
      </c>
      <c r="F1228" s="1468"/>
      <c r="G1228" s="1540">
        <v>40000</v>
      </c>
      <c r="H1228" s="1540">
        <v>554373.09900000005</v>
      </c>
      <c r="I1228" s="1540">
        <v>524139.33600000001</v>
      </c>
      <c r="J1228" s="1466">
        <f t="shared" si="45"/>
        <v>1118512.4350000001</v>
      </c>
      <c r="K1228" s="1466"/>
      <c r="L1228" s="1466"/>
      <c r="M1228" s="1540">
        <f t="shared" si="55"/>
        <v>1118512.4350000001</v>
      </c>
      <c r="N1228" s="166"/>
    </row>
    <row r="1229" spans="1:14" s="540" customFormat="1" ht="14.25" customHeight="1">
      <c r="A1229" s="1536">
        <v>46</v>
      </c>
      <c r="B1229" s="1537" t="e">
        <f>VLOOKUP(D1229,'[2]DS CN MOI UP'!$B$11:$C$447,2,0)</f>
        <v>#N/A</v>
      </c>
      <c r="C1229" s="1538" t="s">
        <v>1432</v>
      </c>
      <c r="D1229" s="1468" t="s">
        <v>1386</v>
      </c>
      <c r="E1229" s="1468" t="s">
        <v>15</v>
      </c>
      <c r="F1229" s="1468"/>
      <c r="G1229" s="1540">
        <v>40000</v>
      </c>
      <c r="H1229" s="1540">
        <v>554373.09900000005</v>
      </c>
      <c r="I1229" s="1540">
        <v>524139.33600000001</v>
      </c>
      <c r="J1229" s="1466">
        <f t="shared" si="45"/>
        <v>1118512.4350000001</v>
      </c>
      <c r="K1229" s="1466"/>
      <c r="L1229" s="1466"/>
      <c r="M1229" s="1540">
        <f t="shared" si="55"/>
        <v>1118512.4350000001</v>
      </c>
      <c r="N1229" s="166"/>
    </row>
    <row r="1230" spans="1:14" s="540" customFormat="1" ht="14.25" customHeight="1">
      <c r="A1230" s="1536">
        <v>47</v>
      </c>
      <c r="B1230" s="1537" t="e">
        <f>VLOOKUP(D1230,'[2]DS CN MOI UP'!$B$11:$C$447,2,0)</f>
        <v>#N/A</v>
      </c>
      <c r="C1230" s="1538" t="s">
        <v>1433</v>
      </c>
      <c r="D1230" s="1468" t="s">
        <v>1298</v>
      </c>
      <c r="E1230" s="1468" t="s">
        <v>15</v>
      </c>
      <c r="F1230" s="1468"/>
      <c r="G1230" s="1540">
        <v>40000</v>
      </c>
      <c r="H1230" s="1540">
        <v>635040.18900000001</v>
      </c>
      <c r="I1230" s="1540">
        <v>524139.33600000001</v>
      </c>
      <c r="J1230" s="1466">
        <f t="shared" si="45"/>
        <v>1199179.5249999999</v>
      </c>
      <c r="K1230" s="1466"/>
      <c r="L1230" s="1466"/>
      <c r="M1230" s="1540">
        <f t="shared" si="55"/>
        <v>1199179.5249999999</v>
      </c>
      <c r="N1230" s="166"/>
    </row>
    <row r="1231" spans="1:14" s="540" customFormat="1" ht="14.25" customHeight="1">
      <c r="A1231" s="1536">
        <v>48</v>
      </c>
      <c r="B1231" s="1537" t="e">
        <f>VLOOKUP(D1231,'[2]DS CN MOI UP'!$B$11:$C$447,2,0)</f>
        <v>#N/A</v>
      </c>
      <c r="C1231" s="1538" t="s">
        <v>1434</v>
      </c>
      <c r="D1231" s="1468" t="s">
        <v>1435</v>
      </c>
      <c r="E1231" s="1468" t="s">
        <v>15</v>
      </c>
      <c r="F1231" s="1468"/>
      <c r="G1231" s="1540">
        <v>40000</v>
      </c>
      <c r="H1231" s="1540">
        <v>544338.9</v>
      </c>
      <c r="I1231" s="1540">
        <v>524139.33600000001</v>
      </c>
      <c r="J1231" s="1466">
        <f t="shared" si="45"/>
        <v>1108478.236</v>
      </c>
      <c r="K1231" s="1466"/>
      <c r="L1231" s="1466"/>
      <c r="M1231" s="1540">
        <f t="shared" si="55"/>
        <v>1108478.236</v>
      </c>
      <c r="N1231" s="166"/>
    </row>
    <row r="1232" spans="1:14" s="540" customFormat="1" ht="14.25" customHeight="1">
      <c r="A1232" s="1536">
        <v>49</v>
      </c>
      <c r="B1232" s="1537" t="e">
        <f>VLOOKUP(D1232,'[2]DS CN MOI UP'!$B$11:$C$447,2,0)</f>
        <v>#N/A</v>
      </c>
      <c r="C1232" s="1538" t="s">
        <v>1436</v>
      </c>
      <c r="D1232" s="1468" t="s">
        <v>728</v>
      </c>
      <c r="E1232" s="1468" t="s">
        <v>15</v>
      </c>
      <c r="F1232" s="1468"/>
      <c r="G1232" s="1540">
        <v>40000</v>
      </c>
      <c r="H1232" s="1540">
        <v>574572.66299999994</v>
      </c>
      <c r="I1232" s="1540">
        <v>524139.33600000001</v>
      </c>
      <c r="J1232" s="1466">
        <f t="shared" si="45"/>
        <v>1138711.9990000001</v>
      </c>
      <c r="K1232" s="1466"/>
      <c r="L1232" s="1466"/>
      <c r="M1232" s="1540">
        <f t="shared" si="55"/>
        <v>1138711.9990000001</v>
      </c>
      <c r="N1232" s="166"/>
    </row>
    <row r="1233" spans="1:15" s="540" customFormat="1" ht="14.25" customHeight="1">
      <c r="A1233" s="1536">
        <v>50</v>
      </c>
      <c r="B1233" s="1537" t="str">
        <f>VLOOKUP(D1233,'[2]DS CN MOI UP'!$B$11:$C$447,2,0)</f>
        <v>02637</v>
      </c>
      <c r="C1233" s="1538" t="s">
        <v>1437</v>
      </c>
      <c r="D1233" s="1468" t="s">
        <v>287</v>
      </c>
      <c r="E1233" s="1468" t="s">
        <v>15</v>
      </c>
      <c r="F1233" s="1468"/>
      <c r="G1233" s="1540">
        <v>40000</v>
      </c>
      <c r="H1233" s="1540">
        <v>604806.42599999998</v>
      </c>
      <c r="I1233" s="1540">
        <v>524139.33600000001</v>
      </c>
      <c r="J1233" s="1466">
        <f t="shared" si="45"/>
        <v>1168945.7620000001</v>
      </c>
      <c r="K1233" s="1466"/>
      <c r="L1233" s="1466"/>
      <c r="M1233" s="1540">
        <f t="shared" si="55"/>
        <v>1168945.7620000001</v>
      </c>
      <c r="N1233" s="166"/>
    </row>
    <row r="1234" spans="1:15" s="540" customFormat="1" ht="14.25" customHeight="1">
      <c r="A1234" s="1536">
        <v>51</v>
      </c>
      <c r="B1234" s="1537" t="str">
        <f>VLOOKUP(D1234,'[2]DS CN MOI UP'!$B$11:$C$447,2,0)</f>
        <v>03403</v>
      </c>
      <c r="C1234" s="1538" t="s">
        <v>1438</v>
      </c>
      <c r="D1234" s="1468" t="s">
        <v>1439</v>
      </c>
      <c r="E1234" s="1468" t="s">
        <v>15</v>
      </c>
      <c r="F1234" s="1468"/>
      <c r="G1234" s="1540">
        <v>40000</v>
      </c>
      <c r="H1234" s="1540">
        <v>584606.86199999996</v>
      </c>
      <c r="I1234" s="1540">
        <v>524139.33600000001</v>
      </c>
      <c r="J1234" s="1466">
        <f t="shared" si="45"/>
        <v>1148746.1980000001</v>
      </c>
      <c r="K1234" s="1466"/>
      <c r="L1234" s="1466"/>
      <c r="M1234" s="1540">
        <f t="shared" si="55"/>
        <v>1148746.1980000001</v>
      </c>
      <c r="N1234" s="166"/>
    </row>
    <row r="1235" spans="1:15" s="540" customFormat="1" ht="14.25" customHeight="1">
      <c r="A1235" s="1536">
        <v>52</v>
      </c>
      <c r="B1235" s="1537" t="e">
        <f>VLOOKUP(D1235,'[2]DS CN MOI UP'!$B$11:$C$447,2,0)</f>
        <v>#N/A</v>
      </c>
      <c r="C1235" s="1538" t="s">
        <v>1440</v>
      </c>
      <c r="D1235" s="1468" t="s">
        <v>1441</v>
      </c>
      <c r="E1235" s="1468" t="s">
        <v>15</v>
      </c>
      <c r="F1235" s="1468"/>
      <c r="G1235" s="1540">
        <v>40000</v>
      </c>
      <c r="H1235" s="1540">
        <v>635040.18900000001</v>
      </c>
      <c r="I1235" s="1540">
        <v>524139.33600000001</v>
      </c>
      <c r="J1235" s="1466">
        <f t="shared" si="45"/>
        <v>1199179.5249999999</v>
      </c>
      <c r="K1235" s="1466"/>
      <c r="L1235" s="1466"/>
      <c r="M1235" s="1540">
        <f t="shared" si="55"/>
        <v>1199179.5249999999</v>
      </c>
      <c r="N1235" s="166"/>
    </row>
    <row r="1236" spans="1:15" s="540" customFormat="1" ht="14.25" customHeight="1">
      <c r="A1236" s="1536">
        <v>53</v>
      </c>
      <c r="B1236" s="1537" t="e">
        <f>VLOOKUP(D1236,'[2]DS CN MOI UP'!$B$11:$C$447,2,0)</f>
        <v>#N/A</v>
      </c>
      <c r="C1236" s="1538" t="s">
        <v>1442</v>
      </c>
      <c r="D1236" s="1468" t="s">
        <v>1443</v>
      </c>
      <c r="E1236" s="1468" t="s">
        <v>15</v>
      </c>
      <c r="F1236" s="1468"/>
      <c r="G1236" s="1540">
        <v>40000</v>
      </c>
      <c r="H1236" s="1540">
        <v>524139.33600000001</v>
      </c>
      <c r="I1236" s="1540">
        <v>524139.33600000001</v>
      </c>
      <c r="J1236" s="1466">
        <f t="shared" si="45"/>
        <v>1088278.672</v>
      </c>
      <c r="K1236" s="1466"/>
      <c r="L1236" s="1466"/>
      <c r="M1236" s="1540">
        <f t="shared" si="55"/>
        <v>1088278.672</v>
      </c>
      <c r="N1236" s="166"/>
    </row>
    <row r="1237" spans="1:15" s="540" customFormat="1" ht="14.25" customHeight="1">
      <c r="A1237" s="1536">
        <v>54</v>
      </c>
      <c r="B1237" s="1537" t="str">
        <f>VLOOKUP(D1237,'[2]DS CN MOI UP'!$B$11:$C$447,2,0)</f>
        <v>02639</v>
      </c>
      <c r="C1237" s="1538" t="s">
        <v>1444</v>
      </c>
      <c r="D1237" s="1468" t="s">
        <v>289</v>
      </c>
      <c r="E1237" s="1468" t="s">
        <v>15</v>
      </c>
      <c r="F1237" s="1468"/>
      <c r="G1237" s="1540">
        <v>40000</v>
      </c>
      <c r="H1237" s="1540">
        <v>635040.18900000001</v>
      </c>
      <c r="I1237" s="1540">
        <v>524139.33600000001</v>
      </c>
      <c r="J1237" s="1466">
        <f t="shared" si="45"/>
        <v>1199179.5249999999</v>
      </c>
      <c r="K1237" s="1466"/>
      <c r="L1237" s="1466"/>
      <c r="M1237" s="1540">
        <f t="shared" si="55"/>
        <v>1199179.5249999999</v>
      </c>
      <c r="N1237" s="166"/>
    </row>
    <row r="1238" spans="1:15" s="540" customFormat="1" ht="14.25" customHeight="1">
      <c r="A1238" s="1536">
        <v>55</v>
      </c>
      <c r="B1238" s="1537" t="e">
        <f>VLOOKUP(D1238,'[2]DS CN MOI UP'!$B$11:$C$447,2,0)</f>
        <v>#N/A</v>
      </c>
      <c r="C1238" s="1549" t="s">
        <v>1445</v>
      </c>
      <c r="D1238" s="1468" t="s">
        <v>1446</v>
      </c>
      <c r="E1238" s="1468" t="s">
        <v>15</v>
      </c>
      <c r="F1238" s="1468"/>
      <c r="G1238" s="1540">
        <v>40000</v>
      </c>
      <c r="H1238" s="1540">
        <v>635040.18900000001</v>
      </c>
      <c r="I1238" s="1540">
        <v>524139.33600000001</v>
      </c>
      <c r="J1238" s="1466">
        <f t="shared" si="45"/>
        <v>1199179.5249999999</v>
      </c>
      <c r="K1238" s="1466"/>
      <c r="L1238" s="1466"/>
      <c r="M1238" s="1540">
        <f t="shared" si="55"/>
        <v>1199179.5249999999</v>
      </c>
      <c r="N1238" s="166"/>
    </row>
    <row r="1239" spans="1:15" s="540" customFormat="1" ht="14.25" customHeight="1">
      <c r="A1239" s="1536">
        <v>56</v>
      </c>
      <c r="B1239" s="1537" t="str">
        <f>VLOOKUP(D1239,'[2]DS CN MOI UP'!$B$11:$C$447,2,0)</f>
        <v>02640</v>
      </c>
      <c r="C1239" s="1549" t="s">
        <v>1447</v>
      </c>
      <c r="D1239" s="1468" t="s">
        <v>517</v>
      </c>
      <c r="E1239" s="1468" t="s">
        <v>15</v>
      </c>
      <c r="F1239" s="1468"/>
      <c r="G1239" s="1540">
        <v>40000</v>
      </c>
      <c r="H1239" s="1540">
        <v>554373.09900000005</v>
      </c>
      <c r="I1239" s="1540">
        <v>524139.33600000001</v>
      </c>
      <c r="J1239" s="1466">
        <f t="shared" si="45"/>
        <v>1118512.4350000001</v>
      </c>
      <c r="K1239" s="1466"/>
      <c r="L1239" s="1466"/>
      <c r="M1239" s="1540">
        <f t="shared" si="55"/>
        <v>1118512.4350000001</v>
      </c>
      <c r="N1239" s="166"/>
    </row>
    <row r="1240" spans="1:15" s="540" customFormat="1" ht="14.25" customHeight="1">
      <c r="A1240" s="1536">
        <v>57</v>
      </c>
      <c r="B1240" s="1537" t="e">
        <f>VLOOKUP(D1240,'[2]DS CN MOI UP'!$B$11:$C$447,2,0)</f>
        <v>#N/A</v>
      </c>
      <c r="C1240" s="1549" t="s">
        <v>1448</v>
      </c>
      <c r="D1240" s="1468" t="s">
        <v>1449</v>
      </c>
      <c r="E1240" s="1468" t="s">
        <v>15</v>
      </c>
      <c r="F1240" s="1468"/>
      <c r="G1240" s="1540">
        <v>60000</v>
      </c>
      <c r="H1240" s="1540">
        <v>554373.09900000005</v>
      </c>
      <c r="I1240" s="1540">
        <v>524139.33600000001</v>
      </c>
      <c r="J1240" s="1466">
        <f t="shared" si="45"/>
        <v>1138512.4350000001</v>
      </c>
      <c r="K1240" s="1466"/>
      <c r="L1240" s="1466"/>
      <c r="M1240" s="1540">
        <f t="shared" si="55"/>
        <v>1138512.4350000001</v>
      </c>
      <c r="N1240" s="166"/>
    </row>
    <row r="1241" spans="1:15" s="540" customFormat="1" ht="14.25" customHeight="1">
      <c r="A1241" s="1536">
        <v>58</v>
      </c>
      <c r="B1241" s="1537" t="str">
        <f>VLOOKUP(D1241,'[2]DS CN MOI UP'!$B$11:$C$447,2,0)</f>
        <v>02641</v>
      </c>
      <c r="C1241" s="1549" t="s">
        <v>1450</v>
      </c>
      <c r="D1241" s="1468" t="s">
        <v>291</v>
      </c>
      <c r="E1241" s="1468" t="s">
        <v>15</v>
      </c>
      <c r="F1241" s="1468"/>
      <c r="G1241" s="1540">
        <v>40000</v>
      </c>
      <c r="H1241" s="1540">
        <v>554373.09900000005</v>
      </c>
      <c r="I1241" s="1540">
        <v>524139.33600000001</v>
      </c>
      <c r="J1241" s="1466">
        <f t="shared" si="45"/>
        <v>1118512.4350000001</v>
      </c>
      <c r="K1241" s="1466"/>
      <c r="L1241" s="1466"/>
      <c r="M1241" s="1540">
        <f t="shared" si="55"/>
        <v>1118512.4350000001</v>
      </c>
      <c r="N1241" s="166"/>
    </row>
    <row r="1242" spans="1:15" s="540" customFormat="1" ht="14.25" customHeight="1">
      <c r="A1242" s="1536">
        <v>59</v>
      </c>
      <c r="B1242" s="1537" t="e">
        <f>VLOOKUP(D1242,'[2]DS CN MOI UP'!$B$11:$C$447,2,0)</f>
        <v>#N/A</v>
      </c>
      <c r="C1242" s="1549" t="s">
        <v>1451</v>
      </c>
      <c r="D1242" s="1468" t="s">
        <v>1452</v>
      </c>
      <c r="E1242" s="1468" t="s">
        <v>15</v>
      </c>
      <c r="F1242" s="1468"/>
      <c r="G1242" s="1540">
        <v>40000</v>
      </c>
      <c r="H1242" s="1540">
        <v>554373.09900000005</v>
      </c>
      <c r="I1242" s="1540">
        <v>524139.33600000001</v>
      </c>
      <c r="J1242" s="1466">
        <f t="shared" si="45"/>
        <v>1118512.4350000001</v>
      </c>
      <c r="K1242" s="1466"/>
      <c r="L1242" s="1466"/>
      <c r="M1242" s="1540">
        <f t="shared" si="55"/>
        <v>1118512.4350000001</v>
      </c>
      <c r="N1242" s="166"/>
    </row>
    <row r="1243" spans="1:15" s="540" customFormat="1" ht="14.25" customHeight="1">
      <c r="A1243" s="1536">
        <v>60</v>
      </c>
      <c r="B1243" s="1537" t="e">
        <f>VLOOKUP(D1243,'[2]DS CN MOI UP'!$B$11:$C$447,2,0)</f>
        <v>#N/A</v>
      </c>
      <c r="C1243" s="1549" t="s">
        <v>1453</v>
      </c>
      <c r="D1243" s="1550" t="s">
        <v>1454</v>
      </c>
      <c r="E1243" s="1468" t="s">
        <v>15</v>
      </c>
      <c r="F1243" s="1468"/>
      <c r="G1243" s="1540">
        <v>40000</v>
      </c>
      <c r="H1243" s="1540">
        <v>554373.09900000005</v>
      </c>
      <c r="I1243" s="1540">
        <v>524139.33600000001</v>
      </c>
      <c r="J1243" s="1466">
        <f t="shared" si="45"/>
        <v>1118512.4350000001</v>
      </c>
      <c r="K1243" s="1466"/>
      <c r="L1243" s="1466"/>
      <c r="M1243" s="1540">
        <f t="shared" si="55"/>
        <v>1118512.4350000001</v>
      </c>
      <c r="N1243" s="166"/>
    </row>
    <row r="1244" spans="1:15" s="540" customFormat="1" ht="14.25" customHeight="1">
      <c r="A1244" s="1536">
        <v>61</v>
      </c>
      <c r="B1244" s="1537" t="str">
        <f>VLOOKUP(D1244,'[2]DS CN MOI UP'!$B$11:$C$447,2,0)</f>
        <v>02525</v>
      </c>
      <c r="C1244" s="1549" t="s">
        <v>1455</v>
      </c>
      <c r="D1244" s="1471" t="s">
        <v>180</v>
      </c>
      <c r="E1244" s="1468" t="s">
        <v>15</v>
      </c>
      <c r="F1244" s="1468"/>
      <c r="G1244" s="1540">
        <v>40000</v>
      </c>
      <c r="H1244" s="1540">
        <v>635040.18900000001</v>
      </c>
      <c r="I1244" s="1540">
        <v>524139.33600000001</v>
      </c>
      <c r="J1244" s="1466">
        <f t="shared" si="45"/>
        <v>1199179.5249999999</v>
      </c>
      <c r="K1244" s="1466"/>
      <c r="L1244" s="1466"/>
      <c r="M1244" s="1540">
        <f t="shared" si="55"/>
        <v>1199179.5249999999</v>
      </c>
      <c r="N1244" s="166"/>
      <c r="O1244" s="559"/>
    </row>
    <row r="1245" spans="1:15" s="540" customFormat="1" ht="14.25" customHeight="1">
      <c r="A1245" s="1536">
        <v>62</v>
      </c>
      <c r="B1245" s="1537" t="str">
        <f>VLOOKUP(D1245,'[2]DS CN MOI UP'!$B$11:$C$447,2,0)</f>
        <v>02643</v>
      </c>
      <c r="C1245" s="1549" t="s">
        <v>1456</v>
      </c>
      <c r="D1245" s="1471" t="s">
        <v>293</v>
      </c>
      <c r="E1245" s="1468" t="s">
        <v>15</v>
      </c>
      <c r="F1245" s="1468"/>
      <c r="G1245" s="1540">
        <v>40000</v>
      </c>
      <c r="H1245" s="1540">
        <v>544338.9</v>
      </c>
      <c r="I1245" s="1540">
        <v>524139.33600000001</v>
      </c>
      <c r="J1245" s="1466">
        <f t="shared" si="45"/>
        <v>1108478.236</v>
      </c>
      <c r="K1245" s="1466"/>
      <c r="L1245" s="1466"/>
      <c r="M1245" s="1540">
        <f t="shared" si="55"/>
        <v>1108478.236</v>
      </c>
      <c r="N1245" s="166"/>
    </row>
    <row r="1246" spans="1:15" s="540" customFormat="1" ht="14.25" customHeight="1">
      <c r="A1246" s="1536">
        <v>63</v>
      </c>
      <c r="B1246" s="1537" t="e">
        <f>VLOOKUP(D1246,'[2]DS CN MOI UP'!$B$11:$C$447,2,0)</f>
        <v>#N/A</v>
      </c>
      <c r="C1246" s="1549" t="s">
        <v>1456</v>
      </c>
      <c r="D1246" s="1471" t="s">
        <v>1107</v>
      </c>
      <c r="E1246" s="1468" t="s">
        <v>15</v>
      </c>
      <c r="F1246" s="1468"/>
      <c r="G1246" s="1540">
        <v>40000</v>
      </c>
      <c r="H1246" s="1540">
        <v>574572.66299999994</v>
      </c>
      <c r="I1246" s="1540">
        <v>524139.33600000001</v>
      </c>
      <c r="J1246" s="1466">
        <f t="shared" si="45"/>
        <v>1138711.9990000001</v>
      </c>
      <c r="K1246" s="1466"/>
      <c r="L1246" s="1466"/>
      <c r="M1246" s="1540">
        <f t="shared" si="55"/>
        <v>1138711.9990000001</v>
      </c>
      <c r="N1246" s="166"/>
    </row>
    <row r="1247" spans="1:15" s="540" customFormat="1" ht="14.25" customHeight="1">
      <c r="A1247" s="1536">
        <v>64</v>
      </c>
      <c r="B1247" s="1537" t="str">
        <f>VLOOKUP(D1247,'[2]DS CN MOI UP'!$B$11:$C$447,2,0)</f>
        <v>02473</v>
      </c>
      <c r="C1247" s="1549" t="s">
        <v>1456</v>
      </c>
      <c r="D1247" s="1471" t="s">
        <v>40</v>
      </c>
      <c r="E1247" s="1468" t="s">
        <v>15</v>
      </c>
      <c r="F1247" s="1468"/>
      <c r="G1247" s="1540">
        <v>40000</v>
      </c>
      <c r="H1247" s="1540">
        <v>604806.42599999998</v>
      </c>
      <c r="I1247" s="1540">
        <v>524139.33600000001</v>
      </c>
      <c r="J1247" s="1466">
        <f t="shared" si="45"/>
        <v>1168945.7620000001</v>
      </c>
      <c r="K1247" s="1466"/>
      <c r="L1247" s="1466"/>
      <c r="M1247" s="1540">
        <f t="shared" si="55"/>
        <v>1168945.7620000001</v>
      </c>
      <c r="N1247" s="166"/>
    </row>
    <row r="1248" spans="1:15" s="540" customFormat="1" ht="14.25" customHeight="1">
      <c r="A1248" s="1536">
        <v>65</v>
      </c>
      <c r="B1248" s="1537" t="e">
        <f>VLOOKUP(D1248,'[2]DS CN MOI UP'!$B$11:$C$447,2,0)</f>
        <v>#N/A</v>
      </c>
      <c r="C1248" s="1549" t="s">
        <v>1456</v>
      </c>
      <c r="D1248" s="1471" t="s">
        <v>1108</v>
      </c>
      <c r="E1248" s="1468" t="s">
        <v>15</v>
      </c>
      <c r="F1248" s="1468"/>
      <c r="G1248" s="1540">
        <v>40000</v>
      </c>
      <c r="H1248" s="1540">
        <v>584606.86199999996</v>
      </c>
      <c r="I1248" s="1540">
        <v>524139.33600000001</v>
      </c>
      <c r="J1248" s="1466">
        <f t="shared" si="45"/>
        <v>1148746.1980000001</v>
      </c>
      <c r="K1248" s="1466"/>
      <c r="L1248" s="1466"/>
      <c r="M1248" s="1540">
        <f t="shared" si="55"/>
        <v>1148746.1980000001</v>
      </c>
      <c r="N1248" s="166"/>
    </row>
    <row r="1249" spans="1:14" s="540" customFormat="1" ht="14.25" customHeight="1">
      <c r="A1249" s="1536">
        <v>66</v>
      </c>
      <c r="B1249" s="1537" t="e">
        <f>VLOOKUP(D1249,'[2]DS CN MOI UP'!$B$11:$C$447,2,0)</f>
        <v>#N/A</v>
      </c>
      <c r="C1249" s="1549" t="s">
        <v>1456</v>
      </c>
      <c r="D1249" s="1471" t="s">
        <v>1109</v>
      </c>
      <c r="E1249" s="1468" t="s">
        <v>15</v>
      </c>
      <c r="F1249" s="1468"/>
      <c r="G1249" s="1540">
        <v>40000</v>
      </c>
      <c r="H1249" s="1540">
        <v>635040.18900000001</v>
      </c>
      <c r="I1249" s="1540">
        <v>524139.33600000001</v>
      </c>
      <c r="J1249" s="1466">
        <f t="shared" si="45"/>
        <v>1199179.5249999999</v>
      </c>
      <c r="K1249" s="1466"/>
      <c r="L1249" s="1466"/>
      <c r="M1249" s="1540">
        <f t="shared" si="55"/>
        <v>1199179.5249999999</v>
      </c>
      <c r="N1249" s="166"/>
    </row>
    <row r="1250" spans="1:14" s="540" customFormat="1" ht="14.25" customHeight="1">
      <c r="A1250" s="1536">
        <v>67</v>
      </c>
      <c r="B1250" s="1537" t="str">
        <f>VLOOKUP(D1250,'[2]DS CN MOI UP'!$B$11:$C$447,2,0)</f>
        <v>02474</v>
      </c>
      <c r="C1250" s="1549" t="s">
        <v>1456</v>
      </c>
      <c r="D1250" s="1471" t="s">
        <v>57</v>
      </c>
      <c r="E1250" s="1468" t="s">
        <v>15</v>
      </c>
      <c r="F1250" s="1468"/>
      <c r="G1250" s="1540">
        <v>40000</v>
      </c>
      <c r="H1250" s="1540">
        <v>524139.33600000001</v>
      </c>
      <c r="I1250" s="1540">
        <v>524139.33600000001</v>
      </c>
      <c r="J1250" s="1466">
        <f t="shared" si="45"/>
        <v>1088278.672</v>
      </c>
      <c r="K1250" s="1466"/>
      <c r="L1250" s="1466"/>
      <c r="M1250" s="1540">
        <f t="shared" si="55"/>
        <v>1088278.672</v>
      </c>
      <c r="N1250" s="166"/>
    </row>
    <row r="1251" spans="1:14" s="540" customFormat="1" ht="14.25" customHeight="1">
      <c r="A1251" s="1536">
        <v>68</v>
      </c>
      <c r="B1251" s="1537" t="e">
        <f>VLOOKUP(D1251,'[2]DS CN MOI UP'!$B$11:$C$447,2,0)</f>
        <v>#N/A</v>
      </c>
      <c r="C1251" s="1549" t="s">
        <v>1456</v>
      </c>
      <c r="D1251" s="1471" t="s">
        <v>1110</v>
      </c>
      <c r="E1251" s="1468" t="s">
        <v>15</v>
      </c>
      <c r="F1251" s="1468"/>
      <c r="G1251" s="1540">
        <v>40000</v>
      </c>
      <c r="H1251" s="1540">
        <v>635040.18900000001</v>
      </c>
      <c r="I1251" s="1540">
        <v>524139.33600000001</v>
      </c>
      <c r="J1251" s="1466">
        <f t="shared" si="45"/>
        <v>1199179.5249999999</v>
      </c>
      <c r="K1251" s="1466"/>
      <c r="L1251" s="1466"/>
      <c r="M1251" s="1540">
        <f t="shared" si="55"/>
        <v>1199179.5249999999</v>
      </c>
      <c r="N1251" s="166"/>
    </row>
    <row r="1252" spans="1:14" s="540" customFormat="1" ht="14.25" customHeight="1">
      <c r="A1252" s="1536">
        <v>69</v>
      </c>
      <c r="B1252" s="1537" t="e">
        <f>VLOOKUP(D1252,'[2]DS CN MOI UP'!$B$11:$C$447,2,0)</f>
        <v>#N/A</v>
      </c>
      <c r="C1252" s="1549" t="s">
        <v>1456</v>
      </c>
      <c r="D1252" s="1471" t="s">
        <v>1113</v>
      </c>
      <c r="E1252" s="1468" t="s">
        <v>15</v>
      </c>
      <c r="F1252" s="1468"/>
      <c r="G1252" s="1540">
        <v>40000</v>
      </c>
      <c r="H1252" s="1540">
        <v>635040.18900000001</v>
      </c>
      <c r="I1252" s="1540">
        <v>524139.33600000001</v>
      </c>
      <c r="J1252" s="1466">
        <f t="shared" si="45"/>
        <v>1199179.5249999999</v>
      </c>
      <c r="K1252" s="1466"/>
      <c r="L1252" s="1466"/>
      <c r="M1252" s="1540">
        <f t="shared" si="55"/>
        <v>1199179.5249999999</v>
      </c>
      <c r="N1252" s="166"/>
    </row>
    <row r="1253" spans="1:14" s="540" customFormat="1" ht="14.25" customHeight="1">
      <c r="A1253" s="1536">
        <v>70</v>
      </c>
      <c r="B1253" s="1537" t="str">
        <f>VLOOKUP(D1253,'[2]DS CN MOI UP'!$B$11:$C$447,2,0)</f>
        <v>02475</v>
      </c>
      <c r="C1253" s="1549" t="s">
        <v>1456</v>
      </c>
      <c r="D1253" s="1471" t="s">
        <v>39</v>
      </c>
      <c r="E1253" s="1468" t="s">
        <v>15</v>
      </c>
      <c r="F1253" s="1468"/>
      <c r="G1253" s="1540">
        <v>40000</v>
      </c>
      <c r="H1253" s="1540">
        <v>554373.09900000005</v>
      </c>
      <c r="I1253" s="1540">
        <v>524139.33600000001</v>
      </c>
      <c r="J1253" s="1466">
        <f t="shared" si="45"/>
        <v>1118512.4350000001</v>
      </c>
      <c r="K1253" s="1466"/>
      <c r="L1253" s="1466"/>
      <c r="M1253" s="1540">
        <f t="shared" si="55"/>
        <v>1118512.4350000001</v>
      </c>
      <c r="N1253" s="166"/>
    </row>
    <row r="1254" spans="1:14" s="540" customFormat="1" ht="14.25" customHeight="1">
      <c r="A1254" s="1536">
        <v>71</v>
      </c>
      <c r="B1254" s="1537" t="e">
        <f>VLOOKUP(D1254,'[2]DS CN MOI UP'!$B$11:$C$447,2,0)</f>
        <v>#N/A</v>
      </c>
      <c r="C1254" s="1549" t="s">
        <v>1456</v>
      </c>
      <c r="D1254" s="1471" t="s">
        <v>1111</v>
      </c>
      <c r="E1254" s="1468" t="s">
        <v>15</v>
      </c>
      <c r="F1254" s="1468"/>
      <c r="G1254" s="1540">
        <v>60000</v>
      </c>
      <c r="H1254" s="1540">
        <v>554373.09900000005</v>
      </c>
      <c r="I1254" s="1540">
        <v>524139.33600000001</v>
      </c>
      <c r="J1254" s="1466">
        <f t="shared" si="45"/>
        <v>1138512.4350000001</v>
      </c>
      <c r="K1254" s="1466"/>
      <c r="L1254" s="1466"/>
      <c r="M1254" s="1540">
        <f t="shared" si="55"/>
        <v>1138512.4350000001</v>
      </c>
      <c r="N1254" s="166"/>
    </row>
    <row r="1255" spans="1:14" s="540" customFormat="1" ht="14.25" customHeight="1">
      <c r="A1255" s="1536">
        <v>72</v>
      </c>
      <c r="B1255" s="1537" t="e">
        <f>VLOOKUP(D1255,'[2]DS CN MOI UP'!$B$11:$C$447,2,0)</f>
        <v>#N/A</v>
      </c>
      <c r="C1255" s="1549" t="s">
        <v>1456</v>
      </c>
      <c r="D1255" s="1471" t="s">
        <v>1457</v>
      </c>
      <c r="E1255" s="1468" t="s">
        <v>15</v>
      </c>
      <c r="F1255" s="1468"/>
      <c r="G1255" s="1540">
        <v>40000</v>
      </c>
      <c r="H1255" s="1540">
        <v>554373.09900000005</v>
      </c>
      <c r="I1255" s="1540">
        <v>524139.33600000001</v>
      </c>
      <c r="J1255" s="1466">
        <f t="shared" si="45"/>
        <v>1118512.4350000001</v>
      </c>
      <c r="K1255" s="1466"/>
      <c r="L1255" s="1466"/>
      <c r="M1255" s="1540">
        <f t="shared" si="55"/>
        <v>1118512.4350000001</v>
      </c>
      <c r="N1255" s="166"/>
    </row>
    <row r="1256" spans="1:14" s="540" customFormat="1" ht="14.25" customHeight="1">
      <c r="A1256" s="1536">
        <v>73</v>
      </c>
      <c r="B1256" s="1537" t="str">
        <f>VLOOKUP(D1256,'[2]DS CN MOI UP'!$B$11:$C$447,2,0)</f>
        <v>02476</v>
      </c>
      <c r="C1256" s="1549" t="s">
        <v>1456</v>
      </c>
      <c r="D1256" s="1471" t="s">
        <v>97</v>
      </c>
      <c r="E1256" s="1468" t="s">
        <v>15</v>
      </c>
      <c r="F1256" s="1468"/>
      <c r="G1256" s="1540">
        <v>40000</v>
      </c>
      <c r="H1256" s="1540">
        <v>554373.09900000005</v>
      </c>
      <c r="I1256" s="1540">
        <v>524139.33600000001</v>
      </c>
      <c r="J1256" s="1466">
        <f t="shared" si="45"/>
        <v>1118512.4350000001</v>
      </c>
      <c r="K1256" s="1466"/>
      <c r="L1256" s="1466"/>
      <c r="M1256" s="1540">
        <f t="shared" si="55"/>
        <v>1118512.4350000001</v>
      </c>
      <c r="N1256" s="166"/>
    </row>
    <row r="1257" spans="1:14" s="540" customFormat="1" ht="14.25" customHeight="1">
      <c r="A1257" s="1536">
        <v>74</v>
      </c>
      <c r="B1257" s="1537" t="e">
        <f>VLOOKUP(D1257,'[2]DS CN MOI UP'!$B$11:$C$447,2,0)</f>
        <v>#N/A</v>
      </c>
      <c r="C1257" s="1549" t="s">
        <v>1456</v>
      </c>
      <c r="D1257" s="1471" t="s">
        <v>1112</v>
      </c>
      <c r="E1257" s="1468" t="s">
        <v>15</v>
      </c>
      <c r="F1257" s="1468"/>
      <c r="G1257" s="1540">
        <v>40000</v>
      </c>
      <c r="H1257" s="1540">
        <v>554373.09900000005</v>
      </c>
      <c r="I1257" s="1540">
        <v>524139.33600000001</v>
      </c>
      <c r="J1257" s="1466">
        <f t="shared" si="45"/>
        <v>1118512.4350000001</v>
      </c>
      <c r="K1257" s="1466"/>
      <c r="L1257" s="1466"/>
      <c r="M1257" s="1540">
        <f t="shared" si="55"/>
        <v>1118512.4350000001</v>
      </c>
      <c r="N1257" s="166"/>
    </row>
    <row r="1258" spans="1:14" s="540" customFormat="1" ht="14.25" customHeight="1">
      <c r="A1258" s="1536">
        <v>75</v>
      </c>
      <c r="B1258" s="1537" t="e">
        <f>VLOOKUP(D1258,'[2]DS CN MOI UP'!$B$11:$C$447,2,0)</f>
        <v>#N/A</v>
      </c>
      <c r="C1258" s="1549" t="s">
        <v>1456</v>
      </c>
      <c r="D1258" s="1471" t="s">
        <v>1113</v>
      </c>
      <c r="E1258" s="1468" t="s">
        <v>15</v>
      </c>
      <c r="F1258" s="1468"/>
      <c r="G1258" s="1540">
        <v>40000</v>
      </c>
      <c r="H1258" s="1540">
        <v>635040.18900000001</v>
      </c>
      <c r="I1258" s="1540">
        <v>524139.33600000001</v>
      </c>
      <c r="J1258" s="1466">
        <f t="shared" si="45"/>
        <v>1199179.5249999999</v>
      </c>
      <c r="K1258" s="1466"/>
      <c r="L1258" s="1466"/>
      <c r="M1258" s="1540">
        <f t="shared" si="55"/>
        <v>1199179.5249999999</v>
      </c>
      <c r="N1258" s="166"/>
    </row>
    <row r="1259" spans="1:14" s="540" customFormat="1" ht="14.25" customHeight="1">
      <c r="A1259" s="1536">
        <v>76</v>
      </c>
      <c r="B1259" s="1537" t="str">
        <f>VLOOKUP(D1259,'[2]DS CN MOI UP'!$B$11:$C$447,2,0)</f>
        <v>02477</v>
      </c>
      <c r="C1259" s="1549" t="s">
        <v>1456</v>
      </c>
      <c r="D1259" s="1471" t="s">
        <v>119</v>
      </c>
      <c r="E1259" s="1468" t="s">
        <v>15</v>
      </c>
      <c r="F1259" s="1468"/>
      <c r="G1259" s="1540">
        <v>40000</v>
      </c>
      <c r="H1259" s="1540">
        <v>544338.9</v>
      </c>
      <c r="I1259" s="1540">
        <v>524139.33600000001</v>
      </c>
      <c r="J1259" s="1466">
        <f t="shared" si="45"/>
        <v>1108478.236</v>
      </c>
      <c r="K1259" s="1466"/>
      <c r="L1259" s="1466"/>
      <c r="M1259" s="1540">
        <f t="shared" si="55"/>
        <v>1108478.236</v>
      </c>
      <c r="N1259" s="166"/>
    </row>
    <row r="1260" spans="1:14" s="540" customFormat="1" ht="14.25" customHeight="1">
      <c r="A1260" s="1536">
        <v>77</v>
      </c>
      <c r="B1260" s="1537" t="e">
        <f>VLOOKUP(D1260,'[2]DS CN MOI UP'!$B$11:$C$447,2,0)</f>
        <v>#N/A</v>
      </c>
      <c r="C1260" s="1549" t="s">
        <v>1456</v>
      </c>
      <c r="D1260" s="1471" t="s">
        <v>1114</v>
      </c>
      <c r="E1260" s="1468" t="s">
        <v>15</v>
      </c>
      <c r="F1260" s="1468"/>
      <c r="G1260" s="1540">
        <v>40000</v>
      </c>
      <c r="H1260" s="1540">
        <v>574572.66299999994</v>
      </c>
      <c r="I1260" s="1540">
        <v>524139.33600000001</v>
      </c>
      <c r="J1260" s="1466">
        <f t="shared" si="45"/>
        <v>1138711.9990000001</v>
      </c>
      <c r="K1260" s="1466"/>
      <c r="L1260" s="1466"/>
      <c r="M1260" s="1540">
        <f t="shared" si="55"/>
        <v>1138711.9990000001</v>
      </c>
      <c r="N1260" s="166"/>
    </row>
    <row r="1261" spans="1:14" s="540" customFormat="1" ht="14.25" customHeight="1">
      <c r="A1261" s="1536">
        <v>78</v>
      </c>
      <c r="B1261" s="1537" t="e">
        <f>VLOOKUP(D1261,'[2]DS CN MOI UP'!$B$11:$C$447,2,0)</f>
        <v>#N/A</v>
      </c>
      <c r="C1261" s="1549" t="s">
        <v>1456</v>
      </c>
      <c r="D1261" s="1471" t="s">
        <v>1115</v>
      </c>
      <c r="E1261" s="1468" t="s">
        <v>15</v>
      </c>
      <c r="F1261" s="1468"/>
      <c r="G1261" s="1540">
        <v>40000</v>
      </c>
      <c r="H1261" s="1540">
        <v>604806.42599999998</v>
      </c>
      <c r="I1261" s="1540">
        <v>524139.33600000001</v>
      </c>
      <c r="J1261" s="1466">
        <f t="shared" si="45"/>
        <v>1168945.7620000001</v>
      </c>
      <c r="K1261" s="1466"/>
      <c r="L1261" s="1466"/>
      <c r="M1261" s="1540">
        <f t="shared" si="55"/>
        <v>1168945.7620000001</v>
      </c>
      <c r="N1261" s="166"/>
    </row>
    <row r="1262" spans="1:14" s="540" customFormat="1" ht="14.25" customHeight="1">
      <c r="A1262" s="1536">
        <v>79</v>
      </c>
      <c r="B1262" s="1537" t="str">
        <f>VLOOKUP(D1262,'[2]DS CN MOI UP'!$B$11:$C$447,2,0)</f>
        <v>02478</v>
      </c>
      <c r="C1262" s="1549" t="s">
        <v>1456</v>
      </c>
      <c r="D1262" s="1471" t="s">
        <v>79</v>
      </c>
      <c r="E1262" s="1468" t="s">
        <v>15</v>
      </c>
      <c r="F1262" s="1468"/>
      <c r="G1262" s="1540">
        <v>40000</v>
      </c>
      <c r="H1262" s="1540">
        <v>584606.86199999996</v>
      </c>
      <c r="I1262" s="1540">
        <v>524139.33600000001</v>
      </c>
      <c r="J1262" s="1466">
        <f t="shared" si="45"/>
        <v>1148746.1980000001</v>
      </c>
      <c r="K1262" s="1466"/>
      <c r="L1262" s="1466"/>
      <c r="M1262" s="1540">
        <f t="shared" si="55"/>
        <v>1148746.1980000001</v>
      </c>
      <c r="N1262" s="166"/>
    </row>
    <row r="1263" spans="1:14" s="540" customFormat="1" ht="14.25" customHeight="1">
      <c r="A1263" s="1536">
        <v>80</v>
      </c>
      <c r="B1263" s="1537" t="e">
        <f>VLOOKUP(D1263,'[2]DS CN MOI UP'!$B$11:$C$447,2,0)</f>
        <v>#N/A</v>
      </c>
      <c r="C1263" s="1549" t="s">
        <v>1456</v>
      </c>
      <c r="D1263" s="1471" t="s">
        <v>1116</v>
      </c>
      <c r="E1263" s="1468" t="s">
        <v>15</v>
      </c>
      <c r="F1263" s="1468"/>
      <c r="G1263" s="1540">
        <v>40000</v>
      </c>
      <c r="H1263" s="1540">
        <v>635040.18900000001</v>
      </c>
      <c r="I1263" s="1540">
        <v>524139.33600000001</v>
      </c>
      <c r="J1263" s="1466">
        <f t="shared" si="45"/>
        <v>1199179.5249999999</v>
      </c>
      <c r="K1263" s="1466"/>
      <c r="L1263" s="1466"/>
      <c r="M1263" s="1540">
        <f t="shared" si="55"/>
        <v>1199179.5249999999</v>
      </c>
      <c r="N1263" s="166"/>
    </row>
    <row r="1264" spans="1:14" s="540" customFormat="1" ht="14.25" customHeight="1">
      <c r="A1264" s="1536">
        <v>81</v>
      </c>
      <c r="B1264" s="1537" t="str">
        <f>VLOOKUP(D1264,'[2]DS CN MOI UP'!$B$11:$C$447,2,0)</f>
        <v>02479</v>
      </c>
      <c r="C1264" s="1549" t="s">
        <v>1456</v>
      </c>
      <c r="D1264" s="1471" t="s">
        <v>66</v>
      </c>
      <c r="E1264" s="1468" t="s">
        <v>15</v>
      </c>
      <c r="F1264" s="1468"/>
      <c r="G1264" s="1540">
        <v>40000</v>
      </c>
      <c r="H1264" s="1540">
        <v>524139.33600000001</v>
      </c>
      <c r="I1264" s="1540">
        <v>524139.33600000001</v>
      </c>
      <c r="J1264" s="1466">
        <f t="shared" si="45"/>
        <v>1088278.672</v>
      </c>
      <c r="K1264" s="1466"/>
      <c r="L1264" s="1466"/>
      <c r="M1264" s="1540">
        <f t="shared" si="55"/>
        <v>1088278.672</v>
      </c>
      <c r="N1264" s="166"/>
    </row>
    <row r="1265" spans="1:14" s="540" customFormat="1" ht="14.25" customHeight="1">
      <c r="A1265" s="1536">
        <v>82</v>
      </c>
      <c r="B1265" s="1537" t="e">
        <f>VLOOKUP(D1265,'[2]DS CN MOI UP'!$B$11:$C$447,2,0)</f>
        <v>#N/A</v>
      </c>
      <c r="C1265" s="1549" t="s">
        <v>1456</v>
      </c>
      <c r="D1265" s="1471" t="s">
        <v>1117</v>
      </c>
      <c r="E1265" s="1468" t="s">
        <v>15</v>
      </c>
      <c r="F1265" s="1468"/>
      <c r="G1265" s="1540">
        <v>40000</v>
      </c>
      <c r="H1265" s="1540">
        <v>635040.18900000001</v>
      </c>
      <c r="I1265" s="1540">
        <v>524139.33600000001</v>
      </c>
      <c r="J1265" s="1466">
        <f t="shared" si="45"/>
        <v>1199179.5249999999</v>
      </c>
      <c r="K1265" s="1466"/>
      <c r="L1265" s="1466"/>
      <c r="M1265" s="1540">
        <f t="shared" si="55"/>
        <v>1199179.5249999999</v>
      </c>
      <c r="N1265" s="166"/>
    </row>
    <row r="1266" spans="1:14" s="540" customFormat="1" ht="14.25" customHeight="1">
      <c r="A1266" s="1536">
        <v>83</v>
      </c>
      <c r="B1266" s="1537" t="str">
        <f>VLOOKUP(D1266,'[2]DS CN MOI UP'!$B$11:$C$447,2,0)</f>
        <v>02480</v>
      </c>
      <c r="C1266" s="1549" t="s">
        <v>1456</v>
      </c>
      <c r="D1266" s="1471" t="s">
        <v>493</v>
      </c>
      <c r="E1266" s="1468" t="s">
        <v>15</v>
      </c>
      <c r="F1266" s="1468"/>
      <c r="G1266" s="1540">
        <v>40000</v>
      </c>
      <c r="H1266" s="1540">
        <v>635040.18900000001</v>
      </c>
      <c r="I1266" s="1540">
        <v>524139.33600000001</v>
      </c>
      <c r="J1266" s="1466">
        <f t="shared" si="45"/>
        <v>1199179.5249999999</v>
      </c>
      <c r="K1266" s="1466"/>
      <c r="L1266" s="1466"/>
      <c r="M1266" s="1540">
        <f t="shared" si="55"/>
        <v>1199179.5249999999</v>
      </c>
      <c r="N1266" s="166"/>
    </row>
    <row r="1267" spans="1:14" s="540" customFormat="1" ht="14.25" customHeight="1">
      <c r="A1267" s="1536">
        <v>84</v>
      </c>
      <c r="B1267" s="1537" t="e">
        <f>VLOOKUP(D1267,'[2]DS CN MOI UP'!$B$11:$C$447,2,0)</f>
        <v>#N/A</v>
      </c>
      <c r="C1267" s="1549" t="s">
        <v>1456</v>
      </c>
      <c r="D1267" s="1471" t="s">
        <v>1118</v>
      </c>
      <c r="E1267" s="1468" t="s">
        <v>15</v>
      </c>
      <c r="F1267" s="1468"/>
      <c r="G1267" s="1540">
        <v>40000</v>
      </c>
      <c r="H1267" s="1540">
        <v>554373.09900000005</v>
      </c>
      <c r="I1267" s="1540">
        <v>524139.33600000001</v>
      </c>
      <c r="J1267" s="1466">
        <f t="shared" si="45"/>
        <v>1118512.4350000001</v>
      </c>
      <c r="K1267" s="1466"/>
      <c r="L1267" s="1466"/>
      <c r="M1267" s="1540">
        <f t="shared" si="55"/>
        <v>1118512.4350000001</v>
      </c>
      <c r="N1267" s="166"/>
    </row>
    <row r="1268" spans="1:14" s="540" customFormat="1" ht="14.25" customHeight="1">
      <c r="A1268" s="1536">
        <v>85</v>
      </c>
      <c r="B1268" s="1537" t="str">
        <f>VLOOKUP(D1268,'[2]DS CN MOI UP'!$B$11:$C$447,2,0)</f>
        <v>02481</v>
      </c>
      <c r="C1268" s="1538" t="s">
        <v>1374</v>
      </c>
      <c r="D1268" s="1468" t="s">
        <v>86</v>
      </c>
      <c r="E1268" s="1468" t="s">
        <v>15</v>
      </c>
      <c r="F1268" s="1468"/>
      <c r="G1268" s="1540">
        <v>60000</v>
      </c>
      <c r="H1268" s="1540">
        <v>554373.09900000005</v>
      </c>
      <c r="I1268" s="1540">
        <v>524139.33600000001</v>
      </c>
      <c r="J1268" s="1466">
        <f t="shared" si="45"/>
        <v>1138512.4350000001</v>
      </c>
      <c r="K1268" s="1466"/>
      <c r="L1268" s="1466"/>
      <c r="M1268" s="1540">
        <f t="shared" si="55"/>
        <v>1138512.4350000001</v>
      </c>
      <c r="N1268" s="166"/>
    </row>
    <row r="1269" spans="1:14" s="540" customFormat="1" ht="14.25" customHeight="1">
      <c r="A1269" s="1536">
        <v>86</v>
      </c>
      <c r="B1269" s="1537" t="e">
        <f>VLOOKUP(D1269,'[2]DS CN MOI UP'!$B$11:$C$447,2,0)</f>
        <v>#N/A</v>
      </c>
      <c r="C1269" s="1538" t="s">
        <v>1376</v>
      </c>
      <c r="D1269" s="1468" t="s">
        <v>1119</v>
      </c>
      <c r="E1269" s="1468" t="s">
        <v>15</v>
      </c>
      <c r="F1269" s="1468"/>
      <c r="G1269" s="1540">
        <v>40000</v>
      </c>
      <c r="H1269" s="1540">
        <v>554373.09900000005</v>
      </c>
      <c r="I1269" s="1540">
        <v>524139.33600000001</v>
      </c>
      <c r="J1269" s="1466">
        <f t="shared" si="45"/>
        <v>1118512.4350000001</v>
      </c>
      <c r="K1269" s="1466"/>
      <c r="L1269" s="1466"/>
      <c r="M1269" s="1540">
        <f t="shared" si="55"/>
        <v>1118512.4350000001</v>
      </c>
      <c r="N1269" s="166"/>
    </row>
    <row r="1270" spans="1:14" s="540" customFormat="1" ht="14.25" customHeight="1">
      <c r="A1270" s="1536">
        <v>87</v>
      </c>
      <c r="B1270" s="1537" t="e">
        <f>VLOOKUP(D1270,'[2]DS CN MOI UP'!$B$11:$C$447,2,0)</f>
        <v>#N/A</v>
      </c>
      <c r="C1270" s="1538" t="s">
        <v>1378</v>
      </c>
      <c r="D1270" s="1468" t="s">
        <v>1458</v>
      </c>
      <c r="E1270" s="1468" t="s">
        <v>15</v>
      </c>
      <c r="F1270" s="1468"/>
      <c r="G1270" s="1540">
        <v>40000</v>
      </c>
      <c r="H1270" s="1540">
        <v>554373.09900000005</v>
      </c>
      <c r="I1270" s="1540">
        <v>524139.33600000001</v>
      </c>
      <c r="J1270" s="1466">
        <f t="shared" si="45"/>
        <v>1118512.4350000001</v>
      </c>
      <c r="K1270" s="1466"/>
      <c r="L1270" s="1466"/>
      <c r="M1270" s="1540">
        <f t="shared" si="55"/>
        <v>1118512.4350000001</v>
      </c>
      <c r="N1270" s="166"/>
    </row>
    <row r="1271" spans="1:14" s="540" customFormat="1" ht="14.25" customHeight="1">
      <c r="A1271" s="1536">
        <v>88</v>
      </c>
      <c r="B1271" s="1537" t="str">
        <f>VLOOKUP(D1271,'[2]DS CN MOI UP'!$B$11:$C$447,2,0)</f>
        <v>02482</v>
      </c>
      <c r="C1271" s="1538" t="s">
        <v>1379</v>
      </c>
      <c r="D1271" s="1468" t="s">
        <v>83</v>
      </c>
      <c r="E1271" s="1468" t="s">
        <v>15</v>
      </c>
      <c r="F1271" s="1468"/>
      <c r="G1271" s="1540">
        <v>40000</v>
      </c>
      <c r="H1271" s="1540">
        <v>554373.09900000005</v>
      </c>
      <c r="I1271" s="1540">
        <v>524139.33600000001</v>
      </c>
      <c r="J1271" s="1466">
        <f t="shared" si="45"/>
        <v>1118512.4350000001</v>
      </c>
      <c r="K1271" s="1466"/>
      <c r="L1271" s="1466"/>
      <c r="M1271" s="1540">
        <f t="shared" si="55"/>
        <v>1118512.4350000001</v>
      </c>
      <c r="N1271" s="166"/>
    </row>
    <row r="1272" spans="1:14" s="540" customFormat="1" ht="14.25" customHeight="1">
      <c r="A1272" s="1536">
        <v>89</v>
      </c>
      <c r="B1272" s="1537" t="e">
        <f>VLOOKUP(D1272,'[2]DS CN MOI UP'!$B$11:$C$447,2,0)</f>
        <v>#N/A</v>
      </c>
      <c r="C1272" s="1538" t="s">
        <v>1381</v>
      </c>
      <c r="D1272" s="1468" t="s">
        <v>1120</v>
      </c>
      <c r="E1272" s="1468" t="s">
        <v>15</v>
      </c>
      <c r="F1272" s="1468"/>
      <c r="G1272" s="1540">
        <v>40000</v>
      </c>
      <c r="H1272" s="1540">
        <v>635040.18900000001</v>
      </c>
      <c r="I1272" s="1540">
        <v>524139.33600000001</v>
      </c>
      <c r="J1272" s="1466">
        <f t="shared" si="45"/>
        <v>1199179.5249999999</v>
      </c>
      <c r="K1272" s="1466"/>
      <c r="L1272" s="1466"/>
      <c r="M1272" s="1540">
        <f t="shared" si="55"/>
        <v>1199179.5249999999</v>
      </c>
      <c r="N1272" s="166"/>
    </row>
    <row r="1273" spans="1:14" s="540" customFormat="1" ht="14.25" customHeight="1">
      <c r="A1273" s="1536">
        <v>90</v>
      </c>
      <c r="B1273" s="1537" t="str">
        <f>VLOOKUP(D1273,'[2]DS CN MOI UP'!$B$11:$C$447,2,0)</f>
        <v>02483</v>
      </c>
      <c r="C1273" s="1538" t="s">
        <v>1382</v>
      </c>
      <c r="D1273" s="1468" t="s">
        <v>53</v>
      </c>
      <c r="E1273" s="1468" t="s">
        <v>15</v>
      </c>
      <c r="F1273" s="1468"/>
      <c r="G1273" s="1540">
        <v>40000</v>
      </c>
      <c r="H1273" s="1540">
        <v>544338.9</v>
      </c>
      <c r="I1273" s="1540">
        <v>524139.33600000001</v>
      </c>
      <c r="J1273" s="1466">
        <f t="shared" si="45"/>
        <v>1108478.236</v>
      </c>
      <c r="K1273" s="1466"/>
      <c r="L1273" s="1466"/>
      <c r="M1273" s="1540">
        <f t="shared" si="55"/>
        <v>1108478.236</v>
      </c>
      <c r="N1273" s="166"/>
    </row>
    <row r="1274" spans="1:14" s="540" customFormat="1" ht="14.25" customHeight="1">
      <c r="A1274" s="1536">
        <v>91</v>
      </c>
      <c r="B1274" s="1537" t="e">
        <f>VLOOKUP(D1274,'[2]DS CN MOI UP'!$B$11:$C$447,2,0)</f>
        <v>#N/A</v>
      </c>
      <c r="C1274" s="1538" t="s">
        <v>1383</v>
      </c>
      <c r="D1274" s="1468" t="s">
        <v>1121</v>
      </c>
      <c r="E1274" s="1468" t="s">
        <v>15</v>
      </c>
      <c r="F1274" s="1468"/>
      <c r="G1274" s="1540">
        <v>40000</v>
      </c>
      <c r="H1274" s="1540">
        <v>574572.66299999994</v>
      </c>
      <c r="I1274" s="1540">
        <v>524139.33600000001</v>
      </c>
      <c r="J1274" s="1466">
        <f t="shared" si="45"/>
        <v>1138711.9990000001</v>
      </c>
      <c r="K1274" s="1466"/>
      <c r="L1274" s="1466"/>
      <c r="M1274" s="1540">
        <f t="shared" si="55"/>
        <v>1138711.9990000001</v>
      </c>
      <c r="N1274" s="166"/>
    </row>
    <row r="1275" spans="1:14" s="540" customFormat="1" ht="14.25" customHeight="1">
      <c r="A1275" s="1536">
        <v>92</v>
      </c>
      <c r="B1275" s="1537" t="str">
        <f>VLOOKUP(D1275,'[2]DS CN MOI UP'!$B$11:$C$447,2,0)</f>
        <v>02484</v>
      </c>
      <c r="C1275" s="1538" t="s">
        <v>1384</v>
      </c>
      <c r="D1275" s="1468" t="s">
        <v>490</v>
      </c>
      <c r="E1275" s="1468" t="s">
        <v>15</v>
      </c>
      <c r="F1275" s="1468"/>
      <c r="G1275" s="1540">
        <v>40000</v>
      </c>
      <c r="H1275" s="1540">
        <v>604806.42599999998</v>
      </c>
      <c r="I1275" s="1540">
        <v>524139.33600000001</v>
      </c>
      <c r="J1275" s="1466">
        <f t="shared" si="45"/>
        <v>1168945.7620000001</v>
      </c>
      <c r="K1275" s="1466"/>
      <c r="L1275" s="1466"/>
      <c r="M1275" s="1540">
        <f t="shared" si="55"/>
        <v>1168945.7620000001</v>
      </c>
      <c r="N1275" s="166"/>
    </row>
    <row r="1276" spans="1:14" s="540" customFormat="1" ht="14.25" customHeight="1">
      <c r="A1276" s="1536">
        <v>93</v>
      </c>
      <c r="B1276" s="1537" t="e">
        <f>VLOOKUP(D1276,'[2]DS CN MOI UP'!$B$11:$C$447,2,0)</f>
        <v>#N/A</v>
      </c>
      <c r="C1276" s="1538" t="s">
        <v>1385</v>
      </c>
      <c r="D1276" s="1468" t="s">
        <v>1122</v>
      </c>
      <c r="E1276" s="1468" t="s">
        <v>15</v>
      </c>
      <c r="F1276" s="1468"/>
      <c r="G1276" s="1540">
        <v>40000</v>
      </c>
      <c r="H1276" s="1540">
        <v>584606.86199999996</v>
      </c>
      <c r="I1276" s="1540">
        <v>524139.33600000001</v>
      </c>
      <c r="J1276" s="1466">
        <f t="shared" si="45"/>
        <v>1148746.1980000001</v>
      </c>
      <c r="K1276" s="1466"/>
      <c r="L1276" s="1466"/>
      <c r="M1276" s="1540">
        <f t="shared" si="55"/>
        <v>1148746.1980000001</v>
      </c>
      <c r="N1276" s="166"/>
    </row>
    <row r="1277" spans="1:14" s="540" customFormat="1" ht="14.25" customHeight="1">
      <c r="A1277" s="1536">
        <v>94</v>
      </c>
      <c r="B1277" s="1537" t="str">
        <f>VLOOKUP(D1277,'[2]DS CN MOI UP'!$B$11:$C$447,2,0)</f>
        <v>02485</v>
      </c>
      <c r="C1277" s="1538" t="s">
        <v>1387</v>
      </c>
      <c r="D1277" s="1468" t="s">
        <v>31</v>
      </c>
      <c r="E1277" s="1468" t="s">
        <v>15</v>
      </c>
      <c r="F1277" s="1468"/>
      <c r="G1277" s="1540">
        <v>40000</v>
      </c>
      <c r="H1277" s="1540">
        <v>635040.18900000001</v>
      </c>
      <c r="I1277" s="1540">
        <v>524139.33600000001</v>
      </c>
      <c r="J1277" s="1466">
        <f t="shared" si="45"/>
        <v>1199179.5249999999</v>
      </c>
      <c r="K1277" s="1466"/>
      <c r="L1277" s="1466"/>
      <c r="M1277" s="1540">
        <f t="shared" si="55"/>
        <v>1199179.5249999999</v>
      </c>
      <c r="N1277" s="166"/>
    </row>
    <row r="1278" spans="1:14" s="540" customFormat="1" ht="14.25" customHeight="1">
      <c r="A1278" s="1536">
        <v>95</v>
      </c>
      <c r="B1278" s="1537" t="e">
        <f>VLOOKUP(D1278,'[2]DS CN MOI UP'!$B$11:$C$447,2,0)</f>
        <v>#N/A</v>
      </c>
      <c r="C1278" s="1538" t="s">
        <v>1388</v>
      </c>
      <c r="D1278" s="1468" t="s">
        <v>1123</v>
      </c>
      <c r="E1278" s="1468" t="s">
        <v>15</v>
      </c>
      <c r="F1278" s="1468"/>
      <c r="G1278" s="1540">
        <v>40000</v>
      </c>
      <c r="H1278" s="1540">
        <v>524139.33600000001</v>
      </c>
      <c r="I1278" s="1540">
        <v>524139.33600000001</v>
      </c>
      <c r="J1278" s="1466">
        <f t="shared" si="45"/>
        <v>1088278.672</v>
      </c>
      <c r="K1278" s="1466"/>
      <c r="L1278" s="1466"/>
      <c r="M1278" s="1540">
        <f t="shared" si="55"/>
        <v>1088278.672</v>
      </c>
      <c r="N1278" s="166"/>
    </row>
    <row r="1279" spans="1:14" s="540" customFormat="1" ht="14.25" customHeight="1">
      <c r="A1279" s="1536">
        <v>96</v>
      </c>
      <c r="B1279" s="1537" t="e">
        <f>VLOOKUP(D1279,'[2]DS CN MOI UP'!$B$11:$C$447,2,0)</f>
        <v>#N/A</v>
      </c>
      <c r="C1279" s="1538" t="s">
        <v>1390</v>
      </c>
      <c r="D1279" s="1468" t="s">
        <v>1459</v>
      </c>
      <c r="E1279" s="1468" t="s">
        <v>15</v>
      </c>
      <c r="F1279" s="1468"/>
      <c r="G1279" s="1540">
        <v>40000</v>
      </c>
      <c r="H1279" s="1540">
        <v>635040.18900000001</v>
      </c>
      <c r="I1279" s="1540">
        <v>524139.33600000001</v>
      </c>
      <c r="J1279" s="1466">
        <f t="shared" si="45"/>
        <v>1199179.5249999999</v>
      </c>
      <c r="K1279" s="1466"/>
      <c r="L1279" s="1466"/>
      <c r="M1279" s="1540">
        <f t="shared" si="55"/>
        <v>1199179.5249999999</v>
      </c>
      <c r="N1279" s="166"/>
    </row>
    <row r="1280" spans="1:14" s="540" customFormat="1" ht="14.25" customHeight="1">
      <c r="A1280" s="1536">
        <v>97</v>
      </c>
      <c r="B1280" s="1537" t="str">
        <f>VLOOKUP(D1280,'[2]DS CN MOI UP'!$B$11:$C$447,2,0)</f>
        <v>02486</v>
      </c>
      <c r="C1280" s="1538" t="s">
        <v>1391</v>
      </c>
      <c r="D1280" s="1468" t="s">
        <v>65</v>
      </c>
      <c r="E1280" s="1468" t="s">
        <v>15</v>
      </c>
      <c r="F1280" s="1468"/>
      <c r="G1280" s="1540">
        <v>40000</v>
      </c>
      <c r="H1280" s="1540">
        <v>635040.18900000001</v>
      </c>
      <c r="I1280" s="1540">
        <v>524139.33600000001</v>
      </c>
      <c r="J1280" s="1466">
        <f t="shared" si="45"/>
        <v>1199179.5249999999</v>
      </c>
      <c r="K1280" s="1466"/>
      <c r="L1280" s="1466"/>
      <c r="M1280" s="1540">
        <f t="shared" si="55"/>
        <v>1199179.5249999999</v>
      </c>
      <c r="N1280" s="166"/>
    </row>
    <row r="1281" spans="1:14" s="540" customFormat="1" ht="14.25" customHeight="1">
      <c r="A1281" s="1536">
        <v>98</v>
      </c>
      <c r="B1281" s="1537" t="e">
        <f>VLOOKUP(D1281,'[2]DS CN MOI UP'!$B$11:$C$447,2,0)</f>
        <v>#N/A</v>
      </c>
      <c r="C1281" s="1538" t="s">
        <v>1392</v>
      </c>
      <c r="D1281" s="1468" t="s">
        <v>1124</v>
      </c>
      <c r="E1281" s="1468" t="s">
        <v>15</v>
      </c>
      <c r="F1281" s="1468"/>
      <c r="G1281" s="1540">
        <v>40000</v>
      </c>
      <c r="H1281" s="1540">
        <v>554373.09900000005</v>
      </c>
      <c r="I1281" s="1540">
        <v>524139.33600000001</v>
      </c>
      <c r="J1281" s="1466">
        <f t="shared" si="45"/>
        <v>1118512.4350000001</v>
      </c>
      <c r="K1281" s="1466"/>
      <c r="L1281" s="1466"/>
      <c r="M1281" s="1540">
        <f t="shared" si="55"/>
        <v>1118512.4350000001</v>
      </c>
      <c r="N1281" s="166"/>
    </row>
    <row r="1282" spans="1:14" s="540" customFormat="1" ht="14.25" customHeight="1">
      <c r="A1282" s="1536">
        <v>99</v>
      </c>
      <c r="B1282" s="1537" t="str">
        <f>VLOOKUP(D1282,'[2]DS CN MOI UP'!$B$11:$C$447,2,0)</f>
        <v>02487</v>
      </c>
      <c r="C1282" s="1538" t="s">
        <v>1394</v>
      </c>
      <c r="D1282" s="1468" t="s">
        <v>32</v>
      </c>
      <c r="E1282" s="1468" t="s">
        <v>15</v>
      </c>
      <c r="F1282" s="1468"/>
      <c r="G1282" s="1540">
        <v>60000</v>
      </c>
      <c r="H1282" s="1540">
        <v>554373.09900000005</v>
      </c>
      <c r="I1282" s="1540">
        <v>524139.33600000001</v>
      </c>
      <c r="J1282" s="1466">
        <f t="shared" si="45"/>
        <v>1138512.4350000001</v>
      </c>
      <c r="K1282" s="1466"/>
      <c r="L1282" s="1466"/>
      <c r="M1282" s="1540">
        <f t="shared" si="55"/>
        <v>1138512.4350000001</v>
      </c>
      <c r="N1282" s="166"/>
    </row>
    <row r="1283" spans="1:14" s="540" customFormat="1" ht="14.25" customHeight="1">
      <c r="A1283" s="1536">
        <v>100</v>
      </c>
      <c r="B1283" s="1537" t="e">
        <f>VLOOKUP(D1283,'[2]DS CN MOI UP'!$B$11:$C$447,2,0)</f>
        <v>#N/A</v>
      </c>
      <c r="C1283" s="1538" t="s">
        <v>1396</v>
      </c>
      <c r="D1283" s="1468" t="s">
        <v>1125</v>
      </c>
      <c r="E1283" s="1468" t="s">
        <v>15</v>
      </c>
      <c r="F1283" s="1468"/>
      <c r="G1283" s="1540">
        <v>40000</v>
      </c>
      <c r="H1283" s="1540">
        <v>554373.09900000005</v>
      </c>
      <c r="I1283" s="1540">
        <v>524139.33600000001</v>
      </c>
      <c r="J1283" s="1466">
        <f t="shared" si="45"/>
        <v>1118512.4350000001</v>
      </c>
      <c r="K1283" s="1466"/>
      <c r="L1283" s="1466"/>
      <c r="M1283" s="1540">
        <f t="shared" si="55"/>
        <v>1118512.4350000001</v>
      </c>
      <c r="N1283" s="166"/>
    </row>
    <row r="1284" spans="1:14" s="540" customFormat="1" ht="14.25" customHeight="1">
      <c r="A1284" s="1536">
        <v>101</v>
      </c>
      <c r="B1284" s="1537" t="e">
        <f>VLOOKUP(D1284,'[2]DS CN MOI UP'!$B$11:$C$447,2,0)</f>
        <v>#N/A</v>
      </c>
      <c r="C1284" s="1538" t="s">
        <v>1398</v>
      </c>
      <c r="D1284" s="1468" t="s">
        <v>1460</v>
      </c>
      <c r="E1284" s="1468" t="s">
        <v>15</v>
      </c>
      <c r="F1284" s="1468"/>
      <c r="G1284" s="1540">
        <v>40000</v>
      </c>
      <c r="H1284" s="1540">
        <v>554373.09900000005</v>
      </c>
      <c r="I1284" s="1540">
        <v>524139.33600000001</v>
      </c>
      <c r="J1284" s="1466">
        <f t="shared" si="45"/>
        <v>1118512.4350000001</v>
      </c>
      <c r="K1284" s="1466"/>
      <c r="L1284" s="1466"/>
      <c r="M1284" s="1540">
        <f t="shared" si="55"/>
        <v>1118512.4350000001</v>
      </c>
      <c r="N1284" s="166"/>
    </row>
    <row r="1285" spans="1:14" s="540" customFormat="1" ht="14.25" customHeight="1">
      <c r="A1285" s="1536">
        <v>102</v>
      </c>
      <c r="B1285" s="1537" t="str">
        <f>VLOOKUP(D1285,'[2]DS CN MOI UP'!$B$11:$C$447,2,0)</f>
        <v>02488</v>
      </c>
      <c r="C1285" s="1538" t="s">
        <v>1383</v>
      </c>
      <c r="D1285" s="1468" t="s">
        <v>35</v>
      </c>
      <c r="E1285" s="1468" t="s">
        <v>15</v>
      </c>
      <c r="F1285" s="1468"/>
      <c r="G1285" s="1540">
        <v>40000</v>
      </c>
      <c r="H1285" s="1540">
        <v>554373.09900000005</v>
      </c>
      <c r="I1285" s="1540">
        <v>524139.33600000001</v>
      </c>
      <c r="J1285" s="1466">
        <f t="shared" si="45"/>
        <v>1118512.4350000001</v>
      </c>
      <c r="K1285" s="1466"/>
      <c r="L1285" s="1466"/>
      <c r="M1285" s="1540">
        <f t="shared" si="55"/>
        <v>1118512.4350000001</v>
      </c>
      <c r="N1285" s="166"/>
    </row>
    <row r="1286" spans="1:14" s="540" customFormat="1" ht="14.25" customHeight="1">
      <c r="A1286" s="1536">
        <v>103</v>
      </c>
      <c r="B1286" s="1537" t="e">
        <f>VLOOKUP(D1286,'[2]DS CN MOI UP'!$B$11:$C$447,2,0)</f>
        <v>#N/A</v>
      </c>
      <c r="C1286" s="1538" t="s">
        <v>1384</v>
      </c>
      <c r="D1286" s="1468" t="s">
        <v>1126</v>
      </c>
      <c r="E1286" s="1468" t="s">
        <v>15</v>
      </c>
      <c r="F1286" s="1468"/>
      <c r="G1286" s="1540">
        <v>40000</v>
      </c>
      <c r="H1286" s="1540">
        <v>635040.18900000001</v>
      </c>
      <c r="I1286" s="1540">
        <v>524139.33600000001</v>
      </c>
      <c r="J1286" s="1466">
        <f t="shared" si="45"/>
        <v>1199179.5249999999</v>
      </c>
      <c r="K1286" s="1466"/>
      <c r="L1286" s="1466"/>
      <c r="M1286" s="1540">
        <f t="shared" si="55"/>
        <v>1199179.5249999999</v>
      </c>
      <c r="N1286" s="166"/>
    </row>
    <row r="1287" spans="1:14" s="540" customFormat="1" ht="14.25" customHeight="1">
      <c r="A1287" s="1536">
        <v>104</v>
      </c>
      <c r="B1287" s="1537" t="str">
        <f>VLOOKUP(D1287,'[2]DS CN MOI UP'!$B$11:$C$447,2,0)</f>
        <v>02583</v>
      </c>
      <c r="C1287" s="1538" t="s">
        <v>1385</v>
      </c>
      <c r="D1287" s="1468" t="s">
        <v>581</v>
      </c>
      <c r="E1287" s="1468" t="s">
        <v>15</v>
      </c>
      <c r="F1287" s="1468"/>
      <c r="G1287" s="1540">
        <v>40000</v>
      </c>
      <c r="H1287" s="1540">
        <v>544338.9</v>
      </c>
      <c r="I1287" s="1540">
        <v>524139.33600000001</v>
      </c>
      <c r="J1287" s="1466">
        <f t="shared" si="45"/>
        <v>1108478.236</v>
      </c>
      <c r="K1287" s="1466"/>
      <c r="L1287" s="1466"/>
      <c r="M1287" s="1540">
        <f t="shared" si="55"/>
        <v>1108478.236</v>
      </c>
      <c r="N1287" s="166"/>
    </row>
    <row r="1288" spans="1:14" s="540" customFormat="1" ht="14.25" customHeight="1">
      <c r="A1288" s="1536">
        <v>105</v>
      </c>
      <c r="B1288" s="1537" t="str">
        <f>VLOOKUP(D1288,'[2]DS CN MOI UP'!$B$11:$C$447,2,0)</f>
        <v>03336</v>
      </c>
      <c r="C1288" s="1538" t="s">
        <v>1387</v>
      </c>
      <c r="D1288" s="1468" t="s">
        <v>81</v>
      </c>
      <c r="E1288" s="1468" t="s">
        <v>15</v>
      </c>
      <c r="F1288" s="1468"/>
      <c r="G1288" s="1540">
        <v>40000</v>
      </c>
      <c r="H1288" s="1540">
        <v>574572.66299999994</v>
      </c>
      <c r="I1288" s="1540">
        <v>524139.33600000001</v>
      </c>
      <c r="J1288" s="1466">
        <f t="shared" si="45"/>
        <v>1138711.9990000001</v>
      </c>
      <c r="K1288" s="1466"/>
      <c r="L1288" s="1466"/>
      <c r="M1288" s="1540">
        <f t="shared" si="55"/>
        <v>1138711.9990000001</v>
      </c>
      <c r="N1288" s="166"/>
    </row>
    <row r="1289" spans="1:14" s="540" customFormat="1" ht="14.25" customHeight="1">
      <c r="A1289" s="1536">
        <v>106</v>
      </c>
      <c r="B1289" s="1537" t="e">
        <f>VLOOKUP(D1289,'[2]DS CN MOI UP'!$B$11:$C$447,2,0)</f>
        <v>#N/A</v>
      </c>
      <c r="C1289" s="1538" t="s">
        <v>1388</v>
      </c>
      <c r="D1289" s="1468" t="s">
        <v>1127</v>
      </c>
      <c r="E1289" s="1468" t="s">
        <v>15</v>
      </c>
      <c r="F1289" s="1468"/>
      <c r="G1289" s="1540">
        <v>40000</v>
      </c>
      <c r="H1289" s="1540">
        <v>604806.42599999998</v>
      </c>
      <c r="I1289" s="1540">
        <v>524139.33600000001</v>
      </c>
      <c r="J1289" s="1466">
        <f t="shared" si="45"/>
        <v>1168945.7620000001</v>
      </c>
      <c r="K1289" s="1466"/>
      <c r="L1289" s="1466"/>
      <c r="M1289" s="1540">
        <f t="shared" si="55"/>
        <v>1168945.7620000001</v>
      </c>
      <c r="N1289" s="166"/>
    </row>
    <row r="1290" spans="1:14" s="540" customFormat="1" ht="14.25" customHeight="1">
      <c r="A1290" s="1536">
        <v>107</v>
      </c>
      <c r="B1290" s="1537" t="str">
        <f>VLOOKUP(D1290,'[2]DS CN MOI UP'!$B$11:$C$447,2,0)</f>
        <v>02680</v>
      </c>
      <c r="C1290" s="1538" t="s">
        <v>1390</v>
      </c>
      <c r="D1290" s="1468" t="s">
        <v>91</v>
      </c>
      <c r="E1290" s="1468" t="s">
        <v>15</v>
      </c>
      <c r="F1290" s="1468"/>
      <c r="G1290" s="1540">
        <v>40000</v>
      </c>
      <c r="H1290" s="1540">
        <v>584606.86199999996</v>
      </c>
      <c r="I1290" s="1540">
        <v>524139.33600000001</v>
      </c>
      <c r="J1290" s="1466">
        <f t="shared" si="45"/>
        <v>1148746.1980000001</v>
      </c>
      <c r="K1290" s="1466"/>
      <c r="L1290" s="1466"/>
      <c r="M1290" s="1540">
        <f t="shared" si="55"/>
        <v>1148746.1980000001</v>
      </c>
      <c r="N1290" s="166"/>
    </row>
    <row r="1291" spans="1:14" s="540" customFormat="1" ht="14.25" customHeight="1">
      <c r="A1291" s="1536">
        <v>108</v>
      </c>
      <c r="B1291" s="1537" t="e">
        <f>VLOOKUP(D1291,'[2]DS CN MOI UP'!$B$11:$C$447,2,0)</f>
        <v>#N/A</v>
      </c>
      <c r="C1291" s="1538" t="s">
        <v>1391</v>
      </c>
      <c r="D1291" s="1468" t="s">
        <v>1070</v>
      </c>
      <c r="E1291" s="1468" t="s">
        <v>15</v>
      </c>
      <c r="F1291" s="1468"/>
      <c r="G1291" s="1540">
        <v>40000</v>
      </c>
      <c r="H1291" s="1540">
        <v>635040.18900000001</v>
      </c>
      <c r="I1291" s="1540">
        <v>524139.33600000001</v>
      </c>
      <c r="J1291" s="1466">
        <f t="shared" si="45"/>
        <v>1199179.5249999999</v>
      </c>
      <c r="K1291" s="1466"/>
      <c r="L1291" s="1466"/>
      <c r="M1291" s="1540">
        <f t="shared" si="55"/>
        <v>1199179.5249999999</v>
      </c>
      <c r="N1291" s="166"/>
    </row>
    <row r="1292" spans="1:14" s="540" customFormat="1" ht="14.25" customHeight="1">
      <c r="A1292" s="1536">
        <v>109</v>
      </c>
      <c r="B1292" s="1537" t="e">
        <f>VLOOKUP(D1292,'[2]DS CN MOI UP'!$B$11:$C$447,2,0)</f>
        <v>#N/A</v>
      </c>
      <c r="C1292" s="1538" t="s">
        <v>1392</v>
      </c>
      <c r="D1292" s="1468" t="s">
        <v>1128</v>
      </c>
      <c r="E1292" s="1468" t="s">
        <v>15</v>
      </c>
      <c r="F1292" s="1468"/>
      <c r="G1292" s="1540">
        <v>40000</v>
      </c>
      <c r="H1292" s="1540">
        <v>524139.33600000001</v>
      </c>
      <c r="I1292" s="1540">
        <v>524139.33600000001</v>
      </c>
      <c r="J1292" s="1466">
        <f t="shared" si="45"/>
        <v>1088278.672</v>
      </c>
      <c r="K1292" s="1466"/>
      <c r="L1292" s="1466"/>
      <c r="M1292" s="1540">
        <f t="shared" si="55"/>
        <v>1088278.672</v>
      </c>
      <c r="N1292" s="166"/>
    </row>
    <row r="1293" spans="1:14" s="540" customFormat="1" ht="14.25" customHeight="1">
      <c r="A1293" s="1536">
        <v>110</v>
      </c>
      <c r="B1293" s="1537" t="str">
        <f>VLOOKUP(D1293,'[2]DS CN MOI UP'!$B$11:$C$447,2,0)</f>
        <v>02491</v>
      </c>
      <c r="C1293" s="1538" t="s">
        <v>1394</v>
      </c>
      <c r="D1293" s="1468" t="s">
        <v>62</v>
      </c>
      <c r="E1293" s="1468" t="s">
        <v>15</v>
      </c>
      <c r="F1293" s="1468"/>
      <c r="G1293" s="1540">
        <v>40000</v>
      </c>
      <c r="H1293" s="1540">
        <v>635040.18900000001</v>
      </c>
      <c r="I1293" s="1540">
        <v>524139.33600000001</v>
      </c>
      <c r="J1293" s="1466">
        <f t="shared" si="45"/>
        <v>1199179.5249999999</v>
      </c>
      <c r="K1293" s="1466"/>
      <c r="L1293" s="1466"/>
      <c r="M1293" s="1540">
        <f t="shared" si="55"/>
        <v>1199179.5249999999</v>
      </c>
      <c r="N1293" s="166"/>
    </row>
    <row r="1294" spans="1:14" s="540" customFormat="1" ht="14.25" customHeight="1">
      <c r="A1294" s="1536">
        <v>111</v>
      </c>
      <c r="B1294" s="1537" t="e">
        <f>VLOOKUP(D1294,'[2]DS CN MOI UP'!$B$11:$C$447,2,0)</f>
        <v>#N/A</v>
      </c>
      <c r="C1294" s="1538" t="s">
        <v>1396</v>
      </c>
      <c r="D1294" s="1468" t="s">
        <v>1129</v>
      </c>
      <c r="E1294" s="1468" t="s">
        <v>15</v>
      </c>
      <c r="F1294" s="1468"/>
      <c r="G1294" s="1540">
        <v>40000</v>
      </c>
      <c r="H1294" s="1540">
        <v>635040.18900000001</v>
      </c>
      <c r="I1294" s="1540">
        <v>524139.33600000001</v>
      </c>
      <c r="J1294" s="1466">
        <f t="shared" si="45"/>
        <v>1199179.5249999999</v>
      </c>
      <c r="K1294" s="1466"/>
      <c r="L1294" s="1466"/>
      <c r="M1294" s="1540">
        <f t="shared" si="55"/>
        <v>1199179.5249999999</v>
      </c>
      <c r="N1294" s="166"/>
    </row>
    <row r="1295" spans="1:14" s="540" customFormat="1" ht="14.25" customHeight="1">
      <c r="A1295" s="1536">
        <v>112</v>
      </c>
      <c r="B1295" s="1537" t="e">
        <f>VLOOKUP(D1295,'[2]DS CN MOI UP'!$B$11:$C$447,2,0)</f>
        <v>#N/A</v>
      </c>
      <c r="C1295" s="1538" t="s">
        <v>1398</v>
      </c>
      <c r="D1295" s="1468" t="s">
        <v>1461</v>
      </c>
      <c r="E1295" s="1468" t="s">
        <v>15</v>
      </c>
      <c r="F1295" s="1468"/>
      <c r="G1295" s="1540">
        <v>40000</v>
      </c>
      <c r="H1295" s="1540">
        <v>554373.09900000005</v>
      </c>
      <c r="I1295" s="1540">
        <v>524139.33600000001</v>
      </c>
      <c r="J1295" s="1466">
        <f t="shared" si="45"/>
        <v>1118512.4350000001</v>
      </c>
      <c r="K1295" s="1466"/>
      <c r="L1295" s="1466"/>
      <c r="M1295" s="1540">
        <f t="shared" si="55"/>
        <v>1118512.4350000001</v>
      </c>
      <c r="N1295" s="166"/>
    </row>
    <row r="1296" spans="1:14" s="540" customFormat="1" ht="14.25" customHeight="1">
      <c r="A1296" s="1536">
        <v>113</v>
      </c>
      <c r="B1296" s="1537" t="e">
        <f>VLOOKUP(D1296,'[2]DS CN MOI UP'!$B$11:$C$447,2,0)</f>
        <v>#N/A</v>
      </c>
      <c r="C1296" s="1538" t="s">
        <v>1405</v>
      </c>
      <c r="D1296" s="1468" t="s">
        <v>1071</v>
      </c>
      <c r="E1296" s="1468" t="s">
        <v>15</v>
      </c>
      <c r="F1296" s="1468"/>
      <c r="G1296" s="1540">
        <v>60000</v>
      </c>
      <c r="H1296" s="1540">
        <v>554373.09900000005</v>
      </c>
      <c r="I1296" s="1540">
        <v>524139.33600000001</v>
      </c>
      <c r="J1296" s="1466">
        <f t="shared" si="45"/>
        <v>1138512.4350000001</v>
      </c>
      <c r="K1296" s="1466"/>
      <c r="L1296" s="1466"/>
      <c r="M1296" s="1540">
        <f t="shared" si="55"/>
        <v>1138512.4350000001</v>
      </c>
      <c r="N1296" s="166"/>
    </row>
    <row r="1297" spans="1:14" s="540" customFormat="1" ht="14.25" customHeight="1">
      <c r="A1297" s="1536">
        <v>114</v>
      </c>
      <c r="B1297" s="1537" t="e">
        <f>VLOOKUP(D1297,'[2]DS CN MOI UP'!$B$11:$C$447,2,0)</f>
        <v>#N/A</v>
      </c>
      <c r="C1297" s="1538" t="s">
        <v>1406</v>
      </c>
      <c r="D1297" s="1468" t="s">
        <v>1130</v>
      </c>
      <c r="E1297" s="1468" t="s">
        <v>15</v>
      </c>
      <c r="F1297" s="1468"/>
      <c r="G1297" s="1540">
        <v>40000</v>
      </c>
      <c r="H1297" s="1540">
        <v>554373.09900000005</v>
      </c>
      <c r="I1297" s="1540">
        <v>524139.33600000001</v>
      </c>
      <c r="J1297" s="1466">
        <f t="shared" si="45"/>
        <v>1118512.4350000001</v>
      </c>
      <c r="K1297" s="1466"/>
      <c r="L1297" s="1466"/>
      <c r="M1297" s="1540">
        <f t="shared" si="55"/>
        <v>1118512.4350000001</v>
      </c>
      <c r="N1297" s="166"/>
    </row>
    <row r="1298" spans="1:14" s="540" customFormat="1" ht="14.25" customHeight="1">
      <c r="A1298" s="1536">
        <v>115</v>
      </c>
      <c r="B1298" s="1537" t="str">
        <f>VLOOKUP(D1298,'[2]DS CN MOI UP'!$B$11:$C$447,2,0)</f>
        <v>02493</v>
      </c>
      <c r="C1298" s="1538" t="s">
        <v>1408</v>
      </c>
      <c r="D1298" s="1468" t="s">
        <v>26</v>
      </c>
      <c r="E1298" s="1468" t="s">
        <v>15</v>
      </c>
      <c r="F1298" s="1468"/>
      <c r="G1298" s="1540">
        <v>40000</v>
      </c>
      <c r="H1298" s="1540">
        <v>554373.09900000005</v>
      </c>
      <c r="I1298" s="1540">
        <v>524139.33600000001</v>
      </c>
      <c r="J1298" s="1466">
        <f t="shared" si="45"/>
        <v>1118512.4350000001</v>
      </c>
      <c r="K1298" s="1466"/>
      <c r="L1298" s="1466"/>
      <c r="M1298" s="1540">
        <f t="shared" si="55"/>
        <v>1118512.4350000001</v>
      </c>
      <c r="N1298" s="166"/>
    </row>
    <row r="1299" spans="1:14" s="540" customFormat="1" ht="14.25" customHeight="1">
      <c r="A1299" s="1536">
        <v>116</v>
      </c>
      <c r="B1299" s="1537" t="e">
        <f>VLOOKUP(D1299,'[2]DS CN MOI UP'!$B$11:$C$447,2,0)</f>
        <v>#N/A</v>
      </c>
      <c r="C1299" s="1538" t="s">
        <v>1410</v>
      </c>
      <c r="D1299" s="1468" t="s">
        <v>1462</v>
      </c>
      <c r="E1299" s="1468" t="s">
        <v>15</v>
      </c>
      <c r="F1299" s="1468"/>
      <c r="G1299" s="1540">
        <v>40000</v>
      </c>
      <c r="H1299" s="1540">
        <v>554373.09900000005</v>
      </c>
      <c r="I1299" s="1540">
        <v>524139.33600000001</v>
      </c>
      <c r="J1299" s="1466">
        <f t="shared" si="45"/>
        <v>1118512.4350000001</v>
      </c>
      <c r="K1299" s="1466"/>
      <c r="L1299" s="1466"/>
      <c r="M1299" s="1540">
        <f t="shared" si="55"/>
        <v>1118512.4350000001</v>
      </c>
      <c r="N1299" s="166"/>
    </row>
    <row r="1300" spans="1:14" s="540" customFormat="1" ht="14.25" customHeight="1">
      <c r="A1300" s="1536">
        <v>117</v>
      </c>
      <c r="B1300" s="1537" t="e">
        <f>VLOOKUP(D1300,'[2]DS CN MOI UP'!$B$11:$C$447,2,0)</f>
        <v>#N/A</v>
      </c>
      <c r="C1300" s="1538" t="s">
        <v>1412</v>
      </c>
      <c r="D1300" s="1468" t="s">
        <v>1463</v>
      </c>
      <c r="E1300" s="1468" t="s">
        <v>15</v>
      </c>
      <c r="F1300" s="1468"/>
      <c r="G1300" s="1540">
        <v>40000</v>
      </c>
      <c r="H1300" s="1540">
        <v>635040.18900000001</v>
      </c>
      <c r="I1300" s="1540">
        <v>524139.33600000001</v>
      </c>
      <c r="J1300" s="1466">
        <f t="shared" si="45"/>
        <v>1199179.5249999999</v>
      </c>
      <c r="K1300" s="1466"/>
      <c r="L1300" s="1466"/>
      <c r="M1300" s="1540">
        <f t="shared" si="55"/>
        <v>1199179.5249999999</v>
      </c>
      <c r="N1300" s="166"/>
    </row>
    <row r="1301" spans="1:14" s="540" customFormat="1" ht="14.25" customHeight="1">
      <c r="A1301" s="1536">
        <v>118</v>
      </c>
      <c r="B1301" s="1537" t="e">
        <f>VLOOKUP(D1301,'[2]DS CN MOI UP'!$B$11:$C$447,2,0)</f>
        <v>#N/A</v>
      </c>
      <c r="C1301" s="1538" t="s">
        <v>1413</v>
      </c>
      <c r="D1301" s="1468" t="s">
        <v>1464</v>
      </c>
      <c r="E1301" s="1468" t="s">
        <v>15</v>
      </c>
      <c r="F1301" s="1468"/>
      <c r="G1301" s="1540">
        <v>40000</v>
      </c>
      <c r="H1301" s="1540">
        <v>544338.9</v>
      </c>
      <c r="I1301" s="1540">
        <v>524139.33600000001</v>
      </c>
      <c r="J1301" s="1466">
        <f t="shared" si="45"/>
        <v>1108478.236</v>
      </c>
      <c r="K1301" s="1466"/>
      <c r="L1301" s="1466"/>
      <c r="M1301" s="1540">
        <f t="shared" si="55"/>
        <v>1108478.236</v>
      </c>
      <c r="N1301" s="166"/>
    </row>
    <row r="1302" spans="1:14" s="540" customFormat="1" ht="14.25" customHeight="1">
      <c r="A1302" s="1536">
        <v>119</v>
      </c>
      <c r="B1302" s="1537" t="e">
        <f>VLOOKUP(D1302,'[2]DS CN MOI UP'!$B$11:$C$447,2,0)</f>
        <v>#N/A</v>
      </c>
      <c r="C1302" s="1538" t="s">
        <v>1414</v>
      </c>
      <c r="D1302" s="1468" t="s">
        <v>740</v>
      </c>
      <c r="E1302" s="1468" t="s">
        <v>15</v>
      </c>
      <c r="F1302" s="1468"/>
      <c r="G1302" s="1540">
        <v>20000</v>
      </c>
      <c r="H1302" s="1540">
        <v>574572.66299999994</v>
      </c>
      <c r="I1302" s="1540">
        <v>524139.33600000001</v>
      </c>
      <c r="J1302" s="1466">
        <f t="shared" si="45"/>
        <v>1118711.9990000001</v>
      </c>
      <c r="K1302" s="1466"/>
      <c r="L1302" s="1466"/>
      <c r="M1302" s="1540">
        <f t="shared" si="55"/>
        <v>1118711.9990000001</v>
      </c>
      <c r="N1302" s="166"/>
    </row>
    <row r="1303" spans="1:14" s="540" customFormat="1" ht="14.25" customHeight="1">
      <c r="A1303" s="1536">
        <v>120</v>
      </c>
      <c r="B1303" s="1537" t="e">
        <f>VLOOKUP(D1303,'[2]DS CN MOI UP'!$B$11:$C$447,2,0)</f>
        <v>#N/A</v>
      </c>
      <c r="C1303" s="1538" t="s">
        <v>1415</v>
      </c>
      <c r="D1303" s="1468" t="s">
        <v>741</v>
      </c>
      <c r="E1303" s="1468" t="s">
        <v>15</v>
      </c>
      <c r="F1303" s="1468"/>
      <c r="G1303" s="1540">
        <v>60000</v>
      </c>
      <c r="H1303" s="1540">
        <v>604806.42599999998</v>
      </c>
      <c r="I1303" s="1540">
        <v>524139.33600000001</v>
      </c>
      <c r="J1303" s="1466">
        <f t="shared" si="45"/>
        <v>1188945.7620000001</v>
      </c>
      <c r="K1303" s="1466"/>
      <c r="L1303" s="1466"/>
      <c r="M1303" s="1540">
        <f t="shared" si="55"/>
        <v>1188945.7620000001</v>
      </c>
      <c r="N1303" s="166"/>
    </row>
    <row r="1304" spans="1:14" s="540" customFormat="1" ht="14.25" customHeight="1">
      <c r="A1304" s="1536">
        <v>121</v>
      </c>
      <c r="B1304" s="1537" t="e">
        <f>VLOOKUP(D1304,'[2]DS CN MOI UP'!$B$11:$C$447,2,0)</f>
        <v>#N/A</v>
      </c>
      <c r="C1304" s="1538" t="s">
        <v>1417</v>
      </c>
      <c r="D1304" s="1468" t="s">
        <v>1465</v>
      </c>
      <c r="E1304" s="1468" t="s">
        <v>15</v>
      </c>
      <c r="F1304" s="1468"/>
      <c r="G1304" s="1540">
        <v>60000</v>
      </c>
      <c r="H1304" s="1540">
        <v>584606.86199999996</v>
      </c>
      <c r="I1304" s="1540">
        <v>524139.33600000001</v>
      </c>
      <c r="J1304" s="1466">
        <f t="shared" si="45"/>
        <v>1168746.1980000001</v>
      </c>
      <c r="K1304" s="1466"/>
      <c r="L1304" s="1466"/>
      <c r="M1304" s="1540">
        <f t="shared" si="55"/>
        <v>1168746.1980000001</v>
      </c>
      <c r="N1304" s="166"/>
    </row>
    <row r="1305" spans="1:14" s="540" customFormat="1" ht="14.25" customHeight="1">
      <c r="A1305" s="1536">
        <v>122</v>
      </c>
      <c r="B1305" s="1537" t="e">
        <f>VLOOKUP(D1305,'[2]DS CN MOI UP'!$B$11:$C$447,2,0)</f>
        <v>#N/A</v>
      </c>
      <c r="C1305" s="1538" t="s">
        <v>1418</v>
      </c>
      <c r="D1305" s="1468" t="s">
        <v>743</v>
      </c>
      <c r="E1305" s="1468" t="s">
        <v>15</v>
      </c>
      <c r="F1305" s="1468"/>
      <c r="G1305" s="1540">
        <v>60000</v>
      </c>
      <c r="H1305" s="1540">
        <v>635040.18900000001</v>
      </c>
      <c r="I1305" s="1540">
        <v>524139.33600000001</v>
      </c>
      <c r="J1305" s="1466">
        <f t="shared" si="45"/>
        <v>1219179.5249999999</v>
      </c>
      <c r="K1305" s="1466"/>
      <c r="L1305" s="1466"/>
      <c r="M1305" s="1540">
        <f t="shared" si="55"/>
        <v>1219179.5249999999</v>
      </c>
      <c r="N1305" s="166"/>
    </row>
    <row r="1306" spans="1:14" s="540" customFormat="1" ht="14.25" customHeight="1">
      <c r="A1306" s="1536">
        <v>123</v>
      </c>
      <c r="B1306" s="1537" t="e">
        <f>VLOOKUP(D1306,'[2]DS CN MOI UP'!$B$11:$C$447,2,0)</f>
        <v>#N/A</v>
      </c>
      <c r="C1306" s="1538" t="s">
        <v>1420</v>
      </c>
      <c r="D1306" s="1468" t="s">
        <v>1466</v>
      </c>
      <c r="E1306" s="1468" t="s">
        <v>15</v>
      </c>
      <c r="F1306" s="1468"/>
      <c r="G1306" s="1540">
        <v>60000</v>
      </c>
      <c r="H1306" s="1540">
        <v>524139.33600000001</v>
      </c>
      <c r="I1306" s="1540">
        <v>524139.33600000001</v>
      </c>
      <c r="J1306" s="1466">
        <f t="shared" si="45"/>
        <v>1108278.672</v>
      </c>
      <c r="K1306" s="1466"/>
      <c r="L1306" s="1466"/>
      <c r="M1306" s="1540">
        <f t="shared" si="55"/>
        <v>1108278.672</v>
      </c>
      <c r="N1306" s="166"/>
    </row>
    <row r="1307" spans="1:14" s="540" customFormat="1" ht="14.25" customHeight="1">
      <c r="A1307" s="1536">
        <v>124</v>
      </c>
      <c r="B1307" s="1537" t="e">
        <f>VLOOKUP(D1307,'[2]DS CN MOI UP'!$B$11:$C$447,2,0)</f>
        <v>#N/A</v>
      </c>
      <c r="C1307" s="1538" t="s">
        <v>1422</v>
      </c>
      <c r="D1307" s="1468" t="s">
        <v>745</v>
      </c>
      <c r="E1307" s="1468" t="s">
        <v>15</v>
      </c>
      <c r="F1307" s="1468"/>
      <c r="G1307" s="1540">
        <v>60000</v>
      </c>
      <c r="H1307" s="1540">
        <v>635040.18900000001</v>
      </c>
      <c r="I1307" s="1540">
        <v>524139.33600000001</v>
      </c>
      <c r="J1307" s="1466">
        <f t="shared" si="45"/>
        <v>1219179.5249999999</v>
      </c>
      <c r="K1307" s="1466"/>
      <c r="L1307" s="1466"/>
      <c r="M1307" s="1540">
        <f t="shared" si="55"/>
        <v>1219179.5249999999</v>
      </c>
      <c r="N1307" s="166"/>
    </row>
    <row r="1308" spans="1:14" s="540" customFormat="1" ht="14.25" customHeight="1">
      <c r="A1308" s="1536">
        <v>125</v>
      </c>
      <c r="B1308" s="1537" t="e">
        <f>VLOOKUP(D1308,'[2]DS CN MOI UP'!$B$11:$C$447,2,0)</f>
        <v>#N/A</v>
      </c>
      <c r="C1308" s="1538" t="s">
        <v>1424</v>
      </c>
      <c r="D1308" s="1468" t="s">
        <v>1467</v>
      </c>
      <c r="E1308" s="1468" t="s">
        <v>15</v>
      </c>
      <c r="F1308" s="1468"/>
      <c r="G1308" s="1540">
        <v>60000</v>
      </c>
      <c r="H1308" s="1540">
        <v>635040.18900000001</v>
      </c>
      <c r="I1308" s="1540">
        <v>524139.33600000001</v>
      </c>
      <c r="J1308" s="1466">
        <f t="shared" si="45"/>
        <v>1219179.5249999999</v>
      </c>
      <c r="K1308" s="1466"/>
      <c r="L1308" s="1466"/>
      <c r="M1308" s="1540">
        <f t="shared" si="55"/>
        <v>1219179.5249999999</v>
      </c>
      <c r="N1308" s="166"/>
    </row>
    <row r="1309" spans="1:14" s="540" customFormat="1" ht="14.25" customHeight="1">
      <c r="A1309" s="1536">
        <v>126</v>
      </c>
      <c r="B1309" s="1537" t="e">
        <f>VLOOKUP(D1309,'[2]DS CN MOI UP'!$B$11:$C$447,2,0)</f>
        <v>#N/A</v>
      </c>
      <c r="C1309" s="1538" t="s">
        <v>1426</v>
      </c>
      <c r="D1309" s="1468" t="s">
        <v>747</v>
      </c>
      <c r="E1309" s="1468" t="s">
        <v>15</v>
      </c>
      <c r="F1309" s="1468"/>
      <c r="G1309" s="1540">
        <v>60000</v>
      </c>
      <c r="H1309" s="1540">
        <v>554373.09900000005</v>
      </c>
      <c r="I1309" s="1540">
        <v>524139.33600000001</v>
      </c>
      <c r="J1309" s="1466">
        <f t="shared" si="45"/>
        <v>1138512.4350000001</v>
      </c>
      <c r="K1309" s="1466"/>
      <c r="L1309" s="1466"/>
      <c r="M1309" s="1540">
        <f t="shared" si="55"/>
        <v>1138512.4350000001</v>
      </c>
      <c r="N1309" s="166"/>
    </row>
    <row r="1310" spans="1:14" s="540" customFormat="1" ht="14.25" customHeight="1">
      <c r="A1310" s="1536">
        <v>127</v>
      </c>
      <c r="B1310" s="1537" t="e">
        <f>VLOOKUP(D1310,'[2]DS CN MOI UP'!$B$11:$C$447,2,0)</f>
        <v>#N/A</v>
      </c>
      <c r="C1310" s="1538" t="s">
        <v>1428</v>
      </c>
      <c r="D1310" s="1468" t="s">
        <v>746</v>
      </c>
      <c r="E1310" s="1468" t="s">
        <v>15</v>
      </c>
      <c r="F1310" s="1468"/>
      <c r="G1310" s="1540">
        <v>60000</v>
      </c>
      <c r="H1310" s="1540">
        <v>554373.09900000005</v>
      </c>
      <c r="I1310" s="1540">
        <v>524139.33600000001</v>
      </c>
      <c r="J1310" s="1466">
        <f t="shared" si="45"/>
        <v>1138512.4350000001</v>
      </c>
      <c r="K1310" s="1466"/>
      <c r="L1310" s="1466"/>
      <c r="M1310" s="1540">
        <f t="shared" si="55"/>
        <v>1138512.4350000001</v>
      </c>
      <c r="N1310" s="166"/>
    </row>
    <row r="1311" spans="1:14" s="540" customFormat="1" ht="14.25" customHeight="1">
      <c r="A1311" s="1536">
        <v>128</v>
      </c>
      <c r="B1311" s="1537" t="e">
        <f>VLOOKUP(D1311,'[2]DS CN MOI UP'!$B$11:$C$447,2,0)</f>
        <v>#N/A</v>
      </c>
      <c r="C1311" s="1538" t="s">
        <v>1430</v>
      </c>
      <c r="D1311" s="1468" t="s">
        <v>749</v>
      </c>
      <c r="E1311" s="1468" t="s">
        <v>15</v>
      </c>
      <c r="F1311" s="1468"/>
      <c r="G1311" s="1540">
        <v>60000</v>
      </c>
      <c r="H1311" s="1540">
        <v>554373.09900000005</v>
      </c>
      <c r="I1311" s="1540">
        <v>524139.33600000001</v>
      </c>
      <c r="J1311" s="1466">
        <f t="shared" si="45"/>
        <v>1138512.4350000001</v>
      </c>
      <c r="K1311" s="1466"/>
      <c r="L1311" s="1466"/>
      <c r="M1311" s="1540">
        <f t="shared" si="55"/>
        <v>1138512.4350000001</v>
      </c>
      <c r="N1311" s="166"/>
    </row>
    <row r="1312" spans="1:14" s="540" customFormat="1" ht="14.25" customHeight="1">
      <c r="A1312" s="1536">
        <v>129</v>
      </c>
      <c r="B1312" s="1537" t="e">
        <f>VLOOKUP(D1312,'[2]DS CN MOI UP'!$B$11:$C$447,2,0)</f>
        <v>#N/A</v>
      </c>
      <c r="C1312" s="1538" t="s">
        <v>1432</v>
      </c>
      <c r="D1312" s="1468" t="s">
        <v>1468</v>
      </c>
      <c r="E1312" s="1468" t="s">
        <v>15</v>
      </c>
      <c r="F1312" s="1468"/>
      <c r="G1312" s="1540">
        <v>60000</v>
      </c>
      <c r="H1312" s="1540">
        <v>554373.09900000005</v>
      </c>
      <c r="I1312" s="1540">
        <v>524139.33600000001</v>
      </c>
      <c r="J1312" s="1466">
        <f t="shared" si="45"/>
        <v>1138512.4350000001</v>
      </c>
      <c r="K1312" s="1466"/>
      <c r="L1312" s="1466"/>
      <c r="M1312" s="1540">
        <f t="shared" si="55"/>
        <v>1138512.4350000001</v>
      </c>
      <c r="N1312" s="166"/>
    </row>
    <row r="1313" spans="1:15" s="540" customFormat="1" ht="14.25" customHeight="1">
      <c r="A1313" s="1536">
        <v>130</v>
      </c>
      <c r="B1313" s="1537" t="e">
        <f>VLOOKUP(D1313,'[2]DS CN MOI UP'!$B$11:$C$447,2,0)</f>
        <v>#N/A</v>
      </c>
      <c r="C1313" s="1538" t="s">
        <v>1433</v>
      </c>
      <c r="D1313" s="1468" t="s">
        <v>751</v>
      </c>
      <c r="E1313" s="1468" t="s">
        <v>15</v>
      </c>
      <c r="F1313" s="1468"/>
      <c r="G1313" s="1540">
        <v>60000</v>
      </c>
      <c r="H1313" s="1540">
        <v>554373.09900000005</v>
      </c>
      <c r="I1313" s="1540">
        <v>524139.33600000001</v>
      </c>
      <c r="J1313" s="1466">
        <f t="shared" si="45"/>
        <v>1138512.4350000001</v>
      </c>
      <c r="K1313" s="1466"/>
      <c r="L1313" s="1466"/>
      <c r="M1313" s="1540">
        <f t="shared" si="55"/>
        <v>1138512.4350000001</v>
      </c>
      <c r="N1313" s="166"/>
    </row>
    <row r="1314" spans="1:15" s="540" customFormat="1" ht="14.25" customHeight="1">
      <c r="A1314" s="1536">
        <v>131</v>
      </c>
      <c r="B1314" s="1537" t="e">
        <f>VLOOKUP(D1314,'[2]DS CN MOI UP'!$B$11:$C$447,2,0)</f>
        <v>#N/A</v>
      </c>
      <c r="C1314" s="1538" t="s">
        <v>1434</v>
      </c>
      <c r="D1314" s="1468" t="s">
        <v>752</v>
      </c>
      <c r="E1314" s="1468" t="s">
        <v>15</v>
      </c>
      <c r="F1314" s="1468"/>
      <c r="G1314" s="1540">
        <v>60000</v>
      </c>
      <c r="H1314" s="1540">
        <v>635040.18900000001</v>
      </c>
      <c r="I1314" s="1540">
        <v>524139.33600000001</v>
      </c>
      <c r="J1314" s="1466">
        <f t="shared" si="45"/>
        <v>1219179.5249999999</v>
      </c>
      <c r="K1314" s="1466"/>
      <c r="L1314" s="1466"/>
      <c r="M1314" s="1540">
        <f t="shared" si="55"/>
        <v>1219179.5249999999</v>
      </c>
      <c r="N1314" s="166"/>
    </row>
    <row r="1315" spans="1:15" s="540" customFormat="1" ht="14.25" customHeight="1">
      <c r="A1315" s="1536">
        <v>132</v>
      </c>
      <c r="B1315" s="1537" t="str">
        <f>VLOOKUP(D1315,'[2]DS CN MOI UP'!$B$11:$C$447,2,0)</f>
        <v>02605</v>
      </c>
      <c r="C1315" s="1538" t="s">
        <v>1436</v>
      </c>
      <c r="D1315" s="1468" t="s">
        <v>258</v>
      </c>
      <c r="E1315" s="1468" t="s">
        <v>15</v>
      </c>
      <c r="F1315" s="1468"/>
      <c r="G1315" s="1540">
        <v>60000</v>
      </c>
      <c r="H1315" s="1540">
        <v>544338.9</v>
      </c>
      <c r="I1315" s="1540">
        <v>524139.33600000001</v>
      </c>
      <c r="J1315" s="1466">
        <f t="shared" si="45"/>
        <v>1128478.236</v>
      </c>
      <c r="K1315" s="1466"/>
      <c r="L1315" s="1466"/>
      <c r="M1315" s="1540">
        <f t="shared" si="55"/>
        <v>1128478.236</v>
      </c>
      <c r="N1315" s="166"/>
    </row>
    <row r="1316" spans="1:15" s="540" customFormat="1" ht="14.25" customHeight="1">
      <c r="A1316" s="1536">
        <v>133</v>
      </c>
      <c r="B1316" s="1537" t="e">
        <f>VLOOKUP(D1316,'[2]DS CN MOI UP'!$B$11:$C$447,2,0)</f>
        <v>#N/A</v>
      </c>
      <c r="C1316" s="1538" t="s">
        <v>1437</v>
      </c>
      <c r="D1316" s="1468" t="s">
        <v>754</v>
      </c>
      <c r="E1316" s="1468" t="s">
        <v>15</v>
      </c>
      <c r="F1316" s="1468"/>
      <c r="G1316" s="1540">
        <v>60000</v>
      </c>
      <c r="H1316" s="1540">
        <v>574572.66299999994</v>
      </c>
      <c r="I1316" s="1540">
        <v>524139.33600000001</v>
      </c>
      <c r="J1316" s="1466">
        <f t="shared" si="45"/>
        <v>1158711.9990000001</v>
      </c>
      <c r="K1316" s="1466"/>
      <c r="L1316" s="1466"/>
      <c r="M1316" s="1540">
        <f t="shared" si="55"/>
        <v>1158711.9990000001</v>
      </c>
      <c r="N1316" s="166"/>
    </row>
    <row r="1317" spans="1:15" s="540" customFormat="1" ht="14.25" customHeight="1">
      <c r="A1317" s="1536">
        <v>134</v>
      </c>
      <c r="B1317" s="1537" t="e">
        <f>VLOOKUP(D1317,'[2]DS CN MOI UP'!$B$11:$C$447,2,0)</f>
        <v>#N/A</v>
      </c>
      <c r="C1317" s="1538" t="s">
        <v>1438</v>
      </c>
      <c r="D1317" s="1468" t="s">
        <v>1469</v>
      </c>
      <c r="E1317" s="1468" t="s">
        <v>15</v>
      </c>
      <c r="F1317" s="1468"/>
      <c r="G1317" s="1540">
        <v>60000</v>
      </c>
      <c r="H1317" s="1540">
        <v>604806.42599999998</v>
      </c>
      <c r="I1317" s="1540">
        <v>524139.33600000001</v>
      </c>
      <c r="J1317" s="1466">
        <f t="shared" si="45"/>
        <v>1188945.7620000001</v>
      </c>
      <c r="K1317" s="1466"/>
      <c r="L1317" s="1466"/>
      <c r="M1317" s="1540">
        <f t="shared" si="55"/>
        <v>1188945.7620000001</v>
      </c>
      <c r="N1317" s="166"/>
    </row>
    <row r="1318" spans="1:15" s="540" customFormat="1" ht="14.25" customHeight="1">
      <c r="A1318" s="1536">
        <v>135</v>
      </c>
      <c r="B1318" s="1537" t="e">
        <f>VLOOKUP(D1318,'[2]DS CN MOI UP'!$B$11:$C$447,2,0)</f>
        <v>#N/A</v>
      </c>
      <c r="C1318" s="1538" t="s">
        <v>1440</v>
      </c>
      <c r="D1318" s="1468" t="s">
        <v>1470</v>
      </c>
      <c r="E1318" s="1468" t="s">
        <v>15</v>
      </c>
      <c r="F1318" s="1468"/>
      <c r="G1318" s="1540">
        <v>60000</v>
      </c>
      <c r="H1318" s="1540">
        <v>584606.86199999996</v>
      </c>
      <c r="I1318" s="1540">
        <v>524139.33600000001</v>
      </c>
      <c r="J1318" s="1466">
        <f t="shared" si="45"/>
        <v>1168746.1980000001</v>
      </c>
      <c r="K1318" s="1466"/>
      <c r="L1318" s="1466"/>
      <c r="M1318" s="1540">
        <f t="shared" si="55"/>
        <v>1168746.1980000001</v>
      </c>
      <c r="N1318" s="166"/>
    </row>
    <row r="1319" spans="1:15" s="540" customFormat="1" ht="14.25" customHeight="1">
      <c r="A1319" s="1536">
        <v>136</v>
      </c>
      <c r="B1319" s="1537" t="e">
        <f>VLOOKUP(D1319,'[2]DS CN MOI UP'!$B$11:$C$447,2,0)</f>
        <v>#N/A</v>
      </c>
      <c r="C1319" s="1538" t="s">
        <v>1442</v>
      </c>
      <c r="D1319" s="1468" t="s">
        <v>1471</v>
      </c>
      <c r="E1319" s="1468" t="s">
        <v>15</v>
      </c>
      <c r="F1319" s="1468"/>
      <c r="G1319" s="1540">
        <v>60000</v>
      </c>
      <c r="H1319" s="1540">
        <v>635040.18900000001</v>
      </c>
      <c r="I1319" s="1540">
        <v>524139.33600000001</v>
      </c>
      <c r="J1319" s="1466">
        <f t="shared" si="45"/>
        <v>1219179.5249999999</v>
      </c>
      <c r="K1319" s="1466"/>
      <c r="L1319" s="1466"/>
      <c r="M1319" s="1540">
        <f t="shared" si="55"/>
        <v>1219179.5249999999</v>
      </c>
      <c r="N1319" s="166"/>
    </row>
    <row r="1320" spans="1:15" s="540" customFormat="1" ht="14.25" customHeight="1">
      <c r="A1320" s="1536">
        <v>137</v>
      </c>
      <c r="B1320" s="1537" t="e">
        <f>VLOOKUP(D1320,'[2]DS CN MOI UP'!$B$11:$C$447,2,0)</f>
        <v>#N/A</v>
      </c>
      <c r="C1320" s="1538" t="s">
        <v>1444</v>
      </c>
      <c r="D1320" s="1468" t="s">
        <v>1472</v>
      </c>
      <c r="E1320" s="1468" t="s">
        <v>15</v>
      </c>
      <c r="F1320" s="1468"/>
      <c r="G1320" s="1540">
        <v>60000</v>
      </c>
      <c r="H1320" s="1540">
        <v>524139.33600000001</v>
      </c>
      <c r="I1320" s="1540">
        <v>524139.33600000001</v>
      </c>
      <c r="J1320" s="1466">
        <f t="shared" si="45"/>
        <v>1108278.672</v>
      </c>
      <c r="K1320" s="1466"/>
      <c r="L1320" s="1466"/>
      <c r="M1320" s="1540">
        <f t="shared" si="55"/>
        <v>1108278.672</v>
      </c>
      <c r="N1320" s="166"/>
    </row>
    <row r="1321" spans="1:15" s="540" customFormat="1" ht="14.25" customHeight="1">
      <c r="A1321" s="1536">
        <v>138</v>
      </c>
      <c r="B1321" s="1537" t="e">
        <f>VLOOKUP(D1321,'[2]DS CN MOI UP'!$B$11:$C$447,2,0)</f>
        <v>#N/A</v>
      </c>
      <c r="C1321" s="1549" t="s">
        <v>1445</v>
      </c>
      <c r="D1321" s="1468" t="s">
        <v>1473</v>
      </c>
      <c r="E1321" s="1468" t="s">
        <v>15</v>
      </c>
      <c r="F1321" s="1468"/>
      <c r="G1321" s="1540">
        <v>60000</v>
      </c>
      <c r="H1321" s="1540">
        <v>635040.18900000001</v>
      </c>
      <c r="I1321" s="1540">
        <v>524139.33600000001</v>
      </c>
      <c r="J1321" s="1466">
        <f t="shared" si="45"/>
        <v>1219179.5249999999</v>
      </c>
      <c r="K1321" s="1466"/>
      <c r="L1321" s="1466"/>
      <c r="M1321" s="1540">
        <f t="shared" si="55"/>
        <v>1219179.5249999999</v>
      </c>
      <c r="N1321" s="166"/>
    </row>
    <row r="1322" spans="1:15" s="540" customFormat="1" ht="14.25" customHeight="1">
      <c r="A1322" s="1536">
        <v>139</v>
      </c>
      <c r="B1322" s="1537" t="e">
        <f>VLOOKUP(D1322,'[2]DS CN MOI UP'!$B$11:$C$447,2,0)</f>
        <v>#N/A</v>
      </c>
      <c r="C1322" s="1549" t="s">
        <v>1447</v>
      </c>
      <c r="D1322" s="1468" t="s">
        <v>1474</v>
      </c>
      <c r="E1322" s="1468" t="s">
        <v>15</v>
      </c>
      <c r="F1322" s="1468"/>
      <c r="G1322" s="1540">
        <v>60000</v>
      </c>
      <c r="H1322" s="1540">
        <v>635040.18900000001</v>
      </c>
      <c r="I1322" s="1540">
        <v>524139.33600000001</v>
      </c>
      <c r="J1322" s="1466">
        <f t="shared" si="45"/>
        <v>1219179.5249999999</v>
      </c>
      <c r="K1322" s="1466"/>
      <c r="L1322" s="1466"/>
      <c r="M1322" s="1540">
        <f t="shared" si="55"/>
        <v>1219179.5249999999</v>
      </c>
      <c r="N1322" s="166"/>
    </row>
    <row r="1323" spans="1:15" s="540" customFormat="1" ht="14.25" customHeight="1">
      <c r="A1323" s="1536">
        <v>140</v>
      </c>
      <c r="B1323" s="1537" t="e">
        <f>VLOOKUP(D1323,'[2]DS CN MOI UP'!$B$11:$C$447,2,0)</f>
        <v>#N/A</v>
      </c>
      <c r="C1323" s="1549" t="s">
        <v>1448</v>
      </c>
      <c r="D1323" s="1468" t="s">
        <v>1475</v>
      </c>
      <c r="E1323" s="1468" t="s">
        <v>15</v>
      </c>
      <c r="F1323" s="1468"/>
      <c r="G1323" s="1540">
        <v>60000</v>
      </c>
      <c r="H1323" s="1540">
        <v>554373.09900000005</v>
      </c>
      <c r="I1323" s="1540">
        <v>524139.33600000001</v>
      </c>
      <c r="J1323" s="1466">
        <f t="shared" si="45"/>
        <v>1138512.4350000001</v>
      </c>
      <c r="K1323" s="1466"/>
      <c r="L1323" s="1466"/>
      <c r="M1323" s="1540">
        <f t="shared" si="55"/>
        <v>1138512.4350000001</v>
      </c>
      <c r="N1323" s="166"/>
    </row>
    <row r="1324" spans="1:15" s="540" customFormat="1" ht="14.25" customHeight="1">
      <c r="A1324" s="1536">
        <v>141</v>
      </c>
      <c r="B1324" s="1537" t="e">
        <f>VLOOKUP(D1324,'[2]DS CN MOI UP'!$B$11:$C$447,2,0)</f>
        <v>#N/A</v>
      </c>
      <c r="C1324" s="1549" t="s">
        <v>1450</v>
      </c>
      <c r="D1324" s="1468" t="s">
        <v>1476</v>
      </c>
      <c r="E1324" s="1468" t="s">
        <v>15</v>
      </c>
      <c r="F1324" s="1468"/>
      <c r="G1324" s="1540">
        <v>60000</v>
      </c>
      <c r="H1324" s="1540">
        <v>554373.09900000005</v>
      </c>
      <c r="I1324" s="1540">
        <v>524139.33600000001</v>
      </c>
      <c r="J1324" s="1466">
        <f t="shared" si="45"/>
        <v>1138512.4350000001</v>
      </c>
      <c r="K1324" s="1466"/>
      <c r="L1324" s="1466"/>
      <c r="M1324" s="1540">
        <f t="shared" si="55"/>
        <v>1138512.4350000001</v>
      </c>
      <c r="N1324" s="166"/>
    </row>
    <row r="1325" spans="1:15" s="540" customFormat="1" ht="14.25" customHeight="1">
      <c r="A1325" s="1536">
        <v>142</v>
      </c>
      <c r="B1325" s="1537" t="e">
        <f>VLOOKUP(D1325,'[2]DS CN MOI UP'!$B$11:$C$447,2,0)</f>
        <v>#N/A</v>
      </c>
      <c r="C1325" s="1549" t="s">
        <v>1451</v>
      </c>
      <c r="D1325" s="1468" t="s">
        <v>1477</v>
      </c>
      <c r="E1325" s="1468" t="s">
        <v>15</v>
      </c>
      <c r="F1325" s="1468"/>
      <c r="G1325" s="1540">
        <v>60000</v>
      </c>
      <c r="H1325" s="1540">
        <v>554373.09900000005</v>
      </c>
      <c r="I1325" s="1540">
        <v>524139.33600000001</v>
      </c>
      <c r="J1325" s="1466">
        <f t="shared" si="45"/>
        <v>1138512.4350000001</v>
      </c>
      <c r="K1325" s="1466"/>
      <c r="L1325" s="1466"/>
      <c r="M1325" s="1540">
        <f t="shared" si="55"/>
        <v>1138512.4350000001</v>
      </c>
      <c r="N1325" s="166"/>
    </row>
    <row r="1326" spans="1:15" s="540" customFormat="1" ht="14.25" customHeight="1">
      <c r="A1326" s="1536">
        <v>143</v>
      </c>
      <c r="B1326" s="1537" t="e">
        <f>VLOOKUP(D1326,'[2]DS CN MOI UP'!$B$11:$C$447,2,0)</f>
        <v>#N/A</v>
      </c>
      <c r="C1326" s="1549" t="s">
        <v>1453</v>
      </c>
      <c r="D1326" s="1550" t="s">
        <v>1478</v>
      </c>
      <c r="E1326" s="1468" t="s">
        <v>15</v>
      </c>
      <c r="F1326" s="1468"/>
      <c r="G1326" s="1540">
        <v>60000</v>
      </c>
      <c r="H1326" s="1540">
        <v>554373.09900000005</v>
      </c>
      <c r="I1326" s="1540">
        <v>524139.33600000001</v>
      </c>
      <c r="J1326" s="1466">
        <f t="shared" si="45"/>
        <v>1138512.4350000001</v>
      </c>
      <c r="K1326" s="1466"/>
      <c r="L1326" s="1466"/>
      <c r="M1326" s="1540">
        <f t="shared" si="55"/>
        <v>1138512.4350000001</v>
      </c>
      <c r="N1326" s="166"/>
    </row>
    <row r="1327" spans="1:15" s="540" customFormat="1" ht="14.25" customHeight="1">
      <c r="A1327" s="1536">
        <v>144</v>
      </c>
      <c r="B1327" s="1537" t="e">
        <f>VLOOKUP(D1327,'[2]DS CN MOI UP'!$B$11:$C$447,2,0)</f>
        <v>#N/A</v>
      </c>
      <c r="C1327" s="1549" t="s">
        <v>1455</v>
      </c>
      <c r="D1327" s="1471" t="s">
        <v>1479</v>
      </c>
      <c r="E1327" s="1468" t="s">
        <v>15</v>
      </c>
      <c r="F1327" s="1468"/>
      <c r="G1327" s="1540">
        <v>60000</v>
      </c>
      <c r="H1327" s="1540">
        <v>554373.09900000005</v>
      </c>
      <c r="I1327" s="1540">
        <v>524139.33600000001</v>
      </c>
      <c r="J1327" s="1466">
        <f t="shared" si="45"/>
        <v>1138512.4350000001</v>
      </c>
      <c r="K1327" s="1466"/>
      <c r="L1327" s="1466"/>
      <c r="M1327" s="1540">
        <f t="shared" si="55"/>
        <v>1138512.4350000001</v>
      </c>
      <c r="N1327" s="166"/>
      <c r="O1327" s="559"/>
    </row>
    <row r="1328" spans="1:15" s="540" customFormat="1" ht="14.25" customHeight="1">
      <c r="A1328" s="1536">
        <v>145</v>
      </c>
      <c r="B1328" s="1537" t="e">
        <f>VLOOKUP(D1328,'[2]DS CN MOI UP'!$B$11:$C$447,2,0)</f>
        <v>#N/A</v>
      </c>
      <c r="C1328" s="1549" t="s">
        <v>1456</v>
      </c>
      <c r="D1328" s="1471" t="s">
        <v>1480</v>
      </c>
      <c r="E1328" s="1468" t="s">
        <v>15</v>
      </c>
      <c r="F1328" s="1468"/>
      <c r="G1328" s="1540">
        <v>60000</v>
      </c>
      <c r="H1328" s="1540">
        <v>635040.18900000001</v>
      </c>
      <c r="I1328" s="1540">
        <v>524139.33600000001</v>
      </c>
      <c r="J1328" s="1466">
        <f t="shared" si="45"/>
        <v>1219179.5249999999</v>
      </c>
      <c r="K1328" s="1466"/>
      <c r="L1328" s="1466"/>
      <c r="M1328" s="1540">
        <f t="shared" si="55"/>
        <v>1219179.5249999999</v>
      </c>
      <c r="N1328" s="166"/>
    </row>
    <row r="1329" spans="1:14" s="540" customFormat="1" ht="14.25" customHeight="1">
      <c r="A1329" s="1536">
        <v>146</v>
      </c>
      <c r="B1329" s="1537" t="e">
        <f>VLOOKUP(D1329,'[2]DS CN MOI UP'!$B$11:$C$447,2,0)</f>
        <v>#N/A</v>
      </c>
      <c r="C1329" s="1549" t="s">
        <v>1456</v>
      </c>
      <c r="D1329" s="1471" t="s">
        <v>1481</v>
      </c>
      <c r="E1329" s="1468" t="s">
        <v>15</v>
      </c>
      <c r="F1329" s="1468"/>
      <c r="G1329" s="1540">
        <v>60000</v>
      </c>
      <c r="H1329" s="1540">
        <v>544338.9</v>
      </c>
      <c r="I1329" s="1540">
        <v>524139.33600000001</v>
      </c>
      <c r="J1329" s="1466">
        <f t="shared" si="45"/>
        <v>1128478.236</v>
      </c>
      <c r="K1329" s="1466"/>
      <c r="L1329" s="1466"/>
      <c r="M1329" s="1540">
        <f t="shared" si="55"/>
        <v>1128478.236</v>
      </c>
      <c r="N1329" s="166"/>
    </row>
    <row r="1330" spans="1:14" s="540" customFormat="1" ht="14.25" customHeight="1">
      <c r="A1330" s="1536">
        <v>147</v>
      </c>
      <c r="B1330" s="1537" t="e">
        <f>VLOOKUP(D1330,'[2]DS CN MOI UP'!$B$11:$C$447,2,0)</f>
        <v>#N/A</v>
      </c>
      <c r="C1330" s="1549" t="s">
        <v>1456</v>
      </c>
      <c r="D1330" s="1471" t="s">
        <v>1482</v>
      </c>
      <c r="E1330" s="1468" t="s">
        <v>15</v>
      </c>
      <c r="F1330" s="1468"/>
      <c r="G1330" s="1540">
        <v>60000</v>
      </c>
      <c r="H1330" s="1540">
        <v>574572.66299999994</v>
      </c>
      <c r="I1330" s="1540">
        <v>524139.33600000001</v>
      </c>
      <c r="J1330" s="1466">
        <f t="shared" si="45"/>
        <v>1158711.9990000001</v>
      </c>
      <c r="K1330" s="1466"/>
      <c r="L1330" s="1466"/>
      <c r="M1330" s="1540">
        <f t="shared" si="55"/>
        <v>1158711.9990000001</v>
      </c>
      <c r="N1330" s="166"/>
    </row>
    <row r="1331" spans="1:14" s="540" customFormat="1" ht="14.25" customHeight="1">
      <c r="A1331" s="1536">
        <v>148</v>
      </c>
      <c r="B1331" s="1537" t="e">
        <f>VLOOKUP(D1331,'[2]DS CN MOI UP'!$B$11:$C$447,2,0)</f>
        <v>#N/A</v>
      </c>
      <c r="C1331" s="1549" t="s">
        <v>1456</v>
      </c>
      <c r="D1331" s="1471" t="s">
        <v>1483</v>
      </c>
      <c r="E1331" s="1468" t="s">
        <v>15</v>
      </c>
      <c r="F1331" s="1468"/>
      <c r="G1331" s="1540">
        <v>524139.33600000001</v>
      </c>
      <c r="H1331" s="1540">
        <v>604806.42599999998</v>
      </c>
      <c r="I1331" s="1540"/>
      <c r="J1331" s="1466">
        <f t="shared" si="45"/>
        <v>1128945.7620000001</v>
      </c>
      <c r="K1331" s="1466"/>
      <c r="L1331" s="1466"/>
      <c r="M1331" s="1540">
        <f t="shared" si="55"/>
        <v>1128945.7620000001</v>
      </c>
      <c r="N1331" s="166"/>
    </row>
    <row r="1332" spans="1:14" s="540" customFormat="1" ht="14.25" customHeight="1">
      <c r="A1332" s="1536">
        <v>149</v>
      </c>
      <c r="B1332" s="1537" t="e">
        <f>VLOOKUP(D1332,'[2]DS CN MOI UP'!$B$11:$C$447,2,0)</f>
        <v>#N/A</v>
      </c>
      <c r="C1332" s="1549" t="s">
        <v>1456</v>
      </c>
      <c r="D1332" s="1471" t="s">
        <v>1484</v>
      </c>
      <c r="E1332" s="1468" t="s">
        <v>15</v>
      </c>
      <c r="F1332" s="1468"/>
      <c r="G1332" s="1540">
        <v>524139.33600000001</v>
      </c>
      <c r="H1332" s="1540">
        <v>584606.86199999996</v>
      </c>
      <c r="I1332" s="1540"/>
      <c r="J1332" s="1466">
        <f t="shared" si="45"/>
        <v>1108746.1980000001</v>
      </c>
      <c r="K1332" s="1466"/>
      <c r="L1332" s="1466"/>
      <c r="M1332" s="1540">
        <f t="shared" si="55"/>
        <v>1108746.1980000001</v>
      </c>
      <c r="N1332" s="166"/>
    </row>
    <row r="1333" spans="1:14" s="540" customFormat="1" ht="14.25" customHeight="1">
      <c r="A1333" s="1536">
        <v>150</v>
      </c>
      <c r="B1333" s="1537" t="e">
        <f>VLOOKUP(D1333,'[2]DS CN MOI UP'!$B$11:$C$447,2,0)</f>
        <v>#N/A</v>
      </c>
      <c r="C1333" s="1549" t="s">
        <v>1456</v>
      </c>
      <c r="D1333" s="1471" t="s">
        <v>1485</v>
      </c>
      <c r="E1333" s="1468" t="s">
        <v>15</v>
      </c>
      <c r="F1333" s="1468"/>
      <c r="G1333" s="1540">
        <v>524139.33600000001</v>
      </c>
      <c r="H1333" s="1540">
        <v>635040.18900000001</v>
      </c>
      <c r="I1333" s="1540"/>
      <c r="J1333" s="1466">
        <f t="shared" si="45"/>
        <v>1159179.5249999999</v>
      </c>
      <c r="K1333" s="1466"/>
      <c r="L1333" s="1466"/>
      <c r="M1333" s="1540">
        <f t="shared" si="55"/>
        <v>1159179.5249999999</v>
      </c>
      <c r="N1333" s="166"/>
    </row>
    <row r="1334" spans="1:14" s="540" customFormat="1" ht="14.25" customHeight="1">
      <c r="A1334" s="1536">
        <v>151</v>
      </c>
      <c r="B1334" s="1537" t="e">
        <f>VLOOKUP(D1334,'[2]DS CN MOI UP'!$B$11:$C$447,2,0)</f>
        <v>#N/A</v>
      </c>
      <c r="C1334" s="1549" t="s">
        <v>1456</v>
      </c>
      <c r="D1334" s="1471" t="s">
        <v>1486</v>
      </c>
      <c r="E1334" s="1468" t="s">
        <v>15</v>
      </c>
      <c r="F1334" s="1468"/>
      <c r="G1334" s="1540">
        <v>524139.33600000001</v>
      </c>
      <c r="H1334" s="1540">
        <v>524139.33600000001</v>
      </c>
      <c r="I1334" s="1540"/>
      <c r="J1334" s="1466">
        <f t="shared" si="45"/>
        <v>1048278.672</v>
      </c>
      <c r="K1334" s="1466"/>
      <c r="L1334" s="1466"/>
      <c r="M1334" s="1540">
        <f t="shared" si="55"/>
        <v>1048278.672</v>
      </c>
      <c r="N1334" s="166"/>
    </row>
    <row r="1335" spans="1:14" s="540" customFormat="1" ht="14.25" customHeight="1">
      <c r="A1335" s="1536">
        <v>152</v>
      </c>
      <c r="B1335" s="1537" t="e">
        <f>VLOOKUP(D1335,'[2]DS CN MOI UP'!$B$11:$C$447,2,0)</f>
        <v>#N/A</v>
      </c>
      <c r="C1335" s="1549" t="s">
        <v>1456</v>
      </c>
      <c r="D1335" s="1471" t="s">
        <v>1487</v>
      </c>
      <c r="E1335" s="1468" t="s">
        <v>1488</v>
      </c>
      <c r="F1335" s="1468"/>
      <c r="G1335" s="1540">
        <v>524139.33600000001</v>
      </c>
      <c r="H1335" s="1540">
        <v>635040.18900000001</v>
      </c>
      <c r="I1335" s="1540"/>
      <c r="J1335" s="1466">
        <f t="shared" si="45"/>
        <v>1159179.5249999999</v>
      </c>
      <c r="K1335" s="1466"/>
      <c r="L1335" s="1466"/>
      <c r="M1335" s="1540">
        <f t="shared" si="55"/>
        <v>1159179.5249999999</v>
      </c>
      <c r="N1335" s="166"/>
    </row>
    <row r="1336" spans="1:14" s="540" customFormat="1" ht="14.25" customHeight="1">
      <c r="A1336" s="1536">
        <v>153</v>
      </c>
      <c r="B1336" s="1537" t="e">
        <f>VLOOKUP(D1336,'[2]DS CN MOI UP'!$B$11:$C$447,2,0)</f>
        <v>#N/A</v>
      </c>
      <c r="C1336" s="1549" t="s">
        <v>1456</v>
      </c>
      <c r="D1336" s="1471" t="s">
        <v>1489</v>
      </c>
      <c r="E1336" s="1468" t="s">
        <v>1488</v>
      </c>
      <c r="F1336" s="1468"/>
      <c r="G1336" s="1540">
        <v>524139.33600000001</v>
      </c>
      <c r="H1336" s="1540">
        <v>635040.18900000001</v>
      </c>
      <c r="I1336" s="1540"/>
      <c r="J1336" s="1466">
        <f t="shared" si="45"/>
        <v>1159179.5249999999</v>
      </c>
      <c r="K1336" s="1466"/>
      <c r="L1336" s="1466"/>
      <c r="M1336" s="1540">
        <f t="shared" si="55"/>
        <v>1159179.5249999999</v>
      </c>
      <c r="N1336" s="166"/>
    </row>
    <row r="1337" spans="1:14" s="540" customFormat="1" ht="14.25" customHeight="1">
      <c r="A1337" s="1536">
        <v>154</v>
      </c>
      <c r="B1337" s="1537" t="e">
        <f>VLOOKUP(D1337,'[2]DS CN MOI UP'!$B$11:$C$447,2,0)</f>
        <v>#N/A</v>
      </c>
      <c r="C1337" s="1549" t="s">
        <v>1456</v>
      </c>
      <c r="D1337" s="1471" t="s">
        <v>1490</v>
      </c>
      <c r="E1337" s="1468" t="s">
        <v>15</v>
      </c>
      <c r="F1337" s="1468"/>
      <c r="G1337" s="1540">
        <v>524139.33600000001</v>
      </c>
      <c r="H1337" s="1540">
        <v>554373.09900000005</v>
      </c>
      <c r="I1337" s="1540"/>
      <c r="J1337" s="1466">
        <f t="shared" si="45"/>
        <v>1078512.4350000001</v>
      </c>
      <c r="K1337" s="1466"/>
      <c r="L1337" s="1466"/>
      <c r="M1337" s="1540">
        <f t="shared" si="55"/>
        <v>1078512.4350000001</v>
      </c>
      <c r="N1337" s="166"/>
    </row>
    <row r="1338" spans="1:14" s="540" customFormat="1" ht="14.25" customHeight="1">
      <c r="A1338" s="1536">
        <v>155</v>
      </c>
      <c r="B1338" s="1537" t="e">
        <f>VLOOKUP(D1338,'[2]DS CN MOI UP'!$B$11:$C$447,2,0)</f>
        <v>#N/A</v>
      </c>
      <c r="C1338" s="1549" t="s">
        <v>1456</v>
      </c>
      <c r="D1338" s="1471" t="s">
        <v>1491</v>
      </c>
      <c r="E1338" s="1468" t="s">
        <v>15</v>
      </c>
      <c r="F1338" s="1468"/>
      <c r="G1338" s="1540">
        <v>524139.33600000001</v>
      </c>
      <c r="H1338" s="1540">
        <v>554373.09900000005</v>
      </c>
      <c r="I1338" s="1540"/>
      <c r="J1338" s="1466">
        <f t="shared" si="45"/>
        <v>1078512.4350000001</v>
      </c>
      <c r="K1338" s="1466"/>
      <c r="L1338" s="1466"/>
      <c r="M1338" s="1540">
        <f t="shared" si="55"/>
        <v>1078512.4350000001</v>
      </c>
      <c r="N1338" s="166"/>
    </row>
    <row r="1339" spans="1:14" s="540" customFormat="1" ht="14.25" customHeight="1">
      <c r="A1339" s="1536">
        <v>156</v>
      </c>
      <c r="B1339" s="1537" t="e">
        <f>VLOOKUP(D1339,'[2]DS CN MOI UP'!$B$11:$C$447,2,0)</f>
        <v>#N/A</v>
      </c>
      <c r="C1339" s="1549" t="s">
        <v>1456</v>
      </c>
      <c r="D1339" s="1471" t="s">
        <v>1492</v>
      </c>
      <c r="E1339" s="1468" t="s">
        <v>15</v>
      </c>
      <c r="F1339" s="1468"/>
      <c r="G1339" s="1540">
        <v>524139.33600000001</v>
      </c>
      <c r="H1339" s="1540">
        <v>554373.09900000005</v>
      </c>
      <c r="I1339" s="1540"/>
      <c r="J1339" s="1466">
        <f t="shared" si="45"/>
        <v>1078512.4350000001</v>
      </c>
      <c r="K1339" s="1466"/>
      <c r="L1339" s="1466"/>
      <c r="M1339" s="1540">
        <f t="shared" si="55"/>
        <v>1078512.4350000001</v>
      </c>
      <c r="N1339" s="166"/>
    </row>
    <row r="1340" spans="1:14" s="540" customFormat="1" ht="14.25" customHeight="1">
      <c r="A1340" s="1536">
        <v>157</v>
      </c>
      <c r="B1340" s="1537" t="e">
        <f>VLOOKUP(D1340,'[2]DS CN MOI UP'!$B$11:$C$447,2,0)</f>
        <v>#N/A</v>
      </c>
      <c r="C1340" s="1549" t="s">
        <v>1456</v>
      </c>
      <c r="D1340" s="1471" t="s">
        <v>1493</v>
      </c>
      <c r="E1340" s="1468" t="s">
        <v>15</v>
      </c>
      <c r="F1340" s="1468"/>
      <c r="G1340" s="1540">
        <v>524139.33600000001</v>
      </c>
      <c r="H1340" s="1540">
        <v>554373.09900000005</v>
      </c>
      <c r="I1340" s="1540"/>
      <c r="J1340" s="1466">
        <f t="shared" si="45"/>
        <v>1078512.4350000001</v>
      </c>
      <c r="K1340" s="1466"/>
      <c r="L1340" s="1466"/>
      <c r="M1340" s="1540">
        <f t="shared" si="55"/>
        <v>1078512.4350000001</v>
      </c>
      <c r="N1340" s="166"/>
    </row>
    <row r="1341" spans="1:14" s="540" customFormat="1" ht="14.25" customHeight="1">
      <c r="A1341" s="1536">
        <v>158</v>
      </c>
      <c r="B1341" s="1537" t="e">
        <f>VLOOKUP(D1341,'[2]DS CN MOI UP'!$B$11:$C$447,2,0)</f>
        <v>#N/A</v>
      </c>
      <c r="C1341" s="1549" t="s">
        <v>1456</v>
      </c>
      <c r="D1341" s="1471" t="s">
        <v>1494</v>
      </c>
      <c r="E1341" s="1468" t="s">
        <v>15</v>
      </c>
      <c r="F1341" s="1468"/>
      <c r="G1341" s="1540">
        <v>524139.33600000001</v>
      </c>
      <c r="H1341" s="1540">
        <v>554373.09900000005</v>
      </c>
      <c r="I1341" s="1540"/>
      <c r="J1341" s="1466">
        <f t="shared" si="45"/>
        <v>1078512.4350000001</v>
      </c>
      <c r="K1341" s="1466"/>
      <c r="L1341" s="1466"/>
      <c r="M1341" s="1540">
        <f t="shared" si="55"/>
        <v>1078512.4350000001</v>
      </c>
      <c r="N1341" s="166"/>
    </row>
    <row r="1342" spans="1:14" s="540" customFormat="1" ht="14.25" customHeight="1">
      <c r="A1342" s="1536">
        <v>159</v>
      </c>
      <c r="B1342" s="1537" t="e">
        <f>VLOOKUP(D1342,'[2]DS CN MOI UP'!$B$11:$C$447,2,0)</f>
        <v>#N/A</v>
      </c>
      <c r="C1342" s="1549" t="s">
        <v>1456</v>
      </c>
      <c r="D1342" s="1471" t="s">
        <v>1495</v>
      </c>
      <c r="E1342" s="1468" t="s">
        <v>15</v>
      </c>
      <c r="F1342" s="1468"/>
      <c r="G1342" s="1540">
        <v>524139.33600000001</v>
      </c>
      <c r="H1342" s="1540">
        <v>635040.18900000001</v>
      </c>
      <c r="I1342" s="1540"/>
      <c r="J1342" s="1466">
        <f t="shared" si="45"/>
        <v>1159179.5249999999</v>
      </c>
      <c r="K1342" s="1466"/>
      <c r="L1342" s="1466"/>
      <c r="M1342" s="1540">
        <f t="shared" si="55"/>
        <v>1159179.5249999999</v>
      </c>
      <c r="N1342" s="166"/>
    </row>
    <row r="1343" spans="1:14" s="540" customFormat="1" ht="14.25" customHeight="1">
      <c r="A1343" s="1536">
        <v>160</v>
      </c>
      <c r="B1343" s="1537" t="e">
        <f>VLOOKUP(D1343,'[2]DS CN MOI UP'!$B$11:$C$447,2,0)</f>
        <v>#N/A</v>
      </c>
      <c r="C1343" s="1549" t="s">
        <v>1456</v>
      </c>
      <c r="D1343" s="1471" t="s">
        <v>1496</v>
      </c>
      <c r="E1343" s="1468" t="s">
        <v>15</v>
      </c>
      <c r="F1343" s="1468"/>
      <c r="G1343" s="1540">
        <v>524139.33600000001</v>
      </c>
      <c r="H1343" s="1540">
        <v>544338.9</v>
      </c>
      <c r="I1343" s="1540"/>
      <c r="J1343" s="1466">
        <f t="shared" si="45"/>
        <v>1068478.236</v>
      </c>
      <c r="K1343" s="1466"/>
      <c r="L1343" s="1466"/>
      <c r="M1343" s="1540">
        <f t="shared" si="55"/>
        <v>1068478.236</v>
      </c>
      <c r="N1343" s="166"/>
    </row>
    <row r="1344" spans="1:14" s="540" customFormat="1" ht="14.25" customHeight="1">
      <c r="A1344" s="1536">
        <v>161</v>
      </c>
      <c r="B1344" s="1537" t="e">
        <f>VLOOKUP(D1344,'[2]DS CN MOI UP'!$B$11:$C$447,2,0)</f>
        <v>#N/A</v>
      </c>
      <c r="C1344" s="1549" t="s">
        <v>1456</v>
      </c>
      <c r="D1344" s="1471" t="s">
        <v>1497</v>
      </c>
      <c r="E1344" s="1468" t="s">
        <v>15</v>
      </c>
      <c r="F1344" s="1468"/>
      <c r="G1344" s="1540">
        <v>524139.33600000001</v>
      </c>
      <c r="H1344" s="1540">
        <v>574572.66299999994</v>
      </c>
      <c r="I1344" s="1540"/>
      <c r="J1344" s="1466">
        <f t="shared" si="45"/>
        <v>1098711.9990000001</v>
      </c>
      <c r="K1344" s="1466"/>
      <c r="L1344" s="1466"/>
      <c r="M1344" s="1540">
        <f t="shared" si="55"/>
        <v>1098711.9990000001</v>
      </c>
      <c r="N1344" s="166"/>
    </row>
    <row r="1345" spans="1:15" s="540" customFormat="1" ht="14.25" customHeight="1">
      <c r="A1345" s="1536">
        <v>162</v>
      </c>
      <c r="B1345" s="1537" t="e">
        <f>VLOOKUP(D1345,'[2]DS CN MOI UP'!$B$11:$C$447,2,0)</f>
        <v>#N/A</v>
      </c>
      <c r="C1345" s="1549" t="s">
        <v>1456</v>
      </c>
      <c r="D1345" s="1471" t="s">
        <v>1498</v>
      </c>
      <c r="E1345" s="1468" t="s">
        <v>15</v>
      </c>
      <c r="F1345" s="1468"/>
      <c r="G1345" s="1540">
        <v>524139.33600000001</v>
      </c>
      <c r="H1345" s="1540">
        <v>604806.42599999998</v>
      </c>
      <c r="I1345" s="1540"/>
      <c r="J1345" s="1466">
        <f t="shared" si="45"/>
        <v>1128945.7620000001</v>
      </c>
      <c r="K1345" s="1466"/>
      <c r="L1345" s="1466"/>
      <c r="M1345" s="1540">
        <f t="shared" si="55"/>
        <v>1128945.7620000001</v>
      </c>
      <c r="N1345" s="166"/>
    </row>
    <row r="1346" spans="1:15" s="540" customFormat="1" ht="14.25" customHeight="1">
      <c r="A1346" s="1536">
        <v>163</v>
      </c>
      <c r="B1346" s="1537" t="e">
        <f>VLOOKUP(D1346,'[2]DS CN MOI UP'!$B$11:$C$447,2,0)</f>
        <v>#N/A</v>
      </c>
      <c r="C1346" s="1549" t="s">
        <v>1456</v>
      </c>
      <c r="D1346" s="1471" t="s">
        <v>1499</v>
      </c>
      <c r="E1346" s="1468" t="s">
        <v>15</v>
      </c>
      <c r="F1346" s="1468"/>
      <c r="G1346" s="1540">
        <v>524139.33600000001</v>
      </c>
      <c r="H1346" s="1540">
        <v>584606.86199999996</v>
      </c>
      <c r="I1346" s="1540"/>
      <c r="J1346" s="1466">
        <f t="shared" si="45"/>
        <v>1108746.1980000001</v>
      </c>
      <c r="K1346" s="1466"/>
      <c r="L1346" s="1466"/>
      <c r="M1346" s="1540">
        <f t="shared" si="55"/>
        <v>1108746.1980000001</v>
      </c>
      <c r="N1346" s="166"/>
    </row>
    <row r="1347" spans="1:15" s="540" customFormat="1" ht="14.25" customHeight="1">
      <c r="A1347" s="1536">
        <v>164</v>
      </c>
      <c r="B1347" s="1537" t="e">
        <f>VLOOKUP(D1347,'[2]DS CN MOI UP'!$B$11:$C$447,2,0)</f>
        <v>#N/A</v>
      </c>
      <c r="C1347" s="1549" t="s">
        <v>1456</v>
      </c>
      <c r="D1347" s="1471" t="s">
        <v>755</v>
      </c>
      <c r="E1347" s="1468" t="s">
        <v>15</v>
      </c>
      <c r="F1347" s="1468"/>
      <c r="G1347" s="1540">
        <v>524139.33600000001</v>
      </c>
      <c r="H1347" s="1540">
        <v>635040.18900000001</v>
      </c>
      <c r="I1347" s="1540"/>
      <c r="J1347" s="1466">
        <f t="shared" si="45"/>
        <v>1159179.5249999999</v>
      </c>
      <c r="K1347" s="1466"/>
      <c r="L1347" s="1466"/>
      <c r="M1347" s="1540">
        <f t="shared" si="55"/>
        <v>1159179.5249999999</v>
      </c>
      <c r="N1347" s="166"/>
    </row>
    <row r="1348" spans="1:15" s="540" customFormat="1" ht="14.25" customHeight="1">
      <c r="A1348" s="1536">
        <v>165</v>
      </c>
      <c r="B1348" s="1537" t="e">
        <f>VLOOKUP(D1348,'[2]DS CN MOI UP'!$B$11:$C$447,2,0)</f>
        <v>#N/A</v>
      </c>
      <c r="C1348" s="1549" t="s">
        <v>1456</v>
      </c>
      <c r="D1348" s="1471" t="s">
        <v>756</v>
      </c>
      <c r="E1348" s="1468" t="s">
        <v>15</v>
      </c>
      <c r="F1348" s="1468"/>
      <c r="G1348" s="1540">
        <v>524139.33600000001</v>
      </c>
      <c r="H1348" s="1540">
        <v>524139.33600000001</v>
      </c>
      <c r="I1348" s="1540"/>
      <c r="J1348" s="1466">
        <f t="shared" si="45"/>
        <v>1048278.672</v>
      </c>
      <c r="K1348" s="1466"/>
      <c r="L1348" s="1466"/>
      <c r="M1348" s="1540">
        <f t="shared" si="55"/>
        <v>1048278.672</v>
      </c>
      <c r="N1348" s="166"/>
    </row>
    <row r="1349" spans="1:15" s="540" customFormat="1" ht="14.25" customHeight="1">
      <c r="A1349" s="1536">
        <v>166</v>
      </c>
      <c r="B1349" s="1537" t="e">
        <f>VLOOKUP(D1349,'[2]DS CN MOI UP'!$B$11:$C$447,2,0)</f>
        <v>#N/A</v>
      </c>
      <c r="C1349" s="1549" t="s">
        <v>1456</v>
      </c>
      <c r="D1349" s="1471" t="s">
        <v>1500</v>
      </c>
      <c r="E1349" s="1468" t="s">
        <v>15</v>
      </c>
      <c r="F1349" s="1468"/>
      <c r="G1349" s="1540">
        <v>524139.33600000001</v>
      </c>
      <c r="H1349" s="1540">
        <v>635040.18900000001</v>
      </c>
      <c r="I1349" s="1540"/>
      <c r="J1349" s="1466">
        <f t="shared" si="45"/>
        <v>1159179.5249999999</v>
      </c>
      <c r="K1349" s="1466"/>
      <c r="L1349" s="1466"/>
      <c r="M1349" s="1540">
        <f t="shared" si="55"/>
        <v>1159179.5249999999</v>
      </c>
      <c r="N1349" s="166"/>
    </row>
    <row r="1350" spans="1:15" s="540" customFormat="1" ht="14.25" customHeight="1">
      <c r="A1350" s="1536">
        <v>167</v>
      </c>
      <c r="B1350" s="1537" t="str">
        <f>VLOOKUP(D1350,'[2]DS CN MOI UP'!$B$11:$C$447,2,0)</f>
        <v>02495</v>
      </c>
      <c r="C1350" s="1549" t="s">
        <v>1456</v>
      </c>
      <c r="D1350" s="1471" t="s">
        <v>120</v>
      </c>
      <c r="E1350" s="1468" t="s">
        <v>15</v>
      </c>
      <c r="F1350" s="1468"/>
      <c r="G1350" s="1540">
        <v>524139.33600000001</v>
      </c>
      <c r="H1350" s="1540">
        <v>635040.18900000001</v>
      </c>
      <c r="I1350" s="1540"/>
      <c r="J1350" s="1466">
        <f t="shared" si="45"/>
        <v>1159179.5249999999</v>
      </c>
      <c r="K1350" s="1466"/>
      <c r="L1350" s="1466"/>
      <c r="M1350" s="1540">
        <f t="shared" si="55"/>
        <v>1159179.5249999999</v>
      </c>
      <c r="N1350" s="166"/>
    </row>
    <row r="1351" spans="1:15" s="540" customFormat="1" ht="14.25" customHeight="1">
      <c r="A1351" s="1536">
        <v>168</v>
      </c>
      <c r="B1351" s="1537" t="str">
        <f>VLOOKUP(D1351,'[2]DS CN MOI UP'!$B$11:$C$447,2,0)</f>
        <v>02505</v>
      </c>
      <c r="C1351" s="1538" t="s">
        <v>1374</v>
      </c>
      <c r="D1351" s="1468" t="s">
        <v>117</v>
      </c>
      <c r="E1351" s="1468" t="s">
        <v>15</v>
      </c>
      <c r="F1351" s="1468"/>
      <c r="G1351" s="1540">
        <v>524139.33600000001</v>
      </c>
      <c r="H1351" s="1540">
        <v>554373.09900000005</v>
      </c>
      <c r="I1351" s="1540"/>
      <c r="J1351" s="1466">
        <f t="shared" si="45"/>
        <v>1078512.4350000001</v>
      </c>
      <c r="K1351" s="1466"/>
      <c r="L1351" s="1466"/>
      <c r="M1351" s="1540">
        <f t="shared" si="55"/>
        <v>1078512.4350000001</v>
      </c>
      <c r="N1351" s="166"/>
    </row>
    <row r="1352" spans="1:15" s="540" customFormat="1" ht="14.25" customHeight="1">
      <c r="A1352" s="1536">
        <v>169</v>
      </c>
      <c r="B1352" s="1537" t="str">
        <f>VLOOKUP(D1352,'[2]DS CN MOI UP'!$B$11:$C$447,2,0)</f>
        <v>02516</v>
      </c>
      <c r="C1352" s="1538" t="s">
        <v>1376</v>
      </c>
      <c r="D1352" s="1468" t="s">
        <v>122</v>
      </c>
      <c r="E1352" s="1468" t="s">
        <v>15</v>
      </c>
      <c r="F1352" s="1468"/>
      <c r="G1352" s="1540">
        <v>524139.33600000001</v>
      </c>
      <c r="H1352" s="1540">
        <v>554373.09900000005</v>
      </c>
      <c r="I1352" s="1540"/>
      <c r="J1352" s="1466">
        <f t="shared" si="45"/>
        <v>1078512.4350000001</v>
      </c>
      <c r="K1352" s="1466"/>
      <c r="L1352" s="1466"/>
      <c r="M1352" s="1540">
        <f t="shared" si="55"/>
        <v>1078512.4350000001</v>
      </c>
      <c r="N1352" s="166"/>
    </row>
    <row r="1353" spans="1:15" s="540" customFormat="1" ht="14.25" customHeight="1">
      <c r="A1353" s="1536">
        <v>170</v>
      </c>
      <c r="B1353" s="1537" t="str">
        <f>VLOOKUP(D1353,'[2]DS CN MOI UP'!$B$11:$C$447,2,0)</f>
        <v>03347</v>
      </c>
      <c r="C1353" s="1538" t="s">
        <v>1378</v>
      </c>
      <c r="D1353" s="1468" t="s">
        <v>121</v>
      </c>
      <c r="E1353" s="1468" t="s">
        <v>15</v>
      </c>
      <c r="F1353" s="1468"/>
      <c r="G1353" s="1540">
        <v>524139.33600000001</v>
      </c>
      <c r="H1353" s="1540">
        <v>554373.09900000005</v>
      </c>
      <c r="I1353" s="1540"/>
      <c r="J1353" s="1466">
        <f t="shared" si="45"/>
        <v>1078512.4350000001</v>
      </c>
      <c r="K1353" s="1466"/>
      <c r="L1353" s="1466"/>
      <c r="M1353" s="1540">
        <f t="shared" si="55"/>
        <v>1078512.4350000001</v>
      </c>
      <c r="N1353" s="166"/>
    </row>
    <row r="1354" spans="1:15" s="540" customFormat="1" ht="14.25" customHeight="1">
      <c r="A1354" s="1536">
        <v>171</v>
      </c>
      <c r="B1354" s="1537" t="str">
        <f>VLOOKUP(D1354,'[2]DS CN MOI UP'!$B$11:$C$447,2,0)</f>
        <v>02539</v>
      </c>
      <c r="C1354" s="1538" t="s">
        <v>1379</v>
      </c>
      <c r="D1354" s="1468" t="s">
        <v>195</v>
      </c>
      <c r="E1354" s="1468" t="s">
        <v>15</v>
      </c>
      <c r="F1354" s="1468"/>
      <c r="G1354" s="1540">
        <v>524139.33600000001</v>
      </c>
      <c r="H1354" s="1540">
        <v>554373.09900000005</v>
      </c>
      <c r="I1354" s="1540"/>
      <c r="J1354" s="1466">
        <f t="shared" si="45"/>
        <v>1078512.4350000001</v>
      </c>
      <c r="K1354" s="1466"/>
      <c r="L1354" s="1466"/>
      <c r="M1354" s="1540">
        <f t="shared" si="55"/>
        <v>1078512.4350000001</v>
      </c>
      <c r="N1354" s="166"/>
    </row>
    <row r="1355" spans="1:15" s="540" customFormat="1" ht="14.25" customHeight="1">
      <c r="A1355" s="1536">
        <v>172</v>
      </c>
      <c r="B1355" s="1537" t="e">
        <f>VLOOKUP(D1355,'[2]DS CN MOI UP'!$B$11:$C$447,2,0)</f>
        <v>#N/A</v>
      </c>
      <c r="C1355" s="1538" t="s">
        <v>1381</v>
      </c>
      <c r="D1355" s="1468" t="s">
        <v>1174</v>
      </c>
      <c r="E1355" s="1468" t="s">
        <v>15</v>
      </c>
      <c r="F1355" s="1468"/>
      <c r="G1355" s="1540">
        <v>343117.876000021</v>
      </c>
      <c r="H1355" s="1540">
        <v>554373.09900000005</v>
      </c>
      <c r="I1355" s="1540"/>
      <c r="J1355" s="1466">
        <f t="shared" si="45"/>
        <v>897490.97500002105</v>
      </c>
      <c r="K1355" s="1466"/>
      <c r="L1355" s="1466"/>
      <c r="M1355" s="1540">
        <f t="shared" si="55"/>
        <v>897490.97500002105</v>
      </c>
      <c r="N1355" s="166"/>
      <c r="O1355" s="540">
        <v>-181021.45999997901</v>
      </c>
    </row>
    <row r="1356" spans="1:15" s="540" customFormat="1" ht="14.25" customHeight="1">
      <c r="A1356" s="1536">
        <v>173</v>
      </c>
      <c r="B1356" s="1537" t="e">
        <f>VLOOKUP(D1356,'[2]DS CN MOI UP'!$B$11:$C$447,2,0)</f>
        <v>#N/A</v>
      </c>
      <c r="C1356" s="1538" t="s">
        <v>1382</v>
      </c>
      <c r="D1356" s="1468" t="s">
        <v>1175</v>
      </c>
      <c r="E1356" s="1468" t="s">
        <v>15</v>
      </c>
      <c r="F1356" s="1468"/>
      <c r="G1356" s="1540">
        <v>60000</v>
      </c>
      <c r="H1356" s="1466">
        <v>1159179.5249999999</v>
      </c>
      <c r="I1356" s="1540"/>
      <c r="J1356" s="1466">
        <f t="shared" si="45"/>
        <v>1219179.5249999999</v>
      </c>
      <c r="K1356" s="1466"/>
      <c r="L1356" s="1466"/>
      <c r="M1356" s="1540">
        <f t="shared" si="55"/>
        <v>1219179.5249999999</v>
      </c>
      <c r="N1356" s="166"/>
    </row>
    <row r="1357" spans="1:15" s="540" customFormat="1" ht="14.25" customHeight="1">
      <c r="A1357" s="1536">
        <v>174</v>
      </c>
      <c r="B1357" s="1537" t="e">
        <f>VLOOKUP(D1357,'[2]DS CN MOI UP'!$B$11:$C$447,2,0)</f>
        <v>#N/A</v>
      </c>
      <c r="C1357" s="1538" t="s">
        <v>1383</v>
      </c>
      <c r="D1357" s="1468" t="s">
        <v>1176</v>
      </c>
      <c r="E1357" s="1468" t="s">
        <v>15</v>
      </c>
      <c r="F1357" s="1468"/>
      <c r="G1357" s="1540"/>
      <c r="H1357" s="1466">
        <v>1239846.615</v>
      </c>
      <c r="I1357" s="1540"/>
      <c r="J1357" s="1466">
        <f t="shared" si="45"/>
        <v>1239846.615</v>
      </c>
      <c r="K1357" s="1466"/>
      <c r="L1357" s="1466"/>
      <c r="M1357" s="1540">
        <f t="shared" si="55"/>
        <v>1239846.615</v>
      </c>
      <c r="N1357" s="166"/>
    </row>
    <row r="1358" spans="1:15" s="540" customFormat="1" ht="14.25" customHeight="1">
      <c r="A1358" s="1536">
        <v>175</v>
      </c>
      <c r="B1358" s="1537" t="str">
        <f>VLOOKUP(D1358,'[2]DS CN MOI UP'!$B$11:$C$447,2,0)</f>
        <v>02541</v>
      </c>
      <c r="C1358" s="1538" t="s">
        <v>1384</v>
      </c>
      <c r="D1358" s="1468" t="s">
        <v>185</v>
      </c>
      <c r="E1358" s="1468" t="s">
        <v>15</v>
      </c>
      <c r="F1358" s="1468"/>
      <c r="G1358" s="1540">
        <v>60000</v>
      </c>
      <c r="H1358" s="1466">
        <v>1149145.3259999999</v>
      </c>
      <c r="I1358" s="1540"/>
      <c r="J1358" s="1466">
        <f t="shared" si="45"/>
        <v>1209145.3259999999</v>
      </c>
      <c r="K1358" s="1466"/>
      <c r="L1358" s="1466"/>
      <c r="M1358" s="1540">
        <f t="shared" si="55"/>
        <v>1209145.3259999999</v>
      </c>
      <c r="N1358" s="166"/>
    </row>
    <row r="1359" spans="1:15" s="540" customFormat="1" ht="14.25" customHeight="1">
      <c r="A1359" s="1536">
        <v>176</v>
      </c>
      <c r="B1359" s="1537" t="e">
        <f>VLOOKUP(D1359,'[2]DS CN MOI UP'!$B$11:$C$447,2,0)</f>
        <v>#N/A</v>
      </c>
      <c r="C1359" s="1538" t="s">
        <v>1385</v>
      </c>
      <c r="D1359" s="1468" t="s">
        <v>1177</v>
      </c>
      <c r="E1359" s="1468" t="s">
        <v>15</v>
      </c>
      <c r="F1359" s="1468"/>
      <c r="G1359" s="1540">
        <v>60000</v>
      </c>
      <c r="H1359" s="1466">
        <v>1229038.53819991</v>
      </c>
      <c r="I1359" s="1540"/>
      <c r="J1359" s="1466">
        <f t="shared" si="45"/>
        <v>1289038.53819991</v>
      </c>
      <c r="K1359" s="1466"/>
      <c r="L1359" s="1466"/>
      <c r="M1359" s="1540">
        <f t="shared" si="55"/>
        <v>1289038.53819991</v>
      </c>
      <c r="N1359" s="166"/>
    </row>
    <row r="1360" spans="1:15" s="540" customFormat="1" ht="14.25" customHeight="1">
      <c r="A1360" s="1536">
        <v>177</v>
      </c>
      <c r="B1360" s="1537" t="e">
        <f>VLOOKUP(D1360,'[2]DS CN MOI UP'!$B$11:$C$447,2,0)</f>
        <v>#N/A</v>
      </c>
      <c r="C1360" s="1538" t="s">
        <v>1387</v>
      </c>
      <c r="D1360" s="1468" t="s">
        <v>1178</v>
      </c>
      <c r="E1360" s="1468" t="s">
        <v>15</v>
      </c>
      <c r="F1360" s="1468"/>
      <c r="G1360" s="1540">
        <v>60000</v>
      </c>
      <c r="H1360" s="1466">
        <v>1159179.5249999999</v>
      </c>
      <c r="I1360" s="1540"/>
      <c r="J1360" s="1466">
        <f t="shared" si="45"/>
        <v>1219179.5249999999</v>
      </c>
      <c r="K1360" s="1466"/>
      <c r="L1360" s="1466"/>
      <c r="M1360" s="1540">
        <f t="shared" si="55"/>
        <v>1219179.5249999999</v>
      </c>
      <c r="N1360" s="166"/>
    </row>
    <row r="1361" spans="1:14" s="540" customFormat="1" ht="14.25" customHeight="1">
      <c r="A1361" s="1536">
        <v>178</v>
      </c>
      <c r="B1361" s="1537" t="str">
        <f>VLOOKUP(D1361,'[2]DS CN MOI UP'!$B$11:$C$447,2,0)</f>
        <v>02542</v>
      </c>
      <c r="C1361" s="1538" t="s">
        <v>1388</v>
      </c>
      <c r="D1361" s="1468" t="s">
        <v>504</v>
      </c>
      <c r="E1361" s="1468" t="s">
        <v>15</v>
      </c>
      <c r="F1361" s="1468"/>
      <c r="G1361" s="1540"/>
      <c r="H1361" s="1466">
        <v>1239846.615</v>
      </c>
      <c r="I1361" s="1540"/>
      <c r="J1361" s="1466">
        <f t="shared" si="45"/>
        <v>1239846.615</v>
      </c>
      <c r="K1361" s="1466"/>
      <c r="L1361" s="1466"/>
      <c r="M1361" s="1540">
        <f t="shared" si="55"/>
        <v>1239846.615</v>
      </c>
      <c r="N1361" s="166"/>
    </row>
    <row r="1362" spans="1:14" s="540" customFormat="1" ht="14.25" customHeight="1">
      <c r="A1362" s="1536">
        <v>179</v>
      </c>
      <c r="B1362" s="1537" t="str">
        <f>VLOOKUP(D1362,'[2]DS CN MOI UP'!$B$11:$C$447,2,0)</f>
        <v>02541</v>
      </c>
      <c r="C1362" s="1538" t="s">
        <v>1390</v>
      </c>
      <c r="D1362" s="1468" t="s">
        <v>185</v>
      </c>
      <c r="E1362" s="1468" t="s">
        <v>15</v>
      </c>
      <c r="F1362" s="1468"/>
      <c r="G1362" s="1540">
        <v>60000</v>
      </c>
      <c r="H1362" s="1466">
        <v>1149145.3259999999</v>
      </c>
      <c r="I1362" s="1540"/>
      <c r="J1362" s="1466">
        <f t="shared" si="45"/>
        <v>1209145.3259999999</v>
      </c>
      <c r="K1362" s="1466"/>
      <c r="L1362" s="1466"/>
      <c r="M1362" s="1540">
        <f t="shared" si="55"/>
        <v>1209145.3259999999</v>
      </c>
      <c r="N1362" s="166"/>
    </row>
    <row r="1363" spans="1:14" s="540" customFormat="1" ht="14.25" customHeight="1">
      <c r="A1363" s="1536">
        <v>180</v>
      </c>
      <c r="B1363" s="1537" t="e">
        <f>VLOOKUP(D1363,'[2]DS CN MOI UP'!$B$11:$C$447,2,0)</f>
        <v>#N/A</v>
      </c>
      <c r="C1363" s="1538" t="s">
        <v>1391</v>
      </c>
      <c r="D1363" s="1468" t="s">
        <v>972</v>
      </c>
      <c r="E1363" s="1468" t="s">
        <v>15</v>
      </c>
      <c r="F1363" s="1468"/>
      <c r="G1363" s="1540">
        <v>60000</v>
      </c>
      <c r="H1363" s="1466">
        <v>1229038.53819991</v>
      </c>
      <c r="I1363" s="1540"/>
      <c r="J1363" s="1466">
        <f t="shared" si="45"/>
        <v>1289038.53819991</v>
      </c>
      <c r="K1363" s="1466"/>
      <c r="L1363" s="1466"/>
      <c r="M1363" s="1540">
        <f t="shared" si="55"/>
        <v>1289038.53819991</v>
      </c>
      <c r="N1363" s="166"/>
    </row>
    <row r="1364" spans="1:14" s="540" customFormat="1" ht="14.25" customHeight="1">
      <c r="A1364" s="1536">
        <v>181</v>
      </c>
      <c r="B1364" s="1537" t="str">
        <f>VLOOKUP(D1364,'[2]DS CN MOI UP'!$B$11:$C$447,2,0)</f>
        <v>02543</v>
      </c>
      <c r="C1364" s="1538" t="s">
        <v>1392</v>
      </c>
      <c r="D1364" s="1468" t="s">
        <v>189</v>
      </c>
      <c r="E1364" s="1468" t="s">
        <v>15</v>
      </c>
      <c r="F1364" s="1468"/>
      <c r="G1364" s="1540">
        <v>60000</v>
      </c>
      <c r="H1364" s="1466">
        <v>1088677.8</v>
      </c>
      <c r="I1364" s="1540"/>
      <c r="J1364" s="1466">
        <f t="shared" si="45"/>
        <v>1148677.8</v>
      </c>
      <c r="K1364" s="1466"/>
      <c r="L1364" s="1466"/>
      <c r="M1364" s="1540">
        <f t="shared" si="55"/>
        <v>1148677.8</v>
      </c>
      <c r="N1364" s="166"/>
    </row>
    <row r="1365" spans="1:14" s="540" customFormat="1" ht="14.25" customHeight="1">
      <c r="A1365" s="1536">
        <v>182</v>
      </c>
      <c r="B1365" s="1537" t="str">
        <f>VLOOKUP(D1365,'[2]DS CN MOI UP'!$B$11:$C$447,2,0)</f>
        <v>02510</v>
      </c>
      <c r="C1365" s="1538" t="s">
        <v>1394</v>
      </c>
      <c r="D1365" s="1468" t="s">
        <v>41</v>
      </c>
      <c r="E1365" s="1468" t="s">
        <v>15</v>
      </c>
      <c r="F1365" s="1468"/>
      <c r="G1365" s="1540">
        <v>60000</v>
      </c>
      <c r="H1365" s="1540">
        <v>1148746.1980000001</v>
      </c>
      <c r="I1365" s="1540"/>
      <c r="J1365" s="1466">
        <f t="shared" si="45"/>
        <v>1208746.1980000001</v>
      </c>
      <c r="K1365" s="1466"/>
      <c r="L1365" s="1466"/>
      <c r="M1365" s="1540">
        <f t="shared" si="55"/>
        <v>1208746.1980000001</v>
      </c>
      <c r="N1365" s="166"/>
    </row>
    <row r="1366" spans="1:14" s="540" customFormat="1" ht="14.25" customHeight="1">
      <c r="A1366" s="1536">
        <v>183</v>
      </c>
      <c r="B1366" s="1537" t="e">
        <f>VLOOKUP(D1366,'[2]DS CN MOI UP'!$B$11:$C$447,2,0)</f>
        <v>#N/A</v>
      </c>
      <c r="C1366" s="1538" t="s">
        <v>1396</v>
      </c>
      <c r="D1366" s="1468" t="s">
        <v>1077</v>
      </c>
      <c r="E1366" s="1468" t="s">
        <v>15</v>
      </c>
      <c r="F1366" s="1468"/>
      <c r="G1366" s="1540"/>
      <c r="H1366" s="1540">
        <v>1270080.378</v>
      </c>
      <c r="I1366" s="1540"/>
      <c r="J1366" s="1466">
        <f t="shared" si="45"/>
        <v>1270080.378</v>
      </c>
      <c r="K1366" s="1466"/>
      <c r="L1366" s="1466"/>
      <c r="M1366" s="1540">
        <f t="shared" si="55"/>
        <v>1270080.378</v>
      </c>
      <c r="N1366" s="166"/>
    </row>
    <row r="1367" spans="1:14" s="540" customFormat="1" ht="14.25" customHeight="1">
      <c r="A1367" s="1536">
        <v>184</v>
      </c>
      <c r="B1367" s="1537" t="e">
        <f>VLOOKUP(D1367,'[2]DS CN MOI UP'!$B$11:$C$447,2,0)</f>
        <v>#N/A</v>
      </c>
      <c r="C1367" s="1538" t="s">
        <v>1398</v>
      </c>
      <c r="D1367" s="1468" t="s">
        <v>1179</v>
      </c>
      <c r="E1367" s="1468" t="s">
        <v>15</v>
      </c>
      <c r="F1367" s="1468"/>
      <c r="G1367" s="1540">
        <v>60000</v>
      </c>
      <c r="H1367" s="1540">
        <v>1128677.8</v>
      </c>
      <c r="I1367" s="1540"/>
      <c r="J1367" s="1466">
        <f t="shared" si="45"/>
        <v>1188677.8</v>
      </c>
      <c r="K1367" s="1466"/>
      <c r="L1367" s="1466"/>
      <c r="M1367" s="1540">
        <f t="shared" si="55"/>
        <v>1188677.8</v>
      </c>
      <c r="N1367" s="166"/>
    </row>
    <row r="1368" spans="1:14" s="540" customFormat="1" ht="14.25" customHeight="1">
      <c r="A1368" s="1536">
        <v>185</v>
      </c>
      <c r="B1368" s="1537" t="str">
        <f>VLOOKUP(D1368,'[2]DS CN MOI UP'!$B$11:$C$447,2,0)</f>
        <v>02545</v>
      </c>
      <c r="C1368" s="1538" t="s">
        <v>1383</v>
      </c>
      <c r="D1368" s="1468" t="s">
        <v>126</v>
      </c>
      <c r="E1368" s="1468" t="s">
        <v>15</v>
      </c>
      <c r="F1368" s="1468"/>
      <c r="G1368" s="1540">
        <v>60000</v>
      </c>
      <c r="H1368" s="1540">
        <v>1189145.3259999999</v>
      </c>
      <c r="I1368" s="1540"/>
      <c r="J1368" s="1466">
        <f t="shared" si="45"/>
        <v>1249145.3259999999</v>
      </c>
      <c r="K1368" s="1466"/>
      <c r="L1368" s="1466"/>
      <c r="M1368" s="1540">
        <f t="shared" si="55"/>
        <v>1249145.3259999999</v>
      </c>
      <c r="N1368" s="166"/>
    </row>
    <row r="1369" spans="1:14" s="540" customFormat="1" ht="14.25" customHeight="1">
      <c r="A1369" s="1536">
        <v>186</v>
      </c>
      <c r="B1369" s="1537" t="e">
        <f>VLOOKUP(D1369,'[2]DS CN MOI UP'!$B$11:$C$447,2,0)</f>
        <v>#N/A</v>
      </c>
      <c r="C1369" s="1538" t="s">
        <v>1384</v>
      </c>
      <c r="D1369" s="1468" t="s">
        <v>1180</v>
      </c>
      <c r="E1369" s="1468" t="s">
        <v>15</v>
      </c>
      <c r="F1369" s="1468"/>
      <c r="G1369" s="1540"/>
      <c r="H1369" s="1540">
        <v>1249612.852</v>
      </c>
      <c r="I1369" s="1540"/>
      <c r="J1369" s="1466">
        <f t="shared" ref="J1369:J1451" si="56">SUM(G1369:I1369)</f>
        <v>1249612.852</v>
      </c>
      <c r="K1369" s="1466"/>
      <c r="L1369" s="1466"/>
      <c r="M1369" s="1540">
        <f t="shared" si="55"/>
        <v>1249612.852</v>
      </c>
      <c r="N1369" s="166"/>
    </row>
    <row r="1370" spans="1:14" s="540" customFormat="1" ht="14.25" customHeight="1">
      <c r="A1370" s="1536">
        <v>187</v>
      </c>
      <c r="B1370" s="1537" t="str">
        <f>VLOOKUP(D1370,'[2]DS CN MOI UP'!$B$11:$C$447,2,0)</f>
        <v>03402</v>
      </c>
      <c r="C1370" s="1538" t="s">
        <v>1385</v>
      </c>
      <c r="D1370" s="1468" t="s">
        <v>312</v>
      </c>
      <c r="E1370" s="1468" t="s">
        <v>15</v>
      </c>
      <c r="F1370" s="1468"/>
      <c r="G1370" s="1540">
        <v>60000</v>
      </c>
      <c r="H1370" s="1540">
        <v>1159179.5249999999</v>
      </c>
      <c r="I1370" s="1540"/>
      <c r="J1370" s="1466">
        <f t="shared" si="56"/>
        <v>1219179.5249999999</v>
      </c>
      <c r="K1370" s="1466"/>
      <c r="L1370" s="1466"/>
      <c r="M1370" s="1540">
        <f t="shared" si="55"/>
        <v>1219179.5249999999</v>
      </c>
      <c r="N1370" s="166"/>
    </row>
    <row r="1371" spans="1:14" s="540" customFormat="1" ht="14.25" customHeight="1">
      <c r="A1371" s="1536">
        <v>188</v>
      </c>
      <c r="B1371" s="1537" t="e">
        <f>VLOOKUP(D1371,'[2]DS CN MOI UP'!$B$11:$C$447,2,0)</f>
        <v>#N/A</v>
      </c>
      <c r="C1371" s="1538" t="s">
        <v>1387</v>
      </c>
      <c r="D1371" s="1468" t="s">
        <v>1181</v>
      </c>
      <c r="E1371" s="1468" t="s">
        <v>15</v>
      </c>
      <c r="F1371" s="1468"/>
      <c r="G1371" s="1540">
        <v>60000</v>
      </c>
      <c r="H1371" s="1466">
        <v>1159179.5249999999</v>
      </c>
      <c r="I1371" s="1540"/>
      <c r="J1371" s="1466">
        <f t="shared" si="56"/>
        <v>1219179.5249999999</v>
      </c>
      <c r="K1371" s="1466"/>
      <c r="L1371" s="1466"/>
      <c r="M1371" s="1540">
        <f t="shared" si="55"/>
        <v>1219179.5249999999</v>
      </c>
      <c r="N1371" s="166"/>
    </row>
    <row r="1372" spans="1:14" s="540" customFormat="1" ht="14.25" customHeight="1">
      <c r="A1372" s="1536">
        <v>189</v>
      </c>
      <c r="B1372" s="1537" t="str">
        <f>VLOOKUP(D1372,'[2]DS CN MOI UP'!$B$11:$C$447,2,0)</f>
        <v>02547</v>
      </c>
      <c r="C1372" s="1538" t="s">
        <v>1388</v>
      </c>
      <c r="D1372" s="1468" t="s">
        <v>199</v>
      </c>
      <c r="E1372" s="1468" t="s">
        <v>15</v>
      </c>
      <c r="F1372" s="1468"/>
      <c r="G1372" s="1540">
        <v>60000</v>
      </c>
      <c r="H1372" s="1466">
        <v>1159179.5249999999</v>
      </c>
      <c r="I1372" s="1540"/>
      <c r="J1372" s="1466">
        <f t="shared" si="56"/>
        <v>1219179.5249999999</v>
      </c>
      <c r="K1372" s="1466"/>
      <c r="L1372" s="1466"/>
      <c r="M1372" s="1540">
        <f t="shared" si="55"/>
        <v>1219179.5249999999</v>
      </c>
      <c r="N1372" s="166"/>
    </row>
    <row r="1373" spans="1:14" s="540" customFormat="1" ht="14.25" customHeight="1">
      <c r="A1373" s="1536">
        <v>190</v>
      </c>
      <c r="B1373" s="1537" t="e">
        <f>VLOOKUP(D1373,'[2]DS CN MOI UP'!$B$11:$C$447,2,0)</f>
        <v>#N/A</v>
      </c>
      <c r="C1373" s="1538" t="s">
        <v>1390</v>
      </c>
      <c r="D1373" s="1468" t="s">
        <v>1182</v>
      </c>
      <c r="E1373" s="1468" t="s">
        <v>15</v>
      </c>
      <c r="F1373" s="1468"/>
      <c r="G1373" s="1540"/>
      <c r="H1373" s="1466">
        <v>1239846.615</v>
      </c>
      <c r="I1373" s="1540"/>
      <c r="J1373" s="1466">
        <f t="shared" si="56"/>
        <v>1239846.615</v>
      </c>
      <c r="K1373" s="1466"/>
      <c r="L1373" s="1466"/>
      <c r="M1373" s="1540">
        <f t="shared" si="55"/>
        <v>1239846.615</v>
      </c>
      <c r="N1373" s="166"/>
    </row>
    <row r="1374" spans="1:14" s="540" customFormat="1" ht="14.25" customHeight="1">
      <c r="A1374" s="1536">
        <v>191</v>
      </c>
      <c r="B1374" s="1537" t="e">
        <f>VLOOKUP(D1374,'[2]DS CN MOI UP'!$B$11:$C$447,2,0)</f>
        <v>#N/A</v>
      </c>
      <c r="C1374" s="1538" t="s">
        <v>1391</v>
      </c>
      <c r="D1374" s="1468" t="s">
        <v>1183</v>
      </c>
      <c r="E1374" s="1468" t="s">
        <v>15</v>
      </c>
      <c r="F1374" s="1468"/>
      <c r="G1374" s="1540">
        <v>60000</v>
      </c>
      <c r="H1374" s="1466">
        <v>1149145.3259999999</v>
      </c>
      <c r="I1374" s="1540"/>
      <c r="J1374" s="1466">
        <f t="shared" si="56"/>
        <v>1209145.3259999999</v>
      </c>
      <c r="K1374" s="1466"/>
      <c r="L1374" s="1466"/>
      <c r="M1374" s="1540">
        <f t="shared" si="55"/>
        <v>1209145.3259999999</v>
      </c>
      <c r="N1374" s="166"/>
    </row>
    <row r="1375" spans="1:14" s="540" customFormat="1" ht="14.25" customHeight="1">
      <c r="A1375" s="1536">
        <v>192</v>
      </c>
      <c r="B1375" s="1537" t="e">
        <f>VLOOKUP(D1375,'[2]DS CN MOI UP'!$B$11:$C$447,2,0)</f>
        <v>#N/A</v>
      </c>
      <c r="C1375" s="1538" t="s">
        <v>1392</v>
      </c>
      <c r="D1375" s="1468" t="s">
        <v>1184</v>
      </c>
      <c r="E1375" s="1468" t="s">
        <v>15</v>
      </c>
      <c r="F1375" s="1468"/>
      <c r="G1375" s="1540">
        <v>60000</v>
      </c>
      <c r="H1375" s="1466">
        <v>1229038.53819991</v>
      </c>
      <c r="I1375" s="1540"/>
      <c r="J1375" s="1466">
        <f t="shared" si="56"/>
        <v>1289038.53819991</v>
      </c>
      <c r="K1375" s="1466"/>
      <c r="L1375" s="1466"/>
      <c r="M1375" s="1540">
        <f t="shared" si="55"/>
        <v>1289038.53819991</v>
      </c>
      <c r="N1375" s="166"/>
    </row>
    <row r="1376" spans="1:14" s="540" customFormat="1" ht="14.25" customHeight="1">
      <c r="A1376" s="1536">
        <v>193</v>
      </c>
      <c r="B1376" s="1537" t="e">
        <f>VLOOKUP(D1376,'[2]DS CN MOI UP'!$B$11:$C$447,2,0)</f>
        <v>#N/A</v>
      </c>
      <c r="C1376" s="1538" t="s">
        <v>1394</v>
      </c>
      <c r="D1376" s="1468" t="s">
        <v>1185</v>
      </c>
      <c r="E1376" s="1468" t="s">
        <v>15</v>
      </c>
      <c r="F1376" s="1468"/>
      <c r="G1376" s="1540">
        <v>60000</v>
      </c>
      <c r="H1376" s="1466">
        <v>1159179.5249999999</v>
      </c>
      <c r="I1376" s="1540"/>
      <c r="J1376" s="1466">
        <f t="shared" si="56"/>
        <v>1219179.5249999999</v>
      </c>
      <c r="K1376" s="1466"/>
      <c r="L1376" s="1466"/>
      <c r="M1376" s="1540">
        <f t="shared" si="55"/>
        <v>1219179.5249999999</v>
      </c>
      <c r="N1376" s="166"/>
    </row>
    <row r="1377" spans="1:14" s="540" customFormat="1" ht="14.25" customHeight="1">
      <c r="A1377" s="1536">
        <v>194</v>
      </c>
      <c r="B1377" s="1537" t="e">
        <f>VLOOKUP(D1377,'[2]DS CN MOI UP'!$B$11:$C$447,2,0)</f>
        <v>#N/A</v>
      </c>
      <c r="C1377" s="1538" t="s">
        <v>1396</v>
      </c>
      <c r="D1377" s="1468" t="s">
        <v>1186</v>
      </c>
      <c r="E1377" s="1468" t="s">
        <v>15</v>
      </c>
      <c r="F1377" s="1468"/>
      <c r="G1377" s="1540"/>
      <c r="H1377" s="1466">
        <v>1239846.615</v>
      </c>
      <c r="I1377" s="1540"/>
      <c r="J1377" s="1466">
        <f t="shared" si="56"/>
        <v>1239846.615</v>
      </c>
      <c r="K1377" s="1466"/>
      <c r="L1377" s="1466"/>
      <c r="M1377" s="1540">
        <f t="shared" si="55"/>
        <v>1239846.615</v>
      </c>
      <c r="N1377" s="166"/>
    </row>
    <row r="1378" spans="1:14" s="540" customFormat="1" ht="14.25" customHeight="1">
      <c r="A1378" s="1536">
        <v>195</v>
      </c>
      <c r="B1378" s="1537" t="str">
        <f>VLOOKUP(D1378,'[2]DS CN MOI UP'!$B$11:$C$447,2,0)</f>
        <v>02518</v>
      </c>
      <c r="C1378" s="1538" t="s">
        <v>1398</v>
      </c>
      <c r="D1378" s="1468" t="s">
        <v>135</v>
      </c>
      <c r="E1378" s="1468" t="s">
        <v>15</v>
      </c>
      <c r="F1378" s="1468"/>
      <c r="G1378" s="1540">
        <v>60000</v>
      </c>
      <c r="H1378" s="1466">
        <v>1149145.3259999999</v>
      </c>
      <c r="I1378" s="1540"/>
      <c r="J1378" s="1466">
        <f t="shared" si="56"/>
        <v>1209145.3259999999</v>
      </c>
      <c r="K1378" s="1466"/>
      <c r="L1378" s="1466"/>
      <c r="M1378" s="1540">
        <f t="shared" si="55"/>
        <v>1209145.3259999999</v>
      </c>
      <c r="N1378" s="166"/>
    </row>
    <row r="1379" spans="1:14" s="540" customFormat="1" ht="14.25" customHeight="1">
      <c r="A1379" s="1536">
        <v>196</v>
      </c>
      <c r="B1379" s="1537" t="e">
        <f>VLOOKUP(D1379,'[2]DS CN MOI UP'!$B$11:$C$447,2,0)</f>
        <v>#N/A</v>
      </c>
      <c r="C1379" s="1538" t="s">
        <v>1405</v>
      </c>
      <c r="D1379" s="1468" t="s">
        <v>1187</v>
      </c>
      <c r="E1379" s="1468" t="s">
        <v>15</v>
      </c>
      <c r="F1379" s="1468"/>
      <c r="G1379" s="1540">
        <v>60000</v>
      </c>
      <c r="H1379" s="1466">
        <v>1229038.53819991</v>
      </c>
      <c r="I1379" s="1540"/>
      <c r="J1379" s="1466">
        <f t="shared" si="56"/>
        <v>1289038.53819991</v>
      </c>
      <c r="K1379" s="1466"/>
      <c r="L1379" s="1466"/>
      <c r="M1379" s="1540">
        <f t="shared" si="55"/>
        <v>1289038.53819991</v>
      </c>
      <c r="N1379" s="166"/>
    </row>
    <row r="1380" spans="1:14" s="540" customFormat="1" ht="14.25" customHeight="1">
      <c r="A1380" s="1536">
        <v>197</v>
      </c>
      <c r="B1380" s="1537" t="str">
        <f>VLOOKUP(D1380,'[2]DS CN MOI UP'!$B$11:$C$447,2,0)</f>
        <v>02519</v>
      </c>
      <c r="C1380" s="1538" t="s">
        <v>1406</v>
      </c>
      <c r="D1380" s="1468" t="s">
        <v>173</v>
      </c>
      <c r="E1380" s="1468" t="s">
        <v>15</v>
      </c>
      <c r="F1380" s="1468"/>
      <c r="G1380" s="1540">
        <v>60000</v>
      </c>
      <c r="H1380" s="1466">
        <v>1159179.5249999999</v>
      </c>
      <c r="I1380" s="1540"/>
      <c r="J1380" s="1466">
        <f t="shared" si="56"/>
        <v>1219179.5249999999</v>
      </c>
      <c r="K1380" s="1466"/>
      <c r="L1380" s="1466"/>
      <c r="M1380" s="1540">
        <f t="shared" si="55"/>
        <v>1219179.5249999999</v>
      </c>
      <c r="N1380" s="166"/>
    </row>
    <row r="1381" spans="1:14" s="540" customFormat="1" ht="14.25" customHeight="1">
      <c r="A1381" s="1536">
        <v>198</v>
      </c>
      <c r="B1381" s="1537" t="e">
        <f>VLOOKUP(D1381,'[2]DS CN MOI UP'!$B$11:$C$447,2,0)</f>
        <v>#N/A</v>
      </c>
      <c r="C1381" s="1538" t="s">
        <v>1408</v>
      </c>
      <c r="D1381" s="1468" t="s">
        <v>1188</v>
      </c>
      <c r="E1381" s="1468" t="s">
        <v>15</v>
      </c>
      <c r="F1381" s="1468"/>
      <c r="G1381" s="1540"/>
      <c r="H1381" s="1466">
        <v>1239846.615</v>
      </c>
      <c r="I1381" s="1540"/>
      <c r="J1381" s="1466">
        <f t="shared" si="56"/>
        <v>1239846.615</v>
      </c>
      <c r="K1381" s="1466"/>
      <c r="L1381" s="1466"/>
      <c r="M1381" s="1540">
        <f t="shared" si="55"/>
        <v>1239846.615</v>
      </c>
      <c r="N1381" s="166"/>
    </row>
    <row r="1382" spans="1:14" s="540" customFormat="1" ht="14.25" customHeight="1">
      <c r="A1382" s="1536">
        <v>199</v>
      </c>
      <c r="B1382" s="1537" t="e">
        <f>VLOOKUP(D1382,'[2]DS CN MOI UP'!$B$11:$C$447,2,0)</f>
        <v>#N/A</v>
      </c>
      <c r="C1382" s="1538" t="s">
        <v>1410</v>
      </c>
      <c r="D1382" s="1468" t="s">
        <v>1189</v>
      </c>
      <c r="E1382" s="1468" t="s">
        <v>15</v>
      </c>
      <c r="F1382" s="1468"/>
      <c r="G1382" s="1540">
        <v>60000</v>
      </c>
      <c r="H1382" s="1466">
        <v>1149145.3259999999</v>
      </c>
      <c r="I1382" s="1540"/>
      <c r="J1382" s="1466">
        <f t="shared" si="56"/>
        <v>1209145.3259999999</v>
      </c>
      <c r="K1382" s="1466"/>
      <c r="L1382" s="1466"/>
      <c r="M1382" s="1540">
        <f t="shared" si="55"/>
        <v>1209145.3259999999</v>
      </c>
      <c r="N1382" s="166"/>
    </row>
    <row r="1383" spans="1:14" s="540" customFormat="1" ht="14.25" customHeight="1">
      <c r="A1383" s="1536">
        <v>200</v>
      </c>
      <c r="B1383" s="1537" t="str">
        <f>VLOOKUP(D1383,'[2]DS CN MOI UP'!$B$11:$C$447,2,0)</f>
        <v>02520</v>
      </c>
      <c r="C1383" s="1538" t="s">
        <v>1412</v>
      </c>
      <c r="D1383" s="1468" t="s">
        <v>188</v>
      </c>
      <c r="E1383" s="1468" t="s">
        <v>15</v>
      </c>
      <c r="F1383" s="1468"/>
      <c r="G1383" s="1540">
        <v>60000</v>
      </c>
      <c r="H1383" s="1466">
        <v>1229038.53819991</v>
      </c>
      <c r="I1383" s="1540"/>
      <c r="J1383" s="1466">
        <f t="shared" si="56"/>
        <v>1289038.53819991</v>
      </c>
      <c r="K1383" s="1466"/>
      <c r="L1383" s="1466"/>
      <c r="M1383" s="1540">
        <f t="shared" si="55"/>
        <v>1289038.53819991</v>
      </c>
      <c r="N1383" s="166"/>
    </row>
    <row r="1384" spans="1:14" s="540" customFormat="1" ht="14.25" customHeight="1">
      <c r="A1384" s="1536">
        <v>201</v>
      </c>
      <c r="B1384" s="1537" t="e">
        <f>VLOOKUP(D1384,'[2]DS CN MOI UP'!$B$11:$C$447,2,0)</f>
        <v>#N/A</v>
      </c>
      <c r="C1384" s="1538" t="s">
        <v>1413</v>
      </c>
      <c r="D1384" s="1468" t="s">
        <v>1190</v>
      </c>
      <c r="E1384" s="1468" t="s">
        <v>15</v>
      </c>
      <c r="F1384" s="1468"/>
      <c r="G1384" s="1540">
        <v>60000</v>
      </c>
      <c r="H1384" s="1466">
        <v>1159179.5249999999</v>
      </c>
      <c r="I1384" s="1540"/>
      <c r="J1384" s="1466">
        <f t="shared" si="56"/>
        <v>1219179.5249999999</v>
      </c>
      <c r="K1384" s="1466"/>
      <c r="L1384" s="1466"/>
      <c r="M1384" s="1540">
        <f t="shared" si="55"/>
        <v>1219179.5249999999</v>
      </c>
      <c r="N1384" s="166"/>
    </row>
    <row r="1385" spans="1:14" s="540" customFormat="1" ht="14.25" customHeight="1">
      <c r="A1385" s="1536">
        <v>202</v>
      </c>
      <c r="B1385" s="1537" t="e">
        <f>VLOOKUP(D1385,'[2]DS CN MOI UP'!$B$11:$C$447,2,0)</f>
        <v>#N/A</v>
      </c>
      <c r="C1385" s="1538" t="s">
        <v>1414</v>
      </c>
      <c r="D1385" s="1468" t="s">
        <v>1191</v>
      </c>
      <c r="E1385" s="1468" t="s">
        <v>15</v>
      </c>
      <c r="F1385" s="1468"/>
      <c r="G1385" s="1540"/>
      <c r="H1385" s="1466">
        <v>1239846.615</v>
      </c>
      <c r="I1385" s="1540"/>
      <c r="J1385" s="1466">
        <f t="shared" si="56"/>
        <v>1239846.615</v>
      </c>
      <c r="K1385" s="1466"/>
      <c r="L1385" s="1466"/>
      <c r="M1385" s="1540">
        <f t="shared" si="55"/>
        <v>1239846.615</v>
      </c>
      <c r="N1385" s="166"/>
    </row>
    <row r="1386" spans="1:14" s="540" customFormat="1" ht="14.25" customHeight="1">
      <c r="A1386" s="1536">
        <v>203</v>
      </c>
      <c r="B1386" s="1537" t="str">
        <f>VLOOKUP(D1386,'[2]DS CN MOI UP'!$B$11:$C$447,2,0)</f>
        <v>02521</v>
      </c>
      <c r="C1386" s="1538" t="s">
        <v>1415</v>
      </c>
      <c r="D1386" s="1468" t="s">
        <v>137</v>
      </c>
      <c r="E1386" s="1468" t="s">
        <v>15</v>
      </c>
      <c r="F1386" s="1468"/>
      <c r="G1386" s="1540">
        <v>60000</v>
      </c>
      <c r="H1386" s="1466">
        <v>1149145.3259999999</v>
      </c>
      <c r="I1386" s="1540"/>
      <c r="J1386" s="1466">
        <f t="shared" si="56"/>
        <v>1209145.3259999999</v>
      </c>
      <c r="K1386" s="1466"/>
      <c r="L1386" s="1466"/>
      <c r="M1386" s="1540">
        <f t="shared" si="55"/>
        <v>1209145.3259999999</v>
      </c>
      <c r="N1386" s="166"/>
    </row>
    <row r="1387" spans="1:14" s="540" customFormat="1" ht="14.25" customHeight="1">
      <c r="A1387" s="1536">
        <v>204</v>
      </c>
      <c r="B1387" s="1537" t="e">
        <f>VLOOKUP(D1387,'[2]DS CN MOI UP'!$B$11:$C$447,2,0)</f>
        <v>#N/A</v>
      </c>
      <c r="C1387" s="1538" t="s">
        <v>1417</v>
      </c>
      <c r="D1387" s="1468" t="s">
        <v>1192</v>
      </c>
      <c r="E1387" s="1468" t="s">
        <v>15</v>
      </c>
      <c r="F1387" s="1468"/>
      <c r="G1387" s="1540">
        <v>60000</v>
      </c>
      <c r="H1387" s="1466">
        <v>1229038.53819991</v>
      </c>
      <c r="I1387" s="1540"/>
      <c r="J1387" s="1466">
        <f t="shared" si="56"/>
        <v>1289038.53819991</v>
      </c>
      <c r="K1387" s="1466"/>
      <c r="L1387" s="1466"/>
      <c r="M1387" s="1540">
        <f t="shared" si="55"/>
        <v>1289038.53819991</v>
      </c>
      <c r="N1387" s="166"/>
    </row>
    <row r="1388" spans="1:14" s="540" customFormat="1" ht="14.25" customHeight="1">
      <c r="A1388" s="1536">
        <v>205</v>
      </c>
      <c r="B1388" s="1537" t="str">
        <f>VLOOKUP(D1388,'[2]DS CN MOI UP'!$B$11:$C$447,2,0)</f>
        <v>02522</v>
      </c>
      <c r="C1388" s="1538" t="s">
        <v>1418</v>
      </c>
      <c r="D1388" s="1468" t="s">
        <v>162</v>
      </c>
      <c r="E1388" s="1468" t="s">
        <v>15</v>
      </c>
      <c r="F1388" s="1468"/>
      <c r="G1388" s="1540">
        <v>60000</v>
      </c>
      <c r="H1388" s="1466">
        <v>1088677.8</v>
      </c>
      <c r="I1388" s="1540"/>
      <c r="J1388" s="1466">
        <f t="shared" si="56"/>
        <v>1148677.8</v>
      </c>
      <c r="K1388" s="1466"/>
      <c r="L1388" s="1466"/>
      <c r="M1388" s="1540">
        <f t="shared" si="55"/>
        <v>1148677.8</v>
      </c>
      <c r="N1388" s="166"/>
    </row>
    <row r="1389" spans="1:14" s="540" customFormat="1" ht="14.25" customHeight="1">
      <c r="A1389" s="1536">
        <v>206</v>
      </c>
      <c r="B1389" s="1537" t="str">
        <f>VLOOKUP(D1389,'[2]DS CN MOI UP'!$B$11:$C$447,2,0)</f>
        <v>02666</v>
      </c>
      <c r="C1389" s="1538" t="s">
        <v>1420</v>
      </c>
      <c r="D1389" s="1468" t="s">
        <v>435</v>
      </c>
      <c r="E1389" s="1468" t="s">
        <v>15</v>
      </c>
      <c r="F1389" s="1468"/>
      <c r="G1389" s="1540">
        <v>60000</v>
      </c>
      <c r="H1389" s="1540">
        <v>1148746.1980000001</v>
      </c>
      <c r="I1389" s="1540"/>
      <c r="J1389" s="1466">
        <f t="shared" si="56"/>
        <v>1208746.1980000001</v>
      </c>
      <c r="K1389" s="1466"/>
      <c r="L1389" s="1466"/>
      <c r="M1389" s="1540">
        <f t="shared" si="55"/>
        <v>1208746.1980000001</v>
      </c>
      <c r="N1389" s="166"/>
    </row>
    <row r="1390" spans="1:14" s="540" customFormat="1" ht="14.25" customHeight="1">
      <c r="A1390" s="1536">
        <v>207</v>
      </c>
      <c r="B1390" s="1537" t="str">
        <f>VLOOKUP(D1390,'[2]DS CN MOI UP'!$B$11:$C$447,2,0)</f>
        <v>02523</v>
      </c>
      <c r="C1390" s="1538" t="s">
        <v>1422</v>
      </c>
      <c r="D1390" s="1468" t="s">
        <v>169</v>
      </c>
      <c r="E1390" s="1468" t="s">
        <v>15</v>
      </c>
      <c r="F1390" s="1468"/>
      <c r="G1390" s="1540">
        <v>60000</v>
      </c>
      <c r="H1390" s="1466">
        <v>1159179.5249999999</v>
      </c>
      <c r="I1390" s="1540"/>
      <c r="J1390" s="1466">
        <f t="shared" si="56"/>
        <v>1219179.5249999999</v>
      </c>
      <c r="K1390" s="1466"/>
      <c r="L1390" s="1466"/>
      <c r="M1390" s="1540">
        <f t="shared" si="55"/>
        <v>1219179.5249999999</v>
      </c>
      <c r="N1390" s="166"/>
    </row>
    <row r="1391" spans="1:14" s="540" customFormat="1" ht="14.25" customHeight="1">
      <c r="A1391" s="1536">
        <v>208</v>
      </c>
      <c r="B1391" s="1537" t="e">
        <f>VLOOKUP(D1391,'[2]DS CN MOI UP'!$B$11:$C$447,2,0)</f>
        <v>#N/A</v>
      </c>
      <c r="C1391" s="1538" t="s">
        <v>1424</v>
      </c>
      <c r="D1391" s="1468" t="s">
        <v>1193</v>
      </c>
      <c r="E1391" s="1468" t="s">
        <v>15</v>
      </c>
      <c r="F1391" s="1468"/>
      <c r="G1391" s="1540"/>
      <c r="H1391" s="1466">
        <v>1239846.615</v>
      </c>
      <c r="I1391" s="1540"/>
      <c r="J1391" s="1466">
        <f t="shared" si="56"/>
        <v>1239846.615</v>
      </c>
      <c r="K1391" s="1466"/>
      <c r="L1391" s="1466"/>
      <c r="M1391" s="1540">
        <f t="shared" si="55"/>
        <v>1239846.615</v>
      </c>
      <c r="N1391" s="166"/>
    </row>
    <row r="1392" spans="1:14" s="540" customFormat="1" ht="14.25" customHeight="1">
      <c r="A1392" s="1536">
        <v>209</v>
      </c>
      <c r="B1392" s="1537" t="str">
        <f>VLOOKUP(D1392,'[2]DS CN MOI UP'!$B$11:$C$447,2,0)</f>
        <v>02524</v>
      </c>
      <c r="C1392" s="1538" t="s">
        <v>1426</v>
      </c>
      <c r="D1392" s="1468" t="s">
        <v>139</v>
      </c>
      <c r="E1392" s="1468" t="s">
        <v>15</v>
      </c>
      <c r="F1392" s="1468"/>
      <c r="G1392" s="1540">
        <v>60000</v>
      </c>
      <c r="H1392" s="1466">
        <v>1149145.3259999999</v>
      </c>
      <c r="I1392" s="1540"/>
      <c r="J1392" s="1466">
        <f t="shared" si="56"/>
        <v>1209145.3259999999</v>
      </c>
      <c r="K1392" s="1466"/>
      <c r="L1392" s="1466"/>
      <c r="M1392" s="1540">
        <f t="shared" si="55"/>
        <v>1209145.3259999999</v>
      </c>
      <c r="N1392" s="166"/>
    </row>
    <row r="1393" spans="1:14" s="540" customFormat="1" ht="14.25" customHeight="1">
      <c r="A1393" s="1536">
        <v>210</v>
      </c>
      <c r="B1393" s="1537" t="e">
        <f>VLOOKUP(D1393,'[2]DS CN MOI UP'!$B$11:$C$447,2,0)</f>
        <v>#N/A</v>
      </c>
      <c r="C1393" s="1538" t="s">
        <v>1428</v>
      </c>
      <c r="D1393" s="1468" t="s">
        <v>1194</v>
      </c>
      <c r="E1393" s="1468" t="s">
        <v>15</v>
      </c>
      <c r="F1393" s="1468"/>
      <c r="G1393" s="1540">
        <v>60000</v>
      </c>
      <c r="H1393" s="1466">
        <v>1229038.53819991</v>
      </c>
      <c r="I1393" s="1540"/>
      <c r="J1393" s="1466">
        <f t="shared" si="56"/>
        <v>1289038.53819991</v>
      </c>
      <c r="K1393" s="1466"/>
      <c r="L1393" s="1466"/>
      <c r="M1393" s="1540">
        <f t="shared" si="55"/>
        <v>1289038.53819991</v>
      </c>
      <c r="N1393" s="166"/>
    </row>
    <row r="1394" spans="1:14" s="540" customFormat="1" ht="14.25" customHeight="1">
      <c r="A1394" s="1536">
        <v>211</v>
      </c>
      <c r="B1394" s="1537" t="str">
        <f>VLOOKUP(D1394,'[2]DS CN MOI UP'!$B$11:$C$447,2,0)</f>
        <v>02525</v>
      </c>
      <c r="C1394" s="1538" t="s">
        <v>1430</v>
      </c>
      <c r="D1394" s="1468" t="s">
        <v>180</v>
      </c>
      <c r="E1394" s="1468" t="s">
        <v>15</v>
      </c>
      <c r="F1394" s="1468"/>
      <c r="G1394" s="1540">
        <v>60000</v>
      </c>
      <c r="H1394" s="1466">
        <v>1159179.5249999999</v>
      </c>
      <c r="I1394" s="1540"/>
      <c r="J1394" s="1466">
        <f t="shared" si="56"/>
        <v>1219179.5249999999</v>
      </c>
      <c r="K1394" s="1466"/>
      <c r="L1394" s="1466"/>
      <c r="M1394" s="1540">
        <f t="shared" si="55"/>
        <v>1219179.5249999999</v>
      </c>
      <c r="N1394" s="166"/>
    </row>
    <row r="1395" spans="1:14" s="540" customFormat="1" ht="14.25" customHeight="1">
      <c r="A1395" s="1536">
        <v>212</v>
      </c>
      <c r="B1395" s="1537" t="e">
        <f>VLOOKUP(D1395,'[2]DS CN MOI UP'!$B$11:$C$447,2,0)</f>
        <v>#N/A</v>
      </c>
      <c r="C1395" s="1538" t="s">
        <v>1432</v>
      </c>
      <c r="D1395" s="1468" t="s">
        <v>1195</v>
      </c>
      <c r="E1395" s="1468" t="s">
        <v>15</v>
      </c>
      <c r="F1395" s="1468"/>
      <c r="G1395" s="1540"/>
      <c r="H1395" s="1466">
        <v>1239846.615</v>
      </c>
      <c r="I1395" s="1540"/>
      <c r="J1395" s="1466">
        <f t="shared" si="56"/>
        <v>1239846.615</v>
      </c>
      <c r="K1395" s="1466"/>
      <c r="L1395" s="1466"/>
      <c r="M1395" s="1540">
        <f t="shared" si="55"/>
        <v>1239846.615</v>
      </c>
      <c r="N1395" s="166"/>
    </row>
    <row r="1396" spans="1:14" s="540" customFormat="1" ht="14.25" customHeight="1">
      <c r="A1396" s="1536">
        <v>213</v>
      </c>
      <c r="B1396" s="1537" t="str">
        <f>VLOOKUP(D1396,'[2]DS CN MOI UP'!$B$11:$C$447,2,0)</f>
        <v>02526</v>
      </c>
      <c r="C1396" s="1538" t="s">
        <v>1433</v>
      </c>
      <c r="D1396" s="1468" t="s">
        <v>129</v>
      </c>
      <c r="E1396" s="1468" t="s">
        <v>15</v>
      </c>
      <c r="F1396" s="1468"/>
      <c r="G1396" s="1540">
        <v>60000</v>
      </c>
      <c r="H1396" s="1466">
        <v>1149145.3259999999</v>
      </c>
      <c r="I1396" s="1540"/>
      <c r="J1396" s="1466">
        <f t="shared" si="56"/>
        <v>1209145.3259999999</v>
      </c>
      <c r="K1396" s="1466"/>
      <c r="L1396" s="1466"/>
      <c r="M1396" s="1540">
        <f t="shared" si="55"/>
        <v>1209145.3259999999</v>
      </c>
      <c r="N1396" s="166"/>
    </row>
    <row r="1397" spans="1:14" s="540" customFormat="1" ht="14.25" customHeight="1">
      <c r="A1397" s="1536">
        <v>214</v>
      </c>
      <c r="B1397" s="1537" t="e">
        <f>VLOOKUP(D1397,'[2]DS CN MOI UP'!$B$11:$C$447,2,0)</f>
        <v>#N/A</v>
      </c>
      <c r="C1397" s="1538" t="s">
        <v>1434</v>
      </c>
      <c r="D1397" s="1468" t="s">
        <v>1196</v>
      </c>
      <c r="E1397" s="1468" t="s">
        <v>15</v>
      </c>
      <c r="F1397" s="1468"/>
      <c r="G1397" s="1540">
        <v>60000</v>
      </c>
      <c r="H1397" s="1466">
        <v>1229038.53819991</v>
      </c>
      <c r="I1397" s="1540"/>
      <c r="J1397" s="1466">
        <f t="shared" si="56"/>
        <v>1289038.53819991</v>
      </c>
      <c r="K1397" s="1466"/>
      <c r="L1397" s="1466"/>
      <c r="M1397" s="1540">
        <f t="shared" si="55"/>
        <v>1289038.53819991</v>
      </c>
      <c r="N1397" s="166"/>
    </row>
    <row r="1398" spans="1:14" s="540" customFormat="1" ht="14.25" customHeight="1">
      <c r="A1398" s="1536">
        <v>215</v>
      </c>
      <c r="B1398" s="1537" t="str">
        <f>VLOOKUP(D1398,'[2]DS CN MOI UP'!$B$11:$C$447,2,0)</f>
        <v>02527</v>
      </c>
      <c r="C1398" s="1538" t="s">
        <v>1436</v>
      </c>
      <c r="D1398" s="1468" t="s">
        <v>156</v>
      </c>
      <c r="E1398" s="1468" t="s">
        <v>15</v>
      </c>
      <c r="F1398" s="1468"/>
      <c r="G1398" s="1540">
        <v>60000</v>
      </c>
      <c r="H1398" s="1466">
        <v>1088677.8</v>
      </c>
      <c r="I1398" s="1540"/>
      <c r="J1398" s="1466">
        <f t="shared" si="56"/>
        <v>1148677.8</v>
      </c>
      <c r="K1398" s="1466"/>
      <c r="L1398" s="1466"/>
      <c r="M1398" s="1540">
        <f t="shared" si="55"/>
        <v>1148677.8</v>
      </c>
      <c r="N1398" s="166"/>
    </row>
    <row r="1399" spans="1:14" s="540" customFormat="1" ht="14.25" customHeight="1">
      <c r="A1399" s="1536">
        <v>216</v>
      </c>
      <c r="B1399" s="1537" t="e">
        <f>VLOOKUP(D1399,'[2]DS CN MOI UP'!$B$11:$C$447,2,0)</f>
        <v>#N/A</v>
      </c>
      <c r="C1399" s="1538" t="s">
        <v>1437</v>
      </c>
      <c r="D1399" s="1468" t="s">
        <v>1197</v>
      </c>
      <c r="E1399" s="1468" t="s">
        <v>15</v>
      </c>
      <c r="F1399" s="1468"/>
      <c r="G1399" s="1540">
        <v>60000</v>
      </c>
      <c r="H1399" s="1540">
        <v>1148746.1980000001</v>
      </c>
      <c r="I1399" s="1540"/>
      <c r="J1399" s="1466">
        <f t="shared" si="56"/>
        <v>1208746.1980000001</v>
      </c>
      <c r="K1399" s="1466"/>
      <c r="L1399" s="1466"/>
      <c r="M1399" s="1540">
        <f t="shared" si="55"/>
        <v>1208746.1980000001</v>
      </c>
      <c r="N1399" s="166"/>
    </row>
    <row r="1400" spans="1:14" s="540" customFormat="1" ht="14.25" customHeight="1">
      <c r="A1400" s="1536">
        <v>217</v>
      </c>
      <c r="B1400" s="1537" t="str">
        <f>VLOOKUP(D1400,'[2]DS CN MOI UP'!$B$11:$C$447,2,0)</f>
        <v>02528</v>
      </c>
      <c r="C1400" s="1538" t="s">
        <v>1438</v>
      </c>
      <c r="D1400" s="1468" t="s">
        <v>159</v>
      </c>
      <c r="E1400" s="1468" t="s">
        <v>15</v>
      </c>
      <c r="F1400" s="1468"/>
      <c r="G1400" s="1540"/>
      <c r="H1400" s="1540">
        <v>1270080.378</v>
      </c>
      <c r="I1400" s="1540"/>
      <c r="J1400" s="1466">
        <f t="shared" si="56"/>
        <v>1270080.378</v>
      </c>
      <c r="K1400" s="1466"/>
      <c r="L1400" s="1466"/>
      <c r="M1400" s="1540">
        <f t="shared" si="55"/>
        <v>1270080.378</v>
      </c>
      <c r="N1400" s="166"/>
    </row>
    <row r="1401" spans="1:14" s="540" customFormat="1" ht="14.25" customHeight="1">
      <c r="A1401" s="1536">
        <v>218</v>
      </c>
      <c r="B1401" s="1537" t="e">
        <f>VLOOKUP(D1401,'[2]DS CN MOI UP'!$B$11:$C$447,2,0)</f>
        <v>#N/A</v>
      </c>
      <c r="C1401" s="1538" t="s">
        <v>1440</v>
      </c>
      <c r="D1401" s="1468" t="s">
        <v>1198</v>
      </c>
      <c r="E1401" s="1468" t="s">
        <v>15</v>
      </c>
      <c r="F1401" s="1468"/>
      <c r="G1401" s="1540">
        <v>60000</v>
      </c>
      <c r="H1401" s="1540">
        <v>1128677.8</v>
      </c>
      <c r="I1401" s="1540"/>
      <c r="J1401" s="1466">
        <f t="shared" si="56"/>
        <v>1188677.8</v>
      </c>
      <c r="K1401" s="1466"/>
      <c r="L1401" s="1466"/>
      <c r="M1401" s="1540">
        <f t="shared" si="55"/>
        <v>1188677.8</v>
      </c>
      <c r="N1401" s="166"/>
    </row>
    <row r="1402" spans="1:14" s="540" customFormat="1" ht="14.25" customHeight="1">
      <c r="A1402" s="1536">
        <v>219</v>
      </c>
      <c r="B1402" s="1537" t="str">
        <f>VLOOKUP(D1402,'[2]DS CN MOI UP'!$B$11:$C$447,2,0)</f>
        <v>03850</v>
      </c>
      <c r="C1402" s="1538" t="s">
        <v>1442</v>
      </c>
      <c r="D1402" s="1468" t="s">
        <v>449</v>
      </c>
      <c r="E1402" s="1468" t="s">
        <v>15</v>
      </c>
      <c r="F1402" s="1468"/>
      <c r="G1402" s="1540">
        <v>60000</v>
      </c>
      <c r="H1402" s="1540">
        <v>1189145.3259999999</v>
      </c>
      <c r="I1402" s="1540"/>
      <c r="J1402" s="1466">
        <f t="shared" si="56"/>
        <v>1249145.3259999999</v>
      </c>
      <c r="K1402" s="1466"/>
      <c r="L1402" s="1466"/>
      <c r="M1402" s="1540">
        <f t="shared" si="55"/>
        <v>1249145.3259999999</v>
      </c>
      <c r="N1402" s="166"/>
    </row>
    <row r="1403" spans="1:14" s="540" customFormat="1" ht="14.25" customHeight="1">
      <c r="A1403" s="1536">
        <v>220</v>
      </c>
      <c r="B1403" s="1537" t="e">
        <f>VLOOKUP(D1403,'[2]DS CN MOI UP'!$B$11:$C$447,2,0)</f>
        <v>#N/A</v>
      </c>
      <c r="C1403" s="1538" t="s">
        <v>1444</v>
      </c>
      <c r="D1403" s="1468" t="s">
        <v>1162</v>
      </c>
      <c r="E1403" s="1468" t="s">
        <v>15</v>
      </c>
      <c r="F1403" s="1468"/>
      <c r="G1403" s="1540"/>
      <c r="H1403" s="1540">
        <v>1249612.852</v>
      </c>
      <c r="I1403" s="1540"/>
      <c r="J1403" s="1466">
        <f t="shared" si="56"/>
        <v>1249612.852</v>
      </c>
      <c r="K1403" s="1466"/>
      <c r="L1403" s="1466"/>
      <c r="M1403" s="1540">
        <f t="shared" si="55"/>
        <v>1249612.852</v>
      </c>
      <c r="N1403" s="166"/>
    </row>
    <row r="1404" spans="1:14" s="540" customFormat="1" ht="14.25" customHeight="1">
      <c r="A1404" s="1536">
        <v>221</v>
      </c>
      <c r="B1404" s="1537" t="e">
        <f>VLOOKUP(D1404,'[2]DS CN MOI UP'!$B$11:$C$447,2,0)</f>
        <v>#N/A</v>
      </c>
      <c r="C1404" s="1549" t="s">
        <v>1445</v>
      </c>
      <c r="D1404" s="1468" t="s">
        <v>1163</v>
      </c>
      <c r="E1404" s="1468" t="s">
        <v>15</v>
      </c>
      <c r="F1404" s="1468"/>
      <c r="G1404" s="1540">
        <v>60000</v>
      </c>
      <c r="H1404" s="1540">
        <v>1159179.5249999999</v>
      </c>
      <c r="I1404" s="1540"/>
      <c r="J1404" s="1466">
        <f t="shared" si="56"/>
        <v>1219179.5249999999</v>
      </c>
      <c r="K1404" s="1466"/>
      <c r="L1404" s="1466"/>
      <c r="M1404" s="1540">
        <f t="shared" si="55"/>
        <v>1219179.5249999999</v>
      </c>
      <c r="N1404" s="166"/>
    </row>
    <row r="1405" spans="1:14" s="540" customFormat="1" ht="14.25" customHeight="1">
      <c r="A1405" s="1536">
        <v>222</v>
      </c>
      <c r="B1405" s="1537" t="e">
        <f>VLOOKUP(D1405,'[2]DS CN MOI UP'!$B$11:$C$447,2,0)</f>
        <v>#N/A</v>
      </c>
      <c r="C1405" s="1549" t="s">
        <v>1447</v>
      </c>
      <c r="D1405" s="1468" t="s">
        <v>916</v>
      </c>
      <c r="E1405" s="1468" t="s">
        <v>15</v>
      </c>
      <c r="F1405" s="1468"/>
      <c r="G1405" s="1540">
        <v>60000</v>
      </c>
      <c r="H1405" s="1466">
        <v>1159179.5249999999</v>
      </c>
      <c r="I1405" s="1540"/>
      <c r="J1405" s="1466">
        <f t="shared" si="56"/>
        <v>1219179.5249999999</v>
      </c>
      <c r="K1405" s="1466"/>
      <c r="L1405" s="1466"/>
      <c r="M1405" s="1540">
        <f t="shared" si="55"/>
        <v>1219179.5249999999</v>
      </c>
      <c r="N1405" s="166"/>
    </row>
    <row r="1406" spans="1:14" s="540" customFormat="1" ht="14.25" customHeight="1">
      <c r="A1406" s="1536">
        <v>223</v>
      </c>
      <c r="B1406" s="1537" t="e">
        <f>VLOOKUP(D1406,'[2]DS CN MOI UP'!$B$11:$C$447,2,0)</f>
        <v>#N/A</v>
      </c>
      <c r="C1406" s="1549" t="s">
        <v>1448</v>
      </c>
      <c r="D1406" s="1468" t="s">
        <v>1164</v>
      </c>
      <c r="E1406" s="1468" t="s">
        <v>15</v>
      </c>
      <c r="F1406" s="1468"/>
      <c r="G1406" s="1540">
        <v>60000</v>
      </c>
      <c r="H1406" s="1466">
        <v>1159179.5249999999</v>
      </c>
      <c r="I1406" s="1540"/>
      <c r="J1406" s="1466">
        <f t="shared" si="56"/>
        <v>1219179.5249999999</v>
      </c>
      <c r="K1406" s="1466"/>
      <c r="L1406" s="1466"/>
      <c r="M1406" s="1540">
        <f t="shared" si="55"/>
        <v>1219179.5249999999</v>
      </c>
      <c r="N1406" s="166"/>
    </row>
    <row r="1407" spans="1:14" s="540" customFormat="1" ht="14.25" customHeight="1">
      <c r="A1407" s="1536">
        <v>224</v>
      </c>
      <c r="B1407" s="1537" t="e">
        <f>VLOOKUP(D1407,'[2]DS CN MOI UP'!$B$11:$C$447,2,0)</f>
        <v>#N/A</v>
      </c>
      <c r="C1407" s="1549" t="s">
        <v>1450</v>
      </c>
      <c r="D1407" s="1468" t="s">
        <v>1165</v>
      </c>
      <c r="E1407" s="1468" t="s">
        <v>15</v>
      </c>
      <c r="F1407" s="1468"/>
      <c r="G1407" s="1540"/>
      <c r="H1407" s="1466">
        <v>1239846.615</v>
      </c>
      <c r="I1407" s="1540"/>
      <c r="J1407" s="1466">
        <f t="shared" si="56"/>
        <v>1239846.615</v>
      </c>
      <c r="K1407" s="1466"/>
      <c r="L1407" s="1466"/>
      <c r="M1407" s="1540">
        <f t="shared" si="55"/>
        <v>1239846.615</v>
      </c>
      <c r="N1407" s="166"/>
    </row>
    <row r="1408" spans="1:14" s="540" customFormat="1" ht="14.25" customHeight="1">
      <c r="A1408" s="1536">
        <v>225</v>
      </c>
      <c r="B1408" s="1537" t="e">
        <f>VLOOKUP(D1408,'[2]DS CN MOI UP'!$B$11:$C$447,2,0)</f>
        <v>#N/A</v>
      </c>
      <c r="C1408" s="1549" t="s">
        <v>1451</v>
      </c>
      <c r="D1408" s="1468" t="s">
        <v>701</v>
      </c>
      <c r="E1408" s="1468" t="s">
        <v>15</v>
      </c>
      <c r="F1408" s="1468"/>
      <c r="G1408" s="1540">
        <v>60000</v>
      </c>
      <c r="H1408" s="1466">
        <v>1149145.3259999999</v>
      </c>
      <c r="I1408" s="1540"/>
      <c r="J1408" s="1466">
        <f t="shared" si="56"/>
        <v>1209145.3259999999</v>
      </c>
      <c r="K1408" s="1466"/>
      <c r="L1408" s="1466"/>
      <c r="M1408" s="1540">
        <f t="shared" si="55"/>
        <v>1209145.3259999999</v>
      </c>
      <c r="N1408" s="166"/>
    </row>
    <row r="1409" spans="1:15" s="540" customFormat="1" ht="14.25" customHeight="1">
      <c r="A1409" s="1536">
        <v>226</v>
      </c>
      <c r="B1409" s="1537" t="str">
        <f>VLOOKUP(D1409,'[2]DS CN MOI UP'!$B$11:$C$447,2,0)</f>
        <v>02532</v>
      </c>
      <c r="C1409" s="1549" t="s">
        <v>1453</v>
      </c>
      <c r="D1409" s="1550" t="s">
        <v>158</v>
      </c>
      <c r="E1409" s="1468" t="s">
        <v>15</v>
      </c>
      <c r="F1409" s="1468"/>
      <c r="G1409" s="1540">
        <v>60000</v>
      </c>
      <c r="H1409" s="1466">
        <v>1229038.53819991</v>
      </c>
      <c r="I1409" s="1540"/>
      <c r="J1409" s="1466">
        <f t="shared" si="56"/>
        <v>1289038.53819991</v>
      </c>
      <c r="K1409" s="1466"/>
      <c r="L1409" s="1466"/>
      <c r="M1409" s="1540">
        <f t="shared" si="55"/>
        <v>1289038.53819991</v>
      </c>
      <c r="N1409" s="166"/>
    </row>
    <row r="1410" spans="1:15" s="540" customFormat="1" ht="14.25" customHeight="1">
      <c r="A1410" s="1536">
        <v>227</v>
      </c>
      <c r="B1410" s="1537" t="e">
        <f>VLOOKUP(D1410,'[2]DS CN MOI UP'!$B$11:$C$447,2,0)</f>
        <v>#N/A</v>
      </c>
      <c r="C1410" s="1549" t="s">
        <v>1455</v>
      </c>
      <c r="D1410" s="1471" t="s">
        <v>1167</v>
      </c>
      <c r="E1410" s="1468" t="s">
        <v>15</v>
      </c>
      <c r="F1410" s="1468"/>
      <c r="G1410" s="1540">
        <v>60000</v>
      </c>
      <c r="H1410" s="1466">
        <v>1159179.5249999999</v>
      </c>
      <c r="I1410" s="1540"/>
      <c r="J1410" s="1466">
        <f t="shared" si="56"/>
        <v>1219179.5249999999</v>
      </c>
      <c r="K1410" s="1466"/>
      <c r="L1410" s="1466"/>
      <c r="M1410" s="1540">
        <f t="shared" si="55"/>
        <v>1219179.5249999999</v>
      </c>
      <c r="N1410" s="166"/>
      <c r="O1410" s="559"/>
    </row>
    <row r="1411" spans="1:15" s="540" customFormat="1" ht="14.25" customHeight="1">
      <c r="A1411" s="1536">
        <v>228</v>
      </c>
      <c r="B1411" s="1537" t="e">
        <f>VLOOKUP(D1411,'[2]DS CN MOI UP'!$B$11:$C$447,2,0)</f>
        <v>#N/A</v>
      </c>
      <c r="C1411" s="1549" t="s">
        <v>1456</v>
      </c>
      <c r="D1411" s="1471" t="s">
        <v>1168</v>
      </c>
      <c r="E1411" s="1468" t="s">
        <v>15</v>
      </c>
      <c r="F1411" s="1468"/>
      <c r="G1411" s="1540"/>
      <c r="H1411" s="1466">
        <v>1239846.615</v>
      </c>
      <c r="I1411" s="1540"/>
      <c r="J1411" s="1466">
        <f t="shared" si="56"/>
        <v>1239846.615</v>
      </c>
      <c r="K1411" s="1466"/>
      <c r="L1411" s="1466"/>
      <c r="M1411" s="1540">
        <f t="shared" si="55"/>
        <v>1239846.615</v>
      </c>
      <c r="N1411" s="166"/>
    </row>
    <row r="1412" spans="1:15" s="540" customFormat="1" ht="14.25" customHeight="1">
      <c r="A1412" s="1536">
        <v>229</v>
      </c>
      <c r="B1412" s="1537" t="str">
        <f>VLOOKUP(D1412,'[2]DS CN MOI UP'!$B$11:$C$447,2,0)</f>
        <v>02533</v>
      </c>
      <c r="C1412" s="1549" t="s">
        <v>1456</v>
      </c>
      <c r="D1412" s="1471" t="s">
        <v>198</v>
      </c>
      <c r="E1412" s="1468" t="s">
        <v>15</v>
      </c>
      <c r="F1412" s="1468"/>
      <c r="G1412" s="1540">
        <v>60000</v>
      </c>
      <c r="H1412" s="1466">
        <v>1149145.3259999999</v>
      </c>
      <c r="I1412" s="1540"/>
      <c r="J1412" s="1466">
        <f t="shared" si="56"/>
        <v>1209145.3259999999</v>
      </c>
      <c r="K1412" s="1466"/>
      <c r="L1412" s="1466"/>
      <c r="M1412" s="1540">
        <f t="shared" si="55"/>
        <v>1209145.3259999999</v>
      </c>
      <c r="N1412" s="166"/>
    </row>
    <row r="1413" spans="1:15" s="540" customFormat="1" ht="14.25" customHeight="1">
      <c r="A1413" s="1536">
        <v>230</v>
      </c>
      <c r="B1413" s="1537" t="e">
        <f>VLOOKUP(D1413,'[2]DS CN MOI UP'!$B$11:$C$447,2,0)</f>
        <v>#N/A</v>
      </c>
      <c r="C1413" s="1549" t="s">
        <v>1456</v>
      </c>
      <c r="D1413" s="1471" t="s">
        <v>1169</v>
      </c>
      <c r="E1413" s="1468" t="s">
        <v>15</v>
      </c>
      <c r="F1413" s="1468"/>
      <c r="G1413" s="1540">
        <v>60000</v>
      </c>
      <c r="H1413" s="1466">
        <v>1229038.53819991</v>
      </c>
      <c r="I1413" s="1540"/>
      <c r="J1413" s="1466">
        <f t="shared" si="56"/>
        <v>1289038.53819991</v>
      </c>
      <c r="K1413" s="1466"/>
      <c r="L1413" s="1466"/>
      <c r="M1413" s="1540">
        <f t="shared" si="55"/>
        <v>1289038.53819991</v>
      </c>
      <c r="N1413" s="166"/>
    </row>
    <row r="1414" spans="1:15" s="540" customFormat="1" ht="14.25" customHeight="1">
      <c r="A1414" s="1536">
        <v>231</v>
      </c>
      <c r="B1414" s="1537" t="e">
        <f>VLOOKUP(D1414,'[2]DS CN MOI UP'!$B$11:$C$447,2,0)</f>
        <v>#N/A</v>
      </c>
      <c r="C1414" s="1549" t="s">
        <v>1456</v>
      </c>
      <c r="D1414" s="1471" t="s">
        <v>1199</v>
      </c>
      <c r="E1414" s="1468" t="s">
        <v>15</v>
      </c>
      <c r="F1414" s="1468"/>
      <c r="G1414" s="1540">
        <v>60000</v>
      </c>
      <c r="H1414" s="1466">
        <v>1159179.5249999999</v>
      </c>
      <c r="I1414" s="1540"/>
      <c r="J1414" s="1466">
        <f t="shared" si="56"/>
        <v>1219179.5249999999</v>
      </c>
      <c r="K1414" s="1466"/>
      <c r="L1414" s="1466"/>
      <c r="M1414" s="1540">
        <f t="shared" si="55"/>
        <v>1219179.5249999999</v>
      </c>
      <c r="N1414" s="166"/>
    </row>
    <row r="1415" spans="1:15" s="540" customFormat="1" ht="14.25" customHeight="1">
      <c r="A1415" s="1536">
        <v>232</v>
      </c>
      <c r="B1415" s="1537" t="e">
        <f>VLOOKUP(D1415,'[2]DS CN MOI UP'!$B$11:$C$447,2,0)</f>
        <v>#N/A</v>
      </c>
      <c r="C1415" s="1549" t="s">
        <v>1456</v>
      </c>
      <c r="D1415" s="1471" t="s">
        <v>567</v>
      </c>
      <c r="E1415" s="1468" t="s">
        <v>15</v>
      </c>
      <c r="F1415" s="1468"/>
      <c r="G1415" s="1540"/>
      <c r="H1415" s="1466">
        <v>1239846.615</v>
      </c>
      <c r="I1415" s="1540"/>
      <c r="J1415" s="1466">
        <f t="shared" si="56"/>
        <v>1239846.615</v>
      </c>
      <c r="K1415" s="1466"/>
      <c r="L1415" s="1466"/>
      <c r="M1415" s="1540">
        <f t="shared" si="55"/>
        <v>1239846.615</v>
      </c>
      <c r="N1415" s="166"/>
    </row>
    <row r="1416" spans="1:15" s="540" customFormat="1" ht="14.25" customHeight="1">
      <c r="A1416" s="1536">
        <v>233</v>
      </c>
      <c r="B1416" s="1537" t="e">
        <f>VLOOKUP(D1416,'[2]DS CN MOI UP'!$B$11:$C$447,2,0)</f>
        <v>#N/A</v>
      </c>
      <c r="C1416" s="1549" t="s">
        <v>1456</v>
      </c>
      <c r="D1416" s="1471" t="s">
        <v>1170</v>
      </c>
      <c r="E1416" s="1468" t="s">
        <v>15</v>
      </c>
      <c r="F1416" s="1468"/>
      <c r="G1416" s="1540">
        <v>60000</v>
      </c>
      <c r="H1416" s="1466">
        <v>1149145.3259999999</v>
      </c>
      <c r="I1416" s="1540"/>
      <c r="J1416" s="1466">
        <f t="shared" si="56"/>
        <v>1209145.3259999999</v>
      </c>
      <c r="K1416" s="1466"/>
      <c r="L1416" s="1466"/>
      <c r="M1416" s="1540">
        <f t="shared" si="55"/>
        <v>1209145.3259999999</v>
      </c>
      <c r="N1416" s="166"/>
    </row>
    <row r="1417" spans="1:15" s="540" customFormat="1" ht="14.25" customHeight="1">
      <c r="A1417" s="1536">
        <v>234</v>
      </c>
      <c r="B1417" s="1537" t="str">
        <f>VLOOKUP(D1417,'[2]DS CN MOI UP'!$B$11:$C$447,2,0)</f>
        <v>02535</v>
      </c>
      <c r="C1417" s="1549" t="s">
        <v>1456</v>
      </c>
      <c r="D1417" s="1471" t="s">
        <v>165</v>
      </c>
      <c r="E1417" s="1468" t="s">
        <v>15</v>
      </c>
      <c r="F1417" s="1468"/>
      <c r="G1417" s="1540">
        <v>60000</v>
      </c>
      <c r="H1417" s="1466">
        <v>1229038.53819991</v>
      </c>
      <c r="I1417" s="1540"/>
      <c r="J1417" s="1466">
        <f t="shared" si="56"/>
        <v>1289038.53819991</v>
      </c>
      <c r="K1417" s="1466"/>
      <c r="L1417" s="1466"/>
      <c r="M1417" s="1540">
        <f t="shared" si="55"/>
        <v>1289038.53819991</v>
      </c>
      <c r="N1417" s="166"/>
    </row>
    <row r="1418" spans="1:15" s="540" customFormat="1" ht="14.25" customHeight="1">
      <c r="A1418" s="1536">
        <v>235</v>
      </c>
      <c r="B1418" s="1537" t="e">
        <f>VLOOKUP(D1418,'[2]DS CN MOI UP'!$B$11:$C$447,2,0)</f>
        <v>#N/A</v>
      </c>
      <c r="C1418" s="1549" t="s">
        <v>1456</v>
      </c>
      <c r="D1418" s="1471" t="s">
        <v>1171</v>
      </c>
      <c r="E1418" s="1468" t="s">
        <v>15</v>
      </c>
      <c r="F1418" s="1468"/>
      <c r="G1418" s="1540">
        <v>60000</v>
      </c>
      <c r="H1418" s="1466">
        <v>1159179.5249999999</v>
      </c>
      <c r="I1418" s="1540"/>
      <c r="J1418" s="1466">
        <f t="shared" si="56"/>
        <v>1219179.5249999999</v>
      </c>
      <c r="K1418" s="1466"/>
      <c r="L1418" s="1466"/>
      <c r="M1418" s="1540">
        <f t="shared" si="55"/>
        <v>1219179.5249999999</v>
      </c>
      <c r="N1418" s="166"/>
    </row>
    <row r="1419" spans="1:15" s="540" customFormat="1" ht="14.25" customHeight="1">
      <c r="A1419" s="1536">
        <v>236</v>
      </c>
      <c r="B1419" s="1537" t="str">
        <f>VLOOKUP(D1419,'[2]DS CN MOI UP'!$B$11:$C$447,2,0)</f>
        <v>02536</v>
      </c>
      <c r="C1419" s="1549" t="s">
        <v>1456</v>
      </c>
      <c r="D1419" s="1471" t="s">
        <v>155</v>
      </c>
      <c r="E1419" s="1468" t="s">
        <v>15</v>
      </c>
      <c r="F1419" s="1468"/>
      <c r="G1419" s="1540"/>
      <c r="H1419" s="1466">
        <v>1239846.615</v>
      </c>
      <c r="I1419" s="1540"/>
      <c r="J1419" s="1466">
        <f t="shared" si="56"/>
        <v>1239846.615</v>
      </c>
      <c r="K1419" s="1466"/>
      <c r="L1419" s="1466"/>
      <c r="M1419" s="1540">
        <f t="shared" si="55"/>
        <v>1239846.615</v>
      </c>
      <c r="N1419" s="166"/>
    </row>
    <row r="1420" spans="1:15" s="540" customFormat="1" ht="14.25" customHeight="1">
      <c r="A1420" s="1536">
        <v>237</v>
      </c>
      <c r="B1420" s="1537" t="e">
        <f>VLOOKUP(D1420,'[2]DS CN MOI UP'!$B$11:$C$447,2,0)</f>
        <v>#N/A</v>
      </c>
      <c r="C1420" s="1549" t="s">
        <v>1456</v>
      </c>
      <c r="D1420" s="1471" t="s">
        <v>1172</v>
      </c>
      <c r="E1420" s="1468" t="s">
        <v>15</v>
      </c>
      <c r="F1420" s="1468"/>
      <c r="G1420" s="1540">
        <v>60000</v>
      </c>
      <c r="H1420" s="1466">
        <v>1149145.3259999999</v>
      </c>
      <c r="I1420" s="1540"/>
      <c r="J1420" s="1466">
        <f t="shared" si="56"/>
        <v>1209145.3259999999</v>
      </c>
      <c r="K1420" s="1466"/>
      <c r="L1420" s="1466"/>
      <c r="M1420" s="1540">
        <f t="shared" si="55"/>
        <v>1209145.3259999999</v>
      </c>
      <c r="N1420" s="166"/>
    </row>
    <row r="1421" spans="1:15" s="540" customFormat="1" ht="14.25" customHeight="1">
      <c r="A1421" s="1536">
        <v>238</v>
      </c>
      <c r="B1421" s="1537" t="e">
        <f>VLOOKUP(D1421,'[2]DS CN MOI UP'!$B$11:$C$447,2,0)</f>
        <v>#N/A</v>
      </c>
      <c r="C1421" s="1549" t="s">
        <v>1456</v>
      </c>
      <c r="D1421" s="1471" t="s">
        <v>1173</v>
      </c>
      <c r="E1421" s="1468" t="s">
        <v>15</v>
      </c>
      <c r="F1421" s="1468"/>
      <c r="G1421" s="1540">
        <v>60000</v>
      </c>
      <c r="H1421" s="1466">
        <v>1229038.53819991</v>
      </c>
      <c r="I1421" s="1540"/>
      <c r="J1421" s="1466">
        <f t="shared" si="56"/>
        <v>1289038.53819991</v>
      </c>
      <c r="K1421" s="1466"/>
      <c r="L1421" s="1466"/>
      <c r="M1421" s="1540">
        <f t="shared" si="55"/>
        <v>1289038.53819991</v>
      </c>
      <c r="N1421" s="166"/>
    </row>
    <row r="1422" spans="1:15" s="540" customFormat="1" ht="14.25" customHeight="1">
      <c r="A1422" s="1536">
        <v>239</v>
      </c>
      <c r="B1422" s="1537" t="e">
        <f>VLOOKUP(D1422,'[2]DS CN MOI UP'!$B$11:$C$447,2,0)</f>
        <v>#N/A</v>
      </c>
      <c r="C1422" s="1549" t="s">
        <v>1456</v>
      </c>
      <c r="D1422" s="1471" t="s">
        <v>1200</v>
      </c>
      <c r="E1422" s="1468" t="s">
        <v>15</v>
      </c>
      <c r="F1422" s="1468"/>
      <c r="G1422" s="1540">
        <v>60000</v>
      </c>
      <c r="H1422" s="1466">
        <v>1088677.8</v>
      </c>
      <c r="I1422" s="1540"/>
      <c r="J1422" s="1466">
        <f t="shared" si="56"/>
        <v>1148677.8</v>
      </c>
      <c r="K1422" s="1466"/>
      <c r="L1422" s="1466"/>
      <c r="M1422" s="1540">
        <f t="shared" si="55"/>
        <v>1148677.8</v>
      </c>
      <c r="N1422" s="166"/>
    </row>
    <row r="1423" spans="1:15" s="540" customFormat="1" ht="14.25" customHeight="1">
      <c r="A1423" s="1536">
        <v>240</v>
      </c>
      <c r="B1423" s="1537" t="str">
        <f>VLOOKUP(D1423,'[2]DS CN MOI UP'!$B$11:$C$447,2,0)</f>
        <v>02538</v>
      </c>
      <c r="C1423" s="1549" t="s">
        <v>1456</v>
      </c>
      <c r="D1423" s="1471" t="s">
        <v>150</v>
      </c>
      <c r="E1423" s="1468" t="s">
        <v>15</v>
      </c>
      <c r="F1423" s="1468"/>
      <c r="G1423" s="1540">
        <v>60000</v>
      </c>
      <c r="H1423" s="1540">
        <v>1148746.1980000001</v>
      </c>
      <c r="I1423" s="1540"/>
      <c r="J1423" s="1466">
        <f t="shared" si="56"/>
        <v>1208746.1980000001</v>
      </c>
      <c r="K1423" s="1466"/>
      <c r="L1423" s="1466"/>
      <c r="M1423" s="1540">
        <f t="shared" si="55"/>
        <v>1208746.1980000001</v>
      </c>
      <c r="N1423" s="166"/>
    </row>
    <row r="1424" spans="1:15" s="540" customFormat="1" ht="14.25" customHeight="1">
      <c r="A1424" s="1536">
        <v>241</v>
      </c>
      <c r="B1424" s="1537" t="e">
        <f>VLOOKUP(D1424,'[2]DS CN MOI UP'!$B$11:$C$447,2,0)</f>
        <v>#N/A</v>
      </c>
      <c r="C1424" s="1549" t="s">
        <v>1456</v>
      </c>
      <c r="D1424" s="1471" t="s">
        <v>1201</v>
      </c>
      <c r="E1424" s="1468" t="s">
        <v>15</v>
      </c>
      <c r="F1424" s="1468"/>
      <c r="G1424" s="1540">
        <v>60000</v>
      </c>
      <c r="H1424" s="1466">
        <v>1159179.5249999999</v>
      </c>
      <c r="I1424" s="1540"/>
      <c r="J1424" s="1466">
        <f t="shared" si="56"/>
        <v>1219179.5249999999</v>
      </c>
      <c r="K1424" s="1466"/>
      <c r="L1424" s="1466"/>
      <c r="M1424" s="1540">
        <f t="shared" si="55"/>
        <v>1219179.5249999999</v>
      </c>
      <c r="N1424" s="166"/>
    </row>
    <row r="1425" spans="1:14" s="540" customFormat="1" ht="14.25" customHeight="1">
      <c r="A1425" s="1536">
        <v>242</v>
      </c>
      <c r="B1425" s="1537" t="str">
        <f>VLOOKUP(D1425,'[2]DS CN MOI UP'!$B$11:$C$447,2,0)</f>
        <v>02539</v>
      </c>
      <c r="C1425" s="1549" t="s">
        <v>1456</v>
      </c>
      <c r="D1425" s="1471" t="s">
        <v>195</v>
      </c>
      <c r="E1425" s="1468" t="s">
        <v>15</v>
      </c>
      <c r="F1425" s="1468"/>
      <c r="G1425" s="1540"/>
      <c r="H1425" s="1466">
        <v>1239846.615</v>
      </c>
      <c r="I1425" s="1540"/>
      <c r="J1425" s="1466">
        <f t="shared" si="56"/>
        <v>1239846.615</v>
      </c>
      <c r="K1425" s="1466"/>
      <c r="L1425" s="1466"/>
      <c r="M1425" s="1540">
        <f t="shared" si="55"/>
        <v>1239846.615</v>
      </c>
      <c r="N1425" s="166"/>
    </row>
    <row r="1426" spans="1:14" s="540" customFormat="1" ht="14.25" customHeight="1">
      <c r="A1426" s="1536">
        <v>243</v>
      </c>
      <c r="B1426" s="1537" t="e">
        <f>VLOOKUP(D1426,'[2]DS CN MOI UP'!$B$11:$C$447,2,0)</f>
        <v>#N/A</v>
      </c>
      <c r="C1426" s="1549" t="s">
        <v>1456</v>
      </c>
      <c r="D1426" s="1471" t="s">
        <v>1174</v>
      </c>
      <c r="E1426" s="1468" t="s">
        <v>15</v>
      </c>
      <c r="F1426" s="1468"/>
      <c r="G1426" s="1540">
        <v>60000</v>
      </c>
      <c r="H1426" s="1466">
        <v>1149145.3259999999</v>
      </c>
      <c r="I1426" s="1540"/>
      <c r="J1426" s="1466">
        <f t="shared" si="56"/>
        <v>1209145.3259999999</v>
      </c>
      <c r="K1426" s="1466"/>
      <c r="L1426" s="1466"/>
      <c r="M1426" s="1540">
        <f t="shared" si="55"/>
        <v>1209145.3259999999</v>
      </c>
      <c r="N1426" s="166"/>
    </row>
    <row r="1427" spans="1:14" s="540" customFormat="1" ht="14.25" customHeight="1">
      <c r="A1427" s="1536">
        <v>244</v>
      </c>
      <c r="B1427" s="1537" t="e">
        <f>VLOOKUP(D1427,'[2]DS CN MOI UP'!$B$11:$C$447,2,0)</f>
        <v>#N/A</v>
      </c>
      <c r="C1427" s="1549" t="s">
        <v>1456</v>
      </c>
      <c r="D1427" s="1471" t="s">
        <v>1175</v>
      </c>
      <c r="E1427" s="1468" t="s">
        <v>15</v>
      </c>
      <c r="F1427" s="1468"/>
      <c r="G1427" s="1540">
        <v>60000</v>
      </c>
      <c r="H1427" s="1466">
        <v>1229038.53819991</v>
      </c>
      <c r="I1427" s="1540"/>
      <c r="J1427" s="1466">
        <f t="shared" si="56"/>
        <v>1289038.53819991</v>
      </c>
      <c r="K1427" s="1466"/>
      <c r="L1427" s="1466"/>
      <c r="M1427" s="1540">
        <f t="shared" si="55"/>
        <v>1289038.53819991</v>
      </c>
      <c r="N1427" s="166"/>
    </row>
    <row r="1428" spans="1:14" s="540" customFormat="1" ht="14.25" customHeight="1">
      <c r="A1428" s="1536">
        <v>245</v>
      </c>
      <c r="B1428" s="1537" t="e">
        <f>VLOOKUP(D1428,'[2]DS CN MOI UP'!$B$11:$C$447,2,0)</f>
        <v>#N/A</v>
      </c>
      <c r="C1428" s="1549" t="s">
        <v>1456</v>
      </c>
      <c r="D1428" s="1471" t="s">
        <v>1176</v>
      </c>
      <c r="E1428" s="1468" t="s">
        <v>15</v>
      </c>
      <c r="F1428" s="1468"/>
      <c r="G1428" s="1540">
        <v>60000</v>
      </c>
      <c r="H1428" s="1466">
        <v>1159179.5249999999</v>
      </c>
      <c r="I1428" s="1540"/>
      <c r="J1428" s="1466">
        <f t="shared" si="56"/>
        <v>1219179.5249999999</v>
      </c>
      <c r="K1428" s="1466"/>
      <c r="L1428" s="1466"/>
      <c r="M1428" s="1540">
        <f t="shared" si="55"/>
        <v>1219179.5249999999</v>
      </c>
      <c r="N1428" s="166"/>
    </row>
    <row r="1429" spans="1:14" s="540" customFormat="1" ht="14.25" customHeight="1">
      <c r="A1429" s="1536">
        <v>246</v>
      </c>
      <c r="B1429" s="1537" t="e">
        <f>VLOOKUP(D1429,'[2]DS CN MOI UP'!$B$11:$C$447,2,0)</f>
        <v>#N/A</v>
      </c>
      <c r="C1429" s="1549" t="s">
        <v>1456</v>
      </c>
      <c r="D1429" s="1471" t="s">
        <v>1202</v>
      </c>
      <c r="E1429" s="1468" t="s">
        <v>15</v>
      </c>
      <c r="F1429" s="1468"/>
      <c r="G1429" s="1540"/>
      <c r="H1429" s="1466">
        <v>1239846.615</v>
      </c>
      <c r="I1429" s="1540"/>
      <c r="J1429" s="1466">
        <f t="shared" si="56"/>
        <v>1239846.615</v>
      </c>
      <c r="K1429" s="1466"/>
      <c r="L1429" s="1466"/>
      <c r="M1429" s="1540">
        <f t="shared" si="55"/>
        <v>1239846.615</v>
      </c>
      <c r="N1429" s="166"/>
    </row>
    <row r="1430" spans="1:14" s="540" customFormat="1" ht="14.25" customHeight="1">
      <c r="A1430" s="1536">
        <v>247</v>
      </c>
      <c r="B1430" s="1537" t="str">
        <f>VLOOKUP(D1430,'[2]DS CN MOI UP'!$B$11:$C$447,2,0)</f>
        <v>02541</v>
      </c>
      <c r="C1430" s="1549" t="s">
        <v>1456</v>
      </c>
      <c r="D1430" s="1471" t="s">
        <v>185</v>
      </c>
      <c r="E1430" s="1468" t="s">
        <v>15</v>
      </c>
      <c r="F1430" s="1468"/>
      <c r="G1430" s="1540">
        <v>60000</v>
      </c>
      <c r="H1430" s="1466">
        <v>1149145.3259999999</v>
      </c>
      <c r="I1430" s="1540"/>
      <c r="J1430" s="1466">
        <f t="shared" si="56"/>
        <v>1209145.3259999999</v>
      </c>
      <c r="K1430" s="1466"/>
      <c r="L1430" s="1466"/>
      <c r="M1430" s="1540">
        <f t="shared" si="55"/>
        <v>1209145.3259999999</v>
      </c>
      <c r="N1430" s="166"/>
    </row>
    <row r="1431" spans="1:14" s="540" customFormat="1" ht="14.25" customHeight="1">
      <c r="A1431" s="1536">
        <v>248</v>
      </c>
      <c r="B1431" s="1537" t="e">
        <f>VLOOKUP(D1431,'[2]DS CN MOI UP'!$B$11:$C$447,2,0)</f>
        <v>#N/A</v>
      </c>
      <c r="C1431" s="1549" t="s">
        <v>1456</v>
      </c>
      <c r="D1431" s="1471" t="s">
        <v>1177</v>
      </c>
      <c r="E1431" s="1468" t="s">
        <v>15</v>
      </c>
      <c r="F1431" s="1468"/>
      <c r="G1431" s="1540">
        <v>60000</v>
      </c>
      <c r="H1431" s="1466">
        <v>1229038.53819991</v>
      </c>
      <c r="I1431" s="1540"/>
      <c r="J1431" s="1466">
        <f t="shared" si="56"/>
        <v>1289038.53819991</v>
      </c>
      <c r="K1431" s="1466"/>
      <c r="L1431" s="1466"/>
      <c r="M1431" s="1540">
        <f t="shared" si="55"/>
        <v>1289038.53819991</v>
      </c>
      <c r="N1431" s="166"/>
    </row>
    <row r="1432" spans="1:14" s="540" customFormat="1" ht="14.25" customHeight="1">
      <c r="A1432" s="1536">
        <v>249</v>
      </c>
      <c r="B1432" s="1537" t="e">
        <f>VLOOKUP(D1432,'[2]DS CN MOI UP'!$B$11:$C$447,2,0)</f>
        <v>#N/A</v>
      </c>
      <c r="C1432" s="1549" t="s">
        <v>1456</v>
      </c>
      <c r="D1432" s="1471" t="s">
        <v>1501</v>
      </c>
      <c r="E1432" s="1468" t="s">
        <v>15</v>
      </c>
      <c r="F1432" s="1468"/>
      <c r="G1432" s="1540">
        <v>60000</v>
      </c>
      <c r="H1432" s="1466">
        <v>1088677.8</v>
      </c>
      <c r="I1432" s="1540"/>
      <c r="J1432" s="1466">
        <f t="shared" si="56"/>
        <v>1148677.8</v>
      </c>
      <c r="K1432" s="1466"/>
      <c r="L1432" s="1466"/>
      <c r="M1432" s="1540">
        <f t="shared" si="55"/>
        <v>1148677.8</v>
      </c>
      <c r="N1432" s="166"/>
    </row>
    <row r="1433" spans="1:14" s="540" customFormat="1" ht="14.25" customHeight="1">
      <c r="A1433" s="1536">
        <v>250</v>
      </c>
      <c r="B1433" s="1537" t="e">
        <f>VLOOKUP(D1433,'[2]DS CN MOI UP'!$B$11:$C$447,2,0)</f>
        <v>#N/A</v>
      </c>
      <c r="C1433" s="1549" t="s">
        <v>1456</v>
      </c>
      <c r="D1433" s="1471" t="s">
        <v>1502</v>
      </c>
      <c r="E1433" s="1468" t="s">
        <v>15</v>
      </c>
      <c r="F1433" s="1468"/>
      <c r="G1433" s="1540">
        <v>60000</v>
      </c>
      <c r="H1433" s="1540">
        <v>1148746.1980000001</v>
      </c>
      <c r="I1433" s="1540"/>
      <c r="J1433" s="1466">
        <f t="shared" si="56"/>
        <v>1208746.1980000001</v>
      </c>
      <c r="K1433" s="1466"/>
      <c r="L1433" s="1466"/>
      <c r="M1433" s="1540">
        <f t="shared" si="55"/>
        <v>1208746.1980000001</v>
      </c>
      <c r="N1433" s="166"/>
    </row>
    <row r="1434" spans="1:14" s="540" customFormat="1" ht="14.25" customHeight="1">
      <c r="A1434" s="1536">
        <v>251</v>
      </c>
      <c r="B1434" s="1537" t="e">
        <f>VLOOKUP(D1434,'[2]DS CN MOI UP'!$B$11:$C$447,2,0)</f>
        <v>#N/A</v>
      </c>
      <c r="C1434" s="1538" t="s">
        <v>1374</v>
      </c>
      <c r="D1434" s="1468" t="s">
        <v>1503</v>
      </c>
      <c r="E1434" s="1468" t="s">
        <v>15</v>
      </c>
      <c r="F1434" s="1468"/>
      <c r="G1434" s="1540"/>
      <c r="H1434" s="1540">
        <v>1270080.378</v>
      </c>
      <c r="I1434" s="1540"/>
      <c r="J1434" s="1466">
        <f t="shared" si="56"/>
        <v>1270080.378</v>
      </c>
      <c r="K1434" s="1466"/>
      <c r="L1434" s="1466"/>
      <c r="M1434" s="1540">
        <f t="shared" si="55"/>
        <v>1270080.378</v>
      </c>
      <c r="N1434" s="166"/>
    </row>
    <row r="1435" spans="1:14" s="540" customFormat="1" ht="14.25" customHeight="1">
      <c r="A1435" s="1536">
        <v>252</v>
      </c>
      <c r="B1435" s="1537" t="e">
        <f>VLOOKUP(D1435,'[2]DS CN MOI UP'!$B$11:$C$447,2,0)</f>
        <v>#N/A</v>
      </c>
      <c r="C1435" s="1538" t="s">
        <v>1376</v>
      </c>
      <c r="D1435" s="1468" t="s">
        <v>1504</v>
      </c>
      <c r="E1435" s="1468" t="s">
        <v>15</v>
      </c>
      <c r="F1435" s="1468"/>
      <c r="G1435" s="1540">
        <v>60000</v>
      </c>
      <c r="H1435" s="1540">
        <v>1128677.8</v>
      </c>
      <c r="I1435" s="1540"/>
      <c r="J1435" s="1466">
        <f t="shared" si="56"/>
        <v>1188677.8</v>
      </c>
      <c r="K1435" s="1466"/>
      <c r="L1435" s="1466"/>
      <c r="M1435" s="1540">
        <f t="shared" si="55"/>
        <v>1188677.8</v>
      </c>
      <c r="N1435" s="166"/>
    </row>
    <row r="1436" spans="1:14" s="540" customFormat="1" ht="14.25" customHeight="1">
      <c r="A1436" s="1536">
        <v>253</v>
      </c>
      <c r="B1436" s="1537" t="e">
        <f>VLOOKUP(D1436,'[2]DS CN MOI UP'!$B$11:$C$447,2,0)</f>
        <v>#N/A</v>
      </c>
      <c r="C1436" s="1538" t="s">
        <v>1378</v>
      </c>
      <c r="D1436" s="1468" t="s">
        <v>1505</v>
      </c>
      <c r="E1436" s="1468" t="s">
        <v>15</v>
      </c>
      <c r="F1436" s="1468"/>
      <c r="G1436" s="1540"/>
      <c r="H1436" s="1540">
        <v>1189145.3259999999</v>
      </c>
      <c r="I1436" s="1540"/>
      <c r="J1436" s="1466">
        <f t="shared" si="56"/>
        <v>1189145.3259999999</v>
      </c>
      <c r="K1436" s="1466"/>
      <c r="L1436" s="1466"/>
      <c r="M1436" s="1540">
        <f t="shared" si="55"/>
        <v>1189145.3259999999</v>
      </c>
      <c r="N1436" s="166"/>
    </row>
    <row r="1437" spans="1:14" s="540" customFormat="1" ht="14.25" customHeight="1">
      <c r="A1437" s="1536">
        <v>254</v>
      </c>
      <c r="B1437" s="1537" t="e">
        <f>VLOOKUP(D1437,'[2]DS CN MOI UP'!$B$11:$C$447,2,0)</f>
        <v>#N/A</v>
      </c>
      <c r="C1437" s="1538" t="s">
        <v>1379</v>
      </c>
      <c r="D1437" s="1468" t="s">
        <v>1506</v>
      </c>
      <c r="E1437" s="1468" t="s">
        <v>15</v>
      </c>
      <c r="F1437" s="1468"/>
      <c r="G1437" s="1540"/>
      <c r="H1437" s="1540">
        <v>1249612.852</v>
      </c>
      <c r="I1437" s="1540"/>
      <c r="J1437" s="1466">
        <f t="shared" si="56"/>
        <v>1249612.852</v>
      </c>
      <c r="K1437" s="1466"/>
      <c r="L1437" s="1466"/>
      <c r="M1437" s="1540">
        <f t="shared" si="55"/>
        <v>1249612.852</v>
      </c>
      <c r="N1437" s="166"/>
    </row>
    <row r="1438" spans="1:14" s="540" customFormat="1" ht="14.25" customHeight="1">
      <c r="A1438" s="1536">
        <v>255</v>
      </c>
      <c r="B1438" s="1537" t="e">
        <f>VLOOKUP(D1438,'[2]DS CN MOI UP'!$B$11:$C$447,2,0)</f>
        <v>#N/A</v>
      </c>
      <c r="C1438" s="1538" t="s">
        <v>1381</v>
      </c>
      <c r="D1438" s="1468" t="s">
        <v>1507</v>
      </c>
      <c r="E1438" s="1468" t="s">
        <v>15</v>
      </c>
      <c r="F1438" s="1468"/>
      <c r="G1438" s="1540">
        <v>60000</v>
      </c>
      <c r="H1438" s="1540">
        <v>1159179.5249999999</v>
      </c>
      <c r="I1438" s="1540"/>
      <c r="J1438" s="1466">
        <f t="shared" si="56"/>
        <v>1219179.5249999999</v>
      </c>
      <c r="K1438" s="1466"/>
      <c r="L1438" s="1466"/>
      <c r="M1438" s="1540">
        <f t="shared" si="55"/>
        <v>1219179.5249999999</v>
      </c>
      <c r="N1438" s="166"/>
    </row>
    <row r="1439" spans="1:14" s="540" customFormat="1" ht="14.25" customHeight="1">
      <c r="A1439" s="1536">
        <v>256</v>
      </c>
      <c r="B1439" s="1537" t="e">
        <f>VLOOKUP(D1439,'[2]DS CN MOI UP'!$B$11:$C$447,2,0)</f>
        <v>#N/A</v>
      </c>
      <c r="C1439" s="1538" t="s">
        <v>1382</v>
      </c>
      <c r="D1439" s="1468" t="s">
        <v>1508</v>
      </c>
      <c r="E1439" s="1468" t="s">
        <v>15</v>
      </c>
      <c r="F1439" s="1468"/>
      <c r="G1439" s="1540">
        <v>60000</v>
      </c>
      <c r="H1439" s="1466">
        <v>1159179.5249999999</v>
      </c>
      <c r="I1439" s="1540"/>
      <c r="J1439" s="1466">
        <f t="shared" si="56"/>
        <v>1219179.5249999999</v>
      </c>
      <c r="K1439" s="1466"/>
      <c r="L1439" s="1466"/>
      <c r="M1439" s="1540">
        <f t="shared" ref="M1439:M1541" si="57">J1439-L1439</f>
        <v>1219179.5249999999</v>
      </c>
      <c r="N1439" s="166"/>
    </row>
    <row r="1440" spans="1:14" s="540" customFormat="1" ht="14.25" customHeight="1">
      <c r="A1440" s="1536">
        <v>257</v>
      </c>
      <c r="B1440" s="1537" t="e">
        <f>VLOOKUP(D1440,'[2]DS CN MOI UP'!$B$11:$C$447,2,0)</f>
        <v>#N/A</v>
      </c>
      <c r="C1440" s="1538" t="s">
        <v>1383</v>
      </c>
      <c r="D1440" s="1468" t="s">
        <v>1509</v>
      </c>
      <c r="E1440" s="1468" t="s">
        <v>15</v>
      </c>
      <c r="F1440" s="1468"/>
      <c r="G1440" s="1540">
        <v>60000</v>
      </c>
      <c r="H1440" s="1466">
        <v>1159179.5249999999</v>
      </c>
      <c r="I1440" s="1540"/>
      <c r="J1440" s="1466">
        <f t="shared" si="56"/>
        <v>1219179.5249999999</v>
      </c>
      <c r="K1440" s="1466"/>
      <c r="L1440" s="1466"/>
      <c r="M1440" s="1540">
        <f t="shared" si="57"/>
        <v>1219179.5249999999</v>
      </c>
      <c r="N1440" s="166"/>
    </row>
    <row r="1441" spans="1:14" s="540" customFormat="1" ht="14.25" customHeight="1">
      <c r="A1441" s="1536">
        <v>258</v>
      </c>
      <c r="B1441" s="1537" t="e">
        <f>VLOOKUP(D1441,'[2]DS CN MOI UP'!$B$11:$C$447,2,0)</f>
        <v>#N/A</v>
      </c>
      <c r="C1441" s="1538" t="s">
        <v>1384</v>
      </c>
      <c r="D1441" s="1468" t="s">
        <v>1510</v>
      </c>
      <c r="E1441" s="1468" t="s">
        <v>15</v>
      </c>
      <c r="F1441" s="1468"/>
      <c r="G1441" s="1540"/>
      <c r="H1441" s="1466">
        <v>1239846.615</v>
      </c>
      <c r="I1441" s="1540"/>
      <c r="J1441" s="1466">
        <f t="shared" si="56"/>
        <v>1239846.615</v>
      </c>
      <c r="K1441" s="1466"/>
      <c r="L1441" s="1466"/>
      <c r="M1441" s="1540">
        <f t="shared" si="57"/>
        <v>1239846.615</v>
      </c>
      <c r="N1441" s="166"/>
    </row>
    <row r="1442" spans="1:14" s="540" customFormat="1" ht="14.25" customHeight="1">
      <c r="A1442" s="1536">
        <v>259</v>
      </c>
      <c r="B1442" s="1537" t="e">
        <f>VLOOKUP(D1442,'[2]DS CN MOI UP'!$B$11:$C$447,2,0)</f>
        <v>#N/A</v>
      </c>
      <c r="C1442" s="1538" t="s">
        <v>1385</v>
      </c>
      <c r="D1442" s="1468" t="s">
        <v>1511</v>
      </c>
      <c r="E1442" s="1468" t="s">
        <v>15</v>
      </c>
      <c r="F1442" s="1468"/>
      <c r="G1442" s="1540">
        <v>60000</v>
      </c>
      <c r="H1442" s="1466">
        <v>1149145.3259999999</v>
      </c>
      <c r="I1442" s="1540"/>
      <c r="J1442" s="1466">
        <f t="shared" si="56"/>
        <v>1209145.3259999999</v>
      </c>
      <c r="K1442" s="1466"/>
      <c r="L1442" s="1466"/>
      <c r="M1442" s="1540">
        <f t="shared" si="57"/>
        <v>1209145.3259999999</v>
      </c>
      <c r="N1442" s="166"/>
    </row>
    <row r="1443" spans="1:14" s="540" customFormat="1" ht="14.25" customHeight="1">
      <c r="A1443" s="1536">
        <v>260</v>
      </c>
      <c r="B1443" s="1537" t="e">
        <f>VLOOKUP(D1443,'[2]DS CN MOI UP'!$B$11:$C$447,2,0)</f>
        <v>#N/A</v>
      </c>
      <c r="C1443" s="1538" t="s">
        <v>1387</v>
      </c>
      <c r="D1443" s="1468" t="s">
        <v>1512</v>
      </c>
      <c r="E1443" s="1468" t="s">
        <v>15</v>
      </c>
      <c r="F1443" s="1468"/>
      <c r="G1443" s="1540">
        <v>60000</v>
      </c>
      <c r="H1443" s="1466">
        <v>1229038.53819991</v>
      </c>
      <c r="I1443" s="1540"/>
      <c r="J1443" s="1466">
        <f t="shared" si="56"/>
        <v>1289038.53819991</v>
      </c>
      <c r="K1443" s="1466"/>
      <c r="L1443" s="1466"/>
      <c r="M1443" s="1540">
        <f t="shared" si="57"/>
        <v>1289038.53819991</v>
      </c>
      <c r="N1443" s="166"/>
    </row>
    <row r="1444" spans="1:14" s="540" customFormat="1" ht="14.25" customHeight="1">
      <c r="A1444" s="1536">
        <v>261</v>
      </c>
      <c r="B1444" s="1537" t="e">
        <f>VLOOKUP(D1444,'[2]DS CN MOI UP'!$B$11:$C$447,2,0)</f>
        <v>#N/A</v>
      </c>
      <c r="C1444" s="1538" t="s">
        <v>1388</v>
      </c>
      <c r="D1444" s="1468" t="s">
        <v>1513</v>
      </c>
      <c r="E1444" s="1468" t="s">
        <v>15</v>
      </c>
      <c r="F1444" s="1468"/>
      <c r="G1444" s="1540">
        <v>60000</v>
      </c>
      <c r="H1444" s="1466">
        <v>1159179.5249999999</v>
      </c>
      <c r="I1444" s="1540"/>
      <c r="J1444" s="1466">
        <f t="shared" si="56"/>
        <v>1219179.5249999999</v>
      </c>
      <c r="K1444" s="1466"/>
      <c r="L1444" s="1466"/>
      <c r="M1444" s="1540">
        <f t="shared" si="57"/>
        <v>1219179.5249999999</v>
      </c>
      <c r="N1444" s="166"/>
    </row>
    <row r="1445" spans="1:14" s="540" customFormat="1" ht="14.25" customHeight="1">
      <c r="A1445" s="1536">
        <v>262</v>
      </c>
      <c r="B1445" s="1537" t="e">
        <f>VLOOKUP(D1445,'[2]DS CN MOI UP'!$B$11:$C$447,2,0)</f>
        <v>#N/A</v>
      </c>
      <c r="C1445" s="1538" t="s">
        <v>1390</v>
      </c>
      <c r="D1445" s="1468" t="s">
        <v>1514</v>
      </c>
      <c r="E1445" s="1468" t="s">
        <v>15</v>
      </c>
      <c r="F1445" s="1468"/>
      <c r="G1445" s="1540"/>
      <c r="H1445" s="1466">
        <v>1239846.615</v>
      </c>
      <c r="I1445" s="1540"/>
      <c r="J1445" s="1466">
        <f t="shared" si="56"/>
        <v>1239846.615</v>
      </c>
      <c r="K1445" s="1466"/>
      <c r="L1445" s="1466"/>
      <c r="M1445" s="1540">
        <f t="shared" si="57"/>
        <v>1239846.615</v>
      </c>
      <c r="N1445" s="166"/>
    </row>
    <row r="1446" spans="1:14" s="540" customFormat="1" ht="14.25" customHeight="1">
      <c r="A1446" s="1536">
        <v>263</v>
      </c>
      <c r="B1446" s="1537" t="e">
        <f>VLOOKUP(D1446,'[2]DS CN MOI UP'!$B$11:$C$447,2,0)</f>
        <v>#N/A</v>
      </c>
      <c r="C1446" s="1538" t="s">
        <v>1391</v>
      </c>
      <c r="D1446" s="1468" t="s">
        <v>1515</v>
      </c>
      <c r="E1446" s="1468" t="s">
        <v>15</v>
      </c>
      <c r="F1446" s="1468"/>
      <c r="G1446" s="1540">
        <v>60000</v>
      </c>
      <c r="H1446" s="1466">
        <v>1149145.3259999999</v>
      </c>
      <c r="I1446" s="1540"/>
      <c r="J1446" s="1466">
        <f t="shared" si="56"/>
        <v>1209145.3259999999</v>
      </c>
      <c r="K1446" s="1466"/>
      <c r="L1446" s="1466"/>
      <c r="M1446" s="1540">
        <f t="shared" si="57"/>
        <v>1209145.3259999999</v>
      </c>
      <c r="N1446" s="166"/>
    </row>
    <row r="1447" spans="1:14" s="540" customFormat="1" ht="14.25" customHeight="1">
      <c r="A1447" s="1536">
        <v>264</v>
      </c>
      <c r="B1447" s="1537" t="e">
        <f>VLOOKUP(D1447,'[2]DS CN MOI UP'!$B$11:$C$447,2,0)</f>
        <v>#N/A</v>
      </c>
      <c r="C1447" s="1538" t="s">
        <v>1392</v>
      </c>
      <c r="D1447" s="1468" t="s">
        <v>1516</v>
      </c>
      <c r="E1447" s="1468" t="s">
        <v>15</v>
      </c>
      <c r="F1447" s="1468"/>
      <c r="G1447" s="1540">
        <v>60000</v>
      </c>
      <c r="H1447" s="1466">
        <v>1229038.53819991</v>
      </c>
      <c r="I1447" s="1540"/>
      <c r="J1447" s="1466">
        <f t="shared" si="56"/>
        <v>1289038.53819991</v>
      </c>
      <c r="K1447" s="1466"/>
      <c r="L1447" s="1466"/>
      <c r="M1447" s="1540">
        <f t="shared" si="57"/>
        <v>1289038.53819991</v>
      </c>
      <c r="N1447" s="166"/>
    </row>
    <row r="1448" spans="1:14" s="540" customFormat="1" ht="14.25" customHeight="1">
      <c r="A1448" s="1536">
        <v>265</v>
      </c>
      <c r="B1448" s="1537" t="e">
        <f>VLOOKUP(D1448,'[2]DS CN MOI UP'!$B$11:$C$447,2,0)</f>
        <v>#N/A</v>
      </c>
      <c r="C1448" s="1538" t="s">
        <v>1394</v>
      </c>
      <c r="D1448" s="1468" t="s">
        <v>1517</v>
      </c>
      <c r="E1448" s="1468" t="s">
        <v>15</v>
      </c>
      <c r="F1448" s="1468"/>
      <c r="G1448" s="1540">
        <v>60000</v>
      </c>
      <c r="H1448" s="1466">
        <v>1159179.5249999999</v>
      </c>
      <c r="I1448" s="1540"/>
      <c r="J1448" s="1466">
        <f t="shared" si="56"/>
        <v>1219179.5249999999</v>
      </c>
      <c r="K1448" s="1466"/>
      <c r="L1448" s="1466"/>
      <c r="M1448" s="1540">
        <f t="shared" si="57"/>
        <v>1219179.5249999999</v>
      </c>
      <c r="N1448" s="166"/>
    </row>
    <row r="1449" spans="1:14" s="540" customFormat="1" ht="14.25" customHeight="1">
      <c r="A1449" s="1536">
        <v>266</v>
      </c>
      <c r="B1449" s="1537" t="e">
        <f>VLOOKUP(D1449,'[2]DS CN MOI UP'!$B$11:$C$447,2,0)</f>
        <v>#N/A</v>
      </c>
      <c r="C1449" s="1538" t="s">
        <v>1396</v>
      </c>
      <c r="D1449" s="1468" t="s">
        <v>1518</v>
      </c>
      <c r="E1449" s="1468" t="s">
        <v>15</v>
      </c>
      <c r="F1449" s="1468"/>
      <c r="G1449" s="1540"/>
      <c r="H1449" s="1466">
        <v>1239846.615</v>
      </c>
      <c r="I1449" s="1540"/>
      <c r="J1449" s="1466">
        <f t="shared" si="56"/>
        <v>1239846.615</v>
      </c>
      <c r="K1449" s="1466"/>
      <c r="L1449" s="1466"/>
      <c r="M1449" s="1540">
        <f t="shared" si="57"/>
        <v>1239846.615</v>
      </c>
      <c r="N1449" s="166"/>
    </row>
    <row r="1450" spans="1:14" s="540" customFormat="1" ht="14.25" customHeight="1">
      <c r="A1450" s="1536">
        <v>267</v>
      </c>
      <c r="B1450" s="1537" t="e">
        <f>VLOOKUP(D1450,'[2]DS CN MOI UP'!$B$11:$C$447,2,0)</f>
        <v>#N/A</v>
      </c>
      <c r="C1450" s="1538" t="s">
        <v>1398</v>
      </c>
      <c r="D1450" s="1468" t="s">
        <v>1519</v>
      </c>
      <c r="E1450" s="1468" t="s">
        <v>15</v>
      </c>
      <c r="F1450" s="1468"/>
      <c r="G1450" s="1540">
        <v>120000</v>
      </c>
      <c r="H1450" s="1466">
        <v>1149145.3259999999</v>
      </c>
      <c r="I1450" s="1540"/>
      <c r="J1450" s="1466">
        <f t="shared" si="56"/>
        <v>1269145.3259999999</v>
      </c>
      <c r="K1450" s="1466"/>
      <c r="L1450" s="1466"/>
      <c r="M1450" s="1540">
        <f t="shared" si="57"/>
        <v>1269145.3259999999</v>
      </c>
      <c r="N1450" s="166"/>
    </row>
    <row r="1451" spans="1:14" s="540" customFormat="1" ht="14.25" customHeight="1">
      <c r="A1451" s="1536">
        <v>268</v>
      </c>
      <c r="B1451" s="1537" t="e">
        <f>VLOOKUP(D1451,'[2]DS CN MOI UP'!$B$11:$C$447,2,0)</f>
        <v>#N/A</v>
      </c>
      <c r="C1451" s="1538" t="s">
        <v>1383</v>
      </c>
      <c r="D1451" s="1468" t="s">
        <v>1520</v>
      </c>
      <c r="E1451" s="1468" t="s">
        <v>15</v>
      </c>
      <c r="F1451" s="1468"/>
      <c r="G1451" s="1540">
        <v>60000</v>
      </c>
      <c r="H1451" s="1466">
        <v>1229038.53819991</v>
      </c>
      <c r="I1451" s="1540"/>
      <c r="J1451" s="1466">
        <f t="shared" si="56"/>
        <v>1289038.53819991</v>
      </c>
      <c r="K1451" s="1466"/>
      <c r="L1451" s="1466"/>
      <c r="M1451" s="1540">
        <f t="shared" si="57"/>
        <v>1289038.53819991</v>
      </c>
      <c r="N1451" s="166"/>
    </row>
    <row r="1452" spans="1:14" s="540" customFormat="1" ht="14.25" customHeight="1">
      <c r="A1452" s="1536">
        <v>269</v>
      </c>
      <c r="B1452" s="1537" t="e">
        <f>VLOOKUP(D1452,'[2]DS CN MOI UP'!$B$11:$C$447,2,0)</f>
        <v>#N/A</v>
      </c>
      <c r="C1452" s="1538" t="s">
        <v>1384</v>
      </c>
      <c r="D1452" s="1468" t="s">
        <v>1521</v>
      </c>
      <c r="E1452" s="1468" t="s">
        <v>15</v>
      </c>
      <c r="F1452" s="1468"/>
      <c r="G1452" s="1540">
        <v>60000</v>
      </c>
      <c r="H1452" s="1466">
        <v>1159179.5249999999</v>
      </c>
      <c r="I1452" s="1540"/>
      <c r="J1452" s="1466">
        <f t="shared" ref="J1452:J1541" si="58">SUM(G1452:I1452)</f>
        <v>1219179.5249999999</v>
      </c>
      <c r="K1452" s="1466"/>
      <c r="L1452" s="1466"/>
      <c r="M1452" s="1540">
        <f t="shared" si="57"/>
        <v>1219179.5249999999</v>
      </c>
      <c r="N1452" s="166"/>
    </row>
    <row r="1453" spans="1:14" s="540" customFormat="1" ht="14.25" customHeight="1">
      <c r="A1453" s="1536">
        <v>270</v>
      </c>
      <c r="B1453" s="1537" t="e">
        <f>VLOOKUP(D1453,'[2]DS CN MOI UP'!$B$11:$C$447,2,0)</f>
        <v>#N/A</v>
      </c>
      <c r="C1453" s="1538" t="s">
        <v>1385</v>
      </c>
      <c r="D1453" s="1468" t="s">
        <v>1522</v>
      </c>
      <c r="E1453" s="1468" t="s">
        <v>15</v>
      </c>
      <c r="F1453" s="1468"/>
      <c r="G1453" s="1540"/>
      <c r="H1453" s="1466">
        <v>1239846.615</v>
      </c>
      <c r="I1453" s="1540"/>
      <c r="J1453" s="1466">
        <f t="shared" si="58"/>
        <v>1239846.615</v>
      </c>
      <c r="K1453" s="1466"/>
      <c r="L1453" s="1466"/>
      <c r="M1453" s="1540">
        <f t="shared" si="57"/>
        <v>1239846.615</v>
      </c>
      <c r="N1453" s="166"/>
    </row>
    <row r="1454" spans="1:14" s="540" customFormat="1" ht="14.25" customHeight="1">
      <c r="A1454" s="1536">
        <v>271</v>
      </c>
      <c r="B1454" s="1537" t="e">
        <f>VLOOKUP(D1454,'[2]DS CN MOI UP'!$B$11:$C$447,2,0)</f>
        <v>#N/A</v>
      </c>
      <c r="C1454" s="1538" t="s">
        <v>1387</v>
      </c>
      <c r="D1454" s="1468" t="s">
        <v>1523</v>
      </c>
      <c r="E1454" s="1468" t="s">
        <v>15</v>
      </c>
      <c r="F1454" s="1468"/>
      <c r="G1454" s="1540"/>
      <c r="H1454" s="1466">
        <v>1149145.3259999999</v>
      </c>
      <c r="I1454" s="1540"/>
      <c r="J1454" s="1466">
        <f t="shared" si="58"/>
        <v>1149145.3259999999</v>
      </c>
      <c r="K1454" s="1466"/>
      <c r="L1454" s="1466"/>
      <c r="M1454" s="1540">
        <f t="shared" si="57"/>
        <v>1149145.3259999999</v>
      </c>
      <c r="N1454" s="166"/>
    </row>
    <row r="1455" spans="1:14" s="540" customFormat="1" ht="14.25" customHeight="1">
      <c r="A1455" s="1536">
        <v>272</v>
      </c>
      <c r="B1455" s="1537" t="e">
        <f>VLOOKUP(D1455,'[2]DS CN MOI UP'!$B$11:$C$447,2,0)</f>
        <v>#N/A</v>
      </c>
      <c r="C1455" s="1538" t="s">
        <v>1388</v>
      </c>
      <c r="D1455" s="1468" t="s">
        <v>1524</v>
      </c>
      <c r="E1455" s="1468" t="s">
        <v>15</v>
      </c>
      <c r="F1455" s="1468"/>
      <c r="G1455" s="1540">
        <v>894612</v>
      </c>
      <c r="H1455" s="1466">
        <v>165427.038335502</v>
      </c>
      <c r="I1455" s="1540">
        <v>93516.387999907107</v>
      </c>
      <c r="J1455" s="1466">
        <f t="shared" si="58"/>
        <v>1153555.42633541</v>
      </c>
      <c r="K1455" s="1466"/>
      <c r="L1455" s="1466"/>
      <c r="M1455" s="1540">
        <f t="shared" si="57"/>
        <v>1153555.42633541</v>
      </c>
      <c r="N1455" s="166"/>
    </row>
    <row r="1456" spans="1:14" s="540" customFormat="1" ht="14.25" customHeight="1">
      <c r="A1456" s="1536">
        <v>273</v>
      </c>
      <c r="B1456" s="1537" t="e">
        <f>VLOOKUP(D1456,'[2]DS CN MOI UP'!$B$11:$C$447,2,0)</f>
        <v>#N/A</v>
      </c>
      <c r="C1456" s="1549" t="s">
        <v>1448</v>
      </c>
      <c r="D1456" s="1468" t="s">
        <v>1525</v>
      </c>
      <c r="E1456" s="1468" t="s">
        <v>15</v>
      </c>
      <c r="F1456" s="1468"/>
      <c r="G1456" s="1466"/>
      <c r="H1456" s="1466"/>
      <c r="I1456" s="1540">
        <v>1239846.615</v>
      </c>
      <c r="J1456" s="1466">
        <f t="shared" si="58"/>
        <v>1239846.615</v>
      </c>
      <c r="K1456" s="1466"/>
      <c r="L1456" s="1466"/>
      <c r="M1456" s="1540">
        <f t="shared" si="57"/>
        <v>1239846.615</v>
      </c>
      <c r="N1456" s="166"/>
    </row>
    <row r="1457" spans="1:15" s="540" customFormat="1" ht="14.25" customHeight="1">
      <c r="A1457" s="1536">
        <v>274</v>
      </c>
      <c r="B1457" s="1537" t="e">
        <f>VLOOKUP(D1457,'[2]DS CN MOI UP'!$B$11:$C$447,2,0)</f>
        <v>#N/A</v>
      </c>
      <c r="C1457" s="1549" t="s">
        <v>1450</v>
      </c>
      <c r="D1457" s="1468" t="s">
        <v>1526</v>
      </c>
      <c r="E1457" s="1468" t="s">
        <v>15</v>
      </c>
      <c r="F1457" s="1468"/>
      <c r="G1457" s="1466"/>
      <c r="H1457" s="1466"/>
      <c r="I1457" s="1540">
        <v>1149145.3259999999</v>
      </c>
      <c r="J1457" s="1466">
        <f t="shared" si="58"/>
        <v>1149145.3259999999</v>
      </c>
      <c r="K1457" s="1466"/>
      <c r="L1457" s="1466"/>
      <c r="M1457" s="1540">
        <f t="shared" si="57"/>
        <v>1149145.3259999999</v>
      </c>
      <c r="N1457" s="166"/>
    </row>
    <row r="1458" spans="1:15" s="540" customFormat="1" ht="14.25" customHeight="1">
      <c r="A1458" s="1536">
        <v>275</v>
      </c>
      <c r="B1458" s="1537" t="e">
        <f>VLOOKUP(D1458,'[2]DS CN MOI UP'!$B$11:$C$447,2,0)</f>
        <v>#N/A</v>
      </c>
      <c r="C1458" s="1549" t="s">
        <v>1451</v>
      </c>
      <c r="D1458" s="1468" t="s">
        <v>1527</v>
      </c>
      <c r="E1458" s="1468" t="s">
        <v>15</v>
      </c>
      <c r="F1458" s="1468"/>
      <c r="G1458" s="1466"/>
      <c r="H1458" s="1540">
        <v>1229038.53819991</v>
      </c>
      <c r="I1458" s="1540"/>
      <c r="J1458" s="1466">
        <f t="shared" si="58"/>
        <v>1229038.53819991</v>
      </c>
      <c r="K1458" s="1466"/>
      <c r="L1458" s="1466"/>
      <c r="M1458" s="1540">
        <f t="shared" si="57"/>
        <v>1229038.53819991</v>
      </c>
      <c r="N1458" s="166"/>
    </row>
    <row r="1459" spans="1:15" s="540" customFormat="1" ht="14.25" customHeight="1">
      <c r="A1459" s="1536">
        <v>276</v>
      </c>
      <c r="B1459" s="1537" t="e">
        <f>VLOOKUP(D1459,'[2]DS CN MOI UP'!$B$11:$C$447,2,0)</f>
        <v>#N/A</v>
      </c>
      <c r="C1459" s="1549" t="s">
        <v>1453</v>
      </c>
      <c r="D1459" s="1550" t="s">
        <v>1528</v>
      </c>
      <c r="E1459" s="1468" t="s">
        <v>15</v>
      </c>
      <c r="F1459" s="1468"/>
      <c r="G1459" s="1466"/>
      <c r="H1459" s="1466">
        <v>1159179.5249999999</v>
      </c>
      <c r="I1459" s="1540"/>
      <c r="J1459" s="1466">
        <f t="shared" si="58"/>
        <v>1159179.5249999999</v>
      </c>
      <c r="K1459" s="1466"/>
      <c r="L1459" s="1466"/>
      <c r="M1459" s="1540">
        <f t="shared" si="57"/>
        <v>1159179.5249999999</v>
      </c>
      <c r="N1459" s="166"/>
    </row>
    <row r="1460" spans="1:15" s="540" customFormat="1" ht="14.25" customHeight="1">
      <c r="A1460" s="1536">
        <v>277</v>
      </c>
      <c r="B1460" s="1537" t="e">
        <f>VLOOKUP(D1460,'[2]DS CN MOI UP'!$B$11:$C$447,2,0)</f>
        <v>#N/A</v>
      </c>
      <c r="C1460" s="1549" t="s">
        <v>1455</v>
      </c>
      <c r="D1460" s="1471" t="s">
        <v>1529</v>
      </c>
      <c r="E1460" s="1468" t="s">
        <v>15</v>
      </c>
      <c r="F1460" s="1468"/>
      <c r="G1460" s="1466"/>
      <c r="H1460" s="1466">
        <v>1239846.615</v>
      </c>
      <c r="I1460" s="1540"/>
      <c r="J1460" s="1466">
        <f t="shared" si="58"/>
        <v>1239846.615</v>
      </c>
      <c r="K1460" s="1466"/>
      <c r="L1460" s="1466"/>
      <c r="M1460" s="1540">
        <f t="shared" si="57"/>
        <v>1239846.615</v>
      </c>
      <c r="N1460" s="166"/>
      <c r="O1460" s="559"/>
    </row>
    <row r="1461" spans="1:15" s="540" customFormat="1" ht="14.25" customHeight="1">
      <c r="A1461" s="1536">
        <v>278</v>
      </c>
      <c r="B1461" s="1537" t="e">
        <f>VLOOKUP(D1461,'[2]DS CN MOI UP'!$B$11:$C$447,2,0)</f>
        <v>#N/A</v>
      </c>
      <c r="C1461" s="1549" t="s">
        <v>1455</v>
      </c>
      <c r="D1461" s="1471" t="s">
        <v>1530</v>
      </c>
      <c r="E1461" s="1468" t="s">
        <v>15</v>
      </c>
      <c r="F1461" s="1468"/>
      <c r="G1461" s="1466"/>
      <c r="H1461" s="1466">
        <v>1239846.615</v>
      </c>
      <c r="I1461" s="1540"/>
      <c r="J1461" s="1466">
        <f t="shared" si="58"/>
        <v>1239846.615</v>
      </c>
      <c r="K1461" s="1466"/>
      <c r="L1461" s="1466"/>
      <c r="M1461" s="1540">
        <f t="shared" si="57"/>
        <v>1239846.615</v>
      </c>
      <c r="N1461" s="166"/>
      <c r="O1461" s="559"/>
    </row>
    <row r="1462" spans="1:15" s="540" customFormat="1" ht="14.25" customHeight="1">
      <c r="A1462" s="1536">
        <v>279</v>
      </c>
      <c r="B1462" s="1537" t="e">
        <f>VLOOKUP(D1462,'[2]DS CN MOI UP'!$B$11:$C$447,2,0)</f>
        <v>#N/A</v>
      </c>
      <c r="C1462" s="1549" t="s">
        <v>1455</v>
      </c>
      <c r="D1462" s="1471" t="s">
        <v>1531</v>
      </c>
      <c r="E1462" s="1468" t="s">
        <v>15</v>
      </c>
      <c r="F1462" s="1468"/>
      <c r="G1462" s="1466">
        <v>307426.05999999499</v>
      </c>
      <c r="H1462" s="1466"/>
      <c r="I1462" s="1540">
        <v>816498.40260060097</v>
      </c>
      <c r="J1462" s="1466">
        <f t="shared" si="58"/>
        <v>1123924.4626006</v>
      </c>
      <c r="K1462" s="1466"/>
      <c r="L1462" s="1466"/>
      <c r="M1462" s="1540">
        <f t="shared" si="57"/>
        <v>1123924.4626006</v>
      </c>
      <c r="N1462" s="166"/>
      <c r="O1462" s="559"/>
    </row>
    <row r="1463" spans="1:15" s="540" customFormat="1" ht="14.25" customHeight="1">
      <c r="A1463" s="1536">
        <v>280</v>
      </c>
      <c r="B1463" s="1537" t="e">
        <f>VLOOKUP(D1463,'[2]DS CN MOI UP'!$B$11:$C$447,2,0)</f>
        <v>#N/A</v>
      </c>
      <c r="C1463" s="1538" t="s">
        <v>1390</v>
      </c>
      <c r="D1463" s="1468" t="s">
        <v>1532</v>
      </c>
      <c r="E1463" s="1468" t="s">
        <v>15</v>
      </c>
      <c r="F1463" s="1468"/>
      <c r="G1463" s="1540"/>
      <c r="H1463" s="1540">
        <v>1239846.615</v>
      </c>
      <c r="I1463" s="1540"/>
      <c r="J1463" s="1466">
        <f t="shared" si="58"/>
        <v>1239846.615</v>
      </c>
      <c r="K1463" s="1466"/>
      <c r="L1463" s="1466"/>
      <c r="M1463" s="1540">
        <f t="shared" si="57"/>
        <v>1239846.615</v>
      </c>
      <c r="N1463" s="166"/>
    </row>
    <row r="1464" spans="1:15" s="540" customFormat="1" ht="14.25" customHeight="1">
      <c r="A1464" s="1536">
        <v>281</v>
      </c>
      <c r="B1464" s="1537" t="e">
        <f>VLOOKUP(D1464,'[2]DS CN MOI UP'!$B$11:$C$447,2,0)</f>
        <v>#N/A</v>
      </c>
      <c r="C1464" s="1538" t="s">
        <v>1391</v>
      </c>
      <c r="D1464" s="1468" t="s">
        <v>1533</v>
      </c>
      <c r="E1464" s="1468" t="s">
        <v>15</v>
      </c>
      <c r="F1464" s="1468"/>
      <c r="G1464" s="1540"/>
      <c r="H1464" s="1540">
        <v>1149145.3259999999</v>
      </c>
      <c r="I1464" s="1540"/>
      <c r="J1464" s="1466">
        <f t="shared" si="58"/>
        <v>1149145.3259999999</v>
      </c>
      <c r="K1464" s="1466"/>
      <c r="L1464" s="1466"/>
      <c r="M1464" s="1540">
        <f t="shared" si="57"/>
        <v>1149145.3259999999</v>
      </c>
      <c r="N1464" s="166"/>
    </row>
    <row r="1465" spans="1:15" s="540" customFormat="1" ht="14.25" customHeight="1">
      <c r="A1465" s="1536">
        <v>282</v>
      </c>
      <c r="B1465" s="1537" t="e">
        <f>VLOOKUP(D1465,'[2]DS CN MOI UP'!$B$11:$C$447,2,0)</f>
        <v>#N/A</v>
      </c>
      <c r="C1465" s="1538" t="s">
        <v>1392</v>
      </c>
      <c r="D1465" s="1468" t="s">
        <v>1534</v>
      </c>
      <c r="E1465" s="1468" t="s">
        <v>15</v>
      </c>
      <c r="F1465" s="1468"/>
      <c r="G1465" s="1540"/>
      <c r="H1465" s="1540">
        <v>1229038.53819991</v>
      </c>
      <c r="I1465" s="1540"/>
      <c r="J1465" s="1466">
        <f t="shared" si="58"/>
        <v>1229038.53819991</v>
      </c>
      <c r="K1465" s="1466"/>
      <c r="L1465" s="1466"/>
      <c r="M1465" s="1540">
        <f t="shared" si="57"/>
        <v>1229038.53819991</v>
      </c>
      <c r="N1465" s="166"/>
    </row>
    <row r="1466" spans="1:15" s="540" customFormat="1" ht="14.25" customHeight="1">
      <c r="A1466" s="1536">
        <v>283</v>
      </c>
      <c r="B1466" s="1537" t="e">
        <f>VLOOKUP(D1466,'[2]DS CN MOI UP'!$B$11:$C$447,2,0)</f>
        <v>#N/A</v>
      </c>
      <c r="C1466" s="1538" t="s">
        <v>1394</v>
      </c>
      <c r="D1466" s="1468" t="s">
        <v>1535</v>
      </c>
      <c r="E1466" s="1468" t="s">
        <v>15</v>
      </c>
      <c r="F1466" s="1468"/>
      <c r="G1466" s="1540"/>
      <c r="H1466" s="1540">
        <v>1159179.5249999999</v>
      </c>
      <c r="I1466" s="1540"/>
      <c r="J1466" s="1466">
        <f t="shared" si="58"/>
        <v>1159179.5249999999</v>
      </c>
      <c r="K1466" s="1466"/>
      <c r="L1466" s="1466"/>
      <c r="M1466" s="1540">
        <f t="shared" si="57"/>
        <v>1159179.5249999999</v>
      </c>
      <c r="N1466" s="166"/>
    </row>
    <row r="1467" spans="1:15" s="540" customFormat="1" ht="14.25" customHeight="1">
      <c r="A1467" s="1536">
        <v>284</v>
      </c>
      <c r="B1467" s="1537" t="e">
        <f>VLOOKUP(D1467,'[2]DS CN MOI UP'!$B$11:$C$447,2,0)</f>
        <v>#N/A</v>
      </c>
      <c r="C1467" s="1538" t="s">
        <v>1396</v>
      </c>
      <c r="D1467" s="1468" t="s">
        <v>1536</v>
      </c>
      <c r="E1467" s="1468" t="s">
        <v>15</v>
      </c>
      <c r="F1467" s="1468"/>
      <c r="G1467" s="1540"/>
      <c r="H1467" s="1540">
        <v>1239846.615</v>
      </c>
      <c r="I1467" s="1540"/>
      <c r="J1467" s="1466">
        <f t="shared" si="58"/>
        <v>1239846.615</v>
      </c>
      <c r="K1467" s="1466"/>
      <c r="L1467" s="1466"/>
      <c r="M1467" s="1540">
        <f t="shared" si="57"/>
        <v>1239846.615</v>
      </c>
      <c r="N1467" s="166"/>
    </row>
    <row r="1468" spans="1:15" s="540" customFormat="1" ht="14.25" customHeight="1">
      <c r="A1468" s="1536">
        <v>285</v>
      </c>
      <c r="B1468" s="1537" t="e">
        <f>VLOOKUP(D1468,'[2]DS CN MOI UP'!$B$11:$C$447,2,0)</f>
        <v>#N/A</v>
      </c>
      <c r="C1468" s="1538" t="s">
        <v>1398</v>
      </c>
      <c r="D1468" s="1468" t="s">
        <v>1537</v>
      </c>
      <c r="E1468" s="1468" t="s">
        <v>15</v>
      </c>
      <c r="F1468" s="1468"/>
      <c r="G1468" s="1540"/>
      <c r="H1468" s="1540">
        <v>1149145.3259999999</v>
      </c>
      <c r="I1468" s="1540"/>
      <c r="J1468" s="1466">
        <f t="shared" si="58"/>
        <v>1149145.3259999999</v>
      </c>
      <c r="K1468" s="1466"/>
      <c r="L1468" s="1466"/>
      <c r="M1468" s="1540">
        <f t="shared" si="57"/>
        <v>1149145.3259999999</v>
      </c>
      <c r="N1468" s="166"/>
    </row>
    <row r="1469" spans="1:15" s="540" customFormat="1" ht="14.25" customHeight="1">
      <c r="A1469" s="1536">
        <v>286</v>
      </c>
      <c r="B1469" s="1537" t="e">
        <f>VLOOKUP(D1469,'[2]DS CN MOI UP'!$B$11:$C$447,2,0)</f>
        <v>#N/A</v>
      </c>
      <c r="C1469" s="1538" t="s">
        <v>1405</v>
      </c>
      <c r="D1469" s="1468" t="s">
        <v>1538</v>
      </c>
      <c r="E1469" s="1468" t="s">
        <v>15</v>
      </c>
      <c r="F1469" s="1468"/>
      <c r="G1469" s="1540"/>
      <c r="H1469" s="1540">
        <v>1229038.53819991</v>
      </c>
      <c r="I1469" s="1540"/>
      <c r="J1469" s="1466">
        <f t="shared" si="58"/>
        <v>1229038.53819991</v>
      </c>
      <c r="K1469" s="1466"/>
      <c r="L1469" s="1466"/>
      <c r="M1469" s="1540">
        <f t="shared" si="57"/>
        <v>1229038.53819991</v>
      </c>
      <c r="N1469" s="166"/>
    </row>
    <row r="1470" spans="1:15" s="540" customFormat="1" ht="14.25" customHeight="1">
      <c r="A1470" s="1536">
        <v>287</v>
      </c>
      <c r="B1470" s="1537" t="e">
        <f>VLOOKUP(D1470,'[2]DS CN MOI UP'!$B$11:$C$447,2,0)</f>
        <v>#N/A</v>
      </c>
      <c r="C1470" s="1538" t="s">
        <v>1406</v>
      </c>
      <c r="D1470" s="1468" t="s">
        <v>1539</v>
      </c>
      <c r="E1470" s="1468" t="s">
        <v>15</v>
      </c>
      <c r="F1470" s="1468"/>
      <c r="G1470" s="1540"/>
      <c r="H1470" s="1540">
        <v>1159179.5249999999</v>
      </c>
      <c r="I1470" s="1540"/>
      <c r="J1470" s="1466">
        <f t="shared" si="58"/>
        <v>1159179.5249999999</v>
      </c>
      <c r="K1470" s="1466"/>
      <c r="L1470" s="1466"/>
      <c r="M1470" s="1540">
        <f t="shared" si="57"/>
        <v>1159179.5249999999</v>
      </c>
      <c r="N1470" s="166"/>
    </row>
    <row r="1471" spans="1:15" s="540" customFormat="1" ht="14.25" customHeight="1">
      <c r="A1471" s="1536">
        <v>288</v>
      </c>
      <c r="B1471" s="1537" t="e">
        <f>VLOOKUP(D1471,'[2]DS CN MOI UP'!$B$11:$C$447,2,0)</f>
        <v>#N/A</v>
      </c>
      <c r="C1471" s="1538" t="s">
        <v>1408</v>
      </c>
      <c r="D1471" s="1468" t="s">
        <v>1540</v>
      </c>
      <c r="E1471" s="1468" t="s">
        <v>15</v>
      </c>
      <c r="F1471" s="1468"/>
      <c r="G1471" s="1540"/>
      <c r="H1471" s="1540">
        <v>1239846.615</v>
      </c>
      <c r="I1471" s="1540"/>
      <c r="J1471" s="1466">
        <f t="shared" si="58"/>
        <v>1239846.615</v>
      </c>
      <c r="K1471" s="1466"/>
      <c r="L1471" s="1466"/>
      <c r="M1471" s="1540">
        <f t="shared" si="57"/>
        <v>1239846.615</v>
      </c>
      <c r="N1471" s="166"/>
    </row>
    <row r="1472" spans="1:15" s="540" customFormat="1" ht="14.25" customHeight="1">
      <c r="A1472" s="1536">
        <v>289</v>
      </c>
      <c r="B1472" s="1537" t="e">
        <f>VLOOKUP(D1472,'[2]DS CN MOI UP'!$B$11:$C$447,2,0)</f>
        <v>#N/A</v>
      </c>
      <c r="C1472" s="1538" t="s">
        <v>1410</v>
      </c>
      <c r="D1472" s="1468" t="s">
        <v>1541</v>
      </c>
      <c r="E1472" s="1468" t="s">
        <v>15</v>
      </c>
      <c r="F1472" s="1468"/>
      <c r="G1472" s="1540"/>
      <c r="H1472" s="1540">
        <v>1149145.3259999999</v>
      </c>
      <c r="I1472" s="1540"/>
      <c r="J1472" s="1466">
        <f t="shared" si="58"/>
        <v>1149145.3259999999</v>
      </c>
      <c r="K1472" s="1466"/>
      <c r="L1472" s="1466"/>
      <c r="M1472" s="1540">
        <f t="shared" si="57"/>
        <v>1149145.3259999999</v>
      </c>
      <c r="N1472" s="166"/>
    </row>
    <row r="1473" spans="1:14" s="540" customFormat="1" ht="14.25" customHeight="1">
      <c r="A1473" s="1536">
        <v>290</v>
      </c>
      <c r="B1473" s="1537" t="e">
        <f>VLOOKUP(D1473,'[2]DS CN MOI UP'!$B$11:$C$447,2,0)</f>
        <v>#N/A</v>
      </c>
      <c r="C1473" s="1538" t="s">
        <v>1412</v>
      </c>
      <c r="D1473" s="1468" t="s">
        <v>1542</v>
      </c>
      <c r="E1473" s="1468" t="s">
        <v>15</v>
      </c>
      <c r="F1473" s="1468"/>
      <c r="G1473" s="1466"/>
      <c r="H1473" s="1466">
        <v>1159179.5249999999</v>
      </c>
      <c r="I1473" s="1540"/>
      <c r="J1473" s="1466">
        <f t="shared" si="58"/>
        <v>1159179.5249999999</v>
      </c>
      <c r="K1473" s="1466"/>
      <c r="L1473" s="1466"/>
      <c r="M1473" s="1540">
        <f t="shared" si="57"/>
        <v>1159179.5249999999</v>
      </c>
      <c r="N1473" s="166"/>
    </row>
    <row r="1474" spans="1:14" s="540" customFormat="1" ht="14.25" customHeight="1">
      <c r="A1474" s="1536">
        <v>291</v>
      </c>
      <c r="B1474" s="1537" t="e">
        <f>VLOOKUP(D1474,'[2]DS CN MOI UP'!$B$11:$C$447,2,0)</f>
        <v>#N/A</v>
      </c>
      <c r="C1474" s="1538" t="s">
        <v>1413</v>
      </c>
      <c r="D1474" s="1468" t="s">
        <v>759</v>
      </c>
      <c r="E1474" s="1468" t="s">
        <v>15</v>
      </c>
      <c r="F1474" s="1468"/>
      <c r="G1474" s="1466"/>
      <c r="H1474" s="1466">
        <v>1239846.615</v>
      </c>
      <c r="I1474" s="1540"/>
      <c r="J1474" s="1466">
        <f t="shared" si="58"/>
        <v>1239846.615</v>
      </c>
      <c r="K1474" s="1466"/>
      <c r="L1474" s="1466"/>
      <c r="M1474" s="1540">
        <f t="shared" si="57"/>
        <v>1239846.615</v>
      </c>
      <c r="N1474" s="166"/>
    </row>
    <row r="1475" spans="1:14" s="540" customFormat="1" ht="14.25" customHeight="1">
      <c r="A1475" s="1536">
        <v>292</v>
      </c>
      <c r="B1475" s="1537" t="e">
        <f>VLOOKUP(D1475,'[2]DS CN MOI UP'!$B$11:$C$447,2,0)</f>
        <v>#N/A</v>
      </c>
      <c r="C1475" s="1538" t="s">
        <v>1414</v>
      </c>
      <c r="D1475" s="1468" t="s">
        <v>760</v>
      </c>
      <c r="E1475" s="1468" t="s">
        <v>15</v>
      </c>
      <c r="F1475" s="1468"/>
      <c r="G1475" s="1466"/>
      <c r="H1475" s="1466">
        <v>1149145.3259999999</v>
      </c>
      <c r="I1475" s="1540"/>
      <c r="J1475" s="1466">
        <f t="shared" si="58"/>
        <v>1149145.3259999999</v>
      </c>
      <c r="K1475" s="1466"/>
      <c r="L1475" s="1466"/>
      <c r="M1475" s="1540">
        <f t="shared" si="57"/>
        <v>1149145.3259999999</v>
      </c>
      <c r="N1475" s="166"/>
    </row>
    <row r="1476" spans="1:14" s="540" customFormat="1" ht="14.25" customHeight="1">
      <c r="A1476" s="1536">
        <v>293</v>
      </c>
      <c r="B1476" s="1537" t="e">
        <f>VLOOKUP(D1476,'[2]DS CN MOI UP'!$B$11:$C$447,2,0)</f>
        <v>#N/A</v>
      </c>
      <c r="C1476" s="1538" t="s">
        <v>1415</v>
      </c>
      <c r="D1476" s="1468" t="s">
        <v>1464</v>
      </c>
      <c r="E1476" s="1468" t="s">
        <v>15</v>
      </c>
      <c r="F1476" s="1468"/>
      <c r="G1476" s="1466"/>
      <c r="H1476" s="1466">
        <v>1229038.53819991</v>
      </c>
      <c r="I1476" s="1540"/>
      <c r="J1476" s="1466">
        <f t="shared" si="58"/>
        <v>1229038.53819991</v>
      </c>
      <c r="K1476" s="1466"/>
      <c r="L1476" s="1466"/>
      <c r="M1476" s="1540">
        <f t="shared" si="57"/>
        <v>1229038.53819991</v>
      </c>
      <c r="N1476" s="166"/>
    </row>
    <row r="1477" spans="1:14" s="540" customFormat="1" ht="14.25" customHeight="1">
      <c r="A1477" s="1536">
        <v>294</v>
      </c>
      <c r="B1477" s="1537" t="e">
        <f>VLOOKUP(D1477,'[2]DS CN MOI UP'!$B$11:$C$447,2,0)</f>
        <v>#N/A</v>
      </c>
      <c r="C1477" s="1538" t="s">
        <v>1417</v>
      </c>
      <c r="D1477" s="1468" t="s">
        <v>740</v>
      </c>
      <c r="E1477" s="1468" t="s">
        <v>15</v>
      </c>
      <c r="F1477" s="1468"/>
      <c r="G1477" s="1466"/>
      <c r="H1477" s="1466">
        <v>1159179.5249999999</v>
      </c>
      <c r="I1477" s="1540"/>
      <c r="J1477" s="1466">
        <f t="shared" si="58"/>
        <v>1159179.5249999999</v>
      </c>
      <c r="K1477" s="1466"/>
      <c r="L1477" s="1466"/>
      <c r="M1477" s="1540">
        <f t="shared" si="57"/>
        <v>1159179.5249999999</v>
      </c>
      <c r="N1477" s="166"/>
    </row>
    <row r="1478" spans="1:14" s="540" customFormat="1" ht="14.25" customHeight="1">
      <c r="A1478" s="1536">
        <v>295</v>
      </c>
      <c r="B1478" s="1537" t="e">
        <f>VLOOKUP(D1478,'[2]DS CN MOI UP'!$B$11:$C$447,2,0)</f>
        <v>#N/A</v>
      </c>
      <c r="C1478" s="1538" t="s">
        <v>1418</v>
      </c>
      <c r="D1478" s="1468" t="s">
        <v>741</v>
      </c>
      <c r="E1478" s="1468" t="s">
        <v>15</v>
      </c>
      <c r="F1478" s="1468"/>
      <c r="G1478" s="1466"/>
      <c r="H1478" s="1466">
        <v>1239846.615</v>
      </c>
      <c r="I1478" s="1540"/>
      <c r="J1478" s="1466">
        <f t="shared" si="58"/>
        <v>1239846.615</v>
      </c>
      <c r="K1478" s="1466"/>
      <c r="L1478" s="1466"/>
      <c r="M1478" s="1540">
        <f t="shared" si="57"/>
        <v>1239846.615</v>
      </c>
      <c r="N1478" s="166"/>
    </row>
    <row r="1479" spans="1:14" s="540" customFormat="1" ht="14.25" customHeight="1">
      <c r="A1479" s="1536">
        <v>296</v>
      </c>
      <c r="B1479" s="1537" t="e">
        <f>VLOOKUP(D1479,'[2]DS CN MOI UP'!$B$11:$C$447,2,0)</f>
        <v>#N/A</v>
      </c>
      <c r="C1479" s="1538" t="s">
        <v>1420</v>
      </c>
      <c r="D1479" s="1468" t="s">
        <v>1465</v>
      </c>
      <c r="E1479" s="1468" t="s">
        <v>15</v>
      </c>
      <c r="F1479" s="1468"/>
      <c r="G1479" s="1466"/>
      <c r="H1479" s="1466">
        <v>1149145.3259999999</v>
      </c>
      <c r="I1479" s="1540"/>
      <c r="J1479" s="1466">
        <f t="shared" si="58"/>
        <v>1149145.3259999999</v>
      </c>
      <c r="K1479" s="1466"/>
      <c r="L1479" s="1466"/>
      <c r="M1479" s="1540">
        <f t="shared" si="57"/>
        <v>1149145.3259999999</v>
      </c>
      <c r="N1479" s="166"/>
    </row>
    <row r="1480" spans="1:14" s="540" customFormat="1" ht="14.25" customHeight="1">
      <c r="A1480" s="1536">
        <v>297</v>
      </c>
      <c r="B1480" s="1537" t="e">
        <f>VLOOKUP(D1480,'[2]DS CN MOI UP'!$B$11:$C$447,2,0)</f>
        <v>#N/A</v>
      </c>
      <c r="C1480" s="1538" t="s">
        <v>1422</v>
      </c>
      <c r="D1480" s="1468" t="s">
        <v>743</v>
      </c>
      <c r="E1480" s="1468" t="s">
        <v>15</v>
      </c>
      <c r="F1480" s="1468"/>
      <c r="G1480" s="1466"/>
      <c r="H1480" s="1466">
        <v>1229038.53819991</v>
      </c>
      <c r="I1480" s="1540"/>
      <c r="J1480" s="1466">
        <f t="shared" si="58"/>
        <v>1229038.53819991</v>
      </c>
      <c r="K1480" s="1466"/>
      <c r="L1480" s="1466"/>
      <c r="M1480" s="1540">
        <f t="shared" si="57"/>
        <v>1229038.53819991</v>
      </c>
      <c r="N1480" s="166"/>
    </row>
    <row r="1481" spans="1:14" s="540" customFormat="1" ht="14.25" customHeight="1">
      <c r="A1481" s="1536">
        <v>298</v>
      </c>
      <c r="B1481" s="1537" t="e">
        <f>VLOOKUP(D1481,'[2]DS CN MOI UP'!$B$11:$C$447,2,0)</f>
        <v>#N/A</v>
      </c>
      <c r="C1481" s="1538" t="s">
        <v>1424</v>
      </c>
      <c r="D1481" s="1468" t="s">
        <v>1466</v>
      </c>
      <c r="E1481" s="1468" t="s">
        <v>15</v>
      </c>
      <c r="F1481" s="1468"/>
      <c r="G1481" s="1466"/>
      <c r="H1481" s="1466">
        <v>1159179.5249999999</v>
      </c>
      <c r="I1481" s="1540"/>
      <c r="J1481" s="1466">
        <f t="shared" si="58"/>
        <v>1159179.5249999999</v>
      </c>
      <c r="K1481" s="1466"/>
      <c r="L1481" s="1466"/>
      <c r="M1481" s="1540">
        <f t="shared" si="57"/>
        <v>1159179.5249999999</v>
      </c>
      <c r="N1481" s="166"/>
    </row>
    <row r="1482" spans="1:14" s="540" customFormat="1" ht="14.25" customHeight="1">
      <c r="A1482" s="1536">
        <v>299</v>
      </c>
      <c r="B1482" s="1537" t="e">
        <f>VLOOKUP(D1482,'[2]DS CN MOI UP'!$B$11:$C$447,2,0)</f>
        <v>#N/A</v>
      </c>
      <c r="C1482" s="1538" t="s">
        <v>1426</v>
      </c>
      <c r="D1482" s="1468" t="s">
        <v>745</v>
      </c>
      <c r="E1482" s="1468" t="s">
        <v>15</v>
      </c>
      <c r="F1482" s="1468"/>
      <c r="G1482" s="1466"/>
      <c r="H1482" s="1466">
        <v>1239846.615</v>
      </c>
      <c r="I1482" s="1540"/>
      <c r="J1482" s="1466">
        <f t="shared" si="58"/>
        <v>1239846.615</v>
      </c>
      <c r="K1482" s="1466"/>
      <c r="L1482" s="1466"/>
      <c r="M1482" s="1540">
        <f t="shared" si="57"/>
        <v>1239846.615</v>
      </c>
      <c r="N1482" s="166"/>
    </row>
    <row r="1483" spans="1:14" s="540" customFormat="1" ht="14.25" customHeight="1">
      <c r="A1483" s="1536">
        <v>300</v>
      </c>
      <c r="B1483" s="1537" t="e">
        <f>VLOOKUP(D1483,'[2]DS CN MOI UP'!$B$11:$C$447,2,0)</f>
        <v>#N/A</v>
      </c>
      <c r="C1483" s="1538" t="s">
        <v>1428</v>
      </c>
      <c r="D1483" s="1468" t="s">
        <v>1467</v>
      </c>
      <c r="E1483" s="1468" t="s">
        <v>15</v>
      </c>
      <c r="F1483" s="1468"/>
      <c r="G1483" s="1466"/>
      <c r="H1483" s="1466">
        <v>1149145.3259999999</v>
      </c>
      <c r="I1483" s="1540"/>
      <c r="J1483" s="1466">
        <f t="shared" si="58"/>
        <v>1149145.3259999999</v>
      </c>
      <c r="K1483" s="1466"/>
      <c r="L1483" s="1466"/>
      <c r="M1483" s="1540">
        <f t="shared" si="57"/>
        <v>1149145.3259999999</v>
      </c>
      <c r="N1483" s="166"/>
    </row>
    <row r="1484" spans="1:14" s="540" customFormat="1" ht="14.25" customHeight="1">
      <c r="A1484" s="1536">
        <v>301</v>
      </c>
      <c r="B1484" s="1537" t="e">
        <f>VLOOKUP(D1484,'[2]DS CN MOI UP'!$B$11:$C$447,2,0)</f>
        <v>#N/A</v>
      </c>
      <c r="C1484" s="1538" t="s">
        <v>1430</v>
      </c>
      <c r="D1484" s="1468" t="s">
        <v>747</v>
      </c>
      <c r="E1484" s="1468" t="s">
        <v>15</v>
      </c>
      <c r="F1484" s="1468"/>
      <c r="G1484" s="1466"/>
      <c r="H1484" s="1466">
        <v>1159179.5249999999</v>
      </c>
      <c r="I1484" s="1540"/>
      <c r="J1484" s="1466">
        <f t="shared" si="58"/>
        <v>1159179.5249999999</v>
      </c>
      <c r="K1484" s="1466"/>
      <c r="L1484" s="1466"/>
      <c r="M1484" s="1540">
        <f t="shared" si="57"/>
        <v>1159179.5249999999</v>
      </c>
      <c r="N1484" s="166"/>
    </row>
    <row r="1485" spans="1:14" s="540" customFormat="1" ht="14.25" customHeight="1">
      <c r="A1485" s="1536">
        <v>302</v>
      </c>
      <c r="B1485" s="1537" t="e">
        <f>VLOOKUP(D1485,'[2]DS CN MOI UP'!$B$11:$C$447,2,0)</f>
        <v>#N/A</v>
      </c>
      <c r="C1485" s="1538" t="s">
        <v>1432</v>
      </c>
      <c r="D1485" s="1468" t="s">
        <v>746</v>
      </c>
      <c r="E1485" s="1468" t="s">
        <v>15</v>
      </c>
      <c r="F1485" s="1468"/>
      <c r="G1485" s="1466"/>
      <c r="H1485" s="1466">
        <v>1239846.615</v>
      </c>
      <c r="I1485" s="1540"/>
      <c r="J1485" s="1466">
        <f t="shared" si="58"/>
        <v>1239846.615</v>
      </c>
      <c r="K1485" s="1466"/>
      <c r="L1485" s="1466"/>
      <c r="M1485" s="1540">
        <f t="shared" si="57"/>
        <v>1239846.615</v>
      </c>
      <c r="N1485" s="166"/>
    </row>
    <row r="1486" spans="1:14" s="540" customFormat="1" ht="14.25" customHeight="1">
      <c r="A1486" s="1536">
        <v>303</v>
      </c>
      <c r="B1486" s="1537" t="e">
        <f>VLOOKUP(D1486,'[2]DS CN MOI UP'!$B$11:$C$447,2,0)</f>
        <v>#N/A</v>
      </c>
      <c r="C1486" s="1538" t="s">
        <v>1433</v>
      </c>
      <c r="D1486" s="1468" t="s">
        <v>749</v>
      </c>
      <c r="E1486" s="1468" t="s">
        <v>15</v>
      </c>
      <c r="F1486" s="1468"/>
      <c r="G1486" s="1466"/>
      <c r="H1486" s="1466">
        <v>1149145.3259999999</v>
      </c>
      <c r="I1486" s="1540"/>
      <c r="J1486" s="1466">
        <f t="shared" si="58"/>
        <v>1149145.3259999999</v>
      </c>
      <c r="K1486" s="1466"/>
      <c r="L1486" s="1466"/>
      <c r="M1486" s="1540">
        <f t="shared" si="57"/>
        <v>1149145.3259999999</v>
      </c>
      <c r="N1486" s="166"/>
    </row>
    <row r="1487" spans="1:14" s="540" customFormat="1" ht="14.25" customHeight="1">
      <c r="A1487" s="1536">
        <v>304</v>
      </c>
      <c r="B1487" s="1537" t="e">
        <f>VLOOKUP(D1487,'[2]DS CN MOI UP'!$B$11:$C$447,2,0)</f>
        <v>#N/A</v>
      </c>
      <c r="C1487" s="1538" t="s">
        <v>1434</v>
      </c>
      <c r="D1487" s="1468" t="s">
        <v>1468</v>
      </c>
      <c r="E1487" s="1468" t="s">
        <v>15</v>
      </c>
      <c r="F1487" s="1468"/>
      <c r="G1487" s="1466"/>
      <c r="H1487" s="1466">
        <v>1229038.53819991</v>
      </c>
      <c r="I1487" s="1540"/>
      <c r="J1487" s="1466">
        <f t="shared" si="58"/>
        <v>1229038.53819991</v>
      </c>
      <c r="K1487" s="1466"/>
      <c r="L1487" s="1466"/>
      <c r="M1487" s="1540">
        <f t="shared" si="57"/>
        <v>1229038.53819991</v>
      </c>
      <c r="N1487" s="166"/>
    </row>
    <row r="1488" spans="1:14" s="540" customFormat="1" ht="14.25" customHeight="1">
      <c r="A1488" s="1536">
        <v>305</v>
      </c>
      <c r="B1488" s="1537" t="e">
        <f>VLOOKUP(D1488,'[2]DS CN MOI UP'!$B$11:$C$447,2,0)</f>
        <v>#N/A</v>
      </c>
      <c r="C1488" s="1538" t="s">
        <v>1436</v>
      </c>
      <c r="D1488" s="1468" t="s">
        <v>751</v>
      </c>
      <c r="E1488" s="1468" t="s">
        <v>15</v>
      </c>
      <c r="F1488" s="1468"/>
      <c r="G1488" s="1466"/>
      <c r="H1488" s="1466">
        <v>1159179.5249999999</v>
      </c>
      <c r="I1488" s="1540"/>
      <c r="J1488" s="1466">
        <f t="shared" si="58"/>
        <v>1159179.5249999999</v>
      </c>
      <c r="K1488" s="1466"/>
      <c r="L1488" s="1466"/>
      <c r="M1488" s="1540">
        <f t="shared" si="57"/>
        <v>1159179.5249999999</v>
      </c>
      <c r="N1488" s="166"/>
    </row>
    <row r="1489" spans="1:15" s="540" customFormat="1" ht="14.25" customHeight="1">
      <c r="A1489" s="1536">
        <v>306</v>
      </c>
      <c r="B1489" s="1537" t="e">
        <f>VLOOKUP(D1489,'[2]DS CN MOI UP'!$B$11:$C$447,2,0)</f>
        <v>#N/A</v>
      </c>
      <c r="C1489" s="1538" t="s">
        <v>1437</v>
      </c>
      <c r="D1489" s="1468" t="s">
        <v>752</v>
      </c>
      <c r="E1489" s="1468" t="s">
        <v>15</v>
      </c>
      <c r="F1489" s="1468"/>
      <c r="G1489" s="1466"/>
      <c r="H1489" s="1466">
        <v>1239846.615</v>
      </c>
      <c r="I1489" s="1540"/>
      <c r="J1489" s="1466">
        <f t="shared" si="58"/>
        <v>1239846.615</v>
      </c>
      <c r="K1489" s="1466"/>
      <c r="L1489" s="1466"/>
      <c r="M1489" s="1540">
        <f t="shared" si="57"/>
        <v>1239846.615</v>
      </c>
      <c r="N1489" s="166"/>
    </row>
    <row r="1490" spans="1:15" s="540" customFormat="1" ht="14.25" customHeight="1">
      <c r="A1490" s="1536">
        <v>307</v>
      </c>
      <c r="B1490" s="1537" t="str">
        <f>VLOOKUP(D1490,'[2]DS CN MOI UP'!$B$11:$C$447,2,0)</f>
        <v>02605</v>
      </c>
      <c r="C1490" s="1538" t="s">
        <v>1438</v>
      </c>
      <c r="D1490" s="1468" t="s">
        <v>258</v>
      </c>
      <c r="E1490" s="1468" t="s">
        <v>15</v>
      </c>
      <c r="F1490" s="1468"/>
      <c r="G1490" s="1466"/>
      <c r="H1490" s="1466">
        <v>1149145.3259999999</v>
      </c>
      <c r="I1490" s="1540"/>
      <c r="J1490" s="1466">
        <f t="shared" si="58"/>
        <v>1149145.3259999999</v>
      </c>
      <c r="K1490" s="1466"/>
      <c r="L1490" s="1466"/>
      <c r="M1490" s="1540">
        <f t="shared" si="57"/>
        <v>1149145.3259999999</v>
      </c>
      <c r="N1490" s="166"/>
    </row>
    <row r="1491" spans="1:15" s="540" customFormat="1" ht="14.25" customHeight="1">
      <c r="A1491" s="1536">
        <v>308</v>
      </c>
      <c r="B1491" s="1537" t="e">
        <f>VLOOKUP(D1491,'[2]DS CN MOI UP'!$B$11:$C$447,2,0)</f>
        <v>#N/A</v>
      </c>
      <c r="C1491" s="1538" t="s">
        <v>1440</v>
      </c>
      <c r="D1491" s="1468" t="s">
        <v>754</v>
      </c>
      <c r="E1491" s="1468" t="s">
        <v>15</v>
      </c>
      <c r="F1491" s="1468"/>
      <c r="G1491" s="1466"/>
      <c r="H1491" s="1466">
        <v>1229038.53819991</v>
      </c>
      <c r="I1491" s="1540"/>
      <c r="J1491" s="1466">
        <f t="shared" si="58"/>
        <v>1229038.53819991</v>
      </c>
      <c r="K1491" s="1466"/>
      <c r="L1491" s="1466"/>
      <c r="M1491" s="1540">
        <f t="shared" si="57"/>
        <v>1229038.53819991</v>
      </c>
      <c r="N1491" s="166"/>
    </row>
    <row r="1492" spans="1:15" s="540" customFormat="1" ht="14.25" customHeight="1">
      <c r="A1492" s="1536">
        <v>309</v>
      </c>
      <c r="B1492" s="1537" t="e">
        <f>VLOOKUP(D1492,'[2]DS CN MOI UP'!$B$11:$C$447,2,0)</f>
        <v>#N/A</v>
      </c>
      <c r="C1492" s="1538" t="s">
        <v>1442</v>
      </c>
      <c r="D1492" s="1468" t="s">
        <v>1469</v>
      </c>
      <c r="E1492" s="1468" t="s">
        <v>15</v>
      </c>
      <c r="F1492" s="1468"/>
      <c r="G1492" s="1466"/>
      <c r="H1492" s="1466">
        <v>1159179.5249999999</v>
      </c>
      <c r="I1492" s="1540"/>
      <c r="J1492" s="1466">
        <f t="shared" si="58"/>
        <v>1159179.5249999999</v>
      </c>
      <c r="K1492" s="1466"/>
      <c r="L1492" s="1466"/>
      <c r="M1492" s="1540">
        <f t="shared" si="57"/>
        <v>1159179.5249999999</v>
      </c>
      <c r="N1492" s="166"/>
    </row>
    <row r="1493" spans="1:15" s="540" customFormat="1" ht="14.25" customHeight="1">
      <c r="A1493" s="1536">
        <v>310</v>
      </c>
      <c r="B1493" s="1537" t="e">
        <f>VLOOKUP(D1493,'[2]DS CN MOI UP'!$B$11:$C$447,2,0)</f>
        <v>#N/A</v>
      </c>
      <c r="C1493" s="1538" t="s">
        <v>1444</v>
      </c>
      <c r="D1493" s="1468" t="s">
        <v>1470</v>
      </c>
      <c r="E1493" s="1468" t="s">
        <v>15</v>
      </c>
      <c r="F1493" s="1468"/>
      <c r="G1493" s="1466"/>
      <c r="H1493" s="1466">
        <v>1239846.615</v>
      </c>
      <c r="I1493" s="1540"/>
      <c r="J1493" s="1466">
        <f t="shared" si="58"/>
        <v>1239846.615</v>
      </c>
      <c r="K1493" s="1466"/>
      <c r="L1493" s="1466"/>
      <c r="M1493" s="1540">
        <f t="shared" si="57"/>
        <v>1239846.615</v>
      </c>
      <c r="N1493" s="166"/>
    </row>
    <row r="1494" spans="1:15" s="540" customFormat="1" ht="14.25" customHeight="1">
      <c r="A1494" s="1536">
        <v>311</v>
      </c>
      <c r="B1494" s="1537" t="e">
        <f>VLOOKUP(D1494,'[2]DS CN MOI UP'!$B$11:$C$447,2,0)</f>
        <v>#N/A</v>
      </c>
      <c r="C1494" s="1549" t="s">
        <v>1445</v>
      </c>
      <c r="D1494" s="1468" t="s">
        <v>1471</v>
      </c>
      <c r="E1494" s="1468" t="s">
        <v>15</v>
      </c>
      <c r="F1494" s="1468"/>
      <c r="G1494" s="1466"/>
      <c r="H1494" s="1466">
        <v>1149145.3259999999</v>
      </c>
      <c r="I1494" s="1540"/>
      <c r="J1494" s="1466">
        <f t="shared" si="58"/>
        <v>1149145.3259999999</v>
      </c>
      <c r="K1494" s="1466"/>
      <c r="L1494" s="1466"/>
      <c r="M1494" s="1540">
        <f t="shared" si="57"/>
        <v>1149145.3259999999</v>
      </c>
      <c r="N1494" s="166"/>
    </row>
    <row r="1495" spans="1:15" s="540" customFormat="1" ht="14.25" customHeight="1">
      <c r="A1495" s="1536">
        <v>312</v>
      </c>
      <c r="B1495" s="1537" t="e">
        <f>VLOOKUP(D1495,'[2]DS CN MOI UP'!$B$11:$C$447,2,0)</f>
        <v>#N/A</v>
      </c>
      <c r="C1495" s="1549" t="s">
        <v>1447</v>
      </c>
      <c r="D1495" s="1468" t="s">
        <v>1472</v>
      </c>
      <c r="E1495" s="1468" t="s">
        <v>15</v>
      </c>
      <c r="F1495" s="1468"/>
      <c r="G1495" s="1466"/>
      <c r="H1495" s="1466">
        <v>1159179.5249999999</v>
      </c>
      <c r="I1495" s="1540"/>
      <c r="J1495" s="1466">
        <f t="shared" si="58"/>
        <v>1159179.5249999999</v>
      </c>
      <c r="K1495" s="1466"/>
      <c r="L1495" s="1466"/>
      <c r="M1495" s="1540">
        <f t="shared" si="57"/>
        <v>1159179.5249999999</v>
      </c>
      <c r="N1495" s="166"/>
    </row>
    <row r="1496" spans="1:15" s="540" customFormat="1" ht="14.25" customHeight="1">
      <c r="A1496" s="1536">
        <v>313</v>
      </c>
      <c r="B1496" s="1537" t="e">
        <f>VLOOKUP(D1496,'[2]DS CN MOI UP'!$B$11:$C$447,2,0)</f>
        <v>#N/A</v>
      </c>
      <c r="C1496" s="1549" t="s">
        <v>1448</v>
      </c>
      <c r="D1496" s="1468" t="s">
        <v>1473</v>
      </c>
      <c r="E1496" s="1468" t="s">
        <v>15</v>
      </c>
      <c r="F1496" s="1468"/>
      <c r="G1496" s="1466"/>
      <c r="H1496" s="1466">
        <v>1239846.615</v>
      </c>
      <c r="I1496" s="1540"/>
      <c r="J1496" s="1466">
        <f t="shared" si="58"/>
        <v>1239846.615</v>
      </c>
      <c r="K1496" s="1466"/>
      <c r="L1496" s="1466"/>
      <c r="M1496" s="1540">
        <f t="shared" si="57"/>
        <v>1239846.615</v>
      </c>
      <c r="N1496" s="166"/>
    </row>
    <row r="1497" spans="1:15" s="540" customFormat="1" ht="14.25" customHeight="1">
      <c r="A1497" s="1536">
        <v>314</v>
      </c>
      <c r="B1497" s="1537" t="e">
        <f>VLOOKUP(D1497,'[2]DS CN MOI UP'!$B$11:$C$447,2,0)</f>
        <v>#N/A</v>
      </c>
      <c r="C1497" s="1549" t="s">
        <v>1450</v>
      </c>
      <c r="D1497" s="1468" t="s">
        <v>1474</v>
      </c>
      <c r="E1497" s="1468" t="s">
        <v>15</v>
      </c>
      <c r="F1497" s="1468"/>
      <c r="G1497" s="1466"/>
      <c r="H1497" s="1466">
        <v>1149145.3259999999</v>
      </c>
      <c r="I1497" s="1540"/>
      <c r="J1497" s="1466">
        <f t="shared" si="58"/>
        <v>1149145.3259999999</v>
      </c>
      <c r="K1497" s="1466"/>
      <c r="L1497" s="1466"/>
      <c r="M1497" s="1540">
        <f t="shared" si="57"/>
        <v>1149145.3259999999</v>
      </c>
      <c r="N1497" s="166"/>
    </row>
    <row r="1498" spans="1:15" s="540" customFormat="1" ht="14.25" customHeight="1">
      <c r="A1498" s="1536">
        <v>315</v>
      </c>
      <c r="B1498" s="1537" t="e">
        <f>VLOOKUP(D1498,'[2]DS CN MOI UP'!$B$11:$C$447,2,0)</f>
        <v>#N/A</v>
      </c>
      <c r="C1498" s="1549" t="s">
        <v>1451</v>
      </c>
      <c r="D1498" s="1468" t="s">
        <v>1475</v>
      </c>
      <c r="E1498" s="1468" t="s">
        <v>15</v>
      </c>
      <c r="F1498" s="1468"/>
      <c r="G1498" s="1466"/>
      <c r="H1498" s="1466">
        <v>1229038.53819991</v>
      </c>
      <c r="I1498" s="1540"/>
      <c r="J1498" s="1466">
        <f t="shared" si="58"/>
        <v>1229038.53819991</v>
      </c>
      <c r="K1498" s="1466"/>
      <c r="L1498" s="1466"/>
      <c r="M1498" s="1540">
        <f t="shared" si="57"/>
        <v>1229038.53819991</v>
      </c>
      <c r="N1498" s="166"/>
    </row>
    <row r="1499" spans="1:15" s="540" customFormat="1" ht="14.25" customHeight="1">
      <c r="A1499" s="1536">
        <v>316</v>
      </c>
      <c r="B1499" s="1537" t="e">
        <f>VLOOKUP(D1499,'[2]DS CN MOI UP'!$B$11:$C$447,2,0)</f>
        <v>#N/A</v>
      </c>
      <c r="C1499" s="1549" t="s">
        <v>1453</v>
      </c>
      <c r="D1499" s="1550" t="s">
        <v>1476</v>
      </c>
      <c r="E1499" s="1468" t="s">
        <v>15</v>
      </c>
      <c r="F1499" s="1468"/>
      <c r="G1499" s="1466"/>
      <c r="H1499" s="1466">
        <v>1159179.5249999999</v>
      </c>
      <c r="I1499" s="1540"/>
      <c r="J1499" s="1466">
        <f t="shared" si="58"/>
        <v>1159179.5249999999</v>
      </c>
      <c r="K1499" s="1466"/>
      <c r="L1499" s="1466"/>
      <c r="M1499" s="1540">
        <f t="shared" si="57"/>
        <v>1159179.5249999999</v>
      </c>
      <c r="N1499" s="166"/>
    </row>
    <row r="1500" spans="1:15" s="540" customFormat="1" ht="14.25" customHeight="1">
      <c r="A1500" s="1536">
        <v>317</v>
      </c>
      <c r="B1500" s="1537" t="e">
        <f>VLOOKUP(D1500,'[2]DS CN MOI UP'!$B$11:$C$447,2,0)</f>
        <v>#N/A</v>
      </c>
      <c r="C1500" s="1549" t="s">
        <v>1455</v>
      </c>
      <c r="D1500" s="1471" t="s">
        <v>1477</v>
      </c>
      <c r="E1500" s="1468" t="s">
        <v>15</v>
      </c>
      <c r="F1500" s="1468"/>
      <c r="G1500" s="1466"/>
      <c r="H1500" s="1466">
        <v>1239846.615</v>
      </c>
      <c r="I1500" s="1540"/>
      <c r="J1500" s="1466">
        <f t="shared" si="58"/>
        <v>1239846.615</v>
      </c>
      <c r="K1500" s="1466"/>
      <c r="L1500" s="1466"/>
      <c r="M1500" s="1540">
        <f t="shared" si="57"/>
        <v>1239846.615</v>
      </c>
      <c r="N1500" s="166"/>
      <c r="O1500" s="559"/>
    </row>
    <row r="1501" spans="1:15" s="540" customFormat="1" ht="14.25" customHeight="1">
      <c r="A1501" s="1536">
        <v>318</v>
      </c>
      <c r="B1501" s="1537" t="e">
        <f>VLOOKUP(D1501,'[2]DS CN MOI UP'!$B$11:$C$447,2,0)</f>
        <v>#N/A</v>
      </c>
      <c r="C1501" s="1549" t="s">
        <v>1455</v>
      </c>
      <c r="D1501" s="1471" t="s">
        <v>1478</v>
      </c>
      <c r="E1501" s="1468" t="s">
        <v>15</v>
      </c>
      <c r="F1501" s="1468"/>
      <c r="G1501" s="1466"/>
      <c r="H1501" s="1466">
        <v>1239846.615</v>
      </c>
      <c r="I1501" s="1540"/>
      <c r="J1501" s="1466">
        <f t="shared" si="58"/>
        <v>1239846.615</v>
      </c>
      <c r="K1501" s="1466"/>
      <c r="L1501" s="1466"/>
      <c r="M1501" s="1540">
        <f t="shared" si="57"/>
        <v>1239846.615</v>
      </c>
      <c r="N1501" s="166"/>
      <c r="O1501" s="559"/>
    </row>
    <row r="1502" spans="1:15" s="540" customFormat="1" ht="14.25" customHeight="1">
      <c r="A1502" s="1536">
        <v>319</v>
      </c>
      <c r="B1502" s="1537" t="e">
        <f>VLOOKUP(D1502,'[2]DS CN MOI UP'!$B$11:$C$447,2,0)</f>
        <v>#N/A</v>
      </c>
      <c r="C1502" s="1549" t="s">
        <v>1455</v>
      </c>
      <c r="D1502" s="1471" t="s">
        <v>1479</v>
      </c>
      <c r="E1502" s="1468" t="s">
        <v>15</v>
      </c>
      <c r="F1502" s="1468"/>
      <c r="G1502" s="1466">
        <v>200000</v>
      </c>
      <c r="H1502" s="1466">
        <v>816498.40260060097</v>
      </c>
      <c r="I1502" s="1540"/>
      <c r="J1502" s="1466">
        <f t="shared" si="58"/>
        <v>1016498.4026006</v>
      </c>
      <c r="K1502" s="1466"/>
      <c r="L1502" s="1466"/>
      <c r="M1502" s="1540">
        <f t="shared" si="57"/>
        <v>1016498.4026006</v>
      </c>
      <c r="N1502" s="166"/>
      <c r="O1502" s="559"/>
    </row>
    <row r="1503" spans="1:15" s="540" customFormat="1" ht="14.25" customHeight="1">
      <c r="A1503" s="1536">
        <v>320</v>
      </c>
      <c r="B1503" s="1537" t="e">
        <f>VLOOKUP(D1503,'[2]DS CN MOI UP'!$B$11:$C$447,2,0)</f>
        <v>#N/A</v>
      </c>
      <c r="C1503" s="1538" t="s">
        <v>1390</v>
      </c>
      <c r="D1503" s="1468" t="s">
        <v>1480</v>
      </c>
      <c r="E1503" s="1468" t="s">
        <v>15</v>
      </c>
      <c r="F1503" s="1468"/>
      <c r="G1503" s="1540"/>
      <c r="H1503" s="1540">
        <v>1239846.615</v>
      </c>
      <c r="I1503" s="1540"/>
      <c r="J1503" s="1466">
        <f t="shared" si="58"/>
        <v>1239846.615</v>
      </c>
      <c r="K1503" s="1466"/>
      <c r="L1503" s="1466"/>
      <c r="M1503" s="1540">
        <f t="shared" si="57"/>
        <v>1239846.615</v>
      </c>
      <c r="N1503" s="166"/>
    </row>
    <row r="1504" spans="1:15" s="540" customFormat="1" ht="14.25" customHeight="1">
      <c r="A1504" s="1536">
        <v>321</v>
      </c>
      <c r="B1504" s="1537" t="e">
        <f>VLOOKUP(D1504,'[2]DS CN MOI UP'!$B$11:$C$447,2,0)</f>
        <v>#N/A</v>
      </c>
      <c r="C1504" s="1538" t="s">
        <v>1391</v>
      </c>
      <c r="D1504" s="1468" t="s">
        <v>1481</v>
      </c>
      <c r="E1504" s="1468" t="s">
        <v>15</v>
      </c>
      <c r="F1504" s="1468"/>
      <c r="G1504" s="1540"/>
      <c r="H1504" s="1540">
        <v>1149145.3259999999</v>
      </c>
      <c r="I1504" s="1540"/>
      <c r="J1504" s="1466">
        <f t="shared" si="58"/>
        <v>1149145.3259999999</v>
      </c>
      <c r="K1504" s="1466"/>
      <c r="L1504" s="1466"/>
      <c r="M1504" s="1540">
        <f t="shared" si="57"/>
        <v>1149145.3259999999</v>
      </c>
      <c r="N1504" s="166"/>
    </row>
    <row r="1505" spans="1:14" s="540" customFormat="1" ht="14.25" customHeight="1">
      <c r="A1505" s="1536">
        <v>322</v>
      </c>
      <c r="B1505" s="1537" t="e">
        <f>VLOOKUP(D1505,'[2]DS CN MOI UP'!$B$11:$C$447,2,0)</f>
        <v>#N/A</v>
      </c>
      <c r="C1505" s="1538" t="s">
        <v>1392</v>
      </c>
      <c r="D1505" s="1468" t="s">
        <v>1482</v>
      </c>
      <c r="E1505" s="1468" t="s">
        <v>15</v>
      </c>
      <c r="F1505" s="1468"/>
      <c r="G1505" s="1540"/>
      <c r="H1505" s="1540">
        <v>1229038.53819991</v>
      </c>
      <c r="I1505" s="1540"/>
      <c r="J1505" s="1466">
        <f t="shared" si="58"/>
        <v>1229038.53819991</v>
      </c>
      <c r="K1505" s="1466"/>
      <c r="L1505" s="1466"/>
      <c r="M1505" s="1540">
        <f t="shared" si="57"/>
        <v>1229038.53819991</v>
      </c>
      <c r="N1505" s="166"/>
    </row>
    <row r="1506" spans="1:14" s="540" customFormat="1" ht="14.25" customHeight="1">
      <c r="A1506" s="1536">
        <v>323</v>
      </c>
      <c r="B1506" s="1537" t="e">
        <f>VLOOKUP(D1506,'[2]DS CN MOI UP'!$B$11:$C$447,2,0)</f>
        <v>#N/A</v>
      </c>
      <c r="C1506" s="1538" t="s">
        <v>1394</v>
      </c>
      <c r="D1506" s="1468" t="s">
        <v>1483</v>
      </c>
      <c r="E1506" s="1468" t="s">
        <v>15</v>
      </c>
      <c r="F1506" s="1468"/>
      <c r="G1506" s="1540"/>
      <c r="H1506" s="1540">
        <v>1159179.5249999999</v>
      </c>
      <c r="I1506" s="1540"/>
      <c r="J1506" s="1466">
        <f t="shared" si="58"/>
        <v>1159179.5249999999</v>
      </c>
      <c r="K1506" s="1466"/>
      <c r="L1506" s="1466"/>
      <c r="M1506" s="1540">
        <f t="shared" si="57"/>
        <v>1159179.5249999999</v>
      </c>
      <c r="N1506" s="166"/>
    </row>
    <row r="1507" spans="1:14" s="540" customFormat="1" ht="14.25" customHeight="1">
      <c r="A1507" s="1536">
        <v>324</v>
      </c>
      <c r="B1507" s="1537" t="e">
        <f>VLOOKUP(D1507,'[2]DS CN MOI UP'!$B$11:$C$447,2,0)</f>
        <v>#N/A</v>
      </c>
      <c r="C1507" s="1538" t="s">
        <v>1396</v>
      </c>
      <c r="D1507" s="1468" t="s">
        <v>1484</v>
      </c>
      <c r="E1507" s="1468" t="s">
        <v>15</v>
      </c>
      <c r="F1507" s="1468"/>
      <c r="G1507" s="1540"/>
      <c r="H1507" s="1540">
        <v>1239846.615</v>
      </c>
      <c r="I1507" s="1540"/>
      <c r="J1507" s="1466">
        <f t="shared" si="58"/>
        <v>1239846.615</v>
      </c>
      <c r="K1507" s="1466"/>
      <c r="L1507" s="1466"/>
      <c r="M1507" s="1540">
        <f t="shared" si="57"/>
        <v>1239846.615</v>
      </c>
      <c r="N1507" s="166"/>
    </row>
    <row r="1508" spans="1:14" s="540" customFormat="1" ht="14.25" customHeight="1">
      <c r="A1508" s="1536">
        <v>325</v>
      </c>
      <c r="B1508" s="1537" t="e">
        <f>VLOOKUP(D1508,'[2]DS CN MOI UP'!$B$11:$C$447,2,0)</f>
        <v>#N/A</v>
      </c>
      <c r="C1508" s="1538" t="s">
        <v>1398</v>
      </c>
      <c r="D1508" s="1468" t="s">
        <v>1485</v>
      </c>
      <c r="E1508" s="1468" t="s">
        <v>15</v>
      </c>
      <c r="F1508" s="1468"/>
      <c r="G1508" s="1540"/>
      <c r="H1508" s="1540">
        <v>1149145.3259999999</v>
      </c>
      <c r="I1508" s="1540"/>
      <c r="J1508" s="1466">
        <f t="shared" si="58"/>
        <v>1149145.3259999999</v>
      </c>
      <c r="K1508" s="1466"/>
      <c r="L1508" s="1466"/>
      <c r="M1508" s="1540">
        <f t="shared" si="57"/>
        <v>1149145.3259999999</v>
      </c>
      <c r="N1508" s="166"/>
    </row>
    <row r="1509" spans="1:14" s="540" customFormat="1" ht="14.25" customHeight="1">
      <c r="A1509" s="1536">
        <v>326</v>
      </c>
      <c r="B1509" s="1537" t="e">
        <f>VLOOKUP(D1509,'[2]DS CN MOI UP'!$B$11:$C$447,2,0)</f>
        <v>#N/A</v>
      </c>
      <c r="C1509" s="1538" t="s">
        <v>1405</v>
      </c>
      <c r="D1509" s="1468" t="s">
        <v>1486</v>
      </c>
      <c r="E1509" s="1468" t="s">
        <v>15</v>
      </c>
      <c r="F1509" s="1468"/>
      <c r="G1509" s="1540"/>
      <c r="H1509" s="1540">
        <v>1229038.53819991</v>
      </c>
      <c r="I1509" s="1540"/>
      <c r="J1509" s="1466">
        <f t="shared" si="58"/>
        <v>1229038.53819991</v>
      </c>
      <c r="K1509" s="1466"/>
      <c r="L1509" s="1466"/>
      <c r="M1509" s="1540">
        <f t="shared" si="57"/>
        <v>1229038.53819991</v>
      </c>
      <c r="N1509" s="166"/>
    </row>
    <row r="1510" spans="1:14" s="540" customFormat="1" ht="14.25" customHeight="1">
      <c r="A1510" s="1536">
        <v>327</v>
      </c>
      <c r="B1510" s="1537" t="e">
        <f>VLOOKUP(D1510,'[2]DS CN MOI UP'!$B$11:$C$447,2,0)</f>
        <v>#N/A</v>
      </c>
      <c r="C1510" s="1538" t="s">
        <v>1406</v>
      </c>
      <c r="D1510" s="1468" t="s">
        <v>1487</v>
      </c>
      <c r="E1510" s="1468" t="s">
        <v>15</v>
      </c>
      <c r="F1510" s="1468"/>
      <c r="G1510" s="1540"/>
      <c r="H1510" s="1540">
        <v>1159179.5249999999</v>
      </c>
      <c r="I1510" s="1540"/>
      <c r="J1510" s="1466">
        <f t="shared" si="58"/>
        <v>1159179.5249999999</v>
      </c>
      <c r="K1510" s="1466"/>
      <c r="L1510" s="1466"/>
      <c r="M1510" s="1540">
        <f t="shared" si="57"/>
        <v>1159179.5249999999</v>
      </c>
      <c r="N1510" s="166"/>
    </row>
    <row r="1511" spans="1:14" s="540" customFormat="1" ht="14.25" customHeight="1">
      <c r="A1511" s="1536">
        <v>328</v>
      </c>
      <c r="B1511" s="1537" t="e">
        <f>VLOOKUP(D1511,'[2]DS CN MOI UP'!$B$11:$C$447,2,0)</f>
        <v>#N/A</v>
      </c>
      <c r="C1511" s="1538" t="s">
        <v>1408</v>
      </c>
      <c r="D1511" s="1468" t="s">
        <v>1489</v>
      </c>
      <c r="E1511" s="1468" t="s">
        <v>15</v>
      </c>
      <c r="F1511" s="1468"/>
      <c r="G1511" s="1540"/>
      <c r="H1511" s="1540">
        <v>1239846.615</v>
      </c>
      <c r="I1511" s="1540"/>
      <c r="J1511" s="1466">
        <f t="shared" si="58"/>
        <v>1239846.615</v>
      </c>
      <c r="K1511" s="1466"/>
      <c r="L1511" s="1466"/>
      <c r="M1511" s="1540">
        <f t="shared" si="57"/>
        <v>1239846.615</v>
      </c>
      <c r="N1511" s="166"/>
    </row>
    <row r="1512" spans="1:14" s="540" customFormat="1" ht="14.25" customHeight="1">
      <c r="A1512" s="1536">
        <v>329</v>
      </c>
      <c r="B1512" s="1537" t="e">
        <f>VLOOKUP(D1512,'[2]DS CN MOI UP'!$B$11:$C$447,2,0)</f>
        <v>#N/A</v>
      </c>
      <c r="C1512" s="1538" t="s">
        <v>1410</v>
      </c>
      <c r="D1512" s="1468" t="s">
        <v>1490</v>
      </c>
      <c r="E1512" s="1468" t="s">
        <v>15</v>
      </c>
      <c r="F1512" s="1468"/>
      <c r="G1512" s="1540"/>
      <c r="H1512" s="1540">
        <v>1149145.3259999999</v>
      </c>
      <c r="I1512" s="1540"/>
      <c r="J1512" s="1466">
        <f t="shared" si="58"/>
        <v>1149145.3259999999</v>
      </c>
      <c r="K1512" s="1466"/>
      <c r="L1512" s="1466"/>
      <c r="M1512" s="1540">
        <f t="shared" si="57"/>
        <v>1149145.3259999999</v>
      </c>
      <c r="N1512" s="166"/>
    </row>
    <row r="1513" spans="1:14" s="540" customFormat="1" ht="14.25" customHeight="1">
      <c r="A1513" s="1536">
        <v>330</v>
      </c>
      <c r="B1513" s="1537" t="e">
        <f>VLOOKUP(D1513,'[2]DS CN MOI UP'!$B$11:$C$447,2,0)</f>
        <v>#N/A</v>
      </c>
      <c r="C1513" s="1538" t="s">
        <v>1412</v>
      </c>
      <c r="D1513" s="1468" t="s">
        <v>1491</v>
      </c>
      <c r="E1513" s="1468" t="s">
        <v>15</v>
      </c>
      <c r="F1513" s="1468"/>
      <c r="G1513" s="1466"/>
      <c r="H1513" s="1466">
        <v>1159179.5249999999</v>
      </c>
      <c r="I1513" s="1540"/>
      <c r="J1513" s="1466">
        <f t="shared" si="58"/>
        <v>1159179.5249999999</v>
      </c>
      <c r="K1513" s="1466"/>
      <c r="L1513" s="1466"/>
      <c r="M1513" s="1540">
        <f t="shared" si="57"/>
        <v>1159179.5249999999</v>
      </c>
      <c r="N1513" s="166"/>
    </row>
    <row r="1514" spans="1:14" s="540" customFormat="1" ht="14.25" customHeight="1">
      <c r="A1514" s="1536">
        <v>331</v>
      </c>
      <c r="B1514" s="1537" t="e">
        <f>VLOOKUP(D1514,'[2]DS CN MOI UP'!$B$11:$C$447,2,0)</f>
        <v>#N/A</v>
      </c>
      <c r="C1514" s="1538" t="s">
        <v>1413</v>
      </c>
      <c r="D1514" s="1468" t="s">
        <v>1492</v>
      </c>
      <c r="E1514" s="1468" t="s">
        <v>15</v>
      </c>
      <c r="F1514" s="1468"/>
      <c r="G1514" s="1466"/>
      <c r="H1514" s="1466">
        <v>1239846.615</v>
      </c>
      <c r="I1514" s="1540"/>
      <c r="J1514" s="1466">
        <f t="shared" si="58"/>
        <v>1239846.615</v>
      </c>
      <c r="K1514" s="1466"/>
      <c r="L1514" s="1466"/>
      <c r="M1514" s="1540">
        <f t="shared" si="57"/>
        <v>1239846.615</v>
      </c>
      <c r="N1514" s="166"/>
    </row>
    <row r="1515" spans="1:14" s="540" customFormat="1" ht="14.25" customHeight="1">
      <c r="A1515" s="1536">
        <v>332</v>
      </c>
      <c r="B1515" s="1537" t="e">
        <f>VLOOKUP(D1515,'[2]DS CN MOI UP'!$B$11:$C$447,2,0)</f>
        <v>#N/A</v>
      </c>
      <c r="C1515" s="1538" t="s">
        <v>1414</v>
      </c>
      <c r="D1515" s="1468" t="s">
        <v>1493</v>
      </c>
      <c r="E1515" s="1468" t="s">
        <v>15</v>
      </c>
      <c r="F1515" s="1468"/>
      <c r="G1515" s="1466"/>
      <c r="H1515" s="1466">
        <v>1149145.3259999999</v>
      </c>
      <c r="I1515" s="1540"/>
      <c r="J1515" s="1466">
        <f t="shared" si="58"/>
        <v>1149145.3259999999</v>
      </c>
      <c r="K1515" s="1466"/>
      <c r="L1515" s="1466"/>
      <c r="M1515" s="1540">
        <f t="shared" si="57"/>
        <v>1149145.3259999999</v>
      </c>
      <c r="N1515" s="166"/>
    </row>
    <row r="1516" spans="1:14" s="540" customFormat="1" ht="14.25" customHeight="1">
      <c r="A1516" s="1536">
        <v>333</v>
      </c>
      <c r="B1516" s="1537" t="e">
        <f>VLOOKUP(D1516,'[2]DS CN MOI UP'!$B$11:$C$447,2,0)</f>
        <v>#N/A</v>
      </c>
      <c r="C1516" s="1538" t="s">
        <v>1415</v>
      </c>
      <c r="D1516" s="1468" t="s">
        <v>1494</v>
      </c>
      <c r="E1516" s="1468" t="s">
        <v>15</v>
      </c>
      <c r="F1516" s="1468"/>
      <c r="G1516" s="1466"/>
      <c r="H1516" s="1466">
        <v>1229038.53819991</v>
      </c>
      <c r="I1516" s="1540"/>
      <c r="J1516" s="1466">
        <f t="shared" si="58"/>
        <v>1229038.53819991</v>
      </c>
      <c r="K1516" s="1466"/>
      <c r="L1516" s="1466"/>
      <c r="M1516" s="1540">
        <f t="shared" si="57"/>
        <v>1229038.53819991</v>
      </c>
      <c r="N1516" s="166"/>
    </row>
    <row r="1517" spans="1:14" s="540" customFormat="1" ht="14.25" customHeight="1">
      <c r="A1517" s="1536">
        <v>334</v>
      </c>
      <c r="B1517" s="1537" t="e">
        <f>VLOOKUP(D1517,'[2]DS CN MOI UP'!$B$11:$C$447,2,0)</f>
        <v>#N/A</v>
      </c>
      <c r="C1517" s="1538" t="s">
        <v>1417</v>
      </c>
      <c r="D1517" s="1468" t="s">
        <v>1495</v>
      </c>
      <c r="E1517" s="1468" t="s">
        <v>15</v>
      </c>
      <c r="F1517" s="1468"/>
      <c r="G1517" s="1466"/>
      <c r="H1517" s="1466">
        <v>1159179.5249999999</v>
      </c>
      <c r="I1517" s="1540"/>
      <c r="J1517" s="1466">
        <f t="shared" si="58"/>
        <v>1159179.5249999999</v>
      </c>
      <c r="K1517" s="1466"/>
      <c r="L1517" s="1466"/>
      <c r="M1517" s="1540">
        <f t="shared" si="57"/>
        <v>1159179.5249999999</v>
      </c>
      <c r="N1517" s="166"/>
    </row>
    <row r="1518" spans="1:14" s="540" customFormat="1" ht="14.25" customHeight="1">
      <c r="A1518" s="1536">
        <v>335</v>
      </c>
      <c r="B1518" s="1537" t="e">
        <f>VLOOKUP(D1518,'[2]DS CN MOI UP'!$B$11:$C$447,2,0)</f>
        <v>#N/A</v>
      </c>
      <c r="C1518" s="1538" t="s">
        <v>1418</v>
      </c>
      <c r="D1518" s="1468" t="s">
        <v>1496</v>
      </c>
      <c r="E1518" s="1468" t="s">
        <v>15</v>
      </c>
      <c r="F1518" s="1468"/>
      <c r="G1518" s="1466"/>
      <c r="H1518" s="1466">
        <v>1239846.615</v>
      </c>
      <c r="I1518" s="1540"/>
      <c r="J1518" s="1466">
        <f t="shared" si="58"/>
        <v>1239846.615</v>
      </c>
      <c r="K1518" s="1466"/>
      <c r="L1518" s="1466"/>
      <c r="M1518" s="1540">
        <f t="shared" si="57"/>
        <v>1239846.615</v>
      </c>
      <c r="N1518" s="166"/>
    </row>
    <row r="1519" spans="1:14" s="540" customFormat="1" ht="14.25" customHeight="1">
      <c r="A1519" s="1536">
        <v>336</v>
      </c>
      <c r="B1519" s="1537" t="e">
        <f>VLOOKUP(D1519,'[2]DS CN MOI UP'!$B$11:$C$447,2,0)</f>
        <v>#N/A</v>
      </c>
      <c r="C1519" s="1538" t="s">
        <v>1420</v>
      </c>
      <c r="D1519" s="1468" t="s">
        <v>1497</v>
      </c>
      <c r="E1519" s="1468" t="s">
        <v>15</v>
      </c>
      <c r="F1519" s="1468"/>
      <c r="G1519" s="1466"/>
      <c r="H1519" s="1466">
        <v>1149145.3259999999</v>
      </c>
      <c r="I1519" s="1540"/>
      <c r="J1519" s="1466">
        <f t="shared" si="58"/>
        <v>1149145.3259999999</v>
      </c>
      <c r="K1519" s="1466"/>
      <c r="L1519" s="1466"/>
      <c r="M1519" s="1540">
        <f t="shared" si="57"/>
        <v>1149145.3259999999</v>
      </c>
      <c r="N1519" s="166"/>
    </row>
    <row r="1520" spans="1:14" s="540" customFormat="1" ht="14.25" customHeight="1">
      <c r="A1520" s="1536">
        <v>337</v>
      </c>
      <c r="B1520" s="1537" t="e">
        <f>VLOOKUP(D1520,'[2]DS CN MOI UP'!$B$11:$C$447,2,0)</f>
        <v>#N/A</v>
      </c>
      <c r="C1520" s="1538" t="s">
        <v>1422</v>
      </c>
      <c r="D1520" s="1468" t="s">
        <v>1498</v>
      </c>
      <c r="E1520" s="1468" t="s">
        <v>15</v>
      </c>
      <c r="F1520" s="1468"/>
      <c r="G1520" s="1466"/>
      <c r="H1520" s="1466">
        <v>1229038.53819991</v>
      </c>
      <c r="I1520" s="1540"/>
      <c r="J1520" s="1466">
        <f t="shared" si="58"/>
        <v>1229038.53819991</v>
      </c>
      <c r="K1520" s="1466"/>
      <c r="L1520" s="1466"/>
      <c r="M1520" s="1540">
        <f t="shared" si="57"/>
        <v>1229038.53819991</v>
      </c>
      <c r="N1520" s="166"/>
    </row>
    <row r="1521" spans="1:14" s="540" customFormat="1" ht="14.25" customHeight="1">
      <c r="A1521" s="1536">
        <v>338</v>
      </c>
      <c r="B1521" s="1537" t="e">
        <f>VLOOKUP(D1521,'[2]DS CN MOI UP'!$B$11:$C$447,2,0)</f>
        <v>#N/A</v>
      </c>
      <c r="C1521" s="1538" t="s">
        <v>1424</v>
      </c>
      <c r="D1521" s="1468" t="s">
        <v>1499</v>
      </c>
      <c r="E1521" s="1468" t="s">
        <v>15</v>
      </c>
      <c r="F1521" s="1468"/>
      <c r="G1521" s="1466"/>
      <c r="H1521" s="1466">
        <v>1159179.5249999999</v>
      </c>
      <c r="I1521" s="1540"/>
      <c r="J1521" s="1466">
        <f t="shared" si="58"/>
        <v>1159179.5249999999</v>
      </c>
      <c r="K1521" s="1466"/>
      <c r="L1521" s="1466"/>
      <c r="M1521" s="1540">
        <f t="shared" si="57"/>
        <v>1159179.5249999999</v>
      </c>
      <c r="N1521" s="166"/>
    </row>
    <row r="1522" spans="1:14" s="540" customFormat="1" ht="14.25" customHeight="1">
      <c r="A1522" s="1536">
        <v>339</v>
      </c>
      <c r="B1522" s="1537" t="e">
        <f>VLOOKUP(D1522,'[2]DS CN MOI UP'!$B$11:$C$447,2,0)</f>
        <v>#N/A</v>
      </c>
      <c r="C1522" s="1538" t="s">
        <v>1426</v>
      </c>
      <c r="D1522" s="1468" t="s">
        <v>755</v>
      </c>
      <c r="E1522" s="1468" t="s">
        <v>15</v>
      </c>
      <c r="F1522" s="1468"/>
      <c r="G1522" s="1466"/>
      <c r="H1522" s="1466">
        <v>1239846.615</v>
      </c>
      <c r="I1522" s="1540"/>
      <c r="J1522" s="1466">
        <f t="shared" si="58"/>
        <v>1239846.615</v>
      </c>
      <c r="K1522" s="1466"/>
      <c r="L1522" s="1466"/>
      <c r="M1522" s="1540">
        <f t="shared" si="57"/>
        <v>1239846.615</v>
      </c>
      <c r="N1522" s="166"/>
    </row>
    <row r="1523" spans="1:14" s="540" customFormat="1" ht="14.25" customHeight="1">
      <c r="A1523" s="1536">
        <v>340</v>
      </c>
      <c r="B1523" s="1537" t="e">
        <f>VLOOKUP(D1523,'[2]DS CN MOI UP'!$B$11:$C$447,2,0)</f>
        <v>#N/A</v>
      </c>
      <c r="C1523" s="1538" t="s">
        <v>1428</v>
      </c>
      <c r="D1523" s="1468" t="s">
        <v>756</v>
      </c>
      <c r="E1523" s="1468" t="s">
        <v>15</v>
      </c>
      <c r="F1523" s="1468"/>
      <c r="G1523" s="1466"/>
      <c r="H1523" s="1466">
        <v>1149145.3259999999</v>
      </c>
      <c r="I1523" s="1540"/>
      <c r="J1523" s="1466">
        <f t="shared" si="58"/>
        <v>1149145.3259999999</v>
      </c>
      <c r="K1523" s="1466"/>
      <c r="L1523" s="1466"/>
      <c r="M1523" s="1540">
        <f t="shared" si="57"/>
        <v>1149145.3259999999</v>
      </c>
      <c r="N1523" s="166"/>
    </row>
    <row r="1524" spans="1:14" s="540" customFormat="1" ht="14.25" customHeight="1">
      <c r="A1524" s="1536">
        <v>341</v>
      </c>
      <c r="B1524" s="1537" t="e">
        <f>VLOOKUP(D1524,'[2]DS CN MOI UP'!$B$11:$C$447,2,0)</f>
        <v>#N/A</v>
      </c>
      <c r="C1524" s="1538" t="s">
        <v>1430</v>
      </c>
      <c r="D1524" s="1468" t="s">
        <v>1500</v>
      </c>
      <c r="E1524" s="1468" t="s">
        <v>15</v>
      </c>
      <c r="F1524" s="1468"/>
      <c r="G1524" s="1466"/>
      <c r="H1524" s="1466">
        <v>1159179.5249999999</v>
      </c>
      <c r="I1524" s="1540"/>
      <c r="J1524" s="1466">
        <f t="shared" si="58"/>
        <v>1159179.5249999999</v>
      </c>
      <c r="K1524" s="1466"/>
      <c r="L1524" s="1466"/>
      <c r="M1524" s="1540">
        <f t="shared" si="57"/>
        <v>1159179.5249999999</v>
      </c>
      <c r="N1524" s="166"/>
    </row>
    <row r="1525" spans="1:14" s="540" customFormat="1" ht="14.25" customHeight="1">
      <c r="A1525" s="1536">
        <v>342</v>
      </c>
      <c r="B1525" s="1537" t="str">
        <f>VLOOKUP(D1525,'[2]DS CN MOI UP'!$B$11:$C$447,2,0)</f>
        <v>02495</v>
      </c>
      <c r="C1525" s="1538" t="s">
        <v>1432</v>
      </c>
      <c r="D1525" s="1468" t="s">
        <v>120</v>
      </c>
      <c r="E1525" s="1468" t="s">
        <v>15</v>
      </c>
      <c r="F1525" s="1468"/>
      <c r="G1525" s="1466"/>
      <c r="H1525" s="1466">
        <v>1239846.615</v>
      </c>
      <c r="I1525" s="1540"/>
      <c r="J1525" s="1466">
        <f t="shared" si="58"/>
        <v>1239846.615</v>
      </c>
      <c r="K1525" s="1466"/>
      <c r="L1525" s="1466"/>
      <c r="M1525" s="1540">
        <f t="shared" si="57"/>
        <v>1239846.615</v>
      </c>
      <c r="N1525" s="166"/>
    </row>
    <row r="1526" spans="1:14" s="540" customFormat="1" ht="14.25" customHeight="1">
      <c r="A1526" s="1536">
        <v>343</v>
      </c>
      <c r="B1526" s="1537" t="str">
        <f>VLOOKUP(D1526,'[2]DS CN MOI UP'!$B$11:$C$447,2,0)</f>
        <v>02505</v>
      </c>
      <c r="C1526" s="1538" t="s">
        <v>1433</v>
      </c>
      <c r="D1526" s="1468" t="s">
        <v>117</v>
      </c>
      <c r="E1526" s="1468" t="s">
        <v>15</v>
      </c>
      <c r="F1526" s="1468"/>
      <c r="G1526" s="1466"/>
      <c r="H1526" s="1466">
        <v>1149145.3259999999</v>
      </c>
      <c r="I1526" s="1540"/>
      <c r="J1526" s="1466">
        <f t="shared" si="58"/>
        <v>1149145.3259999999</v>
      </c>
      <c r="K1526" s="1466"/>
      <c r="L1526" s="1466"/>
      <c r="M1526" s="1540">
        <f t="shared" si="57"/>
        <v>1149145.3259999999</v>
      </c>
      <c r="N1526" s="166"/>
    </row>
    <row r="1527" spans="1:14" s="540" customFormat="1" ht="14.25" customHeight="1">
      <c r="A1527" s="1536">
        <v>344</v>
      </c>
      <c r="B1527" s="1537" t="str">
        <f>VLOOKUP(D1527,'[2]DS CN MOI UP'!$B$11:$C$447,2,0)</f>
        <v>02516</v>
      </c>
      <c r="C1527" s="1538" t="s">
        <v>1434</v>
      </c>
      <c r="D1527" s="1468" t="s">
        <v>122</v>
      </c>
      <c r="E1527" s="1468" t="s">
        <v>15</v>
      </c>
      <c r="F1527" s="1468"/>
      <c r="G1527" s="1466"/>
      <c r="H1527" s="1466">
        <v>1229038.53819991</v>
      </c>
      <c r="I1527" s="1540"/>
      <c r="J1527" s="1466">
        <f t="shared" si="58"/>
        <v>1229038.53819991</v>
      </c>
      <c r="K1527" s="1466"/>
      <c r="L1527" s="1466"/>
      <c r="M1527" s="1540">
        <f t="shared" si="57"/>
        <v>1229038.53819991</v>
      </c>
      <c r="N1527" s="166"/>
    </row>
    <row r="1528" spans="1:14" s="540" customFormat="1" ht="14.25" customHeight="1">
      <c r="A1528" s="1536">
        <v>345</v>
      </c>
      <c r="B1528" s="1537" t="str">
        <f>VLOOKUP(D1528,'[2]DS CN MOI UP'!$B$11:$C$447,2,0)</f>
        <v>03347</v>
      </c>
      <c r="C1528" s="1538" t="s">
        <v>1436</v>
      </c>
      <c r="D1528" s="1468" t="s">
        <v>121</v>
      </c>
      <c r="E1528" s="1468" t="s">
        <v>15</v>
      </c>
      <c r="F1528" s="1468"/>
      <c r="G1528" s="1466"/>
      <c r="H1528" s="1466">
        <v>1159179.5249999999</v>
      </c>
      <c r="I1528" s="1540"/>
      <c r="J1528" s="1466">
        <f t="shared" si="58"/>
        <v>1159179.5249999999</v>
      </c>
      <c r="K1528" s="1466"/>
      <c r="L1528" s="1466"/>
      <c r="M1528" s="1540">
        <f t="shared" si="57"/>
        <v>1159179.5249999999</v>
      </c>
      <c r="N1528" s="166"/>
    </row>
    <row r="1529" spans="1:14" s="540" customFormat="1" ht="14.25" customHeight="1">
      <c r="A1529" s="1536">
        <v>346</v>
      </c>
      <c r="B1529" s="1537" t="str">
        <f>VLOOKUP(D1529,'[2]DS CN MOI UP'!$B$11:$C$447,2,0)</f>
        <v>02539</v>
      </c>
      <c r="C1529" s="1538" t="s">
        <v>1437</v>
      </c>
      <c r="D1529" s="1468" t="s">
        <v>195</v>
      </c>
      <c r="E1529" s="1468" t="s">
        <v>15</v>
      </c>
      <c r="F1529" s="1468"/>
      <c r="G1529" s="1466"/>
      <c r="H1529" s="1466">
        <v>1239846.615</v>
      </c>
      <c r="I1529" s="1540"/>
      <c r="J1529" s="1466">
        <f t="shared" si="58"/>
        <v>1239846.615</v>
      </c>
      <c r="K1529" s="1466"/>
      <c r="L1529" s="1466"/>
      <c r="M1529" s="1540">
        <f t="shared" si="57"/>
        <v>1239846.615</v>
      </c>
      <c r="N1529" s="166"/>
    </row>
    <row r="1530" spans="1:14" s="540" customFormat="1" ht="14.25" customHeight="1">
      <c r="A1530" s="1536">
        <v>347</v>
      </c>
      <c r="B1530" s="1537" t="e">
        <f>VLOOKUP(D1530,'[2]DS CN MOI UP'!$B$11:$C$447,2,0)</f>
        <v>#N/A</v>
      </c>
      <c r="C1530" s="1538" t="s">
        <v>1438</v>
      </c>
      <c r="D1530" s="1468" t="s">
        <v>1174</v>
      </c>
      <c r="E1530" s="1468" t="s">
        <v>15</v>
      </c>
      <c r="F1530" s="1468"/>
      <c r="G1530" s="1466"/>
      <c r="H1530" s="1466">
        <v>1149145.3259999999</v>
      </c>
      <c r="I1530" s="1540"/>
      <c r="J1530" s="1466">
        <f t="shared" si="58"/>
        <v>1149145.3259999999</v>
      </c>
      <c r="K1530" s="1466"/>
      <c r="L1530" s="1466"/>
      <c r="M1530" s="1540">
        <f t="shared" si="57"/>
        <v>1149145.3259999999</v>
      </c>
      <c r="N1530" s="166"/>
    </row>
    <row r="1531" spans="1:14" s="540" customFormat="1" ht="14.25" customHeight="1">
      <c r="A1531" s="1536">
        <v>348</v>
      </c>
      <c r="B1531" s="1537" t="e">
        <f>VLOOKUP(D1531,'[2]DS CN MOI UP'!$B$11:$C$447,2,0)</f>
        <v>#N/A</v>
      </c>
      <c r="C1531" s="1538" t="s">
        <v>1440</v>
      </c>
      <c r="D1531" s="1468" t="s">
        <v>1175</v>
      </c>
      <c r="E1531" s="1468" t="s">
        <v>15</v>
      </c>
      <c r="F1531" s="1468"/>
      <c r="G1531" s="1466"/>
      <c r="H1531" s="1466">
        <v>1229038.53819991</v>
      </c>
      <c r="I1531" s="1540"/>
      <c r="J1531" s="1466">
        <f t="shared" si="58"/>
        <v>1229038.53819991</v>
      </c>
      <c r="K1531" s="1466"/>
      <c r="L1531" s="1466"/>
      <c r="M1531" s="1540">
        <f t="shared" si="57"/>
        <v>1229038.53819991</v>
      </c>
      <c r="N1531" s="166"/>
    </row>
    <row r="1532" spans="1:14" s="540" customFormat="1" ht="14.25" customHeight="1">
      <c r="A1532" s="1536">
        <v>349</v>
      </c>
      <c r="B1532" s="1537" t="e">
        <f>VLOOKUP(D1532,'[2]DS CN MOI UP'!$B$11:$C$447,2,0)</f>
        <v>#N/A</v>
      </c>
      <c r="C1532" s="1538" t="s">
        <v>1442</v>
      </c>
      <c r="D1532" s="1468" t="s">
        <v>1176</v>
      </c>
      <c r="E1532" s="1468" t="s">
        <v>15</v>
      </c>
      <c r="F1532" s="1468"/>
      <c r="G1532" s="1466"/>
      <c r="H1532" s="1466">
        <v>1159179.5249999999</v>
      </c>
      <c r="I1532" s="1540">
        <v>100000</v>
      </c>
      <c r="J1532" s="1466">
        <f t="shared" si="58"/>
        <v>1259179.5249999999</v>
      </c>
      <c r="K1532" s="1466"/>
      <c r="L1532" s="1466"/>
      <c r="M1532" s="1540">
        <f t="shared" si="57"/>
        <v>1259179.5249999999</v>
      </c>
      <c r="N1532" s="166"/>
    </row>
    <row r="1533" spans="1:14" s="540" customFormat="1" ht="14.25" customHeight="1">
      <c r="A1533" s="1536">
        <v>350</v>
      </c>
      <c r="B1533" s="1537" t="str">
        <f>VLOOKUP(D1533,'[2]DS CN MOI UP'!$B$11:$C$447,2,0)</f>
        <v>02541</v>
      </c>
      <c r="C1533" s="1538" t="s">
        <v>1444</v>
      </c>
      <c r="D1533" s="1468" t="s">
        <v>185</v>
      </c>
      <c r="E1533" s="1468" t="s">
        <v>15</v>
      </c>
      <c r="F1533" s="1468"/>
      <c r="G1533" s="1466"/>
      <c r="H1533" s="1466">
        <v>1239846.615</v>
      </c>
      <c r="I1533" s="1540"/>
      <c r="J1533" s="1466">
        <f t="shared" si="58"/>
        <v>1239846.615</v>
      </c>
      <c r="K1533" s="1466"/>
      <c r="L1533" s="1466"/>
      <c r="M1533" s="1540">
        <f t="shared" si="57"/>
        <v>1239846.615</v>
      </c>
      <c r="N1533" s="166"/>
    </row>
    <row r="1534" spans="1:14" s="540" customFormat="1" ht="14.25" customHeight="1">
      <c r="A1534" s="1536">
        <v>351</v>
      </c>
      <c r="B1534" s="1537" t="e">
        <f>VLOOKUP(D1534,'[2]DS CN MOI UP'!$B$11:$C$447,2,0)</f>
        <v>#N/A</v>
      </c>
      <c r="C1534" s="1549" t="s">
        <v>1445</v>
      </c>
      <c r="D1534" s="1468" t="s">
        <v>1177</v>
      </c>
      <c r="E1534" s="1468" t="s">
        <v>15</v>
      </c>
      <c r="F1534" s="1468"/>
      <c r="G1534" s="1466"/>
      <c r="H1534" s="1466">
        <v>1149145.3259999999</v>
      </c>
      <c r="I1534" s="1540">
        <v>100000</v>
      </c>
      <c r="J1534" s="1466">
        <f t="shared" si="58"/>
        <v>1249145.3259999999</v>
      </c>
      <c r="K1534" s="1466"/>
      <c r="L1534" s="1466"/>
      <c r="M1534" s="1540">
        <f t="shared" si="57"/>
        <v>1249145.3259999999</v>
      </c>
      <c r="N1534" s="166"/>
    </row>
    <row r="1535" spans="1:14" s="540" customFormat="1" ht="14.25" customHeight="1">
      <c r="A1535" s="1536">
        <v>352</v>
      </c>
      <c r="B1535" s="1537" t="e">
        <f>VLOOKUP(D1535,'[2]DS CN MOI UP'!$B$11:$C$447,2,0)</f>
        <v>#N/A</v>
      </c>
      <c r="C1535" s="1549" t="s">
        <v>1447</v>
      </c>
      <c r="D1535" s="1468" t="s">
        <v>1178</v>
      </c>
      <c r="E1535" s="1468" t="s">
        <v>15</v>
      </c>
      <c r="F1535" s="1468"/>
      <c r="G1535" s="1466"/>
      <c r="H1535" s="1466">
        <v>1159179.5249999999</v>
      </c>
      <c r="I1535" s="1540">
        <v>100000</v>
      </c>
      <c r="J1535" s="1466">
        <f t="shared" si="58"/>
        <v>1259179.5249999999</v>
      </c>
      <c r="K1535" s="1466"/>
      <c r="L1535" s="1466"/>
      <c r="M1535" s="1540">
        <f t="shared" si="57"/>
        <v>1259179.5249999999</v>
      </c>
      <c r="N1535" s="166"/>
    </row>
    <row r="1536" spans="1:14" s="540" customFormat="1" ht="14.25" customHeight="1">
      <c r="A1536" s="1536">
        <v>353</v>
      </c>
      <c r="B1536" s="1537" t="str">
        <f>VLOOKUP(D1536,'[2]DS CN MOI UP'!$B$11:$C$447,2,0)</f>
        <v>02542</v>
      </c>
      <c r="C1536" s="1549" t="s">
        <v>1448</v>
      </c>
      <c r="D1536" s="1468" t="s">
        <v>504</v>
      </c>
      <c r="E1536" s="1468" t="s">
        <v>15</v>
      </c>
      <c r="F1536" s="1468"/>
      <c r="G1536" s="1466"/>
      <c r="H1536" s="1466">
        <v>1239846.615</v>
      </c>
      <c r="I1536" s="1540"/>
      <c r="J1536" s="1466">
        <f t="shared" si="58"/>
        <v>1239846.615</v>
      </c>
      <c r="K1536" s="1466"/>
      <c r="L1536" s="1466"/>
      <c r="M1536" s="1540">
        <f t="shared" si="57"/>
        <v>1239846.615</v>
      </c>
      <c r="N1536" s="166"/>
    </row>
    <row r="1537" spans="1:15" s="540" customFormat="1" ht="14.25" customHeight="1">
      <c r="A1537" s="1536">
        <v>354</v>
      </c>
      <c r="B1537" s="1537" t="str">
        <f>VLOOKUP(D1537,'[2]DS CN MOI UP'!$B$11:$C$447,2,0)</f>
        <v>02541</v>
      </c>
      <c r="C1537" s="1549" t="s">
        <v>1450</v>
      </c>
      <c r="D1537" s="1468" t="s">
        <v>185</v>
      </c>
      <c r="E1537" s="1468" t="s">
        <v>15</v>
      </c>
      <c r="F1537" s="1468"/>
      <c r="G1537" s="1466"/>
      <c r="H1537" s="1466">
        <v>1149145.3259999999</v>
      </c>
      <c r="I1537" s="1540"/>
      <c r="J1537" s="1466">
        <f t="shared" si="58"/>
        <v>1149145.3259999999</v>
      </c>
      <c r="K1537" s="1466"/>
      <c r="L1537" s="1466"/>
      <c r="M1537" s="1540">
        <f t="shared" si="57"/>
        <v>1149145.3259999999</v>
      </c>
      <c r="N1537" s="166"/>
    </row>
    <row r="1538" spans="1:15" s="540" customFormat="1" ht="14.25" customHeight="1">
      <c r="A1538" s="1536">
        <v>355</v>
      </c>
      <c r="B1538" s="1537" t="e">
        <f>VLOOKUP(D1538,'[2]DS CN MOI UP'!$B$11:$C$447,2,0)</f>
        <v>#N/A</v>
      </c>
      <c r="C1538" s="1549" t="s">
        <v>1451</v>
      </c>
      <c r="D1538" s="1468" t="s">
        <v>972</v>
      </c>
      <c r="E1538" s="1468" t="s">
        <v>15</v>
      </c>
      <c r="F1538" s="1468"/>
      <c r="G1538" s="1466"/>
      <c r="H1538" s="1466">
        <v>1199647.6398015099</v>
      </c>
      <c r="I1538" s="1540"/>
      <c r="J1538" s="1466">
        <f t="shared" si="58"/>
        <v>1199647.6398015099</v>
      </c>
      <c r="K1538" s="1466"/>
      <c r="L1538" s="1466"/>
      <c r="M1538" s="1540">
        <f t="shared" si="57"/>
        <v>1199647.6398015099</v>
      </c>
      <c r="N1538" s="166"/>
    </row>
    <row r="1539" spans="1:15" s="540" customFormat="1" ht="14.25" customHeight="1">
      <c r="A1539" s="1536">
        <v>356</v>
      </c>
      <c r="B1539" s="1537" t="str">
        <f>VLOOKUP(D1539,'[2]DS CN MOI UP'!$B$11:$C$447,2,0)</f>
        <v>02543</v>
      </c>
      <c r="C1539" s="1549" t="s">
        <v>1453</v>
      </c>
      <c r="D1539" s="1550" t="s">
        <v>189</v>
      </c>
      <c r="E1539" s="1468" t="s">
        <v>15</v>
      </c>
      <c r="F1539" s="1468"/>
      <c r="G1539" s="1466"/>
      <c r="H1539" s="1466">
        <v>1159179.5249999999</v>
      </c>
      <c r="I1539" s="1540">
        <v>100000</v>
      </c>
      <c r="J1539" s="1466">
        <f t="shared" si="58"/>
        <v>1259179.5249999999</v>
      </c>
      <c r="K1539" s="1466"/>
      <c r="L1539" s="1466"/>
      <c r="M1539" s="1540">
        <f t="shared" si="57"/>
        <v>1259179.5249999999</v>
      </c>
      <c r="N1539" s="166"/>
    </row>
    <row r="1540" spans="1:15" s="540" customFormat="1" ht="14.25" customHeight="1">
      <c r="A1540" s="1536">
        <v>357</v>
      </c>
      <c r="B1540" s="1537" t="str">
        <f>VLOOKUP(D1540,'[2]DS CN MOI UP'!$B$11:$C$447,2,0)</f>
        <v>02510</v>
      </c>
      <c r="C1540" s="1549" t="s">
        <v>1455</v>
      </c>
      <c r="D1540" s="1471" t="s">
        <v>41</v>
      </c>
      <c r="E1540" s="1468" t="s">
        <v>15</v>
      </c>
      <c r="F1540" s="1468"/>
      <c r="G1540" s="1466"/>
      <c r="H1540" s="1466">
        <v>1239846.615</v>
      </c>
      <c r="I1540" s="1540"/>
      <c r="J1540" s="1466">
        <f t="shared" si="58"/>
        <v>1239846.615</v>
      </c>
      <c r="K1540" s="1466"/>
      <c r="L1540" s="1466"/>
      <c r="M1540" s="1540">
        <f t="shared" si="57"/>
        <v>1239846.615</v>
      </c>
      <c r="N1540" s="166"/>
      <c r="O1540" s="559"/>
    </row>
    <row r="1541" spans="1:15" s="540" customFormat="1" ht="14.25" customHeight="1">
      <c r="A1541" s="1536">
        <v>358</v>
      </c>
      <c r="B1541" s="1537" t="e">
        <f>VLOOKUP(D1541,'[2]DS CN MOI UP'!$B$11:$C$447,2,0)</f>
        <v>#N/A</v>
      </c>
      <c r="C1541" s="1549" t="s">
        <v>1455</v>
      </c>
      <c r="D1541" s="1471" t="s">
        <v>1077</v>
      </c>
      <c r="E1541" s="1468" t="s">
        <v>15</v>
      </c>
      <c r="F1541" s="1468"/>
      <c r="G1541" s="1466"/>
      <c r="H1541" s="1466">
        <v>1209649.2271459</v>
      </c>
      <c r="I1541" s="1540"/>
      <c r="J1541" s="1466">
        <f t="shared" si="58"/>
        <v>1209649.2271459</v>
      </c>
      <c r="K1541" s="1466"/>
      <c r="L1541" s="1466"/>
      <c r="M1541" s="1540">
        <f t="shared" si="57"/>
        <v>1209649.2271459</v>
      </c>
      <c r="N1541" s="166"/>
      <c r="O1541" s="559"/>
    </row>
    <row r="1542" spans="1:15" s="540" customFormat="1" ht="14.25" customHeight="1">
      <c r="A1542" s="1536">
        <v>359</v>
      </c>
      <c r="B1542" s="1537" t="e">
        <f>VLOOKUP(D1542,'[2]DS CN MOI UP'!$B$11:$C$447,2,0)</f>
        <v>#N/A</v>
      </c>
      <c r="C1542" s="1538" t="s">
        <v>1413</v>
      </c>
      <c r="D1542" s="1468" t="s">
        <v>1179</v>
      </c>
      <c r="E1542" s="1468" t="s">
        <v>15</v>
      </c>
      <c r="F1542" s="1468"/>
      <c r="G1542" s="1466">
        <v>1239846.615</v>
      </c>
      <c r="H1542" s="1466"/>
      <c r="I1542" s="1540"/>
      <c r="J1542" s="1466">
        <f t="shared" ref="J1542:J1640" si="59">SUM(G1542:I1542)</f>
        <v>1239846.615</v>
      </c>
      <c r="K1542" s="1466"/>
      <c r="L1542" s="1466"/>
      <c r="M1542" s="1540">
        <f t="shared" ref="M1542:M1640" si="60">J1542-L1542</f>
        <v>1239846.615</v>
      </c>
      <c r="N1542" s="166"/>
    </row>
    <row r="1543" spans="1:15" s="540" customFormat="1" ht="14.25" customHeight="1">
      <c r="A1543" s="1536">
        <v>360</v>
      </c>
      <c r="B1543" s="1537" t="str">
        <f>VLOOKUP(D1543,'[2]DS CN MOI UP'!$B$11:$C$447,2,0)</f>
        <v>02545</v>
      </c>
      <c r="C1543" s="1538" t="s">
        <v>1414</v>
      </c>
      <c r="D1543" s="1468" t="s">
        <v>126</v>
      </c>
      <c r="E1543" s="1468" t="s">
        <v>15</v>
      </c>
      <c r="F1543" s="1468"/>
      <c r="G1543" s="1466">
        <v>1149145.3259999999</v>
      </c>
      <c r="H1543" s="1466"/>
      <c r="I1543" s="1540"/>
      <c r="J1543" s="1466">
        <f t="shared" si="59"/>
        <v>1149145.3259999999</v>
      </c>
      <c r="K1543" s="1466"/>
      <c r="L1543" s="1466"/>
      <c r="M1543" s="1540">
        <f t="shared" si="60"/>
        <v>1149145.3259999999</v>
      </c>
      <c r="N1543" s="166"/>
    </row>
    <row r="1544" spans="1:15" s="540" customFormat="1" ht="14.25" customHeight="1">
      <c r="A1544" s="1536">
        <v>361</v>
      </c>
      <c r="B1544" s="1537" t="e">
        <f>VLOOKUP(D1544,'[2]DS CN MOI UP'!$B$11:$C$447,2,0)</f>
        <v>#N/A</v>
      </c>
      <c r="C1544" s="1538" t="s">
        <v>1415</v>
      </c>
      <c r="D1544" s="1468" t="s">
        <v>1180</v>
      </c>
      <c r="E1544" s="1468" t="s">
        <v>15</v>
      </c>
      <c r="F1544" s="1468"/>
      <c r="G1544" s="1466">
        <v>1229038.53819991</v>
      </c>
      <c r="H1544" s="1466"/>
      <c r="I1544" s="1540"/>
      <c r="J1544" s="1466">
        <f t="shared" si="59"/>
        <v>1229038.53819991</v>
      </c>
      <c r="K1544" s="1466"/>
      <c r="L1544" s="1466"/>
      <c r="M1544" s="1540">
        <f t="shared" si="60"/>
        <v>1229038.53819991</v>
      </c>
      <c r="N1544" s="166"/>
    </row>
    <row r="1545" spans="1:15" s="540" customFormat="1" ht="14.25" customHeight="1">
      <c r="A1545" s="1536">
        <v>362</v>
      </c>
      <c r="B1545" s="1537" t="str">
        <f>VLOOKUP(D1545,'[2]DS CN MOI UP'!$B$11:$C$447,2,0)</f>
        <v>03402</v>
      </c>
      <c r="C1545" s="1538" t="s">
        <v>1417</v>
      </c>
      <c r="D1545" s="1468" t="s">
        <v>312</v>
      </c>
      <c r="E1545" s="1468" t="s">
        <v>15</v>
      </c>
      <c r="F1545" s="1468"/>
      <c r="G1545" s="1466">
        <v>1159179.5249999999</v>
      </c>
      <c r="H1545" s="1466"/>
      <c r="I1545" s="1540"/>
      <c r="J1545" s="1466">
        <f t="shared" si="59"/>
        <v>1159179.5249999999</v>
      </c>
      <c r="K1545" s="1466"/>
      <c r="L1545" s="1466"/>
      <c r="M1545" s="1540">
        <f t="shared" si="60"/>
        <v>1159179.5249999999</v>
      </c>
      <c r="N1545" s="166"/>
    </row>
    <row r="1546" spans="1:15" s="540" customFormat="1" ht="14.25" customHeight="1">
      <c r="A1546" s="1536">
        <v>363</v>
      </c>
      <c r="B1546" s="1537" t="e">
        <f>VLOOKUP(D1546,'[2]DS CN MOI UP'!$B$11:$C$447,2,0)</f>
        <v>#N/A</v>
      </c>
      <c r="C1546" s="1538" t="s">
        <v>1418</v>
      </c>
      <c r="D1546" s="1468" t="s">
        <v>1181</v>
      </c>
      <c r="E1546" s="1468" t="s">
        <v>15</v>
      </c>
      <c r="F1546" s="1468"/>
      <c r="G1546" s="1466">
        <v>1239846.615</v>
      </c>
      <c r="H1546" s="1466"/>
      <c r="I1546" s="1540"/>
      <c r="J1546" s="1466">
        <f t="shared" si="59"/>
        <v>1239846.615</v>
      </c>
      <c r="K1546" s="1466"/>
      <c r="L1546" s="1466"/>
      <c r="M1546" s="1540">
        <f t="shared" si="60"/>
        <v>1239846.615</v>
      </c>
      <c r="N1546" s="166"/>
    </row>
    <row r="1547" spans="1:15" s="540" customFormat="1" ht="14.25" customHeight="1">
      <c r="A1547" s="1536">
        <v>364</v>
      </c>
      <c r="B1547" s="1537" t="str">
        <f>VLOOKUP(D1547,'[2]DS CN MOI UP'!$B$11:$C$447,2,0)</f>
        <v>02547</v>
      </c>
      <c r="C1547" s="1538" t="s">
        <v>1420</v>
      </c>
      <c r="D1547" s="1468" t="s">
        <v>199</v>
      </c>
      <c r="E1547" s="1468" t="s">
        <v>15</v>
      </c>
      <c r="F1547" s="1468"/>
      <c r="G1547" s="1466">
        <v>1149145.3259999999</v>
      </c>
      <c r="H1547" s="1466"/>
      <c r="I1547" s="1540"/>
      <c r="J1547" s="1466">
        <f t="shared" si="59"/>
        <v>1149145.3259999999</v>
      </c>
      <c r="K1547" s="1466"/>
      <c r="L1547" s="1466"/>
      <c r="M1547" s="1540">
        <f t="shared" si="60"/>
        <v>1149145.3259999999</v>
      </c>
      <c r="N1547" s="166"/>
    </row>
    <row r="1548" spans="1:15" s="540" customFormat="1" ht="14.25" customHeight="1">
      <c r="A1548" s="1536">
        <v>365</v>
      </c>
      <c r="B1548" s="1537" t="e">
        <f>VLOOKUP(D1548,'[2]DS CN MOI UP'!$B$11:$C$447,2,0)</f>
        <v>#N/A</v>
      </c>
      <c r="C1548" s="1538" t="s">
        <v>1422</v>
      </c>
      <c r="D1548" s="1468" t="s">
        <v>1182</v>
      </c>
      <c r="E1548" s="1468" t="s">
        <v>15</v>
      </c>
      <c r="F1548" s="1468"/>
      <c r="G1548" s="1466">
        <v>1229038.53819991</v>
      </c>
      <c r="H1548" s="1466"/>
      <c r="I1548" s="1540"/>
      <c r="J1548" s="1466">
        <f t="shared" si="59"/>
        <v>1229038.53819991</v>
      </c>
      <c r="K1548" s="1466"/>
      <c r="L1548" s="1466"/>
      <c r="M1548" s="1540">
        <f t="shared" si="60"/>
        <v>1229038.53819991</v>
      </c>
      <c r="N1548" s="166"/>
    </row>
    <row r="1549" spans="1:15" s="540" customFormat="1" ht="14.25" customHeight="1">
      <c r="A1549" s="1536">
        <v>366</v>
      </c>
      <c r="B1549" s="1537" t="e">
        <f>VLOOKUP(D1549,'[2]DS CN MOI UP'!$B$11:$C$447,2,0)</f>
        <v>#N/A</v>
      </c>
      <c r="C1549" s="1538" t="s">
        <v>1424</v>
      </c>
      <c r="D1549" s="1468" t="s">
        <v>1183</v>
      </c>
      <c r="E1549" s="1468" t="s">
        <v>15</v>
      </c>
      <c r="F1549" s="1468"/>
      <c r="G1549" s="1466">
        <v>1159179.5249999999</v>
      </c>
      <c r="H1549" s="1466"/>
      <c r="I1549" s="1540"/>
      <c r="J1549" s="1466">
        <f t="shared" si="59"/>
        <v>1159179.5249999999</v>
      </c>
      <c r="K1549" s="1466"/>
      <c r="L1549" s="1466"/>
      <c r="M1549" s="1540">
        <f t="shared" si="60"/>
        <v>1159179.5249999999</v>
      </c>
      <c r="N1549" s="166"/>
    </row>
    <row r="1550" spans="1:15" s="540" customFormat="1" ht="14.25" customHeight="1">
      <c r="A1550" s="1536">
        <v>367</v>
      </c>
      <c r="B1550" s="1537" t="e">
        <f>VLOOKUP(D1550,'[2]DS CN MOI UP'!$B$11:$C$447,2,0)</f>
        <v>#N/A</v>
      </c>
      <c r="C1550" s="1538" t="s">
        <v>1426</v>
      </c>
      <c r="D1550" s="1468" t="s">
        <v>1184</v>
      </c>
      <c r="E1550" s="1468" t="s">
        <v>15</v>
      </c>
      <c r="F1550" s="1468"/>
      <c r="G1550" s="1466">
        <v>1239846.615</v>
      </c>
      <c r="H1550" s="1466"/>
      <c r="I1550" s="1540"/>
      <c r="J1550" s="1466">
        <f t="shared" si="59"/>
        <v>1239846.615</v>
      </c>
      <c r="K1550" s="1466"/>
      <c r="L1550" s="1466"/>
      <c r="M1550" s="1540">
        <f t="shared" si="60"/>
        <v>1239846.615</v>
      </c>
      <c r="N1550" s="166"/>
    </row>
    <row r="1551" spans="1:15" s="540" customFormat="1" ht="14.25" customHeight="1">
      <c r="A1551" s="1536">
        <v>368</v>
      </c>
      <c r="B1551" s="1537" t="e">
        <f>VLOOKUP(D1551,'[2]DS CN MOI UP'!$B$11:$C$447,2,0)</f>
        <v>#N/A</v>
      </c>
      <c r="C1551" s="1538" t="s">
        <v>1428</v>
      </c>
      <c r="D1551" s="1468" t="s">
        <v>1185</v>
      </c>
      <c r="E1551" s="1468" t="s">
        <v>15</v>
      </c>
      <c r="F1551" s="1468"/>
      <c r="G1551" s="1466">
        <v>1149145.3259999999</v>
      </c>
      <c r="H1551" s="1466"/>
      <c r="I1551" s="1540"/>
      <c r="J1551" s="1466">
        <f t="shared" si="59"/>
        <v>1149145.3259999999</v>
      </c>
      <c r="K1551" s="1466"/>
      <c r="L1551" s="1466"/>
      <c r="M1551" s="1540">
        <f t="shared" si="60"/>
        <v>1149145.3259999999</v>
      </c>
      <c r="N1551" s="166"/>
    </row>
    <row r="1552" spans="1:15" s="540" customFormat="1" ht="14.25" customHeight="1">
      <c r="A1552" s="1536">
        <v>369</v>
      </c>
      <c r="B1552" s="1537" t="e">
        <f>VLOOKUP(D1552,'[2]DS CN MOI UP'!$B$11:$C$447,2,0)</f>
        <v>#N/A</v>
      </c>
      <c r="C1552" s="1538" t="s">
        <v>1430</v>
      </c>
      <c r="D1552" s="1468" t="s">
        <v>1186</v>
      </c>
      <c r="E1552" s="1468" t="s">
        <v>15</v>
      </c>
      <c r="F1552" s="1468"/>
      <c r="G1552" s="1466">
        <v>1159179.5249999999</v>
      </c>
      <c r="H1552" s="1466"/>
      <c r="I1552" s="1540"/>
      <c r="J1552" s="1466">
        <f t="shared" si="59"/>
        <v>1159179.5249999999</v>
      </c>
      <c r="K1552" s="1466"/>
      <c r="L1552" s="1466"/>
      <c r="M1552" s="1540">
        <f t="shared" si="60"/>
        <v>1159179.5249999999</v>
      </c>
      <c r="N1552" s="166"/>
    </row>
    <row r="1553" spans="1:14" s="540" customFormat="1" ht="14.25" customHeight="1">
      <c r="A1553" s="1536">
        <v>370</v>
      </c>
      <c r="B1553" s="1537" t="str">
        <f>VLOOKUP(D1553,'[2]DS CN MOI UP'!$B$11:$C$447,2,0)</f>
        <v>02518</v>
      </c>
      <c r="C1553" s="1538" t="s">
        <v>1432</v>
      </c>
      <c r="D1553" s="1468" t="s">
        <v>135</v>
      </c>
      <c r="E1553" s="1468" t="s">
        <v>15</v>
      </c>
      <c r="F1553" s="1468"/>
      <c r="G1553" s="1466">
        <v>1239846.615</v>
      </c>
      <c r="H1553" s="1466"/>
      <c r="I1553" s="1540"/>
      <c r="J1553" s="1466">
        <f t="shared" si="59"/>
        <v>1239846.615</v>
      </c>
      <c r="K1553" s="1466"/>
      <c r="L1553" s="1466"/>
      <c r="M1553" s="1540">
        <f t="shared" si="60"/>
        <v>1239846.615</v>
      </c>
      <c r="N1553" s="166"/>
    </row>
    <row r="1554" spans="1:14" s="540" customFormat="1" ht="14.25" customHeight="1">
      <c r="A1554" s="1536">
        <v>371</v>
      </c>
      <c r="B1554" s="1537" t="e">
        <f>VLOOKUP(D1554,'[2]DS CN MOI UP'!$B$11:$C$447,2,0)</f>
        <v>#N/A</v>
      </c>
      <c r="C1554" s="1538" t="s">
        <v>1433</v>
      </c>
      <c r="D1554" s="1468" t="s">
        <v>1187</v>
      </c>
      <c r="E1554" s="1468" t="s">
        <v>15</v>
      </c>
      <c r="F1554" s="1468"/>
      <c r="G1554" s="1466">
        <v>1149145.3259999999</v>
      </c>
      <c r="H1554" s="1466"/>
      <c r="I1554" s="1540"/>
      <c r="J1554" s="1466">
        <f t="shared" si="59"/>
        <v>1149145.3259999999</v>
      </c>
      <c r="K1554" s="1466"/>
      <c r="L1554" s="1466"/>
      <c r="M1554" s="1540">
        <f t="shared" si="60"/>
        <v>1149145.3259999999</v>
      </c>
      <c r="N1554" s="166"/>
    </row>
    <row r="1555" spans="1:14" s="540" customFormat="1" ht="14.25" customHeight="1">
      <c r="A1555" s="1536">
        <v>372</v>
      </c>
      <c r="B1555" s="1537" t="str">
        <f>VLOOKUP(D1555,'[2]DS CN MOI UP'!$B$11:$C$447,2,0)</f>
        <v>02519</v>
      </c>
      <c r="C1555" s="1538" t="s">
        <v>1434</v>
      </c>
      <c r="D1555" s="1468" t="s">
        <v>173</v>
      </c>
      <c r="E1555" s="1468" t="s">
        <v>15</v>
      </c>
      <c r="F1555" s="1468"/>
      <c r="G1555" s="1466">
        <v>1229038.53819991</v>
      </c>
      <c r="H1555" s="1466"/>
      <c r="I1555" s="1540"/>
      <c r="J1555" s="1466">
        <f t="shared" si="59"/>
        <v>1229038.53819991</v>
      </c>
      <c r="K1555" s="1466"/>
      <c r="L1555" s="1466"/>
      <c r="M1555" s="1540">
        <f t="shared" si="60"/>
        <v>1229038.53819991</v>
      </c>
      <c r="N1555" s="166"/>
    </row>
    <row r="1556" spans="1:14" s="540" customFormat="1" ht="14.25" customHeight="1">
      <c r="A1556" s="1536">
        <v>373</v>
      </c>
      <c r="B1556" s="1537" t="e">
        <f>VLOOKUP(D1556,'[2]DS CN MOI UP'!$B$11:$C$447,2,0)</f>
        <v>#N/A</v>
      </c>
      <c r="C1556" s="1538" t="s">
        <v>1436</v>
      </c>
      <c r="D1556" s="1468" t="s">
        <v>1188</v>
      </c>
      <c r="E1556" s="1468" t="s">
        <v>15</v>
      </c>
      <c r="F1556" s="1468"/>
      <c r="G1556" s="1466">
        <v>1159179.5249999999</v>
      </c>
      <c r="H1556" s="1466"/>
      <c r="I1556" s="1540"/>
      <c r="J1556" s="1466">
        <f t="shared" si="59"/>
        <v>1159179.5249999999</v>
      </c>
      <c r="K1556" s="1466"/>
      <c r="L1556" s="1466"/>
      <c r="M1556" s="1540">
        <f t="shared" si="60"/>
        <v>1159179.5249999999</v>
      </c>
      <c r="N1556" s="166"/>
    </row>
    <row r="1557" spans="1:14" s="540" customFormat="1" ht="14.25" customHeight="1">
      <c r="A1557" s="1536">
        <v>374</v>
      </c>
      <c r="B1557" s="1537" t="e">
        <f>VLOOKUP(D1557,'[2]DS CN MOI UP'!$B$11:$C$447,2,0)</f>
        <v>#N/A</v>
      </c>
      <c r="C1557" s="1538" t="s">
        <v>1436</v>
      </c>
      <c r="D1557" s="1468" t="s">
        <v>1189</v>
      </c>
      <c r="E1557" s="1468" t="s">
        <v>15</v>
      </c>
      <c r="F1557" s="1468"/>
      <c r="G1557" s="1466">
        <v>1149145.3259999999</v>
      </c>
      <c r="H1557" s="1466"/>
      <c r="I1557" s="1540"/>
      <c r="J1557" s="1466">
        <f t="shared" ref="J1557:J1565" si="61">SUM(G1557:I1557)</f>
        <v>1149145.3259999999</v>
      </c>
      <c r="K1557" s="1466"/>
      <c r="L1557" s="1466"/>
      <c r="M1557" s="1540">
        <f t="shared" ref="M1557:M1565" si="62">J1557-L1557</f>
        <v>1149145.3259999999</v>
      </c>
      <c r="N1557" s="166"/>
    </row>
    <row r="1558" spans="1:14" s="540" customFormat="1" ht="14.25" customHeight="1">
      <c r="A1558" s="1536">
        <v>375</v>
      </c>
      <c r="B1558" s="1537" t="str">
        <f>VLOOKUP(D1558,'[2]DS CN MOI UP'!$B$11:$C$447,2,0)</f>
        <v>02520</v>
      </c>
      <c r="C1558" s="1538" t="s">
        <v>1436</v>
      </c>
      <c r="D1558" s="1468" t="s">
        <v>188</v>
      </c>
      <c r="E1558" s="1468" t="s">
        <v>15</v>
      </c>
      <c r="F1558" s="1468"/>
      <c r="G1558" s="1466">
        <v>1229038.53819991</v>
      </c>
      <c r="H1558" s="1466"/>
      <c r="I1558" s="1540"/>
      <c r="J1558" s="1466">
        <f t="shared" si="61"/>
        <v>1229038.53819991</v>
      </c>
      <c r="K1558" s="1466"/>
      <c r="L1558" s="1466"/>
      <c r="M1558" s="1540">
        <f t="shared" si="62"/>
        <v>1229038.53819991</v>
      </c>
      <c r="N1558" s="166"/>
    </row>
    <row r="1559" spans="1:14" s="540" customFormat="1" ht="14.25" customHeight="1">
      <c r="A1559" s="1536">
        <v>376</v>
      </c>
      <c r="B1559" s="1537" t="e">
        <f>VLOOKUP(D1559,'[2]DS CN MOI UP'!$B$11:$C$447,2,0)</f>
        <v>#N/A</v>
      </c>
      <c r="C1559" s="1538" t="s">
        <v>1436</v>
      </c>
      <c r="D1559" s="1468" t="s">
        <v>1190</v>
      </c>
      <c r="E1559" s="1468" t="s">
        <v>15</v>
      </c>
      <c r="F1559" s="1468"/>
      <c r="G1559" s="1466">
        <v>1159179.5249999999</v>
      </c>
      <c r="H1559" s="1466"/>
      <c r="I1559" s="1540"/>
      <c r="J1559" s="1466">
        <f t="shared" si="61"/>
        <v>1159179.5249999999</v>
      </c>
      <c r="K1559" s="1466"/>
      <c r="L1559" s="1466"/>
      <c r="M1559" s="1540">
        <f t="shared" si="62"/>
        <v>1159179.5249999999</v>
      </c>
      <c r="N1559" s="166"/>
    </row>
    <row r="1560" spans="1:14" s="540" customFormat="1" ht="14.25" customHeight="1">
      <c r="A1560" s="1536">
        <v>377</v>
      </c>
      <c r="B1560" s="1537" t="e">
        <f>VLOOKUP(D1560,'[2]DS CN MOI UP'!$B$11:$C$447,2,0)</f>
        <v>#N/A</v>
      </c>
      <c r="C1560" s="1538" t="s">
        <v>1436</v>
      </c>
      <c r="D1560" s="1468" t="s">
        <v>1191</v>
      </c>
      <c r="E1560" s="1468" t="s">
        <v>15</v>
      </c>
      <c r="F1560" s="1468"/>
      <c r="G1560" s="1466">
        <v>1239846.615</v>
      </c>
      <c r="H1560" s="1466"/>
      <c r="I1560" s="1540"/>
      <c r="J1560" s="1466">
        <f t="shared" si="61"/>
        <v>1239846.615</v>
      </c>
      <c r="K1560" s="1466"/>
      <c r="L1560" s="1466"/>
      <c r="M1560" s="1540">
        <f t="shared" si="62"/>
        <v>1239846.615</v>
      </c>
      <c r="N1560" s="166"/>
    </row>
    <row r="1561" spans="1:14" s="540" customFormat="1" ht="14.25" customHeight="1">
      <c r="A1561" s="1536">
        <v>378</v>
      </c>
      <c r="B1561" s="1537" t="str">
        <f>VLOOKUP(D1561,'[2]DS CN MOI UP'!$B$11:$C$447,2,0)</f>
        <v>02521</v>
      </c>
      <c r="C1561" s="1538" t="s">
        <v>1436</v>
      </c>
      <c r="D1561" s="1468" t="s">
        <v>137</v>
      </c>
      <c r="E1561" s="1468" t="s">
        <v>15</v>
      </c>
      <c r="F1561" s="1468"/>
      <c r="G1561" s="1466">
        <v>1149145.3259999999</v>
      </c>
      <c r="H1561" s="1466"/>
      <c r="I1561" s="1540"/>
      <c r="J1561" s="1466">
        <f t="shared" si="61"/>
        <v>1149145.3259999999</v>
      </c>
      <c r="K1561" s="1466"/>
      <c r="L1561" s="1466"/>
      <c r="M1561" s="1540">
        <f t="shared" si="62"/>
        <v>1149145.3259999999</v>
      </c>
      <c r="N1561" s="166"/>
    </row>
    <row r="1562" spans="1:14" s="540" customFormat="1" ht="14.25" customHeight="1">
      <c r="A1562" s="1536">
        <v>379</v>
      </c>
      <c r="B1562" s="1537" t="e">
        <f>VLOOKUP(D1562,'[2]DS CN MOI UP'!$B$11:$C$447,2,0)</f>
        <v>#N/A</v>
      </c>
      <c r="C1562" s="1538" t="s">
        <v>1436</v>
      </c>
      <c r="D1562" s="1468" t="s">
        <v>1192</v>
      </c>
      <c r="E1562" s="1468" t="s">
        <v>15</v>
      </c>
      <c r="F1562" s="1468"/>
      <c r="G1562" s="1466">
        <v>1159179.5249999999</v>
      </c>
      <c r="H1562" s="1466"/>
      <c r="I1562" s="1540"/>
      <c r="J1562" s="1466">
        <f t="shared" si="61"/>
        <v>1159179.5249999999</v>
      </c>
      <c r="K1562" s="1466"/>
      <c r="L1562" s="1466"/>
      <c r="M1562" s="1540">
        <f t="shared" si="62"/>
        <v>1159179.5249999999</v>
      </c>
      <c r="N1562" s="166"/>
    </row>
    <row r="1563" spans="1:14" s="540" customFormat="1" ht="14.25" customHeight="1">
      <c r="A1563" s="1536">
        <v>380</v>
      </c>
      <c r="B1563" s="1537" t="str">
        <f>VLOOKUP(D1563,'[2]DS CN MOI UP'!$B$11:$C$447,2,0)</f>
        <v>02522</v>
      </c>
      <c r="C1563" s="1538" t="s">
        <v>1436</v>
      </c>
      <c r="D1563" s="1468" t="s">
        <v>162</v>
      </c>
      <c r="E1563" s="1468" t="s">
        <v>15</v>
      </c>
      <c r="F1563" s="1468"/>
      <c r="G1563" s="1466">
        <v>1239846.615</v>
      </c>
      <c r="H1563" s="1466"/>
      <c r="I1563" s="1540"/>
      <c r="J1563" s="1466">
        <f t="shared" si="61"/>
        <v>1239846.615</v>
      </c>
      <c r="K1563" s="1466"/>
      <c r="L1563" s="1466"/>
      <c r="M1563" s="1540">
        <f t="shared" si="62"/>
        <v>1239846.615</v>
      </c>
      <c r="N1563" s="166"/>
    </row>
    <row r="1564" spans="1:14" s="540" customFormat="1" ht="14.25" customHeight="1">
      <c r="A1564" s="1536">
        <v>381</v>
      </c>
      <c r="B1564" s="1537" t="str">
        <f>VLOOKUP(D1564,'[2]DS CN MOI UP'!$B$11:$C$447,2,0)</f>
        <v>02666</v>
      </c>
      <c r="C1564" s="1538" t="s">
        <v>1436</v>
      </c>
      <c r="D1564" s="1468" t="s">
        <v>435</v>
      </c>
      <c r="E1564" s="1468" t="s">
        <v>15</v>
      </c>
      <c r="F1564" s="1468"/>
      <c r="G1564" s="1466">
        <v>1149145.3259999999</v>
      </c>
      <c r="H1564" s="1466"/>
      <c r="I1564" s="1540"/>
      <c r="J1564" s="1466">
        <f t="shared" si="61"/>
        <v>1149145.3259999999</v>
      </c>
      <c r="K1564" s="1466"/>
      <c r="L1564" s="1466"/>
      <c r="M1564" s="1540">
        <f t="shared" si="62"/>
        <v>1149145.3259999999</v>
      </c>
      <c r="N1564" s="166"/>
    </row>
    <row r="1565" spans="1:14" s="540" customFormat="1" ht="14.25" customHeight="1">
      <c r="A1565" s="1536">
        <v>382</v>
      </c>
      <c r="B1565" s="1537" t="str">
        <f>VLOOKUP(D1565,'[2]DS CN MOI UP'!$B$11:$C$447,2,0)</f>
        <v>02523</v>
      </c>
      <c r="C1565" s="1538" t="s">
        <v>1436</v>
      </c>
      <c r="D1565" s="1468" t="s">
        <v>169</v>
      </c>
      <c r="E1565" s="1468" t="s">
        <v>15</v>
      </c>
      <c r="F1565" s="1468"/>
      <c r="G1565" s="1466">
        <v>693171.72520034795</v>
      </c>
      <c r="H1565" s="1466"/>
      <c r="I1565" s="1540"/>
      <c r="J1565" s="1466">
        <f t="shared" si="61"/>
        <v>693171.72520034795</v>
      </c>
      <c r="K1565" s="1466"/>
      <c r="L1565" s="1466"/>
      <c r="M1565" s="1540">
        <f t="shared" si="62"/>
        <v>693171.72520034795</v>
      </c>
      <c r="N1565" s="166"/>
    </row>
    <row r="1566" spans="1:14" s="540" customFormat="1" ht="14.25" customHeight="1">
      <c r="A1566" s="1536">
        <v>383</v>
      </c>
      <c r="B1566" s="1537" t="e">
        <f>VLOOKUP(D1566,'[2]DS CN MOI UP'!$B$11:$C$447,2,0)</f>
        <v>#N/A</v>
      </c>
      <c r="C1566" s="1538" t="s">
        <v>1436</v>
      </c>
      <c r="D1566" s="1468" t="s">
        <v>1193</v>
      </c>
      <c r="E1566" s="1468" t="s">
        <v>15</v>
      </c>
      <c r="F1566" s="1468"/>
      <c r="G1566" s="1466"/>
      <c r="H1566" s="1466">
        <v>373490.343199611</v>
      </c>
      <c r="I1566" s="1540">
        <v>889429.39460042701</v>
      </c>
      <c r="J1566" s="1466">
        <f t="shared" ref="J1566:J1567" si="63">SUM(G1566:I1566)</f>
        <v>1262919.73780004</v>
      </c>
      <c r="K1566" s="1466"/>
      <c r="L1566" s="1466"/>
      <c r="M1566" s="1540">
        <f t="shared" ref="M1566:M1567" si="64">J1566-L1566</f>
        <v>1262919.73780004</v>
      </c>
      <c r="N1566" s="166"/>
    </row>
    <row r="1567" spans="1:14" s="540" customFormat="1" ht="14.25" customHeight="1">
      <c r="A1567" s="1536">
        <v>384</v>
      </c>
      <c r="B1567" s="1537" t="str">
        <f>VLOOKUP(D1567,'[2]DS CN MOI UP'!$B$11:$C$447,2,0)</f>
        <v>02524</v>
      </c>
      <c r="C1567" s="1538" t="s">
        <v>1436</v>
      </c>
      <c r="D1567" s="1468" t="s">
        <v>139</v>
      </c>
      <c r="E1567" s="1468" t="s">
        <v>15</v>
      </c>
      <c r="F1567" s="1468"/>
      <c r="G1567" s="1466"/>
      <c r="H1567" s="1466">
        <v>1149145.3259999999</v>
      </c>
      <c r="I1567" s="1540"/>
      <c r="J1567" s="1466">
        <f t="shared" si="63"/>
        <v>1149145.3259999999</v>
      </c>
      <c r="K1567" s="1466"/>
      <c r="L1567" s="1466"/>
      <c r="M1567" s="1540">
        <f t="shared" si="64"/>
        <v>1149145.3259999999</v>
      </c>
      <c r="N1567" s="166"/>
    </row>
    <row r="1568" spans="1:14" s="540" customFormat="1" ht="14.25" customHeight="1">
      <c r="A1568" s="1536">
        <v>385</v>
      </c>
      <c r="B1568" s="1537" t="e">
        <f>VLOOKUP(D1568,'[2]DS CN MOI UP'!$B$11:$C$447,2,0)</f>
        <v>#N/A</v>
      </c>
      <c r="C1568" s="1538" t="s">
        <v>1437</v>
      </c>
      <c r="D1568" s="1468" t="s">
        <v>1194</v>
      </c>
      <c r="E1568" s="1468" t="s">
        <v>15</v>
      </c>
      <c r="F1568" s="1468"/>
      <c r="G1568" s="1466"/>
      <c r="H1568" s="1466">
        <v>1239846.615</v>
      </c>
      <c r="I1568" s="1540"/>
      <c r="J1568" s="1466">
        <f t="shared" si="59"/>
        <v>1239846.615</v>
      </c>
      <c r="K1568" s="1466"/>
      <c r="L1568" s="1466"/>
      <c r="M1568" s="1540">
        <f t="shared" si="60"/>
        <v>1239846.615</v>
      </c>
      <c r="N1568" s="166"/>
    </row>
    <row r="1569" spans="1:15" s="540" customFormat="1" ht="14.25" customHeight="1">
      <c r="A1569" s="1536">
        <v>386</v>
      </c>
      <c r="B1569" s="1537" t="str">
        <f>VLOOKUP(D1569,'[2]DS CN MOI UP'!$B$11:$C$447,2,0)</f>
        <v>02525</v>
      </c>
      <c r="C1569" s="1538" t="s">
        <v>1438</v>
      </c>
      <c r="D1569" s="1468" t="s">
        <v>180</v>
      </c>
      <c r="E1569" s="1468" t="s">
        <v>15</v>
      </c>
      <c r="F1569" s="1468"/>
      <c r="G1569" s="1466"/>
      <c r="H1569" s="1466">
        <v>1149145.3259999999</v>
      </c>
      <c r="I1569" s="1540"/>
      <c r="J1569" s="1466">
        <f t="shared" si="59"/>
        <v>1149145.3259999999</v>
      </c>
      <c r="K1569" s="1466"/>
      <c r="L1569" s="1466"/>
      <c r="M1569" s="1540">
        <f t="shared" si="60"/>
        <v>1149145.3259999999</v>
      </c>
      <c r="N1569" s="166"/>
    </row>
    <row r="1570" spans="1:15" s="540" customFormat="1" ht="14.25" customHeight="1">
      <c r="A1570" s="1536">
        <v>387</v>
      </c>
      <c r="B1570" s="1537" t="e">
        <f>VLOOKUP(D1570,'[2]DS CN MOI UP'!$B$11:$C$447,2,0)</f>
        <v>#N/A</v>
      </c>
      <c r="C1570" s="1538" t="s">
        <v>1440</v>
      </c>
      <c r="D1570" s="1468" t="s">
        <v>1195</v>
      </c>
      <c r="E1570" s="1468" t="s">
        <v>15</v>
      </c>
      <c r="F1570" s="1468"/>
      <c r="G1570" s="1466"/>
      <c r="H1570" s="1466">
        <v>1229038.53819991</v>
      </c>
      <c r="I1570" s="1540"/>
      <c r="J1570" s="1466">
        <f t="shared" si="59"/>
        <v>1229038.53819991</v>
      </c>
      <c r="K1570" s="1466"/>
      <c r="L1570" s="1466"/>
      <c r="M1570" s="1540">
        <f t="shared" si="60"/>
        <v>1229038.53819991</v>
      </c>
      <c r="N1570" s="166"/>
    </row>
    <row r="1571" spans="1:15" s="540" customFormat="1" ht="14.25" customHeight="1">
      <c r="A1571" s="1536">
        <v>388</v>
      </c>
      <c r="B1571" s="1537" t="str">
        <f>VLOOKUP(D1571,'[2]DS CN MOI UP'!$B$11:$C$447,2,0)</f>
        <v>02526</v>
      </c>
      <c r="C1571" s="1549" t="s">
        <v>1455</v>
      </c>
      <c r="D1571" s="1471" t="s">
        <v>129</v>
      </c>
      <c r="E1571" s="1468" t="s">
        <v>15</v>
      </c>
      <c r="F1571" s="1468"/>
      <c r="G1571" s="1466"/>
      <c r="H1571" s="1466">
        <v>816498.40260060097</v>
      </c>
      <c r="I1571" s="1540">
        <v>189400.86679902699</v>
      </c>
      <c r="J1571" s="1466">
        <f t="shared" si="59"/>
        <v>1005899.26939963</v>
      </c>
      <c r="K1571" s="1466"/>
      <c r="L1571" s="1466"/>
      <c r="M1571" s="1540">
        <f t="shared" si="60"/>
        <v>1005899.26939963</v>
      </c>
      <c r="N1571" s="166"/>
      <c r="O1571" s="559"/>
    </row>
    <row r="1572" spans="1:15" s="540" customFormat="1" ht="14.25" customHeight="1">
      <c r="A1572" s="1536">
        <v>389</v>
      </c>
      <c r="B1572" s="1537" t="e">
        <f>VLOOKUP(D1572,'[2]DS CN MOI UP'!$B$11:$C$447,2,0)</f>
        <v>#N/A</v>
      </c>
      <c r="C1572" s="1549" t="s">
        <v>1455</v>
      </c>
      <c r="D1572" s="1471" t="s">
        <v>1196</v>
      </c>
      <c r="E1572" s="1468" t="s">
        <v>15</v>
      </c>
      <c r="F1572" s="1468"/>
      <c r="G1572" s="1466">
        <v>1159179.5249999999</v>
      </c>
      <c r="H1572" s="1466"/>
      <c r="I1572" s="1540"/>
      <c r="J1572" s="1466">
        <f t="shared" ref="J1572:J1581" si="65">SUM(G1572:I1572)</f>
        <v>1159179.5249999999</v>
      </c>
      <c r="K1572" s="1466"/>
      <c r="L1572" s="1466"/>
      <c r="M1572" s="1540">
        <f t="shared" ref="M1572:M1581" si="66">J1572-L1572</f>
        <v>1159179.5249999999</v>
      </c>
      <c r="N1572" s="166"/>
      <c r="O1572" s="559"/>
    </row>
    <row r="1573" spans="1:15" s="540" customFormat="1" ht="14.25" customHeight="1">
      <c r="A1573" s="1536">
        <v>390</v>
      </c>
      <c r="B1573" s="1537" t="str">
        <f>VLOOKUP(D1573,'[2]DS CN MOI UP'!$B$11:$C$447,2,0)</f>
        <v>02527</v>
      </c>
      <c r="C1573" s="1549" t="s">
        <v>1455</v>
      </c>
      <c r="D1573" s="1471" t="s">
        <v>156</v>
      </c>
      <c r="E1573" s="1468" t="s">
        <v>15</v>
      </c>
      <c r="F1573" s="1468"/>
      <c r="G1573" s="1466">
        <v>1149145.3259999999</v>
      </c>
      <c r="H1573" s="1466"/>
      <c r="I1573" s="1540"/>
      <c r="J1573" s="1466">
        <f t="shared" si="65"/>
        <v>1149145.3259999999</v>
      </c>
      <c r="K1573" s="1466"/>
      <c r="L1573" s="1466"/>
      <c r="M1573" s="1540">
        <f t="shared" si="66"/>
        <v>1149145.3259999999</v>
      </c>
      <c r="N1573" s="166"/>
      <c r="O1573" s="559"/>
    </row>
    <row r="1574" spans="1:15" s="540" customFormat="1" ht="14.25" customHeight="1">
      <c r="A1574" s="1536">
        <v>391</v>
      </c>
      <c r="B1574" s="1537" t="e">
        <f>VLOOKUP(D1574,'[2]DS CN MOI UP'!$B$11:$C$447,2,0)</f>
        <v>#N/A</v>
      </c>
      <c r="C1574" s="1549" t="s">
        <v>1455</v>
      </c>
      <c r="D1574" s="1471" t="s">
        <v>1197</v>
      </c>
      <c r="E1574" s="1468" t="s">
        <v>15</v>
      </c>
      <c r="F1574" s="1468"/>
      <c r="G1574" s="1466">
        <v>1229038.53819991</v>
      </c>
      <c r="H1574" s="1466"/>
      <c r="I1574" s="1540"/>
      <c r="J1574" s="1466">
        <f t="shared" si="65"/>
        <v>1229038.53819991</v>
      </c>
      <c r="K1574" s="1466"/>
      <c r="L1574" s="1466"/>
      <c r="M1574" s="1540">
        <f t="shared" si="66"/>
        <v>1229038.53819991</v>
      </c>
      <c r="N1574" s="166"/>
      <c r="O1574" s="559"/>
    </row>
    <row r="1575" spans="1:15" s="540" customFormat="1" ht="14.25" customHeight="1">
      <c r="A1575" s="1536">
        <v>392</v>
      </c>
      <c r="B1575" s="1537" t="str">
        <f>VLOOKUP(D1575,'[2]DS CN MOI UP'!$B$11:$C$447,2,0)</f>
        <v>02528</v>
      </c>
      <c r="C1575" s="1549" t="s">
        <v>1455</v>
      </c>
      <c r="D1575" s="1471" t="s">
        <v>159</v>
      </c>
      <c r="E1575" s="1468" t="s">
        <v>15</v>
      </c>
      <c r="F1575" s="1468"/>
      <c r="G1575" s="1466">
        <v>1159179.5249999999</v>
      </c>
      <c r="H1575" s="1466"/>
      <c r="I1575" s="1540"/>
      <c r="J1575" s="1466">
        <f t="shared" si="65"/>
        <v>1159179.5249999999</v>
      </c>
      <c r="K1575" s="1466"/>
      <c r="L1575" s="1466"/>
      <c r="M1575" s="1540">
        <f t="shared" si="66"/>
        <v>1159179.5249999999</v>
      </c>
      <c r="N1575" s="166"/>
      <c r="O1575" s="559"/>
    </row>
    <row r="1576" spans="1:15" s="540" customFormat="1" ht="14.25" customHeight="1">
      <c r="A1576" s="1536">
        <v>393</v>
      </c>
      <c r="B1576" s="1537" t="e">
        <f>VLOOKUP(D1576,'[2]DS CN MOI UP'!$B$11:$C$447,2,0)</f>
        <v>#N/A</v>
      </c>
      <c r="C1576" s="1549" t="s">
        <v>1455</v>
      </c>
      <c r="D1576" s="1471" t="s">
        <v>1198</v>
      </c>
      <c r="E1576" s="1468" t="s">
        <v>15</v>
      </c>
      <c r="F1576" s="1468"/>
      <c r="G1576" s="1466">
        <v>1239846.615</v>
      </c>
      <c r="H1576" s="1466"/>
      <c r="I1576" s="1540"/>
      <c r="J1576" s="1466">
        <f t="shared" si="65"/>
        <v>1239846.615</v>
      </c>
      <c r="K1576" s="1466"/>
      <c r="L1576" s="1466"/>
      <c r="M1576" s="1540">
        <f t="shared" si="66"/>
        <v>1239846.615</v>
      </c>
      <c r="N1576" s="166"/>
      <c r="O1576" s="559"/>
    </row>
    <row r="1577" spans="1:15" s="540" customFormat="1" ht="14.25" customHeight="1">
      <c r="A1577" s="1536">
        <v>394</v>
      </c>
      <c r="B1577" s="1537" t="str">
        <f>VLOOKUP(D1577,'[2]DS CN MOI UP'!$B$11:$C$447,2,0)</f>
        <v>03850</v>
      </c>
      <c r="C1577" s="1549" t="s">
        <v>1455</v>
      </c>
      <c r="D1577" s="1471" t="s">
        <v>449</v>
      </c>
      <c r="E1577" s="1468" t="s">
        <v>15</v>
      </c>
      <c r="F1577" s="1468"/>
      <c r="G1577" s="1466">
        <v>1149145.3259999999</v>
      </c>
      <c r="H1577" s="1466"/>
      <c r="I1577" s="1540"/>
      <c r="J1577" s="1466">
        <f t="shared" si="65"/>
        <v>1149145.3259999999</v>
      </c>
      <c r="K1577" s="1466"/>
      <c r="L1577" s="1466"/>
      <c r="M1577" s="1540">
        <f t="shared" si="66"/>
        <v>1149145.3259999999</v>
      </c>
      <c r="N1577" s="166"/>
      <c r="O1577" s="559"/>
    </row>
    <row r="1578" spans="1:15" s="540" customFormat="1" ht="14.25" customHeight="1">
      <c r="A1578" s="1536">
        <v>395</v>
      </c>
      <c r="B1578" s="1537" t="e">
        <f>VLOOKUP(D1578,'[2]DS CN MOI UP'!$B$11:$C$447,2,0)</f>
        <v>#N/A</v>
      </c>
      <c r="C1578" s="1549" t="s">
        <v>1455</v>
      </c>
      <c r="D1578" s="1471" t="s">
        <v>1162</v>
      </c>
      <c r="E1578" s="1468" t="s">
        <v>15</v>
      </c>
      <c r="F1578" s="1468"/>
      <c r="G1578" s="1466">
        <v>1159179.5249999999</v>
      </c>
      <c r="H1578" s="1466"/>
      <c r="I1578" s="1540"/>
      <c r="J1578" s="1466">
        <f t="shared" si="65"/>
        <v>1159179.5249999999</v>
      </c>
      <c r="K1578" s="1466"/>
      <c r="L1578" s="1466"/>
      <c r="M1578" s="1540">
        <f t="shared" si="66"/>
        <v>1159179.5249999999</v>
      </c>
      <c r="N1578" s="166"/>
      <c r="O1578" s="559"/>
    </row>
    <row r="1579" spans="1:15" s="540" customFormat="1" ht="14.25" customHeight="1">
      <c r="A1579" s="1536">
        <v>396</v>
      </c>
      <c r="B1579" s="1537" t="e">
        <f>VLOOKUP(D1579,'[2]DS CN MOI UP'!$B$11:$C$447,2,0)</f>
        <v>#N/A</v>
      </c>
      <c r="C1579" s="1549" t="s">
        <v>1455</v>
      </c>
      <c r="D1579" s="1471" t="s">
        <v>1163</v>
      </c>
      <c r="E1579" s="1468" t="s">
        <v>15</v>
      </c>
      <c r="F1579" s="1468"/>
      <c r="G1579" s="1466">
        <v>1239846.615</v>
      </c>
      <c r="H1579" s="1466"/>
      <c r="I1579" s="1540"/>
      <c r="J1579" s="1466">
        <f t="shared" si="65"/>
        <v>1239846.615</v>
      </c>
      <c r="K1579" s="1466"/>
      <c r="L1579" s="1466"/>
      <c r="M1579" s="1540">
        <f t="shared" si="66"/>
        <v>1239846.615</v>
      </c>
      <c r="N1579" s="166"/>
      <c r="O1579" s="559"/>
    </row>
    <row r="1580" spans="1:15" s="540" customFormat="1" ht="14.25" customHeight="1">
      <c r="A1580" s="1536">
        <v>397</v>
      </c>
      <c r="B1580" s="1537" t="e">
        <f>VLOOKUP(D1580,'[2]DS CN MOI UP'!$B$11:$C$447,2,0)</f>
        <v>#N/A</v>
      </c>
      <c r="C1580" s="1549" t="s">
        <v>1455</v>
      </c>
      <c r="D1580" s="1471" t="s">
        <v>916</v>
      </c>
      <c r="E1580" s="1468" t="s">
        <v>15</v>
      </c>
      <c r="F1580" s="1468"/>
      <c r="G1580" s="1466">
        <v>1159179.5249999999</v>
      </c>
      <c r="H1580" s="1466"/>
      <c r="I1580" s="1540"/>
      <c r="J1580" s="1466">
        <f t="shared" si="65"/>
        <v>1159179.5249999999</v>
      </c>
      <c r="K1580" s="1466"/>
      <c r="L1580" s="1466"/>
      <c r="M1580" s="1540">
        <f t="shared" si="66"/>
        <v>1159179.5249999999</v>
      </c>
      <c r="N1580" s="166"/>
      <c r="O1580" s="559"/>
    </row>
    <row r="1581" spans="1:15" s="540" customFormat="1" ht="14.25" customHeight="1">
      <c r="A1581" s="1536">
        <v>398</v>
      </c>
      <c r="B1581" s="1537" t="e">
        <f>VLOOKUP(D1581,'[2]DS CN MOI UP'!$B$11:$C$447,2,0)</f>
        <v>#N/A</v>
      </c>
      <c r="C1581" s="1549" t="s">
        <v>1455</v>
      </c>
      <c r="D1581" s="1471" t="s">
        <v>1164</v>
      </c>
      <c r="E1581" s="1468" t="s">
        <v>15</v>
      </c>
      <c r="F1581" s="1468"/>
      <c r="G1581" s="1466">
        <v>1149145.3259999999</v>
      </c>
      <c r="H1581" s="1466"/>
      <c r="I1581" s="1540"/>
      <c r="J1581" s="1466">
        <f t="shared" si="65"/>
        <v>1149145.3259999999</v>
      </c>
      <c r="K1581" s="1466"/>
      <c r="L1581" s="1466"/>
      <c r="M1581" s="1540">
        <f t="shared" si="66"/>
        <v>1149145.3259999999</v>
      </c>
      <c r="N1581" s="166"/>
      <c r="O1581" s="559"/>
    </row>
    <row r="1582" spans="1:15" s="540" customFormat="1" ht="14.25" customHeight="1">
      <c r="A1582" s="1536">
        <v>399</v>
      </c>
      <c r="B1582" s="1537" t="e">
        <f>VLOOKUP(D1582,'[2]DS CN MOI UP'!$B$11:$C$447,2,0)</f>
        <v>#N/A</v>
      </c>
      <c r="C1582" s="1549" t="s">
        <v>1455</v>
      </c>
      <c r="D1582" s="1471" t="s">
        <v>1165</v>
      </c>
      <c r="E1582" s="1468" t="s">
        <v>15</v>
      </c>
      <c r="F1582" s="1468"/>
      <c r="G1582" s="1466">
        <v>1229038.53819991</v>
      </c>
      <c r="H1582" s="1466"/>
      <c r="I1582" s="1540"/>
      <c r="J1582" s="1466">
        <f t="shared" si="59"/>
        <v>1229038.53819991</v>
      </c>
      <c r="K1582" s="1466"/>
      <c r="L1582" s="1466"/>
      <c r="M1582" s="1540">
        <f t="shared" si="60"/>
        <v>1229038.53819991</v>
      </c>
      <c r="N1582" s="166"/>
      <c r="O1582" s="559"/>
    </row>
    <row r="1583" spans="1:15" s="540" customFormat="1" ht="14.25" customHeight="1">
      <c r="A1583" s="1536">
        <v>400</v>
      </c>
      <c r="B1583" s="1537" t="e">
        <f>VLOOKUP(D1583,'[2]DS CN MOI UP'!$B$11:$C$447,2,0)</f>
        <v>#N/A</v>
      </c>
      <c r="C1583" s="1549" t="s">
        <v>1455</v>
      </c>
      <c r="D1583" s="1471" t="s">
        <v>701</v>
      </c>
      <c r="E1583" s="1468" t="s">
        <v>15</v>
      </c>
      <c r="F1583" s="1468"/>
      <c r="G1583" s="1466">
        <v>1159179.5249999999</v>
      </c>
      <c r="H1583" s="1466"/>
      <c r="I1583" s="1540"/>
      <c r="J1583" s="1466">
        <f t="shared" si="59"/>
        <v>1159179.5249999999</v>
      </c>
      <c r="K1583" s="1466"/>
      <c r="L1583" s="1466"/>
      <c r="M1583" s="1540">
        <f t="shared" si="60"/>
        <v>1159179.5249999999</v>
      </c>
      <c r="N1583" s="166"/>
      <c r="O1583" s="559"/>
    </row>
    <row r="1584" spans="1:15" s="540" customFormat="1" ht="14.25" customHeight="1">
      <c r="A1584" s="1536">
        <v>401</v>
      </c>
      <c r="B1584" s="1537" t="str">
        <f>VLOOKUP(D1584,'[2]DS CN MOI UP'!$B$11:$C$447,2,0)</f>
        <v>02532</v>
      </c>
      <c r="C1584" s="1549" t="s">
        <v>1455</v>
      </c>
      <c r="D1584" s="1471" t="s">
        <v>158</v>
      </c>
      <c r="E1584" s="1468" t="s">
        <v>15</v>
      </c>
      <c r="F1584" s="1468"/>
      <c r="G1584" s="1466">
        <v>1239846.615</v>
      </c>
      <c r="H1584" s="1466"/>
      <c r="I1584" s="1540"/>
      <c r="J1584" s="1466">
        <f t="shared" si="59"/>
        <v>1239846.615</v>
      </c>
      <c r="K1584" s="1466"/>
      <c r="L1584" s="1466"/>
      <c r="M1584" s="1540">
        <f t="shared" si="60"/>
        <v>1239846.615</v>
      </c>
      <c r="N1584" s="166"/>
      <c r="O1584" s="559"/>
    </row>
    <row r="1585" spans="1:15" s="540" customFormat="1" ht="14.25" customHeight="1">
      <c r="A1585" s="1536">
        <v>402</v>
      </c>
      <c r="B1585" s="1537" t="e">
        <f>VLOOKUP(D1585,'[2]DS CN MOI UP'!$B$11:$C$447,2,0)</f>
        <v>#N/A</v>
      </c>
      <c r="C1585" s="1549" t="s">
        <v>1455</v>
      </c>
      <c r="D1585" s="1471" t="s">
        <v>1167</v>
      </c>
      <c r="E1585" s="1468" t="s">
        <v>15</v>
      </c>
      <c r="F1585" s="1468"/>
      <c r="G1585" s="1466">
        <v>1149145.3259999999</v>
      </c>
      <c r="H1585" s="1466"/>
      <c r="I1585" s="1540"/>
      <c r="J1585" s="1466">
        <f t="shared" si="59"/>
        <v>1149145.3259999999</v>
      </c>
      <c r="K1585" s="1466"/>
      <c r="L1585" s="1466"/>
      <c r="M1585" s="1540">
        <f t="shared" si="60"/>
        <v>1149145.3259999999</v>
      </c>
      <c r="N1585" s="166"/>
      <c r="O1585" s="559"/>
    </row>
    <row r="1586" spans="1:15" s="540" customFormat="1" ht="14.25" customHeight="1">
      <c r="A1586" s="1536">
        <v>403</v>
      </c>
      <c r="B1586" s="1537" t="e">
        <f>VLOOKUP(D1586,'[2]DS CN MOI UP'!$B$11:$C$447,2,0)</f>
        <v>#N/A</v>
      </c>
      <c r="C1586" s="1549" t="s">
        <v>1455</v>
      </c>
      <c r="D1586" s="1471" t="s">
        <v>1168</v>
      </c>
      <c r="E1586" s="1468" t="s">
        <v>15</v>
      </c>
      <c r="F1586" s="1468"/>
      <c r="G1586" s="1466">
        <v>1159179.5249999999</v>
      </c>
      <c r="H1586" s="1466"/>
      <c r="I1586" s="1540"/>
      <c r="J1586" s="1466">
        <f t="shared" si="59"/>
        <v>1159179.5249999999</v>
      </c>
      <c r="K1586" s="1466"/>
      <c r="L1586" s="1466"/>
      <c r="M1586" s="1540">
        <f t="shared" si="60"/>
        <v>1159179.5249999999</v>
      </c>
      <c r="N1586" s="166"/>
      <c r="O1586" s="559"/>
    </row>
    <row r="1587" spans="1:15" s="540" customFormat="1" ht="14.25" customHeight="1">
      <c r="A1587" s="1536">
        <v>404</v>
      </c>
      <c r="B1587" s="1537" t="e">
        <f>VLOOKUP(D1587,'[2]DS CN MOI UP'!$B$11:$C$447,2,0)</f>
        <v>#N/A</v>
      </c>
      <c r="C1587" s="1549" t="s">
        <v>1455</v>
      </c>
      <c r="D1587" s="1471" t="s">
        <v>1543</v>
      </c>
      <c r="E1587" s="1468" t="s">
        <v>15</v>
      </c>
      <c r="F1587" s="1468"/>
      <c r="G1587" s="1466">
        <v>1239846.615</v>
      </c>
      <c r="H1587" s="1466"/>
      <c r="I1587" s="1540"/>
      <c r="J1587" s="1466">
        <f t="shared" si="59"/>
        <v>1239846.615</v>
      </c>
      <c r="K1587" s="1466"/>
      <c r="L1587" s="1466"/>
      <c r="M1587" s="1540">
        <f t="shared" si="60"/>
        <v>1239846.615</v>
      </c>
      <c r="N1587" s="166"/>
      <c r="O1587" s="559"/>
    </row>
    <row r="1588" spans="1:15" s="540" customFormat="1" ht="14.25" customHeight="1">
      <c r="A1588" s="1536">
        <v>405</v>
      </c>
      <c r="B1588" s="1537" t="str">
        <f>VLOOKUP(D1588,'[2]DS CN MOI UP'!$B$11:$C$447,2,0)</f>
        <v>02533</v>
      </c>
      <c r="C1588" s="1549" t="s">
        <v>1455</v>
      </c>
      <c r="D1588" s="1471" t="s">
        <v>198</v>
      </c>
      <c r="E1588" s="1468" t="s">
        <v>15</v>
      </c>
      <c r="F1588" s="1468"/>
      <c r="G1588" s="1466">
        <v>1159179.5249999999</v>
      </c>
      <c r="H1588" s="1466"/>
      <c r="I1588" s="1540"/>
      <c r="J1588" s="1466">
        <f t="shared" si="59"/>
        <v>1159179.5249999999</v>
      </c>
      <c r="K1588" s="1466"/>
      <c r="L1588" s="1466"/>
      <c r="M1588" s="1540">
        <f t="shared" si="60"/>
        <v>1159179.5249999999</v>
      </c>
      <c r="N1588" s="166"/>
      <c r="O1588" s="559"/>
    </row>
    <row r="1589" spans="1:15" s="540" customFormat="1" ht="14.25" customHeight="1">
      <c r="A1589" s="1536">
        <v>406</v>
      </c>
      <c r="B1589" s="1537" t="e">
        <f>VLOOKUP(D1589,'[2]DS CN MOI UP'!$B$11:$C$447,2,0)</f>
        <v>#N/A</v>
      </c>
      <c r="C1589" s="1549" t="s">
        <v>1455</v>
      </c>
      <c r="D1589" s="1471" t="s">
        <v>1169</v>
      </c>
      <c r="E1589" s="1468" t="s">
        <v>15</v>
      </c>
      <c r="F1589" s="1468"/>
      <c r="G1589" s="1466">
        <v>1149145.3259999999</v>
      </c>
      <c r="H1589" s="1466"/>
      <c r="I1589" s="1540"/>
      <c r="J1589" s="1466">
        <f t="shared" si="59"/>
        <v>1149145.3259999999</v>
      </c>
      <c r="K1589" s="1466"/>
      <c r="L1589" s="1466"/>
      <c r="M1589" s="1540">
        <f t="shared" si="60"/>
        <v>1149145.3259999999</v>
      </c>
      <c r="N1589" s="166"/>
      <c r="O1589" s="559"/>
    </row>
    <row r="1590" spans="1:15" s="540" customFormat="1" ht="14.25" customHeight="1">
      <c r="A1590" s="1536">
        <v>407</v>
      </c>
      <c r="B1590" s="1537" t="e">
        <f>VLOOKUP(D1590,'[2]DS CN MOI UP'!$B$11:$C$447,2,0)</f>
        <v>#N/A</v>
      </c>
      <c r="C1590" s="1549" t="s">
        <v>1455</v>
      </c>
      <c r="D1590" s="1471" t="s">
        <v>1199</v>
      </c>
      <c r="E1590" s="1468" t="s">
        <v>15</v>
      </c>
      <c r="F1590" s="1468"/>
      <c r="G1590" s="1466">
        <v>1229038.53819991</v>
      </c>
      <c r="H1590" s="1466"/>
      <c r="I1590" s="1540"/>
      <c r="J1590" s="1466">
        <f t="shared" si="59"/>
        <v>1229038.53819991</v>
      </c>
      <c r="K1590" s="1466"/>
      <c r="L1590" s="1466"/>
      <c r="M1590" s="1540">
        <f t="shared" si="60"/>
        <v>1229038.53819991</v>
      </c>
      <c r="N1590" s="166"/>
      <c r="O1590" s="559"/>
    </row>
    <row r="1591" spans="1:15" s="540" customFormat="1" ht="14.25" customHeight="1">
      <c r="A1591" s="1536">
        <v>408</v>
      </c>
      <c r="B1591" s="1537" t="e">
        <f>VLOOKUP(D1591,'[2]DS CN MOI UP'!$B$11:$C$447,2,0)</f>
        <v>#N/A</v>
      </c>
      <c r="C1591" s="1549" t="s">
        <v>1455</v>
      </c>
      <c r="D1591" s="1471" t="s">
        <v>567</v>
      </c>
      <c r="E1591" s="1468" t="s">
        <v>15</v>
      </c>
      <c r="F1591" s="1468"/>
      <c r="G1591" s="1466">
        <v>1159179.5249999999</v>
      </c>
      <c r="H1591" s="1466"/>
      <c r="I1591" s="1540"/>
      <c r="J1591" s="1466">
        <f t="shared" si="59"/>
        <v>1159179.5249999999</v>
      </c>
      <c r="K1591" s="1466"/>
      <c r="L1591" s="1466"/>
      <c r="M1591" s="1540">
        <f t="shared" si="60"/>
        <v>1159179.5249999999</v>
      </c>
      <c r="N1591" s="166"/>
      <c r="O1591" s="559"/>
    </row>
    <row r="1592" spans="1:15" s="540" customFormat="1" ht="14.25" customHeight="1">
      <c r="A1592" s="1536">
        <v>409</v>
      </c>
      <c r="B1592" s="1537" t="e">
        <f>VLOOKUP(D1592,'[2]DS CN MOI UP'!$B$11:$C$447,2,0)</f>
        <v>#N/A</v>
      </c>
      <c r="C1592" s="1549" t="s">
        <v>1455</v>
      </c>
      <c r="D1592" s="1471" t="s">
        <v>1170</v>
      </c>
      <c r="E1592" s="1468" t="s">
        <v>15</v>
      </c>
      <c r="F1592" s="1468"/>
      <c r="G1592" s="1466">
        <v>1239846.615</v>
      </c>
      <c r="H1592" s="1466"/>
      <c r="I1592" s="1540"/>
      <c r="J1592" s="1466">
        <f t="shared" ref="J1592:J1601" si="67">SUM(G1592:I1592)</f>
        <v>1239846.615</v>
      </c>
      <c r="K1592" s="1466"/>
      <c r="L1592" s="1466"/>
      <c r="M1592" s="1540">
        <f t="shared" ref="M1592:M1601" si="68">J1592-L1592</f>
        <v>1239846.615</v>
      </c>
      <c r="N1592" s="166"/>
      <c r="O1592" s="559"/>
    </row>
    <row r="1593" spans="1:15" s="540" customFormat="1" ht="14.25" customHeight="1">
      <c r="A1593" s="1536">
        <v>410</v>
      </c>
      <c r="B1593" s="1537" t="str">
        <f>VLOOKUP(D1593,'[2]DS CN MOI UP'!$B$11:$C$447,2,0)</f>
        <v>02535</v>
      </c>
      <c r="C1593" s="1549" t="s">
        <v>1455</v>
      </c>
      <c r="D1593" s="1471" t="s">
        <v>165</v>
      </c>
      <c r="E1593" s="1468" t="s">
        <v>15</v>
      </c>
      <c r="F1593" s="1468"/>
      <c r="G1593" s="1466">
        <v>1149145.3259999999</v>
      </c>
      <c r="H1593" s="1466"/>
      <c r="I1593" s="1540"/>
      <c r="J1593" s="1466">
        <f t="shared" si="67"/>
        <v>1149145.3259999999</v>
      </c>
      <c r="K1593" s="1466"/>
      <c r="L1593" s="1466"/>
      <c r="M1593" s="1540">
        <f t="shared" si="68"/>
        <v>1149145.3259999999</v>
      </c>
      <c r="N1593" s="166"/>
      <c r="O1593" s="559"/>
    </row>
    <row r="1594" spans="1:15" s="540" customFormat="1" ht="14.25" customHeight="1">
      <c r="A1594" s="1536">
        <v>411</v>
      </c>
      <c r="B1594" s="1537" t="e">
        <f>VLOOKUP(D1594,'[2]DS CN MOI UP'!$B$11:$C$447,2,0)</f>
        <v>#N/A</v>
      </c>
      <c r="C1594" s="1549" t="s">
        <v>1455</v>
      </c>
      <c r="D1594" s="1471" t="s">
        <v>1171</v>
      </c>
      <c r="E1594" s="1468" t="s">
        <v>15</v>
      </c>
      <c r="F1594" s="1468"/>
      <c r="G1594" s="1466">
        <v>1159179.5249999999</v>
      </c>
      <c r="H1594" s="1466"/>
      <c r="I1594" s="1540"/>
      <c r="J1594" s="1466">
        <f t="shared" si="67"/>
        <v>1159179.5249999999</v>
      </c>
      <c r="K1594" s="1466"/>
      <c r="L1594" s="1466"/>
      <c r="M1594" s="1540">
        <f t="shared" si="68"/>
        <v>1159179.5249999999</v>
      </c>
      <c r="N1594" s="166"/>
      <c r="O1594" s="559"/>
    </row>
    <row r="1595" spans="1:15" s="540" customFormat="1" ht="14.25" customHeight="1">
      <c r="A1595" s="1536">
        <v>412</v>
      </c>
      <c r="B1595" s="1537" t="str">
        <f>VLOOKUP(D1595,'[2]DS CN MOI UP'!$B$11:$C$447,2,0)</f>
        <v>02536</v>
      </c>
      <c r="C1595" s="1549" t="s">
        <v>1455</v>
      </c>
      <c r="D1595" s="1471" t="s">
        <v>155</v>
      </c>
      <c r="E1595" s="1468" t="s">
        <v>15</v>
      </c>
      <c r="F1595" s="1468"/>
      <c r="G1595" s="1466">
        <v>1239846.615</v>
      </c>
      <c r="H1595" s="1466"/>
      <c r="I1595" s="1540"/>
      <c r="J1595" s="1466">
        <f t="shared" si="67"/>
        <v>1239846.615</v>
      </c>
      <c r="K1595" s="1466"/>
      <c r="L1595" s="1466"/>
      <c r="M1595" s="1540">
        <f t="shared" si="68"/>
        <v>1239846.615</v>
      </c>
      <c r="N1595" s="166"/>
      <c r="O1595" s="559"/>
    </row>
    <row r="1596" spans="1:15" s="540" customFormat="1" ht="14.25" customHeight="1">
      <c r="A1596" s="1536">
        <v>413</v>
      </c>
      <c r="B1596" s="1537" t="e">
        <f>VLOOKUP(D1596,'[2]DS CN MOI UP'!$B$11:$C$447,2,0)</f>
        <v>#N/A</v>
      </c>
      <c r="C1596" s="1549" t="s">
        <v>1455</v>
      </c>
      <c r="D1596" s="1471" t="s">
        <v>1172</v>
      </c>
      <c r="E1596" s="1468" t="s">
        <v>15</v>
      </c>
      <c r="F1596" s="1468"/>
      <c r="G1596" s="1466">
        <v>1239846.615</v>
      </c>
      <c r="H1596" s="1466"/>
      <c r="I1596" s="1540"/>
      <c r="J1596" s="1466">
        <f t="shared" si="67"/>
        <v>1239846.615</v>
      </c>
      <c r="K1596" s="1466"/>
      <c r="L1596" s="1466"/>
      <c r="M1596" s="1540">
        <f t="shared" si="68"/>
        <v>1239846.615</v>
      </c>
      <c r="N1596" s="166"/>
      <c r="O1596" s="559"/>
    </row>
    <row r="1597" spans="1:15" s="540" customFormat="1" ht="14.25" customHeight="1">
      <c r="A1597" s="1536">
        <v>414</v>
      </c>
      <c r="B1597" s="1537" t="e">
        <f>VLOOKUP(D1597,'[2]DS CN MOI UP'!$B$11:$C$447,2,0)</f>
        <v>#N/A</v>
      </c>
      <c r="C1597" s="1549" t="s">
        <v>1455</v>
      </c>
      <c r="D1597" s="1471" t="s">
        <v>1173</v>
      </c>
      <c r="E1597" s="1468" t="s">
        <v>15</v>
      </c>
      <c r="F1597" s="1468"/>
      <c r="G1597" s="1466">
        <v>1149145.3259999999</v>
      </c>
      <c r="H1597" s="1466"/>
      <c r="I1597" s="1540"/>
      <c r="J1597" s="1466">
        <f t="shared" si="67"/>
        <v>1149145.3259999999</v>
      </c>
      <c r="K1597" s="1466"/>
      <c r="L1597" s="1466"/>
      <c r="M1597" s="1540">
        <f t="shared" si="68"/>
        <v>1149145.3259999999</v>
      </c>
      <c r="N1597" s="166"/>
      <c r="O1597" s="559"/>
    </row>
    <row r="1598" spans="1:15" s="540" customFormat="1" ht="14.25" customHeight="1">
      <c r="A1598" s="1536">
        <v>415</v>
      </c>
      <c r="B1598" s="1537" t="e">
        <f>VLOOKUP(D1598,'[2]DS CN MOI UP'!$B$11:$C$447,2,0)</f>
        <v>#N/A</v>
      </c>
      <c r="C1598" s="1549" t="s">
        <v>1455</v>
      </c>
      <c r="D1598" s="1471" t="s">
        <v>1200</v>
      </c>
      <c r="E1598" s="1468" t="s">
        <v>15</v>
      </c>
      <c r="F1598" s="1468"/>
      <c r="G1598" s="1466">
        <v>1159179.5249999999</v>
      </c>
      <c r="H1598" s="1466"/>
      <c r="I1598" s="1540"/>
      <c r="J1598" s="1466">
        <f t="shared" si="67"/>
        <v>1159179.5249999999</v>
      </c>
      <c r="K1598" s="1466"/>
      <c r="L1598" s="1466"/>
      <c r="M1598" s="1540">
        <f t="shared" si="68"/>
        <v>1159179.5249999999</v>
      </c>
      <c r="N1598" s="166"/>
      <c r="O1598" s="559"/>
    </row>
    <row r="1599" spans="1:15" s="540" customFormat="1" ht="14.25" customHeight="1">
      <c r="A1599" s="1536">
        <v>416</v>
      </c>
      <c r="B1599" s="1537" t="str">
        <f>VLOOKUP(D1599,'[2]DS CN MOI UP'!$B$11:$C$447,2,0)</f>
        <v>02538</v>
      </c>
      <c r="C1599" s="1549" t="s">
        <v>1455</v>
      </c>
      <c r="D1599" s="1471" t="s">
        <v>150</v>
      </c>
      <c r="E1599" s="1468" t="s">
        <v>15</v>
      </c>
      <c r="F1599" s="1468"/>
      <c r="G1599" s="1466">
        <v>1239846.615</v>
      </c>
      <c r="H1599" s="1466"/>
      <c r="I1599" s="1540"/>
      <c r="J1599" s="1466">
        <f t="shared" si="67"/>
        <v>1239846.615</v>
      </c>
      <c r="K1599" s="1466"/>
      <c r="L1599" s="1466"/>
      <c r="M1599" s="1540">
        <f t="shared" si="68"/>
        <v>1239846.615</v>
      </c>
      <c r="N1599" s="166"/>
      <c r="O1599" s="559"/>
    </row>
    <row r="1600" spans="1:15" s="540" customFormat="1" ht="14.25" customHeight="1">
      <c r="A1600" s="1536">
        <v>417</v>
      </c>
      <c r="B1600" s="1537" t="e">
        <f>VLOOKUP(D1600,'[2]DS CN MOI UP'!$B$11:$C$447,2,0)</f>
        <v>#N/A</v>
      </c>
      <c r="C1600" s="1549" t="s">
        <v>1455</v>
      </c>
      <c r="D1600" s="1471" t="s">
        <v>1201</v>
      </c>
      <c r="E1600" s="1468" t="s">
        <v>15</v>
      </c>
      <c r="F1600" s="1468"/>
      <c r="G1600" s="1466"/>
      <c r="H1600" s="1466">
        <v>1229038.53819991</v>
      </c>
      <c r="I1600" s="1540"/>
      <c r="J1600" s="1466">
        <f t="shared" si="67"/>
        <v>1229038.53819991</v>
      </c>
      <c r="K1600" s="1466"/>
      <c r="L1600" s="1466"/>
      <c r="M1600" s="1540">
        <f t="shared" si="68"/>
        <v>1229038.53819991</v>
      </c>
      <c r="N1600" s="166"/>
      <c r="O1600" s="559"/>
    </row>
    <row r="1601" spans="1:15" s="540" customFormat="1" ht="14.25" customHeight="1">
      <c r="A1601" s="1536">
        <v>418</v>
      </c>
      <c r="B1601" s="1537" t="str">
        <f>VLOOKUP(D1601,'[2]DS CN MOI UP'!$B$11:$C$447,2,0)</f>
        <v>02539</v>
      </c>
      <c r="C1601" s="1549" t="s">
        <v>1455</v>
      </c>
      <c r="D1601" s="1471" t="s">
        <v>195</v>
      </c>
      <c r="E1601" s="1468" t="s">
        <v>15</v>
      </c>
      <c r="F1601" s="1468"/>
      <c r="G1601" s="1466"/>
      <c r="H1601" s="1466">
        <v>1159179.5249999999</v>
      </c>
      <c r="I1601" s="1540"/>
      <c r="J1601" s="1466">
        <f t="shared" si="67"/>
        <v>1159179.5249999999</v>
      </c>
      <c r="K1601" s="1466"/>
      <c r="L1601" s="1466"/>
      <c r="M1601" s="1540">
        <f t="shared" si="68"/>
        <v>1159179.5249999999</v>
      </c>
      <c r="N1601" s="166"/>
      <c r="O1601" s="559"/>
    </row>
    <row r="1602" spans="1:15" s="540" customFormat="1" ht="14.25" customHeight="1">
      <c r="A1602" s="1536">
        <v>419</v>
      </c>
      <c r="B1602" s="1537" t="e">
        <f>VLOOKUP(D1602,'[2]DS CN MOI UP'!$B$11:$C$447,2,0)</f>
        <v>#N/A</v>
      </c>
      <c r="C1602" s="1549" t="s">
        <v>1455</v>
      </c>
      <c r="D1602" s="1471" t="s">
        <v>1174</v>
      </c>
      <c r="E1602" s="1468" t="s">
        <v>15</v>
      </c>
      <c r="F1602" s="1468"/>
      <c r="G1602" s="1466"/>
      <c r="H1602" s="1466">
        <v>1239846.615</v>
      </c>
      <c r="I1602" s="1540"/>
      <c r="J1602" s="1466">
        <f t="shared" si="59"/>
        <v>1239846.615</v>
      </c>
      <c r="K1602" s="1466"/>
      <c r="L1602" s="1466"/>
      <c r="M1602" s="1540">
        <f t="shared" si="60"/>
        <v>1239846.615</v>
      </c>
      <c r="N1602" s="166"/>
      <c r="O1602" s="559"/>
    </row>
    <row r="1603" spans="1:15" s="540" customFormat="1" ht="14.25" customHeight="1">
      <c r="A1603" s="1536">
        <v>420</v>
      </c>
      <c r="B1603" s="1537" t="e">
        <f>VLOOKUP(D1603,'[2]DS CN MOI UP'!$B$11:$C$447,2,0)</f>
        <v>#N/A</v>
      </c>
      <c r="C1603" s="1549" t="s">
        <v>1455</v>
      </c>
      <c r="D1603" s="1471" t="s">
        <v>1175</v>
      </c>
      <c r="E1603" s="1468" t="s">
        <v>15</v>
      </c>
      <c r="F1603" s="1468"/>
      <c r="G1603" s="1466"/>
      <c r="H1603" s="1466">
        <v>1149145.3259999999</v>
      </c>
      <c r="I1603" s="1540"/>
      <c r="J1603" s="1466">
        <f t="shared" si="59"/>
        <v>1149145.3259999999</v>
      </c>
      <c r="K1603" s="1466"/>
      <c r="L1603" s="1466"/>
      <c r="M1603" s="1540">
        <f t="shared" si="60"/>
        <v>1149145.3259999999</v>
      </c>
      <c r="N1603" s="166"/>
      <c r="O1603" s="559"/>
    </row>
    <row r="1604" spans="1:15" s="540" customFormat="1" ht="14.25" customHeight="1">
      <c r="A1604" s="1536">
        <v>421</v>
      </c>
      <c r="B1604" s="1537" t="e">
        <f>VLOOKUP(D1604,'[2]DS CN MOI UP'!$B$11:$C$447,2,0)</f>
        <v>#N/A</v>
      </c>
      <c r="C1604" s="1549" t="s">
        <v>1455</v>
      </c>
      <c r="D1604" s="1471" t="s">
        <v>1176</v>
      </c>
      <c r="E1604" s="1468" t="s">
        <v>15</v>
      </c>
      <c r="F1604" s="1468"/>
      <c r="G1604" s="1466"/>
      <c r="H1604" s="1466">
        <v>1159179.5249999999</v>
      </c>
      <c r="I1604" s="1540"/>
      <c r="J1604" s="1466">
        <f t="shared" si="59"/>
        <v>1159179.5249999999</v>
      </c>
      <c r="K1604" s="1466"/>
      <c r="L1604" s="1466"/>
      <c r="M1604" s="1540">
        <f t="shared" si="60"/>
        <v>1159179.5249999999</v>
      </c>
      <c r="N1604" s="166"/>
      <c r="O1604" s="559"/>
    </row>
    <row r="1605" spans="1:15" s="540" customFormat="1" ht="14.25" customHeight="1">
      <c r="A1605" s="1536">
        <v>422</v>
      </c>
      <c r="B1605" s="1537" t="e">
        <f>VLOOKUP(D1605,'[2]DS CN MOI UP'!$B$11:$C$447,2,0)</f>
        <v>#N/A</v>
      </c>
      <c r="C1605" s="1549" t="s">
        <v>1455</v>
      </c>
      <c r="D1605" s="1471" t="s">
        <v>1202</v>
      </c>
      <c r="E1605" s="1468" t="s">
        <v>15</v>
      </c>
      <c r="F1605" s="1468"/>
      <c r="G1605" s="1466"/>
      <c r="H1605" s="1466">
        <v>1239846.615</v>
      </c>
      <c r="I1605" s="1540"/>
      <c r="J1605" s="1466">
        <f t="shared" si="59"/>
        <v>1239846.615</v>
      </c>
      <c r="K1605" s="1466"/>
      <c r="L1605" s="1466"/>
      <c r="M1605" s="1540">
        <f t="shared" si="60"/>
        <v>1239846.615</v>
      </c>
      <c r="N1605" s="166"/>
      <c r="O1605" s="559"/>
    </row>
    <row r="1606" spans="1:15" s="540" customFormat="1" ht="14.25" customHeight="1">
      <c r="A1606" s="1536">
        <v>423</v>
      </c>
      <c r="B1606" s="1537" t="str">
        <f>VLOOKUP(D1606,'[2]DS CN MOI UP'!$B$11:$C$447,2,0)</f>
        <v>02541</v>
      </c>
      <c r="C1606" s="1549" t="s">
        <v>1455</v>
      </c>
      <c r="D1606" s="1471" t="s">
        <v>185</v>
      </c>
      <c r="E1606" s="1468" t="s">
        <v>15</v>
      </c>
      <c r="F1606" s="1468"/>
      <c r="G1606" s="1466"/>
      <c r="H1606" s="1466">
        <v>1159179.5249999999</v>
      </c>
      <c r="I1606" s="1540"/>
      <c r="J1606" s="1466">
        <f t="shared" si="59"/>
        <v>1159179.5249999999</v>
      </c>
      <c r="K1606" s="1466"/>
      <c r="L1606" s="1466"/>
      <c r="M1606" s="1540">
        <f t="shared" si="60"/>
        <v>1159179.5249999999</v>
      </c>
      <c r="N1606" s="166"/>
      <c r="O1606" s="559"/>
    </row>
    <row r="1607" spans="1:15" s="540" customFormat="1" ht="14.25" customHeight="1">
      <c r="A1607" s="1536">
        <v>424</v>
      </c>
      <c r="B1607" s="1537" t="e">
        <f>VLOOKUP(D1607,'[2]DS CN MOI UP'!$B$11:$C$447,2,0)</f>
        <v>#N/A</v>
      </c>
      <c r="C1607" s="1549" t="s">
        <v>1455</v>
      </c>
      <c r="D1607" s="1471" t="s">
        <v>1177</v>
      </c>
      <c r="E1607" s="1468" t="s">
        <v>15</v>
      </c>
      <c r="F1607" s="1468"/>
      <c r="G1607" s="1466"/>
      <c r="H1607" s="1466">
        <v>1149145.3259999999</v>
      </c>
      <c r="I1607" s="1540"/>
      <c r="J1607" s="1466">
        <f t="shared" ref="J1607:J1611" si="69">SUM(G1607:I1607)</f>
        <v>1149145.3259999999</v>
      </c>
      <c r="K1607" s="1466"/>
      <c r="L1607" s="1466"/>
      <c r="M1607" s="1540">
        <f t="shared" ref="M1607:M1611" si="70">J1607-L1607</f>
        <v>1149145.3259999999</v>
      </c>
      <c r="N1607" s="166"/>
      <c r="O1607" s="559"/>
    </row>
    <row r="1608" spans="1:15" s="540" customFormat="1" ht="14.25" customHeight="1">
      <c r="A1608" s="1536">
        <v>425</v>
      </c>
      <c r="B1608" s="1537" t="e">
        <f>VLOOKUP(D1608,'[2]DS CN MOI UP'!$B$11:$C$447,2,0)</f>
        <v>#N/A</v>
      </c>
      <c r="C1608" s="1549" t="s">
        <v>1455</v>
      </c>
      <c r="D1608" s="1471" t="s">
        <v>1501</v>
      </c>
      <c r="E1608" s="1468" t="s">
        <v>15</v>
      </c>
      <c r="F1608" s="1468"/>
      <c r="G1608" s="1466"/>
      <c r="H1608" s="1466">
        <v>1229038.53819991</v>
      </c>
      <c r="I1608" s="1540"/>
      <c r="J1608" s="1466">
        <f t="shared" si="69"/>
        <v>1229038.53819991</v>
      </c>
      <c r="K1608" s="1466"/>
      <c r="L1608" s="1466"/>
      <c r="M1608" s="1540">
        <f t="shared" si="70"/>
        <v>1229038.53819991</v>
      </c>
      <c r="N1608" s="166"/>
      <c r="O1608" s="559"/>
    </row>
    <row r="1609" spans="1:15" s="540" customFormat="1" ht="14.25" customHeight="1">
      <c r="A1609" s="1536">
        <v>426</v>
      </c>
      <c r="B1609" s="1537" t="e">
        <f>VLOOKUP(D1609,'[2]DS CN MOI UP'!$B$11:$C$447,2,0)</f>
        <v>#N/A</v>
      </c>
      <c r="C1609" s="1549" t="s">
        <v>1455</v>
      </c>
      <c r="D1609" s="1471" t="s">
        <v>1502</v>
      </c>
      <c r="E1609" s="1468" t="s">
        <v>15</v>
      </c>
      <c r="F1609" s="1468"/>
      <c r="G1609" s="1466"/>
      <c r="H1609" s="1466">
        <v>1229038.53819991</v>
      </c>
      <c r="I1609" s="1540"/>
      <c r="J1609" s="1466">
        <f t="shared" si="69"/>
        <v>1229038.53819991</v>
      </c>
      <c r="K1609" s="1466"/>
      <c r="L1609" s="1466"/>
      <c r="M1609" s="1540">
        <f t="shared" si="70"/>
        <v>1229038.53819991</v>
      </c>
      <c r="N1609" s="166"/>
      <c r="O1609" s="559"/>
    </row>
    <row r="1610" spans="1:15" s="540" customFormat="1" ht="14.25" customHeight="1">
      <c r="A1610" s="1536">
        <v>427</v>
      </c>
      <c r="B1610" s="1537" t="e">
        <f>VLOOKUP(D1610,'[2]DS CN MOI UP'!$B$11:$C$447,2,0)</f>
        <v>#N/A</v>
      </c>
      <c r="C1610" s="1549" t="s">
        <v>1455</v>
      </c>
      <c r="D1610" s="1471" t="s">
        <v>1503</v>
      </c>
      <c r="E1610" s="1468" t="s">
        <v>15</v>
      </c>
      <c r="F1610" s="1468"/>
      <c r="G1610" s="1466"/>
      <c r="H1610" s="1466">
        <v>1159179.5249999999</v>
      </c>
      <c r="I1610" s="1540"/>
      <c r="J1610" s="1466">
        <f t="shared" si="69"/>
        <v>1159179.5249999999</v>
      </c>
      <c r="K1610" s="1466"/>
      <c r="L1610" s="1466"/>
      <c r="M1610" s="1540">
        <f t="shared" si="70"/>
        <v>1159179.5249999999</v>
      </c>
      <c r="N1610" s="166"/>
      <c r="O1610" s="559"/>
    </row>
    <row r="1611" spans="1:15" s="540" customFormat="1" ht="14.25" customHeight="1">
      <c r="A1611" s="1536">
        <v>428</v>
      </c>
      <c r="B1611" s="1537" t="e">
        <f>VLOOKUP(D1611,'[2]DS CN MOI UP'!$B$11:$C$447,2,0)</f>
        <v>#N/A</v>
      </c>
      <c r="C1611" s="1549" t="s">
        <v>1455</v>
      </c>
      <c r="D1611" s="1471" t="s">
        <v>1504</v>
      </c>
      <c r="E1611" s="1468" t="s">
        <v>15</v>
      </c>
      <c r="F1611" s="1468"/>
      <c r="G1611" s="1466"/>
      <c r="H1611" s="1466">
        <v>1239846.615</v>
      </c>
      <c r="I1611" s="1540"/>
      <c r="J1611" s="1466">
        <f t="shared" si="69"/>
        <v>1239846.615</v>
      </c>
      <c r="K1611" s="1466"/>
      <c r="L1611" s="1466"/>
      <c r="M1611" s="1540">
        <f t="shared" si="70"/>
        <v>1239846.615</v>
      </c>
      <c r="N1611" s="166"/>
      <c r="O1611" s="559"/>
    </row>
    <row r="1612" spans="1:15" s="540" customFormat="1" ht="14.25" customHeight="1">
      <c r="A1612" s="1536">
        <v>429</v>
      </c>
      <c r="B1612" s="1537" t="e">
        <f>VLOOKUP(D1612,'[2]DS CN MOI UP'!$B$11:$C$447,2,0)</f>
        <v>#N/A</v>
      </c>
      <c r="C1612" s="1549" t="s">
        <v>1455</v>
      </c>
      <c r="D1612" s="1471" t="s">
        <v>1505</v>
      </c>
      <c r="E1612" s="1468" t="s">
        <v>15</v>
      </c>
      <c r="F1612" s="1468"/>
      <c r="G1612" s="1466"/>
      <c r="H1612" s="1466">
        <v>1149145.3259999999</v>
      </c>
      <c r="I1612" s="1540"/>
      <c r="J1612" s="1466">
        <f t="shared" ref="J1612:J1616" si="71">SUM(G1612:I1612)</f>
        <v>1149145.3259999999</v>
      </c>
      <c r="K1612" s="1466"/>
      <c r="L1612" s="1466"/>
      <c r="M1612" s="1540">
        <f t="shared" ref="M1612:M1616" si="72">J1612-L1612</f>
        <v>1149145.3259999999</v>
      </c>
      <c r="N1612" s="166"/>
      <c r="O1612" s="559"/>
    </row>
    <row r="1613" spans="1:15" s="540" customFormat="1" ht="14.25" customHeight="1">
      <c r="A1613" s="1536">
        <v>430</v>
      </c>
      <c r="B1613" s="1537" t="e">
        <f>VLOOKUP(D1613,'[2]DS CN MOI UP'!$B$11:$C$447,2,0)</f>
        <v>#N/A</v>
      </c>
      <c r="C1613" s="1549" t="s">
        <v>1455</v>
      </c>
      <c r="D1613" s="1471" t="s">
        <v>1506</v>
      </c>
      <c r="E1613" s="1468" t="s">
        <v>15</v>
      </c>
      <c r="F1613" s="1468"/>
      <c r="G1613" s="1466"/>
      <c r="H1613" s="1466">
        <v>1159179.5249999999</v>
      </c>
      <c r="I1613" s="1540"/>
      <c r="J1613" s="1466">
        <f t="shared" si="71"/>
        <v>1159179.5249999999</v>
      </c>
      <c r="K1613" s="1466"/>
      <c r="L1613" s="1466"/>
      <c r="M1613" s="1540">
        <f t="shared" si="72"/>
        <v>1159179.5249999999</v>
      </c>
      <c r="N1613" s="166"/>
      <c r="O1613" s="559"/>
    </row>
    <row r="1614" spans="1:15" s="540" customFormat="1" ht="14.25" customHeight="1">
      <c r="A1614" s="1536">
        <v>431</v>
      </c>
      <c r="B1614" s="1537" t="e">
        <f>VLOOKUP(D1614,'[2]DS CN MOI UP'!$B$11:$C$447,2,0)</f>
        <v>#N/A</v>
      </c>
      <c r="C1614" s="1549" t="s">
        <v>1455</v>
      </c>
      <c r="D1614" s="1471" t="s">
        <v>1507</v>
      </c>
      <c r="E1614" s="1468" t="s">
        <v>15</v>
      </c>
      <c r="F1614" s="1468"/>
      <c r="G1614" s="1466"/>
      <c r="H1614" s="1466">
        <v>1239846.615</v>
      </c>
      <c r="I1614" s="1540"/>
      <c r="J1614" s="1466">
        <f t="shared" si="71"/>
        <v>1239846.615</v>
      </c>
      <c r="K1614" s="1466"/>
      <c r="L1614" s="1466"/>
      <c r="M1614" s="1540">
        <f t="shared" si="72"/>
        <v>1239846.615</v>
      </c>
      <c r="N1614" s="166"/>
      <c r="O1614" s="559"/>
    </row>
    <row r="1615" spans="1:15" s="540" customFormat="1" ht="14.25" customHeight="1">
      <c r="A1615" s="1536">
        <v>432</v>
      </c>
      <c r="B1615" s="1537" t="e">
        <f>VLOOKUP(D1615,'[2]DS CN MOI UP'!$B$11:$C$447,2,0)</f>
        <v>#N/A</v>
      </c>
      <c r="C1615" s="1549" t="s">
        <v>1455</v>
      </c>
      <c r="D1615" s="1471" t="s">
        <v>1508</v>
      </c>
      <c r="E1615" s="1468" t="s">
        <v>15</v>
      </c>
      <c r="F1615" s="1468"/>
      <c r="G1615" s="1466"/>
      <c r="H1615" s="1466">
        <v>1159179.5249999999</v>
      </c>
      <c r="I1615" s="1540"/>
      <c r="J1615" s="1466">
        <f t="shared" si="71"/>
        <v>1159179.5249999999</v>
      </c>
      <c r="K1615" s="1466"/>
      <c r="L1615" s="1466"/>
      <c r="M1615" s="1540">
        <f t="shared" si="72"/>
        <v>1159179.5249999999</v>
      </c>
      <c r="N1615" s="166"/>
      <c r="O1615" s="559"/>
    </row>
    <row r="1616" spans="1:15" s="540" customFormat="1" ht="14.25" customHeight="1">
      <c r="A1616" s="1536">
        <v>433</v>
      </c>
      <c r="B1616" s="1537" t="e">
        <f>VLOOKUP(D1616,'[2]DS CN MOI UP'!$B$11:$C$447,2,0)</f>
        <v>#N/A</v>
      </c>
      <c r="C1616" s="1549" t="s">
        <v>1455</v>
      </c>
      <c r="D1616" s="1471" t="s">
        <v>1509</v>
      </c>
      <c r="E1616" s="1468" t="s">
        <v>15</v>
      </c>
      <c r="F1616" s="1468"/>
      <c r="G1616" s="1466"/>
      <c r="H1616" s="1466">
        <v>1149145.3259999999</v>
      </c>
      <c r="I1616" s="1540"/>
      <c r="J1616" s="1466">
        <f t="shared" si="71"/>
        <v>1149145.3259999999</v>
      </c>
      <c r="K1616" s="1466"/>
      <c r="L1616" s="1466"/>
      <c r="M1616" s="1540">
        <f t="shared" si="72"/>
        <v>1149145.3259999999</v>
      </c>
      <c r="N1616" s="166"/>
      <c r="O1616" s="559"/>
    </row>
    <row r="1617" spans="1:15" s="540" customFormat="1" ht="14.25" customHeight="1">
      <c r="A1617" s="1536">
        <v>434</v>
      </c>
      <c r="B1617" s="1537" t="e">
        <f>VLOOKUP(D1617,'[2]DS CN MOI UP'!$B$11:$C$447,2,0)</f>
        <v>#N/A</v>
      </c>
      <c r="C1617" s="1549" t="s">
        <v>1455</v>
      </c>
      <c r="D1617" s="1471" t="s">
        <v>1510</v>
      </c>
      <c r="E1617" s="1468" t="s">
        <v>15</v>
      </c>
      <c r="F1617" s="1468"/>
      <c r="G1617" s="1466"/>
      <c r="H1617" s="1466">
        <v>1229038.53819991</v>
      </c>
      <c r="I1617" s="1540"/>
      <c r="J1617" s="1466">
        <f t="shared" si="59"/>
        <v>1229038.53819991</v>
      </c>
      <c r="K1617" s="1466"/>
      <c r="L1617" s="1466"/>
      <c r="M1617" s="1540">
        <f t="shared" si="60"/>
        <v>1229038.53819991</v>
      </c>
      <c r="N1617" s="166"/>
      <c r="O1617" s="559"/>
    </row>
    <row r="1618" spans="1:15" s="540" customFormat="1" ht="14.25" customHeight="1">
      <c r="A1618" s="1536">
        <v>435</v>
      </c>
      <c r="B1618" s="1537" t="e">
        <f>VLOOKUP(D1618,'[2]DS CN MOI UP'!$B$11:$C$447,2,0)</f>
        <v>#N/A</v>
      </c>
      <c r="C1618" s="1549" t="s">
        <v>1455</v>
      </c>
      <c r="D1618" s="1471" t="s">
        <v>1511</v>
      </c>
      <c r="E1618" s="1468" t="s">
        <v>15</v>
      </c>
      <c r="F1618" s="1468"/>
      <c r="G1618" s="1466"/>
      <c r="H1618" s="1466">
        <v>1159179.5249999999</v>
      </c>
      <c r="I1618" s="1540"/>
      <c r="J1618" s="1466">
        <f t="shared" si="59"/>
        <v>1159179.5249999999</v>
      </c>
      <c r="K1618" s="1466"/>
      <c r="L1618" s="1466"/>
      <c r="M1618" s="1540">
        <f t="shared" si="60"/>
        <v>1159179.5249999999</v>
      </c>
      <c r="N1618" s="166"/>
      <c r="O1618" s="559"/>
    </row>
    <row r="1619" spans="1:15" s="540" customFormat="1" ht="14.25" customHeight="1">
      <c r="A1619" s="1536">
        <v>436</v>
      </c>
      <c r="B1619" s="1537" t="e">
        <f>VLOOKUP(D1619,'[2]DS CN MOI UP'!$B$11:$C$447,2,0)</f>
        <v>#N/A</v>
      </c>
      <c r="C1619" s="1549" t="s">
        <v>1455</v>
      </c>
      <c r="D1619" s="1471" t="s">
        <v>1512</v>
      </c>
      <c r="E1619" s="1468" t="s">
        <v>15</v>
      </c>
      <c r="F1619" s="1468"/>
      <c r="G1619" s="1466"/>
      <c r="H1619" s="1466">
        <v>1239846.615</v>
      </c>
      <c r="I1619" s="1540"/>
      <c r="J1619" s="1466">
        <f t="shared" si="59"/>
        <v>1239846.615</v>
      </c>
      <c r="K1619" s="1466"/>
      <c r="L1619" s="1466"/>
      <c r="M1619" s="1540">
        <f t="shared" si="60"/>
        <v>1239846.615</v>
      </c>
      <c r="N1619" s="166"/>
      <c r="O1619" s="559"/>
    </row>
    <row r="1620" spans="1:15" s="540" customFormat="1" ht="14.25" customHeight="1">
      <c r="A1620" s="1536">
        <v>437</v>
      </c>
      <c r="B1620" s="1537" t="e">
        <f>VLOOKUP(D1620,'[2]DS CN MOI UP'!$B$11:$C$447,2,0)</f>
        <v>#N/A</v>
      </c>
      <c r="C1620" s="1549" t="s">
        <v>1455</v>
      </c>
      <c r="D1620" s="1471" t="s">
        <v>1513</v>
      </c>
      <c r="E1620" s="1468" t="s">
        <v>15</v>
      </c>
      <c r="F1620" s="1468"/>
      <c r="G1620" s="1466"/>
      <c r="H1620" s="1466">
        <v>1159179.5249999999</v>
      </c>
      <c r="I1620" s="1540"/>
      <c r="J1620" s="1466">
        <f t="shared" si="59"/>
        <v>1159179.5249999999</v>
      </c>
      <c r="K1620" s="1466"/>
      <c r="L1620" s="1466"/>
      <c r="M1620" s="1540">
        <f t="shared" si="60"/>
        <v>1159179.5249999999</v>
      </c>
      <c r="N1620" s="166"/>
      <c r="O1620" s="559"/>
    </row>
    <row r="1621" spans="1:15" s="540" customFormat="1" ht="14.25" customHeight="1">
      <c r="A1621" s="1536">
        <v>438</v>
      </c>
      <c r="B1621" s="1537" t="e">
        <f>VLOOKUP(D1621,'[2]DS CN MOI UP'!$B$11:$C$447,2,0)</f>
        <v>#N/A</v>
      </c>
      <c r="C1621" s="1549" t="s">
        <v>1455</v>
      </c>
      <c r="D1621" s="1471" t="s">
        <v>1514</v>
      </c>
      <c r="E1621" s="1468" t="s">
        <v>15</v>
      </c>
      <c r="F1621" s="1468"/>
      <c r="G1621" s="1466"/>
      <c r="H1621" s="1466">
        <v>1149145.3259999999</v>
      </c>
      <c r="I1621" s="1540"/>
      <c r="J1621" s="1466">
        <f t="shared" si="59"/>
        <v>1149145.3259999999</v>
      </c>
      <c r="K1621" s="1466"/>
      <c r="L1621" s="1466"/>
      <c r="M1621" s="1540">
        <f t="shared" si="60"/>
        <v>1149145.3259999999</v>
      </c>
      <c r="N1621" s="166"/>
      <c r="O1621" s="559"/>
    </row>
    <row r="1622" spans="1:15" s="540" customFormat="1" ht="14.25" customHeight="1">
      <c r="A1622" s="1536">
        <v>439</v>
      </c>
      <c r="B1622" s="1537" t="e">
        <f>VLOOKUP(D1622,'[2]DS CN MOI UP'!$B$11:$C$447,2,0)</f>
        <v>#N/A</v>
      </c>
      <c r="C1622" s="1549" t="s">
        <v>1455</v>
      </c>
      <c r="D1622" s="1471" t="s">
        <v>1515</v>
      </c>
      <c r="E1622" s="1468" t="s">
        <v>15</v>
      </c>
      <c r="F1622" s="1468"/>
      <c r="G1622" s="1466"/>
      <c r="H1622" s="1466">
        <v>1229038.53819991</v>
      </c>
      <c r="I1622" s="1540"/>
      <c r="J1622" s="1466">
        <f t="shared" si="59"/>
        <v>1229038.53819991</v>
      </c>
      <c r="K1622" s="1466"/>
      <c r="L1622" s="1466"/>
      <c r="M1622" s="1540">
        <f t="shared" si="60"/>
        <v>1229038.53819991</v>
      </c>
      <c r="N1622" s="166"/>
      <c r="O1622" s="559"/>
    </row>
    <row r="1623" spans="1:15" s="540" customFormat="1" ht="14.25" customHeight="1">
      <c r="A1623" s="1536">
        <v>440</v>
      </c>
      <c r="B1623" s="1537" t="e">
        <f>VLOOKUP(D1623,'[2]DS CN MOI UP'!$B$11:$C$447,2,0)</f>
        <v>#N/A</v>
      </c>
      <c r="C1623" s="1549" t="s">
        <v>1455</v>
      </c>
      <c r="D1623" s="1471" t="s">
        <v>1516</v>
      </c>
      <c r="E1623" s="1468" t="s">
        <v>15</v>
      </c>
      <c r="F1623" s="1468"/>
      <c r="G1623" s="1466"/>
      <c r="H1623" s="1466">
        <v>1229038.53819991</v>
      </c>
      <c r="I1623" s="1540"/>
      <c r="J1623" s="1466">
        <f t="shared" si="59"/>
        <v>1229038.53819991</v>
      </c>
      <c r="K1623" s="1466"/>
      <c r="L1623" s="1466"/>
      <c r="M1623" s="1540">
        <f t="shared" si="60"/>
        <v>1229038.53819991</v>
      </c>
      <c r="N1623" s="166"/>
      <c r="O1623" s="559"/>
    </row>
    <row r="1624" spans="1:15" s="540" customFormat="1" ht="14.25" customHeight="1">
      <c r="A1624" s="1536">
        <v>441</v>
      </c>
      <c r="B1624" s="1537" t="e">
        <f>VLOOKUP(D1624,'[2]DS CN MOI UP'!$B$11:$C$447,2,0)</f>
        <v>#N/A</v>
      </c>
      <c r="C1624" s="1549" t="s">
        <v>1455</v>
      </c>
      <c r="D1624" s="1471" t="s">
        <v>1517</v>
      </c>
      <c r="E1624" s="1468" t="s">
        <v>15</v>
      </c>
      <c r="F1624" s="1468"/>
      <c r="G1624" s="1466"/>
      <c r="H1624" s="1466">
        <v>1159179.5249999999</v>
      </c>
      <c r="I1624" s="1540"/>
      <c r="J1624" s="1466">
        <f t="shared" si="59"/>
        <v>1159179.5249999999</v>
      </c>
      <c r="K1624" s="1466"/>
      <c r="L1624" s="1466"/>
      <c r="M1624" s="1540">
        <f t="shared" si="60"/>
        <v>1159179.5249999999</v>
      </c>
      <c r="N1624" s="166"/>
      <c r="O1624" s="559"/>
    </row>
    <row r="1625" spans="1:15" s="540" customFormat="1" ht="14.25" customHeight="1">
      <c r="A1625" s="1536">
        <v>442</v>
      </c>
      <c r="B1625" s="1537" t="e">
        <f>VLOOKUP(D1625,'[2]DS CN MOI UP'!$B$11:$C$447,2,0)</f>
        <v>#N/A</v>
      </c>
      <c r="C1625" s="1549" t="s">
        <v>1455</v>
      </c>
      <c r="D1625" s="1471" t="s">
        <v>1518</v>
      </c>
      <c r="E1625" s="1468" t="s">
        <v>15</v>
      </c>
      <c r="F1625" s="1468"/>
      <c r="G1625" s="1466"/>
      <c r="H1625" s="1466">
        <v>1239846.615</v>
      </c>
      <c r="I1625" s="1540"/>
      <c r="J1625" s="1466">
        <f t="shared" si="59"/>
        <v>1239846.615</v>
      </c>
      <c r="K1625" s="1466"/>
      <c r="L1625" s="1466"/>
      <c r="M1625" s="1540">
        <f t="shared" si="60"/>
        <v>1239846.615</v>
      </c>
      <c r="N1625" s="166"/>
      <c r="O1625" s="559"/>
    </row>
    <row r="1626" spans="1:15" s="540" customFormat="1" ht="14.25" customHeight="1">
      <c r="A1626" s="1536">
        <v>443</v>
      </c>
      <c r="B1626" s="1537" t="e">
        <f>VLOOKUP(D1626,'[2]DS CN MOI UP'!$B$11:$C$447,2,0)</f>
        <v>#N/A</v>
      </c>
      <c r="C1626" s="1549" t="s">
        <v>1455</v>
      </c>
      <c r="D1626" s="1471" t="s">
        <v>1519</v>
      </c>
      <c r="E1626" s="1468" t="s">
        <v>15</v>
      </c>
      <c r="F1626" s="1468"/>
      <c r="G1626" s="1466"/>
      <c r="H1626" s="1466">
        <v>1149145.3259999999</v>
      </c>
      <c r="I1626" s="1540"/>
      <c r="J1626" s="1466">
        <f t="shared" si="59"/>
        <v>1149145.3259999999</v>
      </c>
      <c r="K1626" s="1466"/>
      <c r="L1626" s="1466"/>
      <c r="M1626" s="1540">
        <f t="shared" si="60"/>
        <v>1149145.3259999999</v>
      </c>
      <c r="N1626" s="166"/>
      <c r="O1626" s="559"/>
    </row>
    <row r="1627" spans="1:15" s="540" customFormat="1" ht="14.25" customHeight="1">
      <c r="A1627" s="1536">
        <v>444</v>
      </c>
      <c r="B1627" s="1537" t="e">
        <f>VLOOKUP(D1627,'[2]DS CN MOI UP'!$B$11:$C$447,2,0)</f>
        <v>#N/A</v>
      </c>
      <c r="C1627" s="1549" t="s">
        <v>1455</v>
      </c>
      <c r="D1627" s="1471" t="s">
        <v>1520</v>
      </c>
      <c r="E1627" s="1468" t="s">
        <v>15</v>
      </c>
      <c r="F1627" s="1468"/>
      <c r="G1627" s="1466"/>
      <c r="H1627" s="1466">
        <v>1159179.5249999999</v>
      </c>
      <c r="I1627" s="1540"/>
      <c r="J1627" s="1466">
        <f t="shared" si="59"/>
        <v>1159179.5249999999</v>
      </c>
      <c r="K1627" s="1466"/>
      <c r="L1627" s="1466"/>
      <c r="M1627" s="1540">
        <f t="shared" si="60"/>
        <v>1159179.5249999999</v>
      </c>
      <c r="N1627" s="166"/>
      <c r="O1627" s="559"/>
    </row>
    <row r="1628" spans="1:15" s="540" customFormat="1" ht="14.25" customHeight="1">
      <c r="A1628" s="1536">
        <v>445</v>
      </c>
      <c r="B1628" s="1537" t="e">
        <f>VLOOKUP(D1628,'[2]DS CN MOI UP'!$B$11:$C$447,2,0)</f>
        <v>#N/A</v>
      </c>
      <c r="C1628" s="1549" t="s">
        <v>1455</v>
      </c>
      <c r="D1628" s="1471" t="s">
        <v>1521</v>
      </c>
      <c r="E1628" s="1468" t="s">
        <v>15</v>
      </c>
      <c r="F1628" s="1468"/>
      <c r="G1628" s="1466"/>
      <c r="H1628" s="1466">
        <v>1239846.615</v>
      </c>
      <c r="I1628" s="1540"/>
      <c r="J1628" s="1466">
        <f t="shared" si="59"/>
        <v>1239846.615</v>
      </c>
      <c r="K1628" s="1466"/>
      <c r="L1628" s="1466"/>
      <c r="M1628" s="1540">
        <f t="shared" si="60"/>
        <v>1239846.615</v>
      </c>
      <c r="N1628" s="166"/>
      <c r="O1628" s="559"/>
    </row>
    <row r="1629" spans="1:15" s="540" customFormat="1" ht="14.25" customHeight="1">
      <c r="A1629" s="1536">
        <v>446</v>
      </c>
      <c r="B1629" s="1537" t="e">
        <f>VLOOKUP(D1629,'[2]DS CN MOI UP'!$B$11:$C$447,2,0)</f>
        <v>#N/A</v>
      </c>
      <c r="C1629" s="1549" t="s">
        <v>1455</v>
      </c>
      <c r="D1629" s="1471" t="s">
        <v>1522</v>
      </c>
      <c r="E1629" s="1468" t="s">
        <v>15</v>
      </c>
      <c r="F1629" s="1468"/>
      <c r="G1629" s="1466"/>
      <c r="H1629" s="1466">
        <v>1159179.5249999999</v>
      </c>
      <c r="I1629" s="1540"/>
      <c r="J1629" s="1466">
        <f t="shared" si="59"/>
        <v>1159179.5249999999</v>
      </c>
      <c r="K1629" s="1466"/>
      <c r="L1629" s="1466"/>
      <c r="M1629" s="1540">
        <f t="shared" si="60"/>
        <v>1159179.5249999999</v>
      </c>
      <c r="N1629" s="166"/>
      <c r="O1629" s="559"/>
    </row>
    <row r="1630" spans="1:15" s="540" customFormat="1" ht="14.25" customHeight="1">
      <c r="A1630" s="1536">
        <v>447</v>
      </c>
      <c r="B1630" s="1537" t="e">
        <f>VLOOKUP(D1630,'[2]DS CN MOI UP'!$B$11:$C$447,2,0)</f>
        <v>#N/A</v>
      </c>
      <c r="C1630" s="1549" t="s">
        <v>1455</v>
      </c>
      <c r="D1630" s="1471" t="s">
        <v>1523</v>
      </c>
      <c r="E1630" s="1468" t="s">
        <v>15</v>
      </c>
      <c r="F1630" s="1468"/>
      <c r="G1630" s="1466"/>
      <c r="H1630" s="1466">
        <v>1149145.3259999999</v>
      </c>
      <c r="I1630" s="1540"/>
      <c r="J1630" s="1466">
        <f t="shared" si="59"/>
        <v>1149145.3259999999</v>
      </c>
      <c r="K1630" s="1466"/>
      <c r="L1630" s="1466"/>
      <c r="M1630" s="1540">
        <f t="shared" si="60"/>
        <v>1149145.3259999999</v>
      </c>
      <c r="N1630" s="166"/>
      <c r="O1630" s="559"/>
    </row>
    <row r="1631" spans="1:15" s="540" customFormat="1" ht="14.25" customHeight="1">
      <c r="A1631" s="1536">
        <v>448</v>
      </c>
      <c r="B1631" s="1537" t="e">
        <f>VLOOKUP(D1631,'[2]DS CN MOI UP'!$B$11:$C$447,2,0)</f>
        <v>#N/A</v>
      </c>
      <c r="C1631" s="1549" t="s">
        <v>1455</v>
      </c>
      <c r="D1631" s="1471" t="s">
        <v>1524</v>
      </c>
      <c r="E1631" s="1468" t="s">
        <v>15</v>
      </c>
      <c r="F1631" s="1468"/>
      <c r="G1631" s="1466"/>
      <c r="H1631" s="1466">
        <v>1229038.53819991</v>
      </c>
      <c r="I1631" s="1540"/>
      <c r="J1631" s="1466">
        <f t="shared" si="59"/>
        <v>1229038.53819991</v>
      </c>
      <c r="K1631" s="1466"/>
      <c r="L1631" s="1466"/>
      <c r="M1631" s="1540">
        <f t="shared" si="60"/>
        <v>1229038.53819991</v>
      </c>
      <c r="N1631" s="166"/>
      <c r="O1631" s="559"/>
    </row>
    <row r="1632" spans="1:15" s="540" customFormat="1" ht="14.25" customHeight="1">
      <c r="A1632" s="1536">
        <v>449</v>
      </c>
      <c r="B1632" s="1537" t="e">
        <f>VLOOKUP(D1632,'[2]DS CN MOI UP'!$B$11:$C$447,2,0)</f>
        <v>#N/A</v>
      </c>
      <c r="C1632" s="1549" t="s">
        <v>1455</v>
      </c>
      <c r="D1632" s="1471" t="s">
        <v>1525</v>
      </c>
      <c r="E1632" s="1468" t="s">
        <v>15</v>
      </c>
      <c r="F1632" s="1468"/>
      <c r="G1632" s="1466"/>
      <c r="H1632" s="1466">
        <v>1159179.5249999999</v>
      </c>
      <c r="I1632" s="1540"/>
      <c r="J1632" s="1466">
        <f t="shared" si="59"/>
        <v>1159179.5249999999</v>
      </c>
      <c r="K1632" s="1466"/>
      <c r="L1632" s="1466"/>
      <c r="M1632" s="1540">
        <f t="shared" si="60"/>
        <v>1159179.5249999999</v>
      </c>
      <c r="N1632" s="166"/>
      <c r="O1632" s="559"/>
    </row>
    <row r="1633" spans="1:15" s="540" customFormat="1" ht="14.25" customHeight="1">
      <c r="A1633" s="1536">
        <v>450</v>
      </c>
      <c r="B1633" s="1537" t="e">
        <f>VLOOKUP(D1633,'[2]DS CN MOI UP'!$B$11:$C$447,2,0)</f>
        <v>#N/A</v>
      </c>
      <c r="C1633" s="1549" t="s">
        <v>1455</v>
      </c>
      <c r="D1633" s="1471" t="s">
        <v>1526</v>
      </c>
      <c r="E1633" s="1468" t="s">
        <v>15</v>
      </c>
      <c r="F1633" s="1468"/>
      <c r="G1633" s="1466"/>
      <c r="H1633" s="1466">
        <v>1239846.615</v>
      </c>
      <c r="I1633" s="1540"/>
      <c r="J1633" s="1466">
        <f t="shared" si="59"/>
        <v>1239846.615</v>
      </c>
      <c r="K1633" s="1466"/>
      <c r="L1633" s="1466"/>
      <c r="M1633" s="1540">
        <f t="shared" si="60"/>
        <v>1239846.615</v>
      </c>
      <c r="N1633" s="166"/>
      <c r="O1633" s="559"/>
    </row>
    <row r="1634" spans="1:15" s="540" customFormat="1" ht="14.25" customHeight="1">
      <c r="A1634" s="1536">
        <v>451</v>
      </c>
      <c r="B1634" s="1537" t="e">
        <f>VLOOKUP(D1634,'[2]DS CN MOI UP'!$B$11:$C$447,2,0)</f>
        <v>#N/A</v>
      </c>
      <c r="C1634" s="1549" t="s">
        <v>1455</v>
      </c>
      <c r="D1634" s="1471" t="s">
        <v>1527</v>
      </c>
      <c r="E1634" s="1468" t="s">
        <v>15</v>
      </c>
      <c r="F1634" s="1468"/>
      <c r="G1634" s="1466"/>
      <c r="H1634" s="1466">
        <v>1159179.5249999999</v>
      </c>
      <c r="I1634" s="1540"/>
      <c r="J1634" s="1466">
        <f t="shared" si="59"/>
        <v>1159179.5249999999</v>
      </c>
      <c r="K1634" s="1466"/>
      <c r="L1634" s="1466"/>
      <c r="M1634" s="1540">
        <f t="shared" si="60"/>
        <v>1159179.5249999999</v>
      </c>
      <c r="N1634" s="166"/>
      <c r="O1634" s="559"/>
    </row>
    <row r="1635" spans="1:15" s="540" customFormat="1" ht="14.25" customHeight="1">
      <c r="A1635" s="1536">
        <v>452</v>
      </c>
      <c r="B1635" s="1537" t="e">
        <f>VLOOKUP(D1635,'[2]DS CN MOI UP'!$B$11:$C$447,2,0)</f>
        <v>#N/A</v>
      </c>
      <c r="C1635" s="1549" t="s">
        <v>1455</v>
      </c>
      <c r="D1635" s="1471" t="s">
        <v>1528</v>
      </c>
      <c r="E1635" s="1468" t="s">
        <v>15</v>
      </c>
      <c r="F1635" s="1468"/>
      <c r="G1635" s="1466">
        <v>200000</v>
      </c>
      <c r="H1635" s="1466">
        <v>948141.191190243</v>
      </c>
      <c r="I1635" s="1540"/>
      <c r="J1635" s="1466">
        <f t="shared" si="59"/>
        <v>1148141.19119024</v>
      </c>
      <c r="K1635" s="1466"/>
      <c r="L1635" s="1466"/>
      <c r="M1635" s="1540">
        <f t="shared" si="60"/>
        <v>1148141.19119024</v>
      </c>
      <c r="N1635" s="166"/>
      <c r="O1635" s="559"/>
    </row>
    <row r="1636" spans="1:15" s="540" customFormat="1" ht="14.25" customHeight="1">
      <c r="A1636" s="1536">
        <v>453</v>
      </c>
      <c r="B1636" s="1537" t="e">
        <f>VLOOKUP(D1636,'[2]DS CN MOI UP'!$B$11:$C$447,2,0)</f>
        <v>#N/A</v>
      </c>
      <c r="C1636" s="1549" t="s">
        <v>1455</v>
      </c>
      <c r="D1636" s="1471" t="s">
        <v>1529</v>
      </c>
      <c r="E1636" s="1468" t="s">
        <v>15</v>
      </c>
      <c r="F1636" s="1468"/>
      <c r="G1636" s="1466">
        <v>1229038.53819991</v>
      </c>
      <c r="H1636" s="1466"/>
      <c r="I1636" s="1540"/>
      <c r="J1636" s="1466">
        <f t="shared" si="59"/>
        <v>1229038.53819991</v>
      </c>
      <c r="K1636" s="1466"/>
      <c r="L1636" s="1466"/>
      <c r="M1636" s="1540">
        <f t="shared" si="60"/>
        <v>1229038.53819991</v>
      </c>
      <c r="N1636" s="166"/>
      <c r="O1636" s="559"/>
    </row>
    <row r="1637" spans="1:15" s="540" customFormat="1" ht="14.25" customHeight="1">
      <c r="A1637" s="1536">
        <v>454</v>
      </c>
      <c r="B1637" s="1537" t="e">
        <f>VLOOKUP(D1637,'[2]DS CN MOI UP'!$B$11:$C$447,2,0)</f>
        <v>#N/A</v>
      </c>
      <c r="C1637" s="1549" t="s">
        <v>1455</v>
      </c>
      <c r="D1637" s="1471" t="s">
        <v>1530</v>
      </c>
      <c r="E1637" s="1468" t="s">
        <v>15</v>
      </c>
      <c r="F1637" s="1468"/>
      <c r="G1637" s="1466">
        <v>1229038.53819991</v>
      </c>
      <c r="H1637" s="1466"/>
      <c r="I1637" s="1540"/>
      <c r="J1637" s="1466">
        <f t="shared" si="59"/>
        <v>1229038.53819991</v>
      </c>
      <c r="K1637" s="1466"/>
      <c r="L1637" s="1466"/>
      <c r="M1637" s="1540">
        <f t="shared" si="60"/>
        <v>1229038.53819991</v>
      </c>
      <c r="N1637" s="166"/>
      <c r="O1637" s="559"/>
    </row>
    <row r="1638" spans="1:15" s="540" customFormat="1" ht="14.25" customHeight="1">
      <c r="A1638" s="1536">
        <v>455</v>
      </c>
      <c r="B1638" s="1537" t="e">
        <f>VLOOKUP(D1638,'[2]DS CN MOI UP'!$B$11:$C$447,2,0)</f>
        <v>#N/A</v>
      </c>
      <c r="C1638" s="1549" t="s">
        <v>1455</v>
      </c>
      <c r="D1638" s="1471" t="s">
        <v>1531</v>
      </c>
      <c r="E1638" s="1468" t="s">
        <v>15</v>
      </c>
      <c r="F1638" s="1468"/>
      <c r="G1638" s="1466">
        <v>1159179.5249999999</v>
      </c>
      <c r="H1638" s="1466"/>
      <c r="I1638" s="1540"/>
      <c r="J1638" s="1466">
        <f t="shared" si="59"/>
        <v>1159179.5249999999</v>
      </c>
      <c r="K1638" s="1466"/>
      <c r="L1638" s="1466"/>
      <c r="M1638" s="1540">
        <f t="shared" si="60"/>
        <v>1159179.5249999999</v>
      </c>
      <c r="N1638" s="166"/>
      <c r="O1638" s="559"/>
    </row>
    <row r="1639" spans="1:15" s="540" customFormat="1" ht="14.25" customHeight="1">
      <c r="A1639" s="1536">
        <v>456</v>
      </c>
      <c r="B1639" s="1537" t="e">
        <f>VLOOKUP(D1639,'[2]DS CN MOI UP'!$B$11:$C$447,2,0)</f>
        <v>#N/A</v>
      </c>
      <c r="C1639" s="1549" t="s">
        <v>1455</v>
      </c>
      <c r="D1639" s="1471" t="s">
        <v>1532</v>
      </c>
      <c r="E1639" s="1468" t="s">
        <v>15</v>
      </c>
      <c r="F1639" s="1468"/>
      <c r="G1639" s="1466">
        <v>1239846.615</v>
      </c>
      <c r="H1639" s="1466"/>
      <c r="I1639" s="1540"/>
      <c r="J1639" s="1466">
        <f t="shared" si="59"/>
        <v>1239846.615</v>
      </c>
      <c r="K1639" s="1466"/>
      <c r="L1639" s="1466"/>
      <c r="M1639" s="1540">
        <f t="shared" si="60"/>
        <v>1239846.615</v>
      </c>
      <c r="N1639" s="166"/>
      <c r="O1639" s="559"/>
    </row>
    <row r="1640" spans="1:15" s="540" customFormat="1" ht="14.25" customHeight="1">
      <c r="A1640" s="1536">
        <v>457</v>
      </c>
      <c r="B1640" s="1537" t="e">
        <f>VLOOKUP(D1640,'[2]DS CN MOI UP'!$B$11:$C$447,2,0)</f>
        <v>#N/A</v>
      </c>
      <c r="C1640" s="1549" t="s">
        <v>1455</v>
      </c>
      <c r="D1640" s="1471" t="s">
        <v>1533</v>
      </c>
      <c r="E1640" s="1468" t="s">
        <v>15</v>
      </c>
      <c r="F1640" s="1468"/>
      <c r="G1640" s="1466">
        <v>1149145.3259999999</v>
      </c>
      <c r="H1640" s="1466"/>
      <c r="I1640" s="1540"/>
      <c r="J1640" s="1466">
        <f t="shared" si="59"/>
        <v>1149145.3259999999</v>
      </c>
      <c r="K1640" s="1466"/>
      <c r="L1640" s="1466"/>
      <c r="M1640" s="1540">
        <f t="shared" si="60"/>
        <v>1149145.3259999999</v>
      </c>
      <c r="N1640" s="166"/>
      <c r="O1640" s="559"/>
    </row>
    <row r="1641" spans="1:15" s="540" customFormat="1" ht="14.25" customHeight="1">
      <c r="A1641" s="1536">
        <v>458</v>
      </c>
      <c r="B1641" s="1537" t="e">
        <f>VLOOKUP(D1641,'[2]DS CN MOI UP'!$B$11:$C$447,2,0)</f>
        <v>#N/A</v>
      </c>
      <c r="C1641" s="1549" t="s">
        <v>1455</v>
      </c>
      <c r="D1641" s="1471" t="s">
        <v>1534</v>
      </c>
      <c r="E1641" s="1468" t="s">
        <v>15</v>
      </c>
      <c r="F1641" s="1468"/>
      <c r="G1641" s="1466">
        <v>1159179.5249999999</v>
      </c>
      <c r="H1641" s="1466"/>
      <c r="I1641" s="1540"/>
      <c r="J1641" s="1466">
        <f t="shared" ref="J1641:J1642" si="73">SUM(G1641:I1641)</f>
        <v>1159179.5249999999</v>
      </c>
      <c r="K1641" s="1466"/>
      <c r="L1641" s="1466"/>
      <c r="M1641" s="1540">
        <f t="shared" ref="M1641:M1642" si="74">J1641-L1641</f>
        <v>1159179.5249999999</v>
      </c>
      <c r="N1641" s="166"/>
      <c r="O1641" s="559"/>
    </row>
    <row r="1642" spans="1:15" s="540" customFormat="1" ht="14.25" customHeight="1">
      <c r="A1642" s="1536">
        <v>459</v>
      </c>
      <c r="B1642" s="1537" t="e">
        <f>VLOOKUP(D1642,'[2]DS CN MOI UP'!$B$11:$C$447,2,0)</f>
        <v>#N/A</v>
      </c>
      <c r="C1642" s="1549" t="s">
        <v>1455</v>
      </c>
      <c r="D1642" s="1471" t="s">
        <v>1535</v>
      </c>
      <c r="E1642" s="1468" t="s">
        <v>15</v>
      </c>
      <c r="F1642" s="1468"/>
      <c r="G1642" s="1466">
        <v>1239846.615</v>
      </c>
      <c r="H1642" s="1466"/>
      <c r="I1642" s="1540"/>
      <c r="J1642" s="1466">
        <f t="shared" si="73"/>
        <v>1239846.615</v>
      </c>
      <c r="K1642" s="1466"/>
      <c r="L1642" s="1466"/>
      <c r="M1642" s="1540">
        <f t="shared" si="74"/>
        <v>1239846.615</v>
      </c>
      <c r="N1642" s="166"/>
      <c r="O1642" s="559"/>
    </row>
    <row r="1643" spans="1:15" s="540" customFormat="1" ht="14.25" customHeight="1">
      <c r="A1643" s="1536">
        <v>460</v>
      </c>
      <c r="B1643" s="1537" t="e">
        <f>VLOOKUP(D1643,'[2]DS CN MOI UP'!$B$11:$C$447,2,0)</f>
        <v>#N/A</v>
      </c>
      <c r="C1643" s="1549" t="s">
        <v>1455</v>
      </c>
      <c r="D1643" s="1471" t="s">
        <v>1536</v>
      </c>
      <c r="E1643" s="1468" t="s">
        <v>15</v>
      </c>
      <c r="F1643" s="1468"/>
      <c r="G1643" s="1466">
        <v>1229038.53819991</v>
      </c>
      <c r="H1643" s="1466"/>
      <c r="I1643" s="1540"/>
      <c r="J1643" s="1466">
        <f t="shared" ref="J1643:J1693" si="75">SUM(G1643:I1643)</f>
        <v>1229038.53819991</v>
      </c>
      <c r="K1643" s="1466"/>
      <c r="L1643" s="1466"/>
      <c r="M1643" s="1540">
        <f t="shared" ref="M1643:M1693" si="76">J1643-L1643</f>
        <v>1229038.53819991</v>
      </c>
      <c r="N1643" s="166"/>
      <c r="O1643" s="559"/>
    </row>
    <row r="1644" spans="1:15" s="540" customFormat="1" ht="14.25" customHeight="1">
      <c r="A1644" s="1536">
        <v>461</v>
      </c>
      <c r="B1644" s="1537"/>
      <c r="C1644" s="1549"/>
      <c r="D1644" s="1471" t="s">
        <v>1175</v>
      </c>
      <c r="E1644" s="1468" t="s">
        <v>15</v>
      </c>
      <c r="F1644" s="1468"/>
      <c r="G1644" s="1466">
        <v>1159179.5249999999</v>
      </c>
      <c r="H1644" s="1466"/>
      <c r="I1644" s="1540"/>
      <c r="J1644" s="1466">
        <f t="shared" si="75"/>
        <v>1159179.5249999999</v>
      </c>
      <c r="K1644" s="1466"/>
      <c r="L1644" s="1466"/>
      <c r="M1644" s="1540">
        <f t="shared" si="76"/>
        <v>1159179.5249999999</v>
      </c>
      <c r="N1644" s="166"/>
      <c r="O1644" s="559"/>
    </row>
    <row r="1645" spans="1:15" s="540" customFormat="1" ht="14.25" customHeight="1">
      <c r="A1645" s="1536">
        <v>462</v>
      </c>
      <c r="B1645" s="1537"/>
      <c r="C1645" s="1549"/>
      <c r="D1645" s="1471" t="s">
        <v>1176</v>
      </c>
      <c r="E1645" s="1468" t="s">
        <v>15</v>
      </c>
      <c r="F1645" s="1468"/>
      <c r="G1645" s="1466">
        <v>1239846.615</v>
      </c>
      <c r="H1645" s="1466"/>
      <c r="I1645" s="1540"/>
      <c r="J1645" s="1466">
        <f t="shared" si="75"/>
        <v>1239846.615</v>
      </c>
      <c r="K1645" s="1466"/>
      <c r="L1645" s="1466"/>
      <c r="M1645" s="1540">
        <f t="shared" si="76"/>
        <v>1239846.615</v>
      </c>
      <c r="N1645" s="166"/>
      <c r="O1645" s="559"/>
    </row>
    <row r="1646" spans="1:15" s="540" customFormat="1" ht="14.25" customHeight="1">
      <c r="A1646" s="1536">
        <v>463</v>
      </c>
      <c r="B1646" s="1537"/>
      <c r="C1646" s="1549"/>
      <c r="D1646" s="1471" t="s">
        <v>1202</v>
      </c>
      <c r="E1646" s="1468" t="s">
        <v>15</v>
      </c>
      <c r="F1646" s="1468"/>
      <c r="G1646" s="1466">
        <v>1149145.3259999999</v>
      </c>
      <c r="H1646" s="1466"/>
      <c r="I1646" s="1540"/>
      <c r="J1646" s="1466">
        <f t="shared" si="75"/>
        <v>1149145.3259999999</v>
      </c>
      <c r="K1646" s="1466"/>
      <c r="L1646" s="1466"/>
      <c r="M1646" s="1540">
        <f t="shared" si="76"/>
        <v>1149145.3259999999</v>
      </c>
      <c r="N1646" s="166"/>
      <c r="O1646" s="559"/>
    </row>
    <row r="1647" spans="1:15" s="540" customFormat="1" ht="14.25" customHeight="1">
      <c r="A1647" s="1536">
        <v>464</v>
      </c>
      <c r="B1647" s="1537"/>
      <c r="C1647" s="1549"/>
      <c r="D1647" s="1471" t="s">
        <v>185</v>
      </c>
      <c r="E1647" s="1468" t="s">
        <v>15</v>
      </c>
      <c r="F1647" s="1468"/>
      <c r="G1647" s="1466">
        <v>1159179.5249999999</v>
      </c>
      <c r="H1647" s="1466"/>
      <c r="I1647" s="1540"/>
      <c r="J1647" s="1466">
        <f t="shared" si="75"/>
        <v>1159179.5249999999</v>
      </c>
      <c r="K1647" s="1466"/>
      <c r="L1647" s="1466"/>
      <c r="M1647" s="1540">
        <f t="shared" si="76"/>
        <v>1159179.5249999999</v>
      </c>
      <c r="N1647" s="166"/>
      <c r="O1647" s="559"/>
    </row>
    <row r="1648" spans="1:15" s="540" customFormat="1" ht="14.25" customHeight="1">
      <c r="A1648" s="1536">
        <v>465</v>
      </c>
      <c r="B1648" s="1537"/>
      <c r="C1648" s="1549"/>
      <c r="D1648" s="1471" t="s">
        <v>1177</v>
      </c>
      <c r="E1648" s="1468" t="s">
        <v>15</v>
      </c>
      <c r="F1648" s="1468"/>
      <c r="G1648" s="1466">
        <v>1239846.615</v>
      </c>
      <c r="H1648" s="1466"/>
      <c r="I1648" s="1540"/>
      <c r="J1648" s="1466">
        <f t="shared" si="75"/>
        <v>1239846.615</v>
      </c>
      <c r="K1648" s="1466"/>
      <c r="L1648" s="1466"/>
      <c r="M1648" s="1540">
        <f t="shared" si="76"/>
        <v>1239846.615</v>
      </c>
      <c r="N1648" s="166"/>
      <c r="O1648" s="559"/>
    </row>
    <row r="1649" spans="1:15" s="540" customFormat="1" ht="14.25" customHeight="1">
      <c r="A1649" s="1536">
        <v>466</v>
      </c>
      <c r="B1649" s="1537"/>
      <c r="C1649" s="1549"/>
      <c r="D1649" s="1471" t="s">
        <v>1501</v>
      </c>
      <c r="E1649" s="1468" t="s">
        <v>15</v>
      </c>
      <c r="F1649" s="1468"/>
      <c r="G1649" s="1466">
        <v>1159179.5249999999</v>
      </c>
      <c r="H1649" s="1466"/>
      <c r="I1649" s="1540"/>
      <c r="J1649" s="1466">
        <f t="shared" si="75"/>
        <v>1159179.5249999999</v>
      </c>
      <c r="K1649" s="1466"/>
      <c r="L1649" s="1466"/>
      <c r="M1649" s="1540">
        <f t="shared" si="76"/>
        <v>1159179.5249999999</v>
      </c>
      <c r="N1649" s="166"/>
      <c r="O1649" s="559"/>
    </row>
    <row r="1650" spans="1:15" s="540" customFormat="1" ht="14.25" customHeight="1">
      <c r="A1650" s="1536">
        <v>467</v>
      </c>
      <c r="B1650" s="1537"/>
      <c r="C1650" s="1549"/>
      <c r="D1650" s="1471" t="s">
        <v>1502</v>
      </c>
      <c r="E1650" s="1468" t="s">
        <v>15</v>
      </c>
      <c r="F1650" s="1468"/>
      <c r="G1650" s="1466">
        <v>1149145.3259999999</v>
      </c>
      <c r="H1650" s="1466"/>
      <c r="I1650" s="1540"/>
      <c r="J1650" s="1466">
        <f t="shared" si="75"/>
        <v>1149145.3259999999</v>
      </c>
      <c r="K1650" s="1466"/>
      <c r="L1650" s="1466"/>
      <c r="M1650" s="1540">
        <f t="shared" si="76"/>
        <v>1149145.3259999999</v>
      </c>
      <c r="N1650" s="166"/>
      <c r="O1650" s="559"/>
    </row>
    <row r="1651" spans="1:15" s="540" customFormat="1" ht="14.25" customHeight="1">
      <c r="A1651" s="1536">
        <v>468</v>
      </c>
      <c r="B1651" s="1537"/>
      <c r="C1651" s="1549"/>
      <c r="D1651" s="1471" t="s">
        <v>1503</v>
      </c>
      <c r="E1651" s="1468" t="s">
        <v>15</v>
      </c>
      <c r="F1651" s="1468"/>
      <c r="G1651" s="1466">
        <v>1229038.53819991</v>
      </c>
      <c r="H1651" s="1466"/>
      <c r="I1651" s="1540"/>
      <c r="J1651" s="1466">
        <f t="shared" si="75"/>
        <v>1229038.53819991</v>
      </c>
      <c r="K1651" s="1466"/>
      <c r="L1651" s="1466"/>
      <c r="M1651" s="1540">
        <f t="shared" si="76"/>
        <v>1229038.53819991</v>
      </c>
      <c r="N1651" s="166"/>
      <c r="O1651" s="559"/>
    </row>
    <row r="1652" spans="1:15" s="540" customFormat="1" ht="14.25" customHeight="1">
      <c r="A1652" s="1536">
        <v>469</v>
      </c>
      <c r="B1652" s="1537"/>
      <c r="C1652" s="1549"/>
      <c r="D1652" s="1471" t="s">
        <v>1504</v>
      </c>
      <c r="E1652" s="1468" t="s">
        <v>15</v>
      </c>
      <c r="F1652" s="1468"/>
      <c r="G1652" s="1466">
        <v>1229038.53819991</v>
      </c>
      <c r="H1652" s="1466"/>
      <c r="I1652" s="1540"/>
      <c r="J1652" s="1466">
        <f t="shared" si="75"/>
        <v>1229038.53819991</v>
      </c>
      <c r="K1652" s="1466"/>
      <c r="L1652" s="1466"/>
      <c r="M1652" s="1540">
        <f t="shared" si="76"/>
        <v>1229038.53819991</v>
      </c>
      <c r="N1652" s="166"/>
      <c r="O1652" s="559"/>
    </row>
    <row r="1653" spans="1:15" s="540" customFormat="1" ht="14.25" customHeight="1">
      <c r="A1653" s="1536">
        <v>470</v>
      </c>
      <c r="B1653" s="1537"/>
      <c r="C1653" s="1549"/>
      <c r="D1653" s="1471" t="s">
        <v>1505</v>
      </c>
      <c r="E1653" s="1468" t="s">
        <v>15</v>
      </c>
      <c r="F1653" s="1468"/>
      <c r="G1653" s="1466">
        <v>1159179.5249999999</v>
      </c>
      <c r="H1653" s="1466"/>
      <c r="I1653" s="1540"/>
      <c r="J1653" s="1466">
        <f t="shared" si="75"/>
        <v>1159179.5249999999</v>
      </c>
      <c r="K1653" s="1466"/>
      <c r="L1653" s="1466"/>
      <c r="M1653" s="1540">
        <f t="shared" si="76"/>
        <v>1159179.5249999999</v>
      </c>
      <c r="N1653" s="166"/>
      <c r="O1653" s="559"/>
    </row>
    <row r="1654" spans="1:15" s="540" customFormat="1" ht="14.25" customHeight="1">
      <c r="A1654" s="1536">
        <v>471</v>
      </c>
      <c r="B1654" s="1537"/>
      <c r="C1654" s="1549"/>
      <c r="D1654" s="1471" t="s">
        <v>1506</v>
      </c>
      <c r="E1654" s="1468" t="s">
        <v>15</v>
      </c>
      <c r="F1654" s="1468"/>
      <c r="G1654" s="1466">
        <v>1239846.615</v>
      </c>
      <c r="H1654" s="1466"/>
      <c r="I1654" s="1540"/>
      <c r="J1654" s="1466">
        <f t="shared" si="75"/>
        <v>1239846.615</v>
      </c>
      <c r="K1654" s="1466"/>
      <c r="L1654" s="1466"/>
      <c r="M1654" s="1540">
        <f t="shared" si="76"/>
        <v>1239846.615</v>
      </c>
      <c r="N1654" s="166"/>
      <c r="O1654" s="559"/>
    </row>
    <row r="1655" spans="1:15" s="540" customFormat="1" ht="14.25" customHeight="1">
      <c r="A1655" s="1536">
        <v>472</v>
      </c>
      <c r="B1655" s="1537"/>
      <c r="C1655" s="1549"/>
      <c r="D1655" s="1471" t="s">
        <v>1507</v>
      </c>
      <c r="E1655" s="1468" t="s">
        <v>15</v>
      </c>
      <c r="F1655" s="1468"/>
      <c r="G1655" s="1466">
        <v>1149145.3259999999</v>
      </c>
      <c r="H1655" s="1466"/>
      <c r="I1655" s="1540"/>
      <c r="J1655" s="1466">
        <f t="shared" si="75"/>
        <v>1149145.3259999999</v>
      </c>
      <c r="K1655" s="1466"/>
      <c r="L1655" s="1466"/>
      <c r="M1655" s="1540">
        <f t="shared" si="76"/>
        <v>1149145.3259999999</v>
      </c>
      <c r="N1655" s="166"/>
      <c r="O1655" s="559"/>
    </row>
    <row r="1656" spans="1:15" s="540" customFormat="1" ht="14.25" customHeight="1">
      <c r="A1656" s="1536">
        <v>473</v>
      </c>
      <c r="B1656" s="1537"/>
      <c r="C1656" s="1549"/>
      <c r="D1656" s="1471" t="s">
        <v>1508</v>
      </c>
      <c r="E1656" s="1468" t="s">
        <v>15</v>
      </c>
      <c r="F1656" s="1468"/>
      <c r="G1656" s="1466">
        <v>1159179.5249999999</v>
      </c>
      <c r="H1656" s="1466"/>
      <c r="I1656" s="1540"/>
      <c r="J1656" s="1466">
        <f t="shared" si="75"/>
        <v>1159179.5249999999</v>
      </c>
      <c r="K1656" s="1466"/>
      <c r="L1656" s="1466"/>
      <c r="M1656" s="1540">
        <f t="shared" si="76"/>
        <v>1159179.5249999999</v>
      </c>
      <c r="N1656" s="166"/>
      <c r="O1656" s="559"/>
    </row>
    <row r="1657" spans="1:15" s="540" customFormat="1" ht="14.25" customHeight="1">
      <c r="A1657" s="1536">
        <v>474</v>
      </c>
      <c r="B1657" s="1537"/>
      <c r="C1657" s="1549"/>
      <c r="D1657" s="1471" t="s">
        <v>1509</v>
      </c>
      <c r="E1657" s="1468" t="s">
        <v>15</v>
      </c>
      <c r="F1657" s="1468"/>
      <c r="G1657" s="1466">
        <v>1239846.615</v>
      </c>
      <c r="H1657" s="1466"/>
      <c r="I1657" s="1540"/>
      <c r="J1657" s="1466">
        <f t="shared" si="75"/>
        <v>1239846.615</v>
      </c>
      <c r="K1657" s="1466"/>
      <c r="L1657" s="1466"/>
      <c r="M1657" s="1540">
        <f t="shared" si="76"/>
        <v>1239846.615</v>
      </c>
      <c r="N1657" s="166"/>
      <c r="O1657" s="559"/>
    </row>
    <row r="1658" spans="1:15" s="540" customFormat="1" ht="14.25" customHeight="1">
      <c r="A1658" s="1536">
        <v>475</v>
      </c>
      <c r="B1658" s="1537"/>
      <c r="C1658" s="1549"/>
      <c r="D1658" s="1471" t="s">
        <v>1510</v>
      </c>
      <c r="E1658" s="1468" t="s">
        <v>15</v>
      </c>
      <c r="F1658" s="1468"/>
      <c r="G1658" s="1466"/>
      <c r="H1658" s="1466"/>
      <c r="I1658" s="1540">
        <v>1229038.53819991</v>
      </c>
      <c r="J1658" s="1466">
        <f t="shared" si="75"/>
        <v>1229038.53819991</v>
      </c>
      <c r="K1658" s="1466"/>
      <c r="L1658" s="1466"/>
      <c r="M1658" s="1540">
        <f t="shared" si="76"/>
        <v>1229038.53819991</v>
      </c>
      <c r="N1658" s="166"/>
      <c r="O1658" s="559"/>
    </row>
    <row r="1659" spans="1:15" s="540" customFormat="1" ht="14.25" customHeight="1">
      <c r="A1659" s="1536">
        <v>476</v>
      </c>
      <c r="B1659" s="1537"/>
      <c r="C1659" s="1549"/>
      <c r="D1659" s="1471" t="s">
        <v>1511</v>
      </c>
      <c r="E1659" s="1468" t="s">
        <v>15</v>
      </c>
      <c r="F1659" s="1468"/>
      <c r="G1659" s="1466"/>
      <c r="H1659" s="1466"/>
      <c r="I1659" s="1540">
        <v>1159179.5249999999</v>
      </c>
      <c r="J1659" s="1466">
        <f t="shared" si="75"/>
        <v>1159179.5249999999</v>
      </c>
      <c r="K1659" s="1466"/>
      <c r="L1659" s="1466"/>
      <c r="M1659" s="1540">
        <f t="shared" si="76"/>
        <v>1159179.5249999999</v>
      </c>
      <c r="N1659" s="166"/>
      <c r="O1659" s="559"/>
    </row>
    <row r="1660" spans="1:15" s="540" customFormat="1" ht="14.25" customHeight="1">
      <c r="A1660" s="1536">
        <v>477</v>
      </c>
      <c r="B1660" s="1537"/>
      <c r="C1660" s="1549"/>
      <c r="D1660" s="1471" t="s">
        <v>1512</v>
      </c>
      <c r="E1660" s="1468" t="s">
        <v>15</v>
      </c>
      <c r="F1660" s="1468"/>
      <c r="G1660" s="1466"/>
      <c r="H1660" s="1466"/>
      <c r="I1660" s="1540">
        <v>1239846.615</v>
      </c>
      <c r="J1660" s="1466">
        <f t="shared" si="75"/>
        <v>1239846.615</v>
      </c>
      <c r="K1660" s="1466"/>
      <c r="L1660" s="1466"/>
      <c r="M1660" s="1540">
        <f t="shared" si="76"/>
        <v>1239846.615</v>
      </c>
      <c r="N1660" s="166"/>
      <c r="O1660" s="559"/>
    </row>
    <row r="1661" spans="1:15" s="540" customFormat="1" ht="14.25" customHeight="1">
      <c r="A1661" s="1536">
        <v>478</v>
      </c>
      <c r="B1661" s="1537"/>
      <c r="C1661" s="1549"/>
      <c r="D1661" s="1471" t="s">
        <v>1513</v>
      </c>
      <c r="E1661" s="1468" t="s">
        <v>15</v>
      </c>
      <c r="F1661" s="1468"/>
      <c r="G1661" s="1466"/>
      <c r="H1661" s="1466"/>
      <c r="I1661" s="1540">
        <v>1149145.3259999999</v>
      </c>
      <c r="J1661" s="1466">
        <f t="shared" si="75"/>
        <v>1149145.3259999999</v>
      </c>
      <c r="K1661" s="1466"/>
      <c r="L1661" s="1466"/>
      <c r="M1661" s="1540">
        <f t="shared" si="76"/>
        <v>1149145.3259999999</v>
      </c>
      <c r="N1661" s="166"/>
      <c r="O1661" s="559"/>
    </row>
    <row r="1662" spans="1:15" s="540" customFormat="1" ht="14.25" customHeight="1">
      <c r="A1662" s="1536">
        <v>479</v>
      </c>
      <c r="B1662" s="1537"/>
      <c r="C1662" s="1549"/>
      <c r="D1662" s="1471" t="s">
        <v>1514</v>
      </c>
      <c r="E1662" s="1468" t="s">
        <v>15</v>
      </c>
      <c r="F1662" s="1468"/>
      <c r="G1662" s="1466"/>
      <c r="H1662" s="1466"/>
      <c r="I1662" s="1540">
        <v>1159179.5249999999</v>
      </c>
      <c r="J1662" s="1466">
        <f t="shared" si="75"/>
        <v>1159179.5249999999</v>
      </c>
      <c r="K1662" s="1466"/>
      <c r="L1662" s="1466"/>
      <c r="M1662" s="1540">
        <f t="shared" si="76"/>
        <v>1159179.5249999999</v>
      </c>
      <c r="N1662" s="166"/>
      <c r="O1662" s="559"/>
    </row>
    <row r="1663" spans="1:15" s="540" customFormat="1" ht="14.25" customHeight="1">
      <c r="A1663" s="1536">
        <v>480</v>
      </c>
      <c r="B1663" s="1537"/>
      <c r="C1663" s="1549"/>
      <c r="D1663" s="1471" t="s">
        <v>1515</v>
      </c>
      <c r="E1663" s="1468" t="s">
        <v>15</v>
      </c>
      <c r="F1663" s="1468"/>
      <c r="G1663" s="1466"/>
      <c r="H1663" s="1466"/>
      <c r="I1663" s="1540">
        <v>1239846.615</v>
      </c>
      <c r="J1663" s="1466">
        <f t="shared" si="75"/>
        <v>1239846.615</v>
      </c>
      <c r="K1663" s="1466"/>
      <c r="L1663" s="1466"/>
      <c r="M1663" s="1540">
        <f t="shared" si="76"/>
        <v>1239846.615</v>
      </c>
      <c r="N1663" s="166"/>
      <c r="O1663" s="559"/>
    </row>
    <row r="1664" spans="1:15" s="540" customFormat="1" ht="14.25" customHeight="1">
      <c r="A1664" s="1536">
        <v>481</v>
      </c>
      <c r="B1664" s="1537"/>
      <c r="C1664" s="1549"/>
      <c r="D1664" s="1471" t="s">
        <v>1516</v>
      </c>
      <c r="E1664" s="1468" t="s">
        <v>15</v>
      </c>
      <c r="F1664" s="1468"/>
      <c r="G1664" s="1466"/>
      <c r="H1664" s="1466"/>
      <c r="I1664" s="1540">
        <v>1159179.5249999999</v>
      </c>
      <c r="J1664" s="1466">
        <f t="shared" si="75"/>
        <v>1159179.5249999999</v>
      </c>
      <c r="K1664" s="1466"/>
      <c r="L1664" s="1466"/>
      <c r="M1664" s="1540">
        <f t="shared" si="76"/>
        <v>1159179.5249999999</v>
      </c>
      <c r="N1664" s="166"/>
      <c r="O1664" s="559"/>
    </row>
    <row r="1665" spans="1:15" s="540" customFormat="1" ht="14.25" customHeight="1">
      <c r="A1665" s="1536">
        <v>482</v>
      </c>
      <c r="B1665" s="1537"/>
      <c r="C1665" s="1549"/>
      <c r="D1665" s="1471" t="s">
        <v>1517</v>
      </c>
      <c r="E1665" s="1468" t="s">
        <v>15</v>
      </c>
      <c r="F1665" s="1468"/>
      <c r="G1665" s="1466"/>
      <c r="H1665" s="1466"/>
      <c r="I1665" s="1540">
        <v>1149145.3259999999</v>
      </c>
      <c r="J1665" s="1466">
        <f t="shared" si="75"/>
        <v>1149145.3259999999</v>
      </c>
      <c r="K1665" s="1466"/>
      <c r="L1665" s="1466"/>
      <c r="M1665" s="1540">
        <f t="shared" si="76"/>
        <v>1149145.3259999999</v>
      </c>
      <c r="N1665" s="166"/>
      <c r="O1665" s="559"/>
    </row>
    <row r="1666" spans="1:15" s="540" customFormat="1" ht="14.25" customHeight="1">
      <c r="A1666" s="1536">
        <v>483</v>
      </c>
      <c r="B1666" s="1537"/>
      <c r="C1666" s="1549"/>
      <c r="D1666" s="1471" t="s">
        <v>1518</v>
      </c>
      <c r="E1666" s="1468" t="s">
        <v>15</v>
      </c>
      <c r="F1666" s="1468"/>
      <c r="G1666" s="1466"/>
      <c r="H1666" s="1466"/>
      <c r="I1666" s="1540">
        <v>1229038.53819991</v>
      </c>
      <c r="J1666" s="1466">
        <f t="shared" si="75"/>
        <v>1229038.53819991</v>
      </c>
      <c r="K1666" s="1466"/>
      <c r="L1666" s="1466"/>
      <c r="M1666" s="1540">
        <f t="shared" si="76"/>
        <v>1229038.53819991</v>
      </c>
      <c r="N1666" s="166"/>
      <c r="O1666" s="559"/>
    </row>
    <row r="1667" spans="1:15" s="540" customFormat="1" ht="14.25" customHeight="1">
      <c r="A1667" s="1536">
        <v>484</v>
      </c>
      <c r="B1667" s="1537"/>
      <c r="C1667" s="1549"/>
      <c r="D1667" s="1471" t="s">
        <v>1519</v>
      </c>
      <c r="E1667" s="1468" t="s">
        <v>15</v>
      </c>
      <c r="F1667" s="1468"/>
      <c r="G1667" s="1466"/>
      <c r="H1667" s="1466"/>
      <c r="I1667" s="1540">
        <v>1229038.53819991</v>
      </c>
      <c r="J1667" s="1466">
        <f t="shared" si="75"/>
        <v>1229038.53819991</v>
      </c>
      <c r="K1667" s="1466"/>
      <c r="L1667" s="1466"/>
      <c r="M1667" s="1540">
        <f t="shared" si="76"/>
        <v>1229038.53819991</v>
      </c>
      <c r="N1667" s="166"/>
      <c r="O1667" s="559"/>
    </row>
    <row r="1668" spans="1:15" s="540" customFormat="1" ht="14.25" customHeight="1">
      <c r="A1668" s="1536">
        <v>485</v>
      </c>
      <c r="B1668" s="1537"/>
      <c r="C1668" s="1549"/>
      <c r="D1668" s="1471" t="s">
        <v>1520</v>
      </c>
      <c r="E1668" s="1468" t="s">
        <v>15</v>
      </c>
      <c r="F1668" s="1468"/>
      <c r="G1668" s="1466"/>
      <c r="H1668" s="1466"/>
      <c r="I1668" s="1540">
        <v>1159179.5249999999</v>
      </c>
      <c r="J1668" s="1466">
        <f t="shared" si="75"/>
        <v>1159179.5249999999</v>
      </c>
      <c r="K1668" s="1466"/>
      <c r="L1668" s="1466"/>
      <c r="M1668" s="1540">
        <f t="shared" si="76"/>
        <v>1159179.5249999999</v>
      </c>
      <c r="N1668" s="166"/>
      <c r="O1668" s="559"/>
    </row>
    <row r="1669" spans="1:15" s="540" customFormat="1" ht="14.25" customHeight="1">
      <c r="A1669" s="1536">
        <v>486</v>
      </c>
      <c r="B1669" s="1537"/>
      <c r="C1669" s="1549"/>
      <c r="D1669" s="1471" t="s">
        <v>1521</v>
      </c>
      <c r="E1669" s="1468" t="s">
        <v>15</v>
      </c>
      <c r="F1669" s="1468"/>
      <c r="G1669" s="1466"/>
      <c r="H1669" s="1466"/>
      <c r="I1669" s="1540">
        <v>1239846.615</v>
      </c>
      <c r="J1669" s="1466">
        <f t="shared" si="75"/>
        <v>1239846.615</v>
      </c>
      <c r="K1669" s="1466"/>
      <c r="L1669" s="1466"/>
      <c r="M1669" s="1540">
        <f t="shared" si="76"/>
        <v>1239846.615</v>
      </c>
      <c r="N1669" s="166"/>
      <c r="O1669" s="559"/>
    </row>
    <row r="1670" spans="1:15" s="540" customFormat="1" ht="14.25" customHeight="1">
      <c r="A1670" s="1536">
        <v>487</v>
      </c>
      <c r="B1670" s="1537"/>
      <c r="C1670" s="1549"/>
      <c r="D1670" s="1471" t="s">
        <v>1522</v>
      </c>
      <c r="E1670" s="1468" t="s">
        <v>15</v>
      </c>
      <c r="F1670" s="1468"/>
      <c r="G1670" s="1466"/>
      <c r="H1670" s="1466"/>
      <c r="I1670" s="1540">
        <v>1149145.3259999999</v>
      </c>
      <c r="J1670" s="1466">
        <f t="shared" si="75"/>
        <v>1149145.3259999999</v>
      </c>
      <c r="K1670" s="1466"/>
      <c r="L1670" s="1466"/>
      <c r="M1670" s="1540">
        <f t="shared" si="76"/>
        <v>1149145.3259999999</v>
      </c>
      <c r="N1670" s="166"/>
      <c r="O1670" s="559"/>
    </row>
    <row r="1671" spans="1:15" s="540" customFormat="1" ht="14.25" customHeight="1">
      <c r="A1671" s="1536">
        <v>488</v>
      </c>
      <c r="B1671" s="1537"/>
      <c r="C1671" s="1549"/>
      <c r="D1671" s="1471" t="s">
        <v>1523</v>
      </c>
      <c r="E1671" s="1468" t="s">
        <v>15</v>
      </c>
      <c r="F1671" s="1468"/>
      <c r="G1671" s="1466"/>
      <c r="H1671" s="1466"/>
      <c r="I1671" s="1540">
        <v>1159179.5249999999</v>
      </c>
      <c r="J1671" s="1466">
        <f t="shared" si="75"/>
        <v>1159179.5249999999</v>
      </c>
      <c r="K1671" s="1466"/>
      <c r="L1671" s="1466"/>
      <c r="M1671" s="1540">
        <f t="shared" si="76"/>
        <v>1159179.5249999999</v>
      </c>
      <c r="N1671" s="166"/>
      <c r="O1671" s="559"/>
    </row>
    <row r="1672" spans="1:15" s="540" customFormat="1" ht="14.25" customHeight="1">
      <c r="A1672" s="1536">
        <v>489</v>
      </c>
      <c r="B1672" s="1537"/>
      <c r="C1672" s="1549"/>
      <c r="D1672" s="1471" t="s">
        <v>1524</v>
      </c>
      <c r="E1672" s="1468" t="s">
        <v>15</v>
      </c>
      <c r="F1672" s="1468"/>
      <c r="G1672" s="1466"/>
      <c r="H1672" s="1466"/>
      <c r="I1672" s="1540">
        <v>1239846.615</v>
      </c>
      <c r="J1672" s="1466">
        <f t="shared" si="75"/>
        <v>1239846.615</v>
      </c>
      <c r="K1672" s="1466"/>
      <c r="L1672" s="1466"/>
      <c r="M1672" s="1540">
        <f t="shared" si="76"/>
        <v>1239846.615</v>
      </c>
      <c r="N1672" s="166"/>
      <c r="O1672" s="559"/>
    </row>
    <row r="1673" spans="1:15" s="540" customFormat="1" ht="14.25" customHeight="1">
      <c r="A1673" s="1536">
        <v>490</v>
      </c>
      <c r="B1673" s="1537"/>
      <c r="C1673" s="1549"/>
      <c r="D1673" s="1471" t="s">
        <v>1525</v>
      </c>
      <c r="E1673" s="1468" t="s">
        <v>15</v>
      </c>
      <c r="F1673" s="1468"/>
      <c r="G1673" s="1466"/>
      <c r="H1673" s="1466"/>
      <c r="I1673" s="1540">
        <v>1229038.53819991</v>
      </c>
      <c r="J1673" s="1466">
        <f t="shared" si="75"/>
        <v>1229038.53819991</v>
      </c>
      <c r="K1673" s="1466"/>
      <c r="L1673" s="1466"/>
      <c r="M1673" s="1540">
        <f t="shared" si="76"/>
        <v>1229038.53819991</v>
      </c>
      <c r="N1673" s="166"/>
      <c r="O1673" s="559"/>
    </row>
    <row r="1674" spans="1:15" s="540" customFormat="1" ht="14.25" customHeight="1">
      <c r="A1674" s="1536">
        <v>491</v>
      </c>
      <c r="B1674" s="1537"/>
      <c r="C1674" s="1549"/>
      <c r="D1674" s="1471" t="s">
        <v>1526</v>
      </c>
      <c r="E1674" s="1468" t="s">
        <v>15</v>
      </c>
      <c r="F1674" s="1468"/>
      <c r="G1674" s="1466"/>
      <c r="H1674" s="1466"/>
      <c r="I1674" s="1540">
        <v>1159179.5249999999</v>
      </c>
      <c r="J1674" s="1466">
        <f t="shared" si="75"/>
        <v>1159179.5249999999</v>
      </c>
      <c r="K1674" s="1466"/>
      <c r="L1674" s="1466"/>
      <c r="M1674" s="1540">
        <f t="shared" si="76"/>
        <v>1159179.5249999999</v>
      </c>
      <c r="N1674" s="166"/>
      <c r="O1674" s="559"/>
    </row>
    <row r="1675" spans="1:15" s="540" customFormat="1" ht="14.25" customHeight="1">
      <c r="A1675" s="1536">
        <v>492</v>
      </c>
      <c r="B1675" s="1537"/>
      <c r="C1675" s="1549"/>
      <c r="D1675" s="1471" t="s">
        <v>1527</v>
      </c>
      <c r="E1675" s="1468" t="s">
        <v>15</v>
      </c>
      <c r="F1675" s="1468"/>
      <c r="G1675" s="1466"/>
      <c r="H1675" s="1466"/>
      <c r="I1675" s="1540">
        <v>1239846.615</v>
      </c>
      <c r="J1675" s="1466">
        <f t="shared" si="75"/>
        <v>1239846.615</v>
      </c>
      <c r="K1675" s="1466"/>
      <c r="L1675" s="1466"/>
      <c r="M1675" s="1540">
        <f t="shared" si="76"/>
        <v>1239846.615</v>
      </c>
      <c r="N1675" s="166"/>
      <c r="O1675" s="559"/>
    </row>
    <row r="1676" spans="1:15" s="540" customFormat="1" ht="14.25" customHeight="1">
      <c r="A1676" s="1536">
        <v>493</v>
      </c>
      <c r="B1676" s="1537"/>
      <c r="C1676" s="1549"/>
      <c r="D1676" s="1471" t="s">
        <v>1528</v>
      </c>
      <c r="E1676" s="1468" t="s">
        <v>15</v>
      </c>
      <c r="F1676" s="1468"/>
      <c r="G1676" s="1466"/>
      <c r="H1676" s="1466"/>
      <c r="I1676" s="1540">
        <v>1149145.3259999999</v>
      </c>
      <c r="J1676" s="1466">
        <f t="shared" si="75"/>
        <v>1149145.3259999999</v>
      </c>
      <c r="K1676" s="1466"/>
      <c r="L1676" s="1466"/>
      <c r="M1676" s="1540">
        <f t="shared" si="76"/>
        <v>1149145.3259999999</v>
      </c>
      <c r="N1676" s="166"/>
      <c r="O1676" s="559"/>
    </row>
    <row r="1677" spans="1:15" s="540" customFormat="1" ht="14.25" customHeight="1">
      <c r="A1677" s="1536">
        <v>494</v>
      </c>
      <c r="B1677" s="1537"/>
      <c r="C1677" s="1549"/>
      <c r="D1677" s="1471" t="s">
        <v>1529</v>
      </c>
      <c r="E1677" s="1468" t="s">
        <v>15</v>
      </c>
      <c r="F1677" s="1468"/>
      <c r="G1677" s="1466"/>
      <c r="H1677" s="1466"/>
      <c r="I1677" s="1540">
        <v>1159179.5249999999</v>
      </c>
      <c r="J1677" s="1466">
        <f t="shared" si="75"/>
        <v>1159179.5249999999</v>
      </c>
      <c r="K1677" s="1466"/>
      <c r="L1677" s="1466"/>
      <c r="M1677" s="1540">
        <f t="shared" si="76"/>
        <v>1159179.5249999999</v>
      </c>
      <c r="N1677" s="166"/>
      <c r="O1677" s="559"/>
    </row>
    <row r="1678" spans="1:15" s="540" customFormat="1" ht="14.25" customHeight="1">
      <c r="A1678" s="1536">
        <v>495</v>
      </c>
      <c r="B1678" s="1537"/>
      <c r="C1678" s="1549"/>
      <c r="D1678" s="1471" t="s">
        <v>1530</v>
      </c>
      <c r="E1678" s="1468" t="s">
        <v>15</v>
      </c>
      <c r="F1678" s="1468"/>
      <c r="G1678" s="1466"/>
      <c r="H1678" s="1466"/>
      <c r="I1678" s="1540">
        <v>1239846.615</v>
      </c>
      <c r="J1678" s="1466">
        <f t="shared" si="75"/>
        <v>1239846.615</v>
      </c>
      <c r="K1678" s="1466"/>
      <c r="L1678" s="1466"/>
      <c r="M1678" s="1540">
        <f t="shared" si="76"/>
        <v>1239846.615</v>
      </c>
      <c r="N1678" s="166"/>
      <c r="O1678" s="559"/>
    </row>
    <row r="1679" spans="1:15" s="540" customFormat="1" ht="14.25" customHeight="1">
      <c r="A1679" s="1536">
        <v>496</v>
      </c>
      <c r="B1679" s="1537"/>
      <c r="C1679" s="1549"/>
      <c r="D1679" s="1471" t="s">
        <v>1531</v>
      </c>
      <c r="E1679" s="1468" t="s">
        <v>15</v>
      </c>
      <c r="F1679" s="1468"/>
      <c r="G1679" s="1466"/>
      <c r="H1679" s="1466"/>
      <c r="I1679" s="1540">
        <v>1159179.5249999999</v>
      </c>
      <c r="J1679" s="1466">
        <f t="shared" si="75"/>
        <v>1159179.5249999999</v>
      </c>
      <c r="K1679" s="1466"/>
      <c r="L1679" s="1466"/>
      <c r="M1679" s="1540">
        <f t="shared" si="76"/>
        <v>1159179.5249999999</v>
      </c>
      <c r="N1679" s="166"/>
      <c r="O1679" s="559"/>
    </row>
    <row r="1680" spans="1:15" s="540" customFormat="1" ht="14.25" customHeight="1">
      <c r="A1680" s="1536">
        <v>497</v>
      </c>
      <c r="B1680" s="1537"/>
      <c r="C1680" s="1549"/>
      <c r="D1680" s="1471" t="s">
        <v>1532</v>
      </c>
      <c r="E1680" s="1468" t="s">
        <v>15</v>
      </c>
      <c r="F1680" s="1468"/>
      <c r="G1680" s="1466"/>
      <c r="H1680" s="1466"/>
      <c r="I1680" s="1540">
        <v>1149145.3259999999</v>
      </c>
      <c r="J1680" s="1466">
        <f t="shared" si="75"/>
        <v>1149145.3259999999</v>
      </c>
      <c r="K1680" s="1466"/>
      <c r="L1680" s="1466"/>
      <c r="M1680" s="1540">
        <f t="shared" si="76"/>
        <v>1149145.3259999999</v>
      </c>
      <c r="N1680" s="166"/>
      <c r="O1680" s="559"/>
    </row>
    <row r="1681" spans="1:18" s="540" customFormat="1" ht="14.25" customHeight="1">
      <c r="A1681" s="1536">
        <v>498</v>
      </c>
      <c r="B1681" s="1537"/>
      <c r="C1681" s="1549"/>
      <c r="D1681" s="1471" t="s">
        <v>1533</v>
      </c>
      <c r="E1681" s="1468" t="s">
        <v>15</v>
      </c>
      <c r="F1681" s="1468"/>
      <c r="G1681" s="1466"/>
      <c r="H1681" s="1466"/>
      <c r="I1681" s="1540">
        <v>1229038.53819991</v>
      </c>
      <c r="J1681" s="1466">
        <f t="shared" si="75"/>
        <v>1229038.53819991</v>
      </c>
      <c r="K1681" s="1466"/>
      <c r="L1681" s="1466"/>
      <c r="M1681" s="1540">
        <f t="shared" si="76"/>
        <v>1229038.53819991</v>
      </c>
      <c r="N1681" s="166"/>
      <c r="O1681" s="559"/>
    </row>
    <row r="1682" spans="1:18" s="540" customFormat="1" ht="14.25" customHeight="1">
      <c r="A1682" s="1536">
        <v>499</v>
      </c>
      <c r="B1682" s="1537"/>
      <c r="C1682" s="1549"/>
      <c r="D1682" s="1471" t="s">
        <v>1534</v>
      </c>
      <c r="E1682" s="1468" t="s">
        <v>15</v>
      </c>
      <c r="F1682" s="1468"/>
      <c r="G1682" s="1466"/>
      <c r="H1682" s="1466"/>
      <c r="I1682" s="1540">
        <v>1229038.53819991</v>
      </c>
      <c r="J1682" s="1466">
        <f t="shared" si="75"/>
        <v>1229038.53819991</v>
      </c>
      <c r="K1682" s="1466"/>
      <c r="L1682" s="1466"/>
      <c r="M1682" s="1540">
        <f t="shared" si="76"/>
        <v>1229038.53819991</v>
      </c>
      <c r="N1682" s="166"/>
      <c r="O1682" s="559"/>
    </row>
    <row r="1683" spans="1:18" s="540" customFormat="1" ht="14.25" customHeight="1">
      <c r="A1683" s="1536">
        <v>500</v>
      </c>
      <c r="B1683" s="1537"/>
      <c r="C1683" s="1549"/>
      <c r="D1683" s="1471" t="s">
        <v>1535</v>
      </c>
      <c r="E1683" s="1468" t="s">
        <v>15</v>
      </c>
      <c r="F1683" s="1468"/>
      <c r="G1683" s="1466"/>
      <c r="H1683" s="1466"/>
      <c r="I1683" s="1540">
        <v>1159179.5249999999</v>
      </c>
      <c r="J1683" s="1466">
        <f t="shared" si="75"/>
        <v>1159179.5249999999</v>
      </c>
      <c r="K1683" s="1466"/>
      <c r="L1683" s="1466"/>
      <c r="M1683" s="1540">
        <f t="shared" si="76"/>
        <v>1159179.5249999999</v>
      </c>
      <c r="N1683" s="166"/>
      <c r="O1683" s="559"/>
    </row>
    <row r="1684" spans="1:18" s="540" customFormat="1" ht="14.25" customHeight="1">
      <c r="A1684" s="1536">
        <v>501</v>
      </c>
      <c r="B1684" s="1537"/>
      <c r="C1684" s="1549"/>
      <c r="D1684" s="1471" t="s">
        <v>1536</v>
      </c>
      <c r="E1684" s="1468" t="s">
        <v>15</v>
      </c>
      <c r="F1684" s="1468"/>
      <c r="G1684" s="1466"/>
      <c r="H1684" s="1466"/>
      <c r="I1684" s="1540">
        <v>1239846.615</v>
      </c>
      <c r="J1684" s="1466">
        <f t="shared" si="75"/>
        <v>1239846.615</v>
      </c>
      <c r="K1684" s="1466"/>
      <c r="L1684" s="1466"/>
      <c r="M1684" s="1540">
        <f t="shared" si="76"/>
        <v>1239846.615</v>
      </c>
      <c r="N1684" s="166"/>
      <c r="O1684" s="559"/>
    </row>
    <row r="1685" spans="1:18" s="540" customFormat="1" ht="14.25" customHeight="1">
      <c r="A1685" s="1536">
        <v>502</v>
      </c>
      <c r="B1685" s="1537"/>
      <c r="C1685" s="1549"/>
      <c r="D1685" s="1471" t="s">
        <v>1537</v>
      </c>
      <c r="E1685" s="1468" t="s">
        <v>15</v>
      </c>
      <c r="F1685" s="1468"/>
      <c r="G1685" s="1466"/>
      <c r="H1685" s="1466"/>
      <c r="I1685" s="1540">
        <v>1149145.3259999999</v>
      </c>
      <c r="J1685" s="1466">
        <f t="shared" si="75"/>
        <v>1149145.3259999999</v>
      </c>
      <c r="K1685" s="1466"/>
      <c r="L1685" s="1466"/>
      <c r="M1685" s="1540">
        <f t="shared" si="76"/>
        <v>1149145.3259999999</v>
      </c>
      <c r="N1685" s="166"/>
      <c r="O1685" s="559"/>
    </row>
    <row r="1686" spans="1:18" s="540" customFormat="1" ht="14.25" customHeight="1">
      <c r="A1686" s="1536">
        <v>503</v>
      </c>
      <c r="B1686" s="1537"/>
      <c r="C1686" s="1549"/>
      <c r="D1686" s="1471" t="s">
        <v>1538</v>
      </c>
      <c r="E1686" s="1468" t="s">
        <v>15</v>
      </c>
      <c r="F1686" s="1468"/>
      <c r="G1686" s="1466"/>
      <c r="H1686" s="1466"/>
      <c r="I1686" s="1540">
        <v>1159179.5249999999</v>
      </c>
      <c r="J1686" s="1466">
        <f t="shared" si="75"/>
        <v>1159179.5249999999</v>
      </c>
      <c r="K1686" s="1466"/>
      <c r="L1686" s="1466"/>
      <c r="M1686" s="1540">
        <f t="shared" si="76"/>
        <v>1159179.5249999999</v>
      </c>
      <c r="N1686" s="166"/>
      <c r="O1686" s="559"/>
    </row>
    <row r="1687" spans="1:18" s="540" customFormat="1" ht="14.25" customHeight="1">
      <c r="A1687" s="1536">
        <v>504</v>
      </c>
      <c r="B1687" s="1537"/>
      <c r="C1687" s="1549"/>
      <c r="D1687" s="1471" t="s">
        <v>1539</v>
      </c>
      <c r="E1687" s="1468" t="s">
        <v>15</v>
      </c>
      <c r="F1687" s="1468"/>
      <c r="G1687" s="1466"/>
      <c r="H1687" s="1466"/>
      <c r="I1687" s="1540">
        <v>1239846.615</v>
      </c>
      <c r="J1687" s="1466">
        <f t="shared" si="75"/>
        <v>1239846.615</v>
      </c>
      <c r="K1687" s="1466"/>
      <c r="L1687" s="1466"/>
      <c r="M1687" s="1540">
        <f t="shared" si="76"/>
        <v>1239846.615</v>
      </c>
      <c r="N1687" s="166"/>
      <c r="O1687" s="559"/>
    </row>
    <row r="1688" spans="1:18" s="540" customFormat="1" ht="14.25" customHeight="1">
      <c r="A1688" s="1536">
        <v>505</v>
      </c>
      <c r="B1688" s="1537"/>
      <c r="C1688" s="1549"/>
      <c r="D1688" s="1471" t="s">
        <v>1540</v>
      </c>
      <c r="E1688" s="1468" t="s">
        <v>15</v>
      </c>
      <c r="F1688" s="1468"/>
      <c r="G1688" s="1466"/>
      <c r="H1688" s="1466"/>
      <c r="I1688" s="1540">
        <v>1229038.53819991</v>
      </c>
      <c r="J1688" s="1466">
        <f t="shared" si="75"/>
        <v>1229038.53819991</v>
      </c>
      <c r="K1688" s="1466"/>
      <c r="L1688" s="1466"/>
      <c r="M1688" s="1540">
        <f t="shared" si="76"/>
        <v>1229038.53819991</v>
      </c>
      <c r="N1688" s="166"/>
      <c r="O1688" s="559"/>
    </row>
    <row r="1689" spans="1:18" s="540" customFormat="1" ht="14.25" customHeight="1">
      <c r="A1689" s="1536">
        <v>506</v>
      </c>
      <c r="B1689" s="1537"/>
      <c r="C1689" s="1549"/>
      <c r="D1689" s="1471" t="s">
        <v>1541</v>
      </c>
      <c r="E1689" s="1468" t="s">
        <v>15</v>
      </c>
      <c r="F1689" s="1468"/>
      <c r="G1689" s="1466"/>
      <c r="H1689" s="1466"/>
      <c r="I1689" s="1540">
        <v>1159179.5249999999</v>
      </c>
      <c r="J1689" s="1466">
        <f t="shared" si="75"/>
        <v>1159179.5249999999</v>
      </c>
      <c r="K1689" s="1466"/>
      <c r="L1689" s="1466"/>
      <c r="M1689" s="1540">
        <f t="shared" si="76"/>
        <v>1159179.5249999999</v>
      </c>
      <c r="N1689" s="166"/>
      <c r="O1689" s="559"/>
    </row>
    <row r="1690" spans="1:18" s="540" customFormat="1" ht="14.25" customHeight="1">
      <c r="A1690" s="1536">
        <v>507</v>
      </c>
      <c r="B1690" s="1537"/>
      <c r="C1690" s="1549"/>
      <c r="D1690" s="1471" t="s">
        <v>1542</v>
      </c>
      <c r="E1690" s="1468" t="s">
        <v>15</v>
      </c>
      <c r="F1690" s="1468"/>
      <c r="G1690" s="1466"/>
      <c r="H1690" s="1466"/>
      <c r="I1690" s="1540">
        <v>1239846.615</v>
      </c>
      <c r="J1690" s="1466">
        <f t="shared" si="75"/>
        <v>1239846.615</v>
      </c>
      <c r="K1690" s="1466"/>
      <c r="L1690" s="1466"/>
      <c r="M1690" s="1540">
        <f t="shared" si="76"/>
        <v>1239846.615</v>
      </c>
      <c r="N1690" s="166"/>
      <c r="O1690" s="559"/>
    </row>
    <row r="1691" spans="1:18" s="540" customFormat="1" ht="14.25" customHeight="1">
      <c r="A1691" s="1536">
        <v>508</v>
      </c>
      <c r="B1691" s="1537"/>
      <c r="C1691" s="1549"/>
      <c r="D1691" s="1471" t="s">
        <v>759</v>
      </c>
      <c r="E1691" s="1468" t="s">
        <v>15</v>
      </c>
      <c r="F1691" s="1468"/>
      <c r="G1691" s="1466"/>
      <c r="H1691" s="1466"/>
      <c r="I1691" s="1540">
        <v>1149145.3259999999</v>
      </c>
      <c r="J1691" s="1466">
        <f t="shared" si="75"/>
        <v>1149145.3259999999</v>
      </c>
      <c r="K1691" s="1466"/>
      <c r="L1691" s="1466"/>
      <c r="M1691" s="1540">
        <f t="shared" si="76"/>
        <v>1149145.3259999999</v>
      </c>
      <c r="N1691" s="166"/>
      <c r="O1691" s="559"/>
    </row>
    <row r="1692" spans="1:18" s="540" customFormat="1" ht="14.25" customHeight="1">
      <c r="A1692" s="1536">
        <v>509</v>
      </c>
      <c r="B1692" s="1537"/>
      <c r="C1692" s="1549"/>
      <c r="D1692" s="1471" t="s">
        <v>760</v>
      </c>
      <c r="E1692" s="1468" t="s">
        <v>15</v>
      </c>
      <c r="F1692" s="1468"/>
      <c r="G1692" s="1466"/>
      <c r="H1692" s="1466"/>
      <c r="I1692" s="1540">
        <v>1159179.5249999999</v>
      </c>
      <c r="J1692" s="1466">
        <f t="shared" si="75"/>
        <v>1159179.5249999999</v>
      </c>
      <c r="K1692" s="1466"/>
      <c r="L1692" s="1466"/>
      <c r="M1692" s="1540">
        <f t="shared" si="76"/>
        <v>1159179.5249999999</v>
      </c>
      <c r="N1692" s="166"/>
      <c r="O1692" s="559"/>
    </row>
    <row r="1693" spans="1:18" s="540" customFormat="1" ht="14.25" customHeight="1">
      <c r="A1693" s="1536">
        <v>510</v>
      </c>
      <c r="B1693" s="1537"/>
      <c r="C1693" s="1549"/>
      <c r="D1693" s="1471" t="s">
        <v>1544</v>
      </c>
      <c r="E1693" s="1468" t="s">
        <v>15</v>
      </c>
      <c r="F1693" s="1468"/>
      <c r="G1693" s="1466">
        <v>206188.57340063201</v>
      </c>
      <c r="H1693" s="1466">
        <v>0</v>
      </c>
      <c r="I1693" s="1540">
        <v>496445.73060050601</v>
      </c>
      <c r="J1693" s="1466">
        <f t="shared" si="75"/>
        <v>702634.30400113796</v>
      </c>
      <c r="K1693" s="1466"/>
      <c r="L1693" s="1466"/>
      <c r="M1693" s="1540">
        <f t="shared" si="76"/>
        <v>702634.30400113796</v>
      </c>
      <c r="N1693" s="166"/>
      <c r="O1693" s="559"/>
    </row>
    <row r="1694" spans="1:18" s="541" customFormat="1" ht="14.25" customHeight="1">
      <c r="A1694" s="1543" t="s">
        <v>123</v>
      </c>
      <c r="B1694" s="1053" t="e">
        <f>VLOOKUP(A1694,'[2]DS CN MOI UP'!$B$11:$C$447,2,0)</f>
        <v>#N/A</v>
      </c>
      <c r="C1694" s="1543"/>
      <c r="E1694" s="1543"/>
      <c r="F1694" s="1543"/>
      <c r="G1694" s="1546">
        <f t="shared" ref="G1694:M1694" si="77">SUM(G1184:G1693)</f>
        <v>113355000</v>
      </c>
      <c r="H1694" s="1546">
        <f t="shared" si="77"/>
        <v>364827168.69667</v>
      </c>
      <c r="I1694" s="1546">
        <f t="shared" si="77"/>
        <v>124038826</v>
      </c>
      <c r="J1694" s="1546">
        <f t="shared" si="77"/>
        <v>602220994.69666803</v>
      </c>
      <c r="K1694" s="1546">
        <f t="shared" si="77"/>
        <v>0</v>
      </c>
      <c r="L1694" s="1546">
        <f t="shared" si="77"/>
        <v>0</v>
      </c>
      <c r="M1694" s="1546">
        <f t="shared" si="77"/>
        <v>602220994.69666803</v>
      </c>
      <c r="N1694" s="1548"/>
      <c r="O1694" s="560" t="e">
        <f>'LƯƠNG CNTT'!#REF!</f>
        <v>#REF!</v>
      </c>
      <c r="P1694" s="560" t="e">
        <f>'LƯƠNG CNTT'!#REF!</f>
        <v>#REF!</v>
      </c>
      <c r="Q1694" s="560" t="e">
        <f>'LƯƠNG CNTT'!#REF!</f>
        <v>#REF!</v>
      </c>
      <c r="R1694" s="560" t="e">
        <f>'LƯƠNG CNTT'!#REF!</f>
        <v>#REF!</v>
      </c>
    </row>
    <row r="1695" spans="1:18" s="540" customFormat="1" ht="14.25" customHeight="1">
      <c r="A1695" s="1551">
        <v>1</v>
      </c>
      <c r="B1695" s="1537" t="e">
        <f>VLOOKUP(D1695,'[2]DS CN MOI UP'!$B$11:$C$447,2,0)</f>
        <v>#N/A</v>
      </c>
      <c r="C1695" s="1538" t="s">
        <v>1545</v>
      </c>
      <c r="D1695" s="1468" t="s">
        <v>1539</v>
      </c>
      <c r="E1695" s="1468" t="s">
        <v>15</v>
      </c>
      <c r="F1695" s="1468"/>
      <c r="G1695" s="1540">
        <v>60000</v>
      </c>
      <c r="H1695" s="1466">
        <v>554373.09900000005</v>
      </c>
      <c r="I1695" s="1540">
        <v>524139.33600000001</v>
      </c>
      <c r="J1695" s="1466">
        <f t="shared" ref="J1695:J1949" si="78">SUM(G1695:I1695)</f>
        <v>1138512.4350000001</v>
      </c>
      <c r="K1695" s="1466"/>
      <c r="L1695" s="1466"/>
      <c r="M1695" s="1540">
        <f t="shared" ref="M1695:M1949" si="79">J1695-L1695</f>
        <v>1138512.4350000001</v>
      </c>
      <c r="N1695" s="1552"/>
      <c r="O1695" s="559" t="e">
        <f>+O1694-G1694</f>
        <v>#REF!</v>
      </c>
      <c r="P1695" s="559" t="e">
        <f>+P1694-H1694</f>
        <v>#REF!</v>
      </c>
      <c r="Q1695" s="559" t="e">
        <f>+Q1694-I1694</f>
        <v>#REF!</v>
      </c>
    </row>
    <row r="1696" spans="1:18" s="540" customFormat="1" ht="14.25" customHeight="1">
      <c r="A1696" s="1551">
        <v>2</v>
      </c>
      <c r="B1696" s="1537" t="e">
        <f>VLOOKUP(D1696,'[2]DS CN MOI UP'!$B$11:$C$447,2,0)</f>
        <v>#N/A</v>
      </c>
      <c r="C1696" s="1538" t="s">
        <v>1546</v>
      </c>
      <c r="D1696" s="1468" t="s">
        <v>1540</v>
      </c>
      <c r="E1696" s="1468" t="s">
        <v>15</v>
      </c>
      <c r="F1696" s="1468"/>
      <c r="G1696" s="1540">
        <v>40000</v>
      </c>
      <c r="H1696" s="1466">
        <v>554373.09900000005</v>
      </c>
      <c r="I1696" s="1540">
        <v>524139.33600000001</v>
      </c>
      <c r="J1696" s="1466">
        <f t="shared" si="78"/>
        <v>1118512.4350000001</v>
      </c>
      <c r="K1696" s="1466"/>
      <c r="L1696" s="1466"/>
      <c r="M1696" s="1540">
        <f t="shared" si="79"/>
        <v>1118512.4350000001</v>
      </c>
      <c r="N1696" s="1552"/>
      <c r="P1696" s="559"/>
    </row>
    <row r="1697" spans="1:16" s="540" customFormat="1" ht="14.25" customHeight="1">
      <c r="A1697" s="1551">
        <v>3</v>
      </c>
      <c r="B1697" s="1537" t="e">
        <f>VLOOKUP(D1697,'[2]DS CN MOI UP'!$B$11:$C$447,2,0)</f>
        <v>#N/A</v>
      </c>
      <c r="C1697" s="1538" t="s">
        <v>1547</v>
      </c>
      <c r="D1697" s="1468" t="s">
        <v>1541</v>
      </c>
      <c r="E1697" s="1468" t="s">
        <v>15</v>
      </c>
      <c r="F1697" s="1468"/>
      <c r="G1697" s="1540">
        <v>40000</v>
      </c>
      <c r="H1697" s="1466">
        <v>554373.09900000005</v>
      </c>
      <c r="I1697" s="1540">
        <v>524139.33600000001</v>
      </c>
      <c r="J1697" s="1466">
        <f t="shared" si="78"/>
        <v>1118512.4350000001</v>
      </c>
      <c r="K1697" s="1466"/>
      <c r="L1697" s="1466"/>
      <c r="M1697" s="1540">
        <f t="shared" si="79"/>
        <v>1118512.4350000001</v>
      </c>
      <c r="N1697" s="1552"/>
      <c r="P1697" s="559"/>
    </row>
    <row r="1698" spans="1:16" s="540" customFormat="1" ht="14.25" customHeight="1">
      <c r="A1698" s="1551">
        <v>4</v>
      </c>
      <c r="B1698" s="1537" t="e">
        <f>VLOOKUP(D1698,'[2]DS CN MOI UP'!$B$11:$C$447,2,0)</f>
        <v>#N/A</v>
      </c>
      <c r="C1698" s="1538" t="s">
        <v>1548</v>
      </c>
      <c r="D1698" s="1468" t="s">
        <v>1542</v>
      </c>
      <c r="E1698" s="1468" t="s">
        <v>15</v>
      </c>
      <c r="F1698" s="1468"/>
      <c r="G1698" s="1540">
        <v>40000</v>
      </c>
      <c r="H1698" s="1466">
        <v>554373.09900000005</v>
      </c>
      <c r="I1698" s="1540">
        <v>524139.33600000001</v>
      </c>
      <c r="J1698" s="1466">
        <f t="shared" si="78"/>
        <v>1118512.4350000001</v>
      </c>
      <c r="K1698" s="1466"/>
      <c r="L1698" s="1466"/>
      <c r="M1698" s="1540">
        <f t="shared" si="79"/>
        <v>1118512.4350000001</v>
      </c>
      <c r="N1698" s="1552"/>
      <c r="P1698" s="559"/>
    </row>
    <row r="1699" spans="1:16" s="540" customFormat="1" ht="14.25" customHeight="1">
      <c r="A1699" s="1551">
        <v>5</v>
      </c>
      <c r="B1699" s="1537" t="e">
        <f>VLOOKUP(D1699,'[2]DS CN MOI UP'!$B$11:$C$447,2,0)</f>
        <v>#N/A</v>
      </c>
      <c r="C1699" s="1538" t="s">
        <v>1549</v>
      </c>
      <c r="D1699" s="1468" t="s">
        <v>759</v>
      </c>
      <c r="E1699" s="1468" t="s">
        <v>15</v>
      </c>
      <c r="F1699" s="1468"/>
      <c r="G1699" s="1540">
        <v>40000</v>
      </c>
      <c r="H1699" s="1466">
        <v>635040.18900000001</v>
      </c>
      <c r="I1699" s="1540">
        <v>524139.33600000001</v>
      </c>
      <c r="J1699" s="1466">
        <f t="shared" si="78"/>
        <v>1199179.5249999999</v>
      </c>
      <c r="K1699" s="1466"/>
      <c r="L1699" s="1466"/>
      <c r="M1699" s="1540">
        <f t="shared" si="79"/>
        <v>1199179.5249999999</v>
      </c>
      <c r="N1699" s="1552"/>
      <c r="P1699" s="559"/>
    </row>
    <row r="1700" spans="1:16" s="540" customFormat="1" ht="14.25" customHeight="1">
      <c r="A1700" s="1551">
        <v>6</v>
      </c>
      <c r="B1700" s="1537" t="e">
        <f>VLOOKUP(D1700,'[2]DS CN MOI UP'!$B$11:$C$447,2,0)</f>
        <v>#N/A</v>
      </c>
      <c r="C1700" s="1538" t="s">
        <v>1550</v>
      </c>
      <c r="D1700" s="1468" t="s">
        <v>760</v>
      </c>
      <c r="E1700" s="1468" t="s">
        <v>15</v>
      </c>
      <c r="F1700" s="1468"/>
      <c r="G1700" s="1540">
        <v>40000</v>
      </c>
      <c r="H1700" s="1466">
        <v>544338.9</v>
      </c>
      <c r="I1700" s="1540">
        <v>524139.33600000001</v>
      </c>
      <c r="J1700" s="1466">
        <f t="shared" si="78"/>
        <v>1108478.236</v>
      </c>
      <c r="K1700" s="1466"/>
      <c r="L1700" s="1466"/>
      <c r="M1700" s="1540">
        <f t="shared" si="79"/>
        <v>1108478.236</v>
      </c>
      <c r="N1700" s="1552"/>
      <c r="P1700" s="559"/>
    </row>
    <row r="1701" spans="1:16" s="540" customFormat="1" ht="14.25" customHeight="1">
      <c r="A1701" s="1551">
        <v>7</v>
      </c>
      <c r="B1701" s="1537" t="e">
        <f>VLOOKUP(D1701,'[2]DS CN MOI UP'!$B$11:$C$447,2,0)</f>
        <v>#N/A</v>
      </c>
      <c r="C1701" s="1538" t="s">
        <v>1551</v>
      </c>
      <c r="D1701" s="1468" t="s">
        <v>1544</v>
      </c>
      <c r="E1701" s="1468" t="s">
        <v>15</v>
      </c>
      <c r="F1701" s="1468"/>
      <c r="G1701" s="1540">
        <v>40000</v>
      </c>
      <c r="H1701" s="1466">
        <v>574572.66299999994</v>
      </c>
      <c r="I1701" s="1540">
        <v>524139.33600000001</v>
      </c>
      <c r="J1701" s="1466">
        <f t="shared" si="78"/>
        <v>1138711.9990000001</v>
      </c>
      <c r="K1701" s="1466"/>
      <c r="L1701" s="1466"/>
      <c r="M1701" s="1540">
        <f t="shared" si="79"/>
        <v>1138711.9990000001</v>
      </c>
      <c r="N1701" s="1552"/>
      <c r="P1701" s="559"/>
    </row>
    <row r="1702" spans="1:16" s="540" customFormat="1" ht="14.25" customHeight="1">
      <c r="A1702" s="1551">
        <v>8</v>
      </c>
      <c r="B1702" s="1537" t="e">
        <f>VLOOKUP(D1702,'[2]DS CN MOI UP'!$B$11:$C$447,2,0)</f>
        <v>#N/A</v>
      </c>
      <c r="C1702" s="1538" t="s">
        <v>1552</v>
      </c>
      <c r="D1702" s="1468" t="s">
        <v>1553</v>
      </c>
      <c r="E1702" s="1468" t="s">
        <v>15</v>
      </c>
      <c r="F1702" s="1468"/>
      <c r="G1702" s="1540">
        <v>40000</v>
      </c>
      <c r="H1702" s="1540">
        <v>604806.42599999998</v>
      </c>
      <c r="I1702" s="1540">
        <v>524139.33600000001</v>
      </c>
      <c r="J1702" s="1466">
        <f t="shared" si="78"/>
        <v>1168945.7620000001</v>
      </c>
      <c r="K1702" s="1466"/>
      <c r="L1702" s="1466"/>
      <c r="M1702" s="1540">
        <f t="shared" si="79"/>
        <v>1168945.7620000001</v>
      </c>
      <c r="N1702" s="1552"/>
      <c r="P1702" s="559"/>
    </row>
    <row r="1703" spans="1:16" s="540" customFormat="1" ht="14.25" customHeight="1">
      <c r="A1703" s="1551">
        <v>9</v>
      </c>
      <c r="B1703" s="1537" t="e">
        <f>VLOOKUP(D1703,'[2]DS CN MOI UP'!$B$11:$C$447,2,0)</f>
        <v>#N/A</v>
      </c>
      <c r="C1703" s="1538" t="s">
        <v>1554</v>
      </c>
      <c r="D1703" s="1468" t="s">
        <v>1555</v>
      </c>
      <c r="E1703" s="1468" t="s">
        <v>15</v>
      </c>
      <c r="F1703" s="1468"/>
      <c r="G1703" s="1540">
        <v>40000</v>
      </c>
      <c r="H1703" s="1540">
        <v>584606.86199999996</v>
      </c>
      <c r="I1703" s="1540">
        <v>524139.33600000001</v>
      </c>
      <c r="J1703" s="1466">
        <f t="shared" si="78"/>
        <v>1148746.1980000001</v>
      </c>
      <c r="K1703" s="1466"/>
      <c r="L1703" s="1466"/>
      <c r="M1703" s="1540">
        <f t="shared" si="79"/>
        <v>1148746.1980000001</v>
      </c>
      <c r="N1703" s="1552"/>
      <c r="P1703" s="559"/>
    </row>
    <row r="1704" spans="1:16" s="540" customFormat="1" ht="14.25" customHeight="1">
      <c r="A1704" s="1551">
        <v>10</v>
      </c>
      <c r="B1704" s="1537" t="e">
        <f>VLOOKUP(D1704,'[2]DS CN MOI UP'!$B$11:$C$447,2,0)</f>
        <v>#N/A</v>
      </c>
      <c r="C1704" s="1538" t="s">
        <v>1556</v>
      </c>
      <c r="D1704" s="1468" t="s">
        <v>1557</v>
      </c>
      <c r="E1704" s="1468" t="s">
        <v>15</v>
      </c>
      <c r="F1704" s="1468"/>
      <c r="G1704" s="1540">
        <v>40000</v>
      </c>
      <c r="H1704" s="1540">
        <v>635040.18900000001</v>
      </c>
      <c r="I1704" s="1540">
        <v>524139.33600000001</v>
      </c>
      <c r="J1704" s="1466">
        <f t="shared" si="78"/>
        <v>1199179.5249999999</v>
      </c>
      <c r="K1704" s="1466"/>
      <c r="L1704" s="1466"/>
      <c r="M1704" s="1540">
        <f t="shared" si="79"/>
        <v>1199179.5249999999</v>
      </c>
      <c r="N1704" s="1552"/>
      <c r="P1704" s="559"/>
    </row>
    <row r="1705" spans="1:16" s="540" customFormat="1" ht="14.25" customHeight="1">
      <c r="A1705" s="1551">
        <v>11</v>
      </c>
      <c r="B1705" s="1537" t="e">
        <f>VLOOKUP(D1705,'[2]DS CN MOI UP'!$B$11:$C$447,2,0)</f>
        <v>#N/A</v>
      </c>
      <c r="C1705" s="1538" t="s">
        <v>1558</v>
      </c>
      <c r="D1705" s="1468" t="s">
        <v>1559</v>
      </c>
      <c r="E1705" s="1468" t="s">
        <v>15</v>
      </c>
      <c r="F1705" s="1468"/>
      <c r="G1705" s="1540">
        <v>40000</v>
      </c>
      <c r="H1705" s="1540">
        <v>524139.33600000001</v>
      </c>
      <c r="I1705" s="1540">
        <v>524139.33600000001</v>
      </c>
      <c r="J1705" s="1466">
        <f t="shared" si="78"/>
        <v>1088278.672</v>
      </c>
      <c r="K1705" s="1466"/>
      <c r="L1705" s="1466"/>
      <c r="M1705" s="1540">
        <f t="shared" si="79"/>
        <v>1088278.672</v>
      </c>
      <c r="N1705" s="1552"/>
      <c r="P1705" s="559"/>
    </row>
    <row r="1706" spans="1:16" s="540" customFormat="1" ht="14.25" customHeight="1">
      <c r="A1706" s="1551">
        <v>12</v>
      </c>
      <c r="B1706" s="1537" t="e">
        <f>VLOOKUP(D1706,'[2]DS CN MOI UP'!$B$11:$C$447,2,0)</f>
        <v>#N/A</v>
      </c>
      <c r="C1706" s="1538" t="s">
        <v>1560</v>
      </c>
      <c r="D1706" s="1468" t="s">
        <v>1561</v>
      </c>
      <c r="E1706" s="1468" t="s">
        <v>15</v>
      </c>
      <c r="F1706" s="1468"/>
      <c r="G1706" s="1540">
        <v>40000</v>
      </c>
      <c r="H1706" s="1540">
        <v>635040.18900000001</v>
      </c>
      <c r="I1706" s="1540">
        <v>524139.33600000001</v>
      </c>
      <c r="J1706" s="1466">
        <f t="shared" si="78"/>
        <v>1199179.5249999999</v>
      </c>
      <c r="K1706" s="1466"/>
      <c r="L1706" s="1466"/>
      <c r="M1706" s="1540">
        <f t="shared" si="79"/>
        <v>1199179.5249999999</v>
      </c>
      <c r="N1706" s="1552"/>
      <c r="P1706" s="559"/>
    </row>
    <row r="1707" spans="1:16" s="540" customFormat="1" ht="14.25" customHeight="1">
      <c r="A1707" s="1551">
        <v>13</v>
      </c>
      <c r="B1707" s="1537" t="e">
        <f>VLOOKUP(D1707,'[2]DS CN MOI UP'!$B$11:$C$447,2,0)</f>
        <v>#N/A</v>
      </c>
      <c r="C1707" s="1538" t="s">
        <v>1562</v>
      </c>
      <c r="D1707" s="1468" t="s">
        <v>1563</v>
      </c>
      <c r="E1707" s="1468" t="s">
        <v>15</v>
      </c>
      <c r="F1707" s="1468"/>
      <c r="G1707" s="1540">
        <v>40000</v>
      </c>
      <c r="H1707" s="1540">
        <v>635040.18900000001</v>
      </c>
      <c r="I1707" s="1540">
        <v>524139.33600000001</v>
      </c>
      <c r="J1707" s="1466">
        <f t="shared" si="78"/>
        <v>1199179.5249999999</v>
      </c>
      <c r="K1707" s="1466"/>
      <c r="L1707" s="1466"/>
      <c r="M1707" s="1540">
        <f t="shared" si="79"/>
        <v>1199179.5249999999</v>
      </c>
      <c r="N1707" s="1552"/>
      <c r="P1707" s="559"/>
    </row>
    <row r="1708" spans="1:16" s="540" customFormat="1" ht="14.25" customHeight="1">
      <c r="A1708" s="1551">
        <v>14</v>
      </c>
      <c r="B1708" s="1537" t="e">
        <f>VLOOKUP(D1708,'[2]DS CN MOI UP'!$B$11:$C$447,2,0)</f>
        <v>#N/A</v>
      </c>
      <c r="C1708" s="1538" t="s">
        <v>1564</v>
      </c>
      <c r="D1708" s="1468" t="s">
        <v>1565</v>
      </c>
      <c r="E1708" s="1468" t="s">
        <v>15</v>
      </c>
      <c r="F1708" s="1468"/>
      <c r="G1708" s="1540">
        <v>40000</v>
      </c>
      <c r="H1708" s="1540">
        <v>554373.09900000005</v>
      </c>
      <c r="I1708" s="1540">
        <v>524139.33600000001</v>
      </c>
      <c r="J1708" s="1466">
        <f t="shared" si="78"/>
        <v>1118512.4350000001</v>
      </c>
      <c r="K1708" s="1466"/>
      <c r="L1708" s="1466"/>
      <c r="M1708" s="1540">
        <f t="shared" si="79"/>
        <v>1118512.4350000001</v>
      </c>
      <c r="N1708" s="1552"/>
      <c r="P1708" s="559"/>
    </row>
    <row r="1709" spans="1:16" s="540" customFormat="1" ht="14.25" customHeight="1">
      <c r="A1709" s="1551">
        <v>15</v>
      </c>
      <c r="B1709" s="1537" t="e">
        <f>VLOOKUP(D1709,'[2]DS CN MOI UP'!$B$11:$C$447,2,0)</f>
        <v>#N/A</v>
      </c>
      <c r="C1709" s="1538" t="s">
        <v>1566</v>
      </c>
      <c r="D1709" s="1468" t="s">
        <v>1567</v>
      </c>
      <c r="E1709" s="1468" t="s">
        <v>15</v>
      </c>
      <c r="F1709" s="1468"/>
      <c r="G1709" s="1540">
        <v>60000</v>
      </c>
      <c r="H1709" s="1540">
        <v>554373.09900000005</v>
      </c>
      <c r="I1709" s="1540">
        <v>524139.33600000001</v>
      </c>
      <c r="J1709" s="1466">
        <f t="shared" si="78"/>
        <v>1138512.4350000001</v>
      </c>
      <c r="K1709" s="1466"/>
      <c r="L1709" s="1466"/>
      <c r="M1709" s="1540">
        <f t="shared" si="79"/>
        <v>1138512.4350000001</v>
      </c>
      <c r="N1709" s="1552"/>
      <c r="P1709" s="559"/>
    </row>
    <row r="1710" spans="1:16" s="540" customFormat="1" ht="14.25" customHeight="1">
      <c r="A1710" s="1551">
        <v>16</v>
      </c>
      <c r="B1710" s="1537" t="e">
        <f>VLOOKUP(D1710,'[2]DS CN MOI UP'!$B$11:$C$447,2,0)</f>
        <v>#N/A</v>
      </c>
      <c r="C1710" s="1538" t="s">
        <v>1568</v>
      </c>
      <c r="D1710" s="1468" t="s">
        <v>1569</v>
      </c>
      <c r="E1710" s="1468" t="s">
        <v>15</v>
      </c>
      <c r="F1710" s="1468"/>
      <c r="G1710" s="1540">
        <v>40000</v>
      </c>
      <c r="H1710" s="1540">
        <v>554373.09900000005</v>
      </c>
      <c r="I1710" s="1540">
        <v>524139.33600000001</v>
      </c>
      <c r="J1710" s="1466">
        <f t="shared" si="78"/>
        <v>1118512.4350000001</v>
      </c>
      <c r="K1710" s="1466"/>
      <c r="L1710" s="1466"/>
      <c r="M1710" s="1540">
        <f t="shared" si="79"/>
        <v>1118512.4350000001</v>
      </c>
      <c r="N1710" s="1552"/>
      <c r="P1710" s="559"/>
    </row>
    <row r="1711" spans="1:16" s="540" customFormat="1" ht="14.25" customHeight="1">
      <c r="A1711" s="1551">
        <v>17</v>
      </c>
      <c r="B1711" s="1537" t="e">
        <f>VLOOKUP(D1711,'[2]DS CN MOI UP'!$B$11:$C$447,2,0)</f>
        <v>#N/A</v>
      </c>
      <c r="C1711" s="1538" t="s">
        <v>1570</v>
      </c>
      <c r="D1711" s="1468" t="s">
        <v>1571</v>
      </c>
      <c r="E1711" s="1468" t="s">
        <v>15</v>
      </c>
      <c r="F1711" s="1468"/>
      <c r="G1711" s="1540">
        <v>40000</v>
      </c>
      <c r="H1711" s="1540">
        <v>554373.09900000005</v>
      </c>
      <c r="I1711" s="1540">
        <v>524139.33600000001</v>
      </c>
      <c r="J1711" s="1466">
        <f t="shared" si="78"/>
        <v>1118512.4350000001</v>
      </c>
      <c r="K1711" s="1466"/>
      <c r="L1711" s="1466"/>
      <c r="M1711" s="1540">
        <f t="shared" si="79"/>
        <v>1118512.4350000001</v>
      </c>
      <c r="N1711" s="1552"/>
      <c r="P1711" s="559"/>
    </row>
    <row r="1712" spans="1:16" s="540" customFormat="1" ht="14.25" customHeight="1">
      <c r="A1712" s="1551">
        <v>18</v>
      </c>
      <c r="B1712" s="1537" t="e">
        <f>VLOOKUP(D1712,'[2]DS CN MOI UP'!$B$11:$C$447,2,0)</f>
        <v>#N/A</v>
      </c>
      <c r="C1712" s="1538" t="s">
        <v>1572</v>
      </c>
      <c r="D1712" s="1468" t="s">
        <v>1573</v>
      </c>
      <c r="E1712" s="1468" t="s">
        <v>15</v>
      </c>
      <c r="F1712" s="1468"/>
      <c r="G1712" s="1540">
        <v>40000</v>
      </c>
      <c r="H1712" s="1540">
        <v>554373.09900000005</v>
      </c>
      <c r="I1712" s="1540">
        <v>524139.33600000001</v>
      </c>
      <c r="J1712" s="1466">
        <f t="shared" si="78"/>
        <v>1118512.4350000001</v>
      </c>
      <c r="K1712" s="1466"/>
      <c r="L1712" s="1466"/>
      <c r="M1712" s="1540">
        <f t="shared" si="79"/>
        <v>1118512.4350000001</v>
      </c>
      <c r="N1712" s="1552"/>
      <c r="P1712" s="559"/>
    </row>
    <row r="1713" spans="1:16" s="540" customFormat="1" ht="14.25" customHeight="1">
      <c r="A1713" s="1551">
        <v>19</v>
      </c>
      <c r="B1713" s="1537" t="e">
        <f>VLOOKUP(D1713,'[2]DS CN MOI UP'!$B$11:$C$447,2,0)</f>
        <v>#N/A</v>
      </c>
      <c r="C1713" s="1538" t="s">
        <v>1574</v>
      </c>
      <c r="D1713" s="1468" t="s">
        <v>1575</v>
      </c>
      <c r="E1713" s="1468" t="s">
        <v>15</v>
      </c>
      <c r="F1713" s="1468"/>
      <c r="G1713" s="1540">
        <v>40000</v>
      </c>
      <c r="H1713" s="1540">
        <v>635040.18900000001</v>
      </c>
      <c r="I1713" s="1540">
        <v>524139.33600000001</v>
      </c>
      <c r="J1713" s="1466">
        <f t="shared" si="78"/>
        <v>1199179.5249999999</v>
      </c>
      <c r="K1713" s="1466"/>
      <c r="L1713" s="1466"/>
      <c r="M1713" s="1540">
        <f t="shared" si="79"/>
        <v>1199179.5249999999</v>
      </c>
      <c r="N1713" s="1552"/>
      <c r="P1713" s="559"/>
    </row>
    <row r="1714" spans="1:16" s="540" customFormat="1" ht="14.25" customHeight="1">
      <c r="A1714" s="1551">
        <v>20</v>
      </c>
      <c r="B1714" s="1537" t="e">
        <f>VLOOKUP(D1714,'[2]DS CN MOI UP'!$B$11:$C$447,2,0)</f>
        <v>#N/A</v>
      </c>
      <c r="C1714" s="1538" t="s">
        <v>1576</v>
      </c>
      <c r="D1714" s="1468" t="s">
        <v>1577</v>
      </c>
      <c r="E1714" s="1468" t="s">
        <v>15</v>
      </c>
      <c r="F1714" s="1468"/>
      <c r="G1714" s="1540">
        <v>40000</v>
      </c>
      <c r="H1714" s="1540">
        <v>544338.9</v>
      </c>
      <c r="I1714" s="1540">
        <v>524139.33600000001</v>
      </c>
      <c r="J1714" s="1466">
        <f t="shared" si="78"/>
        <v>1108478.236</v>
      </c>
      <c r="K1714" s="1466"/>
      <c r="L1714" s="1466"/>
      <c r="M1714" s="1540">
        <f t="shared" si="79"/>
        <v>1108478.236</v>
      </c>
      <c r="N1714" s="1552"/>
      <c r="P1714" s="559"/>
    </row>
    <row r="1715" spans="1:16" s="540" customFormat="1" ht="14.25" customHeight="1">
      <c r="A1715" s="1551">
        <v>21</v>
      </c>
      <c r="B1715" s="1537" t="e">
        <f>VLOOKUP(D1715,'[2]DS CN MOI UP'!$B$11:$C$447,2,0)</f>
        <v>#N/A</v>
      </c>
      <c r="C1715" s="1538" t="s">
        <v>1578</v>
      </c>
      <c r="D1715" s="1468" t="s">
        <v>1579</v>
      </c>
      <c r="E1715" s="1468" t="s">
        <v>15</v>
      </c>
      <c r="F1715" s="1468"/>
      <c r="G1715" s="1540">
        <v>40000</v>
      </c>
      <c r="H1715" s="1540">
        <v>574572.66299999994</v>
      </c>
      <c r="I1715" s="1540">
        <v>524139.33600000001</v>
      </c>
      <c r="J1715" s="1466">
        <f t="shared" si="78"/>
        <v>1138711.9990000001</v>
      </c>
      <c r="K1715" s="1466"/>
      <c r="L1715" s="1466"/>
      <c r="M1715" s="1540">
        <f t="shared" si="79"/>
        <v>1138711.9990000001</v>
      </c>
      <c r="N1715" s="1552"/>
      <c r="P1715" s="559"/>
    </row>
    <row r="1716" spans="1:16" s="540" customFormat="1" ht="14.25" customHeight="1">
      <c r="A1716" s="1551">
        <v>22</v>
      </c>
      <c r="B1716" s="1537" t="e">
        <f>VLOOKUP(D1716,'[2]DS CN MOI UP'!$B$11:$C$447,2,0)</f>
        <v>#N/A</v>
      </c>
      <c r="C1716" s="1538" t="s">
        <v>1580</v>
      </c>
      <c r="D1716" s="1468" t="s">
        <v>1581</v>
      </c>
      <c r="E1716" s="1468" t="s">
        <v>15</v>
      </c>
      <c r="F1716" s="1468"/>
      <c r="G1716" s="1540">
        <v>40000</v>
      </c>
      <c r="H1716" s="1540">
        <v>604806.42599999998</v>
      </c>
      <c r="I1716" s="1540">
        <v>524139.33600000001</v>
      </c>
      <c r="J1716" s="1466">
        <f t="shared" si="78"/>
        <v>1168945.7620000001</v>
      </c>
      <c r="K1716" s="1466"/>
      <c r="L1716" s="1466"/>
      <c r="M1716" s="1540">
        <f t="shared" si="79"/>
        <v>1168945.7620000001</v>
      </c>
      <c r="N1716" s="1552"/>
      <c r="P1716" s="559"/>
    </row>
    <row r="1717" spans="1:16" s="540" customFormat="1" ht="14.25" customHeight="1">
      <c r="A1717" s="1551">
        <v>23</v>
      </c>
      <c r="B1717" s="1537" t="e">
        <f>VLOOKUP(D1717,'[2]DS CN MOI UP'!$B$11:$C$447,2,0)</f>
        <v>#N/A</v>
      </c>
      <c r="C1717" s="1538" t="s">
        <v>1582</v>
      </c>
      <c r="D1717" s="1468" t="s">
        <v>1583</v>
      </c>
      <c r="E1717" s="1468" t="s">
        <v>15</v>
      </c>
      <c r="F1717" s="1468"/>
      <c r="G1717" s="1540">
        <v>40000</v>
      </c>
      <c r="H1717" s="1540">
        <v>584606.86199999996</v>
      </c>
      <c r="I1717" s="1540">
        <v>524139.33600000001</v>
      </c>
      <c r="J1717" s="1466">
        <f t="shared" si="78"/>
        <v>1148746.1980000001</v>
      </c>
      <c r="K1717" s="1466"/>
      <c r="L1717" s="1466"/>
      <c r="M1717" s="1540">
        <f t="shared" si="79"/>
        <v>1148746.1980000001</v>
      </c>
      <c r="N1717" s="1552"/>
      <c r="P1717" s="559"/>
    </row>
    <row r="1718" spans="1:16" s="540" customFormat="1" ht="14.25" customHeight="1">
      <c r="A1718" s="1551">
        <v>24</v>
      </c>
      <c r="B1718" s="1537" t="e">
        <f>VLOOKUP(D1718,'[2]DS CN MOI UP'!$B$11:$C$447,2,0)</f>
        <v>#N/A</v>
      </c>
      <c r="C1718" s="1538" t="s">
        <v>1584</v>
      </c>
      <c r="D1718" s="1468" t="s">
        <v>1585</v>
      </c>
      <c r="E1718" s="1468" t="s">
        <v>15</v>
      </c>
      <c r="F1718" s="1468"/>
      <c r="G1718" s="1540">
        <v>40000</v>
      </c>
      <c r="H1718" s="1540">
        <v>635040.18900000001</v>
      </c>
      <c r="I1718" s="1540">
        <v>524139.33600000001</v>
      </c>
      <c r="J1718" s="1466">
        <f t="shared" si="78"/>
        <v>1199179.5249999999</v>
      </c>
      <c r="K1718" s="1466"/>
      <c r="L1718" s="1466"/>
      <c r="M1718" s="1540">
        <f t="shared" si="79"/>
        <v>1199179.5249999999</v>
      </c>
      <c r="N1718" s="1552"/>
      <c r="P1718" s="559"/>
    </row>
    <row r="1719" spans="1:16" s="540" customFormat="1" ht="14.25" customHeight="1">
      <c r="A1719" s="1551">
        <v>25</v>
      </c>
      <c r="B1719" s="1537" t="e">
        <f>VLOOKUP(D1719,'[2]DS CN MOI UP'!$B$11:$C$447,2,0)</f>
        <v>#N/A</v>
      </c>
      <c r="C1719" s="1538" t="s">
        <v>1586</v>
      </c>
      <c r="D1719" s="1468" t="s">
        <v>1587</v>
      </c>
      <c r="E1719" s="1468" t="s">
        <v>15</v>
      </c>
      <c r="F1719" s="1468"/>
      <c r="G1719" s="1540">
        <v>40000</v>
      </c>
      <c r="H1719" s="1540">
        <v>524139.33600000001</v>
      </c>
      <c r="I1719" s="1540">
        <v>524139.33600000001</v>
      </c>
      <c r="J1719" s="1466">
        <f t="shared" si="78"/>
        <v>1088278.672</v>
      </c>
      <c r="K1719" s="1466"/>
      <c r="L1719" s="1466"/>
      <c r="M1719" s="1540">
        <f t="shared" si="79"/>
        <v>1088278.672</v>
      </c>
      <c r="N1719" s="1552"/>
      <c r="P1719" s="559"/>
    </row>
    <row r="1720" spans="1:16" s="540" customFormat="1" ht="14.25" customHeight="1">
      <c r="A1720" s="1551">
        <v>26</v>
      </c>
      <c r="B1720" s="1537" t="e">
        <f>VLOOKUP(D1720,'[2]DS CN MOI UP'!$B$11:$C$447,2,0)</f>
        <v>#N/A</v>
      </c>
      <c r="C1720" s="166" t="s">
        <v>1588</v>
      </c>
      <c r="D1720" s="1468" t="s">
        <v>1589</v>
      </c>
      <c r="E1720" s="1468" t="s">
        <v>15</v>
      </c>
      <c r="F1720" s="1468"/>
      <c r="G1720" s="1540">
        <v>40000</v>
      </c>
      <c r="H1720" s="1540">
        <v>635040.18900000001</v>
      </c>
      <c r="I1720" s="1540">
        <v>524139.33600000001</v>
      </c>
      <c r="J1720" s="1466">
        <f t="shared" si="78"/>
        <v>1199179.5249999999</v>
      </c>
      <c r="K1720" s="1466"/>
      <c r="L1720" s="1466"/>
      <c r="M1720" s="1540">
        <f t="shared" si="79"/>
        <v>1199179.5249999999</v>
      </c>
      <c r="N1720" s="1552"/>
      <c r="P1720" s="559"/>
    </row>
    <row r="1721" spans="1:16" s="540" customFormat="1" ht="14.25" customHeight="1">
      <c r="A1721" s="1551">
        <v>27</v>
      </c>
      <c r="B1721" s="1537" t="e">
        <f>VLOOKUP(D1721,'[2]DS CN MOI UP'!$B$11:$C$447,2,0)</f>
        <v>#N/A</v>
      </c>
      <c r="C1721" s="1538" t="s">
        <v>1590</v>
      </c>
      <c r="D1721" s="1468" t="s">
        <v>1591</v>
      </c>
      <c r="E1721" s="1468" t="s">
        <v>15</v>
      </c>
      <c r="F1721" s="1468"/>
      <c r="G1721" s="1540">
        <v>40000</v>
      </c>
      <c r="H1721" s="1540">
        <v>635040.18900000001</v>
      </c>
      <c r="I1721" s="1540">
        <v>524139.33600000001</v>
      </c>
      <c r="J1721" s="1466">
        <f t="shared" si="78"/>
        <v>1199179.5249999999</v>
      </c>
      <c r="K1721" s="1466"/>
      <c r="L1721" s="1466"/>
      <c r="M1721" s="1540">
        <f t="shared" si="79"/>
        <v>1199179.5249999999</v>
      </c>
      <c r="N1721" s="1552"/>
      <c r="P1721" s="559"/>
    </row>
    <row r="1722" spans="1:16" s="540" customFormat="1" ht="14.25" customHeight="1">
      <c r="A1722" s="1551">
        <v>28</v>
      </c>
      <c r="B1722" s="1537" t="e">
        <f>VLOOKUP(D1722,'[2]DS CN MOI UP'!$B$11:$C$447,2,0)</f>
        <v>#N/A</v>
      </c>
      <c r="C1722" s="1538" t="s">
        <v>1592</v>
      </c>
      <c r="D1722" s="1468" t="s">
        <v>1593</v>
      </c>
      <c r="E1722" s="1468" t="s">
        <v>15</v>
      </c>
      <c r="F1722" s="1468"/>
      <c r="G1722" s="1540">
        <v>40000</v>
      </c>
      <c r="H1722" s="1540">
        <v>554373.09900000005</v>
      </c>
      <c r="I1722" s="1540">
        <v>524139.33600000001</v>
      </c>
      <c r="J1722" s="1466">
        <f t="shared" si="78"/>
        <v>1118512.4350000001</v>
      </c>
      <c r="K1722" s="1466"/>
      <c r="L1722" s="1466"/>
      <c r="M1722" s="1540">
        <f t="shared" si="79"/>
        <v>1118512.4350000001</v>
      </c>
      <c r="N1722" s="1552"/>
      <c r="P1722" s="559"/>
    </row>
    <row r="1723" spans="1:16" s="540" customFormat="1" ht="14.25" customHeight="1">
      <c r="A1723" s="1551">
        <v>29</v>
      </c>
      <c r="B1723" s="1537" t="e">
        <f>VLOOKUP(D1723,'[2]DS CN MOI UP'!$B$11:$C$447,2,0)</f>
        <v>#N/A</v>
      </c>
      <c r="C1723" s="1538" t="s">
        <v>1594</v>
      </c>
      <c r="D1723" s="1468" t="s">
        <v>1121</v>
      </c>
      <c r="E1723" s="1468" t="s">
        <v>15</v>
      </c>
      <c r="F1723" s="1468"/>
      <c r="G1723" s="1540">
        <v>60000</v>
      </c>
      <c r="H1723" s="1540">
        <v>554373.09900000005</v>
      </c>
      <c r="I1723" s="1540">
        <v>524139.33600000001</v>
      </c>
      <c r="J1723" s="1466">
        <f t="shared" si="78"/>
        <v>1138512.4350000001</v>
      </c>
      <c r="K1723" s="1466"/>
      <c r="L1723" s="1466"/>
      <c r="M1723" s="1540">
        <f t="shared" si="79"/>
        <v>1138512.4350000001</v>
      </c>
      <c r="N1723" s="1552"/>
      <c r="P1723" s="559"/>
    </row>
    <row r="1724" spans="1:16" s="540" customFormat="1" ht="14.25" customHeight="1">
      <c r="A1724" s="1551">
        <v>30</v>
      </c>
      <c r="B1724" s="1537" t="e">
        <f>VLOOKUP(D1724,'[2]DS CN MOI UP'!$B$11:$C$447,2,0)</f>
        <v>#N/A</v>
      </c>
      <c r="C1724" s="1538" t="s">
        <v>1595</v>
      </c>
      <c r="D1724" s="1468" t="s">
        <v>1596</v>
      </c>
      <c r="E1724" s="1468" t="s">
        <v>15</v>
      </c>
      <c r="F1724" s="1468"/>
      <c r="G1724" s="1540">
        <v>40000</v>
      </c>
      <c r="H1724" s="1540">
        <v>554373.09900000005</v>
      </c>
      <c r="I1724" s="1540">
        <v>524139.33600000001</v>
      </c>
      <c r="J1724" s="1466">
        <f t="shared" si="78"/>
        <v>1118512.4350000001</v>
      </c>
      <c r="K1724" s="1466"/>
      <c r="L1724" s="1466"/>
      <c r="M1724" s="1540">
        <f t="shared" si="79"/>
        <v>1118512.4350000001</v>
      </c>
      <c r="N1724" s="1552"/>
      <c r="P1724" s="559"/>
    </row>
    <row r="1725" spans="1:16" s="540" customFormat="1" ht="14.25" customHeight="1">
      <c r="A1725" s="1551">
        <v>31</v>
      </c>
      <c r="B1725" s="1537" t="e">
        <f>VLOOKUP(D1725,'[2]DS CN MOI UP'!$B$11:$C$447,2,0)</f>
        <v>#N/A</v>
      </c>
      <c r="C1725" s="1538" t="s">
        <v>1597</v>
      </c>
      <c r="D1725" s="1468" t="s">
        <v>1598</v>
      </c>
      <c r="E1725" s="1468" t="s">
        <v>15</v>
      </c>
      <c r="F1725" s="1468"/>
      <c r="G1725" s="1540">
        <v>40000</v>
      </c>
      <c r="H1725" s="1540">
        <v>554373.09900000005</v>
      </c>
      <c r="I1725" s="1540">
        <v>524139.33600000001</v>
      </c>
      <c r="J1725" s="1466">
        <f t="shared" si="78"/>
        <v>1118512.4350000001</v>
      </c>
      <c r="K1725" s="1466"/>
      <c r="L1725" s="1466"/>
      <c r="M1725" s="1540">
        <f t="shared" si="79"/>
        <v>1118512.4350000001</v>
      </c>
      <c r="N1725" s="1552"/>
      <c r="P1725" s="559"/>
    </row>
    <row r="1726" spans="1:16" s="540" customFormat="1" ht="14.25" customHeight="1">
      <c r="A1726" s="1551">
        <v>32</v>
      </c>
      <c r="B1726" s="1537" t="e">
        <f>VLOOKUP(D1726,'[2]DS CN MOI UP'!$B$11:$C$447,2,0)</f>
        <v>#N/A</v>
      </c>
      <c r="C1726" s="1538" t="s">
        <v>1599</v>
      </c>
      <c r="D1726" s="1468" t="s">
        <v>1600</v>
      </c>
      <c r="E1726" s="1468" t="s">
        <v>15</v>
      </c>
      <c r="F1726" s="1468"/>
      <c r="G1726" s="1540">
        <v>40000</v>
      </c>
      <c r="H1726" s="1540">
        <v>554373.09900000005</v>
      </c>
      <c r="I1726" s="1540">
        <v>524139.33600000001</v>
      </c>
      <c r="J1726" s="1466">
        <f t="shared" si="78"/>
        <v>1118512.4350000001</v>
      </c>
      <c r="K1726" s="1466"/>
      <c r="L1726" s="1466"/>
      <c r="M1726" s="1540">
        <f t="shared" si="79"/>
        <v>1118512.4350000001</v>
      </c>
      <c r="N1726" s="1552"/>
      <c r="P1726" s="559"/>
    </row>
    <row r="1727" spans="1:16" s="540" customFormat="1" ht="14.25" customHeight="1">
      <c r="A1727" s="1551">
        <v>33</v>
      </c>
      <c r="B1727" s="1537" t="e">
        <f>VLOOKUP(D1727,'[2]DS CN MOI UP'!$B$11:$C$447,2,0)</f>
        <v>#N/A</v>
      </c>
      <c r="C1727" s="1538" t="s">
        <v>1601</v>
      </c>
      <c r="D1727" s="1468" t="s">
        <v>1602</v>
      </c>
      <c r="E1727" s="1468" t="s">
        <v>15</v>
      </c>
      <c r="F1727" s="1468"/>
      <c r="G1727" s="1540">
        <v>40000</v>
      </c>
      <c r="H1727" s="1540">
        <v>635040.18900000001</v>
      </c>
      <c r="I1727" s="1540">
        <v>524139.33600000001</v>
      </c>
      <c r="J1727" s="1466">
        <f t="shared" si="78"/>
        <v>1199179.5249999999</v>
      </c>
      <c r="K1727" s="1466"/>
      <c r="L1727" s="1466"/>
      <c r="M1727" s="1540">
        <f t="shared" si="79"/>
        <v>1199179.5249999999</v>
      </c>
      <c r="N1727" s="1552"/>
      <c r="P1727" s="559"/>
    </row>
    <row r="1728" spans="1:16" s="540" customFormat="1" ht="14.25" customHeight="1">
      <c r="A1728" s="1551">
        <v>34</v>
      </c>
      <c r="B1728" s="1537" t="e">
        <f>VLOOKUP(D1728,'[2]DS CN MOI UP'!$B$11:$C$447,2,0)</f>
        <v>#N/A</v>
      </c>
      <c r="C1728" s="1538" t="s">
        <v>1603</v>
      </c>
      <c r="D1728" s="1468" t="s">
        <v>1604</v>
      </c>
      <c r="E1728" s="1468" t="s">
        <v>15</v>
      </c>
      <c r="F1728" s="1468"/>
      <c r="G1728" s="1540">
        <v>40000</v>
      </c>
      <c r="H1728" s="1540">
        <v>544338.9</v>
      </c>
      <c r="I1728" s="1540">
        <v>524139.33600000001</v>
      </c>
      <c r="J1728" s="1466">
        <f t="shared" si="78"/>
        <v>1108478.236</v>
      </c>
      <c r="K1728" s="1466"/>
      <c r="L1728" s="1466"/>
      <c r="M1728" s="1540">
        <f t="shared" si="79"/>
        <v>1108478.236</v>
      </c>
      <c r="N1728" s="1552"/>
      <c r="P1728" s="559"/>
    </row>
    <row r="1729" spans="1:16" s="540" customFormat="1" ht="14.25" customHeight="1">
      <c r="A1729" s="1551">
        <v>35</v>
      </c>
      <c r="B1729" s="1537" t="e">
        <f>VLOOKUP(D1729,'[2]DS CN MOI UP'!$B$11:$C$447,2,0)</f>
        <v>#N/A</v>
      </c>
      <c r="C1729" s="1538" t="s">
        <v>1605</v>
      </c>
      <c r="D1729" s="1468" t="s">
        <v>1606</v>
      </c>
      <c r="E1729" s="1468" t="s">
        <v>15</v>
      </c>
      <c r="F1729" s="1468"/>
      <c r="G1729" s="1540">
        <v>40000</v>
      </c>
      <c r="H1729" s="1540">
        <v>574572.66299999994</v>
      </c>
      <c r="I1729" s="1540">
        <v>524139.33600000001</v>
      </c>
      <c r="J1729" s="1466">
        <f t="shared" si="78"/>
        <v>1138711.9990000001</v>
      </c>
      <c r="K1729" s="1466"/>
      <c r="L1729" s="1466"/>
      <c r="M1729" s="1540">
        <f t="shared" si="79"/>
        <v>1138711.9990000001</v>
      </c>
      <c r="N1729" s="1552"/>
      <c r="P1729" s="559"/>
    </row>
    <row r="1730" spans="1:16" s="540" customFormat="1" ht="14.25" customHeight="1">
      <c r="A1730" s="1551">
        <v>36</v>
      </c>
      <c r="B1730" s="1537" t="e">
        <f>VLOOKUP(D1730,'[2]DS CN MOI UP'!$B$11:$C$447,2,0)</f>
        <v>#N/A</v>
      </c>
      <c r="C1730" s="1538" t="s">
        <v>1607</v>
      </c>
      <c r="D1730" s="1468" t="s">
        <v>1608</v>
      </c>
      <c r="E1730" s="1468" t="s">
        <v>15</v>
      </c>
      <c r="F1730" s="1468"/>
      <c r="G1730" s="1540">
        <v>40000</v>
      </c>
      <c r="H1730" s="1540">
        <v>604806.42599999998</v>
      </c>
      <c r="I1730" s="1540">
        <v>524139.33600000001</v>
      </c>
      <c r="J1730" s="1466">
        <f t="shared" si="78"/>
        <v>1168945.7620000001</v>
      </c>
      <c r="K1730" s="1466"/>
      <c r="L1730" s="1466"/>
      <c r="M1730" s="1540">
        <f t="shared" si="79"/>
        <v>1168945.7620000001</v>
      </c>
      <c r="N1730" s="1552"/>
      <c r="P1730" s="559"/>
    </row>
    <row r="1731" spans="1:16" s="540" customFormat="1" ht="14.25" customHeight="1">
      <c r="A1731" s="1551">
        <v>37</v>
      </c>
      <c r="B1731" s="1537" t="e">
        <f>VLOOKUP(D1731,'[2]DS CN MOI UP'!$B$11:$C$447,2,0)</f>
        <v>#N/A</v>
      </c>
      <c r="C1731" s="1538" t="s">
        <v>1609</v>
      </c>
      <c r="D1731" s="1468" t="s">
        <v>1610</v>
      </c>
      <c r="E1731" s="1468" t="s">
        <v>15</v>
      </c>
      <c r="F1731" s="1468"/>
      <c r="G1731" s="1540">
        <v>40000</v>
      </c>
      <c r="H1731" s="1540">
        <v>584606.86199999996</v>
      </c>
      <c r="I1731" s="1540">
        <v>524139.33600000001</v>
      </c>
      <c r="J1731" s="1466">
        <f t="shared" si="78"/>
        <v>1148746.1980000001</v>
      </c>
      <c r="K1731" s="1466"/>
      <c r="L1731" s="1466"/>
      <c r="M1731" s="1540">
        <f t="shared" si="79"/>
        <v>1148746.1980000001</v>
      </c>
      <c r="N1731" s="1552"/>
      <c r="P1731" s="559"/>
    </row>
    <row r="1732" spans="1:16" s="540" customFormat="1" ht="14.25" customHeight="1">
      <c r="A1732" s="1551">
        <v>38</v>
      </c>
      <c r="B1732" s="1537" t="e">
        <f>VLOOKUP(D1732,'[2]DS CN MOI UP'!$B$11:$C$447,2,0)</f>
        <v>#N/A</v>
      </c>
      <c r="C1732" s="1538" t="s">
        <v>1611</v>
      </c>
      <c r="D1732" s="1468" t="s">
        <v>782</v>
      </c>
      <c r="E1732" s="1468" t="s">
        <v>15</v>
      </c>
      <c r="F1732" s="1468"/>
      <c r="G1732" s="1540">
        <v>40000</v>
      </c>
      <c r="H1732" s="1540">
        <v>635040.18900000001</v>
      </c>
      <c r="I1732" s="1540">
        <v>524139.33600000001</v>
      </c>
      <c r="J1732" s="1466">
        <f t="shared" si="78"/>
        <v>1199179.5249999999</v>
      </c>
      <c r="K1732" s="1466"/>
      <c r="L1732" s="1466"/>
      <c r="M1732" s="1540">
        <f t="shared" si="79"/>
        <v>1199179.5249999999</v>
      </c>
      <c r="N1732" s="1552"/>
      <c r="P1732" s="559"/>
    </row>
    <row r="1733" spans="1:16" s="540" customFormat="1" ht="14.25" customHeight="1">
      <c r="A1733" s="1551">
        <v>39</v>
      </c>
      <c r="B1733" s="1537" t="e">
        <f>VLOOKUP(D1733,'[2]DS CN MOI UP'!$B$11:$C$447,2,0)</f>
        <v>#N/A</v>
      </c>
      <c r="C1733" s="1538" t="s">
        <v>1612</v>
      </c>
      <c r="D1733" s="1468" t="s">
        <v>1613</v>
      </c>
      <c r="E1733" s="1468" t="s">
        <v>15</v>
      </c>
      <c r="F1733" s="1468"/>
      <c r="G1733" s="1540">
        <v>40000</v>
      </c>
      <c r="H1733" s="1540">
        <v>524139.33600000001</v>
      </c>
      <c r="I1733" s="1540">
        <v>524139.33600000001</v>
      </c>
      <c r="J1733" s="1466">
        <f t="shared" si="78"/>
        <v>1088278.672</v>
      </c>
      <c r="K1733" s="1466"/>
      <c r="L1733" s="1466"/>
      <c r="M1733" s="1540">
        <f t="shared" si="79"/>
        <v>1088278.672</v>
      </c>
      <c r="N1733" s="1552"/>
      <c r="P1733" s="559"/>
    </row>
    <row r="1734" spans="1:16" s="540" customFormat="1" ht="14.25" customHeight="1">
      <c r="A1734" s="1551">
        <v>40</v>
      </c>
      <c r="B1734" s="1537" t="e">
        <f>VLOOKUP(D1734,'[2]DS CN MOI UP'!$B$11:$C$447,2,0)</f>
        <v>#N/A</v>
      </c>
      <c r="C1734" s="1538" t="s">
        <v>1614</v>
      </c>
      <c r="D1734" s="1468" t="s">
        <v>1615</v>
      </c>
      <c r="E1734" s="1468" t="s">
        <v>15</v>
      </c>
      <c r="F1734" s="1468"/>
      <c r="G1734" s="1540">
        <v>40000</v>
      </c>
      <c r="H1734" s="1540">
        <v>635040.18900000001</v>
      </c>
      <c r="I1734" s="1540">
        <v>524139.33600000001</v>
      </c>
      <c r="J1734" s="1466">
        <f t="shared" si="78"/>
        <v>1199179.5249999999</v>
      </c>
      <c r="K1734" s="1466"/>
      <c r="L1734" s="1466"/>
      <c r="M1734" s="1540">
        <f t="shared" si="79"/>
        <v>1199179.5249999999</v>
      </c>
      <c r="N1734" s="1552"/>
      <c r="P1734" s="559"/>
    </row>
    <row r="1735" spans="1:16" s="540" customFormat="1" ht="14.25" customHeight="1">
      <c r="A1735" s="1551">
        <v>41</v>
      </c>
      <c r="B1735" s="1537" t="e">
        <f>VLOOKUP(D1735,'[2]DS CN MOI UP'!$B$11:$C$447,2,0)</f>
        <v>#N/A</v>
      </c>
      <c r="C1735" s="1538" t="s">
        <v>1616</v>
      </c>
      <c r="D1735" s="1468" t="s">
        <v>1617</v>
      </c>
      <c r="E1735" s="1468" t="s">
        <v>15</v>
      </c>
      <c r="F1735" s="1468"/>
      <c r="G1735" s="1540">
        <v>40000</v>
      </c>
      <c r="H1735" s="1540">
        <v>635040.18900000001</v>
      </c>
      <c r="I1735" s="1540">
        <v>524139.33600000001</v>
      </c>
      <c r="J1735" s="1466">
        <f t="shared" si="78"/>
        <v>1199179.5249999999</v>
      </c>
      <c r="K1735" s="1466"/>
      <c r="L1735" s="1466"/>
      <c r="M1735" s="1540">
        <f t="shared" si="79"/>
        <v>1199179.5249999999</v>
      </c>
      <c r="N1735" s="1552"/>
      <c r="P1735" s="559"/>
    </row>
    <row r="1736" spans="1:16" s="540" customFormat="1" ht="14.25" customHeight="1">
      <c r="A1736" s="1551">
        <v>42</v>
      </c>
      <c r="B1736" s="1537" t="e">
        <f>VLOOKUP(D1736,'[2]DS CN MOI UP'!$B$11:$C$447,2,0)</f>
        <v>#N/A</v>
      </c>
      <c r="C1736" s="1538" t="s">
        <v>1618</v>
      </c>
      <c r="D1736" s="1468" t="s">
        <v>1619</v>
      </c>
      <c r="E1736" s="1468" t="s">
        <v>15</v>
      </c>
      <c r="F1736" s="1468"/>
      <c r="G1736" s="1540">
        <v>40000</v>
      </c>
      <c r="H1736" s="1540">
        <v>554373.09900000005</v>
      </c>
      <c r="I1736" s="1540">
        <v>524139.33600000001</v>
      </c>
      <c r="J1736" s="1466">
        <f t="shared" si="78"/>
        <v>1118512.4350000001</v>
      </c>
      <c r="K1736" s="1466"/>
      <c r="L1736" s="1466"/>
      <c r="M1736" s="1540">
        <f t="shared" si="79"/>
        <v>1118512.4350000001</v>
      </c>
      <c r="N1736" s="1552"/>
      <c r="P1736" s="559"/>
    </row>
    <row r="1737" spans="1:16" s="540" customFormat="1" ht="14.25" customHeight="1">
      <c r="A1737" s="1551">
        <v>43</v>
      </c>
      <c r="B1737" s="1537" t="e">
        <f>VLOOKUP(D1737,'[2]DS CN MOI UP'!$B$11:$C$447,2,0)</f>
        <v>#N/A</v>
      </c>
      <c r="C1737" s="1538" t="s">
        <v>1620</v>
      </c>
      <c r="D1737" s="1468" t="s">
        <v>1621</v>
      </c>
      <c r="E1737" s="1468" t="s">
        <v>15</v>
      </c>
      <c r="F1737" s="1468"/>
      <c r="G1737" s="1540">
        <v>60000</v>
      </c>
      <c r="H1737" s="1540">
        <v>554373.09900000005</v>
      </c>
      <c r="I1737" s="1540">
        <v>524139.33600000001</v>
      </c>
      <c r="J1737" s="1466">
        <f t="shared" si="78"/>
        <v>1138512.4350000001</v>
      </c>
      <c r="K1737" s="1466"/>
      <c r="L1737" s="1466"/>
      <c r="M1737" s="1540">
        <f t="shared" si="79"/>
        <v>1138512.4350000001</v>
      </c>
      <c r="N1737" s="1552"/>
      <c r="P1737" s="559"/>
    </row>
    <row r="1738" spans="1:16" s="540" customFormat="1" ht="14.25" customHeight="1">
      <c r="A1738" s="1551">
        <v>44</v>
      </c>
      <c r="B1738" s="1537" t="e">
        <f>VLOOKUP(D1738,'[2]DS CN MOI UP'!$B$11:$C$447,2,0)</f>
        <v>#N/A</v>
      </c>
      <c r="C1738" s="1538" t="s">
        <v>1622</v>
      </c>
      <c r="D1738" s="1468" t="s">
        <v>1623</v>
      </c>
      <c r="E1738" s="1468" t="s">
        <v>15</v>
      </c>
      <c r="F1738" s="1468"/>
      <c r="G1738" s="1540">
        <v>40000</v>
      </c>
      <c r="H1738" s="1540">
        <v>554373.09900000005</v>
      </c>
      <c r="I1738" s="1540">
        <v>524139.33600000001</v>
      </c>
      <c r="J1738" s="1466">
        <f t="shared" si="78"/>
        <v>1118512.4350000001</v>
      </c>
      <c r="K1738" s="1466"/>
      <c r="L1738" s="1466"/>
      <c r="M1738" s="1540">
        <f t="shared" si="79"/>
        <v>1118512.4350000001</v>
      </c>
      <c r="N1738" s="1552"/>
      <c r="P1738" s="559"/>
    </row>
    <row r="1739" spans="1:16" s="540" customFormat="1" ht="14.25" customHeight="1">
      <c r="A1739" s="1551">
        <v>45</v>
      </c>
      <c r="B1739" s="1537" t="e">
        <f>VLOOKUP(D1739,'[2]DS CN MOI UP'!$B$11:$C$447,2,0)</f>
        <v>#N/A</v>
      </c>
      <c r="C1739" s="1538" t="s">
        <v>1624</v>
      </c>
      <c r="D1739" s="1468" t="s">
        <v>794</v>
      </c>
      <c r="E1739" s="1468" t="s">
        <v>15</v>
      </c>
      <c r="F1739" s="1468"/>
      <c r="G1739" s="1540">
        <v>40000</v>
      </c>
      <c r="H1739" s="1540">
        <v>554373.09900000005</v>
      </c>
      <c r="I1739" s="1540">
        <v>524139.33600000001</v>
      </c>
      <c r="J1739" s="1466">
        <f t="shared" si="78"/>
        <v>1118512.4350000001</v>
      </c>
      <c r="K1739" s="1466"/>
      <c r="L1739" s="1466"/>
      <c r="M1739" s="1540">
        <f t="shared" si="79"/>
        <v>1118512.4350000001</v>
      </c>
      <c r="N1739" s="1552"/>
      <c r="P1739" s="559"/>
    </row>
    <row r="1740" spans="1:16" s="1531" customFormat="1" ht="14.25" customHeight="1">
      <c r="A1740" s="1551">
        <v>46</v>
      </c>
      <c r="B1740" s="1537" t="e">
        <f>VLOOKUP(D1740,'[2]DS CN MOI UP'!$B$11:$C$447,2,0)</f>
        <v>#N/A</v>
      </c>
      <c r="C1740" s="1538" t="s">
        <v>1625</v>
      </c>
      <c r="D1740" s="1468" t="s">
        <v>1626</v>
      </c>
      <c r="E1740" s="1468" t="s">
        <v>15</v>
      </c>
      <c r="F1740" s="1468"/>
      <c r="G1740" s="1540">
        <v>40000</v>
      </c>
      <c r="H1740" s="1540">
        <v>554373.09900000005</v>
      </c>
      <c r="I1740" s="1540">
        <v>524139.33600000001</v>
      </c>
      <c r="J1740" s="1466">
        <f t="shared" si="78"/>
        <v>1118512.4350000001</v>
      </c>
      <c r="K1740" s="1466"/>
      <c r="L1740" s="1466"/>
      <c r="M1740" s="1540">
        <f t="shared" si="79"/>
        <v>1118512.4350000001</v>
      </c>
      <c r="N1740" s="1552"/>
      <c r="O1740" s="1553"/>
      <c r="P1740" s="559"/>
    </row>
    <row r="1741" spans="1:16" s="1531" customFormat="1" ht="14.25" customHeight="1">
      <c r="A1741" s="1551">
        <v>47</v>
      </c>
      <c r="B1741" s="1537" t="e">
        <f>VLOOKUP(D1741,'[2]DS CN MOI UP'!$B$11:$C$447,2,0)</f>
        <v>#N/A</v>
      </c>
      <c r="C1741" s="1538" t="s">
        <v>1627</v>
      </c>
      <c r="D1741" s="1468" t="s">
        <v>1464</v>
      </c>
      <c r="E1741" s="1468" t="s">
        <v>15</v>
      </c>
      <c r="F1741" s="1468"/>
      <c r="G1741" s="1540">
        <v>40000</v>
      </c>
      <c r="H1741" s="1540">
        <v>635040.18900000001</v>
      </c>
      <c r="I1741" s="1540">
        <v>524139.33600000001</v>
      </c>
      <c r="J1741" s="1466">
        <f t="shared" si="78"/>
        <v>1199179.5249999999</v>
      </c>
      <c r="K1741" s="1466"/>
      <c r="L1741" s="1466"/>
      <c r="M1741" s="1540">
        <f t="shared" si="79"/>
        <v>1199179.5249999999</v>
      </c>
      <c r="N1741" s="1552"/>
      <c r="O1741" s="1553"/>
      <c r="P1741" s="559"/>
    </row>
    <row r="1742" spans="1:16" s="1531" customFormat="1" ht="14.25" customHeight="1">
      <c r="A1742" s="1551">
        <v>48</v>
      </c>
      <c r="B1742" s="1537" t="e">
        <f>VLOOKUP(D1742,'[2]DS CN MOI UP'!$B$11:$C$447,2,0)</f>
        <v>#N/A</v>
      </c>
      <c r="C1742" s="1538" t="s">
        <v>1628</v>
      </c>
      <c r="D1742" s="1468" t="s">
        <v>1629</v>
      </c>
      <c r="E1742" s="1468" t="s">
        <v>15</v>
      </c>
      <c r="F1742" s="1468"/>
      <c r="G1742" s="1540">
        <v>40000</v>
      </c>
      <c r="H1742" s="1540">
        <v>544338.9</v>
      </c>
      <c r="I1742" s="1540">
        <v>524139.33600000001</v>
      </c>
      <c r="J1742" s="1466">
        <f t="shared" si="78"/>
        <v>1108478.236</v>
      </c>
      <c r="K1742" s="1466"/>
      <c r="L1742" s="1466"/>
      <c r="M1742" s="1540">
        <f t="shared" si="79"/>
        <v>1108478.236</v>
      </c>
      <c r="N1742" s="1552"/>
      <c r="O1742" s="1553"/>
      <c r="P1742" s="559"/>
    </row>
    <row r="1743" spans="1:16" s="1531" customFormat="1" ht="14.25" customHeight="1">
      <c r="A1743" s="1551">
        <v>49</v>
      </c>
      <c r="B1743" s="1537" t="e">
        <f>VLOOKUP(D1743,'[2]DS CN MOI UP'!$B$11:$C$447,2,0)</f>
        <v>#N/A</v>
      </c>
      <c r="C1743" s="1538" t="s">
        <v>1628</v>
      </c>
      <c r="D1743" s="1468" t="s">
        <v>1630</v>
      </c>
      <c r="E1743" s="1468" t="s">
        <v>15</v>
      </c>
      <c r="F1743" s="1468"/>
      <c r="G1743" s="1540">
        <v>40000</v>
      </c>
      <c r="H1743" s="1540">
        <v>574572.66299999994</v>
      </c>
      <c r="I1743" s="1540">
        <v>524139.33600000001</v>
      </c>
      <c r="J1743" s="1466">
        <f t="shared" si="78"/>
        <v>1138711.9990000001</v>
      </c>
      <c r="K1743" s="1466"/>
      <c r="L1743" s="1466"/>
      <c r="M1743" s="1540">
        <f t="shared" si="79"/>
        <v>1138711.9990000001</v>
      </c>
      <c r="N1743" s="1552"/>
      <c r="O1743" s="1553"/>
      <c r="P1743" s="559"/>
    </row>
    <row r="1744" spans="1:16" s="1531" customFormat="1" ht="14.25" customHeight="1">
      <c r="A1744" s="1551">
        <v>50</v>
      </c>
      <c r="B1744" s="1537" t="e">
        <f>VLOOKUP(D1744,'[2]DS CN MOI UP'!$B$11:$C$447,2,0)</f>
        <v>#N/A</v>
      </c>
      <c r="C1744" s="1538" t="s">
        <v>1628</v>
      </c>
      <c r="D1744" s="1468" t="s">
        <v>1631</v>
      </c>
      <c r="E1744" s="1468" t="s">
        <v>15</v>
      </c>
      <c r="F1744" s="1468"/>
      <c r="G1744" s="1540">
        <v>40000</v>
      </c>
      <c r="H1744" s="1540">
        <v>604806.42599999998</v>
      </c>
      <c r="I1744" s="1540">
        <v>524139.33600000001</v>
      </c>
      <c r="J1744" s="1466">
        <f t="shared" si="78"/>
        <v>1168945.7620000001</v>
      </c>
      <c r="K1744" s="1466"/>
      <c r="L1744" s="1466"/>
      <c r="M1744" s="1540">
        <f t="shared" si="79"/>
        <v>1168945.7620000001</v>
      </c>
      <c r="N1744" s="1552"/>
      <c r="O1744" s="1553"/>
      <c r="P1744" s="559"/>
    </row>
    <row r="1745" spans="1:16" s="1531" customFormat="1" ht="14.25" customHeight="1">
      <c r="A1745" s="1551">
        <v>51</v>
      </c>
      <c r="B1745" s="1537" t="e">
        <f>VLOOKUP(D1745,'[2]DS CN MOI UP'!$B$11:$C$447,2,0)</f>
        <v>#N/A</v>
      </c>
      <c r="C1745" s="1538" t="s">
        <v>1628</v>
      </c>
      <c r="D1745" s="1468" t="s">
        <v>1632</v>
      </c>
      <c r="E1745" s="1468" t="s">
        <v>15</v>
      </c>
      <c r="F1745" s="1468"/>
      <c r="G1745" s="1540">
        <v>40000</v>
      </c>
      <c r="H1745" s="1540">
        <v>584606.86199999996</v>
      </c>
      <c r="I1745" s="1540">
        <v>524139.33600000001</v>
      </c>
      <c r="J1745" s="1466">
        <f t="shared" si="78"/>
        <v>1148746.1980000001</v>
      </c>
      <c r="K1745" s="1466"/>
      <c r="L1745" s="1466"/>
      <c r="M1745" s="1540">
        <f t="shared" si="79"/>
        <v>1148746.1980000001</v>
      </c>
      <c r="N1745" s="1552"/>
      <c r="O1745" s="1553"/>
      <c r="P1745" s="559"/>
    </row>
    <row r="1746" spans="1:16" s="1531" customFormat="1" ht="14.25" customHeight="1">
      <c r="A1746" s="1551">
        <v>52</v>
      </c>
      <c r="B1746" s="1537" t="e">
        <f>VLOOKUP(D1746,'[2]DS CN MOI UP'!$B$11:$C$447,2,0)</f>
        <v>#N/A</v>
      </c>
      <c r="C1746" s="1538" t="s">
        <v>1628</v>
      </c>
      <c r="D1746" s="1468" t="s">
        <v>1633</v>
      </c>
      <c r="E1746" s="1468" t="s">
        <v>15</v>
      </c>
      <c r="F1746" s="1468"/>
      <c r="G1746" s="1540">
        <v>40000</v>
      </c>
      <c r="H1746" s="1540">
        <v>635040.18900000001</v>
      </c>
      <c r="I1746" s="1540">
        <v>524139.33600000001</v>
      </c>
      <c r="J1746" s="1466">
        <f t="shared" si="78"/>
        <v>1199179.5249999999</v>
      </c>
      <c r="K1746" s="1466"/>
      <c r="L1746" s="1466"/>
      <c r="M1746" s="1540">
        <f t="shared" si="79"/>
        <v>1199179.5249999999</v>
      </c>
      <c r="N1746" s="1552"/>
      <c r="O1746" s="1553"/>
      <c r="P1746" s="559"/>
    </row>
    <row r="1747" spans="1:16" s="1531" customFormat="1" ht="14.25" customHeight="1">
      <c r="A1747" s="1551">
        <v>53</v>
      </c>
      <c r="B1747" s="1537" t="e">
        <f>VLOOKUP(D1747,'[2]DS CN MOI UP'!$B$11:$C$447,2,0)</f>
        <v>#N/A</v>
      </c>
      <c r="C1747" s="1538" t="s">
        <v>1628</v>
      </c>
      <c r="D1747" s="1468" t="s">
        <v>1634</v>
      </c>
      <c r="E1747" s="1468" t="s">
        <v>15</v>
      </c>
      <c r="F1747" s="1468"/>
      <c r="G1747" s="1540">
        <v>40000</v>
      </c>
      <c r="H1747" s="1540">
        <v>524139.33600000001</v>
      </c>
      <c r="I1747" s="1540">
        <v>524139.33600000001</v>
      </c>
      <c r="J1747" s="1466">
        <f t="shared" si="78"/>
        <v>1088278.672</v>
      </c>
      <c r="K1747" s="1466"/>
      <c r="L1747" s="1466"/>
      <c r="M1747" s="1540">
        <f t="shared" si="79"/>
        <v>1088278.672</v>
      </c>
      <c r="N1747" s="1552"/>
      <c r="O1747" s="1553"/>
      <c r="P1747" s="559"/>
    </row>
    <row r="1748" spans="1:16" s="1531" customFormat="1" ht="14.25" customHeight="1">
      <c r="A1748" s="1551">
        <v>54</v>
      </c>
      <c r="B1748" s="1537" t="e">
        <f>VLOOKUP(D1748,'[2]DS CN MOI UP'!$B$11:$C$447,2,0)</f>
        <v>#N/A</v>
      </c>
      <c r="C1748" s="1538" t="s">
        <v>1628</v>
      </c>
      <c r="D1748" s="1468" t="s">
        <v>1635</v>
      </c>
      <c r="E1748" s="1468" t="s">
        <v>15</v>
      </c>
      <c r="F1748" s="1468"/>
      <c r="G1748" s="1540">
        <v>40000</v>
      </c>
      <c r="H1748" s="1540">
        <v>635040.18900000001</v>
      </c>
      <c r="I1748" s="1540">
        <v>524139.33600000001</v>
      </c>
      <c r="J1748" s="1466">
        <f t="shared" si="78"/>
        <v>1199179.5249999999</v>
      </c>
      <c r="K1748" s="1466"/>
      <c r="L1748" s="1466"/>
      <c r="M1748" s="1540">
        <f t="shared" si="79"/>
        <v>1199179.5249999999</v>
      </c>
      <c r="N1748" s="1552"/>
      <c r="O1748" s="1553"/>
      <c r="P1748" s="559"/>
    </row>
    <row r="1749" spans="1:16" s="1531" customFormat="1" ht="14.25" customHeight="1">
      <c r="A1749" s="1551">
        <v>55</v>
      </c>
      <c r="B1749" s="1537" t="e">
        <f>VLOOKUP(D1749,'[2]DS CN MOI UP'!$B$11:$C$447,2,0)</f>
        <v>#N/A</v>
      </c>
      <c r="C1749" s="1538" t="s">
        <v>1628</v>
      </c>
      <c r="D1749" s="1468" t="s">
        <v>1636</v>
      </c>
      <c r="E1749" s="1468" t="s">
        <v>15</v>
      </c>
      <c r="F1749" s="1468"/>
      <c r="G1749" s="1540">
        <v>40000</v>
      </c>
      <c r="H1749" s="1540">
        <v>635040.18900000001</v>
      </c>
      <c r="I1749" s="1540">
        <v>524139.33600000001</v>
      </c>
      <c r="J1749" s="1466">
        <f t="shared" si="78"/>
        <v>1199179.5249999999</v>
      </c>
      <c r="K1749" s="1466"/>
      <c r="L1749" s="1466"/>
      <c r="M1749" s="1540">
        <f t="shared" si="79"/>
        <v>1199179.5249999999</v>
      </c>
      <c r="N1749" s="1552"/>
      <c r="O1749" s="1553"/>
      <c r="P1749" s="559"/>
    </row>
    <row r="1750" spans="1:16" s="1531" customFormat="1" ht="14.25" customHeight="1">
      <c r="A1750" s="1551">
        <v>56</v>
      </c>
      <c r="B1750" s="1537" t="e">
        <f>VLOOKUP(D1750,'[2]DS CN MOI UP'!$B$11:$C$447,2,0)</f>
        <v>#N/A</v>
      </c>
      <c r="C1750" s="1538" t="s">
        <v>1628</v>
      </c>
      <c r="D1750" s="1468" t="s">
        <v>1637</v>
      </c>
      <c r="E1750" s="1468" t="s">
        <v>15</v>
      </c>
      <c r="F1750" s="1468"/>
      <c r="G1750" s="1540">
        <v>40000</v>
      </c>
      <c r="H1750" s="1540">
        <v>554373.09900000005</v>
      </c>
      <c r="I1750" s="1540">
        <v>524139.33600000001</v>
      </c>
      <c r="J1750" s="1466">
        <f t="shared" si="78"/>
        <v>1118512.4350000001</v>
      </c>
      <c r="K1750" s="1466"/>
      <c r="L1750" s="1466"/>
      <c r="M1750" s="1540">
        <f t="shared" si="79"/>
        <v>1118512.4350000001</v>
      </c>
      <c r="N1750" s="1552"/>
      <c r="O1750" s="1553"/>
      <c r="P1750" s="559"/>
    </row>
    <row r="1751" spans="1:16" s="1531" customFormat="1" ht="14.25" customHeight="1">
      <c r="A1751" s="1551">
        <v>57</v>
      </c>
      <c r="B1751" s="1537" t="e">
        <f>VLOOKUP(D1751,'[2]DS CN MOI UP'!$B$11:$C$447,2,0)</f>
        <v>#N/A</v>
      </c>
      <c r="C1751" s="1538" t="s">
        <v>1628</v>
      </c>
      <c r="D1751" s="1468" t="s">
        <v>1638</v>
      </c>
      <c r="E1751" s="1468" t="s">
        <v>15</v>
      </c>
      <c r="F1751" s="1468"/>
      <c r="G1751" s="1540">
        <v>60000</v>
      </c>
      <c r="H1751" s="1540">
        <v>554373.09900000005</v>
      </c>
      <c r="I1751" s="1540">
        <v>524139.33600000001</v>
      </c>
      <c r="J1751" s="1466">
        <f t="shared" si="78"/>
        <v>1138512.4350000001</v>
      </c>
      <c r="K1751" s="1466"/>
      <c r="L1751" s="1466"/>
      <c r="M1751" s="1540">
        <f t="shared" si="79"/>
        <v>1138512.4350000001</v>
      </c>
      <c r="N1751" s="1552"/>
      <c r="O1751" s="1553"/>
      <c r="P1751" s="559"/>
    </row>
    <row r="1752" spans="1:16" s="1531" customFormat="1" ht="14.25" customHeight="1">
      <c r="A1752" s="1551">
        <v>58</v>
      </c>
      <c r="B1752" s="1537" t="e">
        <f>VLOOKUP(D1752,'[2]DS CN MOI UP'!$B$11:$C$447,2,0)</f>
        <v>#N/A</v>
      </c>
      <c r="C1752" s="1538" t="s">
        <v>1628</v>
      </c>
      <c r="D1752" s="1468" t="s">
        <v>1639</v>
      </c>
      <c r="E1752" s="1468" t="s">
        <v>15</v>
      </c>
      <c r="F1752" s="1468"/>
      <c r="G1752" s="1540">
        <v>40000</v>
      </c>
      <c r="H1752" s="1540">
        <v>554373.09900000005</v>
      </c>
      <c r="I1752" s="1540">
        <v>524139.33600000001</v>
      </c>
      <c r="J1752" s="1466">
        <f t="shared" si="78"/>
        <v>1118512.4350000001</v>
      </c>
      <c r="K1752" s="1466"/>
      <c r="L1752" s="1466"/>
      <c r="M1752" s="1540">
        <f t="shared" si="79"/>
        <v>1118512.4350000001</v>
      </c>
      <c r="N1752" s="1552"/>
      <c r="O1752" s="1553"/>
      <c r="P1752" s="559"/>
    </row>
    <row r="1753" spans="1:16" s="1531" customFormat="1" ht="14.25" customHeight="1">
      <c r="A1753" s="1551">
        <v>59</v>
      </c>
      <c r="B1753" s="1537" t="e">
        <f>VLOOKUP(D1753,'[2]DS CN MOI UP'!$B$11:$C$447,2,0)</f>
        <v>#N/A</v>
      </c>
      <c r="C1753" s="1538" t="s">
        <v>1628</v>
      </c>
      <c r="D1753" s="1468" t="s">
        <v>1575</v>
      </c>
      <c r="E1753" s="1468" t="s">
        <v>15</v>
      </c>
      <c r="F1753" s="1468"/>
      <c r="G1753" s="1540">
        <v>40000</v>
      </c>
      <c r="H1753" s="1540">
        <v>554373.09900000005</v>
      </c>
      <c r="I1753" s="1540">
        <v>524139.33600000001</v>
      </c>
      <c r="J1753" s="1466">
        <f t="shared" si="78"/>
        <v>1118512.4350000001</v>
      </c>
      <c r="K1753" s="1466"/>
      <c r="L1753" s="1466"/>
      <c r="M1753" s="1540">
        <f t="shared" si="79"/>
        <v>1118512.4350000001</v>
      </c>
      <c r="N1753" s="1552"/>
      <c r="O1753" s="1553"/>
      <c r="P1753" s="559"/>
    </row>
    <row r="1754" spans="1:16" s="1531" customFormat="1" ht="14.25" customHeight="1">
      <c r="A1754" s="1551">
        <v>60</v>
      </c>
      <c r="B1754" s="1537" t="e">
        <f>VLOOKUP(D1754,'[2]DS CN MOI UP'!$B$11:$C$447,2,0)</f>
        <v>#N/A</v>
      </c>
      <c r="C1754" s="1538" t="s">
        <v>1628</v>
      </c>
      <c r="D1754" s="1468" t="s">
        <v>1640</v>
      </c>
      <c r="E1754" s="1468" t="s">
        <v>15</v>
      </c>
      <c r="F1754" s="1468"/>
      <c r="G1754" s="1540">
        <v>40000</v>
      </c>
      <c r="H1754" s="1540">
        <v>554373.09900000005</v>
      </c>
      <c r="I1754" s="1540">
        <v>524139.33600000001</v>
      </c>
      <c r="J1754" s="1466">
        <f t="shared" si="78"/>
        <v>1118512.4350000001</v>
      </c>
      <c r="K1754" s="1466"/>
      <c r="L1754" s="1466"/>
      <c r="M1754" s="1540">
        <f t="shared" si="79"/>
        <v>1118512.4350000001</v>
      </c>
      <c r="N1754" s="1552"/>
      <c r="O1754" s="1553"/>
      <c r="P1754" s="559"/>
    </row>
    <row r="1755" spans="1:16" s="1531" customFormat="1" ht="14.25" customHeight="1">
      <c r="A1755" s="1551">
        <v>61</v>
      </c>
      <c r="B1755" s="1537" t="e">
        <f>VLOOKUP(D1755,'[2]DS CN MOI UP'!$B$11:$C$447,2,0)</f>
        <v>#N/A</v>
      </c>
      <c r="C1755" s="1538" t="s">
        <v>1628</v>
      </c>
      <c r="D1755" s="1468" t="s">
        <v>1641</v>
      </c>
      <c r="E1755" s="1468" t="s">
        <v>15</v>
      </c>
      <c r="F1755" s="1468"/>
      <c r="G1755" s="1540">
        <v>40000</v>
      </c>
      <c r="H1755" s="1540">
        <v>635040.18900000001</v>
      </c>
      <c r="I1755" s="1540">
        <v>524139.33600000001</v>
      </c>
      <c r="J1755" s="1466">
        <f t="shared" si="78"/>
        <v>1199179.5249999999</v>
      </c>
      <c r="K1755" s="1466"/>
      <c r="L1755" s="1466"/>
      <c r="M1755" s="1540">
        <f t="shared" si="79"/>
        <v>1199179.5249999999</v>
      </c>
      <c r="N1755" s="1552"/>
      <c r="O1755" s="1553"/>
      <c r="P1755" s="559"/>
    </row>
    <row r="1756" spans="1:16" s="1531" customFormat="1" ht="14.25" customHeight="1">
      <c r="A1756" s="1551">
        <v>62</v>
      </c>
      <c r="B1756" s="1537" t="e">
        <f>VLOOKUP(D1756,'[2]DS CN MOI UP'!$B$11:$C$447,2,0)</f>
        <v>#N/A</v>
      </c>
      <c r="C1756" s="1538" t="s">
        <v>1628</v>
      </c>
      <c r="D1756" s="1468" t="s">
        <v>1642</v>
      </c>
      <c r="E1756" s="1468" t="s">
        <v>15</v>
      </c>
      <c r="F1756" s="1468"/>
      <c r="G1756" s="1540">
        <v>40000</v>
      </c>
      <c r="H1756" s="1540">
        <v>544338.9</v>
      </c>
      <c r="I1756" s="1540">
        <v>524139.33600000001</v>
      </c>
      <c r="J1756" s="1466">
        <f t="shared" si="78"/>
        <v>1108478.236</v>
      </c>
      <c r="K1756" s="1466"/>
      <c r="L1756" s="1466"/>
      <c r="M1756" s="1540">
        <f t="shared" si="79"/>
        <v>1108478.236</v>
      </c>
      <c r="N1756" s="1552"/>
      <c r="O1756" s="1553"/>
      <c r="P1756" s="559"/>
    </row>
    <row r="1757" spans="1:16" s="1531" customFormat="1" ht="14.25" customHeight="1">
      <c r="A1757" s="1551">
        <v>63</v>
      </c>
      <c r="B1757" s="1537" t="str">
        <f>VLOOKUP(D1757,'[2]DS CN MOI UP'!$B$11:$C$447,2,0)</f>
        <v>03403</v>
      </c>
      <c r="C1757" s="1538" t="s">
        <v>1628</v>
      </c>
      <c r="D1757" s="1468" t="s">
        <v>1439</v>
      </c>
      <c r="E1757" s="1468" t="s">
        <v>15</v>
      </c>
      <c r="F1757" s="1468"/>
      <c r="G1757" s="1540">
        <v>40000</v>
      </c>
      <c r="H1757" s="1540">
        <v>574572.66299999994</v>
      </c>
      <c r="I1757" s="1540">
        <v>524139.33600000001</v>
      </c>
      <c r="J1757" s="1466">
        <f t="shared" si="78"/>
        <v>1138711.9990000001</v>
      </c>
      <c r="K1757" s="1466"/>
      <c r="L1757" s="1466"/>
      <c r="M1757" s="1540">
        <f t="shared" si="79"/>
        <v>1138711.9990000001</v>
      </c>
      <c r="N1757" s="1552"/>
      <c r="O1757" s="1553"/>
      <c r="P1757" s="559"/>
    </row>
    <row r="1758" spans="1:16" s="1531" customFormat="1" ht="14.25" customHeight="1">
      <c r="A1758" s="1551">
        <v>64</v>
      </c>
      <c r="B1758" s="1537" t="e">
        <f>VLOOKUP(D1758,'[2]DS CN MOI UP'!$B$11:$C$447,2,0)</f>
        <v>#N/A</v>
      </c>
      <c r="C1758" s="1538" t="s">
        <v>1628</v>
      </c>
      <c r="D1758" s="1468" t="s">
        <v>1018</v>
      </c>
      <c r="E1758" s="1468" t="s">
        <v>15</v>
      </c>
      <c r="F1758" s="1468"/>
      <c r="G1758" s="1540">
        <v>40000</v>
      </c>
      <c r="H1758" s="1540">
        <v>604806.42599999998</v>
      </c>
      <c r="I1758" s="1540">
        <v>524139.33600000001</v>
      </c>
      <c r="J1758" s="1466">
        <f t="shared" si="78"/>
        <v>1168945.7620000001</v>
      </c>
      <c r="K1758" s="1466"/>
      <c r="L1758" s="1466"/>
      <c r="M1758" s="1540">
        <f t="shared" si="79"/>
        <v>1168945.7620000001</v>
      </c>
      <c r="N1758" s="1552"/>
      <c r="O1758" s="1553"/>
      <c r="P1758" s="559"/>
    </row>
    <row r="1759" spans="1:16" s="1531" customFormat="1" ht="14.25" customHeight="1">
      <c r="A1759" s="1551">
        <v>65</v>
      </c>
      <c r="B1759" s="1537" t="e">
        <f>VLOOKUP(D1759,'[2]DS CN MOI UP'!$B$11:$C$447,2,0)</f>
        <v>#N/A</v>
      </c>
      <c r="C1759" s="1538" t="s">
        <v>1628</v>
      </c>
      <c r="D1759" s="1468" t="s">
        <v>1643</v>
      </c>
      <c r="E1759" s="1468" t="s">
        <v>15</v>
      </c>
      <c r="F1759" s="1468"/>
      <c r="G1759" s="1540">
        <v>40000</v>
      </c>
      <c r="H1759" s="1540">
        <v>584606.86199999996</v>
      </c>
      <c r="I1759" s="1540">
        <v>524139.33600000001</v>
      </c>
      <c r="J1759" s="1466">
        <f t="shared" si="78"/>
        <v>1148746.1980000001</v>
      </c>
      <c r="K1759" s="1466"/>
      <c r="L1759" s="1466"/>
      <c r="M1759" s="1540">
        <f t="shared" si="79"/>
        <v>1148746.1980000001</v>
      </c>
      <c r="N1759" s="1552"/>
      <c r="O1759" s="1553"/>
      <c r="P1759" s="559"/>
    </row>
    <row r="1760" spans="1:16" s="1531" customFormat="1" ht="14.25" customHeight="1">
      <c r="A1760" s="1551">
        <v>66</v>
      </c>
      <c r="B1760" s="1537" t="e">
        <f>VLOOKUP(D1760,'[2]DS CN MOI UP'!$B$11:$C$447,2,0)</f>
        <v>#N/A</v>
      </c>
      <c r="C1760" s="1538" t="s">
        <v>1628</v>
      </c>
      <c r="D1760" s="1468" t="s">
        <v>1644</v>
      </c>
      <c r="E1760" s="1468" t="s">
        <v>15</v>
      </c>
      <c r="F1760" s="1468"/>
      <c r="G1760" s="1540">
        <v>40000</v>
      </c>
      <c r="H1760" s="1540">
        <v>635040.18900000001</v>
      </c>
      <c r="I1760" s="1540">
        <v>524139.33600000001</v>
      </c>
      <c r="J1760" s="1466">
        <f t="shared" si="78"/>
        <v>1199179.5249999999</v>
      </c>
      <c r="K1760" s="1466"/>
      <c r="L1760" s="1466"/>
      <c r="M1760" s="1540">
        <f t="shared" si="79"/>
        <v>1199179.5249999999</v>
      </c>
      <c r="N1760" s="1552"/>
      <c r="O1760" s="1553"/>
      <c r="P1760" s="559"/>
    </row>
    <row r="1761" spans="1:16" s="1531" customFormat="1" ht="14.25" customHeight="1">
      <c r="A1761" s="1551">
        <v>67</v>
      </c>
      <c r="B1761" s="1537" t="e">
        <f>VLOOKUP(D1761,'[2]DS CN MOI UP'!$B$11:$C$447,2,0)</f>
        <v>#N/A</v>
      </c>
      <c r="C1761" s="1538" t="s">
        <v>1628</v>
      </c>
      <c r="D1761" s="1468" t="s">
        <v>1645</v>
      </c>
      <c r="E1761" s="1468" t="s">
        <v>15</v>
      </c>
      <c r="F1761" s="1468"/>
      <c r="G1761" s="1540">
        <v>40000</v>
      </c>
      <c r="H1761" s="1540">
        <v>524139.33600000001</v>
      </c>
      <c r="I1761" s="1540">
        <v>524139.33600000001</v>
      </c>
      <c r="J1761" s="1466">
        <f t="shared" si="78"/>
        <v>1088278.672</v>
      </c>
      <c r="K1761" s="1466"/>
      <c r="L1761" s="1466"/>
      <c r="M1761" s="1540">
        <f t="shared" si="79"/>
        <v>1088278.672</v>
      </c>
      <c r="N1761" s="1552"/>
      <c r="O1761" s="1553"/>
      <c r="P1761" s="559"/>
    </row>
    <row r="1762" spans="1:16" s="1531" customFormat="1" ht="14.25" customHeight="1">
      <c r="A1762" s="1551">
        <v>68</v>
      </c>
      <c r="B1762" s="1537" t="e">
        <f>VLOOKUP(D1762,'[2]DS CN MOI UP'!$B$11:$C$447,2,0)</f>
        <v>#N/A</v>
      </c>
      <c r="C1762" s="1538" t="s">
        <v>1628</v>
      </c>
      <c r="D1762" s="1468" t="s">
        <v>1646</v>
      </c>
      <c r="E1762" s="1468" t="s">
        <v>15</v>
      </c>
      <c r="F1762" s="1468"/>
      <c r="G1762" s="1540">
        <v>40000</v>
      </c>
      <c r="H1762" s="1540">
        <v>635040.18900000001</v>
      </c>
      <c r="I1762" s="1540">
        <v>524139.33600000001</v>
      </c>
      <c r="J1762" s="1466">
        <f t="shared" si="78"/>
        <v>1199179.5249999999</v>
      </c>
      <c r="K1762" s="1466"/>
      <c r="L1762" s="1466"/>
      <c r="M1762" s="1540">
        <f t="shared" si="79"/>
        <v>1199179.5249999999</v>
      </c>
      <c r="N1762" s="1552"/>
      <c r="O1762" s="1553"/>
      <c r="P1762" s="559"/>
    </row>
    <row r="1763" spans="1:16" s="1531" customFormat="1" ht="14.25" customHeight="1">
      <c r="A1763" s="1551">
        <v>69</v>
      </c>
      <c r="B1763" s="1537" t="e">
        <f>VLOOKUP(D1763,'[2]DS CN MOI UP'!$B$11:$C$447,2,0)</f>
        <v>#N/A</v>
      </c>
      <c r="C1763" s="1538" t="s">
        <v>1628</v>
      </c>
      <c r="D1763" s="1468" t="s">
        <v>1647</v>
      </c>
      <c r="E1763" s="1468" t="s">
        <v>15</v>
      </c>
      <c r="F1763" s="1468"/>
      <c r="G1763" s="1540">
        <v>40000</v>
      </c>
      <c r="H1763" s="1540">
        <v>635040.18900000001</v>
      </c>
      <c r="I1763" s="1540">
        <v>524139.33600000001</v>
      </c>
      <c r="J1763" s="1466">
        <f t="shared" si="78"/>
        <v>1199179.5249999999</v>
      </c>
      <c r="K1763" s="1466"/>
      <c r="L1763" s="1466"/>
      <c r="M1763" s="1540">
        <f t="shared" si="79"/>
        <v>1199179.5249999999</v>
      </c>
      <c r="N1763" s="1552"/>
      <c r="O1763" s="1553"/>
      <c r="P1763" s="559"/>
    </row>
    <row r="1764" spans="1:16" s="1531" customFormat="1" ht="14.25" customHeight="1">
      <c r="A1764" s="1551">
        <v>70</v>
      </c>
      <c r="B1764" s="1537" t="str">
        <f>VLOOKUP(D1764,'[2]DS CN MOI UP'!$B$11:$C$447,2,0)</f>
        <v>02525</v>
      </c>
      <c r="C1764" s="1538" t="s">
        <v>1628</v>
      </c>
      <c r="D1764" s="1468" t="s">
        <v>180</v>
      </c>
      <c r="E1764" s="1468" t="s">
        <v>15</v>
      </c>
      <c r="F1764" s="1468"/>
      <c r="G1764" s="1540">
        <v>40000</v>
      </c>
      <c r="H1764" s="1540">
        <v>554373.09900000005</v>
      </c>
      <c r="I1764" s="1540">
        <v>524139.33600000001</v>
      </c>
      <c r="J1764" s="1466">
        <f t="shared" si="78"/>
        <v>1118512.4350000001</v>
      </c>
      <c r="K1764" s="1466"/>
      <c r="L1764" s="1466"/>
      <c r="M1764" s="1540">
        <f t="shared" si="79"/>
        <v>1118512.4350000001</v>
      </c>
      <c r="N1764" s="1552"/>
      <c r="O1764" s="1553"/>
      <c r="P1764" s="559"/>
    </row>
    <row r="1765" spans="1:16" s="1531" customFormat="1" ht="14.25" customHeight="1">
      <c r="A1765" s="1551">
        <v>71</v>
      </c>
      <c r="B1765" s="1537" t="str">
        <f>VLOOKUP(D1765,'[2]DS CN MOI UP'!$B$11:$C$447,2,0)</f>
        <v>02500</v>
      </c>
      <c r="C1765" s="1538" t="s">
        <v>1628</v>
      </c>
      <c r="D1765" s="1468" t="s">
        <v>59</v>
      </c>
      <c r="E1765" s="1468" t="s">
        <v>15</v>
      </c>
      <c r="F1765" s="1468"/>
      <c r="G1765" s="1540">
        <v>60000</v>
      </c>
      <c r="H1765" s="1540">
        <v>554373.09900000005</v>
      </c>
      <c r="I1765" s="1540">
        <v>524139.33600000001</v>
      </c>
      <c r="J1765" s="1466">
        <f t="shared" si="78"/>
        <v>1138512.4350000001</v>
      </c>
      <c r="K1765" s="1466"/>
      <c r="L1765" s="1466"/>
      <c r="M1765" s="1540">
        <f t="shared" si="79"/>
        <v>1138512.4350000001</v>
      </c>
      <c r="N1765" s="1552"/>
      <c r="O1765" s="1553"/>
      <c r="P1765" s="559"/>
    </row>
    <row r="1766" spans="1:16" s="1531" customFormat="1" ht="14.25" customHeight="1">
      <c r="A1766" s="1551">
        <v>72</v>
      </c>
      <c r="B1766" s="1537" t="str">
        <f>VLOOKUP(D1766,'[2]DS CN MOI UP'!$B$11:$C$447,2,0)</f>
        <v>02550</v>
      </c>
      <c r="C1766" s="1538" t="s">
        <v>1628</v>
      </c>
      <c r="D1766" s="1468" t="s">
        <v>200</v>
      </c>
      <c r="E1766" s="1468" t="s">
        <v>15</v>
      </c>
      <c r="F1766" s="1468"/>
      <c r="G1766" s="1540">
        <v>40000</v>
      </c>
      <c r="H1766" s="1540">
        <v>554373.09900000005</v>
      </c>
      <c r="I1766" s="1540">
        <v>524139.33600000001</v>
      </c>
      <c r="J1766" s="1466">
        <f t="shared" si="78"/>
        <v>1118512.4350000001</v>
      </c>
      <c r="K1766" s="1466"/>
      <c r="L1766" s="1466"/>
      <c r="M1766" s="1540">
        <f t="shared" si="79"/>
        <v>1118512.4350000001</v>
      </c>
      <c r="N1766" s="1552"/>
      <c r="O1766" s="1553"/>
      <c r="P1766" s="559"/>
    </row>
    <row r="1767" spans="1:16" s="1531" customFormat="1" ht="14.25" customHeight="1">
      <c r="A1767" s="1551">
        <v>73</v>
      </c>
      <c r="B1767" s="1537" t="e">
        <f>VLOOKUP(D1767,'[2]DS CN MOI UP'!$B$11:$C$447,2,0)</f>
        <v>#N/A</v>
      </c>
      <c r="C1767" s="1538" t="s">
        <v>1628</v>
      </c>
      <c r="D1767" s="1468" t="s">
        <v>1648</v>
      </c>
      <c r="E1767" s="1468" t="s">
        <v>15</v>
      </c>
      <c r="F1767" s="1468"/>
      <c r="G1767" s="1540">
        <v>40000</v>
      </c>
      <c r="H1767" s="1540">
        <v>554373.09900000005</v>
      </c>
      <c r="I1767" s="1540">
        <v>524139.33600000001</v>
      </c>
      <c r="J1767" s="1466">
        <f t="shared" si="78"/>
        <v>1118512.4350000001</v>
      </c>
      <c r="K1767" s="1466"/>
      <c r="L1767" s="1466"/>
      <c r="M1767" s="1540">
        <f t="shared" si="79"/>
        <v>1118512.4350000001</v>
      </c>
      <c r="N1767" s="1552"/>
      <c r="O1767" s="1553"/>
      <c r="P1767" s="559"/>
    </row>
    <row r="1768" spans="1:16" s="1531" customFormat="1" ht="14.25" customHeight="1">
      <c r="A1768" s="1551">
        <v>74</v>
      </c>
      <c r="B1768" s="1537" t="e">
        <f>VLOOKUP(D1768,'[2]DS CN MOI UP'!$B$11:$C$447,2,0)</f>
        <v>#N/A</v>
      </c>
      <c r="C1768" s="1538" t="s">
        <v>1628</v>
      </c>
      <c r="D1768" s="1468" t="s">
        <v>1649</v>
      </c>
      <c r="E1768" s="1468" t="s">
        <v>15</v>
      </c>
      <c r="F1768" s="1468"/>
      <c r="G1768" s="1540">
        <v>40000</v>
      </c>
      <c r="H1768" s="1540">
        <v>554373.09900000005</v>
      </c>
      <c r="I1768" s="1540">
        <v>524139.33600000001</v>
      </c>
      <c r="J1768" s="1466">
        <f t="shared" si="78"/>
        <v>1118512.4350000001</v>
      </c>
      <c r="K1768" s="1466"/>
      <c r="L1768" s="1466"/>
      <c r="M1768" s="1540">
        <f t="shared" si="79"/>
        <v>1118512.4350000001</v>
      </c>
      <c r="N1768" s="1552"/>
      <c r="O1768" s="1553"/>
      <c r="P1768" s="559"/>
    </row>
    <row r="1769" spans="1:16" s="1531" customFormat="1" ht="14.25" customHeight="1">
      <c r="A1769" s="1551">
        <v>75</v>
      </c>
      <c r="B1769" s="1537" t="e">
        <f>VLOOKUP(D1769,'[2]DS CN MOI UP'!$B$11:$C$447,2,0)</f>
        <v>#N/A</v>
      </c>
      <c r="C1769" s="1538" t="s">
        <v>1628</v>
      </c>
      <c r="D1769" s="1468" t="s">
        <v>698</v>
      </c>
      <c r="E1769" s="1468" t="s">
        <v>15</v>
      </c>
      <c r="F1769" s="1468"/>
      <c r="G1769" s="1540">
        <v>40000</v>
      </c>
      <c r="H1769" s="1540">
        <v>635040.18900000001</v>
      </c>
      <c r="I1769" s="1540">
        <v>524139.33600000001</v>
      </c>
      <c r="J1769" s="1466">
        <f t="shared" si="78"/>
        <v>1199179.5249999999</v>
      </c>
      <c r="K1769" s="1466"/>
      <c r="L1769" s="1466"/>
      <c r="M1769" s="1540">
        <f t="shared" si="79"/>
        <v>1199179.5249999999</v>
      </c>
      <c r="N1769" s="1552"/>
      <c r="O1769" s="1553"/>
      <c r="P1769" s="559"/>
    </row>
    <row r="1770" spans="1:16" s="1531" customFormat="1" ht="14.25" customHeight="1">
      <c r="A1770" s="1551">
        <v>76</v>
      </c>
      <c r="B1770" s="1537" t="e">
        <f>VLOOKUP(D1770,'[2]DS CN MOI UP'!$B$11:$C$447,2,0)</f>
        <v>#N/A</v>
      </c>
      <c r="C1770" s="1538" t="s">
        <v>1628</v>
      </c>
      <c r="D1770" s="1468" t="s">
        <v>1650</v>
      </c>
      <c r="E1770" s="1468" t="s">
        <v>15</v>
      </c>
      <c r="F1770" s="1468"/>
      <c r="G1770" s="1540">
        <v>40000</v>
      </c>
      <c r="H1770" s="1540">
        <v>544338.9</v>
      </c>
      <c r="I1770" s="1540">
        <v>524139.33600000001</v>
      </c>
      <c r="J1770" s="1466">
        <f t="shared" si="78"/>
        <v>1108478.236</v>
      </c>
      <c r="K1770" s="1466"/>
      <c r="L1770" s="1466"/>
      <c r="M1770" s="1540">
        <f t="shared" si="79"/>
        <v>1108478.236</v>
      </c>
      <c r="N1770" s="1552"/>
      <c r="O1770" s="1553"/>
      <c r="P1770" s="559"/>
    </row>
    <row r="1771" spans="1:16" s="1531" customFormat="1" ht="14.25" customHeight="1">
      <c r="A1771" s="1551">
        <v>77</v>
      </c>
      <c r="B1771" s="1537" t="e">
        <f>VLOOKUP(D1771,'[2]DS CN MOI UP'!$B$11:$C$447,2,0)</f>
        <v>#N/A</v>
      </c>
      <c r="C1771" s="1538" t="s">
        <v>1628</v>
      </c>
      <c r="D1771" s="1468" t="s">
        <v>1651</v>
      </c>
      <c r="E1771" s="1468" t="s">
        <v>15</v>
      </c>
      <c r="F1771" s="1468"/>
      <c r="G1771" s="1540">
        <v>40000</v>
      </c>
      <c r="H1771" s="1540">
        <v>574572.66299999994</v>
      </c>
      <c r="I1771" s="1540">
        <v>524139.33600000001</v>
      </c>
      <c r="J1771" s="1466">
        <f t="shared" si="78"/>
        <v>1138711.9990000001</v>
      </c>
      <c r="K1771" s="1466"/>
      <c r="L1771" s="1466"/>
      <c r="M1771" s="1540">
        <f t="shared" si="79"/>
        <v>1138711.9990000001</v>
      </c>
      <c r="N1771" s="1552"/>
      <c r="O1771" s="1553"/>
      <c r="P1771" s="559"/>
    </row>
    <row r="1772" spans="1:16" s="1531" customFormat="1" ht="14.25" customHeight="1">
      <c r="A1772" s="1551">
        <v>78</v>
      </c>
      <c r="B1772" s="1537" t="e">
        <f>VLOOKUP(D1772,'[2]DS CN MOI UP'!$B$11:$C$447,2,0)</f>
        <v>#N/A</v>
      </c>
      <c r="C1772" s="1538" t="s">
        <v>1628</v>
      </c>
      <c r="D1772" s="1468" t="s">
        <v>1652</v>
      </c>
      <c r="E1772" s="1468" t="s">
        <v>15</v>
      </c>
      <c r="F1772" s="1468"/>
      <c r="G1772" s="1540">
        <v>40000</v>
      </c>
      <c r="H1772" s="1540">
        <v>604806.42599999998</v>
      </c>
      <c r="I1772" s="1540">
        <v>524139.33600000001</v>
      </c>
      <c r="J1772" s="1466">
        <f t="shared" si="78"/>
        <v>1168945.7620000001</v>
      </c>
      <c r="K1772" s="1466"/>
      <c r="L1772" s="1466"/>
      <c r="M1772" s="1540">
        <f t="shared" si="79"/>
        <v>1168945.7620000001</v>
      </c>
      <c r="N1772" s="1552"/>
      <c r="O1772" s="1553"/>
      <c r="P1772" s="559"/>
    </row>
    <row r="1773" spans="1:16" s="540" customFormat="1" ht="14.25" customHeight="1">
      <c r="A1773" s="1551">
        <v>79</v>
      </c>
      <c r="B1773" s="1537" t="e">
        <f>VLOOKUP(D1773,'[2]DS CN MOI UP'!$B$11:$C$447,2,0)</f>
        <v>#N/A</v>
      </c>
      <c r="C1773" s="1538" t="s">
        <v>1653</v>
      </c>
      <c r="D1773" s="166" t="s">
        <v>1654</v>
      </c>
      <c r="E1773" s="1468" t="s">
        <v>15</v>
      </c>
      <c r="F1773" s="1468"/>
      <c r="G1773" s="1540">
        <v>40000</v>
      </c>
      <c r="H1773" s="1540">
        <v>584606.86199999996</v>
      </c>
      <c r="I1773" s="1540">
        <v>524139.33600000001</v>
      </c>
      <c r="J1773" s="1466">
        <f t="shared" si="78"/>
        <v>1148746.1980000001</v>
      </c>
      <c r="K1773" s="1466"/>
      <c r="L1773" s="1466"/>
      <c r="M1773" s="1540">
        <f t="shared" si="79"/>
        <v>1148746.1980000001</v>
      </c>
      <c r="N1773" s="1552"/>
      <c r="P1773" s="559"/>
    </row>
    <row r="1774" spans="1:16" s="540" customFormat="1" ht="14.25" customHeight="1">
      <c r="A1774" s="1551">
        <v>80</v>
      </c>
      <c r="B1774" s="1537" t="e">
        <f>VLOOKUP(D1774,'[2]DS CN MOI UP'!$B$11:$C$447,2,0)</f>
        <v>#N/A</v>
      </c>
      <c r="C1774" s="1538" t="s">
        <v>1653</v>
      </c>
      <c r="D1774" s="166" t="s">
        <v>1655</v>
      </c>
      <c r="E1774" s="1468" t="s">
        <v>15</v>
      </c>
      <c r="F1774" s="1468"/>
      <c r="G1774" s="1540">
        <v>40000</v>
      </c>
      <c r="H1774" s="1540">
        <v>635040.18900000001</v>
      </c>
      <c r="I1774" s="1540">
        <v>524139.33600000001</v>
      </c>
      <c r="J1774" s="1466">
        <f t="shared" si="78"/>
        <v>1199179.5249999999</v>
      </c>
      <c r="K1774" s="1466"/>
      <c r="L1774" s="1466"/>
      <c r="M1774" s="1540">
        <f t="shared" si="79"/>
        <v>1199179.5249999999</v>
      </c>
      <c r="N1774" s="1552"/>
      <c r="P1774" s="559"/>
    </row>
    <row r="1775" spans="1:16" s="540" customFormat="1" ht="14.25" customHeight="1">
      <c r="A1775" s="1551">
        <v>81</v>
      </c>
      <c r="B1775" s="1537" t="e">
        <f>VLOOKUP(D1775,'[2]DS CN MOI UP'!$B$11:$C$447,2,0)</f>
        <v>#N/A</v>
      </c>
      <c r="C1775" s="1538" t="s">
        <v>1546</v>
      </c>
      <c r="D1775" s="1468" t="s">
        <v>1656</v>
      </c>
      <c r="E1775" s="1468" t="s">
        <v>15</v>
      </c>
      <c r="F1775" s="1468"/>
      <c r="G1775" s="1540">
        <v>40000</v>
      </c>
      <c r="H1775" s="1466">
        <v>524139.33600000001</v>
      </c>
      <c r="I1775" s="1540">
        <v>524139.33600000001</v>
      </c>
      <c r="J1775" s="1466">
        <f t="shared" si="78"/>
        <v>1088278.672</v>
      </c>
      <c r="K1775" s="1466"/>
      <c r="L1775" s="1466"/>
      <c r="M1775" s="1540">
        <f t="shared" si="79"/>
        <v>1088278.672</v>
      </c>
      <c r="N1775" s="1552"/>
      <c r="P1775" s="559"/>
    </row>
    <row r="1776" spans="1:16" s="540" customFormat="1" ht="14.25" customHeight="1">
      <c r="A1776" s="1551">
        <v>82</v>
      </c>
      <c r="B1776" s="1537" t="e">
        <f>VLOOKUP(D1776,'[2]DS CN MOI UP'!$B$11:$C$447,2,0)</f>
        <v>#N/A</v>
      </c>
      <c r="C1776" s="1538" t="s">
        <v>1547</v>
      </c>
      <c r="D1776" s="1468" t="s">
        <v>1657</v>
      </c>
      <c r="E1776" s="1468" t="s">
        <v>15</v>
      </c>
      <c r="F1776" s="1468"/>
      <c r="G1776" s="1540">
        <v>40000</v>
      </c>
      <c r="H1776" s="1466">
        <v>635040.18900000001</v>
      </c>
      <c r="I1776" s="1540">
        <v>524139.33600000001</v>
      </c>
      <c r="J1776" s="1466">
        <f t="shared" si="78"/>
        <v>1199179.5249999999</v>
      </c>
      <c r="K1776" s="1466"/>
      <c r="L1776" s="1466"/>
      <c r="M1776" s="1540">
        <f t="shared" si="79"/>
        <v>1199179.5249999999</v>
      </c>
      <c r="N1776" s="1552"/>
      <c r="P1776" s="559"/>
    </row>
    <row r="1777" spans="1:16" s="540" customFormat="1" ht="14.25" customHeight="1">
      <c r="A1777" s="1551">
        <v>83</v>
      </c>
      <c r="B1777" s="1537" t="e">
        <f>VLOOKUP(D1777,'[2]DS CN MOI UP'!$B$11:$C$447,2,0)</f>
        <v>#N/A</v>
      </c>
      <c r="C1777" s="1538" t="s">
        <v>1548</v>
      </c>
      <c r="D1777" s="1468" t="s">
        <v>1658</v>
      </c>
      <c r="E1777" s="1468" t="s">
        <v>15</v>
      </c>
      <c r="F1777" s="1468"/>
      <c r="G1777" s="1540">
        <v>40000</v>
      </c>
      <c r="H1777" s="1466">
        <v>635040.18900000001</v>
      </c>
      <c r="I1777" s="1540">
        <v>524139.33600000001</v>
      </c>
      <c r="J1777" s="1466">
        <f t="shared" si="78"/>
        <v>1199179.5249999999</v>
      </c>
      <c r="K1777" s="1466"/>
      <c r="L1777" s="1466"/>
      <c r="M1777" s="1540">
        <f t="shared" si="79"/>
        <v>1199179.5249999999</v>
      </c>
      <c r="N1777" s="1552"/>
      <c r="P1777" s="559"/>
    </row>
    <row r="1778" spans="1:16" s="540" customFormat="1" ht="14.25" customHeight="1">
      <c r="A1778" s="1551">
        <v>84</v>
      </c>
      <c r="B1778" s="1537" t="e">
        <f>VLOOKUP(D1778,'[2]DS CN MOI UP'!$B$11:$C$447,2,0)</f>
        <v>#N/A</v>
      </c>
      <c r="C1778" s="1538" t="s">
        <v>1549</v>
      </c>
      <c r="D1778" s="1468" t="s">
        <v>1659</v>
      </c>
      <c r="E1778" s="1468" t="s">
        <v>15</v>
      </c>
      <c r="F1778" s="1468"/>
      <c r="G1778" s="1540">
        <v>40000</v>
      </c>
      <c r="H1778" s="1466">
        <v>554373.09900000005</v>
      </c>
      <c r="I1778" s="1540">
        <v>524139.33600000001</v>
      </c>
      <c r="J1778" s="1466">
        <f t="shared" si="78"/>
        <v>1118512.4350000001</v>
      </c>
      <c r="K1778" s="1466"/>
      <c r="L1778" s="1466"/>
      <c r="M1778" s="1540">
        <f t="shared" si="79"/>
        <v>1118512.4350000001</v>
      </c>
      <c r="N1778" s="1552"/>
      <c r="P1778" s="559"/>
    </row>
    <row r="1779" spans="1:16" s="540" customFormat="1" ht="14.25" customHeight="1">
      <c r="A1779" s="1551">
        <v>85</v>
      </c>
      <c r="B1779" s="1537" t="e">
        <f>VLOOKUP(D1779,'[2]DS CN MOI UP'!$B$11:$C$447,2,0)</f>
        <v>#N/A</v>
      </c>
      <c r="C1779" s="1538" t="s">
        <v>1550</v>
      </c>
      <c r="D1779" s="1468" t="s">
        <v>1660</v>
      </c>
      <c r="E1779" s="1468" t="s">
        <v>15</v>
      </c>
      <c r="F1779" s="1468"/>
      <c r="G1779" s="1540">
        <v>60000</v>
      </c>
      <c r="H1779" s="1466">
        <v>554373.09900000005</v>
      </c>
      <c r="I1779" s="1540">
        <v>524139.33600000001</v>
      </c>
      <c r="J1779" s="1466">
        <f t="shared" si="78"/>
        <v>1138512.4350000001</v>
      </c>
      <c r="K1779" s="1466"/>
      <c r="L1779" s="1466"/>
      <c r="M1779" s="1540">
        <f t="shared" si="79"/>
        <v>1138512.4350000001</v>
      </c>
      <c r="N1779" s="1552"/>
      <c r="P1779" s="559"/>
    </row>
    <row r="1780" spans="1:16" s="540" customFormat="1" ht="14.25" customHeight="1">
      <c r="A1780" s="1551">
        <v>86</v>
      </c>
      <c r="B1780" s="1537" t="e">
        <f>VLOOKUP(D1780,'[2]DS CN MOI UP'!$B$11:$C$447,2,0)</f>
        <v>#N/A</v>
      </c>
      <c r="C1780" s="1538" t="s">
        <v>1551</v>
      </c>
      <c r="D1780" s="1468" t="s">
        <v>1661</v>
      </c>
      <c r="E1780" s="1468" t="s">
        <v>15</v>
      </c>
      <c r="F1780" s="1468"/>
      <c r="G1780" s="1540">
        <v>40000</v>
      </c>
      <c r="H1780" s="1466">
        <v>554373.09900000005</v>
      </c>
      <c r="I1780" s="1540">
        <v>524139.33600000001</v>
      </c>
      <c r="J1780" s="1466">
        <f t="shared" si="78"/>
        <v>1118512.4350000001</v>
      </c>
      <c r="K1780" s="1466"/>
      <c r="L1780" s="1466"/>
      <c r="M1780" s="1540">
        <f t="shared" si="79"/>
        <v>1118512.4350000001</v>
      </c>
      <c r="N1780" s="1552"/>
      <c r="P1780" s="559"/>
    </row>
    <row r="1781" spans="1:16" s="540" customFormat="1" ht="14.25" customHeight="1">
      <c r="A1781" s="1551">
        <v>87</v>
      </c>
      <c r="B1781" s="1537" t="e">
        <f>VLOOKUP(D1781,'[2]DS CN MOI UP'!$B$11:$C$447,2,0)</f>
        <v>#N/A</v>
      </c>
      <c r="C1781" s="1538" t="s">
        <v>1552</v>
      </c>
      <c r="D1781" s="1468" t="s">
        <v>1662</v>
      </c>
      <c r="E1781" s="1468" t="s">
        <v>15</v>
      </c>
      <c r="F1781" s="1468"/>
      <c r="G1781" s="1540">
        <v>40000</v>
      </c>
      <c r="H1781" s="1540">
        <v>554373.09900000005</v>
      </c>
      <c r="I1781" s="1540">
        <v>524139.33600000001</v>
      </c>
      <c r="J1781" s="1466">
        <f t="shared" si="78"/>
        <v>1118512.4350000001</v>
      </c>
      <c r="K1781" s="1466"/>
      <c r="L1781" s="1466"/>
      <c r="M1781" s="1540">
        <f t="shared" si="79"/>
        <v>1118512.4350000001</v>
      </c>
      <c r="N1781" s="1552"/>
      <c r="P1781" s="559"/>
    </row>
    <row r="1782" spans="1:16" s="540" customFormat="1" ht="14.25" customHeight="1">
      <c r="A1782" s="1551">
        <v>88</v>
      </c>
      <c r="B1782" s="1537" t="e">
        <f>VLOOKUP(D1782,'[2]DS CN MOI UP'!$B$11:$C$447,2,0)</f>
        <v>#N/A</v>
      </c>
      <c r="C1782" s="1538" t="s">
        <v>1554</v>
      </c>
      <c r="D1782" s="1468" t="s">
        <v>1663</v>
      </c>
      <c r="E1782" s="1468" t="s">
        <v>15</v>
      </c>
      <c r="F1782" s="1468"/>
      <c r="G1782" s="1540">
        <v>40000</v>
      </c>
      <c r="H1782" s="1540">
        <v>554373.09900000005</v>
      </c>
      <c r="I1782" s="1540">
        <v>524139.33600000001</v>
      </c>
      <c r="J1782" s="1466">
        <f t="shared" si="78"/>
        <v>1118512.4350000001</v>
      </c>
      <c r="K1782" s="1466"/>
      <c r="L1782" s="1466"/>
      <c r="M1782" s="1540">
        <f t="shared" si="79"/>
        <v>1118512.4350000001</v>
      </c>
      <c r="N1782" s="1552"/>
      <c r="P1782" s="559"/>
    </row>
    <row r="1783" spans="1:16" s="540" customFormat="1" ht="14.25" customHeight="1">
      <c r="A1783" s="1551">
        <v>89</v>
      </c>
      <c r="B1783" s="1537" t="e">
        <f>VLOOKUP(D1783,'[2]DS CN MOI UP'!$B$11:$C$447,2,0)</f>
        <v>#N/A</v>
      </c>
      <c r="C1783" s="1538" t="s">
        <v>1556</v>
      </c>
      <c r="D1783" s="1468" t="s">
        <v>1664</v>
      </c>
      <c r="E1783" s="1468" t="s">
        <v>15</v>
      </c>
      <c r="F1783" s="1468"/>
      <c r="G1783" s="1540">
        <v>40000</v>
      </c>
      <c r="H1783" s="1540">
        <v>635040.18900000001</v>
      </c>
      <c r="I1783" s="1540">
        <v>524139.33600000001</v>
      </c>
      <c r="J1783" s="1466">
        <f t="shared" si="78"/>
        <v>1199179.5249999999</v>
      </c>
      <c r="K1783" s="1466"/>
      <c r="L1783" s="1466"/>
      <c r="M1783" s="1540">
        <f t="shared" si="79"/>
        <v>1199179.5249999999</v>
      </c>
      <c r="N1783" s="1552"/>
      <c r="P1783" s="559"/>
    </row>
    <row r="1784" spans="1:16" s="540" customFormat="1" ht="14.25" customHeight="1">
      <c r="A1784" s="1551">
        <v>90</v>
      </c>
      <c r="B1784" s="1537" t="e">
        <f>VLOOKUP(D1784,'[2]DS CN MOI UP'!$B$11:$C$447,2,0)</f>
        <v>#N/A</v>
      </c>
      <c r="C1784" s="1538" t="s">
        <v>1558</v>
      </c>
      <c r="D1784" s="1468" t="s">
        <v>1645</v>
      </c>
      <c r="E1784" s="1468" t="s">
        <v>15</v>
      </c>
      <c r="F1784" s="1468"/>
      <c r="G1784" s="1540">
        <v>40000</v>
      </c>
      <c r="H1784" s="1540">
        <v>544338.9</v>
      </c>
      <c r="I1784" s="1540">
        <v>524139.33600000001</v>
      </c>
      <c r="J1784" s="1466">
        <f t="shared" si="78"/>
        <v>1108478.236</v>
      </c>
      <c r="K1784" s="1466"/>
      <c r="L1784" s="1466"/>
      <c r="M1784" s="1540">
        <f t="shared" si="79"/>
        <v>1108478.236</v>
      </c>
      <c r="N1784" s="1552"/>
      <c r="P1784" s="559"/>
    </row>
    <row r="1785" spans="1:16" s="540" customFormat="1" ht="14.25" customHeight="1">
      <c r="A1785" s="1551">
        <v>91</v>
      </c>
      <c r="B1785" s="1537" t="e">
        <f>VLOOKUP(D1785,'[2]DS CN MOI UP'!$B$11:$C$447,2,0)</f>
        <v>#N/A</v>
      </c>
      <c r="C1785" s="1538" t="s">
        <v>1560</v>
      </c>
      <c r="D1785" s="1468" t="s">
        <v>1665</v>
      </c>
      <c r="E1785" s="1468" t="s">
        <v>15</v>
      </c>
      <c r="F1785" s="1468"/>
      <c r="G1785" s="1540">
        <v>40000</v>
      </c>
      <c r="H1785" s="1540">
        <v>574572.66299999994</v>
      </c>
      <c r="I1785" s="1540">
        <v>524139.33600000001</v>
      </c>
      <c r="J1785" s="1466">
        <f t="shared" si="78"/>
        <v>1138711.9990000001</v>
      </c>
      <c r="K1785" s="1466"/>
      <c r="L1785" s="1466"/>
      <c r="M1785" s="1540">
        <f t="shared" si="79"/>
        <v>1138711.9990000001</v>
      </c>
      <c r="N1785" s="1552"/>
      <c r="P1785" s="559"/>
    </row>
    <row r="1786" spans="1:16" s="540" customFormat="1" ht="14.25" customHeight="1">
      <c r="A1786" s="1551">
        <v>92</v>
      </c>
      <c r="B1786" s="1537" t="e">
        <f>VLOOKUP(D1786,'[2]DS CN MOI UP'!$B$11:$C$447,2,0)</f>
        <v>#N/A</v>
      </c>
      <c r="C1786" s="1538" t="s">
        <v>1562</v>
      </c>
      <c r="D1786" s="1468" t="s">
        <v>1666</v>
      </c>
      <c r="E1786" s="1468" t="s">
        <v>15</v>
      </c>
      <c r="F1786" s="1468"/>
      <c r="G1786" s="1540">
        <v>40000</v>
      </c>
      <c r="H1786" s="1540">
        <v>604806.42599999998</v>
      </c>
      <c r="I1786" s="1540">
        <v>524139.33600000001</v>
      </c>
      <c r="J1786" s="1466">
        <f t="shared" si="78"/>
        <v>1168945.7620000001</v>
      </c>
      <c r="K1786" s="1466"/>
      <c r="L1786" s="1466"/>
      <c r="M1786" s="1540">
        <f t="shared" si="79"/>
        <v>1168945.7620000001</v>
      </c>
      <c r="N1786" s="1552"/>
      <c r="P1786" s="559"/>
    </row>
    <row r="1787" spans="1:16" s="540" customFormat="1" ht="14.25" customHeight="1">
      <c r="A1787" s="1551">
        <v>93</v>
      </c>
      <c r="B1787" s="1537" t="e">
        <f>VLOOKUP(D1787,'[2]DS CN MOI UP'!$B$11:$C$447,2,0)</f>
        <v>#N/A</v>
      </c>
      <c r="C1787" s="1538" t="s">
        <v>1564</v>
      </c>
      <c r="D1787" s="1468" t="s">
        <v>1667</v>
      </c>
      <c r="E1787" s="1468" t="s">
        <v>15</v>
      </c>
      <c r="F1787" s="1468"/>
      <c r="G1787" s="1540">
        <v>40000</v>
      </c>
      <c r="H1787" s="1540">
        <v>584606.86199999996</v>
      </c>
      <c r="I1787" s="1540">
        <v>524139.33600000001</v>
      </c>
      <c r="J1787" s="1466">
        <f t="shared" si="78"/>
        <v>1148746.1980000001</v>
      </c>
      <c r="K1787" s="1466"/>
      <c r="L1787" s="1466"/>
      <c r="M1787" s="1540">
        <f t="shared" si="79"/>
        <v>1148746.1980000001</v>
      </c>
      <c r="N1787" s="1552"/>
      <c r="P1787" s="559"/>
    </row>
    <row r="1788" spans="1:16" s="540" customFormat="1" ht="14.25" customHeight="1">
      <c r="A1788" s="1551">
        <v>94</v>
      </c>
      <c r="B1788" s="1537" t="e">
        <f>VLOOKUP(D1788,'[2]DS CN MOI UP'!$B$11:$C$447,2,0)</f>
        <v>#N/A</v>
      </c>
      <c r="C1788" s="1538" t="s">
        <v>1566</v>
      </c>
      <c r="D1788" s="1468" t="s">
        <v>1668</v>
      </c>
      <c r="E1788" s="1468" t="s">
        <v>15</v>
      </c>
      <c r="F1788" s="1468"/>
      <c r="G1788" s="1540">
        <v>40000</v>
      </c>
      <c r="H1788" s="1540">
        <v>635040.18900000001</v>
      </c>
      <c r="I1788" s="1540">
        <v>524139.33600000001</v>
      </c>
      <c r="J1788" s="1466">
        <f t="shared" si="78"/>
        <v>1199179.5249999999</v>
      </c>
      <c r="K1788" s="1466"/>
      <c r="L1788" s="1466"/>
      <c r="M1788" s="1540">
        <f t="shared" si="79"/>
        <v>1199179.5249999999</v>
      </c>
      <c r="N1788" s="1552"/>
      <c r="P1788" s="559"/>
    </row>
    <row r="1789" spans="1:16" s="540" customFormat="1" ht="14.25" customHeight="1">
      <c r="A1789" s="1551">
        <v>95</v>
      </c>
      <c r="B1789" s="1537" t="e">
        <f>VLOOKUP(D1789,'[2]DS CN MOI UP'!$B$11:$C$447,2,0)</f>
        <v>#N/A</v>
      </c>
      <c r="C1789" s="1538" t="s">
        <v>1568</v>
      </c>
      <c r="D1789" s="1468" t="s">
        <v>1669</v>
      </c>
      <c r="E1789" s="1468" t="s">
        <v>15</v>
      </c>
      <c r="F1789" s="1468"/>
      <c r="G1789" s="1540">
        <v>40000</v>
      </c>
      <c r="H1789" s="1540">
        <v>524139.33600000001</v>
      </c>
      <c r="I1789" s="1540">
        <v>524139.33600000001</v>
      </c>
      <c r="J1789" s="1466">
        <f t="shared" si="78"/>
        <v>1088278.672</v>
      </c>
      <c r="K1789" s="1466"/>
      <c r="L1789" s="1466"/>
      <c r="M1789" s="1540">
        <f t="shared" si="79"/>
        <v>1088278.672</v>
      </c>
      <c r="N1789" s="1552"/>
      <c r="P1789" s="559"/>
    </row>
    <row r="1790" spans="1:16" s="540" customFormat="1" ht="14.25" customHeight="1">
      <c r="A1790" s="1551">
        <v>96</v>
      </c>
      <c r="B1790" s="1537" t="e">
        <f>VLOOKUP(D1790,'[2]DS CN MOI UP'!$B$11:$C$447,2,0)</f>
        <v>#N/A</v>
      </c>
      <c r="C1790" s="1538" t="s">
        <v>1570</v>
      </c>
      <c r="D1790" s="1468" t="s">
        <v>1670</v>
      </c>
      <c r="E1790" s="1468" t="s">
        <v>15</v>
      </c>
      <c r="F1790" s="1468"/>
      <c r="G1790" s="1540">
        <v>60000</v>
      </c>
      <c r="H1790" s="1466">
        <v>554373.09900000005</v>
      </c>
      <c r="I1790" s="1540">
        <v>524139.33600000001</v>
      </c>
      <c r="J1790" s="1466">
        <f t="shared" si="78"/>
        <v>1138512.4350000001</v>
      </c>
      <c r="K1790" s="1466"/>
      <c r="L1790" s="1466"/>
      <c r="M1790" s="1540">
        <f t="shared" si="79"/>
        <v>1138512.4350000001</v>
      </c>
      <c r="N1790" s="1552"/>
      <c r="P1790" s="559"/>
    </row>
    <row r="1791" spans="1:16" s="540" customFormat="1" ht="14.25" customHeight="1">
      <c r="A1791" s="1551">
        <v>97</v>
      </c>
      <c r="B1791" s="1537" t="e">
        <f>VLOOKUP(D1791,'[2]DS CN MOI UP'!$B$11:$C$447,2,0)</f>
        <v>#N/A</v>
      </c>
      <c r="C1791" s="1538" t="s">
        <v>1572</v>
      </c>
      <c r="D1791" s="1468" t="s">
        <v>1671</v>
      </c>
      <c r="E1791" s="1468" t="s">
        <v>15</v>
      </c>
      <c r="F1791" s="1468"/>
      <c r="G1791" s="1540">
        <v>40000</v>
      </c>
      <c r="H1791" s="1466">
        <v>554373.09900000005</v>
      </c>
      <c r="I1791" s="1540">
        <v>524139.33600000001</v>
      </c>
      <c r="J1791" s="1466">
        <f t="shared" si="78"/>
        <v>1118512.4350000001</v>
      </c>
      <c r="K1791" s="1466"/>
      <c r="L1791" s="1466"/>
      <c r="M1791" s="1540">
        <f t="shared" si="79"/>
        <v>1118512.4350000001</v>
      </c>
      <c r="N1791" s="1552"/>
      <c r="P1791" s="559"/>
    </row>
    <row r="1792" spans="1:16" s="540" customFormat="1" ht="14.25" customHeight="1">
      <c r="A1792" s="1551">
        <v>98</v>
      </c>
      <c r="B1792" s="1537" t="str">
        <f>VLOOKUP(D1792,'[2]DS CN MOI UP'!$B$11:$C$447,2,0)</f>
        <v>02485</v>
      </c>
      <c r="C1792" s="1538" t="s">
        <v>1574</v>
      </c>
      <c r="D1792" s="1468" t="s">
        <v>31</v>
      </c>
      <c r="E1792" s="1468" t="s">
        <v>15</v>
      </c>
      <c r="F1792" s="1468"/>
      <c r="G1792" s="1540">
        <v>40000</v>
      </c>
      <c r="H1792" s="1466">
        <v>554373.09900000005</v>
      </c>
      <c r="I1792" s="1540">
        <v>524139.33600000001</v>
      </c>
      <c r="J1792" s="1466">
        <f t="shared" si="78"/>
        <v>1118512.4350000001</v>
      </c>
      <c r="K1792" s="1466"/>
      <c r="L1792" s="1466"/>
      <c r="M1792" s="1540">
        <f t="shared" si="79"/>
        <v>1118512.4350000001</v>
      </c>
      <c r="N1792" s="1552"/>
      <c r="P1792" s="559"/>
    </row>
    <row r="1793" spans="1:16" s="540" customFormat="1" ht="14.25" customHeight="1">
      <c r="A1793" s="1551">
        <v>99</v>
      </c>
      <c r="B1793" s="1537" t="e">
        <f>VLOOKUP(D1793,'[2]DS CN MOI UP'!$B$11:$C$447,2,0)</f>
        <v>#N/A</v>
      </c>
      <c r="C1793" s="1538" t="s">
        <v>1576</v>
      </c>
      <c r="D1793" s="1468" t="s">
        <v>1672</v>
      </c>
      <c r="E1793" s="1468" t="s">
        <v>15</v>
      </c>
      <c r="F1793" s="1468"/>
      <c r="G1793" s="1540">
        <v>40000</v>
      </c>
      <c r="H1793" s="1466">
        <v>554373.09900000005</v>
      </c>
      <c r="I1793" s="1540">
        <v>524139.33600000001</v>
      </c>
      <c r="J1793" s="1466">
        <f t="shared" si="78"/>
        <v>1118512.4350000001</v>
      </c>
      <c r="K1793" s="1466"/>
      <c r="L1793" s="1466"/>
      <c r="M1793" s="1540">
        <f t="shared" si="79"/>
        <v>1118512.4350000001</v>
      </c>
      <c r="N1793" s="1552"/>
      <c r="P1793" s="559"/>
    </row>
    <row r="1794" spans="1:16" s="540" customFormat="1" ht="14.25" customHeight="1">
      <c r="A1794" s="1551">
        <v>100</v>
      </c>
      <c r="B1794" s="1537" t="e">
        <f>VLOOKUP(D1794,'[2]DS CN MOI UP'!$B$11:$C$447,2,0)</f>
        <v>#N/A</v>
      </c>
      <c r="C1794" s="1538" t="s">
        <v>1578</v>
      </c>
      <c r="D1794" s="1468" t="s">
        <v>1673</v>
      </c>
      <c r="E1794" s="1468" t="s">
        <v>15</v>
      </c>
      <c r="F1794" s="1468"/>
      <c r="G1794" s="1540">
        <v>40000</v>
      </c>
      <c r="H1794" s="1466">
        <v>635040.18900000001</v>
      </c>
      <c r="I1794" s="1540">
        <v>524139.33600000001</v>
      </c>
      <c r="J1794" s="1466">
        <f t="shared" si="78"/>
        <v>1199179.5249999999</v>
      </c>
      <c r="K1794" s="1466"/>
      <c r="L1794" s="1466"/>
      <c r="M1794" s="1540">
        <f t="shared" si="79"/>
        <v>1199179.5249999999</v>
      </c>
      <c r="N1794" s="1552"/>
      <c r="P1794" s="559"/>
    </row>
    <row r="1795" spans="1:16" s="540" customFormat="1" ht="14.25" customHeight="1">
      <c r="A1795" s="1551">
        <v>101</v>
      </c>
      <c r="B1795" s="1537" t="e">
        <f>VLOOKUP(D1795,'[2]DS CN MOI UP'!$B$11:$C$447,2,0)</f>
        <v>#N/A</v>
      </c>
      <c r="C1795" s="1538" t="s">
        <v>1580</v>
      </c>
      <c r="D1795" s="1468" t="s">
        <v>907</v>
      </c>
      <c r="E1795" s="1468" t="s">
        <v>15</v>
      </c>
      <c r="F1795" s="1468"/>
      <c r="G1795" s="1540">
        <v>40000</v>
      </c>
      <c r="H1795" s="1466">
        <v>544338.9</v>
      </c>
      <c r="I1795" s="1540">
        <v>524139.33600000001</v>
      </c>
      <c r="J1795" s="1466">
        <f t="shared" si="78"/>
        <v>1108478.236</v>
      </c>
      <c r="K1795" s="1466"/>
      <c r="L1795" s="1466"/>
      <c r="M1795" s="1540">
        <f t="shared" si="79"/>
        <v>1108478.236</v>
      </c>
      <c r="N1795" s="1552"/>
      <c r="P1795" s="559"/>
    </row>
    <row r="1796" spans="1:16" s="540" customFormat="1" ht="14.25" customHeight="1">
      <c r="A1796" s="1551">
        <v>102</v>
      </c>
      <c r="B1796" s="1537" t="e">
        <f>VLOOKUP(D1796,'[2]DS CN MOI UP'!$B$11:$C$447,2,0)</f>
        <v>#N/A</v>
      </c>
      <c r="C1796" s="1538" t="s">
        <v>1582</v>
      </c>
      <c r="D1796" s="1468" t="s">
        <v>1674</v>
      </c>
      <c r="E1796" s="1468" t="s">
        <v>15</v>
      </c>
      <c r="F1796" s="1468"/>
      <c r="G1796" s="1540">
        <v>40000</v>
      </c>
      <c r="H1796" s="1466">
        <v>574572.66299999994</v>
      </c>
      <c r="I1796" s="1540">
        <v>524139.33600000001</v>
      </c>
      <c r="J1796" s="1466">
        <f t="shared" si="78"/>
        <v>1138711.9990000001</v>
      </c>
      <c r="K1796" s="1466"/>
      <c r="L1796" s="1466"/>
      <c r="M1796" s="1540">
        <f t="shared" si="79"/>
        <v>1138711.9990000001</v>
      </c>
      <c r="N1796" s="1552"/>
      <c r="P1796" s="559"/>
    </row>
    <row r="1797" spans="1:16" s="540" customFormat="1" ht="14.25" customHeight="1">
      <c r="A1797" s="1551">
        <v>103</v>
      </c>
      <c r="B1797" s="1537" t="str">
        <f>VLOOKUP(D1797,'[2]DS CN MOI UP'!$B$11:$C$447,2,0)</f>
        <v>02458</v>
      </c>
      <c r="C1797" s="1538" t="s">
        <v>1584</v>
      </c>
      <c r="D1797" s="1468" t="s">
        <v>492</v>
      </c>
      <c r="E1797" s="1468" t="s">
        <v>15</v>
      </c>
      <c r="F1797" s="1468"/>
      <c r="G1797" s="1540">
        <v>40000</v>
      </c>
      <c r="H1797" s="1540">
        <v>604806.42599999998</v>
      </c>
      <c r="I1797" s="1540">
        <v>524139.33600000001</v>
      </c>
      <c r="J1797" s="1466">
        <f t="shared" si="78"/>
        <v>1168945.7620000001</v>
      </c>
      <c r="K1797" s="1466"/>
      <c r="L1797" s="1466"/>
      <c r="M1797" s="1540">
        <f t="shared" si="79"/>
        <v>1168945.7620000001</v>
      </c>
      <c r="N1797" s="1552"/>
      <c r="P1797" s="559"/>
    </row>
    <row r="1798" spans="1:16" s="540" customFormat="1" ht="14.25" customHeight="1">
      <c r="A1798" s="1551">
        <v>104</v>
      </c>
      <c r="B1798" s="1537" t="e">
        <f>VLOOKUP(D1798,'[2]DS CN MOI UP'!$B$11:$C$447,2,0)</f>
        <v>#N/A</v>
      </c>
      <c r="C1798" s="1538" t="s">
        <v>1586</v>
      </c>
      <c r="D1798" s="1468" t="s">
        <v>307</v>
      </c>
      <c r="E1798" s="1468" t="s">
        <v>15</v>
      </c>
      <c r="F1798" s="1468"/>
      <c r="G1798" s="1540">
        <v>40000</v>
      </c>
      <c r="H1798" s="1540">
        <v>584606.86199999996</v>
      </c>
      <c r="I1798" s="1540">
        <v>524139.33600000001</v>
      </c>
      <c r="J1798" s="1466">
        <f t="shared" si="78"/>
        <v>1148746.1980000001</v>
      </c>
      <c r="K1798" s="1466"/>
      <c r="L1798" s="1466"/>
      <c r="M1798" s="1540">
        <f t="shared" si="79"/>
        <v>1148746.1980000001</v>
      </c>
      <c r="N1798" s="1552"/>
      <c r="P1798" s="559"/>
    </row>
    <row r="1799" spans="1:16" s="540" customFormat="1" ht="14.25" customHeight="1">
      <c r="A1799" s="1551">
        <v>105</v>
      </c>
      <c r="B1799" s="1537" t="e">
        <f>VLOOKUP(D1799,'[2]DS CN MOI UP'!$B$11:$C$447,2,0)</f>
        <v>#N/A</v>
      </c>
      <c r="C1799" s="166" t="s">
        <v>1588</v>
      </c>
      <c r="D1799" s="1468" t="s">
        <v>1174</v>
      </c>
      <c r="E1799" s="1468" t="s">
        <v>15</v>
      </c>
      <c r="F1799" s="1468"/>
      <c r="G1799" s="1540">
        <v>40000</v>
      </c>
      <c r="H1799" s="1540">
        <v>635040.18900000001</v>
      </c>
      <c r="I1799" s="1540">
        <v>524139.33600000001</v>
      </c>
      <c r="J1799" s="1466">
        <f t="shared" si="78"/>
        <v>1199179.5249999999</v>
      </c>
      <c r="K1799" s="1466"/>
      <c r="L1799" s="1466"/>
      <c r="M1799" s="1540">
        <f t="shared" si="79"/>
        <v>1199179.5249999999</v>
      </c>
      <c r="N1799" s="1552"/>
      <c r="P1799" s="559"/>
    </row>
    <row r="1800" spans="1:16" s="540" customFormat="1" ht="14.25" customHeight="1">
      <c r="A1800" s="1551">
        <v>106</v>
      </c>
      <c r="B1800" s="1537" t="e">
        <f>VLOOKUP(D1800,'[2]DS CN MOI UP'!$B$11:$C$447,2,0)</f>
        <v>#N/A</v>
      </c>
      <c r="C1800" s="1538" t="s">
        <v>1590</v>
      </c>
      <c r="D1800" s="1468" t="s">
        <v>1553</v>
      </c>
      <c r="E1800" s="1468" t="s">
        <v>15</v>
      </c>
      <c r="F1800" s="1468"/>
      <c r="G1800" s="1540">
        <v>40000</v>
      </c>
      <c r="H1800" s="1540">
        <v>524139.33600000001</v>
      </c>
      <c r="I1800" s="1540">
        <v>524139.33600000001</v>
      </c>
      <c r="J1800" s="1466">
        <f t="shared" si="78"/>
        <v>1088278.672</v>
      </c>
      <c r="K1800" s="1466"/>
      <c r="L1800" s="1466"/>
      <c r="M1800" s="1540">
        <f t="shared" si="79"/>
        <v>1088278.672</v>
      </c>
      <c r="N1800" s="1552"/>
      <c r="P1800" s="559"/>
    </row>
    <row r="1801" spans="1:16" s="540" customFormat="1" ht="14.25" customHeight="1">
      <c r="A1801" s="1551">
        <v>107</v>
      </c>
      <c r="B1801" s="1537" t="str">
        <f>VLOOKUP(D1801,'[2]DS CN MOI UP'!$B$11:$C$447,2,0)</f>
        <v>03859</v>
      </c>
      <c r="C1801" s="1538" t="s">
        <v>1592</v>
      </c>
      <c r="D1801" s="1468" t="s">
        <v>331</v>
      </c>
      <c r="E1801" s="1468" t="s">
        <v>15</v>
      </c>
      <c r="F1801" s="1468"/>
      <c r="G1801" s="1540">
        <v>40000</v>
      </c>
      <c r="H1801" s="1540">
        <v>635040.18900000001</v>
      </c>
      <c r="I1801" s="1540">
        <v>524139.33600000001</v>
      </c>
      <c r="J1801" s="1466">
        <f t="shared" si="78"/>
        <v>1199179.5249999999</v>
      </c>
      <c r="K1801" s="1466"/>
      <c r="L1801" s="1466"/>
      <c r="M1801" s="1540">
        <f t="shared" si="79"/>
        <v>1199179.5249999999</v>
      </c>
      <c r="N1801" s="1552"/>
      <c r="P1801" s="559"/>
    </row>
    <row r="1802" spans="1:16" s="540" customFormat="1" ht="14.25" customHeight="1">
      <c r="A1802" s="1551">
        <v>108</v>
      </c>
      <c r="B1802" s="1537" t="e">
        <f>VLOOKUP(D1802,'[2]DS CN MOI UP'!$B$11:$C$447,2,0)</f>
        <v>#N/A</v>
      </c>
      <c r="C1802" s="1538" t="s">
        <v>1594</v>
      </c>
      <c r="D1802" s="1468" t="s">
        <v>1675</v>
      </c>
      <c r="E1802" s="1468" t="s">
        <v>15</v>
      </c>
      <c r="F1802" s="1468"/>
      <c r="G1802" s="1540">
        <v>40000</v>
      </c>
      <c r="H1802" s="1540">
        <v>635040.18900000001</v>
      </c>
      <c r="I1802" s="1540">
        <v>524139.33600000001</v>
      </c>
      <c r="J1802" s="1466">
        <f t="shared" si="78"/>
        <v>1199179.5249999999</v>
      </c>
      <c r="K1802" s="1466"/>
      <c r="L1802" s="1466"/>
      <c r="M1802" s="1540">
        <f t="shared" si="79"/>
        <v>1199179.5249999999</v>
      </c>
      <c r="N1802" s="1552"/>
      <c r="P1802" s="559"/>
    </row>
    <row r="1803" spans="1:16" s="540" customFormat="1" ht="14.25" customHeight="1">
      <c r="A1803" s="1551">
        <v>109</v>
      </c>
      <c r="B1803" s="1537" t="e">
        <f>VLOOKUP(D1803,'[2]DS CN MOI UP'!$B$11:$C$447,2,0)</f>
        <v>#N/A</v>
      </c>
      <c r="C1803" s="1538" t="s">
        <v>1595</v>
      </c>
      <c r="D1803" s="1468" t="s">
        <v>1676</v>
      </c>
      <c r="E1803" s="1468" t="s">
        <v>15</v>
      </c>
      <c r="F1803" s="1468"/>
      <c r="G1803" s="1540">
        <v>40000</v>
      </c>
      <c r="H1803" s="1540">
        <v>554373.09900000005</v>
      </c>
      <c r="I1803" s="1540">
        <v>524139.33600000001</v>
      </c>
      <c r="J1803" s="1466">
        <f t="shared" si="78"/>
        <v>1118512.4350000001</v>
      </c>
      <c r="K1803" s="1466"/>
      <c r="L1803" s="1466"/>
      <c r="M1803" s="1540">
        <f t="shared" si="79"/>
        <v>1118512.4350000001</v>
      </c>
      <c r="N1803" s="1552"/>
      <c r="P1803" s="559"/>
    </row>
    <row r="1804" spans="1:16" s="540" customFormat="1" ht="14.25" customHeight="1">
      <c r="A1804" s="1551">
        <v>110</v>
      </c>
      <c r="B1804" s="1537" t="e">
        <f>VLOOKUP(D1804,'[2]DS CN MOI UP'!$B$11:$C$447,2,0)</f>
        <v>#N/A</v>
      </c>
      <c r="C1804" s="1538" t="s">
        <v>1597</v>
      </c>
      <c r="D1804" s="1468" t="s">
        <v>1677</v>
      </c>
      <c r="E1804" s="1468" t="s">
        <v>15</v>
      </c>
      <c r="F1804" s="1468"/>
      <c r="G1804" s="1540">
        <v>60000</v>
      </c>
      <c r="H1804" s="1540">
        <v>554373.09900000005</v>
      </c>
      <c r="I1804" s="1540">
        <v>524139.33600000001</v>
      </c>
      <c r="J1804" s="1466">
        <f t="shared" si="78"/>
        <v>1138512.4350000001</v>
      </c>
      <c r="K1804" s="1466"/>
      <c r="L1804" s="1466"/>
      <c r="M1804" s="1540">
        <f t="shared" si="79"/>
        <v>1138512.4350000001</v>
      </c>
      <c r="N1804" s="1552"/>
      <c r="P1804" s="559"/>
    </row>
    <row r="1805" spans="1:16" s="540" customFormat="1" ht="14.25" customHeight="1">
      <c r="A1805" s="1551">
        <v>111</v>
      </c>
      <c r="B1805" s="1537" t="str">
        <f>VLOOKUP(D1805,'[2]DS CN MOI UP'!$B$11:$C$447,2,0)</f>
        <v>02599</v>
      </c>
      <c r="C1805" s="1538" t="s">
        <v>1599</v>
      </c>
      <c r="D1805" s="1468" t="s">
        <v>224</v>
      </c>
      <c r="E1805" s="1468" t="s">
        <v>15</v>
      </c>
      <c r="F1805" s="1468"/>
      <c r="G1805" s="1540">
        <v>40000</v>
      </c>
      <c r="H1805" s="1540">
        <v>554373.09900000005</v>
      </c>
      <c r="I1805" s="1540">
        <v>524139.33600000001</v>
      </c>
      <c r="J1805" s="1466">
        <f t="shared" si="78"/>
        <v>1118512.4350000001</v>
      </c>
      <c r="K1805" s="1466"/>
      <c r="L1805" s="1466"/>
      <c r="M1805" s="1540">
        <f t="shared" si="79"/>
        <v>1118512.4350000001</v>
      </c>
      <c r="N1805" s="1552"/>
      <c r="P1805" s="559"/>
    </row>
    <row r="1806" spans="1:16" s="540" customFormat="1" ht="14.25" customHeight="1">
      <c r="A1806" s="1551">
        <v>112</v>
      </c>
      <c r="B1806" s="1537" t="e">
        <f>VLOOKUP(D1806,'[2]DS CN MOI UP'!$B$11:$C$447,2,0)</f>
        <v>#N/A</v>
      </c>
      <c r="C1806" s="1538" t="s">
        <v>1601</v>
      </c>
      <c r="D1806" s="1468" t="s">
        <v>1678</v>
      </c>
      <c r="E1806" s="1468" t="s">
        <v>15</v>
      </c>
      <c r="F1806" s="1468"/>
      <c r="G1806" s="1540">
        <v>40000</v>
      </c>
      <c r="H1806" s="1540">
        <v>554373.09900000005</v>
      </c>
      <c r="I1806" s="1540">
        <v>524139.33600000001</v>
      </c>
      <c r="J1806" s="1466">
        <f t="shared" si="78"/>
        <v>1118512.4350000001</v>
      </c>
      <c r="K1806" s="1466"/>
      <c r="L1806" s="1466"/>
      <c r="M1806" s="1540">
        <f t="shared" si="79"/>
        <v>1118512.4350000001</v>
      </c>
      <c r="N1806" s="1552"/>
      <c r="P1806" s="559"/>
    </row>
    <row r="1807" spans="1:16" s="540" customFormat="1" ht="14.25" customHeight="1">
      <c r="A1807" s="1551">
        <v>113</v>
      </c>
      <c r="B1807" s="1537" t="e">
        <f>VLOOKUP(D1807,'[2]DS CN MOI UP'!$B$11:$C$447,2,0)</f>
        <v>#N/A</v>
      </c>
      <c r="C1807" s="1538" t="s">
        <v>1603</v>
      </c>
      <c r="D1807" s="1468" t="s">
        <v>1679</v>
      </c>
      <c r="E1807" s="1468" t="s">
        <v>15</v>
      </c>
      <c r="F1807" s="1468"/>
      <c r="G1807" s="1540">
        <v>40000</v>
      </c>
      <c r="H1807" s="1540">
        <v>554373.09900000005</v>
      </c>
      <c r="I1807" s="1540">
        <v>524139.33600000001</v>
      </c>
      <c r="J1807" s="1466">
        <f t="shared" si="78"/>
        <v>1118512.4350000001</v>
      </c>
      <c r="K1807" s="1466"/>
      <c r="L1807" s="1466"/>
      <c r="M1807" s="1540">
        <f t="shared" si="79"/>
        <v>1118512.4350000001</v>
      </c>
      <c r="N1807" s="1552"/>
      <c r="P1807" s="559"/>
    </row>
    <row r="1808" spans="1:16" s="540" customFormat="1" ht="14.25" customHeight="1">
      <c r="A1808" s="1551">
        <v>114</v>
      </c>
      <c r="B1808" s="1537" t="e">
        <f>VLOOKUP(D1808,'[2]DS CN MOI UP'!$B$11:$C$447,2,0)</f>
        <v>#N/A</v>
      </c>
      <c r="C1808" s="1538" t="s">
        <v>1605</v>
      </c>
      <c r="D1808" s="1468" t="s">
        <v>1680</v>
      </c>
      <c r="E1808" s="1468" t="s">
        <v>15</v>
      </c>
      <c r="F1808" s="1468"/>
      <c r="G1808" s="1540">
        <v>40000</v>
      </c>
      <c r="H1808" s="1540">
        <v>635040.18900000001</v>
      </c>
      <c r="I1808" s="1540">
        <v>524139.33600000001</v>
      </c>
      <c r="J1808" s="1466">
        <f t="shared" si="78"/>
        <v>1199179.5249999999</v>
      </c>
      <c r="K1808" s="1466"/>
      <c r="L1808" s="1466"/>
      <c r="M1808" s="1540">
        <f t="shared" si="79"/>
        <v>1199179.5249999999</v>
      </c>
      <c r="N1808" s="1552"/>
      <c r="P1808" s="559"/>
    </row>
    <row r="1809" spans="1:16" s="540" customFormat="1" ht="14.25" customHeight="1">
      <c r="A1809" s="1551">
        <v>115</v>
      </c>
      <c r="B1809" s="1537" t="e">
        <f>VLOOKUP(D1809,'[2]DS CN MOI UP'!$B$11:$C$447,2,0)</f>
        <v>#N/A</v>
      </c>
      <c r="C1809" s="1538" t="s">
        <v>1607</v>
      </c>
      <c r="D1809" s="1468" t="s">
        <v>1681</v>
      </c>
      <c r="E1809" s="1468" t="s">
        <v>15</v>
      </c>
      <c r="F1809" s="1468"/>
      <c r="G1809" s="1540">
        <v>40000</v>
      </c>
      <c r="H1809" s="1540">
        <v>544338.9</v>
      </c>
      <c r="I1809" s="1540">
        <v>524139.33600000001</v>
      </c>
      <c r="J1809" s="1466">
        <f t="shared" si="78"/>
        <v>1108478.236</v>
      </c>
      <c r="K1809" s="1466"/>
      <c r="L1809" s="1466"/>
      <c r="M1809" s="1540">
        <f t="shared" si="79"/>
        <v>1108478.236</v>
      </c>
      <c r="N1809" s="1552"/>
      <c r="P1809" s="559"/>
    </row>
    <row r="1810" spans="1:16" s="540" customFormat="1" ht="14.25" customHeight="1">
      <c r="A1810" s="1551">
        <v>116</v>
      </c>
      <c r="B1810" s="1537" t="e">
        <f>VLOOKUP(D1810,'[2]DS CN MOI UP'!$B$11:$C$447,2,0)</f>
        <v>#N/A</v>
      </c>
      <c r="C1810" s="1538" t="s">
        <v>1609</v>
      </c>
      <c r="D1810" s="1468" t="s">
        <v>1682</v>
      </c>
      <c r="E1810" s="1468" t="s">
        <v>15</v>
      </c>
      <c r="F1810" s="1468"/>
      <c r="G1810" s="1540">
        <v>40000</v>
      </c>
      <c r="H1810" s="1540">
        <v>574572.66299999994</v>
      </c>
      <c r="I1810" s="1540">
        <v>524139.33600000001</v>
      </c>
      <c r="J1810" s="1466">
        <f t="shared" si="78"/>
        <v>1138711.9990000001</v>
      </c>
      <c r="K1810" s="1466"/>
      <c r="L1810" s="1466"/>
      <c r="M1810" s="1540">
        <f t="shared" si="79"/>
        <v>1138711.9990000001</v>
      </c>
      <c r="N1810" s="1552"/>
      <c r="P1810" s="559"/>
    </row>
    <row r="1811" spans="1:16" s="540" customFormat="1" ht="14.25" customHeight="1">
      <c r="A1811" s="1551">
        <v>117</v>
      </c>
      <c r="B1811" s="1537" t="e">
        <f>VLOOKUP(D1811,'[2]DS CN MOI UP'!$B$11:$C$447,2,0)</f>
        <v>#N/A</v>
      </c>
      <c r="C1811" s="1538" t="s">
        <v>1611</v>
      </c>
      <c r="D1811" s="1468" t="s">
        <v>1683</v>
      </c>
      <c r="E1811" s="1468" t="s">
        <v>15</v>
      </c>
      <c r="F1811" s="1468"/>
      <c r="G1811" s="1540">
        <v>40000</v>
      </c>
      <c r="H1811" s="1540">
        <v>604806.42599999998</v>
      </c>
      <c r="I1811" s="1540">
        <v>524139.33600000001</v>
      </c>
      <c r="J1811" s="1466">
        <f t="shared" si="78"/>
        <v>1168945.7620000001</v>
      </c>
      <c r="K1811" s="1466"/>
      <c r="L1811" s="1466"/>
      <c r="M1811" s="1540">
        <f t="shared" si="79"/>
        <v>1168945.7620000001</v>
      </c>
      <c r="N1811" s="1552"/>
      <c r="P1811" s="559"/>
    </row>
    <row r="1812" spans="1:16" s="540" customFormat="1" ht="14.25" customHeight="1">
      <c r="A1812" s="1551">
        <v>118</v>
      </c>
      <c r="B1812" s="1537" t="e">
        <f>VLOOKUP(D1812,'[2]DS CN MOI UP'!$B$11:$C$447,2,0)</f>
        <v>#N/A</v>
      </c>
      <c r="C1812" s="1538" t="s">
        <v>1612</v>
      </c>
      <c r="D1812" s="1468" t="s">
        <v>1684</v>
      </c>
      <c r="E1812" s="1468" t="s">
        <v>15</v>
      </c>
      <c r="F1812" s="1468"/>
      <c r="G1812" s="1540">
        <v>40000</v>
      </c>
      <c r="H1812" s="1540">
        <v>584606.86199999996</v>
      </c>
      <c r="I1812" s="1540">
        <v>524139.33600000001</v>
      </c>
      <c r="J1812" s="1466">
        <f t="shared" si="78"/>
        <v>1148746.1980000001</v>
      </c>
      <c r="K1812" s="1466"/>
      <c r="L1812" s="1466"/>
      <c r="M1812" s="1540">
        <f t="shared" si="79"/>
        <v>1148746.1980000001</v>
      </c>
      <c r="N1812" s="1552"/>
      <c r="P1812" s="559"/>
    </row>
    <row r="1813" spans="1:16" s="540" customFormat="1" ht="14.25" customHeight="1">
      <c r="A1813" s="1551">
        <v>119</v>
      </c>
      <c r="B1813" s="1537" t="e">
        <f>VLOOKUP(D1813,'[2]DS CN MOI UP'!$B$11:$C$447,2,0)</f>
        <v>#N/A</v>
      </c>
      <c r="C1813" s="1538" t="s">
        <v>1614</v>
      </c>
      <c r="D1813" s="1468" t="s">
        <v>1685</v>
      </c>
      <c r="E1813" s="1468" t="s">
        <v>15</v>
      </c>
      <c r="F1813" s="1468"/>
      <c r="G1813" s="1540">
        <v>40000</v>
      </c>
      <c r="H1813" s="1540">
        <v>635040.18900000001</v>
      </c>
      <c r="I1813" s="1540">
        <v>524139.33600000001</v>
      </c>
      <c r="J1813" s="1466">
        <f t="shared" si="78"/>
        <v>1199179.5249999999</v>
      </c>
      <c r="K1813" s="1466"/>
      <c r="L1813" s="1466"/>
      <c r="M1813" s="1540">
        <f t="shared" si="79"/>
        <v>1199179.5249999999</v>
      </c>
      <c r="N1813" s="1552"/>
      <c r="P1813" s="559"/>
    </row>
    <row r="1814" spans="1:16" s="540" customFormat="1" ht="14.25" customHeight="1">
      <c r="A1814" s="1551">
        <v>120</v>
      </c>
      <c r="B1814" s="1537" t="e">
        <f>VLOOKUP(D1814,'[2]DS CN MOI UP'!$B$11:$C$447,2,0)</f>
        <v>#N/A</v>
      </c>
      <c r="C1814" s="1538" t="s">
        <v>1616</v>
      </c>
      <c r="D1814" s="1468" t="s">
        <v>1686</v>
      </c>
      <c r="E1814" s="1468" t="s">
        <v>15</v>
      </c>
      <c r="F1814" s="1468"/>
      <c r="G1814" s="1540">
        <v>40000</v>
      </c>
      <c r="H1814" s="1540">
        <v>524139.33600000001</v>
      </c>
      <c r="I1814" s="1540">
        <v>524139.33600000001</v>
      </c>
      <c r="J1814" s="1466">
        <f t="shared" si="78"/>
        <v>1088278.672</v>
      </c>
      <c r="K1814" s="1466"/>
      <c r="L1814" s="1466"/>
      <c r="M1814" s="1540">
        <f t="shared" si="79"/>
        <v>1088278.672</v>
      </c>
      <c r="N1814" s="1552"/>
      <c r="P1814" s="559"/>
    </row>
    <row r="1815" spans="1:16" s="540" customFormat="1" ht="14.25" customHeight="1">
      <c r="A1815" s="1551">
        <v>121</v>
      </c>
      <c r="B1815" s="1537" t="e">
        <f>VLOOKUP(D1815,'[2]DS CN MOI UP'!$B$11:$C$447,2,0)</f>
        <v>#N/A</v>
      </c>
      <c r="C1815" s="1538" t="s">
        <v>1618</v>
      </c>
      <c r="D1815" s="1468" t="s">
        <v>1687</v>
      </c>
      <c r="E1815" s="1468" t="s">
        <v>15</v>
      </c>
      <c r="F1815" s="1468"/>
      <c r="G1815" s="1540">
        <v>40000</v>
      </c>
      <c r="H1815" s="1540">
        <v>635040.18900000001</v>
      </c>
      <c r="I1815" s="1540">
        <v>524139.33600000001</v>
      </c>
      <c r="J1815" s="1466">
        <f t="shared" si="78"/>
        <v>1199179.5249999999</v>
      </c>
      <c r="K1815" s="1466"/>
      <c r="L1815" s="1466"/>
      <c r="M1815" s="1540">
        <f t="shared" si="79"/>
        <v>1199179.5249999999</v>
      </c>
      <c r="N1815" s="1552"/>
      <c r="P1815" s="559"/>
    </row>
    <row r="1816" spans="1:16" s="540" customFormat="1" ht="14.25" customHeight="1">
      <c r="A1816" s="1551">
        <v>122</v>
      </c>
      <c r="B1816" s="1537" t="e">
        <f>VLOOKUP(D1816,'[2]DS CN MOI UP'!$B$11:$C$447,2,0)</f>
        <v>#N/A</v>
      </c>
      <c r="C1816" s="1538" t="s">
        <v>1620</v>
      </c>
      <c r="D1816" s="1468" t="s">
        <v>1688</v>
      </c>
      <c r="E1816" s="1468" t="s">
        <v>15</v>
      </c>
      <c r="F1816" s="1468"/>
      <c r="G1816" s="1540">
        <v>40000</v>
      </c>
      <c r="H1816" s="1540">
        <v>635040.18900000001</v>
      </c>
      <c r="I1816" s="1540">
        <v>524139.33600000001</v>
      </c>
      <c r="J1816" s="1466">
        <f t="shared" si="78"/>
        <v>1199179.5249999999</v>
      </c>
      <c r="K1816" s="1466"/>
      <c r="L1816" s="1466"/>
      <c r="M1816" s="1540">
        <f t="shared" si="79"/>
        <v>1199179.5249999999</v>
      </c>
      <c r="N1816" s="1552"/>
      <c r="P1816" s="559"/>
    </row>
    <row r="1817" spans="1:16" s="540" customFormat="1" ht="14.25" customHeight="1">
      <c r="A1817" s="1551">
        <v>123</v>
      </c>
      <c r="B1817" s="1537" t="e">
        <f>VLOOKUP(D1817,'[2]DS CN MOI UP'!$B$11:$C$447,2,0)</f>
        <v>#N/A</v>
      </c>
      <c r="C1817" s="1538" t="s">
        <v>1622</v>
      </c>
      <c r="D1817" s="1468" t="s">
        <v>1689</v>
      </c>
      <c r="E1817" s="1468" t="s">
        <v>15</v>
      </c>
      <c r="F1817" s="1468"/>
      <c r="G1817" s="1540">
        <v>40000</v>
      </c>
      <c r="H1817" s="1540">
        <v>554373.09900000005</v>
      </c>
      <c r="I1817" s="1540">
        <v>524139.33600000001</v>
      </c>
      <c r="J1817" s="1466">
        <f t="shared" si="78"/>
        <v>1118512.4350000001</v>
      </c>
      <c r="K1817" s="1466"/>
      <c r="L1817" s="1466"/>
      <c r="M1817" s="1540">
        <f t="shared" si="79"/>
        <v>1118512.4350000001</v>
      </c>
      <c r="N1817" s="1552"/>
      <c r="P1817" s="559"/>
    </row>
    <row r="1818" spans="1:16" s="540" customFormat="1" ht="14.25" customHeight="1">
      <c r="A1818" s="1551">
        <v>124</v>
      </c>
      <c r="B1818" s="1537" t="e">
        <f>VLOOKUP(D1818,'[2]DS CN MOI UP'!$B$11:$C$447,2,0)</f>
        <v>#N/A</v>
      </c>
      <c r="C1818" s="1538" t="s">
        <v>1624</v>
      </c>
      <c r="D1818" s="1468" t="s">
        <v>330</v>
      </c>
      <c r="E1818" s="1468" t="s">
        <v>15</v>
      </c>
      <c r="F1818" s="1468"/>
      <c r="G1818" s="1540">
        <v>60000</v>
      </c>
      <c r="H1818" s="1540">
        <v>554373.09900000005</v>
      </c>
      <c r="I1818" s="1540">
        <v>524139.33600000001</v>
      </c>
      <c r="J1818" s="1466">
        <f t="shared" si="78"/>
        <v>1138512.4350000001</v>
      </c>
      <c r="K1818" s="1466"/>
      <c r="L1818" s="1466"/>
      <c r="M1818" s="1540">
        <f t="shared" si="79"/>
        <v>1138512.4350000001</v>
      </c>
      <c r="N1818" s="1552"/>
      <c r="P1818" s="559"/>
    </row>
    <row r="1819" spans="1:16" s="1531" customFormat="1" ht="14.25" customHeight="1">
      <c r="A1819" s="1551">
        <v>125</v>
      </c>
      <c r="B1819" s="1537" t="e">
        <f>VLOOKUP(D1819,'[2]DS CN MOI UP'!$B$11:$C$447,2,0)</f>
        <v>#N/A</v>
      </c>
      <c r="C1819" s="1538" t="s">
        <v>1625</v>
      </c>
      <c r="D1819" s="1468" t="s">
        <v>1690</v>
      </c>
      <c r="E1819" s="1468" t="s">
        <v>15</v>
      </c>
      <c r="F1819" s="1468"/>
      <c r="G1819" s="1540">
        <v>40000</v>
      </c>
      <c r="H1819" s="1540">
        <v>554373.09900000005</v>
      </c>
      <c r="I1819" s="1540">
        <v>524139.33600000001</v>
      </c>
      <c r="J1819" s="1466">
        <f t="shared" si="78"/>
        <v>1118512.4350000001</v>
      </c>
      <c r="K1819" s="1466"/>
      <c r="L1819" s="1466"/>
      <c r="M1819" s="1540">
        <f t="shared" si="79"/>
        <v>1118512.4350000001</v>
      </c>
      <c r="N1819" s="1552"/>
      <c r="O1819" s="1553">
        <v>-340439.97600013</v>
      </c>
      <c r="P1819" s="559"/>
    </row>
    <row r="1820" spans="1:16" s="1531" customFormat="1" ht="14.25" customHeight="1">
      <c r="A1820" s="1551">
        <v>126</v>
      </c>
      <c r="B1820" s="1537" t="e">
        <f>VLOOKUP(D1820,'[2]DS CN MOI UP'!$B$11:$C$447,2,0)</f>
        <v>#N/A</v>
      </c>
      <c r="C1820" s="1538" t="s">
        <v>1627</v>
      </c>
      <c r="D1820" s="1468" t="s">
        <v>1691</v>
      </c>
      <c r="E1820" s="1468" t="s">
        <v>15</v>
      </c>
      <c r="F1820" s="1468"/>
      <c r="G1820" s="1540">
        <v>40000</v>
      </c>
      <c r="H1820" s="1540">
        <v>554373.09900000005</v>
      </c>
      <c r="I1820" s="1540">
        <f>524139.336+O1819</f>
        <v>183699.35999987001</v>
      </c>
      <c r="J1820" s="1466">
        <f t="shared" si="78"/>
        <v>778072.45899987</v>
      </c>
      <c r="K1820" s="1466"/>
      <c r="L1820" s="1466"/>
      <c r="M1820" s="1540">
        <f t="shared" si="79"/>
        <v>778072.45899987</v>
      </c>
      <c r="N1820" s="1552"/>
      <c r="O1820" s="1553"/>
      <c r="P1820" s="559"/>
    </row>
    <row r="1821" spans="1:16" s="1531" customFormat="1" ht="14.25" customHeight="1">
      <c r="A1821" s="1551">
        <v>127</v>
      </c>
      <c r="B1821" s="1537" t="e">
        <f>VLOOKUP(D1821,'[2]DS CN MOI UP'!$B$11:$C$447,2,0)</f>
        <v>#N/A</v>
      </c>
      <c r="C1821" s="1538" t="s">
        <v>1628</v>
      </c>
      <c r="D1821" s="1468" t="s">
        <v>1692</v>
      </c>
      <c r="E1821" s="1468" t="s">
        <v>15</v>
      </c>
      <c r="F1821" s="1468"/>
      <c r="G1821" s="1540">
        <v>40000</v>
      </c>
      <c r="H1821" s="1540">
        <v>554373.09900000005</v>
      </c>
      <c r="I1821" s="1540"/>
      <c r="J1821" s="1466">
        <f t="shared" si="78"/>
        <v>594373.09900000005</v>
      </c>
      <c r="K1821" s="1466"/>
      <c r="L1821" s="1466"/>
      <c r="M1821" s="1540">
        <f t="shared" si="79"/>
        <v>594373.09900000005</v>
      </c>
      <c r="N1821" s="1552"/>
      <c r="O1821" s="1553"/>
      <c r="P1821" s="559"/>
    </row>
    <row r="1822" spans="1:16" s="1531" customFormat="1" ht="14.25" customHeight="1">
      <c r="A1822" s="1551">
        <v>128</v>
      </c>
      <c r="B1822" s="1537" t="e">
        <f>VLOOKUP(D1822,'[2]DS CN MOI UP'!$B$11:$C$447,2,0)</f>
        <v>#N/A</v>
      </c>
      <c r="C1822" s="1538" t="s">
        <v>1628</v>
      </c>
      <c r="D1822" s="1468" t="s">
        <v>1693</v>
      </c>
      <c r="E1822" s="1468" t="s">
        <v>15</v>
      </c>
      <c r="F1822" s="1468"/>
      <c r="G1822" s="1540">
        <v>524139.33600000001</v>
      </c>
      <c r="H1822" s="1540">
        <v>635040.18900000001</v>
      </c>
      <c r="I1822" s="1540"/>
      <c r="J1822" s="1466">
        <f t="shared" si="78"/>
        <v>1159179.5249999999</v>
      </c>
      <c r="K1822" s="1466"/>
      <c r="L1822" s="1466"/>
      <c r="M1822" s="1540">
        <f t="shared" si="79"/>
        <v>1159179.5249999999</v>
      </c>
      <c r="N1822" s="1552"/>
      <c r="O1822" s="1553"/>
      <c r="P1822" s="559"/>
    </row>
    <row r="1823" spans="1:16" s="1531" customFormat="1" ht="14.25" customHeight="1">
      <c r="A1823" s="1551">
        <v>129</v>
      </c>
      <c r="B1823" s="1537" t="e">
        <f>VLOOKUP(D1823,'[2]DS CN MOI UP'!$B$11:$C$447,2,0)</f>
        <v>#N/A</v>
      </c>
      <c r="C1823" s="1538" t="s">
        <v>1628</v>
      </c>
      <c r="D1823" s="1468" t="s">
        <v>1694</v>
      </c>
      <c r="E1823" s="1468" t="s">
        <v>15</v>
      </c>
      <c r="F1823" s="1468"/>
      <c r="G1823" s="1540">
        <v>524139.33600000001</v>
      </c>
      <c r="H1823" s="1540">
        <v>544338.9</v>
      </c>
      <c r="I1823" s="1540"/>
      <c r="J1823" s="1466">
        <f t="shared" si="78"/>
        <v>1068478.236</v>
      </c>
      <c r="K1823" s="1466"/>
      <c r="L1823" s="1466"/>
      <c r="M1823" s="1540">
        <f t="shared" si="79"/>
        <v>1068478.236</v>
      </c>
      <c r="N1823" s="1552"/>
      <c r="O1823" s="1553"/>
      <c r="P1823" s="559"/>
    </row>
    <row r="1824" spans="1:16" s="1531" customFormat="1" ht="14.25" customHeight="1">
      <c r="A1824" s="1551">
        <v>130</v>
      </c>
      <c r="B1824" s="1537" t="e">
        <f>VLOOKUP(D1824,'[2]DS CN MOI UP'!$B$11:$C$447,2,0)</f>
        <v>#N/A</v>
      </c>
      <c r="C1824" s="1538" t="s">
        <v>1628</v>
      </c>
      <c r="D1824" s="1468" t="s">
        <v>1695</v>
      </c>
      <c r="E1824" s="1468" t="s">
        <v>15</v>
      </c>
      <c r="F1824" s="1468"/>
      <c r="G1824" s="1540">
        <v>524139.33600000001</v>
      </c>
      <c r="H1824" s="1540">
        <v>574572.66299999994</v>
      </c>
      <c r="I1824" s="1540"/>
      <c r="J1824" s="1466">
        <f t="shared" si="78"/>
        <v>1098711.9990000001</v>
      </c>
      <c r="K1824" s="1466"/>
      <c r="L1824" s="1466"/>
      <c r="M1824" s="1540">
        <f t="shared" si="79"/>
        <v>1098711.9990000001</v>
      </c>
      <c r="N1824" s="1552"/>
      <c r="O1824" s="1553"/>
      <c r="P1824" s="559"/>
    </row>
    <row r="1825" spans="1:16" s="1531" customFormat="1" ht="14.25" customHeight="1">
      <c r="A1825" s="1551">
        <v>131</v>
      </c>
      <c r="B1825" s="1537" t="e">
        <f>VLOOKUP(D1825,'[2]DS CN MOI UP'!$B$11:$C$447,2,0)</f>
        <v>#N/A</v>
      </c>
      <c r="C1825" s="1538" t="s">
        <v>1628</v>
      </c>
      <c r="D1825" s="1468" t="s">
        <v>1696</v>
      </c>
      <c r="E1825" s="1468" t="s">
        <v>15</v>
      </c>
      <c r="F1825" s="1468"/>
      <c r="G1825" s="1540">
        <v>524139.33600000001</v>
      </c>
      <c r="H1825" s="1540">
        <v>604806.42599999998</v>
      </c>
      <c r="I1825" s="1540"/>
      <c r="J1825" s="1466">
        <f t="shared" si="78"/>
        <v>1128945.7620000001</v>
      </c>
      <c r="K1825" s="1466"/>
      <c r="L1825" s="1466"/>
      <c r="M1825" s="1540">
        <f t="shared" si="79"/>
        <v>1128945.7620000001</v>
      </c>
      <c r="N1825" s="1552"/>
      <c r="O1825" s="1553"/>
      <c r="P1825" s="559"/>
    </row>
    <row r="1826" spans="1:16" s="1531" customFormat="1" ht="14.25" customHeight="1">
      <c r="A1826" s="1551">
        <v>132</v>
      </c>
      <c r="B1826" s="1537" t="e">
        <f>VLOOKUP(D1826,'[2]DS CN MOI UP'!$B$11:$C$447,2,0)</f>
        <v>#N/A</v>
      </c>
      <c r="C1826" s="1538" t="s">
        <v>1628</v>
      </c>
      <c r="D1826" s="1468" t="s">
        <v>1697</v>
      </c>
      <c r="E1826" s="1468" t="s">
        <v>15</v>
      </c>
      <c r="F1826" s="1468"/>
      <c r="G1826" s="1540">
        <v>524139.33600000001</v>
      </c>
      <c r="H1826" s="1540">
        <v>584606.86199999996</v>
      </c>
      <c r="I1826" s="1540"/>
      <c r="J1826" s="1466">
        <f t="shared" si="78"/>
        <v>1108746.1980000001</v>
      </c>
      <c r="K1826" s="1466"/>
      <c r="L1826" s="1466"/>
      <c r="M1826" s="1540">
        <f t="shared" si="79"/>
        <v>1108746.1980000001</v>
      </c>
      <c r="N1826" s="1552"/>
      <c r="O1826" s="1553"/>
      <c r="P1826" s="559"/>
    </row>
    <row r="1827" spans="1:16" s="1531" customFormat="1" ht="14.25" customHeight="1">
      <c r="A1827" s="1551">
        <v>133</v>
      </c>
      <c r="B1827" s="1537" t="e">
        <f>VLOOKUP(D1827,'[2]DS CN MOI UP'!$B$11:$C$447,2,0)</f>
        <v>#N/A</v>
      </c>
      <c r="C1827" s="1538" t="s">
        <v>1628</v>
      </c>
      <c r="D1827" s="1468" t="s">
        <v>1698</v>
      </c>
      <c r="E1827" s="1468" t="s">
        <v>15</v>
      </c>
      <c r="F1827" s="1468"/>
      <c r="G1827" s="1540">
        <v>524139.33600000001</v>
      </c>
      <c r="H1827" s="1540">
        <v>635040.18900000001</v>
      </c>
      <c r="I1827" s="1540"/>
      <c r="J1827" s="1466">
        <f t="shared" si="78"/>
        <v>1159179.5249999999</v>
      </c>
      <c r="K1827" s="1466"/>
      <c r="L1827" s="1466"/>
      <c r="M1827" s="1540">
        <f t="shared" si="79"/>
        <v>1159179.5249999999</v>
      </c>
      <c r="N1827" s="1552"/>
      <c r="O1827" s="1553"/>
      <c r="P1827" s="559"/>
    </row>
    <row r="1828" spans="1:16" s="1531" customFormat="1" ht="14.25" customHeight="1">
      <c r="A1828" s="1551">
        <v>134</v>
      </c>
      <c r="B1828" s="1537" t="e">
        <f>VLOOKUP(D1828,'[2]DS CN MOI UP'!$B$11:$C$447,2,0)</f>
        <v>#N/A</v>
      </c>
      <c r="C1828" s="1538" t="s">
        <v>1628</v>
      </c>
      <c r="D1828" s="1468" t="s">
        <v>1699</v>
      </c>
      <c r="E1828" s="1468" t="s">
        <v>15</v>
      </c>
      <c r="F1828" s="1468"/>
      <c r="G1828" s="1540">
        <v>524139.33600000001</v>
      </c>
      <c r="H1828" s="1540">
        <v>524139.33600000001</v>
      </c>
      <c r="I1828" s="1540"/>
      <c r="J1828" s="1466">
        <f t="shared" si="78"/>
        <v>1048278.672</v>
      </c>
      <c r="K1828" s="1466"/>
      <c r="L1828" s="1466"/>
      <c r="M1828" s="1540">
        <f t="shared" si="79"/>
        <v>1048278.672</v>
      </c>
      <c r="N1828" s="1552"/>
      <c r="O1828" s="1553"/>
      <c r="P1828" s="559"/>
    </row>
    <row r="1829" spans="1:16" s="1531" customFormat="1" ht="14.25" customHeight="1">
      <c r="A1829" s="1551">
        <v>135</v>
      </c>
      <c r="B1829" s="1537" t="e">
        <f>VLOOKUP(D1829,'[2]DS CN MOI UP'!$B$11:$C$447,2,0)</f>
        <v>#N/A</v>
      </c>
      <c r="C1829" s="1538" t="s">
        <v>1628</v>
      </c>
      <c r="D1829" s="1468" t="s">
        <v>1700</v>
      </c>
      <c r="E1829" s="1468" t="s">
        <v>15</v>
      </c>
      <c r="F1829" s="1468"/>
      <c r="G1829" s="1540">
        <v>524139.33600000001</v>
      </c>
      <c r="H1829" s="1540">
        <v>635040.18900000001</v>
      </c>
      <c r="I1829" s="1540"/>
      <c r="J1829" s="1466">
        <f t="shared" si="78"/>
        <v>1159179.5249999999</v>
      </c>
      <c r="K1829" s="1466"/>
      <c r="L1829" s="1466"/>
      <c r="M1829" s="1540">
        <f t="shared" si="79"/>
        <v>1159179.5249999999</v>
      </c>
      <c r="N1829" s="1552"/>
      <c r="O1829" s="1553"/>
      <c r="P1829" s="559"/>
    </row>
    <row r="1830" spans="1:16" s="1531" customFormat="1" ht="14.25" customHeight="1">
      <c r="A1830" s="1551">
        <v>136</v>
      </c>
      <c r="B1830" s="1537" t="e">
        <f>VLOOKUP(D1830,'[2]DS CN MOI UP'!$B$11:$C$447,2,0)</f>
        <v>#N/A</v>
      </c>
      <c r="C1830" s="1538" t="s">
        <v>1628</v>
      </c>
      <c r="D1830" s="1468" t="s">
        <v>1701</v>
      </c>
      <c r="E1830" s="1468" t="s">
        <v>15</v>
      </c>
      <c r="F1830" s="1468"/>
      <c r="G1830" s="1540">
        <v>524139.33600000001</v>
      </c>
      <c r="H1830" s="1540">
        <v>635040.18900000001</v>
      </c>
      <c r="I1830" s="1540"/>
      <c r="J1830" s="1466">
        <f t="shared" si="78"/>
        <v>1159179.5249999999</v>
      </c>
      <c r="K1830" s="1466"/>
      <c r="L1830" s="1466"/>
      <c r="M1830" s="1540">
        <f t="shared" si="79"/>
        <v>1159179.5249999999</v>
      </c>
      <c r="N1830" s="1552"/>
      <c r="O1830" s="1553"/>
      <c r="P1830" s="559"/>
    </row>
    <row r="1831" spans="1:16" s="1531" customFormat="1" ht="14.25" customHeight="1">
      <c r="A1831" s="1551">
        <v>137</v>
      </c>
      <c r="B1831" s="1537" t="e">
        <f>VLOOKUP(D1831,'[2]DS CN MOI UP'!$B$11:$C$447,2,0)</f>
        <v>#N/A</v>
      </c>
      <c r="C1831" s="1538" t="s">
        <v>1628</v>
      </c>
      <c r="D1831" s="1468" t="s">
        <v>1702</v>
      </c>
      <c r="E1831" s="1468" t="s">
        <v>15</v>
      </c>
      <c r="F1831" s="1468"/>
      <c r="G1831" s="1540">
        <v>524139.33600000001</v>
      </c>
      <c r="H1831" s="1540">
        <v>554373.09900000005</v>
      </c>
      <c r="I1831" s="1540"/>
      <c r="J1831" s="1466">
        <f t="shared" si="78"/>
        <v>1078512.4350000001</v>
      </c>
      <c r="K1831" s="1466"/>
      <c r="L1831" s="1466"/>
      <c r="M1831" s="1540">
        <f t="shared" si="79"/>
        <v>1078512.4350000001</v>
      </c>
      <c r="N1831" s="1552"/>
      <c r="O1831" s="1553"/>
      <c r="P1831" s="559"/>
    </row>
    <row r="1832" spans="1:16" s="1531" customFormat="1" ht="14.25" customHeight="1">
      <c r="A1832" s="1551">
        <v>138</v>
      </c>
      <c r="B1832" s="1537" t="e">
        <f>VLOOKUP(D1832,'[2]DS CN MOI UP'!$B$11:$C$447,2,0)</f>
        <v>#N/A</v>
      </c>
      <c r="C1832" s="1538" t="s">
        <v>1628</v>
      </c>
      <c r="D1832" s="1468" t="s">
        <v>907</v>
      </c>
      <c r="E1832" s="1468" t="s">
        <v>15</v>
      </c>
      <c r="F1832" s="1468"/>
      <c r="G1832" s="1540">
        <v>524139.33600000001</v>
      </c>
      <c r="H1832" s="1540">
        <v>554373.09900000005</v>
      </c>
      <c r="I1832" s="1540"/>
      <c r="J1832" s="1466">
        <f t="shared" si="78"/>
        <v>1078512.4350000001</v>
      </c>
      <c r="K1832" s="1466"/>
      <c r="L1832" s="1466"/>
      <c r="M1832" s="1540">
        <f t="shared" si="79"/>
        <v>1078512.4350000001</v>
      </c>
      <c r="N1832" s="1552"/>
      <c r="O1832" s="1553"/>
      <c r="P1832" s="559"/>
    </row>
    <row r="1833" spans="1:16" s="1531" customFormat="1" ht="14.25" customHeight="1">
      <c r="A1833" s="1551">
        <v>139</v>
      </c>
      <c r="B1833" s="1537" t="e">
        <f>VLOOKUP(D1833,'[2]DS CN MOI UP'!$B$11:$C$447,2,0)</f>
        <v>#N/A</v>
      </c>
      <c r="C1833" s="1538" t="s">
        <v>1628</v>
      </c>
      <c r="D1833" s="1468" t="s">
        <v>1703</v>
      </c>
      <c r="E1833" s="1468" t="s">
        <v>15</v>
      </c>
      <c r="F1833" s="1468"/>
      <c r="G1833" s="1540"/>
      <c r="H1833" s="1540">
        <v>554373.09900000005</v>
      </c>
      <c r="I1833" s="1540"/>
      <c r="J1833" s="1466">
        <f t="shared" si="78"/>
        <v>554373.09900000005</v>
      </c>
      <c r="K1833" s="1466"/>
      <c r="L1833" s="1466"/>
      <c r="M1833" s="1540">
        <f t="shared" si="79"/>
        <v>554373.09900000005</v>
      </c>
      <c r="N1833" s="1552"/>
      <c r="O1833" s="1553"/>
      <c r="P1833" s="559"/>
    </row>
    <row r="1834" spans="1:16" s="1531" customFormat="1" ht="14.25" customHeight="1">
      <c r="A1834" s="1551">
        <v>140</v>
      </c>
      <c r="B1834" s="1537" t="e">
        <f>VLOOKUP(D1834,'[2]DS CN MOI UP'!$B$11:$C$447,2,0)</f>
        <v>#N/A</v>
      </c>
      <c r="C1834" s="1538" t="s">
        <v>1628</v>
      </c>
      <c r="D1834" s="1468" t="s">
        <v>1704</v>
      </c>
      <c r="E1834" s="1468" t="s">
        <v>15</v>
      </c>
      <c r="F1834" s="1468"/>
      <c r="G1834" s="1540"/>
      <c r="H1834" s="1540">
        <v>1239846.615</v>
      </c>
      <c r="I1834" s="1540"/>
      <c r="J1834" s="1466">
        <f t="shared" si="78"/>
        <v>1239846.615</v>
      </c>
      <c r="K1834" s="1466"/>
      <c r="L1834" s="1466"/>
      <c r="M1834" s="1540">
        <f t="shared" si="79"/>
        <v>1239846.615</v>
      </c>
      <c r="N1834" s="1552"/>
      <c r="O1834" s="1553"/>
      <c r="P1834" s="559"/>
    </row>
    <row r="1835" spans="1:16" s="1531" customFormat="1" ht="14.25" customHeight="1">
      <c r="A1835" s="1551">
        <v>141</v>
      </c>
      <c r="B1835" s="1537" t="e">
        <f>VLOOKUP(D1835,'[2]DS CN MOI UP'!$B$11:$C$447,2,0)</f>
        <v>#N/A</v>
      </c>
      <c r="C1835" s="1538" t="s">
        <v>1628</v>
      </c>
      <c r="D1835" s="1468" t="s">
        <v>1705</v>
      </c>
      <c r="E1835" s="1468" t="s">
        <v>15</v>
      </c>
      <c r="F1835" s="1468"/>
      <c r="G1835" s="1540"/>
      <c r="H1835" s="1540">
        <v>1239846.615</v>
      </c>
      <c r="I1835" s="1540"/>
      <c r="J1835" s="1466">
        <f t="shared" si="78"/>
        <v>1239846.615</v>
      </c>
      <c r="K1835" s="1466"/>
      <c r="L1835" s="1466"/>
      <c r="M1835" s="1540">
        <f t="shared" si="79"/>
        <v>1239846.615</v>
      </c>
      <c r="N1835" s="1552"/>
      <c r="O1835" s="1553"/>
      <c r="P1835" s="559"/>
    </row>
    <row r="1836" spans="1:16" s="1531" customFormat="1" ht="14.25" customHeight="1">
      <c r="A1836" s="1551">
        <v>142</v>
      </c>
      <c r="B1836" s="1537" t="e">
        <f>VLOOKUP(D1836,'[2]DS CN MOI UP'!$B$11:$C$447,2,0)</f>
        <v>#N/A</v>
      </c>
      <c r="C1836" s="1538" t="s">
        <v>1628</v>
      </c>
      <c r="D1836" s="1468" t="s">
        <v>1533</v>
      </c>
      <c r="E1836" s="1468" t="s">
        <v>15</v>
      </c>
      <c r="F1836" s="1468"/>
      <c r="G1836" s="1540"/>
      <c r="H1836" s="1540">
        <v>1239846.615</v>
      </c>
      <c r="I1836" s="1540"/>
      <c r="J1836" s="1466">
        <f t="shared" si="78"/>
        <v>1239846.615</v>
      </c>
      <c r="K1836" s="1466"/>
      <c r="L1836" s="1466"/>
      <c r="M1836" s="1540">
        <f t="shared" si="79"/>
        <v>1239846.615</v>
      </c>
      <c r="N1836" s="1552"/>
      <c r="O1836" s="1553"/>
      <c r="P1836" s="559"/>
    </row>
    <row r="1837" spans="1:16" s="1531" customFormat="1" ht="14.25" customHeight="1">
      <c r="A1837" s="1551">
        <v>143</v>
      </c>
      <c r="B1837" s="1537" t="e">
        <f>VLOOKUP(D1837,'[2]DS CN MOI UP'!$B$11:$C$447,2,0)</f>
        <v>#N/A</v>
      </c>
      <c r="C1837" s="1538" t="s">
        <v>1628</v>
      </c>
      <c r="D1837" s="1468" t="s">
        <v>762</v>
      </c>
      <c r="E1837" s="1468" t="s">
        <v>15</v>
      </c>
      <c r="F1837" s="1468"/>
      <c r="G1837" s="1540"/>
      <c r="H1837" s="1540">
        <v>1149145.3259999999</v>
      </c>
      <c r="I1837" s="1540"/>
      <c r="J1837" s="1466">
        <f t="shared" si="78"/>
        <v>1149145.3259999999</v>
      </c>
      <c r="K1837" s="1466"/>
      <c r="L1837" s="1466"/>
      <c r="M1837" s="1540">
        <f t="shared" si="79"/>
        <v>1149145.3259999999</v>
      </c>
      <c r="N1837" s="1552"/>
      <c r="O1837" s="1553"/>
      <c r="P1837" s="559"/>
    </row>
    <row r="1838" spans="1:16" s="1531" customFormat="1" ht="14.25" customHeight="1">
      <c r="A1838" s="1551">
        <v>144</v>
      </c>
      <c r="B1838" s="1537" t="e">
        <f>VLOOKUP(D1838,'[2]DS CN MOI UP'!$B$11:$C$447,2,0)</f>
        <v>#N/A</v>
      </c>
      <c r="C1838" s="1538" t="s">
        <v>1628</v>
      </c>
      <c r="D1838" s="1468" t="s">
        <v>763</v>
      </c>
      <c r="E1838" s="1468" t="s">
        <v>15</v>
      </c>
      <c r="F1838" s="1468"/>
      <c r="G1838" s="1540"/>
      <c r="H1838" s="1540">
        <v>1229038.53819991</v>
      </c>
      <c r="I1838" s="1540"/>
      <c r="J1838" s="1466">
        <f t="shared" si="78"/>
        <v>1229038.53819991</v>
      </c>
      <c r="K1838" s="1466"/>
      <c r="L1838" s="1466"/>
      <c r="M1838" s="1540">
        <f t="shared" si="79"/>
        <v>1229038.53819991</v>
      </c>
      <c r="N1838" s="1552"/>
      <c r="O1838" s="1553"/>
      <c r="P1838" s="559"/>
    </row>
    <row r="1839" spans="1:16" s="1531" customFormat="1" ht="14.25" customHeight="1">
      <c r="A1839" s="1551">
        <v>145</v>
      </c>
      <c r="B1839" s="1537" t="e">
        <f>VLOOKUP(D1839,'[2]DS CN MOI UP'!$B$11:$C$447,2,0)</f>
        <v>#N/A</v>
      </c>
      <c r="C1839" s="1538" t="s">
        <v>1628</v>
      </c>
      <c r="D1839" s="1468" t="s">
        <v>764</v>
      </c>
      <c r="E1839" s="1468" t="s">
        <v>15</v>
      </c>
      <c r="F1839" s="1468"/>
      <c r="G1839" s="1540"/>
      <c r="H1839" s="1540">
        <v>1159179.5249999999</v>
      </c>
      <c r="I1839" s="1540"/>
      <c r="J1839" s="1466">
        <f t="shared" si="78"/>
        <v>1159179.5249999999</v>
      </c>
      <c r="K1839" s="1466"/>
      <c r="L1839" s="1466"/>
      <c r="M1839" s="1540">
        <f t="shared" si="79"/>
        <v>1159179.5249999999</v>
      </c>
      <c r="N1839" s="1552"/>
      <c r="O1839" s="1553"/>
      <c r="P1839" s="559"/>
    </row>
    <row r="1840" spans="1:16" s="1531" customFormat="1" ht="14.25" customHeight="1">
      <c r="A1840" s="1551">
        <v>146</v>
      </c>
      <c r="B1840" s="1537" t="e">
        <f>VLOOKUP(D1840,'[2]DS CN MOI UP'!$B$11:$C$447,2,0)</f>
        <v>#N/A</v>
      </c>
      <c r="C1840" s="1538" t="s">
        <v>1628</v>
      </c>
      <c r="D1840" s="1468" t="s">
        <v>765</v>
      </c>
      <c r="E1840" s="1468" t="s">
        <v>15</v>
      </c>
      <c r="F1840" s="1468"/>
      <c r="G1840" s="1540"/>
      <c r="H1840" s="1540">
        <v>1239846.615</v>
      </c>
      <c r="I1840" s="1540"/>
      <c r="J1840" s="1466">
        <f t="shared" si="78"/>
        <v>1239846.615</v>
      </c>
      <c r="K1840" s="1466"/>
      <c r="L1840" s="1466"/>
      <c r="M1840" s="1540">
        <f t="shared" si="79"/>
        <v>1239846.615</v>
      </c>
      <c r="N1840" s="1552"/>
      <c r="O1840" s="1553"/>
      <c r="P1840" s="559"/>
    </row>
    <row r="1841" spans="1:16" s="1531" customFormat="1" ht="14.25" customHeight="1">
      <c r="A1841" s="1551">
        <v>147</v>
      </c>
      <c r="B1841" s="1537" t="e">
        <f>VLOOKUP(D1841,'[2]DS CN MOI UP'!$B$11:$C$447,2,0)</f>
        <v>#N/A</v>
      </c>
      <c r="C1841" s="1538" t="s">
        <v>1628</v>
      </c>
      <c r="D1841" s="1468" t="s">
        <v>766</v>
      </c>
      <c r="E1841" s="1468" t="s">
        <v>15</v>
      </c>
      <c r="F1841" s="1468"/>
      <c r="G1841" s="1540"/>
      <c r="H1841" s="1540">
        <v>1149145.3259999999</v>
      </c>
      <c r="I1841" s="1540"/>
      <c r="J1841" s="1466">
        <f t="shared" si="78"/>
        <v>1149145.3259999999</v>
      </c>
      <c r="K1841" s="1466"/>
      <c r="L1841" s="1466"/>
      <c r="M1841" s="1540">
        <f t="shared" si="79"/>
        <v>1149145.3259999999</v>
      </c>
      <c r="N1841" s="1552"/>
      <c r="O1841" s="1553"/>
      <c r="P1841" s="559"/>
    </row>
    <row r="1842" spans="1:16" s="1531" customFormat="1" ht="14.25" customHeight="1">
      <c r="A1842" s="1551">
        <v>148</v>
      </c>
      <c r="B1842" s="1537" t="e">
        <f>VLOOKUP(D1842,'[2]DS CN MOI UP'!$B$11:$C$447,2,0)</f>
        <v>#N/A</v>
      </c>
      <c r="C1842" s="1538" t="s">
        <v>1628</v>
      </c>
      <c r="D1842" s="1468" t="s">
        <v>1706</v>
      </c>
      <c r="E1842" s="1468" t="s">
        <v>15</v>
      </c>
      <c r="F1842" s="1468"/>
      <c r="G1842" s="1540"/>
      <c r="H1842" s="1540">
        <v>1229038.53819991</v>
      </c>
      <c r="I1842" s="1540"/>
      <c r="J1842" s="1466">
        <f t="shared" si="78"/>
        <v>1229038.53819991</v>
      </c>
      <c r="K1842" s="1466"/>
      <c r="L1842" s="1466"/>
      <c r="M1842" s="1540">
        <f t="shared" si="79"/>
        <v>1229038.53819991</v>
      </c>
      <c r="N1842" s="1552"/>
      <c r="O1842" s="1553"/>
      <c r="P1842" s="559"/>
    </row>
    <row r="1843" spans="1:16" s="1531" customFormat="1" ht="14.25" customHeight="1">
      <c r="A1843" s="1551">
        <v>149</v>
      </c>
      <c r="B1843" s="1537" t="e">
        <f>VLOOKUP(D1843,'[2]DS CN MOI UP'!$B$11:$C$447,2,0)</f>
        <v>#N/A</v>
      </c>
      <c r="C1843" s="1538" t="s">
        <v>1628</v>
      </c>
      <c r="D1843" s="1468" t="s">
        <v>768</v>
      </c>
      <c r="E1843" s="1468" t="s">
        <v>15</v>
      </c>
      <c r="F1843" s="1468"/>
      <c r="G1843" s="1540"/>
      <c r="H1843" s="1540">
        <v>1159179.5249999999</v>
      </c>
      <c r="I1843" s="1540"/>
      <c r="J1843" s="1466">
        <f t="shared" si="78"/>
        <v>1159179.5249999999</v>
      </c>
      <c r="K1843" s="1466"/>
      <c r="L1843" s="1466"/>
      <c r="M1843" s="1540">
        <f t="shared" si="79"/>
        <v>1159179.5249999999</v>
      </c>
      <c r="N1843" s="1552"/>
      <c r="O1843" s="1553"/>
      <c r="P1843" s="559"/>
    </row>
    <row r="1844" spans="1:16" s="1531" customFormat="1" ht="14.25" customHeight="1">
      <c r="A1844" s="1551">
        <v>150</v>
      </c>
      <c r="B1844" s="1537" t="e">
        <f>VLOOKUP(D1844,'[2]DS CN MOI UP'!$B$11:$C$447,2,0)</f>
        <v>#N/A</v>
      </c>
      <c r="C1844" s="1538" t="s">
        <v>1628</v>
      </c>
      <c r="D1844" s="1468" t="s">
        <v>769</v>
      </c>
      <c r="E1844" s="1468" t="s">
        <v>15</v>
      </c>
      <c r="F1844" s="1468"/>
      <c r="G1844" s="1540"/>
      <c r="H1844" s="1540">
        <v>1239846.615</v>
      </c>
      <c r="I1844" s="1540"/>
      <c r="J1844" s="1466">
        <f t="shared" si="78"/>
        <v>1239846.615</v>
      </c>
      <c r="K1844" s="1466"/>
      <c r="L1844" s="1466"/>
      <c r="M1844" s="1540">
        <f t="shared" si="79"/>
        <v>1239846.615</v>
      </c>
      <c r="N1844" s="1552"/>
      <c r="O1844" s="1553"/>
      <c r="P1844" s="559"/>
    </row>
    <row r="1845" spans="1:16" s="1531" customFormat="1" ht="14.25" customHeight="1">
      <c r="A1845" s="1551">
        <v>151</v>
      </c>
      <c r="B1845" s="1537" t="e">
        <f>VLOOKUP(D1845,'[2]DS CN MOI UP'!$B$11:$C$447,2,0)</f>
        <v>#N/A</v>
      </c>
      <c r="C1845" s="1538" t="s">
        <v>1628</v>
      </c>
      <c r="D1845" s="1468" t="s">
        <v>1707</v>
      </c>
      <c r="E1845" s="1468" t="s">
        <v>15</v>
      </c>
      <c r="F1845" s="1468"/>
      <c r="G1845" s="1540"/>
      <c r="H1845" s="1540">
        <v>1149145.3259999999</v>
      </c>
      <c r="I1845" s="1540"/>
      <c r="J1845" s="1466">
        <f t="shared" si="78"/>
        <v>1149145.3259999999</v>
      </c>
      <c r="K1845" s="1466"/>
      <c r="L1845" s="1466"/>
      <c r="M1845" s="1540">
        <f t="shared" si="79"/>
        <v>1149145.3259999999</v>
      </c>
      <c r="N1845" s="1552"/>
      <c r="O1845" s="1553"/>
      <c r="P1845" s="559"/>
    </row>
    <row r="1846" spans="1:16" s="1531" customFormat="1" ht="14.25" customHeight="1">
      <c r="A1846" s="1551">
        <v>152</v>
      </c>
      <c r="B1846" s="1537" t="e">
        <f>VLOOKUP(D1846,'[2]DS CN MOI UP'!$B$11:$C$447,2,0)</f>
        <v>#N/A</v>
      </c>
      <c r="C1846" s="1538" t="s">
        <v>1628</v>
      </c>
      <c r="D1846" s="1468" t="s">
        <v>1708</v>
      </c>
      <c r="E1846" s="1468" t="s">
        <v>15</v>
      </c>
      <c r="F1846" s="1468"/>
      <c r="G1846" s="1540"/>
      <c r="H1846" s="1540">
        <v>1159179.5249999999</v>
      </c>
      <c r="I1846" s="1540"/>
      <c r="J1846" s="1466">
        <f t="shared" si="78"/>
        <v>1159179.5249999999</v>
      </c>
      <c r="K1846" s="1466"/>
      <c r="L1846" s="1466"/>
      <c r="M1846" s="1540">
        <f t="shared" si="79"/>
        <v>1159179.5249999999</v>
      </c>
      <c r="N1846" s="1552"/>
      <c r="O1846" s="1553"/>
      <c r="P1846" s="559"/>
    </row>
    <row r="1847" spans="1:16" s="1531" customFormat="1" ht="14.25" customHeight="1">
      <c r="A1847" s="1551">
        <v>153</v>
      </c>
      <c r="B1847" s="1537" t="e">
        <f>VLOOKUP(D1847,'[2]DS CN MOI UP'!$B$11:$C$447,2,0)</f>
        <v>#N/A</v>
      </c>
      <c r="C1847" s="1538" t="s">
        <v>1628</v>
      </c>
      <c r="D1847" s="1468" t="s">
        <v>1709</v>
      </c>
      <c r="E1847" s="1468" t="s">
        <v>15</v>
      </c>
      <c r="F1847" s="1468"/>
      <c r="G1847" s="1540"/>
      <c r="H1847" s="1540">
        <v>1159179.5249999999</v>
      </c>
      <c r="I1847" s="1540"/>
      <c r="J1847" s="1466">
        <f t="shared" si="78"/>
        <v>1159179.5249999999</v>
      </c>
      <c r="K1847" s="1466"/>
      <c r="L1847" s="1466"/>
      <c r="M1847" s="1540">
        <f t="shared" si="79"/>
        <v>1159179.5249999999</v>
      </c>
      <c r="N1847" s="1552"/>
      <c r="O1847" s="1553"/>
      <c r="P1847" s="559"/>
    </row>
    <row r="1848" spans="1:16" s="1531" customFormat="1" ht="14.25" customHeight="1">
      <c r="A1848" s="1551">
        <v>154</v>
      </c>
      <c r="B1848" s="1537" t="e">
        <f>VLOOKUP(D1848,'[2]DS CN MOI UP'!$B$11:$C$447,2,0)</f>
        <v>#N/A</v>
      </c>
      <c r="C1848" s="1538" t="s">
        <v>1628</v>
      </c>
      <c r="D1848" s="1468" t="s">
        <v>771</v>
      </c>
      <c r="E1848" s="1468" t="s">
        <v>15</v>
      </c>
      <c r="F1848" s="1468"/>
      <c r="G1848" s="1540"/>
      <c r="H1848" s="1540">
        <v>1239846.615</v>
      </c>
      <c r="I1848" s="1540"/>
      <c r="J1848" s="1466">
        <f t="shared" si="78"/>
        <v>1239846.615</v>
      </c>
      <c r="K1848" s="1466"/>
      <c r="L1848" s="1466"/>
      <c r="M1848" s="1540">
        <f t="shared" si="79"/>
        <v>1239846.615</v>
      </c>
      <c r="N1848" s="1552"/>
      <c r="O1848" s="1553">
        <v>-299510.69700004201</v>
      </c>
      <c r="P1848" s="559"/>
    </row>
    <row r="1849" spans="1:16" s="1531" customFormat="1" ht="14.25" customHeight="1">
      <c r="A1849" s="1551">
        <v>155</v>
      </c>
      <c r="B1849" s="1537" t="e">
        <f>VLOOKUP(D1849,'[2]DS CN MOI UP'!$B$11:$C$447,2,0)</f>
        <v>#N/A</v>
      </c>
      <c r="C1849" s="1538" t="s">
        <v>1628</v>
      </c>
      <c r="D1849" s="1468" t="s">
        <v>1710</v>
      </c>
      <c r="E1849" s="1468" t="s">
        <v>15</v>
      </c>
      <c r="F1849" s="1468"/>
      <c r="G1849" s="1540"/>
      <c r="H1849" s="1540">
        <v>1149145.3259999999</v>
      </c>
      <c r="I1849" s="1540"/>
      <c r="J1849" s="1466">
        <f t="shared" si="78"/>
        <v>1149145.3259999999</v>
      </c>
      <c r="K1849" s="1466"/>
      <c r="L1849" s="1466"/>
      <c r="M1849" s="1540">
        <f t="shared" si="79"/>
        <v>1149145.3259999999</v>
      </c>
      <c r="N1849" s="1552"/>
      <c r="O1849" s="1553"/>
      <c r="P1849" s="559"/>
    </row>
    <row r="1850" spans="1:16" s="1531" customFormat="1" ht="14.25" customHeight="1">
      <c r="A1850" s="1551">
        <v>156</v>
      </c>
      <c r="B1850" s="1537" t="e">
        <f>VLOOKUP(D1850,'[2]DS CN MOI UP'!$B$11:$C$447,2,0)</f>
        <v>#N/A</v>
      </c>
      <c r="C1850" s="1538" t="s">
        <v>1628</v>
      </c>
      <c r="D1850" s="1468" t="s">
        <v>773</v>
      </c>
      <c r="E1850" s="1468" t="s">
        <v>15</v>
      </c>
      <c r="F1850" s="1468"/>
      <c r="G1850" s="1540"/>
      <c r="H1850" s="1540">
        <v>1229038.53819991</v>
      </c>
      <c r="I1850" s="1540"/>
      <c r="J1850" s="1466">
        <f t="shared" si="78"/>
        <v>1229038.53819991</v>
      </c>
      <c r="K1850" s="1466"/>
      <c r="L1850" s="1466"/>
      <c r="M1850" s="1540">
        <f t="shared" si="79"/>
        <v>1229038.53819991</v>
      </c>
      <c r="N1850" s="1552"/>
      <c r="O1850" s="1553"/>
      <c r="P1850" s="559"/>
    </row>
    <row r="1851" spans="1:16" s="1531" customFormat="1" ht="14.25" customHeight="1">
      <c r="A1851" s="1551">
        <v>157</v>
      </c>
      <c r="B1851" s="1537" t="e">
        <f>VLOOKUP(D1851,'[2]DS CN MOI UP'!$B$11:$C$447,2,0)</f>
        <v>#N/A</v>
      </c>
      <c r="C1851" s="1538" t="s">
        <v>1628</v>
      </c>
      <c r="D1851" s="1468" t="s">
        <v>774</v>
      </c>
      <c r="E1851" s="1468" t="s">
        <v>15</v>
      </c>
      <c r="F1851" s="1468"/>
      <c r="G1851" s="1540"/>
      <c r="H1851" s="1540">
        <v>1159179.5249999999</v>
      </c>
      <c r="I1851" s="1540"/>
      <c r="J1851" s="1466">
        <f t="shared" si="78"/>
        <v>1159179.5249999999</v>
      </c>
      <c r="K1851" s="1466"/>
      <c r="L1851" s="1466"/>
      <c r="M1851" s="1540">
        <f t="shared" si="79"/>
        <v>1159179.5249999999</v>
      </c>
      <c r="N1851" s="1552"/>
      <c r="O1851" s="1553"/>
      <c r="P1851" s="559"/>
    </row>
    <row r="1852" spans="1:16" s="540" customFormat="1" ht="14.25" customHeight="1">
      <c r="A1852" s="1551">
        <v>158</v>
      </c>
      <c r="B1852" s="1537" t="e">
        <f>VLOOKUP(D1852,'[2]DS CN MOI UP'!$B$11:$C$447,2,0)</f>
        <v>#N/A</v>
      </c>
      <c r="C1852" s="1538" t="s">
        <v>1653</v>
      </c>
      <c r="D1852" s="166" t="s">
        <v>1711</v>
      </c>
      <c r="E1852" s="1468" t="s">
        <v>15</v>
      </c>
      <c r="F1852" s="1468"/>
      <c r="G1852" s="1540"/>
      <c r="H1852" s="1540">
        <v>1239846.615</v>
      </c>
      <c r="I1852" s="1540"/>
      <c r="J1852" s="1466">
        <f t="shared" si="78"/>
        <v>1239846.615</v>
      </c>
      <c r="K1852" s="1466"/>
      <c r="L1852" s="1466"/>
      <c r="M1852" s="1540">
        <f t="shared" si="79"/>
        <v>1239846.615</v>
      </c>
      <c r="N1852" s="1552"/>
      <c r="P1852" s="559"/>
    </row>
    <row r="1853" spans="1:16" s="540" customFormat="1" ht="14.25" customHeight="1">
      <c r="A1853" s="1551">
        <v>159</v>
      </c>
      <c r="B1853" s="1537" t="e">
        <f>VLOOKUP(D1853,'[2]DS CN MOI UP'!$B$11:$C$447,2,0)</f>
        <v>#N/A</v>
      </c>
      <c r="C1853" s="1538" t="s">
        <v>1653</v>
      </c>
      <c r="D1853" s="166" t="s">
        <v>1712</v>
      </c>
      <c r="E1853" s="1468" t="s">
        <v>1713</v>
      </c>
      <c r="F1853" s="1468"/>
      <c r="G1853" s="1540"/>
      <c r="H1853" s="1540">
        <v>1149145.3259999999</v>
      </c>
      <c r="I1853" s="1540"/>
      <c r="J1853" s="1466">
        <f t="shared" si="78"/>
        <v>1149145.3259999999</v>
      </c>
      <c r="K1853" s="1466"/>
      <c r="L1853" s="1466"/>
      <c r="M1853" s="1540">
        <f t="shared" si="79"/>
        <v>1149145.3259999999</v>
      </c>
      <c r="N1853" s="1552"/>
      <c r="P1853" s="559"/>
    </row>
    <row r="1854" spans="1:16" s="540" customFormat="1" ht="14.25" customHeight="1">
      <c r="A1854" s="1551">
        <v>160</v>
      </c>
      <c r="B1854" s="1537" t="e">
        <f>VLOOKUP(D1854,'[2]DS CN MOI UP'!$B$11:$C$447,2,0)</f>
        <v>#N/A</v>
      </c>
      <c r="C1854" s="1538" t="s">
        <v>1546</v>
      </c>
      <c r="D1854" s="1468" t="s">
        <v>777</v>
      </c>
      <c r="E1854" s="1468" t="s">
        <v>15</v>
      </c>
      <c r="F1854" s="1468"/>
      <c r="G1854" s="1540"/>
      <c r="H1854" s="1540">
        <v>1229038.53819991</v>
      </c>
      <c r="I1854" s="1540"/>
      <c r="J1854" s="1466">
        <f t="shared" si="78"/>
        <v>1229038.53819991</v>
      </c>
      <c r="K1854" s="1466"/>
      <c r="L1854" s="1466"/>
      <c r="M1854" s="1540">
        <f t="shared" si="79"/>
        <v>1229038.53819991</v>
      </c>
      <c r="N1854" s="1552"/>
      <c r="P1854" s="559"/>
    </row>
    <row r="1855" spans="1:16" s="540" customFormat="1" ht="14.25" customHeight="1">
      <c r="A1855" s="1551">
        <v>161</v>
      </c>
      <c r="B1855" s="1537" t="e">
        <f>VLOOKUP(D1855,'[2]DS CN MOI UP'!$B$11:$C$447,2,0)</f>
        <v>#N/A</v>
      </c>
      <c r="C1855" s="1538" t="s">
        <v>1547</v>
      </c>
      <c r="D1855" s="1468" t="s">
        <v>1714</v>
      </c>
      <c r="E1855" s="1468" t="s">
        <v>15</v>
      </c>
      <c r="F1855" s="1468"/>
      <c r="G1855" s="1540"/>
      <c r="H1855" s="1540">
        <v>1159179.5249999999</v>
      </c>
      <c r="I1855" s="1540"/>
      <c r="J1855" s="1466">
        <f t="shared" si="78"/>
        <v>1159179.5249999999</v>
      </c>
      <c r="K1855" s="1466"/>
      <c r="L1855" s="1466"/>
      <c r="M1855" s="1540">
        <f t="shared" si="79"/>
        <v>1159179.5249999999</v>
      </c>
      <c r="N1855" s="1552"/>
      <c r="P1855" s="559"/>
    </row>
    <row r="1856" spans="1:16" s="540" customFormat="1" ht="14.25" customHeight="1">
      <c r="A1856" s="1551">
        <v>162</v>
      </c>
      <c r="B1856" s="1537" t="e">
        <f>VLOOKUP(D1856,'[2]DS CN MOI UP'!$B$11:$C$447,2,0)</f>
        <v>#N/A</v>
      </c>
      <c r="C1856" s="1538" t="s">
        <v>1548</v>
      </c>
      <c r="D1856" s="1468" t="s">
        <v>1715</v>
      </c>
      <c r="E1856" s="1468" t="s">
        <v>15</v>
      </c>
      <c r="F1856" s="1468"/>
      <c r="G1856" s="1540"/>
      <c r="H1856" s="1540">
        <v>1239846.615</v>
      </c>
      <c r="I1856" s="1540"/>
      <c r="J1856" s="1466">
        <f t="shared" si="78"/>
        <v>1239846.615</v>
      </c>
      <c r="K1856" s="1466"/>
      <c r="L1856" s="1466"/>
      <c r="M1856" s="1540">
        <f t="shared" si="79"/>
        <v>1239846.615</v>
      </c>
      <c r="N1856" s="1552"/>
      <c r="P1856" s="559"/>
    </row>
    <row r="1857" spans="1:16" s="540" customFormat="1" ht="14.25" customHeight="1">
      <c r="A1857" s="1551">
        <v>163</v>
      </c>
      <c r="B1857" s="1537" t="e">
        <f>VLOOKUP(D1857,'[2]DS CN MOI UP'!$B$11:$C$447,2,0)</f>
        <v>#N/A</v>
      </c>
      <c r="C1857" s="1538" t="s">
        <v>1549</v>
      </c>
      <c r="D1857" s="1468" t="s">
        <v>1716</v>
      </c>
      <c r="E1857" s="1468" t="s">
        <v>15</v>
      </c>
      <c r="F1857" s="1468"/>
      <c r="G1857" s="1540"/>
      <c r="H1857" s="1540">
        <v>1149145.3259999999</v>
      </c>
      <c r="I1857" s="1540"/>
      <c r="J1857" s="1466">
        <f t="shared" si="78"/>
        <v>1149145.3259999999</v>
      </c>
      <c r="K1857" s="1466"/>
      <c r="L1857" s="1466"/>
      <c r="M1857" s="1540">
        <f t="shared" si="79"/>
        <v>1149145.3259999999</v>
      </c>
      <c r="N1857" s="1552"/>
      <c r="P1857" s="559"/>
    </row>
    <row r="1858" spans="1:16" s="540" customFormat="1" ht="14.25" customHeight="1">
      <c r="A1858" s="1551">
        <v>164</v>
      </c>
      <c r="B1858" s="1537" t="e">
        <f>VLOOKUP(D1858,'[2]DS CN MOI UP'!$B$11:$C$447,2,0)</f>
        <v>#N/A</v>
      </c>
      <c r="C1858" s="1538" t="s">
        <v>1550</v>
      </c>
      <c r="D1858" s="1468" t="s">
        <v>1717</v>
      </c>
      <c r="E1858" s="1468" t="s">
        <v>15</v>
      </c>
      <c r="F1858" s="1468"/>
      <c r="G1858" s="1540"/>
      <c r="H1858" s="1540">
        <v>1159179.5249999999</v>
      </c>
      <c r="I1858" s="1540"/>
      <c r="J1858" s="1466">
        <f t="shared" si="78"/>
        <v>1159179.5249999999</v>
      </c>
      <c r="K1858" s="1466"/>
      <c r="L1858" s="1466"/>
      <c r="M1858" s="1540">
        <f t="shared" si="79"/>
        <v>1159179.5249999999</v>
      </c>
      <c r="N1858" s="1552"/>
      <c r="P1858" s="559"/>
    </row>
    <row r="1859" spans="1:16" s="540" customFormat="1" ht="14.25" customHeight="1">
      <c r="A1859" s="1551">
        <v>165</v>
      </c>
      <c r="B1859" s="1537" t="e">
        <f>VLOOKUP(D1859,'[2]DS CN MOI UP'!$B$11:$C$447,2,0)</f>
        <v>#N/A</v>
      </c>
      <c r="C1859" s="1538" t="s">
        <v>1551</v>
      </c>
      <c r="D1859" s="1468" t="s">
        <v>1718</v>
      </c>
      <c r="E1859" s="1468" t="s">
        <v>15</v>
      </c>
      <c r="F1859" s="1468"/>
      <c r="G1859" s="1540"/>
      <c r="H1859" s="1540">
        <v>1239846.615</v>
      </c>
      <c r="I1859" s="1540"/>
      <c r="J1859" s="1466">
        <f t="shared" si="78"/>
        <v>1239846.615</v>
      </c>
      <c r="K1859" s="1466"/>
      <c r="L1859" s="1466"/>
      <c r="M1859" s="1540">
        <f t="shared" si="79"/>
        <v>1239846.615</v>
      </c>
      <c r="N1859" s="1552"/>
      <c r="P1859" s="559"/>
    </row>
    <row r="1860" spans="1:16" s="540" customFormat="1" ht="14.25" customHeight="1">
      <c r="A1860" s="1551">
        <v>166</v>
      </c>
      <c r="B1860" s="1537" t="e">
        <f>VLOOKUP(D1860,'[2]DS CN MOI UP'!$B$11:$C$447,2,0)</f>
        <v>#N/A</v>
      </c>
      <c r="C1860" s="1538" t="s">
        <v>1552</v>
      </c>
      <c r="D1860" s="1468" t="s">
        <v>1719</v>
      </c>
      <c r="E1860" s="1468" t="s">
        <v>15</v>
      </c>
      <c r="F1860" s="1468"/>
      <c r="G1860" s="1540"/>
      <c r="H1860" s="1540">
        <v>1149145.3259999999</v>
      </c>
      <c r="I1860" s="1540"/>
      <c r="J1860" s="1466">
        <f t="shared" si="78"/>
        <v>1149145.3259999999</v>
      </c>
      <c r="K1860" s="1466"/>
      <c r="L1860" s="1466"/>
      <c r="M1860" s="1540">
        <f t="shared" si="79"/>
        <v>1149145.3259999999</v>
      </c>
      <c r="N1860" s="1552"/>
      <c r="P1860" s="559"/>
    </row>
    <row r="1861" spans="1:16" s="540" customFormat="1" ht="14.25" customHeight="1">
      <c r="A1861" s="1551">
        <v>167</v>
      </c>
      <c r="B1861" s="1537" t="e">
        <f>VLOOKUP(D1861,'[2]DS CN MOI UP'!$B$11:$C$447,2,0)</f>
        <v>#N/A</v>
      </c>
      <c r="C1861" s="1538" t="s">
        <v>1554</v>
      </c>
      <c r="D1861" s="1468" t="s">
        <v>1720</v>
      </c>
      <c r="E1861" s="1468" t="s">
        <v>15</v>
      </c>
      <c r="F1861" s="1468"/>
      <c r="G1861" s="1540"/>
      <c r="H1861" s="1540">
        <v>1229038.53819991</v>
      </c>
      <c r="I1861" s="1540"/>
      <c r="J1861" s="1466">
        <f t="shared" si="78"/>
        <v>1229038.53819991</v>
      </c>
      <c r="K1861" s="1466"/>
      <c r="L1861" s="1466"/>
      <c r="M1861" s="1540">
        <f t="shared" si="79"/>
        <v>1229038.53819991</v>
      </c>
      <c r="N1861" s="1552"/>
      <c r="P1861" s="559"/>
    </row>
    <row r="1862" spans="1:16" s="540" customFormat="1" ht="14.25" customHeight="1">
      <c r="A1862" s="1551">
        <v>168</v>
      </c>
      <c r="B1862" s="1537" t="e">
        <f>VLOOKUP(D1862,'[2]DS CN MOI UP'!$B$11:$C$447,2,0)</f>
        <v>#N/A</v>
      </c>
      <c r="C1862" s="1538" t="s">
        <v>1556</v>
      </c>
      <c r="D1862" s="1468" t="s">
        <v>1721</v>
      </c>
      <c r="E1862" s="1468" t="s">
        <v>15</v>
      </c>
      <c r="F1862" s="1468"/>
      <c r="G1862" s="1540"/>
      <c r="H1862" s="1540">
        <v>1159179.5249999999</v>
      </c>
      <c r="I1862" s="1540"/>
      <c r="J1862" s="1466">
        <f t="shared" si="78"/>
        <v>1159179.5249999999</v>
      </c>
      <c r="K1862" s="1466"/>
      <c r="L1862" s="1466"/>
      <c r="M1862" s="1540">
        <f t="shared" si="79"/>
        <v>1159179.5249999999</v>
      </c>
      <c r="N1862" s="1552"/>
      <c r="P1862" s="559"/>
    </row>
    <row r="1863" spans="1:16" s="540" customFormat="1" ht="14.25" customHeight="1">
      <c r="A1863" s="1551">
        <v>169</v>
      </c>
      <c r="B1863" s="1537" t="e">
        <f>VLOOKUP(D1863,'[2]DS CN MOI UP'!$B$11:$C$447,2,0)</f>
        <v>#N/A</v>
      </c>
      <c r="C1863" s="1538" t="s">
        <v>1558</v>
      </c>
      <c r="D1863" s="1468" t="s">
        <v>1722</v>
      </c>
      <c r="E1863" s="1468" t="s">
        <v>15</v>
      </c>
      <c r="F1863" s="1468"/>
      <c r="G1863" s="1540"/>
      <c r="H1863" s="1540">
        <v>1239846.615</v>
      </c>
      <c r="I1863" s="1540"/>
      <c r="J1863" s="1466">
        <f t="shared" si="78"/>
        <v>1239846.615</v>
      </c>
      <c r="K1863" s="1466"/>
      <c r="L1863" s="1466"/>
      <c r="M1863" s="1540">
        <f t="shared" si="79"/>
        <v>1239846.615</v>
      </c>
      <c r="N1863" s="1552"/>
      <c r="P1863" s="559"/>
    </row>
    <row r="1864" spans="1:16" s="540" customFormat="1" ht="14.25" customHeight="1">
      <c r="A1864" s="1551">
        <v>170</v>
      </c>
      <c r="B1864" s="1537" t="e">
        <f>VLOOKUP(D1864,'[2]DS CN MOI UP'!$B$11:$C$447,2,0)</f>
        <v>#N/A</v>
      </c>
      <c r="C1864" s="1538" t="s">
        <v>1560</v>
      </c>
      <c r="D1864" s="1468" t="s">
        <v>1723</v>
      </c>
      <c r="E1864" s="1468" t="s">
        <v>15</v>
      </c>
      <c r="F1864" s="1468"/>
      <c r="G1864" s="1540"/>
      <c r="H1864" s="1540">
        <v>1149145.3259999999</v>
      </c>
      <c r="I1864" s="1540"/>
      <c r="J1864" s="1466">
        <f t="shared" si="78"/>
        <v>1149145.3259999999</v>
      </c>
      <c r="K1864" s="1466"/>
      <c r="L1864" s="1466"/>
      <c r="M1864" s="1540">
        <f t="shared" si="79"/>
        <v>1149145.3259999999</v>
      </c>
      <c r="N1864" s="1552"/>
      <c r="P1864" s="559"/>
    </row>
    <row r="1865" spans="1:16" s="540" customFormat="1" ht="14.25" customHeight="1">
      <c r="A1865" s="1551">
        <v>171</v>
      </c>
      <c r="B1865" s="1537" t="e">
        <f>VLOOKUP(D1865,'[2]DS CN MOI UP'!$B$11:$C$447,2,0)</f>
        <v>#N/A</v>
      </c>
      <c r="C1865" s="1538" t="s">
        <v>1562</v>
      </c>
      <c r="D1865" s="1468" t="s">
        <v>1724</v>
      </c>
      <c r="E1865" s="1468" t="s">
        <v>15</v>
      </c>
      <c r="F1865" s="1468"/>
      <c r="G1865" s="1540"/>
      <c r="H1865" s="1540">
        <v>1229038.53819991</v>
      </c>
      <c r="I1865" s="1540"/>
      <c r="J1865" s="1466">
        <f t="shared" si="78"/>
        <v>1229038.53819991</v>
      </c>
      <c r="K1865" s="1466"/>
      <c r="L1865" s="1466"/>
      <c r="M1865" s="1540">
        <f t="shared" si="79"/>
        <v>1229038.53819991</v>
      </c>
      <c r="N1865" s="1552"/>
      <c r="P1865" s="559"/>
    </row>
    <row r="1866" spans="1:16" s="540" customFormat="1" ht="14.25" customHeight="1">
      <c r="A1866" s="1551">
        <v>172</v>
      </c>
      <c r="B1866" s="1537" t="e">
        <f>VLOOKUP(D1866,'[2]DS CN MOI UP'!$B$11:$C$447,2,0)</f>
        <v>#N/A</v>
      </c>
      <c r="C1866" s="1538" t="s">
        <v>1564</v>
      </c>
      <c r="D1866" s="1468" t="s">
        <v>1725</v>
      </c>
      <c r="E1866" s="1468" t="s">
        <v>15</v>
      </c>
      <c r="F1866" s="1468"/>
      <c r="G1866" s="1540"/>
      <c r="H1866" s="1540">
        <v>1159179.5249999999</v>
      </c>
      <c r="I1866" s="1540"/>
      <c r="J1866" s="1466">
        <f t="shared" si="78"/>
        <v>1159179.5249999999</v>
      </c>
      <c r="K1866" s="1466"/>
      <c r="L1866" s="1466"/>
      <c r="M1866" s="1540">
        <f t="shared" si="79"/>
        <v>1159179.5249999999</v>
      </c>
      <c r="N1866" s="1552"/>
      <c r="P1866" s="559"/>
    </row>
    <row r="1867" spans="1:16" s="540" customFormat="1" ht="14.25" customHeight="1">
      <c r="A1867" s="1551">
        <v>173</v>
      </c>
      <c r="B1867" s="1537" t="e">
        <f>VLOOKUP(D1867,'[2]DS CN MOI UP'!$B$11:$C$447,2,0)</f>
        <v>#N/A</v>
      </c>
      <c r="C1867" s="1538" t="s">
        <v>1566</v>
      </c>
      <c r="D1867" s="1468" t="s">
        <v>836</v>
      </c>
      <c r="E1867" s="1468" t="s">
        <v>15</v>
      </c>
      <c r="F1867" s="1468"/>
      <c r="G1867" s="1540"/>
      <c r="H1867" s="1540">
        <v>1239846.615</v>
      </c>
      <c r="I1867" s="1540"/>
      <c r="J1867" s="1466">
        <f t="shared" si="78"/>
        <v>1239846.615</v>
      </c>
      <c r="K1867" s="1466"/>
      <c r="L1867" s="1466"/>
      <c r="M1867" s="1540">
        <f t="shared" si="79"/>
        <v>1239846.615</v>
      </c>
      <c r="N1867" s="1552"/>
      <c r="P1867" s="559"/>
    </row>
    <row r="1868" spans="1:16" s="540" customFormat="1" ht="14.25" customHeight="1">
      <c r="A1868" s="1551">
        <v>174</v>
      </c>
      <c r="B1868" s="1537" t="e">
        <f>VLOOKUP(D1868,'[2]DS CN MOI UP'!$B$11:$C$447,2,0)</f>
        <v>#N/A</v>
      </c>
      <c r="C1868" s="1538" t="s">
        <v>1568</v>
      </c>
      <c r="D1868" s="1468" t="s">
        <v>1726</v>
      </c>
      <c r="E1868" s="1468" t="s">
        <v>15</v>
      </c>
      <c r="F1868" s="1468"/>
      <c r="G1868" s="1540"/>
      <c r="H1868" s="1540">
        <v>1149145.3259999999</v>
      </c>
      <c r="I1868" s="1540"/>
      <c r="J1868" s="1466">
        <f t="shared" si="78"/>
        <v>1149145.3259999999</v>
      </c>
      <c r="K1868" s="1466"/>
      <c r="L1868" s="1466"/>
      <c r="M1868" s="1540">
        <f t="shared" si="79"/>
        <v>1149145.3259999999</v>
      </c>
      <c r="N1868" s="1552"/>
      <c r="P1868" s="559"/>
    </row>
    <row r="1869" spans="1:16" s="540" customFormat="1" ht="14.25" customHeight="1">
      <c r="A1869" s="1551">
        <v>175</v>
      </c>
      <c r="B1869" s="1537" t="e">
        <f>VLOOKUP(D1869,'[2]DS CN MOI UP'!$B$11:$C$447,2,0)</f>
        <v>#N/A</v>
      </c>
      <c r="C1869" s="1538" t="s">
        <v>1570</v>
      </c>
      <c r="D1869" s="1468" t="s">
        <v>1727</v>
      </c>
      <c r="E1869" s="1468" t="s">
        <v>15</v>
      </c>
      <c r="F1869" s="1468"/>
      <c r="G1869" s="1540"/>
      <c r="H1869" s="1540">
        <v>1159179.5249999999</v>
      </c>
      <c r="I1869" s="1540"/>
      <c r="J1869" s="1466">
        <f t="shared" si="78"/>
        <v>1159179.5249999999</v>
      </c>
      <c r="K1869" s="1466"/>
      <c r="L1869" s="1466"/>
      <c r="M1869" s="1540">
        <f t="shared" si="79"/>
        <v>1159179.5249999999</v>
      </c>
      <c r="N1869" s="1552"/>
      <c r="P1869" s="559"/>
    </row>
    <row r="1870" spans="1:16" s="540" customFormat="1" ht="14.25" customHeight="1">
      <c r="A1870" s="1551">
        <v>176</v>
      </c>
      <c r="B1870" s="1537" t="e">
        <f>VLOOKUP(D1870,'[2]DS CN MOI UP'!$B$11:$C$447,2,0)</f>
        <v>#N/A</v>
      </c>
      <c r="C1870" s="1538" t="s">
        <v>1599</v>
      </c>
      <c r="D1870" s="1468" t="s">
        <v>1728</v>
      </c>
      <c r="E1870" s="1468" t="s">
        <v>15</v>
      </c>
      <c r="F1870" s="1468"/>
      <c r="G1870" s="1540"/>
      <c r="H1870" s="1540">
        <v>1239846.615</v>
      </c>
      <c r="I1870" s="1540"/>
      <c r="J1870" s="1466">
        <f t="shared" si="78"/>
        <v>1239846.615</v>
      </c>
      <c r="K1870" s="1466"/>
      <c r="L1870" s="1466"/>
      <c r="M1870" s="1540">
        <f t="shared" si="79"/>
        <v>1239846.615</v>
      </c>
      <c r="N1870" s="1552"/>
      <c r="P1870" s="559"/>
    </row>
    <row r="1871" spans="1:16" s="540" customFormat="1" ht="14.25" customHeight="1">
      <c r="A1871" s="1551">
        <v>177</v>
      </c>
      <c r="B1871" s="1537" t="e">
        <f>VLOOKUP(D1871,'[2]DS CN MOI UP'!$B$11:$C$447,2,0)</f>
        <v>#N/A</v>
      </c>
      <c r="C1871" s="1538" t="s">
        <v>1601</v>
      </c>
      <c r="D1871" s="1468" t="s">
        <v>1729</v>
      </c>
      <c r="E1871" s="1468" t="s">
        <v>15</v>
      </c>
      <c r="F1871" s="1468"/>
      <c r="G1871" s="1540"/>
      <c r="H1871" s="1540">
        <v>1149145.3259999999</v>
      </c>
      <c r="I1871" s="1540"/>
      <c r="J1871" s="1466">
        <f t="shared" si="78"/>
        <v>1149145.3259999999</v>
      </c>
      <c r="K1871" s="1466"/>
      <c r="L1871" s="1466"/>
      <c r="M1871" s="1540">
        <f t="shared" si="79"/>
        <v>1149145.3259999999</v>
      </c>
      <c r="N1871" s="1552"/>
      <c r="P1871" s="559"/>
    </row>
    <row r="1872" spans="1:16" s="540" customFormat="1" ht="14.25" customHeight="1">
      <c r="A1872" s="1551">
        <v>178</v>
      </c>
      <c r="B1872" s="1537" t="e">
        <f>VLOOKUP(D1872,'[2]DS CN MOI UP'!$B$11:$C$447,2,0)</f>
        <v>#N/A</v>
      </c>
      <c r="C1872" s="1538" t="s">
        <v>1603</v>
      </c>
      <c r="D1872" s="1468" t="s">
        <v>1730</v>
      </c>
      <c r="E1872" s="1468" t="s">
        <v>15</v>
      </c>
      <c r="F1872" s="1468"/>
      <c r="G1872" s="1540"/>
      <c r="H1872" s="1540">
        <v>1229038.53819991</v>
      </c>
      <c r="I1872" s="1540"/>
      <c r="J1872" s="1466">
        <f t="shared" si="78"/>
        <v>1229038.53819991</v>
      </c>
      <c r="K1872" s="1466"/>
      <c r="L1872" s="1466"/>
      <c r="M1872" s="1540">
        <f t="shared" si="79"/>
        <v>1229038.53819991</v>
      </c>
      <c r="N1872" s="1552"/>
      <c r="P1872" s="559"/>
    </row>
    <row r="1873" spans="1:16" s="540" customFormat="1" ht="14.25" customHeight="1">
      <c r="A1873" s="1551">
        <v>179</v>
      </c>
      <c r="B1873" s="1537" t="e">
        <f>VLOOKUP(D1873,'[2]DS CN MOI UP'!$B$11:$C$447,2,0)</f>
        <v>#N/A</v>
      </c>
      <c r="C1873" s="1538" t="s">
        <v>1605</v>
      </c>
      <c r="D1873" s="1468" t="s">
        <v>1731</v>
      </c>
      <c r="E1873" s="1468" t="s">
        <v>15</v>
      </c>
      <c r="F1873" s="1468"/>
      <c r="G1873" s="1540"/>
      <c r="H1873" s="1540">
        <v>1159179.5249999999</v>
      </c>
      <c r="I1873" s="1540"/>
      <c r="J1873" s="1466">
        <f t="shared" si="78"/>
        <v>1159179.5249999999</v>
      </c>
      <c r="K1873" s="1466"/>
      <c r="L1873" s="1466"/>
      <c r="M1873" s="1540">
        <f t="shared" si="79"/>
        <v>1159179.5249999999</v>
      </c>
      <c r="N1873" s="1552"/>
      <c r="P1873" s="559"/>
    </row>
    <row r="1874" spans="1:16" s="540" customFormat="1" ht="14.25" customHeight="1">
      <c r="A1874" s="1551">
        <v>180</v>
      </c>
      <c r="B1874" s="1537" t="e">
        <f>VLOOKUP(D1874,'[2]DS CN MOI UP'!$B$11:$C$447,2,0)</f>
        <v>#N/A</v>
      </c>
      <c r="C1874" s="1538" t="s">
        <v>1607</v>
      </c>
      <c r="D1874" s="1468" t="s">
        <v>1732</v>
      </c>
      <c r="E1874" s="1468" t="s">
        <v>15</v>
      </c>
      <c r="F1874" s="1468"/>
      <c r="G1874" s="1540"/>
      <c r="H1874" s="1540">
        <v>1239846.615</v>
      </c>
      <c r="I1874" s="1540"/>
      <c r="J1874" s="1466">
        <f t="shared" si="78"/>
        <v>1239846.615</v>
      </c>
      <c r="K1874" s="1466"/>
      <c r="L1874" s="1466"/>
      <c r="M1874" s="1540">
        <f t="shared" si="79"/>
        <v>1239846.615</v>
      </c>
      <c r="N1874" s="1552"/>
      <c r="P1874" s="559"/>
    </row>
    <row r="1875" spans="1:16" s="540" customFormat="1" ht="14.25" customHeight="1">
      <c r="A1875" s="1551">
        <v>181</v>
      </c>
      <c r="B1875" s="1537" t="e">
        <f>VLOOKUP(D1875,'[2]DS CN MOI UP'!$B$11:$C$447,2,0)</f>
        <v>#N/A</v>
      </c>
      <c r="C1875" s="1538" t="s">
        <v>1609</v>
      </c>
      <c r="D1875" s="1468" t="s">
        <v>1733</v>
      </c>
      <c r="E1875" s="1468" t="s">
        <v>15</v>
      </c>
      <c r="F1875" s="1468"/>
      <c r="G1875" s="1540"/>
      <c r="H1875" s="1540">
        <v>1149145.3259999999</v>
      </c>
      <c r="I1875" s="1540"/>
      <c r="J1875" s="1466">
        <f t="shared" si="78"/>
        <v>1149145.3259999999</v>
      </c>
      <c r="K1875" s="1466"/>
      <c r="L1875" s="1466"/>
      <c r="M1875" s="1540">
        <f t="shared" si="79"/>
        <v>1149145.3259999999</v>
      </c>
      <c r="N1875" s="1552"/>
      <c r="P1875" s="559"/>
    </row>
    <row r="1876" spans="1:16" s="540" customFormat="1" ht="14.25" customHeight="1">
      <c r="A1876" s="1551">
        <v>182</v>
      </c>
      <c r="B1876" s="1537" t="e">
        <f>VLOOKUP(D1876,'[2]DS CN MOI UP'!$B$11:$C$447,2,0)</f>
        <v>#N/A</v>
      </c>
      <c r="C1876" s="1538" t="s">
        <v>1611</v>
      </c>
      <c r="D1876" s="1468" t="s">
        <v>1734</v>
      </c>
      <c r="E1876" s="1468" t="s">
        <v>15</v>
      </c>
      <c r="F1876" s="1468"/>
      <c r="G1876" s="1466"/>
      <c r="H1876" s="1540">
        <v>1229038.53819991</v>
      </c>
      <c r="I1876" s="1540"/>
      <c r="J1876" s="1466">
        <f t="shared" si="78"/>
        <v>1229038.53819991</v>
      </c>
      <c r="K1876" s="1466"/>
      <c r="L1876" s="1466"/>
      <c r="M1876" s="1540">
        <f t="shared" si="79"/>
        <v>1229038.53819991</v>
      </c>
      <c r="N1876" s="1552"/>
      <c r="P1876" s="559"/>
    </row>
    <row r="1877" spans="1:16" s="540" customFormat="1" ht="14.25" customHeight="1">
      <c r="A1877" s="1551">
        <v>183</v>
      </c>
      <c r="B1877" s="1537" t="e">
        <f>VLOOKUP(D1877,'[2]DS CN MOI UP'!$B$11:$C$447,2,0)</f>
        <v>#N/A</v>
      </c>
      <c r="C1877" s="1538" t="s">
        <v>1612</v>
      </c>
      <c r="D1877" s="1468" t="s">
        <v>837</v>
      </c>
      <c r="E1877" s="1468" t="s">
        <v>15</v>
      </c>
      <c r="F1877" s="1468"/>
      <c r="G1877" s="1466"/>
      <c r="H1877" s="1540">
        <v>1159179.5249999999</v>
      </c>
      <c r="I1877" s="1540"/>
      <c r="J1877" s="1466">
        <f t="shared" si="78"/>
        <v>1159179.5249999999</v>
      </c>
      <c r="K1877" s="1466"/>
      <c r="L1877" s="1466"/>
      <c r="M1877" s="1540">
        <f t="shared" si="79"/>
        <v>1159179.5249999999</v>
      </c>
      <c r="N1877" s="1552"/>
      <c r="P1877" s="559"/>
    </row>
    <row r="1878" spans="1:16" s="540" customFormat="1" ht="14.25" customHeight="1">
      <c r="A1878" s="1551">
        <v>184</v>
      </c>
      <c r="B1878" s="1537" t="e">
        <f>VLOOKUP(D1878,'[2]DS CN MOI UP'!$B$11:$C$447,2,0)</f>
        <v>#N/A</v>
      </c>
      <c r="C1878" s="1538" t="s">
        <v>1614</v>
      </c>
      <c r="D1878" s="1468" t="s">
        <v>1735</v>
      </c>
      <c r="E1878" s="1468" t="s">
        <v>15</v>
      </c>
      <c r="F1878" s="1468"/>
      <c r="G1878" s="1466"/>
      <c r="H1878" s="1540">
        <v>1239846.615</v>
      </c>
      <c r="I1878" s="1540"/>
      <c r="J1878" s="1466">
        <f t="shared" si="78"/>
        <v>1239846.615</v>
      </c>
      <c r="K1878" s="1466"/>
      <c r="L1878" s="1466"/>
      <c r="M1878" s="1540">
        <f t="shared" si="79"/>
        <v>1239846.615</v>
      </c>
      <c r="N1878" s="1552"/>
      <c r="P1878" s="559"/>
    </row>
    <row r="1879" spans="1:16" s="540" customFormat="1" ht="14.25" customHeight="1">
      <c r="A1879" s="1551">
        <v>185</v>
      </c>
      <c r="B1879" s="1537" t="e">
        <f>VLOOKUP(D1879,'[2]DS CN MOI UP'!$B$11:$C$447,2,0)</f>
        <v>#N/A</v>
      </c>
      <c r="C1879" s="1538" t="s">
        <v>1616</v>
      </c>
      <c r="D1879" s="1468" t="s">
        <v>1736</v>
      </c>
      <c r="E1879" s="1468" t="s">
        <v>15</v>
      </c>
      <c r="F1879" s="1468"/>
      <c r="G1879" s="1466"/>
      <c r="H1879" s="1540">
        <v>1149145.3259999999</v>
      </c>
      <c r="I1879" s="1540"/>
      <c r="J1879" s="1466">
        <f t="shared" si="78"/>
        <v>1149145.3259999999</v>
      </c>
      <c r="K1879" s="1466"/>
      <c r="L1879" s="1466"/>
      <c r="M1879" s="1540">
        <f t="shared" si="79"/>
        <v>1149145.3259999999</v>
      </c>
      <c r="N1879" s="1552"/>
      <c r="P1879" s="559"/>
    </row>
    <row r="1880" spans="1:16" s="540" customFormat="1" ht="14.25" customHeight="1">
      <c r="A1880" s="1551">
        <v>186</v>
      </c>
      <c r="B1880" s="1537" t="e">
        <f>VLOOKUP(D1880,'[2]DS CN MOI UP'!$B$11:$C$447,2,0)</f>
        <v>#N/A</v>
      </c>
      <c r="C1880" s="1538" t="s">
        <v>1618</v>
      </c>
      <c r="D1880" s="1468" t="s">
        <v>1737</v>
      </c>
      <c r="E1880" s="1468" t="s">
        <v>15</v>
      </c>
      <c r="F1880" s="1468"/>
      <c r="G1880" s="1466"/>
      <c r="H1880" s="1540">
        <v>1159179.5249999999</v>
      </c>
      <c r="I1880" s="1540"/>
      <c r="J1880" s="1466">
        <f t="shared" si="78"/>
        <v>1159179.5249999999</v>
      </c>
      <c r="K1880" s="1466"/>
      <c r="L1880" s="1466"/>
      <c r="M1880" s="1540">
        <f t="shared" si="79"/>
        <v>1159179.5249999999</v>
      </c>
      <c r="N1880" s="1552"/>
      <c r="P1880" s="559"/>
    </row>
    <row r="1881" spans="1:16" s="540" customFormat="1" ht="14.25" customHeight="1">
      <c r="A1881" s="1551">
        <v>187</v>
      </c>
      <c r="B1881" s="1537" t="e">
        <f>VLOOKUP(D1881,'[2]DS CN MOI UP'!$B$11:$C$447,2,0)</f>
        <v>#N/A</v>
      </c>
      <c r="C1881" s="1538" t="s">
        <v>1620</v>
      </c>
      <c r="D1881" s="1468" t="s">
        <v>1738</v>
      </c>
      <c r="E1881" s="1468" t="s">
        <v>15</v>
      </c>
      <c r="F1881" s="1468"/>
      <c r="G1881" s="1466"/>
      <c r="H1881" s="1540">
        <v>1239846.615</v>
      </c>
      <c r="I1881" s="1540"/>
      <c r="J1881" s="1466">
        <f t="shared" si="78"/>
        <v>1239846.615</v>
      </c>
      <c r="K1881" s="1466"/>
      <c r="L1881" s="1466"/>
      <c r="M1881" s="1540">
        <f t="shared" si="79"/>
        <v>1239846.615</v>
      </c>
      <c r="N1881" s="1552"/>
      <c r="P1881" s="559"/>
    </row>
    <row r="1882" spans="1:16" s="540" customFormat="1" ht="14.25" customHeight="1">
      <c r="A1882" s="1551">
        <v>188</v>
      </c>
      <c r="B1882" s="1537" t="e">
        <f>VLOOKUP(D1882,'[2]DS CN MOI UP'!$B$11:$C$447,2,0)</f>
        <v>#N/A</v>
      </c>
      <c r="C1882" s="1538" t="s">
        <v>1622</v>
      </c>
      <c r="D1882" s="1468" t="s">
        <v>1739</v>
      </c>
      <c r="E1882" s="1468" t="s">
        <v>15</v>
      </c>
      <c r="F1882" s="1468"/>
      <c r="G1882" s="1540"/>
      <c r="H1882" s="1540">
        <v>1149145.3259999999</v>
      </c>
      <c r="I1882" s="1540"/>
      <c r="J1882" s="1466">
        <f t="shared" si="78"/>
        <v>1149145.3259999999</v>
      </c>
      <c r="K1882" s="1466"/>
      <c r="L1882" s="1466"/>
      <c r="M1882" s="1540">
        <f t="shared" si="79"/>
        <v>1149145.3259999999</v>
      </c>
      <c r="N1882" s="1552"/>
      <c r="P1882" s="559"/>
    </row>
    <row r="1883" spans="1:16" s="540" customFormat="1" ht="14.25" customHeight="1">
      <c r="A1883" s="1551">
        <v>189</v>
      </c>
      <c r="B1883" s="1537" t="e">
        <f>VLOOKUP(D1883,'[2]DS CN MOI UP'!$B$11:$C$447,2,0)</f>
        <v>#N/A</v>
      </c>
      <c r="C1883" s="1538" t="s">
        <v>1624</v>
      </c>
      <c r="D1883" s="1468" t="s">
        <v>1740</v>
      </c>
      <c r="E1883" s="1468" t="s">
        <v>15</v>
      </c>
      <c r="F1883" s="1468"/>
      <c r="G1883" s="1540"/>
      <c r="H1883" s="1540">
        <v>1229038.53819991</v>
      </c>
      <c r="I1883" s="1540"/>
      <c r="J1883" s="1466">
        <f t="shared" si="78"/>
        <v>1229038.53819991</v>
      </c>
      <c r="K1883" s="1466"/>
      <c r="L1883" s="1466"/>
      <c r="M1883" s="1540">
        <f t="shared" si="79"/>
        <v>1229038.53819991</v>
      </c>
      <c r="N1883" s="1552"/>
      <c r="P1883" s="559"/>
    </row>
    <row r="1884" spans="1:16" s="1531" customFormat="1" ht="14.25" customHeight="1">
      <c r="A1884" s="1551">
        <v>190</v>
      </c>
      <c r="B1884" s="1537" t="e">
        <f>VLOOKUP(D1884,'[2]DS CN MOI UP'!$B$11:$C$447,2,0)</f>
        <v>#N/A</v>
      </c>
      <c r="C1884" s="1538" t="s">
        <v>1625</v>
      </c>
      <c r="D1884" s="1468" t="s">
        <v>1741</v>
      </c>
      <c r="E1884" s="1468" t="s">
        <v>15</v>
      </c>
      <c r="F1884" s="1468"/>
      <c r="G1884" s="1540"/>
      <c r="H1884" s="1540">
        <v>1159179.5249999999</v>
      </c>
      <c r="I1884" s="1540"/>
      <c r="J1884" s="1466">
        <f t="shared" si="78"/>
        <v>1159179.5249999999</v>
      </c>
      <c r="K1884" s="1466"/>
      <c r="L1884" s="1466"/>
      <c r="M1884" s="1540">
        <f t="shared" si="79"/>
        <v>1159179.5249999999</v>
      </c>
      <c r="N1884" s="1552"/>
      <c r="O1884" s="1553"/>
      <c r="P1884" s="559"/>
    </row>
    <row r="1885" spans="1:16" s="1531" customFormat="1" ht="14.25" customHeight="1">
      <c r="A1885" s="1551">
        <v>191</v>
      </c>
      <c r="B1885" s="1537" t="e">
        <f>VLOOKUP(D1885,'[2]DS CN MOI UP'!$B$11:$C$447,2,0)</f>
        <v>#N/A</v>
      </c>
      <c r="C1885" s="1538" t="s">
        <v>1627</v>
      </c>
      <c r="D1885" s="1468" t="s">
        <v>1742</v>
      </c>
      <c r="E1885" s="1468" t="s">
        <v>15</v>
      </c>
      <c r="F1885" s="1468"/>
      <c r="G1885" s="1540"/>
      <c r="H1885" s="1540">
        <v>1239846.615</v>
      </c>
      <c r="I1885" s="1540"/>
      <c r="J1885" s="1466">
        <f t="shared" si="78"/>
        <v>1239846.615</v>
      </c>
      <c r="K1885" s="1466"/>
      <c r="L1885" s="1466"/>
      <c r="M1885" s="1540">
        <f t="shared" si="79"/>
        <v>1239846.615</v>
      </c>
      <c r="N1885" s="1552"/>
      <c r="O1885" s="1553"/>
      <c r="P1885" s="559"/>
    </row>
    <row r="1886" spans="1:16" s="1531" customFormat="1" ht="14.25" customHeight="1">
      <c r="A1886" s="1551">
        <v>192</v>
      </c>
      <c r="B1886" s="1537" t="e">
        <f>VLOOKUP(D1886,'[2]DS CN MOI UP'!$B$11:$C$447,2,0)</f>
        <v>#N/A</v>
      </c>
      <c r="C1886" s="1538" t="s">
        <v>1628</v>
      </c>
      <c r="D1886" s="1468" t="s">
        <v>1743</v>
      </c>
      <c r="E1886" s="1468" t="s">
        <v>15</v>
      </c>
      <c r="F1886" s="1468"/>
      <c r="G1886" s="1540"/>
      <c r="H1886" s="1540">
        <v>1149145.3259999999</v>
      </c>
      <c r="I1886" s="1540"/>
      <c r="J1886" s="1466">
        <f t="shared" si="78"/>
        <v>1149145.3259999999</v>
      </c>
      <c r="K1886" s="1466"/>
      <c r="L1886" s="1466"/>
      <c r="M1886" s="1540">
        <f t="shared" si="79"/>
        <v>1149145.3259999999</v>
      </c>
      <c r="N1886" s="1552"/>
      <c r="O1886" s="1553"/>
      <c r="P1886" s="559"/>
    </row>
    <row r="1887" spans="1:16" s="1531" customFormat="1" ht="14.25" customHeight="1">
      <c r="A1887" s="1551">
        <v>193</v>
      </c>
      <c r="B1887" s="1537" t="e">
        <f>VLOOKUP(D1887,'[2]DS CN MOI UP'!$B$11:$C$447,2,0)</f>
        <v>#N/A</v>
      </c>
      <c r="C1887" s="1538" t="s">
        <v>1628</v>
      </c>
      <c r="D1887" s="1468" t="s">
        <v>1744</v>
      </c>
      <c r="E1887" s="1468" t="s">
        <v>15</v>
      </c>
      <c r="F1887" s="1468"/>
      <c r="G1887" s="1540"/>
      <c r="H1887" s="1540">
        <v>1229038.53819991</v>
      </c>
      <c r="I1887" s="1540"/>
      <c r="J1887" s="1466">
        <f t="shared" si="78"/>
        <v>1229038.53819991</v>
      </c>
      <c r="K1887" s="1466"/>
      <c r="L1887" s="1466"/>
      <c r="M1887" s="1540">
        <f t="shared" si="79"/>
        <v>1229038.53819991</v>
      </c>
      <c r="N1887" s="1552"/>
      <c r="O1887" s="1553"/>
      <c r="P1887" s="559"/>
    </row>
    <row r="1888" spans="1:16" s="1531" customFormat="1" ht="14.25" customHeight="1">
      <c r="A1888" s="1551">
        <v>194</v>
      </c>
      <c r="B1888" s="1537" t="e">
        <f>VLOOKUP(D1888,'[2]DS CN MOI UP'!$B$11:$C$447,2,0)</f>
        <v>#N/A</v>
      </c>
      <c r="C1888" s="1538" t="s">
        <v>1628</v>
      </c>
      <c r="D1888" s="1468" t="s">
        <v>780</v>
      </c>
      <c r="E1888" s="1468" t="s">
        <v>15</v>
      </c>
      <c r="F1888" s="1468"/>
      <c r="G1888" s="1540"/>
      <c r="H1888" s="1540">
        <v>1159179.5249999999</v>
      </c>
      <c r="I1888" s="1540"/>
      <c r="J1888" s="1466">
        <f t="shared" si="78"/>
        <v>1159179.5249999999</v>
      </c>
      <c r="K1888" s="1466"/>
      <c r="L1888" s="1466"/>
      <c r="M1888" s="1540">
        <f t="shared" si="79"/>
        <v>1159179.5249999999</v>
      </c>
      <c r="N1888" s="1552"/>
      <c r="O1888" s="1553"/>
      <c r="P1888" s="559"/>
    </row>
    <row r="1889" spans="1:16" s="1531" customFormat="1" ht="14.25" customHeight="1">
      <c r="A1889" s="1551">
        <v>195</v>
      </c>
      <c r="B1889" s="1537" t="e">
        <f>VLOOKUP(D1889,'[2]DS CN MOI UP'!$B$11:$C$447,2,0)</f>
        <v>#N/A</v>
      </c>
      <c r="C1889" s="1538" t="s">
        <v>1628</v>
      </c>
      <c r="D1889" s="1468" t="s">
        <v>781</v>
      </c>
      <c r="E1889" s="1468" t="s">
        <v>15</v>
      </c>
      <c r="F1889" s="1468"/>
      <c r="G1889" s="1540"/>
      <c r="H1889" s="1540">
        <v>1239846.615</v>
      </c>
      <c r="I1889" s="1540"/>
      <c r="J1889" s="1466">
        <f t="shared" si="78"/>
        <v>1239846.615</v>
      </c>
      <c r="K1889" s="1466"/>
      <c r="L1889" s="1466"/>
      <c r="M1889" s="1540">
        <f t="shared" si="79"/>
        <v>1239846.615</v>
      </c>
      <c r="N1889" s="1552"/>
      <c r="O1889" s="1553"/>
      <c r="P1889" s="559"/>
    </row>
    <row r="1890" spans="1:16" s="1531" customFormat="1" ht="14.25" customHeight="1">
      <c r="A1890" s="1551">
        <v>196</v>
      </c>
      <c r="B1890" s="1537" t="e">
        <f>VLOOKUP(D1890,'[2]DS CN MOI UP'!$B$11:$C$447,2,0)</f>
        <v>#N/A</v>
      </c>
      <c r="C1890" s="1538" t="s">
        <v>1628</v>
      </c>
      <c r="D1890" s="1468" t="s">
        <v>1745</v>
      </c>
      <c r="E1890" s="1468" t="s">
        <v>15</v>
      </c>
      <c r="F1890" s="1468"/>
      <c r="G1890" s="1466"/>
      <c r="H1890" s="1540">
        <v>1149145.3259999999</v>
      </c>
      <c r="I1890" s="1540"/>
      <c r="J1890" s="1466">
        <f t="shared" si="78"/>
        <v>1149145.3259999999</v>
      </c>
      <c r="K1890" s="1466"/>
      <c r="L1890" s="1466"/>
      <c r="M1890" s="1540">
        <f t="shared" si="79"/>
        <v>1149145.3259999999</v>
      </c>
      <c r="N1890" s="1552"/>
      <c r="O1890" s="1553"/>
      <c r="P1890" s="559"/>
    </row>
    <row r="1891" spans="1:16" s="1531" customFormat="1" ht="14.25" customHeight="1">
      <c r="A1891" s="1551">
        <v>197</v>
      </c>
      <c r="B1891" s="1537" t="e">
        <f>VLOOKUP(D1891,'[2]DS CN MOI UP'!$B$11:$C$447,2,0)</f>
        <v>#N/A</v>
      </c>
      <c r="C1891" s="1538" t="s">
        <v>1628</v>
      </c>
      <c r="D1891" s="1468" t="s">
        <v>1746</v>
      </c>
      <c r="E1891" s="1468" t="s">
        <v>15</v>
      </c>
      <c r="F1891" s="1468"/>
      <c r="G1891" s="1466"/>
      <c r="H1891" s="1540">
        <v>1159179.5249999999</v>
      </c>
      <c r="I1891" s="1540"/>
      <c r="J1891" s="1466">
        <f t="shared" si="78"/>
        <v>1159179.5249999999</v>
      </c>
      <c r="K1891" s="1466"/>
      <c r="L1891" s="1466"/>
      <c r="M1891" s="1540">
        <f t="shared" si="79"/>
        <v>1159179.5249999999</v>
      </c>
      <c r="N1891" s="1552"/>
      <c r="O1891" s="1553"/>
      <c r="P1891" s="559"/>
    </row>
    <row r="1892" spans="1:16" s="1531" customFormat="1" ht="14.25" customHeight="1">
      <c r="A1892" s="1551">
        <v>198</v>
      </c>
      <c r="B1892" s="1537" t="e">
        <f>VLOOKUP(D1892,'[2]DS CN MOI UP'!$B$11:$C$447,2,0)</f>
        <v>#N/A</v>
      </c>
      <c r="C1892" s="1538" t="s">
        <v>1628</v>
      </c>
      <c r="D1892" s="1468" t="s">
        <v>1747</v>
      </c>
      <c r="E1892" s="1468" t="s">
        <v>15</v>
      </c>
      <c r="F1892" s="1468"/>
      <c r="G1892" s="1466"/>
      <c r="H1892" s="1540">
        <v>1149145.3259999999</v>
      </c>
      <c r="I1892" s="1540"/>
      <c r="J1892" s="1466">
        <f t="shared" si="78"/>
        <v>1149145.3259999999</v>
      </c>
      <c r="K1892" s="1466"/>
      <c r="L1892" s="1466"/>
      <c r="M1892" s="1540">
        <f t="shared" si="79"/>
        <v>1149145.3259999999</v>
      </c>
      <c r="N1892" s="1552"/>
      <c r="O1892" s="1553"/>
      <c r="P1892" s="559"/>
    </row>
    <row r="1893" spans="1:16" s="1531" customFormat="1" ht="14.25" customHeight="1">
      <c r="A1893" s="1551">
        <v>199</v>
      </c>
      <c r="B1893" s="1537" t="e">
        <f>VLOOKUP(D1893,'[2]DS CN MOI UP'!$B$11:$C$447,2,0)</f>
        <v>#N/A</v>
      </c>
      <c r="C1893" s="1538" t="s">
        <v>1628</v>
      </c>
      <c r="D1893" s="1468" t="s">
        <v>1610</v>
      </c>
      <c r="E1893" s="1468" t="s">
        <v>15</v>
      </c>
      <c r="F1893" s="1468"/>
      <c r="G1893" s="1466"/>
      <c r="H1893" s="1540">
        <v>1159179.5249999999</v>
      </c>
      <c r="I1893" s="1540"/>
      <c r="J1893" s="1466">
        <f t="shared" si="78"/>
        <v>1159179.5249999999</v>
      </c>
      <c r="K1893" s="1466"/>
      <c r="L1893" s="1466"/>
      <c r="M1893" s="1540">
        <f t="shared" si="79"/>
        <v>1159179.5249999999</v>
      </c>
      <c r="N1893" s="1552"/>
      <c r="O1893" s="1553"/>
      <c r="P1893" s="559"/>
    </row>
    <row r="1894" spans="1:16" s="1531" customFormat="1" ht="14.25" customHeight="1">
      <c r="A1894" s="1551">
        <v>200</v>
      </c>
      <c r="B1894" s="1537" t="e">
        <f>VLOOKUP(D1894,'[2]DS CN MOI UP'!$B$11:$C$447,2,0)</f>
        <v>#N/A</v>
      </c>
      <c r="C1894" s="1538" t="s">
        <v>1628</v>
      </c>
      <c r="D1894" s="1468" t="s">
        <v>782</v>
      </c>
      <c r="E1894" s="1468" t="s">
        <v>15</v>
      </c>
      <c r="F1894" s="1468"/>
      <c r="G1894" s="1466"/>
      <c r="H1894" s="1540">
        <v>524139.33600000001</v>
      </c>
      <c r="I1894" s="1466">
        <v>554373.09900000005</v>
      </c>
      <c r="J1894" s="1466">
        <f t="shared" si="78"/>
        <v>1078512.4350000001</v>
      </c>
      <c r="K1894" s="1466"/>
      <c r="L1894" s="1466"/>
      <c r="M1894" s="1540">
        <f t="shared" si="79"/>
        <v>1078512.4350000001</v>
      </c>
      <c r="N1894" s="1552"/>
      <c r="O1894" s="1553"/>
      <c r="P1894" s="559"/>
    </row>
    <row r="1895" spans="1:16" s="1531" customFormat="1" ht="14.25" customHeight="1">
      <c r="A1895" s="1551">
        <v>201</v>
      </c>
      <c r="B1895" s="1537" t="e">
        <f>VLOOKUP(D1895,'[2]DS CN MOI UP'!$B$11:$C$447,2,0)</f>
        <v>#N/A</v>
      </c>
      <c r="C1895" s="1538" t="s">
        <v>1628</v>
      </c>
      <c r="D1895" s="1468" t="s">
        <v>1613</v>
      </c>
      <c r="E1895" s="1468" t="s">
        <v>15</v>
      </c>
      <c r="F1895" s="1468"/>
      <c r="G1895" s="1466"/>
      <c r="H1895" s="1540">
        <v>524139.33600000001</v>
      </c>
      <c r="I1895" s="1466">
        <v>554373.09900000005</v>
      </c>
      <c r="J1895" s="1466">
        <f t="shared" si="78"/>
        <v>1078512.4350000001</v>
      </c>
      <c r="K1895" s="1466"/>
      <c r="L1895" s="1466"/>
      <c r="M1895" s="1540">
        <f t="shared" si="79"/>
        <v>1078512.4350000001</v>
      </c>
      <c r="N1895" s="1552"/>
      <c r="O1895" s="1553"/>
      <c r="P1895" s="559"/>
    </row>
    <row r="1896" spans="1:16" s="1531" customFormat="1" ht="14.25" customHeight="1">
      <c r="A1896" s="1551">
        <v>202</v>
      </c>
      <c r="B1896" s="1537" t="e">
        <f>VLOOKUP(D1896,'[2]DS CN MOI UP'!$B$11:$C$447,2,0)</f>
        <v>#N/A</v>
      </c>
      <c r="C1896" s="1538" t="s">
        <v>1628</v>
      </c>
      <c r="D1896" s="1468" t="s">
        <v>1615</v>
      </c>
      <c r="E1896" s="1468" t="s">
        <v>15</v>
      </c>
      <c r="F1896" s="1468"/>
      <c r="G1896" s="1540"/>
      <c r="H1896" s="1540">
        <v>524139.33600000001</v>
      </c>
      <c r="I1896" s="1540">
        <v>554373.09900000005</v>
      </c>
      <c r="J1896" s="1466">
        <f t="shared" si="78"/>
        <v>1078512.4350000001</v>
      </c>
      <c r="K1896" s="1466"/>
      <c r="L1896" s="1466"/>
      <c r="M1896" s="1540">
        <f t="shared" si="79"/>
        <v>1078512.4350000001</v>
      </c>
      <c r="N1896" s="1552"/>
      <c r="O1896" s="1553"/>
      <c r="P1896" s="559"/>
    </row>
    <row r="1897" spans="1:16" s="1531" customFormat="1" ht="14.25" customHeight="1">
      <c r="A1897" s="1551">
        <v>203</v>
      </c>
      <c r="B1897" s="1537" t="e">
        <f>VLOOKUP(D1897,'[2]DS CN MOI UP'!$B$11:$C$447,2,0)</f>
        <v>#N/A</v>
      </c>
      <c r="C1897" s="1538" t="s">
        <v>1628</v>
      </c>
      <c r="D1897" s="1468" t="s">
        <v>1617</v>
      </c>
      <c r="E1897" s="1468" t="s">
        <v>15</v>
      </c>
      <c r="F1897" s="1468"/>
      <c r="G1897" s="1540"/>
      <c r="H1897" s="1540">
        <v>524139.33600000001</v>
      </c>
      <c r="I1897" s="1540">
        <v>554373.09900000005</v>
      </c>
      <c r="J1897" s="1466">
        <f t="shared" si="78"/>
        <v>1078512.4350000001</v>
      </c>
      <c r="K1897" s="1466"/>
      <c r="L1897" s="1466"/>
      <c r="M1897" s="1540">
        <f t="shared" si="79"/>
        <v>1078512.4350000001</v>
      </c>
      <c r="N1897" s="1552"/>
      <c r="O1897" s="1553"/>
      <c r="P1897" s="559"/>
    </row>
    <row r="1898" spans="1:16" s="1531" customFormat="1" ht="14.25" customHeight="1">
      <c r="A1898" s="1551">
        <v>204</v>
      </c>
      <c r="B1898" s="1537" t="e">
        <f>VLOOKUP(D1898,'[2]DS CN MOI UP'!$B$11:$C$447,2,0)</f>
        <v>#N/A</v>
      </c>
      <c r="C1898" s="1538" t="s">
        <v>1628</v>
      </c>
      <c r="D1898" s="1468" t="s">
        <v>1619</v>
      </c>
      <c r="E1898" s="1468" t="s">
        <v>15</v>
      </c>
      <c r="F1898" s="1468"/>
      <c r="G1898" s="1540"/>
      <c r="H1898" s="1540">
        <v>524139.33600000001</v>
      </c>
      <c r="I1898" s="1540">
        <v>635040.18900000001</v>
      </c>
      <c r="J1898" s="1466">
        <f t="shared" si="78"/>
        <v>1159179.5249999999</v>
      </c>
      <c r="K1898" s="1466"/>
      <c r="L1898" s="1466"/>
      <c r="M1898" s="1540">
        <f t="shared" si="79"/>
        <v>1159179.5249999999</v>
      </c>
      <c r="N1898" s="1552"/>
      <c r="O1898" s="1553"/>
      <c r="P1898" s="559"/>
    </row>
    <row r="1899" spans="1:16" s="1531" customFormat="1" ht="14.25" customHeight="1">
      <c r="A1899" s="1551">
        <v>205</v>
      </c>
      <c r="B1899" s="1537" t="e">
        <f>VLOOKUP(D1899,'[2]DS CN MOI UP'!$B$11:$C$447,2,0)</f>
        <v>#N/A</v>
      </c>
      <c r="C1899" s="1538" t="s">
        <v>1628</v>
      </c>
      <c r="D1899" s="1468" t="s">
        <v>1621</v>
      </c>
      <c r="E1899" s="1468" t="s">
        <v>15</v>
      </c>
      <c r="F1899" s="1468"/>
      <c r="G1899" s="1540"/>
      <c r="H1899" s="1540">
        <v>524139.33600000001</v>
      </c>
      <c r="I1899" s="1540">
        <v>544338.9</v>
      </c>
      <c r="J1899" s="1466">
        <f t="shared" si="78"/>
        <v>1068478.236</v>
      </c>
      <c r="K1899" s="1466"/>
      <c r="L1899" s="1466"/>
      <c r="M1899" s="1540">
        <f t="shared" si="79"/>
        <v>1068478.236</v>
      </c>
      <c r="N1899" s="1552"/>
      <c r="O1899" s="1553"/>
      <c r="P1899" s="559"/>
    </row>
    <row r="1900" spans="1:16" s="1531" customFormat="1" ht="14.25" customHeight="1">
      <c r="A1900" s="1551">
        <v>206</v>
      </c>
      <c r="B1900" s="1537" t="e">
        <f>VLOOKUP(D1900,'[2]DS CN MOI UP'!$B$11:$C$447,2,0)</f>
        <v>#N/A</v>
      </c>
      <c r="C1900" s="1538" t="s">
        <v>1628</v>
      </c>
      <c r="D1900" s="1468" t="s">
        <v>1623</v>
      </c>
      <c r="E1900" s="1468" t="s">
        <v>15</v>
      </c>
      <c r="F1900" s="1468"/>
      <c r="G1900" s="1540"/>
      <c r="H1900" s="1540">
        <v>524139.33600000001</v>
      </c>
      <c r="I1900" s="1540">
        <v>574572.66299999994</v>
      </c>
      <c r="J1900" s="1466">
        <f t="shared" si="78"/>
        <v>1098711.9990000001</v>
      </c>
      <c r="K1900" s="1466"/>
      <c r="L1900" s="1466"/>
      <c r="M1900" s="1540">
        <f t="shared" si="79"/>
        <v>1098711.9990000001</v>
      </c>
      <c r="N1900" s="1552"/>
      <c r="O1900" s="1553"/>
      <c r="P1900" s="559"/>
    </row>
    <row r="1901" spans="1:16" s="1531" customFormat="1" ht="14.25" customHeight="1">
      <c r="A1901" s="1551">
        <v>207</v>
      </c>
      <c r="B1901" s="1537" t="e">
        <f>VLOOKUP(D1901,'[2]DS CN MOI UP'!$B$11:$C$447,2,0)</f>
        <v>#N/A</v>
      </c>
      <c r="C1901" s="1538" t="s">
        <v>1628</v>
      </c>
      <c r="D1901" s="1468" t="s">
        <v>794</v>
      </c>
      <c r="E1901" s="1468" t="s">
        <v>15</v>
      </c>
      <c r="F1901" s="1468"/>
      <c r="G1901" s="1540"/>
      <c r="H1901" s="1540">
        <v>524139.33600000001</v>
      </c>
      <c r="I1901" s="1540">
        <v>604806.42599999998</v>
      </c>
      <c r="J1901" s="1466">
        <f t="shared" si="78"/>
        <v>1128945.7620000001</v>
      </c>
      <c r="K1901" s="1466"/>
      <c r="L1901" s="1466"/>
      <c r="M1901" s="1540">
        <f t="shared" si="79"/>
        <v>1128945.7620000001</v>
      </c>
      <c r="N1901" s="1552"/>
      <c r="O1901" s="1553"/>
      <c r="P1901" s="559"/>
    </row>
    <row r="1902" spans="1:16" s="1531" customFormat="1" ht="14.25" customHeight="1">
      <c r="A1902" s="1551">
        <v>208</v>
      </c>
      <c r="B1902" s="1537" t="e">
        <f>VLOOKUP(D1902,'[2]DS CN MOI UP'!$B$11:$C$447,2,0)</f>
        <v>#N/A</v>
      </c>
      <c r="C1902" s="1538" t="s">
        <v>1628</v>
      </c>
      <c r="D1902" s="1468" t="s">
        <v>1626</v>
      </c>
      <c r="E1902" s="1468" t="s">
        <v>15</v>
      </c>
      <c r="F1902" s="1468"/>
      <c r="G1902" s="1540"/>
      <c r="H1902" s="1540">
        <v>524139.33600000001</v>
      </c>
      <c r="I1902" s="1540">
        <v>584606.86199999996</v>
      </c>
      <c r="J1902" s="1466">
        <f t="shared" si="78"/>
        <v>1108746.1980000001</v>
      </c>
      <c r="K1902" s="1466"/>
      <c r="L1902" s="1466"/>
      <c r="M1902" s="1540">
        <f t="shared" si="79"/>
        <v>1108746.1980000001</v>
      </c>
      <c r="N1902" s="1552"/>
      <c r="O1902" s="1553"/>
      <c r="P1902" s="559"/>
    </row>
    <row r="1903" spans="1:16" s="1531" customFormat="1" ht="14.25" customHeight="1">
      <c r="A1903" s="1551">
        <v>209</v>
      </c>
      <c r="B1903" s="1537" t="e">
        <f>VLOOKUP(D1903,'[2]DS CN MOI UP'!$B$11:$C$447,2,0)</f>
        <v>#N/A</v>
      </c>
      <c r="C1903" s="1538" t="s">
        <v>1628</v>
      </c>
      <c r="D1903" s="1468" t="s">
        <v>1464</v>
      </c>
      <c r="E1903" s="1468" t="s">
        <v>15</v>
      </c>
      <c r="F1903" s="1468"/>
      <c r="G1903" s="1540"/>
      <c r="H1903" s="1540">
        <v>524139.33600000001</v>
      </c>
      <c r="I1903" s="1540">
        <v>635040.18900000001</v>
      </c>
      <c r="J1903" s="1466">
        <f t="shared" si="78"/>
        <v>1159179.5249999999</v>
      </c>
      <c r="K1903" s="1466"/>
      <c r="L1903" s="1466"/>
      <c r="M1903" s="1540">
        <f t="shared" si="79"/>
        <v>1159179.5249999999</v>
      </c>
      <c r="N1903" s="1552"/>
      <c r="O1903" s="1553"/>
      <c r="P1903" s="559"/>
    </row>
    <row r="1904" spans="1:16" s="1531" customFormat="1" ht="14.25" customHeight="1">
      <c r="A1904" s="1551">
        <v>210</v>
      </c>
      <c r="B1904" s="1537" t="e">
        <f>VLOOKUP(D1904,'[2]DS CN MOI UP'!$B$11:$C$447,2,0)</f>
        <v>#N/A</v>
      </c>
      <c r="C1904" s="1538" t="s">
        <v>1628</v>
      </c>
      <c r="D1904" s="1468" t="s">
        <v>1629</v>
      </c>
      <c r="E1904" s="1468" t="s">
        <v>15</v>
      </c>
      <c r="F1904" s="1468"/>
      <c r="G1904" s="1466"/>
      <c r="H1904" s="1540">
        <v>524139.33600000001</v>
      </c>
      <c r="I1904" s="1466">
        <v>524139.33600000001</v>
      </c>
      <c r="J1904" s="1466">
        <f t="shared" si="78"/>
        <v>1048278.672</v>
      </c>
      <c r="K1904" s="1466"/>
      <c r="L1904" s="1466"/>
      <c r="M1904" s="1540">
        <f t="shared" si="79"/>
        <v>1048278.672</v>
      </c>
      <c r="N1904" s="1552"/>
      <c r="O1904" s="1553"/>
      <c r="P1904" s="559"/>
    </row>
    <row r="1905" spans="1:16" s="1531" customFormat="1" ht="14.25" customHeight="1">
      <c r="A1905" s="1551">
        <v>211</v>
      </c>
      <c r="B1905" s="1537" t="e">
        <f>VLOOKUP(D1905,'[2]DS CN MOI UP'!$B$11:$C$447,2,0)</f>
        <v>#N/A</v>
      </c>
      <c r="C1905" s="1538" t="s">
        <v>1628</v>
      </c>
      <c r="D1905" s="1468" t="s">
        <v>1630</v>
      </c>
      <c r="E1905" s="1468" t="s">
        <v>15</v>
      </c>
      <c r="F1905" s="1468"/>
      <c r="G1905" s="1466"/>
      <c r="H1905" s="1540">
        <v>524139.33600000001</v>
      </c>
      <c r="I1905" s="1466">
        <v>635040.18900000001</v>
      </c>
      <c r="J1905" s="1466">
        <f t="shared" si="78"/>
        <v>1159179.5249999999</v>
      </c>
      <c r="K1905" s="1466"/>
      <c r="L1905" s="1466"/>
      <c r="M1905" s="1540">
        <f t="shared" si="79"/>
        <v>1159179.5249999999</v>
      </c>
      <c r="N1905" s="1552"/>
      <c r="O1905" s="1553"/>
      <c r="P1905" s="559"/>
    </row>
    <row r="1906" spans="1:16" s="1531" customFormat="1" ht="14.25" customHeight="1">
      <c r="A1906" s="1551">
        <v>212</v>
      </c>
      <c r="B1906" s="1537" t="e">
        <f>VLOOKUP(D1906,'[2]DS CN MOI UP'!$B$11:$C$447,2,0)</f>
        <v>#N/A</v>
      </c>
      <c r="C1906" s="1538" t="s">
        <v>1628</v>
      </c>
      <c r="D1906" s="1468" t="s">
        <v>1631</v>
      </c>
      <c r="E1906" s="1468" t="s">
        <v>15</v>
      </c>
      <c r="F1906" s="1468"/>
      <c r="G1906" s="1466"/>
      <c r="H1906" s="1540">
        <v>524139.33600000001</v>
      </c>
      <c r="I1906" s="1466">
        <v>635040.18900000001</v>
      </c>
      <c r="J1906" s="1466">
        <f t="shared" si="78"/>
        <v>1159179.5249999999</v>
      </c>
      <c r="K1906" s="1466"/>
      <c r="L1906" s="1466"/>
      <c r="M1906" s="1540">
        <f t="shared" si="79"/>
        <v>1159179.5249999999</v>
      </c>
      <c r="N1906" s="1552"/>
      <c r="O1906" s="1553"/>
      <c r="P1906" s="559"/>
    </row>
    <row r="1907" spans="1:16" s="1531" customFormat="1" ht="14.25" customHeight="1">
      <c r="A1907" s="1551">
        <v>213</v>
      </c>
      <c r="B1907" s="1537" t="e">
        <f>VLOOKUP(D1907,'[2]DS CN MOI UP'!$B$11:$C$447,2,0)</f>
        <v>#N/A</v>
      </c>
      <c r="C1907" s="1538" t="s">
        <v>1628</v>
      </c>
      <c r="D1907" s="1468" t="s">
        <v>1632</v>
      </c>
      <c r="E1907" s="1468" t="s">
        <v>15</v>
      </c>
      <c r="F1907" s="1468"/>
      <c r="G1907" s="1466"/>
      <c r="H1907" s="1540">
        <v>524139.33600000001</v>
      </c>
      <c r="I1907" s="1466">
        <v>554373.09900000005</v>
      </c>
      <c r="J1907" s="1466">
        <f t="shared" si="78"/>
        <v>1078512.4350000001</v>
      </c>
      <c r="K1907" s="1466"/>
      <c r="L1907" s="1466"/>
      <c r="M1907" s="1540">
        <f t="shared" si="79"/>
        <v>1078512.4350000001</v>
      </c>
      <c r="N1907" s="1552"/>
      <c r="O1907" s="1553"/>
      <c r="P1907" s="559"/>
    </row>
    <row r="1908" spans="1:16" s="1531" customFormat="1" ht="14.25" customHeight="1">
      <c r="A1908" s="1551">
        <v>214</v>
      </c>
      <c r="B1908" s="1537" t="e">
        <f>VLOOKUP(D1908,'[2]DS CN MOI UP'!$B$11:$C$447,2,0)</f>
        <v>#N/A</v>
      </c>
      <c r="C1908" s="1538" t="s">
        <v>1628</v>
      </c>
      <c r="D1908" s="1468" t="s">
        <v>1633</v>
      </c>
      <c r="E1908" s="1468" t="s">
        <v>15</v>
      </c>
      <c r="F1908" s="1468"/>
      <c r="G1908" s="1466"/>
      <c r="H1908" s="1540">
        <v>524139.33600000001</v>
      </c>
      <c r="I1908" s="1466">
        <v>554373.09900000005</v>
      </c>
      <c r="J1908" s="1466">
        <f t="shared" si="78"/>
        <v>1078512.4350000001</v>
      </c>
      <c r="K1908" s="1466"/>
      <c r="L1908" s="1466"/>
      <c r="M1908" s="1540">
        <f t="shared" si="79"/>
        <v>1078512.4350000001</v>
      </c>
      <c r="N1908" s="1552"/>
      <c r="O1908" s="1553"/>
      <c r="P1908" s="559"/>
    </row>
    <row r="1909" spans="1:16" s="1531" customFormat="1" ht="14.25" customHeight="1">
      <c r="A1909" s="1551">
        <v>215</v>
      </c>
      <c r="B1909" s="1537" t="str">
        <f>VLOOKUP(D1909,'[2]DS CN MOI UP'!$B$11:$C$447,2,0)</f>
        <v>02495</v>
      </c>
      <c r="C1909" s="1538" t="s">
        <v>1628</v>
      </c>
      <c r="D1909" s="1468" t="s">
        <v>120</v>
      </c>
      <c r="E1909" s="1468" t="s">
        <v>15</v>
      </c>
      <c r="F1909" s="1468"/>
      <c r="G1909" s="1466"/>
      <c r="H1909" s="1540">
        <v>524139.33600000001</v>
      </c>
      <c r="I1909" s="1466">
        <v>554373.09900000005</v>
      </c>
      <c r="J1909" s="1466">
        <f t="shared" si="78"/>
        <v>1078512.4350000001</v>
      </c>
      <c r="K1909" s="1466"/>
      <c r="L1909" s="1466"/>
      <c r="M1909" s="1540">
        <f t="shared" si="79"/>
        <v>1078512.4350000001</v>
      </c>
      <c r="N1909" s="1552"/>
      <c r="O1909" s="1553"/>
      <c r="P1909" s="559"/>
    </row>
    <row r="1910" spans="1:16" s="1531" customFormat="1" ht="14.25" customHeight="1">
      <c r="A1910" s="1551">
        <v>216</v>
      </c>
      <c r="B1910" s="1537" t="str">
        <f>VLOOKUP(D1910,'[2]DS CN MOI UP'!$B$11:$C$447,2,0)</f>
        <v>02505</v>
      </c>
      <c r="C1910" s="1538" t="s">
        <v>1628</v>
      </c>
      <c r="D1910" s="1468" t="s">
        <v>117</v>
      </c>
      <c r="E1910" s="1468" t="s">
        <v>15</v>
      </c>
      <c r="F1910" s="1468"/>
      <c r="G1910" s="1540">
        <v>554373.09900000005</v>
      </c>
      <c r="H1910" s="1540">
        <v>524139.33600000001</v>
      </c>
      <c r="I1910" s="1540"/>
      <c r="J1910" s="1466">
        <f t="shared" si="78"/>
        <v>1078512.4350000001</v>
      </c>
      <c r="K1910" s="1466"/>
      <c r="L1910" s="1466"/>
      <c r="M1910" s="1540">
        <f t="shared" si="79"/>
        <v>1078512.4350000001</v>
      </c>
      <c r="N1910" s="1552"/>
      <c r="O1910" s="1553"/>
      <c r="P1910" s="559"/>
    </row>
    <row r="1911" spans="1:16" s="1531" customFormat="1" ht="14.25" customHeight="1">
      <c r="A1911" s="1551">
        <v>217</v>
      </c>
      <c r="B1911" s="1537" t="str">
        <f>VLOOKUP(D1911,'[2]DS CN MOI UP'!$B$11:$C$447,2,0)</f>
        <v>02516</v>
      </c>
      <c r="C1911" s="1538" t="s">
        <v>1628</v>
      </c>
      <c r="D1911" s="1468" t="s">
        <v>122</v>
      </c>
      <c r="E1911" s="1468" t="s">
        <v>15</v>
      </c>
      <c r="F1911" s="1468"/>
      <c r="G1911" s="1540">
        <v>554373.09900000005</v>
      </c>
      <c r="H1911" s="1540">
        <v>524139.33600000001</v>
      </c>
      <c r="I1911" s="1540"/>
      <c r="J1911" s="1466">
        <f t="shared" si="78"/>
        <v>1078512.4350000001</v>
      </c>
      <c r="K1911" s="1466"/>
      <c r="L1911" s="1466"/>
      <c r="M1911" s="1540">
        <f t="shared" si="79"/>
        <v>1078512.4350000001</v>
      </c>
      <c r="N1911" s="1552"/>
      <c r="O1911" s="1553"/>
      <c r="P1911" s="559"/>
    </row>
    <row r="1912" spans="1:16" s="1531" customFormat="1" ht="14.25" customHeight="1">
      <c r="A1912" s="1551">
        <v>218</v>
      </c>
      <c r="B1912" s="1537" t="str">
        <f>VLOOKUP(D1912,'[2]DS CN MOI UP'!$B$11:$C$447,2,0)</f>
        <v>03347</v>
      </c>
      <c r="C1912" s="1538" t="s">
        <v>1628</v>
      </c>
      <c r="D1912" s="1468" t="s">
        <v>121</v>
      </c>
      <c r="E1912" s="1468" t="s">
        <v>15</v>
      </c>
      <c r="F1912" s="1468"/>
      <c r="G1912" s="1540">
        <v>37754.9639999762</v>
      </c>
      <c r="H1912" s="1540">
        <v>1224139.3359999999</v>
      </c>
      <c r="I1912" s="1540"/>
      <c r="J1912" s="1466">
        <f t="shared" si="78"/>
        <v>1261894.29999998</v>
      </c>
      <c r="K1912" s="1466"/>
      <c r="L1912" s="1466"/>
      <c r="M1912" s="1540">
        <f t="shared" si="79"/>
        <v>1261894.29999998</v>
      </c>
      <c r="N1912" s="1552"/>
      <c r="O1912" s="1553"/>
      <c r="P1912" s="559"/>
    </row>
    <row r="1913" spans="1:16" s="1531" customFormat="1" ht="14.25" customHeight="1">
      <c r="A1913" s="1551">
        <v>219</v>
      </c>
      <c r="B1913" s="1537" t="str">
        <f>VLOOKUP(D1913,'[2]DS CN MOI UP'!$B$11:$C$447,2,0)</f>
        <v>02539</v>
      </c>
      <c r="C1913" s="1538" t="s">
        <v>1628</v>
      </c>
      <c r="D1913" s="1468" t="s">
        <v>195</v>
      </c>
      <c r="E1913" s="1468" t="s">
        <v>15</v>
      </c>
      <c r="F1913" s="1468"/>
      <c r="G1913" s="1540">
        <v>544338.9</v>
      </c>
      <c r="H1913" s="1540">
        <v>524139.33600000001</v>
      </c>
      <c r="I1913" s="1540"/>
      <c r="J1913" s="1466">
        <f t="shared" si="78"/>
        <v>1068478.236</v>
      </c>
      <c r="K1913" s="1466"/>
      <c r="L1913" s="1466"/>
      <c r="M1913" s="1540">
        <f t="shared" si="79"/>
        <v>1068478.236</v>
      </c>
      <c r="N1913" s="1552"/>
      <c r="O1913" s="1553"/>
      <c r="P1913" s="559"/>
    </row>
    <row r="1914" spans="1:16" s="1531" customFormat="1" ht="14.25" customHeight="1">
      <c r="A1914" s="1551">
        <v>220</v>
      </c>
      <c r="B1914" s="1537" t="e">
        <f>VLOOKUP(D1914,'[2]DS CN MOI UP'!$B$11:$C$447,2,0)</f>
        <v>#N/A</v>
      </c>
      <c r="C1914" s="1538" t="s">
        <v>1628</v>
      </c>
      <c r="D1914" s="1468" t="s">
        <v>1174</v>
      </c>
      <c r="E1914" s="1468" t="s">
        <v>15</v>
      </c>
      <c r="F1914" s="1468"/>
      <c r="G1914" s="1540">
        <v>574572.66299999994</v>
      </c>
      <c r="H1914" s="1540">
        <v>524139.33600000001</v>
      </c>
      <c r="I1914" s="1540"/>
      <c r="J1914" s="1466">
        <f t="shared" si="78"/>
        <v>1098711.9990000001</v>
      </c>
      <c r="K1914" s="1466"/>
      <c r="L1914" s="1466"/>
      <c r="M1914" s="1540">
        <f t="shared" si="79"/>
        <v>1098711.9990000001</v>
      </c>
      <c r="N1914" s="1552"/>
      <c r="O1914" s="1553"/>
      <c r="P1914" s="559"/>
    </row>
    <row r="1915" spans="1:16" s="1531" customFormat="1" ht="14.25" customHeight="1">
      <c r="A1915" s="1551">
        <v>221</v>
      </c>
      <c r="B1915" s="1537" t="e">
        <f>VLOOKUP(D1915,'[2]DS CN MOI UP'!$B$11:$C$447,2,0)</f>
        <v>#N/A</v>
      </c>
      <c r="C1915" s="1538" t="s">
        <v>1628</v>
      </c>
      <c r="D1915" s="1468" t="s">
        <v>1175</v>
      </c>
      <c r="E1915" s="1468" t="s">
        <v>15</v>
      </c>
      <c r="F1915" s="1468"/>
      <c r="G1915" s="1540">
        <v>315399.50300002802</v>
      </c>
      <c r="H1915" s="1540">
        <v>946013.78802028298</v>
      </c>
      <c r="I1915" s="1540"/>
      <c r="J1915" s="1466">
        <f t="shared" si="78"/>
        <v>1261413.29102031</v>
      </c>
      <c r="K1915" s="1466"/>
      <c r="L1915" s="1466"/>
      <c r="M1915" s="1540">
        <f t="shared" si="79"/>
        <v>1261413.29102031</v>
      </c>
      <c r="N1915" s="1552"/>
      <c r="O1915" s="1553"/>
      <c r="P1915" s="559"/>
    </row>
    <row r="1916" spans="1:16" s="1531" customFormat="1" ht="14.25" customHeight="1">
      <c r="A1916" s="1551">
        <v>222</v>
      </c>
      <c r="B1916" s="1537" t="e">
        <f>VLOOKUP(D1916,'[2]DS CN MOI UP'!$B$11:$C$447,2,0)</f>
        <v>#N/A</v>
      </c>
      <c r="C1916" s="1538" t="s">
        <v>1628</v>
      </c>
      <c r="D1916" s="1468" t="s">
        <v>1176</v>
      </c>
      <c r="E1916" s="1468" t="s">
        <v>15</v>
      </c>
      <c r="F1916" s="1468"/>
      <c r="G1916" s="1540"/>
      <c r="H1916" s="1540">
        <v>1048278.672</v>
      </c>
      <c r="I1916" s="1540"/>
      <c r="J1916" s="1466">
        <f t="shared" si="78"/>
        <v>1048278.672</v>
      </c>
      <c r="K1916" s="1466"/>
      <c r="L1916" s="1466"/>
      <c r="M1916" s="1540">
        <f t="shared" si="79"/>
        <v>1048278.672</v>
      </c>
      <c r="N1916" s="1552"/>
      <c r="O1916" s="1553"/>
      <c r="P1916" s="559"/>
    </row>
    <row r="1917" spans="1:16" s="540" customFormat="1" ht="14.25" customHeight="1">
      <c r="A1917" s="1551">
        <v>223</v>
      </c>
      <c r="B1917" s="1537" t="str">
        <f>VLOOKUP(D1917,'[2]DS CN MOI UP'!$B$11:$C$447,2,0)</f>
        <v>02541</v>
      </c>
      <c r="C1917" s="1538" t="s">
        <v>1653</v>
      </c>
      <c r="D1917" s="166" t="s">
        <v>185</v>
      </c>
      <c r="E1917" s="1468" t="s">
        <v>15</v>
      </c>
      <c r="F1917" s="1468"/>
      <c r="G1917" s="1540"/>
      <c r="H1917" s="1540">
        <v>1048278.672</v>
      </c>
      <c r="I1917" s="1540"/>
      <c r="J1917" s="1466">
        <f t="shared" si="78"/>
        <v>1048278.672</v>
      </c>
      <c r="K1917" s="1466"/>
      <c r="L1917" s="1466"/>
      <c r="M1917" s="1540">
        <f t="shared" si="79"/>
        <v>1048278.672</v>
      </c>
      <c r="N1917" s="1552"/>
      <c r="P1917" s="559"/>
    </row>
    <row r="1918" spans="1:16" s="540" customFormat="1" ht="14.25" customHeight="1">
      <c r="A1918" s="1551">
        <v>224</v>
      </c>
      <c r="B1918" s="1537" t="e">
        <f>VLOOKUP(D1918,'[2]DS CN MOI UP'!$B$11:$C$447,2,0)</f>
        <v>#N/A</v>
      </c>
      <c r="C1918" s="1538" t="s">
        <v>1546</v>
      </c>
      <c r="D1918" s="1468" t="s">
        <v>1174</v>
      </c>
      <c r="E1918" s="1468" t="s">
        <v>15</v>
      </c>
      <c r="F1918" s="1468"/>
      <c r="G1918" s="1466"/>
      <c r="H1918" s="1540">
        <v>1239846.615</v>
      </c>
      <c r="I1918" s="1540"/>
      <c r="J1918" s="1466">
        <f t="shared" si="78"/>
        <v>1239846.615</v>
      </c>
      <c r="K1918" s="1466"/>
      <c r="L1918" s="1466"/>
      <c r="M1918" s="1540">
        <f t="shared" si="79"/>
        <v>1239846.615</v>
      </c>
      <c r="N1918" s="1552"/>
      <c r="P1918" s="559"/>
    </row>
    <row r="1919" spans="1:16" s="540" customFormat="1" ht="14.25" customHeight="1">
      <c r="A1919" s="1551">
        <v>225</v>
      </c>
      <c r="B1919" s="1537" t="e">
        <f>VLOOKUP(D1919,'[2]DS CN MOI UP'!$B$11:$C$447,2,0)</f>
        <v>#N/A</v>
      </c>
      <c r="C1919" s="1538" t="s">
        <v>1547</v>
      </c>
      <c r="D1919" s="1468" t="s">
        <v>1748</v>
      </c>
      <c r="E1919" s="1468" t="s">
        <v>15</v>
      </c>
      <c r="F1919" s="1468"/>
      <c r="G1919" s="1466"/>
      <c r="H1919" s="1540">
        <v>1149145.3259999999</v>
      </c>
      <c r="I1919" s="1540"/>
      <c r="J1919" s="1466">
        <f t="shared" si="78"/>
        <v>1149145.3259999999</v>
      </c>
      <c r="K1919" s="1466"/>
      <c r="L1919" s="1466"/>
      <c r="M1919" s="1540">
        <f t="shared" si="79"/>
        <v>1149145.3259999999</v>
      </c>
      <c r="N1919" s="1552"/>
      <c r="P1919" s="559"/>
    </row>
    <row r="1920" spans="1:16" s="540" customFormat="1" ht="14.25" customHeight="1">
      <c r="A1920" s="1551">
        <v>226</v>
      </c>
      <c r="B1920" s="1537" t="e">
        <f>VLOOKUP(D1920,'[2]DS CN MOI UP'!$B$11:$C$447,2,0)</f>
        <v>#N/A</v>
      </c>
      <c r="C1920" s="1538" t="s">
        <v>1548</v>
      </c>
      <c r="D1920" s="1468" t="s">
        <v>1749</v>
      </c>
      <c r="E1920" s="1468" t="s">
        <v>15</v>
      </c>
      <c r="F1920" s="1468"/>
      <c r="G1920" s="1466"/>
      <c r="H1920" s="1540">
        <v>1229038.53819991</v>
      </c>
      <c r="I1920" s="1540"/>
      <c r="J1920" s="1466">
        <f t="shared" si="78"/>
        <v>1229038.53819991</v>
      </c>
      <c r="K1920" s="1466"/>
      <c r="L1920" s="1466"/>
      <c r="M1920" s="1540">
        <f t="shared" si="79"/>
        <v>1229038.53819991</v>
      </c>
      <c r="N1920" s="1552"/>
      <c r="P1920" s="559"/>
    </row>
    <row r="1921" spans="1:16" s="540" customFormat="1" ht="14.25" customHeight="1">
      <c r="A1921" s="1551">
        <v>227</v>
      </c>
      <c r="B1921" s="1537" t="e">
        <f>VLOOKUP(D1921,'[2]DS CN MOI UP'!$B$11:$C$447,2,0)</f>
        <v>#N/A</v>
      </c>
      <c r="C1921" s="1538" t="s">
        <v>1549</v>
      </c>
      <c r="D1921" s="1468" t="s">
        <v>1750</v>
      </c>
      <c r="E1921" s="1468" t="s">
        <v>15</v>
      </c>
      <c r="F1921" s="1468"/>
      <c r="G1921" s="1466"/>
      <c r="H1921" s="1540">
        <v>1159179.5249999999</v>
      </c>
      <c r="I1921" s="1540"/>
      <c r="J1921" s="1466">
        <f t="shared" si="78"/>
        <v>1159179.5249999999</v>
      </c>
      <c r="K1921" s="1466"/>
      <c r="L1921" s="1466"/>
      <c r="M1921" s="1540">
        <f t="shared" si="79"/>
        <v>1159179.5249999999</v>
      </c>
      <c r="N1921" s="1552"/>
      <c r="P1921" s="559"/>
    </row>
    <row r="1922" spans="1:16" s="540" customFormat="1" ht="14.25" customHeight="1">
      <c r="A1922" s="1551">
        <v>228</v>
      </c>
      <c r="B1922" s="1537" t="e">
        <f>VLOOKUP(D1922,'[2]DS CN MOI UP'!$B$11:$C$447,2,0)</f>
        <v>#N/A</v>
      </c>
      <c r="C1922" s="1538" t="s">
        <v>1550</v>
      </c>
      <c r="D1922" s="1468" t="s">
        <v>1751</v>
      </c>
      <c r="E1922" s="1468" t="s">
        <v>15</v>
      </c>
      <c r="F1922" s="1468"/>
      <c r="G1922" s="1466"/>
      <c r="H1922" s="1540">
        <v>1239846.615</v>
      </c>
      <c r="I1922" s="1540"/>
      <c r="J1922" s="1466">
        <f t="shared" si="78"/>
        <v>1239846.615</v>
      </c>
      <c r="K1922" s="1466"/>
      <c r="L1922" s="1466"/>
      <c r="M1922" s="1540">
        <f t="shared" si="79"/>
        <v>1239846.615</v>
      </c>
      <c r="N1922" s="1552"/>
      <c r="P1922" s="559"/>
    </row>
    <row r="1923" spans="1:16" s="540" customFormat="1" ht="14.25" customHeight="1">
      <c r="A1923" s="1551">
        <v>229</v>
      </c>
      <c r="B1923" s="1537" t="e">
        <f>VLOOKUP(D1923,'[2]DS CN MOI UP'!$B$11:$C$447,2,0)</f>
        <v>#N/A</v>
      </c>
      <c r="C1923" s="1538" t="s">
        <v>1551</v>
      </c>
      <c r="D1923" s="1468" t="s">
        <v>1752</v>
      </c>
      <c r="E1923" s="1468" t="s">
        <v>15</v>
      </c>
      <c r="F1923" s="1468"/>
      <c r="G1923" s="1540"/>
      <c r="H1923" s="1540">
        <v>1149145.3259999999</v>
      </c>
      <c r="I1923" s="1540"/>
      <c r="J1923" s="1466">
        <f t="shared" si="78"/>
        <v>1149145.3259999999</v>
      </c>
      <c r="K1923" s="1466"/>
      <c r="L1923" s="1466"/>
      <c r="M1923" s="1540">
        <f t="shared" si="79"/>
        <v>1149145.3259999999</v>
      </c>
      <c r="N1923" s="1552"/>
      <c r="P1923" s="559"/>
    </row>
    <row r="1924" spans="1:16" s="540" customFormat="1" ht="14.25" customHeight="1">
      <c r="A1924" s="1551">
        <v>230</v>
      </c>
      <c r="B1924" s="1537" t="e">
        <f>VLOOKUP(D1924,'[2]DS CN MOI UP'!$B$11:$C$447,2,0)</f>
        <v>#N/A</v>
      </c>
      <c r="C1924" s="1538" t="s">
        <v>1552</v>
      </c>
      <c r="D1924" s="1468" t="s">
        <v>1753</v>
      </c>
      <c r="E1924" s="1468" t="s">
        <v>15</v>
      </c>
      <c r="F1924" s="1468"/>
      <c r="G1924" s="1540"/>
      <c r="H1924" s="1540">
        <v>1159179.5249999999</v>
      </c>
      <c r="I1924" s="1540"/>
      <c r="J1924" s="1466">
        <f t="shared" si="78"/>
        <v>1159179.5249999999</v>
      </c>
      <c r="K1924" s="1466"/>
      <c r="L1924" s="1466"/>
      <c r="M1924" s="1540">
        <f t="shared" si="79"/>
        <v>1159179.5249999999</v>
      </c>
      <c r="N1924" s="1552"/>
      <c r="P1924" s="559"/>
    </row>
    <row r="1925" spans="1:16" s="540" customFormat="1" ht="14.25" customHeight="1">
      <c r="A1925" s="1551">
        <v>231</v>
      </c>
      <c r="B1925" s="1537" t="e">
        <f>VLOOKUP(D1925,'[2]DS CN MOI UP'!$B$11:$C$447,2,0)</f>
        <v>#N/A</v>
      </c>
      <c r="C1925" s="1538" t="s">
        <v>1554</v>
      </c>
      <c r="D1925" s="1468" t="s">
        <v>1754</v>
      </c>
      <c r="E1925" s="1468" t="s">
        <v>15</v>
      </c>
      <c r="F1925" s="1468"/>
      <c r="G1925" s="1540"/>
      <c r="H1925" s="1540">
        <v>1239846.615</v>
      </c>
      <c r="I1925" s="1540"/>
      <c r="J1925" s="1466">
        <f t="shared" si="78"/>
        <v>1239846.615</v>
      </c>
      <c r="K1925" s="1466"/>
      <c r="L1925" s="1466"/>
      <c r="M1925" s="1540">
        <f t="shared" si="79"/>
        <v>1239846.615</v>
      </c>
      <c r="N1925" s="1552"/>
      <c r="P1925" s="559"/>
    </row>
    <row r="1926" spans="1:16" s="540" customFormat="1" ht="14.25" customHeight="1">
      <c r="A1926" s="1551">
        <v>232</v>
      </c>
      <c r="B1926" s="1537" t="e">
        <f>VLOOKUP(D1926,'[2]DS CN MOI UP'!$B$11:$C$447,2,0)</f>
        <v>#N/A</v>
      </c>
      <c r="C1926" s="1538" t="s">
        <v>1556</v>
      </c>
      <c r="D1926" s="1468" t="s">
        <v>1755</v>
      </c>
      <c r="E1926" s="1468" t="s">
        <v>15</v>
      </c>
      <c r="F1926" s="1468"/>
      <c r="G1926" s="1540"/>
      <c r="H1926" s="1540">
        <v>1149145.3259999999</v>
      </c>
      <c r="I1926" s="1540"/>
      <c r="J1926" s="1466">
        <f t="shared" si="78"/>
        <v>1149145.3259999999</v>
      </c>
      <c r="K1926" s="1466"/>
      <c r="L1926" s="1466"/>
      <c r="M1926" s="1540">
        <f t="shared" si="79"/>
        <v>1149145.3259999999</v>
      </c>
      <c r="N1926" s="1552"/>
      <c r="P1926" s="559"/>
    </row>
    <row r="1927" spans="1:16" s="540" customFormat="1" ht="14.25" customHeight="1">
      <c r="A1927" s="1551">
        <v>233</v>
      </c>
      <c r="B1927" s="1537" t="e">
        <f>VLOOKUP(D1927,'[2]DS CN MOI UP'!$B$11:$C$447,2,0)</f>
        <v>#N/A</v>
      </c>
      <c r="C1927" s="1538" t="s">
        <v>1558</v>
      </c>
      <c r="D1927" s="1468" t="s">
        <v>1756</v>
      </c>
      <c r="E1927" s="1468" t="s">
        <v>15</v>
      </c>
      <c r="F1927" s="1468"/>
      <c r="G1927" s="1540"/>
      <c r="H1927" s="1540">
        <v>1229038.53819991</v>
      </c>
      <c r="I1927" s="1540"/>
      <c r="J1927" s="1466">
        <f t="shared" si="78"/>
        <v>1229038.53819991</v>
      </c>
      <c r="K1927" s="1466"/>
      <c r="L1927" s="1466"/>
      <c r="M1927" s="1540">
        <f t="shared" si="79"/>
        <v>1229038.53819991</v>
      </c>
      <c r="N1927" s="1552"/>
      <c r="P1927" s="559"/>
    </row>
    <row r="1928" spans="1:16" s="540" customFormat="1" ht="14.25" customHeight="1">
      <c r="A1928" s="1551">
        <v>234</v>
      </c>
      <c r="B1928" s="1537" t="e">
        <f>VLOOKUP(D1928,'[2]DS CN MOI UP'!$B$11:$C$447,2,0)</f>
        <v>#N/A</v>
      </c>
      <c r="C1928" s="1538" t="s">
        <v>1560</v>
      </c>
      <c r="D1928" s="1468" t="s">
        <v>730</v>
      </c>
      <c r="E1928" s="1468" t="s">
        <v>15</v>
      </c>
      <c r="F1928" s="1468"/>
      <c r="G1928" s="1540"/>
      <c r="H1928" s="1540">
        <v>1159179.5249999999</v>
      </c>
      <c r="I1928" s="1540"/>
      <c r="J1928" s="1466">
        <f t="shared" si="78"/>
        <v>1159179.5249999999</v>
      </c>
      <c r="K1928" s="1466"/>
      <c r="L1928" s="1466"/>
      <c r="M1928" s="1540">
        <f t="shared" si="79"/>
        <v>1159179.5249999999</v>
      </c>
      <c r="N1928" s="1552"/>
      <c r="P1928" s="559"/>
    </row>
    <row r="1929" spans="1:16" s="540" customFormat="1" ht="14.25" customHeight="1">
      <c r="A1929" s="1551">
        <v>235</v>
      </c>
      <c r="B1929" s="1537" t="e">
        <f>VLOOKUP(D1929,'[2]DS CN MOI UP'!$B$11:$C$447,2,0)</f>
        <v>#N/A</v>
      </c>
      <c r="C1929" s="1538" t="s">
        <v>1562</v>
      </c>
      <c r="D1929" s="1468" t="s">
        <v>1757</v>
      </c>
      <c r="E1929" s="1468" t="s">
        <v>15</v>
      </c>
      <c r="F1929" s="1468"/>
      <c r="G1929" s="1540"/>
      <c r="H1929" s="1540">
        <v>1239846.615</v>
      </c>
      <c r="I1929" s="1540"/>
      <c r="J1929" s="1466">
        <f t="shared" si="78"/>
        <v>1239846.615</v>
      </c>
      <c r="K1929" s="1466"/>
      <c r="L1929" s="1466"/>
      <c r="M1929" s="1540">
        <f t="shared" si="79"/>
        <v>1239846.615</v>
      </c>
      <c r="N1929" s="1552"/>
      <c r="P1929" s="559"/>
    </row>
    <row r="1930" spans="1:16" s="540" customFormat="1" ht="14.25" customHeight="1">
      <c r="A1930" s="1551">
        <v>236</v>
      </c>
      <c r="B1930" s="1537" t="e">
        <f>VLOOKUP(D1930,'[2]DS CN MOI UP'!$B$11:$C$447,2,0)</f>
        <v>#N/A</v>
      </c>
      <c r="C1930" s="1538" t="s">
        <v>1564</v>
      </c>
      <c r="D1930" s="1468" t="s">
        <v>1758</v>
      </c>
      <c r="E1930" s="1468" t="s">
        <v>15</v>
      </c>
      <c r="F1930" s="1468"/>
      <c r="G1930" s="1540"/>
      <c r="H1930" s="1540">
        <v>1149145.3259999999</v>
      </c>
      <c r="I1930" s="1540"/>
      <c r="J1930" s="1466">
        <f t="shared" si="78"/>
        <v>1149145.3259999999</v>
      </c>
      <c r="K1930" s="1466"/>
      <c r="L1930" s="1466"/>
      <c r="M1930" s="1540">
        <f t="shared" si="79"/>
        <v>1149145.3259999999</v>
      </c>
      <c r="N1930" s="1552"/>
      <c r="P1930" s="559"/>
    </row>
    <row r="1931" spans="1:16" s="540" customFormat="1" ht="14.25" customHeight="1">
      <c r="A1931" s="1551">
        <v>237</v>
      </c>
      <c r="B1931" s="1537" t="e">
        <f>VLOOKUP(D1931,'[2]DS CN MOI UP'!$B$11:$C$447,2,0)</f>
        <v>#N/A</v>
      </c>
      <c r="C1931" s="1538" t="s">
        <v>1566</v>
      </c>
      <c r="D1931" s="1468" t="s">
        <v>1759</v>
      </c>
      <c r="E1931" s="1468" t="s">
        <v>15</v>
      </c>
      <c r="F1931" s="1468"/>
      <c r="G1931" s="1466"/>
      <c r="H1931" s="1540">
        <v>1229038.53819991</v>
      </c>
      <c r="I1931" s="1540"/>
      <c r="J1931" s="1466">
        <f t="shared" si="78"/>
        <v>1229038.53819991</v>
      </c>
      <c r="K1931" s="1466"/>
      <c r="L1931" s="1466"/>
      <c r="M1931" s="1540">
        <f t="shared" si="79"/>
        <v>1229038.53819991</v>
      </c>
      <c r="N1931" s="1552"/>
      <c r="P1931" s="559"/>
    </row>
    <row r="1932" spans="1:16" s="540" customFormat="1" ht="14.25" customHeight="1">
      <c r="A1932" s="1551">
        <v>238</v>
      </c>
      <c r="B1932" s="1537" t="e">
        <f>VLOOKUP(D1932,'[2]DS CN MOI UP'!$B$11:$C$447,2,0)</f>
        <v>#N/A</v>
      </c>
      <c r="C1932" s="1538" t="s">
        <v>1568</v>
      </c>
      <c r="D1932" s="1468" t="s">
        <v>1760</v>
      </c>
      <c r="E1932" s="1468" t="s">
        <v>15</v>
      </c>
      <c r="F1932" s="1468"/>
      <c r="G1932" s="1466"/>
      <c r="H1932" s="1540">
        <v>1159179.5249999999</v>
      </c>
      <c r="I1932" s="1540"/>
      <c r="J1932" s="1466">
        <f t="shared" si="78"/>
        <v>1159179.5249999999</v>
      </c>
      <c r="K1932" s="1466"/>
      <c r="L1932" s="1466"/>
      <c r="M1932" s="1540">
        <f t="shared" si="79"/>
        <v>1159179.5249999999</v>
      </c>
      <c r="N1932" s="1552"/>
      <c r="P1932" s="559"/>
    </row>
    <row r="1933" spans="1:16" s="540" customFormat="1" ht="14.25" customHeight="1">
      <c r="A1933" s="1551">
        <v>239</v>
      </c>
      <c r="B1933" s="1537" t="e">
        <f>VLOOKUP(D1933,'[2]DS CN MOI UP'!$B$11:$C$447,2,0)</f>
        <v>#N/A</v>
      </c>
      <c r="C1933" s="1538" t="s">
        <v>1570</v>
      </c>
      <c r="D1933" s="1468" t="s">
        <v>1761</v>
      </c>
      <c r="E1933" s="1468" t="s">
        <v>15</v>
      </c>
      <c r="F1933" s="1468"/>
      <c r="G1933" s="1466"/>
      <c r="H1933" s="1540">
        <v>1239846.615</v>
      </c>
      <c r="I1933" s="1540"/>
      <c r="J1933" s="1466">
        <f t="shared" si="78"/>
        <v>1239846.615</v>
      </c>
      <c r="K1933" s="1466"/>
      <c r="L1933" s="1466"/>
      <c r="M1933" s="1540">
        <f t="shared" si="79"/>
        <v>1239846.615</v>
      </c>
      <c r="N1933" s="1552"/>
      <c r="P1933" s="559"/>
    </row>
    <row r="1934" spans="1:16" s="540" customFormat="1" ht="14.25" customHeight="1">
      <c r="A1934" s="1551">
        <v>240</v>
      </c>
      <c r="B1934" s="1537" t="e">
        <f>VLOOKUP(D1934,'[2]DS CN MOI UP'!$B$11:$C$447,2,0)</f>
        <v>#N/A</v>
      </c>
      <c r="C1934" s="1538" t="s">
        <v>1572</v>
      </c>
      <c r="D1934" s="1468" t="s">
        <v>1462</v>
      </c>
      <c r="E1934" s="1468" t="s">
        <v>15</v>
      </c>
      <c r="F1934" s="1468"/>
      <c r="G1934" s="1466"/>
      <c r="H1934" s="1540">
        <v>1149145.3259999999</v>
      </c>
      <c r="I1934" s="1540"/>
      <c r="J1934" s="1466">
        <f t="shared" si="78"/>
        <v>1149145.3259999999</v>
      </c>
      <c r="K1934" s="1466"/>
      <c r="L1934" s="1466"/>
      <c r="M1934" s="1540">
        <f t="shared" si="79"/>
        <v>1149145.3259999999</v>
      </c>
      <c r="N1934" s="1552"/>
      <c r="P1934" s="559"/>
    </row>
    <row r="1935" spans="1:16" s="540" customFormat="1" ht="14.25" customHeight="1">
      <c r="A1935" s="1551">
        <v>241</v>
      </c>
      <c r="B1935" s="1537" t="e">
        <f>VLOOKUP(D1935,'[2]DS CN MOI UP'!$B$11:$C$447,2,0)</f>
        <v>#N/A</v>
      </c>
      <c r="C1935" s="1538" t="s">
        <v>1574</v>
      </c>
      <c r="D1935" s="1468" t="s">
        <v>1463</v>
      </c>
      <c r="E1935" s="1468" t="s">
        <v>15</v>
      </c>
      <c r="F1935" s="1468"/>
      <c r="G1935" s="1466"/>
      <c r="H1935" s="1540">
        <v>1159179.5249999999</v>
      </c>
      <c r="I1935" s="1540"/>
      <c r="J1935" s="1466">
        <f t="shared" si="78"/>
        <v>1159179.5249999999</v>
      </c>
      <c r="K1935" s="1466"/>
      <c r="L1935" s="1466"/>
      <c r="M1935" s="1540">
        <f t="shared" si="79"/>
        <v>1159179.5249999999</v>
      </c>
      <c r="N1935" s="1552"/>
      <c r="P1935" s="559"/>
    </row>
    <row r="1936" spans="1:16" s="540" customFormat="1" ht="14.25" customHeight="1">
      <c r="A1936" s="1551">
        <v>242</v>
      </c>
      <c r="B1936" s="1537" t="e">
        <f>VLOOKUP(D1936,'[2]DS CN MOI UP'!$B$11:$C$447,2,0)</f>
        <v>#N/A</v>
      </c>
      <c r="C1936" s="1538" t="s">
        <v>1576</v>
      </c>
      <c r="D1936" s="1468" t="s">
        <v>1464</v>
      </c>
      <c r="E1936" s="1468" t="s">
        <v>15</v>
      </c>
      <c r="F1936" s="1468"/>
      <c r="G1936" s="1466"/>
      <c r="H1936" s="1540">
        <v>1239846.615</v>
      </c>
      <c r="I1936" s="1540"/>
      <c r="J1936" s="1466">
        <f t="shared" si="78"/>
        <v>1239846.615</v>
      </c>
      <c r="K1936" s="1466"/>
      <c r="L1936" s="1466"/>
      <c r="M1936" s="1540">
        <f t="shared" si="79"/>
        <v>1239846.615</v>
      </c>
      <c r="N1936" s="1552"/>
      <c r="P1936" s="559"/>
    </row>
    <row r="1937" spans="1:16" s="540" customFormat="1" ht="14.25" customHeight="1">
      <c r="A1937" s="1551">
        <v>243</v>
      </c>
      <c r="B1937" s="1537" t="e">
        <f>VLOOKUP(D1937,'[2]DS CN MOI UP'!$B$11:$C$447,2,0)</f>
        <v>#N/A</v>
      </c>
      <c r="C1937" s="1538" t="s">
        <v>1578</v>
      </c>
      <c r="D1937" s="1468" t="s">
        <v>740</v>
      </c>
      <c r="E1937" s="1468" t="s">
        <v>15</v>
      </c>
      <c r="F1937" s="1468"/>
      <c r="G1937" s="1540"/>
      <c r="H1937" s="1540">
        <v>1149145.3259999999</v>
      </c>
      <c r="I1937" s="1540"/>
      <c r="J1937" s="1466">
        <f t="shared" si="78"/>
        <v>1149145.3259999999</v>
      </c>
      <c r="K1937" s="1466"/>
      <c r="L1937" s="1466"/>
      <c r="M1937" s="1540">
        <f t="shared" si="79"/>
        <v>1149145.3259999999</v>
      </c>
      <c r="N1937" s="1552"/>
      <c r="P1937" s="559"/>
    </row>
    <row r="1938" spans="1:16" s="540" customFormat="1" ht="14.25" customHeight="1">
      <c r="A1938" s="1551">
        <v>244</v>
      </c>
      <c r="B1938" s="1537" t="e">
        <f>VLOOKUP(D1938,'[2]DS CN MOI UP'!$B$11:$C$447,2,0)</f>
        <v>#N/A</v>
      </c>
      <c r="C1938" s="1538" t="s">
        <v>1580</v>
      </c>
      <c r="D1938" s="1468" t="s">
        <v>741</v>
      </c>
      <c r="E1938" s="1468" t="s">
        <v>15</v>
      </c>
      <c r="F1938" s="1468"/>
      <c r="G1938" s="1540"/>
      <c r="H1938" s="1540">
        <v>1229038.53819991</v>
      </c>
      <c r="I1938" s="1540"/>
      <c r="J1938" s="1466">
        <f t="shared" si="78"/>
        <v>1229038.53819991</v>
      </c>
      <c r="K1938" s="1466"/>
      <c r="L1938" s="1466"/>
      <c r="M1938" s="1540">
        <f t="shared" si="79"/>
        <v>1229038.53819991</v>
      </c>
      <c r="N1938" s="1552"/>
      <c r="P1938" s="559"/>
    </row>
    <row r="1939" spans="1:16" s="540" customFormat="1" ht="14.25" customHeight="1">
      <c r="A1939" s="1551">
        <v>245</v>
      </c>
      <c r="B1939" s="1537" t="e">
        <f>VLOOKUP(D1939,'[2]DS CN MOI UP'!$B$11:$C$447,2,0)</f>
        <v>#N/A</v>
      </c>
      <c r="C1939" s="1538" t="s">
        <v>1582</v>
      </c>
      <c r="D1939" s="1468" t="s">
        <v>1465</v>
      </c>
      <c r="E1939" s="1468" t="s">
        <v>15</v>
      </c>
      <c r="F1939" s="1468"/>
      <c r="G1939" s="1540"/>
      <c r="H1939" s="1540">
        <v>1159179.5249999999</v>
      </c>
      <c r="I1939" s="1540"/>
      <c r="J1939" s="1466">
        <f t="shared" si="78"/>
        <v>1159179.5249999999</v>
      </c>
      <c r="K1939" s="1466"/>
      <c r="L1939" s="1466"/>
      <c r="M1939" s="1540">
        <f t="shared" si="79"/>
        <v>1159179.5249999999</v>
      </c>
      <c r="N1939" s="1552"/>
      <c r="P1939" s="559"/>
    </row>
    <row r="1940" spans="1:16" s="540" customFormat="1" ht="14.25" customHeight="1">
      <c r="A1940" s="1551">
        <v>246</v>
      </c>
      <c r="B1940" s="1537" t="e">
        <f>VLOOKUP(D1940,'[2]DS CN MOI UP'!$B$11:$C$447,2,0)</f>
        <v>#N/A</v>
      </c>
      <c r="C1940" s="1538" t="s">
        <v>1584</v>
      </c>
      <c r="D1940" s="1468" t="s">
        <v>743</v>
      </c>
      <c r="E1940" s="1468" t="s">
        <v>15</v>
      </c>
      <c r="F1940" s="1468"/>
      <c r="G1940" s="1540"/>
      <c r="H1940" s="1540">
        <v>1239846.615</v>
      </c>
      <c r="I1940" s="1540"/>
      <c r="J1940" s="1466">
        <f t="shared" si="78"/>
        <v>1239846.615</v>
      </c>
      <c r="K1940" s="1466"/>
      <c r="L1940" s="1466"/>
      <c r="M1940" s="1540">
        <f t="shared" si="79"/>
        <v>1239846.615</v>
      </c>
      <c r="N1940" s="1552"/>
      <c r="P1940" s="559"/>
    </row>
    <row r="1941" spans="1:16" s="540" customFormat="1" ht="14.25" customHeight="1">
      <c r="A1941" s="1551">
        <v>247</v>
      </c>
      <c r="B1941" s="1537" t="e">
        <f>VLOOKUP(D1941,'[2]DS CN MOI UP'!$B$11:$C$447,2,0)</f>
        <v>#N/A</v>
      </c>
      <c r="C1941" s="1538" t="s">
        <v>1586</v>
      </c>
      <c r="D1941" s="1468" t="s">
        <v>1466</v>
      </c>
      <c r="E1941" s="1468" t="s">
        <v>15</v>
      </c>
      <c r="F1941" s="1468"/>
      <c r="G1941" s="1540"/>
      <c r="H1941" s="1540">
        <v>1239846.615</v>
      </c>
      <c r="I1941" s="1540"/>
      <c r="J1941" s="1466">
        <f t="shared" si="78"/>
        <v>1239846.615</v>
      </c>
      <c r="K1941" s="1466"/>
      <c r="L1941" s="1466"/>
      <c r="M1941" s="1540">
        <f t="shared" si="79"/>
        <v>1239846.615</v>
      </c>
      <c r="N1941" s="1552"/>
      <c r="P1941" s="559"/>
    </row>
    <row r="1942" spans="1:16" s="540" customFormat="1" ht="14.25" customHeight="1">
      <c r="A1942" s="1551">
        <v>248</v>
      </c>
      <c r="B1942" s="1537" t="e">
        <f>VLOOKUP(D1942,'[2]DS CN MOI UP'!$B$11:$C$447,2,0)</f>
        <v>#N/A</v>
      </c>
      <c r="C1942" s="166" t="s">
        <v>1588</v>
      </c>
      <c r="D1942" s="1468" t="s">
        <v>745</v>
      </c>
      <c r="E1942" s="1468" t="s">
        <v>15</v>
      </c>
      <c r="F1942" s="1468"/>
      <c r="G1942" s="1540"/>
      <c r="H1942" s="1540">
        <v>1149145.3259999999</v>
      </c>
      <c r="I1942" s="1540"/>
      <c r="J1942" s="1466">
        <f t="shared" si="78"/>
        <v>1149145.3259999999</v>
      </c>
      <c r="K1942" s="1466"/>
      <c r="L1942" s="1466"/>
      <c r="M1942" s="1540">
        <f t="shared" si="79"/>
        <v>1149145.3259999999</v>
      </c>
      <c r="N1942" s="1552"/>
      <c r="P1942" s="559"/>
    </row>
    <row r="1943" spans="1:16" s="540" customFormat="1" ht="14.25" customHeight="1">
      <c r="A1943" s="1551">
        <v>249</v>
      </c>
      <c r="B1943" s="1537" t="e">
        <f>VLOOKUP(D1943,'[2]DS CN MOI UP'!$B$11:$C$447,2,0)</f>
        <v>#N/A</v>
      </c>
      <c r="C1943" s="1538" t="s">
        <v>1590</v>
      </c>
      <c r="D1943" s="1468" t="s">
        <v>1467</v>
      </c>
      <c r="E1943" s="1468" t="s">
        <v>15</v>
      </c>
      <c r="F1943" s="1468"/>
      <c r="G1943" s="1540"/>
      <c r="H1943" s="1540">
        <v>1229038.53819991</v>
      </c>
      <c r="I1943" s="1540"/>
      <c r="J1943" s="1466">
        <f t="shared" si="78"/>
        <v>1229038.53819991</v>
      </c>
      <c r="K1943" s="1466"/>
      <c r="L1943" s="1466"/>
      <c r="M1943" s="1540">
        <f t="shared" si="79"/>
        <v>1229038.53819991</v>
      </c>
      <c r="N1943" s="1552"/>
      <c r="P1943" s="559"/>
    </row>
    <row r="1944" spans="1:16" s="540" customFormat="1" ht="14.25" customHeight="1">
      <c r="A1944" s="1551">
        <v>250</v>
      </c>
      <c r="B1944" s="1537" t="e">
        <f>VLOOKUP(D1944,'[2]DS CN MOI UP'!$B$11:$C$447,2,0)</f>
        <v>#N/A</v>
      </c>
      <c r="C1944" s="1538" t="s">
        <v>1592</v>
      </c>
      <c r="D1944" s="1468" t="s">
        <v>747</v>
      </c>
      <c r="E1944" s="1468" t="s">
        <v>15</v>
      </c>
      <c r="F1944" s="1468"/>
      <c r="G1944" s="1540"/>
      <c r="H1944" s="1540">
        <v>1159179.5249999999</v>
      </c>
      <c r="I1944" s="1540"/>
      <c r="J1944" s="1466">
        <f t="shared" si="78"/>
        <v>1159179.5249999999</v>
      </c>
      <c r="K1944" s="1466"/>
      <c r="L1944" s="1466"/>
      <c r="M1944" s="1540">
        <f t="shared" si="79"/>
        <v>1159179.5249999999</v>
      </c>
      <c r="N1944" s="1552"/>
      <c r="P1944" s="559"/>
    </row>
    <row r="1945" spans="1:16" s="540" customFormat="1" ht="14.25" customHeight="1">
      <c r="A1945" s="1551">
        <v>251</v>
      </c>
      <c r="B1945" s="1537" t="e">
        <f>VLOOKUP(D1945,'[2]DS CN MOI UP'!$B$11:$C$447,2,0)</f>
        <v>#N/A</v>
      </c>
      <c r="C1945" s="1538" t="s">
        <v>1594</v>
      </c>
      <c r="D1945" s="1468" t="s">
        <v>746</v>
      </c>
      <c r="E1945" s="1468" t="s">
        <v>15</v>
      </c>
      <c r="F1945" s="1468"/>
      <c r="G1945" s="1466"/>
      <c r="H1945" s="1540">
        <v>1239846.615</v>
      </c>
      <c r="I1945" s="1540"/>
      <c r="J1945" s="1466">
        <f t="shared" si="78"/>
        <v>1239846.615</v>
      </c>
      <c r="K1945" s="1466"/>
      <c r="L1945" s="1466"/>
      <c r="M1945" s="1540">
        <f t="shared" si="79"/>
        <v>1239846.615</v>
      </c>
      <c r="N1945" s="1552"/>
      <c r="P1945" s="559"/>
    </row>
    <row r="1946" spans="1:16" s="540" customFormat="1" ht="14.25" customHeight="1">
      <c r="A1946" s="1551">
        <v>252</v>
      </c>
      <c r="B1946" s="1537" t="e">
        <f>VLOOKUP(D1946,'[2]DS CN MOI UP'!$B$11:$C$447,2,0)</f>
        <v>#N/A</v>
      </c>
      <c r="C1946" s="1538" t="s">
        <v>1595</v>
      </c>
      <c r="D1946" s="1468" t="s">
        <v>749</v>
      </c>
      <c r="E1946" s="1468" t="s">
        <v>15</v>
      </c>
      <c r="F1946" s="1468"/>
      <c r="G1946" s="1466"/>
      <c r="H1946" s="1540">
        <v>1149145.3259999999</v>
      </c>
      <c r="I1946" s="1540"/>
      <c r="J1946" s="1466">
        <f t="shared" si="78"/>
        <v>1149145.3259999999</v>
      </c>
      <c r="K1946" s="1466"/>
      <c r="L1946" s="1466"/>
      <c r="M1946" s="1540">
        <f t="shared" si="79"/>
        <v>1149145.3259999999</v>
      </c>
      <c r="N1946" s="1552"/>
      <c r="P1946" s="559"/>
    </row>
    <row r="1947" spans="1:16" s="540" customFormat="1" ht="14.25" customHeight="1">
      <c r="A1947" s="1551">
        <v>253</v>
      </c>
      <c r="B1947" s="1537" t="e">
        <f>VLOOKUP(D1947,'[2]DS CN MOI UP'!$B$11:$C$447,2,0)</f>
        <v>#N/A</v>
      </c>
      <c r="C1947" s="1538" t="s">
        <v>1597</v>
      </c>
      <c r="D1947" s="1468" t="s">
        <v>1468</v>
      </c>
      <c r="E1947" s="1468" t="s">
        <v>15</v>
      </c>
      <c r="F1947" s="1468"/>
      <c r="G1947" s="1466"/>
      <c r="H1947" s="1540">
        <v>1159179.5249999999</v>
      </c>
      <c r="I1947" s="1540"/>
      <c r="J1947" s="1466">
        <f t="shared" si="78"/>
        <v>1159179.5249999999</v>
      </c>
      <c r="K1947" s="1466"/>
      <c r="L1947" s="1466"/>
      <c r="M1947" s="1540">
        <f t="shared" si="79"/>
        <v>1159179.5249999999</v>
      </c>
      <c r="N1947" s="1552"/>
      <c r="P1947" s="559"/>
    </row>
    <row r="1948" spans="1:16" s="540" customFormat="1" ht="14.25" customHeight="1">
      <c r="A1948" s="1551">
        <v>254</v>
      </c>
      <c r="B1948" s="1537" t="e">
        <f>VLOOKUP(D1948,'[2]DS CN MOI UP'!$B$11:$C$447,2,0)</f>
        <v>#N/A</v>
      </c>
      <c r="C1948" s="1538" t="s">
        <v>1599</v>
      </c>
      <c r="D1948" s="1468" t="s">
        <v>751</v>
      </c>
      <c r="E1948" s="1468" t="s">
        <v>15</v>
      </c>
      <c r="F1948" s="1468"/>
      <c r="G1948" s="1466"/>
      <c r="H1948" s="1540">
        <v>1239846.615</v>
      </c>
      <c r="I1948" s="1540"/>
      <c r="J1948" s="1466">
        <f t="shared" si="78"/>
        <v>1239846.615</v>
      </c>
      <c r="K1948" s="1466"/>
      <c r="L1948" s="1466"/>
      <c r="M1948" s="1540">
        <f t="shared" si="79"/>
        <v>1239846.615</v>
      </c>
      <c r="N1948" s="1552"/>
      <c r="P1948" s="559"/>
    </row>
    <row r="1949" spans="1:16" s="540" customFormat="1" ht="14.25" customHeight="1">
      <c r="A1949" s="1551">
        <v>255</v>
      </c>
      <c r="B1949" s="1537" t="e">
        <f>VLOOKUP(D1949,'[2]DS CN MOI UP'!$B$11:$C$447,2,0)</f>
        <v>#N/A</v>
      </c>
      <c r="C1949" s="1538" t="s">
        <v>1601</v>
      </c>
      <c r="D1949" s="1468" t="s">
        <v>752</v>
      </c>
      <c r="E1949" s="1468" t="s">
        <v>15</v>
      </c>
      <c r="F1949" s="1468"/>
      <c r="G1949" s="1466"/>
      <c r="H1949" s="1540">
        <v>1149145.3259999999</v>
      </c>
      <c r="I1949" s="1540"/>
      <c r="J1949" s="1466">
        <f t="shared" si="78"/>
        <v>1149145.3259999999</v>
      </c>
      <c r="K1949" s="1466"/>
      <c r="L1949" s="1466"/>
      <c r="M1949" s="1540">
        <f t="shared" si="79"/>
        <v>1149145.3259999999</v>
      </c>
      <c r="N1949" s="1552"/>
      <c r="P1949" s="559"/>
    </row>
    <row r="1950" spans="1:16" s="540" customFormat="1" ht="14.25" customHeight="1">
      <c r="A1950" s="1551">
        <v>256</v>
      </c>
      <c r="B1950" s="1537" t="str">
        <f>VLOOKUP(D1950,'[2]DS CN MOI UP'!$B$11:$C$447,2,0)</f>
        <v>02605</v>
      </c>
      <c r="C1950" s="1538" t="s">
        <v>1603</v>
      </c>
      <c r="D1950" s="1468" t="s">
        <v>258</v>
      </c>
      <c r="E1950" s="1468" t="s">
        <v>15</v>
      </c>
      <c r="F1950" s="1468"/>
      <c r="G1950" s="1466"/>
      <c r="H1950" s="1540">
        <v>1229038.53819991</v>
      </c>
      <c r="I1950" s="1540"/>
      <c r="J1950" s="1466">
        <f t="shared" ref="J1950:J2032" si="80">SUM(G1950:I1950)</f>
        <v>1229038.53819991</v>
      </c>
      <c r="K1950" s="1466"/>
      <c r="L1950" s="1466"/>
      <c r="M1950" s="1540">
        <f t="shared" ref="M1950:M2032" si="81">J1950-L1950</f>
        <v>1229038.53819991</v>
      </c>
      <c r="N1950" s="1552"/>
      <c r="P1950" s="559"/>
    </row>
    <row r="1951" spans="1:16" s="540" customFormat="1" ht="14.25" customHeight="1">
      <c r="A1951" s="1551">
        <v>257</v>
      </c>
      <c r="B1951" s="1537" t="e">
        <f>VLOOKUP(D1951,'[2]DS CN MOI UP'!$B$11:$C$447,2,0)</f>
        <v>#N/A</v>
      </c>
      <c r="C1951" s="1538" t="s">
        <v>1605</v>
      </c>
      <c r="D1951" s="1468" t="s">
        <v>754</v>
      </c>
      <c r="E1951" s="1468" t="s">
        <v>15</v>
      </c>
      <c r="F1951" s="1468"/>
      <c r="G1951" s="1540"/>
      <c r="H1951" s="1540">
        <v>1159179.5249999999</v>
      </c>
      <c r="I1951" s="1540"/>
      <c r="J1951" s="1466">
        <f t="shared" si="80"/>
        <v>1159179.5249999999</v>
      </c>
      <c r="K1951" s="1466"/>
      <c r="L1951" s="1466"/>
      <c r="M1951" s="1540">
        <f t="shared" si="81"/>
        <v>1159179.5249999999</v>
      </c>
      <c r="N1951" s="1552"/>
      <c r="P1951" s="559"/>
    </row>
    <row r="1952" spans="1:16" s="540" customFormat="1" ht="14.25" customHeight="1">
      <c r="A1952" s="1551">
        <v>258</v>
      </c>
      <c r="B1952" s="1537" t="e">
        <f>VLOOKUP(D1952,'[2]DS CN MOI UP'!$B$11:$C$447,2,0)</f>
        <v>#N/A</v>
      </c>
      <c r="C1952" s="1538" t="s">
        <v>1607</v>
      </c>
      <c r="D1952" s="1468" t="s">
        <v>1469</v>
      </c>
      <c r="E1952" s="1468" t="s">
        <v>15</v>
      </c>
      <c r="F1952" s="1468"/>
      <c r="G1952" s="1540"/>
      <c r="H1952" s="1540">
        <v>1239846.615</v>
      </c>
      <c r="I1952" s="1540"/>
      <c r="J1952" s="1466">
        <f t="shared" si="80"/>
        <v>1239846.615</v>
      </c>
      <c r="K1952" s="1466"/>
      <c r="L1952" s="1466"/>
      <c r="M1952" s="1540">
        <f t="shared" si="81"/>
        <v>1239846.615</v>
      </c>
      <c r="N1952" s="1552"/>
      <c r="P1952" s="559"/>
    </row>
    <row r="1953" spans="1:16" s="540" customFormat="1" ht="14.25" customHeight="1">
      <c r="A1953" s="1551">
        <v>259</v>
      </c>
      <c r="B1953" s="1537" t="e">
        <f>VLOOKUP(D1953,'[2]DS CN MOI UP'!$B$11:$C$447,2,0)</f>
        <v>#N/A</v>
      </c>
      <c r="C1953" s="1538" t="s">
        <v>1609</v>
      </c>
      <c r="D1953" s="1468" t="s">
        <v>1470</v>
      </c>
      <c r="E1953" s="1468" t="s">
        <v>15</v>
      </c>
      <c r="F1953" s="1468"/>
      <c r="G1953" s="1540"/>
      <c r="H1953" s="1540">
        <v>1149145.3259999999</v>
      </c>
      <c r="I1953" s="1540"/>
      <c r="J1953" s="1466">
        <f t="shared" si="80"/>
        <v>1149145.3259999999</v>
      </c>
      <c r="K1953" s="1466"/>
      <c r="L1953" s="1466"/>
      <c r="M1953" s="1540">
        <f t="shared" si="81"/>
        <v>1149145.3259999999</v>
      </c>
      <c r="N1953" s="1552"/>
      <c r="P1953" s="559"/>
    </row>
    <row r="1954" spans="1:16" s="540" customFormat="1" ht="14.25" customHeight="1">
      <c r="A1954" s="1551">
        <v>260</v>
      </c>
      <c r="B1954" s="1537" t="e">
        <f>VLOOKUP(D1954,'[2]DS CN MOI UP'!$B$11:$C$447,2,0)</f>
        <v>#N/A</v>
      </c>
      <c r="C1954" s="1538" t="s">
        <v>1611</v>
      </c>
      <c r="D1954" s="1468" t="s">
        <v>1471</v>
      </c>
      <c r="E1954" s="1468" t="s">
        <v>15</v>
      </c>
      <c r="F1954" s="1468"/>
      <c r="G1954" s="1540"/>
      <c r="H1954" s="1540">
        <v>1229038.53819991</v>
      </c>
      <c r="I1954" s="1540"/>
      <c r="J1954" s="1466">
        <f t="shared" si="80"/>
        <v>1229038.53819991</v>
      </c>
      <c r="K1954" s="1466"/>
      <c r="L1954" s="1466"/>
      <c r="M1954" s="1540">
        <f t="shared" si="81"/>
        <v>1229038.53819991</v>
      </c>
      <c r="N1954" s="1552"/>
      <c r="P1954" s="559"/>
    </row>
    <row r="1955" spans="1:16" s="540" customFormat="1" ht="14.25" customHeight="1">
      <c r="A1955" s="1551">
        <v>261</v>
      </c>
      <c r="B1955" s="1537" t="e">
        <f>VLOOKUP(D1955,'[2]DS CN MOI UP'!$B$11:$C$447,2,0)</f>
        <v>#N/A</v>
      </c>
      <c r="C1955" s="1538" t="s">
        <v>1612</v>
      </c>
      <c r="D1955" s="1468" t="s">
        <v>1472</v>
      </c>
      <c r="E1955" s="1468" t="s">
        <v>15</v>
      </c>
      <c r="F1955" s="1468"/>
      <c r="G1955" s="1540"/>
      <c r="H1955" s="1540">
        <v>1159179.5249999999</v>
      </c>
      <c r="I1955" s="1540"/>
      <c r="J1955" s="1466">
        <f t="shared" si="80"/>
        <v>1159179.5249999999</v>
      </c>
      <c r="K1955" s="1466"/>
      <c r="L1955" s="1466"/>
      <c r="M1955" s="1540">
        <f t="shared" si="81"/>
        <v>1159179.5249999999</v>
      </c>
      <c r="N1955" s="1552"/>
      <c r="P1955" s="559"/>
    </row>
    <row r="1956" spans="1:16" s="540" customFormat="1" ht="14.25" customHeight="1">
      <c r="A1956" s="1551">
        <v>262</v>
      </c>
      <c r="B1956" s="1537" t="e">
        <f>VLOOKUP(D1956,'[2]DS CN MOI UP'!$B$11:$C$447,2,0)</f>
        <v>#N/A</v>
      </c>
      <c r="C1956" s="1538" t="s">
        <v>1614</v>
      </c>
      <c r="D1956" s="1468" t="s">
        <v>1473</v>
      </c>
      <c r="E1956" s="1468" t="s">
        <v>15</v>
      </c>
      <c r="F1956" s="1468"/>
      <c r="G1956" s="1540"/>
      <c r="H1956" s="1540">
        <v>1239846.615</v>
      </c>
      <c r="I1956" s="1540"/>
      <c r="J1956" s="1466">
        <f t="shared" si="80"/>
        <v>1239846.615</v>
      </c>
      <c r="K1956" s="1466"/>
      <c r="L1956" s="1466"/>
      <c r="M1956" s="1540">
        <f t="shared" si="81"/>
        <v>1239846.615</v>
      </c>
      <c r="N1956" s="1552"/>
      <c r="P1956" s="559"/>
    </row>
    <row r="1957" spans="1:16" s="540" customFormat="1" ht="14.25" customHeight="1">
      <c r="A1957" s="1551">
        <v>263</v>
      </c>
      <c r="B1957" s="1537" t="e">
        <f>VLOOKUP(D1957,'[2]DS CN MOI UP'!$B$11:$C$447,2,0)</f>
        <v>#N/A</v>
      </c>
      <c r="C1957" s="1538" t="s">
        <v>1616</v>
      </c>
      <c r="D1957" s="1468" t="s">
        <v>1474</v>
      </c>
      <c r="E1957" s="1468" t="s">
        <v>15</v>
      </c>
      <c r="F1957" s="1468"/>
      <c r="G1957" s="1540"/>
      <c r="H1957" s="1540">
        <v>1149145.3259999999</v>
      </c>
      <c r="I1957" s="1540"/>
      <c r="J1957" s="1466">
        <f t="shared" si="80"/>
        <v>1149145.3259999999</v>
      </c>
      <c r="K1957" s="1466"/>
      <c r="L1957" s="1466"/>
      <c r="M1957" s="1540">
        <f t="shared" si="81"/>
        <v>1149145.3259999999</v>
      </c>
      <c r="N1957" s="1552"/>
      <c r="P1957" s="559"/>
    </row>
    <row r="1958" spans="1:16" s="540" customFormat="1" ht="14.25" customHeight="1">
      <c r="A1958" s="1551">
        <v>264</v>
      </c>
      <c r="B1958" s="1537" t="e">
        <f>VLOOKUP(D1958,'[2]DS CN MOI UP'!$B$11:$C$447,2,0)</f>
        <v>#N/A</v>
      </c>
      <c r="C1958" s="1538" t="s">
        <v>1618</v>
      </c>
      <c r="D1958" s="1468" t="s">
        <v>1475</v>
      </c>
      <c r="E1958" s="1468" t="s">
        <v>15</v>
      </c>
      <c r="F1958" s="1468"/>
      <c r="G1958" s="1540"/>
      <c r="H1958" s="1540">
        <v>1159179.5249999999</v>
      </c>
      <c r="I1958" s="1540"/>
      <c r="J1958" s="1466">
        <f t="shared" si="80"/>
        <v>1159179.5249999999</v>
      </c>
      <c r="K1958" s="1466"/>
      <c r="L1958" s="1466"/>
      <c r="M1958" s="1540">
        <f t="shared" si="81"/>
        <v>1159179.5249999999</v>
      </c>
      <c r="N1958" s="1552"/>
      <c r="P1958" s="559"/>
    </row>
    <row r="1959" spans="1:16" s="540" customFormat="1" ht="14.25" customHeight="1">
      <c r="A1959" s="1551">
        <v>265</v>
      </c>
      <c r="B1959" s="1537" t="e">
        <f>VLOOKUP(D1959,'[2]DS CN MOI UP'!$B$11:$C$447,2,0)</f>
        <v>#N/A</v>
      </c>
      <c r="C1959" s="1538" t="s">
        <v>1620</v>
      </c>
      <c r="D1959" s="1468" t="s">
        <v>1476</v>
      </c>
      <c r="E1959" s="1468" t="s">
        <v>15</v>
      </c>
      <c r="F1959" s="1468"/>
      <c r="G1959" s="1466"/>
      <c r="H1959" s="1540">
        <v>1239846.615</v>
      </c>
      <c r="I1959" s="1540"/>
      <c r="J1959" s="1466">
        <f t="shared" si="80"/>
        <v>1239846.615</v>
      </c>
      <c r="K1959" s="1466"/>
      <c r="L1959" s="1466"/>
      <c r="M1959" s="1540">
        <f t="shared" si="81"/>
        <v>1239846.615</v>
      </c>
      <c r="N1959" s="1552"/>
      <c r="P1959" s="559"/>
    </row>
    <row r="1960" spans="1:16" s="540" customFormat="1" ht="14.25" customHeight="1">
      <c r="A1960" s="1551">
        <v>266</v>
      </c>
      <c r="B1960" s="1537" t="e">
        <f>VLOOKUP(D1960,'[2]DS CN MOI UP'!$B$11:$C$447,2,0)</f>
        <v>#N/A</v>
      </c>
      <c r="C1960" s="1538" t="s">
        <v>1622</v>
      </c>
      <c r="D1960" s="1468" t="s">
        <v>1477</v>
      </c>
      <c r="E1960" s="1468" t="s">
        <v>15</v>
      </c>
      <c r="F1960" s="1468"/>
      <c r="G1960" s="1466"/>
      <c r="H1960" s="1540">
        <v>1149145.3259999999</v>
      </c>
      <c r="I1960" s="1540"/>
      <c r="J1960" s="1466">
        <f t="shared" si="80"/>
        <v>1149145.3259999999</v>
      </c>
      <c r="K1960" s="1466"/>
      <c r="L1960" s="1466"/>
      <c r="M1960" s="1540">
        <f t="shared" si="81"/>
        <v>1149145.3259999999</v>
      </c>
      <c r="N1960" s="1552"/>
      <c r="P1960" s="559"/>
    </row>
    <row r="1961" spans="1:16" s="540" customFormat="1" ht="14.25" customHeight="1">
      <c r="A1961" s="1551">
        <v>267</v>
      </c>
      <c r="B1961" s="1537" t="e">
        <f>VLOOKUP(D1961,'[2]DS CN MOI UP'!$B$11:$C$447,2,0)</f>
        <v>#N/A</v>
      </c>
      <c r="C1961" s="1538" t="s">
        <v>1624</v>
      </c>
      <c r="D1961" s="1468" t="s">
        <v>1478</v>
      </c>
      <c r="E1961" s="1468" t="s">
        <v>15</v>
      </c>
      <c r="F1961" s="1468"/>
      <c r="G1961" s="1466"/>
      <c r="H1961" s="1540">
        <v>1229038.53819991</v>
      </c>
      <c r="I1961" s="1540"/>
      <c r="J1961" s="1466">
        <f t="shared" si="80"/>
        <v>1229038.53819991</v>
      </c>
      <c r="K1961" s="1466"/>
      <c r="L1961" s="1466"/>
      <c r="M1961" s="1540">
        <f t="shared" si="81"/>
        <v>1229038.53819991</v>
      </c>
      <c r="N1961" s="1552"/>
      <c r="P1961" s="559"/>
    </row>
    <row r="1962" spans="1:16" s="1531" customFormat="1" ht="14.25" customHeight="1">
      <c r="A1962" s="1551">
        <v>268</v>
      </c>
      <c r="B1962" s="1537" t="e">
        <f>VLOOKUP(D1962,'[2]DS CN MOI UP'!$B$11:$C$447,2,0)</f>
        <v>#N/A</v>
      </c>
      <c r="C1962" s="1538" t="s">
        <v>1625</v>
      </c>
      <c r="D1962" s="1468" t="s">
        <v>1479</v>
      </c>
      <c r="E1962" s="1468" t="s">
        <v>15</v>
      </c>
      <c r="F1962" s="1468"/>
      <c r="G1962" s="1466"/>
      <c r="H1962" s="1540">
        <v>1159179.5249999999</v>
      </c>
      <c r="I1962" s="1540"/>
      <c r="J1962" s="1466">
        <f t="shared" si="80"/>
        <v>1159179.5249999999</v>
      </c>
      <c r="K1962" s="1466"/>
      <c r="L1962" s="1466"/>
      <c r="M1962" s="1540">
        <f t="shared" si="81"/>
        <v>1159179.5249999999</v>
      </c>
      <c r="N1962" s="1552"/>
      <c r="O1962" s="1553"/>
      <c r="P1962" s="559"/>
    </row>
    <row r="1963" spans="1:16" s="1531" customFormat="1" ht="14.25" customHeight="1">
      <c r="A1963" s="1551">
        <v>269</v>
      </c>
      <c r="B1963" s="1537" t="e">
        <f>VLOOKUP(D1963,'[2]DS CN MOI UP'!$B$11:$C$447,2,0)</f>
        <v>#N/A</v>
      </c>
      <c r="C1963" s="1538" t="s">
        <v>1627</v>
      </c>
      <c r="D1963" s="1468" t="s">
        <v>1480</v>
      </c>
      <c r="E1963" s="1468" t="s">
        <v>15</v>
      </c>
      <c r="F1963" s="1468"/>
      <c r="G1963" s="1466"/>
      <c r="H1963" s="1540">
        <v>1239846.615</v>
      </c>
      <c r="I1963" s="1540"/>
      <c r="J1963" s="1466">
        <f t="shared" si="80"/>
        <v>1239846.615</v>
      </c>
      <c r="K1963" s="1466"/>
      <c r="L1963" s="1466"/>
      <c r="M1963" s="1540">
        <f t="shared" si="81"/>
        <v>1239846.615</v>
      </c>
      <c r="N1963" s="1552"/>
      <c r="O1963" s="1553"/>
      <c r="P1963" s="559"/>
    </row>
    <row r="1964" spans="1:16" s="1531" customFormat="1" ht="14.25" customHeight="1">
      <c r="A1964" s="1551">
        <v>270</v>
      </c>
      <c r="B1964" s="1537" t="e">
        <f>VLOOKUP(D1964,'[2]DS CN MOI UP'!$B$11:$C$447,2,0)</f>
        <v>#N/A</v>
      </c>
      <c r="C1964" s="1538" t="s">
        <v>1628</v>
      </c>
      <c r="D1964" s="1468" t="s">
        <v>1481</v>
      </c>
      <c r="E1964" s="1468" t="s">
        <v>15</v>
      </c>
      <c r="F1964" s="1468"/>
      <c r="G1964" s="1466"/>
      <c r="H1964" s="1540">
        <v>1159179.5249999999</v>
      </c>
      <c r="I1964" s="1540"/>
      <c r="J1964" s="1466">
        <f t="shared" si="80"/>
        <v>1159179.5249999999</v>
      </c>
      <c r="K1964" s="1466"/>
      <c r="L1964" s="1466"/>
      <c r="M1964" s="1540">
        <f t="shared" si="81"/>
        <v>1159179.5249999999</v>
      </c>
      <c r="N1964" s="1552"/>
      <c r="O1964" s="1553"/>
      <c r="P1964" s="559"/>
    </row>
    <row r="1965" spans="1:16" s="1531" customFormat="1" ht="14.25" customHeight="1">
      <c r="A1965" s="1551">
        <v>271</v>
      </c>
      <c r="B1965" s="1537" t="e">
        <f>VLOOKUP(D1965,'[2]DS CN MOI UP'!$B$11:$C$447,2,0)</f>
        <v>#N/A</v>
      </c>
      <c r="C1965" s="1538" t="s">
        <v>1628</v>
      </c>
      <c r="D1965" s="1468" t="s">
        <v>1482</v>
      </c>
      <c r="E1965" s="1468" t="s">
        <v>15</v>
      </c>
      <c r="F1965" s="1468"/>
      <c r="G1965" s="1540"/>
      <c r="H1965" s="1540">
        <v>1239846.615</v>
      </c>
      <c r="I1965" s="1540"/>
      <c r="J1965" s="1466">
        <f t="shared" si="80"/>
        <v>1239846.615</v>
      </c>
      <c r="K1965" s="1466"/>
      <c r="L1965" s="1466"/>
      <c r="M1965" s="1540">
        <f t="shared" si="81"/>
        <v>1239846.615</v>
      </c>
      <c r="N1965" s="1552"/>
      <c r="O1965" s="1553"/>
      <c r="P1965" s="559"/>
    </row>
    <row r="1966" spans="1:16" s="1531" customFormat="1" ht="14.25" customHeight="1">
      <c r="A1966" s="1551">
        <v>272</v>
      </c>
      <c r="B1966" s="1537" t="e">
        <f>VLOOKUP(D1966,'[2]DS CN MOI UP'!$B$11:$C$447,2,0)</f>
        <v>#N/A</v>
      </c>
      <c r="C1966" s="1538" t="s">
        <v>1628</v>
      </c>
      <c r="D1966" s="1468" t="s">
        <v>1483</v>
      </c>
      <c r="E1966" s="1468" t="s">
        <v>15</v>
      </c>
      <c r="F1966" s="1468"/>
      <c r="G1966" s="1540"/>
      <c r="H1966" s="1540">
        <v>1239846.615</v>
      </c>
      <c r="I1966" s="1540"/>
      <c r="J1966" s="1466">
        <f t="shared" si="80"/>
        <v>1239846.615</v>
      </c>
      <c r="K1966" s="1466"/>
      <c r="L1966" s="1466"/>
      <c r="M1966" s="1540">
        <f t="shared" si="81"/>
        <v>1239846.615</v>
      </c>
      <c r="N1966" s="1552"/>
      <c r="O1966" s="1553"/>
      <c r="P1966" s="559"/>
    </row>
    <row r="1967" spans="1:16" s="1531" customFormat="1" ht="14.25" customHeight="1">
      <c r="A1967" s="1551">
        <v>273</v>
      </c>
      <c r="B1967" s="1537" t="e">
        <f>VLOOKUP(D1967,'[2]DS CN MOI UP'!$B$11:$C$447,2,0)</f>
        <v>#N/A</v>
      </c>
      <c r="C1967" s="1538" t="s">
        <v>1628</v>
      </c>
      <c r="D1967" s="1468" t="s">
        <v>1484</v>
      </c>
      <c r="E1967" s="1468" t="s">
        <v>15</v>
      </c>
      <c r="F1967" s="1468"/>
      <c r="G1967" s="1540"/>
      <c r="H1967" s="1540">
        <v>1149145.3259999999</v>
      </c>
      <c r="I1967" s="1540"/>
      <c r="J1967" s="1466">
        <f t="shared" si="80"/>
        <v>1149145.3259999999</v>
      </c>
      <c r="K1967" s="1466"/>
      <c r="L1967" s="1466"/>
      <c r="M1967" s="1540">
        <f t="shared" si="81"/>
        <v>1149145.3259999999</v>
      </c>
      <c r="N1967" s="1552"/>
      <c r="O1967" s="1553"/>
      <c r="P1967" s="559"/>
    </row>
    <row r="1968" spans="1:16" s="1531" customFormat="1" ht="14.25" customHeight="1">
      <c r="A1968" s="1551">
        <v>274</v>
      </c>
      <c r="B1968" s="1537" t="e">
        <f>VLOOKUP(D1968,'[2]DS CN MOI UP'!$B$11:$C$447,2,0)</f>
        <v>#N/A</v>
      </c>
      <c r="C1968" s="1538" t="s">
        <v>1628</v>
      </c>
      <c r="D1968" s="1468" t="s">
        <v>1485</v>
      </c>
      <c r="E1968" s="1468" t="s">
        <v>15</v>
      </c>
      <c r="F1968" s="1468"/>
      <c r="G1968" s="1540"/>
      <c r="H1968" s="1540">
        <v>1229038.53819991</v>
      </c>
      <c r="I1968" s="1540"/>
      <c r="J1968" s="1466">
        <f t="shared" si="80"/>
        <v>1229038.53819991</v>
      </c>
      <c r="K1968" s="1466"/>
      <c r="L1968" s="1466"/>
      <c r="M1968" s="1540">
        <f t="shared" si="81"/>
        <v>1229038.53819991</v>
      </c>
      <c r="N1968" s="1552"/>
      <c r="O1968" s="1553"/>
      <c r="P1968" s="559"/>
    </row>
    <row r="1969" spans="1:16" s="1531" customFormat="1" ht="14.25" customHeight="1">
      <c r="A1969" s="1551">
        <v>275</v>
      </c>
      <c r="B1969" s="1537" t="e">
        <f>VLOOKUP(D1969,'[2]DS CN MOI UP'!$B$11:$C$447,2,0)</f>
        <v>#N/A</v>
      </c>
      <c r="C1969" s="1538" t="s">
        <v>1628</v>
      </c>
      <c r="D1969" s="1468" t="s">
        <v>1486</v>
      </c>
      <c r="E1969" s="1468" t="s">
        <v>15</v>
      </c>
      <c r="F1969" s="1468"/>
      <c r="G1969" s="1540"/>
      <c r="H1969" s="1540">
        <v>1159179.5249999999</v>
      </c>
      <c r="I1969" s="1540"/>
      <c r="J1969" s="1466">
        <f t="shared" si="80"/>
        <v>1159179.5249999999</v>
      </c>
      <c r="K1969" s="1466"/>
      <c r="L1969" s="1466"/>
      <c r="M1969" s="1540">
        <f t="shared" si="81"/>
        <v>1159179.5249999999</v>
      </c>
      <c r="N1969" s="1552"/>
      <c r="O1969" s="1553"/>
      <c r="P1969" s="559"/>
    </row>
    <row r="1970" spans="1:16" s="1531" customFormat="1" ht="14.25" customHeight="1">
      <c r="A1970" s="1551">
        <v>276</v>
      </c>
      <c r="B1970" s="1537" t="e">
        <f>VLOOKUP(D1970,'[2]DS CN MOI UP'!$B$11:$C$447,2,0)</f>
        <v>#N/A</v>
      </c>
      <c r="C1970" s="1538" t="s">
        <v>1628</v>
      </c>
      <c r="D1970" s="1468" t="s">
        <v>1487</v>
      </c>
      <c r="E1970" s="1468" t="s">
        <v>15</v>
      </c>
      <c r="F1970" s="1468"/>
      <c r="G1970" s="1540"/>
      <c r="H1970" s="1540">
        <v>1239846.615</v>
      </c>
      <c r="I1970" s="1540"/>
      <c r="J1970" s="1466">
        <f t="shared" si="80"/>
        <v>1239846.615</v>
      </c>
      <c r="K1970" s="1466"/>
      <c r="L1970" s="1466"/>
      <c r="M1970" s="1540">
        <f t="shared" si="81"/>
        <v>1239846.615</v>
      </c>
      <c r="N1970" s="1552"/>
      <c r="O1970" s="1553"/>
      <c r="P1970" s="559"/>
    </row>
    <row r="1971" spans="1:16" s="1531" customFormat="1" ht="14.25" customHeight="1">
      <c r="A1971" s="1551">
        <v>277</v>
      </c>
      <c r="B1971" s="1537" t="e">
        <f>VLOOKUP(D1971,'[2]DS CN MOI UP'!$B$11:$C$447,2,0)</f>
        <v>#N/A</v>
      </c>
      <c r="C1971" s="1538" t="s">
        <v>1628</v>
      </c>
      <c r="D1971" s="1468" t="s">
        <v>1489</v>
      </c>
      <c r="E1971" s="1468" t="s">
        <v>15</v>
      </c>
      <c r="F1971" s="1468"/>
      <c r="G1971" s="1540"/>
      <c r="H1971" s="1540">
        <v>1149145.3259999999</v>
      </c>
      <c r="I1971" s="1540"/>
      <c r="J1971" s="1466">
        <f t="shared" si="80"/>
        <v>1149145.3259999999</v>
      </c>
      <c r="K1971" s="1466"/>
      <c r="L1971" s="1466"/>
      <c r="M1971" s="1540">
        <f t="shared" si="81"/>
        <v>1149145.3259999999</v>
      </c>
      <c r="N1971" s="1552"/>
      <c r="O1971" s="1553"/>
      <c r="P1971" s="559"/>
    </row>
    <row r="1972" spans="1:16" s="1531" customFormat="1" ht="14.25" customHeight="1">
      <c r="A1972" s="1551">
        <v>278</v>
      </c>
      <c r="B1972" s="1537" t="e">
        <f>VLOOKUP(D1972,'[2]DS CN MOI UP'!$B$11:$C$447,2,0)</f>
        <v>#N/A</v>
      </c>
      <c r="C1972" s="1538" t="s">
        <v>1628</v>
      </c>
      <c r="D1972" s="1468" t="s">
        <v>1490</v>
      </c>
      <c r="E1972" s="1468" t="s">
        <v>15</v>
      </c>
      <c r="F1972" s="1468"/>
      <c r="G1972" s="1540"/>
      <c r="H1972" s="1540">
        <v>1159179.5249999999</v>
      </c>
      <c r="I1972" s="1540"/>
      <c r="J1972" s="1466">
        <f t="shared" si="80"/>
        <v>1159179.5249999999</v>
      </c>
      <c r="K1972" s="1466"/>
      <c r="L1972" s="1466"/>
      <c r="M1972" s="1540">
        <f t="shared" si="81"/>
        <v>1159179.5249999999</v>
      </c>
      <c r="N1972" s="1552"/>
      <c r="O1972" s="1553"/>
      <c r="P1972" s="559"/>
    </row>
    <row r="1973" spans="1:16" s="1531" customFormat="1" ht="14.25" customHeight="1">
      <c r="A1973" s="1551">
        <v>279</v>
      </c>
      <c r="B1973" s="1537" t="e">
        <f>VLOOKUP(D1973,'[2]DS CN MOI UP'!$B$11:$C$447,2,0)</f>
        <v>#N/A</v>
      </c>
      <c r="C1973" s="1538" t="s">
        <v>1628</v>
      </c>
      <c r="D1973" s="1468" t="s">
        <v>1491</v>
      </c>
      <c r="E1973" s="1468" t="s">
        <v>15</v>
      </c>
      <c r="F1973" s="1468"/>
      <c r="G1973" s="1466"/>
      <c r="H1973" s="1540">
        <v>1239846.615</v>
      </c>
      <c r="I1973" s="1540"/>
      <c r="J1973" s="1466">
        <f t="shared" si="80"/>
        <v>1239846.615</v>
      </c>
      <c r="K1973" s="1466"/>
      <c r="L1973" s="1466"/>
      <c r="M1973" s="1540">
        <f t="shared" si="81"/>
        <v>1239846.615</v>
      </c>
      <c r="N1973" s="1552"/>
      <c r="O1973" s="1553"/>
      <c r="P1973" s="559"/>
    </row>
    <row r="1974" spans="1:16" s="1531" customFormat="1" ht="14.25" customHeight="1">
      <c r="A1974" s="1551">
        <v>280</v>
      </c>
      <c r="B1974" s="1537" t="e">
        <f>VLOOKUP(D1974,'[2]DS CN MOI UP'!$B$11:$C$447,2,0)</f>
        <v>#N/A</v>
      </c>
      <c r="C1974" s="1538" t="s">
        <v>1628</v>
      </c>
      <c r="D1974" s="1468" t="s">
        <v>1492</v>
      </c>
      <c r="E1974" s="1468" t="s">
        <v>15</v>
      </c>
      <c r="F1974" s="1468"/>
      <c r="G1974" s="1466"/>
      <c r="H1974" s="1540">
        <v>1149145.3259999999</v>
      </c>
      <c r="I1974" s="1540"/>
      <c r="J1974" s="1466">
        <f t="shared" si="80"/>
        <v>1149145.3259999999</v>
      </c>
      <c r="K1974" s="1466"/>
      <c r="L1974" s="1466"/>
      <c r="M1974" s="1540">
        <f t="shared" si="81"/>
        <v>1149145.3259999999</v>
      </c>
      <c r="N1974" s="1552"/>
      <c r="O1974" s="1553"/>
      <c r="P1974" s="559"/>
    </row>
    <row r="1975" spans="1:16" s="1531" customFormat="1" ht="14.25" customHeight="1">
      <c r="A1975" s="1551">
        <v>281</v>
      </c>
      <c r="B1975" s="1537" t="e">
        <f>VLOOKUP(D1975,'[2]DS CN MOI UP'!$B$11:$C$447,2,0)</f>
        <v>#N/A</v>
      </c>
      <c r="C1975" s="1538" t="s">
        <v>1628</v>
      </c>
      <c r="D1975" s="1468" t="s">
        <v>1493</v>
      </c>
      <c r="E1975" s="1468" t="s">
        <v>15</v>
      </c>
      <c r="F1975" s="1468"/>
      <c r="G1975" s="1466"/>
      <c r="H1975" s="1540">
        <v>1229038.53819991</v>
      </c>
      <c r="I1975" s="1540"/>
      <c r="J1975" s="1466">
        <f t="shared" si="80"/>
        <v>1229038.53819991</v>
      </c>
      <c r="K1975" s="1466"/>
      <c r="L1975" s="1466"/>
      <c r="M1975" s="1540">
        <f t="shared" si="81"/>
        <v>1229038.53819991</v>
      </c>
      <c r="N1975" s="1552"/>
      <c r="O1975" s="1553"/>
      <c r="P1975" s="559"/>
    </row>
    <row r="1976" spans="1:16" s="1531" customFormat="1" ht="14.25" customHeight="1">
      <c r="A1976" s="1551">
        <v>282</v>
      </c>
      <c r="B1976" s="1537" t="e">
        <f>VLOOKUP(D1976,'[2]DS CN MOI UP'!$B$11:$C$447,2,0)</f>
        <v>#N/A</v>
      </c>
      <c r="C1976" s="1538" t="s">
        <v>1628</v>
      </c>
      <c r="D1976" s="1468" t="s">
        <v>1494</v>
      </c>
      <c r="E1976" s="1468" t="s">
        <v>15</v>
      </c>
      <c r="F1976" s="1468"/>
      <c r="G1976" s="1466"/>
      <c r="H1976" s="1540">
        <v>1159179.5249999999</v>
      </c>
      <c r="I1976" s="1540"/>
      <c r="J1976" s="1466">
        <f t="shared" si="80"/>
        <v>1159179.5249999999</v>
      </c>
      <c r="K1976" s="1466"/>
      <c r="L1976" s="1466"/>
      <c r="M1976" s="1540">
        <f t="shared" si="81"/>
        <v>1159179.5249999999</v>
      </c>
      <c r="N1976" s="1552"/>
      <c r="O1976" s="1553"/>
      <c r="P1976" s="559"/>
    </row>
    <row r="1977" spans="1:16" s="1531" customFormat="1" ht="14.25" customHeight="1">
      <c r="A1977" s="1551">
        <v>283</v>
      </c>
      <c r="B1977" s="1537" t="e">
        <f>VLOOKUP(D1977,'[2]DS CN MOI UP'!$B$11:$C$447,2,0)</f>
        <v>#N/A</v>
      </c>
      <c r="C1977" s="1538" t="s">
        <v>1628</v>
      </c>
      <c r="D1977" s="1468" t="s">
        <v>1495</v>
      </c>
      <c r="E1977" s="1468" t="s">
        <v>15</v>
      </c>
      <c r="F1977" s="1468"/>
      <c r="G1977" s="1466"/>
      <c r="H1977" s="1540">
        <v>1239846.615</v>
      </c>
      <c r="I1977" s="1540"/>
      <c r="J1977" s="1466">
        <f t="shared" si="80"/>
        <v>1239846.615</v>
      </c>
      <c r="K1977" s="1466"/>
      <c r="L1977" s="1466"/>
      <c r="M1977" s="1540">
        <f t="shared" si="81"/>
        <v>1239846.615</v>
      </c>
      <c r="N1977" s="1552"/>
      <c r="O1977" s="1553"/>
      <c r="P1977" s="559"/>
    </row>
    <row r="1978" spans="1:16" s="1531" customFormat="1" ht="14.25" customHeight="1">
      <c r="A1978" s="1551">
        <v>284</v>
      </c>
      <c r="B1978" s="1537" t="e">
        <f>VLOOKUP(D1978,'[2]DS CN MOI UP'!$B$11:$C$447,2,0)</f>
        <v>#N/A</v>
      </c>
      <c r="C1978" s="1538" t="s">
        <v>1628</v>
      </c>
      <c r="D1978" s="1468" t="s">
        <v>1496</v>
      </c>
      <c r="E1978" s="1468" t="s">
        <v>15</v>
      </c>
      <c r="F1978" s="1468"/>
      <c r="G1978" s="1466"/>
      <c r="H1978" s="1540">
        <v>1149145.3259999999</v>
      </c>
      <c r="I1978" s="1540"/>
      <c r="J1978" s="1466">
        <f t="shared" si="80"/>
        <v>1149145.3259999999</v>
      </c>
      <c r="K1978" s="1466"/>
      <c r="L1978" s="1466"/>
      <c r="M1978" s="1540">
        <f t="shared" si="81"/>
        <v>1149145.3259999999</v>
      </c>
      <c r="N1978" s="1552"/>
      <c r="O1978" s="1553"/>
      <c r="P1978" s="559"/>
    </row>
    <row r="1979" spans="1:16" s="1531" customFormat="1" ht="14.25" customHeight="1">
      <c r="A1979" s="1551">
        <v>285</v>
      </c>
      <c r="B1979" s="1537" t="e">
        <f>VLOOKUP(D1979,'[2]DS CN MOI UP'!$B$11:$C$447,2,0)</f>
        <v>#N/A</v>
      </c>
      <c r="C1979" s="1538" t="s">
        <v>1628</v>
      </c>
      <c r="D1979" s="1468" t="s">
        <v>1497</v>
      </c>
      <c r="E1979" s="1468" t="s">
        <v>15</v>
      </c>
      <c r="F1979" s="1468"/>
      <c r="G1979" s="1540"/>
      <c r="H1979" s="1540">
        <v>1229038.53819991</v>
      </c>
      <c r="I1979" s="1540"/>
      <c r="J1979" s="1466">
        <f t="shared" si="80"/>
        <v>1229038.53819991</v>
      </c>
      <c r="K1979" s="1466"/>
      <c r="L1979" s="1466"/>
      <c r="M1979" s="1540">
        <f t="shared" si="81"/>
        <v>1229038.53819991</v>
      </c>
      <c r="N1979" s="1552"/>
      <c r="O1979" s="1553"/>
      <c r="P1979" s="559"/>
    </row>
    <row r="1980" spans="1:16" s="1531" customFormat="1" ht="14.25" customHeight="1">
      <c r="A1980" s="1551">
        <v>286</v>
      </c>
      <c r="B1980" s="1537" t="e">
        <f>VLOOKUP(D1980,'[2]DS CN MOI UP'!$B$11:$C$447,2,0)</f>
        <v>#N/A</v>
      </c>
      <c r="C1980" s="1538" t="s">
        <v>1628</v>
      </c>
      <c r="D1980" s="1468" t="s">
        <v>1498</v>
      </c>
      <c r="E1980" s="1468" t="s">
        <v>15</v>
      </c>
      <c r="F1980" s="1468"/>
      <c r="G1980" s="1540"/>
      <c r="H1980" s="1540">
        <v>1159179.5249999999</v>
      </c>
      <c r="I1980" s="1540"/>
      <c r="J1980" s="1466">
        <f t="shared" si="80"/>
        <v>1159179.5249999999</v>
      </c>
      <c r="K1980" s="1466"/>
      <c r="L1980" s="1466"/>
      <c r="M1980" s="1540">
        <f t="shared" si="81"/>
        <v>1159179.5249999999</v>
      </c>
      <c r="N1980" s="1552"/>
      <c r="O1980" s="1553"/>
      <c r="P1980" s="559"/>
    </row>
    <row r="1981" spans="1:16" s="1531" customFormat="1" ht="14.25" customHeight="1">
      <c r="A1981" s="1551">
        <v>287</v>
      </c>
      <c r="B1981" s="1537" t="e">
        <f>VLOOKUP(D1981,'[2]DS CN MOI UP'!$B$11:$C$447,2,0)</f>
        <v>#N/A</v>
      </c>
      <c r="C1981" s="1538" t="s">
        <v>1628</v>
      </c>
      <c r="D1981" s="1468" t="s">
        <v>1499</v>
      </c>
      <c r="E1981" s="1468" t="s">
        <v>15</v>
      </c>
      <c r="F1981" s="1468"/>
      <c r="G1981" s="1540"/>
      <c r="H1981" s="1540">
        <v>1239846.615</v>
      </c>
      <c r="I1981" s="1540"/>
      <c r="J1981" s="1466">
        <f t="shared" si="80"/>
        <v>1239846.615</v>
      </c>
      <c r="K1981" s="1466"/>
      <c r="L1981" s="1466"/>
      <c r="M1981" s="1540">
        <f t="shared" si="81"/>
        <v>1239846.615</v>
      </c>
      <c r="N1981" s="1552"/>
      <c r="O1981" s="1553"/>
      <c r="P1981" s="559"/>
    </row>
    <row r="1982" spans="1:16" s="1531" customFormat="1" ht="14.25" customHeight="1">
      <c r="A1982" s="1551">
        <v>288</v>
      </c>
      <c r="B1982" s="1537" t="e">
        <f>VLOOKUP(D1982,'[2]DS CN MOI UP'!$B$11:$C$447,2,0)</f>
        <v>#N/A</v>
      </c>
      <c r="C1982" s="1538" t="s">
        <v>1628</v>
      </c>
      <c r="D1982" s="1468" t="s">
        <v>755</v>
      </c>
      <c r="E1982" s="1468" t="s">
        <v>15</v>
      </c>
      <c r="F1982" s="1468"/>
      <c r="G1982" s="1540"/>
      <c r="H1982" s="1540">
        <v>1149145.3259999999</v>
      </c>
      <c r="I1982" s="1540"/>
      <c r="J1982" s="1466">
        <f t="shared" si="80"/>
        <v>1149145.3259999999</v>
      </c>
      <c r="K1982" s="1466"/>
      <c r="L1982" s="1466"/>
      <c r="M1982" s="1540">
        <f t="shared" si="81"/>
        <v>1149145.3259999999</v>
      </c>
      <c r="N1982" s="1552"/>
      <c r="O1982" s="1553"/>
      <c r="P1982" s="559"/>
    </row>
    <row r="1983" spans="1:16" s="1531" customFormat="1" ht="14.25" customHeight="1">
      <c r="A1983" s="1551">
        <v>289</v>
      </c>
      <c r="B1983" s="1537" t="e">
        <f>VLOOKUP(D1983,'[2]DS CN MOI UP'!$B$11:$C$447,2,0)</f>
        <v>#N/A</v>
      </c>
      <c r="C1983" s="1538" t="s">
        <v>1628</v>
      </c>
      <c r="D1983" s="1468" t="s">
        <v>756</v>
      </c>
      <c r="E1983" s="1468" t="s">
        <v>15</v>
      </c>
      <c r="F1983" s="1468"/>
      <c r="G1983" s="1540"/>
      <c r="H1983" s="1540">
        <v>1159179.5249999999</v>
      </c>
      <c r="I1983" s="1540"/>
      <c r="J1983" s="1466">
        <f t="shared" si="80"/>
        <v>1159179.5249999999</v>
      </c>
      <c r="K1983" s="1466"/>
      <c r="L1983" s="1466"/>
      <c r="M1983" s="1540">
        <f t="shared" si="81"/>
        <v>1159179.5249999999</v>
      </c>
      <c r="N1983" s="1552"/>
      <c r="O1983" s="1553"/>
      <c r="P1983" s="559"/>
    </row>
    <row r="1984" spans="1:16" s="1531" customFormat="1" ht="14.25" customHeight="1">
      <c r="A1984" s="1551">
        <v>290</v>
      </c>
      <c r="B1984" s="1537" t="e">
        <f>VLOOKUP(D1984,'[2]DS CN MOI UP'!$B$11:$C$447,2,0)</f>
        <v>#N/A</v>
      </c>
      <c r="C1984" s="1538" t="s">
        <v>1628</v>
      </c>
      <c r="D1984" s="1468" t="s">
        <v>1500</v>
      </c>
      <c r="E1984" s="1468" t="s">
        <v>15</v>
      </c>
      <c r="F1984" s="1468"/>
      <c r="G1984" s="1540"/>
      <c r="H1984" s="1540">
        <v>1239846.615</v>
      </c>
      <c r="I1984" s="1540"/>
      <c r="J1984" s="1466">
        <f t="shared" si="80"/>
        <v>1239846.615</v>
      </c>
      <c r="K1984" s="1466"/>
      <c r="L1984" s="1466"/>
      <c r="M1984" s="1540">
        <f t="shared" si="81"/>
        <v>1239846.615</v>
      </c>
      <c r="N1984" s="1552"/>
      <c r="O1984" s="1553"/>
      <c r="P1984" s="559"/>
    </row>
    <row r="1985" spans="1:16" s="1531" customFormat="1" ht="14.25" customHeight="1">
      <c r="A1985" s="1551">
        <v>291</v>
      </c>
      <c r="B1985" s="1537" t="str">
        <f>VLOOKUP(D1985,'[2]DS CN MOI UP'!$B$11:$C$447,2,0)</f>
        <v>02495</v>
      </c>
      <c r="C1985" s="1538" t="s">
        <v>1628</v>
      </c>
      <c r="D1985" s="1468" t="s">
        <v>120</v>
      </c>
      <c r="E1985" s="1468" t="s">
        <v>15</v>
      </c>
      <c r="F1985" s="1468"/>
      <c r="G1985" s="1540"/>
      <c r="H1985" s="1540">
        <v>1149145.3259999999</v>
      </c>
      <c r="I1985" s="1540"/>
      <c r="J1985" s="1466">
        <f t="shared" si="80"/>
        <v>1149145.3259999999</v>
      </c>
      <c r="K1985" s="1466"/>
      <c r="L1985" s="1466"/>
      <c r="M1985" s="1540">
        <f t="shared" si="81"/>
        <v>1149145.3259999999</v>
      </c>
      <c r="N1985" s="1552"/>
      <c r="O1985" s="1553"/>
      <c r="P1985" s="559"/>
    </row>
    <row r="1986" spans="1:16" s="1531" customFormat="1" ht="14.25" customHeight="1">
      <c r="A1986" s="1551">
        <v>292</v>
      </c>
      <c r="B1986" s="1537" t="str">
        <f>VLOOKUP(D1986,'[2]DS CN MOI UP'!$B$11:$C$447,2,0)</f>
        <v>02505</v>
      </c>
      <c r="C1986" s="1538" t="s">
        <v>1628</v>
      </c>
      <c r="D1986" s="1468" t="s">
        <v>117</v>
      </c>
      <c r="E1986" s="1468" t="s">
        <v>15</v>
      </c>
      <c r="F1986" s="1468"/>
      <c r="G1986" s="1540"/>
      <c r="H1986" s="1540">
        <v>1229038.53819991</v>
      </c>
      <c r="I1986" s="1540"/>
      <c r="J1986" s="1466">
        <f t="shared" si="80"/>
        <v>1229038.53819991</v>
      </c>
      <c r="K1986" s="1466"/>
      <c r="L1986" s="1466"/>
      <c r="M1986" s="1540">
        <f t="shared" si="81"/>
        <v>1229038.53819991</v>
      </c>
      <c r="N1986" s="1552"/>
      <c r="O1986" s="1553"/>
      <c r="P1986" s="559"/>
    </row>
    <row r="1987" spans="1:16" s="1531" customFormat="1" ht="14.25" customHeight="1">
      <c r="A1987" s="1551">
        <v>293</v>
      </c>
      <c r="B1987" s="1537" t="str">
        <f>VLOOKUP(D1987,'[2]DS CN MOI UP'!$B$11:$C$447,2,0)</f>
        <v>02516</v>
      </c>
      <c r="C1987" s="1538" t="s">
        <v>1628</v>
      </c>
      <c r="D1987" s="1468" t="s">
        <v>122</v>
      </c>
      <c r="E1987" s="1468" t="s">
        <v>15</v>
      </c>
      <c r="F1987" s="1468"/>
      <c r="G1987" s="1466"/>
      <c r="H1987" s="1540">
        <v>1159179.5249999999</v>
      </c>
      <c r="I1987" s="1540"/>
      <c r="J1987" s="1466">
        <f t="shared" si="80"/>
        <v>1159179.5249999999</v>
      </c>
      <c r="K1987" s="1466"/>
      <c r="L1987" s="1466"/>
      <c r="M1987" s="1540">
        <f t="shared" si="81"/>
        <v>1159179.5249999999</v>
      </c>
      <c r="N1987" s="1552"/>
      <c r="O1987" s="1553"/>
      <c r="P1987" s="559"/>
    </row>
    <row r="1988" spans="1:16" s="1531" customFormat="1" ht="14.25" customHeight="1">
      <c r="A1988" s="1551">
        <v>294</v>
      </c>
      <c r="B1988" s="1537" t="str">
        <f>VLOOKUP(D1988,'[2]DS CN MOI UP'!$B$11:$C$447,2,0)</f>
        <v>03347</v>
      </c>
      <c r="C1988" s="1538" t="s">
        <v>1628</v>
      </c>
      <c r="D1988" s="1468" t="s">
        <v>121</v>
      </c>
      <c r="E1988" s="1468" t="s">
        <v>15</v>
      </c>
      <c r="F1988" s="1468"/>
      <c r="G1988" s="1466"/>
      <c r="H1988" s="1540">
        <v>1239846.615</v>
      </c>
      <c r="I1988" s="1540"/>
      <c r="J1988" s="1466">
        <f t="shared" si="80"/>
        <v>1239846.615</v>
      </c>
      <c r="K1988" s="1466"/>
      <c r="L1988" s="1466"/>
      <c r="M1988" s="1540">
        <f t="shared" si="81"/>
        <v>1239846.615</v>
      </c>
      <c r="N1988" s="1552"/>
      <c r="O1988" s="1553"/>
      <c r="P1988" s="559"/>
    </row>
    <row r="1989" spans="1:16" s="1531" customFormat="1" ht="14.25" customHeight="1">
      <c r="A1989" s="1551">
        <v>295</v>
      </c>
      <c r="B1989" s="1537" t="str">
        <f>VLOOKUP(D1989,'[2]DS CN MOI UP'!$B$11:$C$447,2,0)</f>
        <v>02539</v>
      </c>
      <c r="C1989" s="1538" t="s">
        <v>1628</v>
      </c>
      <c r="D1989" s="1468" t="s">
        <v>195</v>
      </c>
      <c r="E1989" s="1468" t="s">
        <v>15</v>
      </c>
      <c r="F1989" s="1468"/>
      <c r="G1989" s="1466"/>
      <c r="H1989" s="1540">
        <v>1159179.5249999999</v>
      </c>
      <c r="I1989" s="1540"/>
      <c r="J1989" s="1466">
        <f t="shared" si="80"/>
        <v>1159179.5249999999</v>
      </c>
      <c r="K1989" s="1466"/>
      <c r="L1989" s="1466"/>
      <c r="M1989" s="1540">
        <f t="shared" si="81"/>
        <v>1159179.5249999999</v>
      </c>
      <c r="N1989" s="1552"/>
      <c r="O1989" s="1553"/>
      <c r="P1989" s="559"/>
    </row>
    <row r="1990" spans="1:16" s="1531" customFormat="1" ht="14.25" customHeight="1">
      <c r="A1990" s="1551">
        <v>296</v>
      </c>
      <c r="B1990" s="1537" t="e">
        <f>VLOOKUP(D1990,'[2]DS CN MOI UP'!$B$11:$C$447,2,0)</f>
        <v>#N/A</v>
      </c>
      <c r="C1990" s="1538" t="s">
        <v>1628</v>
      </c>
      <c r="D1990" s="1468" t="s">
        <v>1174</v>
      </c>
      <c r="E1990" s="1468" t="s">
        <v>15</v>
      </c>
      <c r="F1990" s="1468"/>
      <c r="G1990" s="1466"/>
      <c r="H1990" s="1540">
        <v>1239846.615</v>
      </c>
      <c r="I1990" s="1540"/>
      <c r="J1990" s="1466">
        <f t="shared" si="80"/>
        <v>1239846.615</v>
      </c>
      <c r="K1990" s="1466"/>
      <c r="L1990" s="1466"/>
      <c r="M1990" s="1540">
        <f t="shared" si="81"/>
        <v>1239846.615</v>
      </c>
      <c r="N1990" s="1552"/>
      <c r="O1990" s="1553"/>
      <c r="P1990" s="559"/>
    </row>
    <row r="1991" spans="1:16" s="1531" customFormat="1" ht="14.25" customHeight="1">
      <c r="A1991" s="1551">
        <v>297</v>
      </c>
      <c r="B1991" s="1537" t="e">
        <f>VLOOKUP(D1991,'[2]DS CN MOI UP'!$B$11:$C$447,2,0)</f>
        <v>#N/A</v>
      </c>
      <c r="C1991" s="1538" t="s">
        <v>1628</v>
      </c>
      <c r="D1991" s="1468" t="s">
        <v>1175</v>
      </c>
      <c r="E1991" s="1468" t="s">
        <v>15</v>
      </c>
      <c r="F1991" s="1468"/>
      <c r="G1991" s="1466"/>
      <c r="H1991" s="1540">
        <v>1239846.615</v>
      </c>
      <c r="I1991" s="1540"/>
      <c r="J1991" s="1466">
        <f t="shared" si="80"/>
        <v>1239846.615</v>
      </c>
      <c r="K1991" s="1466"/>
      <c r="L1991" s="1466"/>
      <c r="M1991" s="1540">
        <f t="shared" si="81"/>
        <v>1239846.615</v>
      </c>
      <c r="N1991" s="1552"/>
      <c r="O1991" s="1553"/>
      <c r="P1991" s="559"/>
    </row>
    <row r="1992" spans="1:16" s="1531" customFormat="1" ht="14.25" customHeight="1">
      <c r="A1992" s="1551">
        <v>298</v>
      </c>
      <c r="B1992" s="1537" t="e">
        <f>VLOOKUP(D1992,'[2]DS CN MOI UP'!$B$11:$C$447,2,0)</f>
        <v>#N/A</v>
      </c>
      <c r="C1992" s="1538" t="s">
        <v>1628</v>
      </c>
      <c r="D1992" s="1468" t="s">
        <v>1176</v>
      </c>
      <c r="E1992" s="1468" t="s">
        <v>15</v>
      </c>
      <c r="F1992" s="1468"/>
      <c r="G1992" s="1466"/>
      <c r="H1992" s="1540">
        <v>1149145.3259999999</v>
      </c>
      <c r="I1992" s="1540"/>
      <c r="J1992" s="1466">
        <f t="shared" si="80"/>
        <v>1149145.3259999999</v>
      </c>
      <c r="K1992" s="1466"/>
      <c r="L1992" s="1466"/>
      <c r="M1992" s="1540">
        <f t="shared" si="81"/>
        <v>1149145.3259999999</v>
      </c>
      <c r="N1992" s="1552"/>
      <c r="O1992" s="1553"/>
      <c r="P1992" s="559"/>
    </row>
    <row r="1993" spans="1:16" s="1531" customFormat="1" ht="14.25" customHeight="1">
      <c r="A1993" s="1551">
        <v>299</v>
      </c>
      <c r="B1993" s="1537" t="str">
        <f>VLOOKUP(D1993,'[2]DS CN MOI UP'!$B$11:$C$447,2,0)</f>
        <v>02541</v>
      </c>
      <c r="C1993" s="1538" t="s">
        <v>1628</v>
      </c>
      <c r="D1993" s="1468" t="s">
        <v>185</v>
      </c>
      <c r="E1993" s="1468" t="s">
        <v>15</v>
      </c>
      <c r="F1993" s="1468"/>
      <c r="G1993" s="1540"/>
      <c r="H1993" s="1540">
        <v>1229038.53819991</v>
      </c>
      <c r="I1993" s="1540"/>
      <c r="J1993" s="1466">
        <f t="shared" si="80"/>
        <v>1229038.53819991</v>
      </c>
      <c r="K1993" s="1466"/>
      <c r="L1993" s="1466"/>
      <c r="M1993" s="1540">
        <f t="shared" si="81"/>
        <v>1229038.53819991</v>
      </c>
      <c r="N1993" s="1552"/>
      <c r="O1993" s="1553"/>
      <c r="P1993" s="559"/>
    </row>
    <row r="1994" spans="1:16" s="1531" customFormat="1" ht="14.25" customHeight="1">
      <c r="A1994" s="1551">
        <v>300</v>
      </c>
      <c r="B1994" s="1537" t="e">
        <f>VLOOKUP(D1994,'[2]DS CN MOI UP'!$B$11:$C$447,2,0)</f>
        <v>#N/A</v>
      </c>
      <c r="C1994" s="1538" t="s">
        <v>1628</v>
      </c>
      <c r="D1994" s="1468" t="s">
        <v>1177</v>
      </c>
      <c r="E1994" s="1468" t="s">
        <v>15</v>
      </c>
      <c r="F1994" s="1468"/>
      <c r="G1994" s="1540"/>
      <c r="H1994" s="1540">
        <v>1159179.5249999999</v>
      </c>
      <c r="I1994" s="1540"/>
      <c r="J1994" s="1466">
        <f t="shared" si="80"/>
        <v>1159179.5249999999</v>
      </c>
      <c r="K1994" s="1466"/>
      <c r="L1994" s="1466"/>
      <c r="M1994" s="1540">
        <f t="shared" si="81"/>
        <v>1159179.5249999999</v>
      </c>
      <c r="N1994" s="1552"/>
      <c r="O1994" s="1553"/>
      <c r="P1994" s="559"/>
    </row>
    <row r="1995" spans="1:16" s="540" customFormat="1" ht="14.25" customHeight="1">
      <c r="A1995" s="1551">
        <v>301</v>
      </c>
      <c r="B1995" s="1537" t="e">
        <f>VLOOKUP(D1995,'[2]DS CN MOI UP'!$B$11:$C$447,2,0)</f>
        <v>#N/A</v>
      </c>
      <c r="C1995" s="1538" t="s">
        <v>1653</v>
      </c>
      <c r="D1995" s="166" t="s">
        <v>1178</v>
      </c>
      <c r="E1995" s="1468" t="s">
        <v>15</v>
      </c>
      <c r="F1995" s="1468"/>
      <c r="G1995" s="1540"/>
      <c r="H1995" s="1540">
        <v>1239846.615</v>
      </c>
      <c r="I1995" s="1540"/>
      <c r="J1995" s="1466">
        <f t="shared" si="80"/>
        <v>1239846.615</v>
      </c>
      <c r="K1995" s="1466"/>
      <c r="L1995" s="1466"/>
      <c r="M1995" s="1540">
        <f t="shared" si="81"/>
        <v>1239846.615</v>
      </c>
      <c r="N1995" s="1552"/>
      <c r="P1995" s="559"/>
    </row>
    <row r="1996" spans="1:16" s="540" customFormat="1" ht="14.25" customHeight="1">
      <c r="A1996" s="1551">
        <v>302</v>
      </c>
      <c r="B1996" s="1537" t="str">
        <f>VLOOKUP(D1996,'[2]DS CN MOI UP'!$B$11:$C$447,2,0)</f>
        <v>02542</v>
      </c>
      <c r="C1996" s="1538" t="s">
        <v>1653</v>
      </c>
      <c r="D1996" s="166" t="s">
        <v>504</v>
      </c>
      <c r="E1996" s="1468" t="s">
        <v>1713</v>
      </c>
      <c r="F1996" s="1468"/>
      <c r="G1996" s="1540"/>
      <c r="H1996" s="1540">
        <v>1149145.3259999999</v>
      </c>
      <c r="I1996" s="1540"/>
      <c r="J1996" s="1466">
        <f t="shared" si="80"/>
        <v>1149145.3259999999</v>
      </c>
      <c r="K1996" s="1466"/>
      <c r="L1996" s="1466"/>
      <c r="M1996" s="1540">
        <f t="shared" si="81"/>
        <v>1149145.3259999999</v>
      </c>
      <c r="N1996" s="1552"/>
      <c r="P1996" s="559"/>
    </row>
    <row r="1997" spans="1:16" s="540" customFormat="1" ht="14.25" customHeight="1">
      <c r="A1997" s="1551">
        <v>303</v>
      </c>
      <c r="B1997" s="1537" t="str">
        <f>VLOOKUP(D1997,'[2]DS CN MOI UP'!$B$11:$C$447,2,0)</f>
        <v>02541</v>
      </c>
      <c r="C1997" s="1538" t="s">
        <v>1546</v>
      </c>
      <c r="D1997" s="1468" t="s">
        <v>185</v>
      </c>
      <c r="E1997" s="1468" t="s">
        <v>15</v>
      </c>
      <c r="F1997" s="1468"/>
      <c r="G1997" s="1540"/>
      <c r="H1997" s="1540">
        <v>1159179.5249999999</v>
      </c>
      <c r="I1997" s="1540"/>
      <c r="J1997" s="1466">
        <f t="shared" si="80"/>
        <v>1159179.5249999999</v>
      </c>
      <c r="K1997" s="1466"/>
      <c r="L1997" s="1466"/>
      <c r="M1997" s="1540">
        <f t="shared" si="81"/>
        <v>1159179.5249999999</v>
      </c>
      <c r="N1997" s="1552"/>
      <c r="P1997" s="559"/>
    </row>
    <row r="1998" spans="1:16" s="540" customFormat="1" ht="14.25" customHeight="1">
      <c r="A1998" s="1551">
        <v>304</v>
      </c>
      <c r="B1998" s="1537" t="e">
        <f>VLOOKUP(D1998,'[2]DS CN MOI UP'!$B$11:$C$447,2,0)</f>
        <v>#N/A</v>
      </c>
      <c r="C1998" s="1538" t="s">
        <v>1547</v>
      </c>
      <c r="D1998" s="1468" t="s">
        <v>972</v>
      </c>
      <c r="E1998" s="1468" t="s">
        <v>15</v>
      </c>
      <c r="F1998" s="1468"/>
      <c r="G1998" s="1540"/>
      <c r="H1998" s="1540">
        <v>1239846.615</v>
      </c>
      <c r="I1998" s="1540"/>
      <c r="J1998" s="1466">
        <f t="shared" si="80"/>
        <v>1239846.615</v>
      </c>
      <c r="K1998" s="1466"/>
      <c r="L1998" s="1466"/>
      <c r="M1998" s="1540">
        <f t="shared" si="81"/>
        <v>1239846.615</v>
      </c>
      <c r="N1998" s="1552"/>
      <c r="P1998" s="559"/>
    </row>
    <row r="1999" spans="1:16" s="540" customFormat="1" ht="14.25" customHeight="1">
      <c r="A1999" s="1551">
        <v>305</v>
      </c>
      <c r="B1999" s="1537" t="str">
        <f>VLOOKUP(D1999,'[2]DS CN MOI UP'!$B$11:$C$447,2,0)</f>
        <v>02543</v>
      </c>
      <c r="C1999" s="1538" t="s">
        <v>1548</v>
      </c>
      <c r="D1999" s="1468" t="s">
        <v>189</v>
      </c>
      <c r="E1999" s="1468" t="s">
        <v>15</v>
      </c>
      <c r="F1999" s="1468"/>
      <c r="G1999" s="1540"/>
      <c r="H1999" s="1540">
        <v>1149145.3259999999</v>
      </c>
      <c r="I1999" s="1540"/>
      <c r="J1999" s="1466">
        <f t="shared" si="80"/>
        <v>1149145.3259999999</v>
      </c>
      <c r="K1999" s="1466"/>
      <c r="L1999" s="1466"/>
      <c r="M1999" s="1540">
        <f t="shared" si="81"/>
        <v>1149145.3259999999</v>
      </c>
      <c r="N1999" s="1552"/>
      <c r="P1999" s="559"/>
    </row>
    <row r="2000" spans="1:16" s="540" customFormat="1" ht="14.25" customHeight="1">
      <c r="A2000" s="1551">
        <v>306</v>
      </c>
      <c r="B2000" s="1537" t="str">
        <f>VLOOKUP(D2000,'[2]DS CN MOI UP'!$B$11:$C$447,2,0)</f>
        <v>02510</v>
      </c>
      <c r="C2000" s="1538" t="s">
        <v>1549</v>
      </c>
      <c r="D2000" s="1468" t="s">
        <v>41</v>
      </c>
      <c r="E2000" s="1468" t="s">
        <v>15</v>
      </c>
      <c r="F2000" s="1468"/>
      <c r="G2000" s="1540"/>
      <c r="H2000" s="1540">
        <v>1229038.53819991</v>
      </c>
      <c r="I2000" s="1540"/>
      <c r="J2000" s="1466">
        <f t="shared" si="80"/>
        <v>1229038.53819991</v>
      </c>
      <c r="K2000" s="1466"/>
      <c r="L2000" s="1466"/>
      <c r="M2000" s="1540">
        <f t="shared" si="81"/>
        <v>1229038.53819991</v>
      </c>
      <c r="N2000" s="1552"/>
      <c r="P2000" s="559"/>
    </row>
    <row r="2001" spans="1:16" s="540" customFormat="1" ht="14.25" customHeight="1">
      <c r="A2001" s="1551">
        <v>307</v>
      </c>
      <c r="B2001" s="1537" t="e">
        <f>VLOOKUP(D2001,'[2]DS CN MOI UP'!$B$11:$C$447,2,0)</f>
        <v>#N/A</v>
      </c>
      <c r="C2001" s="1538" t="s">
        <v>1550</v>
      </c>
      <c r="D2001" s="1468" t="s">
        <v>1077</v>
      </c>
      <c r="E2001" s="1468" t="s">
        <v>15</v>
      </c>
      <c r="F2001" s="1468"/>
      <c r="G2001" s="1540"/>
      <c r="H2001" s="1540">
        <v>1159179.5249999999</v>
      </c>
      <c r="I2001" s="1540"/>
      <c r="J2001" s="1466">
        <f t="shared" si="80"/>
        <v>1159179.5249999999</v>
      </c>
      <c r="K2001" s="1466"/>
      <c r="L2001" s="1466"/>
      <c r="M2001" s="1540">
        <f t="shared" si="81"/>
        <v>1159179.5249999999</v>
      </c>
      <c r="N2001" s="1552"/>
      <c r="P2001" s="559"/>
    </row>
    <row r="2002" spans="1:16" s="540" customFormat="1" ht="14.25" customHeight="1">
      <c r="A2002" s="1551">
        <v>308</v>
      </c>
      <c r="B2002" s="1537" t="e">
        <f>VLOOKUP(D2002,'[2]DS CN MOI UP'!$B$11:$C$447,2,0)</f>
        <v>#N/A</v>
      </c>
      <c r="C2002" s="1538" t="s">
        <v>1551</v>
      </c>
      <c r="D2002" s="1468" t="s">
        <v>1179</v>
      </c>
      <c r="E2002" s="1468" t="s">
        <v>15</v>
      </c>
      <c r="F2002" s="1468"/>
      <c r="G2002" s="1540"/>
      <c r="H2002" s="1540">
        <v>1239846.615</v>
      </c>
      <c r="I2002" s="1540"/>
      <c r="J2002" s="1466">
        <f t="shared" si="80"/>
        <v>1239846.615</v>
      </c>
      <c r="K2002" s="1466"/>
      <c r="L2002" s="1466"/>
      <c r="M2002" s="1540">
        <f t="shared" si="81"/>
        <v>1239846.615</v>
      </c>
      <c r="N2002" s="1552"/>
      <c r="P2002" s="559"/>
    </row>
    <row r="2003" spans="1:16" s="540" customFormat="1" ht="14.25" customHeight="1">
      <c r="A2003" s="1551">
        <v>309</v>
      </c>
      <c r="B2003" s="1537" t="str">
        <f>VLOOKUP(D2003,'[2]DS CN MOI UP'!$B$11:$C$447,2,0)</f>
        <v>02545</v>
      </c>
      <c r="C2003" s="1538" t="s">
        <v>1552</v>
      </c>
      <c r="D2003" s="1468" t="s">
        <v>126</v>
      </c>
      <c r="E2003" s="1468" t="s">
        <v>15</v>
      </c>
      <c r="F2003" s="1468"/>
      <c r="G2003" s="1540"/>
      <c r="H2003" s="1540">
        <v>1149145.3259999999</v>
      </c>
      <c r="I2003" s="1540"/>
      <c r="J2003" s="1466">
        <f t="shared" si="80"/>
        <v>1149145.3259999999</v>
      </c>
      <c r="K2003" s="1466"/>
      <c r="L2003" s="1466"/>
      <c r="M2003" s="1540">
        <f t="shared" si="81"/>
        <v>1149145.3259999999</v>
      </c>
      <c r="N2003" s="1552"/>
      <c r="P2003" s="559"/>
    </row>
    <row r="2004" spans="1:16" s="540" customFormat="1" ht="14.25" customHeight="1">
      <c r="A2004" s="1551">
        <v>310</v>
      </c>
      <c r="B2004" s="1537" t="e">
        <f>VLOOKUP(D2004,'[2]DS CN MOI UP'!$B$11:$C$447,2,0)</f>
        <v>#N/A</v>
      </c>
      <c r="C2004" s="1538" t="s">
        <v>1554</v>
      </c>
      <c r="D2004" s="1468" t="s">
        <v>1180</v>
      </c>
      <c r="E2004" s="1468" t="s">
        <v>15</v>
      </c>
      <c r="F2004" s="1468"/>
      <c r="G2004" s="1540"/>
      <c r="H2004" s="1540">
        <v>1229038.53819991</v>
      </c>
      <c r="I2004" s="1540"/>
      <c r="J2004" s="1466">
        <f t="shared" si="80"/>
        <v>1229038.53819991</v>
      </c>
      <c r="K2004" s="1466"/>
      <c r="L2004" s="1466"/>
      <c r="M2004" s="1540">
        <f t="shared" si="81"/>
        <v>1229038.53819991</v>
      </c>
      <c r="N2004" s="1552"/>
      <c r="P2004" s="559"/>
    </row>
    <row r="2005" spans="1:16" s="540" customFormat="1" ht="14.25" customHeight="1">
      <c r="A2005" s="1551">
        <v>311</v>
      </c>
      <c r="B2005" s="1537" t="str">
        <f>VLOOKUP(D2005,'[2]DS CN MOI UP'!$B$11:$C$447,2,0)</f>
        <v>03402</v>
      </c>
      <c r="C2005" s="1538" t="s">
        <v>1556</v>
      </c>
      <c r="D2005" s="1468" t="s">
        <v>312</v>
      </c>
      <c r="E2005" s="1468" t="s">
        <v>15</v>
      </c>
      <c r="F2005" s="1468"/>
      <c r="G2005" s="1540"/>
      <c r="H2005" s="1540">
        <v>1159179.5249999999</v>
      </c>
      <c r="I2005" s="1540"/>
      <c r="J2005" s="1466">
        <f t="shared" si="80"/>
        <v>1159179.5249999999</v>
      </c>
      <c r="K2005" s="1466"/>
      <c r="L2005" s="1466"/>
      <c r="M2005" s="1540">
        <f t="shared" si="81"/>
        <v>1159179.5249999999</v>
      </c>
      <c r="N2005" s="1552"/>
      <c r="P2005" s="559"/>
    </row>
    <row r="2006" spans="1:16" s="540" customFormat="1" ht="14.25" customHeight="1">
      <c r="A2006" s="1551">
        <v>312</v>
      </c>
      <c r="B2006" s="1537" t="e">
        <f>VLOOKUP(D2006,'[2]DS CN MOI UP'!$B$11:$C$447,2,0)</f>
        <v>#N/A</v>
      </c>
      <c r="C2006" s="1538" t="s">
        <v>1558</v>
      </c>
      <c r="D2006" s="1468" t="s">
        <v>1181</v>
      </c>
      <c r="E2006" s="1468" t="s">
        <v>15</v>
      </c>
      <c r="F2006" s="1468"/>
      <c r="G2006" s="1540"/>
      <c r="H2006" s="1540">
        <v>1239846.615</v>
      </c>
      <c r="I2006" s="1540"/>
      <c r="J2006" s="1466">
        <f t="shared" si="80"/>
        <v>1239846.615</v>
      </c>
      <c r="K2006" s="1466"/>
      <c r="L2006" s="1466"/>
      <c r="M2006" s="1540">
        <f t="shared" si="81"/>
        <v>1239846.615</v>
      </c>
      <c r="N2006" s="1552"/>
      <c r="P2006" s="559"/>
    </row>
    <row r="2007" spans="1:16" s="540" customFormat="1" ht="14.25" customHeight="1">
      <c r="A2007" s="1551">
        <v>313</v>
      </c>
      <c r="B2007" s="1537" t="str">
        <f>VLOOKUP(D2007,'[2]DS CN MOI UP'!$B$11:$C$447,2,0)</f>
        <v>02547</v>
      </c>
      <c r="C2007" s="1538" t="s">
        <v>1560</v>
      </c>
      <c r="D2007" s="1468" t="s">
        <v>199</v>
      </c>
      <c r="E2007" s="1468" t="s">
        <v>15</v>
      </c>
      <c r="F2007" s="1468"/>
      <c r="G2007" s="1540"/>
      <c r="H2007" s="1540">
        <v>1149145.3259999999</v>
      </c>
      <c r="I2007" s="1540"/>
      <c r="J2007" s="1466">
        <f t="shared" si="80"/>
        <v>1149145.3259999999</v>
      </c>
      <c r="K2007" s="1466"/>
      <c r="L2007" s="1466"/>
      <c r="M2007" s="1540">
        <f t="shared" si="81"/>
        <v>1149145.3259999999</v>
      </c>
      <c r="N2007" s="1552"/>
      <c r="P2007" s="559"/>
    </row>
    <row r="2008" spans="1:16" s="540" customFormat="1" ht="14.25" customHeight="1">
      <c r="A2008" s="1551">
        <v>314</v>
      </c>
      <c r="B2008" s="1537" t="e">
        <f>VLOOKUP(D2008,'[2]DS CN MOI UP'!$B$11:$C$447,2,0)</f>
        <v>#N/A</v>
      </c>
      <c r="C2008" s="1538" t="s">
        <v>1562</v>
      </c>
      <c r="D2008" s="1468" t="s">
        <v>1182</v>
      </c>
      <c r="E2008" s="1468" t="s">
        <v>15</v>
      </c>
      <c r="F2008" s="1468"/>
      <c r="G2008" s="1540"/>
      <c r="H2008" s="1540">
        <v>1159179.5249999999</v>
      </c>
      <c r="I2008" s="1540"/>
      <c r="J2008" s="1466">
        <f t="shared" si="80"/>
        <v>1159179.5249999999</v>
      </c>
      <c r="K2008" s="1466"/>
      <c r="L2008" s="1466"/>
      <c r="M2008" s="1540">
        <f t="shared" si="81"/>
        <v>1159179.5249999999</v>
      </c>
      <c r="N2008" s="1552"/>
      <c r="P2008" s="559"/>
    </row>
    <row r="2009" spans="1:16" s="1531" customFormat="1" ht="14.25" customHeight="1">
      <c r="A2009" s="1551">
        <v>315</v>
      </c>
      <c r="B2009" s="1537" t="e">
        <f>VLOOKUP(D2009,'[2]DS CN MOI UP'!$B$11:$C$447,2,0)</f>
        <v>#N/A</v>
      </c>
      <c r="C2009" s="1538" t="s">
        <v>1628</v>
      </c>
      <c r="D2009" s="1468" t="s">
        <v>1183</v>
      </c>
      <c r="E2009" s="1468" t="s">
        <v>15</v>
      </c>
      <c r="F2009" s="1468"/>
      <c r="G2009" s="1540"/>
      <c r="H2009" s="1540">
        <v>1229038.53819991</v>
      </c>
      <c r="I2009" s="1540"/>
      <c r="J2009" s="1466">
        <f t="shared" si="80"/>
        <v>1229038.53819991</v>
      </c>
      <c r="K2009" s="1466"/>
      <c r="L2009" s="1466"/>
      <c r="M2009" s="1540">
        <f t="shared" si="81"/>
        <v>1229038.53819991</v>
      </c>
      <c r="N2009" s="1552"/>
      <c r="O2009" s="1553"/>
      <c r="P2009" s="559"/>
    </row>
    <row r="2010" spans="1:16" s="1531" customFormat="1" ht="14.25" customHeight="1">
      <c r="A2010" s="1551">
        <v>316</v>
      </c>
      <c r="B2010" s="1537" t="e">
        <f>VLOOKUP(D2010,'[2]DS CN MOI UP'!$B$11:$C$447,2,0)</f>
        <v>#N/A</v>
      </c>
      <c r="C2010" s="1538" t="s">
        <v>1628</v>
      </c>
      <c r="D2010" s="1468" t="s">
        <v>1184</v>
      </c>
      <c r="E2010" s="1468" t="s">
        <v>15</v>
      </c>
      <c r="F2010" s="1468"/>
      <c r="G2010" s="1540"/>
      <c r="H2010" s="1540">
        <v>1159179.5249999999</v>
      </c>
      <c r="I2010" s="1540"/>
      <c r="J2010" s="1466">
        <f t="shared" si="80"/>
        <v>1159179.5249999999</v>
      </c>
      <c r="K2010" s="1466"/>
      <c r="L2010" s="1466"/>
      <c r="M2010" s="1540">
        <f t="shared" si="81"/>
        <v>1159179.5249999999</v>
      </c>
      <c r="N2010" s="1552"/>
      <c r="O2010" s="1553"/>
      <c r="P2010" s="559"/>
    </row>
    <row r="2011" spans="1:16" s="540" customFormat="1" ht="14.25" customHeight="1">
      <c r="A2011" s="1551">
        <v>317</v>
      </c>
      <c r="B2011" s="1537" t="e">
        <f>VLOOKUP(D2011,'[2]DS CN MOI UP'!$B$11:$C$447,2,0)</f>
        <v>#N/A</v>
      </c>
      <c r="C2011" s="1538" t="s">
        <v>1653</v>
      </c>
      <c r="D2011" s="166" t="s">
        <v>1185</v>
      </c>
      <c r="E2011" s="1468" t="s">
        <v>15</v>
      </c>
      <c r="F2011" s="1468"/>
      <c r="G2011" s="1540"/>
      <c r="H2011" s="1540">
        <v>1239846.615</v>
      </c>
      <c r="I2011" s="1540"/>
      <c r="J2011" s="1466">
        <f t="shared" si="80"/>
        <v>1239846.615</v>
      </c>
      <c r="K2011" s="1466"/>
      <c r="L2011" s="1466"/>
      <c r="M2011" s="1540">
        <f t="shared" si="81"/>
        <v>1239846.615</v>
      </c>
      <c r="N2011" s="1552"/>
      <c r="P2011" s="559"/>
    </row>
    <row r="2012" spans="1:16" s="540" customFormat="1" ht="14.25" customHeight="1">
      <c r="A2012" s="1551">
        <v>318</v>
      </c>
      <c r="B2012" s="1537" t="e">
        <f>VLOOKUP(D2012,'[2]DS CN MOI UP'!$B$11:$C$447,2,0)</f>
        <v>#N/A</v>
      </c>
      <c r="C2012" s="1538" t="s">
        <v>1653</v>
      </c>
      <c r="D2012" s="166" t="s">
        <v>1186</v>
      </c>
      <c r="E2012" s="1468" t="s">
        <v>1713</v>
      </c>
      <c r="F2012" s="1468"/>
      <c r="G2012" s="1540"/>
      <c r="H2012" s="1540">
        <v>1149145.3259999999</v>
      </c>
      <c r="I2012" s="1540"/>
      <c r="J2012" s="1466">
        <f t="shared" si="80"/>
        <v>1149145.3259999999</v>
      </c>
      <c r="K2012" s="1466"/>
      <c r="L2012" s="1466"/>
      <c r="M2012" s="1540">
        <f t="shared" si="81"/>
        <v>1149145.3259999999</v>
      </c>
      <c r="N2012" s="1552"/>
      <c r="P2012" s="559"/>
    </row>
    <row r="2013" spans="1:16" s="540" customFormat="1" ht="14.25" customHeight="1">
      <c r="A2013" s="1551">
        <v>319</v>
      </c>
      <c r="B2013" s="1537" t="str">
        <f>VLOOKUP(D2013,'[2]DS CN MOI UP'!$B$11:$C$447,2,0)</f>
        <v>02518</v>
      </c>
      <c r="C2013" s="1538" t="s">
        <v>1546</v>
      </c>
      <c r="D2013" s="1468" t="s">
        <v>135</v>
      </c>
      <c r="E2013" s="1468" t="s">
        <v>15</v>
      </c>
      <c r="F2013" s="1468"/>
      <c r="G2013" s="1540"/>
      <c r="H2013" s="1540">
        <v>1159179.5249999999</v>
      </c>
      <c r="I2013" s="1540"/>
      <c r="J2013" s="1466">
        <f t="shared" si="80"/>
        <v>1159179.5249999999</v>
      </c>
      <c r="K2013" s="1466"/>
      <c r="L2013" s="1466"/>
      <c r="M2013" s="1540">
        <f t="shared" si="81"/>
        <v>1159179.5249999999</v>
      </c>
      <c r="N2013" s="1552"/>
      <c r="P2013" s="559"/>
    </row>
    <row r="2014" spans="1:16" s="540" customFormat="1" ht="14.25" customHeight="1">
      <c r="A2014" s="1551">
        <v>320</v>
      </c>
      <c r="B2014" s="1537" t="e">
        <f>VLOOKUP(D2014,'[2]DS CN MOI UP'!$B$11:$C$447,2,0)</f>
        <v>#N/A</v>
      </c>
      <c r="C2014" s="1538" t="s">
        <v>1547</v>
      </c>
      <c r="D2014" s="1468" t="s">
        <v>1187</v>
      </c>
      <c r="E2014" s="1468" t="s">
        <v>15</v>
      </c>
      <c r="F2014" s="1468"/>
      <c r="G2014" s="1540"/>
      <c r="H2014" s="1540">
        <v>1239846.615</v>
      </c>
      <c r="I2014" s="1540"/>
      <c r="J2014" s="1466">
        <f t="shared" si="80"/>
        <v>1239846.615</v>
      </c>
      <c r="K2014" s="1466"/>
      <c r="L2014" s="1466"/>
      <c r="M2014" s="1540">
        <f t="shared" si="81"/>
        <v>1239846.615</v>
      </c>
      <c r="N2014" s="1552"/>
      <c r="P2014" s="559"/>
    </row>
    <row r="2015" spans="1:16" s="540" customFormat="1" ht="14.25" customHeight="1">
      <c r="A2015" s="1551">
        <v>321</v>
      </c>
      <c r="B2015" s="1537" t="str">
        <f>VLOOKUP(D2015,'[2]DS CN MOI UP'!$B$11:$C$447,2,0)</f>
        <v>02519</v>
      </c>
      <c r="C2015" s="1538" t="s">
        <v>1548</v>
      </c>
      <c r="D2015" s="1468" t="s">
        <v>173</v>
      </c>
      <c r="E2015" s="1468" t="s">
        <v>15</v>
      </c>
      <c r="F2015" s="1468"/>
      <c r="G2015" s="1540"/>
      <c r="H2015" s="1540">
        <v>1149145.3259999999</v>
      </c>
      <c r="I2015" s="1540"/>
      <c r="J2015" s="1466">
        <f t="shared" si="80"/>
        <v>1149145.3259999999</v>
      </c>
      <c r="K2015" s="1466"/>
      <c r="L2015" s="1466"/>
      <c r="M2015" s="1540">
        <f t="shared" si="81"/>
        <v>1149145.3259999999</v>
      </c>
      <c r="N2015" s="1552"/>
      <c r="P2015" s="559"/>
    </row>
    <row r="2016" spans="1:16" s="540" customFormat="1" ht="14.25" customHeight="1">
      <c r="A2016" s="1551">
        <v>322</v>
      </c>
      <c r="B2016" s="1537" t="e">
        <f>VLOOKUP(D2016,'[2]DS CN MOI UP'!$B$11:$C$447,2,0)</f>
        <v>#N/A</v>
      </c>
      <c r="C2016" s="1538" t="s">
        <v>1549</v>
      </c>
      <c r="D2016" s="1468" t="s">
        <v>1188</v>
      </c>
      <c r="E2016" s="1468" t="s">
        <v>15</v>
      </c>
      <c r="F2016" s="1468"/>
      <c r="G2016" s="1540"/>
      <c r="H2016" s="1540">
        <v>1229038.53819991</v>
      </c>
      <c r="I2016" s="1540"/>
      <c r="J2016" s="1466">
        <f t="shared" si="80"/>
        <v>1229038.53819991</v>
      </c>
      <c r="K2016" s="1466"/>
      <c r="L2016" s="1466"/>
      <c r="M2016" s="1540">
        <f t="shared" si="81"/>
        <v>1229038.53819991</v>
      </c>
      <c r="N2016" s="1552"/>
      <c r="P2016" s="559"/>
    </row>
    <row r="2017" spans="1:16" s="540" customFormat="1" ht="14.25" customHeight="1">
      <c r="A2017" s="1551">
        <v>323</v>
      </c>
      <c r="B2017" s="1537" t="e">
        <f>VLOOKUP(D2017,'[2]DS CN MOI UP'!$B$11:$C$447,2,0)</f>
        <v>#N/A</v>
      </c>
      <c r="C2017" s="1538" t="s">
        <v>1550</v>
      </c>
      <c r="D2017" s="1468" t="s">
        <v>1189</v>
      </c>
      <c r="E2017" s="1468" t="s">
        <v>15</v>
      </c>
      <c r="F2017" s="1468"/>
      <c r="G2017" s="1540"/>
      <c r="H2017" s="1540">
        <v>1159179.5249999999</v>
      </c>
      <c r="I2017" s="1540"/>
      <c r="J2017" s="1466">
        <f t="shared" si="80"/>
        <v>1159179.5249999999</v>
      </c>
      <c r="K2017" s="1466"/>
      <c r="L2017" s="1466"/>
      <c r="M2017" s="1540">
        <f t="shared" si="81"/>
        <v>1159179.5249999999</v>
      </c>
      <c r="N2017" s="1552"/>
      <c r="P2017" s="559"/>
    </row>
    <row r="2018" spans="1:16" s="540" customFormat="1" ht="14.25" customHeight="1">
      <c r="A2018" s="1551">
        <v>324</v>
      </c>
      <c r="B2018" s="1537" t="str">
        <f>VLOOKUP(D2018,'[2]DS CN MOI UP'!$B$11:$C$447,2,0)</f>
        <v>02520</v>
      </c>
      <c r="C2018" s="1538" t="s">
        <v>1551</v>
      </c>
      <c r="D2018" s="1468" t="s">
        <v>188</v>
      </c>
      <c r="E2018" s="1468" t="s">
        <v>15</v>
      </c>
      <c r="F2018" s="1468"/>
      <c r="G2018" s="1540"/>
      <c r="H2018" s="1540">
        <v>1239846.615</v>
      </c>
      <c r="I2018" s="1540"/>
      <c r="J2018" s="1466">
        <f t="shared" si="80"/>
        <v>1239846.615</v>
      </c>
      <c r="K2018" s="1466"/>
      <c r="L2018" s="1466"/>
      <c r="M2018" s="1540">
        <f t="shared" si="81"/>
        <v>1239846.615</v>
      </c>
      <c r="N2018" s="1552"/>
      <c r="P2018" s="559"/>
    </row>
    <row r="2019" spans="1:16" s="540" customFormat="1" ht="14.25" customHeight="1">
      <c r="A2019" s="1551">
        <v>325</v>
      </c>
      <c r="B2019" s="1537" t="e">
        <f>VLOOKUP(D2019,'[2]DS CN MOI UP'!$B$11:$C$447,2,0)</f>
        <v>#N/A</v>
      </c>
      <c r="C2019" s="1538" t="s">
        <v>1552</v>
      </c>
      <c r="D2019" s="1468" t="s">
        <v>1190</v>
      </c>
      <c r="E2019" s="1468" t="s">
        <v>15</v>
      </c>
      <c r="F2019" s="1468"/>
      <c r="G2019" s="1540"/>
      <c r="H2019" s="1540">
        <v>1149145.3259999999</v>
      </c>
      <c r="I2019" s="1540"/>
      <c r="J2019" s="1466">
        <f t="shared" si="80"/>
        <v>1149145.3259999999</v>
      </c>
      <c r="K2019" s="1466"/>
      <c r="L2019" s="1466"/>
      <c r="M2019" s="1540">
        <f t="shared" si="81"/>
        <v>1149145.3259999999</v>
      </c>
      <c r="N2019" s="1552"/>
      <c r="P2019" s="559"/>
    </row>
    <row r="2020" spans="1:16" s="540" customFormat="1" ht="14.25" customHeight="1">
      <c r="A2020" s="1551">
        <v>326</v>
      </c>
      <c r="B2020" s="1537" t="e">
        <f>VLOOKUP(D2020,'[2]DS CN MOI UP'!$B$11:$C$447,2,0)</f>
        <v>#N/A</v>
      </c>
      <c r="C2020" s="1538" t="s">
        <v>1554</v>
      </c>
      <c r="D2020" s="1468" t="s">
        <v>1191</v>
      </c>
      <c r="E2020" s="1468" t="s">
        <v>15</v>
      </c>
      <c r="F2020" s="1468"/>
      <c r="G2020" s="1540"/>
      <c r="H2020" s="1540">
        <v>1229038.53819991</v>
      </c>
      <c r="I2020" s="1540"/>
      <c r="J2020" s="1466">
        <f t="shared" si="80"/>
        <v>1229038.53819991</v>
      </c>
      <c r="K2020" s="1466"/>
      <c r="L2020" s="1466"/>
      <c r="M2020" s="1540">
        <f t="shared" si="81"/>
        <v>1229038.53819991</v>
      </c>
      <c r="N2020" s="1552"/>
      <c r="P2020" s="559"/>
    </row>
    <row r="2021" spans="1:16" s="540" customFormat="1" ht="14.25" customHeight="1">
      <c r="A2021" s="1551">
        <v>327</v>
      </c>
      <c r="B2021" s="1537" t="str">
        <f>VLOOKUP(D2021,'[2]DS CN MOI UP'!$B$11:$C$447,2,0)</f>
        <v>02521</v>
      </c>
      <c r="C2021" s="1538" t="s">
        <v>1556</v>
      </c>
      <c r="D2021" s="1468" t="s">
        <v>137</v>
      </c>
      <c r="E2021" s="1468" t="s">
        <v>15</v>
      </c>
      <c r="F2021" s="1468"/>
      <c r="G2021" s="1540"/>
      <c r="H2021" s="1540">
        <v>1159179.5249999999</v>
      </c>
      <c r="I2021" s="1540"/>
      <c r="J2021" s="1466">
        <f t="shared" si="80"/>
        <v>1159179.5249999999</v>
      </c>
      <c r="K2021" s="1466"/>
      <c r="L2021" s="1466"/>
      <c r="M2021" s="1540">
        <f t="shared" si="81"/>
        <v>1159179.5249999999</v>
      </c>
      <c r="N2021" s="1552"/>
      <c r="P2021" s="559"/>
    </row>
    <row r="2022" spans="1:16" s="540" customFormat="1" ht="14.25" customHeight="1">
      <c r="A2022" s="1551">
        <v>328</v>
      </c>
      <c r="B2022" s="1537" t="e">
        <f>VLOOKUP(D2022,'[2]DS CN MOI UP'!$B$11:$C$447,2,0)</f>
        <v>#N/A</v>
      </c>
      <c r="C2022" s="1538" t="s">
        <v>1558</v>
      </c>
      <c r="D2022" s="1468" t="s">
        <v>1192</v>
      </c>
      <c r="E2022" s="1468" t="s">
        <v>15</v>
      </c>
      <c r="F2022" s="1468"/>
      <c r="G2022" s="1540"/>
      <c r="H2022" s="1540">
        <v>1239846.615</v>
      </c>
      <c r="I2022" s="1540"/>
      <c r="J2022" s="1466">
        <f t="shared" si="80"/>
        <v>1239846.615</v>
      </c>
      <c r="K2022" s="1466"/>
      <c r="L2022" s="1466"/>
      <c r="M2022" s="1540">
        <f t="shared" si="81"/>
        <v>1239846.615</v>
      </c>
      <c r="N2022" s="1552"/>
      <c r="P2022" s="559"/>
    </row>
    <row r="2023" spans="1:16" s="540" customFormat="1" ht="14.25" customHeight="1">
      <c r="A2023" s="1551">
        <v>329</v>
      </c>
      <c r="B2023" s="1537" t="str">
        <f>VLOOKUP(D2023,'[2]DS CN MOI UP'!$B$11:$C$447,2,0)</f>
        <v>02522</v>
      </c>
      <c r="C2023" s="1538" t="s">
        <v>1560</v>
      </c>
      <c r="D2023" s="1468" t="s">
        <v>162</v>
      </c>
      <c r="E2023" s="1468" t="s">
        <v>15</v>
      </c>
      <c r="F2023" s="1468"/>
      <c r="G2023" s="1540"/>
      <c r="H2023" s="1540">
        <v>1149145.3259999999</v>
      </c>
      <c r="I2023" s="1540"/>
      <c r="J2023" s="1466">
        <f t="shared" si="80"/>
        <v>1149145.3259999999</v>
      </c>
      <c r="K2023" s="1466"/>
      <c r="L2023" s="1466"/>
      <c r="M2023" s="1540">
        <f t="shared" si="81"/>
        <v>1149145.3259999999</v>
      </c>
      <c r="N2023" s="1552"/>
      <c r="P2023" s="559"/>
    </row>
    <row r="2024" spans="1:16" s="540" customFormat="1" ht="14.25" customHeight="1">
      <c r="A2024" s="1551">
        <v>330</v>
      </c>
      <c r="B2024" s="1537" t="str">
        <f>VLOOKUP(D2024,'[2]DS CN MOI UP'!$B$11:$C$447,2,0)</f>
        <v>02666</v>
      </c>
      <c r="C2024" s="1538" t="s">
        <v>1562</v>
      </c>
      <c r="D2024" s="1468" t="s">
        <v>435</v>
      </c>
      <c r="E2024" s="1468" t="s">
        <v>15</v>
      </c>
      <c r="F2024" s="1468"/>
      <c r="G2024" s="1540"/>
      <c r="H2024" s="1540">
        <v>1159179.5249999999</v>
      </c>
      <c r="I2024" s="1540"/>
      <c r="J2024" s="1466">
        <f t="shared" si="80"/>
        <v>1159179.5249999999</v>
      </c>
      <c r="K2024" s="1466"/>
      <c r="L2024" s="1466"/>
      <c r="M2024" s="1540">
        <f t="shared" si="81"/>
        <v>1159179.5249999999</v>
      </c>
      <c r="N2024" s="1552"/>
      <c r="P2024" s="559"/>
    </row>
    <row r="2025" spans="1:16" s="1531" customFormat="1" ht="14.25" customHeight="1">
      <c r="A2025" s="1551">
        <v>331</v>
      </c>
      <c r="B2025" s="1537" t="str">
        <f>VLOOKUP(D2025,'[2]DS CN MOI UP'!$B$11:$C$447,2,0)</f>
        <v>02523</v>
      </c>
      <c r="C2025" s="1538" t="s">
        <v>1628</v>
      </c>
      <c r="D2025" s="1468" t="s">
        <v>169</v>
      </c>
      <c r="E2025" s="1468" t="s">
        <v>15</v>
      </c>
      <c r="F2025" s="1468"/>
      <c r="G2025" s="1540"/>
      <c r="H2025" s="1540">
        <v>1229038.53819991</v>
      </c>
      <c r="I2025" s="1540"/>
      <c r="J2025" s="1466">
        <f t="shared" si="80"/>
        <v>1229038.53819991</v>
      </c>
      <c r="K2025" s="1466"/>
      <c r="L2025" s="1466"/>
      <c r="M2025" s="1540">
        <f t="shared" si="81"/>
        <v>1229038.53819991</v>
      </c>
      <c r="N2025" s="1552"/>
      <c r="O2025" s="1553"/>
      <c r="P2025" s="559"/>
    </row>
    <row r="2026" spans="1:16" s="1531" customFormat="1" ht="14.25" customHeight="1">
      <c r="A2026" s="1551">
        <v>332</v>
      </c>
      <c r="B2026" s="1537" t="e">
        <f>VLOOKUP(D2026,'[2]DS CN MOI UP'!$B$11:$C$447,2,0)</f>
        <v>#N/A</v>
      </c>
      <c r="C2026" s="1538" t="s">
        <v>1628</v>
      </c>
      <c r="D2026" s="1468" t="s">
        <v>1193</v>
      </c>
      <c r="E2026" s="1468" t="s">
        <v>15</v>
      </c>
      <c r="F2026" s="1468"/>
      <c r="G2026" s="1540"/>
      <c r="H2026" s="1540">
        <v>1159179.5249999999</v>
      </c>
      <c r="I2026" s="1540"/>
      <c r="J2026" s="1466">
        <f t="shared" si="80"/>
        <v>1159179.5249999999</v>
      </c>
      <c r="K2026" s="1466"/>
      <c r="L2026" s="1466"/>
      <c r="M2026" s="1540">
        <f t="shared" si="81"/>
        <v>1159179.5249999999</v>
      </c>
      <c r="N2026" s="1552"/>
      <c r="O2026" s="1553"/>
      <c r="P2026" s="559"/>
    </row>
    <row r="2027" spans="1:16" s="540" customFormat="1" ht="14.25" customHeight="1">
      <c r="A2027" s="1551">
        <v>333</v>
      </c>
      <c r="B2027" s="1537" t="str">
        <f>VLOOKUP(D2027,'[2]DS CN MOI UP'!$B$11:$C$447,2,0)</f>
        <v>02524</v>
      </c>
      <c r="C2027" s="1538" t="s">
        <v>1653</v>
      </c>
      <c r="D2027" s="166" t="s">
        <v>139</v>
      </c>
      <c r="E2027" s="1468" t="s">
        <v>15</v>
      </c>
      <c r="F2027" s="1468"/>
      <c r="G2027" s="1540"/>
      <c r="H2027" s="1540">
        <v>1239846.615</v>
      </c>
      <c r="I2027" s="1540"/>
      <c r="J2027" s="1466">
        <f t="shared" si="80"/>
        <v>1239846.615</v>
      </c>
      <c r="K2027" s="1466"/>
      <c r="L2027" s="1466"/>
      <c r="M2027" s="1540">
        <f t="shared" si="81"/>
        <v>1239846.615</v>
      </c>
      <c r="N2027" s="1552"/>
      <c r="P2027" s="559"/>
    </row>
    <row r="2028" spans="1:16" s="540" customFormat="1" ht="14.25" customHeight="1">
      <c r="A2028" s="1551">
        <v>334</v>
      </c>
      <c r="B2028" s="1537" t="e">
        <f>VLOOKUP(D2028,'[2]DS CN MOI UP'!$B$11:$C$447,2,0)</f>
        <v>#N/A</v>
      </c>
      <c r="C2028" s="1538" t="s">
        <v>1653</v>
      </c>
      <c r="D2028" s="166" t="s">
        <v>1194</v>
      </c>
      <c r="E2028" s="1468" t="s">
        <v>1713</v>
      </c>
      <c r="F2028" s="1468"/>
      <c r="G2028" s="1540"/>
      <c r="H2028" s="1540">
        <v>1149145.3259999999</v>
      </c>
      <c r="I2028" s="1540"/>
      <c r="J2028" s="1466">
        <f t="shared" si="80"/>
        <v>1149145.3259999999</v>
      </c>
      <c r="K2028" s="1466"/>
      <c r="L2028" s="1466"/>
      <c r="M2028" s="1540">
        <f t="shared" si="81"/>
        <v>1149145.3259999999</v>
      </c>
      <c r="N2028" s="1552"/>
      <c r="P2028" s="559"/>
    </row>
    <row r="2029" spans="1:16" s="540" customFormat="1" ht="14.25" customHeight="1">
      <c r="A2029" s="1551">
        <v>335</v>
      </c>
      <c r="B2029" s="1537" t="str">
        <f>VLOOKUP(D2029,'[2]DS CN MOI UP'!$B$11:$C$447,2,0)</f>
        <v>02525</v>
      </c>
      <c r="C2029" s="1538" t="s">
        <v>1546</v>
      </c>
      <c r="D2029" s="1468" t="s">
        <v>180</v>
      </c>
      <c r="E2029" s="1468" t="s">
        <v>15</v>
      </c>
      <c r="F2029" s="1468"/>
      <c r="G2029" s="1540"/>
      <c r="H2029" s="1540">
        <v>1159179.5249999999</v>
      </c>
      <c r="I2029" s="1540"/>
      <c r="J2029" s="1466">
        <f t="shared" si="80"/>
        <v>1159179.5249999999</v>
      </c>
      <c r="K2029" s="1466"/>
      <c r="L2029" s="1466"/>
      <c r="M2029" s="1540">
        <f t="shared" si="81"/>
        <v>1159179.5249999999</v>
      </c>
      <c r="N2029" s="1552"/>
      <c r="P2029" s="559"/>
    </row>
    <row r="2030" spans="1:16" s="540" customFormat="1" ht="14.25" customHeight="1">
      <c r="A2030" s="1551">
        <v>336</v>
      </c>
      <c r="B2030" s="1537" t="e">
        <f>VLOOKUP(D2030,'[2]DS CN MOI UP'!$B$11:$C$447,2,0)</f>
        <v>#N/A</v>
      </c>
      <c r="C2030" s="1538" t="s">
        <v>1547</v>
      </c>
      <c r="D2030" s="1468" t="s">
        <v>1195</v>
      </c>
      <c r="E2030" s="1468" t="s">
        <v>15</v>
      </c>
      <c r="F2030" s="1468"/>
      <c r="G2030" s="1540"/>
      <c r="H2030" s="1540">
        <v>1239846.615</v>
      </c>
      <c r="I2030" s="1540"/>
      <c r="J2030" s="1466">
        <f t="shared" si="80"/>
        <v>1239846.615</v>
      </c>
      <c r="K2030" s="1466"/>
      <c r="L2030" s="1466"/>
      <c r="M2030" s="1540">
        <f t="shared" si="81"/>
        <v>1239846.615</v>
      </c>
      <c r="N2030" s="1552"/>
      <c r="P2030" s="559"/>
    </row>
    <row r="2031" spans="1:16" s="540" customFormat="1" ht="14.25" customHeight="1">
      <c r="A2031" s="1551">
        <v>337</v>
      </c>
      <c r="B2031" s="1537" t="str">
        <f>VLOOKUP(D2031,'[2]DS CN MOI UP'!$B$11:$C$447,2,0)</f>
        <v>02526</v>
      </c>
      <c r="C2031" s="1538" t="s">
        <v>1548</v>
      </c>
      <c r="D2031" s="1468" t="s">
        <v>129</v>
      </c>
      <c r="E2031" s="1468" t="s">
        <v>15</v>
      </c>
      <c r="F2031" s="1468"/>
      <c r="G2031" s="1540"/>
      <c r="H2031" s="1540">
        <v>1149145.3259999999</v>
      </c>
      <c r="I2031" s="1540"/>
      <c r="J2031" s="1466">
        <f t="shared" si="80"/>
        <v>1149145.3259999999</v>
      </c>
      <c r="K2031" s="1466"/>
      <c r="L2031" s="1466"/>
      <c r="M2031" s="1540">
        <f t="shared" si="81"/>
        <v>1149145.3259999999</v>
      </c>
      <c r="N2031" s="1552"/>
      <c r="P2031" s="559"/>
    </row>
    <row r="2032" spans="1:16" s="540" customFormat="1" ht="14.25" customHeight="1">
      <c r="A2032" s="1551">
        <v>338</v>
      </c>
      <c r="B2032" s="1537" t="e">
        <f>VLOOKUP(D2032,'[2]DS CN MOI UP'!$B$11:$C$447,2,0)</f>
        <v>#N/A</v>
      </c>
      <c r="C2032" s="1538" t="s">
        <v>1549</v>
      </c>
      <c r="D2032" s="1468" t="s">
        <v>1196</v>
      </c>
      <c r="E2032" s="1468" t="s">
        <v>15</v>
      </c>
      <c r="F2032" s="1468"/>
      <c r="G2032" s="1540"/>
      <c r="H2032" s="1540">
        <v>1229038.53819991</v>
      </c>
      <c r="I2032" s="1540"/>
      <c r="J2032" s="1466">
        <f t="shared" si="80"/>
        <v>1229038.53819991</v>
      </c>
      <c r="K2032" s="1466"/>
      <c r="L2032" s="1466"/>
      <c r="M2032" s="1540">
        <f t="shared" si="81"/>
        <v>1229038.53819991</v>
      </c>
      <c r="N2032" s="1552"/>
      <c r="P2032" s="559"/>
    </row>
    <row r="2033" spans="1:16" s="540" customFormat="1" ht="14.25" customHeight="1">
      <c r="A2033" s="1551">
        <v>339</v>
      </c>
      <c r="B2033" s="1537" t="e">
        <f>VLOOKUP(D2033,'[2]DS CN MOI UP'!$B$11:$C$447,2,0)</f>
        <v>#N/A</v>
      </c>
      <c r="C2033" s="1538" t="s">
        <v>1562</v>
      </c>
      <c r="D2033" s="1468" t="s">
        <v>1542</v>
      </c>
      <c r="E2033" s="1468" t="s">
        <v>15</v>
      </c>
      <c r="F2033" s="1468"/>
      <c r="G2033" s="1540">
        <v>600000</v>
      </c>
      <c r="H2033" s="1466">
        <v>524139.33600000001</v>
      </c>
      <c r="I2033" s="1540"/>
      <c r="J2033" s="1466">
        <f t="shared" ref="J2033:J2161" si="82">SUM(G2033:I2033)</f>
        <v>1124139.3359999999</v>
      </c>
      <c r="K2033" s="1466"/>
      <c r="L2033" s="1466"/>
      <c r="M2033" s="1540">
        <f t="shared" ref="M2033:M2161" si="83">J2033-L2033</f>
        <v>1124139.3359999999</v>
      </c>
      <c r="N2033" s="1552"/>
      <c r="P2033" s="559"/>
    </row>
    <row r="2034" spans="1:16" s="540" customFormat="1" ht="14.25" customHeight="1">
      <c r="A2034" s="1551">
        <v>340</v>
      </c>
      <c r="B2034" s="1537" t="e">
        <f>VLOOKUP(D2034,'[2]DS CN MOI UP'!$B$11:$C$447,2,0)</f>
        <v>#N/A</v>
      </c>
      <c r="C2034" s="1538" t="s">
        <v>1562</v>
      </c>
      <c r="D2034" s="1468" t="s">
        <v>759</v>
      </c>
      <c r="E2034" s="1468" t="s">
        <v>15</v>
      </c>
      <c r="F2034" s="1468"/>
      <c r="G2034" s="1540">
        <v>600000</v>
      </c>
      <c r="H2034" s="1466">
        <v>635040.18900000001</v>
      </c>
      <c r="I2034" s="1540"/>
      <c r="J2034" s="1466">
        <f t="shared" si="82"/>
        <v>1235040.189</v>
      </c>
      <c r="K2034" s="1466"/>
      <c r="L2034" s="1466"/>
      <c r="M2034" s="1540">
        <f t="shared" si="83"/>
        <v>1235040.189</v>
      </c>
      <c r="N2034" s="1552"/>
      <c r="P2034" s="559"/>
    </row>
    <row r="2035" spans="1:16" s="540" customFormat="1" ht="14.25" customHeight="1">
      <c r="A2035" s="1551">
        <v>341</v>
      </c>
      <c r="B2035" s="1537" t="e">
        <f>VLOOKUP(D2035,'[2]DS CN MOI UP'!$B$11:$C$447,2,0)</f>
        <v>#N/A</v>
      </c>
      <c r="C2035" s="1538" t="s">
        <v>1562</v>
      </c>
      <c r="D2035" s="1468" t="s">
        <v>760</v>
      </c>
      <c r="E2035" s="1468" t="s">
        <v>15</v>
      </c>
      <c r="F2035" s="1468"/>
      <c r="G2035" s="1540">
        <v>600000</v>
      </c>
      <c r="H2035" s="1466">
        <v>635040.18900000001</v>
      </c>
      <c r="I2035" s="1540"/>
      <c r="J2035" s="1466">
        <f t="shared" si="82"/>
        <v>1235040.189</v>
      </c>
      <c r="K2035" s="1466"/>
      <c r="L2035" s="1466"/>
      <c r="M2035" s="1540">
        <f t="shared" si="83"/>
        <v>1235040.189</v>
      </c>
      <c r="N2035" s="1552"/>
      <c r="P2035" s="559"/>
    </row>
    <row r="2036" spans="1:16" s="540" customFormat="1" ht="14.25" customHeight="1">
      <c r="A2036" s="1551">
        <v>342</v>
      </c>
      <c r="B2036" s="1537" t="e">
        <f>VLOOKUP(D2036,'[2]DS CN MOI UP'!$B$11:$C$447,2,0)</f>
        <v>#N/A</v>
      </c>
      <c r="C2036" s="1538" t="s">
        <v>1562</v>
      </c>
      <c r="D2036" s="1468" t="s">
        <v>1464</v>
      </c>
      <c r="E2036" s="1468" t="s">
        <v>15</v>
      </c>
      <c r="F2036" s="1468"/>
      <c r="G2036" s="1540">
        <v>600000</v>
      </c>
      <c r="H2036" s="1466">
        <v>635040.18900000001</v>
      </c>
      <c r="I2036" s="1540"/>
      <c r="J2036" s="1466">
        <f t="shared" si="82"/>
        <v>1235040.189</v>
      </c>
      <c r="K2036" s="1466"/>
      <c r="L2036" s="1466"/>
      <c r="M2036" s="1540">
        <f t="shared" si="83"/>
        <v>1235040.189</v>
      </c>
      <c r="N2036" s="1552"/>
      <c r="P2036" s="559"/>
    </row>
    <row r="2037" spans="1:16" s="540" customFormat="1" ht="14.25" customHeight="1">
      <c r="A2037" s="1551">
        <v>343</v>
      </c>
      <c r="B2037" s="1537" t="e">
        <f>VLOOKUP(D2037,'[2]DS CN MOI UP'!$B$11:$C$447,2,0)</f>
        <v>#N/A</v>
      </c>
      <c r="C2037" s="1538" t="s">
        <v>1562</v>
      </c>
      <c r="D2037" s="1468" t="s">
        <v>740</v>
      </c>
      <c r="E2037" s="1468" t="s">
        <v>15</v>
      </c>
      <c r="F2037" s="1468"/>
      <c r="G2037" s="1540">
        <v>600000</v>
      </c>
      <c r="H2037" s="1466">
        <v>635040.18900000001</v>
      </c>
      <c r="I2037" s="1540"/>
      <c r="J2037" s="1466">
        <f t="shared" si="82"/>
        <v>1235040.189</v>
      </c>
      <c r="K2037" s="1466"/>
      <c r="L2037" s="1466"/>
      <c r="M2037" s="1540">
        <f t="shared" si="83"/>
        <v>1235040.189</v>
      </c>
      <c r="N2037" s="1552"/>
      <c r="P2037" s="559"/>
    </row>
    <row r="2038" spans="1:16" s="540" customFormat="1" ht="14.25" customHeight="1">
      <c r="A2038" s="1551">
        <v>344</v>
      </c>
      <c r="B2038" s="1537" t="e">
        <f>VLOOKUP(D2038,'[2]DS CN MOI UP'!$B$11:$C$447,2,0)</f>
        <v>#N/A</v>
      </c>
      <c r="C2038" s="1538" t="s">
        <v>1562</v>
      </c>
      <c r="D2038" s="1468" t="s">
        <v>741</v>
      </c>
      <c r="E2038" s="1468" t="s">
        <v>15</v>
      </c>
      <c r="F2038" s="1468"/>
      <c r="G2038" s="1540">
        <v>600000</v>
      </c>
      <c r="H2038" s="1466">
        <v>635040.18900000001</v>
      </c>
      <c r="I2038" s="1540"/>
      <c r="J2038" s="1466">
        <f t="shared" si="82"/>
        <v>1235040.189</v>
      </c>
      <c r="K2038" s="1466"/>
      <c r="L2038" s="1466"/>
      <c r="M2038" s="1540">
        <f t="shared" si="83"/>
        <v>1235040.189</v>
      </c>
      <c r="N2038" s="1552"/>
      <c r="P2038" s="559"/>
    </row>
    <row r="2039" spans="1:16" s="540" customFormat="1" ht="14.25" customHeight="1">
      <c r="A2039" s="1551">
        <v>345</v>
      </c>
      <c r="B2039" s="1537" t="e">
        <f>VLOOKUP(D2039,'[2]DS CN MOI UP'!$B$11:$C$447,2,0)</f>
        <v>#N/A</v>
      </c>
      <c r="C2039" s="1538" t="s">
        <v>1562</v>
      </c>
      <c r="D2039" s="1468" t="s">
        <v>1465</v>
      </c>
      <c r="E2039" s="1468" t="s">
        <v>15</v>
      </c>
      <c r="F2039" s="1468"/>
      <c r="G2039" s="1540">
        <v>600000</v>
      </c>
      <c r="H2039" s="1466">
        <v>635040.18900000001</v>
      </c>
      <c r="I2039" s="1540"/>
      <c r="J2039" s="1466">
        <f t="shared" si="82"/>
        <v>1235040.189</v>
      </c>
      <c r="K2039" s="1466"/>
      <c r="L2039" s="1466"/>
      <c r="M2039" s="1540">
        <f t="shared" si="83"/>
        <v>1235040.189</v>
      </c>
      <c r="N2039" s="1552"/>
      <c r="P2039" s="559"/>
    </row>
    <row r="2040" spans="1:16" s="540" customFormat="1" ht="14.25" customHeight="1">
      <c r="A2040" s="1551">
        <v>346</v>
      </c>
      <c r="B2040" s="1537" t="e">
        <f>VLOOKUP(D2040,'[2]DS CN MOI UP'!$B$11:$C$447,2,0)</f>
        <v>#N/A</v>
      </c>
      <c r="C2040" s="1538" t="s">
        <v>1562</v>
      </c>
      <c r="D2040" s="1468" t="s">
        <v>743</v>
      </c>
      <c r="E2040" s="1468" t="s">
        <v>15</v>
      </c>
      <c r="F2040" s="1468"/>
      <c r="G2040" s="1540">
        <v>600000</v>
      </c>
      <c r="H2040" s="1466">
        <v>635040.18900000001</v>
      </c>
      <c r="I2040" s="1540"/>
      <c r="J2040" s="1466">
        <f t="shared" si="82"/>
        <v>1235040.189</v>
      </c>
      <c r="K2040" s="1466"/>
      <c r="L2040" s="1466"/>
      <c r="M2040" s="1540">
        <f t="shared" si="83"/>
        <v>1235040.189</v>
      </c>
      <c r="N2040" s="1552"/>
      <c r="P2040" s="559"/>
    </row>
    <row r="2041" spans="1:16" s="540" customFormat="1" ht="14.25" customHeight="1">
      <c r="A2041" s="1551">
        <v>347</v>
      </c>
      <c r="B2041" s="1537" t="e">
        <f>VLOOKUP(D2041,'[2]DS CN MOI UP'!$B$11:$C$447,2,0)</f>
        <v>#N/A</v>
      </c>
      <c r="C2041" s="1538" t="s">
        <v>1562</v>
      </c>
      <c r="D2041" s="1468" t="s">
        <v>1466</v>
      </c>
      <c r="E2041" s="1468" t="s">
        <v>15</v>
      </c>
      <c r="F2041" s="1468"/>
      <c r="G2041" s="1540">
        <v>600000</v>
      </c>
      <c r="H2041" s="1466">
        <v>554373.09900000005</v>
      </c>
      <c r="I2041" s="1540"/>
      <c r="J2041" s="1466">
        <f t="shared" si="82"/>
        <v>1154373.0989999999</v>
      </c>
      <c r="K2041" s="1466"/>
      <c r="L2041" s="1466"/>
      <c r="M2041" s="1540">
        <f t="shared" si="83"/>
        <v>1154373.0989999999</v>
      </c>
      <c r="N2041" s="1552"/>
      <c r="P2041" s="559"/>
    </row>
    <row r="2042" spans="1:16" s="540" customFormat="1" ht="14.25" customHeight="1">
      <c r="A2042" s="1551">
        <v>348</v>
      </c>
      <c r="B2042" s="1537" t="e">
        <f>VLOOKUP(D2042,'[2]DS CN MOI UP'!$B$11:$C$447,2,0)</f>
        <v>#N/A</v>
      </c>
      <c r="C2042" s="1538" t="s">
        <v>1562</v>
      </c>
      <c r="D2042" s="1468" t="s">
        <v>745</v>
      </c>
      <c r="E2042" s="1468" t="s">
        <v>15</v>
      </c>
      <c r="F2042" s="1468"/>
      <c r="G2042" s="1540">
        <v>600000</v>
      </c>
      <c r="H2042" s="1466">
        <v>554373.09900000005</v>
      </c>
      <c r="I2042" s="1540"/>
      <c r="J2042" s="1466">
        <f t="shared" si="82"/>
        <v>1154373.0989999999</v>
      </c>
      <c r="K2042" s="1466"/>
      <c r="L2042" s="1466"/>
      <c r="M2042" s="1540">
        <f t="shared" si="83"/>
        <v>1154373.0989999999</v>
      </c>
      <c r="N2042" s="1552"/>
      <c r="P2042" s="559"/>
    </row>
    <row r="2043" spans="1:16" s="540" customFormat="1" ht="14.25" customHeight="1">
      <c r="A2043" s="1551">
        <v>349</v>
      </c>
      <c r="B2043" s="1537" t="e">
        <f>VLOOKUP(D2043,'[2]DS CN MOI UP'!$B$11:$C$447,2,0)</f>
        <v>#N/A</v>
      </c>
      <c r="C2043" s="1538" t="s">
        <v>1562</v>
      </c>
      <c r="D2043" s="1468" t="s">
        <v>1467</v>
      </c>
      <c r="E2043" s="1468" t="s">
        <v>15</v>
      </c>
      <c r="F2043" s="1468"/>
      <c r="G2043" s="1540">
        <v>600000</v>
      </c>
      <c r="H2043" s="1466">
        <v>554373.09900000005</v>
      </c>
      <c r="I2043" s="1540"/>
      <c r="J2043" s="1466">
        <f t="shared" si="82"/>
        <v>1154373.0989999999</v>
      </c>
      <c r="K2043" s="1466"/>
      <c r="L2043" s="1466"/>
      <c r="M2043" s="1540">
        <f t="shared" si="83"/>
        <v>1154373.0989999999</v>
      </c>
      <c r="N2043" s="1552"/>
      <c r="P2043" s="559"/>
    </row>
    <row r="2044" spans="1:16" s="540" customFormat="1" ht="14.25" customHeight="1">
      <c r="A2044" s="1551">
        <v>350</v>
      </c>
      <c r="B2044" s="1537" t="e">
        <f>VLOOKUP(D2044,'[2]DS CN MOI UP'!$B$11:$C$447,2,0)</f>
        <v>#N/A</v>
      </c>
      <c r="C2044" s="1538" t="s">
        <v>1562</v>
      </c>
      <c r="D2044" s="1468" t="s">
        <v>747</v>
      </c>
      <c r="E2044" s="1468" t="s">
        <v>15</v>
      </c>
      <c r="F2044" s="1468"/>
      <c r="G2044" s="1540">
        <v>600000</v>
      </c>
      <c r="H2044" s="1466">
        <v>635040.18900000001</v>
      </c>
      <c r="I2044" s="1540"/>
      <c r="J2044" s="1466">
        <f t="shared" si="82"/>
        <v>1235040.189</v>
      </c>
      <c r="K2044" s="1466"/>
      <c r="L2044" s="1466"/>
      <c r="M2044" s="1540">
        <f t="shared" si="83"/>
        <v>1235040.189</v>
      </c>
      <c r="N2044" s="1552"/>
      <c r="P2044" s="559"/>
    </row>
    <row r="2045" spans="1:16" s="540" customFormat="1" ht="14.25" customHeight="1">
      <c r="A2045" s="1551">
        <v>351</v>
      </c>
      <c r="B2045" s="1537" t="e">
        <f>VLOOKUP(D2045,'[2]DS CN MOI UP'!$B$11:$C$447,2,0)</f>
        <v>#N/A</v>
      </c>
      <c r="C2045" s="1538" t="s">
        <v>1562</v>
      </c>
      <c r="D2045" s="1468" t="s">
        <v>746</v>
      </c>
      <c r="E2045" s="1468" t="s">
        <v>15</v>
      </c>
      <c r="F2045" s="1468"/>
      <c r="G2045" s="1540">
        <v>600000</v>
      </c>
      <c r="H2045" s="1466">
        <v>544338.9</v>
      </c>
      <c r="I2045" s="1540"/>
      <c r="J2045" s="1466">
        <f t="shared" si="82"/>
        <v>1144338.8999999999</v>
      </c>
      <c r="K2045" s="1466"/>
      <c r="L2045" s="1466"/>
      <c r="M2045" s="1540">
        <f t="shared" si="83"/>
        <v>1144338.8999999999</v>
      </c>
      <c r="N2045" s="1552"/>
      <c r="P2045" s="559"/>
    </row>
    <row r="2046" spans="1:16" s="540" customFormat="1" ht="14.25" customHeight="1">
      <c r="A2046" s="1551">
        <v>352</v>
      </c>
      <c r="B2046" s="1537" t="e">
        <f>VLOOKUP(D2046,'[2]DS CN MOI UP'!$B$11:$C$447,2,0)</f>
        <v>#N/A</v>
      </c>
      <c r="C2046" s="1538" t="s">
        <v>1562</v>
      </c>
      <c r="D2046" s="1468" t="s">
        <v>749</v>
      </c>
      <c r="E2046" s="1468" t="s">
        <v>15</v>
      </c>
      <c r="F2046" s="1468"/>
      <c r="G2046" s="1540">
        <v>600000</v>
      </c>
      <c r="H2046" s="1466">
        <v>574572.66299999994</v>
      </c>
      <c r="I2046" s="1540"/>
      <c r="J2046" s="1466">
        <f t="shared" si="82"/>
        <v>1174572.6629999999</v>
      </c>
      <c r="K2046" s="1466"/>
      <c r="L2046" s="1466"/>
      <c r="M2046" s="1540">
        <f t="shared" si="83"/>
        <v>1174572.6629999999</v>
      </c>
      <c r="N2046" s="1552"/>
      <c r="P2046" s="559"/>
    </row>
    <row r="2047" spans="1:16" s="540" customFormat="1" ht="14.25" customHeight="1">
      <c r="A2047" s="1551">
        <v>353</v>
      </c>
      <c r="B2047" s="1537" t="e">
        <f>VLOOKUP(D2047,'[2]DS CN MOI UP'!$B$11:$C$447,2,0)</f>
        <v>#N/A</v>
      </c>
      <c r="C2047" s="1538" t="s">
        <v>1562</v>
      </c>
      <c r="D2047" s="1468" t="s">
        <v>1468</v>
      </c>
      <c r="E2047" s="1468" t="s">
        <v>15</v>
      </c>
      <c r="F2047" s="1468"/>
      <c r="G2047" s="1540">
        <v>600000</v>
      </c>
      <c r="H2047" s="1466">
        <v>524139.33600000001</v>
      </c>
      <c r="I2047" s="1540"/>
      <c r="J2047" s="1466">
        <f t="shared" si="82"/>
        <v>1124139.3359999999</v>
      </c>
      <c r="K2047" s="1466"/>
      <c r="L2047" s="1466"/>
      <c r="M2047" s="1540">
        <f t="shared" si="83"/>
        <v>1124139.3359999999</v>
      </c>
      <c r="N2047" s="1552"/>
      <c r="P2047" s="559"/>
    </row>
    <row r="2048" spans="1:16" s="540" customFormat="1" ht="14.25" customHeight="1">
      <c r="A2048" s="1551">
        <v>354</v>
      </c>
      <c r="B2048" s="1537" t="e">
        <f>VLOOKUP(D2048,'[2]DS CN MOI UP'!$B$11:$C$447,2,0)</f>
        <v>#N/A</v>
      </c>
      <c r="C2048" s="1538" t="s">
        <v>1562</v>
      </c>
      <c r="D2048" s="1468" t="s">
        <v>751</v>
      </c>
      <c r="E2048" s="1468" t="s">
        <v>15</v>
      </c>
      <c r="F2048" s="1468"/>
      <c r="G2048" s="1540">
        <v>600000</v>
      </c>
      <c r="H2048" s="1466">
        <v>635040.18900000001</v>
      </c>
      <c r="I2048" s="1540"/>
      <c r="J2048" s="1466">
        <f t="shared" si="82"/>
        <v>1235040.189</v>
      </c>
      <c r="K2048" s="1466"/>
      <c r="L2048" s="1466"/>
      <c r="M2048" s="1540">
        <f t="shared" si="83"/>
        <v>1235040.189</v>
      </c>
      <c r="N2048" s="1552"/>
      <c r="P2048" s="559"/>
    </row>
    <row r="2049" spans="1:16" s="540" customFormat="1" ht="14.25" customHeight="1">
      <c r="A2049" s="1551">
        <v>355</v>
      </c>
      <c r="B2049" s="1537" t="e">
        <f>VLOOKUP(D2049,'[2]DS CN MOI UP'!$B$11:$C$447,2,0)</f>
        <v>#N/A</v>
      </c>
      <c r="C2049" s="1538" t="s">
        <v>1562</v>
      </c>
      <c r="D2049" s="1468" t="s">
        <v>752</v>
      </c>
      <c r="E2049" s="1468" t="s">
        <v>15</v>
      </c>
      <c r="F2049" s="1468"/>
      <c r="G2049" s="1540">
        <v>600000</v>
      </c>
      <c r="H2049" s="1466">
        <v>635040.18900000001</v>
      </c>
      <c r="I2049" s="1540"/>
      <c r="J2049" s="1466">
        <f t="shared" si="82"/>
        <v>1235040.189</v>
      </c>
      <c r="K2049" s="1466"/>
      <c r="L2049" s="1466"/>
      <c r="M2049" s="1540">
        <f t="shared" si="83"/>
        <v>1235040.189</v>
      </c>
      <c r="N2049" s="1552"/>
      <c r="P2049" s="559"/>
    </row>
    <row r="2050" spans="1:16" s="540" customFormat="1" ht="14.25" customHeight="1">
      <c r="A2050" s="1551">
        <v>356</v>
      </c>
      <c r="B2050" s="1537" t="str">
        <f>VLOOKUP(D2050,'[2]DS CN MOI UP'!$B$11:$C$447,2,0)</f>
        <v>02605</v>
      </c>
      <c r="C2050" s="1538" t="s">
        <v>1562</v>
      </c>
      <c r="D2050" s="1468" t="s">
        <v>258</v>
      </c>
      <c r="E2050" s="1468" t="s">
        <v>15</v>
      </c>
      <c r="F2050" s="1468"/>
      <c r="G2050" s="1540">
        <v>600000</v>
      </c>
      <c r="H2050" s="1466">
        <v>635040.18900000001</v>
      </c>
      <c r="I2050" s="1540"/>
      <c r="J2050" s="1466">
        <f t="shared" si="82"/>
        <v>1235040.189</v>
      </c>
      <c r="K2050" s="1466"/>
      <c r="L2050" s="1466"/>
      <c r="M2050" s="1540">
        <f t="shared" si="83"/>
        <v>1235040.189</v>
      </c>
      <c r="N2050" s="1552"/>
      <c r="P2050" s="559"/>
    </row>
    <row r="2051" spans="1:16" s="540" customFormat="1" ht="14.25" customHeight="1">
      <c r="A2051" s="1551">
        <v>357</v>
      </c>
      <c r="B2051" s="1537" t="e">
        <f>VLOOKUP(D2051,'[2]DS CN MOI UP'!$B$11:$C$447,2,0)</f>
        <v>#N/A</v>
      </c>
      <c r="C2051" s="1538" t="s">
        <v>1562</v>
      </c>
      <c r="D2051" s="1468" t="s">
        <v>754</v>
      </c>
      <c r="E2051" s="1468" t="s">
        <v>15</v>
      </c>
      <c r="F2051" s="1468"/>
      <c r="G2051" s="1540">
        <v>600000</v>
      </c>
      <c r="H2051" s="1466">
        <v>635040.18900000001</v>
      </c>
      <c r="I2051" s="1540"/>
      <c r="J2051" s="1466">
        <f t="shared" si="82"/>
        <v>1235040.189</v>
      </c>
      <c r="K2051" s="1466"/>
      <c r="L2051" s="1466"/>
      <c r="M2051" s="1540">
        <f t="shared" si="83"/>
        <v>1235040.189</v>
      </c>
      <c r="N2051" s="1552"/>
      <c r="P2051" s="559"/>
    </row>
    <row r="2052" spans="1:16" s="540" customFormat="1" ht="14.25" customHeight="1">
      <c r="A2052" s="1551">
        <v>358</v>
      </c>
      <c r="B2052" s="1537" t="e">
        <f>VLOOKUP(D2052,'[2]DS CN MOI UP'!$B$11:$C$447,2,0)</f>
        <v>#N/A</v>
      </c>
      <c r="C2052" s="1538" t="s">
        <v>1562</v>
      </c>
      <c r="D2052" s="1468" t="s">
        <v>1469</v>
      </c>
      <c r="E2052" s="1468" t="s">
        <v>15</v>
      </c>
      <c r="F2052" s="1468"/>
      <c r="G2052" s="1540">
        <v>600000</v>
      </c>
      <c r="H2052" s="1466">
        <v>635040.18900000001</v>
      </c>
      <c r="I2052" s="1540"/>
      <c r="J2052" s="1466">
        <f t="shared" si="82"/>
        <v>1235040.189</v>
      </c>
      <c r="K2052" s="1466"/>
      <c r="L2052" s="1466"/>
      <c r="M2052" s="1540">
        <f t="shared" si="83"/>
        <v>1235040.189</v>
      </c>
      <c r="N2052" s="1552"/>
      <c r="P2052" s="559"/>
    </row>
    <row r="2053" spans="1:16" s="540" customFormat="1" ht="14.25" customHeight="1">
      <c r="A2053" s="1551">
        <v>359</v>
      </c>
      <c r="B2053" s="1537" t="e">
        <f>VLOOKUP(D2053,'[2]DS CN MOI UP'!$B$11:$C$447,2,0)</f>
        <v>#N/A</v>
      </c>
      <c r="C2053" s="1538" t="s">
        <v>1562</v>
      </c>
      <c r="D2053" s="1468" t="s">
        <v>1470</v>
      </c>
      <c r="E2053" s="1468" t="s">
        <v>15</v>
      </c>
      <c r="F2053" s="1468"/>
      <c r="G2053" s="1540">
        <v>600000</v>
      </c>
      <c r="H2053" s="1466">
        <v>635040.18900000001</v>
      </c>
      <c r="I2053" s="1540"/>
      <c r="J2053" s="1466">
        <f t="shared" si="82"/>
        <v>1235040.189</v>
      </c>
      <c r="K2053" s="1466"/>
      <c r="L2053" s="1466"/>
      <c r="M2053" s="1540">
        <f t="shared" si="83"/>
        <v>1235040.189</v>
      </c>
      <c r="N2053" s="1552"/>
      <c r="P2053" s="559"/>
    </row>
    <row r="2054" spans="1:16" s="540" customFormat="1" ht="14.25" customHeight="1">
      <c r="A2054" s="1551">
        <v>360</v>
      </c>
      <c r="B2054" s="1537" t="e">
        <f>VLOOKUP(D2054,'[2]DS CN MOI UP'!$B$11:$C$447,2,0)</f>
        <v>#N/A</v>
      </c>
      <c r="C2054" s="1538" t="s">
        <v>1562</v>
      </c>
      <c r="D2054" s="1468" t="s">
        <v>1471</v>
      </c>
      <c r="E2054" s="1468" t="s">
        <v>15</v>
      </c>
      <c r="F2054" s="1468"/>
      <c r="G2054" s="1540">
        <v>600000</v>
      </c>
      <c r="H2054" s="1466">
        <v>635040.18900000001</v>
      </c>
      <c r="I2054" s="1540"/>
      <c r="J2054" s="1466">
        <f t="shared" si="82"/>
        <v>1235040.189</v>
      </c>
      <c r="K2054" s="1466"/>
      <c r="L2054" s="1466"/>
      <c r="M2054" s="1540">
        <f t="shared" si="83"/>
        <v>1235040.189</v>
      </c>
      <c r="N2054" s="1552"/>
      <c r="P2054" s="559"/>
    </row>
    <row r="2055" spans="1:16" s="540" customFormat="1" ht="14.25" customHeight="1">
      <c r="A2055" s="1551">
        <v>361</v>
      </c>
      <c r="B2055" s="1537" t="e">
        <f>VLOOKUP(D2055,'[2]DS CN MOI UP'!$B$11:$C$447,2,0)</f>
        <v>#N/A</v>
      </c>
      <c r="C2055" s="1538" t="s">
        <v>1562</v>
      </c>
      <c r="D2055" s="1468" t="s">
        <v>1472</v>
      </c>
      <c r="E2055" s="1468" t="s">
        <v>15</v>
      </c>
      <c r="F2055" s="1468"/>
      <c r="G2055" s="1540">
        <v>600000</v>
      </c>
      <c r="H2055" s="1466">
        <v>554373.09900000005</v>
      </c>
      <c r="I2055" s="1540"/>
      <c r="J2055" s="1466">
        <f t="shared" si="82"/>
        <v>1154373.0989999999</v>
      </c>
      <c r="K2055" s="1466"/>
      <c r="L2055" s="1466"/>
      <c r="M2055" s="1540">
        <f t="shared" si="83"/>
        <v>1154373.0989999999</v>
      </c>
      <c r="N2055" s="1552"/>
      <c r="P2055" s="559"/>
    </row>
    <row r="2056" spans="1:16" s="540" customFormat="1" ht="14.25" customHeight="1">
      <c r="A2056" s="1551">
        <v>362</v>
      </c>
      <c r="B2056" s="1537" t="e">
        <f>VLOOKUP(D2056,'[2]DS CN MOI UP'!$B$11:$C$447,2,0)</f>
        <v>#N/A</v>
      </c>
      <c r="C2056" s="1538" t="s">
        <v>1562</v>
      </c>
      <c r="D2056" s="1468" t="s">
        <v>1473</v>
      </c>
      <c r="E2056" s="1468" t="s">
        <v>15</v>
      </c>
      <c r="F2056" s="1468"/>
      <c r="G2056" s="1540">
        <v>600000</v>
      </c>
      <c r="H2056" s="1466">
        <v>554373.09900000005</v>
      </c>
      <c r="I2056" s="1540"/>
      <c r="J2056" s="1466">
        <f t="shared" si="82"/>
        <v>1154373.0989999999</v>
      </c>
      <c r="K2056" s="1466"/>
      <c r="L2056" s="1466"/>
      <c r="M2056" s="1540">
        <f t="shared" si="83"/>
        <v>1154373.0989999999</v>
      </c>
      <c r="N2056" s="1552"/>
      <c r="P2056" s="559"/>
    </row>
    <row r="2057" spans="1:16" s="540" customFormat="1" ht="14.25" customHeight="1">
      <c r="A2057" s="1551">
        <v>363</v>
      </c>
      <c r="B2057" s="1537" t="e">
        <f>VLOOKUP(D2057,'[2]DS CN MOI UP'!$B$11:$C$447,2,0)</f>
        <v>#N/A</v>
      </c>
      <c r="C2057" s="1538" t="s">
        <v>1562</v>
      </c>
      <c r="D2057" s="1468" t="s">
        <v>1474</v>
      </c>
      <c r="E2057" s="1468" t="s">
        <v>15</v>
      </c>
      <c r="F2057" s="1468"/>
      <c r="G2057" s="1540">
        <v>600000</v>
      </c>
      <c r="H2057" s="1466">
        <v>554373.09900000005</v>
      </c>
      <c r="I2057" s="1540"/>
      <c r="J2057" s="1466">
        <f t="shared" si="82"/>
        <v>1154373.0989999999</v>
      </c>
      <c r="K2057" s="1466"/>
      <c r="L2057" s="1466"/>
      <c r="M2057" s="1540">
        <f t="shared" si="83"/>
        <v>1154373.0989999999</v>
      </c>
      <c r="N2057" s="1552"/>
      <c r="P2057" s="559"/>
    </row>
    <row r="2058" spans="1:16" s="540" customFormat="1" ht="14.25" customHeight="1">
      <c r="A2058" s="1551">
        <v>364</v>
      </c>
      <c r="B2058" s="1537" t="e">
        <f>VLOOKUP(D2058,'[2]DS CN MOI UP'!$B$11:$C$447,2,0)</f>
        <v>#N/A</v>
      </c>
      <c r="C2058" s="1538" t="s">
        <v>1562</v>
      </c>
      <c r="D2058" s="1468" t="s">
        <v>1475</v>
      </c>
      <c r="E2058" s="1468" t="s">
        <v>15</v>
      </c>
      <c r="F2058" s="1468"/>
      <c r="G2058" s="1540">
        <v>600000</v>
      </c>
      <c r="H2058" s="1466">
        <v>635040.18900000001</v>
      </c>
      <c r="I2058" s="1540"/>
      <c r="J2058" s="1466">
        <f t="shared" si="82"/>
        <v>1235040.189</v>
      </c>
      <c r="K2058" s="1466"/>
      <c r="L2058" s="1466"/>
      <c r="M2058" s="1540">
        <f t="shared" si="83"/>
        <v>1235040.189</v>
      </c>
      <c r="N2058" s="1552"/>
      <c r="P2058" s="559"/>
    </row>
    <row r="2059" spans="1:16" s="540" customFormat="1" ht="14.25" customHeight="1">
      <c r="A2059" s="1551">
        <v>365</v>
      </c>
      <c r="B2059" s="1537" t="e">
        <f>VLOOKUP(D2059,'[2]DS CN MOI UP'!$B$11:$C$447,2,0)</f>
        <v>#N/A</v>
      </c>
      <c r="C2059" s="1538" t="s">
        <v>1562</v>
      </c>
      <c r="D2059" s="1468" t="s">
        <v>1476</v>
      </c>
      <c r="E2059" s="1468" t="s">
        <v>15</v>
      </c>
      <c r="F2059" s="1468"/>
      <c r="G2059" s="1540">
        <v>600000</v>
      </c>
      <c r="H2059" s="1466">
        <v>544338.9</v>
      </c>
      <c r="I2059" s="1540"/>
      <c r="J2059" s="1466">
        <f t="shared" ref="J2059:J2084" si="84">SUM(G2059:I2059)</f>
        <v>1144338.8999999999</v>
      </c>
      <c r="K2059" s="1466"/>
      <c r="L2059" s="1466"/>
      <c r="M2059" s="1540">
        <f t="shared" ref="M2059:M2084" si="85">J2059-L2059</f>
        <v>1144338.8999999999</v>
      </c>
      <c r="N2059" s="1552"/>
      <c r="P2059" s="559"/>
    </row>
    <row r="2060" spans="1:16" s="540" customFormat="1" ht="14.25" customHeight="1">
      <c r="A2060" s="1551">
        <v>366</v>
      </c>
      <c r="B2060" s="1537" t="e">
        <f>VLOOKUP(D2060,'[2]DS CN MOI UP'!$B$11:$C$447,2,0)</f>
        <v>#N/A</v>
      </c>
      <c r="C2060" s="1538" t="s">
        <v>1562</v>
      </c>
      <c r="D2060" s="1468" t="s">
        <v>1477</v>
      </c>
      <c r="E2060" s="1468" t="s">
        <v>15</v>
      </c>
      <c r="F2060" s="1468"/>
      <c r="G2060" s="1540">
        <v>600000</v>
      </c>
      <c r="H2060" s="1466">
        <v>574572.66299999994</v>
      </c>
      <c r="I2060" s="1540"/>
      <c r="J2060" s="1466">
        <f t="shared" si="84"/>
        <v>1174572.6629999999</v>
      </c>
      <c r="K2060" s="1466"/>
      <c r="L2060" s="1466"/>
      <c r="M2060" s="1540">
        <f t="shared" si="85"/>
        <v>1174572.6629999999</v>
      </c>
      <c r="N2060" s="1552"/>
      <c r="P2060" s="559"/>
    </row>
    <row r="2061" spans="1:16" s="540" customFormat="1" ht="14.25" customHeight="1">
      <c r="A2061" s="1551">
        <v>367</v>
      </c>
      <c r="B2061" s="1537" t="e">
        <f>VLOOKUP(D2061,'[2]DS CN MOI UP'!$B$11:$C$447,2,0)</f>
        <v>#N/A</v>
      </c>
      <c r="C2061" s="1538" t="s">
        <v>1562</v>
      </c>
      <c r="D2061" s="1468" t="s">
        <v>1478</v>
      </c>
      <c r="E2061" s="1468" t="s">
        <v>15</v>
      </c>
      <c r="F2061" s="1468"/>
      <c r="G2061" s="1540">
        <v>600000</v>
      </c>
      <c r="H2061" s="1466">
        <v>524139.33600000001</v>
      </c>
      <c r="I2061" s="1540"/>
      <c r="J2061" s="1466">
        <f t="shared" si="84"/>
        <v>1124139.3359999999</v>
      </c>
      <c r="K2061" s="1466"/>
      <c r="L2061" s="1466"/>
      <c r="M2061" s="1540">
        <f t="shared" si="85"/>
        <v>1124139.3359999999</v>
      </c>
      <c r="N2061" s="1552"/>
      <c r="P2061" s="559"/>
    </row>
    <row r="2062" spans="1:16" s="540" customFormat="1" ht="14.25" customHeight="1">
      <c r="A2062" s="1551">
        <v>368</v>
      </c>
      <c r="B2062" s="1537" t="e">
        <f>VLOOKUP(D2062,'[2]DS CN MOI UP'!$B$11:$C$447,2,0)</f>
        <v>#N/A</v>
      </c>
      <c r="C2062" s="1538" t="s">
        <v>1562</v>
      </c>
      <c r="D2062" s="1468" t="s">
        <v>1479</v>
      </c>
      <c r="E2062" s="1468" t="s">
        <v>15</v>
      </c>
      <c r="F2062" s="1468"/>
      <c r="G2062" s="1540">
        <v>600000</v>
      </c>
      <c r="H2062" s="1466">
        <v>635040.18900000001</v>
      </c>
      <c r="I2062" s="1540"/>
      <c r="J2062" s="1466">
        <f t="shared" si="84"/>
        <v>1235040.189</v>
      </c>
      <c r="K2062" s="1466"/>
      <c r="L2062" s="1466"/>
      <c r="M2062" s="1540">
        <f t="shared" si="85"/>
        <v>1235040.189</v>
      </c>
      <c r="N2062" s="1552"/>
      <c r="P2062" s="559"/>
    </row>
    <row r="2063" spans="1:16" s="540" customFormat="1" ht="14.25" customHeight="1">
      <c r="A2063" s="1551">
        <v>369</v>
      </c>
      <c r="B2063" s="1537" t="e">
        <f>VLOOKUP(D2063,'[2]DS CN MOI UP'!$B$11:$C$447,2,0)</f>
        <v>#N/A</v>
      </c>
      <c r="C2063" s="1538" t="s">
        <v>1562</v>
      </c>
      <c r="D2063" s="1468" t="s">
        <v>1480</v>
      </c>
      <c r="E2063" s="1468" t="s">
        <v>15</v>
      </c>
      <c r="F2063" s="1468"/>
      <c r="G2063" s="1540">
        <v>600000</v>
      </c>
      <c r="H2063" s="1466">
        <v>635040.18900000001</v>
      </c>
      <c r="I2063" s="1540"/>
      <c r="J2063" s="1466">
        <f t="shared" si="84"/>
        <v>1235040.189</v>
      </c>
      <c r="K2063" s="1466"/>
      <c r="L2063" s="1466"/>
      <c r="M2063" s="1540">
        <f t="shared" si="85"/>
        <v>1235040.189</v>
      </c>
      <c r="N2063" s="1552"/>
      <c r="P2063" s="559"/>
    </row>
    <row r="2064" spans="1:16" s="540" customFormat="1" ht="14.25" customHeight="1">
      <c r="A2064" s="1551">
        <v>370</v>
      </c>
      <c r="B2064" s="1537" t="e">
        <f>VLOOKUP(D2064,'[2]DS CN MOI UP'!$B$11:$C$447,2,0)</f>
        <v>#N/A</v>
      </c>
      <c r="C2064" s="1538" t="s">
        <v>1562</v>
      </c>
      <c r="D2064" s="1468" t="s">
        <v>1481</v>
      </c>
      <c r="E2064" s="1468" t="s">
        <v>15</v>
      </c>
      <c r="F2064" s="1468"/>
      <c r="G2064" s="1540">
        <v>600000</v>
      </c>
      <c r="H2064" s="1466">
        <v>635040.18900000001</v>
      </c>
      <c r="I2064" s="1540"/>
      <c r="J2064" s="1466">
        <f t="shared" si="84"/>
        <v>1235040.189</v>
      </c>
      <c r="K2064" s="1466"/>
      <c r="L2064" s="1466"/>
      <c r="M2064" s="1540">
        <f t="shared" si="85"/>
        <v>1235040.189</v>
      </c>
      <c r="N2064" s="1552"/>
      <c r="P2064" s="559"/>
    </row>
    <row r="2065" spans="1:16" s="540" customFormat="1" ht="14.25" customHeight="1">
      <c r="A2065" s="1551">
        <v>371</v>
      </c>
      <c r="B2065" s="1537" t="e">
        <f>VLOOKUP(D2065,'[2]DS CN MOI UP'!$B$11:$C$447,2,0)</f>
        <v>#N/A</v>
      </c>
      <c r="C2065" s="1538" t="s">
        <v>1562</v>
      </c>
      <c r="D2065" s="1468" t="s">
        <v>1482</v>
      </c>
      <c r="E2065" s="1468" t="s">
        <v>15</v>
      </c>
      <c r="F2065" s="1468"/>
      <c r="G2065" s="1540">
        <v>480655.07599999802</v>
      </c>
      <c r="H2065" s="1466">
        <v>635040.18900000001</v>
      </c>
      <c r="I2065" s="1540"/>
      <c r="J2065" s="1466">
        <f t="shared" si="84"/>
        <v>1115695.2649999999</v>
      </c>
      <c r="K2065" s="1466"/>
      <c r="L2065" s="1466"/>
      <c r="M2065" s="1540">
        <f t="shared" si="85"/>
        <v>1115695.2649999999</v>
      </c>
      <c r="N2065" s="1552"/>
      <c r="P2065" s="559"/>
    </row>
    <row r="2066" spans="1:16" s="540" customFormat="1" ht="14.25" customHeight="1">
      <c r="A2066" s="1551">
        <v>372</v>
      </c>
      <c r="B2066" s="1537" t="e">
        <f>VLOOKUP(D2066,'[2]DS CN MOI UP'!$B$11:$C$447,2,0)</f>
        <v>#N/A</v>
      </c>
      <c r="C2066" s="1538" t="s">
        <v>1562</v>
      </c>
      <c r="D2066" s="1468" t="s">
        <v>1483</v>
      </c>
      <c r="E2066" s="1468" t="s">
        <v>15</v>
      </c>
      <c r="F2066" s="1468"/>
      <c r="G2066" s="1540"/>
      <c r="H2066" s="1466">
        <v>635040.18900000001</v>
      </c>
      <c r="I2066" s="1540">
        <v>600000</v>
      </c>
      <c r="J2066" s="1466">
        <f t="shared" si="84"/>
        <v>1235040.189</v>
      </c>
      <c r="K2066" s="1466"/>
      <c r="L2066" s="1466"/>
      <c r="M2066" s="1540">
        <f t="shared" si="85"/>
        <v>1235040.189</v>
      </c>
      <c r="N2066" s="1552"/>
      <c r="P2066" s="559"/>
    </row>
    <row r="2067" spans="1:16" s="540" customFormat="1" ht="14.25" customHeight="1">
      <c r="A2067" s="1551">
        <v>373</v>
      </c>
      <c r="B2067" s="1537" t="e">
        <f>VLOOKUP(D2067,'[2]DS CN MOI UP'!$B$11:$C$447,2,0)</f>
        <v>#N/A</v>
      </c>
      <c r="C2067" s="1538" t="s">
        <v>1562</v>
      </c>
      <c r="D2067" s="1468" t="s">
        <v>1484</v>
      </c>
      <c r="E2067" s="1468" t="s">
        <v>15</v>
      </c>
      <c r="F2067" s="1468"/>
      <c r="G2067" s="1540"/>
      <c r="H2067" s="1466">
        <v>635040.18900000001</v>
      </c>
      <c r="I2067" s="1540">
        <v>600000</v>
      </c>
      <c r="J2067" s="1466">
        <f t="shared" si="84"/>
        <v>1235040.189</v>
      </c>
      <c r="K2067" s="1466"/>
      <c r="L2067" s="1466"/>
      <c r="M2067" s="1540">
        <f t="shared" si="85"/>
        <v>1235040.189</v>
      </c>
      <c r="N2067" s="1552"/>
      <c r="P2067" s="559"/>
    </row>
    <row r="2068" spans="1:16" s="540" customFormat="1" ht="14.25" customHeight="1">
      <c r="A2068" s="1551">
        <v>374</v>
      </c>
      <c r="B2068" s="1537" t="e">
        <f>VLOOKUP(D2068,'[2]DS CN MOI UP'!$B$11:$C$447,2,0)</f>
        <v>#N/A</v>
      </c>
      <c r="C2068" s="1538" t="s">
        <v>1562</v>
      </c>
      <c r="D2068" s="1468" t="s">
        <v>1485</v>
      </c>
      <c r="E2068" s="1468" t="s">
        <v>15</v>
      </c>
      <c r="F2068" s="1468"/>
      <c r="G2068" s="1540"/>
      <c r="H2068" s="1466">
        <v>635040.18900000001</v>
      </c>
      <c r="I2068" s="1540">
        <v>600000</v>
      </c>
      <c r="J2068" s="1466">
        <f t="shared" si="84"/>
        <v>1235040.189</v>
      </c>
      <c r="K2068" s="1466"/>
      <c r="L2068" s="1466"/>
      <c r="M2068" s="1540">
        <f t="shared" si="85"/>
        <v>1235040.189</v>
      </c>
      <c r="N2068" s="1552"/>
      <c r="P2068" s="559"/>
    </row>
    <row r="2069" spans="1:16" s="540" customFormat="1" ht="14.25" customHeight="1">
      <c r="A2069" s="1551">
        <v>375</v>
      </c>
      <c r="B2069" s="1537" t="e">
        <f>VLOOKUP(D2069,'[2]DS CN MOI UP'!$B$11:$C$447,2,0)</f>
        <v>#N/A</v>
      </c>
      <c r="C2069" s="1538" t="s">
        <v>1562</v>
      </c>
      <c r="D2069" s="1468" t="s">
        <v>1486</v>
      </c>
      <c r="E2069" s="1468" t="s">
        <v>15</v>
      </c>
      <c r="F2069" s="1468"/>
      <c r="G2069" s="1540"/>
      <c r="H2069" s="1466">
        <v>554373.09900000005</v>
      </c>
      <c r="I2069" s="1540">
        <v>600000</v>
      </c>
      <c r="J2069" s="1466">
        <f t="shared" si="84"/>
        <v>1154373.0989999999</v>
      </c>
      <c r="K2069" s="1466"/>
      <c r="L2069" s="1466"/>
      <c r="M2069" s="1540">
        <f t="shared" si="85"/>
        <v>1154373.0989999999</v>
      </c>
      <c r="N2069" s="1552"/>
      <c r="P2069" s="559"/>
    </row>
    <row r="2070" spans="1:16" s="540" customFormat="1" ht="14.25" customHeight="1">
      <c r="A2070" s="1551">
        <v>376</v>
      </c>
      <c r="B2070" s="1537" t="e">
        <f>VLOOKUP(D2070,'[2]DS CN MOI UP'!$B$11:$C$447,2,0)</f>
        <v>#N/A</v>
      </c>
      <c r="C2070" s="1538" t="s">
        <v>1562</v>
      </c>
      <c r="D2070" s="1468" t="s">
        <v>1487</v>
      </c>
      <c r="E2070" s="1468" t="s">
        <v>15</v>
      </c>
      <c r="F2070" s="1468"/>
      <c r="G2070" s="1540"/>
      <c r="H2070" s="1466">
        <v>554373.09900000005</v>
      </c>
      <c r="I2070" s="1540">
        <v>600000</v>
      </c>
      <c r="J2070" s="1466">
        <f t="shared" si="84"/>
        <v>1154373.0989999999</v>
      </c>
      <c r="K2070" s="1466"/>
      <c r="L2070" s="1466"/>
      <c r="M2070" s="1540">
        <f t="shared" si="85"/>
        <v>1154373.0989999999</v>
      </c>
      <c r="N2070" s="1552"/>
      <c r="P2070" s="559"/>
    </row>
    <row r="2071" spans="1:16" s="540" customFormat="1" ht="14.25" customHeight="1">
      <c r="A2071" s="1551">
        <v>377</v>
      </c>
      <c r="B2071" s="1537" t="e">
        <f>VLOOKUP(D2071,'[2]DS CN MOI UP'!$B$11:$C$447,2,0)</f>
        <v>#N/A</v>
      </c>
      <c r="C2071" s="1538" t="s">
        <v>1562</v>
      </c>
      <c r="D2071" s="1468" t="s">
        <v>1489</v>
      </c>
      <c r="E2071" s="1468" t="s">
        <v>15</v>
      </c>
      <c r="F2071" s="1468"/>
      <c r="G2071" s="1540"/>
      <c r="H2071" s="1466">
        <v>554373.09900000005</v>
      </c>
      <c r="I2071" s="1540">
        <v>600000</v>
      </c>
      <c r="J2071" s="1466">
        <f t="shared" si="84"/>
        <v>1154373.0989999999</v>
      </c>
      <c r="K2071" s="1466"/>
      <c r="L2071" s="1466"/>
      <c r="M2071" s="1540">
        <f t="shared" si="85"/>
        <v>1154373.0989999999</v>
      </c>
      <c r="N2071" s="1552"/>
      <c r="P2071" s="559"/>
    </row>
    <row r="2072" spans="1:16" s="540" customFormat="1" ht="14.25" customHeight="1">
      <c r="A2072" s="1551">
        <v>378</v>
      </c>
      <c r="B2072" s="1537" t="e">
        <f>VLOOKUP(D2072,'[2]DS CN MOI UP'!$B$11:$C$447,2,0)</f>
        <v>#N/A</v>
      </c>
      <c r="C2072" s="1538" t="s">
        <v>1562</v>
      </c>
      <c r="D2072" s="1468" t="s">
        <v>1490</v>
      </c>
      <c r="E2072" s="1468" t="s">
        <v>15</v>
      </c>
      <c r="F2072" s="1468"/>
      <c r="G2072" s="1540"/>
      <c r="H2072" s="1466">
        <v>635040.18900000001</v>
      </c>
      <c r="I2072" s="1540">
        <v>600000</v>
      </c>
      <c r="J2072" s="1466">
        <f t="shared" si="84"/>
        <v>1235040.189</v>
      </c>
      <c r="K2072" s="1466"/>
      <c r="L2072" s="1466"/>
      <c r="M2072" s="1540">
        <f t="shared" si="85"/>
        <v>1235040.189</v>
      </c>
      <c r="N2072" s="1552"/>
      <c r="P2072" s="559"/>
    </row>
    <row r="2073" spans="1:16" s="540" customFormat="1" ht="14.25" customHeight="1">
      <c r="A2073" s="1551">
        <v>379</v>
      </c>
      <c r="B2073" s="1537" t="e">
        <f>VLOOKUP(D2073,'[2]DS CN MOI UP'!$B$11:$C$447,2,0)</f>
        <v>#N/A</v>
      </c>
      <c r="C2073" s="1538" t="s">
        <v>1562</v>
      </c>
      <c r="D2073" s="1468" t="s">
        <v>1491</v>
      </c>
      <c r="E2073" s="1468" t="s">
        <v>15</v>
      </c>
      <c r="F2073" s="1468"/>
      <c r="G2073" s="1540"/>
      <c r="H2073" s="1466">
        <v>544338.9</v>
      </c>
      <c r="I2073" s="1540">
        <v>600000</v>
      </c>
      <c r="J2073" s="1466">
        <f t="shared" si="84"/>
        <v>1144338.8999999999</v>
      </c>
      <c r="K2073" s="1466"/>
      <c r="L2073" s="1466"/>
      <c r="M2073" s="1540">
        <f t="shared" si="85"/>
        <v>1144338.8999999999</v>
      </c>
      <c r="N2073" s="1552"/>
      <c r="P2073" s="559"/>
    </row>
    <row r="2074" spans="1:16" s="540" customFormat="1" ht="14.25" customHeight="1">
      <c r="A2074" s="1551">
        <v>380</v>
      </c>
      <c r="B2074" s="1537" t="e">
        <f>VLOOKUP(D2074,'[2]DS CN MOI UP'!$B$11:$C$447,2,0)</f>
        <v>#N/A</v>
      </c>
      <c r="C2074" s="1538" t="s">
        <v>1562</v>
      </c>
      <c r="D2074" s="1468" t="s">
        <v>1492</v>
      </c>
      <c r="E2074" s="1468" t="s">
        <v>15</v>
      </c>
      <c r="F2074" s="1468"/>
      <c r="G2074" s="1540"/>
      <c r="H2074" s="1466">
        <v>574572.66299999994</v>
      </c>
      <c r="I2074" s="1540">
        <v>600000</v>
      </c>
      <c r="J2074" s="1466">
        <f t="shared" si="84"/>
        <v>1174572.6629999999</v>
      </c>
      <c r="K2074" s="1466"/>
      <c r="L2074" s="1466"/>
      <c r="M2074" s="1540">
        <f t="shared" si="85"/>
        <v>1174572.6629999999</v>
      </c>
      <c r="N2074" s="1552"/>
      <c r="P2074" s="559"/>
    </row>
    <row r="2075" spans="1:16" s="540" customFormat="1" ht="14.25" customHeight="1">
      <c r="A2075" s="1551">
        <v>381</v>
      </c>
      <c r="B2075" s="1537" t="e">
        <f>VLOOKUP(D2075,'[2]DS CN MOI UP'!$B$11:$C$447,2,0)</f>
        <v>#N/A</v>
      </c>
      <c r="C2075" s="1538" t="s">
        <v>1562</v>
      </c>
      <c r="D2075" s="1468" t="s">
        <v>1493</v>
      </c>
      <c r="E2075" s="1468" t="s">
        <v>15</v>
      </c>
      <c r="F2075" s="1468"/>
      <c r="G2075" s="1540"/>
      <c r="H2075" s="1466">
        <v>524139.33600000001</v>
      </c>
      <c r="I2075" s="1540">
        <v>600000</v>
      </c>
      <c r="J2075" s="1466">
        <f t="shared" si="84"/>
        <v>1124139.3359999999</v>
      </c>
      <c r="K2075" s="1466"/>
      <c r="L2075" s="1466"/>
      <c r="M2075" s="1540">
        <f t="shared" si="85"/>
        <v>1124139.3359999999</v>
      </c>
      <c r="N2075" s="1552"/>
      <c r="P2075" s="559"/>
    </row>
    <row r="2076" spans="1:16" s="540" customFormat="1" ht="14.25" customHeight="1">
      <c r="A2076" s="1551">
        <v>382</v>
      </c>
      <c r="B2076" s="1537" t="e">
        <f>VLOOKUP(D2076,'[2]DS CN MOI UP'!$B$11:$C$447,2,0)</f>
        <v>#N/A</v>
      </c>
      <c r="C2076" s="1538" t="s">
        <v>1562</v>
      </c>
      <c r="D2076" s="1468" t="s">
        <v>1494</v>
      </c>
      <c r="E2076" s="1468" t="s">
        <v>15</v>
      </c>
      <c r="F2076" s="1468"/>
      <c r="G2076" s="1540"/>
      <c r="H2076" s="1466">
        <v>635040.18900000001</v>
      </c>
      <c r="I2076" s="1540">
        <v>600000</v>
      </c>
      <c r="J2076" s="1466">
        <f t="shared" si="84"/>
        <v>1235040.189</v>
      </c>
      <c r="K2076" s="1466"/>
      <c r="L2076" s="1466"/>
      <c r="M2076" s="1540">
        <f t="shared" si="85"/>
        <v>1235040.189</v>
      </c>
      <c r="N2076" s="1552"/>
      <c r="P2076" s="559"/>
    </row>
    <row r="2077" spans="1:16" s="540" customFormat="1" ht="14.25" customHeight="1">
      <c r="A2077" s="1551">
        <v>383</v>
      </c>
      <c r="B2077" s="1537" t="e">
        <f>VLOOKUP(D2077,'[2]DS CN MOI UP'!$B$11:$C$447,2,0)</f>
        <v>#N/A</v>
      </c>
      <c r="C2077" s="1538" t="s">
        <v>1562</v>
      </c>
      <c r="D2077" s="1468" t="s">
        <v>1495</v>
      </c>
      <c r="E2077" s="1468" t="s">
        <v>15</v>
      </c>
      <c r="F2077" s="1468"/>
      <c r="G2077" s="1540"/>
      <c r="H2077" s="1466">
        <v>635040.18900000001</v>
      </c>
      <c r="I2077" s="1540">
        <v>600000</v>
      </c>
      <c r="J2077" s="1466">
        <f t="shared" si="84"/>
        <v>1235040.189</v>
      </c>
      <c r="K2077" s="1466"/>
      <c r="L2077" s="1466"/>
      <c r="M2077" s="1540">
        <f t="shared" si="85"/>
        <v>1235040.189</v>
      </c>
      <c r="N2077" s="1552"/>
      <c r="P2077" s="559"/>
    </row>
    <row r="2078" spans="1:16" s="540" customFormat="1" ht="14.25" customHeight="1">
      <c r="A2078" s="1551">
        <v>384</v>
      </c>
      <c r="B2078" s="1537" t="e">
        <f>VLOOKUP(D2078,'[2]DS CN MOI UP'!$B$11:$C$447,2,0)</f>
        <v>#N/A</v>
      </c>
      <c r="C2078" s="1538" t="s">
        <v>1562</v>
      </c>
      <c r="D2078" s="1468" t="s">
        <v>1496</v>
      </c>
      <c r="E2078" s="1468" t="s">
        <v>15</v>
      </c>
      <c r="F2078" s="1468"/>
      <c r="G2078" s="1540"/>
      <c r="H2078" s="1466">
        <v>635040.18900000001</v>
      </c>
      <c r="I2078" s="1540">
        <v>600000</v>
      </c>
      <c r="J2078" s="1466">
        <f t="shared" si="84"/>
        <v>1235040.189</v>
      </c>
      <c r="K2078" s="1466"/>
      <c r="L2078" s="1466"/>
      <c r="M2078" s="1540">
        <f t="shared" si="85"/>
        <v>1235040.189</v>
      </c>
      <c r="N2078" s="1552"/>
      <c r="P2078" s="559"/>
    </row>
    <row r="2079" spans="1:16" s="540" customFormat="1" ht="14.25" customHeight="1">
      <c r="A2079" s="1551">
        <v>385</v>
      </c>
      <c r="B2079" s="1537" t="e">
        <f>VLOOKUP(D2079,'[2]DS CN MOI UP'!$B$11:$C$447,2,0)</f>
        <v>#N/A</v>
      </c>
      <c r="C2079" s="1538" t="s">
        <v>1562</v>
      </c>
      <c r="D2079" s="1468" t="s">
        <v>1497</v>
      </c>
      <c r="E2079" s="1468" t="s">
        <v>15</v>
      </c>
      <c r="F2079" s="1468"/>
      <c r="G2079" s="1540"/>
      <c r="H2079" s="1466">
        <v>635040.18900000001</v>
      </c>
      <c r="I2079" s="1540">
        <v>600000</v>
      </c>
      <c r="J2079" s="1466">
        <f t="shared" si="84"/>
        <v>1235040.189</v>
      </c>
      <c r="K2079" s="1466"/>
      <c r="L2079" s="1466"/>
      <c r="M2079" s="1540">
        <f t="shared" si="85"/>
        <v>1235040.189</v>
      </c>
      <c r="N2079" s="1552"/>
      <c r="P2079" s="559"/>
    </row>
    <row r="2080" spans="1:16" s="540" customFormat="1" ht="14.25" customHeight="1">
      <c r="A2080" s="1551">
        <v>386</v>
      </c>
      <c r="B2080" s="1537" t="e">
        <f>VLOOKUP(D2080,'[2]DS CN MOI UP'!$B$11:$C$447,2,0)</f>
        <v>#N/A</v>
      </c>
      <c r="C2080" s="1538" t="s">
        <v>1562</v>
      </c>
      <c r="D2080" s="1468" t="s">
        <v>1498</v>
      </c>
      <c r="E2080" s="1468" t="s">
        <v>15</v>
      </c>
      <c r="F2080" s="1468"/>
      <c r="G2080" s="1540"/>
      <c r="H2080" s="1466">
        <v>635040.18900000001</v>
      </c>
      <c r="I2080" s="1540">
        <v>600000</v>
      </c>
      <c r="J2080" s="1466">
        <f t="shared" si="84"/>
        <v>1235040.189</v>
      </c>
      <c r="K2080" s="1466"/>
      <c r="L2080" s="1466"/>
      <c r="M2080" s="1540">
        <f t="shared" si="85"/>
        <v>1235040.189</v>
      </c>
      <c r="N2080" s="1552"/>
      <c r="P2080" s="559"/>
    </row>
    <row r="2081" spans="1:16" s="540" customFormat="1" ht="14.25" customHeight="1">
      <c r="A2081" s="1551">
        <v>387</v>
      </c>
      <c r="B2081" s="1537" t="e">
        <f>VLOOKUP(D2081,'[2]DS CN MOI UP'!$B$11:$C$447,2,0)</f>
        <v>#N/A</v>
      </c>
      <c r="C2081" s="1538" t="s">
        <v>1562</v>
      </c>
      <c r="D2081" s="1468" t="s">
        <v>1499</v>
      </c>
      <c r="E2081" s="1468" t="s">
        <v>15</v>
      </c>
      <c r="F2081" s="1468"/>
      <c r="G2081" s="1540"/>
      <c r="H2081" s="1466">
        <v>635040.18900000001</v>
      </c>
      <c r="I2081" s="1540">
        <v>600000</v>
      </c>
      <c r="J2081" s="1466">
        <f t="shared" si="84"/>
        <v>1235040.189</v>
      </c>
      <c r="K2081" s="1466"/>
      <c r="L2081" s="1466"/>
      <c r="M2081" s="1540">
        <f t="shared" si="85"/>
        <v>1235040.189</v>
      </c>
      <c r="N2081" s="1552"/>
      <c r="P2081" s="559"/>
    </row>
    <row r="2082" spans="1:16" s="540" customFormat="1" ht="14.25" customHeight="1">
      <c r="A2082" s="1551">
        <v>388</v>
      </c>
      <c r="B2082" s="1537" t="e">
        <f>VLOOKUP(D2082,'[2]DS CN MOI UP'!$B$11:$C$447,2,0)</f>
        <v>#N/A</v>
      </c>
      <c r="C2082" s="1538" t="s">
        <v>1562</v>
      </c>
      <c r="D2082" s="1468" t="s">
        <v>755</v>
      </c>
      <c r="E2082" s="1468" t="s">
        <v>15</v>
      </c>
      <c r="F2082" s="1468"/>
      <c r="G2082" s="1540"/>
      <c r="H2082" s="1466">
        <v>635040.18900000001</v>
      </c>
      <c r="I2082" s="1540">
        <v>600000</v>
      </c>
      <c r="J2082" s="1466">
        <f t="shared" si="84"/>
        <v>1235040.189</v>
      </c>
      <c r="K2082" s="1466"/>
      <c r="L2082" s="1466"/>
      <c r="M2082" s="1540">
        <f t="shared" si="85"/>
        <v>1235040.189</v>
      </c>
      <c r="N2082" s="1552"/>
      <c r="P2082" s="559"/>
    </row>
    <row r="2083" spans="1:16" s="540" customFormat="1" ht="14.25" customHeight="1">
      <c r="A2083" s="1551">
        <v>389</v>
      </c>
      <c r="B2083" s="1537" t="e">
        <f>VLOOKUP(D2083,'[2]DS CN MOI UP'!$B$11:$C$447,2,0)</f>
        <v>#N/A</v>
      </c>
      <c r="C2083" s="1538" t="s">
        <v>1562</v>
      </c>
      <c r="D2083" s="1468" t="s">
        <v>756</v>
      </c>
      <c r="E2083" s="1468" t="s">
        <v>15</v>
      </c>
      <c r="F2083" s="1468"/>
      <c r="G2083" s="1540"/>
      <c r="H2083" s="1466">
        <v>554373.09900000005</v>
      </c>
      <c r="I2083" s="1540">
        <v>600000</v>
      </c>
      <c r="J2083" s="1466">
        <f t="shared" si="84"/>
        <v>1154373.0989999999</v>
      </c>
      <c r="K2083" s="1466"/>
      <c r="L2083" s="1466"/>
      <c r="M2083" s="1540">
        <f t="shared" si="85"/>
        <v>1154373.0989999999</v>
      </c>
      <c r="N2083" s="1552"/>
      <c r="P2083" s="559"/>
    </row>
    <row r="2084" spans="1:16" s="540" customFormat="1" ht="14.25" customHeight="1">
      <c r="A2084" s="1551">
        <v>390</v>
      </c>
      <c r="B2084" s="1537" t="e">
        <f>VLOOKUP(D2084,'[2]DS CN MOI UP'!$B$11:$C$447,2,0)</f>
        <v>#N/A</v>
      </c>
      <c r="C2084" s="1538" t="s">
        <v>1562</v>
      </c>
      <c r="D2084" s="1468" t="s">
        <v>1500</v>
      </c>
      <c r="E2084" s="1468" t="s">
        <v>15</v>
      </c>
      <c r="F2084" s="1468"/>
      <c r="G2084" s="1540"/>
      <c r="H2084" s="1466">
        <v>554373.09900000005</v>
      </c>
      <c r="I2084" s="1540">
        <v>600000</v>
      </c>
      <c r="J2084" s="1466">
        <f t="shared" si="84"/>
        <v>1154373.0989999999</v>
      </c>
      <c r="K2084" s="1466"/>
      <c r="L2084" s="1466"/>
      <c r="M2084" s="1540">
        <f t="shared" si="85"/>
        <v>1154373.0989999999</v>
      </c>
      <c r="N2084" s="1552"/>
      <c r="P2084" s="559"/>
    </row>
    <row r="2085" spans="1:16" s="540" customFormat="1" ht="14.25" customHeight="1">
      <c r="A2085" s="1551">
        <v>391</v>
      </c>
      <c r="B2085" s="1537" t="str">
        <f>VLOOKUP(D2085,'[2]DS CN MOI UP'!$B$11:$C$447,2,0)</f>
        <v>02495</v>
      </c>
      <c r="C2085" s="1538" t="s">
        <v>1562</v>
      </c>
      <c r="D2085" s="1468" t="s">
        <v>120</v>
      </c>
      <c r="E2085" s="1468" t="s">
        <v>15</v>
      </c>
      <c r="F2085" s="1468"/>
      <c r="G2085" s="1540"/>
      <c r="H2085" s="1466">
        <v>554373.09900000005</v>
      </c>
      <c r="I2085" s="1540">
        <v>600000</v>
      </c>
      <c r="J2085" s="1466">
        <f t="shared" si="82"/>
        <v>1154373.0989999999</v>
      </c>
      <c r="K2085" s="1466"/>
      <c r="L2085" s="1466"/>
      <c r="M2085" s="1540">
        <f t="shared" si="83"/>
        <v>1154373.0989999999</v>
      </c>
      <c r="N2085" s="1552"/>
      <c r="P2085" s="559"/>
    </row>
    <row r="2086" spans="1:16" s="540" customFormat="1" ht="14.25" customHeight="1">
      <c r="A2086" s="1551">
        <v>392</v>
      </c>
      <c r="B2086" s="1537" t="str">
        <f>VLOOKUP(D2086,'[2]DS CN MOI UP'!$B$11:$C$447,2,0)</f>
        <v>02505</v>
      </c>
      <c r="C2086" s="1538" t="s">
        <v>1562</v>
      </c>
      <c r="D2086" s="1468" t="s">
        <v>117</v>
      </c>
      <c r="E2086" s="1468" t="s">
        <v>15</v>
      </c>
      <c r="F2086" s="1468"/>
      <c r="G2086" s="1540"/>
      <c r="H2086" s="1466">
        <v>635040.18900000001</v>
      </c>
      <c r="I2086" s="1540">
        <v>600000</v>
      </c>
      <c r="J2086" s="1466">
        <f t="shared" si="82"/>
        <v>1235040.189</v>
      </c>
      <c r="K2086" s="1466"/>
      <c r="L2086" s="1466"/>
      <c r="M2086" s="1540">
        <f t="shared" si="83"/>
        <v>1235040.189</v>
      </c>
      <c r="N2086" s="1552"/>
      <c r="P2086" s="559"/>
    </row>
    <row r="2087" spans="1:16" s="540" customFormat="1" ht="14.25" customHeight="1">
      <c r="A2087" s="1551">
        <v>393</v>
      </c>
      <c r="B2087" s="1537" t="str">
        <f>VLOOKUP(D2087,'[2]DS CN MOI UP'!$B$11:$C$447,2,0)</f>
        <v>02516</v>
      </c>
      <c r="C2087" s="1538" t="s">
        <v>1562</v>
      </c>
      <c r="D2087" s="1468" t="s">
        <v>122</v>
      </c>
      <c r="E2087" s="1468" t="s">
        <v>15</v>
      </c>
      <c r="F2087" s="1468"/>
      <c r="G2087" s="1540"/>
      <c r="H2087" s="1466">
        <v>544338.9</v>
      </c>
      <c r="I2087" s="1540">
        <v>600000</v>
      </c>
      <c r="J2087" s="1466">
        <f t="shared" si="82"/>
        <v>1144338.8999999999</v>
      </c>
      <c r="K2087" s="1466"/>
      <c r="L2087" s="1466"/>
      <c r="M2087" s="1540">
        <f t="shared" si="83"/>
        <v>1144338.8999999999</v>
      </c>
      <c r="N2087" s="1552"/>
      <c r="P2087" s="559"/>
    </row>
    <row r="2088" spans="1:16" s="540" customFormat="1" ht="14.25" customHeight="1">
      <c r="A2088" s="1551">
        <v>394</v>
      </c>
      <c r="B2088" s="1537" t="str">
        <f>VLOOKUP(D2088,'[2]DS CN MOI UP'!$B$11:$C$447,2,0)</f>
        <v>03347</v>
      </c>
      <c r="C2088" s="1538" t="s">
        <v>1562</v>
      </c>
      <c r="D2088" s="1468" t="s">
        <v>121</v>
      </c>
      <c r="E2088" s="1468" t="s">
        <v>15</v>
      </c>
      <c r="F2088" s="1468"/>
      <c r="G2088" s="1540"/>
      <c r="H2088" s="1466">
        <v>574572.66299999994</v>
      </c>
      <c r="I2088" s="1540">
        <v>600000</v>
      </c>
      <c r="J2088" s="1466">
        <f t="shared" si="82"/>
        <v>1174572.6629999999</v>
      </c>
      <c r="K2088" s="1466"/>
      <c r="L2088" s="1466"/>
      <c r="M2088" s="1540">
        <f t="shared" si="83"/>
        <v>1174572.6629999999</v>
      </c>
      <c r="N2088" s="1552"/>
      <c r="P2088" s="559"/>
    </row>
    <row r="2089" spans="1:16" s="540" customFormat="1" ht="14.25" customHeight="1">
      <c r="A2089" s="1551">
        <v>395</v>
      </c>
      <c r="B2089" s="1537" t="str">
        <f>VLOOKUP(D2089,'[2]DS CN MOI UP'!$B$11:$C$447,2,0)</f>
        <v>02539</v>
      </c>
      <c r="C2089" s="1538" t="s">
        <v>1562</v>
      </c>
      <c r="D2089" s="1468" t="s">
        <v>195</v>
      </c>
      <c r="E2089" s="1468" t="s">
        <v>15</v>
      </c>
      <c r="F2089" s="1468"/>
      <c r="G2089" s="1540"/>
      <c r="H2089" s="1466">
        <v>524139.33600000001</v>
      </c>
      <c r="I2089" s="1540">
        <v>600000</v>
      </c>
      <c r="J2089" s="1466">
        <f t="shared" si="82"/>
        <v>1124139.3359999999</v>
      </c>
      <c r="K2089" s="1466"/>
      <c r="L2089" s="1466"/>
      <c r="M2089" s="1540">
        <f t="shared" si="83"/>
        <v>1124139.3359999999</v>
      </c>
      <c r="N2089" s="1552"/>
      <c r="P2089" s="559"/>
    </row>
    <row r="2090" spans="1:16" s="540" customFormat="1" ht="14.25" customHeight="1">
      <c r="A2090" s="1551">
        <v>396</v>
      </c>
      <c r="B2090" s="1537" t="e">
        <f>VLOOKUP(D2090,'[2]DS CN MOI UP'!$B$11:$C$447,2,0)</f>
        <v>#N/A</v>
      </c>
      <c r="C2090" s="1538" t="s">
        <v>1562</v>
      </c>
      <c r="D2090" s="1468" t="s">
        <v>1174</v>
      </c>
      <c r="E2090" s="1468" t="s">
        <v>15</v>
      </c>
      <c r="F2090" s="1468"/>
      <c r="G2090" s="1540"/>
      <c r="H2090" s="1466">
        <v>635040.18900000001</v>
      </c>
      <c r="I2090" s="1540">
        <v>600000</v>
      </c>
      <c r="J2090" s="1466">
        <f t="shared" si="82"/>
        <v>1235040.189</v>
      </c>
      <c r="K2090" s="1466"/>
      <c r="L2090" s="1466"/>
      <c r="M2090" s="1540">
        <f t="shared" si="83"/>
        <v>1235040.189</v>
      </c>
      <c r="N2090" s="1552"/>
      <c r="P2090" s="559"/>
    </row>
    <row r="2091" spans="1:16" s="540" customFormat="1" ht="14.25" customHeight="1">
      <c r="A2091" s="1551">
        <v>397</v>
      </c>
      <c r="B2091" s="1537" t="e">
        <f>VLOOKUP(D2091,'[2]DS CN MOI UP'!$B$11:$C$447,2,0)</f>
        <v>#N/A</v>
      </c>
      <c r="C2091" s="1538" t="s">
        <v>1562</v>
      </c>
      <c r="D2091" s="1468" t="s">
        <v>1175</v>
      </c>
      <c r="E2091" s="1468" t="s">
        <v>15</v>
      </c>
      <c r="F2091" s="1468"/>
      <c r="G2091" s="1540"/>
      <c r="H2091" s="1466">
        <v>635040.18900000001</v>
      </c>
      <c r="I2091" s="1540">
        <v>600000</v>
      </c>
      <c r="J2091" s="1466">
        <f t="shared" si="82"/>
        <v>1235040.189</v>
      </c>
      <c r="K2091" s="1466"/>
      <c r="L2091" s="1466"/>
      <c r="M2091" s="1540">
        <f t="shared" si="83"/>
        <v>1235040.189</v>
      </c>
      <c r="N2091" s="1552"/>
      <c r="P2091" s="559"/>
    </row>
    <row r="2092" spans="1:16" s="540" customFormat="1" ht="14.25" customHeight="1">
      <c r="A2092" s="1551">
        <v>398</v>
      </c>
      <c r="B2092" s="1537" t="e">
        <f>VLOOKUP(D2092,'[2]DS CN MOI UP'!$B$11:$C$447,2,0)</f>
        <v>#N/A</v>
      </c>
      <c r="C2092" s="1538" t="s">
        <v>1562</v>
      </c>
      <c r="D2092" s="1468" t="s">
        <v>1176</v>
      </c>
      <c r="E2092" s="1468" t="s">
        <v>15</v>
      </c>
      <c r="F2092" s="1468"/>
      <c r="G2092" s="1540"/>
      <c r="H2092" s="1466">
        <v>635040.18900000001</v>
      </c>
      <c r="I2092" s="1540">
        <v>600000</v>
      </c>
      <c r="J2092" s="1466">
        <f t="shared" si="82"/>
        <v>1235040.189</v>
      </c>
      <c r="K2092" s="1466"/>
      <c r="L2092" s="1466"/>
      <c r="M2092" s="1540">
        <f t="shared" si="83"/>
        <v>1235040.189</v>
      </c>
      <c r="N2092" s="1552"/>
      <c r="P2092" s="559"/>
    </row>
    <row r="2093" spans="1:16" s="540" customFormat="1" ht="14.25" customHeight="1">
      <c r="A2093" s="1551">
        <v>399</v>
      </c>
      <c r="B2093" s="1537" t="str">
        <f>VLOOKUP(D2093,'[2]DS CN MOI UP'!$B$11:$C$447,2,0)</f>
        <v>02541</v>
      </c>
      <c r="C2093" s="1538" t="s">
        <v>1562</v>
      </c>
      <c r="D2093" s="1468" t="s">
        <v>185</v>
      </c>
      <c r="E2093" s="1468" t="s">
        <v>15</v>
      </c>
      <c r="F2093" s="1468"/>
      <c r="G2093" s="1540"/>
      <c r="H2093" s="1466">
        <v>635040.18900000001</v>
      </c>
      <c r="I2093" s="1540">
        <v>600000</v>
      </c>
      <c r="J2093" s="1466">
        <f t="shared" si="82"/>
        <v>1235040.189</v>
      </c>
      <c r="K2093" s="1466"/>
      <c r="L2093" s="1466"/>
      <c r="M2093" s="1540">
        <f t="shared" si="83"/>
        <v>1235040.189</v>
      </c>
      <c r="N2093" s="1552"/>
      <c r="P2093" s="559"/>
    </row>
    <row r="2094" spans="1:16" s="540" customFormat="1" ht="14.25" customHeight="1">
      <c r="A2094" s="1551">
        <v>400</v>
      </c>
      <c r="B2094" s="1537" t="e">
        <f>VLOOKUP(D2094,'[2]DS CN MOI UP'!$B$11:$C$447,2,0)</f>
        <v>#N/A</v>
      </c>
      <c r="C2094" s="1538" t="s">
        <v>1562</v>
      </c>
      <c r="D2094" s="1468" t="s">
        <v>1177</v>
      </c>
      <c r="E2094" s="1468" t="s">
        <v>15</v>
      </c>
      <c r="F2094" s="1468"/>
      <c r="G2094" s="1540"/>
      <c r="H2094" s="1466">
        <v>635040.18900000001</v>
      </c>
      <c r="I2094" s="1540">
        <v>600000</v>
      </c>
      <c r="J2094" s="1466">
        <f t="shared" si="82"/>
        <v>1235040.189</v>
      </c>
      <c r="K2094" s="1466"/>
      <c r="L2094" s="1466"/>
      <c r="M2094" s="1540">
        <f t="shared" si="83"/>
        <v>1235040.189</v>
      </c>
      <c r="N2094" s="1552"/>
      <c r="P2094" s="559"/>
    </row>
    <row r="2095" spans="1:16" s="540" customFormat="1" ht="14.25" customHeight="1">
      <c r="A2095" s="1551">
        <v>401</v>
      </c>
      <c r="B2095" s="1537" t="e">
        <f>VLOOKUP(D2095,'[2]DS CN MOI UP'!$B$11:$C$447,2,0)</f>
        <v>#N/A</v>
      </c>
      <c r="C2095" s="1538" t="s">
        <v>1562</v>
      </c>
      <c r="D2095" s="1468" t="s">
        <v>1178</v>
      </c>
      <c r="E2095" s="1468" t="s">
        <v>15</v>
      </c>
      <c r="F2095" s="1468"/>
      <c r="G2095" s="1540"/>
      <c r="H2095" s="1466">
        <v>635040.18900000001</v>
      </c>
      <c r="I2095" s="1540">
        <v>600000</v>
      </c>
      <c r="J2095" s="1466">
        <f t="shared" si="82"/>
        <v>1235040.189</v>
      </c>
      <c r="K2095" s="1466"/>
      <c r="L2095" s="1466"/>
      <c r="M2095" s="1540">
        <f t="shared" si="83"/>
        <v>1235040.189</v>
      </c>
      <c r="N2095" s="1552"/>
      <c r="P2095" s="559"/>
    </row>
    <row r="2096" spans="1:16" s="540" customFormat="1" ht="14.25" customHeight="1">
      <c r="A2096" s="1551">
        <v>402</v>
      </c>
      <c r="B2096" s="1537" t="str">
        <f>VLOOKUP(D2096,'[2]DS CN MOI UP'!$B$11:$C$447,2,0)</f>
        <v>02542</v>
      </c>
      <c r="C2096" s="1538" t="s">
        <v>1562</v>
      </c>
      <c r="D2096" s="1468" t="s">
        <v>504</v>
      </c>
      <c r="E2096" s="1468" t="s">
        <v>15</v>
      </c>
      <c r="F2096" s="1468"/>
      <c r="G2096" s="1540"/>
      <c r="H2096" s="1466">
        <v>635040.18900000001</v>
      </c>
      <c r="I2096" s="1540">
        <v>600000</v>
      </c>
      <c r="J2096" s="1466">
        <f t="shared" si="82"/>
        <v>1235040.189</v>
      </c>
      <c r="K2096" s="1466"/>
      <c r="L2096" s="1466"/>
      <c r="M2096" s="1540">
        <f t="shared" si="83"/>
        <v>1235040.189</v>
      </c>
      <c r="N2096" s="1552"/>
      <c r="P2096" s="559"/>
    </row>
    <row r="2097" spans="1:16" s="540" customFormat="1" ht="14.25" customHeight="1">
      <c r="A2097" s="1551">
        <v>403</v>
      </c>
      <c r="B2097" s="1537" t="str">
        <f>VLOOKUP(D2097,'[2]DS CN MOI UP'!$B$11:$C$447,2,0)</f>
        <v>02541</v>
      </c>
      <c r="C2097" s="1538" t="s">
        <v>1562</v>
      </c>
      <c r="D2097" s="1468" t="s">
        <v>185</v>
      </c>
      <c r="E2097" s="1468" t="s">
        <v>15</v>
      </c>
      <c r="F2097" s="1468"/>
      <c r="G2097" s="1540"/>
      <c r="H2097" s="1466">
        <v>554373.09900000005</v>
      </c>
      <c r="I2097" s="1540">
        <v>600000</v>
      </c>
      <c r="J2097" s="1466">
        <f t="shared" si="82"/>
        <v>1154373.0989999999</v>
      </c>
      <c r="K2097" s="1466"/>
      <c r="L2097" s="1466"/>
      <c r="M2097" s="1540">
        <f t="shared" si="83"/>
        <v>1154373.0989999999</v>
      </c>
      <c r="N2097" s="1552"/>
      <c r="P2097" s="559"/>
    </row>
    <row r="2098" spans="1:16" s="540" customFormat="1" ht="14.25" customHeight="1">
      <c r="A2098" s="1551">
        <v>404</v>
      </c>
      <c r="B2098" s="1537" t="e">
        <f>VLOOKUP(D2098,'[2]DS CN MOI UP'!$B$11:$C$447,2,0)</f>
        <v>#N/A</v>
      </c>
      <c r="C2098" s="1538" t="s">
        <v>1562</v>
      </c>
      <c r="D2098" s="1468" t="s">
        <v>972</v>
      </c>
      <c r="E2098" s="1468" t="s">
        <v>15</v>
      </c>
      <c r="F2098" s="1468"/>
      <c r="G2098" s="1540"/>
      <c r="H2098" s="1466">
        <v>554373.09900000005</v>
      </c>
      <c r="I2098" s="1540">
        <v>600000</v>
      </c>
      <c r="J2098" s="1466">
        <f t="shared" si="82"/>
        <v>1154373.0989999999</v>
      </c>
      <c r="K2098" s="1466"/>
      <c r="L2098" s="1466"/>
      <c r="M2098" s="1540">
        <f t="shared" si="83"/>
        <v>1154373.0989999999</v>
      </c>
      <c r="N2098" s="1552"/>
      <c r="P2098" s="559"/>
    </row>
    <row r="2099" spans="1:16" s="540" customFormat="1" ht="14.25" customHeight="1">
      <c r="A2099" s="1551">
        <v>405</v>
      </c>
      <c r="B2099" s="1537" t="str">
        <f>VLOOKUP(D2099,'[2]DS CN MOI UP'!$B$11:$C$447,2,0)</f>
        <v>02543</v>
      </c>
      <c r="C2099" s="1538" t="s">
        <v>1562</v>
      </c>
      <c r="D2099" s="1468" t="s">
        <v>189</v>
      </c>
      <c r="E2099" s="1468" t="s">
        <v>15</v>
      </c>
      <c r="F2099" s="1468"/>
      <c r="G2099" s="1540"/>
      <c r="H2099" s="1466">
        <v>554373.09900000005</v>
      </c>
      <c r="I2099" s="1540">
        <v>600000</v>
      </c>
      <c r="J2099" s="1466">
        <f t="shared" si="82"/>
        <v>1154373.0989999999</v>
      </c>
      <c r="K2099" s="1466"/>
      <c r="L2099" s="1466"/>
      <c r="M2099" s="1540">
        <f t="shared" si="83"/>
        <v>1154373.0989999999</v>
      </c>
      <c r="N2099" s="1552"/>
      <c r="P2099" s="559"/>
    </row>
    <row r="2100" spans="1:16" s="540" customFormat="1" ht="14.25" customHeight="1">
      <c r="A2100" s="1551">
        <v>406</v>
      </c>
      <c r="B2100" s="1537" t="str">
        <f>VLOOKUP(D2100,'[2]DS CN MOI UP'!$B$11:$C$447,2,0)</f>
        <v>02510</v>
      </c>
      <c r="C2100" s="1538" t="s">
        <v>1562</v>
      </c>
      <c r="D2100" s="1468" t="s">
        <v>41</v>
      </c>
      <c r="E2100" s="1468" t="s">
        <v>15</v>
      </c>
      <c r="F2100" s="1468"/>
      <c r="G2100" s="1540"/>
      <c r="H2100" s="1466">
        <v>635040.18900000001</v>
      </c>
      <c r="I2100" s="1540">
        <v>600000</v>
      </c>
      <c r="J2100" s="1466">
        <f t="shared" si="82"/>
        <v>1235040.189</v>
      </c>
      <c r="K2100" s="1466"/>
      <c r="L2100" s="1466"/>
      <c r="M2100" s="1540">
        <f t="shared" si="83"/>
        <v>1235040.189</v>
      </c>
      <c r="N2100" s="1552"/>
      <c r="P2100" s="559"/>
    </row>
    <row r="2101" spans="1:16" s="540" customFormat="1" ht="14.25" customHeight="1">
      <c r="A2101" s="1551">
        <v>407</v>
      </c>
      <c r="B2101" s="1537" t="e">
        <f>VLOOKUP(D2101,'[2]DS CN MOI UP'!$B$11:$C$447,2,0)</f>
        <v>#N/A</v>
      </c>
      <c r="C2101" s="1538" t="s">
        <v>1562</v>
      </c>
      <c r="D2101" s="1468" t="s">
        <v>1077</v>
      </c>
      <c r="E2101" s="1468" t="s">
        <v>15</v>
      </c>
      <c r="F2101" s="1468"/>
      <c r="G2101" s="1540"/>
      <c r="H2101" s="1466">
        <v>544338.9</v>
      </c>
      <c r="I2101" s="1540">
        <v>600000</v>
      </c>
      <c r="J2101" s="1466">
        <f t="shared" si="82"/>
        <v>1144338.8999999999</v>
      </c>
      <c r="K2101" s="1466"/>
      <c r="L2101" s="1466"/>
      <c r="M2101" s="1540">
        <f t="shared" si="83"/>
        <v>1144338.8999999999</v>
      </c>
      <c r="N2101" s="1552"/>
      <c r="P2101" s="559"/>
    </row>
    <row r="2102" spans="1:16" s="540" customFormat="1" ht="14.25" customHeight="1">
      <c r="A2102" s="1551">
        <v>408</v>
      </c>
      <c r="B2102" s="1537" t="e">
        <f>VLOOKUP(D2102,'[2]DS CN MOI UP'!$B$11:$C$447,2,0)</f>
        <v>#N/A</v>
      </c>
      <c r="C2102" s="1538" t="s">
        <v>1562</v>
      </c>
      <c r="D2102" s="1468" t="s">
        <v>1179</v>
      </c>
      <c r="E2102" s="1468" t="s">
        <v>15</v>
      </c>
      <c r="F2102" s="1468"/>
      <c r="G2102" s="1540"/>
      <c r="H2102" s="1466">
        <v>574572.66299999994</v>
      </c>
      <c r="I2102" s="1540">
        <v>600000</v>
      </c>
      <c r="J2102" s="1466">
        <f t="shared" si="82"/>
        <v>1174572.6629999999</v>
      </c>
      <c r="K2102" s="1466"/>
      <c r="L2102" s="1466"/>
      <c r="M2102" s="1540">
        <f t="shared" si="83"/>
        <v>1174572.6629999999</v>
      </c>
      <c r="N2102" s="1552"/>
      <c r="P2102" s="559"/>
    </row>
    <row r="2103" spans="1:16" s="540" customFormat="1" ht="14.25" customHeight="1">
      <c r="A2103" s="1551">
        <v>409</v>
      </c>
      <c r="B2103" s="1537" t="str">
        <f>VLOOKUP(D2103,'[2]DS CN MOI UP'!$B$11:$C$447,2,0)</f>
        <v>02545</v>
      </c>
      <c r="C2103" s="1538" t="s">
        <v>1562</v>
      </c>
      <c r="D2103" s="1468" t="s">
        <v>126</v>
      </c>
      <c r="E2103" s="1468" t="s">
        <v>15</v>
      </c>
      <c r="F2103" s="1468"/>
      <c r="G2103" s="1540"/>
      <c r="H2103" s="1466">
        <v>524139.33600000001</v>
      </c>
      <c r="I2103" s="1540">
        <v>600000</v>
      </c>
      <c r="J2103" s="1466">
        <f t="shared" si="82"/>
        <v>1124139.3359999999</v>
      </c>
      <c r="K2103" s="1466"/>
      <c r="L2103" s="1466"/>
      <c r="M2103" s="1540">
        <f t="shared" si="83"/>
        <v>1124139.3359999999</v>
      </c>
      <c r="N2103" s="1552"/>
      <c r="P2103" s="559"/>
    </row>
    <row r="2104" spans="1:16" s="540" customFormat="1" ht="14.25" customHeight="1">
      <c r="A2104" s="1551">
        <v>410</v>
      </c>
      <c r="B2104" s="1537" t="e">
        <f>VLOOKUP(D2104,'[2]DS CN MOI UP'!$B$11:$C$447,2,0)</f>
        <v>#N/A</v>
      </c>
      <c r="C2104" s="1538" t="s">
        <v>1562</v>
      </c>
      <c r="D2104" s="1468" t="s">
        <v>1180</v>
      </c>
      <c r="E2104" s="1468" t="s">
        <v>15</v>
      </c>
      <c r="F2104" s="1468"/>
      <c r="G2104" s="1540"/>
      <c r="H2104" s="1466">
        <v>635040.18900000001</v>
      </c>
      <c r="I2104" s="1540">
        <v>600000</v>
      </c>
      <c r="J2104" s="1466">
        <f t="shared" si="82"/>
        <v>1235040.189</v>
      </c>
      <c r="K2104" s="1466"/>
      <c r="L2104" s="1466"/>
      <c r="M2104" s="1540">
        <f t="shared" si="83"/>
        <v>1235040.189</v>
      </c>
      <c r="N2104" s="1552"/>
      <c r="P2104" s="559"/>
    </row>
    <row r="2105" spans="1:16" s="540" customFormat="1" ht="14.25" customHeight="1">
      <c r="A2105" s="1551">
        <v>411</v>
      </c>
      <c r="B2105" s="1537" t="str">
        <f>VLOOKUP(D2105,'[2]DS CN MOI UP'!$B$11:$C$447,2,0)</f>
        <v>03402</v>
      </c>
      <c r="C2105" s="1538" t="s">
        <v>1562</v>
      </c>
      <c r="D2105" s="1468" t="s">
        <v>312</v>
      </c>
      <c r="E2105" s="1468" t="s">
        <v>15</v>
      </c>
      <c r="F2105" s="1468"/>
      <c r="G2105" s="1540"/>
      <c r="H2105" s="1466">
        <v>635040.18900000001</v>
      </c>
      <c r="I2105" s="1540">
        <v>600000</v>
      </c>
      <c r="J2105" s="1466">
        <f t="shared" si="82"/>
        <v>1235040.189</v>
      </c>
      <c r="K2105" s="1466"/>
      <c r="L2105" s="1466"/>
      <c r="M2105" s="1540">
        <f t="shared" si="83"/>
        <v>1235040.189</v>
      </c>
      <c r="N2105" s="1552"/>
      <c r="P2105" s="559"/>
    </row>
    <row r="2106" spans="1:16" s="540" customFormat="1" ht="14.25" customHeight="1">
      <c r="A2106" s="1551">
        <v>412</v>
      </c>
      <c r="B2106" s="1537" t="e">
        <f>VLOOKUP(D2106,'[2]DS CN MOI UP'!$B$11:$C$447,2,0)</f>
        <v>#N/A</v>
      </c>
      <c r="C2106" s="1538" t="s">
        <v>1562</v>
      </c>
      <c r="D2106" s="1468" t="s">
        <v>1181</v>
      </c>
      <c r="E2106" s="1468" t="s">
        <v>15</v>
      </c>
      <c r="F2106" s="1468"/>
      <c r="G2106" s="1540"/>
      <c r="H2106" s="1466">
        <v>635040.18900000001</v>
      </c>
      <c r="I2106" s="1540">
        <v>600000</v>
      </c>
      <c r="J2106" s="1466">
        <f t="shared" si="82"/>
        <v>1235040.189</v>
      </c>
      <c r="K2106" s="1466"/>
      <c r="L2106" s="1466"/>
      <c r="M2106" s="1540">
        <f t="shared" si="83"/>
        <v>1235040.189</v>
      </c>
      <c r="N2106" s="1552"/>
      <c r="P2106" s="559"/>
    </row>
    <row r="2107" spans="1:16" s="540" customFormat="1" ht="14.25" customHeight="1">
      <c r="A2107" s="1551">
        <v>413</v>
      </c>
      <c r="B2107" s="1537" t="str">
        <f>VLOOKUP(D2107,'[2]DS CN MOI UP'!$B$11:$C$447,2,0)</f>
        <v>02547</v>
      </c>
      <c r="C2107" s="1538" t="s">
        <v>1562</v>
      </c>
      <c r="D2107" s="1468" t="s">
        <v>199</v>
      </c>
      <c r="E2107" s="1468" t="s">
        <v>15</v>
      </c>
      <c r="F2107" s="1468"/>
      <c r="G2107" s="1540"/>
      <c r="H2107" s="1466">
        <v>635040.18900000001</v>
      </c>
      <c r="I2107" s="1540">
        <v>600000</v>
      </c>
      <c r="J2107" s="1466">
        <f t="shared" si="82"/>
        <v>1235040.189</v>
      </c>
      <c r="K2107" s="1466"/>
      <c r="L2107" s="1466"/>
      <c r="M2107" s="1540">
        <f t="shared" si="83"/>
        <v>1235040.189</v>
      </c>
      <c r="N2107" s="1552"/>
      <c r="P2107" s="559"/>
    </row>
    <row r="2108" spans="1:16" s="540" customFormat="1" ht="14.25" customHeight="1">
      <c r="A2108" s="1551">
        <v>414</v>
      </c>
      <c r="B2108" s="1537" t="e">
        <f>VLOOKUP(D2108,'[2]DS CN MOI UP'!$B$11:$C$447,2,0)</f>
        <v>#N/A</v>
      </c>
      <c r="C2108" s="1538" t="s">
        <v>1562</v>
      </c>
      <c r="D2108" s="1468" t="s">
        <v>1182</v>
      </c>
      <c r="E2108" s="1468" t="s">
        <v>15</v>
      </c>
      <c r="F2108" s="1468"/>
      <c r="G2108" s="1540"/>
      <c r="H2108" s="1466">
        <v>635040.18900000001</v>
      </c>
      <c r="I2108" s="1540">
        <v>600000</v>
      </c>
      <c r="J2108" s="1466">
        <f t="shared" si="82"/>
        <v>1235040.189</v>
      </c>
      <c r="K2108" s="1466"/>
      <c r="L2108" s="1466"/>
      <c r="M2108" s="1540">
        <f t="shared" si="83"/>
        <v>1235040.189</v>
      </c>
      <c r="N2108" s="1552"/>
      <c r="P2108" s="559"/>
    </row>
    <row r="2109" spans="1:16" s="540" customFormat="1" ht="14.25" customHeight="1">
      <c r="A2109" s="1551">
        <v>415</v>
      </c>
      <c r="B2109" s="1537" t="e">
        <f>VLOOKUP(D2109,'[2]DS CN MOI UP'!$B$11:$C$447,2,0)</f>
        <v>#N/A</v>
      </c>
      <c r="C2109" s="1538" t="s">
        <v>1562</v>
      </c>
      <c r="D2109" s="1468" t="s">
        <v>1183</v>
      </c>
      <c r="E2109" s="1468" t="s">
        <v>15</v>
      </c>
      <c r="F2109" s="1468"/>
      <c r="G2109" s="1540"/>
      <c r="H2109" s="1466">
        <v>635040.18900000001</v>
      </c>
      <c r="I2109" s="1540">
        <v>600000</v>
      </c>
      <c r="J2109" s="1466">
        <f t="shared" si="82"/>
        <v>1235040.189</v>
      </c>
      <c r="K2109" s="1466"/>
      <c r="L2109" s="1466"/>
      <c r="M2109" s="1540">
        <f t="shared" si="83"/>
        <v>1235040.189</v>
      </c>
      <c r="N2109" s="1552"/>
      <c r="P2109" s="559"/>
    </row>
    <row r="2110" spans="1:16" s="540" customFormat="1" ht="14.25" customHeight="1">
      <c r="A2110" s="1551">
        <v>416</v>
      </c>
      <c r="B2110" s="1537" t="e">
        <f>VLOOKUP(D2110,'[2]DS CN MOI UP'!$B$11:$C$447,2,0)</f>
        <v>#N/A</v>
      </c>
      <c r="C2110" s="1538" t="s">
        <v>1562</v>
      </c>
      <c r="D2110" s="1468" t="s">
        <v>1184</v>
      </c>
      <c r="E2110" s="1468" t="s">
        <v>15</v>
      </c>
      <c r="F2110" s="1468"/>
      <c r="G2110" s="1540"/>
      <c r="H2110" s="1466">
        <v>635040.18900000001</v>
      </c>
      <c r="I2110" s="1540">
        <v>600000</v>
      </c>
      <c r="J2110" s="1466">
        <f t="shared" si="82"/>
        <v>1235040.189</v>
      </c>
      <c r="K2110" s="1466"/>
      <c r="L2110" s="1466"/>
      <c r="M2110" s="1540">
        <f t="shared" si="83"/>
        <v>1235040.189</v>
      </c>
      <c r="N2110" s="1552"/>
      <c r="P2110" s="559"/>
    </row>
    <row r="2111" spans="1:16" s="540" customFormat="1" ht="14.25" customHeight="1">
      <c r="A2111" s="1551">
        <v>417</v>
      </c>
      <c r="B2111" s="1537" t="e">
        <f>VLOOKUP(D2111,'[2]DS CN MOI UP'!$B$11:$C$447,2,0)</f>
        <v>#N/A</v>
      </c>
      <c r="C2111" s="1538" t="s">
        <v>1562</v>
      </c>
      <c r="D2111" s="1468" t="s">
        <v>1185</v>
      </c>
      <c r="E2111" s="1468" t="s">
        <v>15</v>
      </c>
      <c r="F2111" s="1468"/>
      <c r="G2111" s="1540"/>
      <c r="H2111" s="1466">
        <v>554373.09900000005</v>
      </c>
      <c r="I2111" s="1540">
        <v>600000</v>
      </c>
      <c r="J2111" s="1466">
        <f t="shared" ref="J2111:J2135" si="86">SUM(G2111:I2111)</f>
        <v>1154373.0989999999</v>
      </c>
      <c r="K2111" s="1466"/>
      <c r="L2111" s="1466"/>
      <c r="M2111" s="1540">
        <f t="shared" ref="M2111:M2135" si="87">J2111-L2111</f>
        <v>1154373.0989999999</v>
      </c>
      <c r="N2111" s="1552"/>
      <c r="P2111" s="559"/>
    </row>
    <row r="2112" spans="1:16" s="540" customFormat="1" ht="14.25" customHeight="1">
      <c r="A2112" s="1551">
        <v>418</v>
      </c>
      <c r="B2112" s="1537" t="e">
        <f>VLOOKUP(D2112,'[2]DS CN MOI UP'!$B$11:$C$447,2,0)</f>
        <v>#N/A</v>
      </c>
      <c r="C2112" s="1538" t="s">
        <v>1562</v>
      </c>
      <c r="D2112" s="1468" t="s">
        <v>1186</v>
      </c>
      <c r="E2112" s="1468" t="s">
        <v>15</v>
      </c>
      <c r="F2112" s="1468"/>
      <c r="G2112" s="1540"/>
      <c r="H2112" s="1466">
        <v>554373.09900000005</v>
      </c>
      <c r="I2112" s="1540">
        <v>600000</v>
      </c>
      <c r="J2112" s="1466">
        <f t="shared" si="86"/>
        <v>1154373.0989999999</v>
      </c>
      <c r="K2112" s="1466"/>
      <c r="L2112" s="1466"/>
      <c r="M2112" s="1540">
        <f t="shared" si="87"/>
        <v>1154373.0989999999</v>
      </c>
      <c r="N2112" s="1552"/>
      <c r="P2112" s="559"/>
    </row>
    <row r="2113" spans="1:17" s="540" customFormat="1" ht="14.25" customHeight="1">
      <c r="A2113" s="1551">
        <v>419</v>
      </c>
      <c r="B2113" s="1537" t="str">
        <f>VLOOKUP(D2113,'[2]DS CN MOI UP'!$B$11:$C$447,2,0)</f>
        <v>02518</v>
      </c>
      <c r="C2113" s="1538" t="s">
        <v>1562</v>
      </c>
      <c r="D2113" s="1468" t="s">
        <v>135</v>
      </c>
      <c r="E2113" s="1468" t="s">
        <v>15</v>
      </c>
      <c r="F2113" s="1468"/>
      <c r="G2113" s="1540"/>
      <c r="H2113" s="1466">
        <v>554373.09900000005</v>
      </c>
      <c r="I2113" s="1540">
        <v>600000</v>
      </c>
      <c r="J2113" s="1466">
        <f t="shared" si="86"/>
        <v>1154373.0989999999</v>
      </c>
      <c r="K2113" s="1466"/>
      <c r="L2113" s="1466"/>
      <c r="M2113" s="1540">
        <f t="shared" si="87"/>
        <v>1154373.0989999999</v>
      </c>
      <c r="N2113" s="1552"/>
      <c r="P2113" s="559"/>
    </row>
    <row r="2114" spans="1:17" s="540" customFormat="1" ht="14.25" customHeight="1">
      <c r="A2114" s="1551">
        <v>420</v>
      </c>
      <c r="B2114" s="1537" t="e">
        <f>VLOOKUP(D2114,'[2]DS CN MOI UP'!$B$11:$C$447,2,0)</f>
        <v>#N/A</v>
      </c>
      <c r="C2114" s="1538" t="s">
        <v>1562</v>
      </c>
      <c r="D2114" s="1468" t="s">
        <v>1187</v>
      </c>
      <c r="E2114" s="1468" t="s">
        <v>15</v>
      </c>
      <c r="F2114" s="1468"/>
      <c r="G2114" s="1540"/>
      <c r="H2114" s="1466">
        <v>635040.18900000001</v>
      </c>
      <c r="I2114" s="1540">
        <v>600000</v>
      </c>
      <c r="J2114" s="1466">
        <f t="shared" si="86"/>
        <v>1235040.189</v>
      </c>
      <c r="K2114" s="1466"/>
      <c r="L2114" s="1466"/>
      <c r="M2114" s="1540">
        <f t="shared" si="87"/>
        <v>1235040.189</v>
      </c>
      <c r="N2114" s="1552"/>
      <c r="P2114" s="559"/>
    </row>
    <row r="2115" spans="1:17" s="540" customFormat="1" ht="14.25" customHeight="1">
      <c r="A2115" s="1551">
        <v>421</v>
      </c>
      <c r="B2115" s="1537" t="str">
        <f>VLOOKUP(D2115,'[2]DS CN MOI UP'!$B$11:$C$447,2,0)</f>
        <v>02519</v>
      </c>
      <c r="C2115" s="1538" t="s">
        <v>1562</v>
      </c>
      <c r="D2115" s="1468" t="s">
        <v>173</v>
      </c>
      <c r="E2115" s="1468" t="s">
        <v>15</v>
      </c>
      <c r="F2115" s="1468"/>
      <c r="G2115" s="1540"/>
      <c r="H2115" s="1466">
        <v>544338.9</v>
      </c>
      <c r="I2115" s="1540">
        <v>600000</v>
      </c>
      <c r="J2115" s="1466">
        <f t="shared" si="86"/>
        <v>1144338.8999999999</v>
      </c>
      <c r="K2115" s="1466"/>
      <c r="L2115" s="1466"/>
      <c r="M2115" s="1540">
        <f t="shared" si="87"/>
        <v>1144338.8999999999</v>
      </c>
      <c r="N2115" s="1552"/>
      <c r="P2115" s="559"/>
    </row>
    <row r="2116" spans="1:17" s="540" customFormat="1" ht="14.25" customHeight="1">
      <c r="A2116" s="1551">
        <v>422</v>
      </c>
      <c r="B2116" s="1537" t="e">
        <f>VLOOKUP(D2116,'[2]DS CN MOI UP'!$B$11:$C$447,2,0)</f>
        <v>#N/A</v>
      </c>
      <c r="C2116" s="1538" t="s">
        <v>1562</v>
      </c>
      <c r="D2116" s="1468" t="s">
        <v>1188</v>
      </c>
      <c r="E2116" s="1468" t="s">
        <v>15</v>
      </c>
      <c r="F2116" s="1468"/>
      <c r="G2116" s="1540"/>
      <c r="H2116" s="1466">
        <v>574572.66299999994</v>
      </c>
      <c r="I2116" s="1540">
        <v>600000</v>
      </c>
      <c r="J2116" s="1466">
        <f t="shared" si="86"/>
        <v>1174572.6629999999</v>
      </c>
      <c r="K2116" s="1466"/>
      <c r="L2116" s="1466"/>
      <c r="M2116" s="1540">
        <f t="shared" si="87"/>
        <v>1174572.6629999999</v>
      </c>
      <c r="N2116" s="1552"/>
      <c r="P2116" s="559"/>
    </row>
    <row r="2117" spans="1:17" s="540" customFormat="1" ht="14.25" customHeight="1">
      <c r="A2117" s="1551">
        <v>423</v>
      </c>
      <c r="B2117" s="1537" t="e">
        <f>VLOOKUP(D2117,'[2]DS CN MOI UP'!$B$11:$C$447,2,0)</f>
        <v>#N/A</v>
      </c>
      <c r="C2117" s="1538" t="s">
        <v>1562</v>
      </c>
      <c r="D2117" s="1468" t="s">
        <v>1189</v>
      </c>
      <c r="E2117" s="1468" t="s">
        <v>15</v>
      </c>
      <c r="F2117" s="1468"/>
      <c r="G2117" s="1540"/>
      <c r="H2117" s="1466">
        <v>524139.33600000001</v>
      </c>
      <c r="I2117" s="1540">
        <v>600000</v>
      </c>
      <c r="J2117" s="1466">
        <f t="shared" si="86"/>
        <v>1124139.3359999999</v>
      </c>
      <c r="K2117" s="1466"/>
      <c r="L2117" s="1466"/>
      <c r="M2117" s="1540">
        <f t="shared" si="87"/>
        <v>1124139.3359999999</v>
      </c>
      <c r="N2117" s="1552"/>
      <c r="O2117" s="1545">
        <v>-119344.92400000201</v>
      </c>
      <c r="P2117" s="1545">
        <v>-403449.92033612699</v>
      </c>
      <c r="Q2117" s="1545">
        <v>332611.003999963</v>
      </c>
    </row>
    <row r="2118" spans="1:17" s="540" customFormat="1" ht="14.25" customHeight="1">
      <c r="A2118" s="1551">
        <v>424</v>
      </c>
      <c r="B2118" s="1537" t="str">
        <f>VLOOKUP(D2118,'[2]DS CN MOI UP'!$B$11:$C$447,2,0)</f>
        <v>02520</v>
      </c>
      <c r="C2118" s="1538" t="s">
        <v>1562</v>
      </c>
      <c r="D2118" s="1468" t="s">
        <v>188</v>
      </c>
      <c r="E2118" s="1468" t="s">
        <v>15</v>
      </c>
      <c r="F2118" s="1468"/>
      <c r="G2118" s="1540"/>
      <c r="H2118" s="1466">
        <v>635040.18900000001</v>
      </c>
      <c r="I2118" s="1540">
        <v>332611.003999963</v>
      </c>
      <c r="J2118" s="1466">
        <f t="shared" si="86"/>
        <v>967651.19299996295</v>
      </c>
      <c r="K2118" s="1466"/>
      <c r="L2118" s="1466"/>
      <c r="M2118" s="1540">
        <f t="shared" si="87"/>
        <v>967651.19299996295</v>
      </c>
      <c r="N2118" s="1552"/>
      <c r="P2118" s="559"/>
    </row>
    <row r="2119" spans="1:17" s="540" customFormat="1" ht="14.25" customHeight="1">
      <c r="A2119" s="1551">
        <v>425</v>
      </c>
      <c r="B2119" s="1537" t="e">
        <f>VLOOKUP(D2119,'[2]DS CN MOI UP'!$B$11:$C$447,2,0)</f>
        <v>#N/A</v>
      </c>
      <c r="C2119" s="1538" t="s">
        <v>1562</v>
      </c>
      <c r="D2119" s="1468" t="s">
        <v>1191</v>
      </c>
      <c r="E2119" s="1468" t="s">
        <v>15</v>
      </c>
      <c r="F2119" s="1468"/>
      <c r="G2119" s="1540"/>
      <c r="H2119" s="1466">
        <v>1174572.6629999999</v>
      </c>
      <c r="I2119" s="1540"/>
      <c r="J2119" s="1466">
        <f t="shared" si="86"/>
        <v>1174572.6629999999</v>
      </c>
      <c r="K2119" s="1466"/>
      <c r="L2119" s="1466"/>
      <c r="M2119" s="1540">
        <f t="shared" si="87"/>
        <v>1174572.6629999999</v>
      </c>
      <c r="N2119" s="1552"/>
      <c r="P2119" s="559"/>
    </row>
    <row r="2120" spans="1:17" s="540" customFormat="1" ht="14.25" customHeight="1">
      <c r="A2120" s="1551">
        <v>426</v>
      </c>
      <c r="B2120" s="1537" t="str">
        <f>VLOOKUP(D2120,'[2]DS CN MOI UP'!$B$11:$C$447,2,0)</f>
        <v>02521</v>
      </c>
      <c r="C2120" s="1538" t="s">
        <v>1562</v>
      </c>
      <c r="D2120" s="1468" t="s">
        <v>137</v>
      </c>
      <c r="E2120" s="1468" t="s">
        <v>15</v>
      </c>
      <c r="F2120" s="1468"/>
      <c r="G2120" s="1540"/>
      <c r="H2120" s="1466">
        <v>1124139.3359999999</v>
      </c>
      <c r="I2120" s="1540"/>
      <c r="J2120" s="1466">
        <f t="shared" si="86"/>
        <v>1124139.3359999999</v>
      </c>
      <c r="K2120" s="1466"/>
      <c r="L2120" s="1466"/>
      <c r="M2120" s="1540">
        <f t="shared" si="87"/>
        <v>1124139.3359999999</v>
      </c>
      <c r="N2120" s="1552"/>
      <c r="P2120" s="559"/>
    </row>
    <row r="2121" spans="1:17" s="540" customFormat="1" ht="14.25" customHeight="1">
      <c r="A2121" s="1551">
        <v>427</v>
      </c>
      <c r="B2121" s="1537" t="e">
        <f>VLOOKUP(D2121,'[2]DS CN MOI UP'!$B$11:$C$447,2,0)</f>
        <v>#N/A</v>
      </c>
      <c r="C2121" s="1538" t="s">
        <v>1562</v>
      </c>
      <c r="D2121" s="1468" t="s">
        <v>1192</v>
      </c>
      <c r="E2121" s="1468" t="s">
        <v>15</v>
      </c>
      <c r="F2121" s="1468"/>
      <c r="G2121" s="1540"/>
      <c r="H2121" s="1466">
        <v>1235040.189</v>
      </c>
      <c r="I2121" s="1540"/>
      <c r="J2121" s="1466">
        <f t="shared" si="86"/>
        <v>1235040.189</v>
      </c>
      <c r="K2121" s="1466"/>
      <c r="L2121" s="1466"/>
      <c r="M2121" s="1540">
        <f t="shared" si="87"/>
        <v>1235040.189</v>
      </c>
      <c r="N2121" s="1552"/>
      <c r="P2121" s="559"/>
    </row>
    <row r="2122" spans="1:17" s="540" customFormat="1" ht="14.25" customHeight="1">
      <c r="A2122" s="1551">
        <v>428</v>
      </c>
      <c r="B2122" s="1537" t="str">
        <f>VLOOKUP(D2122,'[2]DS CN MOI UP'!$B$11:$C$447,2,0)</f>
        <v>02522</v>
      </c>
      <c r="C2122" s="1538" t="s">
        <v>1562</v>
      </c>
      <c r="D2122" s="1468" t="s">
        <v>162</v>
      </c>
      <c r="E2122" s="1468" t="s">
        <v>15</v>
      </c>
      <c r="F2122" s="1468"/>
      <c r="G2122" s="1540"/>
      <c r="H2122" s="1466">
        <v>1235040.189</v>
      </c>
      <c r="I2122" s="1540"/>
      <c r="J2122" s="1466">
        <f t="shared" si="86"/>
        <v>1235040.189</v>
      </c>
      <c r="K2122" s="1466"/>
      <c r="L2122" s="1466"/>
      <c r="M2122" s="1540">
        <f t="shared" si="87"/>
        <v>1235040.189</v>
      </c>
      <c r="N2122" s="1552"/>
      <c r="P2122" s="559"/>
    </row>
    <row r="2123" spans="1:17" s="540" customFormat="1" ht="14.25" customHeight="1">
      <c r="A2123" s="1551">
        <v>429</v>
      </c>
      <c r="B2123" s="1537" t="str">
        <f>VLOOKUP(D2123,'[2]DS CN MOI UP'!$B$11:$C$447,2,0)</f>
        <v>02666</v>
      </c>
      <c r="C2123" s="1538" t="s">
        <v>1562</v>
      </c>
      <c r="D2123" s="1468" t="s">
        <v>435</v>
      </c>
      <c r="E2123" s="1468" t="s">
        <v>15</v>
      </c>
      <c r="F2123" s="1468"/>
      <c r="G2123" s="1540"/>
      <c r="H2123" s="1466">
        <v>1235040.189</v>
      </c>
      <c r="I2123" s="1540"/>
      <c r="J2123" s="1466">
        <f t="shared" si="86"/>
        <v>1235040.189</v>
      </c>
      <c r="K2123" s="1466"/>
      <c r="L2123" s="1466"/>
      <c r="M2123" s="1540">
        <f t="shared" si="87"/>
        <v>1235040.189</v>
      </c>
      <c r="N2123" s="1552"/>
      <c r="P2123" s="559"/>
    </row>
    <row r="2124" spans="1:17" s="540" customFormat="1" ht="14.25" customHeight="1">
      <c r="A2124" s="1551">
        <v>430</v>
      </c>
      <c r="B2124" s="1537" t="str">
        <f>VLOOKUP(D2124,'[2]DS CN MOI UP'!$B$11:$C$447,2,0)</f>
        <v>02523</v>
      </c>
      <c r="C2124" s="1538" t="s">
        <v>1562</v>
      </c>
      <c r="D2124" s="1468" t="s">
        <v>169</v>
      </c>
      <c r="E2124" s="1468" t="s">
        <v>15</v>
      </c>
      <c r="F2124" s="1468"/>
      <c r="G2124" s="1540"/>
      <c r="H2124" s="1466">
        <v>1235040.189</v>
      </c>
      <c r="I2124" s="1540"/>
      <c r="J2124" s="1466">
        <f t="shared" si="86"/>
        <v>1235040.189</v>
      </c>
      <c r="K2124" s="1466"/>
      <c r="L2124" s="1466"/>
      <c r="M2124" s="1540">
        <f t="shared" si="87"/>
        <v>1235040.189</v>
      </c>
      <c r="N2124" s="1552"/>
      <c r="P2124" s="559"/>
    </row>
    <row r="2125" spans="1:17" s="540" customFormat="1" ht="14.25" customHeight="1">
      <c r="A2125" s="1551">
        <v>431</v>
      </c>
      <c r="B2125" s="1537" t="e">
        <f>VLOOKUP(D2125,'[2]DS CN MOI UP'!$B$11:$C$447,2,0)</f>
        <v>#N/A</v>
      </c>
      <c r="C2125" s="1538" t="s">
        <v>1562</v>
      </c>
      <c r="D2125" s="1468" t="s">
        <v>1193</v>
      </c>
      <c r="E2125" s="1468" t="s">
        <v>15</v>
      </c>
      <c r="F2125" s="1468"/>
      <c r="G2125" s="1540"/>
      <c r="H2125" s="1466">
        <v>1235040.189</v>
      </c>
      <c r="I2125" s="1540"/>
      <c r="J2125" s="1466">
        <f t="shared" si="86"/>
        <v>1235040.189</v>
      </c>
      <c r="K2125" s="1466"/>
      <c r="L2125" s="1466"/>
      <c r="M2125" s="1540">
        <f t="shared" si="87"/>
        <v>1235040.189</v>
      </c>
      <c r="N2125" s="1552"/>
      <c r="P2125" s="559"/>
    </row>
    <row r="2126" spans="1:17" s="540" customFormat="1" ht="14.25" customHeight="1">
      <c r="A2126" s="1551">
        <v>432</v>
      </c>
      <c r="B2126" s="1537" t="str">
        <f>VLOOKUP(D2126,'[2]DS CN MOI UP'!$B$11:$C$447,2,0)</f>
        <v>02524</v>
      </c>
      <c r="C2126" s="1538" t="s">
        <v>1562</v>
      </c>
      <c r="D2126" s="1468" t="s">
        <v>139</v>
      </c>
      <c r="E2126" s="1468" t="s">
        <v>15</v>
      </c>
      <c r="F2126" s="1468"/>
      <c r="G2126" s="1540"/>
      <c r="H2126" s="1466">
        <v>1235040.189</v>
      </c>
      <c r="I2126" s="1540"/>
      <c r="J2126" s="1466">
        <f t="shared" si="86"/>
        <v>1235040.189</v>
      </c>
      <c r="K2126" s="1466"/>
      <c r="L2126" s="1466"/>
      <c r="M2126" s="1540">
        <f t="shared" si="87"/>
        <v>1235040.189</v>
      </c>
      <c r="N2126" s="1552"/>
      <c r="P2126" s="559"/>
    </row>
    <row r="2127" spans="1:17" s="540" customFormat="1" ht="14.25" customHeight="1">
      <c r="A2127" s="1551">
        <v>433</v>
      </c>
      <c r="B2127" s="1537" t="e">
        <f>VLOOKUP(D2127,'[2]DS CN MOI UP'!$B$11:$C$447,2,0)</f>
        <v>#N/A</v>
      </c>
      <c r="C2127" s="1538" t="s">
        <v>1562</v>
      </c>
      <c r="D2127" s="1468" t="s">
        <v>1194</v>
      </c>
      <c r="E2127" s="1468" t="s">
        <v>15</v>
      </c>
      <c r="F2127" s="1468"/>
      <c r="G2127" s="1540"/>
      <c r="H2127" s="1466">
        <v>1235040.189</v>
      </c>
      <c r="I2127" s="1540"/>
      <c r="J2127" s="1466">
        <f t="shared" si="86"/>
        <v>1235040.189</v>
      </c>
      <c r="K2127" s="1466"/>
      <c r="L2127" s="1466"/>
      <c r="M2127" s="1540">
        <f t="shared" si="87"/>
        <v>1235040.189</v>
      </c>
      <c r="N2127" s="1552"/>
      <c r="P2127" s="559"/>
    </row>
    <row r="2128" spans="1:17" s="540" customFormat="1" ht="14.25" customHeight="1">
      <c r="A2128" s="1551">
        <v>434</v>
      </c>
      <c r="B2128" s="1537" t="str">
        <f>VLOOKUP(D2128,'[2]DS CN MOI UP'!$B$11:$C$447,2,0)</f>
        <v>02525</v>
      </c>
      <c r="C2128" s="1538" t="s">
        <v>1562</v>
      </c>
      <c r="D2128" s="1468" t="s">
        <v>180</v>
      </c>
      <c r="E2128" s="1468" t="s">
        <v>15</v>
      </c>
      <c r="F2128" s="1468"/>
      <c r="G2128" s="1540"/>
      <c r="H2128" s="1466">
        <v>1154373.0989999999</v>
      </c>
      <c r="I2128" s="1540"/>
      <c r="J2128" s="1466">
        <f t="shared" si="86"/>
        <v>1154373.0989999999</v>
      </c>
      <c r="K2128" s="1466"/>
      <c r="L2128" s="1466"/>
      <c r="M2128" s="1540">
        <f t="shared" si="87"/>
        <v>1154373.0989999999</v>
      </c>
      <c r="N2128" s="1552"/>
      <c r="P2128" s="559"/>
    </row>
    <row r="2129" spans="1:16" s="540" customFormat="1" ht="14.25" customHeight="1">
      <c r="A2129" s="1551">
        <v>435</v>
      </c>
      <c r="B2129" s="1537" t="e">
        <f>VLOOKUP(D2129,'[2]DS CN MOI UP'!$B$11:$C$447,2,0)</f>
        <v>#N/A</v>
      </c>
      <c r="C2129" s="1538" t="s">
        <v>1562</v>
      </c>
      <c r="D2129" s="1468" t="s">
        <v>1195</v>
      </c>
      <c r="E2129" s="1468" t="s">
        <v>15</v>
      </c>
      <c r="F2129" s="1468"/>
      <c r="G2129" s="1540"/>
      <c r="H2129" s="1466">
        <v>1154373.0989999999</v>
      </c>
      <c r="I2129" s="1540"/>
      <c r="J2129" s="1466">
        <f t="shared" si="86"/>
        <v>1154373.0989999999</v>
      </c>
      <c r="K2129" s="1466"/>
      <c r="L2129" s="1466"/>
      <c r="M2129" s="1540">
        <f t="shared" si="87"/>
        <v>1154373.0989999999</v>
      </c>
      <c r="N2129" s="1552"/>
      <c r="P2129" s="559"/>
    </row>
    <row r="2130" spans="1:16" s="540" customFormat="1" ht="14.25" customHeight="1">
      <c r="A2130" s="1551">
        <v>436</v>
      </c>
      <c r="B2130" s="1537" t="str">
        <f>VLOOKUP(D2130,'[2]DS CN MOI UP'!$B$11:$C$447,2,0)</f>
        <v>02526</v>
      </c>
      <c r="C2130" s="1538" t="s">
        <v>1562</v>
      </c>
      <c r="D2130" s="1468" t="s">
        <v>129</v>
      </c>
      <c r="E2130" s="1468" t="s">
        <v>15</v>
      </c>
      <c r="F2130" s="1468"/>
      <c r="G2130" s="1540"/>
      <c r="H2130" s="1466">
        <v>1154373.0989999999</v>
      </c>
      <c r="I2130" s="1540"/>
      <c r="J2130" s="1466">
        <f t="shared" si="86"/>
        <v>1154373.0989999999</v>
      </c>
      <c r="K2130" s="1466"/>
      <c r="L2130" s="1466"/>
      <c r="M2130" s="1540">
        <f t="shared" si="87"/>
        <v>1154373.0989999999</v>
      </c>
      <c r="N2130" s="1552"/>
      <c r="P2130" s="559"/>
    </row>
    <row r="2131" spans="1:16" s="540" customFormat="1" ht="14.25" customHeight="1">
      <c r="A2131" s="1551">
        <v>437</v>
      </c>
      <c r="B2131" s="1537" t="e">
        <f>VLOOKUP(D2131,'[2]DS CN MOI UP'!$B$11:$C$447,2,0)</f>
        <v>#N/A</v>
      </c>
      <c r="C2131" s="1538" t="s">
        <v>1562</v>
      </c>
      <c r="D2131" s="1468" t="s">
        <v>1196</v>
      </c>
      <c r="E2131" s="1468" t="s">
        <v>15</v>
      </c>
      <c r="F2131" s="1468"/>
      <c r="G2131" s="1540"/>
      <c r="H2131" s="1466">
        <v>1235040.189</v>
      </c>
      <c r="I2131" s="1540"/>
      <c r="J2131" s="1466">
        <f t="shared" si="86"/>
        <v>1235040.189</v>
      </c>
      <c r="K2131" s="1466"/>
      <c r="L2131" s="1466"/>
      <c r="M2131" s="1540">
        <f t="shared" si="87"/>
        <v>1235040.189</v>
      </c>
      <c r="N2131" s="1552"/>
      <c r="P2131" s="559"/>
    </row>
    <row r="2132" spans="1:16" s="540" customFormat="1" ht="14.25" customHeight="1">
      <c r="A2132" s="1551">
        <v>438</v>
      </c>
      <c r="B2132" s="1537" t="str">
        <f>VLOOKUP(D2132,'[2]DS CN MOI UP'!$B$11:$C$447,2,0)</f>
        <v>02527</v>
      </c>
      <c r="C2132" s="1538" t="s">
        <v>1562</v>
      </c>
      <c r="D2132" s="1468" t="s">
        <v>156</v>
      </c>
      <c r="E2132" s="1468" t="s">
        <v>15</v>
      </c>
      <c r="F2132" s="1468"/>
      <c r="G2132" s="1540"/>
      <c r="H2132" s="1466">
        <v>1144338.8999999999</v>
      </c>
      <c r="I2132" s="1540"/>
      <c r="J2132" s="1466">
        <f t="shared" si="86"/>
        <v>1144338.8999999999</v>
      </c>
      <c r="K2132" s="1466"/>
      <c r="L2132" s="1466"/>
      <c r="M2132" s="1540">
        <f t="shared" si="87"/>
        <v>1144338.8999999999</v>
      </c>
      <c r="N2132" s="1552"/>
      <c r="P2132" s="559"/>
    </row>
    <row r="2133" spans="1:16" s="540" customFormat="1" ht="14.25" customHeight="1">
      <c r="A2133" s="1551">
        <v>439</v>
      </c>
      <c r="B2133" s="1537" t="e">
        <f>VLOOKUP(D2133,'[2]DS CN MOI UP'!$B$11:$C$447,2,0)</f>
        <v>#N/A</v>
      </c>
      <c r="C2133" s="1538" t="s">
        <v>1562</v>
      </c>
      <c r="D2133" s="1468" t="s">
        <v>1197</v>
      </c>
      <c r="E2133" s="1468" t="s">
        <v>15</v>
      </c>
      <c r="F2133" s="1468"/>
      <c r="G2133" s="1540"/>
      <c r="H2133" s="1466">
        <v>1174572.6629999999</v>
      </c>
      <c r="I2133" s="1540"/>
      <c r="J2133" s="1466">
        <f t="shared" si="86"/>
        <v>1174572.6629999999</v>
      </c>
      <c r="K2133" s="1466"/>
      <c r="L2133" s="1466"/>
      <c r="M2133" s="1540">
        <f t="shared" si="87"/>
        <v>1174572.6629999999</v>
      </c>
      <c r="N2133" s="1552"/>
      <c r="P2133" s="559"/>
    </row>
    <row r="2134" spans="1:16" s="540" customFormat="1" ht="14.25" customHeight="1">
      <c r="A2134" s="1551">
        <v>440</v>
      </c>
      <c r="B2134" s="1537" t="str">
        <f>VLOOKUP(D2134,'[2]DS CN MOI UP'!$B$11:$C$447,2,0)</f>
        <v>02528</v>
      </c>
      <c r="C2134" s="1538" t="s">
        <v>1562</v>
      </c>
      <c r="D2134" s="1468" t="s">
        <v>159</v>
      </c>
      <c r="E2134" s="1468" t="s">
        <v>15</v>
      </c>
      <c r="F2134" s="1468"/>
      <c r="G2134" s="1540"/>
      <c r="H2134" s="1466">
        <v>1124139.3359999999</v>
      </c>
      <c r="I2134" s="1540"/>
      <c r="J2134" s="1466">
        <f t="shared" si="86"/>
        <v>1124139.3359999999</v>
      </c>
      <c r="K2134" s="1466"/>
      <c r="L2134" s="1466"/>
      <c r="M2134" s="1540">
        <f t="shared" si="87"/>
        <v>1124139.3359999999</v>
      </c>
      <c r="N2134" s="1552"/>
      <c r="P2134" s="559"/>
    </row>
    <row r="2135" spans="1:16" s="540" customFormat="1" ht="14.25" customHeight="1">
      <c r="A2135" s="1551">
        <v>441</v>
      </c>
      <c r="B2135" s="1537" t="e">
        <f>VLOOKUP(D2135,'[2]DS CN MOI UP'!$B$11:$C$447,2,0)</f>
        <v>#N/A</v>
      </c>
      <c r="C2135" s="1538" t="s">
        <v>1562</v>
      </c>
      <c r="D2135" s="1468" t="s">
        <v>1198</v>
      </c>
      <c r="E2135" s="1468" t="s">
        <v>15</v>
      </c>
      <c r="F2135" s="1468"/>
      <c r="G2135" s="1540"/>
      <c r="H2135" s="1466">
        <v>1174572.6629999999</v>
      </c>
      <c r="I2135" s="1540"/>
      <c r="J2135" s="1466">
        <f t="shared" si="86"/>
        <v>1174572.6629999999</v>
      </c>
      <c r="K2135" s="1466"/>
      <c r="L2135" s="1466"/>
      <c r="M2135" s="1540">
        <f t="shared" si="87"/>
        <v>1174572.6629999999</v>
      </c>
      <c r="N2135" s="1552"/>
      <c r="P2135" s="559"/>
    </row>
    <row r="2136" spans="1:16" s="540" customFormat="1" ht="14.25" customHeight="1">
      <c r="A2136" s="1551">
        <v>442</v>
      </c>
      <c r="B2136" s="1537" t="str">
        <f>VLOOKUP(D2136,'[2]DS CN MOI UP'!$B$11:$C$447,2,0)</f>
        <v>03850</v>
      </c>
      <c r="C2136" s="1538" t="s">
        <v>1562</v>
      </c>
      <c r="D2136" s="1468" t="s">
        <v>449</v>
      </c>
      <c r="E2136" s="1468" t="s">
        <v>15</v>
      </c>
      <c r="F2136" s="1468"/>
      <c r="G2136" s="1540"/>
      <c r="H2136" s="1466">
        <v>1124139.3359999999</v>
      </c>
      <c r="I2136" s="1540"/>
      <c r="J2136" s="1466">
        <f t="shared" si="82"/>
        <v>1124139.3359999999</v>
      </c>
      <c r="K2136" s="1466"/>
      <c r="L2136" s="1466"/>
      <c r="M2136" s="1540">
        <f t="shared" si="83"/>
        <v>1124139.3359999999</v>
      </c>
      <c r="N2136" s="1552"/>
      <c r="P2136" s="559"/>
    </row>
    <row r="2137" spans="1:16" s="540" customFormat="1" ht="14.25" customHeight="1">
      <c r="A2137" s="1551">
        <v>443</v>
      </c>
      <c r="B2137" s="1537" t="e">
        <f>VLOOKUP(D2137,'[2]DS CN MOI UP'!$B$11:$C$447,2,0)</f>
        <v>#N/A</v>
      </c>
      <c r="C2137" s="1538" t="s">
        <v>1562</v>
      </c>
      <c r="D2137" s="1468" t="s">
        <v>1162</v>
      </c>
      <c r="E2137" s="1468" t="s">
        <v>15</v>
      </c>
      <c r="F2137" s="1468"/>
      <c r="G2137" s="1540"/>
      <c r="H2137" s="1466">
        <v>1235040.189</v>
      </c>
      <c r="I2137" s="1540"/>
      <c r="J2137" s="1466">
        <f t="shared" si="82"/>
        <v>1235040.189</v>
      </c>
      <c r="K2137" s="1466"/>
      <c r="L2137" s="1466"/>
      <c r="M2137" s="1540">
        <f t="shared" si="83"/>
        <v>1235040.189</v>
      </c>
      <c r="N2137" s="1552"/>
      <c r="P2137" s="559"/>
    </row>
    <row r="2138" spans="1:16" s="540" customFormat="1" ht="14.25" customHeight="1">
      <c r="A2138" s="1551">
        <v>444</v>
      </c>
      <c r="B2138" s="1537" t="e">
        <f>VLOOKUP(D2138,'[2]DS CN MOI UP'!$B$11:$C$447,2,0)</f>
        <v>#N/A</v>
      </c>
      <c r="C2138" s="1538" t="s">
        <v>1562</v>
      </c>
      <c r="D2138" s="1468" t="s">
        <v>1163</v>
      </c>
      <c r="E2138" s="1468" t="s">
        <v>15</v>
      </c>
      <c r="F2138" s="1468"/>
      <c r="G2138" s="1540"/>
      <c r="H2138" s="1466">
        <v>1235040.189</v>
      </c>
      <c r="I2138" s="1540"/>
      <c r="J2138" s="1466">
        <f t="shared" si="82"/>
        <v>1235040.189</v>
      </c>
      <c r="K2138" s="1466"/>
      <c r="L2138" s="1466"/>
      <c r="M2138" s="1540">
        <f t="shared" si="83"/>
        <v>1235040.189</v>
      </c>
      <c r="N2138" s="1552"/>
      <c r="P2138" s="559"/>
    </row>
    <row r="2139" spans="1:16" s="540" customFormat="1" ht="14.25" customHeight="1">
      <c r="A2139" s="1551">
        <v>445</v>
      </c>
      <c r="B2139" s="1537" t="e">
        <f>VLOOKUP(D2139,'[2]DS CN MOI UP'!$B$11:$C$447,2,0)</f>
        <v>#N/A</v>
      </c>
      <c r="C2139" s="1538" t="s">
        <v>1562</v>
      </c>
      <c r="D2139" s="1468" t="s">
        <v>916</v>
      </c>
      <c r="E2139" s="1468" t="s">
        <v>15</v>
      </c>
      <c r="F2139" s="1468"/>
      <c r="G2139" s="1540"/>
      <c r="H2139" s="1466">
        <v>1235040.189</v>
      </c>
      <c r="I2139" s="1540"/>
      <c r="J2139" s="1466">
        <f t="shared" si="82"/>
        <v>1235040.189</v>
      </c>
      <c r="K2139" s="1466"/>
      <c r="L2139" s="1466"/>
      <c r="M2139" s="1540">
        <f t="shared" si="83"/>
        <v>1235040.189</v>
      </c>
      <c r="N2139" s="1552"/>
      <c r="P2139" s="559"/>
    </row>
    <row r="2140" spans="1:16" s="540" customFormat="1" ht="14.25" customHeight="1">
      <c r="A2140" s="1551">
        <v>446</v>
      </c>
      <c r="B2140" s="1537" t="e">
        <f>VLOOKUP(D2140,'[2]DS CN MOI UP'!$B$11:$C$447,2,0)</f>
        <v>#N/A</v>
      </c>
      <c r="C2140" s="1538" t="s">
        <v>1562</v>
      </c>
      <c r="D2140" s="1468" t="s">
        <v>1164</v>
      </c>
      <c r="E2140" s="1468" t="s">
        <v>15</v>
      </c>
      <c r="F2140" s="1468"/>
      <c r="G2140" s="1540"/>
      <c r="H2140" s="1466">
        <v>1235040.189</v>
      </c>
      <c r="I2140" s="1540"/>
      <c r="J2140" s="1466">
        <f t="shared" si="82"/>
        <v>1235040.189</v>
      </c>
      <c r="K2140" s="1466"/>
      <c r="L2140" s="1466"/>
      <c r="M2140" s="1540">
        <f t="shared" si="83"/>
        <v>1235040.189</v>
      </c>
      <c r="N2140" s="1552"/>
      <c r="P2140" s="559"/>
    </row>
    <row r="2141" spans="1:16" s="540" customFormat="1" ht="14.25" customHeight="1">
      <c r="A2141" s="1551">
        <v>447</v>
      </c>
      <c r="B2141" s="1537" t="e">
        <f>VLOOKUP(D2141,'[2]DS CN MOI UP'!$B$11:$C$447,2,0)</f>
        <v>#N/A</v>
      </c>
      <c r="C2141" s="1538" t="s">
        <v>1562</v>
      </c>
      <c r="D2141" s="1468" t="s">
        <v>1165</v>
      </c>
      <c r="E2141" s="1468" t="s">
        <v>15</v>
      </c>
      <c r="F2141" s="1468"/>
      <c r="G2141" s="1540"/>
      <c r="H2141" s="1466">
        <v>1235040.189</v>
      </c>
      <c r="I2141" s="1540"/>
      <c r="J2141" s="1466">
        <f t="shared" si="82"/>
        <v>1235040.189</v>
      </c>
      <c r="K2141" s="1466"/>
      <c r="L2141" s="1466"/>
      <c r="M2141" s="1540">
        <f t="shared" si="83"/>
        <v>1235040.189</v>
      </c>
      <c r="N2141" s="1552"/>
      <c r="P2141" s="559"/>
    </row>
    <row r="2142" spans="1:16" s="540" customFormat="1" ht="14.25" customHeight="1">
      <c r="A2142" s="1551">
        <v>448</v>
      </c>
      <c r="B2142" s="1537" t="e">
        <f>VLOOKUP(D2142,'[2]DS CN MOI UP'!$B$11:$C$447,2,0)</f>
        <v>#N/A</v>
      </c>
      <c r="C2142" s="1538" t="s">
        <v>1562</v>
      </c>
      <c r="D2142" s="1468" t="s">
        <v>701</v>
      </c>
      <c r="E2142" s="1468" t="s">
        <v>15</v>
      </c>
      <c r="F2142" s="1468"/>
      <c r="G2142" s="1540"/>
      <c r="H2142" s="1466">
        <v>1235040.189</v>
      </c>
      <c r="I2142" s="1540"/>
      <c r="J2142" s="1466">
        <f t="shared" si="82"/>
        <v>1235040.189</v>
      </c>
      <c r="K2142" s="1466"/>
      <c r="L2142" s="1466"/>
      <c r="M2142" s="1540">
        <f t="shared" si="83"/>
        <v>1235040.189</v>
      </c>
      <c r="N2142" s="1552"/>
      <c r="P2142" s="559"/>
    </row>
    <row r="2143" spans="1:16" s="540" customFormat="1" ht="14.25" customHeight="1">
      <c r="A2143" s="1551">
        <v>449</v>
      </c>
      <c r="B2143" s="1537" t="str">
        <f>VLOOKUP(D2143,'[2]DS CN MOI UP'!$B$11:$C$447,2,0)</f>
        <v>02532</v>
      </c>
      <c r="C2143" s="1538" t="s">
        <v>1562</v>
      </c>
      <c r="D2143" s="1468" t="s">
        <v>158</v>
      </c>
      <c r="E2143" s="1468" t="s">
        <v>15</v>
      </c>
      <c r="F2143" s="1468"/>
      <c r="G2143" s="1540"/>
      <c r="H2143" s="1466">
        <v>1235040.189</v>
      </c>
      <c r="I2143" s="1540"/>
      <c r="J2143" s="1466">
        <f t="shared" si="82"/>
        <v>1235040.189</v>
      </c>
      <c r="K2143" s="1466"/>
      <c r="L2143" s="1466"/>
      <c r="M2143" s="1540">
        <f t="shared" si="83"/>
        <v>1235040.189</v>
      </c>
      <c r="N2143" s="1552"/>
      <c r="P2143" s="559"/>
    </row>
    <row r="2144" spans="1:16" s="540" customFormat="1" ht="14.25" customHeight="1">
      <c r="A2144" s="1551">
        <v>450</v>
      </c>
      <c r="B2144" s="1537" t="e">
        <f>VLOOKUP(D2144,'[2]DS CN MOI UP'!$B$11:$C$447,2,0)</f>
        <v>#N/A</v>
      </c>
      <c r="C2144" s="1538" t="s">
        <v>1562</v>
      </c>
      <c r="D2144" s="1468" t="s">
        <v>1167</v>
      </c>
      <c r="E2144" s="1468" t="s">
        <v>15</v>
      </c>
      <c r="F2144" s="1468"/>
      <c r="G2144" s="1540"/>
      <c r="H2144" s="1466">
        <v>1154373.0989999999</v>
      </c>
      <c r="I2144" s="1540"/>
      <c r="J2144" s="1466">
        <f t="shared" si="82"/>
        <v>1154373.0989999999</v>
      </c>
      <c r="K2144" s="1466"/>
      <c r="L2144" s="1466"/>
      <c r="M2144" s="1540">
        <f t="shared" si="83"/>
        <v>1154373.0989999999</v>
      </c>
      <c r="N2144" s="1552"/>
      <c r="P2144" s="559"/>
    </row>
    <row r="2145" spans="1:16" s="540" customFormat="1" ht="14.25" customHeight="1">
      <c r="A2145" s="1551">
        <v>451</v>
      </c>
      <c r="B2145" s="1537" t="e">
        <f>VLOOKUP(D2145,'[2]DS CN MOI UP'!$B$11:$C$447,2,0)</f>
        <v>#N/A</v>
      </c>
      <c r="C2145" s="1538" t="s">
        <v>1562</v>
      </c>
      <c r="D2145" s="1468" t="s">
        <v>1168</v>
      </c>
      <c r="E2145" s="1468" t="s">
        <v>15</v>
      </c>
      <c r="F2145" s="1468"/>
      <c r="G2145" s="1540"/>
      <c r="H2145" s="1466">
        <v>1154373.0989999999</v>
      </c>
      <c r="I2145" s="1540"/>
      <c r="J2145" s="1466">
        <f t="shared" si="82"/>
        <v>1154373.0989999999</v>
      </c>
      <c r="K2145" s="1466"/>
      <c r="L2145" s="1466"/>
      <c r="M2145" s="1540">
        <f t="shared" si="83"/>
        <v>1154373.0989999999</v>
      </c>
      <c r="N2145" s="1552"/>
      <c r="P2145" s="559"/>
    </row>
    <row r="2146" spans="1:16" s="540" customFormat="1" ht="14.25" customHeight="1">
      <c r="A2146" s="1551">
        <v>452</v>
      </c>
      <c r="B2146" s="1537" t="e">
        <f>VLOOKUP(D2146,'[2]DS CN MOI UP'!$B$11:$C$447,2,0)</f>
        <v>#N/A</v>
      </c>
      <c r="C2146" s="1538" t="s">
        <v>1562</v>
      </c>
      <c r="D2146" s="1468" t="s">
        <v>1543</v>
      </c>
      <c r="E2146" s="1468" t="s">
        <v>15</v>
      </c>
      <c r="F2146" s="1468"/>
      <c r="G2146" s="1540"/>
      <c r="H2146" s="1466">
        <v>1154373.0989999999</v>
      </c>
      <c r="I2146" s="1540"/>
      <c r="J2146" s="1466">
        <f t="shared" si="82"/>
        <v>1154373.0989999999</v>
      </c>
      <c r="K2146" s="1466"/>
      <c r="L2146" s="1466"/>
      <c r="M2146" s="1540">
        <f t="shared" si="83"/>
        <v>1154373.0989999999</v>
      </c>
      <c r="N2146" s="1552"/>
      <c r="P2146" s="559"/>
    </row>
    <row r="2147" spans="1:16" s="540" customFormat="1" ht="14.25" customHeight="1">
      <c r="A2147" s="1551">
        <v>453</v>
      </c>
      <c r="B2147" s="1537" t="str">
        <f>VLOOKUP(D2147,'[2]DS CN MOI UP'!$B$11:$C$447,2,0)</f>
        <v>02533</v>
      </c>
      <c r="C2147" s="1538" t="s">
        <v>1562</v>
      </c>
      <c r="D2147" s="1468" t="s">
        <v>198</v>
      </c>
      <c r="E2147" s="1468" t="s">
        <v>15</v>
      </c>
      <c r="F2147" s="1468"/>
      <c r="G2147" s="1540"/>
      <c r="H2147" s="1466">
        <v>1235040.189</v>
      </c>
      <c r="I2147" s="1540"/>
      <c r="J2147" s="1466">
        <f t="shared" ref="J2147:J2157" si="88">SUM(G2147:I2147)</f>
        <v>1235040.189</v>
      </c>
      <c r="K2147" s="1466"/>
      <c r="L2147" s="1466"/>
      <c r="M2147" s="1540">
        <f t="shared" ref="M2147:M2157" si="89">J2147-L2147</f>
        <v>1235040.189</v>
      </c>
      <c r="N2147" s="1552"/>
      <c r="P2147" s="559"/>
    </row>
    <row r="2148" spans="1:16" s="540" customFormat="1" ht="14.25" customHeight="1">
      <c r="A2148" s="1551">
        <v>454</v>
      </c>
      <c r="B2148" s="1537" t="e">
        <f>VLOOKUP(D2148,'[2]DS CN MOI UP'!$B$11:$C$447,2,0)</f>
        <v>#N/A</v>
      </c>
      <c r="C2148" s="1538" t="s">
        <v>1562</v>
      </c>
      <c r="D2148" s="1468" t="s">
        <v>1169</v>
      </c>
      <c r="E2148" s="1468" t="s">
        <v>15</v>
      </c>
      <c r="F2148" s="1468"/>
      <c r="G2148" s="1540"/>
      <c r="H2148" s="1466">
        <v>1144338.8999999999</v>
      </c>
      <c r="I2148" s="1540"/>
      <c r="J2148" s="1466">
        <f t="shared" si="88"/>
        <v>1144338.8999999999</v>
      </c>
      <c r="K2148" s="1466"/>
      <c r="L2148" s="1466"/>
      <c r="M2148" s="1540">
        <f t="shared" si="89"/>
        <v>1144338.8999999999</v>
      </c>
      <c r="N2148" s="1552"/>
      <c r="P2148" s="559"/>
    </row>
    <row r="2149" spans="1:16" s="540" customFormat="1" ht="14.25" customHeight="1">
      <c r="A2149" s="1551">
        <v>455</v>
      </c>
      <c r="B2149" s="1537" t="e">
        <f>VLOOKUP(D2149,'[2]DS CN MOI UP'!$B$11:$C$447,2,0)</f>
        <v>#N/A</v>
      </c>
      <c r="C2149" s="1538" t="s">
        <v>1562</v>
      </c>
      <c r="D2149" s="1468" t="s">
        <v>1199</v>
      </c>
      <c r="E2149" s="1468" t="s">
        <v>15</v>
      </c>
      <c r="F2149" s="1468"/>
      <c r="G2149" s="1540"/>
      <c r="H2149" s="1466">
        <v>1174572.6629999999</v>
      </c>
      <c r="I2149" s="1540"/>
      <c r="J2149" s="1466">
        <f t="shared" si="88"/>
        <v>1174572.6629999999</v>
      </c>
      <c r="K2149" s="1466"/>
      <c r="L2149" s="1466"/>
      <c r="M2149" s="1540">
        <f t="shared" si="89"/>
        <v>1174572.6629999999</v>
      </c>
      <c r="N2149" s="1552"/>
      <c r="P2149" s="559"/>
    </row>
    <row r="2150" spans="1:16" s="540" customFormat="1" ht="14.25" customHeight="1">
      <c r="A2150" s="1551">
        <v>456</v>
      </c>
      <c r="B2150" s="1537" t="e">
        <f>VLOOKUP(D2150,'[2]DS CN MOI UP'!$B$11:$C$447,2,0)</f>
        <v>#N/A</v>
      </c>
      <c r="C2150" s="1538" t="s">
        <v>1562</v>
      </c>
      <c r="D2150" s="1468" t="s">
        <v>567</v>
      </c>
      <c r="E2150" s="1468" t="s">
        <v>15</v>
      </c>
      <c r="F2150" s="1468"/>
      <c r="G2150" s="1540"/>
      <c r="H2150" s="1466">
        <v>1124139.3359999999</v>
      </c>
      <c r="I2150" s="1540"/>
      <c r="J2150" s="1466">
        <f t="shared" si="88"/>
        <v>1124139.3359999999</v>
      </c>
      <c r="K2150" s="1466"/>
      <c r="L2150" s="1466"/>
      <c r="M2150" s="1540">
        <f t="shared" si="89"/>
        <v>1124139.3359999999</v>
      </c>
      <c r="N2150" s="1552"/>
      <c r="P2150" s="559"/>
    </row>
    <row r="2151" spans="1:16" s="540" customFormat="1" ht="14.25" customHeight="1">
      <c r="A2151" s="1551">
        <v>457</v>
      </c>
      <c r="B2151" s="1537" t="e">
        <f>VLOOKUP(D2151,'[2]DS CN MOI UP'!$B$11:$C$447,2,0)</f>
        <v>#N/A</v>
      </c>
      <c r="C2151" s="1538" t="s">
        <v>1562</v>
      </c>
      <c r="D2151" s="1468" t="s">
        <v>1170</v>
      </c>
      <c r="E2151" s="1468" t="s">
        <v>15</v>
      </c>
      <c r="F2151" s="1468"/>
      <c r="G2151" s="1540"/>
      <c r="H2151" s="1466">
        <v>1174572.6629999999</v>
      </c>
      <c r="I2151" s="1540"/>
      <c r="J2151" s="1466">
        <f t="shared" si="88"/>
        <v>1174572.6629999999</v>
      </c>
      <c r="K2151" s="1466"/>
      <c r="L2151" s="1466"/>
      <c r="M2151" s="1540">
        <f t="shared" si="89"/>
        <v>1174572.6629999999</v>
      </c>
      <c r="N2151" s="1552"/>
      <c r="P2151" s="559"/>
    </row>
    <row r="2152" spans="1:16" s="540" customFormat="1" ht="14.25" customHeight="1">
      <c r="A2152" s="1551">
        <v>458</v>
      </c>
      <c r="B2152" s="1537" t="str">
        <f>VLOOKUP(D2152,'[2]DS CN MOI UP'!$B$11:$C$447,2,0)</f>
        <v>02535</v>
      </c>
      <c r="C2152" s="1538" t="s">
        <v>1562</v>
      </c>
      <c r="D2152" s="1468" t="s">
        <v>165</v>
      </c>
      <c r="E2152" s="1468" t="s">
        <v>15</v>
      </c>
      <c r="F2152" s="1468"/>
      <c r="G2152" s="1540"/>
      <c r="H2152" s="1466">
        <v>1124139.3359999999</v>
      </c>
      <c r="I2152" s="1540"/>
      <c r="J2152" s="1466">
        <f t="shared" si="88"/>
        <v>1124139.3359999999</v>
      </c>
      <c r="K2152" s="1466"/>
      <c r="L2152" s="1466"/>
      <c r="M2152" s="1540">
        <f t="shared" si="89"/>
        <v>1124139.3359999999</v>
      </c>
      <c r="N2152" s="1552"/>
      <c r="P2152" s="559"/>
    </row>
    <row r="2153" spans="1:16" s="540" customFormat="1" ht="14.25" customHeight="1">
      <c r="A2153" s="1551">
        <v>459</v>
      </c>
      <c r="B2153" s="1537" t="e">
        <f>VLOOKUP(D2153,'[2]DS CN MOI UP'!$B$11:$C$447,2,0)</f>
        <v>#N/A</v>
      </c>
      <c r="C2153" s="1538" t="s">
        <v>1562</v>
      </c>
      <c r="D2153" s="1468" t="s">
        <v>1171</v>
      </c>
      <c r="E2153" s="1468" t="s">
        <v>15</v>
      </c>
      <c r="F2153" s="1468"/>
      <c r="G2153" s="1540"/>
      <c r="H2153" s="1466">
        <v>1235040.189</v>
      </c>
      <c r="I2153" s="1540"/>
      <c r="J2153" s="1466">
        <f t="shared" si="88"/>
        <v>1235040.189</v>
      </c>
      <c r="K2153" s="1466"/>
      <c r="L2153" s="1466"/>
      <c r="M2153" s="1540">
        <f t="shared" si="89"/>
        <v>1235040.189</v>
      </c>
      <c r="N2153" s="1552"/>
      <c r="P2153" s="559"/>
    </row>
    <row r="2154" spans="1:16" s="540" customFormat="1" ht="14.25" customHeight="1">
      <c r="A2154" s="1551">
        <v>460</v>
      </c>
      <c r="B2154" s="1537" t="str">
        <f>VLOOKUP(D2154,'[2]DS CN MOI UP'!$B$11:$C$447,2,0)</f>
        <v>02536</v>
      </c>
      <c r="C2154" s="1538" t="s">
        <v>1562</v>
      </c>
      <c r="D2154" s="1468" t="s">
        <v>155</v>
      </c>
      <c r="E2154" s="1468" t="s">
        <v>15</v>
      </c>
      <c r="F2154" s="1468"/>
      <c r="G2154" s="1540"/>
      <c r="H2154" s="1466">
        <v>1144338.8999999999</v>
      </c>
      <c r="I2154" s="1540"/>
      <c r="J2154" s="1466">
        <f t="shared" si="88"/>
        <v>1144338.8999999999</v>
      </c>
      <c r="K2154" s="1466"/>
      <c r="L2154" s="1466"/>
      <c r="M2154" s="1540">
        <f t="shared" si="89"/>
        <v>1144338.8999999999</v>
      </c>
      <c r="N2154" s="1552"/>
      <c r="P2154" s="559"/>
    </row>
    <row r="2155" spans="1:16" s="540" customFormat="1" ht="14.25" customHeight="1">
      <c r="A2155" s="1551">
        <v>461</v>
      </c>
      <c r="B2155" s="1537" t="e">
        <f>VLOOKUP(D2155,'[2]DS CN MOI UP'!$B$11:$C$447,2,0)</f>
        <v>#N/A</v>
      </c>
      <c r="C2155" s="1538" t="s">
        <v>1562</v>
      </c>
      <c r="D2155" s="1468" t="s">
        <v>1172</v>
      </c>
      <c r="E2155" s="1468" t="s">
        <v>15</v>
      </c>
      <c r="F2155" s="1468"/>
      <c r="G2155" s="1540"/>
      <c r="H2155" s="1466">
        <v>1174572.6629999999</v>
      </c>
      <c r="I2155" s="1540"/>
      <c r="J2155" s="1466">
        <f t="shared" si="88"/>
        <v>1174572.6629999999</v>
      </c>
      <c r="K2155" s="1466"/>
      <c r="L2155" s="1466"/>
      <c r="M2155" s="1540">
        <f t="shared" si="89"/>
        <v>1174572.6629999999</v>
      </c>
      <c r="N2155" s="1552"/>
      <c r="P2155" s="559"/>
    </row>
    <row r="2156" spans="1:16" s="540" customFormat="1" ht="14.25" customHeight="1">
      <c r="A2156" s="1551">
        <v>462</v>
      </c>
      <c r="B2156" s="1537" t="e">
        <f>VLOOKUP(D2156,'[2]DS CN MOI UP'!$B$11:$C$447,2,0)</f>
        <v>#N/A</v>
      </c>
      <c r="C2156" s="1538" t="s">
        <v>1562</v>
      </c>
      <c r="D2156" s="1468" t="s">
        <v>1173</v>
      </c>
      <c r="E2156" s="1468" t="s">
        <v>15</v>
      </c>
      <c r="F2156" s="1468"/>
      <c r="G2156" s="1540"/>
      <c r="H2156" s="1466">
        <v>1124139.3359999999</v>
      </c>
      <c r="I2156" s="1540"/>
      <c r="J2156" s="1466">
        <f t="shared" si="88"/>
        <v>1124139.3359999999</v>
      </c>
      <c r="K2156" s="1466"/>
      <c r="L2156" s="1466"/>
      <c r="M2156" s="1540">
        <f t="shared" si="89"/>
        <v>1124139.3359999999</v>
      </c>
      <c r="N2156" s="1552"/>
      <c r="P2156" s="559"/>
    </row>
    <row r="2157" spans="1:16" s="540" customFormat="1" ht="14.25" customHeight="1">
      <c r="A2157" s="1551">
        <v>463</v>
      </c>
      <c r="B2157" s="1537" t="e">
        <f>VLOOKUP(D2157,'[2]DS CN MOI UP'!$B$11:$C$447,2,0)</f>
        <v>#N/A</v>
      </c>
      <c r="C2157" s="1538" t="s">
        <v>1562</v>
      </c>
      <c r="D2157" s="1468" t="s">
        <v>1200</v>
      </c>
      <c r="E2157" s="1468" t="s">
        <v>15</v>
      </c>
      <c r="F2157" s="1468"/>
      <c r="G2157" s="1540"/>
      <c r="H2157" s="1466">
        <v>1174572.6629999999</v>
      </c>
      <c r="I2157" s="1540"/>
      <c r="J2157" s="1466">
        <f t="shared" si="88"/>
        <v>1174572.6629999999</v>
      </c>
      <c r="K2157" s="1466"/>
      <c r="L2157" s="1466"/>
      <c r="M2157" s="1540">
        <f t="shared" si="89"/>
        <v>1174572.6629999999</v>
      </c>
      <c r="N2157" s="1552"/>
      <c r="P2157" s="559"/>
    </row>
    <row r="2158" spans="1:16" s="540" customFormat="1" ht="14.25" customHeight="1">
      <c r="A2158" s="1551">
        <v>464</v>
      </c>
      <c r="B2158" s="1537" t="str">
        <f>VLOOKUP(D2158,'[2]DS CN MOI UP'!$B$11:$C$447,2,0)</f>
        <v>02538</v>
      </c>
      <c r="C2158" s="1538" t="s">
        <v>1562</v>
      </c>
      <c r="D2158" s="1468" t="s">
        <v>150</v>
      </c>
      <c r="E2158" s="1468" t="s">
        <v>15</v>
      </c>
      <c r="F2158" s="1468"/>
      <c r="G2158" s="1540"/>
      <c r="H2158" s="1466">
        <v>1124139.3359999999</v>
      </c>
      <c r="I2158" s="1540"/>
      <c r="J2158" s="1466">
        <f t="shared" si="82"/>
        <v>1124139.3359999999</v>
      </c>
      <c r="K2158" s="1466"/>
      <c r="L2158" s="1466"/>
      <c r="M2158" s="1540">
        <f t="shared" si="83"/>
        <v>1124139.3359999999</v>
      </c>
      <c r="N2158" s="1552"/>
      <c r="P2158" s="559"/>
    </row>
    <row r="2159" spans="1:16" s="540" customFormat="1" ht="14.25" customHeight="1">
      <c r="A2159" s="1551">
        <v>465</v>
      </c>
      <c r="B2159" s="1537" t="e">
        <f>VLOOKUP(D2159,'[2]DS CN MOI UP'!$B$11:$C$447,2,0)</f>
        <v>#N/A</v>
      </c>
      <c r="C2159" s="1538" t="s">
        <v>1562</v>
      </c>
      <c r="D2159" s="1468" t="s">
        <v>1201</v>
      </c>
      <c r="E2159" s="1468" t="s">
        <v>15</v>
      </c>
      <c r="F2159" s="1468"/>
      <c r="G2159" s="1540"/>
      <c r="H2159" s="1466">
        <v>1235040.189</v>
      </c>
      <c r="I2159" s="1540"/>
      <c r="J2159" s="1466">
        <f t="shared" si="82"/>
        <v>1235040.189</v>
      </c>
      <c r="K2159" s="1466"/>
      <c r="L2159" s="1466"/>
      <c r="M2159" s="1540">
        <f t="shared" si="83"/>
        <v>1235040.189</v>
      </c>
      <c r="N2159" s="1552"/>
      <c r="P2159" s="559"/>
    </row>
    <row r="2160" spans="1:16" s="540" customFormat="1" ht="14.25" customHeight="1">
      <c r="A2160" s="1551">
        <v>466</v>
      </c>
      <c r="B2160" s="1537" t="str">
        <f>VLOOKUP(D2160,'[2]DS CN MOI UP'!$B$11:$C$447,2,0)</f>
        <v>02539</v>
      </c>
      <c r="C2160" s="1538" t="s">
        <v>1562</v>
      </c>
      <c r="D2160" s="1468" t="s">
        <v>195</v>
      </c>
      <c r="E2160" s="1468" t="s">
        <v>15</v>
      </c>
      <c r="F2160" s="1468"/>
      <c r="G2160" s="1540"/>
      <c r="H2160" s="1466">
        <v>1235040.189</v>
      </c>
      <c r="I2160" s="1540"/>
      <c r="J2160" s="1466">
        <f t="shared" si="82"/>
        <v>1235040.189</v>
      </c>
      <c r="K2160" s="1466"/>
      <c r="L2160" s="1466"/>
      <c r="M2160" s="1540">
        <f t="shared" si="83"/>
        <v>1235040.189</v>
      </c>
      <c r="N2160" s="1552"/>
      <c r="P2160" s="559"/>
    </row>
    <row r="2161" spans="1:17" s="540" customFormat="1" ht="14.25" customHeight="1">
      <c r="A2161" s="1551">
        <v>467</v>
      </c>
      <c r="B2161" s="1537" t="e">
        <f>VLOOKUP(D2161,'[2]DS CN MOI UP'!$B$11:$C$447,2,0)</f>
        <v>#N/A</v>
      </c>
      <c r="C2161" s="1538" t="s">
        <v>1562</v>
      </c>
      <c r="D2161" s="1468" t="s">
        <v>1174</v>
      </c>
      <c r="E2161" s="1468" t="s">
        <v>15</v>
      </c>
      <c r="F2161" s="1468"/>
      <c r="G2161" s="1540"/>
      <c r="H2161" s="1466">
        <v>1214024.1704651699</v>
      </c>
      <c r="I2161" s="1540"/>
      <c r="J2161" s="1466">
        <f t="shared" si="82"/>
        <v>1214024.1704651699</v>
      </c>
      <c r="K2161" s="1466"/>
      <c r="L2161" s="1466"/>
      <c r="M2161" s="1540">
        <f t="shared" si="83"/>
        <v>1214024.1704651699</v>
      </c>
      <c r="N2161" s="1552"/>
      <c r="P2161" s="559"/>
    </row>
    <row r="2162" spans="1:17" s="540" customFormat="1" ht="14.25" customHeight="1">
      <c r="A2162" s="1543" t="s">
        <v>522</v>
      </c>
      <c r="B2162" s="1537" t="e">
        <f>VLOOKUP(A2162,'[2]DS CN MOI UP'!$B$11:$C$447,2,0)</f>
        <v>#N/A</v>
      </c>
      <c r="C2162" s="1543"/>
      <c r="E2162" s="1543"/>
      <c r="F2162" s="1543"/>
      <c r="G2162" s="1546">
        <f t="shared" ref="G2162:M2162" si="90">SUM(G1695:G2161)</f>
        <v>33307000</v>
      </c>
      <c r="H2162" s="1546">
        <f t="shared" si="90"/>
        <v>406701521.01648301</v>
      </c>
      <c r="I2162" s="1546">
        <f t="shared" si="90"/>
        <v>106486964</v>
      </c>
      <c r="J2162" s="1546">
        <f t="shared" si="90"/>
        <v>546495485.016482</v>
      </c>
      <c r="K2162" s="1546">
        <f t="shared" si="90"/>
        <v>0</v>
      </c>
      <c r="L2162" s="1546">
        <f t="shared" si="90"/>
        <v>0</v>
      </c>
      <c r="M2162" s="1546">
        <f t="shared" si="90"/>
        <v>546495485.016482</v>
      </c>
      <c r="N2162" s="166"/>
      <c r="O2162" s="559" t="e">
        <f>'LƯƠNG CNTT'!#REF!</f>
        <v>#REF!</v>
      </c>
      <c r="P2162" s="559" t="e">
        <f>'LƯƠNG CNTT'!#REF!</f>
        <v>#REF!</v>
      </c>
      <c r="Q2162" s="559" t="e">
        <f>'LƯƠNG CNTT'!#REF!</f>
        <v>#REF!</v>
      </c>
    </row>
    <row r="2163" spans="1:17" s="540" customFormat="1" ht="14.25" customHeight="1">
      <c r="A2163" s="1536">
        <v>1</v>
      </c>
      <c r="B2163" s="1537" t="e">
        <f>VLOOKUP(D2163,'[2]DS CN MOI UP'!$B$11:$C$447,2,0)</f>
        <v>#N/A</v>
      </c>
      <c r="C2163" s="1538"/>
      <c r="D2163" s="166" t="s">
        <v>1591</v>
      </c>
      <c r="E2163" s="1468" t="s">
        <v>15</v>
      </c>
      <c r="F2163" s="1468"/>
      <c r="G2163" s="1540">
        <v>60000</v>
      </c>
      <c r="H2163" s="1466">
        <v>554373.09900000005</v>
      </c>
      <c r="I2163" s="1540">
        <v>524139.33600000001</v>
      </c>
      <c r="J2163" s="1466">
        <f t="shared" ref="J2163:J2283" si="91">SUM(G2163:I2163)</f>
        <v>1138512.4350000001</v>
      </c>
      <c r="K2163" s="1466"/>
      <c r="L2163" s="1466"/>
      <c r="M2163" s="1540">
        <f t="shared" ref="M2163:M2283" si="92">J2163-L2163</f>
        <v>1138512.4350000001</v>
      </c>
      <c r="N2163" s="166"/>
      <c r="O2163" s="559" t="e">
        <f>+O2162-G2162</f>
        <v>#REF!</v>
      </c>
      <c r="P2163" s="559" t="e">
        <f>+P2162-H2162</f>
        <v>#REF!</v>
      </c>
      <c r="Q2163" s="559" t="e">
        <f>+Q2162-I2162</f>
        <v>#REF!</v>
      </c>
    </row>
    <row r="2164" spans="1:17" s="540" customFormat="1" ht="14.25" customHeight="1">
      <c r="A2164" s="1536">
        <v>2</v>
      </c>
      <c r="B2164" s="1537" t="e">
        <f>VLOOKUP(D2164,'[2]DS CN MOI UP'!$B$11:$C$447,2,0)</f>
        <v>#N/A</v>
      </c>
      <c r="C2164" s="1538"/>
      <c r="D2164" s="166" t="s">
        <v>1593</v>
      </c>
      <c r="E2164" s="1468" t="s">
        <v>15</v>
      </c>
      <c r="F2164" s="1468"/>
      <c r="G2164" s="1540">
        <v>40000</v>
      </c>
      <c r="H2164" s="1466">
        <v>554373.09900000005</v>
      </c>
      <c r="I2164" s="1540">
        <v>524139.33600000001</v>
      </c>
      <c r="J2164" s="1466">
        <f t="shared" si="91"/>
        <v>1118512.4350000001</v>
      </c>
      <c r="K2164" s="1466"/>
      <c r="L2164" s="1466"/>
      <c r="M2164" s="1540">
        <f t="shared" si="92"/>
        <v>1118512.4350000001</v>
      </c>
      <c r="N2164" s="166"/>
    </row>
    <row r="2165" spans="1:17" s="540" customFormat="1" ht="14.25" customHeight="1">
      <c r="A2165" s="1536">
        <v>3</v>
      </c>
      <c r="B2165" s="1537" t="e">
        <f>VLOOKUP(D2165,'[2]DS CN MOI UP'!$B$11:$C$447,2,0)</f>
        <v>#N/A</v>
      </c>
      <c r="C2165" s="1538"/>
      <c r="D2165" s="166" t="s">
        <v>1596</v>
      </c>
      <c r="E2165" s="1468" t="s">
        <v>15</v>
      </c>
      <c r="F2165" s="1468"/>
      <c r="G2165" s="1540">
        <v>40000</v>
      </c>
      <c r="H2165" s="1466">
        <v>554373.09900000005</v>
      </c>
      <c r="I2165" s="1540">
        <v>524139.33600000001</v>
      </c>
      <c r="J2165" s="1466">
        <f t="shared" si="91"/>
        <v>1118512.4350000001</v>
      </c>
      <c r="K2165" s="1466"/>
      <c r="L2165" s="1466"/>
      <c r="M2165" s="1540">
        <f t="shared" si="92"/>
        <v>1118512.4350000001</v>
      </c>
      <c r="N2165" s="166"/>
      <c r="O2165" s="559"/>
    </row>
    <row r="2166" spans="1:17" s="540" customFormat="1" ht="14.25" customHeight="1">
      <c r="A2166" s="1536">
        <v>4</v>
      </c>
      <c r="B2166" s="1537" t="e">
        <f>VLOOKUP(D2166,'[2]DS CN MOI UP'!$B$11:$C$447,2,0)</f>
        <v>#N/A</v>
      </c>
      <c r="C2166" s="1538"/>
      <c r="D2166" s="166" t="s">
        <v>1598</v>
      </c>
      <c r="E2166" s="1468" t="s">
        <v>15</v>
      </c>
      <c r="F2166" s="1468"/>
      <c r="G2166" s="1540">
        <v>40000</v>
      </c>
      <c r="H2166" s="1466">
        <v>554373.09900000005</v>
      </c>
      <c r="I2166" s="1540">
        <v>524139.33600000001</v>
      </c>
      <c r="J2166" s="1466">
        <f t="shared" si="91"/>
        <v>1118512.4350000001</v>
      </c>
      <c r="K2166" s="1466"/>
      <c r="L2166" s="1466"/>
      <c r="M2166" s="1540">
        <f t="shared" si="92"/>
        <v>1118512.4350000001</v>
      </c>
      <c r="N2166" s="166"/>
    </row>
    <row r="2167" spans="1:17" s="540" customFormat="1" ht="14.25" customHeight="1">
      <c r="A2167" s="1536">
        <v>5</v>
      </c>
      <c r="B2167" s="1537" t="e">
        <f>VLOOKUP(D2167,'[2]DS CN MOI UP'!$B$11:$C$447,2,0)</f>
        <v>#N/A</v>
      </c>
      <c r="C2167" s="1538"/>
      <c r="D2167" s="166" t="s">
        <v>1600</v>
      </c>
      <c r="E2167" s="1468" t="s">
        <v>15</v>
      </c>
      <c r="F2167" s="1468"/>
      <c r="G2167" s="1540">
        <v>40000</v>
      </c>
      <c r="H2167" s="1466">
        <v>635040.18900000001</v>
      </c>
      <c r="I2167" s="1540">
        <v>524139.33600000001</v>
      </c>
      <c r="J2167" s="1466">
        <f t="shared" si="91"/>
        <v>1199179.5249999999</v>
      </c>
      <c r="K2167" s="1466"/>
      <c r="L2167" s="1466"/>
      <c r="M2167" s="1540">
        <f t="shared" si="92"/>
        <v>1199179.5249999999</v>
      </c>
      <c r="N2167" s="166"/>
    </row>
    <row r="2168" spans="1:17" s="540" customFormat="1" ht="14.25" customHeight="1">
      <c r="A2168" s="1536">
        <v>6</v>
      </c>
      <c r="B2168" s="1537" t="e">
        <f>VLOOKUP(D2168,'[2]DS CN MOI UP'!$B$11:$C$447,2,0)</f>
        <v>#N/A</v>
      </c>
      <c r="C2168" s="1538"/>
      <c r="D2168" s="166" t="s">
        <v>1602</v>
      </c>
      <c r="E2168" s="1468" t="s">
        <v>15</v>
      </c>
      <c r="F2168" s="1468"/>
      <c r="G2168" s="1540">
        <v>40000</v>
      </c>
      <c r="H2168" s="1466">
        <v>544338.9</v>
      </c>
      <c r="I2168" s="1540">
        <v>524139.33600000001</v>
      </c>
      <c r="J2168" s="1466">
        <f t="shared" si="91"/>
        <v>1108478.236</v>
      </c>
      <c r="K2168" s="1466"/>
      <c r="L2168" s="1466"/>
      <c r="M2168" s="1540">
        <f t="shared" si="92"/>
        <v>1108478.236</v>
      </c>
      <c r="N2168" s="166"/>
    </row>
    <row r="2169" spans="1:17" s="540" customFormat="1" ht="14.25" customHeight="1">
      <c r="A2169" s="1536">
        <v>7</v>
      </c>
      <c r="B2169" s="1537" t="e">
        <f>VLOOKUP(D2169,'[2]DS CN MOI UP'!$B$11:$C$447,2,0)</f>
        <v>#N/A</v>
      </c>
      <c r="C2169" s="1538"/>
      <c r="D2169" s="166" t="s">
        <v>1604</v>
      </c>
      <c r="E2169" s="1468" t="s">
        <v>15</v>
      </c>
      <c r="F2169" s="1468"/>
      <c r="G2169" s="1540">
        <v>40000</v>
      </c>
      <c r="H2169" s="1466">
        <v>574572.66299999994</v>
      </c>
      <c r="I2169" s="1540">
        <v>524139.33600000001</v>
      </c>
      <c r="J2169" s="1466">
        <f t="shared" si="91"/>
        <v>1138711.9990000001</v>
      </c>
      <c r="K2169" s="1466"/>
      <c r="L2169" s="1466"/>
      <c r="M2169" s="1540">
        <f t="shared" si="92"/>
        <v>1138711.9990000001</v>
      </c>
      <c r="N2169" s="166"/>
    </row>
    <row r="2170" spans="1:17" s="540" customFormat="1" ht="14.25" customHeight="1">
      <c r="A2170" s="1536">
        <v>8</v>
      </c>
      <c r="B2170" s="1537" t="e">
        <f>VLOOKUP(D2170,'[2]DS CN MOI UP'!$B$11:$C$447,2,0)</f>
        <v>#N/A</v>
      </c>
      <c r="C2170" s="1538"/>
      <c r="D2170" s="166" t="s">
        <v>1606</v>
      </c>
      <c r="E2170" s="1468" t="s">
        <v>15</v>
      </c>
      <c r="F2170" s="1468"/>
      <c r="G2170" s="1540">
        <v>40000</v>
      </c>
      <c r="H2170" s="1540">
        <v>604806.42599999998</v>
      </c>
      <c r="I2170" s="1540">
        <v>524139.33600000001</v>
      </c>
      <c r="J2170" s="1466">
        <f t="shared" si="91"/>
        <v>1168945.7620000001</v>
      </c>
      <c r="K2170" s="1466"/>
      <c r="L2170" s="1466"/>
      <c r="M2170" s="1540">
        <f t="shared" si="92"/>
        <v>1168945.7620000001</v>
      </c>
      <c r="N2170" s="166"/>
    </row>
    <row r="2171" spans="1:17" s="540" customFormat="1" ht="14.25" customHeight="1">
      <c r="A2171" s="1536">
        <v>9</v>
      </c>
      <c r="B2171" s="1537" t="e">
        <f>VLOOKUP(D2171,'[2]DS CN MOI UP'!$B$11:$C$447,2,0)</f>
        <v>#N/A</v>
      </c>
      <c r="C2171" s="1538"/>
      <c r="D2171" s="166" t="s">
        <v>1613</v>
      </c>
      <c r="E2171" s="1468" t="s">
        <v>15</v>
      </c>
      <c r="F2171" s="1468"/>
      <c r="G2171" s="1540">
        <v>40000</v>
      </c>
      <c r="H2171" s="1540">
        <v>584606.86199999996</v>
      </c>
      <c r="I2171" s="1540">
        <v>524139.33600000001</v>
      </c>
      <c r="J2171" s="1466">
        <f t="shared" si="91"/>
        <v>1148746.1980000001</v>
      </c>
      <c r="K2171" s="1466"/>
      <c r="L2171" s="1466"/>
      <c r="M2171" s="1540">
        <f t="shared" si="92"/>
        <v>1148746.1980000001</v>
      </c>
      <c r="N2171" s="166"/>
    </row>
    <row r="2172" spans="1:17" s="540" customFormat="1" ht="14.25" customHeight="1">
      <c r="A2172" s="1536">
        <v>10</v>
      </c>
      <c r="B2172" s="1537" t="e">
        <f>VLOOKUP(D2172,'[2]DS CN MOI UP'!$B$11:$C$447,2,0)</f>
        <v>#N/A</v>
      </c>
      <c r="C2172" s="1538"/>
      <c r="D2172" s="166" t="s">
        <v>1615</v>
      </c>
      <c r="E2172" s="1468" t="s">
        <v>15</v>
      </c>
      <c r="F2172" s="1468"/>
      <c r="G2172" s="1540">
        <v>40000</v>
      </c>
      <c r="H2172" s="1540">
        <v>635040.18900000001</v>
      </c>
      <c r="I2172" s="1540">
        <v>524139.33600000001</v>
      </c>
      <c r="J2172" s="1466">
        <f t="shared" si="91"/>
        <v>1199179.5249999999</v>
      </c>
      <c r="K2172" s="1466"/>
      <c r="L2172" s="1466"/>
      <c r="M2172" s="1540">
        <f t="shared" si="92"/>
        <v>1199179.5249999999</v>
      </c>
      <c r="N2172" s="166"/>
    </row>
    <row r="2173" spans="1:17" s="540" customFormat="1" ht="14.25" customHeight="1">
      <c r="A2173" s="1536">
        <v>11</v>
      </c>
      <c r="B2173" s="1537" t="e">
        <f>VLOOKUP(D2173,'[2]DS CN MOI UP'!$B$11:$C$447,2,0)</f>
        <v>#N/A</v>
      </c>
      <c r="C2173" s="1538"/>
      <c r="D2173" s="166" t="s">
        <v>1617</v>
      </c>
      <c r="E2173" s="1468" t="s">
        <v>15</v>
      </c>
      <c r="F2173" s="1468"/>
      <c r="G2173" s="1540">
        <v>40000</v>
      </c>
      <c r="H2173" s="1540">
        <v>524139.33600000001</v>
      </c>
      <c r="I2173" s="1540">
        <v>524139.33600000001</v>
      </c>
      <c r="J2173" s="1466">
        <f t="shared" si="91"/>
        <v>1088278.672</v>
      </c>
      <c r="K2173" s="1466"/>
      <c r="L2173" s="1466"/>
      <c r="M2173" s="1540">
        <f t="shared" si="92"/>
        <v>1088278.672</v>
      </c>
      <c r="N2173" s="166"/>
    </row>
    <row r="2174" spans="1:17" s="540" customFormat="1" ht="14.25" customHeight="1">
      <c r="A2174" s="1536">
        <v>12</v>
      </c>
      <c r="B2174" s="1537" t="e">
        <f>VLOOKUP(D2174,'[2]DS CN MOI UP'!$B$11:$C$447,2,0)</f>
        <v>#N/A</v>
      </c>
      <c r="C2174" s="1538"/>
      <c r="D2174" s="166" t="s">
        <v>1619</v>
      </c>
      <c r="E2174" s="1468" t="s">
        <v>15</v>
      </c>
      <c r="F2174" s="1468"/>
      <c r="G2174" s="1540">
        <v>40000</v>
      </c>
      <c r="H2174" s="1540">
        <v>635040.18900000001</v>
      </c>
      <c r="I2174" s="1540">
        <v>524139.33600000001</v>
      </c>
      <c r="J2174" s="1466">
        <f t="shared" si="91"/>
        <v>1199179.5249999999</v>
      </c>
      <c r="K2174" s="1466"/>
      <c r="L2174" s="1466"/>
      <c r="M2174" s="1540">
        <f t="shared" si="92"/>
        <v>1199179.5249999999</v>
      </c>
      <c r="N2174" s="166"/>
    </row>
    <row r="2175" spans="1:17" s="540" customFormat="1" ht="14.25" customHeight="1">
      <c r="A2175" s="1536">
        <v>13</v>
      </c>
      <c r="B2175" s="1537" t="e">
        <f>VLOOKUP(D2175,'[2]DS CN MOI UP'!$B$11:$C$447,2,0)</f>
        <v>#N/A</v>
      </c>
      <c r="C2175" s="1538"/>
      <c r="D2175" s="166" t="s">
        <v>1621</v>
      </c>
      <c r="E2175" s="1468" t="s">
        <v>15</v>
      </c>
      <c r="F2175" s="1468"/>
      <c r="G2175" s="1540">
        <v>40000</v>
      </c>
      <c r="H2175" s="1540">
        <v>635040.18900000001</v>
      </c>
      <c r="I2175" s="1540">
        <v>524139.33600000001</v>
      </c>
      <c r="J2175" s="1466">
        <f t="shared" si="91"/>
        <v>1199179.5249999999</v>
      </c>
      <c r="K2175" s="1466"/>
      <c r="L2175" s="1466"/>
      <c r="M2175" s="1540">
        <f t="shared" si="92"/>
        <v>1199179.5249999999</v>
      </c>
      <c r="N2175" s="166"/>
    </row>
    <row r="2176" spans="1:17" s="540" customFormat="1" ht="14.25" customHeight="1">
      <c r="A2176" s="1536">
        <v>14</v>
      </c>
      <c r="B2176" s="1537" t="e">
        <f>VLOOKUP(D2176,'[2]DS CN MOI UP'!$B$11:$C$447,2,0)</f>
        <v>#N/A</v>
      </c>
      <c r="C2176" s="1538"/>
      <c r="D2176" s="166" t="s">
        <v>1623</v>
      </c>
      <c r="E2176" s="1468" t="s">
        <v>15</v>
      </c>
      <c r="F2176" s="1468"/>
      <c r="G2176" s="1540">
        <v>40000</v>
      </c>
      <c r="H2176" s="1540">
        <v>554373.09900000005</v>
      </c>
      <c r="I2176" s="1540">
        <v>524139.33600000001</v>
      </c>
      <c r="J2176" s="1466">
        <f t="shared" si="91"/>
        <v>1118512.4350000001</v>
      </c>
      <c r="K2176" s="1466"/>
      <c r="L2176" s="1466"/>
      <c r="M2176" s="1540">
        <f t="shared" si="92"/>
        <v>1118512.4350000001</v>
      </c>
      <c r="N2176" s="166"/>
    </row>
    <row r="2177" spans="1:14" s="540" customFormat="1" ht="14.25" customHeight="1">
      <c r="A2177" s="1536">
        <v>15</v>
      </c>
      <c r="B2177" s="1537" t="e">
        <f>VLOOKUP(D2177,'[2]DS CN MOI UP'!$B$11:$C$447,2,0)</f>
        <v>#N/A</v>
      </c>
      <c r="C2177" s="1538"/>
      <c r="D2177" s="166" t="s">
        <v>794</v>
      </c>
      <c r="E2177" s="1468" t="s">
        <v>15</v>
      </c>
      <c r="F2177" s="1468"/>
      <c r="G2177" s="1540">
        <v>60000</v>
      </c>
      <c r="H2177" s="1540">
        <v>554373.09900000005</v>
      </c>
      <c r="I2177" s="1540">
        <v>524139.33600000001</v>
      </c>
      <c r="J2177" s="1466">
        <f t="shared" si="91"/>
        <v>1138512.4350000001</v>
      </c>
      <c r="K2177" s="1466"/>
      <c r="L2177" s="1466"/>
      <c r="M2177" s="1540">
        <f t="shared" si="92"/>
        <v>1138512.4350000001</v>
      </c>
      <c r="N2177" s="166"/>
    </row>
    <row r="2178" spans="1:14" s="540" customFormat="1" ht="14.25" customHeight="1">
      <c r="A2178" s="1536">
        <v>16</v>
      </c>
      <c r="B2178" s="1537" t="e">
        <f>VLOOKUP(D2178,'[2]DS CN MOI UP'!$B$11:$C$447,2,0)</f>
        <v>#N/A</v>
      </c>
      <c r="C2178" s="1538"/>
      <c r="D2178" s="166" t="s">
        <v>1626</v>
      </c>
      <c r="E2178" s="1468" t="s">
        <v>15</v>
      </c>
      <c r="F2178" s="1468"/>
      <c r="G2178" s="1540">
        <v>40000</v>
      </c>
      <c r="H2178" s="1540">
        <v>554373.09900000005</v>
      </c>
      <c r="I2178" s="1540">
        <v>524139.33600000001</v>
      </c>
      <c r="J2178" s="1466">
        <f t="shared" si="91"/>
        <v>1118512.4350000001</v>
      </c>
      <c r="K2178" s="1466"/>
      <c r="L2178" s="1466"/>
      <c r="M2178" s="1540">
        <f t="shared" si="92"/>
        <v>1118512.4350000001</v>
      </c>
      <c r="N2178" s="166"/>
    </row>
    <row r="2179" spans="1:14" s="540" customFormat="1" ht="14.25" customHeight="1">
      <c r="A2179" s="1536">
        <v>17</v>
      </c>
      <c r="B2179" s="1537" t="e">
        <f>VLOOKUP(D2179,'[2]DS CN MOI UP'!$B$11:$C$447,2,0)</f>
        <v>#N/A</v>
      </c>
      <c r="C2179" s="1538"/>
      <c r="D2179" s="166" t="s">
        <v>1464</v>
      </c>
      <c r="E2179" s="1468" t="s">
        <v>15</v>
      </c>
      <c r="F2179" s="1468"/>
      <c r="G2179" s="1540">
        <v>40000</v>
      </c>
      <c r="H2179" s="1540">
        <v>554373.09900000005</v>
      </c>
      <c r="I2179" s="1540">
        <v>524139.33600000001</v>
      </c>
      <c r="J2179" s="1466">
        <f t="shared" si="91"/>
        <v>1118512.4350000001</v>
      </c>
      <c r="K2179" s="1466"/>
      <c r="L2179" s="1466"/>
      <c r="M2179" s="1540">
        <f t="shared" si="92"/>
        <v>1118512.4350000001</v>
      </c>
      <c r="N2179" s="166"/>
    </row>
    <row r="2180" spans="1:14" s="540" customFormat="1" ht="14.25" customHeight="1">
      <c r="A2180" s="1536">
        <v>18</v>
      </c>
      <c r="B2180" s="1537" t="e">
        <f>VLOOKUP(D2180,'[2]DS CN MOI UP'!$B$11:$C$447,2,0)</f>
        <v>#N/A</v>
      </c>
      <c r="C2180" s="1538"/>
      <c r="D2180" s="166" t="s">
        <v>1629</v>
      </c>
      <c r="E2180" s="1468" t="s">
        <v>15</v>
      </c>
      <c r="F2180" s="1468"/>
      <c r="G2180" s="1540">
        <v>40000</v>
      </c>
      <c r="H2180" s="1540">
        <v>554373.09900000005</v>
      </c>
      <c r="I2180" s="1540">
        <v>524139.33600000001</v>
      </c>
      <c r="J2180" s="1466">
        <f t="shared" si="91"/>
        <v>1118512.4350000001</v>
      </c>
      <c r="K2180" s="1466"/>
      <c r="L2180" s="1466"/>
      <c r="M2180" s="1540">
        <f t="shared" si="92"/>
        <v>1118512.4350000001</v>
      </c>
      <c r="N2180" s="166"/>
    </row>
    <row r="2181" spans="1:14" s="540" customFormat="1" ht="14.25" customHeight="1">
      <c r="A2181" s="1536">
        <v>19</v>
      </c>
      <c r="B2181" s="1537" t="e">
        <f>VLOOKUP(D2181,'[2]DS CN MOI UP'!$B$11:$C$447,2,0)</f>
        <v>#N/A</v>
      </c>
      <c r="C2181" s="1538"/>
      <c r="D2181" s="166" t="s">
        <v>1630</v>
      </c>
      <c r="E2181" s="1468" t="s">
        <v>15</v>
      </c>
      <c r="F2181" s="1468"/>
      <c r="G2181" s="1540">
        <v>40000</v>
      </c>
      <c r="H2181" s="1540">
        <v>635040.18900000001</v>
      </c>
      <c r="I2181" s="1540">
        <v>524139.33600000001</v>
      </c>
      <c r="J2181" s="1466">
        <f t="shared" si="91"/>
        <v>1199179.5249999999</v>
      </c>
      <c r="K2181" s="1466"/>
      <c r="L2181" s="1466"/>
      <c r="M2181" s="1540">
        <f t="shared" si="92"/>
        <v>1199179.5249999999</v>
      </c>
      <c r="N2181" s="166"/>
    </row>
    <row r="2182" spans="1:14" s="540" customFormat="1" ht="14.25" customHeight="1">
      <c r="A2182" s="1536">
        <v>20</v>
      </c>
      <c r="B2182" s="1537" t="e">
        <f>VLOOKUP(D2182,'[2]DS CN MOI UP'!$B$11:$C$447,2,0)</f>
        <v>#N/A</v>
      </c>
      <c r="C2182" s="1538"/>
      <c r="D2182" s="166" t="s">
        <v>1631</v>
      </c>
      <c r="E2182" s="1468" t="s">
        <v>15</v>
      </c>
      <c r="F2182" s="1468"/>
      <c r="G2182" s="1540">
        <v>40000</v>
      </c>
      <c r="H2182" s="1540">
        <v>544338.9</v>
      </c>
      <c r="I2182" s="1540">
        <v>524139.33600000001</v>
      </c>
      <c r="J2182" s="1466">
        <f t="shared" si="91"/>
        <v>1108478.236</v>
      </c>
      <c r="K2182" s="1466"/>
      <c r="L2182" s="1466"/>
      <c r="M2182" s="1540">
        <f t="shared" si="92"/>
        <v>1108478.236</v>
      </c>
      <c r="N2182" s="166"/>
    </row>
    <row r="2183" spans="1:14" s="540" customFormat="1" ht="14.25" customHeight="1">
      <c r="A2183" s="1536">
        <v>21</v>
      </c>
      <c r="B2183" s="1537" t="e">
        <f>VLOOKUP(D2183,'[2]DS CN MOI UP'!$B$11:$C$447,2,0)</f>
        <v>#N/A</v>
      </c>
      <c r="C2183" s="1538"/>
      <c r="D2183" s="166" t="s">
        <v>1632</v>
      </c>
      <c r="E2183" s="1468" t="s">
        <v>15</v>
      </c>
      <c r="F2183" s="1468"/>
      <c r="G2183" s="1540">
        <v>40000</v>
      </c>
      <c r="H2183" s="1540">
        <v>574572.66299999994</v>
      </c>
      <c r="I2183" s="1540">
        <v>524139.33600000001</v>
      </c>
      <c r="J2183" s="1466">
        <f t="shared" si="91"/>
        <v>1138711.9990000001</v>
      </c>
      <c r="K2183" s="1466"/>
      <c r="L2183" s="1466"/>
      <c r="M2183" s="1540">
        <f t="shared" si="92"/>
        <v>1138711.9990000001</v>
      </c>
      <c r="N2183" s="166"/>
    </row>
    <row r="2184" spans="1:14" s="540" customFormat="1" ht="14.25" customHeight="1">
      <c r="A2184" s="1536">
        <v>22</v>
      </c>
      <c r="B2184" s="1537" t="e">
        <f>VLOOKUP(D2184,'[2]DS CN MOI UP'!$B$11:$C$447,2,0)</f>
        <v>#N/A</v>
      </c>
      <c r="C2184" s="1538"/>
      <c r="D2184" s="166" t="s">
        <v>1633</v>
      </c>
      <c r="E2184" s="1468" t="s">
        <v>15</v>
      </c>
      <c r="F2184" s="1468"/>
      <c r="G2184" s="1540">
        <v>40000</v>
      </c>
      <c r="H2184" s="1540">
        <v>604806.42599999998</v>
      </c>
      <c r="I2184" s="1540">
        <v>524139.33600000001</v>
      </c>
      <c r="J2184" s="1466">
        <f t="shared" si="91"/>
        <v>1168945.7620000001</v>
      </c>
      <c r="K2184" s="1466"/>
      <c r="L2184" s="1466"/>
      <c r="M2184" s="1540">
        <f t="shared" si="92"/>
        <v>1168945.7620000001</v>
      </c>
      <c r="N2184" s="166"/>
    </row>
    <row r="2185" spans="1:14" s="540" customFormat="1" ht="14.25" customHeight="1">
      <c r="A2185" s="1536">
        <v>23</v>
      </c>
      <c r="B2185" s="1537" t="e">
        <f>VLOOKUP(D2185,'[2]DS CN MOI UP'!$B$11:$C$447,2,0)</f>
        <v>#N/A</v>
      </c>
      <c r="C2185" s="1538"/>
      <c r="D2185" s="166" t="s">
        <v>1634</v>
      </c>
      <c r="E2185" s="1468" t="s">
        <v>15</v>
      </c>
      <c r="F2185" s="1468"/>
      <c r="G2185" s="1540">
        <v>40000</v>
      </c>
      <c r="H2185" s="1540">
        <v>584606.86199999996</v>
      </c>
      <c r="I2185" s="1540">
        <v>524139.33600000001</v>
      </c>
      <c r="J2185" s="1466">
        <f t="shared" si="91"/>
        <v>1148746.1980000001</v>
      </c>
      <c r="K2185" s="1466"/>
      <c r="L2185" s="1466"/>
      <c r="M2185" s="1540">
        <f t="shared" si="92"/>
        <v>1148746.1980000001</v>
      </c>
      <c r="N2185" s="166"/>
    </row>
    <row r="2186" spans="1:14" s="540" customFormat="1" ht="14.25" customHeight="1">
      <c r="A2186" s="1536">
        <v>24</v>
      </c>
      <c r="B2186" s="1537" t="e">
        <f>VLOOKUP(D2186,'[2]DS CN MOI UP'!$B$11:$C$447,2,0)</f>
        <v>#N/A</v>
      </c>
      <c r="C2186" s="1538"/>
      <c r="D2186" s="166" t="s">
        <v>1635</v>
      </c>
      <c r="E2186" s="1468" t="s">
        <v>15</v>
      </c>
      <c r="F2186" s="1468"/>
      <c r="G2186" s="1540">
        <v>60000</v>
      </c>
      <c r="H2186" s="1466">
        <v>554373.09900000005</v>
      </c>
      <c r="I2186" s="1540">
        <v>524139.33600000001</v>
      </c>
      <c r="J2186" s="1466">
        <f t="shared" si="91"/>
        <v>1138512.4350000001</v>
      </c>
      <c r="K2186" s="1466"/>
      <c r="L2186" s="1466"/>
      <c r="M2186" s="1540">
        <f t="shared" si="92"/>
        <v>1138512.4350000001</v>
      </c>
      <c r="N2186" s="166"/>
    </row>
    <row r="2187" spans="1:14" s="540" customFormat="1" ht="14.25" customHeight="1">
      <c r="A2187" s="1536">
        <v>25</v>
      </c>
      <c r="B2187" s="1537" t="e">
        <f>VLOOKUP(D2187,'[2]DS CN MOI UP'!$B$11:$C$447,2,0)</f>
        <v>#N/A</v>
      </c>
      <c r="C2187" s="1538"/>
      <c r="D2187" s="166" t="s">
        <v>1636</v>
      </c>
      <c r="E2187" s="1468" t="s">
        <v>15</v>
      </c>
      <c r="F2187" s="1468"/>
      <c r="G2187" s="1540">
        <v>40000</v>
      </c>
      <c r="H2187" s="1466">
        <v>554373.09900000005</v>
      </c>
      <c r="I2187" s="1540">
        <v>524139.33600000001</v>
      </c>
      <c r="J2187" s="1466">
        <f t="shared" si="91"/>
        <v>1118512.4350000001</v>
      </c>
      <c r="K2187" s="1466"/>
      <c r="L2187" s="1466"/>
      <c r="M2187" s="1540">
        <f t="shared" si="92"/>
        <v>1118512.4350000001</v>
      </c>
      <c r="N2187" s="166"/>
    </row>
    <row r="2188" spans="1:14" s="540" customFormat="1" ht="14.25" customHeight="1">
      <c r="A2188" s="1536">
        <v>26</v>
      </c>
      <c r="B2188" s="1537" t="e">
        <f>VLOOKUP(D2188,'[2]DS CN MOI UP'!$B$11:$C$447,2,0)</f>
        <v>#N/A</v>
      </c>
      <c r="C2188" s="1538"/>
      <c r="D2188" s="166" t="s">
        <v>1637</v>
      </c>
      <c r="E2188" s="1468" t="s">
        <v>15</v>
      </c>
      <c r="F2188" s="1468"/>
      <c r="G2188" s="1540">
        <v>40000</v>
      </c>
      <c r="H2188" s="1466">
        <v>554373.09900000005</v>
      </c>
      <c r="I2188" s="1540">
        <v>524139.33600000001</v>
      </c>
      <c r="J2188" s="1466">
        <f t="shared" si="91"/>
        <v>1118512.4350000001</v>
      </c>
      <c r="K2188" s="1466"/>
      <c r="L2188" s="1466"/>
      <c r="M2188" s="1540">
        <f t="shared" si="92"/>
        <v>1118512.4350000001</v>
      </c>
      <c r="N2188" s="166"/>
    </row>
    <row r="2189" spans="1:14" s="540" customFormat="1" ht="14.25" customHeight="1">
      <c r="A2189" s="1536">
        <v>27</v>
      </c>
      <c r="B2189" s="1537" t="e">
        <f>VLOOKUP(D2189,'[2]DS CN MOI UP'!$B$11:$C$447,2,0)</f>
        <v>#N/A</v>
      </c>
      <c r="C2189" s="1538"/>
      <c r="D2189" s="166" t="s">
        <v>1638</v>
      </c>
      <c r="E2189" s="1468" t="s">
        <v>15</v>
      </c>
      <c r="F2189" s="1468"/>
      <c r="G2189" s="1540">
        <v>40000</v>
      </c>
      <c r="H2189" s="1466">
        <v>554373.09900000005</v>
      </c>
      <c r="I2189" s="1540">
        <v>524139.33600000001</v>
      </c>
      <c r="J2189" s="1466">
        <f t="shared" si="91"/>
        <v>1118512.4350000001</v>
      </c>
      <c r="K2189" s="1466"/>
      <c r="L2189" s="1466"/>
      <c r="M2189" s="1540">
        <f t="shared" si="92"/>
        <v>1118512.4350000001</v>
      </c>
      <c r="N2189" s="166"/>
    </row>
    <row r="2190" spans="1:14" s="540" customFormat="1" ht="14.25" customHeight="1">
      <c r="A2190" s="1536">
        <v>28</v>
      </c>
      <c r="B2190" s="1537" t="e">
        <f>VLOOKUP(D2190,'[2]DS CN MOI UP'!$B$11:$C$447,2,0)</f>
        <v>#N/A</v>
      </c>
      <c r="C2190" s="1538"/>
      <c r="D2190" s="166" t="s">
        <v>1639</v>
      </c>
      <c r="E2190" s="1468" t="s">
        <v>15</v>
      </c>
      <c r="F2190" s="1468"/>
      <c r="G2190" s="1540">
        <v>40000</v>
      </c>
      <c r="H2190" s="1466">
        <v>635040.18900000001</v>
      </c>
      <c r="I2190" s="1540">
        <v>524139.33600000001</v>
      </c>
      <c r="J2190" s="1466">
        <f t="shared" si="91"/>
        <v>1199179.5249999999</v>
      </c>
      <c r="K2190" s="1466"/>
      <c r="L2190" s="1466"/>
      <c r="M2190" s="1540">
        <f t="shared" si="92"/>
        <v>1199179.5249999999</v>
      </c>
      <c r="N2190" s="166"/>
    </row>
    <row r="2191" spans="1:14" s="540" customFormat="1" ht="14.25" customHeight="1">
      <c r="A2191" s="1536">
        <v>29</v>
      </c>
      <c r="B2191" s="1537" t="e">
        <f>VLOOKUP(D2191,'[2]DS CN MOI UP'!$B$11:$C$447,2,0)</f>
        <v>#N/A</v>
      </c>
      <c r="C2191" s="1538"/>
      <c r="D2191" s="166" t="s">
        <v>1575</v>
      </c>
      <c r="E2191" s="1468" t="s">
        <v>15</v>
      </c>
      <c r="F2191" s="1468"/>
      <c r="G2191" s="1540">
        <v>40000</v>
      </c>
      <c r="H2191" s="1466">
        <v>544338.9</v>
      </c>
      <c r="I2191" s="1540">
        <v>524139.33600000001</v>
      </c>
      <c r="J2191" s="1466">
        <f t="shared" si="91"/>
        <v>1108478.236</v>
      </c>
      <c r="K2191" s="1466"/>
      <c r="L2191" s="1466"/>
      <c r="M2191" s="1540">
        <f t="shared" si="92"/>
        <v>1108478.236</v>
      </c>
      <c r="N2191" s="166"/>
    </row>
    <row r="2192" spans="1:14" s="540" customFormat="1" ht="14.25" customHeight="1">
      <c r="A2192" s="1536">
        <v>30</v>
      </c>
      <c r="B2192" s="1537" t="e">
        <f>VLOOKUP(D2192,'[2]DS CN MOI UP'!$B$11:$C$447,2,0)</f>
        <v>#N/A</v>
      </c>
      <c r="C2192" s="1538"/>
      <c r="D2192" s="166" t="s">
        <v>1640</v>
      </c>
      <c r="E2192" s="1468" t="s">
        <v>15</v>
      </c>
      <c r="F2192" s="1468"/>
      <c r="G2192" s="1540">
        <v>40000</v>
      </c>
      <c r="H2192" s="1466">
        <v>574572.66299999994</v>
      </c>
      <c r="I2192" s="1540">
        <v>524139.33600000001</v>
      </c>
      <c r="J2192" s="1466">
        <f t="shared" si="91"/>
        <v>1138711.9990000001</v>
      </c>
      <c r="K2192" s="1466"/>
      <c r="L2192" s="1466"/>
      <c r="M2192" s="1540">
        <f t="shared" si="92"/>
        <v>1138711.9990000001</v>
      </c>
      <c r="N2192" s="166"/>
    </row>
    <row r="2193" spans="1:16" s="540" customFormat="1" ht="14.25" customHeight="1">
      <c r="A2193" s="1536">
        <v>31</v>
      </c>
      <c r="B2193" s="1537" t="e">
        <f>VLOOKUP(D2193,'[2]DS CN MOI UP'!$B$11:$C$447,2,0)</f>
        <v>#N/A</v>
      </c>
      <c r="C2193" s="1538"/>
      <c r="D2193" s="166" t="s">
        <v>1641</v>
      </c>
      <c r="E2193" s="1468" t="s">
        <v>15</v>
      </c>
      <c r="F2193" s="1468"/>
      <c r="G2193" s="1540">
        <v>40000</v>
      </c>
      <c r="H2193" s="1540">
        <v>604806.42599999998</v>
      </c>
      <c r="I2193" s="1540">
        <v>524139.33600000001</v>
      </c>
      <c r="J2193" s="1466">
        <f t="shared" si="91"/>
        <v>1168945.7620000001</v>
      </c>
      <c r="K2193" s="1466"/>
      <c r="L2193" s="1466"/>
      <c r="M2193" s="1540">
        <f t="shared" si="92"/>
        <v>1168945.7620000001</v>
      </c>
      <c r="N2193" s="166"/>
    </row>
    <row r="2194" spans="1:16" s="540" customFormat="1" ht="14.25" customHeight="1">
      <c r="A2194" s="1536">
        <v>32</v>
      </c>
      <c r="B2194" s="1537" t="e">
        <f>VLOOKUP(D2194,'[2]DS CN MOI UP'!$B$11:$C$447,2,0)</f>
        <v>#N/A</v>
      </c>
      <c r="C2194" s="1538"/>
      <c r="D2194" s="166" t="s">
        <v>1642</v>
      </c>
      <c r="E2194" s="1468" t="s">
        <v>15</v>
      </c>
      <c r="F2194" s="1468"/>
      <c r="G2194" s="1540">
        <v>40000</v>
      </c>
      <c r="H2194" s="1540">
        <v>584606.86199999996</v>
      </c>
      <c r="I2194" s="1540">
        <v>524139.33600000001</v>
      </c>
      <c r="J2194" s="1466">
        <f t="shared" si="91"/>
        <v>1148746.1980000001</v>
      </c>
      <c r="K2194" s="1466"/>
      <c r="L2194" s="1466"/>
      <c r="M2194" s="1540">
        <f t="shared" si="92"/>
        <v>1148746.1980000001</v>
      </c>
      <c r="N2194" s="166"/>
    </row>
    <row r="2195" spans="1:16" s="540" customFormat="1" ht="14.25" customHeight="1">
      <c r="A2195" s="1536">
        <v>33</v>
      </c>
      <c r="B2195" s="1537" t="str">
        <f>VLOOKUP(D2195,'[2]DS CN MOI UP'!$B$11:$C$447,2,0)</f>
        <v>03403</v>
      </c>
      <c r="C2195" s="1538"/>
      <c r="D2195" s="166" t="s">
        <v>1439</v>
      </c>
      <c r="E2195" s="1468" t="s">
        <v>15</v>
      </c>
      <c r="F2195" s="1468"/>
      <c r="G2195" s="1540">
        <v>40000</v>
      </c>
      <c r="H2195" s="1540">
        <v>635040.18900000001</v>
      </c>
      <c r="I2195" s="1540">
        <v>524139.33600000001</v>
      </c>
      <c r="J2195" s="1466">
        <f t="shared" si="91"/>
        <v>1199179.5249999999</v>
      </c>
      <c r="K2195" s="1466"/>
      <c r="L2195" s="1466"/>
      <c r="M2195" s="1540">
        <f t="shared" si="92"/>
        <v>1199179.5249999999</v>
      </c>
      <c r="N2195" s="166"/>
      <c r="P2195" s="559"/>
    </row>
    <row r="2196" spans="1:16" s="540" customFormat="1" ht="14.25" customHeight="1">
      <c r="A2196" s="1536">
        <v>34</v>
      </c>
      <c r="B2196" s="1537" t="e">
        <f>VLOOKUP(D2196,'[2]DS CN MOI UP'!$B$11:$C$447,2,0)</f>
        <v>#N/A</v>
      </c>
      <c r="C2196" s="1538"/>
      <c r="D2196" s="166" t="s">
        <v>1018</v>
      </c>
      <c r="E2196" s="1468" t="s">
        <v>15</v>
      </c>
      <c r="F2196" s="1468"/>
      <c r="G2196" s="1540">
        <v>40000</v>
      </c>
      <c r="H2196" s="1540">
        <v>524139.33600000001</v>
      </c>
      <c r="I2196" s="1540">
        <v>524139.33600000001</v>
      </c>
      <c r="J2196" s="1466">
        <f t="shared" si="91"/>
        <v>1088278.672</v>
      </c>
      <c r="K2196" s="1466"/>
      <c r="L2196" s="1466"/>
      <c r="M2196" s="1540">
        <f t="shared" si="92"/>
        <v>1088278.672</v>
      </c>
      <c r="N2196" s="166"/>
    </row>
    <row r="2197" spans="1:16" s="540" customFormat="1" ht="14.25" customHeight="1">
      <c r="A2197" s="1536">
        <v>35</v>
      </c>
      <c r="B2197" s="1537" t="e">
        <f>VLOOKUP(D2197,'[2]DS CN MOI UP'!$B$11:$C$447,2,0)</f>
        <v>#N/A</v>
      </c>
      <c r="C2197" s="1538"/>
      <c r="D2197" s="166" t="s">
        <v>1643</v>
      </c>
      <c r="E2197" s="1468" t="s">
        <v>15</v>
      </c>
      <c r="F2197" s="1468"/>
      <c r="G2197" s="1540">
        <v>40000</v>
      </c>
      <c r="H2197" s="1540">
        <v>635040.18900000001</v>
      </c>
      <c r="I2197" s="1540">
        <v>524139.33600000001</v>
      </c>
      <c r="J2197" s="1466">
        <f t="shared" si="91"/>
        <v>1199179.5249999999</v>
      </c>
      <c r="K2197" s="1466"/>
      <c r="L2197" s="1466"/>
      <c r="M2197" s="1540">
        <f t="shared" si="92"/>
        <v>1199179.5249999999</v>
      </c>
      <c r="N2197" s="166"/>
    </row>
    <row r="2198" spans="1:16" s="540" customFormat="1" ht="14.25" customHeight="1">
      <c r="A2198" s="1536">
        <v>36</v>
      </c>
      <c r="B2198" s="1537" t="e">
        <f>VLOOKUP(D2198,'[2]DS CN MOI UP'!$B$11:$C$447,2,0)</f>
        <v>#N/A</v>
      </c>
      <c r="C2198" s="1538"/>
      <c r="D2198" s="166" t="s">
        <v>1644</v>
      </c>
      <c r="E2198" s="1468" t="s">
        <v>15</v>
      </c>
      <c r="F2198" s="1468"/>
      <c r="G2198" s="1540">
        <v>40000</v>
      </c>
      <c r="H2198" s="1540">
        <v>635040.18900000001</v>
      </c>
      <c r="I2198" s="1540">
        <v>524139.33600000001</v>
      </c>
      <c r="J2198" s="1466">
        <f t="shared" si="91"/>
        <v>1199179.5249999999</v>
      </c>
      <c r="K2198" s="1466"/>
      <c r="L2198" s="1466"/>
      <c r="M2198" s="1540">
        <f t="shared" si="92"/>
        <v>1199179.5249999999</v>
      </c>
      <c r="N2198" s="166"/>
      <c r="P2198" s="559"/>
    </row>
    <row r="2199" spans="1:16" s="540" customFormat="1" ht="14.25" customHeight="1">
      <c r="A2199" s="1536">
        <v>37</v>
      </c>
      <c r="B2199" s="1537" t="e">
        <f>VLOOKUP(D2199,'[2]DS CN MOI UP'!$B$11:$C$447,2,0)</f>
        <v>#N/A</v>
      </c>
      <c r="C2199" s="1538"/>
      <c r="D2199" s="166" t="s">
        <v>1645</v>
      </c>
      <c r="E2199" s="1468" t="s">
        <v>15</v>
      </c>
      <c r="F2199" s="1468"/>
      <c r="G2199" s="1540">
        <v>40000</v>
      </c>
      <c r="H2199" s="1540">
        <v>554373.09900000005</v>
      </c>
      <c r="I2199" s="1540">
        <v>524139.33600000001</v>
      </c>
      <c r="J2199" s="1466">
        <f t="shared" si="91"/>
        <v>1118512.4350000001</v>
      </c>
      <c r="K2199" s="1466"/>
      <c r="L2199" s="1466"/>
      <c r="M2199" s="1540">
        <f t="shared" si="92"/>
        <v>1118512.4350000001</v>
      </c>
      <c r="N2199" s="166"/>
    </row>
    <row r="2200" spans="1:16" s="540" customFormat="1" ht="14.25" customHeight="1">
      <c r="A2200" s="1536">
        <v>38</v>
      </c>
      <c r="B2200" s="1537" t="e">
        <f>VLOOKUP(D2200,'[2]DS CN MOI UP'!$B$11:$C$447,2,0)</f>
        <v>#N/A</v>
      </c>
      <c r="C2200" s="1538"/>
      <c r="D2200" s="166" t="s">
        <v>1646</v>
      </c>
      <c r="E2200" s="1468" t="s">
        <v>15</v>
      </c>
      <c r="F2200" s="1468"/>
      <c r="G2200" s="1540">
        <v>60000</v>
      </c>
      <c r="H2200" s="1540">
        <v>554373.09900000005</v>
      </c>
      <c r="I2200" s="1540">
        <v>524139.33600000001</v>
      </c>
      <c r="J2200" s="1466">
        <f t="shared" si="91"/>
        <v>1138512.4350000001</v>
      </c>
      <c r="K2200" s="1466"/>
      <c r="L2200" s="1466"/>
      <c r="M2200" s="1540">
        <f t="shared" si="92"/>
        <v>1138512.4350000001</v>
      </c>
      <c r="N2200" s="166"/>
    </row>
    <row r="2201" spans="1:16" s="540" customFormat="1" ht="14.25" customHeight="1">
      <c r="A2201" s="1536">
        <v>39</v>
      </c>
      <c r="B2201" s="1537" t="e">
        <f>VLOOKUP(D2201,'[2]DS CN MOI UP'!$B$11:$C$447,2,0)</f>
        <v>#N/A</v>
      </c>
      <c r="C2201" s="1538"/>
      <c r="D2201" s="166" t="s">
        <v>1647</v>
      </c>
      <c r="E2201" s="1468" t="s">
        <v>15</v>
      </c>
      <c r="F2201" s="1468"/>
      <c r="G2201" s="1540">
        <v>40000</v>
      </c>
      <c r="H2201" s="1540">
        <v>554373.09900000005</v>
      </c>
      <c r="I2201" s="1540">
        <v>524139.33600000001</v>
      </c>
      <c r="J2201" s="1466">
        <f t="shared" si="91"/>
        <v>1118512.4350000001</v>
      </c>
      <c r="K2201" s="1466"/>
      <c r="L2201" s="1466"/>
      <c r="M2201" s="1540">
        <f t="shared" si="92"/>
        <v>1118512.4350000001</v>
      </c>
      <c r="N2201" s="166"/>
    </row>
    <row r="2202" spans="1:16" s="540" customFormat="1" ht="14.25" customHeight="1">
      <c r="A2202" s="1536">
        <v>40</v>
      </c>
      <c r="B2202" s="1537" t="str">
        <f>VLOOKUP(D2202,'[2]DS CN MOI UP'!$B$11:$C$447,2,0)</f>
        <v>02525</v>
      </c>
      <c r="C2202" s="1538"/>
      <c r="D2202" s="166" t="s">
        <v>180</v>
      </c>
      <c r="E2202" s="1468" t="s">
        <v>15</v>
      </c>
      <c r="F2202" s="1468"/>
      <c r="G2202" s="1540">
        <v>40000</v>
      </c>
      <c r="H2202" s="1540">
        <v>554373.09900000005</v>
      </c>
      <c r="I2202" s="1540">
        <v>524139.33600000001</v>
      </c>
      <c r="J2202" s="1466">
        <f t="shared" si="91"/>
        <v>1118512.4350000001</v>
      </c>
      <c r="K2202" s="1466"/>
      <c r="L2202" s="1466"/>
      <c r="M2202" s="1540">
        <f t="shared" si="92"/>
        <v>1118512.4350000001</v>
      </c>
      <c r="N2202" s="166"/>
    </row>
    <row r="2203" spans="1:16" s="540" customFormat="1" ht="14.25" customHeight="1">
      <c r="A2203" s="1536">
        <v>41</v>
      </c>
      <c r="B2203" s="1537" t="str">
        <f>VLOOKUP(D2203,'[2]DS CN MOI UP'!$B$11:$C$447,2,0)</f>
        <v>02500</v>
      </c>
      <c r="C2203" s="1538"/>
      <c r="D2203" s="166" t="s">
        <v>59</v>
      </c>
      <c r="E2203" s="1468" t="s">
        <v>15</v>
      </c>
      <c r="F2203" s="1468"/>
      <c r="G2203" s="1540">
        <v>40000</v>
      </c>
      <c r="H2203" s="1540">
        <v>554373.09900000005</v>
      </c>
      <c r="I2203" s="1540">
        <v>524139.33600000001</v>
      </c>
      <c r="J2203" s="1466">
        <f t="shared" si="91"/>
        <v>1118512.4350000001</v>
      </c>
      <c r="K2203" s="1466"/>
      <c r="L2203" s="1466"/>
      <c r="M2203" s="1540">
        <f t="shared" si="92"/>
        <v>1118512.4350000001</v>
      </c>
      <c r="N2203" s="166"/>
    </row>
    <row r="2204" spans="1:16" s="540" customFormat="1" ht="14.25" customHeight="1">
      <c r="A2204" s="1536">
        <v>42</v>
      </c>
      <c r="B2204" s="1537" t="str">
        <f>VLOOKUP(D2204,'[2]DS CN MOI UP'!$B$11:$C$447,2,0)</f>
        <v>02550</v>
      </c>
      <c r="C2204" s="1538"/>
      <c r="D2204" s="166" t="s">
        <v>200</v>
      </c>
      <c r="E2204" s="1468" t="s">
        <v>15</v>
      </c>
      <c r="F2204" s="1468"/>
      <c r="G2204" s="1540">
        <v>40000</v>
      </c>
      <c r="H2204" s="1540">
        <v>635040.18900000001</v>
      </c>
      <c r="I2204" s="1540">
        <v>524139.33600000001</v>
      </c>
      <c r="J2204" s="1466">
        <f t="shared" si="91"/>
        <v>1199179.5249999999</v>
      </c>
      <c r="K2204" s="1466"/>
      <c r="L2204" s="1466"/>
      <c r="M2204" s="1540">
        <f t="shared" si="92"/>
        <v>1199179.5249999999</v>
      </c>
      <c r="N2204" s="166"/>
    </row>
    <row r="2205" spans="1:16" s="540" customFormat="1" ht="14.25" customHeight="1">
      <c r="A2205" s="1536">
        <v>43</v>
      </c>
      <c r="B2205" s="1537" t="e">
        <f>VLOOKUP(D2205,'[2]DS CN MOI UP'!$B$11:$C$447,2,0)</f>
        <v>#N/A</v>
      </c>
      <c r="C2205" s="1538"/>
      <c r="D2205" s="166" t="s">
        <v>1648</v>
      </c>
      <c r="E2205" s="1468" t="s">
        <v>15</v>
      </c>
      <c r="F2205" s="1468"/>
      <c r="G2205" s="1540">
        <v>40000</v>
      </c>
      <c r="H2205" s="1540">
        <v>544338.9</v>
      </c>
      <c r="I2205" s="1540">
        <v>524139.33600000001</v>
      </c>
      <c r="J2205" s="1466">
        <f t="shared" si="91"/>
        <v>1108478.236</v>
      </c>
      <c r="K2205" s="1466"/>
      <c r="L2205" s="1466"/>
      <c r="M2205" s="1540">
        <f t="shared" si="92"/>
        <v>1108478.236</v>
      </c>
      <c r="N2205" s="166"/>
    </row>
    <row r="2206" spans="1:16" s="540" customFormat="1" ht="14.25" customHeight="1">
      <c r="A2206" s="1536">
        <v>44</v>
      </c>
      <c r="B2206" s="1537" t="e">
        <f>VLOOKUP(D2206,'[2]DS CN MOI UP'!$B$11:$C$447,2,0)</f>
        <v>#N/A</v>
      </c>
      <c r="C2206" s="1538"/>
      <c r="D2206" s="166" t="s">
        <v>1649</v>
      </c>
      <c r="E2206" s="1468" t="s">
        <v>15</v>
      </c>
      <c r="F2206" s="1468"/>
      <c r="G2206" s="1540">
        <v>40000</v>
      </c>
      <c r="H2206" s="1540">
        <v>574572.66299999994</v>
      </c>
      <c r="I2206" s="1540">
        <v>524139.33600000001</v>
      </c>
      <c r="J2206" s="1466">
        <f t="shared" si="91"/>
        <v>1138711.9990000001</v>
      </c>
      <c r="K2206" s="1466"/>
      <c r="L2206" s="1466"/>
      <c r="M2206" s="1540">
        <f t="shared" si="92"/>
        <v>1138711.9990000001</v>
      </c>
      <c r="N2206" s="166"/>
    </row>
    <row r="2207" spans="1:16" s="540" customFormat="1" ht="14.25" customHeight="1">
      <c r="A2207" s="1536">
        <v>45</v>
      </c>
      <c r="B2207" s="1537" t="e">
        <f>VLOOKUP(D2207,'[2]DS CN MOI UP'!$B$11:$C$447,2,0)</f>
        <v>#N/A</v>
      </c>
      <c r="C2207" s="1538"/>
      <c r="D2207" s="166" t="s">
        <v>698</v>
      </c>
      <c r="E2207" s="1468" t="s">
        <v>15</v>
      </c>
      <c r="F2207" s="1468"/>
      <c r="G2207" s="1540">
        <v>40000</v>
      </c>
      <c r="H2207" s="1540">
        <v>604806.42599999998</v>
      </c>
      <c r="I2207" s="1540">
        <v>524139.33600000001</v>
      </c>
      <c r="J2207" s="1466">
        <f t="shared" si="91"/>
        <v>1168945.7620000001</v>
      </c>
      <c r="K2207" s="1466"/>
      <c r="L2207" s="1466"/>
      <c r="M2207" s="1540">
        <f t="shared" si="92"/>
        <v>1168945.7620000001</v>
      </c>
      <c r="N2207" s="166"/>
    </row>
    <row r="2208" spans="1:16" s="540" customFormat="1" ht="14.25" customHeight="1">
      <c r="A2208" s="1536">
        <v>46</v>
      </c>
      <c r="B2208" s="1537" t="e">
        <f>VLOOKUP(D2208,'[2]DS CN MOI UP'!$B$11:$C$447,2,0)</f>
        <v>#N/A</v>
      </c>
      <c r="C2208" s="1538"/>
      <c r="D2208" s="166" t="s">
        <v>1650</v>
      </c>
      <c r="E2208" s="1468" t="s">
        <v>15</v>
      </c>
      <c r="F2208" s="1468"/>
      <c r="G2208" s="1540">
        <v>40000</v>
      </c>
      <c r="H2208" s="1540">
        <v>584606.86199999996</v>
      </c>
      <c r="I2208" s="1540">
        <v>524139.33600000001</v>
      </c>
      <c r="J2208" s="1466">
        <f t="shared" si="91"/>
        <v>1148746.1980000001</v>
      </c>
      <c r="K2208" s="1466"/>
      <c r="L2208" s="1466"/>
      <c r="M2208" s="1540">
        <f t="shared" si="92"/>
        <v>1148746.1980000001</v>
      </c>
      <c r="N2208" s="166"/>
    </row>
    <row r="2209" spans="1:14" s="540" customFormat="1" ht="14.25" customHeight="1">
      <c r="A2209" s="1536">
        <v>47</v>
      </c>
      <c r="B2209" s="1537" t="e">
        <f>VLOOKUP(D2209,'[2]DS CN MOI UP'!$B$11:$C$447,2,0)</f>
        <v>#N/A</v>
      </c>
      <c r="C2209" s="1538"/>
      <c r="D2209" s="166" t="s">
        <v>1651</v>
      </c>
      <c r="E2209" s="1468" t="s">
        <v>15</v>
      </c>
      <c r="F2209" s="1468"/>
      <c r="G2209" s="1540">
        <v>60000</v>
      </c>
      <c r="H2209" s="1466">
        <v>554373.09900000005</v>
      </c>
      <c r="I2209" s="1540">
        <v>524139.33600000001</v>
      </c>
      <c r="J2209" s="1466">
        <f t="shared" si="91"/>
        <v>1138512.4350000001</v>
      </c>
      <c r="K2209" s="1466"/>
      <c r="L2209" s="1466"/>
      <c r="M2209" s="1540">
        <f t="shared" si="92"/>
        <v>1138512.4350000001</v>
      </c>
      <c r="N2209" s="166"/>
    </row>
    <row r="2210" spans="1:14" s="540" customFormat="1" ht="14.25" customHeight="1">
      <c r="A2210" s="1536">
        <v>48</v>
      </c>
      <c r="B2210" s="1537" t="e">
        <f>VLOOKUP(D2210,'[2]DS CN MOI UP'!$B$11:$C$447,2,0)</f>
        <v>#N/A</v>
      </c>
      <c r="C2210" s="1538"/>
      <c r="D2210" s="166" t="s">
        <v>1652</v>
      </c>
      <c r="E2210" s="1468" t="s">
        <v>15</v>
      </c>
      <c r="F2210" s="1468"/>
      <c r="G2210" s="1540">
        <v>40000</v>
      </c>
      <c r="H2210" s="1466">
        <v>554373.09900000005</v>
      </c>
      <c r="I2210" s="1540">
        <v>524139.33600000001</v>
      </c>
      <c r="J2210" s="1466">
        <f t="shared" si="91"/>
        <v>1118512.4350000001</v>
      </c>
      <c r="K2210" s="1466"/>
      <c r="L2210" s="1466"/>
      <c r="M2210" s="1540">
        <f t="shared" si="92"/>
        <v>1118512.4350000001</v>
      </c>
      <c r="N2210" s="166"/>
    </row>
    <row r="2211" spans="1:14" s="540" customFormat="1" ht="14.25" customHeight="1">
      <c r="A2211" s="1536">
        <v>49</v>
      </c>
      <c r="B2211" s="1537" t="e">
        <f>VLOOKUP(D2211,'[2]DS CN MOI UP'!$B$11:$C$447,2,0)</f>
        <v>#N/A</v>
      </c>
      <c r="C2211" s="1538"/>
      <c r="D2211" s="166" t="s">
        <v>1654</v>
      </c>
      <c r="E2211" s="1468" t="s">
        <v>15</v>
      </c>
      <c r="F2211" s="1468"/>
      <c r="G2211" s="1540">
        <v>40000</v>
      </c>
      <c r="H2211" s="1466">
        <v>554373.09900000005</v>
      </c>
      <c r="I2211" s="1540">
        <v>524139.33600000001</v>
      </c>
      <c r="J2211" s="1466">
        <f t="shared" si="91"/>
        <v>1118512.4350000001</v>
      </c>
      <c r="K2211" s="1466"/>
      <c r="L2211" s="1466"/>
      <c r="M2211" s="1540">
        <f t="shared" si="92"/>
        <v>1118512.4350000001</v>
      </c>
      <c r="N2211" s="166"/>
    </row>
    <row r="2212" spans="1:14" s="540" customFormat="1" ht="14.25" customHeight="1">
      <c r="A2212" s="1536">
        <v>50</v>
      </c>
      <c r="B2212" s="1537" t="e">
        <f>VLOOKUP(D2212,'[2]DS CN MOI UP'!$B$11:$C$447,2,0)</f>
        <v>#N/A</v>
      </c>
      <c r="C2212" s="1538"/>
      <c r="D2212" s="166" t="s">
        <v>1655</v>
      </c>
      <c r="E2212" s="1468" t="s">
        <v>15</v>
      </c>
      <c r="F2212" s="1468"/>
      <c r="G2212" s="1540">
        <v>40000</v>
      </c>
      <c r="H2212" s="1466">
        <v>554373.09900000005</v>
      </c>
      <c r="I2212" s="1540">
        <v>524139.33600000001</v>
      </c>
      <c r="J2212" s="1466">
        <f t="shared" si="91"/>
        <v>1118512.4350000001</v>
      </c>
      <c r="K2212" s="1466"/>
      <c r="L2212" s="1466"/>
      <c r="M2212" s="1540">
        <f t="shared" si="92"/>
        <v>1118512.4350000001</v>
      </c>
      <c r="N2212" s="166"/>
    </row>
    <row r="2213" spans="1:14" s="540" customFormat="1" ht="14.25" customHeight="1">
      <c r="A2213" s="1536">
        <v>51</v>
      </c>
      <c r="B2213" s="1537" t="e">
        <f>VLOOKUP(D2213,'[2]DS CN MOI UP'!$B$11:$C$447,2,0)</f>
        <v>#N/A</v>
      </c>
      <c r="C2213" s="1538"/>
      <c r="D2213" s="166" t="s">
        <v>1656</v>
      </c>
      <c r="E2213" s="1468" t="s">
        <v>15</v>
      </c>
      <c r="F2213" s="1468"/>
      <c r="G2213" s="1540">
        <v>40000</v>
      </c>
      <c r="H2213" s="1466">
        <v>635040.18900000001</v>
      </c>
      <c r="I2213" s="1540">
        <v>524139.33600000001</v>
      </c>
      <c r="J2213" s="1466">
        <f t="shared" si="91"/>
        <v>1199179.5249999999</v>
      </c>
      <c r="K2213" s="1466"/>
      <c r="L2213" s="1466"/>
      <c r="M2213" s="1540">
        <f t="shared" si="92"/>
        <v>1199179.5249999999</v>
      </c>
      <c r="N2213" s="166"/>
    </row>
    <row r="2214" spans="1:14" s="540" customFormat="1" ht="14.25" customHeight="1">
      <c r="A2214" s="1536">
        <v>52</v>
      </c>
      <c r="B2214" s="1537" t="e">
        <f>VLOOKUP(D2214,'[2]DS CN MOI UP'!$B$11:$C$447,2,0)</f>
        <v>#N/A</v>
      </c>
      <c r="C2214" s="1538"/>
      <c r="D2214" s="166" t="s">
        <v>1657</v>
      </c>
      <c r="E2214" s="1468" t="s">
        <v>15</v>
      </c>
      <c r="F2214" s="1468"/>
      <c r="G2214" s="1540">
        <v>40000</v>
      </c>
      <c r="H2214" s="1466">
        <v>544338.9</v>
      </c>
      <c r="I2214" s="1540">
        <v>524139.33600000001</v>
      </c>
      <c r="J2214" s="1466">
        <f t="shared" si="91"/>
        <v>1108478.236</v>
      </c>
      <c r="K2214" s="1466"/>
      <c r="L2214" s="1466"/>
      <c r="M2214" s="1540">
        <f t="shared" si="92"/>
        <v>1108478.236</v>
      </c>
      <c r="N2214" s="166"/>
    </row>
    <row r="2215" spans="1:14" s="540" customFormat="1" ht="14.25" customHeight="1">
      <c r="A2215" s="1536">
        <v>53</v>
      </c>
      <c r="B2215" s="1537" t="e">
        <f>VLOOKUP(D2215,'[2]DS CN MOI UP'!$B$11:$C$447,2,0)</f>
        <v>#N/A</v>
      </c>
      <c r="C2215" s="1538"/>
      <c r="D2215" s="166" t="s">
        <v>1658</v>
      </c>
      <c r="E2215" s="1468" t="s">
        <v>15</v>
      </c>
      <c r="F2215" s="1468"/>
      <c r="G2215" s="1540">
        <v>40000</v>
      </c>
      <c r="H2215" s="1466">
        <v>574572.66299999994</v>
      </c>
      <c r="I2215" s="1540">
        <v>524139.33600000001</v>
      </c>
      <c r="J2215" s="1466">
        <f t="shared" si="91"/>
        <v>1138711.9990000001</v>
      </c>
      <c r="K2215" s="1466"/>
      <c r="L2215" s="1466"/>
      <c r="M2215" s="1540">
        <f t="shared" si="92"/>
        <v>1138711.9990000001</v>
      </c>
      <c r="N2215" s="166"/>
    </row>
    <row r="2216" spans="1:14" s="540" customFormat="1" ht="14.25" customHeight="1">
      <c r="A2216" s="1536">
        <v>54</v>
      </c>
      <c r="B2216" s="1537" t="e">
        <f>VLOOKUP(D2216,'[2]DS CN MOI UP'!$B$11:$C$447,2,0)</f>
        <v>#N/A</v>
      </c>
      <c r="C2216" s="1538"/>
      <c r="D2216" s="166" t="s">
        <v>1659</v>
      </c>
      <c r="E2216" s="1468" t="s">
        <v>15</v>
      </c>
      <c r="F2216" s="1468"/>
      <c r="G2216" s="1540">
        <v>40000</v>
      </c>
      <c r="H2216" s="1540">
        <v>604806.42599999998</v>
      </c>
      <c r="I2216" s="1540">
        <v>524139.33600000001</v>
      </c>
      <c r="J2216" s="1466">
        <f t="shared" si="91"/>
        <v>1168945.7620000001</v>
      </c>
      <c r="K2216" s="1466"/>
      <c r="L2216" s="1466"/>
      <c r="M2216" s="1540">
        <f t="shared" si="92"/>
        <v>1168945.7620000001</v>
      </c>
      <c r="N2216" s="166"/>
    </row>
    <row r="2217" spans="1:14" s="540" customFormat="1" ht="14.25" customHeight="1">
      <c r="A2217" s="1536">
        <v>55</v>
      </c>
      <c r="B2217" s="1537" t="e">
        <f>VLOOKUP(D2217,'[2]DS CN MOI UP'!$B$11:$C$447,2,0)</f>
        <v>#N/A</v>
      </c>
      <c r="C2217" s="1538"/>
      <c r="D2217" s="166" t="s">
        <v>1660</v>
      </c>
      <c r="E2217" s="1468" t="s">
        <v>15</v>
      </c>
      <c r="F2217" s="1468"/>
      <c r="G2217" s="1540">
        <v>40000</v>
      </c>
      <c r="H2217" s="1540">
        <v>584606.86199999996</v>
      </c>
      <c r="I2217" s="1540">
        <v>524139.33600000001</v>
      </c>
      <c r="J2217" s="1466">
        <f t="shared" si="91"/>
        <v>1148746.1980000001</v>
      </c>
      <c r="K2217" s="1466"/>
      <c r="L2217" s="1466"/>
      <c r="M2217" s="1540">
        <f t="shared" si="92"/>
        <v>1148746.1980000001</v>
      </c>
      <c r="N2217" s="166"/>
    </row>
    <row r="2218" spans="1:14" s="540" customFormat="1" ht="14.25" customHeight="1">
      <c r="A2218" s="1536">
        <v>56</v>
      </c>
      <c r="B2218" s="1537" t="e">
        <f>VLOOKUP(D2218,'[2]DS CN MOI UP'!$B$11:$C$447,2,0)</f>
        <v>#N/A</v>
      </c>
      <c r="C2218" s="1538"/>
      <c r="D2218" s="166" t="s">
        <v>1661</v>
      </c>
      <c r="E2218" s="1468" t="s">
        <v>15</v>
      </c>
      <c r="F2218" s="1468"/>
      <c r="G2218" s="1540">
        <v>40000</v>
      </c>
      <c r="H2218" s="1540">
        <v>635040.18900000001</v>
      </c>
      <c r="I2218" s="1540">
        <v>524139.33600000001</v>
      </c>
      <c r="J2218" s="1466">
        <f t="shared" si="91"/>
        <v>1199179.5249999999</v>
      </c>
      <c r="K2218" s="1466"/>
      <c r="L2218" s="1466"/>
      <c r="M2218" s="1540">
        <f t="shared" si="92"/>
        <v>1199179.5249999999</v>
      </c>
      <c r="N2218" s="166"/>
    </row>
    <row r="2219" spans="1:14" s="540" customFormat="1" ht="14.25" customHeight="1">
      <c r="A2219" s="1536">
        <v>57</v>
      </c>
      <c r="B2219" s="1537" t="e">
        <f>VLOOKUP(D2219,'[2]DS CN MOI UP'!$B$11:$C$447,2,0)</f>
        <v>#N/A</v>
      </c>
      <c r="C2219" s="1538"/>
      <c r="D2219" s="166" t="s">
        <v>1662</v>
      </c>
      <c r="E2219" s="1468" t="s">
        <v>15</v>
      </c>
      <c r="F2219" s="1468"/>
      <c r="G2219" s="1540">
        <v>40000</v>
      </c>
      <c r="H2219" s="1540">
        <v>524139.33600000001</v>
      </c>
      <c r="I2219" s="1540">
        <v>524139.33600000001</v>
      </c>
      <c r="J2219" s="1466">
        <f t="shared" si="91"/>
        <v>1088278.672</v>
      </c>
      <c r="K2219" s="1466"/>
      <c r="L2219" s="1466"/>
      <c r="M2219" s="1540">
        <f t="shared" si="92"/>
        <v>1088278.672</v>
      </c>
      <c r="N2219" s="166"/>
    </row>
    <row r="2220" spans="1:14" s="540" customFormat="1" ht="14.25" customHeight="1">
      <c r="A2220" s="1536">
        <v>58</v>
      </c>
      <c r="B2220" s="1537" t="e">
        <f>VLOOKUP(D2220,'[2]DS CN MOI UP'!$B$11:$C$447,2,0)</f>
        <v>#N/A</v>
      </c>
      <c r="C2220" s="1538"/>
      <c r="D2220" s="166" t="s">
        <v>1663</v>
      </c>
      <c r="E2220" s="1468" t="s">
        <v>15</v>
      </c>
      <c r="F2220" s="1468"/>
      <c r="G2220" s="1540">
        <v>40000</v>
      </c>
      <c r="H2220" s="1540">
        <v>635040.18900000001</v>
      </c>
      <c r="I2220" s="1540">
        <v>524139.33600000001</v>
      </c>
      <c r="J2220" s="1466">
        <f t="shared" si="91"/>
        <v>1199179.5249999999</v>
      </c>
      <c r="K2220" s="1466"/>
      <c r="L2220" s="1466"/>
      <c r="M2220" s="1540">
        <f t="shared" si="92"/>
        <v>1199179.5249999999</v>
      </c>
      <c r="N2220" s="166"/>
    </row>
    <row r="2221" spans="1:14" s="540" customFormat="1" ht="14.25" customHeight="1">
      <c r="A2221" s="1536">
        <v>59</v>
      </c>
      <c r="B2221" s="1537" t="e">
        <f>VLOOKUP(D2221,'[2]DS CN MOI UP'!$B$11:$C$447,2,0)</f>
        <v>#N/A</v>
      </c>
      <c r="C2221" s="1538"/>
      <c r="D2221" s="166" t="s">
        <v>1664</v>
      </c>
      <c r="E2221" s="1468" t="s">
        <v>15</v>
      </c>
      <c r="F2221" s="1468"/>
      <c r="G2221" s="1540">
        <v>40000</v>
      </c>
      <c r="H2221" s="1540">
        <v>635040.18900000001</v>
      </c>
      <c r="I2221" s="1540">
        <v>524139.33600000001</v>
      </c>
      <c r="J2221" s="1466">
        <f t="shared" si="91"/>
        <v>1199179.5249999999</v>
      </c>
      <c r="K2221" s="1466"/>
      <c r="L2221" s="1466"/>
      <c r="M2221" s="1540">
        <f t="shared" si="92"/>
        <v>1199179.5249999999</v>
      </c>
      <c r="N2221" s="166"/>
    </row>
    <row r="2222" spans="1:14" s="540" customFormat="1" ht="14.25" customHeight="1">
      <c r="A2222" s="1536">
        <v>60</v>
      </c>
      <c r="B2222" s="1537" t="e">
        <f>VLOOKUP(D2222,'[2]DS CN MOI UP'!$B$11:$C$447,2,0)</f>
        <v>#N/A</v>
      </c>
      <c r="C2222" s="1538"/>
      <c r="D2222" s="166" t="s">
        <v>1645</v>
      </c>
      <c r="E2222" s="1468" t="s">
        <v>15</v>
      </c>
      <c r="F2222" s="1468"/>
      <c r="G2222" s="1540">
        <v>40000</v>
      </c>
      <c r="H2222" s="1540">
        <v>554373.09900000005</v>
      </c>
      <c r="I2222" s="1540">
        <v>524139.33600000001</v>
      </c>
      <c r="J2222" s="1466">
        <f t="shared" si="91"/>
        <v>1118512.4350000001</v>
      </c>
      <c r="K2222" s="1466"/>
      <c r="L2222" s="1466"/>
      <c r="M2222" s="1540">
        <f t="shared" si="92"/>
        <v>1118512.4350000001</v>
      </c>
      <c r="N2222" s="166"/>
    </row>
    <row r="2223" spans="1:14" s="540" customFormat="1" ht="14.25" customHeight="1">
      <c r="A2223" s="1536">
        <v>61</v>
      </c>
      <c r="B2223" s="1537" t="e">
        <f>VLOOKUP(D2223,'[2]DS CN MOI UP'!$B$11:$C$447,2,0)</f>
        <v>#N/A</v>
      </c>
      <c r="C2223" s="1538"/>
      <c r="D2223" s="166" t="s">
        <v>1665</v>
      </c>
      <c r="E2223" s="1468" t="s">
        <v>15</v>
      </c>
      <c r="F2223" s="1468"/>
      <c r="G2223" s="1540">
        <v>60000</v>
      </c>
      <c r="H2223" s="1540">
        <v>554373.09900000005</v>
      </c>
      <c r="I2223" s="1540">
        <v>524139.33600000001</v>
      </c>
      <c r="J2223" s="1466">
        <f t="shared" si="91"/>
        <v>1138512.4350000001</v>
      </c>
      <c r="K2223" s="1466"/>
      <c r="L2223" s="1466"/>
      <c r="M2223" s="1540">
        <f t="shared" si="92"/>
        <v>1138512.4350000001</v>
      </c>
      <c r="N2223" s="166"/>
    </row>
    <row r="2224" spans="1:14" s="540" customFormat="1" ht="14.25" customHeight="1">
      <c r="A2224" s="1536">
        <v>62</v>
      </c>
      <c r="B2224" s="1537" t="e">
        <f>VLOOKUP(D2224,'[2]DS CN MOI UP'!$B$11:$C$447,2,0)</f>
        <v>#N/A</v>
      </c>
      <c r="C2224" s="1538"/>
      <c r="D2224" s="166" t="s">
        <v>1666</v>
      </c>
      <c r="E2224" s="1468" t="s">
        <v>15</v>
      </c>
      <c r="F2224" s="1468"/>
      <c r="G2224" s="1540">
        <v>40000</v>
      </c>
      <c r="H2224" s="1540">
        <v>554373.09900000005</v>
      </c>
      <c r="I2224" s="1540">
        <v>524139.33600000001</v>
      </c>
      <c r="J2224" s="1466">
        <f t="shared" si="91"/>
        <v>1118512.4350000001</v>
      </c>
      <c r="K2224" s="1466"/>
      <c r="L2224" s="1466"/>
      <c r="M2224" s="1540">
        <f t="shared" si="92"/>
        <v>1118512.4350000001</v>
      </c>
      <c r="N2224" s="166"/>
    </row>
    <row r="2225" spans="1:15" s="540" customFormat="1" ht="14.25" customHeight="1">
      <c r="A2225" s="1536">
        <v>63</v>
      </c>
      <c r="B2225" s="1537" t="e">
        <f>VLOOKUP(D2225,'[2]DS CN MOI UP'!$B$11:$C$447,2,0)</f>
        <v>#N/A</v>
      </c>
      <c r="C2225" s="1538"/>
      <c r="D2225" s="166" t="s">
        <v>1667</v>
      </c>
      <c r="E2225" s="1468" t="s">
        <v>15</v>
      </c>
      <c r="F2225" s="1468"/>
      <c r="G2225" s="1540">
        <v>40000</v>
      </c>
      <c r="H2225" s="1540">
        <v>554373.09900000005</v>
      </c>
      <c r="I2225" s="1540">
        <v>524139.33600000001</v>
      </c>
      <c r="J2225" s="1466">
        <f t="shared" si="91"/>
        <v>1118512.4350000001</v>
      </c>
      <c r="K2225" s="1466"/>
      <c r="L2225" s="1466"/>
      <c r="M2225" s="1540">
        <f t="shared" si="92"/>
        <v>1118512.4350000001</v>
      </c>
      <c r="N2225" s="166"/>
      <c r="O2225" s="559"/>
    </row>
    <row r="2226" spans="1:15" s="540" customFormat="1" ht="14.25" customHeight="1">
      <c r="A2226" s="1536">
        <v>64</v>
      </c>
      <c r="B2226" s="1537" t="e">
        <f>VLOOKUP(D2226,'[2]DS CN MOI UP'!$B$11:$C$447,2,0)</f>
        <v>#N/A</v>
      </c>
      <c r="C2226" s="1538"/>
      <c r="D2226" s="166" t="s">
        <v>1668</v>
      </c>
      <c r="E2226" s="1468" t="s">
        <v>15</v>
      </c>
      <c r="F2226" s="1468"/>
      <c r="G2226" s="1540">
        <v>40000</v>
      </c>
      <c r="H2226" s="1540">
        <v>554373.09900000005</v>
      </c>
      <c r="I2226" s="1540">
        <v>524139.33600000001</v>
      </c>
      <c r="J2226" s="1466">
        <f t="shared" si="91"/>
        <v>1118512.4350000001</v>
      </c>
      <c r="K2226" s="1466"/>
      <c r="L2226" s="1466"/>
      <c r="M2226" s="1540">
        <f t="shared" si="92"/>
        <v>1118512.4350000001</v>
      </c>
      <c r="N2226" s="166"/>
    </row>
    <row r="2227" spans="1:15" s="540" customFormat="1" ht="14.25" customHeight="1">
      <c r="A2227" s="1536">
        <v>65</v>
      </c>
      <c r="B2227" s="1537" t="e">
        <f>VLOOKUP(D2227,'[2]DS CN MOI UP'!$B$11:$C$447,2,0)</f>
        <v>#N/A</v>
      </c>
      <c r="C2227" s="1538"/>
      <c r="D2227" s="166" t="s">
        <v>1669</v>
      </c>
      <c r="E2227" s="1468" t="s">
        <v>15</v>
      </c>
      <c r="F2227" s="1468"/>
      <c r="G2227" s="1540">
        <v>40000</v>
      </c>
      <c r="H2227" s="1540">
        <v>635040.18900000001</v>
      </c>
      <c r="I2227" s="1540">
        <v>524139.33600000001</v>
      </c>
      <c r="J2227" s="1466">
        <f t="shared" si="91"/>
        <v>1199179.5249999999</v>
      </c>
      <c r="K2227" s="1466"/>
      <c r="L2227" s="1466"/>
      <c r="M2227" s="1540">
        <f t="shared" si="92"/>
        <v>1199179.5249999999</v>
      </c>
      <c r="N2227" s="166"/>
    </row>
    <row r="2228" spans="1:15" s="540" customFormat="1" ht="14.25" customHeight="1">
      <c r="A2228" s="1536">
        <v>66</v>
      </c>
      <c r="B2228" s="1537" t="e">
        <f>VLOOKUP(D2228,'[2]DS CN MOI UP'!$B$11:$C$447,2,0)</f>
        <v>#N/A</v>
      </c>
      <c r="C2228" s="1538"/>
      <c r="D2228" s="166" t="s">
        <v>1670</v>
      </c>
      <c r="E2228" s="1468" t="s">
        <v>15</v>
      </c>
      <c r="F2228" s="1468"/>
      <c r="G2228" s="1540">
        <v>40000</v>
      </c>
      <c r="H2228" s="1540">
        <v>544338.9</v>
      </c>
      <c r="I2228" s="1540">
        <v>524139.33600000001</v>
      </c>
      <c r="J2228" s="1466">
        <f t="shared" si="91"/>
        <v>1108478.236</v>
      </c>
      <c r="K2228" s="1466"/>
      <c r="L2228" s="1466"/>
      <c r="M2228" s="1540">
        <f t="shared" si="92"/>
        <v>1108478.236</v>
      </c>
      <c r="N2228" s="166"/>
    </row>
    <row r="2229" spans="1:15" s="540" customFormat="1" ht="14.25" customHeight="1">
      <c r="A2229" s="1536">
        <v>67</v>
      </c>
      <c r="B2229" s="1537" t="e">
        <f>VLOOKUP(D2229,'[2]DS CN MOI UP'!$B$11:$C$447,2,0)</f>
        <v>#N/A</v>
      </c>
      <c r="C2229" s="1538"/>
      <c r="D2229" s="166" t="s">
        <v>1671</v>
      </c>
      <c r="E2229" s="1468" t="s">
        <v>15</v>
      </c>
      <c r="F2229" s="1468"/>
      <c r="G2229" s="1540">
        <v>40000</v>
      </c>
      <c r="H2229" s="1540">
        <v>574572.66299999994</v>
      </c>
      <c r="I2229" s="1540">
        <v>524139.33600000001</v>
      </c>
      <c r="J2229" s="1466">
        <f t="shared" si="91"/>
        <v>1138711.9990000001</v>
      </c>
      <c r="K2229" s="1466"/>
      <c r="L2229" s="1466"/>
      <c r="M2229" s="1540">
        <f t="shared" si="92"/>
        <v>1138711.9990000001</v>
      </c>
      <c r="N2229" s="166"/>
    </row>
    <row r="2230" spans="1:15" s="540" customFormat="1" ht="14.25" customHeight="1">
      <c r="A2230" s="1536">
        <v>68</v>
      </c>
      <c r="B2230" s="1537" t="str">
        <f>VLOOKUP(D2230,'[2]DS CN MOI UP'!$B$11:$C$447,2,0)</f>
        <v>02485</v>
      </c>
      <c r="C2230" s="1538"/>
      <c r="D2230" s="166" t="s">
        <v>31</v>
      </c>
      <c r="E2230" s="1468" t="s">
        <v>15</v>
      </c>
      <c r="F2230" s="1468"/>
      <c r="G2230" s="1540">
        <v>40000</v>
      </c>
      <c r="H2230" s="1540">
        <v>604806.42599999998</v>
      </c>
      <c r="I2230" s="1540">
        <v>524139.33600000001</v>
      </c>
      <c r="J2230" s="1466">
        <f t="shared" si="91"/>
        <v>1168945.7620000001</v>
      </c>
      <c r="K2230" s="1466"/>
      <c r="L2230" s="1466"/>
      <c r="M2230" s="1540">
        <f t="shared" si="92"/>
        <v>1168945.7620000001</v>
      </c>
      <c r="N2230" s="166"/>
    </row>
    <row r="2231" spans="1:15" s="540" customFormat="1" ht="14.25" customHeight="1">
      <c r="A2231" s="1536">
        <v>69</v>
      </c>
      <c r="B2231" s="1537" t="e">
        <f>VLOOKUP(D2231,'[2]DS CN MOI UP'!$B$11:$C$447,2,0)</f>
        <v>#N/A</v>
      </c>
      <c r="C2231" s="1538"/>
      <c r="D2231" s="166" t="s">
        <v>1672</v>
      </c>
      <c r="E2231" s="1468" t="s">
        <v>15</v>
      </c>
      <c r="F2231" s="1468"/>
      <c r="G2231" s="1540">
        <v>40000</v>
      </c>
      <c r="H2231" s="1540">
        <v>584606.86199999996</v>
      </c>
      <c r="I2231" s="1540">
        <v>524139.33600000001</v>
      </c>
      <c r="J2231" s="1466">
        <f t="shared" si="91"/>
        <v>1148746.1980000001</v>
      </c>
      <c r="K2231" s="1466"/>
      <c r="L2231" s="1466"/>
      <c r="M2231" s="1540">
        <f t="shared" si="92"/>
        <v>1148746.1980000001</v>
      </c>
      <c r="N2231" s="166"/>
    </row>
    <row r="2232" spans="1:15" s="540" customFormat="1" ht="14.25" customHeight="1">
      <c r="A2232" s="1536">
        <v>70</v>
      </c>
      <c r="B2232" s="1537" t="e">
        <f>VLOOKUP(D2232,'[2]DS CN MOI UP'!$B$11:$C$447,2,0)</f>
        <v>#N/A</v>
      </c>
      <c r="C2232" s="1538"/>
      <c r="D2232" s="166" t="s">
        <v>1673</v>
      </c>
      <c r="E2232" s="1468" t="s">
        <v>15</v>
      </c>
      <c r="F2232" s="1468"/>
      <c r="G2232" s="1540">
        <v>60000</v>
      </c>
      <c r="H2232" s="1466">
        <v>554373.09900000005</v>
      </c>
      <c r="I2232" s="1540">
        <v>524139.33600000001</v>
      </c>
      <c r="J2232" s="1466">
        <f t="shared" si="91"/>
        <v>1138512.4350000001</v>
      </c>
      <c r="K2232" s="1466"/>
      <c r="L2232" s="1466"/>
      <c r="M2232" s="1540">
        <f t="shared" si="92"/>
        <v>1138512.4350000001</v>
      </c>
      <c r="N2232" s="166"/>
    </row>
    <row r="2233" spans="1:15" s="540" customFormat="1" ht="14.25" customHeight="1">
      <c r="A2233" s="1536">
        <v>71</v>
      </c>
      <c r="B2233" s="1537" t="e">
        <f>VLOOKUP(D2233,'[2]DS CN MOI UP'!$B$11:$C$447,2,0)</f>
        <v>#N/A</v>
      </c>
      <c r="C2233" s="1538"/>
      <c r="D2233" s="166" t="s">
        <v>907</v>
      </c>
      <c r="E2233" s="1468" t="s">
        <v>15</v>
      </c>
      <c r="F2233" s="1468"/>
      <c r="G2233" s="1540">
        <v>40000</v>
      </c>
      <c r="H2233" s="1466">
        <v>554373.09900000005</v>
      </c>
      <c r="I2233" s="1540">
        <v>524139.33600000001</v>
      </c>
      <c r="J2233" s="1466">
        <f t="shared" si="91"/>
        <v>1118512.4350000001</v>
      </c>
      <c r="K2233" s="1466"/>
      <c r="L2233" s="1466"/>
      <c r="M2233" s="1540">
        <f t="shared" si="92"/>
        <v>1118512.4350000001</v>
      </c>
      <c r="N2233" s="166"/>
    </row>
    <row r="2234" spans="1:15" s="540" customFormat="1" ht="14.25" customHeight="1">
      <c r="A2234" s="1536">
        <v>72</v>
      </c>
      <c r="B2234" s="1537" t="e">
        <f>VLOOKUP(D2234,'[2]DS CN MOI UP'!$B$11:$C$447,2,0)</f>
        <v>#N/A</v>
      </c>
      <c r="C2234" s="1538"/>
      <c r="D2234" s="166" t="s">
        <v>1674</v>
      </c>
      <c r="E2234" s="1468" t="s">
        <v>15</v>
      </c>
      <c r="F2234" s="1468"/>
      <c r="G2234" s="1540">
        <v>40000</v>
      </c>
      <c r="H2234" s="1466">
        <v>554373.09900000005</v>
      </c>
      <c r="I2234" s="1540">
        <v>524139.33600000001</v>
      </c>
      <c r="J2234" s="1466">
        <f t="shared" si="91"/>
        <v>1118512.4350000001</v>
      </c>
      <c r="K2234" s="1466"/>
      <c r="L2234" s="1466"/>
      <c r="M2234" s="1540">
        <f t="shared" si="92"/>
        <v>1118512.4350000001</v>
      </c>
      <c r="N2234" s="166"/>
    </row>
    <row r="2235" spans="1:15" s="540" customFormat="1" ht="14.25" customHeight="1">
      <c r="A2235" s="1536">
        <v>73</v>
      </c>
      <c r="B2235" s="1537" t="str">
        <f>VLOOKUP(D2235,'[2]DS CN MOI UP'!$B$11:$C$447,2,0)</f>
        <v>02458</v>
      </c>
      <c r="C2235" s="1538"/>
      <c r="D2235" s="166" t="s">
        <v>492</v>
      </c>
      <c r="E2235" s="1468" t="s">
        <v>15</v>
      </c>
      <c r="F2235" s="1468"/>
      <c r="G2235" s="1540">
        <v>40000</v>
      </c>
      <c r="H2235" s="1466">
        <v>554373.09900000005</v>
      </c>
      <c r="I2235" s="1540">
        <v>524139.33600000001</v>
      </c>
      <c r="J2235" s="1466">
        <f t="shared" si="91"/>
        <v>1118512.4350000001</v>
      </c>
      <c r="K2235" s="1466"/>
      <c r="L2235" s="1466"/>
      <c r="M2235" s="1540">
        <f t="shared" si="92"/>
        <v>1118512.4350000001</v>
      </c>
      <c r="N2235" s="166"/>
    </row>
    <row r="2236" spans="1:15" s="540" customFormat="1" ht="14.25" customHeight="1">
      <c r="A2236" s="1536">
        <v>74</v>
      </c>
      <c r="B2236" s="1537" t="e">
        <f>VLOOKUP(D2236,'[2]DS CN MOI UP'!$B$11:$C$447,2,0)</f>
        <v>#N/A</v>
      </c>
      <c r="C2236" s="1538"/>
      <c r="D2236" s="166" t="s">
        <v>307</v>
      </c>
      <c r="E2236" s="1468" t="s">
        <v>15</v>
      </c>
      <c r="F2236" s="1468"/>
      <c r="G2236" s="1540">
        <v>40000</v>
      </c>
      <c r="H2236" s="1466">
        <v>635040.18900000001</v>
      </c>
      <c r="I2236" s="1540">
        <v>524139.33600000001</v>
      </c>
      <c r="J2236" s="1466">
        <f t="shared" si="91"/>
        <v>1199179.5249999999</v>
      </c>
      <c r="K2236" s="1466"/>
      <c r="L2236" s="1466"/>
      <c r="M2236" s="1540">
        <f t="shared" si="92"/>
        <v>1199179.5249999999</v>
      </c>
      <c r="N2236" s="166"/>
    </row>
    <row r="2237" spans="1:15" s="540" customFormat="1" ht="14.25" customHeight="1">
      <c r="A2237" s="1536">
        <v>75</v>
      </c>
      <c r="B2237" s="1537" t="e">
        <f>VLOOKUP(D2237,'[2]DS CN MOI UP'!$B$11:$C$447,2,0)</f>
        <v>#N/A</v>
      </c>
      <c r="C2237" s="1538"/>
      <c r="D2237" s="166" t="s">
        <v>1174</v>
      </c>
      <c r="E2237" s="1468" t="s">
        <v>15</v>
      </c>
      <c r="F2237" s="1468"/>
      <c r="G2237" s="1540">
        <v>40000</v>
      </c>
      <c r="H2237" s="1466">
        <v>544338.9</v>
      </c>
      <c r="I2237" s="1540">
        <v>524139.33600000001</v>
      </c>
      <c r="J2237" s="1466">
        <f t="shared" si="91"/>
        <v>1108478.236</v>
      </c>
      <c r="K2237" s="1466"/>
      <c r="L2237" s="1466"/>
      <c r="M2237" s="1540">
        <f t="shared" si="92"/>
        <v>1108478.236</v>
      </c>
      <c r="N2237" s="166"/>
    </row>
    <row r="2238" spans="1:15" s="540" customFormat="1" ht="14.25" customHeight="1">
      <c r="A2238" s="1536">
        <v>76</v>
      </c>
      <c r="B2238" s="1537" t="e">
        <f>VLOOKUP(D2238,'[2]DS CN MOI UP'!$B$11:$C$447,2,0)</f>
        <v>#N/A</v>
      </c>
      <c r="C2238" s="1538"/>
      <c r="D2238" s="166" t="s">
        <v>1553</v>
      </c>
      <c r="E2238" s="1468" t="s">
        <v>15</v>
      </c>
      <c r="F2238" s="1468"/>
      <c r="G2238" s="1540">
        <v>40000</v>
      </c>
      <c r="H2238" s="1466">
        <v>574572.66299999994</v>
      </c>
      <c r="I2238" s="1540">
        <v>524139.33600000001</v>
      </c>
      <c r="J2238" s="1466">
        <f t="shared" si="91"/>
        <v>1138711.9990000001</v>
      </c>
      <c r="K2238" s="1466"/>
      <c r="L2238" s="1466"/>
      <c r="M2238" s="1540">
        <f t="shared" si="92"/>
        <v>1138711.9990000001</v>
      </c>
      <c r="N2238" s="166"/>
    </row>
    <row r="2239" spans="1:15" s="540" customFormat="1" ht="14.25" customHeight="1">
      <c r="A2239" s="1536">
        <v>77</v>
      </c>
      <c r="B2239" s="1537" t="str">
        <f>VLOOKUP(D2239,'[2]DS CN MOI UP'!$B$11:$C$447,2,0)</f>
        <v>03859</v>
      </c>
      <c r="C2239" s="1538"/>
      <c r="D2239" s="166" t="s">
        <v>331</v>
      </c>
      <c r="E2239" s="1468" t="s">
        <v>15</v>
      </c>
      <c r="F2239" s="1468"/>
      <c r="G2239" s="1540">
        <v>40000</v>
      </c>
      <c r="H2239" s="1540">
        <v>604806.42599999998</v>
      </c>
      <c r="I2239" s="1540">
        <v>524139.33600000001</v>
      </c>
      <c r="J2239" s="1466">
        <f t="shared" si="91"/>
        <v>1168945.7620000001</v>
      </c>
      <c r="K2239" s="1466"/>
      <c r="L2239" s="1466"/>
      <c r="M2239" s="1540">
        <f t="shared" si="92"/>
        <v>1168945.7620000001</v>
      </c>
      <c r="N2239" s="166"/>
    </row>
    <row r="2240" spans="1:15" s="540" customFormat="1" ht="14.25" customHeight="1">
      <c r="A2240" s="1536">
        <v>78</v>
      </c>
      <c r="B2240" s="1537" t="e">
        <f>VLOOKUP(D2240,'[2]DS CN MOI UP'!$B$11:$C$447,2,0)</f>
        <v>#N/A</v>
      </c>
      <c r="C2240" s="1538"/>
      <c r="D2240" s="166" t="s">
        <v>1675</v>
      </c>
      <c r="E2240" s="1468" t="s">
        <v>15</v>
      </c>
      <c r="F2240" s="1468"/>
      <c r="G2240" s="1540">
        <v>40000</v>
      </c>
      <c r="H2240" s="1540">
        <v>584606.86199999996</v>
      </c>
      <c r="I2240" s="1540">
        <v>524139.33600000001</v>
      </c>
      <c r="J2240" s="1466">
        <f t="shared" si="91"/>
        <v>1148746.1980000001</v>
      </c>
      <c r="K2240" s="1466"/>
      <c r="L2240" s="1466"/>
      <c r="M2240" s="1540">
        <f t="shared" si="92"/>
        <v>1148746.1980000001</v>
      </c>
      <c r="N2240" s="166"/>
    </row>
    <row r="2241" spans="1:16" s="540" customFormat="1" ht="14.25" customHeight="1">
      <c r="A2241" s="1536">
        <v>79</v>
      </c>
      <c r="B2241" s="1537" t="e">
        <f>VLOOKUP(D2241,'[2]DS CN MOI UP'!$B$11:$C$447,2,0)</f>
        <v>#N/A</v>
      </c>
      <c r="C2241" s="1538"/>
      <c r="D2241" s="166" t="s">
        <v>1676</v>
      </c>
      <c r="E2241" s="1468" t="s">
        <v>15</v>
      </c>
      <c r="F2241" s="1468"/>
      <c r="G2241" s="1540">
        <v>40000</v>
      </c>
      <c r="H2241" s="1540">
        <v>635040.18900000001</v>
      </c>
      <c r="I2241" s="1540">
        <v>524139.33600000001</v>
      </c>
      <c r="J2241" s="1466">
        <f t="shared" si="91"/>
        <v>1199179.5249999999</v>
      </c>
      <c r="K2241" s="1466"/>
      <c r="L2241" s="1466"/>
      <c r="M2241" s="1540">
        <f t="shared" si="92"/>
        <v>1199179.5249999999</v>
      </c>
      <c r="N2241" s="166"/>
    </row>
    <row r="2242" spans="1:16" s="540" customFormat="1" ht="14.25" customHeight="1">
      <c r="A2242" s="1536">
        <v>80</v>
      </c>
      <c r="B2242" s="1537" t="e">
        <f>VLOOKUP(D2242,'[2]DS CN MOI UP'!$B$11:$C$447,2,0)</f>
        <v>#N/A</v>
      </c>
      <c r="C2242" s="1538"/>
      <c r="D2242" s="166" t="s">
        <v>1677</v>
      </c>
      <c r="E2242" s="1468" t="s">
        <v>15</v>
      </c>
      <c r="F2242" s="1468"/>
      <c r="G2242" s="1540">
        <v>40000</v>
      </c>
      <c r="H2242" s="1540">
        <v>524139.33600000001</v>
      </c>
      <c r="I2242" s="1540">
        <v>524139.33600000001</v>
      </c>
      <c r="J2242" s="1466">
        <f t="shared" si="91"/>
        <v>1088278.672</v>
      </c>
      <c r="K2242" s="1466"/>
      <c r="L2242" s="1466"/>
      <c r="M2242" s="1540">
        <f t="shared" si="92"/>
        <v>1088278.672</v>
      </c>
      <c r="N2242" s="166"/>
    </row>
    <row r="2243" spans="1:16" s="540" customFormat="1" ht="14.25" customHeight="1">
      <c r="A2243" s="1536">
        <v>81</v>
      </c>
      <c r="B2243" s="1537" t="str">
        <f>VLOOKUP(D2243,'[2]DS CN MOI UP'!$B$11:$C$447,2,0)</f>
        <v>02599</v>
      </c>
      <c r="C2243" s="1538"/>
      <c r="D2243" s="166" t="s">
        <v>224</v>
      </c>
      <c r="E2243" s="1468" t="s">
        <v>15</v>
      </c>
      <c r="F2243" s="1468"/>
      <c r="G2243" s="1540">
        <v>40000</v>
      </c>
      <c r="H2243" s="1540">
        <v>635040.18900000001</v>
      </c>
      <c r="I2243" s="1540">
        <v>524139.33600000001</v>
      </c>
      <c r="J2243" s="1466">
        <f t="shared" si="91"/>
        <v>1199179.5249999999</v>
      </c>
      <c r="K2243" s="1466"/>
      <c r="L2243" s="1466"/>
      <c r="M2243" s="1540">
        <f t="shared" si="92"/>
        <v>1199179.5249999999</v>
      </c>
      <c r="N2243" s="166"/>
    </row>
    <row r="2244" spans="1:16" s="540" customFormat="1" ht="14.25" customHeight="1">
      <c r="A2244" s="1536">
        <v>82</v>
      </c>
      <c r="B2244" s="1537" t="e">
        <f>VLOOKUP(D2244,'[2]DS CN MOI UP'!$B$11:$C$447,2,0)</f>
        <v>#N/A</v>
      </c>
      <c r="C2244" s="1538"/>
      <c r="D2244" s="166" t="s">
        <v>1678</v>
      </c>
      <c r="E2244" s="1468" t="s">
        <v>15</v>
      </c>
      <c r="F2244" s="1468"/>
      <c r="G2244" s="1540">
        <v>40000</v>
      </c>
      <c r="H2244" s="1540">
        <v>635040.18900000001</v>
      </c>
      <c r="I2244" s="1540">
        <v>524139.33600000001</v>
      </c>
      <c r="J2244" s="1466">
        <f t="shared" si="91"/>
        <v>1199179.5249999999</v>
      </c>
      <c r="K2244" s="1466"/>
      <c r="L2244" s="1466"/>
      <c r="M2244" s="1540">
        <f t="shared" si="92"/>
        <v>1199179.5249999999</v>
      </c>
      <c r="N2244" s="166"/>
    </row>
    <row r="2245" spans="1:16" s="540" customFormat="1" ht="14.25" customHeight="1">
      <c r="A2245" s="1536">
        <v>83</v>
      </c>
      <c r="B2245" s="1537" t="e">
        <f>VLOOKUP(D2245,'[2]DS CN MOI UP'!$B$11:$C$447,2,0)</f>
        <v>#N/A</v>
      </c>
      <c r="C2245" s="1538"/>
      <c r="D2245" s="166" t="s">
        <v>1679</v>
      </c>
      <c r="E2245" s="1468" t="s">
        <v>15</v>
      </c>
      <c r="F2245" s="1468"/>
      <c r="G2245" s="1540">
        <v>40000</v>
      </c>
      <c r="H2245" s="1540">
        <v>554373.09900000005</v>
      </c>
      <c r="I2245" s="1540">
        <v>524139.33600000001</v>
      </c>
      <c r="J2245" s="1466">
        <f t="shared" si="91"/>
        <v>1118512.4350000001</v>
      </c>
      <c r="K2245" s="1466"/>
      <c r="L2245" s="1466"/>
      <c r="M2245" s="1540">
        <f t="shared" si="92"/>
        <v>1118512.4350000001</v>
      </c>
      <c r="N2245" s="166"/>
    </row>
    <row r="2246" spans="1:16" s="540" customFormat="1" ht="14.25" customHeight="1">
      <c r="A2246" s="1536">
        <v>84</v>
      </c>
      <c r="B2246" s="1537" t="e">
        <f>VLOOKUP(D2246,'[2]DS CN MOI UP'!$B$11:$C$447,2,0)</f>
        <v>#N/A</v>
      </c>
      <c r="C2246" s="1538"/>
      <c r="D2246" s="166" t="s">
        <v>1680</v>
      </c>
      <c r="E2246" s="1468" t="s">
        <v>15</v>
      </c>
      <c r="F2246" s="1468"/>
      <c r="G2246" s="1540">
        <v>60000</v>
      </c>
      <c r="H2246" s="1540">
        <v>554373.09900000005</v>
      </c>
      <c r="I2246" s="1540">
        <v>524139.33600000001</v>
      </c>
      <c r="J2246" s="1466">
        <f t="shared" si="91"/>
        <v>1138512.4350000001</v>
      </c>
      <c r="K2246" s="1466"/>
      <c r="L2246" s="1466"/>
      <c r="M2246" s="1540">
        <f t="shared" si="92"/>
        <v>1138512.4350000001</v>
      </c>
      <c r="N2246" s="166"/>
    </row>
    <row r="2247" spans="1:16" s="540" customFormat="1" ht="14.25" customHeight="1">
      <c r="A2247" s="1536">
        <v>85</v>
      </c>
      <c r="B2247" s="1537" t="e">
        <f>VLOOKUP(D2247,'[2]DS CN MOI UP'!$B$11:$C$447,2,0)</f>
        <v>#N/A</v>
      </c>
      <c r="C2247" s="1538"/>
      <c r="D2247" s="166" t="s">
        <v>1681</v>
      </c>
      <c r="E2247" s="1468" t="s">
        <v>15</v>
      </c>
      <c r="F2247" s="1468"/>
      <c r="G2247" s="1540">
        <v>40000</v>
      </c>
      <c r="H2247" s="1540">
        <v>554373.09900000005</v>
      </c>
      <c r="I2247" s="1540">
        <v>524139.33600000001</v>
      </c>
      <c r="J2247" s="1466">
        <f t="shared" si="91"/>
        <v>1118512.4350000001</v>
      </c>
      <c r="K2247" s="1466"/>
      <c r="L2247" s="1466"/>
      <c r="M2247" s="1540">
        <f t="shared" si="92"/>
        <v>1118512.4350000001</v>
      </c>
      <c r="N2247" s="166"/>
    </row>
    <row r="2248" spans="1:16" s="540" customFormat="1" ht="14.25" customHeight="1">
      <c r="A2248" s="1536">
        <v>86</v>
      </c>
      <c r="B2248" s="1537" t="e">
        <f>VLOOKUP(D2248,'[2]DS CN MOI UP'!$B$11:$C$447,2,0)</f>
        <v>#N/A</v>
      </c>
      <c r="C2248" s="1538"/>
      <c r="D2248" s="166" t="s">
        <v>1682</v>
      </c>
      <c r="E2248" s="1468" t="s">
        <v>15</v>
      </c>
      <c r="F2248" s="1468"/>
      <c r="G2248" s="1540">
        <v>40000</v>
      </c>
      <c r="H2248" s="1540">
        <v>554373.09900000005</v>
      </c>
      <c r="I2248" s="1540">
        <v>524139.33600000001</v>
      </c>
      <c r="J2248" s="1466">
        <f t="shared" si="91"/>
        <v>1118512.4350000001</v>
      </c>
      <c r="K2248" s="1466"/>
      <c r="L2248" s="1466"/>
      <c r="M2248" s="1540">
        <f t="shared" si="92"/>
        <v>1118512.4350000001</v>
      </c>
      <c r="N2248" s="166"/>
    </row>
    <row r="2249" spans="1:16" s="540" customFormat="1" ht="14.25" customHeight="1">
      <c r="A2249" s="1536">
        <v>87</v>
      </c>
      <c r="B2249" s="1537" t="e">
        <f>VLOOKUP(D2249,'[2]DS CN MOI UP'!$B$11:$C$447,2,0)</f>
        <v>#N/A</v>
      </c>
      <c r="C2249" s="1538"/>
      <c r="D2249" s="166" t="s">
        <v>1683</v>
      </c>
      <c r="E2249" s="1468" t="s">
        <v>15</v>
      </c>
      <c r="F2249" s="1468"/>
      <c r="G2249" s="1540">
        <v>40000</v>
      </c>
      <c r="H2249" s="1540">
        <v>554373.09900000005</v>
      </c>
      <c r="I2249" s="1540">
        <v>524139.33600000001</v>
      </c>
      <c r="J2249" s="1466">
        <f t="shared" si="91"/>
        <v>1118512.4350000001</v>
      </c>
      <c r="K2249" s="1466"/>
      <c r="L2249" s="1466"/>
      <c r="M2249" s="1540">
        <f t="shared" si="92"/>
        <v>1118512.4350000001</v>
      </c>
      <c r="N2249" s="166"/>
    </row>
    <row r="2250" spans="1:16" s="540" customFormat="1" ht="14.25" customHeight="1">
      <c r="A2250" s="1536">
        <v>88</v>
      </c>
      <c r="B2250" s="1537" t="e">
        <f>VLOOKUP(D2250,'[2]DS CN MOI UP'!$B$11:$C$447,2,0)</f>
        <v>#N/A</v>
      </c>
      <c r="C2250" s="1538"/>
      <c r="D2250" s="166" t="s">
        <v>1684</v>
      </c>
      <c r="E2250" s="1468" t="s">
        <v>15</v>
      </c>
      <c r="F2250" s="1468"/>
      <c r="G2250" s="1540">
        <v>40000</v>
      </c>
      <c r="H2250" s="1540">
        <v>635040.18900000001</v>
      </c>
      <c r="I2250" s="1540">
        <v>524139.33600000001</v>
      </c>
      <c r="J2250" s="1466">
        <f t="shared" si="91"/>
        <v>1199179.5249999999</v>
      </c>
      <c r="K2250" s="1466"/>
      <c r="L2250" s="1466"/>
      <c r="M2250" s="1540">
        <f t="shared" si="92"/>
        <v>1199179.5249999999</v>
      </c>
      <c r="N2250" s="166"/>
    </row>
    <row r="2251" spans="1:16" s="540" customFormat="1" ht="14.25" customHeight="1">
      <c r="A2251" s="1536">
        <v>89</v>
      </c>
      <c r="B2251" s="1537" t="e">
        <f>VLOOKUP(D2251,'[2]DS CN MOI UP'!$B$11:$C$447,2,0)</f>
        <v>#N/A</v>
      </c>
      <c r="C2251" s="1538"/>
      <c r="D2251" s="166" t="s">
        <v>1685</v>
      </c>
      <c r="E2251" s="1468" t="s">
        <v>15</v>
      </c>
      <c r="F2251" s="1468"/>
      <c r="G2251" s="1540">
        <v>40000</v>
      </c>
      <c r="H2251" s="1540">
        <v>544338.9</v>
      </c>
      <c r="I2251" s="1540">
        <v>524139.33600000001</v>
      </c>
      <c r="J2251" s="1466">
        <f t="shared" si="91"/>
        <v>1108478.236</v>
      </c>
      <c r="K2251" s="1466"/>
      <c r="L2251" s="1466"/>
      <c r="M2251" s="1540">
        <f t="shared" si="92"/>
        <v>1108478.236</v>
      </c>
      <c r="N2251" s="166"/>
    </row>
    <row r="2252" spans="1:16" s="540" customFormat="1" ht="14.25" customHeight="1">
      <c r="A2252" s="1536">
        <v>90</v>
      </c>
      <c r="B2252" s="1537" t="e">
        <f>VLOOKUP(D2252,'[2]DS CN MOI UP'!$B$11:$C$447,2,0)</f>
        <v>#N/A</v>
      </c>
      <c r="C2252" s="1538"/>
      <c r="D2252" s="166" t="s">
        <v>1686</v>
      </c>
      <c r="E2252" s="1468" t="s">
        <v>15</v>
      </c>
      <c r="F2252" s="1468"/>
      <c r="G2252" s="1540">
        <v>40000</v>
      </c>
      <c r="H2252" s="1540">
        <v>574572.66299999994</v>
      </c>
      <c r="I2252" s="1540">
        <v>524139.33600000001</v>
      </c>
      <c r="J2252" s="1466">
        <f t="shared" si="91"/>
        <v>1138711.9990000001</v>
      </c>
      <c r="K2252" s="1466"/>
      <c r="L2252" s="1466"/>
      <c r="M2252" s="1540">
        <f t="shared" si="92"/>
        <v>1138711.9990000001</v>
      </c>
      <c r="N2252" s="166"/>
    </row>
    <row r="2253" spans="1:16" s="540" customFormat="1" ht="14.25" customHeight="1">
      <c r="A2253" s="1536">
        <v>91</v>
      </c>
      <c r="B2253" s="1537" t="e">
        <f>VLOOKUP(D2253,'[2]DS CN MOI UP'!$B$11:$C$447,2,0)</f>
        <v>#N/A</v>
      </c>
      <c r="C2253" s="1538"/>
      <c r="D2253" s="166" t="s">
        <v>1687</v>
      </c>
      <c r="E2253" s="1468" t="s">
        <v>15</v>
      </c>
      <c r="F2253" s="1468"/>
      <c r="G2253" s="1540">
        <v>40000</v>
      </c>
      <c r="H2253" s="1540">
        <v>604806.42599999998</v>
      </c>
      <c r="I2253" s="1540">
        <v>524139.33600000001</v>
      </c>
      <c r="J2253" s="1466">
        <f t="shared" si="91"/>
        <v>1168945.7620000001</v>
      </c>
      <c r="K2253" s="1466"/>
      <c r="L2253" s="1466"/>
      <c r="M2253" s="1540">
        <f t="shared" si="92"/>
        <v>1168945.7620000001</v>
      </c>
      <c r="N2253" s="166"/>
    </row>
    <row r="2254" spans="1:16" s="540" customFormat="1" ht="14.25" customHeight="1">
      <c r="A2254" s="1536">
        <v>92</v>
      </c>
      <c r="B2254" s="1537" t="e">
        <f>VLOOKUP(D2254,'[2]DS CN MOI UP'!$B$11:$C$447,2,0)</f>
        <v>#N/A</v>
      </c>
      <c r="C2254" s="1538"/>
      <c r="D2254" s="166" t="s">
        <v>1688</v>
      </c>
      <c r="E2254" s="1468" t="s">
        <v>15</v>
      </c>
      <c r="F2254" s="1468"/>
      <c r="G2254" s="1540">
        <v>40000</v>
      </c>
      <c r="H2254" s="1540">
        <v>584606.86199999996</v>
      </c>
      <c r="I2254" s="1540">
        <v>524139.33600000001</v>
      </c>
      <c r="J2254" s="1466">
        <f t="shared" si="91"/>
        <v>1148746.1980000001</v>
      </c>
      <c r="K2254" s="1466"/>
      <c r="L2254" s="1466"/>
      <c r="M2254" s="1540">
        <f t="shared" si="92"/>
        <v>1148746.1980000001</v>
      </c>
      <c r="N2254" s="166"/>
    </row>
    <row r="2255" spans="1:16" s="540" customFormat="1" ht="14.25" customHeight="1">
      <c r="A2255" s="1536">
        <v>93</v>
      </c>
      <c r="B2255" s="1537" t="e">
        <f>VLOOKUP(D2255,'[2]DS CN MOI UP'!$B$11:$C$447,2,0)</f>
        <v>#N/A</v>
      </c>
      <c r="C2255" s="1538"/>
      <c r="D2255" s="166" t="s">
        <v>1689</v>
      </c>
      <c r="E2255" s="1468" t="s">
        <v>15</v>
      </c>
      <c r="F2255" s="1468"/>
      <c r="G2255" s="1540">
        <v>60000</v>
      </c>
      <c r="H2255" s="1466">
        <v>554373.09900000005</v>
      </c>
      <c r="I2255" s="1540">
        <v>524139.33600000001</v>
      </c>
      <c r="J2255" s="1466">
        <f t="shared" si="91"/>
        <v>1138512.4350000001</v>
      </c>
      <c r="K2255" s="1466"/>
      <c r="L2255" s="1466"/>
      <c r="M2255" s="1540">
        <f t="shared" si="92"/>
        <v>1138512.4350000001</v>
      </c>
      <c r="N2255" s="166"/>
      <c r="P2255" s="559"/>
    </row>
    <row r="2256" spans="1:16" s="540" customFormat="1" ht="14.25" customHeight="1">
      <c r="A2256" s="1536">
        <v>94</v>
      </c>
      <c r="B2256" s="1537" t="e">
        <f>VLOOKUP(D2256,'[2]DS CN MOI UP'!$B$11:$C$447,2,0)</f>
        <v>#N/A</v>
      </c>
      <c r="C2256" s="1538"/>
      <c r="D2256" s="166" t="s">
        <v>330</v>
      </c>
      <c r="E2256" s="1468" t="s">
        <v>15</v>
      </c>
      <c r="F2256" s="1468"/>
      <c r="G2256" s="1540">
        <v>40000</v>
      </c>
      <c r="H2256" s="1466">
        <v>554373.09900000005</v>
      </c>
      <c r="I2256" s="1540">
        <v>524139.33600000001</v>
      </c>
      <c r="J2256" s="1466">
        <f t="shared" si="91"/>
        <v>1118512.4350000001</v>
      </c>
      <c r="K2256" s="1466"/>
      <c r="L2256" s="1466"/>
      <c r="M2256" s="1540">
        <f t="shared" si="92"/>
        <v>1118512.4350000001</v>
      </c>
      <c r="N2256" s="166"/>
    </row>
    <row r="2257" spans="1:16" s="540" customFormat="1" ht="14.25" customHeight="1">
      <c r="A2257" s="1536">
        <v>95</v>
      </c>
      <c r="B2257" s="1537" t="e">
        <f>VLOOKUP(D2257,'[2]DS CN MOI UP'!$B$11:$C$447,2,0)</f>
        <v>#N/A</v>
      </c>
      <c r="C2257" s="1538"/>
      <c r="D2257" s="166" t="s">
        <v>1690</v>
      </c>
      <c r="E2257" s="1468" t="s">
        <v>15</v>
      </c>
      <c r="F2257" s="1468"/>
      <c r="G2257" s="1540">
        <v>40000</v>
      </c>
      <c r="H2257" s="1466">
        <v>554373.09900000005</v>
      </c>
      <c r="I2257" s="1540">
        <v>524139.33600000001</v>
      </c>
      <c r="J2257" s="1466">
        <f t="shared" si="91"/>
        <v>1118512.4350000001</v>
      </c>
      <c r="K2257" s="1466"/>
      <c r="L2257" s="1466"/>
      <c r="M2257" s="1540">
        <f t="shared" si="92"/>
        <v>1118512.4350000001</v>
      </c>
      <c r="N2257" s="166"/>
    </row>
    <row r="2258" spans="1:16" s="540" customFormat="1" ht="14.25" customHeight="1">
      <c r="A2258" s="1536">
        <v>96</v>
      </c>
      <c r="B2258" s="1537" t="e">
        <f>VLOOKUP(D2258,'[2]DS CN MOI UP'!$B$11:$C$447,2,0)</f>
        <v>#N/A</v>
      </c>
      <c r="C2258" s="1538"/>
      <c r="D2258" s="166" t="s">
        <v>1691</v>
      </c>
      <c r="E2258" s="1468" t="s">
        <v>15</v>
      </c>
      <c r="F2258" s="1468"/>
      <c r="G2258" s="1540">
        <v>40000</v>
      </c>
      <c r="H2258" s="1466">
        <v>554373.09900000005</v>
      </c>
      <c r="I2258" s="1540">
        <v>524139.33600000001</v>
      </c>
      <c r="J2258" s="1466">
        <f t="shared" si="91"/>
        <v>1118512.4350000001</v>
      </c>
      <c r="K2258" s="1466"/>
      <c r="L2258" s="1466"/>
      <c r="M2258" s="1540">
        <f t="shared" si="92"/>
        <v>1118512.4350000001</v>
      </c>
      <c r="N2258" s="166"/>
      <c r="P2258" s="559"/>
    </row>
    <row r="2259" spans="1:16" s="540" customFormat="1" ht="14.25" customHeight="1">
      <c r="A2259" s="1536">
        <v>97</v>
      </c>
      <c r="B2259" s="1537" t="e">
        <f>VLOOKUP(D2259,'[2]DS CN MOI UP'!$B$11:$C$447,2,0)</f>
        <v>#N/A</v>
      </c>
      <c r="C2259" s="1538"/>
      <c r="D2259" s="166" t="s">
        <v>1692</v>
      </c>
      <c r="E2259" s="1468" t="s">
        <v>15</v>
      </c>
      <c r="F2259" s="1468"/>
      <c r="G2259" s="1540">
        <v>40000</v>
      </c>
      <c r="H2259" s="1466">
        <v>635040.18900000001</v>
      </c>
      <c r="I2259" s="1540">
        <v>524139.33600000001</v>
      </c>
      <c r="J2259" s="1466">
        <f t="shared" si="91"/>
        <v>1199179.5249999999</v>
      </c>
      <c r="K2259" s="1466"/>
      <c r="L2259" s="1466"/>
      <c r="M2259" s="1540">
        <f t="shared" si="92"/>
        <v>1199179.5249999999</v>
      </c>
      <c r="N2259" s="166"/>
    </row>
    <row r="2260" spans="1:16" s="540" customFormat="1" ht="14.25" customHeight="1">
      <c r="A2260" s="1536">
        <v>98</v>
      </c>
      <c r="B2260" s="1537" t="e">
        <f>VLOOKUP(D2260,'[2]DS CN MOI UP'!$B$11:$C$447,2,0)</f>
        <v>#N/A</v>
      </c>
      <c r="C2260" s="1538"/>
      <c r="D2260" s="166" t="s">
        <v>1693</v>
      </c>
      <c r="E2260" s="1468" t="s">
        <v>15</v>
      </c>
      <c r="F2260" s="1468"/>
      <c r="G2260" s="1540">
        <v>40000</v>
      </c>
      <c r="H2260" s="1466">
        <v>544338.9</v>
      </c>
      <c r="I2260" s="1540">
        <v>524139.33600000001</v>
      </c>
      <c r="J2260" s="1466">
        <f t="shared" si="91"/>
        <v>1108478.236</v>
      </c>
      <c r="K2260" s="1466"/>
      <c r="L2260" s="1466"/>
      <c r="M2260" s="1540">
        <f t="shared" si="92"/>
        <v>1108478.236</v>
      </c>
      <c r="N2260" s="166"/>
    </row>
    <row r="2261" spans="1:16" s="540" customFormat="1" ht="14.25" customHeight="1">
      <c r="A2261" s="1536">
        <v>99</v>
      </c>
      <c r="B2261" s="1537" t="e">
        <f>VLOOKUP(D2261,'[2]DS CN MOI UP'!$B$11:$C$447,2,0)</f>
        <v>#N/A</v>
      </c>
      <c r="C2261" s="1538"/>
      <c r="D2261" s="166" t="s">
        <v>1694</v>
      </c>
      <c r="E2261" s="1468" t="s">
        <v>15</v>
      </c>
      <c r="F2261" s="1468"/>
      <c r="G2261" s="1540">
        <v>40000</v>
      </c>
      <c r="H2261" s="1466">
        <v>574572.66299999994</v>
      </c>
      <c r="I2261" s="1540">
        <v>524139.33600000001</v>
      </c>
      <c r="J2261" s="1466">
        <f t="shared" si="91"/>
        <v>1138711.9990000001</v>
      </c>
      <c r="K2261" s="1466"/>
      <c r="L2261" s="1466"/>
      <c r="M2261" s="1540">
        <f t="shared" si="92"/>
        <v>1138711.9990000001</v>
      </c>
      <c r="N2261" s="166"/>
    </row>
    <row r="2262" spans="1:16" s="540" customFormat="1" ht="14.25" customHeight="1">
      <c r="A2262" s="1536">
        <v>100</v>
      </c>
      <c r="B2262" s="1537" t="e">
        <f>VLOOKUP(D2262,'[2]DS CN MOI UP'!$B$11:$C$447,2,0)</f>
        <v>#N/A</v>
      </c>
      <c r="C2262" s="1538"/>
      <c r="D2262" s="166" t="s">
        <v>1695</v>
      </c>
      <c r="E2262" s="1468" t="s">
        <v>15</v>
      </c>
      <c r="F2262" s="1468"/>
      <c r="G2262" s="1540">
        <v>40000</v>
      </c>
      <c r="H2262" s="1540">
        <v>604806.42599999998</v>
      </c>
      <c r="I2262" s="1540">
        <v>524139.33600000001</v>
      </c>
      <c r="J2262" s="1466">
        <f t="shared" si="91"/>
        <v>1168945.7620000001</v>
      </c>
      <c r="K2262" s="1466"/>
      <c r="L2262" s="1466"/>
      <c r="M2262" s="1540">
        <f t="shared" si="92"/>
        <v>1168945.7620000001</v>
      </c>
      <c r="N2262" s="166"/>
    </row>
    <row r="2263" spans="1:16" s="540" customFormat="1" ht="14.25" customHeight="1">
      <c r="A2263" s="1536">
        <v>101</v>
      </c>
      <c r="B2263" s="1537" t="e">
        <f>VLOOKUP(D2263,'[2]DS CN MOI UP'!$B$11:$C$447,2,0)</f>
        <v>#N/A</v>
      </c>
      <c r="C2263" s="1538"/>
      <c r="D2263" s="166" t="s">
        <v>1696</v>
      </c>
      <c r="E2263" s="1468" t="s">
        <v>15</v>
      </c>
      <c r="F2263" s="1468"/>
      <c r="G2263" s="1540">
        <v>40000</v>
      </c>
      <c r="H2263" s="1540">
        <v>584606.86199999996</v>
      </c>
      <c r="I2263" s="1540">
        <v>524139.33600000001</v>
      </c>
      <c r="J2263" s="1466">
        <f t="shared" si="91"/>
        <v>1148746.1980000001</v>
      </c>
      <c r="K2263" s="1466"/>
      <c r="L2263" s="1466"/>
      <c r="M2263" s="1540">
        <f t="shared" si="92"/>
        <v>1148746.1980000001</v>
      </c>
      <c r="N2263" s="166"/>
    </row>
    <row r="2264" spans="1:16" s="540" customFormat="1" ht="14.25" customHeight="1">
      <c r="A2264" s="1536">
        <v>102</v>
      </c>
      <c r="B2264" s="1537" t="e">
        <f>VLOOKUP(D2264,'[2]DS CN MOI UP'!$B$11:$C$447,2,0)</f>
        <v>#N/A</v>
      </c>
      <c r="C2264" s="1538"/>
      <c r="D2264" s="166" t="s">
        <v>1697</v>
      </c>
      <c r="E2264" s="1468" t="s">
        <v>15</v>
      </c>
      <c r="F2264" s="1468"/>
      <c r="G2264" s="1540">
        <v>40000</v>
      </c>
      <c r="H2264" s="1540">
        <v>635040.18900000001</v>
      </c>
      <c r="I2264" s="1540">
        <v>524139.33600000001</v>
      </c>
      <c r="J2264" s="1466">
        <f t="shared" si="91"/>
        <v>1199179.5249999999</v>
      </c>
      <c r="K2264" s="1466"/>
      <c r="L2264" s="1466"/>
      <c r="M2264" s="1540">
        <f t="shared" si="92"/>
        <v>1199179.5249999999</v>
      </c>
      <c r="N2264" s="166"/>
    </row>
    <row r="2265" spans="1:16" s="540" customFormat="1" ht="14.25" customHeight="1">
      <c r="A2265" s="1536">
        <v>103</v>
      </c>
      <c r="B2265" s="1537" t="e">
        <f>VLOOKUP(D2265,'[2]DS CN MOI UP'!$B$11:$C$447,2,0)</f>
        <v>#N/A</v>
      </c>
      <c r="C2265" s="1538"/>
      <c r="D2265" s="166" t="s">
        <v>1698</v>
      </c>
      <c r="E2265" s="1468" t="s">
        <v>15</v>
      </c>
      <c r="F2265" s="1468"/>
      <c r="G2265" s="1540">
        <v>40000</v>
      </c>
      <c r="H2265" s="1540">
        <v>524139.33600000001</v>
      </c>
      <c r="I2265" s="1540">
        <v>524139.33600000001</v>
      </c>
      <c r="J2265" s="1466">
        <f t="shared" si="91"/>
        <v>1088278.672</v>
      </c>
      <c r="K2265" s="1466"/>
      <c r="L2265" s="1466"/>
      <c r="M2265" s="1540">
        <f t="shared" si="92"/>
        <v>1088278.672</v>
      </c>
      <c r="N2265" s="166"/>
    </row>
    <row r="2266" spans="1:16" s="540" customFormat="1" ht="14.25" customHeight="1">
      <c r="A2266" s="1536">
        <v>104</v>
      </c>
      <c r="B2266" s="1537" t="e">
        <f>VLOOKUP(D2266,'[2]DS CN MOI UP'!$B$11:$C$447,2,0)</f>
        <v>#N/A</v>
      </c>
      <c r="C2266" s="1538"/>
      <c r="D2266" s="166" t="s">
        <v>1699</v>
      </c>
      <c r="E2266" s="1468" t="s">
        <v>15</v>
      </c>
      <c r="F2266" s="1468"/>
      <c r="G2266" s="1540">
        <v>40000</v>
      </c>
      <c r="H2266" s="1540">
        <v>635040.18900000001</v>
      </c>
      <c r="I2266" s="1540">
        <v>524139.33600000001</v>
      </c>
      <c r="J2266" s="1466">
        <f t="shared" si="91"/>
        <v>1199179.5249999999</v>
      </c>
      <c r="K2266" s="1466"/>
      <c r="L2266" s="1466"/>
      <c r="M2266" s="1540">
        <f t="shared" si="92"/>
        <v>1199179.5249999999</v>
      </c>
      <c r="N2266" s="166"/>
    </row>
    <row r="2267" spans="1:16" s="540" customFormat="1" ht="14.25" customHeight="1">
      <c r="A2267" s="1536">
        <v>105</v>
      </c>
      <c r="B2267" s="1537" t="e">
        <f>VLOOKUP(D2267,'[2]DS CN MOI UP'!$B$11:$C$447,2,0)</f>
        <v>#N/A</v>
      </c>
      <c r="C2267" s="1538"/>
      <c r="D2267" s="166" t="s">
        <v>1700</v>
      </c>
      <c r="E2267" s="1468" t="s">
        <v>15</v>
      </c>
      <c r="F2267" s="1468"/>
      <c r="G2267" s="1540">
        <v>40000</v>
      </c>
      <c r="H2267" s="1540">
        <v>635040.18900000001</v>
      </c>
      <c r="I2267" s="1540">
        <v>524139.33600000001</v>
      </c>
      <c r="J2267" s="1466">
        <f t="shared" si="91"/>
        <v>1199179.5249999999</v>
      </c>
      <c r="K2267" s="1466"/>
      <c r="L2267" s="1466"/>
      <c r="M2267" s="1540">
        <f t="shared" si="92"/>
        <v>1199179.5249999999</v>
      </c>
      <c r="N2267" s="166"/>
    </row>
    <row r="2268" spans="1:16" s="540" customFormat="1" ht="14.25" customHeight="1">
      <c r="A2268" s="1536">
        <v>106</v>
      </c>
      <c r="B2268" s="1537" t="e">
        <f>VLOOKUP(D2268,'[2]DS CN MOI UP'!$B$11:$C$447,2,0)</f>
        <v>#N/A</v>
      </c>
      <c r="C2268" s="1538"/>
      <c r="D2268" s="166" t="s">
        <v>1701</v>
      </c>
      <c r="E2268" s="1468" t="s">
        <v>15</v>
      </c>
      <c r="F2268" s="1468"/>
      <c r="G2268" s="1540">
        <v>40000</v>
      </c>
      <c r="H2268" s="1540">
        <v>554373.09900000005</v>
      </c>
      <c r="I2268" s="1540">
        <v>524139.33600000001</v>
      </c>
      <c r="J2268" s="1466">
        <f t="shared" si="91"/>
        <v>1118512.4350000001</v>
      </c>
      <c r="K2268" s="1466"/>
      <c r="L2268" s="1466"/>
      <c r="M2268" s="1540">
        <f t="shared" si="92"/>
        <v>1118512.4350000001</v>
      </c>
      <c r="N2268" s="166"/>
    </row>
    <row r="2269" spans="1:16" s="540" customFormat="1" ht="14.25" customHeight="1">
      <c r="A2269" s="1536">
        <v>107</v>
      </c>
      <c r="B2269" s="1537" t="e">
        <f>VLOOKUP(D2269,'[2]DS CN MOI UP'!$B$11:$C$447,2,0)</f>
        <v>#N/A</v>
      </c>
      <c r="C2269" s="1538"/>
      <c r="D2269" s="166" t="s">
        <v>1702</v>
      </c>
      <c r="E2269" s="1468" t="s">
        <v>15</v>
      </c>
      <c r="F2269" s="1468"/>
      <c r="G2269" s="1540">
        <v>60000</v>
      </c>
      <c r="H2269" s="1540">
        <v>554373.09900000005</v>
      </c>
      <c r="I2269" s="1540">
        <v>524139.33600000001</v>
      </c>
      <c r="J2269" s="1466">
        <f t="shared" si="91"/>
        <v>1138512.4350000001</v>
      </c>
      <c r="K2269" s="1466"/>
      <c r="L2269" s="1466"/>
      <c r="M2269" s="1540">
        <f t="shared" si="92"/>
        <v>1138512.4350000001</v>
      </c>
      <c r="N2269" s="166"/>
    </row>
    <row r="2270" spans="1:16" s="540" customFormat="1" ht="14.25" customHeight="1">
      <c r="A2270" s="1536">
        <v>108</v>
      </c>
      <c r="B2270" s="1537" t="e">
        <f>VLOOKUP(D2270,'[2]DS CN MOI UP'!$B$11:$C$447,2,0)</f>
        <v>#N/A</v>
      </c>
      <c r="C2270" s="1538"/>
      <c r="D2270" s="166" t="s">
        <v>907</v>
      </c>
      <c r="E2270" s="1468" t="s">
        <v>15</v>
      </c>
      <c r="F2270" s="1468"/>
      <c r="G2270" s="1540">
        <v>40000</v>
      </c>
      <c r="H2270" s="1540">
        <v>554373.09900000005</v>
      </c>
      <c r="I2270" s="1540">
        <v>524139.33600000001</v>
      </c>
      <c r="J2270" s="1466">
        <f t="shared" si="91"/>
        <v>1118512.4350000001</v>
      </c>
      <c r="K2270" s="1466"/>
      <c r="L2270" s="1466"/>
      <c r="M2270" s="1540">
        <f t="shared" si="92"/>
        <v>1118512.4350000001</v>
      </c>
      <c r="N2270" s="166"/>
    </row>
    <row r="2271" spans="1:16" s="540" customFormat="1" ht="14.25" customHeight="1">
      <c r="A2271" s="1536">
        <v>109</v>
      </c>
      <c r="B2271" s="1537" t="e">
        <f>VLOOKUP(D2271,'[2]DS CN MOI UP'!$B$11:$C$447,2,0)</f>
        <v>#N/A</v>
      </c>
      <c r="C2271" s="1538"/>
      <c r="D2271" s="166" t="s">
        <v>1703</v>
      </c>
      <c r="E2271" s="1468" t="s">
        <v>15</v>
      </c>
      <c r="F2271" s="1468"/>
      <c r="G2271" s="1540">
        <v>40000</v>
      </c>
      <c r="H2271" s="1540">
        <v>554373.09900000005</v>
      </c>
      <c r="I2271" s="1540">
        <v>524139.33600000001</v>
      </c>
      <c r="J2271" s="1466">
        <f t="shared" si="91"/>
        <v>1118512.4350000001</v>
      </c>
      <c r="K2271" s="1466"/>
      <c r="L2271" s="1466"/>
      <c r="M2271" s="1540">
        <f t="shared" si="92"/>
        <v>1118512.4350000001</v>
      </c>
      <c r="N2271" s="166"/>
    </row>
    <row r="2272" spans="1:16" s="540" customFormat="1" ht="14.25" customHeight="1">
      <c r="A2272" s="1536">
        <v>110</v>
      </c>
      <c r="B2272" s="1537" t="e">
        <f>VLOOKUP(D2272,'[2]DS CN MOI UP'!$B$11:$C$447,2,0)</f>
        <v>#N/A</v>
      </c>
      <c r="C2272" s="1538"/>
      <c r="D2272" s="166" t="s">
        <v>1704</v>
      </c>
      <c r="E2272" s="1468" t="s">
        <v>15</v>
      </c>
      <c r="F2272" s="1468"/>
      <c r="G2272" s="1540">
        <v>40000</v>
      </c>
      <c r="H2272" s="1540">
        <v>554373.09900000005</v>
      </c>
      <c r="I2272" s="1540">
        <v>414271.75599989999</v>
      </c>
      <c r="J2272" s="1466">
        <f t="shared" si="91"/>
        <v>1008644.8549999</v>
      </c>
      <c r="K2272" s="1466"/>
      <c r="L2272" s="1466"/>
      <c r="M2272" s="1540">
        <f t="shared" si="92"/>
        <v>1008644.8549999</v>
      </c>
      <c r="N2272" s="166"/>
    </row>
    <row r="2273" spans="1:15" s="540" customFormat="1" ht="14.25" customHeight="1">
      <c r="A2273" s="1536">
        <v>111</v>
      </c>
      <c r="B2273" s="1537" t="e">
        <f>VLOOKUP(D2273,'[2]DS CN MOI UP'!$B$11:$C$447,2,0)</f>
        <v>#N/A</v>
      </c>
      <c r="C2273" s="1538"/>
      <c r="D2273" s="166" t="s">
        <v>1705</v>
      </c>
      <c r="E2273" s="1468" t="s">
        <v>15</v>
      </c>
      <c r="F2273" s="1468"/>
      <c r="G2273" s="1540">
        <v>40000</v>
      </c>
      <c r="H2273" s="1540">
        <v>1229038.53819991</v>
      </c>
      <c r="I2273" s="1540"/>
      <c r="J2273" s="1466">
        <f t="shared" si="91"/>
        <v>1269038.53819991</v>
      </c>
      <c r="K2273" s="1466"/>
      <c r="L2273" s="1466"/>
      <c r="M2273" s="1540">
        <f t="shared" si="92"/>
        <v>1269038.53819991</v>
      </c>
      <c r="N2273" s="166"/>
    </row>
    <row r="2274" spans="1:15" s="540" customFormat="1" ht="14.25" customHeight="1">
      <c r="A2274" s="1536">
        <v>112</v>
      </c>
      <c r="B2274" s="1537" t="e">
        <f>VLOOKUP(D2274,'[2]DS CN MOI UP'!$B$11:$C$447,2,0)</f>
        <v>#N/A</v>
      </c>
      <c r="C2274" s="1538"/>
      <c r="D2274" s="166" t="s">
        <v>1533</v>
      </c>
      <c r="E2274" s="1468" t="s">
        <v>15</v>
      </c>
      <c r="F2274" s="1468"/>
      <c r="G2274" s="1540">
        <v>40000</v>
      </c>
      <c r="H2274" s="1540">
        <v>1159179.5249999999</v>
      </c>
      <c r="I2274" s="1540"/>
      <c r="J2274" s="1466">
        <f t="shared" si="91"/>
        <v>1199179.5249999999</v>
      </c>
      <c r="K2274" s="1466"/>
      <c r="L2274" s="1466"/>
      <c r="M2274" s="1540">
        <f t="shared" si="92"/>
        <v>1199179.5249999999</v>
      </c>
      <c r="N2274" s="166"/>
    </row>
    <row r="2275" spans="1:15" s="540" customFormat="1" ht="14.25" customHeight="1">
      <c r="A2275" s="1536">
        <v>113</v>
      </c>
      <c r="B2275" s="1537" t="e">
        <f>VLOOKUP(D2275,'[2]DS CN MOI UP'!$B$11:$C$447,2,0)</f>
        <v>#N/A</v>
      </c>
      <c r="C2275" s="1538"/>
      <c r="D2275" s="166" t="s">
        <v>762</v>
      </c>
      <c r="E2275" s="1468" t="s">
        <v>15</v>
      </c>
      <c r="F2275" s="1468"/>
      <c r="G2275" s="1540">
        <v>40000</v>
      </c>
      <c r="H2275" s="1540">
        <v>1239846.615</v>
      </c>
      <c r="I2275" s="1540"/>
      <c r="J2275" s="1466">
        <f t="shared" si="91"/>
        <v>1279846.615</v>
      </c>
      <c r="K2275" s="1466"/>
      <c r="L2275" s="1466"/>
      <c r="M2275" s="1540">
        <f t="shared" si="92"/>
        <v>1279846.615</v>
      </c>
      <c r="N2275" s="166"/>
    </row>
    <row r="2276" spans="1:15" s="540" customFormat="1" ht="14.25" customHeight="1">
      <c r="A2276" s="1536">
        <v>114</v>
      </c>
      <c r="B2276" s="1537" t="e">
        <f>VLOOKUP(D2276,'[2]DS CN MOI UP'!$B$11:$C$447,2,0)</f>
        <v>#N/A</v>
      </c>
      <c r="C2276" s="1538"/>
      <c r="D2276" s="166" t="s">
        <v>763</v>
      </c>
      <c r="E2276" s="1468" t="s">
        <v>15</v>
      </c>
      <c r="F2276" s="1468"/>
      <c r="G2276" s="1540">
        <v>40000</v>
      </c>
      <c r="H2276" s="1540">
        <v>1149145.3259999999</v>
      </c>
      <c r="I2276" s="1540"/>
      <c r="J2276" s="1466">
        <f t="shared" si="91"/>
        <v>1189145.3259999999</v>
      </c>
      <c r="K2276" s="1466"/>
      <c r="L2276" s="1466"/>
      <c r="M2276" s="1540">
        <f t="shared" si="92"/>
        <v>1189145.3259999999</v>
      </c>
      <c r="N2276" s="166"/>
    </row>
    <row r="2277" spans="1:15" s="540" customFormat="1" ht="14.25" customHeight="1">
      <c r="A2277" s="1536">
        <v>115</v>
      </c>
      <c r="B2277" s="1537" t="e">
        <f>VLOOKUP(D2277,'[2]DS CN MOI UP'!$B$11:$C$447,2,0)</f>
        <v>#N/A</v>
      </c>
      <c r="C2277" s="1538"/>
      <c r="D2277" s="166" t="s">
        <v>764</v>
      </c>
      <c r="E2277" s="1468" t="s">
        <v>15</v>
      </c>
      <c r="F2277" s="1468"/>
      <c r="G2277" s="1540">
        <v>60000</v>
      </c>
      <c r="H2277" s="1540">
        <v>1159179.5249999999</v>
      </c>
      <c r="I2277" s="1540"/>
      <c r="J2277" s="1466">
        <f t="shared" si="91"/>
        <v>1219179.5249999999</v>
      </c>
      <c r="K2277" s="1466"/>
      <c r="L2277" s="1466"/>
      <c r="M2277" s="1540">
        <f t="shared" si="92"/>
        <v>1219179.5249999999</v>
      </c>
      <c r="N2277" s="166"/>
    </row>
    <row r="2278" spans="1:15" s="540" customFormat="1" ht="14.25" customHeight="1">
      <c r="A2278" s="1536">
        <v>116</v>
      </c>
      <c r="B2278" s="1537" t="e">
        <f>VLOOKUP(D2278,'[2]DS CN MOI UP'!$B$11:$C$447,2,0)</f>
        <v>#N/A</v>
      </c>
      <c r="C2278" s="1538"/>
      <c r="D2278" s="166" t="s">
        <v>765</v>
      </c>
      <c r="E2278" s="1468" t="s">
        <v>15</v>
      </c>
      <c r="F2278" s="1468"/>
      <c r="G2278" s="1540">
        <v>40000</v>
      </c>
      <c r="H2278" s="1540">
        <v>1239846.615</v>
      </c>
      <c r="I2278" s="1540"/>
      <c r="J2278" s="1466">
        <f t="shared" si="91"/>
        <v>1279846.615</v>
      </c>
      <c r="K2278" s="1466"/>
      <c r="L2278" s="1466"/>
      <c r="M2278" s="1540">
        <f t="shared" si="92"/>
        <v>1279846.615</v>
      </c>
      <c r="N2278" s="166"/>
    </row>
    <row r="2279" spans="1:15" s="540" customFormat="1" ht="14.25" customHeight="1">
      <c r="A2279" s="1536">
        <v>117</v>
      </c>
      <c r="B2279" s="1537" t="e">
        <f>VLOOKUP(D2279,'[2]DS CN MOI UP'!$B$11:$C$447,2,0)</f>
        <v>#N/A</v>
      </c>
      <c r="C2279" s="1538"/>
      <c r="D2279" s="166" t="s">
        <v>766</v>
      </c>
      <c r="E2279" s="1468" t="s">
        <v>15</v>
      </c>
      <c r="F2279" s="1468"/>
      <c r="G2279" s="1540">
        <v>40000</v>
      </c>
      <c r="H2279" s="1540">
        <v>1149145.3259999999</v>
      </c>
      <c r="I2279" s="1540"/>
      <c r="J2279" s="1466">
        <f t="shared" si="91"/>
        <v>1189145.3259999999</v>
      </c>
      <c r="K2279" s="1466"/>
      <c r="L2279" s="1466"/>
      <c r="M2279" s="1540">
        <f t="shared" si="92"/>
        <v>1189145.3259999999</v>
      </c>
      <c r="N2279" s="166"/>
    </row>
    <row r="2280" spans="1:15" s="540" customFormat="1" ht="14.25" customHeight="1">
      <c r="A2280" s="1536">
        <v>118</v>
      </c>
      <c r="B2280" s="1537" t="e">
        <f>VLOOKUP(D2280,'[2]DS CN MOI UP'!$B$11:$C$447,2,0)</f>
        <v>#N/A</v>
      </c>
      <c r="C2280" s="1538"/>
      <c r="D2280" s="166" t="s">
        <v>1706</v>
      </c>
      <c r="E2280" s="1468" t="s">
        <v>15</v>
      </c>
      <c r="F2280" s="1468"/>
      <c r="G2280" s="1540">
        <v>40000</v>
      </c>
      <c r="H2280" s="1540">
        <v>1229038.53819991</v>
      </c>
      <c r="I2280" s="1540"/>
      <c r="J2280" s="1466">
        <f t="shared" si="91"/>
        <v>1269038.53819991</v>
      </c>
      <c r="K2280" s="1466"/>
      <c r="L2280" s="1466"/>
      <c r="M2280" s="1540">
        <f t="shared" si="92"/>
        <v>1269038.53819991</v>
      </c>
      <c r="N2280" s="166"/>
    </row>
    <row r="2281" spans="1:15" s="540" customFormat="1" ht="14.25" customHeight="1">
      <c r="A2281" s="1536">
        <v>119</v>
      </c>
      <c r="B2281" s="1537" t="e">
        <f>VLOOKUP(D2281,'[2]DS CN MOI UP'!$B$11:$C$447,2,0)</f>
        <v>#N/A</v>
      </c>
      <c r="C2281" s="1538"/>
      <c r="D2281" s="166" t="s">
        <v>768</v>
      </c>
      <c r="E2281" s="1468" t="s">
        <v>15</v>
      </c>
      <c r="F2281" s="1468"/>
      <c r="G2281" s="1540">
        <v>40000</v>
      </c>
      <c r="H2281" s="1540">
        <v>1159179.5249999999</v>
      </c>
      <c r="I2281" s="1540"/>
      <c r="J2281" s="1466">
        <f t="shared" si="91"/>
        <v>1199179.5249999999</v>
      </c>
      <c r="K2281" s="1466"/>
      <c r="L2281" s="1466"/>
      <c r="M2281" s="1540">
        <f t="shared" si="92"/>
        <v>1199179.5249999999</v>
      </c>
      <c r="N2281" s="166"/>
    </row>
    <row r="2282" spans="1:15" s="540" customFormat="1" ht="14.25" customHeight="1">
      <c r="A2282" s="1536">
        <v>120</v>
      </c>
      <c r="B2282" s="1537" t="e">
        <f>VLOOKUP(D2282,'[2]DS CN MOI UP'!$B$11:$C$447,2,0)</f>
        <v>#N/A</v>
      </c>
      <c r="C2282" s="1538"/>
      <c r="D2282" s="166" t="s">
        <v>769</v>
      </c>
      <c r="E2282" s="1468" t="s">
        <v>15</v>
      </c>
      <c r="F2282" s="1468"/>
      <c r="G2282" s="1540">
        <v>40000</v>
      </c>
      <c r="H2282" s="1540">
        <v>1229038.53819991</v>
      </c>
      <c r="I2282" s="1540"/>
      <c r="J2282" s="1466">
        <f t="shared" si="91"/>
        <v>1269038.53819991</v>
      </c>
      <c r="K2282" s="1466"/>
      <c r="L2282" s="1466"/>
      <c r="M2282" s="1540">
        <f t="shared" si="92"/>
        <v>1269038.53819991</v>
      </c>
      <c r="N2282" s="166"/>
    </row>
    <row r="2283" spans="1:15" s="540" customFormat="1" ht="14.25" customHeight="1">
      <c r="A2283" s="1536">
        <v>121</v>
      </c>
      <c r="B2283" s="1537" t="e">
        <f>VLOOKUP(D2283,'[2]DS CN MOI UP'!$B$11:$C$447,2,0)</f>
        <v>#N/A</v>
      </c>
      <c r="C2283" s="1538"/>
      <c r="D2283" s="166" t="s">
        <v>1707</v>
      </c>
      <c r="E2283" s="1468" t="s">
        <v>15</v>
      </c>
      <c r="F2283" s="1468"/>
      <c r="G2283" s="1540">
        <v>40000</v>
      </c>
      <c r="H2283" s="1540">
        <v>1159179.5249999999</v>
      </c>
      <c r="I2283" s="1540"/>
      <c r="J2283" s="1466">
        <f t="shared" si="91"/>
        <v>1199179.5249999999</v>
      </c>
      <c r="K2283" s="1466"/>
      <c r="L2283" s="1466"/>
      <c r="M2283" s="1540">
        <f t="shared" si="92"/>
        <v>1199179.5249999999</v>
      </c>
      <c r="N2283" s="166"/>
    </row>
    <row r="2284" spans="1:15" s="540" customFormat="1" ht="14.25" customHeight="1">
      <c r="A2284" s="1536">
        <v>122</v>
      </c>
      <c r="B2284" s="1537" t="e">
        <f>VLOOKUP(D2284,'[2]DS CN MOI UP'!$B$11:$C$447,2,0)</f>
        <v>#N/A</v>
      </c>
      <c r="C2284" s="1538"/>
      <c r="D2284" s="166" t="s">
        <v>1708</v>
      </c>
      <c r="E2284" s="1468" t="s">
        <v>15</v>
      </c>
      <c r="F2284" s="1468"/>
      <c r="G2284" s="1540">
        <v>40000</v>
      </c>
      <c r="H2284" s="1540">
        <v>1239846.615</v>
      </c>
      <c r="I2284" s="1540"/>
      <c r="J2284" s="1466">
        <f t="shared" ref="J2284:J2371" si="93">SUM(G2284:I2284)</f>
        <v>1279846.615</v>
      </c>
      <c r="K2284" s="1466"/>
      <c r="L2284" s="1466"/>
      <c r="M2284" s="1540">
        <f t="shared" ref="M2284:M2371" si="94">J2284-L2284</f>
        <v>1279846.615</v>
      </c>
      <c r="N2284" s="166"/>
    </row>
    <row r="2285" spans="1:15" s="540" customFormat="1" ht="14.25" customHeight="1">
      <c r="A2285" s="1536">
        <v>123</v>
      </c>
      <c r="B2285" s="1537" t="e">
        <f>VLOOKUP(D2285,'[2]DS CN MOI UP'!$B$11:$C$447,2,0)</f>
        <v>#N/A</v>
      </c>
      <c r="C2285" s="1538"/>
      <c r="D2285" s="166" t="s">
        <v>1709</v>
      </c>
      <c r="E2285" s="1468" t="s">
        <v>15</v>
      </c>
      <c r="F2285" s="1468"/>
      <c r="G2285" s="1540">
        <v>40000</v>
      </c>
      <c r="H2285" s="1540">
        <v>1149145.3259999999</v>
      </c>
      <c r="I2285" s="1540"/>
      <c r="J2285" s="1466">
        <f t="shared" si="93"/>
        <v>1189145.3259999999</v>
      </c>
      <c r="K2285" s="1466"/>
      <c r="L2285" s="1466"/>
      <c r="M2285" s="1540">
        <f t="shared" si="94"/>
        <v>1189145.3259999999</v>
      </c>
      <c r="N2285" s="166"/>
      <c r="O2285" s="559"/>
    </row>
    <row r="2286" spans="1:15" s="540" customFormat="1" ht="14.25" customHeight="1">
      <c r="A2286" s="1536">
        <v>124</v>
      </c>
      <c r="B2286" s="1537" t="e">
        <f>VLOOKUP(D2286,'[2]DS CN MOI UP'!$B$11:$C$447,2,0)</f>
        <v>#N/A</v>
      </c>
      <c r="C2286" s="1538"/>
      <c r="D2286" s="166" t="s">
        <v>771</v>
      </c>
      <c r="E2286" s="1468" t="s">
        <v>15</v>
      </c>
      <c r="F2286" s="1468"/>
      <c r="G2286" s="1540">
        <v>40000</v>
      </c>
      <c r="H2286" s="1540">
        <v>1159179.5249999999</v>
      </c>
      <c r="I2286" s="1540"/>
      <c r="J2286" s="1466">
        <f t="shared" si="93"/>
        <v>1199179.5249999999</v>
      </c>
      <c r="K2286" s="1466"/>
      <c r="L2286" s="1466"/>
      <c r="M2286" s="1540">
        <f t="shared" si="94"/>
        <v>1199179.5249999999</v>
      </c>
      <c r="N2286" s="166"/>
    </row>
    <row r="2287" spans="1:15" s="540" customFormat="1" ht="14.25" customHeight="1">
      <c r="A2287" s="1536">
        <v>125</v>
      </c>
      <c r="B2287" s="1537" t="e">
        <f>VLOOKUP(D2287,'[2]DS CN MOI UP'!$B$11:$C$447,2,0)</f>
        <v>#N/A</v>
      </c>
      <c r="C2287" s="1538"/>
      <c r="D2287" s="166" t="s">
        <v>1710</v>
      </c>
      <c r="E2287" s="1468" t="s">
        <v>15</v>
      </c>
      <c r="F2287" s="1468"/>
      <c r="G2287" s="1540">
        <v>40000</v>
      </c>
      <c r="H2287" s="1540">
        <v>1239846.615</v>
      </c>
      <c r="I2287" s="1540"/>
      <c r="J2287" s="1466">
        <f t="shared" si="93"/>
        <v>1279846.615</v>
      </c>
      <c r="K2287" s="1466"/>
      <c r="L2287" s="1466"/>
      <c r="M2287" s="1540">
        <f t="shared" si="94"/>
        <v>1279846.615</v>
      </c>
      <c r="N2287" s="166"/>
    </row>
    <row r="2288" spans="1:15" s="540" customFormat="1" ht="14.25" customHeight="1">
      <c r="A2288" s="1536">
        <v>126</v>
      </c>
      <c r="B2288" s="1537" t="e">
        <f>VLOOKUP(D2288,'[2]DS CN MOI UP'!$B$11:$C$447,2,0)</f>
        <v>#N/A</v>
      </c>
      <c r="C2288" s="1538"/>
      <c r="D2288" s="166" t="s">
        <v>773</v>
      </c>
      <c r="E2288" s="1468" t="s">
        <v>15</v>
      </c>
      <c r="F2288" s="1468"/>
      <c r="G2288" s="1540">
        <v>40000</v>
      </c>
      <c r="H2288" s="1540">
        <v>1149145.3259999999</v>
      </c>
      <c r="I2288" s="1540"/>
      <c r="J2288" s="1466">
        <f t="shared" si="93"/>
        <v>1189145.3259999999</v>
      </c>
      <c r="K2288" s="1466"/>
      <c r="L2288" s="1466"/>
      <c r="M2288" s="1540">
        <f t="shared" si="94"/>
        <v>1189145.3259999999</v>
      </c>
      <c r="N2288" s="166"/>
    </row>
    <row r="2289" spans="1:14" s="540" customFormat="1" ht="14.25" customHeight="1">
      <c r="A2289" s="1536">
        <v>127</v>
      </c>
      <c r="B2289" s="1537" t="e">
        <f>VLOOKUP(D2289,'[2]DS CN MOI UP'!$B$11:$C$447,2,0)</f>
        <v>#N/A</v>
      </c>
      <c r="C2289" s="1538"/>
      <c r="D2289" s="166" t="s">
        <v>774</v>
      </c>
      <c r="E2289" s="1468" t="s">
        <v>15</v>
      </c>
      <c r="F2289" s="1468"/>
      <c r="G2289" s="1540">
        <v>40000</v>
      </c>
      <c r="H2289" s="1540">
        <v>1229038.53819991</v>
      </c>
      <c r="I2289" s="1540"/>
      <c r="J2289" s="1466">
        <f t="shared" si="93"/>
        <v>1269038.53819991</v>
      </c>
      <c r="K2289" s="1466"/>
      <c r="L2289" s="1466"/>
      <c r="M2289" s="1540">
        <f t="shared" si="94"/>
        <v>1269038.53819991</v>
      </c>
      <c r="N2289" s="166"/>
    </row>
    <row r="2290" spans="1:14" s="540" customFormat="1" ht="14.25" customHeight="1">
      <c r="A2290" s="1536">
        <v>128</v>
      </c>
      <c r="B2290" s="1537" t="e">
        <f>VLOOKUP(D2290,'[2]DS CN MOI UP'!$B$11:$C$447,2,0)</f>
        <v>#N/A</v>
      </c>
      <c r="C2290" s="1538"/>
      <c r="D2290" s="166" t="s">
        <v>1711</v>
      </c>
      <c r="E2290" s="1468" t="s">
        <v>15</v>
      </c>
      <c r="F2290" s="1468"/>
      <c r="G2290" s="1540">
        <v>40000</v>
      </c>
      <c r="H2290" s="1540">
        <v>1159179.5249999999</v>
      </c>
      <c r="I2290" s="1540"/>
      <c r="J2290" s="1466">
        <f t="shared" si="93"/>
        <v>1199179.5249999999</v>
      </c>
      <c r="K2290" s="1466"/>
      <c r="L2290" s="1466"/>
      <c r="M2290" s="1540">
        <f t="shared" si="94"/>
        <v>1199179.5249999999</v>
      </c>
      <c r="N2290" s="166"/>
    </row>
    <row r="2291" spans="1:14" s="540" customFormat="1" ht="14.25" customHeight="1">
      <c r="A2291" s="1536">
        <v>129</v>
      </c>
      <c r="B2291" s="1537" t="e">
        <f>VLOOKUP(D2291,'[2]DS CN MOI UP'!$B$11:$C$447,2,0)</f>
        <v>#N/A</v>
      </c>
      <c r="C2291" s="1538"/>
      <c r="D2291" s="166" t="s">
        <v>1712</v>
      </c>
      <c r="E2291" s="1468" t="s">
        <v>15</v>
      </c>
      <c r="F2291" s="1468"/>
      <c r="G2291" s="1540">
        <v>40000</v>
      </c>
      <c r="H2291" s="1540">
        <v>554373.09900000005</v>
      </c>
      <c r="I2291" s="1540">
        <v>436874.00809438498</v>
      </c>
      <c r="J2291" s="1466">
        <f t="shared" si="93"/>
        <v>1031247.10709438</v>
      </c>
      <c r="K2291" s="1466"/>
      <c r="L2291" s="1466"/>
      <c r="M2291" s="1540">
        <f t="shared" si="94"/>
        <v>1031247.10709438</v>
      </c>
      <c r="N2291" s="166"/>
    </row>
    <row r="2292" spans="1:14" s="540" customFormat="1" ht="14.25" customHeight="1">
      <c r="A2292" s="1536">
        <v>130</v>
      </c>
      <c r="B2292" s="1537" t="e">
        <f>VLOOKUP(D2292,'[2]DS CN MOI UP'!$B$11:$C$447,2,0)</f>
        <v>#N/A</v>
      </c>
      <c r="C2292" s="1538"/>
      <c r="D2292" s="166" t="s">
        <v>777</v>
      </c>
      <c r="E2292" s="1468" t="s">
        <v>15</v>
      </c>
      <c r="F2292" s="1468"/>
      <c r="G2292" s="1540">
        <v>40000</v>
      </c>
      <c r="H2292" s="1540">
        <v>554373.09900000005</v>
      </c>
      <c r="I2292" s="1540">
        <v>436874.00809438498</v>
      </c>
      <c r="J2292" s="1466">
        <f t="shared" si="93"/>
        <v>1031247.10709438</v>
      </c>
      <c r="K2292" s="1466"/>
      <c r="L2292" s="1466"/>
      <c r="M2292" s="1540">
        <f t="shared" si="94"/>
        <v>1031247.10709438</v>
      </c>
      <c r="N2292" s="166"/>
    </row>
    <row r="2293" spans="1:14" s="540" customFormat="1" ht="14.25" customHeight="1">
      <c r="A2293" s="1536">
        <v>131</v>
      </c>
      <c r="B2293" s="1537" t="e">
        <f>VLOOKUP(D2293,'[2]DS CN MOI UP'!$B$11:$C$447,2,0)</f>
        <v>#N/A</v>
      </c>
      <c r="C2293" s="1538"/>
      <c r="D2293" s="166" t="s">
        <v>1714</v>
      </c>
      <c r="E2293" s="1468" t="s">
        <v>15</v>
      </c>
      <c r="F2293" s="1468"/>
      <c r="G2293" s="1540">
        <v>40000</v>
      </c>
      <c r="H2293" s="1540">
        <v>554373.09900000005</v>
      </c>
      <c r="I2293" s="1540">
        <v>436874.00809438498</v>
      </c>
      <c r="J2293" s="1466">
        <f t="shared" si="93"/>
        <v>1031247.10709438</v>
      </c>
      <c r="K2293" s="1466"/>
      <c r="L2293" s="1466"/>
      <c r="M2293" s="1540">
        <f t="shared" si="94"/>
        <v>1031247.10709438</v>
      </c>
      <c r="N2293" s="166"/>
    </row>
    <row r="2294" spans="1:14" s="540" customFormat="1" ht="14.25" customHeight="1">
      <c r="A2294" s="1536">
        <v>132</v>
      </c>
      <c r="B2294" s="1537" t="e">
        <f>VLOOKUP(D2294,'[2]DS CN MOI UP'!$B$11:$C$447,2,0)</f>
        <v>#N/A</v>
      </c>
      <c r="C2294" s="1538"/>
      <c r="D2294" s="166" t="s">
        <v>1715</v>
      </c>
      <c r="E2294" s="1468" t="s">
        <v>15</v>
      </c>
      <c r="F2294" s="1468"/>
      <c r="G2294" s="1540">
        <v>40000</v>
      </c>
      <c r="H2294" s="1540">
        <v>554373.09900000005</v>
      </c>
      <c r="I2294" s="1540">
        <v>436874.00809438498</v>
      </c>
      <c r="J2294" s="1466">
        <f t="shared" si="93"/>
        <v>1031247.10709438</v>
      </c>
      <c r="K2294" s="1466"/>
      <c r="L2294" s="1466"/>
      <c r="M2294" s="1540">
        <f t="shared" si="94"/>
        <v>1031247.10709438</v>
      </c>
      <c r="N2294" s="166"/>
    </row>
    <row r="2295" spans="1:14" s="540" customFormat="1" ht="14.25" customHeight="1">
      <c r="A2295" s="1536">
        <v>133</v>
      </c>
      <c r="B2295" s="1537" t="e">
        <f>VLOOKUP(D2295,'[2]DS CN MOI UP'!$B$11:$C$447,2,0)</f>
        <v>#N/A</v>
      </c>
      <c r="C2295" s="1538"/>
      <c r="D2295" s="166" t="s">
        <v>1716</v>
      </c>
      <c r="E2295" s="1468" t="s">
        <v>15</v>
      </c>
      <c r="F2295" s="1468"/>
      <c r="G2295" s="1540">
        <v>705000</v>
      </c>
      <c r="H2295" s="1540">
        <v>436874.00809438498</v>
      </c>
      <c r="I2295" s="1540"/>
      <c r="J2295" s="1466">
        <f t="shared" si="93"/>
        <v>1141874.0080943899</v>
      </c>
      <c r="K2295" s="1466"/>
      <c r="L2295" s="1466"/>
      <c r="M2295" s="1540">
        <f t="shared" si="94"/>
        <v>1141874.0080943899</v>
      </c>
      <c r="N2295" s="166"/>
    </row>
    <row r="2296" spans="1:14" s="540" customFormat="1" ht="14.25" customHeight="1">
      <c r="A2296" s="1536">
        <v>134</v>
      </c>
      <c r="B2296" s="1537" t="e">
        <f>VLOOKUP(D2296,'[2]DS CN MOI UP'!$B$11:$C$447,2,0)</f>
        <v>#N/A</v>
      </c>
      <c r="C2296" s="1538"/>
      <c r="D2296" s="166" t="s">
        <v>1717</v>
      </c>
      <c r="E2296" s="1468" t="s">
        <v>15</v>
      </c>
      <c r="F2296" s="1468"/>
      <c r="G2296" s="1540">
        <v>705000</v>
      </c>
      <c r="H2296" s="1540">
        <v>436874.00809438498</v>
      </c>
      <c r="I2296" s="1540"/>
      <c r="J2296" s="1466">
        <f t="shared" si="93"/>
        <v>1141874.0080943899</v>
      </c>
      <c r="K2296" s="1466"/>
      <c r="L2296" s="1466"/>
      <c r="M2296" s="1540">
        <f t="shared" si="94"/>
        <v>1141874.0080943899</v>
      </c>
      <c r="N2296" s="166"/>
    </row>
    <row r="2297" spans="1:14" s="540" customFormat="1" ht="14.25" customHeight="1">
      <c r="A2297" s="1536">
        <v>135</v>
      </c>
      <c r="B2297" s="1537" t="e">
        <f>VLOOKUP(D2297,'[2]DS CN MOI UP'!$B$11:$C$447,2,0)</f>
        <v>#N/A</v>
      </c>
      <c r="C2297" s="1538"/>
      <c r="D2297" s="166" t="s">
        <v>1718</v>
      </c>
      <c r="E2297" s="1468" t="s">
        <v>15</v>
      </c>
      <c r="F2297" s="1468"/>
      <c r="G2297" s="1540">
        <v>705000</v>
      </c>
      <c r="H2297" s="1540">
        <v>436874.00809438498</v>
      </c>
      <c r="I2297" s="1540"/>
      <c r="J2297" s="1466">
        <f t="shared" si="93"/>
        <v>1141874.0080943899</v>
      </c>
      <c r="K2297" s="1466"/>
      <c r="L2297" s="1466"/>
      <c r="M2297" s="1540">
        <f t="shared" si="94"/>
        <v>1141874.0080943899</v>
      </c>
      <c r="N2297" s="166"/>
    </row>
    <row r="2298" spans="1:14" s="540" customFormat="1" ht="14.25" customHeight="1">
      <c r="A2298" s="1536">
        <v>136</v>
      </c>
      <c r="B2298" s="1537" t="e">
        <f>VLOOKUP(D2298,'[2]DS CN MOI UP'!$B$11:$C$447,2,0)</f>
        <v>#N/A</v>
      </c>
      <c r="C2298" s="1538"/>
      <c r="D2298" s="166" t="s">
        <v>1719</v>
      </c>
      <c r="E2298" s="1468" t="s">
        <v>15</v>
      </c>
      <c r="F2298" s="1468"/>
      <c r="G2298" s="1540">
        <v>705000</v>
      </c>
      <c r="H2298" s="1540">
        <v>436874.00809438498</v>
      </c>
      <c r="I2298" s="1540"/>
      <c r="J2298" s="1466">
        <f t="shared" si="93"/>
        <v>1141874.0080943899</v>
      </c>
      <c r="K2298" s="1466"/>
      <c r="L2298" s="1466"/>
      <c r="M2298" s="1540">
        <f t="shared" si="94"/>
        <v>1141874.0080943899</v>
      </c>
      <c r="N2298" s="166"/>
    </row>
    <row r="2299" spans="1:14" s="540" customFormat="1" ht="14.25" customHeight="1">
      <c r="A2299" s="1536">
        <v>137</v>
      </c>
      <c r="B2299" s="1537" t="e">
        <f>VLOOKUP(D2299,'[2]DS CN MOI UP'!$B$11:$C$447,2,0)</f>
        <v>#N/A</v>
      </c>
      <c r="C2299" s="1538"/>
      <c r="D2299" s="166" t="s">
        <v>1720</v>
      </c>
      <c r="E2299" s="1468" t="s">
        <v>15</v>
      </c>
      <c r="F2299" s="1468"/>
      <c r="G2299" s="1540">
        <v>705000</v>
      </c>
      <c r="H2299" s="1540">
        <v>436874.00809438498</v>
      </c>
      <c r="I2299" s="1540"/>
      <c r="J2299" s="1466">
        <f t="shared" si="93"/>
        <v>1141874.0080943899</v>
      </c>
      <c r="K2299" s="1466"/>
      <c r="L2299" s="1466"/>
      <c r="M2299" s="1540">
        <f t="shared" si="94"/>
        <v>1141874.0080943899</v>
      </c>
      <c r="N2299" s="166"/>
    </row>
    <row r="2300" spans="1:14" s="540" customFormat="1" ht="14.25" customHeight="1">
      <c r="A2300" s="1536">
        <v>138</v>
      </c>
      <c r="B2300" s="1537" t="e">
        <f>VLOOKUP(D2300,'[2]DS CN MOI UP'!$B$11:$C$447,2,0)</f>
        <v>#N/A</v>
      </c>
      <c r="C2300" s="1538"/>
      <c r="D2300" s="166" t="s">
        <v>1721</v>
      </c>
      <c r="E2300" s="1468" t="s">
        <v>15</v>
      </c>
      <c r="F2300" s="1468"/>
      <c r="G2300" s="1540">
        <v>705000</v>
      </c>
      <c r="H2300" s="1540">
        <v>436874.00809438498</v>
      </c>
      <c r="I2300" s="1540"/>
      <c r="J2300" s="1466">
        <f t="shared" si="93"/>
        <v>1141874.0080943899</v>
      </c>
      <c r="K2300" s="1466"/>
      <c r="L2300" s="1466"/>
      <c r="M2300" s="1540">
        <f t="shared" si="94"/>
        <v>1141874.0080943899</v>
      </c>
      <c r="N2300" s="166"/>
    </row>
    <row r="2301" spans="1:14" s="540" customFormat="1" ht="14.25" customHeight="1">
      <c r="A2301" s="1536">
        <v>139</v>
      </c>
      <c r="B2301" s="1537" t="e">
        <f>VLOOKUP(D2301,'[2]DS CN MOI UP'!$B$11:$C$447,2,0)</f>
        <v>#N/A</v>
      </c>
      <c r="C2301" s="1538"/>
      <c r="D2301" s="166" t="s">
        <v>1722</v>
      </c>
      <c r="E2301" s="1468" t="s">
        <v>15</v>
      </c>
      <c r="F2301" s="1468"/>
      <c r="G2301" s="1540">
        <v>705000</v>
      </c>
      <c r="H2301" s="1540">
        <v>436874.00809438498</v>
      </c>
      <c r="I2301" s="1540"/>
      <c r="J2301" s="1466">
        <f t="shared" si="93"/>
        <v>1141874.0080943899</v>
      </c>
      <c r="K2301" s="1466"/>
      <c r="L2301" s="1466"/>
      <c r="M2301" s="1540">
        <f t="shared" si="94"/>
        <v>1141874.0080943899</v>
      </c>
      <c r="N2301" s="166"/>
    </row>
    <row r="2302" spans="1:14" s="540" customFormat="1" ht="14.25" customHeight="1">
      <c r="A2302" s="1536">
        <v>140</v>
      </c>
      <c r="B2302" s="1537" t="e">
        <f>VLOOKUP(D2302,'[2]DS CN MOI UP'!$B$11:$C$447,2,0)</f>
        <v>#N/A</v>
      </c>
      <c r="C2302" s="1538"/>
      <c r="D2302" s="166" t="s">
        <v>1723</v>
      </c>
      <c r="E2302" s="1468" t="s">
        <v>15</v>
      </c>
      <c r="F2302" s="1468"/>
      <c r="G2302" s="1540">
        <v>705000</v>
      </c>
      <c r="H2302" s="1540">
        <v>436874.00809438498</v>
      </c>
      <c r="I2302" s="1540"/>
      <c r="J2302" s="1466">
        <f t="shared" si="93"/>
        <v>1141874.0080943899</v>
      </c>
      <c r="K2302" s="1466"/>
      <c r="L2302" s="1466"/>
      <c r="M2302" s="1540">
        <f t="shared" si="94"/>
        <v>1141874.0080943899</v>
      </c>
      <c r="N2302" s="166"/>
    </row>
    <row r="2303" spans="1:14" s="540" customFormat="1" ht="14.25" customHeight="1">
      <c r="A2303" s="1536">
        <v>141</v>
      </c>
      <c r="B2303" s="1537" t="e">
        <f>VLOOKUP(D2303,'[2]DS CN MOI UP'!$B$11:$C$447,2,0)</f>
        <v>#N/A</v>
      </c>
      <c r="C2303" s="1538"/>
      <c r="D2303" s="166" t="s">
        <v>1724</v>
      </c>
      <c r="E2303" s="1468" t="s">
        <v>15</v>
      </c>
      <c r="F2303" s="1468"/>
      <c r="G2303" s="1540">
        <v>705000</v>
      </c>
      <c r="H2303" s="1540">
        <v>436874.00809438498</v>
      </c>
      <c r="I2303" s="1540"/>
      <c r="J2303" s="1466">
        <f t="shared" si="93"/>
        <v>1141874.0080943899</v>
      </c>
      <c r="K2303" s="1466"/>
      <c r="L2303" s="1466"/>
      <c r="M2303" s="1540">
        <f t="shared" si="94"/>
        <v>1141874.0080943899</v>
      </c>
      <c r="N2303" s="166"/>
    </row>
    <row r="2304" spans="1:14" s="540" customFormat="1" ht="14.25" customHeight="1">
      <c r="A2304" s="1536">
        <v>142</v>
      </c>
      <c r="B2304" s="1537" t="e">
        <f>VLOOKUP(D2304,'[2]DS CN MOI UP'!$B$11:$C$447,2,0)</f>
        <v>#N/A</v>
      </c>
      <c r="C2304" s="1538"/>
      <c r="D2304" s="166" t="s">
        <v>1725</v>
      </c>
      <c r="E2304" s="1468" t="s">
        <v>15</v>
      </c>
      <c r="F2304" s="1468"/>
      <c r="G2304" s="1540">
        <v>705000</v>
      </c>
      <c r="H2304" s="1540">
        <v>436874.00809438498</v>
      </c>
      <c r="I2304" s="1540"/>
      <c r="J2304" s="1466">
        <f t="shared" si="93"/>
        <v>1141874.0080943899</v>
      </c>
      <c r="K2304" s="1466"/>
      <c r="L2304" s="1466"/>
      <c r="M2304" s="1540">
        <f t="shared" si="94"/>
        <v>1141874.0080943899</v>
      </c>
      <c r="N2304" s="166"/>
    </row>
    <row r="2305" spans="1:14" s="540" customFormat="1" ht="14.25" customHeight="1">
      <c r="A2305" s="1536">
        <v>143</v>
      </c>
      <c r="B2305" s="1537" t="e">
        <f>VLOOKUP(D2305,'[2]DS CN MOI UP'!$B$11:$C$447,2,0)</f>
        <v>#N/A</v>
      </c>
      <c r="C2305" s="1538"/>
      <c r="D2305" s="166" t="s">
        <v>836</v>
      </c>
      <c r="E2305" s="1468" t="s">
        <v>15</v>
      </c>
      <c r="F2305" s="1468"/>
      <c r="G2305" s="1540">
        <v>705000</v>
      </c>
      <c r="H2305" s="1540">
        <v>436874.00809438498</v>
      </c>
      <c r="I2305" s="1540"/>
      <c r="J2305" s="1466">
        <f t="shared" si="93"/>
        <v>1141874.0080943899</v>
      </c>
      <c r="K2305" s="1466"/>
      <c r="L2305" s="1466"/>
      <c r="M2305" s="1540">
        <f t="shared" si="94"/>
        <v>1141874.0080943899</v>
      </c>
      <c r="N2305" s="166"/>
    </row>
    <row r="2306" spans="1:14" s="540" customFormat="1" ht="14.25" customHeight="1">
      <c r="A2306" s="1536">
        <v>144</v>
      </c>
      <c r="B2306" s="1537" t="e">
        <f>VLOOKUP(D2306,'[2]DS CN MOI UP'!$B$11:$C$447,2,0)</f>
        <v>#N/A</v>
      </c>
      <c r="C2306" s="1538"/>
      <c r="D2306" s="166" t="s">
        <v>1726</v>
      </c>
      <c r="E2306" s="1468" t="s">
        <v>15</v>
      </c>
      <c r="F2306" s="1468"/>
      <c r="G2306" s="1540">
        <v>705000</v>
      </c>
      <c r="H2306" s="1540">
        <v>436874.00809438498</v>
      </c>
      <c r="I2306" s="1540"/>
      <c r="J2306" s="1466">
        <f t="shared" si="93"/>
        <v>1141874.0080943899</v>
      </c>
      <c r="K2306" s="1466"/>
      <c r="L2306" s="1466"/>
      <c r="M2306" s="1540">
        <f t="shared" si="94"/>
        <v>1141874.0080943899</v>
      </c>
      <c r="N2306" s="166"/>
    </row>
    <row r="2307" spans="1:14" s="540" customFormat="1" ht="14.25" customHeight="1">
      <c r="A2307" s="1536">
        <v>145</v>
      </c>
      <c r="B2307" s="1537" t="e">
        <f>VLOOKUP(D2307,'[2]DS CN MOI UP'!$B$11:$C$447,2,0)</f>
        <v>#N/A</v>
      </c>
      <c r="C2307" s="1538"/>
      <c r="D2307" s="166" t="s">
        <v>1727</v>
      </c>
      <c r="E2307" s="1468" t="s">
        <v>15</v>
      </c>
      <c r="F2307" s="1468"/>
      <c r="G2307" s="1540">
        <v>705000</v>
      </c>
      <c r="H2307" s="1540">
        <v>436874.00809438498</v>
      </c>
      <c r="I2307" s="1540"/>
      <c r="J2307" s="1466">
        <f t="shared" si="93"/>
        <v>1141874.0080943899</v>
      </c>
      <c r="K2307" s="1466"/>
      <c r="L2307" s="1466"/>
      <c r="M2307" s="1540">
        <f t="shared" si="94"/>
        <v>1141874.0080943899</v>
      </c>
      <c r="N2307" s="166"/>
    </row>
    <row r="2308" spans="1:14" s="540" customFormat="1" ht="14.25" customHeight="1">
      <c r="A2308" s="1536">
        <v>146</v>
      </c>
      <c r="B2308" s="1537" t="e">
        <f>VLOOKUP(D2308,'[2]DS CN MOI UP'!$B$11:$C$447,2,0)</f>
        <v>#N/A</v>
      </c>
      <c r="C2308" s="1538"/>
      <c r="D2308" s="166" t="s">
        <v>1728</v>
      </c>
      <c r="E2308" s="1468" t="s">
        <v>15</v>
      </c>
      <c r="F2308" s="1468"/>
      <c r="G2308" s="1540">
        <v>705000</v>
      </c>
      <c r="H2308" s="1540">
        <v>436874.00809438498</v>
      </c>
      <c r="I2308" s="1540"/>
      <c r="J2308" s="1466">
        <f t="shared" si="93"/>
        <v>1141874.0080943899</v>
      </c>
      <c r="K2308" s="1466"/>
      <c r="L2308" s="1466"/>
      <c r="M2308" s="1540">
        <f t="shared" si="94"/>
        <v>1141874.0080943899</v>
      </c>
      <c r="N2308" s="166"/>
    </row>
    <row r="2309" spans="1:14" s="540" customFormat="1" ht="14.25" customHeight="1">
      <c r="A2309" s="1536">
        <v>147</v>
      </c>
      <c r="B2309" s="1537" t="e">
        <f>VLOOKUP(D2309,'[2]DS CN MOI UP'!$B$11:$C$447,2,0)</f>
        <v>#N/A</v>
      </c>
      <c r="C2309" s="1538"/>
      <c r="D2309" s="166" t="s">
        <v>1729</v>
      </c>
      <c r="E2309" s="1468" t="s">
        <v>15</v>
      </c>
      <c r="F2309" s="1468"/>
      <c r="G2309" s="1540">
        <v>705000</v>
      </c>
      <c r="H2309" s="1540">
        <v>436874.00809438498</v>
      </c>
      <c r="I2309" s="1540"/>
      <c r="J2309" s="1466">
        <f t="shared" si="93"/>
        <v>1141874.0080943899</v>
      </c>
      <c r="K2309" s="1466"/>
      <c r="L2309" s="1466"/>
      <c r="M2309" s="1540">
        <f t="shared" si="94"/>
        <v>1141874.0080943899</v>
      </c>
      <c r="N2309" s="166"/>
    </row>
    <row r="2310" spans="1:14" s="540" customFormat="1" ht="14.25" customHeight="1">
      <c r="A2310" s="1536">
        <v>148</v>
      </c>
      <c r="B2310" s="1537" t="e">
        <f>VLOOKUP(D2310,'[2]DS CN MOI UP'!$B$11:$C$447,2,0)</f>
        <v>#N/A</v>
      </c>
      <c r="C2310" s="1538"/>
      <c r="D2310" s="166" t="s">
        <v>1730</v>
      </c>
      <c r="E2310" s="1468" t="s">
        <v>15</v>
      </c>
      <c r="F2310" s="1468"/>
      <c r="G2310" s="1540">
        <v>705000</v>
      </c>
      <c r="H2310" s="1540">
        <v>436874.00809438498</v>
      </c>
      <c r="I2310" s="1540"/>
      <c r="J2310" s="1466">
        <f t="shared" si="93"/>
        <v>1141874.0080943899</v>
      </c>
      <c r="K2310" s="1466"/>
      <c r="L2310" s="1466"/>
      <c r="M2310" s="1540">
        <f t="shared" si="94"/>
        <v>1141874.0080943899</v>
      </c>
      <c r="N2310" s="166"/>
    </row>
    <row r="2311" spans="1:14" s="540" customFormat="1" ht="14.25" customHeight="1">
      <c r="A2311" s="1536">
        <v>149</v>
      </c>
      <c r="B2311" s="1537" t="e">
        <f>VLOOKUP(D2311,'[2]DS CN MOI UP'!$B$11:$C$447,2,0)</f>
        <v>#N/A</v>
      </c>
      <c r="C2311" s="1538"/>
      <c r="D2311" s="166" t="s">
        <v>1731</v>
      </c>
      <c r="E2311" s="1468" t="s">
        <v>15</v>
      </c>
      <c r="F2311" s="1468"/>
      <c r="G2311" s="1540">
        <v>705000</v>
      </c>
      <c r="H2311" s="1540">
        <v>436874.00809438498</v>
      </c>
      <c r="I2311" s="1540"/>
      <c r="J2311" s="1466">
        <f t="shared" si="93"/>
        <v>1141874.0080943899</v>
      </c>
      <c r="K2311" s="1466"/>
      <c r="L2311" s="1466"/>
      <c r="M2311" s="1540">
        <f t="shared" si="94"/>
        <v>1141874.0080943899</v>
      </c>
      <c r="N2311" s="166"/>
    </row>
    <row r="2312" spans="1:14" s="540" customFormat="1" ht="14.25" customHeight="1">
      <c r="A2312" s="1536">
        <v>150</v>
      </c>
      <c r="B2312" s="1537" t="e">
        <f>VLOOKUP(D2312,'[2]DS CN MOI UP'!$B$11:$C$447,2,0)</f>
        <v>#N/A</v>
      </c>
      <c r="C2312" s="1538"/>
      <c r="D2312" s="166" t="s">
        <v>1732</v>
      </c>
      <c r="E2312" s="1468" t="s">
        <v>15</v>
      </c>
      <c r="F2312" s="1468"/>
      <c r="G2312" s="1540">
        <v>705000</v>
      </c>
      <c r="H2312" s="1540">
        <v>436874.00809438498</v>
      </c>
      <c r="I2312" s="1540"/>
      <c r="J2312" s="1466">
        <f t="shared" si="93"/>
        <v>1141874.0080943899</v>
      </c>
      <c r="K2312" s="1466"/>
      <c r="L2312" s="1466"/>
      <c r="M2312" s="1540">
        <f t="shared" si="94"/>
        <v>1141874.0080943899</v>
      </c>
      <c r="N2312" s="166"/>
    </row>
    <row r="2313" spans="1:14" s="540" customFormat="1" ht="14.25" customHeight="1">
      <c r="A2313" s="1536">
        <v>151</v>
      </c>
      <c r="B2313" s="1537" t="e">
        <f>VLOOKUP(D2313,'[2]DS CN MOI UP'!$B$11:$C$447,2,0)</f>
        <v>#N/A</v>
      </c>
      <c r="C2313" s="1538"/>
      <c r="D2313" s="166" t="s">
        <v>1733</v>
      </c>
      <c r="E2313" s="1468" t="s">
        <v>15</v>
      </c>
      <c r="F2313" s="1468"/>
      <c r="G2313" s="1540">
        <v>40000</v>
      </c>
      <c r="H2313" s="1540">
        <v>554373.09900000005</v>
      </c>
      <c r="I2313" s="1540"/>
      <c r="J2313" s="1466">
        <f t="shared" si="93"/>
        <v>594373.09900000005</v>
      </c>
      <c r="K2313" s="1466"/>
      <c r="L2313" s="1466"/>
      <c r="M2313" s="1540">
        <f t="shared" si="94"/>
        <v>594373.09900000005</v>
      </c>
      <c r="N2313" s="166"/>
    </row>
    <row r="2314" spans="1:14" s="540" customFormat="1" ht="14.25" customHeight="1">
      <c r="A2314" s="1536">
        <v>152</v>
      </c>
      <c r="B2314" s="1537" t="e">
        <f>VLOOKUP(D2314,'[2]DS CN MOI UP'!$B$11:$C$447,2,0)</f>
        <v>#N/A</v>
      </c>
      <c r="C2314" s="1538"/>
      <c r="D2314" s="166" t="s">
        <v>1734</v>
      </c>
      <c r="E2314" s="1468" t="s">
        <v>15</v>
      </c>
      <c r="F2314" s="1468"/>
      <c r="G2314" s="1540">
        <v>705000</v>
      </c>
      <c r="H2314" s="1540">
        <v>436874.00809438498</v>
      </c>
      <c r="I2314" s="1540"/>
      <c r="J2314" s="1466">
        <f t="shared" si="93"/>
        <v>1141874.0080943899</v>
      </c>
      <c r="K2314" s="1466"/>
      <c r="L2314" s="1466"/>
      <c r="M2314" s="1540">
        <f t="shared" si="94"/>
        <v>1141874.0080943899</v>
      </c>
      <c r="N2314" s="166"/>
    </row>
    <row r="2315" spans="1:14" s="540" customFormat="1" ht="14.25" customHeight="1">
      <c r="A2315" s="1536">
        <v>153</v>
      </c>
      <c r="B2315" s="1537" t="e">
        <f>VLOOKUP(D2315,'[2]DS CN MOI UP'!$B$11:$C$447,2,0)</f>
        <v>#N/A</v>
      </c>
      <c r="C2315" s="1538"/>
      <c r="D2315" s="166" t="s">
        <v>837</v>
      </c>
      <c r="E2315" s="1468" t="s">
        <v>15</v>
      </c>
      <c r="F2315" s="1468"/>
      <c r="G2315" s="1540">
        <v>600500</v>
      </c>
      <c r="H2315" s="1540">
        <v>436874.00809438498</v>
      </c>
      <c r="I2315" s="1540"/>
      <c r="J2315" s="1466">
        <f t="shared" si="93"/>
        <v>1037374.00809439</v>
      </c>
      <c r="K2315" s="1466"/>
      <c r="L2315" s="1466"/>
      <c r="M2315" s="1540">
        <f t="shared" si="94"/>
        <v>1037374.00809439</v>
      </c>
      <c r="N2315" s="166"/>
    </row>
    <row r="2316" spans="1:14" s="540" customFormat="1" ht="14.25" customHeight="1">
      <c r="A2316" s="1536">
        <v>154</v>
      </c>
      <c r="B2316" s="1537" t="e">
        <f>VLOOKUP(D2316,'[2]DS CN MOI UP'!$B$11:$C$447,2,0)</f>
        <v>#N/A</v>
      </c>
      <c r="C2316" s="1538"/>
      <c r="D2316" s="166" t="s">
        <v>1735</v>
      </c>
      <c r="E2316" s="1468" t="s">
        <v>15</v>
      </c>
      <c r="F2316" s="1468"/>
      <c r="G2316" s="1540">
        <v>544338.9</v>
      </c>
      <c r="H2316" s="1540">
        <v>436874.00809438498</v>
      </c>
      <c r="I2316" s="1466"/>
      <c r="J2316" s="1466">
        <f t="shared" si="93"/>
        <v>981212.90809438506</v>
      </c>
      <c r="K2316" s="1466"/>
      <c r="L2316" s="1466"/>
      <c r="M2316" s="1540">
        <f t="shared" si="94"/>
        <v>981212.90809438506</v>
      </c>
      <c r="N2316" s="166"/>
    </row>
    <row r="2317" spans="1:14" s="540" customFormat="1" ht="14.25" customHeight="1">
      <c r="A2317" s="1536">
        <v>155</v>
      </c>
      <c r="B2317" s="1537" t="e">
        <f>VLOOKUP(D2317,'[2]DS CN MOI UP'!$B$11:$C$447,2,0)</f>
        <v>#N/A</v>
      </c>
      <c r="C2317" s="1538"/>
      <c r="D2317" s="166" t="s">
        <v>1736</v>
      </c>
      <c r="E2317" s="1468" t="s">
        <v>15</v>
      </c>
      <c r="F2317" s="1468"/>
      <c r="G2317" s="1540">
        <v>574572.66299999994</v>
      </c>
      <c r="H2317" s="1540">
        <v>436874.00809438498</v>
      </c>
      <c r="I2317" s="1466"/>
      <c r="J2317" s="1466">
        <f t="shared" si="93"/>
        <v>1011446.67109438</v>
      </c>
      <c r="K2317" s="1466"/>
      <c r="L2317" s="1466"/>
      <c r="M2317" s="1540">
        <f t="shared" si="94"/>
        <v>1011446.67109438</v>
      </c>
      <c r="N2317" s="166"/>
    </row>
    <row r="2318" spans="1:14" s="540" customFormat="1" ht="14.25" customHeight="1">
      <c r="A2318" s="1536">
        <v>156</v>
      </c>
      <c r="B2318" s="1537" t="e">
        <f>VLOOKUP(D2318,'[2]DS CN MOI UP'!$B$11:$C$447,2,0)</f>
        <v>#N/A</v>
      </c>
      <c r="C2318" s="1538"/>
      <c r="D2318" s="166" t="s">
        <v>1737</v>
      </c>
      <c r="E2318" s="1468" t="s">
        <v>15</v>
      </c>
      <c r="F2318" s="1468"/>
      <c r="G2318" s="1540">
        <v>604806.42599999998</v>
      </c>
      <c r="H2318" s="1540">
        <v>436874.00809438498</v>
      </c>
      <c r="I2318" s="1540"/>
      <c r="J2318" s="1466">
        <f t="shared" si="93"/>
        <v>1041680.43409439</v>
      </c>
      <c r="K2318" s="1466"/>
      <c r="L2318" s="1466"/>
      <c r="M2318" s="1540">
        <f t="shared" si="94"/>
        <v>1041680.43409439</v>
      </c>
      <c r="N2318" s="166"/>
    </row>
    <row r="2319" spans="1:14" s="540" customFormat="1" ht="14.25" customHeight="1">
      <c r="A2319" s="1536">
        <v>157</v>
      </c>
      <c r="B2319" s="1537" t="e">
        <f>VLOOKUP(D2319,'[2]DS CN MOI UP'!$B$11:$C$447,2,0)</f>
        <v>#N/A</v>
      </c>
      <c r="C2319" s="1538"/>
      <c r="D2319" s="166" t="s">
        <v>1738</v>
      </c>
      <c r="E2319" s="1468" t="s">
        <v>15</v>
      </c>
      <c r="F2319" s="1468"/>
      <c r="G2319" s="1540">
        <v>584606.86199999996</v>
      </c>
      <c r="H2319" s="1540">
        <v>436874.00809438498</v>
      </c>
      <c r="I2319" s="1540"/>
      <c r="J2319" s="1466">
        <f t="shared" si="93"/>
        <v>1021480.87009438</v>
      </c>
      <c r="K2319" s="1466"/>
      <c r="L2319" s="1466"/>
      <c r="M2319" s="1540">
        <f t="shared" si="94"/>
        <v>1021480.87009438</v>
      </c>
      <c r="N2319" s="166"/>
    </row>
    <row r="2320" spans="1:14" s="540" customFormat="1" ht="14.25" customHeight="1">
      <c r="A2320" s="1536">
        <v>158</v>
      </c>
      <c r="B2320" s="1537" t="e">
        <f>VLOOKUP(D2320,'[2]DS CN MOI UP'!$B$11:$C$447,2,0)</f>
        <v>#N/A</v>
      </c>
      <c r="C2320" s="1538"/>
      <c r="D2320" s="166" t="s">
        <v>1739</v>
      </c>
      <c r="E2320" s="1468" t="s">
        <v>15</v>
      </c>
      <c r="F2320" s="1468"/>
      <c r="G2320" s="1540">
        <v>635040.18900000001</v>
      </c>
      <c r="H2320" s="1540">
        <v>436874.00809438498</v>
      </c>
      <c r="I2320" s="1540"/>
      <c r="J2320" s="1466">
        <f t="shared" si="93"/>
        <v>1071914.1970943899</v>
      </c>
      <c r="K2320" s="1466"/>
      <c r="L2320" s="1466"/>
      <c r="M2320" s="1540">
        <f t="shared" si="94"/>
        <v>1071914.1970943899</v>
      </c>
      <c r="N2320" s="166"/>
    </row>
    <row r="2321" spans="1:14" s="540" customFormat="1" ht="14.25" customHeight="1">
      <c r="A2321" s="1536">
        <v>159</v>
      </c>
      <c r="B2321" s="1537" t="e">
        <f>VLOOKUP(D2321,'[2]DS CN MOI UP'!$B$11:$C$447,2,0)</f>
        <v>#N/A</v>
      </c>
      <c r="C2321" s="1538"/>
      <c r="D2321" s="166" t="s">
        <v>1740</v>
      </c>
      <c r="E2321" s="1468" t="s">
        <v>15</v>
      </c>
      <c r="F2321" s="1468"/>
      <c r="G2321" s="1540">
        <v>524139.33600000001</v>
      </c>
      <c r="H2321" s="1540">
        <v>436874.00809438498</v>
      </c>
      <c r="I2321" s="1540"/>
      <c r="J2321" s="1466">
        <f t="shared" si="93"/>
        <v>961013.34409438504</v>
      </c>
      <c r="K2321" s="1466"/>
      <c r="L2321" s="1466"/>
      <c r="M2321" s="1540">
        <f t="shared" si="94"/>
        <v>961013.34409438504</v>
      </c>
      <c r="N2321" s="166"/>
    </row>
    <row r="2322" spans="1:14" s="540" customFormat="1" ht="14.25" customHeight="1">
      <c r="A2322" s="1536">
        <v>160</v>
      </c>
      <c r="B2322" s="1537" t="e">
        <f>VLOOKUP(D2322,'[2]DS CN MOI UP'!$B$11:$C$447,2,0)</f>
        <v>#N/A</v>
      </c>
      <c r="C2322" s="1538"/>
      <c r="D2322" s="166" t="s">
        <v>1741</v>
      </c>
      <c r="E2322" s="1468" t="s">
        <v>15</v>
      </c>
      <c r="F2322" s="1468"/>
      <c r="G2322" s="1540">
        <v>635040.18900000001</v>
      </c>
      <c r="H2322" s="1540">
        <v>436874.00809438498</v>
      </c>
      <c r="I2322" s="1540"/>
      <c r="J2322" s="1466">
        <f t="shared" si="93"/>
        <v>1071914.1970943899</v>
      </c>
      <c r="K2322" s="1466"/>
      <c r="L2322" s="1466"/>
      <c r="M2322" s="1540">
        <f t="shared" si="94"/>
        <v>1071914.1970943899</v>
      </c>
      <c r="N2322" s="166"/>
    </row>
    <row r="2323" spans="1:14" s="540" customFormat="1" ht="14.25" customHeight="1">
      <c r="A2323" s="1536">
        <v>161</v>
      </c>
      <c r="B2323" s="1537" t="e">
        <f>VLOOKUP(D2323,'[2]DS CN MOI UP'!$B$11:$C$447,2,0)</f>
        <v>#N/A</v>
      </c>
      <c r="C2323" s="1538"/>
      <c r="D2323" s="166" t="s">
        <v>1742</v>
      </c>
      <c r="E2323" s="1468" t="s">
        <v>15</v>
      </c>
      <c r="F2323" s="1468"/>
      <c r="G2323" s="1540">
        <v>635040.18900000001</v>
      </c>
      <c r="H2323" s="1540">
        <v>436874.00809438498</v>
      </c>
      <c r="I2323" s="1540"/>
      <c r="J2323" s="1466">
        <f t="shared" si="93"/>
        <v>1071914.1970943899</v>
      </c>
      <c r="K2323" s="1466"/>
      <c r="L2323" s="1466"/>
      <c r="M2323" s="1540">
        <f t="shared" si="94"/>
        <v>1071914.1970943899</v>
      </c>
      <c r="N2323" s="166"/>
    </row>
    <row r="2324" spans="1:14" s="540" customFormat="1" ht="14.25" customHeight="1">
      <c r="A2324" s="1536">
        <v>162</v>
      </c>
      <c r="B2324" s="1537" t="e">
        <f>VLOOKUP(D2324,'[2]DS CN MOI UP'!$B$11:$C$447,2,0)</f>
        <v>#N/A</v>
      </c>
      <c r="C2324" s="1538"/>
      <c r="D2324" s="166" t="s">
        <v>1743</v>
      </c>
      <c r="E2324" s="1468" t="s">
        <v>15</v>
      </c>
      <c r="F2324" s="1468"/>
      <c r="G2324" s="1540">
        <v>554373.09900000005</v>
      </c>
      <c r="H2324" s="1540">
        <v>436874.00809438498</v>
      </c>
      <c r="I2324" s="1540"/>
      <c r="J2324" s="1466">
        <f t="shared" si="93"/>
        <v>991247.10709438496</v>
      </c>
      <c r="K2324" s="1466"/>
      <c r="L2324" s="1466"/>
      <c r="M2324" s="1540">
        <f t="shared" si="94"/>
        <v>991247.10709438496</v>
      </c>
      <c r="N2324" s="166"/>
    </row>
    <row r="2325" spans="1:14" s="540" customFormat="1" ht="14.25" customHeight="1">
      <c r="A2325" s="1536">
        <v>163</v>
      </c>
      <c r="B2325" s="1537" t="e">
        <f>VLOOKUP(D2325,'[2]DS CN MOI UP'!$B$11:$C$447,2,0)</f>
        <v>#N/A</v>
      </c>
      <c r="C2325" s="1538"/>
      <c r="D2325" s="166" t="s">
        <v>1744</v>
      </c>
      <c r="E2325" s="1468" t="s">
        <v>15</v>
      </c>
      <c r="F2325" s="1468"/>
      <c r="G2325" s="1540">
        <v>544338.9</v>
      </c>
      <c r="H2325" s="1540">
        <v>436874.00809438498</v>
      </c>
      <c r="I2325" s="1466"/>
      <c r="J2325" s="1466">
        <f t="shared" si="93"/>
        <v>981212.90809438506</v>
      </c>
      <c r="K2325" s="1466"/>
      <c r="L2325" s="1466"/>
      <c r="M2325" s="1540">
        <f t="shared" si="94"/>
        <v>981212.90809438506</v>
      </c>
      <c r="N2325" s="166"/>
    </row>
    <row r="2326" spans="1:14" s="540" customFormat="1" ht="14.25" customHeight="1">
      <c r="A2326" s="1536">
        <v>164</v>
      </c>
      <c r="B2326" s="1537" t="e">
        <f>VLOOKUP(D2326,'[2]DS CN MOI UP'!$B$11:$C$447,2,0)</f>
        <v>#N/A</v>
      </c>
      <c r="C2326" s="1538"/>
      <c r="D2326" s="166" t="s">
        <v>780</v>
      </c>
      <c r="E2326" s="1468" t="s">
        <v>15</v>
      </c>
      <c r="F2326" s="1468"/>
      <c r="G2326" s="1540">
        <v>574572.66299999994</v>
      </c>
      <c r="H2326" s="1540">
        <v>436874.00809438498</v>
      </c>
      <c r="I2326" s="1466"/>
      <c r="J2326" s="1466">
        <f t="shared" si="93"/>
        <v>1011446.67109438</v>
      </c>
      <c r="K2326" s="1466"/>
      <c r="L2326" s="1466"/>
      <c r="M2326" s="1540">
        <f t="shared" si="94"/>
        <v>1011446.67109438</v>
      </c>
      <c r="N2326" s="166"/>
    </row>
    <row r="2327" spans="1:14" s="540" customFormat="1" ht="14.25" customHeight="1">
      <c r="A2327" s="1536">
        <v>165</v>
      </c>
      <c r="B2327" s="1537" t="e">
        <f>VLOOKUP(D2327,'[2]DS CN MOI UP'!$B$11:$C$447,2,0)</f>
        <v>#N/A</v>
      </c>
      <c r="C2327" s="1538"/>
      <c r="D2327" s="166" t="s">
        <v>781</v>
      </c>
      <c r="E2327" s="1468" t="s">
        <v>15</v>
      </c>
      <c r="F2327" s="1468"/>
      <c r="G2327" s="1540">
        <v>604806.42599999998</v>
      </c>
      <c r="H2327" s="1540">
        <v>436874.00809438498</v>
      </c>
      <c r="I2327" s="1540"/>
      <c r="J2327" s="1466">
        <f t="shared" si="93"/>
        <v>1041680.43409439</v>
      </c>
      <c r="K2327" s="1466"/>
      <c r="L2327" s="1466"/>
      <c r="M2327" s="1540">
        <f t="shared" si="94"/>
        <v>1041680.43409439</v>
      </c>
      <c r="N2327" s="166"/>
    </row>
    <row r="2328" spans="1:14" s="540" customFormat="1" ht="14.25" customHeight="1">
      <c r="A2328" s="1536">
        <v>166</v>
      </c>
      <c r="B2328" s="1537" t="e">
        <f>VLOOKUP(D2328,'[2]DS CN MOI UP'!$B$11:$C$447,2,0)</f>
        <v>#N/A</v>
      </c>
      <c r="C2328" s="1538"/>
      <c r="D2328" s="166" t="s">
        <v>1745</v>
      </c>
      <c r="E2328" s="1468" t="s">
        <v>15</v>
      </c>
      <c r="F2328" s="1468"/>
      <c r="G2328" s="1540">
        <v>584606.86199999996</v>
      </c>
      <c r="H2328" s="1540">
        <v>436874.00809438498</v>
      </c>
      <c r="I2328" s="1540"/>
      <c r="J2328" s="1466">
        <f t="shared" si="93"/>
        <v>1021480.87009438</v>
      </c>
      <c r="K2328" s="1466"/>
      <c r="L2328" s="1466"/>
      <c r="M2328" s="1540">
        <f t="shared" si="94"/>
        <v>1021480.87009438</v>
      </c>
      <c r="N2328" s="166"/>
    </row>
    <row r="2329" spans="1:14" s="540" customFormat="1" ht="14.25" customHeight="1">
      <c r="A2329" s="1536">
        <v>167</v>
      </c>
      <c r="B2329" s="1537" t="e">
        <f>VLOOKUP(D2329,'[2]DS CN MOI UP'!$B$11:$C$447,2,0)</f>
        <v>#N/A</v>
      </c>
      <c r="C2329" s="1538"/>
      <c r="D2329" s="166" t="s">
        <v>1746</v>
      </c>
      <c r="E2329" s="1468" t="s">
        <v>15</v>
      </c>
      <c r="F2329" s="1468"/>
      <c r="G2329" s="1540">
        <v>635040.18900000001</v>
      </c>
      <c r="H2329" s="1540">
        <v>436874.00809438498</v>
      </c>
      <c r="I2329" s="1540"/>
      <c r="J2329" s="1466">
        <f t="shared" si="93"/>
        <v>1071914.1970943899</v>
      </c>
      <c r="K2329" s="1466"/>
      <c r="L2329" s="1466"/>
      <c r="M2329" s="1540">
        <f t="shared" si="94"/>
        <v>1071914.1970943899</v>
      </c>
      <c r="N2329" s="166"/>
    </row>
    <row r="2330" spans="1:14" s="540" customFormat="1" ht="14.25" customHeight="1">
      <c r="A2330" s="1536">
        <v>168</v>
      </c>
      <c r="B2330" s="1537" t="e">
        <f>VLOOKUP(D2330,'[2]DS CN MOI UP'!$B$11:$C$447,2,0)</f>
        <v>#N/A</v>
      </c>
      <c r="C2330" s="1538"/>
      <c r="D2330" s="166" t="s">
        <v>1747</v>
      </c>
      <c r="E2330" s="1468" t="s">
        <v>15</v>
      </c>
      <c r="F2330" s="1468"/>
      <c r="G2330" s="1540">
        <v>524139.33600000001</v>
      </c>
      <c r="H2330" s="1540">
        <v>436874.00809438498</v>
      </c>
      <c r="I2330" s="1540"/>
      <c r="J2330" s="1466">
        <f t="shared" si="93"/>
        <v>961013.34409438504</v>
      </c>
      <c r="K2330" s="1466"/>
      <c r="L2330" s="1466"/>
      <c r="M2330" s="1540">
        <f t="shared" si="94"/>
        <v>961013.34409438504</v>
      </c>
      <c r="N2330" s="166"/>
    </row>
    <row r="2331" spans="1:14" s="540" customFormat="1" ht="14.25" customHeight="1">
      <c r="A2331" s="1536">
        <v>169</v>
      </c>
      <c r="B2331" s="1537" t="e">
        <f>VLOOKUP(D2331,'[2]DS CN MOI UP'!$B$11:$C$447,2,0)</f>
        <v>#N/A</v>
      </c>
      <c r="C2331" s="1538"/>
      <c r="D2331" s="166" t="s">
        <v>1610</v>
      </c>
      <c r="E2331" s="1468" t="s">
        <v>15</v>
      </c>
      <c r="F2331" s="1468"/>
      <c r="G2331" s="1540">
        <v>635040.18900000001</v>
      </c>
      <c r="H2331" s="1540">
        <v>436874.00809438498</v>
      </c>
      <c r="I2331" s="1540"/>
      <c r="J2331" s="1466">
        <f t="shared" si="93"/>
        <v>1071914.1970943899</v>
      </c>
      <c r="K2331" s="1466"/>
      <c r="L2331" s="1466"/>
      <c r="M2331" s="1540">
        <f t="shared" si="94"/>
        <v>1071914.1970943899</v>
      </c>
      <c r="N2331" s="166"/>
    </row>
    <row r="2332" spans="1:14" s="540" customFormat="1" ht="14.25" customHeight="1">
      <c r="A2332" s="1536">
        <v>170</v>
      </c>
      <c r="B2332" s="1537" t="e">
        <f>VLOOKUP(D2332,'[2]DS CN MOI UP'!$B$11:$C$447,2,0)</f>
        <v>#N/A</v>
      </c>
      <c r="C2332" s="1538"/>
      <c r="D2332" s="166" t="s">
        <v>782</v>
      </c>
      <c r="E2332" s="1468" t="s">
        <v>15</v>
      </c>
      <c r="F2332" s="1468"/>
      <c r="G2332" s="1540">
        <v>635040.18900000001</v>
      </c>
      <c r="H2332" s="1540">
        <v>436874.00809438498</v>
      </c>
      <c r="I2332" s="1540"/>
      <c r="J2332" s="1466">
        <f t="shared" si="93"/>
        <v>1071914.1970943899</v>
      </c>
      <c r="K2332" s="1466"/>
      <c r="L2332" s="1466"/>
      <c r="M2332" s="1540">
        <f t="shared" si="94"/>
        <v>1071914.1970943899</v>
      </c>
      <c r="N2332" s="166"/>
    </row>
    <row r="2333" spans="1:14" s="540" customFormat="1" ht="14.25" customHeight="1">
      <c r="A2333" s="1536">
        <v>171</v>
      </c>
      <c r="B2333" s="1537" t="e">
        <f>VLOOKUP(D2333,'[2]DS CN MOI UP'!$B$11:$C$447,2,0)</f>
        <v>#N/A</v>
      </c>
      <c r="C2333" s="1538"/>
      <c r="D2333" s="166" t="s">
        <v>1613</v>
      </c>
      <c r="E2333" s="1468" t="s">
        <v>15</v>
      </c>
      <c r="F2333" s="1468"/>
      <c r="G2333" s="1540">
        <v>554373.09900000005</v>
      </c>
      <c r="H2333" s="1540">
        <v>436874.00809438498</v>
      </c>
      <c r="I2333" s="1540"/>
      <c r="J2333" s="1466">
        <f t="shared" si="93"/>
        <v>991247.10709438496</v>
      </c>
      <c r="K2333" s="1466"/>
      <c r="L2333" s="1466"/>
      <c r="M2333" s="1540">
        <f t="shared" si="94"/>
        <v>991247.10709438496</v>
      </c>
      <c r="N2333" s="166"/>
    </row>
    <row r="2334" spans="1:14" s="540" customFormat="1" ht="14.25" customHeight="1">
      <c r="A2334" s="1536">
        <v>172</v>
      </c>
      <c r="B2334" s="1537" t="e">
        <f>VLOOKUP(D2334,'[2]DS CN MOI UP'!$B$11:$C$447,2,0)</f>
        <v>#N/A</v>
      </c>
      <c r="C2334" s="1538"/>
      <c r="D2334" s="166" t="s">
        <v>1615</v>
      </c>
      <c r="E2334" s="1468" t="s">
        <v>15</v>
      </c>
      <c r="F2334" s="1468"/>
      <c r="G2334" s="1540">
        <v>544338.9</v>
      </c>
      <c r="H2334" s="1540">
        <v>436874.00809438498</v>
      </c>
      <c r="I2334" s="1466"/>
      <c r="J2334" s="1466">
        <f t="shared" si="93"/>
        <v>981212.90809438506</v>
      </c>
      <c r="K2334" s="1466"/>
      <c r="L2334" s="1466"/>
      <c r="M2334" s="1540">
        <f t="shared" si="94"/>
        <v>981212.90809438506</v>
      </c>
      <c r="N2334" s="166"/>
    </row>
    <row r="2335" spans="1:14" s="540" customFormat="1" ht="14.25" customHeight="1">
      <c r="A2335" s="1536">
        <v>173</v>
      </c>
      <c r="B2335" s="1537" t="e">
        <f>VLOOKUP(D2335,'[2]DS CN MOI UP'!$B$11:$C$447,2,0)</f>
        <v>#N/A</v>
      </c>
      <c r="C2335" s="1538"/>
      <c r="D2335" s="166" t="s">
        <v>1617</v>
      </c>
      <c r="E2335" s="1468" t="s">
        <v>15</v>
      </c>
      <c r="F2335" s="1468"/>
      <c r="G2335" s="1540">
        <v>574572.66299999994</v>
      </c>
      <c r="H2335" s="1540">
        <v>436874.00809438498</v>
      </c>
      <c r="I2335" s="1466"/>
      <c r="J2335" s="1466">
        <f t="shared" si="93"/>
        <v>1011446.67109438</v>
      </c>
      <c r="K2335" s="1466"/>
      <c r="L2335" s="1466"/>
      <c r="M2335" s="1540">
        <f t="shared" si="94"/>
        <v>1011446.67109438</v>
      </c>
      <c r="N2335" s="166"/>
    </row>
    <row r="2336" spans="1:14" s="540" customFormat="1" ht="14.25" customHeight="1">
      <c r="A2336" s="1536">
        <v>174</v>
      </c>
      <c r="B2336" s="1537" t="e">
        <f>VLOOKUP(D2336,'[2]DS CN MOI UP'!$B$11:$C$447,2,0)</f>
        <v>#N/A</v>
      </c>
      <c r="C2336" s="1538"/>
      <c r="D2336" s="166" t="s">
        <v>1619</v>
      </c>
      <c r="E2336" s="1468" t="s">
        <v>15</v>
      </c>
      <c r="F2336" s="1468"/>
      <c r="G2336" s="1540">
        <v>604806.42599999998</v>
      </c>
      <c r="H2336" s="1540">
        <v>436874.00809438498</v>
      </c>
      <c r="I2336" s="1540"/>
      <c r="J2336" s="1466">
        <f t="shared" si="93"/>
        <v>1041680.43409439</v>
      </c>
      <c r="K2336" s="1466"/>
      <c r="L2336" s="1466"/>
      <c r="M2336" s="1540">
        <f t="shared" si="94"/>
        <v>1041680.43409439</v>
      </c>
      <c r="N2336" s="166"/>
    </row>
    <row r="2337" spans="1:14" s="540" customFormat="1" ht="14.25" customHeight="1">
      <c r="A2337" s="1536">
        <v>175</v>
      </c>
      <c r="B2337" s="1537" t="e">
        <f>VLOOKUP(D2337,'[2]DS CN MOI UP'!$B$11:$C$447,2,0)</f>
        <v>#N/A</v>
      </c>
      <c r="C2337" s="1538"/>
      <c r="D2337" s="166" t="s">
        <v>1621</v>
      </c>
      <c r="E2337" s="1468" t="s">
        <v>15</v>
      </c>
      <c r="F2337" s="1468"/>
      <c r="G2337" s="1540">
        <v>585322.51162245497</v>
      </c>
      <c r="H2337" s="1540">
        <v>436874.00809438498</v>
      </c>
      <c r="I2337" s="1540"/>
      <c r="J2337" s="1466">
        <f t="shared" si="93"/>
        <v>1022196.51971684</v>
      </c>
      <c r="K2337" s="1466"/>
      <c r="L2337" s="1466"/>
      <c r="M2337" s="1540">
        <f t="shared" si="94"/>
        <v>1022196.51971684</v>
      </c>
      <c r="N2337" s="166"/>
    </row>
    <row r="2338" spans="1:14" s="540" customFormat="1" ht="14.25" customHeight="1">
      <c r="A2338" s="1536">
        <v>176</v>
      </c>
      <c r="B2338" s="1537" t="e">
        <f>VLOOKUP(D2338,'[2]DS CN MOI UP'!$B$11:$C$447,2,0)</f>
        <v>#N/A</v>
      </c>
      <c r="C2338" s="1538"/>
      <c r="D2338" s="166" t="s">
        <v>1623</v>
      </c>
      <c r="E2338" s="1468" t="s">
        <v>15</v>
      </c>
      <c r="F2338" s="1468"/>
      <c r="G2338" s="1540">
        <v>635040.18900000001</v>
      </c>
      <c r="H2338" s="1540">
        <v>436874.00809438498</v>
      </c>
      <c r="I2338" s="1540"/>
      <c r="J2338" s="1466">
        <f t="shared" si="93"/>
        <v>1071914.1970943899</v>
      </c>
      <c r="K2338" s="1466"/>
      <c r="L2338" s="1466"/>
      <c r="M2338" s="1540">
        <f t="shared" si="94"/>
        <v>1071914.1970943899</v>
      </c>
      <c r="N2338" s="166"/>
    </row>
    <row r="2339" spans="1:14" s="540" customFormat="1" ht="14.25" customHeight="1">
      <c r="A2339" s="1536">
        <v>177</v>
      </c>
      <c r="B2339" s="1537" t="e">
        <f>VLOOKUP(D2339,'[2]DS CN MOI UP'!$B$11:$C$447,2,0)</f>
        <v>#N/A</v>
      </c>
      <c r="C2339" s="1538"/>
      <c r="D2339" s="166" t="s">
        <v>794</v>
      </c>
      <c r="E2339" s="1468" t="s">
        <v>15</v>
      </c>
      <c r="F2339" s="1468"/>
      <c r="G2339" s="1540"/>
      <c r="H2339" s="1540">
        <v>1239846.615</v>
      </c>
      <c r="I2339" s="1540"/>
      <c r="J2339" s="1466">
        <f t="shared" si="93"/>
        <v>1239846.615</v>
      </c>
      <c r="K2339" s="1466"/>
      <c r="L2339" s="1466"/>
      <c r="M2339" s="1540">
        <f t="shared" si="94"/>
        <v>1239846.615</v>
      </c>
      <c r="N2339" s="166"/>
    </row>
    <row r="2340" spans="1:14" s="540" customFormat="1" ht="14.25" customHeight="1">
      <c r="A2340" s="1536">
        <v>178</v>
      </c>
      <c r="B2340" s="1537" t="e">
        <f>VLOOKUP(D2340,'[2]DS CN MOI UP'!$B$11:$C$447,2,0)</f>
        <v>#N/A</v>
      </c>
      <c r="C2340" s="1538"/>
      <c r="D2340" s="166" t="s">
        <v>1626</v>
      </c>
      <c r="E2340" s="1468" t="s">
        <v>15</v>
      </c>
      <c r="F2340" s="1468"/>
      <c r="G2340" s="1540"/>
      <c r="H2340" s="1540">
        <v>1149145.3259999999</v>
      </c>
      <c r="I2340" s="1540"/>
      <c r="J2340" s="1466">
        <f t="shared" si="93"/>
        <v>1149145.3259999999</v>
      </c>
      <c r="K2340" s="1466"/>
      <c r="L2340" s="1466"/>
      <c r="M2340" s="1540">
        <f t="shared" si="94"/>
        <v>1149145.3259999999</v>
      </c>
      <c r="N2340" s="166"/>
    </row>
    <row r="2341" spans="1:14" s="540" customFormat="1" ht="14.25" customHeight="1">
      <c r="A2341" s="1536">
        <v>179</v>
      </c>
      <c r="B2341" s="1537" t="e">
        <f>VLOOKUP(D2341,'[2]DS CN MOI UP'!$B$11:$C$447,2,0)</f>
        <v>#N/A</v>
      </c>
      <c r="C2341" s="1538"/>
      <c r="D2341" s="166" t="s">
        <v>1464</v>
      </c>
      <c r="E2341" s="1468" t="s">
        <v>15</v>
      </c>
      <c r="F2341" s="1468"/>
      <c r="G2341" s="1540"/>
      <c r="H2341" s="1540">
        <v>1159179.5249999999</v>
      </c>
      <c r="I2341" s="1540"/>
      <c r="J2341" s="1466">
        <f t="shared" si="93"/>
        <v>1159179.5249999999</v>
      </c>
      <c r="K2341" s="1466"/>
      <c r="L2341" s="1466"/>
      <c r="M2341" s="1540">
        <f t="shared" si="94"/>
        <v>1159179.5249999999</v>
      </c>
      <c r="N2341" s="166"/>
    </row>
    <row r="2342" spans="1:14" s="540" customFormat="1" ht="14.25" customHeight="1">
      <c r="A2342" s="1536">
        <v>180</v>
      </c>
      <c r="B2342" s="1537" t="e">
        <f>VLOOKUP(D2342,'[2]DS CN MOI UP'!$B$11:$C$447,2,0)</f>
        <v>#N/A</v>
      </c>
      <c r="C2342" s="1538"/>
      <c r="D2342" s="166" t="s">
        <v>1629</v>
      </c>
      <c r="E2342" s="1468" t="s">
        <v>15</v>
      </c>
      <c r="F2342" s="1468"/>
      <c r="G2342" s="1540"/>
      <c r="H2342" s="1540">
        <v>1239846.615</v>
      </c>
      <c r="I2342" s="1540"/>
      <c r="J2342" s="1466">
        <f t="shared" si="93"/>
        <v>1239846.615</v>
      </c>
      <c r="K2342" s="1466"/>
      <c r="L2342" s="1466"/>
      <c r="M2342" s="1540">
        <f t="shared" si="94"/>
        <v>1239846.615</v>
      </c>
      <c r="N2342" s="166"/>
    </row>
    <row r="2343" spans="1:14" s="540" customFormat="1" ht="14.25" customHeight="1">
      <c r="A2343" s="1536">
        <v>181</v>
      </c>
      <c r="B2343" s="1537" t="e">
        <f>VLOOKUP(D2343,'[2]DS CN MOI UP'!$B$11:$C$447,2,0)</f>
        <v>#N/A</v>
      </c>
      <c r="C2343" s="1538"/>
      <c r="D2343" s="166" t="s">
        <v>1630</v>
      </c>
      <c r="E2343" s="1468" t="s">
        <v>15</v>
      </c>
      <c r="F2343" s="1468"/>
      <c r="G2343" s="1540"/>
      <c r="H2343" s="1540">
        <v>1149145.3259999999</v>
      </c>
      <c r="I2343" s="1540"/>
      <c r="J2343" s="1466">
        <f t="shared" si="93"/>
        <v>1149145.3259999999</v>
      </c>
      <c r="K2343" s="1466"/>
      <c r="L2343" s="1466"/>
      <c r="M2343" s="1540">
        <f t="shared" si="94"/>
        <v>1149145.3259999999</v>
      </c>
      <c r="N2343" s="166"/>
    </row>
    <row r="2344" spans="1:14" s="540" customFormat="1" ht="14.25" customHeight="1">
      <c r="A2344" s="1536">
        <v>182</v>
      </c>
      <c r="B2344" s="1537" t="e">
        <f>VLOOKUP(D2344,'[2]DS CN MOI UP'!$B$11:$C$447,2,0)</f>
        <v>#N/A</v>
      </c>
      <c r="C2344" s="1538"/>
      <c r="D2344" s="166" t="s">
        <v>1631</v>
      </c>
      <c r="E2344" s="1468" t="s">
        <v>15</v>
      </c>
      <c r="F2344" s="1468"/>
      <c r="G2344" s="1540"/>
      <c r="H2344" s="1540">
        <v>1229038.53819991</v>
      </c>
      <c r="I2344" s="1540"/>
      <c r="J2344" s="1466">
        <f t="shared" si="93"/>
        <v>1229038.53819991</v>
      </c>
      <c r="K2344" s="1466"/>
      <c r="L2344" s="1466"/>
      <c r="M2344" s="1540">
        <f t="shared" si="94"/>
        <v>1229038.53819991</v>
      </c>
      <c r="N2344" s="166"/>
    </row>
    <row r="2345" spans="1:14" s="540" customFormat="1" ht="14.25" customHeight="1">
      <c r="A2345" s="1536">
        <v>183</v>
      </c>
      <c r="B2345" s="1537" t="e">
        <f>VLOOKUP(D2345,'[2]DS CN MOI UP'!$B$11:$C$447,2,0)</f>
        <v>#N/A</v>
      </c>
      <c r="C2345" s="1538"/>
      <c r="D2345" s="166" t="s">
        <v>1632</v>
      </c>
      <c r="E2345" s="1468" t="s">
        <v>15</v>
      </c>
      <c r="F2345" s="1468"/>
      <c r="G2345" s="1540"/>
      <c r="H2345" s="1540">
        <v>1159179.5249999999</v>
      </c>
      <c r="I2345" s="1540"/>
      <c r="J2345" s="1466">
        <f t="shared" si="93"/>
        <v>1159179.5249999999</v>
      </c>
      <c r="K2345" s="1466"/>
      <c r="L2345" s="1466"/>
      <c r="M2345" s="1540">
        <f t="shared" si="94"/>
        <v>1159179.5249999999</v>
      </c>
      <c r="N2345" s="166"/>
    </row>
    <row r="2346" spans="1:14" s="540" customFormat="1" ht="14.25" customHeight="1">
      <c r="A2346" s="1536">
        <v>184</v>
      </c>
      <c r="B2346" s="1537" t="e">
        <f>VLOOKUP(D2346,'[2]DS CN MOI UP'!$B$11:$C$447,2,0)</f>
        <v>#N/A</v>
      </c>
      <c r="C2346" s="1538"/>
      <c r="D2346" s="166" t="s">
        <v>1633</v>
      </c>
      <c r="E2346" s="1468" t="s">
        <v>15</v>
      </c>
      <c r="F2346" s="1468"/>
      <c r="G2346" s="1540"/>
      <c r="H2346" s="1540">
        <v>1239846.615</v>
      </c>
      <c r="I2346" s="1540"/>
      <c r="J2346" s="1466">
        <f t="shared" si="93"/>
        <v>1239846.615</v>
      </c>
      <c r="K2346" s="1466"/>
      <c r="L2346" s="1466"/>
      <c r="M2346" s="1540">
        <f t="shared" si="94"/>
        <v>1239846.615</v>
      </c>
      <c r="N2346" s="166"/>
    </row>
    <row r="2347" spans="1:14" s="540" customFormat="1" ht="14.25" customHeight="1">
      <c r="A2347" s="1536">
        <v>185</v>
      </c>
      <c r="B2347" s="1537" t="str">
        <f>VLOOKUP(D2347,'[2]DS CN MOI UP'!$B$11:$C$447,2,0)</f>
        <v>02495</v>
      </c>
      <c r="C2347" s="1538"/>
      <c r="D2347" s="166" t="s">
        <v>120</v>
      </c>
      <c r="E2347" s="1468" t="s">
        <v>15</v>
      </c>
      <c r="F2347" s="1468"/>
      <c r="G2347" s="1540"/>
      <c r="H2347" s="1540">
        <v>1149145.3259999999</v>
      </c>
      <c r="I2347" s="1540"/>
      <c r="J2347" s="1466">
        <f t="shared" si="93"/>
        <v>1149145.3259999999</v>
      </c>
      <c r="K2347" s="1466"/>
      <c r="L2347" s="1466"/>
      <c r="M2347" s="1540">
        <f t="shared" si="94"/>
        <v>1149145.3259999999</v>
      </c>
      <c r="N2347" s="166"/>
    </row>
    <row r="2348" spans="1:14" s="540" customFormat="1" ht="14.25" customHeight="1">
      <c r="A2348" s="1536">
        <v>186</v>
      </c>
      <c r="B2348" s="1537" t="str">
        <f>VLOOKUP(D2348,'[2]DS CN MOI UP'!$B$11:$C$447,2,0)</f>
        <v>02505</v>
      </c>
      <c r="C2348" s="1538"/>
      <c r="D2348" s="166" t="s">
        <v>117</v>
      </c>
      <c r="E2348" s="1468" t="s">
        <v>15</v>
      </c>
      <c r="F2348" s="1468"/>
      <c r="G2348" s="1540"/>
      <c r="H2348" s="1540">
        <v>1239846.615</v>
      </c>
      <c r="I2348" s="1540"/>
      <c r="J2348" s="1466">
        <f t="shared" si="93"/>
        <v>1239846.615</v>
      </c>
      <c r="K2348" s="1466"/>
      <c r="L2348" s="1466"/>
      <c r="M2348" s="1540">
        <f t="shared" si="94"/>
        <v>1239846.615</v>
      </c>
      <c r="N2348" s="166"/>
    </row>
    <row r="2349" spans="1:14" s="540" customFormat="1" ht="14.25" customHeight="1">
      <c r="A2349" s="1536">
        <v>187</v>
      </c>
      <c r="B2349" s="1537" t="str">
        <f>VLOOKUP(D2349,'[2]DS CN MOI UP'!$B$11:$C$447,2,0)</f>
        <v>02516</v>
      </c>
      <c r="C2349" s="1538"/>
      <c r="D2349" s="166" t="s">
        <v>122</v>
      </c>
      <c r="E2349" s="1468" t="s">
        <v>15</v>
      </c>
      <c r="F2349" s="1468"/>
      <c r="G2349" s="1540"/>
      <c r="H2349" s="1540">
        <v>1149145.3259999999</v>
      </c>
      <c r="I2349" s="1540"/>
      <c r="J2349" s="1466">
        <f t="shared" si="93"/>
        <v>1149145.3259999999</v>
      </c>
      <c r="K2349" s="1466"/>
      <c r="L2349" s="1466"/>
      <c r="M2349" s="1540">
        <f t="shared" si="94"/>
        <v>1149145.3259999999</v>
      </c>
      <c r="N2349" s="166"/>
    </row>
    <row r="2350" spans="1:14" s="540" customFormat="1" ht="14.25" customHeight="1">
      <c r="A2350" s="1536">
        <v>188</v>
      </c>
      <c r="B2350" s="1537" t="str">
        <f>VLOOKUP(D2350,'[2]DS CN MOI UP'!$B$11:$C$447,2,0)</f>
        <v>03347</v>
      </c>
      <c r="C2350" s="1538"/>
      <c r="D2350" s="166" t="s">
        <v>121</v>
      </c>
      <c r="E2350" s="1468" t="s">
        <v>15</v>
      </c>
      <c r="F2350" s="1468"/>
      <c r="G2350" s="1540"/>
      <c r="H2350" s="1540">
        <v>1159179.5249999999</v>
      </c>
      <c r="I2350" s="1540"/>
      <c r="J2350" s="1466">
        <f t="shared" si="93"/>
        <v>1159179.5249999999</v>
      </c>
      <c r="K2350" s="1466"/>
      <c r="L2350" s="1466"/>
      <c r="M2350" s="1540">
        <f t="shared" si="94"/>
        <v>1159179.5249999999</v>
      </c>
      <c r="N2350" s="166"/>
    </row>
    <row r="2351" spans="1:14" s="540" customFormat="1" ht="14.25" customHeight="1">
      <c r="A2351" s="1536">
        <v>189</v>
      </c>
      <c r="B2351" s="1537" t="str">
        <f>VLOOKUP(D2351,'[2]DS CN MOI UP'!$B$11:$C$447,2,0)</f>
        <v>02539</v>
      </c>
      <c r="C2351" s="1538"/>
      <c r="D2351" s="166" t="s">
        <v>195</v>
      </c>
      <c r="E2351" s="1468" t="s">
        <v>15</v>
      </c>
      <c r="F2351" s="1468"/>
      <c r="G2351" s="1540"/>
      <c r="H2351" s="1540">
        <v>1239846.615</v>
      </c>
      <c r="I2351" s="1540"/>
      <c r="J2351" s="1466">
        <f t="shared" si="93"/>
        <v>1239846.615</v>
      </c>
      <c r="K2351" s="1466"/>
      <c r="L2351" s="1466"/>
      <c r="M2351" s="1540">
        <f t="shared" si="94"/>
        <v>1239846.615</v>
      </c>
      <c r="N2351" s="166"/>
    </row>
    <row r="2352" spans="1:14" s="540" customFormat="1" ht="14.25" customHeight="1">
      <c r="A2352" s="1536">
        <v>190</v>
      </c>
      <c r="B2352" s="1537" t="e">
        <f>VLOOKUP(D2352,'[2]DS CN MOI UP'!$B$11:$C$447,2,0)</f>
        <v>#N/A</v>
      </c>
      <c r="C2352" s="1538"/>
      <c r="D2352" s="166" t="s">
        <v>1174</v>
      </c>
      <c r="E2352" s="1468" t="s">
        <v>15</v>
      </c>
      <c r="F2352" s="1468"/>
      <c r="G2352" s="1540"/>
      <c r="H2352" s="1540">
        <v>1149145.3259999999</v>
      </c>
      <c r="I2352" s="1540"/>
      <c r="J2352" s="1466">
        <f t="shared" si="93"/>
        <v>1149145.3259999999</v>
      </c>
      <c r="K2352" s="1466"/>
      <c r="L2352" s="1466"/>
      <c r="M2352" s="1540">
        <f t="shared" si="94"/>
        <v>1149145.3259999999</v>
      </c>
      <c r="N2352" s="166"/>
    </row>
    <row r="2353" spans="1:14" s="540" customFormat="1" ht="14.25" customHeight="1">
      <c r="A2353" s="1536">
        <v>191</v>
      </c>
      <c r="B2353" s="1537" t="e">
        <f>VLOOKUP(D2353,'[2]DS CN MOI UP'!$B$11:$C$447,2,0)</f>
        <v>#N/A</v>
      </c>
      <c r="C2353" s="1538"/>
      <c r="D2353" s="166" t="s">
        <v>1175</v>
      </c>
      <c r="E2353" s="1468" t="s">
        <v>15</v>
      </c>
      <c r="F2353" s="1468"/>
      <c r="G2353" s="1540"/>
      <c r="H2353" s="1540">
        <v>1229038.53819991</v>
      </c>
      <c r="I2353" s="1540"/>
      <c r="J2353" s="1466">
        <f t="shared" si="93"/>
        <v>1229038.53819991</v>
      </c>
      <c r="K2353" s="1466"/>
      <c r="L2353" s="1466"/>
      <c r="M2353" s="1540">
        <f t="shared" si="94"/>
        <v>1229038.53819991</v>
      </c>
      <c r="N2353" s="166"/>
    </row>
    <row r="2354" spans="1:14" s="540" customFormat="1" ht="14.25" customHeight="1">
      <c r="A2354" s="1536">
        <v>192</v>
      </c>
      <c r="B2354" s="1537" t="e">
        <f>VLOOKUP(D2354,'[2]DS CN MOI UP'!$B$11:$C$447,2,0)</f>
        <v>#N/A</v>
      </c>
      <c r="C2354" s="1538"/>
      <c r="D2354" s="166" t="s">
        <v>1176</v>
      </c>
      <c r="E2354" s="1468" t="s">
        <v>15</v>
      </c>
      <c r="F2354" s="1468"/>
      <c r="G2354" s="1540"/>
      <c r="H2354" s="1540">
        <v>1159179.5249999999</v>
      </c>
      <c r="I2354" s="1540"/>
      <c r="J2354" s="1466">
        <f t="shared" si="93"/>
        <v>1159179.5249999999</v>
      </c>
      <c r="K2354" s="1466"/>
      <c r="L2354" s="1466"/>
      <c r="M2354" s="1540">
        <f t="shared" si="94"/>
        <v>1159179.5249999999</v>
      </c>
      <c r="N2354" s="166"/>
    </row>
    <row r="2355" spans="1:14" s="540" customFormat="1" ht="14.25" customHeight="1">
      <c r="A2355" s="1536">
        <v>193</v>
      </c>
      <c r="B2355" s="1537" t="str">
        <f>VLOOKUP(D2355,'[2]DS CN MOI UP'!$B$11:$C$447,2,0)</f>
        <v>02541</v>
      </c>
      <c r="C2355" s="1538"/>
      <c r="D2355" s="166" t="s">
        <v>185</v>
      </c>
      <c r="E2355" s="1468" t="s">
        <v>15</v>
      </c>
      <c r="F2355" s="1468"/>
      <c r="G2355" s="1540"/>
      <c r="H2355" s="1540">
        <v>1239846.615</v>
      </c>
      <c r="I2355" s="1540"/>
      <c r="J2355" s="1466">
        <f t="shared" si="93"/>
        <v>1239846.615</v>
      </c>
      <c r="K2355" s="1466"/>
      <c r="L2355" s="1466"/>
      <c r="M2355" s="1540">
        <f t="shared" si="94"/>
        <v>1239846.615</v>
      </c>
      <c r="N2355" s="166"/>
    </row>
    <row r="2356" spans="1:14" s="540" customFormat="1" ht="14.25" customHeight="1">
      <c r="A2356" s="1536">
        <v>194</v>
      </c>
      <c r="B2356" s="1537" t="e">
        <f>VLOOKUP(D2356,'[2]DS CN MOI UP'!$B$11:$C$447,2,0)</f>
        <v>#N/A</v>
      </c>
      <c r="C2356" s="1538"/>
      <c r="D2356" s="166" t="s">
        <v>1174</v>
      </c>
      <c r="E2356" s="1468" t="s">
        <v>15</v>
      </c>
      <c r="F2356" s="1468"/>
      <c r="G2356" s="1540"/>
      <c r="H2356" s="1540">
        <v>1149145.3259999999</v>
      </c>
      <c r="I2356" s="1540"/>
      <c r="J2356" s="1466">
        <f t="shared" si="93"/>
        <v>1149145.3259999999</v>
      </c>
      <c r="K2356" s="1466"/>
      <c r="L2356" s="1466"/>
      <c r="M2356" s="1540">
        <f t="shared" si="94"/>
        <v>1149145.3259999999</v>
      </c>
      <c r="N2356" s="166"/>
    </row>
    <row r="2357" spans="1:14" s="540" customFormat="1" ht="14.25" customHeight="1">
      <c r="A2357" s="1536">
        <v>195</v>
      </c>
      <c r="B2357" s="1537" t="e">
        <f>VLOOKUP(D2357,'[2]DS CN MOI UP'!$B$11:$C$447,2,0)</f>
        <v>#N/A</v>
      </c>
      <c r="C2357" s="1538"/>
      <c r="D2357" s="166" t="s">
        <v>1748</v>
      </c>
      <c r="E2357" s="1468" t="s">
        <v>15</v>
      </c>
      <c r="F2357" s="1468"/>
      <c r="G2357" s="1540"/>
      <c r="H2357" s="1540">
        <v>1149145.3259999999</v>
      </c>
      <c r="I2357" s="1540"/>
      <c r="J2357" s="1466">
        <f t="shared" si="93"/>
        <v>1149145.3259999999</v>
      </c>
      <c r="K2357" s="1466"/>
      <c r="L2357" s="1466"/>
      <c r="M2357" s="1540">
        <f t="shared" si="94"/>
        <v>1149145.3259999999</v>
      </c>
      <c r="N2357" s="166"/>
    </row>
    <row r="2358" spans="1:14" s="540" customFormat="1" ht="14.25" customHeight="1">
      <c r="A2358" s="1536">
        <v>196</v>
      </c>
      <c r="B2358" s="1537" t="e">
        <f>VLOOKUP(D2358,'[2]DS CN MOI UP'!$B$11:$C$447,2,0)</f>
        <v>#N/A</v>
      </c>
      <c r="C2358" s="1538"/>
      <c r="D2358" s="166" t="s">
        <v>1749</v>
      </c>
      <c r="E2358" s="1468" t="s">
        <v>15</v>
      </c>
      <c r="F2358" s="1468"/>
      <c r="G2358" s="1540"/>
      <c r="H2358" s="1540">
        <v>1229038.53819991</v>
      </c>
      <c r="I2358" s="1540"/>
      <c r="J2358" s="1466">
        <f t="shared" si="93"/>
        <v>1229038.53819991</v>
      </c>
      <c r="K2358" s="1466"/>
      <c r="L2358" s="1466"/>
      <c r="M2358" s="1540">
        <f t="shared" si="94"/>
        <v>1229038.53819991</v>
      </c>
      <c r="N2358" s="166"/>
    </row>
    <row r="2359" spans="1:14" s="540" customFormat="1" ht="14.25" customHeight="1">
      <c r="A2359" s="1536">
        <v>197</v>
      </c>
      <c r="B2359" s="1537" t="e">
        <f>VLOOKUP(D2359,'[2]DS CN MOI UP'!$B$11:$C$447,2,0)</f>
        <v>#N/A</v>
      </c>
      <c r="C2359" s="1538"/>
      <c r="D2359" s="166" t="s">
        <v>1750</v>
      </c>
      <c r="E2359" s="1468" t="s">
        <v>15</v>
      </c>
      <c r="F2359" s="1468"/>
      <c r="G2359" s="1540"/>
      <c r="H2359" s="1540">
        <v>1159179.5249999999</v>
      </c>
      <c r="I2359" s="1540"/>
      <c r="J2359" s="1466">
        <f t="shared" si="93"/>
        <v>1159179.5249999999</v>
      </c>
      <c r="K2359" s="1466"/>
      <c r="L2359" s="1466"/>
      <c r="M2359" s="1540">
        <f t="shared" si="94"/>
        <v>1159179.5249999999</v>
      </c>
      <c r="N2359" s="166"/>
    </row>
    <row r="2360" spans="1:14" s="540" customFormat="1" ht="14.25" customHeight="1">
      <c r="A2360" s="1536">
        <v>198</v>
      </c>
      <c r="B2360" s="1537" t="e">
        <f>VLOOKUP(D2360,'[2]DS CN MOI UP'!$B$11:$C$447,2,0)</f>
        <v>#N/A</v>
      </c>
      <c r="C2360" s="1538"/>
      <c r="D2360" s="166" t="s">
        <v>1751</v>
      </c>
      <c r="E2360" s="1468" t="s">
        <v>15</v>
      </c>
      <c r="F2360" s="1468"/>
      <c r="G2360" s="1540"/>
      <c r="H2360" s="1540">
        <v>1239846.615</v>
      </c>
      <c r="I2360" s="1540"/>
      <c r="J2360" s="1466">
        <f t="shared" si="93"/>
        <v>1239846.615</v>
      </c>
      <c r="K2360" s="1466"/>
      <c r="L2360" s="1466"/>
      <c r="M2360" s="1540">
        <f t="shared" si="94"/>
        <v>1239846.615</v>
      </c>
      <c r="N2360" s="166"/>
    </row>
    <row r="2361" spans="1:14" s="540" customFormat="1" ht="14.25" customHeight="1">
      <c r="A2361" s="1536">
        <v>199</v>
      </c>
      <c r="B2361" s="1537" t="e">
        <f>VLOOKUP(D2361,'[2]DS CN MOI UP'!$B$11:$C$447,2,0)</f>
        <v>#N/A</v>
      </c>
      <c r="C2361" s="1538"/>
      <c r="D2361" s="166" t="s">
        <v>1752</v>
      </c>
      <c r="E2361" s="1468" t="s">
        <v>15</v>
      </c>
      <c r="F2361" s="1468"/>
      <c r="G2361" s="1540"/>
      <c r="H2361" s="1540">
        <v>1149145.3259999999</v>
      </c>
      <c r="I2361" s="1540"/>
      <c r="J2361" s="1466">
        <f t="shared" si="93"/>
        <v>1149145.3259999999</v>
      </c>
      <c r="K2361" s="1466"/>
      <c r="L2361" s="1466"/>
      <c r="M2361" s="1540">
        <f t="shared" si="94"/>
        <v>1149145.3259999999</v>
      </c>
      <c r="N2361" s="166"/>
    </row>
    <row r="2362" spans="1:14" s="540" customFormat="1" ht="14.25" customHeight="1">
      <c r="A2362" s="1536">
        <v>200</v>
      </c>
      <c r="B2362" s="1537" t="e">
        <f>VLOOKUP(D2362,'[2]DS CN MOI UP'!$B$11:$C$447,2,0)</f>
        <v>#N/A</v>
      </c>
      <c r="C2362" s="1538"/>
      <c r="D2362" s="166" t="s">
        <v>1753</v>
      </c>
      <c r="E2362" s="1468" t="s">
        <v>15</v>
      </c>
      <c r="F2362" s="1468"/>
      <c r="G2362" s="1540"/>
      <c r="H2362" s="1540">
        <v>1239846.615</v>
      </c>
      <c r="I2362" s="1540"/>
      <c r="J2362" s="1466">
        <f t="shared" si="93"/>
        <v>1239846.615</v>
      </c>
      <c r="K2362" s="1466"/>
      <c r="L2362" s="1466"/>
      <c r="M2362" s="1540">
        <f t="shared" si="94"/>
        <v>1239846.615</v>
      </c>
      <c r="N2362" s="166"/>
    </row>
    <row r="2363" spans="1:14" s="540" customFormat="1" ht="14.25" customHeight="1">
      <c r="A2363" s="1536">
        <v>201</v>
      </c>
      <c r="B2363" s="1537" t="e">
        <f>VLOOKUP(D2363,'[2]DS CN MOI UP'!$B$11:$C$447,2,0)</f>
        <v>#N/A</v>
      </c>
      <c r="C2363" s="1538"/>
      <c r="D2363" s="166" t="s">
        <v>1754</v>
      </c>
      <c r="E2363" s="1468" t="s">
        <v>15</v>
      </c>
      <c r="F2363" s="1468"/>
      <c r="G2363" s="1540"/>
      <c r="H2363" s="1540">
        <v>1149145.3259999999</v>
      </c>
      <c r="I2363" s="1540"/>
      <c r="J2363" s="1466">
        <f t="shared" si="93"/>
        <v>1149145.3259999999</v>
      </c>
      <c r="K2363" s="1466"/>
      <c r="L2363" s="1466"/>
      <c r="M2363" s="1540">
        <f t="shared" si="94"/>
        <v>1149145.3259999999</v>
      </c>
      <c r="N2363" s="166"/>
    </row>
    <row r="2364" spans="1:14" s="540" customFormat="1" ht="14.25" customHeight="1">
      <c r="A2364" s="1536">
        <v>202</v>
      </c>
      <c r="B2364" s="1537" t="e">
        <f>VLOOKUP(D2364,'[2]DS CN MOI UP'!$B$11:$C$447,2,0)</f>
        <v>#N/A</v>
      </c>
      <c r="C2364" s="1538"/>
      <c r="D2364" s="166" t="s">
        <v>1755</v>
      </c>
      <c r="E2364" s="1468" t="s">
        <v>15</v>
      </c>
      <c r="F2364" s="1468"/>
      <c r="G2364" s="1540"/>
      <c r="H2364" s="1540">
        <v>1149145.3259999999</v>
      </c>
      <c r="I2364" s="1540"/>
      <c r="J2364" s="1466">
        <f t="shared" si="93"/>
        <v>1149145.3259999999</v>
      </c>
      <c r="K2364" s="1466"/>
      <c r="L2364" s="1466"/>
      <c r="M2364" s="1540">
        <f t="shared" si="94"/>
        <v>1149145.3259999999</v>
      </c>
      <c r="N2364" s="166"/>
    </row>
    <row r="2365" spans="1:14" s="540" customFormat="1" ht="14.25" customHeight="1">
      <c r="A2365" s="1536">
        <v>203</v>
      </c>
      <c r="B2365" s="1537" t="e">
        <f>VLOOKUP(D2365,'[2]DS CN MOI UP'!$B$11:$C$447,2,0)</f>
        <v>#N/A</v>
      </c>
      <c r="C2365" s="1538"/>
      <c r="D2365" s="166" t="s">
        <v>1756</v>
      </c>
      <c r="E2365" s="1468" t="s">
        <v>15</v>
      </c>
      <c r="F2365" s="1468"/>
      <c r="G2365" s="1540"/>
      <c r="H2365" s="1540">
        <v>1239846.615</v>
      </c>
      <c r="I2365" s="1540"/>
      <c r="J2365" s="1466">
        <f t="shared" si="93"/>
        <v>1239846.615</v>
      </c>
      <c r="K2365" s="1466"/>
      <c r="L2365" s="1466"/>
      <c r="M2365" s="1540">
        <f t="shared" si="94"/>
        <v>1239846.615</v>
      </c>
      <c r="N2365" s="166"/>
    </row>
    <row r="2366" spans="1:14" s="540" customFormat="1" ht="14.25" customHeight="1">
      <c r="A2366" s="1536">
        <v>204</v>
      </c>
      <c r="B2366" s="1537" t="e">
        <f>VLOOKUP(D2366,'[2]DS CN MOI UP'!$B$11:$C$447,2,0)</f>
        <v>#N/A</v>
      </c>
      <c r="C2366" s="1538"/>
      <c r="D2366" s="166" t="s">
        <v>730</v>
      </c>
      <c r="E2366" s="1468" t="s">
        <v>15</v>
      </c>
      <c r="F2366" s="1468"/>
      <c r="G2366" s="1540"/>
      <c r="H2366" s="1540">
        <v>627578.85617408203</v>
      </c>
      <c r="I2366" s="1540">
        <v>549145.326</v>
      </c>
      <c r="J2366" s="1466">
        <f t="shared" si="93"/>
        <v>1176724.1821740801</v>
      </c>
      <c r="K2366" s="1466"/>
      <c r="L2366" s="1466"/>
      <c r="M2366" s="1540">
        <f t="shared" si="94"/>
        <v>1176724.1821740801</v>
      </c>
      <c r="N2366" s="166"/>
    </row>
    <row r="2367" spans="1:14" s="540" customFormat="1" ht="14.25" customHeight="1">
      <c r="A2367" s="1536">
        <v>205</v>
      </c>
      <c r="B2367" s="1537" t="e">
        <f>VLOOKUP(D2367,'[2]DS CN MOI UP'!$B$11:$C$447,2,0)</f>
        <v>#N/A</v>
      </c>
      <c r="C2367" s="1538"/>
      <c r="D2367" s="166" t="s">
        <v>1757</v>
      </c>
      <c r="E2367" s="1468" t="s">
        <v>15</v>
      </c>
      <c r="F2367" s="1468"/>
      <c r="G2367" s="1540"/>
      <c r="H2367" s="1540"/>
      <c r="I2367" s="1540">
        <v>1149145.3259999999</v>
      </c>
      <c r="J2367" s="1466">
        <f t="shared" si="93"/>
        <v>1149145.3259999999</v>
      </c>
      <c r="K2367" s="1466"/>
      <c r="L2367" s="1466"/>
      <c r="M2367" s="1540">
        <f t="shared" si="94"/>
        <v>1149145.3259999999</v>
      </c>
      <c r="N2367" s="166"/>
    </row>
    <row r="2368" spans="1:14" s="540" customFormat="1" ht="14.25" customHeight="1">
      <c r="A2368" s="1536">
        <v>206</v>
      </c>
      <c r="B2368" s="1537" t="e">
        <f>VLOOKUP(D2368,'[2]DS CN MOI UP'!$B$11:$C$447,2,0)</f>
        <v>#N/A</v>
      </c>
      <c r="C2368" s="1538"/>
      <c r="D2368" s="166" t="s">
        <v>1758</v>
      </c>
      <c r="E2368" s="1468" t="s">
        <v>15</v>
      </c>
      <c r="F2368" s="1468"/>
      <c r="G2368" s="1540"/>
      <c r="H2368" s="1540"/>
      <c r="I2368" s="1540">
        <v>1229038.53819991</v>
      </c>
      <c r="J2368" s="1466">
        <f t="shared" si="93"/>
        <v>1229038.53819991</v>
      </c>
      <c r="K2368" s="1466"/>
      <c r="L2368" s="1466"/>
      <c r="M2368" s="1540">
        <f t="shared" si="94"/>
        <v>1229038.53819991</v>
      </c>
      <c r="N2368" s="166"/>
    </row>
    <row r="2369" spans="1:17" s="540" customFormat="1" ht="14.25" customHeight="1">
      <c r="A2369" s="1536">
        <v>207</v>
      </c>
      <c r="B2369" s="1537" t="e">
        <f>VLOOKUP(D2369,'[2]DS CN MOI UP'!$B$11:$C$447,2,0)</f>
        <v>#N/A</v>
      </c>
      <c r="C2369" s="1538"/>
      <c r="D2369" s="166" t="s">
        <v>1759</v>
      </c>
      <c r="E2369" s="1468" t="s">
        <v>15</v>
      </c>
      <c r="F2369" s="1468"/>
      <c r="G2369" s="1540"/>
      <c r="H2369" s="1540"/>
      <c r="I2369" s="1540">
        <v>1159179.5249999999</v>
      </c>
      <c r="J2369" s="1466">
        <f t="shared" si="93"/>
        <v>1159179.5249999999</v>
      </c>
      <c r="K2369" s="1466"/>
      <c r="L2369" s="1466"/>
      <c r="M2369" s="1540">
        <f t="shared" si="94"/>
        <v>1159179.5249999999</v>
      </c>
      <c r="N2369" s="166"/>
    </row>
    <row r="2370" spans="1:17" s="540" customFormat="1" ht="14.25" customHeight="1">
      <c r="A2370" s="1536">
        <v>208</v>
      </c>
      <c r="B2370" s="1537" t="e">
        <f>VLOOKUP(D2370,'[2]DS CN MOI UP'!$B$11:$C$447,2,0)</f>
        <v>#N/A</v>
      </c>
      <c r="C2370" s="1538"/>
      <c r="D2370" s="166" t="s">
        <v>1760</v>
      </c>
      <c r="E2370" s="1468" t="s">
        <v>15</v>
      </c>
      <c r="F2370" s="1468"/>
      <c r="G2370" s="1540"/>
      <c r="H2370" s="1540"/>
      <c r="I2370" s="1540">
        <v>1239846.615</v>
      </c>
      <c r="J2370" s="1466">
        <f t="shared" si="93"/>
        <v>1239846.615</v>
      </c>
      <c r="K2370" s="1466"/>
      <c r="L2370" s="1466"/>
      <c r="M2370" s="1540">
        <f t="shared" si="94"/>
        <v>1239846.615</v>
      </c>
      <c r="N2370" s="166"/>
    </row>
    <row r="2371" spans="1:17" s="540" customFormat="1" ht="14.25" customHeight="1">
      <c r="A2371" s="1536">
        <v>209</v>
      </c>
      <c r="B2371" s="1537" t="e">
        <f>VLOOKUP(D2371,'[2]DS CN MOI UP'!$B$11:$C$447,2,0)</f>
        <v>#N/A</v>
      </c>
      <c r="C2371" s="1538"/>
      <c r="D2371" s="166" t="s">
        <v>1762</v>
      </c>
      <c r="E2371" s="1468" t="s">
        <v>15</v>
      </c>
      <c r="F2371" s="1468"/>
      <c r="G2371" s="1540"/>
      <c r="H2371" s="1540"/>
      <c r="I2371" s="1540">
        <v>1237631.5878828999</v>
      </c>
      <c r="J2371" s="1466">
        <f t="shared" si="93"/>
        <v>1237631.5878828999</v>
      </c>
      <c r="K2371" s="1466"/>
      <c r="L2371" s="1466"/>
      <c r="M2371" s="1540">
        <f t="shared" si="94"/>
        <v>1237631.5878828999</v>
      </c>
      <c r="N2371" s="166"/>
    </row>
    <row r="2372" spans="1:17" s="540" customFormat="1" ht="14.25" customHeight="1">
      <c r="A2372" s="1536">
        <v>210</v>
      </c>
      <c r="B2372" s="1537" t="e">
        <f>VLOOKUP(D2372,'[2]DS CN MOI UP'!$B$11:$C$447,2,0)</f>
        <v>#N/A</v>
      </c>
      <c r="C2372" s="1538"/>
      <c r="D2372" s="166" t="s">
        <v>1763</v>
      </c>
      <c r="E2372" s="1468" t="s">
        <v>15</v>
      </c>
      <c r="F2372" s="1468"/>
      <c r="G2372" s="1540"/>
      <c r="H2372" s="1540"/>
      <c r="I2372" s="1540">
        <v>1237631.5878828999</v>
      </c>
      <c r="J2372" s="1466">
        <f t="shared" ref="J2372:J2392" si="95">SUM(G2372:I2372)</f>
        <v>1237631.5878828999</v>
      </c>
      <c r="K2372" s="1466"/>
      <c r="L2372" s="1466"/>
      <c r="M2372" s="1540">
        <f t="shared" ref="M2372:M2392" si="96">J2372-L2372</f>
        <v>1237631.5878828999</v>
      </c>
      <c r="N2372" s="166"/>
    </row>
    <row r="2373" spans="1:17" s="540" customFormat="1" ht="14.25" customHeight="1">
      <c r="A2373" s="1536">
        <v>211</v>
      </c>
      <c r="B2373" s="1537" t="e">
        <f>VLOOKUP(D2373,'[2]DS CN MOI UP'!$B$11:$C$447,2,0)</f>
        <v>#N/A</v>
      </c>
      <c r="C2373" s="1538"/>
      <c r="D2373" s="166" t="s">
        <v>1764</v>
      </c>
      <c r="E2373" s="1468" t="s">
        <v>15</v>
      </c>
      <c r="F2373" s="1468"/>
      <c r="G2373" s="1540"/>
      <c r="H2373" s="1540"/>
      <c r="I2373" s="1540">
        <v>1237631.5878828999</v>
      </c>
      <c r="J2373" s="1466">
        <f t="shared" si="95"/>
        <v>1237631.5878828999</v>
      </c>
      <c r="K2373" s="1466"/>
      <c r="L2373" s="1466"/>
      <c r="M2373" s="1540">
        <f t="shared" si="96"/>
        <v>1237631.5878828999</v>
      </c>
      <c r="N2373" s="166"/>
    </row>
    <row r="2374" spans="1:17" s="540" customFormat="1" ht="14.25" customHeight="1">
      <c r="A2374" s="1536">
        <v>212</v>
      </c>
      <c r="B2374" s="1537" t="e">
        <f>VLOOKUP(D2374,'[2]DS CN MOI UP'!$B$11:$C$447,2,0)</f>
        <v>#N/A</v>
      </c>
      <c r="C2374" s="1538"/>
      <c r="D2374" s="166" t="s">
        <v>1765</v>
      </c>
      <c r="E2374" s="1468" t="s">
        <v>15</v>
      </c>
      <c r="F2374" s="1468"/>
      <c r="G2374" s="1540"/>
      <c r="H2374" s="1540"/>
      <c r="I2374" s="1540">
        <v>1237631.5878828999</v>
      </c>
      <c r="J2374" s="1466">
        <f t="shared" si="95"/>
        <v>1237631.5878828999</v>
      </c>
      <c r="K2374" s="1466"/>
      <c r="L2374" s="1466"/>
      <c r="M2374" s="1540">
        <f t="shared" si="96"/>
        <v>1237631.5878828999</v>
      </c>
      <c r="N2374" s="166"/>
    </row>
    <row r="2375" spans="1:17" s="540" customFormat="1" ht="14.25" customHeight="1">
      <c r="A2375" s="1536">
        <v>213</v>
      </c>
      <c r="B2375" s="1537" t="e">
        <f>VLOOKUP(D2375,'[2]DS CN MOI UP'!$B$11:$C$447,2,0)</f>
        <v>#N/A</v>
      </c>
      <c r="C2375" s="1538"/>
      <c r="D2375" s="166" t="s">
        <v>1766</v>
      </c>
      <c r="E2375" s="1468" t="s">
        <v>15</v>
      </c>
      <c r="F2375" s="1468"/>
      <c r="G2375" s="1540"/>
      <c r="H2375" s="1540"/>
      <c r="I2375" s="1540">
        <v>1237631.5878828999</v>
      </c>
      <c r="J2375" s="1466">
        <f t="shared" si="95"/>
        <v>1237631.5878828999</v>
      </c>
      <c r="K2375" s="1466"/>
      <c r="L2375" s="1466"/>
      <c r="M2375" s="1540">
        <f t="shared" si="96"/>
        <v>1237631.5878828999</v>
      </c>
      <c r="N2375" s="166"/>
    </row>
    <row r="2376" spans="1:17" s="540" customFormat="1" ht="14.25" customHeight="1">
      <c r="A2376" s="1536">
        <v>214</v>
      </c>
      <c r="B2376" s="1537" t="e">
        <f>VLOOKUP(D2376,'[2]DS CN MOI UP'!$B$11:$C$447,2,0)</f>
        <v>#N/A</v>
      </c>
      <c r="C2376" s="1538"/>
      <c r="D2376" s="166" t="s">
        <v>346</v>
      </c>
      <c r="E2376" s="1468" t="s">
        <v>15</v>
      </c>
      <c r="F2376" s="1468"/>
      <c r="G2376" s="1540"/>
      <c r="H2376" s="1540"/>
      <c r="I2376" s="1540">
        <v>1237631.5878828999</v>
      </c>
      <c r="J2376" s="1466">
        <f t="shared" si="95"/>
        <v>1237631.5878828999</v>
      </c>
      <c r="K2376" s="1466"/>
      <c r="L2376" s="1466"/>
      <c r="M2376" s="1540">
        <f t="shared" si="96"/>
        <v>1237631.5878828999</v>
      </c>
      <c r="N2376" s="166"/>
    </row>
    <row r="2377" spans="1:17" s="540" customFormat="1" ht="14.25" customHeight="1">
      <c r="A2377" s="1536">
        <v>215</v>
      </c>
      <c r="B2377" s="1537" t="e">
        <f>VLOOKUP(D2377,'[2]DS CN MOI UP'!$B$11:$C$447,2,0)</f>
        <v>#N/A</v>
      </c>
      <c r="C2377" s="1538"/>
      <c r="D2377" s="166" t="s">
        <v>1767</v>
      </c>
      <c r="E2377" s="1468" t="s">
        <v>15</v>
      </c>
      <c r="F2377" s="1468"/>
      <c r="G2377" s="1540"/>
      <c r="H2377" s="1540"/>
      <c r="I2377" s="1540">
        <v>1237631.5878828999</v>
      </c>
      <c r="J2377" s="1466">
        <f t="shared" si="95"/>
        <v>1237631.5878828999</v>
      </c>
      <c r="K2377" s="1466"/>
      <c r="L2377" s="1466"/>
      <c r="M2377" s="1540">
        <f t="shared" si="96"/>
        <v>1237631.5878828999</v>
      </c>
      <c r="N2377" s="166"/>
    </row>
    <row r="2378" spans="1:17" s="540" customFormat="1" ht="14.25" customHeight="1">
      <c r="A2378" s="1536">
        <v>216</v>
      </c>
      <c r="B2378" s="1537" t="e">
        <f>VLOOKUP(D2378,'[2]DS CN MOI UP'!$B$11:$C$447,2,0)</f>
        <v>#N/A</v>
      </c>
      <c r="C2378" s="1538"/>
      <c r="D2378" s="166" t="s">
        <v>1768</v>
      </c>
      <c r="E2378" s="1468" t="s">
        <v>15</v>
      </c>
      <c r="F2378" s="1468"/>
      <c r="G2378" s="1540"/>
      <c r="H2378" s="1540"/>
      <c r="I2378" s="1540">
        <v>1237631.5878828999</v>
      </c>
      <c r="J2378" s="1466">
        <f t="shared" si="95"/>
        <v>1237631.5878828999</v>
      </c>
      <c r="K2378" s="1466"/>
      <c r="L2378" s="1466"/>
      <c r="M2378" s="1540">
        <f t="shared" si="96"/>
        <v>1237631.5878828999</v>
      </c>
      <c r="N2378" s="166"/>
    </row>
    <row r="2379" spans="1:17" s="540" customFormat="1" ht="14.25" customHeight="1">
      <c r="A2379" s="1536">
        <v>217</v>
      </c>
      <c r="B2379" s="1537" t="e">
        <f>VLOOKUP(D2379,'[2]DS CN MOI UP'!$B$11:$C$447,2,0)</f>
        <v>#N/A</v>
      </c>
      <c r="C2379" s="1538"/>
      <c r="D2379" s="166" t="s">
        <v>1769</v>
      </c>
      <c r="E2379" s="1468" t="s">
        <v>15</v>
      </c>
      <c r="F2379" s="1468"/>
      <c r="G2379" s="1540"/>
      <c r="H2379" s="1540"/>
      <c r="I2379" s="1540">
        <v>1237631.5878828999</v>
      </c>
      <c r="J2379" s="1466">
        <f t="shared" si="95"/>
        <v>1237631.5878828999</v>
      </c>
      <c r="K2379" s="1466"/>
      <c r="L2379" s="1466"/>
      <c r="M2379" s="1540">
        <f t="shared" si="96"/>
        <v>1237631.5878828999</v>
      </c>
      <c r="N2379" s="166"/>
    </row>
    <row r="2380" spans="1:17" s="540" customFormat="1" ht="14.25" customHeight="1">
      <c r="A2380" s="1536">
        <v>218</v>
      </c>
      <c r="B2380" s="1537" t="e">
        <f>VLOOKUP(D2380,'[2]DS CN MOI UP'!$B$11:$C$447,2,0)</f>
        <v>#N/A</v>
      </c>
      <c r="C2380" s="1538"/>
      <c r="D2380" s="166" t="s">
        <v>1770</v>
      </c>
      <c r="E2380" s="1468" t="s">
        <v>15</v>
      </c>
      <c r="F2380" s="1468"/>
      <c r="G2380" s="1540"/>
      <c r="H2380" s="1540"/>
      <c r="I2380" s="1540">
        <v>1237631.5878828999</v>
      </c>
      <c r="J2380" s="1466">
        <f t="shared" si="95"/>
        <v>1237631.5878828999</v>
      </c>
      <c r="K2380" s="1466"/>
      <c r="L2380" s="1466"/>
      <c r="M2380" s="1540">
        <f t="shared" si="96"/>
        <v>1237631.5878828999</v>
      </c>
      <c r="N2380" s="166"/>
    </row>
    <row r="2381" spans="1:17" s="540" customFormat="1" ht="14.25" customHeight="1">
      <c r="A2381" s="1536">
        <v>219</v>
      </c>
      <c r="B2381" s="1537" t="e">
        <f>VLOOKUP(D2381,'[2]DS CN MOI UP'!$B$11:$C$447,2,0)</f>
        <v>#N/A</v>
      </c>
      <c r="C2381" s="1538"/>
      <c r="D2381" s="166" t="s">
        <v>1771</v>
      </c>
      <c r="E2381" s="1468" t="s">
        <v>15</v>
      </c>
      <c r="F2381" s="1468"/>
      <c r="G2381" s="1540"/>
      <c r="H2381" s="1540"/>
      <c r="I2381" s="1540">
        <v>1237631.5878828999</v>
      </c>
      <c r="J2381" s="1466">
        <f t="shared" si="95"/>
        <v>1237631.5878828999</v>
      </c>
      <c r="K2381" s="1466"/>
      <c r="L2381" s="1466"/>
      <c r="M2381" s="1540">
        <f t="shared" si="96"/>
        <v>1237631.5878828999</v>
      </c>
      <c r="N2381" s="166"/>
    </row>
    <row r="2382" spans="1:17" s="540" customFormat="1" ht="14.25" customHeight="1">
      <c r="A2382" s="1536">
        <v>220</v>
      </c>
      <c r="B2382" s="1537" t="e">
        <f>VLOOKUP(D2382,'[2]DS CN MOI UP'!$B$11:$C$447,2,0)</f>
        <v>#N/A</v>
      </c>
      <c r="C2382" s="1538"/>
      <c r="D2382" s="166" t="s">
        <v>1772</v>
      </c>
      <c r="E2382" s="1468" t="s">
        <v>15</v>
      </c>
      <c r="F2382" s="1468"/>
      <c r="G2382" s="1540"/>
      <c r="H2382" s="1540"/>
      <c r="I2382" s="1540">
        <v>1237631.5878828999</v>
      </c>
      <c r="J2382" s="1466">
        <f t="shared" si="95"/>
        <v>1237631.5878828999</v>
      </c>
      <c r="K2382" s="1466"/>
      <c r="L2382" s="1466"/>
      <c r="M2382" s="1540">
        <f t="shared" si="96"/>
        <v>1237631.5878828999</v>
      </c>
      <c r="N2382" s="166"/>
    </row>
    <row r="2383" spans="1:17" s="540" customFormat="1" ht="14.25" customHeight="1">
      <c r="A2383" s="1536">
        <v>221</v>
      </c>
      <c r="B2383" s="1537" t="e">
        <f>VLOOKUP(D2383,'[2]DS CN MOI UP'!$B$11:$C$447,2,0)</f>
        <v>#N/A</v>
      </c>
      <c r="C2383" s="1538"/>
      <c r="D2383" s="166" t="s">
        <v>1773</v>
      </c>
      <c r="E2383" s="1468" t="s">
        <v>15</v>
      </c>
      <c r="F2383" s="1468"/>
      <c r="G2383" s="1540"/>
      <c r="H2383" s="1540"/>
      <c r="I2383" s="1540">
        <v>1237631.5878828999</v>
      </c>
      <c r="J2383" s="1466">
        <f t="shared" si="95"/>
        <v>1237631.5878828999</v>
      </c>
      <c r="K2383" s="1466"/>
      <c r="L2383" s="1466"/>
      <c r="M2383" s="1540">
        <f t="shared" si="96"/>
        <v>1237631.5878828999</v>
      </c>
      <c r="N2383" s="166"/>
    </row>
    <row r="2384" spans="1:17" s="540" customFormat="1" ht="14.25" customHeight="1">
      <c r="A2384" s="1536">
        <v>222</v>
      </c>
      <c r="B2384" s="1537" t="e">
        <f>VLOOKUP(D2384,'[2]DS CN MOI UP'!$B$11:$C$447,2,0)</f>
        <v>#N/A</v>
      </c>
      <c r="C2384" s="1538"/>
      <c r="D2384" s="166" t="s">
        <v>1774</v>
      </c>
      <c r="E2384" s="1468" t="s">
        <v>15</v>
      </c>
      <c r="F2384" s="1468"/>
      <c r="G2384" s="1540">
        <v>1237631.5878828999</v>
      </c>
      <c r="H2384" s="1540"/>
      <c r="I2384" s="1540"/>
      <c r="J2384" s="1466">
        <f t="shared" si="95"/>
        <v>1237631.5878828999</v>
      </c>
      <c r="K2384" s="1466"/>
      <c r="L2384" s="1466"/>
      <c r="M2384" s="1540">
        <f t="shared" si="96"/>
        <v>1237631.5878828999</v>
      </c>
      <c r="N2384" s="166"/>
      <c r="O2384" s="540">
        <v>24228.513604491902</v>
      </c>
      <c r="P2384" s="540">
        <v>167112.78582418</v>
      </c>
      <c r="Q2384" s="540">
        <v>172864.029636502</v>
      </c>
    </row>
    <row r="2385" spans="1:14" s="540" customFormat="1" ht="14.25" customHeight="1">
      <c r="A2385" s="1536">
        <v>223</v>
      </c>
      <c r="B2385" s="1537" t="e">
        <f>VLOOKUP(D2385,'[2]DS CN MOI UP'!$B$11:$C$447,2,0)</f>
        <v>#N/A</v>
      </c>
      <c r="C2385" s="1538"/>
      <c r="D2385" s="166" t="s">
        <v>1775</v>
      </c>
      <c r="E2385" s="1468" t="s">
        <v>15</v>
      </c>
      <c r="F2385" s="1468"/>
      <c r="G2385" s="1540">
        <v>1237631.5878828999</v>
      </c>
      <c r="H2385" s="1540"/>
      <c r="I2385" s="1540"/>
      <c r="J2385" s="1466">
        <f t="shared" si="95"/>
        <v>1237631.5878828999</v>
      </c>
      <c r="K2385" s="1466"/>
      <c r="L2385" s="1466"/>
      <c r="M2385" s="1540">
        <f t="shared" si="96"/>
        <v>1237631.5878828999</v>
      </c>
      <c r="N2385" s="166"/>
    </row>
    <row r="2386" spans="1:14" s="540" customFormat="1" ht="14.25" customHeight="1">
      <c r="A2386" s="1536">
        <v>224</v>
      </c>
      <c r="B2386" s="1537" t="e">
        <f>VLOOKUP(D2386,'[2]DS CN MOI UP'!$B$11:$C$447,2,0)</f>
        <v>#N/A</v>
      </c>
      <c r="C2386" s="1538"/>
      <c r="D2386" s="166" t="s">
        <v>1776</v>
      </c>
      <c r="E2386" s="1468" t="s">
        <v>15</v>
      </c>
      <c r="F2386" s="1468"/>
      <c r="G2386" s="1540">
        <v>1237631.5878828999</v>
      </c>
      <c r="H2386" s="1540"/>
      <c r="I2386" s="1540"/>
      <c r="J2386" s="1466">
        <f t="shared" si="95"/>
        <v>1237631.5878828999</v>
      </c>
      <c r="K2386" s="1466"/>
      <c r="L2386" s="1466"/>
      <c r="M2386" s="1540">
        <f t="shared" si="96"/>
        <v>1237631.5878828999</v>
      </c>
      <c r="N2386" s="166"/>
    </row>
    <row r="2387" spans="1:14" s="540" customFormat="1" ht="14.25" customHeight="1">
      <c r="A2387" s="1536">
        <v>225</v>
      </c>
      <c r="B2387" s="1537" t="e">
        <f>VLOOKUP(D2387,'[2]DS CN MOI UP'!$B$11:$C$447,2,0)</f>
        <v>#N/A</v>
      </c>
      <c r="C2387" s="1538"/>
      <c r="D2387" s="166" t="s">
        <v>1777</v>
      </c>
      <c r="E2387" s="1468" t="s">
        <v>15</v>
      </c>
      <c r="F2387" s="1468"/>
      <c r="G2387" s="1540">
        <v>1237631.5878828999</v>
      </c>
      <c r="H2387" s="1540"/>
      <c r="I2387" s="1540"/>
      <c r="J2387" s="1466">
        <f t="shared" si="95"/>
        <v>1237631.5878828999</v>
      </c>
      <c r="K2387" s="1466"/>
      <c r="L2387" s="1466"/>
      <c r="M2387" s="1540">
        <f t="shared" si="96"/>
        <v>1237631.5878828999</v>
      </c>
      <c r="N2387" s="166"/>
    </row>
    <row r="2388" spans="1:14" s="540" customFormat="1" ht="14.25" customHeight="1">
      <c r="A2388" s="1536">
        <v>226</v>
      </c>
      <c r="B2388" s="1537" t="e">
        <f>VLOOKUP(D2388,'[2]DS CN MOI UP'!$B$11:$C$447,2,0)</f>
        <v>#N/A</v>
      </c>
      <c r="C2388" s="1538"/>
      <c r="D2388" s="166" t="s">
        <v>1778</v>
      </c>
      <c r="E2388" s="1468" t="s">
        <v>15</v>
      </c>
      <c r="F2388" s="1468"/>
      <c r="G2388" s="1540">
        <v>1237631.5878828999</v>
      </c>
      <c r="H2388" s="1540"/>
      <c r="I2388" s="1540"/>
      <c r="J2388" s="1466">
        <f t="shared" si="95"/>
        <v>1237631.5878828999</v>
      </c>
      <c r="K2388" s="1466"/>
      <c r="L2388" s="1466"/>
      <c r="M2388" s="1540">
        <f t="shared" si="96"/>
        <v>1237631.5878828999</v>
      </c>
      <c r="N2388" s="166"/>
    </row>
    <row r="2389" spans="1:14" s="540" customFormat="1" ht="14.25" customHeight="1">
      <c r="A2389" s="1536">
        <v>227</v>
      </c>
      <c r="B2389" s="1537" t="str">
        <f>VLOOKUP(D2389,'[2]DS CN MOI UP'!$B$11:$C$447,2,0)</f>
        <v>03353</v>
      </c>
      <c r="C2389" s="1538"/>
      <c r="D2389" s="166" t="s">
        <v>134</v>
      </c>
      <c r="E2389" s="1468" t="s">
        <v>15</v>
      </c>
      <c r="F2389" s="1468"/>
      <c r="G2389" s="1540">
        <v>381381.41810777801</v>
      </c>
      <c r="H2389" s="1540">
        <v>67112.785824179999</v>
      </c>
      <c r="I2389" s="1540">
        <f>+Q2384+637504.342907757</f>
        <v>810368.37254425895</v>
      </c>
      <c r="J2389" s="1466">
        <f t="shared" si="95"/>
        <v>1258862.57647622</v>
      </c>
      <c r="K2389" s="1466"/>
      <c r="L2389" s="1466"/>
      <c r="M2389" s="1540">
        <f t="shared" si="96"/>
        <v>1258862.57647622</v>
      </c>
      <c r="N2389" s="166"/>
    </row>
    <row r="2390" spans="1:14" s="540" customFormat="1" ht="14.25" customHeight="1">
      <c r="A2390" s="1536">
        <v>228</v>
      </c>
      <c r="B2390" s="1537" t="e">
        <f>VLOOKUP(D2390,'[2]DS CN MOI UP'!$B$11:$C$447,2,0)</f>
        <v>#N/A</v>
      </c>
      <c r="C2390" s="1538"/>
      <c r="D2390" s="166" t="s">
        <v>1779</v>
      </c>
      <c r="E2390" s="1468" t="s">
        <v>15</v>
      </c>
      <c r="F2390" s="1468"/>
      <c r="G2390" s="1540">
        <v>1237631.5878828999</v>
      </c>
      <c r="H2390" s="1540"/>
      <c r="I2390" s="1540"/>
      <c r="J2390" s="1466">
        <f t="shared" si="95"/>
        <v>1237631.5878828999</v>
      </c>
      <c r="K2390" s="1466"/>
      <c r="L2390" s="1466"/>
      <c r="M2390" s="1540">
        <f t="shared" si="96"/>
        <v>1237631.5878828999</v>
      </c>
      <c r="N2390" s="166"/>
    </row>
    <row r="2391" spans="1:14" s="540" customFormat="1" ht="14.25" customHeight="1">
      <c r="A2391" s="1536">
        <v>229</v>
      </c>
      <c r="B2391" s="1537" t="e">
        <f>VLOOKUP(D2391,'[2]DS CN MOI UP'!$B$11:$C$447,2,0)</f>
        <v>#N/A</v>
      </c>
      <c r="C2391" s="1538"/>
      <c r="D2391" s="166" t="s">
        <v>1780</v>
      </c>
      <c r="E2391" s="1468" t="s">
        <v>15</v>
      </c>
      <c r="F2391" s="1468"/>
      <c r="G2391" s="1540">
        <v>1237631.5878828999</v>
      </c>
      <c r="H2391" s="1540"/>
      <c r="I2391" s="1540"/>
      <c r="J2391" s="1466">
        <f t="shared" si="95"/>
        <v>1237631.5878828999</v>
      </c>
      <c r="K2391" s="1466"/>
      <c r="L2391" s="1466"/>
      <c r="M2391" s="1540">
        <f t="shared" si="96"/>
        <v>1237631.5878828999</v>
      </c>
      <c r="N2391" s="166"/>
    </row>
    <row r="2392" spans="1:14" s="540" customFormat="1" ht="14.25" customHeight="1">
      <c r="A2392" s="1536">
        <v>230</v>
      </c>
      <c r="B2392" s="1537" t="e">
        <f>VLOOKUP(D2392,'[2]DS CN MOI UP'!$B$11:$C$447,2,0)</f>
        <v>#N/A</v>
      </c>
      <c r="C2392" s="1538"/>
      <c r="D2392" s="166" t="s">
        <v>1781</v>
      </c>
      <c r="E2392" s="1468" t="s">
        <v>15</v>
      </c>
      <c r="F2392" s="1468"/>
      <c r="G2392" s="1540">
        <v>1237631.5878828999</v>
      </c>
      <c r="H2392" s="1540"/>
      <c r="I2392" s="1540"/>
      <c r="J2392" s="1466">
        <f t="shared" si="95"/>
        <v>1237631.5878828999</v>
      </c>
      <c r="K2392" s="1466"/>
      <c r="L2392" s="1466"/>
      <c r="M2392" s="1540">
        <f t="shared" si="96"/>
        <v>1237631.5878828999</v>
      </c>
      <c r="N2392" s="166"/>
    </row>
    <row r="2393" spans="1:14" s="540" customFormat="1" ht="14.25" customHeight="1">
      <c r="A2393" s="1536">
        <v>231</v>
      </c>
      <c r="B2393" s="1537" t="e">
        <f>VLOOKUP(D2393,'[2]DS CN MOI UP'!$B$11:$C$447,2,0)</f>
        <v>#N/A</v>
      </c>
      <c r="C2393" s="1538"/>
      <c r="D2393" s="166" t="s">
        <v>769</v>
      </c>
      <c r="E2393" s="1468" t="s">
        <v>15</v>
      </c>
      <c r="F2393" s="1468"/>
      <c r="G2393" s="1540">
        <v>624228.51360449195</v>
      </c>
      <c r="H2393" s="1466">
        <v>554373.09900000005</v>
      </c>
      <c r="I2393" s="1540"/>
      <c r="J2393" s="1466">
        <f t="shared" ref="J2393:J2550" si="97">SUM(G2393:I2393)</f>
        <v>1178601.61260449</v>
      </c>
      <c r="K2393" s="1466"/>
      <c r="L2393" s="1466"/>
      <c r="M2393" s="1540">
        <f t="shared" ref="M2393:M2550" si="98">J2393-L2393</f>
        <v>1178601.61260449</v>
      </c>
      <c r="N2393" s="166"/>
    </row>
    <row r="2394" spans="1:14" s="540" customFormat="1" ht="14.25" customHeight="1">
      <c r="A2394" s="1536">
        <v>232</v>
      </c>
      <c r="B2394" s="1537" t="e">
        <f>VLOOKUP(D2394,'[2]DS CN MOI UP'!$B$11:$C$447,2,0)</f>
        <v>#N/A</v>
      </c>
      <c r="C2394" s="1538"/>
      <c r="D2394" s="166" t="s">
        <v>1707</v>
      </c>
      <c r="E2394" s="1468" t="s">
        <v>15</v>
      </c>
      <c r="F2394" s="1468"/>
      <c r="G2394" s="1540">
        <v>600000</v>
      </c>
      <c r="H2394" s="1466">
        <v>635040.18900000001</v>
      </c>
      <c r="I2394" s="1540"/>
      <c r="J2394" s="1466">
        <f t="shared" si="97"/>
        <v>1235040.189</v>
      </c>
      <c r="K2394" s="1466"/>
      <c r="L2394" s="1466"/>
      <c r="M2394" s="1540">
        <f t="shared" si="98"/>
        <v>1235040.189</v>
      </c>
      <c r="N2394" s="166"/>
    </row>
    <row r="2395" spans="1:14" s="540" customFormat="1" ht="14.25" customHeight="1">
      <c r="A2395" s="1536">
        <v>233</v>
      </c>
      <c r="B2395" s="1537" t="e">
        <f>VLOOKUP(D2395,'[2]DS CN MOI UP'!$B$11:$C$447,2,0)</f>
        <v>#N/A</v>
      </c>
      <c r="C2395" s="1538"/>
      <c r="D2395" s="166" t="s">
        <v>1708</v>
      </c>
      <c r="E2395" s="1468" t="s">
        <v>15</v>
      </c>
      <c r="F2395" s="1468"/>
      <c r="G2395" s="1540">
        <v>744855.12120026303</v>
      </c>
      <c r="H2395" s="1466">
        <v>544338.9</v>
      </c>
      <c r="I2395" s="1540"/>
      <c r="J2395" s="1466">
        <f t="shared" si="97"/>
        <v>1289194.0212002599</v>
      </c>
      <c r="K2395" s="1466"/>
      <c r="L2395" s="1466"/>
      <c r="M2395" s="1540">
        <f t="shared" si="98"/>
        <v>1289194.0212002599</v>
      </c>
      <c r="N2395" s="166"/>
    </row>
    <row r="2396" spans="1:14" s="540" customFormat="1" ht="14.25" customHeight="1">
      <c r="A2396" s="1536">
        <v>234</v>
      </c>
      <c r="B2396" s="1537" t="e">
        <f>VLOOKUP(D2396,'[2]DS CN MOI UP'!$B$11:$C$447,2,0)</f>
        <v>#N/A</v>
      </c>
      <c r="C2396" s="1538"/>
      <c r="D2396" s="166" t="s">
        <v>1709</v>
      </c>
      <c r="E2396" s="1468" t="s">
        <v>15</v>
      </c>
      <c r="F2396" s="1468"/>
      <c r="G2396" s="1540">
        <v>600000</v>
      </c>
      <c r="H2396" s="1466">
        <v>574572.66299999994</v>
      </c>
      <c r="I2396" s="1540"/>
      <c r="J2396" s="1466">
        <f t="shared" si="97"/>
        <v>1174572.6629999999</v>
      </c>
      <c r="K2396" s="1466"/>
      <c r="L2396" s="1466"/>
      <c r="M2396" s="1540">
        <f t="shared" si="98"/>
        <v>1174572.6629999999</v>
      </c>
      <c r="N2396" s="166"/>
    </row>
    <row r="2397" spans="1:14" s="540" customFormat="1" ht="14.25" customHeight="1">
      <c r="A2397" s="1536">
        <v>235</v>
      </c>
      <c r="B2397" s="1537" t="e">
        <f>VLOOKUP(D2397,'[2]DS CN MOI UP'!$B$11:$C$447,2,0)</f>
        <v>#N/A</v>
      </c>
      <c r="C2397" s="1538"/>
      <c r="D2397" s="166" t="s">
        <v>771</v>
      </c>
      <c r="E2397" s="1468" t="s">
        <v>15</v>
      </c>
      <c r="F2397" s="1468"/>
      <c r="G2397" s="1540">
        <v>600000</v>
      </c>
      <c r="H2397" s="1466">
        <v>524139.33600000001</v>
      </c>
      <c r="I2397" s="1540"/>
      <c r="J2397" s="1466">
        <f t="shared" si="97"/>
        <v>1124139.3359999999</v>
      </c>
      <c r="K2397" s="1466"/>
      <c r="L2397" s="1466"/>
      <c r="M2397" s="1540">
        <f t="shared" si="98"/>
        <v>1124139.3359999999</v>
      </c>
      <c r="N2397" s="166"/>
    </row>
    <row r="2398" spans="1:14" s="540" customFormat="1" ht="14.25" customHeight="1">
      <c r="A2398" s="1536">
        <v>236</v>
      </c>
      <c r="B2398" s="1537" t="e">
        <f>VLOOKUP(D2398,'[2]DS CN MOI UP'!$B$11:$C$447,2,0)</f>
        <v>#N/A</v>
      </c>
      <c r="C2398" s="1538"/>
      <c r="D2398" s="166" t="s">
        <v>1782</v>
      </c>
      <c r="E2398" s="1468" t="s">
        <v>15</v>
      </c>
      <c r="F2398" s="1468"/>
      <c r="G2398" s="1540">
        <v>600000</v>
      </c>
      <c r="H2398" s="1466">
        <v>635040.18900000001</v>
      </c>
      <c r="I2398" s="1540"/>
      <c r="J2398" s="1466">
        <f t="shared" si="97"/>
        <v>1235040.189</v>
      </c>
      <c r="K2398" s="1466"/>
      <c r="L2398" s="1466"/>
      <c r="M2398" s="1540">
        <f t="shared" si="98"/>
        <v>1235040.189</v>
      </c>
      <c r="N2398" s="166"/>
    </row>
    <row r="2399" spans="1:14" s="540" customFormat="1" ht="14.25" customHeight="1">
      <c r="A2399" s="1536">
        <v>237</v>
      </c>
      <c r="B2399" s="1537" t="e">
        <f>VLOOKUP(D2399,'[2]DS CN MOI UP'!$B$11:$C$447,2,0)</f>
        <v>#N/A</v>
      </c>
      <c r="C2399" s="1538"/>
      <c r="D2399" s="166" t="s">
        <v>1783</v>
      </c>
      <c r="E2399" s="1468" t="s">
        <v>15</v>
      </c>
      <c r="F2399" s="1468"/>
      <c r="G2399" s="1540">
        <v>600000</v>
      </c>
      <c r="H2399" s="1466">
        <v>635040.18900000001</v>
      </c>
      <c r="I2399" s="1540"/>
      <c r="J2399" s="1466">
        <f t="shared" si="97"/>
        <v>1235040.189</v>
      </c>
      <c r="K2399" s="1466"/>
      <c r="L2399" s="1466"/>
      <c r="M2399" s="1540">
        <f t="shared" si="98"/>
        <v>1235040.189</v>
      </c>
      <c r="N2399" s="166"/>
    </row>
    <row r="2400" spans="1:14" s="540" customFormat="1" ht="14.25" customHeight="1">
      <c r="A2400" s="1536">
        <v>238</v>
      </c>
      <c r="B2400" s="1537" t="e">
        <f>VLOOKUP(D2400,'[2]DS CN MOI UP'!$B$11:$C$447,2,0)</f>
        <v>#N/A</v>
      </c>
      <c r="C2400" s="1538"/>
      <c r="D2400" s="166" t="s">
        <v>773</v>
      </c>
      <c r="E2400" s="1468" t="s">
        <v>15</v>
      </c>
      <c r="F2400" s="1468"/>
      <c r="G2400" s="1540">
        <v>600000</v>
      </c>
      <c r="H2400" s="1466">
        <v>554373.09900000005</v>
      </c>
      <c r="I2400" s="1540"/>
      <c r="J2400" s="1466">
        <f t="shared" si="97"/>
        <v>1154373.0989999999</v>
      </c>
      <c r="K2400" s="1466"/>
      <c r="L2400" s="1466"/>
      <c r="M2400" s="1540">
        <f t="shared" si="98"/>
        <v>1154373.0989999999</v>
      </c>
      <c r="N2400" s="166"/>
    </row>
    <row r="2401" spans="1:14" s="540" customFormat="1" ht="14.25" customHeight="1">
      <c r="A2401" s="1536">
        <v>239</v>
      </c>
      <c r="B2401" s="1537" t="e">
        <f>VLOOKUP(D2401,'[2]DS CN MOI UP'!$B$11:$C$447,2,0)</f>
        <v>#N/A</v>
      </c>
      <c r="C2401" s="1538"/>
      <c r="D2401" s="166" t="s">
        <v>774</v>
      </c>
      <c r="E2401" s="1468" t="s">
        <v>15</v>
      </c>
      <c r="F2401" s="1468"/>
      <c r="G2401" s="1540">
        <v>600000</v>
      </c>
      <c r="H2401" s="1466">
        <v>635040.18900000001</v>
      </c>
      <c r="I2401" s="1540"/>
      <c r="J2401" s="1466">
        <f t="shared" si="97"/>
        <v>1235040.189</v>
      </c>
      <c r="K2401" s="1466"/>
      <c r="L2401" s="1466"/>
      <c r="M2401" s="1540">
        <f t="shared" si="98"/>
        <v>1235040.189</v>
      </c>
      <c r="N2401" s="166"/>
    </row>
    <row r="2402" spans="1:14" s="540" customFormat="1" ht="14.25" customHeight="1">
      <c r="A2402" s="1536">
        <v>240</v>
      </c>
      <c r="B2402" s="1537" t="e">
        <f>VLOOKUP(D2402,'[2]DS CN MOI UP'!$B$11:$C$447,2,0)</f>
        <v>#N/A</v>
      </c>
      <c r="C2402" s="1538"/>
      <c r="D2402" s="166" t="s">
        <v>1711</v>
      </c>
      <c r="E2402" s="1468" t="s">
        <v>15</v>
      </c>
      <c r="F2402" s="1468"/>
      <c r="G2402" s="1540">
        <v>744855.12120026303</v>
      </c>
      <c r="H2402" s="1466">
        <v>544338.9</v>
      </c>
      <c r="I2402" s="1540"/>
      <c r="J2402" s="1466">
        <f t="shared" si="97"/>
        <v>1289194.0212002599</v>
      </c>
      <c r="K2402" s="1466"/>
      <c r="L2402" s="1466"/>
      <c r="M2402" s="1540">
        <f t="shared" si="98"/>
        <v>1289194.0212002599</v>
      </c>
      <c r="N2402" s="166"/>
    </row>
    <row r="2403" spans="1:14" s="540" customFormat="1" ht="14.25" customHeight="1">
      <c r="A2403" s="1536">
        <v>241</v>
      </c>
      <c r="B2403" s="1537" t="e">
        <f>VLOOKUP(D2403,'[2]DS CN MOI UP'!$B$11:$C$447,2,0)</f>
        <v>#N/A</v>
      </c>
      <c r="C2403" s="1538"/>
      <c r="D2403" s="166" t="s">
        <v>1712</v>
      </c>
      <c r="E2403" s="1468" t="s">
        <v>15</v>
      </c>
      <c r="F2403" s="1468"/>
      <c r="G2403" s="1540">
        <v>600000</v>
      </c>
      <c r="H2403" s="1466">
        <v>674572.66299999994</v>
      </c>
      <c r="I2403" s="1540"/>
      <c r="J2403" s="1466">
        <f t="shared" si="97"/>
        <v>1274572.6629999999</v>
      </c>
      <c r="K2403" s="1466"/>
      <c r="L2403" s="1466"/>
      <c r="M2403" s="1540">
        <f t="shared" si="98"/>
        <v>1274572.6629999999</v>
      </c>
      <c r="N2403" s="166"/>
    </row>
    <row r="2404" spans="1:14" s="540" customFormat="1" ht="14.25" customHeight="1">
      <c r="A2404" s="1536">
        <v>242</v>
      </c>
      <c r="B2404" s="1537" t="e">
        <f>VLOOKUP(D2404,'[2]DS CN MOI UP'!$B$11:$C$447,2,0)</f>
        <v>#N/A</v>
      </c>
      <c r="C2404" s="1538"/>
      <c r="D2404" s="166" t="s">
        <v>777</v>
      </c>
      <c r="E2404" s="1468" t="s">
        <v>15</v>
      </c>
      <c r="F2404" s="1468"/>
      <c r="G2404" s="1540">
        <v>600000</v>
      </c>
      <c r="H2404" s="1466">
        <v>524139.33600000001</v>
      </c>
      <c r="I2404" s="1540"/>
      <c r="J2404" s="1466">
        <f t="shared" si="97"/>
        <v>1124139.3359999999</v>
      </c>
      <c r="K2404" s="1466"/>
      <c r="L2404" s="1466"/>
      <c r="M2404" s="1540">
        <f t="shared" si="98"/>
        <v>1124139.3359999999</v>
      </c>
      <c r="N2404" s="166"/>
    </row>
    <row r="2405" spans="1:14" s="540" customFormat="1" ht="14.25" customHeight="1">
      <c r="A2405" s="1536">
        <v>243</v>
      </c>
      <c r="B2405" s="1537" t="e">
        <f>VLOOKUP(D2405,'[2]DS CN MOI UP'!$B$11:$C$447,2,0)</f>
        <v>#N/A</v>
      </c>
      <c r="C2405" s="1538"/>
      <c r="D2405" s="166" t="s">
        <v>1714</v>
      </c>
      <c r="E2405" s="1468" t="s">
        <v>15</v>
      </c>
      <c r="F2405" s="1468"/>
      <c r="G2405" s="1540">
        <v>600000</v>
      </c>
      <c r="H2405" s="1466">
        <v>635040.18900000001</v>
      </c>
      <c r="I2405" s="1540"/>
      <c r="J2405" s="1466">
        <f t="shared" ref="J2405:J2424" si="99">SUM(G2405:I2405)</f>
        <v>1235040.189</v>
      </c>
      <c r="K2405" s="1466"/>
      <c r="L2405" s="1466"/>
      <c r="M2405" s="1540">
        <f t="shared" ref="M2405:M2424" si="100">J2405-L2405</f>
        <v>1235040.189</v>
      </c>
      <c r="N2405" s="166"/>
    </row>
    <row r="2406" spans="1:14" s="540" customFormat="1" ht="14.25" customHeight="1">
      <c r="A2406" s="1536">
        <v>244</v>
      </c>
      <c r="B2406" s="1537" t="e">
        <f>VLOOKUP(D2406,'[2]DS CN MOI UP'!$B$11:$C$447,2,0)</f>
        <v>#N/A</v>
      </c>
      <c r="C2406" s="1538"/>
      <c r="D2406" s="166" t="s">
        <v>1715</v>
      </c>
      <c r="E2406" s="1468" t="s">
        <v>15</v>
      </c>
      <c r="F2406" s="1468"/>
      <c r="G2406" s="1540">
        <v>600000</v>
      </c>
      <c r="H2406" s="1466">
        <v>635040.18900000001</v>
      </c>
      <c r="I2406" s="1540"/>
      <c r="J2406" s="1466">
        <f t="shared" si="99"/>
        <v>1235040.189</v>
      </c>
      <c r="K2406" s="1466"/>
      <c r="L2406" s="1466"/>
      <c r="M2406" s="1540">
        <f t="shared" si="100"/>
        <v>1235040.189</v>
      </c>
      <c r="N2406" s="166"/>
    </row>
    <row r="2407" spans="1:14" s="540" customFormat="1" ht="14.25" customHeight="1">
      <c r="A2407" s="1536">
        <v>245</v>
      </c>
      <c r="B2407" s="1537" t="e">
        <f>VLOOKUP(D2407,'[2]DS CN MOI UP'!$B$11:$C$447,2,0)</f>
        <v>#N/A</v>
      </c>
      <c r="C2407" s="1538"/>
      <c r="D2407" s="166" t="s">
        <v>1716</v>
      </c>
      <c r="E2407" s="1468" t="s">
        <v>15</v>
      </c>
      <c r="F2407" s="1468"/>
      <c r="G2407" s="1540">
        <v>600000</v>
      </c>
      <c r="H2407" s="1466">
        <v>554373.09900000005</v>
      </c>
      <c r="I2407" s="1540"/>
      <c r="J2407" s="1466">
        <f t="shared" si="99"/>
        <v>1154373.0989999999</v>
      </c>
      <c r="K2407" s="1466"/>
      <c r="L2407" s="1466"/>
      <c r="M2407" s="1540">
        <f t="shared" si="100"/>
        <v>1154373.0989999999</v>
      </c>
      <c r="N2407" s="166"/>
    </row>
    <row r="2408" spans="1:14" s="540" customFormat="1" ht="14.25" customHeight="1">
      <c r="A2408" s="1536">
        <v>246</v>
      </c>
      <c r="B2408" s="1537" t="e">
        <f>VLOOKUP(D2408,'[2]DS CN MOI UP'!$B$11:$C$447,2,0)</f>
        <v>#N/A</v>
      </c>
      <c r="C2408" s="1538"/>
      <c r="D2408" s="166" t="s">
        <v>1717</v>
      </c>
      <c r="E2408" s="1468" t="s">
        <v>15</v>
      </c>
      <c r="F2408" s="1468"/>
      <c r="G2408" s="1540">
        <v>600000</v>
      </c>
      <c r="H2408" s="1466">
        <v>635040.18900000001</v>
      </c>
      <c r="I2408" s="1540"/>
      <c r="J2408" s="1466">
        <f t="shared" si="99"/>
        <v>1235040.189</v>
      </c>
      <c r="K2408" s="1466"/>
      <c r="L2408" s="1466"/>
      <c r="M2408" s="1540">
        <f t="shared" si="100"/>
        <v>1235040.189</v>
      </c>
      <c r="N2408" s="166"/>
    </row>
    <row r="2409" spans="1:14" s="540" customFormat="1" ht="14.25" customHeight="1">
      <c r="A2409" s="1536">
        <v>247</v>
      </c>
      <c r="B2409" s="1537" t="e">
        <f>VLOOKUP(D2409,'[2]DS CN MOI UP'!$B$11:$C$447,2,0)</f>
        <v>#N/A</v>
      </c>
      <c r="C2409" s="1538"/>
      <c r="D2409" s="166" t="s">
        <v>1718</v>
      </c>
      <c r="E2409" s="1468" t="s">
        <v>15</v>
      </c>
      <c r="F2409" s="1468"/>
      <c r="G2409" s="1540">
        <v>744855.12120026303</v>
      </c>
      <c r="H2409" s="1466">
        <v>544338.9</v>
      </c>
      <c r="I2409" s="1540"/>
      <c r="J2409" s="1466">
        <f t="shared" si="99"/>
        <v>1289194.0212002599</v>
      </c>
      <c r="K2409" s="1466"/>
      <c r="L2409" s="1466"/>
      <c r="M2409" s="1540">
        <f t="shared" si="100"/>
        <v>1289194.0212002599</v>
      </c>
      <c r="N2409" s="166"/>
    </row>
    <row r="2410" spans="1:14" s="540" customFormat="1" ht="14.25" customHeight="1">
      <c r="A2410" s="1536">
        <v>248</v>
      </c>
      <c r="B2410" s="1537" t="e">
        <f>VLOOKUP(D2410,'[2]DS CN MOI UP'!$B$11:$C$447,2,0)</f>
        <v>#N/A</v>
      </c>
      <c r="C2410" s="1538"/>
      <c r="D2410" s="166" t="s">
        <v>1719</v>
      </c>
      <c r="E2410" s="1468" t="s">
        <v>15</v>
      </c>
      <c r="F2410" s="1468"/>
      <c r="G2410" s="1540">
        <v>600000</v>
      </c>
      <c r="H2410" s="1466">
        <v>574572.66299999994</v>
      </c>
      <c r="I2410" s="1540"/>
      <c r="J2410" s="1466">
        <f t="shared" si="99"/>
        <v>1174572.6629999999</v>
      </c>
      <c r="K2410" s="1466"/>
      <c r="L2410" s="1466"/>
      <c r="M2410" s="1540">
        <f t="shared" si="100"/>
        <v>1174572.6629999999</v>
      </c>
      <c r="N2410" s="166"/>
    </row>
    <row r="2411" spans="1:14" s="540" customFormat="1" ht="14.25" customHeight="1">
      <c r="A2411" s="1536">
        <v>249</v>
      </c>
      <c r="B2411" s="1537" t="e">
        <f>VLOOKUP(D2411,'[2]DS CN MOI UP'!$B$11:$C$447,2,0)</f>
        <v>#N/A</v>
      </c>
      <c r="C2411" s="1538"/>
      <c r="D2411" s="166" t="s">
        <v>1720</v>
      </c>
      <c r="E2411" s="1468" t="s">
        <v>15</v>
      </c>
      <c r="F2411" s="1468"/>
      <c r="G2411" s="1540">
        <v>600000</v>
      </c>
      <c r="H2411" s="1466">
        <v>524139.33600000001</v>
      </c>
      <c r="I2411" s="1540"/>
      <c r="J2411" s="1466">
        <f t="shared" si="99"/>
        <v>1124139.3359999999</v>
      </c>
      <c r="K2411" s="1466"/>
      <c r="L2411" s="1466"/>
      <c r="M2411" s="1540">
        <f t="shared" si="100"/>
        <v>1124139.3359999999</v>
      </c>
      <c r="N2411" s="166"/>
    </row>
    <row r="2412" spans="1:14" s="540" customFormat="1" ht="14.25" customHeight="1">
      <c r="A2412" s="1536">
        <v>250</v>
      </c>
      <c r="B2412" s="1537" t="e">
        <f>VLOOKUP(D2412,'[2]DS CN MOI UP'!$B$11:$C$447,2,0)</f>
        <v>#N/A</v>
      </c>
      <c r="C2412" s="1538"/>
      <c r="D2412" s="166" t="s">
        <v>1721</v>
      </c>
      <c r="E2412" s="1468" t="s">
        <v>15</v>
      </c>
      <c r="F2412" s="1468"/>
      <c r="G2412" s="1540">
        <v>600000</v>
      </c>
      <c r="H2412" s="1466">
        <v>635040.18900000001</v>
      </c>
      <c r="I2412" s="1540"/>
      <c r="J2412" s="1466">
        <f t="shared" si="99"/>
        <v>1235040.189</v>
      </c>
      <c r="K2412" s="1466"/>
      <c r="L2412" s="1466"/>
      <c r="M2412" s="1540">
        <f t="shared" si="100"/>
        <v>1235040.189</v>
      </c>
      <c r="N2412" s="166"/>
    </row>
    <row r="2413" spans="1:14" s="540" customFormat="1" ht="14.25" customHeight="1">
      <c r="A2413" s="1536">
        <v>251</v>
      </c>
      <c r="B2413" s="1537" t="e">
        <f>VLOOKUP(D2413,'[2]DS CN MOI UP'!$B$11:$C$447,2,0)</f>
        <v>#N/A</v>
      </c>
      <c r="C2413" s="1538"/>
      <c r="D2413" s="166" t="s">
        <v>1722</v>
      </c>
      <c r="E2413" s="1468" t="s">
        <v>15</v>
      </c>
      <c r="F2413" s="1468"/>
      <c r="G2413" s="1540">
        <v>600000</v>
      </c>
      <c r="H2413" s="1466">
        <v>635040.18900000001</v>
      </c>
      <c r="I2413" s="1540"/>
      <c r="J2413" s="1466">
        <f t="shared" si="99"/>
        <v>1235040.189</v>
      </c>
      <c r="K2413" s="1466"/>
      <c r="L2413" s="1466"/>
      <c r="M2413" s="1540">
        <f t="shared" si="100"/>
        <v>1235040.189</v>
      </c>
      <c r="N2413" s="166"/>
    </row>
    <row r="2414" spans="1:14" s="540" customFormat="1" ht="14.25" customHeight="1">
      <c r="A2414" s="1536">
        <v>252</v>
      </c>
      <c r="B2414" s="1537" t="e">
        <f>VLOOKUP(D2414,'[2]DS CN MOI UP'!$B$11:$C$447,2,0)</f>
        <v>#N/A</v>
      </c>
      <c r="C2414" s="1538"/>
      <c r="D2414" s="166" t="s">
        <v>1723</v>
      </c>
      <c r="E2414" s="1468" t="s">
        <v>15</v>
      </c>
      <c r="F2414" s="1468"/>
      <c r="G2414" s="1540">
        <v>600000</v>
      </c>
      <c r="H2414" s="1466">
        <v>554373.09900000005</v>
      </c>
      <c r="I2414" s="1540"/>
      <c r="J2414" s="1466">
        <f t="shared" si="99"/>
        <v>1154373.0989999999</v>
      </c>
      <c r="K2414" s="1466"/>
      <c r="L2414" s="1466"/>
      <c r="M2414" s="1540">
        <f t="shared" si="100"/>
        <v>1154373.0989999999</v>
      </c>
      <c r="N2414" s="166"/>
    </row>
    <row r="2415" spans="1:14" s="540" customFormat="1" ht="14.25" customHeight="1">
      <c r="A2415" s="1536">
        <v>253</v>
      </c>
      <c r="B2415" s="1537" t="e">
        <f>VLOOKUP(D2415,'[2]DS CN MOI UP'!$B$11:$C$447,2,0)</f>
        <v>#N/A</v>
      </c>
      <c r="C2415" s="1538"/>
      <c r="D2415" s="166" t="s">
        <v>1724</v>
      </c>
      <c r="E2415" s="1468" t="s">
        <v>15</v>
      </c>
      <c r="F2415" s="1468"/>
      <c r="G2415" s="1540">
        <v>600000</v>
      </c>
      <c r="H2415" s="1466">
        <v>635040.18900000001</v>
      </c>
      <c r="I2415" s="1540"/>
      <c r="J2415" s="1466">
        <f t="shared" si="99"/>
        <v>1235040.189</v>
      </c>
      <c r="K2415" s="1466"/>
      <c r="L2415" s="1466"/>
      <c r="M2415" s="1540">
        <f t="shared" si="100"/>
        <v>1235040.189</v>
      </c>
      <c r="N2415" s="166"/>
    </row>
    <row r="2416" spans="1:14" s="540" customFormat="1" ht="14.25" customHeight="1">
      <c r="A2416" s="1536">
        <v>254</v>
      </c>
      <c r="B2416" s="1537" t="e">
        <f>VLOOKUP(D2416,'[2]DS CN MOI UP'!$B$11:$C$447,2,0)</f>
        <v>#N/A</v>
      </c>
      <c r="C2416" s="1538"/>
      <c r="D2416" s="166" t="s">
        <v>1725</v>
      </c>
      <c r="E2416" s="1468" t="s">
        <v>15</v>
      </c>
      <c r="F2416" s="1468"/>
      <c r="G2416" s="1540">
        <v>744855.12120026303</v>
      </c>
      <c r="H2416" s="1466">
        <v>544338.9</v>
      </c>
      <c r="I2416" s="1540"/>
      <c r="J2416" s="1466">
        <f t="shared" si="99"/>
        <v>1289194.0212002599</v>
      </c>
      <c r="K2416" s="1466"/>
      <c r="L2416" s="1466"/>
      <c r="M2416" s="1540">
        <f t="shared" si="100"/>
        <v>1289194.0212002599</v>
      </c>
      <c r="N2416" s="166"/>
    </row>
    <row r="2417" spans="1:14" s="540" customFormat="1" ht="14.25" customHeight="1">
      <c r="A2417" s="1536">
        <v>255</v>
      </c>
      <c r="B2417" s="1537" t="e">
        <f>VLOOKUP(D2417,'[2]DS CN MOI UP'!$B$11:$C$447,2,0)</f>
        <v>#N/A</v>
      </c>
      <c r="C2417" s="1538"/>
      <c r="D2417" s="166" t="s">
        <v>836</v>
      </c>
      <c r="E2417" s="1468" t="s">
        <v>15</v>
      </c>
      <c r="F2417" s="1468"/>
      <c r="G2417" s="1540">
        <v>600000</v>
      </c>
      <c r="H2417" s="1466">
        <v>574572.66299999994</v>
      </c>
      <c r="I2417" s="1540"/>
      <c r="J2417" s="1466">
        <f t="shared" si="99"/>
        <v>1174572.6629999999</v>
      </c>
      <c r="K2417" s="1466"/>
      <c r="L2417" s="1466"/>
      <c r="M2417" s="1540">
        <f t="shared" si="100"/>
        <v>1174572.6629999999</v>
      </c>
      <c r="N2417" s="166"/>
    </row>
    <row r="2418" spans="1:14" s="540" customFormat="1" ht="14.25" customHeight="1">
      <c r="A2418" s="1536">
        <v>256</v>
      </c>
      <c r="B2418" s="1537" t="e">
        <f>VLOOKUP(D2418,'[2]DS CN MOI UP'!$B$11:$C$447,2,0)</f>
        <v>#N/A</v>
      </c>
      <c r="C2418" s="1538"/>
      <c r="D2418" s="166" t="s">
        <v>1726</v>
      </c>
      <c r="E2418" s="1468" t="s">
        <v>15</v>
      </c>
      <c r="F2418" s="1468"/>
      <c r="G2418" s="1540">
        <v>600000</v>
      </c>
      <c r="H2418" s="1466">
        <v>524139.33600000001</v>
      </c>
      <c r="I2418" s="1540"/>
      <c r="J2418" s="1466">
        <f t="shared" si="99"/>
        <v>1124139.3359999999</v>
      </c>
      <c r="K2418" s="1466"/>
      <c r="L2418" s="1466"/>
      <c r="M2418" s="1540">
        <f t="shared" si="100"/>
        <v>1124139.3359999999</v>
      </c>
      <c r="N2418" s="166"/>
    </row>
    <row r="2419" spans="1:14" s="540" customFormat="1" ht="14.25" customHeight="1">
      <c r="A2419" s="1536">
        <v>257</v>
      </c>
      <c r="B2419" s="1537" t="e">
        <f>VLOOKUP(D2419,'[2]DS CN MOI UP'!$B$11:$C$447,2,0)</f>
        <v>#N/A</v>
      </c>
      <c r="C2419" s="1538"/>
      <c r="D2419" s="166" t="s">
        <v>1727</v>
      </c>
      <c r="E2419" s="1468" t="s">
        <v>15</v>
      </c>
      <c r="F2419" s="1468"/>
      <c r="G2419" s="1540">
        <v>600000</v>
      </c>
      <c r="H2419" s="1466">
        <v>635040.18900000001</v>
      </c>
      <c r="I2419" s="1540"/>
      <c r="J2419" s="1466">
        <f t="shared" si="99"/>
        <v>1235040.189</v>
      </c>
      <c r="K2419" s="1466"/>
      <c r="L2419" s="1466"/>
      <c r="M2419" s="1540">
        <f t="shared" si="100"/>
        <v>1235040.189</v>
      </c>
      <c r="N2419" s="166"/>
    </row>
    <row r="2420" spans="1:14" s="540" customFormat="1" ht="14.25" customHeight="1">
      <c r="A2420" s="1536">
        <v>258</v>
      </c>
      <c r="B2420" s="1537" t="e">
        <f>VLOOKUP(D2420,'[2]DS CN MOI UP'!$B$11:$C$447,2,0)</f>
        <v>#N/A</v>
      </c>
      <c r="C2420" s="1538"/>
      <c r="D2420" s="166" t="s">
        <v>1728</v>
      </c>
      <c r="E2420" s="1468" t="s">
        <v>15</v>
      </c>
      <c r="F2420" s="1468"/>
      <c r="G2420" s="1540">
        <v>600000</v>
      </c>
      <c r="H2420" s="1466">
        <v>635040.18900000001</v>
      </c>
      <c r="I2420" s="1540"/>
      <c r="J2420" s="1466">
        <f t="shared" si="99"/>
        <v>1235040.189</v>
      </c>
      <c r="K2420" s="1466"/>
      <c r="L2420" s="1466"/>
      <c r="M2420" s="1540">
        <f t="shared" si="100"/>
        <v>1235040.189</v>
      </c>
      <c r="N2420" s="166"/>
    </row>
    <row r="2421" spans="1:14" s="540" customFormat="1" ht="14.25" customHeight="1">
      <c r="A2421" s="1536">
        <v>259</v>
      </c>
      <c r="B2421" s="1537" t="e">
        <f>VLOOKUP(D2421,'[2]DS CN MOI UP'!$B$11:$C$447,2,0)</f>
        <v>#N/A</v>
      </c>
      <c r="C2421" s="1538"/>
      <c r="D2421" s="166" t="s">
        <v>1729</v>
      </c>
      <c r="E2421" s="1468" t="s">
        <v>15</v>
      </c>
      <c r="F2421" s="1468"/>
      <c r="G2421" s="1540">
        <v>600000</v>
      </c>
      <c r="H2421" s="1466">
        <v>554373.09900000005</v>
      </c>
      <c r="I2421" s="1540"/>
      <c r="J2421" s="1466">
        <f t="shared" si="99"/>
        <v>1154373.0989999999</v>
      </c>
      <c r="K2421" s="1466"/>
      <c r="L2421" s="1466"/>
      <c r="M2421" s="1540">
        <f t="shared" si="100"/>
        <v>1154373.0989999999</v>
      </c>
      <c r="N2421" s="166"/>
    </row>
    <row r="2422" spans="1:14" s="540" customFormat="1" ht="14.25" customHeight="1">
      <c r="A2422" s="1536">
        <v>260</v>
      </c>
      <c r="B2422" s="1537" t="e">
        <f>VLOOKUP(D2422,'[2]DS CN MOI UP'!$B$11:$C$447,2,0)</f>
        <v>#N/A</v>
      </c>
      <c r="C2422" s="1538"/>
      <c r="D2422" s="166" t="s">
        <v>1730</v>
      </c>
      <c r="E2422" s="1468" t="s">
        <v>15</v>
      </c>
      <c r="F2422" s="1468"/>
      <c r="G2422" s="1540">
        <v>600000</v>
      </c>
      <c r="H2422" s="1466">
        <v>635040.18900000001</v>
      </c>
      <c r="I2422" s="1540"/>
      <c r="J2422" s="1466">
        <f t="shared" si="99"/>
        <v>1235040.189</v>
      </c>
      <c r="K2422" s="1466"/>
      <c r="L2422" s="1466"/>
      <c r="M2422" s="1540">
        <f t="shared" si="100"/>
        <v>1235040.189</v>
      </c>
      <c r="N2422" s="166"/>
    </row>
    <row r="2423" spans="1:14" s="540" customFormat="1" ht="14.25" customHeight="1">
      <c r="A2423" s="1536">
        <v>261</v>
      </c>
      <c r="B2423" s="1537" t="e">
        <f>VLOOKUP(D2423,'[2]DS CN MOI UP'!$B$11:$C$447,2,0)</f>
        <v>#N/A</v>
      </c>
      <c r="C2423" s="1538"/>
      <c r="D2423" s="166" t="s">
        <v>1731</v>
      </c>
      <c r="E2423" s="1468" t="s">
        <v>15</v>
      </c>
      <c r="F2423" s="1468"/>
      <c r="G2423" s="1540">
        <v>744855.12120026303</v>
      </c>
      <c r="H2423" s="1466">
        <v>544338.9</v>
      </c>
      <c r="I2423" s="1540"/>
      <c r="J2423" s="1466">
        <f t="shared" si="99"/>
        <v>1289194.0212002599</v>
      </c>
      <c r="K2423" s="1466"/>
      <c r="L2423" s="1466"/>
      <c r="M2423" s="1540">
        <f t="shared" si="100"/>
        <v>1289194.0212002599</v>
      </c>
      <c r="N2423" s="166"/>
    </row>
    <row r="2424" spans="1:14" s="540" customFormat="1" ht="14.25" customHeight="1">
      <c r="A2424" s="1536">
        <v>262</v>
      </c>
      <c r="B2424" s="1537" t="e">
        <f>VLOOKUP(D2424,'[2]DS CN MOI UP'!$B$11:$C$447,2,0)</f>
        <v>#N/A</v>
      </c>
      <c r="C2424" s="1538"/>
      <c r="D2424" s="166" t="s">
        <v>1732</v>
      </c>
      <c r="E2424" s="1468" t="s">
        <v>15</v>
      </c>
      <c r="F2424" s="1468"/>
      <c r="G2424" s="1540">
        <v>600000</v>
      </c>
      <c r="H2424" s="1466">
        <v>574572.66299999994</v>
      </c>
      <c r="I2424" s="1540"/>
      <c r="J2424" s="1466">
        <f t="shared" si="99"/>
        <v>1174572.6629999999</v>
      </c>
      <c r="K2424" s="1466"/>
      <c r="L2424" s="1466"/>
      <c r="M2424" s="1540">
        <f t="shared" si="100"/>
        <v>1174572.6629999999</v>
      </c>
      <c r="N2424" s="166"/>
    </row>
    <row r="2425" spans="1:14" s="540" customFormat="1" ht="14.25" customHeight="1">
      <c r="A2425" s="1536">
        <v>263</v>
      </c>
      <c r="B2425" s="1537" t="e">
        <f>VLOOKUP(D2425,'[2]DS CN MOI UP'!$B$11:$C$447,2,0)</f>
        <v>#N/A</v>
      </c>
      <c r="C2425" s="1538"/>
      <c r="D2425" s="166" t="s">
        <v>1733</v>
      </c>
      <c r="E2425" s="1468" t="s">
        <v>15</v>
      </c>
      <c r="F2425" s="1468"/>
      <c r="G2425" s="1540">
        <v>600000</v>
      </c>
      <c r="H2425" s="1466">
        <v>524139.33600000001</v>
      </c>
      <c r="I2425" s="1540"/>
      <c r="J2425" s="1466">
        <f t="shared" si="97"/>
        <v>1124139.3359999999</v>
      </c>
      <c r="K2425" s="1466"/>
      <c r="L2425" s="1466"/>
      <c r="M2425" s="1540">
        <f t="shared" si="98"/>
        <v>1124139.3359999999</v>
      </c>
      <c r="N2425" s="166"/>
    </row>
    <row r="2426" spans="1:14" s="540" customFormat="1" ht="14.25" customHeight="1">
      <c r="A2426" s="1536">
        <v>264</v>
      </c>
      <c r="B2426" s="1537" t="e">
        <f>VLOOKUP(D2426,'[2]DS CN MOI UP'!$B$11:$C$447,2,0)</f>
        <v>#N/A</v>
      </c>
      <c r="C2426" s="1538"/>
      <c r="D2426" s="166" t="s">
        <v>1734</v>
      </c>
      <c r="E2426" s="1468" t="s">
        <v>15</v>
      </c>
      <c r="F2426" s="1468"/>
      <c r="G2426" s="1540">
        <v>600000</v>
      </c>
      <c r="H2426" s="1466">
        <v>635040.18900000001</v>
      </c>
      <c r="I2426" s="1540"/>
      <c r="J2426" s="1466">
        <f t="shared" si="97"/>
        <v>1235040.189</v>
      </c>
      <c r="K2426" s="1466"/>
      <c r="L2426" s="1466"/>
      <c r="M2426" s="1540">
        <f t="shared" si="98"/>
        <v>1235040.189</v>
      </c>
      <c r="N2426" s="166"/>
    </row>
    <row r="2427" spans="1:14" s="540" customFormat="1" ht="14.25" customHeight="1">
      <c r="A2427" s="1536">
        <v>265</v>
      </c>
      <c r="B2427" s="1537" t="e">
        <f>VLOOKUP(D2427,'[2]DS CN MOI UP'!$B$11:$C$447,2,0)</f>
        <v>#N/A</v>
      </c>
      <c r="C2427" s="1538"/>
      <c r="D2427" s="166" t="s">
        <v>837</v>
      </c>
      <c r="E2427" s="1468" t="s">
        <v>15</v>
      </c>
      <c r="F2427" s="1468"/>
      <c r="G2427" s="1540">
        <v>600000</v>
      </c>
      <c r="H2427" s="1466">
        <v>635040.18900000001</v>
      </c>
      <c r="I2427" s="1540"/>
      <c r="J2427" s="1466">
        <f t="shared" si="97"/>
        <v>1235040.189</v>
      </c>
      <c r="K2427" s="1466"/>
      <c r="L2427" s="1466"/>
      <c r="M2427" s="1540">
        <f t="shared" si="98"/>
        <v>1235040.189</v>
      </c>
      <c r="N2427" s="166"/>
    </row>
    <row r="2428" spans="1:14" s="540" customFormat="1" ht="14.25" customHeight="1">
      <c r="A2428" s="1536">
        <v>266</v>
      </c>
      <c r="B2428" s="1537" t="e">
        <f>VLOOKUP(D2428,'[2]DS CN MOI UP'!$B$11:$C$447,2,0)</f>
        <v>#N/A</v>
      </c>
      <c r="C2428" s="1538"/>
      <c r="D2428" s="166" t="s">
        <v>1735</v>
      </c>
      <c r="E2428" s="1468" t="s">
        <v>15</v>
      </c>
      <c r="F2428" s="1468"/>
      <c r="G2428" s="1540">
        <v>600000</v>
      </c>
      <c r="H2428" s="1466">
        <v>554373.09900000005</v>
      </c>
      <c r="I2428" s="1540"/>
      <c r="J2428" s="1466">
        <f t="shared" si="97"/>
        <v>1154373.0989999999</v>
      </c>
      <c r="K2428" s="1466"/>
      <c r="L2428" s="1466"/>
      <c r="M2428" s="1540">
        <f t="shared" si="98"/>
        <v>1154373.0989999999</v>
      </c>
      <c r="N2428" s="166"/>
    </row>
    <row r="2429" spans="1:14" s="540" customFormat="1" ht="14.25" customHeight="1">
      <c r="A2429" s="1536">
        <v>267</v>
      </c>
      <c r="B2429" s="1537" t="e">
        <f>VLOOKUP(D2429,'[2]DS CN MOI UP'!$B$11:$C$447,2,0)</f>
        <v>#N/A</v>
      </c>
      <c r="C2429" s="1538"/>
      <c r="D2429" s="166" t="s">
        <v>1736</v>
      </c>
      <c r="E2429" s="1468" t="s">
        <v>15</v>
      </c>
      <c r="F2429" s="1468"/>
      <c r="G2429" s="1540">
        <v>600000</v>
      </c>
      <c r="H2429" s="1466">
        <v>635040.18900000001</v>
      </c>
      <c r="I2429" s="1540"/>
      <c r="J2429" s="1466">
        <f t="shared" si="97"/>
        <v>1235040.189</v>
      </c>
      <c r="K2429" s="1466"/>
      <c r="L2429" s="1466"/>
      <c r="M2429" s="1540">
        <f t="shared" si="98"/>
        <v>1235040.189</v>
      </c>
      <c r="N2429" s="166"/>
    </row>
    <row r="2430" spans="1:14" s="540" customFormat="1" ht="14.25" customHeight="1">
      <c r="A2430" s="1536">
        <v>268</v>
      </c>
      <c r="B2430" s="1537" t="e">
        <f>VLOOKUP(D2430,'[2]DS CN MOI UP'!$B$11:$C$447,2,0)</f>
        <v>#N/A</v>
      </c>
      <c r="C2430" s="1538"/>
      <c r="D2430" s="166" t="s">
        <v>1737</v>
      </c>
      <c r="E2430" s="1468" t="s">
        <v>15</v>
      </c>
      <c r="F2430" s="1468"/>
      <c r="G2430" s="1540">
        <v>744855.12120026303</v>
      </c>
      <c r="H2430" s="1466">
        <v>544338.9</v>
      </c>
      <c r="I2430" s="1540"/>
      <c r="J2430" s="1466">
        <f t="shared" si="97"/>
        <v>1289194.0212002599</v>
      </c>
      <c r="K2430" s="1466"/>
      <c r="L2430" s="1466"/>
      <c r="M2430" s="1540">
        <f t="shared" si="98"/>
        <v>1289194.0212002599</v>
      </c>
      <c r="N2430" s="166"/>
    </row>
    <row r="2431" spans="1:14" s="540" customFormat="1" ht="14.25" customHeight="1">
      <c r="A2431" s="1536">
        <v>269</v>
      </c>
      <c r="B2431" s="1537" t="e">
        <f>VLOOKUP(D2431,'[2]DS CN MOI UP'!$B$11:$C$447,2,0)</f>
        <v>#N/A</v>
      </c>
      <c r="C2431" s="1538"/>
      <c r="D2431" s="166" t="s">
        <v>1738</v>
      </c>
      <c r="E2431" s="1468" t="s">
        <v>15</v>
      </c>
      <c r="F2431" s="1468"/>
      <c r="G2431" s="1540">
        <v>600000</v>
      </c>
      <c r="H2431" s="1466">
        <v>574572.66299999994</v>
      </c>
      <c r="I2431" s="1540"/>
      <c r="J2431" s="1466">
        <f t="shared" si="97"/>
        <v>1174572.6629999999</v>
      </c>
      <c r="K2431" s="1466"/>
      <c r="L2431" s="1466"/>
      <c r="M2431" s="1540">
        <f t="shared" si="98"/>
        <v>1174572.6629999999</v>
      </c>
      <c r="N2431" s="166"/>
    </row>
    <row r="2432" spans="1:14" s="540" customFormat="1" ht="14.25" customHeight="1">
      <c r="A2432" s="1536">
        <v>270</v>
      </c>
      <c r="B2432" s="1537" t="e">
        <f>VLOOKUP(D2432,'[2]DS CN MOI UP'!$B$11:$C$447,2,0)</f>
        <v>#N/A</v>
      </c>
      <c r="C2432" s="1538"/>
      <c r="D2432" s="166" t="s">
        <v>1739</v>
      </c>
      <c r="E2432" s="1468" t="s">
        <v>15</v>
      </c>
      <c r="F2432" s="1468"/>
      <c r="G2432" s="1540">
        <v>600000</v>
      </c>
      <c r="H2432" s="1466">
        <v>524139.33600000001</v>
      </c>
      <c r="I2432" s="1540"/>
      <c r="J2432" s="1466">
        <f t="shared" si="97"/>
        <v>1124139.3359999999</v>
      </c>
      <c r="K2432" s="1466"/>
      <c r="L2432" s="1466"/>
      <c r="M2432" s="1540">
        <f t="shared" si="98"/>
        <v>1124139.3359999999</v>
      </c>
      <c r="N2432" s="166"/>
    </row>
    <row r="2433" spans="1:14" s="540" customFormat="1" ht="14.25" customHeight="1">
      <c r="A2433" s="1536">
        <v>271</v>
      </c>
      <c r="B2433" s="1537" t="e">
        <f>VLOOKUP(D2433,'[2]DS CN MOI UP'!$B$11:$C$447,2,0)</f>
        <v>#N/A</v>
      </c>
      <c r="C2433" s="1538"/>
      <c r="D2433" s="166" t="s">
        <v>1740</v>
      </c>
      <c r="E2433" s="1468" t="s">
        <v>15</v>
      </c>
      <c r="F2433" s="1468"/>
      <c r="G2433" s="1540">
        <v>600000</v>
      </c>
      <c r="H2433" s="1466">
        <v>635040.18900000001</v>
      </c>
      <c r="I2433" s="1540"/>
      <c r="J2433" s="1466">
        <f t="shared" si="97"/>
        <v>1235040.189</v>
      </c>
      <c r="K2433" s="1466"/>
      <c r="L2433" s="1466"/>
      <c r="M2433" s="1540">
        <f t="shared" si="98"/>
        <v>1235040.189</v>
      </c>
      <c r="N2433" s="166"/>
    </row>
    <row r="2434" spans="1:14" s="540" customFormat="1" ht="14.25" customHeight="1">
      <c r="A2434" s="1536">
        <v>272</v>
      </c>
      <c r="B2434" s="1537" t="e">
        <f>VLOOKUP(D2434,'[2]DS CN MOI UP'!$B$11:$C$447,2,0)</f>
        <v>#N/A</v>
      </c>
      <c r="C2434" s="1538"/>
      <c r="D2434" s="166" t="s">
        <v>1741</v>
      </c>
      <c r="E2434" s="1468" t="s">
        <v>15</v>
      </c>
      <c r="F2434" s="1468"/>
      <c r="G2434" s="1540">
        <v>600000</v>
      </c>
      <c r="H2434" s="1466">
        <v>635040.18900000001</v>
      </c>
      <c r="I2434" s="1540"/>
      <c r="J2434" s="1466">
        <f t="shared" si="97"/>
        <v>1235040.189</v>
      </c>
      <c r="K2434" s="1466"/>
      <c r="L2434" s="1466"/>
      <c r="M2434" s="1540">
        <f t="shared" si="98"/>
        <v>1235040.189</v>
      </c>
      <c r="N2434" s="166"/>
    </row>
    <row r="2435" spans="1:14" s="540" customFormat="1" ht="14.25" customHeight="1">
      <c r="A2435" s="1536">
        <v>273</v>
      </c>
      <c r="B2435" s="1537" t="e">
        <f>VLOOKUP(D2435,'[2]DS CN MOI UP'!$B$11:$C$447,2,0)</f>
        <v>#N/A</v>
      </c>
      <c r="C2435" s="1538"/>
      <c r="D2435" s="166" t="s">
        <v>1742</v>
      </c>
      <c r="E2435" s="1468" t="s">
        <v>15</v>
      </c>
      <c r="F2435" s="1468"/>
      <c r="G2435" s="1540">
        <v>600000</v>
      </c>
      <c r="H2435" s="1466">
        <v>554373.09900000005</v>
      </c>
      <c r="I2435" s="1540"/>
      <c r="J2435" s="1466">
        <f t="shared" ref="J2435:J2444" si="101">SUM(G2435:I2435)</f>
        <v>1154373.0989999999</v>
      </c>
      <c r="K2435" s="1466"/>
      <c r="L2435" s="1466"/>
      <c r="M2435" s="1540">
        <f t="shared" ref="M2435:M2444" si="102">J2435-L2435</f>
        <v>1154373.0989999999</v>
      </c>
      <c r="N2435" s="166"/>
    </row>
    <row r="2436" spans="1:14" s="540" customFormat="1" ht="14.25" customHeight="1">
      <c r="A2436" s="1536">
        <v>274</v>
      </c>
      <c r="B2436" s="1537" t="e">
        <f>VLOOKUP(D2436,'[2]DS CN MOI UP'!$B$11:$C$447,2,0)</f>
        <v>#N/A</v>
      </c>
      <c r="C2436" s="1538"/>
      <c r="D2436" s="166" t="s">
        <v>1743</v>
      </c>
      <c r="E2436" s="1468" t="s">
        <v>15</v>
      </c>
      <c r="F2436" s="1468"/>
      <c r="G2436" s="1540">
        <v>600000</v>
      </c>
      <c r="H2436" s="1466">
        <v>635040.18900000001</v>
      </c>
      <c r="I2436" s="1540"/>
      <c r="J2436" s="1466">
        <f t="shared" si="101"/>
        <v>1235040.189</v>
      </c>
      <c r="K2436" s="1466"/>
      <c r="L2436" s="1466"/>
      <c r="M2436" s="1540">
        <f t="shared" si="102"/>
        <v>1235040.189</v>
      </c>
      <c r="N2436" s="166"/>
    </row>
    <row r="2437" spans="1:14" s="540" customFormat="1" ht="14.25" customHeight="1">
      <c r="A2437" s="1536">
        <v>275</v>
      </c>
      <c r="B2437" s="1537" t="e">
        <f>VLOOKUP(D2437,'[2]DS CN MOI UP'!$B$11:$C$447,2,0)</f>
        <v>#N/A</v>
      </c>
      <c r="C2437" s="1538"/>
      <c r="D2437" s="166" t="s">
        <v>1744</v>
      </c>
      <c r="E2437" s="1468" t="s">
        <v>15</v>
      </c>
      <c r="F2437" s="1468"/>
      <c r="G2437" s="1540">
        <v>744855.12120026303</v>
      </c>
      <c r="H2437" s="1466">
        <v>544338.9</v>
      </c>
      <c r="I2437" s="1540"/>
      <c r="J2437" s="1466">
        <f t="shared" si="101"/>
        <v>1289194.0212002599</v>
      </c>
      <c r="K2437" s="1466"/>
      <c r="L2437" s="1466"/>
      <c r="M2437" s="1540">
        <f t="shared" si="102"/>
        <v>1289194.0212002599</v>
      </c>
      <c r="N2437" s="166"/>
    </row>
    <row r="2438" spans="1:14" s="540" customFormat="1" ht="14.25" customHeight="1">
      <c r="A2438" s="1536">
        <v>276</v>
      </c>
      <c r="B2438" s="1537" t="e">
        <f>VLOOKUP(D2438,'[2]DS CN MOI UP'!$B$11:$C$447,2,0)</f>
        <v>#N/A</v>
      </c>
      <c r="C2438" s="1538"/>
      <c r="D2438" s="166" t="s">
        <v>780</v>
      </c>
      <c r="E2438" s="1468" t="s">
        <v>15</v>
      </c>
      <c r="F2438" s="1468"/>
      <c r="G2438" s="1540">
        <v>600000</v>
      </c>
      <c r="H2438" s="1466">
        <v>574572.66299999994</v>
      </c>
      <c r="I2438" s="1540"/>
      <c r="J2438" s="1466">
        <f t="shared" si="101"/>
        <v>1174572.6629999999</v>
      </c>
      <c r="K2438" s="1466"/>
      <c r="L2438" s="1466"/>
      <c r="M2438" s="1540">
        <f t="shared" si="102"/>
        <v>1174572.6629999999</v>
      </c>
      <c r="N2438" s="166"/>
    </row>
    <row r="2439" spans="1:14" s="540" customFormat="1" ht="14.25" customHeight="1">
      <c r="A2439" s="1536">
        <v>277</v>
      </c>
      <c r="B2439" s="1537" t="e">
        <f>VLOOKUP(D2439,'[2]DS CN MOI UP'!$B$11:$C$447,2,0)</f>
        <v>#N/A</v>
      </c>
      <c r="C2439" s="1538"/>
      <c r="D2439" s="166" t="s">
        <v>781</v>
      </c>
      <c r="E2439" s="1468" t="s">
        <v>15</v>
      </c>
      <c r="F2439" s="1468"/>
      <c r="G2439" s="1540">
        <v>600000</v>
      </c>
      <c r="H2439" s="1466">
        <v>524139.33600000001</v>
      </c>
      <c r="I2439" s="1540"/>
      <c r="J2439" s="1466">
        <f t="shared" si="101"/>
        <v>1124139.3359999999</v>
      </c>
      <c r="K2439" s="1466"/>
      <c r="L2439" s="1466"/>
      <c r="M2439" s="1540">
        <f t="shared" si="102"/>
        <v>1124139.3359999999</v>
      </c>
      <c r="N2439" s="166"/>
    </row>
    <row r="2440" spans="1:14" s="540" customFormat="1" ht="14.25" customHeight="1">
      <c r="A2440" s="1536">
        <v>278</v>
      </c>
      <c r="B2440" s="1537" t="e">
        <f>VLOOKUP(D2440,'[2]DS CN MOI UP'!$B$11:$C$447,2,0)</f>
        <v>#N/A</v>
      </c>
      <c r="C2440" s="1538"/>
      <c r="D2440" s="166" t="s">
        <v>1745</v>
      </c>
      <c r="E2440" s="1468" t="s">
        <v>15</v>
      </c>
      <c r="F2440" s="1468"/>
      <c r="G2440" s="1540">
        <v>600000</v>
      </c>
      <c r="H2440" s="1466">
        <v>635040.18900000001</v>
      </c>
      <c r="I2440" s="1540"/>
      <c r="J2440" s="1466">
        <f t="shared" si="101"/>
        <v>1235040.189</v>
      </c>
      <c r="K2440" s="1466"/>
      <c r="L2440" s="1466"/>
      <c r="M2440" s="1540">
        <f t="shared" si="102"/>
        <v>1235040.189</v>
      </c>
      <c r="N2440" s="166"/>
    </row>
    <row r="2441" spans="1:14" s="540" customFormat="1" ht="14.25" customHeight="1">
      <c r="A2441" s="1536">
        <v>279</v>
      </c>
      <c r="B2441" s="1537" t="e">
        <f>VLOOKUP(D2441,'[2]DS CN MOI UP'!$B$11:$C$447,2,0)</f>
        <v>#N/A</v>
      </c>
      <c r="C2441" s="1538"/>
      <c r="D2441" s="166" t="s">
        <v>1746</v>
      </c>
      <c r="E2441" s="1468" t="s">
        <v>15</v>
      </c>
      <c r="F2441" s="1468"/>
      <c r="G2441" s="1540">
        <v>600000</v>
      </c>
      <c r="H2441" s="1466">
        <v>635040.18900000001</v>
      </c>
      <c r="I2441" s="1540"/>
      <c r="J2441" s="1466">
        <f t="shared" si="101"/>
        <v>1235040.189</v>
      </c>
      <c r="K2441" s="1466"/>
      <c r="L2441" s="1466"/>
      <c r="M2441" s="1540">
        <f t="shared" si="102"/>
        <v>1235040.189</v>
      </c>
      <c r="N2441" s="166"/>
    </row>
    <row r="2442" spans="1:14" s="540" customFormat="1" ht="14.25" customHeight="1">
      <c r="A2442" s="1536">
        <v>280</v>
      </c>
      <c r="B2442" s="1537" t="e">
        <f>VLOOKUP(D2442,'[2]DS CN MOI UP'!$B$11:$C$447,2,0)</f>
        <v>#N/A</v>
      </c>
      <c r="C2442" s="1538"/>
      <c r="D2442" s="166" t="s">
        <v>1747</v>
      </c>
      <c r="E2442" s="1468" t="s">
        <v>15</v>
      </c>
      <c r="F2442" s="1468"/>
      <c r="G2442" s="1540">
        <v>600000</v>
      </c>
      <c r="H2442" s="1466">
        <v>554373.09900000005</v>
      </c>
      <c r="I2442" s="1540"/>
      <c r="J2442" s="1466">
        <f t="shared" si="101"/>
        <v>1154373.0989999999</v>
      </c>
      <c r="K2442" s="1466"/>
      <c r="L2442" s="1466"/>
      <c r="M2442" s="1540">
        <f t="shared" si="102"/>
        <v>1154373.0989999999</v>
      </c>
      <c r="N2442" s="166"/>
    </row>
    <row r="2443" spans="1:14" s="540" customFormat="1" ht="14.25" customHeight="1">
      <c r="A2443" s="1536">
        <v>281</v>
      </c>
      <c r="B2443" s="1537" t="e">
        <f>VLOOKUP(D2443,'[2]DS CN MOI UP'!$B$11:$C$447,2,0)</f>
        <v>#N/A</v>
      </c>
      <c r="C2443" s="1538"/>
      <c r="D2443" s="166" t="s">
        <v>1610</v>
      </c>
      <c r="E2443" s="1468" t="s">
        <v>15</v>
      </c>
      <c r="F2443" s="1468"/>
      <c r="G2443" s="1540">
        <v>600000</v>
      </c>
      <c r="H2443" s="1466">
        <v>635040.18900000001</v>
      </c>
      <c r="I2443" s="1540"/>
      <c r="J2443" s="1466">
        <f t="shared" si="101"/>
        <v>1235040.189</v>
      </c>
      <c r="K2443" s="1466"/>
      <c r="L2443" s="1466"/>
      <c r="M2443" s="1540">
        <f t="shared" si="102"/>
        <v>1235040.189</v>
      </c>
      <c r="N2443" s="166"/>
    </row>
    <row r="2444" spans="1:14" s="540" customFormat="1" ht="14.25" customHeight="1">
      <c r="A2444" s="1536">
        <v>282</v>
      </c>
      <c r="B2444" s="1537" t="e">
        <f>VLOOKUP(D2444,'[2]DS CN MOI UP'!$B$11:$C$447,2,0)</f>
        <v>#N/A</v>
      </c>
      <c r="C2444" s="1538"/>
      <c r="D2444" s="166" t="s">
        <v>782</v>
      </c>
      <c r="E2444" s="1468" t="s">
        <v>15</v>
      </c>
      <c r="F2444" s="1468"/>
      <c r="G2444" s="1540">
        <v>744855.12120026303</v>
      </c>
      <c r="H2444" s="1466">
        <v>544338.9</v>
      </c>
      <c r="I2444" s="1540"/>
      <c r="J2444" s="1466">
        <f t="shared" si="101"/>
        <v>1289194.0212002599</v>
      </c>
      <c r="K2444" s="1466"/>
      <c r="L2444" s="1466"/>
      <c r="M2444" s="1540">
        <f t="shared" si="102"/>
        <v>1289194.0212002599</v>
      </c>
      <c r="N2444" s="166"/>
    </row>
    <row r="2445" spans="1:14" s="540" customFormat="1" ht="14.25" customHeight="1">
      <c r="A2445" s="1536">
        <v>283</v>
      </c>
      <c r="B2445" s="1537" t="e">
        <f>VLOOKUP(D2445,'[2]DS CN MOI UP'!$B$11:$C$447,2,0)</f>
        <v>#N/A</v>
      </c>
      <c r="C2445" s="1538"/>
      <c r="D2445" s="166" t="s">
        <v>1613</v>
      </c>
      <c r="E2445" s="1468" t="s">
        <v>15</v>
      </c>
      <c r="F2445" s="1468"/>
      <c r="G2445" s="1540">
        <v>600000</v>
      </c>
      <c r="H2445" s="1466">
        <v>574572.66299999994</v>
      </c>
      <c r="I2445" s="1540"/>
      <c r="J2445" s="1466">
        <f t="shared" ref="J2445:J2454" si="103">SUM(G2445:I2445)</f>
        <v>1174572.6629999999</v>
      </c>
      <c r="K2445" s="1466"/>
      <c r="L2445" s="1466"/>
      <c r="M2445" s="1540">
        <f t="shared" ref="M2445:M2454" si="104">J2445-L2445</f>
        <v>1174572.6629999999</v>
      </c>
      <c r="N2445" s="166"/>
    </row>
    <row r="2446" spans="1:14" s="540" customFormat="1" ht="14.25" customHeight="1">
      <c r="A2446" s="1536">
        <v>284</v>
      </c>
      <c r="B2446" s="1537" t="e">
        <f>VLOOKUP(D2446,'[2]DS CN MOI UP'!$B$11:$C$447,2,0)</f>
        <v>#N/A</v>
      </c>
      <c r="C2446" s="1538"/>
      <c r="D2446" s="166" t="s">
        <v>1615</v>
      </c>
      <c r="E2446" s="1468" t="s">
        <v>15</v>
      </c>
      <c r="F2446" s="1468"/>
      <c r="G2446" s="1540">
        <v>600000</v>
      </c>
      <c r="H2446" s="1466">
        <v>524139.33600000001</v>
      </c>
      <c r="I2446" s="1540"/>
      <c r="J2446" s="1466">
        <f t="shared" si="103"/>
        <v>1124139.3359999999</v>
      </c>
      <c r="K2446" s="1466"/>
      <c r="L2446" s="1466"/>
      <c r="M2446" s="1540">
        <f t="shared" si="104"/>
        <v>1124139.3359999999</v>
      </c>
      <c r="N2446" s="166"/>
    </row>
    <row r="2447" spans="1:14" s="540" customFormat="1" ht="14.25" customHeight="1">
      <c r="A2447" s="1536">
        <v>285</v>
      </c>
      <c r="B2447" s="1537" t="e">
        <f>VLOOKUP(D2447,'[2]DS CN MOI UP'!$B$11:$C$447,2,0)</f>
        <v>#N/A</v>
      </c>
      <c r="C2447" s="1538"/>
      <c r="D2447" s="166" t="s">
        <v>1617</v>
      </c>
      <c r="E2447" s="1468" t="s">
        <v>15</v>
      </c>
      <c r="F2447" s="1468"/>
      <c r="G2447" s="1540">
        <v>600000</v>
      </c>
      <c r="H2447" s="1466">
        <v>635040.18900000001</v>
      </c>
      <c r="I2447" s="1540"/>
      <c r="J2447" s="1466">
        <f t="shared" si="103"/>
        <v>1235040.189</v>
      </c>
      <c r="K2447" s="1466"/>
      <c r="L2447" s="1466"/>
      <c r="M2447" s="1540">
        <f t="shared" si="104"/>
        <v>1235040.189</v>
      </c>
      <c r="N2447" s="166"/>
    </row>
    <row r="2448" spans="1:14" s="540" customFormat="1" ht="14.25" customHeight="1">
      <c r="A2448" s="1536">
        <v>286</v>
      </c>
      <c r="B2448" s="1537" t="e">
        <f>VLOOKUP(D2448,'[2]DS CN MOI UP'!$B$11:$C$447,2,0)</f>
        <v>#N/A</v>
      </c>
      <c r="C2448" s="1538"/>
      <c r="D2448" s="166" t="s">
        <v>1619</v>
      </c>
      <c r="E2448" s="1468" t="s">
        <v>15</v>
      </c>
      <c r="F2448" s="1468"/>
      <c r="G2448" s="1540"/>
      <c r="H2448" s="1466">
        <v>1235040.189</v>
      </c>
      <c r="I2448" s="1540"/>
      <c r="J2448" s="1466">
        <f t="shared" si="103"/>
        <v>1235040.189</v>
      </c>
      <c r="K2448" s="1466"/>
      <c r="L2448" s="1466"/>
      <c r="M2448" s="1540">
        <f t="shared" si="104"/>
        <v>1235040.189</v>
      </c>
      <c r="N2448" s="166"/>
    </row>
    <row r="2449" spans="1:14" s="540" customFormat="1" ht="14.25" customHeight="1">
      <c r="A2449" s="1536">
        <v>287</v>
      </c>
      <c r="B2449" s="1537" t="e">
        <f>VLOOKUP(D2449,'[2]DS CN MOI UP'!$B$11:$C$447,2,0)</f>
        <v>#N/A</v>
      </c>
      <c r="C2449" s="1538"/>
      <c r="D2449" s="166" t="s">
        <v>1621</v>
      </c>
      <c r="E2449" s="1468" t="s">
        <v>15</v>
      </c>
      <c r="F2449" s="1468"/>
      <c r="G2449" s="1540"/>
      <c r="H2449" s="1466">
        <v>1154373.0989999999</v>
      </c>
      <c r="I2449" s="1540"/>
      <c r="J2449" s="1466">
        <f t="shared" si="103"/>
        <v>1154373.0989999999</v>
      </c>
      <c r="K2449" s="1466"/>
      <c r="L2449" s="1466"/>
      <c r="M2449" s="1540">
        <f t="shared" si="104"/>
        <v>1154373.0989999999</v>
      </c>
      <c r="N2449" s="166"/>
    </row>
    <row r="2450" spans="1:14" s="540" customFormat="1" ht="14.25" customHeight="1">
      <c r="A2450" s="1536">
        <v>288</v>
      </c>
      <c r="B2450" s="1537" t="e">
        <f>VLOOKUP(D2450,'[2]DS CN MOI UP'!$B$11:$C$447,2,0)</f>
        <v>#N/A</v>
      </c>
      <c r="C2450" s="1538"/>
      <c r="D2450" s="166" t="s">
        <v>1623</v>
      </c>
      <c r="E2450" s="1468" t="s">
        <v>15</v>
      </c>
      <c r="F2450" s="1468"/>
      <c r="G2450" s="1540"/>
      <c r="H2450" s="1466">
        <v>1235040.189</v>
      </c>
      <c r="I2450" s="1540"/>
      <c r="J2450" s="1466">
        <f t="shared" si="103"/>
        <v>1235040.189</v>
      </c>
      <c r="K2450" s="1466"/>
      <c r="L2450" s="1466"/>
      <c r="M2450" s="1540">
        <f t="shared" si="104"/>
        <v>1235040.189</v>
      </c>
      <c r="N2450" s="166"/>
    </row>
    <row r="2451" spans="1:14" s="540" customFormat="1" ht="14.25" customHeight="1">
      <c r="A2451" s="1536">
        <v>289</v>
      </c>
      <c r="B2451" s="1537" t="e">
        <f>VLOOKUP(D2451,'[2]DS CN MOI UP'!$B$11:$C$447,2,0)</f>
        <v>#N/A</v>
      </c>
      <c r="C2451" s="1538"/>
      <c r="D2451" s="166" t="s">
        <v>794</v>
      </c>
      <c r="E2451" s="1468" t="s">
        <v>15</v>
      </c>
      <c r="F2451" s="1468"/>
      <c r="G2451" s="1540"/>
      <c r="H2451" s="1466">
        <v>1289194.0212002599</v>
      </c>
      <c r="I2451" s="1540"/>
      <c r="J2451" s="1466">
        <f t="shared" si="103"/>
        <v>1289194.0212002599</v>
      </c>
      <c r="K2451" s="1466"/>
      <c r="L2451" s="1466"/>
      <c r="M2451" s="1540">
        <f t="shared" si="104"/>
        <v>1289194.0212002599</v>
      </c>
      <c r="N2451" s="166"/>
    </row>
    <row r="2452" spans="1:14" s="540" customFormat="1" ht="14.25" customHeight="1">
      <c r="A2452" s="1536">
        <v>290</v>
      </c>
      <c r="B2452" s="1537" t="e">
        <f>VLOOKUP(D2452,'[2]DS CN MOI UP'!$B$11:$C$447,2,0)</f>
        <v>#N/A</v>
      </c>
      <c r="C2452" s="1538"/>
      <c r="D2452" s="166" t="s">
        <v>1626</v>
      </c>
      <c r="E2452" s="1468" t="s">
        <v>15</v>
      </c>
      <c r="F2452" s="1468"/>
      <c r="G2452" s="1540"/>
      <c r="H2452" s="1466">
        <v>1174572.6629999999</v>
      </c>
      <c r="I2452" s="1540"/>
      <c r="J2452" s="1466">
        <f t="shared" si="103"/>
        <v>1174572.6629999999</v>
      </c>
      <c r="K2452" s="1466"/>
      <c r="L2452" s="1466"/>
      <c r="M2452" s="1540">
        <f t="shared" si="104"/>
        <v>1174572.6629999999</v>
      </c>
      <c r="N2452" s="166"/>
    </row>
    <row r="2453" spans="1:14" s="540" customFormat="1" ht="14.25" customHeight="1">
      <c r="A2453" s="1536">
        <v>291</v>
      </c>
      <c r="B2453" s="1537" t="e">
        <f>VLOOKUP(D2453,'[2]DS CN MOI UP'!$B$11:$C$447,2,0)</f>
        <v>#N/A</v>
      </c>
      <c r="C2453" s="1538"/>
      <c r="D2453" s="166" t="s">
        <v>1464</v>
      </c>
      <c r="E2453" s="1468" t="s">
        <v>15</v>
      </c>
      <c r="F2453" s="1468"/>
      <c r="G2453" s="1540"/>
      <c r="H2453" s="1466">
        <v>1124139.3359999999</v>
      </c>
      <c r="I2453" s="1540"/>
      <c r="J2453" s="1466">
        <f t="shared" si="103"/>
        <v>1124139.3359999999</v>
      </c>
      <c r="K2453" s="1466"/>
      <c r="L2453" s="1466"/>
      <c r="M2453" s="1540">
        <f t="shared" si="104"/>
        <v>1124139.3359999999</v>
      </c>
      <c r="N2453" s="166"/>
    </row>
    <row r="2454" spans="1:14" s="540" customFormat="1" ht="14.25" customHeight="1">
      <c r="A2454" s="1536">
        <v>292</v>
      </c>
      <c r="B2454" s="1537" t="e">
        <f>VLOOKUP(D2454,'[2]DS CN MOI UP'!$B$11:$C$447,2,0)</f>
        <v>#N/A</v>
      </c>
      <c r="C2454" s="1538"/>
      <c r="D2454" s="166" t="s">
        <v>1629</v>
      </c>
      <c r="E2454" s="1468" t="s">
        <v>15</v>
      </c>
      <c r="F2454" s="1468"/>
      <c r="G2454" s="1540"/>
      <c r="H2454" s="1466">
        <v>1235040.189</v>
      </c>
      <c r="I2454" s="1540"/>
      <c r="J2454" s="1466">
        <f t="shared" si="103"/>
        <v>1235040.189</v>
      </c>
      <c r="K2454" s="1466"/>
      <c r="L2454" s="1466"/>
      <c r="M2454" s="1540">
        <f t="shared" si="104"/>
        <v>1235040.189</v>
      </c>
      <c r="N2454" s="166"/>
    </row>
    <row r="2455" spans="1:14" s="540" customFormat="1" ht="14.25" customHeight="1">
      <c r="A2455" s="1536">
        <v>293</v>
      </c>
      <c r="B2455" s="1537" t="e">
        <f>VLOOKUP(D2455,'[2]DS CN MOI UP'!$B$11:$C$447,2,0)</f>
        <v>#N/A</v>
      </c>
      <c r="C2455" s="1538"/>
      <c r="D2455" s="166" t="s">
        <v>1630</v>
      </c>
      <c r="E2455" s="1468" t="s">
        <v>15</v>
      </c>
      <c r="F2455" s="1468"/>
      <c r="G2455" s="1540"/>
      <c r="H2455" s="1466">
        <v>1235040.189</v>
      </c>
      <c r="I2455" s="1540"/>
      <c r="J2455" s="1466">
        <f t="shared" si="97"/>
        <v>1235040.189</v>
      </c>
      <c r="K2455" s="1466"/>
      <c r="L2455" s="1466"/>
      <c r="M2455" s="1540">
        <f t="shared" si="98"/>
        <v>1235040.189</v>
      </c>
      <c r="N2455" s="166"/>
    </row>
    <row r="2456" spans="1:14" s="540" customFormat="1" ht="14.25" customHeight="1">
      <c r="A2456" s="1536">
        <v>294</v>
      </c>
      <c r="B2456" s="1537" t="e">
        <f>VLOOKUP(D2456,'[2]DS CN MOI UP'!$B$11:$C$447,2,0)</f>
        <v>#N/A</v>
      </c>
      <c r="C2456" s="1538"/>
      <c r="D2456" s="166" t="s">
        <v>1631</v>
      </c>
      <c r="E2456" s="1468" t="s">
        <v>15</v>
      </c>
      <c r="F2456" s="1468"/>
      <c r="G2456" s="1540"/>
      <c r="H2456" s="1466">
        <v>1154373.0989999999</v>
      </c>
      <c r="I2456" s="1540"/>
      <c r="J2456" s="1466">
        <f t="shared" si="97"/>
        <v>1154373.0989999999</v>
      </c>
      <c r="K2456" s="1466"/>
      <c r="L2456" s="1466"/>
      <c r="M2456" s="1540">
        <f t="shared" si="98"/>
        <v>1154373.0989999999</v>
      </c>
      <c r="N2456" s="166"/>
    </row>
    <row r="2457" spans="1:14" s="540" customFormat="1" ht="14.25" customHeight="1">
      <c r="A2457" s="1536">
        <v>295</v>
      </c>
      <c r="B2457" s="1537" t="e">
        <f>VLOOKUP(D2457,'[2]DS CN MOI UP'!$B$11:$C$447,2,0)</f>
        <v>#N/A</v>
      </c>
      <c r="C2457" s="1538"/>
      <c r="D2457" s="166" t="s">
        <v>1632</v>
      </c>
      <c r="E2457" s="1468" t="s">
        <v>15</v>
      </c>
      <c r="F2457" s="1468"/>
      <c r="G2457" s="1540"/>
      <c r="H2457" s="1466">
        <v>1235040.189</v>
      </c>
      <c r="I2457" s="1540"/>
      <c r="J2457" s="1466">
        <f t="shared" si="97"/>
        <v>1235040.189</v>
      </c>
      <c r="K2457" s="1466"/>
      <c r="L2457" s="1466"/>
      <c r="M2457" s="1540">
        <f t="shared" si="98"/>
        <v>1235040.189</v>
      </c>
      <c r="N2457" s="166"/>
    </row>
    <row r="2458" spans="1:14" s="540" customFormat="1" ht="14.25" customHeight="1">
      <c r="A2458" s="1536">
        <v>296</v>
      </c>
      <c r="B2458" s="1537" t="e">
        <f>VLOOKUP(D2458,'[2]DS CN MOI UP'!$B$11:$C$447,2,0)</f>
        <v>#N/A</v>
      </c>
      <c r="C2458" s="1538"/>
      <c r="D2458" s="166" t="s">
        <v>1633</v>
      </c>
      <c r="E2458" s="1468" t="s">
        <v>15</v>
      </c>
      <c r="F2458" s="1468"/>
      <c r="G2458" s="1540"/>
      <c r="H2458" s="1466">
        <v>1289194.0212002599</v>
      </c>
      <c r="I2458" s="1540"/>
      <c r="J2458" s="1466">
        <f t="shared" si="97"/>
        <v>1289194.0212002599</v>
      </c>
      <c r="K2458" s="1466"/>
      <c r="L2458" s="1466"/>
      <c r="M2458" s="1540">
        <f t="shared" si="98"/>
        <v>1289194.0212002599</v>
      </c>
      <c r="N2458" s="166"/>
    </row>
    <row r="2459" spans="1:14" s="540" customFormat="1" ht="14.25" customHeight="1">
      <c r="A2459" s="1536">
        <v>297</v>
      </c>
      <c r="B2459" s="1537" t="str">
        <f>VLOOKUP(D2459,'[2]DS CN MOI UP'!$B$11:$C$447,2,0)</f>
        <v>03328</v>
      </c>
      <c r="C2459" s="1538"/>
      <c r="D2459" s="166" t="s">
        <v>1784</v>
      </c>
      <c r="E2459" s="1468" t="s">
        <v>15</v>
      </c>
      <c r="F2459" s="1468"/>
      <c r="G2459" s="1540"/>
      <c r="H2459" s="1466">
        <v>1174572.6629999999</v>
      </c>
      <c r="I2459" s="1540"/>
      <c r="J2459" s="1466">
        <f t="shared" si="97"/>
        <v>1174572.6629999999</v>
      </c>
      <c r="K2459" s="1466"/>
      <c r="L2459" s="1466"/>
      <c r="M2459" s="1540">
        <f t="shared" si="98"/>
        <v>1174572.6629999999</v>
      </c>
      <c r="N2459" s="166"/>
    </row>
    <row r="2460" spans="1:14" s="540" customFormat="1" ht="14.25" customHeight="1">
      <c r="A2460" s="1536">
        <v>298</v>
      </c>
      <c r="B2460" s="1537" t="str">
        <f>VLOOKUP(D2460,'[2]DS CN MOI UP'!$B$11:$C$447,2,0)</f>
        <v>03305</v>
      </c>
      <c r="C2460" s="1538"/>
      <c r="D2460" s="166" t="s">
        <v>468</v>
      </c>
      <c r="E2460" s="1468" t="s">
        <v>15</v>
      </c>
      <c r="F2460" s="1468"/>
      <c r="G2460" s="1540"/>
      <c r="H2460" s="1466">
        <v>524139.33600000001</v>
      </c>
      <c r="I2460" s="1540">
        <v>600000</v>
      </c>
      <c r="J2460" s="1466">
        <f t="shared" si="97"/>
        <v>1124139.3359999999</v>
      </c>
      <c r="K2460" s="1466"/>
      <c r="L2460" s="1466"/>
      <c r="M2460" s="1540">
        <f t="shared" si="98"/>
        <v>1124139.3359999999</v>
      </c>
      <c r="N2460" s="166"/>
    </row>
    <row r="2461" spans="1:14" s="540" customFormat="1" ht="14.25" customHeight="1">
      <c r="A2461" s="1536">
        <v>299</v>
      </c>
      <c r="B2461" s="1537" t="e">
        <f>VLOOKUP(D2461,'[2]DS CN MOI UP'!$B$11:$C$447,2,0)</f>
        <v>#N/A</v>
      </c>
      <c r="C2461" s="1538"/>
      <c r="D2461" s="166" t="s">
        <v>1785</v>
      </c>
      <c r="E2461" s="1468" t="s">
        <v>15</v>
      </c>
      <c r="F2461" s="1468"/>
      <c r="G2461" s="1540"/>
      <c r="H2461" s="1466">
        <v>635040.18900000001</v>
      </c>
      <c r="I2461" s="1540">
        <v>600000</v>
      </c>
      <c r="J2461" s="1466">
        <f t="shared" si="97"/>
        <v>1235040.189</v>
      </c>
      <c r="K2461" s="1466"/>
      <c r="L2461" s="1466"/>
      <c r="M2461" s="1540">
        <f t="shared" si="98"/>
        <v>1235040.189</v>
      </c>
      <c r="N2461" s="166"/>
    </row>
    <row r="2462" spans="1:14" s="540" customFormat="1" ht="14.25" customHeight="1">
      <c r="A2462" s="1536">
        <v>300</v>
      </c>
      <c r="B2462" s="1537" t="e">
        <f>VLOOKUP(D2462,'[2]DS CN MOI UP'!$B$11:$C$447,2,0)</f>
        <v>#N/A</v>
      </c>
      <c r="C2462" s="1538"/>
      <c r="D2462" s="166" t="s">
        <v>1786</v>
      </c>
      <c r="E2462" s="1468" t="s">
        <v>15</v>
      </c>
      <c r="F2462" s="1468"/>
      <c r="G2462" s="1540"/>
      <c r="H2462" s="1466">
        <v>635040.18900000001</v>
      </c>
      <c r="I2462" s="1540">
        <v>600000</v>
      </c>
      <c r="J2462" s="1466">
        <f t="shared" si="97"/>
        <v>1235040.189</v>
      </c>
      <c r="K2462" s="1466"/>
      <c r="L2462" s="1466"/>
      <c r="M2462" s="1540">
        <f t="shared" si="98"/>
        <v>1235040.189</v>
      </c>
      <c r="N2462" s="166"/>
    </row>
    <row r="2463" spans="1:14" s="540" customFormat="1" ht="14.25" customHeight="1">
      <c r="A2463" s="1536">
        <v>301</v>
      </c>
      <c r="B2463" s="1537" t="e">
        <f>VLOOKUP(D2463,'[2]DS CN MOI UP'!$B$11:$C$447,2,0)</f>
        <v>#N/A</v>
      </c>
      <c r="C2463" s="1538"/>
      <c r="D2463" s="166" t="s">
        <v>1787</v>
      </c>
      <c r="E2463" s="1468" t="s">
        <v>15</v>
      </c>
      <c r="F2463" s="1468"/>
      <c r="G2463" s="1540"/>
      <c r="H2463" s="1466">
        <v>635040.18900000001</v>
      </c>
      <c r="I2463" s="1540">
        <v>600000</v>
      </c>
      <c r="J2463" s="1466">
        <f t="shared" si="97"/>
        <v>1235040.189</v>
      </c>
      <c r="K2463" s="1466"/>
      <c r="L2463" s="1466"/>
      <c r="M2463" s="1540">
        <f t="shared" si="98"/>
        <v>1235040.189</v>
      </c>
      <c r="N2463" s="166"/>
    </row>
    <row r="2464" spans="1:14" s="540" customFormat="1" ht="14.25" customHeight="1">
      <c r="A2464" s="1536">
        <v>302</v>
      </c>
      <c r="B2464" s="1537" t="e">
        <f>VLOOKUP(D2464,'[2]DS CN MOI UP'!$B$11:$C$447,2,0)</f>
        <v>#N/A</v>
      </c>
      <c r="C2464" s="1538"/>
      <c r="D2464" s="166" t="s">
        <v>1788</v>
      </c>
      <c r="E2464" s="1468" t="s">
        <v>15</v>
      </c>
      <c r="F2464" s="1468"/>
      <c r="G2464" s="1540"/>
      <c r="H2464" s="1466">
        <v>544338.9</v>
      </c>
      <c r="I2464" s="1540">
        <v>744855.12120026303</v>
      </c>
      <c r="J2464" s="1466">
        <f t="shared" si="97"/>
        <v>1289194.0212002599</v>
      </c>
      <c r="K2464" s="1466"/>
      <c r="L2464" s="1466"/>
      <c r="M2464" s="1540">
        <f t="shared" si="98"/>
        <v>1289194.0212002599</v>
      </c>
      <c r="N2464" s="166"/>
    </row>
    <row r="2465" spans="1:14" s="540" customFormat="1" ht="14.25" customHeight="1">
      <c r="A2465" s="1536">
        <v>303</v>
      </c>
      <c r="B2465" s="1537" t="e">
        <f>VLOOKUP(D2465,'[2]DS CN MOI UP'!$B$11:$C$447,2,0)</f>
        <v>#N/A</v>
      </c>
      <c r="C2465" s="1538"/>
      <c r="D2465" s="166" t="s">
        <v>1789</v>
      </c>
      <c r="E2465" s="1468" t="s">
        <v>15</v>
      </c>
      <c r="F2465" s="1468"/>
      <c r="G2465" s="1540"/>
      <c r="H2465" s="1466">
        <v>574572.66299999994</v>
      </c>
      <c r="I2465" s="1540">
        <v>600000</v>
      </c>
      <c r="J2465" s="1466">
        <f t="shared" si="97"/>
        <v>1174572.6629999999</v>
      </c>
      <c r="K2465" s="1466"/>
      <c r="L2465" s="1466"/>
      <c r="M2465" s="1540">
        <f t="shared" si="98"/>
        <v>1174572.6629999999</v>
      </c>
      <c r="N2465" s="166"/>
    </row>
    <row r="2466" spans="1:14" s="540" customFormat="1" ht="14.25" customHeight="1">
      <c r="A2466" s="1536">
        <v>304</v>
      </c>
      <c r="B2466" s="1537" t="e">
        <f>VLOOKUP(D2466,'[2]DS CN MOI UP'!$B$11:$C$447,2,0)</f>
        <v>#N/A</v>
      </c>
      <c r="C2466" s="1538"/>
      <c r="D2466" s="166" t="s">
        <v>1790</v>
      </c>
      <c r="E2466" s="1468" t="s">
        <v>15</v>
      </c>
      <c r="F2466" s="1468"/>
      <c r="G2466" s="1540"/>
      <c r="H2466" s="1466">
        <v>524139.33600000001</v>
      </c>
      <c r="I2466" s="1540">
        <v>600000</v>
      </c>
      <c r="J2466" s="1466">
        <f t="shared" si="97"/>
        <v>1124139.3359999999</v>
      </c>
      <c r="K2466" s="1466"/>
      <c r="L2466" s="1466"/>
      <c r="M2466" s="1540">
        <f t="shared" si="98"/>
        <v>1124139.3359999999</v>
      </c>
      <c r="N2466" s="166"/>
    </row>
    <row r="2467" spans="1:14" s="540" customFormat="1" ht="14.25" customHeight="1">
      <c r="A2467" s="1536">
        <v>305</v>
      </c>
      <c r="B2467" s="1537" t="e">
        <f>VLOOKUP(D2467,'[2]DS CN MOI UP'!$B$11:$C$447,2,0)</f>
        <v>#N/A</v>
      </c>
      <c r="C2467" s="1538"/>
      <c r="D2467" s="166" t="s">
        <v>818</v>
      </c>
      <c r="E2467" s="1468" t="s">
        <v>15</v>
      </c>
      <c r="F2467" s="1468"/>
      <c r="G2467" s="1540"/>
      <c r="H2467" s="1466">
        <v>635040.18900000001</v>
      </c>
      <c r="I2467" s="1540">
        <v>600000</v>
      </c>
      <c r="J2467" s="1466">
        <f t="shared" si="97"/>
        <v>1235040.189</v>
      </c>
      <c r="K2467" s="1466"/>
      <c r="L2467" s="1466"/>
      <c r="M2467" s="1540">
        <f t="shared" si="98"/>
        <v>1235040.189</v>
      </c>
      <c r="N2467" s="166"/>
    </row>
    <row r="2468" spans="1:14" s="540" customFormat="1" ht="14.25" customHeight="1">
      <c r="A2468" s="1536">
        <v>306</v>
      </c>
      <c r="B2468" s="1537" t="e">
        <f>VLOOKUP(D2468,'[2]DS CN MOI UP'!$B$11:$C$447,2,0)</f>
        <v>#N/A</v>
      </c>
      <c r="C2468" s="1538"/>
      <c r="D2468" s="166" t="s">
        <v>1791</v>
      </c>
      <c r="E2468" s="1468" t="s">
        <v>15</v>
      </c>
      <c r="F2468" s="1468"/>
      <c r="G2468" s="1540"/>
      <c r="H2468" s="1466">
        <v>635040.18900000001</v>
      </c>
      <c r="I2468" s="1540">
        <v>600000</v>
      </c>
      <c r="J2468" s="1466">
        <f t="shared" si="97"/>
        <v>1235040.189</v>
      </c>
      <c r="K2468" s="1466"/>
      <c r="L2468" s="1466"/>
      <c r="M2468" s="1540">
        <f t="shared" si="98"/>
        <v>1235040.189</v>
      </c>
      <c r="N2468" s="166"/>
    </row>
    <row r="2469" spans="1:14" s="540" customFormat="1" ht="14.25" customHeight="1">
      <c r="A2469" s="1536">
        <v>307</v>
      </c>
      <c r="B2469" s="1537" t="e">
        <f>VLOOKUP(D2469,'[2]DS CN MOI UP'!$B$11:$C$447,2,0)</f>
        <v>#N/A</v>
      </c>
      <c r="C2469" s="1538"/>
      <c r="D2469" s="166" t="s">
        <v>1792</v>
      </c>
      <c r="E2469" s="1468" t="s">
        <v>15</v>
      </c>
      <c r="F2469" s="1468"/>
      <c r="G2469" s="1540"/>
      <c r="H2469" s="1466">
        <v>635040.18900000001</v>
      </c>
      <c r="I2469" s="1540">
        <v>600000</v>
      </c>
      <c r="J2469" s="1466">
        <f t="shared" si="97"/>
        <v>1235040.189</v>
      </c>
      <c r="K2469" s="1466"/>
      <c r="L2469" s="1466"/>
      <c r="M2469" s="1540">
        <f t="shared" si="98"/>
        <v>1235040.189</v>
      </c>
      <c r="N2469" s="166"/>
    </row>
    <row r="2470" spans="1:14" s="540" customFormat="1" ht="14.25" customHeight="1">
      <c r="A2470" s="1536">
        <v>308</v>
      </c>
      <c r="B2470" s="1537" t="e">
        <f>VLOOKUP(D2470,'[2]DS CN MOI UP'!$B$11:$C$447,2,0)</f>
        <v>#N/A</v>
      </c>
      <c r="C2470" s="1538"/>
      <c r="D2470" s="166" t="s">
        <v>820</v>
      </c>
      <c r="E2470" s="1468" t="s">
        <v>15</v>
      </c>
      <c r="F2470" s="1468"/>
      <c r="G2470" s="1540"/>
      <c r="H2470" s="1466">
        <v>544338.9</v>
      </c>
      <c r="I2470" s="1540">
        <v>744855.12120026303</v>
      </c>
      <c r="J2470" s="1466">
        <f t="shared" si="97"/>
        <v>1289194.0212002599</v>
      </c>
      <c r="K2470" s="1466"/>
      <c r="L2470" s="1466"/>
      <c r="M2470" s="1540">
        <f t="shared" si="98"/>
        <v>1289194.0212002599</v>
      </c>
      <c r="N2470" s="166"/>
    </row>
    <row r="2471" spans="1:14" s="540" customFormat="1" ht="14.25" customHeight="1">
      <c r="A2471" s="1536">
        <v>309</v>
      </c>
      <c r="B2471" s="1537" t="e">
        <f>VLOOKUP(D2471,'[2]DS CN MOI UP'!$B$11:$C$447,2,0)</f>
        <v>#N/A</v>
      </c>
      <c r="C2471" s="1538"/>
      <c r="D2471" s="166" t="s">
        <v>1542</v>
      </c>
      <c r="E2471" s="1468" t="s">
        <v>15</v>
      </c>
      <c r="F2471" s="1468"/>
      <c r="G2471" s="1540"/>
      <c r="H2471" s="1466">
        <v>574572.66299999994</v>
      </c>
      <c r="I2471" s="1540">
        <v>600000</v>
      </c>
      <c r="J2471" s="1466">
        <f t="shared" si="97"/>
        <v>1174572.6629999999</v>
      </c>
      <c r="K2471" s="1466"/>
      <c r="L2471" s="1466"/>
      <c r="M2471" s="1540">
        <f t="shared" si="98"/>
        <v>1174572.6629999999</v>
      </c>
      <c r="N2471" s="166"/>
    </row>
    <row r="2472" spans="1:14" s="540" customFormat="1" ht="14.25" customHeight="1">
      <c r="A2472" s="1536">
        <v>310</v>
      </c>
      <c r="B2472" s="1537" t="e">
        <f>VLOOKUP(D2472,'[2]DS CN MOI UP'!$B$11:$C$447,2,0)</f>
        <v>#N/A</v>
      </c>
      <c r="C2472" s="1538"/>
      <c r="D2472" s="166" t="s">
        <v>827</v>
      </c>
      <c r="E2472" s="1468" t="s">
        <v>15</v>
      </c>
      <c r="F2472" s="1468"/>
      <c r="G2472" s="1540"/>
      <c r="H2472" s="1466">
        <v>1124139.3359999999</v>
      </c>
      <c r="I2472" s="1540"/>
      <c r="J2472" s="1466">
        <f t="shared" si="97"/>
        <v>1124139.3359999999</v>
      </c>
      <c r="K2472" s="1466"/>
      <c r="L2472" s="1466"/>
      <c r="M2472" s="1540">
        <f t="shared" si="98"/>
        <v>1124139.3359999999</v>
      </c>
      <c r="N2472" s="166"/>
    </row>
    <row r="2473" spans="1:14" s="540" customFormat="1" ht="14.25" customHeight="1">
      <c r="A2473" s="1536">
        <v>311</v>
      </c>
      <c r="B2473" s="1537" t="e">
        <f>VLOOKUP(D2473,'[2]DS CN MOI UP'!$B$11:$C$447,2,0)</f>
        <v>#N/A</v>
      </c>
      <c r="C2473" s="1538"/>
      <c r="D2473" s="166" t="s">
        <v>824</v>
      </c>
      <c r="E2473" s="1468" t="s">
        <v>15</v>
      </c>
      <c r="F2473" s="1468"/>
      <c r="G2473" s="1540"/>
      <c r="H2473" s="1466">
        <v>1235040.189</v>
      </c>
      <c r="I2473" s="1540"/>
      <c r="J2473" s="1466">
        <f t="shared" si="97"/>
        <v>1235040.189</v>
      </c>
      <c r="K2473" s="1466"/>
      <c r="L2473" s="1466"/>
      <c r="M2473" s="1540">
        <f t="shared" si="98"/>
        <v>1235040.189</v>
      </c>
      <c r="N2473" s="166"/>
    </row>
    <row r="2474" spans="1:14" s="540" customFormat="1" ht="14.25" customHeight="1">
      <c r="A2474" s="1536">
        <v>312</v>
      </c>
      <c r="B2474" s="1537" t="e">
        <f>VLOOKUP(D2474,'[2]DS CN MOI UP'!$B$11:$C$447,2,0)</f>
        <v>#N/A</v>
      </c>
      <c r="C2474" s="1538"/>
      <c r="D2474" s="166" t="s">
        <v>1793</v>
      </c>
      <c r="E2474" s="1468" t="s">
        <v>15</v>
      </c>
      <c r="F2474" s="1468"/>
      <c r="G2474" s="1540"/>
      <c r="H2474" s="1466">
        <v>1235040.189</v>
      </c>
      <c r="I2474" s="1540"/>
      <c r="J2474" s="1466">
        <f t="shared" si="97"/>
        <v>1235040.189</v>
      </c>
      <c r="K2474" s="1466"/>
      <c r="L2474" s="1466"/>
      <c r="M2474" s="1540">
        <f t="shared" si="98"/>
        <v>1235040.189</v>
      </c>
      <c r="N2474" s="166"/>
    </row>
    <row r="2475" spans="1:14" s="540" customFormat="1" ht="14.25" customHeight="1">
      <c r="A2475" s="1536">
        <v>313</v>
      </c>
      <c r="B2475" s="1537" t="e">
        <f>VLOOKUP(D2475,'[2]DS CN MOI UP'!$B$11:$C$447,2,0)</f>
        <v>#N/A</v>
      </c>
      <c r="C2475" s="1538"/>
      <c r="D2475" s="166" t="s">
        <v>1794</v>
      </c>
      <c r="E2475" s="1468" t="s">
        <v>15</v>
      </c>
      <c r="F2475" s="1468"/>
      <c r="G2475" s="1540"/>
      <c r="H2475" s="1466">
        <v>1235040.189</v>
      </c>
      <c r="I2475" s="1540"/>
      <c r="J2475" s="1466">
        <f t="shared" ref="J2475:J2486" si="105">SUM(G2475:I2475)</f>
        <v>1235040.189</v>
      </c>
      <c r="K2475" s="1466"/>
      <c r="L2475" s="1466"/>
      <c r="M2475" s="1540">
        <f t="shared" ref="M2475:M2486" si="106">J2475-L2475</f>
        <v>1235040.189</v>
      </c>
      <c r="N2475" s="166"/>
    </row>
    <row r="2476" spans="1:14" s="540" customFormat="1" ht="14.25" customHeight="1">
      <c r="A2476" s="1536">
        <v>314</v>
      </c>
      <c r="B2476" s="1537" t="e">
        <f>VLOOKUP(D2476,'[2]DS CN MOI UP'!$B$11:$C$447,2,0)</f>
        <v>#N/A</v>
      </c>
      <c r="C2476" s="1538"/>
      <c r="D2476" s="166" t="s">
        <v>851</v>
      </c>
      <c r="E2476" s="1468" t="s">
        <v>15</v>
      </c>
      <c r="F2476" s="1468"/>
      <c r="G2476" s="1540"/>
      <c r="H2476" s="1466">
        <v>1289194.0212002599</v>
      </c>
      <c r="I2476" s="1540"/>
      <c r="J2476" s="1466">
        <f t="shared" si="105"/>
        <v>1289194.0212002599</v>
      </c>
      <c r="K2476" s="1466"/>
      <c r="L2476" s="1466"/>
      <c r="M2476" s="1540">
        <f t="shared" si="106"/>
        <v>1289194.0212002599</v>
      </c>
      <c r="N2476" s="166"/>
    </row>
    <row r="2477" spans="1:14" s="540" customFormat="1" ht="14.25" customHeight="1">
      <c r="A2477" s="1536">
        <v>315</v>
      </c>
      <c r="B2477" s="1537" t="e">
        <f>VLOOKUP(D2477,'[2]DS CN MOI UP'!$B$11:$C$447,2,0)</f>
        <v>#N/A</v>
      </c>
      <c r="C2477" s="1538"/>
      <c r="D2477" s="166" t="s">
        <v>828</v>
      </c>
      <c r="E2477" s="1468" t="s">
        <v>15</v>
      </c>
      <c r="F2477" s="1468"/>
      <c r="G2477" s="1540"/>
      <c r="H2477" s="1466">
        <v>1174572.6629999999</v>
      </c>
      <c r="I2477" s="1540"/>
      <c r="J2477" s="1466">
        <f t="shared" si="105"/>
        <v>1174572.6629999999</v>
      </c>
      <c r="K2477" s="1466"/>
      <c r="L2477" s="1466"/>
      <c r="M2477" s="1540">
        <f t="shared" si="106"/>
        <v>1174572.6629999999</v>
      </c>
      <c r="N2477" s="166"/>
    </row>
    <row r="2478" spans="1:14" s="540" customFormat="1" ht="14.25" customHeight="1">
      <c r="A2478" s="1536">
        <v>316</v>
      </c>
      <c r="B2478" s="1537" t="e">
        <f>VLOOKUP(D2478,'[2]DS CN MOI UP'!$B$11:$C$447,2,0)</f>
        <v>#N/A</v>
      </c>
      <c r="C2478" s="1538"/>
      <c r="D2478" s="166" t="s">
        <v>1795</v>
      </c>
      <c r="E2478" s="1468" t="s">
        <v>15</v>
      </c>
      <c r="F2478" s="1468"/>
      <c r="G2478" s="1540"/>
      <c r="H2478" s="1466">
        <v>1124139.3359999999</v>
      </c>
      <c r="I2478" s="1540"/>
      <c r="J2478" s="1466">
        <f t="shared" si="105"/>
        <v>1124139.3359999999</v>
      </c>
      <c r="K2478" s="1466"/>
      <c r="L2478" s="1466"/>
      <c r="M2478" s="1540">
        <f t="shared" si="106"/>
        <v>1124139.3359999999</v>
      </c>
      <c r="N2478" s="166"/>
    </row>
    <row r="2479" spans="1:14" s="540" customFormat="1" ht="14.25" customHeight="1">
      <c r="A2479" s="1536">
        <v>317</v>
      </c>
      <c r="B2479" s="1537" t="e">
        <f>VLOOKUP(D2479,'[2]DS CN MOI UP'!$B$11:$C$447,2,0)</f>
        <v>#N/A</v>
      </c>
      <c r="C2479" s="1538"/>
      <c r="D2479" s="166" t="s">
        <v>830</v>
      </c>
      <c r="E2479" s="1468" t="s">
        <v>15</v>
      </c>
      <c r="F2479" s="1468"/>
      <c r="G2479" s="1540"/>
      <c r="H2479" s="1466">
        <v>1235040.189</v>
      </c>
      <c r="I2479" s="1540"/>
      <c r="J2479" s="1466">
        <f t="shared" si="105"/>
        <v>1235040.189</v>
      </c>
      <c r="K2479" s="1466"/>
      <c r="L2479" s="1466"/>
      <c r="M2479" s="1540">
        <f t="shared" si="106"/>
        <v>1235040.189</v>
      </c>
      <c r="N2479" s="166"/>
    </row>
    <row r="2480" spans="1:14" s="540" customFormat="1" ht="14.25" customHeight="1">
      <c r="A2480" s="1536">
        <v>318</v>
      </c>
      <c r="B2480" s="1537" t="e">
        <f>VLOOKUP(D2480,'[2]DS CN MOI UP'!$B$11:$C$447,2,0)</f>
        <v>#N/A</v>
      </c>
      <c r="C2480" s="1538"/>
      <c r="D2480" s="166" t="s">
        <v>1796</v>
      </c>
      <c r="E2480" s="1468" t="s">
        <v>15</v>
      </c>
      <c r="F2480" s="1468"/>
      <c r="G2480" s="1540"/>
      <c r="H2480" s="1466">
        <v>1235040.189</v>
      </c>
      <c r="I2480" s="1540"/>
      <c r="J2480" s="1466">
        <f t="shared" si="105"/>
        <v>1235040.189</v>
      </c>
      <c r="K2480" s="1466"/>
      <c r="L2480" s="1466"/>
      <c r="M2480" s="1540">
        <f t="shared" si="106"/>
        <v>1235040.189</v>
      </c>
      <c r="N2480" s="166"/>
    </row>
    <row r="2481" spans="1:14" s="540" customFormat="1" ht="14.25" customHeight="1">
      <c r="A2481" s="1536">
        <v>319</v>
      </c>
      <c r="B2481" s="1537" t="e">
        <f>VLOOKUP(D2481,'[2]DS CN MOI UP'!$B$11:$C$447,2,0)</f>
        <v>#N/A</v>
      </c>
      <c r="C2481" s="1538"/>
      <c r="D2481" s="166" t="s">
        <v>832</v>
      </c>
      <c r="E2481" s="1468" t="s">
        <v>15</v>
      </c>
      <c r="F2481" s="1468"/>
      <c r="G2481" s="1540"/>
      <c r="H2481" s="1466">
        <v>1235040.189</v>
      </c>
      <c r="I2481" s="1540"/>
      <c r="J2481" s="1466">
        <f t="shared" si="105"/>
        <v>1235040.189</v>
      </c>
      <c r="K2481" s="1466"/>
      <c r="L2481" s="1466"/>
      <c r="M2481" s="1540">
        <f t="shared" si="106"/>
        <v>1235040.189</v>
      </c>
      <c r="N2481" s="166"/>
    </row>
    <row r="2482" spans="1:14" s="540" customFormat="1" ht="14.25" customHeight="1">
      <c r="A2482" s="1536">
        <v>320</v>
      </c>
      <c r="B2482" s="1537" t="e">
        <f>VLOOKUP(D2482,'[2]DS CN MOI UP'!$B$11:$C$447,2,0)</f>
        <v>#N/A</v>
      </c>
      <c r="C2482" s="1538"/>
      <c r="D2482" s="166" t="s">
        <v>833</v>
      </c>
      <c r="E2482" s="1468" t="s">
        <v>15</v>
      </c>
      <c r="F2482" s="1468"/>
      <c r="G2482" s="1540"/>
      <c r="H2482" s="1466">
        <v>1289194.0212002599</v>
      </c>
      <c r="I2482" s="1540"/>
      <c r="J2482" s="1466">
        <f t="shared" si="105"/>
        <v>1289194.0212002599</v>
      </c>
      <c r="K2482" s="1466"/>
      <c r="L2482" s="1466"/>
      <c r="M2482" s="1540">
        <f t="shared" si="106"/>
        <v>1289194.0212002599</v>
      </c>
      <c r="N2482" s="166"/>
    </row>
    <row r="2483" spans="1:14" s="540" customFormat="1" ht="14.25" customHeight="1">
      <c r="A2483" s="1536">
        <v>321</v>
      </c>
      <c r="B2483" s="1537" t="e">
        <f>VLOOKUP(D2483,'[2]DS CN MOI UP'!$B$11:$C$447,2,0)</f>
        <v>#N/A</v>
      </c>
      <c r="C2483" s="1538"/>
      <c r="D2483" s="166" t="s">
        <v>834</v>
      </c>
      <c r="E2483" s="1468" t="s">
        <v>15</v>
      </c>
      <c r="F2483" s="1468"/>
      <c r="G2483" s="1540"/>
      <c r="H2483" s="1466">
        <v>1174572.6629999999</v>
      </c>
      <c r="I2483" s="1540"/>
      <c r="J2483" s="1466">
        <f t="shared" si="105"/>
        <v>1174572.6629999999</v>
      </c>
      <c r="K2483" s="1466"/>
      <c r="L2483" s="1466"/>
      <c r="M2483" s="1540">
        <f t="shared" si="106"/>
        <v>1174572.6629999999</v>
      </c>
      <c r="N2483" s="166"/>
    </row>
    <row r="2484" spans="1:14" s="540" customFormat="1" ht="14.25" customHeight="1">
      <c r="A2484" s="1536">
        <v>322</v>
      </c>
      <c r="B2484" s="1537" t="e">
        <f>VLOOKUP(D2484,'[2]DS CN MOI UP'!$B$11:$C$447,2,0)</f>
        <v>#N/A</v>
      </c>
      <c r="C2484" s="1538"/>
      <c r="D2484" s="166" t="s">
        <v>1797</v>
      </c>
      <c r="E2484" s="1468" t="s">
        <v>15</v>
      </c>
      <c r="F2484" s="1468"/>
      <c r="G2484" s="1540"/>
      <c r="H2484" s="1466">
        <v>894248.65995988704</v>
      </c>
      <c r="I2484" s="1540"/>
      <c r="J2484" s="1466">
        <f t="shared" si="105"/>
        <v>894248.65995988704</v>
      </c>
      <c r="K2484" s="1466"/>
      <c r="L2484" s="1466"/>
      <c r="M2484" s="1540">
        <f t="shared" si="106"/>
        <v>894248.65995988704</v>
      </c>
      <c r="N2484" s="166"/>
    </row>
    <row r="2485" spans="1:14" s="540" customFormat="1" ht="14.25" customHeight="1">
      <c r="A2485" s="1536">
        <v>323</v>
      </c>
      <c r="B2485" s="1537" t="e">
        <f>VLOOKUP(D2485,'[2]DS CN MOI UP'!$B$11:$C$447,2,0)</f>
        <v>#N/A</v>
      </c>
      <c r="C2485" s="1538"/>
      <c r="D2485" s="166" t="s">
        <v>1798</v>
      </c>
      <c r="E2485" s="1468" t="s">
        <v>15</v>
      </c>
      <c r="F2485" s="1468"/>
      <c r="G2485" s="1540"/>
      <c r="H2485" s="1466">
        <v>1235040.189</v>
      </c>
      <c r="I2485" s="1540"/>
      <c r="J2485" s="1466">
        <f t="shared" si="105"/>
        <v>1235040.189</v>
      </c>
      <c r="K2485" s="1466"/>
      <c r="L2485" s="1466"/>
      <c r="M2485" s="1540">
        <f t="shared" si="106"/>
        <v>1235040.189</v>
      </c>
      <c r="N2485" s="166"/>
    </row>
    <row r="2486" spans="1:14" s="540" customFormat="1" ht="14.25" customHeight="1">
      <c r="A2486" s="1536">
        <v>324</v>
      </c>
      <c r="B2486" s="1537" t="e">
        <f>VLOOKUP(D2486,'[2]DS CN MOI UP'!$B$11:$C$447,2,0)</f>
        <v>#N/A</v>
      </c>
      <c r="C2486" s="1538"/>
      <c r="D2486" s="166" t="s">
        <v>837</v>
      </c>
      <c r="E2486" s="1468" t="s">
        <v>15</v>
      </c>
      <c r="F2486" s="1468"/>
      <c r="G2486" s="1540"/>
      <c r="H2486" s="1466">
        <v>1235040.189</v>
      </c>
      <c r="I2486" s="1540"/>
      <c r="J2486" s="1466">
        <f t="shared" si="105"/>
        <v>1235040.189</v>
      </c>
      <c r="K2486" s="1466"/>
      <c r="L2486" s="1466"/>
      <c r="M2486" s="1540">
        <f t="shared" si="106"/>
        <v>1235040.189</v>
      </c>
      <c r="N2486" s="166"/>
    </row>
    <row r="2487" spans="1:14" s="540" customFormat="1" ht="14.25" customHeight="1">
      <c r="A2487" s="1536">
        <v>325</v>
      </c>
      <c r="B2487" s="1537" t="e">
        <f>VLOOKUP(D2487,'[2]DS CN MOI UP'!$B$11:$C$447,2,0)</f>
        <v>#N/A</v>
      </c>
      <c r="C2487" s="1538"/>
      <c r="D2487" s="166" t="s">
        <v>1799</v>
      </c>
      <c r="E2487" s="1468" t="s">
        <v>15</v>
      </c>
      <c r="F2487" s="1468"/>
      <c r="G2487" s="1540"/>
      <c r="H2487" s="1466">
        <v>1289194.0212002599</v>
      </c>
      <c r="I2487" s="1540"/>
      <c r="J2487" s="1466">
        <f t="shared" si="97"/>
        <v>1289194.0212002599</v>
      </c>
      <c r="K2487" s="1466"/>
      <c r="L2487" s="1466"/>
      <c r="M2487" s="1540">
        <f t="shared" si="98"/>
        <v>1289194.0212002599</v>
      </c>
      <c r="N2487" s="166"/>
    </row>
    <row r="2488" spans="1:14" s="540" customFormat="1" ht="14.25" customHeight="1">
      <c r="A2488" s="1536">
        <v>326</v>
      </c>
      <c r="B2488" s="1537" t="e">
        <f>VLOOKUP(D2488,'[2]DS CN MOI UP'!$B$11:$C$447,2,0)</f>
        <v>#N/A</v>
      </c>
      <c r="C2488" s="1538"/>
      <c r="D2488" s="166" t="s">
        <v>1800</v>
      </c>
      <c r="E2488" s="1468" t="s">
        <v>15</v>
      </c>
      <c r="F2488" s="1468"/>
      <c r="G2488" s="1540"/>
      <c r="H2488" s="1466">
        <v>1174572.6629999999</v>
      </c>
      <c r="I2488" s="1540"/>
      <c r="J2488" s="1466">
        <f t="shared" si="97"/>
        <v>1174572.6629999999</v>
      </c>
      <c r="K2488" s="1466"/>
      <c r="L2488" s="1466"/>
      <c r="M2488" s="1540">
        <f t="shared" si="98"/>
        <v>1174572.6629999999</v>
      </c>
      <c r="N2488" s="166"/>
    </row>
    <row r="2489" spans="1:14" s="540" customFormat="1" ht="14.25" customHeight="1">
      <c r="A2489" s="1536">
        <v>327</v>
      </c>
      <c r="B2489" s="1537" t="e">
        <f>VLOOKUP(D2489,'[2]DS CN MOI UP'!$B$11:$C$447,2,0)</f>
        <v>#N/A</v>
      </c>
      <c r="C2489" s="1538"/>
      <c r="D2489" s="166" t="s">
        <v>759</v>
      </c>
      <c r="E2489" s="1468" t="s">
        <v>15</v>
      </c>
      <c r="F2489" s="1468"/>
      <c r="G2489" s="1540"/>
      <c r="H2489" s="1466">
        <v>1124139.3359999999</v>
      </c>
      <c r="I2489" s="1540"/>
      <c r="J2489" s="1466">
        <f t="shared" si="97"/>
        <v>1124139.3359999999</v>
      </c>
      <c r="K2489" s="1466"/>
      <c r="L2489" s="1466"/>
      <c r="M2489" s="1540">
        <f t="shared" si="98"/>
        <v>1124139.3359999999</v>
      </c>
      <c r="N2489" s="166"/>
    </row>
    <row r="2490" spans="1:14" s="540" customFormat="1" ht="14.25" customHeight="1">
      <c r="A2490" s="1536">
        <v>328</v>
      </c>
      <c r="B2490" s="1537" t="e">
        <f>VLOOKUP(D2490,'[2]DS CN MOI UP'!$B$11:$C$447,2,0)</f>
        <v>#N/A</v>
      </c>
      <c r="C2490" s="1538"/>
      <c r="D2490" s="166" t="s">
        <v>840</v>
      </c>
      <c r="E2490" s="1468" t="s">
        <v>15</v>
      </c>
      <c r="F2490" s="1468"/>
      <c r="G2490" s="1540"/>
      <c r="H2490" s="1466">
        <v>1235040.189</v>
      </c>
      <c r="I2490" s="1540"/>
      <c r="J2490" s="1466">
        <f t="shared" si="97"/>
        <v>1235040.189</v>
      </c>
      <c r="K2490" s="1466"/>
      <c r="L2490" s="1466"/>
      <c r="M2490" s="1540">
        <f t="shared" si="98"/>
        <v>1235040.189</v>
      </c>
      <c r="N2490" s="166"/>
    </row>
    <row r="2491" spans="1:14" s="540" customFormat="1" ht="14.25" customHeight="1">
      <c r="A2491" s="1536">
        <v>329</v>
      </c>
      <c r="B2491" s="1537" t="e">
        <f>VLOOKUP(D2491,'[2]DS CN MOI UP'!$B$11:$C$447,2,0)</f>
        <v>#N/A</v>
      </c>
      <c r="C2491" s="1538"/>
      <c r="D2491" s="166" t="s">
        <v>1801</v>
      </c>
      <c r="E2491" s="1468" t="s">
        <v>15</v>
      </c>
      <c r="F2491" s="1468"/>
      <c r="G2491" s="1540"/>
      <c r="H2491" s="1466">
        <v>1235040.189</v>
      </c>
      <c r="I2491" s="1540"/>
      <c r="J2491" s="1466">
        <f t="shared" si="97"/>
        <v>1235040.189</v>
      </c>
      <c r="K2491" s="1466"/>
      <c r="L2491" s="1466"/>
      <c r="M2491" s="1540">
        <f t="shared" si="98"/>
        <v>1235040.189</v>
      </c>
      <c r="N2491" s="166"/>
    </row>
    <row r="2492" spans="1:14" s="540" customFormat="1" ht="14.25" customHeight="1">
      <c r="A2492" s="1536">
        <v>330</v>
      </c>
      <c r="B2492" s="1537" t="e">
        <f>VLOOKUP(D2492,'[2]DS CN MOI UP'!$B$11:$C$447,2,0)</f>
        <v>#N/A</v>
      </c>
      <c r="C2492" s="1538"/>
      <c r="D2492" s="166" t="s">
        <v>842</v>
      </c>
      <c r="E2492" s="1468" t="s">
        <v>15</v>
      </c>
      <c r="F2492" s="1468"/>
      <c r="G2492" s="1540"/>
      <c r="H2492" s="1466">
        <v>1235040.189</v>
      </c>
      <c r="I2492" s="1540"/>
      <c r="J2492" s="1466">
        <f t="shared" si="97"/>
        <v>1235040.189</v>
      </c>
      <c r="K2492" s="1466"/>
      <c r="L2492" s="1466"/>
      <c r="M2492" s="1540">
        <f t="shared" si="98"/>
        <v>1235040.189</v>
      </c>
      <c r="N2492" s="166"/>
    </row>
    <row r="2493" spans="1:14" s="540" customFormat="1" ht="14.25" customHeight="1">
      <c r="A2493" s="1536">
        <v>331</v>
      </c>
      <c r="B2493" s="1537" t="e">
        <f>VLOOKUP(D2493,'[2]DS CN MOI UP'!$B$11:$C$447,2,0)</f>
        <v>#N/A</v>
      </c>
      <c r="C2493" s="1538"/>
      <c r="D2493" s="166" t="s">
        <v>846</v>
      </c>
      <c r="E2493" s="1468" t="s">
        <v>15</v>
      </c>
      <c r="F2493" s="1468"/>
      <c r="G2493" s="1540"/>
      <c r="H2493" s="1466">
        <v>1289194.0212002599</v>
      </c>
      <c r="I2493" s="1540"/>
      <c r="J2493" s="1466">
        <f t="shared" si="97"/>
        <v>1289194.0212002599</v>
      </c>
      <c r="K2493" s="1466"/>
      <c r="L2493" s="1466"/>
      <c r="M2493" s="1540">
        <f t="shared" si="98"/>
        <v>1289194.0212002599</v>
      </c>
      <c r="N2493" s="166"/>
    </row>
    <row r="2494" spans="1:14" s="540" customFormat="1" ht="14.25" customHeight="1">
      <c r="A2494" s="1536">
        <v>332</v>
      </c>
      <c r="B2494" s="1537" t="e">
        <f>VLOOKUP(D2494,'[2]DS CN MOI UP'!$B$11:$C$447,2,0)</f>
        <v>#N/A</v>
      </c>
      <c r="C2494" s="1538"/>
      <c r="D2494" s="166" t="s">
        <v>844</v>
      </c>
      <c r="E2494" s="1468" t="s">
        <v>15</v>
      </c>
      <c r="F2494" s="1468"/>
      <c r="G2494" s="1540"/>
      <c r="H2494" s="1466">
        <v>1174572.6629999999</v>
      </c>
      <c r="I2494" s="1540"/>
      <c r="J2494" s="1466">
        <f t="shared" si="97"/>
        <v>1174572.6629999999</v>
      </c>
      <c r="K2494" s="1466"/>
      <c r="L2494" s="1466"/>
      <c r="M2494" s="1540">
        <f t="shared" si="98"/>
        <v>1174572.6629999999</v>
      </c>
      <c r="N2494" s="166"/>
    </row>
    <row r="2495" spans="1:14" s="540" customFormat="1" ht="14.25" customHeight="1">
      <c r="A2495" s="1536">
        <v>333</v>
      </c>
      <c r="B2495" s="1537" t="e">
        <f>VLOOKUP(D2495,'[2]DS CN MOI UP'!$B$11:$C$447,2,0)</f>
        <v>#N/A</v>
      </c>
      <c r="C2495" s="1538"/>
      <c r="D2495" s="166" t="s">
        <v>1802</v>
      </c>
      <c r="E2495" s="1468" t="s">
        <v>15</v>
      </c>
      <c r="F2495" s="1468"/>
      <c r="G2495" s="1540"/>
      <c r="H2495" s="1466">
        <v>1124139.3359999999</v>
      </c>
      <c r="I2495" s="1540"/>
      <c r="J2495" s="1466">
        <f t="shared" si="97"/>
        <v>1124139.3359999999</v>
      </c>
      <c r="K2495" s="1466"/>
      <c r="L2495" s="1466"/>
      <c r="M2495" s="1540">
        <f t="shared" si="98"/>
        <v>1124139.3359999999</v>
      </c>
      <c r="N2495" s="166"/>
    </row>
    <row r="2496" spans="1:14" s="540" customFormat="1" ht="14.25" customHeight="1">
      <c r="A2496" s="1536">
        <v>334</v>
      </c>
      <c r="B2496" s="1537" t="e">
        <f>VLOOKUP(D2496,'[2]DS CN MOI UP'!$B$11:$C$447,2,0)</f>
        <v>#N/A</v>
      </c>
      <c r="C2496" s="1538"/>
      <c r="D2496" s="166" t="s">
        <v>1803</v>
      </c>
      <c r="E2496" s="1468" t="s">
        <v>15</v>
      </c>
      <c r="F2496" s="1468"/>
      <c r="G2496" s="1540"/>
      <c r="H2496" s="1466">
        <v>1235040.189</v>
      </c>
      <c r="I2496" s="1540"/>
      <c r="J2496" s="1466">
        <f t="shared" si="97"/>
        <v>1235040.189</v>
      </c>
      <c r="K2496" s="1466"/>
      <c r="L2496" s="1466"/>
      <c r="M2496" s="1540">
        <f t="shared" si="98"/>
        <v>1235040.189</v>
      </c>
      <c r="N2496" s="166"/>
    </row>
    <row r="2497" spans="1:14" s="540" customFormat="1" ht="14.25" customHeight="1">
      <c r="A2497" s="1536">
        <v>335</v>
      </c>
      <c r="B2497" s="1537" t="e">
        <f>VLOOKUP(D2497,'[2]DS CN MOI UP'!$B$11:$C$447,2,0)</f>
        <v>#N/A</v>
      </c>
      <c r="C2497" s="1538"/>
      <c r="D2497" s="166" t="s">
        <v>1804</v>
      </c>
      <c r="E2497" s="1468" t="s">
        <v>15</v>
      </c>
      <c r="F2497" s="1468"/>
      <c r="G2497" s="1540"/>
      <c r="H2497" s="1466">
        <v>1235040.189</v>
      </c>
      <c r="I2497" s="1540"/>
      <c r="J2497" s="1466">
        <f t="shared" si="97"/>
        <v>1235040.189</v>
      </c>
      <c r="K2497" s="1466"/>
      <c r="L2497" s="1466"/>
      <c r="M2497" s="1540">
        <f t="shared" si="98"/>
        <v>1235040.189</v>
      </c>
      <c r="N2497" s="166"/>
    </row>
    <row r="2498" spans="1:14" s="540" customFormat="1" ht="14.25" customHeight="1">
      <c r="A2498" s="1536">
        <v>336</v>
      </c>
      <c r="B2498" s="1537" t="e">
        <f>VLOOKUP(D2498,'[2]DS CN MOI UP'!$B$11:$C$447,2,0)</f>
        <v>#N/A</v>
      </c>
      <c r="C2498" s="1538"/>
      <c r="D2498" s="166" t="s">
        <v>1805</v>
      </c>
      <c r="E2498" s="1468" t="s">
        <v>15</v>
      </c>
      <c r="F2498" s="1468"/>
      <c r="G2498" s="1540"/>
      <c r="H2498" s="1466">
        <v>1289194.0212002599</v>
      </c>
      <c r="I2498" s="1540"/>
      <c r="J2498" s="1466">
        <f t="shared" si="97"/>
        <v>1289194.0212002599</v>
      </c>
      <c r="K2498" s="1466"/>
      <c r="L2498" s="1466"/>
      <c r="M2498" s="1540">
        <f t="shared" si="98"/>
        <v>1289194.0212002599</v>
      </c>
      <c r="N2498" s="166"/>
    </row>
    <row r="2499" spans="1:14" s="540" customFormat="1" ht="14.25" customHeight="1">
      <c r="A2499" s="1536">
        <v>337</v>
      </c>
      <c r="B2499" s="1537" t="e">
        <f>VLOOKUP(D2499,'[2]DS CN MOI UP'!$B$11:$C$447,2,0)</f>
        <v>#N/A</v>
      </c>
      <c r="C2499" s="1538"/>
      <c r="D2499" s="166" t="s">
        <v>1070</v>
      </c>
      <c r="E2499" s="1468" t="s">
        <v>15</v>
      </c>
      <c r="F2499" s="1468"/>
      <c r="G2499" s="1540"/>
      <c r="H2499" s="1466">
        <v>1174572.6629999999</v>
      </c>
      <c r="I2499" s="1540"/>
      <c r="J2499" s="1466">
        <f t="shared" ref="J2499:J2548" si="107">SUM(G2499:I2499)</f>
        <v>1174572.6629999999</v>
      </c>
      <c r="K2499" s="1466"/>
      <c r="L2499" s="1466"/>
      <c r="M2499" s="1540">
        <f t="shared" ref="M2499:M2548" si="108">J2499-L2499</f>
        <v>1174572.6629999999</v>
      </c>
      <c r="N2499" s="166"/>
    </row>
    <row r="2500" spans="1:14" s="540" customFormat="1" ht="14.25" customHeight="1">
      <c r="A2500" s="1536">
        <v>338</v>
      </c>
      <c r="B2500" s="1537" t="e">
        <f>VLOOKUP(D2500,'[2]DS CN MOI UP'!$B$11:$C$447,2,0)</f>
        <v>#N/A</v>
      </c>
      <c r="C2500" s="1538"/>
      <c r="D2500" s="166" t="s">
        <v>1806</v>
      </c>
      <c r="E2500" s="1468" t="s">
        <v>15</v>
      </c>
      <c r="F2500" s="1468"/>
      <c r="G2500" s="1540"/>
      <c r="H2500" s="1466">
        <v>1124139.3359999999</v>
      </c>
      <c r="I2500" s="1540"/>
      <c r="J2500" s="1466">
        <f t="shared" si="107"/>
        <v>1124139.3359999999</v>
      </c>
      <c r="K2500" s="1466"/>
      <c r="L2500" s="1466"/>
      <c r="M2500" s="1540">
        <f t="shared" si="108"/>
        <v>1124139.3359999999</v>
      </c>
      <c r="N2500" s="166"/>
    </row>
    <row r="2501" spans="1:14" s="540" customFormat="1" ht="14.25" customHeight="1">
      <c r="A2501" s="1536">
        <v>339</v>
      </c>
      <c r="B2501" s="1537" t="e">
        <f>VLOOKUP(D2501,'[2]DS CN MOI UP'!$B$11:$C$447,2,0)</f>
        <v>#N/A</v>
      </c>
      <c r="C2501" s="1538"/>
      <c r="D2501" s="166" t="s">
        <v>1807</v>
      </c>
      <c r="E2501" s="1468" t="s">
        <v>15</v>
      </c>
      <c r="F2501" s="1468"/>
      <c r="G2501" s="1540"/>
      <c r="H2501" s="1466">
        <v>1235040.189</v>
      </c>
      <c r="I2501" s="1540"/>
      <c r="J2501" s="1466">
        <f t="shared" si="107"/>
        <v>1235040.189</v>
      </c>
      <c r="K2501" s="1466"/>
      <c r="L2501" s="1466"/>
      <c r="M2501" s="1540">
        <f t="shared" si="108"/>
        <v>1235040.189</v>
      </c>
      <c r="N2501" s="166"/>
    </row>
    <row r="2502" spans="1:14" s="540" customFormat="1" ht="14.25" customHeight="1">
      <c r="A2502" s="1536">
        <v>340</v>
      </c>
      <c r="B2502" s="1537" t="e">
        <f>VLOOKUP(D2502,'[2]DS CN MOI UP'!$B$11:$C$447,2,0)</f>
        <v>#N/A</v>
      </c>
      <c r="C2502" s="1538"/>
      <c r="D2502" s="166" t="s">
        <v>1808</v>
      </c>
      <c r="E2502" s="1468" t="s">
        <v>15</v>
      </c>
      <c r="F2502" s="1468"/>
      <c r="G2502" s="1540"/>
      <c r="H2502" s="1466">
        <v>1235040.189</v>
      </c>
      <c r="I2502" s="1540"/>
      <c r="J2502" s="1466">
        <f t="shared" si="107"/>
        <v>1235040.189</v>
      </c>
      <c r="K2502" s="1466"/>
      <c r="L2502" s="1466"/>
      <c r="M2502" s="1540">
        <f t="shared" si="108"/>
        <v>1235040.189</v>
      </c>
      <c r="N2502" s="166"/>
    </row>
    <row r="2503" spans="1:14" s="540" customFormat="1" ht="14.25" customHeight="1">
      <c r="A2503" s="1536">
        <v>341</v>
      </c>
      <c r="B2503" s="1537" t="e">
        <f>VLOOKUP(D2503,'[2]DS CN MOI UP'!$B$11:$C$447,2,0)</f>
        <v>#N/A</v>
      </c>
      <c r="C2503" s="1538"/>
      <c r="D2503" s="166" t="s">
        <v>1809</v>
      </c>
      <c r="E2503" s="1468" t="s">
        <v>15</v>
      </c>
      <c r="F2503" s="1468"/>
      <c r="G2503" s="1540"/>
      <c r="H2503" s="1466">
        <v>1235040.189</v>
      </c>
      <c r="I2503" s="1540"/>
      <c r="J2503" s="1466">
        <f t="shared" si="107"/>
        <v>1235040.189</v>
      </c>
      <c r="K2503" s="1466"/>
      <c r="L2503" s="1466"/>
      <c r="M2503" s="1540">
        <f t="shared" si="108"/>
        <v>1235040.189</v>
      </c>
      <c r="N2503" s="166"/>
    </row>
    <row r="2504" spans="1:14" s="540" customFormat="1" ht="14.25" customHeight="1">
      <c r="A2504" s="1536">
        <v>342</v>
      </c>
      <c r="B2504" s="1537" t="e">
        <f>VLOOKUP(D2504,'[2]DS CN MOI UP'!$B$11:$C$447,2,0)</f>
        <v>#N/A</v>
      </c>
      <c r="C2504" s="1538"/>
      <c r="D2504" s="166" t="s">
        <v>1810</v>
      </c>
      <c r="E2504" s="1468" t="s">
        <v>15</v>
      </c>
      <c r="F2504" s="1468"/>
      <c r="G2504" s="1540"/>
      <c r="H2504" s="1466">
        <v>1289194.0212002599</v>
      </c>
      <c r="I2504" s="1540"/>
      <c r="J2504" s="1466">
        <f t="shared" si="107"/>
        <v>1289194.0212002599</v>
      </c>
      <c r="K2504" s="1466"/>
      <c r="L2504" s="1466"/>
      <c r="M2504" s="1540">
        <f t="shared" si="108"/>
        <v>1289194.0212002599</v>
      </c>
      <c r="N2504" s="166"/>
    </row>
    <row r="2505" spans="1:14" s="540" customFormat="1" ht="14.25" customHeight="1">
      <c r="A2505" s="1536">
        <v>343</v>
      </c>
      <c r="B2505" s="1537" t="e">
        <f>VLOOKUP(D2505,'[2]DS CN MOI UP'!$B$11:$C$447,2,0)</f>
        <v>#N/A</v>
      </c>
      <c r="C2505" s="1538"/>
      <c r="D2505" s="166" t="s">
        <v>1811</v>
      </c>
      <c r="E2505" s="1468" t="s">
        <v>15</v>
      </c>
      <c r="F2505" s="1468"/>
      <c r="G2505" s="1540"/>
      <c r="H2505" s="1466">
        <v>1174572.6629999999</v>
      </c>
      <c r="I2505" s="1540"/>
      <c r="J2505" s="1466">
        <f t="shared" si="107"/>
        <v>1174572.6629999999</v>
      </c>
      <c r="K2505" s="1466"/>
      <c r="L2505" s="1466"/>
      <c r="M2505" s="1540">
        <f t="shared" si="108"/>
        <v>1174572.6629999999</v>
      </c>
      <c r="N2505" s="166"/>
    </row>
    <row r="2506" spans="1:14" s="540" customFormat="1" ht="14.25" customHeight="1">
      <c r="A2506" s="1536">
        <v>344</v>
      </c>
      <c r="B2506" s="1537" t="e">
        <f>VLOOKUP(D2506,'[2]DS CN MOI UP'!$B$11:$C$447,2,0)</f>
        <v>#N/A</v>
      </c>
      <c r="C2506" s="1538"/>
      <c r="D2506" s="166" t="s">
        <v>1812</v>
      </c>
      <c r="E2506" s="1468" t="s">
        <v>15</v>
      </c>
      <c r="F2506" s="1468"/>
      <c r="G2506" s="1540"/>
      <c r="H2506" s="1466">
        <v>1124139.3359999999</v>
      </c>
      <c r="I2506" s="1540"/>
      <c r="J2506" s="1466">
        <f t="shared" si="107"/>
        <v>1124139.3359999999</v>
      </c>
      <c r="K2506" s="1466"/>
      <c r="L2506" s="1466"/>
      <c r="M2506" s="1540">
        <f t="shared" si="108"/>
        <v>1124139.3359999999</v>
      </c>
      <c r="N2506" s="166"/>
    </row>
    <row r="2507" spans="1:14" s="540" customFormat="1" ht="14.25" customHeight="1">
      <c r="A2507" s="1536">
        <v>345</v>
      </c>
      <c r="B2507" s="1537" t="e">
        <f>VLOOKUP(D2507,'[2]DS CN MOI UP'!$B$11:$C$447,2,0)</f>
        <v>#N/A</v>
      </c>
      <c r="C2507" s="1538"/>
      <c r="D2507" s="166" t="s">
        <v>1813</v>
      </c>
      <c r="E2507" s="1468" t="s">
        <v>15</v>
      </c>
      <c r="F2507" s="1468"/>
      <c r="G2507" s="1540"/>
      <c r="H2507" s="1466">
        <v>1235040.189</v>
      </c>
      <c r="I2507" s="1540"/>
      <c r="J2507" s="1466">
        <f t="shared" ref="J2507:J2518" si="109">SUM(G2507:I2507)</f>
        <v>1235040.189</v>
      </c>
      <c r="K2507" s="1466"/>
      <c r="L2507" s="1466"/>
      <c r="M2507" s="1540">
        <f t="shared" ref="M2507:M2518" si="110">J2507-L2507</f>
        <v>1235040.189</v>
      </c>
      <c r="N2507" s="166"/>
    </row>
    <row r="2508" spans="1:14" s="540" customFormat="1" ht="14.25" customHeight="1">
      <c r="A2508" s="1536">
        <v>346</v>
      </c>
      <c r="B2508" s="1537" t="e">
        <f>VLOOKUP(D2508,'[2]DS CN MOI UP'!$B$11:$C$447,2,0)</f>
        <v>#N/A</v>
      </c>
      <c r="C2508" s="1538"/>
      <c r="D2508" s="166" t="s">
        <v>1814</v>
      </c>
      <c r="E2508" s="1468" t="s">
        <v>15</v>
      </c>
      <c r="F2508" s="1468"/>
      <c r="G2508" s="1540"/>
      <c r="H2508" s="1466">
        <v>1289194.0212002599</v>
      </c>
      <c r="I2508" s="1540"/>
      <c r="J2508" s="1466">
        <f t="shared" si="109"/>
        <v>1289194.0212002599</v>
      </c>
      <c r="K2508" s="1466"/>
      <c r="L2508" s="1466"/>
      <c r="M2508" s="1540">
        <f t="shared" si="110"/>
        <v>1289194.0212002599</v>
      </c>
      <c r="N2508" s="166"/>
    </row>
    <row r="2509" spans="1:14" s="540" customFormat="1" ht="14.25" customHeight="1">
      <c r="A2509" s="1536">
        <v>347</v>
      </c>
      <c r="B2509" s="1537" t="str">
        <f>VLOOKUP(D2509,'[2]DS CN MOI UP'!$B$11:$C$447,2,0)</f>
        <v>02550</v>
      </c>
      <c r="C2509" s="1538"/>
      <c r="D2509" s="166" t="s">
        <v>200</v>
      </c>
      <c r="E2509" s="1468" t="s">
        <v>15</v>
      </c>
      <c r="F2509" s="1468"/>
      <c r="G2509" s="1540"/>
      <c r="H2509" s="1466">
        <v>1174572.6629999999</v>
      </c>
      <c r="I2509" s="1540"/>
      <c r="J2509" s="1466">
        <f t="shared" si="109"/>
        <v>1174572.6629999999</v>
      </c>
      <c r="K2509" s="1466"/>
      <c r="L2509" s="1466"/>
      <c r="M2509" s="1540">
        <f t="shared" si="110"/>
        <v>1174572.6629999999</v>
      </c>
      <c r="N2509" s="166"/>
    </row>
    <row r="2510" spans="1:14" s="540" customFormat="1" ht="14.25" customHeight="1">
      <c r="A2510" s="1536">
        <v>348</v>
      </c>
      <c r="B2510" s="1537" t="e">
        <f>VLOOKUP(D2510,'[2]DS CN MOI UP'!$B$11:$C$447,2,0)</f>
        <v>#N/A</v>
      </c>
      <c r="C2510" s="1538"/>
      <c r="D2510" s="166" t="s">
        <v>1649</v>
      </c>
      <c r="E2510" s="1468" t="s">
        <v>15</v>
      </c>
      <c r="F2510" s="1468"/>
      <c r="G2510" s="1540"/>
      <c r="H2510" s="1466">
        <v>1124139.3359999999</v>
      </c>
      <c r="I2510" s="1540"/>
      <c r="J2510" s="1466">
        <f t="shared" si="109"/>
        <v>1124139.3359999999</v>
      </c>
      <c r="K2510" s="1466"/>
      <c r="L2510" s="1466"/>
      <c r="M2510" s="1540">
        <f t="shared" si="110"/>
        <v>1124139.3359999999</v>
      </c>
      <c r="N2510" s="166"/>
    </row>
    <row r="2511" spans="1:14" s="540" customFormat="1" ht="14.25" customHeight="1">
      <c r="A2511" s="1536">
        <v>349</v>
      </c>
      <c r="B2511" s="1537" t="str">
        <f>VLOOKUP(D2511,'[2]DS CN MOI UP'!$B$11:$C$447,2,0)</f>
        <v>03342</v>
      </c>
      <c r="C2511" s="1538"/>
      <c r="D2511" s="166" t="s">
        <v>489</v>
      </c>
      <c r="E2511" s="1468" t="s">
        <v>15</v>
      </c>
      <c r="F2511" s="1468"/>
      <c r="G2511" s="1540"/>
      <c r="H2511" s="1466">
        <v>1235040.189</v>
      </c>
      <c r="I2511" s="1540"/>
      <c r="J2511" s="1466">
        <f t="shared" si="109"/>
        <v>1235040.189</v>
      </c>
      <c r="K2511" s="1466"/>
      <c r="L2511" s="1466"/>
      <c r="M2511" s="1540">
        <f t="shared" si="110"/>
        <v>1235040.189</v>
      </c>
      <c r="N2511" s="166"/>
    </row>
    <row r="2512" spans="1:14" s="540" customFormat="1" ht="14.25" customHeight="1">
      <c r="A2512" s="1536">
        <v>350</v>
      </c>
      <c r="B2512" s="1537" t="e">
        <f>VLOOKUP(D2512,'[2]DS CN MOI UP'!$B$11:$C$447,2,0)</f>
        <v>#N/A</v>
      </c>
      <c r="C2512" s="1538"/>
      <c r="D2512" s="166" t="s">
        <v>1815</v>
      </c>
      <c r="E2512" s="1468" t="s">
        <v>15</v>
      </c>
      <c r="F2512" s="1468"/>
      <c r="G2512" s="1540"/>
      <c r="H2512" s="1466">
        <v>1235040.189</v>
      </c>
      <c r="I2512" s="1540"/>
      <c r="J2512" s="1466">
        <f t="shared" si="109"/>
        <v>1235040.189</v>
      </c>
      <c r="K2512" s="1466"/>
      <c r="L2512" s="1466"/>
      <c r="M2512" s="1540">
        <f t="shared" si="110"/>
        <v>1235040.189</v>
      </c>
      <c r="N2512" s="166"/>
    </row>
    <row r="2513" spans="1:14" s="540" customFormat="1" ht="14.25" customHeight="1">
      <c r="A2513" s="1536">
        <v>351</v>
      </c>
      <c r="B2513" s="1537" t="e">
        <f>VLOOKUP(D2513,'[2]DS CN MOI UP'!$B$11:$C$447,2,0)</f>
        <v>#N/A</v>
      </c>
      <c r="C2513" s="1538"/>
      <c r="D2513" s="166" t="s">
        <v>1816</v>
      </c>
      <c r="E2513" s="1468" t="s">
        <v>15</v>
      </c>
      <c r="F2513" s="1468"/>
      <c r="G2513" s="1540"/>
      <c r="H2513" s="1466">
        <v>1289194.0212002599</v>
      </c>
      <c r="I2513" s="1540"/>
      <c r="J2513" s="1466">
        <f t="shared" si="109"/>
        <v>1289194.0212002599</v>
      </c>
      <c r="K2513" s="1466"/>
      <c r="L2513" s="1466"/>
      <c r="M2513" s="1540">
        <f t="shared" si="110"/>
        <v>1289194.0212002599</v>
      </c>
      <c r="N2513" s="166"/>
    </row>
    <row r="2514" spans="1:14" s="540" customFormat="1" ht="14.25" customHeight="1">
      <c r="A2514" s="1536">
        <v>352</v>
      </c>
      <c r="B2514" s="1537" t="e">
        <f>VLOOKUP(D2514,'[2]DS CN MOI UP'!$B$11:$C$447,2,0)</f>
        <v>#N/A</v>
      </c>
      <c r="C2514" s="1538"/>
      <c r="D2514" s="166" t="s">
        <v>1817</v>
      </c>
      <c r="E2514" s="1468" t="s">
        <v>15</v>
      </c>
      <c r="F2514" s="1468"/>
      <c r="G2514" s="1540"/>
      <c r="H2514" s="1466">
        <v>1174572.6629999999</v>
      </c>
      <c r="I2514" s="1540"/>
      <c r="J2514" s="1466">
        <f t="shared" si="109"/>
        <v>1174572.6629999999</v>
      </c>
      <c r="K2514" s="1466"/>
      <c r="L2514" s="1466"/>
      <c r="M2514" s="1540">
        <f t="shared" si="110"/>
        <v>1174572.6629999999</v>
      </c>
      <c r="N2514" s="166"/>
    </row>
    <row r="2515" spans="1:14" s="540" customFormat="1" ht="14.25" customHeight="1">
      <c r="A2515" s="1536">
        <v>353</v>
      </c>
      <c r="B2515" s="1537" t="str">
        <f>VLOOKUP(D2515,'[2]DS CN MOI UP'!$B$11:$C$447,2,0)</f>
        <v>02594</v>
      </c>
      <c r="C2515" s="1538"/>
      <c r="D2515" s="166" t="s">
        <v>207</v>
      </c>
      <c r="E2515" s="1468" t="s">
        <v>15</v>
      </c>
      <c r="F2515" s="1468"/>
      <c r="G2515" s="1540"/>
      <c r="H2515" s="1466">
        <v>1124139.3359999999</v>
      </c>
      <c r="I2515" s="1540"/>
      <c r="J2515" s="1466">
        <f t="shared" si="109"/>
        <v>1124139.3359999999</v>
      </c>
      <c r="K2515" s="1466"/>
      <c r="L2515" s="1466"/>
      <c r="M2515" s="1540">
        <f t="shared" si="110"/>
        <v>1124139.3359999999</v>
      </c>
      <c r="N2515" s="166"/>
    </row>
    <row r="2516" spans="1:14" s="540" customFormat="1" ht="14.25" customHeight="1">
      <c r="A2516" s="1536">
        <v>354</v>
      </c>
      <c r="B2516" s="1537" t="e">
        <f>VLOOKUP(D2516,'[2]DS CN MOI UP'!$B$11:$C$447,2,0)</f>
        <v>#N/A</v>
      </c>
      <c r="C2516" s="1538"/>
      <c r="D2516" s="166" t="s">
        <v>1818</v>
      </c>
      <c r="E2516" s="1468" t="s">
        <v>15</v>
      </c>
      <c r="F2516" s="1468"/>
      <c r="G2516" s="1540"/>
      <c r="H2516" s="1466">
        <v>1235040.189</v>
      </c>
      <c r="I2516" s="1540"/>
      <c r="J2516" s="1466">
        <f t="shared" si="109"/>
        <v>1235040.189</v>
      </c>
      <c r="K2516" s="1466"/>
      <c r="L2516" s="1466"/>
      <c r="M2516" s="1540">
        <f t="shared" si="110"/>
        <v>1235040.189</v>
      </c>
      <c r="N2516" s="166"/>
    </row>
    <row r="2517" spans="1:14" s="540" customFormat="1" ht="14.25" customHeight="1">
      <c r="A2517" s="1536">
        <v>355</v>
      </c>
      <c r="B2517" s="1537" t="e">
        <f>VLOOKUP(D2517,'[2]DS CN MOI UP'!$B$11:$C$447,2,0)</f>
        <v>#N/A</v>
      </c>
      <c r="C2517" s="1538"/>
      <c r="D2517" s="166" t="s">
        <v>1819</v>
      </c>
      <c r="E2517" s="1468" t="s">
        <v>15</v>
      </c>
      <c r="F2517" s="1468"/>
      <c r="G2517" s="1540"/>
      <c r="H2517" s="1466">
        <v>1235040.189</v>
      </c>
      <c r="I2517" s="1540"/>
      <c r="J2517" s="1466">
        <f t="shared" si="109"/>
        <v>1235040.189</v>
      </c>
      <c r="K2517" s="1466"/>
      <c r="L2517" s="1466"/>
      <c r="M2517" s="1540">
        <f t="shared" si="110"/>
        <v>1235040.189</v>
      </c>
      <c r="N2517" s="166"/>
    </row>
    <row r="2518" spans="1:14" s="540" customFormat="1" ht="14.25" customHeight="1">
      <c r="A2518" s="1536">
        <v>356</v>
      </c>
      <c r="B2518" s="1537" t="e">
        <f>VLOOKUP(D2518,'[2]DS CN MOI UP'!$B$11:$C$447,2,0)</f>
        <v>#N/A</v>
      </c>
      <c r="C2518" s="1538"/>
      <c r="D2518" s="166" t="s">
        <v>1820</v>
      </c>
      <c r="E2518" s="1468" t="s">
        <v>15</v>
      </c>
      <c r="F2518" s="1468"/>
      <c r="G2518" s="1540"/>
      <c r="H2518" s="1466">
        <v>1235040.189</v>
      </c>
      <c r="I2518" s="1540"/>
      <c r="J2518" s="1466">
        <f t="shared" si="109"/>
        <v>1235040.189</v>
      </c>
      <c r="K2518" s="1466"/>
      <c r="L2518" s="1466"/>
      <c r="M2518" s="1540">
        <f t="shared" si="110"/>
        <v>1235040.189</v>
      </c>
      <c r="N2518" s="166"/>
    </row>
    <row r="2519" spans="1:14" s="540" customFormat="1" ht="14.25" customHeight="1">
      <c r="A2519" s="1536">
        <v>357</v>
      </c>
      <c r="B2519" s="1537" t="e">
        <f>VLOOKUP(D2519,'[2]DS CN MOI UP'!$B$11:$C$447,2,0)</f>
        <v>#N/A</v>
      </c>
      <c r="C2519" s="1538"/>
      <c r="D2519" s="166" t="s">
        <v>1821</v>
      </c>
      <c r="E2519" s="1468" t="s">
        <v>15</v>
      </c>
      <c r="F2519" s="1468"/>
      <c r="G2519" s="1540"/>
      <c r="H2519" s="1466">
        <v>1289194.0212002599</v>
      </c>
      <c r="I2519" s="1540"/>
      <c r="J2519" s="1466">
        <f t="shared" si="107"/>
        <v>1289194.0212002599</v>
      </c>
      <c r="K2519" s="1466"/>
      <c r="L2519" s="1466"/>
      <c r="M2519" s="1540">
        <f t="shared" si="108"/>
        <v>1289194.0212002599</v>
      </c>
      <c r="N2519" s="166"/>
    </row>
    <row r="2520" spans="1:14" s="540" customFormat="1" ht="14.25" customHeight="1">
      <c r="A2520" s="1536">
        <v>358</v>
      </c>
      <c r="B2520" s="1537" t="e">
        <f>VLOOKUP(D2520,'[2]DS CN MOI UP'!$B$11:$C$447,2,0)</f>
        <v>#N/A</v>
      </c>
      <c r="C2520" s="1538"/>
      <c r="D2520" s="166" t="s">
        <v>1822</v>
      </c>
      <c r="E2520" s="1468" t="s">
        <v>15</v>
      </c>
      <c r="F2520" s="1468"/>
      <c r="G2520" s="1540"/>
      <c r="H2520" s="1466">
        <v>1174572.6629999999</v>
      </c>
      <c r="I2520" s="1540"/>
      <c r="J2520" s="1466">
        <f t="shared" si="107"/>
        <v>1174572.6629999999</v>
      </c>
      <c r="K2520" s="1466"/>
      <c r="L2520" s="1466"/>
      <c r="M2520" s="1540">
        <f t="shared" si="108"/>
        <v>1174572.6629999999</v>
      </c>
      <c r="N2520" s="166"/>
    </row>
    <row r="2521" spans="1:14" s="540" customFormat="1" ht="14.25" customHeight="1">
      <c r="A2521" s="1536">
        <v>359</v>
      </c>
      <c r="B2521" s="1537" t="e">
        <f>VLOOKUP(D2521,'[2]DS CN MOI UP'!$B$11:$C$447,2,0)</f>
        <v>#N/A</v>
      </c>
      <c r="C2521" s="1538"/>
      <c r="D2521" s="166" t="s">
        <v>1823</v>
      </c>
      <c r="E2521" s="1468" t="s">
        <v>15</v>
      </c>
      <c r="F2521" s="1468"/>
      <c r="G2521" s="1540"/>
      <c r="H2521" s="1540">
        <v>1235040.189</v>
      </c>
      <c r="I2521" s="1540"/>
      <c r="J2521" s="1466">
        <f t="shared" si="107"/>
        <v>1235040.189</v>
      </c>
      <c r="K2521" s="1466"/>
      <c r="L2521" s="1466"/>
      <c r="M2521" s="1540">
        <f t="shared" si="108"/>
        <v>1235040.189</v>
      </c>
      <c r="N2521" s="166"/>
    </row>
    <row r="2522" spans="1:14" s="540" customFormat="1" ht="14.25" customHeight="1">
      <c r="A2522" s="1536">
        <v>360</v>
      </c>
      <c r="B2522" s="1537" t="str">
        <f>VLOOKUP(D2522,'[2]DS CN MOI UP'!$B$11:$C$447,2,0)</f>
        <v>03403</v>
      </c>
      <c r="C2522" s="1538"/>
      <c r="D2522" s="166" t="s">
        <v>1824</v>
      </c>
      <c r="E2522" s="1468" t="s">
        <v>15</v>
      </c>
      <c r="F2522" s="1468"/>
      <c r="G2522" s="1540"/>
      <c r="H2522" s="1540">
        <v>1289194.0212002599</v>
      </c>
      <c r="I2522" s="1540"/>
      <c r="J2522" s="1466">
        <f t="shared" si="107"/>
        <v>1289194.0212002599</v>
      </c>
      <c r="K2522" s="1466"/>
      <c r="L2522" s="1466"/>
      <c r="M2522" s="1540">
        <f t="shared" si="108"/>
        <v>1289194.0212002599</v>
      </c>
      <c r="N2522" s="166"/>
    </row>
    <row r="2523" spans="1:14" s="540" customFormat="1" ht="14.25" customHeight="1">
      <c r="A2523" s="1536">
        <v>361</v>
      </c>
      <c r="B2523" s="1537" t="e">
        <f>VLOOKUP(D2523,'[2]DS CN MOI UP'!$B$11:$C$447,2,0)</f>
        <v>#N/A</v>
      </c>
      <c r="C2523" s="1538"/>
      <c r="D2523" s="166" t="s">
        <v>1825</v>
      </c>
      <c r="E2523" s="1468" t="s">
        <v>15</v>
      </c>
      <c r="F2523" s="1468"/>
      <c r="G2523" s="1540"/>
      <c r="H2523" s="1540">
        <v>1174572.6629999999</v>
      </c>
      <c r="I2523" s="1540"/>
      <c r="J2523" s="1466">
        <f t="shared" si="107"/>
        <v>1174572.6629999999</v>
      </c>
      <c r="K2523" s="1466"/>
      <c r="L2523" s="1466"/>
      <c r="M2523" s="1540">
        <f t="shared" si="108"/>
        <v>1174572.6629999999</v>
      </c>
      <c r="N2523" s="166"/>
    </row>
    <row r="2524" spans="1:14" s="540" customFormat="1" ht="14.25" customHeight="1">
      <c r="A2524" s="1536">
        <v>362</v>
      </c>
      <c r="B2524" s="1537" t="e">
        <f>VLOOKUP(D2524,'[2]DS CN MOI UP'!$B$11:$C$447,2,0)</f>
        <v>#N/A</v>
      </c>
      <c r="C2524" s="1538"/>
      <c r="D2524" s="166" t="s">
        <v>1826</v>
      </c>
      <c r="E2524" s="1468" t="s">
        <v>15</v>
      </c>
      <c r="F2524" s="1468"/>
      <c r="G2524" s="1540"/>
      <c r="H2524" s="1540">
        <v>1124139.3359999999</v>
      </c>
      <c r="I2524" s="1540"/>
      <c r="J2524" s="1466">
        <f t="shared" si="107"/>
        <v>1124139.3359999999</v>
      </c>
      <c r="K2524" s="1466"/>
      <c r="L2524" s="1466"/>
      <c r="M2524" s="1540">
        <f t="shared" si="108"/>
        <v>1124139.3359999999</v>
      </c>
      <c r="N2524" s="166"/>
    </row>
    <row r="2525" spans="1:14" s="540" customFormat="1" ht="14.25" customHeight="1">
      <c r="A2525" s="1536">
        <v>363</v>
      </c>
      <c r="B2525" s="1537" t="e">
        <f>VLOOKUP(D2525,'[2]DS CN MOI UP'!$B$11:$C$447,2,0)</f>
        <v>#N/A</v>
      </c>
      <c r="C2525" s="1538"/>
      <c r="D2525" s="166" t="s">
        <v>1827</v>
      </c>
      <c r="E2525" s="1468" t="s">
        <v>15</v>
      </c>
      <c r="F2525" s="1468"/>
      <c r="G2525" s="1540"/>
      <c r="H2525" s="1540">
        <v>1235040.189</v>
      </c>
      <c r="I2525" s="1540"/>
      <c r="J2525" s="1466">
        <f t="shared" ref="J2525:J2530" si="111">SUM(G2525:I2525)</f>
        <v>1235040.189</v>
      </c>
      <c r="K2525" s="1466"/>
      <c r="L2525" s="1466"/>
      <c r="M2525" s="1540">
        <f t="shared" ref="M2525:M2530" si="112">J2525-L2525</f>
        <v>1235040.189</v>
      </c>
      <c r="N2525" s="166"/>
    </row>
    <row r="2526" spans="1:14" s="540" customFormat="1" ht="14.25" customHeight="1">
      <c r="A2526" s="1536">
        <v>364</v>
      </c>
      <c r="B2526" s="1537" t="e">
        <f>VLOOKUP(D2526,'[2]DS CN MOI UP'!$B$11:$C$447,2,0)</f>
        <v>#N/A</v>
      </c>
      <c r="C2526" s="1538"/>
      <c r="D2526" s="166" t="s">
        <v>1828</v>
      </c>
      <c r="E2526" s="1468" t="s">
        <v>15</v>
      </c>
      <c r="F2526" s="1468"/>
      <c r="G2526" s="1540"/>
      <c r="H2526" s="1540">
        <v>1235040.189</v>
      </c>
      <c r="I2526" s="1540"/>
      <c r="J2526" s="1466">
        <f t="shared" si="111"/>
        <v>1235040.189</v>
      </c>
      <c r="K2526" s="1466"/>
      <c r="L2526" s="1466"/>
      <c r="M2526" s="1540">
        <f t="shared" si="112"/>
        <v>1235040.189</v>
      </c>
      <c r="N2526" s="166"/>
    </row>
    <row r="2527" spans="1:14" s="540" customFormat="1" ht="14.25" customHeight="1">
      <c r="A2527" s="1536">
        <v>365</v>
      </c>
      <c r="B2527" s="1537" t="str">
        <f>VLOOKUP(D2527,'[2]DS CN MOI UP'!$B$11:$C$447,2,0)</f>
        <v>02550</v>
      </c>
      <c r="C2527" s="1538"/>
      <c r="D2527" s="166" t="s">
        <v>1829</v>
      </c>
      <c r="E2527" s="1468" t="s">
        <v>15</v>
      </c>
      <c r="F2527" s="1468"/>
      <c r="G2527" s="1540"/>
      <c r="H2527" s="1540">
        <v>1289194.0212002599</v>
      </c>
      <c r="I2527" s="1540"/>
      <c r="J2527" s="1466">
        <f t="shared" si="111"/>
        <v>1289194.0212002599</v>
      </c>
      <c r="K2527" s="1466"/>
      <c r="L2527" s="1466"/>
      <c r="M2527" s="1540">
        <f t="shared" si="112"/>
        <v>1289194.0212002599</v>
      </c>
      <c r="N2527" s="166"/>
    </row>
    <row r="2528" spans="1:14" s="540" customFormat="1" ht="14.25" customHeight="1">
      <c r="A2528" s="1536">
        <v>366</v>
      </c>
      <c r="B2528" s="1537" t="e">
        <f>VLOOKUP(D2528,'[2]DS CN MOI UP'!$B$11:$C$447,2,0)</f>
        <v>#N/A</v>
      </c>
      <c r="C2528" s="1538"/>
      <c r="D2528" s="166" t="s">
        <v>1830</v>
      </c>
      <c r="E2528" s="1468" t="s">
        <v>15</v>
      </c>
      <c r="F2528" s="1468"/>
      <c r="G2528" s="1540"/>
      <c r="H2528" s="1540">
        <v>1174572.6629999999</v>
      </c>
      <c r="I2528" s="1540"/>
      <c r="J2528" s="1466">
        <f t="shared" si="111"/>
        <v>1174572.6629999999</v>
      </c>
      <c r="K2528" s="1466"/>
      <c r="L2528" s="1466"/>
      <c r="M2528" s="1540">
        <f t="shared" si="112"/>
        <v>1174572.6629999999</v>
      </c>
      <c r="N2528" s="166"/>
    </row>
    <row r="2529" spans="1:14" s="540" customFormat="1" ht="14.25" customHeight="1">
      <c r="A2529" s="1536">
        <v>367</v>
      </c>
      <c r="B2529" s="1537" t="e">
        <f>VLOOKUP(D2529,'[2]DS CN MOI UP'!$B$11:$C$447,2,0)</f>
        <v>#N/A</v>
      </c>
      <c r="C2529" s="1538"/>
      <c r="D2529" s="166" t="s">
        <v>1831</v>
      </c>
      <c r="E2529" s="1468" t="s">
        <v>15</v>
      </c>
      <c r="F2529" s="1468"/>
      <c r="G2529" s="1540"/>
      <c r="H2529" s="1540">
        <v>1124139.3359999999</v>
      </c>
      <c r="I2529" s="1540"/>
      <c r="J2529" s="1466">
        <f t="shared" si="111"/>
        <v>1124139.3359999999</v>
      </c>
      <c r="K2529" s="1466"/>
      <c r="L2529" s="1466"/>
      <c r="M2529" s="1540">
        <f t="shared" si="112"/>
        <v>1124139.3359999999</v>
      </c>
      <c r="N2529" s="166"/>
    </row>
    <row r="2530" spans="1:14" s="540" customFormat="1" ht="14.25" customHeight="1">
      <c r="A2530" s="1536">
        <v>368</v>
      </c>
      <c r="B2530" s="1537" t="e">
        <f>VLOOKUP(D2530,'[2]DS CN MOI UP'!$B$11:$C$447,2,0)</f>
        <v>#N/A</v>
      </c>
      <c r="C2530" s="1538"/>
      <c r="D2530" s="166" t="s">
        <v>1815</v>
      </c>
      <c r="E2530" s="1468" t="s">
        <v>15</v>
      </c>
      <c r="F2530" s="1468"/>
      <c r="G2530" s="1540"/>
      <c r="H2530" s="1540">
        <v>1235040.189</v>
      </c>
      <c r="I2530" s="1540"/>
      <c r="J2530" s="1466">
        <f t="shared" si="111"/>
        <v>1235040.189</v>
      </c>
      <c r="K2530" s="1466"/>
      <c r="L2530" s="1466"/>
      <c r="M2530" s="1540">
        <f t="shared" si="112"/>
        <v>1235040.189</v>
      </c>
      <c r="N2530" s="166"/>
    </row>
    <row r="2531" spans="1:14" s="540" customFormat="1" ht="14.25" customHeight="1">
      <c r="A2531" s="1536">
        <v>369</v>
      </c>
      <c r="B2531" s="1537" t="e">
        <f>VLOOKUP(D2531,'[2]DS CN MOI UP'!$B$11:$C$447,2,0)</f>
        <v>#N/A</v>
      </c>
      <c r="C2531" s="1538"/>
      <c r="D2531" s="166" t="s">
        <v>1832</v>
      </c>
      <c r="E2531" s="1468" t="s">
        <v>15</v>
      </c>
      <c r="F2531" s="1468"/>
      <c r="G2531" s="1540"/>
      <c r="H2531" s="1540">
        <v>1235040.189</v>
      </c>
      <c r="I2531" s="1540"/>
      <c r="J2531" s="1466">
        <f t="shared" ref="J2531:J2544" si="113">SUM(G2531:I2531)</f>
        <v>1235040.189</v>
      </c>
      <c r="K2531" s="1466"/>
      <c r="L2531" s="1466"/>
      <c r="M2531" s="1540">
        <f t="shared" ref="M2531:M2544" si="114">J2531-L2531</f>
        <v>1235040.189</v>
      </c>
      <c r="N2531" s="166"/>
    </row>
    <row r="2532" spans="1:14" s="540" customFormat="1" ht="14.25" customHeight="1">
      <c r="A2532" s="1536">
        <v>370</v>
      </c>
      <c r="B2532" s="1537" t="e">
        <f>VLOOKUP(D2532,'[2]DS CN MOI UP'!$B$11:$C$447,2,0)</f>
        <v>#N/A</v>
      </c>
      <c r="C2532" s="1538"/>
      <c r="D2532" s="166" t="s">
        <v>1833</v>
      </c>
      <c r="E2532" s="1468" t="s">
        <v>15</v>
      </c>
      <c r="F2532" s="1468"/>
      <c r="G2532" s="1540"/>
      <c r="H2532" s="1540">
        <v>1235040.189</v>
      </c>
      <c r="I2532" s="1540"/>
      <c r="J2532" s="1466">
        <f t="shared" si="113"/>
        <v>1235040.189</v>
      </c>
      <c r="K2532" s="1466"/>
      <c r="L2532" s="1466"/>
      <c r="M2532" s="1540">
        <f t="shared" si="114"/>
        <v>1235040.189</v>
      </c>
      <c r="N2532" s="166"/>
    </row>
    <row r="2533" spans="1:14" s="540" customFormat="1" ht="14.25" customHeight="1">
      <c r="A2533" s="1536">
        <v>371</v>
      </c>
      <c r="B2533" s="1537" t="e">
        <f>VLOOKUP(D2533,'[2]DS CN MOI UP'!$B$11:$C$447,2,0)</f>
        <v>#N/A</v>
      </c>
      <c r="C2533" s="1538"/>
      <c r="D2533" s="166" t="s">
        <v>1834</v>
      </c>
      <c r="E2533" s="1468" t="s">
        <v>15</v>
      </c>
      <c r="F2533" s="1468"/>
      <c r="G2533" s="1540"/>
      <c r="H2533" s="1540">
        <v>1289194.0212002599</v>
      </c>
      <c r="I2533" s="1540"/>
      <c r="J2533" s="1466">
        <f t="shared" si="113"/>
        <v>1289194.0212002599</v>
      </c>
      <c r="K2533" s="1466"/>
      <c r="L2533" s="1466"/>
      <c r="M2533" s="1540">
        <f t="shared" si="114"/>
        <v>1289194.0212002599</v>
      </c>
      <c r="N2533" s="166"/>
    </row>
    <row r="2534" spans="1:14" s="540" customFormat="1" ht="14.25" customHeight="1">
      <c r="A2534" s="1536">
        <v>372</v>
      </c>
      <c r="B2534" s="1537" t="e">
        <f>VLOOKUP(D2534,'[2]DS CN MOI UP'!$B$11:$C$447,2,0)</f>
        <v>#N/A</v>
      </c>
      <c r="C2534" s="1538"/>
      <c r="D2534" s="166" t="s">
        <v>1835</v>
      </c>
      <c r="E2534" s="1468" t="s">
        <v>15</v>
      </c>
      <c r="F2534" s="1468"/>
      <c r="G2534" s="1540"/>
      <c r="H2534" s="1540">
        <v>1174572.6629999999</v>
      </c>
      <c r="I2534" s="1540"/>
      <c r="J2534" s="1466">
        <f t="shared" si="113"/>
        <v>1174572.6629999999</v>
      </c>
      <c r="K2534" s="1466"/>
      <c r="L2534" s="1466"/>
      <c r="M2534" s="1540">
        <f t="shared" si="114"/>
        <v>1174572.6629999999</v>
      </c>
      <c r="N2534" s="166"/>
    </row>
    <row r="2535" spans="1:14" s="540" customFormat="1" ht="14.25" customHeight="1">
      <c r="A2535" s="1536">
        <v>373</v>
      </c>
      <c r="B2535" s="1537" t="e">
        <f>VLOOKUP(D2535,'[2]DS CN MOI UP'!$B$11:$C$447,2,0)</f>
        <v>#N/A</v>
      </c>
      <c r="C2535" s="1538"/>
      <c r="D2535" s="166" t="s">
        <v>1836</v>
      </c>
      <c r="E2535" s="1468" t="s">
        <v>15</v>
      </c>
      <c r="F2535" s="1468"/>
      <c r="G2535" s="1540"/>
      <c r="H2535" s="1540">
        <v>1235040.189</v>
      </c>
      <c r="I2535" s="1540"/>
      <c r="J2535" s="1466">
        <f t="shared" ref="J2535:J2542" si="115">SUM(G2535:I2535)</f>
        <v>1235040.189</v>
      </c>
      <c r="K2535" s="1466"/>
      <c r="L2535" s="1466"/>
      <c r="M2535" s="1540">
        <f t="shared" ref="M2535:M2542" si="116">J2535-L2535</f>
        <v>1235040.189</v>
      </c>
      <c r="N2535" s="166"/>
    </row>
    <row r="2536" spans="1:14" s="540" customFormat="1" ht="14.25" customHeight="1">
      <c r="A2536" s="1536">
        <v>374</v>
      </c>
      <c r="B2536" s="1537" t="e">
        <f>VLOOKUP(D2536,'[2]DS CN MOI UP'!$B$11:$C$447,2,0)</f>
        <v>#N/A</v>
      </c>
      <c r="C2536" s="1538"/>
      <c r="D2536" s="166" t="s">
        <v>1837</v>
      </c>
      <c r="E2536" s="1468" t="s">
        <v>15</v>
      </c>
      <c r="F2536" s="1468"/>
      <c r="G2536" s="1540"/>
      <c r="H2536" s="1540">
        <v>1289194.0212002599</v>
      </c>
      <c r="I2536" s="1540"/>
      <c r="J2536" s="1466">
        <f t="shared" si="115"/>
        <v>1289194.0212002599</v>
      </c>
      <c r="K2536" s="1466"/>
      <c r="L2536" s="1466"/>
      <c r="M2536" s="1540">
        <f t="shared" si="116"/>
        <v>1289194.0212002599</v>
      </c>
      <c r="N2536" s="166"/>
    </row>
    <row r="2537" spans="1:14" s="540" customFormat="1" ht="14.25" customHeight="1">
      <c r="A2537" s="1536">
        <v>375</v>
      </c>
      <c r="B2537" s="1537" t="e">
        <f>VLOOKUP(D2537,'[2]DS CN MOI UP'!$B$11:$C$447,2,0)</f>
        <v>#N/A</v>
      </c>
      <c r="C2537" s="1538"/>
      <c r="D2537" s="166" t="s">
        <v>1024</v>
      </c>
      <c r="E2537" s="1468" t="s">
        <v>15</v>
      </c>
      <c r="F2537" s="1468"/>
      <c r="G2537" s="1540"/>
      <c r="H2537" s="1540">
        <v>1174572.6629999999</v>
      </c>
      <c r="I2537" s="1540"/>
      <c r="J2537" s="1466">
        <f t="shared" si="115"/>
        <v>1174572.6629999999</v>
      </c>
      <c r="K2537" s="1466"/>
      <c r="L2537" s="1466"/>
      <c r="M2537" s="1540">
        <f t="shared" si="116"/>
        <v>1174572.6629999999</v>
      </c>
      <c r="N2537" s="166"/>
    </row>
    <row r="2538" spans="1:14" s="540" customFormat="1" ht="14.25" customHeight="1">
      <c r="A2538" s="1536">
        <v>376</v>
      </c>
      <c r="B2538" s="1537" t="str">
        <f>VLOOKUP(D2538,'[2]DS CN MOI UP'!$B$11:$C$447,2,0)</f>
        <v>02537</v>
      </c>
      <c r="C2538" s="1538"/>
      <c r="D2538" s="166" t="s">
        <v>1838</v>
      </c>
      <c r="E2538" s="1468" t="s">
        <v>15</v>
      </c>
      <c r="F2538" s="1468"/>
      <c r="G2538" s="1540"/>
      <c r="H2538" s="1540">
        <v>1124139.3359999999</v>
      </c>
      <c r="I2538" s="1540"/>
      <c r="J2538" s="1466">
        <f t="shared" si="115"/>
        <v>1124139.3359999999</v>
      </c>
      <c r="K2538" s="1466"/>
      <c r="L2538" s="1466"/>
      <c r="M2538" s="1540">
        <f t="shared" si="116"/>
        <v>1124139.3359999999</v>
      </c>
      <c r="N2538" s="166"/>
    </row>
    <row r="2539" spans="1:14" s="540" customFormat="1" ht="14.25" customHeight="1">
      <c r="A2539" s="1536">
        <v>377</v>
      </c>
      <c r="B2539" s="1537" t="str">
        <f>VLOOKUP(D2539,'[2]DS CN MOI UP'!$B$11:$C$447,2,0)</f>
        <v>02650</v>
      </c>
      <c r="C2539" s="1538"/>
      <c r="D2539" s="166" t="s">
        <v>1839</v>
      </c>
      <c r="E2539" s="1468" t="s">
        <v>15</v>
      </c>
      <c r="F2539" s="1468"/>
      <c r="G2539" s="1540"/>
      <c r="H2539" s="1540">
        <v>1235040.189</v>
      </c>
      <c r="I2539" s="1540"/>
      <c r="J2539" s="1466">
        <f t="shared" si="115"/>
        <v>1235040.189</v>
      </c>
      <c r="K2539" s="1466"/>
      <c r="L2539" s="1466"/>
      <c r="M2539" s="1540">
        <f t="shared" si="116"/>
        <v>1235040.189</v>
      </c>
      <c r="N2539" s="166"/>
    </row>
    <row r="2540" spans="1:14" s="540" customFormat="1" ht="14.25" customHeight="1">
      <c r="A2540" s="1536">
        <v>378</v>
      </c>
      <c r="B2540" s="1537" t="e">
        <f>VLOOKUP(D2540,'[2]DS CN MOI UP'!$B$11:$C$447,2,0)</f>
        <v>#N/A</v>
      </c>
      <c r="C2540" s="1538"/>
      <c r="D2540" s="166" t="s">
        <v>1840</v>
      </c>
      <c r="E2540" s="1468" t="s">
        <v>15</v>
      </c>
      <c r="F2540" s="1468"/>
      <c r="G2540" s="1540"/>
      <c r="H2540" s="1540">
        <v>1235040.189</v>
      </c>
      <c r="I2540" s="1540"/>
      <c r="J2540" s="1466">
        <f t="shared" si="115"/>
        <v>1235040.189</v>
      </c>
      <c r="K2540" s="1466"/>
      <c r="L2540" s="1466"/>
      <c r="M2540" s="1540">
        <f t="shared" si="116"/>
        <v>1235040.189</v>
      </c>
      <c r="N2540" s="166"/>
    </row>
    <row r="2541" spans="1:14" s="540" customFormat="1" ht="14.25" customHeight="1">
      <c r="A2541" s="1536">
        <v>379</v>
      </c>
      <c r="B2541" s="1537" t="e">
        <f>VLOOKUP(D2541,'[2]DS CN MOI UP'!$B$11:$C$447,2,0)</f>
        <v>#N/A</v>
      </c>
      <c r="C2541" s="1538"/>
      <c r="D2541" s="166" t="s">
        <v>1841</v>
      </c>
      <c r="E2541" s="1468" t="s">
        <v>15</v>
      </c>
      <c r="F2541" s="1468"/>
      <c r="G2541" s="1540"/>
      <c r="H2541" s="1540">
        <v>1235040.189</v>
      </c>
      <c r="I2541" s="1540"/>
      <c r="J2541" s="1466">
        <f t="shared" si="115"/>
        <v>1235040.189</v>
      </c>
      <c r="K2541" s="1466"/>
      <c r="L2541" s="1466"/>
      <c r="M2541" s="1540">
        <f t="shared" si="116"/>
        <v>1235040.189</v>
      </c>
      <c r="N2541" s="166"/>
    </row>
    <row r="2542" spans="1:14" s="540" customFormat="1" ht="14.25" customHeight="1">
      <c r="A2542" s="1536">
        <v>380</v>
      </c>
      <c r="B2542" s="1537" t="e">
        <f>VLOOKUP(D2542,'[2]DS CN MOI UP'!$B$11:$C$447,2,0)</f>
        <v>#N/A</v>
      </c>
      <c r="C2542" s="1538"/>
      <c r="D2542" s="166" t="s">
        <v>913</v>
      </c>
      <c r="E2542" s="1468" t="s">
        <v>15</v>
      </c>
      <c r="F2542" s="1468"/>
      <c r="G2542" s="1540"/>
      <c r="H2542" s="1540">
        <v>1289194.0212002599</v>
      </c>
      <c r="I2542" s="1540"/>
      <c r="J2542" s="1466">
        <f t="shared" si="115"/>
        <v>1289194.0212002599</v>
      </c>
      <c r="K2542" s="1466"/>
      <c r="L2542" s="1466"/>
      <c r="M2542" s="1540">
        <f t="shared" si="116"/>
        <v>1289194.0212002599</v>
      </c>
      <c r="N2542" s="166"/>
    </row>
    <row r="2543" spans="1:14" s="540" customFormat="1" ht="14.25" customHeight="1">
      <c r="A2543" s="1536">
        <v>381</v>
      </c>
      <c r="B2543" s="1537" t="e">
        <f>VLOOKUP(D2543,'[2]DS CN MOI UP'!$B$11:$C$447,2,0)</f>
        <v>#N/A</v>
      </c>
      <c r="C2543" s="1538"/>
      <c r="D2543" s="166" t="s">
        <v>1842</v>
      </c>
      <c r="E2543" s="1468" t="s">
        <v>15</v>
      </c>
      <c r="F2543" s="1468"/>
      <c r="G2543" s="1540"/>
      <c r="H2543" s="1540">
        <v>1235040.189</v>
      </c>
      <c r="I2543" s="1540"/>
      <c r="J2543" s="1466">
        <f t="shared" si="113"/>
        <v>1235040.189</v>
      </c>
      <c r="K2543" s="1466"/>
      <c r="L2543" s="1466"/>
      <c r="M2543" s="1540">
        <f t="shared" si="114"/>
        <v>1235040.189</v>
      </c>
      <c r="N2543" s="166"/>
    </row>
    <row r="2544" spans="1:14" s="540" customFormat="1" ht="14.25" customHeight="1">
      <c r="A2544" s="1536">
        <v>382</v>
      </c>
      <c r="B2544" s="1537" t="e">
        <f>VLOOKUP(D2544,'[2]DS CN MOI UP'!$B$11:$C$447,2,0)</f>
        <v>#N/A</v>
      </c>
      <c r="C2544" s="1538"/>
      <c r="D2544" s="166" t="s">
        <v>1843</v>
      </c>
      <c r="E2544" s="1468" t="s">
        <v>15</v>
      </c>
      <c r="F2544" s="1468"/>
      <c r="G2544" s="1540"/>
      <c r="H2544" s="1540">
        <v>1289194.0212002599</v>
      </c>
      <c r="I2544" s="1540"/>
      <c r="J2544" s="1466">
        <f t="shared" si="113"/>
        <v>1289194.0212002599</v>
      </c>
      <c r="K2544" s="1466"/>
      <c r="L2544" s="1466"/>
      <c r="M2544" s="1540">
        <f t="shared" si="114"/>
        <v>1289194.0212002599</v>
      </c>
      <c r="N2544" s="166"/>
    </row>
    <row r="2545" spans="1:17" s="540" customFormat="1" ht="14.25" customHeight="1">
      <c r="A2545" s="1536">
        <v>383</v>
      </c>
      <c r="B2545" s="1537" t="e">
        <f>VLOOKUP(D2545,'[2]DS CN MOI UP'!$B$11:$C$447,2,0)</f>
        <v>#N/A</v>
      </c>
      <c r="C2545" s="1538"/>
      <c r="D2545" s="166" t="s">
        <v>1725</v>
      </c>
      <c r="E2545" s="1468" t="s">
        <v>15</v>
      </c>
      <c r="F2545" s="1468"/>
      <c r="G2545" s="1540"/>
      <c r="H2545" s="1540">
        <v>1174572.6629999999</v>
      </c>
      <c r="I2545" s="1540"/>
      <c r="J2545" s="1466">
        <f t="shared" si="107"/>
        <v>1174572.6629999999</v>
      </c>
      <c r="K2545" s="1466"/>
      <c r="L2545" s="1466"/>
      <c r="M2545" s="1540">
        <f t="shared" si="108"/>
        <v>1174572.6629999999</v>
      </c>
      <c r="N2545" s="166"/>
    </row>
    <row r="2546" spans="1:17" s="540" customFormat="1" ht="14.25" customHeight="1">
      <c r="A2546" s="1536">
        <v>384</v>
      </c>
      <c r="B2546" s="1537" t="e">
        <f>VLOOKUP(D2546,'[2]DS CN MOI UP'!$B$11:$C$447,2,0)</f>
        <v>#N/A</v>
      </c>
      <c r="C2546" s="1538"/>
      <c r="D2546" s="166" t="s">
        <v>1844</v>
      </c>
      <c r="E2546" s="1468" t="s">
        <v>15</v>
      </c>
      <c r="F2546" s="1468"/>
      <c r="G2546" s="1540"/>
      <c r="H2546" s="1540">
        <v>1124139.3359999999</v>
      </c>
      <c r="I2546" s="1540"/>
      <c r="J2546" s="1466">
        <f t="shared" si="107"/>
        <v>1124139.3359999999</v>
      </c>
      <c r="K2546" s="1466"/>
      <c r="L2546" s="1466"/>
      <c r="M2546" s="1540">
        <f t="shared" si="108"/>
        <v>1124139.3359999999</v>
      </c>
      <c r="N2546" s="166"/>
    </row>
    <row r="2547" spans="1:17" s="540" customFormat="1" ht="14.25" customHeight="1">
      <c r="A2547" s="1536">
        <v>385</v>
      </c>
      <c r="B2547" s="1537" t="str">
        <f>VLOOKUP(D2547,'[2]DS CN MOI UP'!$B$11:$C$447,2,0)</f>
        <v>02535</v>
      </c>
      <c r="C2547" s="1538"/>
      <c r="D2547" s="166" t="s">
        <v>1845</v>
      </c>
      <c r="E2547" s="1468" t="s">
        <v>15</v>
      </c>
      <c r="F2547" s="1468"/>
      <c r="G2547" s="1540"/>
      <c r="H2547" s="1540">
        <v>1235040.189</v>
      </c>
      <c r="I2547" s="1540"/>
      <c r="J2547" s="1466">
        <f t="shared" si="107"/>
        <v>1235040.189</v>
      </c>
      <c r="K2547" s="1466"/>
      <c r="L2547" s="1466"/>
      <c r="M2547" s="1540">
        <f t="shared" si="108"/>
        <v>1235040.189</v>
      </c>
      <c r="N2547" s="166"/>
    </row>
    <row r="2548" spans="1:17" s="540" customFormat="1" ht="14.25" customHeight="1">
      <c r="A2548" s="1536">
        <v>386</v>
      </c>
      <c r="B2548" s="1537" t="e">
        <f>VLOOKUP(D2548,'[2]DS CN MOI UP'!$B$11:$C$447,2,0)</f>
        <v>#N/A</v>
      </c>
      <c r="C2548" s="1538"/>
      <c r="D2548" s="166" t="s">
        <v>1846</v>
      </c>
      <c r="E2548" s="1468" t="s">
        <v>15</v>
      </c>
      <c r="F2548" s="1468"/>
      <c r="G2548" s="1540"/>
      <c r="H2548" s="1540">
        <v>1235040.189</v>
      </c>
      <c r="I2548" s="1540"/>
      <c r="J2548" s="1466">
        <f t="shared" si="107"/>
        <v>1235040.189</v>
      </c>
      <c r="K2548" s="1466"/>
      <c r="L2548" s="1466"/>
      <c r="M2548" s="1540">
        <f t="shared" si="108"/>
        <v>1235040.189</v>
      </c>
      <c r="N2548" s="166"/>
    </row>
    <row r="2549" spans="1:17" s="540" customFormat="1" ht="14.25" customHeight="1">
      <c r="A2549" s="1536">
        <v>387</v>
      </c>
      <c r="B2549" s="1537" t="str">
        <f>VLOOKUP(D2549,'[2]DS CN MOI UP'!$B$11:$C$447,2,0)</f>
        <v>03305</v>
      </c>
      <c r="C2549" s="1538"/>
      <c r="D2549" s="166" t="s">
        <v>1847</v>
      </c>
      <c r="E2549" s="1468" t="s">
        <v>15</v>
      </c>
      <c r="F2549" s="1468"/>
      <c r="G2549" s="1540"/>
      <c r="H2549" s="1540">
        <v>1235040.189</v>
      </c>
      <c r="I2549" s="1540"/>
      <c r="J2549" s="1466">
        <f t="shared" si="97"/>
        <v>1235040.189</v>
      </c>
      <c r="K2549" s="1466"/>
      <c r="L2549" s="1466"/>
      <c r="M2549" s="1540">
        <f t="shared" si="98"/>
        <v>1235040.189</v>
      </c>
      <c r="N2549" s="166"/>
    </row>
    <row r="2550" spans="1:17" s="540" customFormat="1" ht="14.25" customHeight="1">
      <c r="A2550" s="1536">
        <v>388</v>
      </c>
      <c r="B2550" s="1537" t="e">
        <f>VLOOKUP(D2550,'[2]DS CN MOI UP'!$B$11:$C$447,2,0)</f>
        <v>#N/A</v>
      </c>
      <c r="C2550" s="1538"/>
      <c r="D2550" s="166" t="s">
        <v>1848</v>
      </c>
      <c r="E2550" s="1468" t="s">
        <v>15</v>
      </c>
      <c r="F2550" s="1468"/>
      <c r="G2550" s="1540"/>
      <c r="H2550" s="1540">
        <v>1289194.0212002599</v>
      </c>
      <c r="I2550" s="1540"/>
      <c r="J2550" s="1466">
        <f t="shared" si="97"/>
        <v>1289194.0212002599</v>
      </c>
      <c r="K2550" s="1466"/>
      <c r="L2550" s="1466"/>
      <c r="M2550" s="1540">
        <f t="shared" si="98"/>
        <v>1289194.0212002599</v>
      </c>
      <c r="N2550" s="166"/>
    </row>
    <row r="2551" spans="1:17" s="540" customFormat="1" ht="14.25" customHeight="1">
      <c r="A2551" s="1536">
        <v>389</v>
      </c>
      <c r="B2551" s="1537" t="e">
        <f>VLOOKUP(D2551,'[2]DS CN MOI UP'!$B$11:$C$447,2,0)</f>
        <v>#N/A</v>
      </c>
      <c r="C2551" s="1538"/>
      <c r="D2551" s="166" t="s">
        <v>1849</v>
      </c>
      <c r="E2551" s="1468" t="s">
        <v>15</v>
      </c>
      <c r="F2551" s="1468"/>
      <c r="G2551" s="1540"/>
      <c r="H2551" s="1540">
        <v>1065337.7240895601</v>
      </c>
      <c r="I2551" s="1540"/>
      <c r="J2551" s="1466">
        <f t="shared" ref="J2551" si="117">SUM(G2551:I2551)</f>
        <v>1065337.7240895601</v>
      </c>
      <c r="K2551" s="1466"/>
      <c r="L2551" s="1466"/>
      <c r="M2551" s="1540">
        <f>J2551-L2551</f>
        <v>1065337.7240895601</v>
      </c>
      <c r="N2551" s="166"/>
    </row>
    <row r="2552" spans="1:17" s="541" customFormat="1" ht="14.25" customHeight="1">
      <c r="A2552" s="1543" t="s">
        <v>285</v>
      </c>
      <c r="B2552" s="1543"/>
      <c r="C2552" s="1543"/>
      <c r="D2552" s="1543"/>
      <c r="E2552" s="1543"/>
      <c r="F2552" s="1532"/>
      <c r="G2552" s="1546">
        <f t="shared" ref="G2552:M2552" si="118">SUM(G2163:G2551)</f>
        <v>77529000</v>
      </c>
      <c r="H2552" s="1546">
        <f t="shared" si="118"/>
        <v>290294904.86811101</v>
      </c>
      <c r="I2552" s="1546">
        <f t="shared" si="118"/>
        <v>89008600</v>
      </c>
      <c r="J2552" s="1546">
        <f t="shared" si="118"/>
        <v>456832504.86811101</v>
      </c>
      <c r="K2552" s="1546">
        <f t="shared" si="118"/>
        <v>0</v>
      </c>
      <c r="L2552" s="1546">
        <f t="shared" si="118"/>
        <v>0</v>
      </c>
      <c r="M2552" s="1546">
        <f t="shared" si="118"/>
        <v>456832504.86811101</v>
      </c>
      <c r="N2552" s="1556"/>
      <c r="O2552" s="560" t="e">
        <f>'LƯƠNG CNTT'!#REF!</f>
        <v>#REF!</v>
      </c>
      <c r="P2552" s="560" t="e">
        <f>'LƯƠNG CNTT'!#REF!</f>
        <v>#REF!</v>
      </c>
      <c r="Q2552" s="560" t="e">
        <f>'LƯƠNG CNTT'!#REF!</f>
        <v>#REF!</v>
      </c>
    </row>
    <row r="2553" spans="1:17" s="540" customFormat="1" ht="14.25" customHeight="1">
      <c r="A2553" s="1547">
        <v>1</v>
      </c>
      <c r="B2553" s="1537"/>
      <c r="C2553" s="1554" t="s">
        <v>1850</v>
      </c>
      <c r="D2553" s="166" t="s">
        <v>802</v>
      </c>
      <c r="E2553" s="166" t="s">
        <v>1851</v>
      </c>
      <c r="F2553" s="166"/>
      <c r="G2553" s="1555"/>
      <c r="H2553" s="1540"/>
      <c r="I2553" s="1540"/>
      <c r="J2553" s="1540">
        <v>1250000</v>
      </c>
      <c r="K2553" s="1466">
        <f t="shared" ref="K2553:K2571" si="119">I2553</f>
        <v>0</v>
      </c>
      <c r="L2553" s="1540"/>
      <c r="M2553" s="1540">
        <f t="shared" ref="M2553:M2571" si="120">J2553-L2553</f>
        <v>1250000</v>
      </c>
      <c r="N2553" s="166"/>
      <c r="O2553" s="559" t="e">
        <f>+O2552-G2552</f>
        <v>#REF!</v>
      </c>
      <c r="P2553" s="559" t="e">
        <f>+P2552-H2552</f>
        <v>#REF!</v>
      </c>
      <c r="Q2553" s="559" t="e">
        <f>+Q2552-I2552</f>
        <v>#REF!</v>
      </c>
    </row>
    <row r="2554" spans="1:17" s="540" customFormat="1" ht="14.25" customHeight="1">
      <c r="A2554" s="1547">
        <v>2</v>
      </c>
      <c r="B2554" s="1537" t="s">
        <v>1852</v>
      </c>
      <c r="C2554" s="1554"/>
      <c r="D2554" s="166" t="s">
        <v>803</v>
      </c>
      <c r="E2554" s="166" t="s">
        <v>1851</v>
      </c>
      <c r="F2554" s="166"/>
      <c r="G2554" s="1555"/>
      <c r="H2554" s="1540"/>
      <c r="I2554" s="1540"/>
      <c r="J2554" s="1540">
        <v>1250000</v>
      </c>
      <c r="K2554" s="1466">
        <f t="shared" si="119"/>
        <v>0</v>
      </c>
      <c r="L2554" s="1540"/>
      <c r="M2554" s="1540">
        <f t="shared" si="120"/>
        <v>1250000</v>
      </c>
      <c r="N2554" s="166"/>
    </row>
    <row r="2555" spans="1:17" s="540" customFormat="1" ht="14.25" customHeight="1">
      <c r="A2555" s="1547">
        <v>3</v>
      </c>
      <c r="B2555" s="1537" t="s">
        <v>1853</v>
      </c>
      <c r="C2555" s="1554"/>
      <c r="D2555" s="166" t="s">
        <v>804</v>
      </c>
      <c r="E2555" s="166" t="s">
        <v>1851</v>
      </c>
      <c r="F2555" s="166"/>
      <c r="G2555" s="1555"/>
      <c r="H2555" s="1540"/>
      <c r="I2555" s="1540"/>
      <c r="J2555" s="1540">
        <v>1250000</v>
      </c>
      <c r="K2555" s="1466">
        <f t="shared" si="119"/>
        <v>0</v>
      </c>
      <c r="L2555" s="1540"/>
      <c r="M2555" s="1540">
        <f t="shared" si="120"/>
        <v>1250000</v>
      </c>
      <c r="N2555" s="166"/>
    </row>
    <row r="2556" spans="1:17" s="540" customFormat="1" ht="14.25" customHeight="1">
      <c r="A2556" s="1547">
        <v>4</v>
      </c>
      <c r="B2556" s="1537" t="s">
        <v>1854</v>
      </c>
      <c r="C2556" s="1554"/>
      <c r="D2556" s="166" t="s">
        <v>805</v>
      </c>
      <c r="E2556" s="166" t="s">
        <v>1851</v>
      </c>
      <c r="F2556" s="166"/>
      <c r="G2556" s="1555"/>
      <c r="H2556" s="1540"/>
      <c r="I2556" s="1540"/>
      <c r="J2556" s="1540">
        <v>1250000</v>
      </c>
      <c r="K2556" s="1466">
        <f t="shared" si="119"/>
        <v>0</v>
      </c>
      <c r="L2556" s="1540"/>
      <c r="M2556" s="1540">
        <f t="shared" si="120"/>
        <v>1250000</v>
      </c>
      <c r="N2556" s="166"/>
    </row>
    <row r="2557" spans="1:17" s="540" customFormat="1" ht="14.25" customHeight="1">
      <c r="A2557" s="1547">
        <v>5</v>
      </c>
      <c r="B2557" s="1537"/>
      <c r="C2557" s="1554"/>
      <c r="D2557" s="166" t="s">
        <v>806</v>
      </c>
      <c r="E2557" s="166" t="s">
        <v>1851</v>
      </c>
      <c r="F2557" s="166"/>
      <c r="G2557" s="1555"/>
      <c r="H2557" s="1540"/>
      <c r="I2557" s="1540"/>
      <c r="J2557" s="1540">
        <v>1250000</v>
      </c>
      <c r="K2557" s="1466">
        <f t="shared" si="119"/>
        <v>0</v>
      </c>
      <c r="L2557" s="1540"/>
      <c r="M2557" s="1540">
        <f t="shared" si="120"/>
        <v>1250000</v>
      </c>
      <c r="N2557" s="166"/>
    </row>
    <row r="2558" spans="1:17" s="540" customFormat="1" ht="14.25" customHeight="1">
      <c r="A2558" s="1547">
        <v>6</v>
      </c>
      <c r="B2558" s="1634" t="s">
        <v>1855</v>
      </c>
      <c r="C2558" s="1554" t="s">
        <v>1856</v>
      </c>
      <c r="D2558" s="166" t="s">
        <v>807</v>
      </c>
      <c r="E2558" s="166" t="s">
        <v>1851</v>
      </c>
      <c r="F2558" s="166"/>
      <c r="G2558" s="1555"/>
      <c r="H2558" s="1540"/>
      <c r="I2558" s="1540"/>
      <c r="J2558" s="1540">
        <v>1250000</v>
      </c>
      <c r="K2558" s="1466">
        <f t="shared" si="119"/>
        <v>0</v>
      </c>
      <c r="L2558" s="1540"/>
      <c r="M2558" s="1540">
        <f t="shared" si="120"/>
        <v>1250000</v>
      </c>
      <c r="N2558" s="166"/>
    </row>
    <row r="2559" spans="1:17" s="540" customFormat="1" ht="14.25" customHeight="1">
      <c r="A2559" s="1547">
        <v>7</v>
      </c>
      <c r="B2559" s="1634" t="s">
        <v>1857</v>
      </c>
      <c r="C2559" s="1554" t="s">
        <v>1858</v>
      </c>
      <c r="D2559" s="1468" t="s">
        <v>808</v>
      </c>
      <c r="E2559" s="166" t="s">
        <v>1851</v>
      </c>
      <c r="F2559" s="166"/>
      <c r="G2559" s="1555"/>
      <c r="H2559" s="1540"/>
      <c r="I2559" s="1540"/>
      <c r="J2559" s="1540">
        <v>1250000</v>
      </c>
      <c r="K2559" s="1466">
        <f t="shared" si="119"/>
        <v>0</v>
      </c>
      <c r="L2559" s="1540"/>
      <c r="M2559" s="1540">
        <f t="shared" si="120"/>
        <v>1250000</v>
      </c>
      <c r="N2559" s="166"/>
    </row>
    <row r="2560" spans="1:17" s="540" customFormat="1" ht="14.25" customHeight="1">
      <c r="A2560" s="1547">
        <v>8</v>
      </c>
      <c r="B2560" s="1634" t="s">
        <v>1859</v>
      </c>
      <c r="C2560" s="1538" t="s">
        <v>1860</v>
      </c>
      <c r="D2560" s="166" t="s">
        <v>809</v>
      </c>
      <c r="E2560" s="166" t="s">
        <v>1851</v>
      </c>
      <c r="F2560" s="166"/>
      <c r="G2560" s="1555"/>
      <c r="H2560" s="1540"/>
      <c r="I2560" s="1540"/>
      <c r="J2560" s="1540">
        <v>1250000</v>
      </c>
      <c r="K2560" s="1466">
        <f t="shared" si="119"/>
        <v>0</v>
      </c>
      <c r="L2560" s="1540"/>
      <c r="M2560" s="1540">
        <f t="shared" si="120"/>
        <v>1250000</v>
      </c>
      <c r="N2560" s="166"/>
    </row>
    <row r="2561" spans="1:16" s="540" customFormat="1" ht="14.25" customHeight="1">
      <c r="A2561" s="1547">
        <v>9</v>
      </c>
      <c r="B2561" s="1537"/>
      <c r="C2561" s="1554"/>
      <c r="D2561" s="1468" t="s">
        <v>1861</v>
      </c>
      <c r="E2561" s="166" t="s">
        <v>1851</v>
      </c>
      <c r="F2561" s="166"/>
      <c r="G2561" s="1555"/>
      <c r="H2561" s="1540"/>
      <c r="I2561" s="1540"/>
      <c r="J2561" s="1540">
        <v>1250000</v>
      </c>
      <c r="K2561" s="1466">
        <f t="shared" si="119"/>
        <v>0</v>
      </c>
      <c r="L2561" s="1540"/>
      <c r="M2561" s="1540">
        <f t="shared" si="120"/>
        <v>1250000</v>
      </c>
      <c r="N2561" s="166"/>
    </row>
    <row r="2562" spans="1:16" s="540" customFormat="1" ht="14.25" customHeight="1">
      <c r="A2562" s="1547">
        <v>10</v>
      </c>
      <c r="B2562" s="1537"/>
      <c r="C2562" s="1554"/>
      <c r="D2562" s="1468" t="s">
        <v>811</v>
      </c>
      <c r="E2562" s="166" t="s">
        <v>1851</v>
      </c>
      <c r="F2562" s="166"/>
      <c r="G2562" s="1555"/>
      <c r="H2562" s="1540"/>
      <c r="I2562" s="1540"/>
      <c r="J2562" s="1540">
        <v>1250000</v>
      </c>
      <c r="K2562" s="1466">
        <f t="shared" si="119"/>
        <v>0</v>
      </c>
      <c r="L2562" s="1540"/>
      <c r="M2562" s="1540">
        <f t="shared" si="120"/>
        <v>1250000</v>
      </c>
      <c r="N2562" s="166"/>
    </row>
    <row r="2563" spans="1:16" s="540" customFormat="1" ht="14.25" customHeight="1">
      <c r="A2563" s="1547">
        <v>11</v>
      </c>
      <c r="B2563" s="1537" t="s">
        <v>1852</v>
      </c>
      <c r="C2563" s="1554"/>
      <c r="D2563" s="166" t="s">
        <v>810</v>
      </c>
      <c r="E2563" s="166" t="s">
        <v>1851</v>
      </c>
      <c r="F2563" s="166"/>
      <c r="G2563" s="1555"/>
      <c r="H2563" s="1540"/>
      <c r="I2563" s="1540"/>
      <c r="J2563" s="1540">
        <v>1250000</v>
      </c>
      <c r="K2563" s="1466">
        <f t="shared" si="119"/>
        <v>0</v>
      </c>
      <c r="L2563" s="1540"/>
      <c r="M2563" s="1540">
        <f t="shared" si="120"/>
        <v>1250000</v>
      </c>
      <c r="N2563" s="166"/>
    </row>
    <row r="2564" spans="1:16" s="540" customFormat="1" ht="14.25" customHeight="1">
      <c r="A2564" s="1547">
        <v>12</v>
      </c>
      <c r="B2564" s="1537" t="s">
        <v>1853</v>
      </c>
      <c r="C2564" s="1554"/>
      <c r="D2564" s="166" t="s">
        <v>813</v>
      </c>
      <c r="E2564" s="166" t="s">
        <v>1851</v>
      </c>
      <c r="F2564" s="166"/>
      <c r="G2564" s="1555"/>
      <c r="H2564" s="1540"/>
      <c r="I2564" s="1540"/>
      <c r="J2564" s="1540">
        <v>1250000</v>
      </c>
      <c r="K2564" s="1466">
        <f t="shared" si="119"/>
        <v>0</v>
      </c>
      <c r="L2564" s="1540"/>
      <c r="M2564" s="1540">
        <f t="shared" si="120"/>
        <v>1250000</v>
      </c>
      <c r="N2564" s="166"/>
    </row>
    <row r="2565" spans="1:16" s="540" customFormat="1" ht="14.25" customHeight="1">
      <c r="A2565" s="1547">
        <v>13</v>
      </c>
      <c r="B2565" s="1537" t="s">
        <v>1854</v>
      </c>
      <c r="C2565" s="1554"/>
      <c r="D2565" s="166" t="s">
        <v>814</v>
      </c>
      <c r="E2565" s="166" t="s">
        <v>1851</v>
      </c>
      <c r="F2565" s="166"/>
      <c r="G2565" s="1555"/>
      <c r="H2565" s="1540"/>
      <c r="I2565" s="1540"/>
      <c r="J2565" s="1540">
        <v>1250000</v>
      </c>
      <c r="K2565" s="1466">
        <f t="shared" si="119"/>
        <v>0</v>
      </c>
      <c r="L2565" s="1540"/>
      <c r="M2565" s="1540">
        <f t="shared" si="120"/>
        <v>1250000</v>
      </c>
      <c r="N2565" s="166"/>
    </row>
    <row r="2566" spans="1:16" s="540" customFormat="1" ht="14.25" customHeight="1">
      <c r="A2566" s="1547">
        <v>14</v>
      </c>
      <c r="B2566" s="1537"/>
      <c r="C2566" s="1554"/>
      <c r="D2566" s="166" t="s">
        <v>815</v>
      </c>
      <c r="E2566" s="166" t="s">
        <v>1851</v>
      </c>
      <c r="F2566" s="166"/>
      <c r="G2566" s="1555"/>
      <c r="H2566" s="1540"/>
      <c r="I2566" s="1540"/>
      <c r="J2566" s="1540">
        <v>1180000</v>
      </c>
      <c r="K2566" s="1466">
        <f t="shared" si="119"/>
        <v>0</v>
      </c>
      <c r="L2566" s="1540"/>
      <c r="M2566" s="1540">
        <f t="shared" si="120"/>
        <v>1180000</v>
      </c>
      <c r="N2566" s="166"/>
    </row>
    <row r="2567" spans="1:16" s="540" customFormat="1" ht="14.25" customHeight="1">
      <c r="A2567" s="1547">
        <v>15</v>
      </c>
      <c r="B2567" s="1634" t="s">
        <v>1855</v>
      </c>
      <c r="C2567" s="1554" t="s">
        <v>1856</v>
      </c>
      <c r="D2567" s="166" t="s">
        <v>816</v>
      </c>
      <c r="E2567" s="166" t="s">
        <v>1851</v>
      </c>
      <c r="F2567" s="166"/>
      <c r="G2567" s="1555"/>
      <c r="H2567" s="1540"/>
      <c r="I2567" s="1540"/>
      <c r="J2567" s="1540">
        <v>1277419.35483871</v>
      </c>
      <c r="K2567" s="1466">
        <f t="shared" ref="K2567:K2570" si="121">I2567</f>
        <v>0</v>
      </c>
      <c r="L2567" s="1540"/>
      <c r="M2567" s="1540">
        <f t="shared" ref="M2567:M2570" si="122">J2567-L2567</f>
        <v>1277419.35483871</v>
      </c>
      <c r="N2567" s="166"/>
      <c r="O2567" s="540">
        <v>-17419.354838714</v>
      </c>
    </row>
    <row r="2568" spans="1:16" s="540" customFormat="1" ht="14.25" customHeight="1">
      <c r="A2568" s="1547">
        <v>16</v>
      </c>
      <c r="B2568" s="1634" t="s">
        <v>1857</v>
      </c>
      <c r="C2568" s="1554" t="s">
        <v>1858</v>
      </c>
      <c r="D2568" s="1468" t="s">
        <v>440</v>
      </c>
      <c r="E2568" s="166" t="s">
        <v>1851</v>
      </c>
      <c r="F2568" s="166"/>
      <c r="G2568" s="1555"/>
      <c r="H2568" s="1540"/>
      <c r="I2568" s="1540"/>
      <c r="J2568" s="1540">
        <v>1250000</v>
      </c>
      <c r="K2568" s="1466">
        <f t="shared" si="121"/>
        <v>0</v>
      </c>
      <c r="L2568" s="1540"/>
      <c r="M2568" s="1540">
        <f t="shared" si="122"/>
        <v>1250000</v>
      </c>
      <c r="N2568" s="166"/>
    </row>
    <row r="2569" spans="1:16" s="540" customFormat="1" ht="14.25" customHeight="1">
      <c r="A2569" s="1547">
        <v>17</v>
      </c>
      <c r="B2569" s="1634" t="s">
        <v>1859</v>
      </c>
      <c r="C2569" s="1538" t="s">
        <v>1860</v>
      </c>
      <c r="D2569" s="166" t="s">
        <v>817</v>
      </c>
      <c r="E2569" s="166" t="s">
        <v>1851</v>
      </c>
      <c r="F2569" s="166"/>
      <c r="G2569" s="1555"/>
      <c r="H2569" s="1540"/>
      <c r="I2569" s="1540"/>
      <c r="J2569" s="1540">
        <v>1281290.32258064</v>
      </c>
      <c r="K2569" s="1466">
        <f t="shared" si="121"/>
        <v>0</v>
      </c>
      <c r="L2569" s="1540"/>
      <c r="M2569" s="1540">
        <f t="shared" si="122"/>
        <v>1281290.32258064</v>
      </c>
      <c r="N2569" s="166"/>
    </row>
    <row r="2570" spans="1:16" s="540" customFormat="1" ht="14.25" customHeight="1">
      <c r="A2570" s="1547">
        <v>18</v>
      </c>
      <c r="B2570" s="1537"/>
      <c r="C2570" s="1554"/>
      <c r="D2570" s="1468" t="s">
        <v>1862</v>
      </c>
      <c r="E2570" s="166" t="s">
        <v>1851</v>
      </c>
      <c r="F2570" s="166"/>
      <c r="G2570" s="1555"/>
      <c r="H2570" s="1540"/>
      <c r="I2570" s="1540"/>
      <c r="J2570" s="1540">
        <v>1280000</v>
      </c>
      <c r="K2570" s="1466">
        <f t="shared" si="121"/>
        <v>0</v>
      </c>
      <c r="L2570" s="1540"/>
      <c r="M2570" s="1540">
        <f t="shared" si="122"/>
        <v>1280000</v>
      </c>
      <c r="N2570" s="166"/>
    </row>
    <row r="2571" spans="1:16" s="540" customFormat="1" ht="14.25" customHeight="1">
      <c r="A2571" s="1547">
        <v>21</v>
      </c>
      <c r="B2571" s="1634" t="s">
        <v>1859</v>
      </c>
      <c r="C2571" s="1538" t="s">
        <v>1860</v>
      </c>
      <c r="D2571" s="166" t="s">
        <v>1863</v>
      </c>
      <c r="E2571" s="166" t="s">
        <v>1851</v>
      </c>
      <c r="F2571" s="166"/>
      <c r="G2571" s="1555"/>
      <c r="H2571" s="1540"/>
      <c r="I2571" s="1540"/>
      <c r="J2571" s="1540">
        <v>1281290.32258064</v>
      </c>
      <c r="K2571" s="1466">
        <f t="shared" si="119"/>
        <v>0</v>
      </c>
      <c r="L2571" s="1540"/>
      <c r="M2571" s="1540">
        <f t="shared" si="120"/>
        <v>1281290.32258064</v>
      </c>
      <c r="N2571" s="166"/>
    </row>
    <row r="2572" spans="1:16" s="541" customFormat="1" ht="14.25" customHeight="1">
      <c r="A2572" s="1543" t="s">
        <v>1864</v>
      </c>
      <c r="B2572" s="1543"/>
      <c r="C2572" s="1543"/>
      <c r="D2572" s="1543"/>
      <c r="E2572" s="1543"/>
      <c r="F2572" s="1556"/>
      <c r="G2572" s="1557">
        <v>0</v>
      </c>
      <c r="H2572" s="1546">
        <v>0</v>
      </c>
      <c r="I2572" s="1546">
        <v>0</v>
      </c>
      <c r="J2572" s="1546">
        <f>SUM(J2553:J2571)</f>
        <v>23800000</v>
      </c>
      <c r="K2572" s="1546">
        <f>SUM(K2553:K2571)</f>
        <v>0</v>
      </c>
      <c r="L2572" s="1546">
        <f>SUM(L2553:L2571)</f>
        <v>0</v>
      </c>
      <c r="M2572" s="1546">
        <f>SUM(M2553:M2571)</f>
        <v>23800000</v>
      </c>
      <c r="N2572" s="1556"/>
      <c r="O2572" s="560" t="e">
        <f>'LƯƠNG CNTT'!#REF!</f>
        <v>#REF!</v>
      </c>
    </row>
    <row r="2573" spans="1:16" s="540" customFormat="1" ht="14.25" customHeight="1">
      <c r="A2573" s="1547">
        <v>1</v>
      </c>
      <c r="B2573" s="1634" t="s">
        <v>1865</v>
      </c>
      <c r="C2573" s="1558" t="s">
        <v>1866</v>
      </c>
      <c r="D2573" s="166" t="s">
        <v>1867</v>
      </c>
      <c r="E2573" s="166" t="s">
        <v>1868</v>
      </c>
      <c r="F2573" s="166"/>
      <c r="G2573" s="1555"/>
      <c r="H2573" s="1205"/>
      <c r="I2573" s="1205"/>
      <c r="J2573" s="1466" t="e">
        <f>VLOOKUP(D2573,'LƯƠNG CNTT'!#REF!,6,0)</f>
        <v>#REF!</v>
      </c>
      <c r="K2573" s="1466" t="e">
        <f>VLOOKUP(E2573,'LƯƠNG CNTT'!#REF!,6,0)</f>
        <v>#REF!</v>
      </c>
      <c r="L2573" s="1466" t="e">
        <f>VLOOKUP(D2573,'LƯƠNG CNTT'!#REF!,8,0)</f>
        <v>#REF!</v>
      </c>
      <c r="M2573" s="1540" t="e">
        <f>J2573-L2573</f>
        <v>#REF!</v>
      </c>
      <c r="N2573" s="166"/>
      <c r="O2573" s="559" t="e">
        <f>+J2572-O2572</f>
        <v>#REF!</v>
      </c>
      <c r="P2573" s="559"/>
    </row>
    <row r="2574" spans="1:16" s="540" customFormat="1" ht="14.25" customHeight="1">
      <c r="A2574" s="1547">
        <v>2</v>
      </c>
      <c r="B2574" s="1634" t="s">
        <v>1869</v>
      </c>
      <c r="C2574" s="1558" t="s">
        <v>1870</v>
      </c>
      <c r="D2574" s="1559" t="s">
        <v>1871</v>
      </c>
      <c r="E2574" s="166" t="s">
        <v>1868</v>
      </c>
      <c r="F2574" s="166"/>
      <c r="G2574" s="1555"/>
      <c r="H2574" s="1205"/>
      <c r="I2574" s="1205"/>
      <c r="J2574" s="1466" t="e">
        <f>VLOOKUP(D2574,'LƯƠNG CNTT'!#REF!,6,0)</f>
        <v>#REF!</v>
      </c>
      <c r="K2574" s="1466" t="e">
        <f>VLOOKUP(E2574,'LƯƠNG CNTT'!#REF!,6,0)</f>
        <v>#REF!</v>
      </c>
      <c r="L2574" s="1466" t="e">
        <f>VLOOKUP(D2574,'LƯƠNG CNTT'!#REF!,8,0)</f>
        <v>#REF!</v>
      </c>
      <c r="M2574" s="1540" t="e">
        <f t="shared" ref="M2574:M2603" si="123">J2574-L2574</f>
        <v>#REF!</v>
      </c>
      <c r="N2574" s="1559"/>
      <c r="P2574" s="559"/>
    </row>
    <row r="2575" spans="1:16" s="540" customFormat="1" ht="14.25" customHeight="1">
      <c r="A2575" s="1547">
        <v>3</v>
      </c>
      <c r="B2575" s="1634" t="s">
        <v>1872</v>
      </c>
      <c r="C2575" s="1554" t="s">
        <v>1873</v>
      </c>
      <c r="D2575" s="166" t="s">
        <v>1874</v>
      </c>
      <c r="E2575" s="166" t="s">
        <v>1868</v>
      </c>
      <c r="F2575" s="166"/>
      <c r="G2575" s="1555"/>
      <c r="H2575" s="1205"/>
      <c r="I2575" s="1205"/>
      <c r="J2575" s="1466" t="e">
        <f>VLOOKUP(D2575,'LƯƠNG CNTT'!#REF!,6,0)</f>
        <v>#REF!</v>
      </c>
      <c r="K2575" s="1466" t="e">
        <f>VLOOKUP(E2575,'LƯƠNG CNTT'!#REF!,6,0)</f>
        <v>#REF!</v>
      </c>
      <c r="L2575" s="1466" t="e">
        <f>VLOOKUP(D2575,'LƯƠNG CNTT'!#REF!,8,0)</f>
        <v>#REF!</v>
      </c>
      <c r="M2575" s="1540" t="e">
        <f t="shared" si="123"/>
        <v>#REF!</v>
      </c>
      <c r="N2575" s="166"/>
      <c r="P2575" s="559"/>
    </row>
    <row r="2576" spans="1:16" s="540" customFormat="1" ht="14.25" customHeight="1">
      <c r="A2576" s="1547">
        <v>4</v>
      </c>
      <c r="B2576" s="1537"/>
      <c r="C2576" s="1554"/>
      <c r="D2576" s="166" t="s">
        <v>1875</v>
      </c>
      <c r="E2576" s="166" t="s">
        <v>1868</v>
      </c>
      <c r="F2576" s="166"/>
      <c r="G2576" s="1555"/>
      <c r="H2576" s="1205"/>
      <c r="I2576" s="1205"/>
      <c r="J2576" s="1466" t="e">
        <f>VLOOKUP(D2576,'LƯƠNG CNTT'!#REF!,6,0)</f>
        <v>#REF!</v>
      </c>
      <c r="K2576" s="1466" t="e">
        <f>VLOOKUP(E2576,'LƯƠNG CNTT'!#REF!,6,0)</f>
        <v>#REF!</v>
      </c>
      <c r="L2576" s="1466" t="e">
        <f>VLOOKUP(D2576,'LƯƠNG CNTT'!#REF!,8,0)</f>
        <v>#REF!</v>
      </c>
      <c r="M2576" s="1540" t="e">
        <f t="shared" si="123"/>
        <v>#REF!</v>
      </c>
      <c r="N2576" s="166"/>
      <c r="P2576" s="559"/>
    </row>
    <row r="2577" spans="1:16" s="540" customFormat="1" ht="14.25" customHeight="1">
      <c r="A2577" s="1547">
        <v>5</v>
      </c>
      <c r="B2577" s="1634" t="s">
        <v>1876</v>
      </c>
      <c r="C2577" s="1554" t="s">
        <v>1394</v>
      </c>
      <c r="D2577" s="166" t="s">
        <v>1877</v>
      </c>
      <c r="E2577" s="166" t="s">
        <v>1868</v>
      </c>
      <c r="F2577" s="166"/>
      <c r="G2577" s="1555"/>
      <c r="H2577" s="1205"/>
      <c r="I2577" s="1205"/>
      <c r="J2577" s="1466" t="e">
        <f>VLOOKUP(D2577,'LƯƠNG CNTT'!#REF!,6,0)</f>
        <v>#REF!</v>
      </c>
      <c r="K2577" s="1466" t="e">
        <f>VLOOKUP(E2577,'LƯƠNG CNTT'!#REF!,6,0)</f>
        <v>#REF!</v>
      </c>
      <c r="L2577" s="1466" t="e">
        <f>VLOOKUP(D2577,'LƯƠNG CNTT'!#REF!,8,0)</f>
        <v>#REF!</v>
      </c>
      <c r="M2577" s="1540" t="e">
        <f t="shared" si="123"/>
        <v>#REF!</v>
      </c>
      <c r="N2577" s="166"/>
      <c r="P2577" s="559"/>
    </row>
    <row r="2578" spans="1:16" s="541" customFormat="1" ht="14.25" customHeight="1">
      <c r="A2578" s="1556" t="s">
        <v>1878</v>
      </c>
      <c r="B2578" s="1532"/>
      <c r="C2578" s="1532"/>
      <c r="E2578" s="1532"/>
      <c r="F2578" s="1532"/>
      <c r="G2578" s="1557"/>
      <c r="H2578" s="1546"/>
      <c r="I2578" s="1546"/>
      <c r="J2578" s="1546" t="e">
        <f>SUM(J2573:J2577)</f>
        <v>#REF!</v>
      </c>
      <c r="K2578" s="1546" t="e">
        <f t="shared" ref="K2578:M2578" si="124">SUM(K2573:K2577)</f>
        <v>#REF!</v>
      </c>
      <c r="L2578" s="1546" t="e">
        <f t="shared" si="124"/>
        <v>#REF!</v>
      </c>
      <c r="M2578" s="1546" t="e">
        <f t="shared" si="124"/>
        <v>#REF!</v>
      </c>
      <c r="N2578" s="1556"/>
      <c r="O2578" s="560" t="e">
        <f>+'LƯƠNG CNTT'!#REF!</f>
        <v>#REF!</v>
      </c>
      <c r="P2578" s="560" t="e">
        <f>+'LƯƠNG CNTT'!#REF!</f>
        <v>#REF!</v>
      </c>
    </row>
    <row r="2579" spans="1:16" s="540" customFormat="1" ht="14.25" customHeight="1">
      <c r="A2579" s="1547">
        <v>1</v>
      </c>
      <c r="B2579" s="1634" t="s">
        <v>1879</v>
      </c>
      <c r="C2579" s="1554"/>
      <c r="D2579" s="166" t="s">
        <v>1792</v>
      </c>
      <c r="E2579" s="166" t="s">
        <v>1880</v>
      </c>
      <c r="F2579" s="166"/>
      <c r="G2579" s="1555"/>
      <c r="H2579" s="1205"/>
      <c r="I2579" s="1205"/>
      <c r="J2579" s="1466">
        <v>1128945.7620000001</v>
      </c>
      <c r="K2579" s="1466">
        <f t="shared" ref="K2579:K2586" si="125">I2579</f>
        <v>0</v>
      </c>
      <c r="L2579" s="1560"/>
      <c r="M2579" s="1540">
        <f t="shared" si="123"/>
        <v>1128945.7620000001</v>
      </c>
      <c r="N2579" s="166"/>
      <c r="O2579" s="559" t="e">
        <f>+J2578-O2578</f>
        <v>#REF!</v>
      </c>
      <c r="P2579" s="559"/>
    </row>
    <row r="2580" spans="1:16" s="540" customFormat="1" ht="14.25" customHeight="1">
      <c r="A2580" s="1547">
        <v>2</v>
      </c>
      <c r="B2580" s="1634" t="s">
        <v>1881</v>
      </c>
      <c r="C2580" s="1554" t="s">
        <v>1882</v>
      </c>
      <c r="D2580" s="166" t="s">
        <v>820</v>
      </c>
      <c r="E2580" s="166" t="s">
        <v>1883</v>
      </c>
      <c r="F2580" s="166"/>
      <c r="G2580" s="1555"/>
      <c r="H2580" s="1205"/>
      <c r="I2580" s="1466"/>
      <c r="J2580" s="1466">
        <v>1078512.4350000001</v>
      </c>
      <c r="K2580" s="1466">
        <f t="shared" si="125"/>
        <v>0</v>
      </c>
      <c r="L2580" s="1540"/>
      <c r="M2580" s="1540">
        <f t="shared" si="123"/>
        <v>1078512.4350000001</v>
      </c>
      <c r="N2580" s="166"/>
      <c r="P2580" s="559"/>
    </row>
    <row r="2581" spans="1:16" s="540" customFormat="1" ht="14.25" customHeight="1">
      <c r="A2581" s="1547">
        <v>3</v>
      </c>
      <c r="B2581" s="1537"/>
      <c r="C2581" s="1554"/>
      <c r="D2581" s="166" t="s">
        <v>1542</v>
      </c>
      <c r="E2581" s="166" t="s">
        <v>1883</v>
      </c>
      <c r="F2581" s="166"/>
      <c r="G2581" s="1555"/>
      <c r="H2581" s="1205"/>
      <c r="I2581" s="1466"/>
      <c r="J2581" s="1466">
        <v>1159179.5249999999</v>
      </c>
      <c r="K2581" s="1466">
        <f t="shared" si="125"/>
        <v>0</v>
      </c>
      <c r="L2581" s="1540"/>
      <c r="M2581" s="1540">
        <f t="shared" si="123"/>
        <v>1159179.5249999999</v>
      </c>
      <c r="N2581" s="166"/>
      <c r="P2581" s="559"/>
    </row>
    <row r="2582" spans="1:16" s="540" customFormat="1" ht="14.25" customHeight="1">
      <c r="A2582" s="1547">
        <v>4</v>
      </c>
      <c r="B2582" s="1537"/>
      <c r="C2582" s="1554"/>
      <c r="D2582" s="166" t="s">
        <v>827</v>
      </c>
      <c r="E2582" s="166" t="s">
        <v>1883</v>
      </c>
      <c r="F2582" s="166"/>
      <c r="G2582" s="1555"/>
      <c r="H2582" s="1205"/>
      <c r="I2582" s="1466"/>
      <c r="J2582" s="1466">
        <v>1068478.236</v>
      </c>
      <c r="K2582" s="1466">
        <f t="shared" si="125"/>
        <v>0</v>
      </c>
      <c r="L2582" s="1540"/>
      <c r="M2582" s="1540">
        <f t="shared" si="123"/>
        <v>1068478.236</v>
      </c>
      <c r="N2582" s="166"/>
      <c r="P2582" s="559"/>
    </row>
    <row r="2583" spans="1:16" s="540" customFormat="1" ht="14.25" customHeight="1">
      <c r="A2583" s="1547">
        <v>5</v>
      </c>
      <c r="B2583" s="1537"/>
      <c r="C2583" s="1554"/>
      <c r="D2583" s="166" t="s">
        <v>824</v>
      </c>
      <c r="E2583" s="166" t="s">
        <v>1883</v>
      </c>
      <c r="F2583" s="166"/>
      <c r="G2583" s="1555"/>
      <c r="H2583" s="1205"/>
      <c r="I2583" s="1466"/>
      <c r="J2583" s="1466">
        <v>1098711.9990000001</v>
      </c>
      <c r="K2583" s="1466">
        <f t="shared" si="125"/>
        <v>0</v>
      </c>
      <c r="L2583" s="1540"/>
      <c r="M2583" s="1540">
        <f t="shared" si="123"/>
        <v>1098711.9990000001</v>
      </c>
      <c r="N2583" s="166"/>
      <c r="P2583" s="559"/>
    </row>
    <row r="2584" spans="1:16" s="540" customFormat="1" ht="14.25" customHeight="1">
      <c r="A2584" s="1547">
        <v>6</v>
      </c>
      <c r="B2584" s="1537"/>
      <c r="C2584" s="1554"/>
      <c r="D2584" s="166" t="s">
        <v>1793</v>
      </c>
      <c r="E2584" s="166" t="s">
        <v>1883</v>
      </c>
      <c r="F2584" s="166"/>
      <c r="G2584" s="1555"/>
      <c r="H2584" s="1205"/>
      <c r="I2584" s="1466"/>
      <c r="J2584" s="1466">
        <v>1128945.7620000001</v>
      </c>
      <c r="K2584" s="1466">
        <f t="shared" si="125"/>
        <v>0</v>
      </c>
      <c r="L2584" s="1540"/>
      <c r="M2584" s="1540">
        <f t="shared" si="123"/>
        <v>1128945.7620000001</v>
      </c>
      <c r="N2584" s="166"/>
      <c r="P2584" s="559"/>
    </row>
    <row r="2585" spans="1:16" s="540" customFormat="1" ht="14.25" customHeight="1">
      <c r="A2585" s="1547">
        <v>7</v>
      </c>
      <c r="B2585" s="1537"/>
      <c r="C2585" s="1554"/>
      <c r="D2585" s="166" t="s">
        <v>1794</v>
      </c>
      <c r="E2585" s="166" t="s">
        <v>1883</v>
      </c>
      <c r="F2585" s="166"/>
      <c r="G2585" s="1555"/>
      <c r="H2585" s="1205"/>
      <c r="I2585" s="1466"/>
      <c r="J2585" s="1466">
        <v>1078512.4350000001</v>
      </c>
      <c r="K2585" s="1466">
        <f t="shared" si="125"/>
        <v>0</v>
      </c>
      <c r="L2585" s="1540"/>
      <c r="M2585" s="1540">
        <f t="shared" si="123"/>
        <v>1078512.4350000001</v>
      </c>
      <c r="N2585" s="166"/>
      <c r="P2585" s="559"/>
    </row>
    <row r="2586" spans="1:16" s="540" customFormat="1" ht="14.25" customHeight="1">
      <c r="A2586" s="1547">
        <v>8</v>
      </c>
      <c r="B2586" s="1537"/>
      <c r="C2586" s="1554"/>
      <c r="D2586" s="166" t="s">
        <v>851</v>
      </c>
      <c r="E2586" s="166" t="s">
        <v>1883</v>
      </c>
      <c r="F2586" s="166"/>
      <c r="G2586" s="1555"/>
      <c r="H2586" s="1205"/>
      <c r="I2586" s="1466"/>
      <c r="J2586" s="1466">
        <v>1128945.7620000001</v>
      </c>
      <c r="K2586" s="1466">
        <f t="shared" si="125"/>
        <v>0</v>
      </c>
      <c r="L2586" s="1540"/>
      <c r="M2586" s="1540">
        <f t="shared" si="123"/>
        <v>1128945.7620000001</v>
      </c>
      <c r="N2586" s="166"/>
      <c r="P2586" s="559"/>
    </row>
    <row r="2587" spans="1:16" s="540" customFormat="1" ht="14.25" customHeight="1">
      <c r="A2587" s="1547">
        <v>9</v>
      </c>
      <c r="B2587" s="1537"/>
      <c r="C2587" s="1554"/>
      <c r="D2587" s="166" t="s">
        <v>828</v>
      </c>
      <c r="E2587" s="166" t="s">
        <v>1883</v>
      </c>
      <c r="F2587" s="166"/>
      <c r="G2587" s="1555"/>
      <c r="H2587" s="1205"/>
      <c r="I2587" s="1466"/>
      <c r="J2587" s="1466">
        <v>1078512.4350000001</v>
      </c>
      <c r="K2587" s="1466">
        <f t="shared" ref="K2587:K2595" si="126">I2587</f>
        <v>0</v>
      </c>
      <c r="L2587" s="1540"/>
      <c r="M2587" s="1540">
        <f t="shared" si="123"/>
        <v>1078512.4350000001</v>
      </c>
      <c r="N2587" s="166"/>
      <c r="P2587" s="559"/>
    </row>
    <row r="2588" spans="1:16" s="540" customFormat="1" ht="14.25" customHeight="1">
      <c r="A2588" s="1547">
        <v>10</v>
      </c>
      <c r="B2588" s="1537"/>
      <c r="C2588" s="1554"/>
      <c r="D2588" s="166" t="s">
        <v>1795</v>
      </c>
      <c r="E2588" s="166" t="s">
        <v>1883</v>
      </c>
      <c r="F2588" s="166"/>
      <c r="G2588" s="1555"/>
      <c r="H2588" s="1205"/>
      <c r="I2588" s="1466"/>
      <c r="J2588" s="1466">
        <v>1159179.5249999999</v>
      </c>
      <c r="K2588" s="1466">
        <f t="shared" si="126"/>
        <v>0</v>
      </c>
      <c r="L2588" s="1540"/>
      <c r="M2588" s="1540">
        <f t="shared" si="123"/>
        <v>1159179.5249999999</v>
      </c>
      <c r="N2588" s="166"/>
      <c r="P2588" s="559"/>
    </row>
    <row r="2589" spans="1:16" s="540" customFormat="1" ht="14.25" customHeight="1">
      <c r="A2589" s="1547">
        <v>11</v>
      </c>
      <c r="B2589" s="1634" t="s">
        <v>1881</v>
      </c>
      <c r="C2589" s="1554" t="s">
        <v>1882</v>
      </c>
      <c r="D2589" s="166" t="s">
        <v>830</v>
      </c>
      <c r="E2589" s="166" t="s">
        <v>1883</v>
      </c>
      <c r="F2589" s="166"/>
      <c r="G2589" s="1555"/>
      <c r="H2589" s="1205"/>
      <c r="I2589" s="1466"/>
      <c r="J2589" s="1466">
        <v>1068478.236</v>
      </c>
      <c r="K2589" s="1466">
        <f t="shared" si="126"/>
        <v>0</v>
      </c>
      <c r="L2589" s="1540"/>
      <c r="M2589" s="1540">
        <f t="shared" si="123"/>
        <v>1068478.236</v>
      </c>
      <c r="N2589" s="166"/>
      <c r="P2589" s="559"/>
    </row>
    <row r="2590" spans="1:16" s="540" customFormat="1" ht="14.25" customHeight="1">
      <c r="A2590" s="1547">
        <v>12</v>
      </c>
      <c r="B2590" s="1537"/>
      <c r="C2590" s="1554"/>
      <c r="D2590" s="166" t="s">
        <v>1796</v>
      </c>
      <c r="E2590" s="166" t="s">
        <v>1883</v>
      </c>
      <c r="F2590" s="166"/>
      <c r="G2590" s="1555"/>
      <c r="H2590" s="1205"/>
      <c r="I2590" s="1466"/>
      <c r="J2590" s="1466">
        <v>1098711.9990000001</v>
      </c>
      <c r="K2590" s="1466">
        <f t="shared" si="126"/>
        <v>0</v>
      </c>
      <c r="L2590" s="1540"/>
      <c r="M2590" s="1540">
        <f t="shared" si="123"/>
        <v>1098711.9990000001</v>
      </c>
      <c r="N2590" s="166"/>
      <c r="P2590" s="559"/>
    </row>
    <row r="2591" spans="1:16" s="540" customFormat="1" ht="14.25" customHeight="1">
      <c r="A2591" s="1547">
        <v>13</v>
      </c>
      <c r="B2591" s="1537"/>
      <c r="C2591" s="1554"/>
      <c r="D2591" s="166" t="s">
        <v>832</v>
      </c>
      <c r="E2591" s="166" t="s">
        <v>1883</v>
      </c>
      <c r="F2591" s="166"/>
      <c r="G2591" s="1555"/>
      <c r="H2591" s="1205"/>
      <c r="I2591" s="1466"/>
      <c r="J2591" s="1466">
        <v>1128945.7620000001</v>
      </c>
      <c r="K2591" s="1466">
        <f t="shared" si="126"/>
        <v>0</v>
      </c>
      <c r="L2591" s="1540"/>
      <c r="M2591" s="1540">
        <f t="shared" si="123"/>
        <v>1128945.7620000001</v>
      </c>
      <c r="N2591" s="166"/>
      <c r="P2591" s="559"/>
    </row>
    <row r="2592" spans="1:16" s="540" customFormat="1" ht="14.25" customHeight="1">
      <c r="A2592" s="1547">
        <v>14</v>
      </c>
      <c r="B2592" s="1537"/>
      <c r="C2592" s="1554"/>
      <c r="D2592" s="166" t="s">
        <v>833</v>
      </c>
      <c r="E2592" s="166" t="s">
        <v>1883</v>
      </c>
      <c r="F2592" s="166"/>
      <c r="G2592" s="1555"/>
      <c r="H2592" s="1205"/>
      <c r="I2592" s="1466"/>
      <c r="J2592" s="1466">
        <v>1078512.4350000001</v>
      </c>
      <c r="K2592" s="1466">
        <f t="shared" si="126"/>
        <v>0</v>
      </c>
      <c r="L2592" s="1540"/>
      <c r="M2592" s="1540">
        <f t="shared" si="123"/>
        <v>1078512.4350000001</v>
      </c>
      <c r="N2592" s="166"/>
      <c r="P2592" s="559"/>
    </row>
    <row r="2593" spans="1:16" s="540" customFormat="1" ht="14.25" customHeight="1">
      <c r="A2593" s="1547">
        <v>15</v>
      </c>
      <c r="B2593" s="1537"/>
      <c r="C2593" s="1554"/>
      <c r="D2593" s="166" t="s">
        <v>834</v>
      </c>
      <c r="E2593" s="166" t="s">
        <v>1883</v>
      </c>
      <c r="F2593" s="166"/>
      <c r="G2593" s="1555"/>
      <c r="H2593" s="1205"/>
      <c r="I2593" s="1466"/>
      <c r="J2593" s="1466">
        <v>1128945.7620000001</v>
      </c>
      <c r="K2593" s="1466">
        <f t="shared" si="126"/>
        <v>0</v>
      </c>
      <c r="L2593" s="1540"/>
      <c r="M2593" s="1540">
        <f t="shared" si="123"/>
        <v>1128945.7620000001</v>
      </c>
      <c r="N2593" s="166"/>
      <c r="P2593" s="559"/>
    </row>
    <row r="2594" spans="1:16" s="540" customFormat="1" ht="14.25" customHeight="1">
      <c r="A2594" s="1547">
        <v>16</v>
      </c>
      <c r="B2594" s="1537"/>
      <c r="C2594" s="1554"/>
      <c r="D2594" s="166" t="s">
        <v>1797</v>
      </c>
      <c r="E2594" s="166" t="s">
        <v>1883</v>
      </c>
      <c r="F2594" s="166"/>
      <c r="G2594" s="1555"/>
      <c r="H2594" s="1205"/>
      <c r="I2594" s="1466"/>
      <c r="J2594" s="1466">
        <v>1078512.4350000001</v>
      </c>
      <c r="K2594" s="1466">
        <f t="shared" si="126"/>
        <v>0</v>
      </c>
      <c r="L2594" s="1540"/>
      <c r="M2594" s="1540">
        <f t="shared" si="123"/>
        <v>1078512.4350000001</v>
      </c>
      <c r="N2594" s="166"/>
      <c r="P2594" s="559"/>
    </row>
    <row r="2595" spans="1:16" s="540" customFormat="1" ht="14.25" customHeight="1">
      <c r="A2595" s="1547">
        <v>17</v>
      </c>
      <c r="B2595" s="1537"/>
      <c r="C2595" s="1554"/>
      <c r="D2595" s="166" t="s">
        <v>1798</v>
      </c>
      <c r="E2595" s="166" t="s">
        <v>1883</v>
      </c>
      <c r="F2595" s="166"/>
      <c r="G2595" s="1555"/>
      <c r="H2595" s="1205"/>
      <c r="I2595" s="1466"/>
      <c r="J2595" s="1466">
        <v>1159179.5249999999</v>
      </c>
      <c r="K2595" s="1466">
        <f t="shared" si="126"/>
        <v>0</v>
      </c>
      <c r="L2595" s="1540"/>
      <c r="M2595" s="1540">
        <f t="shared" si="123"/>
        <v>1159179.5249999999</v>
      </c>
      <c r="N2595" s="166"/>
      <c r="P2595" s="559"/>
    </row>
    <row r="2596" spans="1:16" s="540" customFormat="1" ht="14.25" customHeight="1">
      <c r="A2596" s="1547">
        <v>18</v>
      </c>
      <c r="B2596" s="1537"/>
      <c r="C2596" s="1554"/>
      <c r="D2596" s="166" t="s">
        <v>837</v>
      </c>
      <c r="E2596" s="166" t="s">
        <v>1883</v>
      </c>
      <c r="F2596" s="166"/>
      <c r="G2596" s="1555"/>
      <c r="H2596" s="1205"/>
      <c r="I2596" s="1466"/>
      <c r="J2596" s="1466">
        <v>1068478.236</v>
      </c>
      <c r="K2596" s="1466">
        <f t="shared" ref="K2596:K2603" si="127">I2596</f>
        <v>0</v>
      </c>
      <c r="L2596" s="1540"/>
      <c r="M2596" s="1540">
        <f t="shared" si="123"/>
        <v>1068478.236</v>
      </c>
      <c r="N2596" s="166"/>
      <c r="P2596" s="559"/>
    </row>
    <row r="2597" spans="1:16" s="540" customFormat="1" ht="14.25" customHeight="1">
      <c r="A2597" s="1547">
        <v>19</v>
      </c>
      <c r="B2597" s="1537"/>
      <c r="C2597" s="1554"/>
      <c r="D2597" s="166" t="s">
        <v>1799</v>
      </c>
      <c r="E2597" s="166" t="s">
        <v>1883</v>
      </c>
      <c r="F2597" s="166"/>
      <c r="G2597" s="1555"/>
      <c r="H2597" s="1205"/>
      <c r="I2597" s="1466"/>
      <c r="J2597" s="1466">
        <v>1098711.9990000001</v>
      </c>
      <c r="K2597" s="1466">
        <f t="shared" si="127"/>
        <v>0</v>
      </c>
      <c r="L2597" s="1540"/>
      <c r="M2597" s="1540">
        <f t="shared" si="123"/>
        <v>1098711.9990000001</v>
      </c>
      <c r="N2597" s="166"/>
      <c r="P2597" s="559"/>
    </row>
    <row r="2598" spans="1:16" s="540" customFormat="1" ht="14.25" customHeight="1">
      <c r="A2598" s="1547">
        <v>20</v>
      </c>
      <c r="B2598" s="1634" t="s">
        <v>1881</v>
      </c>
      <c r="C2598" s="1554" t="s">
        <v>1882</v>
      </c>
      <c r="D2598" s="166" t="s">
        <v>1800</v>
      </c>
      <c r="E2598" s="166" t="s">
        <v>1883</v>
      </c>
      <c r="F2598" s="166"/>
      <c r="G2598" s="1555"/>
      <c r="H2598" s="1205"/>
      <c r="I2598" s="1466"/>
      <c r="J2598" s="1466">
        <v>1128945.7620000001</v>
      </c>
      <c r="K2598" s="1466">
        <f t="shared" si="127"/>
        <v>0</v>
      </c>
      <c r="L2598" s="1540"/>
      <c r="M2598" s="1540">
        <f t="shared" si="123"/>
        <v>1128945.7620000001</v>
      </c>
      <c r="N2598" s="166"/>
      <c r="P2598" s="559"/>
    </row>
    <row r="2599" spans="1:16" s="540" customFormat="1" ht="14.25" customHeight="1">
      <c r="A2599" s="1547">
        <v>21</v>
      </c>
      <c r="B2599" s="1537"/>
      <c r="C2599" s="1554"/>
      <c r="D2599" s="166" t="s">
        <v>759</v>
      </c>
      <c r="E2599" s="166" t="s">
        <v>1883</v>
      </c>
      <c r="F2599" s="166"/>
      <c r="G2599" s="1555"/>
      <c r="H2599" s="1205"/>
      <c r="I2599" s="1466"/>
      <c r="J2599" s="1466">
        <v>1073549.03619999</v>
      </c>
      <c r="K2599" s="1466">
        <f t="shared" si="127"/>
        <v>0</v>
      </c>
      <c r="L2599" s="1540"/>
      <c r="M2599" s="1540">
        <f t="shared" si="123"/>
        <v>1073549.03619999</v>
      </c>
      <c r="N2599" s="166"/>
      <c r="P2599" s="559"/>
    </row>
    <row r="2600" spans="1:16" s="540" customFormat="1" ht="14.25" customHeight="1">
      <c r="A2600" s="1547">
        <v>22</v>
      </c>
      <c r="B2600" s="1537"/>
      <c r="C2600" s="1554"/>
      <c r="D2600" s="166" t="s">
        <v>1884</v>
      </c>
      <c r="E2600" s="166" t="s">
        <v>1883</v>
      </c>
      <c r="F2600" s="166"/>
      <c r="G2600" s="1555"/>
      <c r="H2600" s="1205"/>
      <c r="I2600" s="1466"/>
      <c r="J2600" s="1466">
        <v>1271320.46514001</v>
      </c>
      <c r="K2600" s="1466">
        <f t="shared" si="127"/>
        <v>0</v>
      </c>
      <c r="L2600" s="1540"/>
      <c r="M2600" s="1540">
        <f t="shared" si="123"/>
        <v>1271320.46514001</v>
      </c>
      <c r="N2600" s="166"/>
      <c r="P2600" s="559"/>
    </row>
    <row r="2601" spans="1:16" s="540" customFormat="1" ht="14.25" customHeight="1">
      <c r="A2601" s="1547">
        <v>23</v>
      </c>
      <c r="B2601" s="1537"/>
      <c r="C2601" s="1554"/>
      <c r="D2601" s="166" t="s">
        <v>1885</v>
      </c>
      <c r="E2601" s="166" t="s">
        <v>1883</v>
      </c>
      <c r="F2601" s="166"/>
      <c r="G2601" s="1555"/>
      <c r="H2601" s="1205"/>
      <c r="I2601" s="1466"/>
      <c r="J2601" s="1466">
        <v>1098711.9990000001</v>
      </c>
      <c r="K2601" s="1466">
        <f t="shared" si="127"/>
        <v>0</v>
      </c>
      <c r="L2601" s="1540"/>
      <c r="M2601" s="1540">
        <f t="shared" si="123"/>
        <v>1098711.9990000001</v>
      </c>
      <c r="N2601" s="166"/>
      <c r="P2601" s="559"/>
    </row>
    <row r="2602" spans="1:16" s="540" customFormat="1" ht="14.25" customHeight="1">
      <c r="A2602" s="1547">
        <v>24</v>
      </c>
      <c r="B2602" s="1634" t="s">
        <v>1881</v>
      </c>
      <c r="C2602" s="1554" t="s">
        <v>1882</v>
      </c>
      <c r="D2602" s="166" t="s">
        <v>1886</v>
      </c>
      <c r="E2602" s="166" t="s">
        <v>1883</v>
      </c>
      <c r="F2602" s="166"/>
      <c r="G2602" s="1555"/>
      <c r="H2602" s="1205"/>
      <c r="I2602" s="1466"/>
      <c r="J2602" s="1466">
        <v>1128945.7620000001</v>
      </c>
      <c r="K2602" s="1466">
        <f t="shared" si="127"/>
        <v>0</v>
      </c>
      <c r="L2602" s="1540"/>
      <c r="M2602" s="1540">
        <f t="shared" si="123"/>
        <v>1128945.7620000001</v>
      </c>
      <c r="N2602" s="166"/>
      <c r="P2602" s="559"/>
    </row>
    <row r="2603" spans="1:16" s="540" customFormat="1" ht="14.25" customHeight="1">
      <c r="A2603" s="1547">
        <v>25</v>
      </c>
      <c r="B2603" s="1537"/>
      <c r="C2603" s="1554"/>
      <c r="D2603" s="166" t="s">
        <v>1887</v>
      </c>
      <c r="E2603" s="166" t="s">
        <v>1883</v>
      </c>
      <c r="F2603" s="166"/>
      <c r="G2603" s="1555"/>
      <c r="H2603" s="1205"/>
      <c r="I2603" s="1466"/>
      <c r="J2603" s="1466">
        <v>1073549.03619999</v>
      </c>
      <c r="K2603" s="1466">
        <f t="shared" si="127"/>
        <v>0</v>
      </c>
      <c r="L2603" s="1540"/>
      <c r="M2603" s="1540">
        <f t="shared" si="123"/>
        <v>1073549.03619999</v>
      </c>
      <c r="N2603" s="166"/>
      <c r="P2603" s="559"/>
    </row>
    <row r="2604" spans="1:16" s="540" customFormat="1" ht="14.25" customHeight="1">
      <c r="A2604" s="1547">
        <v>26</v>
      </c>
      <c r="B2604" s="1537"/>
      <c r="C2604" s="1554"/>
      <c r="D2604" s="166" t="s">
        <v>1888</v>
      </c>
      <c r="E2604" s="166" t="s">
        <v>1883</v>
      </c>
      <c r="F2604" s="166"/>
      <c r="G2604" s="1555"/>
      <c r="H2604" s="1205"/>
      <c r="I2604" s="1466"/>
      <c r="J2604" s="1466">
        <v>1073549.03619999</v>
      </c>
      <c r="K2604" s="1466">
        <f t="shared" ref="K2604:K2620" si="128">I2604</f>
        <v>0</v>
      </c>
      <c r="L2604" s="1540"/>
      <c r="M2604" s="1540">
        <f t="shared" ref="M2604:M2620" si="129">J2604-L2604</f>
        <v>1073549.03619999</v>
      </c>
      <c r="N2604" s="166"/>
      <c r="P2604" s="559"/>
    </row>
    <row r="2605" spans="1:16" s="540" customFormat="1" ht="14.25" customHeight="1">
      <c r="A2605" s="1547">
        <v>27</v>
      </c>
      <c r="B2605" s="1537"/>
      <c r="C2605" s="1554"/>
      <c r="D2605" s="166" t="s">
        <v>1889</v>
      </c>
      <c r="E2605" s="166" t="s">
        <v>1883</v>
      </c>
      <c r="F2605" s="166"/>
      <c r="G2605" s="1555"/>
      <c r="H2605" s="1205"/>
      <c r="I2605" s="1466"/>
      <c r="J2605" s="1466">
        <v>1068478.236</v>
      </c>
      <c r="K2605" s="1466">
        <f t="shared" si="128"/>
        <v>0</v>
      </c>
      <c r="L2605" s="1540"/>
      <c r="M2605" s="1540">
        <f t="shared" si="129"/>
        <v>1068478.236</v>
      </c>
      <c r="N2605" s="166"/>
      <c r="P2605" s="559"/>
    </row>
    <row r="2606" spans="1:16" s="540" customFormat="1" ht="14.25" customHeight="1">
      <c r="A2606" s="1547">
        <v>28</v>
      </c>
      <c r="B2606" s="1537"/>
      <c r="C2606" s="1554"/>
      <c r="D2606" s="166" t="s">
        <v>1890</v>
      </c>
      <c r="E2606" s="166" t="s">
        <v>1883</v>
      </c>
      <c r="F2606" s="166"/>
      <c r="G2606" s="1555"/>
      <c r="H2606" s="1205"/>
      <c r="I2606" s="1466"/>
      <c r="J2606" s="1466">
        <v>1098711.9990000001</v>
      </c>
      <c r="K2606" s="1466">
        <f t="shared" si="128"/>
        <v>0</v>
      </c>
      <c r="L2606" s="1540"/>
      <c r="M2606" s="1540">
        <f t="shared" si="129"/>
        <v>1098711.9990000001</v>
      </c>
      <c r="N2606" s="166"/>
      <c r="P2606" s="559"/>
    </row>
    <row r="2607" spans="1:16" s="540" customFormat="1" ht="14.25" customHeight="1">
      <c r="A2607" s="1547">
        <v>29</v>
      </c>
      <c r="B2607" s="1537"/>
      <c r="C2607" s="1554"/>
      <c r="D2607" s="166" t="s">
        <v>1319</v>
      </c>
      <c r="E2607" s="166" t="s">
        <v>1883</v>
      </c>
      <c r="F2607" s="166"/>
      <c r="G2607" s="1555"/>
      <c r="H2607" s="1205"/>
      <c r="I2607" s="1466"/>
      <c r="J2607" s="1466">
        <v>1128945.7620000001</v>
      </c>
      <c r="K2607" s="1466">
        <f t="shared" si="128"/>
        <v>0</v>
      </c>
      <c r="L2607" s="1540"/>
      <c r="M2607" s="1540">
        <f t="shared" si="129"/>
        <v>1128945.7620000001</v>
      </c>
      <c r="N2607" s="166"/>
      <c r="P2607" s="559"/>
    </row>
    <row r="2608" spans="1:16" s="540" customFormat="1" ht="14.25" customHeight="1">
      <c r="A2608" s="1547">
        <v>30</v>
      </c>
      <c r="B2608" s="1537"/>
      <c r="C2608" s="1554"/>
      <c r="D2608" s="166" t="s">
        <v>1891</v>
      </c>
      <c r="E2608" s="166" t="s">
        <v>1883</v>
      </c>
      <c r="F2608" s="166"/>
      <c r="G2608" s="1555"/>
      <c r="H2608" s="1205"/>
      <c r="I2608" s="1466"/>
      <c r="J2608" s="1466">
        <v>1073549.03619999</v>
      </c>
      <c r="K2608" s="1466">
        <f t="shared" ref="K2608:K2616" si="130">I2608</f>
        <v>0</v>
      </c>
      <c r="L2608" s="1540"/>
      <c r="M2608" s="1540">
        <f t="shared" ref="M2608:M2616" si="131">J2608-L2608</f>
        <v>1073549.03619999</v>
      </c>
      <c r="N2608" s="166"/>
      <c r="P2608" s="559"/>
    </row>
    <row r="2609" spans="1:16" s="540" customFormat="1" ht="14.25" customHeight="1">
      <c r="A2609" s="1547">
        <v>31</v>
      </c>
      <c r="B2609" s="1537"/>
      <c r="C2609" s="1554"/>
      <c r="D2609" s="166" t="s">
        <v>1892</v>
      </c>
      <c r="E2609" s="166" t="s">
        <v>1883</v>
      </c>
      <c r="F2609" s="166"/>
      <c r="G2609" s="1555"/>
      <c r="H2609" s="1205"/>
      <c r="I2609" s="1466"/>
      <c r="J2609" s="1466">
        <v>1271320.46514001</v>
      </c>
      <c r="K2609" s="1466">
        <f t="shared" si="130"/>
        <v>0</v>
      </c>
      <c r="L2609" s="1540"/>
      <c r="M2609" s="1540">
        <f t="shared" si="131"/>
        <v>1271320.46514001</v>
      </c>
      <c r="N2609" s="166"/>
      <c r="P2609" s="559"/>
    </row>
    <row r="2610" spans="1:16" s="540" customFormat="1" ht="14.25" customHeight="1">
      <c r="A2610" s="1547">
        <v>32</v>
      </c>
      <c r="B2610" s="1537"/>
      <c r="C2610" s="1554"/>
      <c r="D2610" s="166" t="s">
        <v>1893</v>
      </c>
      <c r="E2610" s="166" t="s">
        <v>1883</v>
      </c>
      <c r="F2610" s="166"/>
      <c r="G2610" s="1555"/>
      <c r="H2610" s="1205"/>
      <c r="I2610" s="1466"/>
      <c r="J2610" s="1466">
        <v>1098711.9990000001</v>
      </c>
      <c r="K2610" s="1466">
        <f t="shared" si="130"/>
        <v>0</v>
      </c>
      <c r="L2610" s="1540"/>
      <c r="M2610" s="1540">
        <f t="shared" si="131"/>
        <v>1098711.9990000001</v>
      </c>
      <c r="N2610" s="166"/>
      <c r="P2610" s="559"/>
    </row>
    <row r="2611" spans="1:16" s="540" customFormat="1" ht="14.25" customHeight="1">
      <c r="A2611" s="1547">
        <v>33</v>
      </c>
      <c r="B2611" s="1537"/>
      <c r="C2611" s="1554"/>
      <c r="D2611" s="166" t="s">
        <v>1894</v>
      </c>
      <c r="E2611" s="166" t="s">
        <v>1883</v>
      </c>
      <c r="F2611" s="166"/>
      <c r="G2611" s="1555"/>
      <c r="H2611" s="1205"/>
      <c r="I2611" s="1466"/>
      <c r="J2611" s="1466">
        <v>1128945.7620000001</v>
      </c>
      <c r="K2611" s="1466">
        <f t="shared" si="130"/>
        <v>0</v>
      </c>
      <c r="L2611" s="1540"/>
      <c r="M2611" s="1540">
        <f t="shared" si="131"/>
        <v>1128945.7620000001</v>
      </c>
      <c r="N2611" s="166"/>
      <c r="P2611" s="559"/>
    </row>
    <row r="2612" spans="1:16" s="540" customFormat="1" ht="14.25" customHeight="1">
      <c r="A2612" s="1547">
        <v>34</v>
      </c>
      <c r="B2612" s="1537"/>
      <c r="C2612" s="1554"/>
      <c r="D2612" s="166" t="s">
        <v>1895</v>
      </c>
      <c r="E2612" s="166" t="s">
        <v>1883</v>
      </c>
      <c r="F2612" s="166"/>
      <c r="G2612" s="1555"/>
      <c r="H2612" s="1205"/>
      <c r="I2612" s="1466"/>
      <c r="J2612" s="1466">
        <v>1073549.03619999</v>
      </c>
      <c r="K2612" s="1466">
        <f t="shared" si="130"/>
        <v>0</v>
      </c>
      <c r="L2612" s="1540"/>
      <c r="M2612" s="1540">
        <f t="shared" si="131"/>
        <v>1073549.03619999</v>
      </c>
      <c r="N2612" s="166"/>
      <c r="P2612" s="559"/>
    </row>
    <row r="2613" spans="1:16" s="540" customFormat="1" ht="14.25" customHeight="1">
      <c r="A2613" s="1547">
        <v>35</v>
      </c>
      <c r="B2613" s="1537"/>
      <c r="C2613" s="1554"/>
      <c r="D2613" s="166" t="s">
        <v>1896</v>
      </c>
      <c r="E2613" s="166" t="s">
        <v>1883</v>
      </c>
      <c r="F2613" s="166"/>
      <c r="G2613" s="1555"/>
      <c r="H2613" s="1205"/>
      <c r="I2613" s="1466"/>
      <c r="J2613" s="1466">
        <v>1073549.03619999</v>
      </c>
      <c r="K2613" s="1466">
        <f t="shared" si="130"/>
        <v>0</v>
      </c>
      <c r="L2613" s="1540"/>
      <c r="M2613" s="1540">
        <f t="shared" si="131"/>
        <v>1073549.03619999</v>
      </c>
      <c r="N2613" s="166"/>
      <c r="P2613" s="559"/>
    </row>
    <row r="2614" spans="1:16" s="540" customFormat="1" ht="14.25" customHeight="1">
      <c r="A2614" s="1547">
        <v>36</v>
      </c>
      <c r="B2614" s="1537"/>
      <c r="C2614" s="1554"/>
      <c r="D2614" s="166" t="s">
        <v>1897</v>
      </c>
      <c r="E2614" s="166" t="s">
        <v>1883</v>
      </c>
      <c r="F2614" s="166"/>
      <c r="G2614" s="1555"/>
      <c r="H2614" s="1205"/>
      <c r="I2614" s="1466"/>
      <c r="J2614" s="1466">
        <v>1271320.46514001</v>
      </c>
      <c r="K2614" s="1466">
        <f t="shared" si="130"/>
        <v>0</v>
      </c>
      <c r="L2614" s="1540"/>
      <c r="M2614" s="1540">
        <f t="shared" si="131"/>
        <v>1271320.46514001</v>
      </c>
      <c r="N2614" s="166"/>
      <c r="P2614" s="559"/>
    </row>
    <row r="2615" spans="1:16" s="540" customFormat="1" ht="14.25" customHeight="1">
      <c r="A2615" s="1547">
        <v>37</v>
      </c>
      <c r="B2615" s="1537"/>
      <c r="C2615" s="1554"/>
      <c r="D2615" s="166" t="s">
        <v>1898</v>
      </c>
      <c r="E2615" s="166" t="s">
        <v>1883</v>
      </c>
      <c r="F2615" s="166"/>
      <c r="G2615" s="1555"/>
      <c r="H2615" s="1205"/>
      <c r="I2615" s="1466"/>
      <c r="J2615" s="1466">
        <v>1098711.9990000001</v>
      </c>
      <c r="K2615" s="1466">
        <f t="shared" si="130"/>
        <v>0</v>
      </c>
      <c r="L2615" s="1540"/>
      <c r="M2615" s="1540">
        <f t="shared" si="131"/>
        <v>1098711.9990000001</v>
      </c>
      <c r="N2615" s="166"/>
      <c r="P2615" s="559"/>
    </row>
    <row r="2616" spans="1:16" s="540" customFormat="1" ht="14.25" customHeight="1">
      <c r="A2616" s="1547">
        <v>38</v>
      </c>
      <c r="B2616" s="1537"/>
      <c r="C2616" s="1554"/>
      <c r="D2616" s="166" t="s">
        <v>1899</v>
      </c>
      <c r="E2616" s="166" t="s">
        <v>1883</v>
      </c>
      <c r="F2616" s="166"/>
      <c r="G2616" s="1555"/>
      <c r="H2616" s="1205"/>
      <c r="I2616" s="1466"/>
      <c r="J2616" s="1466">
        <v>855520.62278003199</v>
      </c>
      <c r="K2616" s="1466">
        <f t="shared" si="130"/>
        <v>0</v>
      </c>
      <c r="L2616" s="1540"/>
      <c r="M2616" s="1540">
        <f t="shared" si="131"/>
        <v>855520.62278003199</v>
      </c>
      <c r="N2616" s="166"/>
      <c r="P2616" s="559"/>
    </row>
    <row r="2617" spans="1:16" s="540" customFormat="1" ht="14.25" customHeight="1">
      <c r="A2617" s="1547">
        <v>39</v>
      </c>
      <c r="B2617" s="1537"/>
      <c r="C2617" s="1554"/>
      <c r="D2617" s="166" t="s">
        <v>1900</v>
      </c>
      <c r="E2617" s="166" t="s">
        <v>1883</v>
      </c>
      <c r="F2617" s="166"/>
      <c r="G2617" s="1555"/>
      <c r="H2617" s="1205"/>
      <c r="I2617" s="1466"/>
      <c r="J2617" s="1466">
        <v>1073549.03619999</v>
      </c>
      <c r="K2617" s="1466">
        <f t="shared" si="128"/>
        <v>0</v>
      </c>
      <c r="L2617" s="1540"/>
      <c r="M2617" s="1540">
        <f t="shared" si="129"/>
        <v>1073549.03619999</v>
      </c>
      <c r="N2617" s="166"/>
      <c r="P2617" s="559"/>
    </row>
    <row r="2618" spans="1:16" s="540" customFormat="1" ht="14.25" customHeight="1">
      <c r="A2618" s="1547">
        <v>40</v>
      </c>
      <c r="B2618" s="1537"/>
      <c r="C2618" s="1554"/>
      <c r="D2618" s="166" t="s">
        <v>330</v>
      </c>
      <c r="E2618" s="166" t="s">
        <v>1883</v>
      </c>
      <c r="F2618" s="166"/>
      <c r="G2618" s="1555"/>
      <c r="H2618" s="1205"/>
      <c r="I2618" s="1466"/>
      <c r="J2618" s="1466">
        <v>1271320.46514001</v>
      </c>
      <c r="K2618" s="1466">
        <f t="shared" si="128"/>
        <v>0</v>
      </c>
      <c r="L2618" s="1540"/>
      <c r="M2618" s="1540">
        <f t="shared" si="129"/>
        <v>1271320.46514001</v>
      </c>
      <c r="N2618" s="166"/>
      <c r="P2618" s="559"/>
    </row>
    <row r="2619" spans="1:16" s="540" customFormat="1" ht="14.25" customHeight="1">
      <c r="A2619" s="1547">
        <v>41</v>
      </c>
      <c r="B2619" s="1537"/>
      <c r="C2619" s="1554"/>
      <c r="D2619" s="166" t="s">
        <v>1901</v>
      </c>
      <c r="E2619" s="166" t="s">
        <v>1883</v>
      </c>
      <c r="F2619" s="166"/>
      <c r="G2619" s="1555"/>
      <c r="H2619" s="1205"/>
      <c r="I2619" s="1466"/>
      <c r="J2619" s="1466">
        <v>1098711.9990000001</v>
      </c>
      <c r="K2619" s="1466">
        <f t="shared" si="128"/>
        <v>0</v>
      </c>
      <c r="L2619" s="1540"/>
      <c r="M2619" s="1540">
        <f t="shared" si="129"/>
        <v>1098711.9990000001</v>
      </c>
      <c r="N2619" s="166"/>
      <c r="P2619" s="559"/>
    </row>
    <row r="2620" spans="1:16" s="540" customFormat="1" ht="14.25" customHeight="1">
      <c r="A2620" s="1547">
        <v>42</v>
      </c>
      <c r="B2620" s="1537"/>
      <c r="C2620" s="1554"/>
      <c r="D2620" s="166" t="s">
        <v>1902</v>
      </c>
      <c r="E2620" s="166" t="s">
        <v>1883</v>
      </c>
      <c r="F2620" s="166"/>
      <c r="G2620" s="1555"/>
      <c r="H2620" s="1205"/>
      <c r="I2620" s="1466"/>
      <c r="J2620" s="1466">
        <v>970003.71926002204</v>
      </c>
      <c r="K2620" s="1466">
        <f t="shared" si="128"/>
        <v>0</v>
      </c>
      <c r="L2620" s="1540"/>
      <c r="M2620" s="1540">
        <f t="shared" si="129"/>
        <v>970003.71926002204</v>
      </c>
      <c r="N2620" s="166"/>
      <c r="P2620" s="559"/>
    </row>
    <row r="2621" spans="1:16" s="541" customFormat="1" ht="14.25" customHeight="1">
      <c r="A2621" s="1543" t="s">
        <v>1903</v>
      </c>
      <c r="B2621" s="1543"/>
      <c r="C2621" s="1543"/>
      <c r="D2621" s="1543"/>
      <c r="E2621" s="1543"/>
      <c r="F2621" s="1543"/>
      <c r="G2621" s="1557">
        <v>0</v>
      </c>
      <c r="H2621" s="1546">
        <v>0</v>
      </c>
      <c r="I2621" s="1546">
        <v>0</v>
      </c>
      <c r="J2621" s="1546">
        <f>SUM(J2579:J2620)</f>
        <v>46519871</v>
      </c>
      <c r="K2621" s="1546">
        <f>SUM(K2579:K2620)</f>
        <v>0</v>
      </c>
      <c r="L2621" s="1546">
        <f>SUM(L2579:L2620)</f>
        <v>0</v>
      </c>
      <c r="M2621" s="1546">
        <f>SUM(M2579:M2620)</f>
        <v>46519871</v>
      </c>
      <c r="N2621" s="1556"/>
      <c r="O2621" s="560" t="e">
        <f>'LƯƠNG CNTT'!#REF!</f>
        <v>#REF!</v>
      </c>
      <c r="P2621" s="559"/>
    </row>
    <row r="2622" spans="1:16" s="541" customFormat="1" ht="15.75" customHeight="1">
      <c r="A2622" s="1543" t="s">
        <v>1904</v>
      </c>
      <c r="B2622" s="1543"/>
      <c r="C2622" s="1543"/>
      <c r="D2622" s="1543"/>
      <c r="E2622" s="1543"/>
      <c r="F2622" s="1543"/>
      <c r="G2622" s="1557">
        <f>SUM(G2573:G2620)</f>
        <v>0</v>
      </c>
      <c r="H2622" s="1546">
        <f>SUM(H2573:H2620)</f>
        <v>0</v>
      </c>
      <c r="I2622" s="1546">
        <f>SUM(I2573:I2620)</f>
        <v>0</v>
      </c>
      <c r="J2622" s="1546" t="e">
        <f>J2621+J2578</f>
        <v>#REF!</v>
      </c>
      <c r="K2622" s="1546" t="e">
        <f>K2621+K2578</f>
        <v>#REF!</v>
      </c>
      <c r="L2622" s="1546" t="e">
        <f>L2621+L2578</f>
        <v>#REF!</v>
      </c>
      <c r="M2622" s="1546" t="e">
        <f>M2621+M2578</f>
        <v>#REF!</v>
      </c>
      <c r="N2622" s="1556"/>
      <c r="O2622" s="560" t="e">
        <f>+O2621-J2621</f>
        <v>#REF!</v>
      </c>
      <c r="P2622" s="559"/>
    </row>
    <row r="2623" spans="1:16" s="541" customFormat="1" ht="15.75" customHeight="1">
      <c r="A2623" s="1547">
        <v>1</v>
      </c>
      <c r="B2623" s="1543"/>
      <c r="C2623" s="1543"/>
      <c r="D2623" s="1468" t="s">
        <v>1905</v>
      </c>
      <c r="E2623" s="1468" t="s">
        <v>1906</v>
      </c>
      <c r="F2623" s="1543"/>
      <c r="G2623" s="1557"/>
      <c r="H2623" s="1546"/>
      <c r="I2623" s="1546"/>
      <c r="J2623" s="1540" t="e">
        <f>VLOOKUP(D2623,'LƯƠNG CNTT'!#REF!,6,0)</f>
        <v>#REF!</v>
      </c>
      <c r="K2623" s="1540" t="e">
        <f>VLOOKUP(E2623,'LƯƠNG CNTT'!#REF!,6,0)</f>
        <v>#REF!</v>
      </c>
      <c r="L2623" s="1540" t="e">
        <f>VLOOKUP(D2623,'LƯƠNG CNTT'!#REF!,8,0)</f>
        <v>#REF!</v>
      </c>
      <c r="M2623" s="1540" t="e">
        <f>J2623-L2623</f>
        <v>#REF!</v>
      </c>
      <c r="N2623" s="1556"/>
      <c r="O2623" s="560"/>
      <c r="P2623" s="559"/>
    </row>
    <row r="2624" spans="1:16" s="541" customFormat="1" ht="15.75" customHeight="1">
      <c r="A2624" s="1547">
        <v>2</v>
      </c>
      <c r="B2624" s="1543"/>
      <c r="C2624" s="1543"/>
      <c r="D2624" s="1468" t="s">
        <v>1907</v>
      </c>
      <c r="E2624" s="1468" t="s">
        <v>1908</v>
      </c>
      <c r="F2624" s="1543"/>
      <c r="G2624" s="1557"/>
      <c r="H2624" s="1546"/>
      <c r="I2624" s="1546"/>
      <c r="J2624" s="1540" t="e">
        <f>VLOOKUP(D2624,'LƯƠNG CNTT'!#REF!,6,0)</f>
        <v>#REF!</v>
      </c>
      <c r="K2624" s="1540" t="e">
        <f>VLOOKUP(E2624,'LƯƠNG CNTT'!#REF!,6,0)</f>
        <v>#REF!</v>
      </c>
      <c r="L2624" s="1540" t="e">
        <f>VLOOKUP(D2624,'LƯƠNG CNTT'!#REF!,8,0)</f>
        <v>#REF!</v>
      </c>
      <c r="M2624" s="1540" t="e">
        <f t="shared" ref="M2624:M2628" si="132">J2624-L2624</f>
        <v>#REF!</v>
      </c>
      <c r="N2624" s="1556"/>
      <c r="O2624" s="560"/>
      <c r="P2624" s="559"/>
    </row>
    <row r="2625" spans="1:17" s="541" customFormat="1" ht="15.75" customHeight="1">
      <c r="A2625" s="1547">
        <v>3</v>
      </c>
      <c r="B2625" s="1543"/>
      <c r="C2625" s="1543"/>
      <c r="D2625" s="1468" t="s">
        <v>1909</v>
      </c>
      <c r="E2625" s="1468" t="s">
        <v>1908</v>
      </c>
      <c r="F2625" s="1543"/>
      <c r="G2625" s="1557"/>
      <c r="H2625" s="1546"/>
      <c r="I2625" s="1546"/>
      <c r="J2625" s="1540" t="e">
        <f>VLOOKUP(D2625,'LƯƠNG CNTT'!#REF!,6,0)</f>
        <v>#REF!</v>
      </c>
      <c r="K2625" s="1540" t="e">
        <f>VLOOKUP(E2625,'LƯƠNG CNTT'!#REF!,6,0)</f>
        <v>#REF!</v>
      </c>
      <c r="L2625" s="1540" t="e">
        <f>VLOOKUP(D2625,'LƯƠNG CNTT'!#REF!,8,0)</f>
        <v>#REF!</v>
      </c>
      <c r="M2625" s="1540" t="e">
        <f t="shared" si="132"/>
        <v>#REF!</v>
      </c>
      <c r="N2625" s="1556"/>
      <c r="O2625" s="560"/>
      <c r="P2625" s="559"/>
    </row>
    <row r="2626" spans="1:17" s="541" customFormat="1" ht="15.75" customHeight="1">
      <c r="A2626" s="1547">
        <v>4</v>
      </c>
      <c r="B2626" s="1543"/>
      <c r="C2626" s="1543"/>
      <c r="D2626" s="1468" t="s">
        <v>51</v>
      </c>
      <c r="E2626" s="1468" t="s">
        <v>1908</v>
      </c>
      <c r="F2626" s="1543"/>
      <c r="G2626" s="1557"/>
      <c r="H2626" s="1546"/>
      <c r="I2626" s="1546"/>
      <c r="J2626" s="1540" t="e">
        <f>VLOOKUP(D2626,'LƯƠNG CNTT'!#REF!,6,0)</f>
        <v>#REF!</v>
      </c>
      <c r="K2626" s="1540" t="e">
        <f>VLOOKUP(E2626,'LƯƠNG CNTT'!#REF!,6,0)</f>
        <v>#REF!</v>
      </c>
      <c r="L2626" s="1540" t="e">
        <f>VLOOKUP(D2626,'LƯƠNG CNTT'!#REF!,8,0)</f>
        <v>#REF!</v>
      </c>
      <c r="M2626" s="1540" t="e">
        <f t="shared" si="132"/>
        <v>#REF!</v>
      </c>
      <c r="N2626" s="1556"/>
      <c r="O2626" s="560">
        <f>MAX(M2579:M2620,M2553:M2571,M2163:M2551,M1695:M2161,M1184:M1693,M1142:M1182,M1098:M1140,M525:M1096,M194:M523,M13:M192,)</f>
        <v>1299846.615</v>
      </c>
      <c r="P2626" s="559"/>
    </row>
    <row r="2627" spans="1:17" s="541" customFormat="1" ht="15.75" customHeight="1">
      <c r="A2627" s="1547">
        <v>5</v>
      </c>
      <c r="B2627" s="1543"/>
      <c r="C2627" s="1543"/>
      <c r="D2627" s="1468" t="s">
        <v>1910</v>
      </c>
      <c r="E2627" s="1468" t="s">
        <v>1908</v>
      </c>
      <c r="F2627" s="1543"/>
      <c r="G2627" s="1557"/>
      <c r="H2627" s="1546"/>
      <c r="I2627" s="1546"/>
      <c r="J2627" s="1540" t="e">
        <f>VLOOKUP(D2627,'LƯƠNG CNTT'!#REF!,6,0)</f>
        <v>#REF!</v>
      </c>
      <c r="K2627" s="1540" t="e">
        <f>VLOOKUP(E2627,'LƯƠNG CNTT'!#REF!,6,0)</f>
        <v>#REF!</v>
      </c>
      <c r="L2627" s="1540" t="e">
        <f>VLOOKUP(D2627,'LƯƠNG CNTT'!#REF!,8,0)</f>
        <v>#REF!</v>
      </c>
      <c r="M2627" s="1540" t="e">
        <f t="shared" si="132"/>
        <v>#REF!</v>
      </c>
      <c r="N2627" s="1556"/>
      <c r="O2627" s="560"/>
      <c r="P2627" s="559"/>
    </row>
    <row r="2628" spans="1:17" s="541" customFormat="1" ht="15.75" customHeight="1">
      <c r="A2628" s="1547">
        <v>6</v>
      </c>
      <c r="B2628" s="1543"/>
      <c r="C2628" s="1543"/>
      <c r="D2628" s="1468" t="s">
        <v>1911</v>
      </c>
      <c r="E2628" s="1468" t="s">
        <v>1908</v>
      </c>
      <c r="F2628" s="1543"/>
      <c r="G2628" s="1557"/>
      <c r="H2628" s="1546"/>
      <c r="I2628" s="1546"/>
      <c r="J2628" s="1540" t="e">
        <f>VLOOKUP(D2628,'LƯƠNG CNTT'!#REF!,6,0)</f>
        <v>#REF!</v>
      </c>
      <c r="K2628" s="1540" t="e">
        <f>VLOOKUP(E2628,'LƯƠNG CNTT'!#REF!,6,0)</f>
        <v>#REF!</v>
      </c>
      <c r="L2628" s="1540" t="e">
        <f>VLOOKUP(D2628,'LƯƠNG CNTT'!#REF!,8,0)</f>
        <v>#REF!</v>
      </c>
      <c r="M2628" s="1540" t="e">
        <f t="shared" si="132"/>
        <v>#REF!</v>
      </c>
      <c r="N2628" s="1556"/>
      <c r="O2628" s="560"/>
      <c r="P2628" s="559"/>
    </row>
    <row r="2629" spans="1:17" s="541" customFormat="1" ht="15.75" customHeight="1">
      <c r="A2629" s="1543" t="s">
        <v>1912</v>
      </c>
      <c r="B2629" s="1543"/>
      <c r="C2629" s="1543"/>
      <c r="D2629" s="1543"/>
      <c r="E2629" s="1543"/>
      <c r="F2629" s="1556"/>
      <c r="G2629" s="1557"/>
      <c r="H2629" s="1546"/>
      <c r="I2629" s="1546"/>
      <c r="J2629" s="1546" t="e">
        <f>SUM(J2623:J2628)</f>
        <v>#REF!</v>
      </c>
      <c r="K2629" s="1546" t="e">
        <f t="shared" ref="K2629:M2629" si="133">SUM(K2623:K2628)</f>
        <v>#REF!</v>
      </c>
      <c r="L2629" s="1546" t="e">
        <f t="shared" si="133"/>
        <v>#REF!</v>
      </c>
      <c r="M2629" s="1546" t="e">
        <f t="shared" si="133"/>
        <v>#REF!</v>
      </c>
      <c r="N2629" s="1548"/>
    </row>
    <row r="2630" spans="1:17" s="542" customFormat="1" ht="15.75" customHeight="1">
      <c r="A2630" s="2279" t="s">
        <v>1913</v>
      </c>
      <c r="B2630" s="2279"/>
      <c r="C2630" s="2279"/>
      <c r="D2630" s="2279"/>
      <c r="E2630" s="2279"/>
      <c r="F2630" s="1561"/>
      <c r="G2630" s="1562">
        <f t="shared" ref="G2630:M2630" si="134">+G2162+G1694+G1097+G524+G193+G2552+G1183+G1141</f>
        <v>435448000</v>
      </c>
      <c r="H2630" s="1562">
        <f t="shared" si="134"/>
        <v>1893201992.48298</v>
      </c>
      <c r="I2630" s="1562">
        <f t="shared" si="134"/>
        <v>618045308</v>
      </c>
      <c r="J2630" s="1562">
        <f t="shared" si="134"/>
        <v>2946695300.4829798</v>
      </c>
      <c r="K2630" s="1562">
        <f t="shared" si="134"/>
        <v>0</v>
      </c>
      <c r="L2630" s="1562">
        <f t="shared" si="134"/>
        <v>0</v>
      </c>
      <c r="M2630" s="1562">
        <f t="shared" si="134"/>
        <v>2946695300.4829798</v>
      </c>
      <c r="N2630" s="1561"/>
      <c r="O2630" s="580">
        <f>'LƯƠNG CNTT'!M102</f>
        <v>378386019</v>
      </c>
      <c r="P2630" s="580">
        <f>+O2630-M2630</f>
        <v>-2568309281.4829798</v>
      </c>
    </row>
    <row r="2631" spans="1:17" s="542" customFormat="1" ht="15.75" customHeight="1">
      <c r="A2631" s="2279" t="s">
        <v>1914</v>
      </c>
      <c r="B2631" s="2279"/>
      <c r="C2631" s="2279"/>
      <c r="D2631" s="2279"/>
      <c r="E2631" s="2279"/>
      <c r="F2631" s="1561"/>
      <c r="G2631" s="1563"/>
      <c r="H2631" s="1562"/>
      <c r="I2631" s="1562"/>
      <c r="J2631" s="1562">
        <f>J2572</f>
        <v>23800000</v>
      </c>
      <c r="K2631" s="1562">
        <f>K2572</f>
        <v>0</v>
      </c>
      <c r="L2631" s="1562">
        <f>L2572</f>
        <v>0</v>
      </c>
      <c r="M2631" s="1562">
        <f>M2572</f>
        <v>23800000</v>
      </c>
      <c r="N2631" s="1561"/>
      <c r="O2631" s="580">
        <f>'LƯƠNG CNTT'!M103</f>
        <v>13652380.952380955</v>
      </c>
      <c r="P2631" s="580">
        <f t="shared" ref="P2631:P2634" si="135">+O2631-M2631</f>
        <v>-10147619.047619045</v>
      </c>
    </row>
    <row r="2632" spans="1:17" s="542" customFormat="1" ht="15.75" customHeight="1">
      <c r="A2632" s="2279" t="s">
        <v>1915</v>
      </c>
      <c r="B2632" s="2279"/>
      <c r="C2632" s="2279"/>
      <c r="D2632" s="2279"/>
      <c r="E2632" s="2279"/>
      <c r="F2632" s="1561"/>
      <c r="G2632" s="1563">
        <f>G2622</f>
        <v>0</v>
      </c>
      <c r="H2632" s="1562">
        <f>+H2622</f>
        <v>0</v>
      </c>
      <c r="I2632" s="1562">
        <f>+I2622</f>
        <v>0</v>
      </c>
      <c r="J2632" s="1562" t="e">
        <f>+J2622</f>
        <v>#REF!</v>
      </c>
      <c r="K2632" s="1562" t="e">
        <f>+K2622</f>
        <v>#REF!</v>
      </c>
      <c r="L2632" s="1562" t="e">
        <f>L2622</f>
        <v>#REF!</v>
      </c>
      <c r="M2632" s="1562" t="e">
        <f>+M2622</f>
        <v>#REF!</v>
      </c>
      <c r="N2632" s="1561"/>
      <c r="O2632" s="580" t="e">
        <f>'LƯƠNG CNTT'!#REF!</f>
        <v>#REF!</v>
      </c>
      <c r="P2632" s="580" t="e">
        <f t="shared" si="135"/>
        <v>#REF!</v>
      </c>
    </row>
    <row r="2633" spans="1:17" s="542" customFormat="1" ht="15.75" customHeight="1">
      <c r="A2633" s="1564" t="s">
        <v>1916</v>
      </c>
      <c r="B2633" s="1564"/>
      <c r="C2633" s="1564"/>
      <c r="D2633" s="1564"/>
      <c r="E2633" s="1564"/>
      <c r="F2633" s="1561"/>
      <c r="G2633" s="1563">
        <f>G2629</f>
        <v>0</v>
      </c>
      <c r="H2633" s="1562"/>
      <c r="I2633" s="1562"/>
      <c r="J2633" s="1562" t="e">
        <f>J2629</f>
        <v>#REF!</v>
      </c>
      <c r="K2633" s="1562" t="e">
        <f>K2629</f>
        <v>#REF!</v>
      </c>
      <c r="L2633" s="1562" t="e">
        <f>L2629</f>
        <v>#REF!</v>
      </c>
      <c r="M2633" s="1562" t="e">
        <f>M2629</f>
        <v>#REF!</v>
      </c>
      <c r="N2633" s="1561"/>
      <c r="O2633" s="580" t="e">
        <f>'LƯƠNG CNTT'!#REF!</f>
        <v>#REF!</v>
      </c>
      <c r="P2633" s="580" t="e">
        <f t="shared" si="135"/>
        <v>#REF!</v>
      </c>
    </row>
    <row r="2634" spans="1:17" s="542" customFormat="1" ht="15.75" customHeight="1">
      <c r="A2634" s="2280" t="s">
        <v>1917</v>
      </c>
      <c r="B2634" s="2280"/>
      <c r="C2634" s="2280"/>
      <c r="D2634" s="2280"/>
      <c r="E2634" s="2280"/>
      <c r="F2634" s="1565"/>
      <c r="G2634" s="1566">
        <f t="shared" ref="G2634:M2634" si="136">SUM(G2630:G2633)</f>
        <v>435448000</v>
      </c>
      <c r="H2634" s="1566">
        <f t="shared" si="136"/>
        <v>1893201992.48298</v>
      </c>
      <c r="I2634" s="1566">
        <f t="shared" si="136"/>
        <v>618045308</v>
      </c>
      <c r="J2634" s="1566" t="e">
        <f t="shared" si="136"/>
        <v>#REF!</v>
      </c>
      <c r="K2634" s="1566" t="e">
        <f t="shared" si="136"/>
        <v>#REF!</v>
      </c>
      <c r="L2634" s="1566" t="e">
        <f t="shared" si="136"/>
        <v>#REF!</v>
      </c>
      <c r="M2634" s="1566" t="e">
        <f t="shared" si="136"/>
        <v>#REF!</v>
      </c>
      <c r="N2634" s="1568"/>
      <c r="O2634" s="582">
        <f>'LƯƠNG CNTT'!M105</f>
        <v>397238399.95238096</v>
      </c>
      <c r="P2634" s="580" t="e">
        <f t="shared" si="135"/>
        <v>#REF!</v>
      </c>
      <c r="Q2634" s="580"/>
    </row>
    <row r="2635" spans="1:17" s="172" customFormat="1" ht="13.5" customHeight="1">
      <c r="A2635" s="2281" t="s">
        <v>1918</v>
      </c>
      <c r="B2635" s="2281"/>
      <c r="C2635" s="2281"/>
      <c r="D2635" s="2281"/>
      <c r="E2635" s="2281"/>
      <c r="F2635" s="2281"/>
      <c r="G2635" s="2281"/>
      <c r="H2635" s="2281"/>
      <c r="I2635" s="2281"/>
      <c r="J2635" s="2281"/>
      <c r="K2635" s="2281"/>
      <c r="L2635" s="2281"/>
      <c r="M2635" s="2281"/>
      <c r="N2635" s="2281"/>
      <c r="O2635" s="583" t="e">
        <f>+O2634-M2634</f>
        <v>#REF!</v>
      </c>
    </row>
    <row r="2636" spans="1:17" s="172" customFormat="1" ht="13.5" customHeight="1">
      <c r="A2636" s="567"/>
      <c r="B2636" s="567"/>
      <c r="C2636" s="567"/>
      <c r="D2636" s="567"/>
      <c r="E2636" s="567"/>
      <c r="F2636" s="567"/>
      <c r="G2636" s="567"/>
      <c r="H2636" s="567"/>
      <c r="I2636" s="567"/>
      <c r="J2636" s="567"/>
      <c r="K2636" s="567"/>
      <c r="L2636" s="567"/>
      <c r="M2636" s="567"/>
      <c r="N2636" s="567"/>
      <c r="O2636" s="583"/>
    </row>
    <row r="2637" spans="1:17">
      <c r="E2637" s="568"/>
      <c r="F2637" s="568"/>
      <c r="G2637" s="1567"/>
      <c r="H2637" s="570"/>
      <c r="I2637" s="570"/>
      <c r="J2637" s="568"/>
      <c r="K2637" s="568"/>
      <c r="L2637" s="2282" t="s">
        <v>1919</v>
      </c>
      <c r="M2637" s="2282"/>
      <c r="N2637" s="2282"/>
      <c r="O2637" s="584" t="s">
        <v>1920</v>
      </c>
    </row>
    <row r="2638" spans="1:17" s="27" customFormat="1" ht="15" customHeight="1">
      <c r="B2638" s="27" t="s">
        <v>1921</v>
      </c>
      <c r="D2638" s="27" t="s">
        <v>1921</v>
      </c>
      <c r="F2638" s="2283" t="s">
        <v>616</v>
      </c>
      <c r="G2638" s="2283"/>
      <c r="H2638" s="2283"/>
      <c r="I2638" s="2272" t="s">
        <v>1922</v>
      </c>
      <c r="J2638" s="2272"/>
      <c r="K2638" s="2272"/>
      <c r="L2638" s="2272"/>
      <c r="M2638" s="2272" t="s">
        <v>612</v>
      </c>
      <c r="N2638" s="2272"/>
      <c r="O2638" s="574" t="e">
        <f>+O2635+J2634</f>
        <v>#REF!</v>
      </c>
    </row>
    <row r="2639" spans="1:17">
      <c r="G2639" s="571"/>
      <c r="I2639" s="585"/>
      <c r="M2639" s="586"/>
      <c r="O2639" s="587"/>
    </row>
    <row r="2640" spans="1:17">
      <c r="G2640" s="571"/>
      <c r="H2640" s="570"/>
      <c r="I2640" s="585"/>
      <c r="M2640" s="586"/>
    </row>
    <row r="2641" spans="4:16">
      <c r="G2641" s="572"/>
      <c r="H2641" s="573"/>
      <c r="I2641" s="588"/>
      <c r="J2641" s="588"/>
      <c r="K2641" s="573"/>
      <c r="L2641" s="588"/>
      <c r="M2641" s="588"/>
    </row>
    <row r="2642" spans="4:16">
      <c r="G2642" s="572"/>
      <c r="H2642" s="573"/>
      <c r="I2642" s="572"/>
      <c r="J2642" s="1569"/>
      <c r="K2642" s="1570"/>
      <c r="L2642" s="1571"/>
      <c r="M2642" s="1572" t="s">
        <v>1923</v>
      </c>
      <c r="N2642" s="597"/>
    </row>
    <row r="2643" spans="4:16">
      <c r="D2643" s="27" t="s">
        <v>1924</v>
      </c>
      <c r="E2643" s="27"/>
      <c r="F2643" s="2272" t="s">
        <v>1925</v>
      </c>
      <c r="G2643" s="2272"/>
      <c r="H2643" s="27"/>
      <c r="I2643" s="27"/>
      <c r="J2643" s="1569"/>
      <c r="L2643" s="2272" t="s">
        <v>1926</v>
      </c>
      <c r="M2643" s="2272"/>
      <c r="N2643" s="2272"/>
      <c r="O2643" s="591"/>
      <c r="P2643" s="591"/>
    </row>
    <row r="2644" spans="4:16">
      <c r="F2644" s="2273"/>
      <c r="G2644" s="2273"/>
      <c r="H2644" s="573"/>
      <c r="I2644" s="572"/>
      <c r="J2644" s="1573" t="e">
        <f>J2642+J2634</f>
        <v>#REF!</v>
      </c>
      <c r="K2644" s="1574"/>
      <c r="L2644" s="596"/>
      <c r="M2644" s="1573"/>
      <c r="N2644" s="597"/>
    </row>
    <row r="2645" spans="4:16">
      <c r="G2645" s="572"/>
      <c r="H2645" s="573"/>
      <c r="I2645" s="592"/>
      <c r="J2645" s="593"/>
      <c r="K2645" s="594"/>
      <c r="L2645" s="1575"/>
      <c r="M2645" s="1575"/>
      <c r="N2645" s="1575"/>
    </row>
    <row r="2646" spans="4:16">
      <c r="G2646" s="575"/>
      <c r="H2646" s="573"/>
      <c r="I2646" s="592"/>
      <c r="J2646" s="592"/>
      <c r="K2646" s="594" t="e">
        <f>[2]BV9THUC!H20+'[2]TRẠM CÁN'!S30+'[2]LƯƠNG KT'!#REF!</f>
        <v>#REF!</v>
      </c>
      <c r="L2646" s="596"/>
      <c r="M2646" s="596"/>
      <c r="N2646" s="597"/>
    </row>
    <row r="2647" spans="4:16">
      <c r="G2647" s="572"/>
      <c r="H2647" s="573"/>
      <c r="I2647" s="592"/>
      <c r="J2647" s="592"/>
      <c r="K2647" s="592"/>
      <c r="L2647" s="592"/>
      <c r="M2647" s="592"/>
      <c r="N2647" s="597"/>
    </row>
    <row r="2648" spans="4:16">
      <c r="D2648" s="576"/>
      <c r="G2648" s="191"/>
      <c r="H2648" s="191"/>
      <c r="I2648" s="191"/>
      <c r="J2648" s="191"/>
      <c r="K2648" s="191"/>
      <c r="L2648" s="191"/>
      <c r="M2648" s="191"/>
    </row>
    <row r="2667" spans="1:17" s="76" customFormat="1">
      <c r="A2667" s="28"/>
      <c r="B2667" s="28"/>
      <c r="C2667" s="80"/>
      <c r="D2667" s="28"/>
      <c r="E2667" s="28"/>
      <c r="F2667" s="28"/>
      <c r="G2667" s="191"/>
      <c r="J2667" s="28"/>
      <c r="L2667" s="80"/>
      <c r="M2667" s="28"/>
      <c r="N2667" s="82"/>
      <c r="O2667" s="28"/>
      <c r="P2667" s="28"/>
      <c r="Q2667" s="28"/>
    </row>
  </sheetData>
  <mergeCells count="31">
    <mergeCell ref="A1:N1"/>
    <mergeCell ref="A2:N2"/>
    <mergeCell ref="A3:N3"/>
    <mergeCell ref="A4:G4"/>
    <mergeCell ref="A6:N6"/>
    <mergeCell ref="D7:G7"/>
    <mergeCell ref="D8:E8"/>
    <mergeCell ref="G10:I10"/>
    <mergeCell ref="A2630:E2630"/>
    <mergeCell ref="A2631:E2631"/>
    <mergeCell ref="A2635:N2635"/>
    <mergeCell ref="L2637:N2637"/>
    <mergeCell ref="F2638:H2638"/>
    <mergeCell ref="I2638:L2638"/>
    <mergeCell ref="M2638:N2638"/>
    <mergeCell ref="F2643:G2643"/>
    <mergeCell ref="L2643:N2643"/>
    <mergeCell ref="F2644:G2644"/>
    <mergeCell ref="A10:A11"/>
    <mergeCell ref="B10:B11"/>
    <mergeCell ref="C10:C11"/>
    <mergeCell ref="D10:D11"/>
    <mergeCell ref="E10:E11"/>
    <mergeCell ref="F10:F11"/>
    <mergeCell ref="J10:J11"/>
    <mergeCell ref="K10:K11"/>
    <mergeCell ref="L10:L11"/>
    <mergeCell ref="M10:M11"/>
    <mergeCell ref="N10:N11"/>
    <mergeCell ref="A2632:E2632"/>
    <mergeCell ref="A2634:E2634"/>
  </mergeCells>
  <printOptions horizontalCentered="1"/>
  <pageMargins left="0" right="0" top="0.39370078740157499" bottom="0.59055118110236204" header="0.31496062992126" footer="0.31496062992126"/>
  <pageSetup paperSize="9" orientation="landscape"/>
  <headerFooter>
    <oddFooter>&amp;R&amp;P/78</oddFooter>
  </headerFooter>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R827"/>
  <sheetViews>
    <sheetView topLeftCell="A436" zoomScale="130" zoomScaleNormal="130" zoomScaleSheetLayoutView="140" workbookViewId="0">
      <selection activeCell="AH310" sqref="E310:AH379"/>
    </sheetView>
  </sheetViews>
  <sheetFormatPr defaultColWidth="9" defaultRowHeight="15" outlineLevelRow="1"/>
  <cols>
    <col min="1" max="1" width="4.42578125" style="335" customWidth="1"/>
    <col min="2" max="2" width="17.28515625" style="335" customWidth="1"/>
    <col min="3" max="3" width="11" style="335" customWidth="1"/>
    <col min="4" max="33" width="4.28515625" style="158" customWidth="1"/>
    <col min="34" max="34" width="4.42578125" style="158" customWidth="1"/>
    <col min="35" max="35" width="5.7109375" style="158" customWidth="1"/>
    <col min="36" max="36" width="7.28515625" style="158" customWidth="1"/>
    <col min="37" max="37" width="9.140625" style="158" customWidth="1"/>
    <col min="38" max="16384" width="9" style="158"/>
  </cols>
  <sheetData>
    <row r="1" spans="1:37" ht="18.75">
      <c r="A1" s="2299" t="s">
        <v>1927</v>
      </c>
      <c r="B1" s="2299"/>
      <c r="C1" s="2299"/>
      <c r="D1" s="2299"/>
      <c r="E1" s="2299"/>
      <c r="F1" s="2299"/>
      <c r="G1" s="2299"/>
      <c r="H1" s="2299"/>
      <c r="I1" s="2299"/>
      <c r="J1" s="2299"/>
      <c r="K1" s="2299"/>
      <c r="L1" s="1196"/>
      <c r="M1" s="1197"/>
      <c r="N1" s="1197"/>
      <c r="O1" s="1197"/>
      <c r="P1" s="1198"/>
      <c r="Q1" s="1197"/>
      <c r="R1" s="2300" t="s">
        <v>1928</v>
      </c>
      <c r="S1" s="2300"/>
      <c r="T1" s="2300"/>
      <c r="U1" s="2300"/>
      <c r="V1" s="2300"/>
      <c r="W1" s="2300"/>
      <c r="X1" s="2300"/>
      <c r="Y1" s="2300"/>
      <c r="Z1" s="2300"/>
      <c r="AA1" s="2300"/>
      <c r="AB1" s="2300"/>
      <c r="AC1" s="2300"/>
      <c r="AD1" s="2300"/>
      <c r="AE1" s="2300"/>
      <c r="AF1" s="2300"/>
      <c r="AG1" s="2300"/>
      <c r="AH1" s="2300"/>
      <c r="AI1" s="2300"/>
      <c r="AJ1" s="2300"/>
    </row>
    <row r="2" spans="1:37" ht="18.75">
      <c r="A2" s="2299" t="s">
        <v>1929</v>
      </c>
      <c r="B2" s="2299"/>
      <c r="C2" s="2299"/>
      <c r="D2" s="2299"/>
      <c r="E2" s="2299"/>
      <c r="F2" s="2299"/>
      <c r="G2" s="2299"/>
      <c r="H2" s="2299"/>
      <c r="I2" s="2299"/>
      <c r="J2" s="2299"/>
      <c r="K2" s="2299"/>
      <c r="L2" s="1196"/>
      <c r="M2" s="1197"/>
      <c r="N2" s="1197"/>
      <c r="O2" s="1197"/>
      <c r="P2" s="1198"/>
      <c r="Q2" s="1197"/>
      <c r="R2" s="2300" t="s">
        <v>1</v>
      </c>
      <c r="S2" s="2300"/>
      <c r="T2" s="2300"/>
      <c r="U2" s="2300"/>
      <c r="V2" s="2300"/>
      <c r="W2" s="2300"/>
      <c r="X2" s="2300"/>
      <c r="Y2" s="2300"/>
      <c r="Z2" s="2300"/>
      <c r="AA2" s="2300"/>
      <c r="AB2" s="2300"/>
      <c r="AC2" s="2300"/>
      <c r="AD2" s="2300"/>
      <c r="AE2" s="2300"/>
      <c r="AF2" s="2300"/>
      <c r="AG2" s="2300"/>
      <c r="AH2" s="2300"/>
      <c r="AI2" s="2300"/>
      <c r="AJ2" s="2300"/>
    </row>
    <row r="3" spans="1:37" ht="16.149999999999999" customHeight="1">
      <c r="A3" s="2301"/>
      <c r="B3" s="2301"/>
      <c r="C3" s="2301"/>
      <c r="D3" s="2301"/>
      <c r="E3" s="2301"/>
      <c r="F3" s="2301"/>
      <c r="G3" s="2301"/>
      <c r="H3" s="2301"/>
      <c r="I3" s="2301"/>
      <c r="J3" s="2301"/>
      <c r="K3" s="2301"/>
      <c r="L3" s="1196"/>
      <c r="M3" s="1197"/>
      <c r="N3" s="1197"/>
      <c r="O3" s="1197"/>
      <c r="P3" s="1198"/>
      <c r="Q3" s="1197"/>
      <c r="R3" s="2302" t="s">
        <v>619</v>
      </c>
      <c r="S3" s="2300"/>
      <c r="T3" s="2300"/>
      <c r="U3" s="2300"/>
      <c r="V3" s="2300"/>
      <c r="W3" s="2300"/>
      <c r="X3" s="2300"/>
      <c r="Y3" s="2300"/>
      <c r="Z3" s="2300"/>
      <c r="AA3" s="2300"/>
      <c r="AB3" s="2300"/>
      <c r="AC3" s="2300"/>
      <c r="AD3" s="2300"/>
      <c r="AE3" s="2300"/>
      <c r="AF3" s="2300"/>
      <c r="AG3" s="2300"/>
      <c r="AH3" s="2300"/>
      <c r="AI3" s="2300"/>
      <c r="AJ3" s="2300"/>
    </row>
    <row r="4" spans="1:37" ht="27.75" customHeight="1">
      <c r="A4" s="2295" t="s">
        <v>1930</v>
      </c>
      <c r="B4" s="2295"/>
      <c r="C4" s="2295"/>
      <c r="D4" s="2295"/>
      <c r="E4" s="2295"/>
      <c r="F4" s="2295"/>
      <c r="G4" s="2295"/>
      <c r="H4" s="2295"/>
      <c r="I4" s="2295"/>
      <c r="J4" s="2295"/>
      <c r="K4" s="2295"/>
      <c r="L4" s="2295"/>
      <c r="M4" s="2295"/>
      <c r="N4" s="2295"/>
      <c r="O4" s="2295"/>
      <c r="P4" s="2295"/>
      <c r="Q4" s="2295"/>
      <c r="R4" s="2295"/>
      <c r="S4" s="2295"/>
      <c r="T4" s="2295"/>
      <c r="U4" s="2295"/>
      <c r="V4" s="2295"/>
      <c r="W4" s="2295"/>
      <c r="X4" s="2295"/>
      <c r="Y4" s="2295"/>
      <c r="Z4" s="2295"/>
      <c r="AA4" s="2295"/>
      <c r="AB4" s="2295"/>
      <c r="AC4" s="2295"/>
      <c r="AD4" s="2295"/>
      <c r="AE4" s="2295"/>
      <c r="AF4" s="2295"/>
      <c r="AG4" s="2295"/>
      <c r="AH4" s="2295"/>
      <c r="AI4" s="1528"/>
      <c r="AJ4" s="1188"/>
    </row>
    <row r="5" spans="1:37" ht="18.75" customHeight="1">
      <c r="A5" s="2296" t="s">
        <v>1931</v>
      </c>
      <c r="B5" s="2296"/>
      <c r="C5" s="2296"/>
      <c r="D5" s="2296"/>
      <c r="E5" s="2296"/>
      <c r="F5" s="2296"/>
      <c r="G5" s="2296"/>
      <c r="H5" s="2296"/>
      <c r="I5" s="2296"/>
      <c r="J5" s="2296"/>
      <c r="K5" s="2296"/>
      <c r="L5" s="2296"/>
      <c r="M5" s="2296"/>
      <c r="N5" s="2296"/>
      <c r="O5" s="2296"/>
      <c r="P5" s="2296"/>
      <c r="Q5" s="2296"/>
      <c r="R5" s="2296"/>
      <c r="S5" s="2296"/>
      <c r="T5" s="2296"/>
      <c r="U5" s="2296"/>
      <c r="V5" s="2296"/>
      <c r="W5" s="2296"/>
      <c r="X5" s="2296"/>
      <c r="Y5" s="2296"/>
      <c r="Z5" s="2296"/>
      <c r="AA5" s="2296"/>
      <c r="AB5" s="2296"/>
      <c r="AC5" s="2296"/>
      <c r="AD5" s="2296"/>
      <c r="AE5" s="2296"/>
      <c r="AF5" s="2296"/>
      <c r="AG5" s="2296"/>
      <c r="AH5" s="2296"/>
      <c r="AI5" s="2296"/>
      <c r="AJ5" s="1188"/>
    </row>
    <row r="6" spans="1:37" s="156" customFormat="1" ht="15.75" customHeight="1">
      <c r="A6" s="2291" t="s">
        <v>623</v>
      </c>
      <c r="B6" s="2291" t="s">
        <v>1932</v>
      </c>
      <c r="C6" s="2291" t="s">
        <v>356</v>
      </c>
      <c r="D6" s="2291" t="s">
        <v>529</v>
      </c>
      <c r="E6" s="2291"/>
      <c r="F6" s="2291"/>
      <c r="G6" s="2291"/>
      <c r="H6" s="2291"/>
      <c r="I6" s="2291"/>
      <c r="J6" s="2291"/>
      <c r="K6" s="2291"/>
      <c r="L6" s="2291"/>
      <c r="M6" s="2291"/>
      <c r="N6" s="2291"/>
      <c r="O6" s="2291"/>
      <c r="P6" s="2291"/>
      <c r="Q6" s="2291"/>
      <c r="R6" s="2291"/>
      <c r="S6" s="2291"/>
      <c r="T6" s="2291"/>
      <c r="U6" s="2291"/>
      <c r="V6" s="2291"/>
      <c r="W6" s="2291"/>
      <c r="X6" s="2291"/>
      <c r="Y6" s="2291"/>
      <c r="Z6" s="2291"/>
      <c r="AA6" s="2291"/>
      <c r="AB6" s="2291"/>
      <c r="AC6" s="2291"/>
      <c r="AD6" s="2291"/>
      <c r="AE6" s="2291"/>
      <c r="AF6" s="2291"/>
      <c r="AG6" s="2291"/>
      <c r="AH6" s="2291"/>
      <c r="AI6" s="2292" t="s">
        <v>1933</v>
      </c>
      <c r="AJ6" s="2293" t="s">
        <v>1934</v>
      </c>
    </row>
    <row r="7" spans="1:37" s="156" customFormat="1" ht="22.15" customHeight="1">
      <c r="A7" s="2291"/>
      <c r="B7" s="2291"/>
      <c r="C7" s="2291"/>
      <c r="D7" s="2291">
        <v>1</v>
      </c>
      <c r="E7" s="2291">
        <v>2</v>
      </c>
      <c r="F7" s="2291">
        <v>3</v>
      </c>
      <c r="G7" s="2291">
        <v>4</v>
      </c>
      <c r="H7" s="2291">
        <v>5</v>
      </c>
      <c r="I7" s="2291">
        <v>6</v>
      </c>
      <c r="J7" s="2291">
        <v>7</v>
      </c>
      <c r="K7" s="2291">
        <v>8</v>
      </c>
      <c r="L7" s="2291">
        <v>9</v>
      </c>
      <c r="M7" s="2291">
        <v>10</v>
      </c>
      <c r="N7" s="2291">
        <v>11</v>
      </c>
      <c r="O7" s="2291">
        <v>12</v>
      </c>
      <c r="P7" s="2291">
        <v>13</v>
      </c>
      <c r="Q7" s="2291">
        <v>14</v>
      </c>
      <c r="R7" s="2291">
        <v>15</v>
      </c>
      <c r="S7" s="2291">
        <v>16</v>
      </c>
      <c r="T7" s="2291">
        <v>17</v>
      </c>
      <c r="U7" s="2291">
        <v>18</v>
      </c>
      <c r="V7" s="2291">
        <v>19</v>
      </c>
      <c r="W7" s="2291">
        <v>20</v>
      </c>
      <c r="X7" s="2291">
        <v>21</v>
      </c>
      <c r="Y7" s="2291">
        <v>22</v>
      </c>
      <c r="Z7" s="2291">
        <v>23</v>
      </c>
      <c r="AA7" s="2291">
        <v>24</v>
      </c>
      <c r="AB7" s="2291">
        <v>25</v>
      </c>
      <c r="AC7" s="2291">
        <v>26</v>
      </c>
      <c r="AD7" s="2291">
        <v>27</v>
      </c>
      <c r="AE7" s="2291">
        <v>28</v>
      </c>
      <c r="AF7" s="2291">
        <v>29</v>
      </c>
      <c r="AG7" s="2291">
        <v>30</v>
      </c>
      <c r="AH7" s="2291">
        <v>31</v>
      </c>
      <c r="AI7" s="2292"/>
      <c r="AJ7" s="2293"/>
    </row>
    <row r="8" spans="1:37" s="156" customFormat="1" ht="10.15" customHeight="1">
      <c r="A8" s="2291"/>
      <c r="B8" s="2291"/>
      <c r="C8" s="1182" t="s">
        <v>1935</v>
      </c>
      <c r="D8" s="2291"/>
      <c r="E8" s="2291"/>
      <c r="F8" s="2291"/>
      <c r="G8" s="2291"/>
      <c r="H8" s="2291"/>
      <c r="I8" s="2291"/>
      <c r="J8" s="2291"/>
      <c r="K8" s="2291"/>
      <c r="L8" s="2291"/>
      <c r="M8" s="2291"/>
      <c r="N8" s="2291"/>
      <c r="O8" s="2291"/>
      <c r="P8" s="2291"/>
      <c r="Q8" s="2291"/>
      <c r="R8" s="2291"/>
      <c r="S8" s="2291"/>
      <c r="T8" s="2291"/>
      <c r="U8" s="2291"/>
      <c r="V8" s="2291"/>
      <c r="W8" s="2291"/>
      <c r="X8" s="2291"/>
      <c r="Y8" s="2291"/>
      <c r="Z8" s="2291"/>
      <c r="AA8" s="2291"/>
      <c r="AB8" s="2291"/>
      <c r="AC8" s="2291"/>
      <c r="AD8" s="2291"/>
      <c r="AE8" s="2291"/>
      <c r="AF8" s="2291"/>
      <c r="AG8" s="2291"/>
      <c r="AH8" s="2291"/>
      <c r="AI8" s="2292"/>
      <c r="AJ8" s="2293"/>
    </row>
    <row r="9" spans="1:37" s="1232" customFormat="1" ht="16.149999999999999" customHeight="1" outlineLevel="1">
      <c r="A9" s="2297" t="s">
        <v>427</v>
      </c>
      <c r="B9" s="2297"/>
      <c r="C9" s="2297"/>
      <c r="D9" s="1240">
        <f>COUNTIF(D10:D52,"X")+COUNTIF(D10:D52,"CN")</f>
        <v>0</v>
      </c>
      <c r="E9" s="1240">
        <f t="shared" ref="E9:AH9" si="0">COUNTIF(E10:E52,"X")+COUNTIF(E10:E52,"CN")</f>
        <v>0</v>
      </c>
      <c r="F9" s="1240">
        <f t="shared" si="0"/>
        <v>0</v>
      </c>
      <c r="G9" s="1240">
        <f t="shared" si="0"/>
        <v>0</v>
      </c>
      <c r="H9" s="1240">
        <f t="shared" si="0"/>
        <v>0</v>
      </c>
      <c r="I9" s="1240">
        <f t="shared" si="0"/>
        <v>0</v>
      </c>
      <c r="J9" s="1240">
        <f t="shared" si="0"/>
        <v>0</v>
      </c>
      <c r="K9" s="1240">
        <f t="shared" si="0"/>
        <v>0</v>
      </c>
      <c r="L9" s="1240">
        <f t="shared" si="0"/>
        <v>0</v>
      </c>
      <c r="M9" s="1240">
        <f t="shared" si="0"/>
        <v>0</v>
      </c>
      <c r="N9" s="1240">
        <f t="shared" si="0"/>
        <v>0</v>
      </c>
      <c r="O9" s="1240">
        <f t="shared" si="0"/>
        <v>0</v>
      </c>
      <c r="P9" s="1240">
        <f t="shared" si="0"/>
        <v>0</v>
      </c>
      <c r="Q9" s="1240">
        <f t="shared" si="0"/>
        <v>0</v>
      </c>
      <c r="R9" s="1240">
        <f t="shared" si="0"/>
        <v>0</v>
      </c>
      <c r="S9" s="1240">
        <f t="shared" si="0"/>
        <v>0</v>
      </c>
      <c r="T9" s="1240">
        <f t="shared" si="0"/>
        <v>0</v>
      </c>
      <c r="U9" s="1240">
        <f t="shared" si="0"/>
        <v>0</v>
      </c>
      <c r="V9" s="1240">
        <f t="shared" si="0"/>
        <v>0</v>
      </c>
      <c r="W9" s="1240">
        <f t="shared" si="0"/>
        <v>0</v>
      </c>
      <c r="X9" s="1240">
        <f t="shared" si="0"/>
        <v>0</v>
      </c>
      <c r="Y9" s="1240">
        <f t="shared" si="0"/>
        <v>0</v>
      </c>
      <c r="Z9" s="1240">
        <f t="shared" si="0"/>
        <v>0</v>
      </c>
      <c r="AA9" s="1240">
        <f t="shared" si="0"/>
        <v>0</v>
      </c>
      <c r="AB9" s="1240">
        <f t="shared" si="0"/>
        <v>0</v>
      </c>
      <c r="AC9" s="1240">
        <f t="shared" si="0"/>
        <v>0</v>
      </c>
      <c r="AD9" s="1240">
        <f t="shared" si="0"/>
        <v>0</v>
      </c>
      <c r="AE9" s="1240">
        <f t="shared" si="0"/>
        <v>0</v>
      </c>
      <c r="AF9" s="1240">
        <f t="shared" si="0"/>
        <v>0</v>
      </c>
      <c r="AG9" s="1240">
        <f t="shared" si="0"/>
        <v>0</v>
      </c>
      <c r="AH9" s="1240">
        <f t="shared" si="0"/>
        <v>0</v>
      </c>
      <c r="AI9" s="1204">
        <f>SUM(AI10:AI52)</f>
        <v>0</v>
      </c>
      <c r="AJ9" s="1204"/>
      <c r="AK9" s="1247"/>
    </row>
    <row r="10" spans="1:37" s="156" customFormat="1" ht="16.149999999999999" customHeight="1" outlineLevel="1">
      <c r="A10" s="1182">
        <v>1</v>
      </c>
      <c r="B10" s="1182" t="e">
        <f>VLOOKUP(C10,'DS CN MOI UP'!$B$10:$C$347,2,0)</f>
        <v>#N/A</v>
      </c>
      <c r="C10" s="1185" t="s">
        <v>357</v>
      </c>
      <c r="D10" s="1186"/>
      <c r="E10" s="1186"/>
      <c r="F10" s="1186"/>
      <c r="G10" s="1186"/>
      <c r="H10" s="1186"/>
      <c r="I10" s="1186"/>
      <c r="J10" s="1186"/>
      <c r="K10" s="1186"/>
      <c r="L10" s="1186"/>
      <c r="M10" s="1186"/>
      <c r="N10" s="1186"/>
      <c r="O10" s="1186"/>
      <c r="P10" s="1186"/>
      <c r="Q10" s="1186"/>
      <c r="R10" s="1186"/>
      <c r="S10" s="1186"/>
      <c r="T10" s="1186"/>
      <c r="U10" s="1186"/>
      <c r="V10" s="1186"/>
      <c r="W10" s="1186"/>
      <c r="X10" s="1186"/>
      <c r="Y10" s="1186"/>
      <c r="Z10" s="1186"/>
      <c r="AA10" s="1186"/>
      <c r="AB10" s="1186"/>
      <c r="AC10" s="1186"/>
      <c r="AD10" s="1186"/>
      <c r="AE10" s="1186"/>
      <c r="AF10" s="1186"/>
      <c r="AG10" s="1186"/>
      <c r="AH10" s="1186"/>
      <c r="AI10" s="1529">
        <f t="shared" ref="AI10:AI52" si="1">COUNTIF(D10:AH10,"X")</f>
        <v>0</v>
      </c>
      <c r="AJ10" s="1466"/>
      <c r="AK10" s="1467"/>
    </row>
    <row r="11" spans="1:37" s="156" customFormat="1" ht="16.149999999999999" customHeight="1" outlineLevel="1">
      <c r="A11" s="1182">
        <v>2</v>
      </c>
      <c r="B11" s="1182" t="e">
        <f>VLOOKUP(C11,'DS CN MOI UP'!$B$10:$C$347,2,0)</f>
        <v>#N/A</v>
      </c>
      <c r="C11" s="1185" t="s">
        <v>358</v>
      </c>
      <c r="D11" s="1186"/>
      <c r="E11" s="1186"/>
      <c r="F11" s="1186"/>
      <c r="G11" s="1186"/>
      <c r="H11" s="1186"/>
      <c r="I11" s="1186"/>
      <c r="J11" s="1186"/>
      <c r="K11" s="1186"/>
      <c r="L11" s="1186"/>
      <c r="M11" s="1186"/>
      <c r="N11" s="1186"/>
      <c r="O11" s="1186"/>
      <c r="P11" s="1186"/>
      <c r="Q11" s="1186"/>
      <c r="R11" s="1186"/>
      <c r="S11" s="1186"/>
      <c r="T11" s="1186"/>
      <c r="U11" s="1186"/>
      <c r="V11" s="1186"/>
      <c r="W11" s="1186"/>
      <c r="X11" s="1186"/>
      <c r="Y11" s="1186"/>
      <c r="Z11" s="1186"/>
      <c r="AA11" s="1186"/>
      <c r="AB11" s="1186"/>
      <c r="AC11" s="1186"/>
      <c r="AD11" s="1186"/>
      <c r="AE11" s="1186"/>
      <c r="AF11" s="1186"/>
      <c r="AG11" s="1186"/>
      <c r="AH11" s="1186"/>
      <c r="AI11" s="1529">
        <f t="shared" si="1"/>
        <v>0</v>
      </c>
      <c r="AJ11" s="1466"/>
      <c r="AK11" s="615"/>
    </row>
    <row r="12" spans="1:37" s="156" customFormat="1" ht="16.149999999999999" customHeight="1" outlineLevel="1">
      <c r="A12" s="1182">
        <v>3</v>
      </c>
      <c r="B12" s="1182" t="e">
        <f>VLOOKUP(C12,'DS CN MOI UP'!$B$10:$C$347,2,0)</f>
        <v>#N/A</v>
      </c>
      <c r="C12" s="1185" t="s">
        <v>385</v>
      </c>
      <c r="D12" s="1186"/>
      <c r="E12" s="1186"/>
      <c r="F12" s="1186"/>
      <c r="G12" s="1186"/>
      <c r="H12" s="1186"/>
      <c r="I12" s="1186"/>
      <c r="J12" s="1186"/>
      <c r="K12" s="1186"/>
      <c r="L12" s="1186"/>
      <c r="M12" s="1186"/>
      <c r="N12" s="1186"/>
      <c r="O12" s="1186"/>
      <c r="P12" s="1186"/>
      <c r="Q12" s="1186"/>
      <c r="R12" s="1186"/>
      <c r="S12" s="1186"/>
      <c r="T12" s="1186"/>
      <c r="U12" s="1186"/>
      <c r="V12" s="1186"/>
      <c r="W12" s="1186"/>
      <c r="X12" s="1186"/>
      <c r="Y12" s="1186"/>
      <c r="Z12" s="1186"/>
      <c r="AA12" s="1186"/>
      <c r="AB12" s="1186"/>
      <c r="AC12" s="1186"/>
      <c r="AD12" s="1186"/>
      <c r="AE12" s="1186"/>
      <c r="AF12" s="1186"/>
      <c r="AG12" s="1186"/>
      <c r="AH12" s="1186"/>
      <c r="AI12" s="1529">
        <f t="shared" si="1"/>
        <v>0</v>
      </c>
      <c r="AJ12" s="1466"/>
      <c r="AK12" s="615"/>
    </row>
    <row r="13" spans="1:37" s="156" customFormat="1" ht="16.149999999999999" customHeight="1" outlineLevel="1">
      <c r="A13" s="1182">
        <v>4</v>
      </c>
      <c r="B13" s="1182" t="e">
        <f>VLOOKUP(C13,'DS CN MOI UP'!$B$10:$C$347,2,0)</f>
        <v>#N/A</v>
      </c>
      <c r="C13" s="1185" t="s">
        <v>1936</v>
      </c>
      <c r="D13" s="1186"/>
      <c r="E13" s="1186"/>
      <c r="F13" s="1186"/>
      <c r="G13" s="1186"/>
      <c r="H13" s="1186"/>
      <c r="I13" s="1186"/>
      <c r="J13" s="1186"/>
      <c r="K13" s="1186"/>
      <c r="L13" s="1186"/>
      <c r="M13" s="1186"/>
      <c r="N13" s="1186"/>
      <c r="O13" s="1186"/>
      <c r="P13" s="1186"/>
      <c r="Q13" s="1186"/>
      <c r="R13" s="1186"/>
      <c r="S13" s="1186"/>
      <c r="T13" s="1186"/>
      <c r="U13" s="1186"/>
      <c r="V13" s="1186"/>
      <c r="W13" s="1186"/>
      <c r="X13" s="1186"/>
      <c r="Y13" s="1186"/>
      <c r="Z13" s="1186"/>
      <c r="AA13" s="1186"/>
      <c r="AB13" s="1186"/>
      <c r="AC13" s="1186"/>
      <c r="AD13" s="1186"/>
      <c r="AE13" s="1186"/>
      <c r="AF13" s="1186"/>
      <c r="AG13" s="1186"/>
      <c r="AH13" s="1186"/>
      <c r="AI13" s="1529">
        <f t="shared" si="1"/>
        <v>0</v>
      </c>
      <c r="AJ13" s="1466"/>
      <c r="AK13" s="615"/>
    </row>
    <row r="14" spans="1:37" s="156" customFormat="1" ht="16.149999999999999" customHeight="1" outlineLevel="1">
      <c r="A14" s="1182">
        <v>5</v>
      </c>
      <c r="B14" s="1182" t="e">
        <f>VLOOKUP(C14,'DS CN MOI UP'!$B$10:$C$347,2,0)</f>
        <v>#N/A</v>
      </c>
      <c r="C14" s="1185" t="s">
        <v>387</v>
      </c>
      <c r="D14" s="1186"/>
      <c r="E14" s="1186"/>
      <c r="F14" s="1186"/>
      <c r="G14" s="1186"/>
      <c r="H14" s="1186"/>
      <c r="I14" s="1186"/>
      <c r="J14" s="1186"/>
      <c r="K14" s="1186"/>
      <c r="L14" s="1186"/>
      <c r="M14" s="1186"/>
      <c r="N14" s="1186"/>
      <c r="O14" s="1186"/>
      <c r="P14" s="1186"/>
      <c r="Q14" s="1186"/>
      <c r="R14" s="1186"/>
      <c r="S14" s="1186"/>
      <c r="T14" s="1186"/>
      <c r="U14" s="1186"/>
      <c r="V14" s="1186"/>
      <c r="W14" s="1186"/>
      <c r="X14" s="1186"/>
      <c r="Y14" s="1186"/>
      <c r="Z14" s="1186"/>
      <c r="AA14" s="1186"/>
      <c r="AB14" s="1186"/>
      <c r="AC14" s="1186"/>
      <c r="AD14" s="1186"/>
      <c r="AE14" s="1186"/>
      <c r="AF14" s="1186"/>
      <c r="AG14" s="1186"/>
      <c r="AH14" s="1186"/>
      <c r="AI14" s="1529">
        <f t="shared" si="1"/>
        <v>0</v>
      </c>
      <c r="AJ14" s="1466"/>
      <c r="AK14" s="615"/>
    </row>
    <row r="15" spans="1:37" s="156" customFormat="1" ht="16.149999999999999" customHeight="1" outlineLevel="1">
      <c r="A15" s="1182">
        <v>6</v>
      </c>
      <c r="B15" s="1182" t="e">
        <f>VLOOKUP(C15,'DS CN MOI UP'!$B$10:$C$347,2,0)</f>
        <v>#N/A</v>
      </c>
      <c r="C15" s="1185" t="s">
        <v>388</v>
      </c>
      <c r="D15" s="1186"/>
      <c r="E15" s="1186"/>
      <c r="F15" s="1186"/>
      <c r="G15" s="1186"/>
      <c r="H15" s="1186"/>
      <c r="I15" s="1186"/>
      <c r="J15" s="1186"/>
      <c r="K15" s="1186"/>
      <c r="L15" s="1186"/>
      <c r="M15" s="1186"/>
      <c r="N15" s="1186"/>
      <c r="O15" s="1186"/>
      <c r="P15" s="1186"/>
      <c r="Q15" s="1186"/>
      <c r="R15" s="1186"/>
      <c r="S15" s="1186"/>
      <c r="T15" s="1186"/>
      <c r="U15" s="1186"/>
      <c r="V15" s="1186"/>
      <c r="W15" s="1186"/>
      <c r="X15" s="1186"/>
      <c r="Y15" s="1186"/>
      <c r="Z15" s="1186"/>
      <c r="AA15" s="1186"/>
      <c r="AB15" s="1186"/>
      <c r="AC15" s="1186"/>
      <c r="AD15" s="1186"/>
      <c r="AE15" s="1186"/>
      <c r="AF15" s="1186"/>
      <c r="AG15" s="1186"/>
      <c r="AH15" s="1186"/>
      <c r="AI15" s="1529">
        <f t="shared" si="1"/>
        <v>0</v>
      </c>
      <c r="AJ15" s="1466"/>
      <c r="AK15" s="615"/>
    </row>
    <row r="16" spans="1:37" s="156" customFormat="1" ht="16.149999999999999" customHeight="1" outlineLevel="1">
      <c r="A16" s="1182">
        <v>7</v>
      </c>
      <c r="B16" s="1182" t="e">
        <f>VLOOKUP(C16,'DS CN MOI UP'!$B$10:$C$347,2,0)</f>
        <v>#N/A</v>
      </c>
      <c r="C16" s="1185" t="s">
        <v>389</v>
      </c>
      <c r="D16" s="1186"/>
      <c r="E16" s="1186"/>
      <c r="F16" s="1186"/>
      <c r="G16" s="1186"/>
      <c r="H16" s="1186"/>
      <c r="I16" s="1186"/>
      <c r="J16" s="1186"/>
      <c r="K16" s="1186"/>
      <c r="L16" s="1186"/>
      <c r="M16" s="1186"/>
      <c r="N16" s="1186"/>
      <c r="O16" s="1186"/>
      <c r="P16" s="1186"/>
      <c r="Q16" s="1186"/>
      <c r="R16" s="1186"/>
      <c r="S16" s="1186"/>
      <c r="T16" s="1186"/>
      <c r="U16" s="1186"/>
      <c r="V16" s="1186"/>
      <c r="W16" s="1186"/>
      <c r="X16" s="1186"/>
      <c r="Y16" s="1186"/>
      <c r="Z16" s="1186"/>
      <c r="AA16" s="1186"/>
      <c r="AB16" s="1186"/>
      <c r="AC16" s="1186"/>
      <c r="AD16" s="1186"/>
      <c r="AE16" s="1186"/>
      <c r="AF16" s="1186"/>
      <c r="AG16" s="1186"/>
      <c r="AH16" s="1186"/>
      <c r="AI16" s="1529">
        <f t="shared" si="1"/>
        <v>0</v>
      </c>
      <c r="AJ16" s="1466"/>
      <c r="AK16" s="615"/>
    </row>
    <row r="17" spans="1:37" s="156" customFormat="1" ht="16.149999999999999" customHeight="1" outlineLevel="1">
      <c r="A17" s="1182">
        <v>8</v>
      </c>
      <c r="B17" s="1182" t="e">
        <f>VLOOKUP(C17,'DS CN MOI UP'!$B$10:$C$347,2,0)</f>
        <v>#N/A</v>
      </c>
      <c r="C17" s="1185" t="s">
        <v>1937</v>
      </c>
      <c r="D17" s="1186"/>
      <c r="E17" s="1186"/>
      <c r="F17" s="1186"/>
      <c r="G17" s="1186"/>
      <c r="H17" s="1186"/>
      <c r="I17" s="1186"/>
      <c r="J17" s="1186"/>
      <c r="K17" s="1186"/>
      <c r="L17" s="1186"/>
      <c r="M17" s="1186"/>
      <c r="N17" s="1186"/>
      <c r="O17" s="1186"/>
      <c r="P17" s="1186"/>
      <c r="Q17" s="1186"/>
      <c r="R17" s="1186"/>
      <c r="S17" s="1186"/>
      <c r="T17" s="1186"/>
      <c r="U17" s="1186"/>
      <c r="V17" s="1186"/>
      <c r="W17" s="1186"/>
      <c r="X17" s="1186"/>
      <c r="Y17" s="1186"/>
      <c r="Z17" s="1186"/>
      <c r="AA17" s="1186"/>
      <c r="AB17" s="1186"/>
      <c r="AC17" s="1186"/>
      <c r="AD17" s="1186"/>
      <c r="AE17" s="1186"/>
      <c r="AF17" s="1186"/>
      <c r="AG17" s="1186"/>
      <c r="AH17" s="1186"/>
      <c r="AI17" s="1529">
        <f t="shared" si="1"/>
        <v>0</v>
      </c>
      <c r="AJ17" s="1466"/>
      <c r="AK17" s="615"/>
    </row>
    <row r="18" spans="1:37" s="156" customFormat="1" ht="16.149999999999999" customHeight="1" outlineLevel="1">
      <c r="A18" s="1182">
        <v>9</v>
      </c>
      <c r="B18" s="1182" t="e">
        <f>VLOOKUP(C18,'DS CN MOI UP'!$B$10:$C$347,2,0)</f>
        <v>#N/A</v>
      </c>
      <c r="C18" s="1185" t="s">
        <v>391</v>
      </c>
      <c r="D18" s="1186"/>
      <c r="E18" s="1186"/>
      <c r="F18" s="1186"/>
      <c r="G18" s="1186"/>
      <c r="H18" s="1186"/>
      <c r="I18" s="1186"/>
      <c r="J18" s="1186"/>
      <c r="K18" s="1186"/>
      <c r="L18" s="1186"/>
      <c r="M18" s="1186"/>
      <c r="N18" s="1186"/>
      <c r="O18" s="1186"/>
      <c r="P18" s="1186"/>
      <c r="Q18" s="1186"/>
      <c r="R18" s="1186"/>
      <c r="S18" s="1186"/>
      <c r="T18" s="1186"/>
      <c r="U18" s="1186"/>
      <c r="V18" s="1186"/>
      <c r="W18" s="1186"/>
      <c r="X18" s="1186"/>
      <c r="Y18" s="1186"/>
      <c r="Z18" s="1186"/>
      <c r="AA18" s="1186"/>
      <c r="AB18" s="1186"/>
      <c r="AC18" s="1186"/>
      <c r="AD18" s="1186"/>
      <c r="AE18" s="1186"/>
      <c r="AF18" s="1186"/>
      <c r="AG18" s="1186"/>
      <c r="AH18" s="1186"/>
      <c r="AI18" s="1529">
        <f t="shared" si="1"/>
        <v>0</v>
      </c>
      <c r="AJ18" s="1466"/>
      <c r="AK18" s="615"/>
    </row>
    <row r="19" spans="1:37" s="156" customFormat="1" ht="16.149999999999999" customHeight="1" outlineLevel="1">
      <c r="A19" s="1182">
        <v>10</v>
      </c>
      <c r="B19" s="1182" t="e">
        <f>VLOOKUP(C19,'DS CN MOI UP'!$B$10:$C$347,2,0)</f>
        <v>#N/A</v>
      </c>
      <c r="C19" s="1185" t="s">
        <v>392</v>
      </c>
      <c r="D19" s="1186"/>
      <c r="E19" s="1186"/>
      <c r="F19" s="1186"/>
      <c r="G19" s="1186"/>
      <c r="H19" s="1186"/>
      <c r="I19" s="1186"/>
      <c r="J19" s="1186"/>
      <c r="K19" s="1186"/>
      <c r="L19" s="1186"/>
      <c r="M19" s="1186"/>
      <c r="N19" s="1186"/>
      <c r="O19" s="1186"/>
      <c r="P19" s="1186"/>
      <c r="Q19" s="1186"/>
      <c r="R19" s="1186"/>
      <c r="S19" s="1186"/>
      <c r="T19" s="1186"/>
      <c r="U19" s="1186"/>
      <c r="V19" s="1186"/>
      <c r="W19" s="1186"/>
      <c r="X19" s="1186"/>
      <c r="Y19" s="1186"/>
      <c r="Z19" s="1186"/>
      <c r="AA19" s="1186"/>
      <c r="AB19" s="1186"/>
      <c r="AC19" s="1186"/>
      <c r="AD19" s="1186"/>
      <c r="AE19" s="1186"/>
      <c r="AF19" s="1186"/>
      <c r="AG19" s="1186"/>
      <c r="AH19" s="1186"/>
      <c r="AI19" s="1529">
        <f t="shared" si="1"/>
        <v>0</v>
      </c>
      <c r="AJ19" s="1466"/>
      <c r="AK19" s="615"/>
    </row>
    <row r="20" spans="1:37" s="156" customFormat="1" ht="16.149999999999999" customHeight="1" outlineLevel="1">
      <c r="A20" s="1182">
        <v>11</v>
      </c>
      <c r="B20" s="1182" t="e">
        <f>VLOOKUP(C20,'DS CN MOI UP'!$B$10:$C$347,2,0)</f>
        <v>#N/A</v>
      </c>
      <c r="C20" s="1185" t="s">
        <v>393</v>
      </c>
      <c r="D20" s="1186"/>
      <c r="E20" s="1186"/>
      <c r="F20" s="1186"/>
      <c r="G20" s="1186"/>
      <c r="H20" s="1186"/>
      <c r="I20" s="1186"/>
      <c r="J20" s="1186"/>
      <c r="K20" s="1186"/>
      <c r="L20" s="1186"/>
      <c r="M20" s="1186"/>
      <c r="N20" s="1186"/>
      <c r="O20" s="1186"/>
      <c r="P20" s="1186"/>
      <c r="Q20" s="1186"/>
      <c r="R20" s="1186"/>
      <c r="S20" s="1186"/>
      <c r="T20" s="1186"/>
      <c r="U20" s="1186"/>
      <c r="V20" s="1186"/>
      <c r="W20" s="1186"/>
      <c r="X20" s="1186"/>
      <c r="Y20" s="1186"/>
      <c r="Z20" s="1186"/>
      <c r="AA20" s="1186"/>
      <c r="AB20" s="1186"/>
      <c r="AC20" s="1186"/>
      <c r="AD20" s="1186"/>
      <c r="AE20" s="1186"/>
      <c r="AF20" s="1186"/>
      <c r="AG20" s="1186"/>
      <c r="AH20" s="1186"/>
      <c r="AI20" s="1529">
        <f t="shared" si="1"/>
        <v>0</v>
      </c>
      <c r="AJ20" s="1466"/>
      <c r="AK20" s="615"/>
    </row>
    <row r="21" spans="1:37" s="156" customFormat="1" ht="16.149999999999999" customHeight="1" outlineLevel="1">
      <c r="A21" s="1182">
        <v>12</v>
      </c>
      <c r="B21" s="1182" t="e">
        <f>VLOOKUP(C21,'DS CN MOI UP'!$B$10:$C$347,2,0)</f>
        <v>#N/A</v>
      </c>
      <c r="C21" s="1185" t="s">
        <v>394</v>
      </c>
      <c r="D21" s="1186"/>
      <c r="E21" s="1186"/>
      <c r="F21" s="1186"/>
      <c r="G21" s="1186"/>
      <c r="H21" s="1186"/>
      <c r="I21" s="1186"/>
      <c r="J21" s="1186"/>
      <c r="K21" s="1186"/>
      <c r="L21" s="1186"/>
      <c r="M21" s="1186"/>
      <c r="N21" s="1186"/>
      <c r="O21" s="1186"/>
      <c r="P21" s="1186"/>
      <c r="Q21" s="1186"/>
      <c r="R21" s="1186"/>
      <c r="S21" s="1186"/>
      <c r="T21" s="1186"/>
      <c r="U21" s="1186"/>
      <c r="V21" s="1186"/>
      <c r="W21" s="1186"/>
      <c r="X21" s="1186"/>
      <c r="Y21" s="1186"/>
      <c r="Z21" s="1186"/>
      <c r="AA21" s="1186"/>
      <c r="AB21" s="1186"/>
      <c r="AC21" s="1186"/>
      <c r="AD21" s="1186"/>
      <c r="AE21" s="1186"/>
      <c r="AF21" s="1186"/>
      <c r="AG21" s="1186"/>
      <c r="AH21" s="1186"/>
      <c r="AI21" s="1529">
        <f t="shared" si="1"/>
        <v>0</v>
      </c>
      <c r="AJ21" s="1466"/>
      <c r="AK21" s="615"/>
    </row>
    <row r="22" spans="1:37" s="156" customFormat="1" ht="16.149999999999999" customHeight="1" outlineLevel="1">
      <c r="A22" s="1182">
        <v>13</v>
      </c>
      <c r="B22" s="1182" t="e">
        <f>VLOOKUP(C22,'DS CN MOI UP'!$B$10:$C$347,2,0)</f>
        <v>#N/A</v>
      </c>
      <c r="C22" s="1185" t="s">
        <v>537</v>
      </c>
      <c r="D22" s="1186"/>
      <c r="E22" s="1186"/>
      <c r="F22" s="1186"/>
      <c r="G22" s="1186"/>
      <c r="H22" s="1186"/>
      <c r="I22" s="1186"/>
      <c r="J22" s="1186"/>
      <c r="K22" s="1186"/>
      <c r="L22" s="1186"/>
      <c r="M22" s="1186"/>
      <c r="N22" s="1186"/>
      <c r="O22" s="1186"/>
      <c r="P22" s="1186"/>
      <c r="Q22" s="1186"/>
      <c r="R22" s="1186"/>
      <c r="S22" s="1186"/>
      <c r="T22" s="1186"/>
      <c r="U22" s="1186"/>
      <c r="V22" s="1186"/>
      <c r="W22" s="1186"/>
      <c r="X22" s="1186"/>
      <c r="Y22" s="1186"/>
      <c r="Z22" s="1186"/>
      <c r="AA22" s="1186"/>
      <c r="AB22" s="1186"/>
      <c r="AC22" s="1186"/>
      <c r="AD22" s="1186"/>
      <c r="AE22" s="1186"/>
      <c r="AF22" s="1186"/>
      <c r="AG22" s="1186"/>
      <c r="AH22" s="1186"/>
      <c r="AI22" s="1529">
        <f t="shared" si="1"/>
        <v>0</v>
      </c>
      <c r="AJ22" s="1466"/>
      <c r="AK22" s="615"/>
    </row>
    <row r="23" spans="1:37" s="156" customFormat="1" ht="16.149999999999999" customHeight="1" outlineLevel="1">
      <c r="A23" s="1182">
        <v>14</v>
      </c>
      <c r="B23" s="1182" t="e">
        <f>VLOOKUP(C23,'DS CN MOI UP'!$B$10:$C$347,2,0)</f>
        <v>#N/A</v>
      </c>
      <c r="C23" s="1185" t="s">
        <v>396</v>
      </c>
      <c r="D23" s="1186"/>
      <c r="E23" s="1186"/>
      <c r="F23" s="1186"/>
      <c r="G23" s="1186"/>
      <c r="H23" s="1186"/>
      <c r="I23" s="1186"/>
      <c r="J23" s="1186"/>
      <c r="K23" s="1186"/>
      <c r="L23" s="1186"/>
      <c r="M23" s="1186"/>
      <c r="N23" s="1186"/>
      <c r="O23" s="1186"/>
      <c r="P23" s="1186"/>
      <c r="Q23" s="1186"/>
      <c r="R23" s="1186"/>
      <c r="S23" s="1186"/>
      <c r="T23" s="1186"/>
      <c r="U23" s="1186"/>
      <c r="V23" s="1186"/>
      <c r="W23" s="1186"/>
      <c r="X23" s="1186"/>
      <c r="Y23" s="1186"/>
      <c r="Z23" s="1186"/>
      <c r="AA23" s="1186"/>
      <c r="AB23" s="1186"/>
      <c r="AC23" s="1186"/>
      <c r="AD23" s="1186"/>
      <c r="AE23" s="1186"/>
      <c r="AF23" s="1186"/>
      <c r="AG23" s="1186"/>
      <c r="AH23" s="1186"/>
      <c r="AI23" s="1529">
        <f t="shared" si="1"/>
        <v>0</v>
      </c>
      <c r="AJ23" s="1466"/>
      <c r="AK23" s="615"/>
    </row>
    <row r="24" spans="1:37" s="156" customFormat="1" ht="16.149999999999999" customHeight="1" outlineLevel="1">
      <c r="A24" s="1182">
        <v>15</v>
      </c>
      <c r="B24" s="1182" t="e">
        <f>VLOOKUP(C24,'DS CN MOI UP'!$B$10:$C$347,2,0)</f>
        <v>#N/A</v>
      </c>
      <c r="C24" s="1185" t="s">
        <v>397</v>
      </c>
      <c r="D24" s="1186"/>
      <c r="E24" s="1186"/>
      <c r="F24" s="1186"/>
      <c r="G24" s="1186"/>
      <c r="H24" s="1186"/>
      <c r="I24" s="1186"/>
      <c r="J24" s="1186"/>
      <c r="K24" s="1186"/>
      <c r="L24" s="1186"/>
      <c r="M24" s="1186"/>
      <c r="N24" s="1186"/>
      <c r="O24" s="1186"/>
      <c r="P24" s="1186"/>
      <c r="Q24" s="1186"/>
      <c r="R24" s="1186"/>
      <c r="S24" s="1186"/>
      <c r="T24" s="1186"/>
      <c r="U24" s="1186"/>
      <c r="V24" s="1186"/>
      <c r="W24" s="1186"/>
      <c r="X24" s="1186"/>
      <c r="Y24" s="1186"/>
      <c r="Z24" s="1186"/>
      <c r="AA24" s="1186"/>
      <c r="AB24" s="1186"/>
      <c r="AC24" s="1186"/>
      <c r="AD24" s="1186"/>
      <c r="AE24" s="1186"/>
      <c r="AF24" s="1186"/>
      <c r="AG24" s="1186"/>
      <c r="AH24" s="1186"/>
      <c r="AI24" s="1529">
        <f t="shared" si="1"/>
        <v>0</v>
      </c>
      <c r="AJ24" s="1466"/>
      <c r="AK24" s="615"/>
    </row>
    <row r="25" spans="1:37" s="156" customFormat="1" ht="16.149999999999999" customHeight="1" outlineLevel="1">
      <c r="A25" s="1182">
        <v>16</v>
      </c>
      <c r="B25" s="1182" t="e">
        <f>VLOOKUP(C25,'DS CN MOI UP'!$B$10:$C$347,2,0)</f>
        <v>#N/A</v>
      </c>
      <c r="C25" s="1185" t="s">
        <v>1938</v>
      </c>
      <c r="D25" s="1186"/>
      <c r="E25" s="1186"/>
      <c r="F25" s="1186"/>
      <c r="G25" s="1186"/>
      <c r="H25" s="1186"/>
      <c r="I25" s="1186"/>
      <c r="J25" s="1186"/>
      <c r="K25" s="1186"/>
      <c r="L25" s="1186"/>
      <c r="M25" s="1186"/>
      <c r="N25" s="1186"/>
      <c r="O25" s="1186"/>
      <c r="P25" s="1186"/>
      <c r="Q25" s="1186"/>
      <c r="R25" s="1186"/>
      <c r="S25" s="1186"/>
      <c r="T25" s="1186"/>
      <c r="U25" s="1186"/>
      <c r="V25" s="1186"/>
      <c r="W25" s="1186"/>
      <c r="X25" s="1186"/>
      <c r="Y25" s="1186"/>
      <c r="Z25" s="1186"/>
      <c r="AA25" s="1186"/>
      <c r="AB25" s="1186"/>
      <c r="AC25" s="1186"/>
      <c r="AD25" s="1186"/>
      <c r="AE25" s="1186"/>
      <c r="AF25" s="1186"/>
      <c r="AG25" s="1186"/>
      <c r="AH25" s="1186"/>
      <c r="AI25" s="1529">
        <f t="shared" si="1"/>
        <v>0</v>
      </c>
      <c r="AJ25" s="1466"/>
      <c r="AK25" s="615"/>
    </row>
    <row r="26" spans="1:37" s="156" customFormat="1" ht="16.149999999999999" customHeight="1" outlineLevel="1">
      <c r="A26" s="1182">
        <v>17</v>
      </c>
      <c r="B26" s="1182" t="e">
        <f>VLOOKUP(C26,'DS CN MOI UP'!$B$10:$C$347,2,0)</f>
        <v>#N/A</v>
      </c>
      <c r="C26" s="1185" t="s">
        <v>399</v>
      </c>
      <c r="D26" s="1186"/>
      <c r="E26" s="1186"/>
      <c r="F26" s="1186"/>
      <c r="G26" s="1186"/>
      <c r="H26" s="1186"/>
      <c r="I26" s="1186"/>
      <c r="J26" s="1186"/>
      <c r="K26" s="1186"/>
      <c r="L26" s="1186"/>
      <c r="M26" s="1186"/>
      <c r="N26" s="1186"/>
      <c r="O26" s="1186"/>
      <c r="P26" s="1186"/>
      <c r="Q26" s="1186"/>
      <c r="R26" s="1186"/>
      <c r="S26" s="1186"/>
      <c r="T26" s="1186"/>
      <c r="U26" s="1186"/>
      <c r="V26" s="1186"/>
      <c r="W26" s="1186"/>
      <c r="X26" s="1186"/>
      <c r="Y26" s="1186"/>
      <c r="Z26" s="1186"/>
      <c r="AA26" s="1186"/>
      <c r="AB26" s="1186"/>
      <c r="AC26" s="1186"/>
      <c r="AD26" s="1186"/>
      <c r="AE26" s="1186"/>
      <c r="AF26" s="1186"/>
      <c r="AG26" s="1186"/>
      <c r="AH26" s="1186"/>
      <c r="AI26" s="1529">
        <f t="shared" si="1"/>
        <v>0</v>
      </c>
      <c r="AJ26" s="1466"/>
      <c r="AK26" s="615"/>
    </row>
    <row r="27" spans="1:37" s="156" customFormat="1" ht="16.149999999999999" customHeight="1" outlineLevel="1">
      <c r="A27" s="1182">
        <v>18</v>
      </c>
      <c r="B27" s="1182" t="e">
        <f>VLOOKUP(C27,'DS CN MOI UP'!$B$10:$C$347,2,0)</f>
        <v>#N/A</v>
      </c>
      <c r="C27" s="1185" t="s">
        <v>400</v>
      </c>
      <c r="D27" s="1186"/>
      <c r="E27" s="1186"/>
      <c r="F27" s="1186"/>
      <c r="G27" s="1186"/>
      <c r="H27" s="1186"/>
      <c r="I27" s="1186"/>
      <c r="J27" s="1186"/>
      <c r="K27" s="1186"/>
      <c r="L27" s="1186"/>
      <c r="M27" s="1186"/>
      <c r="N27" s="1186"/>
      <c r="O27" s="1186"/>
      <c r="P27" s="1186"/>
      <c r="Q27" s="1186"/>
      <c r="R27" s="1186"/>
      <c r="S27" s="1186"/>
      <c r="T27" s="1186"/>
      <c r="U27" s="1186"/>
      <c r="V27" s="1186"/>
      <c r="W27" s="1186"/>
      <c r="X27" s="1186"/>
      <c r="Y27" s="1186"/>
      <c r="Z27" s="1186"/>
      <c r="AA27" s="1186"/>
      <c r="AB27" s="1186"/>
      <c r="AC27" s="1186"/>
      <c r="AD27" s="1186"/>
      <c r="AE27" s="1186"/>
      <c r="AF27" s="1186"/>
      <c r="AG27" s="1186"/>
      <c r="AH27" s="1186"/>
      <c r="AI27" s="1529">
        <f t="shared" si="1"/>
        <v>0</v>
      </c>
      <c r="AJ27" s="1466"/>
      <c r="AK27" s="615"/>
    </row>
    <row r="28" spans="1:37" s="156" customFormat="1" ht="16.149999999999999" customHeight="1" outlineLevel="1">
      <c r="A28" s="1182">
        <v>19</v>
      </c>
      <c r="B28" s="1182" t="e">
        <f>VLOOKUP(C28,'DS CN MOI UP'!$B$10:$C$347,2,0)</f>
        <v>#N/A</v>
      </c>
      <c r="C28" s="1185" t="s">
        <v>401</v>
      </c>
      <c r="D28" s="1186"/>
      <c r="E28" s="1186"/>
      <c r="F28" s="1186"/>
      <c r="G28" s="1186"/>
      <c r="H28" s="1186"/>
      <c r="I28" s="1186"/>
      <c r="J28" s="1186"/>
      <c r="K28" s="1186"/>
      <c r="L28" s="1186"/>
      <c r="M28" s="1186"/>
      <c r="N28" s="1186"/>
      <c r="O28" s="1186"/>
      <c r="P28" s="1186"/>
      <c r="Q28" s="1186"/>
      <c r="R28" s="1186"/>
      <c r="S28" s="1186"/>
      <c r="T28" s="1186"/>
      <c r="U28" s="1186"/>
      <c r="V28" s="1186"/>
      <c r="W28" s="1186"/>
      <c r="X28" s="1186"/>
      <c r="Y28" s="1186"/>
      <c r="Z28" s="1186"/>
      <c r="AA28" s="1186"/>
      <c r="AB28" s="1186"/>
      <c r="AC28" s="1186"/>
      <c r="AD28" s="1186"/>
      <c r="AE28" s="1186"/>
      <c r="AF28" s="1186"/>
      <c r="AG28" s="1186"/>
      <c r="AH28" s="1186"/>
      <c r="AI28" s="1529">
        <f t="shared" si="1"/>
        <v>0</v>
      </c>
      <c r="AJ28" s="1466"/>
      <c r="AK28" s="615"/>
    </row>
    <row r="29" spans="1:37" s="156" customFormat="1" ht="16.149999999999999" customHeight="1" outlineLevel="1">
      <c r="A29" s="1182">
        <v>20</v>
      </c>
      <c r="B29" s="1182" t="e">
        <f>VLOOKUP(C29,'DS CN MOI UP'!$B$10:$C$347,2,0)</f>
        <v>#N/A</v>
      </c>
      <c r="C29" s="1185" t="s">
        <v>402</v>
      </c>
      <c r="D29" s="1186"/>
      <c r="E29" s="1186"/>
      <c r="F29" s="1186"/>
      <c r="G29" s="1186"/>
      <c r="H29" s="1186"/>
      <c r="I29" s="1186"/>
      <c r="J29" s="1186"/>
      <c r="K29" s="1186"/>
      <c r="L29" s="1186"/>
      <c r="M29" s="1186"/>
      <c r="N29" s="1186"/>
      <c r="O29" s="1186"/>
      <c r="P29" s="1186"/>
      <c r="Q29" s="1186"/>
      <c r="R29" s="1186"/>
      <c r="S29" s="1186"/>
      <c r="T29" s="1186"/>
      <c r="U29" s="1186"/>
      <c r="V29" s="1186"/>
      <c r="W29" s="1186"/>
      <c r="X29" s="1186"/>
      <c r="Y29" s="1186"/>
      <c r="Z29" s="1186"/>
      <c r="AA29" s="1186"/>
      <c r="AB29" s="1186"/>
      <c r="AC29" s="1186"/>
      <c r="AD29" s="1186"/>
      <c r="AE29" s="1186"/>
      <c r="AF29" s="1186"/>
      <c r="AG29" s="1186"/>
      <c r="AH29" s="1186"/>
      <c r="AI29" s="1529">
        <f t="shared" si="1"/>
        <v>0</v>
      </c>
      <c r="AJ29" s="1466"/>
      <c r="AK29" s="615"/>
    </row>
    <row r="30" spans="1:37" s="156" customFormat="1" ht="16.149999999999999" customHeight="1" outlineLevel="1">
      <c r="A30" s="1182">
        <v>21</v>
      </c>
      <c r="B30" s="1182" t="e">
        <f>VLOOKUP(C30,'DS CN MOI UP'!$B$10:$C$347,2,0)</f>
        <v>#N/A</v>
      </c>
      <c r="C30" s="1185" t="s">
        <v>403</v>
      </c>
      <c r="D30" s="1186"/>
      <c r="E30" s="1186"/>
      <c r="F30" s="1186"/>
      <c r="G30" s="1186"/>
      <c r="H30" s="1186"/>
      <c r="I30" s="1186"/>
      <c r="J30" s="1186"/>
      <c r="K30" s="1186"/>
      <c r="L30" s="1186"/>
      <c r="M30" s="1186"/>
      <c r="N30" s="1186"/>
      <c r="O30" s="1186"/>
      <c r="P30" s="1186"/>
      <c r="Q30" s="1186"/>
      <c r="R30" s="1186"/>
      <c r="S30" s="1186"/>
      <c r="T30" s="1186"/>
      <c r="U30" s="1186"/>
      <c r="V30" s="1186"/>
      <c r="W30" s="1186"/>
      <c r="X30" s="1186"/>
      <c r="Y30" s="1186"/>
      <c r="Z30" s="1186"/>
      <c r="AA30" s="1186"/>
      <c r="AB30" s="1186"/>
      <c r="AC30" s="1186"/>
      <c r="AD30" s="1186"/>
      <c r="AE30" s="1186"/>
      <c r="AF30" s="1186"/>
      <c r="AG30" s="1186"/>
      <c r="AH30" s="1186"/>
      <c r="AI30" s="1529">
        <f t="shared" si="1"/>
        <v>0</v>
      </c>
      <c r="AJ30" s="1466"/>
      <c r="AK30" s="615"/>
    </row>
    <row r="31" spans="1:37" s="156" customFormat="1" ht="16.149999999999999" customHeight="1" outlineLevel="1">
      <c r="A31" s="1182">
        <v>22</v>
      </c>
      <c r="B31" s="1182" t="e">
        <f>VLOOKUP(C31,'DS CN MOI UP'!$B$10:$C$347,2,0)</f>
        <v>#N/A</v>
      </c>
      <c r="C31" s="1185" t="s">
        <v>404</v>
      </c>
      <c r="D31" s="1186"/>
      <c r="E31" s="1186"/>
      <c r="F31" s="1186"/>
      <c r="G31" s="1186"/>
      <c r="H31" s="1186"/>
      <c r="I31" s="1186"/>
      <c r="J31" s="1186"/>
      <c r="K31" s="1186"/>
      <c r="L31" s="1186"/>
      <c r="M31" s="1186"/>
      <c r="N31" s="1186"/>
      <c r="O31" s="1186"/>
      <c r="P31" s="1186"/>
      <c r="Q31" s="1186"/>
      <c r="R31" s="1186"/>
      <c r="S31" s="1186"/>
      <c r="T31" s="1186"/>
      <c r="U31" s="1186"/>
      <c r="V31" s="1186"/>
      <c r="W31" s="1186"/>
      <c r="X31" s="1186"/>
      <c r="Y31" s="1186"/>
      <c r="Z31" s="1186"/>
      <c r="AA31" s="1186"/>
      <c r="AB31" s="1186"/>
      <c r="AC31" s="1186"/>
      <c r="AD31" s="1186"/>
      <c r="AE31" s="1186"/>
      <c r="AF31" s="1186"/>
      <c r="AG31" s="1186"/>
      <c r="AH31" s="1186"/>
      <c r="AI31" s="1529">
        <f t="shared" si="1"/>
        <v>0</v>
      </c>
      <c r="AJ31" s="1466"/>
      <c r="AK31" s="615"/>
    </row>
    <row r="32" spans="1:37" s="156" customFormat="1" ht="16.149999999999999" customHeight="1" outlineLevel="1">
      <c r="A32" s="1182">
        <v>23</v>
      </c>
      <c r="B32" s="1182" t="e">
        <f>VLOOKUP(C32,'DS CN MOI UP'!$B$10:$C$347,2,0)</f>
        <v>#N/A</v>
      </c>
      <c r="C32" s="1185" t="s">
        <v>405</v>
      </c>
      <c r="D32" s="1186"/>
      <c r="E32" s="1186"/>
      <c r="F32" s="1186"/>
      <c r="G32" s="1186"/>
      <c r="H32" s="1186"/>
      <c r="I32" s="1186"/>
      <c r="J32" s="1186"/>
      <c r="K32" s="1186"/>
      <c r="L32" s="1186"/>
      <c r="M32" s="1186"/>
      <c r="N32" s="1186"/>
      <c r="O32" s="1186"/>
      <c r="P32" s="1186"/>
      <c r="Q32" s="1186"/>
      <c r="R32" s="1186"/>
      <c r="S32" s="1186"/>
      <c r="T32" s="1186"/>
      <c r="U32" s="1186"/>
      <c r="V32" s="1186"/>
      <c r="W32" s="1186"/>
      <c r="X32" s="1186"/>
      <c r="Y32" s="1186"/>
      <c r="Z32" s="1186"/>
      <c r="AA32" s="1186"/>
      <c r="AB32" s="1186"/>
      <c r="AC32" s="1186"/>
      <c r="AD32" s="1186"/>
      <c r="AE32" s="1186"/>
      <c r="AF32" s="1186"/>
      <c r="AG32" s="1186"/>
      <c r="AH32" s="1186"/>
      <c r="AI32" s="1529">
        <f t="shared" si="1"/>
        <v>0</v>
      </c>
      <c r="AJ32" s="1466"/>
      <c r="AK32" s="615"/>
    </row>
    <row r="33" spans="1:37" s="156" customFormat="1" ht="16.149999999999999" customHeight="1" outlineLevel="1">
      <c r="A33" s="1182">
        <v>24</v>
      </c>
      <c r="B33" s="1182" t="e">
        <f>VLOOKUP(C33,'DS CN MOI UP'!$B$10:$C$347,2,0)</f>
        <v>#N/A</v>
      </c>
      <c r="C33" s="1185" t="s">
        <v>406</v>
      </c>
      <c r="D33" s="1186"/>
      <c r="E33" s="1186"/>
      <c r="F33" s="1186"/>
      <c r="G33" s="1186"/>
      <c r="H33" s="1186"/>
      <c r="I33" s="1186"/>
      <c r="J33" s="1186"/>
      <c r="K33" s="1186"/>
      <c r="L33" s="1186"/>
      <c r="M33" s="1186"/>
      <c r="N33" s="1186"/>
      <c r="O33" s="1186"/>
      <c r="P33" s="1186"/>
      <c r="Q33" s="1186"/>
      <c r="R33" s="1186"/>
      <c r="S33" s="1186"/>
      <c r="T33" s="1186"/>
      <c r="U33" s="1186"/>
      <c r="V33" s="1186"/>
      <c r="W33" s="1186"/>
      <c r="X33" s="1186"/>
      <c r="Y33" s="1186"/>
      <c r="Z33" s="1186"/>
      <c r="AA33" s="1186"/>
      <c r="AB33" s="1186"/>
      <c r="AC33" s="1186"/>
      <c r="AD33" s="1186"/>
      <c r="AE33" s="1186"/>
      <c r="AF33" s="1186"/>
      <c r="AG33" s="1186"/>
      <c r="AH33" s="1186"/>
      <c r="AI33" s="1529">
        <f t="shared" si="1"/>
        <v>0</v>
      </c>
      <c r="AJ33" s="1466"/>
      <c r="AK33" s="615"/>
    </row>
    <row r="34" spans="1:37" s="156" customFormat="1" ht="16.149999999999999" customHeight="1" outlineLevel="1">
      <c r="A34" s="1182">
        <v>25</v>
      </c>
      <c r="B34" s="1182" t="e">
        <f>VLOOKUP(C34,'DS CN MOI UP'!$B$10:$C$347,2,0)</f>
        <v>#N/A</v>
      </c>
      <c r="C34" s="1185" t="s">
        <v>407</v>
      </c>
      <c r="D34" s="1186"/>
      <c r="E34" s="1186"/>
      <c r="F34" s="1186"/>
      <c r="G34" s="1186"/>
      <c r="H34" s="1186"/>
      <c r="I34" s="1186"/>
      <c r="J34" s="1186"/>
      <c r="K34" s="1186"/>
      <c r="L34" s="1186"/>
      <c r="M34" s="1186"/>
      <c r="N34" s="1186"/>
      <c r="O34" s="1186"/>
      <c r="P34" s="1186"/>
      <c r="Q34" s="1186"/>
      <c r="R34" s="1186"/>
      <c r="S34" s="1186"/>
      <c r="T34" s="1186"/>
      <c r="U34" s="1186"/>
      <c r="V34" s="1186"/>
      <c r="W34" s="1186"/>
      <c r="X34" s="1186"/>
      <c r="Y34" s="1186"/>
      <c r="Z34" s="1186"/>
      <c r="AA34" s="1186"/>
      <c r="AB34" s="1186"/>
      <c r="AC34" s="1186"/>
      <c r="AD34" s="1186"/>
      <c r="AE34" s="1186"/>
      <c r="AF34" s="1186"/>
      <c r="AG34" s="1186"/>
      <c r="AH34" s="1186"/>
      <c r="AI34" s="1529">
        <f t="shared" si="1"/>
        <v>0</v>
      </c>
      <c r="AJ34" s="1466"/>
      <c r="AK34" s="615"/>
    </row>
    <row r="35" spans="1:37" s="156" customFormat="1" ht="16.149999999999999" customHeight="1" outlineLevel="1">
      <c r="A35" s="1182">
        <v>26</v>
      </c>
      <c r="B35" s="1182" t="e">
        <f>VLOOKUP(C35,'DS CN MOI UP'!$B$10:$C$347,2,0)</f>
        <v>#N/A</v>
      </c>
      <c r="C35" s="1185" t="s">
        <v>408</v>
      </c>
      <c r="D35" s="1186"/>
      <c r="E35" s="1186"/>
      <c r="F35" s="1186"/>
      <c r="G35" s="1186"/>
      <c r="H35" s="1186"/>
      <c r="I35" s="1186"/>
      <c r="J35" s="1186"/>
      <c r="K35" s="1186"/>
      <c r="L35" s="1186"/>
      <c r="M35" s="1186"/>
      <c r="N35" s="1186"/>
      <c r="O35" s="1186"/>
      <c r="P35" s="1186"/>
      <c r="Q35" s="1186"/>
      <c r="R35" s="1186"/>
      <c r="S35" s="1186"/>
      <c r="T35" s="1186"/>
      <c r="U35" s="1186"/>
      <c r="V35" s="1186"/>
      <c r="W35" s="1186"/>
      <c r="X35" s="1186"/>
      <c r="Y35" s="1186"/>
      <c r="Z35" s="1186"/>
      <c r="AA35" s="1186"/>
      <c r="AB35" s="1186"/>
      <c r="AC35" s="1186"/>
      <c r="AD35" s="1186"/>
      <c r="AE35" s="1186"/>
      <c r="AF35" s="1186"/>
      <c r="AG35" s="1186"/>
      <c r="AH35" s="1186"/>
      <c r="AI35" s="1529">
        <f t="shared" si="1"/>
        <v>0</v>
      </c>
      <c r="AJ35" s="1466"/>
      <c r="AK35" s="615"/>
    </row>
    <row r="36" spans="1:37" s="156" customFormat="1" ht="16.149999999999999" customHeight="1" outlineLevel="1">
      <c r="A36" s="1182">
        <v>27</v>
      </c>
      <c r="B36" s="1182" t="e">
        <f>VLOOKUP(C36,'DS CN MOI UP'!$B$10:$C$347,2,0)</f>
        <v>#N/A</v>
      </c>
      <c r="C36" s="1185" t="s">
        <v>1939</v>
      </c>
      <c r="D36" s="1186"/>
      <c r="E36" s="1186"/>
      <c r="F36" s="1186"/>
      <c r="G36" s="1186"/>
      <c r="H36" s="1186"/>
      <c r="I36" s="1186"/>
      <c r="J36" s="1186"/>
      <c r="K36" s="1186"/>
      <c r="L36" s="1186"/>
      <c r="M36" s="1186"/>
      <c r="N36" s="1186"/>
      <c r="O36" s="1186"/>
      <c r="P36" s="1186"/>
      <c r="Q36" s="1186"/>
      <c r="R36" s="1186"/>
      <c r="S36" s="1186"/>
      <c r="T36" s="1186"/>
      <c r="U36" s="1186"/>
      <c r="V36" s="1186"/>
      <c r="W36" s="1186"/>
      <c r="X36" s="1186"/>
      <c r="Y36" s="1186"/>
      <c r="Z36" s="1186"/>
      <c r="AA36" s="1186"/>
      <c r="AB36" s="1186"/>
      <c r="AC36" s="1186"/>
      <c r="AD36" s="1186"/>
      <c r="AE36" s="1186"/>
      <c r="AF36" s="1186"/>
      <c r="AG36" s="1186"/>
      <c r="AH36" s="1186"/>
      <c r="AI36" s="1529">
        <f t="shared" si="1"/>
        <v>0</v>
      </c>
      <c r="AJ36" s="1466"/>
      <c r="AK36" s="615"/>
    </row>
    <row r="37" spans="1:37" s="156" customFormat="1" ht="16.149999999999999" customHeight="1" outlineLevel="1">
      <c r="A37" s="1182">
        <v>28</v>
      </c>
      <c r="B37" s="1182" t="e">
        <f>VLOOKUP(C37,'DS CN MOI UP'!$B$10:$C$347,2,0)</f>
        <v>#N/A</v>
      </c>
      <c r="C37" s="1185" t="s">
        <v>410</v>
      </c>
      <c r="D37" s="1186"/>
      <c r="E37" s="1186"/>
      <c r="F37" s="1186"/>
      <c r="G37" s="1186"/>
      <c r="H37" s="1186"/>
      <c r="I37" s="1186"/>
      <c r="J37" s="1186"/>
      <c r="K37" s="1186"/>
      <c r="L37" s="1186"/>
      <c r="M37" s="1186"/>
      <c r="N37" s="1186"/>
      <c r="O37" s="1186"/>
      <c r="P37" s="1186"/>
      <c r="Q37" s="1186"/>
      <c r="R37" s="1186"/>
      <c r="S37" s="1186"/>
      <c r="T37" s="1186"/>
      <c r="U37" s="1186"/>
      <c r="V37" s="1186"/>
      <c r="W37" s="1186"/>
      <c r="X37" s="1186"/>
      <c r="Y37" s="1186"/>
      <c r="Z37" s="1186"/>
      <c r="AA37" s="1186"/>
      <c r="AB37" s="1186"/>
      <c r="AC37" s="1186"/>
      <c r="AD37" s="1186"/>
      <c r="AE37" s="1186"/>
      <c r="AF37" s="1186"/>
      <c r="AG37" s="1186"/>
      <c r="AH37" s="1186"/>
      <c r="AI37" s="1529">
        <f t="shared" si="1"/>
        <v>0</v>
      </c>
      <c r="AJ37" s="1466"/>
      <c r="AK37" s="615"/>
    </row>
    <row r="38" spans="1:37" s="156" customFormat="1" ht="16.149999999999999" customHeight="1" outlineLevel="1">
      <c r="A38" s="1182">
        <v>29</v>
      </c>
      <c r="B38" s="1182" t="e">
        <f>VLOOKUP(C38,'DS CN MOI UP'!$B$10:$C$347,2,0)</f>
        <v>#N/A</v>
      </c>
      <c r="C38" s="1185" t="s">
        <v>411</v>
      </c>
      <c r="D38" s="1186"/>
      <c r="E38" s="1186"/>
      <c r="F38" s="1186"/>
      <c r="G38" s="1186"/>
      <c r="H38" s="1186"/>
      <c r="I38" s="1186"/>
      <c r="J38" s="1186"/>
      <c r="K38" s="1186"/>
      <c r="L38" s="1186"/>
      <c r="M38" s="1186"/>
      <c r="N38" s="1186"/>
      <c r="O38" s="1186"/>
      <c r="P38" s="1186"/>
      <c r="Q38" s="1186"/>
      <c r="R38" s="1186"/>
      <c r="S38" s="1186"/>
      <c r="T38" s="1186"/>
      <c r="U38" s="1186"/>
      <c r="V38" s="1186"/>
      <c r="W38" s="1186"/>
      <c r="X38" s="1186"/>
      <c r="Y38" s="1186"/>
      <c r="Z38" s="1186"/>
      <c r="AA38" s="1186"/>
      <c r="AB38" s="1186"/>
      <c r="AC38" s="1186"/>
      <c r="AD38" s="1186"/>
      <c r="AE38" s="1186"/>
      <c r="AF38" s="1186"/>
      <c r="AG38" s="1186"/>
      <c r="AH38" s="1186"/>
      <c r="AI38" s="1529">
        <f t="shared" si="1"/>
        <v>0</v>
      </c>
      <c r="AJ38" s="1466"/>
      <c r="AK38" s="615"/>
    </row>
    <row r="39" spans="1:37" s="156" customFormat="1" ht="16.149999999999999" customHeight="1" outlineLevel="1">
      <c r="A39" s="1182">
        <v>30</v>
      </c>
      <c r="B39" s="1182" t="e">
        <f>VLOOKUP(C39,'DS CN MOI UP'!$B$10:$C$347,2,0)</f>
        <v>#N/A</v>
      </c>
      <c r="C39" s="1185" t="s">
        <v>412</v>
      </c>
      <c r="D39" s="1186"/>
      <c r="E39" s="1186"/>
      <c r="F39" s="1186"/>
      <c r="G39" s="1186"/>
      <c r="H39" s="1186"/>
      <c r="I39" s="1186"/>
      <c r="J39" s="1186"/>
      <c r="K39" s="1186"/>
      <c r="L39" s="1186"/>
      <c r="M39" s="1186"/>
      <c r="N39" s="1186"/>
      <c r="O39" s="1186"/>
      <c r="P39" s="1186"/>
      <c r="Q39" s="1186"/>
      <c r="R39" s="1186"/>
      <c r="S39" s="1186"/>
      <c r="T39" s="1186"/>
      <c r="U39" s="1186"/>
      <c r="V39" s="1186"/>
      <c r="W39" s="1186"/>
      <c r="X39" s="1186"/>
      <c r="Y39" s="1186"/>
      <c r="Z39" s="1186"/>
      <c r="AA39" s="1186"/>
      <c r="AB39" s="1186"/>
      <c r="AC39" s="1186"/>
      <c r="AD39" s="1186"/>
      <c r="AE39" s="1186"/>
      <c r="AF39" s="1186"/>
      <c r="AG39" s="1186"/>
      <c r="AH39" s="1186"/>
      <c r="AI39" s="1529">
        <f t="shared" si="1"/>
        <v>0</v>
      </c>
      <c r="AJ39" s="1466"/>
      <c r="AK39" s="615"/>
    </row>
    <row r="40" spans="1:37" s="156" customFormat="1" ht="16.149999999999999" customHeight="1" outlineLevel="1">
      <c r="A40" s="1182">
        <v>31</v>
      </c>
      <c r="B40" s="1182" t="e">
        <f>VLOOKUP(C40,'DS CN MOI UP'!$B$10:$C$347,2,0)</f>
        <v>#N/A</v>
      </c>
      <c r="C40" s="1185" t="s">
        <v>413</v>
      </c>
      <c r="D40" s="1186"/>
      <c r="E40" s="1186"/>
      <c r="F40" s="1186"/>
      <c r="G40" s="1186"/>
      <c r="H40" s="1186"/>
      <c r="I40" s="1186"/>
      <c r="J40" s="1186"/>
      <c r="K40" s="1186"/>
      <c r="L40" s="1186"/>
      <c r="M40" s="1186"/>
      <c r="N40" s="1186"/>
      <c r="O40" s="1186"/>
      <c r="P40" s="1186"/>
      <c r="Q40" s="1186"/>
      <c r="R40" s="1186"/>
      <c r="S40" s="1186"/>
      <c r="T40" s="1186"/>
      <c r="U40" s="1186"/>
      <c r="V40" s="1186"/>
      <c r="W40" s="1186"/>
      <c r="X40" s="1186"/>
      <c r="Y40" s="1186"/>
      <c r="Z40" s="1186"/>
      <c r="AA40" s="1186"/>
      <c r="AB40" s="1186"/>
      <c r="AC40" s="1186"/>
      <c r="AD40" s="1186"/>
      <c r="AE40" s="1186"/>
      <c r="AF40" s="1186"/>
      <c r="AG40" s="1186"/>
      <c r="AH40" s="1186"/>
      <c r="AI40" s="1529">
        <f t="shared" si="1"/>
        <v>0</v>
      </c>
      <c r="AJ40" s="1466"/>
      <c r="AK40" s="615"/>
    </row>
    <row r="41" spans="1:37" s="156" customFormat="1" ht="16.149999999999999" customHeight="1" outlineLevel="1">
      <c r="A41" s="1182">
        <v>32</v>
      </c>
      <c r="B41" s="1182" t="e">
        <f>VLOOKUP(C41,'DS CN MOI UP'!$B$10:$C$347,2,0)</f>
        <v>#N/A</v>
      </c>
      <c r="C41" s="1185" t="s">
        <v>414</v>
      </c>
      <c r="D41" s="1186"/>
      <c r="E41" s="1186"/>
      <c r="F41" s="1186"/>
      <c r="G41" s="1186"/>
      <c r="H41" s="1186"/>
      <c r="I41" s="1186"/>
      <c r="J41" s="1186"/>
      <c r="K41" s="1186"/>
      <c r="L41" s="1186"/>
      <c r="M41" s="1186"/>
      <c r="N41" s="1186"/>
      <c r="O41" s="1186"/>
      <c r="P41" s="1186"/>
      <c r="Q41" s="1186"/>
      <c r="R41" s="1186"/>
      <c r="S41" s="1186"/>
      <c r="T41" s="1186"/>
      <c r="U41" s="1186"/>
      <c r="V41" s="1186"/>
      <c r="W41" s="1186"/>
      <c r="X41" s="1186"/>
      <c r="Y41" s="1186"/>
      <c r="Z41" s="1186"/>
      <c r="AA41" s="1186"/>
      <c r="AB41" s="1186"/>
      <c r="AC41" s="1186"/>
      <c r="AD41" s="1186"/>
      <c r="AE41" s="1186"/>
      <c r="AF41" s="1186"/>
      <c r="AG41" s="1186"/>
      <c r="AH41" s="1186"/>
      <c r="AI41" s="1529">
        <f t="shared" si="1"/>
        <v>0</v>
      </c>
      <c r="AJ41" s="1466"/>
      <c r="AK41" s="615"/>
    </row>
    <row r="42" spans="1:37" s="156" customFormat="1" ht="16.149999999999999" customHeight="1" outlineLevel="1">
      <c r="A42" s="1182">
        <v>33</v>
      </c>
      <c r="B42" s="1182" t="e">
        <f>VLOOKUP(C42,'DS CN MOI UP'!$B$10:$C$347,2,0)</f>
        <v>#N/A</v>
      </c>
      <c r="C42" s="1185" t="s">
        <v>415</v>
      </c>
      <c r="D42" s="1186"/>
      <c r="E42" s="1186"/>
      <c r="F42" s="1186"/>
      <c r="G42" s="1186"/>
      <c r="H42" s="1186"/>
      <c r="I42" s="1186"/>
      <c r="J42" s="1186"/>
      <c r="K42" s="1186"/>
      <c r="L42" s="1186"/>
      <c r="M42" s="1186"/>
      <c r="N42" s="1186"/>
      <c r="O42" s="1186"/>
      <c r="P42" s="1186"/>
      <c r="Q42" s="1186"/>
      <c r="R42" s="1186"/>
      <c r="S42" s="1186"/>
      <c r="T42" s="1186"/>
      <c r="U42" s="1186"/>
      <c r="V42" s="1186"/>
      <c r="W42" s="1186"/>
      <c r="X42" s="1186"/>
      <c r="Y42" s="1186"/>
      <c r="Z42" s="1186"/>
      <c r="AA42" s="1186"/>
      <c r="AB42" s="1186"/>
      <c r="AC42" s="1186"/>
      <c r="AD42" s="1186"/>
      <c r="AE42" s="1186"/>
      <c r="AF42" s="1186"/>
      <c r="AG42" s="1186"/>
      <c r="AH42" s="1186"/>
      <c r="AI42" s="1529">
        <f t="shared" si="1"/>
        <v>0</v>
      </c>
      <c r="AJ42" s="1466"/>
      <c r="AK42" s="615"/>
    </row>
    <row r="43" spans="1:37" s="156" customFormat="1" ht="16.149999999999999" customHeight="1" outlineLevel="1">
      <c r="A43" s="1182">
        <v>34</v>
      </c>
      <c r="B43" s="1182" t="e">
        <f>VLOOKUP(C43,'DS CN MOI UP'!$B$10:$C$347,2,0)</f>
        <v>#N/A</v>
      </c>
      <c r="C43" s="1185" t="s">
        <v>1940</v>
      </c>
      <c r="D43" s="1186"/>
      <c r="E43" s="1186"/>
      <c r="F43" s="1186"/>
      <c r="G43" s="1186"/>
      <c r="H43" s="1186"/>
      <c r="I43" s="1186"/>
      <c r="J43" s="1186"/>
      <c r="K43" s="1186"/>
      <c r="L43" s="1186"/>
      <c r="M43" s="1186"/>
      <c r="N43" s="1186"/>
      <c r="O43" s="1186"/>
      <c r="P43" s="1186"/>
      <c r="Q43" s="1186"/>
      <c r="R43" s="1186"/>
      <c r="S43" s="1186"/>
      <c r="T43" s="1186"/>
      <c r="U43" s="1186"/>
      <c r="V43" s="1186"/>
      <c r="W43" s="1186"/>
      <c r="X43" s="1186"/>
      <c r="Y43" s="1186"/>
      <c r="Z43" s="1186"/>
      <c r="AA43" s="1186"/>
      <c r="AB43" s="1186"/>
      <c r="AC43" s="1186"/>
      <c r="AD43" s="1186"/>
      <c r="AE43" s="1186"/>
      <c r="AF43" s="1186"/>
      <c r="AG43" s="1186"/>
      <c r="AH43" s="1186"/>
      <c r="AI43" s="1529">
        <f t="shared" si="1"/>
        <v>0</v>
      </c>
      <c r="AJ43" s="1466"/>
      <c r="AK43" s="615"/>
    </row>
    <row r="44" spans="1:37" s="156" customFormat="1" ht="16.149999999999999" customHeight="1" outlineLevel="1">
      <c r="A44" s="1182">
        <v>35</v>
      </c>
      <c r="B44" s="1182" t="e">
        <f>VLOOKUP(C44,'DS CN MOI UP'!$B$10:$C$347,2,0)</f>
        <v>#N/A</v>
      </c>
      <c r="C44" s="1185" t="s">
        <v>417</v>
      </c>
      <c r="D44" s="1186"/>
      <c r="E44" s="1186"/>
      <c r="F44" s="1186"/>
      <c r="G44" s="1186"/>
      <c r="H44" s="1186"/>
      <c r="I44" s="1186"/>
      <c r="J44" s="1186"/>
      <c r="K44" s="1186"/>
      <c r="L44" s="1186"/>
      <c r="M44" s="1186"/>
      <c r="N44" s="1186"/>
      <c r="O44" s="1186"/>
      <c r="P44" s="1186"/>
      <c r="Q44" s="1186"/>
      <c r="R44" s="1186"/>
      <c r="S44" s="1186"/>
      <c r="T44" s="1186"/>
      <c r="U44" s="1186"/>
      <c r="V44" s="1186"/>
      <c r="W44" s="1186"/>
      <c r="X44" s="1186"/>
      <c r="Y44" s="1186"/>
      <c r="Z44" s="1186"/>
      <c r="AA44" s="1186"/>
      <c r="AB44" s="1186"/>
      <c r="AC44" s="1186"/>
      <c r="AD44" s="1186"/>
      <c r="AE44" s="1186"/>
      <c r="AF44" s="1186"/>
      <c r="AG44" s="1186"/>
      <c r="AH44" s="1186"/>
      <c r="AI44" s="1529">
        <f t="shared" si="1"/>
        <v>0</v>
      </c>
      <c r="AJ44" s="1466"/>
      <c r="AK44" s="615"/>
    </row>
    <row r="45" spans="1:37" s="156" customFormat="1" ht="16.149999999999999" customHeight="1" outlineLevel="1">
      <c r="A45" s="1182">
        <v>36</v>
      </c>
      <c r="B45" s="1182" t="e">
        <f>VLOOKUP(C45,'DS CN MOI UP'!$B$10:$C$347,2,0)</f>
        <v>#N/A</v>
      </c>
      <c r="C45" s="1185" t="s">
        <v>418</v>
      </c>
      <c r="D45" s="1186"/>
      <c r="E45" s="1186"/>
      <c r="F45" s="1186"/>
      <c r="G45" s="1186"/>
      <c r="H45" s="1186"/>
      <c r="I45" s="1186"/>
      <c r="J45" s="1186"/>
      <c r="K45" s="1186"/>
      <c r="L45" s="1186"/>
      <c r="M45" s="1186"/>
      <c r="N45" s="1186"/>
      <c r="O45" s="1186"/>
      <c r="P45" s="1186"/>
      <c r="Q45" s="1186"/>
      <c r="R45" s="1186"/>
      <c r="S45" s="1186"/>
      <c r="T45" s="1186"/>
      <c r="U45" s="1186"/>
      <c r="V45" s="1186"/>
      <c r="W45" s="1186"/>
      <c r="X45" s="1186"/>
      <c r="Y45" s="1186"/>
      <c r="Z45" s="1186"/>
      <c r="AA45" s="1186"/>
      <c r="AB45" s="1186"/>
      <c r="AC45" s="1186"/>
      <c r="AD45" s="1186"/>
      <c r="AE45" s="1186"/>
      <c r="AF45" s="1186"/>
      <c r="AG45" s="1186"/>
      <c r="AH45" s="1186"/>
      <c r="AI45" s="1529">
        <f t="shared" si="1"/>
        <v>0</v>
      </c>
      <c r="AJ45" s="1466"/>
      <c r="AK45" s="615"/>
    </row>
    <row r="46" spans="1:37" s="156" customFormat="1" ht="16.149999999999999" customHeight="1" outlineLevel="1">
      <c r="A46" s="1182">
        <v>37</v>
      </c>
      <c r="B46" s="1182" t="e">
        <f>VLOOKUP(C46,'DS CN MOI UP'!$B$10:$C$347,2,0)</f>
        <v>#N/A</v>
      </c>
      <c r="C46" s="1185" t="s">
        <v>419</v>
      </c>
      <c r="D46" s="1186"/>
      <c r="E46" s="1186"/>
      <c r="F46" s="1186"/>
      <c r="G46" s="1186"/>
      <c r="H46" s="1186"/>
      <c r="I46" s="1186"/>
      <c r="J46" s="1186"/>
      <c r="K46" s="1186"/>
      <c r="L46" s="1186"/>
      <c r="M46" s="1186"/>
      <c r="N46" s="1186"/>
      <c r="O46" s="1186"/>
      <c r="P46" s="1186"/>
      <c r="Q46" s="1186"/>
      <c r="R46" s="1186"/>
      <c r="S46" s="1186"/>
      <c r="T46" s="1186"/>
      <c r="U46" s="1186"/>
      <c r="V46" s="1186"/>
      <c r="W46" s="1186"/>
      <c r="X46" s="1186"/>
      <c r="Y46" s="1186"/>
      <c r="Z46" s="1186"/>
      <c r="AA46" s="1186"/>
      <c r="AB46" s="1186"/>
      <c r="AC46" s="1186"/>
      <c r="AD46" s="1186"/>
      <c r="AE46" s="1186"/>
      <c r="AF46" s="1186"/>
      <c r="AG46" s="1186"/>
      <c r="AH46" s="1186"/>
      <c r="AI46" s="1529">
        <f t="shared" si="1"/>
        <v>0</v>
      </c>
      <c r="AJ46" s="1466"/>
      <c r="AK46" s="615"/>
    </row>
    <row r="47" spans="1:37" s="156" customFormat="1" ht="16.149999999999999" customHeight="1" outlineLevel="1">
      <c r="A47" s="1182">
        <v>38</v>
      </c>
      <c r="B47" s="1182" t="e">
        <f>VLOOKUP(C47,'DS CN MOI UP'!$B$10:$C$347,2,0)</f>
        <v>#N/A</v>
      </c>
      <c r="C47" s="1185" t="s">
        <v>420</v>
      </c>
      <c r="D47" s="1186"/>
      <c r="E47" s="1186"/>
      <c r="F47" s="1186"/>
      <c r="G47" s="1186"/>
      <c r="H47" s="1186"/>
      <c r="I47" s="1186"/>
      <c r="J47" s="1186"/>
      <c r="K47" s="1186"/>
      <c r="L47" s="1186"/>
      <c r="M47" s="1186"/>
      <c r="N47" s="1186"/>
      <c r="O47" s="1186"/>
      <c r="P47" s="1186"/>
      <c r="Q47" s="1186"/>
      <c r="R47" s="1186"/>
      <c r="S47" s="1186"/>
      <c r="T47" s="1186"/>
      <c r="U47" s="1186"/>
      <c r="V47" s="1186"/>
      <c r="W47" s="1186"/>
      <c r="X47" s="1186"/>
      <c r="Y47" s="1186"/>
      <c r="Z47" s="1186"/>
      <c r="AA47" s="1186"/>
      <c r="AB47" s="1186"/>
      <c r="AC47" s="1186"/>
      <c r="AD47" s="1186"/>
      <c r="AE47" s="1186"/>
      <c r="AF47" s="1186"/>
      <c r="AG47" s="1186"/>
      <c r="AH47" s="1186"/>
      <c r="AI47" s="1529">
        <f t="shared" si="1"/>
        <v>0</v>
      </c>
      <c r="AJ47" s="1466"/>
      <c r="AK47" s="615"/>
    </row>
    <row r="48" spans="1:37" s="156" customFormat="1" ht="16.149999999999999" customHeight="1" outlineLevel="1">
      <c r="A48" s="1182">
        <v>39</v>
      </c>
      <c r="B48" s="1182" t="e">
        <f>VLOOKUP(C48,'DS CN MOI UP'!$B$10:$C$347,2,0)</f>
        <v>#N/A</v>
      </c>
      <c r="C48" s="1185" t="s">
        <v>421</v>
      </c>
      <c r="D48" s="1186"/>
      <c r="E48" s="1186"/>
      <c r="F48" s="1186"/>
      <c r="G48" s="1186"/>
      <c r="H48" s="1186"/>
      <c r="I48" s="1186"/>
      <c r="J48" s="1186"/>
      <c r="K48" s="1186"/>
      <c r="L48" s="1186"/>
      <c r="M48" s="1186"/>
      <c r="N48" s="1186"/>
      <c r="O48" s="1186"/>
      <c r="P48" s="1186"/>
      <c r="Q48" s="1186"/>
      <c r="R48" s="1186"/>
      <c r="S48" s="1186"/>
      <c r="T48" s="1186"/>
      <c r="U48" s="1186"/>
      <c r="V48" s="1186"/>
      <c r="W48" s="1186"/>
      <c r="X48" s="1186"/>
      <c r="Y48" s="1186"/>
      <c r="Z48" s="1186"/>
      <c r="AA48" s="1186"/>
      <c r="AB48" s="1186"/>
      <c r="AC48" s="1186"/>
      <c r="AD48" s="1186"/>
      <c r="AE48" s="1186"/>
      <c r="AF48" s="1186"/>
      <c r="AG48" s="1186"/>
      <c r="AH48" s="1186"/>
      <c r="AI48" s="1529">
        <f t="shared" si="1"/>
        <v>0</v>
      </c>
      <c r="AJ48" s="1466"/>
      <c r="AK48" s="615"/>
    </row>
    <row r="49" spans="1:37" s="156" customFormat="1" ht="16.149999999999999" customHeight="1" outlineLevel="1">
      <c r="A49" s="1182">
        <v>40</v>
      </c>
      <c r="B49" s="1182" t="e">
        <f>VLOOKUP(C49,'DS CN MOI UP'!$B$10:$C$347,2,0)</f>
        <v>#N/A</v>
      </c>
      <c r="C49" s="1185" t="s">
        <v>422</v>
      </c>
      <c r="D49" s="1186"/>
      <c r="E49" s="1186"/>
      <c r="F49" s="1186"/>
      <c r="G49" s="1186"/>
      <c r="H49" s="1186"/>
      <c r="I49" s="1186"/>
      <c r="J49" s="1186"/>
      <c r="K49" s="1186"/>
      <c r="L49" s="1186"/>
      <c r="M49" s="1186"/>
      <c r="N49" s="1186"/>
      <c r="O49" s="1186"/>
      <c r="P49" s="1186"/>
      <c r="Q49" s="1186"/>
      <c r="R49" s="1186"/>
      <c r="S49" s="1186"/>
      <c r="T49" s="1186"/>
      <c r="U49" s="1186"/>
      <c r="V49" s="1186"/>
      <c r="W49" s="1186"/>
      <c r="X49" s="1186"/>
      <c r="Y49" s="1186"/>
      <c r="Z49" s="1186"/>
      <c r="AA49" s="1186"/>
      <c r="AB49" s="1186"/>
      <c r="AC49" s="1186"/>
      <c r="AD49" s="1186"/>
      <c r="AE49" s="1186"/>
      <c r="AF49" s="1186"/>
      <c r="AG49" s="1186"/>
      <c r="AH49" s="1186"/>
      <c r="AI49" s="1529">
        <f t="shared" si="1"/>
        <v>0</v>
      </c>
      <c r="AJ49" s="1466"/>
      <c r="AK49" s="615"/>
    </row>
    <row r="50" spans="1:37" s="156" customFormat="1" ht="16.149999999999999" customHeight="1" outlineLevel="1">
      <c r="A50" s="1182">
        <v>41</v>
      </c>
      <c r="B50" s="1182" t="e">
        <f>VLOOKUP(C50,'DS CN MOI UP'!$B$10:$C$347,2,0)</f>
        <v>#N/A</v>
      </c>
      <c r="C50" s="1185" t="s">
        <v>423</v>
      </c>
      <c r="D50" s="1186"/>
      <c r="E50" s="1186"/>
      <c r="F50" s="1186"/>
      <c r="G50" s="1186"/>
      <c r="H50" s="1186"/>
      <c r="I50" s="1186"/>
      <c r="J50" s="1186"/>
      <c r="K50" s="1186"/>
      <c r="L50" s="1186"/>
      <c r="M50" s="1186"/>
      <c r="N50" s="1186"/>
      <c r="O50" s="1186"/>
      <c r="P50" s="1186"/>
      <c r="Q50" s="1186"/>
      <c r="R50" s="1186"/>
      <c r="S50" s="1186"/>
      <c r="T50" s="1186"/>
      <c r="U50" s="1186"/>
      <c r="V50" s="1186"/>
      <c r="W50" s="1186"/>
      <c r="X50" s="1186"/>
      <c r="Y50" s="1186"/>
      <c r="Z50" s="1186"/>
      <c r="AA50" s="1186"/>
      <c r="AB50" s="1186"/>
      <c r="AC50" s="1186"/>
      <c r="AD50" s="1186"/>
      <c r="AE50" s="1186"/>
      <c r="AF50" s="1186"/>
      <c r="AG50" s="1186"/>
      <c r="AH50" s="1186"/>
      <c r="AI50" s="1529">
        <f t="shared" si="1"/>
        <v>0</v>
      </c>
      <c r="AJ50" s="1466"/>
      <c r="AK50" s="615"/>
    </row>
    <row r="51" spans="1:37" s="156" customFormat="1" ht="16.149999999999999" customHeight="1" outlineLevel="1">
      <c r="A51" s="1182">
        <v>42</v>
      </c>
      <c r="B51" s="1182" t="e">
        <f>VLOOKUP(C51,'DS CN MOI UP'!$B$10:$C$347,2,0)</f>
        <v>#N/A</v>
      </c>
      <c r="C51" s="1185" t="s">
        <v>424</v>
      </c>
      <c r="D51" s="1186"/>
      <c r="E51" s="1186"/>
      <c r="F51" s="1186"/>
      <c r="G51" s="1186"/>
      <c r="H51" s="1186"/>
      <c r="I51" s="1186"/>
      <c r="J51" s="1186"/>
      <c r="K51" s="1186"/>
      <c r="L51" s="1186"/>
      <c r="M51" s="1186"/>
      <c r="N51" s="1186"/>
      <c r="O51" s="1186"/>
      <c r="P51" s="1186"/>
      <c r="Q51" s="1186"/>
      <c r="R51" s="1186"/>
      <c r="S51" s="1186"/>
      <c r="T51" s="1186"/>
      <c r="U51" s="1186"/>
      <c r="V51" s="1186"/>
      <c r="W51" s="1186"/>
      <c r="X51" s="1186"/>
      <c r="Y51" s="1186"/>
      <c r="Z51" s="1186"/>
      <c r="AA51" s="1186"/>
      <c r="AB51" s="1186"/>
      <c r="AC51" s="1186"/>
      <c r="AD51" s="1186"/>
      <c r="AE51" s="1186"/>
      <c r="AF51" s="1186"/>
      <c r="AG51" s="1186"/>
      <c r="AH51" s="1186"/>
      <c r="AI51" s="1529">
        <f t="shared" si="1"/>
        <v>0</v>
      </c>
      <c r="AJ51" s="1466"/>
      <c r="AK51" s="615"/>
    </row>
    <row r="52" spans="1:37" s="156" customFormat="1" ht="16.149999999999999" customHeight="1" outlineLevel="1">
      <c r="A52" s="1182">
        <v>43</v>
      </c>
      <c r="B52" s="1182" t="e">
        <f>VLOOKUP(C52,'DS CN MOI UP'!$B$10:$C$347,2,0)</f>
        <v>#N/A</v>
      </c>
      <c r="C52" s="1185" t="s">
        <v>425</v>
      </c>
      <c r="D52" s="1186"/>
      <c r="E52" s="1186"/>
      <c r="F52" s="1186"/>
      <c r="G52" s="1186"/>
      <c r="H52" s="1186"/>
      <c r="I52" s="1186"/>
      <c r="J52" s="1186"/>
      <c r="K52" s="1186"/>
      <c r="L52" s="1186"/>
      <c r="M52" s="1186"/>
      <c r="N52" s="1186"/>
      <c r="O52" s="1186"/>
      <c r="P52" s="1186"/>
      <c r="Q52" s="1186"/>
      <c r="R52" s="1186"/>
      <c r="S52" s="1186"/>
      <c r="T52" s="1186"/>
      <c r="U52" s="1186"/>
      <c r="V52" s="1186"/>
      <c r="W52" s="1186"/>
      <c r="X52" s="1186"/>
      <c r="Y52" s="1186"/>
      <c r="Z52" s="1186"/>
      <c r="AA52" s="1186"/>
      <c r="AB52" s="1186"/>
      <c r="AC52" s="1186"/>
      <c r="AD52" s="1186"/>
      <c r="AE52" s="1186"/>
      <c r="AF52" s="1186"/>
      <c r="AG52" s="1186"/>
      <c r="AH52" s="1186"/>
      <c r="AI52" s="1529">
        <f t="shared" si="1"/>
        <v>0</v>
      </c>
      <c r="AJ52" s="1466"/>
      <c r="AK52" s="615"/>
    </row>
    <row r="53" spans="1:37" s="1232" customFormat="1" ht="16.149999999999999" customHeight="1" outlineLevel="1">
      <c r="A53" s="1183" t="s">
        <v>520</v>
      </c>
      <c r="B53" s="1182" t="e">
        <f>VLOOKUP(C53,'DS CN MOI UP'!$B$10:$C$347,2,0)</f>
        <v>#N/A</v>
      </c>
      <c r="C53" s="1183"/>
      <c r="D53" s="1240">
        <f>COUNTIF(D54:D108,"X")+COUNTIF(D54:D108,"CN")</f>
        <v>0</v>
      </c>
      <c r="E53" s="1240">
        <f t="shared" ref="E53:AH53" si="2">COUNTIF(E54:E108,"X")+COUNTIF(E54:E108,"CN")</f>
        <v>0</v>
      </c>
      <c r="F53" s="1240">
        <f t="shared" si="2"/>
        <v>12</v>
      </c>
      <c r="G53" s="1240">
        <f t="shared" si="2"/>
        <v>0</v>
      </c>
      <c r="H53" s="1240">
        <f t="shared" si="2"/>
        <v>15</v>
      </c>
      <c r="I53" s="1240">
        <f t="shared" si="2"/>
        <v>16</v>
      </c>
      <c r="J53" s="1240">
        <f t="shared" si="2"/>
        <v>12</v>
      </c>
      <c r="K53" s="1240">
        <f t="shared" si="2"/>
        <v>21</v>
      </c>
      <c r="L53" s="1240">
        <f t="shared" si="2"/>
        <v>0</v>
      </c>
      <c r="M53" s="1240">
        <f t="shared" si="2"/>
        <v>0</v>
      </c>
      <c r="N53" s="1240">
        <f t="shared" si="2"/>
        <v>0</v>
      </c>
      <c r="O53" s="1240">
        <f t="shared" si="2"/>
        <v>21</v>
      </c>
      <c r="P53" s="1240">
        <f t="shared" si="2"/>
        <v>8</v>
      </c>
      <c r="Q53" s="1240">
        <f t="shared" si="2"/>
        <v>20</v>
      </c>
      <c r="R53" s="1240">
        <f t="shared" si="2"/>
        <v>12</v>
      </c>
      <c r="S53" s="1240">
        <f t="shared" si="2"/>
        <v>0</v>
      </c>
      <c r="T53" s="1240">
        <f t="shared" si="2"/>
        <v>19</v>
      </c>
      <c r="U53" s="1240">
        <f t="shared" si="2"/>
        <v>17</v>
      </c>
      <c r="V53" s="1240">
        <f t="shared" si="2"/>
        <v>0</v>
      </c>
      <c r="W53" s="1240">
        <f t="shared" si="2"/>
        <v>0</v>
      </c>
      <c r="X53" s="1240">
        <f t="shared" si="2"/>
        <v>0</v>
      </c>
      <c r="Y53" s="1240">
        <f t="shared" si="2"/>
        <v>0</v>
      </c>
      <c r="Z53" s="1240">
        <f t="shared" si="2"/>
        <v>0</v>
      </c>
      <c r="AA53" s="1240">
        <f t="shared" si="2"/>
        <v>0</v>
      </c>
      <c r="AB53" s="1240">
        <f t="shared" si="2"/>
        <v>0</v>
      </c>
      <c r="AC53" s="1240">
        <f t="shared" si="2"/>
        <v>0</v>
      </c>
      <c r="AD53" s="1240">
        <f t="shared" si="2"/>
        <v>0</v>
      </c>
      <c r="AE53" s="1240">
        <f t="shared" si="2"/>
        <v>0</v>
      </c>
      <c r="AF53" s="1240">
        <f t="shared" si="2"/>
        <v>0</v>
      </c>
      <c r="AG53" s="1240">
        <f t="shared" si="2"/>
        <v>0</v>
      </c>
      <c r="AH53" s="1240">
        <f t="shared" si="2"/>
        <v>0</v>
      </c>
      <c r="AI53" s="1204">
        <f t="shared" ref="AI53" si="3">SUM(AI54:AI108)</f>
        <v>173</v>
      </c>
      <c r="AJ53" s="1204"/>
      <c r="AK53" s="1247"/>
    </row>
    <row r="54" spans="1:37" s="156" customFormat="1" ht="16.149999999999999" customHeight="1" outlineLevel="1">
      <c r="A54" s="1182">
        <v>1</v>
      </c>
      <c r="B54" s="1182" t="e">
        <f>VLOOKUP(C54,'DS CN MOI UP'!$B$10:$C$347,2,0)</f>
        <v>#N/A</v>
      </c>
      <c r="C54" s="1185" t="s">
        <v>430</v>
      </c>
      <c r="D54" s="1186"/>
      <c r="E54" s="1186"/>
      <c r="F54" s="1186"/>
      <c r="G54" s="1186"/>
      <c r="H54" s="1186"/>
      <c r="I54" s="1186"/>
      <c r="J54" s="1186"/>
      <c r="K54" s="1186"/>
      <c r="L54" s="1186"/>
      <c r="M54" s="1186"/>
      <c r="N54" s="1186"/>
      <c r="O54" s="1186"/>
      <c r="P54" s="1186"/>
      <c r="Q54" s="1186"/>
      <c r="R54" s="1186"/>
      <c r="S54" s="1186"/>
      <c r="T54" s="1186"/>
      <c r="U54" s="1186"/>
      <c r="V54" s="1186"/>
      <c r="W54" s="1186"/>
      <c r="X54" s="1186"/>
      <c r="Y54" s="1186"/>
      <c r="Z54" s="1186"/>
      <c r="AA54" s="1186"/>
      <c r="AB54" s="1186"/>
      <c r="AC54" s="1186"/>
      <c r="AD54" s="1186"/>
      <c r="AE54" s="1186"/>
      <c r="AF54" s="1186"/>
      <c r="AG54" s="1186"/>
      <c r="AH54" s="1186"/>
      <c r="AI54" s="1529">
        <f t="shared" ref="AI54:AI108" si="4">COUNTIF(D54:AH54,"X")</f>
        <v>0</v>
      </c>
      <c r="AJ54" s="1466"/>
    </row>
    <row r="55" spans="1:37" s="156" customFormat="1" ht="16.149999999999999" customHeight="1" outlineLevel="1">
      <c r="A55" s="1182">
        <v>2</v>
      </c>
      <c r="B55" s="1182" t="e">
        <f>VLOOKUP(C55,'DS CN MOI UP'!$B$10:$C$347,2,0)</f>
        <v>#N/A</v>
      </c>
      <c r="C55" s="1185" t="s">
        <v>431</v>
      </c>
      <c r="D55" s="1186"/>
      <c r="E55" s="1186"/>
      <c r="F55" s="1186"/>
      <c r="G55" s="1186"/>
      <c r="H55" s="1186"/>
      <c r="I55" s="1186"/>
      <c r="J55" s="1186"/>
      <c r="K55" s="1186"/>
      <c r="L55" s="1186"/>
      <c r="M55" s="1186"/>
      <c r="N55" s="1186"/>
      <c r="O55" s="1186"/>
      <c r="P55" s="1186"/>
      <c r="Q55" s="1186"/>
      <c r="R55" s="1186" t="s">
        <v>536</v>
      </c>
      <c r="S55" s="1186"/>
      <c r="T55" s="1186" t="s">
        <v>536</v>
      </c>
      <c r="U55" s="1186"/>
      <c r="V55" s="1186"/>
      <c r="W55" s="1186"/>
      <c r="X55" s="1186"/>
      <c r="Y55" s="1186"/>
      <c r="Z55" s="1186"/>
      <c r="AA55" s="1186"/>
      <c r="AB55" s="1186"/>
      <c r="AC55" s="1186"/>
      <c r="AD55" s="1186"/>
      <c r="AE55" s="1186"/>
      <c r="AF55" s="1186"/>
      <c r="AG55" s="1186"/>
      <c r="AH55" s="1186"/>
      <c r="AI55" s="1529">
        <f t="shared" si="4"/>
        <v>2</v>
      </c>
      <c r="AJ55" s="1466"/>
    </row>
    <row r="56" spans="1:37" s="156" customFormat="1" ht="16.149999999999999" customHeight="1" outlineLevel="1">
      <c r="A56" s="1182">
        <v>3</v>
      </c>
      <c r="B56" s="1182" t="e">
        <f>VLOOKUP(C56,'DS CN MOI UP'!$B$10:$C$347,2,0)</f>
        <v>#N/A</v>
      </c>
      <c r="C56" s="1185" t="s">
        <v>432</v>
      </c>
      <c r="D56" s="1186"/>
      <c r="E56" s="1186"/>
      <c r="F56" s="1186" t="s">
        <v>536</v>
      </c>
      <c r="G56" s="1186"/>
      <c r="H56" s="1186" t="s">
        <v>536</v>
      </c>
      <c r="I56" s="1186"/>
      <c r="J56" s="1186"/>
      <c r="K56" s="1186"/>
      <c r="L56" s="1186"/>
      <c r="M56" s="1186"/>
      <c r="N56" s="1186"/>
      <c r="O56" s="1186" t="s">
        <v>536</v>
      </c>
      <c r="P56" s="1186"/>
      <c r="Q56" s="1186"/>
      <c r="R56" s="1186"/>
      <c r="S56" s="1186"/>
      <c r="T56" s="1186" t="s">
        <v>536</v>
      </c>
      <c r="U56" s="1186"/>
      <c r="V56" s="1186"/>
      <c r="W56" s="1186"/>
      <c r="X56" s="1186"/>
      <c r="Y56" s="1186"/>
      <c r="Z56" s="1186"/>
      <c r="AA56" s="1186"/>
      <c r="AB56" s="1186"/>
      <c r="AC56" s="1186"/>
      <c r="AD56" s="1186"/>
      <c r="AE56" s="1186"/>
      <c r="AF56" s="1186"/>
      <c r="AG56" s="1186"/>
      <c r="AH56" s="1186"/>
      <c r="AI56" s="1529">
        <f t="shared" si="4"/>
        <v>4</v>
      </c>
      <c r="AJ56" s="1466"/>
    </row>
    <row r="57" spans="1:37" s="156" customFormat="1" ht="16.149999999999999" customHeight="1" outlineLevel="1">
      <c r="A57" s="1182">
        <v>4</v>
      </c>
      <c r="B57" s="1182" t="e">
        <f>VLOOKUP(C57,'DS CN MOI UP'!$B$10:$C$347,2,0)</f>
        <v>#N/A</v>
      </c>
      <c r="C57" s="1185" t="s">
        <v>433</v>
      </c>
      <c r="D57" s="1186"/>
      <c r="E57" s="1186"/>
      <c r="F57" s="1186"/>
      <c r="G57" s="1186"/>
      <c r="H57" s="1186" t="s">
        <v>536</v>
      </c>
      <c r="I57" s="1186"/>
      <c r="J57" s="1186"/>
      <c r="K57" s="1186" t="s">
        <v>536</v>
      </c>
      <c r="L57" s="1186"/>
      <c r="M57" s="1186"/>
      <c r="N57" s="1186"/>
      <c r="O57" s="1186"/>
      <c r="P57" s="1186"/>
      <c r="Q57" s="1186" t="s">
        <v>536</v>
      </c>
      <c r="R57" s="1186" t="s">
        <v>536</v>
      </c>
      <c r="S57" s="1186"/>
      <c r="T57" s="1186"/>
      <c r="U57" s="1186"/>
      <c r="V57" s="1186"/>
      <c r="W57" s="1186"/>
      <c r="X57" s="1186"/>
      <c r="Y57" s="1186"/>
      <c r="Z57" s="1186"/>
      <c r="AA57" s="1186"/>
      <c r="AB57" s="1186"/>
      <c r="AC57" s="1186"/>
      <c r="AD57" s="1186"/>
      <c r="AE57" s="1186"/>
      <c r="AF57" s="1186"/>
      <c r="AG57" s="1186"/>
      <c r="AH57" s="1186"/>
      <c r="AI57" s="1529">
        <f t="shared" si="4"/>
        <v>4</v>
      </c>
      <c r="AJ57" s="1466"/>
    </row>
    <row r="58" spans="1:37" s="156" customFormat="1" ht="16.149999999999999" customHeight="1" outlineLevel="1">
      <c r="A58" s="1182">
        <v>5</v>
      </c>
      <c r="B58" s="1182" t="e">
        <f>VLOOKUP(C58,'DS CN MOI UP'!$B$10:$C$347,2,0)</f>
        <v>#N/A</v>
      </c>
      <c r="C58" s="1185" t="s">
        <v>434</v>
      </c>
      <c r="D58" s="1186"/>
      <c r="E58" s="1186"/>
      <c r="F58" s="1186"/>
      <c r="G58" s="1186"/>
      <c r="H58" s="1186" t="s">
        <v>536</v>
      </c>
      <c r="I58" s="1186"/>
      <c r="J58" s="1186"/>
      <c r="K58" s="1186"/>
      <c r="L58" s="1186"/>
      <c r="M58" s="1186"/>
      <c r="N58" s="1186"/>
      <c r="O58" s="1186"/>
      <c r="P58" s="1186"/>
      <c r="Q58" s="1186" t="s">
        <v>536</v>
      </c>
      <c r="R58" s="1186"/>
      <c r="S58" s="1186"/>
      <c r="T58" s="1186"/>
      <c r="U58" s="1186" t="s">
        <v>536</v>
      </c>
      <c r="V58" s="1186"/>
      <c r="W58" s="1186"/>
      <c r="X58" s="1186"/>
      <c r="Y58" s="1186"/>
      <c r="Z58" s="1186"/>
      <c r="AA58" s="1186"/>
      <c r="AB58" s="1186"/>
      <c r="AC58" s="1186"/>
      <c r="AD58" s="1186"/>
      <c r="AE58" s="1186"/>
      <c r="AF58" s="1186"/>
      <c r="AG58" s="1186"/>
      <c r="AH58" s="1186"/>
      <c r="AI58" s="1529">
        <f t="shared" si="4"/>
        <v>3</v>
      </c>
      <c r="AJ58" s="1466"/>
    </row>
    <row r="59" spans="1:37" s="156" customFormat="1" ht="16.149999999999999" customHeight="1" outlineLevel="1">
      <c r="A59" s="1182">
        <v>6</v>
      </c>
      <c r="B59" s="1182" t="e">
        <f>VLOOKUP(C59,'DS CN MOI UP'!$B$10:$C$347,2,0)</f>
        <v>#N/A</v>
      </c>
      <c r="C59" s="1185" t="s">
        <v>435</v>
      </c>
      <c r="D59" s="1186"/>
      <c r="E59" s="1186"/>
      <c r="F59" s="1186"/>
      <c r="G59" s="1186"/>
      <c r="H59" s="1186" t="s">
        <v>536</v>
      </c>
      <c r="I59" s="1186"/>
      <c r="J59" s="1186"/>
      <c r="K59" s="1186" t="s">
        <v>536</v>
      </c>
      <c r="L59" s="1186"/>
      <c r="M59" s="1186"/>
      <c r="N59" s="1186"/>
      <c r="O59" s="1186"/>
      <c r="P59" s="1186"/>
      <c r="Q59" s="1186"/>
      <c r="R59" s="1186"/>
      <c r="S59" s="1186"/>
      <c r="T59" s="1186"/>
      <c r="U59" s="1186"/>
      <c r="V59" s="1186"/>
      <c r="W59" s="1186"/>
      <c r="X59" s="1186"/>
      <c r="Y59" s="1186"/>
      <c r="Z59" s="1186"/>
      <c r="AA59" s="1186"/>
      <c r="AB59" s="1186"/>
      <c r="AC59" s="1186"/>
      <c r="AD59" s="1186"/>
      <c r="AE59" s="1186"/>
      <c r="AF59" s="1186"/>
      <c r="AG59" s="1186"/>
      <c r="AH59" s="1186"/>
      <c r="AI59" s="1529">
        <f t="shared" si="4"/>
        <v>2</v>
      </c>
      <c r="AJ59" s="1466"/>
    </row>
    <row r="60" spans="1:37" s="156" customFormat="1" ht="16.149999999999999" customHeight="1" outlineLevel="1">
      <c r="A60" s="1182">
        <v>7</v>
      </c>
      <c r="B60" s="1182" t="e">
        <f>VLOOKUP(C60,'DS CN MOI UP'!$B$10:$C$347,2,0)</f>
        <v>#N/A</v>
      </c>
      <c r="C60" s="1185" t="s">
        <v>436</v>
      </c>
      <c r="D60" s="1186"/>
      <c r="E60" s="1186"/>
      <c r="F60" s="1186"/>
      <c r="G60" s="1186"/>
      <c r="H60" s="1186"/>
      <c r="I60" s="1186"/>
      <c r="J60" s="1186"/>
      <c r="K60" s="1186"/>
      <c r="L60" s="1186"/>
      <c r="M60" s="1186"/>
      <c r="N60" s="1186"/>
      <c r="O60" s="1186"/>
      <c r="P60" s="1186"/>
      <c r="Q60" s="1186"/>
      <c r="R60" s="1186"/>
      <c r="S60" s="1186"/>
      <c r="T60" s="1186"/>
      <c r="U60" s="1186"/>
      <c r="V60" s="1186"/>
      <c r="W60" s="1186"/>
      <c r="X60" s="1186"/>
      <c r="Y60" s="1186"/>
      <c r="Z60" s="1186"/>
      <c r="AA60" s="1186"/>
      <c r="AB60" s="1186"/>
      <c r="AC60" s="1186"/>
      <c r="AD60" s="1186"/>
      <c r="AE60" s="1186"/>
      <c r="AF60" s="1186"/>
      <c r="AG60" s="1186"/>
      <c r="AH60" s="1186"/>
      <c r="AI60" s="1529">
        <f t="shared" si="4"/>
        <v>0</v>
      </c>
      <c r="AJ60" s="1466"/>
    </row>
    <row r="61" spans="1:37" s="156" customFormat="1" ht="16.149999999999999" customHeight="1" outlineLevel="1">
      <c r="A61" s="1182">
        <v>8</v>
      </c>
      <c r="B61" s="1182" t="e">
        <f>VLOOKUP(C61,'DS CN MOI UP'!$B$10:$C$347,2,0)</f>
        <v>#N/A</v>
      </c>
      <c r="C61" s="1185" t="s">
        <v>437</v>
      </c>
      <c r="D61" s="1186"/>
      <c r="E61" s="1186"/>
      <c r="F61" s="1186"/>
      <c r="G61" s="1186"/>
      <c r="H61" s="1186"/>
      <c r="I61" s="1186" t="s">
        <v>536</v>
      </c>
      <c r="J61" s="1186"/>
      <c r="K61" s="1186" t="s">
        <v>536</v>
      </c>
      <c r="L61" s="1186"/>
      <c r="M61" s="1186"/>
      <c r="N61" s="1186"/>
      <c r="O61" s="1186" t="s">
        <v>536</v>
      </c>
      <c r="P61" s="1186"/>
      <c r="Q61" s="1186"/>
      <c r="R61" s="1186"/>
      <c r="S61" s="1186"/>
      <c r="T61" s="1186"/>
      <c r="U61" s="1186"/>
      <c r="V61" s="1186"/>
      <c r="W61" s="1186"/>
      <c r="X61" s="1186"/>
      <c r="Y61" s="1186"/>
      <c r="Z61" s="1186"/>
      <c r="AA61" s="1186"/>
      <c r="AB61" s="1186"/>
      <c r="AC61" s="1186"/>
      <c r="AD61" s="1186"/>
      <c r="AE61" s="1186"/>
      <c r="AF61" s="1186"/>
      <c r="AG61" s="1186"/>
      <c r="AH61" s="1186"/>
      <c r="AI61" s="1529">
        <f t="shared" si="4"/>
        <v>3</v>
      </c>
      <c r="AJ61" s="1466"/>
    </row>
    <row r="62" spans="1:37" s="156" customFormat="1" ht="16.149999999999999" customHeight="1" outlineLevel="1">
      <c r="A62" s="1182">
        <v>9</v>
      </c>
      <c r="B62" s="1182" t="e">
        <f>VLOOKUP(C62,'DS CN MOI UP'!$B$10:$C$347,2,0)</f>
        <v>#N/A</v>
      </c>
      <c r="C62" s="1185" t="s">
        <v>438</v>
      </c>
      <c r="D62" s="1186"/>
      <c r="E62" s="1186"/>
      <c r="F62" s="1186" t="s">
        <v>536</v>
      </c>
      <c r="G62" s="1186"/>
      <c r="H62" s="1186"/>
      <c r="I62" s="1186" t="s">
        <v>536</v>
      </c>
      <c r="J62" s="1186"/>
      <c r="K62" s="1186" t="s">
        <v>536</v>
      </c>
      <c r="L62" s="1186"/>
      <c r="M62" s="1186"/>
      <c r="N62" s="1186"/>
      <c r="O62" s="1186" t="s">
        <v>536</v>
      </c>
      <c r="P62" s="1186" t="s">
        <v>536</v>
      </c>
      <c r="Q62" s="1186" t="s">
        <v>536</v>
      </c>
      <c r="R62" s="1186"/>
      <c r="S62" s="1186"/>
      <c r="T62" s="1186" t="s">
        <v>536</v>
      </c>
      <c r="U62" s="1186" t="s">
        <v>536</v>
      </c>
      <c r="V62" s="1186"/>
      <c r="W62" s="1186"/>
      <c r="X62" s="1186"/>
      <c r="Y62" s="1186"/>
      <c r="Z62" s="1186"/>
      <c r="AA62" s="1186"/>
      <c r="AB62" s="1186"/>
      <c r="AC62" s="1186"/>
      <c r="AD62" s="1186"/>
      <c r="AE62" s="1186"/>
      <c r="AF62" s="1186"/>
      <c r="AG62" s="1186"/>
      <c r="AH62" s="1186"/>
      <c r="AI62" s="1529">
        <f t="shared" si="4"/>
        <v>8</v>
      </c>
      <c r="AJ62" s="1466"/>
    </row>
    <row r="63" spans="1:37" s="156" customFormat="1" ht="16.149999999999999" customHeight="1" outlineLevel="1">
      <c r="A63" s="1182">
        <v>10</v>
      </c>
      <c r="B63" s="1182" t="e">
        <f>VLOOKUP(C63,'DS CN MOI UP'!$B$10:$C$347,2,0)</f>
        <v>#N/A</v>
      </c>
      <c r="C63" s="1185" t="s">
        <v>439</v>
      </c>
      <c r="D63" s="1186"/>
      <c r="E63" s="1186"/>
      <c r="F63" s="1186"/>
      <c r="G63" s="1186"/>
      <c r="H63" s="1186"/>
      <c r="I63" s="1186"/>
      <c r="J63" s="1186"/>
      <c r="K63" s="1186"/>
      <c r="L63" s="1186"/>
      <c r="M63" s="1186"/>
      <c r="N63" s="1186"/>
      <c r="O63" s="1186"/>
      <c r="P63" s="1186"/>
      <c r="Q63" s="1186"/>
      <c r="R63" s="1186"/>
      <c r="S63" s="1186"/>
      <c r="T63" s="1186"/>
      <c r="U63" s="1186"/>
      <c r="V63" s="1186"/>
      <c r="W63" s="1186"/>
      <c r="X63" s="1186"/>
      <c r="Y63" s="1186"/>
      <c r="Z63" s="1186"/>
      <c r="AA63" s="1186"/>
      <c r="AB63" s="1186"/>
      <c r="AC63" s="1186"/>
      <c r="AD63" s="1186"/>
      <c r="AE63" s="1186"/>
      <c r="AF63" s="1186"/>
      <c r="AG63" s="1186"/>
      <c r="AH63" s="1186"/>
      <c r="AI63" s="1529">
        <f t="shared" si="4"/>
        <v>0</v>
      </c>
      <c r="AJ63" s="1466"/>
    </row>
    <row r="64" spans="1:37" s="156" customFormat="1" ht="16.149999999999999" customHeight="1" outlineLevel="1">
      <c r="A64" s="1182">
        <v>11</v>
      </c>
      <c r="B64" s="1182" t="e">
        <f>VLOOKUP(C64,'DS CN MOI UP'!$B$10:$C$347,2,0)</f>
        <v>#N/A</v>
      </c>
      <c r="C64" s="1185" t="s">
        <v>440</v>
      </c>
      <c r="D64" s="1186"/>
      <c r="E64" s="1186"/>
      <c r="F64" s="1186"/>
      <c r="G64" s="1186"/>
      <c r="H64" s="1186" t="s">
        <v>536</v>
      </c>
      <c r="I64" s="1186"/>
      <c r="J64" s="1186"/>
      <c r="K64" s="1186"/>
      <c r="L64" s="1186"/>
      <c r="M64" s="1186"/>
      <c r="N64" s="1186"/>
      <c r="O64" s="1186" t="s">
        <v>536</v>
      </c>
      <c r="P64" s="1186"/>
      <c r="Q64" s="1186"/>
      <c r="R64" s="1186"/>
      <c r="S64" s="1186"/>
      <c r="T64" s="1186"/>
      <c r="U64" s="1186"/>
      <c r="V64" s="1186"/>
      <c r="W64" s="1186"/>
      <c r="X64" s="1186"/>
      <c r="Y64" s="1186"/>
      <c r="Z64" s="1186"/>
      <c r="AA64" s="1186"/>
      <c r="AB64" s="1186"/>
      <c r="AC64" s="1186"/>
      <c r="AD64" s="1186"/>
      <c r="AE64" s="1186"/>
      <c r="AF64" s="1186"/>
      <c r="AG64" s="1186"/>
      <c r="AH64" s="1186"/>
      <c r="AI64" s="1529">
        <f t="shared" si="4"/>
        <v>2</v>
      </c>
      <c r="AJ64" s="1466"/>
    </row>
    <row r="65" spans="1:36" s="156" customFormat="1" ht="16.149999999999999" customHeight="1" outlineLevel="1">
      <c r="A65" s="1182">
        <v>12</v>
      </c>
      <c r="B65" s="1182" t="e">
        <f>VLOOKUP(C65,'DS CN MOI UP'!$B$10:$C$347,2,0)</f>
        <v>#N/A</v>
      </c>
      <c r="C65" s="1185" t="s">
        <v>441</v>
      </c>
      <c r="D65" s="1186"/>
      <c r="E65" s="1186"/>
      <c r="F65" s="1186"/>
      <c r="G65" s="1186"/>
      <c r="H65" s="1186"/>
      <c r="I65" s="1186" t="s">
        <v>536</v>
      </c>
      <c r="J65" s="1186"/>
      <c r="K65" s="1186" t="s">
        <v>536</v>
      </c>
      <c r="L65" s="1186"/>
      <c r="M65" s="1186"/>
      <c r="N65" s="1186"/>
      <c r="O65" s="1186"/>
      <c r="P65" s="1186" t="s">
        <v>536</v>
      </c>
      <c r="Q65" s="1186"/>
      <c r="R65" s="1186" t="s">
        <v>536</v>
      </c>
      <c r="S65" s="1186"/>
      <c r="T65" s="1186" t="s">
        <v>536</v>
      </c>
      <c r="U65" s="1186" t="s">
        <v>536</v>
      </c>
      <c r="V65" s="1186"/>
      <c r="W65" s="1186"/>
      <c r="X65" s="1186"/>
      <c r="Y65" s="1186"/>
      <c r="Z65" s="1186"/>
      <c r="AA65" s="1186"/>
      <c r="AB65" s="1186"/>
      <c r="AC65" s="1186"/>
      <c r="AD65" s="1186"/>
      <c r="AE65" s="1186"/>
      <c r="AF65" s="1186"/>
      <c r="AG65" s="1186"/>
      <c r="AH65" s="1186"/>
      <c r="AI65" s="1529">
        <f t="shared" si="4"/>
        <v>6</v>
      </c>
      <c r="AJ65" s="1466"/>
    </row>
    <row r="66" spans="1:36" s="156" customFormat="1" ht="16.149999999999999" customHeight="1" outlineLevel="1">
      <c r="A66" s="1182">
        <v>13</v>
      </c>
      <c r="B66" s="1182" t="e">
        <f>VLOOKUP(C66,'DS CN MOI UP'!$B$10:$C$347,2,0)</f>
        <v>#N/A</v>
      </c>
      <c r="C66" s="1185" t="s">
        <v>442</v>
      </c>
      <c r="D66" s="1186"/>
      <c r="E66" s="1186"/>
      <c r="F66" s="1186"/>
      <c r="G66" s="1186"/>
      <c r="H66" s="1186"/>
      <c r="I66" s="1186" t="s">
        <v>536</v>
      </c>
      <c r="J66" s="1186"/>
      <c r="K66" s="1186" t="s">
        <v>536</v>
      </c>
      <c r="L66" s="1186"/>
      <c r="M66" s="1186"/>
      <c r="N66" s="1186"/>
      <c r="O66" s="1186"/>
      <c r="P66" s="1186"/>
      <c r="Q66" s="1186" t="s">
        <v>536</v>
      </c>
      <c r="R66" s="1186"/>
      <c r="S66" s="1186"/>
      <c r="T66" s="1186"/>
      <c r="U66" s="1186"/>
      <c r="V66" s="1186"/>
      <c r="W66" s="1186"/>
      <c r="X66" s="1186"/>
      <c r="Y66" s="1186"/>
      <c r="Z66" s="1186"/>
      <c r="AA66" s="1186"/>
      <c r="AB66" s="1186"/>
      <c r="AC66" s="1186"/>
      <c r="AD66" s="1186"/>
      <c r="AE66" s="1186"/>
      <c r="AF66" s="1186"/>
      <c r="AG66" s="1186"/>
      <c r="AH66" s="1186"/>
      <c r="AI66" s="1529">
        <f t="shared" si="4"/>
        <v>3</v>
      </c>
      <c r="AJ66" s="1466"/>
    </row>
    <row r="67" spans="1:36" s="156" customFormat="1" ht="16.149999999999999" customHeight="1" outlineLevel="1">
      <c r="A67" s="1182">
        <v>14</v>
      </c>
      <c r="B67" s="1182" t="e">
        <f>VLOOKUP(C67,'DS CN MOI UP'!$B$10:$C$347,2,0)</f>
        <v>#N/A</v>
      </c>
      <c r="C67" s="1185" t="s">
        <v>443</v>
      </c>
      <c r="D67" s="1186"/>
      <c r="E67" s="1186"/>
      <c r="F67" s="1186"/>
      <c r="G67" s="1186"/>
      <c r="H67" s="1186"/>
      <c r="I67" s="1186" t="s">
        <v>536</v>
      </c>
      <c r="J67" s="1186"/>
      <c r="K67" s="1186"/>
      <c r="L67" s="1186"/>
      <c r="M67" s="1186"/>
      <c r="N67" s="1186"/>
      <c r="O67" s="1186"/>
      <c r="P67" s="1186"/>
      <c r="Q67" s="1186"/>
      <c r="R67" s="1186" t="s">
        <v>536</v>
      </c>
      <c r="S67" s="1186"/>
      <c r="T67" s="1186"/>
      <c r="U67" s="1186"/>
      <c r="V67" s="1186"/>
      <c r="W67" s="1186"/>
      <c r="X67" s="1186"/>
      <c r="Y67" s="1186"/>
      <c r="Z67" s="1186"/>
      <c r="AA67" s="1186"/>
      <c r="AB67" s="1186"/>
      <c r="AC67" s="1186"/>
      <c r="AD67" s="1186"/>
      <c r="AE67" s="1186"/>
      <c r="AF67" s="1186"/>
      <c r="AG67" s="1186"/>
      <c r="AH67" s="1186"/>
      <c r="AI67" s="1529">
        <f t="shared" si="4"/>
        <v>2</v>
      </c>
      <c r="AJ67" s="1466"/>
    </row>
    <row r="68" spans="1:36" s="156" customFormat="1" ht="16.149999999999999" customHeight="1" outlineLevel="1">
      <c r="A68" s="1182">
        <v>15</v>
      </c>
      <c r="B68" s="1182" t="e">
        <f>VLOOKUP(C68,'DS CN MOI UP'!$B$10:$C$347,2,0)</f>
        <v>#N/A</v>
      </c>
      <c r="C68" s="1185" t="s">
        <v>444</v>
      </c>
      <c r="D68" s="1186"/>
      <c r="E68" s="1186"/>
      <c r="F68" s="1186"/>
      <c r="G68" s="1186"/>
      <c r="H68" s="1186"/>
      <c r="I68" s="1186"/>
      <c r="J68" s="1186"/>
      <c r="K68" s="1186"/>
      <c r="L68" s="1186"/>
      <c r="M68" s="1186"/>
      <c r="N68" s="1186"/>
      <c r="O68" s="1186"/>
      <c r="P68" s="1186" t="s">
        <v>536</v>
      </c>
      <c r="Q68" s="1186"/>
      <c r="R68" s="1186"/>
      <c r="S68" s="1186"/>
      <c r="T68" s="1186"/>
      <c r="U68" s="1186"/>
      <c r="V68" s="1186"/>
      <c r="W68" s="1186"/>
      <c r="X68" s="1186"/>
      <c r="Y68" s="1186"/>
      <c r="Z68" s="1186"/>
      <c r="AA68" s="1186"/>
      <c r="AB68" s="1186"/>
      <c r="AC68" s="1186"/>
      <c r="AD68" s="1186"/>
      <c r="AE68" s="1186"/>
      <c r="AF68" s="1186"/>
      <c r="AG68" s="1186"/>
      <c r="AH68" s="1186"/>
      <c r="AI68" s="1529">
        <f t="shared" si="4"/>
        <v>1</v>
      </c>
      <c r="AJ68" s="1466"/>
    </row>
    <row r="69" spans="1:36" s="156" customFormat="1" ht="16.149999999999999" customHeight="1" outlineLevel="1">
      <c r="A69" s="1182">
        <v>16</v>
      </c>
      <c r="B69" s="1182" t="e">
        <f>VLOOKUP(C69,'DS CN MOI UP'!$B$10:$C$347,2,0)</f>
        <v>#N/A</v>
      </c>
      <c r="C69" s="1185" t="s">
        <v>445</v>
      </c>
      <c r="D69" s="1186"/>
      <c r="E69" s="1186"/>
      <c r="F69" s="1186"/>
      <c r="G69" s="1186"/>
      <c r="H69" s="1186" t="s">
        <v>536</v>
      </c>
      <c r="I69" s="1186"/>
      <c r="J69" s="1186"/>
      <c r="K69" s="1186" t="s">
        <v>536</v>
      </c>
      <c r="L69" s="1186"/>
      <c r="M69" s="1186"/>
      <c r="N69" s="1186"/>
      <c r="O69" s="1186"/>
      <c r="P69" s="1186"/>
      <c r="Q69" s="1186" t="s">
        <v>536</v>
      </c>
      <c r="R69" s="1186"/>
      <c r="S69" s="1186"/>
      <c r="T69" s="1186" t="s">
        <v>536</v>
      </c>
      <c r="U69" s="1186"/>
      <c r="V69" s="1186"/>
      <c r="W69" s="1186"/>
      <c r="X69" s="1186"/>
      <c r="Y69" s="1186"/>
      <c r="Z69" s="1186"/>
      <c r="AA69" s="1186"/>
      <c r="AB69" s="1186"/>
      <c r="AC69" s="1186"/>
      <c r="AD69" s="1186"/>
      <c r="AE69" s="1186"/>
      <c r="AF69" s="1186"/>
      <c r="AG69" s="1186"/>
      <c r="AH69" s="1186"/>
      <c r="AI69" s="1529">
        <f t="shared" si="4"/>
        <v>4</v>
      </c>
      <c r="AJ69" s="1466"/>
    </row>
    <row r="70" spans="1:36" s="156" customFormat="1" ht="16.149999999999999" customHeight="1" outlineLevel="1">
      <c r="A70" s="1182">
        <v>17</v>
      </c>
      <c r="B70" s="1182" t="e">
        <f>VLOOKUP(C70,'DS CN MOI UP'!$B$10:$C$347,2,0)</f>
        <v>#N/A</v>
      </c>
      <c r="C70" s="1185" t="s">
        <v>446</v>
      </c>
      <c r="D70" s="1186"/>
      <c r="E70" s="1186"/>
      <c r="F70" s="1186"/>
      <c r="G70" s="1186"/>
      <c r="H70" s="1186" t="s">
        <v>536</v>
      </c>
      <c r="I70" s="1186"/>
      <c r="J70" s="1186"/>
      <c r="K70" s="1186" t="s">
        <v>536</v>
      </c>
      <c r="L70" s="1186"/>
      <c r="M70" s="1186"/>
      <c r="N70" s="1186"/>
      <c r="O70" s="1186" t="s">
        <v>536</v>
      </c>
      <c r="P70" s="1186"/>
      <c r="Q70" s="1186" t="s">
        <v>536</v>
      </c>
      <c r="R70" s="1186"/>
      <c r="S70" s="1186"/>
      <c r="T70" s="1186" t="s">
        <v>536</v>
      </c>
      <c r="U70" s="1186"/>
      <c r="V70" s="1186"/>
      <c r="W70" s="1186"/>
      <c r="X70" s="1186"/>
      <c r="Y70" s="1186"/>
      <c r="Z70" s="1186"/>
      <c r="AA70" s="1186"/>
      <c r="AB70" s="1186"/>
      <c r="AC70" s="1186"/>
      <c r="AD70" s="1186"/>
      <c r="AE70" s="1186"/>
      <c r="AF70" s="1186"/>
      <c r="AG70" s="1186"/>
      <c r="AH70" s="1186"/>
      <c r="AI70" s="1529">
        <f t="shared" si="4"/>
        <v>5</v>
      </c>
      <c r="AJ70" s="1466"/>
    </row>
    <row r="71" spans="1:36" s="156" customFormat="1" ht="16.149999999999999" customHeight="1" outlineLevel="1">
      <c r="A71" s="1182">
        <v>18</v>
      </c>
      <c r="B71" s="1182" t="e">
        <f>VLOOKUP(C71,'DS CN MOI UP'!$B$10:$C$347,2,0)</f>
        <v>#N/A</v>
      </c>
      <c r="C71" s="1185" t="s">
        <v>348</v>
      </c>
      <c r="D71" s="1186"/>
      <c r="E71" s="1186"/>
      <c r="F71" s="1186"/>
      <c r="G71" s="1186"/>
      <c r="H71" s="1186"/>
      <c r="I71" s="1186"/>
      <c r="J71" s="1186"/>
      <c r="K71" s="1186"/>
      <c r="L71" s="1186"/>
      <c r="M71" s="1186"/>
      <c r="N71" s="1186"/>
      <c r="O71" s="1186"/>
      <c r="P71" s="1186"/>
      <c r="Q71" s="1186"/>
      <c r="R71" s="1186"/>
      <c r="S71" s="1186"/>
      <c r="T71" s="1186"/>
      <c r="U71" s="1186"/>
      <c r="V71" s="1186"/>
      <c r="W71" s="1186"/>
      <c r="X71" s="1186"/>
      <c r="Y71" s="1186"/>
      <c r="Z71" s="1186"/>
      <c r="AA71" s="1186"/>
      <c r="AB71" s="1186"/>
      <c r="AC71" s="1186"/>
      <c r="AD71" s="1186"/>
      <c r="AE71" s="1186"/>
      <c r="AF71" s="1186"/>
      <c r="AG71" s="1186"/>
      <c r="AH71" s="1186"/>
      <c r="AI71" s="1529">
        <f t="shared" si="4"/>
        <v>0</v>
      </c>
      <c r="AJ71" s="1466"/>
    </row>
    <row r="72" spans="1:36" s="156" customFormat="1" ht="16.149999999999999" customHeight="1" outlineLevel="1">
      <c r="A72" s="1182">
        <v>19</v>
      </c>
      <c r="B72" s="1182" t="e">
        <f>VLOOKUP(C72,'DS CN MOI UP'!$B$10:$C$347,2,0)</f>
        <v>#N/A</v>
      </c>
      <c r="C72" s="1185" t="s">
        <v>447</v>
      </c>
      <c r="D72" s="1186"/>
      <c r="E72" s="1186"/>
      <c r="F72" s="1186"/>
      <c r="G72" s="1186"/>
      <c r="H72" s="1186" t="s">
        <v>536</v>
      </c>
      <c r="I72" s="1186"/>
      <c r="J72" s="1186" t="s">
        <v>536</v>
      </c>
      <c r="K72" s="1186"/>
      <c r="L72" s="1186"/>
      <c r="M72" s="1186"/>
      <c r="N72" s="1186"/>
      <c r="O72" s="1186"/>
      <c r="P72" s="1186"/>
      <c r="Q72" s="1186" t="s">
        <v>536</v>
      </c>
      <c r="R72" s="1186"/>
      <c r="S72" s="1186"/>
      <c r="T72" s="1186"/>
      <c r="U72" s="1186"/>
      <c r="V72" s="1186"/>
      <c r="W72" s="1186"/>
      <c r="X72" s="1186"/>
      <c r="Y72" s="1186"/>
      <c r="Z72" s="1186"/>
      <c r="AA72" s="1186"/>
      <c r="AB72" s="1186"/>
      <c r="AC72" s="1186"/>
      <c r="AD72" s="1186"/>
      <c r="AE72" s="1186"/>
      <c r="AF72" s="1186"/>
      <c r="AG72" s="1186"/>
      <c r="AH72" s="1186"/>
      <c r="AI72" s="1529">
        <f t="shared" si="4"/>
        <v>3</v>
      </c>
      <c r="AJ72" s="1466"/>
    </row>
    <row r="73" spans="1:36" s="156" customFormat="1" ht="16.149999999999999" customHeight="1" outlineLevel="1">
      <c r="A73" s="1182">
        <v>20</v>
      </c>
      <c r="B73" s="1182" t="e">
        <f>VLOOKUP(C73,'DS CN MOI UP'!$B$10:$C$347,2,0)</f>
        <v>#N/A</v>
      </c>
      <c r="C73" s="1185" t="s">
        <v>448</v>
      </c>
      <c r="D73" s="1186"/>
      <c r="E73" s="1186"/>
      <c r="F73" s="1186"/>
      <c r="G73" s="1186"/>
      <c r="H73" s="1186"/>
      <c r="I73" s="1186"/>
      <c r="J73" s="1186"/>
      <c r="K73" s="1186"/>
      <c r="L73" s="1186"/>
      <c r="M73" s="1186"/>
      <c r="N73" s="1186"/>
      <c r="O73" s="1186"/>
      <c r="P73" s="1186"/>
      <c r="Q73" s="1186"/>
      <c r="R73" s="1186"/>
      <c r="S73" s="1186"/>
      <c r="T73" s="1186"/>
      <c r="U73" s="1186"/>
      <c r="V73" s="1186"/>
      <c r="W73" s="1186"/>
      <c r="X73" s="1186"/>
      <c r="Y73" s="1186"/>
      <c r="Z73" s="1186"/>
      <c r="AA73" s="1186"/>
      <c r="AB73" s="1186"/>
      <c r="AC73" s="1186"/>
      <c r="AD73" s="1186"/>
      <c r="AE73" s="1186"/>
      <c r="AF73" s="1186"/>
      <c r="AG73" s="1186"/>
      <c r="AH73" s="1186"/>
      <c r="AI73" s="1529">
        <f t="shared" si="4"/>
        <v>0</v>
      </c>
      <c r="AJ73" s="1466"/>
    </row>
    <row r="74" spans="1:36" s="156" customFormat="1" ht="16.149999999999999" customHeight="1" outlineLevel="1">
      <c r="A74" s="1182">
        <v>21</v>
      </c>
      <c r="B74" s="1182" t="e">
        <f>VLOOKUP(C74,'DS CN MOI UP'!$B$10:$C$347,2,0)</f>
        <v>#N/A</v>
      </c>
      <c r="C74" s="1185" t="s">
        <v>449</v>
      </c>
      <c r="D74" s="1186"/>
      <c r="E74" s="1186"/>
      <c r="F74" s="1186"/>
      <c r="G74" s="1186"/>
      <c r="H74" s="1186"/>
      <c r="I74" s="1186"/>
      <c r="J74" s="1186" t="s">
        <v>536</v>
      </c>
      <c r="K74" s="1186" t="s">
        <v>536</v>
      </c>
      <c r="L74" s="1186"/>
      <c r="M74" s="1186"/>
      <c r="N74" s="1186"/>
      <c r="O74" s="1186"/>
      <c r="P74" s="1186"/>
      <c r="Q74" s="1186" t="s">
        <v>536</v>
      </c>
      <c r="R74" s="1186"/>
      <c r="S74" s="1186"/>
      <c r="T74" s="1186"/>
      <c r="U74" s="1186"/>
      <c r="V74" s="1186"/>
      <c r="W74" s="1186"/>
      <c r="X74" s="1186"/>
      <c r="Y74" s="1186"/>
      <c r="Z74" s="1186"/>
      <c r="AA74" s="1186"/>
      <c r="AB74" s="1186"/>
      <c r="AC74" s="1186"/>
      <c r="AD74" s="1186"/>
      <c r="AE74" s="1186"/>
      <c r="AF74" s="1186"/>
      <c r="AG74" s="1186"/>
      <c r="AH74" s="1186"/>
      <c r="AI74" s="1529">
        <f t="shared" si="4"/>
        <v>3</v>
      </c>
      <c r="AJ74" s="1466"/>
    </row>
    <row r="75" spans="1:36" s="156" customFormat="1" ht="16.149999999999999" customHeight="1" outlineLevel="1">
      <c r="A75" s="1182">
        <v>22</v>
      </c>
      <c r="B75" s="1182" t="e">
        <f>VLOOKUP(C75,'DS CN MOI UP'!$B$10:$C$347,2,0)</f>
        <v>#N/A</v>
      </c>
      <c r="C75" s="1185" t="s">
        <v>450</v>
      </c>
      <c r="D75" s="1186"/>
      <c r="E75" s="1186"/>
      <c r="F75" s="1186" t="s">
        <v>536</v>
      </c>
      <c r="G75" s="1186"/>
      <c r="H75" s="1186"/>
      <c r="I75" s="1186" t="s">
        <v>536</v>
      </c>
      <c r="J75" s="1186" t="s">
        <v>536</v>
      </c>
      <c r="K75" s="1186" t="s">
        <v>536</v>
      </c>
      <c r="L75" s="1186"/>
      <c r="M75" s="1186"/>
      <c r="N75" s="1186"/>
      <c r="O75" s="1186" t="s">
        <v>536</v>
      </c>
      <c r="P75" s="1186"/>
      <c r="Q75" s="1186" t="s">
        <v>536</v>
      </c>
      <c r="R75" s="1186"/>
      <c r="S75" s="1186"/>
      <c r="T75" s="1186" t="s">
        <v>536</v>
      </c>
      <c r="U75" s="1186"/>
      <c r="V75" s="1186"/>
      <c r="W75" s="1186"/>
      <c r="X75" s="1186"/>
      <c r="Y75" s="1186"/>
      <c r="Z75" s="1186"/>
      <c r="AA75" s="1186"/>
      <c r="AB75" s="1186"/>
      <c r="AC75" s="1186"/>
      <c r="AD75" s="1186"/>
      <c r="AE75" s="1186"/>
      <c r="AF75" s="1186"/>
      <c r="AG75" s="1186"/>
      <c r="AH75" s="1186"/>
      <c r="AI75" s="1529">
        <f t="shared" si="4"/>
        <v>7</v>
      </c>
      <c r="AJ75" s="1466"/>
    </row>
    <row r="76" spans="1:36" s="156" customFormat="1" ht="16.149999999999999" customHeight="1" outlineLevel="1">
      <c r="A76" s="1182">
        <v>23</v>
      </c>
      <c r="B76" s="1182" t="e">
        <f>VLOOKUP(C76,'DS CN MOI UP'!$B$10:$C$347,2,0)</f>
        <v>#N/A</v>
      </c>
      <c r="C76" s="1185" t="s">
        <v>451</v>
      </c>
      <c r="D76" s="1186"/>
      <c r="E76" s="1186"/>
      <c r="F76" s="1186"/>
      <c r="G76" s="1186"/>
      <c r="H76" s="1186"/>
      <c r="I76" s="1186" t="s">
        <v>536</v>
      </c>
      <c r="J76" s="1186"/>
      <c r="K76" s="1186"/>
      <c r="L76" s="1186"/>
      <c r="M76" s="1186"/>
      <c r="N76" s="1186"/>
      <c r="O76" s="1186" t="s">
        <v>536</v>
      </c>
      <c r="P76" s="1186"/>
      <c r="Q76" s="1186" t="s">
        <v>536</v>
      </c>
      <c r="R76" s="1186"/>
      <c r="S76" s="1186"/>
      <c r="T76" s="1186"/>
      <c r="U76" s="1186"/>
      <c r="V76" s="1186"/>
      <c r="W76" s="1186"/>
      <c r="X76" s="1186"/>
      <c r="Y76" s="1186"/>
      <c r="Z76" s="1186"/>
      <c r="AA76" s="1186"/>
      <c r="AB76" s="1186"/>
      <c r="AC76" s="1186"/>
      <c r="AD76" s="1186"/>
      <c r="AE76" s="1186"/>
      <c r="AF76" s="1186"/>
      <c r="AG76" s="1186"/>
      <c r="AH76" s="1186"/>
      <c r="AI76" s="1529">
        <f t="shared" si="4"/>
        <v>3</v>
      </c>
      <c r="AJ76" s="1466"/>
    </row>
    <row r="77" spans="1:36" s="156" customFormat="1" ht="16.149999999999999" customHeight="1" outlineLevel="1">
      <c r="A77" s="1182">
        <v>24</v>
      </c>
      <c r="B77" s="1182" t="e">
        <f>VLOOKUP(C77,'DS CN MOI UP'!$B$10:$C$347,2,0)</f>
        <v>#N/A</v>
      </c>
      <c r="C77" s="1185" t="s">
        <v>452</v>
      </c>
      <c r="D77" s="1186"/>
      <c r="E77" s="1186"/>
      <c r="F77" s="1186"/>
      <c r="G77" s="1186"/>
      <c r="H77" s="1186"/>
      <c r="I77" s="1186"/>
      <c r="J77" s="1186"/>
      <c r="K77" s="1186"/>
      <c r="L77" s="1186"/>
      <c r="M77" s="1186"/>
      <c r="N77" s="1186"/>
      <c r="O77" s="1186"/>
      <c r="P77" s="1186"/>
      <c r="Q77" s="1186" t="s">
        <v>536</v>
      </c>
      <c r="R77" s="1186"/>
      <c r="S77" s="1186"/>
      <c r="T77" s="1186"/>
      <c r="U77" s="1186" t="s">
        <v>536</v>
      </c>
      <c r="V77" s="1186"/>
      <c r="W77" s="1186"/>
      <c r="X77" s="1186"/>
      <c r="Y77" s="1186"/>
      <c r="Z77" s="1186"/>
      <c r="AA77" s="1186"/>
      <c r="AB77" s="1186"/>
      <c r="AC77" s="1186"/>
      <c r="AD77" s="1186"/>
      <c r="AE77" s="1186"/>
      <c r="AF77" s="1186"/>
      <c r="AG77" s="1186"/>
      <c r="AH77" s="1186"/>
      <c r="AI77" s="1529">
        <f t="shared" si="4"/>
        <v>2</v>
      </c>
      <c r="AJ77" s="1466"/>
    </row>
    <row r="78" spans="1:36" s="156" customFormat="1" ht="16.149999999999999" customHeight="1" outlineLevel="1">
      <c r="A78" s="1182">
        <v>25</v>
      </c>
      <c r="B78" s="1182" t="e">
        <f>VLOOKUP(C78,'DS CN MOI UP'!$B$10:$C$347,2,0)</f>
        <v>#N/A</v>
      </c>
      <c r="C78" s="1185" t="s">
        <v>453</v>
      </c>
      <c r="D78" s="1186"/>
      <c r="E78" s="1186"/>
      <c r="F78" s="1186"/>
      <c r="G78" s="1186"/>
      <c r="H78" s="1186"/>
      <c r="I78" s="1186"/>
      <c r="J78" s="1186"/>
      <c r="K78" s="1186"/>
      <c r="L78" s="1186"/>
      <c r="M78" s="1186"/>
      <c r="N78" s="1186"/>
      <c r="O78" s="1186"/>
      <c r="P78" s="1186"/>
      <c r="Q78" s="1186"/>
      <c r="R78" s="1186"/>
      <c r="S78" s="1186"/>
      <c r="T78" s="1186" t="s">
        <v>536</v>
      </c>
      <c r="U78" s="1186" t="s">
        <v>536</v>
      </c>
      <c r="V78" s="1186"/>
      <c r="W78" s="1186"/>
      <c r="X78" s="1186"/>
      <c r="Y78" s="1186"/>
      <c r="Z78" s="1186"/>
      <c r="AA78" s="1186"/>
      <c r="AB78" s="1186"/>
      <c r="AC78" s="1186"/>
      <c r="AD78" s="1186"/>
      <c r="AE78" s="1186"/>
      <c r="AF78" s="1186"/>
      <c r="AG78" s="1186"/>
      <c r="AH78" s="1186"/>
      <c r="AI78" s="1529">
        <f t="shared" si="4"/>
        <v>2</v>
      </c>
      <c r="AJ78" s="1466"/>
    </row>
    <row r="79" spans="1:36" s="156" customFormat="1" ht="16.149999999999999" customHeight="1" outlineLevel="1">
      <c r="A79" s="1182">
        <v>26</v>
      </c>
      <c r="B79" s="1182" t="e">
        <f>VLOOKUP(C79,'DS CN MOI UP'!$B$10:$C$347,2,0)</f>
        <v>#N/A</v>
      </c>
      <c r="C79" s="1185" t="s">
        <v>454</v>
      </c>
      <c r="D79" s="1186"/>
      <c r="E79" s="1186"/>
      <c r="F79" s="1186"/>
      <c r="G79" s="1186"/>
      <c r="H79" s="1186"/>
      <c r="I79" s="1186"/>
      <c r="J79" s="1186"/>
      <c r="K79" s="1186"/>
      <c r="L79" s="1186"/>
      <c r="M79" s="1186"/>
      <c r="N79" s="1186"/>
      <c r="O79" s="1186" t="s">
        <v>536</v>
      </c>
      <c r="P79" s="1186"/>
      <c r="Q79" s="1186"/>
      <c r="R79" s="1186"/>
      <c r="S79" s="1186"/>
      <c r="T79" s="1186" t="s">
        <v>536</v>
      </c>
      <c r="U79" s="1186" t="s">
        <v>536</v>
      </c>
      <c r="V79" s="1186"/>
      <c r="W79" s="1186"/>
      <c r="X79" s="1186"/>
      <c r="Y79" s="1186"/>
      <c r="Z79" s="1186"/>
      <c r="AA79" s="1186"/>
      <c r="AB79" s="1186"/>
      <c r="AC79" s="1186"/>
      <c r="AD79" s="1186"/>
      <c r="AE79" s="1186"/>
      <c r="AF79" s="1186"/>
      <c r="AG79" s="1186"/>
      <c r="AH79" s="1186"/>
      <c r="AI79" s="1529">
        <f t="shared" si="4"/>
        <v>3</v>
      </c>
      <c r="AJ79" s="1466"/>
    </row>
    <row r="80" spans="1:36" s="156" customFormat="1" ht="16.149999999999999" customHeight="1" outlineLevel="1">
      <c r="A80" s="1182">
        <v>27</v>
      </c>
      <c r="B80" s="1182" t="e">
        <f>VLOOKUP(C80,'DS CN MOI UP'!$B$10:$C$347,2,0)</f>
        <v>#N/A</v>
      </c>
      <c r="C80" s="1185" t="s">
        <v>455</v>
      </c>
      <c r="D80" s="1186"/>
      <c r="E80" s="1186"/>
      <c r="F80" s="1186"/>
      <c r="G80" s="1186"/>
      <c r="H80" s="1186"/>
      <c r="I80" s="1186"/>
      <c r="J80" s="1186"/>
      <c r="K80" s="1186"/>
      <c r="L80" s="1186"/>
      <c r="M80" s="1186"/>
      <c r="N80" s="1186"/>
      <c r="O80" s="1186"/>
      <c r="P80" s="1186"/>
      <c r="Q80" s="1186"/>
      <c r="R80" s="1186"/>
      <c r="S80" s="1186"/>
      <c r="T80" s="1186"/>
      <c r="U80" s="1186"/>
      <c r="V80" s="1186"/>
      <c r="W80" s="1186"/>
      <c r="X80" s="1186"/>
      <c r="Y80" s="1186"/>
      <c r="Z80" s="1186"/>
      <c r="AA80" s="1186"/>
      <c r="AB80" s="1186"/>
      <c r="AC80" s="1186"/>
      <c r="AD80" s="1186"/>
      <c r="AE80" s="1186"/>
      <c r="AF80" s="1186"/>
      <c r="AG80" s="1186"/>
      <c r="AH80" s="1186"/>
      <c r="AI80" s="1529">
        <f t="shared" si="4"/>
        <v>0</v>
      </c>
      <c r="AJ80" s="1466"/>
    </row>
    <row r="81" spans="1:36" s="156" customFormat="1" ht="16.149999999999999" customHeight="1" outlineLevel="1">
      <c r="A81" s="1182">
        <v>28</v>
      </c>
      <c r="B81" s="1182" t="e">
        <f>VLOOKUP(C81,'DS CN MOI UP'!$B$10:$C$347,2,0)</f>
        <v>#N/A</v>
      </c>
      <c r="C81" s="1185" t="s">
        <v>456</v>
      </c>
      <c r="D81" s="1186"/>
      <c r="E81" s="1186"/>
      <c r="F81" s="1186"/>
      <c r="G81" s="1186"/>
      <c r="H81" s="1186"/>
      <c r="I81" s="1186"/>
      <c r="J81" s="1186"/>
      <c r="K81" s="1186"/>
      <c r="L81" s="1186"/>
      <c r="M81" s="1186"/>
      <c r="N81" s="1186"/>
      <c r="O81" s="1186"/>
      <c r="P81" s="1186"/>
      <c r="Q81" s="1186"/>
      <c r="R81" s="1186"/>
      <c r="S81" s="1186"/>
      <c r="T81" s="1186"/>
      <c r="U81" s="1186"/>
      <c r="V81" s="1186"/>
      <c r="W81" s="1186"/>
      <c r="X81" s="1186"/>
      <c r="Y81" s="1186"/>
      <c r="Z81" s="1186"/>
      <c r="AA81" s="1186"/>
      <c r="AB81" s="1186"/>
      <c r="AC81" s="1186"/>
      <c r="AD81" s="1186"/>
      <c r="AE81" s="1186"/>
      <c r="AF81" s="1186"/>
      <c r="AG81" s="1186"/>
      <c r="AH81" s="1186"/>
      <c r="AI81" s="1529">
        <f t="shared" si="4"/>
        <v>0</v>
      </c>
      <c r="AJ81" s="1466"/>
    </row>
    <row r="82" spans="1:36" s="156" customFormat="1" ht="16.5" customHeight="1" outlineLevel="1">
      <c r="A82" s="1182">
        <v>29</v>
      </c>
      <c r="B82" s="1182" t="e">
        <f>VLOOKUP(C82,'DS CN MOI UP'!$B$10:$C$347,2,0)</f>
        <v>#N/A</v>
      </c>
      <c r="C82" s="1185" t="s">
        <v>457</v>
      </c>
      <c r="D82" s="1186"/>
      <c r="E82" s="1186"/>
      <c r="F82" s="1186"/>
      <c r="G82" s="1186"/>
      <c r="H82" s="1186" t="s">
        <v>536</v>
      </c>
      <c r="I82" s="1186"/>
      <c r="J82" s="1186"/>
      <c r="K82" s="1186" t="s">
        <v>536</v>
      </c>
      <c r="L82" s="1186"/>
      <c r="M82" s="1186"/>
      <c r="N82" s="1186"/>
      <c r="O82" s="1186" t="s">
        <v>536</v>
      </c>
      <c r="P82" s="1186" t="s">
        <v>536</v>
      </c>
      <c r="Q82" s="1186"/>
      <c r="R82" s="1186"/>
      <c r="S82" s="1186"/>
      <c r="T82" s="1186" t="s">
        <v>536</v>
      </c>
      <c r="U82" s="1186" t="s">
        <v>536</v>
      </c>
      <c r="V82" s="1186"/>
      <c r="W82" s="1186"/>
      <c r="X82" s="1186"/>
      <c r="Y82" s="1186"/>
      <c r="Z82" s="1186"/>
      <c r="AA82" s="1186"/>
      <c r="AB82" s="1186"/>
      <c r="AC82" s="1186"/>
      <c r="AD82" s="1186"/>
      <c r="AE82" s="1186"/>
      <c r="AF82" s="1186"/>
      <c r="AG82" s="1186"/>
      <c r="AH82" s="1186"/>
      <c r="AI82" s="1529">
        <f t="shared" si="4"/>
        <v>6</v>
      </c>
      <c r="AJ82" s="1466"/>
    </row>
    <row r="83" spans="1:36" s="156" customFormat="1" ht="16.5" customHeight="1" outlineLevel="1">
      <c r="A83" s="1182">
        <v>30</v>
      </c>
      <c r="B83" s="1182" t="e">
        <f>VLOOKUP(C83,'DS CN MOI UP'!$B$10:$C$347,2,0)</f>
        <v>#N/A</v>
      </c>
      <c r="C83" s="1185" t="s">
        <v>458</v>
      </c>
      <c r="D83" s="1186"/>
      <c r="E83" s="1186"/>
      <c r="F83" s="1186"/>
      <c r="G83" s="1186"/>
      <c r="H83" s="1186"/>
      <c r="I83" s="1186"/>
      <c r="J83" s="1186"/>
      <c r="K83" s="1186"/>
      <c r="L83" s="1186"/>
      <c r="M83" s="1186"/>
      <c r="N83" s="1186"/>
      <c r="O83" s="1186"/>
      <c r="P83" s="1186"/>
      <c r="Q83" s="1186"/>
      <c r="R83" s="1186"/>
      <c r="S83" s="1186"/>
      <c r="T83" s="1186"/>
      <c r="U83" s="1186"/>
      <c r="V83" s="1186"/>
      <c r="W83" s="1186"/>
      <c r="X83" s="1186"/>
      <c r="Y83" s="1186"/>
      <c r="Z83" s="1186"/>
      <c r="AA83" s="1186"/>
      <c r="AB83" s="1186"/>
      <c r="AC83" s="1186"/>
      <c r="AD83" s="1186"/>
      <c r="AE83" s="1186"/>
      <c r="AF83" s="1186"/>
      <c r="AG83" s="1186"/>
      <c r="AH83" s="1186"/>
      <c r="AI83" s="1529">
        <f t="shared" si="4"/>
        <v>0</v>
      </c>
      <c r="AJ83" s="1466"/>
    </row>
    <row r="84" spans="1:36" s="156" customFormat="1" ht="16.5" customHeight="1" outlineLevel="1">
      <c r="A84" s="1182">
        <v>31</v>
      </c>
      <c r="B84" s="1182" t="e">
        <f>VLOOKUP(C84,'DS CN MOI UP'!$B$10:$C$347,2,0)</f>
        <v>#N/A</v>
      </c>
      <c r="C84" s="1185" t="s">
        <v>459</v>
      </c>
      <c r="D84" s="1186"/>
      <c r="E84" s="1186"/>
      <c r="F84" s="1186" t="s">
        <v>536</v>
      </c>
      <c r="G84" s="1186"/>
      <c r="H84" s="1186" t="s">
        <v>536</v>
      </c>
      <c r="I84" s="1186" t="s">
        <v>536</v>
      </c>
      <c r="J84" s="1186"/>
      <c r="K84" s="1186"/>
      <c r="L84" s="1186"/>
      <c r="M84" s="1186"/>
      <c r="N84" s="1186"/>
      <c r="O84" s="1186" t="s">
        <v>536</v>
      </c>
      <c r="P84" s="1186"/>
      <c r="Q84" s="1186" t="s">
        <v>536</v>
      </c>
      <c r="R84" s="1186" t="s">
        <v>536</v>
      </c>
      <c r="S84" s="1186"/>
      <c r="T84" s="1186"/>
      <c r="U84" s="1186" t="s">
        <v>536</v>
      </c>
      <c r="V84" s="1186"/>
      <c r="W84" s="1186"/>
      <c r="X84" s="1186"/>
      <c r="Y84" s="1186"/>
      <c r="Z84" s="1186"/>
      <c r="AA84" s="1186"/>
      <c r="AB84" s="1186"/>
      <c r="AC84" s="1186"/>
      <c r="AD84" s="1186"/>
      <c r="AE84" s="1186"/>
      <c r="AF84" s="1186"/>
      <c r="AG84" s="1186"/>
      <c r="AH84" s="1186"/>
      <c r="AI84" s="1529">
        <f t="shared" si="4"/>
        <v>7</v>
      </c>
      <c r="AJ84" s="1466"/>
    </row>
    <row r="85" spans="1:36" s="156" customFormat="1" ht="16.5" customHeight="1" outlineLevel="1">
      <c r="A85" s="1182">
        <v>32</v>
      </c>
      <c r="B85" s="1182" t="e">
        <f>VLOOKUP(C85,'DS CN MOI UP'!$B$10:$C$347,2,0)</f>
        <v>#N/A</v>
      </c>
      <c r="C85" s="1185" t="s">
        <v>460</v>
      </c>
      <c r="D85" s="1186"/>
      <c r="E85" s="1186"/>
      <c r="F85" s="1186"/>
      <c r="G85" s="1186"/>
      <c r="H85" s="1186" t="s">
        <v>536</v>
      </c>
      <c r="I85" s="1186" t="s">
        <v>536</v>
      </c>
      <c r="J85" s="1186" t="s">
        <v>536</v>
      </c>
      <c r="K85" s="1186"/>
      <c r="L85" s="1186"/>
      <c r="M85" s="1186"/>
      <c r="N85" s="1186"/>
      <c r="O85" s="1186"/>
      <c r="P85" s="1186"/>
      <c r="Q85" s="1186"/>
      <c r="R85" s="1186" t="s">
        <v>536</v>
      </c>
      <c r="S85" s="1186"/>
      <c r="T85" s="1186"/>
      <c r="U85" s="1186"/>
      <c r="V85" s="1186"/>
      <c r="W85" s="1186"/>
      <c r="X85" s="1186"/>
      <c r="Y85" s="1186"/>
      <c r="Z85" s="1186"/>
      <c r="AA85" s="1186"/>
      <c r="AB85" s="1186"/>
      <c r="AC85" s="1186"/>
      <c r="AD85" s="1186"/>
      <c r="AE85" s="1186"/>
      <c r="AF85" s="1186"/>
      <c r="AG85" s="1186"/>
      <c r="AH85" s="1186"/>
      <c r="AI85" s="1529">
        <f t="shared" si="4"/>
        <v>4</v>
      </c>
      <c r="AJ85" s="1466"/>
    </row>
    <row r="86" spans="1:36" s="156" customFormat="1" ht="16.5" customHeight="1" outlineLevel="1">
      <c r="A86" s="1182">
        <v>33</v>
      </c>
      <c r="B86" s="1182" t="e">
        <f>VLOOKUP(C86,'DS CN MOI UP'!$B$10:$C$347,2,0)</f>
        <v>#N/A</v>
      </c>
      <c r="C86" s="1185" t="s">
        <v>461</v>
      </c>
      <c r="D86" s="1186"/>
      <c r="E86" s="1186"/>
      <c r="F86" s="1186"/>
      <c r="G86" s="1186"/>
      <c r="H86" s="1186"/>
      <c r="I86" s="1186" t="s">
        <v>536</v>
      </c>
      <c r="J86" s="1186" t="s">
        <v>536</v>
      </c>
      <c r="K86" s="1186" t="s">
        <v>536</v>
      </c>
      <c r="L86" s="1186"/>
      <c r="M86" s="1186"/>
      <c r="N86" s="1186"/>
      <c r="O86" s="1186"/>
      <c r="P86" s="1186"/>
      <c r="Q86" s="1186"/>
      <c r="R86" s="1186"/>
      <c r="S86" s="1186"/>
      <c r="T86" s="1186" t="s">
        <v>536</v>
      </c>
      <c r="U86" s="1186"/>
      <c r="V86" s="1186"/>
      <c r="W86" s="1186"/>
      <c r="X86" s="1186"/>
      <c r="Y86" s="1186"/>
      <c r="Z86" s="1186"/>
      <c r="AA86" s="1186"/>
      <c r="AB86" s="1186"/>
      <c r="AC86" s="1186"/>
      <c r="AD86" s="1186"/>
      <c r="AE86" s="1186"/>
      <c r="AF86" s="1186"/>
      <c r="AG86" s="1186"/>
      <c r="AH86" s="1186"/>
      <c r="AI86" s="1529">
        <f t="shared" si="4"/>
        <v>4</v>
      </c>
      <c r="AJ86" s="1466"/>
    </row>
    <row r="87" spans="1:36" s="156" customFormat="1" ht="16.5" customHeight="1" outlineLevel="1">
      <c r="A87" s="1182">
        <v>34</v>
      </c>
      <c r="B87" s="1182" t="e">
        <f>VLOOKUP(C87,'DS CN MOI UP'!$B$10:$C$347,2,0)</f>
        <v>#N/A</v>
      </c>
      <c r="C87" s="1185" t="s">
        <v>462</v>
      </c>
      <c r="D87" s="1186"/>
      <c r="E87" s="1186"/>
      <c r="F87" s="1186"/>
      <c r="G87" s="1186"/>
      <c r="H87" s="1186"/>
      <c r="I87" s="1186" t="s">
        <v>536</v>
      </c>
      <c r="J87" s="1186" t="s">
        <v>536</v>
      </c>
      <c r="K87" s="1186" t="s">
        <v>536</v>
      </c>
      <c r="L87" s="1186"/>
      <c r="M87" s="1186"/>
      <c r="N87" s="1186"/>
      <c r="O87" s="1186"/>
      <c r="P87" s="1186"/>
      <c r="Q87" s="1186"/>
      <c r="R87" s="1186" t="s">
        <v>536</v>
      </c>
      <c r="S87" s="1186"/>
      <c r="T87" s="1186"/>
      <c r="U87" s="1186"/>
      <c r="V87" s="1186"/>
      <c r="W87" s="1186"/>
      <c r="X87" s="1186"/>
      <c r="Y87" s="1186"/>
      <c r="Z87" s="1186"/>
      <c r="AA87" s="1186"/>
      <c r="AB87" s="1186"/>
      <c r="AC87" s="1186"/>
      <c r="AD87" s="1186"/>
      <c r="AE87" s="1186"/>
      <c r="AF87" s="1186"/>
      <c r="AG87" s="1186"/>
      <c r="AH87" s="1186"/>
      <c r="AI87" s="1529">
        <f t="shared" si="4"/>
        <v>4</v>
      </c>
      <c r="AJ87" s="1466"/>
    </row>
    <row r="88" spans="1:36" s="156" customFormat="1" ht="16.5" customHeight="1" outlineLevel="1">
      <c r="A88" s="1182">
        <v>35</v>
      </c>
      <c r="B88" s="1182" t="e">
        <f>VLOOKUP(C88,'DS CN MOI UP'!$B$10:$C$347,2,0)</f>
        <v>#N/A</v>
      </c>
      <c r="C88" s="1185" t="s">
        <v>463</v>
      </c>
      <c r="D88" s="1186"/>
      <c r="E88" s="1186"/>
      <c r="F88" s="1186"/>
      <c r="G88" s="1186"/>
      <c r="H88" s="1186" t="s">
        <v>536</v>
      </c>
      <c r="I88" s="1186"/>
      <c r="J88" s="1186"/>
      <c r="K88" s="1186"/>
      <c r="L88" s="1186"/>
      <c r="M88" s="1186"/>
      <c r="N88" s="1186"/>
      <c r="O88" s="1186" t="s">
        <v>536</v>
      </c>
      <c r="P88" s="1186"/>
      <c r="Q88" s="1186"/>
      <c r="R88" s="1186"/>
      <c r="S88" s="1186"/>
      <c r="T88" s="1186"/>
      <c r="U88" s="1186" t="s">
        <v>536</v>
      </c>
      <c r="V88" s="1186"/>
      <c r="W88" s="1186"/>
      <c r="X88" s="1186"/>
      <c r="Y88" s="1186"/>
      <c r="Z88" s="1186"/>
      <c r="AA88" s="1186"/>
      <c r="AB88" s="1186"/>
      <c r="AC88" s="1186"/>
      <c r="AD88" s="1186"/>
      <c r="AE88" s="1186"/>
      <c r="AF88" s="1186"/>
      <c r="AG88" s="1186"/>
      <c r="AH88" s="1186"/>
      <c r="AI88" s="1529">
        <f t="shared" si="4"/>
        <v>3</v>
      </c>
      <c r="AJ88" s="1466"/>
    </row>
    <row r="89" spans="1:36" s="156" customFormat="1" ht="16.5" customHeight="1" outlineLevel="1">
      <c r="A89" s="1182">
        <v>36</v>
      </c>
      <c r="B89" s="1182" t="e">
        <f>VLOOKUP(C89,'DS CN MOI UP'!$B$10:$C$347,2,0)</f>
        <v>#N/A</v>
      </c>
      <c r="C89" s="1185" t="s">
        <v>464</v>
      </c>
      <c r="D89" s="1186"/>
      <c r="E89" s="1186"/>
      <c r="F89" s="1186"/>
      <c r="G89" s="1186"/>
      <c r="H89" s="1186" t="s">
        <v>536</v>
      </c>
      <c r="I89" s="1186" t="s">
        <v>536</v>
      </c>
      <c r="J89" s="1186"/>
      <c r="K89" s="1186" t="s">
        <v>536</v>
      </c>
      <c r="L89" s="1186"/>
      <c r="M89" s="1186"/>
      <c r="N89" s="1186"/>
      <c r="O89" s="1186" t="s">
        <v>536</v>
      </c>
      <c r="P89" s="1186" t="s">
        <v>536</v>
      </c>
      <c r="Q89" s="1186" t="s">
        <v>536</v>
      </c>
      <c r="R89" s="1186"/>
      <c r="S89" s="1186"/>
      <c r="T89" s="1186"/>
      <c r="U89" s="1186"/>
      <c r="V89" s="1186"/>
      <c r="W89" s="1186"/>
      <c r="X89" s="1186"/>
      <c r="Y89" s="1186"/>
      <c r="Z89" s="1186"/>
      <c r="AA89" s="1186"/>
      <c r="AB89" s="1186"/>
      <c r="AC89" s="1186"/>
      <c r="AD89" s="1186"/>
      <c r="AE89" s="1186"/>
      <c r="AF89" s="1186"/>
      <c r="AG89" s="1186"/>
      <c r="AH89" s="1186"/>
      <c r="AI89" s="1529">
        <f t="shared" si="4"/>
        <v>6</v>
      </c>
      <c r="AJ89" s="1466"/>
    </row>
    <row r="90" spans="1:36" s="156" customFormat="1" ht="16.5" customHeight="1" outlineLevel="1">
      <c r="A90" s="1182">
        <v>37</v>
      </c>
      <c r="B90" s="1182" t="e">
        <f>VLOOKUP(C90,'DS CN MOI UP'!$B$10:$C$347,2,0)</f>
        <v>#N/A</v>
      </c>
      <c r="C90" s="1185" t="s">
        <v>465</v>
      </c>
      <c r="D90" s="1186"/>
      <c r="E90" s="1186"/>
      <c r="F90" s="1186" t="s">
        <v>536</v>
      </c>
      <c r="G90" s="1186"/>
      <c r="H90" s="1186"/>
      <c r="I90" s="1186"/>
      <c r="J90" s="1186"/>
      <c r="K90" s="1186" t="s">
        <v>536</v>
      </c>
      <c r="L90" s="1186"/>
      <c r="M90" s="1186"/>
      <c r="N90" s="1186"/>
      <c r="O90" s="1186" t="s">
        <v>536</v>
      </c>
      <c r="P90" s="1186" t="s">
        <v>536</v>
      </c>
      <c r="Q90" s="1186" t="s">
        <v>536</v>
      </c>
      <c r="R90" s="1186"/>
      <c r="S90" s="1186"/>
      <c r="T90" s="1186" t="s">
        <v>536</v>
      </c>
      <c r="U90" s="1186" t="s">
        <v>536</v>
      </c>
      <c r="V90" s="1186"/>
      <c r="W90" s="1186"/>
      <c r="X90" s="1186"/>
      <c r="Y90" s="1186"/>
      <c r="Z90" s="1186"/>
      <c r="AA90" s="1186"/>
      <c r="AB90" s="1186"/>
      <c r="AC90" s="1186"/>
      <c r="AD90" s="1186"/>
      <c r="AE90" s="1186"/>
      <c r="AF90" s="1186"/>
      <c r="AG90" s="1186"/>
      <c r="AH90" s="1186"/>
      <c r="AI90" s="1529">
        <f t="shared" si="4"/>
        <v>7</v>
      </c>
      <c r="AJ90" s="1466"/>
    </row>
    <row r="91" spans="1:36" s="156" customFormat="1" ht="16.5" customHeight="1" outlineLevel="1">
      <c r="A91" s="1182">
        <v>38</v>
      </c>
      <c r="B91" s="1182" t="e">
        <f>VLOOKUP(C91,'DS CN MOI UP'!$B$10:$C$347,2,0)</f>
        <v>#N/A</v>
      </c>
      <c r="C91" s="1185" t="s">
        <v>466</v>
      </c>
      <c r="D91" s="1186"/>
      <c r="E91" s="1186"/>
      <c r="F91" s="1186"/>
      <c r="G91" s="1186"/>
      <c r="H91" s="1186"/>
      <c r="I91" s="1186"/>
      <c r="J91" s="1186"/>
      <c r="K91" s="1186"/>
      <c r="L91" s="1186"/>
      <c r="M91" s="1186"/>
      <c r="N91" s="1186"/>
      <c r="O91" s="1186"/>
      <c r="P91" s="1186"/>
      <c r="Q91" s="1186" t="s">
        <v>536</v>
      </c>
      <c r="R91" s="1186"/>
      <c r="S91" s="1186"/>
      <c r="T91" s="1186"/>
      <c r="U91" s="1186"/>
      <c r="V91" s="1186"/>
      <c r="W91" s="1186"/>
      <c r="X91" s="1186"/>
      <c r="Y91" s="1186"/>
      <c r="Z91" s="1186"/>
      <c r="AA91" s="1186"/>
      <c r="AB91" s="1186"/>
      <c r="AC91" s="1186"/>
      <c r="AD91" s="1186"/>
      <c r="AE91" s="1186"/>
      <c r="AF91" s="1186"/>
      <c r="AG91" s="1186"/>
      <c r="AH91" s="1186"/>
      <c r="AI91" s="1529">
        <f t="shared" si="4"/>
        <v>1</v>
      </c>
      <c r="AJ91" s="1466"/>
    </row>
    <row r="92" spans="1:36" s="156" customFormat="1" ht="16.5" customHeight="1" outlineLevel="1">
      <c r="A92" s="1182">
        <v>39</v>
      </c>
      <c r="B92" s="1182" t="e">
        <f>VLOOKUP(C92,'DS CN MOI UP'!$B$10:$C$347,2,0)</f>
        <v>#N/A</v>
      </c>
      <c r="C92" s="1185" t="s">
        <v>467</v>
      </c>
      <c r="D92" s="1186"/>
      <c r="E92" s="1186"/>
      <c r="F92" s="1186" t="s">
        <v>536</v>
      </c>
      <c r="G92" s="1186"/>
      <c r="H92" s="1186" t="s">
        <v>536</v>
      </c>
      <c r="I92" s="1186"/>
      <c r="J92" s="1186"/>
      <c r="K92" s="1186"/>
      <c r="L92" s="1186"/>
      <c r="M92" s="1186"/>
      <c r="N92" s="1186"/>
      <c r="O92" s="1186" t="s">
        <v>536</v>
      </c>
      <c r="P92" s="1186"/>
      <c r="Q92" s="1186" t="s">
        <v>536</v>
      </c>
      <c r="R92" s="1186" t="s">
        <v>536</v>
      </c>
      <c r="S92" s="1186"/>
      <c r="T92" s="1186" t="s">
        <v>536</v>
      </c>
      <c r="U92" s="1186" t="s">
        <v>536</v>
      </c>
      <c r="V92" s="1186"/>
      <c r="W92" s="1186"/>
      <c r="X92" s="1186"/>
      <c r="Y92" s="1186"/>
      <c r="Z92" s="1186"/>
      <c r="AA92" s="1186"/>
      <c r="AB92" s="1186"/>
      <c r="AC92" s="1186"/>
      <c r="AD92" s="1186"/>
      <c r="AE92" s="1186"/>
      <c r="AF92" s="1186"/>
      <c r="AG92" s="1186"/>
      <c r="AH92" s="1186"/>
      <c r="AI92" s="1529">
        <f t="shared" si="4"/>
        <v>7</v>
      </c>
      <c r="AJ92" s="1466"/>
    </row>
    <row r="93" spans="1:36" s="156" customFormat="1" ht="16.5" customHeight="1" outlineLevel="1">
      <c r="A93" s="1182">
        <v>40</v>
      </c>
      <c r="B93" s="1182" t="e">
        <f>VLOOKUP(C93,'DS CN MOI UP'!$B$10:$C$347,2,0)</f>
        <v>#N/A</v>
      </c>
      <c r="C93" s="1185" t="s">
        <v>468</v>
      </c>
      <c r="D93" s="1186"/>
      <c r="E93" s="1186"/>
      <c r="F93" s="1186"/>
      <c r="G93" s="1186"/>
      <c r="H93" s="1186"/>
      <c r="I93" s="1186"/>
      <c r="J93" s="1186"/>
      <c r="K93" s="1186"/>
      <c r="L93" s="1186"/>
      <c r="M93" s="1186"/>
      <c r="N93" s="1186"/>
      <c r="O93" s="1186"/>
      <c r="P93" s="1186"/>
      <c r="Q93" s="1186"/>
      <c r="R93" s="1186"/>
      <c r="S93" s="1186"/>
      <c r="T93" s="1186"/>
      <c r="U93" s="1186"/>
      <c r="V93" s="1186"/>
      <c r="W93" s="1186"/>
      <c r="X93" s="1186"/>
      <c r="Y93" s="1186"/>
      <c r="Z93" s="1186"/>
      <c r="AA93" s="1186"/>
      <c r="AB93" s="1186"/>
      <c r="AC93" s="1186"/>
      <c r="AD93" s="1186"/>
      <c r="AE93" s="1186"/>
      <c r="AF93" s="1186"/>
      <c r="AG93" s="1186"/>
      <c r="AH93" s="1186"/>
      <c r="AI93" s="1529">
        <f t="shared" si="4"/>
        <v>0</v>
      </c>
      <c r="AJ93" s="1466"/>
    </row>
    <row r="94" spans="1:36" s="156" customFormat="1" ht="16.5" customHeight="1" outlineLevel="1">
      <c r="A94" s="1182">
        <v>41</v>
      </c>
      <c r="B94" s="1182" t="e">
        <f>VLOOKUP(C94,'DS CN MOI UP'!$B$10:$C$347,2,0)</f>
        <v>#N/A</v>
      </c>
      <c r="C94" s="1185" t="s">
        <v>469</v>
      </c>
      <c r="D94" s="1186"/>
      <c r="E94" s="1186"/>
      <c r="F94" s="1186" t="s">
        <v>536</v>
      </c>
      <c r="G94" s="1186"/>
      <c r="H94" s="1186" t="s">
        <v>536</v>
      </c>
      <c r="I94" s="1186" t="s">
        <v>536</v>
      </c>
      <c r="J94" s="1186"/>
      <c r="K94" s="1186"/>
      <c r="L94" s="1186"/>
      <c r="M94" s="1186"/>
      <c r="N94" s="1186"/>
      <c r="O94" s="1186" t="s">
        <v>536</v>
      </c>
      <c r="P94" s="1186"/>
      <c r="Q94" s="1186"/>
      <c r="R94" s="1186" t="s">
        <v>536</v>
      </c>
      <c r="S94" s="1186"/>
      <c r="T94" s="1186"/>
      <c r="U94" s="1186" t="s">
        <v>536</v>
      </c>
      <c r="V94" s="1186"/>
      <c r="W94" s="1186"/>
      <c r="X94" s="1186"/>
      <c r="Y94" s="1186"/>
      <c r="Z94" s="1186"/>
      <c r="AA94" s="1186"/>
      <c r="AB94" s="1186"/>
      <c r="AC94" s="1186"/>
      <c r="AD94" s="1186"/>
      <c r="AE94" s="1186"/>
      <c r="AF94" s="1186"/>
      <c r="AG94" s="1186"/>
      <c r="AH94" s="1186"/>
      <c r="AI94" s="1529">
        <f t="shared" si="4"/>
        <v>6</v>
      </c>
      <c r="AJ94" s="1466"/>
    </row>
    <row r="95" spans="1:36" s="156" customFormat="1" ht="16.5" customHeight="1" outlineLevel="1">
      <c r="A95" s="1182">
        <v>42</v>
      </c>
      <c r="B95" s="1182" t="e">
        <f>VLOOKUP(C95,'DS CN MOI UP'!$B$10:$C$347,2,0)</f>
        <v>#N/A</v>
      </c>
      <c r="C95" s="1185" t="s">
        <v>470</v>
      </c>
      <c r="D95" s="1186"/>
      <c r="E95" s="1186"/>
      <c r="F95" s="1186" t="s">
        <v>536</v>
      </c>
      <c r="G95" s="1186"/>
      <c r="H95" s="1186"/>
      <c r="I95" s="1186"/>
      <c r="J95" s="1186" t="s">
        <v>536</v>
      </c>
      <c r="K95" s="1186" t="s">
        <v>536</v>
      </c>
      <c r="L95" s="1186"/>
      <c r="M95" s="1186"/>
      <c r="N95" s="1186"/>
      <c r="O95" s="1186" t="s">
        <v>536</v>
      </c>
      <c r="P95" s="1186" t="s">
        <v>536</v>
      </c>
      <c r="Q95" s="1186"/>
      <c r="R95" s="1186"/>
      <c r="S95" s="1186"/>
      <c r="T95" s="1186"/>
      <c r="U95" s="1186"/>
      <c r="V95" s="1186"/>
      <c r="W95" s="1186"/>
      <c r="X95" s="1186"/>
      <c r="Y95" s="1186"/>
      <c r="Z95" s="1186"/>
      <c r="AA95" s="1186"/>
      <c r="AB95" s="1186"/>
      <c r="AC95" s="1186"/>
      <c r="AD95" s="1186"/>
      <c r="AE95" s="1186"/>
      <c r="AF95" s="1186"/>
      <c r="AG95" s="1186"/>
      <c r="AH95" s="1186"/>
      <c r="AI95" s="1529">
        <f t="shared" si="4"/>
        <v>5</v>
      </c>
      <c r="AJ95" s="1466"/>
    </row>
    <row r="96" spans="1:36" s="156" customFormat="1" ht="16.5" customHeight="1" outlineLevel="1">
      <c r="A96" s="1182">
        <v>43</v>
      </c>
      <c r="B96" s="1182" t="e">
        <f>VLOOKUP(C96,'DS CN MOI UP'!$B$10:$C$347,2,0)</f>
        <v>#N/A</v>
      </c>
      <c r="C96" s="1185" t="s">
        <v>471</v>
      </c>
      <c r="D96" s="1186"/>
      <c r="E96" s="1186"/>
      <c r="F96" s="1186" t="s">
        <v>536</v>
      </c>
      <c r="G96" s="1186"/>
      <c r="H96" s="1186"/>
      <c r="I96" s="1186" t="s">
        <v>536</v>
      </c>
      <c r="J96" s="1186" t="s">
        <v>536</v>
      </c>
      <c r="K96" s="1186" t="s">
        <v>536</v>
      </c>
      <c r="L96" s="1186"/>
      <c r="M96" s="1186"/>
      <c r="N96" s="1186"/>
      <c r="O96" s="1186" t="s">
        <v>536</v>
      </c>
      <c r="P96" s="1186"/>
      <c r="Q96" s="1186" t="s">
        <v>536</v>
      </c>
      <c r="R96" s="1186" t="s">
        <v>536</v>
      </c>
      <c r="S96" s="1186"/>
      <c r="T96" s="1186" t="s">
        <v>536</v>
      </c>
      <c r="U96" s="1186" t="s">
        <v>536</v>
      </c>
      <c r="V96" s="1186"/>
      <c r="W96" s="1186"/>
      <c r="X96" s="1186"/>
      <c r="Y96" s="1186"/>
      <c r="Z96" s="1186"/>
      <c r="AA96" s="1186"/>
      <c r="AB96" s="1186"/>
      <c r="AC96" s="1186"/>
      <c r="AD96" s="1186"/>
      <c r="AE96" s="1186"/>
      <c r="AF96" s="1186"/>
      <c r="AG96" s="1186"/>
      <c r="AH96" s="1186"/>
      <c r="AI96" s="1529">
        <f t="shared" si="4"/>
        <v>9</v>
      </c>
      <c r="AJ96" s="1466"/>
    </row>
    <row r="97" spans="1:39" s="156" customFormat="1" ht="16.5" customHeight="1" outlineLevel="1">
      <c r="A97" s="1182">
        <v>44</v>
      </c>
      <c r="B97" s="1182" t="e">
        <f>VLOOKUP(C97,'DS CN MOI UP'!$B$10:$C$347,2,0)</f>
        <v>#N/A</v>
      </c>
      <c r="C97" s="1185" t="s">
        <v>472</v>
      </c>
      <c r="D97" s="1186"/>
      <c r="E97" s="1186"/>
      <c r="F97" s="1186"/>
      <c r="G97" s="1186"/>
      <c r="H97" s="1186"/>
      <c r="I97" s="1186"/>
      <c r="J97" s="1186"/>
      <c r="K97" s="1186"/>
      <c r="L97" s="1186"/>
      <c r="M97" s="1186"/>
      <c r="N97" s="1186"/>
      <c r="O97" s="1186"/>
      <c r="P97" s="1186"/>
      <c r="Q97" s="1186"/>
      <c r="R97" s="1186"/>
      <c r="S97" s="1186"/>
      <c r="T97" s="1186"/>
      <c r="U97" s="1186" t="s">
        <v>536</v>
      </c>
      <c r="V97" s="1186"/>
      <c r="W97" s="1186"/>
      <c r="X97" s="1186"/>
      <c r="Y97" s="1186"/>
      <c r="Z97" s="1186"/>
      <c r="AA97" s="1186"/>
      <c r="AB97" s="1186"/>
      <c r="AC97" s="1186"/>
      <c r="AD97" s="1186"/>
      <c r="AE97" s="1186"/>
      <c r="AF97" s="1186"/>
      <c r="AG97" s="1186"/>
      <c r="AH97" s="1186"/>
      <c r="AI97" s="1529">
        <f t="shared" si="4"/>
        <v>1</v>
      </c>
      <c r="AJ97" s="1466"/>
    </row>
    <row r="98" spans="1:39" s="156" customFormat="1" ht="16.5" customHeight="1" outlineLevel="1">
      <c r="A98" s="1182">
        <v>45</v>
      </c>
      <c r="B98" s="1182" t="e">
        <f>VLOOKUP(C98,'DS CN MOI UP'!$B$10:$C$347,2,0)</f>
        <v>#N/A</v>
      </c>
      <c r="C98" s="1185" t="s">
        <v>473</v>
      </c>
      <c r="D98" s="1186"/>
      <c r="E98" s="1186"/>
      <c r="F98" s="1186"/>
      <c r="G98" s="1186"/>
      <c r="H98" s="1186"/>
      <c r="I98" s="1186"/>
      <c r="J98" s="1186" t="s">
        <v>536</v>
      </c>
      <c r="K98" s="1186" t="s">
        <v>536</v>
      </c>
      <c r="L98" s="1186"/>
      <c r="M98" s="1186"/>
      <c r="N98" s="1186"/>
      <c r="O98" s="1186" t="s">
        <v>536</v>
      </c>
      <c r="P98" s="1186"/>
      <c r="Q98" s="1186"/>
      <c r="R98" s="1186"/>
      <c r="S98" s="1186"/>
      <c r="T98" s="1186" t="s">
        <v>536</v>
      </c>
      <c r="U98" s="1186"/>
      <c r="V98" s="1186"/>
      <c r="W98" s="1186"/>
      <c r="X98" s="1186"/>
      <c r="Y98" s="1186"/>
      <c r="Z98" s="1186"/>
      <c r="AA98" s="1186"/>
      <c r="AB98" s="1186"/>
      <c r="AC98" s="1186"/>
      <c r="AD98" s="1186"/>
      <c r="AE98" s="1186"/>
      <c r="AF98" s="1186"/>
      <c r="AG98" s="1186"/>
      <c r="AH98" s="1186"/>
      <c r="AI98" s="1529">
        <f t="shared" si="4"/>
        <v>4</v>
      </c>
      <c r="AJ98" s="1466"/>
    </row>
    <row r="99" spans="1:39" s="156" customFormat="1" ht="16.5" customHeight="1" outlineLevel="1">
      <c r="A99" s="1182">
        <v>46</v>
      </c>
      <c r="B99" s="1182" t="e">
        <f>VLOOKUP(C99,'DS CN MOI UP'!$B$10:$C$347,2,0)</f>
        <v>#N/A</v>
      </c>
      <c r="C99" s="1185" t="s">
        <v>474</v>
      </c>
      <c r="D99" s="1186"/>
      <c r="E99" s="1186"/>
      <c r="F99" s="1186"/>
      <c r="G99" s="1186"/>
      <c r="H99" s="1186"/>
      <c r="I99" s="1186"/>
      <c r="J99" s="1186"/>
      <c r="K99" s="1186"/>
      <c r="L99" s="1186"/>
      <c r="M99" s="1186"/>
      <c r="N99" s="1186"/>
      <c r="O99" s="1186"/>
      <c r="P99" s="1186"/>
      <c r="Q99" s="1186"/>
      <c r="R99" s="1186"/>
      <c r="S99" s="1186"/>
      <c r="T99" s="1186"/>
      <c r="U99" s="1186"/>
      <c r="V99" s="1186"/>
      <c r="W99" s="1186"/>
      <c r="X99" s="1186"/>
      <c r="Y99" s="1186"/>
      <c r="Z99" s="1186"/>
      <c r="AA99" s="1186"/>
      <c r="AB99" s="1186"/>
      <c r="AC99" s="1186"/>
      <c r="AD99" s="1186"/>
      <c r="AE99" s="1186"/>
      <c r="AF99" s="1186"/>
      <c r="AG99" s="1186"/>
      <c r="AH99" s="1186"/>
      <c r="AI99" s="1529">
        <f t="shared" si="4"/>
        <v>0</v>
      </c>
      <c r="AJ99" s="1466"/>
    </row>
    <row r="100" spans="1:39" s="156" customFormat="1" ht="16.5" customHeight="1" outlineLevel="1">
      <c r="A100" s="1182">
        <v>47</v>
      </c>
      <c r="B100" s="1182" t="e">
        <f>VLOOKUP(C100,'DS CN MOI UP'!$B$10:$C$347,2,0)</f>
        <v>#N/A</v>
      </c>
      <c r="C100" s="1185" t="s">
        <v>475</v>
      </c>
      <c r="D100" s="1186"/>
      <c r="E100" s="1186"/>
      <c r="F100" s="1186"/>
      <c r="G100" s="1186"/>
      <c r="H100" s="1186"/>
      <c r="I100" s="1186" t="s">
        <v>536</v>
      </c>
      <c r="J100" s="1186"/>
      <c r="K100" s="1186" t="s">
        <v>536</v>
      </c>
      <c r="L100" s="1186"/>
      <c r="M100" s="1186"/>
      <c r="N100" s="1186"/>
      <c r="O100" s="1186" t="s">
        <v>536</v>
      </c>
      <c r="P100" s="1186"/>
      <c r="Q100" s="1186"/>
      <c r="R100" s="1186" t="s">
        <v>536</v>
      </c>
      <c r="S100" s="1186"/>
      <c r="T100" s="1186"/>
      <c r="U100" s="1186"/>
      <c r="V100" s="1186"/>
      <c r="W100" s="1186"/>
      <c r="X100" s="1186"/>
      <c r="Y100" s="1186"/>
      <c r="Z100" s="1186"/>
      <c r="AA100" s="1186"/>
      <c r="AB100" s="1186"/>
      <c r="AC100" s="1186"/>
      <c r="AD100" s="1186"/>
      <c r="AE100" s="1186"/>
      <c r="AF100" s="1186"/>
      <c r="AG100" s="1186"/>
      <c r="AH100" s="1186"/>
      <c r="AI100" s="1529">
        <f t="shared" si="4"/>
        <v>4</v>
      </c>
      <c r="AJ100" s="1466"/>
    </row>
    <row r="101" spans="1:39" s="156" customFormat="1" ht="16.5" customHeight="1" outlineLevel="1">
      <c r="A101" s="1182">
        <v>48</v>
      </c>
      <c r="B101" s="1182" t="e">
        <f>VLOOKUP(C101,'DS CN MOI UP'!$B$10:$C$347,2,0)</f>
        <v>#N/A</v>
      </c>
      <c r="C101" s="1185" t="s">
        <v>476</v>
      </c>
      <c r="D101" s="1186"/>
      <c r="E101" s="1186"/>
      <c r="F101" s="1186" t="s">
        <v>536</v>
      </c>
      <c r="G101" s="1186"/>
      <c r="H101" s="1186"/>
      <c r="I101" s="1186"/>
      <c r="J101" s="1186" t="s">
        <v>536</v>
      </c>
      <c r="K101" s="1186" t="s">
        <v>536</v>
      </c>
      <c r="L101" s="1186"/>
      <c r="M101" s="1186"/>
      <c r="N101" s="1186"/>
      <c r="O101" s="1186"/>
      <c r="P101" s="1186"/>
      <c r="Q101" s="1186"/>
      <c r="R101" s="1186"/>
      <c r="S101" s="1186"/>
      <c r="T101" s="1186"/>
      <c r="U101" s="1186"/>
      <c r="V101" s="1186"/>
      <c r="W101" s="1186"/>
      <c r="X101" s="1186"/>
      <c r="Y101" s="1186"/>
      <c r="Z101" s="1186"/>
      <c r="AA101" s="1186"/>
      <c r="AB101" s="1186"/>
      <c r="AC101" s="1186"/>
      <c r="AD101" s="1186"/>
      <c r="AE101" s="1186"/>
      <c r="AF101" s="1186"/>
      <c r="AG101" s="1186"/>
      <c r="AH101" s="1186"/>
      <c r="AI101" s="1529">
        <f t="shared" si="4"/>
        <v>3</v>
      </c>
      <c r="AJ101" s="1466"/>
    </row>
    <row r="102" spans="1:39" s="156" customFormat="1" ht="16.5" customHeight="1" outlineLevel="1">
      <c r="A102" s="1182">
        <v>49</v>
      </c>
      <c r="B102" s="1182" t="e">
        <f>VLOOKUP(C102,'DS CN MOI UP'!$B$10:$C$347,2,0)</f>
        <v>#N/A</v>
      </c>
      <c r="C102" s="1185" t="s">
        <v>477</v>
      </c>
      <c r="D102" s="1186"/>
      <c r="E102" s="1186"/>
      <c r="F102" s="1186"/>
      <c r="G102" s="1186"/>
      <c r="H102" s="1186"/>
      <c r="I102" s="1186"/>
      <c r="J102" s="1186"/>
      <c r="K102" s="1186"/>
      <c r="L102" s="1186"/>
      <c r="M102" s="1186"/>
      <c r="N102" s="1186"/>
      <c r="O102" s="1186"/>
      <c r="P102" s="1186"/>
      <c r="Q102" s="1186"/>
      <c r="R102" s="1186"/>
      <c r="S102" s="1186"/>
      <c r="T102" s="1186" t="s">
        <v>536</v>
      </c>
      <c r="U102" s="1186" t="s">
        <v>536</v>
      </c>
      <c r="V102" s="1186"/>
      <c r="W102" s="1186"/>
      <c r="X102" s="1186"/>
      <c r="Y102" s="1186"/>
      <c r="Z102" s="1186"/>
      <c r="AA102" s="1186"/>
      <c r="AB102" s="1186"/>
      <c r="AC102" s="1186"/>
      <c r="AD102" s="1186"/>
      <c r="AE102" s="1186"/>
      <c r="AF102" s="1186"/>
      <c r="AG102" s="1186"/>
      <c r="AH102" s="1186"/>
      <c r="AI102" s="1529">
        <f t="shared" si="4"/>
        <v>2</v>
      </c>
      <c r="AJ102" s="1466"/>
    </row>
    <row r="103" spans="1:39" s="156" customFormat="1" ht="16.5" customHeight="1" outlineLevel="1">
      <c r="A103" s="1182">
        <v>50</v>
      </c>
      <c r="B103" s="1182" t="e">
        <f>VLOOKUP(C103,'DS CN MOI UP'!$B$10:$C$347,2,0)</f>
        <v>#N/A</v>
      </c>
      <c r="C103" s="1185" t="s">
        <v>909</v>
      </c>
      <c r="D103" s="1186"/>
      <c r="E103" s="1186"/>
      <c r="F103" s="1186" t="s">
        <v>536</v>
      </c>
      <c r="G103" s="1186"/>
      <c r="H103" s="1186"/>
      <c r="I103" s="1186"/>
      <c r="J103" s="1186"/>
      <c r="K103" s="1186"/>
      <c r="L103" s="1186"/>
      <c r="M103" s="1186"/>
      <c r="N103" s="1186"/>
      <c r="O103" s="1186"/>
      <c r="P103" s="1186"/>
      <c r="Q103" s="1186" t="s">
        <v>536</v>
      </c>
      <c r="R103" s="1186"/>
      <c r="S103" s="1186"/>
      <c r="T103" s="1186" t="s">
        <v>536</v>
      </c>
      <c r="U103" s="1186"/>
      <c r="V103" s="1186"/>
      <c r="W103" s="1186"/>
      <c r="X103" s="1186"/>
      <c r="Y103" s="1186"/>
      <c r="Z103" s="1186"/>
      <c r="AA103" s="1186"/>
      <c r="AB103" s="1186"/>
      <c r="AC103" s="1186"/>
      <c r="AD103" s="1186"/>
      <c r="AE103" s="1186"/>
      <c r="AF103" s="1186"/>
      <c r="AG103" s="1186"/>
      <c r="AH103" s="1186"/>
      <c r="AI103" s="1529">
        <f t="shared" si="4"/>
        <v>3</v>
      </c>
      <c r="AJ103" s="1466"/>
    </row>
    <row r="104" spans="1:39" s="156" customFormat="1" ht="16.5" customHeight="1" outlineLevel="1">
      <c r="A104" s="1182">
        <v>51</v>
      </c>
      <c r="B104" s="1182" t="e">
        <f>VLOOKUP(C104,'DS CN MOI UP'!$B$10:$C$347,2,0)</f>
        <v>#N/A</v>
      </c>
      <c r="C104" s="1185" t="s">
        <v>479</v>
      </c>
      <c r="D104" s="1186"/>
      <c r="E104" s="1186"/>
      <c r="F104" s="1186" t="s">
        <v>536</v>
      </c>
      <c r="G104" s="1186"/>
      <c r="H104" s="1186"/>
      <c r="I104" s="1186"/>
      <c r="J104" s="1186" t="s">
        <v>536</v>
      </c>
      <c r="K104" s="1186"/>
      <c r="L104" s="1186"/>
      <c r="M104" s="1186"/>
      <c r="N104" s="1186"/>
      <c r="O104" s="1186" t="s">
        <v>536</v>
      </c>
      <c r="P104" s="1186"/>
      <c r="Q104" s="1186"/>
      <c r="R104" s="1186" t="s">
        <v>536</v>
      </c>
      <c r="S104" s="1186"/>
      <c r="T104" s="1186"/>
      <c r="U104" s="1186"/>
      <c r="V104" s="1186"/>
      <c r="W104" s="1186"/>
      <c r="X104" s="1186"/>
      <c r="Y104" s="1186"/>
      <c r="Z104" s="1186"/>
      <c r="AA104" s="1186"/>
      <c r="AB104" s="1186"/>
      <c r="AC104" s="1186"/>
      <c r="AD104" s="1186"/>
      <c r="AE104" s="1186"/>
      <c r="AF104" s="1186"/>
      <c r="AG104" s="1186"/>
      <c r="AH104" s="1186"/>
      <c r="AI104" s="1529">
        <f t="shared" si="4"/>
        <v>4</v>
      </c>
      <c r="AJ104" s="1466"/>
    </row>
    <row r="105" spans="1:39" s="156" customFormat="1" ht="16.5" customHeight="1" outlineLevel="1">
      <c r="A105" s="1182">
        <v>52</v>
      </c>
      <c r="B105" s="1182" t="e">
        <f>VLOOKUP(C105,'DS CN MOI UP'!$B$10:$C$347,2,0)</f>
        <v>#N/A</v>
      </c>
      <c r="C105" s="1185" t="s">
        <v>480</v>
      </c>
      <c r="D105" s="1186"/>
      <c r="E105" s="1186"/>
      <c r="F105" s="1186"/>
      <c r="G105" s="1186"/>
      <c r="H105" s="1186"/>
      <c r="I105" s="1186"/>
      <c r="J105" s="1186" t="s">
        <v>536</v>
      </c>
      <c r="K105" s="1186" t="s">
        <v>536</v>
      </c>
      <c r="L105" s="1186"/>
      <c r="M105" s="1186"/>
      <c r="N105" s="1186"/>
      <c r="O105" s="1186" t="s">
        <v>536</v>
      </c>
      <c r="P105" s="1186"/>
      <c r="Q105" s="1186" t="s">
        <v>536</v>
      </c>
      <c r="R105" s="1186"/>
      <c r="S105" s="1186"/>
      <c r="T105" s="1186" t="s">
        <v>536</v>
      </c>
      <c r="U105" s="1186" t="s">
        <v>536</v>
      </c>
      <c r="V105" s="1186"/>
      <c r="W105" s="1186"/>
      <c r="X105" s="1186"/>
      <c r="Y105" s="1186"/>
      <c r="Z105" s="1186"/>
      <c r="AA105" s="1186"/>
      <c r="AB105" s="1186"/>
      <c r="AC105" s="1186"/>
      <c r="AD105" s="1186"/>
      <c r="AE105" s="1186"/>
      <c r="AF105" s="1186"/>
      <c r="AG105" s="1186"/>
      <c r="AH105" s="1186"/>
      <c r="AI105" s="1529">
        <f t="shared" si="4"/>
        <v>6</v>
      </c>
      <c r="AJ105" s="1466"/>
    </row>
    <row r="106" spans="1:39" s="156" customFormat="1" ht="16.5" customHeight="1" outlineLevel="1">
      <c r="A106" s="1182">
        <v>53</v>
      </c>
      <c r="B106" s="1182" t="e">
        <f>VLOOKUP(C106,'DS CN MOI UP'!$B$10:$C$347,2,0)</f>
        <v>#N/A</v>
      </c>
      <c r="C106" s="1185" t="s">
        <v>481</v>
      </c>
      <c r="D106" s="1186"/>
      <c r="E106" s="1186"/>
      <c r="F106" s="1186"/>
      <c r="G106" s="1186"/>
      <c r="H106" s="1186"/>
      <c r="I106" s="1186"/>
      <c r="J106" s="1186"/>
      <c r="K106" s="1186"/>
      <c r="L106" s="1186"/>
      <c r="M106" s="1186"/>
      <c r="N106" s="1186"/>
      <c r="O106" s="1186"/>
      <c r="P106" s="1186"/>
      <c r="Q106" s="1186"/>
      <c r="R106" s="1186"/>
      <c r="S106" s="1186"/>
      <c r="T106" s="1186"/>
      <c r="U106" s="1186"/>
      <c r="V106" s="1186"/>
      <c r="W106" s="1186"/>
      <c r="X106" s="1186"/>
      <c r="Y106" s="1186"/>
      <c r="Z106" s="1186"/>
      <c r="AA106" s="1186"/>
      <c r="AB106" s="1186"/>
      <c r="AC106" s="1186"/>
      <c r="AD106" s="1186"/>
      <c r="AE106" s="1186"/>
      <c r="AF106" s="1186"/>
      <c r="AG106" s="1186"/>
      <c r="AH106" s="1186"/>
      <c r="AI106" s="1529">
        <f t="shared" si="4"/>
        <v>0</v>
      </c>
      <c r="AJ106" s="1466"/>
    </row>
    <row r="107" spans="1:39" s="156" customFormat="1" ht="16.5" customHeight="1" outlineLevel="1">
      <c r="A107" s="1182">
        <v>54</v>
      </c>
      <c r="B107" s="1182" t="e">
        <f>VLOOKUP(C107,'DS CN MOI UP'!$B$10:$C$347,2,0)</f>
        <v>#N/A</v>
      </c>
      <c r="C107" s="1185" t="s">
        <v>482</v>
      </c>
      <c r="D107" s="1186"/>
      <c r="E107" s="1186"/>
      <c r="F107" s="1186"/>
      <c r="G107" s="1186"/>
      <c r="H107" s="1186"/>
      <c r="I107" s="1186"/>
      <c r="J107" s="1186"/>
      <c r="K107" s="1186"/>
      <c r="L107" s="1186"/>
      <c r="M107" s="1186"/>
      <c r="N107" s="1186"/>
      <c r="O107" s="1186"/>
      <c r="P107" s="1186"/>
      <c r="Q107" s="1186"/>
      <c r="R107" s="1186"/>
      <c r="S107" s="1186"/>
      <c r="T107" s="1186" t="s">
        <v>536</v>
      </c>
      <c r="U107" s="1186"/>
      <c r="V107" s="1186"/>
      <c r="W107" s="1186"/>
      <c r="X107" s="1186"/>
      <c r="Y107" s="1186"/>
      <c r="Z107" s="1186"/>
      <c r="AA107" s="1186"/>
      <c r="AB107" s="1186"/>
      <c r="AC107" s="1186"/>
      <c r="AD107" s="1186"/>
      <c r="AE107" s="1186"/>
      <c r="AF107" s="1186"/>
      <c r="AG107" s="1186"/>
      <c r="AH107" s="1186"/>
      <c r="AI107" s="1529">
        <f t="shared" si="4"/>
        <v>1</v>
      </c>
      <c r="AJ107" s="1466"/>
    </row>
    <row r="108" spans="1:39" s="156" customFormat="1" ht="16.5" customHeight="1" outlineLevel="1">
      <c r="A108" s="1182">
        <v>55</v>
      </c>
      <c r="B108" s="1182" t="e">
        <f>VLOOKUP(C108,'DS CN MOI UP'!$B$10:$C$347,2,0)</f>
        <v>#N/A</v>
      </c>
      <c r="C108" s="1185" t="s">
        <v>483</v>
      </c>
      <c r="D108" s="1186"/>
      <c r="E108" s="1186"/>
      <c r="F108" s="1186"/>
      <c r="G108" s="1186"/>
      <c r="H108" s="1186"/>
      <c r="I108" s="1186" t="s">
        <v>536</v>
      </c>
      <c r="J108" s="1186"/>
      <c r="K108" s="1186"/>
      <c r="L108" s="1186"/>
      <c r="M108" s="1186"/>
      <c r="N108" s="1186"/>
      <c r="O108" s="1186"/>
      <c r="P108" s="1186" t="s">
        <v>536</v>
      </c>
      <c r="Q108" s="1186" t="s">
        <v>536</v>
      </c>
      <c r="R108" s="1186"/>
      <c r="S108" s="1186"/>
      <c r="T108" s="1186"/>
      <c r="U108" s="1186" t="s">
        <v>536</v>
      </c>
      <c r="V108" s="1186"/>
      <c r="W108" s="1186"/>
      <c r="X108" s="1186"/>
      <c r="Y108" s="1186"/>
      <c r="Z108" s="1186"/>
      <c r="AA108" s="1186"/>
      <c r="AB108" s="1186"/>
      <c r="AC108" s="1186"/>
      <c r="AD108" s="1186"/>
      <c r="AE108" s="1186"/>
      <c r="AF108" s="1186"/>
      <c r="AG108" s="1186"/>
      <c r="AH108" s="1186"/>
      <c r="AI108" s="1529">
        <f t="shared" si="4"/>
        <v>4</v>
      </c>
      <c r="AJ108" s="1466"/>
    </row>
    <row r="109" spans="1:39" s="1232" customFormat="1" ht="16.5" customHeight="1">
      <c r="A109" s="1183" t="s">
        <v>521</v>
      </c>
      <c r="B109" s="1182" t="e">
        <f>VLOOKUP(C109,'DS CN MOI UP'!$B$10:$C$347,2,0)</f>
        <v>#N/A</v>
      </c>
      <c r="C109" s="1183" t="s">
        <v>1941</v>
      </c>
      <c r="D109" s="1240">
        <f>COUNTIF(D110:D203,"X")+COUNTIF(D110:D203,"CN")</f>
        <v>0</v>
      </c>
      <c r="E109" s="1240">
        <f t="shared" ref="E109:AH109" si="5">COUNTIF(E110:E203,"X")+COUNTIF(E110:E203,"CN")</f>
        <v>29</v>
      </c>
      <c r="F109" s="1240">
        <f t="shared" si="5"/>
        <v>22</v>
      </c>
      <c r="G109" s="1240">
        <f t="shared" si="5"/>
        <v>51</v>
      </c>
      <c r="H109" s="1240">
        <f t="shared" si="5"/>
        <v>0</v>
      </c>
      <c r="I109" s="1240">
        <f t="shared" si="5"/>
        <v>0</v>
      </c>
      <c r="J109" s="1240">
        <f t="shared" si="5"/>
        <v>0</v>
      </c>
      <c r="K109" s="1240">
        <f t="shared" si="5"/>
        <v>0</v>
      </c>
      <c r="L109" s="1240">
        <f t="shared" si="5"/>
        <v>0</v>
      </c>
      <c r="M109" s="1240">
        <f t="shared" si="5"/>
        <v>0</v>
      </c>
      <c r="N109" s="1240">
        <f t="shared" si="5"/>
        <v>0</v>
      </c>
      <c r="O109" s="1240">
        <f t="shared" si="5"/>
        <v>0</v>
      </c>
      <c r="P109" s="1240">
        <f t="shared" si="5"/>
        <v>0</v>
      </c>
      <c r="Q109" s="1240">
        <f t="shared" si="5"/>
        <v>66</v>
      </c>
      <c r="R109" s="1240">
        <f t="shared" si="5"/>
        <v>84</v>
      </c>
      <c r="S109" s="1240">
        <f t="shared" si="5"/>
        <v>52</v>
      </c>
      <c r="T109" s="1240">
        <f t="shared" si="5"/>
        <v>41</v>
      </c>
      <c r="U109" s="1240">
        <f t="shared" si="5"/>
        <v>78</v>
      </c>
      <c r="V109" s="1240">
        <f t="shared" si="5"/>
        <v>28</v>
      </c>
      <c r="W109" s="1240">
        <f t="shared" si="5"/>
        <v>64</v>
      </c>
      <c r="X109" s="1240">
        <f t="shared" si="5"/>
        <v>72</v>
      </c>
      <c r="Y109" s="1240">
        <f t="shared" si="5"/>
        <v>0</v>
      </c>
      <c r="Z109" s="1240">
        <f t="shared" si="5"/>
        <v>0</v>
      </c>
      <c r="AA109" s="1240">
        <f t="shared" si="5"/>
        <v>29</v>
      </c>
      <c r="AB109" s="1240">
        <f t="shared" si="5"/>
        <v>0</v>
      </c>
      <c r="AC109" s="1240">
        <f t="shared" si="5"/>
        <v>0</v>
      </c>
      <c r="AD109" s="1240">
        <f t="shared" si="5"/>
        <v>0</v>
      </c>
      <c r="AE109" s="1240">
        <f t="shared" si="5"/>
        <v>0</v>
      </c>
      <c r="AF109" s="1240">
        <f t="shared" si="5"/>
        <v>67</v>
      </c>
      <c r="AG109" s="1240">
        <f t="shared" si="5"/>
        <v>75</v>
      </c>
      <c r="AH109" s="1240">
        <f t="shared" si="5"/>
        <v>0</v>
      </c>
      <c r="AI109" s="1204">
        <f>SUM(AI110:AI203)</f>
        <v>758</v>
      </c>
      <c r="AJ109" s="1204"/>
      <c r="AK109" s="1247"/>
      <c r="AL109" s="1247"/>
      <c r="AM109" s="1247"/>
    </row>
    <row r="110" spans="1:39" s="156" customFormat="1" ht="16.5" customHeight="1" outlineLevel="1">
      <c r="A110" s="1182">
        <v>1</v>
      </c>
      <c r="B110" s="1635" t="str">
        <f>VLOOKUP(C110,'DS CN MOI UP'!$B$10:$C$347,2,0)</f>
        <v>03319</v>
      </c>
      <c r="C110" s="991" t="s">
        <v>14</v>
      </c>
      <c r="D110" s="1186"/>
      <c r="E110" s="1186" t="s">
        <v>536</v>
      </c>
      <c r="F110" s="1186"/>
      <c r="G110" s="1186" t="s">
        <v>536</v>
      </c>
      <c r="H110" s="1186"/>
      <c r="I110" s="1186"/>
      <c r="J110" s="1186"/>
      <c r="K110" s="1186"/>
      <c r="L110" s="1186"/>
      <c r="M110" s="1186"/>
      <c r="N110" s="1186"/>
      <c r="O110" s="1186"/>
      <c r="P110" s="1186"/>
      <c r="Q110" s="1186" t="s">
        <v>536</v>
      </c>
      <c r="R110" s="1186" t="s">
        <v>536</v>
      </c>
      <c r="S110" s="1186" t="s">
        <v>536</v>
      </c>
      <c r="T110" s="1186" t="s">
        <v>536</v>
      </c>
      <c r="U110" s="1186" t="s">
        <v>536</v>
      </c>
      <c r="V110" s="1186"/>
      <c r="W110" s="1186"/>
      <c r="X110" s="1186" t="s">
        <v>536</v>
      </c>
      <c r="Y110" s="1186"/>
      <c r="Z110" s="1186"/>
      <c r="AA110" s="1186" t="s">
        <v>536</v>
      </c>
      <c r="AB110" s="1186"/>
      <c r="AC110" s="1186"/>
      <c r="AD110" s="1182"/>
      <c r="AE110" s="1182"/>
      <c r="AF110" s="1186" t="s">
        <v>536</v>
      </c>
      <c r="AG110" s="1186" t="s">
        <v>536</v>
      </c>
      <c r="AH110" s="1186"/>
      <c r="AI110" s="1529">
        <f t="shared" ref="AI110:AI173" si="6">COUNTIF(D110:AH110,"X")</f>
        <v>11</v>
      </c>
      <c r="AJ110" s="1466"/>
      <c r="AK110" s="615"/>
      <c r="AM110" s="615"/>
    </row>
    <row r="111" spans="1:39" s="156" customFormat="1" ht="16.5" customHeight="1" outlineLevel="1">
      <c r="A111" s="1182">
        <v>2</v>
      </c>
      <c r="B111" s="1635" t="str">
        <f>VLOOKUP(C111,'DS CN MOI UP'!$B$10:$C$347,2,0)</f>
        <v>03320</v>
      </c>
      <c r="C111" s="991" t="s">
        <v>16</v>
      </c>
      <c r="D111" s="1186"/>
      <c r="E111" s="1186" t="s">
        <v>536</v>
      </c>
      <c r="F111" s="1186"/>
      <c r="G111" s="1186" t="s">
        <v>536</v>
      </c>
      <c r="H111" s="1186"/>
      <c r="I111" s="1186"/>
      <c r="J111" s="1186"/>
      <c r="K111" s="1186"/>
      <c r="L111" s="1186"/>
      <c r="M111" s="1186"/>
      <c r="N111" s="1186"/>
      <c r="O111" s="1186"/>
      <c r="P111" s="1186"/>
      <c r="Q111" s="1186" t="s">
        <v>536</v>
      </c>
      <c r="R111" s="1186" t="s">
        <v>536</v>
      </c>
      <c r="S111" s="1186" t="s">
        <v>536</v>
      </c>
      <c r="T111" s="1186" t="s">
        <v>536</v>
      </c>
      <c r="U111" s="1186" t="s">
        <v>536</v>
      </c>
      <c r="V111" s="1186" t="s">
        <v>536</v>
      </c>
      <c r="W111" s="1186"/>
      <c r="X111" s="1186" t="s">
        <v>536</v>
      </c>
      <c r="Y111" s="1186"/>
      <c r="Z111" s="1186"/>
      <c r="AA111" s="1186" t="s">
        <v>536</v>
      </c>
      <c r="AB111" s="1186"/>
      <c r="AC111" s="1186"/>
      <c r="AD111" s="1186"/>
      <c r="AE111" s="1186"/>
      <c r="AF111" s="1186" t="s">
        <v>536</v>
      </c>
      <c r="AG111" s="1186" t="s">
        <v>536</v>
      </c>
      <c r="AH111" s="1186"/>
      <c r="AI111" s="1529">
        <f t="shared" si="6"/>
        <v>12</v>
      </c>
      <c r="AJ111" s="1466"/>
      <c r="AK111" s="615"/>
    </row>
    <row r="112" spans="1:39" s="156" customFormat="1" ht="16.5" customHeight="1" outlineLevel="1">
      <c r="A112" s="1182">
        <v>3</v>
      </c>
      <c r="B112" s="1635" t="str">
        <f>VLOOKUP(C112,'DS CN MOI UP'!$B$10:$C$347,2,0)</f>
        <v>02453</v>
      </c>
      <c r="C112" s="991" t="s">
        <v>17</v>
      </c>
      <c r="D112" s="1186"/>
      <c r="E112" s="1186" t="s">
        <v>536</v>
      </c>
      <c r="F112" s="1186"/>
      <c r="G112" s="1186" t="s">
        <v>536</v>
      </c>
      <c r="H112" s="1186"/>
      <c r="I112" s="1186"/>
      <c r="J112" s="1186"/>
      <c r="K112" s="1186"/>
      <c r="L112" s="1186"/>
      <c r="M112" s="1186"/>
      <c r="N112" s="1186"/>
      <c r="O112" s="1186"/>
      <c r="P112" s="1186"/>
      <c r="Q112" s="1186" t="s">
        <v>536</v>
      </c>
      <c r="R112" s="1186" t="s">
        <v>536</v>
      </c>
      <c r="S112" s="1186" t="s">
        <v>536</v>
      </c>
      <c r="T112" s="1186" t="s">
        <v>536</v>
      </c>
      <c r="U112" s="1186" t="s">
        <v>536</v>
      </c>
      <c r="V112" s="1186"/>
      <c r="W112" s="1186"/>
      <c r="X112" s="1186"/>
      <c r="Y112" s="1186"/>
      <c r="Z112" s="1186"/>
      <c r="AA112" s="1186"/>
      <c r="AB112" s="1186"/>
      <c r="AC112" s="1186"/>
      <c r="AD112" s="1186"/>
      <c r="AE112" s="1186"/>
      <c r="AF112" s="1186" t="s">
        <v>536</v>
      </c>
      <c r="AG112" s="1186" t="s">
        <v>536</v>
      </c>
      <c r="AH112" s="1186"/>
      <c r="AI112" s="1529">
        <f t="shared" si="6"/>
        <v>9</v>
      </c>
      <c r="AJ112" s="1466"/>
      <c r="AK112" s="615"/>
    </row>
    <row r="113" spans="1:37" s="156" customFormat="1" ht="16.5" customHeight="1" outlineLevel="1">
      <c r="A113" s="1182">
        <v>4</v>
      </c>
      <c r="B113" s="1635" t="str">
        <f>VLOOKUP(C113,'DS CN MOI UP'!$B$10:$C$347,2,0)</f>
        <v>02471</v>
      </c>
      <c r="C113" s="963" t="s">
        <v>18</v>
      </c>
      <c r="D113" s="1186"/>
      <c r="E113" s="1186" t="s">
        <v>536</v>
      </c>
      <c r="F113" s="1186"/>
      <c r="G113" s="1186" t="s">
        <v>536</v>
      </c>
      <c r="H113" s="1186"/>
      <c r="I113" s="1186"/>
      <c r="J113" s="1186"/>
      <c r="K113" s="1186"/>
      <c r="L113" s="1186"/>
      <c r="M113" s="1186"/>
      <c r="N113" s="1186"/>
      <c r="O113" s="1186"/>
      <c r="P113" s="1186"/>
      <c r="Q113" s="1186" t="s">
        <v>536</v>
      </c>
      <c r="R113" s="1186" t="s">
        <v>536</v>
      </c>
      <c r="S113" s="1186"/>
      <c r="T113" s="1186" t="s">
        <v>536</v>
      </c>
      <c r="U113" s="1186" t="s">
        <v>536</v>
      </c>
      <c r="V113" s="1186" t="s">
        <v>536</v>
      </c>
      <c r="W113" s="1186"/>
      <c r="X113" s="1186" t="s">
        <v>536</v>
      </c>
      <c r="Y113" s="1186"/>
      <c r="Z113" s="1186"/>
      <c r="AA113" s="1186" t="s">
        <v>536</v>
      </c>
      <c r="AB113" s="1186"/>
      <c r="AC113" s="1186"/>
      <c r="AD113" s="1182"/>
      <c r="AE113" s="1182"/>
      <c r="AF113" s="1186" t="s">
        <v>536</v>
      </c>
      <c r="AG113" s="1186" t="s">
        <v>536</v>
      </c>
      <c r="AH113" s="1186"/>
      <c r="AI113" s="1529">
        <f t="shared" si="6"/>
        <v>11</v>
      </c>
      <c r="AJ113" s="1466"/>
      <c r="AK113" s="615"/>
    </row>
    <row r="114" spans="1:37" s="156" customFormat="1" ht="16.5" customHeight="1" outlineLevel="1">
      <c r="A114" s="1182">
        <v>5</v>
      </c>
      <c r="B114" s="1182" t="e">
        <f>VLOOKUP(C114,'DS CN MOI UP'!$B$10:$C$347,2,0)</f>
        <v>#N/A</v>
      </c>
      <c r="C114" s="991" t="s">
        <v>556</v>
      </c>
      <c r="D114" s="1186"/>
      <c r="E114" s="1186" t="s">
        <v>536</v>
      </c>
      <c r="F114" s="1186"/>
      <c r="G114" s="1186" t="s">
        <v>536</v>
      </c>
      <c r="H114" s="1186"/>
      <c r="I114" s="1186"/>
      <c r="J114" s="1186"/>
      <c r="K114" s="1186"/>
      <c r="L114" s="1186"/>
      <c r="M114" s="1186"/>
      <c r="N114" s="1186"/>
      <c r="O114" s="1186"/>
      <c r="P114" s="1186"/>
      <c r="Q114" s="1186" t="s">
        <v>536</v>
      </c>
      <c r="R114" s="1186" t="s">
        <v>536</v>
      </c>
      <c r="S114" s="1186" t="s">
        <v>536</v>
      </c>
      <c r="T114" s="1186" t="s">
        <v>536</v>
      </c>
      <c r="U114" s="1186" t="s">
        <v>536</v>
      </c>
      <c r="V114" s="1186" t="s">
        <v>536</v>
      </c>
      <c r="W114" s="1186"/>
      <c r="X114" s="1186"/>
      <c r="Y114" s="1186"/>
      <c r="Z114" s="1186"/>
      <c r="AA114" s="1186"/>
      <c r="AB114" s="1186"/>
      <c r="AC114" s="1186"/>
      <c r="AD114" s="1182"/>
      <c r="AE114" s="1182"/>
      <c r="AF114" s="1186"/>
      <c r="AG114" s="1186" t="s">
        <v>536</v>
      </c>
      <c r="AH114" s="1186"/>
      <c r="AI114" s="1529">
        <f t="shared" si="6"/>
        <v>9</v>
      </c>
      <c r="AJ114" s="1466"/>
      <c r="AK114" s="615"/>
    </row>
    <row r="115" spans="1:37" s="156" customFormat="1" ht="16.5" customHeight="1" outlineLevel="1">
      <c r="A115" s="1182">
        <v>6</v>
      </c>
      <c r="B115" s="1182" t="e">
        <f>VLOOKUP(C115,'DS CN MOI UP'!$B$10:$C$347,2,0)</f>
        <v>#N/A</v>
      </c>
      <c r="C115" s="991" t="s">
        <v>557</v>
      </c>
      <c r="D115" s="1186"/>
      <c r="E115" s="1186"/>
      <c r="F115" s="1186"/>
      <c r="G115" s="1186" t="s">
        <v>536</v>
      </c>
      <c r="H115" s="1186"/>
      <c r="I115" s="1186"/>
      <c r="J115" s="1186"/>
      <c r="K115" s="1186"/>
      <c r="L115" s="1186"/>
      <c r="M115" s="1186"/>
      <c r="N115" s="1186"/>
      <c r="O115" s="1186"/>
      <c r="P115" s="1186"/>
      <c r="Q115" s="1186" t="s">
        <v>536</v>
      </c>
      <c r="R115" s="1186" t="s">
        <v>536</v>
      </c>
      <c r="S115" s="1186" t="s">
        <v>536</v>
      </c>
      <c r="T115" s="1186" t="s">
        <v>536</v>
      </c>
      <c r="U115" s="1186" t="s">
        <v>536</v>
      </c>
      <c r="V115" s="1186"/>
      <c r="W115" s="1186" t="s">
        <v>536</v>
      </c>
      <c r="X115" s="1186" t="s">
        <v>536</v>
      </c>
      <c r="Y115" s="1186"/>
      <c r="Z115" s="1186"/>
      <c r="AA115" s="1186"/>
      <c r="AB115" s="1186"/>
      <c r="AC115" s="1186"/>
      <c r="AD115" s="1182"/>
      <c r="AE115" s="1182"/>
      <c r="AF115" s="1186"/>
      <c r="AG115" s="1186" t="s">
        <v>536</v>
      </c>
      <c r="AH115" s="1186"/>
      <c r="AI115" s="1529">
        <f t="shared" si="6"/>
        <v>9</v>
      </c>
      <c r="AJ115" s="1466"/>
      <c r="AK115" s="615"/>
    </row>
    <row r="116" spans="1:37" s="156" customFormat="1" ht="16.149999999999999" customHeight="1" outlineLevel="1">
      <c r="A116" s="1182">
        <v>7</v>
      </c>
      <c r="B116" s="1635" t="str">
        <f>VLOOKUP(C116,'DS CN MOI UP'!$B$10:$C$347,2,0)</f>
        <v>03322</v>
      </c>
      <c r="C116" s="1185" t="s">
        <v>21</v>
      </c>
      <c r="D116" s="1186"/>
      <c r="E116" s="1186" t="s">
        <v>536</v>
      </c>
      <c r="F116" s="1186"/>
      <c r="G116" s="1186"/>
      <c r="H116" s="1186"/>
      <c r="I116" s="1186"/>
      <c r="J116" s="1186"/>
      <c r="K116" s="1186"/>
      <c r="L116" s="1186"/>
      <c r="M116" s="1186"/>
      <c r="N116" s="1186"/>
      <c r="O116" s="1186"/>
      <c r="P116" s="1186"/>
      <c r="Q116" s="1186"/>
      <c r="R116" s="1186" t="s">
        <v>536</v>
      </c>
      <c r="S116" s="1186"/>
      <c r="T116" s="1186" t="s">
        <v>536</v>
      </c>
      <c r="U116" s="1186"/>
      <c r="V116" s="1186"/>
      <c r="W116" s="1186"/>
      <c r="X116" s="1186" t="s">
        <v>536</v>
      </c>
      <c r="Y116" s="1186"/>
      <c r="Z116" s="1186"/>
      <c r="AA116" s="1186"/>
      <c r="AB116" s="1186"/>
      <c r="AC116" s="1186"/>
      <c r="AD116" s="1182"/>
      <c r="AE116" s="1186"/>
      <c r="AF116" s="1186" t="s">
        <v>536</v>
      </c>
      <c r="AG116" s="1186" t="s">
        <v>536</v>
      </c>
      <c r="AH116" s="1186"/>
      <c r="AI116" s="1529">
        <f t="shared" si="6"/>
        <v>6</v>
      </c>
      <c r="AJ116" s="1466"/>
      <c r="AK116" s="615"/>
    </row>
    <row r="117" spans="1:37" s="156" customFormat="1" ht="16.149999999999999" customHeight="1" outlineLevel="1">
      <c r="A117" s="1182">
        <v>8</v>
      </c>
      <c r="B117" s="1635" t="str">
        <f>VLOOKUP(C117,'DS CN MOI UP'!$B$10:$C$347,2,0)</f>
        <v>02452</v>
      </c>
      <c r="C117" s="1185" t="s">
        <v>22</v>
      </c>
      <c r="D117" s="1186"/>
      <c r="E117" s="1186"/>
      <c r="F117" s="1186"/>
      <c r="G117" s="1186"/>
      <c r="H117" s="1186"/>
      <c r="I117" s="1186"/>
      <c r="J117" s="1186"/>
      <c r="K117" s="1186"/>
      <c r="L117" s="1186"/>
      <c r="M117" s="1186"/>
      <c r="N117" s="1186"/>
      <c r="O117" s="1186"/>
      <c r="P117" s="1186"/>
      <c r="Q117" s="1186" t="s">
        <v>536</v>
      </c>
      <c r="R117" s="1186" t="s">
        <v>536</v>
      </c>
      <c r="S117" s="1186" t="s">
        <v>536</v>
      </c>
      <c r="T117" s="1186" t="s">
        <v>536</v>
      </c>
      <c r="U117" s="1186" t="s">
        <v>536</v>
      </c>
      <c r="V117" s="1186"/>
      <c r="W117" s="1186" t="s">
        <v>536</v>
      </c>
      <c r="X117" s="1186" t="s">
        <v>536</v>
      </c>
      <c r="Y117" s="1186"/>
      <c r="Z117" s="1186"/>
      <c r="AA117" s="1186" t="s">
        <v>536</v>
      </c>
      <c r="AB117" s="1186"/>
      <c r="AC117" s="1186"/>
      <c r="AD117" s="1182"/>
      <c r="AE117" s="1182"/>
      <c r="AF117" s="1186" t="s">
        <v>536</v>
      </c>
      <c r="AG117" s="1186" t="s">
        <v>536</v>
      </c>
      <c r="AH117" s="1186"/>
      <c r="AI117" s="1529">
        <f t="shared" si="6"/>
        <v>10</v>
      </c>
      <c r="AJ117" s="1466"/>
      <c r="AK117" s="615"/>
    </row>
    <row r="118" spans="1:37" s="156" customFormat="1" ht="16.149999999999999" customHeight="1" outlineLevel="1">
      <c r="A118" s="1182">
        <v>9</v>
      </c>
      <c r="B118" s="1635" t="str">
        <f>VLOOKUP(C118,'DS CN MOI UP'!$B$10:$C$347,2,0)</f>
        <v>02508</v>
      </c>
      <c r="C118" s="1185" t="s">
        <v>23</v>
      </c>
      <c r="D118" s="1186"/>
      <c r="E118" s="1186"/>
      <c r="F118" s="1186"/>
      <c r="G118" s="1186"/>
      <c r="H118" s="1186"/>
      <c r="I118" s="1186"/>
      <c r="J118" s="1186"/>
      <c r="K118" s="1186"/>
      <c r="L118" s="1186"/>
      <c r="M118" s="1186"/>
      <c r="N118" s="1186"/>
      <c r="O118" s="1186"/>
      <c r="P118" s="1186"/>
      <c r="Q118" s="1186" t="s">
        <v>536</v>
      </c>
      <c r="R118" s="1186" t="s">
        <v>536</v>
      </c>
      <c r="S118" s="1186" t="s">
        <v>536</v>
      </c>
      <c r="T118" s="1186" t="s">
        <v>536</v>
      </c>
      <c r="U118" s="1186" t="s">
        <v>536</v>
      </c>
      <c r="V118" s="1186"/>
      <c r="W118" s="1186" t="s">
        <v>536</v>
      </c>
      <c r="X118" s="1186" t="s">
        <v>536</v>
      </c>
      <c r="Y118" s="1186"/>
      <c r="Z118" s="1186"/>
      <c r="AA118" s="1186" t="s">
        <v>536</v>
      </c>
      <c r="AB118" s="1186"/>
      <c r="AC118" s="1186"/>
      <c r="AD118" s="1182"/>
      <c r="AE118" s="1182"/>
      <c r="AF118" s="1186" t="s">
        <v>536</v>
      </c>
      <c r="AG118" s="1186" t="s">
        <v>536</v>
      </c>
      <c r="AH118" s="1186"/>
      <c r="AI118" s="1529">
        <f t="shared" si="6"/>
        <v>10</v>
      </c>
      <c r="AJ118" s="1466"/>
      <c r="AK118" s="615"/>
    </row>
    <row r="119" spans="1:37" s="156" customFormat="1" ht="16.149999999999999" customHeight="1" outlineLevel="1">
      <c r="A119" s="1182">
        <v>10</v>
      </c>
      <c r="B119" s="1635" t="str">
        <f>VLOOKUP(C119,'DS CN MOI UP'!$B$10:$C$347,2,0)</f>
        <v>03323</v>
      </c>
      <c r="C119" s="1185" t="s">
        <v>24</v>
      </c>
      <c r="D119" s="1186"/>
      <c r="E119" s="1186" t="s">
        <v>536</v>
      </c>
      <c r="F119" s="1186" t="s">
        <v>536</v>
      </c>
      <c r="G119" s="1186" t="s">
        <v>536</v>
      </c>
      <c r="H119" s="1186"/>
      <c r="I119" s="1186"/>
      <c r="J119" s="1186"/>
      <c r="K119" s="1186"/>
      <c r="L119" s="1186"/>
      <c r="M119" s="1186"/>
      <c r="N119" s="1186"/>
      <c r="O119" s="1186"/>
      <c r="P119" s="1186"/>
      <c r="Q119" s="1186" t="s">
        <v>536</v>
      </c>
      <c r="R119" s="1186" t="s">
        <v>536</v>
      </c>
      <c r="S119" s="1186" t="s">
        <v>536</v>
      </c>
      <c r="T119" s="1186"/>
      <c r="U119" s="1186" t="s">
        <v>536</v>
      </c>
      <c r="V119" s="1186"/>
      <c r="W119" s="1186" t="s">
        <v>536</v>
      </c>
      <c r="X119" s="1186" t="s">
        <v>536</v>
      </c>
      <c r="Y119" s="1186"/>
      <c r="Z119" s="1186"/>
      <c r="AA119" s="1186" t="s">
        <v>536</v>
      </c>
      <c r="AB119" s="1186"/>
      <c r="AC119" s="1186"/>
      <c r="AD119" s="1186"/>
      <c r="AE119" s="1186"/>
      <c r="AF119" s="1186" t="s">
        <v>536</v>
      </c>
      <c r="AG119" s="1186" t="s">
        <v>536</v>
      </c>
      <c r="AH119" s="1186"/>
      <c r="AI119" s="1529">
        <f t="shared" si="6"/>
        <v>12</v>
      </c>
      <c r="AJ119" s="1466"/>
      <c r="AK119" s="615"/>
    </row>
    <row r="120" spans="1:37" s="156" customFormat="1" ht="16.149999999999999" customHeight="1" outlineLevel="1">
      <c r="A120" s="1182">
        <v>11</v>
      </c>
      <c r="B120" s="1635" t="str">
        <f>VLOOKUP(C120,'DS CN MOI UP'!$B$10:$C$347,2,0)</f>
        <v>02466</v>
      </c>
      <c r="C120" s="1185" t="s">
        <v>25</v>
      </c>
      <c r="D120" s="1186"/>
      <c r="E120" s="1186" t="s">
        <v>536</v>
      </c>
      <c r="F120" s="1186" t="s">
        <v>536</v>
      </c>
      <c r="G120" s="1186" t="s">
        <v>536</v>
      </c>
      <c r="H120" s="1186"/>
      <c r="I120" s="1186"/>
      <c r="J120" s="1186"/>
      <c r="K120" s="1186"/>
      <c r="L120" s="1186"/>
      <c r="M120" s="1186"/>
      <c r="N120" s="1186"/>
      <c r="O120" s="1186"/>
      <c r="P120" s="1186"/>
      <c r="Q120" s="1186" t="s">
        <v>536</v>
      </c>
      <c r="R120" s="1186"/>
      <c r="S120" s="1186"/>
      <c r="T120" s="1186"/>
      <c r="U120" s="1186" t="s">
        <v>536</v>
      </c>
      <c r="V120" s="1186"/>
      <c r="W120" s="1186"/>
      <c r="X120" s="1186" t="s">
        <v>536</v>
      </c>
      <c r="Y120" s="1186"/>
      <c r="Z120" s="1186"/>
      <c r="AA120" s="1186" t="s">
        <v>536</v>
      </c>
      <c r="AB120" s="1186"/>
      <c r="AC120" s="1186"/>
      <c r="AD120" s="1186"/>
      <c r="AE120" s="1182"/>
      <c r="AF120" s="1186" t="s">
        <v>536</v>
      </c>
      <c r="AG120" s="1186" t="s">
        <v>536</v>
      </c>
      <c r="AH120" s="1186"/>
      <c r="AI120" s="1529">
        <f t="shared" si="6"/>
        <v>9</v>
      </c>
      <c r="AJ120" s="1466"/>
      <c r="AK120" s="615"/>
    </row>
    <row r="121" spans="1:37" s="156" customFormat="1" ht="16.149999999999999" customHeight="1" outlineLevel="1">
      <c r="A121" s="1182">
        <v>12</v>
      </c>
      <c r="B121" s="1635" t="str">
        <f>VLOOKUP(C121,'DS CN MOI UP'!$B$10:$C$347,2,0)</f>
        <v>02493</v>
      </c>
      <c r="C121" s="1185" t="s">
        <v>26</v>
      </c>
      <c r="D121" s="1186"/>
      <c r="E121" s="1186" t="s">
        <v>536</v>
      </c>
      <c r="F121" s="1186" t="s">
        <v>536</v>
      </c>
      <c r="G121" s="1186" t="s">
        <v>536</v>
      </c>
      <c r="H121" s="1186"/>
      <c r="I121" s="1186"/>
      <c r="J121" s="1186"/>
      <c r="K121" s="1186"/>
      <c r="L121" s="1186"/>
      <c r="M121" s="1186"/>
      <c r="N121" s="1186"/>
      <c r="O121" s="1186"/>
      <c r="P121" s="1186"/>
      <c r="Q121" s="1186"/>
      <c r="R121" s="1186"/>
      <c r="S121" s="1186" t="s">
        <v>536</v>
      </c>
      <c r="T121" s="1186" t="s">
        <v>536</v>
      </c>
      <c r="U121" s="1186" t="s">
        <v>536</v>
      </c>
      <c r="V121" s="1186"/>
      <c r="W121" s="1186"/>
      <c r="X121" s="1186" t="s">
        <v>536</v>
      </c>
      <c r="Y121" s="1186"/>
      <c r="Z121" s="1186"/>
      <c r="AA121" s="1186" t="s">
        <v>536</v>
      </c>
      <c r="AB121" s="1186"/>
      <c r="AC121" s="1186"/>
      <c r="AD121" s="1182"/>
      <c r="AE121" s="1186"/>
      <c r="AF121" s="1186" t="s">
        <v>536</v>
      </c>
      <c r="AG121" s="1186" t="s">
        <v>536</v>
      </c>
      <c r="AH121" s="1186"/>
      <c r="AI121" s="1529">
        <f t="shared" si="6"/>
        <v>10</v>
      </c>
      <c r="AJ121" s="1466"/>
      <c r="AK121" s="615"/>
    </row>
    <row r="122" spans="1:37" s="156" customFormat="1" ht="16.149999999999999" customHeight="1" outlineLevel="1">
      <c r="A122" s="1182">
        <v>13</v>
      </c>
      <c r="B122" s="1635" t="str">
        <f>VLOOKUP(C122,'DS CN MOI UP'!$B$10:$C$347,2,0)</f>
        <v>03324</v>
      </c>
      <c r="C122" s="1185" t="s">
        <v>27</v>
      </c>
      <c r="D122" s="1186"/>
      <c r="E122" s="1186"/>
      <c r="F122" s="1186" t="s">
        <v>536</v>
      </c>
      <c r="G122" s="1186"/>
      <c r="H122" s="1186"/>
      <c r="I122" s="1186"/>
      <c r="J122" s="1186"/>
      <c r="K122" s="1186"/>
      <c r="L122" s="1186"/>
      <c r="M122" s="1186"/>
      <c r="N122" s="1186"/>
      <c r="O122" s="1186"/>
      <c r="P122" s="1186"/>
      <c r="Q122" s="1186" t="s">
        <v>536</v>
      </c>
      <c r="R122" s="1186"/>
      <c r="S122" s="1186"/>
      <c r="T122" s="1186"/>
      <c r="U122" s="1186" t="s">
        <v>536</v>
      </c>
      <c r="V122" s="1186" t="s">
        <v>536</v>
      </c>
      <c r="W122" s="1186"/>
      <c r="X122" s="1186" t="s">
        <v>536</v>
      </c>
      <c r="Y122" s="1186"/>
      <c r="Z122" s="1186"/>
      <c r="AA122" s="1186"/>
      <c r="AB122" s="1186"/>
      <c r="AC122" s="1186"/>
      <c r="AD122" s="1186"/>
      <c r="AE122" s="1186"/>
      <c r="AF122" s="1186" t="s">
        <v>536</v>
      </c>
      <c r="AG122" s="1186" t="s">
        <v>536</v>
      </c>
      <c r="AH122" s="1186"/>
      <c r="AI122" s="1529">
        <f t="shared" si="6"/>
        <v>7</v>
      </c>
      <c r="AJ122" s="1466"/>
      <c r="AK122" s="615"/>
    </row>
    <row r="123" spans="1:37" s="156" customFormat="1" ht="16.149999999999999" customHeight="1" outlineLevel="1">
      <c r="A123" s="1182">
        <v>14</v>
      </c>
      <c r="B123" s="1635" t="str">
        <f>VLOOKUP(C123,'DS CN MOI UP'!$B$10:$C$347,2,0)</f>
        <v>03325</v>
      </c>
      <c r="C123" s="1185" t="s">
        <v>28</v>
      </c>
      <c r="D123" s="1186"/>
      <c r="E123" s="1186"/>
      <c r="F123" s="1186" t="s">
        <v>536</v>
      </c>
      <c r="G123" s="1186"/>
      <c r="H123" s="1186"/>
      <c r="I123" s="1186"/>
      <c r="J123" s="1186"/>
      <c r="K123" s="1186"/>
      <c r="L123" s="1186"/>
      <c r="M123" s="1186"/>
      <c r="N123" s="1186"/>
      <c r="O123" s="1186"/>
      <c r="P123" s="1186"/>
      <c r="Q123" s="1186" t="s">
        <v>536</v>
      </c>
      <c r="R123" s="1186"/>
      <c r="S123" s="1186"/>
      <c r="T123" s="1186"/>
      <c r="U123" s="1186" t="s">
        <v>536</v>
      </c>
      <c r="V123" s="1186" t="s">
        <v>536</v>
      </c>
      <c r="W123" s="1186"/>
      <c r="X123" s="1186" t="s">
        <v>536</v>
      </c>
      <c r="Y123" s="1186"/>
      <c r="Z123" s="1186"/>
      <c r="AA123" s="1186" t="s">
        <v>536</v>
      </c>
      <c r="AB123" s="1186"/>
      <c r="AC123" s="1186"/>
      <c r="AD123" s="1182"/>
      <c r="AE123" s="1182"/>
      <c r="AF123" s="1186" t="s">
        <v>536</v>
      </c>
      <c r="AG123" s="1186" t="s">
        <v>536</v>
      </c>
      <c r="AH123" s="1186"/>
      <c r="AI123" s="1529">
        <f t="shared" si="6"/>
        <v>8</v>
      </c>
      <c r="AJ123" s="1466"/>
      <c r="AK123" s="615"/>
    </row>
    <row r="124" spans="1:37" s="156" customFormat="1" ht="16.149999999999999" customHeight="1" outlineLevel="1">
      <c r="A124" s="1182">
        <v>15</v>
      </c>
      <c r="B124" s="1635" t="str">
        <f>VLOOKUP(C124,'DS CN MOI UP'!$B$10:$C$347,2,0)</f>
        <v>03326</v>
      </c>
      <c r="C124" s="1185" t="s">
        <v>29</v>
      </c>
      <c r="D124" s="1186"/>
      <c r="E124" s="1186" t="s">
        <v>536</v>
      </c>
      <c r="F124" s="1186"/>
      <c r="G124" s="1186" t="s">
        <v>536</v>
      </c>
      <c r="H124" s="1186"/>
      <c r="I124" s="1186"/>
      <c r="J124" s="1186"/>
      <c r="K124" s="1186"/>
      <c r="L124" s="1186"/>
      <c r="M124" s="1186"/>
      <c r="N124" s="1186"/>
      <c r="O124" s="1186"/>
      <c r="P124" s="1186"/>
      <c r="Q124" s="1186"/>
      <c r="R124" s="1186"/>
      <c r="S124" s="1186"/>
      <c r="T124" s="1186"/>
      <c r="U124" s="1186"/>
      <c r="V124" s="1186" t="s">
        <v>536</v>
      </c>
      <c r="W124" s="1186"/>
      <c r="X124" s="1186"/>
      <c r="Y124" s="1186"/>
      <c r="Z124" s="1186"/>
      <c r="AA124" s="1186" t="s">
        <v>536</v>
      </c>
      <c r="AB124" s="1186"/>
      <c r="AC124" s="1186"/>
      <c r="AD124" s="1182"/>
      <c r="AE124" s="1182"/>
      <c r="AF124" s="1186"/>
      <c r="AG124" s="1186" t="s">
        <v>536</v>
      </c>
      <c r="AH124" s="1186"/>
      <c r="AI124" s="1529">
        <f t="shared" si="6"/>
        <v>5</v>
      </c>
      <c r="AJ124" s="1466"/>
      <c r="AK124" s="615"/>
    </row>
    <row r="125" spans="1:37" s="156" customFormat="1" ht="16.149999999999999" customHeight="1" outlineLevel="1">
      <c r="A125" s="1182">
        <v>16</v>
      </c>
      <c r="B125" s="1635" t="str">
        <f>VLOOKUP(C125,'DS CN MOI UP'!$B$10:$C$347,2,0)</f>
        <v>02492</v>
      </c>
      <c r="C125" s="1185" t="s">
        <v>30</v>
      </c>
      <c r="D125" s="1186"/>
      <c r="E125" s="1186"/>
      <c r="F125" s="1186"/>
      <c r="G125" s="1186"/>
      <c r="H125" s="1186"/>
      <c r="I125" s="1186"/>
      <c r="J125" s="1186"/>
      <c r="K125" s="1186"/>
      <c r="L125" s="1186"/>
      <c r="M125" s="1186"/>
      <c r="N125" s="1186"/>
      <c r="O125" s="1186"/>
      <c r="P125" s="1186"/>
      <c r="Q125" s="1186"/>
      <c r="R125" s="1186" t="s">
        <v>536</v>
      </c>
      <c r="S125" s="1186"/>
      <c r="T125" s="1186"/>
      <c r="U125" s="1186" t="s">
        <v>536</v>
      </c>
      <c r="V125" s="1186"/>
      <c r="W125" s="1186" t="s">
        <v>536</v>
      </c>
      <c r="X125" s="1186"/>
      <c r="Y125" s="1186"/>
      <c r="Z125" s="1186"/>
      <c r="AA125" s="1186"/>
      <c r="AB125" s="1186"/>
      <c r="AC125" s="1186"/>
      <c r="AD125" s="1182"/>
      <c r="AE125" s="1186"/>
      <c r="AF125" s="1186" t="s">
        <v>536</v>
      </c>
      <c r="AG125" s="1186" t="s">
        <v>536</v>
      </c>
      <c r="AH125" s="1186"/>
      <c r="AI125" s="1529">
        <f t="shared" si="6"/>
        <v>5</v>
      </c>
      <c r="AJ125" s="1466"/>
      <c r="AK125" s="615"/>
    </row>
    <row r="126" spans="1:37" s="156" customFormat="1" ht="16.149999999999999" customHeight="1" outlineLevel="1">
      <c r="A126" s="1182">
        <v>17</v>
      </c>
      <c r="B126" s="1635" t="str">
        <f>VLOOKUP(C126,'DS CN MOI UP'!$B$10:$C$347,2,0)</f>
        <v>02485</v>
      </c>
      <c r="C126" s="1185" t="s">
        <v>31</v>
      </c>
      <c r="D126" s="1186"/>
      <c r="E126" s="1186"/>
      <c r="F126" s="1186"/>
      <c r="G126" s="1186" t="s">
        <v>536</v>
      </c>
      <c r="H126" s="1186"/>
      <c r="I126" s="1186"/>
      <c r="J126" s="1186"/>
      <c r="K126" s="1186"/>
      <c r="L126" s="1186"/>
      <c r="M126" s="1186"/>
      <c r="N126" s="1186"/>
      <c r="O126" s="1186"/>
      <c r="P126" s="1186"/>
      <c r="Q126" s="1186" t="s">
        <v>536</v>
      </c>
      <c r="R126" s="1186" t="s">
        <v>536</v>
      </c>
      <c r="S126" s="1186" t="s">
        <v>536</v>
      </c>
      <c r="T126" s="1186" t="s">
        <v>536</v>
      </c>
      <c r="U126" s="1186" t="s">
        <v>536</v>
      </c>
      <c r="V126" s="1186"/>
      <c r="W126" s="1186" t="s">
        <v>536</v>
      </c>
      <c r="X126" s="1186" t="s">
        <v>536</v>
      </c>
      <c r="Y126" s="1186"/>
      <c r="Z126" s="1186"/>
      <c r="AA126" s="1186" t="s">
        <v>536</v>
      </c>
      <c r="AB126" s="1186"/>
      <c r="AC126" s="1186"/>
      <c r="AD126" s="1186"/>
      <c r="AE126" s="1186"/>
      <c r="AF126" s="1186" t="s">
        <v>536</v>
      </c>
      <c r="AG126" s="1186" t="s">
        <v>536</v>
      </c>
      <c r="AH126" s="1186"/>
      <c r="AI126" s="1529">
        <f t="shared" si="6"/>
        <v>11</v>
      </c>
      <c r="AJ126" s="1466"/>
      <c r="AK126" s="615"/>
    </row>
    <row r="127" spans="1:37" s="156" customFormat="1" ht="16.149999999999999" customHeight="1" outlineLevel="1">
      <c r="A127" s="1182">
        <v>18</v>
      </c>
      <c r="B127" s="1635" t="str">
        <f>VLOOKUP(C127,'DS CN MOI UP'!$B$10:$C$347,2,0)</f>
        <v>02487</v>
      </c>
      <c r="C127" s="1185" t="s">
        <v>32</v>
      </c>
      <c r="D127" s="1186"/>
      <c r="E127" s="1186"/>
      <c r="F127" s="1186"/>
      <c r="G127" s="1186" t="s">
        <v>536</v>
      </c>
      <c r="H127" s="1186"/>
      <c r="I127" s="1186"/>
      <c r="J127" s="1186"/>
      <c r="K127" s="1186"/>
      <c r="L127" s="1186"/>
      <c r="M127" s="1186"/>
      <c r="N127" s="1186"/>
      <c r="O127" s="1186"/>
      <c r="P127" s="1186"/>
      <c r="Q127" s="1186" t="s">
        <v>536</v>
      </c>
      <c r="R127" s="1186" t="s">
        <v>536</v>
      </c>
      <c r="S127" s="1186" t="s">
        <v>536</v>
      </c>
      <c r="T127" s="1186" t="s">
        <v>536</v>
      </c>
      <c r="U127" s="1186" t="s">
        <v>536</v>
      </c>
      <c r="V127" s="1186"/>
      <c r="W127" s="1186" t="s">
        <v>536</v>
      </c>
      <c r="X127" s="1186" t="s">
        <v>536</v>
      </c>
      <c r="Y127" s="1186"/>
      <c r="Z127" s="1186"/>
      <c r="AA127" s="1186" t="s">
        <v>536</v>
      </c>
      <c r="AB127" s="1186"/>
      <c r="AC127" s="1186"/>
      <c r="AD127" s="1186"/>
      <c r="AE127" s="1182"/>
      <c r="AF127" s="1186" t="s">
        <v>536</v>
      </c>
      <c r="AG127" s="1186" t="s">
        <v>536</v>
      </c>
      <c r="AH127" s="1186"/>
      <c r="AI127" s="1529">
        <f t="shared" si="6"/>
        <v>11</v>
      </c>
      <c r="AJ127" s="1466"/>
      <c r="AK127" s="615"/>
    </row>
    <row r="128" spans="1:37" s="156" customFormat="1" ht="16.149999999999999" customHeight="1" outlineLevel="1">
      <c r="A128" s="1182">
        <v>19</v>
      </c>
      <c r="B128" s="1635" t="str">
        <f>VLOOKUP(C128,'DS CN MOI UP'!$B$10:$C$347,2,0)</f>
        <v>03327</v>
      </c>
      <c r="C128" s="1185" t="s">
        <v>33</v>
      </c>
      <c r="D128" s="1186"/>
      <c r="E128" s="1186"/>
      <c r="F128" s="1186"/>
      <c r="G128" s="1186"/>
      <c r="H128" s="1186"/>
      <c r="I128" s="1186"/>
      <c r="J128" s="1186"/>
      <c r="K128" s="1186"/>
      <c r="L128" s="1186"/>
      <c r="M128" s="1186"/>
      <c r="N128" s="1186"/>
      <c r="O128" s="1186"/>
      <c r="P128" s="1186"/>
      <c r="Q128" s="1186" t="s">
        <v>536</v>
      </c>
      <c r="R128" s="1186" t="s">
        <v>536</v>
      </c>
      <c r="S128" s="1186" t="s">
        <v>536</v>
      </c>
      <c r="T128" s="1186" t="s">
        <v>536</v>
      </c>
      <c r="U128" s="1186" t="s">
        <v>536</v>
      </c>
      <c r="V128" s="1186" t="s">
        <v>536</v>
      </c>
      <c r="W128" s="1186"/>
      <c r="X128" s="1186" t="s">
        <v>536</v>
      </c>
      <c r="Y128" s="1186"/>
      <c r="Z128" s="1186"/>
      <c r="AA128" s="1186" t="s">
        <v>536</v>
      </c>
      <c r="AB128" s="1186"/>
      <c r="AC128" s="1186"/>
      <c r="AD128" s="1182"/>
      <c r="AE128" s="1182"/>
      <c r="AF128" s="1186" t="s">
        <v>536</v>
      </c>
      <c r="AG128" s="1186" t="s">
        <v>536</v>
      </c>
      <c r="AH128" s="1186"/>
      <c r="AI128" s="1529">
        <f t="shared" si="6"/>
        <v>10</v>
      </c>
      <c r="AJ128" s="1466"/>
      <c r="AK128" s="615"/>
    </row>
    <row r="129" spans="1:37" s="156" customFormat="1" ht="16.149999999999999" customHeight="1" outlineLevel="1">
      <c r="A129" s="1182">
        <v>20</v>
      </c>
      <c r="B129" s="1635" t="str">
        <f>VLOOKUP(C129,'DS CN MOI UP'!$B$10:$C$347,2,0)</f>
        <v>02684</v>
      </c>
      <c r="C129" s="1185" t="s">
        <v>34</v>
      </c>
      <c r="D129" s="1186"/>
      <c r="E129" s="1186"/>
      <c r="F129" s="1186"/>
      <c r="G129" s="1186"/>
      <c r="H129" s="1186"/>
      <c r="I129" s="1186"/>
      <c r="J129" s="1186"/>
      <c r="K129" s="1186"/>
      <c r="L129" s="1186"/>
      <c r="M129" s="1186"/>
      <c r="N129" s="1186"/>
      <c r="O129" s="1186"/>
      <c r="P129" s="1186"/>
      <c r="Q129" s="1186" t="s">
        <v>536</v>
      </c>
      <c r="R129" s="1186" t="s">
        <v>536</v>
      </c>
      <c r="S129" s="1186" t="s">
        <v>536</v>
      </c>
      <c r="T129" s="1186" t="s">
        <v>536</v>
      </c>
      <c r="U129" s="1186" t="s">
        <v>536</v>
      </c>
      <c r="V129" s="1186"/>
      <c r="W129" s="1186" t="s">
        <v>536</v>
      </c>
      <c r="X129" s="1186" t="s">
        <v>536</v>
      </c>
      <c r="Y129" s="1186"/>
      <c r="Z129" s="1186"/>
      <c r="AA129" s="1186"/>
      <c r="AB129" s="1186"/>
      <c r="AC129" s="1186"/>
      <c r="AD129" s="1182"/>
      <c r="AE129" s="1182"/>
      <c r="AF129" s="1186" t="s">
        <v>536</v>
      </c>
      <c r="AG129" s="1186" t="s">
        <v>536</v>
      </c>
      <c r="AH129" s="1186"/>
      <c r="AI129" s="1529">
        <f t="shared" si="6"/>
        <v>9</v>
      </c>
      <c r="AJ129" s="1466"/>
      <c r="AK129" s="615"/>
    </row>
    <row r="130" spans="1:37" s="156" customFormat="1" ht="16.149999999999999" customHeight="1" outlineLevel="1">
      <c r="A130" s="1182">
        <v>21</v>
      </c>
      <c r="B130" s="1635" t="str">
        <f>VLOOKUP(C130,'DS CN MOI UP'!$B$10:$C$347,2,0)</f>
        <v>02488</v>
      </c>
      <c r="C130" s="1185" t="s">
        <v>35</v>
      </c>
      <c r="D130" s="1186"/>
      <c r="E130" s="1186"/>
      <c r="F130" s="1186"/>
      <c r="G130" s="1186"/>
      <c r="H130" s="1186"/>
      <c r="I130" s="1186"/>
      <c r="J130" s="1186"/>
      <c r="K130" s="1186"/>
      <c r="L130" s="1186"/>
      <c r="M130" s="1186"/>
      <c r="N130" s="1186"/>
      <c r="O130" s="1186"/>
      <c r="P130" s="1186"/>
      <c r="Q130" s="1186" t="s">
        <v>536</v>
      </c>
      <c r="R130" s="1186" t="s">
        <v>536</v>
      </c>
      <c r="S130" s="1186" t="s">
        <v>536</v>
      </c>
      <c r="T130" s="1186" t="s">
        <v>536</v>
      </c>
      <c r="U130" s="1186" t="s">
        <v>536</v>
      </c>
      <c r="V130" s="1186"/>
      <c r="W130" s="1186"/>
      <c r="X130" s="1186" t="s">
        <v>536</v>
      </c>
      <c r="Y130" s="1186"/>
      <c r="Z130" s="1186"/>
      <c r="AA130" s="1186"/>
      <c r="AB130" s="1186"/>
      <c r="AC130" s="1186"/>
      <c r="AD130" s="1186"/>
      <c r="AE130" s="1186"/>
      <c r="AF130" s="1186" t="s">
        <v>536</v>
      </c>
      <c r="AG130" s="1186"/>
      <c r="AH130" s="1186"/>
      <c r="AI130" s="1529">
        <f t="shared" si="6"/>
        <v>7</v>
      </c>
      <c r="AJ130" s="1466"/>
      <c r="AK130" s="615"/>
    </row>
    <row r="131" spans="1:37" s="156" customFormat="1" ht="16.149999999999999" customHeight="1" outlineLevel="1">
      <c r="A131" s="1182">
        <v>22</v>
      </c>
      <c r="B131" s="1635" t="str">
        <f>VLOOKUP(C131,'DS CN MOI UP'!$B$10:$C$347,2,0)</f>
        <v>02679</v>
      </c>
      <c r="C131" s="1185" t="s">
        <v>36</v>
      </c>
      <c r="D131" s="1186"/>
      <c r="E131" s="1186"/>
      <c r="F131" s="1186"/>
      <c r="G131" s="1186" t="s">
        <v>536</v>
      </c>
      <c r="H131" s="1186"/>
      <c r="I131" s="1186"/>
      <c r="J131" s="1186"/>
      <c r="K131" s="1186"/>
      <c r="L131" s="1186"/>
      <c r="M131" s="1186"/>
      <c r="N131" s="1186"/>
      <c r="O131" s="1186"/>
      <c r="P131" s="1186"/>
      <c r="Q131" s="1186" t="s">
        <v>536</v>
      </c>
      <c r="R131" s="1186" t="s">
        <v>536</v>
      </c>
      <c r="S131" s="1186" t="s">
        <v>536</v>
      </c>
      <c r="T131" s="1186" t="s">
        <v>536</v>
      </c>
      <c r="U131" s="1186" t="s">
        <v>536</v>
      </c>
      <c r="V131" s="1186" t="s">
        <v>536</v>
      </c>
      <c r="W131" s="1186" t="s">
        <v>536</v>
      </c>
      <c r="X131" s="1186" t="s">
        <v>536</v>
      </c>
      <c r="Y131" s="1186"/>
      <c r="Z131" s="1186"/>
      <c r="AA131" s="1186" t="s">
        <v>536</v>
      </c>
      <c r="AB131" s="1186"/>
      <c r="AC131" s="1186"/>
      <c r="AD131" s="1182"/>
      <c r="AE131" s="1182"/>
      <c r="AF131" s="1186" t="s">
        <v>536</v>
      </c>
      <c r="AG131" s="1186" t="s">
        <v>536</v>
      </c>
      <c r="AH131" s="1186"/>
      <c r="AI131" s="1529">
        <f t="shared" si="6"/>
        <v>12</v>
      </c>
      <c r="AJ131" s="1466"/>
      <c r="AK131" s="615"/>
    </row>
    <row r="132" spans="1:37" s="156" customFormat="1" ht="16.149999999999999" customHeight="1" outlineLevel="1">
      <c r="A132" s="1182">
        <v>23</v>
      </c>
      <c r="B132" s="1635" t="str">
        <f>VLOOKUP(C132,'DS CN MOI UP'!$B$10:$C$347,2,0)</f>
        <v>03328</v>
      </c>
      <c r="C132" s="1185" t="s">
        <v>37</v>
      </c>
      <c r="D132" s="1186"/>
      <c r="E132" s="1186"/>
      <c r="F132" s="1186"/>
      <c r="G132" s="1186"/>
      <c r="H132" s="1186"/>
      <c r="I132" s="1186"/>
      <c r="J132" s="1186"/>
      <c r="K132" s="1186"/>
      <c r="L132" s="1186"/>
      <c r="M132" s="1186"/>
      <c r="N132" s="1186"/>
      <c r="O132" s="1186"/>
      <c r="P132" s="1186"/>
      <c r="Q132" s="1186" t="s">
        <v>536</v>
      </c>
      <c r="R132" s="1186" t="s">
        <v>536</v>
      </c>
      <c r="S132" s="1186" t="s">
        <v>536</v>
      </c>
      <c r="T132" s="1186" t="s">
        <v>536</v>
      </c>
      <c r="U132" s="1186" t="s">
        <v>536</v>
      </c>
      <c r="V132" s="1186"/>
      <c r="W132" s="1186" t="s">
        <v>536</v>
      </c>
      <c r="X132" s="1186" t="s">
        <v>536</v>
      </c>
      <c r="Y132" s="1186"/>
      <c r="Z132" s="1186"/>
      <c r="AA132" s="1186"/>
      <c r="AB132" s="1186"/>
      <c r="AC132" s="1186"/>
      <c r="AD132" s="1182"/>
      <c r="AE132" s="1182"/>
      <c r="AF132" s="1186" t="s">
        <v>536</v>
      </c>
      <c r="AG132" s="1186"/>
      <c r="AH132" s="1186"/>
      <c r="AI132" s="1529">
        <f t="shared" si="6"/>
        <v>8</v>
      </c>
      <c r="AJ132" s="1466"/>
      <c r="AK132" s="615"/>
    </row>
    <row r="133" spans="1:37" s="156" customFormat="1" ht="16.149999999999999" customHeight="1" outlineLevel="1">
      <c r="A133" s="1182">
        <v>24</v>
      </c>
      <c r="B133" s="1635" t="str">
        <f>VLOOKUP(C133,'DS CN MOI UP'!$B$10:$C$347,2,0)</f>
        <v>02469</v>
      </c>
      <c r="C133" s="1185" t="s">
        <v>38</v>
      </c>
      <c r="D133" s="1186"/>
      <c r="E133" s="1186"/>
      <c r="F133" s="1186" t="s">
        <v>536</v>
      </c>
      <c r="G133" s="1186" t="s">
        <v>536</v>
      </c>
      <c r="H133" s="1186"/>
      <c r="I133" s="1186"/>
      <c r="J133" s="1186"/>
      <c r="K133" s="1186"/>
      <c r="L133" s="1186"/>
      <c r="M133" s="1186"/>
      <c r="N133" s="1186"/>
      <c r="O133" s="1186"/>
      <c r="P133" s="1186"/>
      <c r="Q133" s="1186"/>
      <c r="R133" s="1186" t="s">
        <v>536</v>
      </c>
      <c r="S133" s="1186" t="s">
        <v>536</v>
      </c>
      <c r="T133" s="1186"/>
      <c r="U133" s="1186" t="s">
        <v>536</v>
      </c>
      <c r="V133" s="1186" t="s">
        <v>536</v>
      </c>
      <c r="W133" s="1186" t="s">
        <v>536</v>
      </c>
      <c r="X133" s="1186" t="s">
        <v>536</v>
      </c>
      <c r="Y133" s="1186"/>
      <c r="Z133" s="1186"/>
      <c r="AA133" s="1186" t="s">
        <v>536</v>
      </c>
      <c r="AB133" s="1186"/>
      <c r="AC133" s="1186"/>
      <c r="AD133" s="1186"/>
      <c r="AE133" s="1182"/>
      <c r="AF133" s="1186" t="s">
        <v>536</v>
      </c>
      <c r="AG133" s="1186" t="s">
        <v>536</v>
      </c>
      <c r="AH133" s="1186"/>
      <c r="AI133" s="1529">
        <f t="shared" si="6"/>
        <v>11</v>
      </c>
      <c r="AJ133" s="1466"/>
      <c r="AK133" s="615"/>
    </row>
    <row r="134" spans="1:37" s="156" customFormat="1" ht="16.149999999999999" customHeight="1" outlineLevel="1">
      <c r="A134" s="1182">
        <v>25</v>
      </c>
      <c r="B134" s="1635" t="str">
        <f>VLOOKUP(C134,'DS CN MOI UP'!$B$10:$C$347,2,0)</f>
        <v>02475</v>
      </c>
      <c r="C134" s="1185" t="s">
        <v>39</v>
      </c>
      <c r="D134" s="1186"/>
      <c r="E134" s="1186"/>
      <c r="F134" s="1186" t="s">
        <v>536</v>
      </c>
      <c r="G134" s="1186" t="s">
        <v>536</v>
      </c>
      <c r="H134" s="1186"/>
      <c r="I134" s="1186"/>
      <c r="J134" s="1186"/>
      <c r="K134" s="1186"/>
      <c r="L134" s="1186"/>
      <c r="M134" s="1186"/>
      <c r="N134" s="1186"/>
      <c r="O134" s="1186"/>
      <c r="P134" s="1186"/>
      <c r="Q134" s="1186"/>
      <c r="R134" s="1186" t="s">
        <v>536</v>
      </c>
      <c r="S134" s="1186" t="s">
        <v>536</v>
      </c>
      <c r="T134" s="1186"/>
      <c r="U134" s="1186"/>
      <c r="V134" s="1186" t="s">
        <v>536</v>
      </c>
      <c r="W134" s="1186" t="s">
        <v>536</v>
      </c>
      <c r="X134" s="1186" t="s">
        <v>536</v>
      </c>
      <c r="Y134" s="1186"/>
      <c r="Z134" s="1186"/>
      <c r="AA134" s="1186" t="s">
        <v>536</v>
      </c>
      <c r="AB134" s="1186"/>
      <c r="AC134" s="1186"/>
      <c r="AD134" s="1182"/>
      <c r="AE134" s="1182"/>
      <c r="AF134" s="1186" t="s">
        <v>536</v>
      </c>
      <c r="AG134" s="1186" t="s">
        <v>536</v>
      </c>
      <c r="AH134" s="1186"/>
      <c r="AI134" s="1529">
        <f t="shared" si="6"/>
        <v>10</v>
      </c>
      <c r="AJ134" s="1466"/>
      <c r="AK134" s="615"/>
    </row>
    <row r="135" spans="1:37" s="156" customFormat="1" ht="16.149999999999999" customHeight="1" outlineLevel="1">
      <c r="A135" s="1182">
        <v>26</v>
      </c>
      <c r="B135" s="1635" t="str">
        <f>VLOOKUP(C135,'DS CN MOI UP'!$B$10:$C$347,2,0)</f>
        <v>02473</v>
      </c>
      <c r="C135" s="1185" t="s">
        <v>40</v>
      </c>
      <c r="D135" s="1186"/>
      <c r="E135" s="1186" t="s">
        <v>536</v>
      </c>
      <c r="F135" s="1186"/>
      <c r="G135" s="1186"/>
      <c r="H135" s="1186"/>
      <c r="I135" s="1186"/>
      <c r="J135" s="1186"/>
      <c r="K135" s="1186"/>
      <c r="L135" s="1186"/>
      <c r="M135" s="1186"/>
      <c r="N135" s="1186"/>
      <c r="O135" s="1186"/>
      <c r="P135" s="1186"/>
      <c r="Q135" s="1186"/>
      <c r="R135" s="1186" t="s">
        <v>536</v>
      </c>
      <c r="S135" s="1186"/>
      <c r="T135" s="1186" t="s">
        <v>536</v>
      </c>
      <c r="U135" s="1186" t="s">
        <v>536</v>
      </c>
      <c r="V135" s="1186"/>
      <c r="W135" s="1186" t="s">
        <v>536</v>
      </c>
      <c r="X135" s="1186" t="s">
        <v>536</v>
      </c>
      <c r="Y135" s="1186"/>
      <c r="Z135" s="1186"/>
      <c r="AA135" s="1186" t="s">
        <v>536</v>
      </c>
      <c r="AB135" s="1186"/>
      <c r="AC135" s="1186"/>
      <c r="AD135" s="1182"/>
      <c r="AE135" s="1182"/>
      <c r="AF135" s="1186" t="s">
        <v>536</v>
      </c>
      <c r="AG135" s="1186" t="s">
        <v>536</v>
      </c>
      <c r="AH135" s="1186"/>
      <c r="AI135" s="1529">
        <f t="shared" si="6"/>
        <v>9</v>
      </c>
      <c r="AJ135" s="1466"/>
      <c r="AK135" s="615"/>
    </row>
    <row r="136" spans="1:37" s="156" customFormat="1" ht="16.149999999999999" customHeight="1" outlineLevel="1">
      <c r="A136" s="1182">
        <v>27</v>
      </c>
      <c r="B136" s="1635" t="str">
        <f>VLOOKUP(C136,'DS CN MOI UP'!$B$10:$C$347,2,0)</f>
        <v>02510</v>
      </c>
      <c r="C136" s="1185" t="s">
        <v>41</v>
      </c>
      <c r="D136" s="1186"/>
      <c r="E136" s="1186" t="s">
        <v>536</v>
      </c>
      <c r="F136" s="1186"/>
      <c r="G136" s="1186" t="s">
        <v>536</v>
      </c>
      <c r="H136" s="1186"/>
      <c r="I136" s="1186"/>
      <c r="J136" s="1186"/>
      <c r="K136" s="1186"/>
      <c r="L136" s="1186"/>
      <c r="M136" s="1186"/>
      <c r="N136" s="1186"/>
      <c r="O136" s="1186"/>
      <c r="P136" s="1186"/>
      <c r="Q136" s="1186" t="s">
        <v>536</v>
      </c>
      <c r="R136" s="1186" t="s">
        <v>536</v>
      </c>
      <c r="S136" s="1186" t="s">
        <v>536</v>
      </c>
      <c r="T136" s="1186" t="s">
        <v>536</v>
      </c>
      <c r="U136" s="1186" t="s">
        <v>536</v>
      </c>
      <c r="V136" s="1186"/>
      <c r="W136" s="1186" t="s">
        <v>536</v>
      </c>
      <c r="X136" s="1186" t="s">
        <v>536</v>
      </c>
      <c r="Y136" s="1186"/>
      <c r="Z136" s="1186"/>
      <c r="AA136" s="1186"/>
      <c r="AB136" s="1186"/>
      <c r="AC136" s="1186"/>
      <c r="AD136" s="1186"/>
      <c r="AE136" s="1186"/>
      <c r="AF136" s="1186" t="s">
        <v>536</v>
      </c>
      <c r="AG136" s="1186" t="s">
        <v>536</v>
      </c>
      <c r="AH136" s="1186"/>
      <c r="AI136" s="1529">
        <f t="shared" si="6"/>
        <v>11</v>
      </c>
      <c r="AJ136" s="1466"/>
      <c r="AK136" s="615"/>
    </row>
    <row r="137" spans="1:37" s="156" customFormat="1" ht="16.149999999999999" customHeight="1" outlineLevel="1">
      <c r="A137" s="1182">
        <v>28</v>
      </c>
      <c r="B137" s="1635" t="str">
        <f>VLOOKUP(C137,'DS CN MOI UP'!$B$10:$C$347,2,0)</f>
        <v>02513</v>
      </c>
      <c r="C137" s="1185" t="s">
        <v>42</v>
      </c>
      <c r="D137" s="1186"/>
      <c r="E137" s="1186"/>
      <c r="F137" s="1186" t="s">
        <v>536</v>
      </c>
      <c r="G137" s="1186" t="s">
        <v>536</v>
      </c>
      <c r="H137" s="1186"/>
      <c r="I137" s="1186"/>
      <c r="J137" s="1186"/>
      <c r="K137" s="1186"/>
      <c r="L137" s="1186"/>
      <c r="M137" s="1186"/>
      <c r="N137" s="1186"/>
      <c r="O137" s="1186"/>
      <c r="P137" s="1186"/>
      <c r="Q137" s="1186"/>
      <c r="R137" s="1186" t="s">
        <v>536</v>
      </c>
      <c r="S137" s="1186" t="s">
        <v>536</v>
      </c>
      <c r="T137" s="1186" t="s">
        <v>536</v>
      </c>
      <c r="U137" s="1186" t="s">
        <v>536</v>
      </c>
      <c r="V137" s="1186" t="s">
        <v>536</v>
      </c>
      <c r="W137" s="1186" t="s">
        <v>536</v>
      </c>
      <c r="X137" s="1186" t="s">
        <v>536</v>
      </c>
      <c r="Y137" s="1186"/>
      <c r="Z137" s="1186"/>
      <c r="AA137" s="1186" t="s">
        <v>536</v>
      </c>
      <c r="AB137" s="1186"/>
      <c r="AC137" s="1186"/>
      <c r="AD137" s="1182"/>
      <c r="AE137" s="1182"/>
      <c r="AF137" s="1186" t="s">
        <v>536</v>
      </c>
      <c r="AG137" s="1186" t="s">
        <v>536</v>
      </c>
      <c r="AH137" s="1186"/>
      <c r="AI137" s="1529">
        <f t="shared" si="6"/>
        <v>12</v>
      </c>
      <c r="AJ137" s="1466"/>
      <c r="AK137" s="615"/>
    </row>
    <row r="138" spans="1:37" s="156" customFormat="1" ht="16.149999999999999" customHeight="1" outlineLevel="1">
      <c r="A138" s="1182">
        <v>29</v>
      </c>
      <c r="B138" s="1635" t="str">
        <f>VLOOKUP(C138,'DS CN MOI UP'!$B$10:$C$347,2,0)</f>
        <v>02510</v>
      </c>
      <c r="C138" s="1185" t="s">
        <v>43</v>
      </c>
      <c r="D138" s="1186"/>
      <c r="E138" s="1186"/>
      <c r="F138" s="1186"/>
      <c r="G138" s="1186"/>
      <c r="H138" s="1186"/>
      <c r="I138" s="1186"/>
      <c r="J138" s="1186"/>
      <c r="K138" s="1186"/>
      <c r="L138" s="1186"/>
      <c r="M138" s="1186"/>
      <c r="N138" s="1186"/>
      <c r="O138" s="1186"/>
      <c r="P138" s="1186"/>
      <c r="Q138" s="1186"/>
      <c r="R138" s="1186" t="s">
        <v>536</v>
      </c>
      <c r="S138" s="1186" t="s">
        <v>536</v>
      </c>
      <c r="T138" s="1186"/>
      <c r="U138" s="1186" t="s">
        <v>536</v>
      </c>
      <c r="V138" s="1186"/>
      <c r="W138" s="1186" t="s">
        <v>536</v>
      </c>
      <c r="X138" s="1186" t="s">
        <v>536</v>
      </c>
      <c r="Y138" s="1186"/>
      <c r="Z138" s="1186"/>
      <c r="AA138" s="1186"/>
      <c r="AB138" s="1186"/>
      <c r="AC138" s="1186"/>
      <c r="AD138" s="1182"/>
      <c r="AE138" s="1182"/>
      <c r="AF138" s="1186" t="s">
        <v>536</v>
      </c>
      <c r="AG138" s="1186" t="s">
        <v>536</v>
      </c>
      <c r="AH138" s="1186"/>
      <c r="AI138" s="1529">
        <f t="shared" si="6"/>
        <v>7</v>
      </c>
      <c r="AJ138" s="1466"/>
      <c r="AK138" s="615"/>
    </row>
    <row r="139" spans="1:37" s="156" customFormat="1" ht="16.149999999999999" customHeight="1" outlineLevel="1">
      <c r="A139" s="1182">
        <v>30</v>
      </c>
      <c r="B139" s="1635" t="str">
        <f>VLOOKUP(C139,'DS CN MOI UP'!$B$10:$C$347,2,0)</f>
        <v>02470</v>
      </c>
      <c r="C139" s="1185" t="s">
        <v>44</v>
      </c>
      <c r="D139" s="1186"/>
      <c r="E139" s="1186"/>
      <c r="F139" s="1186"/>
      <c r="G139" s="1186"/>
      <c r="H139" s="1186"/>
      <c r="I139" s="1186"/>
      <c r="J139" s="1186"/>
      <c r="K139" s="1186"/>
      <c r="L139" s="1186"/>
      <c r="M139" s="1186"/>
      <c r="N139" s="1186"/>
      <c r="O139" s="1186"/>
      <c r="P139" s="1186"/>
      <c r="Q139" s="1186" t="s">
        <v>536</v>
      </c>
      <c r="R139" s="1186" t="s">
        <v>536</v>
      </c>
      <c r="S139" s="1186" t="s">
        <v>536</v>
      </c>
      <c r="T139" s="1186"/>
      <c r="U139" s="1186" t="s">
        <v>536</v>
      </c>
      <c r="V139" s="1186"/>
      <c r="W139" s="1186" t="s">
        <v>536</v>
      </c>
      <c r="X139" s="1186" t="s">
        <v>536</v>
      </c>
      <c r="Y139" s="1186"/>
      <c r="Z139" s="1186"/>
      <c r="AA139" s="1186"/>
      <c r="AB139" s="1186"/>
      <c r="AC139" s="1186"/>
      <c r="AD139" s="1182"/>
      <c r="AE139" s="1182"/>
      <c r="AF139" s="1186" t="s">
        <v>536</v>
      </c>
      <c r="AG139" s="1186"/>
      <c r="AH139" s="1186"/>
      <c r="AI139" s="1529">
        <f t="shared" si="6"/>
        <v>7</v>
      </c>
      <c r="AJ139" s="1466"/>
      <c r="AK139" s="615"/>
    </row>
    <row r="140" spans="1:37" s="156" customFormat="1" ht="16.149999999999999" customHeight="1" outlineLevel="1">
      <c r="A140" s="1182">
        <v>31</v>
      </c>
      <c r="B140" s="1635" t="str">
        <f>VLOOKUP(C140,'DS CN MOI UP'!$B$10:$C$347,2,0)</f>
        <v>03329</v>
      </c>
      <c r="C140" s="1185" t="s">
        <v>45</v>
      </c>
      <c r="D140" s="1186"/>
      <c r="E140" s="1186"/>
      <c r="F140" s="1186"/>
      <c r="G140" s="1186" t="s">
        <v>536</v>
      </c>
      <c r="H140" s="1186"/>
      <c r="I140" s="1186"/>
      <c r="J140" s="1186"/>
      <c r="K140" s="1186"/>
      <c r="L140" s="1186"/>
      <c r="M140" s="1186"/>
      <c r="N140" s="1186"/>
      <c r="O140" s="1186"/>
      <c r="P140" s="1186"/>
      <c r="Q140" s="1186" t="s">
        <v>536</v>
      </c>
      <c r="R140" s="1186" t="s">
        <v>536</v>
      </c>
      <c r="S140" s="1186" t="s">
        <v>536</v>
      </c>
      <c r="T140" s="1186"/>
      <c r="U140" s="1186" t="s">
        <v>536</v>
      </c>
      <c r="V140" s="1186"/>
      <c r="W140" s="1186" t="s">
        <v>536</v>
      </c>
      <c r="X140" s="1186" t="s">
        <v>536</v>
      </c>
      <c r="Y140" s="1186"/>
      <c r="Z140" s="1186"/>
      <c r="AA140" s="1186"/>
      <c r="AB140" s="1186"/>
      <c r="AC140" s="1186"/>
      <c r="AD140" s="1186"/>
      <c r="AE140" s="1186"/>
      <c r="AF140" s="1186" t="s">
        <v>536</v>
      </c>
      <c r="AG140" s="1186" t="s">
        <v>536</v>
      </c>
      <c r="AH140" s="1186"/>
      <c r="AI140" s="1529">
        <f t="shared" si="6"/>
        <v>9</v>
      </c>
      <c r="AJ140" s="1466"/>
      <c r="AK140" s="615"/>
    </row>
    <row r="141" spans="1:37" s="156" customFormat="1" ht="16.149999999999999" customHeight="1" outlineLevel="1">
      <c r="A141" s="1182">
        <v>32</v>
      </c>
      <c r="B141" s="1635" t="str">
        <f>VLOOKUP(C141,'DS CN MOI UP'!$B$10:$C$347,2,0)</f>
        <v>03330</v>
      </c>
      <c r="C141" s="1185" t="s">
        <v>46</v>
      </c>
      <c r="D141" s="1186"/>
      <c r="E141" s="1186"/>
      <c r="F141" s="1186"/>
      <c r="G141" s="1186"/>
      <c r="H141" s="1186"/>
      <c r="I141" s="1186"/>
      <c r="J141" s="1186"/>
      <c r="K141" s="1186"/>
      <c r="L141" s="1186"/>
      <c r="M141" s="1186"/>
      <c r="N141" s="1186"/>
      <c r="O141" s="1186"/>
      <c r="P141" s="1186"/>
      <c r="Q141" s="1186" t="s">
        <v>536</v>
      </c>
      <c r="R141" s="1186" t="s">
        <v>536</v>
      </c>
      <c r="S141" s="1186"/>
      <c r="T141" s="1186"/>
      <c r="U141" s="1186" t="s">
        <v>536</v>
      </c>
      <c r="V141" s="1186" t="s">
        <v>536</v>
      </c>
      <c r="W141" s="1186" t="s">
        <v>536</v>
      </c>
      <c r="X141" s="1186"/>
      <c r="Y141" s="1186"/>
      <c r="Z141" s="1186"/>
      <c r="AA141" s="1186"/>
      <c r="AB141" s="1186"/>
      <c r="AC141" s="1186"/>
      <c r="AD141" s="1186"/>
      <c r="AE141" s="1182"/>
      <c r="AF141" s="1186" t="s">
        <v>536</v>
      </c>
      <c r="AG141" s="1186"/>
      <c r="AH141" s="1186"/>
      <c r="AI141" s="1529">
        <f t="shared" si="6"/>
        <v>6</v>
      </c>
      <c r="AJ141" s="1466"/>
      <c r="AK141" s="615"/>
    </row>
    <row r="142" spans="1:37" s="156" customFormat="1" ht="16.149999999999999" customHeight="1" outlineLevel="1">
      <c r="A142" s="1182">
        <v>33</v>
      </c>
      <c r="B142" s="1635" t="str">
        <f>VLOOKUP(C142,'DS CN MOI UP'!$B$10:$C$347,2,0)</f>
        <v>02455</v>
      </c>
      <c r="C142" s="1185" t="s">
        <v>47</v>
      </c>
      <c r="D142" s="1186"/>
      <c r="E142" s="1186"/>
      <c r="F142" s="1186"/>
      <c r="G142" s="1186" t="s">
        <v>536</v>
      </c>
      <c r="H142" s="1186"/>
      <c r="I142" s="1186"/>
      <c r="J142" s="1186"/>
      <c r="K142" s="1186"/>
      <c r="L142" s="1186"/>
      <c r="M142" s="1186"/>
      <c r="N142" s="1186"/>
      <c r="O142" s="1186"/>
      <c r="P142" s="1186"/>
      <c r="Q142" s="1186" t="s">
        <v>536</v>
      </c>
      <c r="R142" s="1186" t="s">
        <v>536</v>
      </c>
      <c r="S142" s="1186"/>
      <c r="T142" s="1186"/>
      <c r="U142" s="1186" t="s">
        <v>536</v>
      </c>
      <c r="V142" s="1186" t="s">
        <v>536</v>
      </c>
      <c r="W142" s="1186" t="s">
        <v>536</v>
      </c>
      <c r="X142" s="1186" t="s">
        <v>536</v>
      </c>
      <c r="Y142" s="1186"/>
      <c r="Z142" s="1186"/>
      <c r="AA142" s="1186" t="s">
        <v>536</v>
      </c>
      <c r="AB142" s="1186"/>
      <c r="AC142" s="1186"/>
      <c r="AD142" s="1182"/>
      <c r="AE142" s="1186"/>
      <c r="AF142" s="1186" t="s">
        <v>536</v>
      </c>
      <c r="AG142" s="1186" t="s">
        <v>536</v>
      </c>
      <c r="AH142" s="1186"/>
      <c r="AI142" s="1529">
        <f t="shared" si="6"/>
        <v>10</v>
      </c>
      <c r="AJ142" s="1466"/>
      <c r="AK142" s="615"/>
    </row>
    <row r="143" spans="1:37" s="156" customFormat="1" ht="16.149999999999999" customHeight="1" outlineLevel="1">
      <c r="A143" s="1182">
        <v>34</v>
      </c>
      <c r="B143" s="1635" t="str">
        <f>VLOOKUP(C143,'DS CN MOI UP'!$B$10:$C$347,2,0)</f>
        <v>02459</v>
      </c>
      <c r="C143" s="1185" t="s">
        <v>48</v>
      </c>
      <c r="D143" s="1186"/>
      <c r="E143" s="1186"/>
      <c r="F143" s="1186"/>
      <c r="G143" s="1186" t="s">
        <v>536</v>
      </c>
      <c r="H143" s="1186"/>
      <c r="I143" s="1186"/>
      <c r="J143" s="1186"/>
      <c r="K143" s="1186"/>
      <c r="L143" s="1186"/>
      <c r="M143" s="1186"/>
      <c r="N143" s="1186"/>
      <c r="O143" s="1186"/>
      <c r="P143" s="1186"/>
      <c r="Q143" s="1186"/>
      <c r="R143" s="1186" t="s">
        <v>536</v>
      </c>
      <c r="S143" s="1186" t="s">
        <v>536</v>
      </c>
      <c r="T143" s="1186" t="s">
        <v>536</v>
      </c>
      <c r="U143" s="1186" t="s">
        <v>536</v>
      </c>
      <c r="V143" s="1186"/>
      <c r="W143" s="1186"/>
      <c r="X143" s="1186"/>
      <c r="Y143" s="1186"/>
      <c r="Z143" s="1186"/>
      <c r="AA143" s="1186"/>
      <c r="AB143" s="1186"/>
      <c r="AC143" s="1186"/>
      <c r="AD143" s="1186"/>
      <c r="AE143" s="1186"/>
      <c r="AF143" s="1186"/>
      <c r="AG143" s="1186"/>
      <c r="AH143" s="1186"/>
      <c r="AI143" s="1529">
        <f t="shared" si="6"/>
        <v>5</v>
      </c>
      <c r="AJ143" s="1466"/>
      <c r="AK143" s="615"/>
    </row>
    <row r="144" spans="1:37" s="156" customFormat="1" ht="16.149999999999999" customHeight="1" outlineLevel="1">
      <c r="A144" s="1182">
        <v>35</v>
      </c>
      <c r="B144" s="1635" t="str">
        <f>VLOOKUP(C144,'DS CN MOI UP'!$B$10:$C$347,2,0)</f>
        <v>02506</v>
      </c>
      <c r="C144" s="1185" t="s">
        <v>49</v>
      </c>
      <c r="D144" s="1186"/>
      <c r="E144" s="1186" t="s">
        <v>536</v>
      </c>
      <c r="F144" s="1186"/>
      <c r="G144" s="1186" t="s">
        <v>536</v>
      </c>
      <c r="H144" s="1186"/>
      <c r="I144" s="1186"/>
      <c r="J144" s="1186"/>
      <c r="K144" s="1186"/>
      <c r="L144" s="1186"/>
      <c r="M144" s="1186"/>
      <c r="N144" s="1186"/>
      <c r="O144" s="1186"/>
      <c r="P144" s="1186"/>
      <c r="Q144" s="1186" t="s">
        <v>536</v>
      </c>
      <c r="R144" s="1186" t="s">
        <v>536</v>
      </c>
      <c r="S144" s="1186" t="s">
        <v>536</v>
      </c>
      <c r="T144" s="1186" t="s">
        <v>536</v>
      </c>
      <c r="U144" s="1186"/>
      <c r="V144" s="1186"/>
      <c r="W144" s="1186" t="s">
        <v>536</v>
      </c>
      <c r="X144" s="1186" t="s">
        <v>536</v>
      </c>
      <c r="Y144" s="1186"/>
      <c r="Z144" s="1186"/>
      <c r="AA144" s="1186"/>
      <c r="AB144" s="1186"/>
      <c r="AC144" s="1186"/>
      <c r="AD144" s="1186"/>
      <c r="AE144" s="1186"/>
      <c r="AF144" s="1186" t="s">
        <v>536</v>
      </c>
      <c r="AG144" s="1186" t="s">
        <v>536</v>
      </c>
      <c r="AH144" s="1186"/>
      <c r="AI144" s="1529">
        <f t="shared" si="6"/>
        <v>10</v>
      </c>
      <c r="AJ144" s="1466"/>
      <c r="AK144" s="615"/>
    </row>
    <row r="145" spans="1:37" s="156" customFormat="1" ht="16.149999999999999" customHeight="1" outlineLevel="1">
      <c r="A145" s="1182">
        <v>36</v>
      </c>
      <c r="B145" s="1635" t="str">
        <f>VLOOKUP(C145,'DS CN MOI UP'!$B$10:$C$347,2,0)</f>
        <v>02507</v>
      </c>
      <c r="C145" s="1185" t="s">
        <v>50</v>
      </c>
      <c r="D145" s="1186"/>
      <c r="E145" s="1186" t="s">
        <v>536</v>
      </c>
      <c r="F145" s="1186"/>
      <c r="G145" s="1186" t="s">
        <v>536</v>
      </c>
      <c r="H145" s="1186"/>
      <c r="I145" s="1186"/>
      <c r="J145" s="1186"/>
      <c r="K145" s="1186"/>
      <c r="L145" s="1186"/>
      <c r="M145" s="1186"/>
      <c r="N145" s="1186"/>
      <c r="O145" s="1186"/>
      <c r="P145" s="1186"/>
      <c r="Q145" s="1186" t="s">
        <v>536</v>
      </c>
      <c r="R145" s="1186" t="s">
        <v>536</v>
      </c>
      <c r="S145" s="1186" t="s">
        <v>536</v>
      </c>
      <c r="T145" s="1186" t="s">
        <v>536</v>
      </c>
      <c r="U145" s="1186" t="s">
        <v>536</v>
      </c>
      <c r="V145" s="1186"/>
      <c r="W145" s="1186" t="s">
        <v>536</v>
      </c>
      <c r="X145" s="1186"/>
      <c r="Y145" s="1186"/>
      <c r="Z145" s="1186"/>
      <c r="AA145" s="1186" t="s">
        <v>536</v>
      </c>
      <c r="AB145" s="1186"/>
      <c r="AC145" s="1186"/>
      <c r="AD145" s="1186"/>
      <c r="AE145" s="1186"/>
      <c r="AF145" s="1186" t="s">
        <v>536</v>
      </c>
      <c r="AG145" s="1186" t="s">
        <v>536</v>
      </c>
      <c r="AH145" s="1186"/>
      <c r="AI145" s="1529">
        <f t="shared" si="6"/>
        <v>11</v>
      </c>
      <c r="AJ145" s="1466"/>
      <c r="AK145" s="615"/>
    </row>
    <row r="146" spans="1:37" s="156" customFormat="1" ht="16.149999999999999" customHeight="1" outlineLevel="1">
      <c r="A146" s="1182">
        <v>37</v>
      </c>
      <c r="B146" s="1635" t="str">
        <f>VLOOKUP(C146,'DS CN MOI UP'!$B$10:$C$347,2,0)</f>
        <v>03331</v>
      </c>
      <c r="C146" s="1185" t="s">
        <v>486</v>
      </c>
      <c r="D146" s="1186"/>
      <c r="E146" s="1186"/>
      <c r="F146" s="1186"/>
      <c r="G146" s="1186" t="s">
        <v>536</v>
      </c>
      <c r="H146" s="1186"/>
      <c r="I146" s="1186"/>
      <c r="J146" s="1186"/>
      <c r="K146" s="1186"/>
      <c r="L146" s="1186"/>
      <c r="M146" s="1186"/>
      <c r="N146" s="1186"/>
      <c r="O146" s="1186"/>
      <c r="P146" s="1186"/>
      <c r="Q146" s="1186" t="s">
        <v>536</v>
      </c>
      <c r="R146" s="1186" t="s">
        <v>536</v>
      </c>
      <c r="S146" s="1186"/>
      <c r="T146" s="1186" t="s">
        <v>536</v>
      </c>
      <c r="U146" s="1186" t="s">
        <v>536</v>
      </c>
      <c r="V146" s="1186" t="s">
        <v>536</v>
      </c>
      <c r="W146" s="1186" t="s">
        <v>536</v>
      </c>
      <c r="X146" s="1186" t="s">
        <v>536</v>
      </c>
      <c r="Y146" s="1186"/>
      <c r="Z146" s="1186"/>
      <c r="AA146" s="1186" t="s">
        <v>536</v>
      </c>
      <c r="AB146" s="1186"/>
      <c r="AC146" s="1186"/>
      <c r="AD146" s="1182"/>
      <c r="AE146" s="1182"/>
      <c r="AF146" s="1186" t="s">
        <v>536</v>
      </c>
      <c r="AG146" s="1186" t="s">
        <v>536</v>
      </c>
      <c r="AH146" s="1186"/>
      <c r="AI146" s="1529">
        <f t="shared" si="6"/>
        <v>11</v>
      </c>
      <c r="AJ146" s="1466"/>
      <c r="AK146" s="615"/>
    </row>
    <row r="147" spans="1:37" s="156" customFormat="1" ht="16.149999999999999" customHeight="1" outlineLevel="1">
      <c r="A147" s="1182">
        <v>38</v>
      </c>
      <c r="B147" s="1635" t="str">
        <f>VLOOKUP(C147,'DS CN MOI UP'!$B$10:$C$347,2,0)</f>
        <v>02467</v>
      </c>
      <c r="C147" s="1185" t="s">
        <v>52</v>
      </c>
      <c r="D147" s="1186"/>
      <c r="E147" s="1186"/>
      <c r="F147" s="1186"/>
      <c r="G147" s="1186"/>
      <c r="H147" s="1186"/>
      <c r="I147" s="1186"/>
      <c r="J147" s="1186"/>
      <c r="K147" s="1186"/>
      <c r="L147" s="1186"/>
      <c r="M147" s="1186"/>
      <c r="N147" s="1186"/>
      <c r="O147" s="1186"/>
      <c r="P147" s="1186"/>
      <c r="Q147" s="1186" t="s">
        <v>536</v>
      </c>
      <c r="R147" s="1186" t="s">
        <v>536</v>
      </c>
      <c r="S147" s="1186" t="s">
        <v>536</v>
      </c>
      <c r="T147" s="1186"/>
      <c r="U147" s="1186" t="s">
        <v>536</v>
      </c>
      <c r="V147" s="1186"/>
      <c r="W147" s="1186" t="s">
        <v>536</v>
      </c>
      <c r="X147" s="1186"/>
      <c r="Y147" s="1186"/>
      <c r="Z147" s="1186"/>
      <c r="AA147" s="1186" t="s">
        <v>536</v>
      </c>
      <c r="AB147" s="1186"/>
      <c r="AC147" s="1186"/>
      <c r="AD147" s="1186"/>
      <c r="AE147" s="1186"/>
      <c r="AF147" s="1186"/>
      <c r="AG147" s="1186"/>
      <c r="AH147" s="1186"/>
      <c r="AI147" s="1529">
        <f t="shared" si="6"/>
        <v>6</v>
      </c>
      <c r="AJ147" s="1466"/>
      <c r="AK147" s="615"/>
    </row>
    <row r="148" spans="1:37" s="156" customFormat="1" ht="16.149999999999999" customHeight="1" outlineLevel="1">
      <c r="A148" s="1182">
        <v>39</v>
      </c>
      <c r="B148" s="1635" t="str">
        <f>VLOOKUP(C148,'DS CN MOI UP'!$B$10:$C$347,2,0)</f>
        <v>02483</v>
      </c>
      <c r="C148" s="1185" t="s">
        <v>53</v>
      </c>
      <c r="D148" s="1186"/>
      <c r="E148" s="1186"/>
      <c r="F148" s="1186"/>
      <c r="G148" s="1186"/>
      <c r="H148" s="1186"/>
      <c r="I148" s="1186"/>
      <c r="J148" s="1186"/>
      <c r="K148" s="1186"/>
      <c r="L148" s="1186"/>
      <c r="M148" s="1186"/>
      <c r="N148" s="1186"/>
      <c r="O148" s="1186"/>
      <c r="P148" s="1186"/>
      <c r="Q148" s="1186" t="s">
        <v>536</v>
      </c>
      <c r="R148" s="1186" t="s">
        <v>536</v>
      </c>
      <c r="S148" s="1186" t="s">
        <v>536</v>
      </c>
      <c r="T148" s="1186"/>
      <c r="U148" s="1186" t="s">
        <v>536</v>
      </c>
      <c r="V148" s="1186"/>
      <c r="W148" s="1186" t="s">
        <v>536</v>
      </c>
      <c r="X148" s="1186" t="s">
        <v>536</v>
      </c>
      <c r="Y148" s="1186"/>
      <c r="Z148" s="1186"/>
      <c r="AA148" s="1186" t="s">
        <v>536</v>
      </c>
      <c r="AB148" s="1186"/>
      <c r="AC148" s="1186"/>
      <c r="AD148" s="1182"/>
      <c r="AE148" s="1186"/>
      <c r="AF148" s="1186"/>
      <c r="AG148" s="1186"/>
      <c r="AH148" s="1186"/>
      <c r="AI148" s="1529">
        <f t="shared" si="6"/>
        <v>7</v>
      </c>
      <c r="AJ148" s="1466"/>
      <c r="AK148" s="615"/>
    </row>
    <row r="149" spans="1:37" s="156" customFormat="1" ht="16.149999999999999" customHeight="1" outlineLevel="1">
      <c r="A149" s="1182">
        <v>40</v>
      </c>
      <c r="B149" s="1635" t="str">
        <f>VLOOKUP(C149,'DS CN MOI UP'!$B$10:$C$347,2,0)</f>
        <v>02512</v>
      </c>
      <c r="C149" s="1185" t="s">
        <v>54</v>
      </c>
      <c r="D149" s="1186"/>
      <c r="E149" s="1186" t="s">
        <v>536</v>
      </c>
      <c r="F149" s="1186"/>
      <c r="G149" s="1186" t="s">
        <v>536</v>
      </c>
      <c r="H149" s="1186"/>
      <c r="I149" s="1186"/>
      <c r="J149" s="1186"/>
      <c r="K149" s="1186"/>
      <c r="L149" s="1186"/>
      <c r="M149" s="1186"/>
      <c r="N149" s="1186"/>
      <c r="O149" s="1186"/>
      <c r="P149" s="1186"/>
      <c r="Q149" s="1186" t="s">
        <v>536</v>
      </c>
      <c r="R149" s="1186" t="s">
        <v>536</v>
      </c>
      <c r="S149" s="1186" t="s">
        <v>536</v>
      </c>
      <c r="T149" s="1186"/>
      <c r="U149" s="1186" t="s">
        <v>536</v>
      </c>
      <c r="V149" s="1186" t="s">
        <v>536</v>
      </c>
      <c r="W149" s="1186" t="s">
        <v>536</v>
      </c>
      <c r="X149" s="1186" t="s">
        <v>536</v>
      </c>
      <c r="Y149" s="1186"/>
      <c r="Z149" s="1186"/>
      <c r="AA149" s="1186"/>
      <c r="AB149" s="1186"/>
      <c r="AC149" s="1186"/>
      <c r="AD149" s="1186"/>
      <c r="AE149" s="1182"/>
      <c r="AF149" s="1186" t="s">
        <v>536</v>
      </c>
      <c r="AG149" s="1186" t="s">
        <v>536</v>
      </c>
      <c r="AH149" s="1186"/>
      <c r="AI149" s="1529">
        <f t="shared" si="6"/>
        <v>11</v>
      </c>
      <c r="AJ149" s="1466"/>
      <c r="AK149" s="615"/>
    </row>
    <row r="150" spans="1:37" s="156" customFormat="1" ht="16.149999999999999" customHeight="1" outlineLevel="1">
      <c r="A150" s="1182">
        <v>41</v>
      </c>
      <c r="B150" s="1635" t="str">
        <f>VLOOKUP(C150,'DS CN MOI UP'!$B$10:$C$347,2,0)</f>
        <v>03332</v>
      </c>
      <c r="C150" s="1185" t="s">
        <v>55</v>
      </c>
      <c r="D150" s="1186"/>
      <c r="E150" s="1186" t="s">
        <v>536</v>
      </c>
      <c r="F150" s="1186"/>
      <c r="G150" s="1186" t="s">
        <v>536</v>
      </c>
      <c r="H150" s="1186"/>
      <c r="I150" s="1186"/>
      <c r="J150" s="1186"/>
      <c r="K150" s="1186"/>
      <c r="L150" s="1186"/>
      <c r="M150" s="1186"/>
      <c r="N150" s="1186"/>
      <c r="O150" s="1186"/>
      <c r="P150" s="1186"/>
      <c r="Q150" s="1186" t="s">
        <v>536</v>
      </c>
      <c r="R150" s="1186" t="s">
        <v>536</v>
      </c>
      <c r="S150" s="1186" t="s">
        <v>536</v>
      </c>
      <c r="T150" s="1186"/>
      <c r="U150" s="1186" t="s">
        <v>536</v>
      </c>
      <c r="V150" s="1186" t="s">
        <v>536</v>
      </c>
      <c r="W150" s="1186" t="s">
        <v>536</v>
      </c>
      <c r="X150" s="1186"/>
      <c r="Y150" s="1186"/>
      <c r="Z150" s="1186"/>
      <c r="AA150" s="1186"/>
      <c r="AB150" s="1186"/>
      <c r="AC150" s="1186"/>
      <c r="AD150" s="1186"/>
      <c r="AE150" s="1186"/>
      <c r="AF150" s="1186" t="s">
        <v>536</v>
      </c>
      <c r="AG150" s="1186" t="s">
        <v>536</v>
      </c>
      <c r="AH150" s="1186"/>
      <c r="AI150" s="1529">
        <f t="shared" si="6"/>
        <v>10</v>
      </c>
      <c r="AJ150" s="1466"/>
      <c r="AK150" s="615"/>
    </row>
    <row r="151" spans="1:37" s="156" customFormat="1" ht="16.149999999999999" customHeight="1" outlineLevel="1">
      <c r="A151" s="1182">
        <v>42</v>
      </c>
      <c r="B151" s="1635" t="str">
        <f>VLOOKUP(C151,'DS CN MOI UP'!$B$10:$C$347,2,0)</f>
        <v>03333</v>
      </c>
      <c r="C151" s="1185" t="s">
        <v>56</v>
      </c>
      <c r="D151" s="1186"/>
      <c r="E151" s="1186" t="s">
        <v>536</v>
      </c>
      <c r="F151" s="1186" t="s">
        <v>536</v>
      </c>
      <c r="G151" s="1186" t="s">
        <v>536</v>
      </c>
      <c r="H151" s="1186"/>
      <c r="I151" s="1186"/>
      <c r="J151" s="1186"/>
      <c r="K151" s="1186"/>
      <c r="L151" s="1186"/>
      <c r="M151" s="1186"/>
      <c r="N151" s="1186"/>
      <c r="O151" s="1186"/>
      <c r="P151" s="1186"/>
      <c r="Q151" s="1186"/>
      <c r="R151" s="1186" t="s">
        <v>536</v>
      </c>
      <c r="S151" s="1186"/>
      <c r="T151" s="1186"/>
      <c r="U151" s="1186"/>
      <c r="V151" s="1186"/>
      <c r="W151" s="1186"/>
      <c r="X151" s="1186" t="s">
        <v>536</v>
      </c>
      <c r="Y151" s="1186"/>
      <c r="Z151" s="1186"/>
      <c r="AA151" s="1186"/>
      <c r="AB151" s="1186"/>
      <c r="AC151" s="1186"/>
      <c r="AD151" s="1186"/>
      <c r="AE151" s="1182"/>
      <c r="AF151" s="1186"/>
      <c r="AG151" s="1186" t="s">
        <v>536</v>
      </c>
      <c r="AH151" s="1186"/>
      <c r="AI151" s="1529">
        <f t="shared" si="6"/>
        <v>6</v>
      </c>
      <c r="AJ151" s="1466"/>
      <c r="AK151" s="615"/>
    </row>
    <row r="152" spans="1:37" s="156" customFormat="1" ht="16.149999999999999" customHeight="1" outlineLevel="1">
      <c r="A152" s="1182">
        <v>43</v>
      </c>
      <c r="B152" s="1635" t="str">
        <f>VLOOKUP(C152,'DS CN MOI UP'!$B$10:$C$347,2,0)</f>
        <v>02474</v>
      </c>
      <c r="C152" s="1185" t="s">
        <v>57</v>
      </c>
      <c r="D152" s="1186"/>
      <c r="E152" s="1186" t="s">
        <v>536</v>
      </c>
      <c r="F152" s="1186"/>
      <c r="G152" s="1186" t="s">
        <v>536</v>
      </c>
      <c r="H152" s="1186"/>
      <c r="I152" s="1186"/>
      <c r="J152" s="1186"/>
      <c r="K152" s="1186"/>
      <c r="L152" s="1186"/>
      <c r="M152" s="1186"/>
      <c r="N152" s="1186"/>
      <c r="O152" s="1186"/>
      <c r="P152" s="1186"/>
      <c r="Q152" s="1186"/>
      <c r="R152" s="1186" t="s">
        <v>536</v>
      </c>
      <c r="S152" s="1186"/>
      <c r="T152" s="1186" t="s">
        <v>536</v>
      </c>
      <c r="U152" s="1186" t="s">
        <v>536</v>
      </c>
      <c r="V152" s="1186"/>
      <c r="W152" s="1186" t="s">
        <v>536</v>
      </c>
      <c r="X152" s="1186" t="s">
        <v>536</v>
      </c>
      <c r="Y152" s="1186"/>
      <c r="Z152" s="1186"/>
      <c r="AA152" s="1186"/>
      <c r="AB152" s="1186"/>
      <c r="AC152" s="1186"/>
      <c r="AD152" s="1182"/>
      <c r="AE152" s="1182"/>
      <c r="AF152" s="1186" t="s">
        <v>536</v>
      </c>
      <c r="AG152" s="1186" t="s">
        <v>536</v>
      </c>
      <c r="AH152" s="1186"/>
      <c r="AI152" s="1529">
        <f t="shared" si="6"/>
        <v>9</v>
      </c>
      <c r="AJ152" s="1466"/>
      <c r="AK152" s="615"/>
    </row>
    <row r="153" spans="1:37" s="156" customFormat="1" ht="16.149999999999999" customHeight="1" outlineLevel="1">
      <c r="A153" s="1182">
        <v>44</v>
      </c>
      <c r="B153" s="1635" t="str">
        <f>VLOOKUP(C153,'DS CN MOI UP'!$B$10:$C$347,2,0)</f>
        <v>02500</v>
      </c>
      <c r="C153" s="1185" t="s">
        <v>59</v>
      </c>
      <c r="D153" s="1186"/>
      <c r="E153" s="1186" t="s">
        <v>536</v>
      </c>
      <c r="F153" s="1186"/>
      <c r="G153" s="1186" t="s">
        <v>536</v>
      </c>
      <c r="H153" s="1186"/>
      <c r="I153" s="1186"/>
      <c r="J153" s="1186"/>
      <c r="K153" s="1186"/>
      <c r="L153" s="1186"/>
      <c r="M153" s="1186"/>
      <c r="N153" s="1186"/>
      <c r="O153" s="1186"/>
      <c r="P153" s="1186"/>
      <c r="Q153" s="1186" t="s">
        <v>536</v>
      </c>
      <c r="R153" s="1186" t="s">
        <v>536</v>
      </c>
      <c r="S153" s="1186" t="s">
        <v>536</v>
      </c>
      <c r="T153" s="1186" t="s">
        <v>536</v>
      </c>
      <c r="U153" s="1186" t="s">
        <v>536</v>
      </c>
      <c r="V153" s="1186" t="s">
        <v>536</v>
      </c>
      <c r="W153" s="1186"/>
      <c r="X153" s="1186" t="s">
        <v>536</v>
      </c>
      <c r="Y153" s="1186"/>
      <c r="Z153" s="1186"/>
      <c r="AA153" s="1186"/>
      <c r="AB153" s="1186"/>
      <c r="AC153" s="1186"/>
      <c r="AD153" s="1182"/>
      <c r="AE153" s="1182"/>
      <c r="AF153" s="1186" t="s">
        <v>536</v>
      </c>
      <c r="AG153" s="1186" t="s">
        <v>536</v>
      </c>
      <c r="AH153" s="1186"/>
      <c r="AI153" s="1529">
        <f t="shared" si="6"/>
        <v>11</v>
      </c>
      <c r="AJ153" s="1466"/>
      <c r="AK153" s="615"/>
    </row>
    <row r="154" spans="1:37" s="156" customFormat="1" ht="16.149999999999999" customHeight="1" outlineLevel="1">
      <c r="A154" s="1182">
        <v>45</v>
      </c>
      <c r="B154" s="1635" t="str">
        <f>VLOOKUP(C154,'DS CN MOI UP'!$B$10:$C$347,2,0)</f>
        <v>02451</v>
      </c>
      <c r="C154" s="1185" t="s">
        <v>60</v>
      </c>
      <c r="D154" s="1186"/>
      <c r="E154" s="1186" t="s">
        <v>536</v>
      </c>
      <c r="F154" s="1186"/>
      <c r="G154" s="1186" t="s">
        <v>536</v>
      </c>
      <c r="H154" s="1186"/>
      <c r="I154" s="1186"/>
      <c r="J154" s="1186"/>
      <c r="K154" s="1186"/>
      <c r="L154" s="1186"/>
      <c r="M154" s="1186"/>
      <c r="N154" s="1186"/>
      <c r="O154" s="1186"/>
      <c r="P154" s="1186"/>
      <c r="Q154" s="1186"/>
      <c r="R154" s="1186" t="s">
        <v>536</v>
      </c>
      <c r="S154" s="1186" t="s">
        <v>536</v>
      </c>
      <c r="T154" s="1186" t="s">
        <v>536</v>
      </c>
      <c r="U154" s="1186" t="s">
        <v>536</v>
      </c>
      <c r="V154" s="1186" t="s">
        <v>536</v>
      </c>
      <c r="W154" s="1186"/>
      <c r="X154" s="1186" t="s">
        <v>536</v>
      </c>
      <c r="Y154" s="1186"/>
      <c r="Z154" s="1186"/>
      <c r="AA154" s="1186"/>
      <c r="AB154" s="1186"/>
      <c r="AC154" s="1186"/>
      <c r="AD154" s="1186"/>
      <c r="AE154" s="1182"/>
      <c r="AF154" s="1186" t="s">
        <v>536</v>
      </c>
      <c r="AG154" s="1186"/>
      <c r="AH154" s="1186"/>
      <c r="AI154" s="1529">
        <f t="shared" si="6"/>
        <v>9</v>
      </c>
      <c r="AJ154" s="1466"/>
      <c r="AK154" s="615"/>
    </row>
    <row r="155" spans="1:37" s="156" customFormat="1" ht="16.149999999999999" customHeight="1" outlineLevel="1">
      <c r="A155" s="1182">
        <v>46</v>
      </c>
      <c r="B155" s="1182" t="e">
        <f>VLOOKUP(C155,'DS CN MOI UP'!$B$10:$C$347,2,0)</f>
        <v>#N/A</v>
      </c>
      <c r="C155" s="1185" t="s">
        <v>61</v>
      </c>
      <c r="D155" s="1186"/>
      <c r="E155" s="1186" t="s">
        <v>536</v>
      </c>
      <c r="F155" s="1186"/>
      <c r="G155" s="1186" t="s">
        <v>536</v>
      </c>
      <c r="H155" s="1186"/>
      <c r="I155" s="1186"/>
      <c r="J155" s="1186"/>
      <c r="K155" s="1186"/>
      <c r="L155" s="1186"/>
      <c r="M155" s="1186"/>
      <c r="N155" s="1186"/>
      <c r="O155" s="1186"/>
      <c r="P155" s="1186"/>
      <c r="Q155" s="1186"/>
      <c r="R155" s="1186" t="s">
        <v>536</v>
      </c>
      <c r="S155" s="1186" t="s">
        <v>536</v>
      </c>
      <c r="T155" s="1186" t="s">
        <v>536</v>
      </c>
      <c r="U155" s="1186" t="s">
        <v>536</v>
      </c>
      <c r="V155" s="1186" t="s">
        <v>536</v>
      </c>
      <c r="W155" s="1186"/>
      <c r="X155" s="1186"/>
      <c r="Y155" s="1186"/>
      <c r="Z155" s="1186"/>
      <c r="AA155" s="1186"/>
      <c r="AB155" s="1186"/>
      <c r="AC155" s="1186"/>
      <c r="AD155" s="1186"/>
      <c r="AE155" s="1186"/>
      <c r="AF155" s="1186" t="s">
        <v>536</v>
      </c>
      <c r="AG155" s="1186"/>
      <c r="AH155" s="1186"/>
      <c r="AI155" s="1529">
        <f t="shared" si="6"/>
        <v>8</v>
      </c>
      <c r="AJ155" s="1466"/>
      <c r="AK155" s="615"/>
    </row>
    <row r="156" spans="1:37" s="156" customFormat="1" ht="16.149999999999999" customHeight="1" outlineLevel="1">
      <c r="A156" s="1182">
        <v>47</v>
      </c>
      <c r="B156" s="1635" t="str">
        <f>VLOOKUP(C156,'DS CN MOI UP'!$B$10:$C$347,2,0)</f>
        <v>02491</v>
      </c>
      <c r="C156" s="1185" t="s">
        <v>62</v>
      </c>
      <c r="D156" s="1186"/>
      <c r="E156" s="1186" t="s">
        <v>536</v>
      </c>
      <c r="F156" s="1186" t="s">
        <v>536</v>
      </c>
      <c r="G156" s="1186" t="s">
        <v>536</v>
      </c>
      <c r="H156" s="1186"/>
      <c r="I156" s="1186"/>
      <c r="J156" s="1186"/>
      <c r="K156" s="1186"/>
      <c r="L156" s="1186"/>
      <c r="M156" s="1186"/>
      <c r="N156" s="1186"/>
      <c r="O156" s="1186"/>
      <c r="P156" s="1186"/>
      <c r="Q156" s="1186" t="s">
        <v>536</v>
      </c>
      <c r="R156" s="1186"/>
      <c r="S156" s="1186" t="s">
        <v>536</v>
      </c>
      <c r="T156" s="1186"/>
      <c r="U156" s="1186" t="s">
        <v>536</v>
      </c>
      <c r="V156" s="1186"/>
      <c r="W156" s="1186" t="s">
        <v>536</v>
      </c>
      <c r="X156" s="1186" t="s">
        <v>536</v>
      </c>
      <c r="Y156" s="1186"/>
      <c r="Z156" s="1186"/>
      <c r="AA156" s="1186" t="s">
        <v>536</v>
      </c>
      <c r="AB156" s="1186"/>
      <c r="AC156" s="1186"/>
      <c r="AD156" s="1186"/>
      <c r="AE156" s="1186"/>
      <c r="AF156" s="1186" t="s">
        <v>536</v>
      </c>
      <c r="AG156" s="1186"/>
      <c r="AH156" s="1186"/>
      <c r="AI156" s="1529">
        <f t="shared" si="6"/>
        <v>10</v>
      </c>
      <c r="AJ156" s="1466"/>
      <c r="AK156" s="615"/>
    </row>
    <row r="157" spans="1:37" s="156" customFormat="1" ht="16.149999999999999" customHeight="1" outlineLevel="1">
      <c r="A157" s="1182">
        <v>48</v>
      </c>
      <c r="B157" s="1635" t="str">
        <f>VLOOKUP(C157,'DS CN MOI UP'!$B$10:$C$347,2,0)</f>
        <v>02457</v>
      </c>
      <c r="C157" s="1185" t="s">
        <v>63</v>
      </c>
      <c r="D157" s="1186"/>
      <c r="E157" s="1186"/>
      <c r="F157" s="1186" t="s">
        <v>536</v>
      </c>
      <c r="G157" s="1186"/>
      <c r="H157" s="1186"/>
      <c r="I157" s="1186"/>
      <c r="J157" s="1186"/>
      <c r="K157" s="1186"/>
      <c r="L157" s="1186"/>
      <c r="M157" s="1186"/>
      <c r="N157" s="1186"/>
      <c r="O157" s="1186"/>
      <c r="P157" s="1186"/>
      <c r="Q157" s="1186" t="s">
        <v>536</v>
      </c>
      <c r="R157" s="1186" t="s">
        <v>536</v>
      </c>
      <c r="S157" s="1186" t="s">
        <v>536</v>
      </c>
      <c r="T157" s="1186"/>
      <c r="U157" s="1186" t="s">
        <v>536</v>
      </c>
      <c r="V157" s="1186" t="s">
        <v>536</v>
      </c>
      <c r="W157" s="1186"/>
      <c r="X157" s="1186" t="s">
        <v>536</v>
      </c>
      <c r="Y157" s="1186"/>
      <c r="Z157" s="1186"/>
      <c r="AA157" s="1186"/>
      <c r="AB157" s="1186"/>
      <c r="AC157" s="1186"/>
      <c r="AD157" s="1186"/>
      <c r="AE157" s="1182"/>
      <c r="AF157" s="1186" t="s">
        <v>536</v>
      </c>
      <c r="AG157" s="1186" t="s">
        <v>536</v>
      </c>
      <c r="AH157" s="1186"/>
      <c r="AI157" s="1529">
        <f t="shared" si="6"/>
        <v>9</v>
      </c>
      <c r="AJ157" s="1466"/>
      <c r="AK157" s="615"/>
    </row>
    <row r="158" spans="1:37" s="156" customFormat="1" ht="16.149999999999999" customHeight="1" outlineLevel="1">
      <c r="A158" s="1182">
        <v>49</v>
      </c>
      <c r="B158" s="1635" t="str">
        <f>VLOOKUP(C158,'DS CN MOI UP'!$B$10:$C$347,2,0)</f>
        <v>03334</v>
      </c>
      <c r="C158" s="1185" t="s">
        <v>64</v>
      </c>
      <c r="D158" s="1186"/>
      <c r="E158" s="1186"/>
      <c r="F158" s="1186"/>
      <c r="G158" s="1186" t="s">
        <v>536</v>
      </c>
      <c r="H158" s="1186"/>
      <c r="I158" s="1186"/>
      <c r="J158" s="1186"/>
      <c r="K158" s="1186"/>
      <c r="L158" s="1186"/>
      <c r="M158" s="1186"/>
      <c r="N158" s="1186"/>
      <c r="O158" s="1186"/>
      <c r="P158" s="1186"/>
      <c r="Q158" s="1186" t="s">
        <v>536</v>
      </c>
      <c r="R158" s="1186" t="s">
        <v>536</v>
      </c>
      <c r="S158" s="1186"/>
      <c r="T158" s="1186" t="s">
        <v>536</v>
      </c>
      <c r="U158" s="1186" t="s">
        <v>536</v>
      </c>
      <c r="V158" s="1186" t="s">
        <v>536</v>
      </c>
      <c r="W158" s="1186" t="s">
        <v>536</v>
      </c>
      <c r="X158" s="1186" t="s">
        <v>536</v>
      </c>
      <c r="Y158" s="1186"/>
      <c r="Z158" s="1186"/>
      <c r="AA158" s="1186"/>
      <c r="AB158" s="1186"/>
      <c r="AC158" s="1186"/>
      <c r="AD158" s="1182"/>
      <c r="AE158" s="1182"/>
      <c r="AF158" s="1186" t="s">
        <v>536</v>
      </c>
      <c r="AG158" s="1186"/>
      <c r="AH158" s="1186"/>
      <c r="AI158" s="1529">
        <f t="shared" si="6"/>
        <v>9</v>
      </c>
      <c r="AJ158" s="1466"/>
      <c r="AK158" s="615"/>
    </row>
    <row r="159" spans="1:37" s="156" customFormat="1" ht="16.149999999999999" customHeight="1" outlineLevel="1">
      <c r="A159" s="1182">
        <v>50</v>
      </c>
      <c r="B159" s="1635" t="str">
        <f>VLOOKUP(C159,'DS CN MOI UP'!$B$10:$C$347,2,0)</f>
        <v>02486</v>
      </c>
      <c r="C159" s="1185" t="s">
        <v>65</v>
      </c>
      <c r="D159" s="1186"/>
      <c r="E159" s="1186"/>
      <c r="F159" s="1186"/>
      <c r="G159" s="1186" t="s">
        <v>536</v>
      </c>
      <c r="H159" s="1186"/>
      <c r="I159" s="1186"/>
      <c r="J159" s="1186"/>
      <c r="K159" s="1186"/>
      <c r="L159" s="1186"/>
      <c r="M159" s="1186"/>
      <c r="N159" s="1186"/>
      <c r="O159" s="1186"/>
      <c r="P159" s="1186"/>
      <c r="Q159" s="1186" t="s">
        <v>536</v>
      </c>
      <c r="R159" s="1186" t="s">
        <v>536</v>
      </c>
      <c r="S159" s="1186"/>
      <c r="T159" s="1186" t="s">
        <v>536</v>
      </c>
      <c r="U159" s="1186" t="s">
        <v>536</v>
      </c>
      <c r="V159" s="1186" t="s">
        <v>536</v>
      </c>
      <c r="W159" s="1186" t="s">
        <v>536</v>
      </c>
      <c r="X159" s="1186"/>
      <c r="Y159" s="1186"/>
      <c r="Z159" s="1186"/>
      <c r="AA159" s="1186"/>
      <c r="AB159" s="1186"/>
      <c r="AC159" s="1186"/>
      <c r="AD159" s="1182"/>
      <c r="AE159" s="1182"/>
      <c r="AF159" s="1186" t="s">
        <v>536</v>
      </c>
      <c r="AG159" s="1186"/>
      <c r="AH159" s="1186"/>
      <c r="AI159" s="1529">
        <f t="shared" si="6"/>
        <v>8</v>
      </c>
      <c r="AJ159" s="1466"/>
      <c r="AK159" s="615"/>
    </row>
    <row r="160" spans="1:37" s="156" customFormat="1" ht="16.149999999999999" customHeight="1" outlineLevel="1">
      <c r="A160" s="1182">
        <v>51</v>
      </c>
      <c r="B160" s="1635" t="str">
        <f>VLOOKUP(C160,'DS CN MOI UP'!$B$10:$C$347,2,0)</f>
        <v>02479</v>
      </c>
      <c r="C160" s="1185" t="s">
        <v>66</v>
      </c>
      <c r="D160" s="1186"/>
      <c r="E160" s="1186"/>
      <c r="F160" s="1186"/>
      <c r="G160" s="1186"/>
      <c r="H160" s="1186"/>
      <c r="I160" s="1186"/>
      <c r="J160" s="1186"/>
      <c r="K160" s="1186"/>
      <c r="L160" s="1186"/>
      <c r="M160" s="1186"/>
      <c r="N160" s="1186"/>
      <c r="O160" s="1186"/>
      <c r="P160" s="1186"/>
      <c r="Q160" s="1186" t="s">
        <v>536</v>
      </c>
      <c r="R160" s="1186" t="s">
        <v>536</v>
      </c>
      <c r="S160" s="1186"/>
      <c r="T160" s="1186" t="s">
        <v>536</v>
      </c>
      <c r="U160" s="1186" t="s">
        <v>536</v>
      </c>
      <c r="V160" s="1186"/>
      <c r="W160" s="1186" t="s">
        <v>536</v>
      </c>
      <c r="X160" s="1186"/>
      <c r="Y160" s="1186"/>
      <c r="Z160" s="1186"/>
      <c r="AA160" s="1186"/>
      <c r="AB160" s="1186"/>
      <c r="AC160" s="1186"/>
      <c r="AD160" s="1182"/>
      <c r="AE160" s="1182"/>
      <c r="AF160" s="1186" t="s">
        <v>536</v>
      </c>
      <c r="AG160" s="1186" t="s">
        <v>536</v>
      </c>
      <c r="AH160" s="1186"/>
      <c r="AI160" s="1529">
        <f t="shared" si="6"/>
        <v>7</v>
      </c>
      <c r="AJ160" s="1466"/>
      <c r="AK160" s="615"/>
    </row>
    <row r="161" spans="1:37" s="156" customFormat="1" ht="16.149999999999999" customHeight="1" outlineLevel="1">
      <c r="A161" s="1182">
        <v>52</v>
      </c>
      <c r="B161" s="1635" t="str">
        <f>VLOOKUP(C161,'DS CN MOI UP'!$B$10:$C$347,2,0)</f>
        <v>02515</v>
      </c>
      <c r="C161" s="1468" t="s">
        <v>67</v>
      </c>
      <c r="D161" s="1186"/>
      <c r="E161" s="1186"/>
      <c r="F161" s="1186" t="s">
        <v>536</v>
      </c>
      <c r="G161" s="1186"/>
      <c r="H161" s="1186"/>
      <c r="I161" s="1186"/>
      <c r="J161" s="1186"/>
      <c r="K161" s="1186"/>
      <c r="L161" s="1186"/>
      <c r="M161" s="1186"/>
      <c r="N161" s="1186"/>
      <c r="O161" s="1186"/>
      <c r="P161" s="1186"/>
      <c r="Q161" s="1186" t="s">
        <v>536</v>
      </c>
      <c r="R161" s="1186" t="s">
        <v>536</v>
      </c>
      <c r="S161" s="1186" t="s">
        <v>536</v>
      </c>
      <c r="T161" s="1186"/>
      <c r="U161" s="1186"/>
      <c r="V161" s="1186"/>
      <c r="W161" s="1186" t="s">
        <v>536</v>
      </c>
      <c r="X161" s="1186" t="s">
        <v>536</v>
      </c>
      <c r="Y161" s="1186"/>
      <c r="Z161" s="1186"/>
      <c r="AA161" s="1186"/>
      <c r="AB161" s="1186"/>
      <c r="AC161" s="1186"/>
      <c r="AD161" s="1182"/>
      <c r="AE161" s="1182"/>
      <c r="AF161" s="1186" t="s">
        <v>536</v>
      </c>
      <c r="AG161" s="1186" t="s">
        <v>536</v>
      </c>
      <c r="AH161" s="1186"/>
      <c r="AI161" s="1529">
        <f t="shared" si="6"/>
        <v>8</v>
      </c>
      <c r="AJ161" s="1466"/>
      <c r="AK161" s="615"/>
    </row>
    <row r="162" spans="1:37" s="156" customFormat="1" ht="16.149999999999999" customHeight="1" outlineLevel="1">
      <c r="A162" s="1182">
        <v>53</v>
      </c>
      <c r="B162" s="1635" t="str">
        <f>VLOOKUP(C162,'DS CN MOI UP'!$B$10:$C$347,2,0)</f>
        <v>02498</v>
      </c>
      <c r="C162" s="1468" t="s">
        <v>68</v>
      </c>
      <c r="D162" s="1186"/>
      <c r="E162" s="1186"/>
      <c r="F162" s="1186"/>
      <c r="G162" s="1186"/>
      <c r="H162" s="1186"/>
      <c r="I162" s="1186"/>
      <c r="J162" s="1186"/>
      <c r="K162" s="1186"/>
      <c r="L162" s="1186"/>
      <c r="M162" s="1186"/>
      <c r="N162" s="1186"/>
      <c r="O162" s="1186"/>
      <c r="P162" s="1186"/>
      <c r="Q162" s="1186"/>
      <c r="R162" s="1186" t="s">
        <v>536</v>
      </c>
      <c r="S162" s="1186"/>
      <c r="T162" s="1186"/>
      <c r="U162" s="1186"/>
      <c r="V162" s="1186"/>
      <c r="W162" s="1186" t="s">
        <v>536</v>
      </c>
      <c r="X162" s="1186" t="s">
        <v>536</v>
      </c>
      <c r="Y162" s="1186"/>
      <c r="Z162" s="1186"/>
      <c r="AA162" s="1186"/>
      <c r="AB162" s="1186"/>
      <c r="AC162" s="1186"/>
      <c r="AD162" s="1182"/>
      <c r="AE162" s="1182"/>
      <c r="AF162" s="1186"/>
      <c r="AG162" s="1186"/>
      <c r="AH162" s="1186"/>
      <c r="AI162" s="1529">
        <f t="shared" si="6"/>
        <v>3</v>
      </c>
      <c r="AJ162" s="1466"/>
      <c r="AK162" s="615"/>
    </row>
    <row r="163" spans="1:37" s="156" customFormat="1" ht="16.149999999999999" customHeight="1" outlineLevel="1">
      <c r="A163" s="1182">
        <v>54</v>
      </c>
      <c r="B163" s="1635" t="str">
        <f>VLOOKUP(C163,'DS CN MOI UP'!$B$10:$C$347,2,0)</f>
        <v>02685</v>
      </c>
      <c r="C163" s="1468" t="s">
        <v>69</v>
      </c>
      <c r="D163" s="1186"/>
      <c r="E163" s="1186"/>
      <c r="F163" s="1186"/>
      <c r="G163" s="1186"/>
      <c r="H163" s="1186"/>
      <c r="I163" s="1186"/>
      <c r="J163" s="1186"/>
      <c r="K163" s="1186"/>
      <c r="L163" s="1186"/>
      <c r="M163" s="1186"/>
      <c r="N163" s="1186"/>
      <c r="O163" s="1186"/>
      <c r="P163" s="1186"/>
      <c r="Q163" s="1186"/>
      <c r="R163" s="1186" t="s">
        <v>536</v>
      </c>
      <c r="S163" s="1186"/>
      <c r="T163" s="1186"/>
      <c r="U163" s="1186"/>
      <c r="V163" s="1186"/>
      <c r="W163" s="1186" t="s">
        <v>536</v>
      </c>
      <c r="X163" s="1186" t="s">
        <v>536</v>
      </c>
      <c r="Y163" s="1186"/>
      <c r="Z163" s="1186"/>
      <c r="AA163" s="1186"/>
      <c r="AB163" s="1186"/>
      <c r="AC163" s="1186"/>
      <c r="AD163" s="1182"/>
      <c r="AE163" s="1182"/>
      <c r="AF163" s="1186"/>
      <c r="AG163" s="1186"/>
      <c r="AH163" s="1186"/>
      <c r="AI163" s="1529">
        <f t="shared" si="6"/>
        <v>3</v>
      </c>
      <c r="AJ163" s="1466"/>
      <c r="AK163" s="615"/>
    </row>
    <row r="164" spans="1:37" s="156" customFormat="1" ht="16.149999999999999" customHeight="1" outlineLevel="1">
      <c r="A164" s="1182">
        <v>55</v>
      </c>
      <c r="B164" s="1635" t="str">
        <f>VLOOKUP(C164,'DS CN MOI UP'!$B$10:$C$347,2,0)</f>
        <v>02450</v>
      </c>
      <c r="C164" s="1468" t="s">
        <v>70</v>
      </c>
      <c r="D164" s="1186"/>
      <c r="E164" s="1186"/>
      <c r="F164" s="1186"/>
      <c r="G164" s="1186" t="s">
        <v>536</v>
      </c>
      <c r="H164" s="1186"/>
      <c r="I164" s="1186"/>
      <c r="J164" s="1186"/>
      <c r="K164" s="1186"/>
      <c r="L164" s="1186"/>
      <c r="M164" s="1186"/>
      <c r="N164" s="1186"/>
      <c r="O164" s="1186"/>
      <c r="P164" s="1186"/>
      <c r="Q164" s="1186" t="s">
        <v>536</v>
      </c>
      <c r="R164" s="1186" t="s">
        <v>536</v>
      </c>
      <c r="S164" s="1186" t="s">
        <v>536</v>
      </c>
      <c r="T164" s="1186" t="s">
        <v>536</v>
      </c>
      <c r="U164" s="1186" t="s">
        <v>536</v>
      </c>
      <c r="V164" s="1186"/>
      <c r="W164" s="1186" t="s">
        <v>536</v>
      </c>
      <c r="X164" s="1186" t="s">
        <v>536</v>
      </c>
      <c r="Y164" s="1186"/>
      <c r="Z164" s="1186"/>
      <c r="AA164" s="1186"/>
      <c r="AB164" s="1186"/>
      <c r="AC164" s="1186"/>
      <c r="AD164" s="1186"/>
      <c r="AE164" s="1186"/>
      <c r="AF164" s="1186" t="s">
        <v>536</v>
      </c>
      <c r="AG164" s="1186" t="s">
        <v>536</v>
      </c>
      <c r="AH164" s="1186"/>
      <c r="AI164" s="1529">
        <f t="shared" si="6"/>
        <v>10</v>
      </c>
      <c r="AJ164" s="1466"/>
      <c r="AK164" s="615"/>
    </row>
    <row r="165" spans="1:37" s="156" customFormat="1" ht="16.149999999999999" customHeight="1" outlineLevel="1">
      <c r="A165" s="1182">
        <v>56</v>
      </c>
      <c r="B165" s="1635" t="str">
        <f>VLOOKUP(C165,'DS CN MOI UP'!$B$10:$C$347,2,0)</f>
        <v>02454</v>
      </c>
      <c r="C165" s="1468" t="s">
        <v>71</v>
      </c>
      <c r="D165" s="1186"/>
      <c r="E165" s="1186"/>
      <c r="F165" s="1186"/>
      <c r="G165" s="1186" t="s">
        <v>536</v>
      </c>
      <c r="H165" s="1186"/>
      <c r="I165" s="1186"/>
      <c r="J165" s="1186"/>
      <c r="K165" s="1186"/>
      <c r="L165" s="1186"/>
      <c r="M165" s="1186"/>
      <c r="N165" s="1186"/>
      <c r="O165" s="1186"/>
      <c r="P165" s="1186"/>
      <c r="Q165" s="1186" t="s">
        <v>536</v>
      </c>
      <c r="R165" s="1186" t="s">
        <v>536</v>
      </c>
      <c r="S165" s="1186"/>
      <c r="T165" s="1186" t="s">
        <v>536</v>
      </c>
      <c r="U165" s="1186" t="s">
        <v>536</v>
      </c>
      <c r="V165" s="1186"/>
      <c r="W165" s="1186" t="s">
        <v>536</v>
      </c>
      <c r="X165" s="1186" t="s">
        <v>536</v>
      </c>
      <c r="Y165" s="1186"/>
      <c r="Z165" s="1186"/>
      <c r="AA165" s="1186"/>
      <c r="AB165" s="1186"/>
      <c r="AC165" s="1186"/>
      <c r="AD165" s="1182"/>
      <c r="AE165" s="1182"/>
      <c r="AF165" s="1186" t="s">
        <v>536</v>
      </c>
      <c r="AG165" s="1186" t="s">
        <v>536</v>
      </c>
      <c r="AH165" s="1186"/>
      <c r="AI165" s="1529">
        <f t="shared" si="6"/>
        <v>9</v>
      </c>
      <c r="AJ165" s="1466"/>
      <c r="AK165" s="615"/>
    </row>
    <row r="166" spans="1:37" s="156" customFormat="1" ht="16.149999999999999" customHeight="1" outlineLevel="1">
      <c r="A166" s="1182">
        <v>57</v>
      </c>
      <c r="B166" s="1635" t="str">
        <f>VLOOKUP(C166,'DS CN MOI UP'!$B$10:$C$347,2,0)</f>
        <v>03335</v>
      </c>
      <c r="C166" s="1471" t="s">
        <v>72</v>
      </c>
      <c r="D166" s="1186"/>
      <c r="E166" s="1186"/>
      <c r="F166" s="1186"/>
      <c r="G166" s="1186" t="s">
        <v>536</v>
      </c>
      <c r="H166" s="1186"/>
      <c r="I166" s="1186"/>
      <c r="J166" s="1186"/>
      <c r="K166" s="1186"/>
      <c r="L166" s="1186"/>
      <c r="M166" s="1186"/>
      <c r="N166" s="1186"/>
      <c r="O166" s="1186"/>
      <c r="P166" s="1186"/>
      <c r="Q166" s="1186" t="s">
        <v>536</v>
      </c>
      <c r="R166" s="1186" t="s">
        <v>536</v>
      </c>
      <c r="S166" s="1186" t="s">
        <v>536</v>
      </c>
      <c r="T166" s="1186" t="s">
        <v>536</v>
      </c>
      <c r="U166" s="1186" t="s">
        <v>536</v>
      </c>
      <c r="V166" s="1186"/>
      <c r="W166" s="1186" t="s">
        <v>536</v>
      </c>
      <c r="X166" s="1186"/>
      <c r="Y166" s="1186"/>
      <c r="Z166" s="1186"/>
      <c r="AA166" s="1186"/>
      <c r="AB166" s="1186"/>
      <c r="AC166" s="1186"/>
      <c r="AD166" s="1186"/>
      <c r="AE166" s="1186"/>
      <c r="AF166" s="1186" t="s">
        <v>536</v>
      </c>
      <c r="AG166" s="1186" t="s">
        <v>536</v>
      </c>
      <c r="AH166" s="1186"/>
      <c r="AI166" s="1529">
        <f t="shared" si="6"/>
        <v>9</v>
      </c>
      <c r="AJ166" s="1466"/>
      <c r="AK166" s="615"/>
    </row>
    <row r="167" spans="1:37" s="156" customFormat="1" ht="16.149999999999999" customHeight="1" outlineLevel="1">
      <c r="A167" s="1182">
        <v>58</v>
      </c>
      <c r="B167" s="1635" t="str">
        <f>VLOOKUP(C167,'DS CN MOI UP'!$B$10:$C$347,2,0)</f>
        <v>02460</v>
      </c>
      <c r="C167" s="1471" t="s">
        <v>74</v>
      </c>
      <c r="D167" s="1186"/>
      <c r="E167" s="1186"/>
      <c r="F167" s="1186"/>
      <c r="G167" s="1186"/>
      <c r="H167" s="1186"/>
      <c r="I167" s="1186"/>
      <c r="J167" s="1186"/>
      <c r="K167" s="1186"/>
      <c r="L167" s="1186"/>
      <c r="M167" s="1186"/>
      <c r="N167" s="1186"/>
      <c r="O167" s="1186"/>
      <c r="P167" s="1186"/>
      <c r="Q167" s="1186" t="s">
        <v>536</v>
      </c>
      <c r="R167" s="1186" t="s">
        <v>536</v>
      </c>
      <c r="S167" s="1186"/>
      <c r="T167" s="1186"/>
      <c r="U167" s="1186"/>
      <c r="V167" s="1186"/>
      <c r="W167" s="1186"/>
      <c r="X167" s="1186" t="s">
        <v>536</v>
      </c>
      <c r="Y167" s="1186"/>
      <c r="Z167" s="1186"/>
      <c r="AA167" s="1186" t="s">
        <v>536</v>
      </c>
      <c r="AB167" s="1186"/>
      <c r="AC167" s="1186"/>
      <c r="AD167" s="1186"/>
      <c r="AE167" s="1182"/>
      <c r="AF167" s="1186" t="s">
        <v>536</v>
      </c>
      <c r="AG167" s="1186" t="s">
        <v>536</v>
      </c>
      <c r="AH167" s="1186"/>
      <c r="AI167" s="1529">
        <f t="shared" si="6"/>
        <v>6</v>
      </c>
      <c r="AJ167" s="1466"/>
      <c r="AK167" s="615"/>
    </row>
    <row r="168" spans="1:37" s="156" customFormat="1" ht="16.149999999999999" customHeight="1" outlineLevel="1">
      <c r="A168" s="1182">
        <v>59</v>
      </c>
      <c r="B168" s="1635" t="str">
        <f>VLOOKUP(C168,'DS CN MOI UP'!$B$10:$C$347,2,0)</f>
        <v>02683</v>
      </c>
      <c r="C168" s="1471" t="s">
        <v>75</v>
      </c>
      <c r="D168" s="1186"/>
      <c r="E168" s="1186"/>
      <c r="F168" s="1186"/>
      <c r="G168" s="1186"/>
      <c r="H168" s="1186"/>
      <c r="I168" s="1186"/>
      <c r="J168" s="1186"/>
      <c r="K168" s="1186"/>
      <c r="L168" s="1186"/>
      <c r="M168" s="1186"/>
      <c r="N168" s="1186"/>
      <c r="O168" s="1186"/>
      <c r="P168" s="1186"/>
      <c r="Q168" s="1186" t="s">
        <v>536</v>
      </c>
      <c r="R168" s="1186"/>
      <c r="S168" s="1186"/>
      <c r="T168" s="1186"/>
      <c r="U168" s="1186"/>
      <c r="V168" s="1186"/>
      <c r="W168" s="1186" t="s">
        <v>536</v>
      </c>
      <c r="X168" s="1186" t="s">
        <v>536</v>
      </c>
      <c r="Y168" s="1186"/>
      <c r="Z168" s="1186"/>
      <c r="AA168" s="1186"/>
      <c r="AB168" s="1186"/>
      <c r="AC168" s="1186"/>
      <c r="AD168" s="1182"/>
      <c r="AE168" s="1182"/>
      <c r="AF168" s="1186"/>
      <c r="AG168" s="1186" t="s">
        <v>536</v>
      </c>
      <c r="AH168" s="1186"/>
      <c r="AI168" s="1529">
        <f t="shared" si="6"/>
        <v>4</v>
      </c>
      <c r="AJ168" s="1466"/>
      <c r="AK168" s="615"/>
    </row>
    <row r="169" spans="1:37" s="156" customFormat="1" ht="16.149999999999999" customHeight="1" outlineLevel="1">
      <c r="A169" s="1182">
        <v>60</v>
      </c>
      <c r="B169" s="1635" t="str">
        <f>VLOOKUP(C169,'DS CN MOI UP'!$B$10:$C$347,2,0)</f>
        <v>02681</v>
      </c>
      <c r="C169" s="1471" t="s">
        <v>76</v>
      </c>
      <c r="D169" s="1186"/>
      <c r="E169" s="1186"/>
      <c r="F169" s="1186"/>
      <c r="G169" s="1186" t="s">
        <v>536</v>
      </c>
      <c r="H169" s="1186"/>
      <c r="I169" s="1186"/>
      <c r="J169" s="1186"/>
      <c r="K169" s="1186"/>
      <c r="L169" s="1186"/>
      <c r="M169" s="1186"/>
      <c r="N169" s="1186"/>
      <c r="O169" s="1186"/>
      <c r="P169" s="1186"/>
      <c r="Q169" s="1186"/>
      <c r="R169" s="1186" t="s">
        <v>536</v>
      </c>
      <c r="S169" s="1186" t="s">
        <v>536</v>
      </c>
      <c r="T169" s="1186"/>
      <c r="U169" s="1186" t="s">
        <v>536</v>
      </c>
      <c r="V169" s="1186"/>
      <c r="W169" s="1186" t="s">
        <v>536</v>
      </c>
      <c r="X169" s="1186" t="s">
        <v>536</v>
      </c>
      <c r="Y169" s="1186"/>
      <c r="Z169" s="1186"/>
      <c r="AA169" s="1186"/>
      <c r="AB169" s="1186"/>
      <c r="AC169" s="1186"/>
      <c r="AD169" s="1182"/>
      <c r="AE169" s="1182"/>
      <c r="AF169" s="1186" t="s">
        <v>536</v>
      </c>
      <c r="AG169" s="1186" t="s">
        <v>536</v>
      </c>
      <c r="AH169" s="1186"/>
      <c r="AI169" s="1529">
        <f t="shared" si="6"/>
        <v>8</v>
      </c>
      <c r="AJ169" s="1466"/>
      <c r="AK169" s="615"/>
    </row>
    <row r="170" spans="1:37" s="156" customFormat="1" ht="16.149999999999999" customHeight="1" outlineLevel="1">
      <c r="A170" s="1182">
        <v>61</v>
      </c>
      <c r="B170" s="1635" t="str">
        <f>VLOOKUP(C170,'DS CN MOI UP'!$B$10:$C$347,2,0)</f>
        <v>02504</v>
      </c>
      <c r="C170" s="1471" t="s">
        <v>77</v>
      </c>
      <c r="D170" s="1186"/>
      <c r="E170" s="1186"/>
      <c r="F170" s="1186"/>
      <c r="G170" s="1186"/>
      <c r="H170" s="1186"/>
      <c r="I170" s="1186"/>
      <c r="J170" s="1186"/>
      <c r="K170" s="1186"/>
      <c r="L170" s="1186"/>
      <c r="M170" s="1186"/>
      <c r="N170" s="1186"/>
      <c r="O170" s="1186"/>
      <c r="P170" s="1186"/>
      <c r="Q170" s="1186" t="s">
        <v>536</v>
      </c>
      <c r="R170" s="1186" t="s">
        <v>536</v>
      </c>
      <c r="S170" s="1186"/>
      <c r="T170" s="1186" t="s">
        <v>536</v>
      </c>
      <c r="U170" s="1186" t="s">
        <v>536</v>
      </c>
      <c r="V170" s="1186"/>
      <c r="W170" s="1186" t="s">
        <v>536</v>
      </c>
      <c r="X170" s="1186" t="s">
        <v>536</v>
      </c>
      <c r="Y170" s="1186"/>
      <c r="Z170" s="1186"/>
      <c r="AA170" s="1186"/>
      <c r="AB170" s="1186"/>
      <c r="AC170" s="1186"/>
      <c r="AD170" s="1182"/>
      <c r="AE170" s="1182"/>
      <c r="AF170" s="1186" t="s">
        <v>536</v>
      </c>
      <c r="AG170" s="1186" t="s">
        <v>536</v>
      </c>
      <c r="AH170" s="1186"/>
      <c r="AI170" s="1529">
        <f t="shared" si="6"/>
        <v>8</v>
      </c>
      <c r="AJ170" s="1466"/>
      <c r="AK170" s="615"/>
    </row>
    <row r="171" spans="1:37" s="156" customFormat="1" ht="16.149999999999999" customHeight="1" outlineLevel="1">
      <c r="A171" s="1182">
        <v>62</v>
      </c>
      <c r="B171" s="1635" t="str">
        <f>VLOOKUP(C171,'DS CN MOI UP'!$B$10:$C$347,2,0)</f>
        <v>02686</v>
      </c>
      <c r="C171" s="1471" t="s">
        <v>78</v>
      </c>
      <c r="D171" s="1186"/>
      <c r="E171" s="1186" t="s">
        <v>536</v>
      </c>
      <c r="F171" s="1186" t="s">
        <v>536</v>
      </c>
      <c r="G171" s="1186"/>
      <c r="H171" s="1186"/>
      <c r="I171" s="1186"/>
      <c r="J171" s="1186"/>
      <c r="K171" s="1186"/>
      <c r="L171" s="1186"/>
      <c r="M171" s="1186"/>
      <c r="N171" s="1186"/>
      <c r="O171" s="1186"/>
      <c r="P171" s="1186"/>
      <c r="Q171" s="1186" t="s">
        <v>536</v>
      </c>
      <c r="R171" s="1186" t="s">
        <v>536</v>
      </c>
      <c r="S171" s="1186" t="s">
        <v>536</v>
      </c>
      <c r="T171" s="1186"/>
      <c r="U171" s="1186"/>
      <c r="V171" s="1186"/>
      <c r="W171" s="1186" t="s">
        <v>536</v>
      </c>
      <c r="X171" s="1186"/>
      <c r="Y171" s="1186"/>
      <c r="Z171" s="1186"/>
      <c r="AA171" s="1186"/>
      <c r="AB171" s="1186"/>
      <c r="AC171" s="1186"/>
      <c r="AD171" s="1186"/>
      <c r="AE171" s="1186"/>
      <c r="AF171" s="1186"/>
      <c r="AG171" s="1186"/>
      <c r="AH171" s="1186"/>
      <c r="AI171" s="1529">
        <f t="shared" si="6"/>
        <v>6</v>
      </c>
      <c r="AJ171" s="1466"/>
      <c r="AK171" s="615"/>
    </row>
    <row r="172" spans="1:37" s="156" customFormat="1" ht="16.149999999999999" customHeight="1" outlineLevel="1">
      <c r="A172" s="1182">
        <v>63</v>
      </c>
      <c r="B172" s="1635" t="str">
        <f>VLOOKUP(C172,'DS CN MOI UP'!$B$10:$C$347,2,0)</f>
        <v>02478</v>
      </c>
      <c r="C172" s="1471" t="s">
        <v>79</v>
      </c>
      <c r="D172" s="1186"/>
      <c r="E172" s="1186"/>
      <c r="F172" s="1186"/>
      <c r="G172" s="1186"/>
      <c r="H172" s="1186"/>
      <c r="I172" s="1186"/>
      <c r="J172" s="1186"/>
      <c r="K172" s="1186"/>
      <c r="L172" s="1186"/>
      <c r="M172" s="1186"/>
      <c r="N172" s="1186"/>
      <c r="O172" s="1186"/>
      <c r="P172" s="1186"/>
      <c r="Q172" s="1186"/>
      <c r="R172" s="1186" t="s">
        <v>536</v>
      </c>
      <c r="S172" s="1186"/>
      <c r="T172" s="1186"/>
      <c r="U172" s="1186" t="s">
        <v>536</v>
      </c>
      <c r="V172" s="1186"/>
      <c r="W172" s="1186" t="s">
        <v>536</v>
      </c>
      <c r="X172" s="1186" t="s">
        <v>536</v>
      </c>
      <c r="Y172" s="1186"/>
      <c r="Z172" s="1186"/>
      <c r="AA172" s="1186"/>
      <c r="AB172" s="1186"/>
      <c r="AC172" s="1186"/>
      <c r="AD172" s="1182"/>
      <c r="AE172" s="1182"/>
      <c r="AF172" s="1186"/>
      <c r="AG172" s="1186" t="s">
        <v>536</v>
      </c>
      <c r="AH172" s="1186"/>
      <c r="AI172" s="1529">
        <f t="shared" si="6"/>
        <v>5</v>
      </c>
      <c r="AJ172" s="1466"/>
      <c r="AK172" s="615"/>
    </row>
    <row r="173" spans="1:37" s="156" customFormat="1" ht="16.149999999999999" customHeight="1" outlineLevel="1">
      <c r="A173" s="1182">
        <v>64</v>
      </c>
      <c r="B173" s="1635" t="str">
        <f>VLOOKUP(C173,'DS CN MOI UP'!$B$10:$C$347,2,0)</f>
        <v>02499</v>
      </c>
      <c r="C173" s="1471" t="s">
        <v>80</v>
      </c>
      <c r="D173" s="1186"/>
      <c r="E173" s="1186"/>
      <c r="F173" s="1186"/>
      <c r="G173" s="1186"/>
      <c r="H173" s="1186"/>
      <c r="I173" s="1186"/>
      <c r="J173" s="1186"/>
      <c r="K173" s="1186"/>
      <c r="L173" s="1186"/>
      <c r="M173" s="1186"/>
      <c r="N173" s="1186"/>
      <c r="O173" s="1186"/>
      <c r="P173" s="1186"/>
      <c r="Q173" s="1186"/>
      <c r="R173" s="1186" t="s">
        <v>536</v>
      </c>
      <c r="S173" s="1186"/>
      <c r="T173" s="1186"/>
      <c r="U173" s="1186"/>
      <c r="V173" s="1186"/>
      <c r="W173" s="1186"/>
      <c r="X173" s="1186" t="s">
        <v>536</v>
      </c>
      <c r="Y173" s="1186"/>
      <c r="Z173" s="1186"/>
      <c r="AA173" s="1186"/>
      <c r="AB173" s="1186"/>
      <c r="AC173" s="1186"/>
      <c r="AD173" s="1182"/>
      <c r="AE173" s="1182"/>
      <c r="AF173" s="1186" t="s">
        <v>536</v>
      </c>
      <c r="AG173" s="1186" t="s">
        <v>536</v>
      </c>
      <c r="AH173" s="1186"/>
      <c r="AI173" s="1529">
        <f t="shared" si="6"/>
        <v>4</v>
      </c>
      <c r="AJ173" s="1466"/>
      <c r="AK173" s="615"/>
    </row>
    <row r="174" spans="1:37" s="156" customFormat="1" ht="16.149999999999999" customHeight="1" outlineLevel="1">
      <c r="A174" s="1182">
        <v>65</v>
      </c>
      <c r="B174" s="1635" t="str">
        <f>VLOOKUP(C174,'DS CN MOI UP'!$B$10:$C$347,2,0)</f>
        <v>03336</v>
      </c>
      <c r="C174" s="1471" t="s">
        <v>81</v>
      </c>
      <c r="D174" s="1186"/>
      <c r="E174" s="1186"/>
      <c r="F174" s="1186"/>
      <c r="G174" s="1186"/>
      <c r="H174" s="1186"/>
      <c r="I174" s="1186"/>
      <c r="J174" s="1186"/>
      <c r="K174" s="1186"/>
      <c r="L174" s="1186"/>
      <c r="M174" s="1186"/>
      <c r="N174" s="1186"/>
      <c r="O174" s="1186"/>
      <c r="P174" s="1186"/>
      <c r="Q174" s="1186"/>
      <c r="R174" s="1186"/>
      <c r="S174" s="1186" t="s">
        <v>536</v>
      </c>
      <c r="T174" s="1186"/>
      <c r="U174" s="1186" t="s">
        <v>536</v>
      </c>
      <c r="V174" s="1186"/>
      <c r="W174" s="1186"/>
      <c r="X174" s="1186"/>
      <c r="Y174" s="1186"/>
      <c r="Z174" s="1186"/>
      <c r="AA174" s="1186"/>
      <c r="AB174" s="1186"/>
      <c r="AC174" s="1186"/>
      <c r="AD174" s="1186"/>
      <c r="AE174" s="1186"/>
      <c r="AF174" s="1186"/>
      <c r="AG174" s="1186" t="s">
        <v>536</v>
      </c>
      <c r="AH174" s="1186"/>
      <c r="AI174" s="1529">
        <f t="shared" ref="AI174:AI223" si="7">COUNTIF(D174:AH174,"X")</f>
        <v>3</v>
      </c>
      <c r="AJ174" s="1466"/>
      <c r="AK174" s="615"/>
    </row>
    <row r="175" spans="1:37" s="156" customFormat="1" ht="16.149999999999999" customHeight="1" outlineLevel="1">
      <c r="A175" s="1182">
        <v>66</v>
      </c>
      <c r="B175" s="1635" t="str">
        <f>VLOOKUP(C175,'DS CN MOI UP'!$B$10:$C$347,2,0)</f>
        <v>02682</v>
      </c>
      <c r="C175" s="1471" t="s">
        <v>82</v>
      </c>
      <c r="D175" s="1186"/>
      <c r="E175" s="1186"/>
      <c r="F175" s="1186"/>
      <c r="G175" s="1186"/>
      <c r="H175" s="1186"/>
      <c r="I175" s="1186"/>
      <c r="J175" s="1186"/>
      <c r="K175" s="1186"/>
      <c r="L175" s="1186"/>
      <c r="M175" s="1186"/>
      <c r="N175" s="1186"/>
      <c r="O175" s="1186"/>
      <c r="P175" s="1186"/>
      <c r="Q175" s="1186"/>
      <c r="R175" s="1186"/>
      <c r="S175" s="1186"/>
      <c r="T175" s="1186"/>
      <c r="U175" s="1186" t="s">
        <v>536</v>
      </c>
      <c r="V175" s="1186"/>
      <c r="W175" s="1186"/>
      <c r="X175" s="1186"/>
      <c r="Y175" s="1186"/>
      <c r="Z175" s="1186"/>
      <c r="AA175" s="1186"/>
      <c r="AB175" s="1186"/>
      <c r="AC175" s="1186"/>
      <c r="AD175" s="1186"/>
      <c r="AE175" s="1186"/>
      <c r="AF175" s="1186"/>
      <c r="AG175" s="1186" t="s">
        <v>536</v>
      </c>
      <c r="AH175" s="1186"/>
      <c r="AI175" s="1529">
        <f t="shared" si="7"/>
        <v>2</v>
      </c>
      <c r="AJ175" s="1466"/>
      <c r="AK175" s="615"/>
    </row>
    <row r="176" spans="1:37" s="156" customFormat="1" ht="16.149999999999999" customHeight="1" outlineLevel="1">
      <c r="A176" s="1182">
        <v>67</v>
      </c>
      <c r="B176" s="1635" t="str">
        <f>VLOOKUP(C176,'DS CN MOI UP'!$B$10:$C$347,2,0)</f>
        <v>02482</v>
      </c>
      <c r="C176" s="1471" t="s">
        <v>83</v>
      </c>
      <c r="D176" s="1186"/>
      <c r="E176" s="1186"/>
      <c r="F176" s="1186"/>
      <c r="G176" s="1186" t="s">
        <v>536</v>
      </c>
      <c r="H176" s="1186"/>
      <c r="I176" s="1186"/>
      <c r="J176" s="1186"/>
      <c r="K176" s="1186"/>
      <c r="L176" s="1186"/>
      <c r="M176" s="1186"/>
      <c r="N176" s="1186"/>
      <c r="O176" s="1186"/>
      <c r="P176" s="1186"/>
      <c r="Q176" s="1186" t="s">
        <v>536</v>
      </c>
      <c r="R176" s="1186" t="s">
        <v>536</v>
      </c>
      <c r="S176" s="1186"/>
      <c r="T176" s="1186"/>
      <c r="U176" s="1186"/>
      <c r="V176" s="1186"/>
      <c r="W176" s="1186" t="s">
        <v>536</v>
      </c>
      <c r="X176" s="1186" t="s">
        <v>536</v>
      </c>
      <c r="Y176" s="1186"/>
      <c r="Z176" s="1186"/>
      <c r="AA176" s="1186"/>
      <c r="AB176" s="1186"/>
      <c r="AC176" s="1186"/>
      <c r="AD176" s="1186"/>
      <c r="AE176" s="1182"/>
      <c r="AF176" s="1186"/>
      <c r="AG176" s="1186" t="s">
        <v>536</v>
      </c>
      <c r="AH176" s="1186"/>
      <c r="AI176" s="1529">
        <f t="shared" si="7"/>
        <v>6</v>
      </c>
      <c r="AJ176" s="1466"/>
      <c r="AK176" s="615"/>
    </row>
    <row r="177" spans="1:37" s="156" customFormat="1" ht="16.149999999999999" customHeight="1" outlineLevel="1">
      <c r="A177" s="1182">
        <v>68</v>
      </c>
      <c r="B177" s="1635" t="str">
        <f>VLOOKUP(C177,'DS CN MOI UP'!$B$10:$C$347,2,0)</f>
        <v>03337</v>
      </c>
      <c r="C177" s="1471" t="s">
        <v>84</v>
      </c>
      <c r="D177" s="1186"/>
      <c r="E177" s="1186"/>
      <c r="F177" s="1186" t="s">
        <v>536</v>
      </c>
      <c r="G177" s="1186" t="s">
        <v>536</v>
      </c>
      <c r="H177" s="1186"/>
      <c r="I177" s="1186"/>
      <c r="J177" s="1186"/>
      <c r="K177" s="1186"/>
      <c r="L177" s="1186"/>
      <c r="M177" s="1186"/>
      <c r="N177" s="1186"/>
      <c r="O177" s="1186"/>
      <c r="P177" s="1186"/>
      <c r="Q177" s="1186" t="s">
        <v>536</v>
      </c>
      <c r="R177" s="1186" t="s">
        <v>536</v>
      </c>
      <c r="S177" s="1186"/>
      <c r="T177" s="1186"/>
      <c r="U177" s="1186" t="s">
        <v>536</v>
      </c>
      <c r="V177" s="1186"/>
      <c r="W177" s="1186" t="s">
        <v>536</v>
      </c>
      <c r="X177" s="1186" t="s">
        <v>536</v>
      </c>
      <c r="Y177" s="1186"/>
      <c r="Z177" s="1186"/>
      <c r="AA177" s="1186"/>
      <c r="AB177" s="1186"/>
      <c r="AC177" s="1186"/>
      <c r="AD177" s="1182"/>
      <c r="AE177" s="1182"/>
      <c r="AF177" s="1186" t="s">
        <v>536</v>
      </c>
      <c r="AG177" s="1186" t="s">
        <v>536</v>
      </c>
      <c r="AH177" s="1186"/>
      <c r="AI177" s="1529">
        <f t="shared" si="7"/>
        <v>9</v>
      </c>
      <c r="AJ177" s="1466"/>
      <c r="AK177" s="615"/>
    </row>
    <row r="178" spans="1:37" s="156" customFormat="1" ht="16.149999999999999" customHeight="1" outlineLevel="1">
      <c r="A178" s="1182">
        <v>69</v>
      </c>
      <c r="B178" s="1635" t="str">
        <f>VLOOKUP(C178,'DS CN MOI UP'!$B$10:$C$347,2,0)</f>
        <v>03338</v>
      </c>
      <c r="C178" s="1471" t="s">
        <v>85</v>
      </c>
      <c r="D178" s="1186"/>
      <c r="E178" s="1186"/>
      <c r="F178" s="1186"/>
      <c r="G178" s="1186" t="s">
        <v>536</v>
      </c>
      <c r="H178" s="1186"/>
      <c r="I178" s="1186"/>
      <c r="J178" s="1186"/>
      <c r="K178" s="1186"/>
      <c r="L178" s="1186"/>
      <c r="M178" s="1186"/>
      <c r="N178" s="1186"/>
      <c r="O178" s="1186"/>
      <c r="P178" s="1186"/>
      <c r="Q178" s="1186" t="s">
        <v>536</v>
      </c>
      <c r="R178" s="1186" t="s">
        <v>536</v>
      </c>
      <c r="S178" s="1186" t="s">
        <v>536</v>
      </c>
      <c r="T178" s="1186" t="s">
        <v>536</v>
      </c>
      <c r="U178" s="1186" t="s">
        <v>536</v>
      </c>
      <c r="V178" s="1186"/>
      <c r="W178" s="1186" t="s">
        <v>536</v>
      </c>
      <c r="X178" s="1186" t="s">
        <v>536</v>
      </c>
      <c r="Y178" s="1186"/>
      <c r="Z178" s="1186"/>
      <c r="AA178" s="1186"/>
      <c r="AB178" s="1186"/>
      <c r="AC178" s="1186"/>
      <c r="AD178" s="1182"/>
      <c r="AE178" s="1182"/>
      <c r="AF178" s="1186"/>
      <c r="AG178" s="1186" t="s">
        <v>536</v>
      </c>
      <c r="AH178" s="1186"/>
      <c r="AI178" s="1529">
        <f t="shared" si="7"/>
        <v>9</v>
      </c>
      <c r="AJ178" s="1466"/>
      <c r="AK178" s="615"/>
    </row>
    <row r="179" spans="1:37" s="156" customFormat="1" ht="16.149999999999999" customHeight="1" outlineLevel="1">
      <c r="A179" s="1182">
        <v>70</v>
      </c>
      <c r="B179" s="1635" t="str">
        <f>VLOOKUP(C179,'DS CN MOI UP'!$B$10:$C$347,2,0)</f>
        <v>02481</v>
      </c>
      <c r="C179" s="1471" t="s">
        <v>86</v>
      </c>
      <c r="D179" s="1186"/>
      <c r="E179" s="1186"/>
      <c r="F179" s="1186"/>
      <c r="G179" s="1186"/>
      <c r="H179" s="1186"/>
      <c r="I179" s="1186"/>
      <c r="J179" s="1186"/>
      <c r="K179" s="1186"/>
      <c r="L179" s="1186"/>
      <c r="M179" s="1186"/>
      <c r="N179" s="1186"/>
      <c r="O179" s="1186"/>
      <c r="P179" s="1186"/>
      <c r="Q179" s="1186"/>
      <c r="R179" s="1186" t="s">
        <v>536</v>
      </c>
      <c r="S179" s="1186" t="s">
        <v>536</v>
      </c>
      <c r="T179" s="1186"/>
      <c r="U179" s="1186" t="s">
        <v>536</v>
      </c>
      <c r="V179" s="1186"/>
      <c r="W179" s="1186" t="s">
        <v>536</v>
      </c>
      <c r="X179" s="1186" t="s">
        <v>536</v>
      </c>
      <c r="Y179" s="1186"/>
      <c r="Z179" s="1186"/>
      <c r="AA179" s="1186"/>
      <c r="AB179" s="1186"/>
      <c r="AC179" s="1186"/>
      <c r="AD179" s="1186"/>
      <c r="AE179" s="1186"/>
      <c r="AF179" s="1186"/>
      <c r="AG179" s="1186"/>
      <c r="AH179" s="1186"/>
      <c r="AI179" s="1529">
        <f t="shared" si="7"/>
        <v>5</v>
      </c>
      <c r="AJ179" s="1466"/>
      <c r="AK179" s="615"/>
    </row>
    <row r="180" spans="1:37" s="156" customFormat="1" ht="16.149999999999999" customHeight="1" outlineLevel="1">
      <c r="A180" s="1182">
        <v>71</v>
      </c>
      <c r="B180" s="1635" t="str">
        <f>VLOOKUP(C180,'DS CN MOI UP'!$B$10:$C$347,2,0)</f>
        <v>02463</v>
      </c>
      <c r="C180" s="1471" t="s">
        <v>87</v>
      </c>
      <c r="D180" s="1186"/>
      <c r="E180" s="1186"/>
      <c r="F180" s="1186" t="s">
        <v>536</v>
      </c>
      <c r="G180" s="1186" t="s">
        <v>536</v>
      </c>
      <c r="H180" s="1186"/>
      <c r="I180" s="1186"/>
      <c r="J180" s="1186"/>
      <c r="K180" s="1186"/>
      <c r="L180" s="1186"/>
      <c r="M180" s="1186"/>
      <c r="N180" s="1186"/>
      <c r="O180" s="1186"/>
      <c r="P180" s="1186"/>
      <c r="Q180" s="1186" t="s">
        <v>536</v>
      </c>
      <c r="R180" s="1186" t="s">
        <v>536</v>
      </c>
      <c r="S180" s="1186" t="s">
        <v>536</v>
      </c>
      <c r="T180" s="1186" t="s">
        <v>536</v>
      </c>
      <c r="U180" s="1186" t="s">
        <v>536</v>
      </c>
      <c r="V180" s="1186"/>
      <c r="W180" s="1186"/>
      <c r="X180" s="1186" t="s">
        <v>536</v>
      </c>
      <c r="Y180" s="1186"/>
      <c r="Z180" s="1186"/>
      <c r="AA180" s="1186" t="s">
        <v>536</v>
      </c>
      <c r="AB180" s="1186"/>
      <c r="AC180" s="1186"/>
      <c r="AD180" s="1182"/>
      <c r="AE180" s="1186"/>
      <c r="AF180" s="1186"/>
      <c r="AG180" s="1186" t="s">
        <v>536</v>
      </c>
      <c r="AH180" s="1186"/>
      <c r="AI180" s="1529">
        <f t="shared" si="7"/>
        <v>10</v>
      </c>
      <c r="AJ180" s="1466"/>
      <c r="AK180" s="615"/>
    </row>
    <row r="181" spans="1:37" s="156" customFormat="1" ht="16.149999999999999" customHeight="1" outlineLevel="1">
      <c r="A181" s="1182">
        <v>72</v>
      </c>
      <c r="B181" s="1635" t="str">
        <f>VLOOKUP(C181,'DS CN MOI UP'!$B$10:$C$347,2,0)</f>
        <v>02464</v>
      </c>
      <c r="C181" s="1471" t="s">
        <v>88</v>
      </c>
      <c r="D181" s="1186"/>
      <c r="E181" s="1186"/>
      <c r="F181" s="1186" t="s">
        <v>536</v>
      </c>
      <c r="G181" s="1186" t="s">
        <v>536</v>
      </c>
      <c r="H181" s="1186"/>
      <c r="I181" s="1186"/>
      <c r="J181" s="1186"/>
      <c r="K181" s="1186"/>
      <c r="L181" s="1186"/>
      <c r="M181" s="1186"/>
      <c r="N181" s="1186"/>
      <c r="O181" s="1186"/>
      <c r="P181" s="1186"/>
      <c r="Q181" s="1186" t="s">
        <v>536</v>
      </c>
      <c r="R181" s="1186" t="s">
        <v>536</v>
      </c>
      <c r="S181" s="1186" t="s">
        <v>536</v>
      </c>
      <c r="T181" s="1186" t="s">
        <v>536</v>
      </c>
      <c r="U181" s="1186" t="s">
        <v>536</v>
      </c>
      <c r="V181" s="1186"/>
      <c r="W181" s="1186"/>
      <c r="X181" s="1186"/>
      <c r="Y181" s="1186"/>
      <c r="Z181" s="1186"/>
      <c r="AA181" s="1186" t="s">
        <v>536</v>
      </c>
      <c r="AB181" s="1186"/>
      <c r="AC181" s="1186"/>
      <c r="AD181" s="1186"/>
      <c r="AE181" s="1186"/>
      <c r="AF181" s="1186"/>
      <c r="AG181" s="1186" t="s">
        <v>536</v>
      </c>
      <c r="AH181" s="1186"/>
      <c r="AI181" s="1529">
        <f t="shared" si="7"/>
        <v>9</v>
      </c>
      <c r="AJ181" s="1466"/>
      <c r="AK181" s="615"/>
    </row>
    <row r="182" spans="1:37" s="156" customFormat="1" ht="16.149999999999999" customHeight="1" outlineLevel="1">
      <c r="A182" s="1182">
        <v>73</v>
      </c>
      <c r="B182" s="1635" t="str">
        <f>VLOOKUP(C182,'DS CN MOI UP'!$B$10:$C$347,2,0)</f>
        <v>02456</v>
      </c>
      <c r="C182" s="1471" t="s">
        <v>89</v>
      </c>
      <c r="D182" s="1186"/>
      <c r="E182" s="1186"/>
      <c r="F182" s="1186"/>
      <c r="G182" s="1186"/>
      <c r="H182" s="1186"/>
      <c r="I182" s="1186"/>
      <c r="J182" s="1186"/>
      <c r="K182" s="1186"/>
      <c r="L182" s="1186"/>
      <c r="M182" s="1186"/>
      <c r="N182" s="1186"/>
      <c r="O182" s="1186"/>
      <c r="P182" s="1186"/>
      <c r="Q182" s="1186"/>
      <c r="R182" s="1186" t="s">
        <v>536</v>
      </c>
      <c r="S182" s="1186"/>
      <c r="T182" s="1186"/>
      <c r="U182" s="1186"/>
      <c r="V182" s="1186"/>
      <c r="W182" s="1186"/>
      <c r="X182" s="1186" t="s">
        <v>536</v>
      </c>
      <c r="Y182" s="1186"/>
      <c r="Z182" s="1186"/>
      <c r="AA182" s="1186"/>
      <c r="AB182" s="1186"/>
      <c r="AC182" s="1186"/>
      <c r="AD182" s="1182"/>
      <c r="AE182" s="1182"/>
      <c r="AF182" s="1186"/>
      <c r="AG182" s="1186" t="s">
        <v>536</v>
      </c>
      <c r="AH182" s="1186"/>
      <c r="AI182" s="1529">
        <f t="shared" si="7"/>
        <v>3</v>
      </c>
      <c r="AJ182" s="1466"/>
      <c r="AK182" s="615"/>
    </row>
    <row r="183" spans="1:37" s="156" customFormat="1" ht="16.149999999999999" customHeight="1" outlineLevel="1">
      <c r="A183" s="1182">
        <v>74</v>
      </c>
      <c r="B183" s="1635" t="str">
        <f>VLOOKUP(C183,'DS CN MOI UP'!$B$10:$C$347,2,0)</f>
        <v>02461</v>
      </c>
      <c r="C183" s="1471" t="s">
        <v>90</v>
      </c>
      <c r="D183" s="1186"/>
      <c r="E183" s="1186"/>
      <c r="F183" s="1186"/>
      <c r="G183" s="1186"/>
      <c r="H183" s="1186"/>
      <c r="I183" s="1186"/>
      <c r="J183" s="1186"/>
      <c r="K183" s="1186"/>
      <c r="L183" s="1186"/>
      <c r="M183" s="1186"/>
      <c r="N183" s="1186"/>
      <c r="O183" s="1186"/>
      <c r="P183" s="1186"/>
      <c r="Q183" s="1186"/>
      <c r="R183" s="1186" t="s">
        <v>536</v>
      </c>
      <c r="S183" s="1186"/>
      <c r="T183" s="1186"/>
      <c r="U183" s="1186"/>
      <c r="V183" s="1186"/>
      <c r="W183" s="1186"/>
      <c r="X183" s="1186" t="s">
        <v>536</v>
      </c>
      <c r="Y183" s="1186"/>
      <c r="Z183" s="1186"/>
      <c r="AA183" s="1186"/>
      <c r="AB183" s="1186"/>
      <c r="AC183" s="1186"/>
      <c r="AD183" s="1182"/>
      <c r="AE183" s="1182"/>
      <c r="AF183" s="1186" t="s">
        <v>536</v>
      </c>
      <c r="AG183" s="1186" t="s">
        <v>536</v>
      </c>
      <c r="AH183" s="1186"/>
      <c r="AI183" s="1529">
        <f t="shared" si="7"/>
        <v>4</v>
      </c>
      <c r="AJ183" s="1466"/>
      <c r="AK183" s="615"/>
    </row>
    <row r="184" spans="1:37" s="156" customFormat="1" ht="16.149999999999999" customHeight="1" outlineLevel="1">
      <c r="A184" s="1182">
        <v>75</v>
      </c>
      <c r="B184" s="1635" t="str">
        <f>VLOOKUP(C184,'DS CN MOI UP'!$B$10:$C$347,2,0)</f>
        <v>02680</v>
      </c>
      <c r="C184" s="1471" t="s">
        <v>91</v>
      </c>
      <c r="D184" s="1186"/>
      <c r="E184" s="1186"/>
      <c r="F184" s="1186"/>
      <c r="G184" s="1186" t="s">
        <v>536</v>
      </c>
      <c r="H184" s="1186"/>
      <c r="I184" s="1186"/>
      <c r="J184" s="1186"/>
      <c r="K184" s="1186"/>
      <c r="L184" s="1186"/>
      <c r="M184" s="1186"/>
      <c r="N184" s="1186"/>
      <c r="O184" s="1186"/>
      <c r="P184" s="1186"/>
      <c r="Q184" s="1186" t="s">
        <v>536</v>
      </c>
      <c r="R184" s="1186" t="s">
        <v>536</v>
      </c>
      <c r="S184" s="1186" t="s">
        <v>536</v>
      </c>
      <c r="T184" s="1186" t="s">
        <v>536</v>
      </c>
      <c r="U184" s="1186" t="s">
        <v>536</v>
      </c>
      <c r="V184" s="1186"/>
      <c r="W184" s="1186" t="s">
        <v>536</v>
      </c>
      <c r="X184" s="1186" t="s">
        <v>536</v>
      </c>
      <c r="Y184" s="1186"/>
      <c r="Z184" s="1186"/>
      <c r="AA184" s="1186" t="s">
        <v>536</v>
      </c>
      <c r="AB184" s="1186"/>
      <c r="AC184" s="1186"/>
      <c r="AD184" s="1186"/>
      <c r="AE184" s="1182"/>
      <c r="AF184" s="1186" t="s">
        <v>536</v>
      </c>
      <c r="AG184" s="1186" t="s">
        <v>536</v>
      </c>
      <c r="AH184" s="1186"/>
      <c r="AI184" s="1529">
        <f t="shared" si="7"/>
        <v>11</v>
      </c>
      <c r="AJ184" s="1466"/>
      <c r="AK184" s="615"/>
    </row>
    <row r="185" spans="1:37" s="156" customFormat="1" ht="16.149999999999999" customHeight="1" outlineLevel="1">
      <c r="A185" s="1182">
        <v>76</v>
      </c>
      <c r="B185" s="1635" t="str">
        <f>VLOOKUP(C185,'DS CN MOI UP'!$B$10:$C$347,2,0)</f>
        <v>02501</v>
      </c>
      <c r="C185" s="1471" t="s">
        <v>92</v>
      </c>
      <c r="D185" s="1186"/>
      <c r="E185" s="1186"/>
      <c r="F185" s="1186" t="s">
        <v>536</v>
      </c>
      <c r="G185" s="1186" t="s">
        <v>536</v>
      </c>
      <c r="H185" s="1186"/>
      <c r="I185" s="1186"/>
      <c r="J185" s="1186"/>
      <c r="K185" s="1186"/>
      <c r="L185" s="1186"/>
      <c r="M185" s="1186"/>
      <c r="N185" s="1186"/>
      <c r="O185" s="1186"/>
      <c r="P185" s="1186"/>
      <c r="Q185" s="1186" t="s">
        <v>536</v>
      </c>
      <c r="R185" s="1186" t="s">
        <v>536</v>
      </c>
      <c r="S185" s="1186" t="s">
        <v>536</v>
      </c>
      <c r="T185" s="1186" t="s">
        <v>536</v>
      </c>
      <c r="U185" s="1186" t="s">
        <v>536</v>
      </c>
      <c r="V185" s="1186"/>
      <c r="W185" s="1186" t="s">
        <v>536</v>
      </c>
      <c r="X185" s="1186"/>
      <c r="Y185" s="1186"/>
      <c r="Z185" s="1186"/>
      <c r="AA185" s="1186"/>
      <c r="AB185" s="1186"/>
      <c r="AC185" s="1186"/>
      <c r="AD185" s="1182"/>
      <c r="AE185" s="1182"/>
      <c r="AF185" s="1186" t="s">
        <v>536</v>
      </c>
      <c r="AG185" s="1186" t="s">
        <v>536</v>
      </c>
      <c r="AH185" s="1186"/>
      <c r="AI185" s="1529">
        <f t="shared" si="7"/>
        <v>10</v>
      </c>
      <c r="AJ185" s="1466"/>
      <c r="AK185" s="615"/>
    </row>
    <row r="186" spans="1:37" s="156" customFormat="1" ht="16.149999999999999" customHeight="1" outlineLevel="1">
      <c r="A186" s="1182">
        <v>77</v>
      </c>
      <c r="B186" s="1635" t="str">
        <f>VLOOKUP(C186,'DS CN MOI UP'!$B$10:$C$347,2,0)</f>
        <v>02503</v>
      </c>
      <c r="C186" s="1471" t="s">
        <v>93</v>
      </c>
      <c r="D186" s="1186"/>
      <c r="E186" s="1186"/>
      <c r="F186" s="1186" t="s">
        <v>536</v>
      </c>
      <c r="G186" s="1186" t="s">
        <v>536</v>
      </c>
      <c r="H186" s="1186"/>
      <c r="I186" s="1186"/>
      <c r="J186" s="1186"/>
      <c r="K186" s="1186"/>
      <c r="L186" s="1186"/>
      <c r="M186" s="1186"/>
      <c r="N186" s="1186"/>
      <c r="O186" s="1186"/>
      <c r="P186" s="1186"/>
      <c r="Q186" s="1186" t="s">
        <v>536</v>
      </c>
      <c r="R186" s="1186" t="s">
        <v>536</v>
      </c>
      <c r="S186" s="1186" t="s">
        <v>536</v>
      </c>
      <c r="T186" s="1186"/>
      <c r="U186" s="1186" t="s">
        <v>536</v>
      </c>
      <c r="V186" s="1186"/>
      <c r="W186" s="1186" t="s">
        <v>536</v>
      </c>
      <c r="X186" s="1186" t="s">
        <v>536</v>
      </c>
      <c r="Y186" s="1186"/>
      <c r="Z186" s="1186"/>
      <c r="AA186" s="1186"/>
      <c r="AB186" s="1186"/>
      <c r="AC186" s="1186"/>
      <c r="AD186" s="1182"/>
      <c r="AE186" s="1182"/>
      <c r="AF186" s="1186"/>
      <c r="AG186" s="1186" t="s">
        <v>536</v>
      </c>
      <c r="AH186" s="1186"/>
      <c r="AI186" s="1529">
        <f t="shared" si="7"/>
        <v>9</v>
      </c>
      <c r="AJ186" s="1466"/>
      <c r="AK186" s="615"/>
    </row>
    <row r="187" spans="1:37" s="156" customFormat="1" ht="16.149999999999999" customHeight="1" outlineLevel="1">
      <c r="A187" s="1182">
        <v>78</v>
      </c>
      <c r="B187" s="1635" t="str">
        <f>VLOOKUP(C187,'DS CN MOI UP'!$B$10:$C$347,2,0)</f>
        <v>02468</v>
      </c>
      <c r="C187" s="1471" t="s">
        <v>94</v>
      </c>
      <c r="D187" s="1186"/>
      <c r="E187" s="1186"/>
      <c r="F187" s="1186" t="s">
        <v>536</v>
      </c>
      <c r="G187" s="1186" t="s">
        <v>536</v>
      </c>
      <c r="H187" s="1186"/>
      <c r="I187" s="1186"/>
      <c r="J187" s="1186"/>
      <c r="K187" s="1186"/>
      <c r="L187" s="1186"/>
      <c r="M187" s="1186"/>
      <c r="N187" s="1186"/>
      <c r="O187" s="1186"/>
      <c r="P187" s="1186"/>
      <c r="Q187" s="1186" t="s">
        <v>536</v>
      </c>
      <c r="R187" s="1186" t="s">
        <v>536</v>
      </c>
      <c r="S187" s="1186"/>
      <c r="T187" s="1186"/>
      <c r="U187" s="1186" t="s">
        <v>536</v>
      </c>
      <c r="V187" s="1186"/>
      <c r="W187" s="1186" t="s">
        <v>536</v>
      </c>
      <c r="X187" s="1186" t="s">
        <v>536</v>
      </c>
      <c r="Y187" s="1186"/>
      <c r="Z187" s="1186"/>
      <c r="AA187" s="1186"/>
      <c r="AB187" s="1186"/>
      <c r="AC187" s="1186"/>
      <c r="AD187" s="1186"/>
      <c r="AE187" s="1182"/>
      <c r="AF187" s="1186"/>
      <c r="AG187" s="1186" t="s">
        <v>536</v>
      </c>
      <c r="AH187" s="1186"/>
      <c r="AI187" s="1529">
        <f t="shared" si="7"/>
        <v>8</v>
      </c>
      <c r="AJ187" s="1466"/>
      <c r="AK187" s="615"/>
    </row>
    <row r="188" spans="1:37" s="156" customFormat="1" ht="16.149999999999999" customHeight="1" outlineLevel="1">
      <c r="A188" s="1182">
        <v>79</v>
      </c>
      <c r="B188" s="1635" t="str">
        <f>VLOOKUP(C188,'DS CN MOI UP'!$B$10:$C$347,2,0)</f>
        <v>03339</v>
      </c>
      <c r="C188" s="1471" t="s">
        <v>95</v>
      </c>
      <c r="D188" s="1186"/>
      <c r="E188" s="1186"/>
      <c r="F188" s="1186" t="s">
        <v>536</v>
      </c>
      <c r="G188" s="1186" t="s">
        <v>536</v>
      </c>
      <c r="H188" s="1186"/>
      <c r="I188" s="1186"/>
      <c r="J188" s="1186"/>
      <c r="K188" s="1186"/>
      <c r="L188" s="1186"/>
      <c r="M188" s="1186"/>
      <c r="N188" s="1186"/>
      <c r="O188" s="1186"/>
      <c r="P188" s="1186"/>
      <c r="Q188" s="1186" t="s">
        <v>536</v>
      </c>
      <c r="R188" s="1186" t="s">
        <v>536</v>
      </c>
      <c r="S188" s="1186"/>
      <c r="T188" s="1186" t="s">
        <v>536</v>
      </c>
      <c r="U188" s="1186" t="s">
        <v>536</v>
      </c>
      <c r="V188" s="1186"/>
      <c r="W188" s="1186" t="s">
        <v>536</v>
      </c>
      <c r="X188" s="1186" t="s">
        <v>536</v>
      </c>
      <c r="Y188" s="1186"/>
      <c r="Z188" s="1186"/>
      <c r="AA188" s="1186"/>
      <c r="AB188" s="1186"/>
      <c r="AC188" s="1186"/>
      <c r="AD188" s="1182"/>
      <c r="AE188" s="1186"/>
      <c r="AF188" s="1186"/>
      <c r="AG188" s="1186" t="s">
        <v>536</v>
      </c>
      <c r="AH188" s="1186"/>
      <c r="AI188" s="1529">
        <f t="shared" si="7"/>
        <v>9</v>
      </c>
      <c r="AJ188" s="1466"/>
      <c r="AK188" s="615"/>
    </row>
    <row r="189" spans="1:37" s="156" customFormat="1" ht="16.149999999999999" customHeight="1" outlineLevel="1">
      <c r="A189" s="1182">
        <v>80</v>
      </c>
      <c r="B189" s="1635" t="str">
        <f>VLOOKUP(C189,'DS CN MOI UP'!$B$10:$C$347,2,0)</f>
        <v>02494</v>
      </c>
      <c r="C189" s="1471" t="s">
        <v>96</v>
      </c>
      <c r="D189" s="1186"/>
      <c r="E189" s="1186"/>
      <c r="F189" s="1186"/>
      <c r="G189" s="1186" t="s">
        <v>536</v>
      </c>
      <c r="H189" s="1186"/>
      <c r="I189" s="1186"/>
      <c r="J189" s="1186"/>
      <c r="K189" s="1186"/>
      <c r="L189" s="1186"/>
      <c r="M189" s="1186"/>
      <c r="N189" s="1186"/>
      <c r="O189" s="1186"/>
      <c r="P189" s="1186"/>
      <c r="Q189" s="1186" t="s">
        <v>536</v>
      </c>
      <c r="R189" s="1186" t="s">
        <v>536</v>
      </c>
      <c r="S189" s="1186" t="s">
        <v>536</v>
      </c>
      <c r="T189" s="1186"/>
      <c r="U189" s="1186" t="s">
        <v>536</v>
      </c>
      <c r="V189" s="1186"/>
      <c r="W189" s="1186" t="s">
        <v>536</v>
      </c>
      <c r="X189" s="1186" t="s">
        <v>536</v>
      </c>
      <c r="Y189" s="1186"/>
      <c r="Z189" s="1186"/>
      <c r="AA189" s="1186"/>
      <c r="AB189" s="1186"/>
      <c r="AC189" s="1186"/>
      <c r="AD189" s="1186"/>
      <c r="AE189" s="1186"/>
      <c r="AF189" s="1186"/>
      <c r="AG189" s="1186" t="s">
        <v>536</v>
      </c>
      <c r="AH189" s="1186"/>
      <c r="AI189" s="1529">
        <f t="shared" si="7"/>
        <v>8</v>
      </c>
      <c r="AJ189" s="1466"/>
      <c r="AK189" s="615"/>
    </row>
    <row r="190" spans="1:37" s="156" customFormat="1" ht="16.149999999999999" customHeight="1" outlineLevel="1">
      <c r="A190" s="1182">
        <v>81</v>
      </c>
      <c r="B190" s="1635" t="str">
        <f>VLOOKUP(C190,'DS CN MOI UP'!$B$10:$C$347,2,0)</f>
        <v>02476</v>
      </c>
      <c r="C190" s="1471" t="s">
        <v>97</v>
      </c>
      <c r="D190" s="1186"/>
      <c r="E190" s="1186"/>
      <c r="F190" s="1186"/>
      <c r="G190" s="1186" t="s">
        <v>536</v>
      </c>
      <c r="H190" s="1186"/>
      <c r="I190" s="1186"/>
      <c r="J190" s="1186"/>
      <c r="K190" s="1186"/>
      <c r="L190" s="1186"/>
      <c r="M190" s="1186"/>
      <c r="N190" s="1186"/>
      <c r="O190" s="1186"/>
      <c r="P190" s="1186"/>
      <c r="Q190" s="1186" t="s">
        <v>536</v>
      </c>
      <c r="R190" s="1186" t="s">
        <v>536</v>
      </c>
      <c r="S190" s="1186" t="s">
        <v>536</v>
      </c>
      <c r="T190" s="1186"/>
      <c r="U190" s="1186" t="s">
        <v>536</v>
      </c>
      <c r="V190" s="1186"/>
      <c r="W190" s="1186" t="s">
        <v>536</v>
      </c>
      <c r="X190" s="1186" t="s">
        <v>536</v>
      </c>
      <c r="Y190" s="1186"/>
      <c r="Z190" s="1186"/>
      <c r="AA190" s="1186"/>
      <c r="AB190" s="1186"/>
      <c r="AC190" s="1186"/>
      <c r="AD190" s="1186"/>
      <c r="AE190" s="1186"/>
      <c r="AF190" s="1186"/>
      <c r="AG190" s="1186" t="s">
        <v>536</v>
      </c>
      <c r="AH190" s="1186"/>
      <c r="AI190" s="1529">
        <f t="shared" si="7"/>
        <v>8</v>
      </c>
      <c r="AJ190" s="1466"/>
      <c r="AK190" s="615"/>
    </row>
    <row r="191" spans="1:37" s="156" customFormat="1" ht="16.149999999999999" customHeight="1" outlineLevel="1">
      <c r="A191" s="1182">
        <v>82</v>
      </c>
      <c r="B191" s="1635" t="str">
        <f>VLOOKUP(C191,'DS CN MOI UP'!$B$10:$C$347,2,0)</f>
        <v>02496</v>
      </c>
      <c r="C191" s="1471" t="s">
        <v>98</v>
      </c>
      <c r="D191" s="1186"/>
      <c r="E191" s="1186"/>
      <c r="F191" s="1186"/>
      <c r="G191" s="1186"/>
      <c r="H191" s="1186"/>
      <c r="I191" s="1186"/>
      <c r="J191" s="1186"/>
      <c r="K191" s="1186"/>
      <c r="L191" s="1186"/>
      <c r="M191" s="1186"/>
      <c r="N191" s="1186"/>
      <c r="O191" s="1186"/>
      <c r="P191" s="1186"/>
      <c r="Q191" s="1186" t="s">
        <v>536</v>
      </c>
      <c r="R191" s="1186" t="s">
        <v>536</v>
      </c>
      <c r="S191" s="1186"/>
      <c r="T191" s="1186"/>
      <c r="U191" s="1186" t="s">
        <v>536</v>
      </c>
      <c r="V191" s="1186"/>
      <c r="W191" s="1186" t="s">
        <v>536</v>
      </c>
      <c r="X191" s="1186" t="s">
        <v>536</v>
      </c>
      <c r="Y191" s="1186"/>
      <c r="Z191" s="1186"/>
      <c r="AA191" s="1186"/>
      <c r="AB191" s="1186"/>
      <c r="AC191" s="1186"/>
      <c r="AD191" s="1182"/>
      <c r="AE191" s="1182"/>
      <c r="AF191" s="1186"/>
      <c r="AG191" s="1186" t="s">
        <v>536</v>
      </c>
      <c r="AH191" s="1186"/>
      <c r="AI191" s="1529">
        <f t="shared" si="7"/>
        <v>6</v>
      </c>
      <c r="AJ191" s="1466"/>
      <c r="AK191" s="615"/>
    </row>
    <row r="192" spans="1:37" s="156" customFormat="1" ht="16.149999999999999" customHeight="1" outlineLevel="1">
      <c r="A192" s="1182">
        <v>83</v>
      </c>
      <c r="B192" s="1182" t="e">
        <f>VLOOKUP(C192,'DS CN MOI UP'!$B$10:$C$347,2,0)</f>
        <v>#N/A</v>
      </c>
      <c r="C192" s="1471" t="s">
        <v>99</v>
      </c>
      <c r="D192" s="1186"/>
      <c r="E192" s="1186" t="s">
        <v>536</v>
      </c>
      <c r="F192" s="1186" t="s">
        <v>536</v>
      </c>
      <c r="G192" s="1186"/>
      <c r="H192" s="1186"/>
      <c r="I192" s="1186"/>
      <c r="J192" s="1186"/>
      <c r="K192" s="1186"/>
      <c r="L192" s="1186"/>
      <c r="M192" s="1186"/>
      <c r="N192" s="1186"/>
      <c r="O192" s="1186"/>
      <c r="P192" s="1186"/>
      <c r="Q192" s="1186" t="s">
        <v>536</v>
      </c>
      <c r="R192" s="1186" t="s">
        <v>536</v>
      </c>
      <c r="S192" s="1186" t="s">
        <v>536</v>
      </c>
      <c r="T192" s="1186"/>
      <c r="U192" s="1186" t="s">
        <v>536</v>
      </c>
      <c r="V192" s="1186"/>
      <c r="W192" s="1186" t="s">
        <v>536</v>
      </c>
      <c r="X192" s="1186"/>
      <c r="Y192" s="1186"/>
      <c r="Z192" s="1186"/>
      <c r="AA192" s="1186"/>
      <c r="AB192" s="1186"/>
      <c r="AC192" s="1186"/>
      <c r="AD192" s="1182"/>
      <c r="AE192" s="1182"/>
      <c r="AF192" s="1186" t="s">
        <v>536</v>
      </c>
      <c r="AG192" s="1186"/>
      <c r="AH192" s="1186"/>
      <c r="AI192" s="1529">
        <f t="shared" si="7"/>
        <v>8</v>
      </c>
      <c r="AJ192" s="1466"/>
      <c r="AK192" s="615"/>
    </row>
    <row r="193" spans="1:39" s="156" customFormat="1" ht="16.149999999999999" customHeight="1" outlineLevel="1">
      <c r="A193" s="1182">
        <v>84</v>
      </c>
      <c r="B193" s="1635" t="str">
        <f>VLOOKUP(C193,'DS CN MOI UP'!$B$10:$C$347,2,0)</f>
        <v>02514</v>
      </c>
      <c r="C193" s="1471" t="s">
        <v>100</v>
      </c>
      <c r="D193" s="1186"/>
      <c r="E193" s="1186" t="s">
        <v>536</v>
      </c>
      <c r="F193" s="1186" t="s">
        <v>536</v>
      </c>
      <c r="G193" s="1186"/>
      <c r="H193" s="1186"/>
      <c r="I193" s="1186"/>
      <c r="J193" s="1186"/>
      <c r="K193" s="1186"/>
      <c r="L193" s="1186"/>
      <c r="M193" s="1186"/>
      <c r="N193" s="1186"/>
      <c r="O193" s="1186"/>
      <c r="P193" s="1186"/>
      <c r="Q193" s="1186" t="s">
        <v>536</v>
      </c>
      <c r="R193" s="1186" t="s">
        <v>536</v>
      </c>
      <c r="S193" s="1186" t="s">
        <v>536</v>
      </c>
      <c r="T193" s="1186"/>
      <c r="U193" s="1186" t="s">
        <v>536</v>
      </c>
      <c r="V193" s="1186"/>
      <c r="W193" s="1186" t="s">
        <v>536</v>
      </c>
      <c r="X193" s="1186" t="s">
        <v>536</v>
      </c>
      <c r="Y193" s="1186"/>
      <c r="Z193" s="1186"/>
      <c r="AA193" s="1186"/>
      <c r="AB193" s="1186"/>
      <c r="AC193" s="1186"/>
      <c r="AD193" s="1186"/>
      <c r="AE193" s="1186"/>
      <c r="AF193" s="1186" t="s">
        <v>536</v>
      </c>
      <c r="AG193" s="1186"/>
      <c r="AH193" s="1186"/>
      <c r="AI193" s="1529">
        <f t="shared" si="7"/>
        <v>9</v>
      </c>
      <c r="AJ193" s="1466"/>
      <c r="AK193" s="615"/>
    </row>
    <row r="194" spans="1:39" s="156" customFormat="1" ht="16.149999999999999" customHeight="1" outlineLevel="1">
      <c r="A194" s="1182">
        <v>85</v>
      </c>
      <c r="B194" s="1635" t="str">
        <f>VLOOKUP(C194,'DS CN MOI UP'!$B$10:$C$347,2,0)</f>
        <v>03340</v>
      </c>
      <c r="C194" s="1471" t="s">
        <v>101</v>
      </c>
      <c r="D194" s="1186"/>
      <c r="E194" s="1186"/>
      <c r="F194" s="1186"/>
      <c r="G194" s="1186"/>
      <c r="H194" s="1186"/>
      <c r="I194" s="1186"/>
      <c r="J194" s="1186"/>
      <c r="K194" s="1186"/>
      <c r="L194" s="1186"/>
      <c r="M194" s="1186"/>
      <c r="N194" s="1186"/>
      <c r="O194" s="1186"/>
      <c r="P194" s="1186"/>
      <c r="Q194" s="1186" t="s">
        <v>536</v>
      </c>
      <c r="R194" s="1186" t="s">
        <v>536</v>
      </c>
      <c r="S194" s="1186"/>
      <c r="T194" s="1186"/>
      <c r="U194" s="1186" t="s">
        <v>536</v>
      </c>
      <c r="V194" s="1186"/>
      <c r="W194" s="1186" t="s">
        <v>536</v>
      </c>
      <c r="X194" s="1186" t="s">
        <v>536</v>
      </c>
      <c r="Y194" s="1186"/>
      <c r="Z194" s="1186"/>
      <c r="AA194" s="1186"/>
      <c r="AB194" s="1186"/>
      <c r="AC194" s="1186"/>
      <c r="AD194" s="1182"/>
      <c r="AE194" s="1182"/>
      <c r="AF194" s="1186" t="s">
        <v>536</v>
      </c>
      <c r="AG194" s="1186" t="s">
        <v>536</v>
      </c>
      <c r="AH194" s="1186"/>
      <c r="AI194" s="1529">
        <f t="shared" si="7"/>
        <v>7</v>
      </c>
      <c r="AJ194" s="1466"/>
      <c r="AK194" s="615"/>
    </row>
    <row r="195" spans="1:39" s="156" customFormat="1" ht="16.149999999999999" customHeight="1" outlineLevel="1">
      <c r="A195" s="1182">
        <v>86</v>
      </c>
      <c r="B195" s="1635" t="str">
        <f>VLOOKUP(C195,'DS CN MOI UP'!$B$10:$C$347,2,0)</f>
        <v>02497</v>
      </c>
      <c r="C195" s="1471" t="s">
        <v>102</v>
      </c>
      <c r="D195" s="1186"/>
      <c r="E195" s="1186"/>
      <c r="F195" s="1186"/>
      <c r="G195" s="1186" t="s">
        <v>536</v>
      </c>
      <c r="H195" s="1186"/>
      <c r="I195" s="1186"/>
      <c r="J195" s="1186"/>
      <c r="K195" s="1186"/>
      <c r="L195" s="1186"/>
      <c r="M195" s="1186"/>
      <c r="N195" s="1186"/>
      <c r="O195" s="1186"/>
      <c r="P195" s="1186"/>
      <c r="Q195" s="1186" t="s">
        <v>536</v>
      </c>
      <c r="R195" s="1186" t="s">
        <v>536</v>
      </c>
      <c r="S195" s="1186"/>
      <c r="T195" s="1186"/>
      <c r="U195" s="1186" t="s">
        <v>536</v>
      </c>
      <c r="V195" s="1186" t="s">
        <v>536</v>
      </c>
      <c r="W195" s="1186" t="s">
        <v>536</v>
      </c>
      <c r="X195" s="1186"/>
      <c r="Y195" s="1186"/>
      <c r="Z195" s="1186"/>
      <c r="AA195" s="1186" t="s">
        <v>536</v>
      </c>
      <c r="AB195" s="1186"/>
      <c r="AC195" s="1186"/>
      <c r="AD195" s="1182"/>
      <c r="AE195" s="1186"/>
      <c r="AF195" s="1186" t="s">
        <v>536</v>
      </c>
      <c r="AG195" s="1186" t="s">
        <v>536</v>
      </c>
      <c r="AH195" s="1186"/>
      <c r="AI195" s="1529">
        <f t="shared" si="7"/>
        <v>9</v>
      </c>
      <c r="AJ195" s="1466"/>
      <c r="AK195" s="615"/>
    </row>
    <row r="196" spans="1:39" s="156" customFormat="1" ht="16.5" customHeight="1" outlineLevel="1">
      <c r="A196" s="1182">
        <v>87</v>
      </c>
      <c r="B196" s="1635" t="str">
        <f>VLOOKUP(C196,'DS CN MOI UP'!$B$10:$C$347,2,0)</f>
        <v>03341</v>
      </c>
      <c r="C196" s="1471" t="s">
        <v>487</v>
      </c>
      <c r="D196" s="1186"/>
      <c r="E196" s="1186"/>
      <c r="F196" s="1186"/>
      <c r="G196" s="1186"/>
      <c r="H196" s="1186"/>
      <c r="I196" s="1186"/>
      <c r="J196" s="1186"/>
      <c r="K196" s="1186"/>
      <c r="L196" s="1186"/>
      <c r="M196" s="1186"/>
      <c r="N196" s="1186"/>
      <c r="O196" s="1186"/>
      <c r="P196" s="1186"/>
      <c r="Q196" s="1186" t="s">
        <v>536</v>
      </c>
      <c r="R196" s="1186" t="s">
        <v>536</v>
      </c>
      <c r="S196" s="1186"/>
      <c r="T196" s="1186"/>
      <c r="U196" s="1186" t="s">
        <v>536</v>
      </c>
      <c r="V196" s="1186" t="s">
        <v>536</v>
      </c>
      <c r="W196" s="1186" t="s">
        <v>536</v>
      </c>
      <c r="X196" s="1186" t="s">
        <v>536</v>
      </c>
      <c r="Y196" s="1186"/>
      <c r="Z196" s="1186"/>
      <c r="AA196" s="1186"/>
      <c r="AB196" s="1186"/>
      <c r="AC196" s="1186"/>
      <c r="AD196" s="1182"/>
      <c r="AE196" s="1182"/>
      <c r="AF196" s="1186" t="s">
        <v>536</v>
      </c>
      <c r="AG196" s="1186" t="s">
        <v>536</v>
      </c>
      <c r="AH196" s="1186"/>
      <c r="AI196" s="1529">
        <f t="shared" si="7"/>
        <v>8</v>
      </c>
      <c r="AJ196" s="1466"/>
      <c r="AK196" s="615"/>
    </row>
    <row r="197" spans="1:39" s="156" customFormat="1" ht="16.5" customHeight="1" outlineLevel="1">
      <c r="A197" s="1182">
        <v>88</v>
      </c>
      <c r="B197" s="1635" t="str">
        <f>VLOOKUP(C197,'DS CN MOI UP'!$B$10:$C$347,2,0)</f>
        <v>02511</v>
      </c>
      <c r="C197" s="1471" t="s">
        <v>488</v>
      </c>
      <c r="D197" s="1186"/>
      <c r="E197" s="1186"/>
      <c r="F197" s="1186"/>
      <c r="G197" s="1186" t="s">
        <v>536</v>
      </c>
      <c r="H197" s="1186"/>
      <c r="I197" s="1186"/>
      <c r="J197" s="1186"/>
      <c r="K197" s="1186"/>
      <c r="L197" s="1186"/>
      <c r="M197" s="1186"/>
      <c r="N197" s="1186"/>
      <c r="O197" s="1186"/>
      <c r="P197" s="1186"/>
      <c r="Q197" s="1186" t="s">
        <v>536</v>
      </c>
      <c r="R197" s="1186" t="s">
        <v>536</v>
      </c>
      <c r="S197" s="1186"/>
      <c r="T197" s="1186"/>
      <c r="U197" s="1186" t="s">
        <v>536</v>
      </c>
      <c r="V197" s="1186" t="s">
        <v>536</v>
      </c>
      <c r="W197" s="1186" t="s">
        <v>536</v>
      </c>
      <c r="X197" s="1186" t="s">
        <v>536</v>
      </c>
      <c r="Y197" s="1186"/>
      <c r="Z197" s="1186"/>
      <c r="AA197" s="1186"/>
      <c r="AB197" s="1186"/>
      <c r="AC197" s="1186"/>
      <c r="AD197" s="1186"/>
      <c r="AE197" s="1186"/>
      <c r="AF197" s="1186" t="s">
        <v>536</v>
      </c>
      <c r="AG197" s="1186" t="s">
        <v>536</v>
      </c>
      <c r="AH197" s="1186"/>
      <c r="AI197" s="1529">
        <f t="shared" si="7"/>
        <v>9</v>
      </c>
      <c r="AJ197" s="1466"/>
      <c r="AK197" s="615"/>
    </row>
    <row r="198" spans="1:39" s="156" customFormat="1" ht="16.5" customHeight="1" outlineLevel="1">
      <c r="A198" s="1182">
        <v>89</v>
      </c>
      <c r="B198" s="1635" t="str">
        <f>VLOOKUP(C198,'DS CN MOI UP'!$B$10:$C$347,2,0)</f>
        <v>03342</v>
      </c>
      <c r="C198" s="1471" t="s">
        <v>489</v>
      </c>
      <c r="D198" s="1186"/>
      <c r="E198" s="1186" t="s">
        <v>536</v>
      </c>
      <c r="F198" s="1186"/>
      <c r="G198" s="1186"/>
      <c r="H198" s="1186"/>
      <c r="I198" s="1186"/>
      <c r="J198" s="1186"/>
      <c r="K198" s="1186"/>
      <c r="L198" s="1186"/>
      <c r="M198" s="1186"/>
      <c r="N198" s="1186"/>
      <c r="O198" s="1186"/>
      <c r="P198" s="1186"/>
      <c r="Q198" s="1186" t="s">
        <v>536</v>
      </c>
      <c r="R198" s="1186" t="s">
        <v>536</v>
      </c>
      <c r="S198" s="1186"/>
      <c r="T198" s="1186"/>
      <c r="U198" s="1186" t="s">
        <v>536</v>
      </c>
      <c r="V198" s="1186" t="s">
        <v>536</v>
      </c>
      <c r="W198" s="1186" t="s">
        <v>536</v>
      </c>
      <c r="X198" s="1186"/>
      <c r="Y198" s="1186"/>
      <c r="Z198" s="1186"/>
      <c r="AA198" s="1186"/>
      <c r="AB198" s="1186"/>
      <c r="AC198" s="1186"/>
      <c r="AD198" s="1182"/>
      <c r="AE198" s="1182"/>
      <c r="AF198" s="1186" t="s">
        <v>536</v>
      </c>
      <c r="AG198" s="1186" t="s">
        <v>536</v>
      </c>
      <c r="AH198" s="1186"/>
      <c r="AI198" s="1529">
        <f t="shared" si="7"/>
        <v>8</v>
      </c>
      <c r="AJ198" s="1466"/>
      <c r="AK198" s="615"/>
    </row>
    <row r="199" spans="1:39" s="156" customFormat="1" ht="16.5" customHeight="1" outlineLevel="1">
      <c r="A199" s="1182">
        <v>90</v>
      </c>
      <c r="B199" s="1635" t="str">
        <f>VLOOKUP(C199,'DS CN MOI UP'!$B$10:$C$347,2,0)</f>
        <v>02484</v>
      </c>
      <c r="C199" s="1471" t="s">
        <v>490</v>
      </c>
      <c r="D199" s="1186"/>
      <c r="E199" s="1186" t="s">
        <v>536</v>
      </c>
      <c r="F199" s="1186"/>
      <c r="G199" s="1186"/>
      <c r="H199" s="1186"/>
      <c r="I199" s="1186"/>
      <c r="J199" s="1186"/>
      <c r="K199" s="1186"/>
      <c r="L199" s="1186"/>
      <c r="M199" s="1186"/>
      <c r="N199" s="1186"/>
      <c r="O199" s="1186"/>
      <c r="P199" s="1186"/>
      <c r="Q199" s="1186" t="s">
        <v>536</v>
      </c>
      <c r="R199" s="1186" t="s">
        <v>536</v>
      </c>
      <c r="S199" s="1186"/>
      <c r="T199" s="1186"/>
      <c r="U199" s="1186" t="s">
        <v>536</v>
      </c>
      <c r="V199" s="1186" t="s">
        <v>536</v>
      </c>
      <c r="W199" s="1186" t="s">
        <v>536</v>
      </c>
      <c r="X199" s="1186" t="s">
        <v>536</v>
      </c>
      <c r="Y199" s="1186"/>
      <c r="Z199" s="1186"/>
      <c r="AA199" s="1186"/>
      <c r="AB199" s="1186"/>
      <c r="AC199" s="1186"/>
      <c r="AD199" s="1186"/>
      <c r="AE199" s="1186"/>
      <c r="AF199" s="1186" t="s">
        <v>536</v>
      </c>
      <c r="AG199" s="1186" t="s">
        <v>536</v>
      </c>
      <c r="AH199" s="1186"/>
      <c r="AI199" s="1529">
        <f t="shared" si="7"/>
        <v>9</v>
      </c>
      <c r="AJ199" s="1466"/>
      <c r="AK199" s="615"/>
    </row>
    <row r="200" spans="1:39" s="156" customFormat="1" ht="16.5" customHeight="1" outlineLevel="1">
      <c r="A200" s="1182">
        <v>91</v>
      </c>
      <c r="B200" s="1635" t="str">
        <f>VLOOKUP(C200,'DS CN MOI UP'!$B$10:$C$347,2,0)</f>
        <v>02509</v>
      </c>
      <c r="C200" s="1471" t="s">
        <v>491</v>
      </c>
      <c r="D200" s="1186"/>
      <c r="E200" s="1186"/>
      <c r="F200" s="1186"/>
      <c r="G200" s="1186"/>
      <c r="H200" s="1186"/>
      <c r="I200" s="1186"/>
      <c r="J200" s="1186"/>
      <c r="K200" s="1186"/>
      <c r="L200" s="1186"/>
      <c r="M200" s="1186"/>
      <c r="N200" s="1186"/>
      <c r="O200" s="1186"/>
      <c r="P200" s="1186"/>
      <c r="Q200" s="1186"/>
      <c r="R200" s="1186" t="s">
        <v>536</v>
      </c>
      <c r="S200" s="1186"/>
      <c r="T200" s="1186"/>
      <c r="U200" s="1186" t="s">
        <v>536</v>
      </c>
      <c r="V200" s="1186" t="s">
        <v>536</v>
      </c>
      <c r="W200" s="1186" t="s">
        <v>536</v>
      </c>
      <c r="X200" s="1186" t="s">
        <v>536</v>
      </c>
      <c r="Y200" s="1186"/>
      <c r="Z200" s="1186"/>
      <c r="AA200" s="1186"/>
      <c r="AB200" s="1186"/>
      <c r="AC200" s="1186"/>
      <c r="AD200" s="1186"/>
      <c r="AE200" s="1186"/>
      <c r="AF200" s="1186" t="s">
        <v>536</v>
      </c>
      <c r="AG200" s="1186" t="s">
        <v>536</v>
      </c>
      <c r="AH200" s="1186"/>
      <c r="AI200" s="1529">
        <f t="shared" si="7"/>
        <v>7</v>
      </c>
      <c r="AJ200" s="1466"/>
      <c r="AK200" s="615"/>
    </row>
    <row r="201" spans="1:39" s="156" customFormat="1" ht="16.5" customHeight="1" outlineLevel="1">
      <c r="A201" s="1182">
        <v>92</v>
      </c>
      <c r="B201" s="1635" t="str">
        <f>VLOOKUP(C201,'DS CN MOI UP'!$B$10:$C$347,2,0)</f>
        <v>02458</v>
      </c>
      <c r="C201" s="1471" t="s">
        <v>492</v>
      </c>
      <c r="D201" s="1186"/>
      <c r="E201" s="1186" t="s">
        <v>536</v>
      </c>
      <c r="F201" s="1186"/>
      <c r="G201" s="1186"/>
      <c r="H201" s="1186"/>
      <c r="I201" s="1186"/>
      <c r="J201" s="1186"/>
      <c r="K201" s="1186"/>
      <c r="L201" s="1186"/>
      <c r="M201" s="1186"/>
      <c r="N201" s="1186"/>
      <c r="O201" s="1186"/>
      <c r="P201" s="1186"/>
      <c r="Q201" s="1186"/>
      <c r="R201" s="1186" t="s">
        <v>536</v>
      </c>
      <c r="S201" s="1186"/>
      <c r="T201" s="1186"/>
      <c r="U201" s="1186" t="s">
        <v>536</v>
      </c>
      <c r="V201" s="1186"/>
      <c r="W201" s="1186"/>
      <c r="X201" s="1186" t="s">
        <v>536</v>
      </c>
      <c r="Y201" s="1186"/>
      <c r="Z201" s="1186"/>
      <c r="AA201" s="1186"/>
      <c r="AB201" s="1186"/>
      <c r="AC201" s="1186"/>
      <c r="AD201" s="1186"/>
      <c r="AE201" s="1186"/>
      <c r="AF201" s="1186" t="s">
        <v>536</v>
      </c>
      <c r="AG201" s="1186" t="s">
        <v>536</v>
      </c>
      <c r="AH201" s="1186"/>
      <c r="AI201" s="1529">
        <f t="shared" si="7"/>
        <v>6</v>
      </c>
      <c r="AJ201" s="1466"/>
      <c r="AK201" s="615"/>
    </row>
    <row r="202" spans="1:39" s="156" customFormat="1" ht="16.5" customHeight="1" outlineLevel="1">
      <c r="A202" s="1182">
        <v>93</v>
      </c>
      <c r="B202" s="1635" t="str">
        <f>VLOOKUP(C202,'DS CN MOI UP'!$B$10:$C$347,2,0)</f>
        <v>02480</v>
      </c>
      <c r="C202" s="1471" t="s">
        <v>493</v>
      </c>
      <c r="D202" s="1186"/>
      <c r="E202" s="1186" t="s">
        <v>536</v>
      </c>
      <c r="F202" s="1186"/>
      <c r="G202" s="1186"/>
      <c r="H202" s="1186"/>
      <c r="I202" s="1186"/>
      <c r="J202" s="1186"/>
      <c r="K202" s="1186"/>
      <c r="L202" s="1186"/>
      <c r="M202" s="1186"/>
      <c r="N202" s="1186"/>
      <c r="O202" s="1186"/>
      <c r="P202" s="1186"/>
      <c r="Q202" s="1186"/>
      <c r="R202" s="1186" t="s">
        <v>536</v>
      </c>
      <c r="S202" s="1186"/>
      <c r="T202" s="1186"/>
      <c r="U202" s="1186" t="s">
        <v>536</v>
      </c>
      <c r="V202" s="1186"/>
      <c r="W202" s="1186"/>
      <c r="X202" s="1186" t="s">
        <v>536</v>
      </c>
      <c r="Y202" s="1186"/>
      <c r="Z202" s="1186"/>
      <c r="AA202" s="1186"/>
      <c r="AB202" s="1186"/>
      <c r="AC202" s="1186"/>
      <c r="AD202" s="1186"/>
      <c r="AE202" s="1186"/>
      <c r="AF202" s="1186" t="s">
        <v>536</v>
      </c>
      <c r="AG202" s="1186" t="s">
        <v>536</v>
      </c>
      <c r="AH202" s="1186"/>
      <c r="AI202" s="1529">
        <f t="shared" si="7"/>
        <v>6</v>
      </c>
      <c r="AJ202" s="1466"/>
      <c r="AK202" s="615"/>
    </row>
    <row r="203" spans="1:39" s="156" customFormat="1" ht="16.5" customHeight="1" outlineLevel="1">
      <c r="A203" s="1182">
        <v>94</v>
      </c>
      <c r="B203" s="1182" t="e">
        <f>VLOOKUP(C203,'DS CN MOI UP'!$B$10:$C$347,2,0)</f>
        <v>#N/A</v>
      </c>
      <c r="C203" s="1471" t="s">
        <v>494</v>
      </c>
      <c r="D203" s="1186"/>
      <c r="E203" s="1186"/>
      <c r="F203" s="1186"/>
      <c r="G203" s="1186"/>
      <c r="H203" s="1186"/>
      <c r="I203" s="1186"/>
      <c r="J203" s="1186"/>
      <c r="K203" s="1186"/>
      <c r="L203" s="1186"/>
      <c r="M203" s="1186"/>
      <c r="N203" s="1186"/>
      <c r="O203" s="1186"/>
      <c r="P203" s="1186"/>
      <c r="Q203" s="1186"/>
      <c r="R203" s="1186"/>
      <c r="S203" s="1186"/>
      <c r="T203" s="1186"/>
      <c r="U203" s="1186"/>
      <c r="V203" s="1186"/>
      <c r="W203" s="1186"/>
      <c r="X203" s="1186"/>
      <c r="Y203" s="1186"/>
      <c r="Z203" s="1186"/>
      <c r="AA203" s="1186"/>
      <c r="AB203" s="1186"/>
      <c r="AC203" s="1186"/>
      <c r="AD203" s="1186"/>
      <c r="AE203" s="1186"/>
      <c r="AF203" s="1186"/>
      <c r="AG203" s="1186"/>
      <c r="AH203" s="1186"/>
      <c r="AI203" s="1529">
        <f t="shared" si="7"/>
        <v>0</v>
      </c>
      <c r="AJ203" s="1466"/>
      <c r="AK203" s="615"/>
    </row>
    <row r="204" spans="1:39" s="1232" customFormat="1" ht="16.5" customHeight="1">
      <c r="A204" s="1183" t="s">
        <v>1942</v>
      </c>
      <c r="B204" s="1182" t="e">
        <f>VLOOKUP(C204,'DS CN MOI UP'!$B$10:$C$347,2,0)</f>
        <v>#N/A</v>
      </c>
      <c r="C204" s="1183"/>
      <c r="D204" s="1240">
        <f>COUNTIF(D205:D215,"X")+COUNTIF(D205:D215,"CN")</f>
        <v>0</v>
      </c>
      <c r="E204" s="1240">
        <f t="shared" ref="E204:AH204" si="8">COUNTIF(E205:E215,"X")+COUNTIF(E205:E215,"CN")</f>
        <v>0</v>
      </c>
      <c r="F204" s="1240">
        <f t="shared" si="8"/>
        <v>0</v>
      </c>
      <c r="G204" s="1240">
        <f t="shared" si="8"/>
        <v>0</v>
      </c>
      <c r="H204" s="1240">
        <f t="shared" si="8"/>
        <v>0</v>
      </c>
      <c r="I204" s="1240">
        <f t="shared" si="8"/>
        <v>0</v>
      </c>
      <c r="J204" s="1240">
        <f t="shared" si="8"/>
        <v>0</v>
      </c>
      <c r="K204" s="1240">
        <f t="shared" si="8"/>
        <v>0</v>
      </c>
      <c r="L204" s="1240">
        <f t="shared" si="8"/>
        <v>0</v>
      </c>
      <c r="M204" s="1240">
        <f t="shared" si="8"/>
        <v>0</v>
      </c>
      <c r="N204" s="1240">
        <f t="shared" si="8"/>
        <v>0</v>
      </c>
      <c r="O204" s="1240">
        <f t="shared" si="8"/>
        <v>0</v>
      </c>
      <c r="P204" s="1240">
        <f t="shared" si="8"/>
        <v>0</v>
      </c>
      <c r="Q204" s="1240">
        <f t="shared" si="8"/>
        <v>0</v>
      </c>
      <c r="R204" s="1240">
        <f t="shared" si="8"/>
        <v>0</v>
      </c>
      <c r="S204" s="1240">
        <f t="shared" si="8"/>
        <v>0</v>
      </c>
      <c r="T204" s="1240">
        <f t="shared" si="8"/>
        <v>0</v>
      </c>
      <c r="U204" s="1240">
        <f t="shared" si="8"/>
        <v>0</v>
      </c>
      <c r="V204" s="1240">
        <f t="shared" si="8"/>
        <v>0</v>
      </c>
      <c r="W204" s="1240">
        <f t="shared" si="8"/>
        <v>0</v>
      </c>
      <c r="X204" s="1240">
        <f t="shared" si="8"/>
        <v>0</v>
      </c>
      <c r="Y204" s="1240">
        <f t="shared" si="8"/>
        <v>0</v>
      </c>
      <c r="Z204" s="1240">
        <f t="shared" si="8"/>
        <v>0</v>
      </c>
      <c r="AA204" s="1240">
        <f t="shared" si="8"/>
        <v>0</v>
      </c>
      <c r="AB204" s="1240">
        <f t="shared" si="8"/>
        <v>0</v>
      </c>
      <c r="AC204" s="1240">
        <f t="shared" si="8"/>
        <v>0</v>
      </c>
      <c r="AD204" s="1240">
        <f t="shared" si="8"/>
        <v>0</v>
      </c>
      <c r="AE204" s="1240">
        <f t="shared" si="8"/>
        <v>0</v>
      </c>
      <c r="AF204" s="1240">
        <f t="shared" si="8"/>
        <v>0</v>
      </c>
      <c r="AG204" s="1240">
        <f t="shared" si="8"/>
        <v>0</v>
      </c>
      <c r="AH204" s="1240">
        <f t="shared" si="8"/>
        <v>0</v>
      </c>
      <c r="AI204" s="1204">
        <f>SUM(AI205:AI215)</f>
        <v>0</v>
      </c>
      <c r="AJ204" s="1204"/>
      <c r="AK204" s="1247"/>
      <c r="AL204" s="1247"/>
      <c r="AM204" s="1247"/>
    </row>
    <row r="205" spans="1:39" s="156" customFormat="1" ht="16.5" customHeight="1" outlineLevel="1">
      <c r="A205" s="1182">
        <v>1</v>
      </c>
      <c r="B205" s="1635" t="str">
        <f>VLOOKUP(C205,'DS CN MOI UP'!$B$10:$C$347,2,0)</f>
        <v>03343</v>
      </c>
      <c r="C205" s="1471" t="s">
        <v>496</v>
      </c>
      <c r="D205" s="1186"/>
      <c r="E205" s="1186"/>
      <c r="F205" s="1186"/>
      <c r="G205" s="1186"/>
      <c r="H205" s="1186"/>
      <c r="I205" s="1186"/>
      <c r="J205" s="1186"/>
      <c r="K205" s="1186"/>
      <c r="L205" s="1186"/>
      <c r="M205" s="1186"/>
      <c r="N205" s="1186"/>
      <c r="O205" s="1186"/>
      <c r="P205" s="1186"/>
      <c r="Q205" s="1186"/>
      <c r="R205" s="1186"/>
      <c r="S205" s="1186"/>
      <c r="T205" s="1186"/>
      <c r="U205" s="1186"/>
      <c r="V205" s="1186"/>
      <c r="W205" s="1186"/>
      <c r="X205" s="1186"/>
      <c r="Y205" s="1186"/>
      <c r="Z205" s="1186"/>
      <c r="AA205" s="1186"/>
      <c r="AB205" s="1186"/>
      <c r="AC205" s="1186"/>
      <c r="AD205" s="1186"/>
      <c r="AE205" s="1186"/>
      <c r="AF205" s="1186"/>
      <c r="AG205" s="1186"/>
      <c r="AH205" s="1186"/>
      <c r="AI205" s="1529">
        <f t="shared" si="7"/>
        <v>0</v>
      </c>
      <c r="AJ205" s="1466"/>
    </row>
    <row r="206" spans="1:39" s="156" customFormat="1" ht="16.5" customHeight="1" outlineLevel="1">
      <c r="A206" s="1182">
        <v>2</v>
      </c>
      <c r="B206" s="1635" t="str">
        <f>VLOOKUP(C206,'DS CN MOI UP'!$B$10:$C$347,2,0)</f>
        <v>02444</v>
      </c>
      <c r="C206" s="1471" t="s">
        <v>105</v>
      </c>
      <c r="D206" s="1186"/>
      <c r="E206" s="1186"/>
      <c r="F206" s="1186"/>
      <c r="G206" s="1186"/>
      <c r="H206" s="1186"/>
      <c r="I206" s="1186"/>
      <c r="J206" s="1186"/>
      <c r="K206" s="1186"/>
      <c r="L206" s="1186"/>
      <c r="M206" s="1186"/>
      <c r="N206" s="1186"/>
      <c r="O206" s="1186"/>
      <c r="P206" s="1186"/>
      <c r="Q206" s="1186"/>
      <c r="R206" s="1186"/>
      <c r="S206" s="1186"/>
      <c r="T206" s="1186"/>
      <c r="U206" s="1186"/>
      <c r="V206" s="1186"/>
      <c r="W206" s="1186"/>
      <c r="X206" s="1186"/>
      <c r="Y206" s="1186"/>
      <c r="Z206" s="1186"/>
      <c r="AA206" s="1186"/>
      <c r="AB206" s="1186"/>
      <c r="AC206" s="1186"/>
      <c r="AD206" s="1186"/>
      <c r="AE206" s="1186"/>
      <c r="AF206" s="1186"/>
      <c r="AG206" s="1186"/>
      <c r="AH206" s="1186"/>
      <c r="AI206" s="1529">
        <f t="shared" si="7"/>
        <v>0</v>
      </c>
      <c r="AJ206" s="1466"/>
    </row>
    <row r="207" spans="1:39" s="156" customFormat="1" ht="16.5" customHeight="1" outlineLevel="1">
      <c r="A207" s="1182">
        <v>3</v>
      </c>
      <c r="B207" s="1635" t="str">
        <f>VLOOKUP(C207,'DS CN MOI UP'!$B$10:$C$347,2,0)</f>
        <v>02447</v>
      </c>
      <c r="C207" s="1471" t="s">
        <v>497</v>
      </c>
      <c r="D207" s="1186"/>
      <c r="E207" s="1186"/>
      <c r="F207" s="1186"/>
      <c r="G207" s="1186"/>
      <c r="H207" s="1186"/>
      <c r="I207" s="1186"/>
      <c r="J207" s="1186"/>
      <c r="K207" s="1186"/>
      <c r="L207" s="1186"/>
      <c r="M207" s="1186"/>
      <c r="N207" s="1186"/>
      <c r="O207" s="1186"/>
      <c r="P207" s="1186"/>
      <c r="Q207" s="1186"/>
      <c r="R207" s="1186"/>
      <c r="S207" s="1186"/>
      <c r="T207" s="1186"/>
      <c r="U207" s="1186"/>
      <c r="V207" s="1186"/>
      <c r="W207" s="1186"/>
      <c r="X207" s="1186"/>
      <c r="Y207" s="1186"/>
      <c r="Z207" s="1186"/>
      <c r="AA207" s="1186"/>
      <c r="AB207" s="1186"/>
      <c r="AC207" s="1186"/>
      <c r="AD207" s="1186"/>
      <c r="AE207" s="1186"/>
      <c r="AF207" s="1186"/>
      <c r="AG207" s="1186"/>
      <c r="AH207" s="1186"/>
      <c r="AI207" s="1529">
        <f t="shared" si="7"/>
        <v>0</v>
      </c>
      <c r="AJ207" s="1466"/>
    </row>
    <row r="208" spans="1:39" s="156" customFormat="1" ht="16.5" customHeight="1" outlineLevel="1">
      <c r="A208" s="1182">
        <v>4</v>
      </c>
      <c r="B208" s="1635" t="str">
        <f>VLOOKUP(C208,'DS CN MOI UP'!$B$10:$C$347,2,0)</f>
        <v>03344</v>
      </c>
      <c r="C208" s="1471" t="s">
        <v>498</v>
      </c>
      <c r="D208" s="1186"/>
      <c r="E208" s="1186"/>
      <c r="F208" s="1186"/>
      <c r="G208" s="1186"/>
      <c r="H208" s="1186"/>
      <c r="I208" s="1186"/>
      <c r="J208" s="1186"/>
      <c r="K208" s="1186"/>
      <c r="L208" s="1186"/>
      <c r="M208" s="1186"/>
      <c r="N208" s="1186"/>
      <c r="O208" s="1186"/>
      <c r="P208" s="1186"/>
      <c r="Q208" s="1186"/>
      <c r="R208" s="1186"/>
      <c r="S208" s="1186"/>
      <c r="T208" s="1186"/>
      <c r="U208" s="1186"/>
      <c r="V208" s="1186"/>
      <c r="W208" s="1186"/>
      <c r="X208" s="1186"/>
      <c r="Y208" s="1186"/>
      <c r="Z208" s="1186"/>
      <c r="AA208" s="1186"/>
      <c r="AB208" s="1186"/>
      <c r="AC208" s="1186"/>
      <c r="AD208" s="1186"/>
      <c r="AE208" s="1186"/>
      <c r="AF208" s="1186"/>
      <c r="AG208" s="1186"/>
      <c r="AH208" s="1186"/>
      <c r="AI208" s="1529">
        <f t="shared" si="7"/>
        <v>0</v>
      </c>
      <c r="AJ208" s="1466"/>
    </row>
    <row r="209" spans="1:39" s="156" customFormat="1" ht="16.5" customHeight="1" outlineLevel="1">
      <c r="A209" s="1182">
        <v>5</v>
      </c>
      <c r="B209" s="1635" t="str">
        <f>VLOOKUP(C209,'DS CN MOI UP'!$B$10:$C$347,2,0)</f>
        <v>02449</v>
      </c>
      <c r="C209" s="1471" t="s">
        <v>108</v>
      </c>
      <c r="D209" s="1186"/>
      <c r="E209" s="1186"/>
      <c r="F209" s="1186"/>
      <c r="G209" s="1186"/>
      <c r="H209" s="1186"/>
      <c r="I209" s="1186"/>
      <c r="J209" s="1186"/>
      <c r="K209" s="1186"/>
      <c r="L209" s="1186"/>
      <c r="M209" s="1186"/>
      <c r="N209" s="1186"/>
      <c r="O209" s="1186"/>
      <c r="P209" s="1186"/>
      <c r="Q209" s="1186"/>
      <c r="R209" s="1186"/>
      <c r="S209" s="1186"/>
      <c r="T209" s="1186"/>
      <c r="U209" s="1186"/>
      <c r="V209" s="1186"/>
      <c r="W209" s="1186"/>
      <c r="X209" s="1186"/>
      <c r="Y209" s="1186"/>
      <c r="Z209" s="1186"/>
      <c r="AA209" s="1186"/>
      <c r="AB209" s="1186"/>
      <c r="AC209" s="1186"/>
      <c r="AD209" s="1186"/>
      <c r="AE209" s="1186"/>
      <c r="AF209" s="1186"/>
      <c r="AG209" s="1186"/>
      <c r="AH209" s="1186"/>
      <c r="AI209" s="1529">
        <f t="shared" si="7"/>
        <v>0</v>
      </c>
      <c r="AJ209" s="1466"/>
    </row>
    <row r="210" spans="1:39" s="156" customFormat="1" ht="16.5" customHeight="1" outlineLevel="1">
      <c r="A210" s="1182">
        <v>6</v>
      </c>
      <c r="B210" s="1635" t="str">
        <f>VLOOKUP(C210,'DS CN MOI UP'!$B$10:$C$347,2,0)</f>
        <v>02445</v>
      </c>
      <c r="C210" s="1471" t="s">
        <v>109</v>
      </c>
      <c r="D210" s="1186"/>
      <c r="E210" s="1186"/>
      <c r="F210" s="1186"/>
      <c r="G210" s="1186"/>
      <c r="H210" s="1186"/>
      <c r="I210" s="1186"/>
      <c r="J210" s="1186"/>
      <c r="K210" s="1186"/>
      <c r="L210" s="1186"/>
      <c r="M210" s="1186"/>
      <c r="N210" s="1186"/>
      <c r="O210" s="1186"/>
      <c r="P210" s="1186"/>
      <c r="Q210" s="1186"/>
      <c r="R210" s="1186"/>
      <c r="S210" s="1186"/>
      <c r="T210" s="1186"/>
      <c r="U210" s="1186"/>
      <c r="V210" s="1186"/>
      <c r="W210" s="1186"/>
      <c r="X210" s="1186"/>
      <c r="Y210" s="1186"/>
      <c r="Z210" s="1186"/>
      <c r="AA210" s="1186"/>
      <c r="AB210" s="1186"/>
      <c r="AC210" s="1186"/>
      <c r="AD210" s="1186"/>
      <c r="AE210" s="1186"/>
      <c r="AF210" s="1186"/>
      <c r="AG210" s="1186"/>
      <c r="AH210" s="1186"/>
      <c r="AI210" s="1529">
        <f t="shared" si="7"/>
        <v>0</v>
      </c>
      <c r="AJ210" s="1466"/>
    </row>
    <row r="211" spans="1:39" s="156" customFormat="1" ht="16.5" customHeight="1" outlineLevel="1">
      <c r="A211" s="1182">
        <v>7</v>
      </c>
      <c r="B211" s="1635" t="str">
        <f>VLOOKUP(C211,'DS CN MOI UP'!$B$10:$C$347,2,0)</f>
        <v>02446</v>
      </c>
      <c r="C211" s="1471" t="s">
        <v>110</v>
      </c>
      <c r="D211" s="1186"/>
      <c r="E211" s="1186"/>
      <c r="F211" s="1186"/>
      <c r="G211" s="1186"/>
      <c r="H211" s="1186"/>
      <c r="I211" s="1186"/>
      <c r="J211" s="1186"/>
      <c r="K211" s="1186"/>
      <c r="L211" s="1186"/>
      <c r="M211" s="1186"/>
      <c r="N211" s="1186"/>
      <c r="O211" s="1186"/>
      <c r="P211" s="1186"/>
      <c r="Q211" s="1186"/>
      <c r="R211" s="1186"/>
      <c r="S211" s="1186"/>
      <c r="T211" s="1186"/>
      <c r="U211" s="1186"/>
      <c r="V211" s="1186"/>
      <c r="W211" s="1186"/>
      <c r="X211" s="1186"/>
      <c r="Y211" s="1186"/>
      <c r="Z211" s="1186"/>
      <c r="AA211" s="1186"/>
      <c r="AB211" s="1186"/>
      <c r="AC211" s="1186"/>
      <c r="AD211" s="1186"/>
      <c r="AE211" s="1186"/>
      <c r="AF211" s="1186"/>
      <c r="AG211" s="1186"/>
      <c r="AH211" s="1186"/>
      <c r="AI211" s="1529">
        <f t="shared" si="7"/>
        <v>0</v>
      </c>
      <c r="AJ211" s="1466"/>
    </row>
    <row r="212" spans="1:39" s="156" customFormat="1" ht="16.5" customHeight="1" outlineLevel="1">
      <c r="A212" s="1182">
        <v>8</v>
      </c>
      <c r="B212" s="1635" t="str">
        <f>VLOOKUP(C212,'DS CN MOI UP'!$B$10:$C$347,2,0)</f>
        <v>03345</v>
      </c>
      <c r="C212" s="1471" t="s">
        <v>111</v>
      </c>
      <c r="D212" s="1186"/>
      <c r="E212" s="1186"/>
      <c r="F212" s="1186"/>
      <c r="G212" s="1186"/>
      <c r="H212" s="1186"/>
      <c r="I212" s="1186"/>
      <c r="J212" s="1186"/>
      <c r="K212" s="1186"/>
      <c r="L212" s="1186"/>
      <c r="M212" s="1186"/>
      <c r="N212" s="1186"/>
      <c r="O212" s="1186"/>
      <c r="P212" s="1186"/>
      <c r="Q212" s="1186"/>
      <c r="R212" s="1186"/>
      <c r="S212" s="1186"/>
      <c r="T212" s="1186"/>
      <c r="U212" s="1186"/>
      <c r="V212" s="1186"/>
      <c r="W212" s="1186"/>
      <c r="X212" s="1186"/>
      <c r="Y212" s="1186"/>
      <c r="Z212" s="1186"/>
      <c r="AA212" s="1186"/>
      <c r="AB212" s="1186"/>
      <c r="AC212" s="1186"/>
      <c r="AD212" s="1186"/>
      <c r="AE212" s="1186"/>
      <c r="AF212" s="1186"/>
      <c r="AG212" s="1186"/>
      <c r="AH212" s="1186"/>
      <c r="AI212" s="1529">
        <f t="shared" si="7"/>
        <v>0</v>
      </c>
      <c r="AJ212" s="1466"/>
    </row>
    <row r="213" spans="1:39" s="156" customFormat="1" ht="16.5" customHeight="1" outlineLevel="1">
      <c r="A213" s="1182">
        <v>9</v>
      </c>
      <c r="B213" s="1635" t="str">
        <f>VLOOKUP(C213,'DS CN MOI UP'!$B$10:$C$347,2,0)</f>
        <v>03854</v>
      </c>
      <c r="C213" s="1471" t="s">
        <v>112</v>
      </c>
      <c r="D213" s="1186"/>
      <c r="E213" s="1186"/>
      <c r="F213" s="1186"/>
      <c r="G213" s="1186"/>
      <c r="H213" s="1186"/>
      <c r="I213" s="1186"/>
      <c r="J213" s="1186"/>
      <c r="K213" s="1186"/>
      <c r="L213" s="1186"/>
      <c r="M213" s="1186"/>
      <c r="N213" s="1186"/>
      <c r="O213" s="1186"/>
      <c r="P213" s="1186"/>
      <c r="Q213" s="1186"/>
      <c r="R213" s="1186"/>
      <c r="S213" s="1186"/>
      <c r="T213" s="1186"/>
      <c r="U213" s="1186"/>
      <c r="V213" s="1186"/>
      <c r="W213" s="1186"/>
      <c r="X213" s="1186"/>
      <c r="Y213" s="1186"/>
      <c r="Z213" s="1186"/>
      <c r="AA213" s="1186"/>
      <c r="AB213" s="1186"/>
      <c r="AC213" s="1186"/>
      <c r="AD213" s="1186"/>
      <c r="AE213" s="1186"/>
      <c r="AF213" s="1186"/>
      <c r="AG213" s="1186"/>
      <c r="AH213" s="1186"/>
      <c r="AI213" s="1529">
        <f t="shared" si="7"/>
        <v>0</v>
      </c>
      <c r="AJ213" s="1466"/>
    </row>
    <row r="214" spans="1:39" s="156" customFormat="1" ht="16.5" customHeight="1" outlineLevel="1">
      <c r="A214" s="1182">
        <v>9</v>
      </c>
      <c r="B214" s="1635" t="str">
        <f>VLOOKUP(C214,'DS CN MOI UP'!$B$10:$C$347,2,0)</f>
        <v>03855</v>
      </c>
      <c r="C214" s="1471" t="s">
        <v>113</v>
      </c>
      <c r="D214" s="1186"/>
      <c r="E214" s="1186"/>
      <c r="F214" s="1186"/>
      <c r="G214" s="1186"/>
      <c r="H214" s="1186"/>
      <c r="I214" s="1186"/>
      <c r="J214" s="1186"/>
      <c r="K214" s="1186"/>
      <c r="L214" s="1186"/>
      <c r="M214" s="1186"/>
      <c r="N214" s="1186"/>
      <c r="O214" s="1186"/>
      <c r="P214" s="1186"/>
      <c r="Q214" s="1186"/>
      <c r="R214" s="1186"/>
      <c r="S214" s="1186"/>
      <c r="T214" s="1186"/>
      <c r="U214" s="1186"/>
      <c r="V214" s="1186"/>
      <c r="W214" s="1186"/>
      <c r="X214" s="1186"/>
      <c r="Y214" s="1186"/>
      <c r="Z214" s="1186"/>
      <c r="AA214" s="1186"/>
      <c r="AB214" s="1186"/>
      <c r="AC214" s="1186"/>
      <c r="AD214" s="1186"/>
      <c r="AE214" s="1186"/>
      <c r="AF214" s="1186"/>
      <c r="AG214" s="1186"/>
      <c r="AH214" s="1186"/>
      <c r="AI214" s="1529">
        <f t="shared" si="7"/>
        <v>0</v>
      </c>
      <c r="AJ214" s="1466"/>
    </row>
    <row r="215" spans="1:39" s="156" customFormat="1" ht="16.5" customHeight="1" outlineLevel="1">
      <c r="A215" s="1182">
        <v>9</v>
      </c>
      <c r="B215" s="1635" t="str">
        <f>VLOOKUP(C215,'DS CN MOI UP'!$B$10:$C$347,2,0)</f>
        <v>03856</v>
      </c>
      <c r="C215" s="1471" t="s">
        <v>499</v>
      </c>
      <c r="D215" s="1186"/>
      <c r="E215" s="1186"/>
      <c r="F215" s="1186"/>
      <c r="G215" s="1186"/>
      <c r="H215" s="1186"/>
      <c r="I215" s="1186"/>
      <c r="J215" s="1186"/>
      <c r="K215" s="1186"/>
      <c r="L215" s="1186"/>
      <c r="M215" s="1186"/>
      <c r="N215" s="1186"/>
      <c r="O215" s="1186"/>
      <c r="P215" s="1186"/>
      <c r="Q215" s="1186"/>
      <c r="R215" s="1186"/>
      <c r="S215" s="1186"/>
      <c r="T215" s="1186"/>
      <c r="U215" s="1186"/>
      <c r="V215" s="1186"/>
      <c r="W215" s="1186"/>
      <c r="X215" s="1186"/>
      <c r="Y215" s="1186"/>
      <c r="Z215" s="1186"/>
      <c r="AA215" s="1186"/>
      <c r="AB215" s="1186"/>
      <c r="AC215" s="1186"/>
      <c r="AD215" s="1186"/>
      <c r="AE215" s="1186"/>
      <c r="AF215" s="1186"/>
      <c r="AG215" s="1186"/>
      <c r="AH215" s="1186"/>
      <c r="AI215" s="1529">
        <f t="shared" si="7"/>
        <v>0</v>
      </c>
      <c r="AJ215" s="1466"/>
    </row>
    <row r="216" spans="1:39" s="1232" customFormat="1" ht="16.5" customHeight="1">
      <c r="A216" s="1183" t="s">
        <v>1371</v>
      </c>
      <c r="B216" s="1182" t="e">
        <f>VLOOKUP(C216,'DS CN MOI UP'!$B$10:$C$347,2,0)</f>
        <v>#N/A</v>
      </c>
      <c r="C216" s="1183"/>
      <c r="D216" s="1240">
        <f>COUNTIF(D217:D223,"X")+COUNTIF(D217:D223,"CN")</f>
        <v>0</v>
      </c>
      <c r="E216" s="1240">
        <f t="shared" ref="E216:AH216" si="9">COUNTIF(E217:E223,"X")+COUNTIF(E217:E223,"CN")</f>
        <v>0</v>
      </c>
      <c r="F216" s="1240">
        <f t="shared" si="9"/>
        <v>0</v>
      </c>
      <c r="G216" s="1240">
        <f t="shared" si="9"/>
        <v>0</v>
      </c>
      <c r="H216" s="1240">
        <f t="shared" si="9"/>
        <v>0</v>
      </c>
      <c r="I216" s="1240">
        <f t="shared" si="9"/>
        <v>0</v>
      </c>
      <c r="J216" s="1240">
        <f t="shared" si="9"/>
        <v>0</v>
      </c>
      <c r="K216" s="1240">
        <f t="shared" si="9"/>
        <v>0</v>
      </c>
      <c r="L216" s="1240">
        <f t="shared" si="9"/>
        <v>0</v>
      </c>
      <c r="M216" s="1240">
        <f t="shared" si="9"/>
        <v>0</v>
      </c>
      <c r="N216" s="1240">
        <f t="shared" si="9"/>
        <v>0</v>
      </c>
      <c r="O216" s="1240">
        <f t="shared" si="9"/>
        <v>0</v>
      </c>
      <c r="P216" s="1240">
        <f t="shared" si="9"/>
        <v>0</v>
      </c>
      <c r="Q216" s="1240">
        <f t="shared" si="9"/>
        <v>0</v>
      </c>
      <c r="R216" s="1240">
        <f t="shared" si="9"/>
        <v>0</v>
      </c>
      <c r="S216" s="1240">
        <f t="shared" si="9"/>
        <v>0</v>
      </c>
      <c r="T216" s="1240">
        <f t="shared" si="9"/>
        <v>0</v>
      </c>
      <c r="U216" s="1240">
        <f t="shared" si="9"/>
        <v>0</v>
      </c>
      <c r="V216" s="1240">
        <f t="shared" si="9"/>
        <v>0</v>
      </c>
      <c r="W216" s="1240">
        <f t="shared" si="9"/>
        <v>0</v>
      </c>
      <c r="X216" s="1240">
        <f t="shared" si="9"/>
        <v>0</v>
      </c>
      <c r="Y216" s="1240">
        <f t="shared" si="9"/>
        <v>0</v>
      </c>
      <c r="Z216" s="1240">
        <f t="shared" si="9"/>
        <v>0</v>
      </c>
      <c r="AA216" s="1240">
        <f t="shared" si="9"/>
        <v>0</v>
      </c>
      <c r="AB216" s="1240">
        <f t="shared" si="9"/>
        <v>0</v>
      </c>
      <c r="AC216" s="1240">
        <f t="shared" si="9"/>
        <v>0</v>
      </c>
      <c r="AD216" s="1240">
        <f t="shared" si="9"/>
        <v>0</v>
      </c>
      <c r="AE216" s="1240">
        <f t="shared" si="9"/>
        <v>0</v>
      </c>
      <c r="AF216" s="1240">
        <f t="shared" si="9"/>
        <v>0</v>
      </c>
      <c r="AG216" s="1240">
        <f t="shared" si="9"/>
        <v>0</v>
      </c>
      <c r="AH216" s="1240">
        <f t="shared" si="9"/>
        <v>0</v>
      </c>
      <c r="AI216" s="1204">
        <f>SUM(AI217:AI223)</f>
        <v>0</v>
      </c>
      <c r="AJ216" s="1204"/>
      <c r="AK216" s="1247"/>
      <c r="AL216" s="1247"/>
      <c r="AM216" s="1247"/>
    </row>
    <row r="217" spans="1:39" s="156" customFormat="1" ht="16.5" customHeight="1" outlineLevel="1">
      <c r="A217" s="1182">
        <v>1</v>
      </c>
      <c r="B217" s="1635" t="str">
        <f>VLOOKUP(C217,'DS CN MOI UP'!$B$10:$C$347,2,0)</f>
        <v>03346</v>
      </c>
      <c r="C217" s="1471" t="s">
        <v>500</v>
      </c>
      <c r="D217" s="1186"/>
      <c r="E217" s="1186"/>
      <c r="F217" s="1186"/>
      <c r="G217" s="1186"/>
      <c r="H217" s="1186"/>
      <c r="I217" s="1186"/>
      <c r="J217" s="1186"/>
      <c r="K217" s="1186"/>
      <c r="L217" s="1186"/>
      <c r="M217" s="1186"/>
      <c r="N217" s="1186"/>
      <c r="O217" s="1186"/>
      <c r="P217" s="1186"/>
      <c r="Q217" s="1186"/>
      <c r="R217" s="1186"/>
      <c r="S217" s="1186"/>
      <c r="T217" s="1186"/>
      <c r="U217" s="1186"/>
      <c r="V217" s="1186"/>
      <c r="W217" s="1186"/>
      <c r="X217" s="1186"/>
      <c r="Y217" s="1186"/>
      <c r="Z217" s="1186"/>
      <c r="AA217" s="1186"/>
      <c r="AB217" s="1186"/>
      <c r="AC217" s="1186"/>
      <c r="AD217" s="1186"/>
      <c r="AE217" s="1186"/>
      <c r="AF217" s="1186"/>
      <c r="AG217" s="1186"/>
      <c r="AH217" s="1186"/>
      <c r="AI217" s="1529">
        <f t="shared" si="7"/>
        <v>0</v>
      </c>
      <c r="AJ217" s="1466"/>
    </row>
    <row r="218" spans="1:39" s="156" customFormat="1" ht="16.5" customHeight="1" outlineLevel="1">
      <c r="A218" s="1182">
        <v>2</v>
      </c>
      <c r="B218" s="1182" t="e">
        <f>VLOOKUP(C218,'DS CN MOI UP'!$B$10:$C$347,2,0)</f>
        <v>#N/A</v>
      </c>
      <c r="C218" s="1471" t="s">
        <v>501</v>
      </c>
      <c r="D218" s="1186"/>
      <c r="E218" s="1186"/>
      <c r="F218" s="1186"/>
      <c r="G218" s="1186"/>
      <c r="H218" s="1186"/>
      <c r="I218" s="1186"/>
      <c r="J218" s="1186"/>
      <c r="K218" s="1186"/>
      <c r="L218" s="1186"/>
      <c r="M218" s="1186"/>
      <c r="N218" s="1186"/>
      <c r="O218" s="1186"/>
      <c r="P218" s="1186"/>
      <c r="Q218" s="1186"/>
      <c r="R218" s="1186"/>
      <c r="S218" s="1186"/>
      <c r="T218" s="1186"/>
      <c r="U218" s="1186"/>
      <c r="V218" s="1186"/>
      <c r="W218" s="1186"/>
      <c r="X218" s="1186"/>
      <c r="Y218" s="1186"/>
      <c r="Z218" s="1186"/>
      <c r="AA218" s="1186"/>
      <c r="AB218" s="1186"/>
      <c r="AC218" s="1186"/>
      <c r="AD218" s="1186"/>
      <c r="AE218" s="1186"/>
      <c r="AF218" s="1186"/>
      <c r="AG218" s="1186"/>
      <c r="AH218" s="1186"/>
      <c r="AI218" s="1529">
        <f t="shared" si="7"/>
        <v>0</v>
      </c>
      <c r="AJ218" s="1466"/>
    </row>
    <row r="219" spans="1:39" s="156" customFormat="1" ht="16.5" customHeight="1" outlineLevel="1">
      <c r="A219" s="1182">
        <v>3</v>
      </c>
      <c r="B219" s="1635" t="str">
        <f>VLOOKUP(C219,'DS CN MOI UP'!$B$10:$C$347,2,0)</f>
        <v>02477</v>
      </c>
      <c r="C219" s="1471" t="s">
        <v>119</v>
      </c>
      <c r="D219" s="1186"/>
      <c r="E219" s="1186"/>
      <c r="F219" s="1186"/>
      <c r="G219" s="1186"/>
      <c r="H219" s="1186"/>
      <c r="I219" s="1186"/>
      <c r="J219" s="1186"/>
      <c r="K219" s="1186"/>
      <c r="L219" s="1186"/>
      <c r="M219" s="1186"/>
      <c r="N219" s="1186"/>
      <c r="O219" s="1186"/>
      <c r="P219" s="1186"/>
      <c r="Q219" s="1186"/>
      <c r="R219" s="1186"/>
      <c r="S219" s="1186"/>
      <c r="T219" s="1186"/>
      <c r="U219" s="1186"/>
      <c r="V219" s="1186"/>
      <c r="W219" s="1186"/>
      <c r="X219" s="1186"/>
      <c r="Y219" s="1186"/>
      <c r="Z219" s="1186"/>
      <c r="AA219" s="1186"/>
      <c r="AB219" s="1186"/>
      <c r="AC219" s="1186"/>
      <c r="AD219" s="1186"/>
      <c r="AE219" s="1186"/>
      <c r="AF219" s="1186"/>
      <c r="AG219" s="1186"/>
      <c r="AH219" s="1186"/>
      <c r="AI219" s="1529">
        <f t="shared" si="7"/>
        <v>0</v>
      </c>
      <c r="AJ219" s="1466"/>
    </row>
    <row r="220" spans="1:39" s="156" customFormat="1" ht="16.5" customHeight="1" outlineLevel="1">
      <c r="A220" s="1182">
        <v>4</v>
      </c>
      <c r="B220" s="1635" t="str">
        <f>VLOOKUP(C220,'DS CN MOI UP'!$B$10:$C$347,2,0)</f>
        <v>02495</v>
      </c>
      <c r="C220" s="1471" t="s">
        <v>120</v>
      </c>
      <c r="D220" s="1186"/>
      <c r="E220" s="1186"/>
      <c r="F220" s="1186"/>
      <c r="G220" s="1186"/>
      <c r="H220" s="1186"/>
      <c r="I220" s="1186"/>
      <c r="J220" s="1186"/>
      <c r="K220" s="1186"/>
      <c r="L220" s="1186"/>
      <c r="M220" s="1186"/>
      <c r="N220" s="1186"/>
      <c r="O220" s="1186"/>
      <c r="P220" s="1186"/>
      <c r="Q220" s="1186"/>
      <c r="R220" s="1186"/>
      <c r="S220" s="1186"/>
      <c r="T220" s="1186"/>
      <c r="U220" s="1186"/>
      <c r="V220" s="1186"/>
      <c r="W220" s="1186"/>
      <c r="X220" s="1186"/>
      <c r="Y220" s="1186"/>
      <c r="Z220" s="1186"/>
      <c r="AA220" s="1186"/>
      <c r="AB220" s="1186"/>
      <c r="AC220" s="1186"/>
      <c r="AD220" s="1186"/>
      <c r="AE220" s="1186"/>
      <c r="AF220" s="1186"/>
      <c r="AG220" s="1186"/>
      <c r="AH220" s="1186"/>
      <c r="AI220" s="1529">
        <f t="shared" si="7"/>
        <v>0</v>
      </c>
      <c r="AJ220" s="1466"/>
    </row>
    <row r="221" spans="1:39" s="156" customFormat="1" ht="16.5" customHeight="1" outlineLevel="1">
      <c r="A221" s="1182">
        <v>5</v>
      </c>
      <c r="B221" s="1635" t="str">
        <f>VLOOKUP(C221,'DS CN MOI UP'!$B$10:$C$347,2,0)</f>
        <v>02505</v>
      </c>
      <c r="C221" s="1471" t="s">
        <v>117</v>
      </c>
      <c r="D221" s="1186"/>
      <c r="E221" s="1186"/>
      <c r="F221" s="1186"/>
      <c r="G221" s="1186"/>
      <c r="H221" s="1186"/>
      <c r="I221" s="1186"/>
      <c r="J221" s="1186"/>
      <c r="K221" s="1186"/>
      <c r="L221" s="1186"/>
      <c r="M221" s="1186"/>
      <c r="N221" s="1186"/>
      <c r="O221" s="1186"/>
      <c r="P221" s="1186"/>
      <c r="Q221" s="1186"/>
      <c r="R221" s="1186"/>
      <c r="S221" s="1186"/>
      <c r="T221" s="1186"/>
      <c r="U221" s="1186"/>
      <c r="V221" s="1186"/>
      <c r="W221" s="1186"/>
      <c r="X221" s="1186"/>
      <c r="Y221" s="1186"/>
      <c r="Z221" s="1186"/>
      <c r="AA221" s="1186"/>
      <c r="AB221" s="1186"/>
      <c r="AC221" s="1186"/>
      <c r="AD221" s="1186"/>
      <c r="AE221" s="1186"/>
      <c r="AF221" s="1186"/>
      <c r="AG221" s="1186"/>
      <c r="AH221" s="1186"/>
      <c r="AI221" s="1529">
        <f t="shared" si="7"/>
        <v>0</v>
      </c>
      <c r="AJ221" s="1466"/>
    </row>
    <row r="222" spans="1:39" s="156" customFormat="1" ht="16.5" customHeight="1" outlineLevel="1">
      <c r="A222" s="1182">
        <v>6</v>
      </c>
      <c r="B222" s="1635" t="str">
        <f>VLOOKUP(C222,'DS CN MOI UP'!$B$10:$C$347,2,0)</f>
        <v>02516</v>
      </c>
      <c r="C222" s="1471" t="s">
        <v>122</v>
      </c>
      <c r="D222" s="1186"/>
      <c r="E222" s="1186"/>
      <c r="F222" s="1186"/>
      <c r="G222" s="1186"/>
      <c r="H222" s="1186"/>
      <c r="I222" s="1186"/>
      <c r="J222" s="1186"/>
      <c r="K222" s="1186"/>
      <c r="L222" s="1186"/>
      <c r="M222" s="1186"/>
      <c r="N222" s="1186"/>
      <c r="O222" s="1186"/>
      <c r="P222" s="1186"/>
      <c r="Q222" s="1186"/>
      <c r="R222" s="1186"/>
      <c r="S222" s="1186"/>
      <c r="T222" s="1186"/>
      <c r="U222" s="1186"/>
      <c r="V222" s="1186"/>
      <c r="W222" s="1186"/>
      <c r="X222" s="1186"/>
      <c r="Y222" s="1186"/>
      <c r="Z222" s="1186"/>
      <c r="AA222" s="1186"/>
      <c r="AB222" s="1186"/>
      <c r="AC222" s="1186"/>
      <c r="AD222" s="1186"/>
      <c r="AE222" s="1186"/>
      <c r="AF222" s="1186"/>
      <c r="AG222" s="1186"/>
      <c r="AH222" s="1186"/>
      <c r="AI222" s="1529">
        <f t="shared" si="7"/>
        <v>0</v>
      </c>
      <c r="AJ222" s="1466"/>
    </row>
    <row r="223" spans="1:39" s="156" customFormat="1" ht="16.5" customHeight="1" outlineLevel="1">
      <c r="A223" s="1182">
        <v>7</v>
      </c>
      <c r="B223" s="1635" t="str">
        <f>VLOOKUP(C223,'DS CN MOI UP'!$B$10:$C$347,2,0)</f>
        <v>03347</v>
      </c>
      <c r="C223" s="1471" t="s">
        <v>121</v>
      </c>
      <c r="D223" s="1186"/>
      <c r="E223" s="1186"/>
      <c r="F223" s="1186"/>
      <c r="G223" s="1186"/>
      <c r="H223" s="1186"/>
      <c r="I223" s="1186"/>
      <c r="J223" s="1186"/>
      <c r="K223" s="1186"/>
      <c r="L223" s="1186"/>
      <c r="M223" s="1186"/>
      <c r="N223" s="1186"/>
      <c r="O223" s="1186"/>
      <c r="P223" s="1186"/>
      <c r="Q223" s="1186"/>
      <c r="R223" s="1186"/>
      <c r="S223" s="1186"/>
      <c r="T223" s="1186"/>
      <c r="U223" s="1186"/>
      <c r="V223" s="1186"/>
      <c r="W223" s="1186"/>
      <c r="X223" s="1186"/>
      <c r="Y223" s="1186"/>
      <c r="Z223" s="1186"/>
      <c r="AA223" s="1186"/>
      <c r="AB223" s="1186"/>
      <c r="AC223" s="1186"/>
      <c r="AD223" s="1186"/>
      <c r="AE223" s="1186"/>
      <c r="AF223" s="1186"/>
      <c r="AG223" s="1186"/>
      <c r="AH223" s="1186"/>
      <c r="AI223" s="1529">
        <f t="shared" si="7"/>
        <v>0</v>
      </c>
      <c r="AJ223" s="1466"/>
    </row>
    <row r="224" spans="1:39" s="1232" customFormat="1" ht="16.5" customHeight="1">
      <c r="A224" s="1183" t="s">
        <v>123</v>
      </c>
      <c r="B224" s="1182" t="e">
        <f>VLOOKUP(C224,'DS CN MOI UP'!$B$10:$C$347,2,0)</f>
        <v>#N/A</v>
      </c>
      <c r="C224" s="1183"/>
      <c r="D224" s="1184">
        <f>COUNTIF(D225:D308,"X")+COUNTIF(D225:D308,"CN")</f>
        <v>0</v>
      </c>
      <c r="E224" s="1184">
        <f t="shared" ref="E224:AH224" si="10">COUNTIF(E225:E308,"X")+COUNTIF(E225:E308,"CN")</f>
        <v>0</v>
      </c>
      <c r="F224" s="1184">
        <f t="shared" si="10"/>
        <v>0</v>
      </c>
      <c r="G224" s="1184">
        <f t="shared" si="10"/>
        <v>0</v>
      </c>
      <c r="H224" s="1184">
        <f t="shared" si="10"/>
        <v>0</v>
      </c>
      <c r="I224" s="1184">
        <f t="shared" si="10"/>
        <v>0</v>
      </c>
      <c r="J224" s="1184">
        <f t="shared" si="10"/>
        <v>0</v>
      </c>
      <c r="K224" s="1184">
        <f t="shared" si="10"/>
        <v>0</v>
      </c>
      <c r="L224" s="1184">
        <f t="shared" si="10"/>
        <v>0</v>
      </c>
      <c r="M224" s="1184">
        <f t="shared" si="10"/>
        <v>0</v>
      </c>
      <c r="N224" s="1184">
        <f t="shared" si="10"/>
        <v>0</v>
      </c>
      <c r="O224" s="1184">
        <f t="shared" si="10"/>
        <v>0</v>
      </c>
      <c r="P224" s="1184">
        <f t="shared" si="10"/>
        <v>0</v>
      </c>
      <c r="Q224" s="1184">
        <f t="shared" si="10"/>
        <v>0</v>
      </c>
      <c r="R224" s="1184">
        <f t="shared" si="10"/>
        <v>0</v>
      </c>
      <c r="S224" s="1184">
        <f t="shared" si="10"/>
        <v>0</v>
      </c>
      <c r="T224" s="1184">
        <f t="shared" si="10"/>
        <v>0</v>
      </c>
      <c r="U224" s="1184">
        <f t="shared" si="10"/>
        <v>0</v>
      </c>
      <c r="V224" s="1184">
        <f t="shared" si="10"/>
        <v>0</v>
      </c>
      <c r="W224" s="1184">
        <f t="shared" si="10"/>
        <v>0</v>
      </c>
      <c r="X224" s="1184">
        <f t="shared" si="10"/>
        <v>0</v>
      </c>
      <c r="Y224" s="1184">
        <f t="shared" si="10"/>
        <v>0</v>
      </c>
      <c r="Z224" s="1184">
        <f t="shared" si="10"/>
        <v>0</v>
      </c>
      <c r="AA224" s="1184">
        <f t="shared" si="10"/>
        <v>0</v>
      </c>
      <c r="AB224" s="1184">
        <f t="shared" si="10"/>
        <v>0</v>
      </c>
      <c r="AC224" s="1184">
        <f t="shared" si="10"/>
        <v>0</v>
      </c>
      <c r="AD224" s="1184">
        <f t="shared" si="10"/>
        <v>0</v>
      </c>
      <c r="AE224" s="1184">
        <f t="shared" si="10"/>
        <v>0</v>
      </c>
      <c r="AF224" s="1184">
        <f t="shared" si="10"/>
        <v>0</v>
      </c>
      <c r="AG224" s="1184">
        <f t="shared" si="10"/>
        <v>0</v>
      </c>
      <c r="AH224" s="1184">
        <f t="shared" si="10"/>
        <v>0</v>
      </c>
      <c r="AI224" s="1204">
        <f>SUM(AI225:AI308)</f>
        <v>0</v>
      </c>
      <c r="AJ224" s="1204"/>
      <c r="AK224" s="1247"/>
    </row>
    <row r="225" spans="1:37" s="156" customFormat="1" ht="16.5" customHeight="1" outlineLevel="1">
      <c r="A225" s="1182">
        <v>1</v>
      </c>
      <c r="B225" s="1635" t="str">
        <f>VLOOKUP(C225,'DS CN MOI UP'!$B$10:$C$347,2,0)</f>
        <v>03348</v>
      </c>
      <c r="C225" s="1185" t="s">
        <v>124</v>
      </c>
      <c r="D225" s="1186"/>
      <c r="E225" s="1186"/>
      <c r="F225" s="1186"/>
      <c r="G225" s="1186"/>
      <c r="H225" s="1186"/>
      <c r="I225" s="1186"/>
      <c r="J225" s="1186"/>
      <c r="K225" s="1186"/>
      <c r="L225" s="1186"/>
      <c r="M225" s="1186"/>
      <c r="N225" s="1186"/>
      <c r="O225" s="1186"/>
      <c r="P225" s="1186"/>
      <c r="Q225" s="1186"/>
      <c r="R225" s="1186"/>
      <c r="S225" s="1186"/>
      <c r="T225" s="1186"/>
      <c r="U225" s="1186"/>
      <c r="V225" s="1186"/>
      <c r="W225" s="1186"/>
      <c r="X225" s="1186"/>
      <c r="Y225" s="1186"/>
      <c r="Z225" s="1186"/>
      <c r="AA225" s="1186"/>
      <c r="AB225" s="1186"/>
      <c r="AC225" s="1186"/>
      <c r="AD225" s="1186"/>
      <c r="AE225" s="1186"/>
      <c r="AF225" s="1186"/>
      <c r="AG225" s="1186"/>
      <c r="AH225" s="1186"/>
      <c r="AI225" s="1529">
        <f t="shared" ref="AI225:AI288" si="11">COUNTIF(D225:AH225,"X")</f>
        <v>0</v>
      </c>
      <c r="AJ225" s="1466"/>
      <c r="AK225" s="615"/>
    </row>
    <row r="226" spans="1:37" s="156" customFormat="1" ht="16.5" customHeight="1" outlineLevel="1">
      <c r="A226" s="1182">
        <v>2</v>
      </c>
      <c r="B226" s="1635" t="str">
        <f>VLOOKUP(C226,'DS CN MOI UP'!$B$10:$C$347,2,0)</f>
        <v>03349</v>
      </c>
      <c r="C226" s="1185" t="s">
        <v>125</v>
      </c>
      <c r="D226" s="1186"/>
      <c r="E226" s="1186"/>
      <c r="F226" s="1186"/>
      <c r="G226" s="1186"/>
      <c r="H226" s="1186"/>
      <c r="I226" s="1186"/>
      <c r="J226" s="1186"/>
      <c r="K226" s="1186"/>
      <c r="L226" s="1186"/>
      <c r="M226" s="1186"/>
      <c r="N226" s="1186"/>
      <c r="O226" s="1186"/>
      <c r="P226" s="1186"/>
      <c r="Q226" s="1186"/>
      <c r="R226" s="1186"/>
      <c r="S226" s="1186"/>
      <c r="T226" s="1186"/>
      <c r="U226" s="1186"/>
      <c r="V226" s="1186"/>
      <c r="W226" s="1186"/>
      <c r="X226" s="1186"/>
      <c r="Y226" s="1186"/>
      <c r="Z226" s="1186"/>
      <c r="AA226" s="1186"/>
      <c r="AB226" s="1186"/>
      <c r="AC226" s="1186"/>
      <c r="AD226" s="1186"/>
      <c r="AE226" s="1186"/>
      <c r="AF226" s="1186"/>
      <c r="AG226" s="1186"/>
      <c r="AH226" s="1186"/>
      <c r="AI226" s="1529">
        <f t="shared" si="11"/>
        <v>0</v>
      </c>
      <c r="AJ226" s="1466"/>
      <c r="AK226" s="615"/>
    </row>
    <row r="227" spans="1:37" s="156" customFormat="1" ht="16.5" customHeight="1" outlineLevel="1">
      <c r="A227" s="1182">
        <v>3</v>
      </c>
      <c r="B227" s="1635" t="str">
        <f>VLOOKUP(C227,'DS CN MOI UP'!$B$10:$C$347,2,0)</f>
        <v>02545</v>
      </c>
      <c r="C227" s="1185" t="s">
        <v>126</v>
      </c>
      <c r="D227" s="1186"/>
      <c r="E227" s="1186"/>
      <c r="F227" s="1186"/>
      <c r="G227" s="1186"/>
      <c r="H227" s="1186"/>
      <c r="I227" s="1186"/>
      <c r="J227" s="1186"/>
      <c r="K227" s="1186"/>
      <c r="L227" s="1186"/>
      <c r="M227" s="1186"/>
      <c r="N227" s="1186"/>
      <c r="O227" s="1186"/>
      <c r="P227" s="1186"/>
      <c r="Q227" s="1186"/>
      <c r="R227" s="1186"/>
      <c r="S227" s="1186"/>
      <c r="T227" s="1186"/>
      <c r="U227" s="1186"/>
      <c r="V227" s="1186"/>
      <c r="W227" s="1186"/>
      <c r="X227" s="1186"/>
      <c r="Y227" s="1186"/>
      <c r="Z227" s="1186"/>
      <c r="AA227" s="1186"/>
      <c r="AB227" s="1186"/>
      <c r="AC227" s="1186"/>
      <c r="AD227" s="1186"/>
      <c r="AE227" s="1186"/>
      <c r="AF227" s="1186"/>
      <c r="AG227" s="1186"/>
      <c r="AH227" s="1186"/>
      <c r="AI227" s="1529">
        <f t="shared" si="11"/>
        <v>0</v>
      </c>
      <c r="AJ227" s="1466"/>
      <c r="AK227" s="615"/>
    </row>
    <row r="228" spans="1:37" s="156" customFormat="1" ht="16.5" customHeight="1" outlineLevel="1">
      <c r="A228" s="1182">
        <v>4</v>
      </c>
      <c r="B228" s="1635" t="str">
        <f>VLOOKUP(C228,'DS CN MOI UP'!$B$10:$C$347,2,0)</f>
        <v>02693</v>
      </c>
      <c r="C228" s="1185" t="s">
        <v>127</v>
      </c>
      <c r="D228" s="1186"/>
      <c r="E228" s="1186"/>
      <c r="F228" s="1186"/>
      <c r="G228" s="1186"/>
      <c r="H228" s="1186"/>
      <c r="I228" s="1186"/>
      <c r="J228" s="1186"/>
      <c r="K228" s="1186"/>
      <c r="L228" s="1186"/>
      <c r="M228" s="1186"/>
      <c r="N228" s="1186"/>
      <c r="O228" s="1186"/>
      <c r="P228" s="1186"/>
      <c r="Q228" s="1186"/>
      <c r="R228" s="1186"/>
      <c r="S228" s="1186"/>
      <c r="T228" s="1186"/>
      <c r="U228" s="1186"/>
      <c r="V228" s="1186"/>
      <c r="W228" s="1186"/>
      <c r="X228" s="1186"/>
      <c r="Y228" s="1186"/>
      <c r="Z228" s="1186"/>
      <c r="AA228" s="1186"/>
      <c r="AB228" s="1186"/>
      <c r="AC228" s="1186"/>
      <c r="AD228" s="1186"/>
      <c r="AE228" s="1186"/>
      <c r="AF228" s="1186"/>
      <c r="AG228" s="1186"/>
      <c r="AH228" s="1186"/>
      <c r="AI228" s="1529">
        <f t="shared" si="11"/>
        <v>0</v>
      </c>
      <c r="AJ228" s="1466"/>
      <c r="AK228" s="615"/>
    </row>
    <row r="229" spans="1:37" s="156" customFormat="1" ht="16.5" customHeight="1" outlineLevel="1">
      <c r="A229" s="1182">
        <v>5</v>
      </c>
      <c r="B229" s="1635" t="str">
        <f>VLOOKUP(C229,'DS CN MOI UP'!$B$10:$C$347,2,0)</f>
        <v>03350</v>
      </c>
      <c r="C229" s="1185" t="s">
        <v>128</v>
      </c>
      <c r="D229" s="1186"/>
      <c r="E229" s="1186"/>
      <c r="F229" s="1186"/>
      <c r="G229" s="1186"/>
      <c r="H229" s="1186"/>
      <c r="I229" s="1186"/>
      <c r="J229" s="1186"/>
      <c r="K229" s="1186"/>
      <c r="L229" s="1186"/>
      <c r="M229" s="1186"/>
      <c r="N229" s="1186"/>
      <c r="O229" s="1186"/>
      <c r="P229" s="1186"/>
      <c r="Q229" s="1186"/>
      <c r="R229" s="1186"/>
      <c r="S229" s="1186"/>
      <c r="T229" s="1186"/>
      <c r="U229" s="1186"/>
      <c r="V229" s="1186"/>
      <c r="W229" s="1186"/>
      <c r="X229" s="1186"/>
      <c r="Y229" s="1186"/>
      <c r="Z229" s="1186"/>
      <c r="AA229" s="1186"/>
      <c r="AB229" s="1186"/>
      <c r="AC229" s="1186"/>
      <c r="AD229" s="1186"/>
      <c r="AE229" s="1186"/>
      <c r="AF229" s="1186"/>
      <c r="AG229" s="1186"/>
      <c r="AH229" s="1186"/>
      <c r="AI229" s="1529">
        <f t="shared" si="11"/>
        <v>0</v>
      </c>
      <c r="AJ229" s="1466"/>
      <c r="AK229" s="615"/>
    </row>
    <row r="230" spans="1:37" s="156" customFormat="1" ht="16.5" customHeight="1" outlineLevel="1">
      <c r="A230" s="1182">
        <v>6</v>
      </c>
      <c r="B230" s="1635" t="str">
        <f>VLOOKUP(C230,'DS CN MOI UP'!$B$10:$C$347,2,0)</f>
        <v>02526</v>
      </c>
      <c r="C230" s="1185" t="s">
        <v>129</v>
      </c>
      <c r="D230" s="1186"/>
      <c r="E230" s="1186"/>
      <c r="F230" s="1186"/>
      <c r="G230" s="1186"/>
      <c r="H230" s="1186"/>
      <c r="I230" s="1186"/>
      <c r="J230" s="1186"/>
      <c r="K230" s="1186"/>
      <c r="L230" s="1186"/>
      <c r="M230" s="1186"/>
      <c r="N230" s="1186"/>
      <c r="O230" s="1186"/>
      <c r="P230" s="1186"/>
      <c r="Q230" s="1186"/>
      <c r="R230" s="1186"/>
      <c r="S230" s="1186"/>
      <c r="T230" s="1186"/>
      <c r="U230" s="1186"/>
      <c r="V230" s="1186"/>
      <c r="W230" s="1186"/>
      <c r="X230" s="1186"/>
      <c r="Y230" s="1186"/>
      <c r="Z230" s="1186"/>
      <c r="AA230" s="1186"/>
      <c r="AB230" s="1186"/>
      <c r="AC230" s="1186"/>
      <c r="AD230" s="1186"/>
      <c r="AE230" s="1186"/>
      <c r="AF230" s="1186"/>
      <c r="AG230" s="1186"/>
      <c r="AH230" s="1186"/>
      <c r="AI230" s="1529">
        <f t="shared" si="11"/>
        <v>0</v>
      </c>
      <c r="AJ230" s="1466"/>
      <c r="AK230" s="615"/>
    </row>
    <row r="231" spans="1:37" s="156" customFormat="1" ht="16.5" customHeight="1" outlineLevel="1">
      <c r="A231" s="1182">
        <v>7</v>
      </c>
      <c r="B231" s="1635" t="str">
        <f>VLOOKUP(C231,'DS CN MOI UP'!$B$10:$C$347,2,0)</f>
        <v>03351</v>
      </c>
      <c r="C231" s="1185" t="s">
        <v>130</v>
      </c>
      <c r="D231" s="1186"/>
      <c r="E231" s="1186"/>
      <c r="F231" s="1186"/>
      <c r="G231" s="1186"/>
      <c r="H231" s="1186"/>
      <c r="I231" s="1186"/>
      <c r="J231" s="1186"/>
      <c r="K231" s="1186"/>
      <c r="L231" s="1186"/>
      <c r="M231" s="1186"/>
      <c r="N231" s="1186"/>
      <c r="O231" s="1186"/>
      <c r="P231" s="1186"/>
      <c r="Q231" s="1186"/>
      <c r="R231" s="1186"/>
      <c r="S231" s="1186"/>
      <c r="T231" s="1186"/>
      <c r="U231" s="1186"/>
      <c r="V231" s="1186"/>
      <c r="W231" s="1186"/>
      <c r="X231" s="1186"/>
      <c r="Y231" s="1186"/>
      <c r="Z231" s="1186"/>
      <c r="AA231" s="1186"/>
      <c r="AB231" s="1186"/>
      <c r="AC231" s="1186"/>
      <c r="AD231" s="1186"/>
      <c r="AE231" s="1186"/>
      <c r="AF231" s="1186"/>
      <c r="AG231" s="1186"/>
      <c r="AH231" s="1186"/>
      <c r="AI231" s="1529">
        <f t="shared" si="11"/>
        <v>0</v>
      </c>
      <c r="AJ231" s="1466"/>
      <c r="AK231" s="615"/>
    </row>
    <row r="232" spans="1:37" s="156" customFormat="1" ht="16.5" customHeight="1" outlineLevel="1">
      <c r="A232" s="1182">
        <v>8</v>
      </c>
      <c r="B232" s="1635" t="str">
        <f>VLOOKUP(C232,'DS CN MOI UP'!$B$10:$C$347,2,0)</f>
        <v>03352</v>
      </c>
      <c r="C232" s="1185" t="s">
        <v>131</v>
      </c>
      <c r="D232" s="1186"/>
      <c r="E232" s="1186"/>
      <c r="F232" s="1186"/>
      <c r="G232" s="1186"/>
      <c r="H232" s="1186"/>
      <c r="I232" s="1186"/>
      <c r="J232" s="1186"/>
      <c r="K232" s="1186"/>
      <c r="L232" s="1186"/>
      <c r="M232" s="1186"/>
      <c r="N232" s="1186"/>
      <c r="O232" s="1186"/>
      <c r="P232" s="1186"/>
      <c r="Q232" s="1186"/>
      <c r="R232" s="1186"/>
      <c r="S232" s="1186"/>
      <c r="T232" s="1186"/>
      <c r="U232" s="1186"/>
      <c r="V232" s="1186"/>
      <c r="W232" s="1186"/>
      <c r="X232" s="1186"/>
      <c r="Y232" s="1186"/>
      <c r="Z232" s="1186"/>
      <c r="AA232" s="1186"/>
      <c r="AB232" s="1186"/>
      <c r="AC232" s="1186"/>
      <c r="AD232" s="1182"/>
      <c r="AE232" s="1186"/>
      <c r="AF232" s="1186"/>
      <c r="AG232" s="1186"/>
      <c r="AH232" s="1186"/>
      <c r="AI232" s="1529">
        <f t="shared" si="11"/>
        <v>0</v>
      </c>
      <c r="AJ232" s="1466"/>
      <c r="AK232" s="615"/>
    </row>
    <row r="233" spans="1:37" s="156" customFormat="1" ht="16.5" customHeight="1" outlineLevel="1">
      <c r="A233" s="1182">
        <v>9</v>
      </c>
      <c r="B233" s="1635" t="str">
        <f>VLOOKUP(C233,'DS CN MOI UP'!$B$10:$C$347,2,0)</f>
        <v>02567</v>
      </c>
      <c r="C233" s="1185" t="s">
        <v>132</v>
      </c>
      <c r="D233" s="1186"/>
      <c r="E233" s="1186"/>
      <c r="F233" s="1186"/>
      <c r="G233" s="1186"/>
      <c r="H233" s="1186"/>
      <c r="I233" s="1186"/>
      <c r="J233" s="1186"/>
      <c r="K233" s="1186"/>
      <c r="L233" s="1186"/>
      <c r="M233" s="1186"/>
      <c r="N233" s="1186"/>
      <c r="O233" s="1186"/>
      <c r="P233" s="1186"/>
      <c r="Q233" s="1186"/>
      <c r="R233" s="1186"/>
      <c r="S233" s="1186"/>
      <c r="T233" s="1186"/>
      <c r="U233" s="1186"/>
      <c r="V233" s="1186"/>
      <c r="W233" s="1186"/>
      <c r="X233" s="1186"/>
      <c r="Y233" s="1186"/>
      <c r="Z233" s="1186"/>
      <c r="AA233" s="1186"/>
      <c r="AB233" s="1186"/>
      <c r="AC233" s="1186"/>
      <c r="AD233" s="1186"/>
      <c r="AE233" s="1186"/>
      <c r="AF233" s="1186"/>
      <c r="AG233" s="1186"/>
      <c r="AH233" s="1186"/>
      <c r="AI233" s="1529">
        <f t="shared" si="11"/>
        <v>0</v>
      </c>
      <c r="AJ233" s="1466"/>
      <c r="AK233" s="615"/>
    </row>
    <row r="234" spans="1:37" s="156" customFormat="1" ht="16.5" customHeight="1" outlineLevel="1">
      <c r="A234" s="1182">
        <v>10</v>
      </c>
      <c r="B234" s="1635" t="str">
        <f>VLOOKUP(C234,'DS CN MOI UP'!$B$10:$C$347,2,0)</f>
        <v>02564</v>
      </c>
      <c r="C234" s="1185" t="s">
        <v>133</v>
      </c>
      <c r="D234" s="1186"/>
      <c r="E234" s="1186"/>
      <c r="F234" s="1186"/>
      <c r="G234" s="1186"/>
      <c r="H234" s="1186"/>
      <c r="I234" s="1186"/>
      <c r="J234" s="1186"/>
      <c r="K234" s="1186"/>
      <c r="L234" s="1186"/>
      <c r="M234" s="1186"/>
      <c r="N234" s="1186"/>
      <c r="O234" s="1186"/>
      <c r="P234" s="1186"/>
      <c r="Q234" s="1186"/>
      <c r="R234" s="1186"/>
      <c r="S234" s="1186"/>
      <c r="T234" s="1186"/>
      <c r="U234" s="1186"/>
      <c r="V234" s="1186"/>
      <c r="W234" s="1186"/>
      <c r="X234" s="1186"/>
      <c r="Y234" s="1186"/>
      <c r="Z234" s="1186"/>
      <c r="AA234" s="1186"/>
      <c r="AB234" s="1186"/>
      <c r="AC234" s="1186"/>
      <c r="AD234" s="1186"/>
      <c r="AE234" s="1186"/>
      <c r="AF234" s="1186"/>
      <c r="AG234" s="1186"/>
      <c r="AH234" s="1186"/>
      <c r="AI234" s="1529">
        <f t="shared" si="11"/>
        <v>0</v>
      </c>
      <c r="AJ234" s="1466"/>
      <c r="AK234" s="615"/>
    </row>
    <row r="235" spans="1:37" s="156" customFormat="1" ht="16.5" customHeight="1" outlineLevel="1">
      <c r="A235" s="1182">
        <v>11</v>
      </c>
      <c r="B235" s="1635" t="str">
        <f>VLOOKUP(C235,'DS CN MOI UP'!$B$10:$C$347,2,0)</f>
        <v>03353</v>
      </c>
      <c r="C235" s="1185" t="s">
        <v>134</v>
      </c>
      <c r="D235" s="1186"/>
      <c r="E235" s="1186"/>
      <c r="F235" s="1186"/>
      <c r="G235" s="1186"/>
      <c r="H235" s="1186"/>
      <c r="I235" s="1186"/>
      <c r="J235" s="1186"/>
      <c r="K235" s="1186"/>
      <c r="L235" s="1186"/>
      <c r="M235" s="1186"/>
      <c r="N235" s="1186"/>
      <c r="O235" s="1186"/>
      <c r="P235" s="1186"/>
      <c r="Q235" s="1186"/>
      <c r="R235" s="1186"/>
      <c r="S235" s="1186"/>
      <c r="T235" s="1186"/>
      <c r="U235" s="1186"/>
      <c r="V235" s="1186"/>
      <c r="W235" s="1186"/>
      <c r="X235" s="1186"/>
      <c r="Y235" s="1186"/>
      <c r="Z235" s="1186"/>
      <c r="AA235" s="1186"/>
      <c r="AB235" s="1186"/>
      <c r="AC235" s="1186"/>
      <c r="AD235" s="1186"/>
      <c r="AE235" s="1186"/>
      <c r="AF235" s="1186"/>
      <c r="AG235" s="1186"/>
      <c r="AH235" s="1186"/>
      <c r="AI235" s="1529">
        <f t="shared" si="11"/>
        <v>0</v>
      </c>
      <c r="AJ235" s="1466"/>
      <c r="AK235" s="615"/>
    </row>
    <row r="236" spans="1:37" s="156" customFormat="1" ht="16.5" customHeight="1" outlineLevel="1">
      <c r="A236" s="1182">
        <v>12</v>
      </c>
      <c r="B236" s="1635" t="str">
        <f>VLOOKUP(C236,'DS CN MOI UP'!$B$10:$C$347,2,0)</f>
        <v>02518</v>
      </c>
      <c r="C236" s="1185" t="s">
        <v>135</v>
      </c>
      <c r="D236" s="1186"/>
      <c r="E236" s="1186"/>
      <c r="F236" s="1186"/>
      <c r="G236" s="1186"/>
      <c r="H236" s="1186"/>
      <c r="I236" s="1186"/>
      <c r="J236" s="1186"/>
      <c r="K236" s="1186"/>
      <c r="L236" s="1186"/>
      <c r="M236" s="1186"/>
      <c r="N236" s="1186"/>
      <c r="O236" s="1186"/>
      <c r="P236" s="1186"/>
      <c r="Q236" s="1186"/>
      <c r="R236" s="1186"/>
      <c r="S236" s="1186"/>
      <c r="T236" s="1186"/>
      <c r="U236" s="1186"/>
      <c r="V236" s="1186"/>
      <c r="W236" s="1186"/>
      <c r="X236" s="1186"/>
      <c r="Y236" s="1186"/>
      <c r="Z236" s="1186"/>
      <c r="AA236" s="1186"/>
      <c r="AB236" s="1186"/>
      <c r="AC236" s="1186"/>
      <c r="AD236" s="1186"/>
      <c r="AE236" s="1186"/>
      <c r="AF236" s="1186"/>
      <c r="AG236" s="1186"/>
      <c r="AH236" s="1186"/>
      <c r="AI236" s="1529">
        <f t="shared" si="11"/>
        <v>0</v>
      </c>
      <c r="AJ236" s="1466"/>
      <c r="AK236" s="615"/>
    </row>
    <row r="237" spans="1:37" s="156" customFormat="1" ht="16.5" customHeight="1" outlineLevel="1">
      <c r="A237" s="1182">
        <v>13</v>
      </c>
      <c r="B237" s="1635" t="str">
        <f>VLOOKUP(C237,'DS CN MOI UP'!$B$10:$C$347,2,0)</f>
        <v>03355</v>
      </c>
      <c r="C237" s="1185" t="s">
        <v>136</v>
      </c>
      <c r="D237" s="1186"/>
      <c r="E237" s="1186"/>
      <c r="F237" s="1186"/>
      <c r="G237" s="1186"/>
      <c r="H237" s="1186"/>
      <c r="I237" s="1186"/>
      <c r="J237" s="1186"/>
      <c r="K237" s="1186"/>
      <c r="L237" s="1186"/>
      <c r="M237" s="1186"/>
      <c r="N237" s="1186"/>
      <c r="O237" s="1186"/>
      <c r="P237" s="1186"/>
      <c r="Q237" s="1186"/>
      <c r="R237" s="1186"/>
      <c r="S237" s="1186"/>
      <c r="T237" s="1186"/>
      <c r="U237" s="1186"/>
      <c r="V237" s="1186"/>
      <c r="W237" s="1186"/>
      <c r="X237" s="1186"/>
      <c r="Y237" s="1186"/>
      <c r="Z237" s="1186"/>
      <c r="AA237" s="1186"/>
      <c r="AB237" s="1186"/>
      <c r="AC237" s="1186"/>
      <c r="AD237" s="1182"/>
      <c r="AE237" s="1186"/>
      <c r="AF237" s="1186"/>
      <c r="AG237" s="1186"/>
      <c r="AH237" s="1186"/>
      <c r="AI237" s="1529">
        <f t="shared" si="11"/>
        <v>0</v>
      </c>
      <c r="AJ237" s="1466"/>
      <c r="AK237" s="615"/>
    </row>
    <row r="238" spans="1:37" s="156" customFormat="1" ht="16.5" customHeight="1" outlineLevel="1">
      <c r="A238" s="1182">
        <v>14</v>
      </c>
      <c r="B238" s="1635" t="str">
        <f>VLOOKUP(C238,'DS CN MOI UP'!$B$10:$C$347,2,0)</f>
        <v>02521</v>
      </c>
      <c r="C238" s="1185" t="s">
        <v>137</v>
      </c>
      <c r="D238" s="1186"/>
      <c r="E238" s="1186"/>
      <c r="F238" s="1186"/>
      <c r="G238" s="1186"/>
      <c r="H238" s="1186"/>
      <c r="I238" s="1186"/>
      <c r="J238" s="1186"/>
      <c r="K238" s="1186"/>
      <c r="L238" s="1186"/>
      <c r="M238" s="1186"/>
      <c r="N238" s="1186"/>
      <c r="O238" s="1186"/>
      <c r="P238" s="1186"/>
      <c r="Q238" s="1186"/>
      <c r="R238" s="1186"/>
      <c r="S238" s="1186"/>
      <c r="T238" s="1186"/>
      <c r="U238" s="1186"/>
      <c r="V238" s="1186"/>
      <c r="W238" s="1186"/>
      <c r="X238" s="1186"/>
      <c r="Y238" s="1186"/>
      <c r="Z238" s="1186"/>
      <c r="AA238" s="1186"/>
      <c r="AB238" s="1186"/>
      <c r="AC238" s="1186"/>
      <c r="AD238" s="1186"/>
      <c r="AE238" s="1186"/>
      <c r="AF238" s="1186"/>
      <c r="AG238" s="1186"/>
      <c r="AH238" s="1186"/>
      <c r="AI238" s="1529">
        <f t="shared" si="11"/>
        <v>0</v>
      </c>
      <c r="AJ238" s="1466"/>
      <c r="AK238" s="615"/>
    </row>
    <row r="239" spans="1:37" s="156" customFormat="1" ht="16.5" customHeight="1" outlineLevel="1">
      <c r="A239" s="1182">
        <v>15</v>
      </c>
      <c r="B239" s="1635" t="str">
        <f>VLOOKUP(C239,'DS CN MOI UP'!$B$10:$C$347,2,0)</f>
        <v>03356</v>
      </c>
      <c r="C239" s="1185" t="s">
        <v>138</v>
      </c>
      <c r="D239" s="1186"/>
      <c r="E239" s="1186"/>
      <c r="F239" s="1186"/>
      <c r="G239" s="1186"/>
      <c r="H239" s="1186"/>
      <c r="I239" s="1186"/>
      <c r="J239" s="1186"/>
      <c r="K239" s="1186"/>
      <c r="L239" s="1186"/>
      <c r="M239" s="1186"/>
      <c r="N239" s="1186"/>
      <c r="O239" s="1186"/>
      <c r="P239" s="1186"/>
      <c r="Q239" s="1186"/>
      <c r="R239" s="1186"/>
      <c r="S239" s="1186"/>
      <c r="T239" s="1186"/>
      <c r="U239" s="1186"/>
      <c r="V239" s="1186"/>
      <c r="W239" s="1186"/>
      <c r="X239" s="1186"/>
      <c r="Y239" s="1186"/>
      <c r="Z239" s="1186"/>
      <c r="AA239" s="1186"/>
      <c r="AB239" s="1186"/>
      <c r="AC239" s="1186"/>
      <c r="AD239" s="1186"/>
      <c r="AE239" s="1186"/>
      <c r="AF239" s="1186"/>
      <c r="AG239" s="1186"/>
      <c r="AH239" s="1186"/>
      <c r="AI239" s="1529">
        <f t="shared" si="11"/>
        <v>0</v>
      </c>
      <c r="AJ239" s="1466"/>
      <c r="AK239" s="615"/>
    </row>
    <row r="240" spans="1:37" s="156" customFormat="1" ht="16.5" customHeight="1" outlineLevel="1">
      <c r="A240" s="1182">
        <v>16</v>
      </c>
      <c r="B240" s="1635" t="str">
        <f>VLOOKUP(C240,'DS CN MOI UP'!$B$10:$C$347,2,0)</f>
        <v>02524</v>
      </c>
      <c r="C240" s="1185" t="s">
        <v>139</v>
      </c>
      <c r="D240" s="1186"/>
      <c r="E240" s="1186"/>
      <c r="F240" s="1186"/>
      <c r="G240" s="1186"/>
      <c r="H240" s="1186"/>
      <c r="I240" s="1186"/>
      <c r="J240" s="1186"/>
      <c r="K240" s="1186"/>
      <c r="L240" s="1186"/>
      <c r="M240" s="1186"/>
      <c r="N240" s="1186"/>
      <c r="O240" s="1186"/>
      <c r="P240" s="1186"/>
      <c r="Q240" s="1186"/>
      <c r="R240" s="1186"/>
      <c r="S240" s="1186"/>
      <c r="T240" s="1186"/>
      <c r="U240" s="1186"/>
      <c r="V240" s="1186"/>
      <c r="W240" s="1186"/>
      <c r="X240" s="1186"/>
      <c r="Y240" s="1186"/>
      <c r="Z240" s="1186"/>
      <c r="AA240" s="1186"/>
      <c r="AB240" s="1186"/>
      <c r="AC240" s="1186"/>
      <c r="AD240" s="1186"/>
      <c r="AE240" s="1186"/>
      <c r="AF240" s="1186"/>
      <c r="AG240" s="1186"/>
      <c r="AH240" s="1186"/>
      <c r="AI240" s="1529">
        <f t="shared" si="11"/>
        <v>0</v>
      </c>
      <c r="AJ240" s="1466"/>
      <c r="AK240" s="615"/>
    </row>
    <row r="241" spans="1:37" s="156" customFormat="1" ht="16.5" customHeight="1" outlineLevel="1">
      <c r="A241" s="1182">
        <v>17</v>
      </c>
      <c r="B241" s="1635" t="str">
        <f>VLOOKUP(C241,'DS CN MOI UP'!$B$10:$C$347,2,0)</f>
        <v>03357</v>
      </c>
      <c r="C241" s="1185" t="s">
        <v>140</v>
      </c>
      <c r="D241" s="1186"/>
      <c r="E241" s="1186"/>
      <c r="F241" s="1186"/>
      <c r="G241" s="1186"/>
      <c r="H241" s="1186"/>
      <c r="I241" s="1186"/>
      <c r="J241" s="1186"/>
      <c r="K241" s="1186"/>
      <c r="L241" s="1186"/>
      <c r="M241" s="1186"/>
      <c r="N241" s="1186"/>
      <c r="O241" s="1186"/>
      <c r="P241" s="1186"/>
      <c r="Q241" s="1186"/>
      <c r="R241" s="1186"/>
      <c r="S241" s="1186"/>
      <c r="T241" s="1186"/>
      <c r="U241" s="1186"/>
      <c r="V241" s="1186"/>
      <c r="W241" s="1186"/>
      <c r="X241" s="1186"/>
      <c r="Y241" s="1186"/>
      <c r="Z241" s="1186"/>
      <c r="AA241" s="1186"/>
      <c r="AB241" s="1186"/>
      <c r="AC241" s="1186"/>
      <c r="AD241" s="1182"/>
      <c r="AE241" s="1186"/>
      <c r="AF241" s="1186"/>
      <c r="AG241" s="1186"/>
      <c r="AH241" s="1186"/>
      <c r="AI241" s="1529">
        <f t="shared" si="11"/>
        <v>0</v>
      </c>
      <c r="AJ241" s="1466"/>
      <c r="AK241" s="615"/>
    </row>
    <row r="242" spans="1:37" s="156" customFormat="1" ht="16.5" customHeight="1" outlineLevel="1">
      <c r="A242" s="1182">
        <v>18</v>
      </c>
      <c r="B242" s="1635" t="str">
        <f>VLOOKUP(C242,'DS CN MOI UP'!$B$10:$C$347,2,0)</f>
        <v>03358</v>
      </c>
      <c r="C242" s="1185" t="s">
        <v>141</v>
      </c>
      <c r="D242" s="1186"/>
      <c r="E242" s="1186"/>
      <c r="F242" s="1186"/>
      <c r="G242" s="1186"/>
      <c r="H242" s="1186"/>
      <c r="I242" s="1186"/>
      <c r="J242" s="1186"/>
      <c r="K242" s="1186"/>
      <c r="L242" s="1186"/>
      <c r="M242" s="1186"/>
      <c r="N242" s="1186"/>
      <c r="O242" s="1186"/>
      <c r="P242" s="1186"/>
      <c r="Q242" s="1186"/>
      <c r="R242" s="1186"/>
      <c r="S242" s="1186"/>
      <c r="T242" s="1186"/>
      <c r="U242" s="1186"/>
      <c r="V242" s="1186"/>
      <c r="W242" s="1186"/>
      <c r="X242" s="1186"/>
      <c r="Y242" s="1186"/>
      <c r="Z242" s="1186"/>
      <c r="AA242" s="1186"/>
      <c r="AB242" s="1186"/>
      <c r="AC242" s="1186"/>
      <c r="AD242" s="1182"/>
      <c r="AE242" s="1186"/>
      <c r="AF242" s="1186"/>
      <c r="AG242" s="1186"/>
      <c r="AH242" s="1186"/>
      <c r="AI242" s="1529">
        <f t="shared" si="11"/>
        <v>0</v>
      </c>
      <c r="AJ242" s="1466"/>
      <c r="AK242" s="615"/>
    </row>
    <row r="243" spans="1:37" s="156" customFormat="1" ht="16.5" customHeight="1" outlineLevel="1">
      <c r="A243" s="1182">
        <v>19</v>
      </c>
      <c r="B243" s="1635" t="str">
        <f>VLOOKUP(C243,'DS CN MOI UP'!$B$10:$C$347,2,0)</f>
        <v>02556</v>
      </c>
      <c r="C243" s="1185" t="s">
        <v>142</v>
      </c>
      <c r="D243" s="1186"/>
      <c r="E243" s="1186"/>
      <c r="F243" s="1186"/>
      <c r="G243" s="1186"/>
      <c r="H243" s="1186"/>
      <c r="I243" s="1186"/>
      <c r="J243" s="1186"/>
      <c r="K243" s="1186"/>
      <c r="L243" s="1186"/>
      <c r="M243" s="1186"/>
      <c r="N243" s="1186"/>
      <c r="O243" s="1186"/>
      <c r="P243" s="1186"/>
      <c r="Q243" s="1186"/>
      <c r="R243" s="1186"/>
      <c r="S243" s="1186"/>
      <c r="T243" s="1186"/>
      <c r="U243" s="1186"/>
      <c r="V243" s="1186"/>
      <c r="W243" s="1186"/>
      <c r="X243" s="1186"/>
      <c r="Y243" s="1186"/>
      <c r="Z243" s="1186"/>
      <c r="AA243" s="1186"/>
      <c r="AB243" s="1186"/>
      <c r="AC243" s="1186"/>
      <c r="AD243" s="1186"/>
      <c r="AE243" s="1186"/>
      <c r="AF243" s="1186"/>
      <c r="AG243" s="1186"/>
      <c r="AH243" s="1186"/>
      <c r="AI243" s="1529">
        <f t="shared" si="11"/>
        <v>0</v>
      </c>
      <c r="AJ243" s="1466"/>
      <c r="AK243" s="615"/>
    </row>
    <row r="244" spans="1:37" s="156" customFormat="1" ht="16.149999999999999" customHeight="1" outlineLevel="1">
      <c r="A244" s="1182">
        <v>20</v>
      </c>
      <c r="B244" s="1635" t="str">
        <f>VLOOKUP(C244,'DS CN MOI UP'!$B$10:$C$347,2,0)</f>
        <v>02537</v>
      </c>
      <c r="C244" s="1185" t="s">
        <v>143</v>
      </c>
      <c r="D244" s="1186"/>
      <c r="E244" s="1186"/>
      <c r="F244" s="1186"/>
      <c r="G244" s="1186"/>
      <c r="H244" s="1186"/>
      <c r="I244" s="1186"/>
      <c r="J244" s="1186"/>
      <c r="K244" s="1186"/>
      <c r="L244" s="1186"/>
      <c r="M244" s="1186"/>
      <c r="N244" s="1186"/>
      <c r="O244" s="1186"/>
      <c r="P244" s="1186"/>
      <c r="Q244" s="1186"/>
      <c r="R244" s="1186"/>
      <c r="S244" s="1186"/>
      <c r="T244" s="1186"/>
      <c r="U244" s="1186"/>
      <c r="V244" s="1186"/>
      <c r="W244" s="1186"/>
      <c r="X244" s="1186"/>
      <c r="Y244" s="1186"/>
      <c r="Z244" s="1186"/>
      <c r="AA244" s="1186"/>
      <c r="AB244" s="1186"/>
      <c r="AC244" s="1186"/>
      <c r="AD244" s="1186"/>
      <c r="AE244" s="1186"/>
      <c r="AF244" s="1186"/>
      <c r="AG244" s="1186"/>
      <c r="AH244" s="1186"/>
      <c r="AI244" s="1529">
        <f t="shared" si="11"/>
        <v>0</v>
      </c>
      <c r="AJ244" s="1466"/>
      <c r="AK244" s="615"/>
    </row>
    <row r="245" spans="1:37" s="156" customFormat="1" ht="16.149999999999999" customHeight="1" outlineLevel="1">
      <c r="A245" s="1182">
        <v>21</v>
      </c>
      <c r="B245" s="1635" t="str">
        <f>VLOOKUP(C245,'DS CN MOI UP'!$B$10:$C$347,2,0)</f>
        <v>03359</v>
      </c>
      <c r="C245" s="1185" t="s">
        <v>144</v>
      </c>
      <c r="D245" s="1186"/>
      <c r="E245" s="1186"/>
      <c r="F245" s="1186"/>
      <c r="G245" s="1186"/>
      <c r="H245" s="1186"/>
      <c r="I245" s="1186"/>
      <c r="J245" s="1186"/>
      <c r="K245" s="1186"/>
      <c r="L245" s="1186"/>
      <c r="M245" s="1186"/>
      <c r="N245" s="1186"/>
      <c r="O245" s="1186"/>
      <c r="P245" s="1186"/>
      <c r="Q245" s="1186"/>
      <c r="R245" s="1186"/>
      <c r="S245" s="1186"/>
      <c r="T245" s="1186"/>
      <c r="U245" s="1186"/>
      <c r="V245" s="1186"/>
      <c r="W245" s="1186"/>
      <c r="X245" s="1186"/>
      <c r="Y245" s="1186"/>
      <c r="Z245" s="1186"/>
      <c r="AA245" s="1186"/>
      <c r="AB245" s="1186"/>
      <c r="AC245" s="1186"/>
      <c r="AD245" s="1182"/>
      <c r="AE245" s="1182"/>
      <c r="AF245" s="1186"/>
      <c r="AG245" s="1186"/>
      <c r="AH245" s="1186"/>
      <c r="AI245" s="1529">
        <f t="shared" si="11"/>
        <v>0</v>
      </c>
      <c r="AJ245" s="1466"/>
      <c r="AK245" s="615"/>
    </row>
    <row r="246" spans="1:37" s="156" customFormat="1" ht="16.149999999999999" customHeight="1" outlineLevel="1">
      <c r="A246" s="1182">
        <v>22</v>
      </c>
      <c r="B246" s="1635" t="str">
        <f>VLOOKUP(C246,'DS CN MOI UP'!$B$10:$C$347,2,0)</f>
        <v>03360</v>
      </c>
      <c r="C246" s="1185" t="s">
        <v>145</v>
      </c>
      <c r="D246" s="1186"/>
      <c r="E246" s="1186"/>
      <c r="F246" s="1186"/>
      <c r="G246" s="1186"/>
      <c r="H246" s="1186"/>
      <c r="I246" s="1186"/>
      <c r="J246" s="1186"/>
      <c r="K246" s="1186"/>
      <c r="L246" s="1186"/>
      <c r="M246" s="1186"/>
      <c r="N246" s="1186"/>
      <c r="O246" s="1186"/>
      <c r="P246" s="1186"/>
      <c r="Q246" s="1186"/>
      <c r="R246" s="1186"/>
      <c r="S246" s="1186"/>
      <c r="T246" s="1186"/>
      <c r="U246" s="1186"/>
      <c r="V246" s="1186"/>
      <c r="W246" s="1186"/>
      <c r="X246" s="1186"/>
      <c r="Y246" s="1186"/>
      <c r="Z246" s="1186"/>
      <c r="AA246" s="1186"/>
      <c r="AB246" s="1186"/>
      <c r="AC246" s="1186"/>
      <c r="AD246" s="1182"/>
      <c r="AE246" s="1182"/>
      <c r="AF246" s="1186"/>
      <c r="AG246" s="1186"/>
      <c r="AH246" s="1186"/>
      <c r="AI246" s="1529">
        <f t="shared" si="11"/>
        <v>0</v>
      </c>
      <c r="AJ246" s="1466"/>
      <c r="AK246" s="615"/>
    </row>
    <row r="247" spans="1:37" s="156" customFormat="1" ht="16.149999999999999" customHeight="1" outlineLevel="1">
      <c r="A247" s="1182">
        <v>23</v>
      </c>
      <c r="B247" s="1635" t="str">
        <f>VLOOKUP(C247,'DS CN MOI UP'!$B$10:$C$347,2,0)</f>
        <v>03413</v>
      </c>
      <c r="C247" s="1185" t="s">
        <v>146</v>
      </c>
      <c r="D247" s="1186"/>
      <c r="E247" s="1186"/>
      <c r="F247" s="1186"/>
      <c r="G247" s="1186"/>
      <c r="H247" s="1186"/>
      <c r="I247" s="1186"/>
      <c r="J247" s="1186"/>
      <c r="K247" s="1186"/>
      <c r="L247" s="1186"/>
      <c r="M247" s="1186"/>
      <c r="N247" s="1186"/>
      <c r="O247" s="1186"/>
      <c r="P247" s="1186"/>
      <c r="Q247" s="1186"/>
      <c r="R247" s="1186"/>
      <c r="S247" s="1186"/>
      <c r="T247" s="1186"/>
      <c r="U247" s="1186"/>
      <c r="V247" s="1186"/>
      <c r="W247" s="1186"/>
      <c r="X247" s="1186"/>
      <c r="Y247" s="1186"/>
      <c r="Z247" s="1186"/>
      <c r="AA247" s="1186"/>
      <c r="AB247" s="1186"/>
      <c r="AC247" s="1186"/>
      <c r="AD247" s="1182"/>
      <c r="AE247" s="1182"/>
      <c r="AF247" s="1186"/>
      <c r="AG247" s="1186"/>
      <c r="AH247" s="1186"/>
      <c r="AI247" s="1529">
        <f t="shared" si="11"/>
        <v>0</v>
      </c>
      <c r="AJ247" s="1466"/>
      <c r="AK247" s="615"/>
    </row>
    <row r="248" spans="1:37" s="156" customFormat="1" ht="16.149999999999999" customHeight="1" outlineLevel="1">
      <c r="A248" s="1182">
        <v>24</v>
      </c>
      <c r="B248" s="1635" t="str">
        <f>VLOOKUP(C248,'DS CN MOI UP'!$B$10:$C$347,2,0)</f>
        <v>03361</v>
      </c>
      <c r="C248" s="1185" t="s">
        <v>147</v>
      </c>
      <c r="D248" s="1186"/>
      <c r="E248" s="1186"/>
      <c r="F248" s="1186"/>
      <c r="G248" s="1186"/>
      <c r="H248" s="1186"/>
      <c r="I248" s="1186"/>
      <c r="J248" s="1186"/>
      <c r="K248" s="1186"/>
      <c r="L248" s="1186"/>
      <c r="M248" s="1186"/>
      <c r="N248" s="1186"/>
      <c r="O248" s="1186"/>
      <c r="P248" s="1186"/>
      <c r="Q248" s="1186"/>
      <c r="R248" s="1186"/>
      <c r="S248" s="1186"/>
      <c r="T248" s="1186"/>
      <c r="U248" s="1186"/>
      <c r="V248" s="1186"/>
      <c r="W248" s="1186"/>
      <c r="X248" s="1186"/>
      <c r="Y248" s="1186"/>
      <c r="Z248" s="1186"/>
      <c r="AA248" s="1186"/>
      <c r="AB248" s="1186"/>
      <c r="AC248" s="1186"/>
      <c r="AD248" s="1186"/>
      <c r="AE248" s="1186"/>
      <c r="AF248" s="1186"/>
      <c r="AG248" s="1186"/>
      <c r="AH248" s="1186"/>
      <c r="AI248" s="1529">
        <f t="shared" si="11"/>
        <v>0</v>
      </c>
      <c r="AJ248" s="1466"/>
      <c r="AK248" s="615"/>
    </row>
    <row r="249" spans="1:37" s="156" customFormat="1" ht="16.149999999999999" customHeight="1" outlineLevel="1">
      <c r="A249" s="1182">
        <v>25</v>
      </c>
      <c r="B249" s="1635" t="str">
        <f>VLOOKUP(C249,'DS CN MOI UP'!$B$10:$C$347,2,0)</f>
        <v>02554</v>
      </c>
      <c r="C249" s="1185" t="s">
        <v>148</v>
      </c>
      <c r="D249" s="1186"/>
      <c r="E249" s="1186"/>
      <c r="F249" s="1186"/>
      <c r="G249" s="1186"/>
      <c r="H249" s="1186"/>
      <c r="I249" s="1186"/>
      <c r="J249" s="1186"/>
      <c r="K249" s="1186"/>
      <c r="L249" s="1186"/>
      <c r="M249" s="1186"/>
      <c r="N249" s="1186"/>
      <c r="O249" s="1186"/>
      <c r="P249" s="1186"/>
      <c r="Q249" s="1186"/>
      <c r="R249" s="1186"/>
      <c r="S249" s="1186"/>
      <c r="T249" s="1186"/>
      <c r="U249" s="1186"/>
      <c r="V249" s="1186"/>
      <c r="W249" s="1186"/>
      <c r="X249" s="1186"/>
      <c r="Y249" s="1186"/>
      <c r="Z249" s="1186"/>
      <c r="AA249" s="1186"/>
      <c r="AB249" s="1186"/>
      <c r="AC249" s="1186"/>
      <c r="AD249" s="1186"/>
      <c r="AE249" s="1182"/>
      <c r="AF249" s="1186"/>
      <c r="AG249" s="1186"/>
      <c r="AH249" s="1186"/>
      <c r="AI249" s="1529">
        <f t="shared" si="11"/>
        <v>0</v>
      </c>
      <c r="AJ249" s="1466"/>
      <c r="AK249" s="615"/>
    </row>
    <row r="250" spans="1:37" s="156" customFormat="1" ht="16.149999999999999" customHeight="1" outlineLevel="1">
      <c r="A250" s="1182">
        <v>26</v>
      </c>
      <c r="B250" s="1635" t="str">
        <f>VLOOKUP(C250,'DS CN MOI UP'!$B$10:$C$347,2,0)</f>
        <v>02534</v>
      </c>
      <c r="C250" s="1185" t="s">
        <v>149</v>
      </c>
      <c r="D250" s="1186"/>
      <c r="E250" s="1186"/>
      <c r="F250" s="1186"/>
      <c r="G250" s="1186"/>
      <c r="H250" s="1186"/>
      <c r="I250" s="1186"/>
      <c r="J250" s="1186"/>
      <c r="K250" s="1186"/>
      <c r="L250" s="1186"/>
      <c r="M250" s="1186"/>
      <c r="N250" s="1186"/>
      <c r="O250" s="1186"/>
      <c r="P250" s="1186"/>
      <c r="Q250" s="1186"/>
      <c r="R250" s="1186"/>
      <c r="S250" s="1186"/>
      <c r="T250" s="1186"/>
      <c r="U250" s="1186"/>
      <c r="V250" s="1186"/>
      <c r="W250" s="1186"/>
      <c r="X250" s="1186"/>
      <c r="Y250" s="1186"/>
      <c r="Z250" s="1186"/>
      <c r="AA250" s="1186"/>
      <c r="AB250" s="1186"/>
      <c r="AC250" s="1186"/>
      <c r="AD250" s="1186"/>
      <c r="AE250" s="1182"/>
      <c r="AF250" s="1186"/>
      <c r="AG250" s="1186"/>
      <c r="AH250" s="1186"/>
      <c r="AI250" s="1529">
        <f t="shared" si="11"/>
        <v>0</v>
      </c>
      <c r="AJ250" s="1466"/>
      <c r="AK250" s="615"/>
    </row>
    <row r="251" spans="1:37" s="156" customFormat="1" ht="16.149999999999999" customHeight="1" outlineLevel="1">
      <c r="A251" s="1182">
        <v>27</v>
      </c>
      <c r="B251" s="1635" t="str">
        <f>VLOOKUP(C251,'DS CN MOI UP'!$B$10:$C$347,2,0)</f>
        <v>02538</v>
      </c>
      <c r="C251" s="1185" t="s">
        <v>150</v>
      </c>
      <c r="D251" s="1186"/>
      <c r="E251" s="1186"/>
      <c r="F251" s="1186"/>
      <c r="G251" s="1186"/>
      <c r="H251" s="1186"/>
      <c r="I251" s="1186"/>
      <c r="J251" s="1186"/>
      <c r="K251" s="1186"/>
      <c r="L251" s="1186"/>
      <c r="M251" s="1186"/>
      <c r="N251" s="1186"/>
      <c r="O251" s="1186"/>
      <c r="P251" s="1186"/>
      <c r="Q251" s="1186"/>
      <c r="R251" s="1186"/>
      <c r="S251" s="1186"/>
      <c r="T251" s="1186"/>
      <c r="U251" s="1186"/>
      <c r="V251" s="1186"/>
      <c r="W251" s="1186"/>
      <c r="X251" s="1186"/>
      <c r="Y251" s="1186"/>
      <c r="Z251" s="1186"/>
      <c r="AA251" s="1186"/>
      <c r="AB251" s="1186"/>
      <c r="AC251" s="1186"/>
      <c r="AD251" s="1186"/>
      <c r="AE251" s="1182"/>
      <c r="AF251" s="1186"/>
      <c r="AG251" s="1186"/>
      <c r="AH251" s="1186"/>
      <c r="AI251" s="1529">
        <f t="shared" si="11"/>
        <v>0</v>
      </c>
      <c r="AJ251" s="1466"/>
      <c r="AK251" s="615"/>
    </row>
    <row r="252" spans="1:37" s="156" customFormat="1" ht="16.149999999999999" customHeight="1" outlineLevel="1">
      <c r="A252" s="1182">
        <v>28</v>
      </c>
      <c r="B252" s="1635" t="str">
        <f>VLOOKUP(C252,'DS CN MOI UP'!$B$10:$C$347,2,0)</f>
        <v>03362</v>
      </c>
      <c r="C252" s="1185" t="s">
        <v>151</v>
      </c>
      <c r="D252" s="1186"/>
      <c r="E252" s="1186"/>
      <c r="F252" s="1186"/>
      <c r="G252" s="1186"/>
      <c r="H252" s="1186"/>
      <c r="I252" s="1186"/>
      <c r="J252" s="1186"/>
      <c r="K252" s="1186"/>
      <c r="L252" s="1186"/>
      <c r="M252" s="1186"/>
      <c r="N252" s="1186"/>
      <c r="O252" s="1186"/>
      <c r="P252" s="1186"/>
      <c r="Q252" s="1186"/>
      <c r="R252" s="1186"/>
      <c r="S252" s="1186"/>
      <c r="T252" s="1186"/>
      <c r="U252" s="1186"/>
      <c r="V252" s="1186"/>
      <c r="W252" s="1186"/>
      <c r="X252" s="1186"/>
      <c r="Y252" s="1186"/>
      <c r="Z252" s="1186"/>
      <c r="AA252" s="1186"/>
      <c r="AB252" s="1186"/>
      <c r="AC252" s="1186"/>
      <c r="AD252" s="1182"/>
      <c r="AE252" s="1182"/>
      <c r="AF252" s="1186"/>
      <c r="AG252" s="1186"/>
      <c r="AH252" s="1186"/>
      <c r="AI252" s="1529">
        <f t="shared" si="11"/>
        <v>0</v>
      </c>
      <c r="AJ252" s="1466"/>
      <c r="AK252" s="615"/>
    </row>
    <row r="253" spans="1:37" s="156" customFormat="1" ht="16.149999999999999" customHeight="1" outlineLevel="1">
      <c r="A253" s="1182">
        <v>29</v>
      </c>
      <c r="B253" s="1635" t="str">
        <f>VLOOKUP(C253,'DS CN MOI UP'!$B$10:$C$347,2,0)</f>
        <v>02530</v>
      </c>
      <c r="C253" s="1185" t="s">
        <v>152</v>
      </c>
      <c r="D253" s="1186"/>
      <c r="E253" s="1186"/>
      <c r="F253" s="1186"/>
      <c r="G253" s="1186"/>
      <c r="H253" s="1186"/>
      <c r="I253" s="1186"/>
      <c r="J253" s="1186"/>
      <c r="K253" s="1186"/>
      <c r="L253" s="1186"/>
      <c r="M253" s="1186"/>
      <c r="N253" s="1186"/>
      <c r="O253" s="1186"/>
      <c r="P253" s="1186"/>
      <c r="Q253" s="1186"/>
      <c r="R253" s="1186"/>
      <c r="S253" s="1186"/>
      <c r="T253" s="1186"/>
      <c r="U253" s="1186"/>
      <c r="V253" s="1186"/>
      <c r="W253" s="1186"/>
      <c r="X253" s="1186"/>
      <c r="Y253" s="1186"/>
      <c r="Z253" s="1186"/>
      <c r="AA253" s="1186"/>
      <c r="AB253" s="1186"/>
      <c r="AC253" s="1186"/>
      <c r="AD253" s="1186"/>
      <c r="AE253" s="1182"/>
      <c r="AF253" s="1186"/>
      <c r="AG253" s="1186"/>
      <c r="AH253" s="1186"/>
      <c r="AI253" s="1529">
        <f t="shared" si="11"/>
        <v>0</v>
      </c>
      <c r="AJ253" s="1466"/>
      <c r="AK253" s="615"/>
    </row>
    <row r="254" spans="1:37" s="156" customFormat="1" ht="16.149999999999999" customHeight="1" outlineLevel="1">
      <c r="A254" s="1182">
        <v>30</v>
      </c>
      <c r="B254" s="1635" t="str">
        <f>VLOOKUP(C254,'DS CN MOI UP'!$B$10:$C$347,2,0)</f>
        <v>03363</v>
      </c>
      <c r="C254" s="1185" t="s">
        <v>153</v>
      </c>
      <c r="D254" s="1186"/>
      <c r="E254" s="1186"/>
      <c r="F254" s="1186"/>
      <c r="G254" s="1186"/>
      <c r="H254" s="1186"/>
      <c r="I254" s="1186"/>
      <c r="J254" s="1186"/>
      <c r="K254" s="1186"/>
      <c r="L254" s="1186"/>
      <c r="M254" s="1186"/>
      <c r="N254" s="1186"/>
      <c r="O254" s="1186"/>
      <c r="P254" s="1186"/>
      <c r="Q254" s="1186"/>
      <c r="R254" s="1186"/>
      <c r="S254" s="1186"/>
      <c r="T254" s="1186"/>
      <c r="U254" s="1186"/>
      <c r="V254" s="1186"/>
      <c r="W254" s="1186"/>
      <c r="X254" s="1186"/>
      <c r="Y254" s="1186"/>
      <c r="Z254" s="1186"/>
      <c r="AA254" s="1186"/>
      <c r="AB254" s="1186"/>
      <c r="AC254" s="1186"/>
      <c r="AD254" s="1186"/>
      <c r="AE254" s="1186"/>
      <c r="AF254" s="1186"/>
      <c r="AG254" s="1186"/>
      <c r="AH254" s="1186"/>
      <c r="AI254" s="1529">
        <f t="shared" si="11"/>
        <v>0</v>
      </c>
      <c r="AJ254" s="1466"/>
      <c r="AK254" s="615"/>
    </row>
    <row r="255" spans="1:37" s="156" customFormat="1" ht="16.149999999999999" customHeight="1" outlineLevel="1">
      <c r="A255" s="1182">
        <v>31</v>
      </c>
      <c r="B255" s="1635" t="str">
        <f>VLOOKUP(C255,'DS CN MOI UP'!$B$10:$C$347,2,0)</f>
        <v>03364</v>
      </c>
      <c r="C255" s="1185" t="s">
        <v>154</v>
      </c>
      <c r="D255" s="1186"/>
      <c r="E255" s="1186"/>
      <c r="F255" s="1186"/>
      <c r="G255" s="1186"/>
      <c r="H255" s="1186"/>
      <c r="I255" s="1186"/>
      <c r="J255" s="1186"/>
      <c r="K255" s="1186"/>
      <c r="L255" s="1186"/>
      <c r="M255" s="1186"/>
      <c r="N255" s="1186"/>
      <c r="O255" s="1186"/>
      <c r="P255" s="1186"/>
      <c r="Q255" s="1186"/>
      <c r="R255" s="1186"/>
      <c r="S255" s="1186"/>
      <c r="T255" s="1186"/>
      <c r="U255" s="1186"/>
      <c r="V255" s="1186"/>
      <c r="W255" s="1186"/>
      <c r="X255" s="1186"/>
      <c r="Y255" s="1186"/>
      <c r="Z255" s="1186"/>
      <c r="AA255" s="1186"/>
      <c r="AB255" s="1186"/>
      <c r="AC255" s="1186"/>
      <c r="AD255" s="1186"/>
      <c r="AE255" s="1186"/>
      <c r="AF255" s="1186"/>
      <c r="AG255" s="1186"/>
      <c r="AH255" s="1186"/>
      <c r="AI255" s="1529">
        <f t="shared" si="11"/>
        <v>0</v>
      </c>
      <c r="AJ255" s="1466"/>
      <c r="AK255" s="615"/>
    </row>
    <row r="256" spans="1:37" s="156" customFormat="1" ht="16.149999999999999" customHeight="1" outlineLevel="1">
      <c r="A256" s="1182">
        <v>32</v>
      </c>
      <c r="B256" s="1635" t="str">
        <f>VLOOKUP(C256,'DS CN MOI UP'!$B$10:$C$347,2,0)</f>
        <v>02536</v>
      </c>
      <c r="C256" s="1185" t="s">
        <v>155</v>
      </c>
      <c r="D256" s="1186"/>
      <c r="E256" s="1186"/>
      <c r="F256" s="1186"/>
      <c r="G256" s="1186"/>
      <c r="H256" s="1186"/>
      <c r="I256" s="1186"/>
      <c r="J256" s="1186"/>
      <c r="K256" s="1186"/>
      <c r="L256" s="1186"/>
      <c r="M256" s="1186"/>
      <c r="N256" s="1186"/>
      <c r="O256" s="1186"/>
      <c r="P256" s="1186"/>
      <c r="Q256" s="1186"/>
      <c r="R256" s="1186"/>
      <c r="S256" s="1186"/>
      <c r="T256" s="1186"/>
      <c r="U256" s="1186"/>
      <c r="V256" s="1186"/>
      <c r="W256" s="1186"/>
      <c r="X256" s="1186"/>
      <c r="Y256" s="1186"/>
      <c r="Z256" s="1186"/>
      <c r="AA256" s="1186"/>
      <c r="AB256" s="1186"/>
      <c r="AC256" s="1186"/>
      <c r="AD256" s="1186"/>
      <c r="AE256" s="1186"/>
      <c r="AF256" s="1186"/>
      <c r="AG256" s="1186"/>
      <c r="AH256" s="1186"/>
      <c r="AI256" s="1529">
        <f t="shared" si="11"/>
        <v>0</v>
      </c>
      <c r="AJ256" s="1466"/>
    </row>
    <row r="257" spans="1:36" s="156" customFormat="1" ht="16.149999999999999" customHeight="1" outlineLevel="1">
      <c r="A257" s="1182">
        <v>33</v>
      </c>
      <c r="B257" s="1635" t="str">
        <f>VLOOKUP(C257,'DS CN MOI UP'!$B$10:$C$347,2,0)</f>
        <v>02527</v>
      </c>
      <c r="C257" s="1185" t="s">
        <v>156</v>
      </c>
      <c r="D257" s="1186"/>
      <c r="E257" s="1186"/>
      <c r="F257" s="1186"/>
      <c r="G257" s="1186"/>
      <c r="H257" s="1186"/>
      <c r="I257" s="1186"/>
      <c r="J257" s="1186"/>
      <c r="K257" s="1186"/>
      <c r="L257" s="1186"/>
      <c r="M257" s="1186"/>
      <c r="N257" s="1186"/>
      <c r="O257" s="1186"/>
      <c r="P257" s="1186"/>
      <c r="Q257" s="1186"/>
      <c r="R257" s="1186"/>
      <c r="S257" s="1186"/>
      <c r="T257" s="1186"/>
      <c r="U257" s="1186"/>
      <c r="V257" s="1186"/>
      <c r="W257" s="1186"/>
      <c r="X257" s="1186"/>
      <c r="Y257" s="1186"/>
      <c r="Z257" s="1186"/>
      <c r="AA257" s="1186"/>
      <c r="AB257" s="1186"/>
      <c r="AC257" s="1186"/>
      <c r="AD257" s="1186"/>
      <c r="AE257" s="1186"/>
      <c r="AF257" s="1186"/>
      <c r="AG257" s="1186"/>
      <c r="AH257" s="1186"/>
      <c r="AI257" s="1529">
        <f t="shared" si="11"/>
        <v>0</v>
      </c>
      <c r="AJ257" s="1466"/>
    </row>
    <row r="258" spans="1:36" s="156" customFormat="1" ht="16.149999999999999" customHeight="1" outlineLevel="1">
      <c r="A258" s="1182">
        <v>34</v>
      </c>
      <c r="B258" s="1635" t="str">
        <f>VLOOKUP(C258,'DS CN MOI UP'!$B$10:$C$347,2,0)</f>
        <v>03366</v>
      </c>
      <c r="C258" s="1185" t="s">
        <v>157</v>
      </c>
      <c r="D258" s="1186"/>
      <c r="E258" s="1186"/>
      <c r="F258" s="1186"/>
      <c r="G258" s="1186"/>
      <c r="H258" s="1186"/>
      <c r="I258" s="1186"/>
      <c r="J258" s="1186"/>
      <c r="K258" s="1186"/>
      <c r="L258" s="1186"/>
      <c r="M258" s="1186"/>
      <c r="N258" s="1186"/>
      <c r="O258" s="1186"/>
      <c r="P258" s="1186"/>
      <c r="Q258" s="1186"/>
      <c r="R258" s="1186"/>
      <c r="S258" s="1186"/>
      <c r="T258" s="1186"/>
      <c r="U258" s="1186"/>
      <c r="V258" s="1186"/>
      <c r="W258" s="1186"/>
      <c r="X258" s="1186"/>
      <c r="Y258" s="1186"/>
      <c r="Z258" s="1186"/>
      <c r="AA258" s="1186"/>
      <c r="AB258" s="1186"/>
      <c r="AC258" s="1186"/>
      <c r="AD258" s="1186"/>
      <c r="AE258" s="1186"/>
      <c r="AF258" s="1186"/>
      <c r="AG258" s="1186"/>
      <c r="AH258" s="1186"/>
      <c r="AI258" s="1529">
        <f t="shared" si="11"/>
        <v>0</v>
      </c>
      <c r="AJ258" s="1466"/>
    </row>
    <row r="259" spans="1:36" s="156" customFormat="1" ht="16.149999999999999" customHeight="1" outlineLevel="1">
      <c r="A259" s="1182">
        <v>35</v>
      </c>
      <c r="B259" s="1635" t="str">
        <f>VLOOKUP(C259,'DS CN MOI UP'!$B$10:$C$347,2,0)</f>
        <v>02532</v>
      </c>
      <c r="C259" s="1185" t="s">
        <v>158</v>
      </c>
      <c r="D259" s="1186"/>
      <c r="E259" s="1186"/>
      <c r="F259" s="1186"/>
      <c r="G259" s="1186"/>
      <c r="H259" s="1186"/>
      <c r="I259" s="1186"/>
      <c r="J259" s="1186"/>
      <c r="K259" s="1186"/>
      <c r="L259" s="1186"/>
      <c r="M259" s="1186"/>
      <c r="N259" s="1186"/>
      <c r="O259" s="1186"/>
      <c r="P259" s="1186"/>
      <c r="Q259" s="1186"/>
      <c r="R259" s="1186"/>
      <c r="S259" s="1186"/>
      <c r="T259" s="1186"/>
      <c r="U259" s="1186"/>
      <c r="V259" s="1186"/>
      <c r="W259" s="1186"/>
      <c r="X259" s="1186"/>
      <c r="Y259" s="1186"/>
      <c r="Z259" s="1186"/>
      <c r="AA259" s="1186"/>
      <c r="AB259" s="1186"/>
      <c r="AC259" s="1186"/>
      <c r="AD259" s="1186"/>
      <c r="AE259" s="1186"/>
      <c r="AF259" s="1186"/>
      <c r="AG259" s="1186"/>
      <c r="AH259" s="1186"/>
      <c r="AI259" s="1529">
        <f t="shared" si="11"/>
        <v>0</v>
      </c>
      <c r="AJ259" s="1466"/>
    </row>
    <row r="260" spans="1:36" s="156" customFormat="1" ht="16.149999999999999" customHeight="1" outlineLevel="1">
      <c r="A260" s="1182">
        <v>36</v>
      </c>
      <c r="B260" s="1635" t="str">
        <f>VLOOKUP(C260,'DS CN MOI UP'!$B$10:$C$347,2,0)</f>
        <v>02528</v>
      </c>
      <c r="C260" s="1185" t="s">
        <v>159</v>
      </c>
      <c r="D260" s="1186"/>
      <c r="E260" s="1186"/>
      <c r="F260" s="1186"/>
      <c r="G260" s="1186"/>
      <c r="H260" s="1186"/>
      <c r="I260" s="1186"/>
      <c r="J260" s="1186"/>
      <c r="K260" s="1186"/>
      <c r="L260" s="1186"/>
      <c r="M260" s="1186"/>
      <c r="N260" s="1186"/>
      <c r="O260" s="1186"/>
      <c r="P260" s="1186"/>
      <c r="Q260" s="1186"/>
      <c r="R260" s="1186"/>
      <c r="S260" s="1186"/>
      <c r="T260" s="1186"/>
      <c r="U260" s="1186"/>
      <c r="V260" s="1186"/>
      <c r="W260" s="1186"/>
      <c r="X260" s="1186"/>
      <c r="Y260" s="1186"/>
      <c r="Z260" s="1186"/>
      <c r="AA260" s="1186"/>
      <c r="AB260" s="1186"/>
      <c r="AC260" s="1186"/>
      <c r="AD260" s="1182"/>
      <c r="AE260" s="1186"/>
      <c r="AF260" s="1186"/>
      <c r="AG260" s="1186"/>
      <c r="AH260" s="1186"/>
      <c r="AI260" s="1529">
        <f t="shared" si="11"/>
        <v>0</v>
      </c>
      <c r="AJ260" s="1466"/>
    </row>
    <row r="261" spans="1:36" s="156" customFormat="1" ht="16.149999999999999" customHeight="1" outlineLevel="1">
      <c r="A261" s="1182">
        <v>37</v>
      </c>
      <c r="B261" s="1635" t="str">
        <f>VLOOKUP(C261,'DS CN MOI UP'!$B$10:$C$347,2,0)</f>
        <v>03367</v>
      </c>
      <c r="C261" s="1185" t="s">
        <v>160</v>
      </c>
      <c r="D261" s="1186"/>
      <c r="E261" s="1186"/>
      <c r="F261" s="1186"/>
      <c r="G261" s="1186"/>
      <c r="H261" s="1186"/>
      <c r="I261" s="1186"/>
      <c r="J261" s="1186"/>
      <c r="K261" s="1186"/>
      <c r="L261" s="1186"/>
      <c r="M261" s="1186"/>
      <c r="N261" s="1186"/>
      <c r="O261" s="1186"/>
      <c r="P261" s="1186"/>
      <c r="Q261" s="1186"/>
      <c r="R261" s="1186"/>
      <c r="S261" s="1186"/>
      <c r="T261" s="1186"/>
      <c r="U261" s="1186"/>
      <c r="V261" s="1186"/>
      <c r="W261" s="1186"/>
      <c r="X261" s="1186"/>
      <c r="Y261" s="1186"/>
      <c r="Z261" s="1186"/>
      <c r="AA261" s="1186"/>
      <c r="AB261" s="1186"/>
      <c r="AC261" s="1186"/>
      <c r="AD261" s="1186"/>
      <c r="AE261" s="1186"/>
      <c r="AF261" s="1186"/>
      <c r="AG261" s="1186"/>
      <c r="AH261" s="1186"/>
      <c r="AI261" s="1529">
        <f t="shared" si="11"/>
        <v>0</v>
      </c>
      <c r="AJ261" s="1466"/>
    </row>
    <row r="262" spans="1:36" s="156" customFormat="1" ht="16.149999999999999" customHeight="1" outlineLevel="1">
      <c r="A262" s="1182">
        <v>38</v>
      </c>
      <c r="B262" s="1635" t="str">
        <f>VLOOKUP(C262,'DS CN MOI UP'!$B$10:$C$347,2,0)</f>
        <v>02517</v>
      </c>
      <c r="C262" s="1185" t="s">
        <v>161</v>
      </c>
      <c r="D262" s="1186"/>
      <c r="E262" s="1186"/>
      <c r="F262" s="1186"/>
      <c r="G262" s="1186"/>
      <c r="H262" s="1186"/>
      <c r="I262" s="1186"/>
      <c r="J262" s="1186"/>
      <c r="K262" s="1186"/>
      <c r="L262" s="1186"/>
      <c r="M262" s="1186"/>
      <c r="N262" s="1186"/>
      <c r="O262" s="1186"/>
      <c r="P262" s="1186"/>
      <c r="Q262" s="1186"/>
      <c r="R262" s="1186"/>
      <c r="S262" s="1186"/>
      <c r="T262" s="1186"/>
      <c r="U262" s="1186"/>
      <c r="V262" s="1186"/>
      <c r="W262" s="1186"/>
      <c r="X262" s="1186"/>
      <c r="Y262" s="1186"/>
      <c r="Z262" s="1186"/>
      <c r="AA262" s="1186"/>
      <c r="AB262" s="1186"/>
      <c r="AC262" s="1186"/>
      <c r="AD262" s="1182"/>
      <c r="AE262" s="1182"/>
      <c r="AF262" s="1186"/>
      <c r="AG262" s="1186"/>
      <c r="AH262" s="1186"/>
      <c r="AI262" s="1529">
        <f t="shared" si="11"/>
        <v>0</v>
      </c>
      <c r="AJ262" s="1466"/>
    </row>
    <row r="263" spans="1:36" s="156" customFormat="1" ht="16.149999999999999" customHeight="1" outlineLevel="1">
      <c r="A263" s="1182">
        <v>39</v>
      </c>
      <c r="B263" s="1635" t="str">
        <f>VLOOKUP(C263,'DS CN MOI UP'!$B$10:$C$347,2,0)</f>
        <v>02522</v>
      </c>
      <c r="C263" s="1185" t="s">
        <v>162</v>
      </c>
      <c r="D263" s="1186"/>
      <c r="E263" s="1186"/>
      <c r="F263" s="1186"/>
      <c r="G263" s="1186"/>
      <c r="H263" s="1186"/>
      <c r="I263" s="1186"/>
      <c r="J263" s="1186"/>
      <c r="K263" s="1186"/>
      <c r="L263" s="1186"/>
      <c r="M263" s="1186"/>
      <c r="N263" s="1186"/>
      <c r="O263" s="1186"/>
      <c r="P263" s="1186"/>
      <c r="Q263" s="1186"/>
      <c r="R263" s="1186"/>
      <c r="S263" s="1186"/>
      <c r="T263" s="1186"/>
      <c r="U263" s="1186"/>
      <c r="V263" s="1186"/>
      <c r="W263" s="1186"/>
      <c r="X263" s="1186"/>
      <c r="Y263" s="1186"/>
      <c r="Z263" s="1186"/>
      <c r="AA263" s="1186"/>
      <c r="AB263" s="1186"/>
      <c r="AC263" s="1186"/>
      <c r="AD263" s="1186"/>
      <c r="AE263" s="1182"/>
      <c r="AF263" s="1186"/>
      <c r="AG263" s="1186"/>
      <c r="AH263" s="1186"/>
      <c r="AI263" s="1529">
        <f t="shared" si="11"/>
        <v>0</v>
      </c>
      <c r="AJ263" s="1466"/>
    </row>
    <row r="264" spans="1:36" s="156" customFormat="1" ht="16.149999999999999" customHeight="1" outlineLevel="1">
      <c r="A264" s="1182">
        <v>40</v>
      </c>
      <c r="B264" s="1635" t="str">
        <f>VLOOKUP(C264,'DS CN MOI UP'!$B$10:$C$347,2,0)</f>
        <v>02565</v>
      </c>
      <c r="C264" s="1185" t="s">
        <v>163</v>
      </c>
      <c r="D264" s="1186"/>
      <c r="E264" s="1186"/>
      <c r="F264" s="1186"/>
      <c r="G264" s="1186"/>
      <c r="H264" s="1186"/>
      <c r="I264" s="1186"/>
      <c r="J264" s="1186"/>
      <c r="K264" s="1186"/>
      <c r="L264" s="1186"/>
      <c r="M264" s="1186"/>
      <c r="N264" s="1186"/>
      <c r="O264" s="1186"/>
      <c r="P264" s="1186"/>
      <c r="Q264" s="1186"/>
      <c r="R264" s="1186"/>
      <c r="S264" s="1186"/>
      <c r="T264" s="1186"/>
      <c r="U264" s="1186"/>
      <c r="V264" s="1186"/>
      <c r="W264" s="1186"/>
      <c r="X264" s="1186"/>
      <c r="Y264" s="1186"/>
      <c r="Z264" s="1186"/>
      <c r="AA264" s="1186"/>
      <c r="AB264" s="1186"/>
      <c r="AC264" s="1186"/>
      <c r="AD264" s="1182"/>
      <c r="AE264" s="1186"/>
      <c r="AF264" s="1186"/>
      <c r="AG264" s="1186"/>
      <c r="AH264" s="1186"/>
      <c r="AI264" s="1529">
        <f t="shared" si="11"/>
        <v>0</v>
      </c>
      <c r="AJ264" s="1466"/>
    </row>
    <row r="265" spans="1:36" s="156" customFormat="1" ht="16.149999999999999" customHeight="1" outlineLevel="1">
      <c r="A265" s="1182">
        <v>41</v>
      </c>
      <c r="B265" s="1635" t="str">
        <f>VLOOKUP(C265,'DS CN MOI UP'!$B$10:$C$347,2,0)</f>
        <v>03368</v>
      </c>
      <c r="C265" s="1185" t="s">
        <v>164</v>
      </c>
      <c r="D265" s="1186"/>
      <c r="E265" s="1186"/>
      <c r="F265" s="1186"/>
      <c r="G265" s="1186"/>
      <c r="H265" s="1186"/>
      <c r="I265" s="1186"/>
      <c r="J265" s="1186"/>
      <c r="K265" s="1186"/>
      <c r="L265" s="1186"/>
      <c r="M265" s="1186"/>
      <c r="N265" s="1186"/>
      <c r="O265" s="1186"/>
      <c r="P265" s="1186"/>
      <c r="Q265" s="1186"/>
      <c r="R265" s="1186"/>
      <c r="S265" s="1186"/>
      <c r="T265" s="1186"/>
      <c r="U265" s="1186"/>
      <c r="V265" s="1186"/>
      <c r="W265" s="1186"/>
      <c r="X265" s="1186"/>
      <c r="Y265" s="1186"/>
      <c r="Z265" s="1186"/>
      <c r="AA265" s="1186"/>
      <c r="AB265" s="1186"/>
      <c r="AC265" s="1186"/>
      <c r="AD265" s="1186"/>
      <c r="AE265" s="1186"/>
      <c r="AF265" s="1186"/>
      <c r="AG265" s="1186"/>
      <c r="AH265" s="1186"/>
      <c r="AI265" s="1529">
        <f t="shared" si="11"/>
        <v>0</v>
      </c>
      <c r="AJ265" s="1466"/>
    </row>
    <row r="266" spans="1:36" s="156" customFormat="1" ht="16.149999999999999" customHeight="1" outlineLevel="1">
      <c r="A266" s="1182">
        <v>42</v>
      </c>
      <c r="B266" s="1635" t="str">
        <f>VLOOKUP(C266,'DS CN MOI UP'!$B$10:$C$347,2,0)</f>
        <v>02535</v>
      </c>
      <c r="C266" s="1185" t="s">
        <v>165</v>
      </c>
      <c r="D266" s="1186"/>
      <c r="E266" s="1186"/>
      <c r="F266" s="1186"/>
      <c r="G266" s="1186"/>
      <c r="H266" s="1186"/>
      <c r="I266" s="1186"/>
      <c r="J266" s="1186"/>
      <c r="K266" s="1186"/>
      <c r="L266" s="1186"/>
      <c r="M266" s="1186"/>
      <c r="N266" s="1186"/>
      <c r="O266" s="1186"/>
      <c r="P266" s="1186"/>
      <c r="Q266" s="1186"/>
      <c r="R266" s="1186"/>
      <c r="S266" s="1186"/>
      <c r="T266" s="1186"/>
      <c r="U266" s="1186"/>
      <c r="V266" s="1186"/>
      <c r="W266" s="1186"/>
      <c r="X266" s="1186"/>
      <c r="Y266" s="1186"/>
      <c r="Z266" s="1186"/>
      <c r="AA266" s="1186"/>
      <c r="AB266" s="1186"/>
      <c r="AC266" s="1186"/>
      <c r="AD266" s="1182"/>
      <c r="AE266" s="1182"/>
      <c r="AF266" s="1186"/>
      <c r="AG266" s="1186"/>
      <c r="AH266" s="1186"/>
      <c r="AI266" s="1529">
        <f t="shared" si="11"/>
        <v>0</v>
      </c>
      <c r="AJ266" s="1466"/>
    </row>
    <row r="267" spans="1:36" s="156" customFormat="1" ht="16.149999999999999" customHeight="1" outlineLevel="1">
      <c r="A267" s="1182">
        <v>43</v>
      </c>
      <c r="B267" s="1635" t="str">
        <f>VLOOKUP(C267,'DS CN MOI UP'!$B$10:$C$347,2,0)</f>
        <v>02563</v>
      </c>
      <c r="C267" s="1185" t="s">
        <v>166</v>
      </c>
      <c r="D267" s="1186"/>
      <c r="E267" s="1186"/>
      <c r="F267" s="1186"/>
      <c r="G267" s="1186"/>
      <c r="H267" s="1186"/>
      <c r="I267" s="1186"/>
      <c r="J267" s="1186"/>
      <c r="K267" s="1186"/>
      <c r="L267" s="1186"/>
      <c r="M267" s="1186"/>
      <c r="N267" s="1186"/>
      <c r="O267" s="1186"/>
      <c r="P267" s="1186"/>
      <c r="Q267" s="1186"/>
      <c r="R267" s="1186"/>
      <c r="S267" s="1186"/>
      <c r="T267" s="1186"/>
      <c r="U267" s="1186"/>
      <c r="V267" s="1186"/>
      <c r="W267" s="1186"/>
      <c r="X267" s="1186"/>
      <c r="Y267" s="1186"/>
      <c r="Z267" s="1186"/>
      <c r="AA267" s="1186"/>
      <c r="AB267" s="1186"/>
      <c r="AC267" s="1186"/>
      <c r="AD267" s="1186"/>
      <c r="AE267" s="1186"/>
      <c r="AF267" s="1186"/>
      <c r="AG267" s="1186"/>
      <c r="AH267" s="1186"/>
      <c r="AI267" s="1529">
        <f t="shared" si="11"/>
        <v>0</v>
      </c>
      <c r="AJ267" s="1466"/>
    </row>
    <row r="268" spans="1:36" s="156" customFormat="1" ht="16.149999999999999" customHeight="1" outlineLevel="1">
      <c r="A268" s="1182">
        <v>44</v>
      </c>
      <c r="B268" s="1635" t="str">
        <f>VLOOKUP(C268,'DS CN MOI UP'!$B$10:$C$347,2,0)</f>
        <v>02688</v>
      </c>
      <c r="C268" s="1185" t="s">
        <v>167</v>
      </c>
      <c r="D268" s="1186"/>
      <c r="E268" s="1186"/>
      <c r="F268" s="1186"/>
      <c r="G268" s="1186"/>
      <c r="H268" s="1186"/>
      <c r="I268" s="1186"/>
      <c r="J268" s="1186"/>
      <c r="K268" s="1186"/>
      <c r="L268" s="1186"/>
      <c r="M268" s="1186"/>
      <c r="N268" s="1186"/>
      <c r="O268" s="1186"/>
      <c r="P268" s="1186"/>
      <c r="Q268" s="1186"/>
      <c r="R268" s="1186"/>
      <c r="S268" s="1186"/>
      <c r="T268" s="1186"/>
      <c r="U268" s="1186"/>
      <c r="V268" s="1186"/>
      <c r="W268" s="1186"/>
      <c r="X268" s="1186"/>
      <c r="Y268" s="1186"/>
      <c r="Z268" s="1186"/>
      <c r="AA268" s="1186"/>
      <c r="AB268" s="1186"/>
      <c r="AC268" s="1186"/>
      <c r="AD268" s="1186"/>
      <c r="AE268" s="1186"/>
      <c r="AF268" s="1186"/>
      <c r="AG268" s="1186"/>
      <c r="AH268" s="1186"/>
      <c r="AI268" s="1529">
        <f t="shared" si="11"/>
        <v>0</v>
      </c>
      <c r="AJ268" s="1466"/>
    </row>
    <row r="269" spans="1:36" s="156" customFormat="1" ht="16.149999999999999" customHeight="1" outlineLevel="1">
      <c r="A269" s="1182">
        <v>45</v>
      </c>
      <c r="B269" s="1635" t="str">
        <f>VLOOKUP(C269,'DS CN MOI UP'!$B$10:$C$347,2,0)</f>
        <v>02551</v>
      </c>
      <c r="C269" s="1185" t="s">
        <v>168</v>
      </c>
      <c r="D269" s="1186"/>
      <c r="E269" s="1186"/>
      <c r="F269" s="1186"/>
      <c r="G269" s="1186"/>
      <c r="H269" s="1186"/>
      <c r="I269" s="1186"/>
      <c r="J269" s="1186"/>
      <c r="K269" s="1186"/>
      <c r="L269" s="1186"/>
      <c r="M269" s="1186"/>
      <c r="N269" s="1186"/>
      <c r="O269" s="1186"/>
      <c r="P269" s="1186"/>
      <c r="Q269" s="1186"/>
      <c r="R269" s="1186"/>
      <c r="S269" s="1186"/>
      <c r="T269" s="1186"/>
      <c r="U269" s="1186"/>
      <c r="V269" s="1186"/>
      <c r="W269" s="1186"/>
      <c r="X269" s="1186"/>
      <c r="Y269" s="1186"/>
      <c r="Z269" s="1186"/>
      <c r="AA269" s="1186"/>
      <c r="AB269" s="1186"/>
      <c r="AC269" s="1186"/>
      <c r="AD269" s="1186"/>
      <c r="AE269" s="1182"/>
      <c r="AF269" s="1186"/>
      <c r="AG269" s="1186"/>
      <c r="AH269" s="1186"/>
      <c r="AI269" s="1529">
        <f t="shared" si="11"/>
        <v>0</v>
      </c>
      <c r="AJ269" s="1466"/>
    </row>
    <row r="270" spans="1:36" s="156" customFormat="1" ht="16.149999999999999" customHeight="1" outlineLevel="1">
      <c r="A270" s="1182">
        <v>46</v>
      </c>
      <c r="B270" s="1635" t="str">
        <f>VLOOKUP(C270,'DS CN MOI UP'!$B$10:$C$347,2,0)</f>
        <v>02523</v>
      </c>
      <c r="C270" s="1185" t="s">
        <v>169</v>
      </c>
      <c r="D270" s="1186"/>
      <c r="E270" s="1186"/>
      <c r="F270" s="1186"/>
      <c r="G270" s="1186"/>
      <c r="H270" s="1186"/>
      <c r="I270" s="1186"/>
      <c r="J270" s="1186"/>
      <c r="K270" s="1186"/>
      <c r="L270" s="1186"/>
      <c r="M270" s="1186"/>
      <c r="N270" s="1186"/>
      <c r="O270" s="1186"/>
      <c r="P270" s="1186"/>
      <c r="Q270" s="1186"/>
      <c r="R270" s="1186"/>
      <c r="S270" s="1186"/>
      <c r="T270" s="1186"/>
      <c r="U270" s="1186"/>
      <c r="V270" s="1186"/>
      <c r="W270" s="1186"/>
      <c r="X270" s="1186"/>
      <c r="Y270" s="1186"/>
      <c r="Z270" s="1186"/>
      <c r="AA270" s="1186"/>
      <c r="AB270" s="1186"/>
      <c r="AC270" s="1186"/>
      <c r="AD270" s="1186"/>
      <c r="AE270" s="1186"/>
      <c r="AF270" s="1186"/>
      <c r="AG270" s="1186"/>
      <c r="AH270" s="1186"/>
      <c r="AI270" s="1529">
        <f t="shared" si="11"/>
        <v>0</v>
      </c>
      <c r="AJ270" s="1466"/>
    </row>
    <row r="271" spans="1:36" s="156" customFormat="1" ht="16.149999999999999" customHeight="1" outlineLevel="1">
      <c r="A271" s="1182">
        <v>47</v>
      </c>
      <c r="B271" s="1635" t="str">
        <f>VLOOKUP(C271,'DS CN MOI UP'!$B$10:$C$347,2,0)</f>
        <v>03369</v>
      </c>
      <c r="C271" s="1185" t="s">
        <v>170</v>
      </c>
      <c r="D271" s="1186"/>
      <c r="E271" s="1186"/>
      <c r="F271" s="1186"/>
      <c r="G271" s="1186"/>
      <c r="H271" s="1186"/>
      <c r="I271" s="1186"/>
      <c r="J271" s="1186"/>
      <c r="K271" s="1186"/>
      <c r="L271" s="1186"/>
      <c r="M271" s="1186"/>
      <c r="N271" s="1186"/>
      <c r="O271" s="1186"/>
      <c r="P271" s="1186"/>
      <c r="Q271" s="1186"/>
      <c r="R271" s="1186"/>
      <c r="S271" s="1186"/>
      <c r="T271" s="1186"/>
      <c r="U271" s="1186"/>
      <c r="V271" s="1186"/>
      <c r="W271" s="1186"/>
      <c r="X271" s="1186"/>
      <c r="Y271" s="1186"/>
      <c r="Z271" s="1186"/>
      <c r="AA271" s="1186"/>
      <c r="AB271" s="1186"/>
      <c r="AC271" s="1186"/>
      <c r="AD271" s="1186"/>
      <c r="AE271" s="1186"/>
      <c r="AF271" s="1186"/>
      <c r="AG271" s="1186"/>
      <c r="AH271" s="1186"/>
      <c r="AI271" s="1529">
        <f t="shared" si="11"/>
        <v>0</v>
      </c>
      <c r="AJ271" s="1466"/>
    </row>
    <row r="272" spans="1:36" s="156" customFormat="1" ht="16.149999999999999" customHeight="1" outlineLevel="1">
      <c r="A272" s="1182">
        <v>48</v>
      </c>
      <c r="B272" s="1635" t="str">
        <f>VLOOKUP(C272,'DS CN MOI UP'!$B$10:$C$347,2,0)</f>
        <v>03345</v>
      </c>
      <c r="C272" s="1185" t="s">
        <v>171</v>
      </c>
      <c r="D272" s="1186"/>
      <c r="E272" s="1186"/>
      <c r="F272" s="1186"/>
      <c r="G272" s="1186"/>
      <c r="H272" s="1186"/>
      <c r="I272" s="1186"/>
      <c r="J272" s="1186"/>
      <c r="K272" s="1186"/>
      <c r="L272" s="1186"/>
      <c r="M272" s="1186"/>
      <c r="N272" s="1186"/>
      <c r="O272" s="1186"/>
      <c r="P272" s="1186"/>
      <c r="Q272" s="1186"/>
      <c r="R272" s="1186"/>
      <c r="S272" s="1186"/>
      <c r="T272" s="1186"/>
      <c r="U272" s="1186"/>
      <c r="V272" s="1186"/>
      <c r="W272" s="1186"/>
      <c r="X272" s="1186"/>
      <c r="Y272" s="1186"/>
      <c r="Z272" s="1186"/>
      <c r="AA272" s="1186"/>
      <c r="AB272" s="1186"/>
      <c r="AC272" s="1186"/>
      <c r="AD272" s="1182"/>
      <c r="AE272" s="1186"/>
      <c r="AF272" s="1186"/>
      <c r="AG272" s="1186"/>
      <c r="AH272" s="1186"/>
      <c r="AI272" s="1529">
        <f t="shared" si="11"/>
        <v>0</v>
      </c>
      <c r="AJ272" s="1466"/>
    </row>
    <row r="273" spans="1:36" s="156" customFormat="1" ht="16.149999999999999" customHeight="1" outlineLevel="1">
      <c r="A273" s="1182">
        <v>49</v>
      </c>
      <c r="B273" s="1635" t="str">
        <f>VLOOKUP(C273,'DS CN MOI UP'!$B$10:$C$347,2,0)</f>
        <v>03371</v>
      </c>
      <c r="C273" s="1185" t="s">
        <v>172</v>
      </c>
      <c r="D273" s="1186"/>
      <c r="E273" s="1186"/>
      <c r="F273" s="1186"/>
      <c r="G273" s="1186"/>
      <c r="H273" s="1186"/>
      <c r="I273" s="1186"/>
      <c r="J273" s="1186"/>
      <c r="K273" s="1186"/>
      <c r="L273" s="1186"/>
      <c r="M273" s="1186"/>
      <c r="N273" s="1186"/>
      <c r="O273" s="1186"/>
      <c r="P273" s="1186"/>
      <c r="Q273" s="1186"/>
      <c r="R273" s="1186"/>
      <c r="S273" s="1186"/>
      <c r="T273" s="1186"/>
      <c r="U273" s="1186"/>
      <c r="V273" s="1186"/>
      <c r="W273" s="1186"/>
      <c r="X273" s="1186"/>
      <c r="Y273" s="1186"/>
      <c r="Z273" s="1186"/>
      <c r="AA273" s="1186"/>
      <c r="AB273" s="1186"/>
      <c r="AC273" s="1186"/>
      <c r="AD273" s="1186"/>
      <c r="AE273" s="1186"/>
      <c r="AF273" s="1186"/>
      <c r="AG273" s="1186"/>
      <c r="AH273" s="1186"/>
      <c r="AI273" s="1529">
        <f t="shared" si="11"/>
        <v>0</v>
      </c>
      <c r="AJ273" s="1466"/>
    </row>
    <row r="274" spans="1:36" s="156" customFormat="1" ht="16.149999999999999" customHeight="1" outlineLevel="1">
      <c r="A274" s="1182">
        <v>50</v>
      </c>
      <c r="B274" s="1635" t="str">
        <f>VLOOKUP(C274,'DS CN MOI UP'!$B$10:$C$347,2,0)</f>
        <v>02519</v>
      </c>
      <c r="C274" s="1185" t="s">
        <v>173</v>
      </c>
      <c r="D274" s="1186"/>
      <c r="E274" s="1186"/>
      <c r="F274" s="1186"/>
      <c r="G274" s="1186"/>
      <c r="H274" s="1186"/>
      <c r="I274" s="1186"/>
      <c r="J274" s="1186"/>
      <c r="K274" s="1186"/>
      <c r="L274" s="1186"/>
      <c r="M274" s="1186"/>
      <c r="N274" s="1186"/>
      <c r="O274" s="1186"/>
      <c r="P274" s="1186"/>
      <c r="Q274" s="1186"/>
      <c r="R274" s="1186"/>
      <c r="S274" s="1186"/>
      <c r="T274" s="1186"/>
      <c r="U274" s="1186"/>
      <c r="V274" s="1186"/>
      <c r="W274" s="1186"/>
      <c r="X274" s="1186"/>
      <c r="Y274" s="1186"/>
      <c r="Z274" s="1186"/>
      <c r="AA274" s="1186"/>
      <c r="AB274" s="1186"/>
      <c r="AC274" s="1186"/>
      <c r="AD274" s="1182"/>
      <c r="AE274" s="1182"/>
      <c r="AF274" s="1186"/>
      <c r="AG274" s="1186"/>
      <c r="AH274" s="1186"/>
      <c r="AI274" s="1529">
        <f t="shared" si="11"/>
        <v>0</v>
      </c>
      <c r="AJ274" s="1466"/>
    </row>
    <row r="275" spans="1:36" s="156" customFormat="1" ht="16.149999999999999" customHeight="1" outlineLevel="1">
      <c r="A275" s="1182">
        <v>51</v>
      </c>
      <c r="B275" s="1635" t="str">
        <f>VLOOKUP(C275,'DS CN MOI UP'!$B$10:$C$347,2,0)</f>
        <v>02692</v>
      </c>
      <c r="C275" s="1185" t="s">
        <v>174</v>
      </c>
      <c r="D275" s="1186"/>
      <c r="E275" s="1186"/>
      <c r="F275" s="1186"/>
      <c r="G275" s="1186"/>
      <c r="H275" s="1186"/>
      <c r="I275" s="1186"/>
      <c r="J275" s="1186"/>
      <c r="K275" s="1186"/>
      <c r="L275" s="1186"/>
      <c r="M275" s="1186"/>
      <c r="N275" s="1186"/>
      <c r="O275" s="1186"/>
      <c r="P275" s="1186"/>
      <c r="Q275" s="1186"/>
      <c r="R275" s="1186"/>
      <c r="S275" s="1186"/>
      <c r="T275" s="1186"/>
      <c r="U275" s="1186"/>
      <c r="V275" s="1186"/>
      <c r="W275" s="1186"/>
      <c r="X275" s="1186"/>
      <c r="Y275" s="1186"/>
      <c r="Z275" s="1186"/>
      <c r="AA275" s="1186"/>
      <c r="AB275" s="1186"/>
      <c r="AC275" s="1186"/>
      <c r="AD275" s="1186"/>
      <c r="AE275" s="1186"/>
      <c r="AF275" s="1186"/>
      <c r="AG275" s="1186"/>
      <c r="AH275" s="1186"/>
      <c r="AI275" s="1529">
        <f t="shared" si="11"/>
        <v>0</v>
      </c>
      <c r="AJ275" s="1466"/>
    </row>
    <row r="276" spans="1:36" s="1232" customFormat="1" ht="16.149999999999999" customHeight="1" outlineLevel="1">
      <c r="A276" s="1182">
        <v>52</v>
      </c>
      <c r="B276" s="1635" t="str">
        <f>VLOOKUP(C276,'DS CN MOI UP'!$B$10:$C$347,2,0)</f>
        <v>03372</v>
      </c>
      <c r="C276" s="1530" t="s">
        <v>175</v>
      </c>
      <c r="D276" s="1186"/>
      <c r="E276" s="1186"/>
      <c r="F276" s="1186"/>
      <c r="G276" s="1186"/>
      <c r="H276" s="1186"/>
      <c r="I276" s="1186"/>
      <c r="J276" s="1186"/>
      <c r="K276" s="1186"/>
      <c r="L276" s="1186"/>
      <c r="M276" s="1186"/>
      <c r="N276" s="1186"/>
      <c r="O276" s="1186"/>
      <c r="P276" s="1186"/>
      <c r="Q276" s="1186"/>
      <c r="R276" s="1186"/>
      <c r="S276" s="1186"/>
      <c r="T276" s="1186"/>
      <c r="U276" s="1186"/>
      <c r="V276" s="1186"/>
      <c r="W276" s="1186"/>
      <c r="X276" s="1186"/>
      <c r="Y276" s="1186"/>
      <c r="Z276" s="1186"/>
      <c r="AA276" s="1186"/>
      <c r="AB276" s="1186"/>
      <c r="AC276" s="1186"/>
      <c r="AD276" s="1182"/>
      <c r="AE276" s="1186"/>
      <c r="AF276" s="1186"/>
      <c r="AG276" s="1186"/>
      <c r="AH276" s="1186"/>
      <c r="AI276" s="1529">
        <f t="shared" si="11"/>
        <v>0</v>
      </c>
      <c r="AJ276" s="1466"/>
    </row>
    <row r="277" spans="1:36" s="1232" customFormat="1" ht="16.149999999999999" customHeight="1" outlineLevel="1">
      <c r="A277" s="1182">
        <v>53</v>
      </c>
      <c r="B277" s="1635" t="str">
        <f>VLOOKUP(C277,'DS CN MOI UP'!$B$10:$C$347,2,0)</f>
        <v>03365</v>
      </c>
      <c r="C277" s="1530" t="s">
        <v>176</v>
      </c>
      <c r="D277" s="1186"/>
      <c r="E277" s="1186"/>
      <c r="F277" s="1186"/>
      <c r="G277" s="1186"/>
      <c r="H277" s="1186"/>
      <c r="I277" s="1186"/>
      <c r="J277" s="1186"/>
      <c r="K277" s="1186"/>
      <c r="L277" s="1186"/>
      <c r="M277" s="1186"/>
      <c r="N277" s="1186"/>
      <c r="O277" s="1186"/>
      <c r="P277" s="1186"/>
      <c r="Q277" s="1186"/>
      <c r="R277" s="1186"/>
      <c r="S277" s="1186"/>
      <c r="T277" s="1186"/>
      <c r="U277" s="1186"/>
      <c r="V277" s="1186"/>
      <c r="W277" s="1186"/>
      <c r="X277" s="1186"/>
      <c r="Y277" s="1186"/>
      <c r="Z277" s="1186"/>
      <c r="AA277" s="1186"/>
      <c r="AB277" s="1186"/>
      <c r="AC277" s="1186"/>
      <c r="AD277" s="1186"/>
      <c r="AE277" s="1186"/>
      <c r="AF277" s="1186"/>
      <c r="AG277" s="1186"/>
      <c r="AH277" s="1186"/>
      <c r="AI277" s="1529">
        <f t="shared" si="11"/>
        <v>0</v>
      </c>
      <c r="AJ277" s="1466"/>
    </row>
    <row r="278" spans="1:36" s="1232" customFormat="1" ht="16.149999999999999" customHeight="1" outlineLevel="1">
      <c r="A278" s="1182">
        <v>54</v>
      </c>
      <c r="B278" s="1635" t="str">
        <f>VLOOKUP(C278,'DS CN MOI UP'!$B$10:$C$347,2,0)</f>
        <v>03373</v>
      </c>
      <c r="C278" s="1530" t="s">
        <v>177</v>
      </c>
      <c r="D278" s="1186"/>
      <c r="E278" s="1186"/>
      <c r="F278" s="1186"/>
      <c r="G278" s="1186"/>
      <c r="H278" s="1186"/>
      <c r="I278" s="1186"/>
      <c r="J278" s="1186"/>
      <c r="K278" s="1186"/>
      <c r="L278" s="1186"/>
      <c r="M278" s="1186"/>
      <c r="N278" s="1186"/>
      <c r="O278" s="1186"/>
      <c r="P278" s="1186"/>
      <c r="Q278" s="1186"/>
      <c r="R278" s="1186"/>
      <c r="S278" s="1186"/>
      <c r="T278" s="1186"/>
      <c r="U278" s="1186"/>
      <c r="V278" s="1186"/>
      <c r="W278" s="1186"/>
      <c r="X278" s="1186"/>
      <c r="Y278" s="1186"/>
      <c r="Z278" s="1186"/>
      <c r="AA278" s="1186"/>
      <c r="AB278" s="1186"/>
      <c r="AC278" s="1186"/>
      <c r="AD278" s="1182"/>
      <c r="AE278" s="1186"/>
      <c r="AF278" s="1186"/>
      <c r="AG278" s="1186"/>
      <c r="AH278" s="1186"/>
      <c r="AI278" s="1529">
        <f t="shared" si="11"/>
        <v>0</v>
      </c>
      <c r="AJ278" s="1466"/>
    </row>
    <row r="279" spans="1:36" s="1232" customFormat="1" ht="16.149999999999999" customHeight="1" outlineLevel="1">
      <c r="A279" s="1182">
        <v>55</v>
      </c>
      <c r="B279" s="1635" t="str">
        <f>VLOOKUP(C279,'DS CN MOI UP'!$B$10:$C$347,2,0)</f>
        <v>03374</v>
      </c>
      <c r="C279" s="1530" t="s">
        <v>178</v>
      </c>
      <c r="D279" s="1186"/>
      <c r="E279" s="1186"/>
      <c r="F279" s="1186"/>
      <c r="G279" s="1186"/>
      <c r="H279" s="1186"/>
      <c r="I279" s="1186"/>
      <c r="J279" s="1186"/>
      <c r="K279" s="1186"/>
      <c r="L279" s="1186"/>
      <c r="M279" s="1186"/>
      <c r="N279" s="1186"/>
      <c r="O279" s="1186"/>
      <c r="P279" s="1186"/>
      <c r="Q279" s="1186"/>
      <c r="R279" s="1186"/>
      <c r="S279" s="1186"/>
      <c r="T279" s="1186"/>
      <c r="U279" s="1186"/>
      <c r="V279" s="1186"/>
      <c r="W279" s="1186"/>
      <c r="X279" s="1186"/>
      <c r="Y279" s="1186"/>
      <c r="Z279" s="1186"/>
      <c r="AA279" s="1186"/>
      <c r="AB279" s="1186"/>
      <c r="AC279" s="1186"/>
      <c r="AD279" s="1186"/>
      <c r="AE279" s="1182"/>
      <c r="AF279" s="1186"/>
      <c r="AG279" s="1186"/>
      <c r="AH279" s="1186"/>
      <c r="AI279" s="1529">
        <f t="shared" si="11"/>
        <v>0</v>
      </c>
      <c r="AJ279" s="1466"/>
    </row>
    <row r="280" spans="1:36" s="1232" customFormat="1" ht="16.149999999999999" customHeight="1" outlineLevel="1">
      <c r="A280" s="1182">
        <v>56</v>
      </c>
      <c r="B280" s="1635" t="str">
        <f>VLOOKUP(C280,'DS CN MOI UP'!$B$10:$C$347,2,0)</f>
        <v>02557</v>
      </c>
      <c r="C280" s="1530" t="s">
        <v>179</v>
      </c>
      <c r="D280" s="1186"/>
      <c r="E280" s="1186"/>
      <c r="F280" s="1186"/>
      <c r="G280" s="1186"/>
      <c r="H280" s="1186"/>
      <c r="I280" s="1186"/>
      <c r="J280" s="1186"/>
      <c r="K280" s="1186"/>
      <c r="L280" s="1186"/>
      <c r="M280" s="1186"/>
      <c r="N280" s="1186"/>
      <c r="O280" s="1186"/>
      <c r="P280" s="1186"/>
      <c r="Q280" s="1186"/>
      <c r="R280" s="1186"/>
      <c r="S280" s="1186"/>
      <c r="T280" s="1186"/>
      <c r="U280" s="1186"/>
      <c r="V280" s="1186"/>
      <c r="W280" s="1186"/>
      <c r="X280" s="1186"/>
      <c r="Y280" s="1186"/>
      <c r="Z280" s="1186"/>
      <c r="AA280" s="1186"/>
      <c r="AB280" s="1186"/>
      <c r="AC280" s="1186"/>
      <c r="AD280" s="1186"/>
      <c r="AE280" s="1186"/>
      <c r="AF280" s="1186"/>
      <c r="AG280" s="1186"/>
      <c r="AH280" s="1186"/>
      <c r="AI280" s="1529">
        <f t="shared" si="11"/>
        <v>0</v>
      </c>
      <c r="AJ280" s="1466"/>
    </row>
    <row r="281" spans="1:36" s="1232" customFormat="1" ht="16.149999999999999" customHeight="1" outlineLevel="1">
      <c r="A281" s="1182">
        <v>57</v>
      </c>
      <c r="B281" s="1635" t="str">
        <f>VLOOKUP(C281,'DS CN MOI UP'!$B$10:$C$347,2,0)</f>
        <v>02525</v>
      </c>
      <c r="C281" s="1530" t="s">
        <v>180</v>
      </c>
      <c r="D281" s="1186"/>
      <c r="E281" s="1186"/>
      <c r="F281" s="1186"/>
      <c r="G281" s="1186"/>
      <c r="H281" s="1186"/>
      <c r="I281" s="1186"/>
      <c r="J281" s="1186"/>
      <c r="K281" s="1186"/>
      <c r="L281" s="1186"/>
      <c r="M281" s="1186"/>
      <c r="N281" s="1186"/>
      <c r="O281" s="1186"/>
      <c r="P281" s="1186"/>
      <c r="Q281" s="1186"/>
      <c r="R281" s="1186"/>
      <c r="S281" s="1186"/>
      <c r="T281" s="1186"/>
      <c r="U281" s="1186"/>
      <c r="V281" s="1186"/>
      <c r="W281" s="1186"/>
      <c r="X281" s="1186"/>
      <c r="Y281" s="1186"/>
      <c r="Z281" s="1186"/>
      <c r="AA281" s="1186"/>
      <c r="AB281" s="1186"/>
      <c r="AC281" s="1186"/>
      <c r="AD281" s="1182"/>
      <c r="AE281" s="1182"/>
      <c r="AF281" s="1186"/>
      <c r="AG281" s="1186"/>
      <c r="AH281" s="1186"/>
      <c r="AI281" s="1529">
        <f t="shared" si="11"/>
        <v>0</v>
      </c>
      <c r="AJ281" s="1466"/>
    </row>
    <row r="282" spans="1:36" s="1232" customFormat="1" ht="16.149999999999999" customHeight="1" outlineLevel="1">
      <c r="A282" s="1182">
        <v>58</v>
      </c>
      <c r="B282" s="1635" t="str">
        <f>VLOOKUP(C282,'DS CN MOI UP'!$B$10:$C$347,2,0)</f>
        <v>03375</v>
      </c>
      <c r="C282" s="1530" t="s">
        <v>181</v>
      </c>
      <c r="D282" s="1186"/>
      <c r="E282" s="1186"/>
      <c r="F282" s="1186"/>
      <c r="G282" s="1186"/>
      <c r="H282" s="1186"/>
      <c r="I282" s="1186"/>
      <c r="J282" s="1186"/>
      <c r="K282" s="1186"/>
      <c r="L282" s="1186"/>
      <c r="M282" s="1186"/>
      <c r="N282" s="1186"/>
      <c r="O282" s="1186"/>
      <c r="P282" s="1186"/>
      <c r="Q282" s="1186"/>
      <c r="R282" s="1186"/>
      <c r="S282" s="1186"/>
      <c r="T282" s="1186"/>
      <c r="U282" s="1186"/>
      <c r="V282" s="1186"/>
      <c r="W282" s="1186"/>
      <c r="X282" s="1186"/>
      <c r="Y282" s="1186"/>
      <c r="Z282" s="1186"/>
      <c r="AA282" s="1186"/>
      <c r="AB282" s="1186"/>
      <c r="AC282" s="1186"/>
      <c r="AD282" s="1186"/>
      <c r="AE282" s="1182"/>
      <c r="AF282" s="1186"/>
      <c r="AG282" s="1186"/>
      <c r="AH282" s="1186"/>
      <c r="AI282" s="1529">
        <f t="shared" si="11"/>
        <v>0</v>
      </c>
      <c r="AJ282" s="1466"/>
    </row>
    <row r="283" spans="1:36" s="1232" customFormat="1" ht="16.149999999999999" customHeight="1" outlineLevel="1">
      <c r="A283" s="1182">
        <v>59</v>
      </c>
      <c r="B283" s="1635" t="str">
        <f>VLOOKUP(C283,'DS CN MOI UP'!$B$10:$C$347,2,0)</f>
        <v>02691</v>
      </c>
      <c r="C283" s="1530" t="s">
        <v>182</v>
      </c>
      <c r="D283" s="1186"/>
      <c r="E283" s="1186"/>
      <c r="F283" s="1186"/>
      <c r="G283" s="1186"/>
      <c r="H283" s="1186"/>
      <c r="I283" s="1186"/>
      <c r="J283" s="1186"/>
      <c r="K283" s="1186"/>
      <c r="L283" s="1186"/>
      <c r="M283" s="1186"/>
      <c r="N283" s="1186"/>
      <c r="O283" s="1186"/>
      <c r="P283" s="1186"/>
      <c r="Q283" s="1186"/>
      <c r="R283" s="1186"/>
      <c r="S283" s="1186"/>
      <c r="T283" s="1186"/>
      <c r="U283" s="1186"/>
      <c r="V283" s="1186"/>
      <c r="W283" s="1186"/>
      <c r="X283" s="1186"/>
      <c r="Y283" s="1186"/>
      <c r="Z283" s="1186"/>
      <c r="AA283" s="1186"/>
      <c r="AB283" s="1186"/>
      <c r="AC283" s="1186"/>
      <c r="AD283" s="1186"/>
      <c r="AE283" s="1182"/>
      <c r="AF283" s="1182"/>
      <c r="AG283" s="1186"/>
      <c r="AH283" s="1186"/>
      <c r="AI283" s="1529">
        <f t="shared" si="11"/>
        <v>0</v>
      </c>
      <c r="AJ283" s="1466"/>
    </row>
    <row r="284" spans="1:36" s="1232" customFormat="1" ht="16.149999999999999" customHeight="1" outlineLevel="1">
      <c r="A284" s="1182">
        <v>60</v>
      </c>
      <c r="B284" s="1635" t="str">
        <f>VLOOKUP(C284,'DS CN MOI UP'!$B$10:$C$347,2,0)</f>
        <v>03376</v>
      </c>
      <c r="C284" s="1530" t="s">
        <v>183</v>
      </c>
      <c r="D284" s="1186"/>
      <c r="E284" s="1186"/>
      <c r="F284" s="1186"/>
      <c r="G284" s="1186"/>
      <c r="H284" s="1186"/>
      <c r="I284" s="1186"/>
      <c r="J284" s="1186"/>
      <c r="K284" s="1186"/>
      <c r="L284" s="1186"/>
      <c r="M284" s="1186"/>
      <c r="N284" s="1186"/>
      <c r="O284" s="1186"/>
      <c r="P284" s="1186"/>
      <c r="Q284" s="1186"/>
      <c r="R284" s="1186"/>
      <c r="S284" s="1186"/>
      <c r="T284" s="1186"/>
      <c r="U284" s="1186"/>
      <c r="V284" s="1186"/>
      <c r="W284" s="1186"/>
      <c r="X284" s="1186"/>
      <c r="Y284" s="1186"/>
      <c r="Z284" s="1186"/>
      <c r="AA284" s="1186"/>
      <c r="AB284" s="1186"/>
      <c r="AC284" s="1186"/>
      <c r="AD284" s="1182"/>
      <c r="AE284" s="1186"/>
      <c r="AF284" s="1186"/>
      <c r="AG284" s="1186"/>
      <c r="AH284" s="1186"/>
      <c r="AI284" s="1529">
        <f t="shared" si="11"/>
        <v>0</v>
      </c>
      <c r="AJ284" s="1466"/>
    </row>
    <row r="285" spans="1:36" s="1232" customFormat="1" ht="16.149999999999999" customHeight="1" outlineLevel="1">
      <c r="A285" s="1182">
        <v>61</v>
      </c>
      <c r="B285" s="1635" t="str">
        <f>VLOOKUP(C285,'DS CN MOI UP'!$B$10:$C$347,2,0)</f>
        <v>03377</v>
      </c>
      <c r="C285" s="1530" t="s">
        <v>184</v>
      </c>
      <c r="D285" s="1186"/>
      <c r="E285" s="1186"/>
      <c r="F285" s="1186"/>
      <c r="G285" s="1186"/>
      <c r="H285" s="1186"/>
      <c r="I285" s="1186"/>
      <c r="J285" s="1186"/>
      <c r="K285" s="1186"/>
      <c r="L285" s="1186"/>
      <c r="M285" s="1186"/>
      <c r="N285" s="1186"/>
      <c r="O285" s="1186"/>
      <c r="P285" s="1186"/>
      <c r="Q285" s="1186"/>
      <c r="R285" s="1186"/>
      <c r="S285" s="1186"/>
      <c r="T285" s="1186"/>
      <c r="U285" s="1186"/>
      <c r="V285" s="1186"/>
      <c r="W285" s="1186"/>
      <c r="X285" s="1186"/>
      <c r="Y285" s="1186"/>
      <c r="Z285" s="1186"/>
      <c r="AA285" s="1186"/>
      <c r="AB285" s="1186"/>
      <c r="AC285" s="1186"/>
      <c r="AD285" s="1186"/>
      <c r="AE285" s="1186"/>
      <c r="AF285" s="1186"/>
      <c r="AG285" s="1186"/>
      <c r="AH285" s="1186"/>
      <c r="AI285" s="1529">
        <f t="shared" si="11"/>
        <v>0</v>
      </c>
      <c r="AJ285" s="1466"/>
    </row>
    <row r="286" spans="1:36" s="1232" customFormat="1" ht="16.149999999999999" customHeight="1" outlineLevel="1">
      <c r="A286" s="1182">
        <v>62</v>
      </c>
      <c r="B286" s="1635" t="str">
        <f>VLOOKUP(C286,'DS CN MOI UP'!$B$10:$C$347,2,0)</f>
        <v>02541</v>
      </c>
      <c r="C286" s="1530" t="s">
        <v>185</v>
      </c>
      <c r="D286" s="1186"/>
      <c r="E286" s="1186"/>
      <c r="F286" s="1186"/>
      <c r="G286" s="1186"/>
      <c r="H286" s="1186"/>
      <c r="I286" s="1186"/>
      <c r="J286" s="1186"/>
      <c r="K286" s="1186"/>
      <c r="L286" s="1186"/>
      <c r="M286" s="1186"/>
      <c r="N286" s="1186"/>
      <c r="O286" s="1186"/>
      <c r="P286" s="1186"/>
      <c r="Q286" s="1186"/>
      <c r="R286" s="1186"/>
      <c r="S286" s="1186"/>
      <c r="T286" s="1186"/>
      <c r="U286" s="1186"/>
      <c r="V286" s="1186"/>
      <c r="W286" s="1186"/>
      <c r="X286" s="1186"/>
      <c r="Y286" s="1186"/>
      <c r="Z286" s="1186"/>
      <c r="AA286" s="1186"/>
      <c r="AB286" s="1186"/>
      <c r="AC286" s="1186"/>
      <c r="AD286" s="1182"/>
      <c r="AE286" s="1186"/>
      <c r="AF286" s="1186"/>
      <c r="AG286" s="1186"/>
      <c r="AH286" s="1186"/>
      <c r="AI286" s="1529">
        <f t="shared" si="11"/>
        <v>0</v>
      </c>
      <c r="AJ286" s="1466"/>
    </row>
    <row r="287" spans="1:36" s="1232" customFormat="1" ht="16.149999999999999" customHeight="1" outlineLevel="1">
      <c r="A287" s="1182">
        <v>63</v>
      </c>
      <c r="B287" s="1635" t="str">
        <f>VLOOKUP(C287,'DS CN MOI UP'!$B$10:$C$347,2,0)</f>
        <v>02690</v>
      </c>
      <c r="C287" s="1530" t="s">
        <v>186</v>
      </c>
      <c r="D287" s="1186"/>
      <c r="E287" s="1186"/>
      <c r="F287" s="1186"/>
      <c r="G287" s="1186"/>
      <c r="H287" s="1186"/>
      <c r="I287" s="1186"/>
      <c r="J287" s="1186"/>
      <c r="K287" s="1186"/>
      <c r="L287" s="1186"/>
      <c r="M287" s="1186"/>
      <c r="N287" s="1186"/>
      <c r="O287" s="1186"/>
      <c r="P287" s="1186"/>
      <c r="Q287" s="1186"/>
      <c r="R287" s="1186"/>
      <c r="S287" s="1186"/>
      <c r="T287" s="1186"/>
      <c r="U287" s="1186"/>
      <c r="V287" s="1186"/>
      <c r="W287" s="1186"/>
      <c r="X287" s="1186"/>
      <c r="Y287" s="1186"/>
      <c r="Z287" s="1186"/>
      <c r="AA287" s="1186"/>
      <c r="AB287" s="1186"/>
      <c r="AC287" s="1186"/>
      <c r="AD287" s="1186"/>
      <c r="AE287" s="1186"/>
      <c r="AF287" s="1186"/>
      <c r="AG287" s="1186"/>
      <c r="AH287" s="1186"/>
      <c r="AI287" s="1529">
        <f t="shared" si="11"/>
        <v>0</v>
      </c>
      <c r="AJ287" s="1466"/>
    </row>
    <row r="288" spans="1:36" s="1232" customFormat="1" ht="16.149999999999999" customHeight="1" outlineLevel="1">
      <c r="A288" s="1182">
        <v>64</v>
      </c>
      <c r="B288" s="1635" t="str">
        <f>VLOOKUP(C288,'DS CN MOI UP'!$B$10:$C$347,2,0)</f>
        <v>03378</v>
      </c>
      <c r="C288" s="1530" t="s">
        <v>187</v>
      </c>
      <c r="D288" s="1186"/>
      <c r="E288" s="1186"/>
      <c r="F288" s="1186"/>
      <c r="G288" s="1186"/>
      <c r="H288" s="1186"/>
      <c r="I288" s="1186"/>
      <c r="J288" s="1186"/>
      <c r="K288" s="1186"/>
      <c r="L288" s="1186"/>
      <c r="M288" s="1186"/>
      <c r="N288" s="1186"/>
      <c r="O288" s="1186"/>
      <c r="P288" s="1186"/>
      <c r="Q288" s="1186"/>
      <c r="R288" s="1186"/>
      <c r="S288" s="1186"/>
      <c r="T288" s="1186"/>
      <c r="U288" s="1186"/>
      <c r="V288" s="1186"/>
      <c r="W288" s="1186"/>
      <c r="X288" s="1186"/>
      <c r="Y288" s="1186"/>
      <c r="Z288" s="1186"/>
      <c r="AA288" s="1186"/>
      <c r="AB288" s="1186"/>
      <c r="AC288" s="1186"/>
      <c r="AD288" s="1186"/>
      <c r="AE288" s="1182"/>
      <c r="AF288" s="1186"/>
      <c r="AG288" s="1186"/>
      <c r="AH288" s="1186"/>
      <c r="AI288" s="1529">
        <f t="shared" si="11"/>
        <v>0</v>
      </c>
      <c r="AJ288" s="1466"/>
    </row>
    <row r="289" spans="1:36" s="1232" customFormat="1" ht="16.149999999999999" customHeight="1" outlineLevel="1">
      <c r="A289" s="1182">
        <v>65</v>
      </c>
      <c r="B289" s="1635" t="str">
        <f>VLOOKUP(C289,'DS CN MOI UP'!$B$10:$C$347,2,0)</f>
        <v>02520</v>
      </c>
      <c r="C289" s="1530" t="s">
        <v>188</v>
      </c>
      <c r="D289" s="1186"/>
      <c r="E289" s="1186"/>
      <c r="F289" s="1186"/>
      <c r="G289" s="1186"/>
      <c r="H289" s="1186"/>
      <c r="I289" s="1186"/>
      <c r="J289" s="1186"/>
      <c r="K289" s="1186"/>
      <c r="L289" s="1186"/>
      <c r="M289" s="1186"/>
      <c r="N289" s="1186"/>
      <c r="O289" s="1186"/>
      <c r="P289" s="1186"/>
      <c r="Q289" s="1186"/>
      <c r="R289" s="1186"/>
      <c r="S289" s="1186"/>
      <c r="T289" s="1186"/>
      <c r="U289" s="1186"/>
      <c r="V289" s="1186"/>
      <c r="W289" s="1186"/>
      <c r="X289" s="1186"/>
      <c r="Y289" s="1186"/>
      <c r="Z289" s="1186"/>
      <c r="AA289" s="1186"/>
      <c r="AB289" s="1186"/>
      <c r="AC289" s="1186"/>
      <c r="AD289" s="1186"/>
      <c r="AE289" s="1186"/>
      <c r="AF289" s="1186"/>
      <c r="AG289" s="1186"/>
      <c r="AH289" s="1186"/>
      <c r="AI289" s="1529">
        <f t="shared" ref="AI289:AI308" si="12">COUNTIF(D289:AH289,"X")</f>
        <v>0</v>
      </c>
      <c r="AJ289" s="1466"/>
    </row>
    <row r="290" spans="1:36" s="1232" customFormat="1" ht="16.149999999999999" customHeight="1" outlineLevel="1">
      <c r="A290" s="1182">
        <v>66</v>
      </c>
      <c r="B290" s="1635" t="str">
        <f>VLOOKUP(C290,'DS CN MOI UP'!$B$10:$C$347,2,0)</f>
        <v>02543</v>
      </c>
      <c r="C290" s="1530" t="s">
        <v>189</v>
      </c>
      <c r="D290" s="1186"/>
      <c r="E290" s="1186"/>
      <c r="F290" s="1186"/>
      <c r="G290" s="1186"/>
      <c r="H290" s="1186"/>
      <c r="I290" s="1186"/>
      <c r="J290" s="1186"/>
      <c r="K290" s="1186"/>
      <c r="L290" s="1186"/>
      <c r="M290" s="1186"/>
      <c r="N290" s="1186"/>
      <c r="O290" s="1186"/>
      <c r="P290" s="1186"/>
      <c r="Q290" s="1186"/>
      <c r="R290" s="1186"/>
      <c r="S290" s="1186"/>
      <c r="T290" s="1186"/>
      <c r="U290" s="1186"/>
      <c r="V290" s="1186"/>
      <c r="W290" s="1186"/>
      <c r="X290" s="1186"/>
      <c r="Y290" s="1186"/>
      <c r="Z290" s="1186"/>
      <c r="AA290" s="1186"/>
      <c r="AB290" s="1186"/>
      <c r="AC290" s="1186"/>
      <c r="AD290" s="1186"/>
      <c r="AE290" s="1186"/>
      <c r="AF290" s="1186"/>
      <c r="AG290" s="1186"/>
      <c r="AH290" s="1186"/>
      <c r="AI290" s="1529">
        <f t="shared" si="12"/>
        <v>0</v>
      </c>
      <c r="AJ290" s="1466"/>
    </row>
    <row r="291" spans="1:36" s="1232" customFormat="1" ht="16.149999999999999" customHeight="1" outlineLevel="1">
      <c r="A291" s="1182">
        <v>67</v>
      </c>
      <c r="B291" s="1635" t="str">
        <f>VLOOKUP(C291,'DS CN MOI UP'!$B$10:$C$347,2,0)</f>
        <v>03379</v>
      </c>
      <c r="C291" s="1530" t="s">
        <v>190</v>
      </c>
      <c r="D291" s="1186"/>
      <c r="E291" s="1186"/>
      <c r="F291" s="1186"/>
      <c r="G291" s="1186"/>
      <c r="H291" s="1186"/>
      <c r="I291" s="1186"/>
      <c r="J291" s="1186"/>
      <c r="K291" s="1186"/>
      <c r="L291" s="1186"/>
      <c r="M291" s="1186"/>
      <c r="N291" s="1186"/>
      <c r="O291" s="1186"/>
      <c r="P291" s="1186"/>
      <c r="Q291" s="1186"/>
      <c r="R291" s="1186"/>
      <c r="S291" s="1186"/>
      <c r="T291" s="1186"/>
      <c r="U291" s="1186"/>
      <c r="V291" s="1186"/>
      <c r="W291" s="1186"/>
      <c r="X291" s="1186"/>
      <c r="Y291" s="1186"/>
      <c r="Z291" s="1186"/>
      <c r="AA291" s="1186"/>
      <c r="AB291" s="1186"/>
      <c r="AC291" s="1186"/>
      <c r="AD291" s="1186"/>
      <c r="AE291" s="1186"/>
      <c r="AF291" s="1186"/>
      <c r="AG291" s="1186"/>
      <c r="AH291" s="1186"/>
      <c r="AI291" s="1529">
        <f t="shared" si="12"/>
        <v>0</v>
      </c>
      <c r="AJ291" s="1466"/>
    </row>
    <row r="292" spans="1:36" s="1232" customFormat="1" ht="16.149999999999999" customHeight="1" outlineLevel="1">
      <c r="A292" s="1182">
        <v>68</v>
      </c>
      <c r="B292" s="1635" t="str">
        <f>VLOOKUP(C292,'DS CN MOI UP'!$B$10:$C$347,2,0)</f>
        <v>03354</v>
      </c>
      <c r="C292" s="1530" t="s">
        <v>191</v>
      </c>
      <c r="D292" s="1186"/>
      <c r="E292" s="1186"/>
      <c r="F292" s="1186"/>
      <c r="G292" s="1186"/>
      <c r="H292" s="1186"/>
      <c r="I292" s="1186"/>
      <c r="J292" s="1186"/>
      <c r="K292" s="1186"/>
      <c r="L292" s="1186"/>
      <c r="M292" s="1186"/>
      <c r="N292" s="1186"/>
      <c r="O292" s="1186"/>
      <c r="P292" s="1186"/>
      <c r="Q292" s="1186"/>
      <c r="R292" s="1186"/>
      <c r="S292" s="1186"/>
      <c r="T292" s="1186"/>
      <c r="U292" s="1186"/>
      <c r="V292" s="1186"/>
      <c r="W292" s="1186"/>
      <c r="X292" s="1186"/>
      <c r="Y292" s="1186"/>
      <c r="Z292" s="1186"/>
      <c r="AA292" s="1186"/>
      <c r="AB292" s="1186"/>
      <c r="AC292" s="1186"/>
      <c r="AD292" s="1186"/>
      <c r="AE292" s="1186"/>
      <c r="AF292" s="1186"/>
      <c r="AG292" s="1186"/>
      <c r="AH292" s="1186"/>
      <c r="AI292" s="1529">
        <f t="shared" si="12"/>
        <v>0</v>
      </c>
      <c r="AJ292" s="1466"/>
    </row>
    <row r="293" spans="1:36" s="1232" customFormat="1" ht="16.149999999999999" customHeight="1" outlineLevel="1">
      <c r="A293" s="1182">
        <v>69</v>
      </c>
      <c r="B293" s="1182" t="e">
        <f>VLOOKUP(C293,'DS CN MOI UP'!$B$10:$C$347,2,0)</f>
        <v>#N/A</v>
      </c>
      <c r="C293" s="1530" t="s">
        <v>192</v>
      </c>
      <c r="D293" s="1186"/>
      <c r="E293" s="1186"/>
      <c r="F293" s="1186"/>
      <c r="G293" s="1186"/>
      <c r="H293" s="1186"/>
      <c r="I293" s="1186"/>
      <c r="J293" s="1186"/>
      <c r="K293" s="1186"/>
      <c r="L293" s="1186"/>
      <c r="M293" s="1186"/>
      <c r="N293" s="1186"/>
      <c r="O293" s="1186"/>
      <c r="P293" s="1186"/>
      <c r="Q293" s="1186"/>
      <c r="R293" s="1186"/>
      <c r="S293" s="1186"/>
      <c r="T293" s="1186"/>
      <c r="U293" s="1186"/>
      <c r="V293" s="1186"/>
      <c r="W293" s="1186"/>
      <c r="X293" s="1186"/>
      <c r="Y293" s="1186"/>
      <c r="Z293" s="1186"/>
      <c r="AA293" s="1186"/>
      <c r="AB293" s="1186"/>
      <c r="AC293" s="1186"/>
      <c r="AD293" s="1186"/>
      <c r="AE293" s="1186"/>
      <c r="AF293" s="1186"/>
      <c r="AG293" s="1186"/>
      <c r="AH293" s="1186"/>
      <c r="AI293" s="1529">
        <f t="shared" si="12"/>
        <v>0</v>
      </c>
      <c r="AJ293" s="1466"/>
    </row>
    <row r="294" spans="1:36" s="1232" customFormat="1" ht="16.149999999999999" customHeight="1" outlineLevel="1">
      <c r="A294" s="1182">
        <v>70</v>
      </c>
      <c r="B294" s="1635" t="str">
        <f>VLOOKUP(C294,'DS CN MOI UP'!$B$10:$C$347,2,0)</f>
        <v>02529</v>
      </c>
      <c r="C294" s="1530" t="s">
        <v>193</v>
      </c>
      <c r="D294" s="1186"/>
      <c r="E294" s="1186"/>
      <c r="F294" s="1186"/>
      <c r="G294" s="1186"/>
      <c r="H294" s="1186"/>
      <c r="I294" s="1186"/>
      <c r="J294" s="1186"/>
      <c r="K294" s="1186"/>
      <c r="L294" s="1186"/>
      <c r="M294" s="1186"/>
      <c r="N294" s="1186"/>
      <c r="O294" s="1186"/>
      <c r="P294" s="1186"/>
      <c r="Q294" s="1186"/>
      <c r="R294" s="1186"/>
      <c r="S294" s="1186"/>
      <c r="T294" s="1186"/>
      <c r="U294" s="1186"/>
      <c r="V294" s="1186"/>
      <c r="W294" s="1186"/>
      <c r="X294" s="1186"/>
      <c r="Y294" s="1186"/>
      <c r="Z294" s="1186"/>
      <c r="AA294" s="1186"/>
      <c r="AB294" s="1186"/>
      <c r="AC294" s="1186"/>
      <c r="AD294" s="1186"/>
      <c r="AE294" s="1186"/>
      <c r="AF294" s="1186"/>
      <c r="AG294" s="1186"/>
      <c r="AH294" s="1186"/>
      <c r="AI294" s="1529">
        <f t="shared" si="12"/>
        <v>0</v>
      </c>
      <c r="AJ294" s="1466"/>
    </row>
    <row r="295" spans="1:36" s="1232" customFormat="1" ht="16.149999999999999" customHeight="1" outlineLevel="1">
      <c r="A295" s="1182">
        <v>71</v>
      </c>
      <c r="B295" s="1635" t="str">
        <f>VLOOKUP(C295,'DS CN MOI UP'!$B$10:$C$347,2,0)</f>
        <v>02531</v>
      </c>
      <c r="C295" s="1530" t="s">
        <v>194</v>
      </c>
      <c r="D295" s="1186"/>
      <c r="E295" s="1186"/>
      <c r="F295" s="1186"/>
      <c r="G295" s="1186"/>
      <c r="H295" s="1186"/>
      <c r="I295" s="1186"/>
      <c r="J295" s="1186"/>
      <c r="K295" s="1186"/>
      <c r="L295" s="1186"/>
      <c r="M295" s="1186"/>
      <c r="N295" s="1186"/>
      <c r="O295" s="1186"/>
      <c r="P295" s="1186"/>
      <c r="Q295" s="1186"/>
      <c r="R295" s="1186"/>
      <c r="S295" s="1186"/>
      <c r="T295" s="1186"/>
      <c r="U295" s="1186"/>
      <c r="V295" s="1186"/>
      <c r="W295" s="1186"/>
      <c r="X295" s="1186"/>
      <c r="Y295" s="1186"/>
      <c r="Z295" s="1186"/>
      <c r="AA295" s="1186"/>
      <c r="AB295" s="1186"/>
      <c r="AC295" s="1186"/>
      <c r="AD295" s="1186"/>
      <c r="AE295" s="1186"/>
      <c r="AF295" s="1186"/>
      <c r="AG295" s="1186"/>
      <c r="AH295" s="1186"/>
      <c r="AI295" s="1529">
        <f t="shared" si="12"/>
        <v>0</v>
      </c>
      <c r="AJ295" s="1466"/>
    </row>
    <row r="296" spans="1:36" s="1232" customFormat="1" ht="16.149999999999999" customHeight="1" outlineLevel="1">
      <c r="A296" s="1182">
        <v>72</v>
      </c>
      <c r="B296" s="1635" t="str">
        <f>VLOOKUP(C296,'DS CN MOI UP'!$B$10:$C$347,2,0)</f>
        <v>02539</v>
      </c>
      <c r="C296" s="1530" t="s">
        <v>195</v>
      </c>
      <c r="D296" s="1186"/>
      <c r="E296" s="1186"/>
      <c r="F296" s="1186"/>
      <c r="G296" s="1186"/>
      <c r="H296" s="1186"/>
      <c r="I296" s="1186"/>
      <c r="J296" s="1186"/>
      <c r="K296" s="1186"/>
      <c r="L296" s="1186"/>
      <c r="M296" s="1186"/>
      <c r="N296" s="1186"/>
      <c r="O296" s="1186"/>
      <c r="P296" s="1186"/>
      <c r="Q296" s="1186"/>
      <c r="R296" s="1186"/>
      <c r="S296" s="1186"/>
      <c r="T296" s="1186"/>
      <c r="U296" s="1186"/>
      <c r="V296" s="1186"/>
      <c r="W296" s="1186"/>
      <c r="X296" s="1186"/>
      <c r="Y296" s="1186"/>
      <c r="Z296" s="1186"/>
      <c r="AA296" s="1186"/>
      <c r="AB296" s="1186"/>
      <c r="AC296" s="1186"/>
      <c r="AD296" s="1186"/>
      <c r="AE296" s="1186"/>
      <c r="AF296" s="1186"/>
      <c r="AG296" s="1186"/>
      <c r="AH296" s="1186"/>
      <c r="AI296" s="1529">
        <f t="shared" si="12"/>
        <v>0</v>
      </c>
      <c r="AJ296" s="1466"/>
    </row>
    <row r="297" spans="1:36" s="1232" customFormat="1" ht="16.149999999999999" customHeight="1" outlineLevel="1">
      <c r="A297" s="1182">
        <v>73</v>
      </c>
      <c r="B297" s="1635" t="str">
        <f>VLOOKUP(C297,'DS CN MOI UP'!$B$10:$C$347,2,0)</f>
        <v>03380</v>
      </c>
      <c r="C297" s="1530" t="s">
        <v>196</v>
      </c>
      <c r="D297" s="1186"/>
      <c r="E297" s="1186"/>
      <c r="F297" s="1186"/>
      <c r="G297" s="1186"/>
      <c r="H297" s="1186"/>
      <c r="I297" s="1186"/>
      <c r="J297" s="1186"/>
      <c r="K297" s="1186"/>
      <c r="L297" s="1186"/>
      <c r="M297" s="1186"/>
      <c r="N297" s="1186"/>
      <c r="O297" s="1186"/>
      <c r="P297" s="1186"/>
      <c r="Q297" s="1186"/>
      <c r="R297" s="1186"/>
      <c r="S297" s="1186"/>
      <c r="T297" s="1186"/>
      <c r="U297" s="1186"/>
      <c r="V297" s="1186"/>
      <c r="W297" s="1186"/>
      <c r="X297" s="1186"/>
      <c r="Y297" s="1186"/>
      <c r="Z297" s="1186"/>
      <c r="AA297" s="1186"/>
      <c r="AB297" s="1186"/>
      <c r="AC297" s="1186"/>
      <c r="AD297" s="1182"/>
      <c r="AE297" s="1182"/>
      <c r="AF297" s="1186"/>
      <c r="AG297" s="1186"/>
      <c r="AH297" s="1186"/>
      <c r="AI297" s="1529">
        <f t="shared" si="12"/>
        <v>0</v>
      </c>
      <c r="AJ297" s="1466"/>
    </row>
    <row r="298" spans="1:36" s="1232" customFormat="1" ht="16.149999999999999" customHeight="1" outlineLevel="1">
      <c r="A298" s="1182">
        <v>74</v>
      </c>
      <c r="B298" s="1635" t="str">
        <f>VLOOKUP(C298,'DS CN MOI UP'!$B$10:$C$347,2,0)</f>
        <v>02561</v>
      </c>
      <c r="C298" s="1530" t="s">
        <v>197</v>
      </c>
      <c r="D298" s="1186"/>
      <c r="E298" s="1186"/>
      <c r="F298" s="1186"/>
      <c r="G298" s="1186"/>
      <c r="H298" s="1186"/>
      <c r="I298" s="1186"/>
      <c r="J298" s="1186"/>
      <c r="K298" s="1186"/>
      <c r="L298" s="1186"/>
      <c r="M298" s="1186"/>
      <c r="N298" s="1186"/>
      <c r="O298" s="1186"/>
      <c r="P298" s="1186"/>
      <c r="Q298" s="1186"/>
      <c r="R298" s="1186"/>
      <c r="S298" s="1186"/>
      <c r="T298" s="1186"/>
      <c r="U298" s="1186"/>
      <c r="V298" s="1186"/>
      <c r="W298" s="1186"/>
      <c r="X298" s="1186"/>
      <c r="Y298" s="1186"/>
      <c r="Z298" s="1186"/>
      <c r="AA298" s="1186"/>
      <c r="AB298" s="1186"/>
      <c r="AC298" s="1186"/>
      <c r="AD298" s="1186"/>
      <c r="AE298" s="1182"/>
      <c r="AF298" s="1186"/>
      <c r="AG298" s="1186"/>
      <c r="AH298" s="1186"/>
      <c r="AI298" s="1529">
        <f t="shared" si="12"/>
        <v>0</v>
      </c>
      <c r="AJ298" s="1466"/>
    </row>
    <row r="299" spans="1:36" s="1232" customFormat="1" ht="16.149999999999999" customHeight="1" outlineLevel="1">
      <c r="A299" s="1182">
        <v>75</v>
      </c>
      <c r="B299" s="1635" t="str">
        <f>VLOOKUP(C299,'DS CN MOI UP'!$B$10:$C$347,2,0)</f>
        <v>02533</v>
      </c>
      <c r="C299" s="1530" t="s">
        <v>198</v>
      </c>
      <c r="D299" s="1186"/>
      <c r="E299" s="1186"/>
      <c r="F299" s="1186"/>
      <c r="G299" s="1186"/>
      <c r="H299" s="1186"/>
      <c r="I299" s="1186"/>
      <c r="J299" s="1186"/>
      <c r="K299" s="1186"/>
      <c r="L299" s="1186"/>
      <c r="M299" s="1186"/>
      <c r="N299" s="1186"/>
      <c r="O299" s="1186"/>
      <c r="P299" s="1186"/>
      <c r="Q299" s="1186"/>
      <c r="R299" s="1186"/>
      <c r="S299" s="1186"/>
      <c r="T299" s="1186"/>
      <c r="U299" s="1186"/>
      <c r="V299" s="1186"/>
      <c r="W299" s="1186"/>
      <c r="X299" s="1186"/>
      <c r="Y299" s="1186"/>
      <c r="Z299" s="1186"/>
      <c r="AA299" s="1186"/>
      <c r="AB299" s="1186"/>
      <c r="AC299" s="1186"/>
      <c r="AD299" s="1186"/>
      <c r="AE299" s="1182"/>
      <c r="AF299" s="1186"/>
      <c r="AG299" s="1186"/>
      <c r="AH299" s="1186"/>
      <c r="AI299" s="1529">
        <f t="shared" si="12"/>
        <v>0</v>
      </c>
      <c r="AJ299" s="1466"/>
    </row>
    <row r="300" spans="1:36" s="1232" customFormat="1" ht="16.149999999999999" customHeight="1" outlineLevel="1">
      <c r="A300" s="1182">
        <v>76</v>
      </c>
      <c r="B300" s="1635" t="str">
        <f>VLOOKUP(C300,'DS CN MOI UP'!$B$10:$C$347,2,0)</f>
        <v>02547</v>
      </c>
      <c r="C300" s="1530" t="s">
        <v>199</v>
      </c>
      <c r="D300" s="1186"/>
      <c r="E300" s="1186"/>
      <c r="F300" s="1186"/>
      <c r="G300" s="1186"/>
      <c r="H300" s="1186"/>
      <c r="I300" s="1186"/>
      <c r="J300" s="1186"/>
      <c r="K300" s="1186"/>
      <c r="L300" s="1186"/>
      <c r="M300" s="1186"/>
      <c r="N300" s="1186"/>
      <c r="O300" s="1186"/>
      <c r="P300" s="1186"/>
      <c r="Q300" s="1186"/>
      <c r="R300" s="1186"/>
      <c r="S300" s="1186"/>
      <c r="T300" s="1186"/>
      <c r="U300" s="1186"/>
      <c r="V300" s="1186"/>
      <c r="W300" s="1186"/>
      <c r="X300" s="1186"/>
      <c r="Y300" s="1186"/>
      <c r="Z300" s="1186"/>
      <c r="AA300" s="1186"/>
      <c r="AB300" s="1186"/>
      <c r="AC300" s="1186"/>
      <c r="AD300" s="1186"/>
      <c r="AE300" s="1186"/>
      <c r="AF300" s="1186"/>
      <c r="AG300" s="1186"/>
      <c r="AH300" s="1186"/>
      <c r="AI300" s="1529">
        <f t="shared" si="12"/>
        <v>0</v>
      </c>
      <c r="AJ300" s="1466"/>
    </row>
    <row r="301" spans="1:36" s="1232" customFormat="1" ht="16.149999999999999" customHeight="1" outlineLevel="1">
      <c r="A301" s="1182">
        <v>77</v>
      </c>
      <c r="B301" s="1635" t="str">
        <f>VLOOKUP(C301,'DS CN MOI UP'!$B$10:$C$347,2,0)</f>
        <v>02550</v>
      </c>
      <c r="C301" s="1530" t="s">
        <v>200</v>
      </c>
      <c r="D301" s="1186"/>
      <c r="E301" s="1186"/>
      <c r="F301" s="1186"/>
      <c r="G301" s="1186"/>
      <c r="H301" s="1186"/>
      <c r="I301" s="1186"/>
      <c r="J301" s="1186"/>
      <c r="K301" s="1186"/>
      <c r="L301" s="1186"/>
      <c r="M301" s="1186"/>
      <c r="N301" s="1186"/>
      <c r="O301" s="1186"/>
      <c r="P301" s="1186"/>
      <c r="Q301" s="1186"/>
      <c r="R301" s="1186"/>
      <c r="S301" s="1186"/>
      <c r="T301" s="1186"/>
      <c r="U301" s="1186"/>
      <c r="V301" s="1186"/>
      <c r="W301" s="1186"/>
      <c r="X301" s="1186"/>
      <c r="Y301" s="1186"/>
      <c r="Z301" s="1186"/>
      <c r="AA301" s="1186"/>
      <c r="AB301" s="1186"/>
      <c r="AC301" s="1186"/>
      <c r="AD301" s="1186"/>
      <c r="AE301" s="1186"/>
      <c r="AF301" s="1186"/>
      <c r="AG301" s="1186"/>
      <c r="AH301" s="1186"/>
      <c r="AI301" s="1529">
        <f t="shared" si="12"/>
        <v>0</v>
      </c>
      <c r="AJ301" s="1466"/>
    </row>
    <row r="302" spans="1:36" s="1232" customFormat="1" ht="16.149999999999999" customHeight="1" outlineLevel="1">
      <c r="A302" s="1182">
        <v>78</v>
      </c>
      <c r="B302" s="1635" t="str">
        <f>VLOOKUP(C302,'DS CN MOI UP'!$B$10:$C$347,2,0)</f>
        <v>02566</v>
      </c>
      <c r="C302" s="1530" t="s">
        <v>201</v>
      </c>
      <c r="D302" s="1186"/>
      <c r="E302" s="1186"/>
      <c r="F302" s="1186"/>
      <c r="G302" s="1186"/>
      <c r="H302" s="1186"/>
      <c r="I302" s="1186"/>
      <c r="J302" s="1186"/>
      <c r="K302" s="1186"/>
      <c r="L302" s="1186"/>
      <c r="M302" s="1186"/>
      <c r="N302" s="1186"/>
      <c r="O302" s="1186"/>
      <c r="P302" s="1186"/>
      <c r="Q302" s="1186"/>
      <c r="R302" s="1186"/>
      <c r="S302" s="1186"/>
      <c r="T302" s="1186"/>
      <c r="U302" s="1186"/>
      <c r="V302" s="1186"/>
      <c r="W302" s="1186"/>
      <c r="X302" s="1186"/>
      <c r="Y302" s="1186"/>
      <c r="Z302" s="1186"/>
      <c r="AA302" s="1186"/>
      <c r="AB302" s="1186"/>
      <c r="AC302" s="1186"/>
      <c r="AD302" s="1186"/>
      <c r="AE302" s="1186"/>
      <c r="AF302" s="1186"/>
      <c r="AG302" s="1186"/>
      <c r="AH302" s="1186"/>
      <c r="AI302" s="1529">
        <f t="shared" si="12"/>
        <v>0</v>
      </c>
      <c r="AJ302" s="1466"/>
    </row>
    <row r="303" spans="1:36" s="1232" customFormat="1" ht="16.149999999999999" customHeight="1" outlineLevel="1">
      <c r="A303" s="1182">
        <v>79</v>
      </c>
      <c r="B303" s="1635" t="str">
        <f>VLOOKUP(C303,'DS CN MOI UP'!$B$10:$C$347,2,0)</f>
        <v>03381</v>
      </c>
      <c r="C303" s="1530" t="s">
        <v>202</v>
      </c>
      <c r="D303" s="1186"/>
      <c r="E303" s="1186"/>
      <c r="F303" s="1186"/>
      <c r="G303" s="1186"/>
      <c r="H303" s="1186"/>
      <c r="I303" s="1186"/>
      <c r="J303" s="1186"/>
      <c r="K303" s="1186"/>
      <c r="L303" s="1186"/>
      <c r="M303" s="1186"/>
      <c r="N303" s="1186"/>
      <c r="O303" s="1186"/>
      <c r="P303" s="1186"/>
      <c r="Q303" s="1186"/>
      <c r="R303" s="1186"/>
      <c r="S303" s="1186"/>
      <c r="T303" s="1186"/>
      <c r="U303" s="1186"/>
      <c r="V303" s="1186"/>
      <c r="W303" s="1186"/>
      <c r="X303" s="1186"/>
      <c r="Y303" s="1186"/>
      <c r="Z303" s="1186"/>
      <c r="AA303" s="1186"/>
      <c r="AB303" s="1186"/>
      <c r="AC303" s="1186"/>
      <c r="AD303" s="1186"/>
      <c r="AE303" s="1186"/>
      <c r="AF303" s="1186"/>
      <c r="AG303" s="1186"/>
      <c r="AH303" s="1186"/>
      <c r="AI303" s="1529">
        <f t="shared" si="12"/>
        <v>0</v>
      </c>
      <c r="AJ303" s="1466"/>
    </row>
    <row r="304" spans="1:36" s="1232" customFormat="1" ht="16.149999999999999" customHeight="1" outlineLevel="1">
      <c r="A304" s="1182">
        <v>80</v>
      </c>
      <c r="B304" s="1635" t="str">
        <f>VLOOKUP(C304,'DS CN MOI UP'!$B$10:$C$347,2,0)</f>
        <v>02689</v>
      </c>
      <c r="C304" s="1530" t="s">
        <v>203</v>
      </c>
      <c r="D304" s="1186"/>
      <c r="E304" s="1186"/>
      <c r="F304" s="1186"/>
      <c r="G304" s="1186"/>
      <c r="H304" s="1186"/>
      <c r="I304" s="1186"/>
      <c r="J304" s="1186"/>
      <c r="K304" s="1186"/>
      <c r="L304" s="1186"/>
      <c r="M304" s="1186"/>
      <c r="N304" s="1186"/>
      <c r="O304" s="1186"/>
      <c r="P304" s="1186"/>
      <c r="Q304" s="1186"/>
      <c r="R304" s="1186"/>
      <c r="S304" s="1186"/>
      <c r="T304" s="1186"/>
      <c r="U304" s="1186"/>
      <c r="V304" s="1186"/>
      <c r="W304" s="1186"/>
      <c r="X304" s="1186"/>
      <c r="Y304" s="1186"/>
      <c r="Z304" s="1186"/>
      <c r="AA304" s="1186"/>
      <c r="AB304" s="1186"/>
      <c r="AC304" s="1186"/>
      <c r="AD304" s="1186"/>
      <c r="AE304" s="1186"/>
      <c r="AF304" s="1186"/>
      <c r="AG304" s="1186"/>
      <c r="AH304" s="1186"/>
      <c r="AI304" s="1529">
        <f t="shared" si="12"/>
        <v>0</v>
      </c>
      <c r="AJ304" s="1466"/>
    </row>
    <row r="305" spans="1:37" s="1232" customFormat="1" ht="16.149999999999999" customHeight="1" outlineLevel="1">
      <c r="A305" s="1182">
        <v>81</v>
      </c>
      <c r="B305" s="1635" t="str">
        <f>VLOOKUP(C305,'DS CN MOI UP'!$B$10:$C$347,2,0)</f>
        <v>02546</v>
      </c>
      <c r="C305" s="1530" t="s">
        <v>204</v>
      </c>
      <c r="D305" s="1186"/>
      <c r="E305" s="1186"/>
      <c r="F305" s="1186"/>
      <c r="G305" s="1186"/>
      <c r="H305" s="1186"/>
      <c r="I305" s="1186"/>
      <c r="J305" s="1186"/>
      <c r="K305" s="1186"/>
      <c r="L305" s="1186"/>
      <c r="M305" s="1186"/>
      <c r="N305" s="1186"/>
      <c r="O305" s="1186"/>
      <c r="P305" s="1186"/>
      <c r="Q305" s="1186"/>
      <c r="R305" s="1186"/>
      <c r="S305" s="1186"/>
      <c r="T305" s="1186"/>
      <c r="U305" s="1186"/>
      <c r="V305" s="1186"/>
      <c r="W305" s="1186"/>
      <c r="X305" s="1186"/>
      <c r="Y305" s="1186"/>
      <c r="Z305" s="1186"/>
      <c r="AA305" s="1186"/>
      <c r="AB305" s="1186"/>
      <c r="AC305" s="1186"/>
      <c r="AD305" s="1186"/>
      <c r="AE305" s="1186"/>
      <c r="AF305" s="1186"/>
      <c r="AG305" s="1186"/>
      <c r="AH305" s="1186"/>
      <c r="AI305" s="1529">
        <f t="shared" si="12"/>
        <v>0</v>
      </c>
      <c r="AJ305" s="1466"/>
    </row>
    <row r="306" spans="1:37" s="1232" customFormat="1" ht="16.149999999999999" customHeight="1" outlineLevel="1">
      <c r="A306" s="1182">
        <v>82</v>
      </c>
      <c r="B306" s="1635" t="str">
        <f>VLOOKUP(C306,'DS CN MOI UP'!$B$10:$C$347,2,0)</f>
        <v>02559</v>
      </c>
      <c r="C306" s="1530" t="s">
        <v>205</v>
      </c>
      <c r="D306" s="1186"/>
      <c r="E306" s="1186"/>
      <c r="F306" s="1186"/>
      <c r="G306" s="1186"/>
      <c r="H306" s="1186"/>
      <c r="I306" s="1186"/>
      <c r="J306" s="1186"/>
      <c r="K306" s="1186"/>
      <c r="L306" s="1186"/>
      <c r="M306" s="1186"/>
      <c r="N306" s="1186"/>
      <c r="O306" s="1186"/>
      <c r="P306" s="1186"/>
      <c r="Q306" s="1186"/>
      <c r="R306" s="1186"/>
      <c r="S306" s="1186"/>
      <c r="T306" s="1186"/>
      <c r="U306" s="1186"/>
      <c r="V306" s="1186"/>
      <c r="W306" s="1186"/>
      <c r="X306" s="1186"/>
      <c r="Y306" s="1186"/>
      <c r="Z306" s="1186"/>
      <c r="AA306" s="1186"/>
      <c r="AB306" s="1186"/>
      <c r="AC306" s="1186"/>
      <c r="AD306" s="1186"/>
      <c r="AE306" s="1186"/>
      <c r="AF306" s="1186"/>
      <c r="AG306" s="1186"/>
      <c r="AH306" s="1186"/>
      <c r="AI306" s="1529">
        <f t="shared" si="12"/>
        <v>0</v>
      </c>
      <c r="AJ306" s="1466"/>
    </row>
    <row r="307" spans="1:37" s="1232" customFormat="1" ht="16.149999999999999" customHeight="1">
      <c r="A307" s="1182">
        <v>83</v>
      </c>
      <c r="B307" s="1182" t="e">
        <f>VLOOKUP(C307,'DS CN MOI UP'!$B$10:$C$347,2,0)</f>
        <v>#N/A</v>
      </c>
      <c r="C307" s="1530" t="s">
        <v>505</v>
      </c>
      <c r="D307" s="1186"/>
      <c r="E307" s="1186"/>
      <c r="F307" s="1186"/>
      <c r="G307" s="1186"/>
      <c r="H307" s="1186"/>
      <c r="I307" s="1186"/>
      <c r="J307" s="1186"/>
      <c r="K307" s="1186"/>
      <c r="L307" s="1186"/>
      <c r="M307" s="1186"/>
      <c r="N307" s="1186"/>
      <c r="O307" s="1186"/>
      <c r="P307" s="1186"/>
      <c r="Q307" s="1186"/>
      <c r="R307" s="1186"/>
      <c r="S307" s="1186"/>
      <c r="T307" s="1186"/>
      <c r="U307" s="1186"/>
      <c r="V307" s="1186"/>
      <c r="W307" s="1186"/>
      <c r="X307" s="1186"/>
      <c r="Y307" s="1186"/>
      <c r="Z307" s="1186"/>
      <c r="AA307" s="1186"/>
      <c r="AB307" s="1186"/>
      <c r="AC307" s="1186"/>
      <c r="AD307" s="1186"/>
      <c r="AE307" s="1186"/>
      <c r="AF307" s="1186"/>
      <c r="AG307" s="1186"/>
      <c r="AH307" s="1186"/>
      <c r="AI307" s="1529">
        <f t="shared" si="12"/>
        <v>0</v>
      </c>
      <c r="AJ307" s="1466"/>
    </row>
    <row r="308" spans="1:37" s="156" customFormat="1" ht="16.149999999999999" customHeight="1" outlineLevel="1">
      <c r="A308" s="1182">
        <v>84</v>
      </c>
      <c r="B308" s="1182" t="e">
        <f>VLOOKUP(C308,'DS CN MOI UP'!$B$10:$C$347,2,0)</f>
        <v>#N/A</v>
      </c>
      <c r="C308" s="1530" t="s">
        <v>506</v>
      </c>
      <c r="D308" s="1186"/>
      <c r="E308" s="1186"/>
      <c r="F308" s="1186"/>
      <c r="G308" s="1186"/>
      <c r="H308" s="1186"/>
      <c r="I308" s="1186"/>
      <c r="J308" s="1186"/>
      <c r="K308" s="1186"/>
      <c r="L308" s="1186"/>
      <c r="M308" s="1186"/>
      <c r="N308" s="1186"/>
      <c r="O308" s="1186"/>
      <c r="P308" s="1186"/>
      <c r="Q308" s="1186"/>
      <c r="R308" s="1186"/>
      <c r="S308" s="1186"/>
      <c r="T308" s="1186"/>
      <c r="U308" s="1186"/>
      <c r="V308" s="1186"/>
      <c r="W308" s="1186"/>
      <c r="X308" s="1186"/>
      <c r="Y308" s="1186"/>
      <c r="Z308" s="1186"/>
      <c r="AA308" s="1186"/>
      <c r="AB308" s="1186"/>
      <c r="AC308" s="1186"/>
      <c r="AD308" s="1186"/>
      <c r="AE308" s="1186"/>
      <c r="AF308" s="1186"/>
      <c r="AG308" s="1186"/>
      <c r="AH308" s="1186"/>
      <c r="AI308" s="1529">
        <f t="shared" si="12"/>
        <v>0</v>
      </c>
      <c r="AJ308" s="1466"/>
    </row>
    <row r="309" spans="1:37" s="156" customFormat="1" ht="16.149999999999999" customHeight="1" outlineLevel="1">
      <c r="A309" s="1183" t="s">
        <v>522</v>
      </c>
      <c r="B309" s="1182" t="e">
        <f>VLOOKUP(C309,'DS CN MOI UP'!$B$10:$C$347,2,0)</f>
        <v>#N/A</v>
      </c>
      <c r="C309" s="1183"/>
      <c r="D309" s="1184">
        <f t="shared" ref="D309:AH309" si="13">COUNTIF(D310:D381,"X")+COUNTIF(D310:D381,"CN")</f>
        <v>0</v>
      </c>
      <c r="E309" s="1184">
        <f t="shared" si="13"/>
        <v>0</v>
      </c>
      <c r="F309" s="1184">
        <f t="shared" si="13"/>
        <v>0</v>
      </c>
      <c r="G309" s="1184">
        <f t="shared" si="13"/>
        <v>0</v>
      </c>
      <c r="H309" s="1184">
        <f t="shared" si="13"/>
        <v>0</v>
      </c>
      <c r="I309" s="1184">
        <f t="shared" si="13"/>
        <v>0</v>
      </c>
      <c r="J309" s="1184">
        <f t="shared" si="13"/>
        <v>0</v>
      </c>
      <c r="K309" s="1184">
        <f t="shared" si="13"/>
        <v>0</v>
      </c>
      <c r="L309" s="1184">
        <f t="shared" si="13"/>
        <v>0</v>
      </c>
      <c r="M309" s="1184">
        <f t="shared" si="13"/>
        <v>0</v>
      </c>
      <c r="N309" s="1184">
        <f t="shared" si="13"/>
        <v>0</v>
      </c>
      <c r="O309" s="1184">
        <f t="shared" si="13"/>
        <v>0</v>
      </c>
      <c r="P309" s="1184">
        <f t="shared" si="13"/>
        <v>0</v>
      </c>
      <c r="Q309" s="1184">
        <f t="shared" si="13"/>
        <v>0</v>
      </c>
      <c r="R309" s="1184">
        <f t="shared" si="13"/>
        <v>0</v>
      </c>
      <c r="S309" s="1184">
        <f t="shared" si="13"/>
        <v>0</v>
      </c>
      <c r="T309" s="1184">
        <f t="shared" si="13"/>
        <v>0</v>
      </c>
      <c r="U309" s="1184">
        <f t="shared" si="13"/>
        <v>0</v>
      </c>
      <c r="V309" s="1184">
        <f t="shared" si="13"/>
        <v>0</v>
      </c>
      <c r="W309" s="1184">
        <f t="shared" si="13"/>
        <v>0</v>
      </c>
      <c r="X309" s="1184">
        <f t="shared" si="13"/>
        <v>0</v>
      </c>
      <c r="Y309" s="1184">
        <f t="shared" si="13"/>
        <v>0</v>
      </c>
      <c r="Z309" s="1184">
        <f t="shared" si="13"/>
        <v>0</v>
      </c>
      <c r="AA309" s="1184">
        <f t="shared" si="13"/>
        <v>0</v>
      </c>
      <c r="AB309" s="1184">
        <f t="shared" si="13"/>
        <v>0</v>
      </c>
      <c r="AC309" s="1184">
        <f t="shared" si="13"/>
        <v>0</v>
      </c>
      <c r="AD309" s="1184">
        <f t="shared" si="13"/>
        <v>0</v>
      </c>
      <c r="AE309" s="1184">
        <f t="shared" si="13"/>
        <v>0</v>
      </c>
      <c r="AF309" s="1184">
        <f t="shared" si="13"/>
        <v>0</v>
      </c>
      <c r="AG309" s="1184">
        <f t="shared" si="13"/>
        <v>0</v>
      </c>
      <c r="AH309" s="1184">
        <f t="shared" si="13"/>
        <v>0</v>
      </c>
      <c r="AI309" s="1204">
        <f>SUM(AI310:AI381)</f>
        <v>0</v>
      </c>
      <c r="AJ309" s="1204"/>
      <c r="AK309" s="615"/>
    </row>
    <row r="310" spans="1:37" s="156" customFormat="1" ht="16.149999999999999" customHeight="1" outlineLevel="1">
      <c r="A310" s="1182">
        <v>1</v>
      </c>
      <c r="B310" s="1635" t="str">
        <f>VLOOKUP(C310,'DS CN MOI UP'!$B$10:$C$347,2,0)</f>
        <v>02615</v>
      </c>
      <c r="C310" s="1185" t="s">
        <v>206</v>
      </c>
      <c r="D310" s="868"/>
      <c r="E310" s="868"/>
      <c r="F310" s="868"/>
      <c r="G310" s="868"/>
      <c r="H310" s="868"/>
      <c r="I310" s="868"/>
      <c r="J310" s="868"/>
      <c r="K310" s="868"/>
      <c r="L310" s="868"/>
      <c r="M310" s="1186"/>
      <c r="N310" s="1186"/>
      <c r="O310" s="1186"/>
      <c r="P310" s="1186"/>
      <c r="Q310" s="1186"/>
      <c r="R310" s="1186"/>
      <c r="S310" s="1186"/>
      <c r="T310" s="1186"/>
      <c r="U310" s="1186"/>
      <c r="V310" s="1186"/>
      <c r="W310" s="1186"/>
      <c r="X310" s="1186"/>
      <c r="Y310" s="1186"/>
      <c r="Z310" s="1186"/>
      <c r="AA310" s="1186"/>
      <c r="AB310" s="1186"/>
      <c r="AC310" s="1186"/>
      <c r="AD310" s="1186"/>
      <c r="AE310" s="1186"/>
      <c r="AF310" s="1186"/>
      <c r="AG310" s="1186"/>
      <c r="AH310" s="1186"/>
      <c r="AI310" s="1529">
        <f t="shared" ref="AI310:AI373" si="14">COUNTIF(D310:AH310,"X")</f>
        <v>0</v>
      </c>
      <c r="AJ310" s="1466"/>
    </row>
    <row r="311" spans="1:37" s="156" customFormat="1" ht="16.149999999999999" customHeight="1" outlineLevel="1">
      <c r="A311" s="1182">
        <v>2</v>
      </c>
      <c r="B311" s="1635" t="str">
        <f>VLOOKUP(C311,'DS CN MOI UP'!$B$10:$C$347,2,0)</f>
        <v>02594</v>
      </c>
      <c r="C311" s="1185" t="s">
        <v>207</v>
      </c>
      <c r="D311" s="868"/>
      <c r="E311" s="868"/>
      <c r="F311" s="868"/>
      <c r="G311" s="868"/>
      <c r="H311" s="868"/>
      <c r="I311" s="868"/>
      <c r="J311" s="868"/>
      <c r="K311" s="868"/>
      <c r="L311" s="868"/>
      <c r="M311" s="1186"/>
      <c r="N311" s="1186"/>
      <c r="O311" s="1186"/>
      <c r="P311" s="1186"/>
      <c r="Q311" s="1186"/>
      <c r="R311" s="1186"/>
      <c r="S311" s="1186"/>
      <c r="T311" s="1186"/>
      <c r="U311" s="1186"/>
      <c r="V311" s="1186"/>
      <c r="W311" s="1186"/>
      <c r="X311" s="1186"/>
      <c r="Y311" s="1186"/>
      <c r="Z311" s="1186"/>
      <c r="AA311" s="1186"/>
      <c r="AB311" s="1186"/>
      <c r="AC311" s="1186"/>
      <c r="AD311" s="1182"/>
      <c r="AE311" s="1186"/>
      <c r="AF311" s="1186"/>
      <c r="AG311" s="1186"/>
      <c r="AH311" s="1186"/>
      <c r="AI311" s="1529">
        <f t="shared" si="14"/>
        <v>0</v>
      </c>
      <c r="AJ311" s="1466"/>
    </row>
    <row r="312" spans="1:37" s="156" customFormat="1" ht="16.149999999999999" customHeight="1" outlineLevel="1">
      <c r="A312" s="1182">
        <v>3</v>
      </c>
      <c r="B312" s="1635" t="str">
        <f>VLOOKUP(C312,'DS CN MOI UP'!$B$10:$C$347,2,0)</f>
        <v>02596</v>
      </c>
      <c r="C312" s="1185" t="s">
        <v>208</v>
      </c>
      <c r="D312" s="868"/>
      <c r="E312" s="868"/>
      <c r="F312" s="868"/>
      <c r="G312" s="868"/>
      <c r="H312" s="868"/>
      <c r="I312" s="868"/>
      <c r="J312" s="868"/>
      <c r="K312" s="868"/>
      <c r="L312" s="868"/>
      <c r="M312" s="1186"/>
      <c r="N312" s="1186"/>
      <c r="O312" s="1186"/>
      <c r="P312" s="1186"/>
      <c r="Q312" s="1186"/>
      <c r="R312" s="1186"/>
      <c r="S312" s="1186"/>
      <c r="T312" s="1186"/>
      <c r="U312" s="1186"/>
      <c r="V312" s="1186"/>
      <c r="W312" s="1186"/>
      <c r="X312" s="1186"/>
      <c r="Y312" s="1186"/>
      <c r="Z312" s="1186"/>
      <c r="AA312" s="1186"/>
      <c r="AB312" s="1186"/>
      <c r="AC312" s="1186"/>
      <c r="AD312" s="1186"/>
      <c r="AE312" s="1186"/>
      <c r="AF312" s="1186"/>
      <c r="AG312" s="1186"/>
      <c r="AH312" s="1186"/>
      <c r="AI312" s="1529">
        <f t="shared" si="14"/>
        <v>0</v>
      </c>
      <c r="AJ312" s="1466"/>
    </row>
    <row r="313" spans="1:37" s="156" customFormat="1" ht="16.149999999999999" customHeight="1" outlineLevel="1">
      <c r="A313" s="1182">
        <v>4</v>
      </c>
      <c r="B313" s="1635" t="str">
        <f>VLOOKUP(C313,'DS CN MOI UP'!$B$10:$C$347,2,0)</f>
        <v>02601</v>
      </c>
      <c r="C313" s="1185" t="s">
        <v>209</v>
      </c>
      <c r="D313" s="868"/>
      <c r="E313" s="868"/>
      <c r="F313" s="868"/>
      <c r="G313" s="868"/>
      <c r="H313" s="868"/>
      <c r="I313" s="868"/>
      <c r="J313" s="868"/>
      <c r="K313" s="868"/>
      <c r="L313" s="868"/>
      <c r="M313" s="1186"/>
      <c r="N313" s="1186"/>
      <c r="O313" s="1186"/>
      <c r="P313" s="1186"/>
      <c r="Q313" s="1186"/>
      <c r="R313" s="1186"/>
      <c r="S313" s="1186"/>
      <c r="T313" s="1186"/>
      <c r="U313" s="1186"/>
      <c r="V313" s="1186"/>
      <c r="W313" s="1186"/>
      <c r="X313" s="1186"/>
      <c r="Y313" s="1186"/>
      <c r="Z313" s="1186"/>
      <c r="AA313" s="1186"/>
      <c r="AB313" s="1186"/>
      <c r="AC313" s="1186"/>
      <c r="AD313" s="1186"/>
      <c r="AE313" s="1186"/>
      <c r="AF313" s="1186"/>
      <c r="AG313" s="1186"/>
      <c r="AH313" s="1186"/>
      <c r="AI313" s="1529">
        <f t="shared" si="14"/>
        <v>0</v>
      </c>
      <c r="AJ313" s="1466"/>
    </row>
    <row r="314" spans="1:37" s="156" customFormat="1" ht="16.149999999999999" customHeight="1" outlineLevel="1">
      <c r="A314" s="1182">
        <v>5</v>
      </c>
      <c r="B314" s="1635" t="str">
        <f>VLOOKUP(C314,'DS CN MOI UP'!$B$10:$C$347,2,0)</f>
        <v>02697</v>
      </c>
      <c r="C314" s="1185" t="s">
        <v>210</v>
      </c>
      <c r="D314" s="868"/>
      <c r="E314" s="868"/>
      <c r="F314" s="868"/>
      <c r="G314" s="868"/>
      <c r="H314" s="868"/>
      <c r="I314" s="868"/>
      <c r="J314" s="868"/>
      <c r="K314" s="868"/>
      <c r="L314" s="868"/>
      <c r="M314" s="1186"/>
      <c r="N314" s="1186"/>
      <c r="O314" s="1186"/>
      <c r="P314" s="1186"/>
      <c r="Q314" s="1186"/>
      <c r="R314" s="1186"/>
      <c r="S314" s="1186"/>
      <c r="T314" s="1186"/>
      <c r="U314" s="1186"/>
      <c r="V314" s="1186"/>
      <c r="W314" s="1186"/>
      <c r="X314" s="1186"/>
      <c r="Y314" s="1186"/>
      <c r="Z314" s="1186"/>
      <c r="AA314" s="1186"/>
      <c r="AB314" s="1186"/>
      <c r="AC314" s="1186"/>
      <c r="AD314" s="1186"/>
      <c r="AE314" s="1186"/>
      <c r="AF314" s="1186"/>
      <c r="AG314" s="1186"/>
      <c r="AH314" s="1186"/>
      <c r="AI314" s="1529">
        <f t="shared" si="14"/>
        <v>0</v>
      </c>
      <c r="AJ314" s="1466"/>
    </row>
    <row r="315" spans="1:37" s="156" customFormat="1" ht="16.149999999999999" customHeight="1" outlineLevel="1">
      <c r="A315" s="1182">
        <v>6</v>
      </c>
      <c r="B315" s="1635" t="str">
        <f>VLOOKUP(C315,'DS CN MOI UP'!$B$10:$C$347,2,0)</f>
        <v>02610</v>
      </c>
      <c r="C315" s="1185" t="s">
        <v>211</v>
      </c>
      <c r="D315" s="868"/>
      <c r="E315" s="868"/>
      <c r="F315" s="868"/>
      <c r="G315" s="868"/>
      <c r="H315" s="868"/>
      <c r="I315" s="868"/>
      <c r="J315" s="868"/>
      <c r="K315" s="868"/>
      <c r="L315" s="868"/>
      <c r="M315" s="1186"/>
      <c r="N315" s="1186"/>
      <c r="O315" s="1186"/>
      <c r="P315" s="1186"/>
      <c r="Q315" s="1186"/>
      <c r="R315" s="1186"/>
      <c r="S315" s="1186"/>
      <c r="T315" s="1186"/>
      <c r="U315" s="1186"/>
      <c r="V315" s="1186"/>
      <c r="W315" s="1186"/>
      <c r="X315" s="1186"/>
      <c r="Y315" s="1186"/>
      <c r="Z315" s="1186"/>
      <c r="AA315" s="1186"/>
      <c r="AB315" s="1186"/>
      <c r="AC315" s="1186"/>
      <c r="AD315" s="1186"/>
      <c r="AE315" s="1186"/>
      <c r="AF315" s="1186"/>
      <c r="AG315" s="1186"/>
      <c r="AH315" s="1186"/>
      <c r="AI315" s="1529">
        <f t="shared" si="14"/>
        <v>0</v>
      </c>
      <c r="AJ315" s="1466"/>
    </row>
    <row r="316" spans="1:37" s="156" customFormat="1" ht="16.149999999999999" customHeight="1" outlineLevel="1">
      <c r="A316" s="1182">
        <v>7</v>
      </c>
      <c r="B316" s="1635" t="str">
        <f>VLOOKUP(C316,'DS CN MOI UP'!$B$10:$C$347,2,0)</f>
        <v>02611</v>
      </c>
      <c r="C316" s="1185" t="s">
        <v>212</v>
      </c>
      <c r="D316" s="868"/>
      <c r="E316" s="868"/>
      <c r="F316" s="868"/>
      <c r="G316" s="868"/>
      <c r="H316" s="868"/>
      <c r="I316" s="868"/>
      <c r="J316" s="868"/>
      <c r="K316" s="868"/>
      <c r="L316" s="868"/>
      <c r="M316" s="1186"/>
      <c r="N316" s="1186"/>
      <c r="O316" s="1186"/>
      <c r="P316" s="1186"/>
      <c r="Q316" s="1186"/>
      <c r="R316" s="1186"/>
      <c r="S316" s="1186"/>
      <c r="T316" s="1186"/>
      <c r="U316" s="1186"/>
      <c r="V316" s="1186"/>
      <c r="W316" s="1186"/>
      <c r="X316" s="1186"/>
      <c r="Y316" s="1186"/>
      <c r="Z316" s="1186"/>
      <c r="AA316" s="1186"/>
      <c r="AB316" s="1186"/>
      <c r="AC316" s="1186"/>
      <c r="AD316" s="1186"/>
      <c r="AE316" s="1186"/>
      <c r="AF316" s="1186"/>
      <c r="AG316" s="1186"/>
      <c r="AH316" s="1186"/>
      <c r="AI316" s="1529">
        <f t="shared" si="14"/>
        <v>0</v>
      </c>
      <c r="AJ316" s="1466"/>
    </row>
    <row r="317" spans="1:37" s="156" customFormat="1" ht="16.149999999999999" customHeight="1" outlineLevel="1">
      <c r="A317" s="1182">
        <v>8</v>
      </c>
      <c r="B317" s="1635" t="str">
        <f>VLOOKUP(C317,'DS CN MOI UP'!$B$10:$C$347,2,0)</f>
        <v>02602</v>
      </c>
      <c r="C317" s="1185" t="s">
        <v>213</v>
      </c>
      <c r="D317" s="868"/>
      <c r="E317" s="868"/>
      <c r="F317" s="868"/>
      <c r="G317" s="868"/>
      <c r="H317" s="868"/>
      <c r="I317" s="868"/>
      <c r="J317" s="868"/>
      <c r="K317" s="868"/>
      <c r="L317" s="868"/>
      <c r="M317" s="1186"/>
      <c r="N317" s="1186"/>
      <c r="O317" s="1186"/>
      <c r="P317" s="1186"/>
      <c r="Q317" s="1186"/>
      <c r="R317" s="1186"/>
      <c r="S317" s="1186"/>
      <c r="T317" s="1186"/>
      <c r="U317" s="1186"/>
      <c r="V317" s="1186"/>
      <c r="W317" s="1186"/>
      <c r="X317" s="1186"/>
      <c r="Y317" s="1186"/>
      <c r="Z317" s="1186"/>
      <c r="AA317" s="1186"/>
      <c r="AB317" s="1186"/>
      <c r="AC317" s="1186"/>
      <c r="AD317" s="1186"/>
      <c r="AE317" s="1186"/>
      <c r="AF317" s="1186"/>
      <c r="AG317" s="1186"/>
      <c r="AH317" s="1186"/>
      <c r="AI317" s="1529">
        <f t="shared" si="14"/>
        <v>0</v>
      </c>
      <c r="AJ317" s="1466"/>
    </row>
    <row r="318" spans="1:37" s="156" customFormat="1" ht="16.149999999999999" customHeight="1" outlineLevel="1">
      <c r="A318" s="1182">
        <v>9</v>
      </c>
      <c r="B318" s="1635" t="str">
        <f>VLOOKUP(C318,'DS CN MOI UP'!$B$10:$C$347,2,0)</f>
        <v>02609</v>
      </c>
      <c r="C318" s="1185" t="s">
        <v>214</v>
      </c>
      <c r="D318" s="868"/>
      <c r="E318" s="868"/>
      <c r="F318" s="868"/>
      <c r="G318" s="868"/>
      <c r="H318" s="868"/>
      <c r="I318" s="868"/>
      <c r="J318" s="868"/>
      <c r="K318" s="868"/>
      <c r="L318" s="868"/>
      <c r="M318" s="1186"/>
      <c r="N318" s="1186"/>
      <c r="O318" s="1186"/>
      <c r="P318" s="1186"/>
      <c r="Q318" s="1186"/>
      <c r="R318" s="1186"/>
      <c r="S318" s="1186"/>
      <c r="T318" s="1186"/>
      <c r="U318" s="1186"/>
      <c r="V318" s="1186"/>
      <c r="W318" s="1186"/>
      <c r="X318" s="1186"/>
      <c r="Y318" s="1186"/>
      <c r="Z318" s="1186"/>
      <c r="AA318" s="1186"/>
      <c r="AB318" s="1186"/>
      <c r="AC318" s="1186"/>
      <c r="AD318" s="1186"/>
      <c r="AE318" s="1186"/>
      <c r="AF318" s="1186"/>
      <c r="AG318" s="1186"/>
      <c r="AH318" s="1186"/>
      <c r="AI318" s="1529">
        <f t="shared" si="14"/>
        <v>0</v>
      </c>
      <c r="AJ318" s="1466"/>
    </row>
    <row r="319" spans="1:37" s="156" customFormat="1" ht="16.149999999999999" customHeight="1" outlineLevel="1">
      <c r="A319" s="1182">
        <v>10</v>
      </c>
      <c r="B319" s="1635" t="str">
        <f>VLOOKUP(C319,'DS CN MOI UP'!$B$10:$C$347,2,0)</f>
        <v>02569</v>
      </c>
      <c r="C319" s="1185" t="s">
        <v>215</v>
      </c>
      <c r="D319" s="868"/>
      <c r="E319" s="868"/>
      <c r="F319" s="868"/>
      <c r="G319" s="868"/>
      <c r="H319" s="868"/>
      <c r="I319" s="868"/>
      <c r="J319" s="868"/>
      <c r="K319" s="868"/>
      <c r="L319" s="868"/>
      <c r="M319" s="1186"/>
      <c r="N319" s="1186"/>
      <c r="O319" s="1186"/>
      <c r="P319" s="1186"/>
      <c r="Q319" s="1186"/>
      <c r="R319" s="1186"/>
      <c r="S319" s="1186"/>
      <c r="T319" s="1186"/>
      <c r="U319" s="1186"/>
      <c r="V319" s="1186"/>
      <c r="W319" s="1186"/>
      <c r="X319" s="1186"/>
      <c r="Y319" s="1186"/>
      <c r="Z319" s="1186"/>
      <c r="AA319" s="1186"/>
      <c r="AB319" s="1186"/>
      <c r="AC319" s="1186"/>
      <c r="AD319" s="1186"/>
      <c r="AE319" s="1186"/>
      <c r="AF319" s="1186"/>
      <c r="AG319" s="1186"/>
      <c r="AH319" s="1186"/>
      <c r="AI319" s="1529">
        <f t="shared" si="14"/>
        <v>0</v>
      </c>
      <c r="AJ319" s="1466"/>
    </row>
    <row r="320" spans="1:37" s="156" customFormat="1" ht="16.149999999999999" customHeight="1" outlineLevel="1">
      <c r="A320" s="1182">
        <v>11</v>
      </c>
      <c r="B320" s="1635" t="str">
        <f>VLOOKUP(C320,'DS CN MOI UP'!$B$10:$C$347,2,0)</f>
        <v>02583</v>
      </c>
      <c r="C320" s="1185" t="s">
        <v>216</v>
      </c>
      <c r="D320" s="868"/>
      <c r="E320" s="868"/>
      <c r="F320" s="868"/>
      <c r="G320" s="868"/>
      <c r="H320" s="868"/>
      <c r="I320" s="868"/>
      <c r="J320" s="868"/>
      <c r="K320" s="868"/>
      <c r="L320" s="868"/>
      <c r="M320" s="1186"/>
      <c r="N320" s="1186"/>
      <c r="O320" s="1186"/>
      <c r="P320" s="1186"/>
      <c r="Q320" s="1186"/>
      <c r="R320" s="1186"/>
      <c r="S320" s="1186"/>
      <c r="T320" s="1186"/>
      <c r="U320" s="1186"/>
      <c r="V320" s="1186"/>
      <c r="W320" s="1186"/>
      <c r="X320" s="1186"/>
      <c r="Y320" s="1186"/>
      <c r="Z320" s="1186"/>
      <c r="AA320" s="1186"/>
      <c r="AB320" s="1186"/>
      <c r="AC320" s="1186"/>
      <c r="AD320" s="1186"/>
      <c r="AE320" s="1186"/>
      <c r="AF320" s="1186"/>
      <c r="AG320" s="1186"/>
      <c r="AH320" s="1186"/>
      <c r="AI320" s="1529">
        <f t="shared" si="14"/>
        <v>0</v>
      </c>
      <c r="AJ320" s="1466"/>
    </row>
    <row r="321" spans="1:36" s="156" customFormat="1" ht="16.149999999999999" customHeight="1" outlineLevel="1">
      <c r="A321" s="1182">
        <v>12</v>
      </c>
      <c r="B321" s="1635" t="str">
        <f>VLOOKUP(C321,'DS CN MOI UP'!$B$10:$C$347,2,0)</f>
        <v>02604</v>
      </c>
      <c r="C321" s="1185" t="s">
        <v>217</v>
      </c>
      <c r="D321" s="868"/>
      <c r="E321" s="868"/>
      <c r="F321" s="868"/>
      <c r="G321" s="868"/>
      <c r="H321" s="868"/>
      <c r="I321" s="868"/>
      <c r="J321" s="868"/>
      <c r="K321" s="868"/>
      <c r="L321" s="868"/>
      <c r="M321" s="1186"/>
      <c r="N321" s="1186"/>
      <c r="O321" s="1186"/>
      <c r="P321" s="1186"/>
      <c r="Q321" s="1186"/>
      <c r="R321" s="1186"/>
      <c r="S321" s="1186"/>
      <c r="T321" s="1186"/>
      <c r="U321" s="1186"/>
      <c r="V321" s="1186"/>
      <c r="W321" s="1186"/>
      <c r="X321" s="1186"/>
      <c r="Y321" s="1186"/>
      <c r="Z321" s="1186"/>
      <c r="AA321" s="1186"/>
      <c r="AB321" s="1186"/>
      <c r="AC321" s="1186"/>
      <c r="AD321" s="1186"/>
      <c r="AE321" s="1186"/>
      <c r="AF321" s="1186"/>
      <c r="AG321" s="1186"/>
      <c r="AH321" s="1186"/>
      <c r="AI321" s="1529">
        <f t="shared" si="14"/>
        <v>0</v>
      </c>
      <c r="AJ321" s="1466"/>
    </row>
    <row r="322" spans="1:36" s="156" customFormat="1" ht="16.149999999999999" customHeight="1" outlineLevel="1">
      <c r="A322" s="1182">
        <v>13</v>
      </c>
      <c r="B322" s="1635" t="str">
        <f>VLOOKUP(C322,'DS CN MOI UP'!$B$10:$C$347,2,0)</f>
        <v>02600</v>
      </c>
      <c r="C322" s="1185" t="s">
        <v>218</v>
      </c>
      <c r="D322" s="868"/>
      <c r="E322" s="868"/>
      <c r="F322" s="868"/>
      <c r="G322" s="868"/>
      <c r="H322" s="868"/>
      <c r="I322" s="868"/>
      <c r="J322" s="868"/>
      <c r="K322" s="868"/>
      <c r="L322" s="868"/>
      <c r="M322" s="1186"/>
      <c r="N322" s="1186"/>
      <c r="O322" s="1186"/>
      <c r="P322" s="1186"/>
      <c r="Q322" s="1186"/>
      <c r="R322" s="1186"/>
      <c r="S322" s="1186"/>
      <c r="T322" s="1186"/>
      <c r="U322" s="1186"/>
      <c r="V322" s="1186"/>
      <c r="W322" s="1186"/>
      <c r="X322" s="1186"/>
      <c r="Y322" s="1186"/>
      <c r="Z322" s="1186"/>
      <c r="AA322" s="1186"/>
      <c r="AB322" s="1186"/>
      <c r="AC322" s="1186"/>
      <c r="AD322" s="1186"/>
      <c r="AE322" s="1186"/>
      <c r="AF322" s="1186"/>
      <c r="AG322" s="1186"/>
      <c r="AH322" s="1186"/>
      <c r="AI322" s="1529">
        <f t="shared" si="14"/>
        <v>0</v>
      </c>
      <c r="AJ322" s="1466"/>
    </row>
    <row r="323" spans="1:36" s="156" customFormat="1" ht="16.149999999999999" customHeight="1" outlineLevel="1">
      <c r="A323" s="1182">
        <v>14</v>
      </c>
      <c r="B323" s="1635" t="str">
        <f>VLOOKUP(C323,'DS CN MOI UP'!$B$10:$C$347,2,0)</f>
        <v>03382</v>
      </c>
      <c r="C323" s="1185" t="s">
        <v>219</v>
      </c>
      <c r="D323" s="868"/>
      <c r="E323" s="868"/>
      <c r="F323" s="868"/>
      <c r="G323" s="868"/>
      <c r="H323" s="868"/>
      <c r="I323" s="868"/>
      <c r="J323" s="868"/>
      <c r="K323" s="868"/>
      <c r="L323" s="868"/>
      <c r="M323" s="1186"/>
      <c r="N323" s="1186"/>
      <c r="O323" s="1186"/>
      <c r="P323" s="1186"/>
      <c r="Q323" s="1186"/>
      <c r="R323" s="1186"/>
      <c r="S323" s="1186"/>
      <c r="T323" s="1186"/>
      <c r="U323" s="1186"/>
      <c r="V323" s="1186"/>
      <c r="W323" s="1186"/>
      <c r="X323" s="1186"/>
      <c r="Y323" s="1186"/>
      <c r="Z323" s="1186"/>
      <c r="AA323" s="1186"/>
      <c r="AB323" s="1186"/>
      <c r="AC323" s="1186"/>
      <c r="AD323" s="1186"/>
      <c r="AE323" s="1186"/>
      <c r="AF323" s="1186"/>
      <c r="AG323" s="1186"/>
      <c r="AH323" s="1186"/>
      <c r="AI323" s="1529">
        <f t="shared" si="14"/>
        <v>0</v>
      </c>
      <c r="AJ323" s="1466"/>
    </row>
    <row r="324" spans="1:36" s="156" customFormat="1" ht="16.149999999999999" customHeight="1" outlineLevel="1">
      <c r="A324" s="1182">
        <v>15</v>
      </c>
      <c r="B324" s="1635" t="str">
        <f>VLOOKUP(C324,'DS CN MOI UP'!$B$10:$C$347,2,0)</f>
        <v>02571</v>
      </c>
      <c r="C324" s="1185" t="s">
        <v>220</v>
      </c>
      <c r="D324" s="868"/>
      <c r="E324" s="868"/>
      <c r="F324" s="868"/>
      <c r="G324" s="868"/>
      <c r="H324" s="868"/>
      <c r="I324" s="868"/>
      <c r="J324" s="868"/>
      <c r="K324" s="868"/>
      <c r="L324" s="868"/>
      <c r="M324" s="1186"/>
      <c r="N324" s="1186"/>
      <c r="O324" s="1186"/>
      <c r="P324" s="1186"/>
      <c r="Q324" s="1186"/>
      <c r="R324" s="1186"/>
      <c r="S324" s="1186"/>
      <c r="T324" s="1186"/>
      <c r="U324" s="1186"/>
      <c r="V324" s="1186"/>
      <c r="W324" s="1186"/>
      <c r="X324" s="1186"/>
      <c r="Y324" s="1186"/>
      <c r="Z324" s="1186"/>
      <c r="AA324" s="1186"/>
      <c r="AB324" s="1186"/>
      <c r="AC324" s="1186"/>
      <c r="AD324" s="1186"/>
      <c r="AE324" s="1186"/>
      <c r="AF324" s="1186"/>
      <c r="AG324" s="1186"/>
      <c r="AH324" s="1186"/>
      <c r="AI324" s="1529">
        <f t="shared" si="14"/>
        <v>0</v>
      </c>
      <c r="AJ324" s="1466"/>
    </row>
    <row r="325" spans="1:36" s="156" customFormat="1" ht="16.149999999999999" customHeight="1" outlineLevel="1">
      <c r="A325" s="1182">
        <v>16</v>
      </c>
      <c r="B325" s="1635" t="str">
        <f>VLOOKUP(C325,'DS CN MOI UP'!$B$10:$C$347,2,0)</f>
        <v>02570</v>
      </c>
      <c r="C325" s="1185" t="s">
        <v>221</v>
      </c>
      <c r="D325" s="868"/>
      <c r="E325" s="868"/>
      <c r="F325" s="868"/>
      <c r="G325" s="868"/>
      <c r="H325" s="868"/>
      <c r="I325" s="868"/>
      <c r="J325" s="868"/>
      <c r="K325" s="868"/>
      <c r="L325" s="868"/>
      <c r="M325" s="1186"/>
      <c r="N325" s="1186"/>
      <c r="O325" s="1186"/>
      <c r="P325" s="1186"/>
      <c r="Q325" s="1186"/>
      <c r="R325" s="1186"/>
      <c r="S325" s="1186"/>
      <c r="T325" s="1186"/>
      <c r="U325" s="1186"/>
      <c r="V325" s="1186"/>
      <c r="W325" s="1186"/>
      <c r="X325" s="1186"/>
      <c r="Y325" s="1186"/>
      <c r="Z325" s="1186"/>
      <c r="AA325" s="1186"/>
      <c r="AB325" s="1186"/>
      <c r="AC325" s="1186"/>
      <c r="AD325" s="1182"/>
      <c r="AE325" s="1186"/>
      <c r="AF325" s="1186"/>
      <c r="AG325" s="1186"/>
      <c r="AH325" s="1186"/>
      <c r="AI325" s="1529">
        <f t="shared" si="14"/>
        <v>0</v>
      </c>
      <c r="AJ325" s="1466"/>
    </row>
    <row r="326" spans="1:36" s="156" customFormat="1" ht="16.149999999999999" customHeight="1" outlineLevel="1">
      <c r="A326" s="1182">
        <v>17</v>
      </c>
      <c r="B326" s="1635" t="str">
        <f>VLOOKUP(C326,'DS CN MOI UP'!$B$10:$C$347,2,0)</f>
        <v>02573</v>
      </c>
      <c r="C326" s="1185" t="s">
        <v>222</v>
      </c>
      <c r="D326" s="868"/>
      <c r="E326" s="868"/>
      <c r="F326" s="868"/>
      <c r="G326" s="868"/>
      <c r="H326" s="868"/>
      <c r="I326" s="868"/>
      <c r="J326" s="868"/>
      <c r="K326" s="868"/>
      <c r="L326" s="868"/>
      <c r="M326" s="1186"/>
      <c r="N326" s="1186"/>
      <c r="O326" s="1186"/>
      <c r="P326" s="1186"/>
      <c r="Q326" s="1186"/>
      <c r="R326" s="1186"/>
      <c r="S326" s="1186"/>
      <c r="T326" s="1186"/>
      <c r="U326" s="1186"/>
      <c r="V326" s="1186"/>
      <c r="W326" s="1186"/>
      <c r="X326" s="1186"/>
      <c r="Y326" s="1186"/>
      <c r="Z326" s="1186"/>
      <c r="AA326" s="1186"/>
      <c r="AB326" s="1186"/>
      <c r="AC326" s="1186"/>
      <c r="AD326" s="1186"/>
      <c r="AE326" s="1186"/>
      <c r="AF326" s="1186"/>
      <c r="AG326" s="1186"/>
      <c r="AH326" s="1186"/>
      <c r="AI326" s="1529">
        <f t="shared" si="14"/>
        <v>0</v>
      </c>
      <c r="AJ326" s="1466"/>
    </row>
    <row r="327" spans="1:36" s="156" customFormat="1" ht="16.149999999999999" customHeight="1" outlineLevel="1">
      <c r="A327" s="1182">
        <v>18</v>
      </c>
      <c r="B327" s="1635" t="str">
        <f>VLOOKUP(C327,'DS CN MOI UP'!$B$10:$C$347,2,0)</f>
        <v>02695</v>
      </c>
      <c r="C327" s="1185" t="s">
        <v>223</v>
      </c>
      <c r="D327" s="868"/>
      <c r="E327" s="868"/>
      <c r="F327" s="868"/>
      <c r="G327" s="868"/>
      <c r="H327" s="868"/>
      <c r="I327" s="868"/>
      <c r="J327" s="868"/>
      <c r="K327" s="868"/>
      <c r="L327" s="868"/>
      <c r="M327" s="1186"/>
      <c r="N327" s="1186"/>
      <c r="O327" s="1186"/>
      <c r="P327" s="1186"/>
      <c r="Q327" s="1186"/>
      <c r="R327" s="1186"/>
      <c r="S327" s="1186"/>
      <c r="T327" s="1186"/>
      <c r="U327" s="1186"/>
      <c r="V327" s="1186"/>
      <c r="W327" s="1186"/>
      <c r="X327" s="1186"/>
      <c r="Y327" s="1186"/>
      <c r="Z327" s="1186"/>
      <c r="AA327" s="1186"/>
      <c r="AB327" s="1186"/>
      <c r="AC327" s="1186"/>
      <c r="AD327" s="1186"/>
      <c r="AE327" s="1186"/>
      <c r="AF327" s="1186"/>
      <c r="AG327" s="1186"/>
      <c r="AH327" s="1186"/>
      <c r="AI327" s="1529">
        <f t="shared" si="14"/>
        <v>0</v>
      </c>
      <c r="AJ327" s="1466"/>
    </row>
    <row r="328" spans="1:36" s="156" customFormat="1" ht="16.149999999999999" customHeight="1" outlineLevel="1">
      <c r="A328" s="1182">
        <v>19</v>
      </c>
      <c r="B328" s="1635" t="str">
        <f>VLOOKUP(C328,'DS CN MOI UP'!$B$10:$C$347,2,0)</f>
        <v>02599</v>
      </c>
      <c r="C328" s="1185" t="s">
        <v>224</v>
      </c>
      <c r="D328" s="868"/>
      <c r="E328" s="868"/>
      <c r="F328" s="868"/>
      <c r="G328" s="868"/>
      <c r="H328" s="868"/>
      <c r="I328" s="868"/>
      <c r="J328" s="868"/>
      <c r="K328" s="868"/>
      <c r="L328" s="868"/>
      <c r="M328" s="1186"/>
      <c r="N328" s="1186"/>
      <c r="O328" s="1186"/>
      <c r="P328" s="1186"/>
      <c r="Q328" s="1186"/>
      <c r="R328" s="1186"/>
      <c r="S328" s="1186"/>
      <c r="T328" s="1186"/>
      <c r="U328" s="1186"/>
      <c r="V328" s="1186"/>
      <c r="W328" s="1186"/>
      <c r="X328" s="1186"/>
      <c r="Y328" s="1186"/>
      <c r="Z328" s="1186"/>
      <c r="AA328" s="1186"/>
      <c r="AB328" s="1186"/>
      <c r="AC328" s="1186"/>
      <c r="AD328" s="1186"/>
      <c r="AE328" s="1186"/>
      <c r="AF328" s="1186"/>
      <c r="AG328" s="1186"/>
      <c r="AH328" s="1186"/>
      <c r="AI328" s="1529">
        <f t="shared" si="14"/>
        <v>0</v>
      </c>
      <c r="AJ328" s="1466"/>
    </row>
    <row r="329" spans="1:36" s="156" customFormat="1" ht="16.149999999999999" customHeight="1" outlineLevel="1">
      <c r="A329" s="1182">
        <v>20</v>
      </c>
      <c r="B329" s="1635" t="str">
        <f>VLOOKUP(C329,'DS CN MOI UP'!$B$10:$C$347,2,0)</f>
        <v>03383</v>
      </c>
      <c r="C329" s="1185" t="s">
        <v>225</v>
      </c>
      <c r="D329" s="868"/>
      <c r="E329" s="868"/>
      <c r="F329" s="868"/>
      <c r="G329" s="868"/>
      <c r="H329" s="868"/>
      <c r="I329" s="868"/>
      <c r="J329" s="868"/>
      <c r="K329" s="868"/>
      <c r="L329" s="868"/>
      <c r="M329" s="1186"/>
      <c r="N329" s="1186"/>
      <c r="O329" s="1186"/>
      <c r="P329" s="1186"/>
      <c r="Q329" s="1186"/>
      <c r="R329" s="1186"/>
      <c r="S329" s="1186"/>
      <c r="T329" s="1186"/>
      <c r="U329" s="1186"/>
      <c r="V329" s="1186"/>
      <c r="W329" s="1186"/>
      <c r="X329" s="1186"/>
      <c r="Y329" s="1186"/>
      <c r="Z329" s="1186"/>
      <c r="AA329" s="1186"/>
      <c r="AB329" s="1186"/>
      <c r="AC329" s="1186"/>
      <c r="AD329" s="1186"/>
      <c r="AE329" s="1186"/>
      <c r="AF329" s="1186"/>
      <c r="AG329" s="1186"/>
      <c r="AH329" s="1186"/>
      <c r="AI329" s="1529">
        <f t="shared" si="14"/>
        <v>0</v>
      </c>
      <c r="AJ329" s="1466"/>
    </row>
    <row r="330" spans="1:36" s="156" customFormat="1" ht="16.149999999999999" customHeight="1" outlineLevel="1">
      <c r="A330" s="1182">
        <v>21</v>
      </c>
      <c r="B330" s="1635" t="str">
        <f>VLOOKUP(C330,'DS CN MOI UP'!$B$10:$C$347,2,0)</f>
        <v>03384</v>
      </c>
      <c r="C330" s="1185" t="s">
        <v>226</v>
      </c>
      <c r="D330" s="868"/>
      <c r="E330" s="868"/>
      <c r="F330" s="868"/>
      <c r="G330" s="868"/>
      <c r="H330" s="868"/>
      <c r="I330" s="868"/>
      <c r="J330" s="868"/>
      <c r="K330" s="868"/>
      <c r="L330" s="868"/>
      <c r="M330" s="1186"/>
      <c r="N330" s="1186"/>
      <c r="O330" s="1186"/>
      <c r="P330" s="1186"/>
      <c r="Q330" s="1186"/>
      <c r="R330" s="1186"/>
      <c r="S330" s="1186"/>
      <c r="T330" s="1186"/>
      <c r="U330" s="1186"/>
      <c r="V330" s="1186"/>
      <c r="W330" s="1186"/>
      <c r="X330" s="1186"/>
      <c r="Y330" s="1186"/>
      <c r="Z330" s="1186"/>
      <c r="AA330" s="1186"/>
      <c r="AB330" s="1186"/>
      <c r="AC330" s="1186"/>
      <c r="AD330" s="1186"/>
      <c r="AE330" s="1186"/>
      <c r="AF330" s="1186"/>
      <c r="AG330" s="1186"/>
      <c r="AH330" s="1186"/>
      <c r="AI330" s="1529">
        <f t="shared" si="14"/>
        <v>0</v>
      </c>
      <c r="AJ330" s="1466"/>
    </row>
    <row r="331" spans="1:36" s="156" customFormat="1" ht="16.149999999999999" customHeight="1" outlineLevel="1">
      <c r="A331" s="1182">
        <v>22</v>
      </c>
      <c r="B331" s="1635" t="str">
        <f>VLOOKUP(C331,'DS CN MOI UP'!$B$10:$C$347,2,0)</f>
        <v>02608</v>
      </c>
      <c r="C331" s="1185" t="s">
        <v>227</v>
      </c>
      <c r="D331" s="868"/>
      <c r="E331" s="868"/>
      <c r="F331" s="868"/>
      <c r="G331" s="868"/>
      <c r="H331" s="868"/>
      <c r="I331" s="868"/>
      <c r="J331" s="868"/>
      <c r="K331" s="868"/>
      <c r="L331" s="868"/>
      <c r="M331" s="1186"/>
      <c r="N331" s="1186"/>
      <c r="O331" s="1186"/>
      <c r="P331" s="1186"/>
      <c r="Q331" s="1186"/>
      <c r="R331" s="1186"/>
      <c r="S331" s="1186"/>
      <c r="T331" s="1186"/>
      <c r="U331" s="1186"/>
      <c r="V331" s="1186"/>
      <c r="W331" s="1186"/>
      <c r="X331" s="1186"/>
      <c r="Y331" s="1186"/>
      <c r="Z331" s="1186"/>
      <c r="AA331" s="1186"/>
      <c r="AB331" s="1186"/>
      <c r="AC331" s="1186"/>
      <c r="AD331" s="1186"/>
      <c r="AE331" s="1186"/>
      <c r="AF331" s="1186"/>
      <c r="AG331" s="1186"/>
      <c r="AH331" s="1186"/>
      <c r="AI331" s="1529">
        <f t="shared" si="14"/>
        <v>0</v>
      </c>
      <c r="AJ331" s="1466"/>
    </row>
    <row r="332" spans="1:36" s="156" customFormat="1" ht="16.149999999999999" customHeight="1" outlineLevel="1">
      <c r="A332" s="1182">
        <v>23</v>
      </c>
      <c r="B332" s="1635" t="str">
        <f>VLOOKUP(C332,'DS CN MOI UP'!$B$10:$C$347,2,0)</f>
        <v>02603</v>
      </c>
      <c r="C332" s="1185" t="s">
        <v>228</v>
      </c>
      <c r="D332" s="868"/>
      <c r="E332" s="868"/>
      <c r="F332" s="868"/>
      <c r="G332" s="868"/>
      <c r="H332" s="868"/>
      <c r="I332" s="868"/>
      <c r="J332" s="868"/>
      <c r="K332" s="868"/>
      <c r="L332" s="868"/>
      <c r="M332" s="1186"/>
      <c r="N332" s="1186"/>
      <c r="O332" s="1186"/>
      <c r="P332" s="1186"/>
      <c r="Q332" s="1186"/>
      <c r="R332" s="1186"/>
      <c r="S332" s="1186"/>
      <c r="T332" s="1186"/>
      <c r="U332" s="1186"/>
      <c r="V332" s="1186"/>
      <c r="W332" s="1186"/>
      <c r="X332" s="1186"/>
      <c r="Y332" s="1186"/>
      <c r="Z332" s="1186"/>
      <c r="AA332" s="1186"/>
      <c r="AB332" s="1186"/>
      <c r="AC332" s="1186"/>
      <c r="AD332" s="1186"/>
      <c r="AE332" s="1186"/>
      <c r="AF332" s="1186"/>
      <c r="AG332" s="1186"/>
      <c r="AH332" s="1186"/>
      <c r="AI332" s="1529">
        <f t="shared" si="14"/>
        <v>0</v>
      </c>
      <c r="AJ332" s="1466"/>
    </row>
    <row r="333" spans="1:36" s="156" customFormat="1" ht="16.149999999999999" customHeight="1" outlineLevel="1">
      <c r="A333" s="1182">
        <v>24</v>
      </c>
      <c r="B333" s="1635" t="str">
        <f>VLOOKUP(C333,'DS CN MOI UP'!$B$10:$C$347,2,0)</f>
        <v>03385</v>
      </c>
      <c r="C333" s="1185" t="s">
        <v>229</v>
      </c>
      <c r="D333" s="868"/>
      <c r="E333" s="868"/>
      <c r="F333" s="868"/>
      <c r="G333" s="868"/>
      <c r="H333" s="868"/>
      <c r="I333" s="868"/>
      <c r="J333" s="868"/>
      <c r="K333" s="868"/>
      <c r="L333" s="868"/>
      <c r="M333" s="1186"/>
      <c r="N333" s="1186"/>
      <c r="O333" s="1186"/>
      <c r="P333" s="1186"/>
      <c r="Q333" s="1186"/>
      <c r="R333" s="1186"/>
      <c r="S333" s="1186"/>
      <c r="T333" s="1186"/>
      <c r="U333" s="1186"/>
      <c r="V333" s="1186"/>
      <c r="W333" s="1186"/>
      <c r="X333" s="1186"/>
      <c r="Y333" s="1186"/>
      <c r="Z333" s="1186"/>
      <c r="AA333" s="1186"/>
      <c r="AB333" s="1186"/>
      <c r="AC333" s="1186"/>
      <c r="AD333" s="1186"/>
      <c r="AE333" s="1186"/>
      <c r="AF333" s="1186"/>
      <c r="AG333" s="1186"/>
      <c r="AH333" s="1186"/>
      <c r="AI333" s="1529">
        <f t="shared" si="14"/>
        <v>0</v>
      </c>
      <c r="AJ333" s="1466"/>
    </row>
    <row r="334" spans="1:36" s="156" customFormat="1" ht="16.149999999999999" customHeight="1" outlineLevel="1">
      <c r="A334" s="1182">
        <v>25</v>
      </c>
      <c r="B334" s="1635" t="str">
        <f>VLOOKUP(C334,'DS CN MOI UP'!$B$10:$C$347,2,0)</f>
        <v>02586</v>
      </c>
      <c r="C334" s="1185" t="s">
        <v>230</v>
      </c>
      <c r="D334" s="868"/>
      <c r="E334" s="868"/>
      <c r="F334" s="868"/>
      <c r="G334" s="868"/>
      <c r="H334" s="868"/>
      <c r="I334" s="868"/>
      <c r="J334" s="868"/>
      <c r="K334" s="868"/>
      <c r="L334" s="868"/>
      <c r="M334" s="1186"/>
      <c r="N334" s="1186"/>
      <c r="O334" s="1186"/>
      <c r="P334" s="1186"/>
      <c r="Q334" s="1186"/>
      <c r="R334" s="1186"/>
      <c r="S334" s="1186"/>
      <c r="T334" s="1186"/>
      <c r="U334" s="1186"/>
      <c r="V334" s="1186"/>
      <c r="W334" s="1186"/>
      <c r="X334" s="1186"/>
      <c r="Y334" s="1186"/>
      <c r="Z334" s="1186"/>
      <c r="AA334" s="1186"/>
      <c r="AB334" s="1186"/>
      <c r="AC334" s="1186"/>
      <c r="AD334" s="1186"/>
      <c r="AE334" s="1186"/>
      <c r="AF334" s="1186"/>
      <c r="AG334" s="1186"/>
      <c r="AH334" s="1186"/>
      <c r="AI334" s="1529">
        <f t="shared" si="14"/>
        <v>0</v>
      </c>
      <c r="AJ334" s="1466"/>
    </row>
    <row r="335" spans="1:36" s="156" customFormat="1" ht="16.149999999999999" customHeight="1" outlineLevel="1">
      <c r="A335" s="1182">
        <v>26</v>
      </c>
      <c r="B335" s="1635" t="str">
        <f>VLOOKUP(C335,'DS CN MOI UP'!$B$10:$C$347,2,0)</f>
        <v>02614</v>
      </c>
      <c r="C335" s="1185" t="s">
        <v>231</v>
      </c>
      <c r="D335" s="868"/>
      <c r="E335" s="868"/>
      <c r="F335" s="868"/>
      <c r="G335" s="868"/>
      <c r="H335" s="868"/>
      <c r="I335" s="868"/>
      <c r="J335" s="868"/>
      <c r="K335" s="868"/>
      <c r="L335" s="868"/>
      <c r="M335" s="1186"/>
      <c r="N335" s="1186"/>
      <c r="O335" s="1186"/>
      <c r="P335" s="1186"/>
      <c r="Q335" s="1186"/>
      <c r="R335" s="1186"/>
      <c r="S335" s="1186"/>
      <c r="T335" s="1186"/>
      <c r="U335" s="1186"/>
      <c r="V335" s="1186"/>
      <c r="W335" s="1186"/>
      <c r="X335" s="1186"/>
      <c r="Y335" s="1186"/>
      <c r="Z335" s="1186"/>
      <c r="AA335" s="1186"/>
      <c r="AB335" s="1186"/>
      <c r="AC335" s="1186"/>
      <c r="AD335" s="1186"/>
      <c r="AE335" s="1186"/>
      <c r="AF335" s="1186"/>
      <c r="AG335" s="1186"/>
      <c r="AH335" s="1186"/>
      <c r="AI335" s="1529">
        <f t="shared" si="14"/>
        <v>0</v>
      </c>
      <c r="AJ335" s="1466"/>
    </row>
    <row r="336" spans="1:36" s="156" customFormat="1" ht="16.149999999999999" customHeight="1" outlineLevel="1">
      <c r="A336" s="1182">
        <v>27</v>
      </c>
      <c r="B336" s="1635" t="str">
        <f>VLOOKUP(C336,'DS CN MOI UP'!$B$10:$C$347,2,0)</f>
        <v>02581</v>
      </c>
      <c r="C336" s="1185" t="s">
        <v>232</v>
      </c>
      <c r="D336" s="868"/>
      <c r="E336" s="868"/>
      <c r="F336" s="868"/>
      <c r="G336" s="868"/>
      <c r="H336" s="868"/>
      <c r="I336" s="868"/>
      <c r="J336" s="868"/>
      <c r="K336" s="868"/>
      <c r="L336" s="868"/>
      <c r="M336" s="1186"/>
      <c r="N336" s="1186"/>
      <c r="O336" s="1186"/>
      <c r="P336" s="1186"/>
      <c r="Q336" s="1186"/>
      <c r="R336" s="1186"/>
      <c r="S336" s="1186"/>
      <c r="T336" s="1186"/>
      <c r="U336" s="1186"/>
      <c r="V336" s="1186"/>
      <c r="W336" s="1186"/>
      <c r="X336" s="1186"/>
      <c r="Y336" s="1186"/>
      <c r="Z336" s="1186"/>
      <c r="AA336" s="1186"/>
      <c r="AB336" s="1186"/>
      <c r="AC336" s="1186"/>
      <c r="AD336" s="1186"/>
      <c r="AE336" s="1186"/>
      <c r="AF336" s="1186"/>
      <c r="AG336" s="1186"/>
      <c r="AH336" s="1186"/>
      <c r="AI336" s="1529">
        <f t="shared" si="14"/>
        <v>0</v>
      </c>
      <c r="AJ336" s="1466"/>
    </row>
    <row r="337" spans="1:36" s="156" customFormat="1" ht="16.149999999999999" customHeight="1" outlineLevel="1">
      <c r="A337" s="1182">
        <v>28</v>
      </c>
      <c r="B337" s="1635" t="str">
        <f>VLOOKUP(C337,'DS CN MOI UP'!$B$10:$C$347,2,0)</f>
        <v>02613</v>
      </c>
      <c r="C337" s="1185" t="s">
        <v>233</v>
      </c>
      <c r="D337" s="868"/>
      <c r="E337" s="868"/>
      <c r="F337" s="868"/>
      <c r="G337" s="868"/>
      <c r="H337" s="868"/>
      <c r="I337" s="868"/>
      <c r="J337" s="868"/>
      <c r="K337" s="868"/>
      <c r="L337" s="868"/>
      <c r="M337" s="1186"/>
      <c r="N337" s="1186"/>
      <c r="O337" s="1186"/>
      <c r="P337" s="1186"/>
      <c r="Q337" s="1186"/>
      <c r="R337" s="1186"/>
      <c r="S337" s="1186"/>
      <c r="T337" s="1186"/>
      <c r="U337" s="1186"/>
      <c r="V337" s="1186"/>
      <c r="W337" s="1186"/>
      <c r="X337" s="1186"/>
      <c r="Y337" s="1186"/>
      <c r="Z337" s="1186"/>
      <c r="AA337" s="1186"/>
      <c r="AB337" s="1186"/>
      <c r="AC337" s="1186"/>
      <c r="AD337" s="1186"/>
      <c r="AE337" s="1186"/>
      <c r="AF337" s="1186"/>
      <c r="AG337" s="1186"/>
      <c r="AH337" s="1186"/>
      <c r="AI337" s="1529">
        <f t="shared" si="14"/>
        <v>0</v>
      </c>
      <c r="AJ337" s="1466"/>
    </row>
    <row r="338" spans="1:36" s="156" customFormat="1" ht="16.149999999999999" customHeight="1" outlineLevel="1">
      <c r="A338" s="1182">
        <v>29</v>
      </c>
      <c r="B338" s="1635" t="str">
        <f>VLOOKUP(C338,'DS CN MOI UP'!$B$10:$C$347,2,0)</f>
        <v>03386</v>
      </c>
      <c r="C338" s="1185" t="s">
        <v>234</v>
      </c>
      <c r="D338" s="868"/>
      <c r="E338" s="868"/>
      <c r="F338" s="868"/>
      <c r="G338" s="868"/>
      <c r="H338" s="868"/>
      <c r="I338" s="868"/>
      <c r="J338" s="868"/>
      <c r="K338" s="868"/>
      <c r="L338" s="868"/>
      <c r="M338" s="1186"/>
      <c r="N338" s="1186"/>
      <c r="O338" s="1186"/>
      <c r="P338" s="1186"/>
      <c r="Q338" s="1186"/>
      <c r="R338" s="1186"/>
      <c r="S338" s="1186"/>
      <c r="T338" s="1186"/>
      <c r="U338" s="1186"/>
      <c r="V338" s="1186"/>
      <c r="W338" s="1186"/>
      <c r="X338" s="1186"/>
      <c r="Y338" s="1186"/>
      <c r="Z338" s="1186"/>
      <c r="AA338" s="1186"/>
      <c r="AB338" s="1186"/>
      <c r="AC338" s="1186"/>
      <c r="AD338" s="1186"/>
      <c r="AE338" s="1186"/>
      <c r="AF338" s="1186"/>
      <c r="AG338" s="1186"/>
      <c r="AH338" s="1186"/>
      <c r="AI338" s="1529">
        <f t="shared" si="14"/>
        <v>0</v>
      </c>
      <c r="AJ338" s="1466"/>
    </row>
    <row r="339" spans="1:36" s="156" customFormat="1" ht="16.149999999999999" customHeight="1" outlineLevel="1">
      <c r="A339" s="1182">
        <v>30</v>
      </c>
      <c r="B339" s="1635" t="str">
        <f>VLOOKUP(C339,'DS CN MOI UP'!$B$10:$C$347,2,0)</f>
        <v>03387</v>
      </c>
      <c r="C339" s="1185" t="s">
        <v>235</v>
      </c>
      <c r="D339" s="868"/>
      <c r="E339" s="868"/>
      <c r="F339" s="868"/>
      <c r="G339" s="868"/>
      <c r="H339" s="868"/>
      <c r="I339" s="868"/>
      <c r="J339" s="868"/>
      <c r="K339" s="868"/>
      <c r="L339" s="868"/>
      <c r="M339" s="1186"/>
      <c r="N339" s="1186"/>
      <c r="O339" s="1186"/>
      <c r="P339" s="1186"/>
      <c r="Q339" s="1186"/>
      <c r="R339" s="1186"/>
      <c r="S339" s="1186"/>
      <c r="T339" s="1186"/>
      <c r="U339" s="1186"/>
      <c r="V339" s="1186"/>
      <c r="W339" s="1186"/>
      <c r="X339" s="1186"/>
      <c r="Y339" s="1186"/>
      <c r="Z339" s="1186"/>
      <c r="AA339" s="1186"/>
      <c r="AB339" s="1186"/>
      <c r="AC339" s="1186"/>
      <c r="AD339" s="1186"/>
      <c r="AE339" s="1186"/>
      <c r="AF339" s="1186"/>
      <c r="AG339" s="1186"/>
      <c r="AH339" s="1186"/>
      <c r="AI339" s="1529">
        <f t="shared" si="14"/>
        <v>0</v>
      </c>
      <c r="AJ339" s="1466"/>
    </row>
    <row r="340" spans="1:36" s="156" customFormat="1" ht="16.149999999999999" customHeight="1" outlineLevel="1">
      <c r="A340" s="1182">
        <v>31</v>
      </c>
      <c r="B340" s="1635" t="str">
        <f>VLOOKUP(C340,'DS CN MOI UP'!$B$10:$C$347,2,0)</f>
        <v>03388</v>
      </c>
      <c r="C340" s="1185" t="s">
        <v>236</v>
      </c>
      <c r="D340" s="868"/>
      <c r="E340" s="868"/>
      <c r="F340" s="868"/>
      <c r="G340" s="868"/>
      <c r="H340" s="868"/>
      <c r="I340" s="868"/>
      <c r="J340" s="868"/>
      <c r="K340" s="868"/>
      <c r="L340" s="868"/>
      <c r="M340" s="1186"/>
      <c r="N340" s="1186"/>
      <c r="O340" s="1186"/>
      <c r="P340" s="1186"/>
      <c r="Q340" s="1186"/>
      <c r="R340" s="1186"/>
      <c r="S340" s="1186"/>
      <c r="T340" s="1186"/>
      <c r="U340" s="1186"/>
      <c r="V340" s="1186"/>
      <c r="W340" s="1186"/>
      <c r="X340" s="1186"/>
      <c r="Y340" s="1186"/>
      <c r="Z340" s="1186"/>
      <c r="AA340" s="1186"/>
      <c r="AB340" s="1186"/>
      <c r="AC340" s="1186"/>
      <c r="AD340" s="1186"/>
      <c r="AE340" s="1186"/>
      <c r="AF340" s="1186"/>
      <c r="AG340" s="1186"/>
      <c r="AH340" s="1186"/>
      <c r="AI340" s="1529">
        <f t="shared" si="14"/>
        <v>0</v>
      </c>
      <c r="AJ340" s="1466"/>
    </row>
    <row r="341" spans="1:36" s="156" customFormat="1" ht="16.149999999999999" customHeight="1" outlineLevel="1">
      <c r="A341" s="1182">
        <v>32</v>
      </c>
      <c r="B341" s="1635" t="str">
        <f>VLOOKUP(C341,'DS CN MOI UP'!$B$10:$C$347,2,0)</f>
        <v>03389</v>
      </c>
      <c r="C341" s="1185" t="s">
        <v>237</v>
      </c>
      <c r="D341" s="868"/>
      <c r="E341" s="868"/>
      <c r="F341" s="868"/>
      <c r="G341" s="868"/>
      <c r="H341" s="868"/>
      <c r="I341" s="868"/>
      <c r="J341" s="868"/>
      <c r="K341" s="868"/>
      <c r="L341" s="868"/>
      <c r="M341" s="1186"/>
      <c r="N341" s="1186"/>
      <c r="O341" s="1186"/>
      <c r="P341" s="1186"/>
      <c r="Q341" s="1186"/>
      <c r="R341" s="1186"/>
      <c r="S341" s="1186"/>
      <c r="T341" s="1186"/>
      <c r="U341" s="1186"/>
      <c r="V341" s="1186"/>
      <c r="W341" s="1186"/>
      <c r="X341" s="1186"/>
      <c r="Y341" s="1186"/>
      <c r="Z341" s="1186"/>
      <c r="AA341" s="1186"/>
      <c r="AB341" s="1186"/>
      <c r="AC341" s="1186"/>
      <c r="AD341" s="1186"/>
      <c r="AE341" s="1186"/>
      <c r="AF341" s="1186"/>
      <c r="AG341" s="1186"/>
      <c r="AH341" s="1186"/>
      <c r="AI341" s="1529">
        <f t="shared" si="14"/>
        <v>0</v>
      </c>
      <c r="AJ341" s="1466"/>
    </row>
    <row r="342" spans="1:36" s="156" customFormat="1" ht="16.149999999999999" customHeight="1" outlineLevel="1">
      <c r="A342" s="1182">
        <v>33</v>
      </c>
      <c r="B342" s="1635" t="str">
        <f>VLOOKUP(C342,'DS CN MOI UP'!$B$10:$C$347,2,0)</f>
        <v>03390</v>
      </c>
      <c r="C342" s="1185" t="s">
        <v>238</v>
      </c>
      <c r="D342" s="868"/>
      <c r="E342" s="868"/>
      <c r="F342" s="868"/>
      <c r="G342" s="868"/>
      <c r="H342" s="868"/>
      <c r="I342" s="868"/>
      <c r="J342" s="868"/>
      <c r="K342" s="868"/>
      <c r="L342" s="868"/>
      <c r="M342" s="1186"/>
      <c r="N342" s="1186"/>
      <c r="O342" s="1186"/>
      <c r="P342" s="1186"/>
      <c r="Q342" s="1186"/>
      <c r="R342" s="1186"/>
      <c r="S342" s="1186"/>
      <c r="T342" s="1186"/>
      <c r="U342" s="1186"/>
      <c r="V342" s="1186"/>
      <c r="W342" s="1186"/>
      <c r="X342" s="1186"/>
      <c r="Y342" s="1186"/>
      <c r="Z342" s="1186"/>
      <c r="AA342" s="1186"/>
      <c r="AB342" s="1186"/>
      <c r="AC342" s="1186"/>
      <c r="AD342" s="1186"/>
      <c r="AE342" s="1186"/>
      <c r="AF342" s="1186"/>
      <c r="AG342" s="1186"/>
      <c r="AH342" s="1186"/>
      <c r="AI342" s="1529">
        <f t="shared" si="14"/>
        <v>0</v>
      </c>
      <c r="AJ342" s="1466"/>
    </row>
    <row r="343" spans="1:36" s="156" customFormat="1" ht="16.149999999999999" customHeight="1" outlineLevel="1">
      <c r="A343" s="1182">
        <v>34</v>
      </c>
      <c r="B343" s="1635" t="str">
        <f>VLOOKUP(C343,'DS CN MOI UP'!$B$10:$C$347,2,0)</f>
        <v>03391</v>
      </c>
      <c r="C343" s="1185" t="s">
        <v>239</v>
      </c>
      <c r="D343" s="868"/>
      <c r="E343" s="868"/>
      <c r="F343" s="868"/>
      <c r="G343" s="868"/>
      <c r="H343" s="868"/>
      <c r="I343" s="868"/>
      <c r="J343" s="868"/>
      <c r="K343" s="868"/>
      <c r="L343" s="868"/>
      <c r="M343" s="1186"/>
      <c r="N343" s="1186"/>
      <c r="O343" s="1186"/>
      <c r="P343" s="1186"/>
      <c r="Q343" s="1186"/>
      <c r="R343" s="1186"/>
      <c r="S343" s="1186"/>
      <c r="T343" s="1186"/>
      <c r="U343" s="1186"/>
      <c r="V343" s="1186"/>
      <c r="W343" s="1186"/>
      <c r="X343" s="1186"/>
      <c r="Y343" s="1186"/>
      <c r="Z343" s="1186"/>
      <c r="AA343" s="1186"/>
      <c r="AB343" s="1186"/>
      <c r="AC343" s="1186"/>
      <c r="AD343" s="1186"/>
      <c r="AE343" s="1186"/>
      <c r="AF343" s="1186"/>
      <c r="AG343" s="1186"/>
      <c r="AH343" s="1186"/>
      <c r="AI343" s="1529">
        <f t="shared" si="14"/>
        <v>0</v>
      </c>
      <c r="AJ343" s="1466"/>
    </row>
    <row r="344" spans="1:36" s="156" customFormat="1" ht="16.149999999999999" customHeight="1" outlineLevel="1">
      <c r="A344" s="1182">
        <v>35</v>
      </c>
      <c r="B344" s="1635" t="str">
        <f>VLOOKUP(C344,'DS CN MOI UP'!$B$10:$C$347,2,0)</f>
        <v>02589</v>
      </c>
      <c r="C344" s="1185" t="s">
        <v>240</v>
      </c>
      <c r="D344" s="868"/>
      <c r="E344" s="868"/>
      <c r="F344" s="868"/>
      <c r="G344" s="868"/>
      <c r="H344" s="868"/>
      <c r="I344" s="868"/>
      <c r="J344" s="868"/>
      <c r="K344" s="868"/>
      <c r="L344" s="868"/>
      <c r="M344" s="1186"/>
      <c r="N344" s="1186"/>
      <c r="O344" s="1186"/>
      <c r="P344" s="1186"/>
      <c r="Q344" s="1186"/>
      <c r="R344" s="1186"/>
      <c r="S344" s="1186"/>
      <c r="T344" s="1186"/>
      <c r="U344" s="1186"/>
      <c r="V344" s="1186"/>
      <c r="W344" s="1186"/>
      <c r="X344" s="1186"/>
      <c r="Y344" s="1186"/>
      <c r="Z344" s="1186"/>
      <c r="AA344" s="1186"/>
      <c r="AB344" s="1186"/>
      <c r="AC344" s="1186"/>
      <c r="AD344" s="1186"/>
      <c r="AE344" s="1186"/>
      <c r="AF344" s="1186"/>
      <c r="AG344" s="1186"/>
      <c r="AH344" s="1186"/>
      <c r="AI344" s="1529">
        <f t="shared" si="14"/>
        <v>0</v>
      </c>
      <c r="AJ344" s="1466"/>
    </row>
    <row r="345" spans="1:36" s="156" customFormat="1" ht="16.149999999999999" customHeight="1" outlineLevel="1">
      <c r="A345" s="1182">
        <v>36</v>
      </c>
      <c r="B345" s="1635" t="str">
        <f>VLOOKUP(C345,'DS CN MOI UP'!$B$10:$C$347,2,0)</f>
        <v>03392</v>
      </c>
      <c r="C345" s="1185" t="s">
        <v>241</v>
      </c>
      <c r="D345" s="868"/>
      <c r="E345" s="868"/>
      <c r="F345" s="868"/>
      <c r="G345" s="868"/>
      <c r="H345" s="868"/>
      <c r="I345" s="868"/>
      <c r="J345" s="868"/>
      <c r="K345" s="868"/>
      <c r="L345" s="868"/>
      <c r="M345" s="1186"/>
      <c r="N345" s="1186"/>
      <c r="O345" s="1186"/>
      <c r="P345" s="1186"/>
      <c r="Q345" s="1186"/>
      <c r="R345" s="1186"/>
      <c r="S345" s="1186"/>
      <c r="T345" s="1186"/>
      <c r="U345" s="1186"/>
      <c r="V345" s="1186"/>
      <c r="W345" s="1186"/>
      <c r="X345" s="1186"/>
      <c r="Y345" s="1186"/>
      <c r="Z345" s="1186"/>
      <c r="AA345" s="1186"/>
      <c r="AB345" s="1186"/>
      <c r="AC345" s="1186"/>
      <c r="AD345" s="1186"/>
      <c r="AE345" s="1186"/>
      <c r="AF345" s="1186"/>
      <c r="AG345" s="1186"/>
      <c r="AH345" s="1186"/>
      <c r="AI345" s="1529">
        <f t="shared" si="14"/>
        <v>0</v>
      </c>
      <c r="AJ345" s="1466"/>
    </row>
    <row r="346" spans="1:36" s="156" customFormat="1" ht="16.149999999999999" customHeight="1" outlineLevel="1">
      <c r="A346" s="1182">
        <v>37</v>
      </c>
      <c r="B346" s="1635" t="str">
        <f>VLOOKUP(C346,'DS CN MOI UP'!$B$10:$C$347,2,0)</f>
        <v>03393</v>
      </c>
      <c r="C346" s="1185" t="s">
        <v>242</v>
      </c>
      <c r="D346" s="868"/>
      <c r="E346" s="868"/>
      <c r="F346" s="868"/>
      <c r="G346" s="868"/>
      <c r="H346" s="868"/>
      <c r="I346" s="868"/>
      <c r="J346" s="868"/>
      <c r="K346" s="868"/>
      <c r="L346" s="868"/>
      <c r="M346" s="1186"/>
      <c r="N346" s="1186"/>
      <c r="O346" s="1186"/>
      <c r="P346" s="1186"/>
      <c r="Q346" s="1186"/>
      <c r="R346" s="1186"/>
      <c r="S346" s="1186"/>
      <c r="T346" s="1186"/>
      <c r="U346" s="1186"/>
      <c r="V346" s="1186"/>
      <c r="W346" s="1186"/>
      <c r="X346" s="1186"/>
      <c r="Y346" s="1186"/>
      <c r="Z346" s="1186"/>
      <c r="AA346" s="1186"/>
      <c r="AB346" s="1186"/>
      <c r="AC346" s="1186"/>
      <c r="AD346" s="1186"/>
      <c r="AE346" s="1186"/>
      <c r="AF346" s="1186"/>
      <c r="AG346" s="1186"/>
      <c r="AH346" s="1186"/>
      <c r="AI346" s="1529">
        <f t="shared" si="14"/>
        <v>0</v>
      </c>
      <c r="AJ346" s="1466"/>
    </row>
    <row r="347" spans="1:36" s="156" customFormat="1" ht="16.149999999999999" customHeight="1" outlineLevel="1">
      <c r="A347" s="1182">
        <v>38</v>
      </c>
      <c r="B347" s="1635" t="str">
        <f>VLOOKUP(C347,'DS CN MOI UP'!$B$10:$C$347,2,0)</f>
        <v>03394</v>
      </c>
      <c r="C347" s="1185" t="s">
        <v>243</v>
      </c>
      <c r="D347" s="868"/>
      <c r="E347" s="868"/>
      <c r="F347" s="868"/>
      <c r="G347" s="868"/>
      <c r="H347" s="868"/>
      <c r="I347" s="868"/>
      <c r="J347" s="868"/>
      <c r="K347" s="868"/>
      <c r="L347" s="868"/>
      <c r="M347" s="1186"/>
      <c r="N347" s="1186"/>
      <c r="O347" s="1186"/>
      <c r="P347" s="1186"/>
      <c r="Q347" s="1186"/>
      <c r="R347" s="1186"/>
      <c r="S347" s="1186"/>
      <c r="T347" s="1186"/>
      <c r="U347" s="1186"/>
      <c r="V347" s="1186"/>
      <c r="W347" s="1186"/>
      <c r="X347" s="1186"/>
      <c r="Y347" s="1186"/>
      <c r="Z347" s="1186"/>
      <c r="AA347" s="1186"/>
      <c r="AB347" s="1186"/>
      <c r="AC347" s="1186"/>
      <c r="AD347" s="1186"/>
      <c r="AE347" s="1186"/>
      <c r="AF347" s="1186"/>
      <c r="AG347" s="1186"/>
      <c r="AH347" s="1186"/>
      <c r="AI347" s="1529">
        <f t="shared" si="14"/>
        <v>0</v>
      </c>
      <c r="AJ347" s="1466"/>
    </row>
    <row r="348" spans="1:36" s="156" customFormat="1" ht="16.149999999999999" customHeight="1" outlineLevel="1">
      <c r="A348" s="1182">
        <v>39</v>
      </c>
      <c r="B348" s="1635" t="str">
        <f>VLOOKUP(C348,'DS CN MOI UP'!$B$10:$C$347,2,0)</f>
        <v>03395</v>
      </c>
      <c r="C348" s="1185" t="s">
        <v>244</v>
      </c>
      <c r="D348" s="868"/>
      <c r="E348" s="868"/>
      <c r="F348" s="868"/>
      <c r="G348" s="868"/>
      <c r="H348" s="868"/>
      <c r="I348" s="868"/>
      <c r="J348" s="868"/>
      <c r="K348" s="868"/>
      <c r="L348" s="868"/>
      <c r="M348" s="1186"/>
      <c r="N348" s="1186"/>
      <c r="O348" s="1186"/>
      <c r="P348" s="1186"/>
      <c r="Q348" s="1186"/>
      <c r="R348" s="1186"/>
      <c r="S348" s="1186"/>
      <c r="T348" s="1186"/>
      <c r="U348" s="1186"/>
      <c r="V348" s="1186"/>
      <c r="W348" s="1186"/>
      <c r="X348" s="1186"/>
      <c r="Y348" s="1186"/>
      <c r="Z348" s="1186"/>
      <c r="AA348" s="1186"/>
      <c r="AB348" s="1186"/>
      <c r="AC348" s="1186"/>
      <c r="AD348" s="1186"/>
      <c r="AE348" s="1186"/>
      <c r="AF348" s="1186"/>
      <c r="AG348" s="1186"/>
      <c r="AH348" s="1186"/>
      <c r="AI348" s="1529">
        <f t="shared" si="14"/>
        <v>0</v>
      </c>
      <c r="AJ348" s="1466"/>
    </row>
    <row r="349" spans="1:36" s="156" customFormat="1" ht="16.149999999999999" customHeight="1" outlineLevel="1">
      <c r="A349" s="1182">
        <v>40</v>
      </c>
      <c r="B349" s="1635" t="str">
        <f>VLOOKUP(C349,'DS CN MOI UP'!$B$10:$C$347,2,0)</f>
        <v>03396</v>
      </c>
      <c r="C349" s="1185" t="s">
        <v>245</v>
      </c>
      <c r="D349" s="868"/>
      <c r="E349" s="868"/>
      <c r="F349" s="868"/>
      <c r="G349" s="868"/>
      <c r="H349" s="868"/>
      <c r="I349" s="868"/>
      <c r="J349" s="868"/>
      <c r="K349" s="868"/>
      <c r="L349" s="868"/>
      <c r="M349" s="1186"/>
      <c r="N349" s="1186"/>
      <c r="O349" s="1186"/>
      <c r="P349" s="1186"/>
      <c r="Q349" s="1186"/>
      <c r="R349" s="1186"/>
      <c r="S349" s="1186"/>
      <c r="T349" s="1186"/>
      <c r="U349" s="1186"/>
      <c r="V349" s="1186"/>
      <c r="W349" s="1186"/>
      <c r="X349" s="1186"/>
      <c r="Y349" s="1186"/>
      <c r="Z349" s="1186"/>
      <c r="AA349" s="1186"/>
      <c r="AB349" s="1186"/>
      <c r="AC349" s="1186"/>
      <c r="AD349" s="1186"/>
      <c r="AE349" s="1186"/>
      <c r="AF349" s="1186"/>
      <c r="AG349" s="1186"/>
      <c r="AH349" s="1186"/>
      <c r="AI349" s="1529">
        <f t="shared" si="14"/>
        <v>0</v>
      </c>
      <c r="AJ349" s="1466"/>
    </row>
    <row r="350" spans="1:36" s="156" customFormat="1" ht="16.149999999999999" customHeight="1" outlineLevel="1">
      <c r="A350" s="1182">
        <v>41</v>
      </c>
      <c r="B350" s="1635" t="str">
        <f>VLOOKUP(C350,'DS CN MOI UP'!$B$10:$C$347,2,0)</f>
        <v>02593</v>
      </c>
      <c r="C350" s="1185" t="s">
        <v>246</v>
      </c>
      <c r="D350" s="868"/>
      <c r="E350" s="868"/>
      <c r="F350" s="868"/>
      <c r="G350" s="868"/>
      <c r="H350" s="868"/>
      <c r="I350" s="868"/>
      <c r="J350" s="868"/>
      <c r="K350" s="868"/>
      <c r="L350" s="868"/>
      <c r="M350" s="1186"/>
      <c r="N350" s="1186"/>
      <c r="O350" s="1186"/>
      <c r="P350" s="1186"/>
      <c r="Q350" s="1186"/>
      <c r="R350" s="1186"/>
      <c r="S350" s="1186"/>
      <c r="T350" s="1186"/>
      <c r="U350" s="1186"/>
      <c r="V350" s="1186"/>
      <c r="W350" s="1186"/>
      <c r="X350" s="1186"/>
      <c r="Y350" s="1186"/>
      <c r="Z350" s="1186"/>
      <c r="AA350" s="1186"/>
      <c r="AB350" s="1186"/>
      <c r="AC350" s="1186"/>
      <c r="AD350" s="1186"/>
      <c r="AE350" s="1186"/>
      <c r="AF350" s="1186"/>
      <c r="AG350" s="1186"/>
      <c r="AH350" s="1186"/>
      <c r="AI350" s="1529">
        <f t="shared" si="14"/>
        <v>0</v>
      </c>
      <c r="AJ350" s="1466"/>
    </row>
    <row r="351" spans="1:36" s="156" customFormat="1" ht="16.149999999999999" customHeight="1" outlineLevel="1">
      <c r="A351" s="1182">
        <v>42</v>
      </c>
      <c r="B351" s="1635" t="str">
        <f>VLOOKUP(C351,'DS CN MOI UP'!$B$10:$C$347,2,0)</f>
        <v>02696</v>
      </c>
      <c r="C351" s="1185" t="s">
        <v>247</v>
      </c>
      <c r="D351" s="868"/>
      <c r="E351" s="868"/>
      <c r="F351" s="868"/>
      <c r="G351" s="868"/>
      <c r="H351" s="868"/>
      <c r="I351" s="868"/>
      <c r="J351" s="868"/>
      <c r="K351" s="868"/>
      <c r="L351" s="868"/>
      <c r="M351" s="1186"/>
      <c r="N351" s="1186"/>
      <c r="O351" s="1186"/>
      <c r="P351" s="1186"/>
      <c r="Q351" s="1186"/>
      <c r="R351" s="1186"/>
      <c r="S351" s="1186"/>
      <c r="T351" s="1186"/>
      <c r="U351" s="1186"/>
      <c r="V351" s="1186"/>
      <c r="W351" s="1186"/>
      <c r="X351" s="1186"/>
      <c r="Y351" s="1186"/>
      <c r="Z351" s="1186"/>
      <c r="AA351" s="1186"/>
      <c r="AB351" s="1186"/>
      <c r="AC351" s="1186"/>
      <c r="AD351" s="1186"/>
      <c r="AE351" s="1182"/>
      <c r="AF351" s="1186"/>
      <c r="AG351" s="1186"/>
      <c r="AH351" s="1186"/>
      <c r="AI351" s="1529">
        <f t="shared" si="14"/>
        <v>0</v>
      </c>
      <c r="AJ351" s="1466"/>
    </row>
    <row r="352" spans="1:36" s="156" customFormat="1" ht="16.149999999999999" customHeight="1" outlineLevel="1">
      <c r="A352" s="1182">
        <v>43</v>
      </c>
      <c r="B352" s="1635" t="str">
        <f>VLOOKUP(C352,'DS CN MOI UP'!$B$10:$C$347,2,0)</f>
        <v>03397</v>
      </c>
      <c r="C352" s="1185" t="s">
        <v>248</v>
      </c>
      <c r="D352" s="868"/>
      <c r="E352" s="868"/>
      <c r="F352" s="868"/>
      <c r="G352" s="868"/>
      <c r="H352" s="868"/>
      <c r="I352" s="868"/>
      <c r="J352" s="868"/>
      <c r="K352" s="868"/>
      <c r="L352" s="868"/>
      <c r="M352" s="1186"/>
      <c r="N352" s="1186"/>
      <c r="O352" s="1186"/>
      <c r="P352" s="1186"/>
      <c r="Q352" s="1186"/>
      <c r="R352" s="1186"/>
      <c r="S352" s="1186"/>
      <c r="T352" s="1186"/>
      <c r="U352" s="1186"/>
      <c r="V352" s="1186"/>
      <c r="W352" s="1186"/>
      <c r="X352" s="1186"/>
      <c r="Y352" s="1186"/>
      <c r="Z352" s="1186"/>
      <c r="AA352" s="1186"/>
      <c r="AB352" s="1186"/>
      <c r="AC352" s="1186"/>
      <c r="AD352" s="1186"/>
      <c r="AE352" s="1186"/>
      <c r="AF352" s="1186"/>
      <c r="AG352" s="1186"/>
      <c r="AH352" s="1186"/>
      <c r="AI352" s="1529">
        <f t="shared" si="14"/>
        <v>0</v>
      </c>
      <c r="AJ352" s="1466"/>
    </row>
    <row r="353" spans="1:37" s="156" customFormat="1" ht="16.149999999999999" customHeight="1" outlineLevel="1">
      <c r="A353" s="1182">
        <v>44</v>
      </c>
      <c r="B353" s="1635" t="str">
        <f>VLOOKUP(C353,'DS CN MOI UP'!$B$10:$C$347,2,0)</f>
        <v>03398</v>
      </c>
      <c r="C353" s="1185" t="s">
        <v>249</v>
      </c>
      <c r="D353" s="868"/>
      <c r="E353" s="868"/>
      <c r="F353" s="868"/>
      <c r="G353" s="868"/>
      <c r="H353" s="868"/>
      <c r="I353" s="868"/>
      <c r="J353" s="868"/>
      <c r="K353" s="868"/>
      <c r="L353" s="868"/>
      <c r="M353" s="1186"/>
      <c r="N353" s="1186"/>
      <c r="O353" s="1186"/>
      <c r="P353" s="1186"/>
      <c r="Q353" s="1186"/>
      <c r="R353" s="1186"/>
      <c r="S353" s="1186"/>
      <c r="T353" s="1186"/>
      <c r="U353" s="1186"/>
      <c r="V353" s="1186"/>
      <c r="W353" s="1186"/>
      <c r="X353" s="1186"/>
      <c r="Y353" s="1186"/>
      <c r="Z353" s="1186"/>
      <c r="AA353" s="1186"/>
      <c r="AB353" s="1186"/>
      <c r="AC353" s="1186"/>
      <c r="AD353" s="1182"/>
      <c r="AE353" s="1182"/>
      <c r="AF353" s="1186"/>
      <c r="AG353" s="1186"/>
      <c r="AH353" s="1186"/>
      <c r="AI353" s="1529">
        <f t="shared" si="14"/>
        <v>0</v>
      </c>
      <c r="AJ353" s="1466"/>
    </row>
    <row r="354" spans="1:37" s="156" customFormat="1" ht="16.149999999999999" customHeight="1" outlineLevel="1">
      <c r="A354" s="1182">
        <v>45</v>
      </c>
      <c r="B354" s="1635" t="str">
        <f>VLOOKUP(C354,'DS CN MOI UP'!$B$10:$C$347,2,0)</f>
        <v>02592</v>
      </c>
      <c r="C354" s="1185" t="s">
        <v>250</v>
      </c>
      <c r="D354" s="868"/>
      <c r="E354" s="868"/>
      <c r="F354" s="868"/>
      <c r="G354" s="868"/>
      <c r="H354" s="868"/>
      <c r="I354" s="868"/>
      <c r="J354" s="868"/>
      <c r="K354" s="868"/>
      <c r="L354" s="868"/>
      <c r="M354" s="1186"/>
      <c r="N354" s="1186"/>
      <c r="O354" s="1186"/>
      <c r="P354" s="1186"/>
      <c r="Q354" s="1186"/>
      <c r="R354" s="1186"/>
      <c r="S354" s="1186"/>
      <c r="T354" s="1186"/>
      <c r="U354" s="1186"/>
      <c r="V354" s="1186"/>
      <c r="W354" s="1186"/>
      <c r="X354" s="1186"/>
      <c r="Y354" s="1186"/>
      <c r="Z354" s="1186"/>
      <c r="AA354" s="1186"/>
      <c r="AB354" s="1186"/>
      <c r="AC354" s="1186"/>
      <c r="AD354" s="1186"/>
      <c r="AE354" s="1186"/>
      <c r="AF354" s="1186"/>
      <c r="AG354" s="1186"/>
      <c r="AH354" s="1186"/>
      <c r="AI354" s="1529">
        <f t="shared" si="14"/>
        <v>0</v>
      </c>
      <c r="AJ354" s="1466"/>
    </row>
    <row r="355" spans="1:37" s="1232" customFormat="1" ht="16.149999999999999" customHeight="1" outlineLevel="1">
      <c r="A355" s="1182">
        <v>46</v>
      </c>
      <c r="B355" s="1635" t="str">
        <f>VLOOKUP(C355,'DS CN MOI UP'!$B$10:$C$347,2,0)</f>
        <v>02598</v>
      </c>
      <c r="C355" s="1185" t="s">
        <v>251</v>
      </c>
      <c r="D355" s="868"/>
      <c r="E355" s="868"/>
      <c r="F355" s="868"/>
      <c r="G355" s="868"/>
      <c r="H355" s="868"/>
      <c r="I355" s="868"/>
      <c r="J355" s="868"/>
      <c r="K355" s="868"/>
      <c r="L355" s="868"/>
      <c r="M355" s="1186"/>
      <c r="N355" s="1186"/>
      <c r="O355" s="1186"/>
      <c r="P355" s="1186"/>
      <c r="Q355" s="1186"/>
      <c r="R355" s="1186"/>
      <c r="S355" s="1186"/>
      <c r="T355" s="1186"/>
      <c r="U355" s="1186"/>
      <c r="V355" s="1186"/>
      <c r="W355" s="1186"/>
      <c r="X355" s="1186"/>
      <c r="Y355" s="1186"/>
      <c r="Z355" s="1186"/>
      <c r="AA355" s="1186"/>
      <c r="AB355" s="1186"/>
      <c r="AC355" s="1186"/>
      <c r="AD355" s="1186"/>
      <c r="AE355" s="1186"/>
      <c r="AF355" s="1186"/>
      <c r="AG355" s="1186"/>
      <c r="AH355" s="1186"/>
      <c r="AI355" s="1529">
        <f t="shared" si="14"/>
        <v>0</v>
      </c>
      <c r="AJ355" s="1466"/>
      <c r="AK355" s="156"/>
    </row>
    <row r="356" spans="1:37" s="156" customFormat="1" ht="16.149999999999999" customHeight="1" outlineLevel="1">
      <c r="A356" s="1182">
        <v>47</v>
      </c>
      <c r="B356" s="1635" t="str">
        <f>VLOOKUP(C356,'DS CN MOI UP'!$B$10:$C$347,2,0)</f>
        <v>02575</v>
      </c>
      <c r="C356" s="1185" t="s">
        <v>252</v>
      </c>
      <c r="D356" s="868"/>
      <c r="E356" s="868"/>
      <c r="F356" s="868"/>
      <c r="G356" s="868"/>
      <c r="H356" s="868"/>
      <c r="I356" s="868"/>
      <c r="J356" s="868"/>
      <c r="K356" s="868"/>
      <c r="L356" s="868"/>
      <c r="M356" s="1186"/>
      <c r="N356" s="1186"/>
      <c r="O356" s="1186"/>
      <c r="P356" s="1186"/>
      <c r="Q356" s="1186"/>
      <c r="R356" s="1186"/>
      <c r="S356" s="1186"/>
      <c r="T356" s="1186"/>
      <c r="U356" s="1186"/>
      <c r="V356" s="1186"/>
      <c r="W356" s="1186"/>
      <c r="X356" s="1186"/>
      <c r="Y356" s="1186"/>
      <c r="Z356" s="1186"/>
      <c r="AA356" s="1186"/>
      <c r="AB356" s="1186"/>
      <c r="AC356" s="1186"/>
      <c r="AD356" s="1186"/>
      <c r="AE356" s="1186"/>
      <c r="AF356" s="1186"/>
      <c r="AG356" s="1186"/>
      <c r="AH356" s="1186"/>
      <c r="AI356" s="1529">
        <f t="shared" si="14"/>
        <v>0</v>
      </c>
      <c r="AJ356" s="1466"/>
    </row>
    <row r="357" spans="1:37" s="156" customFormat="1" ht="16.149999999999999" customHeight="1" outlineLevel="1">
      <c r="A357" s="1182">
        <v>48</v>
      </c>
      <c r="B357" s="1635" t="str">
        <f>VLOOKUP(C357,'DS CN MOI UP'!$B$10:$C$347,2,0)</f>
        <v>02606</v>
      </c>
      <c r="C357" s="1185" t="s">
        <v>253</v>
      </c>
      <c r="D357" s="868"/>
      <c r="E357" s="868"/>
      <c r="F357" s="868"/>
      <c r="G357" s="868"/>
      <c r="H357" s="868"/>
      <c r="I357" s="868"/>
      <c r="J357" s="868"/>
      <c r="K357" s="868"/>
      <c r="L357" s="868"/>
      <c r="M357" s="1186"/>
      <c r="N357" s="1186"/>
      <c r="O357" s="1186"/>
      <c r="P357" s="1186"/>
      <c r="Q357" s="1186"/>
      <c r="R357" s="1186"/>
      <c r="S357" s="1186"/>
      <c r="T357" s="1186"/>
      <c r="U357" s="1186"/>
      <c r="V357" s="1186"/>
      <c r="W357" s="1186"/>
      <c r="X357" s="1186"/>
      <c r="Y357" s="1186"/>
      <c r="Z357" s="1186"/>
      <c r="AA357" s="1186"/>
      <c r="AB357" s="1186"/>
      <c r="AC357" s="1186"/>
      <c r="AD357" s="1186"/>
      <c r="AE357" s="1186"/>
      <c r="AF357" s="1186"/>
      <c r="AG357" s="1186"/>
      <c r="AH357" s="1186"/>
      <c r="AI357" s="1529">
        <f t="shared" si="14"/>
        <v>0</v>
      </c>
      <c r="AJ357" s="1466"/>
    </row>
    <row r="358" spans="1:37" s="156" customFormat="1" ht="16.149999999999999" customHeight="1" outlineLevel="1">
      <c r="A358" s="1182">
        <v>49</v>
      </c>
      <c r="B358" s="1635" t="str">
        <f>VLOOKUP(C358,'DS CN MOI UP'!$B$10:$C$347,2,0)</f>
        <v>02607</v>
      </c>
      <c r="C358" s="1185" t="s">
        <v>254</v>
      </c>
      <c r="D358" s="868"/>
      <c r="E358" s="868"/>
      <c r="F358" s="868"/>
      <c r="G358" s="868"/>
      <c r="H358" s="868"/>
      <c r="I358" s="868"/>
      <c r="J358" s="868"/>
      <c r="K358" s="868"/>
      <c r="L358" s="868"/>
      <c r="M358" s="1186"/>
      <c r="N358" s="1186"/>
      <c r="O358" s="1186"/>
      <c r="P358" s="1186"/>
      <c r="Q358" s="1186"/>
      <c r="R358" s="1186"/>
      <c r="S358" s="1186"/>
      <c r="T358" s="1186"/>
      <c r="U358" s="1186"/>
      <c r="V358" s="1186"/>
      <c r="W358" s="1186"/>
      <c r="X358" s="1186"/>
      <c r="Y358" s="1186"/>
      <c r="Z358" s="1186"/>
      <c r="AA358" s="1186"/>
      <c r="AB358" s="1186"/>
      <c r="AC358" s="1186"/>
      <c r="AD358" s="1186"/>
      <c r="AE358" s="1186"/>
      <c r="AF358" s="1186"/>
      <c r="AG358" s="1186"/>
      <c r="AH358" s="1186"/>
      <c r="AI358" s="1529">
        <f t="shared" si="14"/>
        <v>0</v>
      </c>
      <c r="AJ358" s="1466"/>
    </row>
    <row r="359" spans="1:37" s="156" customFormat="1" ht="16.149999999999999" customHeight="1" outlineLevel="1">
      <c r="A359" s="1182">
        <v>50</v>
      </c>
      <c r="B359" s="1635" t="str">
        <f>VLOOKUP(C359,'DS CN MOI UP'!$B$10:$C$347,2,0)</f>
        <v>02612</v>
      </c>
      <c r="C359" s="1185" t="s">
        <v>255</v>
      </c>
      <c r="D359" s="868"/>
      <c r="E359" s="868"/>
      <c r="F359" s="868"/>
      <c r="G359" s="868"/>
      <c r="H359" s="868"/>
      <c r="I359" s="868"/>
      <c r="J359" s="868"/>
      <c r="K359" s="868"/>
      <c r="L359" s="868"/>
      <c r="M359" s="1186"/>
      <c r="N359" s="1186"/>
      <c r="O359" s="1186"/>
      <c r="P359" s="1186"/>
      <c r="Q359" s="1186"/>
      <c r="R359" s="1186"/>
      <c r="S359" s="1186"/>
      <c r="T359" s="1186"/>
      <c r="U359" s="1186"/>
      <c r="V359" s="1186"/>
      <c r="W359" s="1186"/>
      <c r="X359" s="1186"/>
      <c r="Y359" s="1186"/>
      <c r="Z359" s="1186"/>
      <c r="AA359" s="1186"/>
      <c r="AB359" s="1186"/>
      <c r="AC359" s="1186"/>
      <c r="AD359" s="1186"/>
      <c r="AE359" s="1186"/>
      <c r="AF359" s="1186"/>
      <c r="AG359" s="1186"/>
      <c r="AH359" s="1186"/>
      <c r="AI359" s="1529">
        <f t="shared" si="14"/>
        <v>0</v>
      </c>
      <c r="AJ359" s="1466"/>
    </row>
    <row r="360" spans="1:37" s="156" customFormat="1" ht="16.149999999999999" customHeight="1" outlineLevel="1">
      <c r="A360" s="1182">
        <v>51</v>
      </c>
      <c r="B360" s="1635" t="str">
        <f>VLOOKUP(C360,'DS CN MOI UP'!$B$10:$C$347,2,0)</f>
        <v>02574</v>
      </c>
      <c r="C360" s="1185" t="s">
        <v>256</v>
      </c>
      <c r="D360" s="868"/>
      <c r="E360" s="868"/>
      <c r="F360" s="868"/>
      <c r="G360" s="868"/>
      <c r="H360" s="868"/>
      <c r="I360" s="868"/>
      <c r="J360" s="868"/>
      <c r="K360" s="868"/>
      <c r="L360" s="868"/>
      <c r="M360" s="1186"/>
      <c r="N360" s="1186"/>
      <c r="O360" s="1186"/>
      <c r="P360" s="1186"/>
      <c r="Q360" s="1186"/>
      <c r="R360" s="1186"/>
      <c r="S360" s="1186"/>
      <c r="T360" s="1186"/>
      <c r="U360" s="1186"/>
      <c r="V360" s="1186"/>
      <c r="W360" s="1186"/>
      <c r="X360" s="1186"/>
      <c r="Y360" s="1186"/>
      <c r="Z360" s="1186"/>
      <c r="AA360" s="1186"/>
      <c r="AB360" s="1186"/>
      <c r="AC360" s="1186"/>
      <c r="AD360" s="1186"/>
      <c r="AE360" s="1186"/>
      <c r="AF360" s="1186"/>
      <c r="AG360" s="1186"/>
      <c r="AH360" s="1186"/>
      <c r="AI360" s="1529">
        <f t="shared" si="14"/>
        <v>0</v>
      </c>
      <c r="AJ360" s="1466"/>
    </row>
    <row r="361" spans="1:37" s="156" customFormat="1" ht="16.149999999999999" customHeight="1" outlineLevel="1">
      <c r="A361" s="1182">
        <v>52</v>
      </c>
      <c r="B361" s="1635" t="str">
        <f>VLOOKUP(C361,'DS CN MOI UP'!$B$10:$C$347,2,0)</f>
        <v>02605</v>
      </c>
      <c r="C361" s="1185" t="s">
        <v>258</v>
      </c>
      <c r="D361" s="868"/>
      <c r="E361" s="868"/>
      <c r="F361" s="868"/>
      <c r="G361" s="868"/>
      <c r="H361" s="868"/>
      <c r="I361" s="868"/>
      <c r="J361" s="868"/>
      <c r="K361" s="868"/>
      <c r="L361" s="868"/>
      <c r="M361" s="1186"/>
      <c r="N361" s="1186"/>
      <c r="O361" s="1186"/>
      <c r="P361" s="1186"/>
      <c r="Q361" s="1186"/>
      <c r="R361" s="1186"/>
      <c r="S361" s="1186"/>
      <c r="T361" s="1186"/>
      <c r="U361" s="1186"/>
      <c r="V361" s="1186"/>
      <c r="W361" s="1186"/>
      <c r="X361" s="1186"/>
      <c r="Y361" s="1186"/>
      <c r="Z361" s="1186"/>
      <c r="AA361" s="1186"/>
      <c r="AB361" s="1186"/>
      <c r="AC361" s="1186"/>
      <c r="AD361" s="1186"/>
      <c r="AE361" s="1186"/>
      <c r="AF361" s="1186"/>
      <c r="AG361" s="1186"/>
      <c r="AH361" s="1186"/>
      <c r="AI361" s="1529">
        <f t="shared" si="14"/>
        <v>0</v>
      </c>
      <c r="AJ361" s="1466"/>
    </row>
    <row r="362" spans="1:37" s="156" customFormat="1" ht="16.149999999999999" customHeight="1" outlineLevel="1">
      <c r="A362" s="1182">
        <v>53</v>
      </c>
      <c r="B362" s="1635" t="str">
        <f>VLOOKUP(C362,'DS CN MOI UP'!$B$10:$C$347,2,0)</f>
        <v>02588</v>
      </c>
      <c r="C362" s="1185" t="s">
        <v>259</v>
      </c>
      <c r="D362" s="868"/>
      <c r="E362" s="868"/>
      <c r="F362" s="868"/>
      <c r="G362" s="868"/>
      <c r="H362" s="868"/>
      <c r="I362" s="868"/>
      <c r="J362" s="868"/>
      <c r="K362" s="868"/>
      <c r="L362" s="868"/>
      <c r="M362" s="1186"/>
      <c r="N362" s="1186"/>
      <c r="O362" s="1186"/>
      <c r="P362" s="1186"/>
      <c r="Q362" s="1186"/>
      <c r="R362" s="1186"/>
      <c r="S362" s="1186"/>
      <c r="T362" s="1186"/>
      <c r="U362" s="1186"/>
      <c r="V362" s="1186"/>
      <c r="W362" s="1186"/>
      <c r="X362" s="1186"/>
      <c r="Y362" s="1186"/>
      <c r="Z362" s="1186"/>
      <c r="AA362" s="1186"/>
      <c r="AB362" s="1186"/>
      <c r="AC362" s="1186"/>
      <c r="AD362" s="1186"/>
      <c r="AE362" s="1186"/>
      <c r="AF362" s="1186"/>
      <c r="AG362" s="1186"/>
      <c r="AH362" s="1186"/>
      <c r="AI362" s="1529">
        <f t="shared" si="14"/>
        <v>0</v>
      </c>
      <c r="AJ362" s="1466"/>
    </row>
    <row r="363" spans="1:37" s="156" customFormat="1" ht="16.149999999999999" customHeight="1" outlineLevel="1">
      <c r="A363" s="1182">
        <v>54</v>
      </c>
      <c r="B363" s="1635" t="str">
        <f>VLOOKUP(C363,'DS CN MOI UP'!$B$10:$C$347,2,0)</f>
        <v>02577</v>
      </c>
      <c r="C363" s="1185" t="s">
        <v>257</v>
      </c>
      <c r="D363" s="868"/>
      <c r="E363" s="868"/>
      <c r="F363" s="868"/>
      <c r="G363" s="868"/>
      <c r="H363" s="868"/>
      <c r="I363" s="868"/>
      <c r="J363" s="868"/>
      <c r="K363" s="868"/>
      <c r="L363" s="868"/>
      <c r="M363" s="1186"/>
      <c r="N363" s="1186"/>
      <c r="O363" s="1186"/>
      <c r="P363" s="1186"/>
      <c r="Q363" s="1186"/>
      <c r="R363" s="1186"/>
      <c r="S363" s="1186"/>
      <c r="T363" s="1186"/>
      <c r="U363" s="1186"/>
      <c r="V363" s="1186"/>
      <c r="W363" s="1186"/>
      <c r="X363" s="1186"/>
      <c r="Y363" s="1186"/>
      <c r="Z363" s="1186"/>
      <c r="AA363" s="1186"/>
      <c r="AB363" s="1186"/>
      <c r="AC363" s="1186"/>
      <c r="AD363" s="1186"/>
      <c r="AE363" s="1186"/>
      <c r="AF363" s="1186"/>
      <c r="AG363" s="1186"/>
      <c r="AH363" s="1186"/>
      <c r="AI363" s="1529">
        <f t="shared" si="14"/>
        <v>0</v>
      </c>
      <c r="AJ363" s="1466"/>
    </row>
    <row r="364" spans="1:37" s="156" customFormat="1" ht="16.149999999999999" customHeight="1" outlineLevel="1">
      <c r="A364" s="1182">
        <v>55</v>
      </c>
      <c r="B364" s="1635" t="str">
        <f>VLOOKUP(C364,'DS CN MOI UP'!$B$10:$C$347,2,0)</f>
        <v>03857</v>
      </c>
      <c r="C364" s="1185" t="s">
        <v>260</v>
      </c>
      <c r="D364" s="868"/>
      <c r="E364" s="868"/>
      <c r="F364" s="868"/>
      <c r="G364" s="868"/>
      <c r="H364" s="868"/>
      <c r="I364" s="868"/>
      <c r="J364" s="868"/>
      <c r="K364" s="868"/>
      <c r="L364" s="868"/>
      <c r="M364" s="1186"/>
      <c r="N364" s="1186"/>
      <c r="O364" s="1186"/>
      <c r="P364" s="1186"/>
      <c r="Q364" s="1186"/>
      <c r="R364" s="1186"/>
      <c r="S364" s="1186"/>
      <c r="T364" s="1186"/>
      <c r="U364" s="1186"/>
      <c r="V364" s="1186"/>
      <c r="W364" s="1186"/>
      <c r="X364" s="1186"/>
      <c r="Y364" s="1186"/>
      <c r="Z364" s="1186"/>
      <c r="AA364" s="1186"/>
      <c r="AB364" s="1186"/>
      <c r="AC364" s="1186"/>
      <c r="AD364" s="1186"/>
      <c r="AE364" s="1186"/>
      <c r="AF364" s="1186"/>
      <c r="AG364" s="1186"/>
      <c r="AH364" s="1186"/>
      <c r="AI364" s="1529">
        <f t="shared" si="14"/>
        <v>0</v>
      </c>
      <c r="AJ364" s="1466"/>
    </row>
    <row r="365" spans="1:37" s="156" customFormat="1" ht="16.149999999999999" customHeight="1" outlineLevel="1">
      <c r="A365" s="1182">
        <v>56</v>
      </c>
      <c r="B365" s="1635" t="str">
        <f>VLOOKUP(C365,'DS CN MOI UP'!$B$10:$C$347,2,0)</f>
        <v>02597</v>
      </c>
      <c r="C365" s="1185" t="s">
        <v>261</v>
      </c>
      <c r="D365" s="868"/>
      <c r="E365" s="868"/>
      <c r="F365" s="868"/>
      <c r="G365" s="868"/>
      <c r="H365" s="868"/>
      <c r="I365" s="868"/>
      <c r="J365" s="868"/>
      <c r="K365" s="868"/>
      <c r="L365" s="868"/>
      <c r="M365" s="1186"/>
      <c r="N365" s="1186"/>
      <c r="O365" s="1186"/>
      <c r="P365" s="1186"/>
      <c r="Q365" s="1186"/>
      <c r="R365" s="1186"/>
      <c r="S365" s="1186"/>
      <c r="T365" s="1186"/>
      <c r="U365" s="1186"/>
      <c r="V365" s="1186"/>
      <c r="W365" s="1186"/>
      <c r="X365" s="1186"/>
      <c r="Y365" s="1186"/>
      <c r="Z365" s="1186"/>
      <c r="AA365" s="1186"/>
      <c r="AB365" s="1186"/>
      <c r="AC365" s="1186"/>
      <c r="AD365" s="1186"/>
      <c r="AE365" s="1186"/>
      <c r="AF365" s="1186"/>
      <c r="AG365" s="1186"/>
      <c r="AH365" s="1186"/>
      <c r="AI365" s="1529">
        <f t="shared" si="14"/>
        <v>0</v>
      </c>
      <c r="AJ365" s="1466"/>
    </row>
    <row r="366" spans="1:37" s="156" customFormat="1" ht="16.149999999999999" customHeight="1" outlineLevel="1">
      <c r="A366" s="1182">
        <v>57</v>
      </c>
      <c r="B366" s="1635" t="str">
        <f>VLOOKUP(C366,'DS CN MOI UP'!$B$10:$C$347,2,0)</f>
        <v>02590</v>
      </c>
      <c r="C366" s="1185" t="s">
        <v>262</v>
      </c>
      <c r="D366" s="868"/>
      <c r="E366" s="868"/>
      <c r="F366" s="868"/>
      <c r="G366" s="868"/>
      <c r="H366" s="868"/>
      <c r="I366" s="868"/>
      <c r="J366" s="868"/>
      <c r="K366" s="868"/>
      <c r="L366" s="868"/>
      <c r="M366" s="1186"/>
      <c r="N366" s="1186"/>
      <c r="O366" s="1186"/>
      <c r="P366" s="1186"/>
      <c r="Q366" s="1186"/>
      <c r="R366" s="1186"/>
      <c r="S366" s="1186"/>
      <c r="T366" s="1186"/>
      <c r="U366" s="1186"/>
      <c r="V366" s="1186"/>
      <c r="W366" s="1186"/>
      <c r="X366" s="1186"/>
      <c r="Y366" s="1186"/>
      <c r="Z366" s="1186"/>
      <c r="AA366" s="1186"/>
      <c r="AB366" s="1186"/>
      <c r="AC366" s="1186"/>
      <c r="AD366" s="1186"/>
      <c r="AE366" s="1186"/>
      <c r="AF366" s="1186"/>
      <c r="AG366" s="1186"/>
      <c r="AH366" s="1186"/>
      <c r="AI366" s="1529">
        <f t="shared" si="14"/>
        <v>0</v>
      </c>
      <c r="AJ366" s="1466"/>
    </row>
    <row r="367" spans="1:37" s="156" customFormat="1" ht="16.149999999999999" customHeight="1" outlineLevel="1">
      <c r="A367" s="1182">
        <v>58</v>
      </c>
      <c r="B367" s="1635" t="str">
        <f>VLOOKUP(C367,'DS CN MOI UP'!$B$10:$C$347,2,0)</f>
        <v>02585</v>
      </c>
      <c r="C367" s="1185" t="s">
        <v>263</v>
      </c>
      <c r="D367" s="868"/>
      <c r="E367" s="868"/>
      <c r="F367" s="868"/>
      <c r="G367" s="868"/>
      <c r="H367" s="868"/>
      <c r="I367" s="868"/>
      <c r="J367" s="868"/>
      <c r="K367" s="868"/>
      <c r="L367" s="868"/>
      <c r="M367" s="1186"/>
      <c r="N367" s="1186"/>
      <c r="O367" s="1186"/>
      <c r="P367" s="1186"/>
      <c r="Q367" s="1186"/>
      <c r="R367" s="1186"/>
      <c r="S367" s="1186"/>
      <c r="T367" s="1186"/>
      <c r="U367" s="1186"/>
      <c r="V367" s="1186"/>
      <c r="W367" s="1186"/>
      <c r="X367" s="1186"/>
      <c r="Y367" s="1186"/>
      <c r="Z367" s="1186"/>
      <c r="AA367" s="1186"/>
      <c r="AB367" s="1186"/>
      <c r="AC367" s="1186"/>
      <c r="AD367" s="1186"/>
      <c r="AE367" s="1186"/>
      <c r="AF367" s="1186"/>
      <c r="AG367" s="1186"/>
      <c r="AH367" s="1186"/>
      <c r="AI367" s="1529">
        <f t="shared" si="14"/>
        <v>0</v>
      </c>
      <c r="AJ367" s="1466"/>
    </row>
    <row r="368" spans="1:37" s="156" customFormat="1" ht="16.149999999999999" customHeight="1" outlineLevel="1">
      <c r="A368" s="1182">
        <v>59</v>
      </c>
      <c r="B368" s="1635" t="str">
        <f>VLOOKUP(C368,'DS CN MOI UP'!$B$10:$C$347,2,0)</f>
        <v>03399</v>
      </c>
      <c r="C368" s="1185" t="s">
        <v>264</v>
      </c>
      <c r="D368" s="868"/>
      <c r="E368" s="868"/>
      <c r="F368" s="868"/>
      <c r="G368" s="868"/>
      <c r="H368" s="868"/>
      <c r="I368" s="868"/>
      <c r="J368" s="868"/>
      <c r="K368" s="868"/>
      <c r="L368" s="868"/>
      <c r="M368" s="1186"/>
      <c r="N368" s="1186"/>
      <c r="O368" s="1186"/>
      <c r="P368" s="1186"/>
      <c r="Q368" s="1186"/>
      <c r="R368" s="1186"/>
      <c r="S368" s="1186"/>
      <c r="T368" s="1186"/>
      <c r="U368" s="1186"/>
      <c r="V368" s="1186"/>
      <c r="W368" s="1186"/>
      <c r="X368" s="1186"/>
      <c r="Y368" s="1186"/>
      <c r="Z368" s="1186"/>
      <c r="AA368" s="1186"/>
      <c r="AB368" s="1186"/>
      <c r="AC368" s="1186"/>
      <c r="AD368" s="1186"/>
      <c r="AE368" s="1182"/>
      <c r="AF368" s="1186"/>
      <c r="AG368" s="1186"/>
      <c r="AH368" s="1186"/>
      <c r="AI368" s="1529">
        <f t="shared" si="14"/>
        <v>0</v>
      </c>
      <c r="AJ368" s="1466"/>
    </row>
    <row r="369" spans="1:38" s="156" customFormat="1" ht="16.149999999999999" customHeight="1" outlineLevel="1">
      <c r="A369" s="1182">
        <v>60</v>
      </c>
      <c r="B369" s="1635" t="str">
        <f>VLOOKUP(C369,'DS CN MOI UP'!$B$10:$C$347,2,0)</f>
        <v>02584</v>
      </c>
      <c r="C369" s="1185" t="s">
        <v>265</v>
      </c>
      <c r="D369" s="868"/>
      <c r="E369" s="868"/>
      <c r="F369" s="868"/>
      <c r="G369" s="868"/>
      <c r="H369" s="868"/>
      <c r="I369" s="868"/>
      <c r="J369" s="868"/>
      <c r="K369" s="868"/>
      <c r="L369" s="868"/>
      <c r="M369" s="1186"/>
      <c r="N369" s="1186"/>
      <c r="O369" s="1186"/>
      <c r="P369" s="1186"/>
      <c r="Q369" s="1186"/>
      <c r="R369" s="1186"/>
      <c r="S369" s="1186"/>
      <c r="T369" s="1186"/>
      <c r="U369" s="1186"/>
      <c r="V369" s="1186"/>
      <c r="W369" s="1186"/>
      <c r="X369" s="1186"/>
      <c r="Y369" s="1186"/>
      <c r="Z369" s="1186"/>
      <c r="AA369" s="1186"/>
      <c r="AB369" s="1186"/>
      <c r="AC369" s="1186"/>
      <c r="AD369" s="1186"/>
      <c r="AE369" s="1186"/>
      <c r="AF369" s="1186"/>
      <c r="AG369" s="1186"/>
      <c r="AH369" s="1186"/>
      <c r="AI369" s="1529">
        <f t="shared" si="14"/>
        <v>0</v>
      </c>
      <c r="AJ369" s="1466"/>
    </row>
    <row r="370" spans="1:38" s="156" customFormat="1" ht="16.149999999999999" customHeight="1" outlineLevel="1">
      <c r="A370" s="1182">
        <v>61</v>
      </c>
      <c r="B370" s="1635" t="str">
        <f>VLOOKUP(C370,'DS CN MOI UP'!$B$10:$C$347,2,0)</f>
        <v>02698</v>
      </c>
      <c r="C370" s="1185" t="s">
        <v>266</v>
      </c>
      <c r="D370" s="868"/>
      <c r="E370" s="868"/>
      <c r="F370" s="868"/>
      <c r="G370" s="868"/>
      <c r="H370" s="868"/>
      <c r="I370" s="868"/>
      <c r="J370" s="868"/>
      <c r="K370" s="868"/>
      <c r="L370" s="868"/>
      <c r="M370" s="1186"/>
      <c r="N370" s="1186"/>
      <c r="O370" s="1186"/>
      <c r="P370" s="1186"/>
      <c r="Q370" s="1186"/>
      <c r="R370" s="1186"/>
      <c r="S370" s="1186"/>
      <c r="T370" s="1186"/>
      <c r="U370" s="1186"/>
      <c r="V370" s="1186"/>
      <c r="W370" s="1186"/>
      <c r="X370" s="1186"/>
      <c r="Y370" s="1186"/>
      <c r="Z370" s="1186"/>
      <c r="AA370" s="1186"/>
      <c r="AB370" s="1186"/>
      <c r="AC370" s="1186"/>
      <c r="AD370" s="1186"/>
      <c r="AE370" s="1186"/>
      <c r="AF370" s="1186"/>
      <c r="AG370" s="1186"/>
      <c r="AH370" s="1186"/>
      <c r="AI370" s="1529">
        <f t="shared" si="14"/>
        <v>0</v>
      </c>
      <c r="AJ370" s="1466"/>
    </row>
    <row r="371" spans="1:38" s="156" customFormat="1" ht="16.149999999999999" customHeight="1" outlineLevel="1">
      <c r="A371" s="1182">
        <v>62</v>
      </c>
      <c r="B371" s="1635" t="str">
        <f>VLOOKUP(C371,'DS CN MOI UP'!$B$10:$C$347,2,0)</f>
        <v>03858</v>
      </c>
      <c r="C371" s="1185" t="s">
        <v>267</v>
      </c>
      <c r="D371" s="868"/>
      <c r="E371" s="868"/>
      <c r="F371" s="868"/>
      <c r="G371" s="868"/>
      <c r="H371" s="868"/>
      <c r="I371" s="868"/>
      <c r="J371" s="868"/>
      <c r="K371" s="868"/>
      <c r="L371" s="868"/>
      <c r="M371" s="1186"/>
      <c r="N371" s="1186"/>
      <c r="O371" s="1186"/>
      <c r="P371" s="1186"/>
      <c r="Q371" s="1186"/>
      <c r="R371" s="1186"/>
      <c r="S371" s="1186"/>
      <c r="T371" s="1186"/>
      <c r="U371" s="1186"/>
      <c r="V371" s="1186"/>
      <c r="W371" s="1186"/>
      <c r="X371" s="1186"/>
      <c r="Y371" s="1186"/>
      <c r="Z371" s="1186"/>
      <c r="AA371" s="1186"/>
      <c r="AB371" s="1186"/>
      <c r="AC371" s="1186"/>
      <c r="AD371" s="1182"/>
      <c r="AE371" s="1186"/>
      <c r="AF371" s="1186"/>
      <c r="AG371" s="1186"/>
      <c r="AH371" s="1186"/>
      <c r="AI371" s="1529">
        <f t="shared" si="14"/>
        <v>0</v>
      </c>
      <c r="AJ371" s="1466"/>
    </row>
    <row r="372" spans="1:38" s="156" customFormat="1" ht="16.149999999999999" customHeight="1" outlineLevel="1">
      <c r="A372" s="1182">
        <v>63</v>
      </c>
      <c r="B372" s="1635" t="str">
        <f>VLOOKUP(C372,'DS CN MOI UP'!$B$10:$C$347,2,0)</f>
        <v>02591</v>
      </c>
      <c r="C372" s="1185" t="s">
        <v>268</v>
      </c>
      <c r="D372" s="868"/>
      <c r="E372" s="868"/>
      <c r="F372" s="868"/>
      <c r="G372" s="868"/>
      <c r="H372" s="868"/>
      <c r="I372" s="868"/>
      <c r="J372" s="868"/>
      <c r="K372" s="868"/>
      <c r="L372" s="868"/>
      <c r="M372" s="1186"/>
      <c r="N372" s="1186"/>
      <c r="O372" s="1186"/>
      <c r="P372" s="1186"/>
      <c r="Q372" s="1186"/>
      <c r="R372" s="1186"/>
      <c r="S372" s="1186"/>
      <c r="T372" s="1186"/>
      <c r="U372" s="1186"/>
      <c r="V372" s="1186"/>
      <c r="W372" s="1186"/>
      <c r="X372" s="1186"/>
      <c r="Y372" s="1186"/>
      <c r="Z372" s="1186"/>
      <c r="AA372" s="1186"/>
      <c r="AB372" s="1186"/>
      <c r="AC372" s="1186"/>
      <c r="AD372" s="1186"/>
      <c r="AE372" s="1186"/>
      <c r="AF372" s="1186"/>
      <c r="AG372" s="1186"/>
      <c r="AH372" s="1186"/>
      <c r="AI372" s="1529">
        <f t="shared" si="14"/>
        <v>0</v>
      </c>
      <c r="AJ372" s="1466"/>
    </row>
    <row r="373" spans="1:38" s="156" customFormat="1" ht="16.149999999999999" customHeight="1" outlineLevel="1">
      <c r="A373" s="1182">
        <v>64</v>
      </c>
      <c r="B373" s="1635" t="str">
        <f>VLOOKUP(C373,'DS CN MOI UP'!$B$10:$C$347,2,0)</f>
        <v>02595</v>
      </c>
      <c r="C373" s="1185" t="s">
        <v>269</v>
      </c>
      <c r="D373" s="868"/>
      <c r="E373" s="868"/>
      <c r="F373" s="868"/>
      <c r="G373" s="868"/>
      <c r="H373" s="868"/>
      <c r="I373" s="868"/>
      <c r="J373" s="868"/>
      <c r="K373" s="868"/>
      <c r="L373" s="868"/>
      <c r="M373" s="1186"/>
      <c r="N373" s="1186"/>
      <c r="O373" s="1186"/>
      <c r="P373" s="1186"/>
      <c r="Q373" s="1186"/>
      <c r="R373" s="1186"/>
      <c r="S373" s="1186"/>
      <c r="T373" s="1186"/>
      <c r="U373" s="1186"/>
      <c r="V373" s="1186"/>
      <c r="W373" s="1186"/>
      <c r="X373" s="1186"/>
      <c r="Y373" s="1186"/>
      <c r="Z373" s="1186"/>
      <c r="AA373" s="1186"/>
      <c r="AB373" s="1186"/>
      <c r="AC373" s="1186"/>
      <c r="AD373" s="1186"/>
      <c r="AE373" s="1186"/>
      <c r="AF373" s="1186"/>
      <c r="AG373" s="1186"/>
      <c r="AH373" s="1186"/>
      <c r="AI373" s="1529">
        <f t="shared" si="14"/>
        <v>0</v>
      </c>
      <c r="AJ373" s="1466"/>
    </row>
    <row r="374" spans="1:38" s="156" customFormat="1" ht="16.149999999999999" customHeight="1" outlineLevel="1">
      <c r="A374" s="1182">
        <v>65</v>
      </c>
      <c r="B374" s="1635" t="str">
        <f>VLOOKUP(C374,'DS CN MOI UP'!$B$10:$C$347,2,0)</f>
        <v>02582</v>
      </c>
      <c r="C374" s="1185" t="s">
        <v>270</v>
      </c>
      <c r="D374" s="868"/>
      <c r="E374" s="868"/>
      <c r="F374" s="868"/>
      <c r="G374" s="868"/>
      <c r="H374" s="868"/>
      <c r="I374" s="868"/>
      <c r="J374" s="868"/>
      <c r="K374" s="868"/>
      <c r="L374" s="868"/>
      <c r="M374" s="1186"/>
      <c r="N374" s="1186"/>
      <c r="O374" s="1186"/>
      <c r="P374" s="1186"/>
      <c r="Q374" s="1186"/>
      <c r="R374" s="1186"/>
      <c r="S374" s="1186"/>
      <c r="T374" s="1186"/>
      <c r="U374" s="1186"/>
      <c r="V374" s="1186"/>
      <c r="W374" s="1186"/>
      <c r="X374" s="1186"/>
      <c r="Y374" s="1186"/>
      <c r="Z374" s="1186"/>
      <c r="AA374" s="1186"/>
      <c r="AB374" s="1186"/>
      <c r="AC374" s="1186"/>
      <c r="AD374" s="1186"/>
      <c r="AE374" s="1186"/>
      <c r="AF374" s="1186"/>
      <c r="AG374" s="1186"/>
      <c r="AH374" s="1186"/>
      <c r="AI374" s="1529">
        <f t="shared" ref="AI374:AI381" si="15">COUNTIF(D374:AH374,"X")</f>
        <v>0</v>
      </c>
      <c r="AJ374" s="1466"/>
    </row>
    <row r="375" spans="1:38" s="156" customFormat="1" ht="16.149999999999999" customHeight="1" outlineLevel="1">
      <c r="A375" s="1182">
        <v>66</v>
      </c>
      <c r="B375" s="1635" t="str">
        <f>VLOOKUP(C375,'DS CN MOI UP'!$B$10:$C$347,2,0)</f>
        <v>02572</v>
      </c>
      <c r="C375" s="1185" t="s">
        <v>271</v>
      </c>
      <c r="D375" s="868"/>
      <c r="E375" s="868"/>
      <c r="F375" s="868"/>
      <c r="G375" s="868"/>
      <c r="H375" s="868"/>
      <c r="I375" s="868"/>
      <c r="J375" s="868"/>
      <c r="K375" s="868"/>
      <c r="L375" s="868"/>
      <c r="M375" s="1186"/>
      <c r="N375" s="1186"/>
      <c r="O375" s="1186"/>
      <c r="P375" s="1186"/>
      <c r="Q375" s="1186"/>
      <c r="R375" s="1186"/>
      <c r="S375" s="1186"/>
      <c r="T375" s="1186"/>
      <c r="U375" s="1186"/>
      <c r="V375" s="1186"/>
      <c r="W375" s="1186"/>
      <c r="X375" s="1186"/>
      <c r="Y375" s="1186"/>
      <c r="Z375" s="1186"/>
      <c r="AA375" s="1186"/>
      <c r="AB375" s="1186"/>
      <c r="AC375" s="1186"/>
      <c r="AD375" s="1182"/>
      <c r="AE375" s="1182"/>
      <c r="AF375" s="1186"/>
      <c r="AG375" s="1186"/>
      <c r="AH375" s="1186"/>
      <c r="AI375" s="1529">
        <f t="shared" si="15"/>
        <v>0</v>
      </c>
      <c r="AJ375" s="1466"/>
    </row>
    <row r="376" spans="1:38" s="156" customFormat="1" ht="16.149999999999999" customHeight="1" outlineLevel="1">
      <c r="A376" s="1182">
        <v>67</v>
      </c>
      <c r="B376" s="1635" t="str">
        <f>VLOOKUP(C376,'DS CN MOI UP'!$B$10:$C$347,2,0)</f>
        <v>02694</v>
      </c>
      <c r="C376" s="1185" t="s">
        <v>272</v>
      </c>
      <c r="D376" s="868"/>
      <c r="E376" s="868"/>
      <c r="F376" s="868"/>
      <c r="G376" s="868"/>
      <c r="H376" s="868"/>
      <c r="I376" s="868"/>
      <c r="J376" s="868"/>
      <c r="K376" s="868"/>
      <c r="L376" s="868"/>
      <c r="M376" s="1186"/>
      <c r="N376" s="1186"/>
      <c r="O376" s="1186"/>
      <c r="P376" s="1186"/>
      <c r="Q376" s="1186"/>
      <c r="R376" s="1186"/>
      <c r="S376" s="1186"/>
      <c r="T376" s="1186"/>
      <c r="U376" s="1186"/>
      <c r="V376" s="1186"/>
      <c r="W376" s="1186"/>
      <c r="X376" s="1186"/>
      <c r="Y376" s="1186"/>
      <c r="Z376" s="1186"/>
      <c r="AA376" s="1186"/>
      <c r="AB376" s="1186"/>
      <c r="AC376" s="1186"/>
      <c r="AD376" s="1186"/>
      <c r="AE376" s="1186"/>
      <c r="AF376" s="1186"/>
      <c r="AG376" s="1186"/>
      <c r="AH376" s="1186"/>
      <c r="AI376" s="1529">
        <f t="shared" si="15"/>
        <v>0</v>
      </c>
      <c r="AJ376" s="1466"/>
    </row>
    <row r="377" spans="1:38" s="156" customFormat="1" ht="16.149999999999999" customHeight="1" outlineLevel="1">
      <c r="A377" s="1182">
        <v>68</v>
      </c>
      <c r="B377" s="1635" t="str">
        <f>VLOOKUP(C377,'DS CN MOI UP'!$B$10:$C$347,2,0)</f>
        <v>02699</v>
      </c>
      <c r="C377" s="1185" t="s">
        <v>273</v>
      </c>
      <c r="D377" s="868"/>
      <c r="E377" s="868"/>
      <c r="F377" s="868"/>
      <c r="G377" s="868"/>
      <c r="H377" s="868"/>
      <c r="I377" s="868"/>
      <c r="J377" s="868"/>
      <c r="K377" s="868"/>
      <c r="L377" s="868"/>
      <c r="M377" s="1186"/>
      <c r="N377" s="1186"/>
      <c r="O377" s="1186"/>
      <c r="P377" s="1186"/>
      <c r="Q377" s="1186"/>
      <c r="R377" s="1186"/>
      <c r="S377" s="1186"/>
      <c r="T377" s="1186"/>
      <c r="U377" s="1186"/>
      <c r="V377" s="1186"/>
      <c r="W377" s="1186"/>
      <c r="X377" s="1186"/>
      <c r="Y377" s="1186"/>
      <c r="Z377" s="1186"/>
      <c r="AA377" s="1186"/>
      <c r="AB377" s="1186"/>
      <c r="AC377" s="1186"/>
      <c r="AD377" s="1186"/>
      <c r="AE377" s="1186"/>
      <c r="AF377" s="1186"/>
      <c r="AG377" s="1186"/>
      <c r="AH377" s="1186"/>
      <c r="AI377" s="1529">
        <f t="shared" si="15"/>
        <v>0</v>
      </c>
      <c r="AJ377" s="1466"/>
    </row>
    <row r="378" spans="1:38" s="156" customFormat="1" ht="16.149999999999999" customHeight="1" outlineLevel="1">
      <c r="A378" s="1182">
        <v>69</v>
      </c>
      <c r="B378" s="1635" t="str">
        <f>VLOOKUP(C378,'DS CN MOI UP'!$B$10:$C$347,2,0)</f>
        <v>03400</v>
      </c>
      <c r="C378" s="1185" t="s">
        <v>274</v>
      </c>
      <c r="D378" s="868"/>
      <c r="E378" s="868"/>
      <c r="F378" s="868"/>
      <c r="G378" s="868"/>
      <c r="H378" s="868"/>
      <c r="I378" s="868"/>
      <c r="J378" s="868"/>
      <c r="K378" s="868"/>
      <c r="L378" s="868"/>
      <c r="M378" s="1186"/>
      <c r="N378" s="1186"/>
      <c r="O378" s="1186"/>
      <c r="P378" s="1186"/>
      <c r="Q378" s="1186"/>
      <c r="R378" s="1186"/>
      <c r="S378" s="1186"/>
      <c r="T378" s="1186"/>
      <c r="U378" s="1186"/>
      <c r="V378" s="1186"/>
      <c r="W378" s="1186"/>
      <c r="X378" s="1186"/>
      <c r="Y378" s="1186"/>
      <c r="Z378" s="1186"/>
      <c r="AA378" s="1186"/>
      <c r="AB378" s="1186"/>
      <c r="AC378" s="1186"/>
      <c r="AD378" s="1186"/>
      <c r="AE378" s="1186"/>
      <c r="AF378" s="1186"/>
      <c r="AG378" s="1186"/>
      <c r="AH378" s="1186"/>
      <c r="AI378" s="1529">
        <f t="shared" si="15"/>
        <v>0</v>
      </c>
      <c r="AJ378" s="1466"/>
    </row>
    <row r="379" spans="1:38" s="156" customFormat="1" ht="16.149999999999999" customHeight="1" outlineLevel="1">
      <c r="A379" s="1182">
        <v>70</v>
      </c>
      <c r="B379" s="1182" t="e">
        <f>VLOOKUP(C379,'DS CN MOI UP'!$B$10:$C$347,2,0)</f>
        <v>#N/A</v>
      </c>
      <c r="C379" s="1185" t="s">
        <v>510</v>
      </c>
      <c r="D379" s="868"/>
      <c r="E379" s="868"/>
      <c r="F379" s="868"/>
      <c r="G379" s="868"/>
      <c r="H379" s="868"/>
      <c r="I379" s="868"/>
      <c r="J379" s="868"/>
      <c r="K379" s="868"/>
      <c r="L379" s="868"/>
      <c r="M379" s="1186"/>
      <c r="N379" s="1186"/>
      <c r="O379" s="1186"/>
      <c r="P379" s="1186"/>
      <c r="Q379" s="1186"/>
      <c r="R379" s="1186"/>
      <c r="S379" s="1186"/>
      <c r="T379" s="1186"/>
      <c r="U379" s="1186"/>
      <c r="V379" s="1186"/>
      <c r="W379" s="1186"/>
      <c r="X379" s="1186"/>
      <c r="Y379" s="1186"/>
      <c r="Z379" s="1186"/>
      <c r="AA379" s="1186"/>
      <c r="AB379" s="1186"/>
      <c r="AC379" s="1186"/>
      <c r="AD379" s="1186"/>
      <c r="AE379" s="1186"/>
      <c r="AF379" s="1186"/>
      <c r="AG379" s="1186"/>
      <c r="AH379" s="1186"/>
      <c r="AI379" s="1529">
        <f t="shared" si="15"/>
        <v>0</v>
      </c>
      <c r="AJ379" s="1466"/>
    </row>
    <row r="380" spans="1:38" s="156" customFormat="1" ht="16.149999999999999" customHeight="1" outlineLevel="1">
      <c r="A380" s="1182">
        <v>71</v>
      </c>
      <c r="B380" s="1182" t="e">
        <f>VLOOKUP(C380,'DS CN MOI UP'!$B$10:$C$347,2,0)</f>
        <v>#N/A</v>
      </c>
      <c r="C380" s="1185" t="s">
        <v>511</v>
      </c>
      <c r="D380" s="868"/>
      <c r="E380" s="868"/>
      <c r="F380" s="868"/>
      <c r="G380" s="868"/>
      <c r="H380" s="868"/>
      <c r="I380" s="868"/>
      <c r="J380" s="868"/>
      <c r="K380" s="868"/>
      <c r="L380" s="868"/>
      <c r="M380" s="1186"/>
      <c r="N380" s="1186"/>
      <c r="O380" s="1186"/>
      <c r="P380" s="1186"/>
      <c r="Q380" s="1186"/>
      <c r="R380" s="1186"/>
      <c r="S380" s="1186"/>
      <c r="T380" s="1186"/>
      <c r="U380" s="1186"/>
      <c r="V380" s="1186"/>
      <c r="W380" s="1186"/>
      <c r="X380" s="1186"/>
      <c r="Y380" s="1186"/>
      <c r="Z380" s="1186"/>
      <c r="AA380" s="1186"/>
      <c r="AB380" s="1186"/>
      <c r="AC380" s="1186"/>
      <c r="AD380" s="1186"/>
      <c r="AE380" s="1186"/>
      <c r="AF380" s="1186"/>
      <c r="AG380" s="1186"/>
      <c r="AH380" s="1186"/>
      <c r="AI380" s="1529">
        <f t="shared" si="15"/>
        <v>0</v>
      </c>
      <c r="AJ380" s="1466"/>
    </row>
    <row r="381" spans="1:38" s="156" customFormat="1" ht="16.149999999999999" customHeight="1" outlineLevel="1">
      <c r="A381" s="1182">
        <v>72</v>
      </c>
      <c r="B381" s="1182" t="e">
        <f>VLOOKUP(C381,'DS CN MOI UP'!$B$10:$C$347,2,0)</f>
        <v>#N/A</v>
      </c>
      <c r="C381" s="1185" t="s">
        <v>512</v>
      </c>
      <c r="D381" s="868"/>
      <c r="E381" s="868"/>
      <c r="F381" s="868"/>
      <c r="G381" s="868"/>
      <c r="H381" s="868"/>
      <c r="I381" s="868"/>
      <c r="J381" s="868"/>
      <c r="K381" s="868"/>
      <c r="L381" s="868"/>
      <c r="M381" s="1186"/>
      <c r="N381" s="1186"/>
      <c r="O381" s="1186"/>
      <c r="P381" s="1186"/>
      <c r="Q381" s="1186"/>
      <c r="R381" s="1186"/>
      <c r="S381" s="1186"/>
      <c r="T381" s="1186"/>
      <c r="U381" s="1186"/>
      <c r="V381" s="1186"/>
      <c r="W381" s="1186"/>
      <c r="X381" s="1186"/>
      <c r="Y381" s="1186"/>
      <c r="Z381" s="1186"/>
      <c r="AA381" s="1186"/>
      <c r="AB381" s="1186"/>
      <c r="AC381" s="1186"/>
      <c r="AD381" s="1186"/>
      <c r="AE381" s="1186"/>
      <c r="AF381" s="1186"/>
      <c r="AG381" s="1186"/>
      <c r="AH381" s="1186"/>
      <c r="AI381" s="1529">
        <f t="shared" si="15"/>
        <v>0</v>
      </c>
      <c r="AJ381" s="1466"/>
    </row>
    <row r="382" spans="1:38" s="156" customFormat="1" ht="16.149999999999999" customHeight="1" outlineLevel="1">
      <c r="A382" s="1183" t="s">
        <v>285</v>
      </c>
      <c r="B382" s="1182" t="e">
        <f>VLOOKUP(C382,'DS CN MOI UP'!$B$10:$C$347,2,0)</f>
        <v>#N/A</v>
      </c>
      <c r="C382" s="1183"/>
      <c r="D382" s="1184">
        <f t="shared" ref="D382:AG382" si="16">COUNTIF(D383:D439,"X")+COUNTIF(D383:D439,"CN")</f>
        <v>0</v>
      </c>
      <c r="E382" s="1184">
        <f t="shared" si="16"/>
        <v>0</v>
      </c>
      <c r="F382" s="1184">
        <f t="shared" si="16"/>
        <v>0</v>
      </c>
      <c r="G382" s="1184">
        <f t="shared" si="16"/>
        <v>0</v>
      </c>
      <c r="H382" s="1184">
        <f t="shared" si="16"/>
        <v>0</v>
      </c>
      <c r="I382" s="1184">
        <f t="shared" si="16"/>
        <v>0</v>
      </c>
      <c r="J382" s="1184">
        <f t="shared" si="16"/>
        <v>0</v>
      </c>
      <c r="K382" s="1184">
        <f t="shared" si="16"/>
        <v>0</v>
      </c>
      <c r="L382" s="1184">
        <f t="shared" si="16"/>
        <v>0</v>
      </c>
      <c r="M382" s="1184">
        <f t="shared" si="16"/>
        <v>0</v>
      </c>
      <c r="N382" s="1184">
        <f t="shared" si="16"/>
        <v>0</v>
      </c>
      <c r="O382" s="1184">
        <f t="shared" si="16"/>
        <v>0</v>
      </c>
      <c r="P382" s="1184">
        <f t="shared" si="16"/>
        <v>0</v>
      </c>
      <c r="Q382" s="1184">
        <f t="shared" si="16"/>
        <v>0</v>
      </c>
      <c r="R382" s="1184">
        <f t="shared" si="16"/>
        <v>0</v>
      </c>
      <c r="S382" s="1184">
        <f t="shared" si="16"/>
        <v>0</v>
      </c>
      <c r="T382" s="1184">
        <f t="shared" si="16"/>
        <v>0</v>
      </c>
      <c r="U382" s="1184">
        <f t="shared" si="16"/>
        <v>0</v>
      </c>
      <c r="V382" s="1184">
        <f t="shared" si="16"/>
        <v>0</v>
      </c>
      <c r="W382" s="1184">
        <f t="shared" si="16"/>
        <v>0</v>
      </c>
      <c r="X382" s="1184">
        <f t="shared" si="16"/>
        <v>0</v>
      </c>
      <c r="Y382" s="1184">
        <f t="shared" si="16"/>
        <v>0</v>
      </c>
      <c r="Z382" s="1184">
        <f t="shared" si="16"/>
        <v>0</v>
      </c>
      <c r="AA382" s="1184">
        <f t="shared" si="16"/>
        <v>0</v>
      </c>
      <c r="AB382" s="1184">
        <f t="shared" si="16"/>
        <v>0</v>
      </c>
      <c r="AC382" s="1184">
        <f t="shared" si="16"/>
        <v>0</v>
      </c>
      <c r="AD382" s="1184">
        <f t="shared" si="16"/>
        <v>0</v>
      </c>
      <c r="AE382" s="1184">
        <f t="shared" si="16"/>
        <v>0</v>
      </c>
      <c r="AF382" s="1184">
        <f t="shared" si="16"/>
        <v>0</v>
      </c>
      <c r="AG382" s="1184">
        <f t="shared" si="16"/>
        <v>0</v>
      </c>
      <c r="AH382" s="1184">
        <v>0</v>
      </c>
      <c r="AI382" s="1204">
        <f>SUM(AI383:AI439)</f>
        <v>0</v>
      </c>
      <c r="AJ382" s="1204"/>
      <c r="AK382" s="615"/>
    </row>
    <row r="383" spans="1:38" s="156" customFormat="1" ht="16.149999999999999" customHeight="1" outlineLevel="1">
      <c r="A383" s="1182">
        <v>1</v>
      </c>
      <c r="B383" s="1635" t="str">
        <f>VLOOKUP(C383,'DS CN MOI UP'!$B$10:$C$347,2,0)</f>
        <v>02616</v>
      </c>
      <c r="C383" s="1185" t="s">
        <v>308</v>
      </c>
      <c r="D383" s="1186"/>
      <c r="E383" s="1186"/>
      <c r="F383" s="1186"/>
      <c r="G383" s="1186"/>
      <c r="H383" s="1186"/>
      <c r="I383" s="1186"/>
      <c r="J383" s="1186"/>
      <c r="K383" s="1186"/>
      <c r="L383" s="1186"/>
      <c r="M383" s="1186"/>
      <c r="N383" s="1186"/>
      <c r="O383" s="1186"/>
      <c r="P383" s="1186"/>
      <c r="Q383" s="1186"/>
      <c r="R383" s="1186"/>
      <c r="S383" s="1186"/>
      <c r="T383" s="1186"/>
      <c r="U383" s="1186"/>
      <c r="V383" s="1186"/>
      <c r="W383" s="1186"/>
      <c r="X383" s="1186"/>
      <c r="Y383" s="1186"/>
      <c r="Z383" s="1186"/>
      <c r="AA383" s="1186"/>
      <c r="AB383" s="1186"/>
      <c r="AC383" s="1186"/>
      <c r="AD383" s="1186"/>
      <c r="AE383" s="1186"/>
      <c r="AF383" s="1186"/>
      <c r="AG383" s="1186"/>
      <c r="AH383" s="1186"/>
      <c r="AI383" s="1529">
        <f t="shared" ref="AI383:AI439" si="17">COUNTIF(D383:AH383,"X")</f>
        <v>0</v>
      </c>
      <c r="AJ383" s="1466"/>
      <c r="AK383" s="615"/>
      <c r="AL383" s="615"/>
    </row>
    <row r="384" spans="1:38" s="156" customFormat="1" ht="16.149999999999999" customHeight="1" outlineLevel="1">
      <c r="A384" s="1182">
        <v>2</v>
      </c>
      <c r="B384" s="1635" t="str">
        <f>VLOOKUP(C384,'DS CN MOI UP'!$B$10:$C$347,2,0)</f>
        <v>02617</v>
      </c>
      <c r="C384" s="1185" t="s">
        <v>309</v>
      </c>
      <c r="D384" s="1186"/>
      <c r="E384" s="1186"/>
      <c r="F384" s="1186"/>
      <c r="G384" s="1186"/>
      <c r="H384" s="1186"/>
      <c r="I384" s="1186"/>
      <c r="J384" s="1186"/>
      <c r="K384" s="1186"/>
      <c r="L384" s="1186"/>
      <c r="M384" s="1186"/>
      <c r="N384" s="1186"/>
      <c r="O384" s="1186"/>
      <c r="P384" s="1186"/>
      <c r="Q384" s="1186"/>
      <c r="R384" s="1186"/>
      <c r="S384" s="1186"/>
      <c r="T384" s="1186"/>
      <c r="U384" s="1186"/>
      <c r="V384" s="1186"/>
      <c r="W384" s="1186"/>
      <c r="X384" s="1186"/>
      <c r="Y384" s="1186"/>
      <c r="Z384" s="1186"/>
      <c r="AA384" s="1186"/>
      <c r="AB384" s="1186"/>
      <c r="AC384" s="1186"/>
      <c r="AD384" s="1186"/>
      <c r="AE384" s="1186"/>
      <c r="AF384" s="1186"/>
      <c r="AG384" s="1186"/>
      <c r="AH384" s="1186"/>
      <c r="AI384" s="1529">
        <f t="shared" si="17"/>
        <v>0</v>
      </c>
      <c r="AJ384" s="1466"/>
      <c r="AK384" s="615"/>
    </row>
    <row r="385" spans="1:37" s="156" customFormat="1" ht="16.149999999999999" customHeight="1" outlineLevel="1">
      <c r="A385" s="1182">
        <v>3</v>
      </c>
      <c r="B385" s="1635" t="str">
        <f>VLOOKUP(C385,'DS CN MOI UP'!$B$10:$C$347,2,0)</f>
        <v>02618</v>
      </c>
      <c r="C385" s="1185" t="s">
        <v>310</v>
      </c>
      <c r="D385" s="1186"/>
      <c r="E385" s="1186"/>
      <c r="F385" s="1186"/>
      <c r="G385" s="1186"/>
      <c r="H385" s="1186"/>
      <c r="I385" s="1186"/>
      <c r="J385" s="1186"/>
      <c r="K385" s="1186"/>
      <c r="L385" s="1186"/>
      <c r="M385" s="1186"/>
      <c r="N385" s="1186"/>
      <c r="O385" s="1186"/>
      <c r="P385" s="1186"/>
      <c r="Q385" s="1186"/>
      <c r="R385" s="1186"/>
      <c r="S385" s="1186"/>
      <c r="T385" s="1186"/>
      <c r="U385" s="1186"/>
      <c r="V385" s="1186"/>
      <c r="W385" s="1186"/>
      <c r="X385" s="1186"/>
      <c r="Y385" s="1186"/>
      <c r="Z385" s="1186"/>
      <c r="AA385" s="1186"/>
      <c r="AB385" s="1186"/>
      <c r="AC385" s="1186"/>
      <c r="AD385" s="1186"/>
      <c r="AE385" s="1186"/>
      <c r="AF385" s="1186"/>
      <c r="AG385" s="1186"/>
      <c r="AH385" s="1186"/>
      <c r="AI385" s="1529">
        <f t="shared" si="17"/>
        <v>0</v>
      </c>
      <c r="AJ385" s="1466"/>
      <c r="AK385" s="615"/>
    </row>
    <row r="386" spans="1:37" s="156" customFormat="1" ht="16.149999999999999" customHeight="1" outlineLevel="1">
      <c r="A386" s="1182">
        <v>4</v>
      </c>
      <c r="B386" s="1635" t="str">
        <f>VLOOKUP(C386,'DS CN MOI UP'!$B$10:$C$347,2,0)</f>
        <v>03401</v>
      </c>
      <c r="C386" s="1185" t="s">
        <v>311</v>
      </c>
      <c r="D386" s="1186"/>
      <c r="E386" s="1186"/>
      <c r="F386" s="1186"/>
      <c r="G386" s="1186"/>
      <c r="H386" s="1186"/>
      <c r="I386" s="1186"/>
      <c r="J386" s="1186"/>
      <c r="K386" s="1186"/>
      <c r="L386" s="1186"/>
      <c r="M386" s="1186"/>
      <c r="N386" s="1186"/>
      <c r="O386" s="1186"/>
      <c r="P386" s="1186"/>
      <c r="Q386" s="1186"/>
      <c r="R386" s="1186"/>
      <c r="S386" s="1186"/>
      <c r="T386" s="1186"/>
      <c r="U386" s="1186"/>
      <c r="V386" s="1186"/>
      <c r="W386" s="1186"/>
      <c r="X386" s="1186"/>
      <c r="Y386" s="1186"/>
      <c r="Z386" s="1186"/>
      <c r="AA386" s="1186"/>
      <c r="AB386" s="1186"/>
      <c r="AC386" s="1186"/>
      <c r="AD386" s="1186"/>
      <c r="AE386" s="1186"/>
      <c r="AF386" s="1186"/>
      <c r="AG386" s="1186"/>
      <c r="AH386" s="1186"/>
      <c r="AI386" s="1529">
        <f t="shared" si="17"/>
        <v>0</v>
      </c>
      <c r="AJ386" s="1466"/>
      <c r="AK386" s="615"/>
    </row>
    <row r="387" spans="1:37" s="156" customFormat="1" ht="16.149999999999999" customHeight="1" outlineLevel="1">
      <c r="A387" s="1182">
        <v>5</v>
      </c>
      <c r="B387" s="1635" t="str">
        <f>VLOOKUP(C387,'DS CN MOI UP'!$B$10:$C$347,2,0)</f>
        <v>03402</v>
      </c>
      <c r="C387" s="1185" t="s">
        <v>312</v>
      </c>
      <c r="D387" s="1186"/>
      <c r="E387" s="1186"/>
      <c r="F387" s="1186"/>
      <c r="G387" s="1186"/>
      <c r="H387" s="1186"/>
      <c r="I387" s="1186"/>
      <c r="J387" s="1186"/>
      <c r="K387" s="1186"/>
      <c r="L387" s="1186"/>
      <c r="M387" s="1186"/>
      <c r="N387" s="1186"/>
      <c r="O387" s="1186"/>
      <c r="P387" s="1186"/>
      <c r="Q387" s="1186"/>
      <c r="R387" s="1186"/>
      <c r="S387" s="1186"/>
      <c r="T387" s="1186"/>
      <c r="U387" s="1186"/>
      <c r="V387" s="1186"/>
      <c r="W387" s="1186"/>
      <c r="X387" s="1186"/>
      <c r="Y387" s="1186"/>
      <c r="Z387" s="1186"/>
      <c r="AA387" s="1186"/>
      <c r="AB387" s="1186"/>
      <c r="AC387" s="1186"/>
      <c r="AD387" s="1186"/>
      <c r="AE387" s="1186"/>
      <c r="AF387" s="1186"/>
      <c r="AG387" s="1186"/>
      <c r="AH387" s="1186"/>
      <c r="AI387" s="1529">
        <f t="shared" si="17"/>
        <v>0</v>
      </c>
      <c r="AJ387" s="1466"/>
      <c r="AK387" s="615"/>
    </row>
    <row r="388" spans="1:37" s="156" customFormat="1" ht="16.149999999999999" customHeight="1" outlineLevel="1">
      <c r="A388" s="1182">
        <v>6</v>
      </c>
      <c r="B388" s="1635" t="str">
        <f>VLOOKUP(C388,'DS CN MOI UP'!$B$10:$C$347,2,0)</f>
        <v>02621</v>
      </c>
      <c r="C388" s="1185" t="s">
        <v>313</v>
      </c>
      <c r="D388" s="1186"/>
      <c r="E388" s="1186"/>
      <c r="F388" s="1186"/>
      <c r="G388" s="1186"/>
      <c r="H388" s="1186"/>
      <c r="I388" s="1186"/>
      <c r="J388" s="1186"/>
      <c r="K388" s="1186"/>
      <c r="L388" s="1186"/>
      <c r="M388" s="1186"/>
      <c r="N388" s="1186"/>
      <c r="O388" s="1186"/>
      <c r="P388" s="1186"/>
      <c r="Q388" s="1186"/>
      <c r="R388" s="1186"/>
      <c r="S388" s="1186"/>
      <c r="T388" s="1186"/>
      <c r="U388" s="1186"/>
      <c r="V388" s="1186"/>
      <c r="W388" s="1186"/>
      <c r="X388" s="1186"/>
      <c r="Y388" s="1186"/>
      <c r="Z388" s="1186"/>
      <c r="AA388" s="1186"/>
      <c r="AB388" s="1186"/>
      <c r="AC388" s="1186"/>
      <c r="AD388" s="1186"/>
      <c r="AE388" s="1186"/>
      <c r="AF388" s="1186"/>
      <c r="AG388" s="1186"/>
      <c r="AH388" s="1186"/>
      <c r="AI388" s="1529">
        <f t="shared" si="17"/>
        <v>0</v>
      </c>
      <c r="AJ388" s="1466"/>
      <c r="AK388" s="615"/>
    </row>
    <row r="389" spans="1:37" s="156" customFormat="1" ht="16.149999999999999" customHeight="1" outlineLevel="1">
      <c r="A389" s="1182">
        <v>7</v>
      </c>
      <c r="B389" s="1635" t="str">
        <f>VLOOKUP(C389,'DS CN MOI UP'!$B$10:$C$347,2,0)</f>
        <v>02622</v>
      </c>
      <c r="C389" s="1185" t="s">
        <v>314</v>
      </c>
      <c r="D389" s="1186"/>
      <c r="E389" s="1186"/>
      <c r="F389" s="1186"/>
      <c r="G389" s="1186"/>
      <c r="H389" s="1186"/>
      <c r="I389" s="1186"/>
      <c r="J389" s="1186"/>
      <c r="K389" s="1186"/>
      <c r="L389" s="1186"/>
      <c r="M389" s="1186"/>
      <c r="N389" s="1186"/>
      <c r="O389" s="1186"/>
      <c r="P389" s="1186"/>
      <c r="Q389" s="1186"/>
      <c r="R389" s="1186"/>
      <c r="S389" s="1186"/>
      <c r="T389" s="1186"/>
      <c r="U389" s="1186"/>
      <c r="V389" s="1186"/>
      <c r="W389" s="1186"/>
      <c r="X389" s="1186"/>
      <c r="Y389" s="1186"/>
      <c r="Z389" s="1186"/>
      <c r="AA389" s="1186"/>
      <c r="AB389" s="1186"/>
      <c r="AC389" s="1186"/>
      <c r="AD389" s="1186"/>
      <c r="AE389" s="1186"/>
      <c r="AF389" s="1186"/>
      <c r="AG389" s="1186"/>
      <c r="AH389" s="1186"/>
      <c r="AI389" s="1529">
        <f t="shared" si="17"/>
        <v>0</v>
      </c>
      <c r="AJ389" s="1466"/>
      <c r="AK389" s="615"/>
    </row>
    <row r="390" spans="1:37" s="156" customFormat="1" ht="16.149999999999999" customHeight="1" outlineLevel="1">
      <c r="A390" s="1182">
        <v>8</v>
      </c>
      <c r="B390" s="1182" t="e">
        <f>VLOOKUP(C390,'DS CN MOI UP'!$B$10:$C$347,2,0)</f>
        <v>#N/A</v>
      </c>
      <c r="C390" s="1185" t="s">
        <v>315</v>
      </c>
      <c r="D390" s="1186"/>
      <c r="E390" s="1186"/>
      <c r="F390" s="1186"/>
      <c r="G390" s="1186"/>
      <c r="H390" s="1186"/>
      <c r="I390" s="1186"/>
      <c r="J390" s="1186"/>
      <c r="K390" s="1186"/>
      <c r="L390" s="1186"/>
      <c r="M390" s="1186"/>
      <c r="N390" s="1186"/>
      <c r="O390" s="1186"/>
      <c r="P390" s="1186"/>
      <c r="Q390" s="1186"/>
      <c r="R390" s="1186"/>
      <c r="S390" s="1186"/>
      <c r="T390" s="1186"/>
      <c r="U390" s="1186"/>
      <c r="V390" s="1186"/>
      <c r="W390" s="1186"/>
      <c r="X390" s="1186"/>
      <c r="Y390" s="1186"/>
      <c r="Z390" s="1186"/>
      <c r="AA390" s="1186"/>
      <c r="AB390" s="1186"/>
      <c r="AC390" s="1186"/>
      <c r="AD390" s="1186"/>
      <c r="AE390" s="1186"/>
      <c r="AF390" s="1186"/>
      <c r="AG390" s="1186"/>
      <c r="AH390" s="1186"/>
      <c r="AI390" s="1529">
        <f t="shared" si="17"/>
        <v>0</v>
      </c>
      <c r="AJ390" s="1466"/>
      <c r="AK390" s="615"/>
    </row>
    <row r="391" spans="1:37" s="156" customFormat="1" ht="16.149999999999999" customHeight="1" outlineLevel="1">
      <c r="A391" s="1182">
        <v>9</v>
      </c>
      <c r="B391" s="1635" t="str">
        <f>VLOOKUP(C391,'DS CN MOI UP'!$B$10:$C$347,2,0)</f>
        <v>02623</v>
      </c>
      <c r="C391" s="1185" t="s">
        <v>316</v>
      </c>
      <c r="D391" s="1186"/>
      <c r="E391" s="1186"/>
      <c r="F391" s="1186"/>
      <c r="G391" s="1186"/>
      <c r="H391" s="1186"/>
      <c r="I391" s="1186"/>
      <c r="J391" s="1186"/>
      <c r="K391" s="1186"/>
      <c r="L391" s="1186"/>
      <c r="M391" s="1186"/>
      <c r="N391" s="1186"/>
      <c r="O391" s="1186"/>
      <c r="P391" s="1186"/>
      <c r="Q391" s="1186"/>
      <c r="R391" s="1186"/>
      <c r="S391" s="1186"/>
      <c r="T391" s="1186"/>
      <c r="U391" s="1186"/>
      <c r="V391" s="1186"/>
      <c r="W391" s="1186"/>
      <c r="X391" s="1186"/>
      <c r="Y391" s="1186"/>
      <c r="Z391" s="1186"/>
      <c r="AA391" s="1186"/>
      <c r="AB391" s="1186"/>
      <c r="AC391" s="1186"/>
      <c r="AD391" s="1186"/>
      <c r="AE391" s="1186"/>
      <c r="AF391" s="1186"/>
      <c r="AG391" s="1186"/>
      <c r="AH391" s="1186"/>
      <c r="AI391" s="1529">
        <f t="shared" si="17"/>
        <v>0</v>
      </c>
      <c r="AJ391" s="1466"/>
      <c r="AK391" s="615"/>
    </row>
    <row r="392" spans="1:37" s="156" customFormat="1" ht="16.149999999999999" customHeight="1" outlineLevel="1">
      <c r="A392" s="1182">
        <v>10</v>
      </c>
      <c r="B392" s="1635" t="str">
        <f>VLOOKUP(C392,'DS CN MOI UP'!$B$10:$C$347,2,0)</f>
        <v>02624</v>
      </c>
      <c r="C392" s="1185" t="s">
        <v>317</v>
      </c>
      <c r="D392" s="1186"/>
      <c r="E392" s="1186"/>
      <c r="F392" s="1186"/>
      <c r="G392" s="1186"/>
      <c r="H392" s="1186"/>
      <c r="I392" s="1186"/>
      <c r="J392" s="1186"/>
      <c r="K392" s="1186"/>
      <c r="L392" s="1186"/>
      <c r="M392" s="1186"/>
      <c r="N392" s="1186"/>
      <c r="O392" s="1186"/>
      <c r="P392" s="1186"/>
      <c r="Q392" s="1186"/>
      <c r="R392" s="1186"/>
      <c r="S392" s="1186"/>
      <c r="T392" s="1186"/>
      <c r="U392" s="1186"/>
      <c r="V392" s="1186"/>
      <c r="W392" s="1186"/>
      <c r="X392" s="1186"/>
      <c r="Y392" s="1186"/>
      <c r="Z392" s="1186"/>
      <c r="AA392" s="1186"/>
      <c r="AB392" s="1186"/>
      <c r="AC392" s="1186"/>
      <c r="AD392" s="1186"/>
      <c r="AE392" s="1186"/>
      <c r="AF392" s="1186"/>
      <c r="AG392" s="1186"/>
      <c r="AH392" s="1186"/>
      <c r="AI392" s="1529">
        <f t="shared" si="17"/>
        <v>0</v>
      </c>
      <c r="AJ392" s="1466"/>
      <c r="AK392" s="615"/>
    </row>
    <row r="393" spans="1:37" s="156" customFormat="1" ht="16.149999999999999" customHeight="1" outlineLevel="1">
      <c r="A393" s="1182">
        <v>11</v>
      </c>
      <c r="B393" s="1635" t="str">
        <f>VLOOKUP(C393,'DS CN MOI UP'!$B$10:$C$347,2,0)</f>
        <v>03404</v>
      </c>
      <c r="C393" s="1185" t="s">
        <v>318</v>
      </c>
      <c r="D393" s="1186"/>
      <c r="E393" s="1186"/>
      <c r="F393" s="1186"/>
      <c r="G393" s="1186"/>
      <c r="H393" s="1186"/>
      <c r="I393" s="1186"/>
      <c r="J393" s="1186"/>
      <c r="K393" s="1186"/>
      <c r="L393" s="1186"/>
      <c r="M393" s="1186"/>
      <c r="N393" s="1186"/>
      <c r="O393" s="1186"/>
      <c r="P393" s="1186"/>
      <c r="Q393" s="1186"/>
      <c r="R393" s="1186"/>
      <c r="S393" s="1186"/>
      <c r="T393" s="1186"/>
      <c r="U393" s="1186"/>
      <c r="V393" s="1186"/>
      <c r="W393" s="1186"/>
      <c r="X393" s="1186"/>
      <c r="Y393" s="1186"/>
      <c r="Z393" s="1186"/>
      <c r="AA393" s="1186"/>
      <c r="AB393" s="1186"/>
      <c r="AC393" s="1186"/>
      <c r="AD393" s="1186"/>
      <c r="AE393" s="1186"/>
      <c r="AF393" s="1186"/>
      <c r="AG393" s="1186"/>
      <c r="AH393" s="1186"/>
      <c r="AI393" s="1529">
        <f t="shared" si="17"/>
        <v>0</v>
      </c>
      <c r="AJ393" s="1466"/>
      <c r="AK393" s="615"/>
    </row>
    <row r="394" spans="1:37" s="156" customFormat="1" ht="16.149999999999999" customHeight="1" outlineLevel="1">
      <c r="A394" s="1182">
        <v>12</v>
      </c>
      <c r="B394" s="1635" t="str">
        <f>VLOOKUP(C394,'DS CN MOI UP'!$B$10:$C$347,2,0)</f>
        <v>02626</v>
      </c>
      <c r="C394" s="1185" t="s">
        <v>319</v>
      </c>
      <c r="D394" s="1186"/>
      <c r="E394" s="1186"/>
      <c r="F394" s="1186"/>
      <c r="G394" s="1186"/>
      <c r="H394" s="1186"/>
      <c r="I394" s="1186"/>
      <c r="J394" s="1186"/>
      <c r="K394" s="1186"/>
      <c r="L394" s="1186"/>
      <c r="M394" s="1186"/>
      <c r="N394" s="1186"/>
      <c r="O394" s="1186"/>
      <c r="P394" s="1186"/>
      <c r="Q394" s="1186"/>
      <c r="R394" s="1186"/>
      <c r="S394" s="1186"/>
      <c r="T394" s="1186"/>
      <c r="U394" s="1186"/>
      <c r="V394" s="1186"/>
      <c r="W394" s="1186"/>
      <c r="X394" s="1186"/>
      <c r="Y394" s="1186"/>
      <c r="Z394" s="1186"/>
      <c r="AA394" s="1186"/>
      <c r="AB394" s="1186"/>
      <c r="AC394" s="1186"/>
      <c r="AD394" s="1186"/>
      <c r="AE394" s="1186"/>
      <c r="AF394" s="1186"/>
      <c r="AG394" s="1186"/>
      <c r="AH394" s="1186"/>
      <c r="AI394" s="1529">
        <f t="shared" si="17"/>
        <v>0</v>
      </c>
      <c r="AJ394" s="1466"/>
      <c r="AK394" s="615"/>
    </row>
    <row r="395" spans="1:37" s="156" customFormat="1" ht="16.149999999999999" customHeight="1" outlineLevel="1">
      <c r="A395" s="1182">
        <v>13</v>
      </c>
      <c r="B395" s="1635" t="str">
        <f>VLOOKUP(C395,'DS CN MOI UP'!$B$10:$C$347,2,0)</f>
        <v>02627</v>
      </c>
      <c r="C395" s="1185" t="s">
        <v>320</v>
      </c>
      <c r="D395" s="1186"/>
      <c r="E395" s="1186"/>
      <c r="F395" s="1186"/>
      <c r="G395" s="1186"/>
      <c r="H395" s="1186"/>
      <c r="I395" s="1186"/>
      <c r="J395" s="1186"/>
      <c r="K395" s="1186"/>
      <c r="L395" s="1186"/>
      <c r="M395" s="1186"/>
      <c r="N395" s="1186"/>
      <c r="O395" s="1186"/>
      <c r="P395" s="1186"/>
      <c r="Q395" s="1186"/>
      <c r="R395" s="1186"/>
      <c r="S395" s="1186"/>
      <c r="T395" s="1186"/>
      <c r="U395" s="1186"/>
      <c r="V395" s="1186"/>
      <c r="W395" s="1186"/>
      <c r="X395" s="1186"/>
      <c r="Y395" s="1186"/>
      <c r="Z395" s="1186"/>
      <c r="AA395" s="1186"/>
      <c r="AB395" s="1186"/>
      <c r="AC395" s="1186"/>
      <c r="AD395" s="1186"/>
      <c r="AE395" s="1186"/>
      <c r="AF395" s="1186"/>
      <c r="AG395" s="1186"/>
      <c r="AH395" s="1186"/>
      <c r="AI395" s="1529">
        <f t="shared" si="17"/>
        <v>0</v>
      </c>
      <c r="AJ395" s="1466"/>
      <c r="AK395" s="615"/>
    </row>
    <row r="396" spans="1:37" s="156" customFormat="1" ht="16.149999999999999" customHeight="1" outlineLevel="1">
      <c r="A396" s="1182">
        <v>14</v>
      </c>
      <c r="B396" s="1635" t="str">
        <f>VLOOKUP(C396,'DS CN MOI UP'!$B$10:$C$347,2,0)</f>
        <v>02628</v>
      </c>
      <c r="C396" s="1185" t="s">
        <v>321</v>
      </c>
      <c r="D396" s="1186"/>
      <c r="E396" s="1186"/>
      <c r="F396" s="1186"/>
      <c r="G396" s="1186"/>
      <c r="H396" s="1186"/>
      <c r="I396" s="1186"/>
      <c r="J396" s="1186"/>
      <c r="K396" s="1186"/>
      <c r="L396" s="1186"/>
      <c r="M396" s="1186"/>
      <c r="N396" s="1186"/>
      <c r="O396" s="1186"/>
      <c r="P396" s="1186"/>
      <c r="Q396" s="1186"/>
      <c r="R396" s="1186"/>
      <c r="S396" s="1186"/>
      <c r="T396" s="1186"/>
      <c r="U396" s="1186"/>
      <c r="V396" s="1186"/>
      <c r="W396" s="1186"/>
      <c r="X396" s="1186"/>
      <c r="Y396" s="1186"/>
      <c r="Z396" s="1186"/>
      <c r="AA396" s="1186"/>
      <c r="AB396" s="1186"/>
      <c r="AC396" s="1186"/>
      <c r="AD396" s="1186"/>
      <c r="AE396" s="1186"/>
      <c r="AF396" s="1186"/>
      <c r="AG396" s="1186"/>
      <c r="AH396" s="1186"/>
      <c r="AI396" s="1529">
        <f t="shared" si="17"/>
        <v>0</v>
      </c>
      <c r="AJ396" s="1466"/>
      <c r="AK396" s="615"/>
    </row>
    <row r="397" spans="1:37" s="156" customFormat="1" ht="16.149999999999999" customHeight="1" outlineLevel="1">
      <c r="A397" s="1182">
        <v>15</v>
      </c>
      <c r="B397" s="1635" t="str">
        <f>VLOOKUP(C397,'DS CN MOI UP'!$B$10:$C$347,2,0)</f>
        <v>03405</v>
      </c>
      <c r="C397" s="1185" t="s">
        <v>322</v>
      </c>
      <c r="D397" s="1186"/>
      <c r="E397" s="1186"/>
      <c r="F397" s="1186"/>
      <c r="G397" s="1186"/>
      <c r="H397" s="1186"/>
      <c r="I397" s="1186"/>
      <c r="J397" s="1186"/>
      <c r="K397" s="1186"/>
      <c r="L397" s="1186"/>
      <c r="M397" s="1186"/>
      <c r="N397" s="1186"/>
      <c r="O397" s="1186"/>
      <c r="P397" s="1186"/>
      <c r="Q397" s="1186"/>
      <c r="R397" s="1186"/>
      <c r="S397" s="1186"/>
      <c r="T397" s="1186"/>
      <c r="U397" s="1186"/>
      <c r="V397" s="1186"/>
      <c r="W397" s="1186"/>
      <c r="X397" s="1186"/>
      <c r="Y397" s="1186"/>
      <c r="Z397" s="1186"/>
      <c r="AA397" s="1186"/>
      <c r="AB397" s="1186"/>
      <c r="AC397" s="1186"/>
      <c r="AD397" s="1186"/>
      <c r="AE397" s="1186"/>
      <c r="AF397" s="1186"/>
      <c r="AG397" s="1186"/>
      <c r="AH397" s="1186"/>
      <c r="AI397" s="1529">
        <f t="shared" si="17"/>
        <v>0</v>
      </c>
      <c r="AJ397" s="1466"/>
      <c r="AK397" s="615"/>
    </row>
    <row r="398" spans="1:37" s="156" customFormat="1" ht="16.149999999999999" customHeight="1" outlineLevel="1">
      <c r="A398" s="1182">
        <v>16</v>
      </c>
      <c r="B398" s="1635" t="str">
        <f>VLOOKUP(C398,'DS CN MOI UP'!$B$10:$C$347,2,0)</f>
        <v>02629</v>
      </c>
      <c r="C398" s="1185" t="s">
        <v>323</v>
      </c>
      <c r="D398" s="1186"/>
      <c r="E398" s="1186"/>
      <c r="F398" s="1186"/>
      <c r="G398" s="1186"/>
      <c r="H398" s="1186"/>
      <c r="I398" s="1186"/>
      <c r="J398" s="1186"/>
      <c r="K398" s="1186"/>
      <c r="L398" s="1186"/>
      <c r="M398" s="1186"/>
      <c r="N398" s="1186"/>
      <c r="O398" s="1186"/>
      <c r="P398" s="1186"/>
      <c r="Q398" s="1186"/>
      <c r="R398" s="1186"/>
      <c r="S398" s="1186"/>
      <c r="T398" s="1186"/>
      <c r="U398" s="1186"/>
      <c r="V398" s="1186"/>
      <c r="W398" s="1186"/>
      <c r="X398" s="1186"/>
      <c r="Y398" s="1186"/>
      <c r="Z398" s="1186"/>
      <c r="AA398" s="1186"/>
      <c r="AB398" s="1186"/>
      <c r="AC398" s="1186"/>
      <c r="AD398" s="1186"/>
      <c r="AE398" s="1186"/>
      <c r="AF398" s="1186"/>
      <c r="AG398" s="1186"/>
      <c r="AH398" s="1186"/>
      <c r="AI398" s="1529">
        <f t="shared" si="17"/>
        <v>0</v>
      </c>
      <c r="AJ398" s="1466"/>
      <c r="AK398" s="615"/>
    </row>
    <row r="399" spans="1:37" s="156" customFormat="1" ht="16.149999999999999" customHeight="1" outlineLevel="1">
      <c r="A399" s="1182">
        <v>17</v>
      </c>
      <c r="B399" s="1635" t="str">
        <f>VLOOKUP(C399,'DS CN MOI UP'!$B$10:$C$347,2,0)</f>
        <v>02630</v>
      </c>
      <c r="C399" s="1185" t="s">
        <v>324</v>
      </c>
      <c r="D399" s="1186"/>
      <c r="E399" s="1186"/>
      <c r="F399" s="1186"/>
      <c r="G399" s="1186"/>
      <c r="H399" s="1186"/>
      <c r="I399" s="1186"/>
      <c r="J399" s="1186"/>
      <c r="K399" s="1186"/>
      <c r="L399" s="1186"/>
      <c r="M399" s="1186"/>
      <c r="N399" s="1186"/>
      <c r="O399" s="1186"/>
      <c r="P399" s="1186"/>
      <c r="Q399" s="1186"/>
      <c r="R399" s="1186"/>
      <c r="S399" s="1186"/>
      <c r="T399" s="1186"/>
      <c r="U399" s="1186"/>
      <c r="V399" s="1186"/>
      <c r="W399" s="1186"/>
      <c r="X399" s="1186"/>
      <c r="Y399" s="1186"/>
      <c r="Z399" s="1186"/>
      <c r="AA399" s="1186"/>
      <c r="AB399" s="1186"/>
      <c r="AC399" s="1186"/>
      <c r="AD399" s="1186"/>
      <c r="AE399" s="1186"/>
      <c r="AF399" s="1186"/>
      <c r="AG399" s="1186"/>
      <c r="AH399" s="1186"/>
      <c r="AI399" s="1529">
        <f t="shared" si="17"/>
        <v>0</v>
      </c>
      <c r="AJ399" s="1466"/>
      <c r="AK399" s="615"/>
    </row>
    <row r="400" spans="1:37" s="156" customFormat="1" ht="16.149999999999999" customHeight="1" outlineLevel="1">
      <c r="A400" s="1182">
        <v>18</v>
      </c>
      <c r="B400" s="1635" t="str">
        <f>VLOOKUP(C400,'DS CN MOI UP'!$B$10:$C$347,2,0)</f>
        <v>02631</v>
      </c>
      <c r="C400" s="1185" t="s">
        <v>325</v>
      </c>
      <c r="D400" s="1186"/>
      <c r="E400" s="1186"/>
      <c r="F400" s="1186"/>
      <c r="G400" s="1186"/>
      <c r="H400" s="1186"/>
      <c r="I400" s="1186"/>
      <c r="J400" s="1186"/>
      <c r="K400" s="1186"/>
      <c r="L400" s="1186"/>
      <c r="M400" s="1186"/>
      <c r="N400" s="1186"/>
      <c r="O400" s="1186"/>
      <c r="P400" s="1186"/>
      <c r="Q400" s="1186"/>
      <c r="R400" s="1186"/>
      <c r="S400" s="1186"/>
      <c r="T400" s="1186"/>
      <c r="U400" s="1186"/>
      <c r="V400" s="1186"/>
      <c r="W400" s="1186"/>
      <c r="X400" s="1186"/>
      <c r="Y400" s="1186"/>
      <c r="Z400" s="1186"/>
      <c r="AA400" s="1186"/>
      <c r="AB400" s="1186"/>
      <c r="AC400" s="1186"/>
      <c r="AD400" s="1186"/>
      <c r="AE400" s="1186"/>
      <c r="AF400" s="1186"/>
      <c r="AG400" s="1186"/>
      <c r="AH400" s="1186"/>
      <c r="AI400" s="1529">
        <f t="shared" si="17"/>
        <v>0</v>
      </c>
      <c r="AJ400" s="1466"/>
      <c r="AK400" s="615"/>
    </row>
    <row r="401" spans="1:37" s="156" customFormat="1" ht="16.149999999999999" customHeight="1" outlineLevel="1">
      <c r="A401" s="1182">
        <v>19</v>
      </c>
      <c r="B401" s="1635" t="str">
        <f>VLOOKUP(C401,'DS CN MOI UP'!$B$10:$C$347,2,0)</f>
        <v>02632</v>
      </c>
      <c r="C401" s="1185" t="s">
        <v>326</v>
      </c>
      <c r="D401" s="1186"/>
      <c r="E401" s="1186"/>
      <c r="F401" s="1186"/>
      <c r="G401" s="1186"/>
      <c r="H401" s="1186"/>
      <c r="I401" s="1186"/>
      <c r="J401" s="1186"/>
      <c r="K401" s="1186"/>
      <c r="L401" s="1186"/>
      <c r="M401" s="1186"/>
      <c r="N401" s="1186"/>
      <c r="O401" s="1186"/>
      <c r="P401" s="1186"/>
      <c r="Q401" s="1186"/>
      <c r="R401" s="1186"/>
      <c r="S401" s="1186"/>
      <c r="T401" s="1186"/>
      <c r="U401" s="1186"/>
      <c r="V401" s="1186"/>
      <c r="W401" s="1186"/>
      <c r="X401" s="1186"/>
      <c r="Y401" s="1186"/>
      <c r="Z401" s="1186"/>
      <c r="AA401" s="1186"/>
      <c r="AB401" s="1186"/>
      <c r="AC401" s="1186"/>
      <c r="AD401" s="1186"/>
      <c r="AE401" s="1186"/>
      <c r="AF401" s="1186"/>
      <c r="AG401" s="1186"/>
      <c r="AH401" s="1186"/>
      <c r="AI401" s="1529">
        <f t="shared" si="17"/>
        <v>0</v>
      </c>
      <c r="AJ401" s="1466"/>
      <c r="AK401" s="615"/>
    </row>
    <row r="402" spans="1:37" s="156" customFormat="1" ht="16.149999999999999" customHeight="1" outlineLevel="1">
      <c r="A402" s="1182">
        <v>20</v>
      </c>
      <c r="B402" s="1635" t="str">
        <f>VLOOKUP(C402,'DS CN MOI UP'!$B$10:$C$347,2,0)</f>
        <v>02633</v>
      </c>
      <c r="C402" s="1185" t="s">
        <v>327</v>
      </c>
      <c r="D402" s="1186"/>
      <c r="E402" s="1186"/>
      <c r="F402" s="1186"/>
      <c r="G402" s="1186"/>
      <c r="H402" s="1186"/>
      <c r="I402" s="1186"/>
      <c r="J402" s="1186"/>
      <c r="K402" s="1186"/>
      <c r="L402" s="1186"/>
      <c r="M402" s="1186"/>
      <c r="N402" s="1186"/>
      <c r="O402" s="1186"/>
      <c r="P402" s="1186"/>
      <c r="Q402" s="1186"/>
      <c r="R402" s="1186"/>
      <c r="S402" s="1186"/>
      <c r="T402" s="1186"/>
      <c r="U402" s="1186"/>
      <c r="V402" s="1186"/>
      <c r="W402" s="1186"/>
      <c r="X402" s="1186"/>
      <c r="Y402" s="1186"/>
      <c r="Z402" s="1186"/>
      <c r="AA402" s="1186"/>
      <c r="AB402" s="1186"/>
      <c r="AC402" s="1186"/>
      <c r="AD402" s="1186"/>
      <c r="AE402" s="1186"/>
      <c r="AF402" s="1186"/>
      <c r="AG402" s="1186"/>
      <c r="AH402" s="1186"/>
      <c r="AI402" s="1529">
        <f t="shared" si="17"/>
        <v>0</v>
      </c>
      <c r="AJ402" s="1466"/>
      <c r="AK402" s="615"/>
    </row>
    <row r="403" spans="1:37" s="156" customFormat="1" ht="16.149999999999999" customHeight="1" outlineLevel="1">
      <c r="A403" s="1182">
        <v>21</v>
      </c>
      <c r="B403" s="1182">
        <f>VLOOKUP(C403,'DS CN MOI UP'!$B$10:$C$347,2,0)</f>
        <v>3863</v>
      </c>
      <c r="C403" s="1185" t="s">
        <v>328</v>
      </c>
      <c r="D403" s="1186"/>
      <c r="E403" s="1186"/>
      <c r="F403" s="1186"/>
      <c r="G403" s="1186"/>
      <c r="H403" s="1186"/>
      <c r="I403" s="1186"/>
      <c r="J403" s="1186"/>
      <c r="K403" s="1186"/>
      <c r="L403" s="1186"/>
      <c r="M403" s="1186"/>
      <c r="N403" s="1186"/>
      <c r="O403" s="1186"/>
      <c r="P403" s="1186"/>
      <c r="Q403" s="1186"/>
      <c r="R403" s="1186"/>
      <c r="S403" s="1186"/>
      <c r="T403" s="1186"/>
      <c r="U403" s="1186"/>
      <c r="V403" s="1186"/>
      <c r="W403" s="1186"/>
      <c r="X403" s="1186"/>
      <c r="Y403" s="1186"/>
      <c r="Z403" s="1186"/>
      <c r="AA403" s="1186"/>
      <c r="AB403" s="1186"/>
      <c r="AC403" s="1186"/>
      <c r="AD403" s="1186"/>
      <c r="AE403" s="1186"/>
      <c r="AF403" s="1186"/>
      <c r="AG403" s="1186"/>
      <c r="AH403" s="1186"/>
      <c r="AI403" s="1529">
        <f t="shared" si="17"/>
        <v>0</v>
      </c>
      <c r="AJ403" s="1466"/>
      <c r="AK403" s="615"/>
    </row>
    <row r="404" spans="1:37" s="156" customFormat="1" ht="16.149999999999999" customHeight="1" outlineLevel="1">
      <c r="A404" s="1182">
        <v>22</v>
      </c>
      <c r="B404" s="1635" t="str">
        <f>VLOOKUP(C404,'DS CN MOI UP'!$B$10:$C$347,2,0)</f>
        <v>02635</v>
      </c>
      <c r="C404" s="1185" t="s">
        <v>329</v>
      </c>
      <c r="D404" s="1186"/>
      <c r="E404" s="1186"/>
      <c r="F404" s="1186"/>
      <c r="G404" s="1186"/>
      <c r="H404" s="1186"/>
      <c r="I404" s="1186"/>
      <c r="J404" s="1186"/>
      <c r="K404" s="1186"/>
      <c r="L404" s="1186"/>
      <c r="M404" s="1186"/>
      <c r="N404" s="1186"/>
      <c r="O404" s="1186"/>
      <c r="P404" s="1186"/>
      <c r="Q404" s="1186"/>
      <c r="R404" s="1186"/>
      <c r="S404" s="1186"/>
      <c r="T404" s="1186"/>
      <c r="U404" s="1186"/>
      <c r="V404" s="1186"/>
      <c r="W404" s="1186"/>
      <c r="X404" s="1186"/>
      <c r="Y404" s="1186"/>
      <c r="Z404" s="1186"/>
      <c r="AA404" s="1186"/>
      <c r="AB404" s="1186"/>
      <c r="AC404" s="1186"/>
      <c r="AD404" s="1186"/>
      <c r="AE404" s="1186"/>
      <c r="AF404" s="1186"/>
      <c r="AG404" s="1186"/>
      <c r="AH404" s="1186"/>
      <c r="AI404" s="1529">
        <f t="shared" si="17"/>
        <v>0</v>
      </c>
      <c r="AJ404" s="1466"/>
      <c r="AK404" s="615"/>
    </row>
    <row r="405" spans="1:37" s="156" customFormat="1" ht="16.149999999999999" customHeight="1" outlineLevel="1">
      <c r="A405" s="1182">
        <v>23</v>
      </c>
      <c r="B405" s="1182" t="e">
        <f>VLOOKUP(C405,'DS CN MOI UP'!$B$10:$C$347,2,0)</f>
        <v>#N/A</v>
      </c>
      <c r="C405" s="1185" t="s">
        <v>286</v>
      </c>
      <c r="D405" s="1186"/>
      <c r="E405" s="1186"/>
      <c r="F405" s="1186"/>
      <c r="G405" s="1186"/>
      <c r="H405" s="1186"/>
      <c r="I405" s="1186"/>
      <c r="J405" s="1186"/>
      <c r="K405" s="1186"/>
      <c r="L405" s="1186"/>
      <c r="M405" s="1186"/>
      <c r="N405" s="1186"/>
      <c r="O405" s="1186"/>
      <c r="P405" s="1186"/>
      <c r="Q405" s="1186"/>
      <c r="R405" s="1186"/>
      <c r="S405" s="1186"/>
      <c r="T405" s="1186"/>
      <c r="U405" s="1186"/>
      <c r="V405" s="1186"/>
      <c r="W405" s="1186"/>
      <c r="X405" s="1186"/>
      <c r="Y405" s="1186"/>
      <c r="Z405" s="1186"/>
      <c r="AA405" s="1186"/>
      <c r="AB405" s="1186"/>
      <c r="AC405" s="1186"/>
      <c r="AD405" s="1186"/>
      <c r="AE405" s="1186"/>
      <c r="AF405" s="1186"/>
      <c r="AG405" s="1186"/>
      <c r="AH405" s="1186"/>
      <c r="AI405" s="1529">
        <f t="shared" si="17"/>
        <v>0</v>
      </c>
      <c r="AJ405" s="1466"/>
      <c r="AK405" s="615"/>
    </row>
    <row r="406" spans="1:37" s="156" customFormat="1" ht="16.149999999999999" customHeight="1" outlineLevel="1">
      <c r="A406" s="1182">
        <v>24</v>
      </c>
      <c r="B406" s="1635" t="str">
        <f>VLOOKUP(C406,'DS CN MOI UP'!$B$10:$C$347,2,0)</f>
        <v>02637</v>
      </c>
      <c r="C406" s="1185" t="s">
        <v>287</v>
      </c>
      <c r="D406" s="1186"/>
      <c r="E406" s="1186"/>
      <c r="F406" s="1186"/>
      <c r="G406" s="1186"/>
      <c r="H406" s="1186"/>
      <c r="I406" s="1186"/>
      <c r="J406" s="1186"/>
      <c r="K406" s="1186"/>
      <c r="L406" s="1186"/>
      <c r="M406" s="1186"/>
      <c r="N406" s="1186"/>
      <c r="O406" s="1186"/>
      <c r="P406" s="1186"/>
      <c r="Q406" s="1186"/>
      <c r="R406" s="1186"/>
      <c r="S406" s="1186"/>
      <c r="T406" s="1186"/>
      <c r="U406" s="1186"/>
      <c r="V406" s="1186"/>
      <c r="W406" s="1186"/>
      <c r="X406" s="1186"/>
      <c r="Y406" s="1186"/>
      <c r="Z406" s="1186"/>
      <c r="AA406" s="1186"/>
      <c r="AB406" s="1186"/>
      <c r="AC406" s="1186"/>
      <c r="AD406" s="1186"/>
      <c r="AE406" s="1186"/>
      <c r="AF406" s="1186"/>
      <c r="AG406" s="1186"/>
      <c r="AH406" s="1186"/>
      <c r="AI406" s="1529">
        <f t="shared" si="17"/>
        <v>0</v>
      </c>
      <c r="AJ406" s="1466"/>
      <c r="AK406" s="615"/>
    </row>
    <row r="407" spans="1:37" s="156" customFormat="1" ht="16.149999999999999" customHeight="1" outlineLevel="1">
      <c r="A407" s="1182">
        <v>25</v>
      </c>
      <c r="B407" s="1635" t="str">
        <f>VLOOKUP(C407,'DS CN MOI UP'!$B$10:$C$347,2,0)</f>
        <v>02638</v>
      </c>
      <c r="C407" s="1185" t="s">
        <v>288</v>
      </c>
      <c r="D407" s="1186"/>
      <c r="E407" s="1186"/>
      <c r="F407" s="1186"/>
      <c r="G407" s="1186"/>
      <c r="H407" s="1186"/>
      <c r="I407" s="1186"/>
      <c r="J407" s="1186"/>
      <c r="K407" s="1186"/>
      <c r="L407" s="1186"/>
      <c r="M407" s="1186"/>
      <c r="N407" s="1186"/>
      <c r="O407" s="1186"/>
      <c r="P407" s="1186"/>
      <c r="Q407" s="1186"/>
      <c r="R407" s="1186"/>
      <c r="S407" s="1186"/>
      <c r="T407" s="1186"/>
      <c r="U407" s="1186"/>
      <c r="V407" s="1186"/>
      <c r="W407" s="1186"/>
      <c r="X407" s="1186"/>
      <c r="Y407" s="1186"/>
      <c r="Z407" s="1186"/>
      <c r="AA407" s="1186"/>
      <c r="AB407" s="1186"/>
      <c r="AC407" s="1186"/>
      <c r="AD407" s="1186"/>
      <c r="AE407" s="1186"/>
      <c r="AF407" s="1186"/>
      <c r="AG407" s="1186"/>
      <c r="AH407" s="1186"/>
      <c r="AI407" s="1529">
        <f t="shared" si="17"/>
        <v>0</v>
      </c>
      <c r="AJ407" s="1466"/>
      <c r="AK407" s="615"/>
    </row>
    <row r="408" spans="1:37" s="156" customFormat="1" ht="16.149999999999999" customHeight="1" outlineLevel="1">
      <c r="A408" s="1182">
        <v>26</v>
      </c>
      <c r="B408" s="1635" t="str">
        <f>VLOOKUP(C408,'DS CN MOI UP'!$B$10:$C$347,2,0)</f>
        <v>02639</v>
      </c>
      <c r="C408" s="1185" t="s">
        <v>289</v>
      </c>
      <c r="D408" s="1186"/>
      <c r="E408" s="1186"/>
      <c r="F408" s="1186"/>
      <c r="G408" s="1186"/>
      <c r="H408" s="1186"/>
      <c r="I408" s="1186"/>
      <c r="J408" s="1186"/>
      <c r="K408" s="1186"/>
      <c r="L408" s="1186"/>
      <c r="M408" s="1186"/>
      <c r="N408" s="1186"/>
      <c r="O408" s="1186"/>
      <c r="P408" s="1186"/>
      <c r="Q408" s="1186"/>
      <c r="R408" s="1186"/>
      <c r="S408" s="1186"/>
      <c r="T408" s="1186"/>
      <c r="U408" s="1186"/>
      <c r="V408" s="1186"/>
      <c r="W408" s="1186"/>
      <c r="X408" s="1186"/>
      <c r="Y408" s="1186"/>
      <c r="Z408" s="1186"/>
      <c r="AA408" s="1186"/>
      <c r="AB408" s="1186"/>
      <c r="AC408" s="1186"/>
      <c r="AD408" s="1186"/>
      <c r="AE408" s="1186"/>
      <c r="AF408" s="1186"/>
      <c r="AG408" s="1186"/>
      <c r="AH408" s="1186"/>
      <c r="AI408" s="1529">
        <f t="shared" si="17"/>
        <v>0</v>
      </c>
      <c r="AJ408" s="1466"/>
      <c r="AK408" s="615"/>
    </row>
    <row r="409" spans="1:37" s="156" customFormat="1" ht="16.149999999999999" customHeight="1" outlineLevel="1">
      <c r="A409" s="1182">
        <v>27</v>
      </c>
      <c r="B409" s="1182" t="e">
        <f>VLOOKUP(C409,'DS CN MOI UP'!$B$10:$C$347,2,0)</f>
        <v>#N/A</v>
      </c>
      <c r="C409" s="1185" t="s">
        <v>290</v>
      </c>
      <c r="D409" s="1186"/>
      <c r="E409" s="1186"/>
      <c r="F409" s="1186"/>
      <c r="G409" s="1186"/>
      <c r="H409" s="1186"/>
      <c r="I409" s="1186"/>
      <c r="J409" s="1186"/>
      <c r="K409" s="1186"/>
      <c r="L409" s="1186"/>
      <c r="M409" s="1186"/>
      <c r="N409" s="1186"/>
      <c r="O409" s="1186"/>
      <c r="P409" s="1186"/>
      <c r="Q409" s="1186"/>
      <c r="R409" s="1186"/>
      <c r="S409" s="1186"/>
      <c r="T409" s="1186"/>
      <c r="U409" s="1186"/>
      <c r="V409" s="1186"/>
      <c r="W409" s="1186"/>
      <c r="X409" s="1186"/>
      <c r="Y409" s="1186"/>
      <c r="Z409" s="1186"/>
      <c r="AA409" s="1186"/>
      <c r="AB409" s="1186"/>
      <c r="AC409" s="1186"/>
      <c r="AD409" s="1186"/>
      <c r="AE409" s="1186"/>
      <c r="AF409" s="1186"/>
      <c r="AG409" s="1186"/>
      <c r="AH409" s="1186"/>
      <c r="AI409" s="1529">
        <f t="shared" si="17"/>
        <v>0</v>
      </c>
      <c r="AJ409" s="1466"/>
      <c r="AK409" s="615"/>
    </row>
    <row r="410" spans="1:37" s="156" customFormat="1" ht="16.149999999999999" customHeight="1" outlineLevel="1">
      <c r="A410" s="1182">
        <v>28</v>
      </c>
      <c r="B410" s="1635" t="str">
        <f>VLOOKUP(C410,'DS CN MOI UP'!$B$10:$C$347,2,0)</f>
        <v>02641</v>
      </c>
      <c r="C410" s="1185" t="s">
        <v>291</v>
      </c>
      <c r="D410" s="1186"/>
      <c r="E410" s="1186"/>
      <c r="F410" s="1186"/>
      <c r="G410" s="1186"/>
      <c r="H410" s="1186"/>
      <c r="I410" s="1186"/>
      <c r="J410" s="1186"/>
      <c r="K410" s="1186"/>
      <c r="L410" s="1186"/>
      <c r="M410" s="1186"/>
      <c r="N410" s="1186"/>
      <c r="O410" s="1186"/>
      <c r="P410" s="1186"/>
      <c r="Q410" s="1186"/>
      <c r="R410" s="1186"/>
      <c r="S410" s="1186"/>
      <c r="T410" s="1186"/>
      <c r="U410" s="1186"/>
      <c r="V410" s="1186"/>
      <c r="W410" s="1186"/>
      <c r="X410" s="1186"/>
      <c r="Y410" s="1186"/>
      <c r="Z410" s="1186"/>
      <c r="AA410" s="1186"/>
      <c r="AB410" s="1186"/>
      <c r="AC410" s="1186"/>
      <c r="AD410" s="1186"/>
      <c r="AE410" s="1186"/>
      <c r="AF410" s="1186"/>
      <c r="AG410" s="1186"/>
      <c r="AH410" s="1186"/>
      <c r="AI410" s="1529">
        <f t="shared" si="17"/>
        <v>0</v>
      </c>
      <c r="AJ410" s="1466"/>
      <c r="AK410" s="615"/>
    </row>
    <row r="411" spans="1:37" s="156" customFormat="1" ht="16.149999999999999" customHeight="1" outlineLevel="1">
      <c r="A411" s="1182">
        <v>29</v>
      </c>
      <c r="B411" s="1635" t="str">
        <f>VLOOKUP(C411,'DS CN MOI UP'!$B$10:$C$347,2,0)</f>
        <v>03406</v>
      </c>
      <c r="C411" s="1185" t="s">
        <v>292</v>
      </c>
      <c r="D411" s="1186"/>
      <c r="E411" s="1186"/>
      <c r="F411" s="1186"/>
      <c r="G411" s="1186"/>
      <c r="H411" s="1186"/>
      <c r="I411" s="1186"/>
      <c r="J411" s="1186"/>
      <c r="K411" s="1186"/>
      <c r="L411" s="1186"/>
      <c r="M411" s="1186"/>
      <c r="N411" s="1186"/>
      <c r="O411" s="1186"/>
      <c r="P411" s="1186"/>
      <c r="Q411" s="1186"/>
      <c r="R411" s="1186"/>
      <c r="S411" s="1186"/>
      <c r="T411" s="1186"/>
      <c r="U411" s="1186"/>
      <c r="V411" s="1186"/>
      <c r="W411" s="1186"/>
      <c r="X411" s="1186"/>
      <c r="Y411" s="1186"/>
      <c r="Z411" s="1186"/>
      <c r="AA411" s="1186"/>
      <c r="AB411" s="1186"/>
      <c r="AC411" s="1186"/>
      <c r="AD411" s="1186"/>
      <c r="AE411" s="1186"/>
      <c r="AF411" s="1186"/>
      <c r="AG411" s="1186"/>
      <c r="AH411" s="1186"/>
      <c r="AI411" s="1529">
        <f t="shared" si="17"/>
        <v>0</v>
      </c>
      <c r="AJ411" s="1466"/>
      <c r="AK411" s="615"/>
    </row>
    <row r="412" spans="1:37" s="156" customFormat="1" ht="16.149999999999999" customHeight="1" outlineLevel="1">
      <c r="A412" s="1182">
        <v>30</v>
      </c>
      <c r="B412" s="1635" t="str">
        <f>VLOOKUP(C412,'DS CN MOI UP'!$B$10:$C$347,2,0)</f>
        <v>02643</v>
      </c>
      <c r="C412" s="1185" t="s">
        <v>293</v>
      </c>
      <c r="D412" s="1186"/>
      <c r="E412" s="1186"/>
      <c r="F412" s="1186"/>
      <c r="G412" s="1186"/>
      <c r="H412" s="1186"/>
      <c r="I412" s="1186"/>
      <c r="J412" s="1186"/>
      <c r="K412" s="1186"/>
      <c r="L412" s="1186"/>
      <c r="M412" s="1186"/>
      <c r="N412" s="1186"/>
      <c r="O412" s="1186"/>
      <c r="P412" s="1186"/>
      <c r="Q412" s="1186"/>
      <c r="R412" s="1186"/>
      <c r="S412" s="1186"/>
      <c r="T412" s="1186"/>
      <c r="U412" s="1186"/>
      <c r="V412" s="1186"/>
      <c r="W412" s="1186"/>
      <c r="X412" s="1186"/>
      <c r="Y412" s="1186"/>
      <c r="Z412" s="1186"/>
      <c r="AA412" s="1186"/>
      <c r="AB412" s="1186"/>
      <c r="AC412" s="1186"/>
      <c r="AD412" s="1186"/>
      <c r="AE412" s="1186"/>
      <c r="AF412" s="1186"/>
      <c r="AG412" s="1186"/>
      <c r="AH412" s="1186"/>
      <c r="AI412" s="1529">
        <f t="shared" si="17"/>
        <v>0</v>
      </c>
      <c r="AJ412" s="1466"/>
      <c r="AK412" s="615"/>
    </row>
    <row r="413" spans="1:37" s="156" customFormat="1" ht="16.149999999999999" customHeight="1" outlineLevel="1">
      <c r="A413" s="1182">
        <v>31</v>
      </c>
      <c r="B413" s="1635" t="str">
        <f>VLOOKUP(C413,'DS CN MOI UP'!$B$10:$C$347,2,0)</f>
        <v>03407</v>
      </c>
      <c r="C413" s="1185" t="s">
        <v>294</v>
      </c>
      <c r="D413" s="1186"/>
      <c r="E413" s="1186"/>
      <c r="F413" s="1186"/>
      <c r="G413" s="1186"/>
      <c r="H413" s="1186"/>
      <c r="I413" s="1186"/>
      <c r="J413" s="1186"/>
      <c r="K413" s="1186"/>
      <c r="L413" s="1186"/>
      <c r="M413" s="1186"/>
      <c r="N413" s="1186"/>
      <c r="O413" s="1186"/>
      <c r="P413" s="1186"/>
      <c r="Q413" s="1186"/>
      <c r="R413" s="1186"/>
      <c r="S413" s="1186"/>
      <c r="T413" s="1186"/>
      <c r="U413" s="1186"/>
      <c r="V413" s="1186"/>
      <c r="W413" s="1186"/>
      <c r="X413" s="1186"/>
      <c r="Y413" s="1186"/>
      <c r="Z413" s="1186"/>
      <c r="AA413" s="1186"/>
      <c r="AB413" s="1186"/>
      <c r="AC413" s="1186"/>
      <c r="AD413" s="1186"/>
      <c r="AE413" s="1186"/>
      <c r="AF413" s="1186"/>
      <c r="AG413" s="1186"/>
      <c r="AH413" s="1186"/>
      <c r="AI413" s="1529">
        <f t="shared" si="17"/>
        <v>0</v>
      </c>
      <c r="AJ413" s="1466"/>
      <c r="AK413" s="615"/>
    </row>
    <row r="414" spans="1:37" s="156" customFormat="1" ht="16.149999999999999" customHeight="1" outlineLevel="1">
      <c r="A414" s="1182">
        <v>32</v>
      </c>
      <c r="B414" s="1635" t="str">
        <f>VLOOKUP(C414,'DS CN MOI UP'!$B$10:$C$347,2,0)</f>
        <v>03408</v>
      </c>
      <c r="C414" s="1185" t="s">
        <v>295</v>
      </c>
      <c r="D414" s="1186"/>
      <c r="E414" s="1186"/>
      <c r="F414" s="1186"/>
      <c r="G414" s="1186"/>
      <c r="H414" s="1186"/>
      <c r="I414" s="1186"/>
      <c r="J414" s="1186"/>
      <c r="K414" s="1186"/>
      <c r="L414" s="1186"/>
      <c r="M414" s="1186"/>
      <c r="N414" s="1186"/>
      <c r="O414" s="1186"/>
      <c r="P414" s="1186"/>
      <c r="Q414" s="1186"/>
      <c r="R414" s="1186"/>
      <c r="S414" s="1186"/>
      <c r="T414" s="1186"/>
      <c r="U414" s="1186"/>
      <c r="V414" s="1186"/>
      <c r="W414" s="1186"/>
      <c r="X414" s="1186"/>
      <c r="Y414" s="1186"/>
      <c r="Z414" s="1186"/>
      <c r="AA414" s="1186"/>
      <c r="AB414" s="1186"/>
      <c r="AC414" s="1186"/>
      <c r="AD414" s="1186"/>
      <c r="AE414" s="1186"/>
      <c r="AF414" s="1186"/>
      <c r="AG414" s="1186"/>
      <c r="AH414" s="1186"/>
      <c r="AI414" s="1529">
        <f t="shared" si="17"/>
        <v>0</v>
      </c>
      <c r="AJ414" s="1466"/>
      <c r="AK414" s="615"/>
    </row>
    <row r="415" spans="1:37" s="156" customFormat="1" ht="16.149999999999999" customHeight="1" outlineLevel="1">
      <c r="A415" s="1182">
        <v>33</v>
      </c>
      <c r="B415" s="1635" t="str">
        <f>VLOOKUP(C415,'DS CN MOI UP'!$B$10:$C$347,2,0)</f>
        <v>02646</v>
      </c>
      <c r="C415" s="1185" t="s">
        <v>296</v>
      </c>
      <c r="D415" s="1186"/>
      <c r="E415" s="1186"/>
      <c r="F415" s="1186"/>
      <c r="G415" s="1186"/>
      <c r="H415" s="1186"/>
      <c r="I415" s="1186"/>
      <c r="J415" s="1186"/>
      <c r="K415" s="1186"/>
      <c r="L415" s="1186"/>
      <c r="M415" s="1186"/>
      <c r="N415" s="1186"/>
      <c r="O415" s="1186"/>
      <c r="P415" s="1186"/>
      <c r="Q415" s="1186"/>
      <c r="R415" s="1186"/>
      <c r="S415" s="1186"/>
      <c r="T415" s="1186"/>
      <c r="U415" s="1186"/>
      <c r="V415" s="1186"/>
      <c r="W415" s="1186"/>
      <c r="X415" s="1186"/>
      <c r="Y415" s="1186"/>
      <c r="Z415" s="1186"/>
      <c r="AA415" s="1186"/>
      <c r="AB415" s="1186"/>
      <c r="AC415" s="1186"/>
      <c r="AD415" s="1186"/>
      <c r="AE415" s="1186"/>
      <c r="AF415" s="1186"/>
      <c r="AG415" s="1186"/>
      <c r="AH415" s="1186"/>
      <c r="AI415" s="1529">
        <f t="shared" si="17"/>
        <v>0</v>
      </c>
      <c r="AJ415" s="1466"/>
      <c r="AK415" s="615"/>
    </row>
    <row r="416" spans="1:37" s="156" customFormat="1" ht="16.149999999999999" customHeight="1" outlineLevel="1">
      <c r="A416" s="1182">
        <v>34</v>
      </c>
      <c r="B416" s="1635" t="str">
        <f>VLOOKUP(C416,'DS CN MOI UP'!$B$10:$C$347,2,0)</f>
        <v>02647</v>
      </c>
      <c r="C416" s="1185" t="s">
        <v>297</v>
      </c>
      <c r="D416" s="1186"/>
      <c r="E416" s="1186"/>
      <c r="F416" s="1186"/>
      <c r="G416" s="1186"/>
      <c r="H416" s="1186"/>
      <c r="I416" s="1186"/>
      <c r="J416" s="1186"/>
      <c r="K416" s="1186"/>
      <c r="L416" s="1186"/>
      <c r="M416" s="1186"/>
      <c r="N416" s="1186"/>
      <c r="O416" s="1186"/>
      <c r="P416" s="1186"/>
      <c r="Q416" s="1186"/>
      <c r="R416" s="1186"/>
      <c r="S416" s="1186"/>
      <c r="T416" s="1186"/>
      <c r="U416" s="1186"/>
      <c r="V416" s="1186"/>
      <c r="W416" s="1186"/>
      <c r="X416" s="1186"/>
      <c r="Y416" s="1186"/>
      <c r="Z416" s="1186"/>
      <c r="AA416" s="1186"/>
      <c r="AB416" s="1186"/>
      <c r="AC416" s="1186"/>
      <c r="AD416" s="1186"/>
      <c r="AE416" s="1186"/>
      <c r="AF416" s="1186"/>
      <c r="AG416" s="1186"/>
      <c r="AH416" s="1186"/>
      <c r="AI416" s="1529">
        <f t="shared" si="17"/>
        <v>0</v>
      </c>
      <c r="AJ416" s="1466"/>
      <c r="AK416" s="615"/>
    </row>
    <row r="417" spans="1:37" s="156" customFormat="1" ht="16.149999999999999" customHeight="1" outlineLevel="1">
      <c r="A417" s="1182">
        <v>35</v>
      </c>
      <c r="B417" s="1635" t="str">
        <f>VLOOKUP(C417,'DS CN MOI UP'!$B$10:$C$347,2,0)</f>
        <v>02648</v>
      </c>
      <c r="C417" s="1185" t="s">
        <v>298</v>
      </c>
      <c r="D417" s="1186"/>
      <c r="E417" s="1186"/>
      <c r="F417" s="1186"/>
      <c r="G417" s="1186"/>
      <c r="H417" s="1186"/>
      <c r="I417" s="1186"/>
      <c r="J417" s="1186"/>
      <c r="K417" s="1186"/>
      <c r="L417" s="1186"/>
      <c r="M417" s="1186"/>
      <c r="N417" s="1186"/>
      <c r="O417" s="1186"/>
      <c r="P417" s="1186"/>
      <c r="Q417" s="1186"/>
      <c r="R417" s="1186"/>
      <c r="S417" s="1186"/>
      <c r="T417" s="1186"/>
      <c r="U417" s="1186"/>
      <c r="V417" s="1186"/>
      <c r="W417" s="1186"/>
      <c r="X417" s="1186"/>
      <c r="Y417" s="1186"/>
      <c r="Z417" s="1186"/>
      <c r="AA417" s="1186"/>
      <c r="AB417" s="1186"/>
      <c r="AC417" s="1186"/>
      <c r="AD417" s="1186"/>
      <c r="AE417" s="1186"/>
      <c r="AF417" s="1186"/>
      <c r="AG417" s="1186"/>
      <c r="AH417" s="1186"/>
      <c r="AI417" s="1529">
        <f t="shared" si="17"/>
        <v>0</v>
      </c>
      <c r="AJ417" s="1466"/>
      <c r="AK417" s="615"/>
    </row>
    <row r="418" spans="1:37" s="156" customFormat="1" ht="16.149999999999999" customHeight="1" outlineLevel="1">
      <c r="A418" s="1182">
        <v>36</v>
      </c>
      <c r="B418" s="1635" t="str">
        <f>VLOOKUP(C418,'DS CN MOI UP'!$B$10:$C$347,2,0)</f>
        <v>02649</v>
      </c>
      <c r="C418" s="1185" t="s">
        <v>299</v>
      </c>
      <c r="D418" s="1186"/>
      <c r="E418" s="1186"/>
      <c r="F418" s="1186"/>
      <c r="G418" s="1186"/>
      <c r="H418" s="1186"/>
      <c r="I418" s="1186"/>
      <c r="J418" s="1186"/>
      <c r="K418" s="1186"/>
      <c r="L418" s="1186"/>
      <c r="M418" s="1186"/>
      <c r="N418" s="1186"/>
      <c r="O418" s="1186"/>
      <c r="P418" s="1186"/>
      <c r="Q418" s="1186"/>
      <c r="R418" s="1186"/>
      <c r="S418" s="1186"/>
      <c r="T418" s="1186"/>
      <c r="U418" s="1186"/>
      <c r="V418" s="1186"/>
      <c r="W418" s="1186"/>
      <c r="X418" s="1186"/>
      <c r="Y418" s="1186"/>
      <c r="Z418" s="1186"/>
      <c r="AA418" s="1186"/>
      <c r="AB418" s="1186"/>
      <c r="AC418" s="1186"/>
      <c r="AD418" s="1186"/>
      <c r="AE418" s="1186"/>
      <c r="AF418" s="1186"/>
      <c r="AG418" s="1186"/>
      <c r="AH418" s="1186"/>
      <c r="AI418" s="1529">
        <f t="shared" si="17"/>
        <v>0</v>
      </c>
      <c r="AJ418" s="1466"/>
      <c r="AK418" s="615"/>
    </row>
    <row r="419" spans="1:37" s="156" customFormat="1" ht="16.149999999999999" customHeight="1" outlineLevel="1">
      <c r="A419" s="1182">
        <v>37</v>
      </c>
      <c r="B419" s="1635" t="str">
        <f>VLOOKUP(C419,'DS CN MOI UP'!$B$10:$C$347,2,0)</f>
        <v>02650</v>
      </c>
      <c r="C419" s="1185" t="s">
        <v>300</v>
      </c>
      <c r="D419" s="1186"/>
      <c r="E419" s="1186"/>
      <c r="F419" s="1186"/>
      <c r="G419" s="1186"/>
      <c r="H419" s="1186"/>
      <c r="I419" s="1186"/>
      <c r="J419" s="1186"/>
      <c r="K419" s="1186"/>
      <c r="L419" s="1186"/>
      <c r="M419" s="1186"/>
      <c r="N419" s="1186"/>
      <c r="O419" s="1186"/>
      <c r="P419" s="1186"/>
      <c r="Q419" s="1186"/>
      <c r="R419" s="1186"/>
      <c r="S419" s="1186"/>
      <c r="T419" s="1186"/>
      <c r="U419" s="1186"/>
      <c r="V419" s="1186"/>
      <c r="W419" s="1186"/>
      <c r="X419" s="1186"/>
      <c r="Y419" s="1186"/>
      <c r="Z419" s="1186"/>
      <c r="AA419" s="1186"/>
      <c r="AB419" s="1186"/>
      <c r="AC419" s="1186"/>
      <c r="AD419" s="1186"/>
      <c r="AE419" s="1186"/>
      <c r="AF419" s="1186"/>
      <c r="AG419" s="1186"/>
      <c r="AH419" s="1186"/>
      <c r="AI419" s="1529">
        <f t="shared" si="17"/>
        <v>0</v>
      </c>
      <c r="AJ419" s="1466"/>
      <c r="AK419" s="615"/>
    </row>
    <row r="420" spans="1:37" s="156" customFormat="1" ht="16.149999999999999" customHeight="1" outlineLevel="1">
      <c r="A420" s="1182">
        <v>38</v>
      </c>
      <c r="B420" s="1635" t="str">
        <f>VLOOKUP(C420,'DS CN MOI UP'!$B$10:$C$347,2,0)</f>
        <v>02651</v>
      </c>
      <c r="C420" s="1185" t="s">
        <v>301</v>
      </c>
      <c r="D420" s="1186"/>
      <c r="E420" s="1186"/>
      <c r="F420" s="1186"/>
      <c r="G420" s="1186"/>
      <c r="H420" s="1186"/>
      <c r="I420" s="1186"/>
      <c r="J420" s="1186"/>
      <c r="K420" s="1186"/>
      <c r="L420" s="1186"/>
      <c r="M420" s="1186"/>
      <c r="N420" s="1186"/>
      <c r="O420" s="1186"/>
      <c r="P420" s="1186"/>
      <c r="Q420" s="1186"/>
      <c r="R420" s="1186"/>
      <c r="S420" s="1186"/>
      <c r="T420" s="1186"/>
      <c r="U420" s="1186"/>
      <c r="V420" s="1186"/>
      <c r="W420" s="1186"/>
      <c r="X420" s="1186"/>
      <c r="Y420" s="1186"/>
      <c r="Z420" s="1186"/>
      <c r="AA420" s="1186"/>
      <c r="AB420" s="1186"/>
      <c r="AC420" s="1186"/>
      <c r="AD420" s="1186"/>
      <c r="AE420" s="1186"/>
      <c r="AF420" s="1186"/>
      <c r="AG420" s="1186"/>
      <c r="AH420" s="1186"/>
      <c r="AI420" s="1529">
        <f t="shared" si="17"/>
        <v>0</v>
      </c>
      <c r="AJ420" s="1466"/>
      <c r="AK420" s="615"/>
    </row>
    <row r="421" spans="1:37" s="156" customFormat="1" ht="16.149999999999999" customHeight="1" outlineLevel="1">
      <c r="A421" s="1182">
        <v>39</v>
      </c>
      <c r="B421" s="1635" t="str">
        <f>VLOOKUP(C421,'DS CN MOI UP'!$B$10:$C$347,2,0)</f>
        <v>02652</v>
      </c>
      <c r="C421" s="1185" t="s">
        <v>302</v>
      </c>
      <c r="D421" s="1186"/>
      <c r="E421" s="1186"/>
      <c r="F421" s="1186"/>
      <c r="G421" s="1186"/>
      <c r="H421" s="1186"/>
      <c r="I421" s="1186"/>
      <c r="J421" s="1186"/>
      <c r="K421" s="1186"/>
      <c r="L421" s="1186"/>
      <c r="M421" s="1186"/>
      <c r="N421" s="1186"/>
      <c r="O421" s="1186"/>
      <c r="P421" s="1186"/>
      <c r="Q421" s="1186"/>
      <c r="R421" s="1186"/>
      <c r="S421" s="1186"/>
      <c r="T421" s="1186"/>
      <c r="U421" s="1186"/>
      <c r="V421" s="1186"/>
      <c r="W421" s="1186"/>
      <c r="X421" s="1186"/>
      <c r="Y421" s="1186"/>
      <c r="Z421" s="1186"/>
      <c r="AA421" s="1186"/>
      <c r="AB421" s="1186"/>
      <c r="AC421" s="1186"/>
      <c r="AD421" s="1186"/>
      <c r="AE421" s="1186"/>
      <c r="AF421" s="1186"/>
      <c r="AG421" s="1186"/>
      <c r="AH421" s="1186"/>
      <c r="AI421" s="1529">
        <f t="shared" si="17"/>
        <v>0</v>
      </c>
      <c r="AJ421" s="1466"/>
      <c r="AK421" s="615"/>
    </row>
    <row r="422" spans="1:37" s="156" customFormat="1" ht="16.149999999999999" customHeight="1" outlineLevel="1">
      <c r="A422" s="1182">
        <v>40</v>
      </c>
      <c r="B422" s="1182" t="e">
        <f>VLOOKUP(C422,'DS CN MOI UP'!$B$10:$C$347,2,0)</f>
        <v>#N/A</v>
      </c>
      <c r="C422" s="1185" t="s">
        <v>303</v>
      </c>
      <c r="D422" s="1186"/>
      <c r="E422" s="1186"/>
      <c r="F422" s="1186"/>
      <c r="G422" s="1186"/>
      <c r="H422" s="1186"/>
      <c r="I422" s="1186"/>
      <c r="J422" s="1186"/>
      <c r="K422" s="1186"/>
      <c r="L422" s="1186"/>
      <c r="M422" s="1186"/>
      <c r="N422" s="1186"/>
      <c r="O422" s="1186"/>
      <c r="P422" s="1186"/>
      <c r="Q422" s="1186"/>
      <c r="R422" s="1186"/>
      <c r="S422" s="1186"/>
      <c r="T422" s="1186"/>
      <c r="U422" s="1186"/>
      <c r="V422" s="1186"/>
      <c r="W422" s="1186"/>
      <c r="X422" s="1186"/>
      <c r="Y422" s="1186"/>
      <c r="Z422" s="1186"/>
      <c r="AA422" s="1186"/>
      <c r="AB422" s="1186"/>
      <c r="AC422" s="1186"/>
      <c r="AD422" s="1186"/>
      <c r="AE422" s="1186"/>
      <c r="AF422" s="1186"/>
      <c r="AG422" s="1186"/>
      <c r="AH422" s="1186"/>
      <c r="AI422" s="1529">
        <f t="shared" si="17"/>
        <v>0</v>
      </c>
      <c r="AJ422" s="1466"/>
      <c r="AK422" s="615"/>
    </row>
    <row r="423" spans="1:37" s="156" customFormat="1" ht="16.149999999999999" customHeight="1" outlineLevel="1">
      <c r="A423" s="1182">
        <v>41</v>
      </c>
      <c r="B423" s="1635" t="str">
        <f>VLOOKUP(C423,'DS CN MOI UP'!$B$10:$C$347,2,0)</f>
        <v>02654</v>
      </c>
      <c r="C423" s="1185" t="s">
        <v>304</v>
      </c>
      <c r="D423" s="1186"/>
      <c r="E423" s="1186"/>
      <c r="F423" s="1186"/>
      <c r="G423" s="1186"/>
      <c r="H423" s="1186"/>
      <c r="I423" s="1186"/>
      <c r="J423" s="1186"/>
      <c r="K423" s="1186"/>
      <c r="L423" s="1186"/>
      <c r="M423" s="1186"/>
      <c r="N423" s="1186"/>
      <c r="O423" s="1186"/>
      <c r="P423" s="1186"/>
      <c r="Q423" s="1186"/>
      <c r="R423" s="1186"/>
      <c r="S423" s="1186"/>
      <c r="T423" s="1186"/>
      <c r="U423" s="1186"/>
      <c r="V423" s="1186"/>
      <c r="W423" s="1186"/>
      <c r="X423" s="1186"/>
      <c r="Y423" s="1186"/>
      <c r="Z423" s="1186"/>
      <c r="AA423" s="1186"/>
      <c r="AB423" s="1186"/>
      <c r="AC423" s="1186"/>
      <c r="AD423" s="1186"/>
      <c r="AE423" s="1186"/>
      <c r="AF423" s="1186"/>
      <c r="AG423" s="1186"/>
      <c r="AH423" s="1186"/>
      <c r="AI423" s="1529">
        <f t="shared" si="17"/>
        <v>0</v>
      </c>
      <c r="AJ423" s="1466"/>
      <c r="AK423" s="615"/>
    </row>
    <row r="424" spans="1:37" s="1232" customFormat="1" ht="16.149999999999999" customHeight="1" outlineLevel="1">
      <c r="A424" s="1182">
        <v>42</v>
      </c>
      <c r="B424" s="1635" t="str">
        <f>VLOOKUP(C424,'DS CN MOI UP'!$B$10:$C$347,2,0)</f>
        <v>03859</v>
      </c>
      <c r="C424" s="1185" t="s">
        <v>331</v>
      </c>
      <c r="D424" s="1186"/>
      <c r="E424" s="1186"/>
      <c r="F424" s="1186"/>
      <c r="G424" s="1186"/>
      <c r="H424" s="1186"/>
      <c r="I424" s="1186"/>
      <c r="J424" s="1186"/>
      <c r="K424" s="1186"/>
      <c r="L424" s="1186"/>
      <c r="M424" s="1186"/>
      <c r="N424" s="1186"/>
      <c r="O424" s="1186"/>
      <c r="P424" s="1186"/>
      <c r="Q424" s="1186"/>
      <c r="R424" s="1186"/>
      <c r="S424" s="1186"/>
      <c r="T424" s="1186"/>
      <c r="U424" s="1186"/>
      <c r="V424" s="1186"/>
      <c r="W424" s="1186"/>
      <c r="X424" s="1186"/>
      <c r="Y424" s="1186"/>
      <c r="Z424" s="1186"/>
      <c r="AA424" s="1186"/>
      <c r="AB424" s="1186"/>
      <c r="AC424" s="1186"/>
      <c r="AD424" s="1186"/>
      <c r="AE424" s="1186"/>
      <c r="AF424" s="1186"/>
      <c r="AG424" s="1186"/>
      <c r="AH424" s="1186"/>
      <c r="AI424" s="1529">
        <f t="shared" si="17"/>
        <v>0</v>
      </c>
      <c r="AJ424" s="1466"/>
      <c r="AK424" s="615"/>
    </row>
    <row r="425" spans="1:37" s="156" customFormat="1" ht="16.149999999999999" customHeight="1" outlineLevel="1">
      <c r="A425" s="1182">
        <v>43</v>
      </c>
      <c r="B425" s="1635" t="str">
        <f>VLOOKUP(C425,'DS CN MOI UP'!$B$10:$C$347,2,0)</f>
        <v>03411</v>
      </c>
      <c r="C425" s="1185" t="s">
        <v>332</v>
      </c>
      <c r="D425" s="1186"/>
      <c r="E425" s="1186"/>
      <c r="F425" s="1186"/>
      <c r="G425" s="1186"/>
      <c r="H425" s="1186"/>
      <c r="I425" s="1186"/>
      <c r="J425" s="1186"/>
      <c r="K425" s="1186"/>
      <c r="L425" s="1186"/>
      <c r="M425" s="1186"/>
      <c r="N425" s="1186"/>
      <c r="O425" s="1186"/>
      <c r="P425" s="1186"/>
      <c r="Q425" s="1186"/>
      <c r="R425" s="1186"/>
      <c r="S425" s="1186"/>
      <c r="T425" s="1186"/>
      <c r="U425" s="1186"/>
      <c r="V425" s="1186"/>
      <c r="W425" s="1186"/>
      <c r="X425" s="1186"/>
      <c r="Y425" s="1186"/>
      <c r="Z425" s="1186"/>
      <c r="AA425" s="1186"/>
      <c r="AB425" s="1186"/>
      <c r="AC425" s="1186"/>
      <c r="AD425" s="1186"/>
      <c r="AE425" s="1186"/>
      <c r="AF425" s="1186"/>
      <c r="AG425" s="1186"/>
      <c r="AH425" s="1186"/>
      <c r="AI425" s="1529">
        <f t="shared" si="17"/>
        <v>0</v>
      </c>
      <c r="AJ425" s="1466"/>
      <c r="AK425" s="615"/>
    </row>
    <row r="426" spans="1:37" s="156" customFormat="1" ht="16.149999999999999" customHeight="1" outlineLevel="1">
      <c r="A426" s="1182">
        <v>44</v>
      </c>
      <c r="B426" s="1182" t="e">
        <f>VLOOKUP(C426,'DS CN MOI UP'!$B$10:$C$347,2,0)</f>
        <v>#N/A</v>
      </c>
      <c r="C426" s="1185" t="s">
        <v>333</v>
      </c>
      <c r="D426" s="1186"/>
      <c r="E426" s="1186"/>
      <c r="F426" s="1186"/>
      <c r="G426" s="1186"/>
      <c r="H426" s="1186"/>
      <c r="I426" s="1186"/>
      <c r="J426" s="1186"/>
      <c r="K426" s="1186"/>
      <c r="L426" s="1186"/>
      <c r="M426" s="1186"/>
      <c r="N426" s="1186"/>
      <c r="O426" s="1186"/>
      <c r="P426" s="1186"/>
      <c r="Q426" s="1186"/>
      <c r="R426" s="1186"/>
      <c r="S426" s="1186"/>
      <c r="T426" s="1186"/>
      <c r="U426" s="1186"/>
      <c r="V426" s="1186"/>
      <c r="W426" s="1186"/>
      <c r="X426" s="1186"/>
      <c r="Y426" s="1186"/>
      <c r="Z426" s="1186"/>
      <c r="AA426" s="1186"/>
      <c r="AB426" s="1186"/>
      <c r="AC426" s="1186"/>
      <c r="AD426" s="1186"/>
      <c r="AE426" s="1186"/>
      <c r="AF426" s="1186"/>
      <c r="AG426" s="1186"/>
      <c r="AH426" s="1186"/>
      <c r="AI426" s="1529">
        <f t="shared" si="17"/>
        <v>0</v>
      </c>
      <c r="AJ426" s="1466"/>
      <c r="AK426" s="615"/>
    </row>
    <row r="427" spans="1:37" s="156" customFormat="1" ht="16.149999999999999" customHeight="1" outlineLevel="1">
      <c r="A427" s="1182">
        <v>45</v>
      </c>
      <c r="B427" s="1635" t="str">
        <f>VLOOKUP(C427,'DS CN MOI UP'!$B$10:$C$347,2,0)</f>
        <v>02625</v>
      </c>
      <c r="C427" s="1185" t="s">
        <v>334</v>
      </c>
      <c r="D427" s="1186"/>
      <c r="E427" s="1186"/>
      <c r="F427" s="1186"/>
      <c r="G427" s="1186"/>
      <c r="H427" s="1186"/>
      <c r="I427" s="1186"/>
      <c r="J427" s="1186"/>
      <c r="K427" s="1186"/>
      <c r="L427" s="1186"/>
      <c r="M427" s="1186"/>
      <c r="N427" s="1186"/>
      <c r="O427" s="1186"/>
      <c r="P427" s="1186"/>
      <c r="Q427" s="1186"/>
      <c r="R427" s="1186"/>
      <c r="S427" s="1186"/>
      <c r="T427" s="1186"/>
      <c r="U427" s="1186"/>
      <c r="V427" s="1186"/>
      <c r="W427" s="1186"/>
      <c r="X427" s="1186"/>
      <c r="Y427" s="1186"/>
      <c r="Z427" s="1186"/>
      <c r="AA427" s="1186"/>
      <c r="AB427" s="1186"/>
      <c r="AC427" s="1186"/>
      <c r="AD427" s="1186"/>
      <c r="AE427" s="1186"/>
      <c r="AF427" s="1186"/>
      <c r="AG427" s="1186"/>
      <c r="AH427" s="1186"/>
      <c r="AI427" s="1529">
        <f t="shared" si="17"/>
        <v>0</v>
      </c>
      <c r="AJ427" s="1466"/>
      <c r="AK427" s="615"/>
    </row>
    <row r="428" spans="1:37" s="156" customFormat="1" ht="16.149999999999999" customHeight="1" outlineLevel="1">
      <c r="A428" s="1182">
        <v>46</v>
      </c>
      <c r="B428" s="1635" t="str">
        <f>VLOOKUP(C428,'DS CN MOI UP'!$B$10:$C$347,2,0)</f>
        <v>03861</v>
      </c>
      <c r="C428" s="1185" t="s">
        <v>305</v>
      </c>
      <c r="D428" s="1186"/>
      <c r="E428" s="1186"/>
      <c r="F428" s="1186"/>
      <c r="G428" s="1186"/>
      <c r="H428" s="1186"/>
      <c r="I428" s="1186"/>
      <c r="J428" s="1186"/>
      <c r="K428" s="1186"/>
      <c r="L428" s="1186"/>
      <c r="M428" s="1186"/>
      <c r="N428" s="1186"/>
      <c r="O428" s="1186"/>
      <c r="P428" s="1186"/>
      <c r="Q428" s="1186"/>
      <c r="R428" s="1186"/>
      <c r="S428" s="1186"/>
      <c r="T428" s="1186"/>
      <c r="U428" s="1186"/>
      <c r="V428" s="1186"/>
      <c r="W428" s="1186"/>
      <c r="X428" s="1186"/>
      <c r="Y428" s="1186"/>
      <c r="Z428" s="1186"/>
      <c r="AA428" s="1186"/>
      <c r="AB428" s="1186"/>
      <c r="AC428" s="1186"/>
      <c r="AD428" s="1186"/>
      <c r="AE428" s="1186"/>
      <c r="AF428" s="1186"/>
      <c r="AG428" s="1186"/>
      <c r="AH428" s="1186"/>
      <c r="AI428" s="1529">
        <f t="shared" si="17"/>
        <v>0</v>
      </c>
      <c r="AJ428" s="1466"/>
      <c r="AK428" s="615"/>
    </row>
    <row r="429" spans="1:37" s="156" customFormat="1" ht="16.149999999999999" customHeight="1">
      <c r="A429" s="1182">
        <v>47</v>
      </c>
      <c r="B429" s="1635" t="str">
        <f>VLOOKUP(C429,'DS CN MOI UP'!$B$10:$C$347,2,0)</f>
        <v>03862</v>
      </c>
      <c r="C429" s="1185" t="s">
        <v>335</v>
      </c>
      <c r="D429" s="1186"/>
      <c r="E429" s="1186"/>
      <c r="F429" s="1186"/>
      <c r="G429" s="1186"/>
      <c r="H429" s="1186"/>
      <c r="I429" s="1186"/>
      <c r="J429" s="1186"/>
      <c r="K429" s="1186"/>
      <c r="L429" s="1186"/>
      <c r="M429" s="1186"/>
      <c r="N429" s="1186"/>
      <c r="O429" s="1186"/>
      <c r="P429" s="1186"/>
      <c r="Q429" s="1186"/>
      <c r="R429" s="1186"/>
      <c r="S429" s="1186"/>
      <c r="T429" s="1186"/>
      <c r="U429" s="1186"/>
      <c r="V429" s="1186"/>
      <c r="W429" s="1186"/>
      <c r="X429" s="1186"/>
      <c r="Y429" s="1186"/>
      <c r="Z429" s="1186"/>
      <c r="AA429" s="1186"/>
      <c r="AB429" s="1186"/>
      <c r="AC429" s="1186"/>
      <c r="AD429" s="1186"/>
      <c r="AE429" s="1186"/>
      <c r="AF429" s="1186"/>
      <c r="AG429" s="1186"/>
      <c r="AH429" s="1186"/>
      <c r="AI429" s="1529">
        <f t="shared" si="17"/>
        <v>0</v>
      </c>
      <c r="AJ429" s="1466"/>
      <c r="AK429" s="615"/>
    </row>
    <row r="430" spans="1:37" s="156" customFormat="1" ht="16.149999999999999" customHeight="1">
      <c r="A430" s="1182">
        <v>47</v>
      </c>
      <c r="B430" s="1635" t="str">
        <f>VLOOKUP(C430,'DS CN MOI UP'!$B$10:$C$347,2,0)</f>
        <v>03413</v>
      </c>
      <c r="C430" s="1185" t="s">
        <v>336</v>
      </c>
      <c r="D430" s="1186"/>
      <c r="E430" s="1186"/>
      <c r="F430" s="1186"/>
      <c r="G430" s="1186"/>
      <c r="H430" s="1186"/>
      <c r="I430" s="1186"/>
      <c r="J430" s="1186"/>
      <c r="K430" s="1186"/>
      <c r="L430" s="1186"/>
      <c r="M430" s="1186"/>
      <c r="N430" s="1186"/>
      <c r="O430" s="1186"/>
      <c r="P430" s="1186"/>
      <c r="Q430" s="1186"/>
      <c r="R430" s="1186"/>
      <c r="S430" s="1186"/>
      <c r="T430" s="1186"/>
      <c r="U430" s="1186"/>
      <c r="V430" s="1186"/>
      <c r="W430" s="1186"/>
      <c r="X430" s="1186"/>
      <c r="Y430" s="1186"/>
      <c r="Z430" s="1186"/>
      <c r="AA430" s="1186"/>
      <c r="AB430" s="1186"/>
      <c r="AC430" s="1186"/>
      <c r="AD430" s="1186"/>
      <c r="AE430" s="1186"/>
      <c r="AF430" s="1186"/>
      <c r="AG430" s="1186"/>
      <c r="AH430" s="1186"/>
      <c r="AI430" s="1529">
        <f t="shared" si="17"/>
        <v>0</v>
      </c>
      <c r="AJ430" s="1466"/>
      <c r="AK430" s="615"/>
    </row>
    <row r="431" spans="1:37" s="156" customFormat="1" ht="16.149999999999999" customHeight="1" outlineLevel="1">
      <c r="A431" s="1182">
        <v>48</v>
      </c>
      <c r="B431" s="1635" t="str">
        <f>VLOOKUP(C431,'DS CN MOI UP'!$B$10:$C$347,2,0)</f>
        <v>03414</v>
      </c>
      <c r="C431" s="1185" t="s">
        <v>337</v>
      </c>
      <c r="D431" s="1186"/>
      <c r="E431" s="1186"/>
      <c r="F431" s="1186"/>
      <c r="G431" s="1186"/>
      <c r="H431" s="1186"/>
      <c r="I431" s="1186"/>
      <c r="J431" s="1186"/>
      <c r="K431" s="1186"/>
      <c r="L431" s="1186"/>
      <c r="M431" s="1186"/>
      <c r="N431" s="1186"/>
      <c r="O431" s="1186"/>
      <c r="P431" s="1186"/>
      <c r="Q431" s="1186"/>
      <c r="R431" s="1186"/>
      <c r="S431" s="1186"/>
      <c r="T431" s="1186"/>
      <c r="U431" s="1186"/>
      <c r="V431" s="1186"/>
      <c r="W431" s="1186"/>
      <c r="X431" s="1186"/>
      <c r="Y431" s="1186"/>
      <c r="Z431" s="1186"/>
      <c r="AA431" s="1186"/>
      <c r="AB431" s="1186"/>
      <c r="AC431" s="1186"/>
      <c r="AD431" s="1186"/>
      <c r="AE431" s="1186"/>
      <c r="AF431" s="1186"/>
      <c r="AG431" s="1186"/>
      <c r="AH431" s="1186"/>
      <c r="AI431" s="1529">
        <f t="shared" si="17"/>
        <v>0</v>
      </c>
      <c r="AJ431" s="1466"/>
      <c r="AK431" s="615"/>
    </row>
    <row r="432" spans="1:37" s="156" customFormat="1" ht="16.149999999999999" customHeight="1" outlineLevel="1">
      <c r="A432" s="1182">
        <v>49</v>
      </c>
      <c r="B432" s="1635" t="str">
        <f>VLOOKUP(C432,'DS CN MOI UP'!$B$10:$C$347,2,0)</f>
        <v>03415</v>
      </c>
      <c r="C432" s="1185" t="s">
        <v>338</v>
      </c>
      <c r="D432" s="1186"/>
      <c r="E432" s="1186"/>
      <c r="F432" s="1186"/>
      <c r="G432" s="1186"/>
      <c r="H432" s="1186"/>
      <c r="I432" s="1186"/>
      <c r="J432" s="1186"/>
      <c r="K432" s="1186"/>
      <c r="L432" s="1186"/>
      <c r="M432" s="1186"/>
      <c r="N432" s="1186"/>
      <c r="O432" s="1186"/>
      <c r="P432" s="1186"/>
      <c r="Q432" s="1186"/>
      <c r="R432" s="1186"/>
      <c r="S432" s="1186"/>
      <c r="T432" s="1186"/>
      <c r="U432" s="1186"/>
      <c r="V432" s="1186"/>
      <c r="W432" s="1186"/>
      <c r="X432" s="1186"/>
      <c r="Y432" s="1186"/>
      <c r="Z432" s="1186"/>
      <c r="AA432" s="1186"/>
      <c r="AB432" s="1186"/>
      <c r="AC432" s="1186"/>
      <c r="AD432" s="1186"/>
      <c r="AE432" s="1186"/>
      <c r="AF432" s="1186"/>
      <c r="AG432" s="1186"/>
      <c r="AH432" s="1186"/>
      <c r="AI432" s="1529">
        <f t="shared" si="17"/>
        <v>0</v>
      </c>
      <c r="AJ432" s="1466"/>
      <c r="AK432" s="615"/>
    </row>
    <row r="433" spans="1:37" s="156" customFormat="1" ht="16.149999999999999" customHeight="1" outlineLevel="1">
      <c r="A433" s="1182">
        <v>50</v>
      </c>
      <c r="B433" s="1182" t="e">
        <f>VLOOKUP(C433,'DS CN MOI UP'!$B$10:$C$347,2,0)</f>
        <v>#N/A</v>
      </c>
      <c r="C433" s="1185" t="s">
        <v>339</v>
      </c>
      <c r="D433" s="1186"/>
      <c r="E433" s="1186"/>
      <c r="F433" s="1186"/>
      <c r="G433" s="1186"/>
      <c r="H433" s="1186"/>
      <c r="I433" s="1186"/>
      <c r="J433" s="1186"/>
      <c r="K433" s="1186"/>
      <c r="L433" s="1186"/>
      <c r="M433" s="1186"/>
      <c r="N433" s="1186"/>
      <c r="O433" s="1186"/>
      <c r="P433" s="1186"/>
      <c r="Q433" s="1186"/>
      <c r="R433" s="1186"/>
      <c r="S433" s="1186"/>
      <c r="T433" s="1186"/>
      <c r="U433" s="1186"/>
      <c r="V433" s="1186"/>
      <c r="W433" s="1186"/>
      <c r="X433" s="1186"/>
      <c r="Y433" s="1186"/>
      <c r="Z433" s="1186"/>
      <c r="AA433" s="1186"/>
      <c r="AB433" s="1186"/>
      <c r="AC433" s="1186"/>
      <c r="AD433" s="1186"/>
      <c r="AE433" s="1186"/>
      <c r="AF433" s="1186"/>
      <c r="AG433" s="1186"/>
      <c r="AH433" s="1186"/>
      <c r="AI433" s="1529">
        <f t="shared" si="17"/>
        <v>0</v>
      </c>
      <c r="AJ433" s="1466"/>
      <c r="AK433" s="615"/>
    </row>
    <row r="434" spans="1:37" s="156" customFormat="1" ht="16.149999999999999" customHeight="1" outlineLevel="1">
      <c r="A434" s="1182">
        <v>51</v>
      </c>
      <c r="B434" s="1635" t="str">
        <f>VLOOKUP(C434,'DS CN MOI UP'!$B$10:$C$347,2,0)</f>
        <v>03417</v>
      </c>
      <c r="C434" s="1185" t="s">
        <v>340</v>
      </c>
      <c r="D434" s="1186"/>
      <c r="E434" s="1186"/>
      <c r="F434" s="1186"/>
      <c r="G434" s="1186"/>
      <c r="H434" s="1186"/>
      <c r="I434" s="1186"/>
      <c r="J434" s="1186"/>
      <c r="K434" s="1186"/>
      <c r="L434" s="1186"/>
      <c r="M434" s="1186"/>
      <c r="N434" s="1186"/>
      <c r="O434" s="1186"/>
      <c r="P434" s="1186"/>
      <c r="Q434" s="1186"/>
      <c r="R434" s="1186"/>
      <c r="S434" s="1186"/>
      <c r="T434" s="1186"/>
      <c r="U434" s="1186"/>
      <c r="V434" s="1186"/>
      <c r="W434" s="1186"/>
      <c r="X434" s="1186"/>
      <c r="Y434" s="1186"/>
      <c r="Z434" s="1186"/>
      <c r="AA434" s="1186"/>
      <c r="AB434" s="1186"/>
      <c r="AC434" s="1186"/>
      <c r="AD434" s="1186"/>
      <c r="AE434" s="1186"/>
      <c r="AF434" s="1186"/>
      <c r="AG434" s="1186"/>
      <c r="AH434" s="1186"/>
      <c r="AI434" s="1529">
        <f t="shared" si="17"/>
        <v>0</v>
      </c>
      <c r="AJ434" s="1466"/>
      <c r="AK434" s="615"/>
    </row>
    <row r="435" spans="1:37" s="156" customFormat="1" ht="16.149999999999999" customHeight="1" outlineLevel="1">
      <c r="A435" s="1182">
        <v>52</v>
      </c>
      <c r="B435" s="1635" t="str">
        <f>VLOOKUP(C435,'DS CN MOI UP'!$B$10:$C$347,2,0)</f>
        <v>03418</v>
      </c>
      <c r="C435" s="1185" t="s">
        <v>341</v>
      </c>
      <c r="D435" s="1186"/>
      <c r="E435" s="1186"/>
      <c r="F435" s="1186"/>
      <c r="G435" s="1186"/>
      <c r="H435" s="1186"/>
      <c r="I435" s="1186"/>
      <c r="J435" s="1186"/>
      <c r="K435" s="1186"/>
      <c r="L435" s="1186"/>
      <c r="M435" s="1186"/>
      <c r="N435" s="1186"/>
      <c r="O435" s="1186"/>
      <c r="P435" s="1186"/>
      <c r="Q435" s="1186"/>
      <c r="R435" s="1186"/>
      <c r="S435" s="1186"/>
      <c r="T435" s="1186"/>
      <c r="U435" s="1186"/>
      <c r="V435" s="1186"/>
      <c r="W435" s="1186"/>
      <c r="X435" s="1186"/>
      <c r="Y435" s="1186"/>
      <c r="Z435" s="1186"/>
      <c r="AA435" s="1186"/>
      <c r="AB435" s="1186"/>
      <c r="AC435" s="1186"/>
      <c r="AD435" s="1186"/>
      <c r="AE435" s="1186"/>
      <c r="AF435" s="1186"/>
      <c r="AG435" s="1186"/>
      <c r="AH435" s="1186"/>
      <c r="AI435" s="1529">
        <f t="shared" si="17"/>
        <v>0</v>
      </c>
      <c r="AJ435" s="1466"/>
      <c r="AK435" s="615"/>
    </row>
    <row r="436" spans="1:37" s="156" customFormat="1" ht="16.149999999999999" customHeight="1" outlineLevel="1">
      <c r="A436" s="1182">
        <v>53</v>
      </c>
      <c r="B436" s="1635" t="str">
        <f>VLOOKUP(C436,'DS CN MOI UP'!$B$10:$C$347,2,0)</f>
        <v>03419</v>
      </c>
      <c r="C436" s="1185" t="s">
        <v>342</v>
      </c>
      <c r="D436" s="1186"/>
      <c r="E436" s="1186"/>
      <c r="F436" s="1186"/>
      <c r="G436" s="1186"/>
      <c r="H436" s="1186"/>
      <c r="I436" s="1186"/>
      <c r="J436" s="1186"/>
      <c r="K436" s="1186"/>
      <c r="L436" s="1186"/>
      <c r="M436" s="1186"/>
      <c r="N436" s="1186"/>
      <c r="O436" s="1186"/>
      <c r="P436" s="1186"/>
      <c r="Q436" s="1186"/>
      <c r="R436" s="1186"/>
      <c r="S436" s="1186"/>
      <c r="T436" s="1186"/>
      <c r="U436" s="1186"/>
      <c r="V436" s="1186"/>
      <c r="W436" s="1186"/>
      <c r="X436" s="1186"/>
      <c r="Y436" s="1186"/>
      <c r="Z436" s="1186"/>
      <c r="AA436" s="1186"/>
      <c r="AB436" s="1186"/>
      <c r="AC436" s="1186"/>
      <c r="AD436" s="1186"/>
      <c r="AE436" s="1186"/>
      <c r="AF436" s="1186"/>
      <c r="AG436" s="1186"/>
      <c r="AH436" s="1186"/>
      <c r="AI436" s="1529">
        <f t="shared" si="17"/>
        <v>0</v>
      </c>
      <c r="AJ436" s="1466"/>
      <c r="AK436" s="615"/>
    </row>
    <row r="437" spans="1:37" s="156" customFormat="1" ht="16.149999999999999" customHeight="1" outlineLevel="1">
      <c r="A437" s="1182">
        <v>54</v>
      </c>
      <c r="B437" s="1635" t="str">
        <f>VLOOKUP(C437,'DS CN MOI UP'!$B$10:$C$347,2,0)</f>
        <v>03420</v>
      </c>
      <c r="C437" s="1185" t="s">
        <v>343</v>
      </c>
      <c r="D437" s="1186"/>
      <c r="E437" s="1186"/>
      <c r="F437" s="1186"/>
      <c r="G437" s="1186"/>
      <c r="H437" s="1186"/>
      <c r="I437" s="1186"/>
      <c r="J437" s="1186"/>
      <c r="K437" s="1186"/>
      <c r="L437" s="1186"/>
      <c r="M437" s="1186"/>
      <c r="N437" s="1186"/>
      <c r="O437" s="1186"/>
      <c r="P437" s="1186"/>
      <c r="Q437" s="1186"/>
      <c r="R437" s="1186"/>
      <c r="S437" s="1186"/>
      <c r="T437" s="1186"/>
      <c r="U437" s="1186"/>
      <c r="V437" s="1186"/>
      <c r="W437" s="1186"/>
      <c r="X437" s="1186"/>
      <c r="Y437" s="1186"/>
      <c r="Z437" s="1186"/>
      <c r="AA437" s="1186"/>
      <c r="AB437" s="1186"/>
      <c r="AC437" s="1186"/>
      <c r="AD437" s="1186"/>
      <c r="AE437" s="1186"/>
      <c r="AF437" s="1186"/>
      <c r="AG437" s="1186"/>
      <c r="AH437" s="1186"/>
      <c r="AI437" s="1529">
        <f t="shared" si="17"/>
        <v>0</v>
      </c>
      <c r="AJ437" s="1466"/>
      <c r="AK437" s="615"/>
    </row>
    <row r="438" spans="1:37" s="156" customFormat="1" ht="16.149999999999999" customHeight="1" outlineLevel="1">
      <c r="A438" s="1182">
        <v>55</v>
      </c>
      <c r="B438" s="1635" t="str">
        <f>VLOOKUP(C438,'DS CN MOI UP'!$B$10:$C$347,2,0)</f>
        <v>03385</v>
      </c>
      <c r="C438" s="1185" t="s">
        <v>344</v>
      </c>
      <c r="D438" s="1186"/>
      <c r="E438" s="1186"/>
      <c r="F438" s="1186"/>
      <c r="G438" s="1186"/>
      <c r="H438" s="1186"/>
      <c r="I438" s="1186"/>
      <c r="J438" s="1186"/>
      <c r="K438" s="1186"/>
      <c r="L438" s="1186"/>
      <c r="M438" s="1186"/>
      <c r="N438" s="1186"/>
      <c r="O438" s="1186"/>
      <c r="P438" s="1186"/>
      <c r="Q438" s="1186"/>
      <c r="R438" s="1186"/>
      <c r="S438" s="1186"/>
      <c r="T438" s="1186"/>
      <c r="U438" s="1186"/>
      <c r="V438" s="1186"/>
      <c r="W438" s="1186"/>
      <c r="X438" s="1186"/>
      <c r="Y438" s="1186"/>
      <c r="Z438" s="1186"/>
      <c r="AA438" s="1186"/>
      <c r="AB438" s="1186"/>
      <c r="AC438" s="1186"/>
      <c r="AD438" s="1186"/>
      <c r="AE438" s="1186"/>
      <c r="AF438" s="1186"/>
      <c r="AG438" s="1186"/>
      <c r="AH438" s="1186"/>
      <c r="AI438" s="1529">
        <f t="shared" si="17"/>
        <v>0</v>
      </c>
      <c r="AJ438" s="1466"/>
      <c r="AK438" s="615"/>
    </row>
    <row r="439" spans="1:37" s="156" customFormat="1" ht="16.149999999999999" customHeight="1" outlineLevel="1">
      <c r="A439" s="1182">
        <v>56</v>
      </c>
      <c r="B439" s="1635" t="str">
        <f>VLOOKUP(C439,'DS CN MOI UP'!$B$10:$C$347,2,0)</f>
        <v>03422</v>
      </c>
      <c r="C439" s="1185" t="s">
        <v>345</v>
      </c>
      <c r="D439" s="1186"/>
      <c r="E439" s="1186"/>
      <c r="F439" s="1186"/>
      <c r="G439" s="1186"/>
      <c r="H439" s="1186"/>
      <c r="I439" s="1186"/>
      <c r="J439" s="1186"/>
      <c r="K439" s="1186"/>
      <c r="L439" s="1186"/>
      <c r="M439" s="1186"/>
      <c r="N439" s="1186"/>
      <c r="O439" s="1186"/>
      <c r="P439" s="1186"/>
      <c r="Q439" s="1186"/>
      <c r="R439" s="1186"/>
      <c r="S439" s="1186"/>
      <c r="T439" s="1186"/>
      <c r="U439" s="1186"/>
      <c r="V439" s="1186"/>
      <c r="W439" s="1186"/>
      <c r="X439" s="1186"/>
      <c r="Y439" s="1186"/>
      <c r="Z439" s="1186"/>
      <c r="AA439" s="1186"/>
      <c r="AB439" s="1186"/>
      <c r="AC439" s="1186"/>
      <c r="AD439" s="1186"/>
      <c r="AE439" s="1186"/>
      <c r="AF439" s="1186"/>
      <c r="AG439" s="1186"/>
      <c r="AH439" s="1186"/>
      <c r="AI439" s="1529">
        <f t="shared" si="17"/>
        <v>0</v>
      </c>
      <c r="AJ439" s="1466"/>
      <c r="AK439" s="615"/>
    </row>
    <row r="440" spans="1:37" s="156" customFormat="1" ht="16.149999999999999" customHeight="1" outlineLevel="1">
      <c r="A440" s="1183" t="s">
        <v>1943</v>
      </c>
      <c r="B440" s="1182" t="e">
        <f>VLOOKUP(C440,'DS CN MOI UP'!$B$10:$C$347,2,0)</f>
        <v>#N/A</v>
      </c>
      <c r="C440" s="1183" t="s">
        <v>346</v>
      </c>
      <c r="D440" s="1184">
        <f>COUNTIF(D441:D447,"X")+COUNTIF(D441:D447,"CN")</f>
        <v>0</v>
      </c>
      <c r="E440" s="1184">
        <f t="shared" ref="E440:AH440" si="18">COUNTIF(E441:E447,"X")+COUNTIF(E441:E447,"CN")</f>
        <v>0</v>
      </c>
      <c r="F440" s="1184">
        <f t="shared" si="18"/>
        <v>0</v>
      </c>
      <c r="G440" s="1184">
        <f t="shared" si="18"/>
        <v>0</v>
      </c>
      <c r="H440" s="1184">
        <f t="shared" si="18"/>
        <v>0</v>
      </c>
      <c r="I440" s="1184">
        <f t="shared" si="18"/>
        <v>0</v>
      </c>
      <c r="J440" s="1184">
        <f t="shared" si="18"/>
        <v>0</v>
      </c>
      <c r="K440" s="1184">
        <f t="shared" si="18"/>
        <v>0</v>
      </c>
      <c r="L440" s="1184">
        <f t="shared" si="18"/>
        <v>0</v>
      </c>
      <c r="M440" s="1184">
        <f t="shared" si="18"/>
        <v>0</v>
      </c>
      <c r="N440" s="1184">
        <f t="shared" si="18"/>
        <v>0</v>
      </c>
      <c r="O440" s="1184">
        <f t="shared" si="18"/>
        <v>0</v>
      </c>
      <c r="P440" s="1184">
        <f t="shared" si="18"/>
        <v>0</v>
      </c>
      <c r="Q440" s="1184">
        <f t="shared" si="18"/>
        <v>0</v>
      </c>
      <c r="R440" s="1184">
        <f t="shared" si="18"/>
        <v>0</v>
      </c>
      <c r="S440" s="1184">
        <f t="shared" si="18"/>
        <v>0</v>
      </c>
      <c r="T440" s="1184">
        <f t="shared" si="18"/>
        <v>0</v>
      </c>
      <c r="U440" s="1184">
        <f t="shared" si="18"/>
        <v>0</v>
      </c>
      <c r="V440" s="1184">
        <f t="shared" si="18"/>
        <v>0</v>
      </c>
      <c r="W440" s="1184">
        <f t="shared" si="18"/>
        <v>0</v>
      </c>
      <c r="X440" s="1184">
        <f t="shared" si="18"/>
        <v>0</v>
      </c>
      <c r="Y440" s="1184">
        <f t="shared" si="18"/>
        <v>0</v>
      </c>
      <c r="Z440" s="1184">
        <f t="shared" si="18"/>
        <v>0</v>
      </c>
      <c r="AA440" s="1184">
        <f t="shared" si="18"/>
        <v>0</v>
      </c>
      <c r="AB440" s="1184">
        <f t="shared" si="18"/>
        <v>0</v>
      </c>
      <c r="AC440" s="1184">
        <f t="shared" si="18"/>
        <v>0</v>
      </c>
      <c r="AD440" s="1184">
        <f t="shared" si="18"/>
        <v>0</v>
      </c>
      <c r="AE440" s="1184">
        <f t="shared" si="18"/>
        <v>0</v>
      </c>
      <c r="AF440" s="1184">
        <f t="shared" si="18"/>
        <v>0</v>
      </c>
      <c r="AG440" s="1184">
        <f t="shared" si="18"/>
        <v>0</v>
      </c>
      <c r="AH440" s="1184">
        <f t="shared" si="18"/>
        <v>0</v>
      </c>
      <c r="AI440" s="1204">
        <f>SUM(AI441:AI447)</f>
        <v>0</v>
      </c>
      <c r="AJ440" s="1204"/>
    </row>
    <row r="441" spans="1:37" s="156" customFormat="1" ht="16.149999999999999" customHeight="1" outlineLevel="1">
      <c r="A441" s="1182">
        <v>1</v>
      </c>
      <c r="B441" s="1635" t="str">
        <f>VLOOKUP(C441,'DS CN MOI UP'!$B$10:$C$347,2,0)</f>
        <v>02658</v>
      </c>
      <c r="C441" s="1185" t="s">
        <v>278</v>
      </c>
      <c r="D441" s="1186"/>
      <c r="E441" s="1186"/>
      <c r="F441" s="1186"/>
      <c r="G441" s="1186"/>
      <c r="H441" s="1186"/>
      <c r="I441" s="1186"/>
      <c r="J441" s="1186"/>
      <c r="K441" s="1186"/>
      <c r="L441" s="1186"/>
      <c r="M441" s="1186"/>
      <c r="N441" s="1186"/>
      <c r="O441" s="1186"/>
      <c r="P441" s="1186"/>
      <c r="Q441" s="1186"/>
      <c r="R441" s="1186"/>
      <c r="S441" s="1186"/>
      <c r="T441" s="1186"/>
      <c r="U441" s="1186"/>
      <c r="V441" s="1186"/>
      <c r="W441" s="1186"/>
      <c r="X441" s="1186"/>
      <c r="Y441" s="1186"/>
      <c r="Z441" s="1186"/>
      <c r="AA441" s="1186"/>
      <c r="AB441" s="1186"/>
      <c r="AC441" s="1182"/>
      <c r="AD441" s="1182"/>
      <c r="AE441" s="1186"/>
      <c r="AF441" s="1186"/>
      <c r="AG441" s="1186"/>
      <c r="AH441" s="1186"/>
      <c r="AI441" s="1529">
        <f>COUNTIF(D441:AH441,"X")</f>
        <v>0</v>
      </c>
      <c r="AJ441" s="1466"/>
    </row>
    <row r="442" spans="1:37" s="156" customFormat="1" ht="16.149999999999999" customHeight="1" outlineLevel="1">
      <c r="A442" s="1182">
        <v>2</v>
      </c>
      <c r="B442" s="1635" t="str">
        <f>VLOOKUP(C442,'DS CN MOI UP'!$B$10:$C$347,2,0)</f>
        <v>02660</v>
      </c>
      <c r="C442" s="1185" t="s">
        <v>281</v>
      </c>
      <c r="D442" s="1186"/>
      <c r="E442" s="1186"/>
      <c r="F442" s="1186"/>
      <c r="G442" s="1186"/>
      <c r="H442" s="1186"/>
      <c r="I442" s="1186"/>
      <c r="J442" s="1186"/>
      <c r="K442" s="1186"/>
      <c r="L442" s="1186"/>
      <c r="M442" s="1186"/>
      <c r="N442" s="1186"/>
      <c r="O442" s="1186"/>
      <c r="P442" s="1186"/>
      <c r="Q442" s="1186"/>
      <c r="R442" s="1186"/>
      <c r="S442" s="1186"/>
      <c r="T442" s="1186"/>
      <c r="U442" s="1186"/>
      <c r="V442" s="1186"/>
      <c r="W442" s="1186"/>
      <c r="X442" s="1186"/>
      <c r="Y442" s="1186"/>
      <c r="Z442" s="1186"/>
      <c r="AA442" s="1186"/>
      <c r="AB442" s="1186"/>
      <c r="AC442" s="1182"/>
      <c r="AD442" s="1182"/>
      <c r="AE442" s="1182"/>
      <c r="AF442" s="1186"/>
      <c r="AG442" s="1186"/>
      <c r="AH442" s="1186"/>
      <c r="AI442" s="1529">
        <f t="shared" ref="AI442:AI447" si="19">COUNTIF(D442:AH442,"X")</f>
        <v>0</v>
      </c>
      <c r="AJ442" s="1466"/>
    </row>
    <row r="443" spans="1:37" s="156" customFormat="1" ht="16.149999999999999" customHeight="1" outlineLevel="1">
      <c r="A443" s="1182">
        <v>3</v>
      </c>
      <c r="B443" s="1635" t="str">
        <f>VLOOKUP(C443,'DS CN MOI UP'!$B$10:$C$347,2,0)</f>
        <v>02657</v>
      </c>
      <c r="C443" s="1185" t="s">
        <v>283</v>
      </c>
      <c r="D443" s="1186"/>
      <c r="E443" s="1186"/>
      <c r="F443" s="1186"/>
      <c r="G443" s="1186"/>
      <c r="H443" s="1186"/>
      <c r="I443" s="1186"/>
      <c r="J443" s="1186"/>
      <c r="K443" s="1186"/>
      <c r="L443" s="1186"/>
      <c r="M443" s="1186"/>
      <c r="N443" s="1186"/>
      <c r="O443" s="1186"/>
      <c r="P443" s="1186"/>
      <c r="Q443" s="1186"/>
      <c r="R443" s="1186"/>
      <c r="S443" s="1186"/>
      <c r="T443" s="1186"/>
      <c r="U443" s="1186"/>
      <c r="V443" s="1186"/>
      <c r="W443" s="1186"/>
      <c r="X443" s="1186"/>
      <c r="Y443" s="1186"/>
      <c r="Z443" s="1186"/>
      <c r="AA443" s="1186"/>
      <c r="AB443" s="1186"/>
      <c r="AC443" s="1182"/>
      <c r="AD443" s="1182"/>
      <c r="AE443" s="1186"/>
      <c r="AF443" s="1186"/>
      <c r="AG443" s="1186"/>
      <c r="AH443" s="1186"/>
      <c r="AI443" s="1529">
        <f t="shared" si="19"/>
        <v>0</v>
      </c>
      <c r="AJ443" s="1466"/>
    </row>
    <row r="444" spans="1:37" s="1232" customFormat="1" ht="16.149999999999999" customHeight="1" outlineLevel="1">
      <c r="A444" s="1182">
        <v>4</v>
      </c>
      <c r="B444" s="1635" t="str">
        <f>VLOOKUP(C444,'DS CN MOI UP'!$B$10:$C$347,2,0)</f>
        <v>02659</v>
      </c>
      <c r="C444" s="1185" t="s">
        <v>280</v>
      </c>
      <c r="D444" s="1186"/>
      <c r="E444" s="1186"/>
      <c r="F444" s="1186"/>
      <c r="G444" s="1186"/>
      <c r="H444" s="1186"/>
      <c r="I444" s="1186"/>
      <c r="J444" s="1186"/>
      <c r="K444" s="1186"/>
      <c r="L444" s="1186"/>
      <c r="M444" s="1186"/>
      <c r="N444" s="1186"/>
      <c r="O444" s="1186"/>
      <c r="P444" s="1186"/>
      <c r="Q444" s="1186"/>
      <c r="R444" s="1186"/>
      <c r="S444" s="1186"/>
      <c r="T444" s="1186"/>
      <c r="U444" s="1186"/>
      <c r="V444" s="1186"/>
      <c r="W444" s="1186"/>
      <c r="X444" s="1186"/>
      <c r="Y444" s="1186"/>
      <c r="Z444" s="1186"/>
      <c r="AA444" s="1186"/>
      <c r="AB444" s="1186"/>
      <c r="AC444" s="1182"/>
      <c r="AD444" s="1182"/>
      <c r="AE444" s="1186"/>
      <c r="AF444" s="1186"/>
      <c r="AG444" s="1186"/>
      <c r="AH444" s="1186"/>
      <c r="AI444" s="1529">
        <f t="shared" si="19"/>
        <v>0</v>
      </c>
      <c r="AJ444" s="1466"/>
    </row>
    <row r="445" spans="1:37" s="1232" customFormat="1" ht="17.25" customHeight="1">
      <c r="A445" s="1182">
        <v>5</v>
      </c>
      <c r="B445" s="1635" t="str">
        <f>VLOOKUP(C445,'DS CN MOI UP'!$B$10:$C$347,2,0)</f>
        <v>02662</v>
      </c>
      <c r="C445" s="1185" t="s">
        <v>282</v>
      </c>
      <c r="D445" s="1186"/>
      <c r="E445" s="1186"/>
      <c r="F445" s="1186"/>
      <c r="G445" s="1186"/>
      <c r="H445" s="1186"/>
      <c r="I445" s="1186"/>
      <c r="J445" s="1186"/>
      <c r="K445" s="1186"/>
      <c r="L445" s="1186"/>
      <c r="M445" s="1186"/>
      <c r="N445" s="1186"/>
      <c r="O445" s="1186"/>
      <c r="P445" s="1186"/>
      <c r="Q445" s="1186"/>
      <c r="R445" s="1186"/>
      <c r="S445" s="1186"/>
      <c r="T445" s="1186"/>
      <c r="U445" s="1186"/>
      <c r="V445" s="1186"/>
      <c r="W445" s="1186"/>
      <c r="X445" s="1186"/>
      <c r="Y445" s="1186"/>
      <c r="Z445" s="1186"/>
      <c r="AA445" s="1186"/>
      <c r="AB445" s="1186"/>
      <c r="AC445" s="1182"/>
      <c r="AD445" s="1182"/>
      <c r="AE445" s="1186"/>
      <c r="AF445" s="1186"/>
      <c r="AG445" s="1186"/>
      <c r="AH445" s="1186"/>
      <c r="AI445" s="1529">
        <f t="shared" si="19"/>
        <v>0</v>
      </c>
      <c r="AJ445" s="1466"/>
    </row>
    <row r="446" spans="1:37" s="1232" customFormat="1" ht="18.75" customHeight="1">
      <c r="A446" s="1182">
        <v>6</v>
      </c>
      <c r="B446" s="1635" t="str">
        <f>VLOOKUP(C446,'DS CN MOI UP'!$B$10:$C$347,2,0)</f>
        <v>02661</v>
      </c>
      <c r="C446" s="1185" t="s">
        <v>284</v>
      </c>
      <c r="D446" s="1186"/>
      <c r="E446" s="1186"/>
      <c r="F446" s="1186"/>
      <c r="G446" s="1186"/>
      <c r="H446" s="1186"/>
      <c r="I446" s="1186"/>
      <c r="J446" s="1186"/>
      <c r="K446" s="1186"/>
      <c r="L446" s="1186"/>
      <c r="M446" s="1186"/>
      <c r="N446" s="1186"/>
      <c r="O446" s="1186"/>
      <c r="P446" s="1186"/>
      <c r="Q446" s="1186"/>
      <c r="R446" s="1186"/>
      <c r="S446" s="1186"/>
      <c r="T446" s="1186"/>
      <c r="U446" s="1186"/>
      <c r="V446" s="1186"/>
      <c r="W446" s="1186"/>
      <c r="X446" s="1186"/>
      <c r="Y446" s="1186"/>
      <c r="Z446" s="1186"/>
      <c r="AA446" s="1186"/>
      <c r="AB446" s="1186"/>
      <c r="AC446" s="1182"/>
      <c r="AD446" s="1182"/>
      <c r="AE446" s="1182"/>
      <c r="AF446" s="1186"/>
      <c r="AG446" s="1186"/>
      <c r="AH446" s="1186"/>
      <c r="AI446" s="1529">
        <f t="shared" si="19"/>
        <v>0</v>
      </c>
      <c r="AJ446" s="1466"/>
    </row>
    <row r="447" spans="1:37" s="156" customFormat="1" ht="12">
      <c r="A447" s="1182">
        <v>7</v>
      </c>
      <c r="B447" s="1635" t="str">
        <f>VLOOKUP(C447,'DS CN MOI UP'!$B$10:$C$347,2,0)</f>
        <v>02705</v>
      </c>
      <c r="C447" s="1185" t="s">
        <v>279</v>
      </c>
      <c r="D447" s="1186"/>
      <c r="E447" s="1186"/>
      <c r="F447" s="1186"/>
      <c r="G447" s="1186"/>
      <c r="H447" s="1186"/>
      <c r="I447" s="1186"/>
      <c r="J447" s="1186"/>
      <c r="K447" s="1186"/>
      <c r="L447" s="1186"/>
      <c r="M447" s="1186"/>
      <c r="N447" s="1186"/>
      <c r="O447" s="1186"/>
      <c r="P447" s="1186"/>
      <c r="Q447" s="1186"/>
      <c r="R447" s="1186"/>
      <c r="S447" s="1186"/>
      <c r="T447" s="1186"/>
      <c r="U447" s="1186"/>
      <c r="V447" s="1186"/>
      <c r="W447" s="1186"/>
      <c r="X447" s="1186"/>
      <c r="Y447" s="1186"/>
      <c r="Z447" s="1186"/>
      <c r="AA447" s="1186"/>
      <c r="AB447" s="1186"/>
      <c r="AC447" s="1182"/>
      <c r="AD447" s="1182"/>
      <c r="AE447" s="1182"/>
      <c r="AF447" s="1186"/>
      <c r="AG447" s="1186"/>
      <c r="AH447" s="1186"/>
      <c r="AI447" s="1529">
        <f t="shared" si="19"/>
        <v>0</v>
      </c>
      <c r="AJ447" s="1466"/>
    </row>
    <row r="448" spans="1:37" s="156" customFormat="1" ht="16.899999999999999" customHeight="1">
      <c r="A448" s="2298" t="s">
        <v>525</v>
      </c>
      <c r="B448" s="2298"/>
      <c r="C448" s="2298"/>
      <c r="D448" s="1187">
        <f t="shared" ref="D448:AI448" si="20">D309+D224+D109+D53+D9+D440+D382+D216+D204</f>
        <v>0</v>
      </c>
      <c r="E448" s="1187">
        <f t="shared" si="20"/>
        <v>29</v>
      </c>
      <c r="F448" s="1187">
        <f t="shared" si="20"/>
        <v>34</v>
      </c>
      <c r="G448" s="1187">
        <f t="shared" si="20"/>
        <v>51</v>
      </c>
      <c r="H448" s="1187">
        <f t="shared" si="20"/>
        <v>15</v>
      </c>
      <c r="I448" s="1187">
        <f t="shared" si="20"/>
        <v>16</v>
      </c>
      <c r="J448" s="1187">
        <f t="shared" si="20"/>
        <v>12</v>
      </c>
      <c r="K448" s="1187">
        <f t="shared" si="20"/>
        <v>21</v>
      </c>
      <c r="L448" s="1187">
        <f t="shared" si="20"/>
        <v>0</v>
      </c>
      <c r="M448" s="1187">
        <f t="shared" si="20"/>
        <v>0</v>
      </c>
      <c r="N448" s="1187">
        <f t="shared" si="20"/>
        <v>0</v>
      </c>
      <c r="O448" s="1187">
        <f t="shared" si="20"/>
        <v>21</v>
      </c>
      <c r="P448" s="1187">
        <f t="shared" si="20"/>
        <v>8</v>
      </c>
      <c r="Q448" s="1187">
        <f t="shared" si="20"/>
        <v>86</v>
      </c>
      <c r="R448" s="1187">
        <f t="shared" si="20"/>
        <v>96</v>
      </c>
      <c r="S448" s="1187">
        <f t="shared" si="20"/>
        <v>52</v>
      </c>
      <c r="T448" s="1187">
        <f t="shared" si="20"/>
        <v>60</v>
      </c>
      <c r="U448" s="1187">
        <f t="shared" si="20"/>
        <v>95</v>
      </c>
      <c r="V448" s="1187">
        <f t="shared" si="20"/>
        <v>28</v>
      </c>
      <c r="W448" s="1187">
        <f t="shared" si="20"/>
        <v>64</v>
      </c>
      <c r="X448" s="1187">
        <f t="shared" si="20"/>
        <v>72</v>
      </c>
      <c r="Y448" s="1187">
        <f t="shared" si="20"/>
        <v>0</v>
      </c>
      <c r="Z448" s="1187">
        <f t="shared" si="20"/>
        <v>0</v>
      </c>
      <c r="AA448" s="1187">
        <f t="shared" si="20"/>
        <v>29</v>
      </c>
      <c r="AB448" s="1187">
        <f t="shared" si="20"/>
        <v>0</v>
      </c>
      <c r="AC448" s="1187">
        <f t="shared" si="20"/>
        <v>0</v>
      </c>
      <c r="AD448" s="1187">
        <f t="shared" si="20"/>
        <v>0</v>
      </c>
      <c r="AE448" s="1187">
        <f t="shared" si="20"/>
        <v>0</v>
      </c>
      <c r="AF448" s="1187">
        <f t="shared" si="20"/>
        <v>67</v>
      </c>
      <c r="AG448" s="1187">
        <f t="shared" si="20"/>
        <v>75</v>
      </c>
      <c r="AH448" s="1187">
        <f t="shared" si="20"/>
        <v>0</v>
      </c>
      <c r="AI448" s="1187">
        <f t="shared" si="20"/>
        <v>931</v>
      </c>
      <c r="AJ448" s="1187"/>
    </row>
    <row r="449" spans="1:44" ht="15.75">
      <c r="A449" s="1188"/>
      <c r="B449" s="1188"/>
      <c r="C449" s="1189"/>
      <c r="D449" s="1190"/>
      <c r="E449" s="1190"/>
      <c r="F449" s="1191"/>
      <c r="G449" s="1191"/>
      <c r="H449" s="1191"/>
      <c r="I449" s="1199"/>
      <c r="J449" s="1191"/>
      <c r="K449" s="1191"/>
      <c r="L449" s="1191"/>
      <c r="M449" s="1200"/>
      <c r="N449" s="1200"/>
      <c r="O449" s="1200"/>
      <c r="P449" s="1200"/>
      <c r="Q449" s="1191"/>
      <c r="R449" s="1191"/>
      <c r="S449" s="1191"/>
      <c r="T449" s="1191"/>
      <c r="U449" s="1191"/>
      <c r="V449" s="1202"/>
      <c r="W449" s="1202"/>
      <c r="X449" s="2294"/>
      <c r="Y449" s="2294"/>
      <c r="Z449" s="2294"/>
      <c r="AA449" s="2294"/>
      <c r="AB449" s="2294"/>
      <c r="AC449" s="2294"/>
      <c r="AD449" s="2294"/>
      <c r="AE449" s="2294"/>
      <c r="AF449" s="2294"/>
      <c r="AG449" s="2294"/>
      <c r="AH449" s="2294"/>
      <c r="AI449" s="2294"/>
      <c r="AJ449" s="2294"/>
    </row>
    <row r="450" spans="1:44" ht="22.9" customHeight="1">
      <c r="A450" s="1188"/>
      <c r="B450" s="1188"/>
      <c r="C450" s="1188"/>
      <c r="D450" s="1189"/>
      <c r="E450" s="1190"/>
      <c r="F450" s="1190"/>
      <c r="G450" s="1191"/>
      <c r="H450" s="1191"/>
      <c r="I450" s="1191"/>
      <c r="J450" s="1199"/>
      <c r="K450" s="1191"/>
      <c r="L450" s="1191"/>
      <c r="M450" s="1191"/>
      <c r="N450" s="1200"/>
      <c r="O450" s="1200"/>
      <c r="P450" s="1200"/>
      <c r="Q450" s="1200"/>
      <c r="R450" s="1191"/>
      <c r="S450" s="1191"/>
      <c r="T450" s="1191"/>
      <c r="U450" s="1191"/>
      <c r="V450" s="1191"/>
      <c r="W450" s="1202"/>
      <c r="X450" s="1202"/>
      <c r="Z450" s="1202"/>
      <c r="AA450" s="1202"/>
      <c r="AB450" s="1202" t="s">
        <v>1944</v>
      </c>
      <c r="AI450" s="1202"/>
      <c r="AK450" s="1202"/>
      <c r="AL450" s="1202"/>
      <c r="AM450" s="1202"/>
      <c r="AN450" s="1202"/>
      <c r="AO450" s="1202"/>
      <c r="AP450" s="1202"/>
      <c r="AR450" s="1170">
        <f>+AM441-AR441</f>
        <v>0</v>
      </c>
    </row>
    <row r="451" spans="1:44" s="334" customFormat="1" ht="12.75">
      <c r="B451" s="1192"/>
      <c r="C451" s="1192" t="s">
        <v>614</v>
      </c>
      <c r="D451" s="1192"/>
      <c r="E451" s="1192"/>
      <c r="H451" s="334" t="s">
        <v>1945</v>
      </c>
      <c r="P451" s="1192" t="s">
        <v>1946</v>
      </c>
      <c r="R451" s="1192"/>
      <c r="S451" s="1192"/>
      <c r="T451" s="1192"/>
      <c r="U451" s="1192"/>
      <c r="X451" s="1192" t="s">
        <v>1947</v>
      </c>
      <c r="AA451" s="1192"/>
      <c r="AE451" s="334" t="s">
        <v>1948</v>
      </c>
    </row>
    <row r="452" spans="1:44" s="156" customFormat="1" ht="11.25">
      <c r="A452" s="1194"/>
      <c r="B452" s="1194"/>
      <c r="C452" s="1194"/>
      <c r="D452" s="1194"/>
      <c r="E452" s="1195"/>
      <c r="F452" s="1195"/>
      <c r="G452" s="1195"/>
      <c r="H452" s="1195"/>
      <c r="I452" s="1195"/>
      <c r="J452" s="1195"/>
      <c r="K452" s="1195"/>
      <c r="L452" s="1195"/>
      <c r="M452" s="1195"/>
      <c r="N452" s="1195"/>
      <c r="O452" s="1195"/>
      <c r="P452" s="1195"/>
      <c r="Q452" s="1195"/>
      <c r="R452" s="1195"/>
      <c r="S452" s="1195"/>
      <c r="T452" s="1195"/>
      <c r="U452" s="1195"/>
      <c r="V452" s="1195"/>
      <c r="W452" s="1195"/>
      <c r="X452" s="1195"/>
      <c r="Y452" s="1195"/>
      <c r="Z452" s="1195"/>
      <c r="AA452" s="1195"/>
      <c r="AB452" s="1195"/>
      <c r="AC452" s="1195"/>
      <c r="AD452" s="1195"/>
      <c r="AE452" s="1195"/>
      <c r="AF452" s="1195"/>
      <c r="AG452" s="1195"/>
      <c r="AH452" s="1195"/>
      <c r="AI452" s="1195"/>
      <c r="AJ452" s="1195"/>
      <c r="AK452" s="1195"/>
      <c r="AL452" s="1194"/>
      <c r="AM452" s="1194"/>
    </row>
    <row r="453" spans="1:44">
      <c r="A453" s="1188"/>
      <c r="B453" s="1188"/>
      <c r="C453" s="1188"/>
      <c r="D453" s="1191"/>
      <c r="E453" s="1191"/>
      <c r="F453" s="1191"/>
      <c r="G453" s="1191"/>
      <c r="H453" s="1191"/>
      <c r="I453" s="1198"/>
      <c r="J453" s="1191"/>
      <c r="K453" s="1191"/>
      <c r="L453" s="1191"/>
      <c r="M453" s="1191"/>
      <c r="N453" s="1191"/>
      <c r="O453" s="1191"/>
      <c r="P453" s="1199"/>
      <c r="Q453" s="1191"/>
      <c r="R453" s="1191"/>
      <c r="S453" s="1191"/>
      <c r="T453" s="1191"/>
      <c r="U453" s="1191"/>
      <c r="V453" s="1191"/>
      <c r="W453" s="1191"/>
      <c r="X453" s="1191"/>
      <c r="Y453" s="1191"/>
      <c r="Z453" s="1191"/>
      <c r="AA453" s="1191"/>
      <c r="AB453" s="1191"/>
      <c r="AC453" s="1203"/>
      <c r="AD453" s="1203"/>
      <c r="AE453" s="1203"/>
      <c r="AF453" s="1203"/>
      <c r="AG453" s="1203"/>
      <c r="AH453" s="1203"/>
      <c r="AI453" s="1227"/>
      <c r="AJ453" s="1227"/>
    </row>
    <row r="454" spans="1:44" ht="18" customHeight="1">
      <c r="A454" s="1188"/>
      <c r="B454" s="1188"/>
      <c r="C454" s="1188"/>
      <c r="D454" s="1191"/>
      <c r="E454" s="1191"/>
      <c r="F454" s="1191"/>
      <c r="G454" s="1191"/>
      <c r="H454" s="1191"/>
      <c r="I454" s="1198"/>
      <c r="J454" s="1191"/>
      <c r="K454" s="1191"/>
      <c r="L454" s="1191"/>
      <c r="M454" s="1191"/>
      <c r="N454" s="1191"/>
      <c r="O454" s="1191"/>
      <c r="P454" s="1199"/>
      <c r="Q454" s="1191"/>
      <c r="R454" s="1191"/>
      <c r="S454" s="1191"/>
      <c r="T454" s="1191"/>
      <c r="U454" s="1191"/>
      <c r="V454" s="1191"/>
      <c r="W454" s="1191"/>
      <c r="X454" s="1191"/>
      <c r="Y454" s="1191"/>
      <c r="Z454" s="1191"/>
      <c r="AA454" s="1191"/>
      <c r="AB454" s="1191"/>
      <c r="AC454" s="1203"/>
      <c r="AD454" s="1203"/>
      <c r="AE454" s="1203"/>
      <c r="AF454" s="1203"/>
      <c r="AG454" s="1203"/>
      <c r="AH454" s="1203"/>
      <c r="AI454" s="1227"/>
      <c r="AJ454" s="1227"/>
    </row>
    <row r="455" spans="1:44" s="156" customFormat="1" ht="12.75">
      <c r="A455" s="1194"/>
      <c r="B455" s="1194"/>
      <c r="C455" s="1194"/>
      <c r="D455" s="1191"/>
      <c r="E455" s="1191"/>
      <c r="F455" s="1191"/>
      <c r="G455" s="1191"/>
      <c r="H455" s="1191"/>
      <c r="I455" s="1191"/>
      <c r="J455" s="1191"/>
      <c r="K455" s="1191"/>
      <c r="L455" s="1191"/>
      <c r="M455" s="1191"/>
      <c r="N455" s="1191"/>
      <c r="O455" s="1191"/>
      <c r="P455" s="1191"/>
      <c r="Q455" s="1191"/>
      <c r="R455" s="1191"/>
      <c r="S455" s="1191"/>
      <c r="T455" s="1191"/>
      <c r="U455" s="1191"/>
      <c r="V455" s="1191"/>
      <c r="W455" s="1191"/>
      <c r="X455" s="1191"/>
      <c r="Y455" s="1191"/>
      <c r="Z455" s="1191"/>
      <c r="AA455" s="1191"/>
      <c r="AB455" s="1191"/>
      <c r="AC455" s="1191"/>
      <c r="AD455" s="1191"/>
      <c r="AE455" s="1191"/>
      <c r="AF455" s="1191"/>
      <c r="AG455" s="1191"/>
      <c r="AH455" s="1191"/>
      <c r="AI455" s="1191"/>
      <c r="AJ455" s="1188"/>
    </row>
    <row r="456" spans="1:44" s="156" customFormat="1" ht="11.25">
      <c r="A456" s="1194"/>
      <c r="B456" s="1194"/>
      <c r="C456" s="1194"/>
      <c r="D456" s="1195"/>
      <c r="E456" s="1195"/>
      <c r="F456" s="1195"/>
      <c r="G456" s="1195"/>
      <c r="H456" s="1195"/>
      <c r="I456" s="1195"/>
      <c r="J456" s="1195"/>
      <c r="K456" s="1195"/>
      <c r="L456" s="1195"/>
      <c r="M456" s="1195"/>
      <c r="N456" s="1195"/>
      <c r="O456" s="1195"/>
      <c r="P456" s="1195"/>
      <c r="Q456" s="1195"/>
      <c r="R456" s="1195"/>
      <c r="S456" s="1195"/>
      <c r="T456" s="1195"/>
      <c r="U456" s="1195"/>
      <c r="V456" s="1195"/>
      <c r="W456" s="1195"/>
      <c r="X456" s="1195"/>
      <c r="Y456" s="1195"/>
      <c r="Z456" s="1195"/>
      <c r="AA456" s="1195"/>
      <c r="AB456" s="1195"/>
      <c r="AC456" s="1195"/>
      <c r="AD456" s="1195"/>
      <c r="AE456" s="1195"/>
      <c r="AF456" s="1195"/>
      <c r="AG456" s="1195"/>
      <c r="AH456" s="1195"/>
      <c r="AI456" s="1195"/>
      <c r="AJ456" s="1194"/>
    </row>
    <row r="457" spans="1:44" s="156" customFormat="1" ht="11.25">
      <c r="A457" s="1194"/>
      <c r="B457" s="1194"/>
      <c r="C457" s="1194"/>
      <c r="D457" s="1195"/>
      <c r="E457" s="1195"/>
      <c r="F457" s="1195"/>
      <c r="G457" s="1195"/>
      <c r="H457" s="1195"/>
      <c r="I457" s="1195"/>
      <c r="J457" s="1195"/>
      <c r="K457" s="1195"/>
      <c r="L457" s="1195"/>
      <c r="M457" s="1195"/>
      <c r="N457" s="1195"/>
      <c r="O457" s="1195"/>
      <c r="P457" s="1195"/>
      <c r="Q457" s="1195"/>
      <c r="R457" s="1195"/>
      <c r="S457" s="1195"/>
      <c r="T457" s="1195"/>
      <c r="U457" s="1195"/>
      <c r="V457" s="1195"/>
      <c r="W457" s="1195"/>
      <c r="X457" s="1195"/>
      <c r="Y457" s="1195"/>
      <c r="Z457" s="1195"/>
      <c r="AA457" s="1195"/>
      <c r="AB457" s="1195"/>
      <c r="AC457" s="1195"/>
      <c r="AD457" s="1195"/>
      <c r="AE457" s="1195"/>
      <c r="AF457" s="1195"/>
      <c r="AG457" s="1195"/>
      <c r="AH457" s="1195"/>
      <c r="AI457" s="1195"/>
      <c r="AJ457" s="1194"/>
    </row>
    <row r="458" spans="1:44" s="156" customFormat="1" ht="11.25">
      <c r="A458" s="1194"/>
      <c r="B458" s="1194"/>
      <c r="C458" s="1194"/>
      <c r="D458" s="1195"/>
      <c r="E458" s="1195"/>
      <c r="F458" s="1195"/>
      <c r="G458" s="1195"/>
      <c r="H458" s="1195"/>
      <c r="I458" s="1195"/>
      <c r="J458" s="1195"/>
      <c r="K458" s="1195"/>
      <c r="L458" s="1195"/>
      <c r="M458" s="1195"/>
      <c r="N458" s="1195"/>
      <c r="O458" s="1195"/>
      <c r="P458" s="1195"/>
      <c r="Q458" s="1195"/>
      <c r="R458" s="1195"/>
      <c r="S458" s="1195"/>
      <c r="T458" s="1195"/>
      <c r="U458" s="1195"/>
      <c r="V458" s="1195"/>
      <c r="W458" s="1195"/>
      <c r="X458" s="1195"/>
      <c r="Y458" s="1195"/>
      <c r="Z458" s="1195"/>
      <c r="AA458" s="1195"/>
      <c r="AB458" s="1195"/>
      <c r="AC458" s="1195"/>
      <c r="AD458" s="1195"/>
      <c r="AE458" s="1195"/>
      <c r="AF458" s="1195"/>
      <c r="AG458" s="1195"/>
      <c r="AH458" s="1195"/>
      <c r="AI458" s="1195"/>
      <c r="AJ458" s="1194"/>
    </row>
    <row r="459" spans="1:44" s="156" customFormat="1" ht="11.25">
      <c r="A459" s="1194"/>
      <c r="B459" s="1194"/>
      <c r="C459" s="1194"/>
      <c r="D459" s="1195"/>
      <c r="E459" s="1195"/>
      <c r="F459" s="1195"/>
      <c r="G459" s="1195"/>
      <c r="H459" s="1195"/>
      <c r="I459" s="1195"/>
      <c r="J459" s="1195"/>
      <c r="K459" s="1195"/>
      <c r="L459" s="1195"/>
      <c r="M459" s="1195"/>
      <c r="N459" s="1195"/>
      <c r="O459" s="1195"/>
      <c r="P459" s="1195"/>
      <c r="Q459" s="1195"/>
      <c r="R459" s="1195"/>
      <c r="S459" s="1195"/>
      <c r="T459" s="1195"/>
      <c r="U459" s="1195"/>
      <c r="V459" s="1195"/>
      <c r="W459" s="1195"/>
      <c r="X459" s="1195"/>
      <c r="Y459" s="1195"/>
      <c r="Z459" s="1195"/>
      <c r="AA459" s="1195"/>
      <c r="AB459" s="1195"/>
      <c r="AC459" s="1195"/>
      <c r="AD459" s="1195"/>
      <c r="AE459" s="1195"/>
      <c r="AF459" s="1195"/>
      <c r="AG459" s="1195"/>
      <c r="AH459" s="1195"/>
      <c r="AI459" s="1195"/>
      <c r="AJ459" s="1194"/>
    </row>
    <row r="460" spans="1:44" s="156" customFormat="1" ht="11.25">
      <c r="A460" s="1194"/>
      <c r="B460" s="1194"/>
      <c r="C460" s="1194"/>
      <c r="D460" s="1195"/>
      <c r="E460" s="1195"/>
      <c r="F460" s="1195"/>
      <c r="G460" s="1195"/>
      <c r="H460" s="1195"/>
      <c r="I460" s="1195"/>
      <c r="J460" s="1195"/>
      <c r="K460" s="1195"/>
      <c r="L460" s="1195"/>
      <c r="M460" s="1195"/>
      <c r="N460" s="1195"/>
      <c r="O460" s="1195"/>
      <c r="P460" s="1195"/>
      <c r="Q460" s="1195"/>
      <c r="R460" s="1195"/>
      <c r="S460" s="1195"/>
      <c r="T460" s="1195"/>
      <c r="U460" s="1195"/>
      <c r="V460" s="1195"/>
      <c r="W460" s="1195"/>
      <c r="X460" s="1195"/>
      <c r="Y460" s="1195"/>
      <c r="Z460" s="1195"/>
      <c r="AA460" s="1195"/>
      <c r="AB460" s="1195"/>
      <c r="AC460" s="1195"/>
      <c r="AD460" s="1195"/>
      <c r="AE460" s="1195"/>
      <c r="AF460" s="1195"/>
      <c r="AG460" s="1195"/>
      <c r="AH460" s="1195"/>
      <c r="AI460" s="1195"/>
      <c r="AJ460" s="1194"/>
    </row>
    <row r="461" spans="1:44" s="156" customFormat="1" ht="11.25">
      <c r="A461" s="1194"/>
      <c r="B461" s="1194"/>
      <c r="C461" s="1194"/>
      <c r="D461" s="1195"/>
      <c r="E461" s="1195"/>
      <c r="F461" s="1195"/>
      <c r="G461" s="1195"/>
      <c r="H461" s="1195"/>
      <c r="I461" s="1195"/>
      <c r="J461" s="1195"/>
      <c r="K461" s="1195"/>
      <c r="L461" s="1195"/>
      <c r="M461" s="1195"/>
      <c r="N461" s="1195"/>
      <c r="O461" s="1195"/>
      <c r="P461" s="1195"/>
      <c r="Q461" s="1195"/>
      <c r="R461" s="1195"/>
      <c r="S461" s="1195"/>
      <c r="T461" s="1195"/>
      <c r="U461" s="1195"/>
      <c r="V461" s="1195"/>
      <c r="W461" s="1195"/>
      <c r="X461" s="1195"/>
      <c r="Y461" s="1195"/>
      <c r="Z461" s="1195"/>
      <c r="AA461" s="1195"/>
      <c r="AB461" s="1195"/>
      <c r="AC461" s="1195"/>
      <c r="AD461" s="1195"/>
      <c r="AE461" s="1195"/>
      <c r="AF461" s="1195"/>
      <c r="AG461" s="1195"/>
      <c r="AH461" s="1195"/>
      <c r="AI461" s="1195"/>
      <c r="AJ461" s="1194"/>
    </row>
    <row r="462" spans="1:44" s="156" customFormat="1" ht="11.25">
      <c r="A462" s="1194"/>
      <c r="B462" s="1194"/>
      <c r="C462" s="1194"/>
      <c r="D462" s="1195"/>
      <c r="E462" s="1195"/>
      <c r="F462" s="1195"/>
      <c r="G462" s="1195"/>
      <c r="H462" s="1195"/>
      <c r="I462" s="1195"/>
      <c r="J462" s="1195"/>
      <c r="K462" s="1195"/>
      <c r="L462" s="1195"/>
      <c r="M462" s="1195"/>
      <c r="N462" s="1195"/>
      <c r="O462" s="1195"/>
      <c r="P462" s="1195"/>
      <c r="Q462" s="1195"/>
      <c r="R462" s="1195"/>
      <c r="S462" s="1195"/>
      <c r="T462" s="1195"/>
      <c r="U462" s="1195"/>
      <c r="V462" s="1195"/>
      <c r="W462" s="1195"/>
      <c r="X462" s="1195"/>
      <c r="Y462" s="1195"/>
      <c r="Z462" s="1195"/>
      <c r="AA462" s="1195"/>
      <c r="AB462" s="1195"/>
      <c r="AC462" s="1195"/>
      <c r="AD462" s="1195"/>
      <c r="AE462" s="1195"/>
      <c r="AF462" s="1195"/>
      <c r="AG462" s="1195"/>
      <c r="AH462" s="1195"/>
      <c r="AI462" s="1195"/>
      <c r="AJ462" s="1194"/>
    </row>
    <row r="463" spans="1:44" s="156" customFormat="1" ht="11.25">
      <c r="A463" s="1194"/>
      <c r="B463" s="1194"/>
      <c r="C463" s="1194"/>
      <c r="D463" s="1195"/>
      <c r="E463" s="1195"/>
      <c r="F463" s="1195"/>
      <c r="G463" s="1195"/>
      <c r="H463" s="1195"/>
      <c r="I463" s="1195"/>
      <c r="J463" s="1195"/>
      <c r="K463" s="1195"/>
      <c r="L463" s="1195"/>
      <c r="M463" s="1195"/>
      <c r="N463" s="1195"/>
      <c r="O463" s="1195"/>
      <c r="P463" s="1195"/>
      <c r="Q463" s="1195"/>
      <c r="R463" s="1195"/>
      <c r="S463" s="1195"/>
      <c r="T463" s="1195"/>
      <c r="U463" s="1195"/>
      <c r="V463" s="1195"/>
      <c r="W463" s="1195"/>
      <c r="X463" s="1195"/>
      <c r="Y463" s="1195"/>
      <c r="Z463" s="1195"/>
      <c r="AA463" s="1195"/>
      <c r="AB463" s="1195"/>
      <c r="AC463" s="1195"/>
      <c r="AD463" s="1195"/>
      <c r="AE463" s="1195"/>
      <c r="AF463" s="1195"/>
      <c r="AG463" s="1195"/>
      <c r="AH463" s="1195"/>
      <c r="AI463" s="1195"/>
      <c r="AJ463" s="1194"/>
    </row>
    <row r="464" spans="1:44" s="156" customFormat="1" ht="11.25">
      <c r="A464" s="1194"/>
      <c r="B464" s="1194"/>
      <c r="C464" s="1194"/>
      <c r="D464" s="1195"/>
      <c r="E464" s="1195"/>
      <c r="F464" s="1195"/>
      <c r="G464" s="1195"/>
      <c r="H464" s="1195"/>
      <c r="I464" s="1195"/>
      <c r="J464" s="1195"/>
      <c r="K464" s="1195"/>
      <c r="L464" s="1195"/>
      <c r="M464" s="1195"/>
      <c r="N464" s="1195"/>
      <c r="O464" s="1195"/>
      <c r="P464" s="1195"/>
      <c r="Q464" s="1195"/>
      <c r="R464" s="1195"/>
      <c r="S464" s="1195"/>
      <c r="T464" s="1195"/>
      <c r="U464" s="1195"/>
      <c r="V464" s="1195"/>
      <c r="W464" s="1195"/>
      <c r="X464" s="1195"/>
      <c r="Y464" s="1195"/>
      <c r="Z464" s="1195"/>
      <c r="AA464" s="1195"/>
      <c r="AB464" s="1195"/>
      <c r="AC464" s="1195"/>
      <c r="AD464" s="1195"/>
      <c r="AE464" s="1195"/>
      <c r="AF464" s="1195"/>
      <c r="AG464" s="1195"/>
      <c r="AH464" s="1195"/>
      <c r="AI464" s="1195"/>
      <c r="AJ464" s="1194"/>
    </row>
    <row r="465" spans="1:36" s="156" customFormat="1" ht="11.25">
      <c r="A465" s="1194"/>
      <c r="B465" s="1194"/>
      <c r="C465" s="1194"/>
      <c r="D465" s="1195"/>
      <c r="E465" s="1195"/>
      <c r="F465" s="1195"/>
      <c r="G465" s="1195"/>
      <c r="H465" s="1195"/>
      <c r="I465" s="1195"/>
      <c r="J465" s="1195"/>
      <c r="K465" s="1195"/>
      <c r="L465" s="1195"/>
      <c r="M465" s="1195"/>
      <c r="N465" s="1195"/>
      <c r="O465" s="1195"/>
      <c r="P465" s="1195"/>
      <c r="Q465" s="1195"/>
      <c r="R465" s="1195"/>
      <c r="S465" s="1195"/>
      <c r="T465" s="1195"/>
      <c r="U465" s="1195"/>
      <c r="V465" s="1195"/>
      <c r="W465" s="1195"/>
      <c r="X465" s="1195"/>
      <c r="Y465" s="1195"/>
      <c r="Z465" s="1195"/>
      <c r="AA465" s="1195"/>
      <c r="AB465" s="1195"/>
      <c r="AC465" s="1195"/>
      <c r="AD465" s="1195"/>
      <c r="AE465" s="1195"/>
      <c r="AF465" s="1195"/>
      <c r="AG465" s="1195"/>
      <c r="AH465" s="1195"/>
      <c r="AI465" s="1195"/>
      <c r="AJ465" s="1194"/>
    </row>
    <row r="466" spans="1:36" s="156" customFormat="1" ht="11.25">
      <c r="A466" s="1194"/>
      <c r="B466" s="1194"/>
      <c r="C466" s="1194"/>
      <c r="D466" s="1194"/>
      <c r="E466" s="1194"/>
      <c r="F466" s="1194"/>
      <c r="G466" s="1195"/>
      <c r="H466" s="1195"/>
      <c r="I466" s="1195"/>
      <c r="J466" s="1195"/>
      <c r="K466" s="1195"/>
      <c r="L466" s="1195"/>
      <c r="M466" s="1195"/>
      <c r="N466" s="1195"/>
      <c r="O466" s="1195"/>
      <c r="P466" s="1195"/>
      <c r="Q466" s="1195"/>
      <c r="R466" s="1195"/>
      <c r="S466" s="1195"/>
      <c r="T466" s="1195"/>
      <c r="U466" s="1195"/>
      <c r="V466" s="1195"/>
      <c r="W466" s="1195"/>
      <c r="X466" s="1195"/>
      <c r="Y466" s="1195"/>
      <c r="Z466" s="1195"/>
      <c r="AA466" s="1195"/>
      <c r="AB466" s="1195"/>
      <c r="AC466" s="1195"/>
      <c r="AD466" s="1195"/>
      <c r="AE466" s="1195"/>
      <c r="AF466" s="1195"/>
      <c r="AG466" s="1195"/>
      <c r="AH466" s="1195"/>
      <c r="AI466" s="1195"/>
      <c r="AJ466" s="1194"/>
    </row>
    <row r="467" spans="1:36" s="156" customFormat="1" ht="11.25">
      <c r="A467" s="1194"/>
      <c r="B467" s="1194"/>
      <c r="C467" s="1194"/>
      <c r="D467" s="1194"/>
      <c r="E467" s="1194"/>
      <c r="F467" s="1194"/>
      <c r="G467" s="1195"/>
      <c r="H467" s="1195"/>
      <c r="I467" s="1195"/>
      <c r="J467" s="1195"/>
      <c r="K467" s="1195"/>
      <c r="L467" s="1195"/>
      <c r="M467" s="1195"/>
      <c r="N467" s="1195"/>
      <c r="O467" s="1195"/>
      <c r="P467" s="1195"/>
      <c r="Q467" s="1195"/>
      <c r="R467" s="1195"/>
      <c r="S467" s="1195"/>
      <c r="T467" s="1195"/>
      <c r="U467" s="1195"/>
      <c r="V467" s="1195"/>
      <c r="W467" s="1195"/>
      <c r="X467" s="1195"/>
      <c r="Y467" s="1195"/>
      <c r="Z467" s="1195"/>
      <c r="AA467" s="1195"/>
      <c r="AB467" s="1195"/>
      <c r="AC467" s="1195"/>
      <c r="AD467" s="1195"/>
      <c r="AE467" s="1195"/>
      <c r="AF467" s="1195"/>
      <c r="AG467" s="1195"/>
      <c r="AH467" s="1195"/>
      <c r="AI467" s="1195"/>
      <c r="AJ467" s="1194"/>
    </row>
    <row r="468" spans="1:36" s="156" customFormat="1" ht="11.25">
      <c r="A468" s="1194"/>
      <c r="B468" s="1194"/>
      <c r="C468" s="1194"/>
      <c r="D468" s="1194"/>
      <c r="E468" s="1194"/>
      <c r="F468" s="1194"/>
      <c r="G468" s="1195"/>
      <c r="H468" s="1195"/>
      <c r="I468" s="1195"/>
      <c r="J468" s="1195"/>
      <c r="K468" s="1195"/>
      <c r="L468" s="1195"/>
      <c r="M468" s="1195"/>
      <c r="N468" s="1195"/>
      <c r="O468" s="1195"/>
      <c r="P468" s="1195"/>
      <c r="Q468" s="1195"/>
      <c r="R468" s="1195"/>
      <c r="S468" s="1195"/>
      <c r="T468" s="1195"/>
      <c r="U468" s="1195"/>
      <c r="V468" s="1195"/>
      <c r="W468" s="1195"/>
      <c r="X468" s="1195"/>
      <c r="Y468" s="1195"/>
      <c r="Z468" s="1195"/>
      <c r="AA468" s="1195"/>
      <c r="AB468" s="1195"/>
      <c r="AC468" s="1195"/>
      <c r="AD468" s="1195"/>
      <c r="AE468" s="1195"/>
      <c r="AF468" s="1195"/>
      <c r="AG468" s="1195"/>
      <c r="AH468" s="1195"/>
      <c r="AI468" s="1195"/>
      <c r="AJ468" s="1194"/>
    </row>
    <row r="469" spans="1:36" s="156" customFormat="1" ht="11.25">
      <c r="A469" s="1194"/>
      <c r="B469" s="1194"/>
      <c r="C469" s="1194"/>
      <c r="D469" s="1194"/>
      <c r="E469" s="1194"/>
      <c r="F469" s="1194"/>
      <c r="G469" s="1195"/>
      <c r="H469" s="1195"/>
      <c r="I469" s="1195"/>
      <c r="J469" s="1195"/>
      <c r="K469" s="1195"/>
      <c r="L469" s="1195"/>
      <c r="M469" s="1195"/>
      <c r="N469" s="1195"/>
      <c r="O469" s="1195"/>
      <c r="P469" s="1195"/>
      <c r="Q469" s="1195"/>
      <c r="R469" s="1195"/>
      <c r="S469" s="1195"/>
      <c r="T469" s="1195"/>
      <c r="U469" s="1195"/>
      <c r="V469" s="1195"/>
      <c r="W469" s="1195"/>
      <c r="X469" s="1195"/>
      <c r="Y469" s="1195"/>
      <c r="Z469" s="1195"/>
      <c r="AA469" s="1195"/>
      <c r="AB469" s="1195"/>
      <c r="AC469" s="1195"/>
      <c r="AD469" s="1195"/>
      <c r="AE469" s="1195"/>
      <c r="AF469" s="1195"/>
      <c r="AG469" s="1195"/>
      <c r="AH469" s="1195"/>
      <c r="AI469" s="1195"/>
      <c r="AJ469" s="1194"/>
    </row>
    <row r="470" spans="1:36" s="156" customFormat="1" ht="11.25">
      <c r="A470" s="1194"/>
      <c r="B470" s="1194"/>
      <c r="C470" s="1194"/>
      <c r="D470" s="1194"/>
      <c r="E470" s="1194"/>
      <c r="F470" s="1194"/>
      <c r="G470" s="1195"/>
      <c r="H470" s="1195"/>
      <c r="I470" s="1195"/>
      <c r="J470" s="1195"/>
      <c r="K470" s="1195"/>
      <c r="L470" s="1195"/>
      <c r="M470" s="1195"/>
      <c r="N470" s="1195"/>
      <c r="O470" s="1195"/>
      <c r="P470" s="1195"/>
      <c r="Q470" s="1195"/>
      <c r="R470" s="1195"/>
      <c r="S470" s="1195"/>
      <c r="T470" s="1195"/>
      <c r="U470" s="1195"/>
      <c r="V470" s="1195"/>
      <c r="W470" s="1195"/>
      <c r="X470" s="1195"/>
      <c r="Y470" s="1195"/>
      <c r="Z470" s="1195"/>
      <c r="AA470" s="1195"/>
      <c r="AB470" s="1195"/>
      <c r="AC470" s="1195"/>
      <c r="AD470" s="1195"/>
      <c r="AE470" s="1195"/>
      <c r="AF470" s="1195"/>
      <c r="AG470" s="1195"/>
      <c r="AH470" s="1195"/>
      <c r="AI470" s="1195"/>
      <c r="AJ470" s="1194"/>
    </row>
    <row r="471" spans="1:36" s="156" customFormat="1" ht="11.25">
      <c r="A471" s="1194"/>
      <c r="B471" s="1194"/>
      <c r="C471" s="1194"/>
      <c r="D471" s="1194"/>
      <c r="E471" s="1194"/>
      <c r="F471" s="1194"/>
      <c r="G471" s="1195"/>
      <c r="H471" s="1195"/>
      <c r="I471" s="1195"/>
      <c r="J471" s="1195"/>
      <c r="K471" s="1195"/>
      <c r="L471" s="1195"/>
      <c r="M471" s="1195"/>
      <c r="N471" s="1195"/>
      <c r="O471" s="1195"/>
      <c r="P471" s="1195"/>
      <c r="Q471" s="1195"/>
      <c r="R471" s="1195"/>
      <c r="S471" s="1195"/>
      <c r="T471" s="1195"/>
      <c r="U471" s="1195"/>
      <c r="V471" s="1195"/>
      <c r="W471" s="1195"/>
      <c r="X471" s="1195"/>
      <c r="Y471" s="1195"/>
      <c r="Z471" s="1195"/>
      <c r="AA471" s="1195"/>
      <c r="AB471" s="1195"/>
      <c r="AC471" s="1195"/>
      <c r="AD471" s="1195"/>
      <c r="AE471" s="1195"/>
      <c r="AF471" s="1195"/>
      <c r="AG471" s="1195"/>
      <c r="AH471" s="1195"/>
      <c r="AI471" s="1195"/>
      <c r="AJ471" s="1194"/>
    </row>
    <row r="472" spans="1:36" s="156" customFormat="1" ht="11.25">
      <c r="A472" s="1194"/>
      <c r="B472" s="1194"/>
      <c r="C472" s="1194"/>
      <c r="D472" s="1194"/>
      <c r="E472" s="1194"/>
      <c r="F472" s="1194"/>
      <c r="G472" s="1195"/>
      <c r="H472" s="1195"/>
      <c r="I472" s="1195"/>
      <c r="J472" s="1195"/>
      <c r="K472" s="1195"/>
      <c r="L472" s="1195"/>
      <c r="M472" s="1195"/>
      <c r="N472" s="1195"/>
      <c r="O472" s="1195"/>
      <c r="P472" s="1195"/>
      <c r="Q472" s="1195"/>
      <c r="R472" s="1195"/>
      <c r="S472" s="1195"/>
      <c r="T472" s="1195"/>
      <c r="U472" s="1195"/>
      <c r="V472" s="1195"/>
      <c r="W472" s="1195"/>
      <c r="X472" s="1195"/>
      <c r="Y472" s="1195"/>
      <c r="Z472" s="1195"/>
      <c r="AA472" s="1195"/>
      <c r="AB472" s="1195"/>
      <c r="AC472" s="1195"/>
      <c r="AD472" s="1195"/>
      <c r="AE472" s="1195"/>
      <c r="AF472" s="1195"/>
      <c r="AG472" s="1195"/>
      <c r="AH472" s="1195"/>
      <c r="AI472" s="1195"/>
      <c r="AJ472" s="1194"/>
    </row>
    <row r="473" spans="1:36" s="156" customFormat="1" ht="11.25">
      <c r="A473" s="1194"/>
      <c r="B473" s="1194"/>
      <c r="C473" s="1194"/>
      <c r="D473" s="1194"/>
      <c r="E473" s="1194"/>
      <c r="F473" s="1194"/>
      <c r="G473" s="1195"/>
      <c r="H473" s="1195"/>
      <c r="I473" s="1195"/>
      <c r="J473" s="1195"/>
      <c r="K473" s="1195"/>
      <c r="L473" s="1195"/>
      <c r="M473" s="1195"/>
      <c r="N473" s="1195"/>
      <c r="O473" s="1195"/>
      <c r="P473" s="1195"/>
      <c r="Q473" s="1195"/>
      <c r="R473" s="1195"/>
      <c r="S473" s="1195"/>
      <c r="T473" s="1195"/>
      <c r="U473" s="1195"/>
      <c r="V473" s="1195"/>
      <c r="W473" s="1195"/>
      <c r="X473" s="1195"/>
      <c r="Y473" s="1195"/>
      <c r="Z473" s="1195"/>
      <c r="AA473" s="1195"/>
      <c r="AB473" s="1195"/>
      <c r="AC473" s="1195"/>
      <c r="AD473" s="1195"/>
      <c r="AE473" s="1195"/>
      <c r="AF473" s="1195"/>
      <c r="AG473" s="1195"/>
      <c r="AH473" s="1195"/>
      <c r="AI473" s="1195"/>
      <c r="AJ473" s="1194"/>
    </row>
    <row r="474" spans="1:36" s="156" customFormat="1" ht="11.25">
      <c r="A474" s="1194"/>
      <c r="B474" s="1194"/>
      <c r="C474" s="1194"/>
      <c r="D474" s="1194"/>
      <c r="E474" s="1194"/>
      <c r="F474" s="1194"/>
      <c r="G474" s="1195"/>
      <c r="H474" s="1195"/>
      <c r="I474" s="1195"/>
      <c r="J474" s="1195"/>
      <c r="K474" s="1195"/>
      <c r="L474" s="1195"/>
      <c r="M474" s="1195"/>
      <c r="N474" s="1195"/>
      <c r="O474" s="1195"/>
      <c r="P474" s="1195"/>
      <c r="Q474" s="1195"/>
      <c r="R474" s="1195"/>
      <c r="S474" s="1195"/>
      <c r="T474" s="1195"/>
      <c r="U474" s="1195"/>
      <c r="V474" s="1195"/>
      <c r="W474" s="1195"/>
      <c r="X474" s="1195"/>
      <c r="Y474" s="1195"/>
      <c r="Z474" s="1195"/>
      <c r="AA474" s="1195"/>
      <c r="AB474" s="1195"/>
      <c r="AC474" s="1195"/>
      <c r="AD474" s="1195"/>
      <c r="AE474" s="1195"/>
      <c r="AF474" s="1195"/>
      <c r="AG474" s="1195"/>
      <c r="AH474" s="1195"/>
      <c r="AI474" s="1195"/>
      <c r="AJ474" s="1194"/>
    </row>
    <row r="475" spans="1:36" s="156" customFormat="1" ht="11.25">
      <c r="A475" s="1194"/>
      <c r="B475" s="1194"/>
      <c r="C475" s="1194"/>
      <c r="D475" s="1194"/>
      <c r="E475" s="1194"/>
      <c r="F475" s="1194"/>
      <c r="G475" s="1195"/>
      <c r="H475" s="1195"/>
      <c r="I475" s="1195"/>
      <c r="J475" s="1195"/>
      <c r="K475" s="1195"/>
      <c r="L475" s="1195"/>
      <c r="M475" s="1195"/>
      <c r="N475" s="1195"/>
      <c r="O475" s="1195"/>
      <c r="P475" s="1195"/>
      <c r="Q475" s="1195"/>
      <c r="R475" s="1195"/>
      <c r="S475" s="1195"/>
      <c r="T475" s="1195"/>
      <c r="U475" s="1195"/>
      <c r="V475" s="1195"/>
      <c r="W475" s="1195"/>
      <c r="X475" s="1195"/>
      <c r="Y475" s="1195"/>
      <c r="Z475" s="1195"/>
      <c r="AA475" s="1195"/>
      <c r="AB475" s="1195"/>
      <c r="AC475" s="1195"/>
      <c r="AD475" s="1195"/>
      <c r="AE475" s="1195"/>
      <c r="AF475" s="1195"/>
      <c r="AG475" s="1195"/>
      <c r="AH475" s="1195"/>
      <c r="AI475" s="1195"/>
      <c r="AJ475" s="1194"/>
    </row>
    <row r="476" spans="1:36" s="156" customFormat="1" ht="11.25">
      <c r="A476" s="1194"/>
      <c r="B476" s="1194"/>
      <c r="C476" s="1194"/>
      <c r="D476" s="1194"/>
      <c r="E476" s="1194"/>
      <c r="F476" s="1194"/>
      <c r="G476" s="1195"/>
      <c r="H476" s="1195"/>
      <c r="I476" s="1195"/>
      <c r="J476" s="1195"/>
      <c r="K476" s="1195"/>
      <c r="L476" s="1195"/>
      <c r="M476" s="1195"/>
      <c r="N476" s="1195"/>
      <c r="O476" s="1195"/>
      <c r="P476" s="1195"/>
      <c r="Q476" s="1195"/>
      <c r="R476" s="1195"/>
      <c r="S476" s="1195"/>
      <c r="T476" s="1195"/>
      <c r="U476" s="1195"/>
      <c r="V476" s="1195"/>
      <c r="W476" s="1195"/>
      <c r="X476" s="1195"/>
      <c r="Y476" s="1195"/>
      <c r="Z476" s="1195"/>
      <c r="AA476" s="1195"/>
      <c r="AB476" s="1195"/>
      <c r="AC476" s="1195"/>
      <c r="AD476" s="1195"/>
      <c r="AE476" s="1195"/>
      <c r="AF476" s="1195"/>
      <c r="AG476" s="1195"/>
      <c r="AH476" s="1195"/>
      <c r="AI476" s="1195"/>
      <c r="AJ476" s="1194"/>
    </row>
    <row r="477" spans="1:36" s="156" customFormat="1" ht="11.25">
      <c r="A477" s="1194"/>
      <c r="B477" s="1194"/>
      <c r="C477" s="1194"/>
      <c r="D477" s="1194"/>
      <c r="E477" s="1194"/>
      <c r="F477" s="1194"/>
      <c r="G477" s="1195"/>
      <c r="H477" s="1195"/>
      <c r="I477" s="1195"/>
      <c r="J477" s="1195"/>
      <c r="K477" s="1195"/>
      <c r="L477" s="1195"/>
      <c r="M477" s="1195"/>
      <c r="N477" s="1195"/>
      <c r="O477" s="1195"/>
      <c r="P477" s="1195"/>
      <c r="Q477" s="1195"/>
      <c r="R477" s="1195"/>
      <c r="S477" s="1195"/>
      <c r="T477" s="1195"/>
      <c r="U477" s="1195"/>
      <c r="V477" s="1195"/>
      <c r="W477" s="1195"/>
      <c r="X477" s="1195"/>
      <c r="Y477" s="1195"/>
      <c r="Z477" s="1195"/>
      <c r="AA477" s="1195"/>
      <c r="AB477" s="1195"/>
      <c r="AC477" s="1195"/>
      <c r="AD477" s="1195"/>
      <c r="AE477" s="1195"/>
      <c r="AF477" s="1195"/>
      <c r="AG477" s="1195"/>
      <c r="AH477" s="1195"/>
      <c r="AI477" s="1195"/>
      <c r="AJ477" s="1194"/>
    </row>
    <row r="478" spans="1:36" s="156" customFormat="1" ht="11.25">
      <c r="A478" s="1194"/>
      <c r="B478" s="1194"/>
      <c r="C478" s="1194"/>
      <c r="D478" s="1194"/>
      <c r="E478" s="1194"/>
      <c r="F478" s="1194"/>
      <c r="G478" s="1195"/>
      <c r="H478" s="1195"/>
      <c r="I478" s="1195"/>
      <c r="J478" s="1195"/>
      <c r="K478" s="1195"/>
      <c r="L478" s="1195"/>
      <c r="M478" s="1195"/>
      <c r="N478" s="1195"/>
      <c r="O478" s="1195"/>
      <c r="P478" s="1195"/>
      <c r="Q478" s="1195"/>
      <c r="R478" s="1195"/>
      <c r="S478" s="1195"/>
      <c r="T478" s="1195"/>
      <c r="U478" s="1195"/>
      <c r="V478" s="1195"/>
      <c r="W478" s="1195"/>
      <c r="X478" s="1195"/>
      <c r="Y478" s="1195"/>
      <c r="Z478" s="1195"/>
      <c r="AA478" s="1195"/>
      <c r="AB478" s="1195"/>
      <c r="AC478" s="1195"/>
      <c r="AD478" s="1195"/>
      <c r="AE478" s="1195"/>
      <c r="AF478" s="1195"/>
      <c r="AG478" s="1195"/>
      <c r="AH478" s="1195"/>
      <c r="AI478" s="1195"/>
      <c r="AJ478" s="1194"/>
    </row>
    <row r="479" spans="1:36" s="156" customFormat="1" ht="11.25">
      <c r="A479" s="1194"/>
      <c r="B479" s="1194"/>
      <c r="C479" s="1194"/>
      <c r="D479" s="1194"/>
      <c r="E479" s="1194"/>
      <c r="F479" s="1194"/>
      <c r="G479" s="1195"/>
      <c r="H479" s="1195"/>
      <c r="I479" s="1195"/>
      <c r="J479" s="1195"/>
      <c r="K479" s="1195"/>
      <c r="L479" s="1195"/>
      <c r="M479" s="1195"/>
      <c r="N479" s="1195"/>
      <c r="O479" s="1195"/>
      <c r="P479" s="1195"/>
      <c r="Q479" s="1195"/>
      <c r="R479" s="1195"/>
      <c r="S479" s="1195"/>
      <c r="T479" s="1195"/>
      <c r="U479" s="1195"/>
      <c r="V479" s="1195"/>
      <c r="W479" s="1195"/>
      <c r="X479" s="1195"/>
      <c r="Y479" s="1195"/>
      <c r="Z479" s="1195"/>
      <c r="AA479" s="1195"/>
      <c r="AB479" s="1195"/>
      <c r="AC479" s="1195"/>
      <c r="AD479" s="1195"/>
      <c r="AE479" s="1195"/>
      <c r="AF479" s="1195"/>
      <c r="AG479" s="1195"/>
      <c r="AH479" s="1195"/>
      <c r="AI479" s="1195"/>
      <c r="AJ479" s="1194"/>
    </row>
    <row r="480" spans="1:36" s="156" customFormat="1" ht="11.25">
      <c r="A480" s="1194"/>
      <c r="B480" s="1194"/>
      <c r="C480" s="1194"/>
      <c r="D480" s="1194"/>
      <c r="E480" s="1194"/>
      <c r="F480" s="1194"/>
      <c r="G480" s="1195"/>
      <c r="H480" s="1195"/>
      <c r="I480" s="1195"/>
      <c r="J480" s="1195"/>
      <c r="K480" s="1195"/>
      <c r="L480" s="1195"/>
      <c r="M480" s="1195"/>
      <c r="N480" s="1195"/>
      <c r="O480" s="1195"/>
      <c r="P480" s="1195"/>
      <c r="Q480" s="1195"/>
      <c r="R480" s="1195"/>
      <c r="S480" s="1195"/>
      <c r="T480" s="1195"/>
      <c r="U480" s="1195"/>
      <c r="V480" s="1195"/>
      <c r="W480" s="1195"/>
      <c r="X480" s="1195"/>
      <c r="Y480" s="1195"/>
      <c r="Z480" s="1195"/>
      <c r="AA480" s="1195"/>
      <c r="AB480" s="1195"/>
      <c r="AC480" s="1195"/>
      <c r="AD480" s="1195"/>
      <c r="AE480" s="1195"/>
      <c r="AF480" s="1195"/>
      <c r="AG480" s="1195"/>
      <c r="AH480" s="1195"/>
      <c r="AI480" s="1195"/>
      <c r="AJ480" s="1194"/>
    </row>
    <row r="481" spans="1:36" s="156" customFormat="1" ht="11.25">
      <c r="A481" s="1194"/>
      <c r="B481" s="1194"/>
      <c r="C481" s="1194"/>
      <c r="D481" s="1194"/>
      <c r="E481" s="1194"/>
      <c r="F481" s="1194"/>
      <c r="G481" s="1195"/>
      <c r="H481" s="1195"/>
      <c r="I481" s="1195"/>
      <c r="J481" s="1195"/>
      <c r="K481" s="1195"/>
      <c r="L481" s="1195"/>
      <c r="M481" s="1195"/>
      <c r="N481" s="1195"/>
      <c r="O481" s="1195"/>
      <c r="P481" s="1195"/>
      <c r="Q481" s="1195"/>
      <c r="R481" s="1195"/>
      <c r="S481" s="1195"/>
      <c r="T481" s="1195"/>
      <c r="U481" s="1195"/>
      <c r="V481" s="1195"/>
      <c r="W481" s="1195"/>
      <c r="X481" s="1195"/>
      <c r="Y481" s="1195"/>
      <c r="Z481" s="1195"/>
      <c r="AA481" s="1195"/>
      <c r="AB481" s="1195"/>
      <c r="AC481" s="1195"/>
      <c r="AD481" s="1195"/>
      <c r="AE481" s="1195"/>
      <c r="AF481" s="1195"/>
      <c r="AG481" s="1195"/>
      <c r="AH481" s="1195"/>
      <c r="AI481" s="1195"/>
      <c r="AJ481" s="1194"/>
    </row>
    <row r="482" spans="1:36" s="156" customFormat="1" ht="11.25">
      <c r="A482" s="1194"/>
      <c r="B482" s="1194"/>
      <c r="C482" s="1194"/>
      <c r="D482" s="1194"/>
      <c r="E482" s="1194"/>
      <c r="F482" s="1194"/>
      <c r="G482" s="1195"/>
      <c r="H482" s="1195"/>
      <c r="I482" s="1195"/>
      <c r="J482" s="1195"/>
      <c r="K482" s="1195"/>
      <c r="L482" s="1195"/>
      <c r="M482" s="1195"/>
      <c r="N482" s="1195"/>
      <c r="O482" s="1195"/>
      <c r="P482" s="1195"/>
      <c r="Q482" s="1195"/>
      <c r="R482" s="1195"/>
      <c r="S482" s="1195"/>
      <c r="T482" s="1195"/>
      <c r="U482" s="1195"/>
      <c r="V482" s="1195"/>
      <c r="W482" s="1195"/>
      <c r="X482" s="1195"/>
      <c r="Y482" s="1195"/>
      <c r="Z482" s="1195"/>
      <c r="AA482" s="1195"/>
      <c r="AB482" s="1195"/>
      <c r="AC482" s="1195"/>
      <c r="AD482" s="1195"/>
      <c r="AE482" s="1195"/>
      <c r="AF482" s="1195"/>
      <c r="AG482" s="1195"/>
      <c r="AH482" s="1195"/>
      <c r="AI482" s="1195"/>
      <c r="AJ482" s="1194"/>
    </row>
    <row r="483" spans="1:36" s="156" customFormat="1" ht="11.25">
      <c r="A483" s="1194"/>
      <c r="B483" s="1194"/>
      <c r="C483" s="1194"/>
      <c r="D483" s="1194"/>
      <c r="E483" s="1194"/>
      <c r="F483" s="1194"/>
      <c r="G483" s="1195"/>
      <c r="H483" s="1195"/>
      <c r="I483" s="1195"/>
      <c r="J483" s="1195"/>
      <c r="K483" s="1195"/>
      <c r="L483" s="1195"/>
      <c r="M483" s="1195"/>
      <c r="N483" s="1195"/>
      <c r="O483" s="1195"/>
      <c r="P483" s="1195"/>
      <c r="Q483" s="1195"/>
      <c r="R483" s="1195"/>
      <c r="S483" s="1195"/>
      <c r="T483" s="1195"/>
      <c r="U483" s="1195"/>
      <c r="V483" s="1195"/>
      <c r="W483" s="1195"/>
      <c r="X483" s="1195"/>
      <c r="Y483" s="1195"/>
      <c r="Z483" s="1195"/>
      <c r="AA483" s="1195"/>
      <c r="AB483" s="1195"/>
      <c r="AC483" s="1195"/>
      <c r="AD483" s="1195"/>
      <c r="AE483" s="1195"/>
      <c r="AF483" s="1195"/>
      <c r="AG483" s="1195"/>
      <c r="AH483" s="1195"/>
      <c r="AI483" s="1195"/>
      <c r="AJ483" s="1194"/>
    </row>
    <row r="484" spans="1:36" s="156" customFormat="1" ht="11.25">
      <c r="A484" s="1194"/>
      <c r="B484" s="1194"/>
      <c r="C484" s="1194"/>
      <c r="D484" s="1194"/>
      <c r="E484" s="1194"/>
      <c r="F484" s="1194"/>
      <c r="G484" s="1195"/>
      <c r="H484" s="1195"/>
      <c r="I484" s="1195"/>
      <c r="J484" s="1195"/>
      <c r="K484" s="1195"/>
      <c r="L484" s="1195"/>
      <c r="M484" s="1195"/>
      <c r="N484" s="1195"/>
      <c r="O484" s="1195"/>
      <c r="P484" s="1195"/>
      <c r="Q484" s="1195"/>
      <c r="R484" s="1195"/>
      <c r="S484" s="1195"/>
      <c r="T484" s="1195"/>
      <c r="U484" s="1195"/>
      <c r="V484" s="1195"/>
      <c r="W484" s="1195"/>
      <c r="X484" s="1195"/>
      <c r="Y484" s="1195"/>
      <c r="Z484" s="1195"/>
      <c r="AA484" s="1195"/>
      <c r="AB484" s="1195"/>
      <c r="AC484" s="1195"/>
      <c r="AD484" s="1195"/>
      <c r="AE484" s="1195"/>
      <c r="AF484" s="1195"/>
      <c r="AG484" s="1195"/>
      <c r="AH484" s="1195"/>
      <c r="AI484" s="1195"/>
      <c r="AJ484" s="1194"/>
    </row>
    <row r="485" spans="1:36" s="156" customFormat="1" ht="11.25">
      <c r="A485" s="1194"/>
      <c r="B485" s="1194"/>
      <c r="C485" s="1194"/>
      <c r="D485" s="1194"/>
      <c r="E485" s="1194"/>
      <c r="F485" s="1194"/>
      <c r="G485" s="1195"/>
      <c r="H485" s="1195"/>
      <c r="I485" s="1195"/>
      <c r="J485" s="1195"/>
      <c r="K485" s="1195"/>
      <c r="L485" s="1195"/>
      <c r="M485" s="1195"/>
      <c r="N485" s="1195"/>
      <c r="O485" s="1195"/>
      <c r="P485" s="1195"/>
      <c r="Q485" s="1195"/>
      <c r="R485" s="1195"/>
      <c r="S485" s="1195"/>
      <c r="T485" s="1195"/>
      <c r="U485" s="1195"/>
      <c r="V485" s="1195"/>
      <c r="W485" s="1195"/>
      <c r="X485" s="1195"/>
      <c r="Y485" s="1195"/>
      <c r="Z485" s="1195"/>
      <c r="AA485" s="1195"/>
      <c r="AB485" s="1195"/>
      <c r="AC485" s="1195"/>
      <c r="AD485" s="1195"/>
      <c r="AE485" s="1195"/>
      <c r="AF485" s="1195"/>
      <c r="AG485" s="1195"/>
      <c r="AH485" s="1195"/>
      <c r="AI485" s="1195"/>
      <c r="AJ485" s="1194"/>
    </row>
    <row r="486" spans="1:36" s="156" customFormat="1" ht="11.25">
      <c r="A486" s="1194"/>
      <c r="B486" s="1194"/>
      <c r="C486" s="1194"/>
      <c r="D486" s="1194"/>
      <c r="E486" s="1194"/>
      <c r="F486" s="1194"/>
      <c r="G486" s="1195"/>
      <c r="H486" s="1195"/>
      <c r="I486" s="1195"/>
      <c r="J486" s="1195"/>
      <c r="K486" s="1195"/>
      <c r="L486" s="1195"/>
      <c r="M486" s="1195"/>
      <c r="N486" s="1195"/>
      <c r="O486" s="1195"/>
      <c r="P486" s="1195"/>
      <c r="Q486" s="1195"/>
      <c r="R486" s="1195"/>
      <c r="S486" s="1195"/>
      <c r="T486" s="1195"/>
      <c r="U486" s="1195"/>
      <c r="V486" s="1195"/>
      <c r="W486" s="1195"/>
      <c r="X486" s="1195"/>
      <c r="Y486" s="1195"/>
      <c r="Z486" s="1195"/>
      <c r="AA486" s="1195"/>
      <c r="AB486" s="1195"/>
      <c r="AC486" s="1195"/>
      <c r="AD486" s="1195"/>
      <c r="AE486" s="1195"/>
      <c r="AF486" s="1195"/>
      <c r="AG486" s="1195"/>
      <c r="AH486" s="1195"/>
      <c r="AI486" s="1195"/>
      <c r="AJ486" s="1194"/>
    </row>
    <row r="487" spans="1:36" s="156" customFormat="1" ht="11.25">
      <c r="A487" s="1194"/>
      <c r="B487" s="1194"/>
      <c r="C487" s="1194"/>
      <c r="D487" s="1194"/>
      <c r="E487" s="1194"/>
      <c r="F487" s="1194"/>
      <c r="G487" s="1195"/>
      <c r="H487" s="1195"/>
      <c r="I487" s="1195"/>
      <c r="J487" s="1195"/>
      <c r="K487" s="1195"/>
      <c r="L487" s="1195"/>
      <c r="M487" s="1195"/>
      <c r="N487" s="1195"/>
      <c r="O487" s="1195"/>
      <c r="P487" s="1195"/>
      <c r="Q487" s="1195"/>
      <c r="R487" s="1195"/>
      <c r="S487" s="1195"/>
      <c r="T487" s="1195"/>
      <c r="U487" s="1195"/>
      <c r="V487" s="1195"/>
      <c r="W487" s="1195"/>
      <c r="X487" s="1195"/>
      <c r="Y487" s="1195"/>
      <c r="Z487" s="1195"/>
      <c r="AA487" s="1195"/>
      <c r="AB487" s="1195"/>
      <c r="AC487" s="1195"/>
      <c r="AD487" s="1195"/>
      <c r="AE487" s="1195"/>
      <c r="AF487" s="1195"/>
      <c r="AG487" s="1195"/>
      <c r="AH487" s="1195"/>
      <c r="AI487" s="1195"/>
      <c r="AJ487" s="1194"/>
    </row>
    <row r="488" spans="1:36" s="156" customFormat="1" ht="11.25">
      <c r="A488" s="1194"/>
      <c r="B488" s="1194"/>
      <c r="C488" s="1194"/>
      <c r="D488" s="1194"/>
      <c r="E488" s="1194"/>
      <c r="F488" s="1194"/>
      <c r="G488" s="1195"/>
      <c r="H488" s="1195"/>
      <c r="I488" s="1195"/>
      <c r="J488" s="1195"/>
      <c r="K488" s="1195"/>
      <c r="L488" s="1195"/>
      <c r="M488" s="1195"/>
      <c r="N488" s="1195"/>
      <c r="O488" s="1195"/>
      <c r="P488" s="1195"/>
      <c r="Q488" s="1195"/>
      <c r="R488" s="1195"/>
      <c r="S488" s="1195"/>
      <c r="T488" s="1195"/>
      <c r="U488" s="1195"/>
      <c r="V488" s="1195"/>
      <c r="W488" s="1195"/>
      <c r="X488" s="1195"/>
      <c r="Y488" s="1195"/>
      <c r="Z488" s="1195"/>
      <c r="AA488" s="1195"/>
      <c r="AB488" s="1195"/>
      <c r="AC488" s="1195"/>
      <c r="AD488" s="1195"/>
      <c r="AE488" s="1195"/>
      <c r="AF488" s="1195"/>
      <c r="AG488" s="1195"/>
      <c r="AH488" s="1195"/>
      <c r="AI488" s="1195"/>
      <c r="AJ488" s="1194"/>
    </row>
    <row r="489" spans="1:36" s="156" customFormat="1" ht="11.25">
      <c r="A489" s="1194"/>
      <c r="B489" s="1194"/>
      <c r="C489" s="1194"/>
      <c r="D489" s="1194"/>
      <c r="E489" s="1194"/>
      <c r="F489" s="1194"/>
      <c r="G489" s="1195"/>
      <c r="H489" s="1195"/>
      <c r="I489" s="1195"/>
      <c r="J489" s="1195"/>
      <c r="K489" s="1195"/>
      <c r="L489" s="1195"/>
      <c r="M489" s="1195"/>
      <c r="N489" s="1195"/>
      <c r="O489" s="1195"/>
      <c r="P489" s="1195"/>
      <c r="Q489" s="1195"/>
      <c r="R489" s="1195"/>
      <c r="S489" s="1195"/>
      <c r="T489" s="1195"/>
      <c r="U489" s="1195"/>
      <c r="V489" s="1195"/>
      <c r="W489" s="1195"/>
      <c r="X489" s="1195"/>
      <c r="Y489" s="1195"/>
      <c r="Z489" s="1195"/>
      <c r="AA489" s="1195"/>
      <c r="AB489" s="1195"/>
      <c r="AC489" s="1195"/>
      <c r="AD489" s="1195"/>
      <c r="AE489" s="1195"/>
      <c r="AF489" s="1195"/>
      <c r="AG489" s="1195"/>
      <c r="AH489" s="1195"/>
      <c r="AI489" s="1195"/>
      <c r="AJ489" s="1194"/>
    </row>
    <row r="490" spans="1:36" s="156" customFormat="1" ht="11.25">
      <c r="A490" s="1194"/>
      <c r="B490" s="1194"/>
      <c r="C490" s="1194"/>
      <c r="D490" s="1194"/>
      <c r="E490" s="1194"/>
      <c r="F490" s="1194"/>
      <c r="G490" s="1195"/>
      <c r="H490" s="1195"/>
      <c r="I490" s="1195"/>
      <c r="J490" s="1195"/>
      <c r="K490" s="1195"/>
      <c r="L490" s="1195"/>
      <c r="M490" s="1195"/>
      <c r="N490" s="1195"/>
      <c r="O490" s="1195"/>
      <c r="P490" s="1195"/>
      <c r="Q490" s="1195"/>
      <c r="R490" s="1195"/>
      <c r="S490" s="1195"/>
      <c r="T490" s="1195"/>
      <c r="U490" s="1195"/>
      <c r="V490" s="1195"/>
      <c r="W490" s="1195"/>
      <c r="X490" s="1195"/>
      <c r="Y490" s="1195"/>
      <c r="Z490" s="1195"/>
      <c r="AA490" s="1195"/>
      <c r="AB490" s="1195"/>
      <c r="AC490" s="1195"/>
      <c r="AD490" s="1195"/>
      <c r="AE490" s="1195"/>
      <c r="AF490" s="1195"/>
      <c r="AG490" s="1195"/>
      <c r="AH490" s="1195"/>
      <c r="AI490" s="1195"/>
      <c r="AJ490" s="1194"/>
    </row>
    <row r="491" spans="1:36" s="156" customFormat="1" ht="11.25">
      <c r="A491" s="1194"/>
      <c r="B491" s="1194"/>
      <c r="C491" s="1194"/>
      <c r="D491" s="1194"/>
      <c r="E491" s="1194"/>
      <c r="F491" s="1194"/>
      <c r="G491" s="1195"/>
      <c r="H491" s="1195"/>
      <c r="I491" s="1195"/>
      <c r="J491" s="1195"/>
      <c r="K491" s="1195"/>
      <c r="L491" s="1195"/>
      <c r="M491" s="1195"/>
      <c r="N491" s="1195"/>
      <c r="O491" s="1195"/>
      <c r="P491" s="1195"/>
      <c r="Q491" s="1195"/>
      <c r="R491" s="1195"/>
      <c r="S491" s="1195"/>
      <c r="T491" s="1195"/>
      <c r="U491" s="1195"/>
      <c r="V491" s="1195"/>
      <c r="W491" s="1195"/>
      <c r="X491" s="1195"/>
      <c r="Y491" s="1195"/>
      <c r="Z491" s="1195"/>
      <c r="AA491" s="1195"/>
      <c r="AB491" s="1195"/>
      <c r="AC491" s="1195"/>
      <c r="AD491" s="1195"/>
      <c r="AE491" s="1195"/>
      <c r="AF491" s="1195"/>
      <c r="AG491" s="1195"/>
      <c r="AH491" s="1195"/>
      <c r="AI491" s="1195"/>
      <c r="AJ491" s="1194"/>
    </row>
    <row r="492" spans="1:36" s="156" customFormat="1" ht="11.25">
      <c r="A492" s="1194"/>
      <c r="B492" s="1194"/>
      <c r="C492" s="1194"/>
      <c r="D492" s="1194"/>
      <c r="E492" s="1194"/>
      <c r="F492" s="1194"/>
      <c r="G492" s="1195"/>
      <c r="H492" s="1195"/>
      <c r="I492" s="1195"/>
      <c r="J492" s="1195"/>
      <c r="K492" s="1195"/>
      <c r="L492" s="1195"/>
      <c r="M492" s="1195"/>
      <c r="N492" s="1195"/>
      <c r="O492" s="1195"/>
      <c r="P492" s="1195"/>
      <c r="Q492" s="1195"/>
      <c r="R492" s="1195"/>
      <c r="S492" s="1195"/>
      <c r="T492" s="1195"/>
      <c r="U492" s="1195"/>
      <c r="V492" s="1195"/>
      <c r="W492" s="1195"/>
      <c r="X492" s="1195"/>
      <c r="Y492" s="1195"/>
      <c r="Z492" s="1195"/>
      <c r="AA492" s="1195"/>
      <c r="AB492" s="1194"/>
      <c r="AC492" s="1194"/>
      <c r="AD492" s="1194"/>
      <c r="AE492" s="1194"/>
      <c r="AF492" s="1194"/>
      <c r="AG492" s="1194"/>
      <c r="AH492" s="1194"/>
      <c r="AI492" s="1194"/>
      <c r="AJ492" s="1194"/>
    </row>
    <row r="493" spans="1:36" s="156" customFormat="1" ht="11.25">
      <c r="A493" s="1194"/>
      <c r="B493" s="1194"/>
      <c r="C493" s="1194"/>
      <c r="D493" s="1194"/>
      <c r="E493" s="1194"/>
      <c r="F493" s="1194"/>
      <c r="G493" s="1195"/>
      <c r="H493" s="1195"/>
      <c r="I493" s="1195"/>
      <c r="J493" s="1195"/>
      <c r="K493" s="1195"/>
      <c r="L493" s="1195"/>
      <c r="M493" s="1195"/>
      <c r="N493" s="1195"/>
      <c r="O493" s="1195"/>
      <c r="P493" s="1195"/>
      <c r="Q493" s="1195"/>
      <c r="R493" s="1195"/>
      <c r="S493" s="1195"/>
      <c r="T493" s="1195"/>
      <c r="U493" s="1195"/>
      <c r="V493" s="1195"/>
      <c r="W493" s="1195"/>
      <c r="X493" s="1195"/>
      <c r="Y493" s="1195"/>
      <c r="Z493" s="1195"/>
      <c r="AA493" s="1195"/>
      <c r="AB493" s="1194"/>
      <c r="AC493" s="1194"/>
      <c r="AD493" s="1194"/>
      <c r="AE493" s="1194"/>
      <c r="AF493" s="1194"/>
      <c r="AG493" s="1194"/>
      <c r="AH493" s="1194"/>
      <c r="AI493" s="1194"/>
      <c r="AJ493" s="1194"/>
    </row>
    <row r="494" spans="1:36" s="156" customFormat="1" ht="11.25">
      <c r="A494" s="1194"/>
      <c r="B494" s="1194"/>
      <c r="C494" s="1194"/>
      <c r="D494" s="1194"/>
      <c r="E494" s="1194"/>
      <c r="F494" s="1194"/>
      <c r="G494" s="1195"/>
      <c r="H494" s="1195"/>
      <c r="I494" s="1195"/>
      <c r="J494" s="1195"/>
      <c r="K494" s="1195"/>
      <c r="L494" s="1195"/>
      <c r="M494" s="1195"/>
      <c r="N494" s="1195"/>
      <c r="O494" s="1195"/>
      <c r="P494" s="1195"/>
      <c r="Q494" s="1195"/>
      <c r="R494" s="1195"/>
      <c r="S494" s="1195"/>
      <c r="T494" s="1195"/>
      <c r="U494" s="1195"/>
      <c r="V494" s="1195"/>
      <c r="W494" s="1195"/>
      <c r="X494" s="1195"/>
      <c r="Y494" s="1195"/>
      <c r="Z494" s="1195"/>
      <c r="AA494" s="1195"/>
      <c r="AB494" s="1194"/>
      <c r="AC494" s="1194"/>
      <c r="AD494" s="1194"/>
      <c r="AE494" s="1194"/>
      <c r="AF494" s="1194"/>
      <c r="AG494" s="1194"/>
      <c r="AH494" s="1194"/>
      <c r="AI494" s="1194"/>
      <c r="AJ494" s="1194"/>
    </row>
    <row r="495" spans="1:36" s="156" customFormat="1" ht="11.25">
      <c r="A495" s="1194"/>
      <c r="B495" s="1194"/>
      <c r="C495" s="1194"/>
      <c r="D495" s="1194"/>
      <c r="E495" s="1194"/>
      <c r="F495" s="1194"/>
      <c r="G495" s="1195"/>
      <c r="H495" s="1195"/>
      <c r="I495" s="1195"/>
      <c r="J495" s="1195"/>
      <c r="K495" s="1195"/>
      <c r="L495" s="1195"/>
      <c r="M495" s="1195"/>
      <c r="N495" s="1195"/>
      <c r="O495" s="1195"/>
      <c r="P495" s="1195"/>
      <c r="Q495" s="1195"/>
      <c r="R495" s="1195"/>
      <c r="S495" s="1195"/>
      <c r="T495" s="1195"/>
      <c r="U495" s="1195"/>
      <c r="V495" s="1195"/>
      <c r="W495" s="1195"/>
      <c r="X495" s="1195"/>
      <c r="Y495" s="1195"/>
      <c r="Z495" s="1195"/>
      <c r="AA495" s="1195"/>
      <c r="AB495" s="1194"/>
      <c r="AC495" s="1194"/>
      <c r="AD495" s="1194"/>
      <c r="AE495" s="1194"/>
      <c r="AF495" s="1194"/>
      <c r="AG495" s="1194"/>
      <c r="AH495" s="1194"/>
      <c r="AI495" s="1194"/>
      <c r="AJ495" s="1194"/>
    </row>
    <row r="496" spans="1:36" s="156" customFormat="1" ht="11.25">
      <c r="A496" s="1194"/>
      <c r="B496" s="1194"/>
      <c r="C496" s="1194"/>
      <c r="D496" s="1194"/>
      <c r="E496" s="1194"/>
      <c r="F496" s="1194"/>
      <c r="G496" s="1195"/>
      <c r="H496" s="1195"/>
      <c r="I496" s="1195"/>
      <c r="J496" s="1195"/>
      <c r="K496" s="1195"/>
      <c r="L496" s="1195"/>
      <c r="M496" s="1195"/>
      <c r="N496" s="1195"/>
      <c r="O496" s="1195"/>
      <c r="P496" s="1195"/>
      <c r="Q496" s="1195"/>
      <c r="R496" s="1195"/>
      <c r="S496" s="1195"/>
      <c r="T496" s="1195"/>
      <c r="U496" s="1195"/>
      <c r="V496" s="1195"/>
      <c r="W496" s="1195"/>
      <c r="X496" s="1195"/>
      <c r="Y496" s="1195"/>
      <c r="Z496" s="1195"/>
      <c r="AA496" s="1195"/>
      <c r="AB496" s="1194"/>
      <c r="AC496" s="1194"/>
      <c r="AD496" s="1194"/>
      <c r="AE496" s="1194"/>
      <c r="AF496" s="1194"/>
      <c r="AG496" s="1194"/>
      <c r="AH496" s="1194"/>
      <c r="AI496" s="1194"/>
      <c r="AJ496" s="1194"/>
    </row>
    <row r="497" spans="1:36" s="156" customFormat="1" ht="11.25">
      <c r="A497" s="1194"/>
      <c r="B497" s="1194"/>
      <c r="C497" s="1194"/>
      <c r="D497" s="1194"/>
      <c r="E497" s="1194"/>
      <c r="F497" s="1194"/>
      <c r="G497" s="1195"/>
      <c r="H497" s="1195"/>
      <c r="I497" s="1195"/>
      <c r="J497" s="1195"/>
      <c r="K497" s="1195"/>
      <c r="L497" s="1195"/>
      <c r="M497" s="1195"/>
      <c r="N497" s="1195"/>
      <c r="O497" s="1195"/>
      <c r="P497" s="1195"/>
      <c r="Q497" s="1195"/>
      <c r="R497" s="1195"/>
      <c r="S497" s="1195"/>
      <c r="T497" s="1195"/>
      <c r="U497" s="1195"/>
      <c r="V497" s="1195"/>
      <c r="W497" s="1195"/>
      <c r="X497" s="1195"/>
      <c r="Y497" s="1195"/>
      <c r="Z497" s="1195"/>
      <c r="AA497" s="1195"/>
      <c r="AB497" s="1194"/>
      <c r="AC497" s="1194"/>
      <c r="AD497" s="1194"/>
      <c r="AE497" s="1194"/>
      <c r="AF497" s="1194"/>
      <c r="AG497" s="1194"/>
      <c r="AH497" s="1194"/>
      <c r="AI497" s="1194"/>
      <c r="AJ497" s="1194"/>
    </row>
    <row r="498" spans="1:36" s="156" customFormat="1" ht="11.25">
      <c r="A498" s="1194"/>
      <c r="B498" s="1194"/>
      <c r="C498" s="1194"/>
      <c r="D498" s="1194"/>
      <c r="E498" s="1194"/>
      <c r="F498" s="1194"/>
      <c r="G498" s="1195"/>
      <c r="H498" s="1195"/>
      <c r="I498" s="1195"/>
      <c r="J498" s="1195"/>
      <c r="K498" s="1195"/>
      <c r="L498" s="1195"/>
      <c r="M498" s="1195"/>
      <c r="N498" s="1195"/>
      <c r="O498" s="1195"/>
      <c r="P498" s="1195"/>
      <c r="Q498" s="1195"/>
      <c r="R498" s="1195"/>
      <c r="S498" s="1195"/>
      <c r="T498" s="1195"/>
      <c r="U498" s="1195"/>
      <c r="V498" s="1195"/>
      <c r="W498" s="1195"/>
      <c r="X498" s="1195"/>
      <c r="Y498" s="1195"/>
      <c r="Z498" s="1195"/>
      <c r="AA498" s="1195"/>
      <c r="AB498" s="1194"/>
      <c r="AC498" s="1194"/>
      <c r="AD498" s="1194"/>
      <c r="AE498" s="1194"/>
      <c r="AF498" s="1194"/>
      <c r="AG498" s="1194"/>
      <c r="AH498" s="1194"/>
      <c r="AI498" s="1194"/>
      <c r="AJ498" s="1194"/>
    </row>
    <row r="499" spans="1:36" s="156" customFormat="1" ht="11.25">
      <c r="A499" s="1194"/>
      <c r="B499" s="1194"/>
      <c r="C499" s="1194"/>
      <c r="D499" s="1194"/>
      <c r="E499" s="1194"/>
      <c r="F499" s="1194"/>
      <c r="G499" s="1195"/>
      <c r="H499" s="1195"/>
      <c r="I499" s="1195"/>
      <c r="J499" s="1195"/>
      <c r="K499" s="1195"/>
      <c r="L499" s="1195"/>
      <c r="M499" s="1195"/>
      <c r="N499" s="1195"/>
      <c r="O499" s="1195"/>
      <c r="P499" s="1195"/>
      <c r="Q499" s="1195"/>
      <c r="R499" s="1195"/>
      <c r="S499" s="1195"/>
      <c r="T499" s="1195"/>
      <c r="U499" s="1195"/>
      <c r="V499" s="1195"/>
      <c r="W499" s="1195"/>
      <c r="X499" s="1195"/>
      <c r="Y499" s="1195"/>
      <c r="Z499" s="1195"/>
      <c r="AA499" s="1195"/>
      <c r="AB499" s="1194"/>
      <c r="AC499" s="1194"/>
      <c r="AD499" s="1194"/>
      <c r="AE499" s="1194"/>
      <c r="AF499" s="1194"/>
      <c r="AG499" s="1194"/>
      <c r="AH499" s="1194"/>
      <c r="AI499" s="1194"/>
      <c r="AJ499" s="1194"/>
    </row>
    <row r="500" spans="1:36" s="156" customFormat="1" ht="11.25">
      <c r="A500" s="1194"/>
      <c r="B500" s="1194"/>
      <c r="C500" s="1194"/>
      <c r="D500" s="1194"/>
      <c r="E500" s="1194"/>
      <c r="F500" s="1194"/>
      <c r="G500" s="1195"/>
      <c r="H500" s="1195"/>
      <c r="I500" s="1195"/>
      <c r="J500" s="1195"/>
      <c r="K500" s="1195"/>
      <c r="L500" s="1195"/>
      <c r="M500" s="1195"/>
      <c r="N500" s="1195"/>
      <c r="O500" s="1195"/>
      <c r="P500" s="1195"/>
      <c r="Q500" s="1195"/>
      <c r="R500" s="1195"/>
      <c r="S500" s="1195"/>
      <c r="T500" s="1195"/>
      <c r="U500" s="1195"/>
      <c r="V500" s="1195"/>
      <c r="W500" s="1195"/>
      <c r="X500" s="1195"/>
      <c r="Y500" s="1195"/>
      <c r="Z500" s="1195"/>
      <c r="AA500" s="1195"/>
      <c r="AB500" s="1194"/>
      <c r="AC500" s="1194"/>
      <c r="AD500" s="1194"/>
      <c r="AE500" s="1194"/>
      <c r="AF500" s="1194"/>
      <c r="AG500" s="1194"/>
      <c r="AH500" s="1194"/>
      <c r="AI500" s="1194"/>
      <c r="AJ500" s="1194"/>
    </row>
    <row r="501" spans="1:36" s="156" customFormat="1" ht="11.25">
      <c r="A501" s="1194"/>
      <c r="B501" s="1194"/>
      <c r="C501" s="1194"/>
      <c r="D501" s="1194"/>
      <c r="E501" s="1194"/>
      <c r="F501" s="1194"/>
      <c r="G501" s="1195"/>
      <c r="H501" s="1195"/>
      <c r="I501" s="1195"/>
      <c r="J501" s="1195"/>
      <c r="K501" s="1195"/>
      <c r="L501" s="1195"/>
      <c r="M501" s="1195"/>
      <c r="N501" s="1195"/>
      <c r="O501" s="1195"/>
      <c r="P501" s="1195"/>
      <c r="Q501" s="1195"/>
      <c r="R501" s="1195"/>
      <c r="S501" s="1195"/>
      <c r="T501" s="1195"/>
      <c r="U501" s="1195"/>
      <c r="V501" s="1195"/>
      <c r="W501" s="1195"/>
      <c r="X501" s="1195"/>
      <c r="Y501" s="1195"/>
      <c r="Z501" s="1195"/>
      <c r="AA501" s="1195"/>
      <c r="AB501" s="1194"/>
      <c r="AC501" s="1194"/>
      <c r="AD501" s="1194"/>
      <c r="AE501" s="1194"/>
      <c r="AF501" s="1194"/>
      <c r="AG501" s="1194"/>
      <c r="AH501" s="1194"/>
      <c r="AI501" s="1194"/>
      <c r="AJ501" s="1194"/>
    </row>
    <row r="502" spans="1:36" s="156" customFormat="1" ht="11.25">
      <c r="A502" s="1194"/>
      <c r="B502" s="1194"/>
      <c r="C502" s="1194"/>
      <c r="D502" s="1194"/>
      <c r="E502" s="1194"/>
      <c r="F502" s="1194"/>
      <c r="G502" s="1195"/>
      <c r="H502" s="1195"/>
      <c r="I502" s="1195"/>
      <c r="J502" s="1195"/>
      <c r="K502" s="1195"/>
      <c r="L502" s="1195"/>
      <c r="M502" s="1195"/>
      <c r="N502" s="1195"/>
      <c r="O502" s="1195"/>
      <c r="P502" s="1195"/>
      <c r="Q502" s="1195"/>
      <c r="R502" s="1195"/>
      <c r="S502" s="1195"/>
      <c r="T502" s="1195"/>
      <c r="U502" s="1195"/>
      <c r="V502" s="1195"/>
      <c r="W502" s="1195"/>
      <c r="X502" s="1195"/>
      <c r="Y502" s="1195"/>
      <c r="Z502" s="1195"/>
      <c r="AA502" s="1195"/>
      <c r="AB502" s="1194"/>
      <c r="AC502" s="1194"/>
      <c r="AD502" s="1194"/>
      <c r="AE502" s="1194"/>
      <c r="AF502" s="1194"/>
      <c r="AG502" s="1194"/>
      <c r="AH502" s="1194"/>
      <c r="AI502" s="1194"/>
      <c r="AJ502" s="1194"/>
    </row>
    <row r="503" spans="1:36" s="156" customFormat="1" ht="11.25">
      <c r="A503" s="1194"/>
      <c r="B503" s="1194"/>
      <c r="C503" s="1194"/>
      <c r="D503" s="1194"/>
      <c r="E503" s="1194"/>
      <c r="F503" s="1194"/>
      <c r="G503" s="1195"/>
      <c r="H503" s="1195"/>
      <c r="I503" s="1195"/>
      <c r="J503" s="1195"/>
      <c r="K503" s="1195"/>
      <c r="L503" s="1195"/>
      <c r="M503" s="1195"/>
      <c r="N503" s="1195"/>
      <c r="O503" s="1195"/>
      <c r="P503" s="1195"/>
      <c r="Q503" s="1195"/>
      <c r="R503" s="1195"/>
      <c r="S503" s="1195"/>
      <c r="T503" s="1195"/>
      <c r="U503" s="1195"/>
      <c r="V503" s="1195"/>
      <c r="W503" s="1195"/>
      <c r="X503" s="1195"/>
      <c r="Y503" s="1195"/>
      <c r="Z503" s="1195"/>
      <c r="AA503" s="1195"/>
      <c r="AB503" s="1194"/>
      <c r="AC503" s="1194"/>
      <c r="AD503" s="1194"/>
      <c r="AE503" s="1194"/>
      <c r="AF503" s="1194"/>
      <c r="AG503" s="1194"/>
      <c r="AH503" s="1194"/>
      <c r="AI503" s="1194"/>
      <c r="AJ503" s="1194"/>
    </row>
    <row r="504" spans="1:36" s="156" customFormat="1" ht="11.25">
      <c r="A504" s="1194"/>
      <c r="B504" s="1194"/>
      <c r="C504" s="1194"/>
      <c r="D504" s="1194"/>
      <c r="E504" s="1194"/>
      <c r="F504" s="1194"/>
      <c r="G504" s="1195"/>
      <c r="H504" s="1195"/>
      <c r="I504" s="1195"/>
      <c r="J504" s="1195"/>
      <c r="K504" s="1195"/>
      <c r="L504" s="1195"/>
      <c r="M504" s="1195"/>
      <c r="N504" s="1195"/>
      <c r="O504" s="1195"/>
      <c r="P504" s="1195"/>
      <c r="Q504" s="1195"/>
      <c r="R504" s="1195"/>
      <c r="S504" s="1195"/>
      <c r="T504" s="1195"/>
      <c r="U504" s="1195"/>
      <c r="V504" s="1195"/>
      <c r="W504" s="1195"/>
      <c r="X504" s="1195"/>
      <c r="Y504" s="1195"/>
      <c r="Z504" s="1195"/>
      <c r="AA504" s="1195"/>
      <c r="AB504" s="1194"/>
      <c r="AC504" s="1194"/>
      <c r="AD504" s="1194"/>
      <c r="AE504" s="1194"/>
      <c r="AF504" s="1194"/>
      <c r="AG504" s="1194"/>
      <c r="AH504" s="1194"/>
      <c r="AI504" s="1194"/>
      <c r="AJ504" s="1194"/>
    </row>
    <row r="505" spans="1:36" s="156" customFormat="1" ht="11.25">
      <c r="A505" s="1194"/>
      <c r="B505" s="1194"/>
      <c r="C505" s="1194"/>
      <c r="D505" s="1194"/>
      <c r="E505" s="1194"/>
      <c r="F505" s="1194"/>
      <c r="G505" s="1195"/>
      <c r="H505" s="1195"/>
      <c r="I505" s="1195"/>
      <c r="J505" s="1195"/>
      <c r="K505" s="1195"/>
      <c r="L505" s="1195"/>
      <c r="M505" s="1195"/>
      <c r="N505" s="1195"/>
      <c r="O505" s="1195"/>
      <c r="P505" s="1195"/>
      <c r="Q505" s="1195"/>
      <c r="R505" s="1195"/>
      <c r="S505" s="1195"/>
      <c r="T505" s="1195"/>
      <c r="U505" s="1195"/>
      <c r="V505" s="1195"/>
      <c r="W505" s="1195"/>
      <c r="X505" s="1195"/>
      <c r="Y505" s="1195"/>
      <c r="Z505" s="1195"/>
      <c r="AA505" s="1195"/>
      <c r="AB505" s="1194"/>
      <c r="AC505" s="1194"/>
      <c r="AD505" s="1194"/>
      <c r="AE505" s="1194"/>
      <c r="AF505" s="1194"/>
      <c r="AG505" s="1194"/>
      <c r="AH505" s="1194"/>
      <c r="AI505" s="1194"/>
      <c r="AJ505" s="1194"/>
    </row>
    <row r="506" spans="1:36" s="156" customFormat="1" ht="11.25">
      <c r="A506" s="1194"/>
      <c r="B506" s="1194"/>
      <c r="C506" s="1194"/>
      <c r="D506" s="1194"/>
      <c r="E506" s="1194"/>
      <c r="F506" s="1194"/>
      <c r="G506" s="1195"/>
      <c r="H506" s="1195"/>
      <c r="I506" s="1195"/>
      <c r="J506" s="1195"/>
      <c r="K506" s="1195"/>
      <c r="L506" s="1195"/>
      <c r="M506" s="1195"/>
      <c r="N506" s="1195"/>
      <c r="O506" s="1195"/>
      <c r="P506" s="1195"/>
      <c r="Q506" s="1195"/>
      <c r="R506" s="1195"/>
      <c r="S506" s="1195"/>
      <c r="T506" s="1195"/>
      <c r="U506" s="1195"/>
      <c r="V506" s="1195"/>
      <c r="W506" s="1195"/>
      <c r="X506" s="1195"/>
      <c r="Y506" s="1195"/>
      <c r="Z506" s="1195"/>
      <c r="AA506" s="1195"/>
      <c r="AB506" s="1194"/>
      <c r="AC506" s="1194"/>
      <c r="AD506" s="1194"/>
      <c r="AE506" s="1194"/>
      <c r="AF506" s="1194"/>
      <c r="AG506" s="1194"/>
      <c r="AH506" s="1194"/>
      <c r="AI506" s="1194"/>
      <c r="AJ506" s="1194"/>
    </row>
    <row r="507" spans="1:36" s="156" customFormat="1" ht="11.25">
      <c r="A507" s="1194"/>
      <c r="B507" s="1194"/>
      <c r="C507" s="1194"/>
      <c r="D507" s="1194"/>
      <c r="E507" s="1194"/>
      <c r="F507" s="1194"/>
      <c r="G507" s="1195"/>
      <c r="H507" s="1195"/>
      <c r="I507" s="1195"/>
      <c r="J507" s="1195"/>
      <c r="K507" s="1195"/>
      <c r="L507" s="1195"/>
      <c r="M507" s="1195"/>
      <c r="N507" s="1195"/>
      <c r="O507" s="1195"/>
      <c r="P507" s="1195"/>
      <c r="Q507" s="1195"/>
      <c r="R507" s="1195"/>
      <c r="S507" s="1195"/>
      <c r="T507" s="1195"/>
      <c r="U507" s="1195"/>
      <c r="V507" s="1195"/>
      <c r="W507" s="1195"/>
      <c r="X507" s="1195"/>
      <c r="Y507" s="1195"/>
      <c r="Z507" s="1195"/>
      <c r="AA507" s="1195"/>
      <c r="AB507" s="1194"/>
      <c r="AC507" s="1194"/>
      <c r="AD507" s="1194"/>
      <c r="AE507" s="1194"/>
      <c r="AF507" s="1194"/>
      <c r="AG507" s="1194"/>
      <c r="AH507" s="1194"/>
      <c r="AI507" s="1194"/>
      <c r="AJ507" s="1194"/>
    </row>
    <row r="508" spans="1:36" s="156" customFormat="1" ht="11.25">
      <c r="A508" s="1194"/>
      <c r="B508" s="1194"/>
      <c r="C508" s="1194"/>
      <c r="D508" s="1194"/>
      <c r="E508" s="1194"/>
      <c r="F508" s="1194"/>
      <c r="G508" s="1195"/>
      <c r="H508" s="1195"/>
      <c r="I508" s="1195"/>
      <c r="J508" s="1195"/>
      <c r="K508" s="1195"/>
      <c r="L508" s="1195"/>
      <c r="M508" s="1195"/>
      <c r="N508" s="1195"/>
      <c r="O508" s="1195"/>
      <c r="P508" s="1195"/>
      <c r="Q508" s="1195"/>
      <c r="R508" s="1195"/>
      <c r="S508" s="1195"/>
      <c r="T508" s="1195"/>
      <c r="U508" s="1195"/>
      <c r="V508" s="1195"/>
      <c r="W508" s="1195"/>
      <c r="X508" s="1195"/>
      <c r="Y508" s="1195"/>
      <c r="Z508" s="1195"/>
      <c r="AA508" s="1195"/>
      <c r="AB508" s="1194"/>
      <c r="AC508" s="1194"/>
      <c r="AD508" s="1194"/>
      <c r="AE508" s="1194"/>
      <c r="AF508" s="1194"/>
      <c r="AG508" s="1194"/>
      <c r="AH508" s="1194"/>
      <c r="AI508" s="1194"/>
      <c r="AJ508" s="1194"/>
    </row>
    <row r="509" spans="1:36" s="156" customFormat="1" ht="11.25">
      <c r="A509" s="1194"/>
      <c r="B509" s="1194"/>
      <c r="C509" s="1194"/>
      <c r="D509" s="1194"/>
      <c r="E509" s="1194"/>
      <c r="F509" s="1194"/>
      <c r="G509" s="1195"/>
      <c r="H509" s="1195"/>
      <c r="I509" s="1195"/>
      <c r="J509" s="1195"/>
      <c r="K509" s="1195"/>
      <c r="L509" s="1195"/>
      <c r="M509" s="1195"/>
      <c r="N509" s="1195"/>
      <c r="O509" s="1195"/>
      <c r="P509" s="1195"/>
      <c r="Q509" s="1195"/>
      <c r="R509" s="1195"/>
      <c r="S509" s="1195"/>
      <c r="T509" s="1195"/>
      <c r="U509" s="1195"/>
      <c r="V509" s="1195"/>
      <c r="W509" s="1195"/>
      <c r="X509" s="1195"/>
      <c r="Y509" s="1195"/>
      <c r="Z509" s="1195"/>
      <c r="AA509" s="1195"/>
      <c r="AB509" s="1194"/>
      <c r="AC509" s="1194"/>
      <c r="AD509" s="1194"/>
      <c r="AE509" s="1194"/>
      <c r="AF509" s="1194"/>
      <c r="AG509" s="1194"/>
      <c r="AH509" s="1194"/>
      <c r="AI509" s="1194"/>
      <c r="AJ509" s="1194"/>
    </row>
    <row r="510" spans="1:36" s="156" customFormat="1" ht="11.25">
      <c r="A510" s="1194"/>
      <c r="B510" s="1194"/>
      <c r="C510" s="1194"/>
      <c r="D510" s="1194"/>
      <c r="E510" s="1194"/>
      <c r="F510" s="1194"/>
      <c r="G510" s="1195"/>
      <c r="H510" s="1195"/>
      <c r="I510" s="1195"/>
      <c r="J510" s="1195"/>
      <c r="K510" s="1195"/>
      <c r="L510" s="1195"/>
      <c r="M510" s="1195"/>
      <c r="N510" s="1195"/>
      <c r="O510" s="1195"/>
      <c r="P510" s="1195"/>
      <c r="Q510" s="1195"/>
      <c r="R510" s="1195"/>
      <c r="S510" s="1195"/>
      <c r="T510" s="1195"/>
      <c r="U510" s="1195"/>
      <c r="V510" s="1195"/>
      <c r="W510" s="1195"/>
      <c r="X510" s="1195"/>
      <c r="Y510" s="1195"/>
      <c r="Z510" s="1195"/>
      <c r="AA510" s="1195"/>
      <c r="AB510" s="1194"/>
      <c r="AC510" s="1194"/>
      <c r="AD510" s="1194"/>
      <c r="AE510" s="1194"/>
      <c r="AF510" s="1194"/>
      <c r="AG510" s="1194"/>
      <c r="AH510" s="1194"/>
      <c r="AI510" s="1194"/>
      <c r="AJ510" s="1194"/>
    </row>
    <row r="511" spans="1:36" s="156" customFormat="1" ht="11.25">
      <c r="A511" s="1194"/>
      <c r="B511" s="1194"/>
      <c r="C511" s="1194"/>
      <c r="D511" s="1194"/>
      <c r="E511" s="1194"/>
      <c r="F511" s="1194"/>
      <c r="G511" s="1195"/>
      <c r="H511" s="1195"/>
      <c r="I511" s="1195"/>
      <c r="J511" s="1195"/>
      <c r="K511" s="1195"/>
      <c r="L511" s="1195"/>
      <c r="M511" s="1195"/>
      <c r="N511" s="1195"/>
      <c r="O511" s="1195"/>
      <c r="P511" s="1195"/>
      <c r="Q511" s="1195"/>
      <c r="R511" s="1195"/>
      <c r="S511" s="1195"/>
      <c r="T511" s="1195"/>
      <c r="U511" s="1195"/>
      <c r="V511" s="1195"/>
      <c r="W511" s="1195"/>
      <c r="X511" s="1195"/>
      <c r="Y511" s="1195"/>
      <c r="Z511" s="1195"/>
      <c r="AA511" s="1195"/>
      <c r="AB511" s="1194"/>
      <c r="AC511" s="1194"/>
      <c r="AD511" s="1194"/>
      <c r="AE511" s="1194"/>
      <c r="AF511" s="1194"/>
      <c r="AG511" s="1194"/>
      <c r="AH511" s="1194"/>
      <c r="AI511" s="1194"/>
      <c r="AJ511" s="1194"/>
    </row>
    <row r="512" spans="1:36" s="156" customFormat="1" ht="11.25">
      <c r="A512" s="1194"/>
      <c r="B512" s="1194"/>
      <c r="C512" s="1194"/>
      <c r="D512" s="1194"/>
      <c r="E512" s="1194"/>
      <c r="F512" s="1194"/>
      <c r="G512" s="1195"/>
      <c r="H512" s="1195"/>
      <c r="I512" s="1195"/>
      <c r="J512" s="1195"/>
      <c r="K512" s="1195"/>
      <c r="L512" s="1195"/>
      <c r="M512" s="1195"/>
      <c r="N512" s="1195"/>
      <c r="O512" s="1195"/>
      <c r="P512" s="1195"/>
      <c r="Q512" s="1195"/>
      <c r="R512" s="1195"/>
      <c r="S512" s="1195"/>
      <c r="T512" s="1195"/>
      <c r="U512" s="1195"/>
      <c r="V512" s="1195"/>
      <c r="W512" s="1195"/>
      <c r="X512" s="1195"/>
      <c r="Y512" s="1195"/>
      <c r="Z512" s="1195"/>
      <c r="AA512" s="1195"/>
      <c r="AB512" s="1194"/>
      <c r="AC512" s="1194"/>
      <c r="AD512" s="1194"/>
      <c r="AE512" s="1194"/>
      <c r="AF512" s="1194"/>
      <c r="AG512" s="1194"/>
      <c r="AH512" s="1194"/>
      <c r="AI512" s="1194"/>
      <c r="AJ512" s="1194"/>
    </row>
    <row r="513" spans="1:36" s="156" customFormat="1" ht="11.25">
      <c r="A513" s="1194"/>
      <c r="B513" s="1194"/>
      <c r="C513" s="1194"/>
      <c r="D513" s="1194"/>
      <c r="E513" s="1194"/>
      <c r="F513" s="1194"/>
      <c r="G513" s="1195"/>
      <c r="H513" s="1195"/>
      <c r="I513" s="1195"/>
      <c r="J513" s="1195"/>
      <c r="K513" s="1195"/>
      <c r="L513" s="1195"/>
      <c r="M513" s="1195"/>
      <c r="N513" s="1195"/>
      <c r="O513" s="1195"/>
      <c r="P513" s="1195"/>
      <c r="Q513" s="1195"/>
      <c r="R513" s="1195"/>
      <c r="S513" s="1195"/>
      <c r="T513" s="1195"/>
      <c r="U513" s="1195"/>
      <c r="V513" s="1195"/>
      <c r="W513" s="1195"/>
      <c r="X513" s="1195"/>
      <c r="Y513" s="1195"/>
      <c r="Z513" s="1195"/>
      <c r="AA513" s="1195"/>
      <c r="AB513" s="1194"/>
      <c r="AC513" s="1194"/>
      <c r="AD513" s="1194"/>
      <c r="AE513" s="1194"/>
      <c r="AF513" s="1194"/>
      <c r="AG513" s="1194"/>
      <c r="AH513" s="1194"/>
      <c r="AI513" s="1194"/>
      <c r="AJ513" s="1194"/>
    </row>
    <row r="514" spans="1:36" s="156" customFormat="1" ht="11.25">
      <c r="A514" s="1194"/>
      <c r="B514" s="1194"/>
      <c r="C514" s="1194"/>
      <c r="D514" s="1194"/>
      <c r="E514" s="1194"/>
      <c r="F514" s="1194"/>
      <c r="G514" s="1195"/>
      <c r="H514" s="1195"/>
      <c r="I514" s="1195"/>
      <c r="J514" s="1195"/>
      <c r="K514" s="1195"/>
      <c r="L514" s="1195"/>
      <c r="M514" s="1195"/>
      <c r="N514" s="1195"/>
      <c r="O514" s="1195"/>
      <c r="P514" s="1195"/>
      <c r="Q514" s="1195"/>
      <c r="R514" s="1195"/>
      <c r="S514" s="1195"/>
      <c r="T514" s="1195"/>
      <c r="U514" s="1195"/>
      <c r="V514" s="1195"/>
      <c r="W514" s="1195"/>
      <c r="X514" s="1195"/>
      <c r="Y514" s="1195"/>
      <c r="Z514" s="1195"/>
      <c r="AA514" s="1195"/>
      <c r="AB514" s="1194"/>
      <c r="AC514" s="1194"/>
      <c r="AD514" s="1194"/>
      <c r="AE514" s="1194"/>
      <c r="AF514" s="1194"/>
      <c r="AG514" s="1194"/>
      <c r="AH514" s="1194"/>
      <c r="AI514" s="1194"/>
      <c r="AJ514" s="1194"/>
    </row>
    <row r="515" spans="1:36" s="156" customFormat="1" ht="11.25">
      <c r="A515" s="1194"/>
      <c r="B515" s="1194"/>
      <c r="C515" s="1194"/>
      <c r="D515" s="1194"/>
      <c r="E515" s="1194"/>
      <c r="F515" s="1194"/>
      <c r="G515" s="1195"/>
      <c r="H515" s="1195"/>
      <c r="I515" s="1195"/>
      <c r="J515" s="1195"/>
      <c r="K515" s="1195"/>
      <c r="L515" s="1195"/>
      <c r="M515" s="1195"/>
      <c r="N515" s="1195"/>
      <c r="O515" s="1195"/>
      <c r="P515" s="1195"/>
      <c r="Q515" s="1195"/>
      <c r="R515" s="1195"/>
      <c r="S515" s="1195"/>
      <c r="T515" s="1195"/>
      <c r="U515" s="1195"/>
      <c r="V515" s="1195"/>
      <c r="W515" s="1195"/>
      <c r="X515" s="1195"/>
      <c r="Y515" s="1195"/>
      <c r="Z515" s="1195"/>
      <c r="AA515" s="1195"/>
      <c r="AB515" s="1194"/>
      <c r="AC515" s="1194"/>
      <c r="AD515" s="1194"/>
      <c r="AE515" s="1194"/>
      <c r="AF515" s="1194"/>
      <c r="AG515" s="1194"/>
      <c r="AH515" s="1194"/>
      <c r="AI515" s="1194"/>
      <c r="AJ515" s="1194"/>
    </row>
    <row r="516" spans="1:36" s="156" customFormat="1" ht="11.25">
      <c r="A516" s="1194"/>
      <c r="B516" s="1194"/>
      <c r="C516" s="1194"/>
      <c r="D516" s="1194"/>
      <c r="E516" s="1194"/>
      <c r="F516" s="1194"/>
      <c r="G516" s="1195"/>
      <c r="H516" s="1195"/>
      <c r="I516" s="1195"/>
      <c r="J516" s="1195"/>
      <c r="K516" s="1195"/>
      <c r="L516" s="1195"/>
      <c r="M516" s="1195"/>
      <c r="N516" s="1195"/>
      <c r="O516" s="1195"/>
      <c r="P516" s="1195"/>
      <c r="Q516" s="1195"/>
      <c r="R516" s="1195"/>
      <c r="S516" s="1195"/>
      <c r="T516" s="1195"/>
      <c r="U516" s="1195"/>
      <c r="V516" s="1195"/>
      <c r="W516" s="1195"/>
      <c r="X516" s="1195"/>
      <c r="Y516" s="1195"/>
      <c r="Z516" s="1195"/>
      <c r="AA516" s="1195"/>
      <c r="AB516" s="1194"/>
      <c r="AC516" s="1194"/>
      <c r="AD516" s="1194"/>
      <c r="AE516" s="1194"/>
      <c r="AF516" s="1194"/>
      <c r="AG516" s="1194"/>
      <c r="AH516" s="1194"/>
      <c r="AI516" s="1194"/>
      <c r="AJ516" s="1194"/>
    </row>
    <row r="517" spans="1:36" s="156" customFormat="1" ht="11.25">
      <c r="A517" s="1194"/>
      <c r="B517" s="1194"/>
      <c r="C517" s="1194"/>
      <c r="D517" s="1194"/>
      <c r="E517" s="1194"/>
      <c r="F517" s="1194"/>
      <c r="G517" s="1195"/>
      <c r="H517" s="1195"/>
      <c r="I517" s="1195"/>
      <c r="J517" s="1195"/>
      <c r="K517" s="1195"/>
      <c r="L517" s="1195"/>
      <c r="M517" s="1195"/>
      <c r="N517" s="1195"/>
      <c r="O517" s="1195"/>
      <c r="P517" s="1195"/>
      <c r="Q517" s="1195"/>
      <c r="R517" s="1195"/>
      <c r="S517" s="1195"/>
      <c r="T517" s="1195"/>
      <c r="U517" s="1195"/>
      <c r="V517" s="1195"/>
      <c r="W517" s="1195"/>
      <c r="X517" s="1195"/>
      <c r="Y517" s="1195"/>
      <c r="Z517" s="1195"/>
      <c r="AA517" s="1195"/>
      <c r="AB517" s="1194"/>
      <c r="AC517" s="1194"/>
      <c r="AD517" s="1194"/>
      <c r="AE517" s="1194"/>
      <c r="AF517" s="1194"/>
      <c r="AG517" s="1194"/>
      <c r="AH517" s="1194"/>
      <c r="AI517" s="1194"/>
      <c r="AJ517" s="1194"/>
    </row>
    <row r="518" spans="1:36" s="156" customFormat="1" ht="11.25">
      <c r="A518" s="1194"/>
      <c r="B518" s="1194"/>
      <c r="C518" s="1194"/>
      <c r="D518" s="1194"/>
      <c r="E518" s="1194"/>
      <c r="F518" s="1194"/>
      <c r="G518" s="1195"/>
      <c r="H518" s="1195"/>
      <c r="I518" s="1195"/>
      <c r="J518" s="1195"/>
      <c r="K518" s="1195"/>
      <c r="L518" s="1195"/>
      <c r="M518" s="1195"/>
      <c r="N518" s="1195"/>
      <c r="O518" s="1195"/>
      <c r="P518" s="1195"/>
      <c r="Q518" s="1195"/>
      <c r="R518" s="1195"/>
      <c r="S518" s="1195"/>
      <c r="T518" s="1195"/>
      <c r="U518" s="1195"/>
      <c r="V518" s="1195"/>
      <c r="W518" s="1195"/>
      <c r="X518" s="1195"/>
      <c r="Y518" s="1195"/>
      <c r="Z518" s="1195"/>
      <c r="AA518" s="1195"/>
      <c r="AB518" s="1194"/>
      <c r="AC518" s="1194"/>
      <c r="AD518" s="1194"/>
      <c r="AE518" s="1194"/>
      <c r="AF518" s="1194"/>
      <c r="AG518" s="1194"/>
      <c r="AH518" s="1194"/>
      <c r="AI518" s="1194"/>
      <c r="AJ518" s="1194"/>
    </row>
    <row r="519" spans="1:36" s="156" customFormat="1" ht="11.25">
      <c r="A519" s="1194"/>
      <c r="B519" s="1194"/>
      <c r="C519" s="1194"/>
      <c r="D519" s="1194"/>
      <c r="E519" s="1194"/>
      <c r="F519" s="1194"/>
      <c r="G519" s="1195"/>
      <c r="H519" s="1195"/>
      <c r="I519" s="1195"/>
      <c r="J519" s="1195"/>
      <c r="K519" s="1195"/>
      <c r="L519" s="1195"/>
      <c r="M519" s="1195"/>
      <c r="N519" s="1195"/>
      <c r="O519" s="1195"/>
      <c r="P519" s="1195"/>
      <c r="Q519" s="1195"/>
      <c r="R519" s="1195"/>
      <c r="S519" s="1195"/>
      <c r="T519" s="1195"/>
      <c r="U519" s="1195"/>
      <c r="V519" s="1195"/>
      <c r="W519" s="1195"/>
      <c r="X519" s="1195"/>
      <c r="Y519" s="1195"/>
      <c r="Z519" s="1195"/>
      <c r="AA519" s="1195"/>
      <c r="AB519" s="1194"/>
      <c r="AC519" s="1194"/>
      <c r="AD519" s="1194"/>
      <c r="AE519" s="1194"/>
      <c r="AF519" s="1194"/>
      <c r="AG519" s="1194"/>
      <c r="AH519" s="1194"/>
      <c r="AI519" s="1194"/>
      <c r="AJ519" s="1194"/>
    </row>
    <row r="520" spans="1:36" s="156" customFormat="1" ht="11.25">
      <c r="A520" s="1194"/>
      <c r="B520" s="1194"/>
      <c r="C520" s="1194"/>
      <c r="D520" s="1194"/>
      <c r="E520" s="1194"/>
      <c r="F520" s="1194"/>
      <c r="G520" s="1195"/>
      <c r="H520" s="1195"/>
      <c r="I520" s="1195"/>
      <c r="J520" s="1195"/>
      <c r="K520" s="1195"/>
      <c r="L520" s="1195"/>
      <c r="M520" s="1195"/>
      <c r="N520" s="1195"/>
      <c r="O520" s="1195"/>
      <c r="P520" s="1195"/>
      <c r="Q520" s="1195"/>
      <c r="R520" s="1195"/>
      <c r="S520" s="1195"/>
      <c r="T520" s="1195"/>
      <c r="U520" s="1195"/>
      <c r="V520" s="1195"/>
      <c r="W520" s="1195"/>
      <c r="X520" s="1195"/>
      <c r="Y520" s="1195"/>
      <c r="Z520" s="1195"/>
      <c r="AA520" s="1195"/>
      <c r="AB520" s="1194"/>
      <c r="AC520" s="1194"/>
      <c r="AD520" s="1194"/>
      <c r="AE520" s="1194"/>
      <c r="AF520" s="1194"/>
      <c r="AG520" s="1194"/>
      <c r="AH520" s="1194"/>
      <c r="AI520" s="1194"/>
      <c r="AJ520" s="1194"/>
    </row>
    <row r="521" spans="1:36" s="156" customFormat="1" ht="11.25">
      <c r="A521" s="1194"/>
      <c r="B521" s="1194"/>
      <c r="C521" s="1194"/>
      <c r="D521" s="1194"/>
      <c r="E521" s="1194"/>
      <c r="F521" s="1194"/>
      <c r="G521" s="1195"/>
      <c r="H521" s="1195"/>
      <c r="I521" s="1195"/>
      <c r="J521" s="1195"/>
      <c r="K521" s="1195"/>
      <c r="L521" s="1195"/>
      <c r="M521" s="1195"/>
      <c r="N521" s="1195"/>
      <c r="O521" s="1195"/>
      <c r="P521" s="1195"/>
      <c r="Q521" s="1195"/>
      <c r="R521" s="1195"/>
      <c r="S521" s="1195"/>
      <c r="T521" s="1195"/>
      <c r="U521" s="1195"/>
      <c r="V521" s="1195"/>
      <c r="W521" s="1195"/>
      <c r="X521" s="1195"/>
      <c r="Y521" s="1195"/>
      <c r="Z521" s="1195"/>
      <c r="AA521" s="1195"/>
      <c r="AB521" s="1194"/>
      <c r="AC521" s="1194"/>
      <c r="AD521" s="1194"/>
      <c r="AE521" s="1194"/>
      <c r="AF521" s="1194"/>
      <c r="AG521" s="1194"/>
      <c r="AH521" s="1194"/>
      <c r="AI521" s="1194"/>
      <c r="AJ521" s="1194"/>
    </row>
    <row r="522" spans="1:36" s="156" customFormat="1" ht="11.25">
      <c r="A522" s="1194"/>
      <c r="B522" s="1194"/>
      <c r="C522" s="1194"/>
      <c r="D522" s="1194"/>
      <c r="E522" s="1194"/>
      <c r="F522" s="1194"/>
      <c r="G522" s="1195"/>
      <c r="H522" s="1195"/>
      <c r="I522" s="1195"/>
      <c r="J522" s="1195"/>
      <c r="K522" s="1195"/>
      <c r="L522" s="1195"/>
      <c r="M522" s="1195"/>
      <c r="N522" s="1195"/>
      <c r="O522" s="1195"/>
      <c r="P522" s="1195"/>
      <c r="Q522" s="1195"/>
      <c r="R522" s="1195"/>
      <c r="S522" s="1195"/>
      <c r="T522" s="1195"/>
      <c r="U522" s="1195"/>
      <c r="V522" s="1195"/>
      <c r="W522" s="1195"/>
      <c r="X522" s="1195"/>
      <c r="Y522" s="1195"/>
      <c r="Z522" s="1195"/>
      <c r="AA522" s="1195"/>
      <c r="AB522" s="1194"/>
      <c r="AC522" s="1194"/>
      <c r="AD522" s="1194"/>
      <c r="AE522" s="1194"/>
      <c r="AF522" s="1194"/>
      <c r="AG522" s="1194"/>
      <c r="AH522" s="1194"/>
      <c r="AI522" s="1194"/>
      <c r="AJ522" s="1194"/>
    </row>
    <row r="523" spans="1:36" s="156" customFormat="1" ht="11.25">
      <c r="A523" s="1194"/>
      <c r="B523" s="1194"/>
      <c r="C523" s="1194"/>
      <c r="D523" s="1194"/>
      <c r="E523" s="1194"/>
      <c r="F523" s="1194"/>
      <c r="G523" s="1195"/>
      <c r="H523" s="1195"/>
      <c r="I523" s="1195"/>
      <c r="J523" s="1195"/>
      <c r="K523" s="1195"/>
      <c r="L523" s="1195"/>
      <c r="M523" s="1195"/>
      <c r="N523" s="1195"/>
      <c r="O523" s="1195"/>
      <c r="P523" s="1195"/>
      <c r="Q523" s="1195"/>
      <c r="R523" s="1195"/>
      <c r="S523" s="1195"/>
      <c r="T523" s="1195"/>
      <c r="U523" s="1195"/>
      <c r="V523" s="1195"/>
      <c r="W523" s="1195"/>
      <c r="X523" s="1195"/>
      <c r="Y523" s="1195"/>
      <c r="Z523" s="1195"/>
      <c r="AA523" s="1195"/>
      <c r="AB523" s="1194"/>
      <c r="AC523" s="1194"/>
      <c r="AD523" s="1194"/>
      <c r="AE523" s="1194"/>
      <c r="AF523" s="1194"/>
      <c r="AG523" s="1194"/>
      <c r="AH523" s="1194"/>
      <c r="AI523" s="1194"/>
      <c r="AJ523" s="1194"/>
    </row>
    <row r="524" spans="1:36" s="156" customFormat="1" ht="11.25">
      <c r="A524" s="1194"/>
      <c r="B524" s="1194"/>
      <c r="C524" s="1194"/>
      <c r="D524" s="1194"/>
      <c r="E524" s="1194"/>
      <c r="F524" s="1194"/>
      <c r="G524" s="1195"/>
      <c r="H524" s="1195"/>
      <c r="I524" s="1195"/>
      <c r="J524" s="1195"/>
      <c r="K524" s="1195"/>
      <c r="L524" s="1195"/>
      <c r="M524" s="1195"/>
      <c r="N524" s="1195"/>
      <c r="O524" s="1195"/>
      <c r="P524" s="1195"/>
      <c r="Q524" s="1195"/>
      <c r="R524" s="1195"/>
      <c r="S524" s="1195"/>
      <c r="T524" s="1195"/>
      <c r="U524" s="1195"/>
      <c r="V524" s="1195"/>
      <c r="W524" s="1195"/>
      <c r="X524" s="1195"/>
      <c r="Y524" s="1195"/>
      <c r="Z524" s="1195"/>
      <c r="AA524" s="1195"/>
      <c r="AB524" s="1194"/>
      <c r="AC524" s="1194"/>
      <c r="AD524" s="1194"/>
      <c r="AE524" s="1194"/>
      <c r="AF524" s="1194"/>
      <c r="AG524" s="1194"/>
      <c r="AH524" s="1194"/>
      <c r="AI524" s="1194"/>
      <c r="AJ524" s="1194"/>
    </row>
    <row r="525" spans="1:36" s="156" customFormat="1" ht="11.25">
      <c r="A525" s="1194"/>
      <c r="B525" s="1194"/>
      <c r="C525" s="1194"/>
      <c r="D525" s="1194"/>
      <c r="E525" s="1194"/>
      <c r="F525" s="1194"/>
      <c r="G525" s="1195"/>
      <c r="H525" s="1195"/>
      <c r="I525" s="1195"/>
      <c r="J525" s="1195"/>
      <c r="K525" s="1195"/>
      <c r="L525" s="1195"/>
      <c r="M525" s="1195"/>
      <c r="N525" s="1195"/>
      <c r="O525" s="1195"/>
      <c r="P525" s="1195"/>
      <c r="Q525" s="1195"/>
      <c r="R525" s="1195"/>
      <c r="S525" s="1195"/>
      <c r="T525" s="1195"/>
      <c r="U525" s="1195"/>
      <c r="V525" s="1195"/>
      <c r="W525" s="1195"/>
      <c r="X525" s="1195"/>
      <c r="Y525" s="1195"/>
      <c r="Z525" s="1195"/>
      <c r="AA525" s="1195"/>
      <c r="AB525" s="1194"/>
      <c r="AC525" s="1194"/>
      <c r="AD525" s="1194"/>
      <c r="AE525" s="1194"/>
      <c r="AF525" s="1194"/>
      <c r="AG525" s="1194"/>
      <c r="AH525" s="1194"/>
      <c r="AI525" s="1194"/>
      <c r="AJ525" s="1194"/>
    </row>
    <row r="526" spans="1:36" s="156" customFormat="1" ht="11.25">
      <c r="A526" s="1194"/>
      <c r="B526" s="1194"/>
      <c r="C526" s="1194"/>
      <c r="D526" s="1194"/>
      <c r="E526" s="1194"/>
      <c r="F526" s="1194"/>
      <c r="G526" s="1195"/>
      <c r="H526" s="1195"/>
      <c r="I526" s="1195"/>
      <c r="J526" s="1195"/>
      <c r="K526" s="1195"/>
      <c r="L526" s="1195"/>
      <c r="M526" s="1195"/>
      <c r="N526" s="1195"/>
      <c r="O526" s="1195"/>
      <c r="P526" s="1195"/>
      <c r="Q526" s="1195"/>
      <c r="R526" s="1195"/>
      <c r="S526" s="1195"/>
      <c r="T526" s="1195"/>
      <c r="U526" s="1195"/>
      <c r="V526" s="1195"/>
      <c r="W526" s="1195"/>
      <c r="X526" s="1195"/>
      <c r="Y526" s="1195"/>
      <c r="Z526" s="1195"/>
      <c r="AA526" s="1195"/>
      <c r="AB526" s="1194"/>
      <c r="AC526" s="1194"/>
      <c r="AD526" s="1194"/>
      <c r="AE526" s="1194"/>
      <c r="AF526" s="1194"/>
      <c r="AG526" s="1194"/>
      <c r="AH526" s="1194"/>
      <c r="AI526" s="1194"/>
      <c r="AJ526" s="1194"/>
    </row>
    <row r="527" spans="1:36" s="156" customFormat="1" ht="11.25">
      <c r="A527" s="1194"/>
      <c r="B527" s="1194"/>
      <c r="C527" s="1194"/>
      <c r="D527" s="1194"/>
      <c r="E527" s="1194"/>
      <c r="F527" s="1194"/>
      <c r="G527" s="1195"/>
      <c r="H527" s="1195"/>
      <c r="I527" s="1195"/>
      <c r="J527" s="1195"/>
      <c r="K527" s="1195"/>
      <c r="L527" s="1195"/>
      <c r="M527" s="1195"/>
      <c r="N527" s="1195"/>
      <c r="O527" s="1195"/>
      <c r="P527" s="1195"/>
      <c r="Q527" s="1195"/>
      <c r="R527" s="1195"/>
      <c r="S527" s="1195"/>
      <c r="T527" s="1195"/>
      <c r="U527" s="1195"/>
      <c r="V527" s="1195"/>
      <c r="W527" s="1195"/>
      <c r="X527" s="1195"/>
      <c r="Y527" s="1195"/>
      <c r="Z527" s="1195"/>
      <c r="AA527" s="1195"/>
      <c r="AB527" s="1194"/>
      <c r="AC527" s="1194"/>
      <c r="AD527" s="1194"/>
      <c r="AE527" s="1194"/>
      <c r="AF527" s="1194"/>
      <c r="AG527" s="1194"/>
      <c r="AH527" s="1194"/>
      <c r="AI527" s="1194"/>
      <c r="AJ527" s="1194"/>
    </row>
    <row r="528" spans="1:36" s="156" customFormat="1" ht="11.25">
      <c r="A528" s="1194"/>
      <c r="B528" s="1194"/>
      <c r="C528" s="1194"/>
      <c r="D528" s="1194"/>
      <c r="E528" s="1194"/>
      <c r="F528" s="1194"/>
      <c r="G528" s="1195"/>
      <c r="H528" s="1195"/>
      <c r="I528" s="1195"/>
      <c r="J528" s="1195"/>
      <c r="K528" s="1195"/>
      <c r="L528" s="1195"/>
      <c r="M528" s="1195"/>
      <c r="N528" s="1195"/>
      <c r="O528" s="1195"/>
      <c r="P528" s="1195"/>
      <c r="Q528" s="1195"/>
      <c r="R528" s="1195"/>
      <c r="S528" s="1195"/>
      <c r="T528" s="1195"/>
      <c r="U528" s="1195"/>
      <c r="V528" s="1195"/>
      <c r="W528" s="1195"/>
      <c r="X528" s="1195"/>
      <c r="Y528" s="1195"/>
      <c r="Z528" s="1195"/>
      <c r="AA528" s="1195"/>
      <c r="AB528" s="1194"/>
      <c r="AC528" s="1194"/>
      <c r="AD528" s="1194"/>
      <c r="AE528" s="1194"/>
      <c r="AF528" s="1194"/>
      <c r="AG528" s="1194"/>
      <c r="AH528" s="1194"/>
      <c r="AI528" s="1194"/>
      <c r="AJ528" s="1194"/>
    </row>
    <row r="529" spans="1:36" s="156" customFormat="1" ht="11.25">
      <c r="A529" s="1194"/>
      <c r="B529" s="1194"/>
      <c r="C529" s="1194"/>
      <c r="D529" s="1194"/>
      <c r="E529" s="1194"/>
      <c r="F529" s="1194"/>
      <c r="G529" s="1195"/>
      <c r="H529" s="1195"/>
      <c r="I529" s="1195"/>
      <c r="J529" s="1195"/>
      <c r="K529" s="1195"/>
      <c r="L529" s="1195"/>
      <c r="M529" s="1195"/>
      <c r="N529" s="1195"/>
      <c r="O529" s="1195"/>
      <c r="P529" s="1195"/>
      <c r="Q529" s="1195"/>
      <c r="R529" s="1195"/>
      <c r="S529" s="1195"/>
      <c r="T529" s="1195"/>
      <c r="U529" s="1195"/>
      <c r="V529" s="1195"/>
      <c r="W529" s="1195"/>
      <c r="X529" s="1195"/>
      <c r="Y529" s="1195"/>
      <c r="Z529" s="1195"/>
      <c r="AA529" s="1195"/>
      <c r="AB529" s="1194"/>
      <c r="AC529" s="1194"/>
      <c r="AD529" s="1194"/>
      <c r="AE529" s="1194"/>
      <c r="AF529" s="1194"/>
      <c r="AG529" s="1194"/>
      <c r="AH529" s="1194"/>
      <c r="AI529" s="1194"/>
      <c r="AJ529" s="1194"/>
    </row>
    <row r="530" spans="1:36" s="156" customFormat="1" ht="11.25">
      <c r="A530" s="1194"/>
      <c r="B530" s="1194"/>
      <c r="C530" s="1194"/>
      <c r="D530" s="1194"/>
      <c r="E530" s="1194"/>
      <c r="F530" s="1194"/>
      <c r="G530" s="1195"/>
      <c r="H530" s="1195"/>
      <c r="I530" s="1195"/>
      <c r="J530" s="1195"/>
      <c r="K530" s="1195"/>
      <c r="L530" s="1195"/>
      <c r="M530" s="1195"/>
      <c r="N530" s="1195"/>
      <c r="O530" s="1195"/>
      <c r="P530" s="1195"/>
      <c r="Q530" s="1195"/>
      <c r="R530" s="1195"/>
      <c r="S530" s="1195"/>
      <c r="T530" s="1195"/>
      <c r="U530" s="1195"/>
      <c r="V530" s="1195"/>
      <c r="W530" s="1195"/>
      <c r="X530" s="1195"/>
      <c r="Y530" s="1195"/>
      <c r="Z530" s="1195"/>
      <c r="AA530" s="1195"/>
      <c r="AB530" s="1194"/>
      <c r="AC530" s="1194"/>
      <c r="AD530" s="1194"/>
      <c r="AE530" s="1194"/>
      <c r="AF530" s="1194"/>
      <c r="AG530" s="1194"/>
      <c r="AH530" s="1194"/>
      <c r="AI530" s="1194"/>
      <c r="AJ530" s="1194"/>
    </row>
    <row r="531" spans="1:36" s="156" customFormat="1" ht="11.25">
      <c r="A531" s="1194"/>
      <c r="B531" s="1194"/>
      <c r="C531" s="1194"/>
      <c r="D531" s="1194"/>
      <c r="E531" s="1194"/>
      <c r="F531" s="1194"/>
      <c r="G531" s="1195"/>
      <c r="H531" s="1195"/>
      <c r="I531" s="1195"/>
      <c r="J531" s="1195"/>
      <c r="K531" s="1195"/>
      <c r="L531" s="1195"/>
      <c r="M531" s="1195"/>
      <c r="N531" s="1195"/>
      <c r="O531" s="1195"/>
      <c r="P531" s="1195"/>
      <c r="Q531" s="1195"/>
      <c r="R531" s="1195"/>
      <c r="S531" s="1195"/>
      <c r="T531" s="1195"/>
      <c r="U531" s="1195"/>
      <c r="V531" s="1195"/>
      <c r="W531" s="1195"/>
      <c r="X531" s="1195"/>
      <c r="Y531" s="1195"/>
      <c r="Z531" s="1195"/>
      <c r="AA531" s="1195"/>
      <c r="AB531" s="1194"/>
      <c r="AC531" s="1194"/>
      <c r="AD531" s="1194"/>
      <c r="AE531" s="1194"/>
      <c r="AF531" s="1194"/>
      <c r="AG531" s="1194"/>
      <c r="AH531" s="1194"/>
      <c r="AI531" s="1194"/>
      <c r="AJ531" s="1194"/>
    </row>
    <row r="532" spans="1:36" s="156" customFormat="1" ht="11.25">
      <c r="A532" s="1194"/>
      <c r="B532" s="1194"/>
      <c r="C532" s="1194"/>
      <c r="D532" s="1194"/>
      <c r="E532" s="1194"/>
      <c r="F532" s="1194"/>
      <c r="G532" s="1195"/>
      <c r="H532" s="1195"/>
      <c r="I532" s="1195"/>
      <c r="J532" s="1195"/>
      <c r="K532" s="1195"/>
      <c r="L532" s="1195"/>
      <c r="M532" s="1195"/>
      <c r="N532" s="1195"/>
      <c r="O532" s="1195"/>
      <c r="P532" s="1195"/>
      <c r="Q532" s="1195"/>
      <c r="R532" s="1195"/>
      <c r="S532" s="1195"/>
      <c r="T532" s="1195"/>
      <c r="U532" s="1195"/>
      <c r="V532" s="1195"/>
      <c r="W532" s="1195"/>
      <c r="X532" s="1195"/>
      <c r="Y532" s="1195"/>
      <c r="Z532" s="1195"/>
      <c r="AA532" s="1195"/>
      <c r="AB532" s="1194"/>
      <c r="AC532" s="1194"/>
      <c r="AD532" s="1194"/>
      <c r="AE532" s="1194"/>
      <c r="AF532" s="1194"/>
      <c r="AG532" s="1194"/>
      <c r="AH532" s="1194"/>
      <c r="AI532" s="1194"/>
      <c r="AJ532" s="1194"/>
    </row>
    <row r="533" spans="1:36" s="156" customFormat="1" ht="11.25">
      <c r="A533" s="1194"/>
      <c r="B533" s="1194"/>
      <c r="C533" s="1194"/>
      <c r="D533" s="1194"/>
      <c r="E533" s="1194"/>
      <c r="F533" s="1194"/>
      <c r="G533" s="1195"/>
      <c r="H533" s="1195"/>
      <c r="I533" s="1195"/>
      <c r="J533" s="1195"/>
      <c r="K533" s="1195"/>
      <c r="L533" s="1195"/>
      <c r="M533" s="1195"/>
      <c r="N533" s="1195"/>
      <c r="O533" s="1195"/>
      <c r="P533" s="1195"/>
      <c r="Q533" s="1195"/>
      <c r="R533" s="1195"/>
      <c r="S533" s="1195"/>
      <c r="T533" s="1195"/>
      <c r="U533" s="1195"/>
      <c r="V533" s="1195"/>
      <c r="W533" s="1195"/>
      <c r="X533" s="1195"/>
      <c r="Y533" s="1195"/>
      <c r="Z533" s="1195"/>
      <c r="AA533" s="1195"/>
      <c r="AB533" s="1194"/>
      <c r="AC533" s="1194"/>
      <c r="AD533" s="1194"/>
      <c r="AE533" s="1194"/>
      <c r="AF533" s="1194"/>
      <c r="AG533" s="1194"/>
      <c r="AH533" s="1194"/>
      <c r="AI533" s="1194"/>
      <c r="AJ533" s="1194"/>
    </row>
    <row r="534" spans="1:36" s="156" customFormat="1" ht="11.25">
      <c r="A534" s="1194"/>
      <c r="B534" s="1194"/>
      <c r="C534" s="1194"/>
      <c r="D534" s="1194"/>
      <c r="E534" s="1194"/>
      <c r="F534" s="1194"/>
      <c r="G534" s="1195"/>
      <c r="H534" s="1195"/>
      <c r="I534" s="1195"/>
      <c r="J534" s="1195"/>
      <c r="K534" s="1195"/>
      <c r="L534" s="1195"/>
      <c r="M534" s="1195"/>
      <c r="N534" s="1195"/>
      <c r="O534" s="1195"/>
      <c r="P534" s="1195"/>
      <c r="Q534" s="1195"/>
      <c r="R534" s="1195"/>
      <c r="S534" s="1195"/>
      <c r="T534" s="1195"/>
      <c r="U534" s="1195"/>
      <c r="V534" s="1195"/>
      <c r="W534" s="1195"/>
      <c r="X534" s="1195"/>
      <c r="Y534" s="1195"/>
      <c r="Z534" s="1195"/>
      <c r="AA534" s="1195"/>
      <c r="AB534" s="1194"/>
      <c r="AC534" s="1194"/>
      <c r="AD534" s="1194"/>
      <c r="AE534" s="1194"/>
      <c r="AF534" s="1194"/>
      <c r="AG534" s="1194"/>
      <c r="AH534" s="1194"/>
      <c r="AI534" s="1194"/>
      <c r="AJ534" s="1194"/>
    </row>
    <row r="535" spans="1:36" s="156" customFormat="1" ht="11.25">
      <c r="A535" s="1194"/>
      <c r="B535" s="1194"/>
      <c r="C535" s="1194"/>
      <c r="D535" s="1194"/>
      <c r="E535" s="1194"/>
      <c r="F535" s="1194"/>
      <c r="G535" s="1195"/>
      <c r="H535" s="1195"/>
      <c r="I535" s="1195"/>
      <c r="J535" s="1195"/>
      <c r="K535" s="1195"/>
      <c r="L535" s="1195"/>
      <c r="M535" s="1195"/>
      <c r="N535" s="1195"/>
      <c r="O535" s="1195"/>
      <c r="P535" s="1195"/>
      <c r="Q535" s="1195"/>
      <c r="R535" s="1195"/>
      <c r="S535" s="1195"/>
      <c r="T535" s="1195"/>
      <c r="U535" s="1195"/>
      <c r="V535" s="1195"/>
      <c r="W535" s="1195"/>
      <c r="X535" s="1195"/>
      <c r="Y535" s="1195"/>
      <c r="Z535" s="1195"/>
      <c r="AA535" s="1195"/>
      <c r="AB535" s="1194"/>
      <c r="AC535" s="1194"/>
      <c r="AD535" s="1194"/>
      <c r="AE535" s="1194"/>
      <c r="AF535" s="1194"/>
      <c r="AG535" s="1194"/>
      <c r="AH535" s="1194"/>
      <c r="AI535" s="1194"/>
      <c r="AJ535" s="1194"/>
    </row>
    <row r="536" spans="1:36" s="156" customFormat="1" ht="11.25">
      <c r="A536" s="1194"/>
      <c r="B536" s="1194"/>
      <c r="C536" s="1194"/>
      <c r="D536" s="1194"/>
      <c r="E536" s="1194"/>
      <c r="F536" s="1194"/>
      <c r="G536" s="1195"/>
      <c r="H536" s="1195"/>
      <c r="I536" s="1195"/>
      <c r="J536" s="1195"/>
      <c r="K536" s="1195"/>
      <c r="L536" s="1195"/>
      <c r="M536" s="1195"/>
      <c r="N536" s="1195"/>
      <c r="O536" s="1195"/>
      <c r="P536" s="1195"/>
      <c r="Q536" s="1195"/>
      <c r="R536" s="1195"/>
      <c r="S536" s="1195"/>
      <c r="T536" s="1195"/>
      <c r="U536" s="1195"/>
      <c r="V536" s="1195"/>
      <c r="W536" s="1195"/>
      <c r="X536" s="1195"/>
      <c r="Y536" s="1195"/>
      <c r="Z536" s="1195"/>
      <c r="AA536" s="1195"/>
      <c r="AB536" s="1194"/>
      <c r="AC536" s="1194"/>
      <c r="AD536" s="1194"/>
      <c r="AE536" s="1194"/>
      <c r="AF536" s="1194"/>
      <c r="AG536" s="1194"/>
      <c r="AH536" s="1194"/>
      <c r="AI536" s="1194"/>
      <c r="AJ536" s="1194"/>
    </row>
    <row r="537" spans="1:36" s="156" customFormat="1" ht="11.25">
      <c r="A537" s="1194"/>
      <c r="B537" s="1194"/>
      <c r="C537" s="1194"/>
      <c r="D537" s="1194"/>
      <c r="E537" s="1194"/>
      <c r="F537" s="1194"/>
      <c r="G537" s="1195"/>
      <c r="H537" s="1195"/>
      <c r="I537" s="1195"/>
      <c r="J537" s="1195"/>
      <c r="K537" s="1195"/>
      <c r="L537" s="1195"/>
      <c r="M537" s="1195"/>
      <c r="N537" s="1195"/>
      <c r="O537" s="1195"/>
      <c r="P537" s="1195"/>
      <c r="Q537" s="1195"/>
      <c r="R537" s="1195"/>
      <c r="S537" s="1195"/>
      <c r="T537" s="1195"/>
      <c r="U537" s="1195"/>
      <c r="V537" s="1195"/>
      <c r="W537" s="1195"/>
      <c r="X537" s="1195"/>
      <c r="Y537" s="1195"/>
      <c r="Z537" s="1195"/>
      <c r="AA537" s="1195"/>
      <c r="AB537" s="1194"/>
      <c r="AC537" s="1194"/>
      <c r="AD537" s="1194"/>
      <c r="AE537" s="1194"/>
      <c r="AF537" s="1194"/>
      <c r="AG537" s="1194"/>
      <c r="AH537" s="1194"/>
      <c r="AI537" s="1194"/>
      <c r="AJ537" s="1194"/>
    </row>
    <row r="538" spans="1:36" s="156" customFormat="1" ht="11.25">
      <c r="A538" s="1194"/>
      <c r="B538" s="1194"/>
      <c r="C538" s="1194"/>
      <c r="D538" s="1194"/>
      <c r="E538" s="1194"/>
      <c r="F538" s="1194"/>
      <c r="G538" s="1195"/>
      <c r="H538" s="1195"/>
      <c r="I538" s="1195"/>
      <c r="J538" s="1195"/>
      <c r="K538" s="1195"/>
      <c r="L538" s="1195"/>
      <c r="M538" s="1195"/>
      <c r="N538" s="1195"/>
      <c r="O538" s="1195"/>
      <c r="P538" s="1195"/>
      <c r="Q538" s="1195"/>
      <c r="R538" s="1195"/>
      <c r="S538" s="1195"/>
      <c r="T538" s="1195"/>
      <c r="U538" s="1195"/>
      <c r="V538" s="1195"/>
      <c r="W538" s="1195"/>
      <c r="X538" s="1195"/>
      <c r="Y538" s="1195"/>
      <c r="Z538" s="1195"/>
      <c r="AA538" s="1195"/>
      <c r="AB538" s="1194"/>
      <c r="AC538" s="1194"/>
      <c r="AD538" s="1194"/>
      <c r="AE538" s="1194"/>
      <c r="AF538" s="1194"/>
      <c r="AG538" s="1194"/>
      <c r="AH538" s="1194"/>
      <c r="AI538" s="1194"/>
      <c r="AJ538" s="1194"/>
    </row>
    <row r="539" spans="1:36" s="156" customFormat="1" ht="11.25">
      <c r="A539" s="1194"/>
      <c r="B539" s="1194"/>
      <c r="C539" s="1194"/>
      <c r="D539" s="1194"/>
      <c r="E539" s="1194"/>
      <c r="F539" s="1194"/>
      <c r="G539" s="1195"/>
      <c r="H539" s="1195"/>
      <c r="I539" s="1195"/>
      <c r="J539" s="1195"/>
      <c r="K539" s="1195"/>
      <c r="L539" s="1195"/>
      <c r="M539" s="1195"/>
      <c r="N539" s="1195"/>
      <c r="O539" s="1195"/>
      <c r="P539" s="1195"/>
      <c r="Q539" s="1195"/>
      <c r="R539" s="1195"/>
      <c r="S539" s="1195"/>
      <c r="T539" s="1195"/>
      <c r="U539" s="1195"/>
      <c r="V539" s="1195"/>
      <c r="W539" s="1195"/>
      <c r="X539" s="1195"/>
      <c r="Y539" s="1195"/>
      <c r="Z539" s="1195"/>
      <c r="AA539" s="1195"/>
      <c r="AB539" s="1194"/>
      <c r="AC539" s="1194"/>
      <c r="AD539" s="1194"/>
      <c r="AE539" s="1194"/>
      <c r="AF539" s="1194"/>
      <c r="AG539" s="1194"/>
      <c r="AH539" s="1194"/>
      <c r="AI539" s="1194"/>
      <c r="AJ539" s="1194"/>
    </row>
    <row r="540" spans="1:36" s="156" customFormat="1" ht="11.25">
      <c r="A540" s="1194"/>
      <c r="B540" s="1194"/>
      <c r="C540" s="1194"/>
      <c r="D540" s="1194"/>
      <c r="E540" s="1194"/>
      <c r="F540" s="1194"/>
      <c r="G540" s="1195"/>
      <c r="H540" s="1195"/>
      <c r="I540" s="1195"/>
      <c r="J540" s="1195"/>
      <c r="K540" s="1195"/>
      <c r="L540" s="1195"/>
      <c r="M540" s="1195"/>
      <c r="N540" s="1195"/>
      <c r="O540" s="1195"/>
      <c r="P540" s="1195"/>
      <c r="Q540" s="1195"/>
      <c r="R540" s="1195"/>
      <c r="S540" s="1195"/>
      <c r="T540" s="1195"/>
      <c r="U540" s="1195"/>
      <c r="V540" s="1195"/>
      <c r="W540" s="1195"/>
      <c r="X540" s="1195"/>
      <c r="Y540" s="1195"/>
      <c r="Z540" s="1195"/>
      <c r="AA540" s="1195"/>
      <c r="AB540" s="1194"/>
      <c r="AC540" s="1194"/>
      <c r="AD540" s="1194"/>
      <c r="AE540" s="1194"/>
      <c r="AF540" s="1194"/>
      <c r="AG540" s="1194"/>
      <c r="AH540" s="1194"/>
      <c r="AI540" s="1194"/>
      <c r="AJ540" s="1194"/>
    </row>
    <row r="541" spans="1:36" s="156" customFormat="1" ht="11.25">
      <c r="A541" s="1194"/>
      <c r="B541" s="1194"/>
      <c r="C541" s="1194"/>
      <c r="D541" s="1194"/>
      <c r="E541" s="1194"/>
      <c r="F541" s="1194"/>
      <c r="G541" s="1195"/>
      <c r="H541" s="1195"/>
      <c r="I541" s="1195"/>
      <c r="J541" s="1195"/>
      <c r="K541" s="1195"/>
      <c r="L541" s="1195"/>
      <c r="M541" s="1195"/>
      <c r="N541" s="1195"/>
      <c r="O541" s="1195"/>
      <c r="P541" s="1195"/>
      <c r="Q541" s="1195"/>
      <c r="R541" s="1195"/>
      <c r="S541" s="1195"/>
      <c r="T541" s="1195"/>
      <c r="U541" s="1195"/>
      <c r="V541" s="1195"/>
      <c r="W541" s="1195"/>
      <c r="X541" s="1195"/>
      <c r="Y541" s="1195"/>
      <c r="Z541" s="1195"/>
      <c r="AA541" s="1195"/>
      <c r="AB541" s="1194"/>
      <c r="AC541" s="1194"/>
      <c r="AD541" s="1194"/>
      <c r="AE541" s="1194"/>
      <c r="AF541" s="1194"/>
      <c r="AG541" s="1194"/>
      <c r="AH541" s="1194"/>
      <c r="AI541" s="1194"/>
      <c r="AJ541" s="1194"/>
    </row>
    <row r="542" spans="1:36" s="156" customFormat="1" ht="11.25">
      <c r="A542" s="1194"/>
      <c r="B542" s="1194"/>
      <c r="C542" s="1194"/>
      <c r="D542" s="1194"/>
      <c r="E542" s="1194"/>
      <c r="F542" s="1194"/>
      <c r="G542" s="1195"/>
      <c r="H542" s="1195"/>
      <c r="I542" s="1195"/>
      <c r="J542" s="1195"/>
      <c r="K542" s="1195"/>
      <c r="L542" s="1195"/>
      <c r="M542" s="1195"/>
      <c r="N542" s="1195"/>
      <c r="O542" s="1195"/>
      <c r="P542" s="1195"/>
      <c r="Q542" s="1195"/>
      <c r="R542" s="1195"/>
      <c r="S542" s="1195"/>
      <c r="T542" s="1195"/>
      <c r="U542" s="1195"/>
      <c r="V542" s="1195"/>
      <c r="W542" s="1195"/>
      <c r="X542" s="1195"/>
      <c r="Y542" s="1195"/>
      <c r="Z542" s="1195"/>
      <c r="AA542" s="1195"/>
      <c r="AB542" s="1194"/>
      <c r="AC542" s="1194"/>
      <c r="AD542" s="1194"/>
      <c r="AE542" s="1194"/>
      <c r="AF542" s="1194"/>
      <c r="AG542" s="1194"/>
      <c r="AH542" s="1194"/>
      <c r="AI542" s="1194"/>
      <c r="AJ542" s="1194"/>
    </row>
    <row r="543" spans="1:36" s="156" customFormat="1" ht="11.25">
      <c r="A543" s="1194"/>
      <c r="B543" s="1194"/>
      <c r="C543" s="1194"/>
      <c r="D543" s="1194"/>
      <c r="E543" s="1194"/>
      <c r="F543" s="1194"/>
      <c r="G543" s="1195"/>
      <c r="H543" s="1195"/>
      <c r="I543" s="1195"/>
      <c r="J543" s="1195"/>
      <c r="K543" s="1195"/>
      <c r="L543" s="1195"/>
      <c r="M543" s="1195"/>
      <c r="N543" s="1195"/>
      <c r="O543" s="1195"/>
      <c r="P543" s="1195"/>
      <c r="Q543" s="1195"/>
      <c r="R543" s="1195"/>
      <c r="S543" s="1195"/>
      <c r="T543" s="1195"/>
      <c r="U543" s="1195"/>
      <c r="V543" s="1195"/>
      <c r="W543" s="1195"/>
      <c r="X543" s="1195"/>
      <c r="Y543" s="1195"/>
      <c r="Z543" s="1195"/>
      <c r="AA543" s="1195"/>
      <c r="AB543" s="1194"/>
      <c r="AC543" s="1194"/>
      <c r="AD543" s="1194"/>
      <c r="AE543" s="1194"/>
      <c r="AF543" s="1194"/>
      <c r="AG543" s="1194"/>
      <c r="AH543" s="1194"/>
      <c r="AI543" s="1194"/>
      <c r="AJ543" s="1194"/>
    </row>
    <row r="544" spans="1:36" s="156" customFormat="1" ht="11.25">
      <c r="A544" s="1194"/>
      <c r="B544" s="1194"/>
      <c r="C544" s="1194"/>
      <c r="D544" s="1194"/>
      <c r="E544" s="1194"/>
      <c r="F544" s="1194"/>
      <c r="G544" s="1195"/>
      <c r="H544" s="1195"/>
      <c r="I544" s="1195"/>
      <c r="J544" s="1195"/>
      <c r="K544" s="1195"/>
      <c r="L544" s="1195"/>
      <c r="M544" s="1195"/>
      <c r="N544" s="1195"/>
      <c r="O544" s="1195"/>
      <c r="P544" s="1195"/>
      <c r="Q544" s="1195"/>
      <c r="R544" s="1195"/>
      <c r="S544" s="1195"/>
      <c r="T544" s="1195"/>
      <c r="U544" s="1195"/>
      <c r="V544" s="1195"/>
      <c r="W544" s="1195"/>
      <c r="X544" s="1195"/>
      <c r="Y544" s="1195"/>
      <c r="Z544" s="1195"/>
      <c r="AA544" s="1195"/>
      <c r="AB544" s="1194"/>
      <c r="AC544" s="1194"/>
      <c r="AD544" s="1194"/>
      <c r="AE544" s="1194"/>
      <c r="AF544" s="1194"/>
      <c r="AG544" s="1194"/>
      <c r="AH544" s="1194"/>
      <c r="AI544" s="1194"/>
      <c r="AJ544" s="1194"/>
    </row>
    <row r="545" spans="1:36" s="156" customFormat="1" ht="11.25">
      <c r="A545" s="1194"/>
      <c r="B545" s="1194"/>
      <c r="C545" s="1194"/>
      <c r="D545" s="1194"/>
      <c r="E545" s="1194"/>
      <c r="F545" s="1194"/>
      <c r="G545" s="1195"/>
      <c r="H545" s="1195"/>
      <c r="I545" s="1195"/>
      <c r="J545" s="1195"/>
      <c r="K545" s="1195"/>
      <c r="L545" s="1195"/>
      <c r="M545" s="1195"/>
      <c r="N545" s="1195"/>
      <c r="O545" s="1195"/>
      <c r="P545" s="1195"/>
      <c r="Q545" s="1195"/>
      <c r="R545" s="1195"/>
      <c r="S545" s="1195"/>
      <c r="T545" s="1195"/>
      <c r="U545" s="1195"/>
      <c r="V545" s="1195"/>
      <c r="W545" s="1195"/>
      <c r="X545" s="1195"/>
      <c r="Y545" s="1195"/>
      <c r="Z545" s="1195"/>
      <c r="AA545" s="1195"/>
      <c r="AB545" s="1194"/>
      <c r="AC545" s="1194"/>
      <c r="AD545" s="1194"/>
      <c r="AE545" s="1194"/>
      <c r="AF545" s="1194"/>
      <c r="AG545" s="1194"/>
      <c r="AH545" s="1194"/>
      <c r="AI545" s="1194"/>
      <c r="AJ545" s="1194"/>
    </row>
    <row r="546" spans="1:36" s="156" customFormat="1" ht="11.25">
      <c r="A546" s="1194"/>
      <c r="B546" s="1194"/>
      <c r="C546" s="1194"/>
      <c r="D546" s="1194"/>
      <c r="E546" s="1194"/>
      <c r="F546" s="1194"/>
      <c r="G546" s="1195"/>
      <c r="H546" s="1195"/>
      <c r="I546" s="1195"/>
      <c r="J546" s="1195"/>
      <c r="K546" s="1195"/>
      <c r="L546" s="1195"/>
      <c r="M546" s="1195"/>
      <c r="N546" s="1195"/>
      <c r="O546" s="1195"/>
      <c r="P546" s="1195"/>
      <c r="Q546" s="1195"/>
      <c r="R546" s="1195"/>
      <c r="S546" s="1195"/>
      <c r="T546" s="1195"/>
      <c r="U546" s="1195"/>
      <c r="V546" s="1195"/>
      <c r="W546" s="1195"/>
      <c r="X546" s="1195"/>
      <c r="Y546" s="1195"/>
      <c r="Z546" s="1195"/>
      <c r="AA546" s="1195"/>
      <c r="AB546" s="1194"/>
      <c r="AC546" s="1194"/>
      <c r="AD546" s="1194"/>
      <c r="AE546" s="1194"/>
      <c r="AF546" s="1194"/>
      <c r="AG546" s="1194"/>
      <c r="AH546" s="1194"/>
      <c r="AI546" s="1194"/>
      <c r="AJ546" s="1194"/>
    </row>
    <row r="547" spans="1:36" s="156" customFormat="1" ht="11.25">
      <c r="A547" s="1194"/>
      <c r="B547" s="1194"/>
      <c r="C547" s="1194"/>
      <c r="D547" s="1194"/>
      <c r="E547" s="1194"/>
      <c r="F547" s="1194"/>
      <c r="G547" s="1195"/>
      <c r="H547" s="1195"/>
      <c r="I547" s="1195"/>
      <c r="J547" s="1195"/>
      <c r="K547" s="1195"/>
      <c r="L547" s="1195"/>
      <c r="M547" s="1195"/>
      <c r="N547" s="1195"/>
      <c r="O547" s="1195"/>
      <c r="P547" s="1195"/>
      <c r="Q547" s="1195"/>
      <c r="R547" s="1195"/>
      <c r="S547" s="1195"/>
      <c r="T547" s="1195"/>
      <c r="U547" s="1195"/>
      <c r="V547" s="1195"/>
      <c r="W547" s="1195"/>
      <c r="X547" s="1195"/>
      <c r="Y547" s="1195"/>
      <c r="Z547" s="1195"/>
      <c r="AA547" s="1195"/>
      <c r="AB547" s="1194"/>
      <c r="AC547" s="1194"/>
      <c r="AD547" s="1194"/>
      <c r="AE547" s="1194"/>
      <c r="AF547" s="1194"/>
      <c r="AG547" s="1194"/>
      <c r="AH547" s="1194"/>
      <c r="AI547" s="1194"/>
      <c r="AJ547" s="1194"/>
    </row>
    <row r="548" spans="1:36" s="156" customFormat="1" ht="11.25">
      <c r="A548" s="1194"/>
      <c r="B548" s="1194"/>
      <c r="C548" s="1194"/>
      <c r="D548" s="1194"/>
      <c r="E548" s="1194"/>
      <c r="F548" s="1194"/>
      <c r="G548" s="1195"/>
      <c r="H548" s="1195"/>
      <c r="I548" s="1195"/>
      <c r="J548" s="1195"/>
      <c r="K548" s="1195"/>
      <c r="L548" s="1195"/>
      <c r="M548" s="1195"/>
      <c r="N548" s="1195"/>
      <c r="O548" s="1195"/>
      <c r="P548" s="1195"/>
      <c r="Q548" s="1195"/>
      <c r="R548" s="1195"/>
      <c r="S548" s="1195"/>
      <c r="T548" s="1195"/>
      <c r="U548" s="1195"/>
      <c r="V548" s="1195"/>
      <c r="W548" s="1195"/>
      <c r="X548" s="1195"/>
      <c r="Y548" s="1195"/>
      <c r="Z548" s="1195"/>
      <c r="AA548" s="1195"/>
      <c r="AB548" s="1194"/>
      <c r="AC548" s="1194"/>
      <c r="AD548" s="1194"/>
      <c r="AE548" s="1194"/>
      <c r="AF548" s="1194"/>
      <c r="AG548" s="1194"/>
      <c r="AH548" s="1194"/>
      <c r="AI548" s="1194"/>
      <c r="AJ548" s="1194"/>
    </row>
    <row r="549" spans="1:36" s="156" customFormat="1" ht="11.25">
      <c r="A549" s="1194"/>
      <c r="B549" s="1194"/>
      <c r="C549" s="1194"/>
      <c r="D549" s="1194"/>
      <c r="E549" s="1194"/>
      <c r="F549" s="1194"/>
      <c r="G549" s="1195"/>
      <c r="H549" s="1195"/>
      <c r="I549" s="1195"/>
      <c r="J549" s="1195"/>
      <c r="K549" s="1195"/>
      <c r="L549" s="1195"/>
      <c r="M549" s="1195"/>
      <c r="N549" s="1195"/>
      <c r="O549" s="1195"/>
      <c r="P549" s="1195"/>
      <c r="Q549" s="1195"/>
      <c r="R549" s="1195"/>
      <c r="S549" s="1195"/>
      <c r="T549" s="1195"/>
      <c r="U549" s="1195"/>
      <c r="V549" s="1195"/>
      <c r="W549" s="1195"/>
      <c r="X549" s="1195"/>
      <c r="Y549" s="1195"/>
      <c r="Z549" s="1195"/>
      <c r="AA549" s="1195"/>
      <c r="AB549" s="1194"/>
      <c r="AC549" s="1194"/>
      <c r="AD549" s="1194"/>
      <c r="AE549" s="1194"/>
      <c r="AF549" s="1194"/>
      <c r="AG549" s="1194"/>
      <c r="AH549" s="1194"/>
      <c r="AI549" s="1194"/>
      <c r="AJ549" s="1194"/>
    </row>
    <row r="550" spans="1:36" s="156" customFormat="1" ht="11.25">
      <c r="A550" s="1194"/>
      <c r="B550" s="1194"/>
      <c r="C550" s="1194"/>
      <c r="D550" s="1194"/>
      <c r="E550" s="1194"/>
      <c r="F550" s="1194"/>
      <c r="G550" s="1195"/>
      <c r="H550" s="1195"/>
      <c r="I550" s="1195"/>
      <c r="J550" s="1195"/>
      <c r="K550" s="1195"/>
      <c r="L550" s="1195"/>
      <c r="M550" s="1195"/>
      <c r="N550" s="1195"/>
      <c r="O550" s="1195"/>
      <c r="P550" s="1195"/>
      <c r="Q550" s="1195"/>
      <c r="R550" s="1195"/>
      <c r="S550" s="1195"/>
      <c r="T550" s="1195"/>
      <c r="U550" s="1195"/>
      <c r="V550" s="1195"/>
      <c r="W550" s="1195"/>
      <c r="X550" s="1195"/>
      <c r="Y550" s="1195"/>
      <c r="Z550" s="1195"/>
      <c r="AA550" s="1195"/>
      <c r="AB550" s="1194"/>
      <c r="AC550" s="1194"/>
      <c r="AD550" s="1194"/>
      <c r="AE550" s="1194"/>
      <c r="AF550" s="1194"/>
      <c r="AG550" s="1194"/>
      <c r="AH550" s="1194"/>
      <c r="AI550" s="1194"/>
      <c r="AJ550" s="1194"/>
    </row>
    <row r="551" spans="1:36" s="156" customFormat="1" ht="11.25">
      <c r="A551" s="1194"/>
      <c r="B551" s="1194"/>
      <c r="C551" s="1194"/>
      <c r="D551" s="1194"/>
      <c r="E551" s="1194"/>
      <c r="F551" s="1194"/>
      <c r="G551" s="1195"/>
      <c r="H551" s="1195"/>
      <c r="I551" s="1195"/>
      <c r="J551" s="1195"/>
      <c r="K551" s="1195"/>
      <c r="L551" s="1195"/>
      <c r="M551" s="1195"/>
      <c r="N551" s="1195"/>
      <c r="O551" s="1195"/>
      <c r="P551" s="1195"/>
      <c r="Q551" s="1195"/>
      <c r="R551" s="1195"/>
      <c r="S551" s="1195"/>
      <c r="T551" s="1195"/>
      <c r="U551" s="1195"/>
      <c r="V551" s="1195"/>
      <c r="W551" s="1195"/>
      <c r="X551" s="1195"/>
      <c r="Y551" s="1195"/>
      <c r="Z551" s="1195"/>
      <c r="AA551" s="1195"/>
      <c r="AB551" s="1194"/>
      <c r="AC551" s="1194"/>
      <c r="AD551" s="1194"/>
      <c r="AE551" s="1194"/>
      <c r="AF551" s="1194"/>
      <c r="AG551" s="1194"/>
      <c r="AH551" s="1194"/>
      <c r="AI551" s="1194"/>
      <c r="AJ551" s="1194"/>
    </row>
    <row r="552" spans="1:36" s="156" customFormat="1" ht="11.25">
      <c r="A552" s="1194"/>
      <c r="B552" s="1194"/>
      <c r="C552" s="1194"/>
      <c r="D552" s="1194"/>
      <c r="E552" s="1194"/>
      <c r="F552" s="1194"/>
      <c r="G552" s="1195"/>
      <c r="H552" s="1195"/>
      <c r="I552" s="1195"/>
      <c r="J552" s="1195"/>
      <c r="K552" s="1195"/>
      <c r="L552" s="1195"/>
      <c r="M552" s="1195"/>
      <c r="N552" s="1195"/>
      <c r="O552" s="1195"/>
      <c r="P552" s="1195"/>
      <c r="Q552" s="1195"/>
      <c r="R552" s="1195"/>
      <c r="S552" s="1195"/>
      <c r="T552" s="1195"/>
      <c r="U552" s="1195"/>
      <c r="V552" s="1195"/>
      <c r="W552" s="1195"/>
      <c r="X552" s="1195"/>
      <c r="Y552" s="1195"/>
      <c r="Z552" s="1195"/>
      <c r="AA552" s="1195"/>
      <c r="AB552" s="1194"/>
      <c r="AC552" s="1194"/>
      <c r="AD552" s="1194"/>
      <c r="AE552" s="1194"/>
      <c r="AF552" s="1194"/>
      <c r="AG552" s="1194"/>
      <c r="AH552" s="1194"/>
      <c r="AI552" s="1194"/>
      <c r="AJ552" s="1194"/>
    </row>
    <row r="553" spans="1:36" s="156" customFormat="1" ht="11.25">
      <c r="A553" s="1194"/>
      <c r="B553" s="1194"/>
      <c r="C553" s="1194"/>
      <c r="D553" s="1194"/>
      <c r="E553" s="1194"/>
      <c r="F553" s="1194"/>
      <c r="G553" s="1195"/>
      <c r="H553" s="1195"/>
      <c r="I553" s="1195"/>
      <c r="J553" s="1195"/>
      <c r="K553" s="1195"/>
      <c r="L553" s="1195"/>
      <c r="M553" s="1195"/>
      <c r="N553" s="1195"/>
      <c r="O553" s="1195"/>
      <c r="P553" s="1195"/>
      <c r="Q553" s="1195"/>
      <c r="R553" s="1195"/>
      <c r="S553" s="1195"/>
      <c r="T553" s="1195"/>
      <c r="U553" s="1195"/>
      <c r="V553" s="1195"/>
      <c r="W553" s="1195"/>
      <c r="X553" s="1195"/>
      <c r="Y553" s="1195"/>
      <c r="Z553" s="1195"/>
      <c r="AA553" s="1195"/>
      <c r="AB553" s="1194"/>
      <c r="AC553" s="1194"/>
      <c r="AD553" s="1194"/>
      <c r="AE553" s="1194"/>
      <c r="AF553" s="1194"/>
      <c r="AG553" s="1194"/>
      <c r="AH553" s="1194"/>
      <c r="AI553" s="1194"/>
      <c r="AJ553" s="1194"/>
    </row>
    <row r="554" spans="1:36" s="156" customFormat="1" ht="11.25">
      <c r="A554" s="1194"/>
      <c r="B554" s="1194"/>
      <c r="C554" s="1194"/>
      <c r="D554" s="1194"/>
      <c r="E554" s="1194"/>
      <c r="F554" s="1194"/>
      <c r="G554" s="1195"/>
      <c r="H554" s="1195"/>
      <c r="I554" s="1195"/>
      <c r="J554" s="1195"/>
      <c r="K554" s="1195"/>
      <c r="L554" s="1195"/>
      <c r="M554" s="1195"/>
      <c r="N554" s="1195"/>
      <c r="O554" s="1195"/>
      <c r="P554" s="1195"/>
      <c r="Q554" s="1195"/>
      <c r="R554" s="1195"/>
      <c r="S554" s="1195"/>
      <c r="T554" s="1195"/>
      <c r="U554" s="1195"/>
      <c r="V554" s="1195"/>
      <c r="W554" s="1195"/>
      <c r="X554" s="1195"/>
      <c r="Y554" s="1195"/>
      <c r="Z554" s="1195"/>
      <c r="AA554" s="1195"/>
      <c r="AB554" s="1194"/>
      <c r="AC554" s="1194"/>
      <c r="AD554" s="1194"/>
      <c r="AE554" s="1194"/>
      <c r="AF554" s="1194"/>
      <c r="AG554" s="1194"/>
      <c r="AH554" s="1194"/>
      <c r="AI554" s="1194"/>
      <c r="AJ554" s="1194"/>
    </row>
    <row r="555" spans="1:36" s="156" customFormat="1" ht="11.25">
      <c r="A555" s="1194"/>
      <c r="B555" s="1194"/>
      <c r="C555" s="1194"/>
      <c r="D555" s="1194"/>
      <c r="E555" s="1194"/>
      <c r="F555" s="1194"/>
      <c r="G555" s="1195"/>
      <c r="H555" s="1195"/>
      <c r="I555" s="1195"/>
      <c r="J555" s="1195"/>
      <c r="K555" s="1195"/>
      <c r="L555" s="1195"/>
      <c r="M555" s="1195"/>
      <c r="N555" s="1195"/>
      <c r="O555" s="1195"/>
      <c r="P555" s="1195"/>
      <c r="Q555" s="1195"/>
      <c r="R555" s="1195"/>
      <c r="S555" s="1195"/>
      <c r="T555" s="1195"/>
      <c r="U555" s="1195"/>
      <c r="V555" s="1195"/>
      <c r="W555" s="1195"/>
      <c r="X555" s="1195"/>
      <c r="Y555" s="1195"/>
      <c r="Z555" s="1195"/>
      <c r="AA555" s="1195"/>
      <c r="AB555" s="1194"/>
      <c r="AC555" s="1194"/>
      <c r="AD555" s="1194"/>
      <c r="AE555" s="1194"/>
      <c r="AF555" s="1194"/>
      <c r="AG555" s="1194"/>
      <c r="AH555" s="1194"/>
      <c r="AI555" s="1194"/>
      <c r="AJ555" s="1194"/>
    </row>
    <row r="556" spans="1:36" s="156" customFormat="1" ht="11.25">
      <c r="A556" s="1194"/>
      <c r="B556" s="1194"/>
      <c r="C556" s="1194"/>
      <c r="D556" s="1194"/>
      <c r="E556" s="1194"/>
      <c r="F556" s="1194"/>
      <c r="G556" s="1195"/>
      <c r="H556" s="1195"/>
      <c r="I556" s="1195"/>
      <c r="J556" s="1195"/>
      <c r="K556" s="1195"/>
      <c r="L556" s="1195"/>
      <c r="M556" s="1195"/>
      <c r="N556" s="1195"/>
      <c r="O556" s="1195"/>
      <c r="P556" s="1195"/>
      <c r="Q556" s="1195"/>
      <c r="R556" s="1195"/>
      <c r="S556" s="1195"/>
      <c r="T556" s="1195"/>
      <c r="U556" s="1195"/>
      <c r="V556" s="1195"/>
      <c r="W556" s="1195"/>
      <c r="X556" s="1195"/>
      <c r="Y556" s="1195"/>
      <c r="Z556" s="1195"/>
      <c r="AA556" s="1195"/>
      <c r="AB556" s="1194"/>
      <c r="AC556" s="1194"/>
      <c r="AD556" s="1194"/>
      <c r="AE556" s="1194"/>
      <c r="AF556" s="1194"/>
      <c r="AG556" s="1194"/>
      <c r="AH556" s="1194"/>
      <c r="AI556" s="1194"/>
      <c r="AJ556" s="1194"/>
    </row>
    <row r="557" spans="1:36">
      <c r="A557" s="1194"/>
      <c r="B557" s="1194"/>
      <c r="C557" s="1194"/>
      <c r="D557" s="1194"/>
      <c r="E557" s="1194"/>
      <c r="F557" s="1194"/>
      <c r="G557" s="1195"/>
      <c r="H557" s="1195"/>
      <c r="I557" s="1195"/>
      <c r="J557" s="1195"/>
      <c r="K557" s="1195"/>
      <c r="L557" s="1195"/>
      <c r="M557" s="1195"/>
      <c r="N557" s="1195"/>
      <c r="O557" s="1195"/>
      <c r="P557" s="1195"/>
      <c r="Q557" s="1195"/>
      <c r="R557" s="1195"/>
      <c r="S557" s="1195"/>
      <c r="T557" s="1195"/>
      <c r="U557" s="1195"/>
      <c r="V557" s="1195"/>
      <c r="W557" s="1195"/>
      <c r="X557" s="1195"/>
      <c r="Y557" s="1195"/>
      <c r="Z557" s="1195"/>
      <c r="AA557" s="1195"/>
      <c r="AB557" s="1194"/>
      <c r="AC557" s="1194"/>
      <c r="AD557" s="1194"/>
      <c r="AE557" s="1194"/>
      <c r="AF557" s="1194"/>
      <c r="AG557" s="1194"/>
      <c r="AH557" s="1194"/>
      <c r="AI557" s="1194"/>
      <c r="AJ557" s="1194"/>
    </row>
    <row r="558" spans="1:36">
      <c r="A558" s="1194"/>
      <c r="B558" s="1194"/>
      <c r="C558" s="1194"/>
      <c r="D558" s="1194"/>
      <c r="E558" s="1194"/>
      <c r="F558" s="1194"/>
      <c r="G558" s="1195"/>
      <c r="H558" s="1195"/>
      <c r="I558" s="1195"/>
      <c r="J558" s="1195"/>
      <c r="K558" s="1195"/>
      <c r="L558" s="1195"/>
      <c r="M558" s="1195"/>
      <c r="N558" s="1195"/>
      <c r="O558" s="1195"/>
      <c r="P558" s="1195"/>
      <c r="Q558" s="1195"/>
      <c r="R558" s="1195"/>
      <c r="S558" s="1195"/>
      <c r="T558" s="1195"/>
      <c r="U558" s="1195"/>
      <c r="V558" s="1195"/>
      <c r="W558" s="1195"/>
      <c r="X558" s="1195"/>
      <c r="Y558" s="1195"/>
      <c r="Z558" s="1195"/>
      <c r="AA558" s="1195"/>
      <c r="AB558" s="1194"/>
      <c r="AC558" s="1194"/>
      <c r="AD558" s="1194"/>
      <c r="AE558" s="1194"/>
      <c r="AF558" s="1194"/>
      <c r="AG558" s="1194"/>
      <c r="AH558" s="1194"/>
      <c r="AI558" s="1194"/>
      <c r="AJ558" s="1194"/>
    </row>
    <row r="559" spans="1:36">
      <c r="A559" s="1194"/>
      <c r="B559" s="1194"/>
      <c r="C559" s="1194"/>
      <c r="D559" s="1194"/>
      <c r="E559" s="1194"/>
      <c r="F559" s="1194"/>
      <c r="G559" s="1195"/>
      <c r="H559" s="1195"/>
      <c r="I559" s="1195"/>
      <c r="J559" s="1195"/>
      <c r="K559" s="1195"/>
      <c r="L559" s="1195"/>
      <c r="M559" s="1195"/>
      <c r="N559" s="1195"/>
      <c r="O559" s="1195"/>
      <c r="P559" s="1195"/>
      <c r="Q559" s="1195"/>
      <c r="R559" s="1195"/>
      <c r="S559" s="1195"/>
      <c r="T559" s="1195"/>
      <c r="U559" s="1195"/>
      <c r="V559" s="1195"/>
      <c r="W559" s="1195"/>
      <c r="X559" s="1195"/>
      <c r="Y559" s="1195"/>
      <c r="Z559" s="1195"/>
      <c r="AA559" s="1195"/>
      <c r="AB559" s="1194"/>
      <c r="AC559" s="1194"/>
      <c r="AD559" s="1194"/>
      <c r="AE559" s="1194"/>
      <c r="AF559" s="1194"/>
      <c r="AG559" s="1194"/>
      <c r="AH559" s="1194"/>
      <c r="AI559" s="1194"/>
      <c r="AJ559" s="1194"/>
    </row>
    <row r="560" spans="1:36">
      <c r="A560" s="1188"/>
      <c r="B560" s="1188"/>
      <c r="C560" s="1188"/>
      <c r="D560" s="1210"/>
      <c r="E560" s="1210"/>
      <c r="F560" s="1210"/>
      <c r="G560" s="1191"/>
      <c r="H560" s="1191"/>
      <c r="I560" s="1199"/>
      <c r="J560" s="1191"/>
      <c r="K560" s="1191"/>
      <c r="L560" s="1191"/>
      <c r="M560" s="1191"/>
      <c r="N560" s="1191"/>
      <c r="O560" s="1191"/>
      <c r="P560" s="1199"/>
      <c r="Q560" s="1191"/>
      <c r="R560" s="1191"/>
      <c r="S560" s="1191"/>
      <c r="T560" s="1191"/>
      <c r="U560" s="1191"/>
      <c r="V560" s="1191"/>
      <c r="W560" s="1191"/>
      <c r="X560" s="1191"/>
      <c r="Y560" s="1191"/>
      <c r="Z560" s="1191"/>
      <c r="AA560" s="1191"/>
      <c r="AB560" s="1210"/>
      <c r="AC560" s="1210"/>
      <c r="AD560" s="1210"/>
      <c r="AE560" s="1210"/>
      <c r="AF560" s="1210"/>
      <c r="AG560" s="1210"/>
      <c r="AH560" s="1210"/>
      <c r="AI560" s="1210"/>
      <c r="AJ560" s="1210"/>
    </row>
    <row r="561" spans="1:36">
      <c r="A561" s="1188"/>
      <c r="B561" s="1188"/>
      <c r="C561" s="1188"/>
      <c r="D561" s="1210"/>
      <c r="E561" s="1210"/>
      <c r="F561" s="1210"/>
      <c r="G561" s="1191"/>
      <c r="H561" s="1191"/>
      <c r="I561" s="1199"/>
      <c r="J561" s="1191"/>
      <c r="K561" s="1191"/>
      <c r="L561" s="1191"/>
      <c r="M561" s="1191"/>
      <c r="N561" s="1191"/>
      <c r="O561" s="1191"/>
      <c r="P561" s="1199"/>
      <c r="Q561" s="1191"/>
      <c r="R561" s="1191"/>
      <c r="S561" s="1191"/>
      <c r="T561" s="1191"/>
      <c r="U561" s="1191"/>
      <c r="V561" s="1191"/>
      <c r="W561" s="1191"/>
      <c r="X561" s="1191"/>
      <c r="Y561" s="1191"/>
      <c r="Z561" s="1191"/>
      <c r="AA561" s="1191"/>
      <c r="AB561" s="1210"/>
      <c r="AC561" s="1210"/>
      <c r="AD561" s="1210"/>
      <c r="AE561" s="1210"/>
      <c r="AF561" s="1210"/>
      <c r="AG561" s="1210"/>
      <c r="AH561" s="1210"/>
      <c r="AI561" s="1210"/>
      <c r="AJ561" s="1210"/>
    </row>
    <row r="562" spans="1:36">
      <c r="A562" s="1188"/>
      <c r="B562" s="1188"/>
      <c r="C562" s="1188"/>
      <c r="D562" s="1210"/>
      <c r="E562" s="1210"/>
      <c r="F562" s="1210"/>
      <c r="G562" s="1191"/>
      <c r="H562" s="1191"/>
      <c r="I562" s="1199"/>
      <c r="J562" s="1191"/>
      <c r="K562" s="1191"/>
      <c r="L562" s="1191"/>
      <c r="M562" s="1191"/>
      <c r="N562" s="1191"/>
      <c r="O562" s="1191"/>
      <c r="P562" s="1199"/>
      <c r="Q562" s="1191"/>
      <c r="R562" s="1191"/>
      <c r="S562" s="1191"/>
      <c r="T562" s="1191"/>
      <c r="U562" s="1191"/>
      <c r="V562" s="1191"/>
      <c r="W562" s="1191"/>
      <c r="X562" s="1191"/>
      <c r="Y562" s="1191"/>
      <c r="Z562" s="1191"/>
      <c r="AA562" s="1191"/>
      <c r="AB562" s="1210"/>
      <c r="AC562" s="1210"/>
      <c r="AD562" s="1210"/>
      <c r="AE562" s="1210"/>
      <c r="AF562" s="1210"/>
      <c r="AG562" s="1210"/>
      <c r="AH562" s="1210"/>
      <c r="AI562" s="1210"/>
      <c r="AJ562" s="1210"/>
    </row>
    <row r="563" spans="1:36">
      <c r="A563" s="1188"/>
      <c r="B563" s="1188"/>
      <c r="C563" s="1188"/>
      <c r="D563" s="1210"/>
      <c r="E563" s="1210"/>
      <c r="F563" s="1210"/>
      <c r="G563" s="1191"/>
      <c r="H563" s="1191"/>
      <c r="I563" s="1199"/>
      <c r="J563" s="1191"/>
      <c r="K563" s="1191"/>
      <c r="L563" s="1191"/>
      <c r="M563" s="1191"/>
      <c r="N563" s="1191"/>
      <c r="O563" s="1191"/>
      <c r="P563" s="1199"/>
      <c r="Q563" s="1191"/>
      <c r="R563" s="1191"/>
      <c r="S563" s="1191"/>
      <c r="T563" s="1191"/>
      <c r="U563" s="1191"/>
      <c r="V563" s="1191"/>
      <c r="W563" s="1191"/>
      <c r="X563" s="1191"/>
      <c r="Y563" s="1191"/>
      <c r="Z563" s="1191"/>
      <c r="AA563" s="1191"/>
      <c r="AB563" s="1210"/>
      <c r="AC563" s="1210"/>
      <c r="AD563" s="1210"/>
      <c r="AE563" s="1210"/>
      <c r="AF563" s="1210"/>
      <c r="AG563" s="1210"/>
      <c r="AH563" s="1210"/>
      <c r="AI563" s="1210"/>
      <c r="AJ563" s="1210"/>
    </row>
    <row r="564" spans="1:36">
      <c r="A564" s="1188"/>
      <c r="B564" s="1188"/>
      <c r="C564" s="1188"/>
      <c r="D564" s="1210"/>
      <c r="E564" s="1210"/>
      <c r="F564" s="1210"/>
      <c r="G564" s="1191"/>
      <c r="H564" s="1191"/>
      <c r="I564" s="1199"/>
      <c r="J564" s="1191"/>
      <c r="K564" s="1191"/>
      <c r="L564" s="1191"/>
      <c r="M564" s="1191"/>
      <c r="N564" s="1191"/>
      <c r="O564" s="1191"/>
      <c r="P564" s="1199"/>
      <c r="Q564" s="1191"/>
      <c r="R564" s="1191"/>
      <c r="S564" s="1191"/>
      <c r="T564" s="1191"/>
      <c r="U564" s="1191"/>
      <c r="V564" s="1191"/>
      <c r="W564" s="1191"/>
      <c r="X564" s="1191"/>
      <c r="Y564" s="1191"/>
      <c r="Z564" s="1191"/>
      <c r="AA564" s="1191"/>
      <c r="AB564" s="1210"/>
      <c r="AC564" s="1210"/>
      <c r="AD564" s="1210"/>
      <c r="AE564" s="1210"/>
      <c r="AF564" s="1210"/>
      <c r="AG564" s="1210"/>
      <c r="AH564" s="1210"/>
      <c r="AI564" s="1210"/>
      <c r="AJ564" s="1210"/>
    </row>
    <row r="565" spans="1:36">
      <c r="A565" s="1188"/>
      <c r="B565" s="1188"/>
      <c r="C565" s="1188"/>
      <c r="D565" s="1210"/>
      <c r="E565" s="1210"/>
      <c r="F565" s="1210"/>
      <c r="G565" s="1191"/>
      <c r="H565" s="1191"/>
      <c r="I565" s="1199"/>
      <c r="J565" s="1191"/>
      <c r="K565" s="1191"/>
      <c r="L565" s="1191"/>
      <c r="M565" s="1191"/>
      <c r="N565" s="1191"/>
      <c r="O565" s="1191"/>
      <c r="P565" s="1199"/>
      <c r="Q565" s="1191"/>
      <c r="R565" s="1191"/>
      <c r="S565" s="1191"/>
      <c r="T565" s="1191"/>
      <c r="U565" s="1191"/>
      <c r="V565" s="1191"/>
      <c r="W565" s="1191"/>
      <c r="X565" s="1191"/>
      <c r="Y565" s="1191"/>
      <c r="Z565" s="1191"/>
      <c r="AA565" s="1191"/>
      <c r="AB565" s="1210"/>
      <c r="AC565" s="1210"/>
      <c r="AD565" s="1210"/>
      <c r="AE565" s="1210"/>
      <c r="AF565" s="1210"/>
      <c r="AG565" s="1210"/>
      <c r="AH565" s="1210"/>
      <c r="AI565" s="1210"/>
      <c r="AJ565" s="1210"/>
    </row>
    <row r="566" spans="1:36">
      <c r="A566" s="1188"/>
      <c r="B566" s="1188"/>
      <c r="C566" s="1188"/>
      <c r="D566" s="1210"/>
      <c r="E566" s="1210"/>
      <c r="F566" s="1210"/>
      <c r="G566" s="1191"/>
      <c r="H566" s="1191"/>
      <c r="I566" s="1199"/>
      <c r="J566" s="1191"/>
      <c r="K566" s="1191"/>
      <c r="L566" s="1191"/>
      <c r="M566" s="1191"/>
      <c r="N566" s="1191"/>
      <c r="O566" s="1191"/>
      <c r="P566" s="1199"/>
      <c r="Q566" s="1191"/>
      <c r="R566" s="1191"/>
      <c r="S566" s="1191"/>
      <c r="T566" s="1191"/>
      <c r="U566" s="1191"/>
      <c r="V566" s="1191"/>
      <c r="W566" s="1191"/>
      <c r="X566" s="1191"/>
      <c r="Y566" s="1191"/>
      <c r="Z566" s="1191"/>
      <c r="AA566" s="1191"/>
      <c r="AB566" s="1210"/>
      <c r="AC566" s="1210"/>
      <c r="AD566" s="1210"/>
      <c r="AE566" s="1210"/>
      <c r="AF566" s="1210"/>
      <c r="AG566" s="1210"/>
      <c r="AH566" s="1210"/>
      <c r="AI566" s="1210"/>
      <c r="AJ566" s="1210"/>
    </row>
    <row r="567" spans="1:36">
      <c r="A567" s="1188"/>
      <c r="B567" s="1188"/>
      <c r="C567" s="1188"/>
      <c r="D567" s="1210"/>
      <c r="E567" s="1210"/>
      <c r="F567" s="1210"/>
      <c r="G567" s="1191"/>
      <c r="H567" s="1191"/>
      <c r="I567" s="1199"/>
      <c r="J567" s="1191"/>
      <c r="K567" s="1191"/>
      <c r="L567" s="1191"/>
      <c r="M567" s="1191"/>
      <c r="N567" s="1191"/>
      <c r="O567" s="1191"/>
      <c r="P567" s="1199"/>
      <c r="Q567" s="1191"/>
      <c r="R567" s="1191"/>
      <c r="S567" s="1191"/>
      <c r="T567" s="1191"/>
      <c r="U567" s="1191"/>
      <c r="V567" s="1191"/>
      <c r="W567" s="1191"/>
      <c r="X567" s="1191"/>
      <c r="Y567" s="1191"/>
      <c r="Z567" s="1191"/>
      <c r="AA567" s="1191"/>
      <c r="AB567" s="1210"/>
      <c r="AC567" s="1210"/>
      <c r="AD567" s="1210"/>
      <c r="AE567" s="1210"/>
      <c r="AF567" s="1210"/>
      <c r="AG567" s="1210"/>
      <c r="AH567" s="1210"/>
      <c r="AI567" s="1210"/>
      <c r="AJ567" s="1210"/>
    </row>
    <row r="568" spans="1:36">
      <c r="A568" s="1188"/>
      <c r="B568" s="1188"/>
      <c r="C568" s="1188"/>
      <c r="D568" s="1210"/>
      <c r="E568" s="1210"/>
      <c r="F568" s="1210"/>
      <c r="G568" s="1191"/>
      <c r="H568" s="1191"/>
      <c r="I568" s="1199"/>
      <c r="J568" s="1191"/>
      <c r="K568" s="1191"/>
      <c r="L568" s="1191"/>
      <c r="M568" s="1191"/>
      <c r="N568" s="1191"/>
      <c r="O568" s="1191"/>
      <c r="P568" s="1199"/>
      <c r="Q568" s="1191"/>
      <c r="R568" s="1191"/>
      <c r="S568" s="1191"/>
      <c r="T568" s="1191"/>
      <c r="U568" s="1191"/>
      <c r="V568" s="1191"/>
      <c r="W568" s="1191"/>
      <c r="X568" s="1191"/>
      <c r="Y568" s="1191"/>
      <c r="Z568" s="1191"/>
      <c r="AA568" s="1191"/>
      <c r="AB568" s="1210"/>
      <c r="AC568" s="1210"/>
      <c r="AD568" s="1210"/>
      <c r="AE568" s="1210"/>
      <c r="AF568" s="1210"/>
      <c r="AG568" s="1210"/>
      <c r="AH568" s="1210"/>
      <c r="AI568" s="1210"/>
      <c r="AJ568" s="1210"/>
    </row>
    <row r="569" spans="1:36">
      <c r="A569" s="1188"/>
      <c r="B569" s="1188"/>
      <c r="C569" s="1188"/>
      <c r="D569" s="1210"/>
      <c r="E569" s="1210"/>
      <c r="F569" s="1210"/>
      <c r="G569" s="1191"/>
      <c r="H569" s="1191"/>
      <c r="I569" s="1199"/>
      <c r="J569" s="1191"/>
      <c r="K569" s="1191"/>
      <c r="L569" s="1191"/>
      <c r="M569" s="1191"/>
      <c r="N569" s="1191"/>
      <c r="O569" s="1191"/>
      <c r="P569" s="1199"/>
      <c r="Q569" s="1191"/>
      <c r="R569" s="1191"/>
      <c r="S569" s="1191"/>
      <c r="T569" s="1191"/>
      <c r="U569" s="1191"/>
      <c r="V569" s="1191"/>
      <c r="W569" s="1191"/>
      <c r="X569" s="1191"/>
      <c r="Y569" s="1191"/>
      <c r="Z569" s="1191"/>
      <c r="AA569" s="1191"/>
      <c r="AB569" s="1210"/>
      <c r="AC569" s="1210"/>
      <c r="AD569" s="1210"/>
      <c r="AE569" s="1210"/>
      <c r="AF569" s="1210"/>
      <c r="AG569" s="1210"/>
      <c r="AH569" s="1210"/>
      <c r="AI569" s="1210"/>
      <c r="AJ569" s="1210"/>
    </row>
    <row r="570" spans="1:36">
      <c r="A570" s="1188"/>
      <c r="B570" s="1188"/>
      <c r="C570" s="1188"/>
      <c r="D570" s="1210"/>
      <c r="E570" s="1210"/>
      <c r="F570" s="1210"/>
      <c r="G570" s="1191"/>
      <c r="H570" s="1191"/>
      <c r="I570" s="1199"/>
      <c r="J570" s="1191"/>
      <c r="K570" s="1191"/>
      <c r="L570" s="1191"/>
      <c r="M570" s="1191"/>
      <c r="N570" s="1191"/>
      <c r="O570" s="1191"/>
      <c r="P570" s="1199"/>
      <c r="Q570" s="1191"/>
      <c r="R570" s="1191"/>
      <c r="S570" s="1191"/>
      <c r="T570" s="1191"/>
      <c r="U570" s="1191"/>
      <c r="V570" s="1191"/>
      <c r="W570" s="1191"/>
      <c r="X570" s="1191"/>
      <c r="Y570" s="1191"/>
      <c r="Z570" s="1191"/>
      <c r="AA570" s="1191"/>
      <c r="AB570" s="1210"/>
      <c r="AC570" s="1210"/>
      <c r="AD570" s="1210"/>
      <c r="AE570" s="1210"/>
      <c r="AF570" s="1210"/>
      <c r="AG570" s="1210"/>
      <c r="AH570" s="1210"/>
      <c r="AI570" s="1210"/>
      <c r="AJ570" s="1210"/>
    </row>
    <row r="571" spans="1:36">
      <c r="A571" s="1188"/>
      <c r="B571" s="1188"/>
      <c r="C571" s="1188"/>
      <c r="D571" s="1210"/>
      <c r="E571" s="1210"/>
      <c r="F571" s="1210"/>
      <c r="G571" s="1191"/>
      <c r="H571" s="1191"/>
      <c r="I571" s="1199"/>
      <c r="J571" s="1191"/>
      <c r="K571" s="1191"/>
      <c r="L571" s="1191"/>
      <c r="M571" s="1191"/>
      <c r="N571" s="1191"/>
      <c r="O571" s="1191"/>
      <c r="P571" s="1199"/>
      <c r="Q571" s="1191"/>
      <c r="R571" s="1191"/>
      <c r="S571" s="1191"/>
      <c r="T571" s="1191"/>
      <c r="U571" s="1191"/>
      <c r="V571" s="1191"/>
      <c r="W571" s="1191"/>
      <c r="X571" s="1191"/>
      <c r="Y571" s="1191"/>
      <c r="Z571" s="1191"/>
      <c r="AA571" s="1191"/>
      <c r="AB571" s="1210"/>
      <c r="AC571" s="1210"/>
      <c r="AD571" s="1210"/>
      <c r="AE571" s="1210"/>
      <c r="AF571" s="1210"/>
      <c r="AG571" s="1210"/>
      <c r="AH571" s="1210"/>
      <c r="AI571" s="1210"/>
      <c r="AJ571" s="1210"/>
    </row>
    <row r="572" spans="1:36">
      <c r="A572" s="1188"/>
      <c r="B572" s="1188"/>
      <c r="C572" s="1188"/>
      <c r="D572" s="1210"/>
      <c r="E572" s="1210"/>
      <c r="F572" s="1210"/>
      <c r="G572" s="1191"/>
      <c r="H572" s="1191"/>
      <c r="I572" s="1199"/>
      <c r="J572" s="1191"/>
      <c r="K572" s="1191"/>
      <c r="L572" s="1191"/>
      <c r="M572" s="1191"/>
      <c r="N572" s="1191"/>
      <c r="O572" s="1191"/>
      <c r="P572" s="1199"/>
      <c r="Q572" s="1191"/>
      <c r="R572" s="1191"/>
      <c r="S572" s="1191"/>
      <c r="T572" s="1191"/>
      <c r="U572" s="1191"/>
      <c r="V572" s="1191"/>
      <c r="W572" s="1191"/>
      <c r="X572" s="1191"/>
      <c r="Y572" s="1191"/>
      <c r="Z572" s="1191"/>
      <c r="AA572" s="1191"/>
      <c r="AB572" s="1210"/>
      <c r="AC572" s="1210"/>
      <c r="AD572" s="1210"/>
      <c r="AE572" s="1210"/>
      <c r="AF572" s="1210"/>
      <c r="AG572" s="1210"/>
      <c r="AH572" s="1210"/>
      <c r="AI572" s="1210"/>
      <c r="AJ572" s="1210"/>
    </row>
    <row r="573" spans="1:36">
      <c r="A573" s="1188"/>
      <c r="B573" s="1188"/>
      <c r="C573" s="1188"/>
      <c r="D573" s="1210"/>
      <c r="E573" s="1210"/>
      <c r="F573" s="1210"/>
      <c r="G573" s="1191"/>
      <c r="H573" s="1191"/>
      <c r="I573" s="1199"/>
      <c r="J573" s="1191"/>
      <c r="K573" s="1191"/>
      <c r="L573" s="1191"/>
      <c r="M573" s="1191"/>
      <c r="N573" s="1191"/>
      <c r="O573" s="1191"/>
      <c r="P573" s="1199"/>
      <c r="Q573" s="1191"/>
      <c r="R573" s="1191"/>
      <c r="S573" s="1191"/>
      <c r="T573" s="1191"/>
      <c r="U573" s="1191"/>
      <c r="V573" s="1191"/>
      <c r="W573" s="1191"/>
      <c r="X573" s="1191"/>
      <c r="Y573" s="1191"/>
      <c r="Z573" s="1191"/>
      <c r="AA573" s="1191"/>
      <c r="AB573" s="1210"/>
      <c r="AC573" s="1210"/>
      <c r="AD573" s="1210"/>
      <c r="AE573" s="1210"/>
      <c r="AF573" s="1210"/>
      <c r="AG573" s="1210"/>
      <c r="AH573" s="1210"/>
      <c r="AI573" s="1210"/>
      <c r="AJ573" s="1210"/>
    </row>
    <row r="574" spans="1:36">
      <c r="A574" s="1188"/>
      <c r="B574" s="1188"/>
      <c r="C574" s="1188"/>
      <c r="D574" s="1210"/>
      <c r="E574" s="1210"/>
      <c r="F574" s="1210"/>
      <c r="G574" s="1191"/>
      <c r="H574" s="1191"/>
      <c r="I574" s="1199"/>
      <c r="J574" s="1191"/>
      <c r="K574" s="1191"/>
      <c r="L574" s="1191"/>
      <c r="M574" s="1191"/>
      <c r="N574" s="1191"/>
      <c r="O574" s="1191"/>
      <c r="P574" s="1199"/>
      <c r="Q574" s="1191"/>
      <c r="R574" s="1191"/>
      <c r="S574" s="1191"/>
      <c r="T574" s="1191"/>
      <c r="U574" s="1191"/>
      <c r="V574" s="1191"/>
      <c r="W574" s="1191"/>
      <c r="X574" s="1191"/>
      <c r="Y574" s="1191"/>
      <c r="Z574" s="1191"/>
      <c r="AA574" s="1191"/>
      <c r="AB574" s="1210"/>
      <c r="AC574" s="1210"/>
      <c r="AD574" s="1210"/>
      <c r="AE574" s="1210"/>
      <c r="AF574" s="1210"/>
      <c r="AG574" s="1210"/>
      <c r="AH574" s="1210"/>
      <c r="AI574" s="1210"/>
      <c r="AJ574" s="1210"/>
    </row>
    <row r="575" spans="1:36" s="1179" customFormat="1">
      <c r="A575" s="1188"/>
      <c r="B575" s="1188"/>
      <c r="C575" s="1188"/>
      <c r="D575" s="1210"/>
      <c r="E575" s="1210"/>
      <c r="F575" s="1210"/>
      <c r="G575" s="1191"/>
      <c r="H575" s="1191"/>
      <c r="I575" s="1199"/>
      <c r="J575" s="1191"/>
      <c r="K575" s="1191"/>
      <c r="L575" s="1191"/>
      <c r="M575" s="1191"/>
      <c r="N575" s="1191"/>
      <c r="O575" s="1191"/>
      <c r="P575" s="1199"/>
      <c r="Q575" s="1191"/>
      <c r="R575" s="1191"/>
      <c r="S575" s="1191"/>
      <c r="T575" s="1191"/>
      <c r="U575" s="1191"/>
      <c r="V575" s="1191"/>
      <c r="W575" s="1191"/>
      <c r="X575" s="1191"/>
      <c r="Y575" s="1191"/>
      <c r="Z575" s="1191"/>
      <c r="AA575" s="1191"/>
      <c r="AB575" s="1210"/>
      <c r="AC575" s="1210"/>
      <c r="AD575" s="1210"/>
      <c r="AE575" s="1210"/>
      <c r="AF575" s="1210"/>
      <c r="AG575" s="1210"/>
      <c r="AH575" s="1210"/>
      <c r="AI575" s="1210"/>
      <c r="AJ575" s="1210"/>
    </row>
    <row r="576" spans="1:36" s="1179" customFormat="1">
      <c r="A576" s="1188"/>
      <c r="B576" s="1188"/>
      <c r="C576" s="1188"/>
      <c r="D576" s="1210"/>
      <c r="E576" s="1210"/>
      <c r="F576" s="1210"/>
      <c r="G576" s="1191"/>
      <c r="H576" s="1191"/>
      <c r="I576" s="1199"/>
      <c r="J576" s="1191"/>
      <c r="K576" s="1191"/>
      <c r="L576" s="1191"/>
      <c r="M576" s="1191"/>
      <c r="N576" s="1191"/>
      <c r="O576" s="1191"/>
      <c r="P576" s="1199"/>
      <c r="Q576" s="1191"/>
      <c r="R576" s="1191"/>
      <c r="S576" s="1191"/>
      <c r="T576" s="1191"/>
      <c r="U576" s="1191"/>
      <c r="V576" s="1191"/>
      <c r="W576" s="1191"/>
      <c r="X576" s="1191"/>
      <c r="Y576" s="1191"/>
      <c r="Z576" s="1191"/>
      <c r="AA576" s="1191"/>
      <c r="AB576" s="1210"/>
      <c r="AC576" s="1210"/>
      <c r="AD576" s="1210"/>
      <c r="AE576" s="1210"/>
      <c r="AF576" s="1210"/>
      <c r="AG576" s="1210"/>
      <c r="AH576" s="1210"/>
      <c r="AI576" s="1210"/>
      <c r="AJ576" s="1210"/>
    </row>
    <row r="577" spans="1:36" s="1179" customFormat="1">
      <c r="A577" s="1188"/>
      <c r="B577" s="1188"/>
      <c r="C577" s="1188"/>
      <c r="D577" s="1210"/>
      <c r="E577" s="1210"/>
      <c r="F577" s="1210"/>
      <c r="G577" s="1191"/>
      <c r="H577" s="1191"/>
      <c r="I577" s="1199"/>
      <c r="J577" s="1191"/>
      <c r="K577" s="1191"/>
      <c r="L577" s="1191"/>
      <c r="M577" s="1191"/>
      <c r="N577" s="1191"/>
      <c r="O577" s="1191"/>
      <c r="P577" s="1199"/>
      <c r="Q577" s="1191"/>
      <c r="R577" s="1191"/>
      <c r="S577" s="1191"/>
      <c r="T577" s="1191"/>
      <c r="U577" s="1191"/>
      <c r="V577" s="1191"/>
      <c r="W577" s="1191"/>
      <c r="X577" s="1191"/>
      <c r="Y577" s="1191"/>
      <c r="Z577" s="1191"/>
      <c r="AA577" s="1191"/>
      <c r="AB577" s="1210"/>
      <c r="AC577" s="1210"/>
      <c r="AD577" s="1210"/>
      <c r="AE577" s="1210"/>
      <c r="AF577" s="1210"/>
      <c r="AG577" s="1210"/>
      <c r="AH577" s="1210"/>
      <c r="AI577" s="1210"/>
      <c r="AJ577" s="1210"/>
    </row>
    <row r="578" spans="1:36" s="1179" customFormat="1">
      <c r="A578" s="1188"/>
      <c r="B578" s="1188"/>
      <c r="C578" s="1188"/>
      <c r="D578" s="1210"/>
      <c r="E578" s="1210"/>
      <c r="F578" s="1210"/>
      <c r="G578" s="1191"/>
      <c r="H578" s="1191"/>
      <c r="I578" s="1199"/>
      <c r="J578" s="1191"/>
      <c r="K578" s="1191"/>
      <c r="L578" s="1191"/>
      <c r="M578" s="1191"/>
      <c r="N578" s="1191"/>
      <c r="O578" s="1191"/>
      <c r="P578" s="1199"/>
      <c r="Q578" s="1191"/>
      <c r="R578" s="1191"/>
      <c r="S578" s="1191"/>
      <c r="T578" s="1191"/>
      <c r="U578" s="1191"/>
      <c r="V578" s="1191"/>
      <c r="W578" s="1191"/>
      <c r="X578" s="1191"/>
      <c r="Y578" s="1191"/>
      <c r="Z578" s="1191"/>
      <c r="AA578" s="1191"/>
      <c r="AB578" s="1210"/>
      <c r="AC578" s="1210"/>
      <c r="AD578" s="1210"/>
      <c r="AE578" s="1210"/>
      <c r="AF578" s="1210"/>
      <c r="AG578" s="1210"/>
      <c r="AH578" s="1210"/>
      <c r="AI578" s="1210"/>
      <c r="AJ578" s="1210"/>
    </row>
    <row r="579" spans="1:36" s="1179" customFormat="1">
      <c r="A579" s="1188"/>
      <c r="B579" s="1188"/>
      <c r="C579" s="1188"/>
      <c r="D579" s="1210"/>
      <c r="E579" s="1210"/>
      <c r="F579" s="1210"/>
      <c r="G579" s="1191"/>
      <c r="H579" s="1191"/>
      <c r="I579" s="1199"/>
      <c r="J579" s="1191"/>
      <c r="K579" s="1191"/>
      <c r="L579" s="1191"/>
      <c r="M579" s="1191"/>
      <c r="N579" s="1191"/>
      <c r="O579" s="1191"/>
      <c r="P579" s="1199"/>
      <c r="Q579" s="1191"/>
      <c r="R579" s="1191"/>
      <c r="S579" s="1191"/>
      <c r="T579" s="1191"/>
      <c r="U579" s="1191"/>
      <c r="V579" s="1191"/>
      <c r="W579" s="1191"/>
      <c r="X579" s="1191"/>
      <c r="Y579" s="1191"/>
      <c r="Z579" s="1191"/>
      <c r="AA579" s="1191"/>
      <c r="AB579" s="1210"/>
      <c r="AC579" s="1210"/>
      <c r="AD579" s="1210"/>
      <c r="AE579" s="1210"/>
      <c r="AF579" s="1210"/>
      <c r="AG579" s="1210"/>
      <c r="AH579" s="1210"/>
      <c r="AI579" s="1210"/>
      <c r="AJ579" s="1210"/>
    </row>
    <row r="580" spans="1:36" s="1179" customFormat="1">
      <c r="A580" s="1188"/>
      <c r="B580" s="1188"/>
      <c r="C580" s="1188"/>
      <c r="D580" s="1210"/>
      <c r="E580" s="1210"/>
      <c r="F580" s="1210"/>
      <c r="G580" s="1191"/>
      <c r="H580" s="1191"/>
      <c r="I580" s="1199"/>
      <c r="J580" s="1191"/>
      <c r="K580" s="1191"/>
      <c r="L580" s="1191"/>
      <c r="M580" s="1191"/>
      <c r="N580" s="1191"/>
      <c r="O580" s="1191"/>
      <c r="P580" s="1199"/>
      <c r="Q580" s="1191"/>
      <c r="R580" s="1191"/>
      <c r="S580" s="1191"/>
      <c r="T580" s="1191"/>
      <c r="U580" s="1191"/>
      <c r="V580" s="1191"/>
      <c r="W580" s="1191"/>
      <c r="X580" s="1191"/>
      <c r="Y580" s="1191"/>
      <c r="Z580" s="1191"/>
      <c r="AA580" s="1191"/>
      <c r="AB580" s="1210"/>
      <c r="AC580" s="1210"/>
      <c r="AD580" s="1210"/>
      <c r="AE580" s="1210"/>
      <c r="AF580" s="1210"/>
      <c r="AG580" s="1210"/>
      <c r="AH580" s="1210"/>
      <c r="AI580" s="1210"/>
      <c r="AJ580" s="1210"/>
    </row>
    <row r="581" spans="1:36" s="1179" customFormat="1">
      <c r="A581" s="1188"/>
      <c r="B581" s="1188"/>
      <c r="C581" s="1188"/>
      <c r="D581" s="1210"/>
      <c r="E581" s="1210"/>
      <c r="F581" s="1210"/>
      <c r="G581" s="1191"/>
      <c r="H581" s="1191"/>
      <c r="I581" s="1199"/>
      <c r="J581" s="1191"/>
      <c r="K581" s="1191"/>
      <c r="L581" s="1191"/>
      <c r="M581" s="1191"/>
      <c r="N581" s="1191"/>
      <c r="O581" s="1191"/>
      <c r="P581" s="1199"/>
      <c r="Q581" s="1191"/>
      <c r="R581" s="1191"/>
      <c r="S581" s="1191"/>
      <c r="T581" s="1191"/>
      <c r="U581" s="1191"/>
      <c r="V581" s="1191"/>
      <c r="W581" s="1191"/>
      <c r="X581" s="1191"/>
      <c r="Y581" s="1191"/>
      <c r="Z581" s="1191"/>
      <c r="AA581" s="1191"/>
      <c r="AB581" s="1210"/>
      <c r="AC581" s="1210"/>
      <c r="AD581" s="1210"/>
      <c r="AE581" s="1210"/>
      <c r="AF581" s="1210"/>
      <c r="AG581" s="1210"/>
      <c r="AH581" s="1210"/>
      <c r="AI581" s="1210"/>
      <c r="AJ581" s="1210"/>
    </row>
    <row r="582" spans="1:36" s="1179" customFormat="1">
      <c r="A582" s="1188"/>
      <c r="B582" s="1188"/>
      <c r="C582" s="1188"/>
      <c r="D582" s="1210"/>
      <c r="E582" s="1210"/>
      <c r="F582" s="1210"/>
      <c r="G582" s="1191"/>
      <c r="H582" s="1191"/>
      <c r="I582" s="1199"/>
      <c r="J582" s="1191"/>
      <c r="K582" s="1191"/>
      <c r="L582" s="1191"/>
      <c r="M582" s="1191"/>
      <c r="N582" s="1191"/>
      <c r="O582" s="1191"/>
      <c r="P582" s="1199"/>
      <c r="Q582" s="1191"/>
      <c r="R582" s="1191"/>
      <c r="S582" s="1191"/>
      <c r="T582" s="1191"/>
      <c r="U582" s="1191"/>
      <c r="V582" s="1191"/>
      <c r="W582" s="1191"/>
      <c r="X582" s="1191"/>
      <c r="Y582" s="1191"/>
      <c r="Z582" s="1191"/>
      <c r="AA582" s="1191"/>
      <c r="AB582" s="1210"/>
      <c r="AC582" s="1210"/>
      <c r="AD582" s="1210"/>
      <c r="AE582" s="1210"/>
      <c r="AF582" s="1210"/>
      <c r="AG582" s="1210"/>
      <c r="AH582" s="1210"/>
      <c r="AI582" s="1210"/>
      <c r="AJ582" s="1210"/>
    </row>
    <row r="583" spans="1:36" s="1179" customFormat="1">
      <c r="A583" s="1188"/>
      <c r="B583" s="1188"/>
      <c r="C583" s="1188"/>
      <c r="D583" s="1210"/>
      <c r="E583" s="1210"/>
      <c r="F583" s="1210"/>
      <c r="G583" s="1191"/>
      <c r="H583" s="1191"/>
      <c r="I583" s="1199"/>
      <c r="J583" s="1191"/>
      <c r="K583" s="1191"/>
      <c r="L583" s="1191"/>
      <c r="M583" s="1191"/>
      <c r="N583" s="1191"/>
      <c r="O583" s="1191"/>
      <c r="P583" s="1199"/>
      <c r="Q583" s="1191"/>
      <c r="R583" s="1191"/>
      <c r="S583" s="1191"/>
      <c r="T583" s="1191"/>
      <c r="U583" s="1191"/>
      <c r="V583" s="1191"/>
      <c r="W583" s="1191"/>
      <c r="X583" s="1191"/>
      <c r="Y583" s="1191"/>
      <c r="Z583" s="1191"/>
      <c r="AA583" s="1191"/>
      <c r="AB583" s="1210"/>
      <c r="AC583" s="1210"/>
      <c r="AD583" s="1210"/>
      <c r="AE583" s="1210"/>
      <c r="AF583" s="1210"/>
      <c r="AG583" s="1210"/>
      <c r="AH583" s="1210"/>
      <c r="AI583" s="1210"/>
      <c r="AJ583" s="1210"/>
    </row>
    <row r="584" spans="1:36" s="1179" customFormat="1">
      <c r="A584" s="1188"/>
      <c r="B584" s="1188"/>
      <c r="C584" s="1188"/>
      <c r="D584" s="1210"/>
      <c r="E584" s="1210"/>
      <c r="F584" s="1210"/>
      <c r="G584" s="1191"/>
      <c r="H584" s="1191"/>
      <c r="I584" s="1199"/>
      <c r="J584" s="1191"/>
      <c r="K584" s="1191"/>
      <c r="L584" s="1191"/>
      <c r="M584" s="1191"/>
      <c r="N584" s="1191"/>
      <c r="O584" s="1191"/>
      <c r="P584" s="1199"/>
      <c r="Q584" s="1191"/>
      <c r="R584" s="1191"/>
      <c r="S584" s="1191"/>
      <c r="T584" s="1191"/>
      <c r="U584" s="1191"/>
      <c r="V584" s="1191"/>
      <c r="W584" s="1191"/>
      <c r="X584" s="1191"/>
      <c r="Y584" s="1191"/>
      <c r="Z584" s="1191"/>
      <c r="AA584" s="1191"/>
      <c r="AB584" s="1210"/>
      <c r="AC584" s="1210"/>
      <c r="AD584" s="1210"/>
      <c r="AE584" s="1210"/>
      <c r="AF584" s="1210"/>
      <c r="AG584" s="1210"/>
      <c r="AH584" s="1210"/>
      <c r="AI584" s="1210"/>
      <c r="AJ584" s="1210"/>
    </row>
    <row r="585" spans="1:36" s="1179" customFormat="1">
      <c r="A585" s="1188"/>
      <c r="B585" s="1188"/>
      <c r="C585" s="1188"/>
      <c r="D585" s="1210"/>
      <c r="E585" s="1210"/>
      <c r="F585" s="1210"/>
      <c r="G585" s="1191"/>
      <c r="H585" s="1191"/>
      <c r="I585" s="1199"/>
      <c r="J585" s="1191"/>
      <c r="K585" s="1191"/>
      <c r="L585" s="1191"/>
      <c r="M585" s="1191"/>
      <c r="N585" s="1191"/>
      <c r="O585" s="1191"/>
      <c r="P585" s="1199"/>
      <c r="Q585" s="1191"/>
      <c r="R585" s="1191"/>
      <c r="S585" s="1191"/>
      <c r="T585" s="1191"/>
      <c r="U585" s="1191"/>
      <c r="V585" s="1191"/>
      <c r="W585" s="1191"/>
      <c r="X585" s="1191"/>
      <c r="Y585" s="1191"/>
      <c r="Z585" s="1191"/>
      <c r="AA585" s="1191"/>
      <c r="AB585" s="1210"/>
      <c r="AC585" s="1210"/>
      <c r="AD585" s="1210"/>
      <c r="AE585" s="1210"/>
      <c r="AF585" s="1210"/>
      <c r="AG585" s="1210"/>
      <c r="AH585" s="1210"/>
      <c r="AI585" s="1210"/>
      <c r="AJ585" s="1210"/>
    </row>
    <row r="586" spans="1:36" s="1179" customFormat="1">
      <c r="A586" s="1188"/>
      <c r="B586" s="1188"/>
      <c r="C586" s="1188"/>
      <c r="D586" s="1210"/>
      <c r="E586" s="1210"/>
      <c r="F586" s="1210"/>
      <c r="G586" s="1191"/>
      <c r="H586" s="1191"/>
      <c r="I586" s="1199"/>
      <c r="J586" s="1191"/>
      <c r="K586" s="1191"/>
      <c r="L586" s="1191"/>
      <c r="M586" s="1191"/>
      <c r="N586" s="1191"/>
      <c r="O586" s="1191"/>
      <c r="P586" s="1199"/>
      <c r="Q586" s="1191"/>
      <c r="R586" s="1191"/>
      <c r="S586" s="1191"/>
      <c r="T586" s="1191"/>
      <c r="U586" s="1191"/>
      <c r="V586" s="1191"/>
      <c r="W586" s="1191"/>
      <c r="X586" s="1191"/>
      <c r="Y586" s="1191"/>
      <c r="Z586" s="1191"/>
      <c r="AA586" s="1191"/>
      <c r="AB586" s="1210"/>
      <c r="AC586" s="1210"/>
      <c r="AD586" s="1210"/>
      <c r="AE586" s="1210"/>
      <c r="AF586" s="1210"/>
      <c r="AG586" s="1210"/>
      <c r="AH586" s="1210"/>
      <c r="AI586" s="1210"/>
      <c r="AJ586" s="1210"/>
    </row>
    <row r="587" spans="1:36" s="1179" customFormat="1">
      <c r="A587" s="1188"/>
      <c r="B587" s="1188"/>
      <c r="C587" s="1188"/>
      <c r="D587" s="1210"/>
      <c r="E587" s="1210"/>
      <c r="F587" s="1210"/>
      <c r="G587" s="1191"/>
      <c r="H587" s="1191"/>
      <c r="I587" s="1199"/>
      <c r="J587" s="1191"/>
      <c r="K587" s="1191"/>
      <c r="L587" s="1191"/>
      <c r="M587" s="1191"/>
      <c r="N587" s="1191"/>
      <c r="O587" s="1191"/>
      <c r="P587" s="1199"/>
      <c r="Q587" s="1191"/>
      <c r="R587" s="1191"/>
      <c r="S587" s="1191"/>
      <c r="T587" s="1191"/>
      <c r="U587" s="1191"/>
      <c r="V587" s="1191"/>
      <c r="W587" s="1191"/>
      <c r="X587" s="1191"/>
      <c r="Y587" s="1191"/>
      <c r="Z587" s="1191"/>
      <c r="AA587" s="1191"/>
      <c r="AB587" s="1210"/>
      <c r="AC587" s="1210"/>
      <c r="AD587" s="1210"/>
      <c r="AE587" s="1210"/>
      <c r="AF587" s="1210"/>
      <c r="AG587" s="1210"/>
      <c r="AH587" s="1210"/>
      <c r="AI587" s="1210"/>
      <c r="AJ587" s="1210"/>
    </row>
    <row r="588" spans="1:36" s="1179" customFormat="1">
      <c r="A588" s="1188"/>
      <c r="B588" s="1188"/>
      <c r="C588" s="1188"/>
      <c r="D588" s="1210"/>
      <c r="E588" s="1210"/>
      <c r="F588" s="1210"/>
      <c r="G588" s="1191"/>
      <c r="H588" s="1191"/>
      <c r="I588" s="1199"/>
      <c r="J588" s="1191"/>
      <c r="K588" s="1191"/>
      <c r="L588" s="1191"/>
      <c r="M588" s="1191"/>
      <c r="N588" s="1191"/>
      <c r="O588" s="1191"/>
      <c r="P588" s="1199"/>
      <c r="Q588" s="1191"/>
      <c r="R588" s="1191"/>
      <c r="S588" s="1191"/>
      <c r="T588" s="1191"/>
      <c r="U588" s="1191"/>
      <c r="V588" s="1191"/>
      <c r="W588" s="1191"/>
      <c r="X588" s="1191"/>
      <c r="Y588" s="1191"/>
      <c r="Z588" s="1191"/>
      <c r="AA588" s="1191"/>
      <c r="AB588" s="1210"/>
      <c r="AC588" s="1210"/>
      <c r="AD588" s="1210"/>
      <c r="AE588" s="1210"/>
      <c r="AF588" s="1210"/>
      <c r="AG588" s="1210"/>
      <c r="AH588" s="1210"/>
      <c r="AI588" s="1210"/>
      <c r="AJ588" s="1210"/>
    </row>
    <row r="589" spans="1:36" s="1179" customFormat="1">
      <c r="A589" s="1188"/>
      <c r="B589" s="1188"/>
      <c r="C589" s="1188"/>
      <c r="D589" s="1210"/>
      <c r="E589" s="1210"/>
      <c r="F589" s="1210"/>
      <c r="G589" s="1191"/>
      <c r="H589" s="1191"/>
      <c r="I589" s="1199"/>
      <c r="J589" s="1191"/>
      <c r="K589" s="1191"/>
      <c r="L589" s="1191"/>
      <c r="M589" s="1191"/>
      <c r="N589" s="1191"/>
      <c r="O589" s="1191"/>
      <c r="P589" s="1199"/>
      <c r="Q589" s="1191"/>
      <c r="R589" s="1191"/>
      <c r="S589" s="1191"/>
      <c r="T589" s="1191"/>
      <c r="U589" s="1191"/>
      <c r="V589" s="1191"/>
      <c r="W589" s="1191"/>
      <c r="X589" s="1191"/>
      <c r="Y589" s="1191"/>
      <c r="Z589" s="1191"/>
      <c r="AA589" s="1191"/>
      <c r="AB589" s="1210"/>
      <c r="AC589" s="1210"/>
      <c r="AD589" s="1210"/>
      <c r="AE589" s="1210"/>
      <c r="AF589" s="1210"/>
      <c r="AG589" s="1210"/>
      <c r="AH589" s="1210"/>
      <c r="AI589" s="1210"/>
      <c r="AJ589" s="1210"/>
    </row>
    <row r="590" spans="1:36" s="1179" customFormat="1">
      <c r="A590" s="1188"/>
      <c r="B590" s="1188"/>
      <c r="C590" s="1188"/>
      <c r="D590" s="1210"/>
      <c r="E590" s="1210"/>
      <c r="F590" s="1210"/>
      <c r="G590" s="1191"/>
      <c r="H590" s="1191"/>
      <c r="I590" s="1199"/>
      <c r="J590" s="1191"/>
      <c r="K590" s="1191"/>
      <c r="L590" s="1191"/>
      <c r="M590" s="1191"/>
      <c r="N590" s="1191"/>
      <c r="O590" s="1191"/>
      <c r="P590" s="1199"/>
      <c r="Q590" s="1191"/>
      <c r="R590" s="1191"/>
      <c r="S590" s="1191"/>
      <c r="T590" s="1191"/>
      <c r="U590" s="1191"/>
      <c r="V590" s="1191"/>
      <c r="W590" s="1191"/>
      <c r="X590" s="1191"/>
      <c r="Y590" s="1191"/>
      <c r="Z590" s="1191"/>
      <c r="AA590" s="1191"/>
      <c r="AB590" s="1210"/>
      <c r="AC590" s="1210"/>
      <c r="AD590" s="1210"/>
      <c r="AE590" s="1210"/>
      <c r="AF590" s="1210"/>
      <c r="AG590" s="1210"/>
      <c r="AH590" s="1210"/>
      <c r="AI590" s="1210"/>
      <c r="AJ590" s="1210"/>
    </row>
    <row r="591" spans="1:36" s="1179" customFormat="1">
      <c r="A591" s="1188"/>
      <c r="B591" s="1188"/>
      <c r="C591" s="1188"/>
      <c r="D591" s="1210"/>
      <c r="E591" s="1210"/>
      <c r="F591" s="1210"/>
      <c r="G591" s="1191"/>
      <c r="H591" s="1191"/>
      <c r="I591" s="1199"/>
      <c r="J591" s="1191"/>
      <c r="K591" s="1191"/>
      <c r="L591" s="1191"/>
      <c r="M591" s="1191"/>
      <c r="N591" s="1191"/>
      <c r="O591" s="1191"/>
      <c r="P591" s="1199"/>
      <c r="Q591" s="1191"/>
      <c r="R591" s="1191"/>
      <c r="S591" s="1191"/>
      <c r="T591" s="1191"/>
      <c r="U591" s="1191"/>
      <c r="V591" s="1191"/>
      <c r="W591" s="1191"/>
      <c r="X591" s="1191"/>
      <c r="Y591" s="1191"/>
      <c r="Z591" s="1191"/>
      <c r="AA591" s="1191"/>
      <c r="AB591" s="1210"/>
      <c r="AC591" s="1210"/>
      <c r="AD591" s="1210"/>
      <c r="AE591" s="1210"/>
      <c r="AF591" s="1210"/>
      <c r="AG591" s="1210"/>
      <c r="AH591" s="1210"/>
      <c r="AI591" s="1210"/>
      <c r="AJ591" s="1210"/>
    </row>
    <row r="592" spans="1:36" s="1179" customFormat="1">
      <c r="A592" s="1188"/>
      <c r="B592" s="1188"/>
      <c r="C592" s="1188"/>
      <c r="D592" s="1210"/>
      <c r="E592" s="1210"/>
      <c r="F592" s="1210"/>
      <c r="G592" s="1191"/>
      <c r="H592" s="1191"/>
      <c r="I592" s="1199"/>
      <c r="J592" s="1191"/>
      <c r="K592" s="1191"/>
      <c r="L592" s="1191"/>
      <c r="M592" s="1191"/>
      <c r="N592" s="1191"/>
      <c r="O592" s="1191"/>
      <c r="P592" s="1199"/>
      <c r="Q592" s="1191"/>
      <c r="R592" s="1191"/>
      <c r="S592" s="1191"/>
      <c r="T592" s="1191"/>
      <c r="U592" s="1191"/>
      <c r="V592" s="1191"/>
      <c r="W592" s="1191"/>
      <c r="X592" s="1191"/>
      <c r="Y592" s="1191"/>
      <c r="Z592" s="1191"/>
      <c r="AA592" s="1191"/>
      <c r="AB592" s="1210"/>
      <c r="AC592" s="1210"/>
      <c r="AD592" s="1210"/>
      <c r="AE592" s="1210"/>
      <c r="AF592" s="1210"/>
      <c r="AG592" s="1210"/>
      <c r="AH592" s="1210"/>
      <c r="AI592" s="1210"/>
      <c r="AJ592" s="1210"/>
    </row>
    <row r="593" spans="1:36" s="1179" customFormat="1">
      <c r="A593" s="1188"/>
      <c r="B593" s="1188"/>
      <c r="C593" s="1188"/>
      <c r="D593" s="1210"/>
      <c r="E593" s="1210"/>
      <c r="F593" s="1210"/>
      <c r="G593" s="1191"/>
      <c r="H593" s="1191"/>
      <c r="I593" s="1199"/>
      <c r="J593" s="1191"/>
      <c r="K593" s="1191"/>
      <c r="L593" s="1191"/>
      <c r="M593" s="1191"/>
      <c r="N593" s="1191"/>
      <c r="O593" s="1191"/>
      <c r="P593" s="1199"/>
      <c r="Q593" s="1191"/>
      <c r="R593" s="1191"/>
      <c r="S593" s="1191"/>
      <c r="T593" s="1191"/>
      <c r="U593" s="1191"/>
      <c r="V593" s="1191"/>
      <c r="W593" s="1191"/>
      <c r="X593" s="1191"/>
      <c r="Y593" s="1191"/>
      <c r="Z593" s="1191"/>
      <c r="AA593" s="1191"/>
      <c r="AB593" s="1210"/>
      <c r="AC593" s="1210"/>
      <c r="AD593" s="1210"/>
      <c r="AE593" s="1210"/>
      <c r="AF593" s="1210"/>
      <c r="AG593" s="1210"/>
      <c r="AH593" s="1210"/>
      <c r="AI593" s="1210"/>
      <c r="AJ593" s="1210"/>
    </row>
    <row r="594" spans="1:36" s="1179" customFormat="1">
      <c r="A594" s="1188"/>
      <c r="B594" s="1188"/>
      <c r="C594" s="1188"/>
      <c r="D594" s="1210"/>
      <c r="E594" s="1210"/>
      <c r="F594" s="1210"/>
      <c r="G594" s="1191"/>
      <c r="H594" s="1191"/>
      <c r="I594" s="1199"/>
      <c r="J594" s="1191"/>
      <c r="K594" s="1191"/>
      <c r="L594" s="1191"/>
      <c r="M594" s="1191"/>
      <c r="N594" s="1191"/>
      <c r="O594" s="1191"/>
      <c r="P594" s="1199"/>
      <c r="Q594" s="1191"/>
      <c r="R594" s="1191"/>
      <c r="S594" s="1191"/>
      <c r="T594" s="1191"/>
      <c r="U594" s="1191"/>
      <c r="V594" s="1191"/>
      <c r="W594" s="1191"/>
      <c r="X594" s="1191"/>
      <c r="Y594" s="1191"/>
      <c r="Z594" s="1191"/>
      <c r="AA594" s="1191"/>
      <c r="AB594" s="1210"/>
      <c r="AC594" s="1210"/>
      <c r="AD594" s="1210"/>
      <c r="AE594" s="1210"/>
      <c r="AF594" s="1210"/>
      <c r="AG594" s="1210"/>
      <c r="AH594" s="1210"/>
      <c r="AI594" s="1210"/>
      <c r="AJ594" s="1210"/>
    </row>
    <row r="595" spans="1:36" s="1179" customFormat="1">
      <c r="A595" s="1188"/>
      <c r="B595" s="1188"/>
      <c r="C595" s="1188"/>
      <c r="D595" s="1210"/>
      <c r="E595" s="1210"/>
      <c r="F595" s="1210"/>
      <c r="G595" s="1191"/>
      <c r="H595" s="1191"/>
      <c r="I595" s="1199"/>
      <c r="J595" s="1191"/>
      <c r="K595" s="1191"/>
      <c r="L595" s="1191"/>
      <c r="M595" s="1191"/>
      <c r="N595" s="1191"/>
      <c r="O595" s="1191"/>
      <c r="P595" s="1199"/>
      <c r="Q595" s="1191"/>
      <c r="R595" s="1191"/>
      <c r="S595" s="1191"/>
      <c r="T595" s="1191"/>
      <c r="U595" s="1191"/>
      <c r="V595" s="1191"/>
      <c r="W595" s="1191"/>
      <c r="X595" s="1191"/>
      <c r="Y595" s="1191"/>
      <c r="Z595" s="1191"/>
      <c r="AA595" s="1191"/>
      <c r="AB595" s="1210"/>
      <c r="AC595" s="1210"/>
      <c r="AD595" s="1210"/>
      <c r="AE595" s="1210"/>
      <c r="AF595" s="1210"/>
      <c r="AG595" s="1210"/>
      <c r="AH595" s="1210"/>
      <c r="AI595" s="1210"/>
      <c r="AJ595" s="1210"/>
    </row>
    <row r="596" spans="1:36" s="1179" customFormat="1">
      <c r="A596" s="1188"/>
      <c r="B596" s="1188"/>
      <c r="C596" s="1188"/>
      <c r="D596" s="1210"/>
      <c r="E596" s="1210"/>
      <c r="F596" s="1210"/>
      <c r="G596" s="1191"/>
      <c r="H596" s="1191"/>
      <c r="I596" s="1199"/>
      <c r="J596" s="1191"/>
      <c r="K596" s="1191"/>
      <c r="L596" s="1191"/>
      <c r="M596" s="1191"/>
      <c r="N596" s="1191"/>
      <c r="O596" s="1191"/>
      <c r="P596" s="1199"/>
      <c r="Q596" s="1191"/>
      <c r="R596" s="1191"/>
      <c r="S596" s="1191"/>
      <c r="T596" s="1191"/>
      <c r="U596" s="1191"/>
      <c r="V596" s="1191"/>
      <c r="W596" s="1191"/>
      <c r="X596" s="1191"/>
      <c r="Y596" s="1191"/>
      <c r="Z596" s="1191"/>
      <c r="AA596" s="1191"/>
      <c r="AB596" s="1210"/>
      <c r="AC596" s="1210"/>
      <c r="AD596" s="1210"/>
      <c r="AE596" s="1210"/>
      <c r="AF596" s="1210"/>
      <c r="AG596" s="1210"/>
      <c r="AH596" s="1210"/>
      <c r="AI596" s="1210"/>
      <c r="AJ596" s="1210"/>
    </row>
    <row r="597" spans="1:36" s="1179" customFormat="1">
      <c r="A597" s="1188"/>
      <c r="B597" s="1188"/>
      <c r="C597" s="1188"/>
      <c r="D597" s="1210"/>
      <c r="E597" s="1210"/>
      <c r="F597" s="1210"/>
      <c r="G597" s="1191"/>
      <c r="H597" s="1191"/>
      <c r="I597" s="1199"/>
      <c r="J597" s="1191"/>
      <c r="K597" s="1191"/>
      <c r="L597" s="1191"/>
      <c r="M597" s="1191"/>
      <c r="N597" s="1191"/>
      <c r="O597" s="1191"/>
      <c r="P597" s="1199"/>
      <c r="Q597" s="1191"/>
      <c r="R597" s="1191"/>
      <c r="S597" s="1191"/>
      <c r="T597" s="1191"/>
      <c r="U597" s="1191"/>
      <c r="V597" s="1191"/>
      <c r="W597" s="1191"/>
      <c r="X597" s="1191"/>
      <c r="Y597" s="1191"/>
      <c r="Z597" s="1191"/>
      <c r="AA597" s="1191"/>
      <c r="AB597" s="1210"/>
      <c r="AC597" s="1210"/>
      <c r="AD597" s="1210"/>
      <c r="AE597" s="1210"/>
      <c r="AF597" s="1210"/>
      <c r="AG597" s="1210"/>
      <c r="AH597" s="1210"/>
      <c r="AI597" s="1210"/>
      <c r="AJ597" s="1210"/>
    </row>
    <row r="598" spans="1:36" s="1179" customFormat="1">
      <c r="A598" s="1188"/>
      <c r="B598" s="1188"/>
      <c r="C598" s="1188"/>
      <c r="D598" s="1210"/>
      <c r="E598" s="1210"/>
      <c r="F598" s="1210"/>
      <c r="G598" s="1191"/>
      <c r="H598" s="1191"/>
      <c r="I598" s="1199"/>
      <c r="J598" s="1191"/>
      <c r="K598" s="1191"/>
      <c r="L598" s="1191"/>
      <c r="M598" s="1191"/>
      <c r="N598" s="1191"/>
      <c r="O598" s="1191"/>
      <c r="P598" s="1199"/>
      <c r="Q598" s="1191"/>
      <c r="R598" s="1191"/>
      <c r="S598" s="1191"/>
      <c r="T598" s="1191"/>
      <c r="U598" s="1191"/>
      <c r="V598" s="1191"/>
      <c r="W598" s="1191"/>
      <c r="X598" s="1191"/>
      <c r="Y598" s="1191"/>
      <c r="Z598" s="1191"/>
      <c r="AA598" s="1191"/>
      <c r="AB598" s="1210"/>
      <c r="AC598" s="1210"/>
      <c r="AD598" s="1210"/>
      <c r="AE598" s="1210"/>
      <c r="AF598" s="1210"/>
      <c r="AG598" s="1210"/>
      <c r="AH598" s="1210"/>
      <c r="AI598" s="1210"/>
      <c r="AJ598" s="1210"/>
    </row>
    <row r="599" spans="1:36" s="1179" customFormat="1">
      <c r="A599" s="1188"/>
      <c r="B599" s="1188"/>
      <c r="C599" s="1188"/>
      <c r="D599" s="1210"/>
      <c r="E599" s="1210"/>
      <c r="F599" s="1210"/>
      <c r="G599" s="1191"/>
      <c r="H599" s="1191"/>
      <c r="I599" s="1199"/>
      <c r="J599" s="1191"/>
      <c r="K599" s="1191"/>
      <c r="L599" s="1191"/>
      <c r="M599" s="1191"/>
      <c r="N599" s="1191"/>
      <c r="O599" s="1191"/>
      <c r="P599" s="1199"/>
      <c r="Q599" s="1191"/>
      <c r="R599" s="1191"/>
      <c r="S599" s="1191"/>
      <c r="T599" s="1191"/>
      <c r="U599" s="1191"/>
      <c r="V599" s="1191"/>
      <c r="W599" s="1191"/>
      <c r="X599" s="1191"/>
      <c r="Y599" s="1191"/>
      <c r="Z599" s="1191"/>
      <c r="AA599" s="1191"/>
      <c r="AB599" s="1210"/>
      <c r="AC599" s="1210"/>
      <c r="AD599" s="1210"/>
      <c r="AE599" s="1210"/>
      <c r="AF599" s="1210"/>
      <c r="AG599" s="1210"/>
      <c r="AH599" s="1210"/>
      <c r="AI599" s="1210"/>
      <c r="AJ599" s="1210"/>
    </row>
    <row r="600" spans="1:36" s="1179" customFormat="1">
      <c r="A600" s="1188"/>
      <c r="B600" s="1188"/>
      <c r="C600" s="1188"/>
      <c r="D600" s="1210"/>
      <c r="E600" s="1210"/>
      <c r="F600" s="1210"/>
      <c r="G600" s="1191"/>
      <c r="H600" s="1191"/>
      <c r="I600" s="1199"/>
      <c r="J600" s="1191"/>
      <c r="K600" s="1191"/>
      <c r="L600" s="1191"/>
      <c r="M600" s="1191"/>
      <c r="N600" s="1191"/>
      <c r="O600" s="1191"/>
      <c r="P600" s="1199"/>
      <c r="Q600" s="1191"/>
      <c r="R600" s="1191"/>
      <c r="S600" s="1191"/>
      <c r="T600" s="1191"/>
      <c r="U600" s="1191"/>
      <c r="V600" s="1191"/>
      <c r="W600" s="1191"/>
      <c r="X600" s="1191"/>
      <c r="Y600" s="1191"/>
      <c r="Z600" s="1191"/>
      <c r="AA600" s="1191"/>
      <c r="AB600" s="1210"/>
      <c r="AC600" s="1210"/>
      <c r="AD600" s="1210"/>
      <c r="AE600" s="1210"/>
      <c r="AF600" s="1210"/>
      <c r="AG600" s="1210"/>
      <c r="AH600" s="1210"/>
      <c r="AI600" s="1210"/>
      <c r="AJ600" s="1210"/>
    </row>
    <row r="601" spans="1:36" s="1179" customFormat="1">
      <c r="A601" s="1188"/>
      <c r="B601" s="1188"/>
      <c r="C601" s="1188"/>
      <c r="D601" s="1210"/>
      <c r="E601" s="1210"/>
      <c r="F601" s="1210"/>
      <c r="G601" s="1191"/>
      <c r="H601" s="1191"/>
      <c r="I601" s="1199"/>
      <c r="J601" s="1191"/>
      <c r="K601" s="1191"/>
      <c r="L601" s="1191"/>
      <c r="M601" s="1191"/>
      <c r="N601" s="1191"/>
      <c r="O601" s="1191"/>
      <c r="P601" s="1199"/>
      <c r="Q601" s="1191"/>
      <c r="R601" s="1191"/>
      <c r="S601" s="1191"/>
      <c r="T601" s="1191"/>
      <c r="U601" s="1191"/>
      <c r="V601" s="1191"/>
      <c r="W601" s="1191"/>
      <c r="X601" s="1191"/>
      <c r="Y601" s="1191"/>
      <c r="Z601" s="1191"/>
      <c r="AA601" s="1191"/>
      <c r="AB601" s="1210"/>
      <c r="AC601" s="1210"/>
      <c r="AD601" s="1210"/>
      <c r="AE601" s="1210"/>
      <c r="AF601" s="1210"/>
      <c r="AG601" s="1210"/>
      <c r="AH601" s="1210"/>
      <c r="AI601" s="1210"/>
      <c r="AJ601" s="1210"/>
    </row>
    <row r="602" spans="1:36" s="1179" customFormat="1">
      <c r="A602" s="1188"/>
      <c r="B602" s="1188"/>
      <c r="C602" s="1188"/>
      <c r="D602" s="1210"/>
      <c r="E602" s="1210"/>
      <c r="F602" s="1210"/>
      <c r="G602" s="1191"/>
      <c r="H602" s="1191"/>
      <c r="I602" s="1199"/>
      <c r="J602" s="1191"/>
      <c r="K602" s="1191"/>
      <c r="L602" s="1191"/>
      <c r="M602" s="1191"/>
      <c r="N602" s="1191"/>
      <c r="O602" s="1191"/>
      <c r="P602" s="1199"/>
      <c r="Q602" s="1191"/>
      <c r="R602" s="1191"/>
      <c r="S602" s="1191"/>
      <c r="T602" s="1191"/>
      <c r="U602" s="1191"/>
      <c r="V602" s="1191"/>
      <c r="W602" s="1191"/>
      <c r="X602" s="1191"/>
      <c r="Y602" s="1191"/>
      <c r="Z602" s="1191"/>
      <c r="AA602" s="1191"/>
      <c r="AB602" s="1210"/>
      <c r="AC602" s="1210"/>
      <c r="AD602" s="1210"/>
      <c r="AE602" s="1210"/>
      <c r="AF602" s="1210"/>
      <c r="AG602" s="1210"/>
      <c r="AH602" s="1210"/>
      <c r="AI602" s="1210"/>
      <c r="AJ602" s="1210"/>
    </row>
    <row r="603" spans="1:36" s="1179" customFormat="1">
      <c r="A603" s="1188"/>
      <c r="B603" s="1188"/>
      <c r="C603" s="1188"/>
      <c r="D603" s="1210"/>
      <c r="E603" s="1210"/>
      <c r="F603" s="1210"/>
      <c r="G603" s="1191"/>
      <c r="H603" s="1191"/>
      <c r="I603" s="1199"/>
      <c r="J603" s="1191"/>
      <c r="K603" s="1191"/>
      <c r="L603" s="1191"/>
      <c r="M603" s="1191"/>
      <c r="N603" s="1191"/>
      <c r="O603" s="1191"/>
      <c r="P603" s="1199"/>
      <c r="Q603" s="1191"/>
      <c r="R603" s="1191"/>
      <c r="S603" s="1191"/>
      <c r="T603" s="1191"/>
      <c r="U603" s="1191"/>
      <c r="V603" s="1191"/>
      <c r="W603" s="1191"/>
      <c r="X603" s="1191"/>
      <c r="Y603" s="1191"/>
      <c r="Z603" s="1191"/>
      <c r="AA603" s="1191"/>
      <c r="AB603" s="1210"/>
      <c r="AC603" s="1210"/>
      <c r="AD603" s="1210"/>
      <c r="AE603" s="1210"/>
      <c r="AF603" s="1210"/>
      <c r="AG603" s="1210"/>
      <c r="AH603" s="1210"/>
      <c r="AI603" s="1210"/>
      <c r="AJ603" s="1210"/>
    </row>
    <row r="604" spans="1:36" s="1179" customFormat="1">
      <c r="A604" s="1188"/>
      <c r="B604" s="1188"/>
      <c r="C604" s="1188"/>
      <c r="D604" s="1210"/>
      <c r="E604" s="1210"/>
      <c r="F604" s="1210"/>
      <c r="G604" s="1191"/>
      <c r="H604" s="1191"/>
      <c r="I604" s="1199"/>
      <c r="J604" s="1191"/>
      <c r="K604" s="1191"/>
      <c r="L604" s="1191"/>
      <c r="M604" s="1191"/>
      <c r="N604" s="1191"/>
      <c r="O604" s="1191"/>
      <c r="P604" s="1199"/>
      <c r="Q604" s="1191"/>
      <c r="R604" s="1191"/>
      <c r="S604" s="1191"/>
      <c r="T604" s="1191"/>
      <c r="U604" s="1191"/>
      <c r="V604" s="1191"/>
      <c r="W604" s="1191"/>
      <c r="X604" s="1191"/>
      <c r="Y604" s="1191"/>
      <c r="Z604" s="1191"/>
      <c r="AA604" s="1191"/>
      <c r="AB604" s="1210"/>
      <c r="AC604" s="1210"/>
      <c r="AD604" s="1210"/>
      <c r="AE604" s="1210"/>
      <c r="AF604" s="1210"/>
      <c r="AG604" s="1210"/>
      <c r="AH604" s="1210"/>
      <c r="AI604" s="1210"/>
      <c r="AJ604" s="1210"/>
    </row>
    <row r="605" spans="1:36" s="1179" customFormat="1">
      <c r="A605" s="1188"/>
      <c r="B605" s="1188"/>
      <c r="C605" s="1188"/>
      <c r="D605" s="1210"/>
      <c r="E605" s="1210"/>
      <c r="F605" s="1210"/>
      <c r="G605" s="1191"/>
      <c r="H605" s="1191"/>
      <c r="I605" s="1199"/>
      <c r="J605" s="1191"/>
      <c r="K605" s="1191"/>
      <c r="L605" s="1191"/>
      <c r="M605" s="1191"/>
      <c r="N605" s="1191"/>
      <c r="O605" s="1191"/>
      <c r="P605" s="1199"/>
      <c r="Q605" s="1191"/>
      <c r="R605" s="1191"/>
      <c r="S605" s="1191"/>
      <c r="T605" s="1191"/>
      <c r="U605" s="1191"/>
      <c r="V605" s="1191"/>
      <c r="W605" s="1191"/>
      <c r="X605" s="1191"/>
      <c r="Y605" s="1191"/>
      <c r="Z605" s="1191"/>
      <c r="AA605" s="1191"/>
      <c r="AB605" s="1210"/>
      <c r="AC605" s="1210"/>
      <c r="AD605" s="1210"/>
      <c r="AE605" s="1210"/>
      <c r="AF605" s="1210"/>
      <c r="AG605" s="1210"/>
      <c r="AH605" s="1210"/>
      <c r="AI605" s="1210"/>
      <c r="AJ605" s="1210"/>
    </row>
    <row r="606" spans="1:36" s="1179" customFormat="1">
      <c r="A606" s="1188"/>
      <c r="B606" s="1188"/>
      <c r="C606" s="1188"/>
      <c r="D606" s="1210"/>
      <c r="E606" s="1210"/>
      <c r="F606" s="1210"/>
      <c r="G606" s="1191"/>
      <c r="H606" s="1191"/>
      <c r="I606" s="1199"/>
      <c r="J606" s="1191"/>
      <c r="K606" s="1191"/>
      <c r="L606" s="1191"/>
      <c r="M606" s="1191"/>
      <c r="N606" s="1191"/>
      <c r="O606" s="1191"/>
      <c r="P606" s="1199"/>
      <c r="Q606" s="1191"/>
      <c r="R606" s="1191"/>
      <c r="S606" s="1191"/>
      <c r="T606" s="1191"/>
      <c r="U606" s="1191"/>
      <c r="V606" s="1191"/>
      <c r="W606" s="1191"/>
      <c r="X606" s="1191"/>
      <c r="Y606" s="1191"/>
      <c r="Z606" s="1191"/>
      <c r="AA606" s="1191"/>
      <c r="AB606" s="1210"/>
      <c r="AC606" s="1210"/>
      <c r="AD606" s="1210"/>
      <c r="AE606" s="1210"/>
      <c r="AF606" s="1210"/>
      <c r="AG606" s="1210"/>
      <c r="AH606" s="1210"/>
      <c r="AI606" s="1210"/>
      <c r="AJ606" s="1210"/>
    </row>
    <row r="607" spans="1:36" s="1179" customFormat="1">
      <c r="A607" s="1188"/>
      <c r="B607" s="1188"/>
      <c r="C607" s="1188"/>
      <c r="D607" s="1210"/>
      <c r="E607" s="1210"/>
      <c r="F607" s="1210"/>
      <c r="G607" s="1191"/>
      <c r="H607" s="1191"/>
      <c r="I607" s="1199"/>
      <c r="J607" s="1191"/>
      <c r="K607" s="1191"/>
      <c r="L607" s="1191"/>
      <c r="M607" s="1191"/>
      <c r="N607" s="1191"/>
      <c r="O607" s="1191"/>
      <c r="P607" s="1199"/>
      <c r="Q607" s="1191"/>
      <c r="R607" s="1191"/>
      <c r="S607" s="1191"/>
      <c r="T607" s="1191"/>
      <c r="U607" s="1191"/>
      <c r="V607" s="1191"/>
      <c r="W607" s="1191"/>
      <c r="X607" s="1191"/>
      <c r="Y607" s="1191"/>
      <c r="Z607" s="1191"/>
      <c r="AA607" s="1191"/>
      <c r="AB607" s="1210"/>
      <c r="AC607" s="1210"/>
      <c r="AD607" s="1210"/>
      <c r="AE607" s="1210"/>
      <c r="AF607" s="1210"/>
      <c r="AG607" s="1210"/>
      <c r="AH607" s="1210"/>
      <c r="AI607" s="1210"/>
      <c r="AJ607" s="1210"/>
    </row>
    <row r="608" spans="1:36" s="1179" customFormat="1">
      <c r="A608" s="1188"/>
      <c r="B608" s="1188"/>
      <c r="C608" s="1188"/>
      <c r="D608" s="1210"/>
      <c r="E608" s="1210"/>
      <c r="F608" s="1210"/>
      <c r="G608" s="1191"/>
      <c r="H608" s="1191"/>
      <c r="I608" s="1199"/>
      <c r="J608" s="1191"/>
      <c r="K608" s="1191"/>
      <c r="L608" s="1191"/>
      <c r="M608" s="1191"/>
      <c r="N608" s="1191"/>
      <c r="O608" s="1191"/>
      <c r="P608" s="1199"/>
      <c r="Q608" s="1191"/>
      <c r="R608" s="1191"/>
      <c r="S608" s="1191"/>
      <c r="T608" s="1191"/>
      <c r="U608" s="1191"/>
      <c r="V608" s="1191"/>
      <c r="W608" s="1191"/>
      <c r="X608" s="1191"/>
      <c r="Y608" s="1191"/>
      <c r="Z608" s="1191"/>
      <c r="AA608" s="1191"/>
      <c r="AB608" s="1210"/>
      <c r="AC608" s="1210"/>
      <c r="AD608" s="1210"/>
      <c r="AE608" s="1210"/>
      <c r="AF608" s="1210"/>
      <c r="AG608" s="1210"/>
      <c r="AH608" s="1210"/>
      <c r="AI608" s="1210"/>
      <c r="AJ608" s="1210"/>
    </row>
    <row r="609" spans="1:36" s="1179" customFormat="1">
      <c r="A609" s="1188"/>
      <c r="B609" s="1188"/>
      <c r="C609" s="1188"/>
      <c r="D609" s="1210"/>
      <c r="E609" s="1210"/>
      <c r="F609" s="1210"/>
      <c r="G609" s="1191"/>
      <c r="H609" s="1191"/>
      <c r="I609" s="1199"/>
      <c r="J609" s="1191"/>
      <c r="K609" s="1191"/>
      <c r="L609" s="1191"/>
      <c r="M609" s="1191"/>
      <c r="N609" s="1191"/>
      <c r="O609" s="1191"/>
      <c r="P609" s="1199"/>
      <c r="Q609" s="1191"/>
      <c r="R609" s="1191"/>
      <c r="S609" s="1191"/>
      <c r="T609" s="1191"/>
      <c r="U609" s="1191"/>
      <c r="V609" s="1191"/>
      <c r="W609" s="1191"/>
      <c r="X609" s="1191"/>
      <c r="Y609" s="1191"/>
      <c r="Z609" s="1191"/>
      <c r="AA609" s="1191"/>
      <c r="AB609" s="1210"/>
      <c r="AC609" s="1210"/>
      <c r="AD609" s="1210"/>
      <c r="AE609" s="1210"/>
      <c r="AF609" s="1210"/>
      <c r="AG609" s="1210"/>
      <c r="AH609" s="1210"/>
      <c r="AI609" s="1210"/>
      <c r="AJ609" s="1210"/>
    </row>
    <row r="610" spans="1:36" s="1179" customFormat="1">
      <c r="A610" s="1188"/>
      <c r="B610" s="1188"/>
      <c r="C610" s="1188"/>
      <c r="D610" s="1210"/>
      <c r="E610" s="1210"/>
      <c r="F610" s="1210"/>
      <c r="G610" s="1191"/>
      <c r="H610" s="1191"/>
      <c r="I610" s="1199"/>
      <c r="J610" s="1191"/>
      <c r="K610" s="1191"/>
      <c r="L610" s="1191"/>
      <c r="M610" s="1191"/>
      <c r="N610" s="1191"/>
      <c r="O610" s="1191"/>
      <c r="P610" s="1199"/>
      <c r="Q610" s="1191"/>
      <c r="R610" s="1191"/>
      <c r="S610" s="1191"/>
      <c r="T610" s="1191"/>
      <c r="U610" s="1191"/>
      <c r="V610" s="1191"/>
      <c r="W610" s="1191"/>
      <c r="X610" s="1191"/>
      <c r="Y610" s="1191"/>
      <c r="Z610" s="1191"/>
      <c r="AA610" s="1191"/>
      <c r="AB610" s="1210"/>
      <c r="AC610" s="1210"/>
      <c r="AD610" s="1210"/>
      <c r="AE610" s="1210"/>
      <c r="AF610" s="1210"/>
      <c r="AG610" s="1210"/>
      <c r="AH610" s="1210"/>
      <c r="AI610" s="1210"/>
      <c r="AJ610" s="1210"/>
    </row>
    <row r="611" spans="1:36" s="1179" customFormat="1">
      <c r="A611" s="1188"/>
      <c r="B611" s="1188"/>
      <c r="C611" s="1188"/>
      <c r="D611" s="1210"/>
      <c r="E611" s="1210"/>
      <c r="F611" s="1210"/>
      <c r="G611" s="1191"/>
      <c r="H611" s="1191"/>
      <c r="I611" s="1199"/>
      <c r="J611" s="1191"/>
      <c r="K611" s="1191"/>
      <c r="L611" s="1191"/>
      <c r="M611" s="1191"/>
      <c r="N611" s="1191"/>
      <c r="O611" s="1191"/>
      <c r="P611" s="1199"/>
      <c r="Q611" s="1191"/>
      <c r="R611" s="1191"/>
      <c r="S611" s="1191"/>
      <c r="T611" s="1191"/>
      <c r="U611" s="1191"/>
      <c r="V611" s="1191"/>
      <c r="W611" s="1191"/>
      <c r="X611" s="1191"/>
      <c r="Y611" s="1191"/>
      <c r="Z611" s="1191"/>
      <c r="AA611" s="1191"/>
      <c r="AB611" s="1210"/>
      <c r="AC611" s="1210"/>
      <c r="AD611" s="1210"/>
      <c r="AE611" s="1210"/>
      <c r="AF611" s="1210"/>
      <c r="AG611" s="1210"/>
      <c r="AH611" s="1210"/>
      <c r="AI611" s="1210"/>
      <c r="AJ611" s="1210"/>
    </row>
    <row r="612" spans="1:36" s="1179" customFormat="1">
      <c r="A612" s="1188"/>
      <c r="B612" s="1188"/>
      <c r="C612" s="1188"/>
      <c r="D612" s="1210"/>
      <c r="E612" s="1210"/>
      <c r="F612" s="1210"/>
      <c r="G612" s="1191"/>
      <c r="H612" s="1191"/>
      <c r="I612" s="1199"/>
      <c r="J612" s="1191"/>
      <c r="K612" s="1191"/>
      <c r="L612" s="1191"/>
      <c r="M612" s="1191"/>
      <c r="N612" s="1191"/>
      <c r="O612" s="1191"/>
      <c r="P612" s="1199"/>
      <c r="Q612" s="1191"/>
      <c r="R612" s="1191"/>
      <c r="S612" s="1191"/>
      <c r="T612" s="1191"/>
      <c r="U612" s="1191"/>
      <c r="V612" s="1191"/>
      <c r="W612" s="1191"/>
      <c r="X612" s="1191"/>
      <c r="Y612" s="1191"/>
      <c r="Z612" s="1191"/>
      <c r="AA612" s="1191"/>
      <c r="AB612" s="1210"/>
      <c r="AC612" s="1210"/>
      <c r="AD612" s="1210"/>
      <c r="AE612" s="1210"/>
      <c r="AF612" s="1210"/>
      <c r="AG612" s="1210"/>
      <c r="AH612" s="1210"/>
      <c r="AI612" s="1210"/>
      <c r="AJ612" s="1210"/>
    </row>
    <row r="613" spans="1:36" s="1179" customFormat="1">
      <c r="A613" s="1188"/>
      <c r="B613" s="1188"/>
      <c r="C613" s="1188"/>
      <c r="D613" s="1210"/>
      <c r="E613" s="1210"/>
      <c r="F613" s="1210"/>
      <c r="G613" s="1191"/>
      <c r="H613" s="1191"/>
      <c r="I613" s="1199"/>
      <c r="J613" s="1191"/>
      <c r="K613" s="1191"/>
      <c r="L613" s="1191"/>
      <c r="M613" s="1191"/>
      <c r="N613" s="1191"/>
      <c r="O613" s="1191"/>
      <c r="P613" s="1199"/>
      <c r="Q613" s="1191"/>
      <c r="R613" s="1191"/>
      <c r="S613" s="1191"/>
      <c r="T613" s="1191"/>
      <c r="U613" s="1191"/>
      <c r="V613" s="1191"/>
      <c r="W613" s="1191"/>
      <c r="X613" s="1191"/>
      <c r="Y613" s="1191"/>
      <c r="Z613" s="1191"/>
      <c r="AA613" s="1191"/>
      <c r="AB613" s="1210"/>
      <c r="AC613" s="1210"/>
      <c r="AD613" s="1210"/>
      <c r="AE613" s="1210"/>
      <c r="AF613" s="1210"/>
      <c r="AG613" s="1210"/>
      <c r="AH613" s="1210"/>
      <c r="AI613" s="1210"/>
      <c r="AJ613" s="1210"/>
    </row>
    <row r="614" spans="1:36" s="1179" customFormat="1">
      <c r="A614" s="1188"/>
      <c r="B614" s="1188"/>
      <c r="C614" s="1188"/>
      <c r="D614" s="1210"/>
      <c r="E614" s="1210"/>
      <c r="F614" s="1210"/>
      <c r="G614" s="1191"/>
      <c r="H614" s="1191"/>
      <c r="I614" s="1199"/>
      <c r="J614" s="1191"/>
      <c r="K614" s="1191"/>
      <c r="L614" s="1191"/>
      <c r="M614" s="1191"/>
      <c r="N614" s="1191"/>
      <c r="O614" s="1191"/>
      <c r="P614" s="1199"/>
      <c r="Q614" s="1191"/>
      <c r="R614" s="1191"/>
      <c r="S614" s="1191"/>
      <c r="T614" s="1191"/>
      <c r="U614" s="1191"/>
      <c r="V614" s="1191"/>
      <c r="W614" s="1191"/>
      <c r="X614" s="1191"/>
      <c r="Y614" s="1191"/>
      <c r="Z614" s="1191"/>
      <c r="AA614" s="1191"/>
      <c r="AB614" s="1210"/>
      <c r="AC614" s="1210"/>
      <c r="AD614" s="1210"/>
      <c r="AE614" s="1210"/>
      <c r="AF614" s="1210"/>
      <c r="AG614" s="1210"/>
      <c r="AH614" s="1210"/>
      <c r="AI614" s="1210"/>
      <c r="AJ614" s="1210"/>
    </row>
    <row r="615" spans="1:36" s="1179" customFormat="1">
      <c r="A615" s="1188"/>
      <c r="B615" s="1188"/>
      <c r="C615" s="1188"/>
      <c r="D615" s="1210"/>
      <c r="E615" s="1210"/>
      <c r="F615" s="1210"/>
      <c r="G615" s="1191"/>
      <c r="H615" s="1191"/>
      <c r="I615" s="1199"/>
      <c r="J615" s="1191"/>
      <c r="K615" s="1191"/>
      <c r="L615" s="1191"/>
      <c r="M615" s="1191"/>
      <c r="N615" s="1191"/>
      <c r="O615" s="1191"/>
      <c r="P615" s="1199"/>
      <c r="Q615" s="1191"/>
      <c r="R615" s="1191"/>
      <c r="S615" s="1191"/>
      <c r="T615" s="1191"/>
      <c r="U615" s="1191"/>
      <c r="V615" s="1191"/>
      <c r="W615" s="1191"/>
      <c r="X615" s="1191"/>
      <c r="Y615" s="1191"/>
      <c r="Z615" s="1191"/>
      <c r="AA615" s="1191"/>
      <c r="AB615" s="1210"/>
      <c r="AC615" s="1210"/>
      <c r="AD615" s="1210"/>
      <c r="AE615" s="1210"/>
      <c r="AF615" s="1210"/>
      <c r="AG615" s="1210"/>
      <c r="AH615" s="1210"/>
      <c r="AI615" s="1210"/>
      <c r="AJ615" s="1210"/>
    </row>
    <row r="616" spans="1:36" s="1179" customFormat="1">
      <c r="A616" s="1188"/>
      <c r="B616" s="1188"/>
      <c r="C616" s="1188"/>
      <c r="D616" s="1210"/>
      <c r="E616" s="1210"/>
      <c r="F616" s="1210"/>
      <c r="G616" s="1191"/>
      <c r="H616" s="1191"/>
      <c r="I616" s="1199"/>
      <c r="J616" s="1191"/>
      <c r="K616" s="1191"/>
      <c r="L616" s="1191"/>
      <c r="M616" s="1191"/>
      <c r="N616" s="1191"/>
      <c r="O616" s="1191"/>
      <c r="P616" s="1199"/>
      <c r="Q616" s="1191"/>
      <c r="R616" s="1191"/>
      <c r="S616" s="1191"/>
      <c r="T616" s="1191"/>
      <c r="U616" s="1191"/>
      <c r="V616" s="1191"/>
      <c r="W616" s="1191"/>
      <c r="X616" s="1191"/>
      <c r="Y616" s="1191"/>
      <c r="Z616" s="1191"/>
      <c r="AA616" s="1191"/>
      <c r="AB616" s="1210"/>
      <c r="AC616" s="1210"/>
      <c r="AD616" s="1210"/>
      <c r="AE616" s="1210"/>
      <c r="AF616" s="1210"/>
      <c r="AG616" s="1210"/>
      <c r="AH616" s="1210"/>
      <c r="AI616" s="1210"/>
      <c r="AJ616" s="1210"/>
    </row>
    <row r="617" spans="1:36" s="1179" customFormat="1">
      <c r="A617" s="1188"/>
      <c r="B617" s="1188"/>
      <c r="C617" s="1188"/>
      <c r="D617" s="1210"/>
      <c r="E617" s="1210"/>
      <c r="F617" s="1210"/>
      <c r="G617" s="1191"/>
      <c r="H617" s="1191"/>
      <c r="I617" s="1199"/>
      <c r="J617" s="1191"/>
      <c r="K617" s="1191"/>
      <c r="L617" s="1191"/>
      <c r="M617" s="1191"/>
      <c r="N617" s="1191"/>
      <c r="O617" s="1191"/>
      <c r="P617" s="1199"/>
      <c r="Q617" s="1191"/>
      <c r="R617" s="1191"/>
      <c r="S617" s="1191"/>
      <c r="T617" s="1191"/>
      <c r="U617" s="1191"/>
      <c r="V617" s="1191"/>
      <c r="W617" s="1191"/>
      <c r="X617" s="1191"/>
      <c r="Y617" s="1191"/>
      <c r="Z617" s="1191"/>
      <c r="AA617" s="1191"/>
      <c r="AB617" s="1210"/>
      <c r="AC617" s="1210"/>
      <c r="AD617" s="1210"/>
      <c r="AE617" s="1210"/>
      <c r="AF617" s="1210"/>
      <c r="AG617" s="1210"/>
      <c r="AH617" s="1210"/>
      <c r="AI617" s="1210"/>
      <c r="AJ617" s="1210"/>
    </row>
    <row r="618" spans="1:36" s="1179" customFormat="1">
      <c r="A618" s="1188"/>
      <c r="B618" s="1188"/>
      <c r="C618" s="1188"/>
      <c r="D618" s="1210"/>
      <c r="E618" s="1210"/>
      <c r="F618" s="1210"/>
      <c r="G618" s="1191"/>
      <c r="H618" s="1191"/>
      <c r="I618" s="1199"/>
      <c r="J618" s="1191"/>
      <c r="K618" s="1191"/>
      <c r="L618" s="1191"/>
      <c r="M618" s="1191"/>
      <c r="N618" s="1191"/>
      <c r="O618" s="1191"/>
      <c r="P618" s="1199"/>
      <c r="Q618" s="1191"/>
      <c r="R618" s="1191"/>
      <c r="S618" s="1191"/>
      <c r="T618" s="1191"/>
      <c r="U618" s="1191"/>
      <c r="V618" s="1191"/>
      <c r="W618" s="1191"/>
      <c r="X618" s="1191"/>
      <c r="Y618" s="1191"/>
      <c r="Z618" s="1191"/>
      <c r="AA618" s="1191"/>
      <c r="AB618" s="1210"/>
      <c r="AC618" s="1210"/>
      <c r="AD618" s="1210"/>
      <c r="AE618" s="1210"/>
      <c r="AF618" s="1210"/>
      <c r="AG618" s="1210"/>
      <c r="AH618" s="1210"/>
      <c r="AI618" s="1210"/>
      <c r="AJ618" s="1210"/>
    </row>
    <row r="619" spans="1:36" s="1179" customFormat="1">
      <c r="A619" s="1188"/>
      <c r="B619" s="1188"/>
      <c r="C619" s="1188"/>
      <c r="D619" s="1210"/>
      <c r="E619" s="1210"/>
      <c r="F619" s="1210"/>
      <c r="G619" s="1191"/>
      <c r="H619" s="1191"/>
      <c r="I619" s="1199"/>
      <c r="J619" s="1191"/>
      <c r="K619" s="1191"/>
      <c r="L619" s="1191"/>
      <c r="M619" s="1191"/>
      <c r="N619" s="1191"/>
      <c r="O619" s="1191"/>
      <c r="P619" s="1199"/>
      <c r="Q619" s="1191"/>
      <c r="R619" s="1191"/>
      <c r="S619" s="1191"/>
      <c r="T619" s="1191"/>
      <c r="U619" s="1191"/>
      <c r="V619" s="1191"/>
      <c r="W619" s="1191"/>
      <c r="X619" s="1191"/>
      <c r="Y619" s="1191"/>
      <c r="Z619" s="1191"/>
      <c r="AA619" s="1191"/>
      <c r="AB619" s="1210"/>
      <c r="AC619" s="1210"/>
      <c r="AD619" s="1210"/>
      <c r="AE619" s="1210"/>
      <c r="AF619" s="1210"/>
      <c r="AG619" s="1210"/>
      <c r="AH619" s="1210"/>
      <c r="AI619" s="1210"/>
      <c r="AJ619" s="1210"/>
    </row>
    <row r="620" spans="1:36" s="1179" customFormat="1">
      <c r="A620" s="1188"/>
      <c r="B620" s="1188"/>
      <c r="C620" s="1188"/>
      <c r="D620" s="1210"/>
      <c r="E620" s="1210"/>
      <c r="F620" s="1210"/>
      <c r="G620" s="1191"/>
      <c r="H620" s="1191"/>
      <c r="I620" s="1199"/>
      <c r="J620" s="1191"/>
      <c r="K620" s="1191"/>
      <c r="L620" s="1191"/>
      <c r="M620" s="1191"/>
      <c r="N620" s="1191"/>
      <c r="O620" s="1191"/>
      <c r="P620" s="1199"/>
      <c r="Q620" s="1191"/>
      <c r="R620" s="1191"/>
      <c r="S620" s="1191"/>
      <c r="T620" s="1191"/>
      <c r="U620" s="1191"/>
      <c r="V620" s="1191"/>
      <c r="W620" s="1191"/>
      <c r="X620" s="1191"/>
      <c r="Y620" s="1191"/>
      <c r="Z620" s="1191"/>
      <c r="AA620" s="1191"/>
      <c r="AB620" s="1210"/>
      <c r="AC620" s="1210"/>
      <c r="AD620" s="1210"/>
      <c r="AE620" s="1210"/>
      <c r="AF620" s="1210"/>
      <c r="AG620" s="1210"/>
      <c r="AH620" s="1210"/>
      <c r="AI620" s="1210"/>
      <c r="AJ620" s="1210"/>
    </row>
    <row r="621" spans="1:36" s="1179" customFormat="1">
      <c r="A621" s="1188"/>
      <c r="B621" s="1188"/>
      <c r="C621" s="1188"/>
      <c r="D621" s="1210"/>
      <c r="E621" s="1210"/>
      <c r="F621" s="1210"/>
      <c r="G621" s="1191"/>
      <c r="H621" s="1191"/>
      <c r="I621" s="1199"/>
      <c r="J621" s="1191"/>
      <c r="K621" s="1191"/>
      <c r="L621" s="1191"/>
      <c r="M621" s="1191"/>
      <c r="N621" s="1191"/>
      <c r="O621" s="1191"/>
      <c r="P621" s="1199"/>
      <c r="Q621" s="1191"/>
      <c r="R621" s="1191"/>
      <c r="S621" s="1191"/>
      <c r="T621" s="1191"/>
      <c r="U621" s="1191"/>
      <c r="V621" s="1191"/>
      <c r="W621" s="1191"/>
      <c r="X621" s="1191"/>
      <c r="Y621" s="1191"/>
      <c r="Z621" s="1191"/>
      <c r="AA621" s="1191"/>
      <c r="AB621" s="1210"/>
      <c r="AC621" s="1210"/>
      <c r="AD621" s="1210"/>
      <c r="AE621" s="1210"/>
      <c r="AF621" s="1210"/>
      <c r="AG621" s="1210"/>
      <c r="AH621" s="1210"/>
      <c r="AI621" s="1210"/>
      <c r="AJ621" s="1210"/>
    </row>
    <row r="622" spans="1:36" s="1179" customFormat="1">
      <c r="A622" s="1188"/>
      <c r="B622" s="1188"/>
      <c r="C622" s="1188"/>
      <c r="D622" s="1210"/>
      <c r="E622" s="1210"/>
      <c r="F622" s="1210"/>
      <c r="G622" s="1191"/>
      <c r="H622" s="1191"/>
      <c r="I622" s="1199"/>
      <c r="J622" s="1191"/>
      <c r="K622" s="1191"/>
      <c r="L622" s="1191"/>
      <c r="M622" s="1191"/>
      <c r="N622" s="1191"/>
      <c r="O622" s="1191"/>
      <c r="P622" s="1199"/>
      <c r="Q622" s="1191"/>
      <c r="R622" s="1191"/>
      <c r="S622" s="1191"/>
      <c r="T622" s="1191"/>
      <c r="U622" s="1191"/>
      <c r="V622" s="1191"/>
      <c r="W622" s="1191"/>
      <c r="X622" s="1191"/>
      <c r="Y622" s="1191"/>
      <c r="Z622" s="1191"/>
      <c r="AA622" s="1191"/>
      <c r="AB622" s="1210"/>
      <c r="AC622" s="1210"/>
      <c r="AD622" s="1210"/>
      <c r="AE622" s="1210"/>
      <c r="AF622" s="1210"/>
      <c r="AG622" s="1210"/>
      <c r="AH622" s="1210"/>
      <c r="AI622" s="1210"/>
      <c r="AJ622" s="1210"/>
    </row>
    <row r="623" spans="1:36" s="1179" customFormat="1">
      <c r="A623" s="1188"/>
      <c r="B623" s="1188"/>
      <c r="C623" s="1188"/>
      <c r="D623" s="1210"/>
      <c r="E623" s="1210"/>
      <c r="F623" s="1210"/>
      <c r="G623" s="1191"/>
      <c r="H623" s="1191"/>
      <c r="I623" s="1199"/>
      <c r="J623" s="1191"/>
      <c r="K623" s="1191"/>
      <c r="L623" s="1191"/>
      <c r="M623" s="1191"/>
      <c r="N623" s="1191"/>
      <c r="O623" s="1191"/>
      <c r="P623" s="1199"/>
      <c r="Q623" s="1191"/>
      <c r="R623" s="1191"/>
      <c r="S623" s="1191"/>
      <c r="T623" s="1191"/>
      <c r="U623" s="1191"/>
      <c r="V623" s="1191"/>
      <c r="W623" s="1191"/>
      <c r="X623" s="1191"/>
      <c r="Y623" s="1191"/>
      <c r="Z623" s="1191"/>
      <c r="AA623" s="1191"/>
      <c r="AB623" s="1210"/>
      <c r="AC623" s="1210"/>
      <c r="AD623" s="1210"/>
      <c r="AE623" s="1210"/>
      <c r="AF623" s="1210"/>
      <c r="AG623" s="1210"/>
      <c r="AH623" s="1210"/>
      <c r="AI623" s="1210"/>
      <c r="AJ623" s="1210"/>
    </row>
    <row r="624" spans="1:36" s="1179" customFormat="1">
      <c r="A624" s="1188"/>
      <c r="B624" s="1188"/>
      <c r="C624" s="1188"/>
      <c r="D624" s="1210"/>
      <c r="E624" s="1210"/>
      <c r="F624" s="1210"/>
      <c r="G624" s="1191"/>
      <c r="H624" s="1191"/>
      <c r="I624" s="1199"/>
      <c r="J624" s="1191"/>
      <c r="K624" s="1191"/>
      <c r="L624" s="1191"/>
      <c r="M624" s="1191"/>
      <c r="N624" s="1191"/>
      <c r="O624" s="1191"/>
      <c r="P624" s="1199"/>
      <c r="Q624" s="1191"/>
      <c r="R624" s="1191"/>
      <c r="S624" s="1191"/>
      <c r="T624" s="1191"/>
      <c r="U624" s="1191"/>
      <c r="V624" s="1191"/>
      <c r="W624" s="1191"/>
      <c r="X624" s="1191"/>
      <c r="Y624" s="1191"/>
      <c r="Z624" s="1191"/>
      <c r="AA624" s="1191"/>
      <c r="AB624" s="1210"/>
      <c r="AC624" s="1210"/>
      <c r="AD624" s="1210"/>
      <c r="AE624" s="1210"/>
      <c r="AF624" s="1210"/>
      <c r="AG624" s="1210"/>
      <c r="AH624" s="1210"/>
      <c r="AI624" s="1210"/>
      <c r="AJ624" s="1210"/>
    </row>
    <row r="625" spans="1:36" s="1179" customFormat="1">
      <c r="A625" s="1188"/>
      <c r="B625" s="1188"/>
      <c r="C625" s="1188"/>
      <c r="D625" s="1210"/>
      <c r="E625" s="1210"/>
      <c r="F625" s="1210"/>
      <c r="G625" s="1191"/>
      <c r="H625" s="1191"/>
      <c r="I625" s="1199"/>
      <c r="J625" s="1191"/>
      <c r="K625" s="1191"/>
      <c r="L625" s="1191"/>
      <c r="M625" s="1191"/>
      <c r="N625" s="1191"/>
      <c r="O625" s="1191"/>
      <c r="P625" s="1199"/>
      <c r="Q625" s="1191"/>
      <c r="R625" s="1191"/>
      <c r="S625" s="1191"/>
      <c r="T625" s="1191"/>
      <c r="U625" s="1191"/>
      <c r="V625" s="1191"/>
      <c r="W625" s="1191"/>
      <c r="X625" s="1191"/>
      <c r="Y625" s="1191"/>
      <c r="Z625" s="1191"/>
      <c r="AA625" s="1191"/>
      <c r="AB625" s="1210"/>
      <c r="AC625" s="1210"/>
      <c r="AD625" s="1210"/>
      <c r="AE625" s="1210"/>
      <c r="AF625" s="1210"/>
      <c r="AG625" s="1210"/>
      <c r="AH625" s="1210"/>
      <c r="AI625" s="1210"/>
      <c r="AJ625" s="1210"/>
    </row>
    <row r="626" spans="1:36" s="1179" customFormat="1">
      <c r="A626" s="1188"/>
      <c r="B626" s="1188"/>
      <c r="C626" s="1188"/>
      <c r="D626" s="1210"/>
      <c r="E626" s="1210"/>
      <c r="F626" s="1210"/>
      <c r="G626" s="1191"/>
      <c r="H626" s="1191"/>
      <c r="I626" s="1199"/>
      <c r="J626" s="1191"/>
      <c r="K626" s="1191"/>
      <c r="L626" s="1191"/>
      <c r="M626" s="1191"/>
      <c r="N626" s="1191"/>
      <c r="O626" s="1191"/>
      <c r="P626" s="1199"/>
      <c r="Q626" s="1191"/>
      <c r="R626" s="1191"/>
      <c r="S626" s="1191"/>
      <c r="T626" s="1191"/>
      <c r="U626" s="1191"/>
      <c r="V626" s="1191"/>
      <c r="W626" s="1191"/>
      <c r="X626" s="1191"/>
      <c r="Y626" s="1191"/>
      <c r="Z626" s="1191"/>
      <c r="AA626" s="1191"/>
      <c r="AB626" s="1210"/>
      <c r="AC626" s="1210"/>
      <c r="AD626" s="1210"/>
      <c r="AE626" s="1210"/>
      <c r="AF626" s="1210"/>
      <c r="AG626" s="1210"/>
      <c r="AH626" s="1210"/>
      <c r="AI626" s="1210"/>
      <c r="AJ626" s="1210"/>
    </row>
    <row r="627" spans="1:36" s="1179" customFormat="1">
      <c r="A627" s="1188"/>
      <c r="B627" s="1188"/>
      <c r="C627" s="1188"/>
      <c r="D627" s="1210"/>
      <c r="E627" s="1210"/>
      <c r="F627" s="1210"/>
      <c r="G627" s="1191"/>
      <c r="H627" s="1191"/>
      <c r="I627" s="1199"/>
      <c r="J627" s="1191"/>
      <c r="K627" s="1191"/>
      <c r="L627" s="1191"/>
      <c r="M627" s="1191"/>
      <c r="N627" s="1191"/>
      <c r="O627" s="1191"/>
      <c r="P627" s="1199"/>
      <c r="Q627" s="1191"/>
      <c r="R627" s="1191"/>
      <c r="S627" s="1191"/>
      <c r="T627" s="1191"/>
      <c r="U627" s="1191"/>
      <c r="V627" s="1191"/>
      <c r="W627" s="1191"/>
      <c r="X627" s="1191"/>
      <c r="Y627" s="1191"/>
      <c r="Z627" s="1191"/>
      <c r="AA627" s="1191"/>
      <c r="AB627" s="1210"/>
      <c r="AC627" s="1210"/>
      <c r="AD627" s="1210"/>
      <c r="AE627" s="1210"/>
      <c r="AF627" s="1210"/>
      <c r="AG627" s="1210"/>
      <c r="AH627" s="1210"/>
      <c r="AI627" s="1210"/>
      <c r="AJ627" s="1210"/>
    </row>
    <row r="628" spans="1:36" s="1179" customFormat="1">
      <c r="A628" s="1188"/>
      <c r="B628" s="1188"/>
      <c r="C628" s="1188"/>
      <c r="D628" s="1210"/>
      <c r="E628" s="1210"/>
      <c r="F628" s="1210"/>
      <c r="G628" s="1191"/>
      <c r="H628" s="1191"/>
      <c r="I628" s="1199"/>
      <c r="J628" s="1191"/>
      <c r="K628" s="1191"/>
      <c r="L628" s="1191"/>
      <c r="M628" s="1191"/>
      <c r="N628" s="1191"/>
      <c r="O628" s="1191"/>
      <c r="P628" s="1199"/>
      <c r="Q628" s="1191"/>
      <c r="R628" s="1191"/>
      <c r="S628" s="1191"/>
      <c r="T628" s="1191"/>
      <c r="U628" s="1191"/>
      <c r="V628" s="1191"/>
      <c r="W628" s="1191"/>
      <c r="X628" s="1191"/>
      <c r="Y628" s="1191"/>
      <c r="Z628" s="1191"/>
      <c r="AA628" s="1191"/>
      <c r="AB628" s="1210"/>
      <c r="AC628" s="1210"/>
      <c r="AD628" s="1210"/>
      <c r="AE628" s="1210"/>
      <c r="AF628" s="1210"/>
      <c r="AG628" s="1210"/>
      <c r="AH628" s="1210"/>
      <c r="AI628" s="1210"/>
      <c r="AJ628" s="1210"/>
    </row>
    <row r="629" spans="1:36" s="1179" customFormat="1">
      <c r="A629" s="1188"/>
      <c r="B629" s="1188"/>
      <c r="C629" s="1188"/>
      <c r="D629" s="1210"/>
      <c r="E629" s="1210"/>
      <c r="F629" s="1210"/>
      <c r="G629" s="1191"/>
      <c r="H629" s="1191"/>
      <c r="I629" s="1199"/>
      <c r="J629" s="1191"/>
      <c r="K629" s="1191"/>
      <c r="L629" s="1191"/>
      <c r="M629" s="1191"/>
      <c r="N629" s="1191"/>
      <c r="O629" s="1191"/>
      <c r="P629" s="1199"/>
      <c r="Q629" s="1191"/>
      <c r="R629" s="1191"/>
      <c r="S629" s="1191"/>
      <c r="T629" s="1191"/>
      <c r="U629" s="1191"/>
      <c r="V629" s="1191"/>
      <c r="W629" s="1191"/>
      <c r="X629" s="1191"/>
      <c r="Y629" s="1191"/>
      <c r="Z629" s="1191"/>
      <c r="AA629" s="1191"/>
      <c r="AB629" s="1210"/>
      <c r="AC629" s="1210"/>
      <c r="AD629" s="1210"/>
      <c r="AE629" s="1210"/>
      <c r="AF629" s="1210"/>
      <c r="AG629" s="1210"/>
      <c r="AH629" s="1210"/>
      <c r="AI629" s="1210"/>
      <c r="AJ629" s="1210"/>
    </row>
    <row r="630" spans="1:36" s="1179" customFormat="1">
      <c r="A630" s="1188"/>
      <c r="B630" s="1188"/>
      <c r="C630" s="1188"/>
      <c r="D630" s="1210"/>
      <c r="E630" s="1210"/>
      <c r="F630" s="1210"/>
      <c r="G630" s="1191"/>
      <c r="H630" s="1191"/>
      <c r="I630" s="1199"/>
      <c r="J630" s="1191"/>
      <c r="K630" s="1191"/>
      <c r="L630" s="1191"/>
      <c r="M630" s="1191"/>
      <c r="N630" s="1191"/>
      <c r="O630" s="1191"/>
      <c r="P630" s="1199"/>
      <c r="Q630" s="1191"/>
      <c r="R630" s="1191"/>
      <c r="S630" s="1191"/>
      <c r="T630" s="1191"/>
      <c r="U630" s="1191"/>
      <c r="V630" s="1191"/>
      <c r="W630" s="1191"/>
      <c r="X630" s="1191"/>
      <c r="Y630" s="1191"/>
      <c r="Z630" s="1191"/>
      <c r="AA630" s="1191"/>
      <c r="AB630" s="1210"/>
      <c r="AC630" s="1210"/>
      <c r="AD630" s="1210"/>
      <c r="AE630" s="1210"/>
      <c r="AF630" s="1210"/>
      <c r="AG630" s="1210"/>
      <c r="AH630" s="1210"/>
      <c r="AI630" s="1210"/>
      <c r="AJ630" s="1210"/>
    </row>
    <row r="631" spans="1:36" s="1179" customFormat="1">
      <c r="A631" s="1188"/>
      <c r="B631" s="1188"/>
      <c r="C631" s="1188"/>
      <c r="D631" s="1210"/>
      <c r="E631" s="1210"/>
      <c r="F631" s="1210"/>
      <c r="G631" s="1191"/>
      <c r="H631" s="1191"/>
      <c r="I631" s="1199"/>
      <c r="J631" s="1191"/>
      <c r="K631" s="1191"/>
      <c r="L631" s="1191"/>
      <c r="M631" s="1191"/>
      <c r="N631" s="1191"/>
      <c r="O631" s="1191"/>
      <c r="P631" s="1199"/>
      <c r="Q631" s="1191"/>
      <c r="R631" s="1191"/>
      <c r="S631" s="1191"/>
      <c r="T631" s="1191"/>
      <c r="U631" s="1191"/>
      <c r="V631" s="1191"/>
      <c r="W631" s="1191"/>
      <c r="X631" s="1191"/>
      <c r="Y631" s="1191"/>
      <c r="Z631" s="1191"/>
      <c r="AA631" s="1191"/>
      <c r="AB631" s="1210"/>
      <c r="AC631" s="1210"/>
      <c r="AD631" s="1210"/>
      <c r="AE631" s="1210"/>
      <c r="AF631" s="1210"/>
      <c r="AG631" s="1210"/>
      <c r="AH631" s="1210"/>
      <c r="AI631" s="1210"/>
      <c r="AJ631" s="1210"/>
    </row>
    <row r="632" spans="1:36" s="1179" customFormat="1">
      <c r="A632" s="1188"/>
      <c r="B632" s="1188"/>
      <c r="C632" s="1188"/>
      <c r="D632" s="1210"/>
      <c r="E632" s="1210"/>
      <c r="F632" s="1210"/>
      <c r="G632" s="1191"/>
      <c r="H632" s="1191"/>
      <c r="I632" s="1199"/>
      <c r="J632" s="1191"/>
      <c r="K632" s="1191"/>
      <c r="L632" s="1191"/>
      <c r="M632" s="1191"/>
      <c r="N632" s="1191"/>
      <c r="O632" s="1191"/>
      <c r="P632" s="1199"/>
      <c r="Q632" s="1191"/>
      <c r="R632" s="1191"/>
      <c r="S632" s="1191"/>
      <c r="T632" s="1191"/>
      <c r="U632" s="1191"/>
      <c r="V632" s="1191"/>
      <c r="W632" s="1191"/>
      <c r="X632" s="1191"/>
      <c r="Y632" s="1191"/>
      <c r="Z632" s="1191"/>
      <c r="AA632" s="1191"/>
      <c r="AB632" s="1210"/>
      <c r="AC632" s="1210"/>
      <c r="AD632" s="1210"/>
      <c r="AE632" s="1210"/>
      <c r="AF632" s="1210"/>
      <c r="AG632" s="1210"/>
      <c r="AH632" s="1210"/>
      <c r="AI632" s="1210"/>
      <c r="AJ632" s="1210"/>
    </row>
    <row r="633" spans="1:36" s="1179" customFormat="1">
      <c r="A633" s="1188"/>
      <c r="B633" s="1188"/>
      <c r="C633" s="1188"/>
      <c r="D633" s="1210"/>
      <c r="E633" s="1210"/>
      <c r="F633" s="1210"/>
      <c r="G633" s="1191"/>
      <c r="H633" s="1191"/>
      <c r="I633" s="1199"/>
      <c r="J633" s="1191"/>
      <c r="K633" s="1191"/>
      <c r="L633" s="1191"/>
      <c r="M633" s="1191"/>
      <c r="N633" s="1191"/>
      <c r="O633" s="1191"/>
      <c r="P633" s="1199"/>
      <c r="Q633" s="1191"/>
      <c r="R633" s="1191"/>
      <c r="S633" s="1191"/>
      <c r="T633" s="1191"/>
      <c r="U633" s="1191"/>
      <c r="V633" s="1191"/>
      <c r="W633" s="1191"/>
      <c r="X633" s="1191"/>
      <c r="Y633" s="1191"/>
      <c r="Z633" s="1191"/>
      <c r="AA633" s="1191"/>
      <c r="AB633" s="1210"/>
      <c r="AC633" s="1210"/>
      <c r="AD633" s="1210"/>
      <c r="AE633" s="1210"/>
      <c r="AF633" s="1210"/>
      <c r="AG633" s="1210"/>
      <c r="AH633" s="1210"/>
      <c r="AI633" s="1210"/>
      <c r="AJ633" s="1210"/>
    </row>
    <row r="634" spans="1:36" s="1179" customFormat="1">
      <c r="A634" s="1188"/>
      <c r="B634" s="1188"/>
      <c r="C634" s="1188"/>
      <c r="D634" s="1210"/>
      <c r="E634" s="1210"/>
      <c r="F634" s="1210"/>
      <c r="G634" s="1191"/>
      <c r="H634" s="1191"/>
      <c r="I634" s="1199"/>
      <c r="J634" s="1191"/>
      <c r="K634" s="1191"/>
      <c r="L634" s="1191"/>
      <c r="M634" s="1191"/>
      <c r="N634" s="1191"/>
      <c r="O634" s="1191"/>
      <c r="P634" s="1199"/>
      <c r="Q634" s="1191"/>
      <c r="R634" s="1191"/>
      <c r="S634" s="1191"/>
      <c r="T634" s="1191"/>
      <c r="U634" s="1191"/>
      <c r="V634" s="1191"/>
      <c r="W634" s="1191"/>
      <c r="X634" s="1191"/>
      <c r="Y634" s="1191"/>
      <c r="Z634" s="1191"/>
      <c r="AA634" s="1191"/>
      <c r="AB634" s="1210"/>
      <c r="AC634" s="1210"/>
      <c r="AD634" s="1210"/>
      <c r="AE634" s="1210"/>
      <c r="AF634" s="1210"/>
      <c r="AG634" s="1210"/>
      <c r="AH634" s="1210"/>
      <c r="AI634" s="1210"/>
      <c r="AJ634" s="1210"/>
    </row>
    <row r="635" spans="1:36" s="1179" customFormat="1">
      <c r="A635" s="1188"/>
      <c r="B635" s="1188"/>
      <c r="C635" s="1188"/>
      <c r="D635" s="1210"/>
      <c r="E635" s="1210"/>
      <c r="F635" s="1210"/>
      <c r="G635" s="1191"/>
      <c r="H635" s="1191"/>
      <c r="I635" s="1199"/>
      <c r="J635" s="1191"/>
      <c r="K635" s="1191"/>
      <c r="L635" s="1191"/>
      <c r="M635" s="1191"/>
      <c r="N635" s="1191"/>
      <c r="O635" s="1191"/>
      <c r="P635" s="1199"/>
      <c r="Q635" s="1191"/>
      <c r="R635" s="1191"/>
      <c r="S635" s="1191"/>
      <c r="T635" s="1191"/>
      <c r="U635" s="1191"/>
      <c r="V635" s="1191"/>
      <c r="W635" s="1191"/>
      <c r="X635" s="1191"/>
      <c r="Y635" s="1191"/>
      <c r="Z635" s="1191"/>
      <c r="AA635" s="1191"/>
      <c r="AB635" s="1210"/>
      <c r="AC635" s="1210"/>
      <c r="AD635" s="1210"/>
      <c r="AE635" s="1210"/>
      <c r="AF635" s="1210"/>
      <c r="AG635" s="1210"/>
      <c r="AH635" s="1210"/>
      <c r="AI635" s="1210"/>
      <c r="AJ635" s="1210"/>
    </row>
    <row r="636" spans="1:36" s="1179" customFormat="1">
      <c r="A636" s="1188"/>
      <c r="B636" s="1188"/>
      <c r="C636" s="1188"/>
      <c r="D636" s="1210"/>
      <c r="E636" s="1210"/>
      <c r="F636" s="1210"/>
      <c r="G636" s="1191"/>
      <c r="H636" s="1191"/>
      <c r="I636" s="1199"/>
      <c r="J636" s="1191"/>
      <c r="K636" s="1191"/>
      <c r="L636" s="1191"/>
      <c r="M636" s="1191"/>
      <c r="N636" s="1191"/>
      <c r="O636" s="1191"/>
      <c r="P636" s="1199"/>
      <c r="Q636" s="1191"/>
      <c r="R636" s="1191"/>
      <c r="S636" s="1191"/>
      <c r="T636" s="1191"/>
      <c r="U636" s="1191"/>
      <c r="V636" s="1191"/>
      <c r="W636" s="1191"/>
      <c r="X636" s="1191"/>
      <c r="Y636" s="1191"/>
      <c r="Z636" s="1191"/>
      <c r="AA636" s="1191"/>
      <c r="AB636" s="1210"/>
      <c r="AC636" s="1210"/>
      <c r="AD636" s="1210"/>
      <c r="AE636" s="1210"/>
      <c r="AF636" s="1210"/>
      <c r="AG636" s="1210"/>
      <c r="AH636" s="1210"/>
      <c r="AI636" s="1210"/>
      <c r="AJ636" s="1210"/>
    </row>
    <row r="637" spans="1:36" s="1179" customFormat="1">
      <c r="A637" s="1188"/>
      <c r="B637" s="1188"/>
      <c r="C637" s="1188"/>
      <c r="D637" s="1210"/>
      <c r="E637" s="1210"/>
      <c r="F637" s="1210"/>
      <c r="G637" s="1191"/>
      <c r="H637" s="1191"/>
      <c r="I637" s="1199"/>
      <c r="J637" s="1191"/>
      <c r="K637" s="1191"/>
      <c r="L637" s="1191"/>
      <c r="M637" s="1191"/>
      <c r="N637" s="1191"/>
      <c r="O637" s="1191"/>
      <c r="P637" s="1199"/>
      <c r="Q637" s="1191"/>
      <c r="R637" s="1191"/>
      <c r="S637" s="1191"/>
      <c r="T637" s="1191"/>
      <c r="U637" s="1191"/>
      <c r="V637" s="1191"/>
      <c r="W637" s="1191"/>
      <c r="X637" s="1191"/>
      <c r="Y637" s="1191"/>
      <c r="Z637" s="1191"/>
      <c r="AA637" s="1191"/>
      <c r="AB637" s="1210"/>
      <c r="AC637" s="1210"/>
      <c r="AD637" s="1210"/>
      <c r="AE637" s="1210"/>
      <c r="AF637" s="1210"/>
      <c r="AG637" s="1210"/>
      <c r="AH637" s="1210"/>
      <c r="AI637" s="1210"/>
      <c r="AJ637" s="1210"/>
    </row>
    <row r="638" spans="1:36" s="1179" customFormat="1">
      <c r="A638" s="1188"/>
      <c r="B638" s="1188"/>
      <c r="C638" s="1188"/>
      <c r="D638" s="1210"/>
      <c r="E638" s="1210"/>
      <c r="F638" s="1210"/>
      <c r="G638" s="1191"/>
      <c r="H638" s="1191"/>
      <c r="I638" s="1199"/>
      <c r="J638" s="1191"/>
      <c r="K638" s="1191"/>
      <c r="L638" s="1191"/>
      <c r="M638" s="1191"/>
      <c r="N638" s="1191"/>
      <c r="O638" s="1191"/>
      <c r="P638" s="1199"/>
      <c r="Q638" s="1191"/>
      <c r="R638" s="1191"/>
      <c r="S638" s="1191"/>
      <c r="T638" s="1191"/>
      <c r="U638" s="1191"/>
      <c r="V638" s="1191"/>
      <c r="W638" s="1191"/>
      <c r="X638" s="1191"/>
      <c r="Y638" s="1191"/>
      <c r="Z638" s="1191"/>
      <c r="AA638" s="1191"/>
      <c r="AB638" s="1210"/>
      <c r="AC638" s="1210"/>
      <c r="AD638" s="1210"/>
      <c r="AE638" s="1210"/>
      <c r="AF638" s="1210"/>
      <c r="AG638" s="1210"/>
      <c r="AH638" s="1210"/>
      <c r="AI638" s="1210"/>
      <c r="AJ638" s="1210"/>
    </row>
    <row r="639" spans="1:36" s="1179" customFormat="1">
      <c r="A639" s="1188"/>
      <c r="B639" s="1188"/>
      <c r="C639" s="1188"/>
      <c r="D639" s="1210"/>
      <c r="E639" s="1210"/>
      <c r="F639" s="1210"/>
      <c r="G639" s="1191"/>
      <c r="H639" s="1191"/>
      <c r="I639" s="1199"/>
      <c r="J639" s="1191"/>
      <c r="K639" s="1191"/>
      <c r="L639" s="1191"/>
      <c r="M639" s="1191"/>
      <c r="N639" s="1191"/>
      <c r="O639" s="1191"/>
      <c r="P639" s="1199"/>
      <c r="Q639" s="1191"/>
      <c r="R639" s="1191"/>
      <c r="S639" s="1191"/>
      <c r="T639" s="1191"/>
      <c r="U639" s="1191"/>
      <c r="V639" s="1191"/>
      <c r="W639" s="1191"/>
      <c r="X639" s="1191"/>
      <c r="Y639" s="1191"/>
      <c r="Z639" s="1191"/>
      <c r="AA639" s="1191"/>
      <c r="AB639" s="1210"/>
      <c r="AC639" s="1210"/>
      <c r="AD639" s="1210"/>
      <c r="AE639" s="1210"/>
      <c r="AF639" s="1210"/>
      <c r="AG639" s="1210"/>
      <c r="AH639" s="1210"/>
      <c r="AI639" s="1210"/>
      <c r="AJ639" s="1210"/>
    </row>
    <row r="640" spans="1:36" s="1179" customFormat="1">
      <c r="A640" s="1188"/>
      <c r="B640" s="1188"/>
      <c r="C640" s="1188"/>
      <c r="D640" s="1210"/>
      <c r="E640" s="1210"/>
      <c r="F640" s="1210"/>
      <c r="G640" s="1191"/>
      <c r="H640" s="1191"/>
      <c r="I640" s="1199"/>
      <c r="J640" s="1191"/>
      <c r="K640" s="1191"/>
      <c r="L640" s="1191"/>
      <c r="M640" s="1191"/>
      <c r="N640" s="1191"/>
      <c r="O640" s="1191"/>
      <c r="P640" s="1199"/>
      <c r="Q640" s="1191"/>
      <c r="R640" s="1191"/>
      <c r="S640" s="1191"/>
      <c r="T640" s="1191"/>
      <c r="U640" s="1191"/>
      <c r="V640" s="1191"/>
      <c r="W640" s="1191"/>
      <c r="X640" s="1191"/>
      <c r="Y640" s="1191"/>
      <c r="Z640" s="1191"/>
      <c r="AA640" s="1191"/>
      <c r="AB640" s="1210"/>
      <c r="AC640" s="1210"/>
      <c r="AD640" s="1210"/>
      <c r="AE640" s="1210"/>
      <c r="AF640" s="1210"/>
      <c r="AG640" s="1210"/>
      <c r="AH640" s="1210"/>
      <c r="AI640" s="1210"/>
      <c r="AJ640" s="1210"/>
    </row>
    <row r="641" spans="1:36" s="1179" customFormat="1">
      <c r="A641" s="1188"/>
      <c r="B641" s="1188"/>
      <c r="C641" s="1188"/>
      <c r="D641" s="1210"/>
      <c r="E641" s="1210"/>
      <c r="F641" s="1210"/>
      <c r="G641" s="1191"/>
      <c r="H641" s="1191"/>
      <c r="I641" s="1199"/>
      <c r="J641" s="1191"/>
      <c r="K641" s="1191"/>
      <c r="L641" s="1191"/>
      <c r="M641" s="1191"/>
      <c r="N641" s="1191"/>
      <c r="O641" s="1191"/>
      <c r="P641" s="1199"/>
      <c r="Q641" s="1191"/>
      <c r="R641" s="1191"/>
      <c r="S641" s="1191"/>
      <c r="T641" s="1191"/>
      <c r="U641" s="1191"/>
      <c r="V641" s="1191"/>
      <c r="W641" s="1191"/>
      <c r="X641" s="1191"/>
      <c r="Y641" s="1191"/>
      <c r="Z641" s="1191"/>
      <c r="AA641" s="1191"/>
      <c r="AB641" s="1210"/>
      <c r="AC641" s="1210"/>
      <c r="AD641" s="1210"/>
      <c r="AE641" s="1210"/>
      <c r="AF641" s="1210"/>
      <c r="AG641" s="1210"/>
      <c r="AH641" s="1210"/>
      <c r="AI641" s="1210"/>
      <c r="AJ641" s="1210"/>
    </row>
    <row r="642" spans="1:36" s="1179" customFormat="1">
      <c r="A642" s="1188"/>
      <c r="B642" s="1188"/>
      <c r="C642" s="1188"/>
      <c r="D642" s="1210"/>
      <c r="E642" s="1210"/>
      <c r="F642" s="1210"/>
      <c r="G642" s="1191"/>
      <c r="H642" s="1191"/>
      <c r="I642" s="1199"/>
      <c r="J642" s="1191"/>
      <c r="K642" s="1191"/>
      <c r="L642" s="1191"/>
      <c r="M642" s="1191"/>
      <c r="N642" s="1191"/>
      <c r="O642" s="1191"/>
      <c r="P642" s="1199"/>
      <c r="Q642" s="1191"/>
      <c r="R642" s="1191"/>
      <c r="S642" s="1191"/>
      <c r="T642" s="1191"/>
      <c r="U642" s="1191"/>
      <c r="V642" s="1191"/>
      <c r="W642" s="1191"/>
      <c r="X642" s="1191"/>
      <c r="Y642" s="1191"/>
      <c r="Z642" s="1191"/>
      <c r="AA642" s="1191"/>
      <c r="AB642" s="1210"/>
      <c r="AC642" s="1210"/>
      <c r="AD642" s="1210"/>
      <c r="AE642" s="1210"/>
      <c r="AF642" s="1210"/>
      <c r="AG642" s="1210"/>
      <c r="AH642" s="1210"/>
      <c r="AI642" s="1210"/>
      <c r="AJ642" s="1210"/>
    </row>
    <row r="643" spans="1:36" s="1179" customFormat="1">
      <c r="A643" s="1188"/>
      <c r="B643" s="1188"/>
      <c r="C643" s="1188"/>
      <c r="D643" s="1210"/>
      <c r="E643" s="1210"/>
      <c r="F643" s="1210"/>
      <c r="G643" s="1191"/>
      <c r="H643" s="1191"/>
      <c r="I643" s="1199"/>
      <c r="J643" s="1191"/>
      <c r="K643" s="1191"/>
      <c r="L643" s="1191"/>
      <c r="M643" s="1191"/>
      <c r="N643" s="1191"/>
      <c r="O643" s="1191"/>
      <c r="P643" s="1199"/>
      <c r="Q643" s="1191"/>
      <c r="R643" s="1191"/>
      <c r="S643" s="1191"/>
      <c r="T643" s="1191"/>
      <c r="U643" s="1191"/>
      <c r="V643" s="1191"/>
      <c r="W643" s="1191"/>
      <c r="X643" s="1191"/>
      <c r="Y643" s="1191"/>
      <c r="Z643" s="1191"/>
      <c r="AA643" s="1191"/>
      <c r="AB643" s="1210"/>
      <c r="AC643" s="1210"/>
      <c r="AD643" s="1210"/>
      <c r="AE643" s="1210"/>
      <c r="AF643" s="1210"/>
      <c r="AG643" s="1210"/>
      <c r="AH643" s="1210"/>
      <c r="AI643" s="1210"/>
      <c r="AJ643" s="1210"/>
    </row>
    <row r="644" spans="1:36" s="1179" customFormat="1">
      <c r="A644" s="1188"/>
      <c r="B644" s="1188"/>
      <c r="C644" s="1188"/>
      <c r="D644" s="1210"/>
      <c r="E644" s="1210"/>
      <c r="F644" s="1210"/>
      <c r="G644" s="1191"/>
      <c r="H644" s="1191"/>
      <c r="I644" s="1199"/>
      <c r="J644" s="1191"/>
      <c r="K644" s="1191"/>
      <c r="L644" s="1191"/>
      <c r="M644" s="1191"/>
      <c r="N644" s="1191"/>
      <c r="O644" s="1191"/>
      <c r="P644" s="1199"/>
      <c r="Q644" s="1191"/>
      <c r="R644" s="1191"/>
      <c r="S644" s="1191"/>
      <c r="T644" s="1191"/>
      <c r="U644" s="1191"/>
      <c r="V644" s="1191"/>
      <c r="W644" s="1191"/>
      <c r="X644" s="1191"/>
      <c r="Y644" s="1191"/>
      <c r="Z644" s="1191"/>
      <c r="AA644" s="1191"/>
      <c r="AB644" s="1210"/>
      <c r="AC644" s="1210"/>
      <c r="AD644" s="1210"/>
      <c r="AE644" s="1210"/>
      <c r="AF644" s="1210"/>
      <c r="AG644" s="1210"/>
      <c r="AH644" s="1210"/>
      <c r="AI644" s="1210"/>
      <c r="AJ644" s="1210"/>
    </row>
    <row r="645" spans="1:36" s="1179" customFormat="1">
      <c r="A645" s="1188"/>
      <c r="B645" s="1188"/>
      <c r="C645" s="1188"/>
      <c r="D645" s="1210"/>
      <c r="E645" s="1210"/>
      <c r="F645" s="1210"/>
      <c r="G645" s="1191"/>
      <c r="H645" s="1191"/>
      <c r="I645" s="1199"/>
      <c r="J645" s="1191"/>
      <c r="K645" s="1191"/>
      <c r="L645" s="1191"/>
      <c r="M645" s="1191"/>
      <c r="N645" s="1191"/>
      <c r="O645" s="1191"/>
      <c r="P645" s="1199"/>
      <c r="Q645" s="1191"/>
      <c r="R645" s="1191"/>
      <c r="S645" s="1191"/>
      <c r="T645" s="1191"/>
      <c r="U645" s="1191"/>
      <c r="V645" s="1191"/>
      <c r="W645" s="1191"/>
      <c r="X645" s="1191"/>
      <c r="Y645" s="1191"/>
      <c r="Z645" s="1191"/>
      <c r="AA645" s="1191"/>
      <c r="AB645" s="1210"/>
      <c r="AC645" s="1210"/>
      <c r="AD645" s="1210"/>
      <c r="AE645" s="1210"/>
      <c r="AF645" s="1210"/>
      <c r="AG645" s="1210"/>
      <c r="AH645" s="1210"/>
      <c r="AI645" s="1210"/>
      <c r="AJ645" s="1210"/>
    </row>
    <row r="646" spans="1:36" s="1179" customFormat="1">
      <c r="A646" s="1188"/>
      <c r="B646" s="1188"/>
      <c r="C646" s="1188"/>
      <c r="D646" s="1210"/>
      <c r="E646" s="1210"/>
      <c r="F646" s="1210"/>
      <c r="G646" s="1191"/>
      <c r="H646" s="1191"/>
      <c r="I646" s="1199"/>
      <c r="J646" s="1191"/>
      <c r="K646" s="1191"/>
      <c r="L646" s="1191"/>
      <c r="M646" s="1191"/>
      <c r="N646" s="1191"/>
      <c r="O646" s="1191"/>
      <c r="P646" s="1199"/>
      <c r="Q646" s="1191"/>
      <c r="R646" s="1191"/>
      <c r="S646" s="1191"/>
      <c r="T646" s="1191"/>
      <c r="U646" s="1191"/>
      <c r="V646" s="1191"/>
      <c r="W646" s="1191"/>
      <c r="X646" s="1191"/>
      <c r="Y646" s="1191"/>
      <c r="Z646" s="1191"/>
      <c r="AA646" s="1191"/>
      <c r="AB646" s="1210"/>
      <c r="AC646" s="1210"/>
      <c r="AD646" s="1210"/>
      <c r="AE646" s="1210"/>
      <c r="AF646" s="1210"/>
      <c r="AG646" s="1210"/>
      <c r="AH646" s="1210"/>
      <c r="AI646" s="1210"/>
      <c r="AJ646" s="1210"/>
    </row>
    <row r="647" spans="1:36" s="1179" customFormat="1">
      <c r="A647" s="1188"/>
      <c r="B647" s="1188"/>
      <c r="C647" s="1188"/>
      <c r="D647" s="1210"/>
      <c r="E647" s="1210"/>
      <c r="F647" s="1210"/>
      <c r="G647" s="1191"/>
      <c r="H647" s="1191"/>
      <c r="I647" s="1199"/>
      <c r="J647" s="1191"/>
      <c r="K647" s="1191"/>
      <c r="L647" s="1191"/>
      <c r="M647" s="1191"/>
      <c r="N647" s="1191"/>
      <c r="O647" s="1191"/>
      <c r="P647" s="1199"/>
      <c r="Q647" s="1191"/>
      <c r="R647" s="1191"/>
      <c r="S647" s="1191"/>
      <c r="T647" s="1191"/>
      <c r="U647" s="1191"/>
      <c r="V647" s="1191"/>
      <c r="W647" s="1191"/>
      <c r="X647" s="1191"/>
      <c r="Y647" s="1191"/>
      <c r="Z647" s="1191"/>
      <c r="AA647" s="1191"/>
      <c r="AB647" s="1210"/>
      <c r="AC647" s="1210"/>
      <c r="AD647" s="1210"/>
      <c r="AE647" s="1210"/>
      <c r="AF647" s="1210"/>
      <c r="AG647" s="1210"/>
      <c r="AH647" s="1210"/>
      <c r="AI647" s="1210"/>
      <c r="AJ647" s="1210"/>
    </row>
    <row r="648" spans="1:36" s="1179" customFormat="1">
      <c r="A648" s="1188"/>
      <c r="B648" s="1188"/>
      <c r="C648" s="1188"/>
      <c r="D648" s="1210"/>
      <c r="E648" s="1210"/>
      <c r="F648" s="1210"/>
      <c r="G648" s="1191"/>
      <c r="H648" s="1191"/>
      <c r="I648" s="1199"/>
      <c r="J648" s="1191"/>
      <c r="K648" s="1191"/>
      <c r="L648" s="1191"/>
      <c r="M648" s="1191"/>
      <c r="N648" s="1191"/>
      <c r="O648" s="1191"/>
      <c r="P648" s="1199"/>
      <c r="Q648" s="1191"/>
      <c r="R648" s="1191"/>
      <c r="S648" s="1191"/>
      <c r="T648" s="1191"/>
      <c r="U648" s="1191"/>
      <c r="V648" s="1191"/>
      <c r="W648" s="1191"/>
      <c r="X648" s="1191"/>
      <c r="Y648" s="1191"/>
      <c r="Z648" s="1191"/>
      <c r="AA648" s="1191"/>
      <c r="AB648" s="1210"/>
      <c r="AC648" s="1210"/>
      <c r="AD648" s="1210"/>
      <c r="AE648" s="1210"/>
      <c r="AF648" s="1210"/>
      <c r="AG648" s="1210"/>
      <c r="AH648" s="1210"/>
      <c r="AI648" s="1210"/>
      <c r="AJ648" s="1210"/>
    </row>
    <row r="649" spans="1:36" s="1179" customFormat="1">
      <c r="A649" s="1188"/>
      <c r="B649" s="1188"/>
      <c r="C649" s="1188"/>
      <c r="D649" s="1210"/>
      <c r="E649" s="1210"/>
      <c r="F649" s="1210"/>
      <c r="G649" s="1191"/>
      <c r="H649" s="1191"/>
      <c r="I649" s="1199"/>
      <c r="J649" s="1191"/>
      <c r="K649" s="1191"/>
      <c r="L649" s="1191"/>
      <c r="M649" s="1191"/>
      <c r="N649" s="1191"/>
      <c r="O649" s="1191"/>
      <c r="P649" s="1199"/>
      <c r="Q649" s="1191"/>
      <c r="R649" s="1191"/>
      <c r="S649" s="1191"/>
      <c r="T649" s="1191"/>
      <c r="U649" s="1191"/>
      <c r="V649" s="1191"/>
      <c r="W649" s="1191"/>
      <c r="X649" s="1191"/>
      <c r="Y649" s="1191"/>
      <c r="Z649" s="1191"/>
      <c r="AA649" s="1191"/>
      <c r="AB649" s="1210"/>
      <c r="AC649" s="1210"/>
      <c r="AD649" s="1210"/>
      <c r="AE649" s="1210"/>
      <c r="AF649" s="1210"/>
      <c r="AG649" s="1210"/>
      <c r="AH649" s="1210"/>
      <c r="AI649" s="1210"/>
      <c r="AJ649" s="1210"/>
    </row>
    <row r="650" spans="1:36" s="1179" customFormat="1">
      <c r="A650" s="1188"/>
      <c r="B650" s="1188"/>
      <c r="C650" s="1188"/>
      <c r="D650" s="1210"/>
      <c r="E650" s="1210"/>
      <c r="F650" s="1210"/>
      <c r="G650" s="1191"/>
      <c r="H650" s="1191"/>
      <c r="I650" s="1199"/>
      <c r="J650" s="1191"/>
      <c r="K650" s="1191"/>
      <c r="L650" s="1191"/>
      <c r="M650" s="1191"/>
      <c r="N650" s="1191"/>
      <c r="O650" s="1191"/>
      <c r="P650" s="1199"/>
      <c r="Q650" s="1191"/>
      <c r="R650" s="1191"/>
      <c r="S650" s="1191"/>
      <c r="T650" s="1191"/>
      <c r="U650" s="1191"/>
      <c r="V650" s="1191"/>
      <c r="W650" s="1191"/>
      <c r="X650" s="1191"/>
      <c r="Y650" s="1191"/>
      <c r="Z650" s="1191"/>
      <c r="AA650" s="1191"/>
      <c r="AB650" s="1210"/>
      <c r="AC650" s="1210"/>
      <c r="AD650" s="1210"/>
      <c r="AE650" s="1210"/>
      <c r="AF650" s="1210"/>
      <c r="AG650" s="1210"/>
      <c r="AH650" s="1210"/>
      <c r="AI650" s="1210"/>
      <c r="AJ650" s="1210"/>
    </row>
    <row r="651" spans="1:36" s="1179" customFormat="1">
      <c r="A651" s="1188"/>
      <c r="B651" s="1188"/>
      <c r="C651" s="1188"/>
      <c r="D651" s="1210"/>
      <c r="E651" s="1210"/>
      <c r="F651" s="1210"/>
      <c r="G651" s="1191"/>
      <c r="H651" s="1191"/>
      <c r="I651" s="1199"/>
      <c r="J651" s="1191"/>
      <c r="K651" s="1191"/>
      <c r="L651" s="1191"/>
      <c r="M651" s="1191"/>
      <c r="N651" s="1191"/>
      <c r="O651" s="1191"/>
      <c r="P651" s="1199"/>
      <c r="Q651" s="1191"/>
      <c r="R651" s="1191"/>
      <c r="S651" s="1191"/>
      <c r="T651" s="1191"/>
      <c r="U651" s="1191"/>
      <c r="V651" s="1191"/>
      <c r="W651" s="1191"/>
      <c r="X651" s="1191"/>
      <c r="Y651" s="1191"/>
      <c r="Z651" s="1191"/>
      <c r="AA651" s="1191"/>
      <c r="AB651" s="1210"/>
      <c r="AC651" s="1210"/>
      <c r="AD651" s="1210"/>
      <c r="AE651" s="1210"/>
      <c r="AF651" s="1210"/>
      <c r="AG651" s="1210"/>
      <c r="AH651" s="1210"/>
      <c r="AI651" s="1210"/>
      <c r="AJ651" s="1210"/>
    </row>
    <row r="652" spans="1:36" s="1179" customFormat="1">
      <c r="A652" s="1188"/>
      <c r="B652" s="1188"/>
      <c r="C652" s="1188"/>
      <c r="D652" s="1210"/>
      <c r="E652" s="1210"/>
      <c r="F652" s="1210"/>
      <c r="G652" s="1191"/>
      <c r="H652" s="1191"/>
      <c r="I652" s="1199"/>
      <c r="J652" s="1191"/>
      <c r="K652" s="1191"/>
      <c r="L652" s="1191"/>
      <c r="M652" s="1191"/>
      <c r="N652" s="1191"/>
      <c r="O652" s="1191"/>
      <c r="P652" s="1199"/>
      <c r="Q652" s="1191"/>
      <c r="R652" s="1191"/>
      <c r="S652" s="1191"/>
      <c r="T652" s="1191"/>
      <c r="U652" s="1191"/>
      <c r="V652" s="1191"/>
      <c r="W652" s="1191"/>
      <c r="X652" s="1191"/>
      <c r="Y652" s="1191"/>
      <c r="Z652" s="1191"/>
      <c r="AA652" s="1191"/>
      <c r="AB652" s="1210"/>
      <c r="AC652" s="1210"/>
      <c r="AD652" s="1210"/>
      <c r="AE652" s="1210"/>
      <c r="AF652" s="1210"/>
      <c r="AG652" s="1210"/>
      <c r="AH652" s="1210"/>
      <c r="AI652" s="1210"/>
      <c r="AJ652" s="1210"/>
    </row>
    <row r="653" spans="1:36" s="1179" customFormat="1">
      <c r="A653" s="1188"/>
      <c r="B653" s="1188"/>
      <c r="C653" s="1188"/>
      <c r="D653" s="1210"/>
      <c r="E653" s="1210"/>
      <c r="F653" s="1210"/>
      <c r="G653" s="1191"/>
      <c r="H653" s="1191"/>
      <c r="I653" s="1199"/>
      <c r="J653" s="1191"/>
      <c r="K653" s="1191"/>
      <c r="L653" s="1191"/>
      <c r="M653" s="1191"/>
      <c r="N653" s="1191"/>
      <c r="O653" s="1191"/>
      <c r="P653" s="1199"/>
      <c r="Q653" s="1191"/>
      <c r="R653" s="1191"/>
      <c r="S653" s="1191"/>
      <c r="T653" s="1191"/>
      <c r="U653" s="1191"/>
      <c r="V653" s="1191"/>
      <c r="W653" s="1191"/>
      <c r="X653" s="1191"/>
      <c r="Y653" s="1191"/>
      <c r="Z653" s="1191"/>
      <c r="AA653" s="1191"/>
      <c r="AB653" s="1210"/>
      <c r="AC653" s="1210"/>
      <c r="AD653" s="1210"/>
      <c r="AE653" s="1210"/>
      <c r="AF653" s="1210"/>
      <c r="AG653" s="1210"/>
      <c r="AH653" s="1210"/>
      <c r="AI653" s="1210"/>
      <c r="AJ653" s="1210"/>
    </row>
    <row r="654" spans="1:36" s="1179" customFormat="1">
      <c r="A654" s="1188"/>
      <c r="B654" s="1188"/>
      <c r="C654" s="1188"/>
      <c r="D654" s="1210"/>
      <c r="E654" s="1210"/>
      <c r="F654" s="1210"/>
      <c r="G654" s="1191"/>
      <c r="H654" s="1191"/>
      <c r="I654" s="1199"/>
      <c r="J654" s="1191"/>
      <c r="K654" s="1191"/>
      <c r="L654" s="1191"/>
      <c r="M654" s="1191"/>
      <c r="N654" s="1191"/>
      <c r="O654" s="1191"/>
      <c r="P654" s="1199"/>
      <c r="Q654" s="1191"/>
      <c r="R654" s="1191"/>
      <c r="S654" s="1191"/>
      <c r="T654" s="1191"/>
      <c r="U654" s="1191"/>
      <c r="V654" s="1191"/>
      <c r="W654" s="1191"/>
      <c r="X654" s="1191"/>
      <c r="Y654" s="1191"/>
      <c r="Z654" s="1191"/>
      <c r="AA654" s="1191"/>
      <c r="AB654" s="1210"/>
      <c r="AC654" s="1210"/>
      <c r="AD654" s="1210"/>
      <c r="AE654" s="1210"/>
      <c r="AF654" s="1210"/>
      <c r="AG654" s="1210"/>
      <c r="AH654" s="1210"/>
      <c r="AI654" s="1210"/>
      <c r="AJ654" s="1210"/>
    </row>
    <row r="655" spans="1:36" s="1179" customFormat="1">
      <c r="A655" s="1188"/>
      <c r="B655" s="1188"/>
      <c r="C655" s="1188"/>
      <c r="D655" s="1210"/>
      <c r="E655" s="1210"/>
      <c r="F655" s="1210"/>
      <c r="G655" s="1191"/>
      <c r="H655" s="1191"/>
      <c r="I655" s="1199"/>
      <c r="J655" s="1191"/>
      <c r="K655" s="1191"/>
      <c r="L655" s="1191"/>
      <c r="M655" s="1191"/>
      <c r="N655" s="1191"/>
      <c r="O655" s="1191"/>
      <c r="P655" s="1199"/>
      <c r="Q655" s="1191"/>
      <c r="R655" s="1191"/>
      <c r="S655" s="1191"/>
      <c r="T655" s="1191"/>
      <c r="U655" s="1191"/>
      <c r="V655" s="1191"/>
      <c r="W655" s="1191"/>
      <c r="X655" s="1191"/>
      <c r="Y655" s="1191"/>
      <c r="Z655" s="1191"/>
      <c r="AA655" s="1191"/>
      <c r="AB655" s="1210"/>
      <c r="AC655" s="1210"/>
      <c r="AD655" s="1210"/>
      <c r="AE655" s="1210"/>
      <c r="AF655" s="1210"/>
      <c r="AG655" s="1210"/>
      <c r="AH655" s="1210"/>
      <c r="AI655" s="1210"/>
      <c r="AJ655" s="1210"/>
    </row>
    <row r="656" spans="1:36" s="1179" customFormat="1">
      <c r="A656" s="1188"/>
      <c r="B656" s="1188"/>
      <c r="C656" s="1188"/>
      <c r="D656" s="1210"/>
      <c r="E656" s="1210"/>
      <c r="F656" s="1210"/>
      <c r="G656" s="1191"/>
      <c r="H656" s="1191"/>
      <c r="I656" s="1199"/>
      <c r="J656" s="1191"/>
      <c r="K656" s="1191"/>
      <c r="L656" s="1191"/>
      <c r="M656" s="1191"/>
      <c r="N656" s="1191"/>
      <c r="O656" s="1191"/>
      <c r="P656" s="1199"/>
      <c r="Q656" s="1191"/>
      <c r="R656" s="1191"/>
      <c r="S656" s="1191"/>
      <c r="T656" s="1191"/>
      <c r="U656" s="1191"/>
      <c r="V656" s="1191"/>
      <c r="W656" s="1191"/>
      <c r="X656" s="1191"/>
      <c r="Y656" s="1191"/>
      <c r="Z656" s="1191"/>
      <c r="AA656" s="1191"/>
      <c r="AB656" s="1210"/>
      <c r="AC656" s="1210"/>
      <c r="AD656" s="1210"/>
      <c r="AE656" s="1210"/>
      <c r="AF656" s="1210"/>
      <c r="AG656" s="1210"/>
      <c r="AH656" s="1210"/>
      <c r="AI656" s="1210"/>
      <c r="AJ656" s="1210"/>
    </row>
    <row r="657" spans="1:36" s="1179" customFormat="1">
      <c r="A657" s="1188"/>
      <c r="B657" s="1188"/>
      <c r="C657" s="1188"/>
      <c r="D657" s="1210"/>
      <c r="E657" s="1210"/>
      <c r="F657" s="1210"/>
      <c r="G657" s="1191"/>
      <c r="H657" s="1191"/>
      <c r="I657" s="1199"/>
      <c r="J657" s="1191"/>
      <c r="K657" s="1191"/>
      <c r="L657" s="1191"/>
      <c r="M657" s="1191"/>
      <c r="N657" s="1191"/>
      <c r="O657" s="1191"/>
      <c r="P657" s="1199"/>
      <c r="Q657" s="1191"/>
      <c r="R657" s="1191"/>
      <c r="S657" s="1191"/>
      <c r="T657" s="1191"/>
      <c r="U657" s="1191"/>
      <c r="V657" s="1191"/>
      <c r="W657" s="1191"/>
      <c r="X657" s="1191"/>
      <c r="Y657" s="1191"/>
      <c r="Z657" s="1191"/>
      <c r="AA657" s="1191"/>
      <c r="AB657" s="1210"/>
      <c r="AC657" s="1210"/>
      <c r="AD657" s="1210"/>
      <c r="AE657" s="1210"/>
      <c r="AF657" s="1210"/>
      <c r="AG657" s="1210"/>
      <c r="AH657" s="1210"/>
      <c r="AI657" s="1210"/>
      <c r="AJ657" s="1210"/>
    </row>
    <row r="658" spans="1:36" s="1179" customFormat="1">
      <c r="A658" s="1188"/>
      <c r="B658" s="1188"/>
      <c r="C658" s="1188"/>
      <c r="D658" s="1210"/>
      <c r="E658" s="1210"/>
      <c r="F658" s="1210"/>
      <c r="G658" s="1191"/>
      <c r="H658" s="1191"/>
      <c r="I658" s="1199"/>
      <c r="J658" s="1191"/>
      <c r="K658" s="1191"/>
      <c r="L658" s="1191"/>
      <c r="M658" s="1191"/>
      <c r="N658" s="1191"/>
      <c r="O658" s="1191"/>
      <c r="P658" s="1199"/>
      <c r="Q658" s="1191"/>
      <c r="R658" s="1191"/>
      <c r="S658" s="1191"/>
      <c r="T658" s="1191"/>
      <c r="U658" s="1191"/>
      <c r="V658" s="1191"/>
      <c r="W658" s="1191"/>
      <c r="X658" s="1191"/>
      <c r="Y658" s="1191"/>
      <c r="Z658" s="1191"/>
      <c r="AA658" s="1191"/>
      <c r="AB658" s="1210"/>
      <c r="AC658" s="1210"/>
      <c r="AD658" s="1210"/>
      <c r="AE658" s="1210"/>
      <c r="AF658" s="1210"/>
      <c r="AG658" s="1210"/>
      <c r="AH658" s="1210"/>
      <c r="AI658" s="1210"/>
      <c r="AJ658" s="1210"/>
    </row>
    <row r="659" spans="1:36" s="1179" customFormat="1">
      <c r="A659" s="1188"/>
      <c r="B659" s="1188"/>
      <c r="C659" s="1188"/>
      <c r="D659" s="1210"/>
      <c r="E659" s="1210"/>
      <c r="F659" s="1210"/>
      <c r="G659" s="1191"/>
      <c r="H659" s="1191"/>
      <c r="I659" s="1199"/>
      <c r="J659" s="1191"/>
      <c r="K659" s="1191"/>
      <c r="L659" s="1191"/>
      <c r="M659" s="1191"/>
      <c r="N659" s="1191"/>
      <c r="O659" s="1191"/>
      <c r="P659" s="1199"/>
      <c r="Q659" s="1191"/>
      <c r="R659" s="1191"/>
      <c r="S659" s="1191"/>
      <c r="T659" s="1191"/>
      <c r="U659" s="1191"/>
      <c r="V659" s="1191"/>
      <c r="W659" s="1191"/>
      <c r="X659" s="1191"/>
      <c r="Y659" s="1191"/>
      <c r="Z659" s="1191"/>
      <c r="AA659" s="1191"/>
      <c r="AB659" s="1210"/>
      <c r="AC659" s="1210"/>
      <c r="AD659" s="1210"/>
      <c r="AE659" s="1210"/>
      <c r="AF659" s="1210"/>
      <c r="AG659" s="1210"/>
      <c r="AH659" s="1210"/>
      <c r="AI659" s="1210"/>
      <c r="AJ659" s="1210"/>
    </row>
    <row r="660" spans="1:36" s="1179" customFormat="1">
      <c r="A660" s="1188"/>
      <c r="B660" s="1188"/>
      <c r="C660" s="1188"/>
      <c r="D660" s="1210"/>
      <c r="E660" s="1210"/>
      <c r="F660" s="1210"/>
      <c r="G660" s="1191"/>
      <c r="H660" s="1191"/>
      <c r="I660" s="1199"/>
      <c r="J660" s="1191"/>
      <c r="K660" s="1191"/>
      <c r="L660" s="1191"/>
      <c r="M660" s="1191"/>
      <c r="N660" s="1191"/>
      <c r="O660" s="1191"/>
      <c r="P660" s="1199"/>
      <c r="Q660" s="1191"/>
      <c r="R660" s="1191"/>
      <c r="S660" s="1191"/>
      <c r="T660" s="1191"/>
      <c r="U660" s="1191"/>
      <c r="V660" s="1191"/>
      <c r="W660" s="1191"/>
      <c r="X660" s="1191"/>
      <c r="Y660" s="1191"/>
      <c r="Z660" s="1191"/>
      <c r="AA660" s="1191"/>
      <c r="AB660" s="1210"/>
      <c r="AC660" s="1210"/>
      <c r="AD660" s="1210"/>
      <c r="AE660" s="1210"/>
      <c r="AF660" s="1210"/>
      <c r="AG660" s="1210"/>
      <c r="AH660" s="1210"/>
      <c r="AI660" s="1210"/>
      <c r="AJ660" s="1210"/>
    </row>
    <row r="661" spans="1:36" s="1179" customFormat="1">
      <c r="A661" s="1188"/>
      <c r="B661" s="1188"/>
      <c r="C661" s="1188"/>
      <c r="D661" s="1210"/>
      <c r="E661" s="1210"/>
      <c r="F661" s="1210"/>
      <c r="G661" s="1191"/>
      <c r="H661" s="1191"/>
      <c r="I661" s="1199"/>
      <c r="J661" s="1191"/>
      <c r="K661" s="1191"/>
      <c r="L661" s="1191"/>
      <c r="M661" s="1191"/>
      <c r="N661" s="1191"/>
      <c r="O661" s="1191"/>
      <c r="P661" s="1199"/>
      <c r="Q661" s="1191"/>
      <c r="R661" s="1191"/>
      <c r="S661" s="1191"/>
      <c r="T661" s="1191"/>
      <c r="U661" s="1191"/>
      <c r="V661" s="1191"/>
      <c r="W661" s="1191"/>
      <c r="X661" s="1191"/>
      <c r="Y661" s="1191"/>
      <c r="Z661" s="1191"/>
      <c r="AA661" s="1191"/>
      <c r="AB661" s="1210"/>
      <c r="AC661" s="1210"/>
      <c r="AD661" s="1210"/>
      <c r="AE661" s="1210"/>
      <c r="AF661" s="1210"/>
      <c r="AG661" s="1210"/>
      <c r="AH661" s="1210"/>
      <c r="AI661" s="1210"/>
      <c r="AJ661" s="1210"/>
    </row>
    <row r="662" spans="1:36" s="1179" customFormat="1">
      <c r="A662" s="1188"/>
      <c r="B662" s="1188"/>
      <c r="C662" s="1188"/>
      <c r="D662" s="1210"/>
      <c r="E662" s="1210"/>
      <c r="F662" s="1210"/>
      <c r="G662" s="1191"/>
      <c r="H662" s="1191"/>
      <c r="I662" s="1199"/>
      <c r="J662" s="1191"/>
      <c r="K662" s="1191"/>
      <c r="L662" s="1191"/>
      <c r="M662" s="1191"/>
      <c r="N662" s="1191"/>
      <c r="O662" s="1191"/>
      <c r="P662" s="1199"/>
      <c r="Q662" s="1191"/>
      <c r="R662" s="1191"/>
      <c r="S662" s="1191"/>
      <c r="T662" s="1191"/>
      <c r="U662" s="1191"/>
      <c r="V662" s="1191"/>
      <c r="W662" s="1191"/>
      <c r="X662" s="1191"/>
      <c r="Y662" s="1191"/>
      <c r="Z662" s="1191"/>
      <c r="AA662" s="1191"/>
      <c r="AB662" s="1210"/>
      <c r="AC662" s="1210"/>
      <c r="AD662" s="1210"/>
      <c r="AE662" s="1210"/>
      <c r="AF662" s="1210"/>
      <c r="AG662" s="1210"/>
      <c r="AH662" s="1210"/>
      <c r="AI662" s="1210"/>
      <c r="AJ662" s="1210"/>
    </row>
    <row r="663" spans="1:36" s="1179" customFormat="1">
      <c r="A663" s="1188"/>
      <c r="B663" s="1188"/>
      <c r="C663" s="1188"/>
      <c r="D663" s="1210"/>
      <c r="E663" s="1210"/>
      <c r="F663" s="1210"/>
      <c r="G663" s="1191"/>
      <c r="H663" s="1191"/>
      <c r="I663" s="1199"/>
      <c r="J663" s="1191"/>
      <c r="K663" s="1191"/>
      <c r="L663" s="1191"/>
      <c r="M663" s="1191"/>
      <c r="N663" s="1191"/>
      <c r="O663" s="1191"/>
      <c r="P663" s="1199"/>
      <c r="Q663" s="1191"/>
      <c r="R663" s="1191"/>
      <c r="S663" s="1191"/>
      <c r="T663" s="1191"/>
      <c r="U663" s="1191"/>
      <c r="V663" s="1191"/>
      <c r="W663" s="1191"/>
      <c r="X663" s="1191"/>
      <c r="Y663" s="1191"/>
      <c r="Z663" s="1191"/>
      <c r="AA663" s="1191"/>
      <c r="AB663" s="1210"/>
      <c r="AC663" s="1210"/>
      <c r="AD663" s="1210"/>
      <c r="AE663" s="1210"/>
      <c r="AF663" s="1210"/>
      <c r="AG663" s="1210"/>
      <c r="AH663" s="1210"/>
      <c r="AI663" s="1210"/>
      <c r="AJ663" s="1210"/>
    </row>
    <row r="664" spans="1:36" s="1179" customFormat="1">
      <c r="A664" s="1188"/>
      <c r="B664" s="1188"/>
      <c r="C664" s="1188"/>
      <c r="D664" s="1210"/>
      <c r="E664" s="1210"/>
      <c r="F664" s="1210"/>
      <c r="G664" s="1191"/>
      <c r="H664" s="1191"/>
      <c r="I664" s="1199"/>
      <c r="J664" s="1191"/>
      <c r="K664" s="1191"/>
      <c r="L664" s="1191"/>
      <c r="M664" s="1191"/>
      <c r="N664" s="1191"/>
      <c r="O664" s="1191"/>
      <c r="P664" s="1199"/>
      <c r="Q664" s="1191"/>
      <c r="R664" s="1191"/>
      <c r="S664" s="1191"/>
      <c r="T664" s="1191"/>
      <c r="U664" s="1191"/>
      <c r="V664" s="1191"/>
      <c r="W664" s="1191"/>
      <c r="X664" s="1191"/>
      <c r="Y664" s="1191"/>
      <c r="Z664" s="1191"/>
      <c r="AA664" s="1191"/>
      <c r="AB664" s="1210"/>
      <c r="AC664" s="1210"/>
      <c r="AD664" s="1210"/>
      <c r="AE664" s="1210"/>
      <c r="AF664" s="1210"/>
      <c r="AG664" s="1210"/>
      <c r="AH664" s="1210"/>
      <c r="AI664" s="1210"/>
      <c r="AJ664" s="1210"/>
    </row>
    <row r="665" spans="1:36" s="1179" customFormat="1">
      <c r="A665" s="1188"/>
      <c r="B665" s="1188"/>
      <c r="C665" s="1188"/>
      <c r="D665" s="1210"/>
      <c r="E665" s="1210"/>
      <c r="F665" s="1210"/>
      <c r="G665" s="1191"/>
      <c r="H665" s="1191"/>
      <c r="I665" s="1199"/>
      <c r="J665" s="1191"/>
      <c r="K665" s="1191"/>
      <c r="L665" s="1191"/>
      <c r="M665" s="1191"/>
      <c r="N665" s="1191"/>
      <c r="O665" s="1191"/>
      <c r="P665" s="1199"/>
      <c r="Q665" s="1191"/>
      <c r="R665" s="1191"/>
      <c r="S665" s="1191"/>
      <c r="T665" s="1191"/>
      <c r="U665" s="1191"/>
      <c r="V665" s="1191"/>
      <c r="W665" s="1191"/>
      <c r="X665" s="1191"/>
      <c r="Y665" s="1191"/>
      <c r="Z665" s="1191"/>
      <c r="AA665" s="1191"/>
      <c r="AB665" s="1210"/>
      <c r="AC665" s="1210"/>
      <c r="AD665" s="1210"/>
      <c r="AE665" s="1210"/>
      <c r="AF665" s="1210"/>
      <c r="AG665" s="1210"/>
      <c r="AH665" s="1210"/>
      <c r="AI665" s="1210"/>
      <c r="AJ665" s="1210"/>
    </row>
    <row r="666" spans="1:36" s="1179" customFormat="1">
      <c r="A666" s="1188"/>
      <c r="B666" s="1188"/>
      <c r="C666" s="1188"/>
      <c r="D666" s="1210"/>
      <c r="E666" s="1210"/>
      <c r="F666" s="1210"/>
      <c r="G666" s="1191"/>
      <c r="H666" s="1191"/>
      <c r="I666" s="1199"/>
      <c r="J666" s="1191"/>
      <c r="K666" s="1191"/>
      <c r="L666" s="1191"/>
      <c r="M666" s="1191"/>
      <c r="N666" s="1191"/>
      <c r="O666" s="1191"/>
      <c r="P666" s="1199"/>
      <c r="Q666" s="1191"/>
      <c r="R666" s="1191"/>
      <c r="S666" s="1191"/>
      <c r="T666" s="1191"/>
      <c r="U666" s="1191"/>
      <c r="V666" s="1191"/>
      <c r="W666" s="1191"/>
      <c r="X666" s="1191"/>
      <c r="Y666" s="1191"/>
      <c r="Z666" s="1191"/>
      <c r="AA666" s="1191"/>
      <c r="AB666" s="1210"/>
      <c r="AC666" s="1210"/>
      <c r="AD666" s="1210"/>
      <c r="AE666" s="1210"/>
      <c r="AF666" s="1210"/>
      <c r="AG666" s="1210"/>
      <c r="AH666" s="1210"/>
      <c r="AI666" s="1210"/>
      <c r="AJ666" s="1210"/>
    </row>
    <row r="667" spans="1:36" s="1179" customFormat="1">
      <c r="A667" s="1188"/>
      <c r="B667" s="1188"/>
      <c r="C667" s="1188"/>
      <c r="D667" s="1210"/>
      <c r="E667" s="1210"/>
      <c r="F667" s="1210"/>
      <c r="G667" s="1191"/>
      <c r="H667" s="1191"/>
      <c r="I667" s="1199"/>
      <c r="J667" s="1191"/>
      <c r="K667" s="1191"/>
      <c r="L667" s="1191"/>
      <c r="M667" s="1191"/>
      <c r="N667" s="1191"/>
      <c r="O667" s="1191"/>
      <c r="P667" s="1199"/>
      <c r="Q667" s="1191"/>
      <c r="R667" s="1191"/>
      <c r="S667" s="1191"/>
      <c r="T667" s="1191"/>
      <c r="U667" s="1191"/>
      <c r="V667" s="1191"/>
      <c r="W667" s="1191"/>
      <c r="X667" s="1191"/>
      <c r="Y667" s="1191"/>
      <c r="Z667" s="1191"/>
      <c r="AA667" s="1191"/>
      <c r="AB667" s="1210"/>
      <c r="AC667" s="1210"/>
      <c r="AD667" s="1210"/>
      <c r="AE667" s="1210"/>
      <c r="AF667" s="1210"/>
      <c r="AG667" s="1210"/>
      <c r="AH667" s="1210"/>
      <c r="AI667" s="1210"/>
      <c r="AJ667" s="1210"/>
    </row>
    <row r="668" spans="1:36" s="1179" customFormat="1">
      <c r="A668" s="1188"/>
      <c r="B668" s="1188"/>
      <c r="C668" s="1188"/>
      <c r="D668" s="1210"/>
      <c r="E668" s="1210"/>
      <c r="F668" s="1210"/>
      <c r="G668" s="1191"/>
      <c r="H668" s="1191"/>
      <c r="I668" s="1199"/>
      <c r="J668" s="1191"/>
      <c r="K668" s="1191"/>
      <c r="L668" s="1191"/>
      <c r="M668" s="1191"/>
      <c r="N668" s="1191"/>
      <c r="O668" s="1191"/>
      <c r="P668" s="1199"/>
      <c r="Q668" s="1191"/>
      <c r="R668" s="1191"/>
      <c r="S668" s="1191"/>
      <c r="T668" s="1191"/>
      <c r="U668" s="1191"/>
      <c r="V668" s="1191"/>
      <c r="W668" s="1191"/>
      <c r="X668" s="1191"/>
      <c r="Y668" s="1191"/>
      <c r="Z668" s="1191"/>
      <c r="AA668" s="1191"/>
      <c r="AB668" s="1210"/>
      <c r="AC668" s="1210"/>
      <c r="AD668" s="1210"/>
      <c r="AE668" s="1210"/>
      <c r="AF668" s="1210"/>
      <c r="AG668" s="1210"/>
      <c r="AH668" s="1210"/>
      <c r="AI668" s="1210"/>
      <c r="AJ668" s="1210"/>
    </row>
    <row r="669" spans="1:36" s="1179" customFormat="1">
      <c r="A669" s="1188"/>
      <c r="B669" s="1188"/>
      <c r="C669" s="1188"/>
      <c r="D669" s="1210"/>
      <c r="E669" s="1210"/>
      <c r="F669" s="1210"/>
      <c r="G669" s="1191"/>
      <c r="H669" s="1191"/>
      <c r="I669" s="1199"/>
      <c r="J669" s="1191"/>
      <c r="K669" s="1191"/>
      <c r="L669" s="1191"/>
      <c r="M669" s="1191"/>
      <c r="N669" s="1191"/>
      <c r="O669" s="1191"/>
      <c r="P669" s="1199"/>
      <c r="Q669" s="1191"/>
      <c r="R669" s="1191"/>
      <c r="S669" s="1191"/>
      <c r="T669" s="1191"/>
      <c r="U669" s="1191"/>
      <c r="V669" s="1191"/>
      <c r="W669" s="1191"/>
      <c r="X669" s="1191"/>
      <c r="Y669" s="1191"/>
      <c r="Z669" s="1191"/>
      <c r="AA669" s="1191"/>
      <c r="AB669" s="1210"/>
      <c r="AC669" s="1210"/>
      <c r="AD669" s="1210"/>
      <c r="AE669" s="1210"/>
      <c r="AF669" s="1210"/>
      <c r="AG669" s="1210"/>
      <c r="AH669" s="1210"/>
      <c r="AI669" s="1210"/>
      <c r="AJ669" s="1210"/>
    </row>
    <row r="670" spans="1:36" s="1179" customFormat="1">
      <c r="A670" s="1188"/>
      <c r="B670" s="1188"/>
      <c r="C670" s="1188"/>
      <c r="D670" s="1210"/>
      <c r="E670" s="1210"/>
      <c r="F670" s="1210"/>
      <c r="G670" s="1191"/>
      <c r="H670" s="1191"/>
      <c r="I670" s="1199"/>
      <c r="J670" s="1191"/>
      <c r="K670" s="1191"/>
      <c r="L670" s="1191"/>
      <c r="M670" s="1191"/>
      <c r="N670" s="1191"/>
      <c r="O670" s="1191"/>
      <c r="P670" s="1199"/>
      <c r="Q670" s="1191"/>
      <c r="R670" s="1191"/>
      <c r="S670" s="1191"/>
      <c r="T670" s="1191"/>
      <c r="U670" s="1191"/>
      <c r="V670" s="1191"/>
      <c r="W670" s="1191"/>
      <c r="X670" s="1191"/>
      <c r="Y670" s="1191"/>
      <c r="Z670" s="1191"/>
      <c r="AA670" s="1191"/>
      <c r="AB670" s="1210"/>
      <c r="AC670" s="1210"/>
      <c r="AD670" s="1210"/>
      <c r="AE670" s="1210"/>
      <c r="AF670" s="1210"/>
      <c r="AG670" s="1210"/>
      <c r="AH670" s="1210"/>
      <c r="AI670" s="1210"/>
      <c r="AJ670" s="1210"/>
    </row>
    <row r="671" spans="1:36" s="1179" customFormat="1">
      <c r="A671" s="1188"/>
      <c r="B671" s="1188"/>
      <c r="C671" s="1188"/>
      <c r="D671" s="1210"/>
      <c r="E671" s="1210"/>
      <c r="F671" s="1210"/>
      <c r="G671" s="1191"/>
      <c r="H671" s="1191"/>
      <c r="I671" s="1199"/>
      <c r="J671" s="1191"/>
      <c r="K671" s="1191"/>
      <c r="L671" s="1191"/>
      <c r="M671" s="1191"/>
      <c r="N671" s="1191"/>
      <c r="O671" s="1191"/>
      <c r="P671" s="1199"/>
      <c r="Q671" s="1191"/>
      <c r="R671" s="1191"/>
      <c r="S671" s="1191"/>
      <c r="T671" s="1191"/>
      <c r="U671" s="1191"/>
      <c r="V671" s="1191"/>
      <c r="W671" s="1191"/>
      <c r="X671" s="1191"/>
      <c r="Y671" s="1191"/>
      <c r="Z671" s="1191"/>
      <c r="AA671" s="1191"/>
      <c r="AB671" s="1210"/>
      <c r="AC671" s="1210"/>
      <c r="AD671" s="1210"/>
      <c r="AE671" s="1210"/>
      <c r="AF671" s="1210"/>
      <c r="AG671" s="1210"/>
      <c r="AH671" s="1210"/>
      <c r="AI671" s="1210"/>
      <c r="AJ671" s="1210"/>
    </row>
    <row r="672" spans="1:36" s="1179" customFormat="1">
      <c r="A672" s="1188"/>
      <c r="B672" s="1188"/>
      <c r="C672" s="1188"/>
      <c r="D672" s="1210"/>
      <c r="E672" s="1210"/>
      <c r="F672" s="1210"/>
      <c r="G672" s="1191"/>
      <c r="H672" s="1191"/>
      <c r="I672" s="1199"/>
      <c r="J672" s="1191"/>
      <c r="K672" s="1191"/>
      <c r="L672" s="1191"/>
      <c r="M672" s="1191"/>
      <c r="N672" s="1191"/>
      <c r="O672" s="1191"/>
      <c r="P672" s="1199"/>
      <c r="Q672" s="1191"/>
      <c r="R672" s="1191"/>
      <c r="S672" s="1191"/>
      <c r="T672" s="1191"/>
      <c r="U672" s="1191"/>
      <c r="V672" s="1191"/>
      <c r="W672" s="1191"/>
      <c r="X672" s="1191"/>
      <c r="Y672" s="1191"/>
      <c r="Z672" s="1191"/>
      <c r="AA672" s="1191"/>
      <c r="AB672" s="1210"/>
      <c r="AC672" s="1210"/>
      <c r="AD672" s="1210"/>
      <c r="AE672" s="1210"/>
      <c r="AF672" s="1210"/>
      <c r="AG672" s="1210"/>
      <c r="AH672" s="1210"/>
      <c r="AI672" s="1210"/>
      <c r="AJ672" s="1210"/>
    </row>
    <row r="673" spans="1:36" s="1179" customFormat="1">
      <c r="A673" s="1188"/>
      <c r="B673" s="1188"/>
      <c r="C673" s="1188"/>
      <c r="D673" s="1210"/>
      <c r="E673" s="1210"/>
      <c r="F673" s="1210"/>
      <c r="G673" s="1191"/>
      <c r="H673" s="1191"/>
      <c r="I673" s="1199"/>
      <c r="J673" s="1191"/>
      <c r="K673" s="1191"/>
      <c r="L673" s="1191"/>
      <c r="M673" s="1191"/>
      <c r="N673" s="1191"/>
      <c r="O673" s="1191"/>
      <c r="P673" s="1199"/>
      <c r="Q673" s="1191"/>
      <c r="R673" s="1191"/>
      <c r="S673" s="1191"/>
      <c r="T673" s="1191"/>
      <c r="U673" s="1191"/>
      <c r="V673" s="1191"/>
      <c r="W673" s="1191"/>
      <c r="X673" s="1191"/>
      <c r="Y673" s="1191"/>
      <c r="Z673" s="1191"/>
      <c r="AA673" s="1191"/>
      <c r="AB673" s="1210"/>
      <c r="AC673" s="1210"/>
      <c r="AD673" s="1210"/>
      <c r="AE673" s="1210"/>
      <c r="AF673" s="1210"/>
      <c r="AG673" s="1210"/>
      <c r="AH673" s="1210"/>
      <c r="AI673" s="1210"/>
      <c r="AJ673" s="1210"/>
    </row>
    <row r="674" spans="1:36" s="1179" customFormat="1">
      <c r="A674" s="1188"/>
      <c r="B674" s="1188"/>
      <c r="C674" s="1188"/>
      <c r="D674" s="1210"/>
      <c r="E674" s="1210"/>
      <c r="F674" s="1210"/>
      <c r="G674" s="1191"/>
      <c r="H674" s="1191"/>
      <c r="I674" s="1199"/>
      <c r="J674" s="1191"/>
      <c r="K674" s="1191"/>
      <c r="L674" s="1191"/>
      <c r="M674" s="1191"/>
      <c r="N674" s="1191"/>
      <c r="O674" s="1191"/>
      <c r="P674" s="1199"/>
      <c r="Q674" s="1191"/>
      <c r="R674" s="1191"/>
      <c r="S674" s="1191"/>
      <c r="T674" s="1191"/>
      <c r="U674" s="1191"/>
      <c r="V674" s="1191"/>
      <c r="W674" s="1191"/>
      <c r="X674" s="1191"/>
      <c r="Y674" s="1191"/>
      <c r="Z674" s="1191"/>
      <c r="AA674" s="1191"/>
      <c r="AB674" s="1210"/>
      <c r="AC674" s="1210"/>
      <c r="AD674" s="1210"/>
      <c r="AE674" s="1210"/>
      <c r="AF674" s="1210"/>
      <c r="AG674" s="1210"/>
      <c r="AH674" s="1210"/>
      <c r="AI674" s="1210"/>
      <c r="AJ674" s="1210"/>
    </row>
    <row r="675" spans="1:36" s="1179" customFormat="1">
      <c r="A675" s="1188"/>
      <c r="B675" s="1188"/>
      <c r="C675" s="1188"/>
      <c r="D675" s="1210"/>
      <c r="E675" s="1210"/>
      <c r="F675" s="1210"/>
      <c r="G675" s="1191"/>
      <c r="H675" s="1191"/>
      <c r="I675" s="1199"/>
      <c r="J675" s="1191"/>
      <c r="K675" s="1191"/>
      <c r="L675" s="1191"/>
      <c r="M675" s="1191"/>
      <c r="N675" s="1191"/>
      <c r="O675" s="1191"/>
      <c r="P675" s="1199"/>
      <c r="Q675" s="1191"/>
      <c r="R675" s="1191"/>
      <c r="S675" s="1191"/>
      <c r="T675" s="1191"/>
      <c r="U675" s="1191"/>
      <c r="V675" s="1191"/>
      <c r="W675" s="1191"/>
      <c r="X675" s="1191"/>
      <c r="Y675" s="1191"/>
      <c r="Z675" s="1191"/>
      <c r="AA675" s="1191"/>
      <c r="AB675" s="1210"/>
      <c r="AC675" s="1210"/>
      <c r="AD675" s="1210"/>
      <c r="AE675" s="1210"/>
      <c r="AF675" s="1210"/>
      <c r="AG675" s="1210"/>
      <c r="AH675" s="1210"/>
      <c r="AI675" s="1210"/>
      <c r="AJ675" s="1210"/>
    </row>
    <row r="676" spans="1:36" s="1179" customFormat="1">
      <c r="A676" s="1188"/>
      <c r="B676" s="1188"/>
      <c r="C676" s="1188"/>
      <c r="D676" s="1210"/>
      <c r="E676" s="1210"/>
      <c r="F676" s="1210"/>
      <c r="G676" s="1191"/>
      <c r="H676" s="1191"/>
      <c r="I676" s="1199"/>
      <c r="J676" s="1191"/>
      <c r="K676" s="1191"/>
      <c r="L676" s="1191"/>
      <c r="M676" s="1191"/>
      <c r="N676" s="1191"/>
      <c r="O676" s="1191"/>
      <c r="P676" s="1199"/>
      <c r="Q676" s="1191"/>
      <c r="R676" s="1191"/>
      <c r="S676" s="1191"/>
      <c r="T676" s="1191"/>
      <c r="U676" s="1191"/>
      <c r="V676" s="1191"/>
      <c r="W676" s="1191"/>
      <c r="X676" s="1191"/>
      <c r="Y676" s="1191"/>
      <c r="Z676" s="1191"/>
      <c r="AA676" s="1191"/>
      <c r="AB676" s="1210"/>
      <c r="AC676" s="1210"/>
      <c r="AD676" s="1210"/>
      <c r="AE676" s="1210"/>
      <c r="AF676" s="1210"/>
      <c r="AG676" s="1210"/>
      <c r="AH676" s="1210"/>
      <c r="AI676" s="1210"/>
      <c r="AJ676" s="1210"/>
    </row>
    <row r="677" spans="1:36" s="1179" customFormat="1">
      <c r="A677" s="1188"/>
      <c r="B677" s="1188"/>
      <c r="C677" s="1188"/>
      <c r="D677" s="1210"/>
      <c r="E677" s="1210"/>
      <c r="F677" s="1210"/>
      <c r="G677" s="1191"/>
      <c r="H677" s="1191"/>
      <c r="I677" s="1199"/>
      <c r="J677" s="1191"/>
      <c r="K677" s="1191"/>
      <c r="L677" s="1191"/>
      <c r="M677" s="1191"/>
      <c r="N677" s="1191"/>
      <c r="O677" s="1191"/>
      <c r="P677" s="1199"/>
      <c r="Q677" s="1191"/>
      <c r="R677" s="1191"/>
      <c r="S677" s="1191"/>
      <c r="T677" s="1191"/>
      <c r="U677" s="1191"/>
      <c r="V677" s="1191"/>
      <c r="W677" s="1191"/>
      <c r="X677" s="1191"/>
      <c r="Y677" s="1191"/>
      <c r="Z677" s="1191"/>
      <c r="AA677" s="1191"/>
      <c r="AB677" s="1210"/>
      <c r="AC677" s="1210"/>
      <c r="AD677" s="1210"/>
      <c r="AE677" s="1210"/>
      <c r="AF677" s="1210"/>
      <c r="AG677" s="1210"/>
      <c r="AH677" s="1210"/>
      <c r="AI677" s="1210"/>
      <c r="AJ677" s="1210"/>
    </row>
    <row r="678" spans="1:36" s="1179" customFormat="1">
      <c r="A678" s="1188"/>
      <c r="B678" s="1188"/>
      <c r="C678" s="1188"/>
      <c r="D678" s="1210"/>
      <c r="E678" s="1210"/>
      <c r="F678" s="1210"/>
      <c r="G678" s="1191"/>
      <c r="H678" s="1191"/>
      <c r="I678" s="1199"/>
      <c r="J678" s="1191"/>
      <c r="K678" s="1191"/>
      <c r="L678" s="1191"/>
      <c r="M678" s="1191"/>
      <c r="N678" s="1191"/>
      <c r="O678" s="1191"/>
      <c r="P678" s="1199"/>
      <c r="Q678" s="1191"/>
      <c r="R678" s="1191"/>
      <c r="S678" s="1191"/>
      <c r="T678" s="1191"/>
      <c r="U678" s="1191"/>
      <c r="V678" s="1191"/>
      <c r="W678" s="1191"/>
      <c r="X678" s="1191"/>
      <c r="Y678" s="1191"/>
      <c r="Z678" s="1191"/>
      <c r="AA678" s="1191"/>
      <c r="AB678" s="1210"/>
      <c r="AC678" s="1210"/>
      <c r="AD678" s="1210"/>
      <c r="AE678" s="1210"/>
      <c r="AF678" s="1210"/>
      <c r="AG678" s="1210"/>
      <c r="AH678" s="1210"/>
      <c r="AI678" s="1210"/>
      <c r="AJ678" s="1210"/>
    </row>
    <row r="679" spans="1:36" s="1179" customFormat="1">
      <c r="A679" s="1188"/>
      <c r="B679" s="1188"/>
      <c r="C679" s="1188"/>
      <c r="D679" s="1210"/>
      <c r="E679" s="1210"/>
      <c r="F679" s="1210"/>
      <c r="G679" s="1191"/>
      <c r="H679" s="1191"/>
      <c r="I679" s="1199"/>
      <c r="J679" s="1191"/>
      <c r="K679" s="1191"/>
      <c r="L679" s="1191"/>
      <c r="M679" s="1191"/>
      <c r="N679" s="1191"/>
      <c r="O679" s="1191"/>
      <c r="P679" s="1199"/>
      <c r="Q679" s="1191"/>
      <c r="R679" s="1191"/>
      <c r="S679" s="1191"/>
      <c r="T679" s="1191"/>
      <c r="U679" s="1191"/>
      <c r="V679" s="1191"/>
      <c r="W679" s="1191"/>
      <c r="X679" s="1191"/>
      <c r="Y679" s="1191"/>
      <c r="Z679" s="1191"/>
      <c r="AA679" s="1191"/>
      <c r="AB679" s="1210"/>
      <c r="AC679" s="1210"/>
      <c r="AD679" s="1210"/>
      <c r="AE679" s="1210"/>
      <c r="AF679" s="1210"/>
      <c r="AG679" s="1210"/>
      <c r="AH679" s="1210"/>
      <c r="AI679" s="1210"/>
      <c r="AJ679" s="1210"/>
    </row>
    <row r="680" spans="1:36" s="1179" customFormat="1">
      <c r="A680" s="1188"/>
      <c r="B680" s="1188"/>
      <c r="C680" s="1188"/>
      <c r="D680" s="1210"/>
      <c r="E680" s="1210"/>
      <c r="F680" s="1210"/>
      <c r="G680" s="1191"/>
      <c r="H680" s="1191"/>
      <c r="I680" s="1199"/>
      <c r="J680" s="1191"/>
      <c r="K680" s="1191"/>
      <c r="L680" s="1191"/>
      <c r="M680" s="1191"/>
      <c r="N680" s="1191"/>
      <c r="O680" s="1191"/>
      <c r="P680" s="1199"/>
      <c r="Q680" s="1191"/>
      <c r="R680" s="1191"/>
      <c r="S680" s="1191"/>
      <c r="T680" s="1191"/>
      <c r="U680" s="1191"/>
      <c r="V680" s="1191"/>
      <c r="W680" s="1191"/>
      <c r="X680" s="1191"/>
      <c r="Y680" s="1191"/>
      <c r="Z680" s="1191"/>
      <c r="AA680" s="1191"/>
      <c r="AB680" s="1210"/>
      <c r="AC680" s="1210"/>
      <c r="AD680" s="1210"/>
      <c r="AE680" s="1210"/>
      <c r="AF680" s="1210"/>
      <c r="AG680" s="1210"/>
      <c r="AH680" s="1210"/>
      <c r="AI680" s="1210"/>
      <c r="AJ680" s="1210"/>
    </row>
    <row r="681" spans="1:36" s="1179" customFormat="1">
      <c r="A681" s="1188"/>
      <c r="B681" s="1188"/>
      <c r="C681" s="1188"/>
      <c r="D681" s="1210"/>
      <c r="E681" s="1210"/>
      <c r="F681" s="1210"/>
      <c r="G681" s="1191"/>
      <c r="H681" s="1191"/>
      <c r="I681" s="1199"/>
      <c r="J681" s="1191"/>
      <c r="K681" s="1191"/>
      <c r="L681" s="1191"/>
      <c r="M681" s="1191"/>
      <c r="N681" s="1191"/>
      <c r="O681" s="1191"/>
      <c r="P681" s="1199"/>
      <c r="Q681" s="1191"/>
      <c r="R681" s="1191"/>
      <c r="S681" s="1191"/>
      <c r="T681" s="1191"/>
      <c r="U681" s="1191"/>
      <c r="V681" s="1191"/>
      <c r="W681" s="1191"/>
      <c r="X681" s="1191"/>
      <c r="Y681" s="1191"/>
      <c r="Z681" s="1191"/>
      <c r="AA681" s="1191"/>
      <c r="AB681" s="1210"/>
      <c r="AC681" s="1210"/>
      <c r="AD681" s="1210"/>
      <c r="AE681" s="1210"/>
      <c r="AF681" s="1210"/>
      <c r="AG681" s="1210"/>
      <c r="AH681" s="1210"/>
      <c r="AI681" s="1210"/>
      <c r="AJ681" s="1210"/>
    </row>
    <row r="682" spans="1:36" s="1179" customFormat="1">
      <c r="A682" s="1188"/>
      <c r="B682" s="1188"/>
      <c r="C682" s="1188"/>
      <c r="D682" s="1210"/>
      <c r="E682" s="1210"/>
      <c r="F682" s="1210"/>
      <c r="G682" s="1191"/>
      <c r="H682" s="1191"/>
      <c r="I682" s="1199"/>
      <c r="J682" s="1191"/>
      <c r="K682" s="1191"/>
      <c r="L682" s="1191"/>
      <c r="M682" s="1191"/>
      <c r="N682" s="1191"/>
      <c r="O682" s="1191"/>
      <c r="P682" s="1199"/>
      <c r="Q682" s="1191"/>
      <c r="R682" s="1191"/>
      <c r="S682" s="1191"/>
      <c r="T682" s="1191"/>
      <c r="U682" s="1191"/>
      <c r="V682" s="1191"/>
      <c r="W682" s="1191"/>
      <c r="X682" s="1191"/>
      <c r="Y682" s="1191"/>
      <c r="Z682" s="1191"/>
      <c r="AA682" s="1191"/>
      <c r="AB682" s="1210"/>
      <c r="AC682" s="1210"/>
      <c r="AD682" s="1210"/>
      <c r="AE682" s="1210"/>
      <c r="AF682" s="1210"/>
      <c r="AG682" s="1210"/>
      <c r="AH682" s="1210"/>
      <c r="AI682" s="1210"/>
      <c r="AJ682" s="1210"/>
    </row>
    <row r="683" spans="1:36" s="1179" customFormat="1">
      <c r="A683" s="1188"/>
      <c r="B683" s="1188"/>
      <c r="C683" s="1188"/>
      <c r="D683" s="1210"/>
      <c r="E683" s="1210"/>
      <c r="F683" s="1210"/>
      <c r="G683" s="1191"/>
      <c r="H683" s="1191"/>
      <c r="I683" s="1199"/>
      <c r="J683" s="1191"/>
      <c r="K683" s="1191"/>
      <c r="L683" s="1191"/>
      <c r="M683" s="1191"/>
      <c r="N683" s="1191"/>
      <c r="O683" s="1191"/>
      <c r="P683" s="1199"/>
      <c r="Q683" s="1191"/>
      <c r="R683" s="1191"/>
      <c r="S683" s="1191"/>
      <c r="T683" s="1191"/>
      <c r="U683" s="1191"/>
      <c r="V683" s="1191"/>
      <c r="W683" s="1191"/>
      <c r="X683" s="1191"/>
      <c r="Y683" s="1191"/>
      <c r="Z683" s="1191"/>
      <c r="AA683" s="1191"/>
      <c r="AB683" s="1210"/>
      <c r="AC683" s="1210"/>
      <c r="AD683" s="1210"/>
      <c r="AE683" s="1210"/>
      <c r="AF683" s="1210"/>
      <c r="AG683" s="1210"/>
      <c r="AH683" s="1210"/>
      <c r="AI683" s="1210"/>
      <c r="AJ683" s="1210"/>
    </row>
    <row r="684" spans="1:36" s="1179" customFormat="1">
      <c r="A684" s="1188"/>
      <c r="B684" s="1188"/>
      <c r="C684" s="1188"/>
      <c r="D684" s="1210"/>
      <c r="E684" s="1210"/>
      <c r="F684" s="1210"/>
      <c r="G684" s="1191"/>
      <c r="H684" s="1191"/>
      <c r="I684" s="1199"/>
      <c r="J684" s="1191"/>
      <c r="K684" s="1191"/>
      <c r="L684" s="1191"/>
      <c r="M684" s="1191"/>
      <c r="N684" s="1191"/>
      <c r="O684" s="1191"/>
      <c r="P684" s="1199"/>
      <c r="Q684" s="1191"/>
      <c r="R684" s="1191"/>
      <c r="S684" s="1191"/>
      <c r="T684" s="1191"/>
      <c r="U684" s="1191"/>
      <c r="V684" s="1191"/>
      <c r="W684" s="1191"/>
      <c r="X684" s="1191"/>
      <c r="Y684" s="1191"/>
      <c r="Z684" s="1191"/>
      <c r="AA684" s="1191"/>
      <c r="AB684" s="1210"/>
      <c r="AC684" s="1210"/>
      <c r="AD684" s="1210"/>
      <c r="AE684" s="1210"/>
      <c r="AF684" s="1210"/>
      <c r="AG684" s="1210"/>
      <c r="AH684" s="1210"/>
      <c r="AI684" s="1210"/>
      <c r="AJ684" s="1210"/>
    </row>
    <row r="685" spans="1:36" s="1179" customFormat="1">
      <c r="A685" s="1188"/>
      <c r="B685" s="1188"/>
      <c r="C685" s="1188"/>
      <c r="D685" s="1210"/>
      <c r="E685" s="1210"/>
      <c r="F685" s="1210"/>
      <c r="G685" s="1191"/>
      <c r="H685" s="1191"/>
      <c r="I685" s="1199"/>
      <c r="J685" s="1191"/>
      <c r="K685" s="1191"/>
      <c r="L685" s="1191"/>
      <c r="M685" s="1191"/>
      <c r="N685" s="1191"/>
      <c r="O685" s="1191"/>
      <c r="P685" s="1199"/>
      <c r="Q685" s="1191"/>
      <c r="R685" s="1191"/>
      <c r="S685" s="1191"/>
      <c r="T685" s="1191"/>
      <c r="U685" s="1191"/>
      <c r="V685" s="1191"/>
      <c r="W685" s="1191"/>
      <c r="X685" s="1191"/>
      <c r="Y685" s="1191"/>
      <c r="Z685" s="1191"/>
      <c r="AA685" s="1191"/>
      <c r="AB685" s="1210"/>
      <c r="AC685" s="1210"/>
      <c r="AD685" s="1210"/>
      <c r="AE685" s="1210"/>
      <c r="AF685" s="1210"/>
      <c r="AG685" s="1210"/>
      <c r="AH685" s="1210"/>
      <c r="AI685" s="1210"/>
      <c r="AJ685" s="1210"/>
    </row>
    <row r="686" spans="1:36" s="1179" customFormat="1">
      <c r="A686" s="1188"/>
      <c r="B686" s="1188"/>
      <c r="C686" s="1188"/>
      <c r="D686" s="1210"/>
      <c r="E686" s="1210"/>
      <c r="F686" s="1210"/>
      <c r="G686" s="1191"/>
      <c r="H686" s="1191"/>
      <c r="I686" s="1199"/>
      <c r="J686" s="1191"/>
      <c r="K686" s="1191"/>
      <c r="L686" s="1191"/>
      <c r="M686" s="1191"/>
      <c r="N686" s="1191"/>
      <c r="O686" s="1191"/>
      <c r="P686" s="1199"/>
      <c r="Q686" s="1191"/>
      <c r="R686" s="1191"/>
      <c r="S686" s="1191"/>
      <c r="T686" s="1191"/>
      <c r="U686" s="1191"/>
      <c r="V686" s="1191"/>
      <c r="W686" s="1191"/>
      <c r="X686" s="1191"/>
      <c r="Y686" s="1191"/>
      <c r="Z686" s="1191"/>
      <c r="AA686" s="1191"/>
      <c r="AB686" s="1210"/>
      <c r="AC686" s="1210"/>
      <c r="AD686" s="1210"/>
      <c r="AE686" s="1210"/>
      <c r="AF686" s="1210"/>
      <c r="AG686" s="1210"/>
      <c r="AH686" s="1210"/>
      <c r="AI686" s="1210"/>
      <c r="AJ686" s="1210"/>
    </row>
    <row r="687" spans="1:36" s="1179" customFormat="1">
      <c r="A687" s="1188"/>
      <c r="B687" s="1188"/>
      <c r="C687" s="1188"/>
      <c r="D687" s="1210"/>
      <c r="E687" s="1210"/>
      <c r="F687" s="1210"/>
      <c r="G687" s="1191"/>
      <c r="H687" s="1191"/>
      <c r="I687" s="1199"/>
      <c r="J687" s="1191"/>
      <c r="K687" s="1191"/>
      <c r="L687" s="1191"/>
      <c r="M687" s="1191"/>
      <c r="N687" s="1191"/>
      <c r="O687" s="1191"/>
      <c r="P687" s="1199"/>
      <c r="Q687" s="1191"/>
      <c r="R687" s="1191"/>
      <c r="S687" s="1191"/>
      <c r="T687" s="1191"/>
      <c r="U687" s="1191"/>
      <c r="V687" s="1191"/>
      <c r="W687" s="1191"/>
      <c r="X687" s="1191"/>
      <c r="Y687" s="1191"/>
      <c r="Z687" s="1191"/>
      <c r="AA687" s="1191"/>
      <c r="AB687" s="1210"/>
      <c r="AC687" s="1210"/>
      <c r="AD687" s="1210"/>
      <c r="AE687" s="1210"/>
      <c r="AF687" s="1210"/>
      <c r="AG687" s="1210"/>
      <c r="AH687" s="1210"/>
      <c r="AI687" s="1210"/>
      <c r="AJ687" s="1210"/>
    </row>
    <row r="688" spans="1:36" s="1179" customFormat="1">
      <c r="A688" s="1188"/>
      <c r="B688" s="1188"/>
      <c r="C688" s="1188"/>
      <c r="D688" s="1210"/>
      <c r="E688" s="1210"/>
      <c r="F688" s="1210"/>
      <c r="G688" s="1191"/>
      <c r="H688" s="1191"/>
      <c r="I688" s="1199"/>
      <c r="J688" s="1191"/>
      <c r="K688" s="1191"/>
      <c r="L688" s="1191"/>
      <c r="M688" s="1191"/>
      <c r="N688" s="1191"/>
      <c r="O688" s="1191"/>
      <c r="P688" s="1199"/>
      <c r="Q688" s="1191"/>
      <c r="R688" s="1191"/>
      <c r="S688" s="1191"/>
      <c r="T688" s="1191"/>
      <c r="U688" s="1191"/>
      <c r="V688" s="1191"/>
      <c r="W688" s="1191"/>
      <c r="X688" s="1191"/>
      <c r="Y688" s="1191"/>
      <c r="Z688" s="1191"/>
      <c r="AA688" s="1191"/>
      <c r="AB688" s="1210"/>
      <c r="AC688" s="1210"/>
      <c r="AD688" s="1210"/>
      <c r="AE688" s="1210"/>
      <c r="AF688" s="1210"/>
      <c r="AG688" s="1210"/>
      <c r="AH688" s="1210"/>
      <c r="AI688" s="1210"/>
      <c r="AJ688" s="1210"/>
    </row>
    <row r="689" spans="1:36" s="1179" customFormat="1">
      <c r="A689" s="1188"/>
      <c r="B689" s="1188"/>
      <c r="C689" s="1188"/>
      <c r="D689" s="1210"/>
      <c r="E689" s="1210"/>
      <c r="F689" s="1210"/>
      <c r="G689" s="1191"/>
      <c r="H689" s="1191"/>
      <c r="I689" s="1199"/>
      <c r="J689" s="1191"/>
      <c r="K689" s="1191"/>
      <c r="L689" s="1191"/>
      <c r="M689" s="1191"/>
      <c r="N689" s="1191"/>
      <c r="O689" s="1191"/>
      <c r="P689" s="1199"/>
      <c r="Q689" s="1191"/>
      <c r="R689" s="1191"/>
      <c r="S689" s="1191"/>
      <c r="T689" s="1191"/>
      <c r="U689" s="1191"/>
      <c r="V689" s="1191"/>
      <c r="W689" s="1191"/>
      <c r="X689" s="1191"/>
      <c r="Y689" s="1191"/>
      <c r="Z689" s="1191"/>
      <c r="AA689" s="1191"/>
      <c r="AB689" s="1210"/>
      <c r="AC689" s="1210"/>
      <c r="AD689" s="1210"/>
      <c r="AE689" s="1210"/>
      <c r="AF689" s="1210"/>
      <c r="AG689" s="1210"/>
      <c r="AH689" s="1210"/>
      <c r="AI689" s="1210"/>
      <c r="AJ689" s="1210"/>
    </row>
    <row r="690" spans="1:36" s="1179" customFormat="1">
      <c r="A690" s="1188"/>
      <c r="B690" s="1188"/>
      <c r="C690" s="1188"/>
      <c r="D690" s="1210"/>
      <c r="E690" s="1210"/>
      <c r="F690" s="1210"/>
      <c r="G690" s="1191"/>
      <c r="H690" s="1191"/>
      <c r="I690" s="1199"/>
      <c r="J690" s="1191"/>
      <c r="K690" s="1191"/>
      <c r="L690" s="1191"/>
      <c r="M690" s="1191"/>
      <c r="N690" s="1191"/>
      <c r="O690" s="1191"/>
      <c r="P690" s="1199"/>
      <c r="Q690" s="1191"/>
      <c r="R690" s="1191"/>
      <c r="S690" s="1191"/>
      <c r="T690" s="1191"/>
      <c r="U690" s="1191"/>
      <c r="V690" s="1191"/>
      <c r="W690" s="1191"/>
      <c r="X690" s="1191"/>
      <c r="Y690" s="1191"/>
      <c r="Z690" s="1191"/>
      <c r="AA690" s="1191"/>
      <c r="AB690" s="1210"/>
      <c r="AC690" s="1210"/>
      <c r="AD690" s="1210"/>
      <c r="AE690" s="1210"/>
      <c r="AF690" s="1210"/>
      <c r="AG690" s="1210"/>
      <c r="AH690" s="1210"/>
      <c r="AI690" s="1210"/>
      <c r="AJ690" s="1210"/>
    </row>
    <row r="691" spans="1:36" s="1179" customFormat="1">
      <c r="A691" s="1188"/>
      <c r="B691" s="1188"/>
      <c r="C691" s="1188"/>
      <c r="D691" s="1210"/>
      <c r="E691" s="1210"/>
      <c r="F691" s="1210"/>
      <c r="G691" s="1191"/>
      <c r="H691" s="1191"/>
      <c r="I691" s="1199"/>
      <c r="J691" s="1191"/>
      <c r="K691" s="1191"/>
      <c r="L691" s="1191"/>
      <c r="M691" s="1191"/>
      <c r="N691" s="1191"/>
      <c r="O691" s="1191"/>
      <c r="P691" s="1199"/>
      <c r="Q691" s="1191"/>
      <c r="R691" s="1191"/>
      <c r="S691" s="1191"/>
      <c r="T691" s="1191"/>
      <c r="U691" s="1191"/>
      <c r="V691" s="1191"/>
      <c r="W691" s="1191"/>
      <c r="X691" s="1191"/>
      <c r="Y691" s="1191"/>
      <c r="Z691" s="1191"/>
      <c r="AA691" s="1191"/>
      <c r="AB691" s="1210"/>
      <c r="AC691" s="1210"/>
      <c r="AD691" s="1210"/>
      <c r="AE691" s="1210"/>
      <c r="AF691" s="1210"/>
      <c r="AG691" s="1210"/>
      <c r="AH691" s="1210"/>
      <c r="AI691" s="1210"/>
      <c r="AJ691" s="1210"/>
    </row>
    <row r="692" spans="1:36" s="1179" customFormat="1">
      <c r="A692" s="1188"/>
      <c r="B692" s="1188"/>
      <c r="C692" s="1188"/>
      <c r="D692" s="1210"/>
      <c r="E692" s="1210"/>
      <c r="F692" s="1210"/>
      <c r="G692" s="1191"/>
      <c r="H692" s="1191"/>
      <c r="I692" s="1199"/>
      <c r="J692" s="1191"/>
      <c r="K692" s="1191"/>
      <c r="L692" s="1191"/>
      <c r="M692" s="1191"/>
      <c r="N692" s="1191"/>
      <c r="O692" s="1191"/>
      <c r="P692" s="1199"/>
      <c r="Q692" s="1191"/>
      <c r="R692" s="1191"/>
      <c r="S692" s="1191"/>
      <c r="T692" s="1191"/>
      <c r="U692" s="1191"/>
      <c r="V692" s="1191"/>
      <c r="W692" s="1191"/>
      <c r="X692" s="1191"/>
      <c r="Y692" s="1191"/>
      <c r="Z692" s="1191"/>
      <c r="AA692" s="1191"/>
      <c r="AB692" s="1210"/>
      <c r="AC692" s="1210"/>
      <c r="AD692" s="1210"/>
      <c r="AE692" s="1210"/>
      <c r="AF692" s="1210"/>
      <c r="AG692" s="1210"/>
      <c r="AH692" s="1210"/>
      <c r="AI692" s="1210"/>
      <c r="AJ692" s="1210"/>
    </row>
    <row r="693" spans="1:36" s="1179" customFormat="1">
      <c r="A693" s="1188"/>
      <c r="B693" s="1188"/>
      <c r="C693" s="1188"/>
      <c r="D693" s="1210"/>
      <c r="E693" s="1210"/>
      <c r="F693" s="1210"/>
      <c r="G693" s="1191"/>
      <c r="H693" s="1191"/>
      <c r="I693" s="1199"/>
      <c r="J693" s="1191"/>
      <c r="K693" s="1191"/>
      <c r="L693" s="1191"/>
      <c r="M693" s="1191"/>
      <c r="N693" s="1191"/>
      <c r="O693" s="1191"/>
      <c r="P693" s="1199"/>
      <c r="Q693" s="1191"/>
      <c r="R693" s="1191"/>
      <c r="S693" s="1191"/>
      <c r="T693" s="1191"/>
      <c r="U693" s="1191"/>
      <c r="V693" s="1191"/>
      <c r="W693" s="1191"/>
      <c r="X693" s="1191"/>
      <c r="Y693" s="1191"/>
      <c r="Z693" s="1191"/>
      <c r="AA693" s="1191"/>
      <c r="AB693" s="1210"/>
      <c r="AC693" s="1210"/>
      <c r="AD693" s="1210"/>
      <c r="AE693" s="1210"/>
      <c r="AF693" s="1210"/>
      <c r="AG693" s="1210"/>
      <c r="AH693" s="1210"/>
      <c r="AI693" s="1210"/>
      <c r="AJ693" s="1210"/>
    </row>
    <row r="694" spans="1:36" s="1179" customFormat="1">
      <c r="A694" s="1188"/>
      <c r="B694" s="1188"/>
      <c r="C694" s="1188"/>
      <c r="D694" s="1210"/>
      <c r="E694" s="1210"/>
      <c r="F694" s="1210"/>
      <c r="G694" s="1191"/>
      <c r="H694" s="1191"/>
      <c r="I694" s="1199"/>
      <c r="J694" s="1191"/>
      <c r="K694" s="1191"/>
      <c r="L694" s="1191"/>
      <c r="M694" s="1191"/>
      <c r="N694" s="1191"/>
      <c r="O694" s="1191"/>
      <c r="P694" s="1199"/>
      <c r="Q694" s="1191"/>
      <c r="R694" s="1191"/>
      <c r="S694" s="1191"/>
      <c r="T694" s="1191"/>
      <c r="U694" s="1191"/>
      <c r="V694" s="1191"/>
      <c r="W694" s="1191"/>
      <c r="X694" s="1191"/>
      <c r="Y694" s="1191"/>
      <c r="Z694" s="1191"/>
      <c r="AA694" s="1191"/>
      <c r="AB694" s="1210"/>
      <c r="AC694" s="1210"/>
      <c r="AD694" s="1210"/>
      <c r="AE694" s="1210"/>
      <c r="AF694" s="1210"/>
      <c r="AG694" s="1210"/>
      <c r="AH694" s="1210"/>
      <c r="AI694" s="1210"/>
      <c r="AJ694" s="1210"/>
    </row>
    <row r="695" spans="1:36" s="1179" customFormat="1">
      <c r="A695" s="1188"/>
      <c r="B695" s="1188"/>
      <c r="C695" s="1188"/>
      <c r="D695" s="1210"/>
      <c r="E695" s="1210"/>
      <c r="F695" s="1210"/>
      <c r="G695" s="1191"/>
      <c r="H695" s="1191"/>
      <c r="I695" s="1199"/>
      <c r="J695" s="1191"/>
      <c r="K695" s="1191"/>
      <c r="L695" s="1191"/>
      <c r="M695" s="1191"/>
      <c r="N695" s="1191"/>
      <c r="O695" s="1191"/>
      <c r="P695" s="1199"/>
      <c r="Q695" s="1191"/>
      <c r="R695" s="1191"/>
      <c r="S695" s="1191"/>
      <c r="T695" s="1191"/>
      <c r="U695" s="1191"/>
      <c r="V695" s="1191"/>
      <c r="W695" s="1191"/>
      <c r="X695" s="1191"/>
      <c r="Y695" s="1191"/>
      <c r="Z695" s="1191"/>
      <c r="AA695" s="1191"/>
      <c r="AB695" s="1210"/>
      <c r="AC695" s="1210"/>
      <c r="AD695" s="1210"/>
      <c r="AE695" s="1210"/>
      <c r="AF695" s="1210"/>
      <c r="AG695" s="1210"/>
      <c r="AH695" s="1210"/>
      <c r="AI695" s="1210"/>
      <c r="AJ695" s="1210"/>
    </row>
    <row r="696" spans="1:36" s="1179" customFormat="1">
      <c r="A696" s="1188"/>
      <c r="B696" s="1188"/>
      <c r="C696" s="1188"/>
      <c r="D696" s="1210"/>
      <c r="E696" s="1210"/>
      <c r="F696" s="1210"/>
      <c r="G696" s="1191"/>
      <c r="H696" s="1191"/>
      <c r="I696" s="1199"/>
      <c r="J696" s="1191"/>
      <c r="K696" s="1191"/>
      <c r="L696" s="1191"/>
      <c r="M696" s="1191"/>
      <c r="N696" s="1191"/>
      <c r="O696" s="1191"/>
      <c r="P696" s="1199"/>
      <c r="Q696" s="1191"/>
      <c r="R696" s="1191"/>
      <c r="S696" s="1191"/>
      <c r="T696" s="1191"/>
      <c r="U696" s="1191"/>
      <c r="V696" s="1191"/>
      <c r="W696" s="1191"/>
      <c r="X696" s="1191"/>
      <c r="Y696" s="1191"/>
      <c r="Z696" s="1191"/>
      <c r="AA696" s="1191"/>
      <c r="AB696" s="1210"/>
      <c r="AC696" s="1210"/>
      <c r="AD696" s="1210"/>
      <c r="AE696" s="1210"/>
      <c r="AF696" s="1210"/>
      <c r="AG696" s="1210"/>
      <c r="AH696" s="1210"/>
      <c r="AI696" s="1210"/>
      <c r="AJ696" s="1210"/>
    </row>
    <row r="697" spans="1:36" s="1179" customFormat="1">
      <c r="A697" s="1188"/>
      <c r="B697" s="1188"/>
      <c r="C697" s="1188"/>
      <c r="D697" s="1210"/>
      <c r="E697" s="1210"/>
      <c r="F697" s="1210"/>
      <c r="G697" s="1191"/>
      <c r="H697" s="1191"/>
      <c r="I697" s="1199"/>
      <c r="J697" s="1191"/>
      <c r="K697" s="1191"/>
      <c r="L697" s="1191"/>
      <c r="M697" s="1191"/>
      <c r="N697" s="1191"/>
      <c r="O697" s="1191"/>
      <c r="P697" s="1199"/>
      <c r="Q697" s="1191"/>
      <c r="R697" s="1191"/>
      <c r="S697" s="1191"/>
      <c r="T697" s="1191"/>
      <c r="U697" s="1191"/>
      <c r="V697" s="1191"/>
      <c r="W697" s="1191"/>
      <c r="X697" s="1191"/>
      <c r="Y697" s="1191"/>
      <c r="Z697" s="1191"/>
      <c r="AA697" s="1191"/>
      <c r="AB697" s="1210"/>
      <c r="AC697" s="1210"/>
      <c r="AD697" s="1210"/>
      <c r="AE697" s="1210"/>
      <c r="AF697" s="1210"/>
      <c r="AG697" s="1210"/>
      <c r="AH697" s="1210"/>
      <c r="AI697" s="1210"/>
      <c r="AJ697" s="1210"/>
    </row>
    <row r="698" spans="1:36" s="1179" customFormat="1">
      <c r="A698" s="1188"/>
      <c r="B698" s="1188"/>
      <c r="C698" s="1188"/>
      <c r="D698" s="1210"/>
      <c r="E698" s="1210"/>
      <c r="F698" s="1210"/>
      <c r="G698" s="1191"/>
      <c r="H698" s="1191"/>
      <c r="I698" s="1199"/>
      <c r="J698" s="1191"/>
      <c r="K698" s="1191"/>
      <c r="L698" s="1191"/>
      <c r="M698" s="1191"/>
      <c r="N698" s="1191"/>
      <c r="O698" s="1191"/>
      <c r="P698" s="1199"/>
      <c r="Q698" s="1191"/>
      <c r="R698" s="1191"/>
      <c r="S698" s="1191"/>
      <c r="T698" s="1191"/>
      <c r="U698" s="1191"/>
      <c r="V698" s="1191"/>
      <c r="W698" s="1191"/>
      <c r="X698" s="1191"/>
      <c r="Y698" s="1191"/>
      <c r="Z698" s="1191"/>
      <c r="AA698" s="1191"/>
      <c r="AB698" s="1210"/>
      <c r="AC698" s="1210"/>
      <c r="AD698" s="1210"/>
      <c r="AE698" s="1210"/>
      <c r="AF698" s="1210"/>
      <c r="AG698" s="1210"/>
      <c r="AH698" s="1210"/>
      <c r="AI698" s="1210"/>
      <c r="AJ698" s="1210"/>
    </row>
    <row r="699" spans="1:36" s="1179" customFormat="1">
      <c r="A699" s="1188"/>
      <c r="B699" s="1188"/>
      <c r="C699" s="1188"/>
      <c r="D699" s="1210"/>
      <c r="E699" s="1210"/>
      <c r="F699" s="1210"/>
      <c r="G699" s="1191"/>
      <c r="H699" s="1191"/>
      <c r="I699" s="1199"/>
      <c r="J699" s="1191"/>
      <c r="K699" s="1191"/>
      <c r="L699" s="1191"/>
      <c r="M699" s="1191"/>
      <c r="N699" s="1191"/>
      <c r="O699" s="1191"/>
      <c r="P699" s="1199"/>
      <c r="Q699" s="1191"/>
      <c r="R699" s="1191"/>
      <c r="S699" s="1191"/>
      <c r="T699" s="1191"/>
      <c r="U699" s="1191"/>
      <c r="V699" s="1191"/>
      <c r="W699" s="1191"/>
      <c r="X699" s="1191"/>
      <c r="Y699" s="1191"/>
      <c r="Z699" s="1191"/>
      <c r="AA699" s="1191"/>
      <c r="AB699" s="1210"/>
      <c r="AC699" s="1210"/>
      <c r="AD699" s="1210"/>
      <c r="AE699" s="1210"/>
      <c r="AF699" s="1210"/>
      <c r="AG699" s="1210"/>
      <c r="AH699" s="1210"/>
      <c r="AI699" s="1210"/>
      <c r="AJ699" s="1210"/>
    </row>
    <row r="700" spans="1:36" s="1179" customFormat="1">
      <c r="A700" s="1188"/>
      <c r="B700" s="1188"/>
      <c r="C700" s="1188"/>
      <c r="D700" s="1210"/>
      <c r="E700" s="1210"/>
      <c r="F700" s="1210"/>
      <c r="G700" s="1191"/>
      <c r="H700" s="1191"/>
      <c r="I700" s="1199"/>
      <c r="J700" s="1191"/>
      <c r="K700" s="1191"/>
      <c r="L700" s="1191"/>
      <c r="M700" s="1191"/>
      <c r="N700" s="1191"/>
      <c r="O700" s="1191"/>
      <c r="P700" s="1199"/>
      <c r="Q700" s="1191"/>
      <c r="R700" s="1191"/>
      <c r="S700" s="1191"/>
      <c r="T700" s="1191"/>
      <c r="U700" s="1191"/>
      <c r="V700" s="1191"/>
      <c r="W700" s="1191"/>
      <c r="X700" s="1191"/>
      <c r="Y700" s="1191"/>
      <c r="Z700" s="1191"/>
      <c r="AA700" s="1191"/>
      <c r="AB700" s="1210"/>
      <c r="AC700" s="1210"/>
      <c r="AD700" s="1210"/>
      <c r="AE700" s="1210"/>
      <c r="AF700" s="1210"/>
      <c r="AG700" s="1210"/>
      <c r="AH700" s="1210"/>
      <c r="AI700" s="1210"/>
      <c r="AJ700" s="1210"/>
    </row>
    <row r="701" spans="1:36" s="1179" customFormat="1">
      <c r="A701" s="1188"/>
      <c r="B701" s="1188"/>
      <c r="C701" s="1188"/>
      <c r="D701" s="1210"/>
      <c r="E701" s="1210"/>
      <c r="F701" s="1210"/>
      <c r="G701" s="1191"/>
      <c r="H701" s="1191"/>
      <c r="I701" s="1199"/>
      <c r="J701" s="1191"/>
      <c r="K701" s="1191"/>
      <c r="L701" s="1191"/>
      <c r="M701" s="1191"/>
      <c r="N701" s="1191"/>
      <c r="O701" s="1191"/>
      <c r="P701" s="1199"/>
      <c r="Q701" s="1191"/>
      <c r="R701" s="1191"/>
      <c r="S701" s="1191"/>
      <c r="T701" s="1191"/>
      <c r="U701" s="1191"/>
      <c r="V701" s="1191"/>
      <c r="W701" s="1191"/>
      <c r="X701" s="1191"/>
      <c r="Y701" s="1191"/>
      <c r="Z701" s="1191"/>
      <c r="AA701" s="1191"/>
      <c r="AB701" s="1210"/>
      <c r="AC701" s="1210"/>
      <c r="AD701" s="1210"/>
      <c r="AE701" s="1210"/>
      <c r="AF701" s="1210"/>
      <c r="AG701" s="1210"/>
      <c r="AH701" s="1210"/>
      <c r="AI701" s="1210"/>
      <c r="AJ701" s="1210"/>
    </row>
    <row r="702" spans="1:36" s="1179" customFormat="1">
      <c r="A702" s="1188"/>
      <c r="B702" s="1188"/>
      <c r="C702" s="1188"/>
      <c r="D702" s="1210"/>
      <c r="E702" s="1210"/>
      <c r="F702" s="1210"/>
      <c r="G702" s="1191"/>
      <c r="H702" s="1191"/>
      <c r="I702" s="1199"/>
      <c r="J702" s="1191"/>
      <c r="K702" s="1191"/>
      <c r="L702" s="1191"/>
      <c r="M702" s="1191"/>
      <c r="N702" s="1191"/>
      <c r="O702" s="1191"/>
      <c r="P702" s="1199"/>
      <c r="Q702" s="1191"/>
      <c r="R702" s="1191"/>
      <c r="S702" s="1191"/>
      <c r="T702" s="1191"/>
      <c r="U702" s="1191"/>
      <c r="V702" s="1191"/>
      <c r="W702" s="1191"/>
      <c r="X702" s="1191"/>
      <c r="Y702" s="1191"/>
      <c r="Z702" s="1191"/>
      <c r="AA702" s="1191"/>
      <c r="AB702" s="1210"/>
      <c r="AC702" s="1210"/>
      <c r="AD702" s="1210"/>
      <c r="AE702" s="1210"/>
      <c r="AF702" s="1210"/>
      <c r="AG702" s="1210"/>
      <c r="AH702" s="1210"/>
      <c r="AI702" s="1210"/>
      <c r="AJ702" s="1210"/>
    </row>
    <row r="703" spans="1:36" s="1179" customFormat="1">
      <c r="A703" s="1188"/>
      <c r="B703" s="1188"/>
      <c r="C703" s="1188"/>
      <c r="D703" s="1210"/>
      <c r="E703" s="1210"/>
      <c r="F703" s="1210"/>
      <c r="G703" s="1191"/>
      <c r="H703" s="1191"/>
      <c r="I703" s="1199"/>
      <c r="J703" s="1191"/>
      <c r="K703" s="1191"/>
      <c r="L703" s="1191"/>
      <c r="M703" s="1191"/>
      <c r="N703" s="1191"/>
      <c r="O703" s="1191"/>
      <c r="P703" s="1199"/>
      <c r="Q703" s="1191"/>
      <c r="R703" s="1191"/>
      <c r="S703" s="1191"/>
      <c r="T703" s="1191"/>
      <c r="U703" s="1191"/>
      <c r="V703" s="1191"/>
      <c r="W703" s="1191"/>
      <c r="X703" s="1191"/>
      <c r="Y703" s="1191"/>
      <c r="Z703" s="1191"/>
      <c r="AA703" s="1191"/>
      <c r="AB703" s="1210"/>
      <c r="AC703" s="1210"/>
      <c r="AD703" s="1210"/>
      <c r="AE703" s="1210"/>
      <c r="AF703" s="1210"/>
      <c r="AG703" s="1210"/>
      <c r="AH703" s="1210"/>
      <c r="AI703" s="1210"/>
      <c r="AJ703" s="1210"/>
    </row>
    <row r="704" spans="1:36" s="1179" customFormat="1">
      <c r="A704" s="1188"/>
      <c r="B704" s="1188"/>
      <c r="C704" s="1188"/>
      <c r="D704" s="1210"/>
      <c r="E704" s="1210"/>
      <c r="F704" s="1210"/>
      <c r="G704" s="1191"/>
      <c r="H704" s="1191"/>
      <c r="I704" s="1199"/>
      <c r="J704" s="1191"/>
      <c r="K704" s="1191"/>
      <c r="L704" s="1191"/>
      <c r="M704" s="1191"/>
      <c r="N704" s="1191"/>
      <c r="O704" s="1191"/>
      <c r="P704" s="1199"/>
      <c r="Q704" s="1191"/>
      <c r="R704" s="1191"/>
      <c r="S704" s="1191"/>
      <c r="T704" s="1191"/>
      <c r="U704" s="1191"/>
      <c r="V704" s="1191"/>
      <c r="W704" s="1191"/>
      <c r="X704" s="1191"/>
      <c r="Y704" s="1191"/>
      <c r="Z704" s="1191"/>
      <c r="AA704" s="1191"/>
      <c r="AB704" s="1210"/>
      <c r="AC704" s="1210"/>
      <c r="AD704" s="1210"/>
      <c r="AE704" s="1210"/>
      <c r="AF704" s="1210"/>
      <c r="AG704" s="1210"/>
      <c r="AH704" s="1210"/>
      <c r="AI704" s="1210"/>
      <c r="AJ704" s="1210"/>
    </row>
    <row r="705" spans="1:36" s="1179" customFormat="1">
      <c r="A705" s="1188"/>
      <c r="B705" s="1188"/>
      <c r="C705" s="1188"/>
      <c r="D705" s="1210"/>
      <c r="E705" s="1210"/>
      <c r="F705" s="1210"/>
      <c r="G705" s="1191"/>
      <c r="H705" s="1191"/>
      <c r="I705" s="1199"/>
      <c r="J705" s="1191"/>
      <c r="K705" s="1191"/>
      <c r="L705" s="1191"/>
      <c r="M705" s="1191"/>
      <c r="N705" s="1191"/>
      <c r="O705" s="1191"/>
      <c r="P705" s="1199"/>
      <c r="Q705" s="1191"/>
      <c r="R705" s="1191"/>
      <c r="S705" s="1191"/>
      <c r="T705" s="1191"/>
      <c r="U705" s="1191"/>
      <c r="V705" s="1191"/>
      <c r="W705" s="1191"/>
      <c r="X705" s="1191"/>
      <c r="Y705" s="1191"/>
      <c r="Z705" s="1191"/>
      <c r="AA705" s="1191"/>
      <c r="AB705" s="1210"/>
      <c r="AC705" s="1210"/>
      <c r="AD705" s="1210"/>
      <c r="AE705" s="1210"/>
      <c r="AF705" s="1210"/>
      <c r="AG705" s="1210"/>
      <c r="AH705" s="1210"/>
      <c r="AI705" s="1210"/>
      <c r="AJ705" s="1210"/>
    </row>
    <row r="706" spans="1:36" s="1179" customFormat="1">
      <c r="A706" s="1188"/>
      <c r="B706" s="1188"/>
      <c r="C706" s="1188"/>
      <c r="D706" s="1210"/>
      <c r="E706" s="1210"/>
      <c r="F706" s="1210"/>
      <c r="G706" s="1191"/>
      <c r="H706" s="1191"/>
      <c r="I706" s="1199"/>
      <c r="J706" s="1191"/>
      <c r="K706" s="1191"/>
      <c r="L706" s="1191"/>
      <c r="M706" s="1191"/>
      <c r="N706" s="1191"/>
      <c r="O706" s="1191"/>
      <c r="P706" s="1199"/>
      <c r="Q706" s="1191"/>
      <c r="R706" s="1191"/>
      <c r="S706" s="1191"/>
      <c r="T706" s="1191"/>
      <c r="U706" s="1191"/>
      <c r="V706" s="1191"/>
      <c r="W706" s="1191"/>
      <c r="X706" s="1191"/>
      <c r="Y706" s="1191"/>
      <c r="Z706" s="1191"/>
      <c r="AA706" s="1191"/>
      <c r="AB706" s="1210"/>
      <c r="AC706" s="1210"/>
      <c r="AD706" s="1210"/>
      <c r="AE706" s="1210"/>
      <c r="AF706" s="1210"/>
      <c r="AG706" s="1210"/>
      <c r="AH706" s="1210"/>
      <c r="AI706" s="1210"/>
      <c r="AJ706" s="1210"/>
    </row>
    <row r="707" spans="1:36" s="1179" customFormat="1">
      <c r="A707" s="1188"/>
      <c r="B707" s="1188"/>
      <c r="C707" s="1188"/>
      <c r="D707" s="1210"/>
      <c r="E707" s="1210"/>
      <c r="F707" s="1210"/>
      <c r="G707" s="1191"/>
      <c r="H707" s="1191"/>
      <c r="I707" s="1199"/>
      <c r="J707" s="1191"/>
      <c r="K707" s="1191"/>
      <c r="L707" s="1191"/>
      <c r="M707" s="1191"/>
      <c r="N707" s="1191"/>
      <c r="O707" s="1191"/>
      <c r="P707" s="1199"/>
      <c r="Q707" s="1191"/>
      <c r="R707" s="1191"/>
      <c r="S707" s="1191"/>
      <c r="T707" s="1191"/>
      <c r="U707" s="1191"/>
      <c r="V707" s="1191"/>
      <c r="W707" s="1191"/>
      <c r="X707" s="1191"/>
      <c r="Y707" s="1191"/>
      <c r="Z707" s="1191"/>
      <c r="AA707" s="1191"/>
      <c r="AB707" s="1210"/>
      <c r="AC707" s="1210"/>
      <c r="AD707" s="1210"/>
      <c r="AE707" s="1210"/>
      <c r="AF707" s="1210"/>
      <c r="AG707" s="1210"/>
      <c r="AH707" s="1210"/>
      <c r="AI707" s="1210"/>
      <c r="AJ707" s="1210"/>
    </row>
    <row r="708" spans="1:36" s="1179" customFormat="1">
      <c r="A708" s="1188"/>
      <c r="B708" s="1188"/>
      <c r="C708" s="1188"/>
      <c r="D708" s="1210"/>
      <c r="E708" s="1210"/>
      <c r="F708" s="1210"/>
      <c r="G708" s="1191"/>
      <c r="H708" s="1191"/>
      <c r="I708" s="1199"/>
      <c r="J708" s="1191"/>
      <c r="K708" s="1191"/>
      <c r="L708" s="1191"/>
      <c r="M708" s="1191"/>
      <c r="N708" s="1191"/>
      <c r="O708" s="1191"/>
      <c r="P708" s="1199"/>
      <c r="Q708" s="1191"/>
      <c r="R708" s="1191"/>
      <c r="S708" s="1191"/>
      <c r="T708" s="1191"/>
      <c r="U708" s="1191"/>
      <c r="V708" s="1191"/>
      <c r="W708" s="1191"/>
      <c r="X708" s="1191"/>
      <c r="Y708" s="1191"/>
      <c r="Z708" s="1191"/>
      <c r="AA708" s="1191"/>
      <c r="AB708" s="1210"/>
      <c r="AC708" s="1210"/>
      <c r="AD708" s="1210"/>
      <c r="AE708" s="1210"/>
      <c r="AF708" s="1210"/>
      <c r="AG708" s="1210"/>
      <c r="AH708" s="1210"/>
      <c r="AI708" s="1210"/>
      <c r="AJ708" s="1210"/>
    </row>
    <row r="709" spans="1:36" s="1179" customFormat="1">
      <c r="A709" s="1188"/>
      <c r="B709" s="1188"/>
      <c r="C709" s="1188"/>
      <c r="D709" s="1210"/>
      <c r="E709" s="1210"/>
      <c r="F709" s="1210"/>
      <c r="G709" s="1191"/>
      <c r="H709" s="1191"/>
      <c r="I709" s="1199"/>
      <c r="J709" s="1191"/>
      <c r="K709" s="1191"/>
      <c r="L709" s="1191"/>
      <c r="M709" s="1191"/>
      <c r="N709" s="1191"/>
      <c r="O709" s="1191"/>
      <c r="P709" s="1199"/>
      <c r="Q709" s="1191"/>
      <c r="R709" s="1191"/>
      <c r="S709" s="1191"/>
      <c r="T709" s="1191"/>
      <c r="U709" s="1191"/>
      <c r="V709" s="1191"/>
      <c r="W709" s="1191"/>
      <c r="X709" s="1191"/>
      <c r="Y709" s="1191"/>
      <c r="Z709" s="1191"/>
      <c r="AA709" s="1191"/>
      <c r="AB709" s="1210"/>
      <c r="AC709" s="1210"/>
      <c r="AD709" s="1210"/>
      <c r="AE709" s="1210"/>
      <c r="AF709" s="1210"/>
      <c r="AG709" s="1210"/>
      <c r="AH709" s="1210"/>
      <c r="AI709" s="1210"/>
      <c r="AJ709" s="1210"/>
    </row>
    <row r="710" spans="1:36" s="1179" customFormat="1">
      <c r="A710" s="1188"/>
      <c r="B710" s="1188"/>
      <c r="C710" s="1188"/>
      <c r="D710" s="1210"/>
      <c r="E710" s="1210"/>
      <c r="F710" s="1210"/>
      <c r="G710" s="1191"/>
      <c r="H710" s="1191"/>
      <c r="I710" s="1199"/>
      <c r="J710" s="1191"/>
      <c r="K710" s="1191"/>
      <c r="L710" s="1191"/>
      <c r="M710" s="1191"/>
      <c r="N710" s="1191"/>
      <c r="O710" s="1191"/>
      <c r="P710" s="1199"/>
      <c r="Q710" s="1191"/>
      <c r="R710" s="1191"/>
      <c r="S710" s="1191"/>
      <c r="T710" s="1191"/>
      <c r="U710" s="1191"/>
      <c r="V710" s="1191"/>
      <c r="W710" s="1191"/>
      <c r="X710" s="1191"/>
      <c r="Y710" s="1191"/>
      <c r="Z710" s="1191"/>
      <c r="AA710" s="1191"/>
      <c r="AB710" s="1210"/>
      <c r="AC710" s="1210"/>
      <c r="AD710" s="1210"/>
      <c r="AE710" s="1210"/>
      <c r="AF710" s="1210"/>
      <c r="AG710" s="1210"/>
      <c r="AH710" s="1210"/>
      <c r="AI710" s="1210"/>
      <c r="AJ710" s="1210"/>
    </row>
    <row r="711" spans="1:36" s="1179" customFormat="1">
      <c r="A711" s="1188"/>
      <c r="B711" s="1188"/>
      <c r="C711" s="1188"/>
      <c r="D711" s="1210"/>
      <c r="E711" s="1210"/>
      <c r="F711" s="1210"/>
      <c r="G711" s="1191"/>
      <c r="H711" s="1191"/>
      <c r="I711" s="1199"/>
      <c r="J711" s="1191"/>
      <c r="K711" s="1191"/>
      <c r="L711" s="1191"/>
      <c r="M711" s="1191"/>
      <c r="N711" s="1191"/>
      <c r="O711" s="1191"/>
      <c r="P711" s="1199"/>
      <c r="Q711" s="1191"/>
      <c r="R711" s="1191"/>
      <c r="S711" s="1191"/>
      <c r="T711" s="1191"/>
      <c r="U711" s="1191"/>
      <c r="V711" s="1191"/>
      <c r="W711" s="1191"/>
      <c r="X711" s="1191"/>
      <c r="Y711" s="1191"/>
      <c r="Z711" s="1191"/>
      <c r="AA711" s="1191"/>
      <c r="AB711" s="1210"/>
      <c r="AC711" s="1210"/>
      <c r="AD711" s="1210"/>
      <c r="AE711" s="1210"/>
      <c r="AF711" s="1210"/>
      <c r="AG711" s="1210"/>
      <c r="AH711" s="1210"/>
      <c r="AI711" s="1210"/>
      <c r="AJ711" s="1210"/>
    </row>
    <row r="712" spans="1:36" s="1179" customFormat="1">
      <c r="A712" s="1188"/>
      <c r="B712" s="1188"/>
      <c r="C712" s="1188"/>
      <c r="D712" s="1210"/>
      <c r="E712" s="1210"/>
      <c r="F712" s="1210"/>
      <c r="G712" s="1191"/>
      <c r="H712" s="1191"/>
      <c r="I712" s="1199"/>
      <c r="J712" s="1191"/>
      <c r="K712" s="1191"/>
      <c r="L712" s="1191"/>
      <c r="M712" s="1191"/>
      <c r="N712" s="1191"/>
      <c r="O712" s="1191"/>
      <c r="P712" s="1199"/>
      <c r="Q712" s="1191"/>
      <c r="R712" s="1191"/>
      <c r="S712" s="1191"/>
      <c r="T712" s="1191"/>
      <c r="U712" s="1191"/>
      <c r="V712" s="1191"/>
      <c r="W712" s="1191"/>
      <c r="X712" s="1191"/>
      <c r="Y712" s="1191"/>
      <c r="Z712" s="1191"/>
      <c r="AA712" s="1191"/>
      <c r="AB712" s="1210"/>
      <c r="AC712" s="1210"/>
      <c r="AD712" s="1210"/>
      <c r="AE712" s="1210"/>
      <c r="AF712" s="1210"/>
      <c r="AG712" s="1210"/>
      <c r="AH712" s="1210"/>
      <c r="AI712" s="1210"/>
      <c r="AJ712" s="1210"/>
    </row>
    <row r="713" spans="1:36" s="1179" customFormat="1">
      <c r="A713" s="1188"/>
      <c r="B713" s="1188"/>
      <c r="C713" s="1188"/>
      <c r="D713" s="1210"/>
      <c r="E713" s="1210"/>
      <c r="F713" s="1210"/>
      <c r="G713" s="1191"/>
      <c r="H713" s="1191"/>
      <c r="I713" s="1199"/>
      <c r="J713" s="1191"/>
      <c r="K713" s="1191"/>
      <c r="L713" s="1191"/>
      <c r="M713" s="1191"/>
      <c r="N713" s="1191"/>
      <c r="O713" s="1191"/>
      <c r="P713" s="1199"/>
      <c r="Q713" s="1191"/>
      <c r="R713" s="1191"/>
      <c r="S713" s="1191"/>
      <c r="T713" s="1191"/>
      <c r="U713" s="1191"/>
      <c r="V713" s="1191"/>
      <c r="W713" s="1191"/>
      <c r="X713" s="1191"/>
      <c r="Y713" s="1191"/>
      <c r="Z713" s="1191"/>
      <c r="AA713" s="1191"/>
      <c r="AB713" s="1210"/>
      <c r="AC713" s="1210"/>
      <c r="AD713" s="1210"/>
      <c r="AE713" s="1210"/>
      <c r="AF713" s="1210"/>
      <c r="AG713" s="1210"/>
      <c r="AH713" s="1210"/>
      <c r="AI713" s="1210"/>
      <c r="AJ713" s="1210"/>
    </row>
    <row r="714" spans="1:36" s="1179" customFormat="1">
      <c r="A714" s="1188"/>
      <c r="B714" s="1188"/>
      <c r="C714" s="1188"/>
      <c r="D714" s="1210"/>
      <c r="E714" s="1210"/>
      <c r="F714" s="1210"/>
      <c r="G714" s="1191"/>
      <c r="H714" s="1191"/>
      <c r="I714" s="1199"/>
      <c r="J714" s="1191"/>
      <c r="K714" s="1191"/>
      <c r="L714" s="1191"/>
      <c r="M714" s="1191"/>
      <c r="N714" s="1191"/>
      <c r="O714" s="1191"/>
      <c r="P714" s="1199"/>
      <c r="Q714" s="1191"/>
      <c r="R714" s="1191"/>
      <c r="S714" s="1191"/>
      <c r="T714" s="1191"/>
      <c r="U714" s="1191"/>
      <c r="V714" s="1191"/>
      <c r="W714" s="1191"/>
      <c r="X714" s="1191"/>
      <c r="Y714" s="1191"/>
      <c r="Z714" s="1191"/>
      <c r="AA714" s="1191"/>
      <c r="AB714" s="1210"/>
      <c r="AC714" s="1210"/>
      <c r="AD714" s="1210"/>
      <c r="AE714" s="1210"/>
      <c r="AF714" s="1210"/>
      <c r="AG714" s="1210"/>
      <c r="AH714" s="1210"/>
      <c r="AI714" s="1210"/>
      <c r="AJ714" s="1210"/>
    </row>
    <row r="715" spans="1:36" s="1179" customFormat="1">
      <c r="A715" s="1188"/>
      <c r="B715" s="1188"/>
      <c r="C715" s="1188"/>
      <c r="D715" s="1210"/>
      <c r="E715" s="1210"/>
      <c r="F715" s="1210"/>
      <c r="G715" s="1191"/>
      <c r="H715" s="1191"/>
      <c r="I715" s="1199"/>
      <c r="J715" s="1191"/>
      <c r="K715" s="1191"/>
      <c r="L715" s="1191"/>
      <c r="M715" s="1191"/>
      <c r="N715" s="1191"/>
      <c r="O715" s="1191"/>
      <c r="P715" s="1199"/>
      <c r="Q715" s="1191"/>
      <c r="R715" s="1191"/>
      <c r="S715" s="1191"/>
      <c r="T715" s="1191"/>
      <c r="U715" s="1191"/>
      <c r="V715" s="1191"/>
      <c r="W715" s="1191"/>
      <c r="X715" s="1191"/>
      <c r="Y715" s="1191"/>
      <c r="Z715" s="1191"/>
      <c r="AA715" s="1191"/>
      <c r="AB715" s="1210"/>
      <c r="AC715" s="1210"/>
      <c r="AD715" s="1210"/>
      <c r="AE715" s="1210"/>
      <c r="AF715" s="1210"/>
      <c r="AG715" s="1210"/>
      <c r="AH715" s="1210"/>
      <c r="AI715" s="1210"/>
      <c r="AJ715" s="1210"/>
    </row>
    <row r="716" spans="1:36" s="1179" customFormat="1">
      <c r="A716" s="1188"/>
      <c r="B716" s="1188"/>
      <c r="C716" s="1188"/>
      <c r="D716" s="1210"/>
      <c r="E716" s="1210"/>
      <c r="F716" s="1210"/>
      <c r="G716" s="1191"/>
      <c r="H716" s="1191"/>
      <c r="I716" s="1199"/>
      <c r="J716" s="1191"/>
      <c r="K716" s="1191"/>
      <c r="L716" s="1191"/>
      <c r="M716" s="1191"/>
      <c r="N716" s="1191"/>
      <c r="O716" s="1191"/>
      <c r="P716" s="1199"/>
      <c r="Q716" s="1191"/>
      <c r="R716" s="1191"/>
      <c r="S716" s="1191"/>
      <c r="T716" s="1191"/>
      <c r="U716" s="1191"/>
      <c r="V716" s="1191"/>
      <c r="W716" s="1191"/>
      <c r="X716" s="1191"/>
      <c r="Y716" s="1191"/>
      <c r="Z716" s="1191"/>
      <c r="AA716" s="1191"/>
      <c r="AB716" s="1210"/>
      <c r="AC716" s="1210"/>
      <c r="AD716" s="1210"/>
      <c r="AE716" s="1210"/>
      <c r="AF716" s="1210"/>
      <c r="AG716" s="1210"/>
      <c r="AH716" s="1210"/>
      <c r="AI716" s="1210"/>
      <c r="AJ716" s="1210"/>
    </row>
    <row r="717" spans="1:36" s="1179" customFormat="1">
      <c r="A717" s="1188"/>
      <c r="B717" s="1188"/>
      <c r="C717" s="1188"/>
      <c r="D717" s="1210"/>
      <c r="E717" s="1210"/>
      <c r="F717" s="1210"/>
      <c r="G717" s="1191"/>
      <c r="H717" s="1191"/>
      <c r="I717" s="1199"/>
      <c r="J717" s="1191"/>
      <c r="K717" s="1191"/>
      <c r="L717" s="1191"/>
      <c r="M717" s="1191"/>
      <c r="N717" s="1191"/>
      <c r="O717" s="1191"/>
      <c r="P717" s="1199"/>
      <c r="Q717" s="1191"/>
      <c r="R717" s="1191"/>
      <c r="S717" s="1191"/>
      <c r="T717" s="1191"/>
      <c r="U717" s="1191"/>
      <c r="V717" s="1191"/>
      <c r="W717" s="1191"/>
      <c r="X717" s="1191"/>
      <c r="Y717" s="1191"/>
      <c r="Z717" s="1191"/>
      <c r="AA717" s="1191"/>
      <c r="AB717" s="1210"/>
      <c r="AC717" s="1210"/>
      <c r="AD717" s="1210"/>
      <c r="AE717" s="1210"/>
      <c r="AF717" s="1210"/>
      <c r="AG717" s="1210"/>
      <c r="AH717" s="1210"/>
      <c r="AI717" s="1210"/>
      <c r="AJ717" s="1210"/>
    </row>
    <row r="718" spans="1:36" s="1179" customFormat="1">
      <c r="A718" s="1188"/>
      <c r="B718" s="1188"/>
      <c r="C718" s="1188"/>
      <c r="D718" s="1210"/>
      <c r="E718" s="1210"/>
      <c r="F718" s="1210"/>
      <c r="G718" s="1191"/>
      <c r="H718" s="1191"/>
      <c r="I718" s="1199"/>
      <c r="J718" s="1191"/>
      <c r="K718" s="1191"/>
      <c r="L718" s="1191"/>
      <c r="M718" s="1191"/>
      <c r="N718" s="1191"/>
      <c r="O718" s="1191"/>
      <c r="P718" s="1199"/>
      <c r="Q718" s="1191"/>
      <c r="R718" s="1191"/>
      <c r="S718" s="1191"/>
      <c r="T718" s="1191"/>
      <c r="U718" s="1191"/>
      <c r="V718" s="1191"/>
      <c r="W718" s="1191"/>
      <c r="X718" s="1191"/>
      <c r="Y718" s="1191"/>
      <c r="Z718" s="1191"/>
      <c r="AA718" s="1191"/>
      <c r="AB718" s="1210"/>
      <c r="AC718" s="1210"/>
      <c r="AD718" s="1210"/>
      <c r="AE718" s="1210"/>
      <c r="AF718" s="1210"/>
      <c r="AG718" s="1210"/>
      <c r="AH718" s="1210"/>
      <c r="AI718" s="1210"/>
      <c r="AJ718" s="1210"/>
    </row>
    <row r="719" spans="1:36" s="1179" customFormat="1">
      <c r="A719" s="1188"/>
      <c r="B719" s="1188"/>
      <c r="C719" s="1188"/>
      <c r="D719" s="1210"/>
      <c r="E719" s="1210"/>
      <c r="F719" s="1210"/>
      <c r="G719" s="1191"/>
      <c r="H719" s="1191"/>
      <c r="I719" s="1199"/>
      <c r="J719" s="1191"/>
      <c r="K719" s="1191"/>
      <c r="L719" s="1191"/>
      <c r="M719" s="1191"/>
      <c r="N719" s="1191"/>
      <c r="O719" s="1191"/>
      <c r="P719" s="1199"/>
      <c r="Q719" s="1191"/>
      <c r="R719" s="1191"/>
      <c r="S719" s="1191"/>
      <c r="T719" s="1191"/>
      <c r="U719" s="1191"/>
      <c r="V719" s="1191"/>
      <c r="W719" s="1191"/>
      <c r="X719" s="1191"/>
      <c r="Y719" s="1191"/>
      <c r="Z719" s="1191"/>
      <c r="AA719" s="1191"/>
      <c r="AB719" s="1210"/>
      <c r="AC719" s="1210"/>
      <c r="AD719" s="1210"/>
      <c r="AE719" s="1210"/>
      <c r="AF719" s="1210"/>
      <c r="AG719" s="1210"/>
      <c r="AH719" s="1210"/>
      <c r="AI719" s="1210"/>
      <c r="AJ719" s="1210"/>
    </row>
    <row r="720" spans="1:36" s="1179" customFormat="1">
      <c r="A720" s="1188"/>
      <c r="B720" s="1188"/>
      <c r="C720" s="1188"/>
      <c r="D720" s="1210"/>
      <c r="E720" s="1210"/>
      <c r="F720" s="1210"/>
      <c r="G720" s="1191"/>
      <c r="H720" s="1191"/>
      <c r="I720" s="1199"/>
      <c r="J720" s="1191"/>
      <c r="K720" s="1191"/>
      <c r="L720" s="1191"/>
      <c r="M720" s="1191"/>
      <c r="N720" s="1191"/>
      <c r="O720" s="1191"/>
      <c r="P720" s="1199"/>
      <c r="Q720" s="1191"/>
      <c r="R720" s="1191"/>
      <c r="S720" s="1191"/>
      <c r="T720" s="1191"/>
      <c r="U720" s="1191"/>
      <c r="V720" s="1191"/>
      <c r="W720" s="1191"/>
      <c r="X720" s="1191"/>
      <c r="Y720" s="1191"/>
      <c r="Z720" s="1191"/>
      <c r="AA720" s="1191"/>
      <c r="AB720" s="1210"/>
      <c r="AC720" s="1210"/>
      <c r="AD720" s="1210"/>
      <c r="AE720" s="1210"/>
      <c r="AF720" s="1210"/>
      <c r="AG720" s="1210"/>
      <c r="AH720" s="1210"/>
      <c r="AI720" s="1210"/>
      <c r="AJ720" s="1210"/>
    </row>
    <row r="721" spans="1:36" s="1179" customFormat="1">
      <c r="A721" s="1188"/>
      <c r="B721" s="1188"/>
      <c r="C721" s="1188"/>
      <c r="D721" s="1210"/>
      <c r="E721" s="1210"/>
      <c r="F721" s="1210"/>
      <c r="G721" s="1191"/>
      <c r="H721" s="1191"/>
      <c r="I721" s="1199"/>
      <c r="J721" s="1191"/>
      <c r="K721" s="1191"/>
      <c r="L721" s="1191"/>
      <c r="M721" s="1191"/>
      <c r="N721" s="1191"/>
      <c r="O721" s="1191"/>
      <c r="P721" s="1199"/>
      <c r="Q721" s="1191"/>
      <c r="R721" s="1191"/>
      <c r="S721" s="1191"/>
      <c r="T721" s="1191"/>
      <c r="U721" s="1191"/>
      <c r="V721" s="1191"/>
      <c r="W721" s="1191"/>
      <c r="X721" s="1191"/>
      <c r="Y721" s="1191"/>
      <c r="Z721" s="1191"/>
      <c r="AA721" s="1191"/>
      <c r="AB721" s="1210"/>
      <c r="AC721" s="1210"/>
      <c r="AD721" s="1210"/>
      <c r="AE721" s="1210"/>
      <c r="AF721" s="1210"/>
      <c r="AG721" s="1210"/>
      <c r="AH721" s="1210"/>
      <c r="AI721" s="1210"/>
      <c r="AJ721" s="1210"/>
    </row>
    <row r="722" spans="1:36" s="1179" customFormat="1">
      <c r="A722" s="1188"/>
      <c r="B722" s="1188"/>
      <c r="C722" s="1188"/>
      <c r="D722" s="1210"/>
      <c r="E722" s="1210"/>
      <c r="F722" s="1210"/>
      <c r="G722" s="1191"/>
      <c r="H722" s="1191"/>
      <c r="I722" s="1199"/>
      <c r="J722" s="1191"/>
      <c r="K722" s="1191"/>
      <c r="L722" s="1191"/>
      <c r="M722" s="1191"/>
      <c r="N722" s="1191"/>
      <c r="O722" s="1191"/>
      <c r="P722" s="1199"/>
      <c r="Q722" s="1191"/>
      <c r="R722" s="1191"/>
      <c r="S722" s="1191"/>
      <c r="T722" s="1191"/>
      <c r="U722" s="1191"/>
      <c r="V722" s="1191"/>
      <c r="W722" s="1191"/>
      <c r="X722" s="1191"/>
      <c r="Y722" s="1191"/>
      <c r="Z722" s="1191"/>
      <c r="AA722" s="1191"/>
      <c r="AB722" s="1210"/>
      <c r="AC722" s="1210"/>
      <c r="AD722" s="1210"/>
      <c r="AE722" s="1210"/>
      <c r="AF722" s="1210"/>
      <c r="AG722" s="1210"/>
      <c r="AH722" s="1210"/>
      <c r="AI722" s="1210"/>
      <c r="AJ722" s="1210"/>
    </row>
    <row r="723" spans="1:36" s="1179" customFormat="1">
      <c r="A723" s="1188"/>
      <c r="B723" s="1188"/>
      <c r="C723" s="1188"/>
      <c r="D723" s="1210"/>
      <c r="E723" s="1210"/>
      <c r="F723" s="1210"/>
      <c r="G723" s="1191"/>
      <c r="H723" s="1191"/>
      <c r="I723" s="1199"/>
      <c r="J723" s="1191"/>
      <c r="K723" s="1191"/>
      <c r="L723" s="1191"/>
      <c r="M723" s="1191"/>
      <c r="N723" s="1191"/>
      <c r="O723" s="1191"/>
      <c r="P723" s="1199"/>
      <c r="Q723" s="1191"/>
      <c r="R723" s="1191"/>
      <c r="S723" s="1191"/>
      <c r="T723" s="1191"/>
      <c r="U723" s="1191"/>
      <c r="V723" s="1191"/>
      <c r="W723" s="1191"/>
      <c r="X723" s="1191"/>
      <c r="Y723" s="1191"/>
      <c r="Z723" s="1191"/>
      <c r="AA723" s="1191"/>
      <c r="AB723" s="1210"/>
      <c r="AC723" s="1210"/>
      <c r="AD723" s="1210"/>
      <c r="AE723" s="1210"/>
      <c r="AF723" s="1210"/>
      <c r="AG723" s="1210"/>
      <c r="AH723" s="1210"/>
      <c r="AI723" s="1210"/>
      <c r="AJ723" s="1210"/>
    </row>
    <row r="724" spans="1:36" s="1179" customFormat="1">
      <c r="A724" s="1188"/>
      <c r="B724" s="1188"/>
      <c r="C724" s="1188"/>
      <c r="D724" s="1210"/>
      <c r="E724" s="1210"/>
      <c r="F724" s="1210"/>
      <c r="G724" s="1191"/>
      <c r="H724" s="1191"/>
      <c r="I724" s="1199"/>
      <c r="J724" s="1191"/>
      <c r="K724" s="1191"/>
      <c r="L724" s="1191"/>
      <c r="M724" s="1191"/>
      <c r="N724" s="1191"/>
      <c r="O724" s="1191"/>
      <c r="P724" s="1199"/>
      <c r="Q724" s="1191"/>
      <c r="R724" s="1191"/>
      <c r="S724" s="1191"/>
      <c r="T724" s="1191"/>
      <c r="U724" s="1191"/>
      <c r="V724" s="1191"/>
      <c r="W724" s="1191"/>
      <c r="X724" s="1191"/>
      <c r="Y724" s="1191"/>
      <c r="Z724" s="1191"/>
      <c r="AA724" s="1191"/>
      <c r="AB724" s="1210"/>
      <c r="AC724" s="1210"/>
      <c r="AD724" s="1210"/>
      <c r="AE724" s="1210"/>
      <c r="AF724" s="1210"/>
      <c r="AG724" s="1210"/>
      <c r="AH724" s="1210"/>
      <c r="AI724" s="1210"/>
      <c r="AJ724" s="1210"/>
    </row>
    <row r="725" spans="1:36" s="1179" customFormat="1">
      <c r="A725" s="1188"/>
      <c r="B725" s="1188"/>
      <c r="C725" s="1188"/>
      <c r="D725" s="1210"/>
      <c r="E725" s="1210"/>
      <c r="F725" s="1210"/>
      <c r="G725" s="1191"/>
      <c r="H725" s="1191"/>
      <c r="I725" s="1199"/>
      <c r="J725" s="1191"/>
      <c r="K725" s="1191"/>
      <c r="L725" s="1191"/>
      <c r="M725" s="1191"/>
      <c r="N725" s="1191"/>
      <c r="O725" s="1191"/>
      <c r="P725" s="1199"/>
      <c r="Q725" s="1191"/>
      <c r="R725" s="1191"/>
      <c r="S725" s="1191"/>
      <c r="T725" s="1191"/>
      <c r="U725" s="1191"/>
      <c r="V725" s="1191"/>
      <c r="W725" s="1191"/>
      <c r="X725" s="1191"/>
      <c r="Y725" s="1191"/>
      <c r="Z725" s="1191"/>
      <c r="AA725" s="1191"/>
      <c r="AB725" s="1210"/>
      <c r="AC725" s="1210"/>
      <c r="AD725" s="1210"/>
      <c r="AE725" s="1210"/>
      <c r="AF725" s="1210"/>
      <c r="AG725" s="1210"/>
      <c r="AH725" s="1210"/>
      <c r="AI725" s="1210"/>
      <c r="AJ725" s="1210"/>
    </row>
    <row r="726" spans="1:36" s="1179" customFormat="1">
      <c r="A726" s="1188"/>
      <c r="B726" s="1188"/>
      <c r="C726" s="1188"/>
      <c r="D726" s="1210"/>
      <c r="E726" s="1210"/>
      <c r="F726" s="1210"/>
      <c r="G726" s="1191"/>
      <c r="H726" s="1191"/>
      <c r="I726" s="1199"/>
      <c r="J726" s="1191"/>
      <c r="K726" s="1191"/>
      <c r="L726" s="1191"/>
      <c r="M726" s="1191"/>
      <c r="N726" s="1191"/>
      <c r="O726" s="1191"/>
      <c r="P726" s="1199"/>
      <c r="Q726" s="1191"/>
      <c r="R726" s="1191"/>
      <c r="S726" s="1191"/>
      <c r="T726" s="1191"/>
      <c r="U726" s="1191"/>
      <c r="V726" s="1191"/>
      <c r="W726" s="1191"/>
      <c r="X726" s="1191"/>
      <c r="Y726" s="1191"/>
      <c r="Z726" s="1191"/>
      <c r="AA726" s="1191"/>
      <c r="AB726" s="1210"/>
      <c r="AC726" s="1210"/>
      <c r="AD726" s="1210"/>
      <c r="AE726" s="1210"/>
      <c r="AF726" s="1210"/>
      <c r="AG726" s="1210"/>
      <c r="AH726" s="1210"/>
      <c r="AI726" s="1210"/>
      <c r="AJ726" s="1210"/>
    </row>
    <row r="727" spans="1:36" s="1179" customFormat="1">
      <c r="A727" s="1188"/>
      <c r="B727" s="1188"/>
      <c r="C727" s="1188"/>
      <c r="D727" s="1210"/>
      <c r="E727" s="1210"/>
      <c r="F727" s="1210"/>
      <c r="G727" s="1191"/>
      <c r="H727" s="1191"/>
      <c r="I727" s="1199"/>
      <c r="J727" s="1191"/>
      <c r="K727" s="1191"/>
      <c r="L727" s="1191"/>
      <c r="M727" s="1191"/>
      <c r="N727" s="1191"/>
      <c r="O727" s="1191"/>
      <c r="P727" s="1199"/>
      <c r="Q727" s="1191"/>
      <c r="R727" s="1191"/>
      <c r="S727" s="1191"/>
      <c r="T727" s="1191"/>
      <c r="U727" s="1191"/>
      <c r="V727" s="1191"/>
      <c r="W727" s="1191"/>
      <c r="X727" s="1191"/>
      <c r="Y727" s="1191"/>
      <c r="Z727" s="1191"/>
      <c r="AA727" s="1191"/>
      <c r="AB727" s="1210"/>
      <c r="AC727" s="1210"/>
      <c r="AD727" s="1210"/>
      <c r="AE727" s="1210"/>
      <c r="AF727" s="1210"/>
      <c r="AG727" s="1210"/>
      <c r="AH727" s="1210"/>
      <c r="AI727" s="1210"/>
      <c r="AJ727" s="1210"/>
    </row>
    <row r="728" spans="1:36" s="1179" customFormat="1">
      <c r="A728" s="1188"/>
      <c r="B728" s="1188"/>
      <c r="C728" s="1188"/>
      <c r="D728" s="1210"/>
      <c r="E728" s="1210"/>
      <c r="F728" s="1210"/>
      <c r="G728" s="1191"/>
      <c r="H728" s="1191"/>
      <c r="I728" s="1199"/>
      <c r="J728" s="1191"/>
      <c r="K728" s="1191"/>
      <c r="L728" s="1191"/>
      <c r="M728" s="1191"/>
      <c r="N728" s="1191"/>
      <c r="O728" s="1191"/>
      <c r="P728" s="1199"/>
      <c r="Q728" s="1191"/>
      <c r="R728" s="1191"/>
      <c r="S728" s="1191"/>
      <c r="T728" s="1191"/>
      <c r="U728" s="1191"/>
      <c r="V728" s="1191"/>
      <c r="W728" s="1191"/>
      <c r="X728" s="1191"/>
      <c r="Y728" s="1191"/>
      <c r="Z728" s="1191"/>
      <c r="AA728" s="1191"/>
      <c r="AB728" s="1210"/>
      <c r="AC728" s="1210"/>
      <c r="AD728" s="1210"/>
      <c r="AE728" s="1210"/>
      <c r="AF728" s="1210"/>
      <c r="AG728" s="1210"/>
      <c r="AH728" s="1210"/>
      <c r="AI728" s="1210"/>
      <c r="AJ728" s="1210"/>
    </row>
    <row r="729" spans="1:36" s="1179" customFormat="1">
      <c r="A729" s="1188"/>
      <c r="B729" s="1188"/>
      <c r="C729" s="1188"/>
      <c r="D729" s="1210"/>
      <c r="E729" s="1210"/>
      <c r="F729" s="1210"/>
      <c r="G729" s="1191"/>
      <c r="H729" s="1191"/>
      <c r="I729" s="1199"/>
      <c r="J729" s="1191"/>
      <c r="K729" s="1191"/>
      <c r="L729" s="1191"/>
      <c r="M729" s="1191"/>
      <c r="N729" s="1191"/>
      <c r="O729" s="1191"/>
      <c r="P729" s="1199"/>
      <c r="Q729" s="1191"/>
      <c r="R729" s="1191"/>
      <c r="S729" s="1191"/>
      <c r="T729" s="1191"/>
      <c r="U729" s="1191"/>
      <c r="V729" s="1191"/>
      <c r="W729" s="1191"/>
      <c r="X729" s="1191"/>
      <c r="Y729" s="1191"/>
      <c r="Z729" s="1191"/>
      <c r="AA729" s="1191"/>
      <c r="AB729" s="1210"/>
      <c r="AC729" s="1210"/>
      <c r="AD729" s="1210"/>
      <c r="AE729" s="1210"/>
      <c r="AF729" s="1210"/>
      <c r="AG729" s="1210"/>
      <c r="AH729" s="1210"/>
      <c r="AI729" s="1210"/>
      <c r="AJ729" s="1210"/>
    </row>
    <row r="730" spans="1:36" s="1179" customFormat="1">
      <c r="A730" s="1188"/>
      <c r="B730" s="1188"/>
      <c r="C730" s="1188"/>
      <c r="D730" s="1210"/>
      <c r="E730" s="1210"/>
      <c r="F730" s="1210"/>
      <c r="G730" s="1191"/>
      <c r="H730" s="1191"/>
      <c r="I730" s="1199"/>
      <c r="J730" s="1191"/>
      <c r="K730" s="1191"/>
      <c r="L730" s="1191"/>
      <c r="M730" s="1191"/>
      <c r="N730" s="1191"/>
      <c r="O730" s="1191"/>
      <c r="P730" s="1199"/>
      <c r="Q730" s="1191"/>
      <c r="R730" s="1191"/>
      <c r="S730" s="1191"/>
      <c r="T730" s="1191"/>
      <c r="U730" s="1191"/>
      <c r="V730" s="1191"/>
      <c r="W730" s="1191"/>
      <c r="X730" s="1191"/>
      <c r="Y730" s="1191"/>
      <c r="Z730" s="1191"/>
      <c r="AA730" s="1191"/>
      <c r="AB730" s="1210"/>
      <c r="AC730" s="1210"/>
      <c r="AD730" s="1210"/>
      <c r="AE730" s="1210"/>
      <c r="AF730" s="1210"/>
      <c r="AG730" s="1210"/>
      <c r="AH730" s="1210"/>
      <c r="AI730" s="1210"/>
      <c r="AJ730" s="1210"/>
    </row>
    <row r="731" spans="1:36" s="1179" customFormat="1">
      <c r="A731" s="1188"/>
      <c r="B731" s="1188"/>
      <c r="C731" s="1188"/>
      <c r="D731" s="1210"/>
      <c r="E731" s="1210"/>
      <c r="F731" s="1210"/>
      <c r="G731" s="1191"/>
      <c r="H731" s="1191"/>
      <c r="I731" s="1199"/>
      <c r="J731" s="1191"/>
      <c r="K731" s="1191"/>
      <c r="L731" s="1191"/>
      <c r="M731" s="1191"/>
      <c r="N731" s="1191"/>
      <c r="O731" s="1191"/>
      <c r="P731" s="1199"/>
      <c r="Q731" s="1191"/>
      <c r="R731" s="1191"/>
      <c r="S731" s="1191"/>
      <c r="T731" s="1191"/>
      <c r="U731" s="1191"/>
      <c r="V731" s="1191"/>
      <c r="W731" s="1191"/>
      <c r="X731" s="1191"/>
      <c r="Y731" s="1191"/>
      <c r="Z731" s="1191"/>
      <c r="AA731" s="1191"/>
      <c r="AB731" s="1210"/>
      <c r="AC731" s="1210"/>
      <c r="AD731" s="1210"/>
      <c r="AE731" s="1210"/>
      <c r="AF731" s="1210"/>
      <c r="AG731" s="1210"/>
      <c r="AH731" s="1210"/>
      <c r="AI731" s="1210"/>
      <c r="AJ731" s="1210"/>
    </row>
    <row r="732" spans="1:36" s="1179" customFormat="1">
      <c r="A732" s="1188"/>
      <c r="B732" s="1188"/>
      <c r="C732" s="1188"/>
      <c r="D732" s="1210"/>
      <c r="E732" s="1210"/>
      <c r="F732" s="1210"/>
      <c r="G732" s="1191"/>
      <c r="H732" s="1191"/>
      <c r="I732" s="1199"/>
      <c r="J732" s="1191"/>
      <c r="K732" s="1191"/>
      <c r="L732" s="1191"/>
      <c r="M732" s="1191"/>
      <c r="N732" s="1191"/>
      <c r="O732" s="1191"/>
      <c r="P732" s="1199"/>
      <c r="Q732" s="1191"/>
      <c r="R732" s="1191"/>
      <c r="S732" s="1191"/>
      <c r="T732" s="1191"/>
      <c r="U732" s="1191"/>
      <c r="V732" s="1191"/>
      <c r="W732" s="1191"/>
      <c r="X732" s="1191"/>
      <c r="Y732" s="1191"/>
      <c r="Z732" s="1191"/>
      <c r="AA732" s="1191"/>
      <c r="AB732" s="1210"/>
      <c r="AC732" s="1210"/>
      <c r="AD732" s="1210"/>
      <c r="AE732" s="1210"/>
      <c r="AF732" s="1210"/>
      <c r="AG732" s="1210"/>
      <c r="AH732" s="1210"/>
      <c r="AI732" s="1210"/>
      <c r="AJ732" s="1210"/>
    </row>
    <row r="733" spans="1:36" s="1179" customFormat="1">
      <c r="A733" s="1188"/>
      <c r="B733" s="1188"/>
      <c r="C733" s="1188"/>
      <c r="D733" s="1210"/>
      <c r="E733" s="1210"/>
      <c r="F733" s="1210"/>
      <c r="G733" s="1191"/>
      <c r="H733" s="1191"/>
      <c r="I733" s="1199"/>
      <c r="J733" s="1191"/>
      <c r="K733" s="1191"/>
      <c r="L733" s="1191"/>
      <c r="M733" s="1191"/>
      <c r="N733" s="1191"/>
      <c r="O733" s="1191"/>
      <c r="P733" s="1199"/>
      <c r="Q733" s="1191"/>
      <c r="R733" s="1191"/>
      <c r="S733" s="1191"/>
      <c r="T733" s="1191"/>
      <c r="U733" s="1191"/>
      <c r="V733" s="1191"/>
      <c r="W733" s="1191"/>
      <c r="X733" s="1191"/>
      <c r="Y733" s="1191"/>
      <c r="Z733" s="1191"/>
      <c r="AA733" s="1191"/>
      <c r="AB733" s="1210"/>
      <c r="AC733" s="1210"/>
      <c r="AD733" s="1210"/>
      <c r="AE733" s="1210"/>
      <c r="AF733" s="1210"/>
      <c r="AG733" s="1210"/>
      <c r="AH733" s="1210"/>
      <c r="AI733" s="1210"/>
      <c r="AJ733" s="1210"/>
    </row>
    <row r="734" spans="1:36" s="1179" customFormat="1">
      <c r="A734" s="1188"/>
      <c r="B734" s="1188"/>
      <c r="C734" s="1188"/>
      <c r="D734" s="1210"/>
      <c r="E734" s="1210"/>
      <c r="F734" s="1210"/>
      <c r="G734" s="1191"/>
      <c r="H734" s="1191"/>
      <c r="I734" s="1199"/>
      <c r="J734" s="1191"/>
      <c r="K734" s="1191"/>
      <c r="L734" s="1191"/>
      <c r="M734" s="1191"/>
      <c r="N734" s="1191"/>
      <c r="O734" s="1191"/>
      <c r="P734" s="1199"/>
      <c r="Q734" s="1191"/>
      <c r="R734" s="1191"/>
      <c r="S734" s="1191"/>
      <c r="T734" s="1191"/>
      <c r="U734" s="1191"/>
      <c r="V734" s="1191"/>
      <c r="W734" s="1191"/>
      <c r="X734" s="1191"/>
      <c r="Y734" s="1191"/>
      <c r="Z734" s="1191"/>
      <c r="AA734" s="1191"/>
      <c r="AB734" s="1210"/>
      <c r="AC734" s="1210"/>
      <c r="AD734" s="1210"/>
      <c r="AE734" s="1210"/>
      <c r="AF734" s="1210"/>
      <c r="AG734" s="1210"/>
      <c r="AH734" s="1210"/>
      <c r="AI734" s="1210"/>
      <c r="AJ734" s="1210"/>
    </row>
    <row r="735" spans="1:36" s="1179" customFormat="1">
      <c r="A735" s="1188"/>
      <c r="B735" s="1188"/>
      <c r="C735" s="1188"/>
      <c r="D735" s="1210"/>
      <c r="E735" s="1210"/>
      <c r="F735" s="1210"/>
      <c r="G735" s="1191"/>
      <c r="H735" s="1191"/>
      <c r="I735" s="1199"/>
      <c r="J735" s="1191"/>
      <c r="K735" s="1191"/>
      <c r="L735" s="1191"/>
      <c r="M735" s="1191"/>
      <c r="N735" s="1191"/>
      <c r="O735" s="1191"/>
      <c r="P735" s="1199"/>
      <c r="Q735" s="1191"/>
      <c r="R735" s="1191"/>
      <c r="S735" s="1191"/>
      <c r="T735" s="1191"/>
      <c r="U735" s="1191"/>
      <c r="V735" s="1191"/>
      <c r="W735" s="1191"/>
      <c r="X735" s="1191"/>
      <c r="Y735" s="1191"/>
      <c r="Z735" s="1191"/>
      <c r="AA735" s="1191"/>
      <c r="AB735" s="1210"/>
      <c r="AC735" s="1210"/>
      <c r="AD735" s="1210"/>
      <c r="AE735" s="1210"/>
      <c r="AF735" s="1210"/>
      <c r="AG735" s="1210"/>
      <c r="AH735" s="1210"/>
      <c r="AI735" s="1210"/>
      <c r="AJ735" s="1210"/>
    </row>
    <row r="736" spans="1:36" s="1179" customFormat="1">
      <c r="A736" s="1188"/>
      <c r="B736" s="1188"/>
      <c r="C736" s="1188"/>
      <c r="D736" s="1210"/>
      <c r="E736" s="1210"/>
      <c r="F736" s="1210"/>
      <c r="G736" s="1191"/>
      <c r="H736" s="1191"/>
      <c r="I736" s="1199"/>
      <c r="J736" s="1191"/>
      <c r="K736" s="1191"/>
      <c r="L736" s="1191"/>
      <c r="M736" s="1191"/>
      <c r="N736" s="1191"/>
      <c r="O736" s="1191"/>
      <c r="P736" s="1199"/>
      <c r="Q736" s="1191"/>
      <c r="R736" s="1191"/>
      <c r="S736" s="1191"/>
      <c r="T736" s="1191"/>
      <c r="U736" s="1191"/>
      <c r="V736" s="1191"/>
      <c r="W736" s="1191"/>
      <c r="X736" s="1191"/>
      <c r="Y736" s="1191"/>
      <c r="Z736" s="1191"/>
      <c r="AA736" s="1191"/>
      <c r="AB736" s="1210"/>
      <c r="AC736" s="1210"/>
      <c r="AD736" s="1210"/>
      <c r="AE736" s="1210"/>
      <c r="AF736" s="1210"/>
      <c r="AG736" s="1210"/>
      <c r="AH736" s="1210"/>
      <c r="AI736" s="1210"/>
      <c r="AJ736" s="1210"/>
    </row>
    <row r="737" spans="1:36" s="1179" customFormat="1">
      <c r="A737" s="1188"/>
      <c r="B737" s="1188"/>
      <c r="C737" s="1188"/>
      <c r="D737" s="1210"/>
      <c r="E737" s="1210"/>
      <c r="F737" s="1210"/>
      <c r="G737" s="1191"/>
      <c r="H737" s="1191"/>
      <c r="I737" s="1199"/>
      <c r="J737" s="1191"/>
      <c r="K737" s="1191"/>
      <c r="L737" s="1191"/>
      <c r="M737" s="1191"/>
      <c r="N737" s="1191"/>
      <c r="O737" s="1191"/>
      <c r="P737" s="1199"/>
      <c r="Q737" s="1191"/>
      <c r="R737" s="1191"/>
      <c r="S737" s="1191"/>
      <c r="T737" s="1191"/>
      <c r="U737" s="1191"/>
      <c r="V737" s="1191"/>
      <c r="W737" s="1191"/>
      <c r="X737" s="1191"/>
      <c r="Y737" s="1191"/>
      <c r="Z737" s="1191"/>
      <c r="AA737" s="1191"/>
      <c r="AB737" s="1210"/>
      <c r="AC737" s="1210"/>
      <c r="AD737" s="1210"/>
      <c r="AE737" s="1210"/>
      <c r="AF737" s="1210"/>
      <c r="AG737" s="1210"/>
      <c r="AH737" s="1210"/>
      <c r="AI737" s="1210"/>
      <c r="AJ737" s="1210"/>
    </row>
    <row r="738" spans="1:36" s="1179" customFormat="1">
      <c r="A738" s="1188"/>
      <c r="B738" s="1188"/>
      <c r="C738" s="1188"/>
      <c r="D738" s="1210"/>
      <c r="E738" s="1210"/>
      <c r="F738" s="1210"/>
      <c r="G738" s="1191"/>
      <c r="H738" s="1191"/>
      <c r="I738" s="1199"/>
      <c r="J738" s="1191"/>
      <c r="K738" s="1191"/>
      <c r="L738" s="1191"/>
      <c r="M738" s="1191"/>
      <c r="N738" s="1191"/>
      <c r="O738" s="1191"/>
      <c r="P738" s="1199"/>
      <c r="Q738" s="1191"/>
      <c r="R738" s="1191"/>
      <c r="S738" s="1191"/>
      <c r="T738" s="1191"/>
      <c r="U738" s="1191"/>
      <c r="V738" s="1191"/>
      <c r="W738" s="1191"/>
      <c r="X738" s="1191"/>
      <c r="Y738" s="1191"/>
      <c r="Z738" s="1191"/>
      <c r="AA738" s="1191"/>
      <c r="AB738" s="1210"/>
      <c r="AC738" s="1210"/>
      <c r="AD738" s="1210"/>
      <c r="AE738" s="1210"/>
      <c r="AF738" s="1210"/>
      <c r="AG738" s="1210"/>
      <c r="AH738" s="1210"/>
      <c r="AI738" s="1210"/>
      <c r="AJ738" s="1210"/>
    </row>
    <row r="739" spans="1:36" s="1179" customFormat="1">
      <c r="A739" s="1188"/>
      <c r="B739" s="1188"/>
      <c r="C739" s="1188"/>
      <c r="D739" s="1210"/>
      <c r="E739" s="1210"/>
      <c r="F739" s="1210"/>
      <c r="G739" s="1191"/>
      <c r="H739" s="1191"/>
      <c r="I739" s="1199"/>
      <c r="J739" s="1191"/>
      <c r="K739" s="1191"/>
      <c r="L739" s="1191"/>
      <c r="M739" s="1191"/>
      <c r="N739" s="1191"/>
      <c r="O739" s="1191"/>
      <c r="P739" s="1199"/>
      <c r="Q739" s="1191"/>
      <c r="R739" s="1191"/>
      <c r="S739" s="1191"/>
      <c r="T739" s="1191"/>
      <c r="U739" s="1191"/>
      <c r="V739" s="1191"/>
      <c r="W739" s="1191"/>
      <c r="X739" s="1191"/>
      <c r="Y739" s="1191"/>
      <c r="Z739" s="1191"/>
      <c r="AA739" s="1191"/>
      <c r="AB739" s="1210"/>
      <c r="AC739" s="1210"/>
      <c r="AD739" s="1210"/>
      <c r="AE739" s="1210"/>
      <c r="AF739" s="1210"/>
      <c r="AG739" s="1210"/>
      <c r="AH739" s="1210"/>
      <c r="AI739" s="1210"/>
      <c r="AJ739" s="1210"/>
    </row>
    <row r="740" spans="1:36" s="1179" customFormat="1">
      <c r="A740" s="1188"/>
      <c r="B740" s="1188"/>
      <c r="C740" s="1188"/>
      <c r="D740" s="1210"/>
      <c r="E740" s="1210"/>
      <c r="F740" s="1210"/>
      <c r="G740" s="1191"/>
      <c r="H740" s="1191"/>
      <c r="I740" s="1199"/>
      <c r="J740" s="1191"/>
      <c r="K740" s="1191"/>
      <c r="L740" s="1191"/>
      <c r="M740" s="1191"/>
      <c r="N740" s="1191"/>
      <c r="O740" s="1191"/>
      <c r="P740" s="1199"/>
      <c r="Q740" s="1191"/>
      <c r="R740" s="1191"/>
      <c r="S740" s="1191"/>
      <c r="T740" s="1191"/>
      <c r="U740" s="1191"/>
      <c r="V740" s="1191"/>
      <c r="W740" s="1191"/>
      <c r="X740" s="1191"/>
      <c r="Y740" s="1191"/>
      <c r="Z740" s="1191"/>
      <c r="AA740" s="1191"/>
      <c r="AB740" s="1210"/>
      <c r="AC740" s="1210"/>
      <c r="AD740" s="1210"/>
      <c r="AE740" s="1210"/>
      <c r="AF740" s="1210"/>
      <c r="AG740" s="1210"/>
      <c r="AH740" s="1210"/>
      <c r="AI740" s="1210"/>
      <c r="AJ740" s="1210"/>
    </row>
    <row r="741" spans="1:36" s="1179" customFormat="1">
      <c r="A741" s="1188"/>
      <c r="B741" s="1188"/>
      <c r="C741" s="1188"/>
      <c r="D741" s="1210"/>
      <c r="E741" s="1210"/>
      <c r="F741" s="1210"/>
      <c r="G741" s="1191"/>
      <c r="H741" s="1191"/>
      <c r="I741" s="1199"/>
      <c r="J741" s="1191"/>
      <c r="K741" s="1191"/>
      <c r="L741" s="1191"/>
      <c r="M741" s="1191"/>
      <c r="N741" s="1191"/>
      <c r="O741" s="1191"/>
      <c r="P741" s="1199"/>
      <c r="Q741" s="1191"/>
      <c r="R741" s="1191"/>
      <c r="S741" s="1191"/>
      <c r="T741" s="1191"/>
      <c r="U741" s="1191"/>
      <c r="V741" s="1191"/>
      <c r="W741" s="1191"/>
      <c r="X741" s="1191"/>
      <c r="Y741" s="1191"/>
      <c r="Z741" s="1191"/>
      <c r="AA741" s="1191"/>
      <c r="AB741" s="1210"/>
      <c r="AC741" s="1210"/>
      <c r="AD741" s="1210"/>
      <c r="AE741" s="1210"/>
      <c r="AF741" s="1210"/>
      <c r="AG741" s="1210"/>
      <c r="AH741" s="1210"/>
      <c r="AI741" s="1210"/>
      <c r="AJ741" s="1210"/>
    </row>
    <row r="742" spans="1:36" s="1179" customFormat="1">
      <c r="A742" s="1188"/>
      <c r="B742" s="1188"/>
      <c r="C742" s="1188"/>
      <c r="D742" s="1210"/>
      <c r="E742" s="1210"/>
      <c r="F742" s="1210"/>
      <c r="G742" s="1191"/>
      <c r="H742" s="1191"/>
      <c r="I742" s="1199"/>
      <c r="J742" s="1191"/>
      <c r="K742" s="1191"/>
      <c r="L742" s="1191"/>
      <c r="M742" s="1191"/>
      <c r="N742" s="1191"/>
      <c r="O742" s="1191"/>
      <c r="P742" s="1199"/>
      <c r="Q742" s="1191"/>
      <c r="R742" s="1191"/>
      <c r="S742" s="1191"/>
      <c r="T742" s="1191"/>
      <c r="U742" s="1191"/>
      <c r="V742" s="1191"/>
      <c r="W742" s="1191"/>
      <c r="X742" s="1191"/>
      <c r="Y742" s="1191"/>
      <c r="Z742" s="1191"/>
      <c r="AA742" s="1191"/>
      <c r="AB742" s="1210"/>
      <c r="AC742" s="1210"/>
      <c r="AD742" s="1210"/>
      <c r="AE742" s="1210"/>
      <c r="AF742" s="1210"/>
      <c r="AG742" s="1210"/>
      <c r="AH742" s="1210"/>
      <c r="AI742" s="1210"/>
      <c r="AJ742" s="1210"/>
    </row>
    <row r="743" spans="1:36" s="1179" customFormat="1">
      <c r="A743" s="1188"/>
      <c r="B743" s="1188"/>
      <c r="C743" s="1188"/>
      <c r="D743" s="1210"/>
      <c r="E743" s="1210"/>
      <c r="F743" s="1210"/>
      <c r="G743" s="1191"/>
      <c r="H743" s="1191"/>
      <c r="I743" s="1199"/>
      <c r="J743" s="1191"/>
      <c r="K743" s="1191"/>
      <c r="L743" s="1191"/>
      <c r="M743" s="1191"/>
      <c r="N743" s="1191"/>
      <c r="O743" s="1191"/>
      <c r="P743" s="1199"/>
      <c r="Q743" s="1191"/>
      <c r="R743" s="1191"/>
      <c r="S743" s="1191"/>
      <c r="T743" s="1191"/>
      <c r="U743" s="1191"/>
      <c r="V743" s="1191"/>
      <c r="W743" s="1191"/>
      <c r="X743" s="1191"/>
      <c r="Y743" s="1191"/>
      <c r="Z743" s="1191"/>
      <c r="AA743" s="1191"/>
      <c r="AB743" s="1210"/>
      <c r="AC743" s="1210"/>
      <c r="AD743" s="1210"/>
      <c r="AE743" s="1210"/>
      <c r="AF743" s="1210"/>
      <c r="AG743" s="1210"/>
      <c r="AH743" s="1210"/>
      <c r="AI743" s="1210"/>
      <c r="AJ743" s="1210"/>
    </row>
    <row r="744" spans="1:36" s="1179" customFormat="1">
      <c r="A744" s="1188"/>
      <c r="B744" s="1188"/>
      <c r="C744" s="1188"/>
      <c r="D744" s="1210"/>
      <c r="E744" s="1210"/>
      <c r="F744" s="1210"/>
      <c r="G744" s="1191"/>
      <c r="H744" s="1191"/>
      <c r="I744" s="1199"/>
      <c r="J744" s="1191"/>
      <c r="K744" s="1191"/>
      <c r="L744" s="1191"/>
      <c r="M744" s="1191"/>
      <c r="N744" s="1191"/>
      <c r="O744" s="1191"/>
      <c r="P744" s="1199"/>
      <c r="Q744" s="1191"/>
      <c r="R744" s="1191"/>
      <c r="S744" s="1191"/>
      <c r="T744" s="1191"/>
      <c r="U744" s="1191"/>
      <c r="V744" s="1191"/>
      <c r="W744" s="1191"/>
      <c r="X744" s="1191"/>
      <c r="Y744" s="1191"/>
      <c r="Z744" s="1191"/>
      <c r="AA744" s="1191"/>
      <c r="AB744" s="1210"/>
      <c r="AC744" s="1210"/>
      <c r="AD744" s="1210"/>
      <c r="AE744" s="1210"/>
      <c r="AF744" s="1210"/>
      <c r="AG744" s="1210"/>
      <c r="AH744" s="1210"/>
      <c r="AI744" s="1210"/>
      <c r="AJ744" s="1210"/>
    </row>
    <row r="745" spans="1:36" s="1179" customFormat="1">
      <c r="A745" s="1188"/>
      <c r="B745" s="1188"/>
      <c r="C745" s="1188"/>
      <c r="D745" s="1210"/>
      <c r="E745" s="1210"/>
      <c r="F745" s="1210"/>
      <c r="G745" s="1191"/>
      <c r="H745" s="1191"/>
      <c r="I745" s="1199"/>
      <c r="J745" s="1191"/>
      <c r="K745" s="1191"/>
      <c r="L745" s="1191"/>
      <c r="M745" s="1191"/>
      <c r="N745" s="1191"/>
      <c r="O745" s="1191"/>
      <c r="P745" s="1199"/>
      <c r="Q745" s="1191"/>
      <c r="R745" s="1191"/>
      <c r="S745" s="1191"/>
      <c r="T745" s="1191"/>
      <c r="U745" s="1191"/>
      <c r="V745" s="1191"/>
      <c r="W745" s="1191"/>
      <c r="X745" s="1191"/>
      <c r="Y745" s="1191"/>
      <c r="Z745" s="1191"/>
      <c r="AA745" s="1191"/>
      <c r="AB745" s="1210"/>
      <c r="AC745" s="1210"/>
      <c r="AD745" s="1210"/>
      <c r="AE745" s="1210"/>
      <c r="AF745" s="1210"/>
      <c r="AG745" s="1210"/>
      <c r="AH745" s="1210"/>
      <c r="AI745" s="1210"/>
      <c r="AJ745" s="1210"/>
    </row>
    <row r="746" spans="1:36" s="1179" customFormat="1">
      <c r="A746" s="1188"/>
      <c r="B746" s="1188"/>
      <c r="C746" s="1188"/>
      <c r="D746" s="1210"/>
      <c r="E746" s="1210"/>
      <c r="F746" s="1210"/>
      <c r="G746" s="1191"/>
      <c r="H746" s="1191"/>
      <c r="I746" s="1199"/>
      <c r="J746" s="1191"/>
      <c r="K746" s="1191"/>
      <c r="L746" s="1191"/>
      <c r="M746" s="1191"/>
      <c r="N746" s="1191"/>
      <c r="O746" s="1191"/>
      <c r="P746" s="1199"/>
      <c r="Q746" s="1191"/>
      <c r="R746" s="1191"/>
      <c r="S746" s="1191"/>
      <c r="T746" s="1191"/>
      <c r="U746" s="1191"/>
      <c r="V746" s="1191"/>
      <c r="W746" s="1191"/>
      <c r="X746" s="1191"/>
      <c r="Y746" s="1191"/>
      <c r="Z746" s="1191"/>
      <c r="AA746" s="1191"/>
      <c r="AB746" s="1210"/>
      <c r="AC746" s="1210"/>
      <c r="AD746" s="1210"/>
      <c r="AE746" s="1210"/>
      <c r="AF746" s="1210"/>
      <c r="AG746" s="1210"/>
      <c r="AH746" s="1210"/>
      <c r="AI746" s="1210"/>
      <c r="AJ746" s="1210"/>
    </row>
    <row r="747" spans="1:36" s="1179" customFormat="1">
      <c r="A747" s="1188"/>
      <c r="B747" s="1188"/>
      <c r="C747" s="1188"/>
      <c r="D747" s="1210"/>
      <c r="E747" s="1210"/>
      <c r="F747" s="1210"/>
      <c r="G747" s="1191"/>
      <c r="H747" s="1191"/>
      <c r="I747" s="1199"/>
      <c r="J747" s="1191"/>
      <c r="K747" s="1191"/>
      <c r="L747" s="1191"/>
      <c r="M747" s="1191"/>
      <c r="N747" s="1191"/>
      <c r="O747" s="1191"/>
      <c r="P747" s="1199"/>
      <c r="Q747" s="1191"/>
      <c r="R747" s="1191"/>
      <c r="S747" s="1191"/>
      <c r="T747" s="1191"/>
      <c r="U747" s="1191"/>
      <c r="V747" s="1191"/>
      <c r="W747" s="1191"/>
      <c r="X747" s="1191"/>
      <c r="Y747" s="1191"/>
      <c r="Z747" s="1191"/>
      <c r="AA747" s="1191"/>
      <c r="AB747" s="1210"/>
      <c r="AC747" s="1210"/>
      <c r="AD747" s="1210"/>
      <c r="AE747" s="1210"/>
      <c r="AF747" s="1210"/>
      <c r="AG747" s="1210"/>
      <c r="AH747" s="1210"/>
      <c r="AI747" s="1210"/>
      <c r="AJ747" s="1210"/>
    </row>
    <row r="748" spans="1:36" s="1179" customFormat="1">
      <c r="A748" s="1188"/>
      <c r="B748" s="1188"/>
      <c r="C748" s="1188"/>
      <c r="D748" s="1210"/>
      <c r="E748" s="1210"/>
      <c r="F748" s="1210"/>
      <c r="G748" s="1191"/>
      <c r="H748" s="1191"/>
      <c r="I748" s="1199"/>
      <c r="J748" s="1191"/>
      <c r="K748" s="1191"/>
      <c r="L748" s="1191"/>
      <c r="M748" s="1191"/>
      <c r="N748" s="1191"/>
      <c r="O748" s="1191"/>
      <c r="P748" s="1199"/>
      <c r="Q748" s="1191"/>
      <c r="R748" s="1191"/>
      <c r="S748" s="1191"/>
      <c r="T748" s="1191"/>
      <c r="U748" s="1191"/>
      <c r="V748" s="1191"/>
      <c r="W748" s="1191"/>
      <c r="X748" s="1191"/>
      <c r="Y748" s="1191"/>
      <c r="Z748" s="1191"/>
      <c r="AA748" s="1191"/>
      <c r="AB748" s="1210"/>
      <c r="AC748" s="1210"/>
      <c r="AD748" s="1210"/>
      <c r="AE748" s="1210"/>
      <c r="AF748" s="1210"/>
      <c r="AG748" s="1210"/>
      <c r="AH748" s="1210"/>
      <c r="AI748" s="1210"/>
      <c r="AJ748" s="1210"/>
    </row>
    <row r="749" spans="1:36" s="1179" customFormat="1">
      <c r="A749" s="1188"/>
      <c r="B749" s="1188"/>
      <c r="C749" s="1188"/>
      <c r="D749" s="1210"/>
      <c r="E749" s="1210"/>
      <c r="F749" s="1210"/>
      <c r="G749" s="1191"/>
      <c r="H749" s="1191"/>
      <c r="I749" s="1199"/>
      <c r="J749" s="1191"/>
      <c r="K749" s="1191"/>
      <c r="L749" s="1191"/>
      <c r="M749" s="1191"/>
      <c r="N749" s="1191"/>
      <c r="O749" s="1191"/>
      <c r="P749" s="1199"/>
      <c r="Q749" s="1191"/>
      <c r="R749" s="1191"/>
      <c r="S749" s="1191"/>
      <c r="T749" s="1191"/>
      <c r="U749" s="1191"/>
      <c r="V749" s="1191"/>
      <c r="W749" s="1191"/>
      <c r="X749" s="1191"/>
      <c r="Y749" s="1191"/>
      <c r="Z749" s="1191"/>
      <c r="AA749" s="1191"/>
      <c r="AB749" s="1210"/>
      <c r="AC749" s="1210"/>
      <c r="AD749" s="1210"/>
      <c r="AE749" s="1210"/>
      <c r="AF749" s="1210"/>
      <c r="AG749" s="1210"/>
      <c r="AH749" s="1210"/>
      <c r="AI749" s="1210"/>
      <c r="AJ749" s="1210"/>
    </row>
    <row r="750" spans="1:36" s="1179" customFormat="1">
      <c r="A750" s="1188"/>
      <c r="B750" s="1188"/>
      <c r="C750" s="1188"/>
      <c r="D750" s="1210"/>
      <c r="E750" s="1210"/>
      <c r="F750" s="1210"/>
      <c r="G750" s="1191"/>
      <c r="H750" s="1191"/>
      <c r="I750" s="1199"/>
      <c r="J750" s="1191"/>
      <c r="K750" s="1191"/>
      <c r="L750" s="1191"/>
      <c r="M750" s="1191"/>
      <c r="N750" s="1191"/>
      <c r="O750" s="1191"/>
      <c r="P750" s="1199"/>
      <c r="Q750" s="1191"/>
      <c r="R750" s="1191"/>
      <c r="S750" s="1191"/>
      <c r="T750" s="1191"/>
      <c r="U750" s="1191"/>
      <c r="V750" s="1191"/>
      <c r="W750" s="1191"/>
      <c r="X750" s="1191"/>
      <c r="Y750" s="1191"/>
      <c r="Z750" s="1191"/>
      <c r="AA750" s="1191"/>
      <c r="AB750" s="1210"/>
      <c r="AC750" s="1210"/>
      <c r="AD750" s="1210"/>
      <c r="AE750" s="1210"/>
      <c r="AF750" s="1210"/>
      <c r="AG750" s="1210"/>
      <c r="AH750" s="1210"/>
      <c r="AI750" s="1210"/>
      <c r="AJ750" s="1210"/>
    </row>
    <row r="751" spans="1:36" s="1179" customFormat="1">
      <c r="A751" s="1188"/>
      <c r="B751" s="1188"/>
      <c r="C751" s="1188"/>
      <c r="D751" s="1210"/>
      <c r="E751" s="1210"/>
      <c r="F751" s="1210"/>
      <c r="G751" s="1191"/>
      <c r="H751" s="1191"/>
      <c r="I751" s="1199"/>
      <c r="J751" s="1191"/>
      <c r="K751" s="1191"/>
      <c r="L751" s="1191"/>
      <c r="M751" s="1191"/>
      <c r="N751" s="1191"/>
      <c r="O751" s="1191"/>
      <c r="P751" s="1199"/>
      <c r="Q751" s="1191"/>
      <c r="R751" s="1191"/>
      <c r="S751" s="1191"/>
      <c r="T751" s="1191"/>
      <c r="U751" s="1191"/>
      <c r="V751" s="1191"/>
      <c r="W751" s="1191"/>
      <c r="X751" s="1191"/>
      <c r="Y751" s="1191"/>
      <c r="Z751" s="1191"/>
      <c r="AA751" s="1191"/>
      <c r="AB751" s="1210"/>
      <c r="AC751" s="1210"/>
      <c r="AD751" s="1210"/>
      <c r="AE751" s="1210"/>
      <c r="AF751" s="1210"/>
      <c r="AG751" s="1210"/>
      <c r="AH751" s="1210"/>
      <c r="AI751" s="1210"/>
      <c r="AJ751" s="1210"/>
    </row>
    <row r="752" spans="1:36" s="1179" customFormat="1">
      <c r="A752" s="1188"/>
      <c r="B752" s="1188"/>
      <c r="C752" s="1188"/>
      <c r="D752" s="1210"/>
      <c r="E752" s="1210"/>
      <c r="F752" s="1210"/>
      <c r="G752" s="1191"/>
      <c r="H752" s="1191"/>
      <c r="I752" s="1199"/>
      <c r="J752" s="1191"/>
      <c r="K752" s="1191"/>
      <c r="L752" s="1191"/>
      <c r="M752" s="1191"/>
      <c r="N752" s="1191"/>
      <c r="O752" s="1191"/>
      <c r="P752" s="1199"/>
      <c r="Q752" s="1191"/>
      <c r="R752" s="1191"/>
      <c r="S752" s="1191"/>
      <c r="T752" s="1191"/>
      <c r="U752" s="1191"/>
      <c r="V752" s="1191"/>
      <c r="W752" s="1191"/>
      <c r="X752" s="1191"/>
      <c r="Y752" s="1191"/>
      <c r="Z752" s="1191"/>
      <c r="AA752" s="1191"/>
      <c r="AB752" s="1210"/>
      <c r="AC752" s="1210"/>
      <c r="AD752" s="1210"/>
      <c r="AE752" s="1210"/>
      <c r="AF752" s="1210"/>
      <c r="AG752" s="1210"/>
      <c r="AH752" s="1210"/>
      <c r="AI752" s="1210"/>
      <c r="AJ752" s="1210"/>
    </row>
    <row r="753" spans="1:36" s="1179" customFormat="1">
      <c r="A753" s="1188"/>
      <c r="B753" s="1188"/>
      <c r="C753" s="1188"/>
      <c r="D753" s="1210"/>
      <c r="E753" s="1210"/>
      <c r="F753" s="1210"/>
      <c r="G753" s="1191"/>
      <c r="H753" s="1191"/>
      <c r="I753" s="1199"/>
      <c r="J753" s="1191"/>
      <c r="K753" s="1191"/>
      <c r="L753" s="1191"/>
      <c r="M753" s="1191"/>
      <c r="N753" s="1191"/>
      <c r="O753" s="1191"/>
      <c r="P753" s="1199"/>
      <c r="Q753" s="1191"/>
      <c r="R753" s="1191"/>
      <c r="S753" s="1191"/>
      <c r="T753" s="1191"/>
      <c r="U753" s="1191"/>
      <c r="V753" s="1191"/>
      <c r="W753" s="1191"/>
      <c r="X753" s="1191"/>
      <c r="Y753" s="1191"/>
      <c r="Z753" s="1191"/>
      <c r="AA753" s="1191"/>
      <c r="AB753" s="1210"/>
      <c r="AC753" s="1210"/>
      <c r="AD753" s="1210"/>
      <c r="AE753" s="1210"/>
      <c r="AF753" s="1210"/>
      <c r="AG753" s="1210"/>
      <c r="AH753" s="1210"/>
      <c r="AI753" s="1210"/>
      <c r="AJ753" s="1210"/>
    </row>
    <row r="754" spans="1:36" s="1179" customFormat="1">
      <c r="A754" s="1188"/>
      <c r="B754" s="1188"/>
      <c r="C754" s="1188"/>
      <c r="D754" s="1210"/>
      <c r="E754" s="1210"/>
      <c r="F754" s="1210"/>
      <c r="G754" s="1191"/>
      <c r="H754" s="1191"/>
      <c r="I754" s="1199"/>
      <c r="J754" s="1191"/>
      <c r="K754" s="1191"/>
      <c r="L754" s="1191"/>
      <c r="M754" s="1191"/>
      <c r="N754" s="1191"/>
      <c r="O754" s="1191"/>
      <c r="P754" s="1199"/>
      <c r="Q754" s="1191"/>
      <c r="R754" s="1191"/>
      <c r="S754" s="1191"/>
      <c r="T754" s="1191"/>
      <c r="U754" s="1191"/>
      <c r="V754" s="1191"/>
      <c r="W754" s="1191"/>
      <c r="X754" s="1191"/>
      <c r="Y754" s="1191"/>
      <c r="Z754" s="1191"/>
      <c r="AA754" s="1191"/>
      <c r="AB754" s="1210"/>
      <c r="AC754" s="1210"/>
      <c r="AD754" s="1210"/>
      <c r="AE754" s="1210"/>
      <c r="AF754" s="1210"/>
      <c r="AG754" s="1210"/>
      <c r="AH754" s="1210"/>
      <c r="AI754" s="1210"/>
      <c r="AJ754" s="1210"/>
    </row>
    <row r="755" spans="1:36" s="1179" customFormat="1">
      <c r="A755" s="1188"/>
      <c r="B755" s="1188"/>
      <c r="C755" s="1188"/>
      <c r="D755" s="1210"/>
      <c r="E755" s="1210"/>
      <c r="F755" s="1210"/>
      <c r="G755" s="1191"/>
      <c r="H755" s="1191"/>
      <c r="I755" s="1199"/>
      <c r="J755" s="1191"/>
      <c r="K755" s="1191"/>
      <c r="L755" s="1191"/>
      <c r="M755" s="1191"/>
      <c r="N755" s="1191"/>
      <c r="O755" s="1191"/>
      <c r="P755" s="1199"/>
      <c r="Q755" s="1191"/>
      <c r="R755" s="1191"/>
      <c r="S755" s="1191"/>
      <c r="T755" s="1191"/>
      <c r="U755" s="1191"/>
      <c r="V755" s="1191"/>
      <c r="W755" s="1191"/>
      <c r="X755" s="1191"/>
      <c r="Y755" s="1191"/>
      <c r="Z755" s="1191"/>
      <c r="AA755" s="1191"/>
      <c r="AB755" s="1210"/>
      <c r="AC755" s="1210"/>
      <c r="AD755" s="1210"/>
      <c r="AE755" s="1210"/>
      <c r="AF755" s="1210"/>
      <c r="AG755" s="1210"/>
      <c r="AH755" s="1210"/>
      <c r="AI755" s="1210"/>
      <c r="AJ755" s="1210"/>
    </row>
    <row r="756" spans="1:36" s="1179" customFormat="1">
      <c r="A756" s="1188"/>
      <c r="B756" s="1188"/>
      <c r="C756" s="1188"/>
      <c r="D756" s="1210"/>
      <c r="E756" s="1210"/>
      <c r="F756" s="1210"/>
      <c r="G756" s="1191"/>
      <c r="H756" s="1191"/>
      <c r="I756" s="1199"/>
      <c r="J756" s="1191"/>
      <c r="K756" s="1191"/>
      <c r="L756" s="1191"/>
      <c r="M756" s="1191"/>
      <c r="N756" s="1191"/>
      <c r="O756" s="1191"/>
      <c r="P756" s="1199"/>
      <c r="Q756" s="1191"/>
      <c r="R756" s="1191"/>
      <c r="S756" s="1191"/>
      <c r="T756" s="1191"/>
      <c r="U756" s="1191"/>
      <c r="V756" s="1191"/>
      <c r="W756" s="1191"/>
      <c r="X756" s="1191"/>
      <c r="Y756" s="1191"/>
      <c r="Z756" s="1191"/>
      <c r="AA756" s="1191"/>
      <c r="AB756" s="1210"/>
      <c r="AC756" s="1210"/>
      <c r="AD756" s="1210"/>
      <c r="AE756" s="1210"/>
      <c r="AF756" s="1210"/>
      <c r="AG756" s="1210"/>
      <c r="AH756" s="1210"/>
      <c r="AI756" s="1210"/>
      <c r="AJ756" s="1210"/>
    </row>
    <row r="757" spans="1:36" s="1179" customFormat="1">
      <c r="A757" s="1188"/>
      <c r="B757" s="1188"/>
      <c r="C757" s="1188"/>
      <c r="D757" s="1210"/>
      <c r="E757" s="1210"/>
      <c r="F757" s="1210"/>
      <c r="G757" s="1191"/>
      <c r="H757" s="1191"/>
      <c r="I757" s="1199"/>
      <c r="J757" s="1191"/>
      <c r="K757" s="1191"/>
      <c r="L757" s="1191"/>
      <c r="M757" s="1191"/>
      <c r="N757" s="1191"/>
      <c r="O757" s="1191"/>
      <c r="P757" s="1199"/>
      <c r="Q757" s="1191"/>
      <c r="R757" s="1191"/>
      <c r="S757" s="1191"/>
      <c r="T757" s="1191"/>
      <c r="U757" s="1191"/>
      <c r="V757" s="1191"/>
      <c r="W757" s="1191"/>
      <c r="X757" s="1191"/>
      <c r="Y757" s="1191"/>
      <c r="Z757" s="1191"/>
      <c r="AA757" s="1191"/>
      <c r="AB757" s="1210"/>
      <c r="AC757" s="1210"/>
      <c r="AD757" s="1210"/>
      <c r="AE757" s="1210"/>
      <c r="AF757" s="1210"/>
      <c r="AG757" s="1210"/>
      <c r="AH757" s="1210"/>
      <c r="AI757" s="1210"/>
      <c r="AJ757" s="1210"/>
    </row>
    <row r="758" spans="1:36" s="1179" customFormat="1">
      <c r="A758" s="1188"/>
      <c r="B758" s="1188"/>
      <c r="C758" s="1188"/>
      <c r="D758" s="1210"/>
      <c r="E758" s="1210"/>
      <c r="F758" s="1210"/>
      <c r="G758" s="1191"/>
      <c r="H758" s="1191"/>
      <c r="I758" s="1199"/>
      <c r="J758" s="1191"/>
      <c r="K758" s="1191"/>
      <c r="L758" s="1191"/>
      <c r="M758" s="1191"/>
      <c r="N758" s="1191"/>
      <c r="O758" s="1191"/>
      <c r="P758" s="1199"/>
      <c r="Q758" s="1191"/>
      <c r="R758" s="1191"/>
      <c r="S758" s="1191"/>
      <c r="T758" s="1191"/>
      <c r="U758" s="1191"/>
      <c r="V758" s="1191"/>
      <c r="W758" s="1191"/>
      <c r="X758" s="1191"/>
      <c r="Y758" s="1191"/>
      <c r="Z758" s="1191"/>
      <c r="AA758" s="1191"/>
      <c r="AB758" s="1210"/>
      <c r="AC758" s="1210"/>
      <c r="AD758" s="1210"/>
      <c r="AE758" s="1210"/>
      <c r="AF758" s="1210"/>
      <c r="AG758" s="1210"/>
      <c r="AH758" s="1210"/>
      <c r="AI758" s="1210"/>
      <c r="AJ758" s="1210"/>
    </row>
    <row r="759" spans="1:36" s="1179" customFormat="1">
      <c r="A759" s="1188"/>
      <c r="B759" s="1188"/>
      <c r="C759" s="1188"/>
      <c r="D759" s="1210"/>
      <c r="E759" s="1210"/>
      <c r="F759" s="1210"/>
      <c r="G759" s="1191"/>
      <c r="H759" s="1191"/>
      <c r="I759" s="1199"/>
      <c r="J759" s="1191"/>
      <c r="K759" s="1191"/>
      <c r="L759" s="1191"/>
      <c r="M759" s="1191"/>
      <c r="N759" s="1191"/>
      <c r="O759" s="1191"/>
      <c r="P759" s="1199"/>
      <c r="Q759" s="1191"/>
      <c r="R759" s="1191"/>
      <c r="S759" s="1191"/>
      <c r="T759" s="1191"/>
      <c r="U759" s="1191"/>
      <c r="V759" s="1191"/>
      <c r="W759" s="1191"/>
      <c r="X759" s="1191"/>
      <c r="Y759" s="1191"/>
      <c r="Z759" s="1191"/>
      <c r="AA759" s="1191"/>
      <c r="AB759" s="1210"/>
      <c r="AC759" s="1210"/>
      <c r="AD759" s="1210"/>
      <c r="AE759" s="1210"/>
      <c r="AF759" s="1210"/>
      <c r="AG759" s="1210"/>
      <c r="AH759" s="1210"/>
      <c r="AI759" s="1210"/>
      <c r="AJ759" s="1210"/>
    </row>
    <row r="760" spans="1:36" s="1179" customFormat="1">
      <c r="A760" s="1188"/>
      <c r="B760" s="1188"/>
      <c r="C760" s="1188"/>
      <c r="D760" s="1210"/>
      <c r="E760" s="1210"/>
      <c r="F760" s="1210"/>
      <c r="G760" s="1191"/>
      <c r="H760" s="1191"/>
      <c r="I760" s="1199"/>
      <c r="J760" s="1191"/>
      <c r="K760" s="1191"/>
      <c r="L760" s="1191"/>
      <c r="M760" s="1191"/>
      <c r="N760" s="1191"/>
      <c r="O760" s="1191"/>
      <c r="P760" s="1199"/>
      <c r="Q760" s="1191"/>
      <c r="R760" s="1191"/>
      <c r="S760" s="1191"/>
      <c r="T760" s="1191"/>
      <c r="U760" s="1191"/>
      <c r="V760" s="1191"/>
      <c r="W760" s="1191"/>
      <c r="X760" s="1191"/>
      <c r="Y760" s="1191"/>
      <c r="Z760" s="1191"/>
      <c r="AA760" s="1191"/>
      <c r="AB760" s="1210"/>
      <c r="AC760" s="1210"/>
      <c r="AD760" s="1210"/>
      <c r="AE760" s="1210"/>
      <c r="AF760" s="1210"/>
      <c r="AG760" s="1210"/>
      <c r="AH760" s="1210"/>
      <c r="AI760" s="1210"/>
      <c r="AJ760" s="1210"/>
    </row>
    <row r="761" spans="1:36" s="1179" customFormat="1">
      <c r="A761" s="1188"/>
      <c r="B761" s="1188"/>
      <c r="C761" s="1188"/>
      <c r="D761" s="1210"/>
      <c r="E761" s="1210"/>
      <c r="F761" s="1210"/>
      <c r="G761" s="1191"/>
      <c r="H761" s="1191"/>
      <c r="I761" s="1199"/>
      <c r="J761" s="1191"/>
      <c r="K761" s="1191"/>
      <c r="L761" s="1191"/>
      <c r="M761" s="1191"/>
      <c r="N761" s="1191"/>
      <c r="O761" s="1191"/>
      <c r="P761" s="1199"/>
      <c r="Q761" s="1191"/>
      <c r="R761" s="1191"/>
      <c r="S761" s="1191"/>
      <c r="T761" s="1191"/>
      <c r="U761" s="1191"/>
      <c r="V761" s="1191"/>
      <c r="W761" s="1191"/>
      <c r="X761" s="1191"/>
      <c r="Y761" s="1191"/>
      <c r="Z761" s="1191"/>
      <c r="AA761" s="1191"/>
      <c r="AB761" s="1210"/>
      <c r="AC761" s="1210"/>
      <c r="AD761" s="1210"/>
      <c r="AE761" s="1210"/>
      <c r="AF761" s="1210"/>
      <c r="AG761" s="1210"/>
      <c r="AH761" s="1210"/>
      <c r="AI761" s="1210"/>
      <c r="AJ761" s="1210"/>
    </row>
    <row r="762" spans="1:36" s="1179" customFormat="1">
      <c r="A762" s="1188"/>
      <c r="B762" s="1188"/>
      <c r="C762" s="1188"/>
      <c r="D762" s="1210"/>
      <c r="E762" s="1210"/>
      <c r="F762" s="1210"/>
      <c r="G762" s="1191"/>
      <c r="H762" s="1191"/>
      <c r="I762" s="1199"/>
      <c r="J762" s="1191"/>
      <c r="K762" s="1191"/>
      <c r="L762" s="1191"/>
      <c r="M762" s="1191"/>
      <c r="N762" s="1191"/>
      <c r="O762" s="1191"/>
      <c r="P762" s="1199"/>
      <c r="Q762" s="1191"/>
      <c r="R762" s="1191"/>
      <c r="S762" s="1191"/>
      <c r="T762" s="1191"/>
      <c r="U762" s="1191"/>
      <c r="V762" s="1191"/>
      <c r="W762" s="1191"/>
      <c r="X762" s="1191"/>
      <c r="Y762" s="1191"/>
      <c r="Z762" s="1191"/>
      <c r="AA762" s="1191"/>
      <c r="AB762" s="1210"/>
      <c r="AC762" s="1210"/>
      <c r="AD762" s="1210"/>
      <c r="AE762" s="1210"/>
      <c r="AF762" s="1210"/>
      <c r="AG762" s="1210"/>
      <c r="AH762" s="1210"/>
      <c r="AI762" s="1210"/>
      <c r="AJ762" s="1210"/>
    </row>
    <row r="763" spans="1:36" s="1179" customFormat="1">
      <c r="A763" s="1188"/>
      <c r="B763" s="1188"/>
      <c r="C763" s="1188"/>
      <c r="D763" s="1210"/>
      <c r="E763" s="1210"/>
      <c r="F763" s="1210"/>
      <c r="G763" s="1191"/>
      <c r="H763" s="1191"/>
      <c r="I763" s="1199"/>
      <c r="J763" s="1191"/>
      <c r="K763" s="1191"/>
      <c r="L763" s="1191"/>
      <c r="M763" s="1191"/>
      <c r="N763" s="1191"/>
      <c r="O763" s="1191"/>
      <c r="P763" s="1199"/>
      <c r="Q763" s="1191"/>
      <c r="R763" s="1191"/>
      <c r="S763" s="1191"/>
      <c r="T763" s="1191"/>
      <c r="U763" s="1191"/>
      <c r="V763" s="1191"/>
      <c r="W763" s="1191"/>
      <c r="X763" s="1191"/>
      <c r="Y763" s="1191"/>
      <c r="Z763" s="1191"/>
      <c r="AA763" s="1191"/>
      <c r="AB763" s="1210"/>
      <c r="AC763" s="1210"/>
      <c r="AD763" s="1210"/>
      <c r="AE763" s="1210"/>
      <c r="AF763" s="1210"/>
      <c r="AG763" s="1210"/>
      <c r="AH763" s="1210"/>
      <c r="AI763" s="1210"/>
      <c r="AJ763" s="1210"/>
    </row>
    <row r="764" spans="1:36" s="1179" customFormat="1">
      <c r="A764" s="1188"/>
      <c r="B764" s="1188"/>
      <c r="C764" s="1188"/>
      <c r="D764" s="1210"/>
      <c r="E764" s="1210"/>
      <c r="F764" s="1210"/>
      <c r="G764" s="1191"/>
      <c r="H764" s="1191"/>
      <c r="I764" s="1199"/>
      <c r="J764" s="1191"/>
      <c r="K764" s="1191"/>
      <c r="L764" s="1191"/>
      <c r="M764" s="1191"/>
      <c r="N764" s="1191"/>
      <c r="O764" s="1191"/>
      <c r="P764" s="1199"/>
      <c r="Q764" s="1191"/>
      <c r="R764" s="1191"/>
      <c r="S764" s="1191"/>
      <c r="T764" s="1191"/>
      <c r="U764" s="1191"/>
      <c r="V764" s="1191"/>
      <c r="W764" s="1191"/>
      <c r="X764" s="1191"/>
      <c r="Y764" s="1191"/>
      <c r="Z764" s="1191"/>
      <c r="AA764" s="1191"/>
      <c r="AB764" s="1210"/>
      <c r="AC764" s="1210"/>
      <c r="AD764" s="1210"/>
      <c r="AE764" s="1210"/>
      <c r="AF764" s="1210"/>
      <c r="AG764" s="1210"/>
      <c r="AH764" s="1210"/>
      <c r="AI764" s="1210"/>
      <c r="AJ764" s="1210"/>
    </row>
    <row r="765" spans="1:36" s="1179" customFormat="1">
      <c r="A765" s="1188"/>
      <c r="B765" s="1188"/>
      <c r="C765" s="1188"/>
      <c r="D765" s="1210"/>
      <c r="E765" s="1210"/>
      <c r="F765" s="1210"/>
      <c r="G765" s="1191"/>
      <c r="H765" s="1191"/>
      <c r="I765" s="1199"/>
      <c r="J765" s="1191"/>
      <c r="K765" s="1191"/>
      <c r="L765" s="1191"/>
      <c r="M765" s="1191"/>
      <c r="N765" s="1191"/>
      <c r="O765" s="1191"/>
      <c r="P765" s="1199"/>
      <c r="Q765" s="1191"/>
      <c r="R765" s="1191"/>
      <c r="S765" s="1191"/>
      <c r="T765" s="1191"/>
      <c r="U765" s="1191"/>
      <c r="V765" s="1191"/>
      <c r="W765" s="1191"/>
      <c r="X765" s="1191"/>
      <c r="Y765" s="1191"/>
      <c r="Z765" s="1191"/>
      <c r="AA765" s="1191"/>
      <c r="AB765" s="1210"/>
      <c r="AC765" s="1210"/>
      <c r="AD765" s="1210"/>
      <c r="AE765" s="1210"/>
      <c r="AF765" s="1210"/>
      <c r="AG765" s="1210"/>
      <c r="AH765" s="1210"/>
      <c r="AI765" s="1210"/>
      <c r="AJ765" s="1210"/>
    </row>
    <row r="766" spans="1:36" s="1179" customFormat="1">
      <c r="A766" s="1188"/>
      <c r="B766" s="1188"/>
      <c r="C766" s="1188"/>
      <c r="D766" s="1210"/>
      <c r="E766" s="1210"/>
      <c r="F766" s="1210"/>
      <c r="G766" s="1191"/>
      <c r="H766" s="1191"/>
      <c r="I766" s="1199"/>
      <c r="J766" s="1191"/>
      <c r="K766" s="1191"/>
      <c r="L766" s="1191"/>
      <c r="M766" s="1191"/>
      <c r="N766" s="1191"/>
      <c r="O766" s="1191"/>
      <c r="P766" s="1199"/>
      <c r="Q766" s="1191"/>
      <c r="R766" s="1191"/>
      <c r="S766" s="1191"/>
      <c r="T766" s="1191"/>
      <c r="U766" s="1191"/>
      <c r="V766" s="1191"/>
      <c r="W766" s="1191"/>
      <c r="X766" s="1191"/>
      <c r="Y766" s="1191"/>
      <c r="Z766" s="1191"/>
      <c r="AA766" s="1191"/>
      <c r="AB766" s="1210"/>
      <c r="AC766" s="1210"/>
      <c r="AD766" s="1210"/>
      <c r="AE766" s="1210"/>
      <c r="AF766" s="1210"/>
      <c r="AG766" s="1210"/>
      <c r="AH766" s="1210"/>
      <c r="AI766" s="1210"/>
      <c r="AJ766" s="1210"/>
    </row>
    <row r="767" spans="1:36" s="1179" customFormat="1">
      <c r="A767" s="1188"/>
      <c r="B767" s="1188"/>
      <c r="C767" s="1188"/>
      <c r="D767" s="1210"/>
      <c r="E767" s="1210"/>
      <c r="F767" s="1210"/>
      <c r="G767" s="1191"/>
      <c r="H767" s="1191"/>
      <c r="I767" s="1199"/>
      <c r="J767" s="1191"/>
      <c r="K767" s="1191"/>
      <c r="L767" s="1191"/>
      <c r="M767" s="1191"/>
      <c r="N767" s="1191"/>
      <c r="O767" s="1191"/>
      <c r="P767" s="1199"/>
      <c r="Q767" s="1191"/>
      <c r="R767" s="1191"/>
      <c r="S767" s="1191"/>
      <c r="T767" s="1191"/>
      <c r="U767" s="1191"/>
      <c r="V767" s="1191"/>
      <c r="W767" s="1191"/>
      <c r="X767" s="1191"/>
      <c r="Y767" s="1191"/>
      <c r="Z767" s="1191"/>
      <c r="AA767" s="1191"/>
      <c r="AB767" s="1210"/>
      <c r="AC767" s="1210"/>
      <c r="AD767" s="1210"/>
      <c r="AE767" s="1210"/>
      <c r="AF767" s="1210"/>
      <c r="AG767" s="1210"/>
      <c r="AH767" s="1210"/>
      <c r="AI767" s="1210"/>
      <c r="AJ767" s="1210"/>
    </row>
    <row r="768" spans="1:36" s="1179" customFormat="1">
      <c r="A768" s="1188"/>
      <c r="B768" s="1188"/>
      <c r="C768" s="1188"/>
      <c r="D768" s="1210"/>
      <c r="E768" s="1210"/>
      <c r="F768" s="1210"/>
      <c r="G768" s="1191"/>
      <c r="H768" s="1191"/>
      <c r="I768" s="1199"/>
      <c r="J768" s="1191"/>
      <c r="K768" s="1191"/>
      <c r="L768" s="1191"/>
      <c r="M768" s="1191"/>
      <c r="N768" s="1191"/>
      <c r="O768" s="1191"/>
      <c r="P768" s="1199"/>
      <c r="Q768" s="1191"/>
      <c r="R768" s="1191"/>
      <c r="S768" s="1191"/>
      <c r="T768" s="1191"/>
      <c r="U768" s="1191"/>
      <c r="V768" s="1191"/>
      <c r="W768" s="1191"/>
      <c r="X768" s="1191"/>
      <c r="Y768" s="1191"/>
      <c r="Z768" s="1191"/>
      <c r="AA768" s="1191"/>
      <c r="AB768" s="1210"/>
      <c r="AC768" s="1210"/>
      <c r="AD768" s="1210"/>
      <c r="AE768" s="1210"/>
      <c r="AF768" s="1210"/>
      <c r="AG768" s="1210"/>
      <c r="AH768" s="1210"/>
      <c r="AI768" s="1210"/>
      <c r="AJ768" s="1210"/>
    </row>
    <row r="769" spans="1:36" s="1179" customFormat="1">
      <c r="A769" s="1188"/>
      <c r="B769" s="1188"/>
      <c r="C769" s="1188"/>
      <c r="D769" s="1210"/>
      <c r="E769" s="1210"/>
      <c r="F769" s="1210"/>
      <c r="G769" s="1191"/>
      <c r="H769" s="1191"/>
      <c r="I769" s="1199"/>
      <c r="J769" s="1191"/>
      <c r="K769" s="1191"/>
      <c r="L769" s="1191"/>
      <c r="M769" s="1191"/>
      <c r="N769" s="1191"/>
      <c r="O769" s="1191"/>
      <c r="P769" s="1199"/>
      <c r="Q769" s="1191"/>
      <c r="R769" s="1191"/>
      <c r="S769" s="1191"/>
      <c r="T769" s="1191"/>
      <c r="U769" s="1191"/>
      <c r="V769" s="1191"/>
      <c r="W769" s="1191"/>
      <c r="X769" s="1191"/>
      <c r="Y769" s="1191"/>
      <c r="Z769" s="1191"/>
      <c r="AA769" s="1191"/>
      <c r="AB769" s="1210"/>
      <c r="AC769" s="1210"/>
      <c r="AD769" s="1210"/>
      <c r="AE769" s="1210"/>
      <c r="AF769" s="1210"/>
      <c r="AG769" s="1210"/>
      <c r="AH769" s="1210"/>
      <c r="AI769" s="1210"/>
      <c r="AJ769" s="1210"/>
    </row>
    <row r="770" spans="1:36" s="1179" customFormat="1">
      <c r="A770" s="1188"/>
      <c r="B770" s="1188"/>
      <c r="C770" s="1188"/>
      <c r="D770" s="1210"/>
      <c r="E770" s="1210"/>
      <c r="F770" s="1210"/>
      <c r="G770" s="1191"/>
      <c r="H770" s="1191"/>
      <c r="I770" s="1199"/>
      <c r="J770" s="1191"/>
      <c r="K770" s="1191"/>
      <c r="L770" s="1191"/>
      <c r="M770" s="1191"/>
      <c r="N770" s="1191"/>
      <c r="O770" s="1191"/>
      <c r="P770" s="1199"/>
      <c r="Q770" s="1191"/>
      <c r="R770" s="1191"/>
      <c r="S770" s="1191"/>
      <c r="T770" s="1191"/>
      <c r="U770" s="1191"/>
      <c r="V770" s="1191"/>
      <c r="W770" s="1191"/>
      <c r="X770" s="1191"/>
      <c r="Y770" s="1191"/>
      <c r="Z770" s="1191"/>
      <c r="AA770" s="1191"/>
      <c r="AB770" s="1210"/>
      <c r="AC770" s="1210"/>
      <c r="AD770" s="1210"/>
      <c r="AE770" s="1210"/>
      <c r="AF770" s="1210"/>
      <c r="AG770" s="1210"/>
      <c r="AH770" s="1210"/>
      <c r="AI770" s="1210"/>
      <c r="AJ770" s="1210"/>
    </row>
    <row r="771" spans="1:36" s="1179" customFormat="1">
      <c r="A771" s="1188"/>
      <c r="B771" s="1188"/>
      <c r="C771" s="1188"/>
      <c r="D771" s="1210"/>
      <c r="E771" s="1210"/>
      <c r="F771" s="1210"/>
      <c r="G771" s="1191"/>
      <c r="H771" s="1191"/>
      <c r="I771" s="1199"/>
      <c r="J771" s="1191"/>
      <c r="K771" s="1191"/>
      <c r="L771" s="1191"/>
      <c r="M771" s="1191"/>
      <c r="N771" s="1191"/>
      <c r="O771" s="1191"/>
      <c r="P771" s="1199"/>
      <c r="Q771" s="1191"/>
      <c r="R771" s="1191"/>
      <c r="S771" s="1191"/>
      <c r="T771" s="1191"/>
      <c r="U771" s="1191"/>
      <c r="V771" s="1191"/>
      <c r="W771" s="1191"/>
      <c r="X771" s="1191"/>
      <c r="Y771" s="1191"/>
      <c r="Z771" s="1191"/>
      <c r="AA771" s="1191"/>
      <c r="AB771" s="1210"/>
      <c r="AC771" s="1210"/>
      <c r="AD771" s="1210"/>
      <c r="AE771" s="1210"/>
      <c r="AF771" s="1210"/>
      <c r="AG771" s="1210"/>
      <c r="AH771" s="1210"/>
      <c r="AI771" s="1210"/>
      <c r="AJ771" s="1210"/>
    </row>
    <row r="772" spans="1:36" s="1179" customFormat="1">
      <c r="A772" s="1188"/>
      <c r="B772" s="1188"/>
      <c r="C772" s="1188"/>
      <c r="D772" s="1210"/>
      <c r="E772" s="1210"/>
      <c r="F772" s="1210"/>
      <c r="G772" s="1191"/>
      <c r="H772" s="1191"/>
      <c r="I772" s="1199"/>
      <c r="J772" s="1191"/>
      <c r="K772" s="1191"/>
      <c r="L772" s="1191"/>
      <c r="M772" s="1191"/>
      <c r="N772" s="1191"/>
      <c r="O772" s="1191"/>
      <c r="P772" s="1199"/>
      <c r="Q772" s="1191"/>
      <c r="R772" s="1191"/>
      <c r="S772" s="1191"/>
      <c r="T772" s="1191"/>
      <c r="U772" s="1191"/>
      <c r="V772" s="1191"/>
      <c r="W772" s="1191"/>
      <c r="X772" s="1191"/>
      <c r="Y772" s="1191"/>
      <c r="Z772" s="1191"/>
      <c r="AA772" s="1191"/>
      <c r="AB772" s="1210"/>
      <c r="AC772" s="1210"/>
      <c r="AD772" s="1210"/>
      <c r="AE772" s="1210"/>
      <c r="AF772" s="1210"/>
      <c r="AG772" s="1210"/>
      <c r="AH772" s="1210"/>
      <c r="AI772" s="1210"/>
      <c r="AJ772" s="1210"/>
    </row>
    <row r="773" spans="1:36" s="1179" customFormat="1">
      <c r="A773" s="1188"/>
      <c r="B773" s="1188"/>
      <c r="C773" s="1188"/>
      <c r="D773" s="1210"/>
      <c r="E773" s="1210"/>
      <c r="F773" s="1210"/>
      <c r="G773" s="1191"/>
      <c r="H773" s="1191"/>
      <c r="I773" s="1199"/>
      <c r="J773" s="1191"/>
      <c r="K773" s="1191"/>
      <c r="L773" s="1191"/>
      <c r="M773" s="1191"/>
      <c r="N773" s="1191"/>
      <c r="O773" s="1191"/>
      <c r="P773" s="1199"/>
      <c r="Q773" s="1191"/>
      <c r="R773" s="1191"/>
      <c r="S773" s="1191"/>
      <c r="T773" s="1191"/>
      <c r="U773" s="1191"/>
      <c r="V773" s="1191"/>
      <c r="W773" s="1191"/>
      <c r="X773" s="1191"/>
      <c r="Y773" s="1191"/>
      <c r="Z773" s="1191"/>
      <c r="AA773" s="1191"/>
      <c r="AB773" s="1210"/>
      <c r="AC773" s="1210"/>
      <c r="AD773" s="1210"/>
      <c r="AE773" s="1210"/>
      <c r="AF773" s="1210"/>
      <c r="AG773" s="1210"/>
      <c r="AH773" s="1210"/>
      <c r="AI773" s="1210"/>
      <c r="AJ773" s="1210"/>
    </row>
    <row r="774" spans="1:36" s="1179" customFormat="1">
      <c r="A774" s="1188"/>
      <c r="B774" s="1188"/>
      <c r="C774" s="1188"/>
      <c r="D774" s="1210"/>
      <c r="E774" s="1210"/>
      <c r="F774" s="1210"/>
      <c r="G774" s="1191"/>
      <c r="H774" s="1191"/>
      <c r="I774" s="1199"/>
      <c r="J774" s="1191"/>
      <c r="K774" s="1191"/>
      <c r="L774" s="1191"/>
      <c r="M774" s="1191"/>
      <c r="N774" s="1191"/>
      <c r="O774" s="1191"/>
      <c r="P774" s="1199"/>
      <c r="Q774" s="1191"/>
      <c r="R774" s="1191"/>
      <c r="S774" s="1191"/>
      <c r="T774" s="1191"/>
      <c r="U774" s="1191"/>
      <c r="V774" s="1191"/>
      <c r="W774" s="1191"/>
      <c r="X774" s="1191"/>
      <c r="Y774" s="1191"/>
      <c r="Z774" s="1191"/>
      <c r="AA774" s="1191"/>
      <c r="AB774" s="1210"/>
      <c r="AC774" s="1210"/>
      <c r="AD774" s="1210"/>
      <c r="AE774" s="1210"/>
      <c r="AF774" s="1210"/>
      <c r="AG774" s="1210"/>
      <c r="AH774" s="1210"/>
      <c r="AI774" s="1210"/>
      <c r="AJ774" s="1210"/>
    </row>
    <row r="775" spans="1:36" s="1179" customFormat="1">
      <c r="A775" s="1188"/>
      <c r="B775" s="1188"/>
      <c r="C775" s="1188"/>
      <c r="D775" s="1210"/>
      <c r="E775" s="1210"/>
      <c r="F775" s="1210"/>
      <c r="G775" s="1191"/>
      <c r="H775" s="1191"/>
      <c r="I775" s="1199"/>
      <c r="J775" s="1191"/>
      <c r="K775" s="1191"/>
      <c r="L775" s="1191"/>
      <c r="M775" s="1191"/>
      <c r="N775" s="1191"/>
      <c r="O775" s="1191"/>
      <c r="P775" s="1199"/>
      <c r="Q775" s="1191"/>
      <c r="R775" s="1191"/>
      <c r="S775" s="1191"/>
      <c r="T775" s="1191"/>
      <c r="U775" s="1191"/>
      <c r="V775" s="1191"/>
      <c r="W775" s="1191"/>
      <c r="X775" s="1191"/>
      <c r="Y775" s="1191"/>
      <c r="Z775" s="1191"/>
      <c r="AA775" s="1191"/>
      <c r="AB775" s="1210"/>
      <c r="AC775" s="1210"/>
      <c r="AD775" s="1210"/>
      <c r="AE775" s="1210"/>
      <c r="AF775" s="1210"/>
      <c r="AG775" s="1210"/>
      <c r="AH775" s="1210"/>
      <c r="AI775" s="1210"/>
      <c r="AJ775" s="1210"/>
    </row>
    <row r="776" spans="1:36" s="1179" customFormat="1">
      <c r="A776" s="1188"/>
      <c r="B776" s="1188"/>
      <c r="C776" s="1188"/>
      <c r="D776" s="1210"/>
      <c r="E776" s="1210"/>
      <c r="F776" s="1210"/>
      <c r="G776" s="1191"/>
      <c r="H776" s="1191"/>
      <c r="I776" s="1199"/>
      <c r="J776" s="1191"/>
      <c r="K776" s="1191"/>
      <c r="L776" s="1191"/>
      <c r="M776" s="1191"/>
      <c r="N776" s="1191"/>
      <c r="O776" s="1191"/>
      <c r="P776" s="1199"/>
      <c r="Q776" s="1191"/>
      <c r="R776" s="1191"/>
      <c r="S776" s="1191"/>
      <c r="T776" s="1191"/>
      <c r="U776" s="1191"/>
      <c r="V776" s="1191"/>
      <c r="W776" s="1191"/>
      <c r="X776" s="1191"/>
      <c r="Y776" s="1191"/>
      <c r="Z776" s="1191"/>
      <c r="AA776" s="1191"/>
      <c r="AB776" s="1210"/>
      <c r="AC776" s="1210"/>
      <c r="AD776" s="1210"/>
      <c r="AE776" s="1210"/>
      <c r="AF776" s="1210"/>
      <c r="AG776" s="1210"/>
      <c r="AH776" s="1210"/>
      <c r="AI776" s="1210"/>
      <c r="AJ776" s="1210"/>
    </row>
    <row r="777" spans="1:36" s="1179" customFormat="1">
      <c r="A777" s="1188"/>
      <c r="B777" s="1188"/>
      <c r="C777" s="1188"/>
      <c r="D777" s="1210"/>
      <c r="E777" s="1210"/>
      <c r="F777" s="1210"/>
      <c r="G777" s="1191"/>
      <c r="H777" s="1191"/>
      <c r="I777" s="1199"/>
      <c r="J777" s="1191"/>
      <c r="K777" s="1191"/>
      <c r="L777" s="1191"/>
      <c r="M777" s="1191"/>
      <c r="N777" s="1191"/>
      <c r="O777" s="1191"/>
      <c r="P777" s="1199"/>
      <c r="Q777" s="1191"/>
      <c r="R777" s="1191"/>
      <c r="S777" s="1191"/>
      <c r="T777" s="1191"/>
      <c r="U777" s="1191"/>
      <c r="V777" s="1191"/>
      <c r="W777" s="1191"/>
      <c r="X777" s="1191"/>
      <c r="Y777" s="1191"/>
      <c r="Z777" s="1191"/>
      <c r="AA777" s="1191"/>
      <c r="AB777" s="1210"/>
      <c r="AC777" s="1210"/>
      <c r="AD777" s="1210"/>
      <c r="AE777" s="1210"/>
      <c r="AF777" s="1210"/>
      <c r="AG777" s="1210"/>
      <c r="AH777" s="1210"/>
      <c r="AI777" s="1210"/>
      <c r="AJ777" s="1210"/>
    </row>
    <row r="778" spans="1:36" s="1179" customFormat="1">
      <c r="A778" s="1188"/>
      <c r="B778" s="1188"/>
      <c r="C778" s="1188"/>
      <c r="D778" s="1210"/>
      <c r="E778" s="1210"/>
      <c r="F778" s="1210"/>
      <c r="G778" s="1191"/>
      <c r="H778" s="1191"/>
      <c r="I778" s="1199"/>
      <c r="J778" s="1191"/>
      <c r="K778" s="1191"/>
      <c r="L778" s="1191"/>
      <c r="M778" s="1191"/>
      <c r="N778" s="1191"/>
      <c r="O778" s="1191"/>
      <c r="P778" s="1199"/>
      <c r="Q778" s="1191"/>
      <c r="R778" s="1191"/>
      <c r="S778" s="1191"/>
      <c r="T778" s="1191"/>
      <c r="U778" s="1191"/>
      <c r="V778" s="1191"/>
      <c r="W778" s="1191"/>
      <c r="X778" s="1191"/>
      <c r="Y778" s="1191"/>
      <c r="Z778" s="1191"/>
      <c r="AA778" s="1191"/>
      <c r="AB778" s="1210"/>
      <c r="AC778" s="1210"/>
      <c r="AD778" s="1210"/>
      <c r="AE778" s="1210"/>
      <c r="AF778" s="1210"/>
      <c r="AG778" s="1210"/>
      <c r="AH778" s="1210"/>
      <c r="AI778" s="1210"/>
      <c r="AJ778" s="1210"/>
    </row>
    <row r="779" spans="1:36" s="1179" customFormat="1">
      <c r="A779" s="1188"/>
      <c r="B779" s="1188"/>
      <c r="C779" s="1188"/>
      <c r="D779" s="1210"/>
      <c r="E779" s="1210"/>
      <c r="F779" s="1210"/>
      <c r="G779" s="1191"/>
      <c r="H779" s="1191"/>
      <c r="I779" s="1199"/>
      <c r="J779" s="1191"/>
      <c r="K779" s="1191"/>
      <c r="L779" s="1191"/>
      <c r="M779" s="1191"/>
      <c r="N779" s="1191"/>
      <c r="O779" s="1191"/>
      <c r="P779" s="1199"/>
      <c r="Q779" s="1191"/>
      <c r="R779" s="1191"/>
      <c r="S779" s="1191"/>
      <c r="T779" s="1191"/>
      <c r="U779" s="1191"/>
      <c r="V779" s="1191"/>
      <c r="W779" s="1191"/>
      <c r="X779" s="1191"/>
      <c r="Y779" s="1191"/>
      <c r="Z779" s="1191"/>
      <c r="AA779" s="1191"/>
      <c r="AB779" s="1210"/>
      <c r="AC779" s="1210"/>
      <c r="AD779" s="1210"/>
      <c r="AE779" s="1210"/>
      <c r="AF779" s="1210"/>
      <c r="AG779" s="1210"/>
      <c r="AH779" s="1210"/>
      <c r="AI779" s="1210"/>
      <c r="AJ779" s="1210"/>
    </row>
    <row r="780" spans="1:36" s="1179" customFormat="1">
      <c r="A780" s="1188"/>
      <c r="B780" s="1188"/>
      <c r="C780" s="1188"/>
      <c r="D780" s="1210"/>
      <c r="E780" s="1210"/>
      <c r="F780" s="1210"/>
      <c r="G780" s="1191"/>
      <c r="H780" s="1191"/>
      <c r="I780" s="1199"/>
      <c r="J780" s="1191"/>
      <c r="K780" s="1191"/>
      <c r="L780" s="1191"/>
      <c r="M780" s="1191"/>
      <c r="N780" s="1191"/>
      <c r="O780" s="1191"/>
      <c r="P780" s="1199"/>
      <c r="Q780" s="1191"/>
      <c r="R780" s="1191"/>
      <c r="S780" s="1191"/>
      <c r="T780" s="1191"/>
      <c r="U780" s="1191"/>
      <c r="V780" s="1191"/>
      <c r="W780" s="1191"/>
      <c r="X780" s="1191"/>
      <c r="Y780" s="1191"/>
      <c r="Z780" s="1191"/>
      <c r="AA780" s="1191"/>
      <c r="AB780" s="1210"/>
      <c r="AC780" s="1210"/>
      <c r="AD780" s="1210"/>
      <c r="AE780" s="1210"/>
      <c r="AF780" s="1210"/>
      <c r="AG780" s="1210"/>
      <c r="AH780" s="1210"/>
      <c r="AI780" s="1210"/>
      <c r="AJ780" s="1210"/>
    </row>
    <row r="781" spans="1:36" s="1179" customFormat="1">
      <c r="A781" s="1188"/>
      <c r="B781" s="1188"/>
      <c r="C781" s="1188"/>
      <c r="D781" s="1210"/>
      <c r="E781" s="1210"/>
      <c r="F781" s="1210"/>
      <c r="G781" s="1191"/>
      <c r="H781" s="1191"/>
      <c r="I781" s="1199"/>
      <c r="J781" s="1191"/>
      <c r="K781" s="1191"/>
      <c r="L781" s="1191"/>
      <c r="M781" s="1191"/>
      <c r="N781" s="1191"/>
      <c r="O781" s="1191"/>
      <c r="P781" s="1199"/>
      <c r="Q781" s="1191"/>
      <c r="R781" s="1191"/>
      <c r="S781" s="1191"/>
      <c r="T781" s="1191"/>
      <c r="U781" s="1191"/>
      <c r="V781" s="1191"/>
      <c r="W781" s="1191"/>
      <c r="X781" s="1191"/>
      <c r="Y781" s="1191"/>
      <c r="Z781" s="1191"/>
      <c r="AA781" s="1191"/>
      <c r="AB781" s="1210"/>
      <c r="AC781" s="1210"/>
      <c r="AD781" s="1210"/>
      <c r="AE781" s="1210"/>
      <c r="AF781" s="1210"/>
      <c r="AG781" s="1210"/>
      <c r="AH781" s="1210"/>
      <c r="AI781" s="1210"/>
      <c r="AJ781" s="1210"/>
    </row>
    <row r="782" spans="1:36" s="1179" customFormat="1">
      <c r="A782" s="1188"/>
      <c r="B782" s="1188"/>
      <c r="C782" s="1188"/>
      <c r="D782" s="1210"/>
      <c r="E782" s="1210"/>
      <c r="F782" s="1210"/>
      <c r="G782" s="1191"/>
      <c r="H782" s="1191"/>
      <c r="I782" s="1199"/>
      <c r="J782" s="1191"/>
      <c r="K782" s="1191"/>
      <c r="L782" s="1191"/>
      <c r="M782" s="1191"/>
      <c r="N782" s="1191"/>
      <c r="O782" s="1191"/>
      <c r="P782" s="1199"/>
      <c r="Q782" s="1191"/>
      <c r="R782" s="1191"/>
      <c r="S782" s="1191"/>
      <c r="T782" s="1191"/>
      <c r="U782" s="1191"/>
      <c r="V782" s="1191"/>
      <c r="W782" s="1191"/>
      <c r="X782" s="1191"/>
      <c r="Y782" s="1191"/>
      <c r="Z782" s="1191"/>
      <c r="AA782" s="1191"/>
      <c r="AB782" s="1210"/>
      <c r="AC782" s="1210"/>
      <c r="AD782" s="1210"/>
      <c r="AE782" s="1210"/>
      <c r="AF782" s="1210"/>
      <c r="AG782" s="1210"/>
      <c r="AH782" s="1210"/>
      <c r="AI782" s="1210"/>
      <c r="AJ782" s="1210"/>
    </row>
    <row r="783" spans="1:36" s="1179" customFormat="1">
      <c r="A783" s="1188"/>
      <c r="B783" s="1188"/>
      <c r="C783" s="1188"/>
      <c r="D783" s="1210"/>
      <c r="E783" s="1210"/>
      <c r="F783" s="1210"/>
      <c r="G783" s="1191"/>
      <c r="H783" s="1191"/>
      <c r="I783" s="1199"/>
      <c r="J783" s="1191"/>
      <c r="K783" s="1191"/>
      <c r="L783" s="1191"/>
      <c r="M783" s="1191"/>
      <c r="N783" s="1191"/>
      <c r="O783" s="1191"/>
      <c r="P783" s="1199"/>
      <c r="Q783" s="1191"/>
      <c r="R783" s="1191"/>
      <c r="S783" s="1191"/>
      <c r="T783" s="1191"/>
      <c r="U783" s="1191"/>
      <c r="V783" s="1191"/>
      <c r="W783" s="1191"/>
      <c r="X783" s="1191"/>
      <c r="Y783" s="1191"/>
      <c r="Z783" s="1191"/>
      <c r="AA783" s="1191"/>
      <c r="AB783" s="1210"/>
      <c r="AC783" s="1210"/>
      <c r="AD783" s="1210"/>
      <c r="AE783" s="1210"/>
      <c r="AF783" s="1210"/>
      <c r="AG783" s="1210"/>
      <c r="AH783" s="1210"/>
      <c r="AI783" s="1210"/>
      <c r="AJ783" s="1210"/>
    </row>
    <row r="784" spans="1:36" s="1179" customFormat="1">
      <c r="A784" s="1188"/>
      <c r="B784" s="1188"/>
      <c r="C784" s="1188"/>
      <c r="D784" s="1210"/>
      <c r="E784" s="1210"/>
      <c r="F784" s="1210"/>
      <c r="G784" s="1191"/>
      <c r="H784" s="1191"/>
      <c r="I784" s="1199"/>
      <c r="J784" s="1191"/>
      <c r="K784" s="1191"/>
      <c r="L784" s="1191"/>
      <c r="M784" s="1191"/>
      <c r="N784" s="1191"/>
      <c r="O784" s="1191"/>
      <c r="P784" s="1199"/>
      <c r="Q784" s="1191"/>
      <c r="R784" s="1191"/>
      <c r="S784" s="1191"/>
      <c r="T784" s="1191"/>
      <c r="U784" s="1191"/>
      <c r="V784" s="1191"/>
      <c r="W784" s="1191"/>
      <c r="X784" s="1191"/>
      <c r="Y784" s="1191"/>
      <c r="Z784" s="1191"/>
      <c r="AA784" s="1191"/>
      <c r="AB784" s="1210"/>
      <c r="AC784" s="1210"/>
      <c r="AD784" s="1210"/>
      <c r="AE784" s="1210"/>
      <c r="AF784" s="1210"/>
      <c r="AG784" s="1210"/>
      <c r="AH784" s="1210"/>
      <c r="AI784" s="1210"/>
      <c r="AJ784" s="1210"/>
    </row>
    <row r="785" spans="1:36" s="1179" customFormat="1">
      <c r="A785" s="1188"/>
      <c r="B785" s="1188"/>
      <c r="C785" s="1188"/>
      <c r="D785" s="1210"/>
      <c r="E785" s="1210"/>
      <c r="F785" s="1210"/>
      <c r="G785" s="1191"/>
      <c r="H785" s="1191"/>
      <c r="I785" s="1199"/>
      <c r="J785" s="1191"/>
      <c r="K785" s="1191"/>
      <c r="L785" s="1191"/>
      <c r="M785" s="1191"/>
      <c r="N785" s="1191"/>
      <c r="O785" s="1191"/>
      <c r="P785" s="1199"/>
      <c r="Q785" s="1191"/>
      <c r="R785" s="1191"/>
      <c r="S785" s="1191"/>
      <c r="T785" s="1191"/>
      <c r="U785" s="1191"/>
      <c r="V785" s="1191"/>
      <c r="W785" s="1191"/>
      <c r="X785" s="1191"/>
      <c r="Y785" s="1191"/>
      <c r="Z785" s="1191"/>
      <c r="AA785" s="1191"/>
      <c r="AB785" s="1210"/>
      <c r="AC785" s="1210"/>
      <c r="AD785" s="1210"/>
      <c r="AE785" s="1210"/>
      <c r="AF785" s="1210"/>
      <c r="AG785" s="1210"/>
      <c r="AH785" s="1210"/>
      <c r="AI785" s="1210"/>
      <c r="AJ785" s="1210"/>
    </row>
    <row r="786" spans="1:36" s="1179" customFormat="1">
      <c r="A786" s="1188"/>
      <c r="B786" s="1188"/>
      <c r="C786" s="1188"/>
      <c r="D786" s="1210"/>
      <c r="E786" s="1210"/>
      <c r="F786" s="1210"/>
      <c r="G786" s="1191"/>
      <c r="H786" s="1191"/>
      <c r="I786" s="1199"/>
      <c r="J786" s="1191"/>
      <c r="K786" s="1191"/>
      <c r="L786" s="1191"/>
      <c r="M786" s="1191"/>
      <c r="N786" s="1191"/>
      <c r="O786" s="1191"/>
      <c r="P786" s="1199"/>
      <c r="Q786" s="1191"/>
      <c r="R786" s="1191"/>
      <c r="S786" s="1191"/>
      <c r="T786" s="1191"/>
      <c r="U786" s="1191"/>
      <c r="V786" s="1191"/>
      <c r="W786" s="1191"/>
      <c r="X786" s="1191"/>
      <c r="Y786" s="1191"/>
      <c r="Z786" s="1191"/>
      <c r="AA786" s="1191"/>
      <c r="AB786" s="1210"/>
      <c r="AC786" s="1210"/>
      <c r="AD786" s="1210"/>
      <c r="AE786" s="1210"/>
      <c r="AF786" s="1210"/>
      <c r="AG786" s="1210"/>
      <c r="AH786" s="1210"/>
      <c r="AI786" s="1210"/>
      <c r="AJ786" s="1210"/>
    </row>
    <row r="787" spans="1:36" s="1179" customFormat="1">
      <c r="A787" s="1188"/>
      <c r="B787" s="1188"/>
      <c r="C787" s="1188"/>
      <c r="D787" s="1210"/>
      <c r="E787" s="1210"/>
      <c r="F787" s="1210"/>
      <c r="G787" s="1191"/>
      <c r="H787" s="1191"/>
      <c r="I787" s="1199"/>
      <c r="J787" s="1191"/>
      <c r="K787" s="1191"/>
      <c r="L787" s="1191"/>
      <c r="M787" s="1191"/>
      <c r="N787" s="1191"/>
      <c r="O787" s="1191"/>
      <c r="P787" s="1199"/>
      <c r="Q787" s="1191"/>
      <c r="R787" s="1191"/>
      <c r="S787" s="1191"/>
      <c r="T787" s="1191"/>
      <c r="U787" s="1191"/>
      <c r="V787" s="1191"/>
      <c r="W787" s="1191"/>
      <c r="X787" s="1191"/>
      <c r="Y787" s="1191"/>
      <c r="Z787" s="1191"/>
      <c r="AA787" s="1191"/>
      <c r="AB787" s="1210"/>
      <c r="AC787" s="1210"/>
      <c r="AD787" s="1210"/>
      <c r="AE787" s="1210"/>
      <c r="AF787" s="1210"/>
      <c r="AG787" s="1210"/>
      <c r="AH787" s="1210"/>
      <c r="AI787" s="1210"/>
      <c r="AJ787" s="1210"/>
    </row>
    <row r="788" spans="1:36" s="1179" customFormat="1">
      <c r="A788" s="1188"/>
      <c r="B788" s="1188"/>
      <c r="C788" s="1188"/>
      <c r="D788" s="1210"/>
      <c r="E788" s="1210"/>
      <c r="F788" s="1210"/>
      <c r="G788" s="1191"/>
      <c r="H788" s="1191"/>
      <c r="I788" s="1199"/>
      <c r="J788" s="1191"/>
      <c r="K788" s="1191"/>
      <c r="L788" s="1191"/>
      <c r="M788" s="1191"/>
      <c r="N788" s="1191"/>
      <c r="O788" s="1191"/>
      <c r="P788" s="1199"/>
      <c r="Q788" s="1191"/>
      <c r="R788" s="1191"/>
      <c r="S788" s="1191"/>
      <c r="T788" s="1191"/>
      <c r="U788" s="1191"/>
      <c r="V788" s="1191"/>
      <c r="W788" s="1191"/>
      <c r="X788" s="1191"/>
      <c r="Y788" s="1191"/>
      <c r="Z788" s="1191"/>
      <c r="AA788" s="1191"/>
      <c r="AB788" s="1210"/>
      <c r="AC788" s="1210"/>
      <c r="AD788" s="1210"/>
      <c r="AE788" s="1210"/>
      <c r="AF788" s="1210"/>
      <c r="AG788" s="1210"/>
      <c r="AH788" s="1210"/>
      <c r="AI788" s="1210"/>
      <c r="AJ788" s="1210"/>
    </row>
    <row r="789" spans="1:36" s="1179" customFormat="1">
      <c r="A789" s="1188"/>
      <c r="B789" s="1188"/>
      <c r="C789" s="1188"/>
      <c r="D789" s="1210"/>
      <c r="E789" s="1210"/>
      <c r="F789" s="1210"/>
      <c r="G789" s="1191"/>
      <c r="H789" s="1191"/>
      <c r="I789" s="1199"/>
      <c r="J789" s="1191"/>
      <c r="K789" s="1191"/>
      <c r="L789" s="1191"/>
      <c r="M789" s="1191"/>
      <c r="N789" s="1191"/>
      <c r="O789" s="1191"/>
      <c r="P789" s="1199"/>
      <c r="Q789" s="1191"/>
      <c r="R789" s="1191"/>
      <c r="S789" s="1191"/>
      <c r="T789" s="1191"/>
      <c r="U789" s="1191"/>
      <c r="V789" s="1191"/>
      <c r="W789" s="1191"/>
      <c r="X789" s="1191"/>
      <c r="Y789" s="1191"/>
      <c r="Z789" s="1191"/>
      <c r="AA789" s="1191"/>
      <c r="AB789" s="1210"/>
      <c r="AC789" s="1210"/>
      <c r="AD789" s="1210"/>
      <c r="AE789" s="1210"/>
      <c r="AF789" s="1210"/>
      <c r="AG789" s="1210"/>
      <c r="AH789" s="1210"/>
      <c r="AI789" s="1210"/>
      <c r="AJ789" s="1210"/>
    </row>
    <row r="790" spans="1:36" s="1179" customFormat="1">
      <c r="A790" s="1188"/>
      <c r="B790" s="1188"/>
      <c r="C790" s="1188"/>
      <c r="D790" s="1210"/>
      <c r="E790" s="1210"/>
      <c r="F790" s="1210"/>
      <c r="G790" s="1191"/>
      <c r="H790" s="1191"/>
      <c r="I790" s="1199"/>
      <c r="J790" s="1191"/>
      <c r="K790" s="1191"/>
      <c r="L790" s="1191"/>
      <c r="M790" s="1191"/>
      <c r="N790" s="1191"/>
      <c r="O790" s="1191"/>
      <c r="P790" s="1199"/>
      <c r="Q790" s="1191"/>
      <c r="R790" s="1191"/>
      <c r="S790" s="1191"/>
      <c r="T790" s="1191"/>
      <c r="U790" s="1191"/>
      <c r="V790" s="1191"/>
      <c r="W790" s="1191"/>
      <c r="X790" s="1191"/>
      <c r="Y790" s="1191"/>
      <c r="Z790" s="1191"/>
      <c r="AA790" s="1191"/>
      <c r="AB790" s="1210"/>
      <c r="AC790" s="1210"/>
      <c r="AD790" s="1210"/>
      <c r="AE790" s="1210"/>
      <c r="AF790" s="1210"/>
      <c r="AG790" s="1210"/>
      <c r="AH790" s="1210"/>
      <c r="AI790" s="1210"/>
      <c r="AJ790" s="1210"/>
    </row>
    <row r="791" spans="1:36" s="1179" customFormat="1">
      <c r="A791" s="1188"/>
      <c r="B791" s="1188"/>
      <c r="C791" s="1188"/>
      <c r="D791" s="1210"/>
      <c r="E791" s="1210"/>
      <c r="F791" s="1210"/>
      <c r="G791" s="1191"/>
      <c r="H791" s="1191"/>
      <c r="I791" s="1199"/>
      <c r="J791" s="1191"/>
      <c r="K791" s="1191"/>
      <c r="L791" s="1191"/>
      <c r="M791" s="1191"/>
      <c r="N791" s="1191"/>
      <c r="O791" s="1191"/>
      <c r="P791" s="1199"/>
      <c r="Q791" s="1191"/>
      <c r="R791" s="1191"/>
      <c r="S791" s="1191"/>
      <c r="T791" s="1191"/>
      <c r="U791" s="1191"/>
      <c r="V791" s="1191"/>
      <c r="W791" s="1191"/>
      <c r="X791" s="1191"/>
      <c r="Y791" s="1191"/>
      <c r="Z791" s="1191"/>
      <c r="AA791" s="1191"/>
      <c r="AB791" s="1210"/>
      <c r="AC791" s="1210"/>
      <c r="AD791" s="1210"/>
      <c r="AE791" s="1210"/>
      <c r="AF791" s="1210"/>
      <c r="AG791" s="1210"/>
      <c r="AH791" s="1210"/>
      <c r="AI791" s="1210"/>
      <c r="AJ791" s="1210"/>
    </row>
    <row r="792" spans="1:36" s="1179" customFormat="1">
      <c r="A792" s="1188"/>
      <c r="B792" s="1188"/>
      <c r="C792" s="1188"/>
      <c r="D792" s="1210"/>
      <c r="E792" s="1210"/>
      <c r="F792" s="1210"/>
      <c r="G792" s="1191"/>
      <c r="H792" s="1191"/>
      <c r="I792" s="1199"/>
      <c r="J792" s="1191"/>
      <c r="K792" s="1191"/>
      <c r="L792" s="1191"/>
      <c r="M792" s="1191"/>
      <c r="N792" s="1191"/>
      <c r="O792" s="1191"/>
      <c r="P792" s="1199"/>
      <c r="Q792" s="1191"/>
      <c r="R792" s="1191"/>
      <c r="S792" s="1191"/>
      <c r="T792" s="1191"/>
      <c r="U792" s="1191"/>
      <c r="V792" s="1191"/>
      <c r="W792" s="1191"/>
      <c r="X792" s="1191"/>
      <c r="Y792" s="1191"/>
      <c r="Z792" s="1191"/>
      <c r="AA792" s="1191"/>
      <c r="AB792" s="1210"/>
      <c r="AC792" s="1210"/>
      <c r="AD792" s="1210"/>
      <c r="AE792" s="1210"/>
      <c r="AF792" s="1210"/>
      <c r="AG792" s="1210"/>
      <c r="AH792" s="1210"/>
      <c r="AI792" s="1210"/>
      <c r="AJ792" s="1210"/>
    </row>
    <row r="793" spans="1:36" s="1179" customFormat="1">
      <c r="A793" s="1188"/>
      <c r="B793" s="1188"/>
      <c r="C793" s="1188"/>
      <c r="D793" s="1210"/>
      <c r="E793" s="1210"/>
      <c r="F793" s="1210"/>
      <c r="G793" s="1191"/>
      <c r="H793" s="1191"/>
      <c r="I793" s="1199"/>
      <c r="J793" s="1191"/>
      <c r="K793" s="1191"/>
      <c r="L793" s="1191"/>
      <c r="M793" s="1191"/>
      <c r="N793" s="1191"/>
      <c r="O793" s="1191"/>
      <c r="P793" s="1199"/>
      <c r="Q793" s="1191"/>
      <c r="R793" s="1191"/>
      <c r="S793" s="1191"/>
      <c r="T793" s="1191"/>
      <c r="U793" s="1191"/>
      <c r="V793" s="1191"/>
      <c r="W793" s="1191"/>
      <c r="X793" s="1191"/>
      <c r="Y793" s="1191"/>
      <c r="Z793" s="1191"/>
      <c r="AA793" s="1191"/>
      <c r="AB793" s="1210"/>
      <c r="AC793" s="1210"/>
      <c r="AD793" s="1210"/>
      <c r="AE793" s="1210"/>
      <c r="AF793" s="1210"/>
      <c r="AG793" s="1210"/>
      <c r="AH793" s="1210"/>
      <c r="AI793" s="1210"/>
      <c r="AJ793" s="1210"/>
    </row>
    <row r="794" spans="1:36" s="1179" customFormat="1">
      <c r="A794" s="1188"/>
      <c r="B794" s="1188"/>
      <c r="C794" s="1188"/>
      <c r="D794" s="1210"/>
      <c r="E794" s="1210"/>
      <c r="F794" s="1210"/>
      <c r="G794" s="1191"/>
      <c r="H794" s="1191"/>
      <c r="I794" s="1199"/>
      <c r="J794" s="1191"/>
      <c r="K794" s="1191"/>
      <c r="L794" s="1191"/>
      <c r="M794" s="1191"/>
      <c r="N794" s="1191"/>
      <c r="O794" s="1191"/>
      <c r="P794" s="1199"/>
      <c r="Q794" s="1191"/>
      <c r="R794" s="1191"/>
      <c r="S794" s="1191"/>
      <c r="T794" s="1191"/>
      <c r="U794" s="1191"/>
      <c r="V794" s="1191"/>
      <c r="W794" s="1191"/>
      <c r="X794" s="1191"/>
      <c r="Y794" s="1191"/>
      <c r="Z794" s="1191"/>
      <c r="AA794" s="1191"/>
      <c r="AB794" s="1210"/>
      <c r="AC794" s="1210"/>
      <c r="AD794" s="1210"/>
      <c r="AE794" s="1210"/>
      <c r="AF794" s="1210"/>
      <c r="AG794" s="1210"/>
      <c r="AH794" s="1210"/>
      <c r="AI794" s="1210"/>
      <c r="AJ794" s="1210"/>
    </row>
    <row r="795" spans="1:36" s="1179" customFormat="1">
      <c r="A795" s="1188"/>
      <c r="B795" s="1188"/>
      <c r="C795" s="1188"/>
      <c r="D795" s="1210"/>
      <c r="E795" s="1210"/>
      <c r="F795" s="1210"/>
      <c r="G795" s="1191"/>
      <c r="H795" s="1191"/>
      <c r="I795" s="1199"/>
      <c r="J795" s="1191"/>
      <c r="K795" s="1191"/>
      <c r="L795" s="1191"/>
      <c r="M795" s="1191"/>
      <c r="N795" s="1191"/>
      <c r="O795" s="1191"/>
      <c r="P795" s="1199"/>
      <c r="Q795" s="1191"/>
      <c r="R795" s="1191"/>
      <c r="S795" s="1191"/>
      <c r="T795" s="1191"/>
      <c r="U795" s="1191"/>
      <c r="V795" s="1191"/>
      <c r="W795" s="1191"/>
      <c r="X795" s="1191"/>
      <c r="Y795" s="1191"/>
      <c r="Z795" s="1191"/>
      <c r="AA795" s="1191"/>
      <c r="AB795" s="1210"/>
      <c r="AC795" s="1210"/>
      <c r="AD795" s="1210"/>
      <c r="AE795" s="1210"/>
      <c r="AF795" s="1210"/>
      <c r="AG795" s="1210"/>
      <c r="AH795" s="1210"/>
      <c r="AI795" s="1210"/>
      <c r="AJ795" s="1210"/>
    </row>
    <row r="796" spans="1:36" s="1179" customFormat="1">
      <c r="A796" s="1188"/>
      <c r="B796" s="1188"/>
      <c r="C796" s="1188"/>
      <c r="D796" s="1210"/>
      <c r="E796" s="1210"/>
      <c r="F796" s="1210"/>
      <c r="G796" s="1191"/>
      <c r="H796" s="1191"/>
      <c r="I796" s="1199"/>
      <c r="J796" s="1191"/>
      <c r="K796" s="1191"/>
      <c r="L796" s="1191"/>
      <c r="M796" s="1191"/>
      <c r="N796" s="1191"/>
      <c r="O796" s="1191"/>
      <c r="P796" s="1199"/>
      <c r="Q796" s="1191"/>
      <c r="R796" s="1191"/>
      <c r="S796" s="1191"/>
      <c r="T796" s="1191"/>
      <c r="U796" s="1191"/>
      <c r="V796" s="1191"/>
      <c r="W796" s="1191"/>
      <c r="X796" s="1191"/>
      <c r="Y796" s="1191"/>
      <c r="Z796" s="1191"/>
      <c r="AA796" s="1191"/>
      <c r="AB796" s="1210"/>
      <c r="AC796" s="1210"/>
      <c r="AD796" s="1210"/>
      <c r="AE796" s="1210"/>
      <c r="AF796" s="1210"/>
      <c r="AG796" s="1210"/>
      <c r="AH796" s="1210"/>
      <c r="AI796" s="1210"/>
      <c r="AJ796" s="1210"/>
    </row>
    <row r="797" spans="1:36" s="1179" customFormat="1">
      <c r="A797" s="1188"/>
      <c r="B797" s="1188"/>
      <c r="C797" s="1188"/>
      <c r="D797" s="1210"/>
      <c r="E797" s="1210"/>
      <c r="F797" s="1210"/>
      <c r="G797" s="1191"/>
      <c r="H797" s="1191"/>
      <c r="I797" s="1199"/>
      <c r="J797" s="1191"/>
      <c r="K797" s="1191"/>
      <c r="L797" s="1191"/>
      <c r="M797" s="1191"/>
      <c r="N797" s="1191"/>
      <c r="O797" s="1191"/>
      <c r="P797" s="1199"/>
      <c r="Q797" s="1191"/>
      <c r="R797" s="1191"/>
      <c r="S797" s="1191"/>
      <c r="T797" s="1191"/>
      <c r="U797" s="1191"/>
      <c r="V797" s="1191"/>
      <c r="W797" s="1191"/>
      <c r="X797" s="1191"/>
      <c r="Y797" s="1191"/>
      <c r="Z797" s="1191"/>
      <c r="AA797" s="1191"/>
      <c r="AB797" s="1210"/>
      <c r="AC797" s="1210"/>
      <c r="AD797" s="1210"/>
      <c r="AE797" s="1210"/>
      <c r="AF797" s="1210"/>
      <c r="AG797" s="1210"/>
      <c r="AH797" s="1210"/>
      <c r="AI797" s="1210"/>
      <c r="AJ797" s="1210"/>
    </row>
    <row r="798" spans="1:36" s="1179" customFormat="1">
      <c r="A798" s="1188"/>
      <c r="B798" s="1188"/>
      <c r="C798" s="1188"/>
      <c r="D798" s="1210"/>
      <c r="E798" s="1210"/>
      <c r="F798" s="1210"/>
      <c r="G798" s="1191"/>
      <c r="H798" s="1191"/>
      <c r="I798" s="1199"/>
      <c r="J798" s="1191"/>
      <c r="K798" s="1191"/>
      <c r="L798" s="1191"/>
      <c r="M798" s="1191"/>
      <c r="N798" s="1191"/>
      <c r="O798" s="1191"/>
      <c r="P798" s="1199"/>
      <c r="Q798" s="1191"/>
      <c r="R798" s="1191"/>
      <c r="S798" s="1191"/>
      <c r="T798" s="1191"/>
      <c r="U798" s="1191"/>
      <c r="V798" s="1191"/>
      <c r="W798" s="1191"/>
      <c r="X798" s="1191"/>
      <c r="Y798" s="1191"/>
      <c r="Z798" s="1191"/>
      <c r="AA798" s="1191"/>
      <c r="AB798" s="1210"/>
      <c r="AC798" s="1210"/>
      <c r="AD798" s="1210"/>
      <c r="AE798" s="1210"/>
      <c r="AF798" s="1210"/>
      <c r="AG798" s="1210"/>
      <c r="AH798" s="1210"/>
      <c r="AI798" s="1210"/>
      <c r="AJ798" s="1210"/>
    </row>
    <row r="799" spans="1:36" s="1179" customFormat="1">
      <c r="A799" s="1188"/>
      <c r="B799" s="1188"/>
      <c r="C799" s="1188"/>
      <c r="D799" s="1210"/>
      <c r="E799" s="1210"/>
      <c r="F799" s="1210"/>
      <c r="G799" s="1191"/>
      <c r="H799" s="1191"/>
      <c r="I799" s="1199"/>
      <c r="J799" s="1191"/>
      <c r="K799" s="1191"/>
      <c r="L799" s="1191"/>
      <c r="M799" s="1191"/>
      <c r="N799" s="1191"/>
      <c r="O799" s="1191"/>
      <c r="P799" s="1199"/>
      <c r="Q799" s="1191"/>
      <c r="R799" s="1191"/>
      <c r="S799" s="1191"/>
      <c r="T799" s="1191"/>
      <c r="U799" s="1191"/>
      <c r="V799" s="1191"/>
      <c r="W799" s="1191"/>
      <c r="X799" s="1191"/>
      <c r="Y799" s="1191"/>
      <c r="Z799" s="1191"/>
      <c r="AA799" s="1191"/>
      <c r="AB799" s="1210"/>
      <c r="AC799" s="1210"/>
      <c r="AD799" s="1210"/>
      <c r="AE799" s="1210"/>
      <c r="AF799" s="1210"/>
      <c r="AG799" s="1210"/>
      <c r="AH799" s="1210"/>
      <c r="AI799" s="1210"/>
      <c r="AJ799" s="1210"/>
    </row>
    <row r="800" spans="1:36" s="1179" customFormat="1">
      <c r="A800" s="1188"/>
      <c r="B800" s="1188"/>
      <c r="C800" s="1188"/>
      <c r="D800" s="1210"/>
      <c r="E800" s="1210"/>
      <c r="F800" s="1210"/>
      <c r="G800" s="1191"/>
      <c r="H800" s="1191"/>
      <c r="I800" s="1199"/>
      <c r="J800" s="1191"/>
      <c r="K800" s="1191"/>
      <c r="L800" s="1191"/>
      <c r="M800" s="1191"/>
      <c r="N800" s="1191"/>
      <c r="O800" s="1191"/>
      <c r="P800" s="1199"/>
      <c r="Q800" s="1191"/>
      <c r="R800" s="1191"/>
      <c r="S800" s="1191"/>
      <c r="T800" s="1191"/>
      <c r="U800" s="1191"/>
      <c r="V800" s="1191"/>
      <c r="W800" s="1191"/>
      <c r="X800" s="1191"/>
      <c r="Y800" s="1191"/>
      <c r="Z800" s="1191"/>
      <c r="AA800" s="1191"/>
      <c r="AB800" s="1210"/>
      <c r="AC800" s="1210"/>
      <c r="AD800" s="1210"/>
      <c r="AE800" s="1210"/>
      <c r="AF800" s="1210"/>
      <c r="AG800" s="1210"/>
      <c r="AH800" s="1210"/>
      <c r="AI800" s="1210"/>
      <c r="AJ800" s="1210"/>
    </row>
    <row r="801" spans="1:36" s="1179" customFormat="1">
      <c r="A801" s="1188"/>
      <c r="B801" s="1188"/>
      <c r="C801" s="1188"/>
      <c r="D801" s="1210"/>
      <c r="E801" s="1210"/>
      <c r="F801" s="1210"/>
      <c r="G801" s="1191"/>
      <c r="H801" s="1191"/>
      <c r="I801" s="1199"/>
      <c r="J801" s="1191"/>
      <c r="K801" s="1191"/>
      <c r="L801" s="1191"/>
      <c r="M801" s="1191"/>
      <c r="N801" s="1191"/>
      <c r="O801" s="1191"/>
      <c r="P801" s="1199"/>
      <c r="Q801" s="1191"/>
      <c r="R801" s="1191"/>
      <c r="S801" s="1191"/>
      <c r="T801" s="1191"/>
      <c r="U801" s="1191"/>
      <c r="V801" s="1191"/>
      <c r="W801" s="1191"/>
      <c r="X801" s="1191"/>
      <c r="Y801" s="1191"/>
      <c r="Z801" s="1191"/>
      <c r="AA801" s="1191"/>
      <c r="AB801" s="1210"/>
      <c r="AC801" s="1210"/>
      <c r="AD801" s="1210"/>
      <c r="AE801" s="1210"/>
      <c r="AF801" s="1210"/>
      <c r="AG801" s="1210"/>
      <c r="AH801" s="1210"/>
      <c r="AI801" s="1210"/>
      <c r="AJ801" s="1210"/>
    </row>
    <row r="802" spans="1:36" s="1179" customFormat="1">
      <c r="A802" s="1188"/>
      <c r="B802" s="1188"/>
      <c r="C802" s="1188"/>
      <c r="D802" s="1210"/>
      <c r="E802" s="1210"/>
      <c r="F802" s="1210"/>
      <c r="G802" s="1191"/>
      <c r="H802" s="1191"/>
      <c r="I802" s="1199"/>
      <c r="J802" s="1191"/>
      <c r="K802" s="1191"/>
      <c r="L802" s="1191"/>
      <c r="M802" s="1191"/>
      <c r="N802" s="1191"/>
      <c r="O802" s="1191"/>
      <c r="P802" s="1199"/>
      <c r="Q802" s="1191"/>
      <c r="R802" s="1191"/>
      <c r="S802" s="1191"/>
      <c r="T802" s="1191"/>
      <c r="U802" s="1191"/>
      <c r="V802" s="1191"/>
      <c r="W802" s="1191"/>
      <c r="X802" s="1191"/>
      <c r="Y802" s="1191"/>
      <c r="Z802" s="1191"/>
      <c r="AA802" s="1191"/>
      <c r="AB802" s="1210"/>
      <c r="AC802" s="1210"/>
      <c r="AD802" s="1210"/>
      <c r="AE802" s="1210"/>
      <c r="AF802" s="1210"/>
      <c r="AG802" s="1210"/>
      <c r="AH802" s="1210"/>
      <c r="AI802" s="1210"/>
      <c r="AJ802" s="1210"/>
    </row>
    <row r="803" spans="1:36" s="1179" customFormat="1">
      <c r="A803" s="1188"/>
      <c r="B803" s="1188"/>
      <c r="C803" s="1188"/>
      <c r="D803" s="1210"/>
      <c r="E803" s="1210"/>
      <c r="F803" s="1210"/>
      <c r="G803" s="1191"/>
      <c r="H803" s="1191"/>
      <c r="I803" s="1199"/>
      <c r="J803" s="1191"/>
      <c r="K803" s="1191"/>
      <c r="L803" s="1191"/>
      <c r="M803" s="1191"/>
      <c r="N803" s="1191"/>
      <c r="O803" s="1191"/>
      <c r="P803" s="1199"/>
      <c r="Q803" s="1191"/>
      <c r="R803" s="1191"/>
      <c r="S803" s="1191"/>
      <c r="T803" s="1191"/>
      <c r="U803" s="1191"/>
      <c r="V803" s="1191"/>
      <c r="W803" s="1191"/>
      <c r="X803" s="1191"/>
      <c r="Y803" s="1191"/>
      <c r="Z803" s="1191"/>
      <c r="AA803" s="1191"/>
      <c r="AB803" s="1210"/>
      <c r="AC803" s="1210"/>
      <c r="AD803" s="1210"/>
      <c r="AE803" s="1210"/>
      <c r="AF803" s="1210"/>
      <c r="AG803" s="1210"/>
      <c r="AH803" s="1210"/>
      <c r="AI803" s="1210"/>
      <c r="AJ803" s="1210"/>
    </row>
    <row r="804" spans="1:36" s="1179" customFormat="1">
      <c r="A804" s="1188"/>
      <c r="B804" s="1188"/>
      <c r="C804" s="1188"/>
      <c r="D804" s="1210"/>
      <c r="E804" s="1210"/>
      <c r="F804" s="1210"/>
      <c r="G804" s="1191"/>
      <c r="H804" s="1191"/>
      <c r="I804" s="1199"/>
      <c r="J804" s="1191"/>
      <c r="K804" s="1191"/>
      <c r="L804" s="1191"/>
      <c r="M804" s="1191"/>
      <c r="N804" s="1191"/>
      <c r="O804" s="1191"/>
      <c r="P804" s="1199"/>
      <c r="Q804" s="1191"/>
      <c r="R804" s="1191"/>
      <c r="S804" s="1191"/>
      <c r="T804" s="1191"/>
      <c r="U804" s="1191"/>
      <c r="V804" s="1191"/>
      <c r="W804" s="1191"/>
      <c r="X804" s="1191"/>
      <c r="Y804" s="1191"/>
      <c r="Z804" s="1191"/>
      <c r="AA804" s="1191"/>
      <c r="AB804" s="1210"/>
      <c r="AC804" s="1210"/>
      <c r="AD804" s="1210"/>
      <c r="AE804" s="1210"/>
      <c r="AF804" s="1210"/>
      <c r="AG804" s="1210"/>
      <c r="AH804" s="1210"/>
      <c r="AI804" s="1210"/>
      <c r="AJ804" s="1210"/>
    </row>
    <row r="805" spans="1:36" s="1179" customFormat="1">
      <c r="A805" s="1188"/>
      <c r="B805" s="1188"/>
      <c r="C805" s="1188"/>
      <c r="D805" s="1210"/>
      <c r="E805" s="1210"/>
      <c r="F805" s="1210"/>
      <c r="G805" s="1191"/>
      <c r="H805" s="1191"/>
      <c r="I805" s="1199"/>
      <c r="J805" s="1191"/>
      <c r="K805" s="1191"/>
      <c r="L805" s="1191"/>
      <c r="M805" s="1191"/>
      <c r="N805" s="1191"/>
      <c r="O805" s="1191"/>
      <c r="P805" s="1199"/>
      <c r="Q805" s="1191"/>
      <c r="R805" s="1191"/>
      <c r="S805" s="1191"/>
      <c r="T805" s="1191"/>
      <c r="U805" s="1191"/>
      <c r="V805" s="1191"/>
      <c r="W805" s="1191"/>
      <c r="X805" s="1191"/>
      <c r="Y805" s="1191"/>
      <c r="Z805" s="1191"/>
      <c r="AA805" s="1191"/>
      <c r="AB805" s="1210"/>
      <c r="AC805" s="1210"/>
      <c r="AD805" s="1210"/>
      <c r="AE805" s="1210"/>
      <c r="AF805" s="1210"/>
      <c r="AG805" s="1210"/>
      <c r="AH805" s="1210"/>
      <c r="AI805" s="1210"/>
      <c r="AJ805" s="1210"/>
    </row>
    <row r="806" spans="1:36" s="1179" customFormat="1">
      <c r="A806" s="1188"/>
      <c r="B806" s="1188"/>
      <c r="C806" s="1188"/>
      <c r="D806" s="1210"/>
      <c r="E806" s="1210"/>
      <c r="F806" s="1210"/>
      <c r="G806" s="1191"/>
      <c r="H806" s="1191"/>
      <c r="I806" s="1199"/>
      <c r="J806" s="1191"/>
      <c r="K806" s="1191"/>
      <c r="L806" s="1191"/>
      <c r="M806" s="1191"/>
      <c r="N806" s="1191"/>
      <c r="O806" s="1191"/>
      <c r="P806" s="1199"/>
      <c r="Q806" s="1191"/>
      <c r="R806" s="1191"/>
      <c r="S806" s="1191"/>
      <c r="T806" s="1191"/>
      <c r="U806" s="1191"/>
      <c r="V806" s="1191"/>
      <c r="W806" s="1191"/>
      <c r="X806" s="1191"/>
      <c r="Y806" s="1191"/>
      <c r="Z806" s="1191"/>
      <c r="AA806" s="1191"/>
      <c r="AB806" s="1210"/>
      <c r="AC806" s="1210"/>
      <c r="AD806" s="1210"/>
      <c r="AE806" s="1210"/>
      <c r="AF806" s="1210"/>
      <c r="AG806" s="1210"/>
      <c r="AH806" s="1210"/>
      <c r="AI806" s="1210"/>
      <c r="AJ806" s="1210"/>
    </row>
    <row r="807" spans="1:36" s="1179" customFormat="1">
      <c r="A807" s="1188"/>
      <c r="B807" s="1188"/>
      <c r="C807" s="1188"/>
      <c r="D807" s="1210"/>
      <c r="E807" s="1210"/>
      <c r="F807" s="1210"/>
      <c r="G807" s="1191"/>
      <c r="H807" s="1191"/>
      <c r="I807" s="1199"/>
      <c r="J807" s="1191"/>
      <c r="K807" s="1191"/>
      <c r="L807" s="1191"/>
      <c r="M807" s="1191"/>
      <c r="N807" s="1191"/>
      <c r="O807" s="1191"/>
      <c r="P807" s="1199"/>
      <c r="Q807" s="1191"/>
      <c r="R807" s="1191"/>
      <c r="S807" s="1191"/>
      <c r="T807" s="1191"/>
      <c r="U807" s="1191"/>
      <c r="V807" s="1191"/>
      <c r="W807" s="1191"/>
      <c r="X807" s="1191"/>
      <c r="Y807" s="1191"/>
      <c r="Z807" s="1191"/>
      <c r="AA807" s="1191"/>
      <c r="AB807" s="1210"/>
      <c r="AC807" s="1210"/>
      <c r="AD807" s="1210"/>
      <c r="AE807" s="1210"/>
      <c r="AF807" s="1210"/>
      <c r="AG807" s="1210"/>
      <c r="AH807" s="1210"/>
      <c r="AI807" s="1210"/>
      <c r="AJ807" s="1210"/>
    </row>
    <row r="808" spans="1:36" s="1179" customFormat="1">
      <c r="A808" s="1188"/>
      <c r="B808" s="1188"/>
      <c r="C808" s="1188"/>
      <c r="D808" s="1210"/>
      <c r="E808" s="1210"/>
      <c r="F808" s="1210"/>
      <c r="G808" s="1191"/>
      <c r="H808" s="1191"/>
      <c r="I808" s="1199"/>
      <c r="J808" s="1191"/>
      <c r="K808" s="1191"/>
      <c r="L808" s="1191"/>
      <c r="M808" s="1191"/>
      <c r="N808" s="1191"/>
      <c r="O808" s="1191"/>
      <c r="P808" s="1199"/>
      <c r="Q808" s="1191"/>
      <c r="R808" s="1191"/>
      <c r="S808" s="1191"/>
      <c r="T808" s="1191"/>
      <c r="U808" s="1191"/>
      <c r="V808" s="1191"/>
      <c r="W808" s="1191"/>
      <c r="X808" s="1191"/>
      <c r="Y808" s="1191"/>
      <c r="Z808" s="1191"/>
      <c r="AA808" s="1191"/>
      <c r="AB808" s="1210"/>
      <c r="AC808" s="1210"/>
      <c r="AD808" s="1210"/>
      <c r="AE808" s="1210"/>
      <c r="AF808" s="1210"/>
      <c r="AG808" s="1210"/>
      <c r="AH808" s="1210"/>
      <c r="AI808" s="1210"/>
      <c r="AJ808" s="1210"/>
    </row>
    <row r="809" spans="1:36" s="1179" customFormat="1">
      <c r="A809" s="1188"/>
      <c r="B809" s="1188"/>
      <c r="C809" s="1188"/>
      <c r="D809" s="1210"/>
      <c r="E809" s="1210"/>
      <c r="F809" s="1210"/>
      <c r="G809" s="1191"/>
      <c r="H809" s="1191"/>
      <c r="I809" s="1199"/>
      <c r="J809" s="1191"/>
      <c r="K809" s="1191"/>
      <c r="L809" s="1191"/>
      <c r="M809" s="1191"/>
      <c r="N809" s="1191"/>
      <c r="O809" s="1191"/>
      <c r="P809" s="1199"/>
      <c r="Q809" s="1191"/>
      <c r="R809" s="1191"/>
      <c r="S809" s="1191"/>
      <c r="T809" s="1191"/>
      <c r="U809" s="1191"/>
      <c r="V809" s="1191"/>
      <c r="W809" s="1191"/>
      <c r="X809" s="1191"/>
      <c r="Y809" s="1191"/>
      <c r="Z809" s="1191"/>
      <c r="AA809" s="1191"/>
      <c r="AB809" s="1210"/>
      <c r="AC809" s="1210"/>
      <c r="AD809" s="1210"/>
      <c r="AE809" s="1210"/>
      <c r="AF809" s="1210"/>
      <c r="AG809" s="1210"/>
      <c r="AH809" s="1210"/>
      <c r="AI809" s="1210"/>
      <c r="AJ809" s="1210"/>
    </row>
    <row r="810" spans="1:36" s="1179" customFormat="1">
      <c r="A810" s="1188"/>
      <c r="B810" s="1188"/>
      <c r="C810" s="1188"/>
      <c r="D810" s="1210"/>
      <c r="E810" s="1210"/>
      <c r="F810" s="1210"/>
      <c r="G810" s="1191"/>
      <c r="H810" s="1191"/>
      <c r="I810" s="1199"/>
      <c r="J810" s="1191"/>
      <c r="K810" s="1191"/>
      <c r="L810" s="1191"/>
      <c r="M810" s="1191"/>
      <c r="N810" s="1191"/>
      <c r="O810" s="1191"/>
      <c r="P810" s="1199"/>
      <c r="Q810" s="1191"/>
      <c r="R810" s="1191"/>
      <c r="S810" s="1191"/>
      <c r="T810" s="1191"/>
      <c r="U810" s="1191"/>
      <c r="V810" s="1191"/>
      <c r="W810" s="1191"/>
      <c r="X810" s="1191"/>
      <c r="Y810" s="1191"/>
      <c r="Z810" s="1191"/>
      <c r="AA810" s="1191"/>
      <c r="AB810" s="1210"/>
      <c r="AC810" s="1210"/>
      <c r="AD810" s="1210"/>
      <c r="AE810" s="1210"/>
      <c r="AF810" s="1210"/>
      <c r="AG810" s="1210"/>
      <c r="AH810" s="1210"/>
      <c r="AI810" s="1210"/>
      <c r="AJ810" s="1210"/>
    </row>
    <row r="811" spans="1:36" s="1179" customFormat="1">
      <c r="A811" s="1188"/>
      <c r="B811" s="1188"/>
      <c r="C811" s="1188"/>
      <c r="D811" s="1210"/>
      <c r="E811" s="1210"/>
      <c r="F811" s="1210"/>
      <c r="G811" s="1191"/>
      <c r="H811" s="1191"/>
      <c r="I811" s="1199"/>
      <c r="J811" s="1191"/>
      <c r="K811" s="1191"/>
      <c r="L811" s="1191"/>
      <c r="M811" s="1191"/>
      <c r="N811" s="1191"/>
      <c r="O811" s="1191"/>
      <c r="P811" s="1199"/>
      <c r="Q811" s="1191"/>
      <c r="R811" s="1191"/>
      <c r="S811" s="1191"/>
      <c r="T811" s="1191"/>
      <c r="U811" s="1191"/>
      <c r="V811" s="1191"/>
      <c r="W811" s="1191"/>
      <c r="X811" s="1191"/>
      <c r="Y811" s="1191"/>
      <c r="Z811" s="1191"/>
      <c r="AA811" s="1191"/>
      <c r="AB811" s="1210"/>
      <c r="AC811" s="1210"/>
      <c r="AD811" s="1210"/>
      <c r="AE811" s="1210"/>
      <c r="AF811" s="1210"/>
      <c r="AG811" s="1210"/>
      <c r="AH811" s="1210"/>
      <c r="AI811" s="1210"/>
      <c r="AJ811" s="1210"/>
    </row>
    <row r="812" spans="1:36" s="1179" customFormat="1">
      <c r="A812" s="1188"/>
      <c r="B812" s="1188"/>
      <c r="C812" s="1188"/>
      <c r="D812" s="1210"/>
      <c r="E812" s="1210"/>
      <c r="F812" s="1210"/>
      <c r="G812" s="1191"/>
      <c r="H812" s="1191"/>
      <c r="I812" s="1199"/>
      <c r="J812" s="1191"/>
      <c r="K812" s="1191"/>
      <c r="L812" s="1191"/>
      <c r="M812" s="1191"/>
      <c r="N812" s="1191"/>
      <c r="O812" s="1191"/>
      <c r="P812" s="1199"/>
      <c r="Q812" s="1191"/>
      <c r="R812" s="1191"/>
      <c r="S812" s="1191"/>
      <c r="T812" s="1191"/>
      <c r="U812" s="1191"/>
      <c r="V812" s="1191"/>
      <c r="W812" s="1191"/>
      <c r="X812" s="1191"/>
      <c r="Y812" s="1191"/>
      <c r="Z812" s="1191"/>
      <c r="AA812" s="1191"/>
      <c r="AB812" s="1210"/>
      <c r="AC812" s="1210"/>
      <c r="AD812" s="1210"/>
      <c r="AE812" s="1210"/>
      <c r="AF812" s="1210"/>
      <c r="AG812" s="1210"/>
      <c r="AH812" s="1210"/>
      <c r="AI812" s="1210"/>
      <c r="AJ812" s="1210"/>
    </row>
    <row r="813" spans="1:36" s="1179" customFormat="1">
      <c r="A813" s="1188"/>
      <c r="B813" s="1188"/>
      <c r="C813" s="1188"/>
      <c r="D813" s="1210"/>
      <c r="E813" s="1210"/>
      <c r="F813" s="1210"/>
      <c r="G813" s="1191"/>
      <c r="H813" s="1191"/>
      <c r="I813" s="1199"/>
      <c r="J813" s="1191"/>
      <c r="K813" s="1191"/>
      <c r="L813" s="1191"/>
      <c r="M813" s="1191"/>
      <c r="N813" s="1191"/>
      <c r="O813" s="1191"/>
      <c r="P813" s="1199"/>
      <c r="Q813" s="1191"/>
      <c r="R813" s="1191"/>
      <c r="S813" s="1191"/>
      <c r="T813" s="1191"/>
      <c r="U813" s="1191"/>
      <c r="V813" s="1191"/>
      <c r="W813" s="1191"/>
      <c r="X813" s="1191"/>
      <c r="Y813" s="1191"/>
      <c r="Z813" s="1191"/>
      <c r="AA813" s="1191"/>
      <c r="AB813" s="1210"/>
      <c r="AC813" s="1210"/>
      <c r="AD813" s="1210"/>
      <c r="AE813" s="1210"/>
      <c r="AF813" s="1210"/>
      <c r="AG813" s="1210"/>
      <c r="AH813" s="1210"/>
      <c r="AI813" s="1210"/>
      <c r="AJ813" s="1210"/>
    </row>
    <row r="814" spans="1:36" s="1179" customFormat="1">
      <c r="A814" s="1188"/>
      <c r="B814" s="1188"/>
      <c r="C814" s="1188"/>
      <c r="D814" s="1210"/>
      <c r="E814" s="1210"/>
      <c r="F814" s="1210"/>
      <c r="G814" s="1191"/>
      <c r="H814" s="1191"/>
      <c r="I814" s="1199"/>
      <c r="J814" s="1191"/>
      <c r="K814" s="1191"/>
      <c r="L814" s="1191"/>
      <c r="M814" s="1191"/>
      <c r="N814" s="1191"/>
      <c r="O814" s="1191"/>
      <c r="P814" s="1199"/>
      <c r="Q814" s="1191"/>
      <c r="R814" s="1191"/>
      <c r="S814" s="1191"/>
      <c r="T814" s="1191"/>
      <c r="U814" s="1191"/>
      <c r="V814" s="1191"/>
      <c r="W814" s="1191"/>
      <c r="X814" s="1191"/>
      <c r="Y814" s="1191"/>
      <c r="Z814" s="1191"/>
      <c r="AA814" s="1191"/>
      <c r="AB814" s="1210"/>
      <c r="AC814" s="1210"/>
      <c r="AD814" s="1210"/>
      <c r="AE814" s="1210"/>
      <c r="AF814" s="1210"/>
      <c r="AG814" s="1210"/>
      <c r="AH814" s="1210"/>
      <c r="AI814" s="1210"/>
      <c r="AJ814" s="1210"/>
    </row>
    <row r="815" spans="1:36" s="1179" customFormat="1">
      <c r="A815" s="1188"/>
      <c r="B815" s="1188"/>
      <c r="C815" s="1188"/>
      <c r="D815" s="1210"/>
      <c r="E815" s="1210"/>
      <c r="F815" s="1210"/>
      <c r="G815" s="1191"/>
      <c r="H815" s="1191"/>
      <c r="I815" s="1199"/>
      <c r="J815" s="1191"/>
      <c r="K815" s="1191"/>
      <c r="L815" s="1191"/>
      <c r="M815" s="1191"/>
      <c r="N815" s="1191"/>
      <c r="O815" s="1191"/>
      <c r="P815" s="1199"/>
      <c r="Q815" s="1191"/>
      <c r="R815" s="1191"/>
      <c r="S815" s="1191"/>
      <c r="T815" s="1191"/>
      <c r="U815" s="1191"/>
      <c r="V815" s="1191"/>
      <c r="W815" s="1191"/>
      <c r="X815" s="1191"/>
      <c r="Y815" s="1191"/>
      <c r="Z815" s="1191"/>
      <c r="AA815" s="1191"/>
      <c r="AB815" s="1210"/>
      <c r="AC815" s="1210"/>
      <c r="AD815" s="1210"/>
      <c r="AE815" s="1210"/>
      <c r="AF815" s="1210"/>
      <c r="AG815" s="1210"/>
      <c r="AH815" s="1210"/>
      <c r="AI815" s="1210"/>
      <c r="AJ815" s="1210"/>
    </row>
    <row r="816" spans="1:36" s="1179" customFormat="1">
      <c r="A816" s="1188"/>
      <c r="B816" s="1188"/>
      <c r="C816" s="1188"/>
      <c r="D816" s="1210"/>
      <c r="E816" s="1210"/>
      <c r="F816" s="1210"/>
      <c r="G816" s="1191"/>
      <c r="H816" s="1191"/>
      <c r="I816" s="1199"/>
      <c r="J816" s="1191"/>
      <c r="K816" s="1191"/>
      <c r="L816" s="1191"/>
      <c r="M816" s="1191"/>
      <c r="N816" s="1191"/>
      <c r="O816" s="1191"/>
      <c r="P816" s="1199"/>
      <c r="Q816" s="1191"/>
      <c r="R816" s="1191"/>
      <c r="S816" s="1191"/>
      <c r="T816" s="1191"/>
      <c r="U816" s="1191"/>
      <c r="V816" s="1191"/>
      <c r="W816" s="1191"/>
      <c r="X816" s="1191"/>
      <c r="Y816" s="1191"/>
      <c r="Z816" s="1191"/>
      <c r="AA816" s="1191"/>
      <c r="AB816" s="1210"/>
      <c r="AC816" s="1210"/>
      <c r="AD816" s="1210"/>
      <c r="AE816" s="1210"/>
      <c r="AF816" s="1210"/>
      <c r="AG816" s="1210"/>
      <c r="AH816" s="1210"/>
      <c r="AI816" s="1210"/>
      <c r="AJ816" s="1210"/>
    </row>
    <row r="817" spans="1:36" s="1179" customFormat="1">
      <c r="A817" s="1188"/>
      <c r="B817" s="1188"/>
      <c r="C817" s="1188"/>
      <c r="D817" s="1210"/>
      <c r="E817" s="1210"/>
      <c r="F817" s="1210"/>
      <c r="G817" s="1191"/>
      <c r="H817" s="1191"/>
      <c r="I817" s="1199"/>
      <c r="J817" s="1191"/>
      <c r="K817" s="1191"/>
      <c r="L817" s="1191"/>
      <c r="M817" s="1191"/>
      <c r="N817" s="1191"/>
      <c r="O817" s="1191"/>
      <c r="P817" s="1199"/>
      <c r="Q817" s="1191"/>
      <c r="R817" s="1191"/>
      <c r="S817" s="1191"/>
      <c r="T817" s="1191"/>
      <c r="U817" s="1191"/>
      <c r="V817" s="1191"/>
      <c r="W817" s="1191"/>
      <c r="X817" s="1191"/>
      <c r="Y817" s="1191"/>
      <c r="Z817" s="1191"/>
      <c r="AA817" s="1191"/>
      <c r="AB817" s="1210"/>
      <c r="AC817" s="1210"/>
      <c r="AD817" s="1210"/>
      <c r="AE817" s="1210"/>
      <c r="AF817" s="1210"/>
      <c r="AG817" s="1210"/>
      <c r="AH817" s="1210"/>
      <c r="AI817" s="1210"/>
      <c r="AJ817" s="1210"/>
    </row>
    <row r="818" spans="1:36" s="1179" customFormat="1">
      <c r="A818" s="1188"/>
      <c r="B818" s="1188"/>
      <c r="C818" s="1188"/>
      <c r="D818" s="1210"/>
      <c r="E818" s="1210"/>
      <c r="F818" s="1210"/>
      <c r="G818" s="1191"/>
      <c r="H818" s="1191"/>
      <c r="I818" s="1199"/>
      <c r="J818" s="1191"/>
      <c r="K818" s="1191"/>
      <c r="L818" s="1191"/>
      <c r="M818" s="1191"/>
      <c r="N818" s="1191"/>
      <c r="O818" s="1191"/>
      <c r="P818" s="1199"/>
      <c r="Q818" s="1191"/>
      <c r="R818" s="1191"/>
      <c r="S818" s="1191"/>
      <c r="T818" s="1191"/>
      <c r="U818" s="1191"/>
      <c r="V818" s="1191"/>
      <c r="W818" s="1191"/>
      <c r="X818" s="1191"/>
      <c r="Y818" s="1191"/>
      <c r="Z818" s="1191"/>
      <c r="AA818" s="1191"/>
      <c r="AB818" s="1210"/>
      <c r="AC818" s="1210"/>
      <c r="AD818" s="1210"/>
      <c r="AE818" s="1210"/>
      <c r="AF818" s="1210"/>
      <c r="AG818" s="1210"/>
      <c r="AH818" s="1210"/>
      <c r="AI818" s="1210"/>
      <c r="AJ818" s="1210"/>
    </row>
    <row r="819" spans="1:36" s="1179" customFormat="1">
      <c r="A819" s="1188"/>
      <c r="B819" s="1188"/>
      <c r="C819" s="1188"/>
      <c r="D819" s="1210"/>
      <c r="E819" s="1210"/>
      <c r="F819" s="1210"/>
      <c r="G819" s="1191"/>
      <c r="H819" s="1191"/>
      <c r="I819" s="1199"/>
      <c r="J819" s="1191"/>
      <c r="K819" s="1191"/>
      <c r="L819" s="1191"/>
      <c r="M819" s="1191"/>
      <c r="N819" s="1191"/>
      <c r="O819" s="1191"/>
      <c r="P819" s="1199"/>
      <c r="Q819" s="1191"/>
      <c r="R819" s="1191"/>
      <c r="S819" s="1191"/>
      <c r="T819" s="1191"/>
      <c r="U819" s="1191"/>
      <c r="V819" s="1191"/>
      <c r="W819" s="1191"/>
      <c r="X819" s="1191"/>
      <c r="Y819" s="1191"/>
      <c r="Z819" s="1191"/>
      <c r="AA819" s="1191"/>
      <c r="AB819" s="1210"/>
      <c r="AC819" s="1210"/>
      <c r="AD819" s="1210"/>
      <c r="AE819" s="1210"/>
      <c r="AF819" s="1210"/>
      <c r="AG819" s="1210"/>
      <c r="AH819" s="1210"/>
      <c r="AI819" s="1210"/>
      <c r="AJ819" s="1210"/>
    </row>
    <row r="820" spans="1:36" s="1179" customFormat="1">
      <c r="A820" s="1188"/>
      <c r="B820" s="1188"/>
      <c r="C820" s="1188"/>
      <c r="D820" s="1210"/>
      <c r="E820" s="1210"/>
      <c r="F820" s="1210"/>
      <c r="G820" s="1191"/>
      <c r="H820" s="1191"/>
      <c r="I820" s="1199"/>
      <c r="J820" s="1191"/>
      <c r="K820" s="1191"/>
      <c r="L820" s="1191"/>
      <c r="M820" s="1191"/>
      <c r="N820" s="1191"/>
      <c r="O820" s="1191"/>
      <c r="P820" s="1199"/>
      <c r="Q820" s="1191"/>
      <c r="R820" s="1191"/>
      <c r="S820" s="1191"/>
      <c r="T820" s="1191"/>
      <c r="U820" s="1191"/>
      <c r="V820" s="1191"/>
      <c r="W820" s="1191"/>
      <c r="X820" s="1191"/>
      <c r="Y820" s="1191"/>
      <c r="Z820" s="1191"/>
      <c r="AA820" s="1191"/>
      <c r="AB820" s="1210"/>
      <c r="AC820" s="1210"/>
      <c r="AD820" s="1210"/>
      <c r="AE820" s="1210"/>
      <c r="AF820" s="1210"/>
      <c r="AG820" s="1210"/>
      <c r="AH820" s="1210"/>
      <c r="AI820" s="1210"/>
      <c r="AJ820" s="1210"/>
    </row>
    <row r="821" spans="1:36" s="1179" customFormat="1">
      <c r="A821" s="1188"/>
      <c r="B821" s="1188"/>
      <c r="C821" s="1188"/>
      <c r="D821" s="1210"/>
      <c r="E821" s="1210"/>
      <c r="F821" s="1210"/>
      <c r="G821" s="1191"/>
      <c r="H821" s="1191"/>
      <c r="I821" s="1199"/>
      <c r="J821" s="1191"/>
      <c r="K821" s="1191"/>
      <c r="L821" s="1191"/>
      <c r="M821" s="1191"/>
      <c r="N821" s="1191"/>
      <c r="O821" s="1191"/>
      <c r="P821" s="1199"/>
      <c r="Q821" s="1191"/>
      <c r="R821" s="1191"/>
      <c r="S821" s="1191"/>
      <c r="T821" s="1191"/>
      <c r="U821" s="1191"/>
      <c r="V821" s="1191"/>
      <c r="W821" s="1191"/>
      <c r="X821" s="1191"/>
      <c r="Y821" s="1191"/>
      <c r="Z821" s="1191"/>
      <c r="AA821" s="1191"/>
      <c r="AB821" s="1210"/>
      <c r="AC821" s="1210"/>
      <c r="AD821" s="1210"/>
      <c r="AE821" s="1210"/>
      <c r="AF821" s="1210"/>
      <c r="AG821" s="1210"/>
      <c r="AH821" s="1210"/>
      <c r="AI821" s="1210"/>
      <c r="AJ821" s="1210"/>
    </row>
    <row r="822" spans="1:36" s="1179" customFormat="1">
      <c r="A822" s="1188"/>
      <c r="B822" s="1188"/>
      <c r="C822" s="1188"/>
      <c r="D822" s="1210"/>
      <c r="E822" s="1210"/>
      <c r="F822" s="1210"/>
      <c r="G822" s="1191"/>
      <c r="H822" s="1191"/>
      <c r="I822" s="1199"/>
      <c r="J822" s="1191"/>
      <c r="K822" s="1191"/>
      <c r="L822" s="1191"/>
      <c r="M822" s="1191"/>
      <c r="N822" s="1191"/>
      <c r="O822" s="1191"/>
      <c r="P822" s="1199"/>
      <c r="Q822" s="1191"/>
      <c r="R822" s="1191"/>
      <c r="S822" s="1191"/>
      <c r="T822" s="1191"/>
      <c r="U822" s="1191"/>
      <c r="V822" s="1191"/>
      <c r="W822" s="1191"/>
      <c r="X822" s="1191"/>
      <c r="Y822" s="1191"/>
      <c r="Z822" s="1191"/>
      <c r="AA822" s="1191"/>
      <c r="AB822" s="1210"/>
      <c r="AC822" s="1210"/>
      <c r="AD822" s="1210"/>
      <c r="AE822" s="1210"/>
      <c r="AF822" s="1210"/>
      <c r="AG822" s="1210"/>
      <c r="AH822" s="1210"/>
      <c r="AI822" s="1210"/>
      <c r="AJ822" s="1210"/>
    </row>
    <row r="823" spans="1:36" s="1179" customFormat="1">
      <c r="A823" s="1188"/>
      <c r="B823" s="1188"/>
      <c r="C823" s="1188"/>
      <c r="D823" s="1210"/>
      <c r="E823" s="1210"/>
      <c r="F823" s="1210"/>
      <c r="G823" s="1191"/>
      <c r="H823" s="1191"/>
      <c r="I823" s="1199"/>
      <c r="J823" s="1191"/>
      <c r="K823" s="1191"/>
      <c r="L823" s="1191"/>
      <c r="M823" s="1191"/>
      <c r="N823" s="1191"/>
      <c r="O823" s="1191"/>
      <c r="P823" s="1199"/>
      <c r="Q823" s="1191"/>
      <c r="R823" s="1191"/>
      <c r="S823" s="1191"/>
      <c r="T823" s="1191"/>
      <c r="U823" s="1191"/>
      <c r="V823" s="1191"/>
      <c r="W823" s="1191"/>
      <c r="X823" s="1191"/>
      <c r="Y823" s="1191"/>
      <c r="Z823" s="1191"/>
      <c r="AA823" s="1191"/>
      <c r="AB823" s="1210"/>
      <c r="AC823" s="1210"/>
      <c r="AD823" s="1210"/>
      <c r="AE823" s="1210"/>
      <c r="AF823" s="1210"/>
      <c r="AG823" s="1210"/>
      <c r="AH823" s="1210"/>
      <c r="AI823" s="1210"/>
      <c r="AJ823" s="1210"/>
    </row>
    <row r="824" spans="1:36" s="1179" customFormat="1">
      <c r="A824" s="1188"/>
      <c r="B824" s="1188"/>
      <c r="C824" s="1188"/>
      <c r="D824" s="1210"/>
      <c r="E824" s="1210"/>
      <c r="F824" s="1210"/>
      <c r="G824" s="1191"/>
      <c r="H824" s="1191"/>
      <c r="I824" s="1199"/>
      <c r="J824" s="1191"/>
      <c r="K824" s="1191"/>
      <c r="L824" s="1191"/>
      <c r="M824" s="1191"/>
      <c r="N824" s="1191"/>
      <c r="O824" s="1191"/>
      <c r="P824" s="1199"/>
      <c r="Q824" s="1191"/>
      <c r="R824" s="1191"/>
      <c r="S824" s="1191"/>
      <c r="T824" s="1191"/>
      <c r="U824" s="1191"/>
      <c r="V824" s="1191"/>
      <c r="W824" s="1191"/>
      <c r="X824" s="1191"/>
      <c r="Y824" s="1191"/>
      <c r="Z824" s="1191"/>
      <c r="AA824" s="1191"/>
      <c r="AB824" s="1210"/>
      <c r="AC824" s="1210"/>
      <c r="AD824" s="1210"/>
      <c r="AE824" s="1210"/>
      <c r="AF824" s="1210"/>
      <c r="AG824" s="1210"/>
      <c r="AH824" s="1210"/>
      <c r="AI824" s="1210"/>
      <c r="AJ824" s="1210"/>
    </row>
    <row r="825" spans="1:36" s="1179" customFormat="1">
      <c r="A825" s="1188"/>
      <c r="B825" s="1188"/>
      <c r="C825" s="1188"/>
      <c r="D825" s="1210"/>
      <c r="E825" s="1210"/>
      <c r="F825" s="1210"/>
      <c r="G825" s="1191"/>
      <c r="H825" s="1191"/>
      <c r="I825" s="1199"/>
      <c r="J825" s="1191"/>
      <c r="K825" s="1191"/>
      <c r="L825" s="1191"/>
      <c r="M825" s="1191"/>
      <c r="N825" s="1191"/>
      <c r="O825" s="1191"/>
      <c r="P825" s="1199"/>
      <c r="Q825" s="1191"/>
      <c r="R825" s="1191"/>
      <c r="S825" s="1191"/>
      <c r="T825" s="1191"/>
      <c r="U825" s="1191"/>
      <c r="V825" s="1191"/>
      <c r="W825" s="1191"/>
      <c r="X825" s="1191"/>
      <c r="Y825" s="1191"/>
      <c r="Z825" s="1191"/>
      <c r="AA825" s="1191"/>
      <c r="AB825" s="1210"/>
      <c r="AC825" s="1210"/>
      <c r="AD825" s="1210"/>
      <c r="AE825" s="1210"/>
      <c r="AF825" s="1210"/>
      <c r="AG825" s="1210"/>
      <c r="AH825" s="1210"/>
      <c r="AI825" s="1210"/>
      <c r="AJ825" s="1210"/>
    </row>
    <row r="826" spans="1:36" s="1179" customFormat="1">
      <c r="A826" s="1188"/>
      <c r="B826" s="1188"/>
      <c r="C826" s="1188"/>
      <c r="D826" s="1210"/>
      <c r="E826" s="1210"/>
      <c r="F826" s="1210"/>
      <c r="G826" s="1191"/>
      <c r="H826" s="1191"/>
      <c r="I826" s="1199"/>
      <c r="J826" s="1191"/>
      <c r="K826" s="1191"/>
      <c r="L826" s="1191"/>
      <c r="M826" s="1191"/>
      <c r="N826" s="1191"/>
      <c r="O826" s="1191"/>
      <c r="P826" s="1199"/>
      <c r="Q826" s="1191"/>
      <c r="R826" s="1191"/>
      <c r="S826" s="1191"/>
      <c r="T826" s="1191"/>
      <c r="U826" s="1191"/>
      <c r="V826" s="1191"/>
      <c r="W826" s="1191"/>
      <c r="X826" s="1191"/>
      <c r="Y826" s="1191"/>
      <c r="Z826" s="1191"/>
      <c r="AA826" s="1191"/>
      <c r="AB826" s="1210"/>
      <c r="AC826" s="1210"/>
      <c r="AD826" s="1210"/>
      <c r="AE826" s="1210"/>
      <c r="AF826" s="1210"/>
      <c r="AG826" s="1210"/>
      <c r="AH826" s="1210"/>
      <c r="AI826" s="1210"/>
      <c r="AJ826" s="1210"/>
    </row>
    <row r="827" spans="1:36" s="1179" customFormat="1">
      <c r="A827" s="1188"/>
      <c r="B827" s="1188"/>
      <c r="C827" s="1188"/>
      <c r="D827" s="1210"/>
      <c r="E827" s="1210"/>
      <c r="F827" s="1210"/>
      <c r="G827" s="1191"/>
      <c r="H827" s="1191"/>
      <c r="I827" s="1199"/>
      <c r="J827" s="1191"/>
      <c r="K827" s="1191"/>
      <c r="L827" s="1191"/>
      <c r="M827" s="1191"/>
      <c r="N827" s="1191"/>
      <c r="O827" s="1191"/>
      <c r="P827" s="1199"/>
      <c r="Q827" s="1191"/>
      <c r="R827" s="1191"/>
      <c r="S827" s="1191"/>
      <c r="T827" s="1191"/>
      <c r="U827" s="1191"/>
      <c r="V827" s="1191"/>
      <c r="W827" s="1191"/>
      <c r="X827" s="1191"/>
      <c r="Y827" s="1191"/>
      <c r="Z827" s="1191"/>
      <c r="AA827" s="1191"/>
      <c r="AB827" s="1210"/>
      <c r="AC827" s="1210"/>
      <c r="AD827" s="1210"/>
      <c r="AE827" s="1210"/>
      <c r="AF827" s="1210"/>
      <c r="AG827" s="1210"/>
      <c r="AH827" s="1210"/>
      <c r="AI827" s="1210"/>
      <c r="AJ827" s="1210"/>
    </row>
  </sheetData>
  <mergeCells count="48">
    <mergeCell ref="A1:K1"/>
    <mergeCell ref="R1:AJ1"/>
    <mergeCell ref="A2:K2"/>
    <mergeCell ref="R2:AJ2"/>
    <mergeCell ref="A3:K3"/>
    <mergeCell ref="R3:AJ3"/>
    <mergeCell ref="A4:AH4"/>
    <mergeCell ref="A5:AI5"/>
    <mergeCell ref="D6:AH6"/>
    <mergeCell ref="A9:C9"/>
    <mergeCell ref="A448:C448"/>
    <mergeCell ref="P7:P8"/>
    <mergeCell ref="Q7:Q8"/>
    <mergeCell ref="R7:R8"/>
    <mergeCell ref="S7:S8"/>
    <mergeCell ref="T7:T8"/>
    <mergeCell ref="U7:U8"/>
    <mergeCell ref="V7:V8"/>
    <mergeCell ref="W7:W8"/>
    <mergeCell ref="X7:X8"/>
    <mergeCell ref="Y7:Y8"/>
    <mergeCell ref="Z7:Z8"/>
    <mergeCell ref="X449:AJ449"/>
    <mergeCell ref="A6:A8"/>
    <mergeCell ref="B6:B8"/>
    <mergeCell ref="C6:C7"/>
    <mergeCell ref="D7:D8"/>
    <mergeCell ref="E7:E8"/>
    <mergeCell ref="F7:F8"/>
    <mergeCell ref="G7:G8"/>
    <mergeCell ref="H7:H8"/>
    <mergeCell ref="I7:I8"/>
    <mergeCell ref="J7:J8"/>
    <mergeCell ref="K7:K8"/>
    <mergeCell ref="L7:L8"/>
    <mergeCell ref="M7:M8"/>
    <mergeCell ref="N7:N8"/>
    <mergeCell ref="O7:O8"/>
    <mergeCell ref="AA7:AA8"/>
    <mergeCell ref="AB7:AB8"/>
    <mergeCell ref="AC7:AC8"/>
    <mergeCell ref="AD7:AD8"/>
    <mergeCell ref="AE7:AE8"/>
    <mergeCell ref="AF7:AF8"/>
    <mergeCell ref="AG7:AG8"/>
    <mergeCell ref="AH7:AH8"/>
    <mergeCell ref="AI6:AI8"/>
    <mergeCell ref="AJ6:AJ8"/>
  </mergeCells>
  <pageMargins left="0" right="0" top="0" bottom="0.39370078740157499" header="0" footer="0"/>
  <pageSetup paperSize="9" scale="90" orientation="landscape"/>
  <headerFooter>
    <oddFooter>&amp;RPage &amp;P/10</oddFooter>
  </headerFooter>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39988402966399123"/>
  </sheetPr>
  <dimension ref="A1:AO399"/>
  <sheetViews>
    <sheetView zoomScale="130" zoomScaleNormal="130" zoomScaleSheetLayoutView="140" workbookViewId="0">
      <pane ySplit="7" topLeftCell="A11" activePane="bottomLeft" state="frozen"/>
      <selection pane="bottomLeft" activeCell="AK19" sqref="AK19"/>
    </sheetView>
  </sheetViews>
  <sheetFormatPr defaultColWidth="9" defaultRowHeight="15" outlineLevelRow="1"/>
  <cols>
    <col min="1" max="2" width="3.42578125" style="1486" customWidth="1"/>
    <col min="3" max="3" width="11.5703125" style="1486" hidden="1" customWidth="1"/>
    <col min="4" max="4" width="10.5703125" style="1486" customWidth="1"/>
    <col min="5" max="5" width="4.42578125" style="1487" customWidth="1"/>
    <col min="6" max="15" width="3.42578125" style="1487" customWidth="1"/>
    <col min="16" max="16" width="4" style="1487" customWidth="1"/>
    <col min="17" max="30" width="3.42578125" style="1487" customWidth="1"/>
    <col min="31" max="31" width="3.7109375" style="1487" customWidth="1"/>
    <col min="32" max="35" width="3.42578125" style="1487" customWidth="1"/>
    <col min="36" max="36" width="11.42578125" style="1487" customWidth="1"/>
    <col min="37" max="37" width="10.42578125" style="1487" customWidth="1"/>
    <col min="38" max="38" width="11.140625" style="1487" customWidth="1"/>
    <col min="39" max="39" width="9.140625" style="1487" customWidth="1"/>
    <col min="40" max="16384" width="9" style="1487"/>
  </cols>
  <sheetData>
    <row r="1" spans="1:41" ht="18.75">
      <c r="A1" s="2315" t="s">
        <v>1949</v>
      </c>
      <c r="B1" s="2315"/>
      <c r="C1" s="2315"/>
      <c r="D1" s="2315"/>
      <c r="E1" s="2315"/>
      <c r="F1" s="2315"/>
      <c r="G1" s="2315"/>
      <c r="H1" s="2315"/>
      <c r="I1" s="2315"/>
      <c r="J1" s="2315"/>
      <c r="K1" s="2315"/>
      <c r="L1" s="2315"/>
      <c r="M1" s="2315"/>
      <c r="N1" s="2315"/>
      <c r="O1" s="2315"/>
      <c r="P1" s="1504"/>
      <c r="Q1" s="1508"/>
      <c r="R1" s="1504"/>
      <c r="S1" s="2316" t="s">
        <v>1928</v>
      </c>
      <c r="T1" s="2316"/>
      <c r="U1" s="2316"/>
      <c r="V1" s="2316"/>
      <c r="W1" s="2316"/>
      <c r="X1" s="2316"/>
      <c r="Y1" s="2316"/>
      <c r="Z1" s="2316"/>
      <c r="AA1" s="2316"/>
      <c r="AB1" s="2316"/>
      <c r="AC1" s="2316"/>
      <c r="AD1" s="2316"/>
      <c r="AE1" s="2316"/>
      <c r="AF1" s="2316"/>
      <c r="AG1" s="2316"/>
      <c r="AH1" s="2316"/>
      <c r="AI1" s="2316"/>
      <c r="AJ1" s="2316"/>
      <c r="AK1" s="2316"/>
      <c r="AL1" s="2316"/>
    </row>
    <row r="2" spans="1:41" ht="18.75">
      <c r="A2" s="2315" t="s">
        <v>1929</v>
      </c>
      <c r="B2" s="2315"/>
      <c r="C2" s="2315"/>
      <c r="D2" s="2315"/>
      <c r="E2" s="2315"/>
      <c r="F2" s="2315"/>
      <c r="G2" s="2315"/>
      <c r="H2" s="2315"/>
      <c r="I2" s="2315"/>
      <c r="J2" s="2315"/>
      <c r="K2" s="2315"/>
      <c r="L2" s="2315"/>
      <c r="M2" s="2315"/>
      <c r="N2" s="2315"/>
      <c r="O2" s="2315"/>
      <c r="P2" s="1504"/>
      <c r="Q2" s="1508"/>
      <c r="R2" s="1504"/>
      <c r="S2" s="2316" t="s">
        <v>1</v>
      </c>
      <c r="T2" s="2316"/>
      <c r="U2" s="2316"/>
      <c r="V2" s="2316"/>
      <c r="W2" s="2316"/>
      <c r="X2" s="2316"/>
      <c r="Y2" s="2316"/>
      <c r="Z2" s="2316"/>
      <c r="AA2" s="2316"/>
      <c r="AB2" s="2316"/>
      <c r="AC2" s="2316"/>
      <c r="AD2" s="2316"/>
      <c r="AE2" s="2316"/>
      <c r="AF2" s="2316"/>
      <c r="AG2" s="2316"/>
      <c r="AH2" s="2316"/>
      <c r="AI2" s="2316"/>
      <c r="AJ2" s="2316"/>
      <c r="AK2" s="2316"/>
      <c r="AL2" s="2316"/>
    </row>
    <row r="3" spans="1:41" ht="15" customHeight="1">
      <c r="A3" s="2317"/>
      <c r="B3" s="2317"/>
      <c r="C3" s="2317"/>
      <c r="D3" s="2317"/>
      <c r="E3" s="2317"/>
      <c r="F3" s="2317"/>
      <c r="G3" s="2317"/>
      <c r="H3" s="2317"/>
      <c r="I3" s="2317"/>
      <c r="J3" s="2317"/>
      <c r="K3" s="2317"/>
      <c r="L3" s="2317"/>
      <c r="M3" s="1505"/>
      <c r="N3" s="1504"/>
      <c r="O3" s="1504"/>
      <c r="P3" s="1504"/>
      <c r="Q3" s="1508"/>
      <c r="R3" s="1504"/>
      <c r="S3" s="2318" t="s">
        <v>619</v>
      </c>
      <c r="T3" s="2316"/>
      <c r="U3" s="2316"/>
      <c r="V3" s="2316"/>
      <c r="W3" s="2316"/>
      <c r="X3" s="2316"/>
      <c r="Y3" s="2316"/>
      <c r="Z3" s="2316"/>
      <c r="AA3" s="2316"/>
      <c r="AB3" s="2316"/>
      <c r="AC3" s="2316"/>
      <c r="AD3" s="2316"/>
      <c r="AE3" s="2316"/>
      <c r="AF3" s="2316"/>
      <c r="AG3" s="2316"/>
      <c r="AH3" s="2316"/>
      <c r="AI3" s="2316"/>
      <c r="AJ3" s="2316"/>
      <c r="AK3" s="2316"/>
      <c r="AL3" s="2316"/>
    </row>
    <row r="4" spans="1:41" ht="27.75" customHeight="1">
      <c r="A4" s="2303" t="s">
        <v>1950</v>
      </c>
      <c r="B4" s="2303"/>
      <c r="C4" s="2303"/>
      <c r="D4" s="2303"/>
      <c r="E4" s="2303"/>
      <c r="F4" s="2303"/>
      <c r="G4" s="2303"/>
      <c r="H4" s="2303"/>
      <c r="I4" s="2303"/>
      <c r="J4" s="2303"/>
      <c r="K4" s="2303"/>
      <c r="L4" s="2303"/>
      <c r="M4" s="2303"/>
      <c r="N4" s="2303"/>
      <c r="O4" s="2303"/>
      <c r="P4" s="2303"/>
      <c r="Q4" s="2303"/>
      <c r="R4" s="2303"/>
      <c r="S4" s="2303"/>
      <c r="T4" s="2303"/>
      <c r="U4" s="2303"/>
      <c r="V4" s="2303"/>
      <c r="W4" s="2303"/>
      <c r="X4" s="2303"/>
      <c r="Y4" s="2303"/>
      <c r="Z4" s="2303"/>
      <c r="AA4" s="2303"/>
      <c r="AB4" s="2303"/>
      <c r="AC4" s="2303"/>
      <c r="AD4" s="2303"/>
      <c r="AE4" s="2303"/>
      <c r="AF4" s="2303"/>
      <c r="AG4" s="2303"/>
      <c r="AH4" s="2303"/>
      <c r="AI4" s="2303"/>
      <c r="AJ4" s="2303"/>
      <c r="AK4" s="2303"/>
      <c r="AL4" s="2303"/>
    </row>
    <row r="5" spans="1:41" ht="18.75" customHeight="1">
      <c r="A5" s="2304" t="s">
        <v>1951</v>
      </c>
      <c r="B5" s="2304"/>
      <c r="C5" s="2304"/>
      <c r="D5" s="2304"/>
      <c r="E5" s="2304"/>
      <c r="F5" s="2304"/>
      <c r="G5" s="2304"/>
      <c r="H5" s="2304"/>
      <c r="I5" s="2304"/>
      <c r="J5" s="2304"/>
      <c r="K5" s="2304"/>
      <c r="L5" s="2304"/>
      <c r="M5" s="2304"/>
      <c r="N5" s="2304"/>
      <c r="O5" s="2304"/>
      <c r="P5" s="2304"/>
      <c r="Q5" s="2304"/>
      <c r="R5" s="2304"/>
      <c r="S5" s="2304"/>
      <c r="T5" s="2304"/>
      <c r="U5" s="2304"/>
      <c r="V5" s="2304"/>
      <c r="W5" s="2304"/>
      <c r="X5" s="2304"/>
      <c r="Y5" s="2304"/>
      <c r="Z5" s="2304"/>
      <c r="AA5" s="2304"/>
      <c r="AB5" s="2304"/>
      <c r="AC5" s="2304"/>
      <c r="AD5" s="2304"/>
      <c r="AE5" s="2304"/>
      <c r="AF5" s="2304"/>
      <c r="AG5" s="2304"/>
      <c r="AH5" s="2304"/>
      <c r="AI5" s="2304"/>
      <c r="AJ5" s="2304"/>
      <c r="AK5" s="1481" t="s">
        <v>1952</v>
      </c>
      <c r="AL5" s="1464">
        <v>0.49859999999999999</v>
      </c>
    </row>
    <row r="6" spans="1:41" s="1481" customFormat="1" ht="20.45" customHeight="1">
      <c r="A6" s="2305" t="s">
        <v>623</v>
      </c>
      <c r="B6" s="2305" t="s">
        <v>623</v>
      </c>
      <c r="C6" s="2305" t="s">
        <v>1932</v>
      </c>
      <c r="D6" s="2310" t="s">
        <v>356</v>
      </c>
      <c r="E6" s="2305" t="s">
        <v>1953</v>
      </c>
      <c r="F6" s="2305"/>
      <c r="G6" s="2305"/>
      <c r="H6" s="2305"/>
      <c r="I6" s="2305"/>
      <c r="J6" s="2305"/>
      <c r="K6" s="2305"/>
      <c r="L6" s="2305"/>
      <c r="M6" s="2305"/>
      <c r="N6" s="2305"/>
      <c r="O6" s="2305"/>
      <c r="P6" s="2305"/>
      <c r="Q6" s="2305"/>
      <c r="R6" s="2305"/>
      <c r="S6" s="2305"/>
      <c r="T6" s="2305"/>
      <c r="U6" s="2305"/>
      <c r="V6" s="2305"/>
      <c r="W6" s="2305"/>
      <c r="X6" s="2305"/>
      <c r="Y6" s="2305"/>
      <c r="Z6" s="2305"/>
      <c r="AA6" s="2305"/>
      <c r="AB6" s="2305"/>
      <c r="AC6" s="2305"/>
      <c r="AD6" s="2305"/>
      <c r="AE6" s="2305"/>
      <c r="AF6" s="2305"/>
      <c r="AG6" s="2305"/>
      <c r="AH6" s="2305"/>
      <c r="AI6" s="2305"/>
      <c r="AJ6" s="1514"/>
      <c r="AK6" s="1515"/>
      <c r="AL6" s="2312" t="s">
        <v>627</v>
      </c>
    </row>
    <row r="7" spans="1:41" s="1481" customFormat="1" ht="17.45" customHeight="1">
      <c r="A7" s="2305"/>
      <c r="B7" s="2305"/>
      <c r="C7" s="2305"/>
      <c r="D7" s="2311"/>
      <c r="E7" s="1488">
        <v>1</v>
      </c>
      <c r="F7" s="1488">
        <v>2</v>
      </c>
      <c r="G7" s="1488">
        <v>3</v>
      </c>
      <c r="H7" s="1488">
        <v>4</v>
      </c>
      <c r="I7" s="1488">
        <v>5</v>
      </c>
      <c r="J7" s="1488">
        <v>6</v>
      </c>
      <c r="K7" s="1488">
        <v>7</v>
      </c>
      <c r="L7" s="1488">
        <v>8</v>
      </c>
      <c r="M7" s="1488">
        <v>9</v>
      </c>
      <c r="N7" s="1488">
        <v>10</v>
      </c>
      <c r="O7" s="1488">
        <v>11</v>
      </c>
      <c r="P7" s="1488">
        <v>12</v>
      </c>
      <c r="Q7" s="1488">
        <v>13</v>
      </c>
      <c r="R7" s="1488">
        <v>14</v>
      </c>
      <c r="S7" s="1488">
        <v>15</v>
      </c>
      <c r="T7" s="1488">
        <v>16</v>
      </c>
      <c r="U7" s="1488">
        <v>17</v>
      </c>
      <c r="V7" s="1488">
        <v>18</v>
      </c>
      <c r="W7" s="1488">
        <v>19</v>
      </c>
      <c r="X7" s="1488">
        <v>20</v>
      </c>
      <c r="Y7" s="1488">
        <v>21</v>
      </c>
      <c r="Z7" s="1488">
        <v>22</v>
      </c>
      <c r="AA7" s="1488">
        <v>23</v>
      </c>
      <c r="AB7" s="1488">
        <v>24</v>
      </c>
      <c r="AC7" s="1488">
        <v>25</v>
      </c>
      <c r="AD7" s="1488">
        <v>26</v>
      </c>
      <c r="AE7" s="1488">
        <v>27</v>
      </c>
      <c r="AF7" s="1488">
        <v>28</v>
      </c>
      <c r="AG7" s="1488">
        <v>29</v>
      </c>
      <c r="AH7" s="1488">
        <v>30</v>
      </c>
      <c r="AI7" s="1488">
        <v>31</v>
      </c>
      <c r="AJ7" s="2312" t="s">
        <v>1954</v>
      </c>
      <c r="AK7" s="2312" t="s">
        <v>1955</v>
      </c>
      <c r="AL7" s="2314"/>
    </row>
    <row r="8" spans="1:41" s="1481" customFormat="1" ht="35.450000000000003" customHeight="1">
      <c r="A8" s="2306" t="s">
        <v>1956</v>
      </c>
      <c r="B8" s="2307"/>
      <c r="C8" s="2307"/>
      <c r="D8" s="2308"/>
      <c r="E8" s="1488" t="s">
        <v>1957</v>
      </c>
      <c r="F8" s="1488" t="s">
        <v>1958</v>
      </c>
      <c r="G8" s="1488" t="s">
        <v>1959</v>
      </c>
      <c r="H8" s="1488" t="s">
        <v>1957</v>
      </c>
      <c r="I8" s="1488" t="s">
        <v>1958</v>
      </c>
      <c r="J8" s="1488" t="s">
        <v>1959</v>
      </c>
      <c r="K8" s="1488" t="s">
        <v>1957</v>
      </c>
      <c r="L8" s="1488" t="s">
        <v>1958</v>
      </c>
      <c r="M8" s="1488" t="s">
        <v>1959</v>
      </c>
      <c r="N8" s="1488" t="s">
        <v>1957</v>
      </c>
      <c r="O8" s="1488" t="s">
        <v>1958</v>
      </c>
      <c r="P8" s="1488" t="s">
        <v>1959</v>
      </c>
      <c r="Q8" s="1488" t="s">
        <v>1957</v>
      </c>
      <c r="R8" s="1488" t="s">
        <v>1958</v>
      </c>
      <c r="S8" s="1488" t="s">
        <v>1959</v>
      </c>
      <c r="T8" s="1488" t="s">
        <v>1957</v>
      </c>
      <c r="U8" s="1488" t="s">
        <v>1958</v>
      </c>
      <c r="V8" s="1488" t="s">
        <v>1959</v>
      </c>
      <c r="W8" s="1488" t="s">
        <v>1957</v>
      </c>
      <c r="X8" s="1488" t="s">
        <v>1958</v>
      </c>
      <c r="Y8" s="1488" t="s">
        <v>1959</v>
      </c>
      <c r="Z8" s="1488" t="s">
        <v>1957</v>
      </c>
      <c r="AA8" s="1488" t="s">
        <v>1958</v>
      </c>
      <c r="AB8" s="1488" t="s">
        <v>1959</v>
      </c>
      <c r="AC8" s="1488" t="s">
        <v>1957</v>
      </c>
      <c r="AD8" s="1488" t="s">
        <v>1958</v>
      </c>
      <c r="AE8" s="1488" t="s">
        <v>1959</v>
      </c>
      <c r="AF8" s="1488" t="s">
        <v>1957</v>
      </c>
      <c r="AG8" s="1488" t="s">
        <v>1958</v>
      </c>
      <c r="AH8" s="1488" t="s">
        <v>1959</v>
      </c>
      <c r="AI8" s="1488" t="s">
        <v>1957</v>
      </c>
      <c r="AJ8" s="2313"/>
      <c r="AK8" s="2313"/>
      <c r="AL8" s="2313"/>
      <c r="AM8" s="1481" t="s">
        <v>1952</v>
      </c>
      <c r="AN8" s="1464">
        <v>0.42315993895981302</v>
      </c>
    </row>
    <row r="9" spans="1:41" s="1482" customFormat="1" ht="19.149999999999999" customHeight="1" outlineLevel="1">
      <c r="A9" s="1489" t="s">
        <v>427</v>
      </c>
      <c r="B9" s="1489"/>
      <c r="C9" s="1489"/>
      <c r="D9" s="1489"/>
      <c r="E9" s="1240">
        <f t="shared" ref="E9:AI11" si="0">SUM(E10:E10)</f>
        <v>0</v>
      </c>
      <c r="F9" s="1240">
        <f t="shared" si="0"/>
        <v>0</v>
      </c>
      <c r="G9" s="1240">
        <f t="shared" si="0"/>
        <v>0</v>
      </c>
      <c r="H9" s="1240">
        <f t="shared" si="0"/>
        <v>0</v>
      </c>
      <c r="I9" s="1240">
        <f t="shared" si="0"/>
        <v>0</v>
      </c>
      <c r="J9" s="1240">
        <f t="shared" si="0"/>
        <v>0</v>
      </c>
      <c r="K9" s="1240">
        <f t="shared" si="0"/>
        <v>0</v>
      </c>
      <c r="L9" s="1240">
        <f t="shared" si="0"/>
        <v>0</v>
      </c>
      <c r="M9" s="1240">
        <f t="shared" si="0"/>
        <v>0</v>
      </c>
      <c r="N9" s="1240">
        <f t="shared" si="0"/>
        <v>0</v>
      </c>
      <c r="O9" s="1240">
        <f t="shared" si="0"/>
        <v>0</v>
      </c>
      <c r="P9" s="1240">
        <f t="shared" si="0"/>
        <v>0</v>
      </c>
      <c r="Q9" s="1240">
        <f t="shared" si="0"/>
        <v>0</v>
      </c>
      <c r="R9" s="1240">
        <f t="shared" si="0"/>
        <v>0</v>
      </c>
      <c r="S9" s="1240">
        <f t="shared" si="0"/>
        <v>0</v>
      </c>
      <c r="T9" s="1240">
        <f t="shared" si="0"/>
        <v>0</v>
      </c>
      <c r="U9" s="1240">
        <f t="shared" si="0"/>
        <v>0</v>
      </c>
      <c r="V9" s="1240">
        <f t="shared" si="0"/>
        <v>0</v>
      </c>
      <c r="W9" s="1240">
        <f t="shared" si="0"/>
        <v>0</v>
      </c>
      <c r="X9" s="1240">
        <f t="shared" si="0"/>
        <v>0</v>
      </c>
      <c r="Y9" s="1240">
        <f t="shared" si="0"/>
        <v>0</v>
      </c>
      <c r="Z9" s="1240">
        <f t="shared" si="0"/>
        <v>0</v>
      </c>
      <c r="AA9" s="1240">
        <f t="shared" si="0"/>
        <v>0</v>
      </c>
      <c r="AB9" s="1240">
        <f t="shared" si="0"/>
        <v>0</v>
      </c>
      <c r="AC9" s="1240">
        <f t="shared" si="0"/>
        <v>0</v>
      </c>
      <c r="AD9" s="1240">
        <f t="shared" si="0"/>
        <v>0</v>
      </c>
      <c r="AE9" s="1240">
        <f t="shared" si="0"/>
        <v>0</v>
      </c>
      <c r="AF9" s="1240">
        <f t="shared" si="0"/>
        <v>0</v>
      </c>
      <c r="AG9" s="1240">
        <f t="shared" si="0"/>
        <v>0</v>
      </c>
      <c r="AH9" s="1240">
        <f t="shared" si="0"/>
        <v>0</v>
      </c>
      <c r="AI9" s="1240">
        <f t="shared" si="0"/>
        <v>0</v>
      </c>
      <c r="AJ9" s="1243">
        <f>AJ10</f>
        <v>0</v>
      </c>
      <c r="AK9" s="1516">
        <f>AK10</f>
        <v>0</v>
      </c>
      <c r="AL9" s="1204"/>
      <c r="AM9" s="1517"/>
    </row>
    <row r="10" spans="1:41" s="1481" customFormat="1" ht="19.149999999999999" customHeight="1" outlineLevel="1">
      <c r="A10" s="1490">
        <v>1</v>
      </c>
      <c r="B10" s="1490">
        <v>1</v>
      </c>
      <c r="C10" s="1491" t="s">
        <v>1941</v>
      </c>
      <c r="D10" s="1491" t="s">
        <v>1960</v>
      </c>
      <c r="E10" s="1490"/>
      <c r="F10" s="1490"/>
      <c r="G10" s="1490"/>
      <c r="H10" s="1490"/>
      <c r="I10" s="1490"/>
      <c r="J10" s="1490"/>
      <c r="K10" s="1490"/>
      <c r="L10" s="1490"/>
      <c r="M10" s="1490"/>
      <c r="N10" s="1490"/>
      <c r="O10" s="1490"/>
      <c r="P10" s="1490"/>
      <c r="Q10" s="1490"/>
      <c r="R10" s="1490"/>
      <c r="S10" s="1490"/>
      <c r="T10" s="1490"/>
      <c r="U10" s="1490"/>
      <c r="V10" s="1490"/>
      <c r="W10" s="1490"/>
      <c r="X10" s="1490"/>
      <c r="Y10" s="1511"/>
      <c r="Z10" s="1511"/>
      <c r="AA10" s="1512"/>
      <c r="AB10" s="1512"/>
      <c r="AC10" s="1512"/>
      <c r="AD10" s="1512"/>
      <c r="AE10" s="1512"/>
      <c r="AF10" s="1512"/>
      <c r="AG10" s="1512"/>
      <c r="AH10" s="1512"/>
      <c r="AI10" s="1512"/>
      <c r="AJ10" s="1518">
        <f t="shared" ref="AJ10" si="1">SUM(E10:AI10)</f>
        <v>0</v>
      </c>
      <c r="AK10" s="1519">
        <f>+AJ10*$AL$5</f>
        <v>0</v>
      </c>
      <c r="AL10" s="1520"/>
      <c r="AM10" s="1481">
        <f>SUM(E10:AI10)</f>
        <v>0</v>
      </c>
      <c r="AN10" s="1521" t="s">
        <v>1961</v>
      </c>
      <c r="AO10" s="1481">
        <v>0.175047445255474</v>
      </c>
    </row>
    <row r="11" spans="1:41" s="1482" customFormat="1" ht="19.149999999999999" customHeight="1" outlineLevel="1">
      <c r="A11" s="1489" t="s">
        <v>520</v>
      </c>
      <c r="B11" s="1489"/>
      <c r="C11" s="1489"/>
      <c r="D11" s="1489"/>
      <c r="E11" s="1240">
        <f t="shared" si="0"/>
        <v>0</v>
      </c>
      <c r="F11" s="1240">
        <f t="shared" si="0"/>
        <v>0</v>
      </c>
      <c r="G11" s="1240">
        <f t="shared" si="0"/>
        <v>0</v>
      </c>
      <c r="H11" s="1240">
        <f t="shared" si="0"/>
        <v>0</v>
      </c>
      <c r="I11" s="1240">
        <f t="shared" si="0"/>
        <v>0</v>
      </c>
      <c r="J11" s="1240">
        <f t="shared" si="0"/>
        <v>0</v>
      </c>
      <c r="K11" s="1240">
        <f t="shared" si="0"/>
        <v>0</v>
      </c>
      <c r="L11" s="1240">
        <f t="shared" si="0"/>
        <v>0</v>
      </c>
      <c r="M11" s="1240">
        <f t="shared" si="0"/>
        <v>0</v>
      </c>
      <c r="N11" s="1240">
        <f t="shared" si="0"/>
        <v>0</v>
      </c>
      <c r="O11" s="1240">
        <f t="shared" si="0"/>
        <v>0</v>
      </c>
      <c r="P11" s="1240">
        <f t="shared" si="0"/>
        <v>0</v>
      </c>
      <c r="Q11" s="1240">
        <f t="shared" si="0"/>
        <v>0</v>
      </c>
      <c r="R11" s="1240">
        <f t="shared" si="0"/>
        <v>0</v>
      </c>
      <c r="S11" s="1240">
        <f t="shared" si="0"/>
        <v>0</v>
      </c>
      <c r="T11" s="1240">
        <f t="shared" si="0"/>
        <v>0</v>
      </c>
      <c r="U11" s="1240">
        <f t="shared" si="0"/>
        <v>0</v>
      </c>
      <c r="V11" s="1240">
        <f t="shared" si="0"/>
        <v>0</v>
      </c>
      <c r="W11" s="1240">
        <f t="shared" si="0"/>
        <v>0</v>
      </c>
      <c r="X11" s="1240">
        <f t="shared" si="0"/>
        <v>0</v>
      </c>
      <c r="Y11" s="1240">
        <f t="shared" si="0"/>
        <v>0</v>
      </c>
      <c r="Z11" s="1240">
        <f t="shared" si="0"/>
        <v>0</v>
      </c>
      <c r="AA11" s="1240">
        <f t="shared" si="0"/>
        <v>0</v>
      </c>
      <c r="AB11" s="1240">
        <f t="shared" si="0"/>
        <v>0</v>
      </c>
      <c r="AC11" s="1240">
        <f t="shared" si="0"/>
        <v>0</v>
      </c>
      <c r="AD11" s="1240">
        <f t="shared" si="0"/>
        <v>0</v>
      </c>
      <c r="AE11" s="1240">
        <f t="shared" si="0"/>
        <v>0</v>
      </c>
      <c r="AF11" s="1240">
        <f t="shared" si="0"/>
        <v>0</v>
      </c>
      <c r="AG11" s="1240">
        <f t="shared" si="0"/>
        <v>0</v>
      </c>
      <c r="AH11" s="1240">
        <f t="shared" si="0"/>
        <v>290</v>
      </c>
      <c r="AI11" s="1240">
        <f t="shared" si="0"/>
        <v>0</v>
      </c>
      <c r="AJ11" s="1243">
        <f>AJ12</f>
        <v>290</v>
      </c>
      <c r="AK11" s="1516">
        <f>AK12</f>
        <v>144.59399999999999</v>
      </c>
      <c r="AL11" s="1204"/>
      <c r="AM11" s="1517"/>
      <c r="AN11" s="1482" t="s">
        <v>1962</v>
      </c>
      <c r="AO11" s="1482">
        <v>0.31672614503816798</v>
      </c>
    </row>
    <row r="12" spans="1:41" s="1481" customFormat="1" ht="19.149999999999999" customHeight="1" outlineLevel="1">
      <c r="A12" s="1490">
        <v>1</v>
      </c>
      <c r="B12" s="1490">
        <v>1</v>
      </c>
      <c r="C12" s="1491" t="s">
        <v>1941</v>
      </c>
      <c r="D12" s="1491" t="s">
        <v>484</v>
      </c>
      <c r="E12" s="1490"/>
      <c r="F12" s="1490"/>
      <c r="G12" s="1490"/>
      <c r="H12" s="1490"/>
      <c r="I12" s="1490"/>
      <c r="J12" s="1490"/>
      <c r="K12" s="1490"/>
      <c r="L12" s="1490"/>
      <c r="M12" s="1490"/>
      <c r="N12" s="1490"/>
      <c r="O12" s="1490"/>
      <c r="P12" s="1490"/>
      <c r="Q12" s="1490"/>
      <c r="R12" s="1490"/>
      <c r="S12" s="1490"/>
      <c r="T12" s="1490"/>
      <c r="U12" s="1490"/>
      <c r="V12" s="1490"/>
      <c r="W12" s="1490"/>
      <c r="X12" s="1490"/>
      <c r="Y12" s="1511"/>
      <c r="Z12" s="1511"/>
      <c r="AA12" s="1512"/>
      <c r="AB12" s="1512"/>
      <c r="AC12" s="1512"/>
      <c r="AD12" s="1512"/>
      <c r="AE12" s="1512"/>
      <c r="AF12" s="1512"/>
      <c r="AG12" s="1512"/>
      <c r="AH12" s="1512">
        <v>290</v>
      </c>
      <c r="AI12" s="1512"/>
      <c r="AJ12" s="1518">
        <f t="shared" ref="AJ12:AJ18" si="2">SUM(E12:AI12)</f>
        <v>290</v>
      </c>
      <c r="AK12" s="1520">
        <f>+AJ12*$AL$5</f>
        <v>144.59399999999999</v>
      </c>
      <c r="AL12" s="1520"/>
      <c r="AM12" s="1481">
        <f>SUM(E12:AI12)</f>
        <v>290</v>
      </c>
      <c r="AN12" s="1521" t="s">
        <v>1963</v>
      </c>
      <c r="AO12" s="1481">
        <v>0.49859999999999999</v>
      </c>
    </row>
    <row r="13" spans="1:41" s="1482" customFormat="1" ht="19.149999999999999" customHeight="1">
      <c r="A13" s="1489" t="s">
        <v>521</v>
      </c>
      <c r="B13" s="1489"/>
      <c r="C13" s="1489"/>
      <c r="D13" s="1489"/>
      <c r="E13" s="1488">
        <f t="shared" ref="E13:AI15" si="3">SUM(E14:E14)</f>
        <v>0</v>
      </c>
      <c r="F13" s="1488">
        <f t="shared" si="3"/>
        <v>0</v>
      </c>
      <c r="G13" s="1488">
        <f t="shared" si="3"/>
        <v>0</v>
      </c>
      <c r="H13" s="1488">
        <f t="shared" si="3"/>
        <v>0</v>
      </c>
      <c r="I13" s="1488">
        <f t="shared" si="3"/>
        <v>0</v>
      </c>
      <c r="J13" s="1488">
        <f t="shared" si="3"/>
        <v>0</v>
      </c>
      <c r="K13" s="1488">
        <f t="shared" si="3"/>
        <v>0</v>
      </c>
      <c r="L13" s="1488">
        <f t="shared" si="3"/>
        <v>0</v>
      </c>
      <c r="M13" s="1488">
        <f t="shared" si="3"/>
        <v>0</v>
      </c>
      <c r="N13" s="1488">
        <f t="shared" si="3"/>
        <v>0</v>
      </c>
      <c r="O13" s="1488">
        <f t="shared" si="3"/>
        <v>0</v>
      </c>
      <c r="P13" s="1488">
        <f t="shared" si="3"/>
        <v>0</v>
      </c>
      <c r="Q13" s="1488">
        <f t="shared" si="3"/>
        <v>0</v>
      </c>
      <c r="R13" s="1488">
        <f t="shared" si="3"/>
        <v>0</v>
      </c>
      <c r="S13" s="1488">
        <f t="shared" si="3"/>
        <v>0</v>
      </c>
      <c r="T13" s="1488">
        <f t="shared" si="3"/>
        <v>0</v>
      </c>
      <c r="U13" s="1488">
        <f t="shared" si="3"/>
        <v>0</v>
      </c>
      <c r="V13" s="1488">
        <f t="shared" si="3"/>
        <v>0</v>
      </c>
      <c r="W13" s="1488">
        <f t="shared" si="3"/>
        <v>0</v>
      </c>
      <c r="X13" s="1488">
        <f t="shared" si="3"/>
        <v>0</v>
      </c>
      <c r="Y13" s="1488">
        <f t="shared" si="3"/>
        <v>0</v>
      </c>
      <c r="Z13" s="1488">
        <f t="shared" si="3"/>
        <v>0</v>
      </c>
      <c r="AA13" s="1488">
        <f t="shared" si="3"/>
        <v>0</v>
      </c>
      <c r="AB13" s="1488">
        <f t="shared" si="3"/>
        <v>0</v>
      </c>
      <c r="AC13" s="1488">
        <f t="shared" si="3"/>
        <v>0</v>
      </c>
      <c r="AD13" s="1488">
        <f t="shared" si="3"/>
        <v>0</v>
      </c>
      <c r="AE13" s="1488">
        <f t="shared" si="3"/>
        <v>0</v>
      </c>
      <c r="AF13" s="1488">
        <f t="shared" si="3"/>
        <v>0</v>
      </c>
      <c r="AG13" s="1488">
        <f t="shared" si="3"/>
        <v>0</v>
      </c>
      <c r="AH13" s="1488">
        <f t="shared" si="3"/>
        <v>0</v>
      </c>
      <c r="AI13" s="1488">
        <f t="shared" si="3"/>
        <v>0</v>
      </c>
      <c r="AJ13" s="1243">
        <f>AJ14</f>
        <v>0</v>
      </c>
      <c r="AK13" s="1516">
        <f>AK14</f>
        <v>0</v>
      </c>
      <c r="AL13" s="1204"/>
      <c r="AM13" s="1517"/>
    </row>
    <row r="14" spans="1:41" s="1481" customFormat="1" ht="19.149999999999999" customHeight="1" outlineLevel="1">
      <c r="A14" s="1490">
        <v>2</v>
      </c>
      <c r="B14" s="1490">
        <v>1</v>
      </c>
      <c r="C14" s="1490" t="s">
        <v>505</v>
      </c>
      <c r="D14" s="1492" t="s">
        <v>495</v>
      </c>
      <c r="E14" s="1490"/>
      <c r="F14" s="1490"/>
      <c r="G14" s="1490"/>
      <c r="H14" s="1490"/>
      <c r="I14" s="1490"/>
      <c r="J14" s="1490"/>
      <c r="K14" s="1490"/>
      <c r="L14" s="1490"/>
      <c r="M14" s="1490"/>
      <c r="N14" s="1490"/>
      <c r="O14" s="1490"/>
      <c r="P14" s="1490"/>
      <c r="Q14" s="1490"/>
      <c r="R14" s="1490"/>
      <c r="S14" s="1490"/>
      <c r="T14" s="1490"/>
      <c r="U14" s="1490"/>
      <c r="V14" s="1490"/>
      <c r="W14" s="1490"/>
      <c r="X14" s="1490"/>
      <c r="Y14" s="1490"/>
      <c r="Z14" s="1490"/>
      <c r="AA14" s="1490"/>
      <c r="AB14" s="1490"/>
      <c r="AC14" s="1490"/>
      <c r="AD14" s="1490"/>
      <c r="AE14" s="1490"/>
      <c r="AF14" s="1490"/>
      <c r="AG14" s="1490"/>
      <c r="AH14" s="1490"/>
      <c r="AI14" s="1490"/>
      <c r="AJ14" s="1518">
        <f t="shared" ref="AJ14" si="4">SUM(E14:AI14)</f>
        <v>0</v>
      </c>
      <c r="AK14" s="1519">
        <f>+AJ14*$AO$10</f>
        <v>0</v>
      </c>
      <c r="AL14" s="1520"/>
    </row>
    <row r="15" spans="1:41" s="1482" customFormat="1" ht="19.149999999999999" customHeight="1">
      <c r="A15" s="1489" t="s">
        <v>123</v>
      </c>
      <c r="B15" s="1489"/>
      <c r="C15" s="1489"/>
      <c r="D15" s="1489"/>
      <c r="E15" s="1488">
        <f t="shared" si="3"/>
        <v>0</v>
      </c>
      <c r="F15" s="1488">
        <f t="shared" si="3"/>
        <v>0</v>
      </c>
      <c r="G15" s="1488">
        <f t="shared" si="3"/>
        <v>0</v>
      </c>
      <c r="H15" s="1488">
        <f t="shared" si="3"/>
        <v>0</v>
      </c>
      <c r="I15" s="1488">
        <f t="shared" si="3"/>
        <v>0</v>
      </c>
      <c r="J15" s="1488">
        <f t="shared" si="3"/>
        <v>0</v>
      </c>
      <c r="K15" s="1488">
        <f t="shared" si="3"/>
        <v>0</v>
      </c>
      <c r="L15" s="1488">
        <f t="shared" si="3"/>
        <v>0</v>
      </c>
      <c r="M15" s="1488">
        <f t="shared" si="3"/>
        <v>0</v>
      </c>
      <c r="N15" s="1488">
        <f t="shared" si="3"/>
        <v>0</v>
      </c>
      <c r="O15" s="1488">
        <f t="shared" si="3"/>
        <v>0</v>
      </c>
      <c r="P15" s="1488">
        <f t="shared" si="3"/>
        <v>0</v>
      </c>
      <c r="Q15" s="1488">
        <f t="shared" si="3"/>
        <v>0</v>
      </c>
      <c r="R15" s="1488">
        <f t="shared" si="3"/>
        <v>0</v>
      </c>
      <c r="S15" s="1488">
        <f t="shared" si="3"/>
        <v>0</v>
      </c>
      <c r="T15" s="1488">
        <f t="shared" si="3"/>
        <v>0</v>
      </c>
      <c r="U15" s="1488">
        <f t="shared" si="3"/>
        <v>0</v>
      </c>
      <c r="V15" s="1488">
        <f t="shared" si="3"/>
        <v>0</v>
      </c>
      <c r="W15" s="1488">
        <f t="shared" si="3"/>
        <v>0</v>
      </c>
      <c r="X15" s="1488">
        <f t="shared" si="3"/>
        <v>0</v>
      </c>
      <c r="Y15" s="1488">
        <f t="shared" si="3"/>
        <v>0</v>
      </c>
      <c r="Z15" s="1488">
        <f t="shared" si="3"/>
        <v>0</v>
      </c>
      <c r="AA15" s="1488">
        <f t="shared" si="3"/>
        <v>0</v>
      </c>
      <c r="AB15" s="1488">
        <f t="shared" si="3"/>
        <v>0</v>
      </c>
      <c r="AC15" s="1488">
        <f t="shared" si="3"/>
        <v>0</v>
      </c>
      <c r="AD15" s="1488">
        <f t="shared" si="3"/>
        <v>0</v>
      </c>
      <c r="AE15" s="1488">
        <f t="shared" si="3"/>
        <v>0</v>
      </c>
      <c r="AF15" s="1488">
        <f t="shared" si="3"/>
        <v>0</v>
      </c>
      <c r="AG15" s="1488">
        <f t="shared" si="3"/>
        <v>0</v>
      </c>
      <c r="AH15" s="1488">
        <f t="shared" si="3"/>
        <v>0</v>
      </c>
      <c r="AI15" s="1488">
        <f t="shared" si="3"/>
        <v>0</v>
      </c>
      <c r="AJ15" s="1243">
        <f>AJ16</f>
        <v>0</v>
      </c>
      <c r="AK15" s="1516">
        <f>AK16</f>
        <v>0</v>
      </c>
      <c r="AL15" s="1204"/>
      <c r="AM15" s="1517">
        <f>SUM(AK9,AK11,AK13,AK15)</f>
        <v>144.59399999999999</v>
      </c>
    </row>
    <row r="16" spans="1:41" s="1481" customFormat="1" ht="19.149999999999999" customHeight="1" outlineLevel="1">
      <c r="A16" s="1490">
        <v>2</v>
      </c>
      <c r="B16" s="1490">
        <v>1</v>
      </c>
      <c r="C16" s="1490" t="s">
        <v>505</v>
      </c>
      <c r="D16" s="1492" t="s">
        <v>507</v>
      </c>
      <c r="E16" s="1490"/>
      <c r="F16" s="1490"/>
      <c r="G16" s="1490"/>
      <c r="H16" s="1490"/>
      <c r="I16" s="1490"/>
      <c r="J16" s="1490"/>
      <c r="K16" s="1490"/>
      <c r="L16" s="1490"/>
      <c r="M16" s="1490"/>
      <c r="N16" s="1490"/>
      <c r="O16" s="1490"/>
      <c r="P16" s="1490"/>
      <c r="Q16" s="1490"/>
      <c r="R16" s="1490"/>
      <c r="S16" s="1490"/>
      <c r="T16" s="1490"/>
      <c r="U16" s="1490"/>
      <c r="V16" s="1490"/>
      <c r="W16" s="1490"/>
      <c r="X16" s="1490"/>
      <c r="Y16" s="1490"/>
      <c r="Z16" s="1490"/>
      <c r="AA16" s="1490"/>
      <c r="AB16" s="1490"/>
      <c r="AC16" s="1490"/>
      <c r="AD16" s="1490"/>
      <c r="AE16" s="1490"/>
      <c r="AF16" s="1490"/>
      <c r="AG16" s="1490"/>
      <c r="AH16" s="1490"/>
      <c r="AI16" s="1490"/>
      <c r="AJ16" s="1518">
        <f t="shared" si="2"/>
        <v>0</v>
      </c>
      <c r="AK16" s="1519">
        <f>+AJ16*$AO$11</f>
        <v>0</v>
      </c>
      <c r="AL16" s="1520"/>
    </row>
    <row r="17" spans="1:40" s="1481" customFormat="1" ht="19.149999999999999" customHeight="1" outlineLevel="1">
      <c r="A17" s="1489" t="s">
        <v>522</v>
      </c>
      <c r="B17" s="1489"/>
      <c r="C17" s="1489"/>
      <c r="D17" s="1489"/>
      <c r="E17" s="1488">
        <f t="shared" ref="E17:AI17" si="5">SUM(E18:E18)</f>
        <v>0</v>
      </c>
      <c r="F17" s="1488">
        <f t="shared" si="5"/>
        <v>0</v>
      </c>
      <c r="G17" s="1488">
        <f t="shared" si="5"/>
        <v>0</v>
      </c>
      <c r="H17" s="1488">
        <f t="shared" si="5"/>
        <v>0</v>
      </c>
      <c r="I17" s="1488">
        <f t="shared" si="5"/>
        <v>0</v>
      </c>
      <c r="J17" s="1488">
        <f t="shared" si="5"/>
        <v>0</v>
      </c>
      <c r="K17" s="1488">
        <f t="shared" si="5"/>
        <v>0</v>
      </c>
      <c r="L17" s="1488">
        <f t="shared" si="5"/>
        <v>0</v>
      </c>
      <c r="M17" s="1488">
        <f t="shared" si="5"/>
        <v>0</v>
      </c>
      <c r="N17" s="1488">
        <f t="shared" si="5"/>
        <v>0</v>
      </c>
      <c r="O17" s="1488">
        <f t="shared" si="5"/>
        <v>0</v>
      </c>
      <c r="P17" s="1488">
        <f t="shared" si="5"/>
        <v>0</v>
      </c>
      <c r="Q17" s="1488">
        <f t="shared" si="5"/>
        <v>0</v>
      </c>
      <c r="R17" s="1488">
        <f t="shared" si="5"/>
        <v>0</v>
      </c>
      <c r="S17" s="1488">
        <f t="shared" si="5"/>
        <v>0</v>
      </c>
      <c r="T17" s="1488">
        <f t="shared" si="5"/>
        <v>0</v>
      </c>
      <c r="U17" s="1488">
        <f t="shared" si="5"/>
        <v>0</v>
      </c>
      <c r="V17" s="1488">
        <f t="shared" si="5"/>
        <v>0</v>
      </c>
      <c r="W17" s="1488">
        <f t="shared" si="5"/>
        <v>0</v>
      </c>
      <c r="X17" s="1488">
        <f t="shared" si="5"/>
        <v>0</v>
      </c>
      <c r="Y17" s="1488">
        <f t="shared" si="5"/>
        <v>0</v>
      </c>
      <c r="Z17" s="1488">
        <f t="shared" si="5"/>
        <v>0</v>
      </c>
      <c r="AA17" s="1488">
        <f t="shared" si="5"/>
        <v>0</v>
      </c>
      <c r="AB17" s="1488">
        <f t="shared" si="5"/>
        <v>0</v>
      </c>
      <c r="AC17" s="1488">
        <f t="shared" si="5"/>
        <v>0</v>
      </c>
      <c r="AD17" s="1488">
        <f t="shared" si="5"/>
        <v>0</v>
      </c>
      <c r="AE17" s="1488">
        <f t="shared" si="5"/>
        <v>0</v>
      </c>
      <c r="AF17" s="1488">
        <f t="shared" si="5"/>
        <v>0</v>
      </c>
      <c r="AG17" s="1488">
        <f t="shared" si="5"/>
        <v>0</v>
      </c>
      <c r="AH17" s="1488">
        <f t="shared" si="5"/>
        <v>0</v>
      </c>
      <c r="AI17" s="1488">
        <f t="shared" si="5"/>
        <v>0</v>
      </c>
      <c r="AJ17" s="1243">
        <f t="shared" si="2"/>
        <v>0</v>
      </c>
      <c r="AK17" s="1522">
        <f>SUM(AK18:AK18)</f>
        <v>0</v>
      </c>
      <c r="AL17" s="1204"/>
      <c r="AM17" s="1521"/>
    </row>
    <row r="18" spans="1:40" s="1481" customFormat="1" ht="19.149999999999999" customHeight="1" outlineLevel="1">
      <c r="A18" s="1490">
        <v>3</v>
      </c>
      <c r="B18" s="1490">
        <v>1</v>
      </c>
      <c r="C18" s="1490" t="s">
        <v>206</v>
      </c>
      <c r="D18" s="1492" t="s">
        <v>513</v>
      </c>
      <c r="E18" s="1493"/>
      <c r="F18" s="1493"/>
      <c r="G18" s="1493"/>
      <c r="H18" s="1493"/>
      <c r="I18" s="1493"/>
      <c r="J18" s="1493"/>
      <c r="K18" s="1493"/>
      <c r="L18" s="1493"/>
      <c r="M18" s="1493"/>
      <c r="N18" s="1490"/>
      <c r="O18" s="1490"/>
      <c r="P18" s="1490"/>
      <c r="Q18" s="1490"/>
      <c r="R18" s="1490"/>
      <c r="S18" s="1490"/>
      <c r="T18" s="1490"/>
      <c r="U18" s="1490"/>
      <c r="V18" s="1490"/>
      <c r="W18" s="1490"/>
      <c r="X18" s="1490"/>
      <c r="Y18" s="1490"/>
      <c r="Z18" s="1490"/>
      <c r="AA18" s="1490"/>
      <c r="AB18" s="1490"/>
      <c r="AC18" s="1490"/>
      <c r="AD18" s="1490"/>
      <c r="AE18" s="1490"/>
      <c r="AF18" s="1490"/>
      <c r="AG18" s="1490"/>
      <c r="AH18" s="1490"/>
      <c r="AI18" s="1490"/>
      <c r="AJ18" s="1518">
        <f t="shared" si="2"/>
        <v>0</v>
      </c>
      <c r="AK18" s="1519">
        <f>+AJ18*$AO$12</f>
        <v>0</v>
      </c>
      <c r="AL18" s="1520"/>
    </row>
    <row r="19" spans="1:40" s="1483" customFormat="1" ht="19.149999999999999" customHeight="1">
      <c r="A19" s="2309" t="s">
        <v>525</v>
      </c>
      <c r="B19" s="2309"/>
      <c r="C19" s="2309"/>
      <c r="D19" s="2309"/>
      <c r="E19" s="1479">
        <f>E11+E13+E15</f>
        <v>0</v>
      </c>
      <c r="F19" s="1479">
        <f t="shared" ref="F19:AI19" si="6">F11+F13+F15</f>
        <v>0</v>
      </c>
      <c r="G19" s="1479">
        <f t="shared" si="6"/>
        <v>0</v>
      </c>
      <c r="H19" s="1479">
        <f t="shared" si="6"/>
        <v>0</v>
      </c>
      <c r="I19" s="1479">
        <f t="shared" si="6"/>
        <v>0</v>
      </c>
      <c r="J19" s="1479">
        <f t="shared" si="6"/>
        <v>0</v>
      </c>
      <c r="K19" s="1479">
        <f t="shared" si="6"/>
        <v>0</v>
      </c>
      <c r="L19" s="1479">
        <f t="shared" si="6"/>
        <v>0</v>
      </c>
      <c r="M19" s="1479">
        <f t="shared" si="6"/>
        <v>0</v>
      </c>
      <c r="N19" s="1479">
        <f t="shared" si="6"/>
        <v>0</v>
      </c>
      <c r="O19" s="1479">
        <f t="shared" si="6"/>
        <v>0</v>
      </c>
      <c r="P19" s="1479">
        <f t="shared" si="6"/>
        <v>0</v>
      </c>
      <c r="Q19" s="1479">
        <f t="shared" si="6"/>
        <v>0</v>
      </c>
      <c r="R19" s="1479">
        <f t="shared" si="6"/>
        <v>0</v>
      </c>
      <c r="S19" s="1479">
        <f t="shared" si="6"/>
        <v>0</v>
      </c>
      <c r="T19" s="1479">
        <f t="shared" si="6"/>
        <v>0</v>
      </c>
      <c r="U19" s="1479">
        <f t="shared" si="6"/>
        <v>0</v>
      </c>
      <c r="V19" s="1479">
        <f t="shared" si="6"/>
        <v>0</v>
      </c>
      <c r="W19" s="1479">
        <f t="shared" si="6"/>
        <v>0</v>
      </c>
      <c r="X19" s="1479">
        <f t="shared" si="6"/>
        <v>0</v>
      </c>
      <c r="Y19" s="1479">
        <f t="shared" si="6"/>
        <v>0</v>
      </c>
      <c r="Z19" s="1479">
        <f t="shared" si="6"/>
        <v>0</v>
      </c>
      <c r="AA19" s="1479">
        <f t="shared" si="6"/>
        <v>0</v>
      </c>
      <c r="AB19" s="1479">
        <f t="shared" si="6"/>
        <v>0</v>
      </c>
      <c r="AC19" s="1479">
        <f t="shared" si="6"/>
        <v>0</v>
      </c>
      <c r="AD19" s="1479">
        <f t="shared" si="6"/>
        <v>0</v>
      </c>
      <c r="AE19" s="1479">
        <f t="shared" si="6"/>
        <v>0</v>
      </c>
      <c r="AF19" s="1479">
        <f t="shared" si="6"/>
        <v>0</v>
      </c>
      <c r="AG19" s="1479">
        <f t="shared" si="6"/>
        <v>0</v>
      </c>
      <c r="AH19" s="1479">
        <f t="shared" si="6"/>
        <v>290</v>
      </c>
      <c r="AI19" s="1479">
        <f t="shared" si="6"/>
        <v>0</v>
      </c>
      <c r="AJ19" s="1523">
        <f>AJ11+AJ13+AJ15+AJ9+AJ18</f>
        <v>290</v>
      </c>
      <c r="AK19" s="1523">
        <f>AK11+AK13+AK15+AK9+AK18</f>
        <v>144.59399999999999</v>
      </c>
      <c r="AL19" s="1479"/>
      <c r="AM19" s="1524">
        <f>+AK19+'sản lượng'!AL90</f>
        <v>64092.594000000005</v>
      </c>
      <c r="AN19" s="1525"/>
    </row>
    <row r="20" spans="1:40" s="1483" customFormat="1" ht="13.9" customHeight="1">
      <c r="A20" s="1494"/>
      <c r="B20" s="1494"/>
      <c r="C20" s="1494"/>
      <c r="D20" s="1494"/>
      <c r="E20" s="1477"/>
      <c r="F20" s="1477"/>
      <c r="G20" s="1477"/>
      <c r="H20" s="1477"/>
      <c r="I20" s="1477"/>
      <c r="J20" s="1477"/>
      <c r="K20" s="1477"/>
      <c r="L20" s="1477"/>
      <c r="M20" s="1477"/>
      <c r="N20" s="1477"/>
      <c r="O20" s="1477"/>
      <c r="P20" s="1477"/>
      <c r="Q20" s="1477"/>
      <c r="R20" s="1477"/>
      <c r="S20" s="1477"/>
      <c r="T20" s="1477"/>
      <c r="U20" s="1477"/>
      <c r="V20" s="1477"/>
      <c r="W20" s="1477"/>
      <c r="X20" s="1477"/>
      <c r="Y20" s="1478"/>
      <c r="Z20" s="1478"/>
      <c r="AA20" s="1478"/>
      <c r="AB20" s="1478"/>
      <c r="AC20" s="1478"/>
      <c r="AD20" s="1478"/>
      <c r="AE20" s="1478"/>
      <c r="AF20" s="1478"/>
      <c r="AG20" s="1478"/>
      <c r="AH20" s="1478"/>
      <c r="AI20" s="1478"/>
      <c r="AJ20" s="1480"/>
      <c r="AK20" s="1480"/>
      <c r="AL20" s="1478"/>
      <c r="AN20" s="1525"/>
    </row>
    <row r="21" spans="1:40" ht="22.9" customHeight="1">
      <c r="A21" s="1495"/>
      <c r="B21" s="1495"/>
      <c r="C21" s="1495"/>
      <c r="D21" s="1496"/>
      <c r="E21" s="1497"/>
      <c r="F21" s="1497"/>
      <c r="G21" s="1498"/>
      <c r="H21" s="1498"/>
      <c r="I21" s="1498"/>
      <c r="J21" s="1506"/>
      <c r="K21" s="1498"/>
      <c r="L21" s="1498"/>
      <c r="M21" s="1498"/>
      <c r="N21" s="1507"/>
      <c r="O21" s="1507"/>
      <c r="P21" s="1507"/>
      <c r="Q21" s="1507"/>
      <c r="R21" s="1498"/>
      <c r="T21" s="1498"/>
      <c r="U21" s="1498"/>
      <c r="V21" s="1498"/>
      <c r="W21" s="1510"/>
      <c r="X21" s="1510"/>
      <c r="Z21" s="1510"/>
      <c r="AA21" s="1510"/>
      <c r="AB21" s="1510"/>
      <c r="AC21" s="1510"/>
      <c r="AD21" s="1510"/>
      <c r="AE21" s="1510"/>
      <c r="AF21" s="1510"/>
      <c r="AG21" s="1510"/>
      <c r="AI21" s="1510"/>
      <c r="AJ21" s="1510"/>
      <c r="AK21" s="1510"/>
      <c r="AL21" s="1510"/>
      <c r="AN21" s="1526"/>
    </row>
    <row r="22" spans="1:40" s="1484" customFormat="1" ht="12.75">
      <c r="A22" s="1499" t="s">
        <v>614</v>
      </c>
      <c r="B22" s="1500"/>
      <c r="C22" s="1500"/>
      <c r="D22" s="1499"/>
      <c r="E22" s="1499"/>
      <c r="F22" s="1499"/>
      <c r="J22" s="1484" t="s">
        <v>1945</v>
      </c>
      <c r="Q22" s="1499" t="s">
        <v>1946</v>
      </c>
      <c r="R22" s="1499"/>
      <c r="S22" s="1499"/>
      <c r="U22" s="1499"/>
      <c r="V22" s="1499"/>
      <c r="W22" s="1499"/>
      <c r="X22" s="1499"/>
      <c r="Z22" s="1499" t="s">
        <v>1947</v>
      </c>
      <c r="AA22" s="1499"/>
      <c r="AB22" s="1499"/>
      <c r="AG22" s="1484" t="s">
        <v>1948</v>
      </c>
      <c r="AJ22" s="1484" t="s">
        <v>1964</v>
      </c>
    </row>
    <row r="23" spans="1:40">
      <c r="A23" s="1495"/>
      <c r="B23" s="1495"/>
      <c r="C23" s="1495"/>
      <c r="D23" s="1495"/>
      <c r="E23" s="1495"/>
      <c r="F23" s="1495"/>
      <c r="G23" s="1495"/>
      <c r="H23" s="1495"/>
      <c r="I23" s="1495"/>
      <c r="J23" s="1508"/>
      <c r="K23" s="1498"/>
      <c r="L23" s="1498"/>
      <c r="M23" s="1498"/>
      <c r="N23" s="1498"/>
      <c r="O23" s="1498"/>
      <c r="P23" s="1498"/>
      <c r="Q23" s="1506"/>
      <c r="R23" s="1498"/>
      <c r="S23" s="1498"/>
      <c r="T23" s="1498"/>
      <c r="U23" s="1498"/>
      <c r="V23" s="1498"/>
      <c r="W23" s="1498"/>
      <c r="X23" s="1498"/>
      <c r="Y23" s="1498"/>
      <c r="Z23" s="1498"/>
      <c r="AA23" s="1498"/>
      <c r="AB23" s="1498"/>
      <c r="AC23" s="1498"/>
      <c r="AD23" s="1513"/>
      <c r="AE23" s="1513"/>
      <c r="AF23" s="1513"/>
      <c r="AG23" s="1513"/>
      <c r="AH23" s="1513"/>
      <c r="AI23" s="1513"/>
      <c r="AJ23" s="1527"/>
      <c r="AK23" s="1527"/>
      <c r="AL23" s="1527"/>
    </row>
    <row r="24" spans="1:40" ht="15.75">
      <c r="A24" s="1495"/>
      <c r="B24" s="1495"/>
      <c r="C24" s="1495"/>
      <c r="D24" s="1495"/>
      <c r="E24" s="1501"/>
      <c r="F24" s="1495"/>
      <c r="G24" s="1501"/>
      <c r="H24" s="1501"/>
      <c r="I24" s="1501"/>
      <c r="J24" s="1508"/>
      <c r="K24" s="1498"/>
      <c r="L24" s="1498"/>
      <c r="M24" s="1509"/>
      <c r="N24" s="1498"/>
      <c r="O24" s="1498"/>
      <c r="P24" s="1498"/>
      <c r="Q24" s="1506"/>
      <c r="R24" s="1498"/>
      <c r="S24" s="1498"/>
      <c r="T24" s="1498"/>
      <c r="U24" s="1498"/>
      <c r="V24" s="1498"/>
      <c r="W24" s="1498"/>
      <c r="X24" s="1498"/>
      <c r="Y24" s="1498"/>
      <c r="Z24" s="1498"/>
      <c r="AA24" s="1498"/>
      <c r="AB24" s="1498"/>
      <c r="AC24" s="1498"/>
      <c r="AD24" s="1513"/>
      <c r="AE24" s="1513"/>
      <c r="AF24" s="1513"/>
      <c r="AG24" s="1513"/>
      <c r="AH24" s="1513"/>
      <c r="AI24" s="1513"/>
      <c r="AJ24" s="1527"/>
      <c r="AK24" s="1527"/>
      <c r="AL24" s="1527"/>
    </row>
    <row r="25" spans="1:40">
      <c r="A25" s="1495"/>
      <c r="B25" s="1495"/>
      <c r="C25" s="1495"/>
      <c r="D25" s="1495"/>
      <c r="E25" s="1498"/>
      <c r="F25" s="1498"/>
      <c r="G25" s="1498"/>
      <c r="H25" s="1498"/>
      <c r="I25" s="1498"/>
      <c r="J25" s="1508"/>
      <c r="K25" s="1498"/>
      <c r="L25" s="1498"/>
      <c r="M25" s="1498"/>
      <c r="N25" s="1498"/>
      <c r="O25" s="1498"/>
      <c r="P25" s="1498"/>
      <c r="Q25" s="1506"/>
      <c r="R25" s="1498"/>
      <c r="S25" s="1498"/>
      <c r="T25" s="1498"/>
      <c r="U25" s="1498"/>
      <c r="V25" s="1498"/>
      <c r="W25" s="1498"/>
      <c r="X25" s="1498"/>
      <c r="Y25" s="1498"/>
      <c r="Z25" s="1498"/>
      <c r="AA25" s="1498"/>
      <c r="AB25" s="1498"/>
      <c r="AC25" s="1498"/>
      <c r="AD25" s="1513"/>
      <c r="AE25" s="1513"/>
      <c r="AF25" s="1513"/>
      <c r="AG25" s="1513"/>
      <c r="AH25" s="1513"/>
      <c r="AI25" s="1513"/>
      <c r="AJ25" s="1509"/>
      <c r="AK25" s="1509"/>
      <c r="AL25" s="1509"/>
    </row>
    <row r="26" spans="1:40" ht="18" customHeight="1">
      <c r="A26" s="1495"/>
      <c r="B26" s="1495"/>
      <c r="C26" s="1495"/>
      <c r="D26" s="1495"/>
      <c r="E26" s="1498"/>
      <c r="F26" s="1498"/>
      <c r="G26" s="1498"/>
      <c r="H26" s="1498"/>
      <c r="I26" s="1498"/>
      <c r="J26" s="1508"/>
      <c r="K26" s="1498"/>
      <c r="L26" s="1498"/>
      <c r="M26" s="1498"/>
      <c r="N26" s="1498"/>
      <c r="O26" s="1498"/>
      <c r="P26" s="1498"/>
      <c r="Q26" s="1506"/>
      <c r="R26" s="1498"/>
      <c r="S26" s="1498"/>
      <c r="T26" s="1498"/>
      <c r="U26" s="1498"/>
      <c r="V26" s="1498"/>
      <c r="W26" s="1498"/>
      <c r="X26" s="1498"/>
      <c r="Y26" s="1498"/>
      <c r="Z26" s="1498"/>
      <c r="AA26" s="1498"/>
      <c r="AB26" s="1498"/>
      <c r="AC26" s="1498"/>
      <c r="AD26" s="1513"/>
      <c r="AE26" s="1513"/>
      <c r="AF26" s="1513"/>
      <c r="AG26" s="1513"/>
      <c r="AH26" s="1513"/>
      <c r="AI26" s="1513"/>
      <c r="AJ26" s="1509"/>
      <c r="AK26" s="1509"/>
      <c r="AL26" s="1509"/>
    </row>
    <row r="27" spans="1:40" s="1481" customFormat="1" ht="12.75">
      <c r="A27" s="1502"/>
      <c r="B27" s="1502"/>
      <c r="C27" s="1502"/>
      <c r="D27" s="1502"/>
      <c r="E27" s="1498"/>
      <c r="F27" s="1498"/>
      <c r="G27" s="1498"/>
      <c r="H27" s="1498"/>
      <c r="I27" s="1498"/>
      <c r="J27" s="1498"/>
      <c r="K27" s="1498"/>
      <c r="L27" s="1498"/>
      <c r="M27" s="1498"/>
      <c r="N27" s="1498"/>
      <c r="O27" s="1498"/>
      <c r="P27" s="1498"/>
      <c r="Q27" s="1498"/>
      <c r="R27" s="1498"/>
      <c r="S27" s="1498"/>
      <c r="T27" s="1498"/>
      <c r="U27" s="1498"/>
      <c r="V27" s="1498"/>
      <c r="W27" s="1498"/>
      <c r="X27" s="1498"/>
      <c r="Y27" s="1498"/>
      <c r="Z27" s="1498"/>
      <c r="AA27" s="1498"/>
      <c r="AB27" s="1498"/>
      <c r="AC27" s="1498"/>
      <c r="AD27" s="1498"/>
      <c r="AE27" s="1498"/>
      <c r="AF27" s="1498"/>
      <c r="AG27" s="1498"/>
      <c r="AH27" s="1498"/>
      <c r="AI27" s="1498"/>
      <c r="AJ27" s="1495"/>
      <c r="AK27" s="1495"/>
      <c r="AL27" s="1495"/>
    </row>
    <row r="28" spans="1:40" s="1481" customFormat="1" ht="11.25">
      <c r="A28" s="1502"/>
      <c r="B28" s="1502"/>
      <c r="C28" s="1502"/>
      <c r="D28" s="1502"/>
      <c r="E28" s="1503"/>
      <c r="F28" s="1503"/>
      <c r="G28" s="1503"/>
      <c r="H28" s="1503"/>
      <c r="I28" s="1503"/>
      <c r="J28" s="1503"/>
      <c r="K28" s="1503"/>
      <c r="L28" s="1503"/>
      <c r="M28" s="1503"/>
      <c r="N28" s="1503"/>
      <c r="O28" s="1503"/>
      <c r="P28" s="1503"/>
      <c r="Q28" s="1503"/>
      <c r="R28" s="1503"/>
      <c r="S28" s="1503"/>
      <c r="T28" s="1503"/>
      <c r="U28" s="1503"/>
      <c r="V28" s="1503"/>
      <c r="W28" s="1503"/>
      <c r="X28" s="1503"/>
      <c r="Y28" s="1503"/>
      <c r="Z28" s="1503"/>
      <c r="AA28" s="1503"/>
      <c r="AB28" s="1503"/>
      <c r="AC28" s="1503"/>
      <c r="AD28" s="1503"/>
      <c r="AE28" s="1503"/>
      <c r="AF28" s="1503"/>
      <c r="AG28" s="1503"/>
      <c r="AH28" s="1503"/>
      <c r="AI28" s="1503"/>
      <c r="AJ28" s="1502"/>
      <c r="AK28" s="1502"/>
      <c r="AL28" s="1502"/>
    </row>
    <row r="29" spans="1:40" s="1481" customFormat="1" ht="11.25">
      <c r="A29" s="1502"/>
      <c r="B29" s="1502"/>
      <c r="C29" s="1502"/>
      <c r="D29" s="1502"/>
      <c r="E29" s="1503"/>
      <c r="F29" s="1503"/>
      <c r="G29" s="1503"/>
      <c r="H29" s="1503"/>
      <c r="I29" s="1503"/>
      <c r="J29" s="1503"/>
      <c r="K29" s="1503"/>
      <c r="L29" s="1503"/>
      <c r="M29" s="1503"/>
      <c r="N29" s="1503"/>
      <c r="O29" s="1503"/>
      <c r="P29" s="1503"/>
      <c r="Q29" s="1503"/>
      <c r="R29" s="1503"/>
      <c r="S29" s="1503"/>
      <c r="T29" s="1503"/>
      <c r="U29" s="1503"/>
      <c r="V29" s="1503"/>
      <c r="W29" s="1503"/>
      <c r="X29" s="1503"/>
      <c r="Y29" s="1503"/>
      <c r="Z29" s="1503"/>
      <c r="AA29" s="1503"/>
      <c r="AB29" s="1503"/>
      <c r="AC29" s="1503"/>
      <c r="AD29" s="1503"/>
      <c r="AE29" s="1503"/>
      <c r="AF29" s="1503"/>
      <c r="AG29" s="1503"/>
      <c r="AH29" s="1503"/>
      <c r="AI29" s="1503"/>
      <c r="AJ29" s="1502"/>
      <c r="AK29" s="1502"/>
      <c r="AL29" s="1502"/>
    </row>
    <row r="30" spans="1:40" s="1481" customFormat="1" ht="11.25">
      <c r="A30" s="1502"/>
      <c r="B30" s="1502"/>
      <c r="C30" s="1502"/>
      <c r="D30" s="1502"/>
      <c r="E30" s="1503"/>
      <c r="F30" s="1503"/>
      <c r="G30" s="1503"/>
      <c r="H30" s="1503"/>
      <c r="I30" s="1503"/>
      <c r="J30" s="1503"/>
      <c r="K30" s="1503"/>
      <c r="L30" s="1503"/>
      <c r="M30" s="1503"/>
      <c r="N30" s="1503"/>
      <c r="O30" s="1503"/>
      <c r="P30" s="1503"/>
      <c r="Q30" s="1503"/>
      <c r="R30" s="1503"/>
      <c r="S30" s="1503"/>
      <c r="T30" s="1503"/>
      <c r="U30" s="1503"/>
      <c r="V30" s="1503"/>
      <c r="W30" s="1503"/>
      <c r="X30" s="1503"/>
      <c r="Y30" s="1503"/>
      <c r="Z30" s="1503"/>
      <c r="AA30" s="1503"/>
      <c r="AB30" s="1503"/>
      <c r="AC30" s="1503"/>
      <c r="AD30" s="1503"/>
      <c r="AE30" s="1503"/>
      <c r="AF30" s="1503"/>
      <c r="AG30" s="1503"/>
      <c r="AH30" s="1503"/>
      <c r="AI30" s="1503"/>
      <c r="AJ30" s="1502"/>
      <c r="AK30" s="1502"/>
      <c r="AL30" s="1502"/>
    </row>
    <row r="31" spans="1:40" s="1481" customFormat="1" ht="11.25">
      <c r="A31" s="1502"/>
      <c r="B31" s="1502"/>
      <c r="C31" s="1502"/>
      <c r="D31" s="1502"/>
      <c r="E31" s="1503"/>
      <c r="F31" s="1503"/>
      <c r="G31" s="1503"/>
      <c r="H31" s="1503"/>
      <c r="I31" s="1503"/>
      <c r="J31" s="1503"/>
      <c r="K31" s="1503"/>
      <c r="L31" s="1503"/>
      <c r="M31" s="1503"/>
      <c r="N31" s="1503"/>
      <c r="O31" s="1503"/>
      <c r="P31" s="1503"/>
      <c r="Q31" s="1503"/>
      <c r="R31" s="1503"/>
      <c r="S31" s="1503"/>
      <c r="T31" s="1503"/>
      <c r="U31" s="1503"/>
      <c r="V31" s="1503"/>
      <c r="W31" s="1503"/>
      <c r="X31" s="1503"/>
      <c r="Y31" s="1503"/>
      <c r="Z31" s="1503"/>
      <c r="AA31" s="1503"/>
      <c r="AB31" s="1503"/>
      <c r="AC31" s="1503"/>
      <c r="AD31" s="1503"/>
      <c r="AE31" s="1503"/>
      <c r="AF31" s="1503"/>
      <c r="AG31" s="1503"/>
      <c r="AH31" s="1503"/>
      <c r="AI31" s="1503"/>
      <c r="AJ31" s="1502"/>
      <c r="AK31" s="1502"/>
      <c r="AL31" s="1502"/>
    </row>
    <row r="32" spans="1:40" s="1481" customFormat="1" ht="11.25">
      <c r="A32" s="1502"/>
      <c r="B32" s="1502"/>
      <c r="C32" s="1502"/>
      <c r="D32" s="1502"/>
      <c r="E32" s="1503"/>
      <c r="F32" s="1503"/>
      <c r="G32" s="1503"/>
      <c r="H32" s="1503"/>
      <c r="I32" s="1503"/>
      <c r="J32" s="1503"/>
      <c r="K32" s="1503"/>
      <c r="L32" s="1503"/>
      <c r="M32" s="1503"/>
      <c r="N32" s="1503"/>
      <c r="O32" s="1503"/>
      <c r="P32" s="1503"/>
      <c r="Q32" s="1503"/>
      <c r="R32" s="1503"/>
      <c r="S32" s="1503"/>
      <c r="T32" s="1503"/>
      <c r="U32" s="1503"/>
      <c r="V32" s="1503"/>
      <c r="W32" s="1503"/>
      <c r="X32" s="1503"/>
      <c r="Y32" s="1503"/>
      <c r="Z32" s="1503"/>
      <c r="AA32" s="1503"/>
      <c r="AB32" s="1503"/>
      <c r="AC32" s="1503"/>
      <c r="AD32" s="1503"/>
      <c r="AE32" s="1503"/>
      <c r="AF32" s="1503"/>
      <c r="AG32" s="1503"/>
      <c r="AH32" s="1503"/>
      <c r="AI32" s="1503"/>
      <c r="AJ32" s="1502"/>
      <c r="AK32" s="1502"/>
      <c r="AL32" s="1502"/>
    </row>
    <row r="33" spans="1:38" s="1481" customFormat="1" ht="11.25">
      <c r="A33" s="1502"/>
      <c r="B33" s="1502"/>
      <c r="C33" s="1502"/>
      <c r="D33" s="1502"/>
      <c r="E33" s="1503"/>
      <c r="F33" s="1503"/>
      <c r="G33" s="1503"/>
      <c r="H33" s="1503"/>
      <c r="I33" s="1503"/>
      <c r="J33" s="1503"/>
      <c r="K33" s="1503"/>
      <c r="L33" s="1503"/>
      <c r="M33" s="1503"/>
      <c r="N33" s="1503"/>
      <c r="O33" s="1503"/>
      <c r="P33" s="1503"/>
      <c r="Q33" s="1503"/>
      <c r="R33" s="1503"/>
      <c r="S33" s="1503"/>
      <c r="T33" s="1503"/>
      <c r="U33" s="1503"/>
      <c r="V33" s="1503"/>
      <c r="W33" s="1503"/>
      <c r="X33" s="1503"/>
      <c r="Y33" s="1503"/>
      <c r="Z33" s="1503"/>
      <c r="AA33" s="1503"/>
      <c r="AB33" s="1503"/>
      <c r="AC33" s="1503"/>
      <c r="AD33" s="1503"/>
      <c r="AE33" s="1503"/>
      <c r="AF33" s="1503"/>
      <c r="AG33" s="1503"/>
      <c r="AH33" s="1503"/>
      <c r="AI33" s="1503"/>
      <c r="AJ33" s="1502"/>
      <c r="AK33" s="1502"/>
      <c r="AL33" s="1502"/>
    </row>
    <row r="34" spans="1:38" s="1481" customFormat="1" ht="11.25">
      <c r="A34" s="1502"/>
      <c r="B34" s="1502"/>
      <c r="C34" s="1502"/>
      <c r="D34" s="1502"/>
      <c r="E34" s="1503"/>
      <c r="F34" s="1503"/>
      <c r="G34" s="1503"/>
      <c r="H34" s="1503"/>
      <c r="I34" s="1503"/>
      <c r="J34" s="1503"/>
      <c r="K34" s="1503"/>
      <c r="L34" s="1503"/>
      <c r="M34" s="1503"/>
      <c r="N34" s="1503"/>
      <c r="O34" s="1503"/>
      <c r="P34" s="1503"/>
      <c r="Q34" s="1503"/>
      <c r="R34" s="1503"/>
      <c r="S34" s="1503"/>
      <c r="T34" s="1503"/>
      <c r="U34" s="1503"/>
      <c r="V34" s="1503"/>
      <c r="W34" s="1503"/>
      <c r="X34" s="1503"/>
      <c r="Y34" s="1503"/>
      <c r="Z34" s="1503"/>
      <c r="AA34" s="1503"/>
      <c r="AB34" s="1503"/>
      <c r="AC34" s="1503"/>
      <c r="AD34" s="1503"/>
      <c r="AE34" s="1503"/>
      <c r="AF34" s="1503"/>
      <c r="AG34" s="1503"/>
      <c r="AH34" s="1503"/>
      <c r="AI34" s="1503"/>
      <c r="AJ34" s="1502"/>
      <c r="AK34" s="1502"/>
      <c r="AL34" s="1502"/>
    </row>
    <row r="35" spans="1:38" s="1481" customFormat="1" ht="11.25">
      <c r="A35" s="1502"/>
      <c r="B35" s="1502"/>
      <c r="C35" s="1502"/>
      <c r="D35" s="1502"/>
      <c r="E35" s="1503"/>
      <c r="F35" s="1503"/>
      <c r="G35" s="1503"/>
      <c r="H35" s="1503"/>
      <c r="I35" s="1503"/>
      <c r="J35" s="1503"/>
      <c r="K35" s="1503"/>
      <c r="L35" s="1503"/>
      <c r="M35" s="1503"/>
      <c r="N35" s="1503"/>
      <c r="O35" s="1503"/>
      <c r="P35" s="1503"/>
      <c r="Q35" s="1503"/>
      <c r="R35" s="1503"/>
      <c r="S35" s="1503"/>
      <c r="T35" s="1503"/>
      <c r="U35" s="1503"/>
      <c r="V35" s="1503"/>
      <c r="W35" s="1503"/>
      <c r="X35" s="1503"/>
      <c r="Y35" s="1503"/>
      <c r="Z35" s="1503"/>
      <c r="AA35" s="1503"/>
      <c r="AB35" s="1503"/>
      <c r="AC35" s="1503"/>
      <c r="AD35" s="1503"/>
      <c r="AE35" s="1503"/>
      <c r="AF35" s="1503"/>
      <c r="AG35" s="1503"/>
      <c r="AH35" s="1503"/>
      <c r="AI35" s="1503"/>
      <c r="AJ35" s="1502"/>
      <c r="AK35" s="1502"/>
      <c r="AL35" s="1502"/>
    </row>
    <row r="36" spans="1:38" s="1481" customFormat="1" ht="11.25">
      <c r="A36" s="1502"/>
      <c r="B36" s="1502"/>
      <c r="C36" s="1502"/>
      <c r="D36" s="1502"/>
      <c r="E36" s="1503"/>
      <c r="F36" s="1503"/>
      <c r="G36" s="1503"/>
      <c r="H36" s="1503"/>
      <c r="I36" s="1503"/>
      <c r="J36" s="1503"/>
      <c r="K36" s="1503"/>
      <c r="L36" s="1503"/>
      <c r="M36" s="1503"/>
      <c r="N36" s="1503"/>
      <c r="O36" s="1503"/>
      <c r="P36" s="1503"/>
      <c r="Q36" s="1503"/>
      <c r="R36" s="1503"/>
      <c r="S36" s="1503"/>
      <c r="T36" s="1503"/>
      <c r="U36" s="1503"/>
      <c r="V36" s="1503"/>
      <c r="W36" s="1503"/>
      <c r="X36" s="1503"/>
      <c r="Y36" s="1503"/>
      <c r="Z36" s="1503"/>
      <c r="AA36" s="1503"/>
      <c r="AB36" s="1503"/>
      <c r="AC36" s="1503"/>
      <c r="AD36" s="1503"/>
      <c r="AE36" s="1503"/>
      <c r="AF36" s="1503"/>
      <c r="AG36" s="1503"/>
      <c r="AH36" s="1503"/>
      <c r="AI36" s="1503"/>
      <c r="AJ36" s="1502"/>
      <c r="AK36" s="1502"/>
      <c r="AL36" s="1502"/>
    </row>
    <row r="37" spans="1:38" s="1481" customFormat="1" ht="11.25">
      <c r="A37" s="1502"/>
      <c r="B37" s="1502"/>
      <c r="C37" s="1502"/>
      <c r="D37" s="1502"/>
      <c r="E37" s="1503"/>
      <c r="F37" s="1503"/>
      <c r="G37" s="1503"/>
      <c r="H37" s="1503"/>
      <c r="I37" s="1503"/>
      <c r="J37" s="1503"/>
      <c r="K37" s="1503"/>
      <c r="L37" s="1503"/>
      <c r="M37" s="1503"/>
      <c r="N37" s="1503"/>
      <c r="O37" s="1503"/>
      <c r="P37" s="1503"/>
      <c r="Q37" s="1503"/>
      <c r="R37" s="1503"/>
      <c r="S37" s="1503"/>
      <c r="T37" s="1503"/>
      <c r="U37" s="1503"/>
      <c r="V37" s="1503"/>
      <c r="W37" s="1503"/>
      <c r="X37" s="1503"/>
      <c r="Y37" s="1503"/>
      <c r="Z37" s="1503"/>
      <c r="AA37" s="1503"/>
      <c r="AB37" s="1503"/>
      <c r="AC37" s="1503"/>
      <c r="AD37" s="1503"/>
      <c r="AE37" s="1503"/>
      <c r="AF37" s="1503"/>
      <c r="AG37" s="1503"/>
      <c r="AH37" s="1503"/>
      <c r="AI37" s="1503"/>
      <c r="AJ37" s="1502"/>
      <c r="AK37" s="1502"/>
      <c r="AL37" s="1502"/>
    </row>
    <row r="38" spans="1:38" s="1481" customFormat="1" ht="11.25">
      <c r="A38" s="1502"/>
      <c r="B38" s="1502"/>
      <c r="C38" s="1502"/>
      <c r="D38" s="1502"/>
      <c r="E38" s="1502"/>
      <c r="F38" s="1502"/>
      <c r="G38" s="1502"/>
      <c r="H38" s="1503"/>
      <c r="I38" s="1503"/>
      <c r="J38" s="1503"/>
      <c r="K38" s="1503"/>
      <c r="L38" s="1503"/>
      <c r="M38" s="1503"/>
      <c r="N38" s="1503"/>
      <c r="O38" s="1503"/>
      <c r="P38" s="1503"/>
      <c r="Q38" s="1503"/>
      <c r="R38" s="1503"/>
      <c r="S38" s="1503"/>
      <c r="T38" s="1503"/>
      <c r="U38" s="1503"/>
      <c r="V38" s="1503"/>
      <c r="W38" s="1503"/>
      <c r="X38" s="1503"/>
      <c r="Y38" s="1503"/>
      <c r="Z38" s="1503"/>
      <c r="AA38" s="1503"/>
      <c r="AB38" s="1503"/>
      <c r="AC38" s="1503"/>
      <c r="AD38" s="1503"/>
      <c r="AE38" s="1503"/>
      <c r="AF38" s="1503"/>
      <c r="AG38" s="1503"/>
      <c r="AH38" s="1503"/>
      <c r="AI38" s="1503"/>
      <c r="AJ38" s="1502"/>
      <c r="AK38" s="1502"/>
      <c r="AL38" s="1502"/>
    </row>
    <row r="39" spans="1:38" s="1481" customFormat="1" ht="11.25">
      <c r="A39" s="1502"/>
      <c r="B39" s="1502"/>
      <c r="C39" s="1502"/>
      <c r="D39" s="1502"/>
      <c r="E39" s="1502"/>
      <c r="F39" s="1502"/>
      <c r="G39" s="1502"/>
      <c r="H39" s="1503"/>
      <c r="I39" s="1503"/>
      <c r="J39" s="1503"/>
      <c r="K39" s="1503"/>
      <c r="L39" s="1503"/>
      <c r="M39" s="1503"/>
      <c r="N39" s="1503"/>
      <c r="O39" s="1503"/>
      <c r="P39" s="1503"/>
      <c r="Q39" s="1503"/>
      <c r="R39" s="1503"/>
      <c r="S39" s="1503"/>
      <c r="T39" s="1503"/>
      <c r="U39" s="1503"/>
      <c r="V39" s="1503"/>
      <c r="W39" s="1503"/>
      <c r="X39" s="1503"/>
      <c r="Y39" s="1503"/>
      <c r="Z39" s="1503"/>
      <c r="AA39" s="1503"/>
      <c r="AB39" s="1503"/>
      <c r="AC39" s="1503"/>
      <c r="AD39" s="1503"/>
      <c r="AE39" s="1503"/>
      <c r="AF39" s="1503"/>
      <c r="AG39" s="1503"/>
      <c r="AH39" s="1503"/>
      <c r="AI39" s="1503"/>
      <c r="AJ39" s="1502"/>
      <c r="AK39" s="1502"/>
      <c r="AL39" s="1502"/>
    </row>
    <row r="40" spans="1:38" s="1481" customFormat="1" ht="11.25">
      <c r="A40" s="1502"/>
      <c r="B40" s="1502"/>
      <c r="C40" s="1502"/>
      <c r="D40" s="1502"/>
      <c r="E40" s="1502"/>
      <c r="F40" s="1502"/>
      <c r="G40" s="1502"/>
      <c r="H40" s="1503"/>
      <c r="I40" s="1503"/>
      <c r="J40" s="1503"/>
      <c r="K40" s="1503"/>
      <c r="L40" s="1503"/>
      <c r="M40" s="1503"/>
      <c r="N40" s="1503"/>
      <c r="O40" s="1503"/>
      <c r="P40" s="1503"/>
      <c r="Q40" s="1503"/>
      <c r="R40" s="1503"/>
      <c r="S40" s="1503"/>
      <c r="T40" s="1503"/>
      <c r="U40" s="1503"/>
      <c r="V40" s="1503"/>
      <c r="W40" s="1503"/>
      <c r="X40" s="1503"/>
      <c r="Y40" s="1503"/>
      <c r="Z40" s="1503"/>
      <c r="AA40" s="1503"/>
      <c r="AB40" s="1503"/>
      <c r="AC40" s="1503"/>
      <c r="AD40" s="1503"/>
      <c r="AE40" s="1503"/>
      <c r="AF40" s="1503"/>
      <c r="AG40" s="1503"/>
      <c r="AH40" s="1503"/>
      <c r="AI40" s="1503"/>
      <c r="AJ40" s="1502"/>
      <c r="AK40" s="1502"/>
      <c r="AL40" s="1502"/>
    </row>
    <row r="41" spans="1:38" s="1481" customFormat="1" ht="11.25">
      <c r="A41" s="1502"/>
      <c r="B41" s="1502"/>
      <c r="C41" s="1502"/>
      <c r="D41" s="1502"/>
      <c r="E41" s="1502"/>
      <c r="F41" s="1502"/>
      <c r="G41" s="1502"/>
      <c r="H41" s="1503"/>
      <c r="I41" s="1503"/>
      <c r="J41" s="1503"/>
      <c r="K41" s="1503"/>
      <c r="L41" s="1503"/>
      <c r="M41" s="1503"/>
      <c r="N41" s="1503"/>
      <c r="O41" s="1503"/>
      <c r="P41" s="1503"/>
      <c r="Q41" s="1503"/>
      <c r="R41" s="1503"/>
      <c r="S41" s="1503"/>
      <c r="T41" s="1503"/>
      <c r="U41" s="1503"/>
      <c r="V41" s="1503"/>
      <c r="W41" s="1503"/>
      <c r="X41" s="1503"/>
      <c r="Y41" s="1503"/>
      <c r="Z41" s="1503"/>
      <c r="AA41" s="1503"/>
      <c r="AB41" s="1503"/>
      <c r="AC41" s="1503"/>
      <c r="AD41" s="1503"/>
      <c r="AE41" s="1503"/>
      <c r="AF41" s="1503"/>
      <c r="AG41" s="1503"/>
      <c r="AH41" s="1503"/>
      <c r="AI41" s="1503"/>
      <c r="AJ41" s="1502"/>
      <c r="AK41" s="1502"/>
      <c r="AL41" s="1502"/>
    </row>
    <row r="42" spans="1:38" s="1481" customFormat="1" ht="11.25">
      <c r="A42" s="1502"/>
      <c r="B42" s="1502"/>
      <c r="C42" s="1502"/>
      <c r="D42" s="1502"/>
      <c r="E42" s="1502"/>
      <c r="F42" s="1502"/>
      <c r="G42" s="1502"/>
      <c r="H42" s="1503"/>
      <c r="I42" s="1503"/>
      <c r="J42" s="1503"/>
      <c r="K42" s="1503"/>
      <c r="L42" s="1503"/>
      <c r="M42" s="1503"/>
      <c r="N42" s="1503"/>
      <c r="O42" s="1503"/>
      <c r="P42" s="1503"/>
      <c r="Q42" s="1503"/>
      <c r="R42" s="1503"/>
      <c r="S42" s="1503"/>
      <c r="T42" s="1503"/>
      <c r="U42" s="1503"/>
      <c r="V42" s="1503"/>
      <c r="W42" s="1503"/>
      <c r="X42" s="1503"/>
      <c r="Y42" s="1503"/>
      <c r="Z42" s="1503"/>
      <c r="AA42" s="1503"/>
      <c r="AB42" s="1503"/>
      <c r="AC42" s="1503"/>
      <c r="AD42" s="1503"/>
      <c r="AE42" s="1503"/>
      <c r="AF42" s="1503"/>
      <c r="AG42" s="1503"/>
      <c r="AH42" s="1503"/>
      <c r="AI42" s="1503"/>
      <c r="AJ42" s="1502"/>
      <c r="AK42" s="1502"/>
      <c r="AL42" s="1502"/>
    </row>
    <row r="43" spans="1:38" s="1481" customFormat="1" ht="11.25">
      <c r="A43" s="1502"/>
      <c r="B43" s="1502"/>
      <c r="C43" s="1502"/>
      <c r="D43" s="1502"/>
      <c r="E43" s="1502"/>
      <c r="F43" s="1502"/>
      <c r="G43" s="1502"/>
      <c r="H43" s="1503"/>
      <c r="I43" s="1503"/>
      <c r="J43" s="1503"/>
      <c r="K43" s="1503"/>
      <c r="L43" s="1503"/>
      <c r="M43" s="1503"/>
      <c r="N43" s="1503"/>
      <c r="O43" s="1503"/>
      <c r="P43" s="1503"/>
      <c r="Q43" s="1503"/>
      <c r="R43" s="1503"/>
      <c r="S43" s="1503"/>
      <c r="T43" s="1503"/>
      <c r="U43" s="1503"/>
      <c r="V43" s="1503"/>
      <c r="W43" s="1503"/>
      <c r="X43" s="1503"/>
      <c r="Y43" s="1503"/>
      <c r="Z43" s="1503"/>
      <c r="AA43" s="1503"/>
      <c r="AB43" s="1503"/>
      <c r="AC43" s="1503"/>
      <c r="AD43" s="1503"/>
      <c r="AE43" s="1503"/>
      <c r="AF43" s="1503"/>
      <c r="AG43" s="1503"/>
      <c r="AH43" s="1503"/>
      <c r="AI43" s="1503"/>
      <c r="AJ43" s="1502"/>
      <c r="AK43" s="1502"/>
      <c r="AL43" s="1502"/>
    </row>
    <row r="44" spans="1:38" s="1481" customFormat="1" ht="11.25">
      <c r="A44" s="1502"/>
      <c r="B44" s="1502"/>
      <c r="C44" s="1502"/>
      <c r="D44" s="1502"/>
      <c r="E44" s="1502"/>
      <c r="F44" s="1502"/>
      <c r="G44" s="1502"/>
      <c r="H44" s="1503"/>
      <c r="I44" s="1503"/>
      <c r="J44" s="1503"/>
      <c r="K44" s="1503"/>
      <c r="L44" s="1503"/>
      <c r="M44" s="1503"/>
      <c r="N44" s="1503"/>
      <c r="O44" s="1503"/>
      <c r="P44" s="1503"/>
      <c r="Q44" s="1503"/>
      <c r="R44" s="1503"/>
      <c r="S44" s="1503"/>
      <c r="T44" s="1503"/>
      <c r="U44" s="1503"/>
      <c r="V44" s="1503"/>
      <c r="W44" s="1503"/>
      <c r="X44" s="1503"/>
      <c r="Y44" s="1503"/>
      <c r="Z44" s="1503"/>
      <c r="AA44" s="1503"/>
      <c r="AB44" s="1503"/>
      <c r="AC44" s="1503"/>
      <c r="AD44" s="1503"/>
      <c r="AE44" s="1503"/>
      <c r="AF44" s="1503"/>
      <c r="AG44" s="1503"/>
      <c r="AH44" s="1503"/>
      <c r="AI44" s="1503"/>
      <c r="AJ44" s="1502"/>
      <c r="AK44" s="1502"/>
      <c r="AL44" s="1502"/>
    </row>
    <row r="45" spans="1:38" s="1481" customFormat="1" ht="11.25">
      <c r="A45" s="1502"/>
      <c r="B45" s="1502"/>
      <c r="C45" s="1502"/>
      <c r="D45" s="1502"/>
      <c r="E45" s="1502"/>
      <c r="F45" s="1502"/>
      <c r="G45" s="1502"/>
      <c r="H45" s="1503"/>
      <c r="I45" s="1503"/>
      <c r="J45" s="1503"/>
      <c r="K45" s="1503"/>
      <c r="L45" s="1503"/>
      <c r="M45" s="1503"/>
      <c r="N45" s="1503"/>
      <c r="O45" s="1503"/>
      <c r="P45" s="1503"/>
      <c r="Q45" s="1503"/>
      <c r="R45" s="1503"/>
      <c r="S45" s="1503"/>
      <c r="T45" s="1503"/>
      <c r="U45" s="1503"/>
      <c r="V45" s="1503"/>
      <c r="W45" s="1503"/>
      <c r="X45" s="1503"/>
      <c r="Y45" s="1503"/>
      <c r="Z45" s="1503"/>
      <c r="AA45" s="1503"/>
      <c r="AB45" s="1503"/>
      <c r="AC45" s="1503"/>
      <c r="AD45" s="1503"/>
      <c r="AE45" s="1503"/>
      <c r="AF45" s="1503"/>
      <c r="AG45" s="1503"/>
      <c r="AH45" s="1503"/>
      <c r="AI45" s="1503"/>
      <c r="AJ45" s="1502"/>
      <c r="AK45" s="1502"/>
      <c r="AL45" s="1502"/>
    </row>
    <row r="46" spans="1:38" s="1481" customFormat="1" ht="11.25">
      <c r="A46" s="1502"/>
      <c r="B46" s="1502"/>
      <c r="C46" s="1502"/>
      <c r="D46" s="1502"/>
      <c r="E46" s="1502"/>
      <c r="F46" s="1502"/>
      <c r="G46" s="1502"/>
      <c r="H46" s="1503"/>
      <c r="I46" s="1503"/>
      <c r="J46" s="1503"/>
      <c r="K46" s="1503"/>
      <c r="L46" s="1503"/>
      <c r="M46" s="1503"/>
      <c r="N46" s="1503"/>
      <c r="O46" s="1503"/>
      <c r="P46" s="1503"/>
      <c r="Q46" s="1503"/>
      <c r="R46" s="1503"/>
      <c r="S46" s="1503"/>
      <c r="T46" s="1503"/>
      <c r="U46" s="1503"/>
      <c r="V46" s="1503"/>
      <c r="W46" s="1503"/>
      <c r="X46" s="1503"/>
      <c r="Y46" s="1503"/>
      <c r="Z46" s="1503"/>
      <c r="AA46" s="1503"/>
      <c r="AB46" s="1503"/>
      <c r="AC46" s="1503"/>
      <c r="AD46" s="1503"/>
      <c r="AE46" s="1503"/>
      <c r="AF46" s="1503"/>
      <c r="AG46" s="1503"/>
      <c r="AH46" s="1503"/>
      <c r="AI46" s="1503"/>
      <c r="AJ46" s="1502"/>
      <c r="AK46" s="1502"/>
      <c r="AL46" s="1502"/>
    </row>
    <row r="47" spans="1:38" s="1481" customFormat="1" ht="11.25">
      <c r="A47" s="1502"/>
      <c r="B47" s="1502"/>
      <c r="C47" s="1502"/>
      <c r="D47" s="1502"/>
      <c r="E47" s="1502"/>
      <c r="F47" s="1502"/>
      <c r="G47" s="1502"/>
      <c r="H47" s="1503"/>
      <c r="I47" s="1503"/>
      <c r="J47" s="1503"/>
      <c r="K47" s="1503"/>
      <c r="L47" s="1503"/>
      <c r="M47" s="1503"/>
      <c r="N47" s="1503"/>
      <c r="O47" s="1503"/>
      <c r="P47" s="1503"/>
      <c r="Q47" s="1503"/>
      <c r="R47" s="1503"/>
      <c r="S47" s="1503"/>
      <c r="T47" s="1503"/>
      <c r="U47" s="1503"/>
      <c r="V47" s="1503"/>
      <c r="W47" s="1503"/>
      <c r="X47" s="1503"/>
      <c r="Y47" s="1503"/>
      <c r="Z47" s="1503"/>
      <c r="AA47" s="1503"/>
      <c r="AB47" s="1503"/>
      <c r="AC47" s="1503"/>
      <c r="AD47" s="1503"/>
      <c r="AE47" s="1503"/>
      <c r="AF47" s="1503"/>
      <c r="AG47" s="1503"/>
      <c r="AH47" s="1503"/>
      <c r="AI47" s="1503"/>
      <c r="AJ47" s="1502"/>
      <c r="AK47" s="1502"/>
      <c r="AL47" s="1502"/>
    </row>
    <row r="48" spans="1:38" s="1481" customFormat="1" ht="11.25">
      <c r="A48" s="1502"/>
      <c r="B48" s="1502"/>
      <c r="C48" s="1502"/>
      <c r="D48" s="1502"/>
      <c r="E48" s="1502"/>
      <c r="F48" s="1502"/>
      <c r="G48" s="1502"/>
      <c r="H48" s="1503"/>
      <c r="I48" s="1503"/>
      <c r="J48" s="1503"/>
      <c r="K48" s="1503"/>
      <c r="L48" s="1503"/>
      <c r="M48" s="1503"/>
      <c r="N48" s="1503"/>
      <c r="O48" s="1503"/>
      <c r="P48" s="1503"/>
      <c r="Q48" s="1503"/>
      <c r="R48" s="1503"/>
      <c r="S48" s="1503"/>
      <c r="T48" s="1503"/>
      <c r="U48" s="1503"/>
      <c r="V48" s="1503"/>
      <c r="W48" s="1503"/>
      <c r="X48" s="1503"/>
      <c r="Y48" s="1503"/>
      <c r="Z48" s="1503"/>
      <c r="AA48" s="1503"/>
      <c r="AB48" s="1503"/>
      <c r="AC48" s="1503"/>
      <c r="AD48" s="1503"/>
      <c r="AE48" s="1503"/>
      <c r="AF48" s="1503"/>
      <c r="AG48" s="1503"/>
      <c r="AH48" s="1503"/>
      <c r="AI48" s="1503"/>
      <c r="AJ48" s="1502"/>
      <c r="AK48" s="1502"/>
      <c r="AL48" s="1502"/>
    </row>
    <row r="49" spans="1:38" s="1481" customFormat="1" ht="11.25">
      <c r="A49" s="1502"/>
      <c r="B49" s="1502"/>
      <c r="C49" s="1502"/>
      <c r="D49" s="1502"/>
      <c r="E49" s="1502"/>
      <c r="F49" s="1502"/>
      <c r="G49" s="1502"/>
      <c r="H49" s="1503"/>
      <c r="I49" s="1503"/>
      <c r="J49" s="1503"/>
      <c r="K49" s="1503"/>
      <c r="L49" s="1503"/>
      <c r="M49" s="1503"/>
      <c r="N49" s="1503"/>
      <c r="O49" s="1503"/>
      <c r="P49" s="1503"/>
      <c r="Q49" s="1503"/>
      <c r="R49" s="1503"/>
      <c r="S49" s="1503"/>
      <c r="T49" s="1503"/>
      <c r="U49" s="1503"/>
      <c r="V49" s="1503"/>
      <c r="W49" s="1503"/>
      <c r="X49" s="1503"/>
      <c r="Y49" s="1503"/>
      <c r="Z49" s="1503"/>
      <c r="AA49" s="1503"/>
      <c r="AB49" s="1503"/>
      <c r="AC49" s="1503"/>
      <c r="AD49" s="1503"/>
      <c r="AE49" s="1503"/>
      <c r="AF49" s="1503"/>
      <c r="AG49" s="1503"/>
      <c r="AH49" s="1503"/>
      <c r="AI49" s="1503"/>
      <c r="AJ49" s="1502"/>
      <c r="AK49" s="1502"/>
      <c r="AL49" s="1502"/>
    </row>
    <row r="50" spans="1:38" s="1481" customFormat="1" ht="11.25">
      <c r="A50" s="1502"/>
      <c r="B50" s="1502"/>
      <c r="C50" s="1502"/>
      <c r="D50" s="1502"/>
      <c r="E50" s="1502"/>
      <c r="F50" s="1502"/>
      <c r="G50" s="1502"/>
      <c r="H50" s="1503"/>
      <c r="I50" s="1503"/>
      <c r="J50" s="1503"/>
      <c r="K50" s="1503"/>
      <c r="L50" s="1503"/>
      <c r="M50" s="1503"/>
      <c r="N50" s="1503"/>
      <c r="O50" s="1503"/>
      <c r="P50" s="1503"/>
      <c r="Q50" s="1503"/>
      <c r="R50" s="1503"/>
      <c r="S50" s="1503"/>
      <c r="T50" s="1503"/>
      <c r="U50" s="1503"/>
      <c r="V50" s="1503"/>
      <c r="W50" s="1503"/>
      <c r="X50" s="1503"/>
      <c r="Y50" s="1503"/>
      <c r="Z50" s="1503"/>
      <c r="AA50" s="1503"/>
      <c r="AB50" s="1503"/>
      <c r="AC50" s="1503"/>
      <c r="AD50" s="1503"/>
      <c r="AE50" s="1503"/>
      <c r="AF50" s="1503"/>
      <c r="AG50" s="1503"/>
      <c r="AH50" s="1503"/>
      <c r="AI50" s="1503"/>
      <c r="AJ50" s="1502"/>
      <c r="AK50" s="1502"/>
      <c r="AL50" s="1502"/>
    </row>
    <row r="51" spans="1:38" s="1481" customFormat="1" ht="11.25">
      <c r="A51" s="1502"/>
      <c r="B51" s="1502"/>
      <c r="C51" s="1502"/>
      <c r="D51" s="1502"/>
      <c r="E51" s="1502"/>
      <c r="F51" s="1502"/>
      <c r="G51" s="1502"/>
      <c r="H51" s="1503"/>
      <c r="I51" s="1503"/>
      <c r="J51" s="1503"/>
      <c r="K51" s="1503"/>
      <c r="L51" s="1503"/>
      <c r="M51" s="1503"/>
      <c r="N51" s="1503"/>
      <c r="O51" s="1503"/>
      <c r="P51" s="1503"/>
      <c r="Q51" s="1503"/>
      <c r="R51" s="1503"/>
      <c r="S51" s="1503"/>
      <c r="T51" s="1503"/>
      <c r="U51" s="1503"/>
      <c r="V51" s="1503"/>
      <c r="W51" s="1503"/>
      <c r="X51" s="1503"/>
      <c r="Y51" s="1503"/>
      <c r="Z51" s="1503"/>
      <c r="AA51" s="1503"/>
      <c r="AB51" s="1503"/>
      <c r="AC51" s="1503"/>
      <c r="AD51" s="1503"/>
      <c r="AE51" s="1503"/>
      <c r="AF51" s="1503"/>
      <c r="AG51" s="1503"/>
      <c r="AH51" s="1503"/>
      <c r="AI51" s="1503"/>
      <c r="AJ51" s="1502"/>
      <c r="AK51" s="1502"/>
      <c r="AL51" s="1502"/>
    </row>
    <row r="52" spans="1:38" s="1481" customFormat="1" ht="11.25">
      <c r="A52" s="1502"/>
      <c r="B52" s="1502"/>
      <c r="C52" s="1502"/>
      <c r="D52" s="1502"/>
      <c r="E52" s="1502"/>
      <c r="F52" s="1502"/>
      <c r="G52" s="1502"/>
      <c r="H52" s="1503"/>
      <c r="I52" s="1503"/>
      <c r="J52" s="1503"/>
      <c r="K52" s="1503"/>
      <c r="L52" s="1503"/>
      <c r="M52" s="1503"/>
      <c r="N52" s="1503"/>
      <c r="O52" s="1503"/>
      <c r="P52" s="1503"/>
      <c r="Q52" s="1503"/>
      <c r="R52" s="1503"/>
      <c r="S52" s="1503"/>
      <c r="T52" s="1503"/>
      <c r="U52" s="1503"/>
      <c r="V52" s="1503"/>
      <c r="W52" s="1503"/>
      <c r="X52" s="1503"/>
      <c r="Y52" s="1503"/>
      <c r="Z52" s="1503"/>
      <c r="AA52" s="1503"/>
      <c r="AB52" s="1503"/>
      <c r="AC52" s="1503"/>
      <c r="AD52" s="1503"/>
      <c r="AE52" s="1503"/>
      <c r="AF52" s="1503"/>
      <c r="AG52" s="1503"/>
      <c r="AH52" s="1503"/>
      <c r="AI52" s="1503"/>
      <c r="AJ52" s="1502"/>
      <c r="AK52" s="1502"/>
      <c r="AL52" s="1502"/>
    </row>
    <row r="53" spans="1:38" s="1481" customFormat="1" ht="11.25">
      <c r="A53" s="1502"/>
      <c r="B53" s="1502"/>
      <c r="C53" s="1502"/>
      <c r="D53" s="1502"/>
      <c r="E53" s="1502"/>
      <c r="F53" s="1502"/>
      <c r="G53" s="1502"/>
      <c r="H53" s="1503"/>
      <c r="I53" s="1503"/>
      <c r="J53" s="1503"/>
      <c r="K53" s="1503"/>
      <c r="L53" s="1503"/>
      <c r="M53" s="1503"/>
      <c r="N53" s="1503"/>
      <c r="O53" s="1503"/>
      <c r="P53" s="1503"/>
      <c r="Q53" s="1503"/>
      <c r="R53" s="1503"/>
      <c r="S53" s="1503"/>
      <c r="T53" s="1503"/>
      <c r="U53" s="1503"/>
      <c r="V53" s="1503"/>
      <c r="W53" s="1503"/>
      <c r="X53" s="1503"/>
      <c r="Y53" s="1503"/>
      <c r="Z53" s="1503"/>
      <c r="AA53" s="1503"/>
      <c r="AB53" s="1503"/>
      <c r="AC53" s="1503"/>
      <c r="AD53" s="1503"/>
      <c r="AE53" s="1503"/>
      <c r="AF53" s="1503"/>
      <c r="AG53" s="1503"/>
      <c r="AH53" s="1503"/>
      <c r="AI53" s="1503"/>
      <c r="AJ53" s="1502"/>
      <c r="AK53" s="1502"/>
      <c r="AL53" s="1502"/>
    </row>
    <row r="54" spans="1:38" s="1481" customFormat="1" ht="11.25">
      <c r="A54" s="1502"/>
      <c r="B54" s="1502"/>
      <c r="C54" s="1502"/>
      <c r="D54" s="1502"/>
      <c r="E54" s="1502"/>
      <c r="F54" s="1502"/>
      <c r="G54" s="1502"/>
      <c r="H54" s="1503"/>
      <c r="I54" s="1503"/>
      <c r="J54" s="1503"/>
      <c r="K54" s="1503"/>
      <c r="L54" s="1503"/>
      <c r="M54" s="1503"/>
      <c r="N54" s="1503"/>
      <c r="O54" s="1503"/>
      <c r="P54" s="1503"/>
      <c r="Q54" s="1503"/>
      <c r="R54" s="1503"/>
      <c r="S54" s="1503"/>
      <c r="T54" s="1503"/>
      <c r="U54" s="1503"/>
      <c r="V54" s="1503"/>
      <c r="W54" s="1503"/>
      <c r="X54" s="1503"/>
      <c r="Y54" s="1503"/>
      <c r="Z54" s="1503"/>
      <c r="AA54" s="1503"/>
      <c r="AB54" s="1503"/>
      <c r="AC54" s="1503"/>
      <c r="AD54" s="1503"/>
      <c r="AE54" s="1503"/>
      <c r="AF54" s="1503"/>
      <c r="AG54" s="1503"/>
      <c r="AH54" s="1503"/>
      <c r="AI54" s="1503"/>
      <c r="AJ54" s="1502"/>
      <c r="AK54" s="1502"/>
      <c r="AL54" s="1502"/>
    </row>
    <row r="55" spans="1:38" s="1481" customFormat="1" ht="11.25">
      <c r="A55" s="1502"/>
      <c r="B55" s="1502"/>
      <c r="C55" s="1502"/>
      <c r="D55" s="1502"/>
      <c r="E55" s="1502"/>
      <c r="F55" s="1502"/>
      <c r="G55" s="1502"/>
      <c r="H55" s="1503"/>
      <c r="I55" s="1503"/>
      <c r="J55" s="1503"/>
      <c r="K55" s="1503"/>
      <c r="L55" s="1503"/>
      <c r="M55" s="1503"/>
      <c r="N55" s="1503"/>
      <c r="O55" s="1503"/>
      <c r="P55" s="1503"/>
      <c r="Q55" s="1503"/>
      <c r="R55" s="1503"/>
      <c r="S55" s="1503"/>
      <c r="T55" s="1503"/>
      <c r="U55" s="1503"/>
      <c r="V55" s="1503"/>
      <c r="W55" s="1503"/>
      <c r="X55" s="1503"/>
      <c r="Y55" s="1503"/>
      <c r="Z55" s="1503"/>
      <c r="AA55" s="1503"/>
      <c r="AB55" s="1503"/>
      <c r="AC55" s="1503"/>
      <c r="AD55" s="1503"/>
      <c r="AE55" s="1503"/>
      <c r="AF55" s="1503"/>
      <c r="AG55" s="1503"/>
      <c r="AH55" s="1503"/>
      <c r="AI55" s="1503"/>
      <c r="AJ55" s="1502"/>
      <c r="AK55" s="1502"/>
      <c r="AL55" s="1502"/>
    </row>
    <row r="56" spans="1:38" s="1481" customFormat="1" ht="11.25">
      <c r="A56" s="1502"/>
      <c r="B56" s="1502"/>
      <c r="C56" s="1502"/>
      <c r="D56" s="1502"/>
      <c r="E56" s="1502"/>
      <c r="F56" s="1502"/>
      <c r="G56" s="1502"/>
      <c r="H56" s="1503"/>
      <c r="I56" s="1503"/>
      <c r="J56" s="1503"/>
      <c r="K56" s="1503"/>
      <c r="L56" s="1503"/>
      <c r="M56" s="1503"/>
      <c r="N56" s="1503"/>
      <c r="O56" s="1503"/>
      <c r="P56" s="1503"/>
      <c r="Q56" s="1503"/>
      <c r="R56" s="1503"/>
      <c r="S56" s="1503"/>
      <c r="T56" s="1503"/>
      <c r="U56" s="1503"/>
      <c r="V56" s="1503"/>
      <c r="W56" s="1503"/>
      <c r="X56" s="1503"/>
      <c r="Y56" s="1503"/>
      <c r="Z56" s="1503"/>
      <c r="AA56" s="1503"/>
      <c r="AB56" s="1503"/>
      <c r="AC56" s="1503"/>
      <c r="AD56" s="1503"/>
      <c r="AE56" s="1503"/>
      <c r="AF56" s="1503"/>
      <c r="AG56" s="1503"/>
      <c r="AH56" s="1503"/>
      <c r="AI56" s="1503"/>
      <c r="AJ56" s="1502"/>
      <c r="AK56" s="1502"/>
      <c r="AL56" s="1502"/>
    </row>
    <row r="57" spans="1:38" s="1481" customFormat="1" ht="11.25">
      <c r="A57" s="1502"/>
      <c r="B57" s="1502"/>
      <c r="C57" s="1502"/>
      <c r="D57" s="1502"/>
      <c r="E57" s="1502"/>
      <c r="F57" s="1502"/>
      <c r="G57" s="1502"/>
      <c r="H57" s="1503"/>
      <c r="I57" s="1503"/>
      <c r="J57" s="1503"/>
      <c r="K57" s="1503"/>
      <c r="L57" s="1503"/>
      <c r="M57" s="1503"/>
      <c r="N57" s="1503"/>
      <c r="O57" s="1503"/>
      <c r="P57" s="1503"/>
      <c r="Q57" s="1503"/>
      <c r="R57" s="1503"/>
      <c r="S57" s="1503"/>
      <c r="T57" s="1503"/>
      <c r="U57" s="1503"/>
      <c r="V57" s="1503"/>
      <c r="W57" s="1503"/>
      <c r="X57" s="1503"/>
      <c r="Y57" s="1503"/>
      <c r="Z57" s="1503"/>
      <c r="AA57" s="1503"/>
      <c r="AB57" s="1503"/>
      <c r="AC57" s="1503"/>
      <c r="AD57" s="1503"/>
      <c r="AE57" s="1503"/>
      <c r="AF57" s="1503"/>
      <c r="AG57" s="1503"/>
      <c r="AH57" s="1503"/>
      <c r="AI57" s="1503"/>
      <c r="AJ57" s="1502"/>
      <c r="AK57" s="1502"/>
      <c r="AL57" s="1502"/>
    </row>
    <row r="58" spans="1:38" s="1481" customFormat="1" ht="11.25">
      <c r="A58" s="1502"/>
      <c r="B58" s="1502"/>
      <c r="C58" s="1502"/>
      <c r="D58" s="1502"/>
      <c r="E58" s="1502"/>
      <c r="F58" s="1502"/>
      <c r="G58" s="1502"/>
      <c r="H58" s="1503"/>
      <c r="I58" s="1503"/>
      <c r="J58" s="1503"/>
      <c r="K58" s="1503"/>
      <c r="L58" s="1503"/>
      <c r="M58" s="1503"/>
      <c r="N58" s="1503"/>
      <c r="O58" s="1503"/>
      <c r="P58" s="1503"/>
      <c r="Q58" s="1503"/>
      <c r="R58" s="1503"/>
      <c r="S58" s="1503"/>
      <c r="T58" s="1503"/>
      <c r="U58" s="1503"/>
      <c r="V58" s="1503"/>
      <c r="W58" s="1503"/>
      <c r="X58" s="1503"/>
      <c r="Y58" s="1503"/>
      <c r="Z58" s="1503"/>
      <c r="AA58" s="1503"/>
      <c r="AB58" s="1503"/>
      <c r="AC58" s="1503"/>
      <c r="AD58" s="1503"/>
      <c r="AE58" s="1503"/>
      <c r="AF58" s="1503"/>
      <c r="AG58" s="1503"/>
      <c r="AH58" s="1503"/>
      <c r="AI58" s="1503"/>
      <c r="AJ58" s="1502"/>
      <c r="AK58" s="1502"/>
      <c r="AL58" s="1502"/>
    </row>
    <row r="59" spans="1:38" s="1481" customFormat="1" ht="11.25">
      <c r="A59" s="1502"/>
      <c r="B59" s="1502"/>
      <c r="C59" s="1502"/>
      <c r="D59" s="1502"/>
      <c r="E59" s="1502"/>
      <c r="F59" s="1502"/>
      <c r="G59" s="1502"/>
      <c r="H59" s="1503"/>
      <c r="I59" s="1503"/>
      <c r="J59" s="1503"/>
      <c r="K59" s="1503"/>
      <c r="L59" s="1503"/>
      <c r="M59" s="1503"/>
      <c r="N59" s="1503"/>
      <c r="O59" s="1503"/>
      <c r="P59" s="1503"/>
      <c r="Q59" s="1503"/>
      <c r="R59" s="1503"/>
      <c r="S59" s="1503"/>
      <c r="T59" s="1503"/>
      <c r="U59" s="1503"/>
      <c r="V59" s="1503"/>
      <c r="W59" s="1503"/>
      <c r="X59" s="1503"/>
      <c r="Y59" s="1503"/>
      <c r="Z59" s="1503"/>
      <c r="AA59" s="1503"/>
      <c r="AB59" s="1503"/>
      <c r="AC59" s="1503"/>
      <c r="AD59" s="1503"/>
      <c r="AE59" s="1503"/>
      <c r="AF59" s="1503"/>
      <c r="AG59" s="1503"/>
      <c r="AH59" s="1503"/>
      <c r="AI59" s="1503"/>
      <c r="AJ59" s="1502"/>
      <c r="AK59" s="1502"/>
      <c r="AL59" s="1502"/>
    </row>
    <row r="60" spans="1:38" s="1481" customFormat="1" ht="11.25">
      <c r="A60" s="1502"/>
      <c r="B60" s="1502"/>
      <c r="C60" s="1502"/>
      <c r="D60" s="1502"/>
      <c r="E60" s="1502"/>
      <c r="F60" s="1502"/>
      <c r="G60" s="1502"/>
      <c r="H60" s="1503"/>
      <c r="I60" s="1503"/>
      <c r="J60" s="1503"/>
      <c r="K60" s="1503"/>
      <c r="L60" s="1503"/>
      <c r="M60" s="1503"/>
      <c r="N60" s="1503"/>
      <c r="O60" s="1503"/>
      <c r="P60" s="1503"/>
      <c r="Q60" s="1503"/>
      <c r="R60" s="1503"/>
      <c r="S60" s="1503"/>
      <c r="T60" s="1503"/>
      <c r="U60" s="1503"/>
      <c r="V60" s="1503"/>
      <c r="W60" s="1503"/>
      <c r="X60" s="1503"/>
      <c r="Y60" s="1503"/>
      <c r="Z60" s="1503"/>
      <c r="AA60" s="1503"/>
      <c r="AB60" s="1503"/>
      <c r="AC60" s="1503"/>
      <c r="AD60" s="1503"/>
      <c r="AE60" s="1503"/>
      <c r="AF60" s="1503"/>
      <c r="AG60" s="1503"/>
      <c r="AH60" s="1503"/>
      <c r="AI60" s="1503"/>
      <c r="AJ60" s="1502"/>
      <c r="AK60" s="1502"/>
      <c r="AL60" s="1502"/>
    </row>
    <row r="61" spans="1:38" s="1481" customFormat="1" ht="11.25">
      <c r="A61" s="1502"/>
      <c r="B61" s="1502"/>
      <c r="C61" s="1502"/>
      <c r="D61" s="1502"/>
      <c r="E61" s="1502"/>
      <c r="F61" s="1502"/>
      <c r="G61" s="1502"/>
      <c r="H61" s="1503"/>
      <c r="I61" s="1503"/>
      <c r="J61" s="1503"/>
      <c r="K61" s="1503"/>
      <c r="L61" s="1503"/>
      <c r="M61" s="1503"/>
      <c r="N61" s="1503"/>
      <c r="O61" s="1503"/>
      <c r="P61" s="1503"/>
      <c r="Q61" s="1503"/>
      <c r="R61" s="1503"/>
      <c r="S61" s="1503"/>
      <c r="T61" s="1503"/>
      <c r="U61" s="1503"/>
      <c r="V61" s="1503"/>
      <c r="W61" s="1503"/>
      <c r="X61" s="1503"/>
      <c r="Y61" s="1503"/>
      <c r="Z61" s="1503"/>
      <c r="AA61" s="1503"/>
      <c r="AB61" s="1503"/>
      <c r="AC61" s="1503"/>
      <c r="AD61" s="1503"/>
      <c r="AE61" s="1503"/>
      <c r="AF61" s="1503"/>
      <c r="AG61" s="1503"/>
      <c r="AH61" s="1503"/>
      <c r="AI61" s="1503"/>
      <c r="AJ61" s="1502"/>
      <c r="AK61" s="1502"/>
      <c r="AL61" s="1502"/>
    </row>
    <row r="62" spans="1:38" s="1481" customFormat="1" ht="11.25">
      <c r="A62" s="1502"/>
      <c r="B62" s="1502"/>
      <c r="C62" s="1502"/>
      <c r="D62" s="1502"/>
      <c r="E62" s="1502"/>
      <c r="F62" s="1502"/>
      <c r="G62" s="1502"/>
      <c r="H62" s="1503"/>
      <c r="I62" s="1503"/>
      <c r="J62" s="1503"/>
      <c r="K62" s="1503"/>
      <c r="L62" s="1503"/>
      <c r="M62" s="1503"/>
      <c r="N62" s="1503"/>
      <c r="O62" s="1503"/>
      <c r="P62" s="1503"/>
      <c r="Q62" s="1503"/>
      <c r="R62" s="1503"/>
      <c r="S62" s="1503"/>
      <c r="T62" s="1503"/>
      <c r="U62" s="1503"/>
      <c r="V62" s="1503"/>
      <c r="W62" s="1503"/>
      <c r="X62" s="1503"/>
      <c r="Y62" s="1503"/>
      <c r="Z62" s="1503"/>
      <c r="AA62" s="1503"/>
      <c r="AB62" s="1503"/>
      <c r="AC62" s="1503"/>
      <c r="AD62" s="1503"/>
      <c r="AE62" s="1503"/>
      <c r="AF62" s="1503"/>
      <c r="AG62" s="1503"/>
      <c r="AH62" s="1503"/>
      <c r="AI62" s="1503"/>
      <c r="AJ62" s="1502"/>
      <c r="AK62" s="1502"/>
      <c r="AL62" s="1502"/>
    </row>
    <row r="63" spans="1:38" s="1481" customFormat="1" ht="11.25">
      <c r="A63" s="1502"/>
      <c r="B63" s="1502"/>
      <c r="C63" s="1502"/>
      <c r="D63" s="1502"/>
      <c r="E63" s="1502"/>
      <c r="F63" s="1502"/>
      <c r="G63" s="1502"/>
      <c r="H63" s="1503"/>
      <c r="I63" s="1503"/>
      <c r="J63" s="1503"/>
      <c r="K63" s="1503"/>
      <c r="L63" s="1503"/>
      <c r="M63" s="1503"/>
      <c r="N63" s="1503"/>
      <c r="O63" s="1503"/>
      <c r="P63" s="1503"/>
      <c r="Q63" s="1503"/>
      <c r="R63" s="1503"/>
      <c r="S63" s="1503"/>
      <c r="T63" s="1503"/>
      <c r="U63" s="1503"/>
      <c r="V63" s="1503"/>
      <c r="W63" s="1503"/>
      <c r="X63" s="1503"/>
      <c r="Y63" s="1503"/>
      <c r="Z63" s="1503"/>
      <c r="AA63" s="1503"/>
      <c r="AB63" s="1503"/>
      <c r="AC63" s="1503"/>
      <c r="AD63" s="1503"/>
      <c r="AE63" s="1503"/>
      <c r="AF63" s="1503"/>
      <c r="AG63" s="1503"/>
      <c r="AH63" s="1503"/>
      <c r="AI63" s="1503"/>
      <c r="AJ63" s="1502"/>
      <c r="AK63" s="1502"/>
      <c r="AL63" s="1502"/>
    </row>
    <row r="64" spans="1:38" s="1481" customFormat="1" ht="11.25">
      <c r="A64" s="1502"/>
      <c r="B64" s="1502"/>
      <c r="C64" s="1502"/>
      <c r="D64" s="1502"/>
      <c r="E64" s="1502"/>
      <c r="F64" s="1502"/>
      <c r="G64" s="1502"/>
      <c r="H64" s="1503"/>
      <c r="I64" s="1503"/>
      <c r="J64" s="1503"/>
      <c r="K64" s="1503"/>
      <c r="L64" s="1503"/>
      <c r="M64" s="1503"/>
      <c r="N64" s="1503"/>
      <c r="O64" s="1503"/>
      <c r="P64" s="1503"/>
      <c r="Q64" s="1503"/>
      <c r="R64" s="1503"/>
      <c r="S64" s="1503"/>
      <c r="T64" s="1503"/>
      <c r="U64" s="1503"/>
      <c r="V64" s="1503"/>
      <c r="W64" s="1503"/>
      <c r="X64" s="1503"/>
      <c r="Y64" s="1503"/>
      <c r="Z64" s="1503"/>
      <c r="AA64" s="1503"/>
      <c r="AB64" s="1503"/>
      <c r="AC64" s="1502"/>
      <c r="AD64" s="1502"/>
      <c r="AE64" s="1502"/>
      <c r="AF64" s="1502"/>
      <c r="AG64" s="1502"/>
      <c r="AH64" s="1502"/>
      <c r="AI64" s="1502"/>
      <c r="AJ64" s="1502"/>
      <c r="AK64" s="1502"/>
      <c r="AL64" s="1502"/>
    </row>
    <row r="65" spans="1:38" s="1481" customFormat="1" ht="11.25">
      <c r="A65" s="1502"/>
      <c r="B65" s="1502"/>
      <c r="C65" s="1502"/>
      <c r="D65" s="1502"/>
      <c r="E65" s="1502"/>
      <c r="F65" s="1502"/>
      <c r="G65" s="1502"/>
      <c r="H65" s="1503"/>
      <c r="I65" s="1503"/>
      <c r="J65" s="1503"/>
      <c r="K65" s="1503"/>
      <c r="L65" s="1503"/>
      <c r="M65" s="1503"/>
      <c r="N65" s="1503"/>
      <c r="O65" s="1503"/>
      <c r="P65" s="1503"/>
      <c r="Q65" s="1503"/>
      <c r="R65" s="1503"/>
      <c r="S65" s="1503"/>
      <c r="T65" s="1503"/>
      <c r="U65" s="1503"/>
      <c r="V65" s="1503"/>
      <c r="W65" s="1503"/>
      <c r="X65" s="1503"/>
      <c r="Y65" s="1503"/>
      <c r="Z65" s="1503"/>
      <c r="AA65" s="1503"/>
      <c r="AB65" s="1503"/>
      <c r="AC65" s="1502"/>
      <c r="AD65" s="1502"/>
      <c r="AE65" s="1502"/>
      <c r="AF65" s="1502"/>
      <c r="AG65" s="1502"/>
      <c r="AH65" s="1502"/>
      <c r="AI65" s="1502"/>
      <c r="AJ65" s="1502"/>
      <c r="AK65" s="1502"/>
      <c r="AL65" s="1502"/>
    </row>
    <row r="66" spans="1:38" s="1481" customFormat="1" ht="11.25">
      <c r="A66" s="1502"/>
      <c r="B66" s="1502"/>
      <c r="C66" s="1502"/>
      <c r="D66" s="1502"/>
      <c r="E66" s="1502"/>
      <c r="F66" s="1502"/>
      <c r="G66" s="1502"/>
      <c r="H66" s="1503"/>
      <c r="I66" s="1503"/>
      <c r="J66" s="1503"/>
      <c r="K66" s="1503"/>
      <c r="L66" s="1503"/>
      <c r="M66" s="1503"/>
      <c r="N66" s="1503"/>
      <c r="O66" s="1503"/>
      <c r="P66" s="1503"/>
      <c r="Q66" s="1503"/>
      <c r="R66" s="1503"/>
      <c r="S66" s="1503"/>
      <c r="T66" s="1503"/>
      <c r="U66" s="1503"/>
      <c r="V66" s="1503"/>
      <c r="W66" s="1503"/>
      <c r="X66" s="1503"/>
      <c r="Y66" s="1503"/>
      <c r="Z66" s="1503"/>
      <c r="AA66" s="1503"/>
      <c r="AB66" s="1503"/>
      <c r="AC66" s="1502"/>
      <c r="AD66" s="1502"/>
      <c r="AE66" s="1502"/>
      <c r="AF66" s="1502"/>
      <c r="AG66" s="1502"/>
      <c r="AH66" s="1502"/>
      <c r="AI66" s="1502"/>
      <c r="AJ66" s="1502"/>
      <c r="AK66" s="1502"/>
      <c r="AL66" s="1502"/>
    </row>
    <row r="67" spans="1:38" s="1481" customFormat="1" ht="11.25">
      <c r="A67" s="1502"/>
      <c r="B67" s="1502"/>
      <c r="C67" s="1502"/>
      <c r="D67" s="1502"/>
      <c r="E67" s="1502"/>
      <c r="F67" s="1502"/>
      <c r="G67" s="1502"/>
      <c r="H67" s="1503"/>
      <c r="I67" s="1503"/>
      <c r="J67" s="1503"/>
      <c r="K67" s="1503"/>
      <c r="L67" s="1503"/>
      <c r="M67" s="1503"/>
      <c r="N67" s="1503"/>
      <c r="O67" s="1503"/>
      <c r="P67" s="1503"/>
      <c r="Q67" s="1503"/>
      <c r="R67" s="1503"/>
      <c r="S67" s="1503"/>
      <c r="T67" s="1503"/>
      <c r="U67" s="1503"/>
      <c r="V67" s="1503"/>
      <c r="W67" s="1503"/>
      <c r="X67" s="1503"/>
      <c r="Y67" s="1503"/>
      <c r="Z67" s="1503"/>
      <c r="AA67" s="1503"/>
      <c r="AB67" s="1503"/>
      <c r="AC67" s="1502"/>
      <c r="AD67" s="1502"/>
      <c r="AE67" s="1502"/>
      <c r="AF67" s="1502"/>
      <c r="AG67" s="1502"/>
      <c r="AH67" s="1502"/>
      <c r="AI67" s="1502"/>
      <c r="AJ67" s="1502"/>
      <c r="AK67" s="1502"/>
      <c r="AL67" s="1502"/>
    </row>
    <row r="68" spans="1:38" s="1481" customFormat="1" ht="11.25">
      <c r="A68" s="1502"/>
      <c r="B68" s="1502"/>
      <c r="C68" s="1502"/>
      <c r="D68" s="1502"/>
      <c r="E68" s="1502"/>
      <c r="F68" s="1502"/>
      <c r="G68" s="1502"/>
      <c r="H68" s="1503"/>
      <c r="I68" s="1503"/>
      <c r="J68" s="1503"/>
      <c r="K68" s="1503"/>
      <c r="L68" s="1503"/>
      <c r="M68" s="1503"/>
      <c r="N68" s="1503"/>
      <c r="O68" s="1503"/>
      <c r="P68" s="1503"/>
      <c r="Q68" s="1503"/>
      <c r="R68" s="1503"/>
      <c r="S68" s="1503"/>
      <c r="T68" s="1503"/>
      <c r="U68" s="1503"/>
      <c r="V68" s="1503"/>
      <c r="W68" s="1503"/>
      <c r="X68" s="1503"/>
      <c r="Y68" s="1503"/>
      <c r="Z68" s="1503"/>
      <c r="AA68" s="1503"/>
      <c r="AB68" s="1503"/>
      <c r="AC68" s="1502"/>
      <c r="AD68" s="1502"/>
      <c r="AE68" s="1502"/>
      <c r="AF68" s="1502"/>
      <c r="AG68" s="1502"/>
      <c r="AH68" s="1502"/>
      <c r="AI68" s="1502"/>
      <c r="AJ68" s="1502"/>
      <c r="AK68" s="1502"/>
      <c r="AL68" s="1502"/>
    </row>
    <row r="69" spans="1:38" s="1481" customFormat="1" ht="11.25">
      <c r="A69" s="1502"/>
      <c r="B69" s="1502"/>
      <c r="C69" s="1502"/>
      <c r="D69" s="1502"/>
      <c r="E69" s="1502"/>
      <c r="F69" s="1502"/>
      <c r="G69" s="1502"/>
      <c r="H69" s="1503"/>
      <c r="I69" s="1503"/>
      <c r="J69" s="1503"/>
      <c r="K69" s="1503"/>
      <c r="L69" s="1503"/>
      <c r="M69" s="1503"/>
      <c r="N69" s="1503"/>
      <c r="O69" s="1503"/>
      <c r="P69" s="1503"/>
      <c r="Q69" s="1503"/>
      <c r="R69" s="1503"/>
      <c r="S69" s="1503"/>
      <c r="T69" s="1503"/>
      <c r="U69" s="1503"/>
      <c r="V69" s="1503"/>
      <c r="W69" s="1503"/>
      <c r="X69" s="1503"/>
      <c r="Y69" s="1503"/>
      <c r="Z69" s="1503"/>
      <c r="AA69" s="1503"/>
      <c r="AB69" s="1503"/>
      <c r="AC69" s="1502"/>
      <c r="AD69" s="1502"/>
      <c r="AE69" s="1502"/>
      <c r="AF69" s="1502"/>
      <c r="AG69" s="1502"/>
      <c r="AH69" s="1502"/>
      <c r="AI69" s="1502"/>
      <c r="AJ69" s="1502"/>
      <c r="AK69" s="1502"/>
      <c r="AL69" s="1502"/>
    </row>
    <row r="70" spans="1:38" s="1481" customFormat="1" ht="11.25">
      <c r="A70" s="1502"/>
      <c r="B70" s="1502"/>
      <c r="C70" s="1502"/>
      <c r="D70" s="1502"/>
      <c r="E70" s="1502"/>
      <c r="F70" s="1502"/>
      <c r="G70" s="1502"/>
      <c r="H70" s="1503"/>
      <c r="I70" s="1503"/>
      <c r="J70" s="1503"/>
      <c r="K70" s="1503"/>
      <c r="L70" s="1503"/>
      <c r="M70" s="1503"/>
      <c r="N70" s="1503"/>
      <c r="O70" s="1503"/>
      <c r="P70" s="1503"/>
      <c r="Q70" s="1503"/>
      <c r="R70" s="1503"/>
      <c r="S70" s="1503"/>
      <c r="T70" s="1503"/>
      <c r="U70" s="1503"/>
      <c r="V70" s="1503"/>
      <c r="W70" s="1503"/>
      <c r="X70" s="1503"/>
      <c r="Y70" s="1503"/>
      <c r="Z70" s="1503"/>
      <c r="AA70" s="1503"/>
      <c r="AB70" s="1503"/>
      <c r="AC70" s="1502"/>
      <c r="AD70" s="1502"/>
      <c r="AE70" s="1502"/>
      <c r="AF70" s="1502"/>
      <c r="AG70" s="1502"/>
      <c r="AH70" s="1502"/>
      <c r="AI70" s="1502"/>
      <c r="AJ70" s="1502"/>
      <c r="AK70" s="1502"/>
      <c r="AL70" s="1502"/>
    </row>
    <row r="71" spans="1:38" s="1481" customFormat="1" ht="11.25">
      <c r="A71" s="1502"/>
      <c r="B71" s="1502"/>
      <c r="C71" s="1502"/>
      <c r="D71" s="1502"/>
      <c r="E71" s="1502"/>
      <c r="F71" s="1502"/>
      <c r="G71" s="1502"/>
      <c r="H71" s="1503"/>
      <c r="I71" s="1503"/>
      <c r="J71" s="1503"/>
      <c r="K71" s="1503"/>
      <c r="L71" s="1503"/>
      <c r="M71" s="1503"/>
      <c r="N71" s="1503"/>
      <c r="O71" s="1503"/>
      <c r="P71" s="1503"/>
      <c r="Q71" s="1503"/>
      <c r="R71" s="1503"/>
      <c r="S71" s="1503"/>
      <c r="T71" s="1503"/>
      <c r="U71" s="1503"/>
      <c r="V71" s="1503"/>
      <c r="W71" s="1503"/>
      <c r="X71" s="1503"/>
      <c r="Y71" s="1503"/>
      <c r="Z71" s="1503"/>
      <c r="AA71" s="1503"/>
      <c r="AB71" s="1503"/>
      <c r="AC71" s="1502"/>
      <c r="AD71" s="1502"/>
      <c r="AE71" s="1502"/>
      <c r="AF71" s="1502"/>
      <c r="AG71" s="1502"/>
      <c r="AH71" s="1502"/>
      <c r="AI71" s="1502"/>
      <c r="AJ71" s="1502"/>
      <c r="AK71" s="1502"/>
      <c r="AL71" s="1502"/>
    </row>
    <row r="72" spans="1:38" s="1481" customFormat="1" ht="11.25">
      <c r="A72" s="1502"/>
      <c r="B72" s="1502"/>
      <c r="C72" s="1502"/>
      <c r="D72" s="1502"/>
      <c r="E72" s="1502"/>
      <c r="F72" s="1502"/>
      <c r="G72" s="1502"/>
      <c r="H72" s="1503"/>
      <c r="I72" s="1503"/>
      <c r="J72" s="1503"/>
      <c r="K72" s="1503"/>
      <c r="L72" s="1503"/>
      <c r="M72" s="1503"/>
      <c r="N72" s="1503"/>
      <c r="O72" s="1503"/>
      <c r="P72" s="1503"/>
      <c r="Q72" s="1503"/>
      <c r="R72" s="1503"/>
      <c r="S72" s="1503"/>
      <c r="T72" s="1503"/>
      <c r="U72" s="1503"/>
      <c r="V72" s="1503"/>
      <c r="W72" s="1503"/>
      <c r="X72" s="1503"/>
      <c r="Y72" s="1503"/>
      <c r="Z72" s="1503"/>
      <c r="AA72" s="1503"/>
      <c r="AB72" s="1503"/>
      <c r="AC72" s="1502"/>
      <c r="AD72" s="1502"/>
      <c r="AE72" s="1502"/>
      <c r="AF72" s="1502"/>
      <c r="AG72" s="1502"/>
      <c r="AH72" s="1502"/>
      <c r="AI72" s="1502"/>
      <c r="AJ72" s="1502"/>
      <c r="AK72" s="1502"/>
      <c r="AL72" s="1502"/>
    </row>
    <row r="73" spans="1:38" s="1481" customFormat="1" ht="11.25">
      <c r="A73" s="1502"/>
      <c r="B73" s="1502"/>
      <c r="C73" s="1502"/>
      <c r="D73" s="1502"/>
      <c r="E73" s="1502"/>
      <c r="F73" s="1502"/>
      <c r="G73" s="1502"/>
      <c r="H73" s="1503"/>
      <c r="I73" s="1503"/>
      <c r="J73" s="1503"/>
      <c r="K73" s="1503"/>
      <c r="L73" s="1503"/>
      <c r="M73" s="1503"/>
      <c r="N73" s="1503"/>
      <c r="O73" s="1503"/>
      <c r="P73" s="1503"/>
      <c r="Q73" s="1503"/>
      <c r="R73" s="1503"/>
      <c r="S73" s="1503"/>
      <c r="T73" s="1503"/>
      <c r="U73" s="1503"/>
      <c r="V73" s="1503"/>
      <c r="W73" s="1503"/>
      <c r="X73" s="1503"/>
      <c r="Y73" s="1503"/>
      <c r="Z73" s="1503"/>
      <c r="AA73" s="1503"/>
      <c r="AB73" s="1503"/>
      <c r="AC73" s="1502"/>
      <c r="AD73" s="1502"/>
      <c r="AE73" s="1502"/>
      <c r="AF73" s="1502"/>
      <c r="AG73" s="1502"/>
      <c r="AH73" s="1502"/>
      <c r="AI73" s="1502"/>
      <c r="AJ73" s="1502"/>
      <c r="AK73" s="1502"/>
      <c r="AL73" s="1502"/>
    </row>
    <row r="74" spans="1:38" s="1481" customFormat="1" ht="11.25">
      <c r="A74" s="1502"/>
      <c r="B74" s="1502"/>
      <c r="C74" s="1502"/>
      <c r="D74" s="1502"/>
      <c r="E74" s="1502"/>
      <c r="F74" s="1502"/>
      <c r="G74" s="1502"/>
      <c r="H74" s="1503"/>
      <c r="I74" s="1503"/>
      <c r="J74" s="1503"/>
      <c r="K74" s="1503"/>
      <c r="L74" s="1503"/>
      <c r="M74" s="1503"/>
      <c r="N74" s="1503"/>
      <c r="O74" s="1503"/>
      <c r="P74" s="1503"/>
      <c r="Q74" s="1503"/>
      <c r="R74" s="1503"/>
      <c r="S74" s="1503"/>
      <c r="T74" s="1503"/>
      <c r="U74" s="1503"/>
      <c r="V74" s="1503"/>
      <c r="W74" s="1503"/>
      <c r="X74" s="1503"/>
      <c r="Y74" s="1503"/>
      <c r="Z74" s="1503"/>
      <c r="AA74" s="1503"/>
      <c r="AB74" s="1503"/>
      <c r="AC74" s="1502"/>
      <c r="AD74" s="1502"/>
      <c r="AE74" s="1502"/>
      <c r="AF74" s="1502"/>
      <c r="AG74" s="1502"/>
      <c r="AH74" s="1502"/>
      <c r="AI74" s="1502"/>
      <c r="AJ74" s="1502"/>
      <c r="AK74" s="1502"/>
      <c r="AL74" s="1502"/>
    </row>
    <row r="75" spans="1:38" s="1481" customFormat="1" ht="11.25">
      <c r="A75" s="1502"/>
      <c r="B75" s="1502"/>
      <c r="C75" s="1502"/>
      <c r="D75" s="1502"/>
      <c r="E75" s="1502"/>
      <c r="F75" s="1502"/>
      <c r="G75" s="1502"/>
      <c r="H75" s="1503"/>
      <c r="I75" s="1503"/>
      <c r="J75" s="1503"/>
      <c r="K75" s="1503"/>
      <c r="L75" s="1503"/>
      <c r="M75" s="1503"/>
      <c r="N75" s="1503"/>
      <c r="O75" s="1503"/>
      <c r="P75" s="1503"/>
      <c r="Q75" s="1503"/>
      <c r="R75" s="1503"/>
      <c r="S75" s="1503"/>
      <c r="T75" s="1503"/>
      <c r="U75" s="1503"/>
      <c r="V75" s="1503"/>
      <c r="W75" s="1503"/>
      <c r="X75" s="1503"/>
      <c r="Y75" s="1503"/>
      <c r="Z75" s="1503"/>
      <c r="AA75" s="1503"/>
      <c r="AB75" s="1503"/>
      <c r="AC75" s="1502"/>
      <c r="AD75" s="1502"/>
      <c r="AE75" s="1502"/>
      <c r="AF75" s="1502"/>
      <c r="AG75" s="1502"/>
      <c r="AH75" s="1502"/>
      <c r="AI75" s="1502"/>
      <c r="AJ75" s="1502"/>
      <c r="AK75" s="1502"/>
      <c r="AL75" s="1502"/>
    </row>
    <row r="76" spans="1:38" s="1481" customFormat="1" ht="11.25">
      <c r="A76" s="1502"/>
      <c r="B76" s="1502"/>
      <c r="C76" s="1502"/>
      <c r="D76" s="1502"/>
      <c r="E76" s="1502"/>
      <c r="F76" s="1502"/>
      <c r="G76" s="1502"/>
      <c r="H76" s="1503"/>
      <c r="I76" s="1503"/>
      <c r="J76" s="1503"/>
      <c r="K76" s="1503"/>
      <c r="L76" s="1503"/>
      <c r="M76" s="1503"/>
      <c r="N76" s="1503"/>
      <c r="O76" s="1503"/>
      <c r="P76" s="1503"/>
      <c r="Q76" s="1503"/>
      <c r="R76" s="1503"/>
      <c r="S76" s="1503"/>
      <c r="T76" s="1503"/>
      <c r="U76" s="1503"/>
      <c r="V76" s="1503"/>
      <c r="W76" s="1503"/>
      <c r="X76" s="1503"/>
      <c r="Y76" s="1503"/>
      <c r="Z76" s="1503"/>
      <c r="AA76" s="1503"/>
      <c r="AB76" s="1503"/>
      <c r="AC76" s="1502"/>
      <c r="AD76" s="1502"/>
      <c r="AE76" s="1502"/>
      <c r="AF76" s="1502"/>
      <c r="AG76" s="1502"/>
      <c r="AH76" s="1502"/>
      <c r="AI76" s="1502"/>
      <c r="AJ76" s="1502"/>
      <c r="AK76" s="1502"/>
      <c r="AL76" s="1502"/>
    </row>
    <row r="77" spans="1:38" s="1481" customFormat="1" ht="11.25">
      <c r="A77" s="1502"/>
      <c r="B77" s="1502"/>
      <c r="C77" s="1502"/>
      <c r="D77" s="1502"/>
      <c r="E77" s="1502"/>
      <c r="F77" s="1502"/>
      <c r="G77" s="1502"/>
      <c r="H77" s="1503"/>
      <c r="I77" s="1503"/>
      <c r="J77" s="1503"/>
      <c r="K77" s="1503"/>
      <c r="L77" s="1503"/>
      <c r="M77" s="1503"/>
      <c r="N77" s="1503"/>
      <c r="O77" s="1503"/>
      <c r="P77" s="1503"/>
      <c r="Q77" s="1503"/>
      <c r="R77" s="1503"/>
      <c r="S77" s="1503"/>
      <c r="T77" s="1503"/>
      <c r="U77" s="1503"/>
      <c r="V77" s="1503"/>
      <c r="W77" s="1503"/>
      <c r="X77" s="1503"/>
      <c r="Y77" s="1503"/>
      <c r="Z77" s="1503"/>
      <c r="AA77" s="1503"/>
      <c r="AB77" s="1503"/>
      <c r="AC77" s="1502"/>
      <c r="AD77" s="1502"/>
      <c r="AE77" s="1502"/>
      <c r="AF77" s="1502"/>
      <c r="AG77" s="1502"/>
      <c r="AH77" s="1502"/>
      <c r="AI77" s="1502"/>
      <c r="AJ77" s="1502"/>
      <c r="AK77" s="1502"/>
      <c r="AL77" s="1502"/>
    </row>
    <row r="78" spans="1:38" s="1481" customFormat="1" ht="11.25">
      <c r="A78" s="1502"/>
      <c r="B78" s="1502"/>
      <c r="C78" s="1502"/>
      <c r="D78" s="1502"/>
      <c r="E78" s="1502"/>
      <c r="F78" s="1502"/>
      <c r="G78" s="1502"/>
      <c r="H78" s="1503"/>
      <c r="I78" s="1503"/>
      <c r="J78" s="1503"/>
      <c r="K78" s="1503"/>
      <c r="L78" s="1503"/>
      <c r="M78" s="1503"/>
      <c r="N78" s="1503"/>
      <c r="O78" s="1503"/>
      <c r="P78" s="1503"/>
      <c r="Q78" s="1503"/>
      <c r="R78" s="1503"/>
      <c r="S78" s="1503"/>
      <c r="T78" s="1503"/>
      <c r="U78" s="1503"/>
      <c r="V78" s="1503"/>
      <c r="W78" s="1503"/>
      <c r="X78" s="1503"/>
      <c r="Y78" s="1503"/>
      <c r="Z78" s="1503"/>
      <c r="AA78" s="1503"/>
      <c r="AB78" s="1503"/>
      <c r="AC78" s="1502"/>
      <c r="AD78" s="1502"/>
      <c r="AE78" s="1502"/>
      <c r="AF78" s="1502"/>
      <c r="AG78" s="1502"/>
      <c r="AH78" s="1502"/>
      <c r="AI78" s="1502"/>
      <c r="AJ78" s="1502"/>
      <c r="AK78" s="1502"/>
      <c r="AL78" s="1502"/>
    </row>
    <row r="79" spans="1:38" s="1481" customFormat="1" ht="11.25">
      <c r="A79" s="1502"/>
      <c r="B79" s="1502"/>
      <c r="C79" s="1502"/>
      <c r="D79" s="1502"/>
      <c r="E79" s="1502"/>
      <c r="F79" s="1502"/>
      <c r="G79" s="1502"/>
      <c r="H79" s="1503"/>
      <c r="I79" s="1503"/>
      <c r="J79" s="1503"/>
      <c r="K79" s="1503"/>
      <c r="L79" s="1503"/>
      <c r="M79" s="1503"/>
      <c r="N79" s="1503"/>
      <c r="O79" s="1503"/>
      <c r="P79" s="1503"/>
      <c r="Q79" s="1503"/>
      <c r="R79" s="1503"/>
      <c r="S79" s="1503"/>
      <c r="T79" s="1503"/>
      <c r="U79" s="1503"/>
      <c r="V79" s="1503"/>
      <c r="W79" s="1503"/>
      <c r="X79" s="1503"/>
      <c r="Y79" s="1503"/>
      <c r="Z79" s="1503"/>
      <c r="AA79" s="1503"/>
      <c r="AB79" s="1503"/>
      <c r="AC79" s="1502"/>
      <c r="AD79" s="1502"/>
      <c r="AE79" s="1502"/>
      <c r="AF79" s="1502"/>
      <c r="AG79" s="1502"/>
      <c r="AH79" s="1502"/>
      <c r="AI79" s="1502"/>
      <c r="AJ79" s="1502"/>
      <c r="AK79" s="1502"/>
      <c r="AL79" s="1502"/>
    </row>
    <row r="80" spans="1:38" s="1481" customFormat="1" ht="11.25">
      <c r="A80" s="1502"/>
      <c r="B80" s="1502"/>
      <c r="C80" s="1502"/>
      <c r="D80" s="1502"/>
      <c r="E80" s="1502"/>
      <c r="F80" s="1502"/>
      <c r="G80" s="1502"/>
      <c r="H80" s="1503"/>
      <c r="I80" s="1503"/>
      <c r="J80" s="1503"/>
      <c r="K80" s="1503"/>
      <c r="L80" s="1503"/>
      <c r="M80" s="1503"/>
      <c r="N80" s="1503"/>
      <c r="O80" s="1503"/>
      <c r="P80" s="1503"/>
      <c r="Q80" s="1503"/>
      <c r="R80" s="1503"/>
      <c r="S80" s="1503"/>
      <c r="T80" s="1503"/>
      <c r="U80" s="1503"/>
      <c r="V80" s="1503"/>
      <c r="W80" s="1503"/>
      <c r="X80" s="1503"/>
      <c r="Y80" s="1503"/>
      <c r="Z80" s="1503"/>
      <c r="AA80" s="1503"/>
      <c r="AB80" s="1503"/>
      <c r="AC80" s="1502"/>
      <c r="AD80" s="1502"/>
      <c r="AE80" s="1502"/>
      <c r="AF80" s="1502"/>
      <c r="AG80" s="1502"/>
      <c r="AH80" s="1502"/>
      <c r="AI80" s="1502"/>
      <c r="AJ80" s="1502"/>
      <c r="AK80" s="1502"/>
      <c r="AL80" s="1502"/>
    </row>
    <row r="81" spans="1:38" s="1481" customFormat="1" ht="11.25">
      <c r="A81" s="1502"/>
      <c r="B81" s="1502"/>
      <c r="C81" s="1502"/>
      <c r="D81" s="1502"/>
      <c r="E81" s="1502"/>
      <c r="F81" s="1502"/>
      <c r="G81" s="1502"/>
      <c r="H81" s="1503"/>
      <c r="I81" s="1503"/>
      <c r="J81" s="1503"/>
      <c r="K81" s="1503"/>
      <c r="L81" s="1503"/>
      <c r="M81" s="1503"/>
      <c r="N81" s="1503"/>
      <c r="O81" s="1503"/>
      <c r="P81" s="1503"/>
      <c r="Q81" s="1503"/>
      <c r="R81" s="1503"/>
      <c r="S81" s="1503"/>
      <c r="T81" s="1503"/>
      <c r="U81" s="1503"/>
      <c r="V81" s="1503"/>
      <c r="W81" s="1503"/>
      <c r="X81" s="1503"/>
      <c r="Y81" s="1503"/>
      <c r="Z81" s="1503"/>
      <c r="AA81" s="1503"/>
      <c r="AB81" s="1503"/>
      <c r="AC81" s="1502"/>
      <c r="AD81" s="1502"/>
      <c r="AE81" s="1502"/>
      <c r="AF81" s="1502"/>
      <c r="AG81" s="1502"/>
      <c r="AH81" s="1502"/>
      <c r="AI81" s="1502"/>
      <c r="AJ81" s="1502"/>
      <c r="AK81" s="1502"/>
      <c r="AL81" s="1502"/>
    </row>
    <row r="82" spans="1:38" s="1481" customFormat="1" ht="11.25">
      <c r="A82" s="1502"/>
      <c r="B82" s="1502"/>
      <c r="C82" s="1502"/>
      <c r="D82" s="1502"/>
      <c r="E82" s="1502"/>
      <c r="F82" s="1502"/>
      <c r="G82" s="1502"/>
      <c r="H82" s="1503"/>
      <c r="I82" s="1503"/>
      <c r="J82" s="1503"/>
      <c r="K82" s="1503"/>
      <c r="L82" s="1503"/>
      <c r="M82" s="1503"/>
      <c r="N82" s="1503"/>
      <c r="O82" s="1503"/>
      <c r="P82" s="1503"/>
      <c r="Q82" s="1503"/>
      <c r="R82" s="1503"/>
      <c r="S82" s="1503"/>
      <c r="T82" s="1503"/>
      <c r="U82" s="1503"/>
      <c r="V82" s="1503"/>
      <c r="W82" s="1503"/>
      <c r="X82" s="1503"/>
      <c r="Y82" s="1503"/>
      <c r="Z82" s="1503"/>
      <c r="AA82" s="1503"/>
      <c r="AB82" s="1503"/>
      <c r="AC82" s="1502"/>
      <c r="AD82" s="1502"/>
      <c r="AE82" s="1502"/>
      <c r="AF82" s="1502"/>
      <c r="AG82" s="1502"/>
      <c r="AH82" s="1502"/>
      <c r="AI82" s="1502"/>
      <c r="AJ82" s="1502"/>
      <c r="AK82" s="1502"/>
      <c r="AL82" s="1502"/>
    </row>
    <row r="83" spans="1:38" s="1481" customFormat="1" ht="11.25">
      <c r="A83" s="1502"/>
      <c r="B83" s="1502"/>
      <c r="C83" s="1502"/>
      <c r="D83" s="1502"/>
      <c r="E83" s="1502"/>
      <c r="F83" s="1502"/>
      <c r="G83" s="1502"/>
      <c r="H83" s="1503"/>
      <c r="I83" s="1503"/>
      <c r="J83" s="1503"/>
      <c r="K83" s="1503"/>
      <c r="L83" s="1503"/>
      <c r="M83" s="1503"/>
      <c r="N83" s="1503"/>
      <c r="O83" s="1503"/>
      <c r="P83" s="1503"/>
      <c r="Q83" s="1503"/>
      <c r="R83" s="1503"/>
      <c r="S83" s="1503"/>
      <c r="T83" s="1503"/>
      <c r="U83" s="1503"/>
      <c r="V83" s="1503"/>
      <c r="W83" s="1503"/>
      <c r="X83" s="1503"/>
      <c r="Y83" s="1503"/>
      <c r="Z83" s="1503"/>
      <c r="AA83" s="1503"/>
      <c r="AB83" s="1503"/>
      <c r="AC83" s="1502"/>
      <c r="AD83" s="1502"/>
      <c r="AE83" s="1502"/>
      <c r="AF83" s="1502"/>
      <c r="AG83" s="1502"/>
      <c r="AH83" s="1502"/>
      <c r="AI83" s="1502"/>
      <c r="AJ83" s="1502"/>
      <c r="AK83" s="1502"/>
      <c r="AL83" s="1502"/>
    </row>
    <row r="84" spans="1:38" s="1481" customFormat="1" ht="11.25">
      <c r="A84" s="1502"/>
      <c r="B84" s="1502"/>
      <c r="C84" s="1502"/>
      <c r="D84" s="1502"/>
      <c r="E84" s="1502"/>
      <c r="F84" s="1502"/>
      <c r="G84" s="1502"/>
      <c r="H84" s="1503"/>
      <c r="I84" s="1503"/>
      <c r="J84" s="1503"/>
      <c r="K84" s="1503"/>
      <c r="L84" s="1503"/>
      <c r="M84" s="1503"/>
      <c r="N84" s="1503"/>
      <c r="O84" s="1503"/>
      <c r="P84" s="1503"/>
      <c r="Q84" s="1503"/>
      <c r="R84" s="1503"/>
      <c r="S84" s="1503"/>
      <c r="T84" s="1503"/>
      <c r="U84" s="1503"/>
      <c r="V84" s="1503"/>
      <c r="W84" s="1503"/>
      <c r="X84" s="1503"/>
      <c r="Y84" s="1503"/>
      <c r="Z84" s="1503"/>
      <c r="AA84" s="1503"/>
      <c r="AB84" s="1503"/>
      <c r="AC84" s="1502"/>
      <c r="AD84" s="1502"/>
      <c r="AE84" s="1502"/>
      <c r="AF84" s="1502"/>
      <c r="AG84" s="1502"/>
      <c r="AH84" s="1502"/>
      <c r="AI84" s="1502"/>
      <c r="AJ84" s="1502"/>
      <c r="AK84" s="1502"/>
      <c r="AL84" s="1502"/>
    </row>
    <row r="85" spans="1:38" s="1481" customFormat="1" ht="11.25">
      <c r="A85" s="1502"/>
      <c r="B85" s="1502"/>
      <c r="C85" s="1502"/>
      <c r="D85" s="1502"/>
      <c r="E85" s="1502"/>
      <c r="F85" s="1502"/>
      <c r="G85" s="1502"/>
      <c r="H85" s="1503"/>
      <c r="I85" s="1503"/>
      <c r="J85" s="1503"/>
      <c r="K85" s="1503"/>
      <c r="L85" s="1503"/>
      <c r="M85" s="1503"/>
      <c r="N85" s="1503"/>
      <c r="O85" s="1503"/>
      <c r="P85" s="1503"/>
      <c r="Q85" s="1503"/>
      <c r="R85" s="1503"/>
      <c r="S85" s="1503"/>
      <c r="T85" s="1503"/>
      <c r="U85" s="1503"/>
      <c r="V85" s="1503"/>
      <c r="W85" s="1503"/>
      <c r="X85" s="1503"/>
      <c r="Y85" s="1503"/>
      <c r="Z85" s="1503"/>
      <c r="AA85" s="1503"/>
      <c r="AB85" s="1503"/>
      <c r="AC85" s="1502"/>
      <c r="AD85" s="1502"/>
      <c r="AE85" s="1502"/>
      <c r="AF85" s="1502"/>
      <c r="AG85" s="1502"/>
      <c r="AH85" s="1502"/>
      <c r="AI85" s="1502"/>
      <c r="AJ85" s="1502"/>
      <c r="AK85" s="1502"/>
      <c r="AL85" s="1502"/>
    </row>
    <row r="86" spans="1:38" s="1481" customFormat="1" ht="11.25">
      <c r="A86" s="1502"/>
      <c r="B86" s="1502"/>
      <c r="C86" s="1502"/>
      <c r="D86" s="1502"/>
      <c r="E86" s="1502"/>
      <c r="F86" s="1502"/>
      <c r="G86" s="1502"/>
      <c r="H86" s="1503"/>
      <c r="I86" s="1503"/>
      <c r="J86" s="1503"/>
      <c r="K86" s="1503"/>
      <c r="L86" s="1503"/>
      <c r="M86" s="1503"/>
      <c r="N86" s="1503"/>
      <c r="O86" s="1503"/>
      <c r="P86" s="1503"/>
      <c r="Q86" s="1503"/>
      <c r="R86" s="1503"/>
      <c r="S86" s="1503"/>
      <c r="T86" s="1503"/>
      <c r="U86" s="1503"/>
      <c r="V86" s="1503"/>
      <c r="W86" s="1503"/>
      <c r="X86" s="1503"/>
      <c r="Y86" s="1503"/>
      <c r="Z86" s="1503"/>
      <c r="AA86" s="1503"/>
      <c r="AB86" s="1503"/>
      <c r="AC86" s="1502"/>
      <c r="AD86" s="1502"/>
      <c r="AE86" s="1502"/>
      <c r="AF86" s="1502"/>
      <c r="AG86" s="1502"/>
      <c r="AH86" s="1502"/>
      <c r="AI86" s="1502"/>
      <c r="AJ86" s="1502"/>
      <c r="AK86" s="1502"/>
      <c r="AL86" s="1502"/>
    </row>
    <row r="87" spans="1:38" s="1481" customFormat="1" ht="11.25">
      <c r="A87" s="1502"/>
      <c r="B87" s="1502"/>
      <c r="C87" s="1502"/>
      <c r="D87" s="1502"/>
      <c r="E87" s="1502"/>
      <c r="F87" s="1502"/>
      <c r="G87" s="1502"/>
      <c r="H87" s="1503"/>
      <c r="I87" s="1503"/>
      <c r="J87" s="1503"/>
      <c r="K87" s="1503"/>
      <c r="L87" s="1503"/>
      <c r="M87" s="1503"/>
      <c r="N87" s="1503"/>
      <c r="O87" s="1503"/>
      <c r="P87" s="1503"/>
      <c r="Q87" s="1503"/>
      <c r="R87" s="1503"/>
      <c r="S87" s="1503"/>
      <c r="T87" s="1503"/>
      <c r="U87" s="1503"/>
      <c r="V87" s="1503"/>
      <c r="W87" s="1503"/>
      <c r="X87" s="1503"/>
      <c r="Y87" s="1503"/>
      <c r="Z87" s="1503"/>
      <c r="AA87" s="1503"/>
      <c r="AB87" s="1503"/>
      <c r="AC87" s="1502"/>
      <c r="AD87" s="1502"/>
      <c r="AE87" s="1502"/>
      <c r="AF87" s="1502"/>
      <c r="AG87" s="1502"/>
      <c r="AH87" s="1502"/>
      <c r="AI87" s="1502"/>
      <c r="AJ87" s="1502"/>
      <c r="AK87" s="1502"/>
      <c r="AL87" s="1502"/>
    </row>
    <row r="88" spans="1:38" s="1481" customFormat="1" ht="11.25">
      <c r="A88" s="1502"/>
      <c r="B88" s="1502"/>
      <c r="C88" s="1502"/>
      <c r="D88" s="1502"/>
      <c r="E88" s="1502"/>
      <c r="F88" s="1502"/>
      <c r="G88" s="1502"/>
      <c r="H88" s="1503"/>
      <c r="I88" s="1503"/>
      <c r="J88" s="1503"/>
      <c r="K88" s="1503"/>
      <c r="L88" s="1503"/>
      <c r="M88" s="1503"/>
      <c r="N88" s="1503"/>
      <c r="O88" s="1503"/>
      <c r="P88" s="1503"/>
      <c r="Q88" s="1503"/>
      <c r="R88" s="1503"/>
      <c r="S88" s="1503"/>
      <c r="T88" s="1503"/>
      <c r="U88" s="1503"/>
      <c r="V88" s="1503"/>
      <c r="W88" s="1503"/>
      <c r="X88" s="1503"/>
      <c r="Y88" s="1503"/>
      <c r="Z88" s="1503"/>
      <c r="AA88" s="1503"/>
      <c r="AB88" s="1503"/>
      <c r="AC88" s="1502"/>
      <c r="AD88" s="1502"/>
      <c r="AE88" s="1502"/>
      <c r="AF88" s="1502"/>
      <c r="AG88" s="1502"/>
      <c r="AH88" s="1502"/>
      <c r="AI88" s="1502"/>
      <c r="AJ88" s="1502"/>
      <c r="AK88" s="1502"/>
      <c r="AL88" s="1502"/>
    </row>
    <row r="89" spans="1:38" s="1481" customFormat="1" ht="11.25">
      <c r="A89" s="1502"/>
      <c r="B89" s="1502"/>
      <c r="C89" s="1502"/>
      <c r="D89" s="1502"/>
      <c r="E89" s="1502"/>
      <c r="F89" s="1502"/>
      <c r="G89" s="1502"/>
      <c r="H89" s="1503"/>
      <c r="I89" s="1503"/>
      <c r="J89" s="1503"/>
      <c r="K89" s="1503"/>
      <c r="L89" s="1503"/>
      <c r="M89" s="1503"/>
      <c r="N89" s="1503"/>
      <c r="O89" s="1503"/>
      <c r="P89" s="1503"/>
      <c r="Q89" s="1503"/>
      <c r="R89" s="1503"/>
      <c r="S89" s="1503"/>
      <c r="T89" s="1503"/>
      <c r="U89" s="1503"/>
      <c r="V89" s="1503"/>
      <c r="W89" s="1503"/>
      <c r="X89" s="1503"/>
      <c r="Y89" s="1503"/>
      <c r="Z89" s="1503"/>
      <c r="AA89" s="1503"/>
      <c r="AB89" s="1503"/>
      <c r="AC89" s="1502"/>
      <c r="AD89" s="1502"/>
      <c r="AE89" s="1502"/>
      <c r="AF89" s="1502"/>
      <c r="AG89" s="1502"/>
      <c r="AH89" s="1502"/>
      <c r="AI89" s="1502"/>
      <c r="AJ89" s="1502"/>
      <c r="AK89" s="1502"/>
      <c r="AL89" s="1502"/>
    </row>
    <row r="90" spans="1:38" s="1481" customFormat="1" ht="11.25">
      <c r="A90" s="1502"/>
      <c r="B90" s="1502"/>
      <c r="C90" s="1502"/>
      <c r="D90" s="1502"/>
      <c r="E90" s="1502"/>
      <c r="F90" s="1502"/>
      <c r="G90" s="1502"/>
      <c r="H90" s="1503"/>
      <c r="I90" s="1503"/>
      <c r="J90" s="1503"/>
      <c r="K90" s="1503"/>
      <c r="L90" s="1503"/>
      <c r="M90" s="1503"/>
      <c r="N90" s="1503"/>
      <c r="O90" s="1503"/>
      <c r="P90" s="1503"/>
      <c r="Q90" s="1503"/>
      <c r="R90" s="1503"/>
      <c r="S90" s="1503"/>
      <c r="T90" s="1503"/>
      <c r="U90" s="1503"/>
      <c r="V90" s="1503"/>
      <c r="W90" s="1503"/>
      <c r="X90" s="1503"/>
      <c r="Y90" s="1503"/>
      <c r="Z90" s="1503"/>
      <c r="AA90" s="1503"/>
      <c r="AB90" s="1503"/>
      <c r="AC90" s="1502"/>
      <c r="AD90" s="1502"/>
      <c r="AE90" s="1502"/>
      <c r="AF90" s="1502"/>
      <c r="AG90" s="1502"/>
      <c r="AH90" s="1502"/>
      <c r="AI90" s="1502"/>
      <c r="AJ90" s="1502"/>
      <c r="AK90" s="1502"/>
      <c r="AL90" s="1502"/>
    </row>
    <row r="91" spans="1:38" s="1481" customFormat="1" ht="11.25">
      <c r="A91" s="1502"/>
      <c r="B91" s="1502"/>
      <c r="C91" s="1502"/>
      <c r="D91" s="1502"/>
      <c r="E91" s="1502"/>
      <c r="F91" s="1502"/>
      <c r="G91" s="1502"/>
      <c r="H91" s="1503"/>
      <c r="I91" s="1503"/>
      <c r="J91" s="1503"/>
      <c r="K91" s="1503"/>
      <c r="L91" s="1503"/>
      <c r="M91" s="1503"/>
      <c r="N91" s="1503"/>
      <c r="O91" s="1503"/>
      <c r="P91" s="1503"/>
      <c r="Q91" s="1503"/>
      <c r="R91" s="1503"/>
      <c r="S91" s="1503"/>
      <c r="T91" s="1503"/>
      <c r="U91" s="1503"/>
      <c r="V91" s="1503"/>
      <c r="W91" s="1503"/>
      <c r="X91" s="1503"/>
      <c r="Y91" s="1503"/>
      <c r="Z91" s="1503"/>
      <c r="AA91" s="1503"/>
      <c r="AB91" s="1503"/>
      <c r="AC91" s="1502"/>
      <c r="AD91" s="1502"/>
      <c r="AE91" s="1502"/>
      <c r="AF91" s="1502"/>
      <c r="AG91" s="1502"/>
      <c r="AH91" s="1502"/>
      <c r="AI91" s="1502"/>
      <c r="AJ91" s="1502"/>
      <c r="AK91" s="1502"/>
      <c r="AL91" s="1502"/>
    </row>
    <row r="92" spans="1:38" s="1481" customFormat="1" ht="11.25">
      <c r="A92" s="1502"/>
      <c r="B92" s="1502"/>
      <c r="C92" s="1502"/>
      <c r="D92" s="1502"/>
      <c r="E92" s="1502"/>
      <c r="F92" s="1502"/>
      <c r="G92" s="1502"/>
      <c r="H92" s="1503"/>
      <c r="I92" s="1503"/>
      <c r="J92" s="1503"/>
      <c r="K92" s="1503"/>
      <c r="L92" s="1503"/>
      <c r="M92" s="1503"/>
      <c r="N92" s="1503"/>
      <c r="O92" s="1503"/>
      <c r="P92" s="1503"/>
      <c r="Q92" s="1503"/>
      <c r="R92" s="1503"/>
      <c r="S92" s="1503"/>
      <c r="T92" s="1503"/>
      <c r="U92" s="1503"/>
      <c r="V92" s="1503"/>
      <c r="W92" s="1503"/>
      <c r="X92" s="1503"/>
      <c r="Y92" s="1503"/>
      <c r="Z92" s="1503"/>
      <c r="AA92" s="1503"/>
      <c r="AB92" s="1503"/>
      <c r="AC92" s="1502"/>
      <c r="AD92" s="1502"/>
      <c r="AE92" s="1502"/>
      <c r="AF92" s="1502"/>
      <c r="AG92" s="1502"/>
      <c r="AH92" s="1502"/>
      <c r="AI92" s="1502"/>
      <c r="AJ92" s="1502"/>
      <c r="AK92" s="1502"/>
      <c r="AL92" s="1502"/>
    </row>
    <row r="93" spans="1:38" s="1481" customFormat="1" ht="11.25">
      <c r="A93" s="1502"/>
      <c r="B93" s="1502"/>
      <c r="C93" s="1502"/>
      <c r="D93" s="1502"/>
      <c r="E93" s="1502"/>
      <c r="F93" s="1502"/>
      <c r="G93" s="1502"/>
      <c r="H93" s="1503"/>
      <c r="I93" s="1503"/>
      <c r="J93" s="1503"/>
      <c r="K93" s="1503"/>
      <c r="L93" s="1503"/>
      <c r="M93" s="1503"/>
      <c r="N93" s="1503"/>
      <c r="O93" s="1503"/>
      <c r="P93" s="1503"/>
      <c r="Q93" s="1503"/>
      <c r="R93" s="1503"/>
      <c r="S93" s="1503"/>
      <c r="T93" s="1503"/>
      <c r="U93" s="1503"/>
      <c r="V93" s="1503"/>
      <c r="W93" s="1503"/>
      <c r="X93" s="1503"/>
      <c r="Y93" s="1503"/>
      <c r="Z93" s="1503"/>
      <c r="AA93" s="1503"/>
      <c r="AB93" s="1503"/>
      <c r="AC93" s="1502"/>
      <c r="AD93" s="1502"/>
      <c r="AE93" s="1502"/>
      <c r="AF93" s="1502"/>
      <c r="AG93" s="1502"/>
      <c r="AH93" s="1502"/>
      <c r="AI93" s="1502"/>
      <c r="AJ93" s="1502"/>
      <c r="AK93" s="1502"/>
      <c r="AL93" s="1502"/>
    </row>
    <row r="94" spans="1:38" s="1481" customFormat="1" ht="11.25">
      <c r="A94" s="1502"/>
      <c r="B94" s="1502"/>
      <c r="C94" s="1502"/>
      <c r="D94" s="1502"/>
      <c r="E94" s="1502"/>
      <c r="F94" s="1502"/>
      <c r="G94" s="1502"/>
      <c r="H94" s="1503"/>
      <c r="I94" s="1503"/>
      <c r="J94" s="1503"/>
      <c r="K94" s="1503"/>
      <c r="L94" s="1503"/>
      <c r="M94" s="1503"/>
      <c r="N94" s="1503"/>
      <c r="O94" s="1503"/>
      <c r="P94" s="1503"/>
      <c r="Q94" s="1503"/>
      <c r="R94" s="1503"/>
      <c r="S94" s="1503"/>
      <c r="T94" s="1503"/>
      <c r="U94" s="1503"/>
      <c r="V94" s="1503"/>
      <c r="W94" s="1503"/>
      <c r="X94" s="1503"/>
      <c r="Y94" s="1503"/>
      <c r="Z94" s="1503"/>
      <c r="AA94" s="1503"/>
      <c r="AB94" s="1503"/>
      <c r="AC94" s="1502"/>
      <c r="AD94" s="1502"/>
      <c r="AE94" s="1502"/>
      <c r="AF94" s="1502"/>
      <c r="AG94" s="1502"/>
      <c r="AH94" s="1502"/>
      <c r="AI94" s="1502"/>
      <c r="AJ94" s="1502"/>
      <c r="AK94" s="1502"/>
      <c r="AL94" s="1502"/>
    </row>
    <row r="95" spans="1:38" s="1481" customFormat="1" ht="11.25">
      <c r="A95" s="1502"/>
      <c r="B95" s="1502"/>
      <c r="C95" s="1502"/>
      <c r="D95" s="1502"/>
      <c r="E95" s="1502"/>
      <c r="F95" s="1502"/>
      <c r="G95" s="1502"/>
      <c r="H95" s="1503"/>
      <c r="I95" s="1503"/>
      <c r="J95" s="1503"/>
      <c r="K95" s="1503"/>
      <c r="L95" s="1503"/>
      <c r="M95" s="1503"/>
      <c r="N95" s="1503"/>
      <c r="O95" s="1503"/>
      <c r="P95" s="1503"/>
      <c r="Q95" s="1503"/>
      <c r="R95" s="1503"/>
      <c r="S95" s="1503"/>
      <c r="T95" s="1503"/>
      <c r="U95" s="1503"/>
      <c r="V95" s="1503"/>
      <c r="W95" s="1503"/>
      <c r="X95" s="1503"/>
      <c r="Y95" s="1503"/>
      <c r="Z95" s="1503"/>
      <c r="AA95" s="1503"/>
      <c r="AB95" s="1503"/>
      <c r="AC95" s="1502"/>
      <c r="AD95" s="1502"/>
      <c r="AE95" s="1502"/>
      <c r="AF95" s="1502"/>
      <c r="AG95" s="1502"/>
      <c r="AH95" s="1502"/>
      <c r="AI95" s="1502"/>
      <c r="AJ95" s="1502"/>
      <c r="AK95" s="1502"/>
      <c r="AL95" s="1502"/>
    </row>
    <row r="96" spans="1:38" s="1481" customFormat="1" ht="11.25">
      <c r="A96" s="1502"/>
      <c r="B96" s="1502"/>
      <c r="C96" s="1502"/>
      <c r="D96" s="1502"/>
      <c r="E96" s="1502"/>
      <c r="F96" s="1502"/>
      <c r="G96" s="1502"/>
      <c r="H96" s="1503"/>
      <c r="I96" s="1503"/>
      <c r="J96" s="1503"/>
      <c r="K96" s="1503"/>
      <c r="L96" s="1503"/>
      <c r="M96" s="1503"/>
      <c r="N96" s="1503"/>
      <c r="O96" s="1503"/>
      <c r="P96" s="1503"/>
      <c r="Q96" s="1503"/>
      <c r="R96" s="1503"/>
      <c r="S96" s="1503"/>
      <c r="T96" s="1503"/>
      <c r="U96" s="1503"/>
      <c r="V96" s="1503"/>
      <c r="W96" s="1503"/>
      <c r="X96" s="1503"/>
      <c r="Y96" s="1503"/>
      <c r="Z96" s="1503"/>
      <c r="AA96" s="1503"/>
      <c r="AB96" s="1503"/>
      <c r="AC96" s="1502"/>
      <c r="AD96" s="1502"/>
      <c r="AE96" s="1502"/>
      <c r="AF96" s="1502"/>
      <c r="AG96" s="1502"/>
      <c r="AH96" s="1502"/>
      <c r="AI96" s="1502"/>
      <c r="AJ96" s="1502"/>
      <c r="AK96" s="1502"/>
      <c r="AL96" s="1502"/>
    </row>
    <row r="97" spans="1:38" s="1481" customFormat="1" ht="11.25">
      <c r="A97" s="1502"/>
      <c r="B97" s="1502"/>
      <c r="C97" s="1502"/>
      <c r="D97" s="1502"/>
      <c r="E97" s="1502"/>
      <c r="F97" s="1502"/>
      <c r="G97" s="1502"/>
      <c r="H97" s="1503"/>
      <c r="I97" s="1503"/>
      <c r="J97" s="1503"/>
      <c r="K97" s="1503"/>
      <c r="L97" s="1503"/>
      <c r="M97" s="1503"/>
      <c r="N97" s="1503"/>
      <c r="O97" s="1503"/>
      <c r="P97" s="1503"/>
      <c r="Q97" s="1503"/>
      <c r="R97" s="1503"/>
      <c r="S97" s="1503"/>
      <c r="T97" s="1503"/>
      <c r="U97" s="1503"/>
      <c r="V97" s="1503"/>
      <c r="W97" s="1503"/>
      <c r="X97" s="1503"/>
      <c r="Y97" s="1503"/>
      <c r="Z97" s="1503"/>
      <c r="AA97" s="1503"/>
      <c r="AB97" s="1503"/>
      <c r="AC97" s="1502"/>
      <c r="AD97" s="1502"/>
      <c r="AE97" s="1502"/>
      <c r="AF97" s="1502"/>
      <c r="AG97" s="1502"/>
      <c r="AH97" s="1502"/>
      <c r="AI97" s="1502"/>
      <c r="AJ97" s="1502"/>
      <c r="AK97" s="1502"/>
      <c r="AL97" s="1502"/>
    </row>
    <row r="98" spans="1:38" s="1481" customFormat="1" ht="11.25">
      <c r="A98" s="1502"/>
      <c r="B98" s="1502"/>
      <c r="C98" s="1502"/>
      <c r="D98" s="1502"/>
      <c r="E98" s="1502"/>
      <c r="F98" s="1502"/>
      <c r="G98" s="1502"/>
      <c r="H98" s="1503"/>
      <c r="I98" s="1503"/>
      <c r="J98" s="1503"/>
      <c r="K98" s="1503"/>
      <c r="L98" s="1503"/>
      <c r="M98" s="1503"/>
      <c r="N98" s="1503"/>
      <c r="O98" s="1503"/>
      <c r="P98" s="1503"/>
      <c r="Q98" s="1503"/>
      <c r="R98" s="1503"/>
      <c r="S98" s="1503"/>
      <c r="T98" s="1503"/>
      <c r="U98" s="1503"/>
      <c r="V98" s="1503"/>
      <c r="W98" s="1503"/>
      <c r="X98" s="1503"/>
      <c r="Y98" s="1503"/>
      <c r="Z98" s="1503"/>
      <c r="AA98" s="1503"/>
      <c r="AB98" s="1503"/>
      <c r="AC98" s="1502"/>
      <c r="AD98" s="1502"/>
      <c r="AE98" s="1502"/>
      <c r="AF98" s="1502"/>
      <c r="AG98" s="1502"/>
      <c r="AH98" s="1502"/>
      <c r="AI98" s="1502"/>
      <c r="AJ98" s="1502"/>
      <c r="AK98" s="1502"/>
      <c r="AL98" s="1502"/>
    </row>
    <row r="99" spans="1:38" s="1481" customFormat="1" ht="11.25">
      <c r="A99" s="1502"/>
      <c r="B99" s="1502"/>
      <c r="C99" s="1502"/>
      <c r="D99" s="1502"/>
      <c r="E99" s="1502"/>
      <c r="F99" s="1502"/>
      <c r="G99" s="1502"/>
      <c r="H99" s="1503"/>
      <c r="I99" s="1503"/>
      <c r="J99" s="1503"/>
      <c r="K99" s="1503"/>
      <c r="L99" s="1503"/>
      <c r="M99" s="1503"/>
      <c r="N99" s="1503"/>
      <c r="O99" s="1503"/>
      <c r="P99" s="1503"/>
      <c r="Q99" s="1503"/>
      <c r="R99" s="1503"/>
      <c r="S99" s="1503"/>
      <c r="T99" s="1503"/>
      <c r="U99" s="1503"/>
      <c r="V99" s="1503"/>
      <c r="W99" s="1503"/>
      <c r="X99" s="1503"/>
      <c r="Y99" s="1503"/>
      <c r="Z99" s="1503"/>
      <c r="AA99" s="1503"/>
      <c r="AB99" s="1503"/>
      <c r="AC99" s="1502"/>
      <c r="AD99" s="1502"/>
      <c r="AE99" s="1502"/>
      <c r="AF99" s="1502"/>
      <c r="AG99" s="1502"/>
      <c r="AH99" s="1502"/>
      <c r="AI99" s="1502"/>
      <c r="AJ99" s="1502"/>
      <c r="AK99" s="1502"/>
      <c r="AL99" s="1502"/>
    </row>
    <row r="100" spans="1:38" s="1481" customFormat="1" ht="11.25">
      <c r="A100" s="1502"/>
      <c r="B100" s="1502"/>
      <c r="C100" s="1502"/>
      <c r="D100" s="1502"/>
      <c r="E100" s="1502"/>
      <c r="F100" s="1502"/>
      <c r="G100" s="1502"/>
      <c r="H100" s="1503"/>
      <c r="I100" s="1503"/>
      <c r="J100" s="1503"/>
      <c r="K100" s="1503"/>
      <c r="L100" s="1503"/>
      <c r="M100" s="1503"/>
      <c r="N100" s="1503"/>
      <c r="O100" s="1503"/>
      <c r="P100" s="1503"/>
      <c r="Q100" s="1503"/>
      <c r="R100" s="1503"/>
      <c r="S100" s="1503"/>
      <c r="T100" s="1503"/>
      <c r="U100" s="1503"/>
      <c r="V100" s="1503"/>
      <c r="W100" s="1503"/>
      <c r="X100" s="1503"/>
      <c r="Y100" s="1503"/>
      <c r="Z100" s="1503"/>
      <c r="AA100" s="1503"/>
      <c r="AB100" s="1503"/>
      <c r="AC100" s="1502"/>
      <c r="AD100" s="1502"/>
      <c r="AE100" s="1502"/>
      <c r="AF100" s="1502"/>
      <c r="AG100" s="1502"/>
      <c r="AH100" s="1502"/>
      <c r="AI100" s="1502"/>
      <c r="AJ100" s="1502"/>
      <c r="AK100" s="1502"/>
      <c r="AL100" s="1502"/>
    </row>
    <row r="101" spans="1:38" s="1481" customFormat="1" ht="11.25">
      <c r="A101" s="1502"/>
      <c r="B101" s="1502"/>
      <c r="C101" s="1502"/>
      <c r="D101" s="1502"/>
      <c r="E101" s="1502"/>
      <c r="F101" s="1502"/>
      <c r="G101" s="1502"/>
      <c r="H101" s="1503"/>
      <c r="I101" s="1503"/>
      <c r="J101" s="1503"/>
      <c r="K101" s="1503"/>
      <c r="L101" s="1503"/>
      <c r="M101" s="1503"/>
      <c r="N101" s="1503"/>
      <c r="O101" s="1503"/>
      <c r="P101" s="1503"/>
      <c r="Q101" s="1503"/>
      <c r="R101" s="1503"/>
      <c r="S101" s="1503"/>
      <c r="T101" s="1503"/>
      <c r="U101" s="1503"/>
      <c r="V101" s="1503"/>
      <c r="W101" s="1503"/>
      <c r="X101" s="1503"/>
      <c r="Y101" s="1503"/>
      <c r="Z101" s="1503"/>
      <c r="AA101" s="1503"/>
      <c r="AB101" s="1503"/>
      <c r="AC101" s="1502"/>
      <c r="AD101" s="1502"/>
      <c r="AE101" s="1502"/>
      <c r="AF101" s="1502"/>
      <c r="AG101" s="1502"/>
      <c r="AH101" s="1502"/>
      <c r="AI101" s="1502"/>
      <c r="AJ101" s="1502"/>
      <c r="AK101" s="1502"/>
      <c r="AL101" s="1502"/>
    </row>
    <row r="102" spans="1:38" s="1481" customFormat="1" ht="11.25">
      <c r="A102" s="1502"/>
      <c r="B102" s="1502"/>
      <c r="C102" s="1502"/>
      <c r="D102" s="1502"/>
      <c r="E102" s="1502"/>
      <c r="F102" s="1502"/>
      <c r="G102" s="1502"/>
      <c r="H102" s="1503"/>
      <c r="I102" s="1503"/>
      <c r="J102" s="1503"/>
      <c r="K102" s="1503"/>
      <c r="L102" s="1503"/>
      <c r="M102" s="1503"/>
      <c r="N102" s="1503"/>
      <c r="O102" s="1503"/>
      <c r="P102" s="1503"/>
      <c r="Q102" s="1503"/>
      <c r="R102" s="1503"/>
      <c r="S102" s="1503"/>
      <c r="T102" s="1503"/>
      <c r="U102" s="1503"/>
      <c r="V102" s="1503"/>
      <c r="W102" s="1503"/>
      <c r="X102" s="1503"/>
      <c r="Y102" s="1503"/>
      <c r="Z102" s="1503"/>
      <c r="AA102" s="1503"/>
      <c r="AB102" s="1503"/>
      <c r="AC102" s="1502"/>
      <c r="AD102" s="1502"/>
      <c r="AE102" s="1502"/>
      <c r="AF102" s="1502"/>
      <c r="AG102" s="1502"/>
      <c r="AH102" s="1502"/>
      <c r="AI102" s="1502"/>
      <c r="AJ102" s="1502"/>
      <c r="AK102" s="1502"/>
      <c r="AL102" s="1502"/>
    </row>
    <row r="103" spans="1:38" s="1481" customFormat="1" ht="11.25">
      <c r="A103" s="1502"/>
      <c r="B103" s="1502"/>
      <c r="C103" s="1502"/>
      <c r="D103" s="1502"/>
      <c r="E103" s="1502"/>
      <c r="F103" s="1502"/>
      <c r="G103" s="1502"/>
      <c r="H103" s="1503"/>
      <c r="I103" s="1503"/>
      <c r="J103" s="1503"/>
      <c r="K103" s="1503"/>
      <c r="L103" s="1503"/>
      <c r="M103" s="1503"/>
      <c r="N103" s="1503"/>
      <c r="O103" s="1503"/>
      <c r="P103" s="1503"/>
      <c r="Q103" s="1503"/>
      <c r="R103" s="1503"/>
      <c r="S103" s="1503"/>
      <c r="T103" s="1503"/>
      <c r="U103" s="1503"/>
      <c r="V103" s="1503"/>
      <c r="W103" s="1503"/>
      <c r="X103" s="1503"/>
      <c r="Y103" s="1503"/>
      <c r="Z103" s="1503"/>
      <c r="AA103" s="1503"/>
      <c r="AB103" s="1503"/>
      <c r="AC103" s="1502"/>
      <c r="AD103" s="1502"/>
      <c r="AE103" s="1502"/>
      <c r="AF103" s="1502"/>
      <c r="AG103" s="1502"/>
      <c r="AH103" s="1502"/>
      <c r="AI103" s="1502"/>
      <c r="AJ103" s="1502"/>
      <c r="AK103" s="1502"/>
      <c r="AL103" s="1502"/>
    </row>
    <row r="104" spans="1:38" s="1481" customFormat="1" ht="11.25">
      <c r="A104" s="1502"/>
      <c r="B104" s="1502"/>
      <c r="C104" s="1502"/>
      <c r="D104" s="1502"/>
      <c r="E104" s="1502"/>
      <c r="F104" s="1502"/>
      <c r="G104" s="1502"/>
      <c r="H104" s="1503"/>
      <c r="I104" s="1503"/>
      <c r="J104" s="1503"/>
      <c r="K104" s="1503"/>
      <c r="L104" s="1503"/>
      <c r="M104" s="1503"/>
      <c r="N104" s="1503"/>
      <c r="O104" s="1503"/>
      <c r="P104" s="1503"/>
      <c r="Q104" s="1503"/>
      <c r="R104" s="1503"/>
      <c r="S104" s="1503"/>
      <c r="T104" s="1503"/>
      <c r="U104" s="1503"/>
      <c r="V104" s="1503"/>
      <c r="W104" s="1503"/>
      <c r="X104" s="1503"/>
      <c r="Y104" s="1503"/>
      <c r="Z104" s="1503"/>
      <c r="AA104" s="1503"/>
      <c r="AB104" s="1503"/>
      <c r="AC104" s="1502"/>
      <c r="AD104" s="1502"/>
      <c r="AE104" s="1502"/>
      <c r="AF104" s="1502"/>
      <c r="AG104" s="1502"/>
      <c r="AH104" s="1502"/>
      <c r="AI104" s="1502"/>
      <c r="AJ104" s="1502"/>
      <c r="AK104" s="1502"/>
      <c r="AL104" s="1502"/>
    </row>
    <row r="105" spans="1:38" s="1481" customFormat="1" ht="11.25">
      <c r="A105" s="1502"/>
      <c r="B105" s="1502"/>
      <c r="C105" s="1502"/>
      <c r="D105" s="1502"/>
      <c r="E105" s="1502"/>
      <c r="F105" s="1502"/>
      <c r="G105" s="1502"/>
      <c r="H105" s="1503"/>
      <c r="I105" s="1503"/>
      <c r="J105" s="1503"/>
      <c r="K105" s="1503"/>
      <c r="L105" s="1503"/>
      <c r="M105" s="1503"/>
      <c r="N105" s="1503"/>
      <c r="O105" s="1503"/>
      <c r="P105" s="1503"/>
      <c r="Q105" s="1503"/>
      <c r="R105" s="1503"/>
      <c r="S105" s="1503"/>
      <c r="T105" s="1503"/>
      <c r="U105" s="1503"/>
      <c r="V105" s="1503"/>
      <c r="W105" s="1503"/>
      <c r="X105" s="1503"/>
      <c r="Y105" s="1503"/>
      <c r="Z105" s="1503"/>
      <c r="AA105" s="1503"/>
      <c r="AB105" s="1503"/>
      <c r="AC105" s="1502"/>
      <c r="AD105" s="1502"/>
      <c r="AE105" s="1502"/>
      <c r="AF105" s="1502"/>
      <c r="AG105" s="1502"/>
      <c r="AH105" s="1502"/>
      <c r="AI105" s="1502"/>
      <c r="AJ105" s="1502"/>
      <c r="AK105" s="1502"/>
      <c r="AL105" s="1502"/>
    </row>
    <row r="106" spans="1:38" s="1481" customFormat="1" ht="11.25">
      <c r="A106" s="1502"/>
      <c r="B106" s="1502"/>
      <c r="C106" s="1502"/>
      <c r="D106" s="1502"/>
      <c r="E106" s="1502"/>
      <c r="F106" s="1502"/>
      <c r="G106" s="1502"/>
      <c r="H106" s="1503"/>
      <c r="I106" s="1503"/>
      <c r="J106" s="1503"/>
      <c r="K106" s="1503"/>
      <c r="L106" s="1503"/>
      <c r="M106" s="1503"/>
      <c r="N106" s="1503"/>
      <c r="O106" s="1503"/>
      <c r="P106" s="1503"/>
      <c r="Q106" s="1503"/>
      <c r="R106" s="1503"/>
      <c r="S106" s="1503"/>
      <c r="T106" s="1503"/>
      <c r="U106" s="1503"/>
      <c r="V106" s="1503"/>
      <c r="W106" s="1503"/>
      <c r="X106" s="1503"/>
      <c r="Y106" s="1503"/>
      <c r="Z106" s="1503"/>
      <c r="AA106" s="1503"/>
      <c r="AB106" s="1503"/>
      <c r="AC106" s="1502"/>
      <c r="AD106" s="1502"/>
      <c r="AE106" s="1502"/>
      <c r="AF106" s="1502"/>
      <c r="AG106" s="1502"/>
      <c r="AH106" s="1502"/>
      <c r="AI106" s="1502"/>
      <c r="AJ106" s="1502"/>
      <c r="AK106" s="1502"/>
      <c r="AL106" s="1502"/>
    </row>
    <row r="107" spans="1:38" s="1481" customFormat="1" ht="11.25">
      <c r="A107" s="1502"/>
      <c r="B107" s="1502"/>
      <c r="C107" s="1502"/>
      <c r="D107" s="1502"/>
      <c r="E107" s="1502"/>
      <c r="F107" s="1502"/>
      <c r="G107" s="1502"/>
      <c r="H107" s="1503"/>
      <c r="I107" s="1503"/>
      <c r="J107" s="1503"/>
      <c r="K107" s="1503"/>
      <c r="L107" s="1503"/>
      <c r="M107" s="1503"/>
      <c r="N107" s="1503"/>
      <c r="O107" s="1503"/>
      <c r="P107" s="1503"/>
      <c r="Q107" s="1503"/>
      <c r="R107" s="1503"/>
      <c r="S107" s="1503"/>
      <c r="T107" s="1503"/>
      <c r="U107" s="1503"/>
      <c r="V107" s="1503"/>
      <c r="W107" s="1503"/>
      <c r="X107" s="1503"/>
      <c r="Y107" s="1503"/>
      <c r="Z107" s="1503"/>
      <c r="AA107" s="1503"/>
      <c r="AB107" s="1503"/>
      <c r="AC107" s="1502"/>
      <c r="AD107" s="1502"/>
      <c r="AE107" s="1502"/>
      <c r="AF107" s="1502"/>
      <c r="AG107" s="1502"/>
      <c r="AH107" s="1502"/>
      <c r="AI107" s="1502"/>
      <c r="AJ107" s="1502"/>
      <c r="AK107" s="1502"/>
      <c r="AL107" s="1502"/>
    </row>
    <row r="108" spans="1:38" s="1481" customFormat="1" ht="11.25">
      <c r="A108" s="1502"/>
      <c r="B108" s="1502"/>
      <c r="C108" s="1502"/>
      <c r="D108" s="1502"/>
      <c r="E108" s="1502"/>
      <c r="F108" s="1502"/>
      <c r="G108" s="1502"/>
      <c r="H108" s="1503"/>
      <c r="I108" s="1503"/>
      <c r="J108" s="1503"/>
      <c r="K108" s="1503"/>
      <c r="L108" s="1503"/>
      <c r="M108" s="1503"/>
      <c r="N108" s="1503"/>
      <c r="O108" s="1503"/>
      <c r="P108" s="1503"/>
      <c r="Q108" s="1503"/>
      <c r="R108" s="1503"/>
      <c r="S108" s="1503"/>
      <c r="T108" s="1503"/>
      <c r="U108" s="1503"/>
      <c r="V108" s="1503"/>
      <c r="W108" s="1503"/>
      <c r="X108" s="1503"/>
      <c r="Y108" s="1503"/>
      <c r="Z108" s="1503"/>
      <c r="AA108" s="1503"/>
      <c r="AB108" s="1503"/>
      <c r="AC108" s="1502"/>
      <c r="AD108" s="1502"/>
      <c r="AE108" s="1502"/>
      <c r="AF108" s="1502"/>
      <c r="AG108" s="1502"/>
      <c r="AH108" s="1502"/>
      <c r="AI108" s="1502"/>
      <c r="AJ108" s="1502"/>
      <c r="AK108" s="1502"/>
      <c r="AL108" s="1502"/>
    </row>
    <row r="109" spans="1:38" s="1481" customFormat="1" ht="11.25">
      <c r="A109" s="1502"/>
      <c r="B109" s="1502"/>
      <c r="C109" s="1502"/>
      <c r="D109" s="1502"/>
      <c r="E109" s="1502"/>
      <c r="F109" s="1502"/>
      <c r="G109" s="1502"/>
      <c r="H109" s="1503"/>
      <c r="I109" s="1503"/>
      <c r="J109" s="1503"/>
      <c r="K109" s="1503"/>
      <c r="L109" s="1503"/>
      <c r="M109" s="1503"/>
      <c r="N109" s="1503"/>
      <c r="O109" s="1503"/>
      <c r="P109" s="1503"/>
      <c r="Q109" s="1503"/>
      <c r="R109" s="1503"/>
      <c r="S109" s="1503"/>
      <c r="T109" s="1503"/>
      <c r="U109" s="1503"/>
      <c r="V109" s="1503"/>
      <c r="W109" s="1503"/>
      <c r="X109" s="1503"/>
      <c r="Y109" s="1503"/>
      <c r="Z109" s="1503"/>
      <c r="AA109" s="1503"/>
      <c r="AB109" s="1503"/>
      <c r="AC109" s="1502"/>
      <c r="AD109" s="1502"/>
      <c r="AE109" s="1502"/>
      <c r="AF109" s="1502"/>
      <c r="AG109" s="1502"/>
      <c r="AH109" s="1502"/>
      <c r="AI109" s="1502"/>
      <c r="AJ109" s="1502"/>
      <c r="AK109" s="1502"/>
      <c r="AL109" s="1502"/>
    </row>
    <row r="110" spans="1:38" s="1481" customFormat="1" ht="11.25">
      <c r="A110" s="1502"/>
      <c r="B110" s="1502"/>
      <c r="C110" s="1502"/>
      <c r="D110" s="1502"/>
      <c r="E110" s="1502"/>
      <c r="F110" s="1502"/>
      <c r="G110" s="1502"/>
      <c r="H110" s="1503"/>
      <c r="I110" s="1503"/>
      <c r="J110" s="1503"/>
      <c r="K110" s="1503"/>
      <c r="L110" s="1503"/>
      <c r="M110" s="1503"/>
      <c r="N110" s="1503"/>
      <c r="O110" s="1503"/>
      <c r="P110" s="1503"/>
      <c r="Q110" s="1503"/>
      <c r="R110" s="1503"/>
      <c r="S110" s="1503"/>
      <c r="T110" s="1503"/>
      <c r="U110" s="1503"/>
      <c r="V110" s="1503"/>
      <c r="W110" s="1503"/>
      <c r="X110" s="1503"/>
      <c r="Y110" s="1503"/>
      <c r="Z110" s="1503"/>
      <c r="AA110" s="1503"/>
      <c r="AB110" s="1503"/>
      <c r="AC110" s="1502"/>
      <c r="AD110" s="1502"/>
      <c r="AE110" s="1502"/>
      <c r="AF110" s="1502"/>
      <c r="AG110" s="1502"/>
      <c r="AH110" s="1502"/>
      <c r="AI110" s="1502"/>
      <c r="AJ110" s="1502"/>
      <c r="AK110" s="1502"/>
      <c r="AL110" s="1502"/>
    </row>
    <row r="111" spans="1:38" s="1481" customFormat="1" ht="11.25">
      <c r="A111" s="1502"/>
      <c r="B111" s="1502"/>
      <c r="C111" s="1502"/>
      <c r="D111" s="1502"/>
      <c r="E111" s="1502"/>
      <c r="F111" s="1502"/>
      <c r="G111" s="1502"/>
      <c r="H111" s="1503"/>
      <c r="I111" s="1503"/>
      <c r="J111" s="1503"/>
      <c r="K111" s="1503"/>
      <c r="L111" s="1503"/>
      <c r="M111" s="1503"/>
      <c r="N111" s="1503"/>
      <c r="O111" s="1503"/>
      <c r="P111" s="1503"/>
      <c r="Q111" s="1503"/>
      <c r="R111" s="1503"/>
      <c r="S111" s="1503"/>
      <c r="T111" s="1503"/>
      <c r="U111" s="1503"/>
      <c r="V111" s="1503"/>
      <c r="W111" s="1503"/>
      <c r="X111" s="1503"/>
      <c r="Y111" s="1503"/>
      <c r="Z111" s="1503"/>
      <c r="AA111" s="1503"/>
      <c r="AB111" s="1503"/>
      <c r="AC111" s="1502"/>
      <c r="AD111" s="1502"/>
      <c r="AE111" s="1502"/>
      <c r="AF111" s="1502"/>
      <c r="AG111" s="1502"/>
      <c r="AH111" s="1502"/>
      <c r="AI111" s="1502"/>
      <c r="AJ111" s="1502"/>
      <c r="AK111" s="1502"/>
      <c r="AL111" s="1502"/>
    </row>
    <row r="112" spans="1:38" s="1481" customFormat="1" ht="11.25">
      <c r="A112" s="1502"/>
      <c r="B112" s="1502"/>
      <c r="C112" s="1502"/>
      <c r="D112" s="1502"/>
      <c r="E112" s="1502"/>
      <c r="F112" s="1502"/>
      <c r="G112" s="1502"/>
      <c r="H112" s="1503"/>
      <c r="I112" s="1503"/>
      <c r="J112" s="1503"/>
      <c r="K112" s="1503"/>
      <c r="L112" s="1503"/>
      <c r="M112" s="1503"/>
      <c r="N112" s="1503"/>
      <c r="O112" s="1503"/>
      <c r="P112" s="1503"/>
      <c r="Q112" s="1503"/>
      <c r="R112" s="1503"/>
      <c r="S112" s="1503"/>
      <c r="T112" s="1503"/>
      <c r="U112" s="1503"/>
      <c r="V112" s="1503"/>
      <c r="W112" s="1503"/>
      <c r="X112" s="1503"/>
      <c r="Y112" s="1503"/>
      <c r="Z112" s="1503"/>
      <c r="AA112" s="1503"/>
      <c r="AB112" s="1503"/>
      <c r="AC112" s="1502"/>
      <c r="AD112" s="1502"/>
      <c r="AE112" s="1502"/>
      <c r="AF112" s="1502"/>
      <c r="AG112" s="1502"/>
      <c r="AH112" s="1502"/>
      <c r="AI112" s="1502"/>
      <c r="AJ112" s="1502"/>
      <c r="AK112" s="1502"/>
      <c r="AL112" s="1502"/>
    </row>
    <row r="113" spans="1:38" s="1481" customFormat="1" ht="11.25">
      <c r="A113" s="1502"/>
      <c r="B113" s="1502"/>
      <c r="C113" s="1502"/>
      <c r="D113" s="1502"/>
      <c r="E113" s="1502"/>
      <c r="F113" s="1502"/>
      <c r="G113" s="1502"/>
      <c r="H113" s="1503"/>
      <c r="I113" s="1503"/>
      <c r="J113" s="1503"/>
      <c r="K113" s="1503"/>
      <c r="L113" s="1503"/>
      <c r="M113" s="1503"/>
      <c r="N113" s="1503"/>
      <c r="O113" s="1503"/>
      <c r="P113" s="1503"/>
      <c r="Q113" s="1503"/>
      <c r="R113" s="1503"/>
      <c r="S113" s="1503"/>
      <c r="T113" s="1503"/>
      <c r="U113" s="1503"/>
      <c r="V113" s="1503"/>
      <c r="W113" s="1503"/>
      <c r="X113" s="1503"/>
      <c r="Y113" s="1503"/>
      <c r="Z113" s="1503"/>
      <c r="AA113" s="1503"/>
      <c r="AB113" s="1503"/>
      <c r="AC113" s="1502"/>
      <c r="AD113" s="1502"/>
      <c r="AE113" s="1502"/>
      <c r="AF113" s="1502"/>
      <c r="AG113" s="1502"/>
      <c r="AH113" s="1502"/>
      <c r="AI113" s="1502"/>
      <c r="AJ113" s="1502"/>
      <c r="AK113" s="1502"/>
      <c r="AL113" s="1502"/>
    </row>
    <row r="114" spans="1:38" s="1481" customFormat="1" ht="11.25">
      <c r="A114" s="1502"/>
      <c r="B114" s="1502"/>
      <c r="C114" s="1502"/>
      <c r="D114" s="1502"/>
      <c r="E114" s="1502"/>
      <c r="F114" s="1502"/>
      <c r="G114" s="1502"/>
      <c r="H114" s="1503"/>
      <c r="I114" s="1503"/>
      <c r="J114" s="1503"/>
      <c r="K114" s="1503"/>
      <c r="L114" s="1503"/>
      <c r="M114" s="1503"/>
      <c r="N114" s="1503"/>
      <c r="O114" s="1503"/>
      <c r="P114" s="1503"/>
      <c r="Q114" s="1503"/>
      <c r="R114" s="1503"/>
      <c r="S114" s="1503"/>
      <c r="T114" s="1503"/>
      <c r="U114" s="1503"/>
      <c r="V114" s="1503"/>
      <c r="W114" s="1503"/>
      <c r="X114" s="1503"/>
      <c r="Y114" s="1503"/>
      <c r="Z114" s="1503"/>
      <c r="AA114" s="1503"/>
      <c r="AB114" s="1503"/>
      <c r="AC114" s="1502"/>
      <c r="AD114" s="1502"/>
      <c r="AE114" s="1502"/>
      <c r="AF114" s="1502"/>
      <c r="AG114" s="1502"/>
      <c r="AH114" s="1502"/>
      <c r="AI114" s="1502"/>
      <c r="AJ114" s="1502"/>
      <c r="AK114" s="1502"/>
      <c r="AL114" s="1502"/>
    </row>
    <row r="115" spans="1:38" s="1481" customFormat="1" ht="11.25">
      <c r="A115" s="1502"/>
      <c r="B115" s="1502"/>
      <c r="C115" s="1502"/>
      <c r="D115" s="1502"/>
      <c r="E115" s="1502"/>
      <c r="F115" s="1502"/>
      <c r="G115" s="1502"/>
      <c r="H115" s="1503"/>
      <c r="I115" s="1503"/>
      <c r="J115" s="1503"/>
      <c r="K115" s="1503"/>
      <c r="L115" s="1503"/>
      <c r="M115" s="1503"/>
      <c r="N115" s="1503"/>
      <c r="O115" s="1503"/>
      <c r="P115" s="1503"/>
      <c r="Q115" s="1503"/>
      <c r="R115" s="1503"/>
      <c r="S115" s="1503"/>
      <c r="T115" s="1503"/>
      <c r="U115" s="1503"/>
      <c r="V115" s="1503"/>
      <c r="W115" s="1503"/>
      <c r="X115" s="1503"/>
      <c r="Y115" s="1503"/>
      <c r="Z115" s="1503"/>
      <c r="AA115" s="1503"/>
      <c r="AB115" s="1503"/>
      <c r="AC115" s="1502"/>
      <c r="AD115" s="1502"/>
      <c r="AE115" s="1502"/>
      <c r="AF115" s="1502"/>
      <c r="AG115" s="1502"/>
      <c r="AH115" s="1502"/>
      <c r="AI115" s="1502"/>
      <c r="AJ115" s="1502"/>
      <c r="AK115" s="1502"/>
      <c r="AL115" s="1502"/>
    </row>
    <row r="116" spans="1:38" s="1481" customFormat="1" ht="11.25">
      <c r="A116" s="1502"/>
      <c r="B116" s="1502"/>
      <c r="C116" s="1502"/>
      <c r="D116" s="1502"/>
      <c r="E116" s="1502"/>
      <c r="F116" s="1502"/>
      <c r="G116" s="1502"/>
      <c r="H116" s="1503"/>
      <c r="I116" s="1503"/>
      <c r="J116" s="1503"/>
      <c r="K116" s="1503"/>
      <c r="L116" s="1503"/>
      <c r="M116" s="1503"/>
      <c r="N116" s="1503"/>
      <c r="O116" s="1503"/>
      <c r="P116" s="1503"/>
      <c r="Q116" s="1503"/>
      <c r="R116" s="1503"/>
      <c r="S116" s="1503"/>
      <c r="T116" s="1503"/>
      <c r="U116" s="1503"/>
      <c r="V116" s="1503"/>
      <c r="W116" s="1503"/>
      <c r="X116" s="1503"/>
      <c r="Y116" s="1503"/>
      <c r="Z116" s="1503"/>
      <c r="AA116" s="1503"/>
      <c r="AB116" s="1503"/>
      <c r="AC116" s="1502"/>
      <c r="AD116" s="1502"/>
      <c r="AE116" s="1502"/>
      <c r="AF116" s="1502"/>
      <c r="AG116" s="1502"/>
      <c r="AH116" s="1502"/>
      <c r="AI116" s="1502"/>
      <c r="AJ116" s="1502"/>
      <c r="AK116" s="1502"/>
      <c r="AL116" s="1502"/>
    </row>
    <row r="117" spans="1:38" s="1481" customFormat="1" ht="11.25">
      <c r="A117" s="1502"/>
      <c r="B117" s="1502"/>
      <c r="C117" s="1502"/>
      <c r="D117" s="1502"/>
      <c r="E117" s="1502"/>
      <c r="F117" s="1502"/>
      <c r="G117" s="1502"/>
      <c r="H117" s="1503"/>
      <c r="I117" s="1503"/>
      <c r="J117" s="1503"/>
      <c r="K117" s="1503"/>
      <c r="L117" s="1503"/>
      <c r="M117" s="1503"/>
      <c r="N117" s="1503"/>
      <c r="O117" s="1503"/>
      <c r="P117" s="1503"/>
      <c r="Q117" s="1503"/>
      <c r="R117" s="1503"/>
      <c r="S117" s="1503"/>
      <c r="T117" s="1503"/>
      <c r="U117" s="1503"/>
      <c r="V117" s="1503"/>
      <c r="W117" s="1503"/>
      <c r="X117" s="1503"/>
      <c r="Y117" s="1503"/>
      <c r="Z117" s="1503"/>
      <c r="AA117" s="1503"/>
      <c r="AB117" s="1503"/>
      <c r="AC117" s="1502"/>
      <c r="AD117" s="1502"/>
      <c r="AE117" s="1502"/>
      <c r="AF117" s="1502"/>
      <c r="AG117" s="1502"/>
      <c r="AH117" s="1502"/>
      <c r="AI117" s="1502"/>
      <c r="AJ117" s="1502"/>
      <c r="AK117" s="1502"/>
      <c r="AL117" s="1502"/>
    </row>
    <row r="118" spans="1:38" s="1481" customFormat="1" ht="11.25">
      <c r="A118" s="1502"/>
      <c r="B118" s="1502"/>
      <c r="C118" s="1502"/>
      <c r="D118" s="1502"/>
      <c r="E118" s="1502"/>
      <c r="F118" s="1502"/>
      <c r="G118" s="1502"/>
      <c r="H118" s="1503"/>
      <c r="I118" s="1503"/>
      <c r="J118" s="1503"/>
      <c r="K118" s="1503"/>
      <c r="L118" s="1503"/>
      <c r="M118" s="1503"/>
      <c r="N118" s="1503"/>
      <c r="O118" s="1503"/>
      <c r="P118" s="1503"/>
      <c r="Q118" s="1503"/>
      <c r="R118" s="1503"/>
      <c r="S118" s="1503"/>
      <c r="T118" s="1503"/>
      <c r="U118" s="1503"/>
      <c r="V118" s="1503"/>
      <c r="W118" s="1503"/>
      <c r="X118" s="1503"/>
      <c r="Y118" s="1503"/>
      <c r="Z118" s="1503"/>
      <c r="AA118" s="1503"/>
      <c r="AB118" s="1503"/>
      <c r="AC118" s="1502"/>
      <c r="AD118" s="1502"/>
      <c r="AE118" s="1502"/>
      <c r="AF118" s="1502"/>
      <c r="AG118" s="1502"/>
      <c r="AH118" s="1502"/>
      <c r="AI118" s="1502"/>
      <c r="AJ118" s="1502"/>
      <c r="AK118" s="1502"/>
      <c r="AL118" s="1502"/>
    </row>
    <row r="119" spans="1:38" s="1481" customFormat="1" ht="11.25">
      <c r="A119" s="1502"/>
      <c r="B119" s="1502"/>
      <c r="C119" s="1502"/>
      <c r="D119" s="1502"/>
      <c r="E119" s="1502"/>
      <c r="F119" s="1502"/>
      <c r="G119" s="1502"/>
      <c r="H119" s="1503"/>
      <c r="I119" s="1503"/>
      <c r="J119" s="1503"/>
      <c r="K119" s="1503"/>
      <c r="L119" s="1503"/>
      <c r="M119" s="1503"/>
      <c r="N119" s="1503"/>
      <c r="O119" s="1503"/>
      <c r="P119" s="1503"/>
      <c r="Q119" s="1503"/>
      <c r="R119" s="1503"/>
      <c r="S119" s="1503"/>
      <c r="T119" s="1503"/>
      <c r="U119" s="1503"/>
      <c r="V119" s="1503"/>
      <c r="W119" s="1503"/>
      <c r="X119" s="1503"/>
      <c r="Y119" s="1503"/>
      <c r="Z119" s="1503"/>
      <c r="AA119" s="1503"/>
      <c r="AB119" s="1503"/>
      <c r="AC119" s="1502"/>
      <c r="AD119" s="1502"/>
      <c r="AE119" s="1502"/>
      <c r="AF119" s="1502"/>
      <c r="AG119" s="1502"/>
      <c r="AH119" s="1502"/>
      <c r="AI119" s="1502"/>
      <c r="AJ119" s="1502"/>
      <c r="AK119" s="1502"/>
      <c r="AL119" s="1502"/>
    </row>
    <row r="120" spans="1:38" s="1481" customFormat="1" ht="11.25">
      <c r="A120" s="1502"/>
      <c r="B120" s="1502"/>
      <c r="C120" s="1502"/>
      <c r="D120" s="1502"/>
      <c r="E120" s="1502"/>
      <c r="F120" s="1502"/>
      <c r="G120" s="1502"/>
      <c r="H120" s="1503"/>
      <c r="I120" s="1503"/>
      <c r="J120" s="1503"/>
      <c r="K120" s="1503"/>
      <c r="L120" s="1503"/>
      <c r="M120" s="1503"/>
      <c r="N120" s="1503"/>
      <c r="O120" s="1503"/>
      <c r="P120" s="1503"/>
      <c r="Q120" s="1503"/>
      <c r="R120" s="1503"/>
      <c r="S120" s="1503"/>
      <c r="T120" s="1503"/>
      <c r="U120" s="1503"/>
      <c r="V120" s="1503"/>
      <c r="W120" s="1503"/>
      <c r="X120" s="1503"/>
      <c r="Y120" s="1503"/>
      <c r="Z120" s="1503"/>
      <c r="AA120" s="1503"/>
      <c r="AB120" s="1503"/>
      <c r="AC120" s="1502"/>
      <c r="AD120" s="1502"/>
      <c r="AE120" s="1502"/>
      <c r="AF120" s="1502"/>
      <c r="AG120" s="1502"/>
      <c r="AH120" s="1502"/>
      <c r="AI120" s="1502"/>
      <c r="AJ120" s="1502"/>
      <c r="AK120" s="1502"/>
      <c r="AL120" s="1502"/>
    </row>
    <row r="121" spans="1:38" s="1481" customFormat="1" ht="11.25">
      <c r="A121" s="1502"/>
      <c r="B121" s="1502"/>
      <c r="C121" s="1502"/>
      <c r="D121" s="1502"/>
      <c r="E121" s="1502"/>
      <c r="F121" s="1502"/>
      <c r="G121" s="1502"/>
      <c r="H121" s="1503"/>
      <c r="I121" s="1503"/>
      <c r="J121" s="1503"/>
      <c r="K121" s="1503"/>
      <c r="L121" s="1503"/>
      <c r="M121" s="1503"/>
      <c r="N121" s="1503"/>
      <c r="O121" s="1503"/>
      <c r="P121" s="1503"/>
      <c r="Q121" s="1503"/>
      <c r="R121" s="1503"/>
      <c r="S121" s="1503"/>
      <c r="T121" s="1503"/>
      <c r="U121" s="1503"/>
      <c r="V121" s="1503"/>
      <c r="W121" s="1503"/>
      <c r="X121" s="1503"/>
      <c r="Y121" s="1503"/>
      <c r="Z121" s="1503"/>
      <c r="AA121" s="1503"/>
      <c r="AB121" s="1503"/>
      <c r="AC121" s="1502"/>
      <c r="AD121" s="1502"/>
      <c r="AE121" s="1502"/>
      <c r="AF121" s="1502"/>
      <c r="AG121" s="1502"/>
      <c r="AH121" s="1502"/>
      <c r="AI121" s="1502"/>
      <c r="AJ121" s="1502"/>
      <c r="AK121" s="1502"/>
      <c r="AL121" s="1502"/>
    </row>
    <row r="122" spans="1:38" s="1481" customFormat="1" ht="11.25">
      <c r="A122" s="1502"/>
      <c r="B122" s="1502"/>
      <c r="C122" s="1502"/>
      <c r="D122" s="1502"/>
      <c r="E122" s="1502"/>
      <c r="F122" s="1502"/>
      <c r="G122" s="1502"/>
      <c r="H122" s="1503"/>
      <c r="I122" s="1503"/>
      <c r="J122" s="1503"/>
      <c r="K122" s="1503"/>
      <c r="L122" s="1503"/>
      <c r="M122" s="1503"/>
      <c r="N122" s="1503"/>
      <c r="O122" s="1503"/>
      <c r="P122" s="1503"/>
      <c r="Q122" s="1503"/>
      <c r="R122" s="1503"/>
      <c r="S122" s="1503"/>
      <c r="T122" s="1503"/>
      <c r="U122" s="1503"/>
      <c r="V122" s="1503"/>
      <c r="W122" s="1503"/>
      <c r="X122" s="1503"/>
      <c r="Y122" s="1503"/>
      <c r="Z122" s="1503"/>
      <c r="AA122" s="1503"/>
      <c r="AB122" s="1503"/>
      <c r="AC122" s="1502"/>
      <c r="AD122" s="1502"/>
      <c r="AE122" s="1502"/>
      <c r="AF122" s="1502"/>
      <c r="AG122" s="1502"/>
      <c r="AH122" s="1502"/>
      <c r="AI122" s="1502"/>
      <c r="AJ122" s="1502"/>
      <c r="AK122" s="1502"/>
      <c r="AL122" s="1502"/>
    </row>
    <row r="123" spans="1:38" s="1481" customFormat="1" ht="11.25">
      <c r="A123" s="1502"/>
      <c r="B123" s="1502"/>
      <c r="C123" s="1502"/>
      <c r="D123" s="1502"/>
      <c r="E123" s="1502"/>
      <c r="F123" s="1502"/>
      <c r="G123" s="1502"/>
      <c r="H123" s="1503"/>
      <c r="I123" s="1503"/>
      <c r="J123" s="1503"/>
      <c r="K123" s="1503"/>
      <c r="L123" s="1503"/>
      <c r="M123" s="1503"/>
      <c r="N123" s="1503"/>
      <c r="O123" s="1503"/>
      <c r="P123" s="1503"/>
      <c r="Q123" s="1503"/>
      <c r="R123" s="1503"/>
      <c r="S123" s="1503"/>
      <c r="T123" s="1503"/>
      <c r="U123" s="1503"/>
      <c r="V123" s="1503"/>
      <c r="W123" s="1503"/>
      <c r="X123" s="1503"/>
      <c r="Y123" s="1503"/>
      <c r="Z123" s="1503"/>
      <c r="AA123" s="1503"/>
      <c r="AB123" s="1503"/>
      <c r="AC123" s="1502"/>
      <c r="AD123" s="1502"/>
      <c r="AE123" s="1502"/>
      <c r="AF123" s="1502"/>
      <c r="AG123" s="1502"/>
      <c r="AH123" s="1502"/>
      <c r="AI123" s="1502"/>
      <c r="AJ123" s="1502"/>
      <c r="AK123" s="1502"/>
      <c r="AL123" s="1502"/>
    </row>
    <row r="124" spans="1:38" s="1481" customFormat="1" ht="11.25">
      <c r="A124" s="1502"/>
      <c r="B124" s="1502"/>
      <c r="C124" s="1502"/>
      <c r="D124" s="1502"/>
      <c r="E124" s="1502"/>
      <c r="F124" s="1502"/>
      <c r="G124" s="1502"/>
      <c r="H124" s="1503"/>
      <c r="I124" s="1503"/>
      <c r="J124" s="1503"/>
      <c r="K124" s="1503"/>
      <c r="L124" s="1503"/>
      <c r="M124" s="1503"/>
      <c r="N124" s="1503"/>
      <c r="O124" s="1503"/>
      <c r="P124" s="1503"/>
      <c r="Q124" s="1503"/>
      <c r="R124" s="1503"/>
      <c r="S124" s="1503"/>
      <c r="T124" s="1503"/>
      <c r="U124" s="1503"/>
      <c r="V124" s="1503"/>
      <c r="W124" s="1503"/>
      <c r="X124" s="1503"/>
      <c r="Y124" s="1503"/>
      <c r="Z124" s="1503"/>
      <c r="AA124" s="1503"/>
      <c r="AB124" s="1503"/>
      <c r="AC124" s="1502"/>
      <c r="AD124" s="1502"/>
      <c r="AE124" s="1502"/>
      <c r="AF124" s="1502"/>
      <c r="AG124" s="1502"/>
      <c r="AH124" s="1502"/>
      <c r="AI124" s="1502"/>
      <c r="AJ124" s="1502"/>
      <c r="AK124" s="1502"/>
      <c r="AL124" s="1502"/>
    </row>
    <row r="125" spans="1:38" s="1481" customFormat="1" ht="11.25">
      <c r="A125" s="1502"/>
      <c r="B125" s="1502"/>
      <c r="C125" s="1502"/>
      <c r="D125" s="1502"/>
      <c r="E125" s="1502"/>
      <c r="F125" s="1502"/>
      <c r="G125" s="1502"/>
      <c r="H125" s="1503"/>
      <c r="I125" s="1503"/>
      <c r="J125" s="1503"/>
      <c r="K125" s="1503"/>
      <c r="L125" s="1503"/>
      <c r="M125" s="1503"/>
      <c r="N125" s="1503"/>
      <c r="O125" s="1503"/>
      <c r="P125" s="1503"/>
      <c r="Q125" s="1503"/>
      <c r="R125" s="1503"/>
      <c r="S125" s="1503"/>
      <c r="T125" s="1503"/>
      <c r="U125" s="1503"/>
      <c r="V125" s="1503"/>
      <c r="W125" s="1503"/>
      <c r="X125" s="1503"/>
      <c r="Y125" s="1503"/>
      <c r="Z125" s="1503"/>
      <c r="AA125" s="1503"/>
      <c r="AB125" s="1503"/>
      <c r="AC125" s="1502"/>
      <c r="AD125" s="1502"/>
      <c r="AE125" s="1502"/>
      <c r="AF125" s="1502"/>
      <c r="AG125" s="1502"/>
      <c r="AH125" s="1502"/>
      <c r="AI125" s="1502"/>
      <c r="AJ125" s="1502"/>
      <c r="AK125" s="1502"/>
      <c r="AL125" s="1502"/>
    </row>
    <row r="126" spans="1:38" s="1481" customFormat="1" ht="11.25">
      <c r="A126" s="1502"/>
      <c r="B126" s="1502"/>
      <c r="C126" s="1502"/>
      <c r="D126" s="1502"/>
      <c r="E126" s="1502"/>
      <c r="F126" s="1502"/>
      <c r="G126" s="1502"/>
      <c r="H126" s="1503"/>
      <c r="I126" s="1503"/>
      <c r="J126" s="1503"/>
      <c r="K126" s="1503"/>
      <c r="L126" s="1503"/>
      <c r="M126" s="1503"/>
      <c r="N126" s="1503"/>
      <c r="O126" s="1503"/>
      <c r="P126" s="1503"/>
      <c r="Q126" s="1503"/>
      <c r="R126" s="1503"/>
      <c r="S126" s="1503"/>
      <c r="T126" s="1503"/>
      <c r="U126" s="1503"/>
      <c r="V126" s="1503"/>
      <c r="W126" s="1503"/>
      <c r="X126" s="1503"/>
      <c r="Y126" s="1503"/>
      <c r="Z126" s="1503"/>
      <c r="AA126" s="1503"/>
      <c r="AB126" s="1503"/>
      <c r="AC126" s="1502"/>
      <c r="AD126" s="1502"/>
      <c r="AE126" s="1502"/>
      <c r="AF126" s="1502"/>
      <c r="AG126" s="1502"/>
      <c r="AH126" s="1502"/>
      <c r="AI126" s="1502"/>
      <c r="AJ126" s="1502"/>
      <c r="AK126" s="1502"/>
      <c r="AL126" s="1502"/>
    </row>
    <row r="127" spans="1:38" s="1481" customFormat="1" ht="11.25">
      <c r="A127" s="1502"/>
      <c r="B127" s="1502"/>
      <c r="C127" s="1502"/>
      <c r="D127" s="1502"/>
      <c r="E127" s="1502"/>
      <c r="F127" s="1502"/>
      <c r="G127" s="1502"/>
      <c r="H127" s="1503"/>
      <c r="I127" s="1503"/>
      <c r="J127" s="1503"/>
      <c r="K127" s="1503"/>
      <c r="L127" s="1503"/>
      <c r="M127" s="1503"/>
      <c r="N127" s="1503"/>
      <c r="O127" s="1503"/>
      <c r="P127" s="1503"/>
      <c r="Q127" s="1503"/>
      <c r="R127" s="1503"/>
      <c r="S127" s="1503"/>
      <c r="T127" s="1503"/>
      <c r="U127" s="1503"/>
      <c r="V127" s="1503"/>
      <c r="W127" s="1503"/>
      <c r="X127" s="1503"/>
      <c r="Y127" s="1503"/>
      <c r="Z127" s="1503"/>
      <c r="AA127" s="1503"/>
      <c r="AB127" s="1503"/>
      <c r="AC127" s="1502"/>
      <c r="AD127" s="1502"/>
      <c r="AE127" s="1502"/>
      <c r="AF127" s="1502"/>
      <c r="AG127" s="1502"/>
      <c r="AH127" s="1502"/>
      <c r="AI127" s="1502"/>
      <c r="AJ127" s="1502"/>
      <c r="AK127" s="1502"/>
      <c r="AL127" s="1502"/>
    </row>
    <row r="128" spans="1:38" s="1481" customFormat="1" ht="11.25">
      <c r="A128" s="1502"/>
      <c r="B128" s="1502"/>
      <c r="C128" s="1502"/>
      <c r="D128" s="1502"/>
      <c r="E128" s="1502"/>
      <c r="F128" s="1502"/>
      <c r="G128" s="1502"/>
      <c r="H128" s="1503"/>
      <c r="I128" s="1503"/>
      <c r="J128" s="1503"/>
      <c r="K128" s="1503"/>
      <c r="L128" s="1503"/>
      <c r="M128" s="1503"/>
      <c r="N128" s="1503"/>
      <c r="O128" s="1503"/>
      <c r="P128" s="1503"/>
      <c r="Q128" s="1503"/>
      <c r="R128" s="1503"/>
      <c r="S128" s="1503"/>
      <c r="T128" s="1503"/>
      <c r="U128" s="1503"/>
      <c r="V128" s="1503"/>
      <c r="W128" s="1503"/>
      <c r="X128" s="1503"/>
      <c r="Y128" s="1503"/>
      <c r="Z128" s="1503"/>
      <c r="AA128" s="1503"/>
      <c r="AB128" s="1503"/>
      <c r="AC128" s="1502"/>
      <c r="AD128" s="1502"/>
      <c r="AE128" s="1502"/>
      <c r="AF128" s="1502"/>
      <c r="AG128" s="1502"/>
      <c r="AH128" s="1502"/>
      <c r="AI128" s="1502"/>
      <c r="AJ128" s="1502"/>
      <c r="AK128" s="1502"/>
      <c r="AL128" s="1502"/>
    </row>
    <row r="129" spans="1:38">
      <c r="A129" s="1502"/>
      <c r="B129" s="1502"/>
      <c r="C129" s="1502"/>
      <c r="D129" s="1502"/>
      <c r="E129" s="1502"/>
      <c r="F129" s="1502"/>
      <c r="G129" s="1502"/>
      <c r="H129" s="1503"/>
      <c r="I129" s="1503"/>
      <c r="J129" s="1503"/>
      <c r="K129" s="1503"/>
      <c r="L129" s="1503"/>
      <c r="M129" s="1503"/>
      <c r="N129" s="1503"/>
      <c r="O129" s="1503"/>
      <c r="P129" s="1503"/>
      <c r="Q129" s="1503"/>
      <c r="R129" s="1503"/>
      <c r="S129" s="1503"/>
      <c r="T129" s="1503"/>
      <c r="U129" s="1503"/>
      <c r="V129" s="1503"/>
      <c r="W129" s="1503"/>
      <c r="X129" s="1503"/>
      <c r="Y129" s="1503"/>
      <c r="Z129" s="1503"/>
      <c r="AA129" s="1503"/>
      <c r="AB129" s="1503"/>
      <c r="AC129" s="1502"/>
      <c r="AD129" s="1502"/>
      <c r="AE129" s="1502"/>
      <c r="AF129" s="1502"/>
      <c r="AG129" s="1502"/>
      <c r="AH129" s="1502"/>
      <c r="AI129" s="1502"/>
      <c r="AJ129" s="1502"/>
      <c r="AK129" s="1502"/>
      <c r="AL129" s="1502"/>
    </row>
    <row r="130" spans="1:38">
      <c r="A130" s="1502"/>
      <c r="B130" s="1502"/>
      <c r="C130" s="1502"/>
      <c r="D130" s="1502"/>
      <c r="E130" s="1502"/>
      <c r="F130" s="1502"/>
      <c r="G130" s="1502"/>
      <c r="H130" s="1503"/>
      <c r="I130" s="1503"/>
      <c r="J130" s="1503"/>
      <c r="K130" s="1503"/>
      <c r="L130" s="1503"/>
      <c r="M130" s="1503"/>
      <c r="N130" s="1503"/>
      <c r="O130" s="1503"/>
      <c r="P130" s="1503"/>
      <c r="Q130" s="1503"/>
      <c r="R130" s="1503"/>
      <c r="S130" s="1503"/>
      <c r="T130" s="1503"/>
      <c r="U130" s="1503"/>
      <c r="V130" s="1503"/>
      <c r="W130" s="1503"/>
      <c r="X130" s="1503"/>
      <c r="Y130" s="1503"/>
      <c r="Z130" s="1503"/>
      <c r="AA130" s="1503"/>
      <c r="AB130" s="1503"/>
      <c r="AC130" s="1502"/>
      <c r="AD130" s="1502"/>
      <c r="AE130" s="1502"/>
      <c r="AF130" s="1502"/>
      <c r="AG130" s="1502"/>
      <c r="AH130" s="1502"/>
      <c r="AI130" s="1502"/>
      <c r="AJ130" s="1502"/>
      <c r="AK130" s="1502"/>
      <c r="AL130" s="1502"/>
    </row>
    <row r="131" spans="1:38">
      <c r="A131" s="1502"/>
      <c r="B131" s="1502"/>
      <c r="C131" s="1502"/>
      <c r="D131" s="1502"/>
      <c r="E131" s="1502"/>
      <c r="F131" s="1502"/>
      <c r="G131" s="1502"/>
      <c r="H131" s="1503"/>
      <c r="I131" s="1503"/>
      <c r="J131" s="1503"/>
      <c r="K131" s="1503"/>
      <c r="L131" s="1503"/>
      <c r="M131" s="1503"/>
      <c r="N131" s="1503"/>
      <c r="O131" s="1503"/>
      <c r="P131" s="1503"/>
      <c r="Q131" s="1503"/>
      <c r="R131" s="1503"/>
      <c r="S131" s="1503"/>
      <c r="T131" s="1503"/>
      <c r="U131" s="1503"/>
      <c r="V131" s="1503"/>
      <c r="W131" s="1503"/>
      <c r="X131" s="1503"/>
      <c r="Y131" s="1503"/>
      <c r="Z131" s="1503"/>
      <c r="AA131" s="1503"/>
      <c r="AB131" s="1503"/>
      <c r="AC131" s="1502"/>
      <c r="AD131" s="1502"/>
      <c r="AE131" s="1502"/>
      <c r="AF131" s="1502"/>
      <c r="AG131" s="1502"/>
      <c r="AH131" s="1502"/>
      <c r="AI131" s="1502"/>
      <c r="AJ131" s="1502"/>
      <c r="AK131" s="1502"/>
      <c r="AL131" s="1502"/>
    </row>
    <row r="132" spans="1:38">
      <c r="A132" s="1495"/>
      <c r="B132" s="1495"/>
      <c r="C132" s="1495"/>
      <c r="D132" s="1495"/>
      <c r="E132" s="1527"/>
      <c r="F132" s="1527"/>
      <c r="G132" s="1527"/>
      <c r="H132" s="1498"/>
      <c r="I132" s="1498"/>
      <c r="J132" s="1506"/>
      <c r="K132" s="1498"/>
      <c r="L132" s="1498"/>
      <c r="M132" s="1498"/>
      <c r="N132" s="1498"/>
      <c r="O132" s="1498"/>
      <c r="P132" s="1498"/>
      <c r="Q132" s="1506"/>
      <c r="R132" s="1498"/>
      <c r="S132" s="1498"/>
      <c r="T132" s="1498"/>
      <c r="U132" s="1498"/>
      <c r="V132" s="1498"/>
      <c r="W132" s="1498"/>
      <c r="X132" s="1498"/>
      <c r="Y132" s="1498"/>
      <c r="Z132" s="1498"/>
      <c r="AA132" s="1498"/>
      <c r="AB132" s="1498"/>
      <c r="AC132" s="1527"/>
      <c r="AD132" s="1527"/>
      <c r="AE132" s="1527"/>
      <c r="AF132" s="1527"/>
      <c r="AG132" s="1527"/>
      <c r="AH132" s="1527"/>
      <c r="AI132" s="1527"/>
      <c r="AJ132" s="1527"/>
      <c r="AK132" s="1527"/>
      <c r="AL132" s="1527"/>
    </row>
    <row r="133" spans="1:38">
      <c r="A133" s="1495"/>
      <c r="B133" s="1495"/>
      <c r="C133" s="1495"/>
      <c r="D133" s="1495"/>
      <c r="E133" s="1527"/>
      <c r="F133" s="1527"/>
      <c r="G133" s="1527"/>
      <c r="H133" s="1498"/>
      <c r="I133" s="1498"/>
      <c r="J133" s="1506"/>
      <c r="K133" s="1498"/>
      <c r="L133" s="1498"/>
      <c r="M133" s="1498"/>
      <c r="N133" s="1498"/>
      <c r="O133" s="1498"/>
      <c r="P133" s="1498"/>
      <c r="Q133" s="1506"/>
      <c r="R133" s="1498"/>
      <c r="S133" s="1498"/>
      <c r="T133" s="1498"/>
      <c r="U133" s="1498"/>
      <c r="V133" s="1498"/>
      <c r="W133" s="1498"/>
      <c r="X133" s="1498"/>
      <c r="Y133" s="1498"/>
      <c r="Z133" s="1498"/>
      <c r="AA133" s="1498"/>
      <c r="AB133" s="1498"/>
      <c r="AC133" s="1527"/>
      <c r="AD133" s="1527"/>
      <c r="AE133" s="1527"/>
      <c r="AF133" s="1527"/>
      <c r="AG133" s="1527"/>
      <c r="AH133" s="1527"/>
      <c r="AI133" s="1527"/>
      <c r="AJ133" s="1527"/>
      <c r="AK133" s="1527"/>
      <c r="AL133" s="1527"/>
    </row>
    <row r="134" spans="1:38">
      <c r="A134" s="1495"/>
      <c r="B134" s="1495"/>
      <c r="C134" s="1495"/>
      <c r="D134" s="1495"/>
      <c r="E134" s="1527"/>
      <c r="F134" s="1527"/>
      <c r="G134" s="1527"/>
      <c r="H134" s="1498"/>
      <c r="I134" s="1498"/>
      <c r="J134" s="1506"/>
      <c r="K134" s="1498"/>
      <c r="L134" s="1498"/>
      <c r="M134" s="1498"/>
      <c r="N134" s="1498"/>
      <c r="O134" s="1498"/>
      <c r="P134" s="1498"/>
      <c r="Q134" s="1506"/>
      <c r="R134" s="1498"/>
      <c r="S134" s="1498"/>
      <c r="T134" s="1498"/>
      <c r="U134" s="1498"/>
      <c r="V134" s="1498"/>
      <c r="W134" s="1498"/>
      <c r="X134" s="1498"/>
      <c r="Y134" s="1498"/>
      <c r="Z134" s="1498"/>
      <c r="AA134" s="1498"/>
      <c r="AB134" s="1498"/>
      <c r="AC134" s="1527"/>
      <c r="AD134" s="1527"/>
      <c r="AE134" s="1527"/>
      <c r="AF134" s="1527"/>
      <c r="AG134" s="1527"/>
      <c r="AH134" s="1527"/>
      <c r="AI134" s="1527"/>
      <c r="AJ134" s="1527"/>
      <c r="AK134" s="1527"/>
      <c r="AL134" s="1527"/>
    </row>
    <row r="135" spans="1:38">
      <c r="A135" s="1495"/>
      <c r="B135" s="1495"/>
      <c r="C135" s="1495"/>
      <c r="D135" s="1495"/>
      <c r="E135" s="1527"/>
      <c r="F135" s="1527"/>
      <c r="G135" s="1527"/>
      <c r="H135" s="1498"/>
      <c r="I135" s="1498"/>
      <c r="J135" s="1506"/>
      <c r="K135" s="1498"/>
      <c r="L135" s="1498"/>
      <c r="M135" s="1498"/>
      <c r="N135" s="1498"/>
      <c r="O135" s="1498"/>
      <c r="P135" s="1498"/>
      <c r="Q135" s="1506"/>
      <c r="R135" s="1498"/>
      <c r="S135" s="1498"/>
      <c r="T135" s="1498"/>
      <c r="U135" s="1498"/>
      <c r="V135" s="1498"/>
      <c r="W135" s="1498"/>
      <c r="X135" s="1498"/>
      <c r="Y135" s="1498"/>
      <c r="Z135" s="1498"/>
      <c r="AA135" s="1498"/>
      <c r="AB135" s="1498"/>
      <c r="AC135" s="1527"/>
      <c r="AD135" s="1527"/>
      <c r="AE135" s="1527"/>
      <c r="AF135" s="1527"/>
      <c r="AG135" s="1527"/>
      <c r="AH135" s="1527"/>
      <c r="AI135" s="1527"/>
      <c r="AJ135" s="1527"/>
      <c r="AK135" s="1527"/>
      <c r="AL135" s="1527"/>
    </row>
    <row r="136" spans="1:38">
      <c r="A136" s="1495"/>
      <c r="B136" s="1495"/>
      <c r="C136" s="1495"/>
      <c r="D136" s="1495"/>
      <c r="E136" s="1527"/>
      <c r="F136" s="1527"/>
      <c r="G136" s="1527"/>
      <c r="H136" s="1498"/>
      <c r="I136" s="1498"/>
      <c r="J136" s="1506"/>
      <c r="K136" s="1498"/>
      <c r="L136" s="1498"/>
      <c r="M136" s="1498"/>
      <c r="N136" s="1498"/>
      <c r="O136" s="1498"/>
      <c r="P136" s="1498"/>
      <c r="Q136" s="1506"/>
      <c r="R136" s="1498"/>
      <c r="S136" s="1498"/>
      <c r="T136" s="1498"/>
      <c r="U136" s="1498"/>
      <c r="V136" s="1498"/>
      <c r="W136" s="1498"/>
      <c r="X136" s="1498"/>
      <c r="Y136" s="1498"/>
      <c r="Z136" s="1498"/>
      <c r="AA136" s="1498"/>
      <c r="AB136" s="1498"/>
      <c r="AC136" s="1527"/>
      <c r="AD136" s="1527"/>
      <c r="AE136" s="1527"/>
      <c r="AF136" s="1527"/>
      <c r="AG136" s="1527"/>
      <c r="AH136" s="1527"/>
      <c r="AI136" s="1527"/>
      <c r="AJ136" s="1527"/>
      <c r="AK136" s="1527"/>
      <c r="AL136" s="1527"/>
    </row>
    <row r="137" spans="1:38">
      <c r="A137" s="1495"/>
      <c r="B137" s="1495"/>
      <c r="C137" s="1495"/>
      <c r="D137" s="1495"/>
      <c r="E137" s="1527"/>
      <c r="F137" s="1527"/>
      <c r="G137" s="1527"/>
      <c r="H137" s="1498"/>
      <c r="I137" s="1498"/>
      <c r="J137" s="1506"/>
      <c r="K137" s="1498"/>
      <c r="L137" s="1498"/>
      <c r="M137" s="1498"/>
      <c r="N137" s="1498"/>
      <c r="O137" s="1498"/>
      <c r="P137" s="1498"/>
      <c r="Q137" s="1506"/>
      <c r="R137" s="1498"/>
      <c r="S137" s="1498"/>
      <c r="T137" s="1498"/>
      <c r="U137" s="1498"/>
      <c r="V137" s="1498"/>
      <c r="W137" s="1498"/>
      <c r="X137" s="1498"/>
      <c r="Y137" s="1498"/>
      <c r="Z137" s="1498"/>
      <c r="AA137" s="1498"/>
      <c r="AB137" s="1498"/>
      <c r="AC137" s="1527"/>
      <c r="AD137" s="1527"/>
      <c r="AE137" s="1527"/>
      <c r="AF137" s="1527"/>
      <c r="AG137" s="1527"/>
      <c r="AH137" s="1527"/>
      <c r="AI137" s="1527"/>
      <c r="AJ137" s="1527"/>
      <c r="AK137" s="1527"/>
      <c r="AL137" s="1527"/>
    </row>
    <row r="138" spans="1:38">
      <c r="A138" s="1495"/>
      <c r="B138" s="1495"/>
      <c r="C138" s="1495"/>
      <c r="D138" s="1495"/>
      <c r="E138" s="1527"/>
      <c r="F138" s="1527"/>
      <c r="G138" s="1527"/>
      <c r="H138" s="1498"/>
      <c r="I138" s="1498"/>
      <c r="J138" s="1506"/>
      <c r="K138" s="1498"/>
      <c r="L138" s="1498"/>
      <c r="M138" s="1498"/>
      <c r="N138" s="1498"/>
      <c r="O138" s="1498"/>
      <c r="P138" s="1498"/>
      <c r="Q138" s="1506"/>
      <c r="R138" s="1498"/>
      <c r="S138" s="1498"/>
      <c r="T138" s="1498"/>
      <c r="U138" s="1498"/>
      <c r="V138" s="1498"/>
      <c r="W138" s="1498"/>
      <c r="X138" s="1498"/>
      <c r="Y138" s="1498"/>
      <c r="Z138" s="1498"/>
      <c r="AA138" s="1498"/>
      <c r="AB138" s="1498"/>
      <c r="AC138" s="1527"/>
      <c r="AD138" s="1527"/>
      <c r="AE138" s="1527"/>
      <c r="AF138" s="1527"/>
      <c r="AG138" s="1527"/>
      <c r="AH138" s="1527"/>
      <c r="AI138" s="1527"/>
      <c r="AJ138" s="1527"/>
      <c r="AK138" s="1527"/>
      <c r="AL138" s="1527"/>
    </row>
    <row r="139" spans="1:38">
      <c r="A139" s="1495"/>
      <c r="B139" s="1495"/>
      <c r="C139" s="1495"/>
      <c r="D139" s="1495"/>
      <c r="E139" s="1527"/>
      <c r="F139" s="1527"/>
      <c r="G139" s="1527"/>
      <c r="H139" s="1498"/>
      <c r="I139" s="1498"/>
      <c r="J139" s="1506"/>
      <c r="K139" s="1498"/>
      <c r="L139" s="1498"/>
      <c r="M139" s="1498"/>
      <c r="N139" s="1498"/>
      <c r="O139" s="1498"/>
      <c r="P139" s="1498"/>
      <c r="Q139" s="1506"/>
      <c r="R139" s="1498"/>
      <c r="S139" s="1498"/>
      <c r="T139" s="1498"/>
      <c r="U139" s="1498"/>
      <c r="V139" s="1498"/>
      <c r="W139" s="1498"/>
      <c r="X139" s="1498"/>
      <c r="Y139" s="1498"/>
      <c r="Z139" s="1498"/>
      <c r="AA139" s="1498"/>
      <c r="AB139" s="1498"/>
      <c r="AC139" s="1527"/>
      <c r="AD139" s="1527"/>
      <c r="AE139" s="1527"/>
      <c r="AF139" s="1527"/>
      <c r="AG139" s="1527"/>
      <c r="AH139" s="1527"/>
      <c r="AI139" s="1527"/>
      <c r="AJ139" s="1527"/>
      <c r="AK139" s="1527"/>
      <c r="AL139" s="1527"/>
    </row>
    <row r="140" spans="1:38">
      <c r="A140" s="1495"/>
      <c r="B140" s="1495"/>
      <c r="C140" s="1495"/>
      <c r="D140" s="1495"/>
      <c r="E140" s="1527"/>
      <c r="F140" s="1527"/>
      <c r="G140" s="1527"/>
      <c r="H140" s="1498"/>
      <c r="I140" s="1498"/>
      <c r="J140" s="1506"/>
      <c r="K140" s="1498"/>
      <c r="L140" s="1498"/>
      <c r="M140" s="1498"/>
      <c r="N140" s="1498"/>
      <c r="O140" s="1498"/>
      <c r="P140" s="1498"/>
      <c r="Q140" s="1506"/>
      <c r="R140" s="1498"/>
      <c r="S140" s="1498"/>
      <c r="T140" s="1498"/>
      <c r="U140" s="1498"/>
      <c r="V140" s="1498"/>
      <c r="W140" s="1498"/>
      <c r="X140" s="1498"/>
      <c r="Y140" s="1498"/>
      <c r="Z140" s="1498"/>
      <c r="AA140" s="1498"/>
      <c r="AB140" s="1498"/>
      <c r="AC140" s="1527"/>
      <c r="AD140" s="1527"/>
      <c r="AE140" s="1527"/>
      <c r="AF140" s="1527"/>
      <c r="AG140" s="1527"/>
      <c r="AH140" s="1527"/>
      <c r="AI140" s="1527"/>
      <c r="AJ140" s="1527"/>
      <c r="AK140" s="1527"/>
      <c r="AL140" s="1527"/>
    </row>
    <row r="141" spans="1:38">
      <c r="A141" s="1495"/>
      <c r="B141" s="1495"/>
      <c r="C141" s="1495"/>
      <c r="D141" s="1495"/>
      <c r="E141" s="1527"/>
      <c r="F141" s="1527"/>
      <c r="G141" s="1527"/>
      <c r="H141" s="1498"/>
      <c r="I141" s="1498"/>
      <c r="J141" s="1506"/>
      <c r="K141" s="1498"/>
      <c r="L141" s="1498"/>
      <c r="M141" s="1498"/>
      <c r="N141" s="1498"/>
      <c r="O141" s="1498"/>
      <c r="P141" s="1498"/>
      <c r="Q141" s="1506"/>
      <c r="R141" s="1498"/>
      <c r="S141" s="1498"/>
      <c r="T141" s="1498"/>
      <c r="U141" s="1498"/>
      <c r="V141" s="1498"/>
      <c r="W141" s="1498"/>
      <c r="X141" s="1498"/>
      <c r="Y141" s="1498"/>
      <c r="Z141" s="1498"/>
      <c r="AA141" s="1498"/>
      <c r="AB141" s="1498"/>
      <c r="AC141" s="1527"/>
      <c r="AD141" s="1527"/>
      <c r="AE141" s="1527"/>
      <c r="AF141" s="1527"/>
      <c r="AG141" s="1527"/>
      <c r="AH141" s="1527"/>
      <c r="AI141" s="1527"/>
      <c r="AJ141" s="1527"/>
      <c r="AK141" s="1527"/>
      <c r="AL141" s="1527"/>
    </row>
    <row r="142" spans="1:38">
      <c r="A142" s="1495"/>
      <c r="B142" s="1495"/>
      <c r="C142" s="1495"/>
      <c r="D142" s="1495"/>
      <c r="E142" s="1527"/>
      <c r="F142" s="1527"/>
      <c r="G142" s="1527"/>
      <c r="H142" s="1498"/>
      <c r="I142" s="1498"/>
      <c r="J142" s="1506"/>
      <c r="K142" s="1498"/>
      <c r="L142" s="1498"/>
      <c r="M142" s="1498"/>
      <c r="N142" s="1498"/>
      <c r="O142" s="1498"/>
      <c r="P142" s="1498"/>
      <c r="Q142" s="1506"/>
      <c r="R142" s="1498"/>
      <c r="S142" s="1498"/>
      <c r="T142" s="1498"/>
      <c r="U142" s="1498"/>
      <c r="V142" s="1498"/>
      <c r="W142" s="1498"/>
      <c r="X142" s="1498"/>
      <c r="Y142" s="1498"/>
      <c r="Z142" s="1498"/>
      <c r="AA142" s="1498"/>
      <c r="AB142" s="1498"/>
      <c r="AC142" s="1527"/>
      <c r="AD142" s="1527"/>
      <c r="AE142" s="1527"/>
      <c r="AF142" s="1527"/>
      <c r="AG142" s="1527"/>
      <c r="AH142" s="1527"/>
      <c r="AI142" s="1527"/>
      <c r="AJ142" s="1527"/>
      <c r="AK142" s="1527"/>
      <c r="AL142" s="1527"/>
    </row>
    <row r="143" spans="1:38">
      <c r="A143" s="1495"/>
      <c r="B143" s="1495"/>
      <c r="C143" s="1495"/>
      <c r="D143" s="1495"/>
      <c r="E143" s="1527"/>
      <c r="F143" s="1527"/>
      <c r="G143" s="1527"/>
      <c r="H143" s="1498"/>
      <c r="I143" s="1498"/>
      <c r="J143" s="1506"/>
      <c r="K143" s="1498"/>
      <c r="L143" s="1498"/>
      <c r="M143" s="1498"/>
      <c r="N143" s="1498"/>
      <c r="O143" s="1498"/>
      <c r="P143" s="1498"/>
      <c r="Q143" s="1506"/>
      <c r="R143" s="1498"/>
      <c r="S143" s="1498"/>
      <c r="T143" s="1498"/>
      <c r="U143" s="1498"/>
      <c r="V143" s="1498"/>
      <c r="W143" s="1498"/>
      <c r="X143" s="1498"/>
      <c r="Y143" s="1498"/>
      <c r="Z143" s="1498"/>
      <c r="AA143" s="1498"/>
      <c r="AB143" s="1498"/>
      <c r="AC143" s="1527"/>
      <c r="AD143" s="1527"/>
      <c r="AE143" s="1527"/>
      <c r="AF143" s="1527"/>
      <c r="AG143" s="1527"/>
      <c r="AH143" s="1527"/>
      <c r="AI143" s="1527"/>
      <c r="AJ143" s="1527"/>
      <c r="AK143" s="1527"/>
      <c r="AL143" s="1527"/>
    </row>
    <row r="144" spans="1:38">
      <c r="A144" s="1495"/>
      <c r="B144" s="1495"/>
      <c r="C144" s="1495"/>
      <c r="D144" s="1495"/>
      <c r="E144" s="1527"/>
      <c r="F144" s="1527"/>
      <c r="G144" s="1527"/>
      <c r="H144" s="1498"/>
      <c r="I144" s="1498"/>
      <c r="J144" s="1506"/>
      <c r="K144" s="1498"/>
      <c r="L144" s="1498"/>
      <c r="M144" s="1498"/>
      <c r="N144" s="1498"/>
      <c r="O144" s="1498"/>
      <c r="P144" s="1498"/>
      <c r="Q144" s="1506"/>
      <c r="R144" s="1498"/>
      <c r="S144" s="1498"/>
      <c r="T144" s="1498"/>
      <c r="U144" s="1498"/>
      <c r="V144" s="1498"/>
      <c r="W144" s="1498"/>
      <c r="X144" s="1498"/>
      <c r="Y144" s="1498"/>
      <c r="Z144" s="1498"/>
      <c r="AA144" s="1498"/>
      <c r="AB144" s="1498"/>
      <c r="AC144" s="1527"/>
      <c r="AD144" s="1527"/>
      <c r="AE144" s="1527"/>
      <c r="AF144" s="1527"/>
      <c r="AG144" s="1527"/>
      <c r="AH144" s="1527"/>
      <c r="AI144" s="1527"/>
      <c r="AJ144" s="1527"/>
      <c r="AK144" s="1527"/>
      <c r="AL144" s="1527"/>
    </row>
    <row r="145" spans="1:38">
      <c r="A145" s="1495"/>
      <c r="B145" s="1495"/>
      <c r="C145" s="1495"/>
      <c r="D145" s="1495"/>
      <c r="E145" s="1527"/>
      <c r="F145" s="1527"/>
      <c r="G145" s="1527"/>
      <c r="H145" s="1498"/>
      <c r="I145" s="1498"/>
      <c r="J145" s="1506"/>
      <c r="K145" s="1498"/>
      <c r="L145" s="1498"/>
      <c r="M145" s="1498"/>
      <c r="N145" s="1498"/>
      <c r="O145" s="1498"/>
      <c r="P145" s="1498"/>
      <c r="Q145" s="1506"/>
      <c r="R145" s="1498"/>
      <c r="S145" s="1498"/>
      <c r="T145" s="1498"/>
      <c r="U145" s="1498"/>
      <c r="V145" s="1498"/>
      <c r="W145" s="1498"/>
      <c r="X145" s="1498"/>
      <c r="Y145" s="1498"/>
      <c r="Z145" s="1498"/>
      <c r="AA145" s="1498"/>
      <c r="AB145" s="1498"/>
      <c r="AC145" s="1527"/>
      <c r="AD145" s="1527"/>
      <c r="AE145" s="1527"/>
      <c r="AF145" s="1527"/>
      <c r="AG145" s="1527"/>
      <c r="AH145" s="1527"/>
      <c r="AI145" s="1527"/>
      <c r="AJ145" s="1527"/>
      <c r="AK145" s="1527"/>
      <c r="AL145" s="1527"/>
    </row>
    <row r="146" spans="1:38">
      <c r="A146" s="1495"/>
      <c r="B146" s="1495"/>
      <c r="C146" s="1495"/>
      <c r="D146" s="1495"/>
      <c r="E146" s="1527"/>
      <c r="F146" s="1527"/>
      <c r="G146" s="1527"/>
      <c r="H146" s="1498"/>
      <c r="I146" s="1498"/>
      <c r="J146" s="1506"/>
      <c r="K146" s="1498"/>
      <c r="L146" s="1498"/>
      <c r="M146" s="1498"/>
      <c r="N146" s="1498"/>
      <c r="O146" s="1498"/>
      <c r="P146" s="1498"/>
      <c r="Q146" s="1506"/>
      <c r="R146" s="1498"/>
      <c r="S146" s="1498"/>
      <c r="T146" s="1498"/>
      <c r="U146" s="1498"/>
      <c r="V146" s="1498"/>
      <c r="W146" s="1498"/>
      <c r="X146" s="1498"/>
      <c r="Y146" s="1498"/>
      <c r="Z146" s="1498"/>
      <c r="AA146" s="1498"/>
      <c r="AB146" s="1498"/>
      <c r="AC146" s="1527"/>
      <c r="AD146" s="1527"/>
      <c r="AE146" s="1527"/>
      <c r="AF146" s="1527"/>
      <c r="AG146" s="1527"/>
      <c r="AH146" s="1527"/>
      <c r="AI146" s="1527"/>
      <c r="AJ146" s="1527"/>
      <c r="AK146" s="1527"/>
      <c r="AL146" s="1527"/>
    </row>
    <row r="147" spans="1:38" s="1485" customFormat="1">
      <c r="A147" s="1495"/>
      <c r="B147" s="1495"/>
      <c r="C147" s="1495"/>
      <c r="D147" s="1495"/>
      <c r="E147" s="1527"/>
      <c r="F147" s="1527"/>
      <c r="G147" s="1527"/>
      <c r="H147" s="1498"/>
      <c r="I147" s="1498"/>
      <c r="J147" s="1506"/>
      <c r="K147" s="1498"/>
      <c r="L147" s="1498"/>
      <c r="M147" s="1498"/>
      <c r="N147" s="1498"/>
      <c r="O147" s="1498"/>
      <c r="P147" s="1498"/>
      <c r="Q147" s="1506"/>
      <c r="R147" s="1498"/>
      <c r="S147" s="1498"/>
      <c r="T147" s="1498"/>
      <c r="U147" s="1498"/>
      <c r="V147" s="1498"/>
      <c r="W147" s="1498"/>
      <c r="X147" s="1498"/>
      <c r="Y147" s="1498"/>
      <c r="Z147" s="1498"/>
      <c r="AA147" s="1498"/>
      <c r="AB147" s="1498"/>
      <c r="AC147" s="1527"/>
      <c r="AD147" s="1527"/>
      <c r="AE147" s="1527"/>
      <c r="AF147" s="1527"/>
      <c r="AG147" s="1527"/>
      <c r="AH147" s="1527"/>
      <c r="AI147" s="1527"/>
      <c r="AJ147" s="1527"/>
      <c r="AK147" s="1527"/>
      <c r="AL147" s="1527"/>
    </row>
    <row r="148" spans="1:38" s="1485" customFormat="1">
      <c r="A148" s="1495"/>
      <c r="B148" s="1495"/>
      <c r="C148" s="1495"/>
      <c r="D148" s="1495"/>
      <c r="E148" s="1527"/>
      <c r="F148" s="1527"/>
      <c r="G148" s="1527"/>
      <c r="H148" s="1498"/>
      <c r="I148" s="1498"/>
      <c r="J148" s="1506"/>
      <c r="K148" s="1498"/>
      <c r="L148" s="1498"/>
      <c r="M148" s="1498"/>
      <c r="N148" s="1498"/>
      <c r="O148" s="1498"/>
      <c r="P148" s="1498"/>
      <c r="Q148" s="1506"/>
      <c r="R148" s="1498"/>
      <c r="S148" s="1498"/>
      <c r="T148" s="1498"/>
      <c r="U148" s="1498"/>
      <c r="V148" s="1498"/>
      <c r="W148" s="1498"/>
      <c r="X148" s="1498"/>
      <c r="Y148" s="1498"/>
      <c r="Z148" s="1498"/>
      <c r="AA148" s="1498"/>
      <c r="AB148" s="1498"/>
      <c r="AC148" s="1527"/>
      <c r="AD148" s="1527"/>
      <c r="AE148" s="1527"/>
      <c r="AF148" s="1527"/>
      <c r="AG148" s="1527"/>
      <c r="AH148" s="1527"/>
      <c r="AI148" s="1527"/>
      <c r="AJ148" s="1527"/>
      <c r="AK148" s="1527"/>
      <c r="AL148" s="1527"/>
    </row>
    <row r="149" spans="1:38" s="1485" customFormat="1">
      <c r="A149" s="1495"/>
      <c r="B149" s="1495"/>
      <c r="C149" s="1495"/>
      <c r="D149" s="1495"/>
      <c r="E149" s="1527"/>
      <c r="F149" s="1527"/>
      <c r="G149" s="1527"/>
      <c r="H149" s="1498"/>
      <c r="I149" s="1498"/>
      <c r="J149" s="1506"/>
      <c r="K149" s="1498"/>
      <c r="L149" s="1498"/>
      <c r="M149" s="1498"/>
      <c r="N149" s="1498"/>
      <c r="O149" s="1498"/>
      <c r="P149" s="1498"/>
      <c r="Q149" s="1506"/>
      <c r="R149" s="1498"/>
      <c r="S149" s="1498"/>
      <c r="T149" s="1498"/>
      <c r="U149" s="1498"/>
      <c r="V149" s="1498"/>
      <c r="W149" s="1498"/>
      <c r="X149" s="1498"/>
      <c r="Y149" s="1498"/>
      <c r="Z149" s="1498"/>
      <c r="AA149" s="1498"/>
      <c r="AB149" s="1498"/>
      <c r="AC149" s="1527"/>
      <c r="AD149" s="1527"/>
      <c r="AE149" s="1527"/>
      <c r="AF149" s="1527"/>
      <c r="AG149" s="1527"/>
      <c r="AH149" s="1527"/>
      <c r="AI149" s="1527"/>
      <c r="AJ149" s="1527"/>
      <c r="AK149" s="1527"/>
      <c r="AL149" s="1527"/>
    </row>
    <row r="150" spans="1:38" s="1485" customFormat="1">
      <c r="A150" s="1495"/>
      <c r="B150" s="1495"/>
      <c r="C150" s="1495"/>
      <c r="D150" s="1495"/>
      <c r="E150" s="1527"/>
      <c r="F150" s="1527"/>
      <c r="G150" s="1527"/>
      <c r="H150" s="1498"/>
      <c r="I150" s="1498"/>
      <c r="J150" s="1506"/>
      <c r="K150" s="1498"/>
      <c r="L150" s="1498"/>
      <c r="M150" s="1498"/>
      <c r="N150" s="1498"/>
      <c r="O150" s="1498"/>
      <c r="P150" s="1498"/>
      <c r="Q150" s="1506"/>
      <c r="R150" s="1498"/>
      <c r="S150" s="1498"/>
      <c r="T150" s="1498"/>
      <c r="U150" s="1498"/>
      <c r="V150" s="1498"/>
      <c r="W150" s="1498"/>
      <c r="X150" s="1498"/>
      <c r="Y150" s="1498"/>
      <c r="Z150" s="1498"/>
      <c r="AA150" s="1498"/>
      <c r="AB150" s="1498"/>
      <c r="AC150" s="1527"/>
      <c r="AD150" s="1527"/>
      <c r="AE150" s="1527"/>
      <c r="AF150" s="1527"/>
      <c r="AG150" s="1527"/>
      <c r="AH150" s="1527"/>
      <c r="AI150" s="1527"/>
      <c r="AJ150" s="1527"/>
      <c r="AK150" s="1527"/>
      <c r="AL150" s="1527"/>
    </row>
    <row r="151" spans="1:38" s="1485" customFormat="1">
      <c r="A151" s="1495"/>
      <c r="B151" s="1495"/>
      <c r="C151" s="1495"/>
      <c r="D151" s="1495"/>
      <c r="E151" s="1527"/>
      <c r="F151" s="1527"/>
      <c r="G151" s="1527"/>
      <c r="H151" s="1498"/>
      <c r="I151" s="1498"/>
      <c r="J151" s="1506"/>
      <c r="K151" s="1498"/>
      <c r="L151" s="1498"/>
      <c r="M151" s="1498"/>
      <c r="N151" s="1498"/>
      <c r="O151" s="1498"/>
      <c r="P151" s="1498"/>
      <c r="Q151" s="1506"/>
      <c r="R151" s="1498"/>
      <c r="S151" s="1498"/>
      <c r="T151" s="1498"/>
      <c r="U151" s="1498"/>
      <c r="V151" s="1498"/>
      <c r="W151" s="1498"/>
      <c r="X151" s="1498"/>
      <c r="Y151" s="1498"/>
      <c r="Z151" s="1498"/>
      <c r="AA151" s="1498"/>
      <c r="AB151" s="1498"/>
      <c r="AC151" s="1527"/>
      <c r="AD151" s="1527"/>
      <c r="AE151" s="1527"/>
      <c r="AF151" s="1527"/>
      <c r="AG151" s="1527"/>
      <c r="AH151" s="1527"/>
      <c r="AI151" s="1527"/>
      <c r="AJ151" s="1527"/>
      <c r="AK151" s="1527"/>
      <c r="AL151" s="1527"/>
    </row>
    <row r="152" spans="1:38" s="1485" customFormat="1">
      <c r="A152" s="1495"/>
      <c r="B152" s="1495"/>
      <c r="C152" s="1495"/>
      <c r="D152" s="1495"/>
      <c r="E152" s="1527"/>
      <c r="F152" s="1527"/>
      <c r="G152" s="1527"/>
      <c r="H152" s="1498"/>
      <c r="I152" s="1498"/>
      <c r="J152" s="1506"/>
      <c r="K152" s="1498"/>
      <c r="L152" s="1498"/>
      <c r="M152" s="1498"/>
      <c r="N152" s="1498"/>
      <c r="O152" s="1498"/>
      <c r="P152" s="1498"/>
      <c r="Q152" s="1506"/>
      <c r="R152" s="1498"/>
      <c r="S152" s="1498"/>
      <c r="T152" s="1498"/>
      <c r="U152" s="1498"/>
      <c r="V152" s="1498"/>
      <c r="W152" s="1498"/>
      <c r="X152" s="1498"/>
      <c r="Y152" s="1498"/>
      <c r="Z152" s="1498"/>
      <c r="AA152" s="1498"/>
      <c r="AB152" s="1498"/>
      <c r="AC152" s="1527"/>
      <c r="AD152" s="1527"/>
      <c r="AE152" s="1527"/>
      <c r="AF152" s="1527"/>
      <c r="AG152" s="1527"/>
      <c r="AH152" s="1527"/>
      <c r="AI152" s="1527"/>
      <c r="AJ152" s="1527"/>
      <c r="AK152" s="1527"/>
      <c r="AL152" s="1527"/>
    </row>
    <row r="153" spans="1:38" s="1485" customFormat="1">
      <c r="A153" s="1495"/>
      <c r="B153" s="1495"/>
      <c r="C153" s="1495"/>
      <c r="D153" s="1495"/>
      <c r="E153" s="1527"/>
      <c r="F153" s="1527"/>
      <c r="G153" s="1527"/>
      <c r="H153" s="1498"/>
      <c r="I153" s="1498"/>
      <c r="J153" s="1506"/>
      <c r="K153" s="1498"/>
      <c r="L153" s="1498"/>
      <c r="M153" s="1498"/>
      <c r="N153" s="1498"/>
      <c r="O153" s="1498"/>
      <c r="P153" s="1498"/>
      <c r="Q153" s="1506"/>
      <c r="R153" s="1498"/>
      <c r="S153" s="1498"/>
      <c r="T153" s="1498"/>
      <c r="U153" s="1498"/>
      <c r="V153" s="1498"/>
      <c r="W153" s="1498"/>
      <c r="X153" s="1498"/>
      <c r="Y153" s="1498"/>
      <c r="Z153" s="1498"/>
      <c r="AA153" s="1498"/>
      <c r="AB153" s="1498"/>
      <c r="AC153" s="1527"/>
      <c r="AD153" s="1527"/>
      <c r="AE153" s="1527"/>
      <c r="AF153" s="1527"/>
      <c r="AG153" s="1527"/>
      <c r="AH153" s="1527"/>
      <c r="AI153" s="1527"/>
      <c r="AJ153" s="1527"/>
      <c r="AK153" s="1527"/>
      <c r="AL153" s="1527"/>
    </row>
    <row r="154" spans="1:38" s="1485" customFormat="1">
      <c r="A154" s="1495"/>
      <c r="B154" s="1495"/>
      <c r="C154" s="1495"/>
      <c r="D154" s="1495"/>
      <c r="E154" s="1527"/>
      <c r="F154" s="1527"/>
      <c r="G154" s="1527"/>
      <c r="H154" s="1498"/>
      <c r="I154" s="1498"/>
      <c r="J154" s="1506"/>
      <c r="K154" s="1498"/>
      <c r="L154" s="1498"/>
      <c r="M154" s="1498"/>
      <c r="N154" s="1498"/>
      <c r="O154" s="1498"/>
      <c r="P154" s="1498"/>
      <c r="Q154" s="1506"/>
      <c r="R154" s="1498"/>
      <c r="S154" s="1498"/>
      <c r="T154" s="1498"/>
      <c r="U154" s="1498"/>
      <c r="V154" s="1498"/>
      <c r="W154" s="1498"/>
      <c r="X154" s="1498"/>
      <c r="Y154" s="1498"/>
      <c r="Z154" s="1498"/>
      <c r="AA154" s="1498"/>
      <c r="AB154" s="1498"/>
      <c r="AC154" s="1527"/>
      <c r="AD154" s="1527"/>
      <c r="AE154" s="1527"/>
      <c r="AF154" s="1527"/>
      <c r="AG154" s="1527"/>
      <c r="AH154" s="1527"/>
      <c r="AI154" s="1527"/>
      <c r="AJ154" s="1527"/>
      <c r="AK154" s="1527"/>
      <c r="AL154" s="1527"/>
    </row>
    <row r="155" spans="1:38" s="1485" customFormat="1">
      <c r="A155" s="1495"/>
      <c r="B155" s="1495"/>
      <c r="C155" s="1495"/>
      <c r="D155" s="1495"/>
      <c r="E155" s="1527"/>
      <c r="F155" s="1527"/>
      <c r="G155" s="1527"/>
      <c r="H155" s="1498"/>
      <c r="I155" s="1498"/>
      <c r="J155" s="1506"/>
      <c r="K155" s="1498"/>
      <c r="L155" s="1498"/>
      <c r="M155" s="1498"/>
      <c r="N155" s="1498"/>
      <c r="O155" s="1498"/>
      <c r="P155" s="1498"/>
      <c r="Q155" s="1506"/>
      <c r="R155" s="1498"/>
      <c r="S155" s="1498"/>
      <c r="T155" s="1498"/>
      <c r="U155" s="1498"/>
      <c r="V155" s="1498"/>
      <c r="W155" s="1498"/>
      <c r="X155" s="1498"/>
      <c r="Y155" s="1498"/>
      <c r="Z155" s="1498"/>
      <c r="AA155" s="1498"/>
      <c r="AB155" s="1498"/>
      <c r="AC155" s="1527"/>
      <c r="AD155" s="1527"/>
      <c r="AE155" s="1527"/>
      <c r="AF155" s="1527"/>
      <c r="AG155" s="1527"/>
      <c r="AH155" s="1527"/>
      <c r="AI155" s="1527"/>
      <c r="AJ155" s="1527"/>
      <c r="AK155" s="1527"/>
      <c r="AL155" s="1527"/>
    </row>
    <row r="156" spans="1:38" s="1485" customFormat="1">
      <c r="A156" s="1495"/>
      <c r="B156" s="1495"/>
      <c r="C156" s="1495"/>
      <c r="D156" s="1495"/>
      <c r="E156" s="1527"/>
      <c r="F156" s="1527"/>
      <c r="G156" s="1527"/>
      <c r="H156" s="1498"/>
      <c r="I156" s="1498"/>
      <c r="J156" s="1506"/>
      <c r="K156" s="1498"/>
      <c r="L156" s="1498"/>
      <c r="M156" s="1498"/>
      <c r="N156" s="1498"/>
      <c r="O156" s="1498"/>
      <c r="P156" s="1498"/>
      <c r="Q156" s="1506"/>
      <c r="R156" s="1498"/>
      <c r="S156" s="1498"/>
      <c r="T156" s="1498"/>
      <c r="U156" s="1498"/>
      <c r="V156" s="1498"/>
      <c r="W156" s="1498"/>
      <c r="X156" s="1498"/>
      <c r="Y156" s="1498"/>
      <c r="Z156" s="1498"/>
      <c r="AA156" s="1498"/>
      <c r="AB156" s="1498"/>
      <c r="AC156" s="1527"/>
      <c r="AD156" s="1527"/>
      <c r="AE156" s="1527"/>
      <c r="AF156" s="1527"/>
      <c r="AG156" s="1527"/>
      <c r="AH156" s="1527"/>
      <c r="AI156" s="1527"/>
      <c r="AJ156" s="1527"/>
      <c r="AK156" s="1527"/>
      <c r="AL156" s="1527"/>
    </row>
    <row r="157" spans="1:38" s="1485" customFormat="1">
      <c r="A157" s="1495"/>
      <c r="B157" s="1495"/>
      <c r="C157" s="1495"/>
      <c r="D157" s="1495"/>
      <c r="E157" s="1527"/>
      <c r="F157" s="1527"/>
      <c r="G157" s="1527"/>
      <c r="H157" s="1498"/>
      <c r="I157" s="1498"/>
      <c r="J157" s="1506"/>
      <c r="K157" s="1498"/>
      <c r="L157" s="1498"/>
      <c r="M157" s="1498"/>
      <c r="N157" s="1498"/>
      <c r="O157" s="1498"/>
      <c r="P157" s="1498"/>
      <c r="Q157" s="1506"/>
      <c r="R157" s="1498"/>
      <c r="S157" s="1498"/>
      <c r="T157" s="1498"/>
      <c r="U157" s="1498"/>
      <c r="V157" s="1498"/>
      <c r="W157" s="1498"/>
      <c r="X157" s="1498"/>
      <c r="Y157" s="1498"/>
      <c r="Z157" s="1498"/>
      <c r="AA157" s="1498"/>
      <c r="AB157" s="1498"/>
      <c r="AC157" s="1527"/>
      <c r="AD157" s="1527"/>
      <c r="AE157" s="1527"/>
      <c r="AF157" s="1527"/>
      <c r="AG157" s="1527"/>
      <c r="AH157" s="1527"/>
      <c r="AI157" s="1527"/>
      <c r="AJ157" s="1527"/>
      <c r="AK157" s="1527"/>
      <c r="AL157" s="1527"/>
    </row>
    <row r="158" spans="1:38" s="1485" customFormat="1">
      <c r="A158" s="1495"/>
      <c r="B158" s="1495"/>
      <c r="C158" s="1495"/>
      <c r="D158" s="1495"/>
      <c r="E158" s="1527"/>
      <c r="F158" s="1527"/>
      <c r="G158" s="1527"/>
      <c r="H158" s="1498"/>
      <c r="I158" s="1498"/>
      <c r="J158" s="1506"/>
      <c r="K158" s="1498"/>
      <c r="L158" s="1498"/>
      <c r="M158" s="1498"/>
      <c r="N158" s="1498"/>
      <c r="O158" s="1498"/>
      <c r="P158" s="1498"/>
      <c r="Q158" s="1506"/>
      <c r="R158" s="1498"/>
      <c r="S158" s="1498"/>
      <c r="T158" s="1498"/>
      <c r="U158" s="1498"/>
      <c r="V158" s="1498"/>
      <c r="W158" s="1498"/>
      <c r="X158" s="1498"/>
      <c r="Y158" s="1498"/>
      <c r="Z158" s="1498"/>
      <c r="AA158" s="1498"/>
      <c r="AB158" s="1498"/>
      <c r="AC158" s="1527"/>
      <c r="AD158" s="1527"/>
      <c r="AE158" s="1527"/>
      <c r="AF158" s="1527"/>
      <c r="AG158" s="1527"/>
      <c r="AH158" s="1527"/>
      <c r="AI158" s="1527"/>
      <c r="AJ158" s="1527"/>
      <c r="AK158" s="1527"/>
      <c r="AL158" s="1527"/>
    </row>
    <row r="159" spans="1:38" s="1485" customFormat="1">
      <c r="A159" s="1495"/>
      <c r="B159" s="1495"/>
      <c r="C159" s="1495"/>
      <c r="D159" s="1495"/>
      <c r="E159" s="1527"/>
      <c r="F159" s="1527"/>
      <c r="G159" s="1527"/>
      <c r="H159" s="1498"/>
      <c r="I159" s="1498"/>
      <c r="J159" s="1506"/>
      <c r="K159" s="1498"/>
      <c r="L159" s="1498"/>
      <c r="M159" s="1498"/>
      <c r="N159" s="1498"/>
      <c r="O159" s="1498"/>
      <c r="P159" s="1498"/>
      <c r="Q159" s="1506"/>
      <c r="R159" s="1498"/>
      <c r="S159" s="1498"/>
      <c r="T159" s="1498"/>
      <c r="U159" s="1498"/>
      <c r="V159" s="1498"/>
      <c r="W159" s="1498"/>
      <c r="X159" s="1498"/>
      <c r="Y159" s="1498"/>
      <c r="Z159" s="1498"/>
      <c r="AA159" s="1498"/>
      <c r="AB159" s="1498"/>
      <c r="AC159" s="1527"/>
      <c r="AD159" s="1527"/>
      <c r="AE159" s="1527"/>
      <c r="AF159" s="1527"/>
      <c r="AG159" s="1527"/>
      <c r="AH159" s="1527"/>
      <c r="AI159" s="1527"/>
      <c r="AJ159" s="1527"/>
      <c r="AK159" s="1527"/>
      <c r="AL159" s="1527"/>
    </row>
    <row r="160" spans="1:38" s="1485" customFormat="1">
      <c r="A160" s="1495"/>
      <c r="B160" s="1495"/>
      <c r="C160" s="1495"/>
      <c r="D160" s="1495"/>
      <c r="E160" s="1527"/>
      <c r="F160" s="1527"/>
      <c r="G160" s="1527"/>
      <c r="H160" s="1498"/>
      <c r="I160" s="1498"/>
      <c r="J160" s="1506"/>
      <c r="K160" s="1498"/>
      <c r="L160" s="1498"/>
      <c r="M160" s="1498"/>
      <c r="N160" s="1498"/>
      <c r="O160" s="1498"/>
      <c r="P160" s="1498"/>
      <c r="Q160" s="1506"/>
      <c r="R160" s="1498"/>
      <c r="S160" s="1498"/>
      <c r="T160" s="1498"/>
      <c r="U160" s="1498"/>
      <c r="V160" s="1498"/>
      <c r="W160" s="1498"/>
      <c r="X160" s="1498"/>
      <c r="Y160" s="1498"/>
      <c r="Z160" s="1498"/>
      <c r="AA160" s="1498"/>
      <c r="AB160" s="1498"/>
      <c r="AC160" s="1527"/>
      <c r="AD160" s="1527"/>
      <c r="AE160" s="1527"/>
      <c r="AF160" s="1527"/>
      <c r="AG160" s="1527"/>
      <c r="AH160" s="1527"/>
      <c r="AI160" s="1527"/>
      <c r="AJ160" s="1527"/>
      <c r="AK160" s="1527"/>
      <c r="AL160" s="1527"/>
    </row>
    <row r="161" spans="1:38" s="1485" customFormat="1">
      <c r="A161" s="1495"/>
      <c r="B161" s="1495"/>
      <c r="C161" s="1495"/>
      <c r="D161" s="1495"/>
      <c r="E161" s="1527"/>
      <c r="F161" s="1527"/>
      <c r="G161" s="1527"/>
      <c r="H161" s="1498"/>
      <c r="I161" s="1498"/>
      <c r="J161" s="1506"/>
      <c r="K161" s="1498"/>
      <c r="L161" s="1498"/>
      <c r="M161" s="1498"/>
      <c r="N161" s="1498"/>
      <c r="O161" s="1498"/>
      <c r="P161" s="1498"/>
      <c r="Q161" s="1506"/>
      <c r="R161" s="1498"/>
      <c r="S161" s="1498"/>
      <c r="T161" s="1498"/>
      <c r="U161" s="1498"/>
      <c r="V161" s="1498"/>
      <c r="W161" s="1498"/>
      <c r="X161" s="1498"/>
      <c r="Y161" s="1498"/>
      <c r="Z161" s="1498"/>
      <c r="AA161" s="1498"/>
      <c r="AB161" s="1498"/>
      <c r="AC161" s="1527"/>
      <c r="AD161" s="1527"/>
      <c r="AE161" s="1527"/>
      <c r="AF161" s="1527"/>
      <c r="AG161" s="1527"/>
      <c r="AH161" s="1527"/>
      <c r="AI161" s="1527"/>
      <c r="AJ161" s="1527"/>
      <c r="AK161" s="1527"/>
      <c r="AL161" s="1527"/>
    </row>
    <row r="162" spans="1:38" s="1485" customFormat="1">
      <c r="A162" s="1495"/>
      <c r="B162" s="1495"/>
      <c r="C162" s="1495"/>
      <c r="D162" s="1495"/>
      <c r="E162" s="1527"/>
      <c r="F162" s="1527"/>
      <c r="G162" s="1527"/>
      <c r="H162" s="1498"/>
      <c r="I162" s="1498"/>
      <c r="J162" s="1506"/>
      <c r="K162" s="1498"/>
      <c r="L162" s="1498"/>
      <c r="M162" s="1498"/>
      <c r="N162" s="1498"/>
      <c r="O162" s="1498"/>
      <c r="P162" s="1498"/>
      <c r="Q162" s="1506"/>
      <c r="R162" s="1498"/>
      <c r="S162" s="1498"/>
      <c r="T162" s="1498"/>
      <c r="U162" s="1498"/>
      <c r="V162" s="1498"/>
      <c r="W162" s="1498"/>
      <c r="X162" s="1498"/>
      <c r="Y162" s="1498"/>
      <c r="Z162" s="1498"/>
      <c r="AA162" s="1498"/>
      <c r="AB162" s="1498"/>
      <c r="AC162" s="1527"/>
      <c r="AD162" s="1527"/>
      <c r="AE162" s="1527"/>
      <c r="AF162" s="1527"/>
      <c r="AG162" s="1527"/>
      <c r="AH162" s="1527"/>
      <c r="AI162" s="1527"/>
      <c r="AJ162" s="1527"/>
      <c r="AK162" s="1527"/>
      <c r="AL162" s="1527"/>
    </row>
    <row r="163" spans="1:38" s="1485" customFormat="1">
      <c r="A163" s="1495"/>
      <c r="B163" s="1495"/>
      <c r="C163" s="1495"/>
      <c r="D163" s="1495"/>
      <c r="E163" s="1527"/>
      <c r="F163" s="1527"/>
      <c r="G163" s="1527"/>
      <c r="H163" s="1498"/>
      <c r="I163" s="1498"/>
      <c r="J163" s="1506"/>
      <c r="K163" s="1498"/>
      <c r="L163" s="1498"/>
      <c r="M163" s="1498"/>
      <c r="N163" s="1498"/>
      <c r="O163" s="1498"/>
      <c r="P163" s="1498"/>
      <c r="Q163" s="1506"/>
      <c r="R163" s="1498"/>
      <c r="S163" s="1498"/>
      <c r="T163" s="1498"/>
      <c r="U163" s="1498"/>
      <c r="V163" s="1498"/>
      <c r="W163" s="1498"/>
      <c r="X163" s="1498"/>
      <c r="Y163" s="1498"/>
      <c r="Z163" s="1498"/>
      <c r="AA163" s="1498"/>
      <c r="AB163" s="1498"/>
      <c r="AC163" s="1527"/>
      <c r="AD163" s="1527"/>
      <c r="AE163" s="1527"/>
      <c r="AF163" s="1527"/>
      <c r="AG163" s="1527"/>
      <c r="AH163" s="1527"/>
      <c r="AI163" s="1527"/>
      <c r="AJ163" s="1527"/>
      <c r="AK163" s="1527"/>
      <c r="AL163" s="1527"/>
    </row>
    <row r="164" spans="1:38" s="1485" customFormat="1">
      <c r="A164" s="1495"/>
      <c r="B164" s="1495"/>
      <c r="C164" s="1495"/>
      <c r="D164" s="1495"/>
      <c r="E164" s="1527"/>
      <c r="F164" s="1527"/>
      <c r="G164" s="1527"/>
      <c r="H164" s="1498"/>
      <c r="I164" s="1498"/>
      <c r="J164" s="1506"/>
      <c r="K164" s="1498"/>
      <c r="L164" s="1498"/>
      <c r="M164" s="1498"/>
      <c r="N164" s="1498"/>
      <c r="O164" s="1498"/>
      <c r="P164" s="1498"/>
      <c r="Q164" s="1506"/>
      <c r="R164" s="1498"/>
      <c r="S164" s="1498"/>
      <c r="T164" s="1498"/>
      <c r="U164" s="1498"/>
      <c r="V164" s="1498"/>
      <c r="W164" s="1498"/>
      <c r="X164" s="1498"/>
      <c r="Y164" s="1498"/>
      <c r="Z164" s="1498"/>
      <c r="AA164" s="1498"/>
      <c r="AB164" s="1498"/>
      <c r="AC164" s="1527"/>
      <c r="AD164" s="1527"/>
      <c r="AE164" s="1527"/>
      <c r="AF164" s="1527"/>
      <c r="AG164" s="1527"/>
      <c r="AH164" s="1527"/>
      <c r="AI164" s="1527"/>
      <c r="AJ164" s="1527"/>
      <c r="AK164" s="1527"/>
      <c r="AL164" s="1527"/>
    </row>
    <row r="165" spans="1:38" s="1485" customFormat="1">
      <c r="A165" s="1495"/>
      <c r="B165" s="1495"/>
      <c r="C165" s="1495"/>
      <c r="D165" s="1495"/>
      <c r="E165" s="1527"/>
      <c r="F165" s="1527"/>
      <c r="G165" s="1527"/>
      <c r="H165" s="1498"/>
      <c r="I165" s="1498"/>
      <c r="J165" s="1506"/>
      <c r="K165" s="1498"/>
      <c r="L165" s="1498"/>
      <c r="M165" s="1498"/>
      <c r="N165" s="1498"/>
      <c r="O165" s="1498"/>
      <c r="P165" s="1498"/>
      <c r="Q165" s="1506"/>
      <c r="R165" s="1498"/>
      <c r="S165" s="1498"/>
      <c r="T165" s="1498"/>
      <c r="U165" s="1498"/>
      <c r="V165" s="1498"/>
      <c r="W165" s="1498"/>
      <c r="X165" s="1498"/>
      <c r="Y165" s="1498"/>
      <c r="Z165" s="1498"/>
      <c r="AA165" s="1498"/>
      <c r="AB165" s="1498"/>
      <c r="AC165" s="1527"/>
      <c r="AD165" s="1527"/>
      <c r="AE165" s="1527"/>
      <c r="AF165" s="1527"/>
      <c r="AG165" s="1527"/>
      <c r="AH165" s="1527"/>
      <c r="AI165" s="1527"/>
      <c r="AJ165" s="1527"/>
      <c r="AK165" s="1527"/>
      <c r="AL165" s="1527"/>
    </row>
    <row r="166" spans="1:38" s="1485" customFormat="1">
      <c r="A166" s="1495"/>
      <c r="B166" s="1495"/>
      <c r="C166" s="1495"/>
      <c r="D166" s="1495"/>
      <c r="E166" s="1527"/>
      <c r="F166" s="1527"/>
      <c r="G166" s="1527"/>
      <c r="H166" s="1498"/>
      <c r="I166" s="1498"/>
      <c r="J166" s="1506"/>
      <c r="K166" s="1498"/>
      <c r="L166" s="1498"/>
      <c r="M166" s="1498"/>
      <c r="N166" s="1498"/>
      <c r="O166" s="1498"/>
      <c r="P166" s="1498"/>
      <c r="Q166" s="1506"/>
      <c r="R166" s="1498"/>
      <c r="S166" s="1498"/>
      <c r="T166" s="1498"/>
      <c r="U166" s="1498"/>
      <c r="V166" s="1498"/>
      <c r="W166" s="1498"/>
      <c r="X166" s="1498"/>
      <c r="Y166" s="1498"/>
      <c r="Z166" s="1498"/>
      <c r="AA166" s="1498"/>
      <c r="AB166" s="1498"/>
      <c r="AC166" s="1527"/>
      <c r="AD166" s="1527"/>
      <c r="AE166" s="1527"/>
      <c r="AF166" s="1527"/>
      <c r="AG166" s="1527"/>
      <c r="AH166" s="1527"/>
      <c r="AI166" s="1527"/>
      <c r="AJ166" s="1527"/>
      <c r="AK166" s="1527"/>
      <c r="AL166" s="1527"/>
    </row>
    <row r="167" spans="1:38" s="1485" customFormat="1">
      <c r="A167" s="1495"/>
      <c r="B167" s="1495"/>
      <c r="C167" s="1495"/>
      <c r="D167" s="1495"/>
      <c r="E167" s="1527"/>
      <c r="F167" s="1527"/>
      <c r="G167" s="1527"/>
      <c r="H167" s="1498"/>
      <c r="I167" s="1498"/>
      <c r="J167" s="1506"/>
      <c r="K167" s="1498"/>
      <c r="L167" s="1498"/>
      <c r="M167" s="1498"/>
      <c r="N167" s="1498"/>
      <c r="O167" s="1498"/>
      <c r="P167" s="1498"/>
      <c r="Q167" s="1506"/>
      <c r="R167" s="1498"/>
      <c r="S167" s="1498"/>
      <c r="T167" s="1498"/>
      <c r="U167" s="1498"/>
      <c r="V167" s="1498"/>
      <c r="W167" s="1498"/>
      <c r="X167" s="1498"/>
      <c r="Y167" s="1498"/>
      <c r="Z167" s="1498"/>
      <c r="AA167" s="1498"/>
      <c r="AB167" s="1498"/>
      <c r="AC167" s="1527"/>
      <c r="AD167" s="1527"/>
      <c r="AE167" s="1527"/>
      <c r="AF167" s="1527"/>
      <c r="AG167" s="1527"/>
      <c r="AH167" s="1527"/>
      <c r="AI167" s="1527"/>
      <c r="AJ167" s="1527"/>
      <c r="AK167" s="1527"/>
      <c r="AL167" s="1527"/>
    </row>
    <row r="168" spans="1:38" s="1485" customFormat="1">
      <c r="A168" s="1495"/>
      <c r="B168" s="1495"/>
      <c r="C168" s="1495"/>
      <c r="D168" s="1495"/>
      <c r="E168" s="1527"/>
      <c r="F168" s="1527"/>
      <c r="G168" s="1527"/>
      <c r="H168" s="1498"/>
      <c r="I168" s="1498"/>
      <c r="J168" s="1506"/>
      <c r="K168" s="1498"/>
      <c r="L168" s="1498"/>
      <c r="M168" s="1498"/>
      <c r="N168" s="1498"/>
      <c r="O168" s="1498"/>
      <c r="P168" s="1498"/>
      <c r="Q168" s="1506"/>
      <c r="R168" s="1498"/>
      <c r="S168" s="1498"/>
      <c r="T168" s="1498"/>
      <c r="U168" s="1498"/>
      <c r="V168" s="1498"/>
      <c r="W168" s="1498"/>
      <c r="X168" s="1498"/>
      <c r="Y168" s="1498"/>
      <c r="Z168" s="1498"/>
      <c r="AA168" s="1498"/>
      <c r="AB168" s="1498"/>
      <c r="AC168" s="1527"/>
      <c r="AD168" s="1527"/>
      <c r="AE168" s="1527"/>
      <c r="AF168" s="1527"/>
      <c r="AG168" s="1527"/>
      <c r="AH168" s="1527"/>
      <c r="AI168" s="1527"/>
      <c r="AJ168" s="1527"/>
      <c r="AK168" s="1527"/>
      <c r="AL168" s="1527"/>
    </row>
    <row r="169" spans="1:38" s="1485" customFormat="1">
      <c r="A169" s="1495"/>
      <c r="B169" s="1495"/>
      <c r="C169" s="1495"/>
      <c r="D169" s="1495"/>
      <c r="E169" s="1527"/>
      <c r="F169" s="1527"/>
      <c r="G169" s="1527"/>
      <c r="H169" s="1498"/>
      <c r="I169" s="1498"/>
      <c r="J169" s="1506"/>
      <c r="K169" s="1498"/>
      <c r="L169" s="1498"/>
      <c r="M169" s="1498"/>
      <c r="N169" s="1498"/>
      <c r="O169" s="1498"/>
      <c r="P169" s="1498"/>
      <c r="Q169" s="1506"/>
      <c r="R169" s="1498"/>
      <c r="S169" s="1498"/>
      <c r="T169" s="1498"/>
      <c r="U169" s="1498"/>
      <c r="V169" s="1498"/>
      <c r="W169" s="1498"/>
      <c r="X169" s="1498"/>
      <c r="Y169" s="1498"/>
      <c r="Z169" s="1498"/>
      <c r="AA169" s="1498"/>
      <c r="AB169" s="1498"/>
      <c r="AC169" s="1527"/>
      <c r="AD169" s="1527"/>
      <c r="AE169" s="1527"/>
      <c r="AF169" s="1527"/>
      <c r="AG169" s="1527"/>
      <c r="AH169" s="1527"/>
      <c r="AI169" s="1527"/>
      <c r="AJ169" s="1527"/>
      <c r="AK169" s="1527"/>
      <c r="AL169" s="1527"/>
    </row>
    <row r="170" spans="1:38" s="1485" customFormat="1">
      <c r="A170" s="1495"/>
      <c r="B170" s="1495"/>
      <c r="C170" s="1495"/>
      <c r="D170" s="1495"/>
      <c r="E170" s="1527"/>
      <c r="F170" s="1527"/>
      <c r="G170" s="1527"/>
      <c r="H170" s="1498"/>
      <c r="I170" s="1498"/>
      <c r="J170" s="1506"/>
      <c r="K170" s="1498"/>
      <c r="L170" s="1498"/>
      <c r="M170" s="1498"/>
      <c r="N170" s="1498"/>
      <c r="O170" s="1498"/>
      <c r="P170" s="1498"/>
      <c r="Q170" s="1506"/>
      <c r="R170" s="1498"/>
      <c r="S170" s="1498"/>
      <c r="T170" s="1498"/>
      <c r="U170" s="1498"/>
      <c r="V170" s="1498"/>
      <c r="W170" s="1498"/>
      <c r="X170" s="1498"/>
      <c r="Y170" s="1498"/>
      <c r="Z170" s="1498"/>
      <c r="AA170" s="1498"/>
      <c r="AB170" s="1498"/>
      <c r="AC170" s="1527"/>
      <c r="AD170" s="1527"/>
      <c r="AE170" s="1527"/>
      <c r="AF170" s="1527"/>
      <c r="AG170" s="1527"/>
      <c r="AH170" s="1527"/>
      <c r="AI170" s="1527"/>
      <c r="AJ170" s="1527"/>
      <c r="AK170" s="1527"/>
      <c r="AL170" s="1527"/>
    </row>
    <row r="171" spans="1:38" s="1485" customFormat="1">
      <c r="A171" s="1495"/>
      <c r="B171" s="1495"/>
      <c r="C171" s="1495"/>
      <c r="D171" s="1495"/>
      <c r="E171" s="1527"/>
      <c r="F171" s="1527"/>
      <c r="G171" s="1527"/>
      <c r="H171" s="1498"/>
      <c r="I171" s="1498"/>
      <c r="J171" s="1506"/>
      <c r="K171" s="1498"/>
      <c r="L171" s="1498"/>
      <c r="M171" s="1498"/>
      <c r="N171" s="1498"/>
      <c r="O171" s="1498"/>
      <c r="P171" s="1498"/>
      <c r="Q171" s="1506"/>
      <c r="R171" s="1498"/>
      <c r="S171" s="1498"/>
      <c r="T171" s="1498"/>
      <c r="U171" s="1498"/>
      <c r="V171" s="1498"/>
      <c r="W171" s="1498"/>
      <c r="X171" s="1498"/>
      <c r="Y171" s="1498"/>
      <c r="Z171" s="1498"/>
      <c r="AA171" s="1498"/>
      <c r="AB171" s="1498"/>
      <c r="AC171" s="1527"/>
      <c r="AD171" s="1527"/>
      <c r="AE171" s="1527"/>
      <c r="AF171" s="1527"/>
      <c r="AG171" s="1527"/>
      <c r="AH171" s="1527"/>
      <c r="AI171" s="1527"/>
      <c r="AJ171" s="1527"/>
      <c r="AK171" s="1527"/>
      <c r="AL171" s="1527"/>
    </row>
    <row r="172" spans="1:38" s="1485" customFormat="1">
      <c r="A172" s="1495"/>
      <c r="B172" s="1495"/>
      <c r="C172" s="1495"/>
      <c r="D172" s="1495"/>
      <c r="E172" s="1527"/>
      <c r="F172" s="1527"/>
      <c r="G172" s="1527"/>
      <c r="H172" s="1498"/>
      <c r="I172" s="1498"/>
      <c r="J172" s="1506"/>
      <c r="K172" s="1498"/>
      <c r="L172" s="1498"/>
      <c r="M172" s="1498"/>
      <c r="N172" s="1498"/>
      <c r="O172" s="1498"/>
      <c r="P172" s="1498"/>
      <c r="Q172" s="1506"/>
      <c r="R172" s="1498"/>
      <c r="S172" s="1498"/>
      <c r="T172" s="1498"/>
      <c r="U172" s="1498"/>
      <c r="V172" s="1498"/>
      <c r="W172" s="1498"/>
      <c r="X172" s="1498"/>
      <c r="Y172" s="1498"/>
      <c r="Z172" s="1498"/>
      <c r="AA172" s="1498"/>
      <c r="AB172" s="1498"/>
      <c r="AC172" s="1527"/>
      <c r="AD172" s="1527"/>
      <c r="AE172" s="1527"/>
      <c r="AF172" s="1527"/>
      <c r="AG172" s="1527"/>
      <c r="AH172" s="1527"/>
      <c r="AI172" s="1527"/>
      <c r="AJ172" s="1527"/>
      <c r="AK172" s="1527"/>
      <c r="AL172" s="1527"/>
    </row>
    <row r="173" spans="1:38" s="1485" customFormat="1">
      <c r="A173" s="1495"/>
      <c r="B173" s="1495"/>
      <c r="C173" s="1495"/>
      <c r="D173" s="1495"/>
      <c r="E173" s="1527"/>
      <c r="F173" s="1527"/>
      <c r="G173" s="1527"/>
      <c r="H173" s="1498"/>
      <c r="I173" s="1498"/>
      <c r="J173" s="1506"/>
      <c r="K173" s="1498"/>
      <c r="L173" s="1498"/>
      <c r="M173" s="1498"/>
      <c r="N173" s="1498"/>
      <c r="O173" s="1498"/>
      <c r="P173" s="1498"/>
      <c r="Q173" s="1506"/>
      <c r="R173" s="1498"/>
      <c r="S173" s="1498"/>
      <c r="T173" s="1498"/>
      <c r="U173" s="1498"/>
      <c r="V173" s="1498"/>
      <c r="W173" s="1498"/>
      <c r="X173" s="1498"/>
      <c r="Y173" s="1498"/>
      <c r="Z173" s="1498"/>
      <c r="AA173" s="1498"/>
      <c r="AB173" s="1498"/>
      <c r="AC173" s="1527"/>
      <c r="AD173" s="1527"/>
      <c r="AE173" s="1527"/>
      <c r="AF173" s="1527"/>
      <c r="AG173" s="1527"/>
      <c r="AH173" s="1527"/>
      <c r="AI173" s="1527"/>
      <c r="AJ173" s="1527"/>
      <c r="AK173" s="1527"/>
      <c r="AL173" s="1527"/>
    </row>
    <row r="174" spans="1:38" s="1485" customFormat="1">
      <c r="A174" s="1495"/>
      <c r="B174" s="1495"/>
      <c r="C174" s="1495"/>
      <c r="D174" s="1495"/>
      <c r="E174" s="1527"/>
      <c r="F174" s="1527"/>
      <c r="G174" s="1527"/>
      <c r="H174" s="1498"/>
      <c r="I174" s="1498"/>
      <c r="J174" s="1506"/>
      <c r="K174" s="1498"/>
      <c r="L174" s="1498"/>
      <c r="M174" s="1498"/>
      <c r="N174" s="1498"/>
      <c r="O174" s="1498"/>
      <c r="P174" s="1498"/>
      <c r="Q174" s="1506"/>
      <c r="R174" s="1498"/>
      <c r="S174" s="1498"/>
      <c r="T174" s="1498"/>
      <c r="U174" s="1498"/>
      <c r="V174" s="1498"/>
      <c r="W174" s="1498"/>
      <c r="X174" s="1498"/>
      <c r="Y174" s="1498"/>
      <c r="Z174" s="1498"/>
      <c r="AA174" s="1498"/>
      <c r="AB174" s="1498"/>
      <c r="AC174" s="1527"/>
      <c r="AD174" s="1527"/>
      <c r="AE174" s="1527"/>
      <c r="AF174" s="1527"/>
      <c r="AG174" s="1527"/>
      <c r="AH174" s="1527"/>
      <c r="AI174" s="1527"/>
      <c r="AJ174" s="1527"/>
      <c r="AK174" s="1527"/>
      <c r="AL174" s="1527"/>
    </row>
    <row r="175" spans="1:38" s="1485" customFormat="1">
      <c r="A175" s="1495"/>
      <c r="B175" s="1495"/>
      <c r="C175" s="1495"/>
      <c r="D175" s="1495"/>
      <c r="E175" s="1527"/>
      <c r="F175" s="1527"/>
      <c r="G175" s="1527"/>
      <c r="H175" s="1498"/>
      <c r="I175" s="1498"/>
      <c r="J175" s="1506"/>
      <c r="K175" s="1498"/>
      <c r="L175" s="1498"/>
      <c r="M175" s="1498"/>
      <c r="N175" s="1498"/>
      <c r="O175" s="1498"/>
      <c r="P175" s="1498"/>
      <c r="Q175" s="1506"/>
      <c r="R175" s="1498"/>
      <c r="S175" s="1498"/>
      <c r="T175" s="1498"/>
      <c r="U175" s="1498"/>
      <c r="V175" s="1498"/>
      <c r="W175" s="1498"/>
      <c r="X175" s="1498"/>
      <c r="Y175" s="1498"/>
      <c r="Z175" s="1498"/>
      <c r="AA175" s="1498"/>
      <c r="AB175" s="1498"/>
      <c r="AC175" s="1527"/>
      <c r="AD175" s="1527"/>
      <c r="AE175" s="1527"/>
      <c r="AF175" s="1527"/>
      <c r="AG175" s="1527"/>
      <c r="AH175" s="1527"/>
      <c r="AI175" s="1527"/>
      <c r="AJ175" s="1527"/>
      <c r="AK175" s="1527"/>
      <c r="AL175" s="1527"/>
    </row>
    <row r="176" spans="1:38" s="1485" customFormat="1">
      <c r="A176" s="1495"/>
      <c r="B176" s="1495"/>
      <c r="C176" s="1495"/>
      <c r="D176" s="1495"/>
      <c r="E176" s="1527"/>
      <c r="F176" s="1527"/>
      <c r="G176" s="1527"/>
      <c r="H176" s="1498"/>
      <c r="I176" s="1498"/>
      <c r="J176" s="1506"/>
      <c r="K176" s="1498"/>
      <c r="L176" s="1498"/>
      <c r="M176" s="1498"/>
      <c r="N176" s="1498"/>
      <c r="O176" s="1498"/>
      <c r="P176" s="1498"/>
      <c r="Q176" s="1506"/>
      <c r="R176" s="1498"/>
      <c r="S176" s="1498"/>
      <c r="T176" s="1498"/>
      <c r="U176" s="1498"/>
      <c r="V176" s="1498"/>
      <c r="W176" s="1498"/>
      <c r="X176" s="1498"/>
      <c r="Y176" s="1498"/>
      <c r="Z176" s="1498"/>
      <c r="AA176" s="1498"/>
      <c r="AB176" s="1498"/>
      <c r="AC176" s="1527"/>
      <c r="AD176" s="1527"/>
      <c r="AE176" s="1527"/>
      <c r="AF176" s="1527"/>
      <c r="AG176" s="1527"/>
      <c r="AH176" s="1527"/>
      <c r="AI176" s="1527"/>
      <c r="AJ176" s="1527"/>
      <c r="AK176" s="1527"/>
      <c r="AL176" s="1527"/>
    </row>
    <row r="177" spans="1:38" s="1485" customFormat="1">
      <c r="A177" s="1495"/>
      <c r="B177" s="1495"/>
      <c r="C177" s="1495"/>
      <c r="D177" s="1495"/>
      <c r="E177" s="1527"/>
      <c r="F177" s="1527"/>
      <c r="G177" s="1527"/>
      <c r="H177" s="1498"/>
      <c r="I177" s="1498"/>
      <c r="J177" s="1506"/>
      <c r="K177" s="1498"/>
      <c r="L177" s="1498"/>
      <c r="M177" s="1498"/>
      <c r="N177" s="1498"/>
      <c r="O177" s="1498"/>
      <c r="P177" s="1498"/>
      <c r="Q177" s="1506"/>
      <c r="R177" s="1498"/>
      <c r="S177" s="1498"/>
      <c r="T177" s="1498"/>
      <c r="U177" s="1498"/>
      <c r="V177" s="1498"/>
      <c r="W177" s="1498"/>
      <c r="X177" s="1498"/>
      <c r="Y177" s="1498"/>
      <c r="Z177" s="1498"/>
      <c r="AA177" s="1498"/>
      <c r="AB177" s="1498"/>
      <c r="AC177" s="1527"/>
      <c r="AD177" s="1527"/>
      <c r="AE177" s="1527"/>
      <c r="AF177" s="1527"/>
      <c r="AG177" s="1527"/>
      <c r="AH177" s="1527"/>
      <c r="AI177" s="1527"/>
      <c r="AJ177" s="1527"/>
      <c r="AK177" s="1527"/>
      <c r="AL177" s="1527"/>
    </row>
    <row r="178" spans="1:38" s="1485" customFormat="1">
      <c r="A178" s="1495"/>
      <c r="B178" s="1495"/>
      <c r="C178" s="1495"/>
      <c r="D178" s="1495"/>
      <c r="E178" s="1527"/>
      <c r="F178" s="1527"/>
      <c r="G178" s="1527"/>
      <c r="H178" s="1498"/>
      <c r="I178" s="1498"/>
      <c r="J178" s="1506"/>
      <c r="K178" s="1498"/>
      <c r="L178" s="1498"/>
      <c r="M178" s="1498"/>
      <c r="N178" s="1498"/>
      <c r="O178" s="1498"/>
      <c r="P178" s="1498"/>
      <c r="Q178" s="1506"/>
      <c r="R178" s="1498"/>
      <c r="S178" s="1498"/>
      <c r="T178" s="1498"/>
      <c r="U178" s="1498"/>
      <c r="V178" s="1498"/>
      <c r="W178" s="1498"/>
      <c r="X178" s="1498"/>
      <c r="Y178" s="1498"/>
      <c r="Z178" s="1498"/>
      <c r="AA178" s="1498"/>
      <c r="AB178" s="1498"/>
      <c r="AC178" s="1527"/>
      <c r="AD178" s="1527"/>
      <c r="AE178" s="1527"/>
      <c r="AF178" s="1527"/>
      <c r="AG178" s="1527"/>
      <c r="AH178" s="1527"/>
      <c r="AI178" s="1527"/>
      <c r="AJ178" s="1527"/>
      <c r="AK178" s="1527"/>
      <c r="AL178" s="1527"/>
    </row>
    <row r="179" spans="1:38" s="1485" customFormat="1">
      <c r="A179" s="1495"/>
      <c r="B179" s="1495"/>
      <c r="C179" s="1495"/>
      <c r="D179" s="1495"/>
      <c r="E179" s="1527"/>
      <c r="F179" s="1527"/>
      <c r="G179" s="1527"/>
      <c r="H179" s="1498"/>
      <c r="I179" s="1498"/>
      <c r="J179" s="1506"/>
      <c r="K179" s="1498"/>
      <c r="L179" s="1498"/>
      <c r="M179" s="1498"/>
      <c r="N179" s="1498"/>
      <c r="O179" s="1498"/>
      <c r="P179" s="1498"/>
      <c r="Q179" s="1506"/>
      <c r="R179" s="1498"/>
      <c r="S179" s="1498"/>
      <c r="T179" s="1498"/>
      <c r="U179" s="1498"/>
      <c r="V179" s="1498"/>
      <c r="W179" s="1498"/>
      <c r="X179" s="1498"/>
      <c r="Y179" s="1498"/>
      <c r="Z179" s="1498"/>
      <c r="AA179" s="1498"/>
      <c r="AB179" s="1498"/>
      <c r="AC179" s="1527"/>
      <c r="AD179" s="1527"/>
      <c r="AE179" s="1527"/>
      <c r="AF179" s="1527"/>
      <c r="AG179" s="1527"/>
      <c r="AH179" s="1527"/>
      <c r="AI179" s="1527"/>
      <c r="AJ179" s="1527"/>
      <c r="AK179" s="1527"/>
      <c r="AL179" s="1527"/>
    </row>
    <row r="180" spans="1:38" s="1485" customFormat="1">
      <c r="A180" s="1495"/>
      <c r="B180" s="1495"/>
      <c r="C180" s="1495"/>
      <c r="D180" s="1495"/>
      <c r="E180" s="1527"/>
      <c r="F180" s="1527"/>
      <c r="G180" s="1527"/>
      <c r="H180" s="1498"/>
      <c r="I180" s="1498"/>
      <c r="J180" s="1506"/>
      <c r="K180" s="1498"/>
      <c r="L180" s="1498"/>
      <c r="M180" s="1498"/>
      <c r="N180" s="1498"/>
      <c r="O180" s="1498"/>
      <c r="P180" s="1498"/>
      <c r="Q180" s="1506"/>
      <c r="R180" s="1498"/>
      <c r="S180" s="1498"/>
      <c r="T180" s="1498"/>
      <c r="U180" s="1498"/>
      <c r="V180" s="1498"/>
      <c r="W180" s="1498"/>
      <c r="X180" s="1498"/>
      <c r="Y180" s="1498"/>
      <c r="Z180" s="1498"/>
      <c r="AA180" s="1498"/>
      <c r="AB180" s="1498"/>
      <c r="AC180" s="1527"/>
      <c r="AD180" s="1527"/>
      <c r="AE180" s="1527"/>
      <c r="AF180" s="1527"/>
      <c r="AG180" s="1527"/>
      <c r="AH180" s="1527"/>
      <c r="AI180" s="1527"/>
      <c r="AJ180" s="1527"/>
      <c r="AK180" s="1527"/>
      <c r="AL180" s="1527"/>
    </row>
    <row r="181" spans="1:38" s="1485" customFormat="1">
      <c r="A181" s="1495"/>
      <c r="B181" s="1495"/>
      <c r="C181" s="1495"/>
      <c r="D181" s="1495"/>
      <c r="E181" s="1527"/>
      <c r="F181" s="1527"/>
      <c r="G181" s="1527"/>
      <c r="H181" s="1498"/>
      <c r="I181" s="1498"/>
      <c r="J181" s="1506"/>
      <c r="K181" s="1498"/>
      <c r="L181" s="1498"/>
      <c r="M181" s="1498"/>
      <c r="N181" s="1498"/>
      <c r="O181" s="1498"/>
      <c r="P181" s="1498"/>
      <c r="Q181" s="1506"/>
      <c r="R181" s="1498"/>
      <c r="S181" s="1498"/>
      <c r="T181" s="1498"/>
      <c r="U181" s="1498"/>
      <c r="V181" s="1498"/>
      <c r="W181" s="1498"/>
      <c r="X181" s="1498"/>
      <c r="Y181" s="1498"/>
      <c r="Z181" s="1498"/>
      <c r="AA181" s="1498"/>
      <c r="AB181" s="1498"/>
      <c r="AC181" s="1527"/>
      <c r="AD181" s="1527"/>
      <c r="AE181" s="1527"/>
      <c r="AF181" s="1527"/>
      <c r="AG181" s="1527"/>
      <c r="AH181" s="1527"/>
      <c r="AI181" s="1527"/>
      <c r="AJ181" s="1527"/>
      <c r="AK181" s="1527"/>
      <c r="AL181" s="1527"/>
    </row>
    <row r="182" spans="1:38" s="1485" customFormat="1">
      <c r="A182" s="1495"/>
      <c r="B182" s="1495"/>
      <c r="C182" s="1495"/>
      <c r="D182" s="1495"/>
      <c r="E182" s="1527"/>
      <c r="F182" s="1527"/>
      <c r="G182" s="1527"/>
      <c r="H182" s="1498"/>
      <c r="I182" s="1498"/>
      <c r="J182" s="1506"/>
      <c r="K182" s="1498"/>
      <c r="L182" s="1498"/>
      <c r="M182" s="1498"/>
      <c r="N182" s="1498"/>
      <c r="O182" s="1498"/>
      <c r="P182" s="1498"/>
      <c r="Q182" s="1506"/>
      <c r="R182" s="1498"/>
      <c r="S182" s="1498"/>
      <c r="T182" s="1498"/>
      <c r="U182" s="1498"/>
      <c r="V182" s="1498"/>
      <c r="W182" s="1498"/>
      <c r="X182" s="1498"/>
      <c r="Y182" s="1498"/>
      <c r="Z182" s="1498"/>
      <c r="AA182" s="1498"/>
      <c r="AB182" s="1498"/>
      <c r="AC182" s="1527"/>
      <c r="AD182" s="1527"/>
      <c r="AE182" s="1527"/>
      <c r="AF182" s="1527"/>
      <c r="AG182" s="1527"/>
      <c r="AH182" s="1527"/>
      <c r="AI182" s="1527"/>
      <c r="AJ182" s="1527"/>
      <c r="AK182" s="1527"/>
      <c r="AL182" s="1527"/>
    </row>
    <row r="183" spans="1:38" s="1485" customFormat="1">
      <c r="A183" s="1495"/>
      <c r="B183" s="1495"/>
      <c r="C183" s="1495"/>
      <c r="D183" s="1495"/>
      <c r="E183" s="1527"/>
      <c r="F183" s="1527"/>
      <c r="G183" s="1527"/>
      <c r="H183" s="1498"/>
      <c r="I183" s="1498"/>
      <c r="J183" s="1506"/>
      <c r="K183" s="1498"/>
      <c r="L183" s="1498"/>
      <c r="M183" s="1498"/>
      <c r="N183" s="1498"/>
      <c r="O183" s="1498"/>
      <c r="P183" s="1498"/>
      <c r="Q183" s="1506"/>
      <c r="R183" s="1498"/>
      <c r="S183" s="1498"/>
      <c r="T183" s="1498"/>
      <c r="U183" s="1498"/>
      <c r="V183" s="1498"/>
      <c r="W183" s="1498"/>
      <c r="X183" s="1498"/>
      <c r="Y183" s="1498"/>
      <c r="Z183" s="1498"/>
      <c r="AA183" s="1498"/>
      <c r="AB183" s="1498"/>
      <c r="AC183" s="1527"/>
      <c r="AD183" s="1527"/>
      <c r="AE183" s="1527"/>
      <c r="AF183" s="1527"/>
      <c r="AG183" s="1527"/>
      <c r="AH183" s="1527"/>
      <c r="AI183" s="1527"/>
      <c r="AJ183" s="1527"/>
      <c r="AK183" s="1527"/>
      <c r="AL183" s="1527"/>
    </row>
    <row r="184" spans="1:38" s="1485" customFormat="1">
      <c r="A184" s="1495"/>
      <c r="B184" s="1495"/>
      <c r="C184" s="1495"/>
      <c r="D184" s="1495"/>
      <c r="E184" s="1527"/>
      <c r="F184" s="1527"/>
      <c r="G184" s="1527"/>
      <c r="H184" s="1498"/>
      <c r="I184" s="1498"/>
      <c r="J184" s="1506"/>
      <c r="K184" s="1498"/>
      <c r="L184" s="1498"/>
      <c r="M184" s="1498"/>
      <c r="N184" s="1498"/>
      <c r="O184" s="1498"/>
      <c r="P184" s="1498"/>
      <c r="Q184" s="1506"/>
      <c r="R184" s="1498"/>
      <c r="S184" s="1498"/>
      <c r="T184" s="1498"/>
      <c r="U184" s="1498"/>
      <c r="V184" s="1498"/>
      <c r="W184" s="1498"/>
      <c r="X184" s="1498"/>
      <c r="Y184" s="1498"/>
      <c r="Z184" s="1498"/>
      <c r="AA184" s="1498"/>
      <c r="AB184" s="1498"/>
      <c r="AC184" s="1527"/>
      <c r="AD184" s="1527"/>
      <c r="AE184" s="1527"/>
      <c r="AF184" s="1527"/>
      <c r="AG184" s="1527"/>
      <c r="AH184" s="1527"/>
      <c r="AI184" s="1527"/>
      <c r="AJ184" s="1527"/>
      <c r="AK184" s="1527"/>
      <c r="AL184" s="1527"/>
    </row>
    <row r="185" spans="1:38" s="1485" customFormat="1">
      <c r="A185" s="1495"/>
      <c r="B185" s="1495"/>
      <c r="C185" s="1495"/>
      <c r="D185" s="1495"/>
      <c r="E185" s="1527"/>
      <c r="F185" s="1527"/>
      <c r="G185" s="1527"/>
      <c r="H185" s="1498"/>
      <c r="I185" s="1498"/>
      <c r="J185" s="1506"/>
      <c r="K185" s="1498"/>
      <c r="L185" s="1498"/>
      <c r="M185" s="1498"/>
      <c r="N185" s="1498"/>
      <c r="O185" s="1498"/>
      <c r="P185" s="1498"/>
      <c r="Q185" s="1506"/>
      <c r="R185" s="1498"/>
      <c r="S185" s="1498"/>
      <c r="T185" s="1498"/>
      <c r="U185" s="1498"/>
      <c r="V185" s="1498"/>
      <c r="W185" s="1498"/>
      <c r="X185" s="1498"/>
      <c r="Y185" s="1498"/>
      <c r="Z185" s="1498"/>
      <c r="AA185" s="1498"/>
      <c r="AB185" s="1498"/>
      <c r="AC185" s="1527"/>
      <c r="AD185" s="1527"/>
      <c r="AE185" s="1527"/>
      <c r="AF185" s="1527"/>
      <c r="AG185" s="1527"/>
      <c r="AH185" s="1527"/>
      <c r="AI185" s="1527"/>
      <c r="AJ185" s="1527"/>
      <c r="AK185" s="1527"/>
      <c r="AL185" s="1527"/>
    </row>
    <row r="186" spans="1:38" s="1485" customFormat="1">
      <c r="A186" s="1495"/>
      <c r="B186" s="1495"/>
      <c r="C186" s="1495"/>
      <c r="D186" s="1495"/>
      <c r="E186" s="1527"/>
      <c r="F186" s="1527"/>
      <c r="G186" s="1527"/>
      <c r="H186" s="1498"/>
      <c r="I186" s="1498"/>
      <c r="J186" s="1506"/>
      <c r="K186" s="1498"/>
      <c r="L186" s="1498"/>
      <c r="M186" s="1498"/>
      <c r="N186" s="1498"/>
      <c r="O186" s="1498"/>
      <c r="P186" s="1498"/>
      <c r="Q186" s="1506"/>
      <c r="R186" s="1498"/>
      <c r="S186" s="1498"/>
      <c r="T186" s="1498"/>
      <c r="U186" s="1498"/>
      <c r="V186" s="1498"/>
      <c r="W186" s="1498"/>
      <c r="X186" s="1498"/>
      <c r="Y186" s="1498"/>
      <c r="Z186" s="1498"/>
      <c r="AA186" s="1498"/>
      <c r="AB186" s="1498"/>
      <c r="AC186" s="1527"/>
      <c r="AD186" s="1527"/>
      <c r="AE186" s="1527"/>
      <c r="AF186" s="1527"/>
      <c r="AG186" s="1527"/>
      <c r="AH186" s="1527"/>
      <c r="AI186" s="1527"/>
      <c r="AJ186" s="1527"/>
      <c r="AK186" s="1527"/>
      <c r="AL186" s="1527"/>
    </row>
    <row r="187" spans="1:38" s="1485" customFormat="1">
      <c r="A187" s="1495"/>
      <c r="B187" s="1495"/>
      <c r="C187" s="1495"/>
      <c r="D187" s="1495"/>
      <c r="E187" s="1527"/>
      <c r="F187" s="1527"/>
      <c r="G187" s="1527"/>
      <c r="H187" s="1498"/>
      <c r="I187" s="1498"/>
      <c r="J187" s="1506"/>
      <c r="K187" s="1498"/>
      <c r="L187" s="1498"/>
      <c r="M187" s="1498"/>
      <c r="N187" s="1498"/>
      <c r="O187" s="1498"/>
      <c r="P187" s="1498"/>
      <c r="Q187" s="1506"/>
      <c r="R187" s="1498"/>
      <c r="S187" s="1498"/>
      <c r="T187" s="1498"/>
      <c r="U187" s="1498"/>
      <c r="V187" s="1498"/>
      <c r="W187" s="1498"/>
      <c r="X187" s="1498"/>
      <c r="Y187" s="1498"/>
      <c r="Z187" s="1498"/>
      <c r="AA187" s="1498"/>
      <c r="AB187" s="1498"/>
      <c r="AC187" s="1527"/>
      <c r="AD187" s="1527"/>
      <c r="AE187" s="1527"/>
      <c r="AF187" s="1527"/>
      <c r="AG187" s="1527"/>
      <c r="AH187" s="1527"/>
      <c r="AI187" s="1527"/>
      <c r="AJ187" s="1527"/>
      <c r="AK187" s="1527"/>
      <c r="AL187" s="1527"/>
    </row>
    <row r="188" spans="1:38" s="1485" customFormat="1">
      <c r="A188" s="1495"/>
      <c r="B188" s="1495"/>
      <c r="C188" s="1495"/>
      <c r="D188" s="1495"/>
      <c r="E188" s="1527"/>
      <c r="F188" s="1527"/>
      <c r="G188" s="1527"/>
      <c r="H188" s="1498"/>
      <c r="I188" s="1498"/>
      <c r="J188" s="1506"/>
      <c r="K188" s="1498"/>
      <c r="L188" s="1498"/>
      <c r="M188" s="1498"/>
      <c r="N188" s="1498"/>
      <c r="O188" s="1498"/>
      <c r="P188" s="1498"/>
      <c r="Q188" s="1506"/>
      <c r="R188" s="1498"/>
      <c r="S188" s="1498"/>
      <c r="T188" s="1498"/>
      <c r="U188" s="1498"/>
      <c r="V188" s="1498"/>
      <c r="W188" s="1498"/>
      <c r="X188" s="1498"/>
      <c r="Y188" s="1498"/>
      <c r="Z188" s="1498"/>
      <c r="AA188" s="1498"/>
      <c r="AB188" s="1498"/>
      <c r="AC188" s="1527"/>
      <c r="AD188" s="1527"/>
      <c r="AE188" s="1527"/>
      <c r="AF188" s="1527"/>
      <c r="AG188" s="1527"/>
      <c r="AH188" s="1527"/>
      <c r="AI188" s="1527"/>
      <c r="AJ188" s="1527"/>
      <c r="AK188" s="1527"/>
      <c r="AL188" s="1527"/>
    </row>
    <row r="189" spans="1:38" s="1485" customFormat="1">
      <c r="A189" s="1495"/>
      <c r="B189" s="1495"/>
      <c r="C189" s="1495"/>
      <c r="D189" s="1495"/>
      <c r="E189" s="1527"/>
      <c r="F189" s="1527"/>
      <c r="G189" s="1527"/>
      <c r="H189" s="1498"/>
      <c r="I189" s="1498"/>
      <c r="J189" s="1506"/>
      <c r="K189" s="1498"/>
      <c r="L189" s="1498"/>
      <c r="M189" s="1498"/>
      <c r="N189" s="1498"/>
      <c r="O189" s="1498"/>
      <c r="P189" s="1498"/>
      <c r="Q189" s="1506"/>
      <c r="R189" s="1498"/>
      <c r="S189" s="1498"/>
      <c r="T189" s="1498"/>
      <c r="U189" s="1498"/>
      <c r="V189" s="1498"/>
      <c r="W189" s="1498"/>
      <c r="X189" s="1498"/>
      <c r="Y189" s="1498"/>
      <c r="Z189" s="1498"/>
      <c r="AA189" s="1498"/>
      <c r="AB189" s="1498"/>
      <c r="AC189" s="1527"/>
      <c r="AD189" s="1527"/>
      <c r="AE189" s="1527"/>
      <c r="AF189" s="1527"/>
      <c r="AG189" s="1527"/>
      <c r="AH189" s="1527"/>
      <c r="AI189" s="1527"/>
      <c r="AJ189" s="1527"/>
      <c r="AK189" s="1527"/>
      <c r="AL189" s="1527"/>
    </row>
    <row r="190" spans="1:38" s="1485" customFormat="1">
      <c r="A190" s="1495"/>
      <c r="B190" s="1495"/>
      <c r="C190" s="1495"/>
      <c r="D190" s="1495"/>
      <c r="E190" s="1527"/>
      <c r="F190" s="1527"/>
      <c r="G190" s="1527"/>
      <c r="H190" s="1498"/>
      <c r="I190" s="1498"/>
      <c r="J190" s="1506"/>
      <c r="K190" s="1498"/>
      <c r="L190" s="1498"/>
      <c r="M190" s="1498"/>
      <c r="N190" s="1498"/>
      <c r="O190" s="1498"/>
      <c r="P190" s="1498"/>
      <c r="Q190" s="1506"/>
      <c r="R190" s="1498"/>
      <c r="S190" s="1498"/>
      <c r="T190" s="1498"/>
      <c r="U190" s="1498"/>
      <c r="V190" s="1498"/>
      <c r="W190" s="1498"/>
      <c r="X190" s="1498"/>
      <c r="Y190" s="1498"/>
      <c r="Z190" s="1498"/>
      <c r="AA190" s="1498"/>
      <c r="AB190" s="1498"/>
      <c r="AC190" s="1527"/>
      <c r="AD190" s="1527"/>
      <c r="AE190" s="1527"/>
      <c r="AF190" s="1527"/>
      <c r="AG190" s="1527"/>
      <c r="AH190" s="1527"/>
      <c r="AI190" s="1527"/>
      <c r="AJ190" s="1527"/>
      <c r="AK190" s="1527"/>
      <c r="AL190" s="1527"/>
    </row>
    <row r="191" spans="1:38" s="1485" customFormat="1">
      <c r="A191" s="1495"/>
      <c r="B191" s="1495"/>
      <c r="C191" s="1495"/>
      <c r="D191" s="1495"/>
      <c r="E191" s="1527"/>
      <c r="F191" s="1527"/>
      <c r="G191" s="1527"/>
      <c r="H191" s="1498"/>
      <c r="I191" s="1498"/>
      <c r="J191" s="1506"/>
      <c r="K191" s="1498"/>
      <c r="L191" s="1498"/>
      <c r="M191" s="1498"/>
      <c r="N191" s="1498"/>
      <c r="O191" s="1498"/>
      <c r="P191" s="1498"/>
      <c r="Q191" s="1506"/>
      <c r="R191" s="1498"/>
      <c r="S191" s="1498"/>
      <c r="T191" s="1498"/>
      <c r="U191" s="1498"/>
      <c r="V191" s="1498"/>
      <c r="W191" s="1498"/>
      <c r="X191" s="1498"/>
      <c r="Y191" s="1498"/>
      <c r="Z191" s="1498"/>
      <c r="AA191" s="1498"/>
      <c r="AB191" s="1498"/>
      <c r="AC191" s="1527"/>
      <c r="AD191" s="1527"/>
      <c r="AE191" s="1527"/>
      <c r="AF191" s="1527"/>
      <c r="AG191" s="1527"/>
      <c r="AH191" s="1527"/>
      <c r="AI191" s="1527"/>
      <c r="AJ191" s="1527"/>
      <c r="AK191" s="1527"/>
      <c r="AL191" s="1527"/>
    </row>
    <row r="192" spans="1:38" s="1485" customFormat="1">
      <c r="A192" s="1495"/>
      <c r="B192" s="1495"/>
      <c r="C192" s="1495"/>
      <c r="D192" s="1495"/>
      <c r="E192" s="1527"/>
      <c r="F192" s="1527"/>
      <c r="G192" s="1527"/>
      <c r="H192" s="1498"/>
      <c r="I192" s="1498"/>
      <c r="J192" s="1506"/>
      <c r="K192" s="1498"/>
      <c r="L192" s="1498"/>
      <c r="M192" s="1498"/>
      <c r="N192" s="1498"/>
      <c r="O192" s="1498"/>
      <c r="P192" s="1498"/>
      <c r="Q192" s="1506"/>
      <c r="R192" s="1498"/>
      <c r="S192" s="1498"/>
      <c r="T192" s="1498"/>
      <c r="U192" s="1498"/>
      <c r="V192" s="1498"/>
      <c r="W192" s="1498"/>
      <c r="X192" s="1498"/>
      <c r="Y192" s="1498"/>
      <c r="Z192" s="1498"/>
      <c r="AA192" s="1498"/>
      <c r="AB192" s="1498"/>
      <c r="AC192" s="1527"/>
      <c r="AD192" s="1527"/>
      <c r="AE192" s="1527"/>
      <c r="AF192" s="1527"/>
      <c r="AG192" s="1527"/>
      <c r="AH192" s="1527"/>
      <c r="AI192" s="1527"/>
      <c r="AJ192" s="1527"/>
      <c r="AK192" s="1527"/>
      <c r="AL192" s="1527"/>
    </row>
    <row r="193" spans="1:38" s="1485" customFormat="1">
      <c r="A193" s="1495"/>
      <c r="B193" s="1495"/>
      <c r="C193" s="1495"/>
      <c r="D193" s="1495"/>
      <c r="E193" s="1527"/>
      <c r="F193" s="1527"/>
      <c r="G193" s="1527"/>
      <c r="H193" s="1498"/>
      <c r="I193" s="1498"/>
      <c r="J193" s="1506"/>
      <c r="K193" s="1498"/>
      <c r="L193" s="1498"/>
      <c r="M193" s="1498"/>
      <c r="N193" s="1498"/>
      <c r="O193" s="1498"/>
      <c r="P193" s="1498"/>
      <c r="Q193" s="1506"/>
      <c r="R193" s="1498"/>
      <c r="S193" s="1498"/>
      <c r="T193" s="1498"/>
      <c r="U193" s="1498"/>
      <c r="V193" s="1498"/>
      <c r="W193" s="1498"/>
      <c r="X193" s="1498"/>
      <c r="Y193" s="1498"/>
      <c r="Z193" s="1498"/>
      <c r="AA193" s="1498"/>
      <c r="AB193" s="1498"/>
      <c r="AC193" s="1527"/>
      <c r="AD193" s="1527"/>
      <c r="AE193" s="1527"/>
      <c r="AF193" s="1527"/>
      <c r="AG193" s="1527"/>
      <c r="AH193" s="1527"/>
      <c r="AI193" s="1527"/>
      <c r="AJ193" s="1527"/>
      <c r="AK193" s="1527"/>
      <c r="AL193" s="1527"/>
    </row>
    <row r="194" spans="1:38" s="1485" customFormat="1">
      <c r="A194" s="1495"/>
      <c r="B194" s="1495"/>
      <c r="C194" s="1495"/>
      <c r="D194" s="1495"/>
      <c r="E194" s="1527"/>
      <c r="F194" s="1527"/>
      <c r="G194" s="1527"/>
      <c r="H194" s="1498"/>
      <c r="I194" s="1498"/>
      <c r="J194" s="1506"/>
      <c r="K194" s="1498"/>
      <c r="L194" s="1498"/>
      <c r="M194" s="1498"/>
      <c r="N194" s="1498"/>
      <c r="O194" s="1498"/>
      <c r="P194" s="1498"/>
      <c r="Q194" s="1506"/>
      <c r="R194" s="1498"/>
      <c r="S194" s="1498"/>
      <c r="T194" s="1498"/>
      <c r="U194" s="1498"/>
      <c r="V194" s="1498"/>
      <c r="W194" s="1498"/>
      <c r="X194" s="1498"/>
      <c r="Y194" s="1498"/>
      <c r="Z194" s="1498"/>
      <c r="AA194" s="1498"/>
      <c r="AB194" s="1498"/>
      <c r="AC194" s="1527"/>
      <c r="AD194" s="1527"/>
      <c r="AE194" s="1527"/>
      <c r="AF194" s="1527"/>
      <c r="AG194" s="1527"/>
      <c r="AH194" s="1527"/>
      <c r="AI194" s="1527"/>
      <c r="AJ194" s="1527"/>
      <c r="AK194" s="1527"/>
      <c r="AL194" s="1527"/>
    </row>
    <row r="195" spans="1:38" s="1485" customFormat="1">
      <c r="A195" s="1495"/>
      <c r="B195" s="1495"/>
      <c r="C195" s="1495"/>
      <c r="D195" s="1495"/>
      <c r="E195" s="1527"/>
      <c r="F195" s="1527"/>
      <c r="G195" s="1527"/>
      <c r="H195" s="1498"/>
      <c r="I195" s="1498"/>
      <c r="J195" s="1506"/>
      <c r="K195" s="1498"/>
      <c r="L195" s="1498"/>
      <c r="M195" s="1498"/>
      <c r="N195" s="1498"/>
      <c r="O195" s="1498"/>
      <c r="P195" s="1498"/>
      <c r="Q195" s="1506"/>
      <c r="R195" s="1498"/>
      <c r="S195" s="1498"/>
      <c r="T195" s="1498"/>
      <c r="U195" s="1498"/>
      <c r="V195" s="1498"/>
      <c r="W195" s="1498"/>
      <c r="X195" s="1498"/>
      <c r="Y195" s="1498"/>
      <c r="Z195" s="1498"/>
      <c r="AA195" s="1498"/>
      <c r="AB195" s="1498"/>
      <c r="AC195" s="1527"/>
      <c r="AD195" s="1527"/>
      <c r="AE195" s="1527"/>
      <c r="AF195" s="1527"/>
      <c r="AG195" s="1527"/>
      <c r="AH195" s="1527"/>
      <c r="AI195" s="1527"/>
      <c r="AJ195" s="1527"/>
      <c r="AK195" s="1527"/>
      <c r="AL195" s="1527"/>
    </row>
    <row r="196" spans="1:38" s="1485" customFormat="1">
      <c r="A196" s="1495"/>
      <c r="B196" s="1495"/>
      <c r="C196" s="1495"/>
      <c r="D196" s="1495"/>
      <c r="E196" s="1527"/>
      <c r="F196" s="1527"/>
      <c r="G196" s="1527"/>
      <c r="H196" s="1498"/>
      <c r="I196" s="1498"/>
      <c r="J196" s="1506"/>
      <c r="K196" s="1498"/>
      <c r="L196" s="1498"/>
      <c r="M196" s="1498"/>
      <c r="N196" s="1498"/>
      <c r="O196" s="1498"/>
      <c r="P196" s="1498"/>
      <c r="Q196" s="1506"/>
      <c r="R196" s="1498"/>
      <c r="S196" s="1498"/>
      <c r="T196" s="1498"/>
      <c r="U196" s="1498"/>
      <c r="V196" s="1498"/>
      <c r="W196" s="1498"/>
      <c r="X196" s="1498"/>
      <c r="Y196" s="1498"/>
      <c r="Z196" s="1498"/>
      <c r="AA196" s="1498"/>
      <c r="AB196" s="1498"/>
      <c r="AC196" s="1527"/>
      <c r="AD196" s="1527"/>
      <c r="AE196" s="1527"/>
      <c r="AF196" s="1527"/>
      <c r="AG196" s="1527"/>
      <c r="AH196" s="1527"/>
      <c r="AI196" s="1527"/>
      <c r="AJ196" s="1527"/>
      <c r="AK196" s="1527"/>
      <c r="AL196" s="1527"/>
    </row>
    <row r="197" spans="1:38" s="1485" customFormat="1">
      <c r="A197" s="1495"/>
      <c r="B197" s="1495"/>
      <c r="C197" s="1495"/>
      <c r="D197" s="1495"/>
      <c r="E197" s="1527"/>
      <c r="F197" s="1527"/>
      <c r="G197" s="1527"/>
      <c r="H197" s="1498"/>
      <c r="I197" s="1498"/>
      <c r="J197" s="1506"/>
      <c r="K197" s="1498"/>
      <c r="L197" s="1498"/>
      <c r="M197" s="1498"/>
      <c r="N197" s="1498"/>
      <c r="O197" s="1498"/>
      <c r="P197" s="1498"/>
      <c r="Q197" s="1506"/>
      <c r="R197" s="1498"/>
      <c r="S197" s="1498"/>
      <c r="T197" s="1498"/>
      <c r="U197" s="1498"/>
      <c r="V197" s="1498"/>
      <c r="W197" s="1498"/>
      <c r="X197" s="1498"/>
      <c r="Y197" s="1498"/>
      <c r="Z197" s="1498"/>
      <c r="AA197" s="1498"/>
      <c r="AB197" s="1498"/>
      <c r="AC197" s="1527"/>
      <c r="AD197" s="1527"/>
      <c r="AE197" s="1527"/>
      <c r="AF197" s="1527"/>
      <c r="AG197" s="1527"/>
      <c r="AH197" s="1527"/>
      <c r="AI197" s="1527"/>
      <c r="AJ197" s="1527"/>
      <c r="AK197" s="1527"/>
      <c r="AL197" s="1527"/>
    </row>
    <row r="198" spans="1:38" s="1485" customFormat="1">
      <c r="A198" s="1495"/>
      <c r="B198" s="1495"/>
      <c r="C198" s="1495"/>
      <c r="D198" s="1495"/>
      <c r="E198" s="1527"/>
      <c r="F198" s="1527"/>
      <c r="G198" s="1527"/>
      <c r="H198" s="1498"/>
      <c r="I198" s="1498"/>
      <c r="J198" s="1506"/>
      <c r="K198" s="1498"/>
      <c r="L198" s="1498"/>
      <c r="M198" s="1498"/>
      <c r="N198" s="1498"/>
      <c r="O198" s="1498"/>
      <c r="P198" s="1498"/>
      <c r="Q198" s="1506"/>
      <c r="R198" s="1498"/>
      <c r="S198" s="1498"/>
      <c r="T198" s="1498"/>
      <c r="U198" s="1498"/>
      <c r="V198" s="1498"/>
      <c r="W198" s="1498"/>
      <c r="X198" s="1498"/>
      <c r="Y198" s="1498"/>
      <c r="Z198" s="1498"/>
      <c r="AA198" s="1498"/>
      <c r="AB198" s="1498"/>
      <c r="AC198" s="1527"/>
      <c r="AD198" s="1527"/>
      <c r="AE198" s="1527"/>
      <c r="AF198" s="1527"/>
      <c r="AG198" s="1527"/>
      <c r="AH198" s="1527"/>
      <c r="AI198" s="1527"/>
      <c r="AJ198" s="1527"/>
      <c r="AK198" s="1527"/>
      <c r="AL198" s="1527"/>
    </row>
    <row r="199" spans="1:38" s="1485" customFormat="1">
      <c r="A199" s="1495"/>
      <c r="B199" s="1495"/>
      <c r="C199" s="1495"/>
      <c r="D199" s="1495"/>
      <c r="E199" s="1527"/>
      <c r="F199" s="1527"/>
      <c r="G199" s="1527"/>
      <c r="H199" s="1498"/>
      <c r="I199" s="1498"/>
      <c r="J199" s="1506"/>
      <c r="K199" s="1498"/>
      <c r="L199" s="1498"/>
      <c r="M199" s="1498"/>
      <c r="N199" s="1498"/>
      <c r="O199" s="1498"/>
      <c r="P199" s="1498"/>
      <c r="Q199" s="1506"/>
      <c r="R199" s="1498"/>
      <c r="S199" s="1498"/>
      <c r="T199" s="1498"/>
      <c r="U199" s="1498"/>
      <c r="V199" s="1498"/>
      <c r="W199" s="1498"/>
      <c r="X199" s="1498"/>
      <c r="Y199" s="1498"/>
      <c r="Z199" s="1498"/>
      <c r="AA199" s="1498"/>
      <c r="AB199" s="1498"/>
      <c r="AC199" s="1527"/>
      <c r="AD199" s="1527"/>
      <c r="AE199" s="1527"/>
      <c r="AF199" s="1527"/>
      <c r="AG199" s="1527"/>
      <c r="AH199" s="1527"/>
      <c r="AI199" s="1527"/>
      <c r="AJ199" s="1527"/>
      <c r="AK199" s="1527"/>
      <c r="AL199" s="1527"/>
    </row>
    <row r="200" spans="1:38" s="1485" customFormat="1">
      <c r="A200" s="1495"/>
      <c r="B200" s="1495"/>
      <c r="C200" s="1495"/>
      <c r="D200" s="1495"/>
      <c r="E200" s="1527"/>
      <c r="F200" s="1527"/>
      <c r="G200" s="1527"/>
      <c r="H200" s="1498"/>
      <c r="I200" s="1498"/>
      <c r="J200" s="1506"/>
      <c r="K200" s="1498"/>
      <c r="L200" s="1498"/>
      <c r="M200" s="1498"/>
      <c r="N200" s="1498"/>
      <c r="O200" s="1498"/>
      <c r="P200" s="1498"/>
      <c r="Q200" s="1506"/>
      <c r="R200" s="1498"/>
      <c r="S200" s="1498"/>
      <c r="T200" s="1498"/>
      <c r="U200" s="1498"/>
      <c r="V200" s="1498"/>
      <c r="W200" s="1498"/>
      <c r="X200" s="1498"/>
      <c r="Y200" s="1498"/>
      <c r="Z200" s="1498"/>
      <c r="AA200" s="1498"/>
      <c r="AB200" s="1498"/>
      <c r="AC200" s="1527"/>
      <c r="AD200" s="1527"/>
      <c r="AE200" s="1527"/>
      <c r="AF200" s="1527"/>
      <c r="AG200" s="1527"/>
      <c r="AH200" s="1527"/>
      <c r="AI200" s="1527"/>
      <c r="AJ200" s="1527"/>
      <c r="AK200" s="1527"/>
      <c r="AL200" s="1527"/>
    </row>
    <row r="201" spans="1:38" s="1485" customFormat="1">
      <c r="A201" s="1495"/>
      <c r="B201" s="1495"/>
      <c r="C201" s="1495"/>
      <c r="D201" s="1495"/>
      <c r="E201" s="1527"/>
      <c r="F201" s="1527"/>
      <c r="G201" s="1527"/>
      <c r="H201" s="1498"/>
      <c r="I201" s="1498"/>
      <c r="J201" s="1506"/>
      <c r="K201" s="1498"/>
      <c r="L201" s="1498"/>
      <c r="M201" s="1498"/>
      <c r="N201" s="1498"/>
      <c r="O201" s="1498"/>
      <c r="P201" s="1498"/>
      <c r="Q201" s="1506"/>
      <c r="R201" s="1498"/>
      <c r="S201" s="1498"/>
      <c r="T201" s="1498"/>
      <c r="U201" s="1498"/>
      <c r="V201" s="1498"/>
      <c r="W201" s="1498"/>
      <c r="X201" s="1498"/>
      <c r="Y201" s="1498"/>
      <c r="Z201" s="1498"/>
      <c r="AA201" s="1498"/>
      <c r="AB201" s="1498"/>
      <c r="AC201" s="1527"/>
      <c r="AD201" s="1527"/>
      <c r="AE201" s="1527"/>
      <c r="AF201" s="1527"/>
      <c r="AG201" s="1527"/>
      <c r="AH201" s="1527"/>
      <c r="AI201" s="1527"/>
      <c r="AJ201" s="1527"/>
      <c r="AK201" s="1527"/>
      <c r="AL201" s="1527"/>
    </row>
    <row r="202" spans="1:38" s="1485" customFormat="1">
      <c r="A202" s="1495"/>
      <c r="B202" s="1495"/>
      <c r="C202" s="1495"/>
      <c r="D202" s="1495"/>
      <c r="E202" s="1527"/>
      <c r="F202" s="1527"/>
      <c r="G202" s="1527"/>
      <c r="H202" s="1498"/>
      <c r="I202" s="1498"/>
      <c r="J202" s="1506"/>
      <c r="K202" s="1498"/>
      <c r="L202" s="1498"/>
      <c r="M202" s="1498"/>
      <c r="N202" s="1498"/>
      <c r="O202" s="1498"/>
      <c r="P202" s="1498"/>
      <c r="Q202" s="1506"/>
      <c r="R202" s="1498"/>
      <c r="S202" s="1498"/>
      <c r="T202" s="1498"/>
      <c r="U202" s="1498"/>
      <c r="V202" s="1498"/>
      <c r="W202" s="1498"/>
      <c r="X202" s="1498"/>
      <c r="Y202" s="1498"/>
      <c r="Z202" s="1498"/>
      <c r="AA202" s="1498"/>
      <c r="AB202" s="1498"/>
      <c r="AC202" s="1527"/>
      <c r="AD202" s="1527"/>
      <c r="AE202" s="1527"/>
      <c r="AF202" s="1527"/>
      <c r="AG202" s="1527"/>
      <c r="AH202" s="1527"/>
      <c r="AI202" s="1527"/>
      <c r="AJ202" s="1527"/>
      <c r="AK202" s="1527"/>
      <c r="AL202" s="1527"/>
    </row>
    <row r="203" spans="1:38" s="1485" customFormat="1">
      <c r="A203" s="1495"/>
      <c r="B203" s="1495"/>
      <c r="C203" s="1495"/>
      <c r="D203" s="1495"/>
      <c r="E203" s="1527"/>
      <c r="F203" s="1527"/>
      <c r="G203" s="1527"/>
      <c r="H203" s="1498"/>
      <c r="I203" s="1498"/>
      <c r="J203" s="1506"/>
      <c r="K203" s="1498"/>
      <c r="L203" s="1498"/>
      <c r="M203" s="1498"/>
      <c r="N203" s="1498"/>
      <c r="O203" s="1498"/>
      <c r="P203" s="1498"/>
      <c r="Q203" s="1506"/>
      <c r="R203" s="1498"/>
      <c r="S203" s="1498"/>
      <c r="T203" s="1498"/>
      <c r="U203" s="1498"/>
      <c r="V203" s="1498"/>
      <c r="W203" s="1498"/>
      <c r="X203" s="1498"/>
      <c r="Y203" s="1498"/>
      <c r="Z203" s="1498"/>
      <c r="AA203" s="1498"/>
      <c r="AB203" s="1498"/>
      <c r="AC203" s="1527"/>
      <c r="AD203" s="1527"/>
      <c r="AE203" s="1527"/>
      <c r="AF203" s="1527"/>
      <c r="AG203" s="1527"/>
      <c r="AH203" s="1527"/>
      <c r="AI203" s="1527"/>
      <c r="AJ203" s="1527"/>
      <c r="AK203" s="1527"/>
      <c r="AL203" s="1527"/>
    </row>
    <row r="204" spans="1:38" s="1485" customFormat="1">
      <c r="A204" s="1495"/>
      <c r="B204" s="1495"/>
      <c r="C204" s="1495"/>
      <c r="D204" s="1495"/>
      <c r="E204" s="1527"/>
      <c r="F204" s="1527"/>
      <c r="G204" s="1527"/>
      <c r="H204" s="1498"/>
      <c r="I204" s="1498"/>
      <c r="J204" s="1506"/>
      <c r="K204" s="1498"/>
      <c r="L204" s="1498"/>
      <c r="M204" s="1498"/>
      <c r="N204" s="1498"/>
      <c r="O204" s="1498"/>
      <c r="P204" s="1498"/>
      <c r="Q204" s="1506"/>
      <c r="R204" s="1498"/>
      <c r="S204" s="1498"/>
      <c r="T204" s="1498"/>
      <c r="U204" s="1498"/>
      <c r="V204" s="1498"/>
      <c r="W204" s="1498"/>
      <c r="X204" s="1498"/>
      <c r="Y204" s="1498"/>
      <c r="Z204" s="1498"/>
      <c r="AA204" s="1498"/>
      <c r="AB204" s="1498"/>
      <c r="AC204" s="1527"/>
      <c r="AD204" s="1527"/>
      <c r="AE204" s="1527"/>
      <c r="AF204" s="1527"/>
      <c r="AG204" s="1527"/>
      <c r="AH204" s="1527"/>
      <c r="AI204" s="1527"/>
      <c r="AJ204" s="1527"/>
      <c r="AK204" s="1527"/>
      <c r="AL204" s="1527"/>
    </row>
    <row r="205" spans="1:38" s="1485" customFormat="1">
      <c r="A205" s="1495"/>
      <c r="B205" s="1495"/>
      <c r="C205" s="1495"/>
      <c r="D205" s="1495"/>
      <c r="E205" s="1527"/>
      <c r="F205" s="1527"/>
      <c r="G205" s="1527"/>
      <c r="H205" s="1498"/>
      <c r="I205" s="1498"/>
      <c r="J205" s="1506"/>
      <c r="K205" s="1498"/>
      <c r="L205" s="1498"/>
      <c r="M205" s="1498"/>
      <c r="N205" s="1498"/>
      <c r="O205" s="1498"/>
      <c r="P205" s="1498"/>
      <c r="Q205" s="1506"/>
      <c r="R205" s="1498"/>
      <c r="S205" s="1498"/>
      <c r="T205" s="1498"/>
      <c r="U205" s="1498"/>
      <c r="V205" s="1498"/>
      <c r="W205" s="1498"/>
      <c r="X205" s="1498"/>
      <c r="Y205" s="1498"/>
      <c r="Z205" s="1498"/>
      <c r="AA205" s="1498"/>
      <c r="AB205" s="1498"/>
      <c r="AC205" s="1527"/>
      <c r="AD205" s="1527"/>
      <c r="AE205" s="1527"/>
      <c r="AF205" s="1527"/>
      <c r="AG205" s="1527"/>
      <c r="AH205" s="1527"/>
      <c r="AI205" s="1527"/>
      <c r="AJ205" s="1527"/>
      <c r="AK205" s="1527"/>
      <c r="AL205" s="1527"/>
    </row>
    <row r="206" spans="1:38" s="1485" customFormat="1">
      <c r="A206" s="1495"/>
      <c r="B206" s="1495"/>
      <c r="C206" s="1495"/>
      <c r="D206" s="1495"/>
      <c r="E206" s="1527"/>
      <c r="F206" s="1527"/>
      <c r="G206" s="1527"/>
      <c r="H206" s="1498"/>
      <c r="I206" s="1498"/>
      <c r="J206" s="1506"/>
      <c r="K206" s="1498"/>
      <c r="L206" s="1498"/>
      <c r="M206" s="1498"/>
      <c r="N206" s="1498"/>
      <c r="O206" s="1498"/>
      <c r="P206" s="1498"/>
      <c r="Q206" s="1506"/>
      <c r="R206" s="1498"/>
      <c r="S206" s="1498"/>
      <c r="T206" s="1498"/>
      <c r="U206" s="1498"/>
      <c r="V206" s="1498"/>
      <c r="W206" s="1498"/>
      <c r="X206" s="1498"/>
      <c r="Y206" s="1498"/>
      <c r="Z206" s="1498"/>
      <c r="AA206" s="1498"/>
      <c r="AB206" s="1498"/>
      <c r="AC206" s="1527"/>
      <c r="AD206" s="1527"/>
      <c r="AE206" s="1527"/>
      <c r="AF206" s="1527"/>
      <c r="AG206" s="1527"/>
      <c r="AH206" s="1527"/>
      <c r="AI206" s="1527"/>
      <c r="AJ206" s="1527"/>
      <c r="AK206" s="1527"/>
      <c r="AL206" s="1527"/>
    </row>
    <row r="207" spans="1:38" s="1485" customFormat="1">
      <c r="A207" s="1495"/>
      <c r="B207" s="1495"/>
      <c r="C207" s="1495"/>
      <c r="D207" s="1495"/>
      <c r="E207" s="1527"/>
      <c r="F207" s="1527"/>
      <c r="G207" s="1527"/>
      <c r="H207" s="1498"/>
      <c r="I207" s="1498"/>
      <c r="J207" s="1506"/>
      <c r="K207" s="1498"/>
      <c r="L207" s="1498"/>
      <c r="M207" s="1498"/>
      <c r="N207" s="1498"/>
      <c r="O207" s="1498"/>
      <c r="P207" s="1498"/>
      <c r="Q207" s="1506"/>
      <c r="R207" s="1498"/>
      <c r="S207" s="1498"/>
      <c r="T207" s="1498"/>
      <c r="U207" s="1498"/>
      <c r="V207" s="1498"/>
      <c r="W207" s="1498"/>
      <c r="X207" s="1498"/>
      <c r="Y207" s="1498"/>
      <c r="Z207" s="1498"/>
      <c r="AA207" s="1498"/>
      <c r="AB207" s="1498"/>
      <c r="AC207" s="1527"/>
      <c r="AD207" s="1527"/>
      <c r="AE207" s="1527"/>
      <c r="AF207" s="1527"/>
      <c r="AG207" s="1527"/>
      <c r="AH207" s="1527"/>
      <c r="AI207" s="1527"/>
      <c r="AJ207" s="1527"/>
      <c r="AK207" s="1527"/>
      <c r="AL207" s="1527"/>
    </row>
    <row r="208" spans="1:38" s="1485" customFormat="1">
      <c r="A208" s="1495"/>
      <c r="B208" s="1495"/>
      <c r="C208" s="1495"/>
      <c r="D208" s="1495"/>
      <c r="E208" s="1527"/>
      <c r="F208" s="1527"/>
      <c r="G208" s="1527"/>
      <c r="H208" s="1498"/>
      <c r="I208" s="1498"/>
      <c r="J208" s="1506"/>
      <c r="K208" s="1498"/>
      <c r="L208" s="1498"/>
      <c r="M208" s="1498"/>
      <c r="N208" s="1498"/>
      <c r="O208" s="1498"/>
      <c r="P208" s="1498"/>
      <c r="Q208" s="1506"/>
      <c r="R208" s="1498"/>
      <c r="S208" s="1498"/>
      <c r="T208" s="1498"/>
      <c r="U208" s="1498"/>
      <c r="V208" s="1498"/>
      <c r="W208" s="1498"/>
      <c r="X208" s="1498"/>
      <c r="Y208" s="1498"/>
      <c r="Z208" s="1498"/>
      <c r="AA208" s="1498"/>
      <c r="AB208" s="1498"/>
      <c r="AC208" s="1527"/>
      <c r="AD208" s="1527"/>
      <c r="AE208" s="1527"/>
      <c r="AF208" s="1527"/>
      <c r="AG208" s="1527"/>
      <c r="AH208" s="1527"/>
      <c r="AI208" s="1527"/>
      <c r="AJ208" s="1527"/>
      <c r="AK208" s="1527"/>
      <c r="AL208" s="1527"/>
    </row>
    <row r="209" spans="1:38" s="1485" customFormat="1">
      <c r="A209" s="1495"/>
      <c r="B209" s="1495"/>
      <c r="C209" s="1495"/>
      <c r="D209" s="1495"/>
      <c r="E209" s="1527"/>
      <c r="F209" s="1527"/>
      <c r="G209" s="1527"/>
      <c r="H209" s="1498"/>
      <c r="I209" s="1498"/>
      <c r="J209" s="1506"/>
      <c r="K209" s="1498"/>
      <c r="L209" s="1498"/>
      <c r="M209" s="1498"/>
      <c r="N209" s="1498"/>
      <c r="O209" s="1498"/>
      <c r="P209" s="1498"/>
      <c r="Q209" s="1506"/>
      <c r="R209" s="1498"/>
      <c r="S209" s="1498"/>
      <c r="T209" s="1498"/>
      <c r="U209" s="1498"/>
      <c r="V209" s="1498"/>
      <c r="W209" s="1498"/>
      <c r="X209" s="1498"/>
      <c r="Y209" s="1498"/>
      <c r="Z209" s="1498"/>
      <c r="AA209" s="1498"/>
      <c r="AB209" s="1498"/>
      <c r="AC209" s="1527"/>
      <c r="AD209" s="1527"/>
      <c r="AE209" s="1527"/>
      <c r="AF209" s="1527"/>
      <c r="AG209" s="1527"/>
      <c r="AH209" s="1527"/>
      <c r="AI209" s="1527"/>
      <c r="AJ209" s="1527"/>
      <c r="AK209" s="1527"/>
      <c r="AL209" s="1527"/>
    </row>
    <row r="210" spans="1:38" s="1485" customFormat="1">
      <c r="A210" s="1495"/>
      <c r="B210" s="1495"/>
      <c r="C210" s="1495"/>
      <c r="D210" s="1495"/>
      <c r="E210" s="1527"/>
      <c r="F210" s="1527"/>
      <c r="G210" s="1527"/>
      <c r="H210" s="1498"/>
      <c r="I210" s="1498"/>
      <c r="J210" s="1506"/>
      <c r="K210" s="1498"/>
      <c r="L210" s="1498"/>
      <c r="M210" s="1498"/>
      <c r="N210" s="1498"/>
      <c r="O210" s="1498"/>
      <c r="P210" s="1498"/>
      <c r="Q210" s="1506"/>
      <c r="R210" s="1498"/>
      <c r="S210" s="1498"/>
      <c r="T210" s="1498"/>
      <c r="U210" s="1498"/>
      <c r="V210" s="1498"/>
      <c r="W210" s="1498"/>
      <c r="X210" s="1498"/>
      <c r="Y210" s="1498"/>
      <c r="Z210" s="1498"/>
      <c r="AA210" s="1498"/>
      <c r="AB210" s="1498"/>
      <c r="AC210" s="1527"/>
      <c r="AD210" s="1527"/>
      <c r="AE210" s="1527"/>
      <c r="AF210" s="1527"/>
      <c r="AG210" s="1527"/>
      <c r="AH210" s="1527"/>
      <c r="AI210" s="1527"/>
      <c r="AJ210" s="1527"/>
      <c r="AK210" s="1527"/>
      <c r="AL210" s="1527"/>
    </row>
    <row r="211" spans="1:38" s="1485" customFormat="1">
      <c r="A211" s="1495"/>
      <c r="B211" s="1495"/>
      <c r="C211" s="1495"/>
      <c r="D211" s="1495"/>
      <c r="E211" s="1527"/>
      <c r="F211" s="1527"/>
      <c r="G211" s="1527"/>
      <c r="H211" s="1498"/>
      <c r="I211" s="1498"/>
      <c r="J211" s="1506"/>
      <c r="K211" s="1498"/>
      <c r="L211" s="1498"/>
      <c r="M211" s="1498"/>
      <c r="N211" s="1498"/>
      <c r="O211" s="1498"/>
      <c r="P211" s="1498"/>
      <c r="Q211" s="1506"/>
      <c r="R211" s="1498"/>
      <c r="S211" s="1498"/>
      <c r="T211" s="1498"/>
      <c r="U211" s="1498"/>
      <c r="V211" s="1498"/>
      <c r="W211" s="1498"/>
      <c r="X211" s="1498"/>
      <c r="Y211" s="1498"/>
      <c r="Z211" s="1498"/>
      <c r="AA211" s="1498"/>
      <c r="AB211" s="1498"/>
      <c r="AC211" s="1527"/>
      <c r="AD211" s="1527"/>
      <c r="AE211" s="1527"/>
      <c r="AF211" s="1527"/>
      <c r="AG211" s="1527"/>
      <c r="AH211" s="1527"/>
      <c r="AI211" s="1527"/>
      <c r="AJ211" s="1527"/>
      <c r="AK211" s="1527"/>
      <c r="AL211" s="1527"/>
    </row>
    <row r="212" spans="1:38" s="1485" customFormat="1">
      <c r="A212" s="1495"/>
      <c r="B212" s="1495"/>
      <c r="C212" s="1495"/>
      <c r="D212" s="1495"/>
      <c r="E212" s="1527"/>
      <c r="F212" s="1527"/>
      <c r="G212" s="1527"/>
      <c r="H212" s="1498"/>
      <c r="I212" s="1498"/>
      <c r="J212" s="1506"/>
      <c r="K212" s="1498"/>
      <c r="L212" s="1498"/>
      <c r="M212" s="1498"/>
      <c r="N212" s="1498"/>
      <c r="O212" s="1498"/>
      <c r="P212" s="1498"/>
      <c r="Q212" s="1506"/>
      <c r="R212" s="1498"/>
      <c r="S212" s="1498"/>
      <c r="T212" s="1498"/>
      <c r="U212" s="1498"/>
      <c r="V212" s="1498"/>
      <c r="W212" s="1498"/>
      <c r="X212" s="1498"/>
      <c r="Y212" s="1498"/>
      <c r="Z212" s="1498"/>
      <c r="AA212" s="1498"/>
      <c r="AB212" s="1498"/>
      <c r="AC212" s="1527"/>
      <c r="AD212" s="1527"/>
      <c r="AE212" s="1527"/>
      <c r="AF212" s="1527"/>
      <c r="AG212" s="1527"/>
      <c r="AH212" s="1527"/>
      <c r="AI212" s="1527"/>
      <c r="AJ212" s="1527"/>
      <c r="AK212" s="1527"/>
      <c r="AL212" s="1527"/>
    </row>
    <row r="213" spans="1:38" s="1485" customFormat="1">
      <c r="A213" s="1495"/>
      <c r="B213" s="1495"/>
      <c r="C213" s="1495"/>
      <c r="D213" s="1495"/>
      <c r="E213" s="1527"/>
      <c r="F213" s="1527"/>
      <c r="G213" s="1527"/>
      <c r="H213" s="1498"/>
      <c r="I213" s="1498"/>
      <c r="J213" s="1506"/>
      <c r="K213" s="1498"/>
      <c r="L213" s="1498"/>
      <c r="M213" s="1498"/>
      <c r="N213" s="1498"/>
      <c r="O213" s="1498"/>
      <c r="P213" s="1498"/>
      <c r="Q213" s="1506"/>
      <c r="R213" s="1498"/>
      <c r="S213" s="1498"/>
      <c r="T213" s="1498"/>
      <c r="U213" s="1498"/>
      <c r="V213" s="1498"/>
      <c r="W213" s="1498"/>
      <c r="X213" s="1498"/>
      <c r="Y213" s="1498"/>
      <c r="Z213" s="1498"/>
      <c r="AA213" s="1498"/>
      <c r="AB213" s="1498"/>
      <c r="AC213" s="1527"/>
      <c r="AD213" s="1527"/>
      <c r="AE213" s="1527"/>
      <c r="AF213" s="1527"/>
      <c r="AG213" s="1527"/>
      <c r="AH213" s="1527"/>
      <c r="AI213" s="1527"/>
      <c r="AJ213" s="1527"/>
      <c r="AK213" s="1527"/>
      <c r="AL213" s="1527"/>
    </row>
    <row r="214" spans="1:38" s="1485" customFormat="1">
      <c r="A214" s="1495"/>
      <c r="B214" s="1495"/>
      <c r="C214" s="1495"/>
      <c r="D214" s="1495"/>
      <c r="E214" s="1527"/>
      <c r="F214" s="1527"/>
      <c r="G214" s="1527"/>
      <c r="H214" s="1498"/>
      <c r="I214" s="1498"/>
      <c r="J214" s="1506"/>
      <c r="K214" s="1498"/>
      <c r="L214" s="1498"/>
      <c r="M214" s="1498"/>
      <c r="N214" s="1498"/>
      <c r="O214" s="1498"/>
      <c r="P214" s="1498"/>
      <c r="Q214" s="1506"/>
      <c r="R214" s="1498"/>
      <c r="S214" s="1498"/>
      <c r="T214" s="1498"/>
      <c r="U214" s="1498"/>
      <c r="V214" s="1498"/>
      <c r="W214" s="1498"/>
      <c r="X214" s="1498"/>
      <c r="Y214" s="1498"/>
      <c r="Z214" s="1498"/>
      <c r="AA214" s="1498"/>
      <c r="AB214" s="1498"/>
      <c r="AC214" s="1527"/>
      <c r="AD214" s="1527"/>
      <c r="AE214" s="1527"/>
      <c r="AF214" s="1527"/>
      <c r="AG214" s="1527"/>
      <c r="AH214" s="1527"/>
      <c r="AI214" s="1527"/>
      <c r="AJ214" s="1527"/>
      <c r="AK214" s="1527"/>
      <c r="AL214" s="1527"/>
    </row>
    <row r="215" spans="1:38" s="1485" customFormat="1">
      <c r="A215" s="1495"/>
      <c r="B215" s="1495"/>
      <c r="C215" s="1495"/>
      <c r="D215" s="1495"/>
      <c r="E215" s="1527"/>
      <c r="F215" s="1527"/>
      <c r="G215" s="1527"/>
      <c r="H215" s="1498"/>
      <c r="I215" s="1498"/>
      <c r="J215" s="1506"/>
      <c r="K215" s="1498"/>
      <c r="L215" s="1498"/>
      <c r="M215" s="1498"/>
      <c r="N215" s="1498"/>
      <c r="O215" s="1498"/>
      <c r="P215" s="1498"/>
      <c r="Q215" s="1506"/>
      <c r="R215" s="1498"/>
      <c r="S215" s="1498"/>
      <c r="T215" s="1498"/>
      <c r="U215" s="1498"/>
      <c r="V215" s="1498"/>
      <c r="W215" s="1498"/>
      <c r="X215" s="1498"/>
      <c r="Y215" s="1498"/>
      <c r="Z215" s="1498"/>
      <c r="AA215" s="1498"/>
      <c r="AB215" s="1498"/>
      <c r="AC215" s="1527"/>
      <c r="AD215" s="1527"/>
      <c r="AE215" s="1527"/>
      <c r="AF215" s="1527"/>
      <c r="AG215" s="1527"/>
      <c r="AH215" s="1527"/>
      <c r="AI215" s="1527"/>
      <c r="AJ215" s="1527"/>
      <c r="AK215" s="1527"/>
      <c r="AL215" s="1527"/>
    </row>
    <row r="216" spans="1:38" s="1485" customFormat="1">
      <c r="A216" s="1495"/>
      <c r="B216" s="1495"/>
      <c r="C216" s="1495"/>
      <c r="D216" s="1495"/>
      <c r="E216" s="1527"/>
      <c r="F216" s="1527"/>
      <c r="G216" s="1527"/>
      <c r="H216" s="1498"/>
      <c r="I216" s="1498"/>
      <c r="J216" s="1506"/>
      <c r="K216" s="1498"/>
      <c r="L216" s="1498"/>
      <c r="M216" s="1498"/>
      <c r="N216" s="1498"/>
      <c r="O216" s="1498"/>
      <c r="P216" s="1498"/>
      <c r="Q216" s="1506"/>
      <c r="R216" s="1498"/>
      <c r="S216" s="1498"/>
      <c r="T216" s="1498"/>
      <c r="U216" s="1498"/>
      <c r="V216" s="1498"/>
      <c r="W216" s="1498"/>
      <c r="X216" s="1498"/>
      <c r="Y216" s="1498"/>
      <c r="Z216" s="1498"/>
      <c r="AA216" s="1498"/>
      <c r="AB216" s="1498"/>
      <c r="AC216" s="1527"/>
      <c r="AD216" s="1527"/>
      <c r="AE216" s="1527"/>
      <c r="AF216" s="1527"/>
      <c r="AG216" s="1527"/>
      <c r="AH216" s="1527"/>
      <c r="AI216" s="1527"/>
      <c r="AJ216" s="1527"/>
      <c r="AK216" s="1527"/>
      <c r="AL216" s="1527"/>
    </row>
    <row r="217" spans="1:38" s="1485" customFormat="1">
      <c r="A217" s="1495"/>
      <c r="B217" s="1495"/>
      <c r="C217" s="1495"/>
      <c r="D217" s="1495"/>
      <c r="E217" s="1527"/>
      <c r="F217" s="1527"/>
      <c r="G217" s="1527"/>
      <c r="H217" s="1498"/>
      <c r="I217" s="1498"/>
      <c r="J217" s="1506"/>
      <c r="K217" s="1498"/>
      <c r="L217" s="1498"/>
      <c r="M217" s="1498"/>
      <c r="N217" s="1498"/>
      <c r="O217" s="1498"/>
      <c r="P217" s="1498"/>
      <c r="Q217" s="1506"/>
      <c r="R217" s="1498"/>
      <c r="S217" s="1498"/>
      <c r="T217" s="1498"/>
      <c r="U217" s="1498"/>
      <c r="V217" s="1498"/>
      <c r="W217" s="1498"/>
      <c r="X217" s="1498"/>
      <c r="Y217" s="1498"/>
      <c r="Z217" s="1498"/>
      <c r="AA217" s="1498"/>
      <c r="AB217" s="1498"/>
      <c r="AC217" s="1527"/>
      <c r="AD217" s="1527"/>
      <c r="AE217" s="1527"/>
      <c r="AF217" s="1527"/>
      <c r="AG217" s="1527"/>
      <c r="AH217" s="1527"/>
      <c r="AI217" s="1527"/>
      <c r="AJ217" s="1527"/>
      <c r="AK217" s="1527"/>
      <c r="AL217" s="1527"/>
    </row>
    <row r="218" spans="1:38" s="1485" customFormat="1">
      <c r="A218" s="1495"/>
      <c r="B218" s="1495"/>
      <c r="C218" s="1495"/>
      <c r="D218" s="1495"/>
      <c r="E218" s="1527"/>
      <c r="F218" s="1527"/>
      <c r="G218" s="1527"/>
      <c r="H218" s="1498"/>
      <c r="I218" s="1498"/>
      <c r="J218" s="1506"/>
      <c r="K218" s="1498"/>
      <c r="L218" s="1498"/>
      <c r="M218" s="1498"/>
      <c r="N218" s="1498"/>
      <c r="O218" s="1498"/>
      <c r="P218" s="1498"/>
      <c r="Q218" s="1506"/>
      <c r="R218" s="1498"/>
      <c r="S218" s="1498"/>
      <c r="T218" s="1498"/>
      <c r="U218" s="1498"/>
      <c r="V218" s="1498"/>
      <c r="W218" s="1498"/>
      <c r="X218" s="1498"/>
      <c r="Y218" s="1498"/>
      <c r="Z218" s="1498"/>
      <c r="AA218" s="1498"/>
      <c r="AB218" s="1498"/>
      <c r="AC218" s="1527"/>
      <c r="AD218" s="1527"/>
      <c r="AE218" s="1527"/>
      <c r="AF218" s="1527"/>
      <c r="AG218" s="1527"/>
      <c r="AH218" s="1527"/>
      <c r="AI218" s="1527"/>
      <c r="AJ218" s="1527"/>
      <c r="AK218" s="1527"/>
      <c r="AL218" s="1527"/>
    </row>
    <row r="219" spans="1:38" s="1485" customFormat="1">
      <c r="A219" s="1495"/>
      <c r="B219" s="1495"/>
      <c r="C219" s="1495"/>
      <c r="D219" s="1495"/>
      <c r="E219" s="1527"/>
      <c r="F219" s="1527"/>
      <c r="G219" s="1527"/>
      <c r="H219" s="1498"/>
      <c r="I219" s="1498"/>
      <c r="J219" s="1506"/>
      <c r="K219" s="1498"/>
      <c r="L219" s="1498"/>
      <c r="M219" s="1498"/>
      <c r="N219" s="1498"/>
      <c r="O219" s="1498"/>
      <c r="P219" s="1498"/>
      <c r="Q219" s="1506"/>
      <c r="R219" s="1498"/>
      <c r="S219" s="1498"/>
      <c r="T219" s="1498"/>
      <c r="U219" s="1498"/>
      <c r="V219" s="1498"/>
      <c r="W219" s="1498"/>
      <c r="X219" s="1498"/>
      <c r="Y219" s="1498"/>
      <c r="Z219" s="1498"/>
      <c r="AA219" s="1498"/>
      <c r="AB219" s="1498"/>
      <c r="AC219" s="1527"/>
      <c r="AD219" s="1527"/>
      <c r="AE219" s="1527"/>
      <c r="AF219" s="1527"/>
      <c r="AG219" s="1527"/>
      <c r="AH219" s="1527"/>
      <c r="AI219" s="1527"/>
      <c r="AJ219" s="1527"/>
      <c r="AK219" s="1527"/>
      <c r="AL219" s="1527"/>
    </row>
    <row r="220" spans="1:38" s="1485" customFormat="1">
      <c r="A220" s="1495"/>
      <c r="B220" s="1495"/>
      <c r="C220" s="1495"/>
      <c r="D220" s="1495"/>
      <c r="E220" s="1527"/>
      <c r="F220" s="1527"/>
      <c r="G220" s="1527"/>
      <c r="H220" s="1498"/>
      <c r="I220" s="1498"/>
      <c r="J220" s="1506"/>
      <c r="K220" s="1498"/>
      <c r="L220" s="1498"/>
      <c r="M220" s="1498"/>
      <c r="N220" s="1498"/>
      <c r="O220" s="1498"/>
      <c r="P220" s="1498"/>
      <c r="Q220" s="1506"/>
      <c r="R220" s="1498"/>
      <c r="S220" s="1498"/>
      <c r="T220" s="1498"/>
      <c r="U220" s="1498"/>
      <c r="V220" s="1498"/>
      <c r="W220" s="1498"/>
      <c r="X220" s="1498"/>
      <c r="Y220" s="1498"/>
      <c r="Z220" s="1498"/>
      <c r="AA220" s="1498"/>
      <c r="AB220" s="1498"/>
      <c r="AC220" s="1527"/>
      <c r="AD220" s="1527"/>
      <c r="AE220" s="1527"/>
      <c r="AF220" s="1527"/>
      <c r="AG220" s="1527"/>
      <c r="AH220" s="1527"/>
      <c r="AI220" s="1527"/>
      <c r="AJ220" s="1527"/>
      <c r="AK220" s="1527"/>
      <c r="AL220" s="1527"/>
    </row>
    <row r="221" spans="1:38" s="1485" customFormat="1">
      <c r="A221" s="1495"/>
      <c r="B221" s="1495"/>
      <c r="C221" s="1495"/>
      <c r="D221" s="1495"/>
      <c r="E221" s="1527"/>
      <c r="F221" s="1527"/>
      <c r="G221" s="1527"/>
      <c r="H221" s="1498"/>
      <c r="I221" s="1498"/>
      <c r="J221" s="1506"/>
      <c r="K221" s="1498"/>
      <c r="L221" s="1498"/>
      <c r="M221" s="1498"/>
      <c r="N221" s="1498"/>
      <c r="O221" s="1498"/>
      <c r="P221" s="1498"/>
      <c r="Q221" s="1506"/>
      <c r="R221" s="1498"/>
      <c r="S221" s="1498"/>
      <c r="T221" s="1498"/>
      <c r="U221" s="1498"/>
      <c r="V221" s="1498"/>
      <c r="W221" s="1498"/>
      <c r="X221" s="1498"/>
      <c r="Y221" s="1498"/>
      <c r="Z221" s="1498"/>
      <c r="AA221" s="1498"/>
      <c r="AB221" s="1498"/>
      <c r="AC221" s="1527"/>
      <c r="AD221" s="1527"/>
      <c r="AE221" s="1527"/>
      <c r="AF221" s="1527"/>
      <c r="AG221" s="1527"/>
      <c r="AH221" s="1527"/>
      <c r="AI221" s="1527"/>
      <c r="AJ221" s="1527"/>
      <c r="AK221" s="1527"/>
      <c r="AL221" s="1527"/>
    </row>
    <row r="222" spans="1:38" s="1485" customFormat="1">
      <c r="A222" s="1495"/>
      <c r="B222" s="1495"/>
      <c r="C222" s="1495"/>
      <c r="D222" s="1495"/>
      <c r="E222" s="1527"/>
      <c r="F222" s="1527"/>
      <c r="G222" s="1527"/>
      <c r="H222" s="1498"/>
      <c r="I222" s="1498"/>
      <c r="J222" s="1506"/>
      <c r="K222" s="1498"/>
      <c r="L222" s="1498"/>
      <c r="M222" s="1498"/>
      <c r="N222" s="1498"/>
      <c r="O222" s="1498"/>
      <c r="P222" s="1498"/>
      <c r="Q222" s="1506"/>
      <c r="R222" s="1498"/>
      <c r="S222" s="1498"/>
      <c r="T222" s="1498"/>
      <c r="U222" s="1498"/>
      <c r="V222" s="1498"/>
      <c r="W222" s="1498"/>
      <c r="X222" s="1498"/>
      <c r="Y222" s="1498"/>
      <c r="Z222" s="1498"/>
      <c r="AA222" s="1498"/>
      <c r="AB222" s="1498"/>
      <c r="AC222" s="1527"/>
      <c r="AD222" s="1527"/>
      <c r="AE222" s="1527"/>
      <c r="AF222" s="1527"/>
      <c r="AG222" s="1527"/>
      <c r="AH222" s="1527"/>
      <c r="AI222" s="1527"/>
      <c r="AJ222" s="1527"/>
      <c r="AK222" s="1527"/>
      <c r="AL222" s="1527"/>
    </row>
    <row r="223" spans="1:38" s="1485" customFormat="1">
      <c r="A223" s="1495"/>
      <c r="B223" s="1495"/>
      <c r="C223" s="1495"/>
      <c r="D223" s="1495"/>
      <c r="E223" s="1527"/>
      <c r="F223" s="1527"/>
      <c r="G223" s="1527"/>
      <c r="H223" s="1498"/>
      <c r="I223" s="1498"/>
      <c r="J223" s="1506"/>
      <c r="K223" s="1498"/>
      <c r="L223" s="1498"/>
      <c r="M223" s="1498"/>
      <c r="N223" s="1498"/>
      <c r="O223" s="1498"/>
      <c r="P223" s="1498"/>
      <c r="Q223" s="1506"/>
      <c r="R223" s="1498"/>
      <c r="S223" s="1498"/>
      <c r="T223" s="1498"/>
      <c r="U223" s="1498"/>
      <c r="V223" s="1498"/>
      <c r="W223" s="1498"/>
      <c r="X223" s="1498"/>
      <c r="Y223" s="1498"/>
      <c r="Z223" s="1498"/>
      <c r="AA223" s="1498"/>
      <c r="AB223" s="1498"/>
      <c r="AC223" s="1527"/>
      <c r="AD223" s="1527"/>
      <c r="AE223" s="1527"/>
      <c r="AF223" s="1527"/>
      <c r="AG223" s="1527"/>
      <c r="AH223" s="1527"/>
      <c r="AI223" s="1527"/>
      <c r="AJ223" s="1527"/>
      <c r="AK223" s="1527"/>
      <c r="AL223" s="1527"/>
    </row>
    <row r="224" spans="1:38" s="1485" customFormat="1">
      <c r="A224" s="1495"/>
      <c r="B224" s="1495"/>
      <c r="C224" s="1495"/>
      <c r="D224" s="1495"/>
      <c r="E224" s="1527"/>
      <c r="F224" s="1527"/>
      <c r="G224" s="1527"/>
      <c r="H224" s="1498"/>
      <c r="I224" s="1498"/>
      <c r="J224" s="1506"/>
      <c r="K224" s="1498"/>
      <c r="L224" s="1498"/>
      <c r="M224" s="1498"/>
      <c r="N224" s="1498"/>
      <c r="O224" s="1498"/>
      <c r="P224" s="1498"/>
      <c r="Q224" s="1506"/>
      <c r="R224" s="1498"/>
      <c r="S224" s="1498"/>
      <c r="T224" s="1498"/>
      <c r="U224" s="1498"/>
      <c r="V224" s="1498"/>
      <c r="W224" s="1498"/>
      <c r="X224" s="1498"/>
      <c r="Y224" s="1498"/>
      <c r="Z224" s="1498"/>
      <c r="AA224" s="1498"/>
      <c r="AB224" s="1498"/>
      <c r="AC224" s="1527"/>
      <c r="AD224" s="1527"/>
      <c r="AE224" s="1527"/>
      <c r="AF224" s="1527"/>
      <c r="AG224" s="1527"/>
      <c r="AH224" s="1527"/>
      <c r="AI224" s="1527"/>
      <c r="AJ224" s="1527"/>
      <c r="AK224" s="1527"/>
      <c r="AL224" s="1527"/>
    </row>
    <row r="225" spans="1:38" s="1485" customFormat="1">
      <c r="A225" s="1495"/>
      <c r="B225" s="1495"/>
      <c r="C225" s="1495"/>
      <c r="D225" s="1495"/>
      <c r="E225" s="1527"/>
      <c r="F225" s="1527"/>
      <c r="G225" s="1527"/>
      <c r="H225" s="1498"/>
      <c r="I225" s="1498"/>
      <c r="J225" s="1506"/>
      <c r="K225" s="1498"/>
      <c r="L225" s="1498"/>
      <c r="M225" s="1498"/>
      <c r="N225" s="1498"/>
      <c r="O225" s="1498"/>
      <c r="P225" s="1498"/>
      <c r="Q225" s="1506"/>
      <c r="R225" s="1498"/>
      <c r="S225" s="1498"/>
      <c r="T225" s="1498"/>
      <c r="U225" s="1498"/>
      <c r="V225" s="1498"/>
      <c r="W225" s="1498"/>
      <c r="X225" s="1498"/>
      <c r="Y225" s="1498"/>
      <c r="Z225" s="1498"/>
      <c r="AA225" s="1498"/>
      <c r="AB225" s="1498"/>
      <c r="AC225" s="1527"/>
      <c r="AD225" s="1527"/>
      <c r="AE225" s="1527"/>
      <c r="AF225" s="1527"/>
      <c r="AG225" s="1527"/>
      <c r="AH225" s="1527"/>
      <c r="AI225" s="1527"/>
      <c r="AJ225" s="1527"/>
      <c r="AK225" s="1527"/>
      <c r="AL225" s="1527"/>
    </row>
    <row r="226" spans="1:38" s="1485" customFormat="1">
      <c r="A226" s="1495"/>
      <c r="B226" s="1495"/>
      <c r="C226" s="1495"/>
      <c r="D226" s="1495"/>
      <c r="E226" s="1527"/>
      <c r="F226" s="1527"/>
      <c r="G226" s="1527"/>
      <c r="H226" s="1498"/>
      <c r="I226" s="1498"/>
      <c r="J226" s="1506"/>
      <c r="K226" s="1498"/>
      <c r="L226" s="1498"/>
      <c r="M226" s="1498"/>
      <c r="N226" s="1498"/>
      <c r="O226" s="1498"/>
      <c r="P226" s="1498"/>
      <c r="Q226" s="1506"/>
      <c r="R226" s="1498"/>
      <c r="S226" s="1498"/>
      <c r="T226" s="1498"/>
      <c r="U226" s="1498"/>
      <c r="V226" s="1498"/>
      <c r="W226" s="1498"/>
      <c r="X226" s="1498"/>
      <c r="Y226" s="1498"/>
      <c r="Z226" s="1498"/>
      <c r="AA226" s="1498"/>
      <c r="AB226" s="1498"/>
      <c r="AC226" s="1527"/>
      <c r="AD226" s="1527"/>
      <c r="AE226" s="1527"/>
      <c r="AF226" s="1527"/>
      <c r="AG226" s="1527"/>
      <c r="AH226" s="1527"/>
      <c r="AI226" s="1527"/>
      <c r="AJ226" s="1527"/>
      <c r="AK226" s="1527"/>
      <c r="AL226" s="1527"/>
    </row>
    <row r="227" spans="1:38" s="1485" customFormat="1">
      <c r="A227" s="1495"/>
      <c r="B227" s="1495"/>
      <c r="C227" s="1495"/>
      <c r="D227" s="1495"/>
      <c r="E227" s="1527"/>
      <c r="F227" s="1527"/>
      <c r="G227" s="1527"/>
      <c r="H227" s="1498"/>
      <c r="I227" s="1498"/>
      <c r="J227" s="1506"/>
      <c r="K227" s="1498"/>
      <c r="L227" s="1498"/>
      <c r="M227" s="1498"/>
      <c r="N227" s="1498"/>
      <c r="O227" s="1498"/>
      <c r="P227" s="1498"/>
      <c r="Q227" s="1506"/>
      <c r="R227" s="1498"/>
      <c r="S227" s="1498"/>
      <c r="T227" s="1498"/>
      <c r="U227" s="1498"/>
      <c r="V227" s="1498"/>
      <c r="W227" s="1498"/>
      <c r="X227" s="1498"/>
      <c r="Y227" s="1498"/>
      <c r="Z227" s="1498"/>
      <c r="AA227" s="1498"/>
      <c r="AB227" s="1498"/>
      <c r="AC227" s="1527"/>
      <c r="AD227" s="1527"/>
      <c r="AE227" s="1527"/>
      <c r="AF227" s="1527"/>
      <c r="AG227" s="1527"/>
      <c r="AH227" s="1527"/>
      <c r="AI227" s="1527"/>
      <c r="AJ227" s="1527"/>
      <c r="AK227" s="1527"/>
      <c r="AL227" s="1527"/>
    </row>
    <row r="228" spans="1:38" s="1485" customFormat="1">
      <c r="A228" s="1495"/>
      <c r="B228" s="1495"/>
      <c r="C228" s="1495"/>
      <c r="D228" s="1495"/>
      <c r="E228" s="1527"/>
      <c r="F228" s="1527"/>
      <c r="G228" s="1527"/>
      <c r="H228" s="1498"/>
      <c r="I228" s="1498"/>
      <c r="J228" s="1506"/>
      <c r="K228" s="1498"/>
      <c r="L228" s="1498"/>
      <c r="M228" s="1498"/>
      <c r="N228" s="1498"/>
      <c r="O228" s="1498"/>
      <c r="P228" s="1498"/>
      <c r="Q228" s="1506"/>
      <c r="R228" s="1498"/>
      <c r="S228" s="1498"/>
      <c r="T228" s="1498"/>
      <c r="U228" s="1498"/>
      <c r="V228" s="1498"/>
      <c r="W228" s="1498"/>
      <c r="X228" s="1498"/>
      <c r="Y228" s="1498"/>
      <c r="Z228" s="1498"/>
      <c r="AA228" s="1498"/>
      <c r="AB228" s="1498"/>
      <c r="AC228" s="1527"/>
      <c r="AD228" s="1527"/>
      <c r="AE228" s="1527"/>
      <c r="AF228" s="1527"/>
      <c r="AG228" s="1527"/>
      <c r="AH228" s="1527"/>
      <c r="AI228" s="1527"/>
      <c r="AJ228" s="1527"/>
      <c r="AK228" s="1527"/>
      <c r="AL228" s="1527"/>
    </row>
    <row r="229" spans="1:38" s="1485" customFormat="1">
      <c r="A229" s="1495"/>
      <c r="B229" s="1495"/>
      <c r="C229" s="1495"/>
      <c r="D229" s="1495"/>
      <c r="E229" s="1527"/>
      <c r="F229" s="1527"/>
      <c r="G229" s="1527"/>
      <c r="H229" s="1498"/>
      <c r="I229" s="1498"/>
      <c r="J229" s="1506"/>
      <c r="K229" s="1498"/>
      <c r="L229" s="1498"/>
      <c r="M229" s="1498"/>
      <c r="N229" s="1498"/>
      <c r="O229" s="1498"/>
      <c r="P229" s="1498"/>
      <c r="Q229" s="1506"/>
      <c r="R229" s="1498"/>
      <c r="S229" s="1498"/>
      <c r="T229" s="1498"/>
      <c r="U229" s="1498"/>
      <c r="V229" s="1498"/>
      <c r="W229" s="1498"/>
      <c r="X229" s="1498"/>
      <c r="Y229" s="1498"/>
      <c r="Z229" s="1498"/>
      <c r="AA229" s="1498"/>
      <c r="AB229" s="1498"/>
      <c r="AC229" s="1527"/>
      <c r="AD229" s="1527"/>
      <c r="AE229" s="1527"/>
      <c r="AF229" s="1527"/>
      <c r="AG229" s="1527"/>
      <c r="AH229" s="1527"/>
      <c r="AI229" s="1527"/>
      <c r="AJ229" s="1527"/>
      <c r="AK229" s="1527"/>
      <c r="AL229" s="1527"/>
    </row>
    <row r="230" spans="1:38" s="1485" customFormat="1">
      <c r="A230" s="1495"/>
      <c r="B230" s="1495"/>
      <c r="C230" s="1495"/>
      <c r="D230" s="1495"/>
      <c r="E230" s="1527"/>
      <c r="F230" s="1527"/>
      <c r="G230" s="1527"/>
      <c r="H230" s="1498"/>
      <c r="I230" s="1498"/>
      <c r="J230" s="1506"/>
      <c r="K230" s="1498"/>
      <c r="L230" s="1498"/>
      <c r="M230" s="1498"/>
      <c r="N230" s="1498"/>
      <c r="O230" s="1498"/>
      <c r="P230" s="1498"/>
      <c r="Q230" s="1506"/>
      <c r="R230" s="1498"/>
      <c r="S230" s="1498"/>
      <c r="T230" s="1498"/>
      <c r="U230" s="1498"/>
      <c r="V230" s="1498"/>
      <c r="W230" s="1498"/>
      <c r="X230" s="1498"/>
      <c r="Y230" s="1498"/>
      <c r="Z230" s="1498"/>
      <c r="AA230" s="1498"/>
      <c r="AB230" s="1498"/>
      <c r="AC230" s="1527"/>
      <c r="AD230" s="1527"/>
      <c r="AE230" s="1527"/>
      <c r="AF230" s="1527"/>
      <c r="AG230" s="1527"/>
      <c r="AH230" s="1527"/>
      <c r="AI230" s="1527"/>
      <c r="AJ230" s="1527"/>
      <c r="AK230" s="1527"/>
      <c r="AL230" s="1527"/>
    </row>
    <row r="231" spans="1:38" s="1485" customFormat="1">
      <c r="A231" s="1495"/>
      <c r="B231" s="1495"/>
      <c r="C231" s="1495"/>
      <c r="D231" s="1495"/>
      <c r="E231" s="1527"/>
      <c r="F231" s="1527"/>
      <c r="G231" s="1527"/>
      <c r="H231" s="1498"/>
      <c r="I231" s="1498"/>
      <c r="J231" s="1506"/>
      <c r="K231" s="1498"/>
      <c r="L231" s="1498"/>
      <c r="M231" s="1498"/>
      <c r="N231" s="1498"/>
      <c r="O231" s="1498"/>
      <c r="P231" s="1498"/>
      <c r="Q231" s="1506"/>
      <c r="R231" s="1498"/>
      <c r="S231" s="1498"/>
      <c r="T231" s="1498"/>
      <c r="U231" s="1498"/>
      <c r="V231" s="1498"/>
      <c r="W231" s="1498"/>
      <c r="X231" s="1498"/>
      <c r="Y231" s="1498"/>
      <c r="Z231" s="1498"/>
      <c r="AA231" s="1498"/>
      <c r="AB231" s="1498"/>
      <c r="AC231" s="1527"/>
      <c r="AD231" s="1527"/>
      <c r="AE231" s="1527"/>
      <c r="AF231" s="1527"/>
      <c r="AG231" s="1527"/>
      <c r="AH231" s="1527"/>
      <c r="AI231" s="1527"/>
      <c r="AJ231" s="1527"/>
      <c r="AK231" s="1527"/>
      <c r="AL231" s="1527"/>
    </row>
    <row r="232" spans="1:38" s="1485" customFormat="1">
      <c r="A232" s="1495"/>
      <c r="B232" s="1495"/>
      <c r="C232" s="1495"/>
      <c r="D232" s="1495"/>
      <c r="E232" s="1527"/>
      <c r="F232" s="1527"/>
      <c r="G232" s="1527"/>
      <c r="H232" s="1498"/>
      <c r="I232" s="1498"/>
      <c r="J232" s="1506"/>
      <c r="K232" s="1498"/>
      <c r="L232" s="1498"/>
      <c r="M232" s="1498"/>
      <c r="N232" s="1498"/>
      <c r="O232" s="1498"/>
      <c r="P232" s="1498"/>
      <c r="Q232" s="1506"/>
      <c r="R232" s="1498"/>
      <c r="S232" s="1498"/>
      <c r="T232" s="1498"/>
      <c r="U232" s="1498"/>
      <c r="V232" s="1498"/>
      <c r="W232" s="1498"/>
      <c r="X232" s="1498"/>
      <c r="Y232" s="1498"/>
      <c r="Z232" s="1498"/>
      <c r="AA232" s="1498"/>
      <c r="AB232" s="1498"/>
      <c r="AC232" s="1527"/>
      <c r="AD232" s="1527"/>
      <c r="AE232" s="1527"/>
      <c r="AF232" s="1527"/>
      <c r="AG232" s="1527"/>
      <c r="AH232" s="1527"/>
      <c r="AI232" s="1527"/>
      <c r="AJ232" s="1527"/>
      <c r="AK232" s="1527"/>
      <c r="AL232" s="1527"/>
    </row>
    <row r="233" spans="1:38" s="1485" customFormat="1">
      <c r="A233" s="1495"/>
      <c r="B233" s="1495"/>
      <c r="C233" s="1495"/>
      <c r="D233" s="1495"/>
      <c r="E233" s="1527"/>
      <c r="F233" s="1527"/>
      <c r="G233" s="1527"/>
      <c r="H233" s="1498"/>
      <c r="I233" s="1498"/>
      <c r="J233" s="1506"/>
      <c r="K233" s="1498"/>
      <c r="L233" s="1498"/>
      <c r="M233" s="1498"/>
      <c r="N233" s="1498"/>
      <c r="O233" s="1498"/>
      <c r="P233" s="1498"/>
      <c r="Q233" s="1506"/>
      <c r="R233" s="1498"/>
      <c r="S233" s="1498"/>
      <c r="T233" s="1498"/>
      <c r="U233" s="1498"/>
      <c r="V233" s="1498"/>
      <c r="W233" s="1498"/>
      <c r="X233" s="1498"/>
      <c r="Y233" s="1498"/>
      <c r="Z233" s="1498"/>
      <c r="AA233" s="1498"/>
      <c r="AB233" s="1498"/>
      <c r="AC233" s="1527"/>
      <c r="AD233" s="1527"/>
      <c r="AE233" s="1527"/>
      <c r="AF233" s="1527"/>
      <c r="AG233" s="1527"/>
      <c r="AH233" s="1527"/>
      <c r="AI233" s="1527"/>
      <c r="AJ233" s="1527"/>
      <c r="AK233" s="1527"/>
      <c r="AL233" s="1527"/>
    </row>
    <row r="234" spans="1:38" s="1485" customFormat="1">
      <c r="A234" s="1495"/>
      <c r="B234" s="1495"/>
      <c r="C234" s="1495"/>
      <c r="D234" s="1495"/>
      <c r="E234" s="1527"/>
      <c r="F234" s="1527"/>
      <c r="G234" s="1527"/>
      <c r="H234" s="1498"/>
      <c r="I234" s="1498"/>
      <c r="J234" s="1506"/>
      <c r="K234" s="1498"/>
      <c r="L234" s="1498"/>
      <c r="M234" s="1498"/>
      <c r="N234" s="1498"/>
      <c r="O234" s="1498"/>
      <c r="P234" s="1498"/>
      <c r="Q234" s="1506"/>
      <c r="R234" s="1498"/>
      <c r="S234" s="1498"/>
      <c r="T234" s="1498"/>
      <c r="U234" s="1498"/>
      <c r="V234" s="1498"/>
      <c r="W234" s="1498"/>
      <c r="X234" s="1498"/>
      <c r="Y234" s="1498"/>
      <c r="Z234" s="1498"/>
      <c r="AA234" s="1498"/>
      <c r="AB234" s="1498"/>
      <c r="AC234" s="1527"/>
      <c r="AD234" s="1527"/>
      <c r="AE234" s="1527"/>
      <c r="AF234" s="1527"/>
      <c r="AG234" s="1527"/>
      <c r="AH234" s="1527"/>
      <c r="AI234" s="1527"/>
      <c r="AJ234" s="1527"/>
      <c r="AK234" s="1527"/>
      <c r="AL234" s="1527"/>
    </row>
    <row r="235" spans="1:38" s="1485" customFormat="1">
      <c r="A235" s="1495"/>
      <c r="B235" s="1495"/>
      <c r="C235" s="1495"/>
      <c r="D235" s="1495"/>
      <c r="E235" s="1527"/>
      <c r="F235" s="1527"/>
      <c r="G235" s="1527"/>
      <c r="H235" s="1498"/>
      <c r="I235" s="1498"/>
      <c r="J235" s="1506"/>
      <c r="K235" s="1498"/>
      <c r="L235" s="1498"/>
      <c r="M235" s="1498"/>
      <c r="N235" s="1498"/>
      <c r="O235" s="1498"/>
      <c r="P235" s="1498"/>
      <c r="Q235" s="1506"/>
      <c r="R235" s="1498"/>
      <c r="S235" s="1498"/>
      <c r="T235" s="1498"/>
      <c r="U235" s="1498"/>
      <c r="V235" s="1498"/>
      <c r="W235" s="1498"/>
      <c r="X235" s="1498"/>
      <c r="Y235" s="1498"/>
      <c r="Z235" s="1498"/>
      <c r="AA235" s="1498"/>
      <c r="AB235" s="1498"/>
      <c r="AC235" s="1527"/>
      <c r="AD235" s="1527"/>
      <c r="AE235" s="1527"/>
      <c r="AF235" s="1527"/>
      <c r="AG235" s="1527"/>
      <c r="AH235" s="1527"/>
      <c r="AI235" s="1527"/>
      <c r="AJ235" s="1527"/>
      <c r="AK235" s="1527"/>
      <c r="AL235" s="1527"/>
    </row>
    <row r="236" spans="1:38" s="1485" customFormat="1">
      <c r="A236" s="1495"/>
      <c r="B236" s="1495"/>
      <c r="C236" s="1495"/>
      <c r="D236" s="1495"/>
      <c r="E236" s="1527"/>
      <c r="F236" s="1527"/>
      <c r="G236" s="1527"/>
      <c r="H236" s="1498"/>
      <c r="I236" s="1498"/>
      <c r="J236" s="1506"/>
      <c r="K236" s="1498"/>
      <c r="L236" s="1498"/>
      <c r="M236" s="1498"/>
      <c r="N236" s="1498"/>
      <c r="O236" s="1498"/>
      <c r="P236" s="1498"/>
      <c r="Q236" s="1506"/>
      <c r="R236" s="1498"/>
      <c r="S236" s="1498"/>
      <c r="T236" s="1498"/>
      <c r="U236" s="1498"/>
      <c r="V236" s="1498"/>
      <c r="W236" s="1498"/>
      <c r="X236" s="1498"/>
      <c r="Y236" s="1498"/>
      <c r="Z236" s="1498"/>
      <c r="AA236" s="1498"/>
      <c r="AB236" s="1498"/>
      <c r="AC236" s="1527"/>
      <c r="AD236" s="1527"/>
      <c r="AE236" s="1527"/>
      <c r="AF236" s="1527"/>
      <c r="AG236" s="1527"/>
      <c r="AH236" s="1527"/>
      <c r="AI236" s="1527"/>
      <c r="AJ236" s="1527"/>
      <c r="AK236" s="1527"/>
      <c r="AL236" s="1527"/>
    </row>
    <row r="237" spans="1:38" s="1485" customFormat="1">
      <c r="A237" s="1495"/>
      <c r="B237" s="1495"/>
      <c r="C237" s="1495"/>
      <c r="D237" s="1495"/>
      <c r="E237" s="1527"/>
      <c r="F237" s="1527"/>
      <c r="G237" s="1527"/>
      <c r="H237" s="1498"/>
      <c r="I237" s="1498"/>
      <c r="J237" s="1506"/>
      <c r="K237" s="1498"/>
      <c r="L237" s="1498"/>
      <c r="M237" s="1498"/>
      <c r="N237" s="1498"/>
      <c r="O237" s="1498"/>
      <c r="P237" s="1498"/>
      <c r="Q237" s="1506"/>
      <c r="R237" s="1498"/>
      <c r="S237" s="1498"/>
      <c r="T237" s="1498"/>
      <c r="U237" s="1498"/>
      <c r="V237" s="1498"/>
      <c r="W237" s="1498"/>
      <c r="X237" s="1498"/>
      <c r="Y237" s="1498"/>
      <c r="Z237" s="1498"/>
      <c r="AA237" s="1498"/>
      <c r="AB237" s="1498"/>
      <c r="AC237" s="1527"/>
      <c r="AD237" s="1527"/>
      <c r="AE237" s="1527"/>
      <c r="AF237" s="1527"/>
      <c r="AG237" s="1527"/>
      <c r="AH237" s="1527"/>
      <c r="AI237" s="1527"/>
      <c r="AJ237" s="1527"/>
      <c r="AK237" s="1527"/>
      <c r="AL237" s="1527"/>
    </row>
    <row r="238" spans="1:38" s="1485" customFormat="1">
      <c r="A238" s="1495"/>
      <c r="B238" s="1495"/>
      <c r="C238" s="1495"/>
      <c r="D238" s="1495"/>
      <c r="E238" s="1527"/>
      <c r="F238" s="1527"/>
      <c r="G238" s="1527"/>
      <c r="H238" s="1498"/>
      <c r="I238" s="1498"/>
      <c r="J238" s="1506"/>
      <c r="K238" s="1498"/>
      <c r="L238" s="1498"/>
      <c r="M238" s="1498"/>
      <c r="N238" s="1498"/>
      <c r="O238" s="1498"/>
      <c r="P238" s="1498"/>
      <c r="Q238" s="1506"/>
      <c r="R238" s="1498"/>
      <c r="S238" s="1498"/>
      <c r="T238" s="1498"/>
      <c r="U238" s="1498"/>
      <c r="V238" s="1498"/>
      <c r="W238" s="1498"/>
      <c r="X238" s="1498"/>
      <c r="Y238" s="1498"/>
      <c r="Z238" s="1498"/>
      <c r="AA238" s="1498"/>
      <c r="AB238" s="1498"/>
      <c r="AC238" s="1527"/>
      <c r="AD238" s="1527"/>
      <c r="AE238" s="1527"/>
      <c r="AF238" s="1527"/>
      <c r="AG238" s="1527"/>
      <c r="AH238" s="1527"/>
      <c r="AI238" s="1527"/>
      <c r="AJ238" s="1527"/>
      <c r="AK238" s="1527"/>
      <c r="AL238" s="1527"/>
    </row>
    <row r="239" spans="1:38" s="1485" customFormat="1">
      <c r="A239" s="1495"/>
      <c r="B239" s="1495"/>
      <c r="C239" s="1495"/>
      <c r="D239" s="1495"/>
      <c r="E239" s="1527"/>
      <c r="F239" s="1527"/>
      <c r="G239" s="1527"/>
      <c r="H239" s="1498"/>
      <c r="I239" s="1498"/>
      <c r="J239" s="1506"/>
      <c r="K239" s="1498"/>
      <c r="L239" s="1498"/>
      <c r="M239" s="1498"/>
      <c r="N239" s="1498"/>
      <c r="O239" s="1498"/>
      <c r="P239" s="1498"/>
      <c r="Q239" s="1506"/>
      <c r="R239" s="1498"/>
      <c r="S239" s="1498"/>
      <c r="T239" s="1498"/>
      <c r="U239" s="1498"/>
      <c r="V239" s="1498"/>
      <c r="W239" s="1498"/>
      <c r="X239" s="1498"/>
      <c r="Y239" s="1498"/>
      <c r="Z239" s="1498"/>
      <c r="AA239" s="1498"/>
      <c r="AB239" s="1498"/>
      <c r="AC239" s="1527"/>
      <c r="AD239" s="1527"/>
      <c r="AE239" s="1527"/>
      <c r="AF239" s="1527"/>
      <c r="AG239" s="1527"/>
      <c r="AH239" s="1527"/>
      <c r="AI239" s="1527"/>
      <c r="AJ239" s="1527"/>
      <c r="AK239" s="1527"/>
      <c r="AL239" s="1527"/>
    </row>
    <row r="240" spans="1:38" s="1485" customFormat="1">
      <c r="A240" s="1495"/>
      <c r="B240" s="1495"/>
      <c r="C240" s="1495"/>
      <c r="D240" s="1495"/>
      <c r="E240" s="1527"/>
      <c r="F240" s="1527"/>
      <c r="G240" s="1527"/>
      <c r="H240" s="1498"/>
      <c r="I240" s="1498"/>
      <c r="J240" s="1506"/>
      <c r="K240" s="1498"/>
      <c r="L240" s="1498"/>
      <c r="M240" s="1498"/>
      <c r="N240" s="1498"/>
      <c r="O240" s="1498"/>
      <c r="P240" s="1498"/>
      <c r="Q240" s="1506"/>
      <c r="R240" s="1498"/>
      <c r="S240" s="1498"/>
      <c r="T240" s="1498"/>
      <c r="U240" s="1498"/>
      <c r="V240" s="1498"/>
      <c r="W240" s="1498"/>
      <c r="X240" s="1498"/>
      <c r="Y240" s="1498"/>
      <c r="Z240" s="1498"/>
      <c r="AA240" s="1498"/>
      <c r="AB240" s="1498"/>
      <c r="AC240" s="1527"/>
      <c r="AD240" s="1527"/>
      <c r="AE240" s="1527"/>
      <c r="AF240" s="1527"/>
      <c r="AG240" s="1527"/>
      <c r="AH240" s="1527"/>
      <c r="AI240" s="1527"/>
      <c r="AJ240" s="1527"/>
      <c r="AK240" s="1527"/>
      <c r="AL240" s="1527"/>
    </row>
    <row r="241" spans="1:38" s="1485" customFormat="1">
      <c r="A241" s="1495"/>
      <c r="B241" s="1495"/>
      <c r="C241" s="1495"/>
      <c r="D241" s="1495"/>
      <c r="E241" s="1527"/>
      <c r="F241" s="1527"/>
      <c r="G241" s="1527"/>
      <c r="H241" s="1498"/>
      <c r="I241" s="1498"/>
      <c r="J241" s="1506"/>
      <c r="K241" s="1498"/>
      <c r="L241" s="1498"/>
      <c r="M241" s="1498"/>
      <c r="N241" s="1498"/>
      <c r="O241" s="1498"/>
      <c r="P241" s="1498"/>
      <c r="Q241" s="1506"/>
      <c r="R241" s="1498"/>
      <c r="S241" s="1498"/>
      <c r="T241" s="1498"/>
      <c r="U241" s="1498"/>
      <c r="V241" s="1498"/>
      <c r="W241" s="1498"/>
      <c r="X241" s="1498"/>
      <c r="Y241" s="1498"/>
      <c r="Z241" s="1498"/>
      <c r="AA241" s="1498"/>
      <c r="AB241" s="1498"/>
      <c r="AC241" s="1527"/>
      <c r="AD241" s="1527"/>
      <c r="AE241" s="1527"/>
      <c r="AF241" s="1527"/>
      <c r="AG241" s="1527"/>
      <c r="AH241" s="1527"/>
      <c r="AI241" s="1527"/>
      <c r="AJ241" s="1527"/>
      <c r="AK241" s="1527"/>
      <c r="AL241" s="1527"/>
    </row>
    <row r="242" spans="1:38" s="1485" customFormat="1">
      <c r="A242" s="1495"/>
      <c r="B242" s="1495"/>
      <c r="C242" s="1495"/>
      <c r="D242" s="1495"/>
      <c r="E242" s="1527"/>
      <c r="F242" s="1527"/>
      <c r="G242" s="1527"/>
      <c r="H242" s="1498"/>
      <c r="I242" s="1498"/>
      <c r="J242" s="1506"/>
      <c r="K242" s="1498"/>
      <c r="L242" s="1498"/>
      <c r="M242" s="1498"/>
      <c r="N242" s="1498"/>
      <c r="O242" s="1498"/>
      <c r="P242" s="1498"/>
      <c r="Q242" s="1506"/>
      <c r="R242" s="1498"/>
      <c r="S242" s="1498"/>
      <c r="T242" s="1498"/>
      <c r="U242" s="1498"/>
      <c r="V242" s="1498"/>
      <c r="W242" s="1498"/>
      <c r="X242" s="1498"/>
      <c r="Y242" s="1498"/>
      <c r="Z242" s="1498"/>
      <c r="AA242" s="1498"/>
      <c r="AB242" s="1498"/>
      <c r="AC242" s="1527"/>
      <c r="AD242" s="1527"/>
      <c r="AE242" s="1527"/>
      <c r="AF242" s="1527"/>
      <c r="AG242" s="1527"/>
      <c r="AH242" s="1527"/>
      <c r="AI242" s="1527"/>
      <c r="AJ242" s="1527"/>
      <c r="AK242" s="1527"/>
      <c r="AL242" s="1527"/>
    </row>
    <row r="243" spans="1:38" s="1485" customFormat="1">
      <c r="A243" s="1495"/>
      <c r="B243" s="1495"/>
      <c r="C243" s="1495"/>
      <c r="D243" s="1495"/>
      <c r="E243" s="1527"/>
      <c r="F243" s="1527"/>
      <c r="G243" s="1527"/>
      <c r="H243" s="1498"/>
      <c r="I243" s="1498"/>
      <c r="J243" s="1506"/>
      <c r="K243" s="1498"/>
      <c r="L243" s="1498"/>
      <c r="M243" s="1498"/>
      <c r="N243" s="1498"/>
      <c r="O243" s="1498"/>
      <c r="P243" s="1498"/>
      <c r="Q243" s="1506"/>
      <c r="R243" s="1498"/>
      <c r="S243" s="1498"/>
      <c r="T243" s="1498"/>
      <c r="U243" s="1498"/>
      <c r="V243" s="1498"/>
      <c r="W243" s="1498"/>
      <c r="X243" s="1498"/>
      <c r="Y243" s="1498"/>
      <c r="Z243" s="1498"/>
      <c r="AA243" s="1498"/>
      <c r="AB243" s="1498"/>
      <c r="AC243" s="1527"/>
      <c r="AD243" s="1527"/>
      <c r="AE243" s="1527"/>
      <c r="AF243" s="1527"/>
      <c r="AG243" s="1527"/>
      <c r="AH243" s="1527"/>
      <c r="AI243" s="1527"/>
      <c r="AJ243" s="1527"/>
      <c r="AK243" s="1527"/>
      <c r="AL243" s="1527"/>
    </row>
    <row r="244" spans="1:38" s="1485" customFormat="1">
      <c r="A244" s="1495"/>
      <c r="B244" s="1495"/>
      <c r="C244" s="1495"/>
      <c r="D244" s="1495"/>
      <c r="E244" s="1527"/>
      <c r="F244" s="1527"/>
      <c r="G244" s="1527"/>
      <c r="H244" s="1498"/>
      <c r="I244" s="1498"/>
      <c r="J244" s="1506"/>
      <c r="K244" s="1498"/>
      <c r="L244" s="1498"/>
      <c r="M244" s="1498"/>
      <c r="N244" s="1498"/>
      <c r="O244" s="1498"/>
      <c r="P244" s="1498"/>
      <c r="Q244" s="1506"/>
      <c r="R244" s="1498"/>
      <c r="S244" s="1498"/>
      <c r="T244" s="1498"/>
      <c r="U244" s="1498"/>
      <c r="V244" s="1498"/>
      <c r="W244" s="1498"/>
      <c r="X244" s="1498"/>
      <c r="Y244" s="1498"/>
      <c r="Z244" s="1498"/>
      <c r="AA244" s="1498"/>
      <c r="AB244" s="1498"/>
      <c r="AC244" s="1527"/>
      <c r="AD244" s="1527"/>
      <c r="AE244" s="1527"/>
      <c r="AF244" s="1527"/>
      <c r="AG244" s="1527"/>
      <c r="AH244" s="1527"/>
      <c r="AI244" s="1527"/>
      <c r="AJ244" s="1527"/>
      <c r="AK244" s="1527"/>
      <c r="AL244" s="1527"/>
    </row>
    <row r="245" spans="1:38" s="1485" customFormat="1">
      <c r="A245" s="1495"/>
      <c r="B245" s="1495"/>
      <c r="C245" s="1495"/>
      <c r="D245" s="1495"/>
      <c r="E245" s="1527"/>
      <c r="F245" s="1527"/>
      <c r="G245" s="1527"/>
      <c r="H245" s="1498"/>
      <c r="I245" s="1498"/>
      <c r="J245" s="1506"/>
      <c r="K245" s="1498"/>
      <c r="L245" s="1498"/>
      <c r="M245" s="1498"/>
      <c r="N245" s="1498"/>
      <c r="O245" s="1498"/>
      <c r="P245" s="1498"/>
      <c r="Q245" s="1506"/>
      <c r="R245" s="1498"/>
      <c r="S245" s="1498"/>
      <c r="T245" s="1498"/>
      <c r="U245" s="1498"/>
      <c r="V245" s="1498"/>
      <c r="W245" s="1498"/>
      <c r="X245" s="1498"/>
      <c r="Y245" s="1498"/>
      <c r="Z245" s="1498"/>
      <c r="AA245" s="1498"/>
      <c r="AB245" s="1498"/>
      <c r="AC245" s="1527"/>
      <c r="AD245" s="1527"/>
      <c r="AE245" s="1527"/>
      <c r="AF245" s="1527"/>
      <c r="AG245" s="1527"/>
      <c r="AH245" s="1527"/>
      <c r="AI245" s="1527"/>
      <c r="AJ245" s="1527"/>
      <c r="AK245" s="1527"/>
      <c r="AL245" s="1527"/>
    </row>
    <row r="246" spans="1:38" s="1485" customFormat="1">
      <c r="A246" s="1495"/>
      <c r="B246" s="1495"/>
      <c r="C246" s="1495"/>
      <c r="D246" s="1495"/>
      <c r="E246" s="1527"/>
      <c r="F246" s="1527"/>
      <c r="G246" s="1527"/>
      <c r="H246" s="1498"/>
      <c r="I246" s="1498"/>
      <c r="J246" s="1506"/>
      <c r="K246" s="1498"/>
      <c r="L246" s="1498"/>
      <c r="M246" s="1498"/>
      <c r="N246" s="1498"/>
      <c r="O246" s="1498"/>
      <c r="P246" s="1498"/>
      <c r="Q246" s="1506"/>
      <c r="R246" s="1498"/>
      <c r="S246" s="1498"/>
      <c r="T246" s="1498"/>
      <c r="U246" s="1498"/>
      <c r="V246" s="1498"/>
      <c r="W246" s="1498"/>
      <c r="X246" s="1498"/>
      <c r="Y246" s="1498"/>
      <c r="Z246" s="1498"/>
      <c r="AA246" s="1498"/>
      <c r="AB246" s="1498"/>
      <c r="AC246" s="1527"/>
      <c r="AD246" s="1527"/>
      <c r="AE246" s="1527"/>
      <c r="AF246" s="1527"/>
      <c r="AG246" s="1527"/>
      <c r="AH246" s="1527"/>
      <c r="AI246" s="1527"/>
      <c r="AJ246" s="1527"/>
      <c r="AK246" s="1527"/>
      <c r="AL246" s="1527"/>
    </row>
    <row r="247" spans="1:38" s="1485" customFormat="1">
      <c r="A247" s="1495"/>
      <c r="B247" s="1495"/>
      <c r="C247" s="1495"/>
      <c r="D247" s="1495"/>
      <c r="E247" s="1527"/>
      <c r="F247" s="1527"/>
      <c r="G247" s="1527"/>
      <c r="H247" s="1498"/>
      <c r="I247" s="1498"/>
      <c r="J247" s="1506"/>
      <c r="K247" s="1498"/>
      <c r="L247" s="1498"/>
      <c r="M247" s="1498"/>
      <c r="N247" s="1498"/>
      <c r="O247" s="1498"/>
      <c r="P247" s="1498"/>
      <c r="Q247" s="1506"/>
      <c r="R247" s="1498"/>
      <c r="S247" s="1498"/>
      <c r="T247" s="1498"/>
      <c r="U247" s="1498"/>
      <c r="V247" s="1498"/>
      <c r="W247" s="1498"/>
      <c r="X247" s="1498"/>
      <c r="Y247" s="1498"/>
      <c r="Z247" s="1498"/>
      <c r="AA247" s="1498"/>
      <c r="AB247" s="1498"/>
      <c r="AC247" s="1527"/>
      <c r="AD247" s="1527"/>
      <c r="AE247" s="1527"/>
      <c r="AF247" s="1527"/>
      <c r="AG247" s="1527"/>
      <c r="AH247" s="1527"/>
      <c r="AI247" s="1527"/>
      <c r="AJ247" s="1527"/>
      <c r="AK247" s="1527"/>
      <c r="AL247" s="1527"/>
    </row>
    <row r="248" spans="1:38" s="1485" customFormat="1">
      <c r="A248" s="1495"/>
      <c r="B248" s="1495"/>
      <c r="C248" s="1495"/>
      <c r="D248" s="1495"/>
      <c r="E248" s="1527"/>
      <c r="F248" s="1527"/>
      <c r="G248" s="1527"/>
      <c r="H248" s="1498"/>
      <c r="I248" s="1498"/>
      <c r="J248" s="1506"/>
      <c r="K248" s="1498"/>
      <c r="L248" s="1498"/>
      <c r="M248" s="1498"/>
      <c r="N248" s="1498"/>
      <c r="O248" s="1498"/>
      <c r="P248" s="1498"/>
      <c r="Q248" s="1506"/>
      <c r="R248" s="1498"/>
      <c r="S248" s="1498"/>
      <c r="T248" s="1498"/>
      <c r="U248" s="1498"/>
      <c r="V248" s="1498"/>
      <c r="W248" s="1498"/>
      <c r="X248" s="1498"/>
      <c r="Y248" s="1498"/>
      <c r="Z248" s="1498"/>
      <c r="AA248" s="1498"/>
      <c r="AB248" s="1498"/>
      <c r="AC248" s="1527"/>
      <c r="AD248" s="1527"/>
      <c r="AE248" s="1527"/>
      <c r="AF248" s="1527"/>
      <c r="AG248" s="1527"/>
      <c r="AH248" s="1527"/>
      <c r="AI248" s="1527"/>
      <c r="AJ248" s="1527"/>
      <c r="AK248" s="1527"/>
      <c r="AL248" s="1527"/>
    </row>
    <row r="249" spans="1:38" s="1485" customFormat="1">
      <c r="A249" s="1495"/>
      <c r="B249" s="1495"/>
      <c r="C249" s="1495"/>
      <c r="D249" s="1495"/>
      <c r="E249" s="1527"/>
      <c r="F249" s="1527"/>
      <c r="G249" s="1527"/>
      <c r="H249" s="1498"/>
      <c r="I249" s="1498"/>
      <c r="J249" s="1506"/>
      <c r="K249" s="1498"/>
      <c r="L249" s="1498"/>
      <c r="M249" s="1498"/>
      <c r="N249" s="1498"/>
      <c r="O249" s="1498"/>
      <c r="P249" s="1498"/>
      <c r="Q249" s="1506"/>
      <c r="R249" s="1498"/>
      <c r="S249" s="1498"/>
      <c r="T249" s="1498"/>
      <c r="U249" s="1498"/>
      <c r="V249" s="1498"/>
      <c r="W249" s="1498"/>
      <c r="X249" s="1498"/>
      <c r="Y249" s="1498"/>
      <c r="Z249" s="1498"/>
      <c r="AA249" s="1498"/>
      <c r="AB249" s="1498"/>
      <c r="AC249" s="1527"/>
      <c r="AD249" s="1527"/>
      <c r="AE249" s="1527"/>
      <c r="AF249" s="1527"/>
      <c r="AG249" s="1527"/>
      <c r="AH249" s="1527"/>
      <c r="AI249" s="1527"/>
      <c r="AJ249" s="1527"/>
      <c r="AK249" s="1527"/>
      <c r="AL249" s="1527"/>
    </row>
    <row r="250" spans="1:38" s="1485" customFormat="1">
      <c r="A250" s="1495"/>
      <c r="B250" s="1495"/>
      <c r="C250" s="1495"/>
      <c r="D250" s="1495"/>
      <c r="E250" s="1527"/>
      <c r="F250" s="1527"/>
      <c r="G250" s="1527"/>
      <c r="H250" s="1498"/>
      <c r="I250" s="1498"/>
      <c r="J250" s="1506"/>
      <c r="K250" s="1498"/>
      <c r="L250" s="1498"/>
      <c r="M250" s="1498"/>
      <c r="N250" s="1498"/>
      <c r="O250" s="1498"/>
      <c r="P250" s="1498"/>
      <c r="Q250" s="1506"/>
      <c r="R250" s="1498"/>
      <c r="S250" s="1498"/>
      <c r="T250" s="1498"/>
      <c r="U250" s="1498"/>
      <c r="V250" s="1498"/>
      <c r="W250" s="1498"/>
      <c r="X250" s="1498"/>
      <c r="Y250" s="1498"/>
      <c r="Z250" s="1498"/>
      <c r="AA250" s="1498"/>
      <c r="AB250" s="1498"/>
      <c r="AC250" s="1527"/>
      <c r="AD250" s="1527"/>
      <c r="AE250" s="1527"/>
      <c r="AF250" s="1527"/>
      <c r="AG250" s="1527"/>
      <c r="AH250" s="1527"/>
      <c r="AI250" s="1527"/>
      <c r="AJ250" s="1527"/>
      <c r="AK250" s="1527"/>
      <c r="AL250" s="1527"/>
    </row>
    <row r="251" spans="1:38" s="1485" customFormat="1">
      <c r="A251" s="1495"/>
      <c r="B251" s="1495"/>
      <c r="C251" s="1495"/>
      <c r="D251" s="1495"/>
      <c r="E251" s="1527"/>
      <c r="F251" s="1527"/>
      <c r="G251" s="1527"/>
      <c r="H251" s="1498"/>
      <c r="I251" s="1498"/>
      <c r="J251" s="1506"/>
      <c r="K251" s="1498"/>
      <c r="L251" s="1498"/>
      <c r="M251" s="1498"/>
      <c r="N251" s="1498"/>
      <c r="O251" s="1498"/>
      <c r="P251" s="1498"/>
      <c r="Q251" s="1506"/>
      <c r="R251" s="1498"/>
      <c r="S251" s="1498"/>
      <c r="T251" s="1498"/>
      <c r="U251" s="1498"/>
      <c r="V251" s="1498"/>
      <c r="W251" s="1498"/>
      <c r="X251" s="1498"/>
      <c r="Y251" s="1498"/>
      <c r="Z251" s="1498"/>
      <c r="AA251" s="1498"/>
      <c r="AB251" s="1498"/>
      <c r="AC251" s="1527"/>
      <c r="AD251" s="1527"/>
      <c r="AE251" s="1527"/>
      <c r="AF251" s="1527"/>
      <c r="AG251" s="1527"/>
      <c r="AH251" s="1527"/>
      <c r="AI251" s="1527"/>
      <c r="AJ251" s="1527"/>
      <c r="AK251" s="1527"/>
      <c r="AL251" s="1527"/>
    </row>
    <row r="252" spans="1:38" s="1485" customFormat="1">
      <c r="A252" s="1495"/>
      <c r="B252" s="1495"/>
      <c r="C252" s="1495"/>
      <c r="D252" s="1495"/>
      <c r="E252" s="1527"/>
      <c r="F252" s="1527"/>
      <c r="G252" s="1527"/>
      <c r="H252" s="1498"/>
      <c r="I252" s="1498"/>
      <c r="J252" s="1506"/>
      <c r="K252" s="1498"/>
      <c r="L252" s="1498"/>
      <c r="M252" s="1498"/>
      <c r="N252" s="1498"/>
      <c r="O252" s="1498"/>
      <c r="P252" s="1498"/>
      <c r="Q252" s="1506"/>
      <c r="R252" s="1498"/>
      <c r="S252" s="1498"/>
      <c r="T252" s="1498"/>
      <c r="U252" s="1498"/>
      <c r="V252" s="1498"/>
      <c r="W252" s="1498"/>
      <c r="X252" s="1498"/>
      <c r="Y252" s="1498"/>
      <c r="Z252" s="1498"/>
      <c r="AA252" s="1498"/>
      <c r="AB252" s="1498"/>
      <c r="AC252" s="1527"/>
      <c r="AD252" s="1527"/>
      <c r="AE252" s="1527"/>
      <c r="AF252" s="1527"/>
      <c r="AG252" s="1527"/>
      <c r="AH252" s="1527"/>
      <c r="AI252" s="1527"/>
      <c r="AJ252" s="1527"/>
      <c r="AK252" s="1527"/>
      <c r="AL252" s="1527"/>
    </row>
    <row r="253" spans="1:38" s="1485" customFormat="1">
      <c r="A253" s="1495"/>
      <c r="B253" s="1495"/>
      <c r="C253" s="1495"/>
      <c r="D253" s="1495"/>
      <c r="E253" s="1527"/>
      <c r="F253" s="1527"/>
      <c r="G253" s="1527"/>
      <c r="H253" s="1498"/>
      <c r="I253" s="1498"/>
      <c r="J253" s="1506"/>
      <c r="K253" s="1498"/>
      <c r="L253" s="1498"/>
      <c r="M253" s="1498"/>
      <c r="N253" s="1498"/>
      <c r="O253" s="1498"/>
      <c r="P253" s="1498"/>
      <c r="Q253" s="1506"/>
      <c r="R253" s="1498"/>
      <c r="S253" s="1498"/>
      <c r="T253" s="1498"/>
      <c r="U253" s="1498"/>
      <c r="V253" s="1498"/>
      <c r="W253" s="1498"/>
      <c r="X253" s="1498"/>
      <c r="Y253" s="1498"/>
      <c r="Z253" s="1498"/>
      <c r="AA253" s="1498"/>
      <c r="AB253" s="1498"/>
      <c r="AC253" s="1527"/>
      <c r="AD253" s="1527"/>
      <c r="AE253" s="1527"/>
      <c r="AF253" s="1527"/>
      <c r="AG253" s="1527"/>
      <c r="AH253" s="1527"/>
      <c r="AI253" s="1527"/>
      <c r="AJ253" s="1527"/>
      <c r="AK253" s="1527"/>
      <c r="AL253" s="1527"/>
    </row>
    <row r="254" spans="1:38" s="1485" customFormat="1">
      <c r="A254" s="1495"/>
      <c r="B254" s="1495"/>
      <c r="C254" s="1495"/>
      <c r="D254" s="1495"/>
      <c r="E254" s="1527"/>
      <c r="F254" s="1527"/>
      <c r="G254" s="1527"/>
      <c r="H254" s="1498"/>
      <c r="I254" s="1498"/>
      <c r="J254" s="1506"/>
      <c r="K254" s="1498"/>
      <c r="L254" s="1498"/>
      <c r="M254" s="1498"/>
      <c r="N254" s="1498"/>
      <c r="O254" s="1498"/>
      <c r="P254" s="1498"/>
      <c r="Q254" s="1506"/>
      <c r="R254" s="1498"/>
      <c r="S254" s="1498"/>
      <c r="T254" s="1498"/>
      <c r="U254" s="1498"/>
      <c r="V254" s="1498"/>
      <c r="W254" s="1498"/>
      <c r="X254" s="1498"/>
      <c r="Y254" s="1498"/>
      <c r="Z254" s="1498"/>
      <c r="AA254" s="1498"/>
      <c r="AB254" s="1498"/>
      <c r="AC254" s="1527"/>
      <c r="AD254" s="1527"/>
      <c r="AE254" s="1527"/>
      <c r="AF254" s="1527"/>
      <c r="AG254" s="1527"/>
      <c r="AH254" s="1527"/>
      <c r="AI254" s="1527"/>
      <c r="AJ254" s="1527"/>
      <c r="AK254" s="1527"/>
      <c r="AL254" s="1527"/>
    </row>
    <row r="255" spans="1:38" s="1485" customFormat="1">
      <c r="A255" s="1495"/>
      <c r="B255" s="1495"/>
      <c r="C255" s="1495"/>
      <c r="D255" s="1495"/>
      <c r="E255" s="1527"/>
      <c r="F255" s="1527"/>
      <c r="G255" s="1527"/>
      <c r="H255" s="1498"/>
      <c r="I255" s="1498"/>
      <c r="J255" s="1506"/>
      <c r="K255" s="1498"/>
      <c r="L255" s="1498"/>
      <c r="M255" s="1498"/>
      <c r="N255" s="1498"/>
      <c r="O255" s="1498"/>
      <c r="P255" s="1498"/>
      <c r="Q255" s="1506"/>
      <c r="R255" s="1498"/>
      <c r="S255" s="1498"/>
      <c r="T255" s="1498"/>
      <c r="U255" s="1498"/>
      <c r="V255" s="1498"/>
      <c r="W255" s="1498"/>
      <c r="X255" s="1498"/>
      <c r="Y255" s="1498"/>
      <c r="Z255" s="1498"/>
      <c r="AA255" s="1498"/>
      <c r="AB255" s="1498"/>
      <c r="AC255" s="1527"/>
      <c r="AD255" s="1527"/>
      <c r="AE255" s="1527"/>
      <c r="AF255" s="1527"/>
      <c r="AG255" s="1527"/>
      <c r="AH255" s="1527"/>
      <c r="AI255" s="1527"/>
      <c r="AJ255" s="1527"/>
      <c r="AK255" s="1527"/>
      <c r="AL255" s="1527"/>
    </row>
    <row r="256" spans="1:38" s="1485" customFormat="1">
      <c r="A256" s="1495"/>
      <c r="B256" s="1495"/>
      <c r="C256" s="1495"/>
      <c r="D256" s="1495"/>
      <c r="E256" s="1527"/>
      <c r="F256" s="1527"/>
      <c r="G256" s="1527"/>
      <c r="H256" s="1498"/>
      <c r="I256" s="1498"/>
      <c r="J256" s="1506"/>
      <c r="K256" s="1498"/>
      <c r="L256" s="1498"/>
      <c r="M256" s="1498"/>
      <c r="N256" s="1498"/>
      <c r="O256" s="1498"/>
      <c r="P256" s="1498"/>
      <c r="Q256" s="1506"/>
      <c r="R256" s="1498"/>
      <c r="S256" s="1498"/>
      <c r="T256" s="1498"/>
      <c r="U256" s="1498"/>
      <c r="V256" s="1498"/>
      <c r="W256" s="1498"/>
      <c r="X256" s="1498"/>
      <c r="Y256" s="1498"/>
      <c r="Z256" s="1498"/>
      <c r="AA256" s="1498"/>
      <c r="AB256" s="1498"/>
      <c r="AC256" s="1527"/>
      <c r="AD256" s="1527"/>
      <c r="AE256" s="1527"/>
      <c r="AF256" s="1527"/>
      <c r="AG256" s="1527"/>
      <c r="AH256" s="1527"/>
      <c r="AI256" s="1527"/>
      <c r="AJ256" s="1527"/>
      <c r="AK256" s="1527"/>
      <c r="AL256" s="1527"/>
    </row>
    <row r="257" spans="1:38" s="1485" customFormat="1">
      <c r="A257" s="1495"/>
      <c r="B257" s="1495"/>
      <c r="C257" s="1495"/>
      <c r="D257" s="1495"/>
      <c r="E257" s="1527"/>
      <c r="F257" s="1527"/>
      <c r="G257" s="1527"/>
      <c r="H257" s="1498"/>
      <c r="I257" s="1498"/>
      <c r="J257" s="1506"/>
      <c r="K257" s="1498"/>
      <c r="L257" s="1498"/>
      <c r="M257" s="1498"/>
      <c r="N257" s="1498"/>
      <c r="O257" s="1498"/>
      <c r="P257" s="1498"/>
      <c r="Q257" s="1506"/>
      <c r="R257" s="1498"/>
      <c r="S257" s="1498"/>
      <c r="T257" s="1498"/>
      <c r="U257" s="1498"/>
      <c r="V257" s="1498"/>
      <c r="W257" s="1498"/>
      <c r="X257" s="1498"/>
      <c r="Y257" s="1498"/>
      <c r="Z257" s="1498"/>
      <c r="AA257" s="1498"/>
      <c r="AB257" s="1498"/>
      <c r="AC257" s="1527"/>
      <c r="AD257" s="1527"/>
      <c r="AE257" s="1527"/>
      <c r="AF257" s="1527"/>
      <c r="AG257" s="1527"/>
      <c r="AH257" s="1527"/>
      <c r="AI257" s="1527"/>
      <c r="AJ257" s="1527"/>
      <c r="AK257" s="1527"/>
      <c r="AL257" s="1527"/>
    </row>
    <row r="258" spans="1:38" s="1485" customFormat="1">
      <c r="A258" s="1495"/>
      <c r="B258" s="1495"/>
      <c r="C258" s="1495"/>
      <c r="D258" s="1495"/>
      <c r="E258" s="1527"/>
      <c r="F258" s="1527"/>
      <c r="G258" s="1527"/>
      <c r="H258" s="1498"/>
      <c r="I258" s="1498"/>
      <c r="J258" s="1506"/>
      <c r="K258" s="1498"/>
      <c r="L258" s="1498"/>
      <c r="M258" s="1498"/>
      <c r="N258" s="1498"/>
      <c r="O258" s="1498"/>
      <c r="P258" s="1498"/>
      <c r="Q258" s="1506"/>
      <c r="R258" s="1498"/>
      <c r="S258" s="1498"/>
      <c r="T258" s="1498"/>
      <c r="U258" s="1498"/>
      <c r="V258" s="1498"/>
      <c r="W258" s="1498"/>
      <c r="X258" s="1498"/>
      <c r="Y258" s="1498"/>
      <c r="Z258" s="1498"/>
      <c r="AA258" s="1498"/>
      <c r="AB258" s="1498"/>
      <c r="AC258" s="1527"/>
      <c r="AD258" s="1527"/>
      <c r="AE258" s="1527"/>
      <c r="AF258" s="1527"/>
      <c r="AG258" s="1527"/>
      <c r="AH258" s="1527"/>
      <c r="AI258" s="1527"/>
      <c r="AJ258" s="1527"/>
      <c r="AK258" s="1527"/>
      <c r="AL258" s="1527"/>
    </row>
    <row r="259" spans="1:38" s="1485" customFormat="1">
      <c r="A259" s="1495"/>
      <c r="B259" s="1495"/>
      <c r="C259" s="1495"/>
      <c r="D259" s="1495"/>
      <c r="E259" s="1527"/>
      <c r="F259" s="1527"/>
      <c r="G259" s="1527"/>
      <c r="H259" s="1498"/>
      <c r="I259" s="1498"/>
      <c r="J259" s="1506"/>
      <c r="K259" s="1498"/>
      <c r="L259" s="1498"/>
      <c r="M259" s="1498"/>
      <c r="N259" s="1498"/>
      <c r="O259" s="1498"/>
      <c r="P259" s="1498"/>
      <c r="Q259" s="1506"/>
      <c r="R259" s="1498"/>
      <c r="S259" s="1498"/>
      <c r="T259" s="1498"/>
      <c r="U259" s="1498"/>
      <c r="V259" s="1498"/>
      <c r="W259" s="1498"/>
      <c r="X259" s="1498"/>
      <c r="Y259" s="1498"/>
      <c r="Z259" s="1498"/>
      <c r="AA259" s="1498"/>
      <c r="AB259" s="1498"/>
      <c r="AC259" s="1527"/>
      <c r="AD259" s="1527"/>
      <c r="AE259" s="1527"/>
      <c r="AF259" s="1527"/>
      <c r="AG259" s="1527"/>
      <c r="AH259" s="1527"/>
      <c r="AI259" s="1527"/>
      <c r="AJ259" s="1527"/>
      <c r="AK259" s="1527"/>
      <c r="AL259" s="1527"/>
    </row>
    <row r="260" spans="1:38" s="1485" customFormat="1">
      <c r="A260" s="1495"/>
      <c r="B260" s="1495"/>
      <c r="C260" s="1495"/>
      <c r="D260" s="1495"/>
      <c r="E260" s="1527"/>
      <c r="F260" s="1527"/>
      <c r="G260" s="1527"/>
      <c r="H260" s="1498"/>
      <c r="I260" s="1498"/>
      <c r="J260" s="1506"/>
      <c r="K260" s="1498"/>
      <c r="L260" s="1498"/>
      <c r="M260" s="1498"/>
      <c r="N260" s="1498"/>
      <c r="O260" s="1498"/>
      <c r="P260" s="1498"/>
      <c r="Q260" s="1506"/>
      <c r="R260" s="1498"/>
      <c r="S260" s="1498"/>
      <c r="T260" s="1498"/>
      <c r="U260" s="1498"/>
      <c r="V260" s="1498"/>
      <c r="W260" s="1498"/>
      <c r="X260" s="1498"/>
      <c r="Y260" s="1498"/>
      <c r="Z260" s="1498"/>
      <c r="AA260" s="1498"/>
      <c r="AB260" s="1498"/>
      <c r="AC260" s="1527"/>
      <c r="AD260" s="1527"/>
      <c r="AE260" s="1527"/>
      <c r="AF260" s="1527"/>
      <c r="AG260" s="1527"/>
      <c r="AH260" s="1527"/>
      <c r="AI260" s="1527"/>
      <c r="AJ260" s="1527"/>
      <c r="AK260" s="1527"/>
      <c r="AL260" s="1527"/>
    </row>
    <row r="261" spans="1:38" s="1485" customFormat="1">
      <c r="A261" s="1495"/>
      <c r="B261" s="1495"/>
      <c r="C261" s="1495"/>
      <c r="D261" s="1495"/>
      <c r="E261" s="1527"/>
      <c r="F261" s="1527"/>
      <c r="G261" s="1527"/>
      <c r="H261" s="1498"/>
      <c r="I261" s="1498"/>
      <c r="J261" s="1506"/>
      <c r="K261" s="1498"/>
      <c r="L261" s="1498"/>
      <c r="M261" s="1498"/>
      <c r="N261" s="1498"/>
      <c r="O261" s="1498"/>
      <c r="P261" s="1498"/>
      <c r="Q261" s="1506"/>
      <c r="R261" s="1498"/>
      <c r="S261" s="1498"/>
      <c r="T261" s="1498"/>
      <c r="U261" s="1498"/>
      <c r="V261" s="1498"/>
      <c r="W261" s="1498"/>
      <c r="X261" s="1498"/>
      <c r="Y261" s="1498"/>
      <c r="Z261" s="1498"/>
      <c r="AA261" s="1498"/>
      <c r="AB261" s="1498"/>
      <c r="AC261" s="1527"/>
      <c r="AD261" s="1527"/>
      <c r="AE261" s="1527"/>
      <c r="AF261" s="1527"/>
      <c r="AG261" s="1527"/>
      <c r="AH261" s="1527"/>
      <c r="AI261" s="1527"/>
      <c r="AJ261" s="1527"/>
      <c r="AK261" s="1527"/>
      <c r="AL261" s="1527"/>
    </row>
    <row r="262" spans="1:38" s="1485" customFormat="1">
      <c r="A262" s="1495"/>
      <c r="B262" s="1495"/>
      <c r="C262" s="1495"/>
      <c r="D262" s="1495"/>
      <c r="E262" s="1527"/>
      <c r="F262" s="1527"/>
      <c r="G262" s="1527"/>
      <c r="H262" s="1498"/>
      <c r="I262" s="1498"/>
      <c r="J262" s="1506"/>
      <c r="K262" s="1498"/>
      <c r="L262" s="1498"/>
      <c r="M262" s="1498"/>
      <c r="N262" s="1498"/>
      <c r="O262" s="1498"/>
      <c r="P262" s="1498"/>
      <c r="Q262" s="1506"/>
      <c r="R262" s="1498"/>
      <c r="S262" s="1498"/>
      <c r="T262" s="1498"/>
      <c r="U262" s="1498"/>
      <c r="V262" s="1498"/>
      <c r="W262" s="1498"/>
      <c r="X262" s="1498"/>
      <c r="Y262" s="1498"/>
      <c r="Z262" s="1498"/>
      <c r="AA262" s="1498"/>
      <c r="AB262" s="1498"/>
      <c r="AC262" s="1527"/>
      <c r="AD262" s="1527"/>
      <c r="AE262" s="1527"/>
      <c r="AF262" s="1527"/>
      <c r="AG262" s="1527"/>
      <c r="AH262" s="1527"/>
      <c r="AI262" s="1527"/>
      <c r="AJ262" s="1527"/>
      <c r="AK262" s="1527"/>
      <c r="AL262" s="1527"/>
    </row>
    <row r="263" spans="1:38" s="1485" customFormat="1">
      <c r="A263" s="1495"/>
      <c r="B263" s="1495"/>
      <c r="C263" s="1495"/>
      <c r="D263" s="1495"/>
      <c r="E263" s="1527"/>
      <c r="F263" s="1527"/>
      <c r="G263" s="1527"/>
      <c r="H263" s="1498"/>
      <c r="I263" s="1498"/>
      <c r="J263" s="1506"/>
      <c r="K263" s="1498"/>
      <c r="L263" s="1498"/>
      <c r="M263" s="1498"/>
      <c r="N263" s="1498"/>
      <c r="O263" s="1498"/>
      <c r="P263" s="1498"/>
      <c r="Q263" s="1506"/>
      <c r="R263" s="1498"/>
      <c r="S263" s="1498"/>
      <c r="T263" s="1498"/>
      <c r="U263" s="1498"/>
      <c r="V263" s="1498"/>
      <c r="W263" s="1498"/>
      <c r="X263" s="1498"/>
      <c r="Y263" s="1498"/>
      <c r="Z263" s="1498"/>
      <c r="AA263" s="1498"/>
      <c r="AB263" s="1498"/>
      <c r="AC263" s="1527"/>
      <c r="AD263" s="1527"/>
      <c r="AE263" s="1527"/>
      <c r="AF263" s="1527"/>
      <c r="AG263" s="1527"/>
      <c r="AH263" s="1527"/>
      <c r="AI263" s="1527"/>
      <c r="AJ263" s="1527"/>
      <c r="AK263" s="1527"/>
      <c r="AL263" s="1527"/>
    </row>
    <row r="264" spans="1:38" s="1485" customFormat="1">
      <c r="A264" s="1495"/>
      <c r="B264" s="1495"/>
      <c r="C264" s="1495"/>
      <c r="D264" s="1495"/>
      <c r="E264" s="1527"/>
      <c r="F264" s="1527"/>
      <c r="G264" s="1527"/>
      <c r="H264" s="1498"/>
      <c r="I264" s="1498"/>
      <c r="J264" s="1506"/>
      <c r="K264" s="1498"/>
      <c r="L264" s="1498"/>
      <c r="M264" s="1498"/>
      <c r="N264" s="1498"/>
      <c r="O264" s="1498"/>
      <c r="P264" s="1498"/>
      <c r="Q264" s="1506"/>
      <c r="R264" s="1498"/>
      <c r="S264" s="1498"/>
      <c r="T264" s="1498"/>
      <c r="U264" s="1498"/>
      <c r="V264" s="1498"/>
      <c r="W264" s="1498"/>
      <c r="X264" s="1498"/>
      <c r="Y264" s="1498"/>
      <c r="Z264" s="1498"/>
      <c r="AA264" s="1498"/>
      <c r="AB264" s="1498"/>
      <c r="AC264" s="1527"/>
      <c r="AD264" s="1527"/>
      <c r="AE264" s="1527"/>
      <c r="AF264" s="1527"/>
      <c r="AG264" s="1527"/>
      <c r="AH264" s="1527"/>
      <c r="AI264" s="1527"/>
      <c r="AJ264" s="1527"/>
      <c r="AK264" s="1527"/>
      <c r="AL264" s="1527"/>
    </row>
    <row r="265" spans="1:38" s="1485" customFormat="1">
      <c r="A265" s="1495"/>
      <c r="B265" s="1495"/>
      <c r="C265" s="1495"/>
      <c r="D265" s="1495"/>
      <c r="E265" s="1527"/>
      <c r="F265" s="1527"/>
      <c r="G265" s="1527"/>
      <c r="H265" s="1498"/>
      <c r="I265" s="1498"/>
      <c r="J265" s="1506"/>
      <c r="K265" s="1498"/>
      <c r="L265" s="1498"/>
      <c r="M265" s="1498"/>
      <c r="N265" s="1498"/>
      <c r="O265" s="1498"/>
      <c r="P265" s="1498"/>
      <c r="Q265" s="1506"/>
      <c r="R265" s="1498"/>
      <c r="S265" s="1498"/>
      <c r="T265" s="1498"/>
      <c r="U265" s="1498"/>
      <c r="V265" s="1498"/>
      <c r="W265" s="1498"/>
      <c r="X265" s="1498"/>
      <c r="Y265" s="1498"/>
      <c r="Z265" s="1498"/>
      <c r="AA265" s="1498"/>
      <c r="AB265" s="1498"/>
      <c r="AC265" s="1527"/>
      <c r="AD265" s="1527"/>
      <c r="AE265" s="1527"/>
      <c r="AF265" s="1527"/>
      <c r="AG265" s="1527"/>
      <c r="AH265" s="1527"/>
      <c r="AI265" s="1527"/>
      <c r="AJ265" s="1527"/>
      <c r="AK265" s="1527"/>
      <c r="AL265" s="1527"/>
    </row>
    <row r="266" spans="1:38" s="1485" customFormat="1">
      <c r="A266" s="1495"/>
      <c r="B266" s="1495"/>
      <c r="C266" s="1495"/>
      <c r="D266" s="1495"/>
      <c r="E266" s="1527"/>
      <c r="F266" s="1527"/>
      <c r="G266" s="1527"/>
      <c r="H266" s="1498"/>
      <c r="I266" s="1498"/>
      <c r="J266" s="1506"/>
      <c r="K266" s="1498"/>
      <c r="L266" s="1498"/>
      <c r="M266" s="1498"/>
      <c r="N266" s="1498"/>
      <c r="O266" s="1498"/>
      <c r="P266" s="1498"/>
      <c r="Q266" s="1506"/>
      <c r="R266" s="1498"/>
      <c r="S266" s="1498"/>
      <c r="T266" s="1498"/>
      <c r="U266" s="1498"/>
      <c r="V266" s="1498"/>
      <c r="W266" s="1498"/>
      <c r="X266" s="1498"/>
      <c r="Y266" s="1498"/>
      <c r="Z266" s="1498"/>
      <c r="AA266" s="1498"/>
      <c r="AB266" s="1498"/>
      <c r="AC266" s="1527"/>
      <c r="AD266" s="1527"/>
      <c r="AE266" s="1527"/>
      <c r="AF266" s="1527"/>
      <c r="AG266" s="1527"/>
      <c r="AH266" s="1527"/>
      <c r="AI266" s="1527"/>
      <c r="AJ266" s="1527"/>
      <c r="AK266" s="1527"/>
      <c r="AL266" s="1527"/>
    </row>
    <row r="267" spans="1:38" s="1485" customFormat="1">
      <c r="A267" s="1495"/>
      <c r="B267" s="1495"/>
      <c r="C267" s="1495"/>
      <c r="D267" s="1495"/>
      <c r="E267" s="1527"/>
      <c r="F267" s="1527"/>
      <c r="G267" s="1527"/>
      <c r="H267" s="1498"/>
      <c r="I267" s="1498"/>
      <c r="J267" s="1506"/>
      <c r="K267" s="1498"/>
      <c r="L267" s="1498"/>
      <c r="M267" s="1498"/>
      <c r="N267" s="1498"/>
      <c r="O267" s="1498"/>
      <c r="P267" s="1498"/>
      <c r="Q267" s="1506"/>
      <c r="R267" s="1498"/>
      <c r="S267" s="1498"/>
      <c r="T267" s="1498"/>
      <c r="U267" s="1498"/>
      <c r="V267" s="1498"/>
      <c r="W267" s="1498"/>
      <c r="X267" s="1498"/>
      <c r="Y267" s="1498"/>
      <c r="Z267" s="1498"/>
      <c r="AA267" s="1498"/>
      <c r="AB267" s="1498"/>
      <c r="AC267" s="1527"/>
      <c r="AD267" s="1527"/>
      <c r="AE267" s="1527"/>
      <c r="AF267" s="1527"/>
      <c r="AG267" s="1527"/>
      <c r="AH267" s="1527"/>
      <c r="AI267" s="1527"/>
      <c r="AJ267" s="1527"/>
      <c r="AK267" s="1527"/>
      <c r="AL267" s="1527"/>
    </row>
    <row r="268" spans="1:38" s="1485" customFormat="1">
      <c r="A268" s="1495"/>
      <c r="B268" s="1495"/>
      <c r="C268" s="1495"/>
      <c r="D268" s="1495"/>
      <c r="E268" s="1527"/>
      <c r="F268" s="1527"/>
      <c r="G268" s="1527"/>
      <c r="H268" s="1498"/>
      <c r="I268" s="1498"/>
      <c r="J268" s="1506"/>
      <c r="K268" s="1498"/>
      <c r="L268" s="1498"/>
      <c r="M268" s="1498"/>
      <c r="N268" s="1498"/>
      <c r="O268" s="1498"/>
      <c r="P268" s="1498"/>
      <c r="Q268" s="1506"/>
      <c r="R268" s="1498"/>
      <c r="S268" s="1498"/>
      <c r="T268" s="1498"/>
      <c r="U268" s="1498"/>
      <c r="V268" s="1498"/>
      <c r="W268" s="1498"/>
      <c r="X268" s="1498"/>
      <c r="Y268" s="1498"/>
      <c r="Z268" s="1498"/>
      <c r="AA268" s="1498"/>
      <c r="AB268" s="1498"/>
      <c r="AC268" s="1527"/>
      <c r="AD268" s="1527"/>
      <c r="AE268" s="1527"/>
      <c r="AF268" s="1527"/>
      <c r="AG268" s="1527"/>
      <c r="AH268" s="1527"/>
      <c r="AI268" s="1527"/>
      <c r="AJ268" s="1527"/>
      <c r="AK268" s="1527"/>
      <c r="AL268" s="1527"/>
    </row>
    <row r="269" spans="1:38" s="1485" customFormat="1">
      <c r="A269" s="1495"/>
      <c r="B269" s="1495"/>
      <c r="C269" s="1495"/>
      <c r="D269" s="1495"/>
      <c r="E269" s="1527"/>
      <c r="F269" s="1527"/>
      <c r="G269" s="1527"/>
      <c r="H269" s="1498"/>
      <c r="I269" s="1498"/>
      <c r="J269" s="1506"/>
      <c r="K269" s="1498"/>
      <c r="L269" s="1498"/>
      <c r="M269" s="1498"/>
      <c r="N269" s="1498"/>
      <c r="O269" s="1498"/>
      <c r="P269" s="1498"/>
      <c r="Q269" s="1506"/>
      <c r="R269" s="1498"/>
      <c r="S269" s="1498"/>
      <c r="T269" s="1498"/>
      <c r="U269" s="1498"/>
      <c r="V269" s="1498"/>
      <c r="W269" s="1498"/>
      <c r="X269" s="1498"/>
      <c r="Y269" s="1498"/>
      <c r="Z269" s="1498"/>
      <c r="AA269" s="1498"/>
      <c r="AB269" s="1498"/>
      <c r="AC269" s="1527"/>
      <c r="AD269" s="1527"/>
      <c r="AE269" s="1527"/>
      <c r="AF269" s="1527"/>
      <c r="AG269" s="1527"/>
      <c r="AH269" s="1527"/>
      <c r="AI269" s="1527"/>
      <c r="AJ269" s="1527"/>
      <c r="AK269" s="1527"/>
      <c r="AL269" s="1527"/>
    </row>
    <row r="270" spans="1:38" s="1485" customFormat="1">
      <c r="A270" s="1495"/>
      <c r="B270" s="1495"/>
      <c r="C270" s="1495"/>
      <c r="D270" s="1495"/>
      <c r="E270" s="1527"/>
      <c r="F270" s="1527"/>
      <c r="G270" s="1527"/>
      <c r="H270" s="1498"/>
      <c r="I270" s="1498"/>
      <c r="J270" s="1506"/>
      <c r="K270" s="1498"/>
      <c r="L270" s="1498"/>
      <c r="M270" s="1498"/>
      <c r="N270" s="1498"/>
      <c r="O270" s="1498"/>
      <c r="P270" s="1498"/>
      <c r="Q270" s="1506"/>
      <c r="R270" s="1498"/>
      <c r="S270" s="1498"/>
      <c r="T270" s="1498"/>
      <c r="U270" s="1498"/>
      <c r="V270" s="1498"/>
      <c r="W270" s="1498"/>
      <c r="X270" s="1498"/>
      <c r="Y270" s="1498"/>
      <c r="Z270" s="1498"/>
      <c r="AA270" s="1498"/>
      <c r="AB270" s="1498"/>
      <c r="AC270" s="1527"/>
      <c r="AD270" s="1527"/>
      <c r="AE270" s="1527"/>
      <c r="AF270" s="1527"/>
      <c r="AG270" s="1527"/>
      <c r="AH270" s="1527"/>
      <c r="AI270" s="1527"/>
      <c r="AJ270" s="1527"/>
      <c r="AK270" s="1527"/>
      <c r="AL270" s="1527"/>
    </row>
    <row r="271" spans="1:38" s="1485" customFormat="1">
      <c r="A271" s="1495"/>
      <c r="B271" s="1495"/>
      <c r="C271" s="1495"/>
      <c r="D271" s="1495"/>
      <c r="E271" s="1527"/>
      <c r="F271" s="1527"/>
      <c r="G271" s="1527"/>
      <c r="H271" s="1498"/>
      <c r="I271" s="1498"/>
      <c r="J271" s="1506"/>
      <c r="K271" s="1498"/>
      <c r="L271" s="1498"/>
      <c r="M271" s="1498"/>
      <c r="N271" s="1498"/>
      <c r="O271" s="1498"/>
      <c r="P271" s="1498"/>
      <c r="Q271" s="1506"/>
      <c r="R271" s="1498"/>
      <c r="S271" s="1498"/>
      <c r="T271" s="1498"/>
      <c r="U271" s="1498"/>
      <c r="V271" s="1498"/>
      <c r="W271" s="1498"/>
      <c r="X271" s="1498"/>
      <c r="Y271" s="1498"/>
      <c r="Z271" s="1498"/>
      <c r="AA271" s="1498"/>
      <c r="AB271" s="1498"/>
      <c r="AC271" s="1527"/>
      <c r="AD271" s="1527"/>
      <c r="AE271" s="1527"/>
      <c r="AF271" s="1527"/>
      <c r="AG271" s="1527"/>
      <c r="AH271" s="1527"/>
      <c r="AI271" s="1527"/>
      <c r="AJ271" s="1527"/>
      <c r="AK271" s="1527"/>
      <c r="AL271" s="1527"/>
    </row>
    <row r="272" spans="1:38" s="1485" customFormat="1">
      <c r="A272" s="1495"/>
      <c r="B272" s="1495"/>
      <c r="C272" s="1495"/>
      <c r="D272" s="1495"/>
      <c r="E272" s="1527"/>
      <c r="F272" s="1527"/>
      <c r="G272" s="1527"/>
      <c r="H272" s="1498"/>
      <c r="I272" s="1498"/>
      <c r="J272" s="1506"/>
      <c r="K272" s="1498"/>
      <c r="L272" s="1498"/>
      <c r="M272" s="1498"/>
      <c r="N272" s="1498"/>
      <c r="O272" s="1498"/>
      <c r="P272" s="1498"/>
      <c r="Q272" s="1506"/>
      <c r="R272" s="1498"/>
      <c r="S272" s="1498"/>
      <c r="T272" s="1498"/>
      <c r="U272" s="1498"/>
      <c r="V272" s="1498"/>
      <c r="W272" s="1498"/>
      <c r="X272" s="1498"/>
      <c r="Y272" s="1498"/>
      <c r="Z272" s="1498"/>
      <c r="AA272" s="1498"/>
      <c r="AB272" s="1498"/>
      <c r="AC272" s="1527"/>
      <c r="AD272" s="1527"/>
      <c r="AE272" s="1527"/>
      <c r="AF272" s="1527"/>
      <c r="AG272" s="1527"/>
      <c r="AH272" s="1527"/>
      <c r="AI272" s="1527"/>
      <c r="AJ272" s="1527"/>
      <c r="AK272" s="1527"/>
      <c r="AL272" s="1527"/>
    </row>
    <row r="273" spans="1:38" s="1485" customFormat="1">
      <c r="A273" s="1495"/>
      <c r="B273" s="1495"/>
      <c r="C273" s="1495"/>
      <c r="D273" s="1495"/>
      <c r="E273" s="1527"/>
      <c r="F273" s="1527"/>
      <c r="G273" s="1527"/>
      <c r="H273" s="1498"/>
      <c r="I273" s="1498"/>
      <c r="J273" s="1506"/>
      <c r="K273" s="1498"/>
      <c r="L273" s="1498"/>
      <c r="M273" s="1498"/>
      <c r="N273" s="1498"/>
      <c r="O273" s="1498"/>
      <c r="P273" s="1498"/>
      <c r="Q273" s="1506"/>
      <c r="R273" s="1498"/>
      <c r="S273" s="1498"/>
      <c r="T273" s="1498"/>
      <c r="U273" s="1498"/>
      <c r="V273" s="1498"/>
      <c r="W273" s="1498"/>
      <c r="X273" s="1498"/>
      <c r="Y273" s="1498"/>
      <c r="Z273" s="1498"/>
      <c r="AA273" s="1498"/>
      <c r="AB273" s="1498"/>
      <c r="AC273" s="1527"/>
      <c r="AD273" s="1527"/>
      <c r="AE273" s="1527"/>
      <c r="AF273" s="1527"/>
      <c r="AG273" s="1527"/>
      <c r="AH273" s="1527"/>
      <c r="AI273" s="1527"/>
      <c r="AJ273" s="1527"/>
      <c r="AK273" s="1527"/>
      <c r="AL273" s="1527"/>
    </row>
    <row r="274" spans="1:38" s="1485" customFormat="1">
      <c r="A274" s="1495"/>
      <c r="B274" s="1495"/>
      <c r="C274" s="1495"/>
      <c r="D274" s="1495"/>
      <c r="E274" s="1527"/>
      <c r="F274" s="1527"/>
      <c r="G274" s="1527"/>
      <c r="H274" s="1498"/>
      <c r="I274" s="1498"/>
      <c r="J274" s="1506"/>
      <c r="K274" s="1498"/>
      <c r="L274" s="1498"/>
      <c r="M274" s="1498"/>
      <c r="N274" s="1498"/>
      <c r="O274" s="1498"/>
      <c r="P274" s="1498"/>
      <c r="Q274" s="1506"/>
      <c r="R274" s="1498"/>
      <c r="S274" s="1498"/>
      <c r="T274" s="1498"/>
      <c r="U274" s="1498"/>
      <c r="V274" s="1498"/>
      <c r="W274" s="1498"/>
      <c r="X274" s="1498"/>
      <c r="Y274" s="1498"/>
      <c r="Z274" s="1498"/>
      <c r="AA274" s="1498"/>
      <c r="AB274" s="1498"/>
      <c r="AC274" s="1527"/>
      <c r="AD274" s="1527"/>
      <c r="AE274" s="1527"/>
      <c r="AF274" s="1527"/>
      <c r="AG274" s="1527"/>
      <c r="AH274" s="1527"/>
      <c r="AI274" s="1527"/>
      <c r="AJ274" s="1527"/>
      <c r="AK274" s="1527"/>
      <c r="AL274" s="1527"/>
    </row>
    <row r="275" spans="1:38" s="1485" customFormat="1">
      <c r="A275" s="1495"/>
      <c r="B275" s="1495"/>
      <c r="C275" s="1495"/>
      <c r="D275" s="1495"/>
      <c r="E275" s="1527"/>
      <c r="F275" s="1527"/>
      <c r="G275" s="1527"/>
      <c r="H275" s="1498"/>
      <c r="I275" s="1498"/>
      <c r="J275" s="1506"/>
      <c r="K275" s="1498"/>
      <c r="L275" s="1498"/>
      <c r="M275" s="1498"/>
      <c r="N275" s="1498"/>
      <c r="O275" s="1498"/>
      <c r="P275" s="1498"/>
      <c r="Q275" s="1506"/>
      <c r="R275" s="1498"/>
      <c r="S275" s="1498"/>
      <c r="T275" s="1498"/>
      <c r="U275" s="1498"/>
      <c r="V275" s="1498"/>
      <c r="W275" s="1498"/>
      <c r="X275" s="1498"/>
      <c r="Y275" s="1498"/>
      <c r="Z275" s="1498"/>
      <c r="AA275" s="1498"/>
      <c r="AB275" s="1498"/>
      <c r="AC275" s="1527"/>
      <c r="AD275" s="1527"/>
      <c r="AE275" s="1527"/>
      <c r="AF275" s="1527"/>
      <c r="AG275" s="1527"/>
      <c r="AH275" s="1527"/>
      <c r="AI275" s="1527"/>
      <c r="AJ275" s="1527"/>
      <c r="AK275" s="1527"/>
      <c r="AL275" s="1527"/>
    </row>
    <row r="276" spans="1:38" s="1485" customFormat="1">
      <c r="A276" s="1495"/>
      <c r="B276" s="1495"/>
      <c r="C276" s="1495"/>
      <c r="D276" s="1495"/>
      <c r="E276" s="1527"/>
      <c r="F276" s="1527"/>
      <c r="G276" s="1527"/>
      <c r="H276" s="1498"/>
      <c r="I276" s="1498"/>
      <c r="J276" s="1506"/>
      <c r="K276" s="1498"/>
      <c r="L276" s="1498"/>
      <c r="M276" s="1498"/>
      <c r="N276" s="1498"/>
      <c r="O276" s="1498"/>
      <c r="P276" s="1498"/>
      <c r="Q276" s="1506"/>
      <c r="R276" s="1498"/>
      <c r="S276" s="1498"/>
      <c r="T276" s="1498"/>
      <c r="U276" s="1498"/>
      <c r="V276" s="1498"/>
      <c r="W276" s="1498"/>
      <c r="X276" s="1498"/>
      <c r="Y276" s="1498"/>
      <c r="Z276" s="1498"/>
      <c r="AA276" s="1498"/>
      <c r="AB276" s="1498"/>
      <c r="AC276" s="1527"/>
      <c r="AD276" s="1527"/>
      <c r="AE276" s="1527"/>
      <c r="AF276" s="1527"/>
      <c r="AG276" s="1527"/>
      <c r="AH276" s="1527"/>
      <c r="AI276" s="1527"/>
      <c r="AJ276" s="1527"/>
      <c r="AK276" s="1527"/>
      <c r="AL276" s="1527"/>
    </row>
    <row r="277" spans="1:38" s="1485" customFormat="1">
      <c r="A277" s="1495"/>
      <c r="B277" s="1495"/>
      <c r="C277" s="1495"/>
      <c r="D277" s="1495"/>
      <c r="E277" s="1527"/>
      <c r="F277" s="1527"/>
      <c r="G277" s="1527"/>
      <c r="H277" s="1498"/>
      <c r="I277" s="1498"/>
      <c r="J277" s="1506"/>
      <c r="K277" s="1498"/>
      <c r="L277" s="1498"/>
      <c r="M277" s="1498"/>
      <c r="N277" s="1498"/>
      <c r="O277" s="1498"/>
      <c r="P277" s="1498"/>
      <c r="Q277" s="1506"/>
      <c r="R277" s="1498"/>
      <c r="S277" s="1498"/>
      <c r="T277" s="1498"/>
      <c r="U277" s="1498"/>
      <c r="V277" s="1498"/>
      <c r="W277" s="1498"/>
      <c r="X277" s="1498"/>
      <c r="Y277" s="1498"/>
      <c r="Z277" s="1498"/>
      <c r="AA277" s="1498"/>
      <c r="AB277" s="1498"/>
      <c r="AC277" s="1527"/>
      <c r="AD277" s="1527"/>
      <c r="AE277" s="1527"/>
      <c r="AF277" s="1527"/>
      <c r="AG277" s="1527"/>
      <c r="AH277" s="1527"/>
      <c r="AI277" s="1527"/>
      <c r="AJ277" s="1527"/>
      <c r="AK277" s="1527"/>
      <c r="AL277" s="1527"/>
    </row>
    <row r="278" spans="1:38" s="1485" customFormat="1">
      <c r="A278" s="1495"/>
      <c r="B278" s="1495"/>
      <c r="C278" s="1495"/>
      <c r="D278" s="1495"/>
      <c r="E278" s="1527"/>
      <c r="F278" s="1527"/>
      <c r="G278" s="1527"/>
      <c r="H278" s="1498"/>
      <c r="I278" s="1498"/>
      <c r="J278" s="1506"/>
      <c r="K278" s="1498"/>
      <c r="L278" s="1498"/>
      <c r="M278" s="1498"/>
      <c r="N278" s="1498"/>
      <c r="O278" s="1498"/>
      <c r="P278" s="1498"/>
      <c r="Q278" s="1506"/>
      <c r="R278" s="1498"/>
      <c r="S278" s="1498"/>
      <c r="T278" s="1498"/>
      <c r="U278" s="1498"/>
      <c r="V278" s="1498"/>
      <c r="W278" s="1498"/>
      <c r="X278" s="1498"/>
      <c r="Y278" s="1498"/>
      <c r="Z278" s="1498"/>
      <c r="AA278" s="1498"/>
      <c r="AB278" s="1498"/>
      <c r="AC278" s="1527"/>
      <c r="AD278" s="1527"/>
      <c r="AE278" s="1527"/>
      <c r="AF278" s="1527"/>
      <c r="AG278" s="1527"/>
      <c r="AH278" s="1527"/>
      <c r="AI278" s="1527"/>
      <c r="AJ278" s="1527"/>
      <c r="AK278" s="1527"/>
      <c r="AL278" s="1527"/>
    </row>
    <row r="279" spans="1:38" s="1485" customFormat="1">
      <c r="A279" s="1495"/>
      <c r="B279" s="1495"/>
      <c r="C279" s="1495"/>
      <c r="D279" s="1495"/>
      <c r="E279" s="1527"/>
      <c r="F279" s="1527"/>
      <c r="G279" s="1527"/>
      <c r="H279" s="1498"/>
      <c r="I279" s="1498"/>
      <c r="J279" s="1506"/>
      <c r="K279" s="1498"/>
      <c r="L279" s="1498"/>
      <c r="M279" s="1498"/>
      <c r="N279" s="1498"/>
      <c r="O279" s="1498"/>
      <c r="P279" s="1498"/>
      <c r="Q279" s="1506"/>
      <c r="R279" s="1498"/>
      <c r="S279" s="1498"/>
      <c r="T279" s="1498"/>
      <c r="U279" s="1498"/>
      <c r="V279" s="1498"/>
      <c r="W279" s="1498"/>
      <c r="X279" s="1498"/>
      <c r="Y279" s="1498"/>
      <c r="Z279" s="1498"/>
      <c r="AA279" s="1498"/>
      <c r="AB279" s="1498"/>
      <c r="AC279" s="1527"/>
      <c r="AD279" s="1527"/>
      <c r="AE279" s="1527"/>
      <c r="AF279" s="1527"/>
      <c r="AG279" s="1527"/>
      <c r="AH279" s="1527"/>
      <c r="AI279" s="1527"/>
      <c r="AJ279" s="1527"/>
      <c r="AK279" s="1527"/>
      <c r="AL279" s="1527"/>
    </row>
    <row r="280" spans="1:38" s="1485" customFormat="1">
      <c r="A280" s="1495"/>
      <c r="B280" s="1495"/>
      <c r="C280" s="1495"/>
      <c r="D280" s="1495"/>
      <c r="E280" s="1527"/>
      <c r="F280" s="1527"/>
      <c r="G280" s="1527"/>
      <c r="H280" s="1498"/>
      <c r="I280" s="1498"/>
      <c r="J280" s="1506"/>
      <c r="K280" s="1498"/>
      <c r="L280" s="1498"/>
      <c r="M280" s="1498"/>
      <c r="N280" s="1498"/>
      <c r="O280" s="1498"/>
      <c r="P280" s="1498"/>
      <c r="Q280" s="1506"/>
      <c r="R280" s="1498"/>
      <c r="S280" s="1498"/>
      <c r="T280" s="1498"/>
      <c r="U280" s="1498"/>
      <c r="V280" s="1498"/>
      <c r="W280" s="1498"/>
      <c r="X280" s="1498"/>
      <c r="Y280" s="1498"/>
      <c r="Z280" s="1498"/>
      <c r="AA280" s="1498"/>
      <c r="AB280" s="1498"/>
      <c r="AC280" s="1527"/>
      <c r="AD280" s="1527"/>
      <c r="AE280" s="1527"/>
      <c r="AF280" s="1527"/>
      <c r="AG280" s="1527"/>
      <c r="AH280" s="1527"/>
      <c r="AI280" s="1527"/>
      <c r="AJ280" s="1527"/>
      <c r="AK280" s="1527"/>
      <c r="AL280" s="1527"/>
    </row>
    <row r="281" spans="1:38" s="1485" customFormat="1">
      <c r="A281" s="1495"/>
      <c r="B281" s="1495"/>
      <c r="C281" s="1495"/>
      <c r="D281" s="1495"/>
      <c r="E281" s="1527"/>
      <c r="F281" s="1527"/>
      <c r="G281" s="1527"/>
      <c r="H281" s="1498"/>
      <c r="I281" s="1498"/>
      <c r="J281" s="1506"/>
      <c r="K281" s="1498"/>
      <c r="L281" s="1498"/>
      <c r="M281" s="1498"/>
      <c r="N281" s="1498"/>
      <c r="O281" s="1498"/>
      <c r="P281" s="1498"/>
      <c r="Q281" s="1506"/>
      <c r="R281" s="1498"/>
      <c r="S281" s="1498"/>
      <c r="T281" s="1498"/>
      <c r="U281" s="1498"/>
      <c r="V281" s="1498"/>
      <c r="W281" s="1498"/>
      <c r="X281" s="1498"/>
      <c r="Y281" s="1498"/>
      <c r="Z281" s="1498"/>
      <c r="AA281" s="1498"/>
      <c r="AB281" s="1498"/>
      <c r="AC281" s="1527"/>
      <c r="AD281" s="1527"/>
      <c r="AE281" s="1527"/>
      <c r="AF281" s="1527"/>
      <c r="AG281" s="1527"/>
      <c r="AH281" s="1527"/>
      <c r="AI281" s="1527"/>
      <c r="AJ281" s="1527"/>
      <c r="AK281" s="1527"/>
      <c r="AL281" s="1527"/>
    </row>
    <row r="282" spans="1:38" s="1485" customFormat="1">
      <c r="A282" s="1495"/>
      <c r="B282" s="1495"/>
      <c r="C282" s="1495"/>
      <c r="D282" s="1495"/>
      <c r="E282" s="1527"/>
      <c r="F282" s="1527"/>
      <c r="G282" s="1527"/>
      <c r="H282" s="1498"/>
      <c r="I282" s="1498"/>
      <c r="J282" s="1506"/>
      <c r="K282" s="1498"/>
      <c r="L282" s="1498"/>
      <c r="M282" s="1498"/>
      <c r="N282" s="1498"/>
      <c r="O282" s="1498"/>
      <c r="P282" s="1498"/>
      <c r="Q282" s="1506"/>
      <c r="R282" s="1498"/>
      <c r="S282" s="1498"/>
      <c r="T282" s="1498"/>
      <c r="U282" s="1498"/>
      <c r="V282" s="1498"/>
      <c r="W282" s="1498"/>
      <c r="X282" s="1498"/>
      <c r="Y282" s="1498"/>
      <c r="Z282" s="1498"/>
      <c r="AA282" s="1498"/>
      <c r="AB282" s="1498"/>
      <c r="AC282" s="1527"/>
      <c r="AD282" s="1527"/>
      <c r="AE282" s="1527"/>
      <c r="AF282" s="1527"/>
      <c r="AG282" s="1527"/>
      <c r="AH282" s="1527"/>
      <c r="AI282" s="1527"/>
      <c r="AJ282" s="1527"/>
      <c r="AK282" s="1527"/>
      <c r="AL282" s="1527"/>
    </row>
    <row r="283" spans="1:38" s="1485" customFormat="1">
      <c r="A283" s="1495"/>
      <c r="B283" s="1495"/>
      <c r="C283" s="1495"/>
      <c r="D283" s="1495"/>
      <c r="E283" s="1527"/>
      <c r="F283" s="1527"/>
      <c r="G283" s="1527"/>
      <c r="H283" s="1498"/>
      <c r="I283" s="1498"/>
      <c r="J283" s="1506"/>
      <c r="K283" s="1498"/>
      <c r="L283" s="1498"/>
      <c r="M283" s="1498"/>
      <c r="N283" s="1498"/>
      <c r="O283" s="1498"/>
      <c r="P283" s="1498"/>
      <c r="Q283" s="1506"/>
      <c r="R283" s="1498"/>
      <c r="S283" s="1498"/>
      <c r="T283" s="1498"/>
      <c r="U283" s="1498"/>
      <c r="V283" s="1498"/>
      <c r="W283" s="1498"/>
      <c r="X283" s="1498"/>
      <c r="Y283" s="1498"/>
      <c r="Z283" s="1498"/>
      <c r="AA283" s="1498"/>
      <c r="AB283" s="1498"/>
      <c r="AC283" s="1527"/>
      <c r="AD283" s="1527"/>
      <c r="AE283" s="1527"/>
      <c r="AF283" s="1527"/>
      <c r="AG283" s="1527"/>
      <c r="AH283" s="1527"/>
      <c r="AI283" s="1527"/>
      <c r="AJ283" s="1527"/>
      <c r="AK283" s="1527"/>
      <c r="AL283" s="1527"/>
    </row>
    <row r="284" spans="1:38" s="1485" customFormat="1">
      <c r="A284" s="1495"/>
      <c r="B284" s="1495"/>
      <c r="C284" s="1495"/>
      <c r="D284" s="1495"/>
      <c r="E284" s="1527"/>
      <c r="F284" s="1527"/>
      <c r="G284" s="1527"/>
      <c r="H284" s="1498"/>
      <c r="I284" s="1498"/>
      <c r="J284" s="1506"/>
      <c r="K284" s="1498"/>
      <c r="L284" s="1498"/>
      <c r="M284" s="1498"/>
      <c r="N284" s="1498"/>
      <c r="O284" s="1498"/>
      <c r="P284" s="1498"/>
      <c r="Q284" s="1506"/>
      <c r="R284" s="1498"/>
      <c r="S284" s="1498"/>
      <c r="T284" s="1498"/>
      <c r="U284" s="1498"/>
      <c r="V284" s="1498"/>
      <c r="W284" s="1498"/>
      <c r="X284" s="1498"/>
      <c r="Y284" s="1498"/>
      <c r="Z284" s="1498"/>
      <c r="AA284" s="1498"/>
      <c r="AB284" s="1498"/>
      <c r="AC284" s="1527"/>
      <c r="AD284" s="1527"/>
      <c r="AE284" s="1527"/>
      <c r="AF284" s="1527"/>
      <c r="AG284" s="1527"/>
      <c r="AH284" s="1527"/>
      <c r="AI284" s="1527"/>
      <c r="AJ284" s="1527"/>
      <c r="AK284" s="1527"/>
      <c r="AL284" s="1527"/>
    </row>
    <row r="285" spans="1:38" s="1485" customFormat="1">
      <c r="A285" s="1495"/>
      <c r="B285" s="1495"/>
      <c r="C285" s="1495"/>
      <c r="D285" s="1495"/>
      <c r="E285" s="1527"/>
      <c r="F285" s="1527"/>
      <c r="G285" s="1527"/>
      <c r="H285" s="1498"/>
      <c r="I285" s="1498"/>
      <c r="J285" s="1506"/>
      <c r="K285" s="1498"/>
      <c r="L285" s="1498"/>
      <c r="M285" s="1498"/>
      <c r="N285" s="1498"/>
      <c r="O285" s="1498"/>
      <c r="P285" s="1498"/>
      <c r="Q285" s="1506"/>
      <c r="R285" s="1498"/>
      <c r="S285" s="1498"/>
      <c r="T285" s="1498"/>
      <c r="U285" s="1498"/>
      <c r="V285" s="1498"/>
      <c r="W285" s="1498"/>
      <c r="X285" s="1498"/>
      <c r="Y285" s="1498"/>
      <c r="Z285" s="1498"/>
      <c r="AA285" s="1498"/>
      <c r="AB285" s="1498"/>
      <c r="AC285" s="1527"/>
      <c r="AD285" s="1527"/>
      <c r="AE285" s="1527"/>
      <c r="AF285" s="1527"/>
      <c r="AG285" s="1527"/>
      <c r="AH285" s="1527"/>
      <c r="AI285" s="1527"/>
      <c r="AJ285" s="1527"/>
      <c r="AK285" s="1527"/>
      <c r="AL285" s="1527"/>
    </row>
    <row r="286" spans="1:38" s="1485" customFormat="1">
      <c r="A286" s="1495"/>
      <c r="B286" s="1495"/>
      <c r="C286" s="1495"/>
      <c r="D286" s="1495"/>
      <c r="E286" s="1527"/>
      <c r="F286" s="1527"/>
      <c r="G286" s="1527"/>
      <c r="H286" s="1498"/>
      <c r="I286" s="1498"/>
      <c r="J286" s="1506"/>
      <c r="K286" s="1498"/>
      <c r="L286" s="1498"/>
      <c r="M286" s="1498"/>
      <c r="N286" s="1498"/>
      <c r="O286" s="1498"/>
      <c r="P286" s="1498"/>
      <c r="Q286" s="1506"/>
      <c r="R286" s="1498"/>
      <c r="S286" s="1498"/>
      <c r="T286" s="1498"/>
      <c r="U286" s="1498"/>
      <c r="V286" s="1498"/>
      <c r="W286" s="1498"/>
      <c r="X286" s="1498"/>
      <c r="Y286" s="1498"/>
      <c r="Z286" s="1498"/>
      <c r="AA286" s="1498"/>
      <c r="AB286" s="1498"/>
      <c r="AC286" s="1527"/>
      <c r="AD286" s="1527"/>
      <c r="AE286" s="1527"/>
      <c r="AF286" s="1527"/>
      <c r="AG286" s="1527"/>
      <c r="AH286" s="1527"/>
      <c r="AI286" s="1527"/>
      <c r="AJ286" s="1527"/>
      <c r="AK286" s="1527"/>
      <c r="AL286" s="1527"/>
    </row>
    <row r="287" spans="1:38" s="1485" customFormat="1">
      <c r="A287" s="1495"/>
      <c r="B287" s="1495"/>
      <c r="C287" s="1495"/>
      <c r="D287" s="1495"/>
      <c r="E287" s="1527"/>
      <c r="F287" s="1527"/>
      <c r="G287" s="1527"/>
      <c r="H287" s="1498"/>
      <c r="I287" s="1498"/>
      <c r="J287" s="1506"/>
      <c r="K287" s="1498"/>
      <c r="L287" s="1498"/>
      <c r="M287" s="1498"/>
      <c r="N287" s="1498"/>
      <c r="O287" s="1498"/>
      <c r="P287" s="1498"/>
      <c r="Q287" s="1506"/>
      <c r="R287" s="1498"/>
      <c r="S287" s="1498"/>
      <c r="T287" s="1498"/>
      <c r="U287" s="1498"/>
      <c r="V287" s="1498"/>
      <c r="W287" s="1498"/>
      <c r="X287" s="1498"/>
      <c r="Y287" s="1498"/>
      <c r="Z287" s="1498"/>
      <c r="AA287" s="1498"/>
      <c r="AB287" s="1498"/>
      <c r="AC287" s="1527"/>
      <c r="AD287" s="1527"/>
      <c r="AE287" s="1527"/>
      <c r="AF287" s="1527"/>
      <c r="AG287" s="1527"/>
      <c r="AH287" s="1527"/>
      <c r="AI287" s="1527"/>
      <c r="AJ287" s="1527"/>
      <c r="AK287" s="1527"/>
      <c r="AL287" s="1527"/>
    </row>
    <row r="288" spans="1:38" s="1485" customFormat="1">
      <c r="A288" s="1495"/>
      <c r="B288" s="1495"/>
      <c r="C288" s="1495"/>
      <c r="D288" s="1495"/>
      <c r="E288" s="1527"/>
      <c r="F288" s="1527"/>
      <c r="G288" s="1527"/>
      <c r="H288" s="1498"/>
      <c r="I288" s="1498"/>
      <c r="J288" s="1506"/>
      <c r="K288" s="1498"/>
      <c r="L288" s="1498"/>
      <c r="M288" s="1498"/>
      <c r="N288" s="1498"/>
      <c r="O288" s="1498"/>
      <c r="P288" s="1498"/>
      <c r="Q288" s="1506"/>
      <c r="R288" s="1498"/>
      <c r="S288" s="1498"/>
      <c r="T288" s="1498"/>
      <c r="U288" s="1498"/>
      <c r="V288" s="1498"/>
      <c r="W288" s="1498"/>
      <c r="X288" s="1498"/>
      <c r="Y288" s="1498"/>
      <c r="Z288" s="1498"/>
      <c r="AA288" s="1498"/>
      <c r="AB288" s="1498"/>
      <c r="AC288" s="1527"/>
      <c r="AD288" s="1527"/>
      <c r="AE288" s="1527"/>
      <c r="AF288" s="1527"/>
      <c r="AG288" s="1527"/>
      <c r="AH288" s="1527"/>
      <c r="AI288" s="1527"/>
      <c r="AJ288" s="1527"/>
      <c r="AK288" s="1527"/>
      <c r="AL288" s="1527"/>
    </row>
    <row r="289" spans="1:38" s="1485" customFormat="1">
      <c r="A289" s="1495"/>
      <c r="B289" s="1495"/>
      <c r="C289" s="1495"/>
      <c r="D289" s="1495"/>
      <c r="E289" s="1527"/>
      <c r="F289" s="1527"/>
      <c r="G289" s="1527"/>
      <c r="H289" s="1498"/>
      <c r="I289" s="1498"/>
      <c r="J289" s="1506"/>
      <c r="K289" s="1498"/>
      <c r="L289" s="1498"/>
      <c r="M289" s="1498"/>
      <c r="N289" s="1498"/>
      <c r="O289" s="1498"/>
      <c r="P289" s="1498"/>
      <c r="Q289" s="1506"/>
      <c r="R289" s="1498"/>
      <c r="S289" s="1498"/>
      <c r="T289" s="1498"/>
      <c r="U289" s="1498"/>
      <c r="V289" s="1498"/>
      <c r="W289" s="1498"/>
      <c r="X289" s="1498"/>
      <c r="Y289" s="1498"/>
      <c r="Z289" s="1498"/>
      <c r="AA289" s="1498"/>
      <c r="AB289" s="1498"/>
      <c r="AC289" s="1527"/>
      <c r="AD289" s="1527"/>
      <c r="AE289" s="1527"/>
      <c r="AF289" s="1527"/>
      <c r="AG289" s="1527"/>
      <c r="AH289" s="1527"/>
      <c r="AI289" s="1527"/>
      <c r="AJ289" s="1527"/>
      <c r="AK289" s="1527"/>
      <c r="AL289" s="1527"/>
    </row>
    <row r="290" spans="1:38" s="1485" customFormat="1">
      <c r="A290" s="1495"/>
      <c r="B290" s="1495"/>
      <c r="C290" s="1495"/>
      <c r="D290" s="1495"/>
      <c r="E290" s="1527"/>
      <c r="F290" s="1527"/>
      <c r="G290" s="1527"/>
      <c r="H290" s="1498"/>
      <c r="I290" s="1498"/>
      <c r="J290" s="1506"/>
      <c r="K290" s="1498"/>
      <c r="L290" s="1498"/>
      <c r="M290" s="1498"/>
      <c r="N290" s="1498"/>
      <c r="O290" s="1498"/>
      <c r="P290" s="1498"/>
      <c r="Q290" s="1506"/>
      <c r="R290" s="1498"/>
      <c r="S290" s="1498"/>
      <c r="T290" s="1498"/>
      <c r="U290" s="1498"/>
      <c r="V290" s="1498"/>
      <c r="W290" s="1498"/>
      <c r="X290" s="1498"/>
      <c r="Y290" s="1498"/>
      <c r="Z290" s="1498"/>
      <c r="AA290" s="1498"/>
      <c r="AB290" s="1498"/>
      <c r="AC290" s="1527"/>
      <c r="AD290" s="1527"/>
      <c r="AE290" s="1527"/>
      <c r="AF290" s="1527"/>
      <c r="AG290" s="1527"/>
      <c r="AH290" s="1527"/>
      <c r="AI290" s="1527"/>
      <c r="AJ290" s="1527"/>
      <c r="AK290" s="1527"/>
      <c r="AL290" s="1527"/>
    </row>
    <row r="291" spans="1:38" s="1485" customFormat="1">
      <c r="A291" s="1495"/>
      <c r="B291" s="1495"/>
      <c r="C291" s="1495"/>
      <c r="D291" s="1495"/>
      <c r="E291" s="1527"/>
      <c r="F291" s="1527"/>
      <c r="G291" s="1527"/>
      <c r="H291" s="1498"/>
      <c r="I291" s="1498"/>
      <c r="J291" s="1506"/>
      <c r="K291" s="1498"/>
      <c r="L291" s="1498"/>
      <c r="M291" s="1498"/>
      <c r="N291" s="1498"/>
      <c r="O291" s="1498"/>
      <c r="P291" s="1498"/>
      <c r="Q291" s="1506"/>
      <c r="R291" s="1498"/>
      <c r="S291" s="1498"/>
      <c r="T291" s="1498"/>
      <c r="U291" s="1498"/>
      <c r="V291" s="1498"/>
      <c r="W291" s="1498"/>
      <c r="X291" s="1498"/>
      <c r="Y291" s="1498"/>
      <c r="Z291" s="1498"/>
      <c r="AA291" s="1498"/>
      <c r="AB291" s="1498"/>
      <c r="AC291" s="1527"/>
      <c r="AD291" s="1527"/>
      <c r="AE291" s="1527"/>
      <c r="AF291" s="1527"/>
      <c r="AG291" s="1527"/>
      <c r="AH291" s="1527"/>
      <c r="AI291" s="1527"/>
      <c r="AJ291" s="1527"/>
      <c r="AK291" s="1527"/>
      <c r="AL291" s="1527"/>
    </row>
    <row r="292" spans="1:38" s="1485" customFormat="1">
      <c r="A292" s="1495"/>
      <c r="B292" s="1495"/>
      <c r="C292" s="1495"/>
      <c r="D292" s="1495"/>
      <c r="E292" s="1527"/>
      <c r="F292" s="1527"/>
      <c r="G292" s="1527"/>
      <c r="H292" s="1498"/>
      <c r="I292" s="1498"/>
      <c r="J292" s="1506"/>
      <c r="K292" s="1498"/>
      <c r="L292" s="1498"/>
      <c r="M292" s="1498"/>
      <c r="N292" s="1498"/>
      <c r="O292" s="1498"/>
      <c r="P292" s="1498"/>
      <c r="Q292" s="1506"/>
      <c r="R292" s="1498"/>
      <c r="S292" s="1498"/>
      <c r="T292" s="1498"/>
      <c r="U292" s="1498"/>
      <c r="V292" s="1498"/>
      <c r="W292" s="1498"/>
      <c r="X292" s="1498"/>
      <c r="Y292" s="1498"/>
      <c r="Z292" s="1498"/>
      <c r="AA292" s="1498"/>
      <c r="AB292" s="1498"/>
      <c r="AC292" s="1527"/>
      <c r="AD292" s="1527"/>
      <c r="AE292" s="1527"/>
      <c r="AF292" s="1527"/>
      <c r="AG292" s="1527"/>
      <c r="AH292" s="1527"/>
      <c r="AI292" s="1527"/>
      <c r="AJ292" s="1527"/>
      <c r="AK292" s="1527"/>
      <c r="AL292" s="1527"/>
    </row>
    <row r="293" spans="1:38" s="1485" customFormat="1">
      <c r="A293" s="1495"/>
      <c r="B293" s="1495"/>
      <c r="C293" s="1495"/>
      <c r="D293" s="1495"/>
      <c r="E293" s="1527"/>
      <c r="F293" s="1527"/>
      <c r="G293" s="1527"/>
      <c r="H293" s="1498"/>
      <c r="I293" s="1498"/>
      <c r="J293" s="1506"/>
      <c r="K293" s="1498"/>
      <c r="L293" s="1498"/>
      <c r="M293" s="1498"/>
      <c r="N293" s="1498"/>
      <c r="O293" s="1498"/>
      <c r="P293" s="1498"/>
      <c r="Q293" s="1506"/>
      <c r="R293" s="1498"/>
      <c r="S293" s="1498"/>
      <c r="T293" s="1498"/>
      <c r="U293" s="1498"/>
      <c r="V293" s="1498"/>
      <c r="W293" s="1498"/>
      <c r="X293" s="1498"/>
      <c r="Y293" s="1498"/>
      <c r="Z293" s="1498"/>
      <c r="AA293" s="1498"/>
      <c r="AB293" s="1498"/>
      <c r="AC293" s="1527"/>
      <c r="AD293" s="1527"/>
      <c r="AE293" s="1527"/>
      <c r="AF293" s="1527"/>
      <c r="AG293" s="1527"/>
      <c r="AH293" s="1527"/>
      <c r="AI293" s="1527"/>
      <c r="AJ293" s="1527"/>
      <c r="AK293" s="1527"/>
      <c r="AL293" s="1527"/>
    </row>
    <row r="294" spans="1:38" s="1485" customFormat="1">
      <c r="A294" s="1495"/>
      <c r="B294" s="1495"/>
      <c r="C294" s="1495"/>
      <c r="D294" s="1495"/>
      <c r="E294" s="1527"/>
      <c r="F294" s="1527"/>
      <c r="G294" s="1527"/>
      <c r="H294" s="1498"/>
      <c r="I294" s="1498"/>
      <c r="J294" s="1506"/>
      <c r="K294" s="1498"/>
      <c r="L294" s="1498"/>
      <c r="M294" s="1498"/>
      <c r="N294" s="1498"/>
      <c r="O294" s="1498"/>
      <c r="P294" s="1498"/>
      <c r="Q294" s="1506"/>
      <c r="R294" s="1498"/>
      <c r="S294" s="1498"/>
      <c r="T294" s="1498"/>
      <c r="U294" s="1498"/>
      <c r="V294" s="1498"/>
      <c r="W294" s="1498"/>
      <c r="X294" s="1498"/>
      <c r="Y294" s="1498"/>
      <c r="Z294" s="1498"/>
      <c r="AA294" s="1498"/>
      <c r="AB294" s="1498"/>
      <c r="AC294" s="1527"/>
      <c r="AD294" s="1527"/>
      <c r="AE294" s="1527"/>
      <c r="AF294" s="1527"/>
      <c r="AG294" s="1527"/>
      <c r="AH294" s="1527"/>
      <c r="AI294" s="1527"/>
      <c r="AJ294" s="1527"/>
      <c r="AK294" s="1527"/>
      <c r="AL294" s="1527"/>
    </row>
    <row r="295" spans="1:38" s="1485" customFormat="1">
      <c r="A295" s="1495"/>
      <c r="B295" s="1495"/>
      <c r="C295" s="1495"/>
      <c r="D295" s="1495"/>
      <c r="E295" s="1527"/>
      <c r="F295" s="1527"/>
      <c r="G295" s="1527"/>
      <c r="H295" s="1498"/>
      <c r="I295" s="1498"/>
      <c r="J295" s="1506"/>
      <c r="K295" s="1498"/>
      <c r="L295" s="1498"/>
      <c r="M295" s="1498"/>
      <c r="N295" s="1498"/>
      <c r="O295" s="1498"/>
      <c r="P295" s="1498"/>
      <c r="Q295" s="1506"/>
      <c r="R295" s="1498"/>
      <c r="S295" s="1498"/>
      <c r="T295" s="1498"/>
      <c r="U295" s="1498"/>
      <c r="V295" s="1498"/>
      <c r="W295" s="1498"/>
      <c r="X295" s="1498"/>
      <c r="Y295" s="1498"/>
      <c r="Z295" s="1498"/>
      <c r="AA295" s="1498"/>
      <c r="AB295" s="1498"/>
      <c r="AC295" s="1527"/>
      <c r="AD295" s="1527"/>
      <c r="AE295" s="1527"/>
      <c r="AF295" s="1527"/>
      <c r="AG295" s="1527"/>
      <c r="AH295" s="1527"/>
      <c r="AI295" s="1527"/>
      <c r="AJ295" s="1527"/>
      <c r="AK295" s="1527"/>
      <c r="AL295" s="1527"/>
    </row>
    <row r="296" spans="1:38" s="1485" customFormat="1">
      <c r="A296" s="1495"/>
      <c r="B296" s="1495"/>
      <c r="C296" s="1495"/>
      <c r="D296" s="1495"/>
      <c r="E296" s="1527"/>
      <c r="F296" s="1527"/>
      <c r="G296" s="1527"/>
      <c r="H296" s="1498"/>
      <c r="I296" s="1498"/>
      <c r="J296" s="1506"/>
      <c r="K296" s="1498"/>
      <c r="L296" s="1498"/>
      <c r="M296" s="1498"/>
      <c r="N296" s="1498"/>
      <c r="O296" s="1498"/>
      <c r="P296" s="1498"/>
      <c r="Q296" s="1506"/>
      <c r="R296" s="1498"/>
      <c r="S296" s="1498"/>
      <c r="T296" s="1498"/>
      <c r="U296" s="1498"/>
      <c r="V296" s="1498"/>
      <c r="W296" s="1498"/>
      <c r="X296" s="1498"/>
      <c r="Y296" s="1498"/>
      <c r="Z296" s="1498"/>
      <c r="AA296" s="1498"/>
      <c r="AB296" s="1498"/>
      <c r="AC296" s="1527"/>
      <c r="AD296" s="1527"/>
      <c r="AE296" s="1527"/>
      <c r="AF296" s="1527"/>
      <c r="AG296" s="1527"/>
      <c r="AH296" s="1527"/>
      <c r="AI296" s="1527"/>
      <c r="AJ296" s="1527"/>
      <c r="AK296" s="1527"/>
      <c r="AL296" s="1527"/>
    </row>
    <row r="297" spans="1:38" s="1485" customFormat="1">
      <c r="A297" s="1495"/>
      <c r="B297" s="1495"/>
      <c r="C297" s="1495"/>
      <c r="D297" s="1495"/>
      <c r="E297" s="1527"/>
      <c r="F297" s="1527"/>
      <c r="G297" s="1527"/>
      <c r="H297" s="1498"/>
      <c r="I297" s="1498"/>
      <c r="J297" s="1506"/>
      <c r="K297" s="1498"/>
      <c r="L297" s="1498"/>
      <c r="M297" s="1498"/>
      <c r="N297" s="1498"/>
      <c r="O297" s="1498"/>
      <c r="P297" s="1498"/>
      <c r="Q297" s="1506"/>
      <c r="R297" s="1498"/>
      <c r="S297" s="1498"/>
      <c r="T297" s="1498"/>
      <c r="U297" s="1498"/>
      <c r="V297" s="1498"/>
      <c r="W297" s="1498"/>
      <c r="X297" s="1498"/>
      <c r="Y297" s="1498"/>
      <c r="Z297" s="1498"/>
      <c r="AA297" s="1498"/>
      <c r="AB297" s="1498"/>
      <c r="AC297" s="1527"/>
      <c r="AD297" s="1527"/>
      <c r="AE297" s="1527"/>
      <c r="AF297" s="1527"/>
      <c r="AG297" s="1527"/>
      <c r="AH297" s="1527"/>
      <c r="AI297" s="1527"/>
      <c r="AJ297" s="1527"/>
      <c r="AK297" s="1527"/>
      <c r="AL297" s="1527"/>
    </row>
    <row r="298" spans="1:38" s="1485" customFormat="1">
      <c r="A298" s="1495"/>
      <c r="B298" s="1495"/>
      <c r="C298" s="1495"/>
      <c r="D298" s="1495"/>
      <c r="E298" s="1527"/>
      <c r="F298" s="1527"/>
      <c r="G298" s="1527"/>
      <c r="H298" s="1498"/>
      <c r="I298" s="1498"/>
      <c r="J298" s="1506"/>
      <c r="K298" s="1498"/>
      <c r="L298" s="1498"/>
      <c r="M298" s="1498"/>
      <c r="N298" s="1498"/>
      <c r="O298" s="1498"/>
      <c r="P298" s="1498"/>
      <c r="Q298" s="1506"/>
      <c r="R298" s="1498"/>
      <c r="S298" s="1498"/>
      <c r="T298" s="1498"/>
      <c r="U298" s="1498"/>
      <c r="V298" s="1498"/>
      <c r="W298" s="1498"/>
      <c r="X298" s="1498"/>
      <c r="Y298" s="1498"/>
      <c r="Z298" s="1498"/>
      <c r="AA298" s="1498"/>
      <c r="AB298" s="1498"/>
      <c r="AC298" s="1527"/>
      <c r="AD298" s="1527"/>
      <c r="AE298" s="1527"/>
      <c r="AF298" s="1527"/>
      <c r="AG298" s="1527"/>
      <c r="AH298" s="1527"/>
      <c r="AI298" s="1527"/>
      <c r="AJ298" s="1527"/>
      <c r="AK298" s="1527"/>
      <c r="AL298" s="1527"/>
    </row>
    <row r="299" spans="1:38" s="1485" customFormat="1">
      <c r="A299" s="1495"/>
      <c r="B299" s="1495"/>
      <c r="C299" s="1495"/>
      <c r="D299" s="1495"/>
      <c r="E299" s="1527"/>
      <c r="F299" s="1527"/>
      <c r="G299" s="1527"/>
      <c r="H299" s="1498"/>
      <c r="I299" s="1498"/>
      <c r="J299" s="1506"/>
      <c r="K299" s="1498"/>
      <c r="L299" s="1498"/>
      <c r="M299" s="1498"/>
      <c r="N299" s="1498"/>
      <c r="O299" s="1498"/>
      <c r="P299" s="1498"/>
      <c r="Q299" s="1506"/>
      <c r="R299" s="1498"/>
      <c r="S299" s="1498"/>
      <c r="T299" s="1498"/>
      <c r="U299" s="1498"/>
      <c r="V299" s="1498"/>
      <c r="W299" s="1498"/>
      <c r="X299" s="1498"/>
      <c r="Y299" s="1498"/>
      <c r="Z299" s="1498"/>
      <c r="AA299" s="1498"/>
      <c r="AB299" s="1498"/>
      <c r="AC299" s="1527"/>
      <c r="AD299" s="1527"/>
      <c r="AE299" s="1527"/>
      <c r="AF299" s="1527"/>
      <c r="AG299" s="1527"/>
      <c r="AH299" s="1527"/>
      <c r="AI299" s="1527"/>
      <c r="AJ299" s="1527"/>
      <c r="AK299" s="1527"/>
      <c r="AL299" s="1527"/>
    </row>
    <row r="300" spans="1:38" s="1485" customFormat="1">
      <c r="A300" s="1495"/>
      <c r="B300" s="1495"/>
      <c r="C300" s="1495"/>
      <c r="D300" s="1495"/>
      <c r="E300" s="1527"/>
      <c r="F300" s="1527"/>
      <c r="G300" s="1527"/>
      <c r="H300" s="1498"/>
      <c r="I300" s="1498"/>
      <c r="J300" s="1506"/>
      <c r="K300" s="1498"/>
      <c r="L300" s="1498"/>
      <c r="M300" s="1498"/>
      <c r="N300" s="1498"/>
      <c r="O300" s="1498"/>
      <c r="P300" s="1498"/>
      <c r="Q300" s="1506"/>
      <c r="R300" s="1498"/>
      <c r="S300" s="1498"/>
      <c r="T300" s="1498"/>
      <c r="U300" s="1498"/>
      <c r="V300" s="1498"/>
      <c r="W300" s="1498"/>
      <c r="X300" s="1498"/>
      <c r="Y300" s="1498"/>
      <c r="Z300" s="1498"/>
      <c r="AA300" s="1498"/>
      <c r="AB300" s="1498"/>
      <c r="AC300" s="1527"/>
      <c r="AD300" s="1527"/>
      <c r="AE300" s="1527"/>
      <c r="AF300" s="1527"/>
      <c r="AG300" s="1527"/>
      <c r="AH300" s="1527"/>
      <c r="AI300" s="1527"/>
      <c r="AJ300" s="1527"/>
      <c r="AK300" s="1527"/>
      <c r="AL300" s="1527"/>
    </row>
    <row r="301" spans="1:38" s="1485" customFormat="1">
      <c r="A301" s="1495"/>
      <c r="B301" s="1495"/>
      <c r="C301" s="1495"/>
      <c r="D301" s="1495"/>
      <c r="E301" s="1527"/>
      <c r="F301" s="1527"/>
      <c r="G301" s="1527"/>
      <c r="H301" s="1498"/>
      <c r="I301" s="1498"/>
      <c r="J301" s="1506"/>
      <c r="K301" s="1498"/>
      <c r="L301" s="1498"/>
      <c r="M301" s="1498"/>
      <c r="N301" s="1498"/>
      <c r="O301" s="1498"/>
      <c r="P301" s="1498"/>
      <c r="Q301" s="1506"/>
      <c r="R301" s="1498"/>
      <c r="S301" s="1498"/>
      <c r="T301" s="1498"/>
      <c r="U301" s="1498"/>
      <c r="V301" s="1498"/>
      <c r="W301" s="1498"/>
      <c r="X301" s="1498"/>
      <c r="Y301" s="1498"/>
      <c r="Z301" s="1498"/>
      <c r="AA301" s="1498"/>
      <c r="AB301" s="1498"/>
      <c r="AC301" s="1527"/>
      <c r="AD301" s="1527"/>
      <c r="AE301" s="1527"/>
      <c r="AF301" s="1527"/>
      <c r="AG301" s="1527"/>
      <c r="AH301" s="1527"/>
      <c r="AI301" s="1527"/>
      <c r="AJ301" s="1527"/>
      <c r="AK301" s="1527"/>
      <c r="AL301" s="1527"/>
    </row>
    <row r="302" spans="1:38" s="1485" customFormat="1">
      <c r="A302" s="1495"/>
      <c r="B302" s="1495"/>
      <c r="C302" s="1495"/>
      <c r="D302" s="1495"/>
      <c r="E302" s="1527"/>
      <c r="F302" s="1527"/>
      <c r="G302" s="1527"/>
      <c r="H302" s="1498"/>
      <c r="I302" s="1498"/>
      <c r="J302" s="1506"/>
      <c r="K302" s="1498"/>
      <c r="L302" s="1498"/>
      <c r="M302" s="1498"/>
      <c r="N302" s="1498"/>
      <c r="O302" s="1498"/>
      <c r="P302" s="1498"/>
      <c r="Q302" s="1506"/>
      <c r="R302" s="1498"/>
      <c r="S302" s="1498"/>
      <c r="T302" s="1498"/>
      <c r="U302" s="1498"/>
      <c r="V302" s="1498"/>
      <c r="W302" s="1498"/>
      <c r="X302" s="1498"/>
      <c r="Y302" s="1498"/>
      <c r="Z302" s="1498"/>
      <c r="AA302" s="1498"/>
      <c r="AB302" s="1498"/>
      <c r="AC302" s="1527"/>
      <c r="AD302" s="1527"/>
      <c r="AE302" s="1527"/>
      <c r="AF302" s="1527"/>
      <c r="AG302" s="1527"/>
      <c r="AH302" s="1527"/>
      <c r="AI302" s="1527"/>
      <c r="AJ302" s="1527"/>
      <c r="AK302" s="1527"/>
      <c r="AL302" s="1527"/>
    </row>
    <row r="303" spans="1:38" s="1485" customFormat="1">
      <c r="A303" s="1495"/>
      <c r="B303" s="1495"/>
      <c r="C303" s="1495"/>
      <c r="D303" s="1495"/>
      <c r="E303" s="1527"/>
      <c r="F303" s="1527"/>
      <c r="G303" s="1527"/>
      <c r="H303" s="1498"/>
      <c r="I303" s="1498"/>
      <c r="J303" s="1506"/>
      <c r="K303" s="1498"/>
      <c r="L303" s="1498"/>
      <c r="M303" s="1498"/>
      <c r="N303" s="1498"/>
      <c r="O303" s="1498"/>
      <c r="P303" s="1498"/>
      <c r="Q303" s="1506"/>
      <c r="R303" s="1498"/>
      <c r="S303" s="1498"/>
      <c r="T303" s="1498"/>
      <c r="U303" s="1498"/>
      <c r="V303" s="1498"/>
      <c r="W303" s="1498"/>
      <c r="X303" s="1498"/>
      <c r="Y303" s="1498"/>
      <c r="Z303" s="1498"/>
      <c r="AA303" s="1498"/>
      <c r="AB303" s="1498"/>
      <c r="AC303" s="1527"/>
      <c r="AD303" s="1527"/>
      <c r="AE303" s="1527"/>
      <c r="AF303" s="1527"/>
      <c r="AG303" s="1527"/>
      <c r="AH303" s="1527"/>
      <c r="AI303" s="1527"/>
      <c r="AJ303" s="1527"/>
      <c r="AK303" s="1527"/>
      <c r="AL303" s="1527"/>
    </row>
    <row r="304" spans="1:38" s="1485" customFormat="1">
      <c r="A304" s="1495"/>
      <c r="B304" s="1495"/>
      <c r="C304" s="1495"/>
      <c r="D304" s="1495"/>
      <c r="E304" s="1527"/>
      <c r="F304" s="1527"/>
      <c r="G304" s="1527"/>
      <c r="H304" s="1498"/>
      <c r="I304" s="1498"/>
      <c r="J304" s="1506"/>
      <c r="K304" s="1498"/>
      <c r="L304" s="1498"/>
      <c r="M304" s="1498"/>
      <c r="N304" s="1498"/>
      <c r="O304" s="1498"/>
      <c r="P304" s="1498"/>
      <c r="Q304" s="1506"/>
      <c r="R304" s="1498"/>
      <c r="S304" s="1498"/>
      <c r="T304" s="1498"/>
      <c r="U304" s="1498"/>
      <c r="V304" s="1498"/>
      <c r="W304" s="1498"/>
      <c r="X304" s="1498"/>
      <c r="Y304" s="1498"/>
      <c r="Z304" s="1498"/>
      <c r="AA304" s="1498"/>
      <c r="AB304" s="1498"/>
      <c r="AC304" s="1527"/>
      <c r="AD304" s="1527"/>
      <c r="AE304" s="1527"/>
      <c r="AF304" s="1527"/>
      <c r="AG304" s="1527"/>
      <c r="AH304" s="1527"/>
      <c r="AI304" s="1527"/>
      <c r="AJ304" s="1527"/>
      <c r="AK304" s="1527"/>
      <c r="AL304" s="1527"/>
    </row>
    <row r="305" spans="1:38" s="1485" customFormat="1">
      <c r="A305" s="1495"/>
      <c r="B305" s="1495"/>
      <c r="C305" s="1495"/>
      <c r="D305" s="1495"/>
      <c r="E305" s="1527"/>
      <c r="F305" s="1527"/>
      <c r="G305" s="1527"/>
      <c r="H305" s="1498"/>
      <c r="I305" s="1498"/>
      <c r="J305" s="1506"/>
      <c r="K305" s="1498"/>
      <c r="L305" s="1498"/>
      <c r="M305" s="1498"/>
      <c r="N305" s="1498"/>
      <c r="O305" s="1498"/>
      <c r="P305" s="1498"/>
      <c r="Q305" s="1506"/>
      <c r="R305" s="1498"/>
      <c r="S305" s="1498"/>
      <c r="T305" s="1498"/>
      <c r="U305" s="1498"/>
      <c r="V305" s="1498"/>
      <c r="W305" s="1498"/>
      <c r="X305" s="1498"/>
      <c r="Y305" s="1498"/>
      <c r="Z305" s="1498"/>
      <c r="AA305" s="1498"/>
      <c r="AB305" s="1498"/>
      <c r="AC305" s="1527"/>
      <c r="AD305" s="1527"/>
      <c r="AE305" s="1527"/>
      <c r="AF305" s="1527"/>
      <c r="AG305" s="1527"/>
      <c r="AH305" s="1527"/>
      <c r="AI305" s="1527"/>
      <c r="AJ305" s="1527"/>
      <c r="AK305" s="1527"/>
      <c r="AL305" s="1527"/>
    </row>
    <row r="306" spans="1:38" s="1485" customFormat="1">
      <c r="A306" s="1495"/>
      <c r="B306" s="1495"/>
      <c r="C306" s="1495"/>
      <c r="D306" s="1495"/>
      <c r="E306" s="1527"/>
      <c r="F306" s="1527"/>
      <c r="G306" s="1527"/>
      <c r="H306" s="1498"/>
      <c r="I306" s="1498"/>
      <c r="J306" s="1506"/>
      <c r="K306" s="1498"/>
      <c r="L306" s="1498"/>
      <c r="M306" s="1498"/>
      <c r="N306" s="1498"/>
      <c r="O306" s="1498"/>
      <c r="P306" s="1498"/>
      <c r="Q306" s="1506"/>
      <c r="R306" s="1498"/>
      <c r="S306" s="1498"/>
      <c r="T306" s="1498"/>
      <c r="U306" s="1498"/>
      <c r="V306" s="1498"/>
      <c r="W306" s="1498"/>
      <c r="X306" s="1498"/>
      <c r="Y306" s="1498"/>
      <c r="Z306" s="1498"/>
      <c r="AA306" s="1498"/>
      <c r="AB306" s="1498"/>
      <c r="AC306" s="1527"/>
      <c r="AD306" s="1527"/>
      <c r="AE306" s="1527"/>
      <c r="AF306" s="1527"/>
      <c r="AG306" s="1527"/>
      <c r="AH306" s="1527"/>
      <c r="AI306" s="1527"/>
      <c r="AJ306" s="1527"/>
      <c r="AK306" s="1527"/>
      <c r="AL306" s="1527"/>
    </row>
    <row r="307" spans="1:38" s="1485" customFormat="1">
      <c r="A307" s="1495"/>
      <c r="B307" s="1495"/>
      <c r="C307" s="1495"/>
      <c r="D307" s="1495"/>
      <c r="E307" s="1527"/>
      <c r="F307" s="1527"/>
      <c r="G307" s="1527"/>
      <c r="H307" s="1498"/>
      <c r="I307" s="1498"/>
      <c r="J307" s="1506"/>
      <c r="K307" s="1498"/>
      <c r="L307" s="1498"/>
      <c r="M307" s="1498"/>
      <c r="N307" s="1498"/>
      <c r="O307" s="1498"/>
      <c r="P307" s="1498"/>
      <c r="Q307" s="1506"/>
      <c r="R307" s="1498"/>
      <c r="S307" s="1498"/>
      <c r="T307" s="1498"/>
      <c r="U307" s="1498"/>
      <c r="V307" s="1498"/>
      <c r="W307" s="1498"/>
      <c r="X307" s="1498"/>
      <c r="Y307" s="1498"/>
      <c r="Z307" s="1498"/>
      <c r="AA307" s="1498"/>
      <c r="AB307" s="1498"/>
      <c r="AC307" s="1527"/>
      <c r="AD307" s="1527"/>
      <c r="AE307" s="1527"/>
      <c r="AF307" s="1527"/>
      <c r="AG307" s="1527"/>
      <c r="AH307" s="1527"/>
      <c r="AI307" s="1527"/>
      <c r="AJ307" s="1527"/>
      <c r="AK307" s="1527"/>
      <c r="AL307" s="1527"/>
    </row>
    <row r="308" spans="1:38" s="1485" customFormat="1">
      <c r="A308" s="1495"/>
      <c r="B308" s="1495"/>
      <c r="C308" s="1495"/>
      <c r="D308" s="1495"/>
      <c r="E308" s="1527"/>
      <c r="F308" s="1527"/>
      <c r="G308" s="1527"/>
      <c r="H308" s="1498"/>
      <c r="I308" s="1498"/>
      <c r="J308" s="1506"/>
      <c r="K308" s="1498"/>
      <c r="L308" s="1498"/>
      <c r="M308" s="1498"/>
      <c r="N308" s="1498"/>
      <c r="O308" s="1498"/>
      <c r="P308" s="1498"/>
      <c r="Q308" s="1506"/>
      <c r="R308" s="1498"/>
      <c r="S308" s="1498"/>
      <c r="T308" s="1498"/>
      <c r="U308" s="1498"/>
      <c r="V308" s="1498"/>
      <c r="W308" s="1498"/>
      <c r="X308" s="1498"/>
      <c r="Y308" s="1498"/>
      <c r="Z308" s="1498"/>
      <c r="AA308" s="1498"/>
      <c r="AB308" s="1498"/>
      <c r="AC308" s="1527"/>
      <c r="AD308" s="1527"/>
      <c r="AE308" s="1527"/>
      <c r="AF308" s="1527"/>
      <c r="AG308" s="1527"/>
      <c r="AH308" s="1527"/>
      <c r="AI308" s="1527"/>
      <c r="AJ308" s="1527"/>
      <c r="AK308" s="1527"/>
      <c r="AL308" s="1527"/>
    </row>
    <row r="309" spans="1:38" s="1485" customFormat="1">
      <c r="A309" s="1495"/>
      <c r="B309" s="1495"/>
      <c r="C309" s="1495"/>
      <c r="D309" s="1495"/>
      <c r="E309" s="1527"/>
      <c r="F309" s="1527"/>
      <c r="G309" s="1527"/>
      <c r="H309" s="1498"/>
      <c r="I309" s="1498"/>
      <c r="J309" s="1506"/>
      <c r="K309" s="1498"/>
      <c r="L309" s="1498"/>
      <c r="M309" s="1498"/>
      <c r="N309" s="1498"/>
      <c r="O309" s="1498"/>
      <c r="P309" s="1498"/>
      <c r="Q309" s="1506"/>
      <c r="R309" s="1498"/>
      <c r="S309" s="1498"/>
      <c r="T309" s="1498"/>
      <c r="U309" s="1498"/>
      <c r="V309" s="1498"/>
      <c r="W309" s="1498"/>
      <c r="X309" s="1498"/>
      <c r="Y309" s="1498"/>
      <c r="Z309" s="1498"/>
      <c r="AA309" s="1498"/>
      <c r="AB309" s="1498"/>
      <c r="AC309" s="1527"/>
      <c r="AD309" s="1527"/>
      <c r="AE309" s="1527"/>
      <c r="AF309" s="1527"/>
      <c r="AG309" s="1527"/>
      <c r="AH309" s="1527"/>
      <c r="AI309" s="1527"/>
      <c r="AJ309" s="1527"/>
      <c r="AK309" s="1527"/>
      <c r="AL309" s="1527"/>
    </row>
    <row r="310" spans="1:38" s="1485" customFormat="1">
      <c r="A310" s="1495"/>
      <c r="B310" s="1495"/>
      <c r="C310" s="1495"/>
      <c r="D310" s="1495"/>
      <c r="E310" s="1527"/>
      <c r="F310" s="1527"/>
      <c r="G310" s="1527"/>
      <c r="H310" s="1498"/>
      <c r="I310" s="1498"/>
      <c r="J310" s="1506"/>
      <c r="K310" s="1498"/>
      <c r="L310" s="1498"/>
      <c r="M310" s="1498"/>
      <c r="N310" s="1498"/>
      <c r="O310" s="1498"/>
      <c r="P310" s="1498"/>
      <c r="Q310" s="1506"/>
      <c r="R310" s="1498"/>
      <c r="S310" s="1498"/>
      <c r="T310" s="1498"/>
      <c r="U310" s="1498"/>
      <c r="V310" s="1498"/>
      <c r="W310" s="1498"/>
      <c r="X310" s="1498"/>
      <c r="Y310" s="1498"/>
      <c r="Z310" s="1498"/>
      <c r="AA310" s="1498"/>
      <c r="AB310" s="1498"/>
      <c r="AC310" s="1527"/>
      <c r="AD310" s="1527"/>
      <c r="AE310" s="1527"/>
      <c r="AF310" s="1527"/>
      <c r="AG310" s="1527"/>
      <c r="AH310" s="1527"/>
      <c r="AI310" s="1527"/>
      <c r="AJ310" s="1527"/>
      <c r="AK310" s="1527"/>
      <c r="AL310" s="1527"/>
    </row>
    <row r="311" spans="1:38" s="1485" customFormat="1">
      <c r="A311" s="1495"/>
      <c r="B311" s="1495"/>
      <c r="C311" s="1495"/>
      <c r="D311" s="1495"/>
      <c r="E311" s="1527"/>
      <c r="F311" s="1527"/>
      <c r="G311" s="1527"/>
      <c r="H311" s="1498"/>
      <c r="I311" s="1498"/>
      <c r="J311" s="1506"/>
      <c r="K311" s="1498"/>
      <c r="L311" s="1498"/>
      <c r="M311" s="1498"/>
      <c r="N311" s="1498"/>
      <c r="O311" s="1498"/>
      <c r="P311" s="1498"/>
      <c r="Q311" s="1506"/>
      <c r="R311" s="1498"/>
      <c r="S311" s="1498"/>
      <c r="T311" s="1498"/>
      <c r="U311" s="1498"/>
      <c r="V311" s="1498"/>
      <c r="W311" s="1498"/>
      <c r="X311" s="1498"/>
      <c r="Y311" s="1498"/>
      <c r="Z311" s="1498"/>
      <c r="AA311" s="1498"/>
      <c r="AB311" s="1498"/>
      <c r="AC311" s="1527"/>
      <c r="AD311" s="1527"/>
      <c r="AE311" s="1527"/>
      <c r="AF311" s="1527"/>
      <c r="AG311" s="1527"/>
      <c r="AH311" s="1527"/>
      <c r="AI311" s="1527"/>
      <c r="AJ311" s="1527"/>
      <c r="AK311" s="1527"/>
      <c r="AL311" s="1527"/>
    </row>
    <row r="312" spans="1:38" s="1485" customFormat="1">
      <c r="A312" s="1495"/>
      <c r="B312" s="1495"/>
      <c r="C312" s="1495"/>
      <c r="D312" s="1495"/>
      <c r="E312" s="1527"/>
      <c r="F312" s="1527"/>
      <c r="G312" s="1527"/>
      <c r="H312" s="1498"/>
      <c r="I312" s="1498"/>
      <c r="J312" s="1506"/>
      <c r="K312" s="1498"/>
      <c r="L312" s="1498"/>
      <c r="M312" s="1498"/>
      <c r="N312" s="1498"/>
      <c r="O312" s="1498"/>
      <c r="P312" s="1498"/>
      <c r="Q312" s="1506"/>
      <c r="R312" s="1498"/>
      <c r="S312" s="1498"/>
      <c r="T312" s="1498"/>
      <c r="U312" s="1498"/>
      <c r="V312" s="1498"/>
      <c r="W312" s="1498"/>
      <c r="X312" s="1498"/>
      <c r="Y312" s="1498"/>
      <c r="Z312" s="1498"/>
      <c r="AA312" s="1498"/>
      <c r="AB312" s="1498"/>
      <c r="AC312" s="1527"/>
      <c r="AD312" s="1527"/>
      <c r="AE312" s="1527"/>
      <c r="AF312" s="1527"/>
      <c r="AG312" s="1527"/>
      <c r="AH312" s="1527"/>
      <c r="AI312" s="1527"/>
      <c r="AJ312" s="1527"/>
      <c r="AK312" s="1527"/>
      <c r="AL312" s="1527"/>
    </row>
    <row r="313" spans="1:38" s="1485" customFormat="1">
      <c r="A313" s="1495"/>
      <c r="B313" s="1495"/>
      <c r="C313" s="1495"/>
      <c r="D313" s="1495"/>
      <c r="E313" s="1527"/>
      <c r="F313" s="1527"/>
      <c r="G313" s="1527"/>
      <c r="H313" s="1498"/>
      <c r="I313" s="1498"/>
      <c r="J313" s="1506"/>
      <c r="K313" s="1498"/>
      <c r="L313" s="1498"/>
      <c r="M313" s="1498"/>
      <c r="N313" s="1498"/>
      <c r="O313" s="1498"/>
      <c r="P313" s="1498"/>
      <c r="Q313" s="1506"/>
      <c r="R313" s="1498"/>
      <c r="S313" s="1498"/>
      <c r="T313" s="1498"/>
      <c r="U313" s="1498"/>
      <c r="V313" s="1498"/>
      <c r="W313" s="1498"/>
      <c r="X313" s="1498"/>
      <c r="Y313" s="1498"/>
      <c r="Z313" s="1498"/>
      <c r="AA313" s="1498"/>
      <c r="AB313" s="1498"/>
      <c r="AC313" s="1527"/>
      <c r="AD313" s="1527"/>
      <c r="AE313" s="1527"/>
      <c r="AF313" s="1527"/>
      <c r="AG313" s="1527"/>
      <c r="AH313" s="1527"/>
      <c r="AI313" s="1527"/>
      <c r="AJ313" s="1527"/>
      <c r="AK313" s="1527"/>
      <c r="AL313" s="1527"/>
    </row>
    <row r="314" spans="1:38" s="1485" customFormat="1">
      <c r="A314" s="1495"/>
      <c r="B314" s="1495"/>
      <c r="C314" s="1495"/>
      <c r="D314" s="1495"/>
      <c r="E314" s="1527"/>
      <c r="F314" s="1527"/>
      <c r="G314" s="1527"/>
      <c r="H314" s="1498"/>
      <c r="I314" s="1498"/>
      <c r="J314" s="1506"/>
      <c r="K314" s="1498"/>
      <c r="L314" s="1498"/>
      <c r="M314" s="1498"/>
      <c r="N314" s="1498"/>
      <c r="O314" s="1498"/>
      <c r="P314" s="1498"/>
      <c r="Q314" s="1506"/>
      <c r="R314" s="1498"/>
      <c r="S314" s="1498"/>
      <c r="T314" s="1498"/>
      <c r="U314" s="1498"/>
      <c r="V314" s="1498"/>
      <c r="W314" s="1498"/>
      <c r="X314" s="1498"/>
      <c r="Y314" s="1498"/>
      <c r="Z314" s="1498"/>
      <c r="AA314" s="1498"/>
      <c r="AB314" s="1498"/>
      <c r="AC314" s="1527"/>
      <c r="AD314" s="1527"/>
      <c r="AE314" s="1527"/>
      <c r="AF314" s="1527"/>
      <c r="AG314" s="1527"/>
      <c r="AH314" s="1527"/>
      <c r="AI314" s="1527"/>
      <c r="AJ314" s="1527"/>
      <c r="AK314" s="1527"/>
      <c r="AL314" s="1527"/>
    </row>
    <row r="315" spans="1:38" s="1485" customFormat="1">
      <c r="A315" s="1495"/>
      <c r="B315" s="1495"/>
      <c r="C315" s="1495"/>
      <c r="D315" s="1495"/>
      <c r="E315" s="1527"/>
      <c r="F315" s="1527"/>
      <c r="G315" s="1527"/>
      <c r="H315" s="1498"/>
      <c r="I315" s="1498"/>
      <c r="J315" s="1506"/>
      <c r="K315" s="1498"/>
      <c r="L315" s="1498"/>
      <c r="M315" s="1498"/>
      <c r="N315" s="1498"/>
      <c r="O315" s="1498"/>
      <c r="P315" s="1498"/>
      <c r="Q315" s="1506"/>
      <c r="R315" s="1498"/>
      <c r="S315" s="1498"/>
      <c r="T315" s="1498"/>
      <c r="U315" s="1498"/>
      <c r="V315" s="1498"/>
      <c r="W315" s="1498"/>
      <c r="X315" s="1498"/>
      <c r="Y315" s="1498"/>
      <c r="Z315" s="1498"/>
      <c r="AA315" s="1498"/>
      <c r="AB315" s="1498"/>
      <c r="AC315" s="1527"/>
      <c r="AD315" s="1527"/>
      <c r="AE315" s="1527"/>
      <c r="AF315" s="1527"/>
      <c r="AG315" s="1527"/>
      <c r="AH315" s="1527"/>
      <c r="AI315" s="1527"/>
      <c r="AJ315" s="1527"/>
      <c r="AK315" s="1527"/>
      <c r="AL315" s="1527"/>
    </row>
    <row r="316" spans="1:38" s="1485" customFormat="1">
      <c r="A316" s="1495"/>
      <c r="B316" s="1495"/>
      <c r="C316" s="1495"/>
      <c r="D316" s="1495"/>
      <c r="E316" s="1527"/>
      <c r="F316" s="1527"/>
      <c r="G316" s="1527"/>
      <c r="H316" s="1498"/>
      <c r="I316" s="1498"/>
      <c r="J316" s="1506"/>
      <c r="K316" s="1498"/>
      <c r="L316" s="1498"/>
      <c r="M316" s="1498"/>
      <c r="N316" s="1498"/>
      <c r="O316" s="1498"/>
      <c r="P316" s="1498"/>
      <c r="Q316" s="1506"/>
      <c r="R316" s="1498"/>
      <c r="S316" s="1498"/>
      <c r="T316" s="1498"/>
      <c r="U316" s="1498"/>
      <c r="V316" s="1498"/>
      <c r="W316" s="1498"/>
      <c r="X316" s="1498"/>
      <c r="Y316" s="1498"/>
      <c r="Z316" s="1498"/>
      <c r="AA316" s="1498"/>
      <c r="AB316" s="1498"/>
      <c r="AC316" s="1527"/>
      <c r="AD316" s="1527"/>
      <c r="AE316" s="1527"/>
      <c r="AF316" s="1527"/>
      <c r="AG316" s="1527"/>
      <c r="AH316" s="1527"/>
      <c r="AI316" s="1527"/>
      <c r="AJ316" s="1527"/>
      <c r="AK316" s="1527"/>
      <c r="AL316" s="1527"/>
    </row>
    <row r="317" spans="1:38" s="1485" customFormat="1">
      <c r="A317" s="1495"/>
      <c r="B317" s="1495"/>
      <c r="C317" s="1495"/>
      <c r="D317" s="1495"/>
      <c r="E317" s="1527"/>
      <c r="F317" s="1527"/>
      <c r="G317" s="1527"/>
      <c r="H317" s="1498"/>
      <c r="I317" s="1498"/>
      <c r="J317" s="1506"/>
      <c r="K317" s="1498"/>
      <c r="L317" s="1498"/>
      <c r="M317" s="1498"/>
      <c r="N317" s="1498"/>
      <c r="O317" s="1498"/>
      <c r="P317" s="1498"/>
      <c r="Q317" s="1506"/>
      <c r="R317" s="1498"/>
      <c r="S317" s="1498"/>
      <c r="T317" s="1498"/>
      <c r="U317" s="1498"/>
      <c r="V317" s="1498"/>
      <c r="W317" s="1498"/>
      <c r="X317" s="1498"/>
      <c r="Y317" s="1498"/>
      <c r="Z317" s="1498"/>
      <c r="AA317" s="1498"/>
      <c r="AB317" s="1498"/>
      <c r="AC317" s="1527"/>
      <c r="AD317" s="1527"/>
      <c r="AE317" s="1527"/>
      <c r="AF317" s="1527"/>
      <c r="AG317" s="1527"/>
      <c r="AH317" s="1527"/>
      <c r="AI317" s="1527"/>
      <c r="AJ317" s="1527"/>
      <c r="AK317" s="1527"/>
      <c r="AL317" s="1527"/>
    </row>
    <row r="318" spans="1:38" s="1485" customFormat="1">
      <c r="A318" s="1495"/>
      <c r="B318" s="1495"/>
      <c r="C318" s="1495"/>
      <c r="D318" s="1495"/>
      <c r="E318" s="1527"/>
      <c r="F318" s="1527"/>
      <c r="G318" s="1527"/>
      <c r="H318" s="1498"/>
      <c r="I318" s="1498"/>
      <c r="J318" s="1506"/>
      <c r="K318" s="1498"/>
      <c r="L318" s="1498"/>
      <c r="M318" s="1498"/>
      <c r="N318" s="1498"/>
      <c r="O318" s="1498"/>
      <c r="P318" s="1498"/>
      <c r="Q318" s="1506"/>
      <c r="R318" s="1498"/>
      <c r="S318" s="1498"/>
      <c r="T318" s="1498"/>
      <c r="U318" s="1498"/>
      <c r="V318" s="1498"/>
      <c r="W318" s="1498"/>
      <c r="X318" s="1498"/>
      <c r="Y318" s="1498"/>
      <c r="Z318" s="1498"/>
      <c r="AA318" s="1498"/>
      <c r="AB318" s="1498"/>
      <c r="AC318" s="1527"/>
      <c r="AD318" s="1527"/>
      <c r="AE318" s="1527"/>
      <c r="AF318" s="1527"/>
      <c r="AG318" s="1527"/>
      <c r="AH318" s="1527"/>
      <c r="AI318" s="1527"/>
      <c r="AJ318" s="1527"/>
      <c r="AK318" s="1527"/>
      <c r="AL318" s="1527"/>
    </row>
    <row r="319" spans="1:38" s="1485" customFormat="1">
      <c r="A319" s="1495"/>
      <c r="B319" s="1495"/>
      <c r="C319" s="1495"/>
      <c r="D319" s="1495"/>
      <c r="E319" s="1527"/>
      <c r="F319" s="1527"/>
      <c r="G319" s="1527"/>
      <c r="H319" s="1498"/>
      <c r="I319" s="1498"/>
      <c r="J319" s="1506"/>
      <c r="K319" s="1498"/>
      <c r="L319" s="1498"/>
      <c r="M319" s="1498"/>
      <c r="N319" s="1498"/>
      <c r="O319" s="1498"/>
      <c r="P319" s="1498"/>
      <c r="Q319" s="1506"/>
      <c r="R319" s="1498"/>
      <c r="S319" s="1498"/>
      <c r="T319" s="1498"/>
      <c r="U319" s="1498"/>
      <c r="V319" s="1498"/>
      <c r="W319" s="1498"/>
      <c r="X319" s="1498"/>
      <c r="Y319" s="1498"/>
      <c r="Z319" s="1498"/>
      <c r="AA319" s="1498"/>
      <c r="AB319" s="1498"/>
      <c r="AC319" s="1527"/>
      <c r="AD319" s="1527"/>
      <c r="AE319" s="1527"/>
      <c r="AF319" s="1527"/>
      <c r="AG319" s="1527"/>
      <c r="AH319" s="1527"/>
      <c r="AI319" s="1527"/>
      <c r="AJ319" s="1527"/>
      <c r="AK319" s="1527"/>
      <c r="AL319" s="1527"/>
    </row>
    <row r="320" spans="1:38" s="1485" customFormat="1">
      <c r="A320" s="1495"/>
      <c r="B320" s="1495"/>
      <c r="C320" s="1495"/>
      <c r="D320" s="1495"/>
      <c r="E320" s="1527"/>
      <c r="F320" s="1527"/>
      <c r="G320" s="1527"/>
      <c r="H320" s="1498"/>
      <c r="I320" s="1498"/>
      <c r="J320" s="1506"/>
      <c r="K320" s="1498"/>
      <c r="L320" s="1498"/>
      <c r="M320" s="1498"/>
      <c r="N320" s="1498"/>
      <c r="O320" s="1498"/>
      <c r="P320" s="1498"/>
      <c r="Q320" s="1506"/>
      <c r="R320" s="1498"/>
      <c r="S320" s="1498"/>
      <c r="T320" s="1498"/>
      <c r="U320" s="1498"/>
      <c r="V320" s="1498"/>
      <c r="W320" s="1498"/>
      <c r="X320" s="1498"/>
      <c r="Y320" s="1498"/>
      <c r="Z320" s="1498"/>
      <c r="AA320" s="1498"/>
      <c r="AB320" s="1498"/>
      <c r="AC320" s="1527"/>
      <c r="AD320" s="1527"/>
      <c r="AE320" s="1527"/>
      <c r="AF320" s="1527"/>
      <c r="AG320" s="1527"/>
      <c r="AH320" s="1527"/>
      <c r="AI320" s="1527"/>
      <c r="AJ320" s="1527"/>
      <c r="AK320" s="1527"/>
      <c r="AL320" s="1527"/>
    </row>
    <row r="321" spans="1:38" s="1485" customFormat="1">
      <c r="A321" s="1495"/>
      <c r="B321" s="1495"/>
      <c r="C321" s="1495"/>
      <c r="D321" s="1495"/>
      <c r="E321" s="1527"/>
      <c r="F321" s="1527"/>
      <c r="G321" s="1527"/>
      <c r="H321" s="1498"/>
      <c r="I321" s="1498"/>
      <c r="J321" s="1506"/>
      <c r="K321" s="1498"/>
      <c r="L321" s="1498"/>
      <c r="M321" s="1498"/>
      <c r="N321" s="1498"/>
      <c r="O321" s="1498"/>
      <c r="P321" s="1498"/>
      <c r="Q321" s="1506"/>
      <c r="R321" s="1498"/>
      <c r="S321" s="1498"/>
      <c r="T321" s="1498"/>
      <c r="U321" s="1498"/>
      <c r="V321" s="1498"/>
      <c r="W321" s="1498"/>
      <c r="X321" s="1498"/>
      <c r="Y321" s="1498"/>
      <c r="Z321" s="1498"/>
      <c r="AA321" s="1498"/>
      <c r="AB321" s="1498"/>
      <c r="AC321" s="1527"/>
      <c r="AD321" s="1527"/>
      <c r="AE321" s="1527"/>
      <c r="AF321" s="1527"/>
      <c r="AG321" s="1527"/>
      <c r="AH321" s="1527"/>
      <c r="AI321" s="1527"/>
      <c r="AJ321" s="1527"/>
      <c r="AK321" s="1527"/>
      <c r="AL321" s="1527"/>
    </row>
    <row r="322" spans="1:38" s="1485" customFormat="1">
      <c r="A322" s="1495"/>
      <c r="B322" s="1495"/>
      <c r="C322" s="1495"/>
      <c r="D322" s="1495"/>
      <c r="E322" s="1527"/>
      <c r="F322" s="1527"/>
      <c r="G322" s="1527"/>
      <c r="H322" s="1498"/>
      <c r="I322" s="1498"/>
      <c r="J322" s="1506"/>
      <c r="K322" s="1498"/>
      <c r="L322" s="1498"/>
      <c r="M322" s="1498"/>
      <c r="N322" s="1498"/>
      <c r="O322" s="1498"/>
      <c r="P322" s="1498"/>
      <c r="Q322" s="1506"/>
      <c r="R322" s="1498"/>
      <c r="S322" s="1498"/>
      <c r="T322" s="1498"/>
      <c r="U322" s="1498"/>
      <c r="V322" s="1498"/>
      <c r="W322" s="1498"/>
      <c r="X322" s="1498"/>
      <c r="Y322" s="1498"/>
      <c r="Z322" s="1498"/>
      <c r="AA322" s="1498"/>
      <c r="AB322" s="1498"/>
      <c r="AC322" s="1527"/>
      <c r="AD322" s="1527"/>
      <c r="AE322" s="1527"/>
      <c r="AF322" s="1527"/>
      <c r="AG322" s="1527"/>
      <c r="AH322" s="1527"/>
      <c r="AI322" s="1527"/>
      <c r="AJ322" s="1527"/>
      <c r="AK322" s="1527"/>
      <c r="AL322" s="1527"/>
    </row>
    <row r="323" spans="1:38" s="1485" customFormat="1">
      <c r="A323" s="1495"/>
      <c r="B323" s="1495"/>
      <c r="C323" s="1495"/>
      <c r="D323" s="1495"/>
      <c r="E323" s="1527"/>
      <c r="F323" s="1527"/>
      <c r="G323" s="1527"/>
      <c r="H323" s="1498"/>
      <c r="I323" s="1498"/>
      <c r="J323" s="1506"/>
      <c r="K323" s="1498"/>
      <c r="L323" s="1498"/>
      <c r="M323" s="1498"/>
      <c r="N323" s="1498"/>
      <c r="O323" s="1498"/>
      <c r="P323" s="1498"/>
      <c r="Q323" s="1506"/>
      <c r="R323" s="1498"/>
      <c r="S323" s="1498"/>
      <c r="T323" s="1498"/>
      <c r="U323" s="1498"/>
      <c r="V323" s="1498"/>
      <c r="W323" s="1498"/>
      <c r="X323" s="1498"/>
      <c r="Y323" s="1498"/>
      <c r="Z323" s="1498"/>
      <c r="AA323" s="1498"/>
      <c r="AB323" s="1498"/>
      <c r="AC323" s="1527"/>
      <c r="AD323" s="1527"/>
      <c r="AE323" s="1527"/>
      <c r="AF323" s="1527"/>
      <c r="AG323" s="1527"/>
      <c r="AH323" s="1527"/>
      <c r="AI323" s="1527"/>
      <c r="AJ323" s="1527"/>
      <c r="AK323" s="1527"/>
      <c r="AL323" s="1527"/>
    </row>
    <row r="324" spans="1:38" s="1485" customFormat="1">
      <c r="A324" s="1495"/>
      <c r="B324" s="1495"/>
      <c r="C324" s="1495"/>
      <c r="D324" s="1495"/>
      <c r="E324" s="1527"/>
      <c r="F324" s="1527"/>
      <c r="G324" s="1527"/>
      <c r="H324" s="1498"/>
      <c r="I324" s="1498"/>
      <c r="J324" s="1506"/>
      <c r="K324" s="1498"/>
      <c r="L324" s="1498"/>
      <c r="M324" s="1498"/>
      <c r="N324" s="1498"/>
      <c r="O324" s="1498"/>
      <c r="P324" s="1498"/>
      <c r="Q324" s="1506"/>
      <c r="R324" s="1498"/>
      <c r="S324" s="1498"/>
      <c r="T324" s="1498"/>
      <c r="U324" s="1498"/>
      <c r="V324" s="1498"/>
      <c r="W324" s="1498"/>
      <c r="X324" s="1498"/>
      <c r="Y324" s="1498"/>
      <c r="Z324" s="1498"/>
      <c r="AA324" s="1498"/>
      <c r="AB324" s="1498"/>
      <c r="AC324" s="1527"/>
      <c r="AD324" s="1527"/>
      <c r="AE324" s="1527"/>
      <c r="AF324" s="1527"/>
      <c r="AG324" s="1527"/>
      <c r="AH324" s="1527"/>
      <c r="AI324" s="1527"/>
      <c r="AJ324" s="1527"/>
      <c r="AK324" s="1527"/>
      <c r="AL324" s="1527"/>
    </row>
    <row r="325" spans="1:38" s="1485" customFormat="1">
      <c r="A325" s="1495"/>
      <c r="B325" s="1495"/>
      <c r="C325" s="1495"/>
      <c r="D325" s="1495"/>
      <c r="E325" s="1527"/>
      <c r="F325" s="1527"/>
      <c r="G325" s="1527"/>
      <c r="H325" s="1498"/>
      <c r="I325" s="1498"/>
      <c r="J325" s="1506"/>
      <c r="K325" s="1498"/>
      <c r="L325" s="1498"/>
      <c r="M325" s="1498"/>
      <c r="N325" s="1498"/>
      <c r="O325" s="1498"/>
      <c r="P325" s="1498"/>
      <c r="Q325" s="1506"/>
      <c r="R325" s="1498"/>
      <c r="S325" s="1498"/>
      <c r="T325" s="1498"/>
      <c r="U325" s="1498"/>
      <c r="V325" s="1498"/>
      <c r="W325" s="1498"/>
      <c r="X325" s="1498"/>
      <c r="Y325" s="1498"/>
      <c r="Z325" s="1498"/>
      <c r="AA325" s="1498"/>
      <c r="AB325" s="1498"/>
      <c r="AC325" s="1527"/>
      <c r="AD325" s="1527"/>
      <c r="AE325" s="1527"/>
      <c r="AF325" s="1527"/>
      <c r="AG325" s="1527"/>
      <c r="AH325" s="1527"/>
      <c r="AI325" s="1527"/>
      <c r="AJ325" s="1527"/>
      <c r="AK325" s="1527"/>
      <c r="AL325" s="1527"/>
    </row>
    <row r="326" spans="1:38" s="1485" customFormat="1">
      <c r="A326" s="1495"/>
      <c r="B326" s="1495"/>
      <c r="C326" s="1495"/>
      <c r="D326" s="1495"/>
      <c r="E326" s="1527"/>
      <c r="F326" s="1527"/>
      <c r="G326" s="1527"/>
      <c r="H326" s="1498"/>
      <c r="I326" s="1498"/>
      <c r="J326" s="1506"/>
      <c r="K326" s="1498"/>
      <c r="L326" s="1498"/>
      <c r="M326" s="1498"/>
      <c r="N326" s="1498"/>
      <c r="O326" s="1498"/>
      <c r="P326" s="1498"/>
      <c r="Q326" s="1506"/>
      <c r="R326" s="1498"/>
      <c r="S326" s="1498"/>
      <c r="T326" s="1498"/>
      <c r="U326" s="1498"/>
      <c r="V326" s="1498"/>
      <c r="W326" s="1498"/>
      <c r="X326" s="1498"/>
      <c r="Y326" s="1498"/>
      <c r="Z326" s="1498"/>
      <c r="AA326" s="1498"/>
      <c r="AB326" s="1498"/>
      <c r="AC326" s="1527"/>
      <c r="AD326" s="1527"/>
      <c r="AE326" s="1527"/>
      <c r="AF326" s="1527"/>
      <c r="AG326" s="1527"/>
      <c r="AH326" s="1527"/>
      <c r="AI326" s="1527"/>
      <c r="AJ326" s="1527"/>
      <c r="AK326" s="1527"/>
      <c r="AL326" s="1527"/>
    </row>
    <row r="327" spans="1:38" s="1485" customFormat="1">
      <c r="A327" s="1495"/>
      <c r="B327" s="1495"/>
      <c r="C327" s="1495"/>
      <c r="D327" s="1495"/>
      <c r="E327" s="1527"/>
      <c r="F327" s="1527"/>
      <c r="G327" s="1527"/>
      <c r="H327" s="1498"/>
      <c r="I327" s="1498"/>
      <c r="J327" s="1506"/>
      <c r="K327" s="1498"/>
      <c r="L327" s="1498"/>
      <c r="M327" s="1498"/>
      <c r="N327" s="1498"/>
      <c r="O327" s="1498"/>
      <c r="P327" s="1498"/>
      <c r="Q327" s="1506"/>
      <c r="R327" s="1498"/>
      <c r="S327" s="1498"/>
      <c r="T327" s="1498"/>
      <c r="U327" s="1498"/>
      <c r="V327" s="1498"/>
      <c r="W327" s="1498"/>
      <c r="X327" s="1498"/>
      <c r="Y327" s="1498"/>
      <c r="Z327" s="1498"/>
      <c r="AA327" s="1498"/>
      <c r="AB327" s="1498"/>
      <c r="AC327" s="1527"/>
      <c r="AD327" s="1527"/>
      <c r="AE327" s="1527"/>
      <c r="AF327" s="1527"/>
      <c r="AG327" s="1527"/>
      <c r="AH327" s="1527"/>
      <c r="AI327" s="1527"/>
      <c r="AJ327" s="1527"/>
      <c r="AK327" s="1527"/>
      <c r="AL327" s="1527"/>
    </row>
    <row r="328" spans="1:38" s="1485" customFormat="1">
      <c r="A328" s="1495"/>
      <c r="B328" s="1495"/>
      <c r="C328" s="1495"/>
      <c r="D328" s="1495"/>
      <c r="E328" s="1527"/>
      <c r="F328" s="1527"/>
      <c r="G328" s="1527"/>
      <c r="H328" s="1498"/>
      <c r="I328" s="1498"/>
      <c r="J328" s="1506"/>
      <c r="K328" s="1498"/>
      <c r="L328" s="1498"/>
      <c r="M328" s="1498"/>
      <c r="N328" s="1498"/>
      <c r="O328" s="1498"/>
      <c r="P328" s="1498"/>
      <c r="Q328" s="1506"/>
      <c r="R328" s="1498"/>
      <c r="S328" s="1498"/>
      <c r="T328" s="1498"/>
      <c r="U328" s="1498"/>
      <c r="V328" s="1498"/>
      <c r="W328" s="1498"/>
      <c r="X328" s="1498"/>
      <c r="Y328" s="1498"/>
      <c r="Z328" s="1498"/>
      <c r="AA328" s="1498"/>
      <c r="AB328" s="1498"/>
      <c r="AC328" s="1527"/>
      <c r="AD328" s="1527"/>
      <c r="AE328" s="1527"/>
      <c r="AF328" s="1527"/>
      <c r="AG328" s="1527"/>
      <c r="AH328" s="1527"/>
      <c r="AI328" s="1527"/>
      <c r="AJ328" s="1527"/>
      <c r="AK328" s="1527"/>
      <c r="AL328" s="1527"/>
    </row>
    <row r="329" spans="1:38" s="1485" customFormat="1">
      <c r="A329" s="1495"/>
      <c r="B329" s="1495"/>
      <c r="C329" s="1495"/>
      <c r="D329" s="1495"/>
      <c r="E329" s="1527"/>
      <c r="F329" s="1527"/>
      <c r="G329" s="1527"/>
      <c r="H329" s="1498"/>
      <c r="I329" s="1498"/>
      <c r="J329" s="1506"/>
      <c r="K329" s="1498"/>
      <c r="L329" s="1498"/>
      <c r="M329" s="1498"/>
      <c r="N329" s="1498"/>
      <c r="O329" s="1498"/>
      <c r="P329" s="1498"/>
      <c r="Q329" s="1506"/>
      <c r="R329" s="1498"/>
      <c r="S329" s="1498"/>
      <c r="T329" s="1498"/>
      <c r="U329" s="1498"/>
      <c r="V329" s="1498"/>
      <c r="W329" s="1498"/>
      <c r="X329" s="1498"/>
      <c r="Y329" s="1498"/>
      <c r="Z329" s="1498"/>
      <c r="AA329" s="1498"/>
      <c r="AB329" s="1498"/>
      <c r="AC329" s="1527"/>
      <c r="AD329" s="1527"/>
      <c r="AE329" s="1527"/>
      <c r="AF329" s="1527"/>
      <c r="AG329" s="1527"/>
      <c r="AH329" s="1527"/>
      <c r="AI329" s="1527"/>
      <c r="AJ329" s="1527"/>
      <c r="AK329" s="1527"/>
      <c r="AL329" s="1527"/>
    </row>
    <row r="330" spans="1:38" s="1485" customFormat="1">
      <c r="A330" s="1495"/>
      <c r="B330" s="1495"/>
      <c r="C330" s="1495"/>
      <c r="D330" s="1495"/>
      <c r="E330" s="1527"/>
      <c r="F330" s="1527"/>
      <c r="G330" s="1527"/>
      <c r="H330" s="1498"/>
      <c r="I330" s="1498"/>
      <c r="J330" s="1506"/>
      <c r="K330" s="1498"/>
      <c r="L330" s="1498"/>
      <c r="M330" s="1498"/>
      <c r="N330" s="1498"/>
      <c r="O330" s="1498"/>
      <c r="P330" s="1498"/>
      <c r="Q330" s="1506"/>
      <c r="R330" s="1498"/>
      <c r="S330" s="1498"/>
      <c r="T330" s="1498"/>
      <c r="U330" s="1498"/>
      <c r="V330" s="1498"/>
      <c r="W330" s="1498"/>
      <c r="X330" s="1498"/>
      <c r="Y330" s="1498"/>
      <c r="Z330" s="1498"/>
      <c r="AA330" s="1498"/>
      <c r="AB330" s="1498"/>
      <c r="AC330" s="1527"/>
      <c r="AD330" s="1527"/>
      <c r="AE330" s="1527"/>
      <c r="AF330" s="1527"/>
      <c r="AG330" s="1527"/>
      <c r="AH330" s="1527"/>
      <c r="AI330" s="1527"/>
      <c r="AJ330" s="1527"/>
      <c r="AK330" s="1527"/>
      <c r="AL330" s="1527"/>
    </row>
    <row r="331" spans="1:38" s="1485" customFormat="1">
      <c r="A331" s="1495"/>
      <c r="B331" s="1495"/>
      <c r="C331" s="1495"/>
      <c r="D331" s="1495"/>
      <c r="E331" s="1527"/>
      <c r="F331" s="1527"/>
      <c r="G331" s="1527"/>
      <c r="H331" s="1498"/>
      <c r="I331" s="1498"/>
      <c r="J331" s="1506"/>
      <c r="K331" s="1498"/>
      <c r="L331" s="1498"/>
      <c r="M331" s="1498"/>
      <c r="N331" s="1498"/>
      <c r="O331" s="1498"/>
      <c r="P331" s="1498"/>
      <c r="Q331" s="1506"/>
      <c r="R331" s="1498"/>
      <c r="S331" s="1498"/>
      <c r="T331" s="1498"/>
      <c r="U331" s="1498"/>
      <c r="V331" s="1498"/>
      <c r="W331" s="1498"/>
      <c r="X331" s="1498"/>
      <c r="Y331" s="1498"/>
      <c r="Z331" s="1498"/>
      <c r="AA331" s="1498"/>
      <c r="AB331" s="1498"/>
      <c r="AC331" s="1527"/>
      <c r="AD331" s="1527"/>
      <c r="AE331" s="1527"/>
      <c r="AF331" s="1527"/>
      <c r="AG331" s="1527"/>
      <c r="AH331" s="1527"/>
      <c r="AI331" s="1527"/>
      <c r="AJ331" s="1527"/>
      <c r="AK331" s="1527"/>
      <c r="AL331" s="1527"/>
    </row>
    <row r="332" spans="1:38" s="1485" customFormat="1">
      <c r="A332" s="1495"/>
      <c r="B332" s="1495"/>
      <c r="C332" s="1495"/>
      <c r="D332" s="1495"/>
      <c r="E332" s="1527"/>
      <c r="F332" s="1527"/>
      <c r="G332" s="1527"/>
      <c r="H332" s="1498"/>
      <c r="I332" s="1498"/>
      <c r="J332" s="1506"/>
      <c r="K332" s="1498"/>
      <c r="L332" s="1498"/>
      <c r="M332" s="1498"/>
      <c r="N332" s="1498"/>
      <c r="O332" s="1498"/>
      <c r="P332" s="1498"/>
      <c r="Q332" s="1506"/>
      <c r="R332" s="1498"/>
      <c r="S332" s="1498"/>
      <c r="T332" s="1498"/>
      <c r="U332" s="1498"/>
      <c r="V332" s="1498"/>
      <c r="W332" s="1498"/>
      <c r="X332" s="1498"/>
      <c r="Y332" s="1498"/>
      <c r="Z332" s="1498"/>
      <c r="AA332" s="1498"/>
      <c r="AB332" s="1498"/>
      <c r="AC332" s="1527"/>
      <c r="AD332" s="1527"/>
      <c r="AE332" s="1527"/>
      <c r="AF332" s="1527"/>
      <c r="AG332" s="1527"/>
      <c r="AH332" s="1527"/>
      <c r="AI332" s="1527"/>
      <c r="AJ332" s="1527"/>
      <c r="AK332" s="1527"/>
      <c r="AL332" s="1527"/>
    </row>
    <row r="333" spans="1:38" s="1485" customFormat="1">
      <c r="A333" s="1495"/>
      <c r="B333" s="1495"/>
      <c r="C333" s="1495"/>
      <c r="D333" s="1495"/>
      <c r="E333" s="1527"/>
      <c r="F333" s="1527"/>
      <c r="G333" s="1527"/>
      <c r="H333" s="1498"/>
      <c r="I333" s="1498"/>
      <c r="J333" s="1506"/>
      <c r="K333" s="1498"/>
      <c r="L333" s="1498"/>
      <c r="M333" s="1498"/>
      <c r="N333" s="1498"/>
      <c r="O333" s="1498"/>
      <c r="P333" s="1498"/>
      <c r="Q333" s="1506"/>
      <c r="R333" s="1498"/>
      <c r="S333" s="1498"/>
      <c r="T333" s="1498"/>
      <c r="U333" s="1498"/>
      <c r="V333" s="1498"/>
      <c r="W333" s="1498"/>
      <c r="X333" s="1498"/>
      <c r="Y333" s="1498"/>
      <c r="Z333" s="1498"/>
      <c r="AA333" s="1498"/>
      <c r="AB333" s="1498"/>
      <c r="AC333" s="1527"/>
      <c r="AD333" s="1527"/>
      <c r="AE333" s="1527"/>
      <c r="AF333" s="1527"/>
      <c r="AG333" s="1527"/>
      <c r="AH333" s="1527"/>
      <c r="AI333" s="1527"/>
      <c r="AJ333" s="1527"/>
      <c r="AK333" s="1527"/>
      <c r="AL333" s="1527"/>
    </row>
    <row r="334" spans="1:38" s="1485" customFormat="1">
      <c r="A334" s="1495"/>
      <c r="B334" s="1495"/>
      <c r="C334" s="1495"/>
      <c r="D334" s="1495"/>
      <c r="E334" s="1527"/>
      <c r="F334" s="1527"/>
      <c r="G334" s="1527"/>
      <c r="H334" s="1498"/>
      <c r="I334" s="1498"/>
      <c r="J334" s="1506"/>
      <c r="K334" s="1498"/>
      <c r="L334" s="1498"/>
      <c r="M334" s="1498"/>
      <c r="N334" s="1498"/>
      <c r="O334" s="1498"/>
      <c r="P334" s="1498"/>
      <c r="Q334" s="1506"/>
      <c r="R334" s="1498"/>
      <c r="S334" s="1498"/>
      <c r="T334" s="1498"/>
      <c r="U334" s="1498"/>
      <c r="V334" s="1498"/>
      <c r="W334" s="1498"/>
      <c r="X334" s="1498"/>
      <c r="Y334" s="1498"/>
      <c r="Z334" s="1498"/>
      <c r="AA334" s="1498"/>
      <c r="AB334" s="1498"/>
      <c r="AC334" s="1527"/>
      <c r="AD334" s="1527"/>
      <c r="AE334" s="1527"/>
      <c r="AF334" s="1527"/>
      <c r="AG334" s="1527"/>
      <c r="AH334" s="1527"/>
      <c r="AI334" s="1527"/>
      <c r="AJ334" s="1527"/>
      <c r="AK334" s="1527"/>
      <c r="AL334" s="1527"/>
    </row>
    <row r="335" spans="1:38" s="1485" customFormat="1">
      <c r="A335" s="1495"/>
      <c r="B335" s="1495"/>
      <c r="C335" s="1495"/>
      <c r="D335" s="1495"/>
      <c r="E335" s="1527"/>
      <c r="F335" s="1527"/>
      <c r="G335" s="1527"/>
      <c r="H335" s="1498"/>
      <c r="I335" s="1498"/>
      <c r="J335" s="1506"/>
      <c r="K335" s="1498"/>
      <c r="L335" s="1498"/>
      <c r="M335" s="1498"/>
      <c r="N335" s="1498"/>
      <c r="O335" s="1498"/>
      <c r="P335" s="1498"/>
      <c r="Q335" s="1506"/>
      <c r="R335" s="1498"/>
      <c r="S335" s="1498"/>
      <c r="T335" s="1498"/>
      <c r="U335" s="1498"/>
      <c r="V335" s="1498"/>
      <c r="W335" s="1498"/>
      <c r="X335" s="1498"/>
      <c r="Y335" s="1498"/>
      <c r="Z335" s="1498"/>
      <c r="AA335" s="1498"/>
      <c r="AB335" s="1498"/>
      <c r="AC335" s="1527"/>
      <c r="AD335" s="1527"/>
      <c r="AE335" s="1527"/>
      <c r="AF335" s="1527"/>
      <c r="AG335" s="1527"/>
      <c r="AH335" s="1527"/>
      <c r="AI335" s="1527"/>
      <c r="AJ335" s="1527"/>
      <c r="AK335" s="1527"/>
      <c r="AL335" s="1527"/>
    </row>
    <row r="336" spans="1:38" s="1485" customFormat="1">
      <c r="A336" s="1495"/>
      <c r="B336" s="1495"/>
      <c r="C336" s="1495"/>
      <c r="D336" s="1495"/>
      <c r="E336" s="1527"/>
      <c r="F336" s="1527"/>
      <c r="G336" s="1527"/>
      <c r="H336" s="1498"/>
      <c r="I336" s="1498"/>
      <c r="J336" s="1506"/>
      <c r="K336" s="1498"/>
      <c r="L336" s="1498"/>
      <c r="M336" s="1498"/>
      <c r="N336" s="1498"/>
      <c r="O336" s="1498"/>
      <c r="P336" s="1498"/>
      <c r="Q336" s="1506"/>
      <c r="R336" s="1498"/>
      <c r="S336" s="1498"/>
      <c r="T336" s="1498"/>
      <c r="U336" s="1498"/>
      <c r="V336" s="1498"/>
      <c r="W336" s="1498"/>
      <c r="X336" s="1498"/>
      <c r="Y336" s="1498"/>
      <c r="Z336" s="1498"/>
      <c r="AA336" s="1498"/>
      <c r="AB336" s="1498"/>
      <c r="AC336" s="1527"/>
      <c r="AD336" s="1527"/>
      <c r="AE336" s="1527"/>
      <c r="AF336" s="1527"/>
      <c r="AG336" s="1527"/>
      <c r="AH336" s="1527"/>
      <c r="AI336" s="1527"/>
      <c r="AJ336" s="1527"/>
      <c r="AK336" s="1527"/>
      <c r="AL336" s="1527"/>
    </row>
    <row r="337" spans="1:38" s="1485" customFormat="1">
      <c r="A337" s="1495"/>
      <c r="B337" s="1495"/>
      <c r="C337" s="1495"/>
      <c r="D337" s="1495"/>
      <c r="E337" s="1527"/>
      <c r="F337" s="1527"/>
      <c r="G337" s="1527"/>
      <c r="H337" s="1498"/>
      <c r="I337" s="1498"/>
      <c r="J337" s="1506"/>
      <c r="K337" s="1498"/>
      <c r="L337" s="1498"/>
      <c r="M337" s="1498"/>
      <c r="N337" s="1498"/>
      <c r="O337" s="1498"/>
      <c r="P337" s="1498"/>
      <c r="Q337" s="1506"/>
      <c r="R337" s="1498"/>
      <c r="S337" s="1498"/>
      <c r="T337" s="1498"/>
      <c r="U337" s="1498"/>
      <c r="V337" s="1498"/>
      <c r="W337" s="1498"/>
      <c r="X337" s="1498"/>
      <c r="Y337" s="1498"/>
      <c r="Z337" s="1498"/>
      <c r="AA337" s="1498"/>
      <c r="AB337" s="1498"/>
      <c r="AC337" s="1527"/>
      <c r="AD337" s="1527"/>
      <c r="AE337" s="1527"/>
      <c r="AF337" s="1527"/>
      <c r="AG337" s="1527"/>
      <c r="AH337" s="1527"/>
      <c r="AI337" s="1527"/>
      <c r="AJ337" s="1527"/>
      <c r="AK337" s="1527"/>
      <c r="AL337" s="1527"/>
    </row>
    <row r="338" spans="1:38" s="1485" customFormat="1">
      <c r="A338" s="1495"/>
      <c r="B338" s="1495"/>
      <c r="C338" s="1495"/>
      <c r="D338" s="1495"/>
      <c r="E338" s="1527"/>
      <c r="F338" s="1527"/>
      <c r="G338" s="1527"/>
      <c r="H338" s="1498"/>
      <c r="I338" s="1498"/>
      <c r="J338" s="1506"/>
      <c r="K338" s="1498"/>
      <c r="L338" s="1498"/>
      <c r="M338" s="1498"/>
      <c r="N338" s="1498"/>
      <c r="O338" s="1498"/>
      <c r="P338" s="1498"/>
      <c r="Q338" s="1506"/>
      <c r="R338" s="1498"/>
      <c r="S338" s="1498"/>
      <c r="T338" s="1498"/>
      <c r="U338" s="1498"/>
      <c r="V338" s="1498"/>
      <c r="W338" s="1498"/>
      <c r="X338" s="1498"/>
      <c r="Y338" s="1498"/>
      <c r="Z338" s="1498"/>
      <c r="AA338" s="1498"/>
      <c r="AB338" s="1498"/>
      <c r="AC338" s="1527"/>
      <c r="AD338" s="1527"/>
      <c r="AE338" s="1527"/>
      <c r="AF338" s="1527"/>
      <c r="AG338" s="1527"/>
      <c r="AH338" s="1527"/>
      <c r="AI338" s="1527"/>
      <c r="AJ338" s="1527"/>
      <c r="AK338" s="1527"/>
      <c r="AL338" s="1527"/>
    </row>
    <row r="339" spans="1:38" s="1485" customFormat="1">
      <c r="A339" s="1495"/>
      <c r="B339" s="1495"/>
      <c r="C339" s="1495"/>
      <c r="D339" s="1495"/>
      <c r="E339" s="1527"/>
      <c r="F339" s="1527"/>
      <c r="G339" s="1527"/>
      <c r="H339" s="1498"/>
      <c r="I339" s="1498"/>
      <c r="J339" s="1506"/>
      <c r="K339" s="1498"/>
      <c r="L339" s="1498"/>
      <c r="M339" s="1498"/>
      <c r="N339" s="1498"/>
      <c r="O339" s="1498"/>
      <c r="P339" s="1498"/>
      <c r="Q339" s="1506"/>
      <c r="R339" s="1498"/>
      <c r="S339" s="1498"/>
      <c r="T339" s="1498"/>
      <c r="U339" s="1498"/>
      <c r="V339" s="1498"/>
      <c r="W339" s="1498"/>
      <c r="X339" s="1498"/>
      <c r="Y339" s="1498"/>
      <c r="Z339" s="1498"/>
      <c r="AA339" s="1498"/>
      <c r="AB339" s="1498"/>
      <c r="AC339" s="1527"/>
      <c r="AD339" s="1527"/>
      <c r="AE339" s="1527"/>
      <c r="AF339" s="1527"/>
      <c r="AG339" s="1527"/>
      <c r="AH339" s="1527"/>
      <c r="AI339" s="1527"/>
      <c r="AJ339" s="1527"/>
      <c r="AK339" s="1527"/>
      <c r="AL339" s="1527"/>
    </row>
    <row r="340" spans="1:38" s="1485" customFormat="1">
      <c r="A340" s="1495"/>
      <c r="B340" s="1495"/>
      <c r="C340" s="1495"/>
      <c r="D340" s="1495"/>
      <c r="E340" s="1527"/>
      <c r="F340" s="1527"/>
      <c r="G340" s="1527"/>
      <c r="H340" s="1498"/>
      <c r="I340" s="1498"/>
      <c r="J340" s="1506"/>
      <c r="K340" s="1498"/>
      <c r="L340" s="1498"/>
      <c r="M340" s="1498"/>
      <c r="N340" s="1498"/>
      <c r="O340" s="1498"/>
      <c r="P340" s="1498"/>
      <c r="Q340" s="1506"/>
      <c r="R340" s="1498"/>
      <c r="S340" s="1498"/>
      <c r="T340" s="1498"/>
      <c r="U340" s="1498"/>
      <c r="V340" s="1498"/>
      <c r="W340" s="1498"/>
      <c r="X340" s="1498"/>
      <c r="Y340" s="1498"/>
      <c r="Z340" s="1498"/>
      <c r="AA340" s="1498"/>
      <c r="AB340" s="1498"/>
      <c r="AC340" s="1527"/>
      <c r="AD340" s="1527"/>
      <c r="AE340" s="1527"/>
      <c r="AF340" s="1527"/>
      <c r="AG340" s="1527"/>
      <c r="AH340" s="1527"/>
      <c r="AI340" s="1527"/>
      <c r="AJ340" s="1527"/>
      <c r="AK340" s="1527"/>
      <c r="AL340" s="1527"/>
    </row>
    <row r="341" spans="1:38" s="1485" customFormat="1">
      <c r="A341" s="1495"/>
      <c r="B341" s="1495"/>
      <c r="C341" s="1495"/>
      <c r="D341" s="1495"/>
      <c r="E341" s="1527"/>
      <c r="F341" s="1527"/>
      <c r="G341" s="1527"/>
      <c r="H341" s="1498"/>
      <c r="I341" s="1498"/>
      <c r="J341" s="1506"/>
      <c r="K341" s="1498"/>
      <c r="L341" s="1498"/>
      <c r="M341" s="1498"/>
      <c r="N341" s="1498"/>
      <c r="O341" s="1498"/>
      <c r="P341" s="1498"/>
      <c r="Q341" s="1506"/>
      <c r="R341" s="1498"/>
      <c r="S341" s="1498"/>
      <c r="T341" s="1498"/>
      <c r="U341" s="1498"/>
      <c r="V341" s="1498"/>
      <c r="W341" s="1498"/>
      <c r="X341" s="1498"/>
      <c r="Y341" s="1498"/>
      <c r="Z341" s="1498"/>
      <c r="AA341" s="1498"/>
      <c r="AB341" s="1498"/>
      <c r="AC341" s="1527"/>
      <c r="AD341" s="1527"/>
      <c r="AE341" s="1527"/>
      <c r="AF341" s="1527"/>
      <c r="AG341" s="1527"/>
      <c r="AH341" s="1527"/>
      <c r="AI341" s="1527"/>
      <c r="AJ341" s="1527"/>
      <c r="AK341" s="1527"/>
      <c r="AL341" s="1527"/>
    </row>
    <row r="342" spans="1:38" s="1485" customFormat="1">
      <c r="A342" s="1495"/>
      <c r="B342" s="1495"/>
      <c r="C342" s="1495"/>
      <c r="D342" s="1495"/>
      <c r="E342" s="1527"/>
      <c r="F342" s="1527"/>
      <c r="G342" s="1527"/>
      <c r="H342" s="1498"/>
      <c r="I342" s="1498"/>
      <c r="J342" s="1506"/>
      <c r="K342" s="1498"/>
      <c r="L342" s="1498"/>
      <c r="M342" s="1498"/>
      <c r="N342" s="1498"/>
      <c r="O342" s="1498"/>
      <c r="P342" s="1498"/>
      <c r="Q342" s="1506"/>
      <c r="R342" s="1498"/>
      <c r="S342" s="1498"/>
      <c r="T342" s="1498"/>
      <c r="U342" s="1498"/>
      <c r="V342" s="1498"/>
      <c r="W342" s="1498"/>
      <c r="X342" s="1498"/>
      <c r="Y342" s="1498"/>
      <c r="Z342" s="1498"/>
      <c r="AA342" s="1498"/>
      <c r="AB342" s="1498"/>
      <c r="AC342" s="1527"/>
      <c r="AD342" s="1527"/>
      <c r="AE342" s="1527"/>
      <c r="AF342" s="1527"/>
      <c r="AG342" s="1527"/>
      <c r="AH342" s="1527"/>
      <c r="AI342" s="1527"/>
      <c r="AJ342" s="1527"/>
      <c r="AK342" s="1527"/>
      <c r="AL342" s="1527"/>
    </row>
    <row r="343" spans="1:38" s="1485" customFormat="1">
      <c r="A343" s="1495"/>
      <c r="B343" s="1495"/>
      <c r="C343" s="1495"/>
      <c r="D343" s="1495"/>
      <c r="E343" s="1527"/>
      <c r="F343" s="1527"/>
      <c r="G343" s="1527"/>
      <c r="H343" s="1498"/>
      <c r="I343" s="1498"/>
      <c r="J343" s="1506"/>
      <c r="K343" s="1498"/>
      <c r="L343" s="1498"/>
      <c r="M343" s="1498"/>
      <c r="N343" s="1498"/>
      <c r="O343" s="1498"/>
      <c r="P343" s="1498"/>
      <c r="Q343" s="1506"/>
      <c r="R343" s="1498"/>
      <c r="S343" s="1498"/>
      <c r="T343" s="1498"/>
      <c r="U343" s="1498"/>
      <c r="V343" s="1498"/>
      <c r="W343" s="1498"/>
      <c r="X343" s="1498"/>
      <c r="Y343" s="1498"/>
      <c r="Z343" s="1498"/>
      <c r="AA343" s="1498"/>
      <c r="AB343" s="1498"/>
      <c r="AC343" s="1527"/>
      <c r="AD343" s="1527"/>
      <c r="AE343" s="1527"/>
      <c r="AF343" s="1527"/>
      <c r="AG343" s="1527"/>
      <c r="AH343" s="1527"/>
      <c r="AI343" s="1527"/>
      <c r="AJ343" s="1527"/>
      <c r="AK343" s="1527"/>
      <c r="AL343" s="1527"/>
    </row>
    <row r="344" spans="1:38" s="1485" customFormat="1">
      <c r="A344" s="1495"/>
      <c r="B344" s="1495"/>
      <c r="C344" s="1495"/>
      <c r="D344" s="1495"/>
      <c r="E344" s="1527"/>
      <c r="F344" s="1527"/>
      <c r="G344" s="1527"/>
      <c r="H344" s="1498"/>
      <c r="I344" s="1498"/>
      <c r="J344" s="1506"/>
      <c r="K344" s="1498"/>
      <c r="L344" s="1498"/>
      <c r="M344" s="1498"/>
      <c r="N344" s="1498"/>
      <c r="O344" s="1498"/>
      <c r="P344" s="1498"/>
      <c r="Q344" s="1506"/>
      <c r="R344" s="1498"/>
      <c r="S344" s="1498"/>
      <c r="T344" s="1498"/>
      <c r="U344" s="1498"/>
      <c r="V344" s="1498"/>
      <c r="W344" s="1498"/>
      <c r="X344" s="1498"/>
      <c r="Y344" s="1498"/>
      <c r="Z344" s="1498"/>
      <c r="AA344" s="1498"/>
      <c r="AB344" s="1498"/>
      <c r="AC344" s="1527"/>
      <c r="AD344" s="1527"/>
      <c r="AE344" s="1527"/>
      <c r="AF344" s="1527"/>
      <c r="AG344" s="1527"/>
      <c r="AH344" s="1527"/>
      <c r="AI344" s="1527"/>
      <c r="AJ344" s="1527"/>
      <c r="AK344" s="1527"/>
      <c r="AL344" s="1527"/>
    </row>
    <row r="345" spans="1:38" s="1485" customFormat="1">
      <c r="A345" s="1495"/>
      <c r="B345" s="1495"/>
      <c r="C345" s="1495"/>
      <c r="D345" s="1495"/>
      <c r="E345" s="1527"/>
      <c r="F345" s="1527"/>
      <c r="G345" s="1527"/>
      <c r="H345" s="1498"/>
      <c r="I345" s="1498"/>
      <c r="J345" s="1506"/>
      <c r="K345" s="1498"/>
      <c r="L345" s="1498"/>
      <c r="M345" s="1498"/>
      <c r="N345" s="1498"/>
      <c r="O345" s="1498"/>
      <c r="P345" s="1498"/>
      <c r="Q345" s="1506"/>
      <c r="R345" s="1498"/>
      <c r="S345" s="1498"/>
      <c r="T345" s="1498"/>
      <c r="U345" s="1498"/>
      <c r="V345" s="1498"/>
      <c r="W345" s="1498"/>
      <c r="X345" s="1498"/>
      <c r="Y345" s="1498"/>
      <c r="Z345" s="1498"/>
      <c r="AA345" s="1498"/>
      <c r="AB345" s="1498"/>
      <c r="AC345" s="1527"/>
      <c r="AD345" s="1527"/>
      <c r="AE345" s="1527"/>
      <c r="AF345" s="1527"/>
      <c r="AG345" s="1527"/>
      <c r="AH345" s="1527"/>
      <c r="AI345" s="1527"/>
      <c r="AJ345" s="1527"/>
      <c r="AK345" s="1527"/>
      <c r="AL345" s="1527"/>
    </row>
    <row r="346" spans="1:38" s="1485" customFormat="1">
      <c r="A346" s="1495"/>
      <c r="B346" s="1495"/>
      <c r="C346" s="1495"/>
      <c r="D346" s="1495"/>
      <c r="E346" s="1527"/>
      <c r="F346" s="1527"/>
      <c r="G346" s="1527"/>
      <c r="H346" s="1498"/>
      <c r="I346" s="1498"/>
      <c r="J346" s="1506"/>
      <c r="K346" s="1498"/>
      <c r="L346" s="1498"/>
      <c r="M346" s="1498"/>
      <c r="N346" s="1498"/>
      <c r="O346" s="1498"/>
      <c r="P346" s="1498"/>
      <c r="Q346" s="1506"/>
      <c r="R346" s="1498"/>
      <c r="S346" s="1498"/>
      <c r="T346" s="1498"/>
      <c r="U346" s="1498"/>
      <c r="V346" s="1498"/>
      <c r="W346" s="1498"/>
      <c r="X346" s="1498"/>
      <c r="Y346" s="1498"/>
      <c r="Z346" s="1498"/>
      <c r="AA346" s="1498"/>
      <c r="AB346" s="1498"/>
      <c r="AC346" s="1527"/>
      <c r="AD346" s="1527"/>
      <c r="AE346" s="1527"/>
      <c r="AF346" s="1527"/>
      <c r="AG346" s="1527"/>
      <c r="AH346" s="1527"/>
      <c r="AI346" s="1527"/>
      <c r="AJ346" s="1527"/>
      <c r="AK346" s="1527"/>
      <c r="AL346" s="1527"/>
    </row>
    <row r="347" spans="1:38" s="1485" customFormat="1">
      <c r="A347" s="1495"/>
      <c r="B347" s="1495"/>
      <c r="C347" s="1495"/>
      <c r="D347" s="1495"/>
      <c r="E347" s="1527"/>
      <c r="F347" s="1527"/>
      <c r="G347" s="1527"/>
      <c r="H347" s="1498"/>
      <c r="I347" s="1498"/>
      <c r="J347" s="1506"/>
      <c r="K347" s="1498"/>
      <c r="L347" s="1498"/>
      <c r="M347" s="1498"/>
      <c r="N347" s="1498"/>
      <c r="O347" s="1498"/>
      <c r="P347" s="1498"/>
      <c r="Q347" s="1506"/>
      <c r="R347" s="1498"/>
      <c r="S347" s="1498"/>
      <c r="T347" s="1498"/>
      <c r="U347" s="1498"/>
      <c r="V347" s="1498"/>
      <c r="W347" s="1498"/>
      <c r="X347" s="1498"/>
      <c r="Y347" s="1498"/>
      <c r="Z347" s="1498"/>
      <c r="AA347" s="1498"/>
      <c r="AB347" s="1498"/>
      <c r="AC347" s="1527"/>
      <c r="AD347" s="1527"/>
      <c r="AE347" s="1527"/>
      <c r="AF347" s="1527"/>
      <c r="AG347" s="1527"/>
      <c r="AH347" s="1527"/>
      <c r="AI347" s="1527"/>
      <c r="AJ347" s="1527"/>
      <c r="AK347" s="1527"/>
      <c r="AL347" s="1527"/>
    </row>
    <row r="348" spans="1:38" s="1485" customFormat="1">
      <c r="A348" s="1495"/>
      <c r="B348" s="1495"/>
      <c r="C348" s="1495"/>
      <c r="D348" s="1495"/>
      <c r="E348" s="1527"/>
      <c r="F348" s="1527"/>
      <c r="G348" s="1527"/>
      <c r="H348" s="1498"/>
      <c r="I348" s="1498"/>
      <c r="J348" s="1506"/>
      <c r="K348" s="1498"/>
      <c r="L348" s="1498"/>
      <c r="M348" s="1498"/>
      <c r="N348" s="1498"/>
      <c r="O348" s="1498"/>
      <c r="P348" s="1498"/>
      <c r="Q348" s="1506"/>
      <c r="R348" s="1498"/>
      <c r="S348" s="1498"/>
      <c r="T348" s="1498"/>
      <c r="U348" s="1498"/>
      <c r="V348" s="1498"/>
      <c r="W348" s="1498"/>
      <c r="X348" s="1498"/>
      <c r="Y348" s="1498"/>
      <c r="Z348" s="1498"/>
      <c r="AA348" s="1498"/>
      <c r="AB348" s="1498"/>
      <c r="AC348" s="1527"/>
      <c r="AD348" s="1527"/>
      <c r="AE348" s="1527"/>
      <c r="AF348" s="1527"/>
      <c r="AG348" s="1527"/>
      <c r="AH348" s="1527"/>
      <c r="AI348" s="1527"/>
      <c r="AJ348" s="1527"/>
      <c r="AK348" s="1527"/>
      <c r="AL348" s="1527"/>
    </row>
    <row r="349" spans="1:38" s="1485" customFormat="1">
      <c r="A349" s="1495"/>
      <c r="B349" s="1495"/>
      <c r="C349" s="1495"/>
      <c r="D349" s="1495"/>
      <c r="E349" s="1527"/>
      <c r="F349" s="1527"/>
      <c r="G349" s="1527"/>
      <c r="H349" s="1498"/>
      <c r="I349" s="1498"/>
      <c r="J349" s="1506"/>
      <c r="K349" s="1498"/>
      <c r="L349" s="1498"/>
      <c r="M349" s="1498"/>
      <c r="N349" s="1498"/>
      <c r="O349" s="1498"/>
      <c r="P349" s="1498"/>
      <c r="Q349" s="1506"/>
      <c r="R349" s="1498"/>
      <c r="S349" s="1498"/>
      <c r="T349" s="1498"/>
      <c r="U349" s="1498"/>
      <c r="V349" s="1498"/>
      <c r="W349" s="1498"/>
      <c r="X349" s="1498"/>
      <c r="Y349" s="1498"/>
      <c r="Z349" s="1498"/>
      <c r="AA349" s="1498"/>
      <c r="AB349" s="1498"/>
      <c r="AC349" s="1527"/>
      <c r="AD349" s="1527"/>
      <c r="AE349" s="1527"/>
      <c r="AF349" s="1527"/>
      <c r="AG349" s="1527"/>
      <c r="AH349" s="1527"/>
      <c r="AI349" s="1527"/>
      <c r="AJ349" s="1527"/>
      <c r="AK349" s="1527"/>
      <c r="AL349" s="1527"/>
    </row>
    <row r="350" spans="1:38" s="1485" customFormat="1">
      <c r="A350" s="1495"/>
      <c r="B350" s="1495"/>
      <c r="C350" s="1495"/>
      <c r="D350" s="1495"/>
      <c r="E350" s="1527"/>
      <c r="F350" s="1527"/>
      <c r="G350" s="1527"/>
      <c r="H350" s="1498"/>
      <c r="I350" s="1498"/>
      <c r="J350" s="1506"/>
      <c r="K350" s="1498"/>
      <c r="L350" s="1498"/>
      <c r="M350" s="1498"/>
      <c r="N350" s="1498"/>
      <c r="O350" s="1498"/>
      <c r="P350" s="1498"/>
      <c r="Q350" s="1506"/>
      <c r="R350" s="1498"/>
      <c r="S350" s="1498"/>
      <c r="T350" s="1498"/>
      <c r="U350" s="1498"/>
      <c r="V350" s="1498"/>
      <c r="W350" s="1498"/>
      <c r="X350" s="1498"/>
      <c r="Y350" s="1498"/>
      <c r="Z350" s="1498"/>
      <c r="AA350" s="1498"/>
      <c r="AB350" s="1498"/>
      <c r="AC350" s="1527"/>
      <c r="AD350" s="1527"/>
      <c r="AE350" s="1527"/>
      <c r="AF350" s="1527"/>
      <c r="AG350" s="1527"/>
      <c r="AH350" s="1527"/>
      <c r="AI350" s="1527"/>
      <c r="AJ350" s="1527"/>
      <c r="AK350" s="1527"/>
      <c r="AL350" s="1527"/>
    </row>
    <row r="351" spans="1:38" s="1485" customFormat="1">
      <c r="A351" s="1495"/>
      <c r="B351" s="1495"/>
      <c r="C351" s="1495"/>
      <c r="D351" s="1495"/>
      <c r="E351" s="1527"/>
      <c r="F351" s="1527"/>
      <c r="G351" s="1527"/>
      <c r="H351" s="1498"/>
      <c r="I351" s="1498"/>
      <c r="J351" s="1506"/>
      <c r="K351" s="1498"/>
      <c r="L351" s="1498"/>
      <c r="M351" s="1498"/>
      <c r="N351" s="1498"/>
      <c r="O351" s="1498"/>
      <c r="P351" s="1498"/>
      <c r="Q351" s="1506"/>
      <c r="R351" s="1498"/>
      <c r="S351" s="1498"/>
      <c r="T351" s="1498"/>
      <c r="U351" s="1498"/>
      <c r="V351" s="1498"/>
      <c r="W351" s="1498"/>
      <c r="X351" s="1498"/>
      <c r="Y351" s="1498"/>
      <c r="Z351" s="1498"/>
      <c r="AA351" s="1498"/>
      <c r="AB351" s="1498"/>
      <c r="AC351" s="1527"/>
      <c r="AD351" s="1527"/>
      <c r="AE351" s="1527"/>
      <c r="AF351" s="1527"/>
      <c r="AG351" s="1527"/>
      <c r="AH351" s="1527"/>
      <c r="AI351" s="1527"/>
      <c r="AJ351" s="1527"/>
      <c r="AK351" s="1527"/>
      <c r="AL351" s="1527"/>
    </row>
    <row r="352" spans="1:38" s="1485" customFormat="1">
      <c r="A352" s="1495"/>
      <c r="B352" s="1495"/>
      <c r="C352" s="1495"/>
      <c r="D352" s="1495"/>
      <c r="E352" s="1527"/>
      <c r="F352" s="1527"/>
      <c r="G352" s="1527"/>
      <c r="H352" s="1498"/>
      <c r="I352" s="1498"/>
      <c r="J352" s="1506"/>
      <c r="K352" s="1498"/>
      <c r="L352" s="1498"/>
      <c r="M352" s="1498"/>
      <c r="N352" s="1498"/>
      <c r="O352" s="1498"/>
      <c r="P352" s="1498"/>
      <c r="Q352" s="1506"/>
      <c r="R352" s="1498"/>
      <c r="S352" s="1498"/>
      <c r="T352" s="1498"/>
      <c r="U352" s="1498"/>
      <c r="V352" s="1498"/>
      <c r="W352" s="1498"/>
      <c r="X352" s="1498"/>
      <c r="Y352" s="1498"/>
      <c r="Z352" s="1498"/>
      <c r="AA352" s="1498"/>
      <c r="AB352" s="1498"/>
      <c r="AC352" s="1527"/>
      <c r="AD352" s="1527"/>
      <c r="AE352" s="1527"/>
      <c r="AF352" s="1527"/>
      <c r="AG352" s="1527"/>
      <c r="AH352" s="1527"/>
      <c r="AI352" s="1527"/>
      <c r="AJ352" s="1527"/>
      <c r="AK352" s="1527"/>
      <c r="AL352" s="1527"/>
    </row>
    <row r="353" spans="1:38" s="1485" customFormat="1">
      <c r="A353" s="1495"/>
      <c r="B353" s="1495"/>
      <c r="C353" s="1495"/>
      <c r="D353" s="1495"/>
      <c r="E353" s="1527"/>
      <c r="F353" s="1527"/>
      <c r="G353" s="1527"/>
      <c r="H353" s="1498"/>
      <c r="I353" s="1498"/>
      <c r="J353" s="1506"/>
      <c r="K353" s="1498"/>
      <c r="L353" s="1498"/>
      <c r="M353" s="1498"/>
      <c r="N353" s="1498"/>
      <c r="O353" s="1498"/>
      <c r="P353" s="1498"/>
      <c r="Q353" s="1506"/>
      <c r="R353" s="1498"/>
      <c r="S353" s="1498"/>
      <c r="T353" s="1498"/>
      <c r="U353" s="1498"/>
      <c r="V353" s="1498"/>
      <c r="W353" s="1498"/>
      <c r="X353" s="1498"/>
      <c r="Y353" s="1498"/>
      <c r="Z353" s="1498"/>
      <c r="AA353" s="1498"/>
      <c r="AB353" s="1498"/>
      <c r="AC353" s="1527"/>
      <c r="AD353" s="1527"/>
      <c r="AE353" s="1527"/>
      <c r="AF353" s="1527"/>
      <c r="AG353" s="1527"/>
      <c r="AH353" s="1527"/>
      <c r="AI353" s="1527"/>
      <c r="AJ353" s="1527"/>
      <c r="AK353" s="1527"/>
      <c r="AL353" s="1527"/>
    </row>
    <row r="354" spans="1:38" s="1485" customFormat="1">
      <c r="A354" s="1495"/>
      <c r="B354" s="1495"/>
      <c r="C354" s="1495"/>
      <c r="D354" s="1495"/>
      <c r="E354" s="1527"/>
      <c r="F354" s="1527"/>
      <c r="G354" s="1527"/>
      <c r="H354" s="1498"/>
      <c r="I354" s="1498"/>
      <c r="J354" s="1506"/>
      <c r="K354" s="1498"/>
      <c r="L354" s="1498"/>
      <c r="M354" s="1498"/>
      <c r="N354" s="1498"/>
      <c r="O354" s="1498"/>
      <c r="P354" s="1498"/>
      <c r="Q354" s="1506"/>
      <c r="R354" s="1498"/>
      <c r="S354" s="1498"/>
      <c r="T354" s="1498"/>
      <c r="U354" s="1498"/>
      <c r="V354" s="1498"/>
      <c r="W354" s="1498"/>
      <c r="X354" s="1498"/>
      <c r="Y354" s="1498"/>
      <c r="Z354" s="1498"/>
      <c r="AA354" s="1498"/>
      <c r="AB354" s="1498"/>
      <c r="AC354" s="1527"/>
      <c r="AD354" s="1527"/>
      <c r="AE354" s="1527"/>
      <c r="AF354" s="1527"/>
      <c r="AG354" s="1527"/>
      <c r="AH354" s="1527"/>
      <c r="AI354" s="1527"/>
      <c r="AJ354" s="1527"/>
      <c r="AK354" s="1527"/>
      <c r="AL354" s="1527"/>
    </row>
    <row r="355" spans="1:38" s="1485" customFormat="1">
      <c r="A355" s="1495"/>
      <c r="B355" s="1495"/>
      <c r="C355" s="1495"/>
      <c r="D355" s="1495"/>
      <c r="E355" s="1527"/>
      <c r="F355" s="1527"/>
      <c r="G355" s="1527"/>
      <c r="H355" s="1498"/>
      <c r="I355" s="1498"/>
      <c r="J355" s="1506"/>
      <c r="K355" s="1498"/>
      <c r="L355" s="1498"/>
      <c r="M355" s="1498"/>
      <c r="N355" s="1498"/>
      <c r="O355" s="1498"/>
      <c r="P355" s="1498"/>
      <c r="Q355" s="1506"/>
      <c r="R355" s="1498"/>
      <c r="S355" s="1498"/>
      <c r="T355" s="1498"/>
      <c r="U355" s="1498"/>
      <c r="V355" s="1498"/>
      <c r="W355" s="1498"/>
      <c r="X355" s="1498"/>
      <c r="Y355" s="1498"/>
      <c r="Z355" s="1498"/>
      <c r="AA355" s="1498"/>
      <c r="AB355" s="1498"/>
      <c r="AC355" s="1527"/>
      <c r="AD355" s="1527"/>
      <c r="AE355" s="1527"/>
      <c r="AF355" s="1527"/>
      <c r="AG355" s="1527"/>
      <c r="AH355" s="1527"/>
      <c r="AI355" s="1527"/>
      <c r="AJ355" s="1527"/>
      <c r="AK355" s="1527"/>
      <c r="AL355" s="1527"/>
    </row>
    <row r="356" spans="1:38" s="1485" customFormat="1">
      <c r="A356" s="1495"/>
      <c r="B356" s="1495"/>
      <c r="C356" s="1495"/>
      <c r="D356" s="1495"/>
      <c r="E356" s="1527"/>
      <c r="F356" s="1527"/>
      <c r="G356" s="1527"/>
      <c r="H356" s="1498"/>
      <c r="I356" s="1498"/>
      <c r="J356" s="1506"/>
      <c r="K356" s="1498"/>
      <c r="L356" s="1498"/>
      <c r="M356" s="1498"/>
      <c r="N356" s="1498"/>
      <c r="O356" s="1498"/>
      <c r="P356" s="1498"/>
      <c r="Q356" s="1506"/>
      <c r="R356" s="1498"/>
      <c r="S356" s="1498"/>
      <c r="T356" s="1498"/>
      <c r="U356" s="1498"/>
      <c r="V356" s="1498"/>
      <c r="W356" s="1498"/>
      <c r="X356" s="1498"/>
      <c r="Y356" s="1498"/>
      <c r="Z356" s="1498"/>
      <c r="AA356" s="1498"/>
      <c r="AB356" s="1498"/>
      <c r="AC356" s="1527"/>
      <c r="AD356" s="1527"/>
      <c r="AE356" s="1527"/>
      <c r="AF356" s="1527"/>
      <c r="AG356" s="1527"/>
      <c r="AH356" s="1527"/>
      <c r="AI356" s="1527"/>
      <c r="AJ356" s="1527"/>
      <c r="AK356" s="1527"/>
      <c r="AL356" s="1527"/>
    </row>
    <row r="357" spans="1:38" s="1485" customFormat="1">
      <c r="A357" s="1495"/>
      <c r="B357" s="1495"/>
      <c r="C357" s="1495"/>
      <c r="D357" s="1495"/>
      <c r="E357" s="1527"/>
      <c r="F357" s="1527"/>
      <c r="G357" s="1527"/>
      <c r="H357" s="1498"/>
      <c r="I357" s="1498"/>
      <c r="J357" s="1506"/>
      <c r="K357" s="1498"/>
      <c r="L357" s="1498"/>
      <c r="M357" s="1498"/>
      <c r="N357" s="1498"/>
      <c r="O357" s="1498"/>
      <c r="P357" s="1498"/>
      <c r="Q357" s="1506"/>
      <c r="R357" s="1498"/>
      <c r="S357" s="1498"/>
      <c r="T357" s="1498"/>
      <c r="U357" s="1498"/>
      <c r="V357" s="1498"/>
      <c r="W357" s="1498"/>
      <c r="X357" s="1498"/>
      <c r="Y357" s="1498"/>
      <c r="Z357" s="1498"/>
      <c r="AA357" s="1498"/>
      <c r="AB357" s="1498"/>
      <c r="AC357" s="1527"/>
      <c r="AD357" s="1527"/>
      <c r="AE357" s="1527"/>
      <c r="AF357" s="1527"/>
      <c r="AG357" s="1527"/>
      <c r="AH357" s="1527"/>
      <c r="AI357" s="1527"/>
      <c r="AJ357" s="1527"/>
      <c r="AK357" s="1527"/>
      <c r="AL357" s="1527"/>
    </row>
    <row r="358" spans="1:38" s="1485" customFormat="1">
      <c r="A358" s="1495"/>
      <c r="B358" s="1495"/>
      <c r="C358" s="1495"/>
      <c r="D358" s="1495"/>
      <c r="E358" s="1527"/>
      <c r="F358" s="1527"/>
      <c r="G358" s="1527"/>
      <c r="H358" s="1498"/>
      <c r="I358" s="1498"/>
      <c r="J358" s="1506"/>
      <c r="K358" s="1498"/>
      <c r="L358" s="1498"/>
      <c r="M358" s="1498"/>
      <c r="N358" s="1498"/>
      <c r="O358" s="1498"/>
      <c r="P358" s="1498"/>
      <c r="Q358" s="1506"/>
      <c r="R358" s="1498"/>
      <c r="S358" s="1498"/>
      <c r="T358" s="1498"/>
      <c r="U358" s="1498"/>
      <c r="V358" s="1498"/>
      <c r="W358" s="1498"/>
      <c r="X358" s="1498"/>
      <c r="Y358" s="1498"/>
      <c r="Z358" s="1498"/>
      <c r="AA358" s="1498"/>
      <c r="AB358" s="1498"/>
      <c r="AC358" s="1527"/>
      <c r="AD358" s="1527"/>
      <c r="AE358" s="1527"/>
      <c r="AF358" s="1527"/>
      <c r="AG358" s="1527"/>
      <c r="AH358" s="1527"/>
      <c r="AI358" s="1527"/>
      <c r="AJ358" s="1527"/>
      <c r="AK358" s="1527"/>
      <c r="AL358" s="1527"/>
    </row>
    <row r="359" spans="1:38" s="1485" customFormat="1">
      <c r="A359" s="1495"/>
      <c r="B359" s="1495"/>
      <c r="C359" s="1495"/>
      <c r="D359" s="1495"/>
      <c r="E359" s="1527"/>
      <c r="F359" s="1527"/>
      <c r="G359" s="1527"/>
      <c r="H359" s="1498"/>
      <c r="I359" s="1498"/>
      <c r="J359" s="1506"/>
      <c r="K359" s="1498"/>
      <c r="L359" s="1498"/>
      <c r="M359" s="1498"/>
      <c r="N359" s="1498"/>
      <c r="O359" s="1498"/>
      <c r="P359" s="1498"/>
      <c r="Q359" s="1506"/>
      <c r="R359" s="1498"/>
      <c r="S359" s="1498"/>
      <c r="T359" s="1498"/>
      <c r="U359" s="1498"/>
      <c r="V359" s="1498"/>
      <c r="W359" s="1498"/>
      <c r="X359" s="1498"/>
      <c r="Y359" s="1498"/>
      <c r="Z359" s="1498"/>
      <c r="AA359" s="1498"/>
      <c r="AB359" s="1498"/>
      <c r="AC359" s="1527"/>
      <c r="AD359" s="1527"/>
      <c r="AE359" s="1527"/>
      <c r="AF359" s="1527"/>
      <c r="AG359" s="1527"/>
      <c r="AH359" s="1527"/>
      <c r="AI359" s="1527"/>
      <c r="AJ359" s="1527"/>
      <c r="AK359" s="1527"/>
      <c r="AL359" s="1527"/>
    </row>
    <row r="360" spans="1:38" s="1485" customFormat="1">
      <c r="A360" s="1495"/>
      <c r="B360" s="1495"/>
      <c r="C360" s="1495"/>
      <c r="D360" s="1495"/>
      <c r="E360" s="1527"/>
      <c r="F360" s="1527"/>
      <c r="G360" s="1527"/>
      <c r="H360" s="1498"/>
      <c r="I360" s="1498"/>
      <c r="J360" s="1506"/>
      <c r="K360" s="1498"/>
      <c r="L360" s="1498"/>
      <c r="M360" s="1498"/>
      <c r="N360" s="1498"/>
      <c r="O360" s="1498"/>
      <c r="P360" s="1498"/>
      <c r="Q360" s="1506"/>
      <c r="R360" s="1498"/>
      <c r="S360" s="1498"/>
      <c r="T360" s="1498"/>
      <c r="U360" s="1498"/>
      <c r="V360" s="1498"/>
      <c r="W360" s="1498"/>
      <c r="X360" s="1498"/>
      <c r="Y360" s="1498"/>
      <c r="Z360" s="1498"/>
      <c r="AA360" s="1498"/>
      <c r="AB360" s="1498"/>
      <c r="AC360" s="1527"/>
      <c r="AD360" s="1527"/>
      <c r="AE360" s="1527"/>
      <c r="AF360" s="1527"/>
      <c r="AG360" s="1527"/>
      <c r="AH360" s="1527"/>
      <c r="AI360" s="1527"/>
      <c r="AJ360" s="1527"/>
      <c r="AK360" s="1527"/>
      <c r="AL360" s="1527"/>
    </row>
    <row r="361" spans="1:38" s="1485" customFormat="1">
      <c r="A361" s="1495"/>
      <c r="B361" s="1495"/>
      <c r="C361" s="1495"/>
      <c r="D361" s="1495"/>
      <c r="E361" s="1527"/>
      <c r="F361" s="1527"/>
      <c r="G361" s="1527"/>
      <c r="H361" s="1498"/>
      <c r="I361" s="1498"/>
      <c r="J361" s="1506"/>
      <c r="K361" s="1498"/>
      <c r="L361" s="1498"/>
      <c r="M361" s="1498"/>
      <c r="N361" s="1498"/>
      <c r="O361" s="1498"/>
      <c r="P361" s="1498"/>
      <c r="Q361" s="1506"/>
      <c r="R361" s="1498"/>
      <c r="S361" s="1498"/>
      <c r="T361" s="1498"/>
      <c r="U361" s="1498"/>
      <c r="V361" s="1498"/>
      <c r="W361" s="1498"/>
      <c r="X361" s="1498"/>
      <c r="Y361" s="1498"/>
      <c r="Z361" s="1498"/>
      <c r="AA361" s="1498"/>
      <c r="AB361" s="1498"/>
      <c r="AC361" s="1527"/>
      <c r="AD361" s="1527"/>
      <c r="AE361" s="1527"/>
      <c r="AF361" s="1527"/>
      <c r="AG361" s="1527"/>
      <c r="AH361" s="1527"/>
      <c r="AI361" s="1527"/>
      <c r="AJ361" s="1527"/>
      <c r="AK361" s="1527"/>
      <c r="AL361" s="1527"/>
    </row>
    <row r="362" spans="1:38" s="1485" customFormat="1">
      <c r="A362" s="1495"/>
      <c r="B362" s="1495"/>
      <c r="C362" s="1495"/>
      <c r="D362" s="1495"/>
      <c r="E362" s="1527"/>
      <c r="F362" s="1527"/>
      <c r="G362" s="1527"/>
      <c r="H362" s="1498"/>
      <c r="I362" s="1498"/>
      <c r="J362" s="1506"/>
      <c r="K362" s="1498"/>
      <c r="L362" s="1498"/>
      <c r="M362" s="1498"/>
      <c r="N362" s="1498"/>
      <c r="O362" s="1498"/>
      <c r="P362" s="1498"/>
      <c r="Q362" s="1506"/>
      <c r="R362" s="1498"/>
      <c r="S362" s="1498"/>
      <c r="T362" s="1498"/>
      <c r="U362" s="1498"/>
      <c r="V362" s="1498"/>
      <c r="W362" s="1498"/>
      <c r="X362" s="1498"/>
      <c r="Y362" s="1498"/>
      <c r="Z362" s="1498"/>
      <c r="AA362" s="1498"/>
      <c r="AB362" s="1498"/>
      <c r="AC362" s="1527"/>
      <c r="AD362" s="1527"/>
      <c r="AE362" s="1527"/>
      <c r="AF362" s="1527"/>
      <c r="AG362" s="1527"/>
      <c r="AH362" s="1527"/>
      <c r="AI362" s="1527"/>
      <c r="AJ362" s="1527"/>
      <c r="AK362" s="1527"/>
      <c r="AL362" s="1527"/>
    </row>
    <row r="363" spans="1:38" s="1485" customFormat="1">
      <c r="A363" s="1495"/>
      <c r="B363" s="1495"/>
      <c r="C363" s="1495"/>
      <c r="D363" s="1495"/>
      <c r="E363" s="1527"/>
      <c r="F363" s="1527"/>
      <c r="G363" s="1527"/>
      <c r="H363" s="1498"/>
      <c r="I363" s="1498"/>
      <c r="J363" s="1506"/>
      <c r="K363" s="1498"/>
      <c r="L363" s="1498"/>
      <c r="M363" s="1498"/>
      <c r="N363" s="1498"/>
      <c r="O363" s="1498"/>
      <c r="P363" s="1498"/>
      <c r="Q363" s="1506"/>
      <c r="R363" s="1498"/>
      <c r="S363" s="1498"/>
      <c r="T363" s="1498"/>
      <c r="U363" s="1498"/>
      <c r="V363" s="1498"/>
      <c r="W363" s="1498"/>
      <c r="X363" s="1498"/>
      <c r="Y363" s="1498"/>
      <c r="Z363" s="1498"/>
      <c r="AA363" s="1498"/>
      <c r="AB363" s="1498"/>
      <c r="AC363" s="1527"/>
      <c r="AD363" s="1527"/>
      <c r="AE363" s="1527"/>
      <c r="AF363" s="1527"/>
      <c r="AG363" s="1527"/>
      <c r="AH363" s="1527"/>
      <c r="AI363" s="1527"/>
      <c r="AJ363" s="1527"/>
      <c r="AK363" s="1527"/>
      <c r="AL363" s="1527"/>
    </row>
    <row r="364" spans="1:38" s="1485" customFormat="1">
      <c r="A364" s="1495"/>
      <c r="B364" s="1495"/>
      <c r="C364" s="1495"/>
      <c r="D364" s="1495"/>
      <c r="E364" s="1527"/>
      <c r="F364" s="1527"/>
      <c r="G364" s="1527"/>
      <c r="H364" s="1498"/>
      <c r="I364" s="1498"/>
      <c r="J364" s="1506"/>
      <c r="K364" s="1498"/>
      <c r="L364" s="1498"/>
      <c r="M364" s="1498"/>
      <c r="N364" s="1498"/>
      <c r="O364" s="1498"/>
      <c r="P364" s="1498"/>
      <c r="Q364" s="1506"/>
      <c r="R364" s="1498"/>
      <c r="S364" s="1498"/>
      <c r="T364" s="1498"/>
      <c r="U364" s="1498"/>
      <c r="V364" s="1498"/>
      <c r="W364" s="1498"/>
      <c r="X364" s="1498"/>
      <c r="Y364" s="1498"/>
      <c r="Z364" s="1498"/>
      <c r="AA364" s="1498"/>
      <c r="AB364" s="1498"/>
      <c r="AC364" s="1527"/>
      <c r="AD364" s="1527"/>
      <c r="AE364" s="1527"/>
      <c r="AF364" s="1527"/>
      <c r="AG364" s="1527"/>
      <c r="AH364" s="1527"/>
      <c r="AI364" s="1527"/>
      <c r="AJ364" s="1527"/>
      <c r="AK364" s="1527"/>
      <c r="AL364" s="1527"/>
    </row>
    <row r="365" spans="1:38" s="1485" customFormat="1">
      <c r="A365" s="1495"/>
      <c r="B365" s="1495"/>
      <c r="C365" s="1495"/>
      <c r="D365" s="1495"/>
      <c r="E365" s="1527"/>
      <c r="F365" s="1527"/>
      <c r="G365" s="1527"/>
      <c r="H365" s="1498"/>
      <c r="I365" s="1498"/>
      <c r="J365" s="1506"/>
      <c r="K365" s="1498"/>
      <c r="L365" s="1498"/>
      <c r="M365" s="1498"/>
      <c r="N365" s="1498"/>
      <c r="O365" s="1498"/>
      <c r="P365" s="1498"/>
      <c r="Q365" s="1506"/>
      <c r="R365" s="1498"/>
      <c r="S365" s="1498"/>
      <c r="T365" s="1498"/>
      <c r="U365" s="1498"/>
      <c r="V365" s="1498"/>
      <c r="W365" s="1498"/>
      <c r="X365" s="1498"/>
      <c r="Y365" s="1498"/>
      <c r="Z365" s="1498"/>
      <c r="AA365" s="1498"/>
      <c r="AB365" s="1498"/>
      <c r="AC365" s="1527"/>
      <c r="AD365" s="1527"/>
      <c r="AE365" s="1527"/>
      <c r="AF365" s="1527"/>
      <c r="AG365" s="1527"/>
      <c r="AH365" s="1527"/>
      <c r="AI365" s="1527"/>
      <c r="AJ365" s="1527"/>
      <c r="AK365" s="1527"/>
      <c r="AL365" s="1527"/>
    </row>
    <row r="366" spans="1:38" s="1485" customFormat="1">
      <c r="A366" s="1495"/>
      <c r="B366" s="1495"/>
      <c r="C366" s="1495"/>
      <c r="D366" s="1495"/>
      <c r="E366" s="1527"/>
      <c r="F366" s="1527"/>
      <c r="G366" s="1527"/>
      <c r="H366" s="1498"/>
      <c r="I366" s="1498"/>
      <c r="J366" s="1506"/>
      <c r="K366" s="1498"/>
      <c r="L366" s="1498"/>
      <c r="M366" s="1498"/>
      <c r="N366" s="1498"/>
      <c r="O366" s="1498"/>
      <c r="P366" s="1498"/>
      <c r="Q366" s="1506"/>
      <c r="R366" s="1498"/>
      <c r="S366" s="1498"/>
      <c r="T366" s="1498"/>
      <c r="U366" s="1498"/>
      <c r="V366" s="1498"/>
      <c r="W366" s="1498"/>
      <c r="X366" s="1498"/>
      <c r="Y366" s="1498"/>
      <c r="Z366" s="1498"/>
      <c r="AA366" s="1498"/>
      <c r="AB366" s="1498"/>
      <c r="AC366" s="1527"/>
      <c r="AD366" s="1527"/>
      <c r="AE366" s="1527"/>
      <c r="AF366" s="1527"/>
      <c r="AG366" s="1527"/>
      <c r="AH366" s="1527"/>
      <c r="AI366" s="1527"/>
      <c r="AJ366" s="1527"/>
      <c r="AK366" s="1527"/>
      <c r="AL366" s="1527"/>
    </row>
    <row r="367" spans="1:38" s="1485" customFormat="1">
      <c r="A367" s="1495"/>
      <c r="B367" s="1495"/>
      <c r="C367" s="1495"/>
      <c r="D367" s="1495"/>
      <c r="E367" s="1527"/>
      <c r="F367" s="1527"/>
      <c r="G367" s="1527"/>
      <c r="H367" s="1498"/>
      <c r="I367" s="1498"/>
      <c r="J367" s="1506"/>
      <c r="K367" s="1498"/>
      <c r="L367" s="1498"/>
      <c r="M367" s="1498"/>
      <c r="N367" s="1498"/>
      <c r="O367" s="1498"/>
      <c r="P367" s="1498"/>
      <c r="Q367" s="1506"/>
      <c r="R367" s="1498"/>
      <c r="S367" s="1498"/>
      <c r="T367" s="1498"/>
      <c r="U367" s="1498"/>
      <c r="V367" s="1498"/>
      <c r="W367" s="1498"/>
      <c r="X367" s="1498"/>
      <c r="Y367" s="1498"/>
      <c r="Z367" s="1498"/>
      <c r="AA367" s="1498"/>
      <c r="AB367" s="1498"/>
      <c r="AC367" s="1527"/>
      <c r="AD367" s="1527"/>
      <c r="AE367" s="1527"/>
      <c r="AF367" s="1527"/>
      <c r="AG367" s="1527"/>
      <c r="AH367" s="1527"/>
      <c r="AI367" s="1527"/>
      <c r="AJ367" s="1527"/>
      <c r="AK367" s="1527"/>
      <c r="AL367" s="1527"/>
    </row>
    <row r="368" spans="1:38" s="1485" customFormat="1">
      <c r="A368" s="1495"/>
      <c r="B368" s="1495"/>
      <c r="C368" s="1495"/>
      <c r="D368" s="1495"/>
      <c r="E368" s="1527"/>
      <c r="F368" s="1527"/>
      <c r="G368" s="1527"/>
      <c r="H368" s="1498"/>
      <c r="I368" s="1498"/>
      <c r="J368" s="1506"/>
      <c r="K368" s="1498"/>
      <c r="L368" s="1498"/>
      <c r="M368" s="1498"/>
      <c r="N368" s="1498"/>
      <c r="O368" s="1498"/>
      <c r="P368" s="1498"/>
      <c r="Q368" s="1506"/>
      <c r="R368" s="1498"/>
      <c r="S368" s="1498"/>
      <c r="T368" s="1498"/>
      <c r="U368" s="1498"/>
      <c r="V368" s="1498"/>
      <c r="W368" s="1498"/>
      <c r="X368" s="1498"/>
      <c r="Y368" s="1498"/>
      <c r="Z368" s="1498"/>
      <c r="AA368" s="1498"/>
      <c r="AB368" s="1498"/>
      <c r="AC368" s="1527"/>
      <c r="AD368" s="1527"/>
      <c r="AE368" s="1527"/>
      <c r="AF368" s="1527"/>
      <c r="AG368" s="1527"/>
      <c r="AH368" s="1527"/>
      <c r="AI368" s="1527"/>
      <c r="AJ368" s="1527"/>
      <c r="AK368" s="1527"/>
      <c r="AL368" s="1527"/>
    </row>
    <row r="369" spans="1:38" s="1485" customFormat="1">
      <c r="A369" s="1495"/>
      <c r="B369" s="1495"/>
      <c r="C369" s="1495"/>
      <c r="D369" s="1495"/>
      <c r="E369" s="1527"/>
      <c r="F369" s="1527"/>
      <c r="G369" s="1527"/>
      <c r="H369" s="1498"/>
      <c r="I369" s="1498"/>
      <c r="J369" s="1506"/>
      <c r="K369" s="1498"/>
      <c r="L369" s="1498"/>
      <c r="M369" s="1498"/>
      <c r="N369" s="1498"/>
      <c r="O369" s="1498"/>
      <c r="P369" s="1498"/>
      <c r="Q369" s="1506"/>
      <c r="R369" s="1498"/>
      <c r="S369" s="1498"/>
      <c r="T369" s="1498"/>
      <c r="U369" s="1498"/>
      <c r="V369" s="1498"/>
      <c r="W369" s="1498"/>
      <c r="X369" s="1498"/>
      <c r="Y369" s="1498"/>
      <c r="Z369" s="1498"/>
      <c r="AA369" s="1498"/>
      <c r="AB369" s="1498"/>
      <c r="AC369" s="1527"/>
      <c r="AD369" s="1527"/>
      <c r="AE369" s="1527"/>
      <c r="AF369" s="1527"/>
      <c r="AG369" s="1527"/>
      <c r="AH369" s="1527"/>
      <c r="AI369" s="1527"/>
      <c r="AJ369" s="1527"/>
      <c r="AK369" s="1527"/>
      <c r="AL369" s="1527"/>
    </row>
    <row r="370" spans="1:38" s="1485" customFormat="1">
      <c r="A370" s="1495"/>
      <c r="B370" s="1495"/>
      <c r="C370" s="1495"/>
      <c r="D370" s="1495"/>
      <c r="E370" s="1527"/>
      <c r="F370" s="1527"/>
      <c r="G370" s="1527"/>
      <c r="H370" s="1498"/>
      <c r="I370" s="1498"/>
      <c r="J370" s="1506"/>
      <c r="K370" s="1498"/>
      <c r="L370" s="1498"/>
      <c r="M370" s="1498"/>
      <c r="N370" s="1498"/>
      <c r="O370" s="1498"/>
      <c r="P370" s="1498"/>
      <c r="Q370" s="1506"/>
      <c r="R370" s="1498"/>
      <c r="S370" s="1498"/>
      <c r="T370" s="1498"/>
      <c r="U370" s="1498"/>
      <c r="V370" s="1498"/>
      <c r="W370" s="1498"/>
      <c r="X370" s="1498"/>
      <c r="Y370" s="1498"/>
      <c r="Z370" s="1498"/>
      <c r="AA370" s="1498"/>
      <c r="AB370" s="1498"/>
      <c r="AC370" s="1527"/>
      <c r="AD370" s="1527"/>
      <c r="AE370" s="1527"/>
      <c r="AF370" s="1527"/>
      <c r="AG370" s="1527"/>
      <c r="AH370" s="1527"/>
      <c r="AI370" s="1527"/>
      <c r="AJ370" s="1527"/>
      <c r="AK370" s="1527"/>
      <c r="AL370" s="1527"/>
    </row>
    <row r="371" spans="1:38" s="1485" customFormat="1">
      <c r="A371" s="1495"/>
      <c r="B371" s="1495"/>
      <c r="C371" s="1495"/>
      <c r="D371" s="1495"/>
      <c r="E371" s="1527"/>
      <c r="F371" s="1527"/>
      <c r="G371" s="1527"/>
      <c r="H371" s="1498"/>
      <c r="I371" s="1498"/>
      <c r="J371" s="1506"/>
      <c r="K371" s="1498"/>
      <c r="L371" s="1498"/>
      <c r="M371" s="1498"/>
      <c r="N371" s="1498"/>
      <c r="O371" s="1498"/>
      <c r="P371" s="1498"/>
      <c r="Q371" s="1506"/>
      <c r="R371" s="1498"/>
      <c r="S371" s="1498"/>
      <c r="T371" s="1498"/>
      <c r="U371" s="1498"/>
      <c r="V371" s="1498"/>
      <c r="W371" s="1498"/>
      <c r="X371" s="1498"/>
      <c r="Y371" s="1498"/>
      <c r="Z371" s="1498"/>
      <c r="AA371" s="1498"/>
      <c r="AB371" s="1498"/>
      <c r="AC371" s="1527"/>
      <c r="AD371" s="1527"/>
      <c r="AE371" s="1527"/>
      <c r="AF371" s="1527"/>
      <c r="AG371" s="1527"/>
      <c r="AH371" s="1527"/>
      <c r="AI371" s="1527"/>
      <c r="AJ371" s="1527"/>
      <c r="AK371" s="1527"/>
      <c r="AL371" s="1527"/>
    </row>
    <row r="372" spans="1:38" s="1485" customFormat="1">
      <c r="A372" s="1495"/>
      <c r="B372" s="1495"/>
      <c r="C372" s="1495"/>
      <c r="D372" s="1495"/>
      <c r="E372" s="1527"/>
      <c r="F372" s="1527"/>
      <c r="G372" s="1527"/>
      <c r="H372" s="1498"/>
      <c r="I372" s="1498"/>
      <c r="J372" s="1506"/>
      <c r="K372" s="1498"/>
      <c r="L372" s="1498"/>
      <c r="M372" s="1498"/>
      <c r="N372" s="1498"/>
      <c r="O372" s="1498"/>
      <c r="P372" s="1498"/>
      <c r="Q372" s="1506"/>
      <c r="R372" s="1498"/>
      <c r="S372" s="1498"/>
      <c r="T372" s="1498"/>
      <c r="U372" s="1498"/>
      <c r="V372" s="1498"/>
      <c r="W372" s="1498"/>
      <c r="X372" s="1498"/>
      <c r="Y372" s="1498"/>
      <c r="Z372" s="1498"/>
      <c r="AA372" s="1498"/>
      <c r="AB372" s="1498"/>
      <c r="AC372" s="1527"/>
      <c r="AD372" s="1527"/>
      <c r="AE372" s="1527"/>
      <c r="AF372" s="1527"/>
      <c r="AG372" s="1527"/>
      <c r="AH372" s="1527"/>
      <c r="AI372" s="1527"/>
      <c r="AJ372" s="1527"/>
      <c r="AK372" s="1527"/>
      <c r="AL372" s="1527"/>
    </row>
    <row r="373" spans="1:38" s="1485" customFormat="1">
      <c r="A373" s="1495"/>
      <c r="B373" s="1495"/>
      <c r="C373" s="1495"/>
      <c r="D373" s="1495"/>
      <c r="E373" s="1527"/>
      <c r="F373" s="1527"/>
      <c r="G373" s="1527"/>
      <c r="H373" s="1498"/>
      <c r="I373" s="1498"/>
      <c r="J373" s="1506"/>
      <c r="K373" s="1498"/>
      <c r="L373" s="1498"/>
      <c r="M373" s="1498"/>
      <c r="N373" s="1498"/>
      <c r="O373" s="1498"/>
      <c r="P373" s="1498"/>
      <c r="Q373" s="1506"/>
      <c r="R373" s="1498"/>
      <c r="S373" s="1498"/>
      <c r="T373" s="1498"/>
      <c r="U373" s="1498"/>
      <c r="V373" s="1498"/>
      <c r="W373" s="1498"/>
      <c r="X373" s="1498"/>
      <c r="Y373" s="1498"/>
      <c r="Z373" s="1498"/>
      <c r="AA373" s="1498"/>
      <c r="AB373" s="1498"/>
      <c r="AC373" s="1527"/>
      <c r="AD373" s="1527"/>
      <c r="AE373" s="1527"/>
      <c r="AF373" s="1527"/>
      <c r="AG373" s="1527"/>
      <c r="AH373" s="1527"/>
      <c r="AI373" s="1527"/>
      <c r="AJ373" s="1527"/>
      <c r="AK373" s="1527"/>
      <c r="AL373" s="1527"/>
    </row>
    <row r="374" spans="1:38" s="1485" customFormat="1">
      <c r="A374" s="1495"/>
      <c r="B374" s="1495"/>
      <c r="C374" s="1495"/>
      <c r="D374" s="1495"/>
      <c r="E374" s="1527"/>
      <c r="F374" s="1527"/>
      <c r="G374" s="1527"/>
      <c r="H374" s="1498"/>
      <c r="I374" s="1498"/>
      <c r="J374" s="1506"/>
      <c r="K374" s="1498"/>
      <c r="L374" s="1498"/>
      <c r="M374" s="1498"/>
      <c r="N374" s="1498"/>
      <c r="O374" s="1498"/>
      <c r="P374" s="1498"/>
      <c r="Q374" s="1506"/>
      <c r="R374" s="1498"/>
      <c r="S374" s="1498"/>
      <c r="T374" s="1498"/>
      <c r="U374" s="1498"/>
      <c r="V374" s="1498"/>
      <c r="W374" s="1498"/>
      <c r="X374" s="1498"/>
      <c r="Y374" s="1498"/>
      <c r="Z374" s="1498"/>
      <c r="AA374" s="1498"/>
      <c r="AB374" s="1498"/>
      <c r="AC374" s="1527"/>
      <c r="AD374" s="1527"/>
      <c r="AE374" s="1527"/>
      <c r="AF374" s="1527"/>
      <c r="AG374" s="1527"/>
      <c r="AH374" s="1527"/>
      <c r="AI374" s="1527"/>
      <c r="AJ374" s="1527"/>
      <c r="AK374" s="1527"/>
      <c r="AL374" s="1527"/>
    </row>
    <row r="375" spans="1:38" s="1485" customFormat="1">
      <c r="A375" s="1495"/>
      <c r="B375" s="1495"/>
      <c r="C375" s="1495"/>
      <c r="D375" s="1495"/>
      <c r="E375" s="1527"/>
      <c r="F375" s="1527"/>
      <c r="G375" s="1527"/>
      <c r="H375" s="1498"/>
      <c r="I375" s="1498"/>
      <c r="J375" s="1506"/>
      <c r="K375" s="1498"/>
      <c r="L375" s="1498"/>
      <c r="M375" s="1498"/>
      <c r="N375" s="1498"/>
      <c r="O375" s="1498"/>
      <c r="P375" s="1498"/>
      <c r="Q375" s="1506"/>
      <c r="R375" s="1498"/>
      <c r="S375" s="1498"/>
      <c r="T375" s="1498"/>
      <c r="U375" s="1498"/>
      <c r="V375" s="1498"/>
      <c r="W375" s="1498"/>
      <c r="X375" s="1498"/>
      <c r="Y375" s="1498"/>
      <c r="Z375" s="1498"/>
      <c r="AA375" s="1498"/>
      <c r="AB375" s="1498"/>
      <c r="AC375" s="1527"/>
      <c r="AD375" s="1527"/>
      <c r="AE375" s="1527"/>
      <c r="AF375" s="1527"/>
      <c r="AG375" s="1527"/>
      <c r="AH375" s="1527"/>
      <c r="AI375" s="1527"/>
      <c r="AJ375" s="1527"/>
      <c r="AK375" s="1527"/>
      <c r="AL375" s="1527"/>
    </row>
    <row r="376" spans="1:38" s="1485" customFormat="1">
      <c r="A376" s="1495"/>
      <c r="B376" s="1495"/>
      <c r="C376" s="1495"/>
      <c r="D376" s="1495"/>
      <c r="E376" s="1527"/>
      <c r="F376" s="1527"/>
      <c r="G376" s="1527"/>
      <c r="H376" s="1498"/>
      <c r="I376" s="1498"/>
      <c r="J376" s="1506"/>
      <c r="K376" s="1498"/>
      <c r="L376" s="1498"/>
      <c r="M376" s="1498"/>
      <c r="N376" s="1498"/>
      <c r="O376" s="1498"/>
      <c r="P376" s="1498"/>
      <c r="Q376" s="1506"/>
      <c r="R376" s="1498"/>
      <c r="S376" s="1498"/>
      <c r="T376" s="1498"/>
      <c r="U376" s="1498"/>
      <c r="V376" s="1498"/>
      <c r="W376" s="1498"/>
      <c r="X376" s="1498"/>
      <c r="Y376" s="1498"/>
      <c r="Z376" s="1498"/>
      <c r="AA376" s="1498"/>
      <c r="AB376" s="1498"/>
      <c r="AC376" s="1527"/>
      <c r="AD376" s="1527"/>
      <c r="AE376" s="1527"/>
      <c r="AF376" s="1527"/>
      <c r="AG376" s="1527"/>
      <c r="AH376" s="1527"/>
      <c r="AI376" s="1527"/>
      <c r="AJ376" s="1527"/>
      <c r="AK376" s="1527"/>
      <c r="AL376" s="1527"/>
    </row>
    <row r="377" spans="1:38" s="1485" customFormat="1">
      <c r="A377" s="1495"/>
      <c r="B377" s="1495"/>
      <c r="C377" s="1495"/>
      <c r="D377" s="1495"/>
      <c r="E377" s="1527"/>
      <c r="F377" s="1527"/>
      <c r="G377" s="1527"/>
      <c r="H377" s="1498"/>
      <c r="I377" s="1498"/>
      <c r="J377" s="1506"/>
      <c r="K377" s="1498"/>
      <c r="L377" s="1498"/>
      <c r="M377" s="1498"/>
      <c r="N377" s="1498"/>
      <c r="O377" s="1498"/>
      <c r="P377" s="1498"/>
      <c r="Q377" s="1506"/>
      <c r="R377" s="1498"/>
      <c r="S377" s="1498"/>
      <c r="T377" s="1498"/>
      <c r="U377" s="1498"/>
      <c r="V377" s="1498"/>
      <c r="W377" s="1498"/>
      <c r="X377" s="1498"/>
      <c r="Y377" s="1498"/>
      <c r="Z377" s="1498"/>
      <c r="AA377" s="1498"/>
      <c r="AB377" s="1498"/>
      <c r="AC377" s="1527"/>
      <c r="AD377" s="1527"/>
      <c r="AE377" s="1527"/>
      <c r="AF377" s="1527"/>
      <c r="AG377" s="1527"/>
      <c r="AH377" s="1527"/>
      <c r="AI377" s="1527"/>
      <c r="AJ377" s="1527"/>
      <c r="AK377" s="1527"/>
      <c r="AL377" s="1527"/>
    </row>
    <row r="378" spans="1:38" s="1485" customFormat="1">
      <c r="A378" s="1495"/>
      <c r="B378" s="1495"/>
      <c r="C378" s="1495"/>
      <c r="D378" s="1495"/>
      <c r="E378" s="1527"/>
      <c r="F378" s="1527"/>
      <c r="G378" s="1527"/>
      <c r="H378" s="1498"/>
      <c r="I378" s="1498"/>
      <c r="J378" s="1506"/>
      <c r="K378" s="1498"/>
      <c r="L378" s="1498"/>
      <c r="M378" s="1498"/>
      <c r="N378" s="1498"/>
      <c r="O378" s="1498"/>
      <c r="P378" s="1498"/>
      <c r="Q378" s="1506"/>
      <c r="R378" s="1498"/>
      <c r="S378" s="1498"/>
      <c r="T378" s="1498"/>
      <c r="U378" s="1498"/>
      <c r="V378" s="1498"/>
      <c r="W378" s="1498"/>
      <c r="X378" s="1498"/>
      <c r="Y378" s="1498"/>
      <c r="Z378" s="1498"/>
      <c r="AA378" s="1498"/>
      <c r="AB378" s="1498"/>
      <c r="AC378" s="1527"/>
      <c r="AD378" s="1527"/>
      <c r="AE378" s="1527"/>
      <c r="AF378" s="1527"/>
      <c r="AG378" s="1527"/>
      <c r="AH378" s="1527"/>
      <c r="AI378" s="1527"/>
      <c r="AJ378" s="1527"/>
      <c r="AK378" s="1527"/>
      <c r="AL378" s="1527"/>
    </row>
    <row r="379" spans="1:38" s="1485" customFormat="1">
      <c r="A379" s="1495"/>
      <c r="B379" s="1495"/>
      <c r="C379" s="1495"/>
      <c r="D379" s="1495"/>
      <c r="E379" s="1527"/>
      <c r="F379" s="1527"/>
      <c r="G379" s="1527"/>
      <c r="H379" s="1498"/>
      <c r="I379" s="1498"/>
      <c r="J379" s="1506"/>
      <c r="K379" s="1498"/>
      <c r="L379" s="1498"/>
      <c r="M379" s="1498"/>
      <c r="N379" s="1498"/>
      <c r="O379" s="1498"/>
      <c r="P379" s="1498"/>
      <c r="Q379" s="1506"/>
      <c r="R379" s="1498"/>
      <c r="S379" s="1498"/>
      <c r="T379" s="1498"/>
      <c r="U379" s="1498"/>
      <c r="V379" s="1498"/>
      <c r="W379" s="1498"/>
      <c r="X379" s="1498"/>
      <c r="Y379" s="1498"/>
      <c r="Z379" s="1498"/>
      <c r="AA379" s="1498"/>
      <c r="AB379" s="1498"/>
      <c r="AC379" s="1527"/>
      <c r="AD379" s="1527"/>
      <c r="AE379" s="1527"/>
      <c r="AF379" s="1527"/>
      <c r="AG379" s="1527"/>
      <c r="AH379" s="1527"/>
      <c r="AI379" s="1527"/>
      <c r="AJ379" s="1527"/>
      <c r="AK379" s="1527"/>
      <c r="AL379" s="1527"/>
    </row>
    <row r="380" spans="1:38" s="1485" customFormat="1">
      <c r="A380" s="1495"/>
      <c r="B380" s="1495"/>
      <c r="C380" s="1495"/>
      <c r="D380" s="1495"/>
      <c r="E380" s="1527"/>
      <c r="F380" s="1527"/>
      <c r="G380" s="1527"/>
      <c r="H380" s="1498"/>
      <c r="I380" s="1498"/>
      <c r="J380" s="1506"/>
      <c r="K380" s="1498"/>
      <c r="L380" s="1498"/>
      <c r="M380" s="1498"/>
      <c r="N380" s="1498"/>
      <c r="O380" s="1498"/>
      <c r="P380" s="1498"/>
      <c r="Q380" s="1506"/>
      <c r="R380" s="1498"/>
      <c r="S380" s="1498"/>
      <c r="T380" s="1498"/>
      <c r="U380" s="1498"/>
      <c r="V380" s="1498"/>
      <c r="W380" s="1498"/>
      <c r="X380" s="1498"/>
      <c r="Y380" s="1498"/>
      <c r="Z380" s="1498"/>
      <c r="AA380" s="1498"/>
      <c r="AB380" s="1498"/>
      <c r="AC380" s="1527"/>
      <c r="AD380" s="1527"/>
      <c r="AE380" s="1527"/>
      <c r="AF380" s="1527"/>
      <c r="AG380" s="1527"/>
      <c r="AH380" s="1527"/>
      <c r="AI380" s="1527"/>
      <c r="AJ380" s="1527"/>
      <c r="AK380" s="1527"/>
      <c r="AL380" s="1527"/>
    </row>
    <row r="381" spans="1:38" s="1485" customFormat="1">
      <c r="A381" s="1495"/>
      <c r="B381" s="1495"/>
      <c r="C381" s="1495"/>
      <c r="D381" s="1495"/>
      <c r="E381" s="1527"/>
      <c r="F381" s="1527"/>
      <c r="G381" s="1527"/>
      <c r="H381" s="1498"/>
      <c r="I381" s="1498"/>
      <c r="J381" s="1506"/>
      <c r="K381" s="1498"/>
      <c r="L381" s="1498"/>
      <c r="M381" s="1498"/>
      <c r="N381" s="1498"/>
      <c r="O381" s="1498"/>
      <c r="P381" s="1498"/>
      <c r="Q381" s="1506"/>
      <c r="R381" s="1498"/>
      <c r="S381" s="1498"/>
      <c r="T381" s="1498"/>
      <c r="U381" s="1498"/>
      <c r="V381" s="1498"/>
      <c r="W381" s="1498"/>
      <c r="X381" s="1498"/>
      <c r="Y381" s="1498"/>
      <c r="Z381" s="1498"/>
      <c r="AA381" s="1498"/>
      <c r="AB381" s="1498"/>
      <c r="AC381" s="1527"/>
      <c r="AD381" s="1527"/>
      <c r="AE381" s="1527"/>
      <c r="AF381" s="1527"/>
      <c r="AG381" s="1527"/>
      <c r="AH381" s="1527"/>
      <c r="AI381" s="1527"/>
      <c r="AJ381" s="1527"/>
      <c r="AK381" s="1527"/>
      <c r="AL381" s="1527"/>
    </row>
    <row r="382" spans="1:38" s="1485" customFormat="1">
      <c r="A382" s="1495"/>
      <c r="B382" s="1495"/>
      <c r="C382" s="1495"/>
      <c r="D382" s="1495"/>
      <c r="E382" s="1527"/>
      <c r="F382" s="1527"/>
      <c r="G382" s="1527"/>
      <c r="H382" s="1498"/>
      <c r="I382" s="1498"/>
      <c r="J382" s="1506"/>
      <c r="K382" s="1498"/>
      <c r="L382" s="1498"/>
      <c r="M382" s="1498"/>
      <c r="N382" s="1498"/>
      <c r="O382" s="1498"/>
      <c r="P382" s="1498"/>
      <c r="Q382" s="1506"/>
      <c r="R382" s="1498"/>
      <c r="S382" s="1498"/>
      <c r="T382" s="1498"/>
      <c r="U382" s="1498"/>
      <c r="V382" s="1498"/>
      <c r="W382" s="1498"/>
      <c r="X382" s="1498"/>
      <c r="Y382" s="1498"/>
      <c r="Z382" s="1498"/>
      <c r="AA382" s="1498"/>
      <c r="AB382" s="1498"/>
      <c r="AC382" s="1527"/>
      <c r="AD382" s="1527"/>
      <c r="AE382" s="1527"/>
      <c r="AF382" s="1527"/>
      <c r="AG382" s="1527"/>
      <c r="AH382" s="1527"/>
      <c r="AI382" s="1527"/>
      <c r="AJ382" s="1527"/>
      <c r="AK382" s="1527"/>
      <c r="AL382" s="1527"/>
    </row>
    <row r="383" spans="1:38" s="1485" customFormat="1">
      <c r="A383" s="1495"/>
      <c r="B383" s="1495"/>
      <c r="C383" s="1495"/>
      <c r="D383" s="1495"/>
      <c r="E383" s="1527"/>
      <c r="F383" s="1527"/>
      <c r="G383" s="1527"/>
      <c r="H383" s="1498"/>
      <c r="I383" s="1498"/>
      <c r="J383" s="1506"/>
      <c r="K383" s="1498"/>
      <c r="L383" s="1498"/>
      <c r="M383" s="1498"/>
      <c r="N383" s="1498"/>
      <c r="O383" s="1498"/>
      <c r="P383" s="1498"/>
      <c r="Q383" s="1506"/>
      <c r="R383" s="1498"/>
      <c r="S383" s="1498"/>
      <c r="T383" s="1498"/>
      <c r="U383" s="1498"/>
      <c r="V383" s="1498"/>
      <c r="W383" s="1498"/>
      <c r="X383" s="1498"/>
      <c r="Y383" s="1498"/>
      <c r="Z383" s="1498"/>
      <c r="AA383" s="1498"/>
      <c r="AB383" s="1498"/>
      <c r="AC383" s="1527"/>
      <c r="AD383" s="1527"/>
      <c r="AE383" s="1527"/>
      <c r="AF383" s="1527"/>
      <c r="AG383" s="1527"/>
      <c r="AH383" s="1527"/>
      <c r="AI383" s="1527"/>
      <c r="AJ383" s="1527"/>
      <c r="AK383" s="1527"/>
      <c r="AL383" s="1527"/>
    </row>
    <row r="384" spans="1:38" s="1485" customFormat="1">
      <c r="A384" s="1495"/>
      <c r="B384" s="1495"/>
      <c r="C384" s="1495"/>
      <c r="D384" s="1495"/>
      <c r="E384" s="1527"/>
      <c r="F384" s="1527"/>
      <c r="G384" s="1527"/>
      <c r="H384" s="1498"/>
      <c r="I384" s="1498"/>
      <c r="J384" s="1506"/>
      <c r="K384" s="1498"/>
      <c r="L384" s="1498"/>
      <c r="M384" s="1498"/>
      <c r="N384" s="1498"/>
      <c r="O384" s="1498"/>
      <c r="P384" s="1498"/>
      <c r="Q384" s="1506"/>
      <c r="R384" s="1498"/>
      <c r="S384" s="1498"/>
      <c r="T384" s="1498"/>
      <c r="U384" s="1498"/>
      <c r="V384" s="1498"/>
      <c r="W384" s="1498"/>
      <c r="X384" s="1498"/>
      <c r="Y384" s="1498"/>
      <c r="Z384" s="1498"/>
      <c r="AA384" s="1498"/>
      <c r="AB384" s="1498"/>
      <c r="AC384" s="1527"/>
      <c r="AD384" s="1527"/>
      <c r="AE384" s="1527"/>
      <c r="AF384" s="1527"/>
      <c r="AG384" s="1527"/>
      <c r="AH384" s="1527"/>
      <c r="AI384" s="1527"/>
      <c r="AJ384" s="1527"/>
      <c r="AK384" s="1527"/>
      <c r="AL384" s="1527"/>
    </row>
    <row r="385" spans="1:38" s="1485" customFormat="1">
      <c r="A385" s="1495"/>
      <c r="B385" s="1495"/>
      <c r="C385" s="1495"/>
      <c r="D385" s="1495"/>
      <c r="E385" s="1527"/>
      <c r="F385" s="1527"/>
      <c r="G385" s="1527"/>
      <c r="H385" s="1498"/>
      <c r="I385" s="1498"/>
      <c r="J385" s="1506"/>
      <c r="K385" s="1498"/>
      <c r="L385" s="1498"/>
      <c r="M385" s="1498"/>
      <c r="N385" s="1498"/>
      <c r="O385" s="1498"/>
      <c r="P385" s="1498"/>
      <c r="Q385" s="1506"/>
      <c r="R385" s="1498"/>
      <c r="S385" s="1498"/>
      <c r="T385" s="1498"/>
      <c r="U385" s="1498"/>
      <c r="V385" s="1498"/>
      <c r="W385" s="1498"/>
      <c r="X385" s="1498"/>
      <c r="Y385" s="1498"/>
      <c r="Z385" s="1498"/>
      <c r="AA385" s="1498"/>
      <c r="AB385" s="1498"/>
      <c r="AC385" s="1527"/>
      <c r="AD385" s="1527"/>
      <c r="AE385" s="1527"/>
      <c r="AF385" s="1527"/>
      <c r="AG385" s="1527"/>
      <c r="AH385" s="1527"/>
      <c r="AI385" s="1527"/>
      <c r="AJ385" s="1527"/>
      <c r="AK385" s="1527"/>
      <c r="AL385" s="1527"/>
    </row>
    <row r="386" spans="1:38" s="1485" customFormat="1">
      <c r="A386" s="1495"/>
      <c r="B386" s="1495"/>
      <c r="C386" s="1495"/>
      <c r="D386" s="1495"/>
      <c r="E386" s="1527"/>
      <c r="F386" s="1527"/>
      <c r="G386" s="1527"/>
      <c r="H386" s="1498"/>
      <c r="I386" s="1498"/>
      <c r="J386" s="1506"/>
      <c r="K386" s="1498"/>
      <c r="L386" s="1498"/>
      <c r="M386" s="1498"/>
      <c r="N386" s="1498"/>
      <c r="O386" s="1498"/>
      <c r="P386" s="1498"/>
      <c r="Q386" s="1506"/>
      <c r="R386" s="1498"/>
      <c r="S386" s="1498"/>
      <c r="T386" s="1498"/>
      <c r="U386" s="1498"/>
      <c r="V386" s="1498"/>
      <c r="W386" s="1498"/>
      <c r="X386" s="1498"/>
      <c r="Y386" s="1498"/>
      <c r="Z386" s="1498"/>
      <c r="AA386" s="1498"/>
      <c r="AB386" s="1498"/>
      <c r="AC386" s="1527"/>
      <c r="AD386" s="1527"/>
      <c r="AE386" s="1527"/>
      <c r="AF386" s="1527"/>
      <c r="AG386" s="1527"/>
      <c r="AH386" s="1527"/>
      <c r="AI386" s="1527"/>
      <c r="AJ386" s="1527"/>
      <c r="AK386" s="1527"/>
      <c r="AL386" s="1527"/>
    </row>
    <row r="387" spans="1:38" s="1485" customFormat="1">
      <c r="A387" s="1495"/>
      <c r="B387" s="1495"/>
      <c r="C387" s="1495"/>
      <c r="D387" s="1495"/>
      <c r="E387" s="1527"/>
      <c r="F387" s="1527"/>
      <c r="G387" s="1527"/>
      <c r="H387" s="1498"/>
      <c r="I387" s="1498"/>
      <c r="J387" s="1506"/>
      <c r="K387" s="1498"/>
      <c r="L387" s="1498"/>
      <c r="M387" s="1498"/>
      <c r="N387" s="1498"/>
      <c r="O387" s="1498"/>
      <c r="P387" s="1498"/>
      <c r="Q387" s="1506"/>
      <c r="R387" s="1498"/>
      <c r="S387" s="1498"/>
      <c r="T387" s="1498"/>
      <c r="U387" s="1498"/>
      <c r="V387" s="1498"/>
      <c r="W387" s="1498"/>
      <c r="X387" s="1498"/>
      <c r="Y387" s="1498"/>
      <c r="Z387" s="1498"/>
      <c r="AA387" s="1498"/>
      <c r="AB387" s="1498"/>
      <c r="AC387" s="1527"/>
      <c r="AD387" s="1527"/>
      <c r="AE387" s="1527"/>
      <c r="AF387" s="1527"/>
      <c r="AG387" s="1527"/>
      <c r="AH387" s="1527"/>
      <c r="AI387" s="1527"/>
      <c r="AJ387" s="1527"/>
      <c r="AK387" s="1527"/>
      <c r="AL387" s="1527"/>
    </row>
    <row r="388" spans="1:38" s="1485" customFormat="1">
      <c r="A388" s="1495"/>
      <c r="B388" s="1495"/>
      <c r="C388" s="1495"/>
      <c r="D388" s="1495"/>
      <c r="E388" s="1527"/>
      <c r="F388" s="1527"/>
      <c r="G388" s="1527"/>
      <c r="H388" s="1498"/>
      <c r="I388" s="1498"/>
      <c r="J388" s="1506"/>
      <c r="K388" s="1498"/>
      <c r="L388" s="1498"/>
      <c r="M388" s="1498"/>
      <c r="N388" s="1498"/>
      <c r="O388" s="1498"/>
      <c r="P388" s="1498"/>
      <c r="Q388" s="1506"/>
      <c r="R388" s="1498"/>
      <c r="S388" s="1498"/>
      <c r="T388" s="1498"/>
      <c r="U388" s="1498"/>
      <c r="V388" s="1498"/>
      <c r="W388" s="1498"/>
      <c r="X388" s="1498"/>
      <c r="Y388" s="1498"/>
      <c r="Z388" s="1498"/>
      <c r="AA388" s="1498"/>
      <c r="AB388" s="1498"/>
      <c r="AC388" s="1527"/>
      <c r="AD388" s="1527"/>
      <c r="AE388" s="1527"/>
      <c r="AF388" s="1527"/>
      <c r="AG388" s="1527"/>
      <c r="AH388" s="1527"/>
      <c r="AI388" s="1527"/>
      <c r="AJ388" s="1527"/>
      <c r="AK388" s="1527"/>
      <c r="AL388" s="1527"/>
    </row>
    <row r="389" spans="1:38" s="1485" customFormat="1">
      <c r="A389" s="1495"/>
      <c r="B389" s="1495"/>
      <c r="C389" s="1495"/>
      <c r="D389" s="1495"/>
      <c r="E389" s="1527"/>
      <c r="F389" s="1527"/>
      <c r="G389" s="1527"/>
      <c r="H389" s="1498"/>
      <c r="I389" s="1498"/>
      <c r="J389" s="1506"/>
      <c r="K389" s="1498"/>
      <c r="L389" s="1498"/>
      <c r="M389" s="1498"/>
      <c r="N389" s="1498"/>
      <c r="O389" s="1498"/>
      <c r="P389" s="1498"/>
      <c r="Q389" s="1506"/>
      <c r="R389" s="1498"/>
      <c r="S389" s="1498"/>
      <c r="T389" s="1498"/>
      <c r="U389" s="1498"/>
      <c r="V389" s="1498"/>
      <c r="W389" s="1498"/>
      <c r="X389" s="1498"/>
      <c r="Y389" s="1498"/>
      <c r="Z389" s="1498"/>
      <c r="AA389" s="1498"/>
      <c r="AB389" s="1498"/>
      <c r="AC389" s="1527"/>
      <c r="AD389" s="1527"/>
      <c r="AE389" s="1527"/>
      <c r="AF389" s="1527"/>
      <c r="AG389" s="1527"/>
      <c r="AH389" s="1527"/>
      <c r="AI389" s="1527"/>
      <c r="AJ389" s="1527"/>
      <c r="AK389" s="1527"/>
      <c r="AL389" s="1527"/>
    </row>
    <row r="390" spans="1:38" s="1485" customFormat="1">
      <c r="A390" s="1495"/>
      <c r="B390" s="1495"/>
      <c r="C390" s="1495"/>
      <c r="D390" s="1495"/>
      <c r="E390" s="1527"/>
      <c r="F390" s="1527"/>
      <c r="G390" s="1527"/>
      <c r="H390" s="1498"/>
      <c r="I390" s="1498"/>
      <c r="J390" s="1506"/>
      <c r="K390" s="1498"/>
      <c r="L390" s="1498"/>
      <c r="M390" s="1498"/>
      <c r="N390" s="1498"/>
      <c r="O390" s="1498"/>
      <c r="P390" s="1498"/>
      <c r="Q390" s="1506"/>
      <c r="R390" s="1498"/>
      <c r="S390" s="1498"/>
      <c r="T390" s="1498"/>
      <c r="U390" s="1498"/>
      <c r="V390" s="1498"/>
      <c r="W390" s="1498"/>
      <c r="X390" s="1498"/>
      <c r="Y390" s="1498"/>
      <c r="Z390" s="1498"/>
      <c r="AA390" s="1498"/>
      <c r="AB390" s="1498"/>
      <c r="AC390" s="1527"/>
      <c r="AD390" s="1527"/>
      <c r="AE390" s="1527"/>
      <c r="AF390" s="1527"/>
      <c r="AG390" s="1527"/>
      <c r="AH390" s="1527"/>
      <c r="AI390" s="1527"/>
      <c r="AJ390" s="1527"/>
      <c r="AK390" s="1527"/>
      <c r="AL390" s="1527"/>
    </row>
    <row r="391" spans="1:38" s="1485" customFormat="1">
      <c r="A391" s="1495"/>
      <c r="B391" s="1495"/>
      <c r="C391" s="1495"/>
      <c r="D391" s="1495"/>
      <c r="E391" s="1527"/>
      <c r="F391" s="1527"/>
      <c r="G391" s="1527"/>
      <c r="H391" s="1498"/>
      <c r="I391" s="1498"/>
      <c r="J391" s="1506"/>
      <c r="K391" s="1498"/>
      <c r="L391" s="1498"/>
      <c r="M391" s="1498"/>
      <c r="N391" s="1498"/>
      <c r="O391" s="1498"/>
      <c r="P391" s="1498"/>
      <c r="Q391" s="1506"/>
      <c r="R391" s="1498"/>
      <c r="S391" s="1498"/>
      <c r="T391" s="1498"/>
      <c r="U391" s="1498"/>
      <c r="V391" s="1498"/>
      <c r="W391" s="1498"/>
      <c r="X391" s="1498"/>
      <c r="Y391" s="1498"/>
      <c r="Z391" s="1498"/>
      <c r="AA391" s="1498"/>
      <c r="AB391" s="1498"/>
      <c r="AC391" s="1527"/>
      <c r="AD391" s="1527"/>
      <c r="AE391" s="1527"/>
      <c r="AF391" s="1527"/>
      <c r="AG391" s="1527"/>
      <c r="AH391" s="1527"/>
      <c r="AI391" s="1527"/>
      <c r="AJ391" s="1527"/>
      <c r="AK391" s="1527"/>
      <c r="AL391" s="1527"/>
    </row>
    <row r="392" spans="1:38" s="1485" customFormat="1">
      <c r="A392" s="1495"/>
      <c r="B392" s="1495"/>
      <c r="C392" s="1495"/>
      <c r="D392" s="1495"/>
      <c r="E392" s="1527"/>
      <c r="F392" s="1527"/>
      <c r="G392" s="1527"/>
      <c r="H392" s="1498"/>
      <c r="I392" s="1498"/>
      <c r="J392" s="1506"/>
      <c r="K392" s="1498"/>
      <c r="L392" s="1498"/>
      <c r="M392" s="1498"/>
      <c r="N392" s="1498"/>
      <c r="O392" s="1498"/>
      <c r="P392" s="1498"/>
      <c r="Q392" s="1506"/>
      <c r="R392" s="1498"/>
      <c r="S392" s="1498"/>
      <c r="T392" s="1498"/>
      <c r="U392" s="1498"/>
      <c r="V392" s="1498"/>
      <c r="W392" s="1498"/>
      <c r="X392" s="1498"/>
      <c r="Y392" s="1498"/>
      <c r="Z392" s="1498"/>
      <c r="AA392" s="1498"/>
      <c r="AB392" s="1498"/>
      <c r="AC392" s="1527"/>
      <c r="AD392" s="1527"/>
      <c r="AE392" s="1527"/>
      <c r="AF392" s="1527"/>
      <c r="AG392" s="1527"/>
      <c r="AH392" s="1527"/>
      <c r="AI392" s="1527"/>
      <c r="AJ392" s="1527"/>
      <c r="AK392" s="1527"/>
      <c r="AL392" s="1527"/>
    </row>
    <row r="393" spans="1:38" s="1485" customFormat="1">
      <c r="A393" s="1495"/>
      <c r="B393" s="1495"/>
      <c r="C393" s="1495"/>
      <c r="D393" s="1495"/>
      <c r="E393" s="1527"/>
      <c r="F393" s="1527"/>
      <c r="G393" s="1527"/>
      <c r="H393" s="1498"/>
      <c r="I393" s="1498"/>
      <c r="J393" s="1506"/>
      <c r="K393" s="1498"/>
      <c r="L393" s="1498"/>
      <c r="M393" s="1498"/>
      <c r="N393" s="1498"/>
      <c r="O393" s="1498"/>
      <c r="P393" s="1498"/>
      <c r="Q393" s="1506"/>
      <c r="R393" s="1498"/>
      <c r="S393" s="1498"/>
      <c r="T393" s="1498"/>
      <c r="U393" s="1498"/>
      <c r="V393" s="1498"/>
      <c r="W393" s="1498"/>
      <c r="X393" s="1498"/>
      <c r="Y393" s="1498"/>
      <c r="Z393" s="1498"/>
      <c r="AA393" s="1498"/>
      <c r="AB393" s="1498"/>
      <c r="AC393" s="1527"/>
      <c r="AD393" s="1527"/>
      <c r="AE393" s="1527"/>
      <c r="AF393" s="1527"/>
      <c r="AG393" s="1527"/>
      <c r="AH393" s="1527"/>
      <c r="AI393" s="1527"/>
      <c r="AJ393" s="1527"/>
      <c r="AK393" s="1527"/>
      <c r="AL393" s="1527"/>
    </row>
    <row r="394" spans="1:38" s="1485" customFormat="1">
      <c r="A394" s="1495"/>
      <c r="B394" s="1495"/>
      <c r="C394" s="1495"/>
      <c r="D394" s="1495"/>
      <c r="E394" s="1527"/>
      <c r="F394" s="1527"/>
      <c r="G394" s="1527"/>
      <c r="H394" s="1498"/>
      <c r="I394" s="1498"/>
      <c r="J394" s="1506"/>
      <c r="K394" s="1498"/>
      <c r="L394" s="1498"/>
      <c r="M394" s="1498"/>
      <c r="N394" s="1498"/>
      <c r="O394" s="1498"/>
      <c r="P394" s="1498"/>
      <c r="Q394" s="1506"/>
      <c r="R394" s="1498"/>
      <c r="S394" s="1498"/>
      <c r="T394" s="1498"/>
      <c r="U394" s="1498"/>
      <c r="V394" s="1498"/>
      <c r="W394" s="1498"/>
      <c r="X394" s="1498"/>
      <c r="Y394" s="1498"/>
      <c r="Z394" s="1498"/>
      <c r="AA394" s="1498"/>
      <c r="AB394" s="1498"/>
      <c r="AC394" s="1527"/>
      <c r="AD394" s="1527"/>
      <c r="AE394" s="1527"/>
      <c r="AF394" s="1527"/>
      <c r="AG394" s="1527"/>
      <c r="AH394" s="1527"/>
      <c r="AI394" s="1527"/>
      <c r="AJ394" s="1527"/>
      <c r="AK394" s="1527"/>
      <c r="AL394" s="1527"/>
    </row>
    <row r="395" spans="1:38" s="1485" customFormat="1">
      <c r="A395" s="1495"/>
      <c r="B395" s="1495"/>
      <c r="C395" s="1495"/>
      <c r="D395" s="1495"/>
      <c r="E395" s="1527"/>
      <c r="F395" s="1527"/>
      <c r="G395" s="1527"/>
      <c r="H395" s="1498"/>
      <c r="I395" s="1498"/>
      <c r="J395" s="1506"/>
      <c r="K395" s="1498"/>
      <c r="L395" s="1498"/>
      <c r="M395" s="1498"/>
      <c r="N395" s="1498"/>
      <c r="O395" s="1498"/>
      <c r="P395" s="1498"/>
      <c r="Q395" s="1506"/>
      <c r="R395" s="1498"/>
      <c r="S395" s="1498"/>
      <c r="T395" s="1498"/>
      <c r="U395" s="1498"/>
      <c r="V395" s="1498"/>
      <c r="W395" s="1498"/>
      <c r="X395" s="1498"/>
      <c r="Y395" s="1498"/>
      <c r="Z395" s="1498"/>
      <c r="AA395" s="1498"/>
      <c r="AB395" s="1498"/>
      <c r="AC395" s="1527"/>
      <c r="AD395" s="1527"/>
      <c r="AE395" s="1527"/>
      <c r="AF395" s="1527"/>
      <c r="AG395" s="1527"/>
      <c r="AH395" s="1527"/>
      <c r="AI395" s="1527"/>
      <c r="AJ395" s="1527"/>
      <c r="AK395" s="1527"/>
      <c r="AL395" s="1527"/>
    </row>
    <row r="396" spans="1:38" s="1485" customFormat="1">
      <c r="A396" s="1495"/>
      <c r="B396" s="1495"/>
      <c r="C396" s="1495"/>
      <c r="D396" s="1495"/>
      <c r="E396" s="1527"/>
      <c r="F396" s="1527"/>
      <c r="G396" s="1527"/>
      <c r="H396" s="1498"/>
      <c r="I396" s="1498"/>
      <c r="J396" s="1506"/>
      <c r="K396" s="1498"/>
      <c r="L396" s="1498"/>
      <c r="M396" s="1498"/>
      <c r="N396" s="1498"/>
      <c r="O396" s="1498"/>
      <c r="P396" s="1498"/>
      <c r="Q396" s="1506"/>
      <c r="R396" s="1498"/>
      <c r="S396" s="1498"/>
      <c r="T396" s="1498"/>
      <c r="U396" s="1498"/>
      <c r="V396" s="1498"/>
      <c r="W396" s="1498"/>
      <c r="X396" s="1498"/>
      <c r="Y396" s="1498"/>
      <c r="Z396" s="1498"/>
      <c r="AA396" s="1498"/>
      <c r="AB396" s="1498"/>
      <c r="AC396" s="1527"/>
      <c r="AD396" s="1527"/>
      <c r="AE396" s="1527"/>
      <c r="AF396" s="1527"/>
      <c r="AG396" s="1527"/>
      <c r="AH396" s="1527"/>
      <c r="AI396" s="1527"/>
      <c r="AJ396" s="1527"/>
      <c r="AK396" s="1527"/>
      <c r="AL396" s="1527"/>
    </row>
    <row r="397" spans="1:38" s="1485" customFormat="1">
      <c r="A397" s="1495"/>
      <c r="B397" s="1495"/>
      <c r="C397" s="1495"/>
      <c r="D397" s="1495"/>
      <c r="E397" s="1527"/>
      <c r="F397" s="1527"/>
      <c r="G397" s="1527"/>
      <c r="H397" s="1498"/>
      <c r="I397" s="1498"/>
      <c r="J397" s="1506"/>
      <c r="K397" s="1498"/>
      <c r="L397" s="1498"/>
      <c r="M397" s="1498"/>
      <c r="N397" s="1498"/>
      <c r="O397" s="1498"/>
      <c r="P397" s="1498"/>
      <c r="Q397" s="1506"/>
      <c r="R397" s="1498"/>
      <c r="S397" s="1498"/>
      <c r="T397" s="1498"/>
      <c r="U397" s="1498"/>
      <c r="V397" s="1498"/>
      <c r="W397" s="1498"/>
      <c r="X397" s="1498"/>
      <c r="Y397" s="1498"/>
      <c r="Z397" s="1498"/>
      <c r="AA397" s="1498"/>
      <c r="AB397" s="1498"/>
      <c r="AC397" s="1527"/>
      <c r="AD397" s="1527"/>
      <c r="AE397" s="1527"/>
      <c r="AF397" s="1527"/>
      <c r="AG397" s="1527"/>
      <c r="AH397" s="1527"/>
      <c r="AI397" s="1527"/>
      <c r="AJ397" s="1527"/>
      <c r="AK397" s="1527"/>
      <c r="AL397" s="1527"/>
    </row>
    <row r="398" spans="1:38" s="1485" customFormat="1">
      <c r="A398" s="1495"/>
      <c r="B398" s="1495"/>
      <c r="C398" s="1495"/>
      <c r="D398" s="1495"/>
      <c r="E398" s="1527"/>
      <c r="F398" s="1527"/>
      <c r="G398" s="1527"/>
      <c r="H398" s="1498"/>
      <c r="I398" s="1498"/>
      <c r="J398" s="1506"/>
      <c r="K398" s="1498"/>
      <c r="L398" s="1498"/>
      <c r="M398" s="1498"/>
      <c r="N398" s="1498"/>
      <c r="O398" s="1498"/>
      <c r="P398" s="1498"/>
      <c r="Q398" s="1506"/>
      <c r="R398" s="1498"/>
      <c r="S398" s="1498"/>
      <c r="T398" s="1498"/>
      <c r="U398" s="1498"/>
      <c r="V398" s="1498"/>
      <c r="W398" s="1498"/>
      <c r="X398" s="1498"/>
      <c r="Y398" s="1498"/>
      <c r="Z398" s="1498"/>
      <c r="AA398" s="1498"/>
      <c r="AB398" s="1498"/>
      <c r="AC398" s="1527"/>
      <c r="AD398" s="1527"/>
      <c r="AE398" s="1527"/>
      <c r="AF398" s="1527"/>
      <c r="AG398" s="1527"/>
      <c r="AH398" s="1527"/>
      <c r="AI398" s="1527"/>
      <c r="AJ398" s="1527"/>
      <c r="AK398" s="1527"/>
      <c r="AL398" s="1527"/>
    </row>
    <row r="399" spans="1:38" s="1485" customFormat="1">
      <c r="A399" s="1495"/>
      <c r="B399" s="1495"/>
      <c r="C399" s="1495"/>
      <c r="D399" s="1495"/>
      <c r="E399" s="1527"/>
      <c r="F399" s="1527"/>
      <c r="G399" s="1527"/>
      <c r="H399" s="1498"/>
      <c r="I399" s="1498"/>
      <c r="J399" s="1506"/>
      <c r="K399" s="1498"/>
      <c r="L399" s="1498"/>
      <c r="M399" s="1498"/>
      <c r="N399" s="1498"/>
      <c r="O399" s="1498"/>
      <c r="P399" s="1498"/>
      <c r="Q399" s="1506"/>
      <c r="R399" s="1498"/>
      <c r="S399" s="1498"/>
      <c r="T399" s="1498"/>
      <c r="U399" s="1498"/>
      <c r="V399" s="1498"/>
      <c r="W399" s="1498"/>
      <c r="X399" s="1498"/>
      <c r="Y399" s="1498"/>
      <c r="Z399" s="1498"/>
      <c r="AA399" s="1498"/>
      <c r="AB399" s="1498"/>
      <c r="AC399" s="1527"/>
      <c r="AD399" s="1527"/>
      <c r="AE399" s="1527"/>
      <c r="AF399" s="1527"/>
      <c r="AG399" s="1527"/>
      <c r="AH399" s="1527"/>
      <c r="AI399" s="1527"/>
      <c r="AJ399" s="1527"/>
      <c r="AK399" s="1527"/>
      <c r="AL399" s="1527"/>
    </row>
  </sheetData>
  <mergeCells count="18">
    <mergeCell ref="A1:O1"/>
    <mergeCell ref="S1:AL1"/>
    <mergeCell ref="A2:O2"/>
    <mergeCell ref="S2:AL2"/>
    <mergeCell ref="A3:L3"/>
    <mergeCell ref="S3:AL3"/>
    <mergeCell ref="A4:AL4"/>
    <mergeCell ref="A5:AJ5"/>
    <mergeCell ref="E6:AI6"/>
    <mergeCell ref="A8:D8"/>
    <mergeCell ref="A19:D19"/>
    <mergeCell ref="A6:A7"/>
    <mergeCell ref="B6:B7"/>
    <mergeCell ref="C6:C7"/>
    <mergeCell ref="D6:D7"/>
    <mergeCell ref="AJ7:AJ8"/>
    <mergeCell ref="AK7:AK8"/>
    <mergeCell ref="AL6:AL8"/>
  </mergeCells>
  <pageMargins left="0.39370078740157499" right="0" top="0" bottom="0.39370078740157499" header="0" footer="0"/>
  <pageSetup paperSize="9" scale="85" orientation="landscape"/>
  <headerFooter>
    <oddFooter>&amp;RPage &amp;P/13</oddFooter>
  </headerFooter>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39988402966399123"/>
  </sheetPr>
  <dimension ref="A1:AO831"/>
  <sheetViews>
    <sheetView topLeftCell="C13" zoomScale="145" zoomScaleNormal="145" zoomScaleSheetLayoutView="140" workbookViewId="0">
      <selection activeCell="D25" sqref="D25"/>
    </sheetView>
  </sheetViews>
  <sheetFormatPr defaultColWidth="9" defaultRowHeight="15" outlineLevelRow="1"/>
  <cols>
    <col min="1" max="2" width="3.42578125" style="335" customWidth="1"/>
    <col min="3" max="3" width="10.140625" style="335" customWidth="1"/>
    <col min="4" max="4" width="11" style="335" customWidth="1"/>
    <col min="5" max="15" width="3.42578125" style="158" customWidth="1"/>
    <col min="16" max="16" width="4" style="158" customWidth="1"/>
    <col min="17" max="30" width="3.42578125" style="158" customWidth="1"/>
    <col min="31" max="31" width="3.7109375" style="158" customWidth="1"/>
    <col min="32" max="35" width="3.42578125" style="158" customWidth="1"/>
    <col min="36" max="36" width="6.5703125" style="158" customWidth="1"/>
    <col min="37" max="37" width="5.85546875" style="158" customWidth="1"/>
    <col min="38" max="38" width="8.7109375" style="158" customWidth="1"/>
    <col min="39" max="39" width="9.140625" style="158" customWidth="1"/>
    <col min="40" max="16384" width="9" style="158"/>
  </cols>
  <sheetData>
    <row r="1" spans="1:40" ht="18.75">
      <c r="A1" s="2299" t="s">
        <v>1949</v>
      </c>
      <c r="B1" s="2299"/>
      <c r="C1" s="2299"/>
      <c r="D1" s="2299"/>
      <c r="E1" s="2299"/>
      <c r="F1" s="2299"/>
      <c r="G1" s="2299"/>
      <c r="H1" s="2299"/>
      <c r="I1" s="2299"/>
      <c r="J1" s="2299"/>
      <c r="K1" s="2299"/>
      <c r="L1" s="2299"/>
      <c r="M1" s="2299"/>
      <c r="N1" s="2299"/>
      <c r="O1" s="2299"/>
      <c r="P1" s="1197"/>
      <c r="Q1" s="1198"/>
      <c r="R1" s="1197"/>
      <c r="S1" s="2300" t="s">
        <v>1928</v>
      </c>
      <c r="T1" s="2300"/>
      <c r="U1" s="2300"/>
      <c r="V1" s="2300"/>
      <c r="W1" s="2300"/>
      <c r="X1" s="2300"/>
      <c r="Y1" s="2300"/>
      <c r="Z1" s="2300"/>
      <c r="AA1" s="2300"/>
      <c r="AB1" s="2300"/>
      <c r="AC1" s="2300"/>
      <c r="AD1" s="2300"/>
      <c r="AE1" s="2300"/>
      <c r="AF1" s="2300"/>
      <c r="AG1" s="2300"/>
      <c r="AH1" s="2300"/>
      <c r="AI1" s="2300"/>
      <c r="AJ1" s="2300"/>
      <c r="AK1" s="2300"/>
      <c r="AL1" s="2300"/>
    </row>
    <row r="2" spans="1:40" ht="18.75">
      <c r="A2" s="2299" t="s">
        <v>1929</v>
      </c>
      <c r="B2" s="2299"/>
      <c r="C2" s="2299"/>
      <c r="D2" s="2299"/>
      <c r="E2" s="2299"/>
      <c r="F2" s="2299"/>
      <c r="G2" s="2299"/>
      <c r="H2" s="2299"/>
      <c r="I2" s="2299"/>
      <c r="J2" s="2299"/>
      <c r="K2" s="2299"/>
      <c r="L2" s="2299"/>
      <c r="M2" s="2299"/>
      <c r="N2" s="2299"/>
      <c r="O2" s="2299"/>
      <c r="P2" s="1197"/>
      <c r="Q2" s="1198"/>
      <c r="R2" s="1197"/>
      <c r="S2" s="2300" t="s">
        <v>1</v>
      </c>
      <c r="T2" s="2300"/>
      <c r="U2" s="2300"/>
      <c r="V2" s="2300"/>
      <c r="W2" s="2300"/>
      <c r="X2" s="2300"/>
      <c r="Y2" s="2300"/>
      <c r="Z2" s="2300"/>
      <c r="AA2" s="2300"/>
      <c r="AB2" s="2300"/>
      <c r="AC2" s="2300"/>
      <c r="AD2" s="2300"/>
      <c r="AE2" s="2300"/>
      <c r="AF2" s="2300"/>
      <c r="AG2" s="2300"/>
      <c r="AH2" s="2300"/>
      <c r="AI2" s="2300"/>
      <c r="AJ2" s="2300"/>
      <c r="AK2" s="2300"/>
      <c r="AL2" s="2300"/>
    </row>
    <row r="3" spans="1:40" ht="15" customHeight="1">
      <c r="A3" s="2301"/>
      <c r="B3" s="2301"/>
      <c r="C3" s="2301"/>
      <c r="D3" s="2301"/>
      <c r="E3" s="2301"/>
      <c r="F3" s="2301"/>
      <c r="G3" s="2301"/>
      <c r="H3" s="2301"/>
      <c r="I3" s="2301"/>
      <c r="J3" s="2301"/>
      <c r="K3" s="2301"/>
      <c r="L3" s="2301"/>
      <c r="M3" s="1196"/>
      <c r="N3" s="1197"/>
      <c r="O3" s="1197"/>
      <c r="P3" s="1197"/>
      <c r="Q3" s="1198"/>
      <c r="R3" s="1197"/>
      <c r="S3" s="2302" t="s">
        <v>619</v>
      </c>
      <c r="T3" s="2300"/>
      <c r="U3" s="2300"/>
      <c r="V3" s="2300"/>
      <c r="W3" s="2300"/>
      <c r="X3" s="2300"/>
      <c r="Y3" s="2300"/>
      <c r="Z3" s="2300"/>
      <c r="AA3" s="2300"/>
      <c r="AB3" s="2300"/>
      <c r="AC3" s="2300"/>
      <c r="AD3" s="2300"/>
      <c r="AE3" s="2300"/>
      <c r="AF3" s="2300"/>
      <c r="AG3" s="2300"/>
      <c r="AH3" s="2300"/>
      <c r="AI3" s="2300"/>
      <c r="AJ3" s="2300"/>
      <c r="AK3" s="2300"/>
      <c r="AL3" s="2300"/>
    </row>
    <row r="4" spans="1:40" ht="27.75" customHeight="1">
      <c r="A4" s="2319" t="s">
        <v>1965</v>
      </c>
      <c r="B4" s="2319"/>
      <c r="C4" s="2319"/>
      <c r="D4" s="2319"/>
      <c r="E4" s="2319"/>
      <c r="F4" s="2319"/>
      <c r="G4" s="2319"/>
      <c r="H4" s="2319"/>
      <c r="I4" s="2319"/>
      <c r="J4" s="2319"/>
      <c r="K4" s="2319"/>
      <c r="L4" s="2319"/>
      <c r="M4" s="2319"/>
      <c r="N4" s="2319"/>
      <c r="O4" s="2319"/>
      <c r="P4" s="2319"/>
      <c r="Q4" s="2319"/>
      <c r="R4" s="2319"/>
      <c r="S4" s="2319"/>
      <c r="T4" s="2319"/>
      <c r="U4" s="2319"/>
      <c r="V4" s="2319"/>
      <c r="W4" s="2319"/>
      <c r="X4" s="2319"/>
      <c r="Y4" s="2319"/>
      <c r="Z4" s="2319"/>
      <c r="AA4" s="2319"/>
      <c r="AB4" s="2319"/>
      <c r="AC4" s="2319"/>
      <c r="AD4" s="2319"/>
      <c r="AE4" s="2319"/>
      <c r="AF4" s="2319"/>
      <c r="AG4" s="2319"/>
      <c r="AH4" s="2319"/>
      <c r="AI4" s="2319"/>
      <c r="AJ4" s="2319"/>
      <c r="AK4" s="2319"/>
      <c r="AL4" s="2319"/>
    </row>
    <row r="5" spans="1:40" ht="18.75" customHeight="1">
      <c r="A5" s="2320" t="s">
        <v>1951</v>
      </c>
      <c r="B5" s="2320"/>
      <c r="C5" s="2320"/>
      <c r="D5" s="2320"/>
      <c r="E5" s="2320"/>
      <c r="F5" s="2320"/>
      <c r="G5" s="2320"/>
      <c r="H5" s="2320"/>
      <c r="I5" s="2320"/>
      <c r="J5" s="2320"/>
      <c r="K5" s="2320"/>
      <c r="L5" s="2320"/>
      <c r="M5" s="2320"/>
      <c r="N5" s="2320"/>
      <c r="O5" s="2320"/>
      <c r="P5" s="2320"/>
      <c r="Q5" s="2320"/>
      <c r="R5" s="2320"/>
      <c r="S5" s="2320"/>
      <c r="T5" s="2320"/>
      <c r="U5" s="2320"/>
      <c r="V5" s="2320"/>
      <c r="W5" s="2320"/>
      <c r="X5" s="2320"/>
      <c r="Y5" s="2320"/>
      <c r="Z5" s="2320"/>
      <c r="AA5" s="2320"/>
      <c r="AB5" s="2320"/>
      <c r="AC5" s="2320"/>
      <c r="AD5" s="2320"/>
      <c r="AE5" s="2320"/>
      <c r="AF5" s="2320"/>
      <c r="AG5" s="2320"/>
      <c r="AH5" s="2320"/>
      <c r="AI5" s="2320"/>
      <c r="AJ5" s="2320"/>
      <c r="AK5" s="2320"/>
      <c r="AL5" s="2320"/>
    </row>
    <row r="6" spans="1:40" s="156" customFormat="1" ht="20.45" customHeight="1">
      <c r="A6" s="2291" t="s">
        <v>623</v>
      </c>
      <c r="B6" s="2291" t="s">
        <v>623</v>
      </c>
      <c r="C6" s="2291" t="s">
        <v>1932</v>
      </c>
      <c r="D6" s="2325" t="s">
        <v>356</v>
      </c>
      <c r="E6" s="2291" t="s">
        <v>1953</v>
      </c>
      <c r="F6" s="2291"/>
      <c r="G6" s="2291"/>
      <c r="H6" s="2291"/>
      <c r="I6" s="2291"/>
      <c r="J6" s="2291"/>
      <c r="K6" s="2291"/>
      <c r="L6" s="2291"/>
      <c r="M6" s="2291"/>
      <c r="N6" s="2291"/>
      <c r="O6" s="2291"/>
      <c r="P6" s="2291"/>
      <c r="Q6" s="2291"/>
      <c r="R6" s="2291"/>
      <c r="S6" s="2291"/>
      <c r="T6" s="2291"/>
      <c r="U6" s="2291"/>
      <c r="V6" s="2291"/>
      <c r="W6" s="2291"/>
      <c r="X6" s="2291"/>
      <c r="Y6" s="2291"/>
      <c r="Z6" s="2291"/>
      <c r="AA6" s="2291"/>
      <c r="AB6" s="2291"/>
      <c r="AC6" s="2291"/>
      <c r="AD6" s="2291"/>
      <c r="AE6" s="2291"/>
      <c r="AF6" s="2291"/>
      <c r="AG6" s="2291"/>
      <c r="AH6" s="2291"/>
      <c r="AI6" s="2291"/>
      <c r="AJ6" s="2327" t="s">
        <v>1966</v>
      </c>
      <c r="AK6" s="2330" t="s">
        <v>1955</v>
      </c>
      <c r="AL6" s="2331" t="s">
        <v>627</v>
      </c>
      <c r="AM6" s="156" t="s">
        <v>1952</v>
      </c>
      <c r="AN6" s="1464">
        <v>0.5</v>
      </c>
    </row>
    <row r="7" spans="1:40" s="156" customFormat="1" ht="17.45" customHeight="1">
      <c r="A7" s="2291"/>
      <c r="B7" s="2291"/>
      <c r="C7" s="2291"/>
      <c r="D7" s="2326"/>
      <c r="E7" s="1182">
        <v>1</v>
      </c>
      <c r="F7" s="1182">
        <v>2</v>
      </c>
      <c r="G7" s="1182">
        <v>3</v>
      </c>
      <c r="H7" s="1182">
        <v>4</v>
      </c>
      <c r="I7" s="1182">
        <v>5</v>
      </c>
      <c r="J7" s="1182">
        <v>6</v>
      </c>
      <c r="K7" s="1182">
        <v>7</v>
      </c>
      <c r="L7" s="1182">
        <v>8</v>
      </c>
      <c r="M7" s="1182">
        <v>9</v>
      </c>
      <c r="N7" s="1182">
        <v>10</v>
      </c>
      <c r="O7" s="1182">
        <v>11</v>
      </c>
      <c r="P7" s="1182">
        <v>12</v>
      </c>
      <c r="Q7" s="1182">
        <v>13</v>
      </c>
      <c r="R7" s="1182">
        <v>14</v>
      </c>
      <c r="S7" s="1182">
        <v>15</v>
      </c>
      <c r="T7" s="1182">
        <v>16</v>
      </c>
      <c r="U7" s="1182">
        <v>17</v>
      </c>
      <c r="V7" s="1182">
        <v>18</v>
      </c>
      <c r="W7" s="1182">
        <v>19</v>
      </c>
      <c r="X7" s="1182">
        <v>20</v>
      </c>
      <c r="Y7" s="1182">
        <v>21</v>
      </c>
      <c r="Z7" s="1182">
        <v>22</v>
      </c>
      <c r="AA7" s="1182">
        <v>23</v>
      </c>
      <c r="AB7" s="1182">
        <v>24</v>
      </c>
      <c r="AC7" s="1182">
        <v>25</v>
      </c>
      <c r="AD7" s="1182">
        <v>26</v>
      </c>
      <c r="AE7" s="1182">
        <v>27</v>
      </c>
      <c r="AF7" s="1182">
        <v>28</v>
      </c>
      <c r="AG7" s="1182">
        <v>29</v>
      </c>
      <c r="AH7" s="1182">
        <v>30</v>
      </c>
      <c r="AI7" s="1182">
        <v>31</v>
      </c>
      <c r="AJ7" s="2328"/>
      <c r="AK7" s="2330"/>
      <c r="AL7" s="2332"/>
    </row>
    <row r="8" spans="1:40" s="156" customFormat="1" ht="35.450000000000003" customHeight="1">
      <c r="A8" s="2321" t="s">
        <v>1956</v>
      </c>
      <c r="B8" s="2322"/>
      <c r="C8" s="2322"/>
      <c r="D8" s="2323"/>
      <c r="E8" s="1182" t="s">
        <v>1957</v>
      </c>
      <c r="F8" s="1182" t="s">
        <v>1958</v>
      </c>
      <c r="G8" s="1182" t="s">
        <v>1959</v>
      </c>
      <c r="H8" s="1182" t="s">
        <v>1957</v>
      </c>
      <c r="I8" s="1182" t="s">
        <v>1958</v>
      </c>
      <c r="J8" s="1182" t="s">
        <v>1959</v>
      </c>
      <c r="K8" s="1182" t="s">
        <v>1957</v>
      </c>
      <c r="L8" s="1182" t="s">
        <v>1958</v>
      </c>
      <c r="M8" s="1182" t="s">
        <v>1959</v>
      </c>
      <c r="N8" s="1182" t="s">
        <v>1957</v>
      </c>
      <c r="O8" s="1182" t="s">
        <v>1958</v>
      </c>
      <c r="P8" s="1182" t="s">
        <v>1959</v>
      </c>
      <c r="Q8" s="1182" t="s">
        <v>1957</v>
      </c>
      <c r="R8" s="1182" t="s">
        <v>1958</v>
      </c>
      <c r="S8" s="1182" t="s">
        <v>1959</v>
      </c>
      <c r="T8" s="1182" t="s">
        <v>1957</v>
      </c>
      <c r="U8" s="1182" t="s">
        <v>1958</v>
      </c>
      <c r="V8" s="1182" t="s">
        <v>1959</v>
      </c>
      <c r="W8" s="1182" t="s">
        <v>1957</v>
      </c>
      <c r="X8" s="1182" t="s">
        <v>1958</v>
      </c>
      <c r="Y8" s="1182" t="s">
        <v>1959</v>
      </c>
      <c r="Z8" s="1182" t="s">
        <v>1957</v>
      </c>
      <c r="AA8" s="1182" t="s">
        <v>1958</v>
      </c>
      <c r="AB8" s="1182" t="s">
        <v>1959</v>
      </c>
      <c r="AC8" s="1182" t="s">
        <v>1957</v>
      </c>
      <c r="AD8" s="1182" t="s">
        <v>1958</v>
      </c>
      <c r="AE8" s="1182" t="s">
        <v>1959</v>
      </c>
      <c r="AF8" s="1182" t="s">
        <v>1957</v>
      </c>
      <c r="AG8" s="1182" t="s">
        <v>1958</v>
      </c>
      <c r="AH8" s="1182" t="s">
        <v>1959</v>
      </c>
      <c r="AI8" s="1182" t="s">
        <v>1957</v>
      </c>
      <c r="AJ8" s="2329"/>
      <c r="AK8" s="2330"/>
      <c r="AL8" s="2333"/>
    </row>
    <row r="9" spans="1:40" s="1232" customFormat="1" ht="19.149999999999999" customHeight="1" outlineLevel="1">
      <c r="A9" s="1183" t="s">
        <v>427</v>
      </c>
      <c r="B9" s="1183"/>
      <c r="C9" s="1183"/>
      <c r="D9" s="1183"/>
      <c r="E9" s="1461">
        <f t="shared" ref="E9:AK9" si="0">SUM(E10:E52)</f>
        <v>0</v>
      </c>
      <c r="F9" s="1461">
        <f t="shared" si="0"/>
        <v>0</v>
      </c>
      <c r="G9" s="1461">
        <f t="shared" si="0"/>
        <v>0</v>
      </c>
      <c r="H9" s="1461">
        <f t="shared" si="0"/>
        <v>0</v>
      </c>
      <c r="I9" s="1461">
        <f t="shared" si="0"/>
        <v>0</v>
      </c>
      <c r="J9" s="1461">
        <f t="shared" si="0"/>
        <v>0</v>
      </c>
      <c r="K9" s="1461">
        <f t="shared" si="0"/>
        <v>0</v>
      </c>
      <c r="L9" s="1461">
        <f t="shared" si="0"/>
        <v>0</v>
      </c>
      <c r="M9" s="1461">
        <f t="shared" si="0"/>
        <v>0</v>
      </c>
      <c r="N9" s="1461">
        <f t="shared" si="0"/>
        <v>0</v>
      </c>
      <c r="O9" s="1461">
        <f t="shared" si="0"/>
        <v>0</v>
      </c>
      <c r="P9" s="1461">
        <f t="shared" si="0"/>
        <v>0</v>
      </c>
      <c r="Q9" s="1461">
        <f t="shared" si="0"/>
        <v>0</v>
      </c>
      <c r="R9" s="1461">
        <f t="shared" si="0"/>
        <v>0</v>
      </c>
      <c r="S9" s="1461">
        <f t="shared" si="0"/>
        <v>0</v>
      </c>
      <c r="T9" s="1461">
        <f t="shared" si="0"/>
        <v>0</v>
      </c>
      <c r="U9" s="1461">
        <f t="shared" si="0"/>
        <v>0</v>
      </c>
      <c r="V9" s="1461">
        <f t="shared" si="0"/>
        <v>0</v>
      </c>
      <c r="W9" s="1461">
        <f t="shared" si="0"/>
        <v>0</v>
      </c>
      <c r="X9" s="1461">
        <f t="shared" si="0"/>
        <v>0</v>
      </c>
      <c r="Y9" s="1461">
        <f t="shared" si="0"/>
        <v>0</v>
      </c>
      <c r="Z9" s="1461">
        <f t="shared" si="0"/>
        <v>0</v>
      </c>
      <c r="AA9" s="1461">
        <f t="shared" si="0"/>
        <v>0</v>
      </c>
      <c r="AB9" s="1461">
        <f t="shared" si="0"/>
        <v>0</v>
      </c>
      <c r="AC9" s="1461">
        <f t="shared" si="0"/>
        <v>0</v>
      </c>
      <c r="AD9" s="1461">
        <f t="shared" si="0"/>
        <v>0</v>
      </c>
      <c r="AE9" s="1461">
        <f t="shared" si="0"/>
        <v>0</v>
      </c>
      <c r="AF9" s="1461">
        <f t="shared" si="0"/>
        <v>0</v>
      </c>
      <c r="AG9" s="1461">
        <f t="shared" si="0"/>
        <v>0</v>
      </c>
      <c r="AH9" s="1461">
        <f t="shared" si="0"/>
        <v>0</v>
      </c>
      <c r="AI9" s="1461">
        <f t="shared" si="0"/>
        <v>0</v>
      </c>
      <c r="AJ9" s="1461">
        <f t="shared" si="0"/>
        <v>0</v>
      </c>
      <c r="AK9" s="1461">
        <f t="shared" si="0"/>
        <v>0</v>
      </c>
      <c r="AL9" s="1204"/>
      <c r="AM9" s="1247"/>
    </row>
    <row r="10" spans="1:40" s="156" customFormat="1" ht="19.149999999999999" customHeight="1" outlineLevel="1">
      <c r="A10" s="1182">
        <v>1</v>
      </c>
      <c r="B10" s="1182">
        <v>1</v>
      </c>
      <c r="C10" s="1182" t="e">
        <f>VLOOKUP(D10,'DS CN MOI UP'!$B$10:$C$347,2,0)</f>
        <v>#N/A</v>
      </c>
      <c r="D10" s="1185" t="s">
        <v>357</v>
      </c>
      <c r="E10" s="1462"/>
      <c r="F10" s="1462"/>
      <c r="G10" s="1462"/>
      <c r="H10" s="1462"/>
      <c r="I10" s="1462"/>
      <c r="J10" s="1462"/>
      <c r="K10" s="1462"/>
      <c r="L10" s="1462"/>
      <c r="M10" s="1462"/>
      <c r="N10" s="1462"/>
      <c r="O10" s="1462"/>
      <c r="P10" s="1462"/>
      <c r="Q10" s="1462"/>
      <c r="R10" s="1462"/>
      <c r="S10" s="1462"/>
      <c r="T10" s="1462"/>
      <c r="U10" s="1462"/>
      <c r="V10" s="1462"/>
      <c r="W10" s="1462"/>
      <c r="X10" s="1462"/>
      <c r="Y10" s="1462"/>
      <c r="Z10" s="1462"/>
      <c r="AA10" s="1462"/>
      <c r="AB10" s="1462"/>
      <c r="AC10" s="1462"/>
      <c r="AD10" s="1462"/>
      <c r="AE10" s="1462"/>
      <c r="AF10" s="1462"/>
      <c r="AG10" s="1462"/>
      <c r="AH10" s="1462"/>
      <c r="AI10" s="1462"/>
      <c r="AJ10" s="1465">
        <f>SUM(E10:AI10)</f>
        <v>0</v>
      </c>
      <c r="AK10" s="1465">
        <f>AJ10*$AN$6</f>
        <v>0</v>
      </c>
      <c r="AL10" s="1466"/>
      <c r="AM10" s="1467"/>
    </row>
    <row r="11" spans="1:40" s="156" customFormat="1" ht="19.149999999999999" customHeight="1" outlineLevel="1">
      <c r="A11" s="1182">
        <v>2</v>
      </c>
      <c r="B11" s="1182">
        <v>2</v>
      </c>
      <c r="C11" s="1182" t="e">
        <f>VLOOKUP(D11,'DS CN MOI UP'!$B$10:$C$347,2,0)</f>
        <v>#N/A</v>
      </c>
      <c r="D11" s="1185" t="s">
        <v>358</v>
      </c>
      <c r="E11" s="1462"/>
      <c r="F11" s="1462"/>
      <c r="G11" s="1462"/>
      <c r="H11" s="1462"/>
      <c r="I11" s="1462"/>
      <c r="J11" s="1462"/>
      <c r="K11" s="1462"/>
      <c r="L11" s="1462"/>
      <c r="M11" s="1462"/>
      <c r="N11" s="1462"/>
      <c r="O11" s="1462"/>
      <c r="P11" s="1462"/>
      <c r="Q11" s="1462"/>
      <c r="R11" s="1462"/>
      <c r="S11" s="1462"/>
      <c r="T11" s="1462"/>
      <c r="U11" s="1462"/>
      <c r="V11" s="1462"/>
      <c r="W11" s="1462"/>
      <c r="X11" s="1462"/>
      <c r="Y11" s="1462"/>
      <c r="Z11" s="1462"/>
      <c r="AA11" s="1462"/>
      <c r="AB11" s="1462"/>
      <c r="AC11" s="1462"/>
      <c r="AD11" s="1462"/>
      <c r="AE11" s="1462"/>
      <c r="AF11" s="1462"/>
      <c r="AG11" s="1462"/>
      <c r="AH11" s="1462"/>
      <c r="AI11" s="1462"/>
      <c r="AJ11" s="1465">
        <f t="shared" ref="AJ11:AJ52" si="1">SUM(E11:AI11)</f>
        <v>0</v>
      </c>
      <c r="AK11" s="1465">
        <f t="shared" ref="AK11:AK74" si="2">AJ11*$AN$6</f>
        <v>0</v>
      </c>
      <c r="AL11" s="1466"/>
      <c r="AM11" s="615"/>
    </row>
    <row r="12" spans="1:40" s="156" customFormat="1" ht="19.149999999999999" customHeight="1" outlineLevel="1">
      <c r="A12" s="1182">
        <v>3</v>
      </c>
      <c r="B12" s="1182">
        <v>3</v>
      </c>
      <c r="C12" s="1182" t="e">
        <f>VLOOKUP(D12,'DS CN MOI UP'!$B$10:$C$347,2,0)</f>
        <v>#N/A</v>
      </c>
      <c r="D12" s="1185" t="s">
        <v>385</v>
      </c>
      <c r="E12" s="1462"/>
      <c r="F12" s="1462"/>
      <c r="G12" s="1462"/>
      <c r="H12" s="1462"/>
      <c r="I12" s="1462"/>
      <c r="J12" s="1462"/>
      <c r="K12" s="1462"/>
      <c r="L12" s="1462"/>
      <c r="M12" s="1462"/>
      <c r="N12" s="1462"/>
      <c r="O12" s="1462"/>
      <c r="P12" s="1462"/>
      <c r="Q12" s="1462"/>
      <c r="R12" s="1462"/>
      <c r="S12" s="1462"/>
      <c r="T12" s="1462"/>
      <c r="U12" s="1462"/>
      <c r="V12" s="1462"/>
      <c r="W12" s="1462"/>
      <c r="X12" s="1462"/>
      <c r="Y12" s="1462"/>
      <c r="Z12" s="1462"/>
      <c r="AA12" s="1462"/>
      <c r="AB12" s="1462"/>
      <c r="AC12" s="1462"/>
      <c r="AD12" s="1462"/>
      <c r="AE12" s="1462"/>
      <c r="AF12" s="1462"/>
      <c r="AG12" s="1462"/>
      <c r="AH12" s="1462"/>
      <c r="AI12" s="1462"/>
      <c r="AJ12" s="1465">
        <f t="shared" si="1"/>
        <v>0</v>
      </c>
      <c r="AK12" s="1465">
        <f t="shared" si="2"/>
        <v>0</v>
      </c>
      <c r="AL12" s="1466"/>
      <c r="AM12" s="615"/>
    </row>
    <row r="13" spans="1:40" s="156" customFormat="1" ht="19.149999999999999" customHeight="1" outlineLevel="1">
      <c r="A13" s="1182">
        <v>4</v>
      </c>
      <c r="B13" s="1182">
        <v>4</v>
      </c>
      <c r="C13" s="1182" t="e">
        <f>VLOOKUP(D13,'DS CN MOI UP'!$B$10:$C$347,2,0)</f>
        <v>#N/A</v>
      </c>
      <c r="D13" s="1185" t="s">
        <v>1936</v>
      </c>
      <c r="E13" s="1462"/>
      <c r="F13" s="1462"/>
      <c r="G13" s="1462"/>
      <c r="H13" s="1462"/>
      <c r="I13" s="1462"/>
      <c r="J13" s="1462"/>
      <c r="K13" s="1462"/>
      <c r="L13" s="1462"/>
      <c r="M13" s="1462"/>
      <c r="N13" s="1462"/>
      <c r="O13" s="1462"/>
      <c r="P13" s="1462"/>
      <c r="Q13" s="1462"/>
      <c r="R13" s="1462"/>
      <c r="S13" s="1462"/>
      <c r="T13" s="1462"/>
      <c r="U13" s="1462"/>
      <c r="V13" s="1462"/>
      <c r="W13" s="1462"/>
      <c r="X13" s="1462"/>
      <c r="Y13" s="1462"/>
      <c r="Z13" s="1462"/>
      <c r="AA13" s="1462"/>
      <c r="AB13" s="1462"/>
      <c r="AC13" s="1462"/>
      <c r="AD13" s="1462"/>
      <c r="AE13" s="1462"/>
      <c r="AF13" s="1462"/>
      <c r="AG13" s="1462"/>
      <c r="AH13" s="1462"/>
      <c r="AI13" s="1462"/>
      <c r="AJ13" s="1465">
        <f t="shared" si="1"/>
        <v>0</v>
      </c>
      <c r="AK13" s="1465">
        <f t="shared" si="2"/>
        <v>0</v>
      </c>
      <c r="AL13" s="1466"/>
      <c r="AM13" s="615"/>
    </row>
    <row r="14" spans="1:40" s="156" customFormat="1" ht="19.149999999999999" customHeight="1" outlineLevel="1">
      <c r="A14" s="1182">
        <v>5</v>
      </c>
      <c r="B14" s="1182">
        <v>5</v>
      </c>
      <c r="C14" s="1182" t="e">
        <f>VLOOKUP(D14,'DS CN MOI UP'!$B$10:$C$347,2,0)</f>
        <v>#N/A</v>
      </c>
      <c r="D14" s="1185" t="s">
        <v>387</v>
      </c>
      <c r="E14" s="1462"/>
      <c r="F14" s="1462"/>
      <c r="G14" s="1462"/>
      <c r="H14" s="1462"/>
      <c r="I14" s="1462"/>
      <c r="J14" s="1462"/>
      <c r="K14" s="1462"/>
      <c r="L14" s="1462"/>
      <c r="M14" s="1462"/>
      <c r="N14" s="1462"/>
      <c r="O14" s="1462"/>
      <c r="P14" s="1462"/>
      <c r="Q14" s="1462"/>
      <c r="R14" s="1462"/>
      <c r="S14" s="1462"/>
      <c r="T14" s="1462"/>
      <c r="U14" s="1462"/>
      <c r="V14" s="1462"/>
      <c r="W14" s="1462"/>
      <c r="X14" s="1462"/>
      <c r="Y14" s="1462"/>
      <c r="Z14" s="1462"/>
      <c r="AA14" s="1462"/>
      <c r="AB14" s="1462"/>
      <c r="AC14" s="1462"/>
      <c r="AD14" s="1462"/>
      <c r="AE14" s="1462"/>
      <c r="AF14" s="1462"/>
      <c r="AG14" s="1462"/>
      <c r="AH14" s="1462"/>
      <c r="AI14" s="1462"/>
      <c r="AJ14" s="1465">
        <f t="shared" si="1"/>
        <v>0</v>
      </c>
      <c r="AK14" s="1465">
        <f t="shared" si="2"/>
        <v>0</v>
      </c>
      <c r="AL14" s="1466"/>
      <c r="AM14" s="615"/>
    </row>
    <row r="15" spans="1:40" s="156" customFormat="1" ht="19.149999999999999" customHeight="1" outlineLevel="1">
      <c r="A15" s="1182">
        <v>6</v>
      </c>
      <c r="B15" s="1182">
        <v>6</v>
      </c>
      <c r="C15" s="1182" t="e">
        <f>VLOOKUP(D15,'DS CN MOI UP'!$B$10:$C$347,2,0)</f>
        <v>#N/A</v>
      </c>
      <c r="D15" s="1185" t="s">
        <v>388</v>
      </c>
      <c r="E15" s="1462"/>
      <c r="F15" s="1462"/>
      <c r="G15" s="1462"/>
      <c r="H15" s="1462"/>
      <c r="I15" s="1462"/>
      <c r="J15" s="1462"/>
      <c r="K15" s="1462"/>
      <c r="L15" s="1462"/>
      <c r="M15" s="1462"/>
      <c r="N15" s="1462"/>
      <c r="O15" s="1462"/>
      <c r="P15" s="1462"/>
      <c r="Q15" s="1462"/>
      <c r="R15" s="1462"/>
      <c r="S15" s="1462"/>
      <c r="T15" s="1462"/>
      <c r="U15" s="1462"/>
      <c r="V15" s="1462"/>
      <c r="W15" s="1462"/>
      <c r="X15" s="1462"/>
      <c r="Y15" s="1462"/>
      <c r="Z15" s="1462"/>
      <c r="AA15" s="1462"/>
      <c r="AB15" s="1462"/>
      <c r="AC15" s="1462"/>
      <c r="AD15" s="1462"/>
      <c r="AE15" s="1462"/>
      <c r="AF15" s="1462"/>
      <c r="AG15" s="1462"/>
      <c r="AH15" s="1462"/>
      <c r="AI15" s="1462"/>
      <c r="AJ15" s="1465">
        <f t="shared" si="1"/>
        <v>0</v>
      </c>
      <c r="AK15" s="1465">
        <f t="shared" si="2"/>
        <v>0</v>
      </c>
      <c r="AL15" s="1466"/>
      <c r="AM15" s="615"/>
    </row>
    <row r="16" spans="1:40" s="156" customFormat="1" ht="19.149999999999999" customHeight="1" outlineLevel="1">
      <c r="A16" s="1182">
        <v>7</v>
      </c>
      <c r="B16" s="1182">
        <v>7</v>
      </c>
      <c r="C16" s="1182" t="e">
        <f>VLOOKUP(D16,'DS CN MOI UP'!$B$10:$C$347,2,0)</f>
        <v>#N/A</v>
      </c>
      <c r="D16" s="1185" t="s">
        <v>389</v>
      </c>
      <c r="E16" s="1462"/>
      <c r="F16" s="1462"/>
      <c r="G16" s="1462"/>
      <c r="H16" s="1462"/>
      <c r="I16" s="1462"/>
      <c r="J16" s="1462"/>
      <c r="K16" s="1462"/>
      <c r="L16" s="1462"/>
      <c r="M16" s="1462"/>
      <c r="N16" s="1462"/>
      <c r="O16" s="1462"/>
      <c r="P16" s="1462"/>
      <c r="Q16" s="1462"/>
      <c r="R16" s="1462"/>
      <c r="S16" s="1462"/>
      <c r="T16" s="1462"/>
      <c r="U16" s="1462"/>
      <c r="V16" s="1462"/>
      <c r="W16" s="1462"/>
      <c r="X16" s="1462"/>
      <c r="Y16" s="1462"/>
      <c r="Z16" s="1462"/>
      <c r="AA16" s="1462"/>
      <c r="AB16" s="1462"/>
      <c r="AC16" s="1462"/>
      <c r="AD16" s="1462"/>
      <c r="AE16" s="1462"/>
      <c r="AF16" s="1462"/>
      <c r="AG16" s="1462"/>
      <c r="AH16" s="1462"/>
      <c r="AI16" s="1462"/>
      <c r="AJ16" s="1465">
        <f t="shared" si="1"/>
        <v>0</v>
      </c>
      <c r="AK16" s="1465">
        <f t="shared" si="2"/>
        <v>0</v>
      </c>
      <c r="AL16" s="1466"/>
      <c r="AM16" s="615"/>
    </row>
    <row r="17" spans="1:39" s="156" customFormat="1" ht="19.149999999999999" customHeight="1" outlineLevel="1">
      <c r="A17" s="1182">
        <v>8</v>
      </c>
      <c r="B17" s="1182">
        <v>8</v>
      </c>
      <c r="C17" s="1182" t="e">
        <f>VLOOKUP(D17,'DS CN MOI UP'!$B$10:$C$347,2,0)</f>
        <v>#N/A</v>
      </c>
      <c r="D17" s="1185" t="s">
        <v>1937</v>
      </c>
      <c r="E17" s="1462"/>
      <c r="F17" s="1462"/>
      <c r="G17" s="1462"/>
      <c r="H17" s="1462"/>
      <c r="I17" s="1462"/>
      <c r="J17" s="1462"/>
      <c r="K17" s="1462"/>
      <c r="L17" s="1462"/>
      <c r="M17" s="1462"/>
      <c r="N17" s="1462"/>
      <c r="O17" s="1462"/>
      <c r="P17" s="1462"/>
      <c r="Q17" s="1462"/>
      <c r="R17" s="1462"/>
      <c r="S17" s="1462"/>
      <c r="T17" s="1462"/>
      <c r="U17" s="1462"/>
      <c r="V17" s="1462"/>
      <c r="W17" s="1462"/>
      <c r="X17" s="1462"/>
      <c r="Y17" s="1462"/>
      <c r="Z17" s="1462"/>
      <c r="AA17" s="1462"/>
      <c r="AB17" s="1462"/>
      <c r="AC17" s="1462"/>
      <c r="AD17" s="1462"/>
      <c r="AE17" s="1462"/>
      <c r="AF17" s="1462"/>
      <c r="AG17" s="1462"/>
      <c r="AH17" s="1462"/>
      <c r="AI17" s="1462"/>
      <c r="AJ17" s="1465">
        <f t="shared" si="1"/>
        <v>0</v>
      </c>
      <c r="AK17" s="1465">
        <f t="shared" si="2"/>
        <v>0</v>
      </c>
      <c r="AL17" s="1466"/>
      <c r="AM17" s="615"/>
    </row>
    <row r="18" spans="1:39" s="156" customFormat="1" ht="19.149999999999999" customHeight="1" outlineLevel="1">
      <c r="A18" s="1182">
        <v>9</v>
      </c>
      <c r="B18" s="1182">
        <v>9</v>
      </c>
      <c r="C18" s="1182" t="e">
        <f>VLOOKUP(D18,'DS CN MOI UP'!$B$10:$C$347,2,0)</f>
        <v>#N/A</v>
      </c>
      <c r="D18" s="1185" t="s">
        <v>391</v>
      </c>
      <c r="E18" s="1462"/>
      <c r="F18" s="1462"/>
      <c r="G18" s="1462"/>
      <c r="H18" s="1462"/>
      <c r="I18" s="1462"/>
      <c r="J18" s="1462"/>
      <c r="K18" s="1462"/>
      <c r="L18" s="1462"/>
      <c r="M18" s="1462"/>
      <c r="N18" s="1462"/>
      <c r="O18" s="1462"/>
      <c r="P18" s="1462"/>
      <c r="Q18" s="1462"/>
      <c r="R18" s="1462"/>
      <c r="S18" s="1462"/>
      <c r="T18" s="1462"/>
      <c r="U18" s="1462"/>
      <c r="V18" s="1462"/>
      <c r="W18" s="1462"/>
      <c r="X18" s="1462"/>
      <c r="Y18" s="1462"/>
      <c r="Z18" s="1462"/>
      <c r="AA18" s="1462"/>
      <c r="AB18" s="1462"/>
      <c r="AC18" s="1462"/>
      <c r="AD18" s="1462"/>
      <c r="AE18" s="1462"/>
      <c r="AF18" s="1462"/>
      <c r="AG18" s="1462"/>
      <c r="AH18" s="1462"/>
      <c r="AI18" s="1462"/>
      <c r="AJ18" s="1465">
        <f t="shared" si="1"/>
        <v>0</v>
      </c>
      <c r="AK18" s="1465">
        <f t="shared" si="2"/>
        <v>0</v>
      </c>
      <c r="AL18" s="1466"/>
      <c r="AM18" s="615"/>
    </row>
    <row r="19" spans="1:39" s="156" customFormat="1" ht="19.149999999999999" customHeight="1" outlineLevel="1">
      <c r="A19" s="1182">
        <v>10</v>
      </c>
      <c r="B19" s="1182">
        <v>10</v>
      </c>
      <c r="C19" s="1182" t="e">
        <f>VLOOKUP(D19,'DS CN MOI UP'!$B$10:$C$347,2,0)</f>
        <v>#N/A</v>
      </c>
      <c r="D19" s="1185" t="s">
        <v>392</v>
      </c>
      <c r="E19" s="1462"/>
      <c r="F19" s="1462"/>
      <c r="G19" s="1462"/>
      <c r="H19" s="1462"/>
      <c r="I19" s="1462"/>
      <c r="J19" s="1462"/>
      <c r="K19" s="1462"/>
      <c r="L19" s="1462"/>
      <c r="M19" s="1462"/>
      <c r="N19" s="1462"/>
      <c r="O19" s="1462"/>
      <c r="P19" s="1462"/>
      <c r="Q19" s="1462"/>
      <c r="R19" s="1462"/>
      <c r="S19" s="1462"/>
      <c r="T19" s="1462"/>
      <c r="U19" s="1462"/>
      <c r="V19" s="1462"/>
      <c r="W19" s="1462"/>
      <c r="X19" s="1462"/>
      <c r="Y19" s="1462"/>
      <c r="Z19" s="1462"/>
      <c r="AA19" s="1462"/>
      <c r="AB19" s="1462"/>
      <c r="AC19" s="1462"/>
      <c r="AD19" s="1462"/>
      <c r="AE19" s="1462"/>
      <c r="AF19" s="1462"/>
      <c r="AG19" s="1462"/>
      <c r="AH19" s="1462"/>
      <c r="AI19" s="1462"/>
      <c r="AJ19" s="1465">
        <f t="shared" si="1"/>
        <v>0</v>
      </c>
      <c r="AK19" s="1465">
        <f t="shared" si="2"/>
        <v>0</v>
      </c>
      <c r="AL19" s="1466"/>
      <c r="AM19" s="615"/>
    </row>
    <row r="20" spans="1:39" s="156" customFormat="1" ht="19.149999999999999" customHeight="1" outlineLevel="1">
      <c r="A20" s="1182">
        <v>11</v>
      </c>
      <c r="B20" s="1182">
        <v>11</v>
      </c>
      <c r="C20" s="1182" t="e">
        <f>VLOOKUP(D20,'DS CN MOI UP'!$B$10:$C$347,2,0)</f>
        <v>#N/A</v>
      </c>
      <c r="D20" s="1185" t="s">
        <v>393</v>
      </c>
      <c r="E20" s="1462"/>
      <c r="F20" s="1462"/>
      <c r="G20" s="1462"/>
      <c r="H20" s="1462"/>
      <c r="I20" s="1462"/>
      <c r="J20" s="1462"/>
      <c r="K20" s="1462"/>
      <c r="L20" s="1462"/>
      <c r="M20" s="1462"/>
      <c r="N20" s="1462"/>
      <c r="O20" s="1462"/>
      <c r="P20" s="1462"/>
      <c r="Q20" s="1462"/>
      <c r="R20" s="1462"/>
      <c r="S20" s="1462"/>
      <c r="T20" s="1462"/>
      <c r="U20" s="1462"/>
      <c r="V20" s="1462"/>
      <c r="W20" s="1462"/>
      <c r="X20" s="1462"/>
      <c r="Y20" s="1462"/>
      <c r="Z20" s="1462"/>
      <c r="AA20" s="1462"/>
      <c r="AB20" s="1462"/>
      <c r="AC20" s="1462"/>
      <c r="AD20" s="1462"/>
      <c r="AE20" s="1462"/>
      <c r="AF20" s="1462"/>
      <c r="AG20" s="1462"/>
      <c r="AH20" s="1462"/>
      <c r="AI20" s="1462"/>
      <c r="AJ20" s="1465">
        <f t="shared" si="1"/>
        <v>0</v>
      </c>
      <c r="AK20" s="1465">
        <f t="shared" si="2"/>
        <v>0</v>
      </c>
      <c r="AL20" s="1466"/>
      <c r="AM20" s="615"/>
    </row>
    <row r="21" spans="1:39" s="156" customFormat="1" ht="19.149999999999999" customHeight="1" outlineLevel="1">
      <c r="A21" s="1182">
        <v>12</v>
      </c>
      <c r="B21" s="1182">
        <v>12</v>
      </c>
      <c r="C21" s="1182" t="e">
        <f>VLOOKUP(D21,'DS CN MOI UP'!$B$10:$C$347,2,0)</f>
        <v>#N/A</v>
      </c>
      <c r="D21" s="1185" t="s">
        <v>394</v>
      </c>
      <c r="E21" s="1462"/>
      <c r="F21" s="1462"/>
      <c r="G21" s="1462"/>
      <c r="H21" s="1462"/>
      <c r="I21" s="1462"/>
      <c r="J21" s="1462"/>
      <c r="K21" s="1462"/>
      <c r="L21" s="1462"/>
      <c r="M21" s="1462"/>
      <c r="N21" s="1462"/>
      <c r="O21" s="1462"/>
      <c r="P21" s="1462"/>
      <c r="Q21" s="1462"/>
      <c r="R21" s="1462"/>
      <c r="S21" s="1462"/>
      <c r="T21" s="1462"/>
      <c r="U21" s="1462"/>
      <c r="V21" s="1462"/>
      <c r="W21" s="1462"/>
      <c r="X21" s="1462"/>
      <c r="Y21" s="1462"/>
      <c r="Z21" s="1462"/>
      <c r="AA21" s="1462"/>
      <c r="AB21" s="1462"/>
      <c r="AC21" s="1462"/>
      <c r="AD21" s="1462"/>
      <c r="AE21" s="1462"/>
      <c r="AF21" s="1462"/>
      <c r="AG21" s="1462"/>
      <c r="AH21" s="1462"/>
      <c r="AI21" s="1462"/>
      <c r="AJ21" s="1465">
        <f t="shared" si="1"/>
        <v>0</v>
      </c>
      <c r="AK21" s="1465">
        <f t="shared" si="2"/>
        <v>0</v>
      </c>
      <c r="AL21" s="1466"/>
      <c r="AM21" s="615"/>
    </row>
    <row r="22" spans="1:39" s="156" customFormat="1" ht="19.149999999999999" customHeight="1" outlineLevel="1">
      <c r="A22" s="1182">
        <v>13</v>
      </c>
      <c r="B22" s="1182">
        <v>13</v>
      </c>
      <c r="C22" s="1182" t="e">
        <f>VLOOKUP(D22,'DS CN MOI UP'!$B$10:$C$347,2,0)</f>
        <v>#N/A</v>
      </c>
      <c r="D22" s="1185" t="s">
        <v>537</v>
      </c>
      <c r="E22" s="1462"/>
      <c r="F22" s="1462"/>
      <c r="G22" s="1462"/>
      <c r="H22" s="1462"/>
      <c r="I22" s="1462"/>
      <c r="J22" s="1462"/>
      <c r="K22" s="1462"/>
      <c r="L22" s="1462"/>
      <c r="M22" s="1462"/>
      <c r="N22" s="1462"/>
      <c r="O22" s="1462"/>
      <c r="P22" s="1462"/>
      <c r="Q22" s="1462"/>
      <c r="R22" s="1462"/>
      <c r="S22" s="1462"/>
      <c r="T22" s="1462"/>
      <c r="U22" s="1462"/>
      <c r="V22" s="1462"/>
      <c r="W22" s="1462"/>
      <c r="X22" s="1462"/>
      <c r="Y22" s="1462"/>
      <c r="Z22" s="1462"/>
      <c r="AA22" s="1462"/>
      <c r="AB22" s="1462"/>
      <c r="AC22" s="1462"/>
      <c r="AD22" s="1462"/>
      <c r="AE22" s="1462"/>
      <c r="AF22" s="1462"/>
      <c r="AG22" s="1462"/>
      <c r="AH22" s="1462"/>
      <c r="AI22" s="1462"/>
      <c r="AJ22" s="1465">
        <f t="shared" si="1"/>
        <v>0</v>
      </c>
      <c r="AK22" s="1465">
        <f t="shared" si="2"/>
        <v>0</v>
      </c>
      <c r="AL22" s="1466"/>
      <c r="AM22" s="615"/>
    </row>
    <row r="23" spans="1:39" s="156" customFormat="1" ht="19.149999999999999" customHeight="1" outlineLevel="1">
      <c r="A23" s="1182">
        <v>14</v>
      </c>
      <c r="B23" s="1182">
        <v>14</v>
      </c>
      <c r="C23" s="1182" t="e">
        <f>VLOOKUP(D23,'DS CN MOI UP'!$B$10:$C$347,2,0)</f>
        <v>#N/A</v>
      </c>
      <c r="D23" s="1185" t="s">
        <v>396</v>
      </c>
      <c r="E23" s="1462"/>
      <c r="F23" s="1462"/>
      <c r="G23" s="1462"/>
      <c r="H23" s="1462"/>
      <c r="I23" s="1462"/>
      <c r="J23" s="1462"/>
      <c r="K23" s="1462"/>
      <c r="L23" s="1462"/>
      <c r="M23" s="1462"/>
      <c r="N23" s="1462"/>
      <c r="O23" s="1462"/>
      <c r="P23" s="1462"/>
      <c r="Q23" s="1462"/>
      <c r="R23" s="1462"/>
      <c r="S23" s="1462"/>
      <c r="T23" s="1462"/>
      <c r="U23" s="1462"/>
      <c r="V23" s="1462"/>
      <c r="W23" s="1462"/>
      <c r="X23" s="1462"/>
      <c r="Y23" s="1462"/>
      <c r="Z23" s="1462"/>
      <c r="AA23" s="1462"/>
      <c r="AB23" s="1462"/>
      <c r="AC23" s="1462"/>
      <c r="AD23" s="1462"/>
      <c r="AE23" s="1462"/>
      <c r="AF23" s="1462"/>
      <c r="AG23" s="1462"/>
      <c r="AH23" s="1462"/>
      <c r="AI23" s="1462"/>
      <c r="AJ23" s="1465">
        <f t="shared" si="1"/>
        <v>0</v>
      </c>
      <c r="AK23" s="1465">
        <f t="shared" si="2"/>
        <v>0</v>
      </c>
      <c r="AL23" s="1466"/>
      <c r="AM23" s="615"/>
    </row>
    <row r="24" spans="1:39" s="156" customFormat="1" ht="19.149999999999999" customHeight="1" outlineLevel="1">
      <c r="A24" s="1182">
        <v>15</v>
      </c>
      <c r="B24" s="1182">
        <v>15</v>
      </c>
      <c r="C24" s="1182" t="e">
        <f>VLOOKUP(D24,'DS CN MOI UP'!$B$10:$C$347,2,0)</f>
        <v>#N/A</v>
      </c>
      <c r="D24" s="1185" t="s">
        <v>397</v>
      </c>
      <c r="E24" s="1462"/>
      <c r="F24" s="1462"/>
      <c r="G24" s="1462"/>
      <c r="H24" s="1462"/>
      <c r="I24" s="1462"/>
      <c r="J24" s="1462"/>
      <c r="K24" s="1462"/>
      <c r="L24" s="1462"/>
      <c r="M24" s="1462"/>
      <c r="N24" s="1462"/>
      <c r="O24" s="1462"/>
      <c r="P24" s="1462"/>
      <c r="Q24" s="1462"/>
      <c r="R24" s="1462"/>
      <c r="S24" s="1462"/>
      <c r="T24" s="1462"/>
      <c r="U24" s="1462"/>
      <c r="V24" s="1462"/>
      <c r="W24" s="1462"/>
      <c r="X24" s="1462"/>
      <c r="Y24" s="1462"/>
      <c r="Z24" s="1462"/>
      <c r="AA24" s="1462"/>
      <c r="AB24" s="1462"/>
      <c r="AC24" s="1462"/>
      <c r="AD24" s="1462"/>
      <c r="AE24" s="1462"/>
      <c r="AF24" s="1462"/>
      <c r="AG24" s="1462"/>
      <c r="AH24" s="1462"/>
      <c r="AI24" s="1462"/>
      <c r="AJ24" s="1465">
        <f t="shared" si="1"/>
        <v>0</v>
      </c>
      <c r="AK24" s="1465">
        <f t="shared" si="2"/>
        <v>0</v>
      </c>
      <c r="AL24" s="1466"/>
      <c r="AM24" s="615"/>
    </row>
    <row r="25" spans="1:39" s="156" customFormat="1" ht="19.149999999999999" customHeight="1" outlineLevel="1">
      <c r="A25" s="1182">
        <v>16</v>
      </c>
      <c r="B25" s="1182">
        <v>16</v>
      </c>
      <c r="C25" s="1182" t="e">
        <f>VLOOKUP(D25,'DS CN MOI UP'!$B$10:$C$347,2,0)</f>
        <v>#N/A</v>
      </c>
      <c r="D25" s="1185" t="s">
        <v>1938</v>
      </c>
      <c r="E25" s="1462"/>
      <c r="F25" s="1462"/>
      <c r="G25" s="1462"/>
      <c r="H25" s="1462"/>
      <c r="I25" s="1462"/>
      <c r="J25" s="1462"/>
      <c r="K25" s="1462"/>
      <c r="L25" s="1462"/>
      <c r="M25" s="1462"/>
      <c r="N25" s="1462"/>
      <c r="O25" s="1462"/>
      <c r="P25" s="1462"/>
      <c r="Q25" s="1462"/>
      <c r="R25" s="1462"/>
      <c r="S25" s="1462"/>
      <c r="T25" s="1462"/>
      <c r="U25" s="1462"/>
      <c r="V25" s="1462"/>
      <c r="W25" s="1462"/>
      <c r="X25" s="1462"/>
      <c r="Y25" s="1462"/>
      <c r="Z25" s="1462"/>
      <c r="AA25" s="1462"/>
      <c r="AB25" s="1462"/>
      <c r="AC25" s="1462"/>
      <c r="AD25" s="1462"/>
      <c r="AE25" s="1462"/>
      <c r="AF25" s="1462"/>
      <c r="AG25" s="1462"/>
      <c r="AH25" s="1462"/>
      <c r="AI25" s="1462"/>
      <c r="AJ25" s="1465">
        <f t="shared" si="1"/>
        <v>0</v>
      </c>
      <c r="AK25" s="1465">
        <f t="shared" si="2"/>
        <v>0</v>
      </c>
      <c r="AL25" s="1466"/>
      <c r="AM25" s="615"/>
    </row>
    <row r="26" spans="1:39" s="156" customFormat="1" ht="19.149999999999999" customHeight="1" outlineLevel="1">
      <c r="A26" s="1182">
        <v>17</v>
      </c>
      <c r="B26" s="1182">
        <v>17</v>
      </c>
      <c r="C26" s="1182" t="e">
        <f>VLOOKUP(D26,'DS CN MOI UP'!$B$10:$C$347,2,0)</f>
        <v>#N/A</v>
      </c>
      <c r="D26" s="1185" t="s">
        <v>399</v>
      </c>
      <c r="E26" s="1462"/>
      <c r="F26" s="1462"/>
      <c r="G26" s="1462"/>
      <c r="H26" s="1462"/>
      <c r="I26" s="1462"/>
      <c r="J26" s="1462"/>
      <c r="K26" s="1462"/>
      <c r="L26" s="1462"/>
      <c r="M26" s="1462"/>
      <c r="N26" s="1462"/>
      <c r="O26" s="1462"/>
      <c r="P26" s="1462"/>
      <c r="Q26" s="1462"/>
      <c r="R26" s="1462"/>
      <c r="S26" s="1462"/>
      <c r="T26" s="1462"/>
      <c r="U26" s="1462"/>
      <c r="V26" s="1462"/>
      <c r="W26" s="1462"/>
      <c r="X26" s="1462"/>
      <c r="Y26" s="1462"/>
      <c r="Z26" s="1462"/>
      <c r="AA26" s="1462"/>
      <c r="AB26" s="1462"/>
      <c r="AC26" s="1462"/>
      <c r="AD26" s="1462"/>
      <c r="AE26" s="1462"/>
      <c r="AF26" s="1462"/>
      <c r="AG26" s="1462"/>
      <c r="AH26" s="1462"/>
      <c r="AI26" s="1462"/>
      <c r="AJ26" s="1465">
        <f t="shared" si="1"/>
        <v>0</v>
      </c>
      <c r="AK26" s="1465">
        <f t="shared" si="2"/>
        <v>0</v>
      </c>
      <c r="AL26" s="1466"/>
      <c r="AM26" s="615"/>
    </row>
    <row r="27" spans="1:39" s="156" customFormat="1" ht="19.149999999999999" customHeight="1" outlineLevel="1">
      <c r="A27" s="1182">
        <v>18</v>
      </c>
      <c r="B27" s="1182">
        <v>18</v>
      </c>
      <c r="C27" s="1182" t="e">
        <f>VLOOKUP(D27,'DS CN MOI UP'!$B$10:$C$347,2,0)</f>
        <v>#N/A</v>
      </c>
      <c r="D27" s="1185" t="s">
        <v>400</v>
      </c>
      <c r="E27" s="1462"/>
      <c r="F27" s="1462"/>
      <c r="G27" s="1462"/>
      <c r="H27" s="1462"/>
      <c r="I27" s="1462"/>
      <c r="J27" s="1462"/>
      <c r="K27" s="1462"/>
      <c r="L27" s="1462"/>
      <c r="M27" s="1462"/>
      <c r="N27" s="1462"/>
      <c r="O27" s="1462"/>
      <c r="P27" s="1462"/>
      <c r="Q27" s="1462"/>
      <c r="R27" s="1462"/>
      <c r="S27" s="1462"/>
      <c r="T27" s="1462"/>
      <c r="U27" s="1462"/>
      <c r="V27" s="1462"/>
      <c r="W27" s="1462"/>
      <c r="X27" s="1462"/>
      <c r="Y27" s="1462"/>
      <c r="Z27" s="1462"/>
      <c r="AA27" s="1462"/>
      <c r="AB27" s="1462"/>
      <c r="AC27" s="1462"/>
      <c r="AD27" s="1462"/>
      <c r="AE27" s="1462"/>
      <c r="AF27" s="1462"/>
      <c r="AG27" s="1462"/>
      <c r="AH27" s="1462"/>
      <c r="AI27" s="1462"/>
      <c r="AJ27" s="1465">
        <f t="shared" si="1"/>
        <v>0</v>
      </c>
      <c r="AK27" s="1465">
        <f t="shared" si="2"/>
        <v>0</v>
      </c>
      <c r="AL27" s="1466"/>
      <c r="AM27" s="615"/>
    </row>
    <row r="28" spans="1:39" s="156" customFormat="1" ht="19.149999999999999" customHeight="1" outlineLevel="1">
      <c r="A28" s="1182">
        <v>19</v>
      </c>
      <c r="B28" s="1182">
        <v>19</v>
      </c>
      <c r="C28" s="1182" t="e">
        <f>VLOOKUP(D28,'DS CN MOI UP'!$B$10:$C$347,2,0)</f>
        <v>#N/A</v>
      </c>
      <c r="D28" s="1185" t="s">
        <v>401</v>
      </c>
      <c r="E28" s="1462"/>
      <c r="F28" s="1462"/>
      <c r="G28" s="1462"/>
      <c r="H28" s="1462"/>
      <c r="I28" s="1462"/>
      <c r="J28" s="1462"/>
      <c r="K28" s="1462"/>
      <c r="L28" s="1462"/>
      <c r="M28" s="1462"/>
      <c r="N28" s="1462"/>
      <c r="O28" s="1462"/>
      <c r="P28" s="1462"/>
      <c r="Q28" s="1462"/>
      <c r="R28" s="1462"/>
      <c r="S28" s="1462"/>
      <c r="T28" s="1462"/>
      <c r="U28" s="1462"/>
      <c r="V28" s="1462"/>
      <c r="W28" s="1462"/>
      <c r="X28" s="1462"/>
      <c r="Y28" s="1462"/>
      <c r="Z28" s="1462"/>
      <c r="AA28" s="1462"/>
      <c r="AB28" s="1462"/>
      <c r="AC28" s="1462"/>
      <c r="AD28" s="1462"/>
      <c r="AE28" s="1462"/>
      <c r="AF28" s="1462"/>
      <c r="AG28" s="1462"/>
      <c r="AH28" s="1462"/>
      <c r="AI28" s="1462"/>
      <c r="AJ28" s="1465">
        <f t="shared" si="1"/>
        <v>0</v>
      </c>
      <c r="AK28" s="1465">
        <f t="shared" si="2"/>
        <v>0</v>
      </c>
      <c r="AL28" s="1466"/>
      <c r="AM28" s="615"/>
    </row>
    <row r="29" spans="1:39" s="156" customFormat="1" ht="19.149999999999999" customHeight="1" outlineLevel="1">
      <c r="A29" s="1182">
        <v>20</v>
      </c>
      <c r="B29" s="1182">
        <v>20</v>
      </c>
      <c r="C29" s="1182" t="e">
        <f>VLOOKUP(D29,'DS CN MOI UP'!$B$10:$C$347,2,0)</f>
        <v>#N/A</v>
      </c>
      <c r="D29" s="1185" t="s">
        <v>402</v>
      </c>
      <c r="E29" s="1462"/>
      <c r="F29" s="1462"/>
      <c r="G29" s="1462"/>
      <c r="H29" s="1462"/>
      <c r="I29" s="1462"/>
      <c r="J29" s="1462"/>
      <c r="K29" s="1462"/>
      <c r="L29" s="1462"/>
      <c r="M29" s="1462"/>
      <c r="N29" s="1462"/>
      <c r="O29" s="1462"/>
      <c r="P29" s="1462"/>
      <c r="Q29" s="1462"/>
      <c r="R29" s="1462"/>
      <c r="S29" s="1462"/>
      <c r="T29" s="1462"/>
      <c r="U29" s="1462"/>
      <c r="V29" s="1462"/>
      <c r="W29" s="1462"/>
      <c r="X29" s="1462"/>
      <c r="Y29" s="1462"/>
      <c r="Z29" s="1462"/>
      <c r="AA29" s="1462"/>
      <c r="AB29" s="1462"/>
      <c r="AC29" s="1462"/>
      <c r="AD29" s="1462"/>
      <c r="AE29" s="1462"/>
      <c r="AF29" s="1462"/>
      <c r="AG29" s="1462"/>
      <c r="AH29" s="1462"/>
      <c r="AI29" s="1462"/>
      <c r="AJ29" s="1465">
        <f t="shared" si="1"/>
        <v>0</v>
      </c>
      <c r="AK29" s="1465">
        <f t="shared" si="2"/>
        <v>0</v>
      </c>
      <c r="AL29" s="1466"/>
      <c r="AM29" s="615"/>
    </row>
    <row r="30" spans="1:39" s="156" customFormat="1" ht="19.149999999999999" customHeight="1" outlineLevel="1">
      <c r="A30" s="1182">
        <v>21</v>
      </c>
      <c r="B30" s="1182">
        <v>21</v>
      </c>
      <c r="C30" s="1182" t="e">
        <f>VLOOKUP(D30,'DS CN MOI UP'!$B$10:$C$347,2,0)</f>
        <v>#N/A</v>
      </c>
      <c r="D30" s="1185" t="s">
        <v>403</v>
      </c>
      <c r="E30" s="1462"/>
      <c r="F30" s="1462"/>
      <c r="G30" s="1462"/>
      <c r="H30" s="1462"/>
      <c r="I30" s="1462"/>
      <c r="J30" s="1462"/>
      <c r="K30" s="1462"/>
      <c r="L30" s="1462"/>
      <c r="M30" s="1462"/>
      <c r="N30" s="1462"/>
      <c r="O30" s="1462"/>
      <c r="P30" s="1462"/>
      <c r="Q30" s="1462"/>
      <c r="R30" s="1462"/>
      <c r="S30" s="1462"/>
      <c r="T30" s="1462"/>
      <c r="U30" s="1462"/>
      <c r="V30" s="1462"/>
      <c r="W30" s="1462"/>
      <c r="X30" s="1462"/>
      <c r="Y30" s="1462"/>
      <c r="Z30" s="1462"/>
      <c r="AA30" s="1462"/>
      <c r="AB30" s="1462"/>
      <c r="AC30" s="1462"/>
      <c r="AD30" s="1462"/>
      <c r="AE30" s="1462"/>
      <c r="AF30" s="1462"/>
      <c r="AG30" s="1462"/>
      <c r="AH30" s="1462"/>
      <c r="AI30" s="1462"/>
      <c r="AJ30" s="1465">
        <f t="shared" si="1"/>
        <v>0</v>
      </c>
      <c r="AK30" s="1465">
        <f t="shared" si="2"/>
        <v>0</v>
      </c>
      <c r="AL30" s="1466"/>
      <c r="AM30" s="615"/>
    </row>
    <row r="31" spans="1:39" s="156" customFormat="1" ht="19.149999999999999" customHeight="1" outlineLevel="1">
      <c r="A31" s="1182">
        <v>22</v>
      </c>
      <c r="B31" s="1182">
        <v>22</v>
      </c>
      <c r="C31" s="1182" t="e">
        <f>VLOOKUP(D31,'DS CN MOI UP'!$B$10:$C$347,2,0)</f>
        <v>#N/A</v>
      </c>
      <c r="D31" s="1185" t="s">
        <v>404</v>
      </c>
      <c r="E31" s="1462"/>
      <c r="F31" s="1462"/>
      <c r="G31" s="1462"/>
      <c r="H31" s="1462"/>
      <c r="I31" s="1462"/>
      <c r="J31" s="1462"/>
      <c r="K31" s="1462"/>
      <c r="L31" s="1462"/>
      <c r="M31" s="1462"/>
      <c r="N31" s="1462"/>
      <c r="O31" s="1462"/>
      <c r="P31" s="1462"/>
      <c r="Q31" s="1462"/>
      <c r="R31" s="1462"/>
      <c r="S31" s="1462"/>
      <c r="T31" s="1462"/>
      <c r="U31" s="1462"/>
      <c r="V31" s="1462"/>
      <c r="W31" s="1462"/>
      <c r="X31" s="1462"/>
      <c r="Y31" s="1462"/>
      <c r="Z31" s="1462"/>
      <c r="AA31" s="1462"/>
      <c r="AB31" s="1462"/>
      <c r="AC31" s="1462"/>
      <c r="AD31" s="1462"/>
      <c r="AE31" s="1462"/>
      <c r="AF31" s="1462"/>
      <c r="AG31" s="1462"/>
      <c r="AH31" s="1462"/>
      <c r="AI31" s="1462"/>
      <c r="AJ31" s="1465">
        <f t="shared" si="1"/>
        <v>0</v>
      </c>
      <c r="AK31" s="1465">
        <f t="shared" si="2"/>
        <v>0</v>
      </c>
      <c r="AL31" s="1466"/>
      <c r="AM31" s="615"/>
    </row>
    <row r="32" spans="1:39" s="156" customFormat="1" ht="19.149999999999999" customHeight="1" outlineLevel="1">
      <c r="A32" s="1182">
        <v>23</v>
      </c>
      <c r="B32" s="1182">
        <v>23</v>
      </c>
      <c r="C32" s="1182" t="e">
        <f>VLOOKUP(D32,'DS CN MOI UP'!$B$10:$C$347,2,0)</f>
        <v>#N/A</v>
      </c>
      <c r="D32" s="1185" t="s">
        <v>405</v>
      </c>
      <c r="E32" s="1462"/>
      <c r="F32" s="1462"/>
      <c r="G32" s="1462"/>
      <c r="H32" s="1462"/>
      <c r="I32" s="1462"/>
      <c r="J32" s="1462"/>
      <c r="K32" s="1462"/>
      <c r="L32" s="1462"/>
      <c r="M32" s="1462"/>
      <c r="N32" s="1462"/>
      <c r="O32" s="1462"/>
      <c r="P32" s="1462"/>
      <c r="Q32" s="1462"/>
      <c r="R32" s="1462"/>
      <c r="S32" s="1462"/>
      <c r="T32" s="1462"/>
      <c r="U32" s="1462"/>
      <c r="V32" s="1462"/>
      <c r="W32" s="1462"/>
      <c r="X32" s="1462"/>
      <c r="Y32" s="1462"/>
      <c r="Z32" s="1462"/>
      <c r="AA32" s="1462"/>
      <c r="AB32" s="1462"/>
      <c r="AC32" s="1462"/>
      <c r="AD32" s="1462"/>
      <c r="AE32" s="1462"/>
      <c r="AF32" s="1462"/>
      <c r="AG32" s="1462"/>
      <c r="AH32" s="1462"/>
      <c r="AI32" s="1462"/>
      <c r="AJ32" s="1465">
        <f t="shared" si="1"/>
        <v>0</v>
      </c>
      <c r="AK32" s="1465">
        <f t="shared" si="2"/>
        <v>0</v>
      </c>
      <c r="AL32" s="1466"/>
      <c r="AM32" s="615"/>
    </row>
    <row r="33" spans="1:39" s="156" customFormat="1" ht="19.149999999999999" customHeight="1" outlineLevel="1">
      <c r="A33" s="1182">
        <v>24</v>
      </c>
      <c r="B33" s="1182">
        <v>24</v>
      </c>
      <c r="C33" s="1182" t="e">
        <f>VLOOKUP(D33,'DS CN MOI UP'!$B$10:$C$347,2,0)</f>
        <v>#N/A</v>
      </c>
      <c r="D33" s="1185" t="s">
        <v>406</v>
      </c>
      <c r="E33" s="1462"/>
      <c r="F33" s="1462"/>
      <c r="G33" s="1462"/>
      <c r="H33" s="1462"/>
      <c r="I33" s="1462"/>
      <c r="J33" s="1462"/>
      <c r="K33" s="1462"/>
      <c r="L33" s="1462"/>
      <c r="M33" s="1462"/>
      <c r="N33" s="1462"/>
      <c r="O33" s="1462"/>
      <c r="P33" s="1462"/>
      <c r="Q33" s="1462"/>
      <c r="R33" s="1462"/>
      <c r="S33" s="1462"/>
      <c r="T33" s="1462"/>
      <c r="U33" s="1462"/>
      <c r="V33" s="1462"/>
      <c r="W33" s="1462"/>
      <c r="X33" s="1462"/>
      <c r="Y33" s="1462"/>
      <c r="Z33" s="1462"/>
      <c r="AA33" s="1462"/>
      <c r="AB33" s="1462"/>
      <c r="AC33" s="1462"/>
      <c r="AD33" s="1462"/>
      <c r="AE33" s="1462"/>
      <c r="AF33" s="1462"/>
      <c r="AG33" s="1462"/>
      <c r="AH33" s="1462"/>
      <c r="AI33" s="1462"/>
      <c r="AJ33" s="1465">
        <f t="shared" si="1"/>
        <v>0</v>
      </c>
      <c r="AK33" s="1465">
        <f t="shared" si="2"/>
        <v>0</v>
      </c>
      <c r="AL33" s="1466"/>
      <c r="AM33" s="615"/>
    </row>
    <row r="34" spans="1:39" s="156" customFormat="1" ht="19.149999999999999" customHeight="1" outlineLevel="1">
      <c r="A34" s="1182">
        <v>25</v>
      </c>
      <c r="B34" s="1182">
        <v>25</v>
      </c>
      <c r="C34" s="1182" t="e">
        <f>VLOOKUP(D34,'DS CN MOI UP'!$B$10:$C$347,2,0)</f>
        <v>#N/A</v>
      </c>
      <c r="D34" s="1185" t="s">
        <v>407</v>
      </c>
      <c r="E34" s="1462"/>
      <c r="F34" s="1462"/>
      <c r="G34" s="1462"/>
      <c r="H34" s="1462"/>
      <c r="I34" s="1462"/>
      <c r="J34" s="1462"/>
      <c r="K34" s="1462"/>
      <c r="L34" s="1462"/>
      <c r="M34" s="1462"/>
      <c r="N34" s="1462"/>
      <c r="O34" s="1462"/>
      <c r="P34" s="1462"/>
      <c r="Q34" s="1462"/>
      <c r="R34" s="1462"/>
      <c r="S34" s="1462"/>
      <c r="T34" s="1462"/>
      <c r="U34" s="1462"/>
      <c r="V34" s="1462"/>
      <c r="W34" s="1462"/>
      <c r="X34" s="1462"/>
      <c r="Y34" s="1462"/>
      <c r="Z34" s="1462"/>
      <c r="AA34" s="1462"/>
      <c r="AB34" s="1462"/>
      <c r="AC34" s="1462"/>
      <c r="AD34" s="1462"/>
      <c r="AE34" s="1462"/>
      <c r="AF34" s="1462"/>
      <c r="AG34" s="1462"/>
      <c r="AH34" s="1462"/>
      <c r="AI34" s="1462"/>
      <c r="AJ34" s="1465">
        <f t="shared" si="1"/>
        <v>0</v>
      </c>
      <c r="AK34" s="1465">
        <f t="shared" si="2"/>
        <v>0</v>
      </c>
      <c r="AL34" s="1466"/>
      <c r="AM34" s="615"/>
    </row>
    <row r="35" spans="1:39" s="156" customFormat="1" ht="19.149999999999999" customHeight="1" outlineLevel="1">
      <c r="A35" s="1182">
        <v>26</v>
      </c>
      <c r="B35" s="1182">
        <v>26</v>
      </c>
      <c r="C35" s="1182" t="e">
        <f>VLOOKUP(D35,'DS CN MOI UP'!$B$10:$C$347,2,0)</f>
        <v>#N/A</v>
      </c>
      <c r="D35" s="1185" t="s">
        <v>408</v>
      </c>
      <c r="E35" s="1462"/>
      <c r="F35" s="1462"/>
      <c r="G35" s="1462"/>
      <c r="H35" s="1462"/>
      <c r="I35" s="1462"/>
      <c r="J35" s="1462"/>
      <c r="K35" s="1462"/>
      <c r="L35" s="1462"/>
      <c r="M35" s="1462"/>
      <c r="N35" s="1462"/>
      <c r="O35" s="1462"/>
      <c r="P35" s="1462"/>
      <c r="Q35" s="1462"/>
      <c r="R35" s="1462"/>
      <c r="S35" s="1462"/>
      <c r="T35" s="1462"/>
      <c r="U35" s="1462"/>
      <c r="V35" s="1462"/>
      <c r="W35" s="1462"/>
      <c r="X35" s="1462"/>
      <c r="Y35" s="1462"/>
      <c r="Z35" s="1462"/>
      <c r="AA35" s="1462"/>
      <c r="AB35" s="1462"/>
      <c r="AC35" s="1462"/>
      <c r="AD35" s="1462"/>
      <c r="AE35" s="1462"/>
      <c r="AF35" s="1462"/>
      <c r="AG35" s="1462"/>
      <c r="AH35" s="1462"/>
      <c r="AI35" s="1462"/>
      <c r="AJ35" s="1465">
        <f t="shared" si="1"/>
        <v>0</v>
      </c>
      <c r="AK35" s="1465">
        <f t="shared" si="2"/>
        <v>0</v>
      </c>
      <c r="AL35" s="1466"/>
      <c r="AM35" s="615"/>
    </row>
    <row r="36" spans="1:39" s="156" customFormat="1" ht="19.149999999999999" customHeight="1" outlineLevel="1">
      <c r="A36" s="1182">
        <v>27</v>
      </c>
      <c r="B36" s="1182">
        <v>27</v>
      </c>
      <c r="C36" s="1182" t="e">
        <f>VLOOKUP(D36,'DS CN MOI UP'!$B$10:$C$347,2,0)</f>
        <v>#N/A</v>
      </c>
      <c r="D36" s="1185" t="s">
        <v>1939</v>
      </c>
      <c r="E36" s="1462"/>
      <c r="F36" s="1462"/>
      <c r="G36" s="1462"/>
      <c r="H36" s="1462"/>
      <c r="I36" s="1462"/>
      <c r="J36" s="1462"/>
      <c r="K36" s="1462"/>
      <c r="L36" s="1462"/>
      <c r="M36" s="1462"/>
      <c r="N36" s="1462"/>
      <c r="O36" s="1462"/>
      <c r="P36" s="1462"/>
      <c r="Q36" s="1462"/>
      <c r="R36" s="1462"/>
      <c r="S36" s="1462"/>
      <c r="T36" s="1462"/>
      <c r="U36" s="1462"/>
      <c r="V36" s="1462"/>
      <c r="W36" s="1462"/>
      <c r="X36" s="1462"/>
      <c r="Y36" s="1462"/>
      <c r="Z36" s="1462"/>
      <c r="AA36" s="1462"/>
      <c r="AB36" s="1462"/>
      <c r="AC36" s="1462"/>
      <c r="AD36" s="1462"/>
      <c r="AE36" s="1462"/>
      <c r="AF36" s="1462"/>
      <c r="AG36" s="1462"/>
      <c r="AH36" s="1462"/>
      <c r="AI36" s="1462"/>
      <c r="AJ36" s="1465">
        <f t="shared" si="1"/>
        <v>0</v>
      </c>
      <c r="AK36" s="1465">
        <f t="shared" si="2"/>
        <v>0</v>
      </c>
      <c r="AL36" s="1466"/>
      <c r="AM36" s="615"/>
    </row>
    <row r="37" spans="1:39" s="156" customFormat="1" ht="19.149999999999999" customHeight="1" outlineLevel="1">
      <c r="A37" s="1182">
        <v>28</v>
      </c>
      <c r="B37" s="1182">
        <v>28</v>
      </c>
      <c r="C37" s="1182" t="e">
        <f>VLOOKUP(D37,'DS CN MOI UP'!$B$10:$C$347,2,0)</f>
        <v>#N/A</v>
      </c>
      <c r="D37" s="1185" t="s">
        <v>410</v>
      </c>
      <c r="E37" s="1462"/>
      <c r="F37" s="1462"/>
      <c r="G37" s="1462"/>
      <c r="H37" s="1462"/>
      <c r="I37" s="1462"/>
      <c r="J37" s="1462"/>
      <c r="K37" s="1462"/>
      <c r="L37" s="1462"/>
      <c r="M37" s="1462"/>
      <c r="N37" s="1462"/>
      <c r="O37" s="1462"/>
      <c r="P37" s="1462"/>
      <c r="Q37" s="1462"/>
      <c r="R37" s="1462"/>
      <c r="S37" s="1462"/>
      <c r="T37" s="1462"/>
      <c r="U37" s="1462"/>
      <c r="V37" s="1462"/>
      <c r="W37" s="1462"/>
      <c r="X37" s="1462"/>
      <c r="Y37" s="1462"/>
      <c r="Z37" s="1462"/>
      <c r="AA37" s="1462"/>
      <c r="AB37" s="1462"/>
      <c r="AC37" s="1462"/>
      <c r="AD37" s="1462"/>
      <c r="AE37" s="1462"/>
      <c r="AF37" s="1462"/>
      <c r="AG37" s="1462"/>
      <c r="AH37" s="1462"/>
      <c r="AI37" s="1462"/>
      <c r="AJ37" s="1465">
        <f t="shared" si="1"/>
        <v>0</v>
      </c>
      <c r="AK37" s="1465">
        <f t="shared" si="2"/>
        <v>0</v>
      </c>
      <c r="AL37" s="1466"/>
      <c r="AM37" s="615"/>
    </row>
    <row r="38" spans="1:39" s="156" customFormat="1" ht="19.149999999999999" customHeight="1" outlineLevel="1">
      <c r="A38" s="1182">
        <v>29</v>
      </c>
      <c r="B38" s="1182">
        <v>29</v>
      </c>
      <c r="C38" s="1182" t="e">
        <f>VLOOKUP(D38,'DS CN MOI UP'!$B$10:$C$347,2,0)</f>
        <v>#N/A</v>
      </c>
      <c r="D38" s="1185" t="s">
        <v>411</v>
      </c>
      <c r="E38" s="1462"/>
      <c r="F38" s="1462"/>
      <c r="G38" s="1462"/>
      <c r="H38" s="1462"/>
      <c r="I38" s="1462"/>
      <c r="J38" s="1462"/>
      <c r="K38" s="1462"/>
      <c r="L38" s="1462"/>
      <c r="M38" s="1462"/>
      <c r="N38" s="1462"/>
      <c r="O38" s="1462"/>
      <c r="P38" s="1462"/>
      <c r="Q38" s="1462"/>
      <c r="R38" s="1462"/>
      <c r="S38" s="1462"/>
      <c r="T38" s="1462"/>
      <c r="U38" s="1462"/>
      <c r="V38" s="1462"/>
      <c r="W38" s="1462"/>
      <c r="X38" s="1462"/>
      <c r="Y38" s="1462"/>
      <c r="Z38" s="1462"/>
      <c r="AA38" s="1462"/>
      <c r="AB38" s="1462"/>
      <c r="AC38" s="1462"/>
      <c r="AD38" s="1462"/>
      <c r="AE38" s="1462"/>
      <c r="AF38" s="1462"/>
      <c r="AG38" s="1462"/>
      <c r="AH38" s="1462"/>
      <c r="AI38" s="1462"/>
      <c r="AJ38" s="1465">
        <f t="shared" si="1"/>
        <v>0</v>
      </c>
      <c r="AK38" s="1465">
        <f t="shared" si="2"/>
        <v>0</v>
      </c>
      <c r="AL38" s="1466"/>
      <c r="AM38" s="615"/>
    </row>
    <row r="39" spans="1:39" s="156" customFormat="1" ht="19.149999999999999" customHeight="1" outlineLevel="1">
      <c r="A39" s="1182">
        <v>30</v>
      </c>
      <c r="B39" s="1182">
        <v>30</v>
      </c>
      <c r="C39" s="1182" t="e">
        <f>VLOOKUP(D39,'DS CN MOI UP'!$B$10:$C$347,2,0)</f>
        <v>#N/A</v>
      </c>
      <c r="D39" s="1185" t="s">
        <v>412</v>
      </c>
      <c r="E39" s="1462"/>
      <c r="F39" s="1462"/>
      <c r="G39" s="1462"/>
      <c r="H39" s="1462"/>
      <c r="I39" s="1462"/>
      <c r="J39" s="1462"/>
      <c r="K39" s="1462"/>
      <c r="L39" s="1462"/>
      <c r="M39" s="1462"/>
      <c r="N39" s="1462"/>
      <c r="O39" s="1462"/>
      <c r="P39" s="1462"/>
      <c r="Q39" s="1462"/>
      <c r="R39" s="1462"/>
      <c r="S39" s="1462"/>
      <c r="T39" s="1462"/>
      <c r="U39" s="1462"/>
      <c r="V39" s="1462"/>
      <c r="W39" s="1462"/>
      <c r="X39" s="1462"/>
      <c r="Y39" s="1462"/>
      <c r="Z39" s="1462"/>
      <c r="AA39" s="1462"/>
      <c r="AB39" s="1462"/>
      <c r="AC39" s="1462"/>
      <c r="AD39" s="1462"/>
      <c r="AE39" s="1462"/>
      <c r="AF39" s="1462"/>
      <c r="AG39" s="1462"/>
      <c r="AH39" s="1462"/>
      <c r="AI39" s="1462"/>
      <c r="AJ39" s="1465">
        <f t="shared" si="1"/>
        <v>0</v>
      </c>
      <c r="AK39" s="1465">
        <f t="shared" si="2"/>
        <v>0</v>
      </c>
      <c r="AL39" s="1466"/>
      <c r="AM39" s="615"/>
    </row>
    <row r="40" spans="1:39" s="156" customFormat="1" ht="19.149999999999999" customHeight="1" outlineLevel="1">
      <c r="A40" s="1182">
        <v>31</v>
      </c>
      <c r="B40" s="1182">
        <v>31</v>
      </c>
      <c r="C40" s="1182" t="e">
        <f>VLOOKUP(D40,'DS CN MOI UP'!$B$10:$C$347,2,0)</f>
        <v>#N/A</v>
      </c>
      <c r="D40" s="1185" t="s">
        <v>413</v>
      </c>
      <c r="E40" s="1462"/>
      <c r="F40" s="1462"/>
      <c r="G40" s="1462"/>
      <c r="H40" s="1462"/>
      <c r="I40" s="1462"/>
      <c r="J40" s="1462"/>
      <c r="K40" s="1462"/>
      <c r="L40" s="1462"/>
      <c r="M40" s="1462"/>
      <c r="N40" s="1462"/>
      <c r="O40" s="1462"/>
      <c r="P40" s="1462"/>
      <c r="Q40" s="1462"/>
      <c r="R40" s="1462"/>
      <c r="S40" s="1462"/>
      <c r="T40" s="1462"/>
      <c r="U40" s="1462"/>
      <c r="V40" s="1462"/>
      <c r="W40" s="1462"/>
      <c r="X40" s="1462"/>
      <c r="Y40" s="1462"/>
      <c r="Z40" s="1462"/>
      <c r="AA40" s="1462"/>
      <c r="AB40" s="1462"/>
      <c r="AC40" s="1462"/>
      <c r="AD40" s="1462"/>
      <c r="AE40" s="1462"/>
      <c r="AF40" s="1462"/>
      <c r="AG40" s="1462"/>
      <c r="AH40" s="1462"/>
      <c r="AI40" s="1462"/>
      <c r="AJ40" s="1465">
        <f t="shared" si="1"/>
        <v>0</v>
      </c>
      <c r="AK40" s="1465">
        <f t="shared" si="2"/>
        <v>0</v>
      </c>
      <c r="AL40" s="1466"/>
      <c r="AM40" s="615"/>
    </row>
    <row r="41" spans="1:39" s="156" customFormat="1" ht="19.149999999999999" customHeight="1" outlineLevel="1">
      <c r="A41" s="1182">
        <v>32</v>
      </c>
      <c r="B41" s="1182">
        <v>32</v>
      </c>
      <c r="C41" s="1182" t="e">
        <f>VLOOKUP(D41,'DS CN MOI UP'!$B$10:$C$347,2,0)</f>
        <v>#N/A</v>
      </c>
      <c r="D41" s="1185" t="s">
        <v>414</v>
      </c>
      <c r="E41" s="1462"/>
      <c r="F41" s="1462"/>
      <c r="G41" s="1462"/>
      <c r="H41" s="1462"/>
      <c r="I41" s="1462"/>
      <c r="J41" s="1462"/>
      <c r="K41" s="1462"/>
      <c r="L41" s="1462"/>
      <c r="M41" s="1462"/>
      <c r="N41" s="1462"/>
      <c r="O41" s="1462"/>
      <c r="P41" s="1462"/>
      <c r="Q41" s="1462"/>
      <c r="R41" s="1462"/>
      <c r="S41" s="1462"/>
      <c r="T41" s="1462"/>
      <c r="U41" s="1462"/>
      <c r="V41" s="1462"/>
      <c r="W41" s="1462"/>
      <c r="X41" s="1462"/>
      <c r="Y41" s="1462"/>
      <c r="Z41" s="1462"/>
      <c r="AA41" s="1462"/>
      <c r="AB41" s="1462"/>
      <c r="AC41" s="1462"/>
      <c r="AD41" s="1462"/>
      <c r="AE41" s="1462"/>
      <c r="AF41" s="1462"/>
      <c r="AG41" s="1462"/>
      <c r="AH41" s="1462"/>
      <c r="AI41" s="1462"/>
      <c r="AJ41" s="1465">
        <f t="shared" si="1"/>
        <v>0</v>
      </c>
      <c r="AK41" s="1465">
        <f t="shared" si="2"/>
        <v>0</v>
      </c>
      <c r="AL41" s="1466"/>
      <c r="AM41" s="615"/>
    </row>
    <row r="42" spans="1:39" s="156" customFormat="1" ht="19.149999999999999" customHeight="1" outlineLevel="1">
      <c r="A42" s="1182">
        <v>33</v>
      </c>
      <c r="B42" s="1182">
        <v>33</v>
      </c>
      <c r="C42" s="1182" t="e">
        <f>VLOOKUP(D42,'DS CN MOI UP'!$B$10:$C$347,2,0)</f>
        <v>#N/A</v>
      </c>
      <c r="D42" s="1185" t="s">
        <v>415</v>
      </c>
      <c r="E42" s="1462"/>
      <c r="F42" s="1462"/>
      <c r="G42" s="1462"/>
      <c r="H42" s="1462"/>
      <c r="I42" s="1462"/>
      <c r="J42" s="1462"/>
      <c r="K42" s="1462"/>
      <c r="L42" s="1462"/>
      <c r="M42" s="1462"/>
      <c r="N42" s="1462"/>
      <c r="O42" s="1462"/>
      <c r="P42" s="1462"/>
      <c r="Q42" s="1462"/>
      <c r="R42" s="1462"/>
      <c r="S42" s="1462"/>
      <c r="T42" s="1462"/>
      <c r="U42" s="1462"/>
      <c r="V42" s="1462"/>
      <c r="W42" s="1462"/>
      <c r="X42" s="1462"/>
      <c r="Y42" s="1462"/>
      <c r="Z42" s="1462"/>
      <c r="AA42" s="1462"/>
      <c r="AB42" s="1462"/>
      <c r="AC42" s="1462"/>
      <c r="AD42" s="1462"/>
      <c r="AE42" s="1462"/>
      <c r="AF42" s="1462"/>
      <c r="AG42" s="1462"/>
      <c r="AH42" s="1462"/>
      <c r="AI42" s="1462"/>
      <c r="AJ42" s="1465">
        <f t="shared" si="1"/>
        <v>0</v>
      </c>
      <c r="AK42" s="1465">
        <f t="shared" si="2"/>
        <v>0</v>
      </c>
      <c r="AL42" s="1466"/>
      <c r="AM42" s="615"/>
    </row>
    <row r="43" spans="1:39" s="156" customFormat="1" ht="19.149999999999999" customHeight="1" outlineLevel="1">
      <c r="A43" s="1182">
        <v>34</v>
      </c>
      <c r="B43" s="1182">
        <v>34</v>
      </c>
      <c r="C43" s="1182" t="e">
        <f>VLOOKUP(D43,'DS CN MOI UP'!$B$10:$C$347,2,0)</f>
        <v>#N/A</v>
      </c>
      <c r="D43" s="1185" t="s">
        <v>1940</v>
      </c>
      <c r="E43" s="1462"/>
      <c r="F43" s="1462"/>
      <c r="G43" s="1462"/>
      <c r="H43" s="1462"/>
      <c r="I43" s="1462"/>
      <c r="J43" s="1462"/>
      <c r="K43" s="1462"/>
      <c r="L43" s="1462"/>
      <c r="M43" s="1462"/>
      <c r="N43" s="1462"/>
      <c r="O43" s="1462"/>
      <c r="P43" s="1462"/>
      <c r="Q43" s="1462"/>
      <c r="R43" s="1462"/>
      <c r="S43" s="1462"/>
      <c r="T43" s="1462"/>
      <c r="U43" s="1462"/>
      <c r="V43" s="1462"/>
      <c r="W43" s="1462"/>
      <c r="X43" s="1462"/>
      <c r="Y43" s="1462"/>
      <c r="Z43" s="1462"/>
      <c r="AA43" s="1462"/>
      <c r="AB43" s="1462"/>
      <c r="AC43" s="1462"/>
      <c r="AD43" s="1462"/>
      <c r="AE43" s="1462"/>
      <c r="AF43" s="1462"/>
      <c r="AG43" s="1462"/>
      <c r="AH43" s="1462"/>
      <c r="AI43" s="1462"/>
      <c r="AJ43" s="1465">
        <f t="shared" si="1"/>
        <v>0</v>
      </c>
      <c r="AK43" s="1465">
        <f t="shared" si="2"/>
        <v>0</v>
      </c>
      <c r="AL43" s="1466"/>
      <c r="AM43" s="615"/>
    </row>
    <row r="44" spans="1:39" s="156" customFormat="1" ht="19.149999999999999" customHeight="1" outlineLevel="1">
      <c r="A44" s="1182">
        <v>35</v>
      </c>
      <c r="B44" s="1182">
        <v>35</v>
      </c>
      <c r="C44" s="1182" t="e">
        <f>VLOOKUP(D44,'DS CN MOI UP'!$B$10:$C$347,2,0)</f>
        <v>#N/A</v>
      </c>
      <c r="D44" s="1185" t="s">
        <v>417</v>
      </c>
      <c r="E44" s="1462"/>
      <c r="F44" s="1462"/>
      <c r="G44" s="1462"/>
      <c r="H44" s="1462"/>
      <c r="I44" s="1462"/>
      <c r="J44" s="1462"/>
      <c r="K44" s="1462"/>
      <c r="L44" s="1462"/>
      <c r="M44" s="1462"/>
      <c r="N44" s="1462"/>
      <c r="O44" s="1462"/>
      <c r="P44" s="1462"/>
      <c r="Q44" s="1462"/>
      <c r="R44" s="1462"/>
      <c r="S44" s="1462"/>
      <c r="T44" s="1462"/>
      <c r="U44" s="1462"/>
      <c r="V44" s="1462"/>
      <c r="W44" s="1462"/>
      <c r="X44" s="1462"/>
      <c r="Y44" s="1462"/>
      <c r="Z44" s="1462"/>
      <c r="AA44" s="1462"/>
      <c r="AB44" s="1462"/>
      <c r="AC44" s="1462"/>
      <c r="AD44" s="1462"/>
      <c r="AE44" s="1462"/>
      <c r="AF44" s="1462"/>
      <c r="AG44" s="1462"/>
      <c r="AH44" s="1462"/>
      <c r="AI44" s="1462"/>
      <c r="AJ44" s="1465">
        <f t="shared" si="1"/>
        <v>0</v>
      </c>
      <c r="AK44" s="1465">
        <f t="shared" si="2"/>
        <v>0</v>
      </c>
      <c r="AL44" s="1466"/>
      <c r="AM44" s="615"/>
    </row>
    <row r="45" spans="1:39" s="156" customFormat="1" ht="19.149999999999999" customHeight="1" outlineLevel="1">
      <c r="A45" s="1182">
        <v>36</v>
      </c>
      <c r="B45" s="1182">
        <v>36</v>
      </c>
      <c r="C45" s="1182" t="e">
        <f>VLOOKUP(D45,'DS CN MOI UP'!$B$10:$C$347,2,0)</f>
        <v>#N/A</v>
      </c>
      <c r="D45" s="1185" t="s">
        <v>418</v>
      </c>
      <c r="E45" s="1462"/>
      <c r="F45" s="1462"/>
      <c r="G45" s="1462"/>
      <c r="H45" s="1462"/>
      <c r="I45" s="1462"/>
      <c r="J45" s="1462"/>
      <c r="K45" s="1462"/>
      <c r="L45" s="1462"/>
      <c r="M45" s="1462"/>
      <c r="N45" s="1462"/>
      <c r="O45" s="1462"/>
      <c r="P45" s="1462"/>
      <c r="Q45" s="1462"/>
      <c r="R45" s="1462"/>
      <c r="S45" s="1462"/>
      <c r="T45" s="1462"/>
      <c r="U45" s="1462"/>
      <c r="V45" s="1462"/>
      <c r="W45" s="1462"/>
      <c r="X45" s="1462"/>
      <c r="Y45" s="1462"/>
      <c r="Z45" s="1462"/>
      <c r="AA45" s="1462"/>
      <c r="AB45" s="1462"/>
      <c r="AC45" s="1462"/>
      <c r="AD45" s="1462"/>
      <c r="AE45" s="1462"/>
      <c r="AF45" s="1462"/>
      <c r="AG45" s="1462"/>
      <c r="AH45" s="1462"/>
      <c r="AI45" s="1462"/>
      <c r="AJ45" s="1465">
        <f t="shared" si="1"/>
        <v>0</v>
      </c>
      <c r="AK45" s="1465">
        <f t="shared" si="2"/>
        <v>0</v>
      </c>
      <c r="AL45" s="1466"/>
      <c r="AM45" s="615"/>
    </row>
    <row r="46" spans="1:39" s="156" customFormat="1" ht="19.149999999999999" customHeight="1" outlineLevel="1">
      <c r="A46" s="1182">
        <v>37</v>
      </c>
      <c r="B46" s="1182">
        <v>37</v>
      </c>
      <c r="C46" s="1182" t="e">
        <f>VLOOKUP(D46,'DS CN MOI UP'!$B$10:$C$347,2,0)</f>
        <v>#N/A</v>
      </c>
      <c r="D46" s="1185" t="s">
        <v>419</v>
      </c>
      <c r="E46" s="1462"/>
      <c r="F46" s="1462"/>
      <c r="G46" s="1462"/>
      <c r="H46" s="1462"/>
      <c r="I46" s="1462"/>
      <c r="J46" s="1462"/>
      <c r="K46" s="1462"/>
      <c r="L46" s="1462"/>
      <c r="M46" s="1462"/>
      <c r="N46" s="1462"/>
      <c r="O46" s="1462"/>
      <c r="P46" s="1462"/>
      <c r="Q46" s="1462"/>
      <c r="R46" s="1462"/>
      <c r="S46" s="1462"/>
      <c r="T46" s="1462"/>
      <c r="U46" s="1462"/>
      <c r="V46" s="1462"/>
      <c r="W46" s="1462"/>
      <c r="X46" s="1462"/>
      <c r="Y46" s="1462"/>
      <c r="Z46" s="1462"/>
      <c r="AA46" s="1462"/>
      <c r="AB46" s="1462"/>
      <c r="AC46" s="1462"/>
      <c r="AD46" s="1462"/>
      <c r="AE46" s="1462"/>
      <c r="AF46" s="1462"/>
      <c r="AG46" s="1462"/>
      <c r="AH46" s="1462"/>
      <c r="AI46" s="1462"/>
      <c r="AJ46" s="1465">
        <f t="shared" si="1"/>
        <v>0</v>
      </c>
      <c r="AK46" s="1465">
        <f t="shared" si="2"/>
        <v>0</v>
      </c>
      <c r="AL46" s="1466"/>
      <c r="AM46" s="615"/>
    </row>
    <row r="47" spans="1:39" s="156" customFormat="1" ht="19.149999999999999" customHeight="1" outlineLevel="1">
      <c r="A47" s="1182">
        <v>38</v>
      </c>
      <c r="B47" s="1182">
        <v>38</v>
      </c>
      <c r="C47" s="1182" t="e">
        <f>VLOOKUP(D47,'DS CN MOI UP'!$B$10:$C$347,2,0)</f>
        <v>#N/A</v>
      </c>
      <c r="D47" s="1185" t="s">
        <v>420</v>
      </c>
      <c r="E47" s="1462"/>
      <c r="F47" s="1462"/>
      <c r="G47" s="1462"/>
      <c r="H47" s="1462"/>
      <c r="I47" s="1462"/>
      <c r="J47" s="1462"/>
      <c r="K47" s="1462"/>
      <c r="L47" s="1462"/>
      <c r="M47" s="1462"/>
      <c r="N47" s="1462"/>
      <c r="O47" s="1462"/>
      <c r="P47" s="1462"/>
      <c r="Q47" s="1462"/>
      <c r="R47" s="1462"/>
      <c r="S47" s="1462"/>
      <c r="T47" s="1462"/>
      <c r="U47" s="1462"/>
      <c r="V47" s="1462"/>
      <c r="W47" s="1462"/>
      <c r="X47" s="1462"/>
      <c r="Y47" s="1462"/>
      <c r="Z47" s="1462"/>
      <c r="AA47" s="1462"/>
      <c r="AB47" s="1462"/>
      <c r="AC47" s="1462"/>
      <c r="AD47" s="1462"/>
      <c r="AE47" s="1462"/>
      <c r="AF47" s="1462"/>
      <c r="AG47" s="1462"/>
      <c r="AH47" s="1462"/>
      <c r="AI47" s="1462"/>
      <c r="AJ47" s="1465">
        <f t="shared" si="1"/>
        <v>0</v>
      </c>
      <c r="AK47" s="1465">
        <f t="shared" si="2"/>
        <v>0</v>
      </c>
      <c r="AL47" s="1466"/>
      <c r="AM47" s="615"/>
    </row>
    <row r="48" spans="1:39" s="156" customFormat="1" ht="19.149999999999999" customHeight="1" outlineLevel="1">
      <c r="A48" s="1182">
        <v>39</v>
      </c>
      <c r="B48" s="1182">
        <v>39</v>
      </c>
      <c r="C48" s="1182" t="e">
        <f>VLOOKUP(D48,'DS CN MOI UP'!$B$10:$C$347,2,0)</f>
        <v>#N/A</v>
      </c>
      <c r="D48" s="1185" t="s">
        <v>421</v>
      </c>
      <c r="E48" s="1462"/>
      <c r="F48" s="1462"/>
      <c r="G48" s="1462"/>
      <c r="H48" s="1462"/>
      <c r="I48" s="1462"/>
      <c r="J48" s="1462"/>
      <c r="K48" s="1462"/>
      <c r="L48" s="1462"/>
      <c r="M48" s="1462"/>
      <c r="N48" s="1462"/>
      <c r="O48" s="1462"/>
      <c r="P48" s="1462"/>
      <c r="Q48" s="1462"/>
      <c r="R48" s="1462"/>
      <c r="S48" s="1462"/>
      <c r="T48" s="1462"/>
      <c r="U48" s="1462"/>
      <c r="V48" s="1462"/>
      <c r="W48" s="1462"/>
      <c r="X48" s="1462"/>
      <c r="Y48" s="1462"/>
      <c r="Z48" s="1462"/>
      <c r="AA48" s="1462"/>
      <c r="AB48" s="1462"/>
      <c r="AC48" s="1462"/>
      <c r="AD48" s="1462"/>
      <c r="AE48" s="1462"/>
      <c r="AF48" s="1462"/>
      <c r="AG48" s="1462"/>
      <c r="AH48" s="1462"/>
      <c r="AI48" s="1462"/>
      <c r="AJ48" s="1465">
        <f t="shared" si="1"/>
        <v>0</v>
      </c>
      <c r="AK48" s="1465">
        <f t="shared" si="2"/>
        <v>0</v>
      </c>
      <c r="AL48" s="1466"/>
      <c r="AM48" s="615"/>
    </row>
    <row r="49" spans="1:40" s="156" customFormat="1" ht="19.149999999999999" customHeight="1" outlineLevel="1">
      <c r="A49" s="1182">
        <v>40</v>
      </c>
      <c r="B49" s="1182">
        <v>40</v>
      </c>
      <c r="C49" s="1182" t="e">
        <f>VLOOKUP(D49,'DS CN MOI UP'!$B$10:$C$347,2,0)</f>
        <v>#N/A</v>
      </c>
      <c r="D49" s="1185" t="s">
        <v>422</v>
      </c>
      <c r="E49" s="1462"/>
      <c r="F49" s="1462"/>
      <c r="G49" s="1462"/>
      <c r="H49" s="1462"/>
      <c r="I49" s="1462"/>
      <c r="J49" s="1462"/>
      <c r="K49" s="1462"/>
      <c r="L49" s="1462"/>
      <c r="M49" s="1462"/>
      <c r="N49" s="1462"/>
      <c r="O49" s="1462"/>
      <c r="P49" s="1462"/>
      <c r="Q49" s="1462"/>
      <c r="R49" s="1462"/>
      <c r="S49" s="1462"/>
      <c r="T49" s="1462"/>
      <c r="U49" s="1462"/>
      <c r="V49" s="1462"/>
      <c r="W49" s="1462"/>
      <c r="X49" s="1462"/>
      <c r="Y49" s="1462"/>
      <c r="Z49" s="1462"/>
      <c r="AA49" s="1462"/>
      <c r="AB49" s="1462"/>
      <c r="AC49" s="1462"/>
      <c r="AD49" s="1462"/>
      <c r="AE49" s="1462"/>
      <c r="AF49" s="1462"/>
      <c r="AG49" s="1462"/>
      <c r="AH49" s="1462"/>
      <c r="AI49" s="1462"/>
      <c r="AJ49" s="1465">
        <f t="shared" si="1"/>
        <v>0</v>
      </c>
      <c r="AK49" s="1465">
        <f t="shared" si="2"/>
        <v>0</v>
      </c>
      <c r="AL49" s="1466"/>
      <c r="AM49" s="615"/>
    </row>
    <row r="50" spans="1:40" s="156" customFormat="1" ht="19.149999999999999" customHeight="1" outlineLevel="1">
      <c r="A50" s="1182">
        <v>41</v>
      </c>
      <c r="B50" s="1182">
        <v>41</v>
      </c>
      <c r="C50" s="1182" t="e">
        <f>VLOOKUP(D50,'DS CN MOI UP'!$B$10:$C$347,2,0)</f>
        <v>#N/A</v>
      </c>
      <c r="D50" s="1185" t="s">
        <v>423</v>
      </c>
      <c r="E50" s="1462"/>
      <c r="F50" s="1462"/>
      <c r="G50" s="1462"/>
      <c r="H50" s="1462"/>
      <c r="I50" s="1462"/>
      <c r="J50" s="1462"/>
      <c r="K50" s="1462"/>
      <c r="L50" s="1462"/>
      <c r="M50" s="1462"/>
      <c r="N50" s="1462"/>
      <c r="O50" s="1462"/>
      <c r="P50" s="1462"/>
      <c r="Q50" s="1462"/>
      <c r="R50" s="1462"/>
      <c r="S50" s="1462"/>
      <c r="T50" s="1462"/>
      <c r="U50" s="1462"/>
      <c r="V50" s="1462"/>
      <c r="W50" s="1462"/>
      <c r="X50" s="1462"/>
      <c r="Y50" s="1462"/>
      <c r="Z50" s="1462"/>
      <c r="AA50" s="1462"/>
      <c r="AB50" s="1462"/>
      <c r="AC50" s="1462"/>
      <c r="AD50" s="1462"/>
      <c r="AE50" s="1462"/>
      <c r="AF50" s="1462"/>
      <c r="AG50" s="1462"/>
      <c r="AH50" s="1462"/>
      <c r="AI50" s="1462"/>
      <c r="AJ50" s="1465">
        <f t="shared" si="1"/>
        <v>0</v>
      </c>
      <c r="AK50" s="1465">
        <f t="shared" si="2"/>
        <v>0</v>
      </c>
      <c r="AL50" s="1466"/>
      <c r="AM50" s="615"/>
    </row>
    <row r="51" spans="1:40" s="156" customFormat="1" ht="19.149999999999999" customHeight="1" outlineLevel="1">
      <c r="A51" s="1182">
        <v>42</v>
      </c>
      <c r="B51" s="1182">
        <v>42</v>
      </c>
      <c r="C51" s="1182" t="e">
        <f>VLOOKUP(D51,'DS CN MOI UP'!$B$10:$C$347,2,0)</f>
        <v>#N/A</v>
      </c>
      <c r="D51" s="1185" t="s">
        <v>424</v>
      </c>
      <c r="E51" s="1462"/>
      <c r="F51" s="1462"/>
      <c r="G51" s="1462"/>
      <c r="H51" s="1462"/>
      <c r="I51" s="1462"/>
      <c r="J51" s="1462"/>
      <c r="K51" s="1462"/>
      <c r="L51" s="1462"/>
      <c r="M51" s="1462"/>
      <c r="N51" s="1462"/>
      <c r="O51" s="1462"/>
      <c r="P51" s="1462"/>
      <c r="Q51" s="1462"/>
      <c r="R51" s="1462"/>
      <c r="S51" s="1462"/>
      <c r="T51" s="1462"/>
      <c r="U51" s="1462"/>
      <c r="V51" s="1462"/>
      <c r="W51" s="1462"/>
      <c r="X51" s="1462"/>
      <c r="Y51" s="1462"/>
      <c r="Z51" s="1462"/>
      <c r="AA51" s="1462"/>
      <c r="AB51" s="1462"/>
      <c r="AC51" s="1462"/>
      <c r="AD51" s="1462"/>
      <c r="AE51" s="1462"/>
      <c r="AF51" s="1462"/>
      <c r="AG51" s="1462"/>
      <c r="AH51" s="1462"/>
      <c r="AI51" s="1462"/>
      <c r="AJ51" s="1465">
        <f t="shared" si="1"/>
        <v>0</v>
      </c>
      <c r="AK51" s="1465">
        <f t="shared" si="2"/>
        <v>0</v>
      </c>
      <c r="AL51" s="1466"/>
      <c r="AM51" s="615"/>
    </row>
    <row r="52" spans="1:40" s="156" customFormat="1" ht="19.149999999999999" customHeight="1" outlineLevel="1">
      <c r="A52" s="1182">
        <v>43</v>
      </c>
      <c r="B52" s="1182">
        <v>43</v>
      </c>
      <c r="C52" s="1182" t="e">
        <f>VLOOKUP(D52,'DS CN MOI UP'!$B$10:$C$347,2,0)</f>
        <v>#N/A</v>
      </c>
      <c r="D52" s="1185" t="s">
        <v>425</v>
      </c>
      <c r="E52" s="1462"/>
      <c r="F52" s="1462"/>
      <c r="G52" s="1462"/>
      <c r="H52" s="1462"/>
      <c r="I52" s="1462"/>
      <c r="J52" s="1462"/>
      <c r="K52" s="1462"/>
      <c r="L52" s="1462"/>
      <c r="M52" s="1462"/>
      <c r="N52" s="1462"/>
      <c r="O52" s="1462"/>
      <c r="P52" s="1462"/>
      <c r="Q52" s="1462"/>
      <c r="R52" s="1462"/>
      <c r="S52" s="1462"/>
      <c r="T52" s="1462"/>
      <c r="U52" s="1462"/>
      <c r="V52" s="1462"/>
      <c r="W52" s="1462"/>
      <c r="X52" s="1462"/>
      <c r="Y52" s="1462"/>
      <c r="Z52" s="1462"/>
      <c r="AA52" s="1462"/>
      <c r="AB52" s="1462"/>
      <c r="AC52" s="1462"/>
      <c r="AD52" s="1462"/>
      <c r="AE52" s="1462"/>
      <c r="AF52" s="1462"/>
      <c r="AG52" s="1462"/>
      <c r="AH52" s="1462"/>
      <c r="AI52" s="1462"/>
      <c r="AJ52" s="1465">
        <f t="shared" si="1"/>
        <v>0</v>
      </c>
      <c r="AK52" s="1465">
        <f t="shared" si="2"/>
        <v>0</v>
      </c>
      <c r="AL52" s="1466"/>
      <c r="AM52" s="615"/>
    </row>
    <row r="53" spans="1:40" s="1232" customFormat="1" ht="19.149999999999999" customHeight="1" outlineLevel="1">
      <c r="A53" s="1183" t="s">
        <v>520</v>
      </c>
      <c r="B53" s="1183"/>
      <c r="C53" s="1182" t="e">
        <f>VLOOKUP(D53,'DS CN MOI UP'!$B$10:$C$347,2,0)</f>
        <v>#N/A</v>
      </c>
      <c r="D53" s="1183"/>
      <c r="E53" s="1461"/>
      <c r="F53" s="1461"/>
      <c r="G53" s="1461"/>
      <c r="H53" s="1461"/>
      <c r="I53" s="1461"/>
      <c r="J53" s="1461"/>
      <c r="K53" s="1461"/>
      <c r="L53" s="1461"/>
      <c r="M53" s="1461"/>
      <c r="N53" s="1461"/>
      <c r="O53" s="1461"/>
      <c r="P53" s="1461"/>
      <c r="Q53" s="1461"/>
      <c r="R53" s="1461"/>
      <c r="S53" s="1461"/>
      <c r="T53" s="1461"/>
      <c r="U53" s="1461"/>
      <c r="V53" s="1461"/>
      <c r="W53" s="1461"/>
      <c r="X53" s="1461"/>
      <c r="Y53" s="1461"/>
      <c r="Z53" s="1461"/>
      <c r="AA53" s="1461"/>
      <c r="AB53" s="1461"/>
      <c r="AC53" s="1461"/>
      <c r="AD53" s="1461"/>
      <c r="AE53" s="1461"/>
      <c r="AF53" s="1461"/>
      <c r="AG53" s="1461"/>
      <c r="AH53" s="1461"/>
      <c r="AI53" s="1461"/>
      <c r="AJ53" s="1461">
        <f>SUM(AJ54:AJ109)</f>
        <v>0</v>
      </c>
      <c r="AK53" s="1461">
        <f>SUM(AK54:AK109)</f>
        <v>0</v>
      </c>
      <c r="AL53" s="1204"/>
      <c r="AM53" s="1247"/>
    </row>
    <row r="54" spans="1:40" s="156" customFormat="1" ht="19.149999999999999" customHeight="1" outlineLevel="1">
      <c r="A54" s="1182">
        <v>44</v>
      </c>
      <c r="B54" s="1182">
        <v>1</v>
      </c>
      <c r="C54" s="1182" t="e">
        <f>VLOOKUP(D54,'DS CN MOI UP'!$B$10:$C$347,2,0)</f>
        <v>#N/A</v>
      </c>
      <c r="D54" s="1185" t="s">
        <v>430</v>
      </c>
      <c r="E54" s="1462"/>
      <c r="F54" s="1462"/>
      <c r="G54" s="1462"/>
      <c r="H54" s="1462"/>
      <c r="I54" s="1462"/>
      <c r="J54" s="1462"/>
      <c r="K54" s="1462"/>
      <c r="L54" s="1462"/>
      <c r="M54" s="1462"/>
      <c r="N54" s="1462"/>
      <c r="O54" s="1462"/>
      <c r="P54" s="1462"/>
      <c r="Q54" s="1462"/>
      <c r="R54" s="1462"/>
      <c r="S54" s="1462"/>
      <c r="T54" s="1462"/>
      <c r="U54" s="1462"/>
      <c r="V54" s="1462"/>
      <c r="W54" s="1462"/>
      <c r="X54" s="1462"/>
      <c r="Y54" s="1463"/>
      <c r="Z54" s="1463"/>
      <c r="AA54" s="1462"/>
      <c r="AB54" s="1462"/>
      <c r="AC54" s="1462"/>
      <c r="AD54" s="1462"/>
      <c r="AE54" s="1462"/>
      <c r="AF54" s="1462"/>
      <c r="AG54" s="1462"/>
      <c r="AH54" s="1462"/>
      <c r="AI54" s="1462"/>
      <c r="AJ54" s="1465">
        <f>SUM(E54:AI54)</f>
        <v>0</v>
      </c>
      <c r="AK54" s="1465">
        <f t="shared" si="2"/>
        <v>0</v>
      </c>
      <c r="AL54" s="1466"/>
      <c r="AM54" s="156">
        <f t="shared" ref="AM54:AM85" si="3">SUM(E54:AI54)</f>
        <v>0</v>
      </c>
      <c r="AN54" s="615" t="e">
        <f>+#REF!-AM54</f>
        <v>#REF!</v>
      </c>
    </row>
    <row r="55" spans="1:40" s="156" customFormat="1" ht="19.149999999999999" customHeight="1" outlineLevel="1">
      <c r="A55" s="1182">
        <v>45</v>
      </c>
      <c r="B55" s="1182">
        <v>2</v>
      </c>
      <c r="C55" s="1182" t="e">
        <f>VLOOKUP(D55,'DS CN MOI UP'!$B$10:$C$347,2,0)</f>
        <v>#N/A</v>
      </c>
      <c r="D55" s="1185" t="s">
        <v>431</v>
      </c>
      <c r="E55" s="1462"/>
      <c r="F55" s="1462"/>
      <c r="G55" s="1462"/>
      <c r="H55" s="1462"/>
      <c r="I55" s="1462"/>
      <c r="J55" s="1462"/>
      <c r="K55" s="1462"/>
      <c r="L55" s="1462"/>
      <c r="M55" s="1462"/>
      <c r="N55" s="1462"/>
      <c r="O55" s="1462"/>
      <c r="P55" s="1462"/>
      <c r="Q55" s="1462"/>
      <c r="R55" s="1462"/>
      <c r="S55" s="1462"/>
      <c r="T55" s="1462"/>
      <c r="U55" s="1462"/>
      <c r="V55" s="1462"/>
      <c r="W55" s="1462"/>
      <c r="X55" s="1462"/>
      <c r="Y55" s="1463"/>
      <c r="Z55" s="1463"/>
      <c r="AA55" s="1462"/>
      <c r="AB55" s="1462"/>
      <c r="AC55" s="1462"/>
      <c r="AD55" s="1462"/>
      <c r="AE55" s="1462"/>
      <c r="AF55" s="1462"/>
      <c r="AG55" s="1462"/>
      <c r="AH55" s="1462"/>
      <c r="AI55" s="1462"/>
      <c r="AJ55" s="1465">
        <f t="shared" ref="AJ55:AJ109" si="4">SUM(E55:AI55)</f>
        <v>0</v>
      </c>
      <c r="AK55" s="1465">
        <f t="shared" si="2"/>
        <v>0</v>
      </c>
      <c r="AL55" s="1466"/>
      <c r="AM55" s="156">
        <f t="shared" si="3"/>
        <v>0</v>
      </c>
      <c r="AN55" s="615" t="e">
        <f>+#REF!-AM55</f>
        <v>#REF!</v>
      </c>
    </row>
    <row r="56" spans="1:40" s="156" customFormat="1" ht="19.149999999999999" customHeight="1" outlineLevel="1">
      <c r="A56" s="1182">
        <v>46</v>
      </c>
      <c r="B56" s="1182">
        <v>3</v>
      </c>
      <c r="C56" s="1182" t="e">
        <f>VLOOKUP(D56,'DS CN MOI UP'!$B$10:$C$347,2,0)</f>
        <v>#N/A</v>
      </c>
      <c r="D56" s="1185" t="s">
        <v>432</v>
      </c>
      <c r="E56" s="1462"/>
      <c r="F56" s="1462"/>
      <c r="G56" s="1462"/>
      <c r="H56" s="1462"/>
      <c r="I56" s="1462"/>
      <c r="J56" s="1462"/>
      <c r="K56" s="1462"/>
      <c r="L56" s="1462"/>
      <c r="M56" s="1462"/>
      <c r="N56" s="1462"/>
      <c r="O56" s="1462"/>
      <c r="P56" s="1462"/>
      <c r="Q56" s="1462"/>
      <c r="R56" s="1462"/>
      <c r="S56" s="1462"/>
      <c r="T56" s="1462"/>
      <c r="U56" s="1462"/>
      <c r="V56" s="1462"/>
      <c r="W56" s="1462"/>
      <c r="X56" s="1462"/>
      <c r="Y56" s="1463"/>
      <c r="Z56" s="1463"/>
      <c r="AA56" s="1462"/>
      <c r="AB56" s="1462"/>
      <c r="AC56" s="1462"/>
      <c r="AD56" s="1462"/>
      <c r="AE56" s="1462"/>
      <c r="AF56" s="1462"/>
      <c r="AG56" s="1462"/>
      <c r="AH56" s="1462"/>
      <c r="AI56" s="1462"/>
      <c r="AJ56" s="1465">
        <f t="shared" si="4"/>
        <v>0</v>
      </c>
      <c r="AK56" s="1465">
        <f t="shared" si="2"/>
        <v>0</v>
      </c>
      <c r="AL56" s="1466"/>
      <c r="AM56" s="156">
        <f t="shared" si="3"/>
        <v>0</v>
      </c>
      <c r="AN56" s="615" t="e">
        <f>+#REF!-AM56</f>
        <v>#REF!</v>
      </c>
    </row>
    <row r="57" spans="1:40" s="156" customFormat="1" ht="19.149999999999999" customHeight="1" outlineLevel="1">
      <c r="A57" s="1182">
        <v>47</v>
      </c>
      <c r="B57" s="1182">
        <v>4</v>
      </c>
      <c r="C57" s="1182" t="e">
        <f>VLOOKUP(D57,'DS CN MOI UP'!$B$10:$C$347,2,0)</f>
        <v>#N/A</v>
      </c>
      <c r="D57" s="1185" t="s">
        <v>433</v>
      </c>
      <c r="E57" s="1462"/>
      <c r="F57" s="1462"/>
      <c r="G57" s="1462"/>
      <c r="H57" s="1462"/>
      <c r="I57" s="1462"/>
      <c r="J57" s="1462"/>
      <c r="K57" s="1462"/>
      <c r="L57" s="1462"/>
      <c r="M57" s="1462"/>
      <c r="N57" s="1462"/>
      <c r="O57" s="1462"/>
      <c r="P57" s="1462"/>
      <c r="Q57" s="1462"/>
      <c r="R57" s="1462"/>
      <c r="S57" s="1462"/>
      <c r="T57" s="1462"/>
      <c r="U57" s="1462"/>
      <c r="V57" s="1462"/>
      <c r="W57" s="1462"/>
      <c r="X57" s="1462"/>
      <c r="Y57" s="1463"/>
      <c r="Z57" s="1463"/>
      <c r="AA57" s="1462"/>
      <c r="AB57" s="1462"/>
      <c r="AC57" s="1462"/>
      <c r="AD57" s="1462"/>
      <c r="AE57" s="1462"/>
      <c r="AF57" s="1462"/>
      <c r="AG57" s="1462"/>
      <c r="AH57" s="1462"/>
      <c r="AI57" s="1462"/>
      <c r="AJ57" s="1465">
        <f t="shared" si="4"/>
        <v>0</v>
      </c>
      <c r="AK57" s="1465">
        <f t="shared" si="2"/>
        <v>0</v>
      </c>
      <c r="AL57" s="1466"/>
      <c r="AM57" s="156">
        <f t="shared" si="3"/>
        <v>0</v>
      </c>
      <c r="AN57" s="615" t="e">
        <f>+#REF!-AM57</f>
        <v>#REF!</v>
      </c>
    </row>
    <row r="58" spans="1:40" s="156" customFormat="1" ht="19.149999999999999" customHeight="1" outlineLevel="1">
      <c r="A58" s="1182">
        <v>48</v>
      </c>
      <c r="B58" s="1182">
        <v>5</v>
      </c>
      <c r="C58" s="1182" t="e">
        <f>VLOOKUP(D58,'DS CN MOI UP'!$B$10:$C$347,2,0)</f>
        <v>#N/A</v>
      </c>
      <c r="D58" s="1185" t="s">
        <v>434</v>
      </c>
      <c r="E58" s="1462"/>
      <c r="F58" s="1462"/>
      <c r="G58" s="1462"/>
      <c r="H58" s="1462"/>
      <c r="I58" s="1462"/>
      <c r="J58" s="1462"/>
      <c r="K58" s="1462"/>
      <c r="L58" s="1462"/>
      <c r="M58" s="1462"/>
      <c r="N58" s="1462"/>
      <c r="O58" s="1462"/>
      <c r="P58" s="1462"/>
      <c r="Q58" s="1462"/>
      <c r="R58" s="1462"/>
      <c r="S58" s="1462"/>
      <c r="T58" s="1462"/>
      <c r="U58" s="1462"/>
      <c r="V58" s="1462"/>
      <c r="W58" s="1462"/>
      <c r="X58" s="1462"/>
      <c r="Y58" s="1463"/>
      <c r="Z58" s="1463"/>
      <c r="AA58" s="1462"/>
      <c r="AB58" s="1462"/>
      <c r="AC58" s="1462"/>
      <c r="AD58" s="1462"/>
      <c r="AE58" s="1462"/>
      <c r="AF58" s="1462"/>
      <c r="AG58" s="1462"/>
      <c r="AH58" s="1462"/>
      <c r="AI58" s="1462"/>
      <c r="AJ58" s="1465">
        <f t="shared" si="4"/>
        <v>0</v>
      </c>
      <c r="AK58" s="1465">
        <f t="shared" si="2"/>
        <v>0</v>
      </c>
      <c r="AL58" s="1466"/>
      <c r="AM58" s="156">
        <f t="shared" si="3"/>
        <v>0</v>
      </c>
      <c r="AN58" s="615" t="e">
        <f>+#REF!-AM58</f>
        <v>#REF!</v>
      </c>
    </row>
    <row r="59" spans="1:40" s="156" customFormat="1" ht="19.149999999999999" customHeight="1" outlineLevel="1">
      <c r="A59" s="1182">
        <v>49</v>
      </c>
      <c r="B59" s="1182">
        <v>6</v>
      </c>
      <c r="C59" s="1182" t="e">
        <f>VLOOKUP(D59,'DS CN MOI UP'!$B$10:$C$347,2,0)</f>
        <v>#N/A</v>
      </c>
      <c r="D59" s="1185" t="s">
        <v>435</v>
      </c>
      <c r="E59" s="1462"/>
      <c r="F59" s="1462"/>
      <c r="G59" s="1462"/>
      <c r="H59" s="1462"/>
      <c r="I59" s="1462"/>
      <c r="J59" s="1462"/>
      <c r="K59" s="1462"/>
      <c r="L59" s="1462"/>
      <c r="M59" s="1462"/>
      <c r="N59" s="1462"/>
      <c r="O59" s="1462"/>
      <c r="P59" s="1462"/>
      <c r="Q59" s="1462"/>
      <c r="R59" s="1462"/>
      <c r="S59" s="1462"/>
      <c r="T59" s="1462"/>
      <c r="U59" s="1462"/>
      <c r="V59" s="1462"/>
      <c r="W59" s="1462"/>
      <c r="X59" s="1462"/>
      <c r="Y59" s="1463"/>
      <c r="Z59" s="1463"/>
      <c r="AA59" s="1462"/>
      <c r="AB59" s="1462"/>
      <c r="AC59" s="1462"/>
      <c r="AD59" s="1462"/>
      <c r="AE59" s="1462"/>
      <c r="AF59" s="1462"/>
      <c r="AG59" s="1462"/>
      <c r="AH59" s="1462"/>
      <c r="AI59" s="1462"/>
      <c r="AJ59" s="1465">
        <f t="shared" si="4"/>
        <v>0</v>
      </c>
      <c r="AK59" s="1465">
        <f t="shared" si="2"/>
        <v>0</v>
      </c>
      <c r="AL59" s="1466"/>
      <c r="AM59" s="156">
        <f t="shared" si="3"/>
        <v>0</v>
      </c>
      <c r="AN59" s="615" t="e">
        <f>+#REF!-AM59</f>
        <v>#REF!</v>
      </c>
    </row>
    <row r="60" spans="1:40" s="156" customFormat="1" ht="19.149999999999999" customHeight="1" outlineLevel="1">
      <c r="A60" s="1182">
        <v>50</v>
      </c>
      <c r="B60" s="1182">
        <v>7</v>
      </c>
      <c r="C60" s="1182" t="e">
        <f>VLOOKUP(D60,'DS CN MOI UP'!$B$10:$C$347,2,0)</f>
        <v>#N/A</v>
      </c>
      <c r="D60" s="1185" t="s">
        <v>436</v>
      </c>
      <c r="E60" s="1462"/>
      <c r="F60" s="1462"/>
      <c r="G60" s="1462"/>
      <c r="H60" s="1462"/>
      <c r="I60" s="1462"/>
      <c r="J60" s="1462"/>
      <c r="K60" s="1462"/>
      <c r="L60" s="1462"/>
      <c r="M60" s="1462"/>
      <c r="N60" s="1462"/>
      <c r="O60" s="1462"/>
      <c r="P60" s="1462"/>
      <c r="Q60" s="1462"/>
      <c r="R60" s="1462"/>
      <c r="S60" s="1462"/>
      <c r="T60" s="1462"/>
      <c r="U60" s="1462"/>
      <c r="V60" s="1462"/>
      <c r="W60" s="1462"/>
      <c r="X60" s="1462"/>
      <c r="Y60" s="1463"/>
      <c r="Z60" s="1463"/>
      <c r="AA60" s="1462"/>
      <c r="AB60" s="1462"/>
      <c r="AC60" s="1462"/>
      <c r="AD60" s="1462"/>
      <c r="AE60" s="1462"/>
      <c r="AF60" s="1462"/>
      <c r="AG60" s="1462"/>
      <c r="AH60" s="1462"/>
      <c r="AI60" s="1462"/>
      <c r="AJ60" s="1465">
        <f t="shared" si="4"/>
        <v>0</v>
      </c>
      <c r="AK60" s="1465">
        <f t="shared" si="2"/>
        <v>0</v>
      </c>
      <c r="AL60" s="1466"/>
      <c r="AM60" s="156">
        <f t="shared" si="3"/>
        <v>0</v>
      </c>
      <c r="AN60" s="615" t="e">
        <f>+#REF!-AM60</f>
        <v>#REF!</v>
      </c>
    </row>
    <row r="61" spans="1:40" s="156" customFormat="1" ht="19.149999999999999" customHeight="1" outlineLevel="1">
      <c r="A61" s="1182">
        <v>51</v>
      </c>
      <c r="B61" s="1182">
        <v>8</v>
      </c>
      <c r="C61" s="1182" t="e">
        <f>VLOOKUP(D61,'DS CN MOI UP'!$B$10:$C$347,2,0)</f>
        <v>#N/A</v>
      </c>
      <c r="D61" s="1185" t="s">
        <v>437</v>
      </c>
      <c r="E61" s="1462"/>
      <c r="F61" s="1462"/>
      <c r="G61" s="1462"/>
      <c r="H61" s="1462"/>
      <c r="I61" s="1462"/>
      <c r="J61" s="1462"/>
      <c r="K61" s="1462"/>
      <c r="L61" s="1462"/>
      <c r="M61" s="1462"/>
      <c r="N61" s="1462"/>
      <c r="O61" s="1462"/>
      <c r="P61" s="1462"/>
      <c r="Q61" s="1462"/>
      <c r="R61" s="1462"/>
      <c r="S61" s="1462"/>
      <c r="T61" s="1462"/>
      <c r="U61" s="1462"/>
      <c r="V61" s="1462"/>
      <c r="W61" s="1462"/>
      <c r="X61" s="1462"/>
      <c r="Y61" s="1463"/>
      <c r="Z61" s="1463"/>
      <c r="AA61" s="1462"/>
      <c r="AB61" s="1462"/>
      <c r="AC61" s="1462"/>
      <c r="AD61" s="1462"/>
      <c r="AE61" s="1462"/>
      <c r="AF61" s="1462"/>
      <c r="AG61" s="1462"/>
      <c r="AH61" s="1462"/>
      <c r="AI61" s="1462"/>
      <c r="AJ61" s="1465">
        <f t="shared" si="4"/>
        <v>0</v>
      </c>
      <c r="AK61" s="1465">
        <f t="shared" si="2"/>
        <v>0</v>
      </c>
      <c r="AL61" s="1466"/>
      <c r="AM61" s="156">
        <f t="shared" si="3"/>
        <v>0</v>
      </c>
      <c r="AN61" s="615" t="e">
        <f>+#REF!-AM61</f>
        <v>#REF!</v>
      </c>
    </row>
    <row r="62" spans="1:40" s="156" customFormat="1" ht="19.149999999999999" customHeight="1" outlineLevel="1">
      <c r="A62" s="1182">
        <v>52</v>
      </c>
      <c r="B62" s="1182">
        <v>9</v>
      </c>
      <c r="C62" s="1182" t="e">
        <f>VLOOKUP(D62,'DS CN MOI UP'!$B$10:$C$347,2,0)</f>
        <v>#N/A</v>
      </c>
      <c r="D62" s="1185" t="s">
        <v>438</v>
      </c>
      <c r="E62" s="1462"/>
      <c r="F62" s="1462"/>
      <c r="G62" s="1462"/>
      <c r="H62" s="1462"/>
      <c r="I62" s="1462"/>
      <c r="J62" s="1462"/>
      <c r="K62" s="1462"/>
      <c r="L62" s="1462"/>
      <c r="M62" s="1462"/>
      <c r="N62" s="1462"/>
      <c r="O62" s="1462"/>
      <c r="P62" s="1462"/>
      <c r="Q62" s="1462"/>
      <c r="R62" s="1462"/>
      <c r="S62" s="1462"/>
      <c r="T62" s="1462"/>
      <c r="U62" s="1462"/>
      <c r="V62" s="1462"/>
      <c r="W62" s="1462"/>
      <c r="X62" s="1462"/>
      <c r="Y62" s="1463"/>
      <c r="Z62" s="1463"/>
      <c r="AA62" s="1462"/>
      <c r="AB62" s="1462"/>
      <c r="AC62" s="1462"/>
      <c r="AD62" s="1462"/>
      <c r="AE62" s="1462"/>
      <c r="AF62" s="1462"/>
      <c r="AG62" s="1462"/>
      <c r="AH62" s="1462"/>
      <c r="AI62" s="1462"/>
      <c r="AJ62" s="1465">
        <f t="shared" si="4"/>
        <v>0</v>
      </c>
      <c r="AK62" s="1465">
        <f t="shared" si="2"/>
        <v>0</v>
      </c>
      <c r="AL62" s="1466"/>
      <c r="AM62" s="156">
        <f t="shared" si="3"/>
        <v>0</v>
      </c>
      <c r="AN62" s="615" t="e">
        <f>+#REF!-AM62</f>
        <v>#REF!</v>
      </c>
    </row>
    <row r="63" spans="1:40" s="156" customFormat="1" ht="19.149999999999999" customHeight="1" outlineLevel="1">
      <c r="A63" s="1182">
        <v>53</v>
      </c>
      <c r="B63" s="1182">
        <v>10</v>
      </c>
      <c r="C63" s="1182" t="e">
        <f>VLOOKUP(D63,'DS CN MOI UP'!$B$10:$C$347,2,0)</f>
        <v>#N/A</v>
      </c>
      <c r="D63" s="1185" t="s">
        <v>439</v>
      </c>
      <c r="E63" s="1462"/>
      <c r="F63" s="1462"/>
      <c r="G63" s="1462"/>
      <c r="H63" s="1462"/>
      <c r="I63" s="1462"/>
      <c r="J63" s="1462"/>
      <c r="K63" s="1462"/>
      <c r="L63" s="1462"/>
      <c r="M63" s="1462"/>
      <c r="N63" s="1462"/>
      <c r="O63" s="1462"/>
      <c r="P63" s="1462"/>
      <c r="Q63" s="1462"/>
      <c r="R63" s="1462"/>
      <c r="S63" s="1462"/>
      <c r="T63" s="1462"/>
      <c r="U63" s="1462"/>
      <c r="V63" s="1462"/>
      <c r="W63" s="1462"/>
      <c r="X63" s="1462"/>
      <c r="Y63" s="1463"/>
      <c r="Z63" s="1463"/>
      <c r="AA63" s="1462"/>
      <c r="AB63" s="1462"/>
      <c r="AC63" s="1462"/>
      <c r="AD63" s="1462"/>
      <c r="AE63" s="1462"/>
      <c r="AF63" s="1462"/>
      <c r="AG63" s="1462"/>
      <c r="AH63" s="1462"/>
      <c r="AI63" s="1462"/>
      <c r="AJ63" s="1465">
        <f t="shared" si="4"/>
        <v>0</v>
      </c>
      <c r="AK63" s="1465">
        <f t="shared" si="2"/>
        <v>0</v>
      </c>
      <c r="AL63" s="1466"/>
      <c r="AM63" s="156">
        <f t="shared" si="3"/>
        <v>0</v>
      </c>
      <c r="AN63" s="615" t="e">
        <f>+#REF!-AM63</f>
        <v>#REF!</v>
      </c>
    </row>
    <row r="64" spans="1:40" s="156" customFormat="1" ht="19.149999999999999" customHeight="1" outlineLevel="1">
      <c r="A64" s="1182">
        <v>54</v>
      </c>
      <c r="B64" s="1182">
        <v>11</v>
      </c>
      <c r="C64" s="1182" t="e">
        <f>VLOOKUP(D64,'DS CN MOI UP'!$B$10:$C$347,2,0)</f>
        <v>#N/A</v>
      </c>
      <c r="D64" s="1185" t="s">
        <v>440</v>
      </c>
      <c r="E64" s="1462"/>
      <c r="F64" s="1462"/>
      <c r="G64" s="1462"/>
      <c r="H64" s="1462"/>
      <c r="I64" s="1462"/>
      <c r="J64" s="1462"/>
      <c r="K64" s="1462"/>
      <c r="L64" s="1462"/>
      <c r="M64" s="1462"/>
      <c r="N64" s="1462"/>
      <c r="O64" s="1462"/>
      <c r="P64" s="1462"/>
      <c r="Q64" s="1462"/>
      <c r="R64" s="1462"/>
      <c r="S64" s="1462"/>
      <c r="T64" s="1462"/>
      <c r="U64" s="1462"/>
      <c r="V64" s="1462"/>
      <c r="W64" s="1462"/>
      <c r="X64" s="1462"/>
      <c r="Y64" s="1463"/>
      <c r="Z64" s="1463"/>
      <c r="AA64" s="1462"/>
      <c r="AB64" s="1462"/>
      <c r="AC64" s="1462"/>
      <c r="AD64" s="1462"/>
      <c r="AE64" s="1462"/>
      <c r="AF64" s="1462"/>
      <c r="AG64" s="1462"/>
      <c r="AH64" s="1462"/>
      <c r="AI64" s="1462"/>
      <c r="AJ64" s="1465">
        <f t="shared" si="4"/>
        <v>0</v>
      </c>
      <c r="AK64" s="1465">
        <f t="shared" si="2"/>
        <v>0</v>
      </c>
      <c r="AL64" s="1466"/>
      <c r="AM64" s="156">
        <f t="shared" si="3"/>
        <v>0</v>
      </c>
      <c r="AN64" s="615" t="e">
        <f>+#REF!-AM64</f>
        <v>#REF!</v>
      </c>
    </row>
    <row r="65" spans="1:40" s="156" customFormat="1" ht="19.149999999999999" customHeight="1" outlineLevel="1">
      <c r="A65" s="1182">
        <v>55</v>
      </c>
      <c r="B65" s="1182">
        <v>12</v>
      </c>
      <c r="C65" s="1182" t="e">
        <f>VLOOKUP(D65,'DS CN MOI UP'!$B$10:$C$347,2,0)</f>
        <v>#N/A</v>
      </c>
      <c r="D65" s="1185" t="s">
        <v>441</v>
      </c>
      <c r="E65" s="1462"/>
      <c r="F65" s="1462"/>
      <c r="G65" s="1462"/>
      <c r="H65" s="1462"/>
      <c r="I65" s="1462"/>
      <c r="J65" s="1462"/>
      <c r="K65" s="1462"/>
      <c r="L65" s="1462"/>
      <c r="M65" s="1462"/>
      <c r="N65" s="1462"/>
      <c r="O65" s="1462"/>
      <c r="P65" s="1462"/>
      <c r="Q65" s="1462"/>
      <c r="R65" s="1462"/>
      <c r="S65" s="1462"/>
      <c r="T65" s="1462"/>
      <c r="U65" s="1462"/>
      <c r="V65" s="1462"/>
      <c r="W65" s="1462"/>
      <c r="X65" s="1462"/>
      <c r="Y65" s="1463"/>
      <c r="Z65" s="1463"/>
      <c r="AA65" s="1462"/>
      <c r="AB65" s="1462"/>
      <c r="AC65" s="1462"/>
      <c r="AD65" s="1462"/>
      <c r="AE65" s="1462"/>
      <c r="AF65" s="1462"/>
      <c r="AG65" s="1462"/>
      <c r="AH65" s="1462"/>
      <c r="AI65" s="1462"/>
      <c r="AJ65" s="1465">
        <f t="shared" si="4"/>
        <v>0</v>
      </c>
      <c r="AK65" s="1465">
        <f t="shared" si="2"/>
        <v>0</v>
      </c>
      <c r="AL65" s="1466"/>
      <c r="AM65" s="156">
        <f t="shared" si="3"/>
        <v>0</v>
      </c>
      <c r="AN65" s="615" t="e">
        <f>+#REF!-AM65</f>
        <v>#REF!</v>
      </c>
    </row>
    <row r="66" spans="1:40" s="156" customFormat="1" ht="19.149999999999999" customHeight="1" outlineLevel="1">
      <c r="A66" s="1182">
        <v>56</v>
      </c>
      <c r="B66" s="1182">
        <v>13</v>
      </c>
      <c r="C66" s="1182" t="e">
        <f>VLOOKUP(D66,'DS CN MOI UP'!$B$10:$C$347,2,0)</f>
        <v>#N/A</v>
      </c>
      <c r="D66" s="1185" t="s">
        <v>442</v>
      </c>
      <c r="E66" s="1462"/>
      <c r="F66" s="1462"/>
      <c r="G66" s="1462"/>
      <c r="H66" s="1462"/>
      <c r="I66" s="1462"/>
      <c r="J66" s="1462"/>
      <c r="K66" s="1462"/>
      <c r="L66" s="1462"/>
      <c r="M66" s="1462"/>
      <c r="N66" s="1462"/>
      <c r="O66" s="1462"/>
      <c r="P66" s="1462"/>
      <c r="Q66" s="1462"/>
      <c r="R66" s="1462"/>
      <c r="S66" s="1462"/>
      <c r="T66" s="1462"/>
      <c r="U66" s="1462"/>
      <c r="V66" s="1462"/>
      <c r="W66" s="1462"/>
      <c r="X66" s="1462"/>
      <c r="Y66" s="1463"/>
      <c r="Z66" s="1463"/>
      <c r="AA66" s="1462"/>
      <c r="AB66" s="1462"/>
      <c r="AC66" s="1462"/>
      <c r="AD66" s="1462"/>
      <c r="AE66" s="1462"/>
      <c r="AF66" s="1462"/>
      <c r="AG66" s="1462"/>
      <c r="AH66" s="1462"/>
      <c r="AI66" s="1462"/>
      <c r="AJ66" s="1465">
        <f t="shared" si="4"/>
        <v>0</v>
      </c>
      <c r="AK66" s="1465">
        <f t="shared" si="2"/>
        <v>0</v>
      </c>
      <c r="AL66" s="1466"/>
      <c r="AM66" s="156">
        <f t="shared" si="3"/>
        <v>0</v>
      </c>
      <c r="AN66" s="615" t="e">
        <f>+#REF!-AM66</f>
        <v>#REF!</v>
      </c>
    </row>
    <row r="67" spans="1:40" s="156" customFormat="1" ht="19.149999999999999" customHeight="1" outlineLevel="1">
      <c r="A67" s="1182">
        <v>57</v>
      </c>
      <c r="B67" s="1182">
        <v>14</v>
      </c>
      <c r="C67" s="1182" t="e">
        <f>VLOOKUP(D67,'DS CN MOI UP'!$B$10:$C$347,2,0)</f>
        <v>#N/A</v>
      </c>
      <c r="D67" s="1185" t="s">
        <v>443</v>
      </c>
      <c r="E67" s="1462"/>
      <c r="F67" s="1462"/>
      <c r="G67" s="1462"/>
      <c r="H67" s="1462"/>
      <c r="I67" s="1462"/>
      <c r="J67" s="1462"/>
      <c r="K67" s="1462"/>
      <c r="L67" s="1462"/>
      <c r="M67" s="1462"/>
      <c r="N67" s="1462"/>
      <c r="O67" s="1462"/>
      <c r="P67" s="1462"/>
      <c r="Q67" s="1462"/>
      <c r="R67" s="1462"/>
      <c r="S67" s="1462"/>
      <c r="T67" s="1462"/>
      <c r="U67" s="1462"/>
      <c r="V67" s="1462"/>
      <c r="W67" s="1462"/>
      <c r="X67" s="1462"/>
      <c r="Y67" s="1463"/>
      <c r="Z67" s="1463"/>
      <c r="AA67" s="1462"/>
      <c r="AB67" s="1462"/>
      <c r="AC67" s="1462"/>
      <c r="AD67" s="1462"/>
      <c r="AE67" s="1462"/>
      <c r="AF67" s="1462"/>
      <c r="AG67" s="1462"/>
      <c r="AH67" s="1462"/>
      <c r="AI67" s="1462"/>
      <c r="AJ67" s="1465">
        <f t="shared" si="4"/>
        <v>0</v>
      </c>
      <c r="AK67" s="1465">
        <f t="shared" si="2"/>
        <v>0</v>
      </c>
      <c r="AL67" s="1466"/>
      <c r="AM67" s="156">
        <f t="shared" si="3"/>
        <v>0</v>
      </c>
      <c r="AN67" s="615" t="e">
        <f>+#REF!-AM67</f>
        <v>#REF!</v>
      </c>
    </row>
    <row r="68" spans="1:40" s="156" customFormat="1" ht="19.149999999999999" customHeight="1" outlineLevel="1">
      <c r="A68" s="1182">
        <v>58</v>
      </c>
      <c r="B68" s="1182">
        <v>15</v>
      </c>
      <c r="C68" s="1182" t="e">
        <f>VLOOKUP(D68,'DS CN MOI UP'!$B$10:$C$347,2,0)</f>
        <v>#N/A</v>
      </c>
      <c r="D68" s="1185" t="s">
        <v>444</v>
      </c>
      <c r="E68" s="1462"/>
      <c r="F68" s="1462"/>
      <c r="G68" s="1462"/>
      <c r="H68" s="1462"/>
      <c r="I68" s="1462"/>
      <c r="J68" s="1462"/>
      <c r="K68" s="1462"/>
      <c r="L68" s="1462"/>
      <c r="M68" s="1462"/>
      <c r="N68" s="1462"/>
      <c r="O68" s="1462"/>
      <c r="P68" s="1462"/>
      <c r="Q68" s="1462"/>
      <c r="R68" s="1462"/>
      <c r="S68" s="1462"/>
      <c r="T68" s="1462"/>
      <c r="U68" s="1462"/>
      <c r="V68" s="1462"/>
      <c r="W68" s="1462"/>
      <c r="X68" s="1462"/>
      <c r="Y68" s="1463"/>
      <c r="Z68" s="1463"/>
      <c r="AA68" s="1462"/>
      <c r="AB68" s="1462"/>
      <c r="AC68" s="1462"/>
      <c r="AD68" s="1462"/>
      <c r="AE68" s="1462"/>
      <c r="AF68" s="1462"/>
      <c r="AG68" s="1462"/>
      <c r="AH68" s="1462"/>
      <c r="AI68" s="1462"/>
      <c r="AJ68" s="1465">
        <f t="shared" si="4"/>
        <v>0</v>
      </c>
      <c r="AK68" s="1465">
        <f t="shared" si="2"/>
        <v>0</v>
      </c>
      <c r="AL68" s="1466"/>
      <c r="AM68" s="156">
        <f t="shared" si="3"/>
        <v>0</v>
      </c>
      <c r="AN68" s="615" t="e">
        <f>+#REF!-AM68</f>
        <v>#REF!</v>
      </c>
    </row>
    <row r="69" spans="1:40" s="156" customFormat="1" ht="19.149999999999999" customHeight="1" outlineLevel="1">
      <c r="A69" s="1182">
        <v>59</v>
      </c>
      <c r="B69" s="1182">
        <v>16</v>
      </c>
      <c r="C69" s="1182" t="e">
        <f>VLOOKUP(D69,'DS CN MOI UP'!$B$10:$C$347,2,0)</f>
        <v>#N/A</v>
      </c>
      <c r="D69" s="1185" t="s">
        <v>445</v>
      </c>
      <c r="E69" s="1462"/>
      <c r="F69" s="1462"/>
      <c r="G69" s="1462"/>
      <c r="H69" s="1462"/>
      <c r="I69" s="1462"/>
      <c r="J69" s="1462"/>
      <c r="K69" s="1462"/>
      <c r="L69" s="1462"/>
      <c r="M69" s="1462"/>
      <c r="N69" s="1462"/>
      <c r="O69" s="1462"/>
      <c r="P69" s="1462"/>
      <c r="Q69" s="1462"/>
      <c r="R69" s="1462"/>
      <c r="S69" s="1462"/>
      <c r="T69" s="1462"/>
      <c r="U69" s="1462"/>
      <c r="V69" s="1462"/>
      <c r="W69" s="1462"/>
      <c r="X69" s="1462"/>
      <c r="Y69" s="1463"/>
      <c r="Z69" s="1463"/>
      <c r="AA69" s="1462"/>
      <c r="AB69" s="1462"/>
      <c r="AC69" s="1462"/>
      <c r="AD69" s="1462"/>
      <c r="AE69" s="1462"/>
      <c r="AF69" s="1462"/>
      <c r="AG69" s="1462"/>
      <c r="AH69" s="1462"/>
      <c r="AI69" s="1462"/>
      <c r="AJ69" s="1465">
        <f t="shared" si="4"/>
        <v>0</v>
      </c>
      <c r="AK69" s="1465">
        <f t="shared" si="2"/>
        <v>0</v>
      </c>
      <c r="AL69" s="1466"/>
      <c r="AM69" s="156">
        <f t="shared" si="3"/>
        <v>0</v>
      </c>
      <c r="AN69" s="615" t="e">
        <f>+#REF!-AM69</f>
        <v>#REF!</v>
      </c>
    </row>
    <row r="70" spans="1:40" s="156" customFormat="1" ht="19.149999999999999" customHeight="1" outlineLevel="1">
      <c r="A70" s="1182">
        <v>60</v>
      </c>
      <c r="B70" s="1182">
        <v>17</v>
      </c>
      <c r="C70" s="1182" t="e">
        <f>VLOOKUP(D70,'DS CN MOI UP'!$B$10:$C$347,2,0)</f>
        <v>#N/A</v>
      </c>
      <c r="D70" s="1185" t="s">
        <v>446</v>
      </c>
      <c r="E70" s="1462"/>
      <c r="F70" s="1462"/>
      <c r="G70" s="1462"/>
      <c r="H70" s="1462"/>
      <c r="I70" s="1462"/>
      <c r="J70" s="1462"/>
      <c r="K70" s="1462"/>
      <c r="L70" s="1462"/>
      <c r="M70" s="1462"/>
      <c r="N70" s="1462"/>
      <c r="O70" s="1462"/>
      <c r="P70" s="1462"/>
      <c r="Q70" s="1462"/>
      <c r="R70" s="1462"/>
      <c r="S70" s="1462"/>
      <c r="T70" s="1462"/>
      <c r="U70" s="1462"/>
      <c r="V70" s="1462"/>
      <c r="W70" s="1462"/>
      <c r="X70" s="1462"/>
      <c r="Y70" s="1463"/>
      <c r="Z70" s="1463"/>
      <c r="AA70" s="1462"/>
      <c r="AB70" s="1462"/>
      <c r="AC70" s="1462"/>
      <c r="AD70" s="1462"/>
      <c r="AE70" s="1462"/>
      <c r="AF70" s="1462"/>
      <c r="AG70" s="1462"/>
      <c r="AH70" s="1462"/>
      <c r="AI70" s="1462"/>
      <c r="AJ70" s="1465">
        <f t="shared" si="4"/>
        <v>0</v>
      </c>
      <c r="AK70" s="1465">
        <f t="shared" si="2"/>
        <v>0</v>
      </c>
      <c r="AL70" s="1466"/>
      <c r="AM70" s="156">
        <f t="shared" si="3"/>
        <v>0</v>
      </c>
      <c r="AN70" s="615" t="e">
        <f>+#REF!-AM70</f>
        <v>#REF!</v>
      </c>
    </row>
    <row r="71" spans="1:40" s="156" customFormat="1" ht="19.149999999999999" customHeight="1" outlineLevel="1">
      <c r="A71" s="1182">
        <v>61</v>
      </c>
      <c r="B71" s="1182">
        <v>18</v>
      </c>
      <c r="C71" s="1182" t="e">
        <f>VLOOKUP(D71,'DS CN MOI UP'!$B$10:$C$347,2,0)</f>
        <v>#N/A</v>
      </c>
      <c r="D71" s="1185" t="s">
        <v>348</v>
      </c>
      <c r="E71" s="1462"/>
      <c r="F71" s="1462"/>
      <c r="G71" s="1462"/>
      <c r="H71" s="1462"/>
      <c r="I71" s="1462"/>
      <c r="J71" s="1462"/>
      <c r="K71" s="1462"/>
      <c r="L71" s="1462"/>
      <c r="M71" s="1462"/>
      <c r="N71" s="1462"/>
      <c r="O71" s="1462"/>
      <c r="P71" s="1462"/>
      <c r="Q71" s="1462"/>
      <c r="R71" s="1462"/>
      <c r="S71" s="1462"/>
      <c r="T71" s="1462"/>
      <c r="U71" s="1462"/>
      <c r="V71" s="1462"/>
      <c r="W71" s="1462"/>
      <c r="X71" s="1462"/>
      <c r="Y71" s="1463"/>
      <c r="Z71" s="1463"/>
      <c r="AA71" s="1462"/>
      <c r="AB71" s="1462"/>
      <c r="AC71" s="1462"/>
      <c r="AD71" s="1462"/>
      <c r="AE71" s="1462"/>
      <c r="AF71" s="1462"/>
      <c r="AG71" s="1462"/>
      <c r="AH71" s="1462"/>
      <c r="AI71" s="1462"/>
      <c r="AJ71" s="1465">
        <f t="shared" si="4"/>
        <v>0</v>
      </c>
      <c r="AK71" s="1465">
        <f t="shared" si="2"/>
        <v>0</v>
      </c>
      <c r="AL71" s="1466"/>
      <c r="AM71" s="156">
        <f t="shared" si="3"/>
        <v>0</v>
      </c>
      <c r="AN71" s="615" t="e">
        <f>+#REF!-AM71</f>
        <v>#REF!</v>
      </c>
    </row>
    <row r="72" spans="1:40" s="156" customFormat="1" ht="19.149999999999999" customHeight="1" outlineLevel="1">
      <c r="A72" s="1182">
        <v>62</v>
      </c>
      <c r="B72" s="1182">
        <v>19</v>
      </c>
      <c r="C72" s="1182" t="e">
        <f>VLOOKUP(D72,'DS CN MOI UP'!$B$10:$C$347,2,0)</f>
        <v>#N/A</v>
      </c>
      <c r="D72" s="1185" t="s">
        <v>447</v>
      </c>
      <c r="E72" s="1462"/>
      <c r="F72" s="1462"/>
      <c r="G72" s="1462"/>
      <c r="H72" s="1462"/>
      <c r="I72" s="1462"/>
      <c r="J72" s="1462"/>
      <c r="K72" s="1462"/>
      <c r="L72" s="1462"/>
      <c r="M72" s="1462"/>
      <c r="N72" s="1462"/>
      <c r="O72" s="1462"/>
      <c r="P72" s="1462"/>
      <c r="Q72" s="1462"/>
      <c r="R72" s="1462"/>
      <c r="S72" s="1462"/>
      <c r="T72" s="1462"/>
      <c r="U72" s="1462"/>
      <c r="V72" s="1462"/>
      <c r="W72" s="1462"/>
      <c r="X72" s="1462"/>
      <c r="Y72" s="1463"/>
      <c r="Z72" s="1463"/>
      <c r="AA72" s="1462"/>
      <c r="AB72" s="1462"/>
      <c r="AC72" s="1462"/>
      <c r="AD72" s="1462"/>
      <c r="AE72" s="1462"/>
      <c r="AF72" s="1462"/>
      <c r="AG72" s="1462"/>
      <c r="AH72" s="1462"/>
      <c r="AI72" s="1462"/>
      <c r="AJ72" s="1465">
        <f t="shared" si="4"/>
        <v>0</v>
      </c>
      <c r="AK72" s="1465">
        <f t="shared" si="2"/>
        <v>0</v>
      </c>
      <c r="AL72" s="1466"/>
      <c r="AM72" s="156">
        <f t="shared" si="3"/>
        <v>0</v>
      </c>
      <c r="AN72" s="615" t="e">
        <f>+#REF!-AM72</f>
        <v>#REF!</v>
      </c>
    </row>
    <row r="73" spans="1:40" s="156" customFormat="1" ht="19.149999999999999" customHeight="1" outlineLevel="1">
      <c r="A73" s="1182">
        <v>63</v>
      </c>
      <c r="B73" s="1182">
        <v>20</v>
      </c>
      <c r="C73" s="1182" t="e">
        <f>VLOOKUP(D73,'DS CN MOI UP'!$B$10:$C$347,2,0)</f>
        <v>#N/A</v>
      </c>
      <c r="D73" s="1185" t="s">
        <v>448</v>
      </c>
      <c r="E73" s="1462"/>
      <c r="F73" s="1462"/>
      <c r="G73" s="1462"/>
      <c r="H73" s="1462"/>
      <c r="I73" s="1462"/>
      <c r="J73" s="1462"/>
      <c r="K73" s="1462"/>
      <c r="L73" s="1462"/>
      <c r="M73" s="1462"/>
      <c r="N73" s="1462"/>
      <c r="O73" s="1462"/>
      <c r="P73" s="1462"/>
      <c r="Q73" s="1462"/>
      <c r="R73" s="1462"/>
      <c r="S73" s="1462"/>
      <c r="T73" s="1462"/>
      <c r="U73" s="1462"/>
      <c r="V73" s="1462"/>
      <c r="W73" s="1462"/>
      <c r="X73" s="1462"/>
      <c r="Y73" s="1463"/>
      <c r="Z73" s="1463"/>
      <c r="AA73" s="1462"/>
      <c r="AB73" s="1462"/>
      <c r="AC73" s="1462"/>
      <c r="AD73" s="1462"/>
      <c r="AE73" s="1462"/>
      <c r="AF73" s="1462"/>
      <c r="AG73" s="1462"/>
      <c r="AH73" s="1462"/>
      <c r="AI73" s="1462"/>
      <c r="AJ73" s="1465">
        <f t="shared" si="4"/>
        <v>0</v>
      </c>
      <c r="AK73" s="1465">
        <f t="shared" si="2"/>
        <v>0</v>
      </c>
      <c r="AL73" s="1466"/>
      <c r="AM73" s="156">
        <f t="shared" si="3"/>
        <v>0</v>
      </c>
      <c r="AN73" s="615" t="e">
        <f>+#REF!-AM73</f>
        <v>#REF!</v>
      </c>
    </row>
    <row r="74" spans="1:40" s="156" customFormat="1" ht="19.149999999999999" customHeight="1" outlineLevel="1">
      <c r="A74" s="1182">
        <v>64</v>
      </c>
      <c r="B74" s="1182">
        <v>21</v>
      </c>
      <c r="C74" s="1182" t="e">
        <f>VLOOKUP(D74,'DS CN MOI UP'!$B$10:$C$347,2,0)</f>
        <v>#N/A</v>
      </c>
      <c r="D74" s="1185" t="s">
        <v>449</v>
      </c>
      <c r="E74" s="1462"/>
      <c r="F74" s="1462"/>
      <c r="G74" s="1462"/>
      <c r="H74" s="1462"/>
      <c r="I74" s="1462"/>
      <c r="J74" s="1462"/>
      <c r="K74" s="1462"/>
      <c r="L74" s="1462"/>
      <c r="M74" s="1462"/>
      <c r="N74" s="1462"/>
      <c r="O74" s="1462"/>
      <c r="P74" s="1462"/>
      <c r="Q74" s="1462"/>
      <c r="R74" s="1462"/>
      <c r="S74" s="1462"/>
      <c r="T74" s="1462"/>
      <c r="U74" s="1462"/>
      <c r="V74" s="1462"/>
      <c r="W74" s="1462"/>
      <c r="X74" s="1462"/>
      <c r="Y74" s="1463"/>
      <c r="Z74" s="1463"/>
      <c r="AA74" s="1462"/>
      <c r="AB74" s="1462"/>
      <c r="AC74" s="1462"/>
      <c r="AD74" s="1462"/>
      <c r="AE74" s="1462"/>
      <c r="AF74" s="1462"/>
      <c r="AG74" s="1462"/>
      <c r="AH74" s="1462"/>
      <c r="AI74" s="1462"/>
      <c r="AJ74" s="1465">
        <f t="shared" si="4"/>
        <v>0</v>
      </c>
      <c r="AK74" s="1465">
        <f t="shared" si="2"/>
        <v>0</v>
      </c>
      <c r="AL74" s="1466"/>
      <c r="AM74" s="156">
        <f t="shared" si="3"/>
        <v>0</v>
      </c>
      <c r="AN74" s="615" t="e">
        <f>+#REF!-AM74</f>
        <v>#REF!</v>
      </c>
    </row>
    <row r="75" spans="1:40" s="156" customFormat="1" ht="19.149999999999999" customHeight="1" outlineLevel="1">
      <c r="A75" s="1182">
        <v>65</v>
      </c>
      <c r="B75" s="1182">
        <v>22</v>
      </c>
      <c r="C75" s="1182" t="e">
        <f>VLOOKUP(D75,'DS CN MOI UP'!$B$10:$C$347,2,0)</f>
        <v>#N/A</v>
      </c>
      <c r="D75" s="1185" t="s">
        <v>450</v>
      </c>
      <c r="E75" s="1462"/>
      <c r="F75" s="1462"/>
      <c r="G75" s="1462"/>
      <c r="H75" s="1462"/>
      <c r="I75" s="1462"/>
      <c r="J75" s="1462"/>
      <c r="K75" s="1462"/>
      <c r="L75" s="1462"/>
      <c r="M75" s="1462"/>
      <c r="N75" s="1462"/>
      <c r="O75" s="1462"/>
      <c r="P75" s="1462"/>
      <c r="Q75" s="1462"/>
      <c r="R75" s="1462"/>
      <c r="S75" s="1462"/>
      <c r="T75" s="1462"/>
      <c r="U75" s="1462"/>
      <c r="V75" s="1462"/>
      <c r="W75" s="1462"/>
      <c r="X75" s="1462"/>
      <c r="Y75" s="1463"/>
      <c r="Z75" s="1463"/>
      <c r="AA75" s="1462"/>
      <c r="AB75" s="1462"/>
      <c r="AC75" s="1462"/>
      <c r="AD75" s="1462"/>
      <c r="AE75" s="1462"/>
      <c r="AF75" s="1462"/>
      <c r="AG75" s="1462"/>
      <c r="AH75" s="1462"/>
      <c r="AI75" s="1462"/>
      <c r="AJ75" s="1465">
        <f t="shared" si="4"/>
        <v>0</v>
      </c>
      <c r="AK75" s="1465">
        <f t="shared" ref="AK75:AK138" si="5">AJ75*$AN$6</f>
        <v>0</v>
      </c>
      <c r="AL75" s="1466"/>
      <c r="AM75" s="156">
        <f t="shared" si="3"/>
        <v>0</v>
      </c>
      <c r="AN75" s="615" t="e">
        <f>+#REF!-AM75</f>
        <v>#REF!</v>
      </c>
    </row>
    <row r="76" spans="1:40" s="156" customFormat="1" ht="19.149999999999999" customHeight="1" outlineLevel="1">
      <c r="A76" s="1182">
        <v>66</v>
      </c>
      <c r="B76" s="1182">
        <v>23</v>
      </c>
      <c r="C76" s="1182" t="e">
        <f>VLOOKUP(D76,'DS CN MOI UP'!$B$10:$C$347,2,0)</f>
        <v>#N/A</v>
      </c>
      <c r="D76" s="1185" t="s">
        <v>451</v>
      </c>
      <c r="E76" s="1462"/>
      <c r="F76" s="1462"/>
      <c r="G76" s="1462"/>
      <c r="H76" s="1462"/>
      <c r="I76" s="1462"/>
      <c r="J76" s="1462"/>
      <c r="K76" s="1462"/>
      <c r="L76" s="1462"/>
      <c r="M76" s="1462"/>
      <c r="N76" s="1462"/>
      <c r="O76" s="1462"/>
      <c r="P76" s="1462"/>
      <c r="Q76" s="1462"/>
      <c r="R76" s="1462"/>
      <c r="S76" s="1462"/>
      <c r="T76" s="1462"/>
      <c r="U76" s="1462"/>
      <c r="V76" s="1462"/>
      <c r="W76" s="1462"/>
      <c r="X76" s="1462"/>
      <c r="Y76" s="1463"/>
      <c r="Z76" s="1463"/>
      <c r="AA76" s="1462"/>
      <c r="AB76" s="1462"/>
      <c r="AC76" s="1462"/>
      <c r="AD76" s="1462"/>
      <c r="AE76" s="1462"/>
      <c r="AF76" s="1462"/>
      <c r="AG76" s="1462"/>
      <c r="AH76" s="1462"/>
      <c r="AI76" s="1462"/>
      <c r="AJ76" s="1465">
        <f t="shared" si="4"/>
        <v>0</v>
      </c>
      <c r="AK76" s="1465">
        <f t="shared" si="5"/>
        <v>0</v>
      </c>
      <c r="AL76" s="1466"/>
      <c r="AM76" s="156">
        <f t="shared" si="3"/>
        <v>0</v>
      </c>
      <c r="AN76" s="615" t="e">
        <f>+#REF!-AM76</f>
        <v>#REF!</v>
      </c>
    </row>
    <row r="77" spans="1:40" s="156" customFormat="1" ht="19.149999999999999" customHeight="1" outlineLevel="1">
      <c r="A77" s="1182">
        <v>67</v>
      </c>
      <c r="B77" s="1182">
        <v>24</v>
      </c>
      <c r="C77" s="1182" t="e">
        <f>VLOOKUP(D77,'DS CN MOI UP'!$B$10:$C$347,2,0)</f>
        <v>#N/A</v>
      </c>
      <c r="D77" s="1185" t="s">
        <v>452</v>
      </c>
      <c r="E77" s="1462"/>
      <c r="F77" s="1462"/>
      <c r="G77" s="1462"/>
      <c r="H77" s="1462"/>
      <c r="I77" s="1462"/>
      <c r="J77" s="1462"/>
      <c r="K77" s="1462"/>
      <c r="L77" s="1462"/>
      <c r="M77" s="1462"/>
      <c r="N77" s="1462"/>
      <c r="O77" s="1462"/>
      <c r="P77" s="1462"/>
      <c r="Q77" s="1462"/>
      <c r="R77" s="1462"/>
      <c r="S77" s="1462"/>
      <c r="T77" s="1462"/>
      <c r="U77" s="1462"/>
      <c r="V77" s="1462"/>
      <c r="W77" s="1462"/>
      <c r="X77" s="1462"/>
      <c r="Y77" s="1463"/>
      <c r="Z77" s="1463"/>
      <c r="AA77" s="1462"/>
      <c r="AB77" s="1462"/>
      <c r="AC77" s="1462"/>
      <c r="AD77" s="1462"/>
      <c r="AE77" s="1462"/>
      <c r="AF77" s="1462"/>
      <c r="AG77" s="1462"/>
      <c r="AH77" s="1462"/>
      <c r="AI77" s="1462"/>
      <c r="AJ77" s="1465">
        <f t="shared" si="4"/>
        <v>0</v>
      </c>
      <c r="AK77" s="1465">
        <f t="shared" si="5"/>
        <v>0</v>
      </c>
      <c r="AL77" s="1466"/>
      <c r="AM77" s="156">
        <f t="shared" si="3"/>
        <v>0</v>
      </c>
      <c r="AN77" s="615" t="e">
        <f>+#REF!-AM77</f>
        <v>#REF!</v>
      </c>
    </row>
    <row r="78" spans="1:40" s="156" customFormat="1" ht="19.149999999999999" customHeight="1" outlineLevel="1">
      <c r="A78" s="1182">
        <v>68</v>
      </c>
      <c r="B78" s="1182">
        <v>25</v>
      </c>
      <c r="C78" s="1182" t="e">
        <f>VLOOKUP(D78,'DS CN MOI UP'!$B$10:$C$347,2,0)</f>
        <v>#N/A</v>
      </c>
      <c r="D78" s="1185" t="s">
        <v>453</v>
      </c>
      <c r="E78" s="1462"/>
      <c r="F78" s="1462"/>
      <c r="G78" s="1462"/>
      <c r="H78" s="1462"/>
      <c r="I78" s="1462"/>
      <c r="J78" s="1462"/>
      <c r="K78" s="1462"/>
      <c r="L78" s="1462"/>
      <c r="M78" s="1462"/>
      <c r="N78" s="1462"/>
      <c r="O78" s="1462"/>
      <c r="P78" s="1462"/>
      <c r="Q78" s="1462"/>
      <c r="R78" s="1462"/>
      <c r="S78" s="1462"/>
      <c r="T78" s="1462"/>
      <c r="U78" s="1462"/>
      <c r="V78" s="1462"/>
      <c r="W78" s="1462"/>
      <c r="X78" s="1462"/>
      <c r="Y78" s="1463"/>
      <c r="Z78" s="1463"/>
      <c r="AA78" s="1462"/>
      <c r="AB78" s="1462"/>
      <c r="AC78" s="1462"/>
      <c r="AD78" s="1462"/>
      <c r="AE78" s="1462"/>
      <c r="AF78" s="1462"/>
      <c r="AG78" s="1462"/>
      <c r="AH78" s="1462"/>
      <c r="AI78" s="1462"/>
      <c r="AJ78" s="1465">
        <f t="shared" si="4"/>
        <v>0</v>
      </c>
      <c r="AK78" s="1465">
        <f t="shared" si="5"/>
        <v>0</v>
      </c>
      <c r="AL78" s="1466"/>
      <c r="AM78" s="156">
        <f t="shared" si="3"/>
        <v>0</v>
      </c>
      <c r="AN78" s="615" t="e">
        <f>+#REF!-AM78</f>
        <v>#REF!</v>
      </c>
    </row>
    <row r="79" spans="1:40" s="156" customFormat="1" ht="19.149999999999999" customHeight="1" outlineLevel="1">
      <c r="A79" s="1182">
        <v>69</v>
      </c>
      <c r="B79" s="1182">
        <v>26</v>
      </c>
      <c r="C79" s="1182" t="e">
        <f>VLOOKUP(D79,'DS CN MOI UP'!$B$10:$C$347,2,0)</f>
        <v>#N/A</v>
      </c>
      <c r="D79" s="1185" t="s">
        <v>454</v>
      </c>
      <c r="E79" s="1462"/>
      <c r="F79" s="1462"/>
      <c r="G79" s="1462"/>
      <c r="H79" s="1462"/>
      <c r="I79" s="1462"/>
      <c r="J79" s="1462"/>
      <c r="K79" s="1462"/>
      <c r="L79" s="1462"/>
      <c r="M79" s="1462"/>
      <c r="N79" s="1462"/>
      <c r="O79" s="1462"/>
      <c r="P79" s="1462"/>
      <c r="Q79" s="1462"/>
      <c r="R79" s="1462"/>
      <c r="S79" s="1462"/>
      <c r="T79" s="1462"/>
      <c r="U79" s="1462"/>
      <c r="V79" s="1462"/>
      <c r="W79" s="1462"/>
      <c r="X79" s="1462"/>
      <c r="Y79" s="1463"/>
      <c r="Z79" s="1463"/>
      <c r="AA79" s="1462"/>
      <c r="AB79" s="1462"/>
      <c r="AC79" s="1462"/>
      <c r="AD79" s="1462"/>
      <c r="AE79" s="1462"/>
      <c r="AF79" s="1462"/>
      <c r="AG79" s="1462"/>
      <c r="AH79" s="1462"/>
      <c r="AI79" s="1462"/>
      <c r="AJ79" s="1465">
        <f t="shared" si="4"/>
        <v>0</v>
      </c>
      <c r="AK79" s="1465">
        <f t="shared" si="5"/>
        <v>0</v>
      </c>
      <c r="AL79" s="1466"/>
      <c r="AM79" s="156">
        <f t="shared" si="3"/>
        <v>0</v>
      </c>
      <c r="AN79" s="615" t="e">
        <f>+#REF!-AM79</f>
        <v>#REF!</v>
      </c>
    </row>
    <row r="80" spans="1:40" s="156" customFormat="1" ht="19.149999999999999" customHeight="1" outlineLevel="1">
      <c r="A80" s="1182">
        <v>70</v>
      </c>
      <c r="B80" s="1182">
        <v>27</v>
      </c>
      <c r="C80" s="1182" t="e">
        <f>VLOOKUP(D80,'DS CN MOI UP'!$B$10:$C$347,2,0)</f>
        <v>#N/A</v>
      </c>
      <c r="D80" s="1185" t="s">
        <v>455</v>
      </c>
      <c r="E80" s="1462"/>
      <c r="F80" s="1462"/>
      <c r="G80" s="1462"/>
      <c r="H80" s="1462"/>
      <c r="I80" s="1462"/>
      <c r="J80" s="1462"/>
      <c r="K80" s="1462"/>
      <c r="L80" s="1462"/>
      <c r="M80" s="1462"/>
      <c r="N80" s="1462"/>
      <c r="O80" s="1462"/>
      <c r="P80" s="1462"/>
      <c r="Q80" s="1462"/>
      <c r="R80" s="1462"/>
      <c r="S80" s="1462"/>
      <c r="T80" s="1462"/>
      <c r="U80" s="1462"/>
      <c r="V80" s="1462"/>
      <c r="W80" s="1462"/>
      <c r="X80" s="1462"/>
      <c r="Y80" s="1463"/>
      <c r="Z80" s="1463"/>
      <c r="AA80" s="1462"/>
      <c r="AB80" s="1462"/>
      <c r="AC80" s="1462"/>
      <c r="AD80" s="1462"/>
      <c r="AE80" s="1462"/>
      <c r="AF80" s="1462"/>
      <c r="AG80" s="1462"/>
      <c r="AH80" s="1462"/>
      <c r="AI80" s="1462"/>
      <c r="AJ80" s="1465">
        <f t="shared" si="4"/>
        <v>0</v>
      </c>
      <c r="AK80" s="1465">
        <f t="shared" si="5"/>
        <v>0</v>
      </c>
      <c r="AL80" s="1466"/>
      <c r="AM80" s="156">
        <f t="shared" si="3"/>
        <v>0</v>
      </c>
      <c r="AN80" s="615" t="e">
        <f>+#REF!-AM80</f>
        <v>#REF!</v>
      </c>
    </row>
    <row r="81" spans="1:40" s="156" customFormat="1" ht="19.149999999999999" customHeight="1" outlineLevel="1">
      <c r="A81" s="1182">
        <v>71</v>
      </c>
      <c r="B81" s="1182">
        <v>28</v>
      </c>
      <c r="C81" s="1182" t="e">
        <f>VLOOKUP(D81,'DS CN MOI UP'!$B$10:$C$347,2,0)</f>
        <v>#N/A</v>
      </c>
      <c r="D81" s="1185" t="s">
        <v>456</v>
      </c>
      <c r="E81" s="1462"/>
      <c r="F81" s="1462"/>
      <c r="G81" s="1462"/>
      <c r="H81" s="1462"/>
      <c r="I81" s="1462"/>
      <c r="J81" s="1462"/>
      <c r="K81" s="1462"/>
      <c r="L81" s="1462"/>
      <c r="M81" s="1462"/>
      <c r="N81" s="1462"/>
      <c r="O81" s="1462"/>
      <c r="P81" s="1462"/>
      <c r="Q81" s="1462"/>
      <c r="R81" s="1462"/>
      <c r="S81" s="1462"/>
      <c r="T81" s="1462"/>
      <c r="U81" s="1462"/>
      <c r="V81" s="1462"/>
      <c r="W81" s="1462"/>
      <c r="X81" s="1462"/>
      <c r="Y81" s="1463"/>
      <c r="Z81" s="1463"/>
      <c r="AA81" s="1462"/>
      <c r="AB81" s="1462"/>
      <c r="AC81" s="1462"/>
      <c r="AD81" s="1462"/>
      <c r="AE81" s="1462"/>
      <c r="AF81" s="1462"/>
      <c r="AG81" s="1462"/>
      <c r="AH81" s="1462"/>
      <c r="AI81" s="1462"/>
      <c r="AJ81" s="1465">
        <f t="shared" si="4"/>
        <v>0</v>
      </c>
      <c r="AK81" s="1465">
        <f t="shared" si="5"/>
        <v>0</v>
      </c>
      <c r="AL81" s="1466"/>
      <c r="AM81" s="156">
        <f t="shared" si="3"/>
        <v>0</v>
      </c>
      <c r="AN81" s="615" t="e">
        <f>+#REF!-AM81</f>
        <v>#REF!</v>
      </c>
    </row>
    <row r="82" spans="1:40" s="156" customFormat="1" ht="19.149999999999999" customHeight="1" outlineLevel="1">
      <c r="A82" s="1182">
        <v>72</v>
      </c>
      <c r="B82" s="1182">
        <v>29</v>
      </c>
      <c r="C82" s="1182" t="e">
        <f>VLOOKUP(D82,'DS CN MOI UP'!$B$10:$C$347,2,0)</f>
        <v>#N/A</v>
      </c>
      <c r="D82" s="1185" t="s">
        <v>457</v>
      </c>
      <c r="E82" s="1462"/>
      <c r="F82" s="1462"/>
      <c r="G82" s="1462"/>
      <c r="H82" s="1462"/>
      <c r="I82" s="1462"/>
      <c r="J82" s="1462"/>
      <c r="K82" s="1462"/>
      <c r="L82" s="1462"/>
      <c r="M82" s="1462"/>
      <c r="N82" s="1462"/>
      <c r="O82" s="1462"/>
      <c r="P82" s="1462"/>
      <c r="Q82" s="1462"/>
      <c r="R82" s="1462"/>
      <c r="S82" s="1462"/>
      <c r="T82" s="1462"/>
      <c r="U82" s="1462"/>
      <c r="V82" s="1462"/>
      <c r="W82" s="1462"/>
      <c r="X82" s="1462"/>
      <c r="Y82" s="1463"/>
      <c r="Z82" s="1463"/>
      <c r="AA82" s="1462"/>
      <c r="AB82" s="1462"/>
      <c r="AC82" s="1462"/>
      <c r="AD82" s="1462"/>
      <c r="AE82" s="1462"/>
      <c r="AF82" s="1462"/>
      <c r="AG82" s="1462"/>
      <c r="AH82" s="1462"/>
      <c r="AI82" s="1462"/>
      <c r="AJ82" s="1465">
        <f t="shared" si="4"/>
        <v>0</v>
      </c>
      <c r="AK82" s="1465">
        <f t="shared" si="5"/>
        <v>0</v>
      </c>
      <c r="AL82" s="1466"/>
      <c r="AM82" s="156">
        <f t="shared" si="3"/>
        <v>0</v>
      </c>
      <c r="AN82" s="615" t="e">
        <f>+#REF!-AM82</f>
        <v>#REF!</v>
      </c>
    </row>
    <row r="83" spans="1:40" s="156" customFormat="1" ht="19.149999999999999" customHeight="1" outlineLevel="1">
      <c r="A83" s="1182">
        <v>73</v>
      </c>
      <c r="B83" s="1182">
        <v>30</v>
      </c>
      <c r="C83" s="1182" t="e">
        <f>VLOOKUP(D83,'DS CN MOI UP'!$B$10:$C$347,2,0)</f>
        <v>#N/A</v>
      </c>
      <c r="D83" s="1185" t="s">
        <v>458</v>
      </c>
      <c r="E83" s="1462"/>
      <c r="F83" s="1462"/>
      <c r="G83" s="1462"/>
      <c r="H83" s="1462"/>
      <c r="I83" s="1462"/>
      <c r="J83" s="1462"/>
      <c r="K83" s="1462"/>
      <c r="L83" s="1462"/>
      <c r="M83" s="1462"/>
      <c r="N83" s="1462"/>
      <c r="O83" s="1462"/>
      <c r="P83" s="1462"/>
      <c r="Q83" s="1462"/>
      <c r="R83" s="1462"/>
      <c r="S83" s="1462"/>
      <c r="T83" s="1462"/>
      <c r="U83" s="1462"/>
      <c r="V83" s="1462"/>
      <c r="W83" s="1462"/>
      <c r="X83" s="1462"/>
      <c r="Y83" s="1463"/>
      <c r="Z83" s="1463"/>
      <c r="AA83" s="1462"/>
      <c r="AB83" s="1462"/>
      <c r="AC83" s="1462"/>
      <c r="AD83" s="1462"/>
      <c r="AE83" s="1462"/>
      <c r="AF83" s="1462"/>
      <c r="AG83" s="1462"/>
      <c r="AH83" s="1462"/>
      <c r="AI83" s="1462"/>
      <c r="AJ83" s="1465">
        <f t="shared" si="4"/>
        <v>0</v>
      </c>
      <c r="AK83" s="1465">
        <f t="shared" si="5"/>
        <v>0</v>
      </c>
      <c r="AL83" s="1466"/>
      <c r="AM83" s="156">
        <f t="shared" si="3"/>
        <v>0</v>
      </c>
      <c r="AN83" s="615" t="e">
        <f>+#REF!-AM83</f>
        <v>#REF!</v>
      </c>
    </row>
    <row r="84" spans="1:40" s="156" customFormat="1" ht="19.149999999999999" customHeight="1" outlineLevel="1">
      <c r="A84" s="1182">
        <v>74</v>
      </c>
      <c r="B84" s="1182">
        <v>31</v>
      </c>
      <c r="C84" s="1182" t="e">
        <f>VLOOKUP(D84,'DS CN MOI UP'!$B$10:$C$347,2,0)</f>
        <v>#N/A</v>
      </c>
      <c r="D84" s="1185" t="s">
        <v>459</v>
      </c>
      <c r="E84" s="1462"/>
      <c r="F84" s="1462"/>
      <c r="G84" s="1462"/>
      <c r="H84" s="1462"/>
      <c r="I84" s="1462"/>
      <c r="J84" s="1462"/>
      <c r="K84" s="1462"/>
      <c r="L84" s="1462"/>
      <c r="M84" s="1462"/>
      <c r="N84" s="1462"/>
      <c r="O84" s="1462"/>
      <c r="P84" s="1462"/>
      <c r="Q84" s="1462"/>
      <c r="R84" s="1462"/>
      <c r="S84" s="1462"/>
      <c r="T84" s="1462"/>
      <c r="U84" s="1462"/>
      <c r="V84" s="1462"/>
      <c r="W84" s="1462"/>
      <c r="X84" s="1462"/>
      <c r="Y84" s="1463"/>
      <c r="Z84" s="1463"/>
      <c r="AA84" s="1462"/>
      <c r="AB84" s="1462"/>
      <c r="AC84" s="1462"/>
      <c r="AD84" s="1462"/>
      <c r="AE84" s="1462"/>
      <c r="AF84" s="1462"/>
      <c r="AG84" s="1462"/>
      <c r="AH84" s="1462"/>
      <c r="AI84" s="1462"/>
      <c r="AJ84" s="1465">
        <f t="shared" si="4"/>
        <v>0</v>
      </c>
      <c r="AK84" s="1465">
        <f t="shared" si="5"/>
        <v>0</v>
      </c>
      <c r="AL84" s="1466"/>
      <c r="AM84" s="156">
        <f t="shared" si="3"/>
        <v>0</v>
      </c>
      <c r="AN84" s="615" t="e">
        <f>+#REF!-AM84</f>
        <v>#REF!</v>
      </c>
    </row>
    <row r="85" spans="1:40" s="156" customFormat="1" ht="19.149999999999999" customHeight="1" outlineLevel="1">
      <c r="A85" s="1182">
        <v>75</v>
      </c>
      <c r="B85" s="1182">
        <v>32</v>
      </c>
      <c r="C85" s="1182" t="e">
        <f>VLOOKUP(D85,'DS CN MOI UP'!$B$10:$C$347,2,0)</f>
        <v>#N/A</v>
      </c>
      <c r="D85" s="1185" t="s">
        <v>460</v>
      </c>
      <c r="E85" s="1462"/>
      <c r="F85" s="1462"/>
      <c r="G85" s="1462"/>
      <c r="H85" s="1462"/>
      <c r="I85" s="1462"/>
      <c r="J85" s="1462"/>
      <c r="K85" s="1462"/>
      <c r="L85" s="1462"/>
      <c r="M85" s="1462"/>
      <c r="N85" s="1462"/>
      <c r="O85" s="1462"/>
      <c r="P85" s="1462"/>
      <c r="Q85" s="1462"/>
      <c r="R85" s="1462"/>
      <c r="S85" s="1462"/>
      <c r="T85" s="1462"/>
      <c r="U85" s="1462"/>
      <c r="V85" s="1462"/>
      <c r="W85" s="1462"/>
      <c r="X85" s="1462"/>
      <c r="Y85" s="1463"/>
      <c r="Z85" s="1463"/>
      <c r="AA85" s="1462"/>
      <c r="AB85" s="1462"/>
      <c r="AC85" s="1462"/>
      <c r="AD85" s="1462"/>
      <c r="AE85" s="1462"/>
      <c r="AF85" s="1462"/>
      <c r="AG85" s="1462"/>
      <c r="AH85" s="1462"/>
      <c r="AI85" s="1462"/>
      <c r="AJ85" s="1465">
        <f t="shared" si="4"/>
        <v>0</v>
      </c>
      <c r="AK85" s="1465">
        <f t="shared" si="5"/>
        <v>0</v>
      </c>
      <c r="AL85" s="1466"/>
      <c r="AM85" s="156">
        <f t="shared" si="3"/>
        <v>0</v>
      </c>
      <c r="AN85" s="615" t="e">
        <f>+#REF!-AM85</f>
        <v>#REF!</v>
      </c>
    </row>
    <row r="86" spans="1:40" s="156" customFormat="1" ht="19.149999999999999" customHeight="1" outlineLevel="1">
      <c r="A86" s="1182">
        <v>76</v>
      </c>
      <c r="B86" s="1182">
        <v>33</v>
      </c>
      <c r="C86" s="1182" t="e">
        <f>VLOOKUP(D86,'DS CN MOI UP'!$B$10:$C$347,2,0)</f>
        <v>#N/A</v>
      </c>
      <c r="D86" s="1185" t="s">
        <v>461</v>
      </c>
      <c r="E86" s="1462"/>
      <c r="F86" s="1462"/>
      <c r="G86" s="1462"/>
      <c r="H86" s="1462"/>
      <c r="I86" s="1462"/>
      <c r="J86" s="1462"/>
      <c r="K86" s="1462"/>
      <c r="L86" s="1462"/>
      <c r="M86" s="1462"/>
      <c r="N86" s="1462"/>
      <c r="O86" s="1462"/>
      <c r="P86" s="1462"/>
      <c r="Q86" s="1462"/>
      <c r="R86" s="1462"/>
      <c r="S86" s="1462"/>
      <c r="T86" s="1462"/>
      <c r="U86" s="1462"/>
      <c r="V86" s="1462"/>
      <c r="W86" s="1462"/>
      <c r="X86" s="1462"/>
      <c r="Y86" s="1463"/>
      <c r="Z86" s="1463"/>
      <c r="AA86" s="1462"/>
      <c r="AB86" s="1462"/>
      <c r="AC86" s="1462"/>
      <c r="AD86" s="1462"/>
      <c r="AE86" s="1462"/>
      <c r="AF86" s="1462"/>
      <c r="AG86" s="1462"/>
      <c r="AH86" s="1462"/>
      <c r="AI86" s="1462"/>
      <c r="AJ86" s="1465">
        <f t="shared" si="4"/>
        <v>0</v>
      </c>
      <c r="AK86" s="1465">
        <f t="shared" si="5"/>
        <v>0</v>
      </c>
      <c r="AL86" s="1466"/>
      <c r="AM86" s="156">
        <f t="shared" ref="AM86:AM109" si="6">SUM(E86:AI86)</f>
        <v>0</v>
      </c>
      <c r="AN86" s="615" t="e">
        <f>+#REF!-AM86</f>
        <v>#REF!</v>
      </c>
    </row>
    <row r="87" spans="1:40" s="156" customFormat="1" ht="19.149999999999999" customHeight="1" outlineLevel="1">
      <c r="A87" s="1182">
        <v>77</v>
      </c>
      <c r="B87" s="1182">
        <v>34</v>
      </c>
      <c r="C87" s="1182" t="e">
        <f>VLOOKUP(D87,'DS CN MOI UP'!$B$10:$C$347,2,0)</f>
        <v>#N/A</v>
      </c>
      <c r="D87" s="1185" t="s">
        <v>462</v>
      </c>
      <c r="E87" s="1462"/>
      <c r="F87" s="1462"/>
      <c r="G87" s="1462"/>
      <c r="H87" s="1462"/>
      <c r="I87" s="1462"/>
      <c r="J87" s="1462"/>
      <c r="K87" s="1462"/>
      <c r="L87" s="1462"/>
      <c r="M87" s="1462"/>
      <c r="N87" s="1462"/>
      <c r="O87" s="1462"/>
      <c r="P87" s="1462"/>
      <c r="Q87" s="1462"/>
      <c r="R87" s="1462"/>
      <c r="S87" s="1462"/>
      <c r="T87" s="1462"/>
      <c r="U87" s="1462"/>
      <c r="V87" s="1462"/>
      <c r="W87" s="1462"/>
      <c r="X87" s="1462"/>
      <c r="Y87" s="1463"/>
      <c r="Z87" s="1463"/>
      <c r="AA87" s="1462"/>
      <c r="AB87" s="1462"/>
      <c r="AC87" s="1462"/>
      <c r="AD87" s="1462"/>
      <c r="AE87" s="1462"/>
      <c r="AF87" s="1462"/>
      <c r="AG87" s="1462"/>
      <c r="AH87" s="1462"/>
      <c r="AI87" s="1462"/>
      <c r="AJ87" s="1465">
        <f t="shared" si="4"/>
        <v>0</v>
      </c>
      <c r="AK87" s="1465">
        <f t="shared" si="5"/>
        <v>0</v>
      </c>
      <c r="AL87" s="1466"/>
      <c r="AM87" s="156">
        <f t="shared" si="6"/>
        <v>0</v>
      </c>
      <c r="AN87" s="615" t="e">
        <f>+#REF!-AM87</f>
        <v>#REF!</v>
      </c>
    </row>
    <row r="88" spans="1:40" s="156" customFormat="1" ht="19.149999999999999" customHeight="1" outlineLevel="1">
      <c r="A88" s="1182">
        <v>78</v>
      </c>
      <c r="B88" s="1182">
        <v>35</v>
      </c>
      <c r="C88" s="1182" t="e">
        <f>VLOOKUP(D88,'DS CN MOI UP'!$B$10:$C$347,2,0)</f>
        <v>#N/A</v>
      </c>
      <c r="D88" s="1185" t="s">
        <v>463</v>
      </c>
      <c r="E88" s="1462"/>
      <c r="F88" s="1462"/>
      <c r="G88" s="1462"/>
      <c r="H88" s="1462"/>
      <c r="I88" s="1462"/>
      <c r="J88" s="1462"/>
      <c r="K88" s="1462"/>
      <c r="L88" s="1462"/>
      <c r="M88" s="1462"/>
      <c r="N88" s="1462"/>
      <c r="O88" s="1462"/>
      <c r="P88" s="1462"/>
      <c r="Q88" s="1462"/>
      <c r="R88" s="1462"/>
      <c r="S88" s="1462"/>
      <c r="T88" s="1462"/>
      <c r="U88" s="1462"/>
      <c r="V88" s="1462"/>
      <c r="W88" s="1462"/>
      <c r="X88" s="1462"/>
      <c r="Y88" s="1463"/>
      <c r="Z88" s="1463"/>
      <c r="AA88" s="1462"/>
      <c r="AB88" s="1462"/>
      <c r="AC88" s="1462"/>
      <c r="AD88" s="1462"/>
      <c r="AE88" s="1462"/>
      <c r="AF88" s="1462"/>
      <c r="AG88" s="1462"/>
      <c r="AH88" s="1462"/>
      <c r="AI88" s="1462"/>
      <c r="AJ88" s="1465">
        <f t="shared" si="4"/>
        <v>0</v>
      </c>
      <c r="AK88" s="1465">
        <f t="shared" si="5"/>
        <v>0</v>
      </c>
      <c r="AL88" s="1466"/>
      <c r="AM88" s="156">
        <f t="shared" si="6"/>
        <v>0</v>
      </c>
      <c r="AN88" s="615" t="e">
        <f>+#REF!-AM88</f>
        <v>#REF!</v>
      </c>
    </row>
    <row r="89" spans="1:40" s="156" customFormat="1" ht="19.149999999999999" customHeight="1" outlineLevel="1">
      <c r="A89" s="1182">
        <v>79</v>
      </c>
      <c r="B89" s="1182">
        <v>36</v>
      </c>
      <c r="C89" s="1182" t="e">
        <f>VLOOKUP(D89,'DS CN MOI UP'!$B$10:$C$347,2,0)</f>
        <v>#N/A</v>
      </c>
      <c r="D89" s="1185" t="s">
        <v>464</v>
      </c>
      <c r="E89" s="1462"/>
      <c r="F89" s="1462"/>
      <c r="G89" s="1462"/>
      <c r="H89" s="1462"/>
      <c r="I89" s="1462"/>
      <c r="J89" s="1462"/>
      <c r="K89" s="1462"/>
      <c r="L89" s="1462"/>
      <c r="M89" s="1462"/>
      <c r="N89" s="1462"/>
      <c r="O89" s="1462"/>
      <c r="P89" s="1462"/>
      <c r="Q89" s="1462"/>
      <c r="R89" s="1462"/>
      <c r="S89" s="1462"/>
      <c r="T89" s="1462"/>
      <c r="U89" s="1462"/>
      <c r="V89" s="1462"/>
      <c r="W89" s="1462"/>
      <c r="X89" s="1462"/>
      <c r="Y89" s="1463"/>
      <c r="Z89" s="1463"/>
      <c r="AA89" s="1462"/>
      <c r="AB89" s="1462"/>
      <c r="AC89" s="1462"/>
      <c r="AD89" s="1462"/>
      <c r="AE89" s="1462"/>
      <c r="AF89" s="1462"/>
      <c r="AG89" s="1462"/>
      <c r="AH89" s="1462"/>
      <c r="AI89" s="1462"/>
      <c r="AJ89" s="1465">
        <f t="shared" si="4"/>
        <v>0</v>
      </c>
      <c r="AK89" s="1465">
        <f t="shared" si="5"/>
        <v>0</v>
      </c>
      <c r="AL89" s="1466"/>
      <c r="AM89" s="156">
        <f t="shared" si="6"/>
        <v>0</v>
      </c>
      <c r="AN89" s="615" t="e">
        <f>+#REF!-AM89</f>
        <v>#REF!</v>
      </c>
    </row>
    <row r="90" spans="1:40" s="156" customFormat="1" ht="19.149999999999999" customHeight="1" outlineLevel="1">
      <c r="A90" s="1182">
        <v>80</v>
      </c>
      <c r="B90" s="1182">
        <v>37</v>
      </c>
      <c r="C90" s="1182" t="e">
        <f>VLOOKUP(D90,'DS CN MOI UP'!$B$10:$C$347,2,0)</f>
        <v>#N/A</v>
      </c>
      <c r="D90" s="1185" t="s">
        <v>465</v>
      </c>
      <c r="E90" s="1462"/>
      <c r="F90" s="1462"/>
      <c r="G90" s="1462"/>
      <c r="H90" s="1462"/>
      <c r="I90" s="1462"/>
      <c r="J90" s="1462"/>
      <c r="K90" s="1462"/>
      <c r="L90" s="1462"/>
      <c r="M90" s="1462"/>
      <c r="N90" s="1462"/>
      <c r="O90" s="1462"/>
      <c r="P90" s="1462"/>
      <c r="Q90" s="1462"/>
      <c r="R90" s="1462"/>
      <c r="S90" s="1462"/>
      <c r="T90" s="1462"/>
      <c r="U90" s="1462"/>
      <c r="V90" s="1462"/>
      <c r="W90" s="1462"/>
      <c r="X90" s="1462"/>
      <c r="Y90" s="1463"/>
      <c r="Z90" s="1463"/>
      <c r="AA90" s="1462"/>
      <c r="AB90" s="1462"/>
      <c r="AC90" s="1462"/>
      <c r="AD90" s="1462"/>
      <c r="AE90" s="1462"/>
      <c r="AF90" s="1462"/>
      <c r="AG90" s="1462"/>
      <c r="AH90" s="1462"/>
      <c r="AI90" s="1462"/>
      <c r="AJ90" s="1465">
        <f t="shared" si="4"/>
        <v>0</v>
      </c>
      <c r="AK90" s="1465">
        <f t="shared" si="5"/>
        <v>0</v>
      </c>
      <c r="AL90" s="1466"/>
      <c r="AM90" s="156">
        <f t="shared" si="6"/>
        <v>0</v>
      </c>
      <c r="AN90" s="615" t="e">
        <f>+#REF!-AM90</f>
        <v>#REF!</v>
      </c>
    </row>
    <row r="91" spans="1:40" s="156" customFormat="1" ht="19.149999999999999" customHeight="1" outlineLevel="1">
      <c r="A91" s="1182">
        <v>81</v>
      </c>
      <c r="B91" s="1182">
        <v>38</v>
      </c>
      <c r="C91" s="1182" t="e">
        <f>VLOOKUP(D91,'DS CN MOI UP'!$B$10:$C$347,2,0)</f>
        <v>#N/A</v>
      </c>
      <c r="D91" s="1185" t="s">
        <v>466</v>
      </c>
      <c r="E91" s="1462"/>
      <c r="F91" s="1462"/>
      <c r="G91" s="1462"/>
      <c r="H91" s="1462"/>
      <c r="I91" s="1462"/>
      <c r="J91" s="1462"/>
      <c r="K91" s="1462"/>
      <c r="L91" s="1462"/>
      <c r="M91" s="1462"/>
      <c r="N91" s="1462"/>
      <c r="O91" s="1462"/>
      <c r="P91" s="1462"/>
      <c r="Q91" s="1462"/>
      <c r="R91" s="1462"/>
      <c r="S91" s="1462"/>
      <c r="T91" s="1462"/>
      <c r="U91" s="1462"/>
      <c r="V91" s="1462"/>
      <c r="W91" s="1462"/>
      <c r="X91" s="1462"/>
      <c r="Y91" s="1463"/>
      <c r="Z91" s="1463"/>
      <c r="AA91" s="1462"/>
      <c r="AB91" s="1462"/>
      <c r="AC91" s="1462"/>
      <c r="AD91" s="1462"/>
      <c r="AE91" s="1462"/>
      <c r="AF91" s="1462"/>
      <c r="AG91" s="1462"/>
      <c r="AH91" s="1462"/>
      <c r="AI91" s="1462"/>
      <c r="AJ91" s="1465">
        <f t="shared" si="4"/>
        <v>0</v>
      </c>
      <c r="AK91" s="1465">
        <f t="shared" si="5"/>
        <v>0</v>
      </c>
      <c r="AL91" s="1466"/>
      <c r="AM91" s="156">
        <f t="shared" si="6"/>
        <v>0</v>
      </c>
      <c r="AN91" s="615" t="e">
        <f>+#REF!-AM91</f>
        <v>#REF!</v>
      </c>
    </row>
    <row r="92" spans="1:40" s="156" customFormat="1" ht="19.149999999999999" customHeight="1" outlineLevel="1">
      <c r="A92" s="1182">
        <v>82</v>
      </c>
      <c r="B92" s="1182">
        <v>39</v>
      </c>
      <c r="C92" s="1182" t="e">
        <f>VLOOKUP(D92,'DS CN MOI UP'!$B$10:$C$347,2,0)</f>
        <v>#N/A</v>
      </c>
      <c r="D92" s="1185" t="s">
        <v>467</v>
      </c>
      <c r="E92" s="1462"/>
      <c r="F92" s="1462"/>
      <c r="G92" s="1462"/>
      <c r="H92" s="1462"/>
      <c r="I92" s="1462"/>
      <c r="J92" s="1462"/>
      <c r="K92" s="1462"/>
      <c r="L92" s="1462"/>
      <c r="M92" s="1462"/>
      <c r="N92" s="1462"/>
      <c r="O92" s="1462"/>
      <c r="P92" s="1462"/>
      <c r="Q92" s="1462"/>
      <c r="R92" s="1462"/>
      <c r="S92" s="1462"/>
      <c r="T92" s="1462"/>
      <c r="U92" s="1462"/>
      <c r="V92" s="1462"/>
      <c r="W92" s="1462"/>
      <c r="X92" s="1462"/>
      <c r="Y92" s="1463"/>
      <c r="Z92" s="1463"/>
      <c r="AA92" s="1462"/>
      <c r="AB92" s="1462"/>
      <c r="AC92" s="1462"/>
      <c r="AD92" s="1462"/>
      <c r="AE92" s="1462"/>
      <c r="AF92" s="1462"/>
      <c r="AG92" s="1462"/>
      <c r="AH92" s="1462"/>
      <c r="AI92" s="1462"/>
      <c r="AJ92" s="1465">
        <f t="shared" si="4"/>
        <v>0</v>
      </c>
      <c r="AK92" s="1465">
        <f t="shared" si="5"/>
        <v>0</v>
      </c>
      <c r="AL92" s="1466"/>
      <c r="AM92" s="156">
        <f t="shared" si="6"/>
        <v>0</v>
      </c>
      <c r="AN92" s="615" t="e">
        <f>+#REF!-AM92</f>
        <v>#REF!</v>
      </c>
    </row>
    <row r="93" spans="1:40" s="156" customFormat="1" ht="19.149999999999999" customHeight="1" outlineLevel="1">
      <c r="A93" s="1182">
        <v>83</v>
      </c>
      <c r="B93" s="1182">
        <v>40</v>
      </c>
      <c r="C93" s="1182" t="e">
        <f>VLOOKUP(D93,'DS CN MOI UP'!$B$10:$C$347,2,0)</f>
        <v>#N/A</v>
      </c>
      <c r="D93" s="1185" t="s">
        <v>468</v>
      </c>
      <c r="E93" s="1462"/>
      <c r="F93" s="1462"/>
      <c r="G93" s="1462"/>
      <c r="H93" s="1462"/>
      <c r="I93" s="1462"/>
      <c r="J93" s="1462"/>
      <c r="K93" s="1462"/>
      <c r="L93" s="1462"/>
      <c r="M93" s="1462"/>
      <c r="N93" s="1462"/>
      <c r="O93" s="1462"/>
      <c r="P93" s="1462"/>
      <c r="Q93" s="1462"/>
      <c r="R93" s="1462"/>
      <c r="S93" s="1462"/>
      <c r="T93" s="1462"/>
      <c r="U93" s="1462"/>
      <c r="V93" s="1462"/>
      <c r="W93" s="1462"/>
      <c r="X93" s="1462"/>
      <c r="Y93" s="1463"/>
      <c r="Z93" s="1463"/>
      <c r="AA93" s="1462"/>
      <c r="AB93" s="1462"/>
      <c r="AC93" s="1462"/>
      <c r="AD93" s="1462"/>
      <c r="AE93" s="1462"/>
      <c r="AF93" s="1462"/>
      <c r="AG93" s="1462"/>
      <c r="AH93" s="1462"/>
      <c r="AI93" s="1462"/>
      <c r="AJ93" s="1465">
        <f t="shared" si="4"/>
        <v>0</v>
      </c>
      <c r="AK93" s="1465">
        <f t="shared" si="5"/>
        <v>0</v>
      </c>
      <c r="AL93" s="1466"/>
      <c r="AM93" s="156">
        <f t="shared" si="6"/>
        <v>0</v>
      </c>
      <c r="AN93" s="615" t="e">
        <f>+#REF!-AM93</f>
        <v>#REF!</v>
      </c>
    </row>
    <row r="94" spans="1:40" s="156" customFormat="1" ht="19.149999999999999" customHeight="1" outlineLevel="1">
      <c r="A94" s="1182">
        <v>84</v>
      </c>
      <c r="B94" s="1182">
        <v>41</v>
      </c>
      <c r="C94" s="1182" t="e">
        <f>VLOOKUP(D94,'DS CN MOI UP'!$B$10:$C$347,2,0)</f>
        <v>#N/A</v>
      </c>
      <c r="D94" s="1185" t="s">
        <v>469</v>
      </c>
      <c r="E94" s="1462"/>
      <c r="F94" s="1462"/>
      <c r="G94" s="1462"/>
      <c r="H94" s="1462"/>
      <c r="I94" s="1462"/>
      <c r="J94" s="1462"/>
      <c r="K94" s="1462"/>
      <c r="L94" s="1462"/>
      <c r="M94" s="1462"/>
      <c r="N94" s="1462"/>
      <c r="O94" s="1462"/>
      <c r="P94" s="1462"/>
      <c r="Q94" s="1462"/>
      <c r="R94" s="1462"/>
      <c r="S94" s="1462"/>
      <c r="T94" s="1462"/>
      <c r="U94" s="1462"/>
      <c r="V94" s="1462"/>
      <c r="W94" s="1462"/>
      <c r="X94" s="1462"/>
      <c r="Y94" s="1463"/>
      <c r="Z94" s="1469"/>
      <c r="AA94" s="1462"/>
      <c r="AB94" s="1462"/>
      <c r="AC94" s="1462"/>
      <c r="AD94" s="1462"/>
      <c r="AE94" s="1462"/>
      <c r="AF94" s="1462"/>
      <c r="AG94" s="1462"/>
      <c r="AH94" s="1462"/>
      <c r="AI94" s="1462"/>
      <c r="AJ94" s="1465">
        <f t="shared" si="4"/>
        <v>0</v>
      </c>
      <c r="AK94" s="1465">
        <f t="shared" si="5"/>
        <v>0</v>
      </c>
      <c r="AL94" s="1466"/>
      <c r="AM94" s="156">
        <f t="shared" si="6"/>
        <v>0</v>
      </c>
      <c r="AN94" s="615" t="e">
        <f>+#REF!-AM94</f>
        <v>#REF!</v>
      </c>
    </row>
    <row r="95" spans="1:40" s="156" customFormat="1" ht="19.149999999999999" customHeight="1" outlineLevel="1">
      <c r="A95" s="1182">
        <v>85</v>
      </c>
      <c r="B95" s="1182">
        <v>42</v>
      </c>
      <c r="C95" s="1182" t="e">
        <f>VLOOKUP(D95,'DS CN MOI UP'!$B$10:$C$347,2,0)</f>
        <v>#N/A</v>
      </c>
      <c r="D95" s="1185" t="s">
        <v>470</v>
      </c>
      <c r="E95" s="1462"/>
      <c r="F95" s="1462"/>
      <c r="G95" s="1462"/>
      <c r="H95" s="1462"/>
      <c r="I95" s="1462"/>
      <c r="J95" s="1462"/>
      <c r="K95" s="1462"/>
      <c r="L95" s="1462"/>
      <c r="M95" s="1462"/>
      <c r="N95" s="1462"/>
      <c r="O95" s="1462"/>
      <c r="P95" s="1462"/>
      <c r="Q95" s="1462"/>
      <c r="R95" s="1462"/>
      <c r="S95" s="1462"/>
      <c r="T95" s="1462"/>
      <c r="U95" s="1462"/>
      <c r="V95" s="1462"/>
      <c r="W95" s="1462"/>
      <c r="X95" s="1462"/>
      <c r="Y95" s="1463"/>
      <c r="Z95" s="1463"/>
      <c r="AA95" s="1462"/>
      <c r="AB95" s="1462"/>
      <c r="AC95" s="1462"/>
      <c r="AD95" s="1462"/>
      <c r="AE95" s="1462"/>
      <c r="AF95" s="1462"/>
      <c r="AG95" s="1462"/>
      <c r="AH95" s="1462"/>
      <c r="AI95" s="1462"/>
      <c r="AJ95" s="1465">
        <f t="shared" si="4"/>
        <v>0</v>
      </c>
      <c r="AK95" s="1465">
        <f t="shared" si="5"/>
        <v>0</v>
      </c>
      <c r="AL95" s="1466"/>
      <c r="AM95" s="156">
        <f t="shared" si="6"/>
        <v>0</v>
      </c>
      <c r="AN95" s="615" t="e">
        <f>+#REF!-AM95</f>
        <v>#REF!</v>
      </c>
    </row>
    <row r="96" spans="1:40" s="156" customFormat="1" ht="19.149999999999999" customHeight="1" outlineLevel="1">
      <c r="A96" s="1182">
        <v>86</v>
      </c>
      <c r="B96" s="1182">
        <v>43</v>
      </c>
      <c r="C96" s="1182" t="e">
        <f>VLOOKUP(D96,'DS CN MOI UP'!$B$10:$C$347,2,0)</f>
        <v>#N/A</v>
      </c>
      <c r="D96" s="1185" t="s">
        <v>471</v>
      </c>
      <c r="E96" s="1462"/>
      <c r="F96" s="1462"/>
      <c r="G96" s="1462"/>
      <c r="H96" s="1462"/>
      <c r="I96" s="1462"/>
      <c r="J96" s="1462"/>
      <c r="K96" s="1462"/>
      <c r="L96" s="1462"/>
      <c r="M96" s="1462"/>
      <c r="N96" s="1462"/>
      <c r="O96" s="1462"/>
      <c r="P96" s="1462"/>
      <c r="Q96" s="1462"/>
      <c r="R96" s="1462"/>
      <c r="S96" s="1462"/>
      <c r="T96" s="1462"/>
      <c r="U96" s="1462"/>
      <c r="V96" s="1462"/>
      <c r="W96" s="1462"/>
      <c r="X96" s="1462"/>
      <c r="Y96" s="1463"/>
      <c r="Z96" s="1463"/>
      <c r="AA96" s="1462"/>
      <c r="AB96" s="1462"/>
      <c r="AC96" s="1462"/>
      <c r="AD96" s="1462"/>
      <c r="AE96" s="1462"/>
      <c r="AF96" s="1462"/>
      <c r="AG96" s="1462"/>
      <c r="AH96" s="1462"/>
      <c r="AI96" s="1462"/>
      <c r="AJ96" s="1465">
        <f t="shared" si="4"/>
        <v>0</v>
      </c>
      <c r="AK96" s="1465">
        <f t="shared" si="5"/>
        <v>0</v>
      </c>
      <c r="AL96" s="1466"/>
      <c r="AM96" s="156">
        <f t="shared" si="6"/>
        <v>0</v>
      </c>
      <c r="AN96" s="615" t="e">
        <f>+#REF!-AM96</f>
        <v>#REF!</v>
      </c>
    </row>
    <row r="97" spans="1:41" s="156" customFormat="1" ht="19.149999999999999" customHeight="1" outlineLevel="1">
      <c r="A97" s="1182">
        <v>87</v>
      </c>
      <c r="B97" s="1182">
        <v>44</v>
      </c>
      <c r="C97" s="1182" t="e">
        <f>VLOOKUP(D97,'DS CN MOI UP'!$B$10:$C$347,2,0)</f>
        <v>#N/A</v>
      </c>
      <c r="D97" s="1185" t="s">
        <v>472</v>
      </c>
      <c r="E97" s="1462"/>
      <c r="F97" s="1462"/>
      <c r="G97" s="1462"/>
      <c r="H97" s="1462"/>
      <c r="I97" s="1462"/>
      <c r="J97" s="1462"/>
      <c r="K97" s="1462"/>
      <c r="L97" s="1462"/>
      <c r="M97" s="1462"/>
      <c r="N97" s="1462"/>
      <c r="O97" s="1462"/>
      <c r="P97" s="1462"/>
      <c r="Q97" s="1462"/>
      <c r="R97" s="1462"/>
      <c r="S97" s="1462"/>
      <c r="T97" s="1462"/>
      <c r="U97" s="1462"/>
      <c r="V97" s="1462"/>
      <c r="W97" s="1462"/>
      <c r="X97" s="1462"/>
      <c r="Y97" s="1463"/>
      <c r="Z97" s="1470"/>
      <c r="AA97" s="1462"/>
      <c r="AB97" s="1462"/>
      <c r="AC97" s="1462"/>
      <c r="AD97" s="1462"/>
      <c r="AE97" s="1462"/>
      <c r="AF97" s="1462"/>
      <c r="AG97" s="1462"/>
      <c r="AH97" s="1462"/>
      <c r="AI97" s="1462"/>
      <c r="AJ97" s="1465">
        <f t="shared" si="4"/>
        <v>0</v>
      </c>
      <c r="AK97" s="1465">
        <f t="shared" si="5"/>
        <v>0</v>
      </c>
      <c r="AL97" s="1466"/>
      <c r="AM97" s="156">
        <f t="shared" si="6"/>
        <v>0</v>
      </c>
      <c r="AN97" s="615" t="e">
        <f>+#REF!-AM97</f>
        <v>#REF!</v>
      </c>
    </row>
    <row r="98" spans="1:41" s="156" customFormat="1" ht="19.149999999999999" customHeight="1" outlineLevel="1">
      <c r="A98" s="1182">
        <v>88</v>
      </c>
      <c r="B98" s="1182">
        <v>45</v>
      </c>
      <c r="C98" s="1182" t="e">
        <f>VLOOKUP(D98,'DS CN MOI UP'!$B$10:$C$347,2,0)</f>
        <v>#N/A</v>
      </c>
      <c r="D98" s="1185" t="s">
        <v>473</v>
      </c>
      <c r="E98" s="1462"/>
      <c r="F98" s="1462"/>
      <c r="G98" s="1462"/>
      <c r="H98" s="1462"/>
      <c r="I98" s="1462"/>
      <c r="J98" s="1462"/>
      <c r="K98" s="1462"/>
      <c r="L98" s="1462"/>
      <c r="M98" s="1462"/>
      <c r="N98" s="1462"/>
      <c r="O98" s="1462"/>
      <c r="P98" s="1462"/>
      <c r="Q98" s="1462"/>
      <c r="R98" s="1462"/>
      <c r="S98" s="1462"/>
      <c r="T98" s="1462"/>
      <c r="U98" s="1462"/>
      <c r="V98" s="1462"/>
      <c r="W98" s="1462"/>
      <c r="X98" s="1462"/>
      <c r="Y98" s="1463"/>
      <c r="Z98" s="1463"/>
      <c r="AA98" s="1462"/>
      <c r="AB98" s="1462"/>
      <c r="AC98" s="1462"/>
      <c r="AD98" s="1462"/>
      <c r="AE98" s="1462"/>
      <c r="AF98" s="1462"/>
      <c r="AG98" s="1462"/>
      <c r="AH98" s="1462"/>
      <c r="AI98" s="1462"/>
      <c r="AJ98" s="1465">
        <f t="shared" si="4"/>
        <v>0</v>
      </c>
      <c r="AK98" s="1465">
        <f t="shared" si="5"/>
        <v>0</v>
      </c>
      <c r="AL98" s="1466"/>
      <c r="AM98" s="156">
        <f t="shared" si="6"/>
        <v>0</v>
      </c>
      <c r="AN98" s="615" t="e">
        <f>+#REF!-AM98</f>
        <v>#REF!</v>
      </c>
    </row>
    <row r="99" spans="1:41" s="156" customFormat="1" ht="19.149999999999999" customHeight="1" outlineLevel="1">
      <c r="A99" s="1182">
        <v>89</v>
      </c>
      <c r="B99" s="1182">
        <v>46</v>
      </c>
      <c r="C99" s="1182" t="e">
        <f>VLOOKUP(D99,'DS CN MOI UP'!$B$10:$C$347,2,0)</f>
        <v>#N/A</v>
      </c>
      <c r="D99" s="1185" t="s">
        <v>474</v>
      </c>
      <c r="E99" s="1462"/>
      <c r="F99" s="1462"/>
      <c r="G99" s="1462"/>
      <c r="H99" s="1462"/>
      <c r="I99" s="1462"/>
      <c r="J99" s="1462"/>
      <c r="K99" s="1462"/>
      <c r="L99" s="1462"/>
      <c r="M99" s="1462"/>
      <c r="N99" s="1462"/>
      <c r="O99" s="1462"/>
      <c r="P99" s="1462"/>
      <c r="Q99" s="1462"/>
      <c r="R99" s="1462"/>
      <c r="S99" s="1462"/>
      <c r="T99" s="1462"/>
      <c r="U99" s="1462"/>
      <c r="V99" s="1462"/>
      <c r="W99" s="1462"/>
      <c r="X99" s="1462"/>
      <c r="Y99" s="1463"/>
      <c r="Z99" s="1463"/>
      <c r="AA99" s="1462"/>
      <c r="AB99" s="1462"/>
      <c r="AC99" s="1462"/>
      <c r="AD99" s="1462"/>
      <c r="AE99" s="1462"/>
      <c r="AF99" s="1462"/>
      <c r="AG99" s="1462"/>
      <c r="AH99" s="1462"/>
      <c r="AI99" s="1462"/>
      <c r="AJ99" s="1465">
        <f t="shared" si="4"/>
        <v>0</v>
      </c>
      <c r="AK99" s="1465">
        <f t="shared" si="5"/>
        <v>0</v>
      </c>
      <c r="AL99" s="1466"/>
      <c r="AM99" s="156">
        <f t="shared" si="6"/>
        <v>0</v>
      </c>
      <c r="AN99" s="615" t="e">
        <f>+#REF!-AM99</f>
        <v>#REF!</v>
      </c>
    </row>
    <row r="100" spans="1:41" s="156" customFormat="1" ht="19.149999999999999" customHeight="1" outlineLevel="1">
      <c r="A100" s="1182">
        <v>90</v>
      </c>
      <c r="B100" s="1182">
        <v>47</v>
      </c>
      <c r="C100" s="1182" t="e">
        <f>VLOOKUP(D100,'DS CN MOI UP'!$B$10:$C$347,2,0)</f>
        <v>#N/A</v>
      </c>
      <c r="D100" s="1185" t="s">
        <v>475</v>
      </c>
      <c r="E100" s="1462"/>
      <c r="F100" s="1462"/>
      <c r="G100" s="1462"/>
      <c r="H100" s="1462"/>
      <c r="I100" s="1462"/>
      <c r="J100" s="1462"/>
      <c r="K100" s="1462"/>
      <c r="L100" s="1462"/>
      <c r="M100" s="1462"/>
      <c r="N100" s="1462"/>
      <c r="O100" s="1462"/>
      <c r="P100" s="1462"/>
      <c r="Q100" s="1462"/>
      <c r="R100" s="1462"/>
      <c r="S100" s="1462"/>
      <c r="T100" s="1462"/>
      <c r="U100" s="1462"/>
      <c r="V100" s="1462"/>
      <c r="W100" s="1462"/>
      <c r="X100" s="1462"/>
      <c r="Y100" s="1463"/>
      <c r="Z100" s="1463"/>
      <c r="AA100" s="1462"/>
      <c r="AB100" s="1462"/>
      <c r="AC100" s="1462"/>
      <c r="AD100" s="1462"/>
      <c r="AE100" s="1462"/>
      <c r="AF100" s="1462"/>
      <c r="AG100" s="1462"/>
      <c r="AH100" s="1462"/>
      <c r="AI100" s="1462"/>
      <c r="AJ100" s="1465">
        <f t="shared" si="4"/>
        <v>0</v>
      </c>
      <c r="AK100" s="1465">
        <f t="shared" si="5"/>
        <v>0</v>
      </c>
      <c r="AL100" s="1466"/>
      <c r="AM100" s="156">
        <f t="shared" si="6"/>
        <v>0</v>
      </c>
      <c r="AN100" s="615" t="e">
        <f>+#REF!-AM100</f>
        <v>#REF!</v>
      </c>
    </row>
    <row r="101" spans="1:41" s="156" customFormat="1" ht="19.149999999999999" customHeight="1" outlineLevel="1">
      <c r="A101" s="1182">
        <v>91</v>
      </c>
      <c r="B101" s="1182">
        <v>48</v>
      </c>
      <c r="C101" s="1182" t="e">
        <f>VLOOKUP(D101,'DS CN MOI UP'!$B$10:$C$347,2,0)</f>
        <v>#N/A</v>
      </c>
      <c r="D101" s="1185" t="s">
        <v>476</v>
      </c>
      <c r="E101" s="1462"/>
      <c r="F101" s="1462"/>
      <c r="G101" s="1462"/>
      <c r="H101" s="1462"/>
      <c r="I101" s="1462"/>
      <c r="J101" s="1462"/>
      <c r="K101" s="1462"/>
      <c r="L101" s="1462"/>
      <c r="M101" s="1462"/>
      <c r="N101" s="1462"/>
      <c r="O101" s="1462"/>
      <c r="P101" s="1462"/>
      <c r="Q101" s="1462"/>
      <c r="R101" s="1462"/>
      <c r="S101" s="1462"/>
      <c r="T101" s="1462"/>
      <c r="U101" s="1462"/>
      <c r="V101" s="1462"/>
      <c r="W101" s="1462"/>
      <c r="X101" s="1462"/>
      <c r="Y101" s="1463"/>
      <c r="Z101" s="1463"/>
      <c r="AA101" s="1462"/>
      <c r="AB101" s="1462"/>
      <c r="AC101" s="1462"/>
      <c r="AD101" s="1462"/>
      <c r="AE101" s="1462"/>
      <c r="AF101" s="1462"/>
      <c r="AG101" s="1462"/>
      <c r="AH101" s="1462"/>
      <c r="AI101" s="1462"/>
      <c r="AJ101" s="1465">
        <f t="shared" si="4"/>
        <v>0</v>
      </c>
      <c r="AK101" s="1465">
        <f t="shared" si="5"/>
        <v>0</v>
      </c>
      <c r="AL101" s="1466"/>
      <c r="AM101" s="156">
        <f t="shared" si="6"/>
        <v>0</v>
      </c>
      <c r="AN101" s="615" t="e">
        <f>+#REF!-AM101</f>
        <v>#REF!</v>
      </c>
    </row>
    <row r="102" spans="1:41" s="156" customFormat="1" ht="19.149999999999999" customHeight="1" outlineLevel="1">
      <c r="A102" s="1182">
        <v>92</v>
      </c>
      <c r="B102" s="1182">
        <v>49</v>
      </c>
      <c r="C102" s="1182" t="e">
        <f>VLOOKUP(D102,'DS CN MOI UP'!$B$10:$C$347,2,0)</f>
        <v>#N/A</v>
      </c>
      <c r="D102" s="1185" t="s">
        <v>477</v>
      </c>
      <c r="E102" s="1462"/>
      <c r="F102" s="1462"/>
      <c r="G102" s="1462"/>
      <c r="H102" s="1462"/>
      <c r="I102" s="1462"/>
      <c r="J102" s="1462"/>
      <c r="K102" s="1462"/>
      <c r="L102" s="1462"/>
      <c r="M102" s="1462"/>
      <c r="N102" s="1462"/>
      <c r="O102" s="1462"/>
      <c r="P102" s="1462"/>
      <c r="Q102" s="1462"/>
      <c r="R102" s="1462"/>
      <c r="S102" s="1462"/>
      <c r="T102" s="1462"/>
      <c r="U102" s="1462"/>
      <c r="V102" s="1462"/>
      <c r="W102" s="1462"/>
      <c r="X102" s="1462"/>
      <c r="Y102" s="1463"/>
      <c r="Z102" s="1463"/>
      <c r="AA102" s="1462"/>
      <c r="AB102" s="1462"/>
      <c r="AC102" s="1462"/>
      <c r="AD102" s="1462"/>
      <c r="AE102" s="1462"/>
      <c r="AF102" s="1462"/>
      <c r="AG102" s="1462"/>
      <c r="AH102" s="1462"/>
      <c r="AI102" s="1462"/>
      <c r="AJ102" s="1465">
        <f t="shared" si="4"/>
        <v>0</v>
      </c>
      <c r="AK102" s="1465">
        <f t="shared" si="5"/>
        <v>0</v>
      </c>
      <c r="AL102" s="1466"/>
      <c r="AM102" s="156">
        <f t="shared" si="6"/>
        <v>0</v>
      </c>
      <c r="AN102" s="615" t="e">
        <f>+#REF!-AM102</f>
        <v>#REF!</v>
      </c>
    </row>
    <row r="103" spans="1:41" s="156" customFormat="1" ht="19.149999999999999" customHeight="1" outlineLevel="1">
      <c r="A103" s="1182">
        <v>93</v>
      </c>
      <c r="B103" s="1182">
        <v>50</v>
      </c>
      <c r="C103" s="1182" t="e">
        <f>VLOOKUP(D103,'DS CN MOI UP'!$B$10:$C$347,2,0)</f>
        <v>#N/A</v>
      </c>
      <c r="D103" s="1185" t="s">
        <v>909</v>
      </c>
      <c r="E103" s="1462"/>
      <c r="F103" s="1462"/>
      <c r="G103" s="1462"/>
      <c r="H103" s="1462"/>
      <c r="I103" s="1462"/>
      <c r="J103" s="1462"/>
      <c r="K103" s="1462"/>
      <c r="L103" s="1462"/>
      <c r="M103" s="1462"/>
      <c r="N103" s="1462"/>
      <c r="O103" s="1462"/>
      <c r="P103" s="1462"/>
      <c r="Q103" s="1462"/>
      <c r="R103" s="1462"/>
      <c r="S103" s="1462"/>
      <c r="T103" s="1462"/>
      <c r="U103" s="1462"/>
      <c r="V103" s="1462"/>
      <c r="W103" s="1462"/>
      <c r="X103" s="1462"/>
      <c r="Y103" s="1463"/>
      <c r="Z103" s="1463"/>
      <c r="AA103" s="1462"/>
      <c r="AB103" s="1462"/>
      <c r="AC103" s="1462"/>
      <c r="AD103" s="1462"/>
      <c r="AE103" s="1462"/>
      <c r="AF103" s="1462"/>
      <c r="AG103" s="1462"/>
      <c r="AH103" s="1462"/>
      <c r="AI103" s="1462"/>
      <c r="AJ103" s="1465">
        <f t="shared" si="4"/>
        <v>0</v>
      </c>
      <c r="AK103" s="1465">
        <f t="shared" si="5"/>
        <v>0</v>
      </c>
      <c r="AL103" s="1466"/>
      <c r="AM103" s="156">
        <f t="shared" si="6"/>
        <v>0</v>
      </c>
      <c r="AN103" s="615" t="e">
        <f>+#REF!-AM103</f>
        <v>#REF!</v>
      </c>
    </row>
    <row r="104" spans="1:41" s="156" customFormat="1" ht="19.149999999999999" customHeight="1" outlineLevel="1">
      <c r="A104" s="1182">
        <v>94</v>
      </c>
      <c r="B104" s="1182">
        <v>51</v>
      </c>
      <c r="C104" s="1182" t="e">
        <f>VLOOKUP(D104,'DS CN MOI UP'!$B$10:$C$347,2,0)</f>
        <v>#N/A</v>
      </c>
      <c r="D104" s="1185" t="s">
        <v>479</v>
      </c>
      <c r="E104" s="1462"/>
      <c r="F104" s="1462"/>
      <c r="G104" s="1462"/>
      <c r="H104" s="1462"/>
      <c r="I104" s="1462"/>
      <c r="J104" s="1462"/>
      <c r="K104" s="1462"/>
      <c r="L104" s="1462"/>
      <c r="M104" s="1462"/>
      <c r="N104" s="1462"/>
      <c r="O104" s="1462"/>
      <c r="P104" s="1462"/>
      <c r="Q104" s="1462"/>
      <c r="R104" s="1462"/>
      <c r="S104" s="1462"/>
      <c r="T104" s="1462"/>
      <c r="U104" s="1462"/>
      <c r="V104" s="1462"/>
      <c r="W104" s="1462"/>
      <c r="X104" s="1462"/>
      <c r="Y104" s="1463"/>
      <c r="Z104" s="1463"/>
      <c r="AA104" s="1462"/>
      <c r="AB104" s="1462"/>
      <c r="AC104" s="1462"/>
      <c r="AD104" s="1462"/>
      <c r="AE104" s="1462"/>
      <c r="AF104" s="1462"/>
      <c r="AG104" s="1462"/>
      <c r="AH104" s="1462"/>
      <c r="AI104" s="1462"/>
      <c r="AJ104" s="1465">
        <f t="shared" si="4"/>
        <v>0</v>
      </c>
      <c r="AK104" s="1465">
        <f t="shared" si="5"/>
        <v>0</v>
      </c>
      <c r="AL104" s="1466"/>
      <c r="AM104" s="156">
        <f t="shared" si="6"/>
        <v>0</v>
      </c>
      <c r="AN104" s="615" t="e">
        <f>+#REF!-AM104</f>
        <v>#REF!</v>
      </c>
    </row>
    <row r="105" spans="1:41" s="156" customFormat="1" ht="19.149999999999999" customHeight="1" outlineLevel="1">
      <c r="A105" s="1182">
        <v>95</v>
      </c>
      <c r="B105" s="1182">
        <v>52</v>
      </c>
      <c r="C105" s="1182" t="e">
        <f>VLOOKUP(D105,'DS CN MOI UP'!$B$10:$C$347,2,0)</f>
        <v>#N/A</v>
      </c>
      <c r="D105" s="1185" t="s">
        <v>480</v>
      </c>
      <c r="E105" s="1462"/>
      <c r="F105" s="1462"/>
      <c r="G105" s="1462"/>
      <c r="H105" s="1462"/>
      <c r="I105" s="1462"/>
      <c r="J105" s="1462"/>
      <c r="K105" s="1462"/>
      <c r="L105" s="1462"/>
      <c r="M105" s="1462"/>
      <c r="N105" s="1462"/>
      <c r="O105" s="1462"/>
      <c r="P105" s="1462"/>
      <c r="Q105" s="1462"/>
      <c r="R105" s="1462"/>
      <c r="S105" s="1462"/>
      <c r="T105" s="1462"/>
      <c r="U105" s="1462"/>
      <c r="V105" s="1462"/>
      <c r="W105" s="1462"/>
      <c r="X105" s="1462"/>
      <c r="Y105" s="1463"/>
      <c r="Z105" s="1463"/>
      <c r="AA105" s="1462"/>
      <c r="AB105" s="1462"/>
      <c r="AC105" s="1462"/>
      <c r="AD105" s="1462"/>
      <c r="AE105" s="1462"/>
      <c r="AF105" s="1462"/>
      <c r="AG105" s="1462"/>
      <c r="AH105" s="1462"/>
      <c r="AI105" s="1462"/>
      <c r="AJ105" s="1465">
        <f t="shared" si="4"/>
        <v>0</v>
      </c>
      <c r="AK105" s="1465">
        <f t="shared" si="5"/>
        <v>0</v>
      </c>
      <c r="AL105" s="1466"/>
      <c r="AM105" s="156">
        <f t="shared" si="6"/>
        <v>0</v>
      </c>
      <c r="AN105" s="615" t="e">
        <f>+#REF!-AM105</f>
        <v>#REF!</v>
      </c>
    </row>
    <row r="106" spans="1:41" s="156" customFormat="1" ht="19.149999999999999" customHeight="1" outlineLevel="1">
      <c r="A106" s="1182">
        <v>96</v>
      </c>
      <c r="B106" s="1182">
        <v>53</v>
      </c>
      <c r="C106" s="1182" t="e">
        <f>VLOOKUP(D106,'DS CN MOI UP'!$B$10:$C$347,2,0)</f>
        <v>#N/A</v>
      </c>
      <c r="D106" s="1185" t="s">
        <v>481</v>
      </c>
      <c r="E106" s="1462"/>
      <c r="F106" s="1462"/>
      <c r="G106" s="1462"/>
      <c r="H106" s="1462"/>
      <c r="I106" s="1462"/>
      <c r="J106" s="1462"/>
      <c r="K106" s="1462"/>
      <c r="L106" s="1462"/>
      <c r="M106" s="1462"/>
      <c r="N106" s="1462"/>
      <c r="O106" s="1462"/>
      <c r="P106" s="1462"/>
      <c r="Q106" s="1462"/>
      <c r="R106" s="1462"/>
      <c r="S106" s="1462"/>
      <c r="T106" s="1462"/>
      <c r="U106" s="1462"/>
      <c r="V106" s="1462"/>
      <c r="W106" s="1462"/>
      <c r="X106" s="1462"/>
      <c r="Y106" s="1463"/>
      <c r="Z106" s="1463"/>
      <c r="AA106" s="1462"/>
      <c r="AB106" s="1462"/>
      <c r="AC106" s="1462"/>
      <c r="AD106" s="1462"/>
      <c r="AE106" s="1462"/>
      <c r="AF106" s="1462"/>
      <c r="AG106" s="1462"/>
      <c r="AH106" s="1462"/>
      <c r="AI106" s="1462"/>
      <c r="AJ106" s="1465">
        <f t="shared" si="4"/>
        <v>0</v>
      </c>
      <c r="AK106" s="1465">
        <f t="shared" si="5"/>
        <v>0</v>
      </c>
      <c r="AL106" s="1466"/>
      <c r="AM106" s="156">
        <f t="shared" si="6"/>
        <v>0</v>
      </c>
      <c r="AN106" s="615" t="e">
        <f>+#REF!-AM106</f>
        <v>#REF!</v>
      </c>
    </row>
    <row r="107" spans="1:41" s="156" customFormat="1" ht="19.149999999999999" customHeight="1" outlineLevel="1">
      <c r="A107" s="1182">
        <v>97</v>
      </c>
      <c r="B107" s="1182">
        <v>54</v>
      </c>
      <c r="C107" s="1182" t="e">
        <f>VLOOKUP(D107,'DS CN MOI UP'!$B$10:$C$347,2,0)</f>
        <v>#N/A</v>
      </c>
      <c r="D107" s="1185" t="s">
        <v>482</v>
      </c>
      <c r="E107" s="1462"/>
      <c r="F107" s="1462"/>
      <c r="G107" s="1462"/>
      <c r="H107" s="1462"/>
      <c r="I107" s="1462"/>
      <c r="J107" s="1462"/>
      <c r="K107" s="1462"/>
      <c r="L107" s="1462"/>
      <c r="M107" s="1462"/>
      <c r="N107" s="1462"/>
      <c r="O107" s="1462"/>
      <c r="P107" s="1462"/>
      <c r="Q107" s="1462"/>
      <c r="R107" s="1462"/>
      <c r="S107" s="1462"/>
      <c r="T107" s="1462"/>
      <c r="U107" s="1462"/>
      <c r="V107" s="1462"/>
      <c r="W107" s="1462"/>
      <c r="X107" s="1462"/>
      <c r="Y107" s="1463"/>
      <c r="Z107" s="1463"/>
      <c r="AA107" s="1462"/>
      <c r="AB107" s="1462"/>
      <c r="AC107" s="1462"/>
      <c r="AD107" s="1462"/>
      <c r="AE107" s="1462"/>
      <c r="AF107" s="1462"/>
      <c r="AG107" s="1462"/>
      <c r="AH107" s="1462"/>
      <c r="AI107" s="1462"/>
      <c r="AJ107" s="1465">
        <f t="shared" si="4"/>
        <v>0</v>
      </c>
      <c r="AK107" s="1465">
        <f t="shared" si="5"/>
        <v>0</v>
      </c>
      <c r="AL107" s="1466"/>
      <c r="AM107" s="156">
        <f t="shared" si="6"/>
        <v>0</v>
      </c>
      <c r="AN107" s="615" t="e">
        <f>+#REF!-AM107</f>
        <v>#REF!</v>
      </c>
    </row>
    <row r="108" spans="1:41" s="156" customFormat="1" ht="19.149999999999999" customHeight="1" outlineLevel="1">
      <c r="A108" s="1182">
        <v>98</v>
      </c>
      <c r="B108" s="1182">
        <v>55</v>
      </c>
      <c r="C108" s="1182" t="e">
        <f>VLOOKUP(D108,'DS CN MOI UP'!$B$10:$C$347,2,0)</f>
        <v>#N/A</v>
      </c>
      <c r="D108" s="1185" t="s">
        <v>483</v>
      </c>
      <c r="E108" s="1462"/>
      <c r="F108" s="1462"/>
      <c r="G108" s="1462"/>
      <c r="H108" s="1462"/>
      <c r="I108" s="1462"/>
      <c r="J108" s="1462"/>
      <c r="K108" s="1462"/>
      <c r="L108" s="1462"/>
      <c r="M108" s="1462"/>
      <c r="N108" s="1462"/>
      <c r="O108" s="1462"/>
      <c r="P108" s="1462"/>
      <c r="Q108" s="1462"/>
      <c r="R108" s="1462"/>
      <c r="S108" s="1462"/>
      <c r="T108" s="1462"/>
      <c r="U108" s="1462"/>
      <c r="V108" s="1462"/>
      <c r="W108" s="1462"/>
      <c r="X108" s="1462"/>
      <c r="Y108" s="1463"/>
      <c r="Z108" s="1463"/>
      <c r="AA108" s="1462"/>
      <c r="AB108" s="1462"/>
      <c r="AC108" s="1462"/>
      <c r="AD108" s="1462"/>
      <c r="AE108" s="1462"/>
      <c r="AF108" s="1462"/>
      <c r="AG108" s="1462"/>
      <c r="AH108" s="1462"/>
      <c r="AI108" s="1462"/>
      <c r="AJ108" s="1465">
        <f t="shared" si="4"/>
        <v>0</v>
      </c>
      <c r="AK108" s="1465">
        <f t="shared" si="5"/>
        <v>0</v>
      </c>
      <c r="AL108" s="1466"/>
      <c r="AM108" s="156">
        <f t="shared" si="6"/>
        <v>0</v>
      </c>
      <c r="AN108" s="615" t="e">
        <f>+#REF!-AM108</f>
        <v>#REF!</v>
      </c>
    </row>
    <row r="109" spans="1:41" s="156" customFormat="1" ht="19.149999999999999" customHeight="1" outlineLevel="1">
      <c r="A109" s="1182">
        <v>99</v>
      </c>
      <c r="B109" s="1182">
        <v>55</v>
      </c>
      <c r="C109" s="1182" t="e">
        <f>VLOOKUP(D109,'DS CN MOI UP'!$B$10:$C$347,2,0)</f>
        <v>#N/A</v>
      </c>
      <c r="D109" s="1185" t="s">
        <v>1941</v>
      </c>
      <c r="E109" s="1462"/>
      <c r="F109" s="1462"/>
      <c r="G109" s="1462"/>
      <c r="H109" s="1462"/>
      <c r="I109" s="1462"/>
      <c r="J109" s="1462"/>
      <c r="K109" s="1462"/>
      <c r="L109" s="1462"/>
      <c r="M109" s="1462"/>
      <c r="N109" s="1462"/>
      <c r="O109" s="1462"/>
      <c r="P109" s="1462"/>
      <c r="Q109" s="1462"/>
      <c r="R109" s="1462"/>
      <c r="S109" s="1462"/>
      <c r="T109" s="1462"/>
      <c r="U109" s="1462"/>
      <c r="V109" s="1462"/>
      <c r="W109" s="1462"/>
      <c r="X109" s="1462"/>
      <c r="Y109" s="1463"/>
      <c r="Z109" s="1463"/>
      <c r="AA109" s="1462"/>
      <c r="AB109" s="1462"/>
      <c r="AC109" s="1462"/>
      <c r="AD109" s="1462"/>
      <c r="AE109" s="1462"/>
      <c r="AF109" s="1462"/>
      <c r="AG109" s="1462"/>
      <c r="AH109" s="1462"/>
      <c r="AI109" s="1462"/>
      <c r="AJ109" s="1465">
        <f t="shared" si="4"/>
        <v>0</v>
      </c>
      <c r="AK109" s="1465">
        <f t="shared" si="5"/>
        <v>0</v>
      </c>
      <c r="AL109" s="1466"/>
      <c r="AM109" s="156">
        <f t="shared" si="6"/>
        <v>0</v>
      </c>
      <c r="AN109" s="615" t="e">
        <f>+#REF!-AM109</f>
        <v>#REF!</v>
      </c>
    </row>
    <row r="110" spans="1:41" s="1232" customFormat="1" ht="19.149999999999999" customHeight="1">
      <c r="A110" s="1183" t="s">
        <v>521</v>
      </c>
      <c r="B110" s="1183"/>
      <c r="C110" s="1182" t="e">
        <f>VLOOKUP(D110,'DS CN MOI UP'!$B$10:$C$347,2,0)</f>
        <v>#N/A</v>
      </c>
      <c r="D110" s="1183"/>
      <c r="E110" s="1461"/>
      <c r="F110" s="1461"/>
      <c r="G110" s="1461"/>
      <c r="H110" s="1461"/>
      <c r="I110" s="1461"/>
      <c r="J110" s="1461"/>
      <c r="K110" s="1461"/>
      <c r="L110" s="1461"/>
      <c r="M110" s="1461"/>
      <c r="N110" s="1461"/>
      <c r="O110" s="1461"/>
      <c r="P110" s="1461"/>
      <c r="Q110" s="1461"/>
      <c r="R110" s="1461"/>
      <c r="S110" s="1461"/>
      <c r="T110" s="1461"/>
      <c r="U110" s="1461"/>
      <c r="V110" s="1461"/>
      <c r="W110" s="1461"/>
      <c r="X110" s="1461"/>
      <c r="Y110" s="1461"/>
      <c r="Z110" s="1461"/>
      <c r="AA110" s="1461"/>
      <c r="AB110" s="1461"/>
      <c r="AC110" s="1461"/>
      <c r="AD110" s="1461"/>
      <c r="AE110" s="1461"/>
      <c r="AF110" s="1461"/>
      <c r="AG110" s="1461"/>
      <c r="AH110" s="1461"/>
      <c r="AI110" s="1461"/>
      <c r="AJ110" s="1461">
        <f t="shared" ref="AJ110:AK110" si="7">SUM(AJ111:AJ204)</f>
        <v>0</v>
      </c>
      <c r="AK110" s="1461">
        <f t="shared" si="7"/>
        <v>0</v>
      </c>
      <c r="AL110" s="1204"/>
      <c r="AM110" s="1247"/>
      <c r="AN110" s="1247"/>
      <c r="AO110" s="1247"/>
    </row>
    <row r="111" spans="1:41" s="156" customFormat="1" ht="19.149999999999999" customHeight="1" outlineLevel="1">
      <c r="A111" s="1182">
        <v>100</v>
      </c>
      <c r="B111" s="1182">
        <v>1</v>
      </c>
      <c r="C111" s="1635" t="str">
        <f>VLOOKUP(D111,'DS CN MOI UP'!$B$10:$C$347,2,0)</f>
        <v>03319</v>
      </c>
      <c r="D111" s="1185" t="s">
        <v>14</v>
      </c>
      <c r="E111" s="1462"/>
      <c r="F111" s="1462"/>
      <c r="G111" s="1462"/>
      <c r="H111" s="1462"/>
      <c r="I111" s="1462"/>
      <c r="J111" s="1462"/>
      <c r="K111" s="1462"/>
      <c r="L111" s="1462"/>
      <c r="M111" s="1462"/>
      <c r="N111" s="1462"/>
      <c r="O111" s="1462"/>
      <c r="P111" s="1462"/>
      <c r="Q111" s="1462"/>
      <c r="R111" s="1462"/>
      <c r="S111" s="1462"/>
      <c r="T111" s="1462"/>
      <c r="U111" s="1462"/>
      <c r="V111" s="1462"/>
      <c r="W111" s="1462"/>
      <c r="X111" s="1462"/>
      <c r="Y111" s="1462"/>
      <c r="Z111" s="1462"/>
      <c r="AA111" s="1462"/>
      <c r="AB111" s="1462"/>
      <c r="AC111" s="1462"/>
      <c r="AD111" s="1462"/>
      <c r="AE111" s="1462"/>
      <c r="AF111" s="1462"/>
      <c r="AG111" s="1462"/>
      <c r="AH111" s="1462"/>
      <c r="AI111" s="1462"/>
      <c r="AJ111" s="1465">
        <f>SUM(E111:AI111)</f>
        <v>0</v>
      </c>
      <c r="AK111" s="1465">
        <f t="shared" si="5"/>
        <v>0</v>
      </c>
      <c r="AL111" s="1466"/>
      <c r="AM111" s="615"/>
      <c r="AO111" s="615"/>
    </row>
    <row r="112" spans="1:41" s="156" customFormat="1" ht="19.149999999999999" customHeight="1" outlineLevel="1">
      <c r="A112" s="1182">
        <v>101</v>
      </c>
      <c r="B112" s="1182">
        <v>2</v>
      </c>
      <c r="C112" s="1635" t="str">
        <f>VLOOKUP(D112,'DS CN MOI UP'!$B$10:$C$347,2,0)</f>
        <v>03320</v>
      </c>
      <c r="D112" s="1185" t="s">
        <v>16</v>
      </c>
      <c r="E112" s="1462"/>
      <c r="F112" s="1462"/>
      <c r="G112" s="1462"/>
      <c r="H112" s="1462"/>
      <c r="I112" s="1462"/>
      <c r="J112" s="1462"/>
      <c r="K112" s="1462"/>
      <c r="L112" s="1462"/>
      <c r="M112" s="1462"/>
      <c r="N112" s="1462"/>
      <c r="O112" s="1462"/>
      <c r="P112" s="1462"/>
      <c r="Q112" s="1462"/>
      <c r="R112" s="1462"/>
      <c r="S112" s="1462"/>
      <c r="T112" s="1462"/>
      <c r="U112" s="1462"/>
      <c r="V112" s="1462"/>
      <c r="W112" s="1462"/>
      <c r="X112" s="1462"/>
      <c r="Y112" s="1462"/>
      <c r="Z112" s="1462"/>
      <c r="AA112" s="1462"/>
      <c r="AB112" s="1462"/>
      <c r="AC112" s="1462"/>
      <c r="AD112" s="1462"/>
      <c r="AE112" s="1462"/>
      <c r="AF112" s="1462"/>
      <c r="AG112" s="1462"/>
      <c r="AH112" s="1462"/>
      <c r="AI112" s="1462"/>
      <c r="AJ112" s="1465">
        <f t="shared" ref="AJ112:AJ175" si="8">SUM(E112:AI112)</f>
        <v>0</v>
      </c>
      <c r="AK112" s="1465">
        <f t="shared" si="5"/>
        <v>0</v>
      </c>
      <c r="AL112" s="1466"/>
      <c r="AM112" s="615"/>
    </row>
    <row r="113" spans="1:39" s="156" customFormat="1" ht="19.149999999999999" customHeight="1" outlineLevel="1">
      <c r="A113" s="1182">
        <v>102</v>
      </c>
      <c r="B113" s="1182">
        <v>3</v>
      </c>
      <c r="C113" s="1635" t="str">
        <f>VLOOKUP(D113,'DS CN MOI UP'!$B$10:$C$347,2,0)</f>
        <v>02453</v>
      </c>
      <c r="D113" s="1185" t="s">
        <v>17</v>
      </c>
      <c r="E113" s="1462"/>
      <c r="F113" s="1462"/>
      <c r="G113" s="1462"/>
      <c r="H113" s="1462"/>
      <c r="I113" s="1462"/>
      <c r="J113" s="1462"/>
      <c r="K113" s="1462"/>
      <c r="L113" s="1462"/>
      <c r="M113" s="1462"/>
      <c r="N113" s="1462"/>
      <c r="O113" s="1462"/>
      <c r="P113" s="1462"/>
      <c r="Q113" s="1462"/>
      <c r="R113" s="1462"/>
      <c r="S113" s="1462"/>
      <c r="T113" s="1462"/>
      <c r="U113" s="1462"/>
      <c r="V113" s="1462"/>
      <c r="W113" s="1462"/>
      <c r="X113" s="1462"/>
      <c r="Y113" s="1462"/>
      <c r="Z113" s="1462"/>
      <c r="AA113" s="1462"/>
      <c r="AB113" s="1462"/>
      <c r="AC113" s="1462"/>
      <c r="AD113" s="1462"/>
      <c r="AE113" s="1462"/>
      <c r="AF113" s="1462"/>
      <c r="AG113" s="1462"/>
      <c r="AH113" s="1462"/>
      <c r="AI113" s="1462"/>
      <c r="AJ113" s="1465">
        <f t="shared" si="8"/>
        <v>0</v>
      </c>
      <c r="AK113" s="1465">
        <f t="shared" si="5"/>
        <v>0</v>
      </c>
      <c r="AL113" s="1466"/>
      <c r="AM113" s="615"/>
    </row>
    <row r="114" spans="1:39" s="156" customFormat="1" ht="19.149999999999999" customHeight="1" outlineLevel="1">
      <c r="A114" s="1182">
        <v>103</v>
      </c>
      <c r="B114" s="1182">
        <v>4</v>
      </c>
      <c r="C114" s="1635" t="str">
        <f>VLOOKUP(D114,'DS CN MOI UP'!$B$10:$C$347,2,0)</f>
        <v>02471</v>
      </c>
      <c r="D114" s="1468" t="s">
        <v>18</v>
      </c>
      <c r="E114" s="1462"/>
      <c r="F114" s="1462"/>
      <c r="G114" s="1462"/>
      <c r="H114" s="1462"/>
      <c r="I114" s="1462"/>
      <c r="J114" s="1462"/>
      <c r="K114" s="1462"/>
      <c r="L114" s="1462"/>
      <c r="M114" s="1462"/>
      <c r="N114" s="1462"/>
      <c r="O114" s="1462"/>
      <c r="P114" s="1462"/>
      <c r="Q114" s="1462"/>
      <c r="R114" s="1462"/>
      <c r="S114" s="1462"/>
      <c r="T114" s="1462"/>
      <c r="U114" s="1462"/>
      <c r="V114" s="1462"/>
      <c r="W114" s="1462"/>
      <c r="X114" s="1462"/>
      <c r="Y114" s="1462"/>
      <c r="Z114" s="1462"/>
      <c r="AA114" s="1462"/>
      <c r="AB114" s="1462"/>
      <c r="AC114" s="1462"/>
      <c r="AD114" s="1462"/>
      <c r="AE114" s="1462"/>
      <c r="AF114" s="1462"/>
      <c r="AG114" s="1462"/>
      <c r="AH114" s="1462"/>
      <c r="AI114" s="1462"/>
      <c r="AJ114" s="1465">
        <f t="shared" si="8"/>
        <v>0</v>
      </c>
      <c r="AK114" s="1465">
        <f t="shared" si="5"/>
        <v>0</v>
      </c>
      <c r="AL114" s="1466"/>
      <c r="AM114" s="615"/>
    </row>
    <row r="115" spans="1:39" s="156" customFormat="1" ht="19.149999999999999" customHeight="1" outlineLevel="1">
      <c r="A115" s="1182">
        <v>104</v>
      </c>
      <c r="B115" s="1182">
        <v>5</v>
      </c>
      <c r="C115" s="1182" t="e">
        <f>VLOOKUP(D115,'DS CN MOI UP'!$B$10:$C$347,2,0)</f>
        <v>#N/A</v>
      </c>
      <c r="D115" s="1185" t="s">
        <v>556</v>
      </c>
      <c r="E115" s="1462"/>
      <c r="F115" s="1462"/>
      <c r="G115" s="1462"/>
      <c r="H115" s="1462"/>
      <c r="I115" s="1462"/>
      <c r="J115" s="1462"/>
      <c r="K115" s="1462"/>
      <c r="L115" s="1462"/>
      <c r="M115" s="1462"/>
      <c r="N115" s="1462"/>
      <c r="O115" s="1462"/>
      <c r="P115" s="1462"/>
      <c r="Q115" s="1462"/>
      <c r="R115" s="1462"/>
      <c r="S115" s="1462"/>
      <c r="T115" s="1462"/>
      <c r="U115" s="1462"/>
      <c r="V115" s="1462"/>
      <c r="W115" s="1462"/>
      <c r="X115" s="1462"/>
      <c r="Y115" s="1462"/>
      <c r="Z115" s="1462"/>
      <c r="AA115" s="1462"/>
      <c r="AB115" s="1462"/>
      <c r="AC115" s="1462"/>
      <c r="AD115" s="1462"/>
      <c r="AE115" s="1462"/>
      <c r="AF115" s="1462"/>
      <c r="AG115" s="1462"/>
      <c r="AH115" s="1462"/>
      <c r="AI115" s="1462"/>
      <c r="AJ115" s="1465">
        <f t="shared" si="8"/>
        <v>0</v>
      </c>
      <c r="AK115" s="1465">
        <f t="shared" si="5"/>
        <v>0</v>
      </c>
      <c r="AL115" s="1466"/>
      <c r="AM115" s="615"/>
    </row>
    <row r="116" spans="1:39" s="156" customFormat="1" ht="19.149999999999999" customHeight="1" outlineLevel="1">
      <c r="A116" s="1182">
        <v>105</v>
      </c>
      <c r="B116" s="1182">
        <v>6</v>
      </c>
      <c r="C116" s="1182" t="e">
        <f>VLOOKUP(D116,'DS CN MOI UP'!$B$10:$C$347,2,0)</f>
        <v>#N/A</v>
      </c>
      <c r="D116" s="1185" t="s">
        <v>557</v>
      </c>
      <c r="E116" s="1462"/>
      <c r="F116" s="1462"/>
      <c r="G116" s="1462"/>
      <c r="H116" s="1462"/>
      <c r="I116" s="1462"/>
      <c r="J116" s="1462"/>
      <c r="K116" s="1462"/>
      <c r="L116" s="1462"/>
      <c r="M116" s="1462"/>
      <c r="N116" s="1462"/>
      <c r="O116" s="1462"/>
      <c r="P116" s="1462"/>
      <c r="Q116" s="1462"/>
      <c r="R116" s="1462"/>
      <c r="S116" s="1462"/>
      <c r="T116" s="1462"/>
      <c r="U116" s="1462"/>
      <c r="V116" s="1462"/>
      <c r="W116" s="1462"/>
      <c r="X116" s="1462"/>
      <c r="Y116" s="1462"/>
      <c r="Z116" s="1462"/>
      <c r="AA116" s="1462"/>
      <c r="AB116" s="1462"/>
      <c r="AC116" s="1462"/>
      <c r="AD116" s="1462"/>
      <c r="AE116" s="1462"/>
      <c r="AF116" s="1462"/>
      <c r="AG116" s="1462"/>
      <c r="AH116" s="1462"/>
      <c r="AI116" s="1462"/>
      <c r="AJ116" s="1465">
        <f t="shared" si="8"/>
        <v>0</v>
      </c>
      <c r="AK116" s="1465">
        <f t="shared" si="5"/>
        <v>0</v>
      </c>
      <c r="AL116" s="1466"/>
      <c r="AM116" s="615"/>
    </row>
    <row r="117" spans="1:39" s="156" customFormat="1" ht="19.149999999999999" customHeight="1" outlineLevel="1">
      <c r="A117" s="1182">
        <v>106</v>
      </c>
      <c r="B117" s="1182">
        <v>7</v>
      </c>
      <c r="C117" s="1635" t="str">
        <f>VLOOKUP(D117,'DS CN MOI UP'!$B$10:$C$347,2,0)</f>
        <v>03322</v>
      </c>
      <c r="D117" s="1185" t="s">
        <v>21</v>
      </c>
      <c r="E117" s="1462"/>
      <c r="F117" s="1462"/>
      <c r="G117" s="1462"/>
      <c r="H117" s="1462"/>
      <c r="I117" s="1462"/>
      <c r="J117" s="1462"/>
      <c r="K117" s="1462"/>
      <c r="L117" s="1462"/>
      <c r="M117" s="1462"/>
      <c r="N117" s="1462"/>
      <c r="O117" s="1462"/>
      <c r="P117" s="1462"/>
      <c r="Q117" s="1462"/>
      <c r="R117" s="1462"/>
      <c r="S117" s="1462"/>
      <c r="T117" s="1462"/>
      <c r="U117" s="1462"/>
      <c r="V117" s="1462"/>
      <c r="W117" s="1462"/>
      <c r="X117" s="1462"/>
      <c r="Y117" s="1462"/>
      <c r="Z117" s="1462"/>
      <c r="AA117" s="1462"/>
      <c r="AB117" s="1462"/>
      <c r="AC117" s="1462"/>
      <c r="AD117" s="1462"/>
      <c r="AE117" s="1462"/>
      <c r="AF117" s="1462"/>
      <c r="AG117" s="1462"/>
      <c r="AH117" s="1462"/>
      <c r="AI117" s="1462"/>
      <c r="AJ117" s="1465">
        <f t="shared" si="8"/>
        <v>0</v>
      </c>
      <c r="AK117" s="1465">
        <f t="shared" si="5"/>
        <v>0</v>
      </c>
      <c r="AL117" s="1466"/>
      <c r="AM117" s="615"/>
    </row>
    <row r="118" spans="1:39" s="156" customFormat="1" ht="19.149999999999999" customHeight="1" outlineLevel="1">
      <c r="A118" s="1182">
        <v>107</v>
      </c>
      <c r="B118" s="1182">
        <v>8</v>
      </c>
      <c r="C118" s="1635" t="str">
        <f>VLOOKUP(D118,'DS CN MOI UP'!$B$10:$C$347,2,0)</f>
        <v>02452</v>
      </c>
      <c r="D118" s="1185" t="s">
        <v>22</v>
      </c>
      <c r="E118" s="1462"/>
      <c r="F118" s="1462"/>
      <c r="G118" s="1462"/>
      <c r="H118" s="1462"/>
      <c r="I118" s="1462"/>
      <c r="J118" s="1462"/>
      <c r="K118" s="1462"/>
      <c r="L118" s="1462"/>
      <c r="M118" s="1462"/>
      <c r="N118" s="1462"/>
      <c r="O118" s="1462"/>
      <c r="P118" s="1462"/>
      <c r="Q118" s="1462"/>
      <c r="R118" s="1462"/>
      <c r="S118" s="1462"/>
      <c r="T118" s="1462"/>
      <c r="U118" s="1462"/>
      <c r="V118" s="1462"/>
      <c r="W118" s="1462"/>
      <c r="X118" s="1462"/>
      <c r="Y118" s="1462"/>
      <c r="Z118" s="1462"/>
      <c r="AA118" s="1462"/>
      <c r="AB118" s="1462"/>
      <c r="AC118" s="1462"/>
      <c r="AD118" s="1462"/>
      <c r="AE118" s="1462"/>
      <c r="AF118" s="1462"/>
      <c r="AG118" s="1462"/>
      <c r="AH118" s="1462"/>
      <c r="AI118" s="1462"/>
      <c r="AJ118" s="1465">
        <f t="shared" si="8"/>
        <v>0</v>
      </c>
      <c r="AK118" s="1465">
        <f t="shared" si="5"/>
        <v>0</v>
      </c>
      <c r="AL118" s="1466"/>
      <c r="AM118" s="615"/>
    </row>
    <row r="119" spans="1:39" s="156" customFormat="1" ht="19.149999999999999" customHeight="1" outlineLevel="1">
      <c r="A119" s="1182">
        <v>108</v>
      </c>
      <c r="B119" s="1182">
        <v>9</v>
      </c>
      <c r="C119" s="1635" t="str">
        <f>VLOOKUP(D119,'DS CN MOI UP'!$B$10:$C$347,2,0)</f>
        <v>02508</v>
      </c>
      <c r="D119" s="1185" t="s">
        <v>23</v>
      </c>
      <c r="E119" s="1462"/>
      <c r="F119" s="1462"/>
      <c r="G119" s="1462"/>
      <c r="H119" s="1462"/>
      <c r="I119" s="1462"/>
      <c r="J119" s="1462"/>
      <c r="K119" s="1462"/>
      <c r="L119" s="1462"/>
      <c r="M119" s="1462"/>
      <c r="N119" s="1462"/>
      <c r="O119" s="1462"/>
      <c r="P119" s="1462"/>
      <c r="Q119" s="1462"/>
      <c r="R119" s="1462"/>
      <c r="S119" s="1462"/>
      <c r="T119" s="1462"/>
      <c r="U119" s="1462"/>
      <c r="V119" s="1462"/>
      <c r="W119" s="1462"/>
      <c r="X119" s="1462"/>
      <c r="Y119" s="1462"/>
      <c r="Z119" s="1462"/>
      <c r="AA119" s="1462"/>
      <c r="AB119" s="1462"/>
      <c r="AC119" s="1462"/>
      <c r="AD119" s="1462"/>
      <c r="AE119" s="1462"/>
      <c r="AF119" s="1462"/>
      <c r="AG119" s="1462"/>
      <c r="AH119" s="1462"/>
      <c r="AI119" s="1462"/>
      <c r="AJ119" s="1465">
        <f t="shared" si="8"/>
        <v>0</v>
      </c>
      <c r="AK119" s="1465">
        <f t="shared" si="5"/>
        <v>0</v>
      </c>
      <c r="AL119" s="1466"/>
      <c r="AM119" s="615"/>
    </row>
    <row r="120" spans="1:39" s="156" customFormat="1" ht="19.149999999999999" customHeight="1" outlineLevel="1">
      <c r="A120" s="1182">
        <v>109</v>
      </c>
      <c r="B120" s="1182">
        <v>10</v>
      </c>
      <c r="C120" s="1635" t="str">
        <f>VLOOKUP(D120,'DS CN MOI UP'!$B$10:$C$347,2,0)</f>
        <v>03323</v>
      </c>
      <c r="D120" s="1185" t="s">
        <v>24</v>
      </c>
      <c r="E120" s="1462"/>
      <c r="F120" s="1462"/>
      <c r="G120" s="1462"/>
      <c r="H120" s="1462"/>
      <c r="I120" s="1462"/>
      <c r="J120" s="1462"/>
      <c r="K120" s="1462"/>
      <c r="L120" s="1462"/>
      <c r="M120" s="1462"/>
      <c r="N120" s="1462"/>
      <c r="O120" s="1462"/>
      <c r="P120" s="1462"/>
      <c r="Q120" s="1462"/>
      <c r="R120" s="1462"/>
      <c r="S120" s="1462"/>
      <c r="T120" s="1462"/>
      <c r="U120" s="1462"/>
      <c r="V120" s="1462"/>
      <c r="W120" s="1462"/>
      <c r="X120" s="1462"/>
      <c r="Y120" s="1462"/>
      <c r="Z120" s="1462"/>
      <c r="AA120" s="1462"/>
      <c r="AB120" s="1462"/>
      <c r="AC120" s="1462"/>
      <c r="AD120" s="1462"/>
      <c r="AE120" s="1462"/>
      <c r="AF120" s="1462"/>
      <c r="AG120" s="1462"/>
      <c r="AH120" s="1462"/>
      <c r="AI120" s="1462"/>
      <c r="AJ120" s="1465">
        <f t="shared" si="8"/>
        <v>0</v>
      </c>
      <c r="AK120" s="1465">
        <f t="shared" si="5"/>
        <v>0</v>
      </c>
      <c r="AL120" s="1466"/>
      <c r="AM120" s="615"/>
    </row>
    <row r="121" spans="1:39" s="156" customFormat="1" ht="19.149999999999999" customHeight="1" outlineLevel="1">
      <c r="A121" s="1182">
        <v>110</v>
      </c>
      <c r="B121" s="1182">
        <v>11</v>
      </c>
      <c r="C121" s="1635" t="str">
        <f>VLOOKUP(D121,'DS CN MOI UP'!$B$10:$C$347,2,0)</f>
        <v>02466</v>
      </c>
      <c r="D121" s="1185" t="s">
        <v>25</v>
      </c>
      <c r="E121" s="1462"/>
      <c r="F121" s="1462"/>
      <c r="G121" s="1462"/>
      <c r="H121" s="1462"/>
      <c r="I121" s="1462"/>
      <c r="J121" s="1462"/>
      <c r="K121" s="1462"/>
      <c r="L121" s="1462"/>
      <c r="M121" s="1462"/>
      <c r="N121" s="1462"/>
      <c r="O121" s="1462"/>
      <c r="P121" s="1462"/>
      <c r="Q121" s="1462"/>
      <c r="R121" s="1462"/>
      <c r="S121" s="1462"/>
      <c r="T121" s="1462"/>
      <c r="U121" s="1462"/>
      <c r="V121" s="1462"/>
      <c r="W121" s="1462"/>
      <c r="X121" s="1462"/>
      <c r="Y121" s="1462"/>
      <c r="Z121" s="1462"/>
      <c r="AA121" s="1462"/>
      <c r="AB121" s="1462"/>
      <c r="AC121" s="1462"/>
      <c r="AD121" s="1462"/>
      <c r="AE121" s="1462"/>
      <c r="AF121" s="1462"/>
      <c r="AG121" s="1462"/>
      <c r="AH121" s="1462"/>
      <c r="AI121" s="1462"/>
      <c r="AJ121" s="1465">
        <f t="shared" si="8"/>
        <v>0</v>
      </c>
      <c r="AK121" s="1465">
        <f t="shared" si="5"/>
        <v>0</v>
      </c>
      <c r="AL121" s="1466"/>
      <c r="AM121" s="615"/>
    </row>
    <row r="122" spans="1:39" s="156" customFormat="1" ht="19.149999999999999" customHeight="1" outlineLevel="1">
      <c r="A122" s="1182">
        <v>111</v>
      </c>
      <c r="B122" s="1182">
        <v>12</v>
      </c>
      <c r="C122" s="1635" t="str">
        <f>VLOOKUP(D122,'DS CN MOI UP'!$B$10:$C$347,2,0)</f>
        <v>02493</v>
      </c>
      <c r="D122" s="1185" t="s">
        <v>26</v>
      </c>
      <c r="E122" s="1462"/>
      <c r="F122" s="1462"/>
      <c r="G122" s="1462"/>
      <c r="H122" s="1462"/>
      <c r="I122" s="1462"/>
      <c r="J122" s="1462"/>
      <c r="K122" s="1462"/>
      <c r="L122" s="1462"/>
      <c r="M122" s="1462"/>
      <c r="N122" s="1462"/>
      <c r="O122" s="1462"/>
      <c r="P122" s="1462"/>
      <c r="Q122" s="1462"/>
      <c r="R122" s="1462"/>
      <c r="S122" s="1462"/>
      <c r="T122" s="1462"/>
      <c r="U122" s="1462"/>
      <c r="V122" s="1462"/>
      <c r="W122" s="1462"/>
      <c r="X122" s="1462"/>
      <c r="Y122" s="1462"/>
      <c r="Z122" s="1462"/>
      <c r="AA122" s="1462"/>
      <c r="AB122" s="1462"/>
      <c r="AC122" s="1462"/>
      <c r="AD122" s="1462"/>
      <c r="AE122" s="1462"/>
      <c r="AF122" s="1462"/>
      <c r="AG122" s="1462"/>
      <c r="AH122" s="1462"/>
      <c r="AI122" s="1462"/>
      <c r="AJ122" s="1465">
        <f t="shared" si="8"/>
        <v>0</v>
      </c>
      <c r="AK122" s="1465">
        <f t="shared" si="5"/>
        <v>0</v>
      </c>
      <c r="AL122" s="1466"/>
      <c r="AM122" s="615"/>
    </row>
    <row r="123" spans="1:39" s="156" customFormat="1" ht="19.149999999999999" customHeight="1" outlineLevel="1">
      <c r="A123" s="1182">
        <v>112</v>
      </c>
      <c r="B123" s="1182">
        <v>13</v>
      </c>
      <c r="C123" s="1635" t="str">
        <f>VLOOKUP(D123,'DS CN MOI UP'!$B$10:$C$347,2,0)</f>
        <v>03324</v>
      </c>
      <c r="D123" s="1185" t="s">
        <v>27</v>
      </c>
      <c r="E123" s="1462"/>
      <c r="F123" s="1462"/>
      <c r="G123" s="1462"/>
      <c r="H123" s="1462"/>
      <c r="I123" s="1462"/>
      <c r="J123" s="1462"/>
      <c r="K123" s="1462"/>
      <c r="L123" s="1462"/>
      <c r="M123" s="1462"/>
      <c r="N123" s="1462"/>
      <c r="O123" s="1462"/>
      <c r="P123" s="1462"/>
      <c r="Q123" s="1462"/>
      <c r="R123" s="1462"/>
      <c r="S123" s="1462"/>
      <c r="T123" s="1462"/>
      <c r="U123" s="1462"/>
      <c r="V123" s="1462"/>
      <c r="W123" s="1462"/>
      <c r="X123" s="1462"/>
      <c r="Y123" s="1462"/>
      <c r="Z123" s="1462"/>
      <c r="AA123" s="1462"/>
      <c r="AB123" s="1462"/>
      <c r="AC123" s="1462"/>
      <c r="AD123" s="1462"/>
      <c r="AE123" s="1462"/>
      <c r="AF123" s="1462"/>
      <c r="AG123" s="1462"/>
      <c r="AH123" s="1462"/>
      <c r="AI123" s="1462"/>
      <c r="AJ123" s="1465">
        <f t="shared" si="8"/>
        <v>0</v>
      </c>
      <c r="AK123" s="1465">
        <f t="shared" si="5"/>
        <v>0</v>
      </c>
      <c r="AL123" s="1466"/>
      <c r="AM123" s="615"/>
    </row>
    <row r="124" spans="1:39" s="156" customFormat="1" ht="19.149999999999999" customHeight="1" outlineLevel="1">
      <c r="A124" s="1182">
        <v>113</v>
      </c>
      <c r="B124" s="1182">
        <v>14</v>
      </c>
      <c r="C124" s="1635" t="str">
        <f>VLOOKUP(D124,'DS CN MOI UP'!$B$10:$C$347,2,0)</f>
        <v>03325</v>
      </c>
      <c r="D124" s="1185" t="s">
        <v>28</v>
      </c>
      <c r="E124" s="1462"/>
      <c r="F124" s="1462"/>
      <c r="G124" s="1462"/>
      <c r="H124" s="1462"/>
      <c r="I124" s="1462"/>
      <c r="J124" s="1462"/>
      <c r="K124" s="1462"/>
      <c r="L124" s="1462"/>
      <c r="M124" s="1462"/>
      <c r="N124" s="1462"/>
      <c r="O124" s="1462"/>
      <c r="P124" s="1462"/>
      <c r="Q124" s="1462"/>
      <c r="R124" s="1462"/>
      <c r="S124" s="1462"/>
      <c r="T124" s="1462"/>
      <c r="U124" s="1462"/>
      <c r="V124" s="1462"/>
      <c r="W124" s="1462"/>
      <c r="X124" s="1462"/>
      <c r="Y124" s="1462"/>
      <c r="Z124" s="1462"/>
      <c r="AA124" s="1462"/>
      <c r="AB124" s="1462"/>
      <c r="AC124" s="1462"/>
      <c r="AD124" s="1462"/>
      <c r="AE124" s="1462"/>
      <c r="AF124" s="1462"/>
      <c r="AG124" s="1462"/>
      <c r="AH124" s="1462"/>
      <c r="AI124" s="1462"/>
      <c r="AJ124" s="1465">
        <f t="shared" si="8"/>
        <v>0</v>
      </c>
      <c r="AK124" s="1465">
        <f t="shared" si="5"/>
        <v>0</v>
      </c>
      <c r="AL124" s="1466"/>
      <c r="AM124" s="615"/>
    </row>
    <row r="125" spans="1:39" s="156" customFormat="1" ht="19.149999999999999" customHeight="1" outlineLevel="1">
      <c r="A125" s="1182">
        <v>114</v>
      </c>
      <c r="B125" s="1182">
        <v>15</v>
      </c>
      <c r="C125" s="1635" t="str">
        <f>VLOOKUP(D125,'DS CN MOI UP'!$B$10:$C$347,2,0)</f>
        <v>03326</v>
      </c>
      <c r="D125" s="1185" t="s">
        <v>29</v>
      </c>
      <c r="E125" s="1462"/>
      <c r="F125" s="1462"/>
      <c r="G125" s="1462"/>
      <c r="H125" s="1462"/>
      <c r="I125" s="1462"/>
      <c r="J125" s="1462"/>
      <c r="K125" s="1462"/>
      <c r="L125" s="1462"/>
      <c r="M125" s="1462"/>
      <c r="N125" s="1462"/>
      <c r="O125" s="1462"/>
      <c r="P125" s="1462"/>
      <c r="Q125" s="1462"/>
      <c r="R125" s="1462"/>
      <c r="S125" s="1462"/>
      <c r="T125" s="1462"/>
      <c r="U125" s="1462"/>
      <c r="V125" s="1462"/>
      <c r="W125" s="1462"/>
      <c r="X125" s="1462"/>
      <c r="Y125" s="1462"/>
      <c r="Z125" s="1462"/>
      <c r="AA125" s="1462"/>
      <c r="AB125" s="1462"/>
      <c r="AC125" s="1462"/>
      <c r="AD125" s="1462"/>
      <c r="AE125" s="1462"/>
      <c r="AF125" s="1462"/>
      <c r="AG125" s="1462"/>
      <c r="AH125" s="1462"/>
      <c r="AI125" s="1462"/>
      <c r="AJ125" s="1465">
        <f t="shared" si="8"/>
        <v>0</v>
      </c>
      <c r="AK125" s="1465">
        <f t="shared" si="5"/>
        <v>0</v>
      </c>
      <c r="AL125" s="1466"/>
      <c r="AM125" s="615"/>
    </row>
    <row r="126" spans="1:39" s="156" customFormat="1" ht="19.149999999999999" customHeight="1" outlineLevel="1">
      <c r="A126" s="1182">
        <v>115</v>
      </c>
      <c r="B126" s="1182">
        <v>16</v>
      </c>
      <c r="C126" s="1635" t="str">
        <f>VLOOKUP(D126,'DS CN MOI UP'!$B$10:$C$347,2,0)</f>
        <v>02492</v>
      </c>
      <c r="D126" s="1185" t="s">
        <v>30</v>
      </c>
      <c r="E126" s="1462"/>
      <c r="F126" s="1462"/>
      <c r="G126" s="1462"/>
      <c r="H126" s="1462"/>
      <c r="I126" s="1462"/>
      <c r="J126" s="1462"/>
      <c r="K126" s="1462"/>
      <c r="L126" s="1462"/>
      <c r="M126" s="1462"/>
      <c r="N126" s="1462"/>
      <c r="O126" s="1462"/>
      <c r="P126" s="1462"/>
      <c r="Q126" s="1462"/>
      <c r="R126" s="1462"/>
      <c r="S126" s="1462"/>
      <c r="T126" s="1462"/>
      <c r="U126" s="1462"/>
      <c r="V126" s="1462"/>
      <c r="W126" s="1462"/>
      <c r="X126" s="1462"/>
      <c r="Y126" s="1462"/>
      <c r="Z126" s="1462"/>
      <c r="AA126" s="1462"/>
      <c r="AB126" s="1462"/>
      <c r="AC126" s="1462"/>
      <c r="AD126" s="1462"/>
      <c r="AE126" s="1462"/>
      <c r="AF126" s="1462"/>
      <c r="AG126" s="1462"/>
      <c r="AH126" s="1462"/>
      <c r="AI126" s="1462"/>
      <c r="AJ126" s="1465">
        <f t="shared" si="8"/>
        <v>0</v>
      </c>
      <c r="AK126" s="1465">
        <f t="shared" si="5"/>
        <v>0</v>
      </c>
      <c r="AL126" s="1466"/>
      <c r="AM126" s="615"/>
    </row>
    <row r="127" spans="1:39" s="156" customFormat="1" ht="19.149999999999999" customHeight="1" outlineLevel="1">
      <c r="A127" s="1182">
        <v>116</v>
      </c>
      <c r="B127" s="1182">
        <v>17</v>
      </c>
      <c r="C127" s="1635" t="str">
        <f>VLOOKUP(D127,'DS CN MOI UP'!$B$10:$C$347,2,0)</f>
        <v>02485</v>
      </c>
      <c r="D127" s="1185" t="s">
        <v>31</v>
      </c>
      <c r="E127" s="1462"/>
      <c r="F127" s="1462"/>
      <c r="G127" s="1462"/>
      <c r="H127" s="1462"/>
      <c r="I127" s="1462"/>
      <c r="J127" s="1462"/>
      <c r="K127" s="1462"/>
      <c r="L127" s="1462"/>
      <c r="M127" s="1462"/>
      <c r="N127" s="1462"/>
      <c r="O127" s="1462"/>
      <c r="P127" s="1462"/>
      <c r="Q127" s="1462"/>
      <c r="R127" s="1462"/>
      <c r="S127" s="1462"/>
      <c r="T127" s="1462"/>
      <c r="U127" s="1462"/>
      <c r="V127" s="1462"/>
      <c r="W127" s="1462"/>
      <c r="X127" s="1462"/>
      <c r="Y127" s="1462"/>
      <c r="Z127" s="1462"/>
      <c r="AA127" s="1462"/>
      <c r="AB127" s="1462"/>
      <c r="AC127" s="1462"/>
      <c r="AD127" s="1462"/>
      <c r="AE127" s="1462"/>
      <c r="AF127" s="1462"/>
      <c r="AG127" s="1462"/>
      <c r="AH127" s="1462"/>
      <c r="AI127" s="1462"/>
      <c r="AJ127" s="1465">
        <f t="shared" si="8"/>
        <v>0</v>
      </c>
      <c r="AK127" s="1465">
        <f t="shared" si="5"/>
        <v>0</v>
      </c>
      <c r="AL127" s="1466"/>
      <c r="AM127" s="615"/>
    </row>
    <row r="128" spans="1:39" s="156" customFormat="1" ht="19.149999999999999" customHeight="1" outlineLevel="1">
      <c r="A128" s="1182">
        <v>117</v>
      </c>
      <c r="B128" s="1182">
        <v>18</v>
      </c>
      <c r="C128" s="1635" t="str">
        <f>VLOOKUP(D128,'DS CN MOI UP'!$B$10:$C$347,2,0)</f>
        <v>02487</v>
      </c>
      <c r="D128" s="1185" t="s">
        <v>32</v>
      </c>
      <c r="E128" s="1462"/>
      <c r="F128" s="1462"/>
      <c r="G128" s="1462"/>
      <c r="H128" s="1462"/>
      <c r="I128" s="1462"/>
      <c r="J128" s="1462"/>
      <c r="K128" s="1462"/>
      <c r="L128" s="1462"/>
      <c r="M128" s="1462"/>
      <c r="N128" s="1462"/>
      <c r="O128" s="1462"/>
      <c r="P128" s="1462"/>
      <c r="Q128" s="1462"/>
      <c r="R128" s="1462"/>
      <c r="S128" s="1462"/>
      <c r="T128" s="1462"/>
      <c r="U128" s="1462"/>
      <c r="V128" s="1462"/>
      <c r="W128" s="1462"/>
      <c r="X128" s="1462"/>
      <c r="Y128" s="1462"/>
      <c r="Z128" s="1462"/>
      <c r="AA128" s="1462"/>
      <c r="AB128" s="1462"/>
      <c r="AC128" s="1462"/>
      <c r="AD128" s="1462"/>
      <c r="AE128" s="1462"/>
      <c r="AF128" s="1462"/>
      <c r="AG128" s="1462"/>
      <c r="AH128" s="1462"/>
      <c r="AI128" s="1462"/>
      <c r="AJ128" s="1465">
        <f t="shared" si="8"/>
        <v>0</v>
      </c>
      <c r="AK128" s="1465">
        <f t="shared" si="5"/>
        <v>0</v>
      </c>
      <c r="AL128" s="1466"/>
      <c r="AM128" s="615"/>
    </row>
    <row r="129" spans="1:39" s="156" customFormat="1" ht="19.149999999999999" customHeight="1" outlineLevel="1">
      <c r="A129" s="1182">
        <v>118</v>
      </c>
      <c r="B129" s="1182">
        <v>19</v>
      </c>
      <c r="C129" s="1635" t="str">
        <f>VLOOKUP(D129,'DS CN MOI UP'!$B$10:$C$347,2,0)</f>
        <v>03327</v>
      </c>
      <c r="D129" s="1185" t="s">
        <v>33</v>
      </c>
      <c r="E129" s="1462"/>
      <c r="F129" s="1462"/>
      <c r="G129" s="1462"/>
      <c r="H129" s="1462"/>
      <c r="I129" s="1462"/>
      <c r="J129" s="1462"/>
      <c r="K129" s="1462"/>
      <c r="L129" s="1462"/>
      <c r="M129" s="1462"/>
      <c r="N129" s="1462"/>
      <c r="O129" s="1462"/>
      <c r="P129" s="1462"/>
      <c r="Q129" s="1462"/>
      <c r="R129" s="1462"/>
      <c r="S129" s="1462"/>
      <c r="T129" s="1462"/>
      <c r="U129" s="1462"/>
      <c r="V129" s="1462"/>
      <c r="W129" s="1462"/>
      <c r="X129" s="1462"/>
      <c r="Y129" s="1462"/>
      <c r="Z129" s="1462"/>
      <c r="AA129" s="1462"/>
      <c r="AB129" s="1462"/>
      <c r="AC129" s="1462"/>
      <c r="AD129" s="1462"/>
      <c r="AE129" s="1462"/>
      <c r="AF129" s="1462"/>
      <c r="AG129" s="1462"/>
      <c r="AH129" s="1462"/>
      <c r="AI129" s="1462"/>
      <c r="AJ129" s="1465">
        <f t="shared" si="8"/>
        <v>0</v>
      </c>
      <c r="AK129" s="1465">
        <f t="shared" si="5"/>
        <v>0</v>
      </c>
      <c r="AL129" s="1466"/>
      <c r="AM129" s="615"/>
    </row>
    <row r="130" spans="1:39" s="156" customFormat="1" ht="19.149999999999999" customHeight="1" outlineLevel="1">
      <c r="A130" s="1182">
        <v>119</v>
      </c>
      <c r="B130" s="1182">
        <v>20</v>
      </c>
      <c r="C130" s="1635" t="str">
        <f>VLOOKUP(D130,'DS CN MOI UP'!$B$10:$C$347,2,0)</f>
        <v>02684</v>
      </c>
      <c r="D130" s="1185" t="s">
        <v>34</v>
      </c>
      <c r="E130" s="1462"/>
      <c r="F130" s="1462"/>
      <c r="G130" s="1462"/>
      <c r="H130" s="1462"/>
      <c r="I130" s="1462"/>
      <c r="J130" s="1462"/>
      <c r="K130" s="1462"/>
      <c r="L130" s="1462"/>
      <c r="M130" s="1462"/>
      <c r="N130" s="1462"/>
      <c r="O130" s="1462"/>
      <c r="P130" s="1462"/>
      <c r="Q130" s="1462"/>
      <c r="R130" s="1462"/>
      <c r="S130" s="1462"/>
      <c r="T130" s="1462"/>
      <c r="U130" s="1462"/>
      <c r="V130" s="1462"/>
      <c r="W130" s="1462"/>
      <c r="X130" s="1462"/>
      <c r="Y130" s="1462"/>
      <c r="Z130" s="1462"/>
      <c r="AA130" s="1462"/>
      <c r="AB130" s="1462"/>
      <c r="AC130" s="1462"/>
      <c r="AD130" s="1462"/>
      <c r="AE130" s="1462"/>
      <c r="AF130" s="1462"/>
      <c r="AG130" s="1462"/>
      <c r="AH130" s="1462"/>
      <c r="AI130" s="1462"/>
      <c r="AJ130" s="1465">
        <f t="shared" si="8"/>
        <v>0</v>
      </c>
      <c r="AK130" s="1465">
        <f t="shared" si="5"/>
        <v>0</v>
      </c>
      <c r="AL130" s="1466"/>
      <c r="AM130" s="615"/>
    </row>
    <row r="131" spans="1:39" s="156" customFormat="1" ht="19.149999999999999" customHeight="1" outlineLevel="1">
      <c r="A131" s="1182">
        <v>120</v>
      </c>
      <c r="B131" s="1182">
        <v>21</v>
      </c>
      <c r="C131" s="1635" t="str">
        <f>VLOOKUP(D131,'DS CN MOI UP'!$B$10:$C$347,2,0)</f>
        <v>02488</v>
      </c>
      <c r="D131" s="1185" t="s">
        <v>35</v>
      </c>
      <c r="E131" s="1462"/>
      <c r="F131" s="1462"/>
      <c r="G131" s="1462"/>
      <c r="H131" s="1462"/>
      <c r="I131" s="1462"/>
      <c r="J131" s="1462"/>
      <c r="K131" s="1462"/>
      <c r="L131" s="1462"/>
      <c r="M131" s="1462"/>
      <c r="N131" s="1462"/>
      <c r="O131" s="1462"/>
      <c r="P131" s="1462"/>
      <c r="Q131" s="1462"/>
      <c r="R131" s="1462"/>
      <c r="S131" s="1462"/>
      <c r="T131" s="1462"/>
      <c r="U131" s="1462"/>
      <c r="V131" s="1462"/>
      <c r="W131" s="1462"/>
      <c r="X131" s="1462"/>
      <c r="Y131" s="1462"/>
      <c r="Z131" s="1462"/>
      <c r="AA131" s="1462"/>
      <c r="AB131" s="1462"/>
      <c r="AC131" s="1462"/>
      <c r="AD131" s="1462"/>
      <c r="AE131" s="1462"/>
      <c r="AF131" s="1462"/>
      <c r="AG131" s="1462"/>
      <c r="AH131" s="1462"/>
      <c r="AI131" s="1462"/>
      <c r="AJ131" s="1465">
        <f t="shared" si="8"/>
        <v>0</v>
      </c>
      <c r="AK131" s="1465">
        <f t="shared" si="5"/>
        <v>0</v>
      </c>
      <c r="AL131" s="1466"/>
      <c r="AM131" s="615"/>
    </row>
    <row r="132" spans="1:39" s="156" customFormat="1" ht="19.149999999999999" customHeight="1" outlineLevel="1">
      <c r="A132" s="1182">
        <v>121</v>
      </c>
      <c r="B132" s="1182">
        <v>22</v>
      </c>
      <c r="C132" s="1635" t="str">
        <f>VLOOKUP(D132,'DS CN MOI UP'!$B$10:$C$347,2,0)</f>
        <v>02679</v>
      </c>
      <c r="D132" s="1185" t="s">
        <v>36</v>
      </c>
      <c r="E132" s="1462"/>
      <c r="F132" s="1462"/>
      <c r="G132" s="1462"/>
      <c r="H132" s="1462"/>
      <c r="I132" s="1462"/>
      <c r="J132" s="1462"/>
      <c r="K132" s="1462"/>
      <c r="L132" s="1462"/>
      <c r="M132" s="1462"/>
      <c r="N132" s="1462"/>
      <c r="O132" s="1462"/>
      <c r="P132" s="1462"/>
      <c r="Q132" s="1462"/>
      <c r="R132" s="1462"/>
      <c r="S132" s="1462"/>
      <c r="T132" s="1462"/>
      <c r="U132" s="1462"/>
      <c r="V132" s="1462"/>
      <c r="W132" s="1462"/>
      <c r="X132" s="1462"/>
      <c r="Y132" s="1462"/>
      <c r="Z132" s="1462"/>
      <c r="AA132" s="1462"/>
      <c r="AB132" s="1462"/>
      <c r="AC132" s="1462"/>
      <c r="AD132" s="1462"/>
      <c r="AE132" s="1462"/>
      <c r="AF132" s="1462"/>
      <c r="AG132" s="1462"/>
      <c r="AH132" s="1462"/>
      <c r="AI132" s="1462"/>
      <c r="AJ132" s="1465">
        <f t="shared" si="8"/>
        <v>0</v>
      </c>
      <c r="AK132" s="1465">
        <f t="shared" si="5"/>
        <v>0</v>
      </c>
      <c r="AL132" s="1466"/>
      <c r="AM132" s="615"/>
    </row>
    <row r="133" spans="1:39" s="156" customFormat="1" ht="19.149999999999999" customHeight="1" outlineLevel="1">
      <c r="A133" s="1182">
        <v>122</v>
      </c>
      <c r="B133" s="1182">
        <v>23</v>
      </c>
      <c r="C133" s="1635" t="str">
        <f>VLOOKUP(D133,'DS CN MOI UP'!$B$10:$C$347,2,0)</f>
        <v>03328</v>
      </c>
      <c r="D133" s="1185" t="s">
        <v>37</v>
      </c>
      <c r="E133" s="1462"/>
      <c r="F133" s="1462"/>
      <c r="G133" s="1462"/>
      <c r="H133" s="1462"/>
      <c r="I133" s="1462"/>
      <c r="J133" s="1462"/>
      <c r="K133" s="1462"/>
      <c r="L133" s="1462"/>
      <c r="M133" s="1462"/>
      <c r="N133" s="1462"/>
      <c r="O133" s="1462"/>
      <c r="P133" s="1462"/>
      <c r="Q133" s="1462"/>
      <c r="R133" s="1462"/>
      <c r="S133" s="1462"/>
      <c r="T133" s="1462"/>
      <c r="U133" s="1462"/>
      <c r="V133" s="1462"/>
      <c r="W133" s="1462"/>
      <c r="X133" s="1462"/>
      <c r="Y133" s="1462"/>
      <c r="Z133" s="1462"/>
      <c r="AA133" s="1462"/>
      <c r="AB133" s="1462"/>
      <c r="AC133" s="1462"/>
      <c r="AD133" s="1462"/>
      <c r="AE133" s="1462"/>
      <c r="AF133" s="1462"/>
      <c r="AG133" s="1462"/>
      <c r="AH133" s="1462"/>
      <c r="AI133" s="1462"/>
      <c r="AJ133" s="1465">
        <f t="shared" si="8"/>
        <v>0</v>
      </c>
      <c r="AK133" s="1465">
        <f t="shared" si="5"/>
        <v>0</v>
      </c>
      <c r="AL133" s="1466"/>
      <c r="AM133" s="615"/>
    </row>
    <row r="134" spans="1:39" s="156" customFormat="1" ht="19.149999999999999" customHeight="1" outlineLevel="1">
      <c r="A134" s="1182">
        <v>123</v>
      </c>
      <c r="B134" s="1182">
        <v>24</v>
      </c>
      <c r="C134" s="1635" t="str">
        <f>VLOOKUP(D134,'DS CN MOI UP'!$B$10:$C$347,2,0)</f>
        <v>02469</v>
      </c>
      <c r="D134" s="1185" t="s">
        <v>38</v>
      </c>
      <c r="E134" s="1462"/>
      <c r="F134" s="1462"/>
      <c r="G134" s="1462"/>
      <c r="H134" s="1462"/>
      <c r="I134" s="1462"/>
      <c r="J134" s="1462"/>
      <c r="K134" s="1462"/>
      <c r="L134" s="1462"/>
      <c r="M134" s="1462"/>
      <c r="N134" s="1462"/>
      <c r="O134" s="1462"/>
      <c r="P134" s="1462"/>
      <c r="Q134" s="1462"/>
      <c r="R134" s="1462"/>
      <c r="S134" s="1462"/>
      <c r="T134" s="1462"/>
      <c r="U134" s="1462"/>
      <c r="V134" s="1462"/>
      <c r="W134" s="1462"/>
      <c r="X134" s="1462"/>
      <c r="Y134" s="1462"/>
      <c r="Z134" s="1462"/>
      <c r="AA134" s="1462"/>
      <c r="AB134" s="1462"/>
      <c r="AC134" s="1462"/>
      <c r="AD134" s="1462"/>
      <c r="AE134" s="1462"/>
      <c r="AF134" s="1462"/>
      <c r="AG134" s="1462"/>
      <c r="AH134" s="1462"/>
      <c r="AI134" s="1462"/>
      <c r="AJ134" s="1465">
        <f t="shared" si="8"/>
        <v>0</v>
      </c>
      <c r="AK134" s="1465">
        <f t="shared" si="5"/>
        <v>0</v>
      </c>
      <c r="AL134" s="1466"/>
      <c r="AM134" s="615"/>
    </row>
    <row r="135" spans="1:39" s="156" customFormat="1" ht="19.149999999999999" customHeight="1" outlineLevel="1">
      <c r="A135" s="1182">
        <v>124</v>
      </c>
      <c r="B135" s="1182">
        <v>25</v>
      </c>
      <c r="C135" s="1635" t="str">
        <f>VLOOKUP(D135,'DS CN MOI UP'!$B$10:$C$347,2,0)</f>
        <v>02475</v>
      </c>
      <c r="D135" s="1185" t="s">
        <v>39</v>
      </c>
      <c r="E135" s="1462"/>
      <c r="F135" s="1462"/>
      <c r="G135" s="1462"/>
      <c r="H135" s="1462"/>
      <c r="I135" s="1462"/>
      <c r="J135" s="1462"/>
      <c r="K135" s="1462"/>
      <c r="L135" s="1462"/>
      <c r="M135" s="1462"/>
      <c r="N135" s="1462"/>
      <c r="O135" s="1462"/>
      <c r="P135" s="1462"/>
      <c r="Q135" s="1462"/>
      <c r="R135" s="1462"/>
      <c r="S135" s="1462"/>
      <c r="T135" s="1462"/>
      <c r="U135" s="1462"/>
      <c r="V135" s="1462"/>
      <c r="W135" s="1462"/>
      <c r="X135" s="1462"/>
      <c r="Y135" s="1462"/>
      <c r="Z135" s="1462"/>
      <c r="AA135" s="1462"/>
      <c r="AB135" s="1462"/>
      <c r="AC135" s="1462"/>
      <c r="AD135" s="1462"/>
      <c r="AE135" s="1462"/>
      <c r="AF135" s="1462"/>
      <c r="AG135" s="1462"/>
      <c r="AH135" s="1462"/>
      <c r="AI135" s="1462"/>
      <c r="AJ135" s="1465">
        <f t="shared" si="8"/>
        <v>0</v>
      </c>
      <c r="AK135" s="1465">
        <f t="shared" si="5"/>
        <v>0</v>
      </c>
      <c r="AL135" s="1466"/>
      <c r="AM135" s="615"/>
    </row>
    <row r="136" spans="1:39" s="156" customFormat="1" ht="19.149999999999999" customHeight="1" outlineLevel="1">
      <c r="A136" s="1182">
        <v>125</v>
      </c>
      <c r="B136" s="1182">
        <v>26</v>
      </c>
      <c r="C136" s="1635" t="str">
        <f>VLOOKUP(D136,'DS CN MOI UP'!$B$10:$C$347,2,0)</f>
        <v>02473</v>
      </c>
      <c r="D136" s="1185" t="s">
        <v>40</v>
      </c>
      <c r="E136" s="1462"/>
      <c r="F136" s="1462"/>
      <c r="G136" s="1462"/>
      <c r="H136" s="1462"/>
      <c r="I136" s="1462"/>
      <c r="J136" s="1462"/>
      <c r="K136" s="1462"/>
      <c r="L136" s="1462"/>
      <c r="M136" s="1462"/>
      <c r="N136" s="1462"/>
      <c r="O136" s="1462"/>
      <c r="P136" s="1462"/>
      <c r="Q136" s="1462"/>
      <c r="R136" s="1462"/>
      <c r="S136" s="1462"/>
      <c r="T136" s="1462"/>
      <c r="U136" s="1462"/>
      <c r="V136" s="1462"/>
      <c r="W136" s="1462"/>
      <c r="X136" s="1462"/>
      <c r="Y136" s="1462"/>
      <c r="Z136" s="1462"/>
      <c r="AA136" s="1462"/>
      <c r="AB136" s="1462"/>
      <c r="AC136" s="1462"/>
      <c r="AD136" s="1462"/>
      <c r="AE136" s="1462"/>
      <c r="AF136" s="1462"/>
      <c r="AG136" s="1462"/>
      <c r="AH136" s="1462"/>
      <c r="AI136" s="1462"/>
      <c r="AJ136" s="1465">
        <f t="shared" si="8"/>
        <v>0</v>
      </c>
      <c r="AK136" s="1465">
        <f t="shared" si="5"/>
        <v>0</v>
      </c>
      <c r="AL136" s="1466"/>
      <c r="AM136" s="615"/>
    </row>
    <row r="137" spans="1:39" s="156" customFormat="1" ht="19.149999999999999" customHeight="1" outlineLevel="1">
      <c r="A137" s="1182">
        <v>126</v>
      </c>
      <c r="B137" s="1182">
        <v>27</v>
      </c>
      <c r="C137" s="1635" t="str">
        <f>VLOOKUP(D137,'DS CN MOI UP'!$B$10:$C$347,2,0)</f>
        <v>02510</v>
      </c>
      <c r="D137" s="1185" t="s">
        <v>41</v>
      </c>
      <c r="E137" s="1462"/>
      <c r="F137" s="1462"/>
      <c r="G137" s="1462"/>
      <c r="H137" s="1462"/>
      <c r="I137" s="1462"/>
      <c r="J137" s="1462"/>
      <c r="K137" s="1462"/>
      <c r="L137" s="1462"/>
      <c r="M137" s="1462"/>
      <c r="N137" s="1462"/>
      <c r="O137" s="1462"/>
      <c r="P137" s="1462"/>
      <c r="Q137" s="1462"/>
      <c r="R137" s="1462"/>
      <c r="S137" s="1462"/>
      <c r="T137" s="1462"/>
      <c r="U137" s="1462"/>
      <c r="V137" s="1462"/>
      <c r="W137" s="1462"/>
      <c r="X137" s="1462"/>
      <c r="Y137" s="1462"/>
      <c r="Z137" s="1462"/>
      <c r="AA137" s="1462"/>
      <c r="AB137" s="1462"/>
      <c r="AC137" s="1462"/>
      <c r="AD137" s="1462"/>
      <c r="AE137" s="1462"/>
      <c r="AF137" s="1462"/>
      <c r="AG137" s="1462"/>
      <c r="AH137" s="1462"/>
      <c r="AI137" s="1462"/>
      <c r="AJ137" s="1465">
        <f t="shared" si="8"/>
        <v>0</v>
      </c>
      <c r="AK137" s="1465">
        <f t="shared" si="5"/>
        <v>0</v>
      </c>
      <c r="AL137" s="1466"/>
      <c r="AM137" s="615"/>
    </row>
    <row r="138" spans="1:39" s="156" customFormat="1" ht="19.149999999999999" customHeight="1" outlineLevel="1">
      <c r="A138" s="1182">
        <v>127</v>
      </c>
      <c r="B138" s="1182">
        <v>28</v>
      </c>
      <c r="C138" s="1635" t="str">
        <f>VLOOKUP(D138,'DS CN MOI UP'!$B$10:$C$347,2,0)</f>
        <v>02513</v>
      </c>
      <c r="D138" s="1185" t="s">
        <v>42</v>
      </c>
      <c r="E138" s="1462"/>
      <c r="F138" s="1462"/>
      <c r="G138" s="1462"/>
      <c r="H138" s="1462"/>
      <c r="I138" s="1462"/>
      <c r="J138" s="1462"/>
      <c r="K138" s="1462"/>
      <c r="L138" s="1462"/>
      <c r="M138" s="1462"/>
      <c r="N138" s="1462"/>
      <c r="O138" s="1462"/>
      <c r="P138" s="1462"/>
      <c r="Q138" s="1462"/>
      <c r="R138" s="1462"/>
      <c r="S138" s="1462"/>
      <c r="T138" s="1462"/>
      <c r="U138" s="1462"/>
      <c r="V138" s="1462"/>
      <c r="W138" s="1462"/>
      <c r="X138" s="1462"/>
      <c r="Y138" s="1462"/>
      <c r="Z138" s="1462"/>
      <c r="AA138" s="1462"/>
      <c r="AB138" s="1462"/>
      <c r="AC138" s="1462"/>
      <c r="AD138" s="1462"/>
      <c r="AE138" s="1462"/>
      <c r="AF138" s="1462"/>
      <c r="AG138" s="1462"/>
      <c r="AH138" s="1462"/>
      <c r="AI138" s="1462"/>
      <c r="AJ138" s="1465">
        <f t="shared" si="8"/>
        <v>0</v>
      </c>
      <c r="AK138" s="1465">
        <f t="shared" si="5"/>
        <v>0</v>
      </c>
      <c r="AL138" s="1466"/>
      <c r="AM138" s="615"/>
    </row>
    <row r="139" spans="1:39" s="156" customFormat="1" ht="19.149999999999999" customHeight="1" outlineLevel="1">
      <c r="A139" s="1182">
        <v>128</v>
      </c>
      <c r="B139" s="1182">
        <v>29</v>
      </c>
      <c r="C139" s="1635" t="str">
        <f>VLOOKUP(D139,'DS CN MOI UP'!$B$10:$C$347,2,0)</f>
        <v>02510</v>
      </c>
      <c r="D139" s="1185" t="s">
        <v>43</v>
      </c>
      <c r="E139" s="1462"/>
      <c r="F139" s="1462"/>
      <c r="G139" s="1462"/>
      <c r="H139" s="1462"/>
      <c r="I139" s="1462"/>
      <c r="J139" s="1462"/>
      <c r="K139" s="1462"/>
      <c r="L139" s="1462"/>
      <c r="M139" s="1462"/>
      <c r="N139" s="1462"/>
      <c r="O139" s="1462"/>
      <c r="P139" s="1462"/>
      <c r="Q139" s="1462"/>
      <c r="R139" s="1462"/>
      <c r="S139" s="1462"/>
      <c r="T139" s="1462"/>
      <c r="U139" s="1462"/>
      <c r="V139" s="1462"/>
      <c r="W139" s="1462"/>
      <c r="X139" s="1462"/>
      <c r="Y139" s="1462"/>
      <c r="Z139" s="1462"/>
      <c r="AA139" s="1462"/>
      <c r="AB139" s="1462"/>
      <c r="AC139" s="1462"/>
      <c r="AD139" s="1462"/>
      <c r="AE139" s="1462"/>
      <c r="AF139" s="1462"/>
      <c r="AG139" s="1462"/>
      <c r="AH139" s="1462"/>
      <c r="AI139" s="1462"/>
      <c r="AJ139" s="1465">
        <f t="shared" si="8"/>
        <v>0</v>
      </c>
      <c r="AK139" s="1465">
        <f t="shared" ref="AK139:AK202" si="9">AJ139*$AN$6</f>
        <v>0</v>
      </c>
      <c r="AL139" s="1466"/>
      <c r="AM139" s="615"/>
    </row>
    <row r="140" spans="1:39" s="156" customFormat="1" ht="19.149999999999999" customHeight="1" outlineLevel="1">
      <c r="A140" s="1182">
        <v>129</v>
      </c>
      <c r="B140" s="1182">
        <v>30</v>
      </c>
      <c r="C140" s="1635" t="str">
        <f>VLOOKUP(D140,'DS CN MOI UP'!$B$10:$C$347,2,0)</f>
        <v>02470</v>
      </c>
      <c r="D140" s="1185" t="s">
        <v>44</v>
      </c>
      <c r="E140" s="1462"/>
      <c r="F140" s="1462"/>
      <c r="G140" s="1462"/>
      <c r="H140" s="1462"/>
      <c r="I140" s="1462"/>
      <c r="J140" s="1462"/>
      <c r="K140" s="1462"/>
      <c r="L140" s="1462"/>
      <c r="M140" s="1462"/>
      <c r="N140" s="1462"/>
      <c r="O140" s="1462"/>
      <c r="P140" s="1462"/>
      <c r="Q140" s="1462"/>
      <c r="R140" s="1462"/>
      <c r="S140" s="1462"/>
      <c r="T140" s="1462"/>
      <c r="U140" s="1462"/>
      <c r="V140" s="1462"/>
      <c r="W140" s="1462"/>
      <c r="X140" s="1462"/>
      <c r="Y140" s="1462"/>
      <c r="Z140" s="1462"/>
      <c r="AA140" s="1462"/>
      <c r="AB140" s="1462"/>
      <c r="AC140" s="1462"/>
      <c r="AD140" s="1462"/>
      <c r="AE140" s="1462"/>
      <c r="AF140" s="1462"/>
      <c r="AG140" s="1462"/>
      <c r="AH140" s="1462"/>
      <c r="AI140" s="1462"/>
      <c r="AJ140" s="1465">
        <f t="shared" si="8"/>
        <v>0</v>
      </c>
      <c r="AK140" s="1465">
        <f t="shared" si="9"/>
        <v>0</v>
      </c>
      <c r="AL140" s="1466"/>
      <c r="AM140" s="615"/>
    </row>
    <row r="141" spans="1:39" s="156" customFormat="1" ht="19.149999999999999" customHeight="1" outlineLevel="1">
      <c r="A141" s="1182">
        <v>130</v>
      </c>
      <c r="B141" s="1182">
        <v>31</v>
      </c>
      <c r="C141" s="1635" t="str">
        <f>VLOOKUP(D141,'DS CN MOI UP'!$B$10:$C$347,2,0)</f>
        <v>03329</v>
      </c>
      <c r="D141" s="1185" t="s">
        <v>45</v>
      </c>
      <c r="E141" s="1462"/>
      <c r="F141" s="1462"/>
      <c r="G141" s="1462"/>
      <c r="H141" s="1462"/>
      <c r="I141" s="1462"/>
      <c r="J141" s="1462"/>
      <c r="K141" s="1462"/>
      <c r="L141" s="1462"/>
      <c r="M141" s="1462"/>
      <c r="N141" s="1462"/>
      <c r="O141" s="1462"/>
      <c r="P141" s="1462"/>
      <c r="Q141" s="1462"/>
      <c r="R141" s="1462"/>
      <c r="S141" s="1462"/>
      <c r="T141" s="1462"/>
      <c r="U141" s="1462"/>
      <c r="V141" s="1462"/>
      <c r="W141" s="1462"/>
      <c r="X141" s="1462"/>
      <c r="Y141" s="1462"/>
      <c r="Z141" s="1462"/>
      <c r="AA141" s="1462"/>
      <c r="AB141" s="1462"/>
      <c r="AC141" s="1462"/>
      <c r="AD141" s="1462"/>
      <c r="AE141" s="1462"/>
      <c r="AF141" s="1462"/>
      <c r="AG141" s="1462"/>
      <c r="AH141" s="1462"/>
      <c r="AI141" s="1462"/>
      <c r="AJ141" s="1465">
        <f t="shared" si="8"/>
        <v>0</v>
      </c>
      <c r="AK141" s="1465">
        <f t="shared" si="9"/>
        <v>0</v>
      </c>
      <c r="AL141" s="1466"/>
      <c r="AM141" s="615"/>
    </row>
    <row r="142" spans="1:39" s="156" customFormat="1" ht="19.149999999999999" customHeight="1" outlineLevel="1">
      <c r="A142" s="1182">
        <v>131</v>
      </c>
      <c r="B142" s="1182">
        <v>32</v>
      </c>
      <c r="C142" s="1635" t="str">
        <f>VLOOKUP(D142,'DS CN MOI UP'!$B$10:$C$347,2,0)</f>
        <v>03330</v>
      </c>
      <c r="D142" s="1185" t="s">
        <v>46</v>
      </c>
      <c r="E142" s="1462"/>
      <c r="F142" s="1462"/>
      <c r="G142" s="1462"/>
      <c r="H142" s="1462"/>
      <c r="I142" s="1462"/>
      <c r="J142" s="1462"/>
      <c r="K142" s="1462"/>
      <c r="L142" s="1462"/>
      <c r="M142" s="1462"/>
      <c r="N142" s="1462"/>
      <c r="O142" s="1462"/>
      <c r="P142" s="1462"/>
      <c r="Q142" s="1462"/>
      <c r="R142" s="1462"/>
      <c r="S142" s="1462"/>
      <c r="T142" s="1462"/>
      <c r="U142" s="1462"/>
      <c r="V142" s="1462"/>
      <c r="W142" s="1462"/>
      <c r="X142" s="1462"/>
      <c r="Y142" s="1462"/>
      <c r="Z142" s="1462"/>
      <c r="AA142" s="1462"/>
      <c r="AB142" s="1462"/>
      <c r="AC142" s="1462"/>
      <c r="AD142" s="1462"/>
      <c r="AE142" s="1462"/>
      <c r="AF142" s="1462"/>
      <c r="AG142" s="1462"/>
      <c r="AH142" s="1462"/>
      <c r="AI142" s="1462"/>
      <c r="AJ142" s="1465">
        <f t="shared" si="8"/>
        <v>0</v>
      </c>
      <c r="AK142" s="1465">
        <f t="shared" si="9"/>
        <v>0</v>
      </c>
      <c r="AL142" s="1466"/>
    </row>
    <row r="143" spans="1:39" s="156" customFormat="1" ht="19.149999999999999" customHeight="1" outlineLevel="1">
      <c r="A143" s="1182">
        <v>132</v>
      </c>
      <c r="B143" s="1182">
        <v>33</v>
      </c>
      <c r="C143" s="1635" t="str">
        <f>VLOOKUP(D143,'DS CN MOI UP'!$B$10:$C$347,2,0)</f>
        <v>02455</v>
      </c>
      <c r="D143" s="1185" t="s">
        <v>47</v>
      </c>
      <c r="E143" s="1462"/>
      <c r="F143" s="1462"/>
      <c r="G143" s="1462"/>
      <c r="H143" s="1462"/>
      <c r="I143" s="1462"/>
      <c r="J143" s="1462"/>
      <c r="K143" s="1462"/>
      <c r="L143" s="1462"/>
      <c r="M143" s="1462"/>
      <c r="N143" s="1462"/>
      <c r="O143" s="1462"/>
      <c r="P143" s="1462"/>
      <c r="Q143" s="1462"/>
      <c r="R143" s="1462"/>
      <c r="S143" s="1462"/>
      <c r="T143" s="1462"/>
      <c r="U143" s="1462"/>
      <c r="V143" s="1462"/>
      <c r="W143" s="1462"/>
      <c r="X143" s="1462"/>
      <c r="Y143" s="1462"/>
      <c r="Z143" s="1462"/>
      <c r="AA143" s="1462"/>
      <c r="AB143" s="1462"/>
      <c r="AC143" s="1462"/>
      <c r="AD143" s="1462"/>
      <c r="AE143" s="1462"/>
      <c r="AF143" s="1462"/>
      <c r="AG143" s="1462"/>
      <c r="AH143" s="1462"/>
      <c r="AI143" s="1462"/>
      <c r="AJ143" s="1465">
        <f t="shared" si="8"/>
        <v>0</v>
      </c>
      <c r="AK143" s="1465">
        <f t="shared" si="9"/>
        <v>0</v>
      </c>
      <c r="AL143" s="1466"/>
    </row>
    <row r="144" spans="1:39" s="156" customFormat="1" ht="19.149999999999999" customHeight="1" outlineLevel="1">
      <c r="A144" s="1182">
        <v>133</v>
      </c>
      <c r="B144" s="1182">
        <v>34</v>
      </c>
      <c r="C144" s="1635" t="str">
        <f>VLOOKUP(D144,'DS CN MOI UP'!$B$10:$C$347,2,0)</f>
        <v>02459</v>
      </c>
      <c r="D144" s="1185" t="s">
        <v>48</v>
      </c>
      <c r="E144" s="1462"/>
      <c r="F144" s="1462"/>
      <c r="G144" s="1462"/>
      <c r="H144" s="1462"/>
      <c r="I144" s="1462"/>
      <c r="J144" s="1462"/>
      <c r="K144" s="1462"/>
      <c r="L144" s="1462"/>
      <c r="M144" s="1462"/>
      <c r="N144" s="1462"/>
      <c r="O144" s="1462"/>
      <c r="P144" s="1462"/>
      <c r="Q144" s="1462"/>
      <c r="R144" s="1462"/>
      <c r="S144" s="1462"/>
      <c r="T144" s="1462"/>
      <c r="U144" s="1462"/>
      <c r="V144" s="1462"/>
      <c r="W144" s="1462"/>
      <c r="X144" s="1462"/>
      <c r="Y144" s="1462"/>
      <c r="Z144" s="1462"/>
      <c r="AA144" s="1462"/>
      <c r="AB144" s="1462"/>
      <c r="AC144" s="1462"/>
      <c r="AD144" s="1462"/>
      <c r="AE144" s="1462"/>
      <c r="AF144" s="1462"/>
      <c r="AG144" s="1462"/>
      <c r="AH144" s="1462"/>
      <c r="AI144" s="1462"/>
      <c r="AJ144" s="1465">
        <f t="shared" si="8"/>
        <v>0</v>
      </c>
      <c r="AK144" s="1465">
        <f t="shared" si="9"/>
        <v>0</v>
      </c>
      <c r="AL144" s="1466"/>
    </row>
    <row r="145" spans="1:38" s="156" customFormat="1" ht="19.149999999999999" customHeight="1" outlineLevel="1">
      <c r="A145" s="1182">
        <v>134</v>
      </c>
      <c r="B145" s="1182">
        <v>35</v>
      </c>
      <c r="C145" s="1635" t="str">
        <f>VLOOKUP(D145,'DS CN MOI UP'!$B$10:$C$347,2,0)</f>
        <v>02506</v>
      </c>
      <c r="D145" s="1185" t="s">
        <v>49</v>
      </c>
      <c r="E145" s="1462"/>
      <c r="F145" s="1462"/>
      <c r="G145" s="1462"/>
      <c r="H145" s="1462"/>
      <c r="I145" s="1462"/>
      <c r="J145" s="1462"/>
      <c r="K145" s="1462"/>
      <c r="L145" s="1462"/>
      <c r="M145" s="1462"/>
      <c r="N145" s="1462"/>
      <c r="O145" s="1462"/>
      <c r="P145" s="1462"/>
      <c r="Q145" s="1462"/>
      <c r="R145" s="1462"/>
      <c r="S145" s="1462"/>
      <c r="T145" s="1462"/>
      <c r="U145" s="1462"/>
      <c r="V145" s="1462"/>
      <c r="W145" s="1462"/>
      <c r="X145" s="1462"/>
      <c r="Y145" s="1462"/>
      <c r="Z145" s="1462"/>
      <c r="AA145" s="1462"/>
      <c r="AB145" s="1462"/>
      <c r="AC145" s="1462"/>
      <c r="AD145" s="1462"/>
      <c r="AE145" s="1462"/>
      <c r="AF145" s="1462"/>
      <c r="AG145" s="1462"/>
      <c r="AH145" s="1462"/>
      <c r="AI145" s="1462"/>
      <c r="AJ145" s="1465">
        <f t="shared" si="8"/>
        <v>0</v>
      </c>
      <c r="AK145" s="1465">
        <f t="shared" si="9"/>
        <v>0</v>
      </c>
      <c r="AL145" s="1466"/>
    </row>
    <row r="146" spans="1:38" s="156" customFormat="1" ht="19.149999999999999" customHeight="1" outlineLevel="1">
      <c r="A146" s="1182">
        <v>135</v>
      </c>
      <c r="B146" s="1182">
        <v>36</v>
      </c>
      <c r="C146" s="1635" t="str">
        <f>VLOOKUP(D146,'DS CN MOI UP'!$B$10:$C$347,2,0)</f>
        <v>02507</v>
      </c>
      <c r="D146" s="1185" t="s">
        <v>50</v>
      </c>
      <c r="E146" s="1462"/>
      <c r="F146" s="1462"/>
      <c r="G146" s="1462"/>
      <c r="H146" s="1462"/>
      <c r="I146" s="1462"/>
      <c r="J146" s="1462"/>
      <c r="K146" s="1462"/>
      <c r="L146" s="1462"/>
      <c r="M146" s="1462"/>
      <c r="N146" s="1462"/>
      <c r="O146" s="1462"/>
      <c r="P146" s="1462"/>
      <c r="Q146" s="1462"/>
      <c r="R146" s="1462"/>
      <c r="S146" s="1462"/>
      <c r="T146" s="1462"/>
      <c r="U146" s="1462"/>
      <c r="V146" s="1462"/>
      <c r="W146" s="1462"/>
      <c r="X146" s="1462"/>
      <c r="Y146" s="1462"/>
      <c r="Z146" s="1462"/>
      <c r="AA146" s="1462"/>
      <c r="AB146" s="1462"/>
      <c r="AC146" s="1462"/>
      <c r="AD146" s="1462"/>
      <c r="AE146" s="1462"/>
      <c r="AF146" s="1462"/>
      <c r="AG146" s="1462"/>
      <c r="AH146" s="1462"/>
      <c r="AI146" s="1462"/>
      <c r="AJ146" s="1465">
        <f t="shared" si="8"/>
        <v>0</v>
      </c>
      <c r="AK146" s="1465">
        <f t="shared" si="9"/>
        <v>0</v>
      </c>
      <c r="AL146" s="1466"/>
    </row>
    <row r="147" spans="1:38" s="156" customFormat="1" ht="19.149999999999999" customHeight="1" outlineLevel="1">
      <c r="A147" s="1182">
        <v>136</v>
      </c>
      <c r="B147" s="1182">
        <v>37</v>
      </c>
      <c r="C147" s="1635" t="str">
        <f>VLOOKUP(D147,'DS CN MOI UP'!$B$10:$C$347,2,0)</f>
        <v>03331</v>
      </c>
      <c r="D147" s="1185" t="s">
        <v>486</v>
      </c>
      <c r="E147" s="1462"/>
      <c r="F147" s="1462"/>
      <c r="G147" s="1462"/>
      <c r="H147" s="1462"/>
      <c r="I147" s="1462"/>
      <c r="J147" s="1462"/>
      <c r="K147" s="1462"/>
      <c r="L147" s="1462"/>
      <c r="M147" s="1462"/>
      <c r="N147" s="1462"/>
      <c r="O147" s="1462"/>
      <c r="P147" s="1462"/>
      <c r="Q147" s="1462"/>
      <c r="R147" s="1462"/>
      <c r="S147" s="1462"/>
      <c r="T147" s="1462"/>
      <c r="U147" s="1462"/>
      <c r="V147" s="1462"/>
      <c r="W147" s="1462"/>
      <c r="X147" s="1462"/>
      <c r="Y147" s="1462"/>
      <c r="Z147" s="1462"/>
      <c r="AA147" s="1462"/>
      <c r="AB147" s="1462"/>
      <c r="AC147" s="1462"/>
      <c r="AD147" s="1462"/>
      <c r="AE147" s="1462"/>
      <c r="AF147" s="1462"/>
      <c r="AG147" s="1462"/>
      <c r="AH147" s="1462"/>
      <c r="AI147" s="1462"/>
      <c r="AJ147" s="1465">
        <f t="shared" si="8"/>
        <v>0</v>
      </c>
      <c r="AK147" s="1465">
        <f t="shared" si="9"/>
        <v>0</v>
      </c>
      <c r="AL147" s="1466"/>
    </row>
    <row r="148" spans="1:38" s="156" customFormat="1" ht="19.149999999999999" customHeight="1" outlineLevel="1">
      <c r="A148" s="1182">
        <v>137</v>
      </c>
      <c r="B148" s="1182">
        <v>38</v>
      </c>
      <c r="C148" s="1635" t="str">
        <f>VLOOKUP(D148,'DS CN MOI UP'!$B$10:$C$347,2,0)</f>
        <v>02467</v>
      </c>
      <c r="D148" s="1185" t="s">
        <v>52</v>
      </c>
      <c r="E148" s="1462"/>
      <c r="F148" s="1462"/>
      <c r="G148" s="1462"/>
      <c r="H148" s="1462"/>
      <c r="I148" s="1462"/>
      <c r="J148" s="1462"/>
      <c r="K148" s="1462"/>
      <c r="L148" s="1462"/>
      <c r="M148" s="1462"/>
      <c r="N148" s="1462"/>
      <c r="O148" s="1462"/>
      <c r="P148" s="1462"/>
      <c r="Q148" s="1462"/>
      <c r="R148" s="1462"/>
      <c r="S148" s="1462"/>
      <c r="T148" s="1462"/>
      <c r="U148" s="1462"/>
      <c r="V148" s="1462"/>
      <c r="W148" s="1462"/>
      <c r="X148" s="1462"/>
      <c r="Y148" s="1462"/>
      <c r="Z148" s="1462"/>
      <c r="AA148" s="1462"/>
      <c r="AB148" s="1462"/>
      <c r="AC148" s="1462"/>
      <c r="AD148" s="1462"/>
      <c r="AE148" s="1462"/>
      <c r="AF148" s="1462"/>
      <c r="AG148" s="1462"/>
      <c r="AH148" s="1462"/>
      <c r="AI148" s="1462"/>
      <c r="AJ148" s="1465">
        <f t="shared" si="8"/>
        <v>0</v>
      </c>
      <c r="AK148" s="1465">
        <f t="shared" si="9"/>
        <v>0</v>
      </c>
      <c r="AL148" s="1466"/>
    </row>
    <row r="149" spans="1:38" s="156" customFormat="1" ht="19.149999999999999" customHeight="1" outlineLevel="1">
      <c r="A149" s="1182">
        <v>138</v>
      </c>
      <c r="B149" s="1182">
        <v>39</v>
      </c>
      <c r="C149" s="1635" t="str">
        <f>VLOOKUP(D149,'DS CN MOI UP'!$B$10:$C$347,2,0)</f>
        <v>02483</v>
      </c>
      <c r="D149" s="1185" t="s">
        <v>53</v>
      </c>
      <c r="E149" s="1462"/>
      <c r="F149" s="1462"/>
      <c r="G149" s="1462"/>
      <c r="H149" s="1462"/>
      <c r="I149" s="1462"/>
      <c r="J149" s="1462"/>
      <c r="K149" s="1462"/>
      <c r="L149" s="1462"/>
      <c r="M149" s="1462"/>
      <c r="N149" s="1462"/>
      <c r="O149" s="1462"/>
      <c r="P149" s="1462"/>
      <c r="Q149" s="1462"/>
      <c r="R149" s="1462"/>
      <c r="S149" s="1462"/>
      <c r="T149" s="1462"/>
      <c r="U149" s="1462"/>
      <c r="V149" s="1462"/>
      <c r="W149" s="1462"/>
      <c r="X149" s="1462"/>
      <c r="Y149" s="1462"/>
      <c r="Z149" s="1462"/>
      <c r="AA149" s="1462"/>
      <c r="AB149" s="1462"/>
      <c r="AC149" s="1462"/>
      <c r="AD149" s="1462"/>
      <c r="AE149" s="1462"/>
      <c r="AF149" s="1462"/>
      <c r="AG149" s="1462"/>
      <c r="AH149" s="1462"/>
      <c r="AI149" s="1462"/>
      <c r="AJ149" s="1465">
        <f t="shared" si="8"/>
        <v>0</v>
      </c>
      <c r="AK149" s="1465">
        <f t="shared" si="9"/>
        <v>0</v>
      </c>
      <c r="AL149" s="1466"/>
    </row>
    <row r="150" spans="1:38" s="156" customFormat="1" ht="19.149999999999999" customHeight="1" outlineLevel="1">
      <c r="A150" s="1182">
        <v>139</v>
      </c>
      <c r="B150" s="1182">
        <v>40</v>
      </c>
      <c r="C150" s="1635" t="str">
        <f>VLOOKUP(D150,'DS CN MOI UP'!$B$10:$C$347,2,0)</f>
        <v>02512</v>
      </c>
      <c r="D150" s="1185" t="s">
        <v>54</v>
      </c>
      <c r="E150" s="1462"/>
      <c r="F150" s="1462"/>
      <c r="G150" s="1462"/>
      <c r="H150" s="1462"/>
      <c r="I150" s="1462"/>
      <c r="J150" s="1462"/>
      <c r="K150" s="1462"/>
      <c r="L150" s="1462"/>
      <c r="M150" s="1462"/>
      <c r="N150" s="1462"/>
      <c r="O150" s="1462"/>
      <c r="P150" s="1462"/>
      <c r="Q150" s="1462"/>
      <c r="R150" s="1462"/>
      <c r="S150" s="1462"/>
      <c r="T150" s="1462"/>
      <c r="U150" s="1462"/>
      <c r="V150" s="1462"/>
      <c r="W150" s="1462"/>
      <c r="X150" s="1462"/>
      <c r="Y150" s="1462"/>
      <c r="Z150" s="1462"/>
      <c r="AA150" s="1462"/>
      <c r="AB150" s="1462"/>
      <c r="AC150" s="1462"/>
      <c r="AD150" s="1462"/>
      <c r="AE150" s="1462"/>
      <c r="AF150" s="1462"/>
      <c r="AG150" s="1462"/>
      <c r="AH150" s="1462"/>
      <c r="AI150" s="1462"/>
      <c r="AJ150" s="1465">
        <f t="shared" si="8"/>
        <v>0</v>
      </c>
      <c r="AK150" s="1465">
        <f t="shared" si="9"/>
        <v>0</v>
      </c>
      <c r="AL150" s="1466"/>
    </row>
    <row r="151" spans="1:38" s="156" customFormat="1" ht="19.149999999999999" customHeight="1" outlineLevel="1">
      <c r="A151" s="1182">
        <v>140</v>
      </c>
      <c r="B151" s="1182">
        <v>41</v>
      </c>
      <c r="C151" s="1635" t="str">
        <f>VLOOKUP(D151,'DS CN MOI UP'!$B$10:$C$347,2,0)</f>
        <v>03332</v>
      </c>
      <c r="D151" s="1185" t="s">
        <v>55</v>
      </c>
      <c r="E151" s="1462"/>
      <c r="F151" s="1462"/>
      <c r="G151" s="1462"/>
      <c r="H151" s="1462"/>
      <c r="I151" s="1462"/>
      <c r="J151" s="1462"/>
      <c r="K151" s="1462"/>
      <c r="L151" s="1462"/>
      <c r="M151" s="1462"/>
      <c r="N151" s="1462"/>
      <c r="O151" s="1462"/>
      <c r="P151" s="1462"/>
      <c r="Q151" s="1462"/>
      <c r="R151" s="1462"/>
      <c r="S151" s="1462"/>
      <c r="T151" s="1462"/>
      <c r="U151" s="1462"/>
      <c r="V151" s="1462"/>
      <c r="W151" s="1462"/>
      <c r="X151" s="1462"/>
      <c r="Y151" s="1462"/>
      <c r="Z151" s="1462"/>
      <c r="AA151" s="1462"/>
      <c r="AB151" s="1462"/>
      <c r="AC151" s="1462"/>
      <c r="AD151" s="1462"/>
      <c r="AE151" s="1462"/>
      <c r="AF151" s="1462"/>
      <c r="AG151" s="1462"/>
      <c r="AH151" s="1462"/>
      <c r="AI151" s="1462"/>
      <c r="AJ151" s="1465">
        <f t="shared" si="8"/>
        <v>0</v>
      </c>
      <c r="AK151" s="1465">
        <f t="shared" si="9"/>
        <v>0</v>
      </c>
      <c r="AL151" s="1466"/>
    </row>
    <row r="152" spans="1:38" s="156" customFormat="1" ht="19.149999999999999" customHeight="1" outlineLevel="1">
      <c r="A152" s="1182">
        <v>141</v>
      </c>
      <c r="B152" s="1182">
        <v>42</v>
      </c>
      <c r="C152" s="1635" t="str">
        <f>VLOOKUP(D152,'DS CN MOI UP'!$B$10:$C$347,2,0)</f>
        <v>03333</v>
      </c>
      <c r="D152" s="1185" t="s">
        <v>56</v>
      </c>
      <c r="E152" s="1462"/>
      <c r="F152" s="1462"/>
      <c r="G152" s="1462"/>
      <c r="H152" s="1462"/>
      <c r="I152" s="1462"/>
      <c r="J152" s="1462"/>
      <c r="K152" s="1462"/>
      <c r="L152" s="1462"/>
      <c r="M152" s="1462"/>
      <c r="N152" s="1462"/>
      <c r="O152" s="1462"/>
      <c r="P152" s="1462"/>
      <c r="Q152" s="1462"/>
      <c r="R152" s="1462"/>
      <c r="S152" s="1462"/>
      <c r="T152" s="1462"/>
      <c r="U152" s="1462"/>
      <c r="V152" s="1462"/>
      <c r="W152" s="1462"/>
      <c r="X152" s="1462"/>
      <c r="Y152" s="1462"/>
      <c r="Z152" s="1462"/>
      <c r="AA152" s="1462"/>
      <c r="AB152" s="1462"/>
      <c r="AC152" s="1462"/>
      <c r="AD152" s="1462"/>
      <c r="AE152" s="1462"/>
      <c r="AF152" s="1462"/>
      <c r="AG152" s="1462"/>
      <c r="AH152" s="1462"/>
      <c r="AI152" s="1462"/>
      <c r="AJ152" s="1465">
        <f t="shared" si="8"/>
        <v>0</v>
      </c>
      <c r="AK152" s="1465">
        <f t="shared" si="9"/>
        <v>0</v>
      </c>
      <c r="AL152" s="1466"/>
    </row>
    <row r="153" spans="1:38" s="156" customFormat="1" ht="19.149999999999999" customHeight="1" outlineLevel="1">
      <c r="A153" s="1182">
        <v>142</v>
      </c>
      <c r="B153" s="1182">
        <v>43</v>
      </c>
      <c r="C153" s="1635" t="str">
        <f>VLOOKUP(D153,'DS CN MOI UP'!$B$10:$C$347,2,0)</f>
        <v>02474</v>
      </c>
      <c r="D153" s="1185" t="s">
        <v>57</v>
      </c>
      <c r="E153" s="1462"/>
      <c r="F153" s="1462"/>
      <c r="G153" s="1462"/>
      <c r="H153" s="1462"/>
      <c r="I153" s="1462"/>
      <c r="J153" s="1462"/>
      <c r="K153" s="1462"/>
      <c r="L153" s="1462"/>
      <c r="M153" s="1462"/>
      <c r="N153" s="1462"/>
      <c r="O153" s="1462"/>
      <c r="P153" s="1462"/>
      <c r="Q153" s="1462"/>
      <c r="R153" s="1462"/>
      <c r="S153" s="1462"/>
      <c r="T153" s="1462"/>
      <c r="U153" s="1462"/>
      <c r="V153" s="1462"/>
      <c r="W153" s="1462"/>
      <c r="X153" s="1462"/>
      <c r="Y153" s="1462"/>
      <c r="Z153" s="1462"/>
      <c r="AA153" s="1462"/>
      <c r="AB153" s="1462"/>
      <c r="AC153" s="1462"/>
      <c r="AD153" s="1462"/>
      <c r="AE153" s="1462"/>
      <c r="AF153" s="1462"/>
      <c r="AG153" s="1462"/>
      <c r="AH153" s="1462"/>
      <c r="AI153" s="1462"/>
      <c r="AJ153" s="1465">
        <f t="shared" si="8"/>
        <v>0</v>
      </c>
      <c r="AK153" s="1465">
        <f t="shared" si="9"/>
        <v>0</v>
      </c>
      <c r="AL153" s="1466"/>
    </row>
    <row r="154" spans="1:38" s="156" customFormat="1" ht="19.149999999999999" customHeight="1" outlineLevel="1">
      <c r="A154" s="1182">
        <v>143</v>
      </c>
      <c r="B154" s="1182">
        <v>44</v>
      </c>
      <c r="C154" s="1635" t="str">
        <f>VLOOKUP(D154,'DS CN MOI UP'!$B$10:$C$347,2,0)</f>
        <v>02500</v>
      </c>
      <c r="D154" s="1185" t="s">
        <v>59</v>
      </c>
      <c r="E154" s="1462"/>
      <c r="F154" s="1462"/>
      <c r="G154" s="1462"/>
      <c r="H154" s="1462"/>
      <c r="I154" s="1462"/>
      <c r="J154" s="1462"/>
      <c r="K154" s="1462"/>
      <c r="L154" s="1462"/>
      <c r="M154" s="1462"/>
      <c r="N154" s="1462"/>
      <c r="O154" s="1462"/>
      <c r="P154" s="1462"/>
      <c r="Q154" s="1462"/>
      <c r="R154" s="1462"/>
      <c r="S154" s="1462"/>
      <c r="T154" s="1462"/>
      <c r="U154" s="1462"/>
      <c r="V154" s="1462"/>
      <c r="W154" s="1462"/>
      <c r="X154" s="1462"/>
      <c r="Y154" s="1462"/>
      <c r="Z154" s="1462"/>
      <c r="AA154" s="1462"/>
      <c r="AB154" s="1462"/>
      <c r="AC154" s="1462"/>
      <c r="AD154" s="1462"/>
      <c r="AE154" s="1462"/>
      <c r="AF154" s="1462"/>
      <c r="AG154" s="1462"/>
      <c r="AH154" s="1462"/>
      <c r="AI154" s="1462"/>
      <c r="AJ154" s="1465">
        <f t="shared" si="8"/>
        <v>0</v>
      </c>
      <c r="AK154" s="1465">
        <f t="shared" si="9"/>
        <v>0</v>
      </c>
      <c r="AL154" s="1466"/>
    </row>
    <row r="155" spans="1:38" s="156" customFormat="1" ht="19.149999999999999" customHeight="1" outlineLevel="1">
      <c r="A155" s="1182">
        <v>144</v>
      </c>
      <c r="B155" s="1182">
        <v>45</v>
      </c>
      <c r="C155" s="1635" t="str">
        <f>VLOOKUP(D155,'DS CN MOI UP'!$B$10:$C$347,2,0)</f>
        <v>02451</v>
      </c>
      <c r="D155" s="1185" t="s">
        <v>60</v>
      </c>
      <c r="E155" s="1462"/>
      <c r="F155" s="1462"/>
      <c r="G155" s="1462"/>
      <c r="H155" s="1462"/>
      <c r="I155" s="1462"/>
      <c r="J155" s="1462"/>
      <c r="K155" s="1462"/>
      <c r="L155" s="1462"/>
      <c r="M155" s="1462"/>
      <c r="N155" s="1462"/>
      <c r="O155" s="1462"/>
      <c r="P155" s="1462"/>
      <c r="Q155" s="1462"/>
      <c r="R155" s="1462"/>
      <c r="S155" s="1462"/>
      <c r="T155" s="1462"/>
      <c r="U155" s="1462"/>
      <c r="V155" s="1462"/>
      <c r="W155" s="1462"/>
      <c r="X155" s="1462"/>
      <c r="Y155" s="1462"/>
      <c r="Z155" s="1462"/>
      <c r="AA155" s="1462"/>
      <c r="AB155" s="1462"/>
      <c r="AC155" s="1462"/>
      <c r="AD155" s="1462"/>
      <c r="AE155" s="1462"/>
      <c r="AF155" s="1462"/>
      <c r="AG155" s="1462"/>
      <c r="AH155" s="1462"/>
      <c r="AI155" s="1462"/>
      <c r="AJ155" s="1465">
        <f t="shared" si="8"/>
        <v>0</v>
      </c>
      <c r="AK155" s="1465">
        <f t="shared" si="9"/>
        <v>0</v>
      </c>
      <c r="AL155" s="1466"/>
    </row>
    <row r="156" spans="1:38" s="156" customFormat="1" ht="19.149999999999999" customHeight="1" outlineLevel="1">
      <c r="A156" s="1182">
        <v>145</v>
      </c>
      <c r="B156" s="1182">
        <v>46</v>
      </c>
      <c r="C156" s="1182" t="e">
        <f>VLOOKUP(D156,'DS CN MOI UP'!$B$10:$C$347,2,0)</f>
        <v>#N/A</v>
      </c>
      <c r="D156" s="1185" t="s">
        <v>61</v>
      </c>
      <c r="E156" s="1462"/>
      <c r="F156" s="1462"/>
      <c r="G156" s="1462"/>
      <c r="H156" s="1462"/>
      <c r="I156" s="1462"/>
      <c r="J156" s="1462"/>
      <c r="K156" s="1462"/>
      <c r="L156" s="1462"/>
      <c r="M156" s="1462"/>
      <c r="N156" s="1462"/>
      <c r="O156" s="1462"/>
      <c r="P156" s="1462"/>
      <c r="Q156" s="1462"/>
      <c r="R156" s="1462"/>
      <c r="S156" s="1462"/>
      <c r="T156" s="1462"/>
      <c r="U156" s="1462"/>
      <c r="V156" s="1462"/>
      <c r="W156" s="1462"/>
      <c r="X156" s="1462"/>
      <c r="Y156" s="1462"/>
      <c r="Z156" s="1462"/>
      <c r="AA156" s="1462"/>
      <c r="AB156" s="1462"/>
      <c r="AC156" s="1462"/>
      <c r="AD156" s="1462"/>
      <c r="AE156" s="1462"/>
      <c r="AF156" s="1462"/>
      <c r="AG156" s="1462"/>
      <c r="AH156" s="1462"/>
      <c r="AI156" s="1462"/>
      <c r="AJ156" s="1465">
        <f t="shared" si="8"/>
        <v>0</v>
      </c>
      <c r="AK156" s="1465">
        <f t="shared" si="9"/>
        <v>0</v>
      </c>
      <c r="AL156" s="1466"/>
    </row>
    <row r="157" spans="1:38" s="156" customFormat="1" ht="19.149999999999999" customHeight="1" outlineLevel="1">
      <c r="A157" s="1182">
        <v>146</v>
      </c>
      <c r="B157" s="1182">
        <v>47</v>
      </c>
      <c r="C157" s="1635" t="str">
        <f>VLOOKUP(D157,'DS CN MOI UP'!$B$10:$C$347,2,0)</f>
        <v>02491</v>
      </c>
      <c r="D157" s="1185" t="s">
        <v>62</v>
      </c>
      <c r="E157" s="1462"/>
      <c r="F157" s="1462"/>
      <c r="G157" s="1462"/>
      <c r="H157" s="1462"/>
      <c r="I157" s="1462"/>
      <c r="J157" s="1462"/>
      <c r="K157" s="1462"/>
      <c r="L157" s="1462"/>
      <c r="M157" s="1462"/>
      <c r="N157" s="1462"/>
      <c r="O157" s="1462"/>
      <c r="P157" s="1462"/>
      <c r="Q157" s="1462"/>
      <c r="R157" s="1462"/>
      <c r="S157" s="1462"/>
      <c r="T157" s="1462"/>
      <c r="U157" s="1462"/>
      <c r="V157" s="1462"/>
      <c r="W157" s="1462"/>
      <c r="X157" s="1462"/>
      <c r="Y157" s="1462"/>
      <c r="Z157" s="1462"/>
      <c r="AA157" s="1462"/>
      <c r="AB157" s="1462"/>
      <c r="AC157" s="1462"/>
      <c r="AD157" s="1462"/>
      <c r="AE157" s="1462"/>
      <c r="AF157" s="1462"/>
      <c r="AG157" s="1462"/>
      <c r="AH157" s="1462"/>
      <c r="AI157" s="1462"/>
      <c r="AJ157" s="1465">
        <f t="shared" si="8"/>
        <v>0</v>
      </c>
      <c r="AK157" s="1465">
        <f t="shared" si="9"/>
        <v>0</v>
      </c>
      <c r="AL157" s="1466"/>
    </row>
    <row r="158" spans="1:38" s="156" customFormat="1" ht="19.149999999999999" customHeight="1" outlineLevel="1">
      <c r="A158" s="1182">
        <v>147</v>
      </c>
      <c r="B158" s="1182">
        <v>48</v>
      </c>
      <c r="C158" s="1635" t="str">
        <f>VLOOKUP(D158,'DS CN MOI UP'!$B$10:$C$347,2,0)</f>
        <v>02457</v>
      </c>
      <c r="D158" s="1185" t="s">
        <v>63</v>
      </c>
      <c r="E158" s="1462"/>
      <c r="F158" s="1462"/>
      <c r="G158" s="1462"/>
      <c r="H158" s="1462"/>
      <c r="I158" s="1462"/>
      <c r="J158" s="1462"/>
      <c r="K158" s="1462"/>
      <c r="L158" s="1462"/>
      <c r="M158" s="1462"/>
      <c r="N158" s="1462"/>
      <c r="O158" s="1462"/>
      <c r="P158" s="1462"/>
      <c r="Q158" s="1462"/>
      <c r="R158" s="1462"/>
      <c r="S158" s="1462"/>
      <c r="T158" s="1462"/>
      <c r="U158" s="1462"/>
      <c r="V158" s="1462"/>
      <c r="W158" s="1462"/>
      <c r="X158" s="1462"/>
      <c r="Y158" s="1462"/>
      <c r="Z158" s="1462"/>
      <c r="AA158" s="1462"/>
      <c r="AB158" s="1462"/>
      <c r="AC158" s="1462"/>
      <c r="AD158" s="1462"/>
      <c r="AE158" s="1462"/>
      <c r="AF158" s="1462"/>
      <c r="AG158" s="1462"/>
      <c r="AH158" s="1462"/>
      <c r="AI158" s="1462"/>
      <c r="AJ158" s="1465">
        <f t="shared" si="8"/>
        <v>0</v>
      </c>
      <c r="AK158" s="1465">
        <f t="shared" si="9"/>
        <v>0</v>
      </c>
      <c r="AL158" s="1466"/>
    </row>
    <row r="159" spans="1:38" s="156" customFormat="1" ht="19.149999999999999" customHeight="1" outlineLevel="1">
      <c r="A159" s="1182">
        <v>148</v>
      </c>
      <c r="B159" s="1182">
        <v>49</v>
      </c>
      <c r="C159" s="1635" t="str">
        <f>VLOOKUP(D159,'DS CN MOI UP'!$B$10:$C$347,2,0)</f>
        <v>03334</v>
      </c>
      <c r="D159" s="1185" t="s">
        <v>64</v>
      </c>
      <c r="E159" s="1462"/>
      <c r="F159" s="1462"/>
      <c r="G159" s="1462"/>
      <c r="H159" s="1462"/>
      <c r="I159" s="1462"/>
      <c r="J159" s="1462"/>
      <c r="K159" s="1462"/>
      <c r="L159" s="1462"/>
      <c r="M159" s="1462"/>
      <c r="N159" s="1462"/>
      <c r="O159" s="1462"/>
      <c r="P159" s="1462"/>
      <c r="Q159" s="1462"/>
      <c r="R159" s="1462"/>
      <c r="S159" s="1462"/>
      <c r="T159" s="1462"/>
      <c r="U159" s="1462"/>
      <c r="V159" s="1462"/>
      <c r="W159" s="1462"/>
      <c r="X159" s="1462"/>
      <c r="Y159" s="1462"/>
      <c r="Z159" s="1462"/>
      <c r="AA159" s="1462"/>
      <c r="AB159" s="1462"/>
      <c r="AC159" s="1462"/>
      <c r="AD159" s="1462"/>
      <c r="AE159" s="1462"/>
      <c r="AF159" s="1462"/>
      <c r="AG159" s="1462"/>
      <c r="AH159" s="1462"/>
      <c r="AI159" s="1462"/>
      <c r="AJ159" s="1465">
        <f t="shared" si="8"/>
        <v>0</v>
      </c>
      <c r="AK159" s="1465">
        <f t="shared" si="9"/>
        <v>0</v>
      </c>
      <c r="AL159" s="1466"/>
    </row>
    <row r="160" spans="1:38" s="156" customFormat="1" ht="19.149999999999999" customHeight="1" outlineLevel="1">
      <c r="A160" s="1182">
        <v>149</v>
      </c>
      <c r="B160" s="1182">
        <v>50</v>
      </c>
      <c r="C160" s="1635" t="str">
        <f>VLOOKUP(D160,'DS CN MOI UP'!$B$10:$C$347,2,0)</f>
        <v>02486</v>
      </c>
      <c r="D160" s="1185" t="s">
        <v>65</v>
      </c>
      <c r="E160" s="1462"/>
      <c r="F160" s="1462"/>
      <c r="G160" s="1462"/>
      <c r="H160" s="1462"/>
      <c r="I160" s="1462"/>
      <c r="J160" s="1462"/>
      <c r="K160" s="1462"/>
      <c r="L160" s="1462"/>
      <c r="M160" s="1462"/>
      <c r="N160" s="1462"/>
      <c r="O160" s="1462"/>
      <c r="P160" s="1462"/>
      <c r="Q160" s="1462"/>
      <c r="R160" s="1462"/>
      <c r="S160" s="1462"/>
      <c r="T160" s="1462"/>
      <c r="U160" s="1462"/>
      <c r="V160" s="1462"/>
      <c r="W160" s="1462"/>
      <c r="X160" s="1462"/>
      <c r="Y160" s="1462"/>
      <c r="Z160" s="1462"/>
      <c r="AA160" s="1462"/>
      <c r="AB160" s="1462"/>
      <c r="AC160" s="1462"/>
      <c r="AD160" s="1462"/>
      <c r="AE160" s="1462"/>
      <c r="AF160" s="1462"/>
      <c r="AG160" s="1462"/>
      <c r="AH160" s="1462"/>
      <c r="AI160" s="1462"/>
      <c r="AJ160" s="1465">
        <f t="shared" si="8"/>
        <v>0</v>
      </c>
      <c r="AK160" s="1465">
        <f t="shared" si="9"/>
        <v>0</v>
      </c>
      <c r="AL160" s="1466"/>
    </row>
    <row r="161" spans="1:38" s="156" customFormat="1" ht="19.149999999999999" customHeight="1" outlineLevel="1">
      <c r="A161" s="1182">
        <v>150</v>
      </c>
      <c r="B161" s="1182">
        <v>51</v>
      </c>
      <c r="C161" s="1635" t="str">
        <f>VLOOKUP(D161,'DS CN MOI UP'!$B$10:$C$347,2,0)</f>
        <v>02479</v>
      </c>
      <c r="D161" s="1185" t="s">
        <v>66</v>
      </c>
      <c r="E161" s="1462"/>
      <c r="F161" s="1462"/>
      <c r="G161" s="1462"/>
      <c r="H161" s="1462"/>
      <c r="I161" s="1462"/>
      <c r="J161" s="1462"/>
      <c r="K161" s="1462"/>
      <c r="L161" s="1462"/>
      <c r="M161" s="1462"/>
      <c r="N161" s="1462"/>
      <c r="O161" s="1462"/>
      <c r="P161" s="1462"/>
      <c r="Q161" s="1462"/>
      <c r="R161" s="1462"/>
      <c r="S161" s="1462"/>
      <c r="T161" s="1462"/>
      <c r="U161" s="1462"/>
      <c r="V161" s="1462"/>
      <c r="W161" s="1462"/>
      <c r="X161" s="1462"/>
      <c r="Y161" s="1462"/>
      <c r="Z161" s="1462"/>
      <c r="AA161" s="1462"/>
      <c r="AB161" s="1462"/>
      <c r="AC161" s="1462"/>
      <c r="AD161" s="1462"/>
      <c r="AE161" s="1462"/>
      <c r="AF161" s="1462"/>
      <c r="AG161" s="1462"/>
      <c r="AH161" s="1462"/>
      <c r="AI161" s="1462"/>
      <c r="AJ161" s="1465">
        <f t="shared" si="8"/>
        <v>0</v>
      </c>
      <c r="AK161" s="1465">
        <f t="shared" si="9"/>
        <v>0</v>
      </c>
      <c r="AL161" s="1466"/>
    </row>
    <row r="162" spans="1:38" s="156" customFormat="1" ht="19.149999999999999" customHeight="1" outlineLevel="1">
      <c r="A162" s="1182">
        <v>151</v>
      </c>
      <c r="B162" s="1182">
        <v>52</v>
      </c>
      <c r="C162" s="1635" t="str">
        <f>VLOOKUP(D162,'DS CN MOI UP'!$B$10:$C$347,2,0)</f>
        <v>02515</v>
      </c>
      <c r="D162" s="1468" t="s">
        <v>67</v>
      </c>
      <c r="E162" s="1462"/>
      <c r="F162" s="1462"/>
      <c r="G162" s="1462"/>
      <c r="H162" s="1462"/>
      <c r="I162" s="1462"/>
      <c r="J162" s="1462"/>
      <c r="K162" s="1462"/>
      <c r="L162" s="1462"/>
      <c r="M162" s="1462"/>
      <c r="N162" s="1462"/>
      <c r="O162" s="1462"/>
      <c r="P162" s="1462"/>
      <c r="Q162" s="1462"/>
      <c r="R162" s="1462"/>
      <c r="S162" s="1462"/>
      <c r="T162" s="1462"/>
      <c r="U162" s="1462"/>
      <c r="V162" s="1462"/>
      <c r="W162" s="1462"/>
      <c r="X162" s="1462"/>
      <c r="Y162" s="1462"/>
      <c r="Z162" s="1462"/>
      <c r="AA162" s="1462"/>
      <c r="AB162" s="1462"/>
      <c r="AC162" s="1462"/>
      <c r="AD162" s="1462"/>
      <c r="AE162" s="1462"/>
      <c r="AF162" s="1462"/>
      <c r="AG162" s="1462"/>
      <c r="AH162" s="1462"/>
      <c r="AI162" s="1462"/>
      <c r="AJ162" s="1465">
        <f t="shared" si="8"/>
        <v>0</v>
      </c>
      <c r="AK162" s="1465">
        <f t="shared" si="9"/>
        <v>0</v>
      </c>
      <c r="AL162" s="1466"/>
    </row>
    <row r="163" spans="1:38" s="156" customFormat="1" ht="19.149999999999999" customHeight="1" outlineLevel="1">
      <c r="A163" s="1182">
        <v>152</v>
      </c>
      <c r="B163" s="1182">
        <v>53</v>
      </c>
      <c r="C163" s="1635" t="str">
        <f>VLOOKUP(D163,'DS CN MOI UP'!$B$10:$C$347,2,0)</f>
        <v>02498</v>
      </c>
      <c r="D163" s="1468" t="s">
        <v>68</v>
      </c>
      <c r="E163" s="1462"/>
      <c r="F163" s="1462"/>
      <c r="G163" s="1462"/>
      <c r="H163" s="1462"/>
      <c r="I163" s="1462"/>
      <c r="J163" s="1462"/>
      <c r="K163" s="1462"/>
      <c r="L163" s="1462"/>
      <c r="M163" s="1462"/>
      <c r="N163" s="1462"/>
      <c r="O163" s="1462"/>
      <c r="P163" s="1462"/>
      <c r="Q163" s="1462"/>
      <c r="R163" s="1462"/>
      <c r="S163" s="1462"/>
      <c r="T163" s="1462"/>
      <c r="U163" s="1462"/>
      <c r="V163" s="1462"/>
      <c r="W163" s="1462"/>
      <c r="X163" s="1462"/>
      <c r="Y163" s="1462"/>
      <c r="Z163" s="1462"/>
      <c r="AA163" s="1462"/>
      <c r="AB163" s="1462"/>
      <c r="AC163" s="1462"/>
      <c r="AD163" s="1462"/>
      <c r="AE163" s="1462"/>
      <c r="AF163" s="1462"/>
      <c r="AG163" s="1462"/>
      <c r="AH163" s="1462"/>
      <c r="AI163" s="1462"/>
      <c r="AJ163" s="1465">
        <f t="shared" si="8"/>
        <v>0</v>
      </c>
      <c r="AK163" s="1465">
        <f t="shared" si="9"/>
        <v>0</v>
      </c>
      <c r="AL163" s="1466"/>
    </row>
    <row r="164" spans="1:38" s="156" customFormat="1" ht="19.149999999999999" customHeight="1" outlineLevel="1">
      <c r="A164" s="1182">
        <v>153</v>
      </c>
      <c r="B164" s="1182">
        <v>54</v>
      </c>
      <c r="C164" s="1635" t="str">
        <f>VLOOKUP(D164,'DS CN MOI UP'!$B$10:$C$347,2,0)</f>
        <v>02685</v>
      </c>
      <c r="D164" s="1468" t="s">
        <v>69</v>
      </c>
      <c r="E164" s="1462"/>
      <c r="F164" s="1462"/>
      <c r="G164" s="1462"/>
      <c r="H164" s="1462"/>
      <c r="I164" s="1462"/>
      <c r="J164" s="1462"/>
      <c r="K164" s="1462"/>
      <c r="L164" s="1462"/>
      <c r="M164" s="1462"/>
      <c r="N164" s="1462"/>
      <c r="O164" s="1462"/>
      <c r="P164" s="1462"/>
      <c r="Q164" s="1462"/>
      <c r="R164" s="1462"/>
      <c r="S164" s="1462"/>
      <c r="T164" s="1462"/>
      <c r="U164" s="1462"/>
      <c r="V164" s="1462"/>
      <c r="W164" s="1462"/>
      <c r="X164" s="1462"/>
      <c r="Y164" s="1462"/>
      <c r="Z164" s="1462"/>
      <c r="AA164" s="1462"/>
      <c r="AB164" s="1462"/>
      <c r="AC164" s="1462"/>
      <c r="AD164" s="1462"/>
      <c r="AE164" s="1462"/>
      <c r="AF164" s="1462"/>
      <c r="AG164" s="1462"/>
      <c r="AH164" s="1462"/>
      <c r="AI164" s="1462"/>
      <c r="AJ164" s="1465">
        <f t="shared" si="8"/>
        <v>0</v>
      </c>
      <c r="AK164" s="1465">
        <f t="shared" si="9"/>
        <v>0</v>
      </c>
      <c r="AL164" s="1466"/>
    </row>
    <row r="165" spans="1:38" s="156" customFormat="1" ht="19.149999999999999" customHeight="1" outlineLevel="1">
      <c r="A165" s="1182">
        <v>154</v>
      </c>
      <c r="B165" s="1182">
        <v>55</v>
      </c>
      <c r="C165" s="1635" t="str">
        <f>VLOOKUP(D165,'DS CN MOI UP'!$B$10:$C$347,2,0)</f>
        <v>02450</v>
      </c>
      <c r="D165" s="1468" t="s">
        <v>70</v>
      </c>
      <c r="E165" s="1462"/>
      <c r="F165" s="1462"/>
      <c r="G165" s="1462"/>
      <c r="H165" s="1462"/>
      <c r="I165" s="1462"/>
      <c r="J165" s="1462"/>
      <c r="K165" s="1462"/>
      <c r="L165" s="1462"/>
      <c r="M165" s="1462"/>
      <c r="N165" s="1462"/>
      <c r="O165" s="1462"/>
      <c r="P165" s="1462"/>
      <c r="Q165" s="1462"/>
      <c r="R165" s="1462"/>
      <c r="S165" s="1462"/>
      <c r="T165" s="1462"/>
      <c r="U165" s="1462"/>
      <c r="V165" s="1462"/>
      <c r="W165" s="1462"/>
      <c r="X165" s="1462"/>
      <c r="Y165" s="1462"/>
      <c r="Z165" s="1462"/>
      <c r="AA165" s="1462"/>
      <c r="AB165" s="1462"/>
      <c r="AC165" s="1462"/>
      <c r="AD165" s="1462"/>
      <c r="AE165" s="1462"/>
      <c r="AF165" s="1462"/>
      <c r="AG165" s="1462"/>
      <c r="AH165" s="1462"/>
      <c r="AI165" s="1462"/>
      <c r="AJ165" s="1465">
        <f t="shared" si="8"/>
        <v>0</v>
      </c>
      <c r="AK165" s="1465">
        <f t="shared" si="9"/>
        <v>0</v>
      </c>
      <c r="AL165" s="1466"/>
    </row>
    <row r="166" spans="1:38" s="156" customFormat="1" ht="19.149999999999999" customHeight="1" outlineLevel="1">
      <c r="A166" s="1182">
        <v>155</v>
      </c>
      <c r="B166" s="1182">
        <v>56</v>
      </c>
      <c r="C166" s="1635" t="str">
        <f>VLOOKUP(D166,'DS CN MOI UP'!$B$10:$C$347,2,0)</f>
        <v>02454</v>
      </c>
      <c r="D166" s="1468" t="s">
        <v>71</v>
      </c>
      <c r="E166" s="1462"/>
      <c r="F166" s="1462"/>
      <c r="G166" s="1462"/>
      <c r="H166" s="1462"/>
      <c r="I166" s="1462"/>
      <c r="J166" s="1462"/>
      <c r="K166" s="1462"/>
      <c r="L166" s="1462"/>
      <c r="M166" s="1462"/>
      <c r="N166" s="1462"/>
      <c r="O166" s="1462"/>
      <c r="P166" s="1462"/>
      <c r="Q166" s="1462"/>
      <c r="R166" s="1462"/>
      <c r="S166" s="1462"/>
      <c r="T166" s="1462"/>
      <c r="U166" s="1462"/>
      <c r="V166" s="1462"/>
      <c r="W166" s="1462"/>
      <c r="X166" s="1462"/>
      <c r="Y166" s="1462"/>
      <c r="Z166" s="1462"/>
      <c r="AA166" s="1462"/>
      <c r="AB166" s="1462"/>
      <c r="AC166" s="1462"/>
      <c r="AD166" s="1462"/>
      <c r="AE166" s="1462"/>
      <c r="AF166" s="1462"/>
      <c r="AG166" s="1462"/>
      <c r="AH166" s="1462"/>
      <c r="AI166" s="1462"/>
      <c r="AJ166" s="1465">
        <f t="shared" si="8"/>
        <v>0</v>
      </c>
      <c r="AK166" s="1465">
        <f t="shared" si="9"/>
        <v>0</v>
      </c>
      <c r="AL166" s="1466"/>
    </row>
    <row r="167" spans="1:38" s="156" customFormat="1" ht="19.149999999999999" customHeight="1" outlineLevel="1">
      <c r="A167" s="1182">
        <v>156</v>
      </c>
      <c r="B167" s="1182">
        <v>57</v>
      </c>
      <c r="C167" s="1635" t="str">
        <f>VLOOKUP(D167,'DS CN MOI UP'!$B$10:$C$347,2,0)</f>
        <v>03335</v>
      </c>
      <c r="D167" s="1471" t="s">
        <v>72</v>
      </c>
      <c r="E167" s="1462"/>
      <c r="F167" s="1462"/>
      <c r="G167" s="1462"/>
      <c r="H167" s="1462"/>
      <c r="I167" s="1462"/>
      <c r="J167" s="1462"/>
      <c r="K167" s="1462"/>
      <c r="L167" s="1462"/>
      <c r="M167" s="1462"/>
      <c r="N167" s="1462"/>
      <c r="O167" s="1462"/>
      <c r="P167" s="1462"/>
      <c r="Q167" s="1462"/>
      <c r="R167" s="1462"/>
      <c r="S167" s="1462"/>
      <c r="T167" s="1462"/>
      <c r="U167" s="1462"/>
      <c r="V167" s="1462"/>
      <c r="W167" s="1462"/>
      <c r="X167" s="1462"/>
      <c r="Y167" s="1462"/>
      <c r="Z167" s="1462"/>
      <c r="AA167" s="1462"/>
      <c r="AB167" s="1462"/>
      <c r="AC167" s="1462"/>
      <c r="AD167" s="1462"/>
      <c r="AE167" s="1462"/>
      <c r="AF167" s="1462"/>
      <c r="AG167" s="1462"/>
      <c r="AH167" s="1462"/>
      <c r="AI167" s="1462"/>
      <c r="AJ167" s="1465">
        <f t="shared" si="8"/>
        <v>0</v>
      </c>
      <c r="AK167" s="1465">
        <f t="shared" si="9"/>
        <v>0</v>
      </c>
      <c r="AL167" s="1466"/>
    </row>
    <row r="168" spans="1:38" s="156" customFormat="1" ht="19.149999999999999" customHeight="1" outlineLevel="1">
      <c r="A168" s="1182">
        <v>157</v>
      </c>
      <c r="B168" s="1182">
        <v>58</v>
      </c>
      <c r="C168" s="1635" t="str">
        <f>VLOOKUP(D168,'DS CN MOI UP'!$B$10:$C$347,2,0)</f>
        <v>02460</v>
      </c>
      <c r="D168" s="1471" t="s">
        <v>74</v>
      </c>
      <c r="E168" s="1462"/>
      <c r="F168" s="1462"/>
      <c r="G168" s="1462"/>
      <c r="H168" s="1462"/>
      <c r="I168" s="1462"/>
      <c r="J168" s="1462"/>
      <c r="K168" s="1462"/>
      <c r="L168" s="1462"/>
      <c r="M168" s="1462"/>
      <c r="N168" s="1462"/>
      <c r="O168" s="1462"/>
      <c r="P168" s="1462"/>
      <c r="Q168" s="1462"/>
      <c r="R168" s="1462"/>
      <c r="S168" s="1462"/>
      <c r="T168" s="1462"/>
      <c r="U168" s="1462"/>
      <c r="V168" s="1462"/>
      <c r="W168" s="1462"/>
      <c r="X168" s="1462"/>
      <c r="Y168" s="1462"/>
      <c r="Z168" s="1462"/>
      <c r="AA168" s="1462"/>
      <c r="AB168" s="1462"/>
      <c r="AC168" s="1462"/>
      <c r="AD168" s="1462"/>
      <c r="AE168" s="1462"/>
      <c r="AF168" s="1462"/>
      <c r="AG168" s="1462"/>
      <c r="AH168" s="1462"/>
      <c r="AI168" s="1462"/>
      <c r="AJ168" s="1465">
        <f t="shared" si="8"/>
        <v>0</v>
      </c>
      <c r="AK168" s="1465">
        <f t="shared" si="9"/>
        <v>0</v>
      </c>
      <c r="AL168" s="1466"/>
    </row>
    <row r="169" spans="1:38" s="156" customFormat="1" ht="19.149999999999999" customHeight="1" outlineLevel="1">
      <c r="A169" s="1182">
        <v>158</v>
      </c>
      <c r="B169" s="1182">
        <v>59</v>
      </c>
      <c r="C169" s="1635" t="str">
        <f>VLOOKUP(D169,'DS CN MOI UP'!$B$10:$C$347,2,0)</f>
        <v>02683</v>
      </c>
      <c r="D169" s="1471" t="s">
        <v>75</v>
      </c>
      <c r="E169" s="1462"/>
      <c r="F169" s="1462"/>
      <c r="G169" s="1462"/>
      <c r="H169" s="1462"/>
      <c r="I169" s="1462"/>
      <c r="J169" s="1462"/>
      <c r="K169" s="1462"/>
      <c r="L169" s="1462"/>
      <c r="M169" s="1462"/>
      <c r="N169" s="1462"/>
      <c r="O169" s="1462"/>
      <c r="P169" s="1462"/>
      <c r="Q169" s="1462"/>
      <c r="R169" s="1462"/>
      <c r="S169" s="1462"/>
      <c r="T169" s="1462"/>
      <c r="U169" s="1462"/>
      <c r="V169" s="1462"/>
      <c r="W169" s="1462"/>
      <c r="X169" s="1462"/>
      <c r="Y169" s="1462"/>
      <c r="Z169" s="1462"/>
      <c r="AA169" s="1462"/>
      <c r="AB169" s="1462"/>
      <c r="AC169" s="1462"/>
      <c r="AD169" s="1462"/>
      <c r="AE169" s="1462"/>
      <c r="AF169" s="1462"/>
      <c r="AG169" s="1462"/>
      <c r="AH169" s="1462"/>
      <c r="AI169" s="1462"/>
      <c r="AJ169" s="1465">
        <f t="shared" si="8"/>
        <v>0</v>
      </c>
      <c r="AK169" s="1465">
        <f t="shared" si="9"/>
        <v>0</v>
      </c>
      <c r="AL169" s="1466"/>
    </row>
    <row r="170" spans="1:38" s="156" customFormat="1" ht="19.149999999999999" customHeight="1" outlineLevel="1">
      <c r="A170" s="1182">
        <v>159</v>
      </c>
      <c r="B170" s="1182">
        <v>60</v>
      </c>
      <c r="C170" s="1635" t="str">
        <f>VLOOKUP(D170,'DS CN MOI UP'!$B$10:$C$347,2,0)</f>
        <v>02681</v>
      </c>
      <c r="D170" s="1471" t="s">
        <v>76</v>
      </c>
      <c r="E170" s="1462"/>
      <c r="F170" s="1462"/>
      <c r="G170" s="1462"/>
      <c r="H170" s="1462"/>
      <c r="I170" s="1462"/>
      <c r="J170" s="1462"/>
      <c r="K170" s="1462"/>
      <c r="L170" s="1462"/>
      <c r="M170" s="1462"/>
      <c r="N170" s="1462"/>
      <c r="O170" s="1462"/>
      <c r="P170" s="1462"/>
      <c r="Q170" s="1462"/>
      <c r="R170" s="1462"/>
      <c r="S170" s="1462"/>
      <c r="T170" s="1462"/>
      <c r="U170" s="1462"/>
      <c r="V170" s="1462"/>
      <c r="W170" s="1462"/>
      <c r="X170" s="1462"/>
      <c r="Y170" s="1462"/>
      <c r="Z170" s="1462"/>
      <c r="AA170" s="1462"/>
      <c r="AB170" s="1462"/>
      <c r="AC170" s="1462"/>
      <c r="AD170" s="1462"/>
      <c r="AE170" s="1462"/>
      <c r="AF170" s="1462"/>
      <c r="AG170" s="1462"/>
      <c r="AH170" s="1462"/>
      <c r="AI170" s="1462"/>
      <c r="AJ170" s="1465">
        <f t="shared" si="8"/>
        <v>0</v>
      </c>
      <c r="AK170" s="1465">
        <f t="shared" si="9"/>
        <v>0</v>
      </c>
      <c r="AL170" s="1466"/>
    </row>
    <row r="171" spans="1:38" s="156" customFormat="1" ht="19.149999999999999" customHeight="1" outlineLevel="1">
      <c r="A171" s="1182">
        <v>160</v>
      </c>
      <c r="B171" s="1182">
        <v>61</v>
      </c>
      <c r="C171" s="1635" t="str">
        <f>VLOOKUP(D171,'DS CN MOI UP'!$B$10:$C$347,2,0)</f>
        <v>02504</v>
      </c>
      <c r="D171" s="1471" t="s">
        <v>77</v>
      </c>
      <c r="E171" s="1462"/>
      <c r="F171" s="1462"/>
      <c r="G171" s="1462"/>
      <c r="H171" s="1462"/>
      <c r="I171" s="1462"/>
      <c r="J171" s="1462"/>
      <c r="K171" s="1462"/>
      <c r="L171" s="1462"/>
      <c r="M171" s="1462"/>
      <c r="N171" s="1462"/>
      <c r="O171" s="1462"/>
      <c r="P171" s="1462"/>
      <c r="Q171" s="1462"/>
      <c r="R171" s="1462"/>
      <c r="S171" s="1462"/>
      <c r="T171" s="1462"/>
      <c r="U171" s="1462"/>
      <c r="V171" s="1462"/>
      <c r="W171" s="1462"/>
      <c r="X171" s="1462"/>
      <c r="Y171" s="1462"/>
      <c r="Z171" s="1462"/>
      <c r="AA171" s="1462"/>
      <c r="AB171" s="1462"/>
      <c r="AC171" s="1462"/>
      <c r="AD171" s="1462"/>
      <c r="AE171" s="1462"/>
      <c r="AF171" s="1462"/>
      <c r="AG171" s="1462"/>
      <c r="AH171" s="1462"/>
      <c r="AI171" s="1462"/>
      <c r="AJ171" s="1465">
        <f t="shared" si="8"/>
        <v>0</v>
      </c>
      <c r="AK171" s="1465">
        <f t="shared" si="9"/>
        <v>0</v>
      </c>
      <c r="AL171" s="1466"/>
    </row>
    <row r="172" spans="1:38" s="156" customFormat="1" ht="19.149999999999999" customHeight="1" outlineLevel="1">
      <c r="A172" s="1182">
        <v>161</v>
      </c>
      <c r="B172" s="1182">
        <v>62</v>
      </c>
      <c r="C172" s="1635" t="str">
        <f>VLOOKUP(D172,'DS CN MOI UP'!$B$10:$C$347,2,0)</f>
        <v>02686</v>
      </c>
      <c r="D172" s="1471" t="s">
        <v>78</v>
      </c>
      <c r="E172" s="1462"/>
      <c r="F172" s="1462"/>
      <c r="G172" s="1462"/>
      <c r="H172" s="1462"/>
      <c r="I172" s="1462"/>
      <c r="J172" s="1462"/>
      <c r="K172" s="1462"/>
      <c r="L172" s="1462"/>
      <c r="M172" s="1462"/>
      <c r="N172" s="1462"/>
      <c r="O172" s="1462"/>
      <c r="P172" s="1462"/>
      <c r="Q172" s="1462"/>
      <c r="R172" s="1462"/>
      <c r="S172" s="1462"/>
      <c r="T172" s="1462"/>
      <c r="U172" s="1462"/>
      <c r="V172" s="1462"/>
      <c r="W172" s="1462"/>
      <c r="X172" s="1462"/>
      <c r="Y172" s="1462"/>
      <c r="Z172" s="1462"/>
      <c r="AA172" s="1462"/>
      <c r="AB172" s="1462"/>
      <c r="AC172" s="1462"/>
      <c r="AD172" s="1462"/>
      <c r="AE172" s="1462"/>
      <c r="AF172" s="1462"/>
      <c r="AG172" s="1462"/>
      <c r="AH172" s="1462"/>
      <c r="AI172" s="1462"/>
      <c r="AJ172" s="1465">
        <f t="shared" si="8"/>
        <v>0</v>
      </c>
      <c r="AK172" s="1465">
        <f t="shared" si="9"/>
        <v>0</v>
      </c>
      <c r="AL172" s="1466"/>
    </row>
    <row r="173" spans="1:38" s="156" customFormat="1" ht="19.149999999999999" customHeight="1" outlineLevel="1">
      <c r="A173" s="1182">
        <v>162</v>
      </c>
      <c r="B173" s="1182">
        <v>63</v>
      </c>
      <c r="C173" s="1635" t="str">
        <f>VLOOKUP(D173,'DS CN MOI UP'!$B$10:$C$347,2,0)</f>
        <v>02478</v>
      </c>
      <c r="D173" s="1471" t="s">
        <v>79</v>
      </c>
      <c r="E173" s="1462"/>
      <c r="F173" s="1462"/>
      <c r="G173" s="1462"/>
      <c r="H173" s="1462"/>
      <c r="I173" s="1462"/>
      <c r="J173" s="1462"/>
      <c r="K173" s="1462"/>
      <c r="L173" s="1462"/>
      <c r="M173" s="1462"/>
      <c r="N173" s="1462"/>
      <c r="O173" s="1462"/>
      <c r="P173" s="1462"/>
      <c r="Q173" s="1462"/>
      <c r="R173" s="1462"/>
      <c r="S173" s="1462"/>
      <c r="T173" s="1462"/>
      <c r="U173" s="1462"/>
      <c r="V173" s="1462"/>
      <c r="W173" s="1462"/>
      <c r="X173" s="1462"/>
      <c r="Y173" s="1462"/>
      <c r="Z173" s="1462"/>
      <c r="AA173" s="1462"/>
      <c r="AB173" s="1462"/>
      <c r="AC173" s="1462"/>
      <c r="AD173" s="1462"/>
      <c r="AE173" s="1462"/>
      <c r="AF173" s="1462"/>
      <c r="AG173" s="1462"/>
      <c r="AH173" s="1462"/>
      <c r="AI173" s="1462"/>
      <c r="AJ173" s="1465">
        <f t="shared" si="8"/>
        <v>0</v>
      </c>
      <c r="AK173" s="1465">
        <f t="shared" si="9"/>
        <v>0</v>
      </c>
      <c r="AL173" s="1466"/>
    </row>
    <row r="174" spans="1:38" s="156" customFormat="1" ht="19.149999999999999" customHeight="1" outlineLevel="1">
      <c r="A174" s="1182">
        <v>163</v>
      </c>
      <c r="B174" s="1182">
        <v>64</v>
      </c>
      <c r="C174" s="1635" t="str">
        <f>VLOOKUP(D174,'DS CN MOI UP'!$B$10:$C$347,2,0)</f>
        <v>02499</v>
      </c>
      <c r="D174" s="1471" t="s">
        <v>80</v>
      </c>
      <c r="E174" s="1462"/>
      <c r="F174" s="1462"/>
      <c r="G174" s="1462"/>
      <c r="H174" s="1462"/>
      <c r="I174" s="1462"/>
      <c r="J174" s="1462"/>
      <c r="K174" s="1462"/>
      <c r="L174" s="1462"/>
      <c r="M174" s="1462"/>
      <c r="N174" s="1462"/>
      <c r="O174" s="1462"/>
      <c r="P174" s="1462"/>
      <c r="Q174" s="1462"/>
      <c r="R174" s="1462"/>
      <c r="S174" s="1462"/>
      <c r="T174" s="1462"/>
      <c r="U174" s="1462"/>
      <c r="V174" s="1462"/>
      <c r="W174" s="1462"/>
      <c r="X174" s="1462"/>
      <c r="Y174" s="1462"/>
      <c r="Z174" s="1462"/>
      <c r="AA174" s="1462"/>
      <c r="AB174" s="1462"/>
      <c r="AC174" s="1462"/>
      <c r="AD174" s="1462"/>
      <c r="AE174" s="1462"/>
      <c r="AF174" s="1462"/>
      <c r="AG174" s="1462"/>
      <c r="AH174" s="1462"/>
      <c r="AI174" s="1462"/>
      <c r="AJ174" s="1465">
        <f t="shared" si="8"/>
        <v>0</v>
      </c>
      <c r="AK174" s="1465">
        <f t="shared" si="9"/>
        <v>0</v>
      </c>
      <c r="AL174" s="1466"/>
    </row>
    <row r="175" spans="1:38" s="156" customFormat="1" ht="19.149999999999999" customHeight="1" outlineLevel="1">
      <c r="A175" s="1182">
        <v>164</v>
      </c>
      <c r="B175" s="1182">
        <v>65</v>
      </c>
      <c r="C175" s="1635" t="str">
        <f>VLOOKUP(D175,'DS CN MOI UP'!$B$10:$C$347,2,0)</f>
        <v>03336</v>
      </c>
      <c r="D175" s="1471" t="s">
        <v>81</v>
      </c>
      <c r="E175" s="1462"/>
      <c r="F175" s="1462"/>
      <c r="G175" s="1462"/>
      <c r="H175" s="1462"/>
      <c r="I175" s="1462"/>
      <c r="J175" s="1462"/>
      <c r="K175" s="1462"/>
      <c r="L175" s="1462"/>
      <c r="M175" s="1462"/>
      <c r="N175" s="1462"/>
      <c r="O175" s="1462"/>
      <c r="P175" s="1462"/>
      <c r="Q175" s="1462"/>
      <c r="R175" s="1462"/>
      <c r="S175" s="1462"/>
      <c r="T175" s="1462"/>
      <c r="U175" s="1462"/>
      <c r="V175" s="1462"/>
      <c r="W175" s="1462"/>
      <c r="X175" s="1462"/>
      <c r="Y175" s="1462"/>
      <c r="Z175" s="1462"/>
      <c r="AA175" s="1462"/>
      <c r="AB175" s="1462"/>
      <c r="AC175" s="1462"/>
      <c r="AD175" s="1462"/>
      <c r="AE175" s="1462"/>
      <c r="AF175" s="1462"/>
      <c r="AG175" s="1462"/>
      <c r="AH175" s="1462"/>
      <c r="AI175" s="1462"/>
      <c r="AJ175" s="1465">
        <f t="shared" si="8"/>
        <v>0</v>
      </c>
      <c r="AK175" s="1465">
        <f t="shared" si="9"/>
        <v>0</v>
      </c>
      <c r="AL175" s="1466"/>
    </row>
    <row r="176" spans="1:38" s="156" customFormat="1" ht="19.149999999999999" customHeight="1" outlineLevel="1">
      <c r="A176" s="1182">
        <v>165</v>
      </c>
      <c r="B176" s="1182">
        <v>66</v>
      </c>
      <c r="C176" s="1635" t="str">
        <f>VLOOKUP(D176,'DS CN MOI UP'!$B$10:$C$347,2,0)</f>
        <v>02682</v>
      </c>
      <c r="D176" s="1471" t="s">
        <v>82</v>
      </c>
      <c r="E176" s="1462"/>
      <c r="F176" s="1462"/>
      <c r="G176" s="1462"/>
      <c r="H176" s="1462"/>
      <c r="I176" s="1462"/>
      <c r="J176" s="1462"/>
      <c r="K176" s="1462"/>
      <c r="L176" s="1462"/>
      <c r="M176" s="1462"/>
      <c r="N176" s="1462"/>
      <c r="O176" s="1462"/>
      <c r="P176" s="1462"/>
      <c r="Q176" s="1462"/>
      <c r="R176" s="1462"/>
      <c r="S176" s="1462"/>
      <c r="T176" s="1462"/>
      <c r="U176" s="1462"/>
      <c r="V176" s="1462"/>
      <c r="W176" s="1462"/>
      <c r="X176" s="1462"/>
      <c r="Y176" s="1462"/>
      <c r="Z176" s="1462"/>
      <c r="AA176" s="1462"/>
      <c r="AB176" s="1462"/>
      <c r="AC176" s="1462"/>
      <c r="AD176" s="1462"/>
      <c r="AE176" s="1462"/>
      <c r="AF176" s="1462"/>
      <c r="AG176" s="1462"/>
      <c r="AH176" s="1462"/>
      <c r="AI176" s="1462"/>
      <c r="AJ176" s="1465">
        <f t="shared" ref="AJ176:AJ204" si="10">SUM(E176:AI176)</f>
        <v>0</v>
      </c>
      <c r="AK176" s="1465">
        <f t="shared" si="9"/>
        <v>0</v>
      </c>
      <c r="AL176" s="1466"/>
    </row>
    <row r="177" spans="1:38" s="156" customFormat="1" ht="19.149999999999999" customHeight="1" outlineLevel="1">
      <c r="A177" s="1182">
        <v>166</v>
      </c>
      <c r="B177" s="1182">
        <v>67</v>
      </c>
      <c r="C177" s="1635" t="str">
        <f>VLOOKUP(D177,'DS CN MOI UP'!$B$10:$C$347,2,0)</f>
        <v>02482</v>
      </c>
      <c r="D177" s="1471" t="s">
        <v>83</v>
      </c>
      <c r="E177" s="1462"/>
      <c r="F177" s="1462"/>
      <c r="G177" s="1462"/>
      <c r="H177" s="1462"/>
      <c r="I177" s="1462"/>
      <c r="J177" s="1462"/>
      <c r="K177" s="1462"/>
      <c r="L177" s="1462"/>
      <c r="M177" s="1462"/>
      <c r="N177" s="1462"/>
      <c r="O177" s="1462"/>
      <c r="P177" s="1462"/>
      <c r="Q177" s="1462"/>
      <c r="R177" s="1462"/>
      <c r="S177" s="1462"/>
      <c r="T177" s="1462"/>
      <c r="U177" s="1462"/>
      <c r="V177" s="1462"/>
      <c r="W177" s="1462"/>
      <c r="X177" s="1462"/>
      <c r="Y177" s="1462"/>
      <c r="Z177" s="1462"/>
      <c r="AA177" s="1462"/>
      <c r="AB177" s="1462"/>
      <c r="AC177" s="1462"/>
      <c r="AD177" s="1462"/>
      <c r="AE177" s="1462"/>
      <c r="AF177" s="1462"/>
      <c r="AG177" s="1462"/>
      <c r="AH177" s="1462"/>
      <c r="AI177" s="1462"/>
      <c r="AJ177" s="1465">
        <f t="shared" si="10"/>
        <v>0</v>
      </c>
      <c r="AK177" s="1465">
        <f t="shared" si="9"/>
        <v>0</v>
      </c>
      <c r="AL177" s="1466"/>
    </row>
    <row r="178" spans="1:38" s="156" customFormat="1" ht="19.149999999999999" customHeight="1" outlineLevel="1">
      <c r="A178" s="1182">
        <v>167</v>
      </c>
      <c r="B178" s="1182">
        <v>68</v>
      </c>
      <c r="C178" s="1635" t="str">
        <f>VLOOKUP(D178,'DS CN MOI UP'!$B$10:$C$347,2,0)</f>
        <v>03337</v>
      </c>
      <c r="D178" s="1471" t="s">
        <v>84</v>
      </c>
      <c r="E178" s="1462"/>
      <c r="F178" s="1462"/>
      <c r="G178" s="1462"/>
      <c r="H178" s="1462"/>
      <c r="I178" s="1462"/>
      <c r="J178" s="1462"/>
      <c r="K178" s="1462"/>
      <c r="L178" s="1462"/>
      <c r="M178" s="1462"/>
      <c r="N178" s="1462"/>
      <c r="O178" s="1462"/>
      <c r="P178" s="1462"/>
      <c r="Q178" s="1462"/>
      <c r="R178" s="1462"/>
      <c r="S178" s="1462"/>
      <c r="T178" s="1462"/>
      <c r="U178" s="1462"/>
      <c r="V178" s="1462"/>
      <c r="W178" s="1462"/>
      <c r="X178" s="1462"/>
      <c r="Y178" s="1462"/>
      <c r="Z178" s="1462"/>
      <c r="AA178" s="1462"/>
      <c r="AB178" s="1462"/>
      <c r="AC178" s="1462"/>
      <c r="AD178" s="1462"/>
      <c r="AE178" s="1462"/>
      <c r="AF178" s="1462"/>
      <c r="AG178" s="1462"/>
      <c r="AH178" s="1462"/>
      <c r="AI178" s="1462"/>
      <c r="AJ178" s="1465">
        <f t="shared" si="10"/>
        <v>0</v>
      </c>
      <c r="AK178" s="1465">
        <f t="shared" si="9"/>
        <v>0</v>
      </c>
      <c r="AL178" s="1466"/>
    </row>
    <row r="179" spans="1:38" s="156" customFormat="1" ht="19.149999999999999" customHeight="1" outlineLevel="1">
      <c r="A179" s="1182">
        <v>168</v>
      </c>
      <c r="B179" s="1182">
        <v>69</v>
      </c>
      <c r="C179" s="1635" t="str">
        <f>VLOOKUP(D179,'DS CN MOI UP'!$B$10:$C$347,2,0)</f>
        <v>03338</v>
      </c>
      <c r="D179" s="1471" t="s">
        <v>85</v>
      </c>
      <c r="E179" s="1462"/>
      <c r="F179" s="1462"/>
      <c r="G179" s="1462"/>
      <c r="H179" s="1462"/>
      <c r="I179" s="1462"/>
      <c r="J179" s="1462"/>
      <c r="K179" s="1462"/>
      <c r="L179" s="1462"/>
      <c r="M179" s="1462"/>
      <c r="N179" s="1462"/>
      <c r="O179" s="1462"/>
      <c r="P179" s="1462"/>
      <c r="Q179" s="1462"/>
      <c r="R179" s="1462"/>
      <c r="S179" s="1462"/>
      <c r="T179" s="1462"/>
      <c r="U179" s="1462"/>
      <c r="V179" s="1462"/>
      <c r="W179" s="1462"/>
      <c r="X179" s="1462"/>
      <c r="Y179" s="1462"/>
      <c r="Z179" s="1462"/>
      <c r="AA179" s="1462"/>
      <c r="AB179" s="1462"/>
      <c r="AC179" s="1462"/>
      <c r="AD179" s="1462"/>
      <c r="AE179" s="1462"/>
      <c r="AF179" s="1462"/>
      <c r="AG179" s="1462"/>
      <c r="AH179" s="1462"/>
      <c r="AI179" s="1462"/>
      <c r="AJ179" s="1465">
        <f t="shared" si="10"/>
        <v>0</v>
      </c>
      <c r="AK179" s="1465">
        <f t="shared" si="9"/>
        <v>0</v>
      </c>
      <c r="AL179" s="1466"/>
    </row>
    <row r="180" spans="1:38" s="156" customFormat="1" ht="19.149999999999999" customHeight="1" outlineLevel="1">
      <c r="A180" s="1182">
        <v>169</v>
      </c>
      <c r="B180" s="1182">
        <v>70</v>
      </c>
      <c r="C180" s="1635" t="str">
        <f>VLOOKUP(D180,'DS CN MOI UP'!$B$10:$C$347,2,0)</f>
        <v>02481</v>
      </c>
      <c r="D180" s="1471" t="s">
        <v>86</v>
      </c>
      <c r="E180" s="1462"/>
      <c r="F180" s="1462"/>
      <c r="G180" s="1462"/>
      <c r="H180" s="1462"/>
      <c r="I180" s="1462"/>
      <c r="J180" s="1462"/>
      <c r="K180" s="1462"/>
      <c r="L180" s="1462"/>
      <c r="M180" s="1462"/>
      <c r="N180" s="1462"/>
      <c r="O180" s="1462"/>
      <c r="P180" s="1462"/>
      <c r="Q180" s="1462"/>
      <c r="R180" s="1462"/>
      <c r="S180" s="1462"/>
      <c r="T180" s="1462"/>
      <c r="U180" s="1462"/>
      <c r="V180" s="1462"/>
      <c r="W180" s="1462"/>
      <c r="X180" s="1462"/>
      <c r="Y180" s="1462"/>
      <c r="Z180" s="1462"/>
      <c r="AA180" s="1462"/>
      <c r="AB180" s="1462"/>
      <c r="AC180" s="1462"/>
      <c r="AD180" s="1462"/>
      <c r="AE180" s="1462"/>
      <c r="AF180" s="1462"/>
      <c r="AG180" s="1462"/>
      <c r="AH180" s="1462"/>
      <c r="AI180" s="1462"/>
      <c r="AJ180" s="1465">
        <f t="shared" si="10"/>
        <v>0</v>
      </c>
      <c r="AK180" s="1465">
        <f t="shared" si="9"/>
        <v>0</v>
      </c>
      <c r="AL180" s="1466"/>
    </row>
    <row r="181" spans="1:38" s="156" customFormat="1" ht="19.149999999999999" customHeight="1" outlineLevel="1">
      <c r="A181" s="1182">
        <v>170</v>
      </c>
      <c r="B181" s="1182">
        <v>71</v>
      </c>
      <c r="C181" s="1635" t="str">
        <f>VLOOKUP(D181,'DS CN MOI UP'!$B$10:$C$347,2,0)</f>
        <v>02463</v>
      </c>
      <c r="D181" s="1471" t="s">
        <v>87</v>
      </c>
      <c r="E181" s="1462"/>
      <c r="F181" s="1462"/>
      <c r="G181" s="1462"/>
      <c r="H181" s="1462"/>
      <c r="I181" s="1462"/>
      <c r="J181" s="1462"/>
      <c r="K181" s="1462"/>
      <c r="L181" s="1462"/>
      <c r="M181" s="1462"/>
      <c r="N181" s="1462"/>
      <c r="O181" s="1462"/>
      <c r="P181" s="1462"/>
      <c r="Q181" s="1462"/>
      <c r="R181" s="1462"/>
      <c r="S181" s="1462"/>
      <c r="T181" s="1462"/>
      <c r="U181" s="1462"/>
      <c r="V181" s="1462"/>
      <c r="W181" s="1462"/>
      <c r="X181" s="1462"/>
      <c r="Y181" s="1462"/>
      <c r="Z181" s="1462"/>
      <c r="AA181" s="1462"/>
      <c r="AB181" s="1462"/>
      <c r="AC181" s="1462"/>
      <c r="AD181" s="1462"/>
      <c r="AE181" s="1462"/>
      <c r="AF181" s="1462"/>
      <c r="AG181" s="1462"/>
      <c r="AH181" s="1462"/>
      <c r="AI181" s="1462"/>
      <c r="AJ181" s="1465">
        <f t="shared" si="10"/>
        <v>0</v>
      </c>
      <c r="AK181" s="1465">
        <f t="shared" si="9"/>
        <v>0</v>
      </c>
      <c r="AL181" s="1466"/>
    </row>
    <row r="182" spans="1:38" s="156" customFormat="1" ht="19.149999999999999" customHeight="1" outlineLevel="1">
      <c r="A182" s="1182">
        <v>171</v>
      </c>
      <c r="B182" s="1182">
        <v>72</v>
      </c>
      <c r="C182" s="1635" t="str">
        <f>VLOOKUP(D182,'DS CN MOI UP'!$B$10:$C$347,2,0)</f>
        <v>02464</v>
      </c>
      <c r="D182" s="1471" t="s">
        <v>88</v>
      </c>
      <c r="E182" s="1462"/>
      <c r="F182" s="1462"/>
      <c r="G182" s="1462"/>
      <c r="H182" s="1462"/>
      <c r="I182" s="1462"/>
      <c r="J182" s="1462"/>
      <c r="K182" s="1462"/>
      <c r="L182" s="1462"/>
      <c r="M182" s="1462"/>
      <c r="N182" s="1462"/>
      <c r="O182" s="1462"/>
      <c r="P182" s="1462"/>
      <c r="Q182" s="1462"/>
      <c r="R182" s="1462"/>
      <c r="S182" s="1462"/>
      <c r="T182" s="1462"/>
      <c r="U182" s="1462"/>
      <c r="V182" s="1462"/>
      <c r="W182" s="1462"/>
      <c r="X182" s="1462"/>
      <c r="Y182" s="1462"/>
      <c r="Z182" s="1462"/>
      <c r="AA182" s="1462"/>
      <c r="AB182" s="1462"/>
      <c r="AC182" s="1462"/>
      <c r="AD182" s="1462"/>
      <c r="AE182" s="1462"/>
      <c r="AF182" s="1462"/>
      <c r="AG182" s="1462"/>
      <c r="AH182" s="1462"/>
      <c r="AI182" s="1462"/>
      <c r="AJ182" s="1465">
        <f t="shared" si="10"/>
        <v>0</v>
      </c>
      <c r="AK182" s="1465">
        <f t="shared" si="9"/>
        <v>0</v>
      </c>
      <c r="AL182" s="1466"/>
    </row>
    <row r="183" spans="1:38" s="156" customFormat="1" ht="19.149999999999999" customHeight="1" outlineLevel="1">
      <c r="A183" s="1182">
        <v>172</v>
      </c>
      <c r="B183" s="1182">
        <v>73</v>
      </c>
      <c r="C183" s="1635" t="str">
        <f>VLOOKUP(D183,'DS CN MOI UP'!$B$10:$C$347,2,0)</f>
        <v>02456</v>
      </c>
      <c r="D183" s="1471" t="s">
        <v>89</v>
      </c>
      <c r="E183" s="1462"/>
      <c r="F183" s="1462"/>
      <c r="G183" s="1462"/>
      <c r="H183" s="1462"/>
      <c r="I183" s="1462"/>
      <c r="J183" s="1462"/>
      <c r="K183" s="1462"/>
      <c r="L183" s="1462"/>
      <c r="M183" s="1462"/>
      <c r="N183" s="1462"/>
      <c r="O183" s="1462"/>
      <c r="P183" s="1462"/>
      <c r="Q183" s="1462"/>
      <c r="R183" s="1462"/>
      <c r="S183" s="1462"/>
      <c r="T183" s="1462"/>
      <c r="U183" s="1462"/>
      <c r="V183" s="1462"/>
      <c r="W183" s="1462"/>
      <c r="X183" s="1462"/>
      <c r="Y183" s="1462"/>
      <c r="Z183" s="1462"/>
      <c r="AA183" s="1462"/>
      <c r="AB183" s="1462"/>
      <c r="AC183" s="1462"/>
      <c r="AD183" s="1462"/>
      <c r="AE183" s="1462"/>
      <c r="AF183" s="1462"/>
      <c r="AG183" s="1462"/>
      <c r="AH183" s="1462"/>
      <c r="AI183" s="1462"/>
      <c r="AJ183" s="1465">
        <f t="shared" si="10"/>
        <v>0</v>
      </c>
      <c r="AK183" s="1465">
        <f t="shared" si="9"/>
        <v>0</v>
      </c>
      <c r="AL183" s="1466"/>
    </row>
    <row r="184" spans="1:38" s="156" customFormat="1" ht="19.149999999999999" customHeight="1" outlineLevel="1">
      <c r="A184" s="1182">
        <v>173</v>
      </c>
      <c r="B184" s="1182">
        <v>74</v>
      </c>
      <c r="C184" s="1635" t="str">
        <f>VLOOKUP(D184,'DS CN MOI UP'!$B$10:$C$347,2,0)</f>
        <v>02461</v>
      </c>
      <c r="D184" s="1471" t="s">
        <v>90</v>
      </c>
      <c r="E184" s="1462"/>
      <c r="F184" s="1462"/>
      <c r="G184" s="1462"/>
      <c r="H184" s="1462"/>
      <c r="I184" s="1462"/>
      <c r="J184" s="1462"/>
      <c r="K184" s="1462"/>
      <c r="L184" s="1462"/>
      <c r="M184" s="1462"/>
      <c r="N184" s="1462"/>
      <c r="O184" s="1462"/>
      <c r="P184" s="1462"/>
      <c r="Q184" s="1462"/>
      <c r="R184" s="1462"/>
      <c r="S184" s="1462"/>
      <c r="T184" s="1462"/>
      <c r="U184" s="1462"/>
      <c r="V184" s="1462"/>
      <c r="W184" s="1462"/>
      <c r="X184" s="1462"/>
      <c r="Y184" s="1462"/>
      <c r="Z184" s="1462"/>
      <c r="AA184" s="1462"/>
      <c r="AB184" s="1462"/>
      <c r="AC184" s="1462"/>
      <c r="AD184" s="1462"/>
      <c r="AE184" s="1462"/>
      <c r="AF184" s="1462"/>
      <c r="AG184" s="1462"/>
      <c r="AH184" s="1462"/>
      <c r="AI184" s="1462"/>
      <c r="AJ184" s="1465">
        <f t="shared" si="10"/>
        <v>0</v>
      </c>
      <c r="AK184" s="1465">
        <f t="shared" si="9"/>
        <v>0</v>
      </c>
      <c r="AL184" s="1466"/>
    </row>
    <row r="185" spans="1:38" s="156" customFormat="1" ht="19.149999999999999" customHeight="1" outlineLevel="1">
      <c r="A185" s="1182">
        <v>174</v>
      </c>
      <c r="B185" s="1182">
        <v>75</v>
      </c>
      <c r="C185" s="1635" t="str">
        <f>VLOOKUP(D185,'DS CN MOI UP'!$B$10:$C$347,2,0)</f>
        <v>02680</v>
      </c>
      <c r="D185" s="1471" t="s">
        <v>91</v>
      </c>
      <c r="E185" s="1462"/>
      <c r="F185" s="1462"/>
      <c r="G185" s="1462"/>
      <c r="H185" s="1462"/>
      <c r="I185" s="1462"/>
      <c r="J185" s="1462"/>
      <c r="K185" s="1462"/>
      <c r="L185" s="1462"/>
      <c r="M185" s="1462"/>
      <c r="N185" s="1462"/>
      <c r="O185" s="1462"/>
      <c r="P185" s="1462"/>
      <c r="Q185" s="1462"/>
      <c r="R185" s="1462"/>
      <c r="S185" s="1462"/>
      <c r="T185" s="1462"/>
      <c r="U185" s="1462"/>
      <c r="V185" s="1462"/>
      <c r="W185" s="1462"/>
      <c r="X185" s="1462"/>
      <c r="Y185" s="1462"/>
      <c r="Z185" s="1462"/>
      <c r="AA185" s="1462"/>
      <c r="AB185" s="1462"/>
      <c r="AC185" s="1462"/>
      <c r="AD185" s="1462"/>
      <c r="AE185" s="1462"/>
      <c r="AF185" s="1462"/>
      <c r="AG185" s="1462"/>
      <c r="AH185" s="1462"/>
      <c r="AI185" s="1462"/>
      <c r="AJ185" s="1465">
        <f t="shared" si="10"/>
        <v>0</v>
      </c>
      <c r="AK185" s="1465">
        <f t="shared" si="9"/>
        <v>0</v>
      </c>
      <c r="AL185" s="1466"/>
    </row>
    <row r="186" spans="1:38" s="156" customFormat="1" ht="19.149999999999999" customHeight="1" outlineLevel="1">
      <c r="A186" s="1182">
        <v>175</v>
      </c>
      <c r="B186" s="1182">
        <v>76</v>
      </c>
      <c r="C186" s="1635" t="str">
        <f>VLOOKUP(D186,'DS CN MOI UP'!$B$10:$C$347,2,0)</f>
        <v>02501</v>
      </c>
      <c r="D186" s="1471" t="s">
        <v>92</v>
      </c>
      <c r="E186" s="1462"/>
      <c r="F186" s="1462"/>
      <c r="G186" s="1462"/>
      <c r="H186" s="1462"/>
      <c r="I186" s="1462"/>
      <c r="J186" s="1462"/>
      <c r="K186" s="1462"/>
      <c r="L186" s="1462"/>
      <c r="M186" s="1462"/>
      <c r="N186" s="1462"/>
      <c r="O186" s="1462"/>
      <c r="P186" s="1462"/>
      <c r="Q186" s="1462"/>
      <c r="R186" s="1462"/>
      <c r="S186" s="1462"/>
      <c r="T186" s="1462"/>
      <c r="U186" s="1462"/>
      <c r="V186" s="1462"/>
      <c r="W186" s="1462"/>
      <c r="X186" s="1462"/>
      <c r="Y186" s="1462"/>
      <c r="Z186" s="1462"/>
      <c r="AA186" s="1462"/>
      <c r="AB186" s="1462"/>
      <c r="AC186" s="1462"/>
      <c r="AD186" s="1462"/>
      <c r="AE186" s="1462"/>
      <c r="AF186" s="1462"/>
      <c r="AG186" s="1462"/>
      <c r="AH186" s="1462"/>
      <c r="AI186" s="1462"/>
      <c r="AJ186" s="1465">
        <f t="shared" si="10"/>
        <v>0</v>
      </c>
      <c r="AK186" s="1465">
        <f t="shared" si="9"/>
        <v>0</v>
      </c>
      <c r="AL186" s="1466"/>
    </row>
    <row r="187" spans="1:38" s="156" customFormat="1" ht="19.149999999999999" customHeight="1" outlineLevel="1">
      <c r="A187" s="1182">
        <v>176</v>
      </c>
      <c r="B187" s="1182">
        <v>77</v>
      </c>
      <c r="C187" s="1635" t="str">
        <f>VLOOKUP(D187,'DS CN MOI UP'!$B$10:$C$347,2,0)</f>
        <v>02503</v>
      </c>
      <c r="D187" s="1471" t="s">
        <v>93</v>
      </c>
      <c r="E187" s="1462"/>
      <c r="F187" s="1462"/>
      <c r="G187" s="1462"/>
      <c r="H187" s="1462"/>
      <c r="I187" s="1462"/>
      <c r="J187" s="1462"/>
      <c r="K187" s="1462"/>
      <c r="L187" s="1462"/>
      <c r="M187" s="1462"/>
      <c r="N187" s="1462"/>
      <c r="O187" s="1462"/>
      <c r="P187" s="1462"/>
      <c r="Q187" s="1462"/>
      <c r="R187" s="1462"/>
      <c r="S187" s="1462"/>
      <c r="T187" s="1462"/>
      <c r="U187" s="1462"/>
      <c r="V187" s="1462"/>
      <c r="W187" s="1462"/>
      <c r="X187" s="1462"/>
      <c r="Y187" s="1462"/>
      <c r="Z187" s="1462"/>
      <c r="AA187" s="1462"/>
      <c r="AB187" s="1462"/>
      <c r="AC187" s="1462"/>
      <c r="AD187" s="1462"/>
      <c r="AE187" s="1462"/>
      <c r="AF187" s="1462"/>
      <c r="AG187" s="1462"/>
      <c r="AH187" s="1462"/>
      <c r="AI187" s="1462"/>
      <c r="AJ187" s="1465">
        <f t="shared" si="10"/>
        <v>0</v>
      </c>
      <c r="AK187" s="1465">
        <f t="shared" si="9"/>
        <v>0</v>
      </c>
      <c r="AL187" s="1466"/>
    </row>
    <row r="188" spans="1:38" s="156" customFormat="1" ht="19.149999999999999" customHeight="1" outlineLevel="1">
      <c r="A188" s="1182">
        <v>177</v>
      </c>
      <c r="B188" s="1182">
        <v>78</v>
      </c>
      <c r="C188" s="1635" t="str">
        <f>VLOOKUP(D188,'DS CN MOI UP'!$B$10:$C$347,2,0)</f>
        <v>02468</v>
      </c>
      <c r="D188" s="1471" t="s">
        <v>94</v>
      </c>
      <c r="E188" s="1462"/>
      <c r="F188" s="1462"/>
      <c r="G188" s="1462"/>
      <c r="H188" s="1462"/>
      <c r="I188" s="1462"/>
      <c r="J188" s="1462"/>
      <c r="K188" s="1462"/>
      <c r="L188" s="1462"/>
      <c r="M188" s="1462"/>
      <c r="N188" s="1462"/>
      <c r="O188" s="1462"/>
      <c r="P188" s="1462"/>
      <c r="Q188" s="1462"/>
      <c r="R188" s="1462"/>
      <c r="S188" s="1462"/>
      <c r="T188" s="1462"/>
      <c r="U188" s="1462"/>
      <c r="V188" s="1462"/>
      <c r="W188" s="1462"/>
      <c r="X188" s="1462"/>
      <c r="Y188" s="1462"/>
      <c r="Z188" s="1462"/>
      <c r="AA188" s="1462"/>
      <c r="AB188" s="1462"/>
      <c r="AC188" s="1462"/>
      <c r="AD188" s="1462"/>
      <c r="AE188" s="1462"/>
      <c r="AF188" s="1462"/>
      <c r="AG188" s="1462"/>
      <c r="AH188" s="1462"/>
      <c r="AI188" s="1462"/>
      <c r="AJ188" s="1465">
        <f t="shared" si="10"/>
        <v>0</v>
      </c>
      <c r="AK188" s="1465">
        <f t="shared" si="9"/>
        <v>0</v>
      </c>
      <c r="AL188" s="1466"/>
    </row>
    <row r="189" spans="1:38" s="156" customFormat="1" ht="19.149999999999999" customHeight="1" outlineLevel="1">
      <c r="A189" s="1182">
        <v>178</v>
      </c>
      <c r="B189" s="1182">
        <v>79</v>
      </c>
      <c r="C189" s="1635" t="str">
        <f>VLOOKUP(D189,'DS CN MOI UP'!$B$10:$C$347,2,0)</f>
        <v>03339</v>
      </c>
      <c r="D189" s="1471" t="s">
        <v>95</v>
      </c>
      <c r="E189" s="1462"/>
      <c r="F189" s="1462"/>
      <c r="G189" s="1462"/>
      <c r="H189" s="1462"/>
      <c r="I189" s="1462"/>
      <c r="J189" s="1462"/>
      <c r="K189" s="1462"/>
      <c r="L189" s="1462"/>
      <c r="M189" s="1462"/>
      <c r="N189" s="1462"/>
      <c r="O189" s="1462"/>
      <c r="P189" s="1462"/>
      <c r="Q189" s="1462"/>
      <c r="R189" s="1462"/>
      <c r="S189" s="1462"/>
      <c r="T189" s="1462"/>
      <c r="U189" s="1462"/>
      <c r="V189" s="1462"/>
      <c r="W189" s="1462"/>
      <c r="X189" s="1462"/>
      <c r="Y189" s="1462"/>
      <c r="Z189" s="1462"/>
      <c r="AA189" s="1462"/>
      <c r="AB189" s="1462"/>
      <c r="AC189" s="1462"/>
      <c r="AD189" s="1462"/>
      <c r="AE189" s="1462"/>
      <c r="AF189" s="1462"/>
      <c r="AG189" s="1462"/>
      <c r="AH189" s="1462"/>
      <c r="AI189" s="1462"/>
      <c r="AJ189" s="1465">
        <f t="shared" si="10"/>
        <v>0</v>
      </c>
      <c r="AK189" s="1465">
        <f t="shared" si="9"/>
        <v>0</v>
      </c>
      <c r="AL189" s="1466"/>
    </row>
    <row r="190" spans="1:38" s="156" customFormat="1" ht="19.149999999999999" customHeight="1" outlineLevel="1">
      <c r="A190" s="1182">
        <v>179</v>
      </c>
      <c r="B190" s="1182">
        <v>80</v>
      </c>
      <c r="C190" s="1635" t="str">
        <f>VLOOKUP(D190,'DS CN MOI UP'!$B$10:$C$347,2,0)</f>
        <v>02494</v>
      </c>
      <c r="D190" s="1471" t="s">
        <v>96</v>
      </c>
      <c r="E190" s="1462"/>
      <c r="F190" s="1462"/>
      <c r="G190" s="1462"/>
      <c r="H190" s="1462"/>
      <c r="I190" s="1462"/>
      <c r="J190" s="1462"/>
      <c r="K190" s="1462"/>
      <c r="L190" s="1462"/>
      <c r="M190" s="1462"/>
      <c r="N190" s="1462"/>
      <c r="O190" s="1462"/>
      <c r="P190" s="1462"/>
      <c r="Q190" s="1462"/>
      <c r="R190" s="1462"/>
      <c r="S190" s="1462"/>
      <c r="T190" s="1462"/>
      <c r="U190" s="1462"/>
      <c r="V190" s="1462"/>
      <c r="W190" s="1462"/>
      <c r="X190" s="1462"/>
      <c r="Y190" s="1462"/>
      <c r="Z190" s="1462"/>
      <c r="AA190" s="1462"/>
      <c r="AB190" s="1462"/>
      <c r="AC190" s="1462"/>
      <c r="AD190" s="1462"/>
      <c r="AE190" s="1462"/>
      <c r="AF190" s="1462"/>
      <c r="AG190" s="1462"/>
      <c r="AH190" s="1462"/>
      <c r="AI190" s="1462"/>
      <c r="AJ190" s="1465">
        <f t="shared" si="10"/>
        <v>0</v>
      </c>
      <c r="AK190" s="1465">
        <f t="shared" si="9"/>
        <v>0</v>
      </c>
      <c r="AL190" s="1466"/>
    </row>
    <row r="191" spans="1:38" s="156" customFormat="1" ht="19.149999999999999" customHeight="1" outlineLevel="1">
      <c r="A191" s="1182">
        <v>180</v>
      </c>
      <c r="B191" s="1182">
        <v>81</v>
      </c>
      <c r="C191" s="1635" t="str">
        <f>VLOOKUP(D191,'DS CN MOI UP'!$B$10:$C$347,2,0)</f>
        <v>02476</v>
      </c>
      <c r="D191" s="1471" t="s">
        <v>97</v>
      </c>
      <c r="E191" s="1462"/>
      <c r="F191" s="1462"/>
      <c r="G191" s="1462"/>
      <c r="H191" s="1462"/>
      <c r="I191" s="1462"/>
      <c r="J191" s="1462"/>
      <c r="K191" s="1462"/>
      <c r="L191" s="1462"/>
      <c r="M191" s="1462"/>
      <c r="N191" s="1462"/>
      <c r="O191" s="1462"/>
      <c r="P191" s="1462"/>
      <c r="Q191" s="1462"/>
      <c r="R191" s="1462"/>
      <c r="S191" s="1462"/>
      <c r="T191" s="1462"/>
      <c r="U191" s="1462"/>
      <c r="V191" s="1462"/>
      <c r="W191" s="1462"/>
      <c r="X191" s="1462"/>
      <c r="Y191" s="1462"/>
      <c r="Z191" s="1462"/>
      <c r="AA191" s="1462"/>
      <c r="AB191" s="1462"/>
      <c r="AC191" s="1462"/>
      <c r="AD191" s="1462"/>
      <c r="AE191" s="1462"/>
      <c r="AF191" s="1462"/>
      <c r="AG191" s="1462"/>
      <c r="AH191" s="1462"/>
      <c r="AI191" s="1462"/>
      <c r="AJ191" s="1465">
        <f t="shared" si="10"/>
        <v>0</v>
      </c>
      <c r="AK191" s="1465">
        <f t="shared" si="9"/>
        <v>0</v>
      </c>
      <c r="AL191" s="1466"/>
    </row>
    <row r="192" spans="1:38" s="156" customFormat="1" ht="19.149999999999999" customHeight="1" outlineLevel="1">
      <c r="A192" s="1182">
        <v>181</v>
      </c>
      <c r="B192" s="1182">
        <v>82</v>
      </c>
      <c r="C192" s="1635" t="str">
        <f>VLOOKUP(D192,'DS CN MOI UP'!$B$10:$C$347,2,0)</f>
        <v>02496</v>
      </c>
      <c r="D192" s="1471" t="s">
        <v>98</v>
      </c>
      <c r="E192" s="1462"/>
      <c r="F192" s="1462"/>
      <c r="G192" s="1462"/>
      <c r="H192" s="1462"/>
      <c r="I192" s="1462"/>
      <c r="J192" s="1462"/>
      <c r="K192" s="1462"/>
      <c r="L192" s="1462"/>
      <c r="M192" s="1462"/>
      <c r="N192" s="1462"/>
      <c r="O192" s="1462"/>
      <c r="P192" s="1462"/>
      <c r="Q192" s="1462"/>
      <c r="R192" s="1462"/>
      <c r="S192" s="1462"/>
      <c r="T192" s="1462"/>
      <c r="U192" s="1462"/>
      <c r="V192" s="1462"/>
      <c r="W192" s="1462"/>
      <c r="X192" s="1462"/>
      <c r="Y192" s="1462"/>
      <c r="Z192" s="1462"/>
      <c r="AA192" s="1462"/>
      <c r="AB192" s="1462"/>
      <c r="AC192" s="1462"/>
      <c r="AD192" s="1462"/>
      <c r="AE192" s="1462"/>
      <c r="AF192" s="1462"/>
      <c r="AG192" s="1462"/>
      <c r="AH192" s="1462"/>
      <c r="AI192" s="1462"/>
      <c r="AJ192" s="1465">
        <f t="shared" si="10"/>
        <v>0</v>
      </c>
      <c r="AK192" s="1465">
        <f t="shared" si="9"/>
        <v>0</v>
      </c>
      <c r="AL192" s="1466"/>
    </row>
    <row r="193" spans="1:41" s="156" customFormat="1" ht="19.149999999999999" customHeight="1" outlineLevel="1">
      <c r="A193" s="1182">
        <v>182</v>
      </c>
      <c r="B193" s="1182">
        <v>83</v>
      </c>
      <c r="C193" s="1182" t="e">
        <f>VLOOKUP(D193,'DS CN MOI UP'!$B$10:$C$347,2,0)</f>
        <v>#N/A</v>
      </c>
      <c r="D193" s="1471" t="s">
        <v>99</v>
      </c>
      <c r="E193" s="1462"/>
      <c r="F193" s="1462"/>
      <c r="G193" s="1462"/>
      <c r="H193" s="1462"/>
      <c r="I193" s="1462"/>
      <c r="J193" s="1462"/>
      <c r="K193" s="1462"/>
      <c r="L193" s="1462"/>
      <c r="M193" s="1462"/>
      <c r="N193" s="1462"/>
      <c r="O193" s="1462"/>
      <c r="P193" s="1462"/>
      <c r="Q193" s="1462"/>
      <c r="R193" s="1462"/>
      <c r="S193" s="1462"/>
      <c r="T193" s="1462"/>
      <c r="U193" s="1462"/>
      <c r="V193" s="1462"/>
      <c r="W193" s="1462"/>
      <c r="X193" s="1462"/>
      <c r="Y193" s="1462"/>
      <c r="Z193" s="1462"/>
      <c r="AA193" s="1462"/>
      <c r="AB193" s="1462"/>
      <c r="AC193" s="1462"/>
      <c r="AD193" s="1462"/>
      <c r="AE193" s="1462"/>
      <c r="AF193" s="1462"/>
      <c r="AG193" s="1462"/>
      <c r="AH193" s="1462"/>
      <c r="AI193" s="1462"/>
      <c r="AJ193" s="1465">
        <f t="shared" si="10"/>
        <v>0</v>
      </c>
      <c r="AK193" s="1465">
        <f t="shared" si="9"/>
        <v>0</v>
      </c>
      <c r="AL193" s="1466"/>
    </row>
    <row r="194" spans="1:41" s="156" customFormat="1" ht="19.149999999999999" customHeight="1" outlineLevel="1">
      <c r="A194" s="1182">
        <v>183</v>
      </c>
      <c r="B194" s="1182">
        <v>84</v>
      </c>
      <c r="C194" s="1635" t="str">
        <f>VLOOKUP(D194,'DS CN MOI UP'!$B$10:$C$347,2,0)</f>
        <v>02514</v>
      </c>
      <c r="D194" s="1471" t="s">
        <v>100</v>
      </c>
      <c r="E194" s="1462"/>
      <c r="F194" s="1462"/>
      <c r="G194" s="1462"/>
      <c r="H194" s="1462"/>
      <c r="I194" s="1462"/>
      <c r="J194" s="1462"/>
      <c r="K194" s="1462"/>
      <c r="L194" s="1462"/>
      <c r="M194" s="1462"/>
      <c r="N194" s="1462"/>
      <c r="O194" s="1462"/>
      <c r="P194" s="1462"/>
      <c r="Q194" s="1462"/>
      <c r="R194" s="1462"/>
      <c r="S194" s="1462"/>
      <c r="T194" s="1462"/>
      <c r="U194" s="1462"/>
      <c r="V194" s="1462"/>
      <c r="W194" s="1462"/>
      <c r="X194" s="1462"/>
      <c r="Y194" s="1462"/>
      <c r="Z194" s="1462"/>
      <c r="AA194" s="1462"/>
      <c r="AB194" s="1462"/>
      <c r="AC194" s="1462"/>
      <c r="AD194" s="1462"/>
      <c r="AE194" s="1462"/>
      <c r="AF194" s="1462"/>
      <c r="AG194" s="1462"/>
      <c r="AH194" s="1462"/>
      <c r="AI194" s="1462"/>
      <c r="AJ194" s="1465">
        <f t="shared" si="10"/>
        <v>0</v>
      </c>
      <c r="AK194" s="1465">
        <f t="shared" si="9"/>
        <v>0</v>
      </c>
      <c r="AL194" s="1466"/>
    </row>
    <row r="195" spans="1:41" s="156" customFormat="1" ht="19.149999999999999" customHeight="1" outlineLevel="1">
      <c r="A195" s="1182">
        <v>184</v>
      </c>
      <c r="B195" s="1182">
        <v>85</v>
      </c>
      <c r="C195" s="1635" t="str">
        <f>VLOOKUP(D195,'DS CN MOI UP'!$B$10:$C$347,2,0)</f>
        <v>03340</v>
      </c>
      <c r="D195" s="1471" t="s">
        <v>101</v>
      </c>
      <c r="E195" s="1462"/>
      <c r="F195" s="1462"/>
      <c r="G195" s="1462"/>
      <c r="H195" s="1462"/>
      <c r="I195" s="1462"/>
      <c r="J195" s="1462"/>
      <c r="K195" s="1462"/>
      <c r="L195" s="1462"/>
      <c r="M195" s="1462"/>
      <c r="N195" s="1462"/>
      <c r="O195" s="1462"/>
      <c r="P195" s="1462"/>
      <c r="Q195" s="1462"/>
      <c r="R195" s="1462"/>
      <c r="S195" s="1462"/>
      <c r="T195" s="1462"/>
      <c r="U195" s="1462"/>
      <c r="V195" s="1462"/>
      <c r="W195" s="1462"/>
      <c r="X195" s="1462"/>
      <c r="Y195" s="1462"/>
      <c r="Z195" s="1462"/>
      <c r="AA195" s="1462"/>
      <c r="AB195" s="1462"/>
      <c r="AC195" s="1462"/>
      <c r="AD195" s="1462"/>
      <c r="AE195" s="1462"/>
      <c r="AF195" s="1462"/>
      <c r="AG195" s="1462"/>
      <c r="AH195" s="1462"/>
      <c r="AI195" s="1462"/>
      <c r="AJ195" s="1465">
        <f t="shared" si="10"/>
        <v>0</v>
      </c>
      <c r="AK195" s="1465">
        <f t="shared" si="9"/>
        <v>0</v>
      </c>
      <c r="AL195" s="1466"/>
    </row>
    <row r="196" spans="1:41" s="156" customFormat="1" ht="19.149999999999999" customHeight="1" outlineLevel="1">
      <c r="A196" s="1182">
        <v>185</v>
      </c>
      <c r="B196" s="1182">
        <v>86</v>
      </c>
      <c r="C196" s="1635" t="str">
        <f>VLOOKUP(D196,'DS CN MOI UP'!$B$10:$C$347,2,0)</f>
        <v>02497</v>
      </c>
      <c r="D196" s="1471" t="s">
        <v>102</v>
      </c>
      <c r="E196" s="1462"/>
      <c r="F196" s="1462"/>
      <c r="G196" s="1462"/>
      <c r="H196" s="1462"/>
      <c r="I196" s="1462"/>
      <c r="J196" s="1462"/>
      <c r="K196" s="1462"/>
      <c r="L196" s="1462"/>
      <c r="M196" s="1462"/>
      <c r="N196" s="1462"/>
      <c r="O196" s="1462"/>
      <c r="P196" s="1462"/>
      <c r="Q196" s="1462"/>
      <c r="R196" s="1462"/>
      <c r="S196" s="1462"/>
      <c r="T196" s="1462"/>
      <c r="U196" s="1462"/>
      <c r="V196" s="1462"/>
      <c r="W196" s="1462"/>
      <c r="X196" s="1462"/>
      <c r="Y196" s="1462"/>
      <c r="Z196" s="1462"/>
      <c r="AA196" s="1462"/>
      <c r="AB196" s="1462"/>
      <c r="AC196" s="1462"/>
      <c r="AD196" s="1462"/>
      <c r="AE196" s="1462"/>
      <c r="AF196" s="1462"/>
      <c r="AG196" s="1462"/>
      <c r="AH196" s="1462"/>
      <c r="AI196" s="1462"/>
      <c r="AJ196" s="1465">
        <f t="shared" si="10"/>
        <v>0</v>
      </c>
      <c r="AK196" s="1465">
        <f t="shared" si="9"/>
        <v>0</v>
      </c>
      <c r="AL196" s="1466"/>
    </row>
    <row r="197" spans="1:41" s="156" customFormat="1" ht="19.149999999999999" customHeight="1" outlineLevel="1">
      <c r="A197" s="1182">
        <v>186</v>
      </c>
      <c r="B197" s="1182">
        <v>87</v>
      </c>
      <c r="C197" s="1635" t="str">
        <f>VLOOKUP(D197,'DS CN MOI UP'!$B$10:$C$347,2,0)</f>
        <v>03341</v>
      </c>
      <c r="D197" s="1471" t="s">
        <v>487</v>
      </c>
      <c r="E197" s="1462"/>
      <c r="F197" s="1462"/>
      <c r="G197" s="1462"/>
      <c r="H197" s="1462"/>
      <c r="I197" s="1462"/>
      <c r="J197" s="1462"/>
      <c r="K197" s="1462"/>
      <c r="L197" s="1462"/>
      <c r="M197" s="1462"/>
      <c r="N197" s="1462"/>
      <c r="O197" s="1462"/>
      <c r="P197" s="1462"/>
      <c r="Q197" s="1462"/>
      <c r="R197" s="1462"/>
      <c r="S197" s="1462"/>
      <c r="T197" s="1462"/>
      <c r="U197" s="1462"/>
      <c r="V197" s="1462"/>
      <c r="W197" s="1462"/>
      <c r="X197" s="1462"/>
      <c r="Y197" s="1462"/>
      <c r="Z197" s="1462"/>
      <c r="AA197" s="1462"/>
      <c r="AB197" s="1462"/>
      <c r="AC197" s="1462"/>
      <c r="AD197" s="1462"/>
      <c r="AE197" s="1462"/>
      <c r="AF197" s="1462"/>
      <c r="AG197" s="1462"/>
      <c r="AH197" s="1462"/>
      <c r="AI197" s="1462"/>
      <c r="AJ197" s="1465">
        <f t="shared" si="10"/>
        <v>0</v>
      </c>
      <c r="AK197" s="1465">
        <f t="shared" si="9"/>
        <v>0</v>
      </c>
      <c r="AL197" s="1466"/>
    </row>
    <row r="198" spans="1:41" s="156" customFormat="1" ht="19.149999999999999" customHeight="1" outlineLevel="1">
      <c r="A198" s="1182">
        <v>187</v>
      </c>
      <c r="B198" s="1182">
        <v>88</v>
      </c>
      <c r="C198" s="1635" t="str">
        <f>VLOOKUP(D198,'DS CN MOI UP'!$B$10:$C$347,2,0)</f>
        <v>02511</v>
      </c>
      <c r="D198" s="1471" t="s">
        <v>488</v>
      </c>
      <c r="E198" s="1462"/>
      <c r="F198" s="1462"/>
      <c r="G198" s="1462"/>
      <c r="H198" s="1462"/>
      <c r="I198" s="1462"/>
      <c r="J198" s="1462"/>
      <c r="K198" s="1462"/>
      <c r="L198" s="1462"/>
      <c r="M198" s="1462"/>
      <c r="N198" s="1462"/>
      <c r="O198" s="1462"/>
      <c r="P198" s="1462"/>
      <c r="Q198" s="1462"/>
      <c r="R198" s="1462"/>
      <c r="S198" s="1462"/>
      <c r="T198" s="1462"/>
      <c r="U198" s="1462"/>
      <c r="V198" s="1462"/>
      <c r="W198" s="1462"/>
      <c r="X198" s="1462"/>
      <c r="Y198" s="1462"/>
      <c r="Z198" s="1462"/>
      <c r="AA198" s="1462"/>
      <c r="AB198" s="1462"/>
      <c r="AC198" s="1462"/>
      <c r="AD198" s="1462"/>
      <c r="AE198" s="1462"/>
      <c r="AF198" s="1462"/>
      <c r="AG198" s="1462"/>
      <c r="AH198" s="1462"/>
      <c r="AI198" s="1462"/>
      <c r="AJ198" s="1465">
        <f t="shared" si="10"/>
        <v>0</v>
      </c>
      <c r="AK198" s="1465">
        <f t="shared" si="9"/>
        <v>0</v>
      </c>
      <c r="AL198" s="1466"/>
    </row>
    <row r="199" spans="1:41" s="156" customFormat="1" ht="19.149999999999999" customHeight="1" outlineLevel="1">
      <c r="A199" s="1182">
        <v>188</v>
      </c>
      <c r="B199" s="1182">
        <v>89</v>
      </c>
      <c r="C199" s="1635" t="str">
        <f>VLOOKUP(D199,'DS CN MOI UP'!$B$10:$C$347,2,0)</f>
        <v>03342</v>
      </c>
      <c r="D199" s="1471" t="s">
        <v>489</v>
      </c>
      <c r="E199" s="1462"/>
      <c r="F199" s="1462"/>
      <c r="G199" s="1462"/>
      <c r="H199" s="1462"/>
      <c r="I199" s="1462"/>
      <c r="J199" s="1462"/>
      <c r="K199" s="1462"/>
      <c r="L199" s="1462"/>
      <c r="M199" s="1462"/>
      <c r="N199" s="1462"/>
      <c r="O199" s="1462"/>
      <c r="P199" s="1462"/>
      <c r="Q199" s="1462"/>
      <c r="R199" s="1462"/>
      <c r="S199" s="1462"/>
      <c r="T199" s="1462"/>
      <c r="U199" s="1462"/>
      <c r="V199" s="1462"/>
      <c r="W199" s="1462"/>
      <c r="X199" s="1462"/>
      <c r="Y199" s="1462"/>
      <c r="Z199" s="1462"/>
      <c r="AA199" s="1462"/>
      <c r="AB199" s="1462"/>
      <c r="AC199" s="1462"/>
      <c r="AD199" s="1462"/>
      <c r="AE199" s="1462"/>
      <c r="AF199" s="1462"/>
      <c r="AG199" s="1462"/>
      <c r="AH199" s="1462"/>
      <c r="AI199" s="1462"/>
      <c r="AJ199" s="1465">
        <f t="shared" si="10"/>
        <v>0</v>
      </c>
      <c r="AK199" s="1465">
        <f t="shared" si="9"/>
        <v>0</v>
      </c>
      <c r="AL199" s="1466"/>
    </row>
    <row r="200" spans="1:41" s="156" customFormat="1" ht="19.149999999999999" customHeight="1" outlineLevel="1">
      <c r="A200" s="1182">
        <v>189</v>
      </c>
      <c r="B200" s="1182">
        <v>90</v>
      </c>
      <c r="C200" s="1635" t="str">
        <f>VLOOKUP(D200,'DS CN MOI UP'!$B$10:$C$347,2,0)</f>
        <v>02484</v>
      </c>
      <c r="D200" s="1471" t="s">
        <v>490</v>
      </c>
      <c r="E200" s="1462"/>
      <c r="F200" s="1462"/>
      <c r="G200" s="1462"/>
      <c r="H200" s="1462"/>
      <c r="I200" s="1462"/>
      <c r="J200" s="1462"/>
      <c r="K200" s="1462"/>
      <c r="L200" s="1462"/>
      <c r="M200" s="1462"/>
      <c r="N200" s="1462"/>
      <c r="O200" s="1462"/>
      <c r="P200" s="1462"/>
      <c r="Q200" s="1462"/>
      <c r="R200" s="1462"/>
      <c r="S200" s="1462"/>
      <c r="T200" s="1462"/>
      <c r="U200" s="1462"/>
      <c r="V200" s="1462"/>
      <c r="W200" s="1462"/>
      <c r="X200" s="1462"/>
      <c r="Y200" s="1462"/>
      <c r="Z200" s="1462"/>
      <c r="AA200" s="1462"/>
      <c r="AB200" s="1462"/>
      <c r="AC200" s="1462"/>
      <c r="AD200" s="1462"/>
      <c r="AE200" s="1462"/>
      <c r="AF200" s="1462"/>
      <c r="AG200" s="1462"/>
      <c r="AH200" s="1462"/>
      <c r="AI200" s="1462"/>
      <c r="AJ200" s="1465">
        <f t="shared" si="10"/>
        <v>0</v>
      </c>
      <c r="AK200" s="1465">
        <f t="shared" si="9"/>
        <v>0</v>
      </c>
      <c r="AL200" s="1466"/>
    </row>
    <row r="201" spans="1:41" s="156" customFormat="1" ht="19.149999999999999" customHeight="1" outlineLevel="1">
      <c r="A201" s="1182">
        <v>190</v>
      </c>
      <c r="B201" s="1182">
        <v>91</v>
      </c>
      <c r="C201" s="1635" t="str">
        <f>VLOOKUP(D201,'DS CN MOI UP'!$B$10:$C$347,2,0)</f>
        <v>02509</v>
      </c>
      <c r="D201" s="1471" t="s">
        <v>491</v>
      </c>
      <c r="E201" s="1462"/>
      <c r="F201" s="1462"/>
      <c r="G201" s="1462"/>
      <c r="H201" s="1462"/>
      <c r="I201" s="1462"/>
      <c r="J201" s="1462"/>
      <c r="K201" s="1462"/>
      <c r="L201" s="1462"/>
      <c r="M201" s="1462"/>
      <c r="N201" s="1462"/>
      <c r="O201" s="1462"/>
      <c r="P201" s="1462"/>
      <c r="Q201" s="1462"/>
      <c r="R201" s="1462"/>
      <c r="S201" s="1462"/>
      <c r="T201" s="1462"/>
      <c r="U201" s="1462"/>
      <c r="V201" s="1462"/>
      <c r="W201" s="1462"/>
      <c r="X201" s="1462"/>
      <c r="Y201" s="1462"/>
      <c r="Z201" s="1462"/>
      <c r="AA201" s="1462"/>
      <c r="AB201" s="1462"/>
      <c r="AC201" s="1462"/>
      <c r="AD201" s="1462"/>
      <c r="AE201" s="1462"/>
      <c r="AF201" s="1462"/>
      <c r="AG201" s="1462"/>
      <c r="AH201" s="1462"/>
      <c r="AI201" s="1462"/>
      <c r="AJ201" s="1465">
        <f t="shared" si="10"/>
        <v>0</v>
      </c>
      <c r="AK201" s="1465">
        <f t="shared" si="9"/>
        <v>0</v>
      </c>
      <c r="AL201" s="1466"/>
    </row>
    <row r="202" spans="1:41" s="156" customFormat="1" ht="19.149999999999999" customHeight="1" outlineLevel="1">
      <c r="A202" s="1182">
        <v>191</v>
      </c>
      <c r="B202" s="1182">
        <v>92</v>
      </c>
      <c r="C202" s="1635" t="str">
        <f>VLOOKUP(D202,'DS CN MOI UP'!$B$10:$C$347,2,0)</f>
        <v>02458</v>
      </c>
      <c r="D202" s="1471" t="s">
        <v>492</v>
      </c>
      <c r="E202" s="1462"/>
      <c r="F202" s="1462"/>
      <c r="G202" s="1462"/>
      <c r="H202" s="1462"/>
      <c r="I202" s="1462"/>
      <c r="J202" s="1462"/>
      <c r="K202" s="1462"/>
      <c r="L202" s="1462"/>
      <c r="M202" s="1462"/>
      <c r="N202" s="1462"/>
      <c r="O202" s="1462"/>
      <c r="P202" s="1462"/>
      <c r="Q202" s="1462"/>
      <c r="R202" s="1462"/>
      <c r="S202" s="1462"/>
      <c r="T202" s="1462"/>
      <c r="U202" s="1462"/>
      <c r="V202" s="1462"/>
      <c r="W202" s="1462"/>
      <c r="X202" s="1462"/>
      <c r="Y202" s="1462"/>
      <c r="Z202" s="1462"/>
      <c r="AA202" s="1462"/>
      <c r="AB202" s="1462"/>
      <c r="AC202" s="1462"/>
      <c r="AD202" s="1462"/>
      <c r="AE202" s="1462"/>
      <c r="AF202" s="1462"/>
      <c r="AG202" s="1462"/>
      <c r="AH202" s="1462"/>
      <c r="AI202" s="1462"/>
      <c r="AJ202" s="1465">
        <f t="shared" si="10"/>
        <v>0</v>
      </c>
      <c r="AK202" s="1465">
        <f t="shared" si="9"/>
        <v>0</v>
      </c>
      <c r="AL202" s="1466"/>
    </row>
    <row r="203" spans="1:41" s="156" customFormat="1" ht="19.149999999999999" customHeight="1" outlineLevel="1">
      <c r="A203" s="1182">
        <v>192</v>
      </c>
      <c r="B203" s="1182">
        <v>93</v>
      </c>
      <c r="C203" s="1635" t="str">
        <f>VLOOKUP(D203,'DS CN MOI UP'!$B$10:$C$347,2,0)</f>
        <v>02480</v>
      </c>
      <c r="D203" s="1471" t="s">
        <v>493</v>
      </c>
      <c r="E203" s="1462"/>
      <c r="F203" s="1462"/>
      <c r="G203" s="1462"/>
      <c r="H203" s="1462"/>
      <c r="I203" s="1462"/>
      <c r="J203" s="1462"/>
      <c r="K203" s="1462"/>
      <c r="L203" s="1462"/>
      <c r="M203" s="1462"/>
      <c r="N203" s="1462"/>
      <c r="O203" s="1462"/>
      <c r="P203" s="1462"/>
      <c r="Q203" s="1462"/>
      <c r="R203" s="1462"/>
      <c r="S203" s="1462"/>
      <c r="T203" s="1462"/>
      <c r="U203" s="1462"/>
      <c r="V203" s="1462"/>
      <c r="W203" s="1462"/>
      <c r="X203" s="1462"/>
      <c r="Y203" s="1462"/>
      <c r="Z203" s="1462"/>
      <c r="AA203" s="1462"/>
      <c r="AB203" s="1462"/>
      <c r="AC203" s="1462"/>
      <c r="AD203" s="1462"/>
      <c r="AE203" s="1462"/>
      <c r="AF203" s="1462"/>
      <c r="AG203" s="1462"/>
      <c r="AH203" s="1462"/>
      <c r="AI203" s="1462"/>
      <c r="AJ203" s="1465">
        <f t="shared" si="10"/>
        <v>0</v>
      </c>
      <c r="AK203" s="1465">
        <f t="shared" ref="AK203:AK266" si="11">AJ203*$AN$6</f>
        <v>0</v>
      </c>
      <c r="AL203" s="1466"/>
    </row>
    <row r="204" spans="1:41" s="156" customFormat="1" ht="19.149999999999999" customHeight="1" outlineLevel="1">
      <c r="A204" s="1182">
        <v>193</v>
      </c>
      <c r="B204" s="1182">
        <v>94</v>
      </c>
      <c r="C204" s="1182" t="e">
        <f>VLOOKUP(D204,'DS CN MOI UP'!$B$10:$C$347,2,0)</f>
        <v>#N/A</v>
      </c>
      <c r="D204" s="1471" t="s">
        <v>494</v>
      </c>
      <c r="E204" s="1462"/>
      <c r="F204" s="1462"/>
      <c r="G204" s="1462"/>
      <c r="H204" s="1462"/>
      <c r="I204" s="1462"/>
      <c r="J204" s="1462"/>
      <c r="K204" s="1462"/>
      <c r="L204" s="1462"/>
      <c r="M204" s="1462"/>
      <c r="N204" s="1462"/>
      <c r="O204" s="1462"/>
      <c r="P204" s="1462"/>
      <c r="Q204" s="1462"/>
      <c r="R204" s="1462"/>
      <c r="S204" s="1462"/>
      <c r="T204" s="1462"/>
      <c r="U204" s="1462"/>
      <c r="V204" s="1462"/>
      <c r="W204" s="1462"/>
      <c r="X204" s="1462"/>
      <c r="Y204" s="1462"/>
      <c r="Z204" s="1462"/>
      <c r="AA204" s="1462"/>
      <c r="AB204" s="1462"/>
      <c r="AC204" s="1462"/>
      <c r="AD204" s="1462"/>
      <c r="AE204" s="1462"/>
      <c r="AF204" s="1462"/>
      <c r="AG204" s="1462"/>
      <c r="AH204" s="1462"/>
      <c r="AI204" s="1462"/>
      <c r="AJ204" s="1465">
        <f t="shared" si="10"/>
        <v>0</v>
      </c>
      <c r="AK204" s="1465">
        <f t="shared" si="11"/>
        <v>0</v>
      </c>
      <c r="AL204" s="1466"/>
    </row>
    <row r="205" spans="1:41" s="1232" customFormat="1" ht="19.149999999999999" customHeight="1">
      <c r="A205" s="1183" t="s">
        <v>1942</v>
      </c>
      <c r="B205" s="1183"/>
      <c r="C205" s="1182" t="e">
        <f>VLOOKUP(D205,'DS CN MOI UP'!$B$10:$C$347,2,0)</f>
        <v>#N/A</v>
      </c>
      <c r="D205" s="1183"/>
      <c r="E205" s="1461"/>
      <c r="F205" s="1461"/>
      <c r="G205" s="1461"/>
      <c r="H205" s="1461"/>
      <c r="I205" s="1461"/>
      <c r="J205" s="1461"/>
      <c r="K205" s="1461"/>
      <c r="L205" s="1461"/>
      <c r="M205" s="1461"/>
      <c r="N205" s="1461"/>
      <c r="O205" s="1461"/>
      <c r="P205" s="1461"/>
      <c r="Q205" s="1461"/>
      <c r="R205" s="1461"/>
      <c r="S205" s="1461"/>
      <c r="T205" s="1461"/>
      <c r="U205" s="1461"/>
      <c r="V205" s="1461"/>
      <c r="W205" s="1461"/>
      <c r="X205" s="1461"/>
      <c r="Y205" s="1461"/>
      <c r="Z205" s="1461"/>
      <c r="AA205" s="1461"/>
      <c r="AB205" s="1461"/>
      <c r="AC205" s="1461"/>
      <c r="AD205" s="1461"/>
      <c r="AE205" s="1461"/>
      <c r="AF205" s="1461"/>
      <c r="AG205" s="1461"/>
      <c r="AH205" s="1461"/>
      <c r="AI205" s="1461"/>
      <c r="AJ205" s="1461">
        <f t="shared" ref="AJ205" si="12">SUM(AJ206:AJ216)</f>
        <v>0</v>
      </c>
      <c r="AK205" s="1465">
        <f t="shared" si="11"/>
        <v>0</v>
      </c>
      <c r="AL205" s="1204"/>
      <c r="AM205" s="1247"/>
      <c r="AN205" s="1247"/>
      <c r="AO205" s="1247"/>
    </row>
    <row r="206" spans="1:41" s="156" customFormat="1" ht="19.149999999999999" customHeight="1" outlineLevel="1">
      <c r="A206" s="1182">
        <v>194</v>
      </c>
      <c r="B206" s="1182">
        <v>1</v>
      </c>
      <c r="C206" s="1635" t="str">
        <f>VLOOKUP(D206,'DS CN MOI UP'!$B$10:$C$347,2,0)</f>
        <v>03343</v>
      </c>
      <c r="D206" s="1471" t="s">
        <v>496</v>
      </c>
      <c r="E206" s="1462"/>
      <c r="F206" s="1462"/>
      <c r="G206" s="1462"/>
      <c r="H206" s="1462"/>
      <c r="I206" s="1462"/>
      <c r="J206" s="1462"/>
      <c r="K206" s="1462"/>
      <c r="L206" s="1462"/>
      <c r="M206" s="1462"/>
      <c r="N206" s="1462"/>
      <c r="O206" s="1462"/>
      <c r="P206" s="1462"/>
      <c r="Q206" s="1462"/>
      <c r="R206" s="1462"/>
      <c r="S206" s="1462"/>
      <c r="T206" s="1462"/>
      <c r="U206" s="1462"/>
      <c r="V206" s="1462"/>
      <c r="W206" s="1462"/>
      <c r="X206" s="1462"/>
      <c r="Y206" s="1462"/>
      <c r="Z206" s="1462"/>
      <c r="AA206" s="1462"/>
      <c r="AB206" s="1462"/>
      <c r="AC206" s="1462"/>
      <c r="AD206" s="1462"/>
      <c r="AE206" s="1462"/>
      <c r="AF206" s="1462"/>
      <c r="AG206" s="1462"/>
      <c r="AH206" s="1462"/>
      <c r="AI206" s="1462"/>
      <c r="AJ206" s="1465">
        <f t="shared" ref="AJ206:AJ216" si="13">SUM(E206:AI206)</f>
        <v>0</v>
      </c>
      <c r="AK206" s="1465">
        <f t="shared" si="11"/>
        <v>0</v>
      </c>
      <c r="AL206" s="1466"/>
    </row>
    <row r="207" spans="1:41" s="156" customFormat="1" ht="19.149999999999999" customHeight="1" outlineLevel="1">
      <c r="A207" s="1182">
        <v>195</v>
      </c>
      <c r="B207" s="1182">
        <v>2</v>
      </c>
      <c r="C207" s="1635" t="str">
        <f>VLOOKUP(D207,'DS CN MOI UP'!$B$10:$C$347,2,0)</f>
        <v>02444</v>
      </c>
      <c r="D207" s="1471" t="s">
        <v>105</v>
      </c>
      <c r="E207" s="1462"/>
      <c r="F207" s="1462"/>
      <c r="G207" s="1462"/>
      <c r="H207" s="1462"/>
      <c r="I207" s="1462"/>
      <c r="J207" s="1462"/>
      <c r="K207" s="1462"/>
      <c r="L207" s="1462"/>
      <c r="M207" s="1462"/>
      <c r="N207" s="1462"/>
      <c r="O207" s="1462"/>
      <c r="P207" s="1462"/>
      <c r="Q207" s="1462"/>
      <c r="R207" s="1462"/>
      <c r="S207" s="1462"/>
      <c r="T207" s="1462"/>
      <c r="U207" s="1462"/>
      <c r="V207" s="1462"/>
      <c r="W207" s="1462"/>
      <c r="X207" s="1462"/>
      <c r="Y207" s="1462"/>
      <c r="Z207" s="1462"/>
      <c r="AA207" s="1462"/>
      <c r="AB207" s="1462"/>
      <c r="AC207" s="1462"/>
      <c r="AD207" s="1462"/>
      <c r="AE207" s="1462"/>
      <c r="AF207" s="1462"/>
      <c r="AG207" s="1462"/>
      <c r="AH207" s="1462"/>
      <c r="AI207" s="1462"/>
      <c r="AJ207" s="1465">
        <f t="shared" si="13"/>
        <v>0</v>
      </c>
      <c r="AK207" s="1465">
        <f t="shared" si="11"/>
        <v>0</v>
      </c>
      <c r="AL207" s="1466"/>
    </row>
    <row r="208" spans="1:41" s="156" customFormat="1" ht="19.149999999999999" customHeight="1" outlineLevel="1">
      <c r="A208" s="1182">
        <v>196</v>
      </c>
      <c r="B208" s="1182">
        <v>3</v>
      </c>
      <c r="C208" s="1635" t="str">
        <f>VLOOKUP(D208,'DS CN MOI UP'!$B$10:$C$347,2,0)</f>
        <v>02447</v>
      </c>
      <c r="D208" s="1471" t="s">
        <v>497</v>
      </c>
      <c r="E208" s="1462"/>
      <c r="F208" s="1462"/>
      <c r="G208" s="1462"/>
      <c r="H208" s="1462"/>
      <c r="I208" s="1462"/>
      <c r="J208" s="1462"/>
      <c r="K208" s="1462"/>
      <c r="L208" s="1462"/>
      <c r="M208" s="1462"/>
      <c r="N208" s="1462"/>
      <c r="O208" s="1462"/>
      <c r="P208" s="1462"/>
      <c r="Q208" s="1462"/>
      <c r="R208" s="1462"/>
      <c r="S208" s="1462"/>
      <c r="T208" s="1462"/>
      <c r="U208" s="1462"/>
      <c r="V208" s="1462"/>
      <c r="W208" s="1462"/>
      <c r="X208" s="1462"/>
      <c r="Y208" s="1462"/>
      <c r="Z208" s="1462"/>
      <c r="AA208" s="1462"/>
      <c r="AB208" s="1462"/>
      <c r="AC208" s="1462"/>
      <c r="AD208" s="1462"/>
      <c r="AE208" s="1462"/>
      <c r="AF208" s="1462"/>
      <c r="AG208" s="1462"/>
      <c r="AH208" s="1462"/>
      <c r="AI208" s="1462"/>
      <c r="AJ208" s="1465">
        <f t="shared" si="13"/>
        <v>0</v>
      </c>
      <c r="AK208" s="1465">
        <f t="shared" si="11"/>
        <v>0</v>
      </c>
      <c r="AL208" s="1466"/>
    </row>
    <row r="209" spans="1:41" s="156" customFormat="1" ht="19.149999999999999" customHeight="1" outlineLevel="1">
      <c r="A209" s="1182">
        <v>197</v>
      </c>
      <c r="B209" s="1182">
        <v>4</v>
      </c>
      <c r="C209" s="1635" t="str">
        <f>VLOOKUP(D209,'DS CN MOI UP'!$B$10:$C$347,2,0)</f>
        <v>03344</v>
      </c>
      <c r="D209" s="1471" t="s">
        <v>498</v>
      </c>
      <c r="E209" s="1462"/>
      <c r="F209" s="1462"/>
      <c r="G209" s="1462"/>
      <c r="H209" s="1462"/>
      <c r="I209" s="1462"/>
      <c r="J209" s="1462"/>
      <c r="K209" s="1462"/>
      <c r="L209" s="1462"/>
      <c r="M209" s="1462"/>
      <c r="N209" s="1462"/>
      <c r="O209" s="1462"/>
      <c r="P209" s="1462"/>
      <c r="Q209" s="1462"/>
      <c r="R209" s="1462"/>
      <c r="S209" s="1462"/>
      <c r="T209" s="1462"/>
      <c r="U209" s="1462"/>
      <c r="V209" s="1462"/>
      <c r="W209" s="1462"/>
      <c r="X209" s="1462"/>
      <c r="Y209" s="1462"/>
      <c r="Z209" s="1462"/>
      <c r="AA209" s="1462"/>
      <c r="AB209" s="1462"/>
      <c r="AC209" s="1462"/>
      <c r="AD209" s="1462"/>
      <c r="AE209" s="1462"/>
      <c r="AF209" s="1462"/>
      <c r="AG209" s="1462"/>
      <c r="AH209" s="1462"/>
      <c r="AI209" s="1462"/>
      <c r="AJ209" s="1465">
        <f t="shared" si="13"/>
        <v>0</v>
      </c>
      <c r="AK209" s="1465">
        <f t="shared" si="11"/>
        <v>0</v>
      </c>
      <c r="AL209" s="1466"/>
    </row>
    <row r="210" spans="1:41" s="156" customFormat="1" ht="19.149999999999999" customHeight="1" outlineLevel="1">
      <c r="A210" s="1182">
        <v>198</v>
      </c>
      <c r="B210" s="1182">
        <v>5</v>
      </c>
      <c r="C210" s="1635" t="str">
        <f>VLOOKUP(D210,'DS CN MOI UP'!$B$10:$C$347,2,0)</f>
        <v>02449</v>
      </c>
      <c r="D210" s="1471" t="s">
        <v>108</v>
      </c>
      <c r="E210" s="1462"/>
      <c r="F210" s="1462"/>
      <c r="G210" s="1462"/>
      <c r="H210" s="1462"/>
      <c r="I210" s="1462"/>
      <c r="J210" s="1462"/>
      <c r="K210" s="1462"/>
      <c r="L210" s="1462"/>
      <c r="M210" s="1462"/>
      <c r="N210" s="1462"/>
      <c r="O210" s="1462"/>
      <c r="P210" s="1462"/>
      <c r="Q210" s="1462"/>
      <c r="R210" s="1462"/>
      <c r="S210" s="1462"/>
      <c r="T210" s="1462"/>
      <c r="U210" s="1462"/>
      <c r="V210" s="1462"/>
      <c r="W210" s="1462"/>
      <c r="X210" s="1462"/>
      <c r="Y210" s="1462"/>
      <c r="Z210" s="1462"/>
      <c r="AA210" s="1462"/>
      <c r="AB210" s="1462"/>
      <c r="AC210" s="1462"/>
      <c r="AD210" s="1462"/>
      <c r="AE210" s="1462"/>
      <c r="AF210" s="1462"/>
      <c r="AG210" s="1462"/>
      <c r="AH210" s="1462"/>
      <c r="AI210" s="1462"/>
      <c r="AJ210" s="1465">
        <f t="shared" si="13"/>
        <v>0</v>
      </c>
      <c r="AK210" s="1465">
        <f t="shared" si="11"/>
        <v>0</v>
      </c>
      <c r="AL210" s="1466"/>
    </row>
    <row r="211" spans="1:41" s="156" customFormat="1" ht="19.149999999999999" customHeight="1" outlineLevel="1">
      <c r="A211" s="1182">
        <v>199</v>
      </c>
      <c r="B211" s="1182">
        <v>6</v>
      </c>
      <c r="C211" s="1635" t="str">
        <f>VLOOKUP(D211,'DS CN MOI UP'!$B$10:$C$347,2,0)</f>
        <v>02445</v>
      </c>
      <c r="D211" s="1471" t="s">
        <v>109</v>
      </c>
      <c r="E211" s="1462"/>
      <c r="F211" s="1462"/>
      <c r="G211" s="1462"/>
      <c r="H211" s="1462"/>
      <c r="I211" s="1462"/>
      <c r="J211" s="1462"/>
      <c r="K211" s="1462"/>
      <c r="L211" s="1462"/>
      <c r="M211" s="1462"/>
      <c r="N211" s="1462"/>
      <c r="O211" s="1462"/>
      <c r="P211" s="1462"/>
      <c r="Q211" s="1462"/>
      <c r="R211" s="1462"/>
      <c r="S211" s="1462"/>
      <c r="T211" s="1462"/>
      <c r="U211" s="1462"/>
      <c r="V211" s="1462"/>
      <c r="W211" s="1462"/>
      <c r="X211" s="1462"/>
      <c r="Y211" s="1462"/>
      <c r="Z211" s="1462"/>
      <c r="AA211" s="1462"/>
      <c r="AB211" s="1462"/>
      <c r="AC211" s="1462"/>
      <c r="AD211" s="1462"/>
      <c r="AE211" s="1462"/>
      <c r="AF211" s="1462"/>
      <c r="AG211" s="1462"/>
      <c r="AH211" s="1462"/>
      <c r="AI211" s="1462"/>
      <c r="AJ211" s="1465">
        <f t="shared" si="13"/>
        <v>0</v>
      </c>
      <c r="AK211" s="1465">
        <f t="shared" si="11"/>
        <v>0</v>
      </c>
      <c r="AL211" s="1466"/>
    </row>
    <row r="212" spans="1:41" s="156" customFormat="1" ht="19.149999999999999" customHeight="1" outlineLevel="1">
      <c r="A212" s="1182">
        <v>200</v>
      </c>
      <c r="B212" s="1182">
        <v>7</v>
      </c>
      <c r="C212" s="1635" t="str">
        <f>VLOOKUP(D212,'DS CN MOI UP'!$B$10:$C$347,2,0)</f>
        <v>02446</v>
      </c>
      <c r="D212" s="1471" t="s">
        <v>110</v>
      </c>
      <c r="E212" s="1462"/>
      <c r="F212" s="1462"/>
      <c r="G212" s="1462"/>
      <c r="H212" s="1462"/>
      <c r="I212" s="1462"/>
      <c r="J212" s="1462"/>
      <c r="K212" s="1462"/>
      <c r="L212" s="1462"/>
      <c r="M212" s="1462"/>
      <c r="N212" s="1462"/>
      <c r="O212" s="1462"/>
      <c r="P212" s="1462"/>
      <c r="Q212" s="1462"/>
      <c r="R212" s="1462"/>
      <c r="S212" s="1462"/>
      <c r="T212" s="1462"/>
      <c r="U212" s="1462"/>
      <c r="V212" s="1462"/>
      <c r="W212" s="1462"/>
      <c r="X212" s="1462"/>
      <c r="Y212" s="1462"/>
      <c r="Z212" s="1462"/>
      <c r="AA212" s="1462"/>
      <c r="AB212" s="1462"/>
      <c r="AC212" s="1462"/>
      <c r="AD212" s="1462"/>
      <c r="AE212" s="1462"/>
      <c r="AF212" s="1462"/>
      <c r="AG212" s="1462"/>
      <c r="AH212" s="1462"/>
      <c r="AI212" s="1462"/>
      <c r="AJ212" s="1465">
        <f t="shared" si="13"/>
        <v>0</v>
      </c>
      <c r="AK212" s="1465">
        <f t="shared" si="11"/>
        <v>0</v>
      </c>
      <c r="AL212" s="1466"/>
    </row>
    <row r="213" spans="1:41" s="156" customFormat="1" ht="19.149999999999999" customHeight="1" outlineLevel="1">
      <c r="A213" s="1182">
        <v>201</v>
      </c>
      <c r="B213" s="1182">
        <v>8</v>
      </c>
      <c r="C213" s="1635" t="str">
        <f>VLOOKUP(D213,'DS CN MOI UP'!$B$10:$C$347,2,0)</f>
        <v>03345</v>
      </c>
      <c r="D213" s="1471" t="s">
        <v>111</v>
      </c>
      <c r="E213" s="1462"/>
      <c r="F213" s="1462"/>
      <c r="G213" s="1462"/>
      <c r="H213" s="1462"/>
      <c r="I213" s="1462"/>
      <c r="J213" s="1462"/>
      <c r="K213" s="1462"/>
      <c r="L213" s="1462"/>
      <c r="M213" s="1462"/>
      <c r="N213" s="1462"/>
      <c r="O213" s="1462"/>
      <c r="P213" s="1462"/>
      <c r="Q213" s="1462"/>
      <c r="R213" s="1462"/>
      <c r="S213" s="1462"/>
      <c r="T213" s="1462"/>
      <c r="U213" s="1462"/>
      <c r="V213" s="1462"/>
      <c r="W213" s="1462"/>
      <c r="X213" s="1462"/>
      <c r="Y213" s="1462"/>
      <c r="Z213" s="1462"/>
      <c r="AA213" s="1462"/>
      <c r="AB213" s="1462"/>
      <c r="AC213" s="1462"/>
      <c r="AD213" s="1462"/>
      <c r="AE213" s="1462"/>
      <c r="AF213" s="1462"/>
      <c r="AG213" s="1462"/>
      <c r="AH213" s="1462"/>
      <c r="AI213" s="1462"/>
      <c r="AJ213" s="1465">
        <f t="shared" si="13"/>
        <v>0</v>
      </c>
      <c r="AK213" s="1465">
        <f t="shared" si="11"/>
        <v>0</v>
      </c>
      <c r="AL213" s="1466"/>
    </row>
    <row r="214" spans="1:41" s="156" customFormat="1" ht="19.149999999999999" customHeight="1" outlineLevel="1">
      <c r="A214" s="1182">
        <v>202</v>
      </c>
      <c r="B214" s="1182">
        <v>9</v>
      </c>
      <c r="C214" s="1635" t="str">
        <f>VLOOKUP(D214,'DS CN MOI UP'!$B$10:$C$347,2,0)</f>
        <v>03854</v>
      </c>
      <c r="D214" s="1471" t="s">
        <v>112</v>
      </c>
      <c r="E214" s="1462"/>
      <c r="F214" s="1462"/>
      <c r="G214" s="1462"/>
      <c r="H214" s="1462"/>
      <c r="I214" s="1462"/>
      <c r="J214" s="1462"/>
      <c r="K214" s="1462"/>
      <c r="L214" s="1462"/>
      <c r="M214" s="1462"/>
      <c r="N214" s="1462"/>
      <c r="O214" s="1462"/>
      <c r="P214" s="1462"/>
      <c r="Q214" s="1462"/>
      <c r="R214" s="1462"/>
      <c r="S214" s="1462"/>
      <c r="T214" s="1462"/>
      <c r="U214" s="1462"/>
      <c r="V214" s="1462"/>
      <c r="W214" s="1462"/>
      <c r="X214" s="1462"/>
      <c r="Y214" s="1462"/>
      <c r="Z214" s="1462"/>
      <c r="AA214" s="1462"/>
      <c r="AB214" s="1462"/>
      <c r="AC214" s="1462"/>
      <c r="AD214" s="1462"/>
      <c r="AE214" s="1462"/>
      <c r="AF214" s="1462"/>
      <c r="AG214" s="1462"/>
      <c r="AH214" s="1462"/>
      <c r="AI214" s="1462"/>
      <c r="AJ214" s="1465">
        <f t="shared" si="13"/>
        <v>0</v>
      </c>
      <c r="AK214" s="1465">
        <f t="shared" si="11"/>
        <v>0</v>
      </c>
      <c r="AL214" s="1466"/>
    </row>
    <row r="215" spans="1:41" s="156" customFormat="1" ht="19.149999999999999" customHeight="1" outlineLevel="1">
      <c r="A215" s="1182">
        <v>203</v>
      </c>
      <c r="B215" s="1182">
        <v>9</v>
      </c>
      <c r="C215" s="1635" t="str">
        <f>VLOOKUP(D215,'DS CN MOI UP'!$B$10:$C$347,2,0)</f>
        <v>03855</v>
      </c>
      <c r="D215" s="1471" t="s">
        <v>113</v>
      </c>
      <c r="E215" s="1462"/>
      <c r="F215" s="1462"/>
      <c r="G215" s="1462"/>
      <c r="H215" s="1462"/>
      <c r="I215" s="1462"/>
      <c r="J215" s="1462"/>
      <c r="K215" s="1462"/>
      <c r="L215" s="1462"/>
      <c r="M215" s="1462"/>
      <c r="N215" s="1462"/>
      <c r="O215" s="1462"/>
      <c r="P215" s="1462"/>
      <c r="Q215" s="1462"/>
      <c r="R215" s="1462"/>
      <c r="S215" s="1462"/>
      <c r="T215" s="1462"/>
      <c r="U215" s="1462"/>
      <c r="V215" s="1462"/>
      <c r="W215" s="1462"/>
      <c r="X215" s="1462"/>
      <c r="Y215" s="1462"/>
      <c r="Z215" s="1462"/>
      <c r="AA215" s="1462"/>
      <c r="AB215" s="1462"/>
      <c r="AC215" s="1462"/>
      <c r="AD215" s="1462"/>
      <c r="AE215" s="1462"/>
      <c r="AF215" s="1462"/>
      <c r="AG215" s="1462"/>
      <c r="AH215" s="1462"/>
      <c r="AI215" s="1462"/>
      <c r="AJ215" s="1465">
        <f t="shared" si="13"/>
        <v>0</v>
      </c>
      <c r="AK215" s="1465">
        <f t="shared" si="11"/>
        <v>0</v>
      </c>
      <c r="AL215" s="1466"/>
    </row>
    <row r="216" spans="1:41" s="156" customFormat="1" ht="19.149999999999999" customHeight="1" outlineLevel="1">
      <c r="A216" s="1182">
        <v>204</v>
      </c>
      <c r="B216" s="1182">
        <v>9</v>
      </c>
      <c r="C216" s="1635" t="str">
        <f>VLOOKUP(D216,'DS CN MOI UP'!$B$10:$C$347,2,0)</f>
        <v>03856</v>
      </c>
      <c r="D216" s="1471" t="s">
        <v>499</v>
      </c>
      <c r="E216" s="1462"/>
      <c r="F216" s="1462"/>
      <c r="G216" s="1462"/>
      <c r="H216" s="1462"/>
      <c r="I216" s="1462"/>
      <c r="J216" s="1462"/>
      <c r="K216" s="1462"/>
      <c r="L216" s="1462"/>
      <c r="M216" s="1462"/>
      <c r="N216" s="1462"/>
      <c r="O216" s="1462"/>
      <c r="P216" s="1462"/>
      <c r="Q216" s="1462"/>
      <c r="R216" s="1462"/>
      <c r="S216" s="1462"/>
      <c r="T216" s="1462"/>
      <c r="U216" s="1462"/>
      <c r="V216" s="1462"/>
      <c r="W216" s="1462"/>
      <c r="X216" s="1462"/>
      <c r="Y216" s="1462"/>
      <c r="Z216" s="1462"/>
      <c r="AA216" s="1462"/>
      <c r="AB216" s="1462"/>
      <c r="AC216" s="1462"/>
      <c r="AD216" s="1462"/>
      <c r="AE216" s="1462"/>
      <c r="AF216" s="1462"/>
      <c r="AG216" s="1462"/>
      <c r="AH216" s="1462"/>
      <c r="AI216" s="1462"/>
      <c r="AJ216" s="1465">
        <f t="shared" si="13"/>
        <v>0</v>
      </c>
      <c r="AK216" s="1465">
        <f t="shared" si="11"/>
        <v>0</v>
      </c>
      <c r="AL216" s="1466"/>
    </row>
    <row r="217" spans="1:41" s="1232" customFormat="1" ht="19.149999999999999" customHeight="1">
      <c r="A217" s="1183" t="s">
        <v>1371</v>
      </c>
      <c r="B217" s="1183"/>
      <c r="C217" s="1182" t="e">
        <f>VLOOKUP(D217,'DS CN MOI UP'!$B$10:$C$347,2,0)</f>
        <v>#N/A</v>
      </c>
      <c r="D217" s="1183"/>
      <c r="E217" s="1461"/>
      <c r="F217" s="1461"/>
      <c r="G217" s="1461"/>
      <c r="H217" s="1461"/>
      <c r="I217" s="1461"/>
      <c r="J217" s="1461"/>
      <c r="K217" s="1461"/>
      <c r="L217" s="1461"/>
      <c r="M217" s="1461"/>
      <c r="N217" s="1461"/>
      <c r="O217" s="1461"/>
      <c r="P217" s="1461"/>
      <c r="Q217" s="1461"/>
      <c r="R217" s="1461"/>
      <c r="S217" s="1461"/>
      <c r="T217" s="1461"/>
      <c r="U217" s="1461"/>
      <c r="V217" s="1461"/>
      <c r="W217" s="1461"/>
      <c r="X217" s="1461"/>
      <c r="Y217" s="1461"/>
      <c r="Z217" s="1461"/>
      <c r="AA217" s="1461"/>
      <c r="AB217" s="1461"/>
      <c r="AC217" s="1461"/>
      <c r="AD217" s="1461"/>
      <c r="AE217" s="1461"/>
      <c r="AF217" s="1461"/>
      <c r="AG217" s="1461"/>
      <c r="AH217" s="1461"/>
      <c r="AI217" s="1461"/>
      <c r="AJ217" s="1461">
        <f t="shared" ref="AJ217" si="14">SUM(AJ218:AJ224)</f>
        <v>0</v>
      </c>
      <c r="AK217" s="1465">
        <f t="shared" si="11"/>
        <v>0</v>
      </c>
      <c r="AL217" s="1204"/>
      <c r="AM217" s="1247"/>
      <c r="AN217" s="1247"/>
      <c r="AO217" s="1247"/>
    </row>
    <row r="218" spans="1:41" s="156" customFormat="1" ht="19.149999999999999" customHeight="1" outlineLevel="1">
      <c r="A218" s="1182">
        <v>205</v>
      </c>
      <c r="B218" s="1182">
        <v>1</v>
      </c>
      <c r="C218" s="1635" t="str">
        <f>VLOOKUP(D218,'DS CN MOI UP'!$B$10:$C$347,2,0)</f>
        <v>03346</v>
      </c>
      <c r="D218" s="1471" t="s">
        <v>500</v>
      </c>
      <c r="E218" s="1462"/>
      <c r="F218" s="1462"/>
      <c r="G218" s="1462"/>
      <c r="H218" s="1462"/>
      <c r="I218" s="1462"/>
      <c r="J218" s="1462"/>
      <c r="K218" s="1462"/>
      <c r="L218" s="1462"/>
      <c r="M218" s="1462"/>
      <c r="N218" s="1462"/>
      <c r="O218" s="1462"/>
      <c r="P218" s="1462"/>
      <c r="Q218" s="1462"/>
      <c r="R218" s="1462"/>
      <c r="S218" s="1462"/>
      <c r="T218" s="1462"/>
      <c r="U218" s="1462"/>
      <c r="V218" s="1462"/>
      <c r="W218" s="1462"/>
      <c r="X218" s="1462"/>
      <c r="Y218" s="1462"/>
      <c r="Z218" s="1462"/>
      <c r="AA218" s="1462"/>
      <c r="AB218" s="1462"/>
      <c r="AC218" s="1462"/>
      <c r="AD218" s="1462"/>
      <c r="AE218" s="1462"/>
      <c r="AF218" s="1462"/>
      <c r="AG218" s="1462"/>
      <c r="AH218" s="1462"/>
      <c r="AI218" s="1462"/>
      <c r="AJ218" s="1465">
        <f t="shared" ref="AJ218:AJ224" si="15">SUM(E218:AI218)</f>
        <v>0</v>
      </c>
      <c r="AK218" s="1465">
        <f t="shared" si="11"/>
        <v>0</v>
      </c>
      <c r="AL218" s="1466"/>
    </row>
    <row r="219" spans="1:41" s="156" customFormat="1" ht="19.149999999999999" customHeight="1" outlineLevel="1">
      <c r="A219" s="1182">
        <v>206</v>
      </c>
      <c r="B219" s="1182">
        <v>2</v>
      </c>
      <c r="C219" s="1182" t="e">
        <f>VLOOKUP(D219,'DS CN MOI UP'!$B$10:$C$347,2,0)</f>
        <v>#N/A</v>
      </c>
      <c r="D219" s="1471" t="s">
        <v>501</v>
      </c>
      <c r="E219" s="1462"/>
      <c r="F219" s="1462"/>
      <c r="G219" s="1462"/>
      <c r="H219" s="1462"/>
      <c r="I219" s="1462"/>
      <c r="J219" s="1462"/>
      <c r="K219" s="1462"/>
      <c r="L219" s="1462"/>
      <c r="M219" s="1462"/>
      <c r="N219" s="1462"/>
      <c r="O219" s="1462"/>
      <c r="P219" s="1462"/>
      <c r="Q219" s="1462"/>
      <c r="R219" s="1462"/>
      <c r="S219" s="1462"/>
      <c r="T219" s="1462"/>
      <c r="U219" s="1462"/>
      <c r="V219" s="1462"/>
      <c r="W219" s="1462"/>
      <c r="X219" s="1462"/>
      <c r="Y219" s="1462"/>
      <c r="Z219" s="1462"/>
      <c r="AA219" s="1462"/>
      <c r="AB219" s="1462"/>
      <c r="AC219" s="1462"/>
      <c r="AD219" s="1462"/>
      <c r="AE219" s="1462"/>
      <c r="AF219" s="1462"/>
      <c r="AG219" s="1462"/>
      <c r="AH219" s="1462"/>
      <c r="AI219" s="1462"/>
      <c r="AJ219" s="1465">
        <f t="shared" si="15"/>
        <v>0</v>
      </c>
      <c r="AK219" s="1465">
        <f t="shared" si="11"/>
        <v>0</v>
      </c>
      <c r="AL219" s="1466"/>
    </row>
    <row r="220" spans="1:41" s="156" customFormat="1" ht="19.149999999999999" customHeight="1" outlineLevel="1">
      <c r="A220" s="1182">
        <v>207</v>
      </c>
      <c r="B220" s="1182">
        <v>3</v>
      </c>
      <c r="C220" s="1635" t="str">
        <f>VLOOKUP(D220,'DS CN MOI UP'!$B$10:$C$347,2,0)</f>
        <v>02477</v>
      </c>
      <c r="D220" s="1471" t="s">
        <v>119</v>
      </c>
      <c r="E220" s="1462"/>
      <c r="F220" s="1462"/>
      <c r="G220" s="1462"/>
      <c r="H220" s="1462"/>
      <c r="I220" s="1462"/>
      <c r="J220" s="1462"/>
      <c r="K220" s="1462"/>
      <c r="L220" s="1462"/>
      <c r="M220" s="1462"/>
      <c r="N220" s="1462"/>
      <c r="O220" s="1462"/>
      <c r="P220" s="1462"/>
      <c r="Q220" s="1462"/>
      <c r="R220" s="1462"/>
      <c r="S220" s="1462"/>
      <c r="T220" s="1462"/>
      <c r="U220" s="1462"/>
      <c r="V220" s="1462"/>
      <c r="W220" s="1462"/>
      <c r="X220" s="1462"/>
      <c r="Y220" s="1462"/>
      <c r="Z220" s="1462"/>
      <c r="AA220" s="1462"/>
      <c r="AB220" s="1462"/>
      <c r="AC220" s="1462"/>
      <c r="AD220" s="1462"/>
      <c r="AE220" s="1462"/>
      <c r="AF220" s="1462"/>
      <c r="AG220" s="1462"/>
      <c r="AH220" s="1462"/>
      <c r="AI220" s="1462"/>
      <c r="AJ220" s="1465">
        <f t="shared" si="15"/>
        <v>0</v>
      </c>
      <c r="AK220" s="1465">
        <f t="shared" si="11"/>
        <v>0</v>
      </c>
      <c r="AL220" s="1466"/>
    </row>
    <row r="221" spans="1:41" s="156" customFormat="1" ht="19.149999999999999" customHeight="1" outlineLevel="1">
      <c r="A221" s="1182">
        <v>208</v>
      </c>
      <c r="B221" s="1182">
        <v>4</v>
      </c>
      <c r="C221" s="1635" t="str">
        <f>VLOOKUP(D221,'DS CN MOI UP'!$B$10:$C$347,2,0)</f>
        <v>02495</v>
      </c>
      <c r="D221" s="1471" t="s">
        <v>120</v>
      </c>
      <c r="E221" s="1462"/>
      <c r="F221" s="1462"/>
      <c r="G221" s="1462"/>
      <c r="H221" s="1462"/>
      <c r="I221" s="1462"/>
      <c r="J221" s="1462"/>
      <c r="K221" s="1462"/>
      <c r="L221" s="1462"/>
      <c r="M221" s="1462"/>
      <c r="N221" s="1462"/>
      <c r="O221" s="1462"/>
      <c r="P221" s="1462"/>
      <c r="Q221" s="1462"/>
      <c r="R221" s="1462"/>
      <c r="S221" s="1462"/>
      <c r="T221" s="1462"/>
      <c r="U221" s="1462"/>
      <c r="V221" s="1462"/>
      <c r="W221" s="1462"/>
      <c r="X221" s="1462"/>
      <c r="Y221" s="1462"/>
      <c r="Z221" s="1462"/>
      <c r="AA221" s="1462"/>
      <c r="AB221" s="1462"/>
      <c r="AC221" s="1462"/>
      <c r="AD221" s="1462"/>
      <c r="AE221" s="1462"/>
      <c r="AF221" s="1462"/>
      <c r="AG221" s="1462"/>
      <c r="AH221" s="1462"/>
      <c r="AI221" s="1462"/>
      <c r="AJ221" s="1465">
        <f t="shared" si="15"/>
        <v>0</v>
      </c>
      <c r="AK221" s="1465">
        <f t="shared" si="11"/>
        <v>0</v>
      </c>
      <c r="AL221" s="1466"/>
    </row>
    <row r="222" spans="1:41" s="156" customFormat="1" ht="19.149999999999999" customHeight="1" outlineLevel="1">
      <c r="A222" s="1182">
        <v>209</v>
      </c>
      <c r="B222" s="1182">
        <v>5</v>
      </c>
      <c r="C222" s="1635" t="str">
        <f>VLOOKUP(D222,'DS CN MOI UP'!$B$10:$C$347,2,0)</f>
        <v>02505</v>
      </c>
      <c r="D222" s="1471" t="s">
        <v>117</v>
      </c>
      <c r="E222" s="1462"/>
      <c r="F222" s="1462"/>
      <c r="G222" s="1462"/>
      <c r="H222" s="1462"/>
      <c r="I222" s="1462"/>
      <c r="J222" s="1462"/>
      <c r="K222" s="1462"/>
      <c r="L222" s="1462"/>
      <c r="M222" s="1462"/>
      <c r="N222" s="1462"/>
      <c r="O222" s="1462"/>
      <c r="P222" s="1462"/>
      <c r="Q222" s="1462"/>
      <c r="R222" s="1462"/>
      <c r="S222" s="1462"/>
      <c r="T222" s="1462"/>
      <c r="U222" s="1462"/>
      <c r="V222" s="1462"/>
      <c r="W222" s="1462"/>
      <c r="X222" s="1462"/>
      <c r="Y222" s="1462"/>
      <c r="Z222" s="1462"/>
      <c r="AA222" s="1462"/>
      <c r="AB222" s="1462"/>
      <c r="AC222" s="1462"/>
      <c r="AD222" s="1462"/>
      <c r="AE222" s="1462"/>
      <c r="AF222" s="1462"/>
      <c r="AG222" s="1462"/>
      <c r="AH222" s="1462"/>
      <c r="AI222" s="1462"/>
      <c r="AJ222" s="1465">
        <f t="shared" si="15"/>
        <v>0</v>
      </c>
      <c r="AK222" s="1465">
        <f t="shared" si="11"/>
        <v>0</v>
      </c>
      <c r="AL222" s="1466"/>
    </row>
    <row r="223" spans="1:41" s="156" customFormat="1" ht="19.149999999999999" customHeight="1" outlineLevel="1">
      <c r="A223" s="1182">
        <v>210</v>
      </c>
      <c r="B223" s="1182">
        <v>6</v>
      </c>
      <c r="C223" s="1635" t="str">
        <f>VLOOKUP(D223,'DS CN MOI UP'!$B$10:$C$347,2,0)</f>
        <v>02516</v>
      </c>
      <c r="D223" s="1471" t="s">
        <v>122</v>
      </c>
      <c r="E223" s="1462"/>
      <c r="F223" s="1462"/>
      <c r="G223" s="1462"/>
      <c r="H223" s="1462"/>
      <c r="I223" s="1462"/>
      <c r="J223" s="1462"/>
      <c r="K223" s="1462"/>
      <c r="L223" s="1462"/>
      <c r="M223" s="1462"/>
      <c r="N223" s="1462"/>
      <c r="O223" s="1462"/>
      <c r="P223" s="1462"/>
      <c r="Q223" s="1462"/>
      <c r="R223" s="1462"/>
      <c r="S223" s="1462"/>
      <c r="T223" s="1462"/>
      <c r="U223" s="1462"/>
      <c r="V223" s="1462"/>
      <c r="W223" s="1462"/>
      <c r="X223" s="1462"/>
      <c r="Y223" s="1462"/>
      <c r="Z223" s="1462"/>
      <c r="AA223" s="1462"/>
      <c r="AB223" s="1462"/>
      <c r="AC223" s="1462"/>
      <c r="AD223" s="1462"/>
      <c r="AE223" s="1462"/>
      <c r="AF223" s="1462"/>
      <c r="AG223" s="1462"/>
      <c r="AH223" s="1462"/>
      <c r="AI223" s="1462"/>
      <c r="AJ223" s="1465">
        <f t="shared" si="15"/>
        <v>0</v>
      </c>
      <c r="AK223" s="1465">
        <f t="shared" si="11"/>
        <v>0</v>
      </c>
      <c r="AL223" s="1466"/>
    </row>
    <row r="224" spans="1:41" s="156" customFormat="1" ht="19.149999999999999" customHeight="1" outlineLevel="1">
      <c r="A224" s="1182">
        <v>211</v>
      </c>
      <c r="B224" s="1182">
        <v>7</v>
      </c>
      <c r="C224" s="1635" t="str">
        <f>VLOOKUP(D224,'DS CN MOI UP'!$B$10:$C$347,2,0)</f>
        <v>03347</v>
      </c>
      <c r="D224" s="1471" t="s">
        <v>121</v>
      </c>
      <c r="E224" s="1462"/>
      <c r="F224" s="1462"/>
      <c r="G224" s="1462"/>
      <c r="H224" s="1462"/>
      <c r="I224" s="1462"/>
      <c r="J224" s="1462"/>
      <c r="K224" s="1462"/>
      <c r="L224" s="1462"/>
      <c r="M224" s="1462"/>
      <c r="N224" s="1462"/>
      <c r="O224" s="1462"/>
      <c r="P224" s="1462"/>
      <c r="Q224" s="1462"/>
      <c r="R224" s="1462"/>
      <c r="S224" s="1462"/>
      <c r="T224" s="1462"/>
      <c r="U224" s="1462"/>
      <c r="V224" s="1462"/>
      <c r="W224" s="1462"/>
      <c r="X224" s="1462"/>
      <c r="Y224" s="1462"/>
      <c r="Z224" s="1462"/>
      <c r="AA224" s="1462"/>
      <c r="AB224" s="1462"/>
      <c r="AC224" s="1462"/>
      <c r="AD224" s="1462"/>
      <c r="AE224" s="1462"/>
      <c r="AF224" s="1462"/>
      <c r="AG224" s="1462"/>
      <c r="AH224" s="1462"/>
      <c r="AI224" s="1462"/>
      <c r="AJ224" s="1465">
        <f t="shared" si="15"/>
        <v>0</v>
      </c>
      <c r="AK224" s="1465">
        <f t="shared" si="11"/>
        <v>0</v>
      </c>
      <c r="AL224" s="1466"/>
    </row>
    <row r="225" spans="1:39" s="1232" customFormat="1" ht="19.149999999999999" customHeight="1">
      <c r="A225" s="1183" t="s">
        <v>123</v>
      </c>
      <c r="B225" s="1183"/>
      <c r="C225" s="1182" t="e">
        <f>VLOOKUP(D225,'DS CN MOI UP'!$B$10:$C$347,2,0)</f>
        <v>#N/A</v>
      </c>
      <c r="D225" s="1183"/>
      <c r="E225" s="1472"/>
      <c r="F225" s="1472"/>
      <c r="G225" s="1472"/>
      <c r="H225" s="1472"/>
      <c r="I225" s="1472"/>
      <c r="J225" s="1472"/>
      <c r="K225" s="1472"/>
      <c r="L225" s="1472"/>
      <c r="M225" s="1472"/>
      <c r="N225" s="1472"/>
      <c r="O225" s="1472"/>
      <c r="P225" s="1472"/>
      <c r="Q225" s="1472"/>
      <c r="R225" s="1472"/>
      <c r="S225" s="1472"/>
      <c r="T225" s="1472"/>
      <c r="U225" s="1472"/>
      <c r="V225" s="1472"/>
      <c r="W225" s="1472"/>
      <c r="X225" s="1472"/>
      <c r="Y225" s="1472"/>
      <c r="Z225" s="1472"/>
      <c r="AA225" s="1472"/>
      <c r="AB225" s="1472"/>
      <c r="AC225" s="1472"/>
      <c r="AD225" s="1472"/>
      <c r="AE225" s="1472"/>
      <c r="AF225" s="1472"/>
      <c r="AG225" s="1472"/>
      <c r="AH225" s="1472"/>
      <c r="AI225" s="1472"/>
      <c r="AJ225" s="1472">
        <f t="shared" ref="AJ225" si="16">SUM(AJ226:AJ310)</f>
        <v>0</v>
      </c>
      <c r="AK225" s="1465">
        <f t="shared" si="11"/>
        <v>0</v>
      </c>
      <c r="AL225" s="1204"/>
      <c r="AM225" s="1247"/>
    </row>
    <row r="226" spans="1:39" s="156" customFormat="1" ht="19.149999999999999" customHeight="1" outlineLevel="1">
      <c r="A226" s="1182">
        <v>212</v>
      </c>
      <c r="B226" s="1182">
        <v>1</v>
      </c>
      <c r="C226" s="1635" t="str">
        <f>VLOOKUP(D226,'DS CN MOI UP'!$B$10:$C$347,2,0)</f>
        <v>03348</v>
      </c>
      <c r="D226" s="1185" t="s">
        <v>124</v>
      </c>
      <c r="E226" s="1462"/>
      <c r="F226" s="1462"/>
      <c r="G226" s="1462"/>
      <c r="H226" s="1462"/>
      <c r="I226" s="1462"/>
      <c r="J226" s="1462"/>
      <c r="K226" s="1462"/>
      <c r="L226" s="1462"/>
      <c r="M226" s="1462"/>
      <c r="N226" s="1462"/>
      <c r="O226" s="1462"/>
      <c r="P226" s="1462"/>
      <c r="Q226" s="1462"/>
      <c r="R226" s="1462"/>
      <c r="S226" s="1462"/>
      <c r="T226" s="1462"/>
      <c r="U226" s="1462"/>
      <c r="V226" s="1462"/>
      <c r="W226" s="1462"/>
      <c r="X226" s="1462"/>
      <c r="Y226" s="1462"/>
      <c r="Z226" s="1462"/>
      <c r="AA226" s="1462"/>
      <c r="AB226" s="1462"/>
      <c r="AC226" s="1462"/>
      <c r="AD226" s="1462"/>
      <c r="AE226" s="1462"/>
      <c r="AF226" s="1462"/>
      <c r="AG226" s="1462"/>
      <c r="AH226" s="1462"/>
      <c r="AI226" s="1462"/>
      <c r="AJ226" s="1465">
        <f t="shared" ref="AJ226:AJ289" si="17">SUM(E226:AI226)</f>
        <v>0</v>
      </c>
      <c r="AK226" s="1465">
        <f t="shared" si="11"/>
        <v>0</v>
      </c>
      <c r="AL226" s="1466"/>
      <c r="AM226" s="615"/>
    </row>
    <row r="227" spans="1:39" s="156" customFormat="1" ht="19.149999999999999" customHeight="1" outlineLevel="1">
      <c r="A227" s="1182">
        <v>213</v>
      </c>
      <c r="B227" s="1182">
        <v>2</v>
      </c>
      <c r="C227" s="1635" t="str">
        <f>VLOOKUP(D227,'DS CN MOI UP'!$B$10:$C$347,2,0)</f>
        <v>03349</v>
      </c>
      <c r="D227" s="1185" t="s">
        <v>125</v>
      </c>
      <c r="E227" s="1462"/>
      <c r="F227" s="1462"/>
      <c r="G227" s="1462"/>
      <c r="H227" s="1462"/>
      <c r="I227" s="1462"/>
      <c r="J227" s="1462"/>
      <c r="K227" s="1462"/>
      <c r="L227" s="1462"/>
      <c r="M227" s="1462"/>
      <c r="N227" s="1462"/>
      <c r="O227" s="1462"/>
      <c r="P227" s="1462"/>
      <c r="Q227" s="1462"/>
      <c r="R227" s="1462"/>
      <c r="S227" s="1462"/>
      <c r="T227" s="1462"/>
      <c r="U227" s="1462"/>
      <c r="V227" s="1462"/>
      <c r="W227" s="1462"/>
      <c r="X227" s="1462"/>
      <c r="Y227" s="1462"/>
      <c r="Z227" s="1462"/>
      <c r="AA227" s="1462"/>
      <c r="AB227" s="1462"/>
      <c r="AC227" s="1462"/>
      <c r="AD227" s="1462"/>
      <c r="AE227" s="1462"/>
      <c r="AF227" s="1462"/>
      <c r="AG227" s="1462"/>
      <c r="AH227" s="1462"/>
      <c r="AI227" s="1462"/>
      <c r="AJ227" s="1465">
        <f t="shared" si="17"/>
        <v>0</v>
      </c>
      <c r="AK227" s="1465">
        <f t="shared" si="11"/>
        <v>0</v>
      </c>
      <c r="AL227" s="1466"/>
      <c r="AM227" s="615"/>
    </row>
    <row r="228" spans="1:39" s="156" customFormat="1" ht="19.149999999999999" customHeight="1" outlineLevel="1">
      <c r="A228" s="1182">
        <v>214</v>
      </c>
      <c r="B228" s="1182">
        <v>3</v>
      </c>
      <c r="C228" s="1635" t="str">
        <f>VLOOKUP(D228,'DS CN MOI UP'!$B$10:$C$347,2,0)</f>
        <v>02545</v>
      </c>
      <c r="D228" s="1185" t="s">
        <v>126</v>
      </c>
      <c r="E228" s="1462"/>
      <c r="F228" s="1462"/>
      <c r="G228" s="1462"/>
      <c r="H228" s="1462"/>
      <c r="I228" s="1462"/>
      <c r="J228" s="1462"/>
      <c r="K228" s="1462"/>
      <c r="L228" s="1462"/>
      <c r="M228" s="1462"/>
      <c r="N228" s="1462"/>
      <c r="O228" s="1462"/>
      <c r="P228" s="1462"/>
      <c r="Q228" s="1462"/>
      <c r="R228" s="1462"/>
      <c r="S228" s="1462"/>
      <c r="T228" s="1462"/>
      <c r="U228" s="1462"/>
      <c r="V228" s="1462"/>
      <c r="W228" s="1462"/>
      <c r="X228" s="1462"/>
      <c r="Y228" s="1462"/>
      <c r="Z228" s="1462"/>
      <c r="AA228" s="1462"/>
      <c r="AB228" s="1462"/>
      <c r="AC228" s="1462"/>
      <c r="AD228" s="1462"/>
      <c r="AE228" s="1462"/>
      <c r="AF228" s="1462"/>
      <c r="AG228" s="1462"/>
      <c r="AH228" s="1462"/>
      <c r="AI228" s="1462"/>
      <c r="AJ228" s="1465">
        <f t="shared" si="17"/>
        <v>0</v>
      </c>
      <c r="AK228" s="1465">
        <f t="shared" si="11"/>
        <v>0</v>
      </c>
      <c r="AL228" s="1466"/>
      <c r="AM228" s="615"/>
    </row>
    <row r="229" spans="1:39" s="156" customFormat="1" ht="19.149999999999999" customHeight="1" outlineLevel="1">
      <c r="A229" s="1182">
        <v>215</v>
      </c>
      <c r="B229" s="1182">
        <v>4</v>
      </c>
      <c r="C229" s="1635" t="str">
        <f>VLOOKUP(D229,'DS CN MOI UP'!$B$10:$C$347,2,0)</f>
        <v>02693</v>
      </c>
      <c r="D229" s="1185" t="s">
        <v>127</v>
      </c>
      <c r="E229" s="1462"/>
      <c r="F229" s="1462"/>
      <c r="G229" s="1462"/>
      <c r="H229" s="1462"/>
      <c r="I229" s="1462"/>
      <c r="J229" s="1462"/>
      <c r="K229" s="1462"/>
      <c r="L229" s="1462"/>
      <c r="M229" s="1462"/>
      <c r="N229" s="1462"/>
      <c r="O229" s="1462"/>
      <c r="P229" s="1462"/>
      <c r="Q229" s="1462"/>
      <c r="R229" s="1462"/>
      <c r="S229" s="1462"/>
      <c r="T229" s="1462"/>
      <c r="U229" s="1462"/>
      <c r="V229" s="1462"/>
      <c r="W229" s="1462"/>
      <c r="X229" s="1462"/>
      <c r="Y229" s="1462"/>
      <c r="Z229" s="1462"/>
      <c r="AA229" s="1462"/>
      <c r="AB229" s="1462"/>
      <c r="AC229" s="1462"/>
      <c r="AD229" s="1462"/>
      <c r="AE229" s="1462"/>
      <c r="AF229" s="1462"/>
      <c r="AG229" s="1462"/>
      <c r="AH229" s="1462"/>
      <c r="AI229" s="1462"/>
      <c r="AJ229" s="1465">
        <f t="shared" si="17"/>
        <v>0</v>
      </c>
      <c r="AK229" s="1465">
        <f t="shared" si="11"/>
        <v>0</v>
      </c>
      <c r="AL229" s="1466"/>
      <c r="AM229" s="615"/>
    </row>
    <row r="230" spans="1:39" s="156" customFormat="1" ht="19.149999999999999" customHeight="1" outlineLevel="1">
      <c r="A230" s="1182">
        <v>216</v>
      </c>
      <c r="B230" s="1182">
        <v>5</v>
      </c>
      <c r="C230" s="1635" t="str">
        <f>VLOOKUP(D230,'DS CN MOI UP'!$B$10:$C$347,2,0)</f>
        <v>03350</v>
      </c>
      <c r="D230" s="1185" t="s">
        <v>128</v>
      </c>
      <c r="E230" s="1462"/>
      <c r="F230" s="1462"/>
      <c r="G230" s="1462"/>
      <c r="H230" s="1462"/>
      <c r="I230" s="1462"/>
      <c r="J230" s="1462"/>
      <c r="K230" s="1462"/>
      <c r="L230" s="1462"/>
      <c r="M230" s="1462"/>
      <c r="N230" s="1462"/>
      <c r="O230" s="1462"/>
      <c r="P230" s="1462"/>
      <c r="Q230" s="1462"/>
      <c r="R230" s="1462"/>
      <c r="S230" s="1462"/>
      <c r="T230" s="1462"/>
      <c r="U230" s="1462"/>
      <c r="V230" s="1462"/>
      <c r="W230" s="1462"/>
      <c r="X230" s="1462"/>
      <c r="Y230" s="1462"/>
      <c r="Z230" s="1462"/>
      <c r="AA230" s="1462"/>
      <c r="AB230" s="1462"/>
      <c r="AC230" s="1462"/>
      <c r="AD230" s="1462"/>
      <c r="AE230" s="1462"/>
      <c r="AF230" s="1462"/>
      <c r="AG230" s="1462"/>
      <c r="AH230" s="1462"/>
      <c r="AI230" s="1462"/>
      <c r="AJ230" s="1465">
        <f t="shared" si="17"/>
        <v>0</v>
      </c>
      <c r="AK230" s="1465">
        <f t="shared" si="11"/>
        <v>0</v>
      </c>
      <c r="AL230" s="1466"/>
      <c r="AM230" s="615"/>
    </row>
    <row r="231" spans="1:39" s="156" customFormat="1" ht="19.149999999999999" customHeight="1" outlineLevel="1">
      <c r="A231" s="1182">
        <v>217</v>
      </c>
      <c r="B231" s="1182">
        <v>6</v>
      </c>
      <c r="C231" s="1635" t="str">
        <f>VLOOKUP(D231,'DS CN MOI UP'!$B$10:$C$347,2,0)</f>
        <v>02526</v>
      </c>
      <c r="D231" s="1185" t="s">
        <v>129</v>
      </c>
      <c r="E231" s="1462"/>
      <c r="F231" s="1462"/>
      <c r="G231" s="1462"/>
      <c r="H231" s="1462"/>
      <c r="I231" s="1462"/>
      <c r="J231" s="1462"/>
      <c r="K231" s="1462"/>
      <c r="L231" s="1462"/>
      <c r="M231" s="1462"/>
      <c r="N231" s="1462"/>
      <c r="O231" s="1462"/>
      <c r="P231" s="1462"/>
      <c r="Q231" s="1462"/>
      <c r="R231" s="1462"/>
      <c r="S231" s="1462"/>
      <c r="T231" s="1462"/>
      <c r="U231" s="1462"/>
      <c r="V231" s="1462"/>
      <c r="W231" s="1462"/>
      <c r="X231" s="1462"/>
      <c r="Y231" s="1462"/>
      <c r="Z231" s="1462"/>
      <c r="AA231" s="1462"/>
      <c r="AB231" s="1462"/>
      <c r="AC231" s="1462"/>
      <c r="AD231" s="1462"/>
      <c r="AE231" s="1462"/>
      <c r="AF231" s="1462"/>
      <c r="AG231" s="1462"/>
      <c r="AH231" s="1462"/>
      <c r="AI231" s="1462"/>
      <c r="AJ231" s="1465">
        <f t="shared" si="17"/>
        <v>0</v>
      </c>
      <c r="AK231" s="1465">
        <f t="shared" si="11"/>
        <v>0</v>
      </c>
      <c r="AL231" s="1466"/>
      <c r="AM231" s="615"/>
    </row>
    <row r="232" spans="1:39" s="156" customFormat="1" ht="19.149999999999999" customHeight="1" outlineLevel="1">
      <c r="A232" s="1182">
        <v>218</v>
      </c>
      <c r="B232" s="1182">
        <v>7</v>
      </c>
      <c r="C232" s="1635" t="str">
        <f>VLOOKUP(D232,'DS CN MOI UP'!$B$10:$C$347,2,0)</f>
        <v>03351</v>
      </c>
      <c r="D232" s="1185" t="s">
        <v>130</v>
      </c>
      <c r="E232" s="1462"/>
      <c r="F232" s="1462"/>
      <c r="G232" s="1462"/>
      <c r="H232" s="1462"/>
      <c r="I232" s="1462"/>
      <c r="J232" s="1462"/>
      <c r="K232" s="1462"/>
      <c r="L232" s="1462"/>
      <c r="M232" s="1462"/>
      <c r="N232" s="1462"/>
      <c r="O232" s="1462"/>
      <c r="P232" s="1462"/>
      <c r="Q232" s="1462"/>
      <c r="R232" s="1462"/>
      <c r="S232" s="1462"/>
      <c r="T232" s="1462"/>
      <c r="U232" s="1462"/>
      <c r="V232" s="1462"/>
      <c r="W232" s="1462"/>
      <c r="X232" s="1462"/>
      <c r="Y232" s="1462"/>
      <c r="Z232" s="1462"/>
      <c r="AA232" s="1462"/>
      <c r="AB232" s="1462"/>
      <c r="AC232" s="1462"/>
      <c r="AD232" s="1462"/>
      <c r="AE232" s="1462"/>
      <c r="AF232" s="1462"/>
      <c r="AG232" s="1462"/>
      <c r="AH232" s="1462"/>
      <c r="AI232" s="1462"/>
      <c r="AJ232" s="1465">
        <f t="shared" si="17"/>
        <v>0</v>
      </c>
      <c r="AK232" s="1465">
        <f t="shared" si="11"/>
        <v>0</v>
      </c>
      <c r="AL232" s="1466"/>
      <c r="AM232" s="615"/>
    </row>
    <row r="233" spans="1:39" s="156" customFormat="1" ht="19.149999999999999" customHeight="1" outlineLevel="1">
      <c r="A233" s="1182">
        <v>219</v>
      </c>
      <c r="B233" s="1182">
        <v>8</v>
      </c>
      <c r="C233" s="1635" t="str">
        <f>VLOOKUP(D233,'DS CN MOI UP'!$B$10:$C$347,2,0)</f>
        <v>03352</v>
      </c>
      <c r="D233" s="1185" t="s">
        <v>131</v>
      </c>
      <c r="E233" s="1462"/>
      <c r="F233" s="1462"/>
      <c r="G233" s="1462"/>
      <c r="H233" s="1462"/>
      <c r="I233" s="1462"/>
      <c r="J233" s="1462"/>
      <c r="K233" s="1462"/>
      <c r="L233" s="1462"/>
      <c r="M233" s="1462"/>
      <c r="N233" s="1462"/>
      <c r="O233" s="1462"/>
      <c r="P233" s="1462"/>
      <c r="Q233" s="1462"/>
      <c r="R233" s="1462"/>
      <c r="S233" s="1462"/>
      <c r="T233" s="1462"/>
      <c r="U233" s="1462"/>
      <c r="V233" s="1462"/>
      <c r="W233" s="1462"/>
      <c r="X233" s="1462"/>
      <c r="Y233" s="1462"/>
      <c r="Z233" s="1462"/>
      <c r="AA233" s="1462"/>
      <c r="AB233" s="1462"/>
      <c r="AC233" s="1462"/>
      <c r="AD233" s="1462"/>
      <c r="AE233" s="1462"/>
      <c r="AF233" s="1462"/>
      <c r="AG233" s="1462"/>
      <c r="AH233" s="1462"/>
      <c r="AI233" s="1462"/>
      <c r="AJ233" s="1465">
        <f t="shared" si="17"/>
        <v>0</v>
      </c>
      <c r="AK233" s="1465">
        <f t="shared" si="11"/>
        <v>0</v>
      </c>
      <c r="AL233" s="1466"/>
      <c r="AM233" s="615"/>
    </row>
    <row r="234" spans="1:39" s="156" customFormat="1" ht="19.149999999999999" customHeight="1" outlineLevel="1">
      <c r="A234" s="1182">
        <v>220</v>
      </c>
      <c r="B234" s="1182">
        <v>9</v>
      </c>
      <c r="C234" s="1635" t="str">
        <f>VLOOKUP(D234,'DS CN MOI UP'!$B$10:$C$347,2,0)</f>
        <v>02567</v>
      </c>
      <c r="D234" s="1185" t="s">
        <v>132</v>
      </c>
      <c r="E234" s="1462"/>
      <c r="F234" s="1462"/>
      <c r="G234" s="1462"/>
      <c r="H234" s="1462"/>
      <c r="I234" s="1462"/>
      <c r="J234" s="1462"/>
      <c r="K234" s="1462"/>
      <c r="L234" s="1462"/>
      <c r="M234" s="1462"/>
      <c r="N234" s="1462"/>
      <c r="O234" s="1462"/>
      <c r="P234" s="1462"/>
      <c r="Q234" s="1462"/>
      <c r="R234" s="1462"/>
      <c r="S234" s="1462"/>
      <c r="T234" s="1462"/>
      <c r="U234" s="1462"/>
      <c r="V234" s="1462"/>
      <c r="W234" s="1462"/>
      <c r="X234" s="1462"/>
      <c r="Y234" s="1462"/>
      <c r="Z234" s="1462"/>
      <c r="AA234" s="1462"/>
      <c r="AB234" s="1462"/>
      <c r="AC234" s="1462"/>
      <c r="AD234" s="1462"/>
      <c r="AE234" s="1462"/>
      <c r="AF234" s="1462"/>
      <c r="AG234" s="1462"/>
      <c r="AH234" s="1462"/>
      <c r="AI234" s="1462"/>
      <c r="AJ234" s="1465">
        <f t="shared" si="17"/>
        <v>0</v>
      </c>
      <c r="AK234" s="1465">
        <f t="shared" si="11"/>
        <v>0</v>
      </c>
      <c r="AL234" s="1466"/>
      <c r="AM234" s="615"/>
    </row>
    <row r="235" spans="1:39" s="156" customFormat="1" ht="19.149999999999999" customHeight="1" outlineLevel="1">
      <c r="A235" s="1182">
        <v>221</v>
      </c>
      <c r="B235" s="1182">
        <v>10</v>
      </c>
      <c r="C235" s="1635" t="str">
        <f>VLOOKUP(D235,'DS CN MOI UP'!$B$10:$C$347,2,0)</f>
        <v>02564</v>
      </c>
      <c r="D235" s="1185" t="s">
        <v>133</v>
      </c>
      <c r="E235" s="1462"/>
      <c r="F235" s="1462"/>
      <c r="G235" s="1462"/>
      <c r="H235" s="1462"/>
      <c r="I235" s="1462"/>
      <c r="J235" s="1462"/>
      <c r="K235" s="1462"/>
      <c r="L235" s="1462"/>
      <c r="M235" s="1462"/>
      <c r="N235" s="1462"/>
      <c r="O235" s="1462"/>
      <c r="P235" s="1462"/>
      <c r="Q235" s="1462"/>
      <c r="R235" s="1462"/>
      <c r="S235" s="1462"/>
      <c r="T235" s="1462"/>
      <c r="U235" s="1462"/>
      <c r="V235" s="1462"/>
      <c r="W235" s="1462"/>
      <c r="X235" s="1462"/>
      <c r="Y235" s="1462"/>
      <c r="Z235" s="1462"/>
      <c r="AA235" s="1462"/>
      <c r="AB235" s="1462"/>
      <c r="AC235" s="1462"/>
      <c r="AD235" s="1462"/>
      <c r="AE235" s="1462"/>
      <c r="AF235" s="1462"/>
      <c r="AG235" s="1462"/>
      <c r="AH235" s="1462"/>
      <c r="AI235" s="1462"/>
      <c r="AJ235" s="1465">
        <f t="shared" si="17"/>
        <v>0</v>
      </c>
      <c r="AK235" s="1465">
        <f t="shared" si="11"/>
        <v>0</v>
      </c>
      <c r="AL235" s="1466"/>
      <c r="AM235" s="615"/>
    </row>
    <row r="236" spans="1:39" s="156" customFormat="1" ht="19.149999999999999" customHeight="1" outlineLevel="1">
      <c r="A236" s="1182">
        <v>222</v>
      </c>
      <c r="B236" s="1182">
        <v>11</v>
      </c>
      <c r="C236" s="1635" t="str">
        <f>VLOOKUP(D236,'DS CN MOI UP'!$B$10:$C$347,2,0)</f>
        <v>03353</v>
      </c>
      <c r="D236" s="1185" t="s">
        <v>134</v>
      </c>
      <c r="E236" s="1462"/>
      <c r="F236" s="1462"/>
      <c r="G236" s="1462"/>
      <c r="H236" s="1462"/>
      <c r="I236" s="1462"/>
      <c r="J236" s="1462"/>
      <c r="K236" s="1462"/>
      <c r="L236" s="1462"/>
      <c r="M236" s="1462"/>
      <c r="N236" s="1462"/>
      <c r="O236" s="1462"/>
      <c r="P236" s="1462"/>
      <c r="Q236" s="1462"/>
      <c r="R236" s="1462"/>
      <c r="S236" s="1462"/>
      <c r="T236" s="1462"/>
      <c r="U236" s="1462"/>
      <c r="V236" s="1462"/>
      <c r="W236" s="1462"/>
      <c r="X236" s="1462"/>
      <c r="Y236" s="1462"/>
      <c r="Z236" s="1462"/>
      <c r="AA236" s="1462"/>
      <c r="AB236" s="1462"/>
      <c r="AC236" s="1462"/>
      <c r="AD236" s="1462"/>
      <c r="AE236" s="1462"/>
      <c r="AF236" s="1462"/>
      <c r="AG236" s="1462"/>
      <c r="AH236" s="1462"/>
      <c r="AI236" s="1462"/>
      <c r="AJ236" s="1465">
        <f t="shared" si="17"/>
        <v>0</v>
      </c>
      <c r="AK236" s="1465">
        <f t="shared" si="11"/>
        <v>0</v>
      </c>
      <c r="AL236" s="1466"/>
      <c r="AM236" s="615"/>
    </row>
    <row r="237" spans="1:39" s="156" customFormat="1" ht="19.149999999999999" customHeight="1" outlineLevel="1">
      <c r="A237" s="1182">
        <v>223</v>
      </c>
      <c r="B237" s="1182">
        <v>12</v>
      </c>
      <c r="C237" s="1635" t="str">
        <f>VLOOKUP(D237,'DS CN MOI UP'!$B$10:$C$347,2,0)</f>
        <v>02518</v>
      </c>
      <c r="D237" s="1185" t="s">
        <v>135</v>
      </c>
      <c r="E237" s="1462"/>
      <c r="F237" s="1462"/>
      <c r="G237" s="1462"/>
      <c r="H237" s="1462"/>
      <c r="I237" s="1462"/>
      <c r="J237" s="1462"/>
      <c r="K237" s="1462"/>
      <c r="L237" s="1462"/>
      <c r="M237" s="1462"/>
      <c r="N237" s="1462"/>
      <c r="O237" s="1462"/>
      <c r="P237" s="1462"/>
      <c r="Q237" s="1462"/>
      <c r="R237" s="1462"/>
      <c r="S237" s="1462"/>
      <c r="T237" s="1462"/>
      <c r="U237" s="1462"/>
      <c r="V237" s="1462"/>
      <c r="W237" s="1462"/>
      <c r="X237" s="1462"/>
      <c r="Y237" s="1462"/>
      <c r="Z237" s="1462"/>
      <c r="AA237" s="1462"/>
      <c r="AB237" s="1462"/>
      <c r="AC237" s="1462"/>
      <c r="AD237" s="1462"/>
      <c r="AE237" s="1462"/>
      <c r="AF237" s="1462"/>
      <c r="AG237" s="1462"/>
      <c r="AH237" s="1462"/>
      <c r="AI237" s="1462"/>
      <c r="AJ237" s="1465">
        <f t="shared" si="17"/>
        <v>0</v>
      </c>
      <c r="AK237" s="1465">
        <f t="shared" si="11"/>
        <v>0</v>
      </c>
      <c r="AL237" s="1466"/>
      <c r="AM237" s="615"/>
    </row>
    <row r="238" spans="1:39" s="156" customFormat="1" ht="19.149999999999999" customHeight="1" outlineLevel="1">
      <c r="A238" s="1182">
        <v>224</v>
      </c>
      <c r="B238" s="1182">
        <v>13</v>
      </c>
      <c r="C238" s="1635" t="str">
        <f>VLOOKUP(D238,'DS CN MOI UP'!$B$10:$C$347,2,0)</f>
        <v>03355</v>
      </c>
      <c r="D238" s="1185" t="s">
        <v>136</v>
      </c>
      <c r="E238" s="1462"/>
      <c r="F238" s="1462"/>
      <c r="G238" s="1462"/>
      <c r="H238" s="1462"/>
      <c r="I238" s="1462"/>
      <c r="J238" s="1462"/>
      <c r="K238" s="1462"/>
      <c r="L238" s="1462"/>
      <c r="M238" s="1462"/>
      <c r="N238" s="1462"/>
      <c r="O238" s="1462"/>
      <c r="P238" s="1462"/>
      <c r="Q238" s="1462"/>
      <c r="R238" s="1462"/>
      <c r="S238" s="1462"/>
      <c r="T238" s="1462"/>
      <c r="U238" s="1462"/>
      <c r="V238" s="1462"/>
      <c r="W238" s="1462"/>
      <c r="X238" s="1462"/>
      <c r="Y238" s="1462"/>
      <c r="Z238" s="1462"/>
      <c r="AA238" s="1462"/>
      <c r="AB238" s="1462"/>
      <c r="AC238" s="1462"/>
      <c r="AD238" s="1462"/>
      <c r="AE238" s="1462"/>
      <c r="AF238" s="1462"/>
      <c r="AG238" s="1462"/>
      <c r="AH238" s="1462"/>
      <c r="AI238" s="1462"/>
      <c r="AJ238" s="1465">
        <f t="shared" si="17"/>
        <v>0</v>
      </c>
      <c r="AK238" s="1465">
        <f t="shared" si="11"/>
        <v>0</v>
      </c>
      <c r="AL238" s="1466"/>
      <c r="AM238" s="615"/>
    </row>
    <row r="239" spans="1:39" s="156" customFormat="1" ht="19.149999999999999" customHeight="1" outlineLevel="1">
      <c r="A239" s="1182">
        <v>225</v>
      </c>
      <c r="B239" s="1182">
        <v>14</v>
      </c>
      <c r="C239" s="1635" t="str">
        <f>VLOOKUP(D239,'DS CN MOI UP'!$B$10:$C$347,2,0)</f>
        <v>02521</v>
      </c>
      <c r="D239" s="1185" t="s">
        <v>137</v>
      </c>
      <c r="E239" s="1462"/>
      <c r="F239" s="1462"/>
      <c r="G239" s="1462"/>
      <c r="H239" s="1462"/>
      <c r="I239" s="1462"/>
      <c r="J239" s="1462"/>
      <c r="K239" s="1462"/>
      <c r="L239" s="1462"/>
      <c r="M239" s="1462"/>
      <c r="N239" s="1462"/>
      <c r="O239" s="1462"/>
      <c r="P239" s="1462"/>
      <c r="Q239" s="1462"/>
      <c r="R239" s="1462"/>
      <c r="S239" s="1462"/>
      <c r="T239" s="1462"/>
      <c r="U239" s="1462"/>
      <c r="V239" s="1462"/>
      <c r="W239" s="1462"/>
      <c r="X239" s="1462"/>
      <c r="Y239" s="1462"/>
      <c r="Z239" s="1462"/>
      <c r="AA239" s="1462"/>
      <c r="AB239" s="1462"/>
      <c r="AC239" s="1462"/>
      <c r="AD239" s="1462"/>
      <c r="AE239" s="1462"/>
      <c r="AF239" s="1462"/>
      <c r="AG239" s="1462"/>
      <c r="AH239" s="1462"/>
      <c r="AI239" s="1462"/>
      <c r="AJ239" s="1465">
        <f t="shared" si="17"/>
        <v>0</v>
      </c>
      <c r="AK239" s="1465">
        <f t="shared" si="11"/>
        <v>0</v>
      </c>
      <c r="AL239" s="1466"/>
      <c r="AM239" s="615"/>
    </row>
    <row r="240" spans="1:39" s="156" customFormat="1" ht="19.149999999999999" customHeight="1" outlineLevel="1">
      <c r="A240" s="1182">
        <v>226</v>
      </c>
      <c r="B240" s="1182">
        <v>15</v>
      </c>
      <c r="C240" s="1635" t="str">
        <f>VLOOKUP(D240,'DS CN MOI UP'!$B$10:$C$347,2,0)</f>
        <v>03356</v>
      </c>
      <c r="D240" s="1185" t="s">
        <v>138</v>
      </c>
      <c r="E240" s="1462"/>
      <c r="F240" s="1462"/>
      <c r="G240" s="1462"/>
      <c r="H240" s="1462"/>
      <c r="I240" s="1462"/>
      <c r="J240" s="1462"/>
      <c r="K240" s="1462"/>
      <c r="L240" s="1462"/>
      <c r="M240" s="1462"/>
      <c r="N240" s="1462"/>
      <c r="O240" s="1462"/>
      <c r="P240" s="1462"/>
      <c r="Q240" s="1462"/>
      <c r="R240" s="1462"/>
      <c r="S240" s="1462"/>
      <c r="T240" s="1462"/>
      <c r="U240" s="1462"/>
      <c r="V240" s="1462"/>
      <c r="W240" s="1462"/>
      <c r="X240" s="1462"/>
      <c r="Y240" s="1462"/>
      <c r="Z240" s="1462"/>
      <c r="AA240" s="1462"/>
      <c r="AB240" s="1462"/>
      <c r="AC240" s="1462"/>
      <c r="AD240" s="1462"/>
      <c r="AE240" s="1462"/>
      <c r="AF240" s="1462"/>
      <c r="AG240" s="1462"/>
      <c r="AH240" s="1462"/>
      <c r="AI240" s="1462"/>
      <c r="AJ240" s="1465">
        <f t="shared" si="17"/>
        <v>0</v>
      </c>
      <c r="AK240" s="1465">
        <f t="shared" si="11"/>
        <v>0</v>
      </c>
      <c r="AL240" s="1466"/>
      <c r="AM240" s="615"/>
    </row>
    <row r="241" spans="1:39" s="156" customFormat="1" ht="19.149999999999999" customHeight="1" outlineLevel="1">
      <c r="A241" s="1182">
        <v>227</v>
      </c>
      <c r="B241" s="1182">
        <v>16</v>
      </c>
      <c r="C241" s="1635" t="str">
        <f>VLOOKUP(D241,'DS CN MOI UP'!$B$10:$C$347,2,0)</f>
        <v>02524</v>
      </c>
      <c r="D241" s="1185" t="s">
        <v>139</v>
      </c>
      <c r="E241" s="1462"/>
      <c r="F241" s="1462"/>
      <c r="G241" s="1462"/>
      <c r="H241" s="1462"/>
      <c r="I241" s="1462"/>
      <c r="J241" s="1462"/>
      <c r="K241" s="1462"/>
      <c r="L241" s="1462"/>
      <c r="M241" s="1462"/>
      <c r="N241" s="1462"/>
      <c r="O241" s="1462"/>
      <c r="P241" s="1462"/>
      <c r="Q241" s="1462"/>
      <c r="R241" s="1462"/>
      <c r="S241" s="1462"/>
      <c r="T241" s="1462"/>
      <c r="U241" s="1462"/>
      <c r="V241" s="1462"/>
      <c r="W241" s="1462"/>
      <c r="X241" s="1462"/>
      <c r="Y241" s="1462"/>
      <c r="Z241" s="1462"/>
      <c r="AA241" s="1462"/>
      <c r="AB241" s="1462"/>
      <c r="AC241" s="1462"/>
      <c r="AD241" s="1462"/>
      <c r="AE241" s="1462"/>
      <c r="AF241" s="1462"/>
      <c r="AG241" s="1462"/>
      <c r="AH241" s="1462"/>
      <c r="AI241" s="1462"/>
      <c r="AJ241" s="1465">
        <f t="shared" si="17"/>
        <v>0</v>
      </c>
      <c r="AK241" s="1465">
        <f t="shared" si="11"/>
        <v>0</v>
      </c>
      <c r="AL241" s="1466"/>
      <c r="AM241" s="615"/>
    </row>
    <row r="242" spans="1:39" s="156" customFormat="1" ht="19.149999999999999" customHeight="1" outlineLevel="1">
      <c r="A242" s="1182">
        <v>228</v>
      </c>
      <c r="B242" s="1182">
        <v>17</v>
      </c>
      <c r="C242" s="1635" t="str">
        <f>VLOOKUP(D242,'DS CN MOI UP'!$B$10:$C$347,2,0)</f>
        <v>03357</v>
      </c>
      <c r="D242" s="1185" t="s">
        <v>140</v>
      </c>
      <c r="E242" s="1462"/>
      <c r="F242" s="1462"/>
      <c r="G242" s="1462"/>
      <c r="H242" s="1462"/>
      <c r="I242" s="1462"/>
      <c r="J242" s="1462"/>
      <c r="K242" s="1462"/>
      <c r="L242" s="1462"/>
      <c r="M242" s="1462"/>
      <c r="N242" s="1462"/>
      <c r="O242" s="1462"/>
      <c r="P242" s="1462"/>
      <c r="Q242" s="1462"/>
      <c r="R242" s="1462"/>
      <c r="S242" s="1462"/>
      <c r="T242" s="1462"/>
      <c r="U242" s="1462"/>
      <c r="V242" s="1462"/>
      <c r="W242" s="1462"/>
      <c r="X242" s="1462"/>
      <c r="Y242" s="1462"/>
      <c r="Z242" s="1462"/>
      <c r="AA242" s="1462"/>
      <c r="AB242" s="1462"/>
      <c r="AC242" s="1462"/>
      <c r="AD242" s="1462"/>
      <c r="AE242" s="1462"/>
      <c r="AF242" s="1462"/>
      <c r="AG242" s="1462"/>
      <c r="AH242" s="1462"/>
      <c r="AI242" s="1462"/>
      <c r="AJ242" s="1465">
        <f t="shared" si="17"/>
        <v>0</v>
      </c>
      <c r="AK242" s="1465">
        <f t="shared" si="11"/>
        <v>0</v>
      </c>
      <c r="AL242" s="1466"/>
      <c r="AM242" s="615"/>
    </row>
    <row r="243" spans="1:39" s="156" customFormat="1" ht="19.149999999999999" customHeight="1" outlineLevel="1">
      <c r="A243" s="1182">
        <v>229</v>
      </c>
      <c r="B243" s="1182">
        <v>18</v>
      </c>
      <c r="C243" s="1635" t="str">
        <f>VLOOKUP(D243,'DS CN MOI UP'!$B$10:$C$347,2,0)</f>
        <v>03358</v>
      </c>
      <c r="D243" s="1185" t="s">
        <v>141</v>
      </c>
      <c r="E243" s="1462"/>
      <c r="F243" s="1462"/>
      <c r="G243" s="1462"/>
      <c r="H243" s="1462"/>
      <c r="I243" s="1462"/>
      <c r="J243" s="1462"/>
      <c r="K243" s="1462"/>
      <c r="L243" s="1462"/>
      <c r="M243" s="1462"/>
      <c r="N243" s="1462"/>
      <c r="O243" s="1462"/>
      <c r="P243" s="1462"/>
      <c r="Q243" s="1462"/>
      <c r="R243" s="1462"/>
      <c r="S243" s="1462"/>
      <c r="T243" s="1462"/>
      <c r="U243" s="1462"/>
      <c r="V243" s="1462"/>
      <c r="W243" s="1462"/>
      <c r="X243" s="1462"/>
      <c r="Y243" s="1462"/>
      <c r="Z243" s="1462"/>
      <c r="AA243" s="1462"/>
      <c r="AB243" s="1462"/>
      <c r="AC243" s="1462"/>
      <c r="AD243" s="1462"/>
      <c r="AE243" s="1462"/>
      <c r="AF243" s="1462"/>
      <c r="AG243" s="1462"/>
      <c r="AH243" s="1462"/>
      <c r="AI243" s="1462"/>
      <c r="AJ243" s="1465">
        <f t="shared" si="17"/>
        <v>0</v>
      </c>
      <c r="AK243" s="1465">
        <f t="shared" si="11"/>
        <v>0</v>
      </c>
      <c r="AL243" s="1466"/>
      <c r="AM243" s="615"/>
    </row>
    <row r="244" spans="1:39" s="156" customFormat="1" ht="19.149999999999999" customHeight="1" outlineLevel="1">
      <c r="A244" s="1182">
        <v>230</v>
      </c>
      <c r="B244" s="1182">
        <v>19</v>
      </c>
      <c r="C244" s="1635" t="str">
        <f>VLOOKUP(D244,'DS CN MOI UP'!$B$10:$C$347,2,0)</f>
        <v>02556</v>
      </c>
      <c r="D244" s="1185" t="s">
        <v>142</v>
      </c>
      <c r="E244" s="1462"/>
      <c r="F244" s="1462"/>
      <c r="G244" s="1462"/>
      <c r="H244" s="1462"/>
      <c r="I244" s="1462"/>
      <c r="J244" s="1462"/>
      <c r="K244" s="1462"/>
      <c r="L244" s="1462"/>
      <c r="M244" s="1462"/>
      <c r="N244" s="1462"/>
      <c r="O244" s="1462"/>
      <c r="P244" s="1462"/>
      <c r="Q244" s="1462"/>
      <c r="R244" s="1462"/>
      <c r="S244" s="1462"/>
      <c r="T244" s="1462"/>
      <c r="U244" s="1462"/>
      <c r="V244" s="1462"/>
      <c r="W244" s="1462"/>
      <c r="X244" s="1462"/>
      <c r="Y244" s="1462"/>
      <c r="Z244" s="1462"/>
      <c r="AA244" s="1462"/>
      <c r="AB244" s="1462"/>
      <c r="AC244" s="1462"/>
      <c r="AD244" s="1462"/>
      <c r="AE244" s="1462"/>
      <c r="AF244" s="1462"/>
      <c r="AG244" s="1462"/>
      <c r="AH244" s="1462"/>
      <c r="AI244" s="1462"/>
      <c r="AJ244" s="1465">
        <f t="shared" si="17"/>
        <v>0</v>
      </c>
      <c r="AK244" s="1465">
        <f t="shared" si="11"/>
        <v>0</v>
      </c>
      <c r="AL244" s="1466"/>
      <c r="AM244" s="615"/>
    </row>
    <row r="245" spans="1:39" s="156" customFormat="1" ht="19.149999999999999" customHeight="1" outlineLevel="1">
      <c r="A245" s="1182">
        <v>231</v>
      </c>
      <c r="B245" s="1182">
        <v>20</v>
      </c>
      <c r="C245" s="1635" t="str">
        <f>VLOOKUP(D245,'DS CN MOI UP'!$B$10:$C$347,2,0)</f>
        <v>02537</v>
      </c>
      <c r="D245" s="1185" t="s">
        <v>143</v>
      </c>
      <c r="E245" s="1462"/>
      <c r="F245" s="1462"/>
      <c r="G245" s="1462"/>
      <c r="H245" s="1462"/>
      <c r="I245" s="1462"/>
      <c r="J245" s="1462"/>
      <c r="K245" s="1462"/>
      <c r="L245" s="1462"/>
      <c r="M245" s="1462"/>
      <c r="N245" s="1462"/>
      <c r="O245" s="1462"/>
      <c r="P245" s="1462"/>
      <c r="Q245" s="1462"/>
      <c r="R245" s="1462"/>
      <c r="S245" s="1462"/>
      <c r="T245" s="1462"/>
      <c r="U245" s="1462"/>
      <c r="V245" s="1462"/>
      <c r="W245" s="1462"/>
      <c r="X245" s="1462"/>
      <c r="Y245" s="1462"/>
      <c r="Z245" s="1462"/>
      <c r="AA245" s="1462"/>
      <c r="AB245" s="1462"/>
      <c r="AC245" s="1462"/>
      <c r="AD245" s="1462"/>
      <c r="AE245" s="1462"/>
      <c r="AF245" s="1462"/>
      <c r="AG245" s="1462"/>
      <c r="AH245" s="1462"/>
      <c r="AI245" s="1462"/>
      <c r="AJ245" s="1465">
        <f t="shared" si="17"/>
        <v>0</v>
      </c>
      <c r="AK245" s="1465">
        <f t="shared" si="11"/>
        <v>0</v>
      </c>
      <c r="AL245" s="1466"/>
      <c r="AM245" s="615"/>
    </row>
    <row r="246" spans="1:39" s="156" customFormat="1" ht="19.149999999999999" customHeight="1" outlineLevel="1">
      <c r="A246" s="1182">
        <v>232</v>
      </c>
      <c r="B246" s="1182">
        <v>21</v>
      </c>
      <c r="C246" s="1635" t="str">
        <f>VLOOKUP(D246,'DS CN MOI UP'!$B$10:$C$347,2,0)</f>
        <v>03359</v>
      </c>
      <c r="D246" s="1185" t="s">
        <v>144</v>
      </c>
      <c r="E246" s="1462"/>
      <c r="F246" s="1462"/>
      <c r="G246" s="1462"/>
      <c r="H246" s="1462"/>
      <c r="I246" s="1462"/>
      <c r="J246" s="1462"/>
      <c r="K246" s="1462"/>
      <c r="L246" s="1462"/>
      <c r="M246" s="1462"/>
      <c r="N246" s="1462"/>
      <c r="O246" s="1462"/>
      <c r="P246" s="1462"/>
      <c r="Q246" s="1462"/>
      <c r="R246" s="1462"/>
      <c r="S246" s="1462"/>
      <c r="T246" s="1462"/>
      <c r="U246" s="1462"/>
      <c r="V246" s="1462"/>
      <c r="W246" s="1462"/>
      <c r="X246" s="1462"/>
      <c r="Y246" s="1462"/>
      <c r="Z246" s="1462"/>
      <c r="AA246" s="1462"/>
      <c r="AB246" s="1462"/>
      <c r="AC246" s="1462"/>
      <c r="AD246" s="1462"/>
      <c r="AE246" s="1462"/>
      <c r="AF246" s="1462"/>
      <c r="AG246" s="1462"/>
      <c r="AH246" s="1462"/>
      <c r="AI246" s="1462"/>
      <c r="AJ246" s="1465">
        <f t="shared" si="17"/>
        <v>0</v>
      </c>
      <c r="AK246" s="1465">
        <f t="shared" si="11"/>
        <v>0</v>
      </c>
      <c r="AL246" s="1466"/>
      <c r="AM246" s="615"/>
    </row>
    <row r="247" spans="1:39" s="156" customFormat="1" ht="19.149999999999999" customHeight="1" outlineLevel="1">
      <c r="A247" s="1182">
        <v>233</v>
      </c>
      <c r="B247" s="1182">
        <v>22</v>
      </c>
      <c r="C247" s="1635" t="str">
        <f>VLOOKUP(D247,'DS CN MOI UP'!$B$10:$C$347,2,0)</f>
        <v>03360</v>
      </c>
      <c r="D247" s="1185" t="s">
        <v>145</v>
      </c>
      <c r="E247" s="1462"/>
      <c r="F247" s="1462"/>
      <c r="G247" s="1462"/>
      <c r="H247" s="1462"/>
      <c r="I247" s="1462"/>
      <c r="J247" s="1462"/>
      <c r="K247" s="1462"/>
      <c r="L247" s="1462"/>
      <c r="M247" s="1462"/>
      <c r="N247" s="1462"/>
      <c r="O247" s="1462"/>
      <c r="P247" s="1462"/>
      <c r="Q247" s="1462"/>
      <c r="R247" s="1462"/>
      <c r="S247" s="1462"/>
      <c r="T247" s="1462"/>
      <c r="U247" s="1462"/>
      <c r="V247" s="1462"/>
      <c r="W247" s="1462"/>
      <c r="X247" s="1462"/>
      <c r="Y247" s="1462"/>
      <c r="Z247" s="1462"/>
      <c r="AA247" s="1462"/>
      <c r="AB247" s="1462"/>
      <c r="AC247" s="1462"/>
      <c r="AD247" s="1462"/>
      <c r="AE247" s="1462"/>
      <c r="AF247" s="1462"/>
      <c r="AG247" s="1462"/>
      <c r="AH247" s="1462"/>
      <c r="AI247" s="1462"/>
      <c r="AJ247" s="1465">
        <f t="shared" si="17"/>
        <v>0</v>
      </c>
      <c r="AK247" s="1465">
        <f t="shared" si="11"/>
        <v>0</v>
      </c>
      <c r="AL247" s="1466"/>
      <c r="AM247" s="615"/>
    </row>
    <row r="248" spans="1:39" s="156" customFormat="1" ht="19.149999999999999" customHeight="1" outlineLevel="1">
      <c r="A248" s="1182">
        <v>234</v>
      </c>
      <c r="B248" s="1182">
        <v>23</v>
      </c>
      <c r="C248" s="1635" t="str">
        <f>VLOOKUP(D248,'DS CN MOI UP'!$B$10:$C$347,2,0)</f>
        <v>03413</v>
      </c>
      <c r="D248" s="1185" t="s">
        <v>146</v>
      </c>
      <c r="E248" s="1462"/>
      <c r="F248" s="1462"/>
      <c r="G248" s="1462"/>
      <c r="H248" s="1462"/>
      <c r="I248" s="1462"/>
      <c r="J248" s="1462"/>
      <c r="K248" s="1462"/>
      <c r="L248" s="1462"/>
      <c r="M248" s="1462"/>
      <c r="N248" s="1462"/>
      <c r="O248" s="1462"/>
      <c r="P248" s="1462"/>
      <c r="Q248" s="1462"/>
      <c r="R248" s="1462"/>
      <c r="S248" s="1462"/>
      <c r="T248" s="1462"/>
      <c r="U248" s="1462"/>
      <c r="V248" s="1462"/>
      <c r="W248" s="1462"/>
      <c r="X248" s="1462"/>
      <c r="Y248" s="1462"/>
      <c r="Z248" s="1462"/>
      <c r="AA248" s="1462"/>
      <c r="AB248" s="1462"/>
      <c r="AC248" s="1462"/>
      <c r="AD248" s="1462"/>
      <c r="AE248" s="1462"/>
      <c r="AF248" s="1462"/>
      <c r="AG248" s="1462"/>
      <c r="AH248" s="1462"/>
      <c r="AI248" s="1462"/>
      <c r="AJ248" s="1465">
        <f t="shared" si="17"/>
        <v>0</v>
      </c>
      <c r="AK248" s="1465">
        <f t="shared" si="11"/>
        <v>0</v>
      </c>
      <c r="AL248" s="1466"/>
      <c r="AM248" s="615"/>
    </row>
    <row r="249" spans="1:39" s="156" customFormat="1" ht="19.149999999999999" customHeight="1" outlineLevel="1">
      <c r="A249" s="1182">
        <v>235</v>
      </c>
      <c r="B249" s="1182">
        <v>24</v>
      </c>
      <c r="C249" s="1635" t="str">
        <f>VLOOKUP(D249,'DS CN MOI UP'!$B$10:$C$347,2,0)</f>
        <v>03361</v>
      </c>
      <c r="D249" s="1185" t="s">
        <v>147</v>
      </c>
      <c r="E249" s="1462"/>
      <c r="F249" s="1462"/>
      <c r="G249" s="1462"/>
      <c r="H249" s="1462"/>
      <c r="I249" s="1462"/>
      <c r="J249" s="1462"/>
      <c r="K249" s="1462"/>
      <c r="L249" s="1462"/>
      <c r="M249" s="1462"/>
      <c r="N249" s="1462"/>
      <c r="O249" s="1462"/>
      <c r="P249" s="1462"/>
      <c r="Q249" s="1462"/>
      <c r="R249" s="1462"/>
      <c r="S249" s="1462"/>
      <c r="T249" s="1462"/>
      <c r="U249" s="1462"/>
      <c r="V249" s="1462"/>
      <c r="W249" s="1462"/>
      <c r="X249" s="1462"/>
      <c r="Y249" s="1462"/>
      <c r="Z249" s="1462"/>
      <c r="AA249" s="1462"/>
      <c r="AB249" s="1462"/>
      <c r="AC249" s="1462"/>
      <c r="AD249" s="1462"/>
      <c r="AE249" s="1462"/>
      <c r="AF249" s="1462"/>
      <c r="AG249" s="1462"/>
      <c r="AH249" s="1462"/>
      <c r="AI249" s="1462"/>
      <c r="AJ249" s="1465">
        <f t="shared" si="17"/>
        <v>0</v>
      </c>
      <c r="AK249" s="1465">
        <f t="shared" si="11"/>
        <v>0</v>
      </c>
      <c r="AL249" s="1466"/>
      <c r="AM249" s="615"/>
    </row>
    <row r="250" spans="1:39" s="156" customFormat="1" ht="19.149999999999999" customHeight="1" outlineLevel="1">
      <c r="A250" s="1182">
        <v>236</v>
      </c>
      <c r="B250" s="1182">
        <v>25</v>
      </c>
      <c r="C250" s="1635" t="str">
        <f>VLOOKUP(D250,'DS CN MOI UP'!$B$10:$C$347,2,0)</f>
        <v>02554</v>
      </c>
      <c r="D250" s="1185" t="s">
        <v>148</v>
      </c>
      <c r="E250" s="1462"/>
      <c r="F250" s="1462"/>
      <c r="G250" s="1462"/>
      <c r="H250" s="1462"/>
      <c r="I250" s="1462"/>
      <c r="J250" s="1462"/>
      <c r="K250" s="1462"/>
      <c r="L250" s="1462"/>
      <c r="M250" s="1462"/>
      <c r="N250" s="1462"/>
      <c r="O250" s="1462"/>
      <c r="P250" s="1462"/>
      <c r="Q250" s="1462"/>
      <c r="R250" s="1462"/>
      <c r="S250" s="1462"/>
      <c r="T250" s="1462"/>
      <c r="U250" s="1462"/>
      <c r="V250" s="1462"/>
      <c r="W250" s="1462"/>
      <c r="X250" s="1462"/>
      <c r="Y250" s="1462"/>
      <c r="Z250" s="1462"/>
      <c r="AA250" s="1462"/>
      <c r="AB250" s="1462"/>
      <c r="AC250" s="1462"/>
      <c r="AD250" s="1462"/>
      <c r="AE250" s="1462"/>
      <c r="AF250" s="1462"/>
      <c r="AG250" s="1462"/>
      <c r="AH250" s="1462"/>
      <c r="AI250" s="1462"/>
      <c r="AJ250" s="1465">
        <f t="shared" si="17"/>
        <v>0</v>
      </c>
      <c r="AK250" s="1465">
        <f t="shared" si="11"/>
        <v>0</v>
      </c>
      <c r="AL250" s="1466"/>
      <c r="AM250" s="615"/>
    </row>
    <row r="251" spans="1:39" s="156" customFormat="1" ht="19.149999999999999" customHeight="1" outlineLevel="1">
      <c r="A251" s="1182">
        <v>237</v>
      </c>
      <c r="B251" s="1182">
        <v>26</v>
      </c>
      <c r="C251" s="1635" t="str">
        <f>VLOOKUP(D251,'DS CN MOI UP'!$B$10:$C$347,2,0)</f>
        <v>02534</v>
      </c>
      <c r="D251" s="1185" t="s">
        <v>149</v>
      </c>
      <c r="E251" s="1462"/>
      <c r="F251" s="1462"/>
      <c r="G251" s="1462"/>
      <c r="H251" s="1462"/>
      <c r="I251" s="1462"/>
      <c r="J251" s="1462"/>
      <c r="K251" s="1462"/>
      <c r="L251" s="1462"/>
      <c r="M251" s="1462"/>
      <c r="N251" s="1462"/>
      <c r="O251" s="1462"/>
      <c r="P251" s="1462"/>
      <c r="Q251" s="1462"/>
      <c r="R251" s="1462"/>
      <c r="S251" s="1462"/>
      <c r="T251" s="1462"/>
      <c r="U251" s="1462"/>
      <c r="V251" s="1462"/>
      <c r="W251" s="1462"/>
      <c r="X251" s="1462"/>
      <c r="Y251" s="1462"/>
      <c r="Z251" s="1462"/>
      <c r="AA251" s="1462"/>
      <c r="AB251" s="1462"/>
      <c r="AC251" s="1462"/>
      <c r="AD251" s="1462"/>
      <c r="AE251" s="1462"/>
      <c r="AF251" s="1462"/>
      <c r="AG251" s="1462"/>
      <c r="AH251" s="1462"/>
      <c r="AI251" s="1462"/>
      <c r="AJ251" s="1465">
        <f t="shared" si="17"/>
        <v>0</v>
      </c>
      <c r="AK251" s="1465">
        <f t="shared" si="11"/>
        <v>0</v>
      </c>
      <c r="AL251" s="1466"/>
      <c r="AM251" s="615"/>
    </row>
    <row r="252" spans="1:39" s="156" customFormat="1" ht="19.149999999999999" customHeight="1" outlineLevel="1">
      <c r="A252" s="1182">
        <v>238</v>
      </c>
      <c r="B252" s="1182">
        <v>27</v>
      </c>
      <c r="C252" s="1635" t="str">
        <f>VLOOKUP(D252,'DS CN MOI UP'!$B$10:$C$347,2,0)</f>
        <v>02538</v>
      </c>
      <c r="D252" s="1185" t="s">
        <v>150</v>
      </c>
      <c r="E252" s="1462"/>
      <c r="F252" s="1462"/>
      <c r="G252" s="1462"/>
      <c r="H252" s="1462"/>
      <c r="I252" s="1462"/>
      <c r="J252" s="1462"/>
      <c r="K252" s="1462"/>
      <c r="L252" s="1462"/>
      <c r="M252" s="1462"/>
      <c r="N252" s="1462"/>
      <c r="O252" s="1462"/>
      <c r="P252" s="1462"/>
      <c r="Q252" s="1462"/>
      <c r="R252" s="1462"/>
      <c r="S252" s="1462"/>
      <c r="T252" s="1462"/>
      <c r="U252" s="1462"/>
      <c r="V252" s="1462"/>
      <c r="W252" s="1462"/>
      <c r="X252" s="1462"/>
      <c r="Y252" s="1462"/>
      <c r="Z252" s="1462"/>
      <c r="AA252" s="1462"/>
      <c r="AB252" s="1462"/>
      <c r="AC252" s="1462"/>
      <c r="AD252" s="1462"/>
      <c r="AE252" s="1462"/>
      <c r="AF252" s="1462"/>
      <c r="AG252" s="1462"/>
      <c r="AH252" s="1462"/>
      <c r="AI252" s="1462"/>
      <c r="AJ252" s="1465">
        <f t="shared" si="17"/>
        <v>0</v>
      </c>
      <c r="AK252" s="1465">
        <f t="shared" si="11"/>
        <v>0</v>
      </c>
      <c r="AL252" s="1466"/>
      <c r="AM252" s="615"/>
    </row>
    <row r="253" spans="1:39" s="156" customFormat="1" ht="19.149999999999999" customHeight="1" outlineLevel="1">
      <c r="A253" s="1182">
        <v>239</v>
      </c>
      <c r="B253" s="1182">
        <v>28</v>
      </c>
      <c r="C253" s="1635" t="str">
        <f>VLOOKUP(D253,'DS CN MOI UP'!$B$10:$C$347,2,0)</f>
        <v>03362</v>
      </c>
      <c r="D253" s="1185" t="s">
        <v>151</v>
      </c>
      <c r="E253" s="1462"/>
      <c r="F253" s="1462"/>
      <c r="G253" s="1462"/>
      <c r="H253" s="1462"/>
      <c r="I253" s="1462"/>
      <c r="J253" s="1462"/>
      <c r="K253" s="1462"/>
      <c r="L253" s="1462"/>
      <c r="M253" s="1462"/>
      <c r="N253" s="1462"/>
      <c r="O253" s="1462"/>
      <c r="P253" s="1462"/>
      <c r="Q253" s="1462"/>
      <c r="R253" s="1462"/>
      <c r="S253" s="1462"/>
      <c r="T253" s="1462"/>
      <c r="U253" s="1462"/>
      <c r="V253" s="1462"/>
      <c r="W253" s="1462"/>
      <c r="X253" s="1462"/>
      <c r="Y253" s="1462"/>
      <c r="Z253" s="1462"/>
      <c r="AA253" s="1462"/>
      <c r="AB253" s="1462"/>
      <c r="AC253" s="1462"/>
      <c r="AD253" s="1462"/>
      <c r="AE253" s="1462"/>
      <c r="AF253" s="1462"/>
      <c r="AG253" s="1462"/>
      <c r="AH253" s="1462"/>
      <c r="AI253" s="1462"/>
      <c r="AJ253" s="1465">
        <f t="shared" si="17"/>
        <v>0</v>
      </c>
      <c r="AK253" s="1465">
        <f t="shared" si="11"/>
        <v>0</v>
      </c>
      <c r="AL253" s="1466"/>
      <c r="AM253" s="615"/>
    </row>
    <row r="254" spans="1:39" s="156" customFormat="1" ht="19.149999999999999" customHeight="1" outlineLevel="1">
      <c r="A254" s="1182">
        <v>240</v>
      </c>
      <c r="B254" s="1182">
        <v>29</v>
      </c>
      <c r="C254" s="1635" t="str">
        <f>VLOOKUP(D254,'DS CN MOI UP'!$B$10:$C$347,2,0)</f>
        <v>02530</v>
      </c>
      <c r="D254" s="1185" t="s">
        <v>152</v>
      </c>
      <c r="E254" s="1462"/>
      <c r="F254" s="1462"/>
      <c r="G254" s="1462"/>
      <c r="H254" s="1462"/>
      <c r="I254" s="1462"/>
      <c r="J254" s="1462"/>
      <c r="K254" s="1462"/>
      <c r="L254" s="1462"/>
      <c r="M254" s="1462"/>
      <c r="N254" s="1462"/>
      <c r="O254" s="1462"/>
      <c r="P254" s="1462"/>
      <c r="Q254" s="1462"/>
      <c r="R254" s="1462"/>
      <c r="S254" s="1462"/>
      <c r="T254" s="1462"/>
      <c r="U254" s="1462"/>
      <c r="V254" s="1462"/>
      <c r="W254" s="1462"/>
      <c r="X254" s="1462"/>
      <c r="Y254" s="1462"/>
      <c r="Z254" s="1462"/>
      <c r="AA254" s="1462"/>
      <c r="AB254" s="1462"/>
      <c r="AC254" s="1462"/>
      <c r="AD254" s="1462"/>
      <c r="AE254" s="1462"/>
      <c r="AF254" s="1462"/>
      <c r="AG254" s="1462"/>
      <c r="AH254" s="1462"/>
      <c r="AI254" s="1462"/>
      <c r="AJ254" s="1465">
        <f t="shared" si="17"/>
        <v>0</v>
      </c>
      <c r="AK254" s="1465">
        <f t="shared" si="11"/>
        <v>0</v>
      </c>
      <c r="AL254" s="1466"/>
      <c r="AM254" s="615"/>
    </row>
    <row r="255" spans="1:39" s="156" customFormat="1" ht="19.149999999999999" customHeight="1" outlineLevel="1">
      <c r="A255" s="1182">
        <v>241</v>
      </c>
      <c r="B255" s="1182">
        <v>30</v>
      </c>
      <c r="C255" s="1635" t="str">
        <f>VLOOKUP(D255,'DS CN MOI UP'!$B$10:$C$347,2,0)</f>
        <v>03363</v>
      </c>
      <c r="D255" s="1185" t="s">
        <v>153</v>
      </c>
      <c r="E255" s="1462"/>
      <c r="F255" s="1462"/>
      <c r="G255" s="1462"/>
      <c r="H255" s="1462"/>
      <c r="I255" s="1462"/>
      <c r="J255" s="1462"/>
      <c r="K255" s="1462"/>
      <c r="L255" s="1462"/>
      <c r="M255" s="1462"/>
      <c r="N255" s="1462"/>
      <c r="O255" s="1462"/>
      <c r="P255" s="1462"/>
      <c r="Q255" s="1462"/>
      <c r="R255" s="1462"/>
      <c r="S255" s="1462"/>
      <c r="T255" s="1462"/>
      <c r="U255" s="1462"/>
      <c r="V255" s="1462"/>
      <c r="W255" s="1462"/>
      <c r="X255" s="1462"/>
      <c r="Y255" s="1462"/>
      <c r="Z255" s="1462"/>
      <c r="AA255" s="1462"/>
      <c r="AB255" s="1462"/>
      <c r="AC255" s="1462"/>
      <c r="AD255" s="1462"/>
      <c r="AE255" s="1462"/>
      <c r="AF255" s="1462"/>
      <c r="AG255" s="1462"/>
      <c r="AH255" s="1462"/>
      <c r="AI255" s="1462"/>
      <c r="AJ255" s="1465">
        <f t="shared" si="17"/>
        <v>0</v>
      </c>
      <c r="AK255" s="1465">
        <f t="shared" si="11"/>
        <v>0</v>
      </c>
      <c r="AL255" s="1466"/>
      <c r="AM255" s="615"/>
    </row>
    <row r="256" spans="1:39" s="156" customFormat="1" ht="19.149999999999999" customHeight="1" outlineLevel="1">
      <c r="A256" s="1182">
        <v>242</v>
      </c>
      <c r="B256" s="1182">
        <v>31</v>
      </c>
      <c r="C256" s="1635" t="str">
        <f>VLOOKUP(D256,'DS CN MOI UP'!$B$10:$C$347,2,0)</f>
        <v>03364</v>
      </c>
      <c r="D256" s="1185" t="s">
        <v>154</v>
      </c>
      <c r="E256" s="1462"/>
      <c r="F256" s="1462"/>
      <c r="G256" s="1462"/>
      <c r="H256" s="1462"/>
      <c r="I256" s="1462"/>
      <c r="J256" s="1462"/>
      <c r="K256" s="1462"/>
      <c r="L256" s="1462"/>
      <c r="M256" s="1462"/>
      <c r="N256" s="1462"/>
      <c r="O256" s="1462"/>
      <c r="P256" s="1462"/>
      <c r="Q256" s="1462"/>
      <c r="R256" s="1462"/>
      <c r="S256" s="1462"/>
      <c r="T256" s="1462"/>
      <c r="U256" s="1462"/>
      <c r="V256" s="1462"/>
      <c r="W256" s="1462"/>
      <c r="X256" s="1462"/>
      <c r="Y256" s="1462"/>
      <c r="Z256" s="1462"/>
      <c r="AA256" s="1462"/>
      <c r="AB256" s="1462"/>
      <c r="AC256" s="1462"/>
      <c r="AD256" s="1462"/>
      <c r="AE256" s="1462"/>
      <c r="AF256" s="1462"/>
      <c r="AG256" s="1462"/>
      <c r="AH256" s="1462"/>
      <c r="AI256" s="1462"/>
      <c r="AJ256" s="1465">
        <f t="shared" si="17"/>
        <v>0</v>
      </c>
      <c r="AK256" s="1465">
        <f t="shared" si="11"/>
        <v>0</v>
      </c>
      <c r="AL256" s="1466"/>
      <c r="AM256" s="615"/>
    </row>
    <row r="257" spans="1:38" s="156" customFormat="1" ht="19.149999999999999" customHeight="1" outlineLevel="1">
      <c r="A257" s="1182">
        <v>243</v>
      </c>
      <c r="B257" s="1182">
        <v>32</v>
      </c>
      <c r="C257" s="1635" t="str">
        <f>VLOOKUP(D257,'DS CN MOI UP'!$B$10:$C$347,2,0)</f>
        <v>02536</v>
      </c>
      <c r="D257" s="1185" t="s">
        <v>155</v>
      </c>
      <c r="E257" s="1462"/>
      <c r="F257" s="1462"/>
      <c r="G257" s="1462"/>
      <c r="H257" s="1462"/>
      <c r="I257" s="1462"/>
      <c r="J257" s="1462"/>
      <c r="K257" s="1462"/>
      <c r="L257" s="1462"/>
      <c r="M257" s="1462"/>
      <c r="N257" s="1462"/>
      <c r="O257" s="1462"/>
      <c r="P257" s="1462"/>
      <c r="Q257" s="1462"/>
      <c r="R257" s="1462"/>
      <c r="S257" s="1462"/>
      <c r="T257" s="1462"/>
      <c r="U257" s="1462"/>
      <c r="V257" s="1462"/>
      <c r="W257" s="1462"/>
      <c r="X257" s="1462"/>
      <c r="Y257" s="1462"/>
      <c r="Z257" s="1462"/>
      <c r="AA257" s="1462"/>
      <c r="AB257" s="1462"/>
      <c r="AC257" s="1462"/>
      <c r="AD257" s="1462"/>
      <c r="AE257" s="1462"/>
      <c r="AF257" s="1462"/>
      <c r="AG257" s="1462"/>
      <c r="AH257" s="1462"/>
      <c r="AI257" s="1462"/>
      <c r="AJ257" s="1465">
        <f t="shared" si="17"/>
        <v>0</v>
      </c>
      <c r="AK257" s="1465">
        <f t="shared" si="11"/>
        <v>0</v>
      </c>
      <c r="AL257" s="1466"/>
    </row>
    <row r="258" spans="1:38" s="156" customFormat="1" ht="19.149999999999999" customHeight="1" outlineLevel="1">
      <c r="A258" s="1182">
        <v>244</v>
      </c>
      <c r="B258" s="1182">
        <v>33</v>
      </c>
      <c r="C258" s="1635" t="str">
        <f>VLOOKUP(D258,'DS CN MOI UP'!$B$10:$C$347,2,0)</f>
        <v>02527</v>
      </c>
      <c r="D258" s="1185" t="s">
        <v>156</v>
      </c>
      <c r="E258" s="1462"/>
      <c r="F258" s="1462"/>
      <c r="G258" s="1462"/>
      <c r="H258" s="1462"/>
      <c r="I258" s="1462"/>
      <c r="J258" s="1462"/>
      <c r="K258" s="1462"/>
      <c r="L258" s="1462"/>
      <c r="M258" s="1462"/>
      <c r="N258" s="1462"/>
      <c r="O258" s="1462"/>
      <c r="P258" s="1462"/>
      <c r="Q258" s="1462"/>
      <c r="R258" s="1462"/>
      <c r="S258" s="1462"/>
      <c r="T258" s="1462"/>
      <c r="U258" s="1462"/>
      <c r="V258" s="1462"/>
      <c r="W258" s="1462"/>
      <c r="X258" s="1462"/>
      <c r="Y258" s="1462"/>
      <c r="Z258" s="1462"/>
      <c r="AA258" s="1462"/>
      <c r="AB258" s="1462"/>
      <c r="AC258" s="1462"/>
      <c r="AD258" s="1462"/>
      <c r="AE258" s="1462"/>
      <c r="AF258" s="1462"/>
      <c r="AG258" s="1462"/>
      <c r="AH258" s="1462"/>
      <c r="AI258" s="1462"/>
      <c r="AJ258" s="1465">
        <f t="shared" si="17"/>
        <v>0</v>
      </c>
      <c r="AK258" s="1465">
        <f t="shared" si="11"/>
        <v>0</v>
      </c>
      <c r="AL258" s="1466"/>
    </row>
    <row r="259" spans="1:38" s="156" customFormat="1" ht="19.149999999999999" customHeight="1" outlineLevel="1">
      <c r="A259" s="1182">
        <v>245</v>
      </c>
      <c r="B259" s="1182">
        <v>34</v>
      </c>
      <c r="C259" s="1635" t="str">
        <f>VLOOKUP(D259,'DS CN MOI UP'!$B$10:$C$347,2,0)</f>
        <v>03366</v>
      </c>
      <c r="D259" s="1185" t="s">
        <v>157</v>
      </c>
      <c r="E259" s="1462"/>
      <c r="F259" s="1462"/>
      <c r="G259" s="1462"/>
      <c r="H259" s="1462"/>
      <c r="I259" s="1462"/>
      <c r="J259" s="1462"/>
      <c r="K259" s="1462"/>
      <c r="L259" s="1462"/>
      <c r="M259" s="1462"/>
      <c r="N259" s="1462"/>
      <c r="O259" s="1462"/>
      <c r="P259" s="1462"/>
      <c r="Q259" s="1462"/>
      <c r="R259" s="1462"/>
      <c r="S259" s="1462"/>
      <c r="T259" s="1462"/>
      <c r="U259" s="1462"/>
      <c r="V259" s="1462"/>
      <c r="W259" s="1462"/>
      <c r="X259" s="1462"/>
      <c r="Y259" s="1462"/>
      <c r="Z259" s="1462"/>
      <c r="AA259" s="1462"/>
      <c r="AB259" s="1462"/>
      <c r="AC259" s="1462"/>
      <c r="AD259" s="1462"/>
      <c r="AE259" s="1462"/>
      <c r="AF259" s="1462"/>
      <c r="AG259" s="1462"/>
      <c r="AH259" s="1462"/>
      <c r="AI259" s="1462"/>
      <c r="AJ259" s="1465">
        <f t="shared" si="17"/>
        <v>0</v>
      </c>
      <c r="AK259" s="1465">
        <f t="shared" si="11"/>
        <v>0</v>
      </c>
      <c r="AL259" s="1466"/>
    </row>
    <row r="260" spans="1:38" s="156" customFormat="1" ht="19.149999999999999" customHeight="1" outlineLevel="1">
      <c r="A260" s="1182">
        <v>246</v>
      </c>
      <c r="B260" s="1182">
        <v>35</v>
      </c>
      <c r="C260" s="1635" t="str">
        <f>VLOOKUP(D260,'DS CN MOI UP'!$B$10:$C$347,2,0)</f>
        <v>02532</v>
      </c>
      <c r="D260" s="1185" t="s">
        <v>158</v>
      </c>
      <c r="E260" s="1462"/>
      <c r="F260" s="1462"/>
      <c r="G260" s="1462"/>
      <c r="H260" s="1462"/>
      <c r="I260" s="1462"/>
      <c r="J260" s="1462"/>
      <c r="K260" s="1462"/>
      <c r="L260" s="1462"/>
      <c r="M260" s="1462"/>
      <c r="N260" s="1462"/>
      <c r="O260" s="1462"/>
      <c r="P260" s="1462"/>
      <c r="Q260" s="1462"/>
      <c r="R260" s="1462"/>
      <c r="S260" s="1462"/>
      <c r="T260" s="1462"/>
      <c r="U260" s="1462"/>
      <c r="V260" s="1462"/>
      <c r="W260" s="1462"/>
      <c r="X260" s="1462"/>
      <c r="Y260" s="1462"/>
      <c r="Z260" s="1462"/>
      <c r="AA260" s="1462"/>
      <c r="AB260" s="1462"/>
      <c r="AC260" s="1462"/>
      <c r="AD260" s="1462"/>
      <c r="AE260" s="1462"/>
      <c r="AF260" s="1462"/>
      <c r="AG260" s="1462"/>
      <c r="AH260" s="1462"/>
      <c r="AI260" s="1462"/>
      <c r="AJ260" s="1465">
        <f t="shared" si="17"/>
        <v>0</v>
      </c>
      <c r="AK260" s="1465">
        <f t="shared" si="11"/>
        <v>0</v>
      </c>
      <c r="AL260" s="1466"/>
    </row>
    <row r="261" spans="1:38" s="156" customFormat="1" ht="19.149999999999999" customHeight="1" outlineLevel="1">
      <c r="A261" s="1182">
        <v>247</v>
      </c>
      <c r="B261" s="1182">
        <v>36</v>
      </c>
      <c r="C261" s="1635" t="str">
        <f>VLOOKUP(D261,'DS CN MOI UP'!$B$10:$C$347,2,0)</f>
        <v>02528</v>
      </c>
      <c r="D261" s="1185" t="s">
        <v>159</v>
      </c>
      <c r="E261" s="1462"/>
      <c r="F261" s="1462"/>
      <c r="G261" s="1462"/>
      <c r="H261" s="1462"/>
      <c r="I261" s="1462"/>
      <c r="J261" s="1462"/>
      <c r="K261" s="1462"/>
      <c r="L261" s="1462"/>
      <c r="M261" s="1462"/>
      <c r="N261" s="1462"/>
      <c r="O261" s="1462"/>
      <c r="P261" s="1462"/>
      <c r="Q261" s="1462"/>
      <c r="R261" s="1462"/>
      <c r="S261" s="1462"/>
      <c r="T261" s="1462"/>
      <c r="U261" s="1462"/>
      <c r="V261" s="1462"/>
      <c r="W261" s="1462"/>
      <c r="X261" s="1462"/>
      <c r="Y261" s="1462"/>
      <c r="Z261" s="1462"/>
      <c r="AA261" s="1462"/>
      <c r="AB261" s="1462"/>
      <c r="AC261" s="1462"/>
      <c r="AD261" s="1462"/>
      <c r="AE261" s="1462"/>
      <c r="AF261" s="1462"/>
      <c r="AG261" s="1462"/>
      <c r="AH261" s="1462"/>
      <c r="AI261" s="1462"/>
      <c r="AJ261" s="1465">
        <f t="shared" si="17"/>
        <v>0</v>
      </c>
      <c r="AK261" s="1465">
        <f t="shared" si="11"/>
        <v>0</v>
      </c>
      <c r="AL261" s="1466"/>
    </row>
    <row r="262" spans="1:38" s="156" customFormat="1" ht="19.149999999999999" customHeight="1" outlineLevel="1">
      <c r="A262" s="1182">
        <v>248</v>
      </c>
      <c r="B262" s="1182">
        <v>37</v>
      </c>
      <c r="C262" s="1635" t="str">
        <f>VLOOKUP(D262,'DS CN MOI UP'!$B$10:$C$347,2,0)</f>
        <v>03367</v>
      </c>
      <c r="D262" s="1185" t="s">
        <v>160</v>
      </c>
      <c r="E262" s="1462"/>
      <c r="F262" s="1462"/>
      <c r="G262" s="1462"/>
      <c r="H262" s="1462"/>
      <c r="I262" s="1462"/>
      <c r="J262" s="1462"/>
      <c r="K262" s="1462"/>
      <c r="L262" s="1462"/>
      <c r="M262" s="1462"/>
      <c r="N262" s="1462"/>
      <c r="O262" s="1462"/>
      <c r="P262" s="1462"/>
      <c r="Q262" s="1462"/>
      <c r="R262" s="1462"/>
      <c r="S262" s="1462"/>
      <c r="T262" s="1462"/>
      <c r="U262" s="1462"/>
      <c r="V262" s="1462"/>
      <c r="W262" s="1462"/>
      <c r="X262" s="1462"/>
      <c r="Y262" s="1462"/>
      <c r="Z262" s="1462"/>
      <c r="AA262" s="1462"/>
      <c r="AB262" s="1462"/>
      <c r="AC262" s="1462"/>
      <c r="AD262" s="1462"/>
      <c r="AE262" s="1462"/>
      <c r="AF262" s="1462"/>
      <c r="AG262" s="1462"/>
      <c r="AH262" s="1462"/>
      <c r="AI262" s="1462"/>
      <c r="AJ262" s="1465">
        <f t="shared" si="17"/>
        <v>0</v>
      </c>
      <c r="AK262" s="1465">
        <f t="shared" si="11"/>
        <v>0</v>
      </c>
      <c r="AL262" s="1466"/>
    </row>
    <row r="263" spans="1:38" s="156" customFormat="1" ht="19.149999999999999" customHeight="1" outlineLevel="1">
      <c r="A263" s="1182">
        <v>249</v>
      </c>
      <c r="B263" s="1182">
        <v>38</v>
      </c>
      <c r="C263" s="1635" t="str">
        <f>VLOOKUP(D263,'DS CN MOI UP'!$B$10:$C$347,2,0)</f>
        <v>02517</v>
      </c>
      <c r="D263" s="1185" t="s">
        <v>161</v>
      </c>
      <c r="E263" s="1462"/>
      <c r="F263" s="1462"/>
      <c r="G263" s="1462"/>
      <c r="H263" s="1462"/>
      <c r="I263" s="1462"/>
      <c r="J263" s="1462"/>
      <c r="K263" s="1462"/>
      <c r="L263" s="1462"/>
      <c r="M263" s="1462"/>
      <c r="N263" s="1462"/>
      <c r="O263" s="1462"/>
      <c r="P263" s="1462"/>
      <c r="Q263" s="1462"/>
      <c r="R263" s="1462"/>
      <c r="S263" s="1462"/>
      <c r="T263" s="1462"/>
      <c r="U263" s="1462"/>
      <c r="V263" s="1462"/>
      <c r="W263" s="1462"/>
      <c r="X263" s="1462"/>
      <c r="Y263" s="1462"/>
      <c r="Z263" s="1462"/>
      <c r="AA263" s="1462"/>
      <c r="AB263" s="1462"/>
      <c r="AC263" s="1462"/>
      <c r="AD263" s="1462"/>
      <c r="AE263" s="1462"/>
      <c r="AF263" s="1462"/>
      <c r="AG263" s="1462"/>
      <c r="AH263" s="1462"/>
      <c r="AI263" s="1462"/>
      <c r="AJ263" s="1465">
        <f t="shared" si="17"/>
        <v>0</v>
      </c>
      <c r="AK263" s="1465">
        <f t="shared" si="11"/>
        <v>0</v>
      </c>
      <c r="AL263" s="1466"/>
    </row>
    <row r="264" spans="1:38" s="156" customFormat="1" ht="19.149999999999999" customHeight="1" outlineLevel="1">
      <c r="A264" s="1182">
        <v>250</v>
      </c>
      <c r="B264" s="1182">
        <v>39</v>
      </c>
      <c r="C264" s="1635" t="str">
        <f>VLOOKUP(D264,'DS CN MOI UP'!$B$10:$C$347,2,0)</f>
        <v>02522</v>
      </c>
      <c r="D264" s="1185" t="s">
        <v>162</v>
      </c>
      <c r="E264" s="1462"/>
      <c r="F264" s="1462"/>
      <c r="G264" s="1462"/>
      <c r="H264" s="1462"/>
      <c r="I264" s="1462"/>
      <c r="J264" s="1462"/>
      <c r="K264" s="1462"/>
      <c r="L264" s="1462"/>
      <c r="M264" s="1462"/>
      <c r="N264" s="1462"/>
      <c r="O264" s="1462"/>
      <c r="P264" s="1462"/>
      <c r="Q264" s="1462"/>
      <c r="R264" s="1462"/>
      <c r="S264" s="1462"/>
      <c r="T264" s="1462"/>
      <c r="U264" s="1462"/>
      <c r="V264" s="1462"/>
      <c r="W264" s="1462"/>
      <c r="X264" s="1462"/>
      <c r="Y264" s="1462"/>
      <c r="Z264" s="1462"/>
      <c r="AA264" s="1462"/>
      <c r="AB264" s="1462"/>
      <c r="AC264" s="1462"/>
      <c r="AD264" s="1462"/>
      <c r="AE264" s="1462"/>
      <c r="AF264" s="1462"/>
      <c r="AG264" s="1462"/>
      <c r="AH264" s="1462"/>
      <c r="AI264" s="1462"/>
      <c r="AJ264" s="1465">
        <f t="shared" si="17"/>
        <v>0</v>
      </c>
      <c r="AK264" s="1465">
        <f t="shared" si="11"/>
        <v>0</v>
      </c>
      <c r="AL264" s="1466"/>
    </row>
    <row r="265" spans="1:38" s="156" customFormat="1" ht="19.149999999999999" customHeight="1" outlineLevel="1">
      <c r="A265" s="1182">
        <v>251</v>
      </c>
      <c r="B265" s="1182">
        <v>40</v>
      </c>
      <c r="C265" s="1635" t="str">
        <f>VLOOKUP(D265,'DS CN MOI UP'!$B$10:$C$347,2,0)</f>
        <v>02565</v>
      </c>
      <c r="D265" s="1185" t="s">
        <v>163</v>
      </c>
      <c r="E265" s="1462"/>
      <c r="F265" s="1462"/>
      <c r="G265" s="1462"/>
      <c r="H265" s="1462"/>
      <c r="I265" s="1462"/>
      <c r="J265" s="1462"/>
      <c r="K265" s="1462"/>
      <c r="L265" s="1462"/>
      <c r="M265" s="1462"/>
      <c r="N265" s="1462"/>
      <c r="O265" s="1462"/>
      <c r="P265" s="1462"/>
      <c r="Q265" s="1462"/>
      <c r="R265" s="1462"/>
      <c r="S265" s="1462"/>
      <c r="T265" s="1462"/>
      <c r="U265" s="1462"/>
      <c r="V265" s="1462"/>
      <c r="W265" s="1462"/>
      <c r="X265" s="1462"/>
      <c r="Y265" s="1462"/>
      <c r="Z265" s="1462"/>
      <c r="AA265" s="1462"/>
      <c r="AB265" s="1462"/>
      <c r="AC265" s="1462"/>
      <c r="AD265" s="1462"/>
      <c r="AE265" s="1462"/>
      <c r="AF265" s="1462"/>
      <c r="AG265" s="1462"/>
      <c r="AH265" s="1462"/>
      <c r="AI265" s="1462"/>
      <c r="AJ265" s="1465">
        <f t="shared" si="17"/>
        <v>0</v>
      </c>
      <c r="AK265" s="1465">
        <f t="shared" si="11"/>
        <v>0</v>
      </c>
      <c r="AL265" s="1466"/>
    </row>
    <row r="266" spans="1:38" s="156" customFormat="1" ht="19.149999999999999" customHeight="1" outlineLevel="1">
      <c r="A266" s="1182">
        <v>252</v>
      </c>
      <c r="B266" s="1182">
        <v>41</v>
      </c>
      <c r="C266" s="1635" t="str">
        <f>VLOOKUP(D266,'DS CN MOI UP'!$B$10:$C$347,2,0)</f>
        <v>03368</v>
      </c>
      <c r="D266" s="1185" t="s">
        <v>164</v>
      </c>
      <c r="E266" s="1462"/>
      <c r="F266" s="1462"/>
      <c r="G266" s="1462"/>
      <c r="H266" s="1462"/>
      <c r="I266" s="1462"/>
      <c r="J266" s="1462"/>
      <c r="K266" s="1462"/>
      <c r="L266" s="1462"/>
      <c r="M266" s="1462"/>
      <c r="N266" s="1462"/>
      <c r="O266" s="1462"/>
      <c r="P266" s="1462"/>
      <c r="Q266" s="1462"/>
      <c r="R266" s="1462"/>
      <c r="S266" s="1462"/>
      <c r="T266" s="1462"/>
      <c r="U266" s="1462"/>
      <c r="V266" s="1462"/>
      <c r="W266" s="1462"/>
      <c r="X266" s="1462"/>
      <c r="Y266" s="1462"/>
      <c r="Z266" s="1462"/>
      <c r="AA266" s="1462"/>
      <c r="AB266" s="1462"/>
      <c r="AC266" s="1462"/>
      <c r="AD266" s="1462"/>
      <c r="AE266" s="1462"/>
      <c r="AF266" s="1462"/>
      <c r="AG266" s="1462"/>
      <c r="AH266" s="1462"/>
      <c r="AI266" s="1462"/>
      <c r="AJ266" s="1465">
        <f t="shared" si="17"/>
        <v>0</v>
      </c>
      <c r="AK266" s="1465">
        <f t="shared" si="11"/>
        <v>0</v>
      </c>
      <c r="AL266" s="1466"/>
    </row>
    <row r="267" spans="1:38" s="156" customFormat="1" ht="19.149999999999999" customHeight="1" outlineLevel="1">
      <c r="A267" s="1182">
        <v>253</v>
      </c>
      <c r="B267" s="1182">
        <v>42</v>
      </c>
      <c r="C267" s="1635" t="str">
        <f>VLOOKUP(D267,'DS CN MOI UP'!$B$10:$C$347,2,0)</f>
        <v>02535</v>
      </c>
      <c r="D267" s="1185" t="s">
        <v>165</v>
      </c>
      <c r="E267" s="1462"/>
      <c r="F267" s="1462"/>
      <c r="G267" s="1462"/>
      <c r="H267" s="1462"/>
      <c r="I267" s="1462"/>
      <c r="J267" s="1462"/>
      <c r="K267" s="1462"/>
      <c r="L267" s="1462"/>
      <c r="M267" s="1462"/>
      <c r="N267" s="1462"/>
      <c r="O267" s="1462"/>
      <c r="P267" s="1462"/>
      <c r="Q267" s="1462"/>
      <c r="R267" s="1462"/>
      <c r="S267" s="1462"/>
      <c r="T267" s="1462"/>
      <c r="U267" s="1462"/>
      <c r="V267" s="1462"/>
      <c r="W267" s="1462"/>
      <c r="X267" s="1462"/>
      <c r="Y267" s="1462"/>
      <c r="Z267" s="1462"/>
      <c r="AA267" s="1462"/>
      <c r="AB267" s="1462"/>
      <c r="AC267" s="1462"/>
      <c r="AD267" s="1462"/>
      <c r="AE267" s="1462"/>
      <c r="AF267" s="1462"/>
      <c r="AG267" s="1462"/>
      <c r="AH267" s="1462"/>
      <c r="AI267" s="1462"/>
      <c r="AJ267" s="1465">
        <f t="shared" si="17"/>
        <v>0</v>
      </c>
      <c r="AK267" s="1465">
        <f t="shared" ref="AK267:AK331" si="18">AJ267*$AN$6</f>
        <v>0</v>
      </c>
      <c r="AL267" s="1466"/>
    </row>
    <row r="268" spans="1:38" s="156" customFormat="1" ht="19.149999999999999" customHeight="1" outlineLevel="1">
      <c r="A268" s="1182">
        <v>254</v>
      </c>
      <c r="B268" s="1182">
        <v>43</v>
      </c>
      <c r="C268" s="1635" t="str">
        <f>VLOOKUP(D268,'DS CN MOI UP'!$B$10:$C$347,2,0)</f>
        <v>02563</v>
      </c>
      <c r="D268" s="1185" t="s">
        <v>166</v>
      </c>
      <c r="E268" s="1462"/>
      <c r="F268" s="1462"/>
      <c r="G268" s="1462"/>
      <c r="H268" s="1462"/>
      <c r="I268" s="1462"/>
      <c r="J268" s="1462"/>
      <c r="K268" s="1462"/>
      <c r="L268" s="1462"/>
      <c r="M268" s="1462"/>
      <c r="N268" s="1462"/>
      <c r="O268" s="1462"/>
      <c r="P268" s="1462"/>
      <c r="Q268" s="1462"/>
      <c r="R268" s="1462"/>
      <c r="S268" s="1462"/>
      <c r="T268" s="1462"/>
      <c r="U268" s="1462"/>
      <c r="V268" s="1462"/>
      <c r="W268" s="1462"/>
      <c r="X268" s="1462"/>
      <c r="Y268" s="1462"/>
      <c r="Z268" s="1462"/>
      <c r="AA268" s="1462"/>
      <c r="AB268" s="1462"/>
      <c r="AC268" s="1462"/>
      <c r="AD268" s="1462"/>
      <c r="AE268" s="1462"/>
      <c r="AF268" s="1462"/>
      <c r="AG268" s="1462"/>
      <c r="AH268" s="1462"/>
      <c r="AI268" s="1462"/>
      <c r="AJ268" s="1465">
        <f t="shared" si="17"/>
        <v>0</v>
      </c>
      <c r="AK268" s="1465">
        <f t="shared" si="18"/>
        <v>0</v>
      </c>
      <c r="AL268" s="1466"/>
    </row>
    <row r="269" spans="1:38" s="156" customFormat="1" ht="19.149999999999999" customHeight="1" outlineLevel="1">
      <c r="A269" s="1182">
        <v>255</v>
      </c>
      <c r="B269" s="1182">
        <v>44</v>
      </c>
      <c r="C269" s="1635" t="str">
        <f>VLOOKUP(D269,'DS CN MOI UP'!$B$10:$C$347,2,0)</f>
        <v>02688</v>
      </c>
      <c r="D269" s="1185" t="s">
        <v>167</v>
      </c>
      <c r="E269" s="1462"/>
      <c r="F269" s="1462"/>
      <c r="G269" s="1462"/>
      <c r="H269" s="1462"/>
      <c r="I269" s="1462"/>
      <c r="J269" s="1462"/>
      <c r="K269" s="1462"/>
      <c r="L269" s="1462"/>
      <c r="M269" s="1462"/>
      <c r="N269" s="1462"/>
      <c r="O269" s="1462"/>
      <c r="P269" s="1462"/>
      <c r="Q269" s="1462"/>
      <c r="R269" s="1462"/>
      <c r="S269" s="1462"/>
      <c r="T269" s="1462"/>
      <c r="U269" s="1462"/>
      <c r="V269" s="1462"/>
      <c r="W269" s="1462"/>
      <c r="X269" s="1462"/>
      <c r="Y269" s="1462"/>
      <c r="Z269" s="1462"/>
      <c r="AA269" s="1462"/>
      <c r="AB269" s="1462"/>
      <c r="AC269" s="1462"/>
      <c r="AD269" s="1462"/>
      <c r="AE269" s="1462"/>
      <c r="AF269" s="1462"/>
      <c r="AG269" s="1462"/>
      <c r="AH269" s="1462"/>
      <c r="AI269" s="1462"/>
      <c r="AJ269" s="1465">
        <f t="shared" si="17"/>
        <v>0</v>
      </c>
      <c r="AK269" s="1465">
        <f t="shared" si="18"/>
        <v>0</v>
      </c>
      <c r="AL269" s="1466"/>
    </row>
    <row r="270" spans="1:38" s="156" customFormat="1" ht="19.149999999999999" customHeight="1" outlineLevel="1">
      <c r="A270" s="1182">
        <v>256</v>
      </c>
      <c r="B270" s="1182">
        <v>45</v>
      </c>
      <c r="C270" s="1635" t="str">
        <f>VLOOKUP(D270,'DS CN MOI UP'!$B$10:$C$347,2,0)</f>
        <v>02551</v>
      </c>
      <c r="D270" s="1185" t="s">
        <v>168</v>
      </c>
      <c r="E270" s="1462"/>
      <c r="F270" s="1462"/>
      <c r="G270" s="1462"/>
      <c r="H270" s="1462"/>
      <c r="I270" s="1462"/>
      <c r="J270" s="1462"/>
      <c r="K270" s="1462"/>
      <c r="L270" s="1462"/>
      <c r="M270" s="1462"/>
      <c r="N270" s="1462"/>
      <c r="O270" s="1462"/>
      <c r="P270" s="1462"/>
      <c r="Q270" s="1462"/>
      <c r="R270" s="1462"/>
      <c r="S270" s="1462"/>
      <c r="T270" s="1462"/>
      <c r="U270" s="1462"/>
      <c r="V270" s="1462"/>
      <c r="W270" s="1462"/>
      <c r="X270" s="1462"/>
      <c r="Y270" s="1462"/>
      <c r="Z270" s="1462"/>
      <c r="AA270" s="1462"/>
      <c r="AB270" s="1462"/>
      <c r="AC270" s="1462"/>
      <c r="AD270" s="1462"/>
      <c r="AE270" s="1462"/>
      <c r="AF270" s="1462"/>
      <c r="AG270" s="1462"/>
      <c r="AH270" s="1462"/>
      <c r="AI270" s="1462"/>
      <c r="AJ270" s="1465">
        <f t="shared" si="17"/>
        <v>0</v>
      </c>
      <c r="AK270" s="1465">
        <f t="shared" si="18"/>
        <v>0</v>
      </c>
      <c r="AL270" s="1466"/>
    </row>
    <row r="271" spans="1:38" s="156" customFormat="1" ht="19.149999999999999" customHeight="1" outlineLevel="1">
      <c r="A271" s="1182">
        <v>257</v>
      </c>
      <c r="B271" s="1182">
        <v>46</v>
      </c>
      <c r="C271" s="1635" t="str">
        <f>VLOOKUP(D271,'DS CN MOI UP'!$B$10:$C$347,2,0)</f>
        <v>02523</v>
      </c>
      <c r="D271" s="1185" t="s">
        <v>169</v>
      </c>
      <c r="E271" s="1462"/>
      <c r="F271" s="1462"/>
      <c r="G271" s="1462"/>
      <c r="H271" s="1462"/>
      <c r="I271" s="1462"/>
      <c r="J271" s="1462"/>
      <c r="K271" s="1462"/>
      <c r="L271" s="1462"/>
      <c r="M271" s="1462"/>
      <c r="N271" s="1462"/>
      <c r="O271" s="1462"/>
      <c r="P271" s="1462"/>
      <c r="Q271" s="1462"/>
      <c r="R271" s="1462"/>
      <c r="S271" s="1462"/>
      <c r="T271" s="1462"/>
      <c r="U271" s="1462"/>
      <c r="V271" s="1462"/>
      <c r="W271" s="1462"/>
      <c r="X271" s="1462"/>
      <c r="Y271" s="1462"/>
      <c r="Z271" s="1462"/>
      <c r="AA271" s="1462"/>
      <c r="AB271" s="1462"/>
      <c r="AC271" s="1462"/>
      <c r="AD271" s="1462"/>
      <c r="AE271" s="1462"/>
      <c r="AF271" s="1462"/>
      <c r="AG271" s="1462"/>
      <c r="AH271" s="1462"/>
      <c r="AI271" s="1462"/>
      <c r="AJ271" s="1465">
        <f t="shared" si="17"/>
        <v>0</v>
      </c>
      <c r="AK271" s="1465">
        <f t="shared" si="18"/>
        <v>0</v>
      </c>
      <c r="AL271" s="1466"/>
    </row>
    <row r="272" spans="1:38" s="156" customFormat="1" ht="19.149999999999999" customHeight="1" outlineLevel="1">
      <c r="A272" s="1182">
        <v>258</v>
      </c>
      <c r="B272" s="1182">
        <v>47</v>
      </c>
      <c r="C272" s="1635" t="str">
        <f>VLOOKUP(D272,'DS CN MOI UP'!$B$10:$C$347,2,0)</f>
        <v>03369</v>
      </c>
      <c r="D272" s="1185" t="s">
        <v>170</v>
      </c>
      <c r="E272" s="1462"/>
      <c r="F272" s="1462"/>
      <c r="G272" s="1462"/>
      <c r="H272" s="1462"/>
      <c r="I272" s="1462"/>
      <c r="J272" s="1462"/>
      <c r="K272" s="1462"/>
      <c r="L272" s="1462"/>
      <c r="M272" s="1462"/>
      <c r="N272" s="1462"/>
      <c r="O272" s="1462"/>
      <c r="P272" s="1462"/>
      <c r="Q272" s="1462"/>
      <c r="R272" s="1462"/>
      <c r="S272" s="1462"/>
      <c r="T272" s="1462"/>
      <c r="U272" s="1462"/>
      <c r="V272" s="1462"/>
      <c r="W272" s="1462"/>
      <c r="X272" s="1462"/>
      <c r="Y272" s="1462"/>
      <c r="Z272" s="1462"/>
      <c r="AA272" s="1462"/>
      <c r="AB272" s="1462"/>
      <c r="AC272" s="1462"/>
      <c r="AD272" s="1462"/>
      <c r="AE272" s="1462"/>
      <c r="AF272" s="1462"/>
      <c r="AG272" s="1462"/>
      <c r="AH272" s="1462"/>
      <c r="AI272" s="1462"/>
      <c r="AJ272" s="1465">
        <f t="shared" si="17"/>
        <v>0</v>
      </c>
      <c r="AK272" s="1465">
        <f t="shared" si="18"/>
        <v>0</v>
      </c>
      <c r="AL272" s="1466"/>
    </row>
    <row r="273" spans="1:38" s="156" customFormat="1" ht="19.149999999999999" customHeight="1" outlineLevel="1">
      <c r="A273" s="1182">
        <v>259</v>
      </c>
      <c r="B273" s="1182">
        <v>48</v>
      </c>
      <c r="C273" s="1635" t="str">
        <f>VLOOKUP(D273,'DS CN MOI UP'!$B$10:$C$347,2,0)</f>
        <v>03345</v>
      </c>
      <c r="D273" s="1185" t="s">
        <v>171</v>
      </c>
      <c r="E273" s="1462"/>
      <c r="F273" s="1462"/>
      <c r="G273" s="1462"/>
      <c r="H273" s="1462"/>
      <c r="I273" s="1462"/>
      <c r="J273" s="1462"/>
      <c r="K273" s="1462"/>
      <c r="L273" s="1462"/>
      <c r="M273" s="1462"/>
      <c r="N273" s="1462"/>
      <c r="O273" s="1462"/>
      <c r="P273" s="1462"/>
      <c r="Q273" s="1462"/>
      <c r="R273" s="1462"/>
      <c r="S273" s="1462"/>
      <c r="T273" s="1462"/>
      <c r="U273" s="1462"/>
      <c r="V273" s="1462"/>
      <c r="W273" s="1462"/>
      <c r="X273" s="1462"/>
      <c r="Y273" s="1462"/>
      <c r="Z273" s="1462"/>
      <c r="AA273" s="1462"/>
      <c r="AB273" s="1462"/>
      <c r="AC273" s="1462"/>
      <c r="AD273" s="1462"/>
      <c r="AE273" s="1462"/>
      <c r="AF273" s="1462"/>
      <c r="AG273" s="1462"/>
      <c r="AH273" s="1462"/>
      <c r="AI273" s="1462"/>
      <c r="AJ273" s="1465">
        <f t="shared" si="17"/>
        <v>0</v>
      </c>
      <c r="AK273" s="1465">
        <f t="shared" si="18"/>
        <v>0</v>
      </c>
      <c r="AL273" s="1466"/>
    </row>
    <row r="274" spans="1:38" s="156" customFormat="1" ht="19.149999999999999" customHeight="1" outlineLevel="1">
      <c r="A274" s="1182">
        <v>260</v>
      </c>
      <c r="B274" s="1182">
        <v>49</v>
      </c>
      <c r="C274" s="1635" t="str">
        <f>VLOOKUP(D274,'DS CN MOI UP'!$B$10:$C$347,2,0)</f>
        <v>03371</v>
      </c>
      <c r="D274" s="1185" t="s">
        <v>172</v>
      </c>
      <c r="E274" s="1462"/>
      <c r="F274" s="1462"/>
      <c r="G274" s="1462"/>
      <c r="H274" s="1462"/>
      <c r="I274" s="1462"/>
      <c r="J274" s="1462"/>
      <c r="K274" s="1462"/>
      <c r="L274" s="1462"/>
      <c r="M274" s="1462"/>
      <c r="N274" s="1462"/>
      <c r="O274" s="1462"/>
      <c r="P274" s="1462"/>
      <c r="Q274" s="1462"/>
      <c r="R274" s="1462"/>
      <c r="S274" s="1462"/>
      <c r="T274" s="1462"/>
      <c r="U274" s="1462"/>
      <c r="V274" s="1462"/>
      <c r="W274" s="1462"/>
      <c r="X274" s="1462"/>
      <c r="Y274" s="1462"/>
      <c r="Z274" s="1462"/>
      <c r="AA274" s="1462"/>
      <c r="AB274" s="1462"/>
      <c r="AC274" s="1462"/>
      <c r="AD274" s="1462"/>
      <c r="AE274" s="1462"/>
      <c r="AF274" s="1462"/>
      <c r="AG274" s="1462"/>
      <c r="AH274" s="1462"/>
      <c r="AI274" s="1462"/>
      <c r="AJ274" s="1465">
        <f t="shared" si="17"/>
        <v>0</v>
      </c>
      <c r="AK274" s="1465">
        <f t="shared" si="18"/>
        <v>0</v>
      </c>
      <c r="AL274" s="1466"/>
    </row>
    <row r="275" spans="1:38" s="156" customFormat="1" ht="19.149999999999999" customHeight="1" outlineLevel="1">
      <c r="A275" s="1182">
        <v>261</v>
      </c>
      <c r="B275" s="1182">
        <v>50</v>
      </c>
      <c r="C275" s="1635" t="str">
        <f>VLOOKUP(D275,'DS CN MOI UP'!$B$10:$C$347,2,0)</f>
        <v>02519</v>
      </c>
      <c r="D275" s="1185" t="s">
        <v>173</v>
      </c>
      <c r="E275" s="1462"/>
      <c r="F275" s="1462"/>
      <c r="G275" s="1462"/>
      <c r="H275" s="1462"/>
      <c r="I275" s="1462"/>
      <c r="J275" s="1462"/>
      <c r="K275" s="1462"/>
      <c r="L275" s="1462"/>
      <c r="M275" s="1462"/>
      <c r="N275" s="1462"/>
      <c r="O275" s="1462"/>
      <c r="P275" s="1462"/>
      <c r="Q275" s="1462"/>
      <c r="R275" s="1462"/>
      <c r="S275" s="1462"/>
      <c r="T275" s="1462"/>
      <c r="U275" s="1462"/>
      <c r="V275" s="1462"/>
      <c r="W275" s="1462"/>
      <c r="X275" s="1462"/>
      <c r="Y275" s="1462"/>
      <c r="Z275" s="1462"/>
      <c r="AA275" s="1462"/>
      <c r="AB275" s="1462"/>
      <c r="AC275" s="1462"/>
      <c r="AD275" s="1462"/>
      <c r="AE275" s="1462"/>
      <c r="AF275" s="1462"/>
      <c r="AG275" s="1462"/>
      <c r="AH275" s="1462"/>
      <c r="AI275" s="1462"/>
      <c r="AJ275" s="1465">
        <f t="shared" si="17"/>
        <v>0</v>
      </c>
      <c r="AK275" s="1465">
        <f t="shared" si="18"/>
        <v>0</v>
      </c>
      <c r="AL275" s="1466"/>
    </row>
    <row r="276" spans="1:38" s="156" customFormat="1" ht="19.149999999999999" customHeight="1" outlineLevel="1">
      <c r="A276" s="1182">
        <v>262</v>
      </c>
      <c r="B276" s="1182">
        <v>51</v>
      </c>
      <c r="C276" s="1635" t="str">
        <f>VLOOKUP(D276,'DS CN MOI UP'!$B$10:$C$347,2,0)</f>
        <v>02692</v>
      </c>
      <c r="D276" s="1185" t="s">
        <v>174</v>
      </c>
      <c r="E276" s="1462"/>
      <c r="F276" s="1462"/>
      <c r="G276" s="1462"/>
      <c r="H276" s="1462"/>
      <c r="I276" s="1462"/>
      <c r="J276" s="1462"/>
      <c r="K276" s="1462"/>
      <c r="L276" s="1462"/>
      <c r="M276" s="1462"/>
      <c r="N276" s="1462"/>
      <c r="O276" s="1462"/>
      <c r="P276" s="1462"/>
      <c r="Q276" s="1462"/>
      <c r="R276" s="1462"/>
      <c r="S276" s="1462"/>
      <c r="T276" s="1462"/>
      <c r="U276" s="1462"/>
      <c r="V276" s="1462"/>
      <c r="W276" s="1462"/>
      <c r="X276" s="1462"/>
      <c r="Y276" s="1462"/>
      <c r="Z276" s="1462"/>
      <c r="AA276" s="1462"/>
      <c r="AB276" s="1462"/>
      <c r="AC276" s="1462"/>
      <c r="AD276" s="1462"/>
      <c r="AE276" s="1462"/>
      <c r="AF276" s="1462"/>
      <c r="AG276" s="1462"/>
      <c r="AH276" s="1462"/>
      <c r="AI276" s="1462"/>
      <c r="AJ276" s="1465">
        <f t="shared" si="17"/>
        <v>0</v>
      </c>
      <c r="AK276" s="1465">
        <f t="shared" si="18"/>
        <v>0</v>
      </c>
      <c r="AL276" s="1466"/>
    </row>
    <row r="277" spans="1:38" s="1232" customFormat="1" ht="19.149999999999999" customHeight="1" outlineLevel="1">
      <c r="A277" s="1182">
        <v>263</v>
      </c>
      <c r="B277" s="1182">
        <v>52</v>
      </c>
      <c r="C277" s="1635" t="str">
        <f>VLOOKUP(D277,'DS CN MOI UP'!$B$10:$C$347,2,0)</f>
        <v>03372</v>
      </c>
      <c r="D277" s="1473" t="s">
        <v>175</v>
      </c>
      <c r="E277" s="1462"/>
      <c r="F277" s="1462"/>
      <c r="G277" s="1462"/>
      <c r="H277" s="1462"/>
      <c r="I277" s="1462"/>
      <c r="J277" s="1462"/>
      <c r="K277" s="1462"/>
      <c r="L277" s="1462"/>
      <c r="M277" s="1462"/>
      <c r="N277" s="1462"/>
      <c r="O277" s="1462"/>
      <c r="P277" s="1462"/>
      <c r="Q277" s="1462"/>
      <c r="R277" s="1462"/>
      <c r="S277" s="1462"/>
      <c r="T277" s="1462"/>
      <c r="U277" s="1462"/>
      <c r="V277" s="1462"/>
      <c r="W277" s="1462"/>
      <c r="X277" s="1462"/>
      <c r="Y277" s="1462"/>
      <c r="Z277" s="1462"/>
      <c r="AA277" s="1462"/>
      <c r="AB277" s="1462"/>
      <c r="AC277" s="1462"/>
      <c r="AD277" s="1462"/>
      <c r="AE277" s="1462"/>
      <c r="AF277" s="1462"/>
      <c r="AG277" s="1462"/>
      <c r="AH277" s="1462"/>
      <c r="AI277" s="1462"/>
      <c r="AJ277" s="1465">
        <f t="shared" si="17"/>
        <v>0</v>
      </c>
      <c r="AK277" s="1465">
        <f t="shared" si="18"/>
        <v>0</v>
      </c>
      <c r="AL277" s="1466"/>
    </row>
    <row r="278" spans="1:38" s="1232" customFormat="1" ht="19.149999999999999" customHeight="1" outlineLevel="1">
      <c r="A278" s="1182">
        <v>264</v>
      </c>
      <c r="B278" s="1182">
        <v>53</v>
      </c>
      <c r="C278" s="1635" t="str">
        <f>VLOOKUP(D278,'DS CN MOI UP'!$B$10:$C$347,2,0)</f>
        <v>03365</v>
      </c>
      <c r="D278" s="1473" t="s">
        <v>176</v>
      </c>
      <c r="E278" s="1462"/>
      <c r="F278" s="1462"/>
      <c r="G278" s="1462"/>
      <c r="H278" s="1462"/>
      <c r="I278" s="1462"/>
      <c r="J278" s="1462"/>
      <c r="K278" s="1462"/>
      <c r="L278" s="1462"/>
      <c r="M278" s="1462"/>
      <c r="N278" s="1462"/>
      <c r="O278" s="1462"/>
      <c r="P278" s="1462"/>
      <c r="Q278" s="1462"/>
      <c r="R278" s="1462"/>
      <c r="S278" s="1462"/>
      <c r="T278" s="1462"/>
      <c r="U278" s="1462"/>
      <c r="V278" s="1462"/>
      <c r="W278" s="1462"/>
      <c r="X278" s="1462"/>
      <c r="Y278" s="1462"/>
      <c r="Z278" s="1462"/>
      <c r="AA278" s="1462"/>
      <c r="AB278" s="1462"/>
      <c r="AC278" s="1462"/>
      <c r="AD278" s="1462"/>
      <c r="AE278" s="1462"/>
      <c r="AF278" s="1462"/>
      <c r="AG278" s="1462"/>
      <c r="AH278" s="1462"/>
      <c r="AI278" s="1462"/>
      <c r="AJ278" s="1465">
        <f t="shared" si="17"/>
        <v>0</v>
      </c>
      <c r="AK278" s="1465">
        <f t="shared" si="18"/>
        <v>0</v>
      </c>
      <c r="AL278" s="1466"/>
    </row>
    <row r="279" spans="1:38" s="1232" customFormat="1" ht="19.149999999999999" customHeight="1" outlineLevel="1">
      <c r="A279" s="1182">
        <v>265</v>
      </c>
      <c r="B279" s="1182">
        <v>54</v>
      </c>
      <c r="C279" s="1635" t="str">
        <f>VLOOKUP(D279,'DS CN MOI UP'!$B$10:$C$347,2,0)</f>
        <v>03373</v>
      </c>
      <c r="D279" s="1473" t="s">
        <v>177</v>
      </c>
      <c r="E279" s="1462"/>
      <c r="F279" s="1462"/>
      <c r="G279" s="1462"/>
      <c r="H279" s="1462"/>
      <c r="I279" s="1462"/>
      <c r="J279" s="1462"/>
      <c r="K279" s="1462"/>
      <c r="L279" s="1462"/>
      <c r="M279" s="1462"/>
      <c r="N279" s="1462"/>
      <c r="O279" s="1462"/>
      <c r="P279" s="1462"/>
      <c r="Q279" s="1462"/>
      <c r="R279" s="1462"/>
      <c r="S279" s="1462"/>
      <c r="T279" s="1462"/>
      <c r="U279" s="1462"/>
      <c r="V279" s="1462"/>
      <c r="W279" s="1462"/>
      <c r="X279" s="1462"/>
      <c r="Y279" s="1462"/>
      <c r="Z279" s="1462"/>
      <c r="AA279" s="1462"/>
      <c r="AB279" s="1462"/>
      <c r="AC279" s="1462"/>
      <c r="AD279" s="1462"/>
      <c r="AE279" s="1462"/>
      <c r="AF279" s="1462"/>
      <c r="AG279" s="1462"/>
      <c r="AH279" s="1462"/>
      <c r="AI279" s="1462"/>
      <c r="AJ279" s="1465">
        <f t="shared" si="17"/>
        <v>0</v>
      </c>
      <c r="AK279" s="1465">
        <f t="shared" si="18"/>
        <v>0</v>
      </c>
      <c r="AL279" s="1466"/>
    </row>
    <row r="280" spans="1:38" s="1232" customFormat="1" ht="19.149999999999999" customHeight="1" outlineLevel="1">
      <c r="A280" s="1182">
        <v>266</v>
      </c>
      <c r="B280" s="1182">
        <v>55</v>
      </c>
      <c r="C280" s="1635" t="str">
        <f>VLOOKUP(D280,'DS CN MOI UP'!$B$10:$C$347,2,0)</f>
        <v>03374</v>
      </c>
      <c r="D280" s="1473" t="s">
        <v>178</v>
      </c>
      <c r="E280" s="1462"/>
      <c r="F280" s="1462"/>
      <c r="G280" s="1462"/>
      <c r="H280" s="1462"/>
      <c r="I280" s="1462"/>
      <c r="J280" s="1462"/>
      <c r="K280" s="1462"/>
      <c r="L280" s="1462"/>
      <c r="M280" s="1462"/>
      <c r="N280" s="1462"/>
      <c r="O280" s="1462"/>
      <c r="P280" s="1462"/>
      <c r="Q280" s="1462"/>
      <c r="R280" s="1462"/>
      <c r="S280" s="1462"/>
      <c r="T280" s="1462"/>
      <c r="U280" s="1462"/>
      <c r="V280" s="1462"/>
      <c r="W280" s="1462"/>
      <c r="X280" s="1462"/>
      <c r="Y280" s="1462"/>
      <c r="Z280" s="1462"/>
      <c r="AA280" s="1462"/>
      <c r="AB280" s="1462"/>
      <c r="AC280" s="1462"/>
      <c r="AD280" s="1462"/>
      <c r="AE280" s="1462"/>
      <c r="AF280" s="1462"/>
      <c r="AG280" s="1462"/>
      <c r="AH280" s="1462"/>
      <c r="AI280" s="1462"/>
      <c r="AJ280" s="1465">
        <f t="shared" si="17"/>
        <v>0</v>
      </c>
      <c r="AK280" s="1465">
        <f t="shared" si="18"/>
        <v>0</v>
      </c>
      <c r="AL280" s="1466"/>
    </row>
    <row r="281" spans="1:38" s="1232" customFormat="1" ht="19.149999999999999" customHeight="1" outlineLevel="1">
      <c r="A281" s="1182">
        <v>267</v>
      </c>
      <c r="B281" s="1182">
        <v>56</v>
      </c>
      <c r="C281" s="1635" t="str">
        <f>VLOOKUP(D281,'DS CN MOI UP'!$B$10:$C$347,2,0)</f>
        <v>02557</v>
      </c>
      <c r="D281" s="1473" t="s">
        <v>179</v>
      </c>
      <c r="E281" s="1462"/>
      <c r="F281" s="1462"/>
      <c r="G281" s="1462"/>
      <c r="H281" s="1462"/>
      <c r="I281" s="1462"/>
      <c r="J281" s="1462"/>
      <c r="K281" s="1462"/>
      <c r="L281" s="1462"/>
      <c r="M281" s="1462"/>
      <c r="N281" s="1462"/>
      <c r="O281" s="1462"/>
      <c r="P281" s="1462"/>
      <c r="Q281" s="1462"/>
      <c r="R281" s="1462"/>
      <c r="S281" s="1462"/>
      <c r="T281" s="1462"/>
      <c r="U281" s="1462"/>
      <c r="V281" s="1462"/>
      <c r="W281" s="1462"/>
      <c r="X281" s="1462"/>
      <c r="Y281" s="1462"/>
      <c r="Z281" s="1462"/>
      <c r="AA281" s="1462"/>
      <c r="AB281" s="1462"/>
      <c r="AC281" s="1462"/>
      <c r="AD281" s="1462"/>
      <c r="AE281" s="1462"/>
      <c r="AF281" s="1462"/>
      <c r="AG281" s="1462"/>
      <c r="AH281" s="1462"/>
      <c r="AI281" s="1462"/>
      <c r="AJ281" s="1465">
        <f t="shared" si="17"/>
        <v>0</v>
      </c>
      <c r="AK281" s="1465">
        <f t="shared" si="18"/>
        <v>0</v>
      </c>
      <c r="AL281" s="1466"/>
    </row>
    <row r="282" spans="1:38" s="1232" customFormat="1" ht="19.149999999999999" customHeight="1" outlineLevel="1">
      <c r="A282" s="1182">
        <v>268</v>
      </c>
      <c r="B282" s="1182">
        <v>57</v>
      </c>
      <c r="C282" s="1635" t="str">
        <f>VLOOKUP(D282,'DS CN MOI UP'!$B$10:$C$347,2,0)</f>
        <v>02525</v>
      </c>
      <c r="D282" s="1473" t="s">
        <v>180</v>
      </c>
      <c r="E282" s="1462"/>
      <c r="F282" s="1462"/>
      <c r="G282" s="1462"/>
      <c r="H282" s="1462"/>
      <c r="I282" s="1462"/>
      <c r="J282" s="1462"/>
      <c r="K282" s="1462"/>
      <c r="L282" s="1462"/>
      <c r="M282" s="1462"/>
      <c r="N282" s="1462"/>
      <c r="O282" s="1462"/>
      <c r="P282" s="1462"/>
      <c r="Q282" s="1462"/>
      <c r="R282" s="1462"/>
      <c r="S282" s="1462"/>
      <c r="T282" s="1462"/>
      <c r="U282" s="1462"/>
      <c r="V282" s="1462"/>
      <c r="W282" s="1462"/>
      <c r="X282" s="1462"/>
      <c r="Y282" s="1462"/>
      <c r="Z282" s="1462"/>
      <c r="AA282" s="1462"/>
      <c r="AB282" s="1462"/>
      <c r="AC282" s="1462"/>
      <c r="AD282" s="1462"/>
      <c r="AE282" s="1462"/>
      <c r="AF282" s="1462"/>
      <c r="AG282" s="1462"/>
      <c r="AH282" s="1462"/>
      <c r="AI282" s="1462"/>
      <c r="AJ282" s="1465">
        <f t="shared" si="17"/>
        <v>0</v>
      </c>
      <c r="AK282" s="1465">
        <f t="shared" si="18"/>
        <v>0</v>
      </c>
      <c r="AL282" s="1466"/>
    </row>
    <row r="283" spans="1:38" s="1232" customFormat="1" ht="19.149999999999999" customHeight="1" outlineLevel="1">
      <c r="A283" s="1182">
        <v>269</v>
      </c>
      <c r="B283" s="1182">
        <v>58</v>
      </c>
      <c r="C283" s="1635" t="str">
        <f>VLOOKUP(D283,'DS CN MOI UP'!$B$10:$C$347,2,0)</f>
        <v>03375</v>
      </c>
      <c r="D283" s="1473" t="s">
        <v>181</v>
      </c>
      <c r="E283" s="1462"/>
      <c r="F283" s="1462"/>
      <c r="G283" s="1462"/>
      <c r="H283" s="1462"/>
      <c r="I283" s="1462"/>
      <c r="J283" s="1462"/>
      <c r="K283" s="1462"/>
      <c r="L283" s="1462"/>
      <c r="M283" s="1462"/>
      <c r="N283" s="1462"/>
      <c r="O283" s="1462"/>
      <c r="P283" s="1462"/>
      <c r="Q283" s="1462"/>
      <c r="R283" s="1462"/>
      <c r="S283" s="1462"/>
      <c r="T283" s="1462"/>
      <c r="U283" s="1462"/>
      <c r="V283" s="1462"/>
      <c r="W283" s="1462"/>
      <c r="X283" s="1462"/>
      <c r="Y283" s="1462"/>
      <c r="Z283" s="1462"/>
      <c r="AA283" s="1462"/>
      <c r="AB283" s="1462"/>
      <c r="AC283" s="1462"/>
      <c r="AD283" s="1462"/>
      <c r="AE283" s="1462"/>
      <c r="AF283" s="1462"/>
      <c r="AG283" s="1462"/>
      <c r="AH283" s="1462"/>
      <c r="AI283" s="1462"/>
      <c r="AJ283" s="1465">
        <f t="shared" si="17"/>
        <v>0</v>
      </c>
      <c r="AK283" s="1465">
        <f t="shared" si="18"/>
        <v>0</v>
      </c>
      <c r="AL283" s="1466"/>
    </row>
    <row r="284" spans="1:38" s="1232" customFormat="1" ht="19.149999999999999" customHeight="1" outlineLevel="1">
      <c r="A284" s="1182">
        <v>270</v>
      </c>
      <c r="B284" s="1182">
        <v>59</v>
      </c>
      <c r="C284" s="1635" t="str">
        <f>VLOOKUP(D284,'DS CN MOI UP'!$B$10:$C$347,2,0)</f>
        <v>02691</v>
      </c>
      <c r="D284" s="1473" t="s">
        <v>182</v>
      </c>
      <c r="E284" s="1462"/>
      <c r="F284" s="1462"/>
      <c r="G284" s="1462"/>
      <c r="H284" s="1462"/>
      <c r="I284" s="1462"/>
      <c r="J284" s="1462"/>
      <c r="K284" s="1462"/>
      <c r="L284" s="1462"/>
      <c r="M284" s="1462"/>
      <c r="N284" s="1462"/>
      <c r="O284" s="1462"/>
      <c r="P284" s="1462"/>
      <c r="Q284" s="1462"/>
      <c r="R284" s="1462"/>
      <c r="S284" s="1462"/>
      <c r="T284" s="1462"/>
      <c r="U284" s="1462"/>
      <c r="V284" s="1462"/>
      <c r="W284" s="1462"/>
      <c r="X284" s="1462"/>
      <c r="Y284" s="1462"/>
      <c r="Z284" s="1462"/>
      <c r="AA284" s="1462"/>
      <c r="AB284" s="1462"/>
      <c r="AC284" s="1462"/>
      <c r="AD284" s="1462"/>
      <c r="AE284" s="1462"/>
      <c r="AF284" s="1462"/>
      <c r="AG284" s="1462"/>
      <c r="AH284" s="1462"/>
      <c r="AI284" s="1462"/>
      <c r="AJ284" s="1465">
        <f t="shared" si="17"/>
        <v>0</v>
      </c>
      <c r="AK284" s="1465">
        <f t="shared" si="18"/>
        <v>0</v>
      </c>
      <c r="AL284" s="1466"/>
    </row>
    <row r="285" spans="1:38" s="1232" customFormat="1" ht="19.149999999999999" customHeight="1" outlineLevel="1">
      <c r="A285" s="1182">
        <v>271</v>
      </c>
      <c r="B285" s="1182">
        <v>60</v>
      </c>
      <c r="C285" s="1635" t="str">
        <f>VLOOKUP(D285,'DS CN MOI UP'!$B$10:$C$347,2,0)</f>
        <v>03376</v>
      </c>
      <c r="D285" s="1473" t="s">
        <v>183</v>
      </c>
      <c r="E285" s="1462"/>
      <c r="F285" s="1462"/>
      <c r="G285" s="1462"/>
      <c r="H285" s="1462"/>
      <c r="I285" s="1462"/>
      <c r="J285" s="1462"/>
      <c r="K285" s="1462"/>
      <c r="L285" s="1462"/>
      <c r="M285" s="1462"/>
      <c r="N285" s="1462"/>
      <c r="O285" s="1462"/>
      <c r="P285" s="1462"/>
      <c r="Q285" s="1462"/>
      <c r="R285" s="1462"/>
      <c r="S285" s="1462"/>
      <c r="T285" s="1462"/>
      <c r="U285" s="1462"/>
      <c r="V285" s="1462"/>
      <c r="W285" s="1462"/>
      <c r="X285" s="1462"/>
      <c r="Y285" s="1462"/>
      <c r="Z285" s="1462"/>
      <c r="AA285" s="1462"/>
      <c r="AB285" s="1462"/>
      <c r="AC285" s="1462"/>
      <c r="AD285" s="1462"/>
      <c r="AE285" s="1462"/>
      <c r="AF285" s="1462"/>
      <c r="AG285" s="1462"/>
      <c r="AH285" s="1462"/>
      <c r="AI285" s="1462"/>
      <c r="AJ285" s="1465">
        <f t="shared" si="17"/>
        <v>0</v>
      </c>
      <c r="AK285" s="1465">
        <f t="shared" si="18"/>
        <v>0</v>
      </c>
      <c r="AL285" s="1466"/>
    </row>
    <row r="286" spans="1:38" s="1232" customFormat="1" ht="19.149999999999999" customHeight="1" outlineLevel="1">
      <c r="A286" s="1182">
        <v>272</v>
      </c>
      <c r="B286" s="1182">
        <v>61</v>
      </c>
      <c r="C286" s="1635" t="str">
        <f>VLOOKUP(D286,'DS CN MOI UP'!$B$10:$C$347,2,0)</f>
        <v>03377</v>
      </c>
      <c r="D286" s="1473" t="s">
        <v>184</v>
      </c>
      <c r="E286" s="1462"/>
      <c r="F286" s="1462"/>
      <c r="G286" s="1462"/>
      <c r="H286" s="1462"/>
      <c r="I286" s="1462"/>
      <c r="J286" s="1462"/>
      <c r="K286" s="1462"/>
      <c r="L286" s="1462"/>
      <c r="M286" s="1462"/>
      <c r="N286" s="1462"/>
      <c r="O286" s="1462"/>
      <c r="P286" s="1462"/>
      <c r="Q286" s="1462"/>
      <c r="R286" s="1462"/>
      <c r="S286" s="1462"/>
      <c r="T286" s="1462"/>
      <c r="U286" s="1462"/>
      <c r="V286" s="1462"/>
      <c r="W286" s="1462"/>
      <c r="X286" s="1462"/>
      <c r="Y286" s="1462"/>
      <c r="Z286" s="1462"/>
      <c r="AA286" s="1462"/>
      <c r="AB286" s="1462"/>
      <c r="AC286" s="1462"/>
      <c r="AD286" s="1462"/>
      <c r="AE286" s="1462"/>
      <c r="AF286" s="1462"/>
      <c r="AG286" s="1462"/>
      <c r="AH286" s="1462"/>
      <c r="AI286" s="1462"/>
      <c r="AJ286" s="1465">
        <f t="shared" si="17"/>
        <v>0</v>
      </c>
      <c r="AK286" s="1465">
        <f t="shared" si="18"/>
        <v>0</v>
      </c>
      <c r="AL286" s="1466"/>
    </row>
    <row r="287" spans="1:38" s="1232" customFormat="1" ht="19.149999999999999" customHeight="1" outlineLevel="1">
      <c r="A287" s="1182">
        <v>273</v>
      </c>
      <c r="B287" s="1182">
        <v>62</v>
      </c>
      <c r="C287" s="1635" t="str">
        <f>VLOOKUP(D287,'DS CN MOI UP'!$B$10:$C$347,2,0)</f>
        <v>02541</v>
      </c>
      <c r="D287" s="1473" t="s">
        <v>185</v>
      </c>
      <c r="E287" s="1462"/>
      <c r="F287" s="1462"/>
      <c r="G287" s="1462"/>
      <c r="H287" s="1462"/>
      <c r="I287" s="1462"/>
      <c r="J287" s="1462"/>
      <c r="K287" s="1462"/>
      <c r="L287" s="1462"/>
      <c r="M287" s="1462"/>
      <c r="N287" s="1462"/>
      <c r="O287" s="1462"/>
      <c r="P287" s="1462"/>
      <c r="Q287" s="1462"/>
      <c r="R287" s="1462"/>
      <c r="S287" s="1462"/>
      <c r="T287" s="1462"/>
      <c r="U287" s="1462"/>
      <c r="V287" s="1462"/>
      <c r="W287" s="1462"/>
      <c r="X287" s="1462"/>
      <c r="Y287" s="1462"/>
      <c r="Z287" s="1462"/>
      <c r="AA287" s="1462"/>
      <c r="AB287" s="1462"/>
      <c r="AC287" s="1462"/>
      <c r="AD287" s="1462"/>
      <c r="AE287" s="1462"/>
      <c r="AF287" s="1462"/>
      <c r="AG287" s="1462"/>
      <c r="AH287" s="1462"/>
      <c r="AI287" s="1462"/>
      <c r="AJ287" s="1465">
        <f t="shared" si="17"/>
        <v>0</v>
      </c>
      <c r="AK287" s="1465">
        <f t="shared" si="18"/>
        <v>0</v>
      </c>
      <c r="AL287" s="1466"/>
    </row>
    <row r="288" spans="1:38" s="1232" customFormat="1" ht="19.149999999999999" customHeight="1" outlineLevel="1">
      <c r="A288" s="1182">
        <v>274</v>
      </c>
      <c r="B288" s="1182">
        <v>63</v>
      </c>
      <c r="C288" s="1635" t="str">
        <f>VLOOKUP(D288,'DS CN MOI UP'!$B$10:$C$347,2,0)</f>
        <v>02690</v>
      </c>
      <c r="D288" s="1473" t="s">
        <v>186</v>
      </c>
      <c r="E288" s="1462"/>
      <c r="F288" s="1462"/>
      <c r="G288" s="1462"/>
      <c r="H288" s="1462"/>
      <c r="I288" s="1462"/>
      <c r="J288" s="1462"/>
      <c r="K288" s="1462"/>
      <c r="L288" s="1462"/>
      <c r="M288" s="1462"/>
      <c r="N288" s="1462"/>
      <c r="O288" s="1462"/>
      <c r="P288" s="1462"/>
      <c r="Q288" s="1462"/>
      <c r="R288" s="1462"/>
      <c r="S288" s="1462"/>
      <c r="T288" s="1462"/>
      <c r="U288" s="1462"/>
      <c r="V288" s="1462"/>
      <c r="W288" s="1462"/>
      <c r="X288" s="1462"/>
      <c r="Y288" s="1462"/>
      <c r="Z288" s="1462"/>
      <c r="AA288" s="1462"/>
      <c r="AB288" s="1462"/>
      <c r="AC288" s="1462"/>
      <c r="AD288" s="1462"/>
      <c r="AE288" s="1462"/>
      <c r="AF288" s="1462"/>
      <c r="AG288" s="1462"/>
      <c r="AH288" s="1462"/>
      <c r="AI288" s="1462"/>
      <c r="AJ288" s="1465">
        <f t="shared" si="17"/>
        <v>0</v>
      </c>
      <c r="AK288" s="1465">
        <f t="shared" si="18"/>
        <v>0</v>
      </c>
      <c r="AL288" s="1466"/>
    </row>
    <row r="289" spans="1:38" s="1232" customFormat="1" ht="19.149999999999999" customHeight="1" outlineLevel="1">
      <c r="A289" s="1182">
        <v>275</v>
      </c>
      <c r="B289" s="1182">
        <v>64</v>
      </c>
      <c r="C289" s="1635" t="str">
        <f>VLOOKUP(D289,'DS CN MOI UP'!$B$10:$C$347,2,0)</f>
        <v>03378</v>
      </c>
      <c r="D289" s="1473" t="s">
        <v>187</v>
      </c>
      <c r="E289" s="1462"/>
      <c r="F289" s="1462"/>
      <c r="G289" s="1462"/>
      <c r="H289" s="1462"/>
      <c r="I289" s="1462"/>
      <c r="J289" s="1462"/>
      <c r="K289" s="1462"/>
      <c r="L289" s="1462"/>
      <c r="M289" s="1462"/>
      <c r="N289" s="1462"/>
      <c r="O289" s="1462"/>
      <c r="P289" s="1462"/>
      <c r="Q289" s="1462"/>
      <c r="R289" s="1462"/>
      <c r="S289" s="1462"/>
      <c r="T289" s="1462"/>
      <c r="U289" s="1462"/>
      <c r="V289" s="1462"/>
      <c r="W289" s="1462"/>
      <c r="X289" s="1462"/>
      <c r="Y289" s="1462"/>
      <c r="Z289" s="1462"/>
      <c r="AA289" s="1462"/>
      <c r="AB289" s="1462"/>
      <c r="AC289" s="1462"/>
      <c r="AD289" s="1462"/>
      <c r="AE289" s="1462"/>
      <c r="AF289" s="1462"/>
      <c r="AG289" s="1462"/>
      <c r="AH289" s="1462"/>
      <c r="AI289" s="1462"/>
      <c r="AJ289" s="1465">
        <f t="shared" si="17"/>
        <v>0</v>
      </c>
      <c r="AK289" s="1465">
        <f t="shared" si="18"/>
        <v>0</v>
      </c>
      <c r="AL289" s="1466"/>
    </row>
    <row r="290" spans="1:38" s="1232" customFormat="1" ht="19.149999999999999" customHeight="1" outlineLevel="1">
      <c r="A290" s="1182">
        <v>276</v>
      </c>
      <c r="B290" s="1182">
        <v>65</v>
      </c>
      <c r="C290" s="1635" t="str">
        <f>VLOOKUP(D290,'DS CN MOI UP'!$B$10:$C$347,2,0)</f>
        <v>02520</v>
      </c>
      <c r="D290" s="1473" t="s">
        <v>188</v>
      </c>
      <c r="E290" s="1462"/>
      <c r="F290" s="1462"/>
      <c r="G290" s="1462"/>
      <c r="H290" s="1462"/>
      <c r="I290" s="1462"/>
      <c r="J290" s="1462"/>
      <c r="K290" s="1462"/>
      <c r="L290" s="1462"/>
      <c r="M290" s="1462"/>
      <c r="N290" s="1462"/>
      <c r="O290" s="1462"/>
      <c r="P290" s="1462"/>
      <c r="Q290" s="1462"/>
      <c r="R290" s="1462"/>
      <c r="S290" s="1462"/>
      <c r="T290" s="1462"/>
      <c r="U290" s="1462"/>
      <c r="V290" s="1462"/>
      <c r="W290" s="1462"/>
      <c r="X290" s="1462"/>
      <c r="Y290" s="1462"/>
      <c r="Z290" s="1462"/>
      <c r="AA290" s="1462"/>
      <c r="AB290" s="1462"/>
      <c r="AC290" s="1462"/>
      <c r="AD290" s="1462"/>
      <c r="AE290" s="1462"/>
      <c r="AF290" s="1462"/>
      <c r="AG290" s="1462"/>
      <c r="AH290" s="1462"/>
      <c r="AI290" s="1462"/>
      <c r="AJ290" s="1465">
        <f t="shared" ref="AJ290:AJ354" si="19">SUM(E290:AI290)</f>
        <v>0</v>
      </c>
      <c r="AK290" s="1465">
        <f t="shared" si="18"/>
        <v>0</v>
      </c>
      <c r="AL290" s="1466"/>
    </row>
    <row r="291" spans="1:38" s="1232" customFormat="1" ht="19.149999999999999" customHeight="1" outlineLevel="1">
      <c r="A291" s="1182">
        <v>277</v>
      </c>
      <c r="B291" s="1182">
        <v>66</v>
      </c>
      <c r="C291" s="1635" t="str">
        <f>VLOOKUP(D291,'DS CN MOI UP'!$B$10:$C$347,2,0)</f>
        <v>02543</v>
      </c>
      <c r="D291" s="1473" t="s">
        <v>189</v>
      </c>
      <c r="E291" s="1462"/>
      <c r="F291" s="1462"/>
      <c r="G291" s="1462"/>
      <c r="H291" s="1462"/>
      <c r="I291" s="1462"/>
      <c r="J291" s="1462"/>
      <c r="K291" s="1462"/>
      <c r="L291" s="1462"/>
      <c r="M291" s="1462"/>
      <c r="N291" s="1462"/>
      <c r="O291" s="1462"/>
      <c r="P291" s="1462"/>
      <c r="Q291" s="1462"/>
      <c r="R291" s="1462"/>
      <c r="S291" s="1462"/>
      <c r="T291" s="1462"/>
      <c r="U291" s="1462"/>
      <c r="V291" s="1462"/>
      <c r="W291" s="1462"/>
      <c r="X291" s="1462"/>
      <c r="Y291" s="1462"/>
      <c r="Z291" s="1462"/>
      <c r="AA291" s="1462"/>
      <c r="AB291" s="1462"/>
      <c r="AC291" s="1462"/>
      <c r="AD291" s="1462"/>
      <c r="AE291" s="1462"/>
      <c r="AF291" s="1462"/>
      <c r="AG291" s="1462"/>
      <c r="AH291" s="1462"/>
      <c r="AI291" s="1462"/>
      <c r="AJ291" s="1465">
        <f t="shared" si="19"/>
        <v>0</v>
      </c>
      <c r="AK291" s="1465">
        <f t="shared" si="18"/>
        <v>0</v>
      </c>
      <c r="AL291" s="1466"/>
    </row>
    <row r="292" spans="1:38" s="1232" customFormat="1" ht="19.149999999999999" customHeight="1" outlineLevel="1">
      <c r="A292" s="1182">
        <v>278</v>
      </c>
      <c r="B292" s="1182">
        <v>67</v>
      </c>
      <c r="C292" s="1635" t="str">
        <f>VLOOKUP(D292,'DS CN MOI UP'!$B$10:$C$347,2,0)</f>
        <v>03379</v>
      </c>
      <c r="D292" s="1473" t="s">
        <v>190</v>
      </c>
      <c r="E292" s="1462"/>
      <c r="F292" s="1462"/>
      <c r="G292" s="1462"/>
      <c r="H292" s="1462"/>
      <c r="I292" s="1462"/>
      <c r="J292" s="1462"/>
      <c r="K292" s="1462"/>
      <c r="L292" s="1462"/>
      <c r="M292" s="1462"/>
      <c r="N292" s="1462"/>
      <c r="O292" s="1462"/>
      <c r="P292" s="1462"/>
      <c r="Q292" s="1462"/>
      <c r="R292" s="1462"/>
      <c r="S292" s="1462"/>
      <c r="T292" s="1462"/>
      <c r="U292" s="1462"/>
      <c r="V292" s="1462"/>
      <c r="W292" s="1462"/>
      <c r="X292" s="1462"/>
      <c r="Y292" s="1462"/>
      <c r="Z292" s="1462"/>
      <c r="AA292" s="1462"/>
      <c r="AB292" s="1462"/>
      <c r="AC292" s="1462"/>
      <c r="AD292" s="1462"/>
      <c r="AE292" s="1462"/>
      <c r="AF292" s="1462"/>
      <c r="AG292" s="1462"/>
      <c r="AH292" s="1462"/>
      <c r="AI292" s="1462"/>
      <c r="AJ292" s="1465">
        <f t="shared" si="19"/>
        <v>0</v>
      </c>
      <c r="AK292" s="1465">
        <f t="shared" si="18"/>
        <v>0</v>
      </c>
      <c r="AL292" s="1466"/>
    </row>
    <row r="293" spans="1:38" s="1232" customFormat="1" ht="19.149999999999999" customHeight="1" outlineLevel="1">
      <c r="A293" s="1182">
        <v>279</v>
      </c>
      <c r="B293" s="1182">
        <v>68</v>
      </c>
      <c r="C293" s="1635" t="str">
        <f>VLOOKUP(D293,'DS CN MOI UP'!$B$10:$C$347,2,0)</f>
        <v>03354</v>
      </c>
      <c r="D293" s="1473" t="s">
        <v>191</v>
      </c>
      <c r="E293" s="1462"/>
      <c r="F293" s="1462"/>
      <c r="G293" s="1462"/>
      <c r="H293" s="1462"/>
      <c r="I293" s="1462"/>
      <c r="J293" s="1462"/>
      <c r="K293" s="1462"/>
      <c r="L293" s="1462"/>
      <c r="M293" s="1462"/>
      <c r="N293" s="1462"/>
      <c r="O293" s="1462"/>
      <c r="P293" s="1462"/>
      <c r="Q293" s="1462"/>
      <c r="R293" s="1462"/>
      <c r="S293" s="1462"/>
      <c r="T293" s="1462"/>
      <c r="U293" s="1462"/>
      <c r="V293" s="1462"/>
      <c r="W293" s="1462"/>
      <c r="X293" s="1462"/>
      <c r="Y293" s="1462"/>
      <c r="Z293" s="1462"/>
      <c r="AA293" s="1462"/>
      <c r="AB293" s="1462"/>
      <c r="AC293" s="1462"/>
      <c r="AD293" s="1462"/>
      <c r="AE293" s="1462"/>
      <c r="AF293" s="1462"/>
      <c r="AG293" s="1462"/>
      <c r="AH293" s="1462"/>
      <c r="AI293" s="1462"/>
      <c r="AJ293" s="1465">
        <f t="shared" si="19"/>
        <v>0</v>
      </c>
      <c r="AK293" s="1465">
        <f t="shared" si="18"/>
        <v>0</v>
      </c>
      <c r="AL293" s="1466"/>
    </row>
    <row r="294" spans="1:38" s="1232" customFormat="1" ht="19.149999999999999" customHeight="1" outlineLevel="1">
      <c r="A294" s="1182">
        <v>280</v>
      </c>
      <c r="B294" s="1182">
        <v>69</v>
      </c>
      <c r="C294" s="1635" t="str">
        <f>VLOOKUP(D294,'DS CN MOI UP'!$B$10:$C$347,2,0)</f>
        <v>02542</v>
      </c>
      <c r="D294" s="1473" t="s">
        <v>504</v>
      </c>
      <c r="E294" s="1462"/>
      <c r="F294" s="1462"/>
      <c r="G294" s="1462"/>
      <c r="H294" s="1462"/>
      <c r="I294" s="1462"/>
      <c r="J294" s="1462"/>
      <c r="K294" s="1462"/>
      <c r="L294" s="1462"/>
      <c r="M294" s="1462"/>
      <c r="N294" s="1462"/>
      <c r="O294" s="1462"/>
      <c r="P294" s="1462"/>
      <c r="Q294" s="1462"/>
      <c r="R294" s="1462"/>
      <c r="S294" s="1462"/>
      <c r="T294" s="1462"/>
      <c r="U294" s="1462"/>
      <c r="V294" s="1462"/>
      <c r="W294" s="1462"/>
      <c r="X294" s="1462"/>
      <c r="Y294" s="1462"/>
      <c r="Z294" s="1462"/>
      <c r="AA294" s="1462"/>
      <c r="AB294" s="1462"/>
      <c r="AC294" s="1462"/>
      <c r="AD294" s="1462"/>
      <c r="AE294" s="1462"/>
      <c r="AF294" s="1462"/>
      <c r="AG294" s="1462"/>
      <c r="AH294" s="1462"/>
      <c r="AI294" s="1462"/>
      <c r="AJ294" s="1465">
        <f t="shared" si="19"/>
        <v>0</v>
      </c>
      <c r="AK294" s="1465">
        <f t="shared" si="18"/>
        <v>0</v>
      </c>
      <c r="AL294" s="1466"/>
    </row>
    <row r="295" spans="1:38" s="1232" customFormat="1" ht="19.149999999999999" customHeight="1" outlineLevel="1">
      <c r="A295" s="1182">
        <v>281</v>
      </c>
      <c r="B295" s="1182">
        <v>70</v>
      </c>
      <c r="C295" s="1635" t="str">
        <f>VLOOKUP(D295,'DS CN MOI UP'!$B$10:$C$347,2,0)</f>
        <v>02529</v>
      </c>
      <c r="D295" s="1473" t="s">
        <v>193</v>
      </c>
      <c r="E295" s="1462"/>
      <c r="F295" s="1462"/>
      <c r="G295" s="1462"/>
      <c r="H295" s="1462"/>
      <c r="I295" s="1462"/>
      <c r="J295" s="1462"/>
      <c r="K295" s="1462"/>
      <c r="L295" s="1462"/>
      <c r="M295" s="1462"/>
      <c r="N295" s="1462"/>
      <c r="O295" s="1462"/>
      <c r="P295" s="1462"/>
      <c r="Q295" s="1462"/>
      <c r="R295" s="1462"/>
      <c r="S295" s="1462"/>
      <c r="T295" s="1462"/>
      <c r="U295" s="1462"/>
      <c r="V295" s="1462"/>
      <c r="W295" s="1462"/>
      <c r="X295" s="1462"/>
      <c r="Y295" s="1462"/>
      <c r="Z295" s="1462"/>
      <c r="AA295" s="1462"/>
      <c r="AB295" s="1462"/>
      <c r="AC295" s="1462"/>
      <c r="AD295" s="1462"/>
      <c r="AE295" s="1462"/>
      <c r="AF295" s="1462"/>
      <c r="AG295" s="1462"/>
      <c r="AH295" s="1462"/>
      <c r="AI295" s="1462"/>
      <c r="AJ295" s="1465">
        <f t="shared" si="19"/>
        <v>0</v>
      </c>
      <c r="AK295" s="1465">
        <f t="shared" si="18"/>
        <v>0</v>
      </c>
      <c r="AL295" s="1466"/>
    </row>
    <row r="296" spans="1:38" s="1232" customFormat="1" ht="19.149999999999999" customHeight="1" outlineLevel="1">
      <c r="A296" s="1182">
        <v>282</v>
      </c>
      <c r="B296" s="1182">
        <v>71</v>
      </c>
      <c r="C296" s="1635" t="str">
        <f>VLOOKUP(D296,'DS CN MOI UP'!$B$10:$C$347,2,0)</f>
        <v>02531</v>
      </c>
      <c r="D296" s="1473" t="s">
        <v>194</v>
      </c>
      <c r="E296" s="1462"/>
      <c r="F296" s="1462"/>
      <c r="G296" s="1462"/>
      <c r="H296" s="1462"/>
      <c r="I296" s="1462"/>
      <c r="J296" s="1462"/>
      <c r="K296" s="1462"/>
      <c r="L296" s="1462"/>
      <c r="M296" s="1462"/>
      <c r="N296" s="1462"/>
      <c r="O296" s="1462"/>
      <c r="P296" s="1462"/>
      <c r="Q296" s="1462"/>
      <c r="R296" s="1462"/>
      <c r="S296" s="1462"/>
      <c r="T296" s="1462"/>
      <c r="U296" s="1462"/>
      <c r="V296" s="1462"/>
      <c r="W296" s="1462"/>
      <c r="X296" s="1462"/>
      <c r="Y296" s="1462"/>
      <c r="Z296" s="1462"/>
      <c r="AA296" s="1462"/>
      <c r="AB296" s="1462"/>
      <c r="AC296" s="1462"/>
      <c r="AD296" s="1462"/>
      <c r="AE296" s="1462"/>
      <c r="AF296" s="1462"/>
      <c r="AG296" s="1462"/>
      <c r="AH296" s="1462"/>
      <c r="AI296" s="1462"/>
      <c r="AJ296" s="1465">
        <f t="shared" si="19"/>
        <v>0</v>
      </c>
      <c r="AK296" s="1465">
        <f t="shared" si="18"/>
        <v>0</v>
      </c>
      <c r="AL296" s="1466"/>
    </row>
    <row r="297" spans="1:38" s="1232" customFormat="1" ht="19.149999999999999" customHeight="1" outlineLevel="1">
      <c r="A297" s="1182">
        <v>283</v>
      </c>
      <c r="B297" s="1182">
        <v>72</v>
      </c>
      <c r="C297" s="1635" t="str">
        <f>VLOOKUP(D297,'DS CN MOI UP'!$B$10:$C$347,2,0)</f>
        <v>02539</v>
      </c>
      <c r="D297" s="1473" t="s">
        <v>195</v>
      </c>
      <c r="E297" s="1462"/>
      <c r="F297" s="1462"/>
      <c r="G297" s="1462"/>
      <c r="H297" s="1462"/>
      <c r="I297" s="1462"/>
      <c r="J297" s="1462"/>
      <c r="K297" s="1462"/>
      <c r="L297" s="1462"/>
      <c r="M297" s="1462"/>
      <c r="N297" s="1462"/>
      <c r="O297" s="1462"/>
      <c r="P297" s="1462"/>
      <c r="Q297" s="1462"/>
      <c r="R297" s="1462"/>
      <c r="S297" s="1462"/>
      <c r="T297" s="1462"/>
      <c r="U297" s="1462"/>
      <c r="V297" s="1462"/>
      <c r="W297" s="1462"/>
      <c r="X297" s="1462"/>
      <c r="Y297" s="1462"/>
      <c r="Z297" s="1462"/>
      <c r="AA297" s="1462"/>
      <c r="AB297" s="1462"/>
      <c r="AC297" s="1462"/>
      <c r="AD297" s="1462"/>
      <c r="AE297" s="1462"/>
      <c r="AF297" s="1462"/>
      <c r="AG297" s="1462"/>
      <c r="AH297" s="1462"/>
      <c r="AI297" s="1462"/>
      <c r="AJ297" s="1465">
        <f t="shared" si="19"/>
        <v>0</v>
      </c>
      <c r="AK297" s="1465">
        <f t="shared" si="18"/>
        <v>0</v>
      </c>
      <c r="AL297" s="1466"/>
    </row>
    <row r="298" spans="1:38" s="1232" customFormat="1" ht="19.149999999999999" customHeight="1" outlineLevel="1">
      <c r="A298" s="1182">
        <v>284</v>
      </c>
      <c r="B298" s="1182">
        <v>73</v>
      </c>
      <c r="C298" s="1635" t="str">
        <f>VLOOKUP(D298,'DS CN MOI UP'!$B$10:$C$347,2,0)</f>
        <v>03380</v>
      </c>
      <c r="D298" s="1473" t="s">
        <v>196</v>
      </c>
      <c r="E298" s="1462"/>
      <c r="F298" s="1462"/>
      <c r="G298" s="1462"/>
      <c r="H298" s="1462"/>
      <c r="I298" s="1462"/>
      <c r="J298" s="1462"/>
      <c r="K298" s="1462"/>
      <c r="L298" s="1462"/>
      <c r="M298" s="1462"/>
      <c r="N298" s="1462"/>
      <c r="O298" s="1462"/>
      <c r="P298" s="1462"/>
      <c r="Q298" s="1462"/>
      <c r="R298" s="1462"/>
      <c r="S298" s="1462"/>
      <c r="T298" s="1462"/>
      <c r="U298" s="1462"/>
      <c r="V298" s="1462"/>
      <c r="W298" s="1462"/>
      <c r="X298" s="1462"/>
      <c r="Y298" s="1462"/>
      <c r="Z298" s="1462"/>
      <c r="AA298" s="1462"/>
      <c r="AB298" s="1462"/>
      <c r="AC298" s="1462"/>
      <c r="AD298" s="1462"/>
      <c r="AE298" s="1462"/>
      <c r="AF298" s="1462"/>
      <c r="AG298" s="1462"/>
      <c r="AH298" s="1462"/>
      <c r="AI298" s="1462"/>
      <c r="AJ298" s="1465">
        <f t="shared" si="19"/>
        <v>0</v>
      </c>
      <c r="AK298" s="1465">
        <f t="shared" si="18"/>
        <v>0</v>
      </c>
      <c r="AL298" s="1466"/>
    </row>
    <row r="299" spans="1:38" s="1232" customFormat="1" ht="19.149999999999999" customHeight="1" outlineLevel="1">
      <c r="A299" s="1182">
        <v>285</v>
      </c>
      <c r="B299" s="1182">
        <v>74</v>
      </c>
      <c r="C299" s="1635" t="str">
        <f>VLOOKUP(D299,'DS CN MOI UP'!$B$10:$C$347,2,0)</f>
        <v>02561</v>
      </c>
      <c r="D299" s="1473" t="s">
        <v>197</v>
      </c>
      <c r="E299" s="1462"/>
      <c r="F299" s="1462"/>
      <c r="G299" s="1462"/>
      <c r="H299" s="1462"/>
      <c r="I299" s="1462"/>
      <c r="J299" s="1462"/>
      <c r="K299" s="1462"/>
      <c r="L299" s="1462"/>
      <c r="M299" s="1462"/>
      <c r="N299" s="1462"/>
      <c r="O299" s="1462"/>
      <c r="P299" s="1462"/>
      <c r="Q299" s="1462"/>
      <c r="R299" s="1462"/>
      <c r="S299" s="1462"/>
      <c r="T299" s="1462"/>
      <c r="U299" s="1462"/>
      <c r="V299" s="1462"/>
      <c r="W299" s="1462"/>
      <c r="X299" s="1462"/>
      <c r="Y299" s="1462"/>
      <c r="Z299" s="1462"/>
      <c r="AA299" s="1462"/>
      <c r="AB299" s="1462"/>
      <c r="AC299" s="1462"/>
      <c r="AD299" s="1462"/>
      <c r="AE299" s="1462"/>
      <c r="AF299" s="1462"/>
      <c r="AG299" s="1462"/>
      <c r="AH299" s="1462"/>
      <c r="AI299" s="1462"/>
      <c r="AJ299" s="1465">
        <f t="shared" si="19"/>
        <v>0</v>
      </c>
      <c r="AK299" s="1465">
        <f t="shared" si="18"/>
        <v>0</v>
      </c>
      <c r="AL299" s="1466"/>
    </row>
    <row r="300" spans="1:38" s="1232" customFormat="1" ht="19.149999999999999" customHeight="1" outlineLevel="1">
      <c r="A300" s="1182">
        <v>286</v>
      </c>
      <c r="B300" s="1182">
        <v>75</v>
      </c>
      <c r="C300" s="1635" t="str">
        <f>VLOOKUP(D300,'DS CN MOI UP'!$B$10:$C$347,2,0)</f>
        <v>02533</v>
      </c>
      <c r="D300" s="1473" t="s">
        <v>198</v>
      </c>
      <c r="E300" s="1462"/>
      <c r="F300" s="1462"/>
      <c r="G300" s="1462"/>
      <c r="H300" s="1462"/>
      <c r="I300" s="1462"/>
      <c r="J300" s="1462"/>
      <c r="K300" s="1462"/>
      <c r="L300" s="1462"/>
      <c r="M300" s="1462"/>
      <c r="N300" s="1462"/>
      <c r="O300" s="1462"/>
      <c r="P300" s="1462"/>
      <c r="Q300" s="1462"/>
      <c r="R300" s="1462"/>
      <c r="S300" s="1462"/>
      <c r="T300" s="1462"/>
      <c r="U300" s="1462"/>
      <c r="V300" s="1462"/>
      <c r="W300" s="1462"/>
      <c r="X300" s="1462"/>
      <c r="Y300" s="1462"/>
      <c r="Z300" s="1462"/>
      <c r="AA300" s="1462"/>
      <c r="AB300" s="1462"/>
      <c r="AC300" s="1462"/>
      <c r="AD300" s="1462"/>
      <c r="AE300" s="1462"/>
      <c r="AF300" s="1462"/>
      <c r="AG300" s="1462"/>
      <c r="AH300" s="1462"/>
      <c r="AI300" s="1462"/>
      <c r="AJ300" s="1465">
        <f t="shared" si="19"/>
        <v>0</v>
      </c>
      <c r="AK300" s="1465">
        <f t="shared" si="18"/>
        <v>0</v>
      </c>
      <c r="AL300" s="1466"/>
    </row>
    <row r="301" spans="1:38" s="1232" customFormat="1" ht="19.149999999999999" customHeight="1" outlineLevel="1">
      <c r="A301" s="1182">
        <v>287</v>
      </c>
      <c r="B301" s="1182">
        <v>76</v>
      </c>
      <c r="C301" s="1635" t="str">
        <f>VLOOKUP(D301,'DS CN MOI UP'!$B$10:$C$347,2,0)</f>
        <v>02547</v>
      </c>
      <c r="D301" s="1473" t="s">
        <v>199</v>
      </c>
      <c r="E301" s="1462"/>
      <c r="F301" s="1462"/>
      <c r="G301" s="1462"/>
      <c r="H301" s="1462"/>
      <c r="I301" s="1462"/>
      <c r="J301" s="1462"/>
      <c r="K301" s="1462"/>
      <c r="L301" s="1462"/>
      <c r="M301" s="1462"/>
      <c r="N301" s="1462"/>
      <c r="O301" s="1462"/>
      <c r="P301" s="1462"/>
      <c r="Q301" s="1462"/>
      <c r="R301" s="1462"/>
      <c r="S301" s="1462"/>
      <c r="T301" s="1462"/>
      <c r="U301" s="1462"/>
      <c r="V301" s="1462"/>
      <c r="W301" s="1462"/>
      <c r="X301" s="1462"/>
      <c r="Y301" s="1462"/>
      <c r="Z301" s="1462"/>
      <c r="AA301" s="1462"/>
      <c r="AB301" s="1462"/>
      <c r="AC301" s="1462"/>
      <c r="AD301" s="1462"/>
      <c r="AE301" s="1462"/>
      <c r="AF301" s="1462"/>
      <c r="AG301" s="1462"/>
      <c r="AH301" s="1462"/>
      <c r="AI301" s="1462"/>
      <c r="AJ301" s="1465">
        <f t="shared" si="19"/>
        <v>0</v>
      </c>
      <c r="AK301" s="1465">
        <f t="shared" si="18"/>
        <v>0</v>
      </c>
      <c r="AL301" s="1466"/>
    </row>
    <row r="302" spans="1:38" s="1232" customFormat="1" ht="19.149999999999999" customHeight="1" outlineLevel="1">
      <c r="A302" s="1182">
        <v>288</v>
      </c>
      <c r="B302" s="1182">
        <v>77</v>
      </c>
      <c r="C302" s="1635" t="str">
        <f>VLOOKUP(D302,'DS CN MOI UP'!$B$10:$C$347,2,0)</f>
        <v>02550</v>
      </c>
      <c r="D302" s="1473" t="s">
        <v>200</v>
      </c>
      <c r="E302" s="1462"/>
      <c r="F302" s="1462"/>
      <c r="G302" s="1462"/>
      <c r="H302" s="1462"/>
      <c r="I302" s="1462"/>
      <c r="J302" s="1462"/>
      <c r="K302" s="1462"/>
      <c r="L302" s="1462"/>
      <c r="M302" s="1462"/>
      <c r="N302" s="1462"/>
      <c r="O302" s="1462"/>
      <c r="P302" s="1462"/>
      <c r="Q302" s="1462"/>
      <c r="R302" s="1462"/>
      <c r="S302" s="1462"/>
      <c r="T302" s="1462"/>
      <c r="U302" s="1462"/>
      <c r="V302" s="1462"/>
      <c r="W302" s="1462"/>
      <c r="X302" s="1462"/>
      <c r="Y302" s="1462"/>
      <c r="Z302" s="1462"/>
      <c r="AA302" s="1462"/>
      <c r="AB302" s="1462"/>
      <c r="AC302" s="1462"/>
      <c r="AD302" s="1462"/>
      <c r="AE302" s="1462"/>
      <c r="AF302" s="1462"/>
      <c r="AG302" s="1462"/>
      <c r="AH302" s="1462"/>
      <c r="AI302" s="1462"/>
      <c r="AJ302" s="1465">
        <f t="shared" si="19"/>
        <v>0</v>
      </c>
      <c r="AK302" s="1465">
        <f t="shared" si="18"/>
        <v>0</v>
      </c>
      <c r="AL302" s="1466"/>
    </row>
    <row r="303" spans="1:38" s="1232" customFormat="1" ht="19.149999999999999" customHeight="1" outlineLevel="1">
      <c r="A303" s="1182">
        <v>289</v>
      </c>
      <c r="B303" s="1182">
        <v>78</v>
      </c>
      <c r="C303" s="1635" t="str">
        <f>VLOOKUP(D303,'DS CN MOI UP'!$B$10:$C$347,2,0)</f>
        <v>02566</v>
      </c>
      <c r="D303" s="1473" t="s">
        <v>201</v>
      </c>
      <c r="E303" s="1462"/>
      <c r="F303" s="1462"/>
      <c r="G303" s="1462"/>
      <c r="H303" s="1462"/>
      <c r="I303" s="1462"/>
      <c r="J303" s="1462"/>
      <c r="K303" s="1462"/>
      <c r="L303" s="1462"/>
      <c r="M303" s="1462"/>
      <c r="N303" s="1462"/>
      <c r="O303" s="1462"/>
      <c r="P303" s="1462"/>
      <c r="Q303" s="1462"/>
      <c r="R303" s="1462"/>
      <c r="S303" s="1462"/>
      <c r="T303" s="1462"/>
      <c r="U303" s="1462"/>
      <c r="V303" s="1462"/>
      <c r="W303" s="1462"/>
      <c r="X303" s="1462"/>
      <c r="Y303" s="1462"/>
      <c r="Z303" s="1462"/>
      <c r="AA303" s="1462"/>
      <c r="AB303" s="1462"/>
      <c r="AC303" s="1462"/>
      <c r="AD303" s="1462"/>
      <c r="AE303" s="1462"/>
      <c r="AF303" s="1462"/>
      <c r="AG303" s="1462"/>
      <c r="AH303" s="1462"/>
      <c r="AI303" s="1462"/>
      <c r="AJ303" s="1465">
        <f t="shared" si="19"/>
        <v>0</v>
      </c>
      <c r="AK303" s="1465">
        <f t="shared" si="18"/>
        <v>0</v>
      </c>
      <c r="AL303" s="1466"/>
    </row>
    <row r="304" spans="1:38" s="1232" customFormat="1" ht="19.149999999999999" customHeight="1" outlineLevel="1">
      <c r="A304" s="1182">
        <v>290</v>
      </c>
      <c r="B304" s="1182">
        <v>79</v>
      </c>
      <c r="C304" s="1635" t="str">
        <f>VLOOKUP(D304,'DS CN MOI UP'!$B$10:$C$347,2,0)</f>
        <v>03381</v>
      </c>
      <c r="D304" s="1473" t="s">
        <v>202</v>
      </c>
      <c r="E304" s="1462"/>
      <c r="F304" s="1462"/>
      <c r="G304" s="1462"/>
      <c r="H304" s="1462"/>
      <c r="I304" s="1462"/>
      <c r="J304" s="1462"/>
      <c r="K304" s="1462"/>
      <c r="L304" s="1462"/>
      <c r="M304" s="1462"/>
      <c r="N304" s="1462"/>
      <c r="O304" s="1462"/>
      <c r="P304" s="1462"/>
      <c r="Q304" s="1462"/>
      <c r="R304" s="1462"/>
      <c r="S304" s="1462"/>
      <c r="T304" s="1462"/>
      <c r="U304" s="1462"/>
      <c r="V304" s="1462"/>
      <c r="W304" s="1462"/>
      <c r="X304" s="1462"/>
      <c r="Y304" s="1462"/>
      <c r="Z304" s="1462"/>
      <c r="AA304" s="1462"/>
      <c r="AB304" s="1462"/>
      <c r="AC304" s="1462"/>
      <c r="AD304" s="1462"/>
      <c r="AE304" s="1462"/>
      <c r="AF304" s="1462"/>
      <c r="AG304" s="1462"/>
      <c r="AH304" s="1462"/>
      <c r="AI304" s="1462"/>
      <c r="AJ304" s="1465">
        <f t="shared" si="19"/>
        <v>0</v>
      </c>
      <c r="AK304" s="1465">
        <f t="shared" si="18"/>
        <v>0</v>
      </c>
      <c r="AL304" s="1466"/>
    </row>
    <row r="305" spans="1:39" s="1232" customFormat="1" ht="19.149999999999999" customHeight="1" outlineLevel="1">
      <c r="A305" s="1182">
        <v>291</v>
      </c>
      <c r="B305" s="1182">
        <v>80</v>
      </c>
      <c r="C305" s="1635" t="str">
        <f>VLOOKUP(D305,'DS CN MOI UP'!$B$10:$C$347,2,0)</f>
        <v>02689</v>
      </c>
      <c r="D305" s="1473" t="s">
        <v>203</v>
      </c>
      <c r="E305" s="1462"/>
      <c r="F305" s="1462"/>
      <c r="G305" s="1462"/>
      <c r="H305" s="1462"/>
      <c r="I305" s="1462"/>
      <c r="J305" s="1462"/>
      <c r="K305" s="1462"/>
      <c r="L305" s="1462"/>
      <c r="M305" s="1462"/>
      <c r="N305" s="1462"/>
      <c r="O305" s="1462"/>
      <c r="P305" s="1462"/>
      <c r="Q305" s="1462"/>
      <c r="R305" s="1462"/>
      <c r="S305" s="1462"/>
      <c r="T305" s="1462"/>
      <c r="U305" s="1462"/>
      <c r="V305" s="1462"/>
      <c r="W305" s="1462"/>
      <c r="X305" s="1462"/>
      <c r="Y305" s="1462"/>
      <c r="Z305" s="1462"/>
      <c r="AA305" s="1462"/>
      <c r="AB305" s="1462"/>
      <c r="AC305" s="1462"/>
      <c r="AD305" s="1462"/>
      <c r="AE305" s="1462"/>
      <c r="AF305" s="1462"/>
      <c r="AG305" s="1462"/>
      <c r="AH305" s="1462"/>
      <c r="AI305" s="1462"/>
      <c r="AJ305" s="1465">
        <f t="shared" si="19"/>
        <v>0</v>
      </c>
      <c r="AK305" s="1465">
        <f t="shared" si="18"/>
        <v>0</v>
      </c>
      <c r="AL305" s="1466"/>
    </row>
    <row r="306" spans="1:39" s="1232" customFormat="1" ht="19.149999999999999" customHeight="1" outlineLevel="1">
      <c r="A306" s="1182">
        <v>292</v>
      </c>
      <c r="B306" s="1182">
        <v>81</v>
      </c>
      <c r="C306" s="1635" t="str">
        <f>VLOOKUP(D306,'DS CN MOI UP'!$B$10:$C$347,2,0)</f>
        <v>02546</v>
      </c>
      <c r="D306" s="1473" t="s">
        <v>204</v>
      </c>
      <c r="E306" s="1462"/>
      <c r="F306" s="1462"/>
      <c r="G306" s="1462"/>
      <c r="H306" s="1462"/>
      <c r="I306" s="1462"/>
      <c r="J306" s="1462"/>
      <c r="K306" s="1462"/>
      <c r="L306" s="1462"/>
      <c r="M306" s="1462"/>
      <c r="N306" s="1462"/>
      <c r="O306" s="1462"/>
      <c r="P306" s="1462"/>
      <c r="Q306" s="1462"/>
      <c r="R306" s="1462"/>
      <c r="S306" s="1462"/>
      <c r="T306" s="1462"/>
      <c r="U306" s="1462"/>
      <c r="V306" s="1462"/>
      <c r="W306" s="1462"/>
      <c r="X306" s="1462"/>
      <c r="Y306" s="1462"/>
      <c r="Z306" s="1462"/>
      <c r="AA306" s="1462"/>
      <c r="AB306" s="1462"/>
      <c r="AC306" s="1462"/>
      <c r="AD306" s="1462"/>
      <c r="AE306" s="1462"/>
      <c r="AF306" s="1462"/>
      <c r="AG306" s="1462"/>
      <c r="AH306" s="1462"/>
      <c r="AI306" s="1462"/>
      <c r="AJ306" s="1465">
        <f t="shared" si="19"/>
        <v>0</v>
      </c>
      <c r="AK306" s="1465">
        <f t="shared" si="18"/>
        <v>0</v>
      </c>
      <c r="AL306" s="1466"/>
    </row>
    <row r="307" spans="1:39" s="1232" customFormat="1" ht="19.149999999999999" customHeight="1" outlineLevel="1">
      <c r="A307" s="1182">
        <v>293</v>
      </c>
      <c r="B307" s="1182">
        <v>82</v>
      </c>
      <c r="C307" s="1635" t="str">
        <f>VLOOKUP(D307,'DS CN MOI UP'!$B$10:$C$347,2,0)</f>
        <v>02559</v>
      </c>
      <c r="D307" s="1473" t="s">
        <v>205</v>
      </c>
      <c r="E307" s="1462"/>
      <c r="F307" s="1462"/>
      <c r="G307" s="1462"/>
      <c r="H307" s="1462"/>
      <c r="I307" s="1462"/>
      <c r="J307" s="1462"/>
      <c r="K307" s="1462"/>
      <c r="L307" s="1462"/>
      <c r="M307" s="1462"/>
      <c r="N307" s="1462"/>
      <c r="O307" s="1462"/>
      <c r="P307" s="1462"/>
      <c r="Q307" s="1462"/>
      <c r="R307" s="1462"/>
      <c r="S307" s="1462"/>
      <c r="T307" s="1462"/>
      <c r="U307" s="1462"/>
      <c r="V307" s="1462"/>
      <c r="W307" s="1462"/>
      <c r="X307" s="1462"/>
      <c r="Y307" s="1462"/>
      <c r="Z307" s="1462"/>
      <c r="AA307" s="1462"/>
      <c r="AB307" s="1462"/>
      <c r="AC307" s="1462"/>
      <c r="AD307" s="1462"/>
      <c r="AE307" s="1462"/>
      <c r="AF307" s="1462"/>
      <c r="AG307" s="1462"/>
      <c r="AH307" s="1462"/>
      <c r="AI307" s="1462"/>
      <c r="AJ307" s="1465">
        <f t="shared" si="19"/>
        <v>0</v>
      </c>
      <c r="AK307" s="1465">
        <f t="shared" si="18"/>
        <v>0</v>
      </c>
      <c r="AL307" s="1466"/>
    </row>
    <row r="308" spans="1:39" s="1232" customFormat="1" ht="19.149999999999999" customHeight="1">
      <c r="A308" s="1182">
        <v>294</v>
      </c>
      <c r="B308" s="1182">
        <v>83</v>
      </c>
      <c r="C308" s="1182" t="e">
        <f>VLOOKUP(D308,'DS CN MOI UP'!$B$10:$C$347,2,0)</f>
        <v>#N/A</v>
      </c>
      <c r="D308" s="1473" t="s">
        <v>505</v>
      </c>
      <c r="E308" s="1462"/>
      <c r="F308" s="1462"/>
      <c r="G308" s="1462"/>
      <c r="H308" s="1462"/>
      <c r="I308" s="1462"/>
      <c r="J308" s="1462"/>
      <c r="K308" s="1462"/>
      <c r="L308" s="1462"/>
      <c r="M308" s="1462"/>
      <c r="N308" s="1462"/>
      <c r="O308" s="1462"/>
      <c r="P308" s="1462"/>
      <c r="Q308" s="1462"/>
      <c r="R308" s="1462"/>
      <c r="S308" s="1462"/>
      <c r="T308" s="1462"/>
      <c r="U308" s="1462"/>
      <c r="V308" s="1462"/>
      <c r="W308" s="1462"/>
      <c r="X308" s="1462"/>
      <c r="Y308" s="1462"/>
      <c r="Z308" s="1462"/>
      <c r="AA308" s="1462"/>
      <c r="AB308" s="1462"/>
      <c r="AC308" s="1462"/>
      <c r="AD308" s="1462"/>
      <c r="AE308" s="1462"/>
      <c r="AF308" s="1462"/>
      <c r="AG308" s="1462"/>
      <c r="AH308" s="1462"/>
      <c r="AI308" s="1462"/>
      <c r="AJ308" s="1465">
        <f t="shared" si="19"/>
        <v>0</v>
      </c>
      <c r="AK308" s="1465">
        <f t="shared" si="18"/>
        <v>0</v>
      </c>
      <c r="AL308" s="1466"/>
    </row>
    <row r="309" spans="1:39" s="156" customFormat="1" ht="19.149999999999999" customHeight="1" outlineLevel="1">
      <c r="A309" s="1182">
        <v>295</v>
      </c>
      <c r="B309" s="1182">
        <v>84</v>
      </c>
      <c r="C309" s="1182" t="e">
        <f>VLOOKUP(D309,'DS CN MOI UP'!$B$10:$C$347,2,0)</f>
        <v>#N/A</v>
      </c>
      <c r="D309" s="1473" t="s">
        <v>506</v>
      </c>
      <c r="E309" s="1462"/>
      <c r="F309" s="1462"/>
      <c r="G309" s="1462"/>
      <c r="H309" s="1462"/>
      <c r="I309" s="1462"/>
      <c r="J309" s="1462"/>
      <c r="K309" s="1462"/>
      <c r="L309" s="1462"/>
      <c r="M309" s="1462"/>
      <c r="N309" s="1462"/>
      <c r="O309" s="1462"/>
      <c r="P309" s="1462"/>
      <c r="Q309" s="1462"/>
      <c r="R309" s="1462"/>
      <c r="S309" s="1462"/>
      <c r="T309" s="1462"/>
      <c r="U309" s="1462"/>
      <c r="V309" s="1462"/>
      <c r="W309" s="1462"/>
      <c r="X309" s="1462"/>
      <c r="Y309" s="1462"/>
      <c r="Z309" s="1462"/>
      <c r="AA309" s="1462"/>
      <c r="AB309" s="1462"/>
      <c r="AC309" s="1462"/>
      <c r="AD309" s="1462"/>
      <c r="AE309" s="1462"/>
      <c r="AF309" s="1462"/>
      <c r="AG309" s="1462"/>
      <c r="AH309" s="1462"/>
      <c r="AI309" s="1462"/>
      <c r="AJ309" s="1465">
        <f t="shared" ref="AJ309" si="20">SUM(E309:AI309)</f>
        <v>0</v>
      </c>
      <c r="AK309" s="1465">
        <f t="shared" ref="AK309" si="21">AJ309*$AN$6</f>
        <v>0</v>
      </c>
      <c r="AL309" s="1466"/>
    </row>
    <row r="310" spans="1:39" s="156" customFormat="1" ht="19.149999999999999" customHeight="1" outlineLevel="1">
      <c r="A310" s="1182">
        <v>295</v>
      </c>
      <c r="B310" s="1182">
        <v>84</v>
      </c>
      <c r="C310" s="1182" t="e">
        <f>VLOOKUP(D310,'DS CN MOI UP'!$B$10:$C$347,2,0)</f>
        <v>#N/A</v>
      </c>
      <c r="D310" s="1473" t="s">
        <v>192</v>
      </c>
      <c r="E310" s="1462"/>
      <c r="F310" s="1462"/>
      <c r="G310" s="1462"/>
      <c r="H310" s="1462"/>
      <c r="I310" s="1462"/>
      <c r="J310" s="1462"/>
      <c r="K310" s="1462"/>
      <c r="L310" s="1462"/>
      <c r="M310" s="1462"/>
      <c r="N310" s="1462"/>
      <c r="O310" s="1462"/>
      <c r="P310" s="1462"/>
      <c r="Q310" s="1462"/>
      <c r="R310" s="1462"/>
      <c r="S310" s="1462"/>
      <c r="T310" s="1462"/>
      <c r="U310" s="1462"/>
      <c r="V310" s="1462"/>
      <c r="W310" s="1462"/>
      <c r="X310" s="1462"/>
      <c r="Y310" s="1462"/>
      <c r="Z310" s="1462"/>
      <c r="AA310" s="1462"/>
      <c r="AB310" s="1462"/>
      <c r="AC310" s="1462"/>
      <c r="AD310" s="1462"/>
      <c r="AE310" s="1462"/>
      <c r="AF310" s="1462"/>
      <c r="AG310" s="1462"/>
      <c r="AH310" s="1462"/>
      <c r="AI310" s="1462"/>
      <c r="AJ310" s="1465">
        <f t="shared" si="19"/>
        <v>0</v>
      </c>
      <c r="AK310" s="1465">
        <f t="shared" si="18"/>
        <v>0</v>
      </c>
      <c r="AL310" s="1466"/>
    </row>
    <row r="311" spans="1:39" s="156" customFormat="1" ht="19.149999999999999" customHeight="1" outlineLevel="1">
      <c r="A311" s="1183" t="s">
        <v>522</v>
      </c>
      <c r="B311" s="1183"/>
      <c r="C311" s="1182" t="e">
        <f>VLOOKUP(D311,'DS CN MOI UP'!$B$10:$C$347,2,0)</f>
        <v>#N/A</v>
      </c>
      <c r="D311" s="1183"/>
      <c r="E311" s="1472"/>
      <c r="F311" s="1472"/>
      <c r="G311" s="1472"/>
      <c r="H311" s="1472"/>
      <c r="I311" s="1472"/>
      <c r="J311" s="1472"/>
      <c r="K311" s="1472"/>
      <c r="L311" s="1472"/>
      <c r="M311" s="1472"/>
      <c r="N311" s="1472"/>
      <c r="O311" s="1472"/>
      <c r="P311" s="1472"/>
      <c r="Q311" s="1472"/>
      <c r="R311" s="1472"/>
      <c r="S311" s="1472"/>
      <c r="T311" s="1472"/>
      <c r="U311" s="1472"/>
      <c r="V311" s="1472"/>
      <c r="W311" s="1472"/>
      <c r="X311" s="1472"/>
      <c r="Y311" s="1472"/>
      <c r="Z311" s="1472"/>
      <c r="AA311" s="1472"/>
      <c r="AB311" s="1472"/>
      <c r="AC311" s="1472"/>
      <c r="AD311" s="1472"/>
      <c r="AE311" s="1472"/>
      <c r="AF311" s="1472"/>
      <c r="AG311" s="1472"/>
      <c r="AH311" s="1472"/>
      <c r="AI311" s="1472"/>
      <c r="AJ311" s="1472">
        <f>SUM(AJ312:AJ383)</f>
        <v>0</v>
      </c>
      <c r="AK311" s="1465">
        <f t="shared" si="18"/>
        <v>0</v>
      </c>
      <c r="AL311" s="1204"/>
      <c r="AM311" s="615"/>
    </row>
    <row r="312" spans="1:39" s="156" customFormat="1" ht="19.149999999999999" customHeight="1" outlineLevel="1">
      <c r="A312" s="1182">
        <v>296</v>
      </c>
      <c r="B312" s="1182">
        <v>1</v>
      </c>
      <c r="C312" s="1635" t="str">
        <f>VLOOKUP(D312,'DS CN MOI UP'!$B$10:$C$347,2,0)</f>
        <v>02615</v>
      </c>
      <c r="D312" s="1185" t="s">
        <v>206</v>
      </c>
      <c r="E312" s="1474"/>
      <c r="F312" s="1474"/>
      <c r="G312" s="1474"/>
      <c r="H312" s="1474"/>
      <c r="I312" s="1474"/>
      <c r="J312" s="1474"/>
      <c r="K312" s="1474"/>
      <c r="L312" s="1474"/>
      <c r="M312" s="1474"/>
      <c r="N312" s="1462"/>
      <c r="O312" s="1462"/>
      <c r="P312" s="1462"/>
      <c r="Q312" s="1462"/>
      <c r="R312" s="1462"/>
      <c r="S312" s="1462"/>
      <c r="T312" s="1462"/>
      <c r="U312" s="1462"/>
      <c r="V312" s="1462"/>
      <c r="W312" s="1462"/>
      <c r="X312" s="1462"/>
      <c r="Y312" s="1462"/>
      <c r="Z312" s="1462"/>
      <c r="AA312" s="1462"/>
      <c r="AB312" s="1462"/>
      <c r="AC312" s="1462"/>
      <c r="AD312" s="1462"/>
      <c r="AE312" s="1462"/>
      <c r="AF312" s="1462"/>
      <c r="AG312" s="1462"/>
      <c r="AH312" s="1462"/>
      <c r="AI312" s="1462"/>
      <c r="AJ312" s="1465">
        <f t="shared" si="19"/>
        <v>0</v>
      </c>
      <c r="AK312" s="1465">
        <f t="shared" si="18"/>
        <v>0</v>
      </c>
      <c r="AL312" s="1466"/>
    </row>
    <row r="313" spans="1:39" s="156" customFormat="1" ht="19.149999999999999" customHeight="1" outlineLevel="1">
      <c r="A313" s="1182">
        <v>297</v>
      </c>
      <c r="B313" s="1182">
        <v>2</v>
      </c>
      <c r="C313" s="1635" t="str">
        <f>VLOOKUP(D313,'DS CN MOI UP'!$B$10:$C$347,2,0)</f>
        <v>02594</v>
      </c>
      <c r="D313" s="1185" t="s">
        <v>207</v>
      </c>
      <c r="E313" s="1474"/>
      <c r="F313" s="1474"/>
      <c r="G313" s="1474"/>
      <c r="H313" s="1474"/>
      <c r="I313" s="1474"/>
      <c r="J313" s="1474"/>
      <c r="K313" s="1474"/>
      <c r="L313" s="1474"/>
      <c r="M313" s="1474"/>
      <c r="N313" s="1462"/>
      <c r="O313" s="1462"/>
      <c r="P313" s="1462"/>
      <c r="Q313" s="1462"/>
      <c r="R313" s="1462"/>
      <c r="S313" s="1462"/>
      <c r="T313" s="1462"/>
      <c r="U313" s="1462"/>
      <c r="V313" s="1462"/>
      <c r="W313" s="1462"/>
      <c r="X313" s="1462"/>
      <c r="Y313" s="1462"/>
      <c r="Z313" s="1462"/>
      <c r="AA313" s="1462"/>
      <c r="AB313" s="1462"/>
      <c r="AC313" s="1462"/>
      <c r="AD313" s="1462"/>
      <c r="AE313" s="1462"/>
      <c r="AF313" s="1462"/>
      <c r="AG313" s="1462"/>
      <c r="AH313" s="1462"/>
      <c r="AI313" s="1462"/>
      <c r="AJ313" s="1465">
        <f t="shared" si="19"/>
        <v>0</v>
      </c>
      <c r="AK313" s="1465">
        <f t="shared" si="18"/>
        <v>0</v>
      </c>
      <c r="AL313" s="1466"/>
    </row>
    <row r="314" spans="1:39" s="156" customFormat="1" ht="19.149999999999999" customHeight="1" outlineLevel="1">
      <c r="A314" s="1182">
        <v>298</v>
      </c>
      <c r="B314" s="1182">
        <v>3</v>
      </c>
      <c r="C314" s="1635" t="str">
        <f>VLOOKUP(D314,'DS CN MOI UP'!$B$10:$C$347,2,0)</f>
        <v>02596</v>
      </c>
      <c r="D314" s="1185" t="s">
        <v>208</v>
      </c>
      <c r="E314" s="1474"/>
      <c r="F314" s="1474"/>
      <c r="G314" s="1474"/>
      <c r="H314" s="1474"/>
      <c r="I314" s="1474"/>
      <c r="J314" s="1474"/>
      <c r="K314" s="1474"/>
      <c r="L314" s="1474"/>
      <c r="M314" s="1474"/>
      <c r="N314" s="1462"/>
      <c r="O314" s="1462"/>
      <c r="P314" s="1462"/>
      <c r="Q314" s="1462"/>
      <c r="R314" s="1462"/>
      <c r="S314" s="1462"/>
      <c r="T314" s="1462"/>
      <c r="U314" s="1462"/>
      <c r="V314" s="1462"/>
      <c r="W314" s="1462"/>
      <c r="X314" s="1462"/>
      <c r="Y314" s="1462"/>
      <c r="Z314" s="1462"/>
      <c r="AA314" s="1462"/>
      <c r="AB314" s="1462"/>
      <c r="AC314" s="1462"/>
      <c r="AD314" s="1462"/>
      <c r="AE314" s="1462"/>
      <c r="AF314" s="1462"/>
      <c r="AG314" s="1462"/>
      <c r="AH314" s="1462"/>
      <c r="AI314" s="1462"/>
      <c r="AJ314" s="1465">
        <f t="shared" si="19"/>
        <v>0</v>
      </c>
      <c r="AK314" s="1465">
        <f t="shared" si="18"/>
        <v>0</v>
      </c>
      <c r="AL314" s="1466"/>
    </row>
    <row r="315" spans="1:39" s="156" customFormat="1" ht="19.149999999999999" customHeight="1" outlineLevel="1">
      <c r="A315" s="1182">
        <v>299</v>
      </c>
      <c r="B315" s="1182">
        <v>4</v>
      </c>
      <c r="C315" s="1635" t="str">
        <f>VLOOKUP(D315,'DS CN MOI UP'!$B$10:$C$347,2,0)</f>
        <v>02601</v>
      </c>
      <c r="D315" s="1185" t="s">
        <v>209</v>
      </c>
      <c r="E315" s="1474"/>
      <c r="F315" s="1474"/>
      <c r="G315" s="1474"/>
      <c r="H315" s="1474"/>
      <c r="I315" s="1474"/>
      <c r="J315" s="1474"/>
      <c r="K315" s="1474"/>
      <c r="L315" s="1474"/>
      <c r="M315" s="1474"/>
      <c r="N315" s="1462"/>
      <c r="O315" s="1462"/>
      <c r="P315" s="1462"/>
      <c r="Q315" s="1462"/>
      <c r="R315" s="1462"/>
      <c r="S315" s="1462"/>
      <c r="T315" s="1462"/>
      <c r="U315" s="1462"/>
      <c r="V315" s="1462"/>
      <c r="W315" s="1462"/>
      <c r="X315" s="1462"/>
      <c r="Y315" s="1462"/>
      <c r="Z315" s="1462"/>
      <c r="AA315" s="1462"/>
      <c r="AB315" s="1462"/>
      <c r="AC315" s="1462"/>
      <c r="AD315" s="1462"/>
      <c r="AE315" s="1462"/>
      <c r="AF315" s="1462"/>
      <c r="AG315" s="1462"/>
      <c r="AH315" s="1462"/>
      <c r="AI315" s="1462"/>
      <c r="AJ315" s="1465">
        <f t="shared" si="19"/>
        <v>0</v>
      </c>
      <c r="AK315" s="1465">
        <f t="shared" si="18"/>
        <v>0</v>
      </c>
      <c r="AL315" s="1466"/>
    </row>
    <row r="316" spans="1:39" s="156" customFormat="1" ht="19.149999999999999" customHeight="1" outlineLevel="1">
      <c r="A316" s="1182">
        <v>300</v>
      </c>
      <c r="B316" s="1182">
        <v>5</v>
      </c>
      <c r="C316" s="1635" t="str">
        <f>VLOOKUP(D316,'DS CN MOI UP'!$B$10:$C$347,2,0)</f>
        <v>02697</v>
      </c>
      <c r="D316" s="1185" t="s">
        <v>210</v>
      </c>
      <c r="E316" s="1474"/>
      <c r="F316" s="1474"/>
      <c r="G316" s="1474"/>
      <c r="H316" s="1474"/>
      <c r="I316" s="1474"/>
      <c r="J316" s="1474"/>
      <c r="K316" s="1474"/>
      <c r="L316" s="1474"/>
      <c r="M316" s="1474"/>
      <c r="N316" s="1462"/>
      <c r="O316" s="1462"/>
      <c r="P316" s="1462"/>
      <c r="Q316" s="1462"/>
      <c r="R316" s="1462"/>
      <c r="S316" s="1462"/>
      <c r="T316" s="1462"/>
      <c r="U316" s="1462"/>
      <c r="V316" s="1462"/>
      <c r="W316" s="1462"/>
      <c r="X316" s="1462"/>
      <c r="Y316" s="1462"/>
      <c r="Z316" s="1462"/>
      <c r="AA316" s="1462"/>
      <c r="AB316" s="1462"/>
      <c r="AC316" s="1462"/>
      <c r="AD316" s="1462"/>
      <c r="AE316" s="1462"/>
      <c r="AF316" s="1462"/>
      <c r="AG316" s="1462"/>
      <c r="AH316" s="1462"/>
      <c r="AI316" s="1462"/>
      <c r="AJ316" s="1465">
        <f t="shared" si="19"/>
        <v>0</v>
      </c>
      <c r="AK316" s="1465">
        <f t="shared" si="18"/>
        <v>0</v>
      </c>
      <c r="AL316" s="1466"/>
    </row>
    <row r="317" spans="1:39" s="156" customFormat="1" ht="19.149999999999999" customHeight="1" outlineLevel="1">
      <c r="A317" s="1182">
        <v>301</v>
      </c>
      <c r="B317" s="1182">
        <v>6</v>
      </c>
      <c r="C317" s="1635" t="str">
        <f>VLOOKUP(D317,'DS CN MOI UP'!$B$10:$C$347,2,0)</f>
        <v>02610</v>
      </c>
      <c r="D317" s="1185" t="s">
        <v>211</v>
      </c>
      <c r="E317" s="1474"/>
      <c r="F317" s="1474"/>
      <c r="G317" s="1474"/>
      <c r="H317" s="1474"/>
      <c r="I317" s="1474"/>
      <c r="J317" s="1474"/>
      <c r="K317" s="1474"/>
      <c r="L317" s="1474"/>
      <c r="M317" s="1474"/>
      <c r="N317" s="1462"/>
      <c r="O317" s="1462"/>
      <c r="P317" s="1462"/>
      <c r="Q317" s="1462"/>
      <c r="R317" s="1462"/>
      <c r="S317" s="1462"/>
      <c r="T317" s="1462"/>
      <c r="U317" s="1462"/>
      <c r="V317" s="1462"/>
      <c r="W317" s="1462"/>
      <c r="X317" s="1462"/>
      <c r="Y317" s="1462"/>
      <c r="Z317" s="1462"/>
      <c r="AA317" s="1462"/>
      <c r="AB317" s="1462"/>
      <c r="AC317" s="1462"/>
      <c r="AD317" s="1462"/>
      <c r="AE317" s="1462"/>
      <c r="AF317" s="1462"/>
      <c r="AG317" s="1462"/>
      <c r="AH317" s="1462"/>
      <c r="AI317" s="1462"/>
      <c r="AJ317" s="1465">
        <f t="shared" si="19"/>
        <v>0</v>
      </c>
      <c r="AK317" s="1465">
        <f t="shared" si="18"/>
        <v>0</v>
      </c>
      <c r="AL317" s="1466"/>
    </row>
    <row r="318" spans="1:39" s="156" customFormat="1" ht="19.149999999999999" customHeight="1" outlineLevel="1">
      <c r="A318" s="1182">
        <v>302</v>
      </c>
      <c r="B318" s="1182">
        <v>7</v>
      </c>
      <c r="C318" s="1635" t="str">
        <f>VLOOKUP(D318,'DS CN MOI UP'!$B$10:$C$347,2,0)</f>
        <v>02611</v>
      </c>
      <c r="D318" s="1185" t="s">
        <v>212</v>
      </c>
      <c r="E318" s="1474"/>
      <c r="F318" s="1474"/>
      <c r="G318" s="1474"/>
      <c r="H318" s="1474"/>
      <c r="I318" s="1474"/>
      <c r="J318" s="1474"/>
      <c r="K318" s="1474"/>
      <c r="L318" s="1474"/>
      <c r="M318" s="1474"/>
      <c r="N318" s="1462"/>
      <c r="O318" s="1462"/>
      <c r="P318" s="1462"/>
      <c r="Q318" s="1462"/>
      <c r="R318" s="1462"/>
      <c r="S318" s="1462"/>
      <c r="T318" s="1462"/>
      <c r="U318" s="1462"/>
      <c r="V318" s="1462"/>
      <c r="W318" s="1462"/>
      <c r="X318" s="1462"/>
      <c r="Y318" s="1462"/>
      <c r="Z318" s="1462"/>
      <c r="AA318" s="1462"/>
      <c r="AB318" s="1462"/>
      <c r="AC318" s="1462"/>
      <c r="AD318" s="1462"/>
      <c r="AE318" s="1462"/>
      <c r="AF318" s="1462"/>
      <c r="AG318" s="1462"/>
      <c r="AH318" s="1462"/>
      <c r="AI318" s="1462"/>
      <c r="AJ318" s="1465">
        <f t="shared" si="19"/>
        <v>0</v>
      </c>
      <c r="AK318" s="1465">
        <f t="shared" si="18"/>
        <v>0</v>
      </c>
      <c r="AL318" s="1466"/>
    </row>
    <row r="319" spans="1:39" s="156" customFormat="1" ht="19.149999999999999" customHeight="1" outlineLevel="1">
      <c r="A319" s="1182">
        <v>303</v>
      </c>
      <c r="B319" s="1182">
        <v>8</v>
      </c>
      <c r="C319" s="1635" t="str">
        <f>VLOOKUP(D319,'DS CN MOI UP'!$B$10:$C$347,2,0)</f>
        <v>02602</v>
      </c>
      <c r="D319" s="1185" t="s">
        <v>213</v>
      </c>
      <c r="E319" s="1474"/>
      <c r="F319" s="1474"/>
      <c r="G319" s="1474"/>
      <c r="H319" s="1474"/>
      <c r="I319" s="1474"/>
      <c r="J319" s="1474"/>
      <c r="K319" s="1474"/>
      <c r="L319" s="1474"/>
      <c r="M319" s="1474"/>
      <c r="N319" s="1462"/>
      <c r="O319" s="1462"/>
      <c r="P319" s="1462"/>
      <c r="Q319" s="1462"/>
      <c r="R319" s="1462"/>
      <c r="S319" s="1462"/>
      <c r="T319" s="1462"/>
      <c r="U319" s="1462"/>
      <c r="V319" s="1462"/>
      <c r="W319" s="1462"/>
      <c r="X319" s="1462"/>
      <c r="Y319" s="1462"/>
      <c r="Z319" s="1462"/>
      <c r="AA319" s="1462"/>
      <c r="AB319" s="1462"/>
      <c r="AC319" s="1462"/>
      <c r="AD319" s="1462"/>
      <c r="AE319" s="1462"/>
      <c r="AF319" s="1462"/>
      <c r="AG319" s="1462"/>
      <c r="AH319" s="1462"/>
      <c r="AI319" s="1462"/>
      <c r="AJ319" s="1465">
        <f t="shared" si="19"/>
        <v>0</v>
      </c>
      <c r="AK319" s="1465">
        <f t="shared" si="18"/>
        <v>0</v>
      </c>
      <c r="AL319" s="1466"/>
    </row>
    <row r="320" spans="1:39" s="156" customFormat="1" ht="19.149999999999999" customHeight="1" outlineLevel="1">
      <c r="A320" s="1182">
        <v>304</v>
      </c>
      <c r="B320" s="1182">
        <v>9</v>
      </c>
      <c r="C320" s="1635" t="str">
        <f>VLOOKUP(D320,'DS CN MOI UP'!$B$10:$C$347,2,0)</f>
        <v>02609</v>
      </c>
      <c r="D320" s="1185" t="s">
        <v>214</v>
      </c>
      <c r="E320" s="1474"/>
      <c r="F320" s="1474"/>
      <c r="G320" s="1474"/>
      <c r="H320" s="1474"/>
      <c r="I320" s="1474"/>
      <c r="J320" s="1474"/>
      <c r="K320" s="1474"/>
      <c r="L320" s="1474"/>
      <c r="M320" s="1474"/>
      <c r="N320" s="1462"/>
      <c r="O320" s="1462"/>
      <c r="P320" s="1462"/>
      <c r="Q320" s="1462"/>
      <c r="R320" s="1462"/>
      <c r="S320" s="1462"/>
      <c r="T320" s="1462"/>
      <c r="U320" s="1462"/>
      <c r="V320" s="1462"/>
      <c r="W320" s="1462"/>
      <c r="X320" s="1462"/>
      <c r="Y320" s="1462"/>
      <c r="Z320" s="1462"/>
      <c r="AA320" s="1462"/>
      <c r="AB320" s="1462"/>
      <c r="AC320" s="1462"/>
      <c r="AD320" s="1462"/>
      <c r="AE320" s="1462"/>
      <c r="AF320" s="1462"/>
      <c r="AG320" s="1462"/>
      <c r="AH320" s="1462"/>
      <c r="AI320" s="1462"/>
      <c r="AJ320" s="1465">
        <f t="shared" si="19"/>
        <v>0</v>
      </c>
      <c r="AK320" s="1465">
        <f t="shared" si="18"/>
        <v>0</v>
      </c>
      <c r="AL320" s="1466"/>
    </row>
    <row r="321" spans="1:38" s="156" customFormat="1" ht="19.149999999999999" customHeight="1" outlineLevel="1">
      <c r="A321" s="1182">
        <v>305</v>
      </c>
      <c r="B321" s="1182">
        <v>10</v>
      </c>
      <c r="C321" s="1635" t="str">
        <f>VLOOKUP(D321,'DS CN MOI UP'!$B$10:$C$347,2,0)</f>
        <v>02569</v>
      </c>
      <c r="D321" s="1185" t="s">
        <v>215</v>
      </c>
      <c r="E321" s="1474"/>
      <c r="F321" s="1474"/>
      <c r="G321" s="1474"/>
      <c r="H321" s="1474"/>
      <c r="I321" s="1474"/>
      <c r="J321" s="1474"/>
      <c r="K321" s="1474"/>
      <c r="L321" s="1474"/>
      <c r="M321" s="1474"/>
      <c r="N321" s="1462"/>
      <c r="O321" s="1462"/>
      <c r="P321" s="1462"/>
      <c r="Q321" s="1462"/>
      <c r="R321" s="1462"/>
      <c r="S321" s="1462"/>
      <c r="T321" s="1462"/>
      <c r="U321" s="1462"/>
      <c r="V321" s="1462"/>
      <c r="W321" s="1462"/>
      <c r="X321" s="1462"/>
      <c r="Y321" s="1462"/>
      <c r="Z321" s="1462"/>
      <c r="AA321" s="1462"/>
      <c r="AB321" s="1462"/>
      <c r="AC321" s="1462"/>
      <c r="AD321" s="1462"/>
      <c r="AE321" s="1462"/>
      <c r="AF321" s="1462"/>
      <c r="AG321" s="1462"/>
      <c r="AH321" s="1462"/>
      <c r="AI321" s="1462"/>
      <c r="AJ321" s="1465">
        <f t="shared" si="19"/>
        <v>0</v>
      </c>
      <c r="AK321" s="1465">
        <f t="shared" si="18"/>
        <v>0</v>
      </c>
      <c r="AL321" s="1466"/>
    </row>
    <row r="322" spans="1:38" s="156" customFormat="1" ht="19.149999999999999" customHeight="1" outlineLevel="1">
      <c r="A322" s="1182">
        <v>306</v>
      </c>
      <c r="B322" s="1182">
        <v>11</v>
      </c>
      <c r="C322" s="1635" t="str">
        <f>VLOOKUP(D322,'DS CN MOI UP'!$B$10:$C$347,2,0)</f>
        <v>02583</v>
      </c>
      <c r="D322" s="1185" t="s">
        <v>216</v>
      </c>
      <c r="E322" s="1474"/>
      <c r="F322" s="1474"/>
      <c r="G322" s="1474"/>
      <c r="H322" s="1474"/>
      <c r="I322" s="1474"/>
      <c r="J322" s="1474"/>
      <c r="K322" s="1474"/>
      <c r="L322" s="1474"/>
      <c r="M322" s="1474"/>
      <c r="N322" s="1462"/>
      <c r="O322" s="1462"/>
      <c r="P322" s="1462"/>
      <c r="Q322" s="1462"/>
      <c r="R322" s="1462"/>
      <c r="S322" s="1462"/>
      <c r="T322" s="1462"/>
      <c r="U322" s="1462"/>
      <c r="V322" s="1462"/>
      <c r="W322" s="1462"/>
      <c r="X322" s="1462"/>
      <c r="Y322" s="1462"/>
      <c r="Z322" s="1462"/>
      <c r="AA322" s="1462"/>
      <c r="AB322" s="1462"/>
      <c r="AC322" s="1462"/>
      <c r="AD322" s="1462"/>
      <c r="AE322" s="1462"/>
      <c r="AF322" s="1462"/>
      <c r="AG322" s="1462"/>
      <c r="AH322" s="1462"/>
      <c r="AI322" s="1462"/>
      <c r="AJ322" s="1465">
        <f t="shared" si="19"/>
        <v>0</v>
      </c>
      <c r="AK322" s="1465">
        <f t="shared" si="18"/>
        <v>0</v>
      </c>
      <c r="AL322" s="1466"/>
    </row>
    <row r="323" spans="1:38" s="156" customFormat="1" ht="19.149999999999999" customHeight="1" outlineLevel="1">
      <c r="A323" s="1182">
        <v>307</v>
      </c>
      <c r="B323" s="1182">
        <v>12</v>
      </c>
      <c r="C323" s="1635" t="str">
        <f>VLOOKUP(D323,'DS CN MOI UP'!$B$10:$C$347,2,0)</f>
        <v>02604</v>
      </c>
      <c r="D323" s="1185" t="s">
        <v>217</v>
      </c>
      <c r="E323" s="1474"/>
      <c r="F323" s="1474"/>
      <c r="G323" s="1474"/>
      <c r="H323" s="1474"/>
      <c r="I323" s="1474"/>
      <c r="J323" s="1474"/>
      <c r="K323" s="1474"/>
      <c r="L323" s="1474"/>
      <c r="M323" s="1474"/>
      <c r="N323" s="1462"/>
      <c r="O323" s="1462"/>
      <c r="P323" s="1462"/>
      <c r="Q323" s="1462"/>
      <c r="R323" s="1462"/>
      <c r="S323" s="1462"/>
      <c r="T323" s="1462"/>
      <c r="U323" s="1462"/>
      <c r="V323" s="1462"/>
      <c r="W323" s="1462"/>
      <c r="X323" s="1462"/>
      <c r="Y323" s="1462"/>
      <c r="Z323" s="1462"/>
      <c r="AA323" s="1462"/>
      <c r="AB323" s="1462"/>
      <c r="AC323" s="1462"/>
      <c r="AD323" s="1462"/>
      <c r="AE323" s="1462"/>
      <c r="AF323" s="1462"/>
      <c r="AG323" s="1462"/>
      <c r="AH323" s="1462"/>
      <c r="AI323" s="1462"/>
      <c r="AJ323" s="1465">
        <f t="shared" si="19"/>
        <v>0</v>
      </c>
      <c r="AK323" s="1465">
        <f t="shared" si="18"/>
        <v>0</v>
      </c>
      <c r="AL323" s="1466"/>
    </row>
    <row r="324" spans="1:38" s="156" customFormat="1" ht="19.149999999999999" customHeight="1" outlineLevel="1">
      <c r="A324" s="1182">
        <v>308</v>
      </c>
      <c r="B324" s="1182">
        <v>13</v>
      </c>
      <c r="C324" s="1635" t="str">
        <f>VLOOKUP(D324,'DS CN MOI UP'!$B$10:$C$347,2,0)</f>
        <v>02600</v>
      </c>
      <c r="D324" s="1185" t="s">
        <v>218</v>
      </c>
      <c r="E324" s="1474"/>
      <c r="F324" s="1474"/>
      <c r="G324" s="1474"/>
      <c r="H324" s="1474"/>
      <c r="I324" s="1474"/>
      <c r="J324" s="1474"/>
      <c r="K324" s="1474"/>
      <c r="L324" s="1474"/>
      <c r="M324" s="1474"/>
      <c r="N324" s="1462"/>
      <c r="O324" s="1462"/>
      <c r="P324" s="1462"/>
      <c r="Q324" s="1462"/>
      <c r="R324" s="1462"/>
      <c r="S324" s="1462"/>
      <c r="T324" s="1462"/>
      <c r="U324" s="1462"/>
      <c r="V324" s="1462"/>
      <c r="W324" s="1462"/>
      <c r="X324" s="1462"/>
      <c r="Y324" s="1462"/>
      <c r="Z324" s="1462"/>
      <c r="AA324" s="1462"/>
      <c r="AB324" s="1462"/>
      <c r="AC324" s="1462"/>
      <c r="AD324" s="1462"/>
      <c r="AE324" s="1462"/>
      <c r="AF324" s="1462"/>
      <c r="AG324" s="1462"/>
      <c r="AH324" s="1462"/>
      <c r="AI324" s="1462"/>
      <c r="AJ324" s="1465">
        <f t="shared" si="19"/>
        <v>0</v>
      </c>
      <c r="AK324" s="1465">
        <f t="shared" si="18"/>
        <v>0</v>
      </c>
      <c r="AL324" s="1466"/>
    </row>
    <row r="325" spans="1:38" s="156" customFormat="1" ht="19.149999999999999" customHeight="1" outlineLevel="1">
      <c r="A325" s="1182">
        <v>309</v>
      </c>
      <c r="B325" s="1182">
        <v>14</v>
      </c>
      <c r="C325" s="1635" t="str">
        <f>VLOOKUP(D325,'DS CN MOI UP'!$B$10:$C$347,2,0)</f>
        <v>03382</v>
      </c>
      <c r="D325" s="1185" t="s">
        <v>219</v>
      </c>
      <c r="E325" s="1474"/>
      <c r="F325" s="1474"/>
      <c r="G325" s="1474"/>
      <c r="H325" s="1474"/>
      <c r="I325" s="1474"/>
      <c r="J325" s="1474"/>
      <c r="K325" s="1474"/>
      <c r="L325" s="1474"/>
      <c r="M325" s="1474"/>
      <c r="N325" s="1462"/>
      <c r="O325" s="1462"/>
      <c r="P325" s="1462"/>
      <c r="Q325" s="1462"/>
      <c r="R325" s="1462"/>
      <c r="S325" s="1462"/>
      <c r="T325" s="1462"/>
      <c r="U325" s="1462"/>
      <c r="V325" s="1462"/>
      <c r="W325" s="1462"/>
      <c r="X325" s="1462"/>
      <c r="Y325" s="1462"/>
      <c r="Z325" s="1462"/>
      <c r="AA325" s="1462"/>
      <c r="AB325" s="1462"/>
      <c r="AC325" s="1462"/>
      <c r="AD325" s="1462"/>
      <c r="AE325" s="1462"/>
      <c r="AF325" s="1462"/>
      <c r="AG325" s="1462"/>
      <c r="AH325" s="1462"/>
      <c r="AI325" s="1462"/>
      <c r="AJ325" s="1465">
        <f t="shared" si="19"/>
        <v>0</v>
      </c>
      <c r="AK325" s="1465">
        <f t="shared" si="18"/>
        <v>0</v>
      </c>
      <c r="AL325" s="1466"/>
    </row>
    <row r="326" spans="1:38" s="156" customFormat="1" ht="19.149999999999999" customHeight="1" outlineLevel="1">
      <c r="A326" s="1182">
        <v>310</v>
      </c>
      <c r="B326" s="1182">
        <v>15</v>
      </c>
      <c r="C326" s="1635" t="str">
        <f>VLOOKUP(D326,'DS CN MOI UP'!$B$10:$C$347,2,0)</f>
        <v>02571</v>
      </c>
      <c r="D326" s="1185" t="s">
        <v>220</v>
      </c>
      <c r="E326" s="1474"/>
      <c r="F326" s="1474"/>
      <c r="G326" s="1474"/>
      <c r="H326" s="1474"/>
      <c r="I326" s="1474"/>
      <c r="J326" s="1474"/>
      <c r="K326" s="1474"/>
      <c r="L326" s="1474"/>
      <c r="M326" s="1474"/>
      <c r="N326" s="1462"/>
      <c r="O326" s="1462"/>
      <c r="P326" s="1462"/>
      <c r="Q326" s="1462"/>
      <c r="R326" s="1462"/>
      <c r="S326" s="1462"/>
      <c r="T326" s="1462"/>
      <c r="U326" s="1462"/>
      <c r="V326" s="1462"/>
      <c r="W326" s="1462"/>
      <c r="X326" s="1462"/>
      <c r="Y326" s="1462"/>
      <c r="Z326" s="1462"/>
      <c r="AA326" s="1462"/>
      <c r="AB326" s="1462"/>
      <c r="AC326" s="1462"/>
      <c r="AD326" s="1462"/>
      <c r="AE326" s="1462"/>
      <c r="AF326" s="1462"/>
      <c r="AG326" s="1462"/>
      <c r="AH326" s="1462"/>
      <c r="AI326" s="1462"/>
      <c r="AJ326" s="1465">
        <f t="shared" si="19"/>
        <v>0</v>
      </c>
      <c r="AK326" s="1465">
        <f t="shared" si="18"/>
        <v>0</v>
      </c>
      <c r="AL326" s="1466"/>
    </row>
    <row r="327" spans="1:38" s="156" customFormat="1" ht="19.149999999999999" customHeight="1" outlineLevel="1">
      <c r="A327" s="1182">
        <v>311</v>
      </c>
      <c r="B327" s="1182">
        <v>16</v>
      </c>
      <c r="C327" s="1635" t="str">
        <f>VLOOKUP(D327,'DS CN MOI UP'!$B$10:$C$347,2,0)</f>
        <v>02570</v>
      </c>
      <c r="D327" s="1185" t="s">
        <v>221</v>
      </c>
      <c r="E327" s="1474"/>
      <c r="F327" s="1474"/>
      <c r="G327" s="1474"/>
      <c r="H327" s="1474"/>
      <c r="I327" s="1474"/>
      <c r="J327" s="1474"/>
      <c r="K327" s="1474"/>
      <c r="L327" s="1474"/>
      <c r="M327" s="1474"/>
      <c r="N327" s="1462"/>
      <c r="O327" s="1462"/>
      <c r="P327" s="1462"/>
      <c r="Q327" s="1462"/>
      <c r="R327" s="1462"/>
      <c r="S327" s="1462"/>
      <c r="T327" s="1462"/>
      <c r="U327" s="1462"/>
      <c r="V327" s="1462"/>
      <c r="W327" s="1462"/>
      <c r="X327" s="1462"/>
      <c r="Y327" s="1462"/>
      <c r="Z327" s="1462"/>
      <c r="AA327" s="1462"/>
      <c r="AB327" s="1462"/>
      <c r="AC327" s="1462"/>
      <c r="AD327" s="1462"/>
      <c r="AE327" s="1462"/>
      <c r="AF327" s="1462"/>
      <c r="AG327" s="1462"/>
      <c r="AH327" s="1462"/>
      <c r="AI327" s="1462"/>
      <c r="AJ327" s="1465">
        <f t="shared" si="19"/>
        <v>0</v>
      </c>
      <c r="AK327" s="1465">
        <f t="shared" si="18"/>
        <v>0</v>
      </c>
      <c r="AL327" s="1466"/>
    </row>
    <row r="328" spans="1:38" s="156" customFormat="1" ht="19.149999999999999" customHeight="1" outlineLevel="1">
      <c r="A328" s="1182">
        <v>312</v>
      </c>
      <c r="B328" s="1182">
        <v>17</v>
      </c>
      <c r="C328" s="1635" t="str">
        <f>VLOOKUP(D328,'DS CN MOI UP'!$B$10:$C$347,2,0)</f>
        <v>02573</v>
      </c>
      <c r="D328" s="1185" t="s">
        <v>222</v>
      </c>
      <c r="E328" s="1474"/>
      <c r="F328" s="1474"/>
      <c r="G328" s="1474"/>
      <c r="H328" s="1474"/>
      <c r="I328" s="1474"/>
      <c r="J328" s="1474"/>
      <c r="K328" s="1474"/>
      <c r="L328" s="1474"/>
      <c r="M328" s="1474"/>
      <c r="N328" s="1462"/>
      <c r="O328" s="1462"/>
      <c r="P328" s="1462"/>
      <c r="Q328" s="1462"/>
      <c r="R328" s="1462"/>
      <c r="S328" s="1462"/>
      <c r="T328" s="1462"/>
      <c r="U328" s="1462"/>
      <c r="V328" s="1462"/>
      <c r="W328" s="1462"/>
      <c r="X328" s="1462"/>
      <c r="Y328" s="1462"/>
      <c r="Z328" s="1462"/>
      <c r="AA328" s="1462"/>
      <c r="AB328" s="1462"/>
      <c r="AC328" s="1462"/>
      <c r="AD328" s="1462"/>
      <c r="AE328" s="1462"/>
      <c r="AF328" s="1462"/>
      <c r="AG328" s="1462"/>
      <c r="AH328" s="1462"/>
      <c r="AI328" s="1462"/>
      <c r="AJ328" s="1465">
        <f t="shared" si="19"/>
        <v>0</v>
      </c>
      <c r="AK328" s="1465">
        <f t="shared" si="18"/>
        <v>0</v>
      </c>
      <c r="AL328" s="1466"/>
    </row>
    <row r="329" spans="1:38" s="156" customFormat="1" ht="19.149999999999999" customHeight="1" outlineLevel="1">
      <c r="A329" s="1182">
        <v>313</v>
      </c>
      <c r="B329" s="1182">
        <v>18</v>
      </c>
      <c r="C329" s="1635" t="str">
        <f>VLOOKUP(D329,'DS CN MOI UP'!$B$10:$C$347,2,0)</f>
        <v>02695</v>
      </c>
      <c r="D329" s="1185" t="s">
        <v>223</v>
      </c>
      <c r="E329" s="1474"/>
      <c r="F329" s="1474"/>
      <c r="G329" s="1474"/>
      <c r="H329" s="1474"/>
      <c r="I329" s="1474"/>
      <c r="J329" s="1474"/>
      <c r="K329" s="1474"/>
      <c r="L329" s="1474"/>
      <c r="M329" s="1474"/>
      <c r="N329" s="1462"/>
      <c r="O329" s="1462"/>
      <c r="P329" s="1462"/>
      <c r="Q329" s="1462"/>
      <c r="R329" s="1462"/>
      <c r="S329" s="1462"/>
      <c r="T329" s="1462"/>
      <c r="U329" s="1462"/>
      <c r="V329" s="1462"/>
      <c r="W329" s="1462"/>
      <c r="X329" s="1462"/>
      <c r="Y329" s="1462"/>
      <c r="Z329" s="1462"/>
      <c r="AA329" s="1462"/>
      <c r="AB329" s="1462"/>
      <c r="AC329" s="1462"/>
      <c r="AD329" s="1462"/>
      <c r="AE329" s="1462"/>
      <c r="AF329" s="1462"/>
      <c r="AG329" s="1462"/>
      <c r="AH329" s="1462"/>
      <c r="AI329" s="1462"/>
      <c r="AJ329" s="1465">
        <f t="shared" si="19"/>
        <v>0</v>
      </c>
      <c r="AK329" s="1465">
        <f t="shared" si="18"/>
        <v>0</v>
      </c>
      <c r="AL329" s="1466"/>
    </row>
    <row r="330" spans="1:38" s="156" customFormat="1" ht="19.149999999999999" customHeight="1" outlineLevel="1">
      <c r="A330" s="1182">
        <v>314</v>
      </c>
      <c r="B330" s="1182">
        <v>19</v>
      </c>
      <c r="C330" s="1635" t="str">
        <f>VLOOKUP(D330,'DS CN MOI UP'!$B$10:$C$347,2,0)</f>
        <v>02599</v>
      </c>
      <c r="D330" s="1185" t="s">
        <v>224</v>
      </c>
      <c r="E330" s="1474"/>
      <c r="F330" s="1474"/>
      <c r="G330" s="1474"/>
      <c r="H330" s="1474"/>
      <c r="I330" s="1474"/>
      <c r="J330" s="1474"/>
      <c r="K330" s="1474"/>
      <c r="L330" s="1474"/>
      <c r="M330" s="1474"/>
      <c r="N330" s="1462"/>
      <c r="O330" s="1462"/>
      <c r="P330" s="1462"/>
      <c r="Q330" s="1462"/>
      <c r="R330" s="1462"/>
      <c r="S330" s="1462"/>
      <c r="T330" s="1462"/>
      <c r="U330" s="1462"/>
      <c r="V330" s="1462"/>
      <c r="W330" s="1462"/>
      <c r="X330" s="1462"/>
      <c r="Y330" s="1462"/>
      <c r="Z330" s="1462"/>
      <c r="AA330" s="1462"/>
      <c r="AB330" s="1462"/>
      <c r="AC330" s="1462"/>
      <c r="AD330" s="1462"/>
      <c r="AE330" s="1462"/>
      <c r="AF330" s="1462"/>
      <c r="AG330" s="1462"/>
      <c r="AH330" s="1462"/>
      <c r="AI330" s="1462"/>
      <c r="AJ330" s="1465">
        <f t="shared" si="19"/>
        <v>0</v>
      </c>
      <c r="AK330" s="1465">
        <f t="shared" si="18"/>
        <v>0</v>
      </c>
      <c r="AL330" s="1466"/>
    </row>
    <row r="331" spans="1:38" s="156" customFormat="1" ht="19.149999999999999" customHeight="1" outlineLevel="1">
      <c r="A331" s="1182">
        <v>315</v>
      </c>
      <c r="B331" s="1182">
        <v>20</v>
      </c>
      <c r="C331" s="1635" t="str">
        <f>VLOOKUP(D331,'DS CN MOI UP'!$B$10:$C$347,2,0)</f>
        <v>03383</v>
      </c>
      <c r="D331" s="1185" t="s">
        <v>225</v>
      </c>
      <c r="E331" s="1474"/>
      <c r="F331" s="1474"/>
      <c r="G331" s="1474"/>
      <c r="H331" s="1474"/>
      <c r="I331" s="1474"/>
      <c r="J331" s="1474"/>
      <c r="K331" s="1474"/>
      <c r="L331" s="1474"/>
      <c r="M331" s="1474"/>
      <c r="N331" s="1462"/>
      <c r="O331" s="1462"/>
      <c r="P331" s="1462"/>
      <c r="Q331" s="1462"/>
      <c r="R331" s="1462"/>
      <c r="S331" s="1462"/>
      <c r="T331" s="1462"/>
      <c r="U331" s="1462"/>
      <c r="V331" s="1462"/>
      <c r="W331" s="1462"/>
      <c r="X331" s="1462"/>
      <c r="Y331" s="1462"/>
      <c r="Z331" s="1462"/>
      <c r="AA331" s="1462"/>
      <c r="AB331" s="1462"/>
      <c r="AC331" s="1462"/>
      <c r="AD331" s="1462"/>
      <c r="AE331" s="1462"/>
      <c r="AF331" s="1462"/>
      <c r="AG331" s="1462"/>
      <c r="AH331" s="1462"/>
      <c r="AI331" s="1462"/>
      <c r="AJ331" s="1465">
        <f t="shared" si="19"/>
        <v>0</v>
      </c>
      <c r="AK331" s="1465">
        <f t="shared" si="18"/>
        <v>0</v>
      </c>
      <c r="AL331" s="1466"/>
    </row>
    <row r="332" spans="1:38" s="156" customFormat="1" ht="19.149999999999999" customHeight="1" outlineLevel="1">
      <c r="A332" s="1182">
        <v>316</v>
      </c>
      <c r="B332" s="1182">
        <v>21</v>
      </c>
      <c r="C332" s="1635" t="str">
        <f>VLOOKUP(D332,'DS CN MOI UP'!$B$10:$C$347,2,0)</f>
        <v>03384</v>
      </c>
      <c r="D332" s="1185" t="s">
        <v>226</v>
      </c>
      <c r="E332" s="1474"/>
      <c r="F332" s="1474"/>
      <c r="G332" s="1474"/>
      <c r="H332" s="1474"/>
      <c r="I332" s="1474"/>
      <c r="J332" s="1474"/>
      <c r="K332" s="1474"/>
      <c r="L332" s="1474"/>
      <c r="M332" s="1474"/>
      <c r="N332" s="1462"/>
      <c r="O332" s="1462"/>
      <c r="P332" s="1462"/>
      <c r="Q332" s="1462"/>
      <c r="R332" s="1462"/>
      <c r="S332" s="1462"/>
      <c r="T332" s="1462"/>
      <c r="U332" s="1462"/>
      <c r="V332" s="1462"/>
      <c r="W332" s="1462"/>
      <c r="X332" s="1462"/>
      <c r="Y332" s="1462"/>
      <c r="Z332" s="1462"/>
      <c r="AA332" s="1462"/>
      <c r="AB332" s="1462"/>
      <c r="AC332" s="1462"/>
      <c r="AD332" s="1462"/>
      <c r="AE332" s="1462"/>
      <c r="AF332" s="1462"/>
      <c r="AG332" s="1462"/>
      <c r="AH332" s="1462"/>
      <c r="AI332" s="1462"/>
      <c r="AJ332" s="1465">
        <f t="shared" si="19"/>
        <v>0</v>
      </c>
      <c r="AK332" s="1465">
        <f t="shared" ref="AK332:AK395" si="22">AJ332*$AN$6</f>
        <v>0</v>
      </c>
      <c r="AL332" s="1466"/>
    </row>
    <row r="333" spans="1:38" s="156" customFormat="1" ht="19.149999999999999" customHeight="1" outlineLevel="1">
      <c r="A333" s="1182">
        <v>317</v>
      </c>
      <c r="B333" s="1182">
        <v>22</v>
      </c>
      <c r="C333" s="1635" t="str">
        <f>VLOOKUP(D333,'DS CN MOI UP'!$B$10:$C$347,2,0)</f>
        <v>02608</v>
      </c>
      <c r="D333" s="1185" t="s">
        <v>227</v>
      </c>
      <c r="E333" s="1474"/>
      <c r="F333" s="1474"/>
      <c r="G333" s="1474"/>
      <c r="H333" s="1474"/>
      <c r="I333" s="1474"/>
      <c r="J333" s="1474"/>
      <c r="K333" s="1474"/>
      <c r="L333" s="1474"/>
      <c r="M333" s="1474"/>
      <c r="N333" s="1462"/>
      <c r="O333" s="1462"/>
      <c r="P333" s="1462"/>
      <c r="Q333" s="1462"/>
      <c r="R333" s="1462"/>
      <c r="S333" s="1462"/>
      <c r="T333" s="1462"/>
      <c r="U333" s="1462"/>
      <c r="V333" s="1462"/>
      <c r="W333" s="1462"/>
      <c r="X333" s="1462"/>
      <c r="Y333" s="1462"/>
      <c r="Z333" s="1462"/>
      <c r="AA333" s="1462"/>
      <c r="AB333" s="1462"/>
      <c r="AC333" s="1462"/>
      <c r="AD333" s="1462"/>
      <c r="AE333" s="1462"/>
      <c r="AF333" s="1462"/>
      <c r="AG333" s="1462"/>
      <c r="AH333" s="1462"/>
      <c r="AI333" s="1462"/>
      <c r="AJ333" s="1465">
        <f t="shared" si="19"/>
        <v>0</v>
      </c>
      <c r="AK333" s="1465">
        <f t="shared" si="22"/>
        <v>0</v>
      </c>
      <c r="AL333" s="1466"/>
    </row>
    <row r="334" spans="1:38" s="156" customFormat="1" ht="19.149999999999999" customHeight="1" outlineLevel="1">
      <c r="A334" s="1182">
        <v>318</v>
      </c>
      <c r="B334" s="1182">
        <v>23</v>
      </c>
      <c r="C334" s="1635" t="str">
        <f>VLOOKUP(D334,'DS CN MOI UP'!$B$10:$C$347,2,0)</f>
        <v>02603</v>
      </c>
      <c r="D334" s="1185" t="s">
        <v>228</v>
      </c>
      <c r="E334" s="1474"/>
      <c r="F334" s="1474"/>
      <c r="G334" s="1474"/>
      <c r="H334" s="1474"/>
      <c r="I334" s="1474"/>
      <c r="J334" s="1474"/>
      <c r="K334" s="1474"/>
      <c r="L334" s="1474"/>
      <c r="M334" s="1474"/>
      <c r="N334" s="1462"/>
      <c r="O334" s="1462"/>
      <c r="P334" s="1462"/>
      <c r="Q334" s="1462"/>
      <c r="R334" s="1462"/>
      <c r="S334" s="1462"/>
      <c r="T334" s="1462"/>
      <c r="U334" s="1462"/>
      <c r="V334" s="1462"/>
      <c r="W334" s="1462"/>
      <c r="X334" s="1462"/>
      <c r="Y334" s="1462"/>
      <c r="Z334" s="1462"/>
      <c r="AA334" s="1462"/>
      <c r="AB334" s="1462"/>
      <c r="AC334" s="1462"/>
      <c r="AD334" s="1462"/>
      <c r="AE334" s="1462"/>
      <c r="AF334" s="1462"/>
      <c r="AG334" s="1462"/>
      <c r="AH334" s="1462"/>
      <c r="AI334" s="1462"/>
      <c r="AJ334" s="1465">
        <f t="shared" si="19"/>
        <v>0</v>
      </c>
      <c r="AK334" s="1465">
        <f t="shared" si="22"/>
        <v>0</v>
      </c>
      <c r="AL334" s="1466"/>
    </row>
    <row r="335" spans="1:38" s="156" customFormat="1" ht="19.149999999999999" customHeight="1" outlineLevel="1">
      <c r="A335" s="1182">
        <v>319</v>
      </c>
      <c r="B335" s="1182">
        <v>24</v>
      </c>
      <c r="C335" s="1635" t="str">
        <f>VLOOKUP(D335,'DS CN MOI UP'!$B$10:$C$347,2,0)</f>
        <v>03385</v>
      </c>
      <c r="D335" s="1185" t="s">
        <v>229</v>
      </c>
      <c r="E335" s="1474"/>
      <c r="F335" s="1474"/>
      <c r="G335" s="1474"/>
      <c r="H335" s="1474"/>
      <c r="I335" s="1474"/>
      <c r="J335" s="1474"/>
      <c r="K335" s="1474"/>
      <c r="L335" s="1474"/>
      <c r="M335" s="1474"/>
      <c r="N335" s="1462"/>
      <c r="O335" s="1462"/>
      <c r="P335" s="1462"/>
      <c r="Q335" s="1462"/>
      <c r="R335" s="1462"/>
      <c r="S335" s="1462"/>
      <c r="T335" s="1462"/>
      <c r="U335" s="1462"/>
      <c r="V335" s="1462"/>
      <c r="W335" s="1462"/>
      <c r="X335" s="1462"/>
      <c r="Y335" s="1462"/>
      <c r="Z335" s="1462"/>
      <c r="AA335" s="1462"/>
      <c r="AB335" s="1462"/>
      <c r="AC335" s="1462"/>
      <c r="AD335" s="1462"/>
      <c r="AE335" s="1462"/>
      <c r="AF335" s="1462"/>
      <c r="AG335" s="1462"/>
      <c r="AH335" s="1462"/>
      <c r="AI335" s="1462"/>
      <c r="AJ335" s="1465">
        <f t="shared" si="19"/>
        <v>0</v>
      </c>
      <c r="AK335" s="1465">
        <f t="shared" si="22"/>
        <v>0</v>
      </c>
      <c r="AL335" s="1466"/>
    </row>
    <row r="336" spans="1:38" s="156" customFormat="1" ht="19.149999999999999" customHeight="1" outlineLevel="1">
      <c r="A336" s="1182">
        <v>320</v>
      </c>
      <c r="B336" s="1182">
        <v>25</v>
      </c>
      <c r="C336" s="1635" t="str">
        <f>VLOOKUP(D336,'DS CN MOI UP'!$B$10:$C$347,2,0)</f>
        <v>02586</v>
      </c>
      <c r="D336" s="1185" t="s">
        <v>230</v>
      </c>
      <c r="E336" s="1474"/>
      <c r="F336" s="1474"/>
      <c r="G336" s="1474"/>
      <c r="H336" s="1474"/>
      <c r="I336" s="1474"/>
      <c r="J336" s="1474"/>
      <c r="K336" s="1474"/>
      <c r="L336" s="1474"/>
      <c r="M336" s="1474"/>
      <c r="N336" s="1462"/>
      <c r="O336" s="1462"/>
      <c r="P336" s="1462"/>
      <c r="Q336" s="1462"/>
      <c r="R336" s="1462"/>
      <c r="S336" s="1462"/>
      <c r="T336" s="1462"/>
      <c r="U336" s="1462"/>
      <c r="V336" s="1462"/>
      <c r="W336" s="1462"/>
      <c r="X336" s="1462"/>
      <c r="Y336" s="1462"/>
      <c r="Z336" s="1462"/>
      <c r="AA336" s="1462"/>
      <c r="AB336" s="1462"/>
      <c r="AC336" s="1462"/>
      <c r="AD336" s="1462"/>
      <c r="AE336" s="1462"/>
      <c r="AF336" s="1462"/>
      <c r="AG336" s="1462"/>
      <c r="AH336" s="1462"/>
      <c r="AI336" s="1462"/>
      <c r="AJ336" s="1465">
        <f t="shared" si="19"/>
        <v>0</v>
      </c>
      <c r="AK336" s="1465">
        <f t="shared" si="22"/>
        <v>0</v>
      </c>
      <c r="AL336" s="1466"/>
    </row>
    <row r="337" spans="1:38" s="156" customFormat="1" ht="19.149999999999999" customHeight="1" outlineLevel="1">
      <c r="A337" s="1182">
        <v>321</v>
      </c>
      <c r="B337" s="1182">
        <v>26</v>
      </c>
      <c r="C337" s="1635" t="str">
        <f>VLOOKUP(D337,'DS CN MOI UP'!$B$10:$C$347,2,0)</f>
        <v>02614</v>
      </c>
      <c r="D337" s="1185" t="s">
        <v>231</v>
      </c>
      <c r="E337" s="1474"/>
      <c r="F337" s="1474"/>
      <c r="G337" s="1474"/>
      <c r="H337" s="1474"/>
      <c r="I337" s="1474"/>
      <c r="J337" s="1474"/>
      <c r="K337" s="1474"/>
      <c r="L337" s="1474"/>
      <c r="M337" s="1474"/>
      <c r="N337" s="1462"/>
      <c r="O337" s="1462"/>
      <c r="P337" s="1462"/>
      <c r="Q337" s="1462"/>
      <c r="R337" s="1462"/>
      <c r="S337" s="1462"/>
      <c r="T337" s="1462"/>
      <c r="U337" s="1462"/>
      <c r="V337" s="1462"/>
      <c r="W337" s="1462"/>
      <c r="X337" s="1462"/>
      <c r="Y337" s="1462"/>
      <c r="Z337" s="1462"/>
      <c r="AA337" s="1462"/>
      <c r="AB337" s="1462"/>
      <c r="AC337" s="1462"/>
      <c r="AD337" s="1462"/>
      <c r="AE337" s="1462"/>
      <c r="AF337" s="1462"/>
      <c r="AG337" s="1462"/>
      <c r="AH337" s="1462"/>
      <c r="AI337" s="1462"/>
      <c r="AJ337" s="1465">
        <f t="shared" si="19"/>
        <v>0</v>
      </c>
      <c r="AK337" s="1465">
        <f t="shared" si="22"/>
        <v>0</v>
      </c>
      <c r="AL337" s="1466"/>
    </row>
    <row r="338" spans="1:38" s="156" customFormat="1" ht="19.149999999999999" customHeight="1" outlineLevel="1">
      <c r="A338" s="1182">
        <v>322</v>
      </c>
      <c r="B338" s="1182">
        <v>27</v>
      </c>
      <c r="C338" s="1635" t="str">
        <f>VLOOKUP(D338,'DS CN MOI UP'!$B$10:$C$347,2,0)</f>
        <v>02581</v>
      </c>
      <c r="D338" s="1185" t="s">
        <v>232</v>
      </c>
      <c r="E338" s="1474"/>
      <c r="F338" s="1474"/>
      <c r="G338" s="1474"/>
      <c r="H338" s="1474"/>
      <c r="I338" s="1474"/>
      <c r="J338" s="1474"/>
      <c r="K338" s="1474"/>
      <c r="L338" s="1474"/>
      <c r="M338" s="1474"/>
      <c r="N338" s="1462"/>
      <c r="O338" s="1462"/>
      <c r="P338" s="1462"/>
      <c r="Q338" s="1462"/>
      <c r="R338" s="1462"/>
      <c r="S338" s="1462"/>
      <c r="T338" s="1462"/>
      <c r="U338" s="1462"/>
      <c r="V338" s="1462"/>
      <c r="W338" s="1462"/>
      <c r="X338" s="1462"/>
      <c r="Y338" s="1462"/>
      <c r="Z338" s="1462"/>
      <c r="AA338" s="1462"/>
      <c r="AB338" s="1462"/>
      <c r="AC338" s="1462"/>
      <c r="AD338" s="1462"/>
      <c r="AE338" s="1462"/>
      <c r="AF338" s="1462"/>
      <c r="AG338" s="1462"/>
      <c r="AH338" s="1462"/>
      <c r="AI338" s="1462"/>
      <c r="AJ338" s="1465">
        <f t="shared" si="19"/>
        <v>0</v>
      </c>
      <c r="AK338" s="1465">
        <f t="shared" si="22"/>
        <v>0</v>
      </c>
      <c r="AL338" s="1466"/>
    </row>
    <row r="339" spans="1:38" s="156" customFormat="1" ht="19.149999999999999" customHeight="1" outlineLevel="1">
      <c r="A339" s="1182">
        <v>323</v>
      </c>
      <c r="B339" s="1182">
        <v>28</v>
      </c>
      <c r="C339" s="1635" t="str">
        <f>VLOOKUP(D339,'DS CN MOI UP'!$B$10:$C$347,2,0)</f>
        <v>02613</v>
      </c>
      <c r="D339" s="1185" t="s">
        <v>233</v>
      </c>
      <c r="E339" s="1474"/>
      <c r="F339" s="1474"/>
      <c r="G339" s="1474"/>
      <c r="H339" s="1474"/>
      <c r="I339" s="1474"/>
      <c r="J339" s="1474"/>
      <c r="K339" s="1474"/>
      <c r="L339" s="1474"/>
      <c r="M339" s="1474"/>
      <c r="N339" s="1462"/>
      <c r="O339" s="1462"/>
      <c r="P339" s="1462"/>
      <c r="Q339" s="1462"/>
      <c r="R339" s="1462"/>
      <c r="S339" s="1462"/>
      <c r="T339" s="1462"/>
      <c r="U339" s="1462"/>
      <c r="V339" s="1462"/>
      <c r="W339" s="1462"/>
      <c r="X339" s="1462"/>
      <c r="Y339" s="1462"/>
      <c r="Z339" s="1462"/>
      <c r="AA339" s="1462"/>
      <c r="AB339" s="1462"/>
      <c r="AC339" s="1462"/>
      <c r="AD339" s="1462"/>
      <c r="AE339" s="1462"/>
      <c r="AF339" s="1462"/>
      <c r="AG339" s="1462"/>
      <c r="AH339" s="1462"/>
      <c r="AI339" s="1462"/>
      <c r="AJ339" s="1465">
        <f t="shared" si="19"/>
        <v>0</v>
      </c>
      <c r="AK339" s="1465">
        <f t="shared" si="22"/>
        <v>0</v>
      </c>
      <c r="AL339" s="1466"/>
    </row>
    <row r="340" spans="1:38" s="156" customFormat="1" ht="19.149999999999999" customHeight="1" outlineLevel="1">
      <c r="A340" s="1182">
        <v>324</v>
      </c>
      <c r="B340" s="1182">
        <v>29</v>
      </c>
      <c r="C340" s="1635" t="str">
        <f>VLOOKUP(D340,'DS CN MOI UP'!$B$10:$C$347,2,0)</f>
        <v>03386</v>
      </c>
      <c r="D340" s="1185" t="s">
        <v>234</v>
      </c>
      <c r="E340" s="1474"/>
      <c r="F340" s="1474"/>
      <c r="G340" s="1474"/>
      <c r="H340" s="1474"/>
      <c r="I340" s="1474"/>
      <c r="J340" s="1474"/>
      <c r="K340" s="1474"/>
      <c r="L340" s="1474"/>
      <c r="M340" s="1474"/>
      <c r="N340" s="1462"/>
      <c r="O340" s="1462"/>
      <c r="P340" s="1462"/>
      <c r="Q340" s="1462"/>
      <c r="R340" s="1462"/>
      <c r="S340" s="1462"/>
      <c r="T340" s="1462"/>
      <c r="U340" s="1462"/>
      <c r="V340" s="1462"/>
      <c r="W340" s="1462"/>
      <c r="X340" s="1462"/>
      <c r="Y340" s="1462"/>
      <c r="Z340" s="1462"/>
      <c r="AA340" s="1462"/>
      <c r="AB340" s="1462"/>
      <c r="AC340" s="1462"/>
      <c r="AD340" s="1462"/>
      <c r="AE340" s="1462"/>
      <c r="AF340" s="1462"/>
      <c r="AG340" s="1462"/>
      <c r="AH340" s="1462"/>
      <c r="AI340" s="1462"/>
      <c r="AJ340" s="1465">
        <f t="shared" si="19"/>
        <v>0</v>
      </c>
      <c r="AK340" s="1465">
        <f t="shared" si="22"/>
        <v>0</v>
      </c>
      <c r="AL340" s="1466"/>
    </row>
    <row r="341" spans="1:38" s="156" customFormat="1" ht="19.149999999999999" customHeight="1" outlineLevel="1">
      <c r="A341" s="1182">
        <v>325</v>
      </c>
      <c r="B341" s="1182">
        <v>30</v>
      </c>
      <c r="C341" s="1635" t="str">
        <f>VLOOKUP(D341,'DS CN MOI UP'!$B$10:$C$347,2,0)</f>
        <v>03387</v>
      </c>
      <c r="D341" s="1185" t="s">
        <v>235</v>
      </c>
      <c r="E341" s="1474"/>
      <c r="F341" s="1474"/>
      <c r="G341" s="1474"/>
      <c r="H341" s="1474"/>
      <c r="I341" s="1474"/>
      <c r="J341" s="1474"/>
      <c r="K341" s="1474"/>
      <c r="L341" s="1474"/>
      <c r="M341" s="1474"/>
      <c r="N341" s="1462"/>
      <c r="O341" s="1462"/>
      <c r="P341" s="1462"/>
      <c r="Q341" s="1462"/>
      <c r="R341" s="1462"/>
      <c r="S341" s="1462"/>
      <c r="T341" s="1462"/>
      <c r="U341" s="1462"/>
      <c r="V341" s="1462"/>
      <c r="W341" s="1462"/>
      <c r="X341" s="1462"/>
      <c r="Y341" s="1462"/>
      <c r="Z341" s="1462"/>
      <c r="AA341" s="1462"/>
      <c r="AB341" s="1462"/>
      <c r="AC341" s="1462"/>
      <c r="AD341" s="1462"/>
      <c r="AE341" s="1462"/>
      <c r="AF341" s="1462"/>
      <c r="AG341" s="1462"/>
      <c r="AH341" s="1462"/>
      <c r="AI341" s="1462"/>
      <c r="AJ341" s="1465">
        <f t="shared" si="19"/>
        <v>0</v>
      </c>
      <c r="AK341" s="1465">
        <f t="shared" si="22"/>
        <v>0</v>
      </c>
      <c r="AL341" s="1466"/>
    </row>
    <row r="342" spans="1:38" s="156" customFormat="1" ht="19.149999999999999" customHeight="1" outlineLevel="1">
      <c r="A342" s="1182">
        <v>326</v>
      </c>
      <c r="B342" s="1182">
        <v>31</v>
      </c>
      <c r="C342" s="1635" t="str">
        <f>VLOOKUP(D342,'DS CN MOI UP'!$B$10:$C$347,2,0)</f>
        <v>03388</v>
      </c>
      <c r="D342" s="1185" t="s">
        <v>236</v>
      </c>
      <c r="E342" s="1474"/>
      <c r="F342" s="1474"/>
      <c r="G342" s="1474"/>
      <c r="H342" s="1474"/>
      <c r="I342" s="1474"/>
      <c r="J342" s="1474"/>
      <c r="K342" s="1474"/>
      <c r="L342" s="1474"/>
      <c r="M342" s="1474"/>
      <c r="N342" s="1462"/>
      <c r="O342" s="1462"/>
      <c r="P342" s="1462"/>
      <c r="Q342" s="1462"/>
      <c r="R342" s="1462"/>
      <c r="S342" s="1462"/>
      <c r="T342" s="1462"/>
      <c r="U342" s="1462"/>
      <c r="V342" s="1462"/>
      <c r="W342" s="1462"/>
      <c r="X342" s="1462"/>
      <c r="Y342" s="1462"/>
      <c r="Z342" s="1462"/>
      <c r="AA342" s="1462"/>
      <c r="AB342" s="1462"/>
      <c r="AC342" s="1462"/>
      <c r="AD342" s="1462"/>
      <c r="AE342" s="1462"/>
      <c r="AF342" s="1462"/>
      <c r="AG342" s="1462"/>
      <c r="AH342" s="1462"/>
      <c r="AI342" s="1462"/>
      <c r="AJ342" s="1465">
        <f t="shared" si="19"/>
        <v>0</v>
      </c>
      <c r="AK342" s="1465">
        <f t="shared" si="22"/>
        <v>0</v>
      </c>
      <c r="AL342" s="1466"/>
    </row>
    <row r="343" spans="1:38" s="156" customFormat="1" ht="19.149999999999999" customHeight="1" outlineLevel="1">
      <c r="A343" s="1182">
        <v>327</v>
      </c>
      <c r="B343" s="1182">
        <v>32</v>
      </c>
      <c r="C343" s="1635" t="str">
        <f>VLOOKUP(D343,'DS CN MOI UP'!$B$10:$C$347,2,0)</f>
        <v>03389</v>
      </c>
      <c r="D343" s="1185" t="s">
        <v>237</v>
      </c>
      <c r="E343" s="1474"/>
      <c r="F343" s="1474"/>
      <c r="G343" s="1474"/>
      <c r="H343" s="1474"/>
      <c r="I343" s="1474"/>
      <c r="J343" s="1474"/>
      <c r="K343" s="1474"/>
      <c r="L343" s="1474"/>
      <c r="M343" s="1474"/>
      <c r="N343" s="1462"/>
      <c r="O343" s="1462"/>
      <c r="P343" s="1462"/>
      <c r="Q343" s="1462"/>
      <c r="R343" s="1462"/>
      <c r="S343" s="1462"/>
      <c r="T343" s="1462"/>
      <c r="U343" s="1462"/>
      <c r="V343" s="1462"/>
      <c r="W343" s="1462"/>
      <c r="X343" s="1462"/>
      <c r="Y343" s="1462"/>
      <c r="Z343" s="1462"/>
      <c r="AA343" s="1462"/>
      <c r="AB343" s="1462"/>
      <c r="AC343" s="1462"/>
      <c r="AD343" s="1462"/>
      <c r="AE343" s="1462"/>
      <c r="AF343" s="1462"/>
      <c r="AG343" s="1462"/>
      <c r="AH343" s="1462"/>
      <c r="AI343" s="1462"/>
      <c r="AJ343" s="1465">
        <f t="shared" si="19"/>
        <v>0</v>
      </c>
      <c r="AK343" s="1465">
        <f t="shared" si="22"/>
        <v>0</v>
      </c>
      <c r="AL343" s="1466"/>
    </row>
    <row r="344" spans="1:38" s="156" customFormat="1" ht="19.149999999999999" customHeight="1" outlineLevel="1">
      <c r="A344" s="1182">
        <v>328</v>
      </c>
      <c r="B344" s="1182">
        <v>33</v>
      </c>
      <c r="C344" s="1635" t="str">
        <f>VLOOKUP(D344,'DS CN MOI UP'!$B$10:$C$347,2,0)</f>
        <v>03390</v>
      </c>
      <c r="D344" s="1185" t="s">
        <v>238</v>
      </c>
      <c r="E344" s="1474"/>
      <c r="F344" s="1474"/>
      <c r="G344" s="1474"/>
      <c r="H344" s="1474"/>
      <c r="I344" s="1474"/>
      <c r="J344" s="1474"/>
      <c r="K344" s="1474"/>
      <c r="L344" s="1474"/>
      <c r="M344" s="1474"/>
      <c r="N344" s="1462"/>
      <c r="O344" s="1462"/>
      <c r="P344" s="1462"/>
      <c r="Q344" s="1462"/>
      <c r="R344" s="1462"/>
      <c r="S344" s="1462"/>
      <c r="T344" s="1462"/>
      <c r="U344" s="1462"/>
      <c r="V344" s="1462"/>
      <c r="W344" s="1462"/>
      <c r="X344" s="1462"/>
      <c r="Y344" s="1462"/>
      <c r="Z344" s="1462"/>
      <c r="AA344" s="1462"/>
      <c r="AB344" s="1462"/>
      <c r="AC344" s="1462"/>
      <c r="AD344" s="1462"/>
      <c r="AE344" s="1462"/>
      <c r="AF344" s="1462"/>
      <c r="AG344" s="1462"/>
      <c r="AH344" s="1462"/>
      <c r="AI344" s="1462"/>
      <c r="AJ344" s="1465">
        <f t="shared" si="19"/>
        <v>0</v>
      </c>
      <c r="AK344" s="1465">
        <f t="shared" si="22"/>
        <v>0</v>
      </c>
      <c r="AL344" s="1466"/>
    </row>
    <row r="345" spans="1:38" s="156" customFormat="1" ht="19.149999999999999" customHeight="1" outlineLevel="1">
      <c r="A345" s="1182">
        <v>329</v>
      </c>
      <c r="B345" s="1182">
        <v>34</v>
      </c>
      <c r="C345" s="1635" t="str">
        <f>VLOOKUP(D345,'DS CN MOI UP'!$B$10:$C$347,2,0)</f>
        <v>03391</v>
      </c>
      <c r="D345" s="1185" t="s">
        <v>239</v>
      </c>
      <c r="E345" s="1474"/>
      <c r="F345" s="1474"/>
      <c r="G345" s="1474"/>
      <c r="H345" s="1474"/>
      <c r="I345" s="1474"/>
      <c r="J345" s="1474"/>
      <c r="K345" s="1474"/>
      <c r="L345" s="1474"/>
      <c r="M345" s="1474"/>
      <c r="N345" s="1462"/>
      <c r="O345" s="1462"/>
      <c r="P345" s="1462"/>
      <c r="Q345" s="1462"/>
      <c r="R345" s="1462"/>
      <c r="S345" s="1462"/>
      <c r="T345" s="1462"/>
      <c r="U345" s="1462"/>
      <c r="V345" s="1462"/>
      <c r="W345" s="1462"/>
      <c r="X345" s="1462"/>
      <c r="Y345" s="1462"/>
      <c r="Z345" s="1462"/>
      <c r="AA345" s="1462"/>
      <c r="AB345" s="1462"/>
      <c r="AC345" s="1462"/>
      <c r="AD345" s="1462"/>
      <c r="AE345" s="1462"/>
      <c r="AF345" s="1462"/>
      <c r="AG345" s="1462"/>
      <c r="AH345" s="1462"/>
      <c r="AI345" s="1462"/>
      <c r="AJ345" s="1465">
        <f t="shared" si="19"/>
        <v>0</v>
      </c>
      <c r="AK345" s="1465">
        <f t="shared" si="22"/>
        <v>0</v>
      </c>
      <c r="AL345" s="1466"/>
    </row>
    <row r="346" spans="1:38" s="156" customFormat="1" ht="19.149999999999999" customHeight="1" outlineLevel="1">
      <c r="A346" s="1182">
        <v>330</v>
      </c>
      <c r="B346" s="1182">
        <v>35</v>
      </c>
      <c r="C346" s="1635" t="str">
        <f>VLOOKUP(D346,'DS CN MOI UP'!$B$10:$C$347,2,0)</f>
        <v>02589</v>
      </c>
      <c r="D346" s="1185" t="s">
        <v>240</v>
      </c>
      <c r="E346" s="1474"/>
      <c r="F346" s="1474"/>
      <c r="G346" s="1474"/>
      <c r="H346" s="1474"/>
      <c r="I346" s="1474"/>
      <c r="J346" s="1474"/>
      <c r="K346" s="1474"/>
      <c r="L346" s="1474"/>
      <c r="M346" s="1474"/>
      <c r="N346" s="1462"/>
      <c r="O346" s="1462"/>
      <c r="P346" s="1462"/>
      <c r="Q346" s="1462"/>
      <c r="R346" s="1462"/>
      <c r="S346" s="1462"/>
      <c r="T346" s="1462"/>
      <c r="U346" s="1462"/>
      <c r="V346" s="1462"/>
      <c r="W346" s="1462"/>
      <c r="X346" s="1462"/>
      <c r="Y346" s="1462"/>
      <c r="Z346" s="1462"/>
      <c r="AA346" s="1462"/>
      <c r="AB346" s="1462"/>
      <c r="AC346" s="1462"/>
      <c r="AD346" s="1462"/>
      <c r="AE346" s="1462"/>
      <c r="AF346" s="1462"/>
      <c r="AG346" s="1462"/>
      <c r="AH346" s="1462"/>
      <c r="AI346" s="1462"/>
      <c r="AJ346" s="1465">
        <f t="shared" si="19"/>
        <v>0</v>
      </c>
      <c r="AK346" s="1465">
        <f t="shared" si="22"/>
        <v>0</v>
      </c>
      <c r="AL346" s="1466"/>
    </row>
    <row r="347" spans="1:38" s="156" customFormat="1" ht="19.149999999999999" customHeight="1" outlineLevel="1">
      <c r="A347" s="1182">
        <v>331</v>
      </c>
      <c r="B347" s="1182">
        <v>36</v>
      </c>
      <c r="C347" s="1635" t="str">
        <f>VLOOKUP(D347,'DS CN MOI UP'!$B$10:$C$347,2,0)</f>
        <v>03392</v>
      </c>
      <c r="D347" s="1185" t="s">
        <v>241</v>
      </c>
      <c r="E347" s="1474"/>
      <c r="F347" s="1474"/>
      <c r="G347" s="1474"/>
      <c r="H347" s="1474"/>
      <c r="I347" s="1474"/>
      <c r="J347" s="1474"/>
      <c r="K347" s="1474"/>
      <c r="L347" s="1474"/>
      <c r="M347" s="1474"/>
      <c r="N347" s="1462"/>
      <c r="O347" s="1462"/>
      <c r="P347" s="1462"/>
      <c r="Q347" s="1462"/>
      <c r="R347" s="1462"/>
      <c r="S347" s="1462"/>
      <c r="T347" s="1462"/>
      <c r="U347" s="1462"/>
      <c r="V347" s="1462"/>
      <c r="W347" s="1462"/>
      <c r="X347" s="1462"/>
      <c r="Y347" s="1462"/>
      <c r="Z347" s="1462"/>
      <c r="AA347" s="1462"/>
      <c r="AB347" s="1462"/>
      <c r="AC347" s="1462"/>
      <c r="AD347" s="1462"/>
      <c r="AE347" s="1462"/>
      <c r="AF347" s="1462"/>
      <c r="AG347" s="1462"/>
      <c r="AH347" s="1462"/>
      <c r="AI347" s="1462"/>
      <c r="AJ347" s="1465">
        <f t="shared" si="19"/>
        <v>0</v>
      </c>
      <c r="AK347" s="1465">
        <f t="shared" si="22"/>
        <v>0</v>
      </c>
      <c r="AL347" s="1466"/>
    </row>
    <row r="348" spans="1:38" s="156" customFormat="1" ht="19.149999999999999" customHeight="1" outlineLevel="1">
      <c r="A348" s="1182">
        <v>332</v>
      </c>
      <c r="B348" s="1182">
        <v>37</v>
      </c>
      <c r="C348" s="1635" t="str">
        <f>VLOOKUP(D348,'DS CN MOI UP'!$B$10:$C$347,2,0)</f>
        <v>03393</v>
      </c>
      <c r="D348" s="1185" t="s">
        <v>242</v>
      </c>
      <c r="E348" s="1474"/>
      <c r="F348" s="1474"/>
      <c r="G348" s="1474"/>
      <c r="H348" s="1474"/>
      <c r="I348" s="1474"/>
      <c r="J348" s="1474"/>
      <c r="K348" s="1474"/>
      <c r="L348" s="1474"/>
      <c r="M348" s="1474"/>
      <c r="N348" s="1462"/>
      <c r="O348" s="1462"/>
      <c r="P348" s="1462"/>
      <c r="Q348" s="1462"/>
      <c r="R348" s="1462"/>
      <c r="S348" s="1462"/>
      <c r="T348" s="1462"/>
      <c r="U348" s="1462"/>
      <c r="V348" s="1462"/>
      <c r="W348" s="1462"/>
      <c r="X348" s="1462"/>
      <c r="Y348" s="1462"/>
      <c r="Z348" s="1462"/>
      <c r="AA348" s="1462"/>
      <c r="AB348" s="1462"/>
      <c r="AC348" s="1462"/>
      <c r="AD348" s="1462"/>
      <c r="AE348" s="1462"/>
      <c r="AF348" s="1462"/>
      <c r="AG348" s="1462"/>
      <c r="AH348" s="1462"/>
      <c r="AI348" s="1462"/>
      <c r="AJ348" s="1465">
        <f t="shared" si="19"/>
        <v>0</v>
      </c>
      <c r="AK348" s="1465">
        <f t="shared" si="22"/>
        <v>0</v>
      </c>
      <c r="AL348" s="1466"/>
    </row>
    <row r="349" spans="1:38" s="156" customFormat="1" ht="19.149999999999999" customHeight="1" outlineLevel="1">
      <c r="A349" s="1182">
        <v>333</v>
      </c>
      <c r="B349" s="1182">
        <v>38</v>
      </c>
      <c r="C349" s="1635" t="str">
        <f>VLOOKUP(D349,'DS CN MOI UP'!$B$10:$C$347,2,0)</f>
        <v>03394</v>
      </c>
      <c r="D349" s="1185" t="s">
        <v>243</v>
      </c>
      <c r="E349" s="1474"/>
      <c r="F349" s="1474"/>
      <c r="G349" s="1474"/>
      <c r="H349" s="1474"/>
      <c r="I349" s="1474"/>
      <c r="J349" s="1474"/>
      <c r="K349" s="1474"/>
      <c r="L349" s="1474"/>
      <c r="M349" s="1474"/>
      <c r="N349" s="1462"/>
      <c r="O349" s="1462"/>
      <c r="P349" s="1462"/>
      <c r="Q349" s="1462"/>
      <c r="R349" s="1462"/>
      <c r="S349" s="1462"/>
      <c r="T349" s="1462"/>
      <c r="U349" s="1462"/>
      <c r="V349" s="1462"/>
      <c r="W349" s="1462"/>
      <c r="X349" s="1462"/>
      <c r="Y349" s="1462"/>
      <c r="Z349" s="1462"/>
      <c r="AA349" s="1462"/>
      <c r="AB349" s="1462"/>
      <c r="AC349" s="1462"/>
      <c r="AD349" s="1462"/>
      <c r="AE349" s="1462"/>
      <c r="AF349" s="1462"/>
      <c r="AG349" s="1462"/>
      <c r="AH349" s="1462"/>
      <c r="AI349" s="1462"/>
      <c r="AJ349" s="1465">
        <f t="shared" si="19"/>
        <v>0</v>
      </c>
      <c r="AK349" s="1465">
        <f t="shared" si="22"/>
        <v>0</v>
      </c>
      <c r="AL349" s="1466"/>
    </row>
    <row r="350" spans="1:38" s="156" customFormat="1" ht="19.149999999999999" customHeight="1" outlineLevel="1">
      <c r="A350" s="1182">
        <v>334</v>
      </c>
      <c r="B350" s="1182">
        <v>39</v>
      </c>
      <c r="C350" s="1635" t="str">
        <f>VLOOKUP(D350,'DS CN MOI UP'!$B$10:$C$347,2,0)</f>
        <v>03395</v>
      </c>
      <c r="D350" s="1185" t="s">
        <v>244</v>
      </c>
      <c r="E350" s="1474"/>
      <c r="F350" s="1474"/>
      <c r="G350" s="1474"/>
      <c r="H350" s="1474"/>
      <c r="I350" s="1474"/>
      <c r="J350" s="1474"/>
      <c r="K350" s="1474"/>
      <c r="L350" s="1474"/>
      <c r="M350" s="1474"/>
      <c r="N350" s="1462"/>
      <c r="O350" s="1462"/>
      <c r="P350" s="1462"/>
      <c r="Q350" s="1462"/>
      <c r="R350" s="1462"/>
      <c r="S350" s="1462"/>
      <c r="T350" s="1462"/>
      <c r="U350" s="1462"/>
      <c r="V350" s="1462"/>
      <c r="W350" s="1462"/>
      <c r="X350" s="1462"/>
      <c r="Y350" s="1462"/>
      <c r="Z350" s="1462"/>
      <c r="AA350" s="1462"/>
      <c r="AB350" s="1462"/>
      <c r="AC350" s="1462"/>
      <c r="AD350" s="1462"/>
      <c r="AE350" s="1462"/>
      <c r="AF350" s="1462"/>
      <c r="AG350" s="1462"/>
      <c r="AH350" s="1462"/>
      <c r="AI350" s="1462"/>
      <c r="AJ350" s="1465">
        <f t="shared" si="19"/>
        <v>0</v>
      </c>
      <c r="AK350" s="1465">
        <f t="shared" si="22"/>
        <v>0</v>
      </c>
      <c r="AL350" s="1466"/>
    </row>
    <row r="351" spans="1:38" s="156" customFormat="1" ht="19.149999999999999" customHeight="1" outlineLevel="1">
      <c r="A351" s="1182">
        <v>335</v>
      </c>
      <c r="B351" s="1182">
        <v>40</v>
      </c>
      <c r="C351" s="1635" t="str">
        <f>VLOOKUP(D351,'DS CN MOI UP'!$B$10:$C$347,2,0)</f>
        <v>03396</v>
      </c>
      <c r="D351" s="1185" t="s">
        <v>245</v>
      </c>
      <c r="E351" s="1474"/>
      <c r="F351" s="1474"/>
      <c r="G351" s="1474"/>
      <c r="H351" s="1474"/>
      <c r="I351" s="1474"/>
      <c r="J351" s="1474"/>
      <c r="K351" s="1474"/>
      <c r="L351" s="1474"/>
      <c r="M351" s="1474"/>
      <c r="N351" s="1462"/>
      <c r="O351" s="1462"/>
      <c r="P351" s="1462"/>
      <c r="Q351" s="1462"/>
      <c r="R351" s="1462"/>
      <c r="S351" s="1462"/>
      <c r="T351" s="1462"/>
      <c r="U351" s="1462"/>
      <c r="V351" s="1462"/>
      <c r="W351" s="1462"/>
      <c r="X351" s="1462"/>
      <c r="Y351" s="1462"/>
      <c r="Z351" s="1462"/>
      <c r="AA351" s="1462"/>
      <c r="AB351" s="1462"/>
      <c r="AC351" s="1462"/>
      <c r="AD351" s="1462"/>
      <c r="AE351" s="1462"/>
      <c r="AF351" s="1462"/>
      <c r="AG351" s="1462"/>
      <c r="AH351" s="1462"/>
      <c r="AI351" s="1462"/>
      <c r="AJ351" s="1465">
        <f t="shared" si="19"/>
        <v>0</v>
      </c>
      <c r="AK351" s="1465">
        <f t="shared" si="22"/>
        <v>0</v>
      </c>
      <c r="AL351" s="1466"/>
    </row>
    <row r="352" spans="1:38" s="156" customFormat="1" ht="19.149999999999999" customHeight="1" outlineLevel="1">
      <c r="A352" s="1182">
        <v>336</v>
      </c>
      <c r="B352" s="1182">
        <v>41</v>
      </c>
      <c r="C352" s="1635" t="str">
        <f>VLOOKUP(D352,'DS CN MOI UP'!$B$10:$C$347,2,0)</f>
        <v>02593</v>
      </c>
      <c r="D352" s="1185" t="s">
        <v>246</v>
      </c>
      <c r="E352" s="1474"/>
      <c r="F352" s="1474"/>
      <c r="G352" s="1474"/>
      <c r="H352" s="1474"/>
      <c r="I352" s="1474"/>
      <c r="J352" s="1474"/>
      <c r="K352" s="1474"/>
      <c r="L352" s="1474"/>
      <c r="M352" s="1474"/>
      <c r="N352" s="1462"/>
      <c r="O352" s="1462"/>
      <c r="P352" s="1462"/>
      <c r="Q352" s="1462"/>
      <c r="R352" s="1462"/>
      <c r="S352" s="1462"/>
      <c r="T352" s="1462"/>
      <c r="U352" s="1462"/>
      <c r="V352" s="1462"/>
      <c r="W352" s="1462"/>
      <c r="X352" s="1462"/>
      <c r="Y352" s="1462"/>
      <c r="Z352" s="1462"/>
      <c r="AA352" s="1462"/>
      <c r="AB352" s="1462"/>
      <c r="AC352" s="1462"/>
      <c r="AD352" s="1462"/>
      <c r="AE352" s="1462"/>
      <c r="AF352" s="1462"/>
      <c r="AG352" s="1462"/>
      <c r="AH352" s="1462"/>
      <c r="AI352" s="1462"/>
      <c r="AJ352" s="1465">
        <f t="shared" si="19"/>
        <v>0</v>
      </c>
      <c r="AK352" s="1465">
        <f t="shared" si="22"/>
        <v>0</v>
      </c>
      <c r="AL352" s="1466"/>
    </row>
    <row r="353" spans="1:39" s="156" customFormat="1" ht="19.149999999999999" customHeight="1" outlineLevel="1">
      <c r="A353" s="1182">
        <v>337</v>
      </c>
      <c r="B353" s="1182">
        <v>42</v>
      </c>
      <c r="C353" s="1635" t="str">
        <f>VLOOKUP(D353,'DS CN MOI UP'!$B$10:$C$347,2,0)</f>
        <v>02696</v>
      </c>
      <c r="D353" s="1185" t="s">
        <v>247</v>
      </c>
      <c r="E353" s="1474"/>
      <c r="F353" s="1474"/>
      <c r="G353" s="1474"/>
      <c r="H353" s="1474"/>
      <c r="I353" s="1474"/>
      <c r="J353" s="1474"/>
      <c r="K353" s="1474"/>
      <c r="L353" s="1474"/>
      <c r="M353" s="1474"/>
      <c r="N353" s="1462"/>
      <c r="O353" s="1462"/>
      <c r="P353" s="1462"/>
      <c r="Q353" s="1462"/>
      <c r="R353" s="1462"/>
      <c r="S353" s="1462"/>
      <c r="T353" s="1462"/>
      <c r="U353" s="1462"/>
      <c r="V353" s="1462"/>
      <c r="W353" s="1462"/>
      <c r="X353" s="1462"/>
      <c r="Y353" s="1462"/>
      <c r="Z353" s="1462"/>
      <c r="AA353" s="1462"/>
      <c r="AB353" s="1462"/>
      <c r="AC353" s="1462"/>
      <c r="AD353" s="1462"/>
      <c r="AE353" s="1462"/>
      <c r="AF353" s="1462"/>
      <c r="AG353" s="1462"/>
      <c r="AH353" s="1462"/>
      <c r="AI353" s="1462"/>
      <c r="AJ353" s="1465">
        <f t="shared" si="19"/>
        <v>0</v>
      </c>
      <c r="AK353" s="1465">
        <f t="shared" si="22"/>
        <v>0</v>
      </c>
      <c r="AL353" s="1466"/>
    </row>
    <row r="354" spans="1:39" s="156" customFormat="1" ht="19.149999999999999" customHeight="1" outlineLevel="1">
      <c r="A354" s="1182">
        <v>338</v>
      </c>
      <c r="B354" s="1182">
        <v>43</v>
      </c>
      <c r="C354" s="1635" t="str">
        <f>VLOOKUP(D354,'DS CN MOI UP'!$B$10:$C$347,2,0)</f>
        <v>03397</v>
      </c>
      <c r="D354" s="1185" t="s">
        <v>248</v>
      </c>
      <c r="E354" s="1474"/>
      <c r="F354" s="1474"/>
      <c r="G354" s="1474"/>
      <c r="H354" s="1474"/>
      <c r="I354" s="1474"/>
      <c r="J354" s="1474"/>
      <c r="K354" s="1474"/>
      <c r="L354" s="1474"/>
      <c r="M354" s="1474"/>
      <c r="N354" s="1462"/>
      <c r="O354" s="1462"/>
      <c r="P354" s="1462"/>
      <c r="Q354" s="1462"/>
      <c r="R354" s="1462"/>
      <c r="S354" s="1462"/>
      <c r="T354" s="1462"/>
      <c r="U354" s="1462"/>
      <c r="V354" s="1462"/>
      <c r="W354" s="1462"/>
      <c r="X354" s="1462"/>
      <c r="Y354" s="1462"/>
      <c r="Z354" s="1462"/>
      <c r="AA354" s="1462"/>
      <c r="AB354" s="1462"/>
      <c r="AC354" s="1462"/>
      <c r="AD354" s="1462"/>
      <c r="AE354" s="1462"/>
      <c r="AF354" s="1462"/>
      <c r="AG354" s="1462"/>
      <c r="AH354" s="1462"/>
      <c r="AI354" s="1462"/>
      <c r="AJ354" s="1465">
        <f t="shared" si="19"/>
        <v>0</v>
      </c>
      <c r="AK354" s="1465">
        <f t="shared" si="22"/>
        <v>0</v>
      </c>
      <c r="AL354" s="1466"/>
    </row>
    <row r="355" spans="1:39" s="156" customFormat="1" ht="19.149999999999999" customHeight="1" outlineLevel="1">
      <c r="A355" s="1182">
        <v>339</v>
      </c>
      <c r="B355" s="1182">
        <v>44</v>
      </c>
      <c r="C355" s="1635" t="str">
        <f>VLOOKUP(D355,'DS CN MOI UP'!$B$10:$C$347,2,0)</f>
        <v>03398</v>
      </c>
      <c r="D355" s="1185" t="s">
        <v>249</v>
      </c>
      <c r="E355" s="1474"/>
      <c r="F355" s="1474"/>
      <c r="G355" s="1474"/>
      <c r="H355" s="1474"/>
      <c r="I355" s="1474"/>
      <c r="J355" s="1474"/>
      <c r="K355" s="1474"/>
      <c r="L355" s="1474"/>
      <c r="M355" s="1474"/>
      <c r="N355" s="1462"/>
      <c r="O355" s="1462"/>
      <c r="P355" s="1462"/>
      <c r="Q355" s="1462"/>
      <c r="R355" s="1462"/>
      <c r="S355" s="1462"/>
      <c r="T355" s="1462"/>
      <c r="U355" s="1462"/>
      <c r="V355" s="1462"/>
      <c r="W355" s="1462"/>
      <c r="X355" s="1462"/>
      <c r="Y355" s="1462"/>
      <c r="Z355" s="1462"/>
      <c r="AA355" s="1462"/>
      <c r="AB355" s="1462"/>
      <c r="AC355" s="1462"/>
      <c r="AD355" s="1462"/>
      <c r="AE355" s="1462"/>
      <c r="AF355" s="1462"/>
      <c r="AG355" s="1462"/>
      <c r="AH355" s="1462"/>
      <c r="AI355" s="1462"/>
      <c r="AJ355" s="1465">
        <f t="shared" ref="AJ355:AJ383" si="23">SUM(E355:AI355)</f>
        <v>0</v>
      </c>
      <c r="AK355" s="1465">
        <f t="shared" si="22"/>
        <v>0</v>
      </c>
      <c r="AL355" s="1466"/>
    </row>
    <row r="356" spans="1:39" s="156" customFormat="1" ht="19.149999999999999" customHeight="1" outlineLevel="1">
      <c r="A356" s="1182">
        <v>340</v>
      </c>
      <c r="B356" s="1182">
        <v>45</v>
      </c>
      <c r="C356" s="1635" t="str">
        <f>VLOOKUP(D356,'DS CN MOI UP'!$B$10:$C$347,2,0)</f>
        <v>02592</v>
      </c>
      <c r="D356" s="1185" t="s">
        <v>250</v>
      </c>
      <c r="E356" s="1474"/>
      <c r="F356" s="1474"/>
      <c r="G356" s="1474"/>
      <c r="H356" s="1474"/>
      <c r="I356" s="1474"/>
      <c r="J356" s="1474"/>
      <c r="K356" s="1474"/>
      <c r="L356" s="1474"/>
      <c r="M356" s="1474"/>
      <c r="N356" s="1462"/>
      <c r="O356" s="1462"/>
      <c r="P356" s="1462"/>
      <c r="Q356" s="1462"/>
      <c r="R356" s="1462"/>
      <c r="S356" s="1462"/>
      <c r="T356" s="1462"/>
      <c r="U356" s="1462"/>
      <c r="V356" s="1462"/>
      <c r="W356" s="1462"/>
      <c r="X356" s="1462"/>
      <c r="Y356" s="1462"/>
      <c r="Z356" s="1462"/>
      <c r="AA356" s="1462"/>
      <c r="AB356" s="1462"/>
      <c r="AC356" s="1462"/>
      <c r="AD356" s="1462"/>
      <c r="AE356" s="1462"/>
      <c r="AF356" s="1462"/>
      <c r="AG356" s="1462"/>
      <c r="AH356" s="1462"/>
      <c r="AI356" s="1462"/>
      <c r="AJ356" s="1465">
        <f t="shared" si="23"/>
        <v>0</v>
      </c>
      <c r="AK356" s="1465">
        <f t="shared" si="22"/>
        <v>0</v>
      </c>
      <c r="AL356" s="1466"/>
    </row>
    <row r="357" spans="1:39" s="1232" customFormat="1" ht="19.149999999999999" customHeight="1" outlineLevel="1">
      <c r="A357" s="1182">
        <v>341</v>
      </c>
      <c r="B357" s="1182">
        <v>46</v>
      </c>
      <c r="C357" s="1635" t="str">
        <f>VLOOKUP(D357,'DS CN MOI UP'!$B$10:$C$347,2,0)</f>
        <v>02598</v>
      </c>
      <c r="D357" s="1185" t="s">
        <v>251</v>
      </c>
      <c r="E357" s="1474"/>
      <c r="F357" s="1474"/>
      <c r="G357" s="1474"/>
      <c r="H357" s="1474"/>
      <c r="I357" s="1474"/>
      <c r="J357" s="1474"/>
      <c r="K357" s="1474"/>
      <c r="L357" s="1474"/>
      <c r="M357" s="1474"/>
      <c r="N357" s="1462"/>
      <c r="O357" s="1462"/>
      <c r="P357" s="1462"/>
      <c r="Q357" s="1462"/>
      <c r="R357" s="1462"/>
      <c r="S357" s="1462"/>
      <c r="T357" s="1462"/>
      <c r="U357" s="1462"/>
      <c r="V357" s="1462"/>
      <c r="W357" s="1462"/>
      <c r="X357" s="1462"/>
      <c r="Y357" s="1462"/>
      <c r="Z357" s="1462"/>
      <c r="AA357" s="1462"/>
      <c r="AB357" s="1462"/>
      <c r="AC357" s="1462"/>
      <c r="AD357" s="1462"/>
      <c r="AE357" s="1462"/>
      <c r="AF357" s="1462"/>
      <c r="AG357" s="1462"/>
      <c r="AH357" s="1462"/>
      <c r="AI357" s="1462"/>
      <c r="AJ357" s="1465">
        <f t="shared" si="23"/>
        <v>0</v>
      </c>
      <c r="AK357" s="1465">
        <f t="shared" si="22"/>
        <v>0</v>
      </c>
      <c r="AL357" s="1466"/>
      <c r="AM357" s="156"/>
    </row>
    <row r="358" spans="1:39" s="156" customFormat="1" ht="19.149999999999999" customHeight="1" outlineLevel="1">
      <c r="A358" s="1182">
        <v>342</v>
      </c>
      <c r="B358" s="1182">
        <v>47</v>
      </c>
      <c r="C358" s="1635" t="str">
        <f>VLOOKUP(D358,'DS CN MOI UP'!$B$10:$C$347,2,0)</f>
        <v>02575</v>
      </c>
      <c r="D358" s="1185" t="s">
        <v>252</v>
      </c>
      <c r="E358" s="1474"/>
      <c r="F358" s="1474"/>
      <c r="G358" s="1474"/>
      <c r="H358" s="1474"/>
      <c r="I358" s="1474"/>
      <c r="J358" s="1474"/>
      <c r="K358" s="1474"/>
      <c r="L358" s="1474"/>
      <c r="M358" s="1474"/>
      <c r="N358" s="1462"/>
      <c r="O358" s="1462"/>
      <c r="P358" s="1462"/>
      <c r="Q358" s="1462"/>
      <c r="R358" s="1462"/>
      <c r="S358" s="1462"/>
      <c r="T358" s="1462"/>
      <c r="U358" s="1462"/>
      <c r="V358" s="1462"/>
      <c r="W358" s="1462"/>
      <c r="X358" s="1462"/>
      <c r="Y358" s="1462"/>
      <c r="Z358" s="1462"/>
      <c r="AA358" s="1462"/>
      <c r="AB358" s="1462"/>
      <c r="AC358" s="1462"/>
      <c r="AD358" s="1462"/>
      <c r="AE358" s="1462"/>
      <c r="AF358" s="1462"/>
      <c r="AG358" s="1462"/>
      <c r="AH358" s="1462"/>
      <c r="AI358" s="1462"/>
      <c r="AJ358" s="1465">
        <f t="shared" si="23"/>
        <v>0</v>
      </c>
      <c r="AK358" s="1465">
        <f t="shared" si="22"/>
        <v>0</v>
      </c>
      <c r="AL358" s="1466"/>
    </row>
    <row r="359" spans="1:39" s="156" customFormat="1" ht="19.149999999999999" customHeight="1" outlineLevel="1">
      <c r="A359" s="1182">
        <v>343</v>
      </c>
      <c r="B359" s="1182">
        <v>48</v>
      </c>
      <c r="C359" s="1635" t="str">
        <f>VLOOKUP(D359,'DS CN MOI UP'!$B$10:$C$347,2,0)</f>
        <v>02606</v>
      </c>
      <c r="D359" s="1185" t="s">
        <v>253</v>
      </c>
      <c r="E359" s="1474"/>
      <c r="F359" s="1474"/>
      <c r="G359" s="1474"/>
      <c r="H359" s="1474"/>
      <c r="I359" s="1474"/>
      <c r="J359" s="1474"/>
      <c r="K359" s="1474"/>
      <c r="L359" s="1474"/>
      <c r="M359" s="1474"/>
      <c r="N359" s="1462"/>
      <c r="O359" s="1462"/>
      <c r="P359" s="1462"/>
      <c r="Q359" s="1462"/>
      <c r="R359" s="1462"/>
      <c r="S359" s="1462"/>
      <c r="T359" s="1462"/>
      <c r="U359" s="1462"/>
      <c r="V359" s="1462"/>
      <c r="W359" s="1462"/>
      <c r="X359" s="1462"/>
      <c r="Y359" s="1462"/>
      <c r="Z359" s="1462"/>
      <c r="AA359" s="1462"/>
      <c r="AB359" s="1462"/>
      <c r="AC359" s="1462"/>
      <c r="AD359" s="1462"/>
      <c r="AE359" s="1462"/>
      <c r="AF359" s="1462"/>
      <c r="AG359" s="1462"/>
      <c r="AH359" s="1462"/>
      <c r="AI359" s="1462"/>
      <c r="AJ359" s="1465">
        <f t="shared" si="23"/>
        <v>0</v>
      </c>
      <c r="AK359" s="1465">
        <f t="shared" si="22"/>
        <v>0</v>
      </c>
      <c r="AL359" s="1466"/>
    </row>
    <row r="360" spans="1:39" s="156" customFormat="1" ht="19.149999999999999" customHeight="1" outlineLevel="1">
      <c r="A360" s="1182">
        <v>344</v>
      </c>
      <c r="B360" s="1182">
        <v>49</v>
      </c>
      <c r="C360" s="1635" t="str">
        <f>VLOOKUP(D360,'DS CN MOI UP'!$B$10:$C$347,2,0)</f>
        <v>02607</v>
      </c>
      <c r="D360" s="1185" t="s">
        <v>254</v>
      </c>
      <c r="E360" s="1474"/>
      <c r="F360" s="1474"/>
      <c r="G360" s="1474"/>
      <c r="H360" s="1474"/>
      <c r="I360" s="1474"/>
      <c r="J360" s="1474"/>
      <c r="K360" s="1474"/>
      <c r="L360" s="1474"/>
      <c r="M360" s="1474"/>
      <c r="N360" s="1462"/>
      <c r="O360" s="1462"/>
      <c r="P360" s="1462"/>
      <c r="Q360" s="1462"/>
      <c r="R360" s="1462"/>
      <c r="S360" s="1462"/>
      <c r="T360" s="1462"/>
      <c r="U360" s="1462"/>
      <c r="V360" s="1462"/>
      <c r="W360" s="1462"/>
      <c r="X360" s="1462"/>
      <c r="Y360" s="1462"/>
      <c r="Z360" s="1462"/>
      <c r="AA360" s="1462"/>
      <c r="AB360" s="1462"/>
      <c r="AC360" s="1462"/>
      <c r="AD360" s="1462"/>
      <c r="AE360" s="1462"/>
      <c r="AF360" s="1462"/>
      <c r="AG360" s="1462"/>
      <c r="AH360" s="1462"/>
      <c r="AI360" s="1462"/>
      <c r="AJ360" s="1465">
        <f t="shared" si="23"/>
        <v>0</v>
      </c>
      <c r="AK360" s="1465">
        <f t="shared" si="22"/>
        <v>0</v>
      </c>
      <c r="AL360" s="1466"/>
    </row>
    <row r="361" spans="1:39" s="156" customFormat="1" ht="19.149999999999999" customHeight="1" outlineLevel="1">
      <c r="A361" s="1182">
        <v>345</v>
      </c>
      <c r="B361" s="1182">
        <v>50</v>
      </c>
      <c r="C361" s="1635" t="str">
        <f>VLOOKUP(D361,'DS CN MOI UP'!$B$10:$C$347,2,0)</f>
        <v>02612</v>
      </c>
      <c r="D361" s="1185" t="s">
        <v>255</v>
      </c>
      <c r="E361" s="1474"/>
      <c r="F361" s="1474"/>
      <c r="G361" s="1474"/>
      <c r="H361" s="1474"/>
      <c r="I361" s="1474"/>
      <c r="J361" s="1474"/>
      <c r="K361" s="1474"/>
      <c r="L361" s="1474"/>
      <c r="M361" s="1474"/>
      <c r="N361" s="1462"/>
      <c r="O361" s="1462"/>
      <c r="P361" s="1462"/>
      <c r="Q361" s="1462"/>
      <c r="R361" s="1462"/>
      <c r="S361" s="1462"/>
      <c r="T361" s="1462"/>
      <c r="U361" s="1462"/>
      <c r="V361" s="1462"/>
      <c r="W361" s="1462"/>
      <c r="X361" s="1462"/>
      <c r="Y361" s="1462"/>
      <c r="Z361" s="1462"/>
      <c r="AA361" s="1462"/>
      <c r="AB361" s="1462"/>
      <c r="AC361" s="1462"/>
      <c r="AD361" s="1462"/>
      <c r="AE361" s="1462"/>
      <c r="AF361" s="1462"/>
      <c r="AG361" s="1462"/>
      <c r="AH361" s="1462"/>
      <c r="AI361" s="1462"/>
      <c r="AJ361" s="1465">
        <f t="shared" si="23"/>
        <v>0</v>
      </c>
      <c r="AK361" s="1465">
        <f t="shared" si="22"/>
        <v>0</v>
      </c>
      <c r="AL361" s="1466"/>
    </row>
    <row r="362" spans="1:39" s="156" customFormat="1" ht="19.149999999999999" customHeight="1" outlineLevel="1">
      <c r="A362" s="1182">
        <v>346</v>
      </c>
      <c r="B362" s="1182">
        <v>51</v>
      </c>
      <c r="C362" s="1635" t="str">
        <f>VLOOKUP(D362,'DS CN MOI UP'!$B$10:$C$347,2,0)</f>
        <v>02574</v>
      </c>
      <c r="D362" s="1185" t="s">
        <v>256</v>
      </c>
      <c r="E362" s="1474"/>
      <c r="F362" s="1474"/>
      <c r="G362" s="1474"/>
      <c r="H362" s="1474"/>
      <c r="I362" s="1474"/>
      <c r="J362" s="1474"/>
      <c r="K362" s="1474"/>
      <c r="L362" s="1474"/>
      <c r="M362" s="1474"/>
      <c r="N362" s="1462"/>
      <c r="O362" s="1462"/>
      <c r="P362" s="1462"/>
      <c r="Q362" s="1462"/>
      <c r="R362" s="1462"/>
      <c r="S362" s="1462"/>
      <c r="T362" s="1462"/>
      <c r="U362" s="1462"/>
      <c r="V362" s="1462"/>
      <c r="W362" s="1462"/>
      <c r="X362" s="1462"/>
      <c r="Y362" s="1462"/>
      <c r="Z362" s="1462"/>
      <c r="AA362" s="1462"/>
      <c r="AB362" s="1462"/>
      <c r="AC362" s="1462"/>
      <c r="AD362" s="1462"/>
      <c r="AE362" s="1462"/>
      <c r="AF362" s="1462"/>
      <c r="AG362" s="1462"/>
      <c r="AH362" s="1462"/>
      <c r="AI362" s="1462"/>
      <c r="AJ362" s="1465">
        <f t="shared" si="23"/>
        <v>0</v>
      </c>
      <c r="AK362" s="1465">
        <f t="shared" si="22"/>
        <v>0</v>
      </c>
      <c r="AL362" s="1466"/>
    </row>
    <row r="363" spans="1:39" s="156" customFormat="1" ht="19.149999999999999" customHeight="1" outlineLevel="1">
      <c r="A363" s="1182">
        <v>347</v>
      </c>
      <c r="B363" s="1182">
        <v>52</v>
      </c>
      <c r="C363" s="1635" t="str">
        <f>VLOOKUP(D363,'DS CN MOI UP'!$B$10:$C$347,2,0)</f>
        <v>02577</v>
      </c>
      <c r="D363" s="1185" t="s">
        <v>257</v>
      </c>
      <c r="E363" s="1474"/>
      <c r="F363" s="1474"/>
      <c r="G363" s="1474"/>
      <c r="H363" s="1474"/>
      <c r="I363" s="1474"/>
      <c r="J363" s="1474"/>
      <c r="K363" s="1474"/>
      <c r="L363" s="1474"/>
      <c r="M363" s="1474"/>
      <c r="N363" s="1462"/>
      <c r="O363" s="1462"/>
      <c r="P363" s="1462"/>
      <c r="Q363" s="1462"/>
      <c r="R363" s="1462"/>
      <c r="S363" s="1462"/>
      <c r="T363" s="1462"/>
      <c r="U363" s="1462"/>
      <c r="V363" s="1462"/>
      <c r="W363" s="1462"/>
      <c r="X363" s="1462"/>
      <c r="Y363" s="1462"/>
      <c r="Z363" s="1462"/>
      <c r="AA363" s="1462"/>
      <c r="AB363" s="1462"/>
      <c r="AC363" s="1462"/>
      <c r="AD363" s="1462"/>
      <c r="AE363" s="1462"/>
      <c r="AF363" s="1462"/>
      <c r="AG363" s="1462"/>
      <c r="AH363" s="1462"/>
      <c r="AI363" s="1462"/>
      <c r="AJ363" s="1465">
        <f t="shared" si="23"/>
        <v>0</v>
      </c>
      <c r="AK363" s="1465">
        <f t="shared" si="22"/>
        <v>0</v>
      </c>
      <c r="AL363" s="1466"/>
    </row>
    <row r="364" spans="1:39" s="156" customFormat="1" ht="19.149999999999999" customHeight="1" outlineLevel="1">
      <c r="A364" s="1182">
        <v>348</v>
      </c>
      <c r="B364" s="1182">
        <v>53</v>
      </c>
      <c r="C364" s="1635" t="str">
        <f>VLOOKUP(D364,'DS CN MOI UP'!$B$10:$C$347,2,0)</f>
        <v>02605</v>
      </c>
      <c r="D364" s="1185" t="s">
        <v>258</v>
      </c>
      <c r="E364" s="1474"/>
      <c r="F364" s="1474"/>
      <c r="G364" s="1474"/>
      <c r="H364" s="1474"/>
      <c r="I364" s="1474"/>
      <c r="J364" s="1474"/>
      <c r="K364" s="1474"/>
      <c r="L364" s="1474"/>
      <c r="M364" s="1474"/>
      <c r="N364" s="1462"/>
      <c r="O364" s="1462"/>
      <c r="P364" s="1462"/>
      <c r="Q364" s="1462"/>
      <c r="R364" s="1462"/>
      <c r="S364" s="1462"/>
      <c r="T364" s="1462"/>
      <c r="U364" s="1462"/>
      <c r="V364" s="1462"/>
      <c r="W364" s="1462"/>
      <c r="X364" s="1462"/>
      <c r="Y364" s="1462"/>
      <c r="Z364" s="1462"/>
      <c r="AA364" s="1462"/>
      <c r="AB364" s="1462"/>
      <c r="AC364" s="1462"/>
      <c r="AD364" s="1462"/>
      <c r="AE364" s="1462"/>
      <c r="AF364" s="1462"/>
      <c r="AG364" s="1462"/>
      <c r="AH364" s="1462"/>
      <c r="AI364" s="1462"/>
      <c r="AJ364" s="1465">
        <f t="shared" si="23"/>
        <v>0</v>
      </c>
      <c r="AK364" s="1465">
        <f t="shared" si="22"/>
        <v>0</v>
      </c>
      <c r="AL364" s="1466"/>
    </row>
    <row r="365" spans="1:39" s="156" customFormat="1" ht="19.149999999999999" customHeight="1" outlineLevel="1">
      <c r="A365" s="1182">
        <v>349</v>
      </c>
      <c r="B365" s="1182">
        <v>54</v>
      </c>
      <c r="C365" s="1635" t="str">
        <f>VLOOKUP(D365,'DS CN MOI UP'!$B$10:$C$347,2,0)</f>
        <v>02588</v>
      </c>
      <c r="D365" s="1185" t="s">
        <v>259</v>
      </c>
      <c r="E365" s="1474"/>
      <c r="F365" s="1474"/>
      <c r="G365" s="1474"/>
      <c r="H365" s="1474"/>
      <c r="I365" s="1474"/>
      <c r="J365" s="1474"/>
      <c r="K365" s="1474"/>
      <c r="L365" s="1474"/>
      <c r="M365" s="1474"/>
      <c r="N365" s="1462"/>
      <c r="O365" s="1462"/>
      <c r="P365" s="1462"/>
      <c r="Q365" s="1462"/>
      <c r="R365" s="1462"/>
      <c r="S365" s="1462"/>
      <c r="T365" s="1462"/>
      <c r="U365" s="1462"/>
      <c r="V365" s="1462"/>
      <c r="W365" s="1462"/>
      <c r="X365" s="1462"/>
      <c r="Y365" s="1462"/>
      <c r="Z365" s="1462"/>
      <c r="AA365" s="1462"/>
      <c r="AB365" s="1462"/>
      <c r="AC365" s="1462"/>
      <c r="AD365" s="1462"/>
      <c r="AE365" s="1462"/>
      <c r="AF365" s="1462"/>
      <c r="AG365" s="1462"/>
      <c r="AH365" s="1462"/>
      <c r="AI365" s="1462"/>
      <c r="AJ365" s="1465">
        <f t="shared" si="23"/>
        <v>0</v>
      </c>
      <c r="AK365" s="1465">
        <f t="shared" si="22"/>
        <v>0</v>
      </c>
      <c r="AL365" s="1466"/>
    </row>
    <row r="366" spans="1:39" s="156" customFormat="1" ht="19.149999999999999" customHeight="1" outlineLevel="1">
      <c r="A366" s="1182">
        <v>350</v>
      </c>
      <c r="B366" s="1182">
        <v>55</v>
      </c>
      <c r="C366" s="1635" t="str">
        <f>VLOOKUP(D366,'DS CN MOI UP'!$B$10:$C$347,2,0)</f>
        <v>03857</v>
      </c>
      <c r="D366" s="1185" t="s">
        <v>260</v>
      </c>
      <c r="E366" s="1474"/>
      <c r="F366" s="1474"/>
      <c r="G366" s="1474"/>
      <c r="H366" s="1474"/>
      <c r="I366" s="1474"/>
      <c r="J366" s="1474"/>
      <c r="K366" s="1474"/>
      <c r="L366" s="1474"/>
      <c r="M366" s="1474"/>
      <c r="N366" s="1462"/>
      <c r="O366" s="1462"/>
      <c r="P366" s="1462"/>
      <c r="Q366" s="1462"/>
      <c r="R366" s="1462"/>
      <c r="S366" s="1462"/>
      <c r="T366" s="1462"/>
      <c r="U366" s="1462"/>
      <c r="V366" s="1462"/>
      <c r="W366" s="1462"/>
      <c r="X366" s="1462"/>
      <c r="Y366" s="1462"/>
      <c r="Z366" s="1462"/>
      <c r="AA366" s="1462"/>
      <c r="AB366" s="1462"/>
      <c r="AC366" s="1462"/>
      <c r="AD366" s="1462"/>
      <c r="AE366" s="1462"/>
      <c r="AF366" s="1462"/>
      <c r="AG366" s="1462"/>
      <c r="AH366" s="1462"/>
      <c r="AI366" s="1462"/>
      <c r="AJ366" s="1465">
        <f t="shared" si="23"/>
        <v>0</v>
      </c>
      <c r="AK366" s="1465">
        <f t="shared" si="22"/>
        <v>0</v>
      </c>
      <c r="AL366" s="1466"/>
    </row>
    <row r="367" spans="1:39" s="156" customFormat="1" ht="19.149999999999999" customHeight="1" outlineLevel="1">
      <c r="A367" s="1182">
        <v>351</v>
      </c>
      <c r="B367" s="1182">
        <v>56</v>
      </c>
      <c r="C367" s="1635" t="str">
        <f>VLOOKUP(D367,'DS CN MOI UP'!$B$10:$C$347,2,0)</f>
        <v>02597</v>
      </c>
      <c r="D367" s="1185" t="s">
        <v>261</v>
      </c>
      <c r="E367" s="1474"/>
      <c r="F367" s="1474"/>
      <c r="G367" s="1474"/>
      <c r="H367" s="1474"/>
      <c r="I367" s="1474"/>
      <c r="J367" s="1474"/>
      <c r="K367" s="1474"/>
      <c r="L367" s="1474"/>
      <c r="M367" s="1474"/>
      <c r="N367" s="1462"/>
      <c r="O367" s="1462"/>
      <c r="P367" s="1462"/>
      <c r="Q367" s="1462"/>
      <c r="R367" s="1462"/>
      <c r="S367" s="1462"/>
      <c r="T367" s="1462"/>
      <c r="U367" s="1462"/>
      <c r="V367" s="1462"/>
      <c r="W367" s="1462"/>
      <c r="X367" s="1462"/>
      <c r="Y367" s="1462"/>
      <c r="Z367" s="1462"/>
      <c r="AA367" s="1462"/>
      <c r="AB367" s="1462"/>
      <c r="AC367" s="1462"/>
      <c r="AD367" s="1462"/>
      <c r="AE367" s="1462"/>
      <c r="AF367" s="1462"/>
      <c r="AG367" s="1462"/>
      <c r="AH367" s="1462"/>
      <c r="AI367" s="1462"/>
      <c r="AJ367" s="1465">
        <f t="shared" si="23"/>
        <v>0</v>
      </c>
      <c r="AK367" s="1465">
        <f t="shared" si="22"/>
        <v>0</v>
      </c>
      <c r="AL367" s="1466"/>
    </row>
    <row r="368" spans="1:39" s="156" customFormat="1" ht="19.149999999999999" customHeight="1" outlineLevel="1">
      <c r="A368" s="1182">
        <v>352</v>
      </c>
      <c r="B368" s="1182">
        <v>57</v>
      </c>
      <c r="C368" s="1635" t="str">
        <f>VLOOKUP(D368,'DS CN MOI UP'!$B$10:$C$347,2,0)</f>
        <v>02590</v>
      </c>
      <c r="D368" s="1185" t="s">
        <v>262</v>
      </c>
      <c r="E368" s="1474"/>
      <c r="F368" s="1474"/>
      <c r="G368" s="1474"/>
      <c r="H368" s="1474"/>
      <c r="I368" s="1474"/>
      <c r="J368" s="1474"/>
      <c r="K368" s="1474"/>
      <c r="L368" s="1474"/>
      <c r="M368" s="1474"/>
      <c r="N368" s="1462"/>
      <c r="O368" s="1462"/>
      <c r="P368" s="1462"/>
      <c r="Q368" s="1462"/>
      <c r="R368" s="1462"/>
      <c r="S368" s="1462"/>
      <c r="T368" s="1462"/>
      <c r="U368" s="1462"/>
      <c r="V368" s="1462"/>
      <c r="W368" s="1462"/>
      <c r="X368" s="1462"/>
      <c r="Y368" s="1462"/>
      <c r="Z368" s="1462"/>
      <c r="AA368" s="1462"/>
      <c r="AB368" s="1462"/>
      <c r="AC368" s="1462"/>
      <c r="AD368" s="1462"/>
      <c r="AE368" s="1462"/>
      <c r="AF368" s="1462"/>
      <c r="AG368" s="1462"/>
      <c r="AH368" s="1462"/>
      <c r="AI368" s="1462"/>
      <c r="AJ368" s="1465">
        <f t="shared" si="23"/>
        <v>0</v>
      </c>
      <c r="AK368" s="1465">
        <f t="shared" si="22"/>
        <v>0</v>
      </c>
      <c r="AL368" s="1466"/>
    </row>
    <row r="369" spans="1:39" s="156" customFormat="1" ht="19.149999999999999" customHeight="1" outlineLevel="1">
      <c r="A369" s="1182">
        <v>353</v>
      </c>
      <c r="B369" s="1182">
        <v>58</v>
      </c>
      <c r="C369" s="1635" t="str">
        <f>VLOOKUP(D369,'DS CN MOI UP'!$B$10:$C$347,2,0)</f>
        <v>02585</v>
      </c>
      <c r="D369" s="1185" t="s">
        <v>263</v>
      </c>
      <c r="E369" s="1474"/>
      <c r="F369" s="1474"/>
      <c r="G369" s="1474"/>
      <c r="H369" s="1474"/>
      <c r="I369" s="1474"/>
      <c r="J369" s="1474"/>
      <c r="K369" s="1474"/>
      <c r="L369" s="1474"/>
      <c r="M369" s="1474"/>
      <c r="N369" s="1462"/>
      <c r="O369" s="1462"/>
      <c r="P369" s="1462"/>
      <c r="Q369" s="1462"/>
      <c r="R369" s="1462"/>
      <c r="S369" s="1462"/>
      <c r="T369" s="1462"/>
      <c r="U369" s="1462"/>
      <c r="V369" s="1462"/>
      <c r="W369" s="1462"/>
      <c r="X369" s="1462"/>
      <c r="Y369" s="1462"/>
      <c r="Z369" s="1462"/>
      <c r="AA369" s="1462"/>
      <c r="AB369" s="1462"/>
      <c r="AC369" s="1462"/>
      <c r="AD369" s="1462"/>
      <c r="AE369" s="1462"/>
      <c r="AF369" s="1462"/>
      <c r="AG369" s="1462"/>
      <c r="AH369" s="1462"/>
      <c r="AI369" s="1462"/>
      <c r="AJ369" s="1465">
        <f t="shared" si="23"/>
        <v>0</v>
      </c>
      <c r="AK369" s="1465">
        <f t="shared" si="22"/>
        <v>0</v>
      </c>
      <c r="AL369" s="1466"/>
    </row>
    <row r="370" spans="1:39" s="156" customFormat="1" ht="19.149999999999999" customHeight="1" outlineLevel="1">
      <c r="A370" s="1182">
        <v>354</v>
      </c>
      <c r="B370" s="1182">
        <v>59</v>
      </c>
      <c r="C370" s="1635" t="str">
        <f>VLOOKUP(D370,'DS CN MOI UP'!$B$10:$C$347,2,0)</f>
        <v>03399</v>
      </c>
      <c r="D370" s="1185" t="s">
        <v>264</v>
      </c>
      <c r="E370" s="1474"/>
      <c r="F370" s="1474"/>
      <c r="G370" s="1474"/>
      <c r="H370" s="1474"/>
      <c r="I370" s="1474"/>
      <c r="J370" s="1474"/>
      <c r="K370" s="1474"/>
      <c r="L370" s="1474"/>
      <c r="M370" s="1474"/>
      <c r="N370" s="1462"/>
      <c r="O370" s="1462"/>
      <c r="P370" s="1462"/>
      <c r="Q370" s="1462"/>
      <c r="R370" s="1462"/>
      <c r="S370" s="1462"/>
      <c r="T370" s="1462"/>
      <c r="U370" s="1462"/>
      <c r="V370" s="1462"/>
      <c r="W370" s="1462"/>
      <c r="X370" s="1462"/>
      <c r="Y370" s="1462"/>
      <c r="Z370" s="1462"/>
      <c r="AA370" s="1462"/>
      <c r="AB370" s="1462"/>
      <c r="AC370" s="1462"/>
      <c r="AD370" s="1462"/>
      <c r="AE370" s="1462"/>
      <c r="AF370" s="1462"/>
      <c r="AG370" s="1462"/>
      <c r="AH370" s="1462"/>
      <c r="AI370" s="1462"/>
      <c r="AJ370" s="1465">
        <f t="shared" si="23"/>
        <v>0</v>
      </c>
      <c r="AK370" s="1465">
        <f t="shared" si="22"/>
        <v>0</v>
      </c>
      <c r="AL370" s="1466"/>
    </row>
    <row r="371" spans="1:39" s="156" customFormat="1" ht="19.149999999999999" customHeight="1" outlineLevel="1">
      <c r="A371" s="1182">
        <v>355</v>
      </c>
      <c r="B371" s="1182">
        <v>60</v>
      </c>
      <c r="C371" s="1635" t="str">
        <f>VLOOKUP(D371,'DS CN MOI UP'!$B$10:$C$347,2,0)</f>
        <v>02584</v>
      </c>
      <c r="D371" s="1185" t="s">
        <v>265</v>
      </c>
      <c r="E371" s="1474"/>
      <c r="F371" s="1474"/>
      <c r="G371" s="1474"/>
      <c r="H371" s="1474"/>
      <c r="I371" s="1474"/>
      <c r="J371" s="1474"/>
      <c r="K371" s="1474"/>
      <c r="L371" s="1474"/>
      <c r="M371" s="1474"/>
      <c r="N371" s="1462"/>
      <c r="O371" s="1462"/>
      <c r="P371" s="1462"/>
      <c r="Q371" s="1462"/>
      <c r="R371" s="1462"/>
      <c r="S371" s="1462"/>
      <c r="T371" s="1462"/>
      <c r="U371" s="1462"/>
      <c r="V371" s="1462"/>
      <c r="W371" s="1462"/>
      <c r="X371" s="1462"/>
      <c r="Y371" s="1462"/>
      <c r="Z371" s="1462"/>
      <c r="AA371" s="1462"/>
      <c r="AB371" s="1462"/>
      <c r="AC371" s="1462"/>
      <c r="AD371" s="1462"/>
      <c r="AE371" s="1462"/>
      <c r="AF371" s="1462"/>
      <c r="AG371" s="1462"/>
      <c r="AH371" s="1462"/>
      <c r="AI371" s="1462"/>
      <c r="AJ371" s="1465">
        <f t="shared" si="23"/>
        <v>0</v>
      </c>
      <c r="AK371" s="1465">
        <f t="shared" si="22"/>
        <v>0</v>
      </c>
      <c r="AL371" s="1466"/>
    </row>
    <row r="372" spans="1:39" s="156" customFormat="1" ht="19.149999999999999" customHeight="1" outlineLevel="1">
      <c r="A372" s="1182">
        <v>356</v>
      </c>
      <c r="B372" s="1182">
        <v>61</v>
      </c>
      <c r="C372" s="1635" t="str">
        <f>VLOOKUP(D372,'DS CN MOI UP'!$B$10:$C$347,2,0)</f>
        <v>02698</v>
      </c>
      <c r="D372" s="1185" t="s">
        <v>266</v>
      </c>
      <c r="E372" s="1474"/>
      <c r="F372" s="1474"/>
      <c r="G372" s="1474"/>
      <c r="H372" s="1474"/>
      <c r="I372" s="1474"/>
      <c r="J372" s="1474"/>
      <c r="K372" s="1474"/>
      <c r="L372" s="1474"/>
      <c r="M372" s="1474"/>
      <c r="N372" s="1462"/>
      <c r="O372" s="1462"/>
      <c r="P372" s="1462"/>
      <c r="Q372" s="1462"/>
      <c r="R372" s="1462"/>
      <c r="S372" s="1462"/>
      <c r="T372" s="1462"/>
      <c r="U372" s="1462"/>
      <c r="V372" s="1462"/>
      <c r="W372" s="1462"/>
      <c r="X372" s="1462"/>
      <c r="Y372" s="1462"/>
      <c r="Z372" s="1462"/>
      <c r="AA372" s="1462"/>
      <c r="AB372" s="1462"/>
      <c r="AC372" s="1462"/>
      <c r="AD372" s="1462"/>
      <c r="AE372" s="1462"/>
      <c r="AF372" s="1462"/>
      <c r="AG372" s="1462"/>
      <c r="AH372" s="1462"/>
      <c r="AI372" s="1462"/>
      <c r="AJ372" s="1465">
        <f t="shared" si="23"/>
        <v>0</v>
      </c>
      <c r="AK372" s="1465">
        <f t="shared" si="22"/>
        <v>0</v>
      </c>
      <c r="AL372" s="1466"/>
    </row>
    <row r="373" spans="1:39" s="156" customFormat="1" ht="19.149999999999999" customHeight="1" outlineLevel="1">
      <c r="A373" s="1182">
        <v>357</v>
      </c>
      <c r="B373" s="1182">
        <v>62</v>
      </c>
      <c r="C373" s="1635" t="str">
        <f>VLOOKUP(D373,'DS CN MOI UP'!$B$10:$C$347,2,0)</f>
        <v>03858</v>
      </c>
      <c r="D373" s="1185" t="s">
        <v>267</v>
      </c>
      <c r="E373" s="1474"/>
      <c r="F373" s="1474"/>
      <c r="G373" s="1474"/>
      <c r="H373" s="1474"/>
      <c r="I373" s="1474"/>
      <c r="J373" s="1474"/>
      <c r="K373" s="1474"/>
      <c r="L373" s="1474"/>
      <c r="M373" s="1474"/>
      <c r="N373" s="1462"/>
      <c r="O373" s="1462"/>
      <c r="P373" s="1462"/>
      <c r="Q373" s="1462"/>
      <c r="R373" s="1462"/>
      <c r="S373" s="1462"/>
      <c r="T373" s="1462"/>
      <c r="U373" s="1462"/>
      <c r="V373" s="1462"/>
      <c r="W373" s="1462"/>
      <c r="X373" s="1462"/>
      <c r="Y373" s="1462"/>
      <c r="Z373" s="1462"/>
      <c r="AA373" s="1462"/>
      <c r="AB373" s="1462"/>
      <c r="AC373" s="1462"/>
      <c r="AD373" s="1462"/>
      <c r="AE373" s="1462"/>
      <c r="AF373" s="1462"/>
      <c r="AG373" s="1462"/>
      <c r="AH373" s="1462"/>
      <c r="AI373" s="1462"/>
      <c r="AJ373" s="1465">
        <f t="shared" si="23"/>
        <v>0</v>
      </c>
      <c r="AK373" s="1465">
        <f t="shared" si="22"/>
        <v>0</v>
      </c>
      <c r="AL373" s="1466"/>
    </row>
    <row r="374" spans="1:39" s="156" customFormat="1" ht="19.149999999999999" customHeight="1" outlineLevel="1">
      <c r="A374" s="1182">
        <v>358</v>
      </c>
      <c r="B374" s="1182">
        <v>63</v>
      </c>
      <c r="C374" s="1635" t="str">
        <f>VLOOKUP(D374,'DS CN MOI UP'!$B$10:$C$347,2,0)</f>
        <v>02591</v>
      </c>
      <c r="D374" s="1185" t="s">
        <v>268</v>
      </c>
      <c r="E374" s="1474"/>
      <c r="F374" s="1474"/>
      <c r="G374" s="1474"/>
      <c r="H374" s="1474"/>
      <c r="I374" s="1474"/>
      <c r="J374" s="1474"/>
      <c r="K374" s="1474"/>
      <c r="L374" s="1474"/>
      <c r="M374" s="1474"/>
      <c r="N374" s="1462"/>
      <c r="O374" s="1462"/>
      <c r="P374" s="1462"/>
      <c r="Q374" s="1462"/>
      <c r="R374" s="1462"/>
      <c r="S374" s="1462"/>
      <c r="T374" s="1462"/>
      <c r="U374" s="1462"/>
      <c r="V374" s="1462"/>
      <c r="W374" s="1462"/>
      <c r="X374" s="1462"/>
      <c r="Y374" s="1462"/>
      <c r="Z374" s="1462"/>
      <c r="AA374" s="1462"/>
      <c r="AB374" s="1462"/>
      <c r="AC374" s="1462"/>
      <c r="AD374" s="1462"/>
      <c r="AE374" s="1462"/>
      <c r="AF374" s="1462"/>
      <c r="AG374" s="1462"/>
      <c r="AH374" s="1462"/>
      <c r="AI374" s="1462"/>
      <c r="AJ374" s="1465">
        <f t="shared" si="23"/>
        <v>0</v>
      </c>
      <c r="AK374" s="1465">
        <f t="shared" si="22"/>
        <v>0</v>
      </c>
      <c r="AL374" s="1466"/>
    </row>
    <row r="375" spans="1:39" s="156" customFormat="1" ht="19.149999999999999" customHeight="1" outlineLevel="1">
      <c r="A375" s="1182">
        <v>359</v>
      </c>
      <c r="B375" s="1182">
        <v>64</v>
      </c>
      <c r="C375" s="1635" t="str">
        <f>VLOOKUP(D375,'DS CN MOI UP'!$B$10:$C$347,2,0)</f>
        <v>02595</v>
      </c>
      <c r="D375" s="1185" t="s">
        <v>269</v>
      </c>
      <c r="E375" s="1474"/>
      <c r="F375" s="1474"/>
      <c r="G375" s="1474"/>
      <c r="H375" s="1474"/>
      <c r="I375" s="1474"/>
      <c r="J375" s="1474"/>
      <c r="K375" s="1474"/>
      <c r="L375" s="1474"/>
      <c r="M375" s="1474"/>
      <c r="N375" s="1462"/>
      <c r="O375" s="1462"/>
      <c r="P375" s="1462"/>
      <c r="Q375" s="1462"/>
      <c r="R375" s="1462"/>
      <c r="S375" s="1462"/>
      <c r="T375" s="1462"/>
      <c r="U375" s="1462"/>
      <c r="V375" s="1462"/>
      <c r="W375" s="1462"/>
      <c r="X375" s="1462"/>
      <c r="Y375" s="1462"/>
      <c r="Z375" s="1462"/>
      <c r="AA375" s="1462"/>
      <c r="AB375" s="1462"/>
      <c r="AC375" s="1462"/>
      <c r="AD375" s="1462"/>
      <c r="AE375" s="1462"/>
      <c r="AF375" s="1462"/>
      <c r="AG375" s="1462"/>
      <c r="AH375" s="1462"/>
      <c r="AI375" s="1462"/>
      <c r="AJ375" s="1465">
        <f t="shared" si="23"/>
        <v>0</v>
      </c>
      <c r="AK375" s="1465">
        <f t="shared" si="22"/>
        <v>0</v>
      </c>
      <c r="AL375" s="1466"/>
    </row>
    <row r="376" spans="1:39" s="156" customFormat="1" ht="19.149999999999999" customHeight="1" outlineLevel="1">
      <c r="A376" s="1182">
        <v>360</v>
      </c>
      <c r="B376" s="1182">
        <v>65</v>
      </c>
      <c r="C376" s="1635" t="str">
        <f>VLOOKUP(D376,'DS CN MOI UP'!$B$10:$C$347,2,0)</f>
        <v>02582</v>
      </c>
      <c r="D376" s="1185" t="s">
        <v>270</v>
      </c>
      <c r="E376" s="1474"/>
      <c r="F376" s="1474"/>
      <c r="G376" s="1474"/>
      <c r="H376" s="1474"/>
      <c r="I376" s="1474"/>
      <c r="J376" s="1474"/>
      <c r="K376" s="1474"/>
      <c r="L376" s="1474"/>
      <c r="M376" s="1474"/>
      <c r="N376" s="1462"/>
      <c r="O376" s="1462"/>
      <c r="P376" s="1462"/>
      <c r="Q376" s="1462"/>
      <c r="R376" s="1462"/>
      <c r="S376" s="1462"/>
      <c r="T376" s="1462"/>
      <c r="U376" s="1462"/>
      <c r="V376" s="1462"/>
      <c r="W376" s="1462"/>
      <c r="X376" s="1462"/>
      <c r="Y376" s="1462"/>
      <c r="Z376" s="1462"/>
      <c r="AA376" s="1462"/>
      <c r="AB376" s="1462"/>
      <c r="AC376" s="1462"/>
      <c r="AD376" s="1462"/>
      <c r="AE376" s="1462"/>
      <c r="AF376" s="1462"/>
      <c r="AG376" s="1462"/>
      <c r="AH376" s="1462"/>
      <c r="AI376" s="1462"/>
      <c r="AJ376" s="1465">
        <f t="shared" si="23"/>
        <v>0</v>
      </c>
      <c r="AK376" s="1465">
        <f t="shared" si="22"/>
        <v>0</v>
      </c>
      <c r="AL376" s="1466"/>
    </row>
    <row r="377" spans="1:39" s="156" customFormat="1" ht="19.149999999999999" customHeight="1" outlineLevel="1">
      <c r="A377" s="1182">
        <v>361</v>
      </c>
      <c r="B377" s="1182">
        <v>66</v>
      </c>
      <c r="C377" s="1635" t="str">
        <f>VLOOKUP(D377,'DS CN MOI UP'!$B$10:$C$347,2,0)</f>
        <v>02572</v>
      </c>
      <c r="D377" s="1185" t="s">
        <v>271</v>
      </c>
      <c r="E377" s="1474"/>
      <c r="F377" s="1474"/>
      <c r="G377" s="1474"/>
      <c r="H377" s="1474"/>
      <c r="I377" s="1474"/>
      <c r="J377" s="1474"/>
      <c r="K377" s="1474"/>
      <c r="L377" s="1474"/>
      <c r="M377" s="1474"/>
      <c r="N377" s="1462"/>
      <c r="O377" s="1462"/>
      <c r="P377" s="1462"/>
      <c r="Q377" s="1462"/>
      <c r="R377" s="1462"/>
      <c r="S377" s="1462"/>
      <c r="T377" s="1462"/>
      <c r="U377" s="1462"/>
      <c r="V377" s="1462"/>
      <c r="W377" s="1462"/>
      <c r="X377" s="1462"/>
      <c r="Y377" s="1462"/>
      <c r="Z377" s="1462"/>
      <c r="AA377" s="1462"/>
      <c r="AB377" s="1462"/>
      <c r="AC377" s="1462"/>
      <c r="AD377" s="1462"/>
      <c r="AE377" s="1462"/>
      <c r="AF377" s="1462"/>
      <c r="AG377" s="1462"/>
      <c r="AH377" s="1462"/>
      <c r="AI377" s="1462"/>
      <c r="AJ377" s="1465">
        <f t="shared" si="23"/>
        <v>0</v>
      </c>
      <c r="AK377" s="1465">
        <f t="shared" si="22"/>
        <v>0</v>
      </c>
      <c r="AL377" s="1466"/>
    </row>
    <row r="378" spans="1:39" s="156" customFormat="1" ht="19.149999999999999" customHeight="1" outlineLevel="1">
      <c r="A378" s="1182">
        <v>362</v>
      </c>
      <c r="B378" s="1182">
        <v>67</v>
      </c>
      <c r="C378" s="1635" t="str">
        <f>VLOOKUP(D378,'DS CN MOI UP'!$B$10:$C$347,2,0)</f>
        <v>02694</v>
      </c>
      <c r="D378" s="1185" t="s">
        <v>272</v>
      </c>
      <c r="E378" s="1474"/>
      <c r="F378" s="1474"/>
      <c r="G378" s="1474"/>
      <c r="H378" s="1474"/>
      <c r="I378" s="1474"/>
      <c r="J378" s="1474"/>
      <c r="K378" s="1474"/>
      <c r="L378" s="1474"/>
      <c r="M378" s="1474"/>
      <c r="N378" s="1462"/>
      <c r="O378" s="1462"/>
      <c r="P378" s="1462"/>
      <c r="Q378" s="1462"/>
      <c r="R378" s="1462"/>
      <c r="S378" s="1462"/>
      <c r="T378" s="1462"/>
      <c r="U378" s="1462"/>
      <c r="V378" s="1462"/>
      <c r="W378" s="1462"/>
      <c r="X378" s="1462"/>
      <c r="Y378" s="1462"/>
      <c r="Z378" s="1462"/>
      <c r="AA378" s="1462"/>
      <c r="AB378" s="1462"/>
      <c r="AC378" s="1462"/>
      <c r="AD378" s="1462"/>
      <c r="AE378" s="1462"/>
      <c r="AF378" s="1462"/>
      <c r="AG378" s="1462"/>
      <c r="AH378" s="1462"/>
      <c r="AI378" s="1462"/>
      <c r="AJ378" s="1465">
        <f t="shared" si="23"/>
        <v>0</v>
      </c>
      <c r="AK378" s="1465">
        <f t="shared" si="22"/>
        <v>0</v>
      </c>
      <c r="AL378" s="1466"/>
    </row>
    <row r="379" spans="1:39" s="156" customFormat="1" ht="19.149999999999999" customHeight="1" outlineLevel="1">
      <c r="A379" s="1182">
        <v>363</v>
      </c>
      <c r="B379" s="1182">
        <v>68</v>
      </c>
      <c r="C379" s="1635" t="str">
        <f>VLOOKUP(D379,'DS CN MOI UP'!$B$10:$C$347,2,0)</f>
        <v>02699</v>
      </c>
      <c r="D379" s="1185" t="s">
        <v>273</v>
      </c>
      <c r="E379" s="1474"/>
      <c r="F379" s="1474"/>
      <c r="G379" s="1474"/>
      <c r="H379" s="1474"/>
      <c r="I379" s="1474"/>
      <c r="J379" s="1474"/>
      <c r="K379" s="1474"/>
      <c r="L379" s="1474"/>
      <c r="M379" s="1474"/>
      <c r="N379" s="1462"/>
      <c r="O379" s="1462"/>
      <c r="P379" s="1462"/>
      <c r="Q379" s="1462"/>
      <c r="R379" s="1462"/>
      <c r="S379" s="1462"/>
      <c r="T379" s="1462"/>
      <c r="U379" s="1462"/>
      <c r="V379" s="1462"/>
      <c r="W379" s="1462"/>
      <c r="X379" s="1462"/>
      <c r="Y379" s="1462"/>
      <c r="Z379" s="1462"/>
      <c r="AA379" s="1462"/>
      <c r="AB379" s="1462"/>
      <c r="AC379" s="1462"/>
      <c r="AD379" s="1462"/>
      <c r="AE379" s="1462"/>
      <c r="AF379" s="1462"/>
      <c r="AG379" s="1462"/>
      <c r="AH379" s="1462"/>
      <c r="AI379" s="1462"/>
      <c r="AJ379" s="1465">
        <f t="shared" si="23"/>
        <v>0</v>
      </c>
      <c r="AK379" s="1465">
        <f t="shared" si="22"/>
        <v>0</v>
      </c>
      <c r="AL379" s="1466"/>
    </row>
    <row r="380" spans="1:39" s="156" customFormat="1" ht="19.149999999999999" customHeight="1" outlineLevel="1">
      <c r="A380" s="1182">
        <v>364</v>
      </c>
      <c r="B380" s="1182">
        <v>69</v>
      </c>
      <c r="C380" s="1635" t="str">
        <f>VLOOKUP(D380,'DS CN MOI UP'!$B$10:$C$347,2,0)</f>
        <v>03400</v>
      </c>
      <c r="D380" s="1185" t="s">
        <v>274</v>
      </c>
      <c r="E380" s="1474"/>
      <c r="F380" s="1474"/>
      <c r="G380" s="1474"/>
      <c r="H380" s="1474"/>
      <c r="I380" s="1474"/>
      <c r="J380" s="1474"/>
      <c r="K380" s="1474"/>
      <c r="L380" s="1474"/>
      <c r="M380" s="1474"/>
      <c r="N380" s="1462"/>
      <c r="O380" s="1462"/>
      <c r="P380" s="1462"/>
      <c r="Q380" s="1462"/>
      <c r="R380" s="1462"/>
      <c r="S380" s="1462"/>
      <c r="T380" s="1462"/>
      <c r="U380" s="1462"/>
      <c r="V380" s="1462"/>
      <c r="W380" s="1462"/>
      <c r="X380" s="1462"/>
      <c r="Y380" s="1462"/>
      <c r="Z380" s="1462"/>
      <c r="AA380" s="1462"/>
      <c r="AB380" s="1462"/>
      <c r="AC380" s="1462"/>
      <c r="AD380" s="1462"/>
      <c r="AE380" s="1462"/>
      <c r="AF380" s="1462"/>
      <c r="AG380" s="1462"/>
      <c r="AH380" s="1462"/>
      <c r="AI380" s="1462"/>
      <c r="AJ380" s="1465">
        <f t="shared" si="23"/>
        <v>0</v>
      </c>
      <c r="AK380" s="1465">
        <f t="shared" si="22"/>
        <v>0</v>
      </c>
      <c r="AL380" s="1466"/>
    </row>
    <row r="381" spans="1:39" s="156" customFormat="1" ht="19.149999999999999" customHeight="1" outlineLevel="1">
      <c r="A381" s="1182">
        <v>365</v>
      </c>
      <c r="B381" s="1182">
        <v>69</v>
      </c>
      <c r="C381" s="1182" t="e">
        <f>VLOOKUP(D381,'DS CN MOI UP'!$B$10:$C$347,2,0)</f>
        <v>#N/A</v>
      </c>
      <c r="D381" s="1185" t="s">
        <v>510</v>
      </c>
      <c r="E381" s="1474"/>
      <c r="F381" s="1474"/>
      <c r="G381" s="1474"/>
      <c r="H381" s="1474"/>
      <c r="I381" s="1474"/>
      <c r="J381" s="1474"/>
      <c r="K381" s="1474"/>
      <c r="L381" s="1474"/>
      <c r="M381" s="1474"/>
      <c r="N381" s="1462"/>
      <c r="O381" s="1462"/>
      <c r="P381" s="1462"/>
      <c r="Q381" s="1462"/>
      <c r="R381" s="1462"/>
      <c r="S381" s="1462"/>
      <c r="T381" s="1462"/>
      <c r="U381" s="1462"/>
      <c r="V381" s="1462"/>
      <c r="W381" s="1462"/>
      <c r="X381" s="1462"/>
      <c r="Y381" s="1462"/>
      <c r="Z381" s="1462"/>
      <c r="AA381" s="1462"/>
      <c r="AB381" s="1462"/>
      <c r="AC381" s="1462"/>
      <c r="AD381" s="1462"/>
      <c r="AE381" s="1462"/>
      <c r="AF381" s="1462"/>
      <c r="AG381" s="1462"/>
      <c r="AH381" s="1462"/>
      <c r="AI381" s="1462"/>
      <c r="AJ381" s="1465">
        <f t="shared" si="23"/>
        <v>0</v>
      </c>
      <c r="AK381" s="1465">
        <f t="shared" si="22"/>
        <v>0</v>
      </c>
      <c r="AL381" s="1466"/>
    </row>
    <row r="382" spans="1:39" s="156" customFormat="1" ht="19.149999999999999" customHeight="1" outlineLevel="1">
      <c r="A382" s="1182">
        <v>366</v>
      </c>
      <c r="B382" s="1182">
        <v>69</v>
      </c>
      <c r="C382" s="1182" t="e">
        <f>VLOOKUP(D382,'DS CN MOI UP'!$B$10:$C$347,2,0)</f>
        <v>#N/A</v>
      </c>
      <c r="D382" s="1185" t="s">
        <v>511</v>
      </c>
      <c r="E382" s="1474"/>
      <c r="F382" s="1474"/>
      <c r="G382" s="1474"/>
      <c r="H382" s="1474"/>
      <c r="I382" s="1474"/>
      <c r="J382" s="1474"/>
      <c r="K382" s="1474"/>
      <c r="L382" s="1474"/>
      <c r="M382" s="1474"/>
      <c r="N382" s="1462"/>
      <c r="O382" s="1462"/>
      <c r="P382" s="1462"/>
      <c r="Q382" s="1462"/>
      <c r="R382" s="1462"/>
      <c r="S382" s="1462"/>
      <c r="T382" s="1462"/>
      <c r="U382" s="1462"/>
      <c r="V382" s="1462"/>
      <c r="W382" s="1462"/>
      <c r="X382" s="1462"/>
      <c r="Y382" s="1462"/>
      <c r="Z382" s="1462"/>
      <c r="AA382" s="1462"/>
      <c r="AB382" s="1462"/>
      <c r="AC382" s="1462"/>
      <c r="AD382" s="1462"/>
      <c r="AE382" s="1462"/>
      <c r="AF382" s="1462"/>
      <c r="AG382" s="1462"/>
      <c r="AH382" s="1462"/>
      <c r="AI382" s="1462"/>
      <c r="AJ382" s="1465">
        <f t="shared" si="23"/>
        <v>0</v>
      </c>
      <c r="AK382" s="1465">
        <f t="shared" si="22"/>
        <v>0</v>
      </c>
      <c r="AL382" s="1466"/>
    </row>
    <row r="383" spans="1:39" s="156" customFormat="1" ht="19.149999999999999" customHeight="1" outlineLevel="1">
      <c r="A383" s="1182">
        <v>367</v>
      </c>
      <c r="B383" s="1182">
        <v>69</v>
      </c>
      <c r="C383" s="1182" t="e">
        <f>VLOOKUP(D383,'DS CN MOI UP'!$B$10:$C$347,2,0)</f>
        <v>#N/A</v>
      </c>
      <c r="D383" s="1185" t="s">
        <v>512</v>
      </c>
      <c r="E383" s="1474"/>
      <c r="F383" s="1474"/>
      <c r="G383" s="1474"/>
      <c r="H383" s="1474"/>
      <c r="I383" s="1474"/>
      <c r="J383" s="1474"/>
      <c r="K383" s="1474"/>
      <c r="L383" s="1474"/>
      <c r="M383" s="1474"/>
      <c r="N383" s="1462"/>
      <c r="O383" s="1462"/>
      <c r="P383" s="1462"/>
      <c r="Q383" s="1462"/>
      <c r="R383" s="1462"/>
      <c r="S383" s="1462"/>
      <c r="T383" s="1462"/>
      <c r="U383" s="1462"/>
      <c r="V383" s="1462"/>
      <c r="W383" s="1462"/>
      <c r="X383" s="1462"/>
      <c r="Y383" s="1462"/>
      <c r="Z383" s="1462"/>
      <c r="AA383" s="1462"/>
      <c r="AB383" s="1462"/>
      <c r="AC383" s="1462"/>
      <c r="AD383" s="1462"/>
      <c r="AE383" s="1462"/>
      <c r="AF383" s="1462"/>
      <c r="AG383" s="1462"/>
      <c r="AH383" s="1462"/>
      <c r="AI383" s="1462"/>
      <c r="AJ383" s="1465">
        <f t="shared" si="23"/>
        <v>0</v>
      </c>
      <c r="AK383" s="1465">
        <f t="shared" si="22"/>
        <v>0</v>
      </c>
      <c r="AL383" s="1466"/>
    </row>
    <row r="384" spans="1:39" s="156" customFormat="1" ht="19.149999999999999" customHeight="1" outlineLevel="1">
      <c r="A384" s="1183" t="s">
        <v>285</v>
      </c>
      <c r="B384" s="1183"/>
      <c r="C384" s="1182" t="e">
        <f>VLOOKUP(D384,'DS CN MOI UP'!$B$10:$C$347,2,0)</f>
        <v>#N/A</v>
      </c>
      <c r="D384" s="1183"/>
      <c r="E384" s="1472"/>
      <c r="F384" s="1472"/>
      <c r="G384" s="1472"/>
      <c r="H384" s="1472"/>
      <c r="I384" s="1472"/>
      <c r="J384" s="1472"/>
      <c r="K384" s="1472"/>
      <c r="L384" s="1472"/>
      <c r="M384" s="1472"/>
      <c r="N384" s="1472"/>
      <c r="O384" s="1472"/>
      <c r="P384" s="1472"/>
      <c r="Q384" s="1472"/>
      <c r="R384" s="1472"/>
      <c r="S384" s="1472"/>
      <c r="T384" s="1472"/>
      <c r="U384" s="1472"/>
      <c r="V384" s="1472"/>
      <c r="W384" s="1472"/>
      <c r="X384" s="1472"/>
      <c r="Y384" s="1472"/>
      <c r="Z384" s="1472"/>
      <c r="AA384" s="1472"/>
      <c r="AB384" s="1472"/>
      <c r="AC384" s="1472"/>
      <c r="AD384" s="1472"/>
      <c r="AE384" s="1472"/>
      <c r="AF384" s="1472"/>
      <c r="AG384" s="1472"/>
      <c r="AH384" s="1472"/>
      <c r="AI384" s="1472"/>
      <c r="AJ384" s="1472">
        <f>SUM(AJ385:AJ442)</f>
        <v>0</v>
      </c>
      <c r="AK384" s="1465">
        <f t="shared" si="22"/>
        <v>0</v>
      </c>
      <c r="AL384" s="1204"/>
      <c r="AM384" s="615"/>
    </row>
    <row r="385" spans="1:40" s="156" customFormat="1" ht="19.149999999999999" customHeight="1" outlineLevel="1">
      <c r="A385" s="1182">
        <v>368</v>
      </c>
      <c r="B385" s="1182">
        <v>1</v>
      </c>
      <c r="C385" s="1635" t="str">
        <f>VLOOKUP(D385,'DS CN MOI UP'!$B$10:$C$347,2,0)</f>
        <v>02616</v>
      </c>
      <c r="D385" s="1185" t="s">
        <v>308</v>
      </c>
      <c r="E385" s="1462"/>
      <c r="F385" s="1462"/>
      <c r="G385" s="1462"/>
      <c r="H385" s="1462"/>
      <c r="I385" s="1462"/>
      <c r="J385" s="1462"/>
      <c r="K385" s="1462"/>
      <c r="L385" s="1462"/>
      <c r="M385" s="1462"/>
      <c r="N385" s="1462"/>
      <c r="O385" s="1462"/>
      <c r="P385" s="1462"/>
      <c r="Q385" s="1462"/>
      <c r="R385" s="1462"/>
      <c r="S385" s="1462"/>
      <c r="T385" s="1462"/>
      <c r="U385" s="1462"/>
      <c r="V385" s="1462"/>
      <c r="W385" s="1462"/>
      <c r="X385" s="1462"/>
      <c r="Y385" s="1462"/>
      <c r="Z385" s="1462"/>
      <c r="AA385" s="1462"/>
      <c r="AB385" s="1462"/>
      <c r="AC385" s="1462"/>
      <c r="AD385" s="1462"/>
      <c r="AE385" s="1462"/>
      <c r="AF385" s="1462"/>
      <c r="AG385" s="1462"/>
      <c r="AH385" s="1462"/>
      <c r="AI385" s="1462"/>
      <c r="AJ385" s="1465">
        <f t="shared" ref="AJ385:AJ442" si="24">SUM(E385:AI385)</f>
        <v>0</v>
      </c>
      <c r="AK385" s="1465">
        <f t="shared" si="22"/>
        <v>0</v>
      </c>
      <c r="AL385" s="1466"/>
      <c r="AM385" s="615"/>
      <c r="AN385" s="615"/>
    </row>
    <row r="386" spans="1:40" s="156" customFormat="1" ht="19.149999999999999" customHeight="1" outlineLevel="1">
      <c r="A386" s="1182">
        <v>369</v>
      </c>
      <c r="B386" s="1182">
        <v>2</v>
      </c>
      <c r="C386" s="1635" t="str">
        <f>VLOOKUP(D386,'DS CN MOI UP'!$B$10:$C$347,2,0)</f>
        <v>02617</v>
      </c>
      <c r="D386" s="1185" t="s">
        <v>309</v>
      </c>
      <c r="E386" s="1462"/>
      <c r="F386" s="1462"/>
      <c r="G386" s="1462"/>
      <c r="H386" s="1462"/>
      <c r="I386" s="1462"/>
      <c r="J386" s="1462"/>
      <c r="K386" s="1462"/>
      <c r="L386" s="1462"/>
      <c r="M386" s="1462"/>
      <c r="N386" s="1462"/>
      <c r="O386" s="1462"/>
      <c r="P386" s="1462"/>
      <c r="Q386" s="1462"/>
      <c r="R386" s="1462"/>
      <c r="S386" s="1462"/>
      <c r="T386" s="1462"/>
      <c r="U386" s="1462"/>
      <c r="V386" s="1462"/>
      <c r="W386" s="1462"/>
      <c r="X386" s="1462"/>
      <c r="Y386" s="1462"/>
      <c r="Z386" s="1462"/>
      <c r="AA386" s="1462"/>
      <c r="AB386" s="1462"/>
      <c r="AC386" s="1462"/>
      <c r="AD386" s="1462"/>
      <c r="AE386" s="1462"/>
      <c r="AF386" s="1462"/>
      <c r="AG386" s="1462"/>
      <c r="AH386" s="1462"/>
      <c r="AI386" s="1462"/>
      <c r="AJ386" s="1465">
        <f t="shared" si="24"/>
        <v>0</v>
      </c>
      <c r="AK386" s="1465">
        <f t="shared" si="22"/>
        <v>0</v>
      </c>
      <c r="AL386" s="1466"/>
      <c r="AM386" s="615"/>
    </row>
    <row r="387" spans="1:40" s="156" customFormat="1" ht="19.149999999999999" customHeight="1" outlineLevel="1">
      <c r="A387" s="1182">
        <v>370</v>
      </c>
      <c r="B387" s="1182">
        <v>3</v>
      </c>
      <c r="C387" s="1635" t="str">
        <f>VLOOKUP(D387,'DS CN MOI UP'!$B$10:$C$347,2,0)</f>
        <v>02618</v>
      </c>
      <c r="D387" s="1185" t="s">
        <v>310</v>
      </c>
      <c r="E387" s="1462"/>
      <c r="F387" s="1462"/>
      <c r="G387" s="1462"/>
      <c r="H387" s="1462"/>
      <c r="I387" s="1462"/>
      <c r="J387" s="1462"/>
      <c r="K387" s="1462"/>
      <c r="L387" s="1462"/>
      <c r="M387" s="1462"/>
      <c r="N387" s="1462"/>
      <c r="O387" s="1462"/>
      <c r="P387" s="1462"/>
      <c r="Q387" s="1462"/>
      <c r="R387" s="1462"/>
      <c r="S387" s="1462"/>
      <c r="T387" s="1462"/>
      <c r="U387" s="1462"/>
      <c r="V387" s="1462"/>
      <c r="W387" s="1462"/>
      <c r="X387" s="1462"/>
      <c r="Y387" s="1462"/>
      <c r="Z387" s="1462"/>
      <c r="AA387" s="1462"/>
      <c r="AB387" s="1462"/>
      <c r="AC387" s="1462"/>
      <c r="AD387" s="1462"/>
      <c r="AE387" s="1462"/>
      <c r="AF387" s="1462"/>
      <c r="AG387" s="1462"/>
      <c r="AH387" s="1462"/>
      <c r="AI387" s="1462"/>
      <c r="AJ387" s="1465">
        <f t="shared" si="24"/>
        <v>0</v>
      </c>
      <c r="AK387" s="1465">
        <f t="shared" si="22"/>
        <v>0</v>
      </c>
      <c r="AL387" s="1466"/>
      <c r="AM387" s="615"/>
    </row>
    <row r="388" spans="1:40" s="156" customFormat="1" ht="19.149999999999999" customHeight="1" outlineLevel="1">
      <c r="A388" s="1182">
        <v>371</v>
      </c>
      <c r="B388" s="1182">
        <v>4</v>
      </c>
      <c r="C388" s="1635" t="str">
        <f>VLOOKUP(D388,'DS CN MOI UP'!$B$10:$C$347,2,0)</f>
        <v>03401</v>
      </c>
      <c r="D388" s="1185" t="s">
        <v>311</v>
      </c>
      <c r="E388" s="1462"/>
      <c r="F388" s="1462"/>
      <c r="G388" s="1462"/>
      <c r="H388" s="1462"/>
      <c r="I388" s="1462"/>
      <c r="J388" s="1462"/>
      <c r="K388" s="1462"/>
      <c r="L388" s="1462"/>
      <c r="M388" s="1462"/>
      <c r="N388" s="1462"/>
      <c r="O388" s="1462"/>
      <c r="P388" s="1462"/>
      <c r="Q388" s="1462"/>
      <c r="R388" s="1462"/>
      <c r="S388" s="1462"/>
      <c r="T388" s="1462"/>
      <c r="U388" s="1462"/>
      <c r="V388" s="1462"/>
      <c r="W388" s="1462"/>
      <c r="X388" s="1462"/>
      <c r="Y388" s="1462"/>
      <c r="Z388" s="1462"/>
      <c r="AA388" s="1462"/>
      <c r="AB388" s="1462"/>
      <c r="AC388" s="1462"/>
      <c r="AD388" s="1462"/>
      <c r="AE388" s="1462"/>
      <c r="AF388" s="1462"/>
      <c r="AG388" s="1462"/>
      <c r="AH388" s="1462"/>
      <c r="AI388" s="1462"/>
      <c r="AJ388" s="1465">
        <f t="shared" si="24"/>
        <v>0</v>
      </c>
      <c r="AK388" s="1465">
        <f t="shared" si="22"/>
        <v>0</v>
      </c>
      <c r="AL388" s="1466"/>
      <c r="AM388" s="615"/>
    </row>
    <row r="389" spans="1:40" s="156" customFormat="1" ht="19.149999999999999" customHeight="1" outlineLevel="1">
      <c r="A389" s="1182">
        <v>372</v>
      </c>
      <c r="B389" s="1182">
        <v>5</v>
      </c>
      <c r="C389" s="1635" t="str">
        <f>VLOOKUP(D389,'DS CN MOI UP'!$B$10:$C$347,2,0)</f>
        <v>03402</v>
      </c>
      <c r="D389" s="1185" t="s">
        <v>312</v>
      </c>
      <c r="E389" s="1462"/>
      <c r="F389" s="1462"/>
      <c r="G389" s="1462"/>
      <c r="H389" s="1462"/>
      <c r="I389" s="1462"/>
      <c r="J389" s="1462"/>
      <c r="K389" s="1462"/>
      <c r="L389" s="1462"/>
      <c r="M389" s="1462"/>
      <c r="N389" s="1462"/>
      <c r="O389" s="1462"/>
      <c r="P389" s="1462"/>
      <c r="Q389" s="1462"/>
      <c r="R389" s="1462"/>
      <c r="S389" s="1462"/>
      <c r="T389" s="1462"/>
      <c r="U389" s="1462"/>
      <c r="V389" s="1462"/>
      <c r="W389" s="1462"/>
      <c r="X389" s="1462"/>
      <c r="Y389" s="1462"/>
      <c r="Z389" s="1462"/>
      <c r="AA389" s="1462"/>
      <c r="AB389" s="1462"/>
      <c r="AC389" s="1462"/>
      <c r="AD389" s="1462"/>
      <c r="AE389" s="1462"/>
      <c r="AF389" s="1462"/>
      <c r="AG389" s="1462"/>
      <c r="AH389" s="1462"/>
      <c r="AI389" s="1462"/>
      <c r="AJ389" s="1465">
        <f t="shared" si="24"/>
        <v>0</v>
      </c>
      <c r="AK389" s="1465">
        <f t="shared" si="22"/>
        <v>0</v>
      </c>
      <c r="AL389" s="1466"/>
      <c r="AM389" s="615"/>
    </row>
    <row r="390" spans="1:40" s="156" customFormat="1" ht="19.149999999999999" customHeight="1" outlineLevel="1">
      <c r="A390" s="1182">
        <v>373</v>
      </c>
      <c r="B390" s="1182">
        <v>6</v>
      </c>
      <c r="C390" s="1635" t="str">
        <f>VLOOKUP(D390,'DS CN MOI UP'!$B$10:$C$347,2,0)</f>
        <v>02621</v>
      </c>
      <c r="D390" s="1185" t="s">
        <v>313</v>
      </c>
      <c r="E390" s="1462"/>
      <c r="F390" s="1462"/>
      <c r="G390" s="1462"/>
      <c r="H390" s="1462"/>
      <c r="I390" s="1462"/>
      <c r="J390" s="1462"/>
      <c r="K390" s="1462"/>
      <c r="L390" s="1462"/>
      <c r="M390" s="1462"/>
      <c r="N390" s="1462"/>
      <c r="O390" s="1462"/>
      <c r="P390" s="1462"/>
      <c r="Q390" s="1462"/>
      <c r="R390" s="1462"/>
      <c r="S390" s="1462"/>
      <c r="T390" s="1462"/>
      <c r="U390" s="1462"/>
      <c r="V390" s="1462"/>
      <c r="W390" s="1462"/>
      <c r="X390" s="1462"/>
      <c r="Y390" s="1462"/>
      <c r="Z390" s="1462"/>
      <c r="AA390" s="1462"/>
      <c r="AB390" s="1462"/>
      <c r="AC390" s="1462"/>
      <c r="AD390" s="1462"/>
      <c r="AE390" s="1462"/>
      <c r="AF390" s="1462"/>
      <c r="AG390" s="1462"/>
      <c r="AH390" s="1462"/>
      <c r="AI390" s="1462"/>
      <c r="AJ390" s="1465">
        <f t="shared" si="24"/>
        <v>0</v>
      </c>
      <c r="AK390" s="1465">
        <f t="shared" si="22"/>
        <v>0</v>
      </c>
      <c r="AL390" s="1466"/>
      <c r="AM390" s="615"/>
    </row>
    <row r="391" spans="1:40" s="156" customFormat="1" ht="19.149999999999999" customHeight="1" outlineLevel="1">
      <c r="A391" s="1182">
        <v>374</v>
      </c>
      <c r="B391" s="1182">
        <v>7</v>
      </c>
      <c r="C391" s="1635" t="str">
        <f>VLOOKUP(D391,'DS CN MOI UP'!$B$10:$C$347,2,0)</f>
        <v>02622</v>
      </c>
      <c r="D391" s="1185" t="s">
        <v>314</v>
      </c>
      <c r="E391" s="1462"/>
      <c r="F391" s="1462"/>
      <c r="G391" s="1462"/>
      <c r="H391" s="1462"/>
      <c r="I391" s="1462"/>
      <c r="J391" s="1462"/>
      <c r="K391" s="1462"/>
      <c r="L391" s="1462"/>
      <c r="M391" s="1462"/>
      <c r="N391" s="1462"/>
      <c r="O391" s="1462"/>
      <c r="P391" s="1462"/>
      <c r="Q391" s="1462"/>
      <c r="R391" s="1462"/>
      <c r="S391" s="1462"/>
      <c r="T391" s="1462"/>
      <c r="U391" s="1462"/>
      <c r="V391" s="1462"/>
      <c r="W391" s="1462"/>
      <c r="X391" s="1462"/>
      <c r="Y391" s="1462"/>
      <c r="Z391" s="1462"/>
      <c r="AA391" s="1462"/>
      <c r="AB391" s="1462"/>
      <c r="AC391" s="1462"/>
      <c r="AD391" s="1462"/>
      <c r="AE391" s="1462"/>
      <c r="AF391" s="1462"/>
      <c r="AG391" s="1462"/>
      <c r="AH391" s="1462"/>
      <c r="AI391" s="1462"/>
      <c r="AJ391" s="1465">
        <f t="shared" si="24"/>
        <v>0</v>
      </c>
      <c r="AK391" s="1465">
        <f t="shared" si="22"/>
        <v>0</v>
      </c>
      <c r="AL391" s="1466"/>
      <c r="AM391" s="615"/>
    </row>
    <row r="392" spans="1:40" s="156" customFormat="1" ht="19.149999999999999" customHeight="1" outlineLevel="1">
      <c r="A392" s="1182">
        <v>375</v>
      </c>
      <c r="B392" s="1182">
        <v>8</v>
      </c>
      <c r="C392" s="1182" t="e">
        <f>VLOOKUP(D392,'DS CN MOI UP'!$B$10:$C$347,2,0)</f>
        <v>#N/A</v>
      </c>
      <c r="D392" s="1185" t="s">
        <v>315</v>
      </c>
      <c r="E392" s="1462"/>
      <c r="F392" s="1462"/>
      <c r="G392" s="1462"/>
      <c r="H392" s="1462"/>
      <c r="I392" s="1462"/>
      <c r="J392" s="1462"/>
      <c r="K392" s="1462"/>
      <c r="L392" s="1462"/>
      <c r="M392" s="1462"/>
      <c r="N392" s="1462"/>
      <c r="O392" s="1462"/>
      <c r="P392" s="1462"/>
      <c r="Q392" s="1462"/>
      <c r="R392" s="1462"/>
      <c r="S392" s="1462"/>
      <c r="T392" s="1462"/>
      <c r="U392" s="1462"/>
      <c r="V392" s="1462"/>
      <c r="W392" s="1462"/>
      <c r="X392" s="1462"/>
      <c r="Y392" s="1462"/>
      <c r="Z392" s="1462"/>
      <c r="AA392" s="1462"/>
      <c r="AB392" s="1462"/>
      <c r="AC392" s="1462"/>
      <c r="AD392" s="1462"/>
      <c r="AE392" s="1462"/>
      <c r="AF392" s="1462"/>
      <c r="AG392" s="1462"/>
      <c r="AH392" s="1462"/>
      <c r="AI392" s="1462"/>
      <c r="AJ392" s="1465">
        <f t="shared" si="24"/>
        <v>0</v>
      </c>
      <c r="AK392" s="1465">
        <f t="shared" si="22"/>
        <v>0</v>
      </c>
      <c r="AL392" s="1466"/>
      <c r="AM392" s="615"/>
    </row>
    <row r="393" spans="1:40" s="156" customFormat="1" ht="19.149999999999999" customHeight="1" outlineLevel="1">
      <c r="A393" s="1182">
        <v>376</v>
      </c>
      <c r="B393" s="1182">
        <v>9</v>
      </c>
      <c r="C393" s="1635" t="str">
        <f>VLOOKUP(D393,'DS CN MOI UP'!$B$10:$C$347,2,0)</f>
        <v>02623</v>
      </c>
      <c r="D393" s="1185" t="s">
        <v>316</v>
      </c>
      <c r="E393" s="1462"/>
      <c r="F393" s="1462"/>
      <c r="G393" s="1462"/>
      <c r="H393" s="1462"/>
      <c r="I393" s="1462"/>
      <c r="J393" s="1462"/>
      <c r="K393" s="1462"/>
      <c r="L393" s="1462"/>
      <c r="M393" s="1462"/>
      <c r="N393" s="1462"/>
      <c r="O393" s="1462"/>
      <c r="P393" s="1462"/>
      <c r="Q393" s="1462"/>
      <c r="R393" s="1462"/>
      <c r="S393" s="1462"/>
      <c r="T393" s="1462"/>
      <c r="U393" s="1462"/>
      <c r="V393" s="1462"/>
      <c r="W393" s="1462"/>
      <c r="X393" s="1462"/>
      <c r="Y393" s="1462"/>
      <c r="Z393" s="1462"/>
      <c r="AA393" s="1462"/>
      <c r="AB393" s="1462"/>
      <c r="AC393" s="1462"/>
      <c r="AD393" s="1462"/>
      <c r="AE393" s="1462"/>
      <c r="AF393" s="1462"/>
      <c r="AG393" s="1462"/>
      <c r="AH393" s="1462"/>
      <c r="AI393" s="1462"/>
      <c r="AJ393" s="1465">
        <f t="shared" si="24"/>
        <v>0</v>
      </c>
      <c r="AK393" s="1465">
        <f t="shared" si="22"/>
        <v>0</v>
      </c>
      <c r="AL393" s="1466"/>
      <c r="AM393" s="615"/>
    </row>
    <row r="394" spans="1:40" s="156" customFormat="1" ht="19.149999999999999" customHeight="1" outlineLevel="1">
      <c r="A394" s="1182">
        <v>377</v>
      </c>
      <c r="B394" s="1182">
        <v>10</v>
      </c>
      <c r="C394" s="1635" t="str">
        <f>VLOOKUP(D394,'DS CN MOI UP'!$B$10:$C$347,2,0)</f>
        <v>02624</v>
      </c>
      <c r="D394" s="1185" t="s">
        <v>317</v>
      </c>
      <c r="E394" s="1462"/>
      <c r="F394" s="1462"/>
      <c r="G394" s="1462"/>
      <c r="H394" s="1462"/>
      <c r="I394" s="1462"/>
      <c r="J394" s="1462"/>
      <c r="K394" s="1462"/>
      <c r="L394" s="1462"/>
      <c r="M394" s="1462"/>
      <c r="N394" s="1462"/>
      <c r="O394" s="1462"/>
      <c r="P394" s="1462"/>
      <c r="Q394" s="1462"/>
      <c r="R394" s="1462"/>
      <c r="S394" s="1462"/>
      <c r="T394" s="1462"/>
      <c r="U394" s="1462"/>
      <c r="V394" s="1462"/>
      <c r="W394" s="1462"/>
      <c r="X394" s="1462"/>
      <c r="Y394" s="1462"/>
      <c r="Z394" s="1462"/>
      <c r="AA394" s="1462"/>
      <c r="AB394" s="1462"/>
      <c r="AC394" s="1462"/>
      <c r="AD394" s="1462"/>
      <c r="AE394" s="1462"/>
      <c r="AF394" s="1462"/>
      <c r="AG394" s="1462"/>
      <c r="AH394" s="1462"/>
      <c r="AI394" s="1462"/>
      <c r="AJ394" s="1465">
        <f t="shared" si="24"/>
        <v>0</v>
      </c>
      <c r="AK394" s="1465">
        <f t="shared" si="22"/>
        <v>0</v>
      </c>
      <c r="AL394" s="1466"/>
      <c r="AM394" s="615"/>
    </row>
    <row r="395" spans="1:40" s="156" customFormat="1" ht="19.149999999999999" customHeight="1" outlineLevel="1">
      <c r="A395" s="1182">
        <v>378</v>
      </c>
      <c r="B395" s="1182">
        <v>11</v>
      </c>
      <c r="C395" s="1635" t="str">
        <f>VLOOKUP(D395,'DS CN MOI UP'!$B$10:$C$347,2,0)</f>
        <v>03404</v>
      </c>
      <c r="D395" s="1185" t="s">
        <v>318</v>
      </c>
      <c r="E395" s="1462"/>
      <c r="F395" s="1462"/>
      <c r="G395" s="1462"/>
      <c r="H395" s="1462"/>
      <c r="I395" s="1462"/>
      <c r="J395" s="1462"/>
      <c r="K395" s="1462"/>
      <c r="L395" s="1462"/>
      <c r="M395" s="1462"/>
      <c r="N395" s="1462"/>
      <c r="O395" s="1462"/>
      <c r="P395" s="1462"/>
      <c r="Q395" s="1462"/>
      <c r="R395" s="1462"/>
      <c r="S395" s="1462"/>
      <c r="T395" s="1462"/>
      <c r="U395" s="1462"/>
      <c r="V395" s="1462"/>
      <c r="W395" s="1462"/>
      <c r="X395" s="1462"/>
      <c r="Y395" s="1462"/>
      <c r="Z395" s="1462"/>
      <c r="AA395" s="1462"/>
      <c r="AB395" s="1462"/>
      <c r="AC395" s="1462"/>
      <c r="AD395" s="1462"/>
      <c r="AE395" s="1462"/>
      <c r="AF395" s="1462"/>
      <c r="AG395" s="1462"/>
      <c r="AH395" s="1462"/>
      <c r="AI395" s="1462"/>
      <c r="AJ395" s="1465">
        <f t="shared" si="24"/>
        <v>0</v>
      </c>
      <c r="AK395" s="1465">
        <f t="shared" si="22"/>
        <v>0</v>
      </c>
      <c r="AL395" s="1466"/>
      <c r="AM395" s="615"/>
    </row>
    <row r="396" spans="1:40" s="156" customFormat="1" ht="19.149999999999999" customHeight="1" outlineLevel="1">
      <c r="A396" s="1182">
        <v>379</v>
      </c>
      <c r="B396" s="1182">
        <v>12</v>
      </c>
      <c r="C396" s="1635" t="str">
        <f>VLOOKUP(D396,'DS CN MOI UP'!$B$10:$C$347,2,0)</f>
        <v>02626</v>
      </c>
      <c r="D396" s="1185" t="s">
        <v>319</v>
      </c>
      <c r="E396" s="1462"/>
      <c r="F396" s="1462"/>
      <c r="G396" s="1462"/>
      <c r="H396" s="1462"/>
      <c r="I396" s="1462"/>
      <c r="J396" s="1462"/>
      <c r="K396" s="1462"/>
      <c r="L396" s="1462"/>
      <c r="M396" s="1462"/>
      <c r="N396" s="1462"/>
      <c r="O396" s="1462"/>
      <c r="P396" s="1462"/>
      <c r="Q396" s="1462"/>
      <c r="R396" s="1462"/>
      <c r="S396" s="1462"/>
      <c r="T396" s="1462"/>
      <c r="U396" s="1462"/>
      <c r="V396" s="1462"/>
      <c r="W396" s="1462"/>
      <c r="X396" s="1462"/>
      <c r="Y396" s="1462"/>
      <c r="Z396" s="1462"/>
      <c r="AA396" s="1462"/>
      <c r="AB396" s="1462"/>
      <c r="AC396" s="1462"/>
      <c r="AD396" s="1462"/>
      <c r="AE396" s="1462"/>
      <c r="AF396" s="1462"/>
      <c r="AG396" s="1462"/>
      <c r="AH396" s="1462"/>
      <c r="AI396" s="1462"/>
      <c r="AJ396" s="1465">
        <f t="shared" si="24"/>
        <v>0</v>
      </c>
      <c r="AK396" s="1465">
        <f t="shared" ref="AK396:AK450" si="25">AJ396*$AN$6</f>
        <v>0</v>
      </c>
      <c r="AL396" s="1466"/>
      <c r="AM396" s="615"/>
    </row>
    <row r="397" spans="1:40" s="156" customFormat="1" ht="19.149999999999999" customHeight="1" outlineLevel="1">
      <c r="A397" s="1182">
        <v>380</v>
      </c>
      <c r="B397" s="1182">
        <v>13</v>
      </c>
      <c r="C397" s="1635" t="str">
        <f>VLOOKUP(D397,'DS CN MOI UP'!$B$10:$C$347,2,0)</f>
        <v>02627</v>
      </c>
      <c r="D397" s="1185" t="s">
        <v>320</v>
      </c>
      <c r="E397" s="1462"/>
      <c r="F397" s="1462"/>
      <c r="G397" s="1462"/>
      <c r="H397" s="1462"/>
      <c r="I397" s="1462"/>
      <c r="J397" s="1462"/>
      <c r="K397" s="1462"/>
      <c r="L397" s="1462"/>
      <c r="M397" s="1462"/>
      <c r="N397" s="1462"/>
      <c r="O397" s="1462"/>
      <c r="P397" s="1462"/>
      <c r="Q397" s="1462"/>
      <c r="R397" s="1462"/>
      <c r="S397" s="1462"/>
      <c r="T397" s="1462"/>
      <c r="U397" s="1462"/>
      <c r="V397" s="1462"/>
      <c r="W397" s="1462"/>
      <c r="X397" s="1462"/>
      <c r="Y397" s="1462"/>
      <c r="Z397" s="1462"/>
      <c r="AA397" s="1462"/>
      <c r="AB397" s="1462"/>
      <c r="AC397" s="1462"/>
      <c r="AD397" s="1462"/>
      <c r="AE397" s="1462"/>
      <c r="AF397" s="1462"/>
      <c r="AG397" s="1462"/>
      <c r="AH397" s="1462"/>
      <c r="AI397" s="1462"/>
      <c r="AJ397" s="1465">
        <f t="shared" si="24"/>
        <v>0</v>
      </c>
      <c r="AK397" s="1465">
        <f t="shared" si="25"/>
        <v>0</v>
      </c>
      <c r="AL397" s="1466"/>
      <c r="AM397" s="615"/>
    </row>
    <row r="398" spans="1:40" s="156" customFormat="1" ht="19.149999999999999" customHeight="1" outlineLevel="1">
      <c r="A398" s="1182">
        <v>381</v>
      </c>
      <c r="B398" s="1182">
        <v>14</v>
      </c>
      <c r="C398" s="1635" t="str">
        <f>VLOOKUP(D398,'DS CN MOI UP'!$B$10:$C$347,2,0)</f>
        <v>02628</v>
      </c>
      <c r="D398" s="1185" t="s">
        <v>321</v>
      </c>
      <c r="E398" s="1462"/>
      <c r="F398" s="1462"/>
      <c r="G398" s="1462"/>
      <c r="H398" s="1462"/>
      <c r="I398" s="1462"/>
      <c r="J398" s="1462"/>
      <c r="K398" s="1462"/>
      <c r="L398" s="1462"/>
      <c r="M398" s="1462"/>
      <c r="N398" s="1462"/>
      <c r="O398" s="1462"/>
      <c r="P398" s="1462"/>
      <c r="Q398" s="1462"/>
      <c r="R398" s="1462"/>
      <c r="S398" s="1462"/>
      <c r="T398" s="1462"/>
      <c r="U398" s="1462"/>
      <c r="V398" s="1462"/>
      <c r="W398" s="1462"/>
      <c r="X398" s="1462"/>
      <c r="Y398" s="1462"/>
      <c r="Z398" s="1462"/>
      <c r="AA398" s="1462"/>
      <c r="AB398" s="1462"/>
      <c r="AC398" s="1462"/>
      <c r="AD398" s="1462"/>
      <c r="AE398" s="1462"/>
      <c r="AF398" s="1462"/>
      <c r="AG398" s="1462"/>
      <c r="AH398" s="1462"/>
      <c r="AI398" s="1462"/>
      <c r="AJ398" s="1465">
        <f t="shared" si="24"/>
        <v>0</v>
      </c>
      <c r="AK398" s="1465">
        <f t="shared" si="25"/>
        <v>0</v>
      </c>
      <c r="AL398" s="1466"/>
      <c r="AM398" s="615"/>
    </row>
    <row r="399" spans="1:40" s="156" customFormat="1" ht="19.149999999999999" customHeight="1" outlineLevel="1">
      <c r="A399" s="1182">
        <v>382</v>
      </c>
      <c r="B399" s="1182">
        <v>15</v>
      </c>
      <c r="C399" s="1635" t="str">
        <f>VLOOKUP(D399,'DS CN MOI UP'!$B$10:$C$347,2,0)</f>
        <v>03405</v>
      </c>
      <c r="D399" s="1185" t="s">
        <v>322</v>
      </c>
      <c r="E399" s="1462"/>
      <c r="F399" s="1462"/>
      <c r="G399" s="1462"/>
      <c r="H399" s="1462"/>
      <c r="I399" s="1462"/>
      <c r="J399" s="1462"/>
      <c r="K399" s="1462"/>
      <c r="L399" s="1462"/>
      <c r="M399" s="1462"/>
      <c r="N399" s="1462"/>
      <c r="O399" s="1462"/>
      <c r="P399" s="1462"/>
      <c r="Q399" s="1462"/>
      <c r="R399" s="1462"/>
      <c r="S399" s="1462"/>
      <c r="T399" s="1462"/>
      <c r="U399" s="1462"/>
      <c r="V399" s="1462"/>
      <c r="W399" s="1462"/>
      <c r="X399" s="1462"/>
      <c r="Y399" s="1462"/>
      <c r="Z399" s="1462"/>
      <c r="AA399" s="1462"/>
      <c r="AB399" s="1462"/>
      <c r="AC399" s="1462"/>
      <c r="AD399" s="1462"/>
      <c r="AE399" s="1462"/>
      <c r="AF399" s="1462"/>
      <c r="AG399" s="1462"/>
      <c r="AH399" s="1462"/>
      <c r="AI399" s="1462"/>
      <c r="AJ399" s="1465">
        <f t="shared" si="24"/>
        <v>0</v>
      </c>
      <c r="AK399" s="1465">
        <f t="shared" si="25"/>
        <v>0</v>
      </c>
      <c r="AL399" s="1466"/>
      <c r="AM399" s="615"/>
    </row>
    <row r="400" spans="1:40" s="156" customFormat="1" ht="19.149999999999999" customHeight="1" outlineLevel="1">
      <c r="A400" s="1182">
        <v>383</v>
      </c>
      <c r="B400" s="1182">
        <v>16</v>
      </c>
      <c r="C400" s="1635" t="str">
        <f>VLOOKUP(D400,'DS CN MOI UP'!$B$10:$C$347,2,0)</f>
        <v>02629</v>
      </c>
      <c r="D400" s="1185" t="s">
        <v>323</v>
      </c>
      <c r="E400" s="1462"/>
      <c r="F400" s="1462"/>
      <c r="G400" s="1462"/>
      <c r="H400" s="1462"/>
      <c r="I400" s="1462"/>
      <c r="J400" s="1462"/>
      <c r="K400" s="1462"/>
      <c r="L400" s="1462"/>
      <c r="M400" s="1462"/>
      <c r="N400" s="1462"/>
      <c r="O400" s="1462"/>
      <c r="P400" s="1462"/>
      <c r="Q400" s="1462"/>
      <c r="R400" s="1462"/>
      <c r="S400" s="1462"/>
      <c r="T400" s="1462"/>
      <c r="U400" s="1462"/>
      <c r="V400" s="1462"/>
      <c r="W400" s="1462"/>
      <c r="X400" s="1462"/>
      <c r="Y400" s="1462"/>
      <c r="Z400" s="1462"/>
      <c r="AA400" s="1462"/>
      <c r="AB400" s="1462"/>
      <c r="AC400" s="1462"/>
      <c r="AD400" s="1462"/>
      <c r="AE400" s="1462"/>
      <c r="AF400" s="1462"/>
      <c r="AG400" s="1462"/>
      <c r="AH400" s="1462"/>
      <c r="AI400" s="1462"/>
      <c r="AJ400" s="1465">
        <f t="shared" si="24"/>
        <v>0</v>
      </c>
      <c r="AK400" s="1465">
        <f t="shared" si="25"/>
        <v>0</v>
      </c>
      <c r="AL400" s="1466"/>
      <c r="AM400" s="615"/>
    </row>
    <row r="401" spans="1:39" s="156" customFormat="1" ht="19.149999999999999" customHeight="1" outlineLevel="1">
      <c r="A401" s="1182">
        <v>384</v>
      </c>
      <c r="B401" s="1182">
        <v>17</v>
      </c>
      <c r="C401" s="1635" t="str">
        <f>VLOOKUP(D401,'DS CN MOI UP'!$B$10:$C$347,2,0)</f>
        <v>02630</v>
      </c>
      <c r="D401" s="1185" t="s">
        <v>324</v>
      </c>
      <c r="E401" s="1462"/>
      <c r="F401" s="1462"/>
      <c r="G401" s="1462"/>
      <c r="H401" s="1462"/>
      <c r="I401" s="1462"/>
      <c r="J401" s="1462"/>
      <c r="K401" s="1462"/>
      <c r="L401" s="1462"/>
      <c r="M401" s="1462"/>
      <c r="N401" s="1462"/>
      <c r="O401" s="1462"/>
      <c r="P401" s="1462"/>
      <c r="Q401" s="1462"/>
      <c r="R401" s="1462"/>
      <c r="S401" s="1462"/>
      <c r="T401" s="1462"/>
      <c r="U401" s="1462"/>
      <c r="V401" s="1462"/>
      <c r="W401" s="1462"/>
      <c r="X401" s="1462"/>
      <c r="Y401" s="1462"/>
      <c r="Z401" s="1462"/>
      <c r="AA401" s="1462"/>
      <c r="AB401" s="1462"/>
      <c r="AC401" s="1462"/>
      <c r="AD401" s="1462"/>
      <c r="AE401" s="1462"/>
      <c r="AF401" s="1462"/>
      <c r="AG401" s="1462"/>
      <c r="AH401" s="1462"/>
      <c r="AI401" s="1462"/>
      <c r="AJ401" s="1465">
        <f t="shared" si="24"/>
        <v>0</v>
      </c>
      <c r="AK401" s="1465">
        <f t="shared" si="25"/>
        <v>0</v>
      </c>
      <c r="AL401" s="1466"/>
      <c r="AM401" s="615"/>
    </row>
    <row r="402" spans="1:39" s="156" customFormat="1" ht="19.149999999999999" customHeight="1" outlineLevel="1">
      <c r="A402" s="1182">
        <v>385</v>
      </c>
      <c r="B402" s="1182">
        <v>18</v>
      </c>
      <c r="C402" s="1635" t="str">
        <f>VLOOKUP(D402,'DS CN MOI UP'!$B$10:$C$347,2,0)</f>
        <v>02631</v>
      </c>
      <c r="D402" s="1185" t="s">
        <v>325</v>
      </c>
      <c r="E402" s="1462"/>
      <c r="F402" s="1462"/>
      <c r="G402" s="1462"/>
      <c r="H402" s="1462"/>
      <c r="I402" s="1462"/>
      <c r="J402" s="1462"/>
      <c r="K402" s="1462"/>
      <c r="L402" s="1462"/>
      <c r="M402" s="1462"/>
      <c r="N402" s="1462"/>
      <c r="O402" s="1462"/>
      <c r="P402" s="1462"/>
      <c r="Q402" s="1462"/>
      <c r="R402" s="1462"/>
      <c r="S402" s="1462"/>
      <c r="T402" s="1462"/>
      <c r="U402" s="1462"/>
      <c r="V402" s="1462"/>
      <c r="W402" s="1462"/>
      <c r="X402" s="1462"/>
      <c r="Y402" s="1462"/>
      <c r="Z402" s="1462"/>
      <c r="AA402" s="1462"/>
      <c r="AB402" s="1462"/>
      <c r="AC402" s="1462"/>
      <c r="AD402" s="1462"/>
      <c r="AE402" s="1462"/>
      <c r="AF402" s="1462"/>
      <c r="AG402" s="1462"/>
      <c r="AH402" s="1462"/>
      <c r="AI402" s="1462"/>
      <c r="AJ402" s="1465">
        <f t="shared" si="24"/>
        <v>0</v>
      </c>
      <c r="AK402" s="1465">
        <f t="shared" si="25"/>
        <v>0</v>
      </c>
      <c r="AL402" s="1466"/>
      <c r="AM402" s="615"/>
    </row>
    <row r="403" spans="1:39" s="156" customFormat="1" ht="19.149999999999999" customHeight="1" outlineLevel="1">
      <c r="A403" s="1182">
        <v>386</v>
      </c>
      <c r="B403" s="1182">
        <v>19</v>
      </c>
      <c r="C403" s="1635" t="str">
        <f>VLOOKUP(D403,'DS CN MOI UP'!$B$10:$C$347,2,0)</f>
        <v>02632</v>
      </c>
      <c r="D403" s="1185" t="s">
        <v>326</v>
      </c>
      <c r="E403" s="1462"/>
      <c r="F403" s="1462"/>
      <c r="G403" s="1462"/>
      <c r="H403" s="1462"/>
      <c r="I403" s="1462"/>
      <c r="J403" s="1462"/>
      <c r="K403" s="1462"/>
      <c r="L403" s="1462"/>
      <c r="M403" s="1462"/>
      <c r="N403" s="1462"/>
      <c r="O403" s="1462"/>
      <c r="P403" s="1462"/>
      <c r="Q403" s="1462"/>
      <c r="R403" s="1462"/>
      <c r="S403" s="1462"/>
      <c r="T403" s="1462"/>
      <c r="U403" s="1462"/>
      <c r="V403" s="1462"/>
      <c r="W403" s="1462"/>
      <c r="X403" s="1462"/>
      <c r="Y403" s="1462"/>
      <c r="Z403" s="1462"/>
      <c r="AA403" s="1462"/>
      <c r="AB403" s="1462"/>
      <c r="AC403" s="1462"/>
      <c r="AD403" s="1462"/>
      <c r="AE403" s="1462"/>
      <c r="AF403" s="1462"/>
      <c r="AG403" s="1462"/>
      <c r="AH403" s="1462"/>
      <c r="AI403" s="1462"/>
      <c r="AJ403" s="1465">
        <f t="shared" si="24"/>
        <v>0</v>
      </c>
      <c r="AK403" s="1465">
        <f t="shared" si="25"/>
        <v>0</v>
      </c>
      <c r="AL403" s="1466"/>
      <c r="AM403" s="615"/>
    </row>
    <row r="404" spans="1:39" s="156" customFormat="1" ht="19.149999999999999" customHeight="1" outlineLevel="1">
      <c r="A404" s="1182">
        <v>387</v>
      </c>
      <c r="B404" s="1182">
        <v>20</v>
      </c>
      <c r="C404" s="1635" t="str">
        <f>VLOOKUP(D404,'DS CN MOI UP'!$B$10:$C$347,2,0)</f>
        <v>02633</v>
      </c>
      <c r="D404" s="1185" t="s">
        <v>327</v>
      </c>
      <c r="E404" s="1462"/>
      <c r="F404" s="1462"/>
      <c r="G404" s="1462"/>
      <c r="H404" s="1462"/>
      <c r="I404" s="1462"/>
      <c r="J404" s="1462"/>
      <c r="K404" s="1462"/>
      <c r="L404" s="1462"/>
      <c r="M404" s="1462"/>
      <c r="N404" s="1462"/>
      <c r="O404" s="1462"/>
      <c r="P404" s="1462"/>
      <c r="Q404" s="1462"/>
      <c r="R404" s="1462"/>
      <c r="S404" s="1462"/>
      <c r="T404" s="1462"/>
      <c r="U404" s="1462"/>
      <c r="V404" s="1462"/>
      <c r="W404" s="1462"/>
      <c r="X404" s="1462"/>
      <c r="Y404" s="1462"/>
      <c r="Z404" s="1462"/>
      <c r="AA404" s="1462"/>
      <c r="AB404" s="1462"/>
      <c r="AC404" s="1462"/>
      <c r="AD404" s="1462"/>
      <c r="AE404" s="1462"/>
      <c r="AF404" s="1462"/>
      <c r="AG404" s="1462"/>
      <c r="AH404" s="1462"/>
      <c r="AI404" s="1462"/>
      <c r="AJ404" s="1465">
        <f t="shared" si="24"/>
        <v>0</v>
      </c>
      <c r="AK404" s="1465">
        <f t="shared" si="25"/>
        <v>0</v>
      </c>
      <c r="AL404" s="1466"/>
      <c r="AM404" s="615"/>
    </row>
    <row r="405" spans="1:39" s="156" customFormat="1" ht="19.149999999999999" customHeight="1" outlineLevel="1">
      <c r="A405" s="1182">
        <v>388</v>
      </c>
      <c r="B405" s="1182">
        <v>21</v>
      </c>
      <c r="C405" s="1182">
        <f>VLOOKUP(D405,'DS CN MOI UP'!$B$10:$C$347,2,0)</f>
        <v>3863</v>
      </c>
      <c r="D405" s="1185" t="s">
        <v>328</v>
      </c>
      <c r="E405" s="1462"/>
      <c r="F405" s="1462"/>
      <c r="G405" s="1462"/>
      <c r="H405" s="1462"/>
      <c r="I405" s="1462"/>
      <c r="J405" s="1462"/>
      <c r="K405" s="1462"/>
      <c r="L405" s="1462"/>
      <c r="M405" s="1462"/>
      <c r="N405" s="1462"/>
      <c r="O405" s="1462"/>
      <c r="P405" s="1462"/>
      <c r="Q405" s="1462"/>
      <c r="R405" s="1462"/>
      <c r="S405" s="1462"/>
      <c r="T405" s="1462"/>
      <c r="U405" s="1462"/>
      <c r="V405" s="1462"/>
      <c r="W405" s="1462"/>
      <c r="X405" s="1462"/>
      <c r="Y405" s="1462"/>
      <c r="Z405" s="1462"/>
      <c r="AA405" s="1462"/>
      <c r="AB405" s="1462"/>
      <c r="AC405" s="1462"/>
      <c r="AD405" s="1462"/>
      <c r="AE405" s="1462"/>
      <c r="AF405" s="1462"/>
      <c r="AG405" s="1462"/>
      <c r="AH405" s="1462"/>
      <c r="AI405" s="1462"/>
      <c r="AJ405" s="1465">
        <f t="shared" si="24"/>
        <v>0</v>
      </c>
      <c r="AK405" s="1465">
        <f t="shared" si="25"/>
        <v>0</v>
      </c>
      <c r="AL405" s="1466"/>
      <c r="AM405" s="615"/>
    </row>
    <row r="406" spans="1:39" s="156" customFormat="1" ht="19.149999999999999" customHeight="1" outlineLevel="1">
      <c r="A406" s="1182">
        <v>389</v>
      </c>
      <c r="B406" s="1182">
        <v>22</v>
      </c>
      <c r="C406" s="1635" t="str">
        <f>VLOOKUP(D406,'DS CN MOI UP'!$B$10:$C$347,2,0)</f>
        <v>02635</v>
      </c>
      <c r="D406" s="1185" t="s">
        <v>329</v>
      </c>
      <c r="E406" s="1462"/>
      <c r="F406" s="1462"/>
      <c r="G406" s="1462"/>
      <c r="H406" s="1462"/>
      <c r="I406" s="1462"/>
      <c r="J406" s="1462"/>
      <c r="K406" s="1462"/>
      <c r="L406" s="1462"/>
      <c r="M406" s="1462"/>
      <c r="N406" s="1462"/>
      <c r="O406" s="1462"/>
      <c r="P406" s="1462"/>
      <c r="Q406" s="1462"/>
      <c r="R406" s="1462"/>
      <c r="S406" s="1462"/>
      <c r="T406" s="1462"/>
      <c r="U406" s="1462"/>
      <c r="V406" s="1462"/>
      <c r="W406" s="1462"/>
      <c r="X406" s="1462"/>
      <c r="Y406" s="1462"/>
      <c r="Z406" s="1462"/>
      <c r="AA406" s="1462"/>
      <c r="AB406" s="1462"/>
      <c r="AC406" s="1462"/>
      <c r="AD406" s="1462"/>
      <c r="AE406" s="1462"/>
      <c r="AF406" s="1462"/>
      <c r="AG406" s="1462"/>
      <c r="AH406" s="1462"/>
      <c r="AI406" s="1462"/>
      <c r="AJ406" s="1465">
        <f t="shared" si="24"/>
        <v>0</v>
      </c>
      <c r="AK406" s="1465">
        <f t="shared" si="25"/>
        <v>0</v>
      </c>
      <c r="AL406" s="1466"/>
      <c r="AM406" s="615"/>
    </row>
    <row r="407" spans="1:39" s="156" customFormat="1" ht="19.149999999999999" customHeight="1" outlineLevel="1">
      <c r="A407" s="1182">
        <v>390</v>
      </c>
      <c r="B407" s="1182">
        <v>23</v>
      </c>
      <c r="C407" s="1182" t="e">
        <f>VLOOKUP(D407,'DS CN MOI UP'!$B$10:$C$347,2,0)</f>
        <v>#N/A</v>
      </c>
      <c r="D407" s="1185" t="s">
        <v>286</v>
      </c>
      <c r="E407" s="1462"/>
      <c r="F407" s="1462"/>
      <c r="G407" s="1462"/>
      <c r="H407" s="1462"/>
      <c r="I407" s="1462"/>
      <c r="J407" s="1462"/>
      <c r="K407" s="1462"/>
      <c r="L407" s="1462"/>
      <c r="M407" s="1462"/>
      <c r="N407" s="1462"/>
      <c r="O407" s="1462"/>
      <c r="P407" s="1462"/>
      <c r="Q407" s="1462"/>
      <c r="R407" s="1462"/>
      <c r="S407" s="1462"/>
      <c r="T407" s="1462"/>
      <c r="U407" s="1462"/>
      <c r="V407" s="1462"/>
      <c r="W407" s="1462"/>
      <c r="X407" s="1462"/>
      <c r="Y407" s="1462"/>
      <c r="Z407" s="1462"/>
      <c r="AA407" s="1462"/>
      <c r="AB407" s="1462"/>
      <c r="AC407" s="1462"/>
      <c r="AD407" s="1462"/>
      <c r="AE407" s="1462"/>
      <c r="AF407" s="1462"/>
      <c r="AG407" s="1462"/>
      <c r="AH407" s="1462"/>
      <c r="AI407" s="1462"/>
      <c r="AJ407" s="1465">
        <f t="shared" si="24"/>
        <v>0</v>
      </c>
      <c r="AK407" s="1465">
        <f t="shared" si="25"/>
        <v>0</v>
      </c>
      <c r="AL407" s="1466"/>
      <c r="AM407" s="615"/>
    </row>
    <row r="408" spans="1:39" s="156" customFormat="1" ht="19.149999999999999" customHeight="1" outlineLevel="1">
      <c r="A408" s="1182">
        <v>391</v>
      </c>
      <c r="B408" s="1182">
        <v>24</v>
      </c>
      <c r="C408" s="1635" t="str">
        <f>VLOOKUP(D408,'DS CN MOI UP'!$B$10:$C$347,2,0)</f>
        <v>02637</v>
      </c>
      <c r="D408" s="1185" t="s">
        <v>287</v>
      </c>
      <c r="E408" s="1462"/>
      <c r="F408" s="1462"/>
      <c r="G408" s="1462"/>
      <c r="H408" s="1462"/>
      <c r="I408" s="1462"/>
      <c r="J408" s="1462"/>
      <c r="K408" s="1462"/>
      <c r="L408" s="1462"/>
      <c r="M408" s="1462"/>
      <c r="N408" s="1462"/>
      <c r="O408" s="1462"/>
      <c r="P408" s="1462"/>
      <c r="Q408" s="1462"/>
      <c r="R408" s="1462"/>
      <c r="S408" s="1462"/>
      <c r="T408" s="1462"/>
      <c r="U408" s="1462"/>
      <c r="V408" s="1462"/>
      <c r="W408" s="1462"/>
      <c r="X408" s="1462"/>
      <c r="Y408" s="1462"/>
      <c r="Z408" s="1462"/>
      <c r="AA408" s="1462"/>
      <c r="AB408" s="1462"/>
      <c r="AC408" s="1462"/>
      <c r="AD408" s="1462"/>
      <c r="AE408" s="1462"/>
      <c r="AF408" s="1462"/>
      <c r="AG408" s="1462"/>
      <c r="AH408" s="1462"/>
      <c r="AI408" s="1462"/>
      <c r="AJ408" s="1465">
        <f t="shared" si="24"/>
        <v>0</v>
      </c>
      <c r="AK408" s="1465">
        <f t="shared" si="25"/>
        <v>0</v>
      </c>
      <c r="AL408" s="1466"/>
      <c r="AM408" s="615"/>
    </row>
    <row r="409" spans="1:39" s="156" customFormat="1" ht="19.149999999999999" customHeight="1" outlineLevel="1">
      <c r="A409" s="1182">
        <v>392</v>
      </c>
      <c r="B409" s="1182">
        <v>25</v>
      </c>
      <c r="C409" s="1635" t="str">
        <f>VLOOKUP(D409,'DS CN MOI UP'!$B$10:$C$347,2,0)</f>
        <v>02638</v>
      </c>
      <c r="D409" s="1185" t="s">
        <v>288</v>
      </c>
      <c r="E409" s="1462"/>
      <c r="F409" s="1462"/>
      <c r="G409" s="1462"/>
      <c r="H409" s="1462"/>
      <c r="I409" s="1462"/>
      <c r="J409" s="1462"/>
      <c r="K409" s="1462"/>
      <c r="L409" s="1462"/>
      <c r="M409" s="1462"/>
      <c r="N409" s="1462"/>
      <c r="O409" s="1462"/>
      <c r="P409" s="1462"/>
      <c r="Q409" s="1462"/>
      <c r="R409" s="1462"/>
      <c r="S409" s="1462"/>
      <c r="T409" s="1462"/>
      <c r="U409" s="1462"/>
      <c r="V409" s="1462"/>
      <c r="W409" s="1462"/>
      <c r="X409" s="1462"/>
      <c r="Y409" s="1462"/>
      <c r="Z409" s="1462"/>
      <c r="AA409" s="1462"/>
      <c r="AB409" s="1462"/>
      <c r="AC409" s="1462"/>
      <c r="AD409" s="1462"/>
      <c r="AE409" s="1462"/>
      <c r="AF409" s="1462"/>
      <c r="AG409" s="1462"/>
      <c r="AH409" s="1462"/>
      <c r="AI409" s="1462"/>
      <c r="AJ409" s="1465">
        <f t="shared" si="24"/>
        <v>0</v>
      </c>
      <c r="AK409" s="1465">
        <f t="shared" si="25"/>
        <v>0</v>
      </c>
      <c r="AL409" s="1466"/>
      <c r="AM409" s="615"/>
    </row>
    <row r="410" spans="1:39" s="156" customFormat="1" ht="19.149999999999999" customHeight="1" outlineLevel="1">
      <c r="A410" s="1182">
        <v>393</v>
      </c>
      <c r="B410" s="1182">
        <v>26</v>
      </c>
      <c r="C410" s="1635" t="str">
        <f>VLOOKUP(D410,'DS CN MOI UP'!$B$10:$C$347,2,0)</f>
        <v>02639</v>
      </c>
      <c r="D410" s="1185" t="s">
        <v>289</v>
      </c>
      <c r="E410" s="1462"/>
      <c r="F410" s="1462"/>
      <c r="G410" s="1462"/>
      <c r="H410" s="1462"/>
      <c r="I410" s="1462"/>
      <c r="J410" s="1462"/>
      <c r="K410" s="1462"/>
      <c r="L410" s="1462"/>
      <c r="M410" s="1462"/>
      <c r="N410" s="1462"/>
      <c r="O410" s="1462"/>
      <c r="P410" s="1462"/>
      <c r="Q410" s="1462"/>
      <c r="R410" s="1462"/>
      <c r="S410" s="1462"/>
      <c r="T410" s="1462"/>
      <c r="U410" s="1462"/>
      <c r="V410" s="1462"/>
      <c r="W410" s="1462"/>
      <c r="X410" s="1462"/>
      <c r="Y410" s="1462"/>
      <c r="Z410" s="1462"/>
      <c r="AA410" s="1462"/>
      <c r="AB410" s="1462"/>
      <c r="AC410" s="1462"/>
      <c r="AD410" s="1462"/>
      <c r="AE410" s="1462"/>
      <c r="AF410" s="1462"/>
      <c r="AG410" s="1462"/>
      <c r="AH410" s="1462"/>
      <c r="AI410" s="1462"/>
      <c r="AJ410" s="1465">
        <f t="shared" si="24"/>
        <v>0</v>
      </c>
      <c r="AK410" s="1465">
        <f t="shared" si="25"/>
        <v>0</v>
      </c>
      <c r="AL410" s="1466"/>
      <c r="AM410" s="615"/>
    </row>
    <row r="411" spans="1:39" s="156" customFormat="1" ht="19.149999999999999" customHeight="1" outlineLevel="1">
      <c r="A411" s="1182">
        <v>394</v>
      </c>
      <c r="B411" s="1182">
        <v>27</v>
      </c>
      <c r="C411" s="1182" t="e">
        <f>VLOOKUP(D411,'DS CN MOI UP'!$B$10:$C$347,2,0)</f>
        <v>#N/A</v>
      </c>
      <c r="D411" s="1185" t="s">
        <v>290</v>
      </c>
      <c r="E411" s="1462"/>
      <c r="F411" s="1462"/>
      <c r="G411" s="1462"/>
      <c r="H411" s="1462"/>
      <c r="I411" s="1462"/>
      <c r="J411" s="1462"/>
      <c r="K411" s="1462"/>
      <c r="L411" s="1462"/>
      <c r="M411" s="1462"/>
      <c r="N411" s="1462"/>
      <c r="O411" s="1462"/>
      <c r="P411" s="1462"/>
      <c r="Q411" s="1462"/>
      <c r="R411" s="1462"/>
      <c r="S411" s="1462"/>
      <c r="T411" s="1462"/>
      <c r="U411" s="1462"/>
      <c r="V411" s="1462"/>
      <c r="W411" s="1462"/>
      <c r="X411" s="1462"/>
      <c r="Y411" s="1462"/>
      <c r="Z411" s="1462"/>
      <c r="AA411" s="1462"/>
      <c r="AB411" s="1462"/>
      <c r="AC411" s="1462"/>
      <c r="AD411" s="1462"/>
      <c r="AE411" s="1462"/>
      <c r="AF411" s="1462"/>
      <c r="AG411" s="1462"/>
      <c r="AH411" s="1462"/>
      <c r="AI411" s="1462"/>
      <c r="AJ411" s="1465">
        <f t="shared" si="24"/>
        <v>0</v>
      </c>
      <c r="AK411" s="1465">
        <f t="shared" si="25"/>
        <v>0</v>
      </c>
      <c r="AL411" s="1466"/>
      <c r="AM411" s="615"/>
    </row>
    <row r="412" spans="1:39" s="156" customFormat="1" ht="19.149999999999999" customHeight="1" outlineLevel="1">
      <c r="A412" s="1182">
        <v>395</v>
      </c>
      <c r="B412" s="1182">
        <v>28</v>
      </c>
      <c r="C412" s="1635" t="str">
        <f>VLOOKUP(D412,'DS CN MOI UP'!$B$10:$C$347,2,0)</f>
        <v>02641</v>
      </c>
      <c r="D412" s="1185" t="s">
        <v>291</v>
      </c>
      <c r="E412" s="1462"/>
      <c r="F412" s="1462"/>
      <c r="G412" s="1462"/>
      <c r="H412" s="1462"/>
      <c r="I412" s="1462"/>
      <c r="J412" s="1462"/>
      <c r="K412" s="1462"/>
      <c r="L412" s="1462"/>
      <c r="M412" s="1462"/>
      <c r="N412" s="1462"/>
      <c r="O412" s="1462"/>
      <c r="P412" s="1462"/>
      <c r="Q412" s="1462"/>
      <c r="R412" s="1462"/>
      <c r="S412" s="1462"/>
      <c r="T412" s="1462"/>
      <c r="U412" s="1462"/>
      <c r="V412" s="1462"/>
      <c r="W412" s="1462"/>
      <c r="X412" s="1462"/>
      <c r="Y412" s="1462"/>
      <c r="Z412" s="1462"/>
      <c r="AA412" s="1462"/>
      <c r="AB412" s="1462"/>
      <c r="AC412" s="1462"/>
      <c r="AD412" s="1462"/>
      <c r="AE412" s="1462"/>
      <c r="AF412" s="1462"/>
      <c r="AG412" s="1462"/>
      <c r="AH412" s="1462"/>
      <c r="AI412" s="1462"/>
      <c r="AJ412" s="1465">
        <f t="shared" si="24"/>
        <v>0</v>
      </c>
      <c r="AK412" s="1465">
        <f t="shared" si="25"/>
        <v>0</v>
      </c>
      <c r="AL412" s="1466"/>
      <c r="AM412" s="615"/>
    </row>
    <row r="413" spans="1:39" s="156" customFormat="1" ht="19.149999999999999" customHeight="1" outlineLevel="1">
      <c r="A413" s="1182">
        <v>396</v>
      </c>
      <c r="B413" s="1182">
        <v>29</v>
      </c>
      <c r="C413" s="1635" t="str">
        <f>VLOOKUP(D413,'DS CN MOI UP'!$B$10:$C$347,2,0)</f>
        <v>03406</v>
      </c>
      <c r="D413" s="1185" t="s">
        <v>292</v>
      </c>
      <c r="E413" s="1462"/>
      <c r="F413" s="1462"/>
      <c r="G413" s="1462"/>
      <c r="H413" s="1462"/>
      <c r="I413" s="1462"/>
      <c r="J413" s="1462"/>
      <c r="K413" s="1462"/>
      <c r="L413" s="1462"/>
      <c r="M413" s="1462"/>
      <c r="N413" s="1462"/>
      <c r="O413" s="1462"/>
      <c r="P413" s="1462"/>
      <c r="Q413" s="1462"/>
      <c r="R413" s="1462"/>
      <c r="S413" s="1462"/>
      <c r="T413" s="1462"/>
      <c r="U413" s="1462"/>
      <c r="V413" s="1462"/>
      <c r="W413" s="1462"/>
      <c r="X413" s="1462"/>
      <c r="Y413" s="1462"/>
      <c r="Z413" s="1462"/>
      <c r="AA413" s="1462"/>
      <c r="AB413" s="1462"/>
      <c r="AC413" s="1462"/>
      <c r="AD413" s="1462"/>
      <c r="AE413" s="1462"/>
      <c r="AF413" s="1462"/>
      <c r="AG413" s="1462"/>
      <c r="AH413" s="1462"/>
      <c r="AI413" s="1462"/>
      <c r="AJ413" s="1465">
        <f t="shared" si="24"/>
        <v>0</v>
      </c>
      <c r="AK413" s="1465">
        <f t="shared" si="25"/>
        <v>0</v>
      </c>
      <c r="AL413" s="1466"/>
      <c r="AM413" s="615"/>
    </row>
    <row r="414" spans="1:39" s="156" customFormat="1" ht="19.149999999999999" customHeight="1" outlineLevel="1">
      <c r="A414" s="1182">
        <v>397</v>
      </c>
      <c r="B414" s="1182">
        <v>30</v>
      </c>
      <c r="C414" s="1635" t="str">
        <f>VLOOKUP(D414,'DS CN MOI UP'!$B$10:$C$347,2,0)</f>
        <v>02643</v>
      </c>
      <c r="D414" s="1185" t="s">
        <v>293</v>
      </c>
      <c r="E414" s="1462"/>
      <c r="F414" s="1462"/>
      <c r="G414" s="1462"/>
      <c r="H414" s="1462"/>
      <c r="I414" s="1462"/>
      <c r="J414" s="1462"/>
      <c r="K414" s="1462"/>
      <c r="L414" s="1462"/>
      <c r="M414" s="1462"/>
      <c r="N414" s="1462"/>
      <c r="O414" s="1462"/>
      <c r="P414" s="1462"/>
      <c r="Q414" s="1462"/>
      <c r="R414" s="1462"/>
      <c r="S414" s="1462"/>
      <c r="T414" s="1462"/>
      <c r="U414" s="1462"/>
      <c r="V414" s="1462"/>
      <c r="W414" s="1462"/>
      <c r="X414" s="1462"/>
      <c r="Y414" s="1462"/>
      <c r="Z414" s="1462"/>
      <c r="AA414" s="1462"/>
      <c r="AB414" s="1462"/>
      <c r="AC414" s="1462"/>
      <c r="AD414" s="1462"/>
      <c r="AE414" s="1462"/>
      <c r="AF414" s="1462"/>
      <c r="AG414" s="1462"/>
      <c r="AH414" s="1462"/>
      <c r="AI414" s="1462"/>
      <c r="AJ414" s="1465">
        <f t="shared" si="24"/>
        <v>0</v>
      </c>
      <c r="AK414" s="1465">
        <f t="shared" si="25"/>
        <v>0</v>
      </c>
      <c r="AL414" s="1466"/>
      <c r="AM414" s="615"/>
    </row>
    <row r="415" spans="1:39" s="156" customFormat="1" ht="19.149999999999999" customHeight="1" outlineLevel="1">
      <c r="A415" s="1182">
        <v>398</v>
      </c>
      <c r="B415" s="1182">
        <v>31</v>
      </c>
      <c r="C415" s="1635" t="str">
        <f>VLOOKUP(D415,'DS CN MOI UP'!$B$10:$C$347,2,0)</f>
        <v>03407</v>
      </c>
      <c r="D415" s="1185" t="s">
        <v>294</v>
      </c>
      <c r="E415" s="1462"/>
      <c r="F415" s="1462"/>
      <c r="G415" s="1462"/>
      <c r="H415" s="1462"/>
      <c r="I415" s="1462"/>
      <c r="J415" s="1462"/>
      <c r="K415" s="1462"/>
      <c r="L415" s="1462"/>
      <c r="M415" s="1462"/>
      <c r="N415" s="1462"/>
      <c r="O415" s="1462"/>
      <c r="P415" s="1462"/>
      <c r="Q415" s="1462"/>
      <c r="R415" s="1462"/>
      <c r="S415" s="1462"/>
      <c r="T415" s="1462"/>
      <c r="U415" s="1462"/>
      <c r="V415" s="1462"/>
      <c r="W415" s="1462"/>
      <c r="X415" s="1462"/>
      <c r="Y415" s="1462"/>
      <c r="Z415" s="1462"/>
      <c r="AA415" s="1462"/>
      <c r="AB415" s="1462"/>
      <c r="AC415" s="1462"/>
      <c r="AD415" s="1462"/>
      <c r="AE415" s="1462"/>
      <c r="AF415" s="1462"/>
      <c r="AG415" s="1462"/>
      <c r="AH415" s="1462"/>
      <c r="AI415" s="1462"/>
      <c r="AJ415" s="1465">
        <f t="shared" si="24"/>
        <v>0</v>
      </c>
      <c r="AK415" s="1465">
        <f t="shared" si="25"/>
        <v>0</v>
      </c>
      <c r="AL415" s="1466"/>
      <c r="AM415" s="615"/>
    </row>
    <row r="416" spans="1:39" s="156" customFormat="1" ht="19.149999999999999" customHeight="1" outlineLevel="1">
      <c r="A416" s="1182">
        <v>399</v>
      </c>
      <c r="B416" s="1182">
        <v>32</v>
      </c>
      <c r="C416" s="1635" t="str">
        <f>VLOOKUP(D416,'DS CN MOI UP'!$B$10:$C$347,2,0)</f>
        <v>03408</v>
      </c>
      <c r="D416" s="1185" t="s">
        <v>295</v>
      </c>
      <c r="E416" s="1462"/>
      <c r="F416" s="1462"/>
      <c r="G416" s="1462"/>
      <c r="H416" s="1462"/>
      <c r="I416" s="1462"/>
      <c r="J416" s="1462"/>
      <c r="K416" s="1462"/>
      <c r="L416" s="1462"/>
      <c r="M416" s="1462"/>
      <c r="N416" s="1462"/>
      <c r="O416" s="1462"/>
      <c r="P416" s="1462"/>
      <c r="Q416" s="1462"/>
      <c r="R416" s="1462"/>
      <c r="S416" s="1462"/>
      <c r="T416" s="1462"/>
      <c r="U416" s="1462"/>
      <c r="V416" s="1462"/>
      <c r="W416" s="1462"/>
      <c r="X416" s="1462"/>
      <c r="Y416" s="1462"/>
      <c r="Z416" s="1462"/>
      <c r="AA416" s="1462"/>
      <c r="AB416" s="1462"/>
      <c r="AC416" s="1462"/>
      <c r="AD416" s="1462"/>
      <c r="AE416" s="1462"/>
      <c r="AF416" s="1462"/>
      <c r="AG416" s="1462"/>
      <c r="AH416" s="1462"/>
      <c r="AI416" s="1462"/>
      <c r="AJ416" s="1465">
        <f t="shared" si="24"/>
        <v>0</v>
      </c>
      <c r="AK416" s="1465">
        <f t="shared" si="25"/>
        <v>0</v>
      </c>
      <c r="AL416" s="1466"/>
      <c r="AM416" s="615"/>
    </row>
    <row r="417" spans="1:39" s="156" customFormat="1" ht="19.149999999999999" customHeight="1" outlineLevel="1">
      <c r="A417" s="1182">
        <v>400</v>
      </c>
      <c r="B417" s="1182">
        <v>33</v>
      </c>
      <c r="C417" s="1635" t="str">
        <f>VLOOKUP(D417,'DS CN MOI UP'!$B$10:$C$347,2,0)</f>
        <v>02646</v>
      </c>
      <c r="D417" s="1185" t="s">
        <v>296</v>
      </c>
      <c r="E417" s="1462"/>
      <c r="F417" s="1462"/>
      <c r="G417" s="1462"/>
      <c r="H417" s="1462"/>
      <c r="I417" s="1462"/>
      <c r="J417" s="1462"/>
      <c r="K417" s="1462"/>
      <c r="L417" s="1462"/>
      <c r="M417" s="1462"/>
      <c r="N417" s="1462"/>
      <c r="O417" s="1462"/>
      <c r="P417" s="1462"/>
      <c r="Q417" s="1462"/>
      <c r="R417" s="1462"/>
      <c r="S417" s="1462"/>
      <c r="T417" s="1462"/>
      <c r="U417" s="1462"/>
      <c r="V417" s="1462"/>
      <c r="W417" s="1462"/>
      <c r="X417" s="1462"/>
      <c r="Y417" s="1462"/>
      <c r="Z417" s="1462"/>
      <c r="AA417" s="1462"/>
      <c r="AB417" s="1462"/>
      <c r="AC417" s="1462"/>
      <c r="AD417" s="1462"/>
      <c r="AE417" s="1462"/>
      <c r="AF417" s="1462"/>
      <c r="AG417" s="1462"/>
      <c r="AH417" s="1462"/>
      <c r="AI417" s="1462"/>
      <c r="AJ417" s="1465">
        <f t="shared" si="24"/>
        <v>0</v>
      </c>
      <c r="AK417" s="1465">
        <f t="shared" si="25"/>
        <v>0</v>
      </c>
      <c r="AL417" s="1466"/>
      <c r="AM417" s="615"/>
    </row>
    <row r="418" spans="1:39" s="156" customFormat="1" ht="19.149999999999999" customHeight="1" outlineLevel="1">
      <c r="A418" s="1182">
        <v>401</v>
      </c>
      <c r="B418" s="1182">
        <v>34</v>
      </c>
      <c r="C418" s="1635" t="str">
        <f>VLOOKUP(D418,'DS CN MOI UP'!$B$10:$C$347,2,0)</f>
        <v>02647</v>
      </c>
      <c r="D418" s="1185" t="s">
        <v>297</v>
      </c>
      <c r="E418" s="1462"/>
      <c r="F418" s="1462"/>
      <c r="G418" s="1462"/>
      <c r="H418" s="1462"/>
      <c r="I418" s="1462"/>
      <c r="J418" s="1462"/>
      <c r="K418" s="1462"/>
      <c r="L418" s="1462"/>
      <c r="M418" s="1462"/>
      <c r="N418" s="1462"/>
      <c r="O418" s="1462"/>
      <c r="P418" s="1462"/>
      <c r="Q418" s="1462"/>
      <c r="R418" s="1462"/>
      <c r="S418" s="1462"/>
      <c r="T418" s="1462"/>
      <c r="U418" s="1462"/>
      <c r="V418" s="1462"/>
      <c r="W418" s="1462"/>
      <c r="X418" s="1462"/>
      <c r="Y418" s="1462"/>
      <c r="Z418" s="1462"/>
      <c r="AA418" s="1462"/>
      <c r="AB418" s="1462"/>
      <c r="AC418" s="1462"/>
      <c r="AD418" s="1462"/>
      <c r="AE418" s="1462"/>
      <c r="AF418" s="1462"/>
      <c r="AG418" s="1462"/>
      <c r="AH418" s="1462"/>
      <c r="AI418" s="1462"/>
      <c r="AJ418" s="1465">
        <f t="shared" si="24"/>
        <v>0</v>
      </c>
      <c r="AK418" s="1465">
        <f t="shared" si="25"/>
        <v>0</v>
      </c>
      <c r="AL418" s="1466"/>
      <c r="AM418" s="615"/>
    </row>
    <row r="419" spans="1:39" s="156" customFormat="1" ht="19.149999999999999" customHeight="1" outlineLevel="1">
      <c r="A419" s="1182">
        <v>402</v>
      </c>
      <c r="B419" s="1182">
        <v>35</v>
      </c>
      <c r="C419" s="1635" t="str">
        <f>VLOOKUP(D419,'DS CN MOI UP'!$B$10:$C$347,2,0)</f>
        <v>02648</v>
      </c>
      <c r="D419" s="1185" t="s">
        <v>298</v>
      </c>
      <c r="E419" s="1462"/>
      <c r="F419" s="1462"/>
      <c r="G419" s="1462"/>
      <c r="H419" s="1462"/>
      <c r="I419" s="1462"/>
      <c r="J419" s="1462"/>
      <c r="K419" s="1462"/>
      <c r="L419" s="1462"/>
      <c r="M419" s="1462"/>
      <c r="N419" s="1462"/>
      <c r="O419" s="1462"/>
      <c r="P419" s="1462"/>
      <c r="Q419" s="1462"/>
      <c r="R419" s="1462"/>
      <c r="S419" s="1462"/>
      <c r="T419" s="1462"/>
      <c r="U419" s="1462"/>
      <c r="V419" s="1462"/>
      <c r="W419" s="1462"/>
      <c r="X419" s="1462"/>
      <c r="Y419" s="1462"/>
      <c r="Z419" s="1462"/>
      <c r="AA419" s="1462"/>
      <c r="AB419" s="1462"/>
      <c r="AC419" s="1462"/>
      <c r="AD419" s="1462"/>
      <c r="AE419" s="1462"/>
      <c r="AF419" s="1462"/>
      <c r="AG419" s="1462"/>
      <c r="AH419" s="1462"/>
      <c r="AI419" s="1462"/>
      <c r="AJ419" s="1465">
        <f t="shared" si="24"/>
        <v>0</v>
      </c>
      <c r="AK419" s="1465">
        <f t="shared" si="25"/>
        <v>0</v>
      </c>
      <c r="AL419" s="1466"/>
      <c r="AM419" s="615"/>
    </row>
    <row r="420" spans="1:39" s="156" customFormat="1" ht="19.149999999999999" customHeight="1" outlineLevel="1">
      <c r="A420" s="1182">
        <v>403</v>
      </c>
      <c r="B420" s="1182">
        <v>36</v>
      </c>
      <c r="C420" s="1635" t="str">
        <f>VLOOKUP(D420,'DS CN MOI UP'!$B$10:$C$347,2,0)</f>
        <v>02649</v>
      </c>
      <c r="D420" s="1185" t="s">
        <v>299</v>
      </c>
      <c r="E420" s="1462"/>
      <c r="F420" s="1462"/>
      <c r="G420" s="1462"/>
      <c r="H420" s="1462"/>
      <c r="I420" s="1462"/>
      <c r="J420" s="1462"/>
      <c r="K420" s="1462"/>
      <c r="L420" s="1462"/>
      <c r="M420" s="1462"/>
      <c r="N420" s="1462"/>
      <c r="O420" s="1462"/>
      <c r="P420" s="1462"/>
      <c r="Q420" s="1462"/>
      <c r="R420" s="1462"/>
      <c r="S420" s="1462"/>
      <c r="T420" s="1462"/>
      <c r="U420" s="1462"/>
      <c r="V420" s="1462"/>
      <c r="W420" s="1462"/>
      <c r="X420" s="1462"/>
      <c r="Y420" s="1462"/>
      <c r="Z420" s="1462"/>
      <c r="AA420" s="1462"/>
      <c r="AB420" s="1462"/>
      <c r="AC420" s="1462"/>
      <c r="AD420" s="1462"/>
      <c r="AE420" s="1462"/>
      <c r="AF420" s="1462"/>
      <c r="AG420" s="1462"/>
      <c r="AH420" s="1462"/>
      <c r="AI420" s="1462"/>
      <c r="AJ420" s="1465">
        <f t="shared" si="24"/>
        <v>0</v>
      </c>
      <c r="AK420" s="1465">
        <f t="shared" si="25"/>
        <v>0</v>
      </c>
      <c r="AL420" s="1466"/>
      <c r="AM420" s="615"/>
    </row>
    <row r="421" spans="1:39" s="156" customFormat="1" ht="19.149999999999999" customHeight="1" outlineLevel="1">
      <c r="A421" s="1182">
        <v>404</v>
      </c>
      <c r="B421" s="1182">
        <v>37</v>
      </c>
      <c r="C421" s="1635" t="str">
        <f>VLOOKUP(D421,'DS CN MOI UP'!$B$10:$C$347,2,0)</f>
        <v>02650</v>
      </c>
      <c r="D421" s="1185" t="s">
        <v>300</v>
      </c>
      <c r="E421" s="1462"/>
      <c r="F421" s="1462"/>
      <c r="G421" s="1462"/>
      <c r="H421" s="1462"/>
      <c r="I421" s="1462"/>
      <c r="J421" s="1462"/>
      <c r="K421" s="1462"/>
      <c r="L421" s="1462"/>
      <c r="M421" s="1462"/>
      <c r="N421" s="1462"/>
      <c r="O421" s="1462"/>
      <c r="P421" s="1462"/>
      <c r="Q421" s="1462"/>
      <c r="R421" s="1462"/>
      <c r="S421" s="1462"/>
      <c r="T421" s="1462"/>
      <c r="U421" s="1462"/>
      <c r="V421" s="1462"/>
      <c r="W421" s="1462"/>
      <c r="X421" s="1462"/>
      <c r="Y421" s="1462"/>
      <c r="Z421" s="1462"/>
      <c r="AA421" s="1462"/>
      <c r="AB421" s="1462"/>
      <c r="AC421" s="1462"/>
      <c r="AD421" s="1462"/>
      <c r="AE421" s="1462"/>
      <c r="AF421" s="1462"/>
      <c r="AG421" s="1462"/>
      <c r="AH421" s="1462"/>
      <c r="AI421" s="1462"/>
      <c r="AJ421" s="1465">
        <f t="shared" si="24"/>
        <v>0</v>
      </c>
      <c r="AK421" s="1465">
        <f t="shared" si="25"/>
        <v>0</v>
      </c>
      <c r="AL421" s="1466"/>
      <c r="AM421" s="615"/>
    </row>
    <row r="422" spans="1:39" s="156" customFormat="1" ht="19.149999999999999" customHeight="1" outlineLevel="1">
      <c r="A422" s="1182">
        <v>405</v>
      </c>
      <c r="B422" s="1182">
        <v>38</v>
      </c>
      <c r="C422" s="1635" t="str">
        <f>VLOOKUP(D422,'DS CN MOI UP'!$B$10:$C$347,2,0)</f>
        <v>02651</v>
      </c>
      <c r="D422" s="1185" t="s">
        <v>301</v>
      </c>
      <c r="E422" s="1462"/>
      <c r="F422" s="1462"/>
      <c r="G422" s="1462"/>
      <c r="H422" s="1462"/>
      <c r="I422" s="1462"/>
      <c r="J422" s="1462"/>
      <c r="K422" s="1462"/>
      <c r="L422" s="1462"/>
      <c r="M422" s="1462"/>
      <c r="N422" s="1462"/>
      <c r="O422" s="1462"/>
      <c r="P422" s="1462"/>
      <c r="Q422" s="1462"/>
      <c r="R422" s="1462"/>
      <c r="S422" s="1462"/>
      <c r="T422" s="1462"/>
      <c r="U422" s="1462"/>
      <c r="V422" s="1462"/>
      <c r="W422" s="1462"/>
      <c r="X422" s="1462"/>
      <c r="Y422" s="1462"/>
      <c r="Z422" s="1462"/>
      <c r="AA422" s="1462"/>
      <c r="AB422" s="1462"/>
      <c r="AC422" s="1462"/>
      <c r="AD422" s="1462"/>
      <c r="AE422" s="1462"/>
      <c r="AF422" s="1462"/>
      <c r="AG422" s="1462"/>
      <c r="AH422" s="1462"/>
      <c r="AI422" s="1462"/>
      <c r="AJ422" s="1465">
        <f t="shared" si="24"/>
        <v>0</v>
      </c>
      <c r="AK422" s="1465">
        <f t="shared" si="25"/>
        <v>0</v>
      </c>
      <c r="AL422" s="1466"/>
      <c r="AM422" s="615"/>
    </row>
    <row r="423" spans="1:39" s="156" customFormat="1" ht="19.149999999999999" customHeight="1" outlineLevel="1">
      <c r="A423" s="1182">
        <v>406</v>
      </c>
      <c r="B423" s="1182">
        <v>39</v>
      </c>
      <c r="C423" s="1635" t="str">
        <f>VLOOKUP(D423,'DS CN MOI UP'!$B$10:$C$347,2,0)</f>
        <v>02652</v>
      </c>
      <c r="D423" s="1185" t="s">
        <v>302</v>
      </c>
      <c r="E423" s="1462"/>
      <c r="F423" s="1462"/>
      <c r="G423" s="1462"/>
      <c r="H423" s="1462"/>
      <c r="I423" s="1462"/>
      <c r="J423" s="1462"/>
      <c r="K423" s="1462"/>
      <c r="L423" s="1462"/>
      <c r="M423" s="1462"/>
      <c r="N423" s="1462"/>
      <c r="O423" s="1462"/>
      <c r="P423" s="1462"/>
      <c r="Q423" s="1462"/>
      <c r="R423" s="1462"/>
      <c r="S423" s="1462"/>
      <c r="T423" s="1462"/>
      <c r="U423" s="1462"/>
      <c r="V423" s="1462"/>
      <c r="W423" s="1462"/>
      <c r="X423" s="1462"/>
      <c r="Y423" s="1462"/>
      <c r="Z423" s="1462"/>
      <c r="AA423" s="1462"/>
      <c r="AB423" s="1462"/>
      <c r="AC423" s="1462"/>
      <c r="AD423" s="1462"/>
      <c r="AE423" s="1462"/>
      <c r="AF423" s="1462"/>
      <c r="AG423" s="1462"/>
      <c r="AH423" s="1462"/>
      <c r="AI423" s="1462"/>
      <c r="AJ423" s="1465">
        <f t="shared" si="24"/>
        <v>0</v>
      </c>
      <c r="AK423" s="1465">
        <f t="shared" si="25"/>
        <v>0</v>
      </c>
      <c r="AL423" s="1466"/>
      <c r="AM423" s="615"/>
    </row>
    <row r="424" spans="1:39" s="156" customFormat="1" ht="19.149999999999999" customHeight="1" outlineLevel="1">
      <c r="A424" s="1182">
        <v>407</v>
      </c>
      <c r="B424" s="1182">
        <v>40</v>
      </c>
      <c r="C424" s="1182" t="e">
        <f>VLOOKUP(D424,'DS CN MOI UP'!$B$10:$C$347,2,0)</f>
        <v>#N/A</v>
      </c>
      <c r="D424" s="1185" t="s">
        <v>303</v>
      </c>
      <c r="E424" s="1462"/>
      <c r="F424" s="1462"/>
      <c r="G424" s="1462"/>
      <c r="H424" s="1462"/>
      <c r="I424" s="1462"/>
      <c r="J424" s="1462"/>
      <c r="K424" s="1462"/>
      <c r="L424" s="1462"/>
      <c r="M424" s="1462"/>
      <c r="N424" s="1462"/>
      <c r="O424" s="1462"/>
      <c r="P424" s="1462"/>
      <c r="Q424" s="1462"/>
      <c r="R424" s="1462"/>
      <c r="S424" s="1462"/>
      <c r="T424" s="1462"/>
      <c r="U424" s="1462"/>
      <c r="V424" s="1462"/>
      <c r="W424" s="1462"/>
      <c r="X424" s="1462"/>
      <c r="Y424" s="1462"/>
      <c r="Z424" s="1462"/>
      <c r="AA424" s="1462"/>
      <c r="AB424" s="1462"/>
      <c r="AC424" s="1462"/>
      <c r="AD424" s="1462"/>
      <c r="AE424" s="1462"/>
      <c r="AF424" s="1462"/>
      <c r="AG424" s="1462"/>
      <c r="AH424" s="1462"/>
      <c r="AI424" s="1462"/>
      <c r="AJ424" s="1465">
        <f t="shared" si="24"/>
        <v>0</v>
      </c>
      <c r="AK424" s="1465">
        <f t="shared" si="25"/>
        <v>0</v>
      </c>
      <c r="AL424" s="1466"/>
      <c r="AM424" s="615"/>
    </row>
    <row r="425" spans="1:39" s="156" customFormat="1" ht="19.149999999999999" customHeight="1" outlineLevel="1">
      <c r="A425" s="1182">
        <v>408</v>
      </c>
      <c r="B425" s="1182">
        <v>41</v>
      </c>
      <c r="C425" s="1635" t="str">
        <f>VLOOKUP(D425,'DS CN MOI UP'!$B$10:$C$347,2,0)</f>
        <v>02654</v>
      </c>
      <c r="D425" s="1185" t="s">
        <v>304</v>
      </c>
      <c r="E425" s="1462"/>
      <c r="F425" s="1462"/>
      <c r="G425" s="1462"/>
      <c r="H425" s="1462"/>
      <c r="I425" s="1462"/>
      <c r="J425" s="1462"/>
      <c r="K425" s="1462"/>
      <c r="L425" s="1462"/>
      <c r="M425" s="1462"/>
      <c r="N425" s="1462"/>
      <c r="O425" s="1462"/>
      <c r="P425" s="1462"/>
      <c r="Q425" s="1462"/>
      <c r="R425" s="1462"/>
      <c r="S425" s="1462"/>
      <c r="T425" s="1462"/>
      <c r="U425" s="1462"/>
      <c r="V425" s="1462"/>
      <c r="W425" s="1462"/>
      <c r="X425" s="1462"/>
      <c r="Y425" s="1462"/>
      <c r="Z425" s="1462"/>
      <c r="AA425" s="1462"/>
      <c r="AB425" s="1462"/>
      <c r="AC425" s="1462"/>
      <c r="AD425" s="1462"/>
      <c r="AE425" s="1462"/>
      <c r="AF425" s="1462"/>
      <c r="AG425" s="1462"/>
      <c r="AH425" s="1462"/>
      <c r="AI425" s="1462"/>
      <c r="AJ425" s="1465">
        <f t="shared" si="24"/>
        <v>0</v>
      </c>
      <c r="AK425" s="1465">
        <f t="shared" si="25"/>
        <v>0</v>
      </c>
      <c r="AL425" s="1466"/>
      <c r="AM425" s="615"/>
    </row>
    <row r="426" spans="1:39" s="1232" customFormat="1" ht="19.149999999999999" customHeight="1" outlineLevel="1">
      <c r="A426" s="1182">
        <v>409</v>
      </c>
      <c r="B426" s="1182">
        <v>42</v>
      </c>
      <c r="C426" s="1635" t="str">
        <f>VLOOKUP(D426,'DS CN MOI UP'!$B$10:$C$347,2,0)</f>
        <v>03861</v>
      </c>
      <c r="D426" s="1185" t="s">
        <v>305</v>
      </c>
      <c r="E426" s="1462"/>
      <c r="F426" s="1462"/>
      <c r="G426" s="1462"/>
      <c r="H426" s="1462"/>
      <c r="I426" s="1462"/>
      <c r="J426" s="1462"/>
      <c r="K426" s="1462"/>
      <c r="L426" s="1462"/>
      <c r="M426" s="1462"/>
      <c r="N426" s="1462"/>
      <c r="O426" s="1462"/>
      <c r="P426" s="1462"/>
      <c r="Q426" s="1462"/>
      <c r="R426" s="1462"/>
      <c r="S426" s="1462"/>
      <c r="T426" s="1462"/>
      <c r="U426" s="1462"/>
      <c r="V426" s="1462"/>
      <c r="W426" s="1462"/>
      <c r="X426" s="1462"/>
      <c r="Y426" s="1462"/>
      <c r="Z426" s="1462"/>
      <c r="AA426" s="1462"/>
      <c r="AB426" s="1462"/>
      <c r="AC426" s="1462"/>
      <c r="AD426" s="1462"/>
      <c r="AE426" s="1462"/>
      <c r="AF426" s="1462"/>
      <c r="AG426" s="1462"/>
      <c r="AH426" s="1462"/>
      <c r="AI426" s="1462"/>
      <c r="AJ426" s="1465">
        <f t="shared" si="24"/>
        <v>0</v>
      </c>
      <c r="AK426" s="1465">
        <f t="shared" si="25"/>
        <v>0</v>
      </c>
      <c r="AL426" s="1466"/>
      <c r="AM426" s="615"/>
    </row>
    <row r="427" spans="1:39" s="156" customFormat="1" ht="19.149999999999999" customHeight="1" outlineLevel="1">
      <c r="A427" s="1182">
        <v>410</v>
      </c>
      <c r="B427" s="1182">
        <v>43</v>
      </c>
      <c r="C427" s="1635" t="str">
        <f>VLOOKUP(D427,'DS CN MOI UP'!$B$10:$C$347,2,0)</f>
        <v>03859</v>
      </c>
      <c r="D427" s="1185" t="s">
        <v>331</v>
      </c>
      <c r="E427" s="1462"/>
      <c r="F427" s="1462"/>
      <c r="G427" s="1462"/>
      <c r="H427" s="1462"/>
      <c r="I427" s="1462"/>
      <c r="J427" s="1462"/>
      <c r="K427" s="1462"/>
      <c r="L427" s="1462"/>
      <c r="M427" s="1462"/>
      <c r="N427" s="1462"/>
      <c r="O427" s="1462"/>
      <c r="P427" s="1462"/>
      <c r="Q427" s="1462"/>
      <c r="R427" s="1462"/>
      <c r="S427" s="1462"/>
      <c r="T427" s="1462"/>
      <c r="U427" s="1462"/>
      <c r="V427" s="1462"/>
      <c r="W427" s="1462"/>
      <c r="X427" s="1462"/>
      <c r="Y427" s="1462"/>
      <c r="Z427" s="1462"/>
      <c r="AA427" s="1462"/>
      <c r="AB427" s="1462"/>
      <c r="AC427" s="1462"/>
      <c r="AD427" s="1462"/>
      <c r="AE427" s="1462"/>
      <c r="AF427" s="1462"/>
      <c r="AG427" s="1462"/>
      <c r="AH427" s="1462"/>
      <c r="AI427" s="1462"/>
      <c r="AJ427" s="1465">
        <f t="shared" si="24"/>
        <v>0</v>
      </c>
      <c r="AK427" s="1465">
        <f t="shared" si="25"/>
        <v>0</v>
      </c>
      <c r="AL427" s="1466"/>
      <c r="AM427" s="615"/>
    </row>
    <row r="428" spans="1:39" s="156" customFormat="1" ht="19.149999999999999" customHeight="1" outlineLevel="1">
      <c r="A428" s="1182">
        <v>411</v>
      </c>
      <c r="B428" s="1182">
        <v>44</v>
      </c>
      <c r="C428" s="1635" t="str">
        <f>VLOOKUP(D428,'DS CN MOI UP'!$B$10:$C$347,2,0)</f>
        <v>03411</v>
      </c>
      <c r="D428" s="1185" t="s">
        <v>332</v>
      </c>
      <c r="E428" s="1462"/>
      <c r="F428" s="1462"/>
      <c r="G428" s="1462"/>
      <c r="H428" s="1462"/>
      <c r="I428" s="1462"/>
      <c r="J428" s="1462"/>
      <c r="K428" s="1462"/>
      <c r="L428" s="1462"/>
      <c r="M428" s="1462"/>
      <c r="N428" s="1462"/>
      <c r="O428" s="1462"/>
      <c r="P428" s="1462"/>
      <c r="Q428" s="1462"/>
      <c r="R428" s="1462"/>
      <c r="S428" s="1462"/>
      <c r="T428" s="1462"/>
      <c r="U428" s="1462"/>
      <c r="V428" s="1462"/>
      <c r="W428" s="1462"/>
      <c r="X428" s="1462"/>
      <c r="Y428" s="1462"/>
      <c r="Z428" s="1462"/>
      <c r="AA428" s="1462"/>
      <c r="AB428" s="1462"/>
      <c r="AC428" s="1462"/>
      <c r="AD428" s="1462"/>
      <c r="AE428" s="1462"/>
      <c r="AF428" s="1462"/>
      <c r="AG428" s="1462"/>
      <c r="AH428" s="1462"/>
      <c r="AI428" s="1462"/>
      <c r="AJ428" s="1465">
        <f t="shared" si="24"/>
        <v>0</v>
      </c>
      <c r="AK428" s="1465">
        <f t="shared" si="25"/>
        <v>0</v>
      </c>
      <c r="AL428" s="1466"/>
      <c r="AM428" s="615"/>
    </row>
    <row r="429" spans="1:39" s="156" customFormat="1" ht="19.149999999999999" customHeight="1" outlineLevel="1">
      <c r="A429" s="1182">
        <v>412</v>
      </c>
      <c r="B429" s="1182">
        <v>45</v>
      </c>
      <c r="C429" s="1182" t="e">
        <f>VLOOKUP(D429,'DS CN MOI UP'!$B$10:$C$347,2,0)</f>
        <v>#N/A</v>
      </c>
      <c r="D429" s="1185" t="s">
        <v>333</v>
      </c>
      <c r="E429" s="1462"/>
      <c r="F429" s="1462"/>
      <c r="G429" s="1462"/>
      <c r="H429" s="1462"/>
      <c r="I429" s="1462"/>
      <c r="J429" s="1462"/>
      <c r="K429" s="1462"/>
      <c r="L429" s="1462"/>
      <c r="M429" s="1462"/>
      <c r="N429" s="1462"/>
      <c r="O429" s="1462"/>
      <c r="P429" s="1462"/>
      <c r="Q429" s="1462"/>
      <c r="R429" s="1462"/>
      <c r="S429" s="1462"/>
      <c r="T429" s="1462"/>
      <c r="U429" s="1462"/>
      <c r="V429" s="1462"/>
      <c r="W429" s="1462"/>
      <c r="X429" s="1462"/>
      <c r="Y429" s="1462"/>
      <c r="Z429" s="1462"/>
      <c r="AA429" s="1462"/>
      <c r="AB429" s="1462"/>
      <c r="AC429" s="1462"/>
      <c r="AD429" s="1462"/>
      <c r="AE429" s="1462"/>
      <c r="AF429" s="1462"/>
      <c r="AG429" s="1462"/>
      <c r="AH429" s="1462"/>
      <c r="AI429" s="1462"/>
      <c r="AJ429" s="1465">
        <f t="shared" si="24"/>
        <v>0</v>
      </c>
      <c r="AK429" s="1465">
        <f t="shared" si="25"/>
        <v>0</v>
      </c>
      <c r="AL429" s="1466"/>
      <c r="AM429" s="615"/>
    </row>
    <row r="430" spans="1:39" s="156" customFormat="1" ht="19.149999999999999" customHeight="1" outlineLevel="1">
      <c r="A430" s="1182">
        <v>413</v>
      </c>
      <c r="B430" s="1182">
        <v>46</v>
      </c>
      <c r="C430" s="1635" t="str">
        <f>VLOOKUP(D430,'DS CN MOI UP'!$B$10:$C$347,2,0)</f>
        <v>02625</v>
      </c>
      <c r="D430" s="1185" t="s">
        <v>334</v>
      </c>
      <c r="E430" s="1462"/>
      <c r="F430" s="1462"/>
      <c r="G430" s="1462"/>
      <c r="H430" s="1462"/>
      <c r="I430" s="1462"/>
      <c r="J430" s="1462"/>
      <c r="K430" s="1462"/>
      <c r="L430" s="1462"/>
      <c r="M430" s="1462"/>
      <c r="N430" s="1462"/>
      <c r="O430" s="1462"/>
      <c r="P430" s="1462"/>
      <c r="Q430" s="1462"/>
      <c r="R430" s="1462"/>
      <c r="S430" s="1462"/>
      <c r="T430" s="1462"/>
      <c r="U430" s="1462"/>
      <c r="V430" s="1462"/>
      <c r="W430" s="1462"/>
      <c r="X430" s="1462"/>
      <c r="Y430" s="1462"/>
      <c r="Z430" s="1462"/>
      <c r="AA430" s="1462"/>
      <c r="AB430" s="1462"/>
      <c r="AC430" s="1462"/>
      <c r="AD430" s="1462"/>
      <c r="AE430" s="1462"/>
      <c r="AF430" s="1462"/>
      <c r="AG430" s="1462"/>
      <c r="AH430" s="1462"/>
      <c r="AI430" s="1462"/>
      <c r="AJ430" s="1465">
        <f t="shared" si="24"/>
        <v>0</v>
      </c>
      <c r="AK430" s="1465">
        <f t="shared" si="25"/>
        <v>0</v>
      </c>
      <c r="AL430" s="1466"/>
      <c r="AM430" s="615"/>
    </row>
    <row r="431" spans="1:39" s="156" customFormat="1" ht="19.149999999999999" customHeight="1">
      <c r="A431" s="1182">
        <v>414</v>
      </c>
      <c r="B431" s="1182">
        <v>47</v>
      </c>
      <c r="C431" s="1635" t="str">
        <f>VLOOKUP(D431,'DS CN MOI UP'!$B$10:$C$347,2,0)</f>
        <v>03862</v>
      </c>
      <c r="D431" s="1185" t="s">
        <v>335</v>
      </c>
      <c r="E431" s="1462"/>
      <c r="F431" s="1462"/>
      <c r="G431" s="1462"/>
      <c r="H431" s="1462"/>
      <c r="I431" s="1462"/>
      <c r="J431" s="1462"/>
      <c r="K431" s="1462"/>
      <c r="L431" s="1462"/>
      <c r="M431" s="1462"/>
      <c r="N431" s="1462"/>
      <c r="O431" s="1462"/>
      <c r="P431" s="1462"/>
      <c r="Q431" s="1462"/>
      <c r="R431" s="1462"/>
      <c r="S431" s="1462"/>
      <c r="T431" s="1462"/>
      <c r="U431" s="1462"/>
      <c r="V431" s="1462"/>
      <c r="W431" s="1462"/>
      <c r="X431" s="1462"/>
      <c r="Y431" s="1462"/>
      <c r="Z431" s="1462"/>
      <c r="AA431" s="1462"/>
      <c r="AB431" s="1462"/>
      <c r="AC431" s="1462"/>
      <c r="AD431" s="1462"/>
      <c r="AE431" s="1462"/>
      <c r="AF431" s="1462"/>
      <c r="AG431" s="1462"/>
      <c r="AH431" s="1462"/>
      <c r="AI431" s="1462"/>
      <c r="AJ431" s="1465">
        <f t="shared" si="24"/>
        <v>0</v>
      </c>
      <c r="AK431" s="1465">
        <f t="shared" si="25"/>
        <v>0</v>
      </c>
      <c r="AL431" s="1466"/>
      <c r="AM431" s="615"/>
    </row>
    <row r="432" spans="1:39" s="156" customFormat="1" ht="19.149999999999999" customHeight="1">
      <c r="A432" s="1182">
        <v>415</v>
      </c>
      <c r="B432" s="1182">
        <v>48</v>
      </c>
      <c r="C432" s="1635" t="str">
        <f>VLOOKUP(D432,'DS CN MOI UP'!$B$10:$C$347,2,0)</f>
        <v>03413</v>
      </c>
      <c r="D432" s="1185" t="s">
        <v>336</v>
      </c>
      <c r="E432" s="1462"/>
      <c r="F432" s="1462"/>
      <c r="G432" s="1462"/>
      <c r="H432" s="1462"/>
      <c r="I432" s="1462"/>
      <c r="J432" s="1462"/>
      <c r="K432" s="1462"/>
      <c r="L432" s="1462"/>
      <c r="M432" s="1462"/>
      <c r="N432" s="1462"/>
      <c r="O432" s="1462"/>
      <c r="P432" s="1462"/>
      <c r="Q432" s="1462"/>
      <c r="R432" s="1462"/>
      <c r="S432" s="1462"/>
      <c r="T432" s="1462"/>
      <c r="U432" s="1462"/>
      <c r="V432" s="1462"/>
      <c r="W432" s="1462"/>
      <c r="X432" s="1462"/>
      <c r="Y432" s="1462"/>
      <c r="Z432" s="1462"/>
      <c r="AA432" s="1462"/>
      <c r="AB432" s="1462"/>
      <c r="AC432" s="1462"/>
      <c r="AD432" s="1462"/>
      <c r="AE432" s="1462"/>
      <c r="AF432" s="1462"/>
      <c r="AG432" s="1462"/>
      <c r="AH432" s="1462"/>
      <c r="AI432" s="1462"/>
      <c r="AJ432" s="1465">
        <f t="shared" si="24"/>
        <v>0</v>
      </c>
      <c r="AK432" s="1465">
        <f t="shared" si="25"/>
        <v>0</v>
      </c>
      <c r="AL432" s="1466"/>
      <c r="AM432" s="615"/>
    </row>
    <row r="433" spans="1:39" s="156" customFormat="1" ht="19.149999999999999" customHeight="1" outlineLevel="1">
      <c r="A433" s="1182">
        <v>416</v>
      </c>
      <c r="B433" s="1182">
        <v>49</v>
      </c>
      <c r="C433" s="1635" t="str">
        <f>VLOOKUP(D433,'DS CN MOI UP'!$B$10:$C$347,2,0)</f>
        <v>03414</v>
      </c>
      <c r="D433" s="1185" t="s">
        <v>337</v>
      </c>
      <c r="E433" s="1462"/>
      <c r="F433" s="1462"/>
      <c r="G433" s="1462"/>
      <c r="H433" s="1462"/>
      <c r="I433" s="1462"/>
      <c r="J433" s="1462"/>
      <c r="K433" s="1462"/>
      <c r="L433" s="1462"/>
      <c r="M433" s="1462"/>
      <c r="N433" s="1462"/>
      <c r="O433" s="1462"/>
      <c r="P433" s="1462"/>
      <c r="Q433" s="1462"/>
      <c r="R433" s="1462"/>
      <c r="S433" s="1462"/>
      <c r="T433" s="1462"/>
      <c r="U433" s="1462"/>
      <c r="V433" s="1462"/>
      <c r="W433" s="1462"/>
      <c r="X433" s="1462"/>
      <c r="Y433" s="1462"/>
      <c r="Z433" s="1462"/>
      <c r="AA433" s="1462"/>
      <c r="AB433" s="1462"/>
      <c r="AC433" s="1462"/>
      <c r="AD433" s="1462"/>
      <c r="AE433" s="1462"/>
      <c r="AF433" s="1462"/>
      <c r="AG433" s="1462"/>
      <c r="AH433" s="1462"/>
      <c r="AI433" s="1462"/>
      <c r="AJ433" s="1465">
        <f t="shared" si="24"/>
        <v>0</v>
      </c>
      <c r="AK433" s="1465">
        <f t="shared" si="25"/>
        <v>0</v>
      </c>
      <c r="AL433" s="1466"/>
      <c r="AM433" s="615"/>
    </row>
    <row r="434" spans="1:39" s="156" customFormat="1" ht="19.149999999999999" customHeight="1" outlineLevel="1">
      <c r="A434" s="1182">
        <v>417</v>
      </c>
      <c r="B434" s="1182">
        <v>50</v>
      </c>
      <c r="C434" s="1635" t="str">
        <f>VLOOKUP(D434,'DS CN MOI UP'!$B$10:$C$347,2,0)</f>
        <v>03415</v>
      </c>
      <c r="D434" s="1185" t="s">
        <v>338</v>
      </c>
      <c r="E434" s="1462"/>
      <c r="F434" s="1462"/>
      <c r="G434" s="1462"/>
      <c r="H434" s="1462"/>
      <c r="I434" s="1462"/>
      <c r="J434" s="1462"/>
      <c r="K434" s="1462"/>
      <c r="L434" s="1462"/>
      <c r="M434" s="1462"/>
      <c r="N434" s="1462"/>
      <c r="O434" s="1462"/>
      <c r="P434" s="1462"/>
      <c r="Q434" s="1462"/>
      <c r="R434" s="1462"/>
      <c r="S434" s="1462"/>
      <c r="T434" s="1462"/>
      <c r="U434" s="1462"/>
      <c r="V434" s="1462"/>
      <c r="W434" s="1462"/>
      <c r="X434" s="1462"/>
      <c r="Y434" s="1462"/>
      <c r="Z434" s="1462"/>
      <c r="AA434" s="1462"/>
      <c r="AB434" s="1462"/>
      <c r="AC434" s="1462"/>
      <c r="AD434" s="1462"/>
      <c r="AE434" s="1462"/>
      <c r="AF434" s="1462"/>
      <c r="AG434" s="1462"/>
      <c r="AH434" s="1462"/>
      <c r="AI434" s="1462"/>
      <c r="AJ434" s="1465">
        <f t="shared" si="24"/>
        <v>0</v>
      </c>
      <c r="AK434" s="1465">
        <f t="shared" si="25"/>
        <v>0</v>
      </c>
      <c r="AL434" s="1466"/>
      <c r="AM434" s="615"/>
    </row>
    <row r="435" spans="1:39" s="156" customFormat="1" ht="19.149999999999999" customHeight="1" outlineLevel="1">
      <c r="A435" s="1182">
        <v>418</v>
      </c>
      <c r="B435" s="1182">
        <v>51</v>
      </c>
      <c r="C435" s="1182" t="e">
        <f>VLOOKUP(D435,'DS CN MOI UP'!$B$10:$C$347,2,0)</f>
        <v>#N/A</v>
      </c>
      <c r="D435" s="1185" t="s">
        <v>339</v>
      </c>
      <c r="E435" s="1462"/>
      <c r="F435" s="1462"/>
      <c r="G435" s="1462"/>
      <c r="H435" s="1462"/>
      <c r="I435" s="1462"/>
      <c r="J435" s="1462"/>
      <c r="K435" s="1462"/>
      <c r="L435" s="1462"/>
      <c r="M435" s="1462"/>
      <c r="N435" s="1462"/>
      <c r="O435" s="1462"/>
      <c r="P435" s="1462"/>
      <c r="Q435" s="1462"/>
      <c r="R435" s="1462"/>
      <c r="S435" s="1462"/>
      <c r="T435" s="1462"/>
      <c r="U435" s="1462"/>
      <c r="V435" s="1462"/>
      <c r="W435" s="1462"/>
      <c r="X435" s="1462"/>
      <c r="Y435" s="1462"/>
      <c r="Z435" s="1462"/>
      <c r="AA435" s="1462"/>
      <c r="AB435" s="1462"/>
      <c r="AC435" s="1462"/>
      <c r="AD435" s="1462"/>
      <c r="AE435" s="1462"/>
      <c r="AF435" s="1462"/>
      <c r="AG435" s="1462"/>
      <c r="AH435" s="1462"/>
      <c r="AI435" s="1462"/>
      <c r="AJ435" s="1465">
        <f t="shared" si="24"/>
        <v>0</v>
      </c>
      <c r="AK435" s="1465">
        <f t="shared" si="25"/>
        <v>0</v>
      </c>
      <c r="AL435" s="1466"/>
      <c r="AM435" s="615"/>
    </row>
    <row r="436" spans="1:39" s="156" customFormat="1" ht="19.149999999999999" customHeight="1" outlineLevel="1">
      <c r="A436" s="1182">
        <v>419</v>
      </c>
      <c r="B436" s="1182">
        <v>52</v>
      </c>
      <c r="C436" s="1635" t="str">
        <f>VLOOKUP(D436,'DS CN MOI UP'!$B$10:$C$347,2,0)</f>
        <v>03417</v>
      </c>
      <c r="D436" s="1185" t="s">
        <v>340</v>
      </c>
      <c r="E436" s="1462"/>
      <c r="F436" s="1462"/>
      <c r="G436" s="1462"/>
      <c r="H436" s="1462"/>
      <c r="I436" s="1462"/>
      <c r="J436" s="1462"/>
      <c r="K436" s="1462"/>
      <c r="L436" s="1462"/>
      <c r="M436" s="1462"/>
      <c r="N436" s="1462"/>
      <c r="O436" s="1462"/>
      <c r="P436" s="1462"/>
      <c r="Q436" s="1462"/>
      <c r="R436" s="1462"/>
      <c r="S436" s="1462"/>
      <c r="T436" s="1462"/>
      <c r="U436" s="1462"/>
      <c r="V436" s="1462"/>
      <c r="W436" s="1462"/>
      <c r="X436" s="1462"/>
      <c r="Y436" s="1462"/>
      <c r="Z436" s="1462"/>
      <c r="AA436" s="1462"/>
      <c r="AB436" s="1462"/>
      <c r="AC436" s="1462"/>
      <c r="AD436" s="1462"/>
      <c r="AE436" s="1462"/>
      <c r="AF436" s="1462"/>
      <c r="AG436" s="1462"/>
      <c r="AH436" s="1462"/>
      <c r="AI436" s="1462"/>
      <c r="AJ436" s="1465">
        <f t="shared" si="24"/>
        <v>0</v>
      </c>
      <c r="AK436" s="1465">
        <f t="shared" si="25"/>
        <v>0</v>
      </c>
      <c r="AL436" s="1466"/>
      <c r="AM436" s="615"/>
    </row>
    <row r="437" spans="1:39" s="156" customFormat="1" ht="19.149999999999999" customHeight="1" outlineLevel="1">
      <c r="A437" s="1182">
        <v>420</v>
      </c>
      <c r="B437" s="1182">
        <v>53</v>
      </c>
      <c r="C437" s="1635" t="str">
        <f>VLOOKUP(D437,'DS CN MOI UP'!$B$10:$C$347,2,0)</f>
        <v>03418</v>
      </c>
      <c r="D437" s="1185" t="s">
        <v>341</v>
      </c>
      <c r="E437" s="1462"/>
      <c r="F437" s="1462"/>
      <c r="G437" s="1462"/>
      <c r="H437" s="1462"/>
      <c r="I437" s="1462"/>
      <c r="J437" s="1462"/>
      <c r="K437" s="1462"/>
      <c r="L437" s="1462"/>
      <c r="M437" s="1462"/>
      <c r="N437" s="1462"/>
      <c r="O437" s="1462"/>
      <c r="P437" s="1462"/>
      <c r="Q437" s="1462"/>
      <c r="R437" s="1462"/>
      <c r="S437" s="1462"/>
      <c r="T437" s="1462"/>
      <c r="U437" s="1462"/>
      <c r="V437" s="1462"/>
      <c r="W437" s="1462"/>
      <c r="X437" s="1462"/>
      <c r="Y437" s="1462"/>
      <c r="Z437" s="1462"/>
      <c r="AA437" s="1462"/>
      <c r="AB437" s="1462"/>
      <c r="AC437" s="1462"/>
      <c r="AD437" s="1462"/>
      <c r="AE437" s="1462"/>
      <c r="AF437" s="1462"/>
      <c r="AG437" s="1462"/>
      <c r="AH437" s="1462"/>
      <c r="AI437" s="1462"/>
      <c r="AJ437" s="1465">
        <f t="shared" si="24"/>
        <v>0</v>
      </c>
      <c r="AK437" s="1465">
        <f t="shared" si="25"/>
        <v>0</v>
      </c>
      <c r="AL437" s="1466"/>
      <c r="AM437" s="615"/>
    </row>
    <row r="438" spans="1:39" s="156" customFormat="1" ht="19.149999999999999" customHeight="1" outlineLevel="1">
      <c r="A438" s="1182">
        <v>421</v>
      </c>
      <c r="B438" s="1182">
        <v>54</v>
      </c>
      <c r="C438" s="1635" t="str">
        <f>VLOOKUP(D438,'DS CN MOI UP'!$B$10:$C$347,2,0)</f>
        <v>03419</v>
      </c>
      <c r="D438" s="1185" t="s">
        <v>342</v>
      </c>
      <c r="E438" s="1462"/>
      <c r="F438" s="1462"/>
      <c r="G438" s="1462"/>
      <c r="H438" s="1462"/>
      <c r="I438" s="1462"/>
      <c r="J438" s="1462"/>
      <c r="K438" s="1462"/>
      <c r="L438" s="1462"/>
      <c r="M438" s="1462"/>
      <c r="N438" s="1462"/>
      <c r="O438" s="1462"/>
      <c r="P438" s="1462"/>
      <c r="Q438" s="1462"/>
      <c r="R438" s="1462"/>
      <c r="S438" s="1462"/>
      <c r="T438" s="1462"/>
      <c r="U438" s="1462"/>
      <c r="V438" s="1462"/>
      <c r="W438" s="1462"/>
      <c r="X438" s="1462"/>
      <c r="Y438" s="1462"/>
      <c r="Z438" s="1462"/>
      <c r="AA438" s="1462"/>
      <c r="AB438" s="1462"/>
      <c r="AC438" s="1462"/>
      <c r="AD438" s="1462"/>
      <c r="AE438" s="1462"/>
      <c r="AF438" s="1462"/>
      <c r="AG438" s="1462"/>
      <c r="AH438" s="1462"/>
      <c r="AI438" s="1462"/>
      <c r="AJ438" s="1465">
        <f t="shared" si="24"/>
        <v>0</v>
      </c>
      <c r="AK438" s="1465">
        <f t="shared" si="25"/>
        <v>0</v>
      </c>
      <c r="AL438" s="1466"/>
      <c r="AM438" s="615"/>
    </row>
    <row r="439" spans="1:39" s="156" customFormat="1" ht="19.149999999999999" customHeight="1" outlineLevel="1">
      <c r="A439" s="1182">
        <v>422</v>
      </c>
      <c r="B439" s="1182">
        <v>55</v>
      </c>
      <c r="C439" s="1635" t="str">
        <f>VLOOKUP(D439,'DS CN MOI UP'!$B$10:$C$347,2,0)</f>
        <v>03420</v>
      </c>
      <c r="D439" s="1185" t="s">
        <v>343</v>
      </c>
      <c r="E439" s="1462"/>
      <c r="F439" s="1462"/>
      <c r="G439" s="1462"/>
      <c r="H439" s="1462"/>
      <c r="I439" s="1462"/>
      <c r="J439" s="1462"/>
      <c r="K439" s="1462"/>
      <c r="L439" s="1462"/>
      <c r="M439" s="1462"/>
      <c r="N439" s="1462"/>
      <c r="O439" s="1462"/>
      <c r="P439" s="1462"/>
      <c r="Q439" s="1462"/>
      <c r="R439" s="1462"/>
      <c r="S439" s="1462"/>
      <c r="T439" s="1462"/>
      <c r="U439" s="1462"/>
      <c r="V439" s="1462"/>
      <c r="W439" s="1462"/>
      <c r="X439" s="1462"/>
      <c r="Y439" s="1462"/>
      <c r="Z439" s="1462"/>
      <c r="AA439" s="1462"/>
      <c r="AB439" s="1462"/>
      <c r="AC439" s="1462"/>
      <c r="AD439" s="1462"/>
      <c r="AE439" s="1462"/>
      <c r="AF439" s="1462"/>
      <c r="AG439" s="1462"/>
      <c r="AH439" s="1462"/>
      <c r="AI439" s="1462"/>
      <c r="AJ439" s="1465">
        <f t="shared" si="24"/>
        <v>0</v>
      </c>
      <c r="AK439" s="1465">
        <f t="shared" si="25"/>
        <v>0</v>
      </c>
      <c r="AL439" s="1466"/>
      <c r="AM439" s="615"/>
    </row>
    <row r="440" spans="1:39" s="156" customFormat="1" ht="19.149999999999999" customHeight="1" outlineLevel="1">
      <c r="A440" s="1182">
        <v>423</v>
      </c>
      <c r="B440" s="1182">
        <v>56</v>
      </c>
      <c r="C440" s="1635" t="str">
        <f>VLOOKUP(D440,'DS CN MOI UP'!$B$10:$C$347,2,0)</f>
        <v>03385</v>
      </c>
      <c r="D440" s="1185" t="s">
        <v>344</v>
      </c>
      <c r="E440" s="1462"/>
      <c r="F440" s="1462"/>
      <c r="G440" s="1462"/>
      <c r="H440" s="1462"/>
      <c r="I440" s="1462"/>
      <c r="J440" s="1462"/>
      <c r="K440" s="1462"/>
      <c r="L440" s="1462"/>
      <c r="M440" s="1462"/>
      <c r="N440" s="1462"/>
      <c r="O440" s="1462"/>
      <c r="P440" s="1462"/>
      <c r="Q440" s="1462"/>
      <c r="R440" s="1462"/>
      <c r="S440" s="1462"/>
      <c r="T440" s="1462"/>
      <c r="U440" s="1462"/>
      <c r="V440" s="1462"/>
      <c r="W440" s="1462"/>
      <c r="X440" s="1462"/>
      <c r="Y440" s="1462"/>
      <c r="Z440" s="1462"/>
      <c r="AA440" s="1462"/>
      <c r="AB440" s="1462"/>
      <c r="AC440" s="1462"/>
      <c r="AD440" s="1462"/>
      <c r="AE440" s="1462"/>
      <c r="AF440" s="1462"/>
      <c r="AG440" s="1462"/>
      <c r="AH440" s="1462"/>
      <c r="AI440" s="1462"/>
      <c r="AJ440" s="1465">
        <f t="shared" si="24"/>
        <v>0</v>
      </c>
      <c r="AK440" s="1465">
        <f t="shared" si="25"/>
        <v>0</v>
      </c>
      <c r="AL440" s="1466"/>
      <c r="AM440" s="615"/>
    </row>
    <row r="441" spans="1:39" s="156" customFormat="1" ht="19.149999999999999" customHeight="1" outlineLevel="1">
      <c r="A441" s="1182">
        <v>424</v>
      </c>
      <c r="B441" s="1182">
        <v>57</v>
      </c>
      <c r="C441" s="1635" t="str">
        <f>VLOOKUP(D441,'DS CN MOI UP'!$B$10:$C$347,2,0)</f>
        <v>03422</v>
      </c>
      <c r="D441" s="1185" t="s">
        <v>345</v>
      </c>
      <c r="E441" s="1462"/>
      <c r="F441" s="1462"/>
      <c r="G441" s="1462"/>
      <c r="H441" s="1462"/>
      <c r="I441" s="1462"/>
      <c r="J441" s="1462"/>
      <c r="K441" s="1462"/>
      <c r="L441" s="1462"/>
      <c r="M441" s="1462"/>
      <c r="N441" s="1462"/>
      <c r="O441" s="1462"/>
      <c r="P441" s="1462"/>
      <c r="Q441" s="1462"/>
      <c r="R441" s="1462"/>
      <c r="S441" s="1462"/>
      <c r="T441" s="1462"/>
      <c r="U441" s="1462"/>
      <c r="V441" s="1462"/>
      <c r="W441" s="1462"/>
      <c r="X441" s="1462"/>
      <c r="Y441" s="1462"/>
      <c r="Z441" s="1462"/>
      <c r="AA441" s="1462"/>
      <c r="AB441" s="1462"/>
      <c r="AC441" s="1462"/>
      <c r="AD441" s="1462"/>
      <c r="AE441" s="1462"/>
      <c r="AF441" s="1462"/>
      <c r="AG441" s="1462"/>
      <c r="AH441" s="1462"/>
      <c r="AI441" s="1462"/>
      <c r="AJ441" s="1465">
        <f t="shared" ref="AJ441" si="26">SUM(E441:AI441)</f>
        <v>0</v>
      </c>
      <c r="AK441" s="1465">
        <f t="shared" ref="AK441" si="27">AJ441*$AN$6</f>
        <v>0</v>
      </c>
      <c r="AL441" s="1466"/>
      <c r="AM441" s="615"/>
    </row>
    <row r="442" spans="1:39" s="156" customFormat="1" ht="19.149999999999999" customHeight="1" outlineLevel="1">
      <c r="A442" s="1182">
        <v>424</v>
      </c>
      <c r="B442" s="1182">
        <v>57</v>
      </c>
      <c r="C442" s="1182" t="e">
        <f>VLOOKUP(D442,'DS CN MOI UP'!$B$10:$C$347,2,0)</f>
        <v>#N/A</v>
      </c>
      <c r="D442" s="1185" t="s">
        <v>346</v>
      </c>
      <c r="E442" s="1462"/>
      <c r="F442" s="1462"/>
      <c r="G442" s="1462"/>
      <c r="H442" s="1462"/>
      <c r="I442" s="1462"/>
      <c r="J442" s="1462"/>
      <c r="K442" s="1462"/>
      <c r="L442" s="1462"/>
      <c r="M442" s="1462"/>
      <c r="N442" s="1462"/>
      <c r="O442" s="1462"/>
      <c r="P442" s="1462"/>
      <c r="Q442" s="1462"/>
      <c r="R442" s="1462"/>
      <c r="S442" s="1462"/>
      <c r="T442" s="1462"/>
      <c r="U442" s="1462"/>
      <c r="V442" s="1462"/>
      <c r="W442" s="1462"/>
      <c r="X442" s="1462"/>
      <c r="Y442" s="1462"/>
      <c r="Z442" s="1462"/>
      <c r="AA442" s="1462"/>
      <c r="AB442" s="1462"/>
      <c r="AC442" s="1462"/>
      <c r="AD442" s="1462"/>
      <c r="AE442" s="1462"/>
      <c r="AF442" s="1462"/>
      <c r="AG442" s="1462"/>
      <c r="AH442" s="1462"/>
      <c r="AI442" s="1462"/>
      <c r="AJ442" s="1465">
        <f t="shared" si="24"/>
        <v>0</v>
      </c>
      <c r="AK442" s="1465">
        <f t="shared" si="25"/>
        <v>0</v>
      </c>
      <c r="AL442" s="1466"/>
      <c r="AM442" s="615"/>
    </row>
    <row r="443" spans="1:39" s="156" customFormat="1" ht="19.149999999999999" customHeight="1" outlineLevel="1">
      <c r="A443" s="1183" t="s">
        <v>1943</v>
      </c>
      <c r="B443" s="1183"/>
      <c r="C443" s="1182" t="e">
        <f>VLOOKUP(D443,'DS CN MOI UP'!$B$10:$C$347,2,0)</f>
        <v>#N/A</v>
      </c>
      <c r="D443" s="1183"/>
      <c r="E443" s="1472"/>
      <c r="F443" s="1472"/>
      <c r="G443" s="1472"/>
      <c r="H443" s="1472"/>
      <c r="I443" s="1472"/>
      <c r="J443" s="1472"/>
      <c r="K443" s="1472"/>
      <c r="L443" s="1472"/>
      <c r="M443" s="1472"/>
      <c r="N443" s="1472"/>
      <c r="O443" s="1472"/>
      <c r="P443" s="1472"/>
      <c r="Q443" s="1472"/>
      <c r="R443" s="1472"/>
      <c r="S443" s="1472"/>
      <c r="T443" s="1472"/>
      <c r="U443" s="1472"/>
      <c r="V443" s="1472"/>
      <c r="W443" s="1472"/>
      <c r="X443" s="1472"/>
      <c r="Y443" s="1472"/>
      <c r="Z443" s="1472"/>
      <c r="AA443" s="1472"/>
      <c r="AB443" s="1472"/>
      <c r="AC443" s="1472"/>
      <c r="AD443" s="1472"/>
      <c r="AE443" s="1472"/>
      <c r="AF443" s="1472"/>
      <c r="AG443" s="1472"/>
      <c r="AH443" s="1472"/>
      <c r="AI443" s="1472"/>
      <c r="AJ443" s="1472">
        <f>SUM(AJ444:AJ450)</f>
        <v>0</v>
      </c>
      <c r="AK443" s="1465">
        <f t="shared" si="25"/>
        <v>0</v>
      </c>
      <c r="AL443" s="1204"/>
    </row>
    <row r="444" spans="1:39" s="156" customFormat="1" ht="19.149999999999999" customHeight="1" outlineLevel="1">
      <c r="A444" s="1182">
        <v>428</v>
      </c>
      <c r="B444" s="1182">
        <v>1</v>
      </c>
      <c r="C444" s="1635" t="str">
        <f>VLOOKUP(D444,'DS CN MOI UP'!$B$10:$C$347,2,0)</f>
        <v>02658</v>
      </c>
      <c r="D444" s="1185" t="s">
        <v>278</v>
      </c>
      <c r="E444" s="1462"/>
      <c r="F444" s="1462"/>
      <c r="G444" s="1462"/>
      <c r="H444" s="1462"/>
      <c r="I444" s="1462"/>
      <c r="J444" s="1462"/>
      <c r="K444" s="1462"/>
      <c r="L444" s="1462"/>
      <c r="M444" s="1462"/>
      <c r="N444" s="1462"/>
      <c r="O444" s="1462"/>
      <c r="P444" s="1462"/>
      <c r="Q444" s="1462"/>
      <c r="R444" s="1462"/>
      <c r="S444" s="1462"/>
      <c r="T444" s="1462"/>
      <c r="U444" s="1462"/>
      <c r="V444" s="1462"/>
      <c r="W444" s="1462"/>
      <c r="X444" s="1462"/>
      <c r="Y444" s="1462"/>
      <c r="Z444" s="1462"/>
      <c r="AA444" s="1462"/>
      <c r="AB444" s="1462"/>
      <c r="AC444" s="1462"/>
      <c r="AD444" s="1462"/>
      <c r="AE444" s="1462"/>
      <c r="AF444" s="1462"/>
      <c r="AG444" s="1462"/>
      <c r="AH444" s="1462"/>
      <c r="AI444" s="1462"/>
      <c r="AJ444" s="1465">
        <f t="shared" ref="AJ444:AJ450" si="28">SUM(E444:AI444)</f>
        <v>0</v>
      </c>
      <c r="AK444" s="1465">
        <f t="shared" si="25"/>
        <v>0</v>
      </c>
      <c r="AL444" s="1466"/>
    </row>
    <row r="445" spans="1:39" s="156" customFormat="1" ht="19.149999999999999" customHeight="1">
      <c r="A445" s="1182">
        <v>429</v>
      </c>
      <c r="B445" s="1182">
        <v>2</v>
      </c>
      <c r="C445" s="1635" t="str">
        <f>VLOOKUP(D445,'DS CN MOI UP'!$B$10:$C$347,2,0)</f>
        <v>02705</v>
      </c>
      <c r="D445" s="1185" t="s">
        <v>279</v>
      </c>
      <c r="E445" s="1462"/>
      <c r="F445" s="1462"/>
      <c r="G445" s="1462"/>
      <c r="H445" s="1462"/>
      <c r="I445" s="1462"/>
      <c r="J445" s="1462"/>
      <c r="K445" s="1462"/>
      <c r="L445" s="1462"/>
      <c r="M445" s="1462"/>
      <c r="N445" s="1462"/>
      <c r="O445" s="1462"/>
      <c r="P445" s="1462"/>
      <c r="Q445" s="1462"/>
      <c r="R445" s="1462"/>
      <c r="S445" s="1462"/>
      <c r="T445" s="1462"/>
      <c r="U445" s="1462"/>
      <c r="V445" s="1462"/>
      <c r="W445" s="1462"/>
      <c r="X445" s="1462"/>
      <c r="Y445" s="1462"/>
      <c r="Z445" s="1462"/>
      <c r="AA445" s="1462"/>
      <c r="AB445" s="1462"/>
      <c r="AC445" s="1462"/>
      <c r="AD445" s="1462"/>
      <c r="AE445" s="1462"/>
      <c r="AF445" s="1462"/>
      <c r="AG445" s="1462"/>
      <c r="AH445" s="1462"/>
      <c r="AI445" s="1462"/>
      <c r="AJ445" s="1465">
        <f t="shared" si="28"/>
        <v>0</v>
      </c>
      <c r="AK445" s="1465">
        <f t="shared" si="25"/>
        <v>0</v>
      </c>
      <c r="AL445" s="1466"/>
    </row>
    <row r="446" spans="1:39" s="1232" customFormat="1" ht="19.149999999999999" customHeight="1" outlineLevel="1">
      <c r="A446" s="1182">
        <v>430</v>
      </c>
      <c r="B446" s="1182">
        <v>3</v>
      </c>
      <c r="C446" s="1635" t="str">
        <f>VLOOKUP(D446,'DS CN MOI UP'!$B$10:$C$347,2,0)</f>
        <v>02659</v>
      </c>
      <c r="D446" s="1185" t="s">
        <v>280</v>
      </c>
      <c r="E446" s="1462"/>
      <c r="F446" s="1462"/>
      <c r="G446" s="1462"/>
      <c r="H446" s="1462"/>
      <c r="I446" s="1462"/>
      <c r="J446" s="1462"/>
      <c r="K446" s="1462"/>
      <c r="L446" s="1462"/>
      <c r="M446" s="1462"/>
      <c r="N446" s="1462"/>
      <c r="O446" s="1462"/>
      <c r="P446" s="1462"/>
      <c r="Q446" s="1462"/>
      <c r="R446" s="1462"/>
      <c r="S446" s="1462"/>
      <c r="T446" s="1462"/>
      <c r="U446" s="1462"/>
      <c r="V446" s="1462"/>
      <c r="W446" s="1462"/>
      <c r="X446" s="1462"/>
      <c r="Y446" s="1462"/>
      <c r="Z446" s="1462"/>
      <c r="AA446" s="1462"/>
      <c r="AB446" s="1462"/>
      <c r="AC446" s="1462"/>
      <c r="AD446" s="1462"/>
      <c r="AE446" s="1462"/>
      <c r="AF446" s="1462"/>
      <c r="AG446" s="1462"/>
      <c r="AH446" s="1462"/>
      <c r="AI446" s="1462"/>
      <c r="AJ446" s="1465">
        <f t="shared" si="28"/>
        <v>0</v>
      </c>
      <c r="AK446" s="1465">
        <f t="shared" si="25"/>
        <v>0</v>
      </c>
      <c r="AL446" s="1466"/>
    </row>
    <row r="447" spans="1:39" s="156" customFormat="1" ht="19.149999999999999" customHeight="1" outlineLevel="1">
      <c r="A447" s="1182">
        <v>431</v>
      </c>
      <c r="B447" s="1182">
        <v>4</v>
      </c>
      <c r="C447" s="1635" t="str">
        <f>VLOOKUP(D447,'DS CN MOI UP'!$B$10:$C$347,2,0)</f>
        <v>02660</v>
      </c>
      <c r="D447" s="1185" t="s">
        <v>281</v>
      </c>
      <c r="E447" s="1462"/>
      <c r="F447" s="1462"/>
      <c r="G447" s="1462"/>
      <c r="H447" s="1462"/>
      <c r="I447" s="1462"/>
      <c r="J447" s="1462"/>
      <c r="K447" s="1462"/>
      <c r="L447" s="1462"/>
      <c r="M447" s="1462"/>
      <c r="N447" s="1462"/>
      <c r="O447" s="1462"/>
      <c r="P447" s="1462"/>
      <c r="Q447" s="1462"/>
      <c r="R447" s="1462"/>
      <c r="S447" s="1462"/>
      <c r="T447" s="1462"/>
      <c r="U447" s="1462"/>
      <c r="V447" s="1462"/>
      <c r="W447" s="1462"/>
      <c r="X447" s="1462"/>
      <c r="Y447" s="1462"/>
      <c r="Z447" s="1462"/>
      <c r="AA447" s="1462"/>
      <c r="AB447" s="1462"/>
      <c r="AC447" s="1462"/>
      <c r="AD447" s="1462"/>
      <c r="AE447" s="1462"/>
      <c r="AF447" s="1462"/>
      <c r="AG447" s="1462"/>
      <c r="AH447" s="1462"/>
      <c r="AI447" s="1462"/>
      <c r="AJ447" s="1465">
        <f t="shared" si="28"/>
        <v>0</v>
      </c>
      <c r="AK447" s="1465">
        <f t="shared" si="25"/>
        <v>0</v>
      </c>
      <c r="AL447" s="1466"/>
    </row>
    <row r="448" spans="1:39" s="1232" customFormat="1" ht="19.149999999999999" customHeight="1">
      <c r="A448" s="1182">
        <v>432</v>
      </c>
      <c r="B448" s="1182">
        <v>5</v>
      </c>
      <c r="C448" s="1635" t="str">
        <f>VLOOKUP(D448,'DS CN MOI UP'!$B$10:$C$347,2,0)</f>
        <v>02662</v>
      </c>
      <c r="D448" s="1185" t="s">
        <v>282</v>
      </c>
      <c r="E448" s="1462"/>
      <c r="F448" s="1462"/>
      <c r="G448" s="1462"/>
      <c r="H448" s="1462"/>
      <c r="I448" s="1462"/>
      <c r="J448" s="1462"/>
      <c r="K448" s="1462"/>
      <c r="L448" s="1462"/>
      <c r="M448" s="1462"/>
      <c r="N448" s="1462"/>
      <c r="O448" s="1462"/>
      <c r="P448" s="1462"/>
      <c r="Q448" s="1462"/>
      <c r="R448" s="1462"/>
      <c r="S448" s="1462"/>
      <c r="T448" s="1462"/>
      <c r="U448" s="1462"/>
      <c r="V448" s="1462"/>
      <c r="W448" s="1462"/>
      <c r="X448" s="1462"/>
      <c r="Y448" s="1462"/>
      <c r="Z448" s="1462"/>
      <c r="AA448" s="1462"/>
      <c r="AB448" s="1462"/>
      <c r="AC448" s="1462"/>
      <c r="AD448" s="1462"/>
      <c r="AE448" s="1462"/>
      <c r="AF448" s="1462"/>
      <c r="AG448" s="1462"/>
      <c r="AH448" s="1462"/>
      <c r="AI448" s="1462"/>
      <c r="AJ448" s="1465">
        <f t="shared" si="28"/>
        <v>0</v>
      </c>
      <c r="AK448" s="1465">
        <f t="shared" si="25"/>
        <v>0</v>
      </c>
      <c r="AL448" s="1466"/>
    </row>
    <row r="449" spans="1:40" s="156" customFormat="1" ht="19.149999999999999" customHeight="1" outlineLevel="1">
      <c r="A449" s="1182">
        <v>433</v>
      </c>
      <c r="B449" s="1182">
        <v>6</v>
      </c>
      <c r="C449" s="1635" t="str">
        <f>VLOOKUP(D449,'DS CN MOI UP'!$B$10:$C$347,2,0)</f>
        <v>02657</v>
      </c>
      <c r="D449" s="1185" t="s">
        <v>283</v>
      </c>
      <c r="E449" s="1462"/>
      <c r="F449" s="1462"/>
      <c r="G449" s="1462"/>
      <c r="H449" s="1462"/>
      <c r="I449" s="1462"/>
      <c r="J449" s="1462"/>
      <c r="K449" s="1462"/>
      <c r="L449" s="1462"/>
      <c r="M449" s="1462"/>
      <c r="N449" s="1462"/>
      <c r="O449" s="1462"/>
      <c r="P449" s="1462"/>
      <c r="Q449" s="1462"/>
      <c r="R449" s="1462"/>
      <c r="S449" s="1462"/>
      <c r="T449" s="1462"/>
      <c r="U449" s="1462"/>
      <c r="V449" s="1462"/>
      <c r="W449" s="1462"/>
      <c r="X449" s="1462"/>
      <c r="Y449" s="1462"/>
      <c r="Z449" s="1462"/>
      <c r="AA449" s="1462"/>
      <c r="AB449" s="1462"/>
      <c r="AC449" s="1462"/>
      <c r="AD449" s="1462"/>
      <c r="AE449" s="1462"/>
      <c r="AF449" s="1462"/>
      <c r="AG449" s="1462"/>
      <c r="AH449" s="1462"/>
      <c r="AI449" s="1462"/>
      <c r="AJ449" s="1465">
        <f t="shared" si="28"/>
        <v>0</v>
      </c>
      <c r="AK449" s="1465">
        <f t="shared" si="25"/>
        <v>0</v>
      </c>
      <c r="AL449" s="1466"/>
    </row>
    <row r="450" spans="1:40" s="1232" customFormat="1" ht="19.149999999999999" customHeight="1">
      <c r="A450" s="1182">
        <v>434</v>
      </c>
      <c r="B450" s="1182">
        <v>7</v>
      </c>
      <c r="C450" s="1635" t="str">
        <f>VLOOKUP(D450,'DS CN MOI UP'!$B$10:$C$347,2,0)</f>
        <v>02661</v>
      </c>
      <c r="D450" s="1185" t="s">
        <v>284</v>
      </c>
      <c r="E450" s="1462"/>
      <c r="F450" s="1462"/>
      <c r="G450" s="1462"/>
      <c r="H450" s="1462"/>
      <c r="I450" s="1462"/>
      <c r="J450" s="1462"/>
      <c r="K450" s="1462"/>
      <c r="L450" s="1462"/>
      <c r="M450" s="1462"/>
      <c r="N450" s="1462"/>
      <c r="O450" s="1462"/>
      <c r="P450" s="1462"/>
      <c r="Q450" s="1462"/>
      <c r="R450" s="1462"/>
      <c r="S450" s="1462"/>
      <c r="T450" s="1462"/>
      <c r="U450" s="1462"/>
      <c r="V450" s="1462"/>
      <c r="W450" s="1462"/>
      <c r="X450" s="1462"/>
      <c r="Y450" s="1462"/>
      <c r="Z450" s="1462"/>
      <c r="AA450" s="1462"/>
      <c r="AB450" s="1462"/>
      <c r="AC450" s="1462"/>
      <c r="AD450" s="1462"/>
      <c r="AE450" s="1462"/>
      <c r="AF450" s="1462"/>
      <c r="AG450" s="1462"/>
      <c r="AH450" s="1462"/>
      <c r="AI450" s="1462"/>
      <c r="AJ450" s="1465">
        <f t="shared" si="28"/>
        <v>0</v>
      </c>
      <c r="AK450" s="1465">
        <f t="shared" si="25"/>
        <v>0</v>
      </c>
      <c r="AL450" s="1466"/>
    </row>
    <row r="451" spans="1:40" s="1233" customFormat="1" ht="19.149999999999999" customHeight="1">
      <c r="A451" s="2324" t="s">
        <v>525</v>
      </c>
      <c r="B451" s="2324"/>
      <c r="C451" s="2324"/>
      <c r="D451" s="2324"/>
      <c r="E451" s="1475">
        <f t="shared" ref="E451:AK451" si="29">E311+E225+E110+E53+E9+E443+E384+E217+E205</f>
        <v>0</v>
      </c>
      <c r="F451" s="1475">
        <f t="shared" si="29"/>
        <v>0</v>
      </c>
      <c r="G451" s="1475">
        <f t="shared" si="29"/>
        <v>0</v>
      </c>
      <c r="H451" s="1475">
        <f t="shared" si="29"/>
        <v>0</v>
      </c>
      <c r="I451" s="1475">
        <f t="shared" si="29"/>
        <v>0</v>
      </c>
      <c r="J451" s="1475">
        <f t="shared" si="29"/>
        <v>0</v>
      </c>
      <c r="K451" s="1475">
        <f t="shared" si="29"/>
        <v>0</v>
      </c>
      <c r="L451" s="1475">
        <f t="shared" si="29"/>
        <v>0</v>
      </c>
      <c r="M451" s="1475">
        <f t="shared" si="29"/>
        <v>0</v>
      </c>
      <c r="N451" s="1475">
        <f t="shared" si="29"/>
        <v>0</v>
      </c>
      <c r="O451" s="1475">
        <f t="shared" si="29"/>
        <v>0</v>
      </c>
      <c r="P451" s="1475">
        <f t="shared" si="29"/>
        <v>0</v>
      </c>
      <c r="Q451" s="1475">
        <f t="shared" si="29"/>
        <v>0</v>
      </c>
      <c r="R451" s="1475">
        <f t="shared" si="29"/>
        <v>0</v>
      </c>
      <c r="S451" s="1475">
        <f t="shared" si="29"/>
        <v>0</v>
      </c>
      <c r="T451" s="1475">
        <f t="shared" si="29"/>
        <v>0</v>
      </c>
      <c r="U451" s="1475">
        <f t="shared" si="29"/>
        <v>0</v>
      </c>
      <c r="V451" s="1475">
        <f t="shared" si="29"/>
        <v>0</v>
      </c>
      <c r="W451" s="1475">
        <f t="shared" si="29"/>
        <v>0</v>
      </c>
      <c r="X451" s="1475">
        <f t="shared" si="29"/>
        <v>0</v>
      </c>
      <c r="Y451" s="1475">
        <f t="shared" si="29"/>
        <v>0</v>
      </c>
      <c r="Z451" s="1475">
        <f t="shared" si="29"/>
        <v>0</v>
      </c>
      <c r="AA451" s="1475">
        <f t="shared" si="29"/>
        <v>0</v>
      </c>
      <c r="AB451" s="1475">
        <f t="shared" si="29"/>
        <v>0</v>
      </c>
      <c r="AC451" s="1475">
        <f t="shared" si="29"/>
        <v>0</v>
      </c>
      <c r="AD451" s="1475">
        <f t="shared" si="29"/>
        <v>0</v>
      </c>
      <c r="AE451" s="1475">
        <f t="shared" si="29"/>
        <v>0</v>
      </c>
      <c r="AF451" s="1475">
        <f t="shared" si="29"/>
        <v>0</v>
      </c>
      <c r="AG451" s="1475">
        <f t="shared" si="29"/>
        <v>0</v>
      </c>
      <c r="AH451" s="1475">
        <f t="shared" si="29"/>
        <v>0</v>
      </c>
      <c r="AI451" s="1475">
        <f t="shared" si="29"/>
        <v>0</v>
      </c>
      <c r="AJ451" s="1475">
        <f t="shared" si="29"/>
        <v>0</v>
      </c>
      <c r="AK451" s="1475">
        <f t="shared" si="29"/>
        <v>0</v>
      </c>
      <c r="AL451" s="1479"/>
      <c r="AM451" s="1233" t="e">
        <f>+#REF!*0.4</f>
        <v>#REF!</v>
      </c>
      <c r="AN451" s="1265" t="e">
        <f>+#REF!</f>
        <v>#REF!</v>
      </c>
    </row>
    <row r="452" spans="1:40" s="1233" customFormat="1" ht="13.9" customHeight="1">
      <c r="A452" s="1476"/>
      <c r="B452" s="1476"/>
      <c r="C452" s="1476"/>
      <c r="D452" s="1476"/>
      <c r="E452" s="1477"/>
      <c r="F452" s="1477"/>
      <c r="G452" s="1477"/>
      <c r="H452" s="1477"/>
      <c r="I452" s="1477"/>
      <c r="J452" s="1477"/>
      <c r="K452" s="1477"/>
      <c r="L452" s="1477"/>
      <c r="M452" s="1477"/>
      <c r="N452" s="1477"/>
      <c r="O452" s="1477"/>
      <c r="P452" s="1477"/>
      <c r="Q452" s="1477"/>
      <c r="R452" s="1477"/>
      <c r="S452" s="1477"/>
      <c r="T452" s="1477"/>
      <c r="U452" s="1477"/>
      <c r="V452" s="1477"/>
      <c r="W452" s="1477"/>
      <c r="X452" s="1477"/>
      <c r="Y452" s="1478"/>
      <c r="Z452" s="1478"/>
      <c r="AA452" s="1478"/>
      <c r="AB452" s="1478"/>
      <c r="AC452" s="1478"/>
      <c r="AD452" s="1478"/>
      <c r="AE452" s="1478"/>
      <c r="AF452" s="1478"/>
      <c r="AG452" s="1478"/>
      <c r="AH452" s="1478"/>
      <c r="AI452" s="1478"/>
      <c r="AJ452" s="1480"/>
      <c r="AK452" s="1480"/>
      <c r="AL452" s="1478"/>
      <c r="AN452" s="1265"/>
    </row>
    <row r="453" spans="1:40" ht="22.9" customHeight="1">
      <c r="A453" s="1188"/>
      <c r="B453" s="1188"/>
      <c r="C453" s="1188"/>
      <c r="D453" s="1189"/>
      <c r="E453" s="1190"/>
      <c r="F453" s="1190"/>
      <c r="G453" s="1191"/>
      <c r="H453" s="1191"/>
      <c r="I453" s="1191"/>
      <c r="J453" s="1199"/>
      <c r="K453" s="1191"/>
      <c r="L453" s="1191"/>
      <c r="M453" s="1191"/>
      <c r="N453" s="1200"/>
      <c r="O453" s="1200"/>
      <c r="P453" s="1200"/>
      <c r="Q453" s="1200"/>
      <c r="R453" s="1191"/>
      <c r="S453" s="1191"/>
      <c r="T453" s="1191"/>
      <c r="U453" s="1191"/>
      <c r="V453" s="1191"/>
      <c r="W453" s="1202"/>
      <c r="X453" s="1202"/>
      <c r="Z453" s="1202"/>
      <c r="AA453" s="1202"/>
      <c r="AB453" s="1202"/>
      <c r="AC453" s="1202"/>
      <c r="AD453" s="1202"/>
      <c r="AE453" s="1202"/>
      <c r="AF453" s="1202"/>
      <c r="AG453" s="1202"/>
      <c r="AI453" s="1202"/>
      <c r="AJ453" s="1202" t="s">
        <v>1967</v>
      </c>
      <c r="AK453" s="1202"/>
      <c r="AL453" s="1202"/>
      <c r="AN453" s="1170" t="e">
        <f>+#REF!-AN451</f>
        <v>#REF!</v>
      </c>
    </row>
    <row r="454" spans="1:40" s="334" customFormat="1" ht="12.75">
      <c r="A454" s="1192" t="s">
        <v>614</v>
      </c>
      <c r="B454" s="1193"/>
      <c r="C454" s="1193"/>
      <c r="D454" s="1192"/>
      <c r="E454" s="1192"/>
      <c r="F454" s="1192"/>
      <c r="K454" s="334" t="s">
        <v>1945</v>
      </c>
      <c r="R454" s="1192"/>
      <c r="S454" s="1192"/>
      <c r="T454" s="1192" t="s">
        <v>1946</v>
      </c>
      <c r="U454" s="1192"/>
      <c r="V454" s="1192"/>
      <c r="W454" s="1192"/>
      <c r="X454" s="1192"/>
      <c r="AA454" s="1192"/>
      <c r="AB454" s="1192"/>
      <c r="AC454" s="1192" t="s">
        <v>1947</v>
      </c>
    </row>
    <row r="455" spans="1:40">
      <c r="A455" s="1188"/>
      <c r="B455" s="1188"/>
      <c r="C455" s="1188"/>
      <c r="D455" s="1188"/>
      <c r="E455" s="1188"/>
      <c r="F455" s="1188"/>
      <c r="G455" s="1188"/>
      <c r="H455" s="1188"/>
      <c r="I455" s="1188"/>
      <c r="J455" s="1198"/>
      <c r="K455" s="1191"/>
      <c r="L455" s="1191"/>
      <c r="M455" s="1191"/>
      <c r="N455" s="1191"/>
      <c r="O455" s="1191"/>
      <c r="P455" s="1191"/>
      <c r="Q455" s="1199"/>
      <c r="R455" s="1191"/>
      <c r="S455" s="1191"/>
      <c r="T455" s="1191"/>
      <c r="U455" s="1191"/>
      <c r="V455" s="1191"/>
      <c r="W455" s="1191"/>
      <c r="X455" s="1191"/>
      <c r="Y455" s="1191"/>
      <c r="Z455" s="1191"/>
      <c r="AA455" s="1191"/>
      <c r="AB455" s="1191"/>
      <c r="AC455" s="1191"/>
      <c r="AD455" s="1203"/>
      <c r="AE455" s="1203"/>
      <c r="AF455" s="1203"/>
      <c r="AG455" s="1203"/>
      <c r="AH455" s="1203"/>
      <c r="AI455" s="1203"/>
      <c r="AJ455" s="1210"/>
      <c r="AK455" s="1210"/>
      <c r="AL455" s="1210"/>
    </row>
    <row r="456" spans="1:40" ht="15.75">
      <c r="A456" s="1188"/>
      <c r="B456" s="1188"/>
      <c r="C456" s="1188"/>
      <c r="D456" s="1188"/>
      <c r="E456" s="1258"/>
      <c r="F456" s="1188"/>
      <c r="G456" s="1258"/>
      <c r="H456" s="1258"/>
      <c r="I456" s="1258"/>
      <c r="J456" s="1198"/>
      <c r="K456" s="1191"/>
      <c r="L456" s="1191"/>
      <c r="M456" s="1227"/>
      <c r="N456" s="1191"/>
      <c r="O456" s="1191"/>
      <c r="P456" s="1191"/>
      <c r="Q456" s="1199"/>
      <c r="R456" s="1191"/>
      <c r="S456" s="1191"/>
      <c r="T456" s="1191"/>
      <c r="U456" s="1191"/>
      <c r="V456" s="1191"/>
      <c r="W456" s="1191"/>
      <c r="X456" s="1191"/>
      <c r="Y456" s="1191"/>
      <c r="Z456" s="1191"/>
      <c r="AA456" s="1191"/>
      <c r="AB456" s="1191"/>
      <c r="AC456" s="1191"/>
      <c r="AD456" s="1203"/>
      <c r="AE456" s="1203"/>
      <c r="AF456" s="1203"/>
      <c r="AG456" s="1203"/>
      <c r="AH456" s="1203"/>
      <c r="AI456" s="1203"/>
      <c r="AJ456" s="1210"/>
      <c r="AK456" s="1210"/>
      <c r="AL456" s="1210"/>
    </row>
    <row r="457" spans="1:40">
      <c r="A457" s="1188"/>
      <c r="B457" s="1188"/>
      <c r="C457" s="1188"/>
      <c r="D457" s="1188"/>
      <c r="E457" s="1191"/>
      <c r="F457" s="1191"/>
      <c r="G457" s="1191"/>
      <c r="H457" s="1191"/>
      <c r="I457" s="1191"/>
      <c r="J457" s="1198"/>
      <c r="K457" s="1191"/>
      <c r="L457" s="1191"/>
      <c r="M457" s="1191"/>
      <c r="N457" s="1191"/>
      <c r="O457" s="1191"/>
      <c r="P457" s="1191"/>
      <c r="Q457" s="1199"/>
      <c r="R457" s="1191"/>
      <c r="S457" s="1191"/>
      <c r="T457" s="1191"/>
      <c r="U457" s="1191"/>
      <c r="V457" s="1191"/>
      <c r="W457" s="1191"/>
      <c r="X457" s="1191"/>
      <c r="Y457" s="1191"/>
      <c r="Z457" s="1191"/>
      <c r="AA457" s="1191"/>
      <c r="AB457" s="1191"/>
      <c r="AC457" s="1191"/>
      <c r="AD457" s="1203"/>
      <c r="AE457" s="1203"/>
      <c r="AF457" s="1203"/>
      <c r="AG457" s="1203"/>
      <c r="AH457" s="1203"/>
      <c r="AI457" s="1203"/>
      <c r="AJ457" s="1227"/>
      <c r="AK457" s="1227"/>
      <c r="AL457" s="1227"/>
    </row>
    <row r="458" spans="1:40" ht="18" customHeight="1">
      <c r="A458" s="1188"/>
      <c r="B458" s="1188"/>
      <c r="C458" s="1188"/>
      <c r="D458" s="1188"/>
      <c r="E458" s="1191"/>
      <c r="F458" s="1191"/>
      <c r="G458" s="1191"/>
      <c r="H458" s="1191"/>
      <c r="I458" s="1191"/>
      <c r="J458" s="1198"/>
      <c r="K458" s="1191"/>
      <c r="L458" s="1191"/>
      <c r="M458" s="1191"/>
      <c r="N458" s="1191"/>
      <c r="O458" s="1191"/>
      <c r="P458" s="1191"/>
      <c r="Q458" s="1199"/>
      <c r="R458" s="1191"/>
      <c r="S458" s="1191"/>
      <c r="T458" s="1191"/>
      <c r="U458" s="1191"/>
      <c r="V458" s="1191"/>
      <c r="W458" s="1191"/>
      <c r="X458" s="1191"/>
      <c r="Y458" s="1191"/>
      <c r="Z458" s="1191"/>
      <c r="AA458" s="1191"/>
      <c r="AB458" s="1191"/>
      <c r="AC458" s="1191"/>
      <c r="AD458" s="1203"/>
      <c r="AE458" s="1203"/>
      <c r="AF458" s="1203"/>
      <c r="AG458" s="1203"/>
      <c r="AH458" s="1203"/>
      <c r="AI458" s="1203"/>
      <c r="AJ458" s="1227"/>
      <c r="AK458" s="1227"/>
      <c r="AL458" s="1227"/>
    </row>
    <row r="459" spans="1:40" s="156" customFormat="1" ht="12.75">
      <c r="A459" s="1194"/>
      <c r="B459" s="1194"/>
      <c r="C459" s="1194"/>
      <c r="D459" s="1194"/>
      <c r="E459" s="1191"/>
      <c r="F459" s="1191"/>
      <c r="G459" s="1191"/>
      <c r="H459" s="1191"/>
      <c r="I459" s="1191"/>
      <c r="J459" s="1191"/>
      <c r="K459" s="1191"/>
      <c r="L459" s="1191"/>
      <c r="M459" s="1191"/>
      <c r="N459" s="1191"/>
      <c r="O459" s="1191"/>
      <c r="P459" s="1191"/>
      <c r="Q459" s="1191"/>
      <c r="R459" s="1191"/>
      <c r="S459" s="1191"/>
      <c r="T459" s="1191"/>
      <c r="U459" s="1191"/>
      <c r="V459" s="1191"/>
      <c r="W459" s="1191"/>
      <c r="X459" s="1191"/>
      <c r="Y459" s="1191"/>
      <c r="Z459" s="1191"/>
      <c r="AA459" s="1191"/>
      <c r="AB459" s="1191"/>
      <c r="AC459" s="1191"/>
      <c r="AD459" s="1191"/>
      <c r="AE459" s="1191"/>
      <c r="AF459" s="1191"/>
      <c r="AG459" s="1191"/>
      <c r="AH459" s="1191"/>
      <c r="AI459" s="1191"/>
      <c r="AJ459" s="1188"/>
      <c r="AK459" s="1188"/>
      <c r="AL459" s="1188"/>
    </row>
    <row r="460" spans="1:40" s="156" customFormat="1" ht="11.25">
      <c r="A460" s="1194"/>
      <c r="B460" s="1194"/>
      <c r="C460" s="1194"/>
      <c r="D460" s="1194"/>
      <c r="E460" s="1195"/>
      <c r="F460" s="1195"/>
      <c r="G460" s="1195"/>
      <c r="H460" s="1195"/>
      <c r="I460" s="1195"/>
      <c r="J460" s="1195"/>
      <c r="K460" s="1195"/>
      <c r="L460" s="1195"/>
      <c r="M460" s="1195"/>
      <c r="N460" s="1195"/>
      <c r="O460" s="1195"/>
      <c r="P460" s="1195"/>
      <c r="Q460" s="1195"/>
      <c r="R460" s="1195"/>
      <c r="S460" s="1195"/>
      <c r="T460" s="1195"/>
      <c r="U460" s="1195"/>
      <c r="V460" s="1195"/>
      <c r="W460" s="1195"/>
      <c r="X460" s="1195"/>
      <c r="Y460" s="1195"/>
      <c r="Z460" s="1195"/>
      <c r="AA460" s="1195"/>
      <c r="AB460" s="1195"/>
      <c r="AC460" s="1195"/>
      <c r="AD460" s="1195"/>
      <c r="AE460" s="1195"/>
      <c r="AF460" s="1195"/>
      <c r="AG460" s="1195"/>
      <c r="AH460" s="1195"/>
      <c r="AI460" s="1195"/>
      <c r="AJ460" s="1194"/>
      <c r="AK460" s="1194"/>
      <c r="AL460" s="1194"/>
    </row>
    <row r="461" spans="1:40" s="156" customFormat="1" ht="11.25">
      <c r="A461" s="1194"/>
      <c r="B461" s="1194"/>
      <c r="C461" s="1194"/>
      <c r="D461" s="1194"/>
      <c r="E461" s="1195"/>
      <c r="F461" s="1195"/>
      <c r="G461" s="1195"/>
      <c r="H461" s="1195"/>
      <c r="I461" s="1195"/>
      <c r="J461" s="1195"/>
      <c r="K461" s="1195"/>
      <c r="L461" s="1195"/>
      <c r="M461" s="1195"/>
      <c r="N461" s="1195"/>
      <c r="O461" s="1195"/>
      <c r="P461" s="1195"/>
      <c r="Q461" s="1195"/>
      <c r="R461" s="1195"/>
      <c r="S461" s="1195"/>
      <c r="T461" s="1195"/>
      <c r="U461" s="1195"/>
      <c r="V461" s="1195"/>
      <c r="W461" s="1195"/>
      <c r="X461" s="1195"/>
      <c r="Y461" s="1195"/>
      <c r="Z461" s="1195"/>
      <c r="AA461" s="1195"/>
      <c r="AB461" s="1195"/>
      <c r="AC461" s="1195"/>
      <c r="AD461" s="1195"/>
      <c r="AE461" s="1195"/>
      <c r="AF461" s="1195"/>
      <c r="AG461" s="1195"/>
      <c r="AH461" s="1195"/>
      <c r="AI461" s="1195"/>
      <c r="AJ461" s="1194"/>
      <c r="AK461" s="1194"/>
      <c r="AL461" s="1194"/>
    </row>
    <row r="462" spans="1:40" s="156" customFormat="1" ht="11.25">
      <c r="A462" s="1194"/>
      <c r="B462" s="1194"/>
      <c r="C462" s="1194"/>
      <c r="D462" s="1194"/>
      <c r="E462" s="1195"/>
      <c r="F462" s="1195"/>
      <c r="G462" s="1195"/>
      <c r="H462" s="1195"/>
      <c r="I462" s="1195"/>
      <c r="J462" s="1195"/>
      <c r="K462" s="1195"/>
      <c r="L462" s="1195"/>
      <c r="M462" s="1195"/>
      <c r="N462" s="1195"/>
      <c r="O462" s="1195"/>
      <c r="P462" s="1195"/>
      <c r="Q462" s="1195"/>
      <c r="R462" s="1195"/>
      <c r="S462" s="1195"/>
      <c r="T462" s="1195"/>
      <c r="U462" s="1195"/>
      <c r="V462" s="1195"/>
      <c r="W462" s="1195"/>
      <c r="X462" s="1195"/>
      <c r="Y462" s="1195"/>
      <c r="Z462" s="1195"/>
      <c r="AA462" s="1195"/>
      <c r="AB462" s="1195"/>
      <c r="AC462" s="1195"/>
      <c r="AD462" s="1195"/>
      <c r="AE462" s="1195"/>
      <c r="AF462" s="1195"/>
      <c r="AG462" s="1195"/>
      <c r="AH462" s="1195"/>
      <c r="AI462" s="1195"/>
      <c r="AJ462" s="1194"/>
      <c r="AK462" s="1194"/>
      <c r="AL462" s="1194"/>
    </row>
    <row r="463" spans="1:40" s="156" customFormat="1" ht="11.25">
      <c r="A463" s="1194"/>
      <c r="B463" s="1194"/>
      <c r="C463" s="1194"/>
      <c r="D463" s="1194"/>
      <c r="E463" s="1195"/>
      <c r="F463" s="1195"/>
      <c r="G463" s="1195"/>
      <c r="H463" s="1195"/>
      <c r="I463" s="1195"/>
      <c r="J463" s="1195"/>
      <c r="K463" s="1195"/>
      <c r="L463" s="1195"/>
      <c r="M463" s="1195"/>
      <c r="N463" s="1195"/>
      <c r="O463" s="1195"/>
      <c r="P463" s="1195"/>
      <c r="Q463" s="1195"/>
      <c r="R463" s="1195"/>
      <c r="S463" s="1195"/>
      <c r="T463" s="1195"/>
      <c r="U463" s="1195"/>
      <c r="V463" s="1195"/>
      <c r="W463" s="1195"/>
      <c r="X463" s="1195"/>
      <c r="Y463" s="1195"/>
      <c r="Z463" s="1195"/>
      <c r="AA463" s="1195"/>
      <c r="AB463" s="1195"/>
      <c r="AC463" s="1195"/>
      <c r="AD463" s="1195"/>
      <c r="AE463" s="1195"/>
      <c r="AF463" s="1195"/>
      <c r="AG463" s="1195"/>
      <c r="AH463" s="1195"/>
      <c r="AI463" s="1195"/>
      <c r="AJ463" s="1194"/>
      <c r="AK463" s="1194"/>
      <c r="AL463" s="1194"/>
    </row>
    <row r="464" spans="1:40" s="156" customFormat="1" ht="11.25">
      <c r="A464" s="1194"/>
      <c r="B464" s="1194"/>
      <c r="C464" s="1194"/>
      <c r="D464" s="1194"/>
      <c r="E464" s="1195"/>
      <c r="F464" s="1195"/>
      <c r="G464" s="1195"/>
      <c r="H464" s="1195"/>
      <c r="I464" s="1195"/>
      <c r="J464" s="1195"/>
      <c r="K464" s="1195"/>
      <c r="L464" s="1195"/>
      <c r="M464" s="1195"/>
      <c r="N464" s="1195"/>
      <c r="O464" s="1195"/>
      <c r="P464" s="1195"/>
      <c r="Q464" s="1195"/>
      <c r="R464" s="1195"/>
      <c r="S464" s="1195"/>
      <c r="T464" s="1195"/>
      <c r="U464" s="1195"/>
      <c r="V464" s="1195"/>
      <c r="W464" s="1195"/>
      <c r="X464" s="1195"/>
      <c r="Y464" s="1195"/>
      <c r="Z464" s="1195"/>
      <c r="AA464" s="1195"/>
      <c r="AB464" s="1195"/>
      <c r="AC464" s="1195"/>
      <c r="AD464" s="1195"/>
      <c r="AE464" s="1195"/>
      <c r="AF464" s="1195"/>
      <c r="AG464" s="1195"/>
      <c r="AH464" s="1195"/>
      <c r="AI464" s="1195"/>
      <c r="AJ464" s="1194"/>
      <c r="AK464" s="1194"/>
      <c r="AL464" s="1194"/>
    </row>
    <row r="465" spans="1:38" s="156" customFormat="1" ht="11.25">
      <c r="A465" s="1194"/>
      <c r="B465" s="1194"/>
      <c r="C465" s="1194"/>
      <c r="D465" s="1194"/>
      <c r="E465" s="1195"/>
      <c r="F465" s="1195"/>
      <c r="G465" s="1195"/>
      <c r="H465" s="1195"/>
      <c r="I465" s="1195"/>
      <c r="J465" s="1195"/>
      <c r="K465" s="1195"/>
      <c r="L465" s="1195"/>
      <c r="M465" s="1195"/>
      <c r="N465" s="1195"/>
      <c r="O465" s="1195"/>
      <c r="P465" s="1195"/>
      <c r="Q465" s="1195"/>
      <c r="R465" s="1195"/>
      <c r="S465" s="1195"/>
      <c r="T465" s="1195"/>
      <c r="U465" s="1195"/>
      <c r="V465" s="1195"/>
      <c r="W465" s="1195"/>
      <c r="X465" s="1195"/>
      <c r="Y465" s="1195"/>
      <c r="Z465" s="1195"/>
      <c r="AA465" s="1195"/>
      <c r="AB465" s="1195"/>
      <c r="AC465" s="1195"/>
      <c r="AD465" s="1195"/>
      <c r="AE465" s="1195"/>
      <c r="AF465" s="1195"/>
      <c r="AG465" s="1195"/>
      <c r="AH465" s="1195"/>
      <c r="AI465" s="1195"/>
      <c r="AJ465" s="1194"/>
      <c r="AK465" s="1194"/>
      <c r="AL465" s="1194"/>
    </row>
    <row r="466" spans="1:38" s="156" customFormat="1" ht="11.25">
      <c r="A466" s="1194"/>
      <c r="B466" s="1194"/>
      <c r="C466" s="1194"/>
      <c r="D466" s="1194"/>
      <c r="E466" s="1195"/>
      <c r="F466" s="1195"/>
      <c r="G466" s="1195"/>
      <c r="H466" s="1195"/>
      <c r="I466" s="1195"/>
      <c r="J466" s="1195"/>
      <c r="K466" s="1195"/>
      <c r="L466" s="1195"/>
      <c r="M466" s="1195"/>
      <c r="N466" s="1195"/>
      <c r="O466" s="1195"/>
      <c r="P466" s="1195"/>
      <c r="Q466" s="1195"/>
      <c r="R466" s="1195"/>
      <c r="S466" s="1195"/>
      <c r="T466" s="1195"/>
      <c r="U466" s="1195"/>
      <c r="V466" s="1195"/>
      <c r="W466" s="1195"/>
      <c r="X466" s="1195"/>
      <c r="Y466" s="1195"/>
      <c r="Z466" s="1195"/>
      <c r="AA466" s="1195"/>
      <c r="AB466" s="1195"/>
      <c r="AC466" s="1195"/>
      <c r="AD466" s="1195"/>
      <c r="AE466" s="1195"/>
      <c r="AF466" s="1195"/>
      <c r="AG466" s="1195"/>
      <c r="AH466" s="1195"/>
      <c r="AI466" s="1195"/>
      <c r="AJ466" s="1194"/>
      <c r="AK466" s="1194"/>
      <c r="AL466" s="1194"/>
    </row>
    <row r="467" spans="1:38" s="156" customFormat="1" ht="11.25">
      <c r="A467" s="1194"/>
      <c r="B467" s="1194"/>
      <c r="C467" s="1194"/>
      <c r="D467" s="1194"/>
      <c r="E467" s="1195"/>
      <c r="F467" s="1195"/>
      <c r="G467" s="1195"/>
      <c r="H467" s="1195"/>
      <c r="I467" s="1195"/>
      <c r="J467" s="1195"/>
      <c r="K467" s="1195"/>
      <c r="L467" s="1195"/>
      <c r="M467" s="1195"/>
      <c r="N467" s="1195"/>
      <c r="O467" s="1195"/>
      <c r="P467" s="1195"/>
      <c r="Q467" s="1195"/>
      <c r="R467" s="1195"/>
      <c r="S467" s="1195"/>
      <c r="T467" s="1195"/>
      <c r="U467" s="1195"/>
      <c r="V467" s="1195"/>
      <c r="W467" s="1195"/>
      <c r="X467" s="1195"/>
      <c r="Y467" s="1195"/>
      <c r="Z467" s="1195"/>
      <c r="AA467" s="1195"/>
      <c r="AB467" s="1195"/>
      <c r="AC467" s="1195"/>
      <c r="AD467" s="1195"/>
      <c r="AE467" s="1195"/>
      <c r="AF467" s="1195"/>
      <c r="AG467" s="1195"/>
      <c r="AH467" s="1195"/>
      <c r="AI467" s="1195"/>
      <c r="AJ467" s="1194"/>
      <c r="AK467" s="1194"/>
      <c r="AL467" s="1194"/>
    </row>
    <row r="468" spans="1:38" s="156" customFormat="1" ht="11.25">
      <c r="A468" s="1194"/>
      <c r="B468" s="1194"/>
      <c r="C468" s="1194"/>
      <c r="D468" s="1194"/>
      <c r="E468" s="1195"/>
      <c r="F468" s="1195"/>
      <c r="G468" s="1195"/>
      <c r="H468" s="1195"/>
      <c r="I468" s="1195"/>
      <c r="J468" s="1195"/>
      <c r="K468" s="1195"/>
      <c r="L468" s="1195"/>
      <c r="M468" s="1195"/>
      <c r="N468" s="1195"/>
      <c r="O468" s="1195"/>
      <c r="P468" s="1195"/>
      <c r="Q468" s="1195"/>
      <c r="R468" s="1195"/>
      <c r="S468" s="1195"/>
      <c r="T468" s="1195"/>
      <c r="U468" s="1195"/>
      <c r="V468" s="1195"/>
      <c r="W468" s="1195"/>
      <c r="X468" s="1195"/>
      <c r="Y468" s="1195"/>
      <c r="Z468" s="1195"/>
      <c r="AA468" s="1195"/>
      <c r="AB468" s="1195"/>
      <c r="AC468" s="1195"/>
      <c r="AD468" s="1195"/>
      <c r="AE468" s="1195"/>
      <c r="AF468" s="1195"/>
      <c r="AG468" s="1195"/>
      <c r="AH468" s="1195"/>
      <c r="AI468" s="1195"/>
      <c r="AJ468" s="1194"/>
      <c r="AK468" s="1194"/>
      <c r="AL468" s="1194"/>
    </row>
    <row r="469" spans="1:38" s="156" customFormat="1" ht="11.25">
      <c r="A469" s="1194"/>
      <c r="B469" s="1194"/>
      <c r="C469" s="1194"/>
      <c r="D469" s="1194"/>
      <c r="E469" s="1195"/>
      <c r="F469" s="1195"/>
      <c r="G469" s="1195"/>
      <c r="H469" s="1195"/>
      <c r="I469" s="1195"/>
      <c r="J469" s="1195"/>
      <c r="K469" s="1195"/>
      <c r="L469" s="1195"/>
      <c r="M469" s="1195"/>
      <c r="N469" s="1195"/>
      <c r="O469" s="1195"/>
      <c r="P469" s="1195"/>
      <c r="Q469" s="1195"/>
      <c r="R469" s="1195"/>
      <c r="S469" s="1195"/>
      <c r="T469" s="1195"/>
      <c r="U469" s="1195"/>
      <c r="V469" s="1195"/>
      <c r="W469" s="1195"/>
      <c r="X469" s="1195"/>
      <c r="Y469" s="1195"/>
      <c r="Z469" s="1195"/>
      <c r="AA469" s="1195"/>
      <c r="AB469" s="1195"/>
      <c r="AC469" s="1195"/>
      <c r="AD469" s="1195"/>
      <c r="AE469" s="1195"/>
      <c r="AF469" s="1195"/>
      <c r="AG469" s="1195"/>
      <c r="AH469" s="1195"/>
      <c r="AI469" s="1195"/>
      <c r="AJ469" s="1194"/>
      <c r="AK469" s="1194"/>
      <c r="AL469" s="1194"/>
    </row>
    <row r="470" spans="1:38" s="156" customFormat="1" ht="11.25">
      <c r="A470" s="1194"/>
      <c r="B470" s="1194"/>
      <c r="C470" s="1194"/>
      <c r="D470" s="1194"/>
      <c r="E470" s="1194"/>
      <c r="F470" s="1194"/>
      <c r="G470" s="1194"/>
      <c r="H470" s="1195"/>
      <c r="I470" s="1195"/>
      <c r="J470" s="1195"/>
      <c r="K470" s="1195"/>
      <c r="L470" s="1195"/>
      <c r="M470" s="1195"/>
      <c r="N470" s="1195"/>
      <c r="O470" s="1195"/>
      <c r="P470" s="1195"/>
      <c r="Q470" s="1195"/>
      <c r="R470" s="1195"/>
      <c r="S470" s="1195"/>
      <c r="T470" s="1195"/>
      <c r="U470" s="1195"/>
      <c r="V470" s="1195"/>
      <c r="W470" s="1195"/>
      <c r="X470" s="1195"/>
      <c r="Y470" s="1195"/>
      <c r="Z470" s="1195"/>
      <c r="AA470" s="1195"/>
      <c r="AB470" s="1195"/>
      <c r="AC470" s="1195"/>
      <c r="AD470" s="1195"/>
      <c r="AE470" s="1195"/>
      <c r="AF470" s="1195"/>
      <c r="AG470" s="1195"/>
      <c r="AH470" s="1195"/>
      <c r="AI470" s="1195"/>
      <c r="AJ470" s="1194"/>
      <c r="AK470" s="1194"/>
      <c r="AL470" s="1194"/>
    </row>
    <row r="471" spans="1:38" s="156" customFormat="1" ht="11.25">
      <c r="A471" s="1194"/>
      <c r="B471" s="1194"/>
      <c r="C471" s="1194"/>
      <c r="D471" s="1194"/>
      <c r="E471" s="1194"/>
      <c r="F471" s="1194"/>
      <c r="G471" s="1194"/>
      <c r="H471" s="1195"/>
      <c r="I471" s="1195"/>
      <c r="J471" s="1195"/>
      <c r="K471" s="1195"/>
      <c r="L471" s="1195"/>
      <c r="M471" s="1195"/>
      <c r="N471" s="1195"/>
      <c r="O471" s="1195"/>
      <c r="P471" s="1195"/>
      <c r="Q471" s="1195"/>
      <c r="R471" s="1195"/>
      <c r="S471" s="1195"/>
      <c r="T471" s="1195"/>
      <c r="U471" s="1195"/>
      <c r="V471" s="1195"/>
      <c r="W471" s="1195"/>
      <c r="X471" s="1195"/>
      <c r="Y471" s="1195"/>
      <c r="Z471" s="1195"/>
      <c r="AA471" s="1195"/>
      <c r="AB471" s="1195"/>
      <c r="AC471" s="1195"/>
      <c r="AD471" s="1195"/>
      <c r="AE471" s="1195"/>
      <c r="AF471" s="1195"/>
      <c r="AG471" s="1195"/>
      <c r="AH471" s="1195"/>
      <c r="AI471" s="1195"/>
      <c r="AJ471" s="1194"/>
      <c r="AK471" s="1194"/>
      <c r="AL471" s="1194"/>
    </row>
    <row r="472" spans="1:38" s="156" customFormat="1" ht="11.25">
      <c r="A472" s="1194"/>
      <c r="B472" s="1194"/>
      <c r="C472" s="1194"/>
      <c r="D472" s="1194"/>
      <c r="E472" s="1194"/>
      <c r="F472" s="1194"/>
      <c r="G472" s="1194"/>
      <c r="H472" s="1195"/>
      <c r="I472" s="1195"/>
      <c r="J472" s="1195"/>
      <c r="K472" s="1195"/>
      <c r="L472" s="1195"/>
      <c r="M472" s="1195"/>
      <c r="N472" s="1195"/>
      <c r="O472" s="1195"/>
      <c r="P472" s="1195"/>
      <c r="Q472" s="1195"/>
      <c r="R472" s="1195"/>
      <c r="S472" s="1195"/>
      <c r="T472" s="1195"/>
      <c r="U472" s="1195"/>
      <c r="V472" s="1195"/>
      <c r="W472" s="1195"/>
      <c r="X472" s="1195"/>
      <c r="Y472" s="1195"/>
      <c r="Z472" s="1195"/>
      <c r="AA472" s="1195"/>
      <c r="AB472" s="1195"/>
      <c r="AC472" s="1195"/>
      <c r="AD472" s="1195"/>
      <c r="AE472" s="1195"/>
      <c r="AF472" s="1195"/>
      <c r="AG472" s="1195"/>
      <c r="AH472" s="1195"/>
      <c r="AI472" s="1195"/>
      <c r="AJ472" s="1194"/>
      <c r="AK472" s="1194"/>
      <c r="AL472" s="1194"/>
    </row>
    <row r="473" spans="1:38" s="156" customFormat="1" ht="11.25">
      <c r="A473" s="1194"/>
      <c r="B473" s="1194"/>
      <c r="C473" s="1194"/>
      <c r="D473" s="1194"/>
      <c r="E473" s="1194"/>
      <c r="F473" s="1194"/>
      <c r="G473" s="1194"/>
      <c r="H473" s="1195"/>
      <c r="I473" s="1195"/>
      <c r="J473" s="1195"/>
      <c r="K473" s="1195"/>
      <c r="L473" s="1195"/>
      <c r="M473" s="1195"/>
      <c r="N473" s="1195"/>
      <c r="O473" s="1195"/>
      <c r="P473" s="1195"/>
      <c r="Q473" s="1195"/>
      <c r="R473" s="1195"/>
      <c r="S473" s="1195"/>
      <c r="T473" s="1195"/>
      <c r="U473" s="1195"/>
      <c r="V473" s="1195"/>
      <c r="W473" s="1195"/>
      <c r="X473" s="1195"/>
      <c r="Y473" s="1195"/>
      <c r="Z473" s="1195"/>
      <c r="AA473" s="1195"/>
      <c r="AB473" s="1195"/>
      <c r="AC473" s="1195"/>
      <c r="AD473" s="1195"/>
      <c r="AE473" s="1195"/>
      <c r="AF473" s="1195"/>
      <c r="AG473" s="1195"/>
      <c r="AH473" s="1195"/>
      <c r="AI473" s="1195"/>
      <c r="AJ473" s="1194"/>
      <c r="AK473" s="1194"/>
      <c r="AL473" s="1194"/>
    </row>
    <row r="474" spans="1:38" s="156" customFormat="1" ht="11.25">
      <c r="A474" s="1194"/>
      <c r="B474" s="1194"/>
      <c r="C474" s="1194"/>
      <c r="D474" s="1194"/>
      <c r="E474" s="1194"/>
      <c r="F474" s="1194"/>
      <c r="G474" s="1194"/>
      <c r="H474" s="1195"/>
      <c r="I474" s="1195"/>
      <c r="J474" s="1195"/>
      <c r="K474" s="1195"/>
      <c r="L474" s="1195"/>
      <c r="M474" s="1195"/>
      <c r="N474" s="1195"/>
      <c r="O474" s="1195"/>
      <c r="P474" s="1195"/>
      <c r="Q474" s="1195"/>
      <c r="R474" s="1195"/>
      <c r="S474" s="1195"/>
      <c r="T474" s="1195"/>
      <c r="U474" s="1195"/>
      <c r="V474" s="1195"/>
      <c r="W474" s="1195"/>
      <c r="X474" s="1195"/>
      <c r="Y474" s="1195"/>
      <c r="Z474" s="1195"/>
      <c r="AA474" s="1195"/>
      <c r="AB474" s="1195"/>
      <c r="AC474" s="1195"/>
      <c r="AD474" s="1195"/>
      <c r="AE474" s="1195"/>
      <c r="AF474" s="1195"/>
      <c r="AG474" s="1195"/>
      <c r="AH474" s="1195"/>
      <c r="AI474" s="1195"/>
      <c r="AJ474" s="1194"/>
      <c r="AK474" s="1194"/>
      <c r="AL474" s="1194"/>
    </row>
    <row r="475" spans="1:38" s="156" customFormat="1" ht="11.25">
      <c r="A475" s="1194"/>
      <c r="B475" s="1194"/>
      <c r="C475" s="1194"/>
      <c r="D475" s="1194"/>
      <c r="E475" s="1194"/>
      <c r="F475" s="1194"/>
      <c r="G475" s="1194"/>
      <c r="H475" s="1195"/>
      <c r="I475" s="1195"/>
      <c r="J475" s="1195"/>
      <c r="K475" s="1195"/>
      <c r="L475" s="1195"/>
      <c r="M475" s="1195"/>
      <c r="N475" s="1195"/>
      <c r="O475" s="1195"/>
      <c r="P475" s="1195"/>
      <c r="Q475" s="1195"/>
      <c r="R475" s="1195"/>
      <c r="S475" s="1195"/>
      <c r="T475" s="1195"/>
      <c r="U475" s="1195"/>
      <c r="V475" s="1195"/>
      <c r="W475" s="1195"/>
      <c r="X475" s="1195"/>
      <c r="Y475" s="1195"/>
      <c r="Z475" s="1195"/>
      <c r="AA475" s="1195"/>
      <c r="AB475" s="1195"/>
      <c r="AC475" s="1195"/>
      <c r="AD475" s="1195"/>
      <c r="AE475" s="1195"/>
      <c r="AF475" s="1195"/>
      <c r="AG475" s="1195"/>
      <c r="AH475" s="1195"/>
      <c r="AI475" s="1195"/>
      <c r="AJ475" s="1194"/>
      <c r="AK475" s="1194"/>
      <c r="AL475" s="1194"/>
    </row>
    <row r="476" spans="1:38" s="156" customFormat="1" ht="11.25">
      <c r="A476" s="1194"/>
      <c r="B476" s="1194"/>
      <c r="C476" s="1194"/>
      <c r="D476" s="1194"/>
      <c r="E476" s="1194"/>
      <c r="F476" s="1194"/>
      <c r="G476" s="1194"/>
      <c r="H476" s="1195"/>
      <c r="I476" s="1195"/>
      <c r="J476" s="1195"/>
      <c r="K476" s="1195"/>
      <c r="L476" s="1195"/>
      <c r="M476" s="1195"/>
      <c r="N476" s="1195"/>
      <c r="O476" s="1195"/>
      <c r="P476" s="1195"/>
      <c r="Q476" s="1195"/>
      <c r="R476" s="1195"/>
      <c r="S476" s="1195"/>
      <c r="T476" s="1195"/>
      <c r="U476" s="1195"/>
      <c r="V476" s="1195"/>
      <c r="W476" s="1195"/>
      <c r="X476" s="1195"/>
      <c r="Y476" s="1195"/>
      <c r="Z476" s="1195"/>
      <c r="AA476" s="1195"/>
      <c r="AB476" s="1195"/>
      <c r="AC476" s="1195"/>
      <c r="AD476" s="1195"/>
      <c r="AE476" s="1195"/>
      <c r="AF476" s="1195"/>
      <c r="AG476" s="1195"/>
      <c r="AH476" s="1195"/>
      <c r="AI476" s="1195"/>
      <c r="AJ476" s="1194"/>
      <c r="AK476" s="1194"/>
      <c r="AL476" s="1194"/>
    </row>
    <row r="477" spans="1:38" s="156" customFormat="1" ht="11.25">
      <c r="A477" s="1194"/>
      <c r="B477" s="1194"/>
      <c r="C477" s="1194"/>
      <c r="D477" s="1194"/>
      <c r="E477" s="1194"/>
      <c r="F477" s="1194"/>
      <c r="G477" s="1194"/>
      <c r="H477" s="1195"/>
      <c r="I477" s="1195"/>
      <c r="J477" s="1195"/>
      <c r="K477" s="1195"/>
      <c r="L477" s="1195"/>
      <c r="M477" s="1195"/>
      <c r="N477" s="1195"/>
      <c r="O477" s="1195"/>
      <c r="P477" s="1195"/>
      <c r="Q477" s="1195"/>
      <c r="R477" s="1195"/>
      <c r="S477" s="1195"/>
      <c r="T477" s="1195"/>
      <c r="U477" s="1195"/>
      <c r="V477" s="1195"/>
      <c r="W477" s="1195"/>
      <c r="X477" s="1195"/>
      <c r="Y477" s="1195"/>
      <c r="Z477" s="1195"/>
      <c r="AA477" s="1195"/>
      <c r="AB477" s="1195"/>
      <c r="AC477" s="1195"/>
      <c r="AD477" s="1195"/>
      <c r="AE477" s="1195"/>
      <c r="AF477" s="1195"/>
      <c r="AG477" s="1195"/>
      <c r="AH477" s="1195"/>
      <c r="AI477" s="1195"/>
      <c r="AJ477" s="1194"/>
      <c r="AK477" s="1194"/>
      <c r="AL477" s="1194"/>
    </row>
    <row r="478" spans="1:38" s="156" customFormat="1" ht="11.25">
      <c r="A478" s="1194"/>
      <c r="B478" s="1194"/>
      <c r="C478" s="1194"/>
      <c r="D478" s="1194"/>
      <c r="E478" s="1194"/>
      <c r="F478" s="1194"/>
      <c r="G478" s="1194"/>
      <c r="H478" s="1195"/>
      <c r="I478" s="1195"/>
      <c r="J478" s="1195"/>
      <c r="K478" s="1195"/>
      <c r="L478" s="1195"/>
      <c r="M478" s="1195"/>
      <c r="N478" s="1195"/>
      <c r="O478" s="1195"/>
      <c r="P478" s="1195"/>
      <c r="Q478" s="1195"/>
      <c r="R478" s="1195"/>
      <c r="S478" s="1195"/>
      <c r="T478" s="1195"/>
      <c r="U478" s="1195"/>
      <c r="V478" s="1195"/>
      <c r="W478" s="1195"/>
      <c r="X478" s="1195"/>
      <c r="Y478" s="1195"/>
      <c r="Z478" s="1195"/>
      <c r="AA478" s="1195"/>
      <c r="AB478" s="1195"/>
      <c r="AC478" s="1195"/>
      <c r="AD478" s="1195"/>
      <c r="AE478" s="1195"/>
      <c r="AF478" s="1195"/>
      <c r="AG478" s="1195"/>
      <c r="AH478" s="1195"/>
      <c r="AI478" s="1195"/>
      <c r="AJ478" s="1194"/>
      <c r="AK478" s="1194"/>
      <c r="AL478" s="1194"/>
    </row>
    <row r="479" spans="1:38" s="156" customFormat="1" ht="11.25">
      <c r="A479" s="1194"/>
      <c r="B479" s="1194"/>
      <c r="C479" s="1194"/>
      <c r="D479" s="1194"/>
      <c r="E479" s="1194"/>
      <c r="F479" s="1194"/>
      <c r="G479" s="1194"/>
      <c r="H479" s="1195"/>
      <c r="I479" s="1195"/>
      <c r="J479" s="1195"/>
      <c r="K479" s="1195"/>
      <c r="L479" s="1195"/>
      <c r="M479" s="1195"/>
      <c r="N479" s="1195"/>
      <c r="O479" s="1195"/>
      <c r="P479" s="1195"/>
      <c r="Q479" s="1195"/>
      <c r="R479" s="1195"/>
      <c r="S479" s="1195"/>
      <c r="T479" s="1195"/>
      <c r="U479" s="1195"/>
      <c r="V479" s="1195"/>
      <c r="W479" s="1195"/>
      <c r="X479" s="1195"/>
      <c r="Y479" s="1195"/>
      <c r="Z479" s="1195"/>
      <c r="AA479" s="1195"/>
      <c r="AB479" s="1195"/>
      <c r="AC479" s="1195"/>
      <c r="AD479" s="1195"/>
      <c r="AE479" s="1195"/>
      <c r="AF479" s="1195"/>
      <c r="AG479" s="1195"/>
      <c r="AH479" s="1195"/>
      <c r="AI479" s="1195"/>
      <c r="AJ479" s="1194"/>
      <c r="AK479" s="1194"/>
      <c r="AL479" s="1194"/>
    </row>
    <row r="480" spans="1:38" s="156" customFormat="1" ht="11.25">
      <c r="A480" s="1194"/>
      <c r="B480" s="1194"/>
      <c r="C480" s="1194"/>
      <c r="D480" s="1194"/>
      <c r="E480" s="1194"/>
      <c r="F480" s="1194"/>
      <c r="G480" s="1194"/>
      <c r="H480" s="1195"/>
      <c r="I480" s="1195"/>
      <c r="J480" s="1195"/>
      <c r="K480" s="1195"/>
      <c r="L480" s="1195"/>
      <c r="M480" s="1195"/>
      <c r="N480" s="1195"/>
      <c r="O480" s="1195"/>
      <c r="P480" s="1195"/>
      <c r="Q480" s="1195"/>
      <c r="R480" s="1195"/>
      <c r="S480" s="1195"/>
      <c r="T480" s="1195"/>
      <c r="U480" s="1195"/>
      <c r="V480" s="1195"/>
      <c r="W480" s="1195"/>
      <c r="X480" s="1195"/>
      <c r="Y480" s="1195"/>
      <c r="Z480" s="1195"/>
      <c r="AA480" s="1195"/>
      <c r="AB480" s="1195"/>
      <c r="AC480" s="1195"/>
      <c r="AD480" s="1195"/>
      <c r="AE480" s="1195"/>
      <c r="AF480" s="1195"/>
      <c r="AG480" s="1195"/>
      <c r="AH480" s="1195"/>
      <c r="AI480" s="1195"/>
      <c r="AJ480" s="1194"/>
      <c r="AK480" s="1194"/>
      <c r="AL480" s="1194"/>
    </row>
    <row r="481" spans="1:38" s="156" customFormat="1" ht="11.25">
      <c r="A481" s="1194"/>
      <c r="B481" s="1194"/>
      <c r="C481" s="1194"/>
      <c r="D481" s="1194"/>
      <c r="E481" s="1194"/>
      <c r="F481" s="1194"/>
      <c r="G481" s="1194"/>
      <c r="H481" s="1195"/>
      <c r="I481" s="1195"/>
      <c r="J481" s="1195"/>
      <c r="K481" s="1195"/>
      <c r="L481" s="1195"/>
      <c r="M481" s="1195"/>
      <c r="N481" s="1195"/>
      <c r="O481" s="1195"/>
      <c r="P481" s="1195"/>
      <c r="Q481" s="1195"/>
      <c r="R481" s="1195"/>
      <c r="S481" s="1195"/>
      <c r="T481" s="1195"/>
      <c r="U481" s="1195"/>
      <c r="V481" s="1195"/>
      <c r="W481" s="1195"/>
      <c r="X481" s="1195"/>
      <c r="Y481" s="1195"/>
      <c r="Z481" s="1195"/>
      <c r="AA481" s="1195"/>
      <c r="AB481" s="1195"/>
      <c r="AC481" s="1195"/>
      <c r="AD481" s="1195"/>
      <c r="AE481" s="1195"/>
      <c r="AF481" s="1195"/>
      <c r="AG481" s="1195"/>
      <c r="AH481" s="1195"/>
      <c r="AI481" s="1195"/>
      <c r="AJ481" s="1194"/>
      <c r="AK481" s="1194"/>
      <c r="AL481" s="1194"/>
    </row>
    <row r="482" spans="1:38" s="156" customFormat="1" ht="11.25">
      <c r="A482" s="1194"/>
      <c r="B482" s="1194"/>
      <c r="C482" s="1194"/>
      <c r="D482" s="1194"/>
      <c r="E482" s="1194"/>
      <c r="F482" s="1194"/>
      <c r="G482" s="1194"/>
      <c r="H482" s="1195"/>
      <c r="I482" s="1195"/>
      <c r="J482" s="1195"/>
      <c r="K482" s="1195"/>
      <c r="L482" s="1195"/>
      <c r="M482" s="1195"/>
      <c r="N482" s="1195"/>
      <c r="O482" s="1195"/>
      <c r="P482" s="1195"/>
      <c r="Q482" s="1195"/>
      <c r="R482" s="1195"/>
      <c r="S482" s="1195"/>
      <c r="T482" s="1195"/>
      <c r="U482" s="1195"/>
      <c r="V482" s="1195"/>
      <c r="W482" s="1195"/>
      <c r="X482" s="1195"/>
      <c r="Y482" s="1195"/>
      <c r="Z482" s="1195"/>
      <c r="AA482" s="1195"/>
      <c r="AB482" s="1195"/>
      <c r="AC482" s="1195"/>
      <c r="AD482" s="1195"/>
      <c r="AE482" s="1195"/>
      <c r="AF482" s="1195"/>
      <c r="AG482" s="1195"/>
      <c r="AH482" s="1195"/>
      <c r="AI482" s="1195"/>
      <c r="AJ482" s="1194"/>
      <c r="AK482" s="1194"/>
      <c r="AL482" s="1194"/>
    </row>
    <row r="483" spans="1:38" s="156" customFormat="1" ht="11.25">
      <c r="A483" s="1194"/>
      <c r="B483" s="1194"/>
      <c r="C483" s="1194"/>
      <c r="D483" s="1194"/>
      <c r="E483" s="1194"/>
      <c r="F483" s="1194"/>
      <c r="G483" s="1194"/>
      <c r="H483" s="1195"/>
      <c r="I483" s="1195"/>
      <c r="J483" s="1195"/>
      <c r="K483" s="1195"/>
      <c r="L483" s="1195"/>
      <c r="M483" s="1195"/>
      <c r="N483" s="1195"/>
      <c r="O483" s="1195"/>
      <c r="P483" s="1195"/>
      <c r="Q483" s="1195"/>
      <c r="R483" s="1195"/>
      <c r="S483" s="1195"/>
      <c r="T483" s="1195"/>
      <c r="U483" s="1195"/>
      <c r="V483" s="1195"/>
      <c r="W483" s="1195"/>
      <c r="X483" s="1195"/>
      <c r="Y483" s="1195"/>
      <c r="Z483" s="1195"/>
      <c r="AA483" s="1195"/>
      <c r="AB483" s="1195"/>
      <c r="AC483" s="1195"/>
      <c r="AD483" s="1195"/>
      <c r="AE483" s="1195"/>
      <c r="AF483" s="1195"/>
      <c r="AG483" s="1195"/>
      <c r="AH483" s="1195"/>
      <c r="AI483" s="1195"/>
      <c r="AJ483" s="1194"/>
      <c r="AK483" s="1194"/>
      <c r="AL483" s="1194"/>
    </row>
    <row r="484" spans="1:38" s="156" customFormat="1" ht="11.25">
      <c r="A484" s="1194"/>
      <c r="B484" s="1194"/>
      <c r="C484" s="1194"/>
      <c r="D484" s="1194"/>
      <c r="E484" s="1194"/>
      <c r="F484" s="1194"/>
      <c r="G484" s="1194"/>
      <c r="H484" s="1195"/>
      <c r="I484" s="1195"/>
      <c r="J484" s="1195"/>
      <c r="K484" s="1195"/>
      <c r="L484" s="1195"/>
      <c r="M484" s="1195"/>
      <c r="N484" s="1195"/>
      <c r="O484" s="1195"/>
      <c r="P484" s="1195"/>
      <c r="Q484" s="1195"/>
      <c r="R484" s="1195"/>
      <c r="S484" s="1195"/>
      <c r="T484" s="1195"/>
      <c r="U484" s="1195"/>
      <c r="V484" s="1195"/>
      <c r="W484" s="1195"/>
      <c r="X484" s="1195"/>
      <c r="Y484" s="1195"/>
      <c r="Z484" s="1195"/>
      <c r="AA484" s="1195"/>
      <c r="AB484" s="1195"/>
      <c r="AC484" s="1195"/>
      <c r="AD484" s="1195"/>
      <c r="AE484" s="1195"/>
      <c r="AF484" s="1195"/>
      <c r="AG484" s="1195"/>
      <c r="AH484" s="1195"/>
      <c r="AI484" s="1195"/>
      <c r="AJ484" s="1194"/>
      <c r="AK484" s="1194"/>
      <c r="AL484" s="1194"/>
    </row>
    <row r="485" spans="1:38" s="156" customFormat="1" ht="11.25">
      <c r="A485" s="1194"/>
      <c r="B485" s="1194"/>
      <c r="C485" s="1194"/>
      <c r="D485" s="1194"/>
      <c r="E485" s="1194"/>
      <c r="F485" s="1194"/>
      <c r="G485" s="1194"/>
      <c r="H485" s="1195"/>
      <c r="I485" s="1195"/>
      <c r="J485" s="1195"/>
      <c r="K485" s="1195"/>
      <c r="L485" s="1195"/>
      <c r="M485" s="1195"/>
      <c r="N485" s="1195"/>
      <c r="O485" s="1195"/>
      <c r="P485" s="1195"/>
      <c r="Q485" s="1195"/>
      <c r="R485" s="1195"/>
      <c r="S485" s="1195"/>
      <c r="T485" s="1195"/>
      <c r="U485" s="1195"/>
      <c r="V485" s="1195"/>
      <c r="W485" s="1195"/>
      <c r="X485" s="1195"/>
      <c r="Y485" s="1195"/>
      <c r="Z485" s="1195"/>
      <c r="AA485" s="1195"/>
      <c r="AB485" s="1195"/>
      <c r="AC485" s="1195"/>
      <c r="AD485" s="1195"/>
      <c r="AE485" s="1195"/>
      <c r="AF485" s="1195"/>
      <c r="AG485" s="1195"/>
      <c r="AH485" s="1195"/>
      <c r="AI485" s="1195"/>
      <c r="AJ485" s="1194"/>
      <c r="AK485" s="1194"/>
      <c r="AL485" s="1194"/>
    </row>
    <row r="486" spans="1:38" s="156" customFormat="1" ht="11.25">
      <c r="A486" s="1194"/>
      <c r="B486" s="1194"/>
      <c r="C486" s="1194"/>
      <c r="D486" s="1194"/>
      <c r="E486" s="1194"/>
      <c r="F486" s="1194"/>
      <c r="G486" s="1194"/>
      <c r="H486" s="1195"/>
      <c r="I486" s="1195"/>
      <c r="J486" s="1195"/>
      <c r="K486" s="1195"/>
      <c r="L486" s="1195"/>
      <c r="M486" s="1195"/>
      <c r="N486" s="1195"/>
      <c r="O486" s="1195"/>
      <c r="P486" s="1195"/>
      <c r="Q486" s="1195"/>
      <c r="R486" s="1195"/>
      <c r="S486" s="1195"/>
      <c r="T486" s="1195"/>
      <c r="U486" s="1195"/>
      <c r="V486" s="1195"/>
      <c r="W486" s="1195"/>
      <c r="X486" s="1195"/>
      <c r="Y486" s="1195"/>
      <c r="Z486" s="1195"/>
      <c r="AA486" s="1195"/>
      <c r="AB486" s="1195"/>
      <c r="AC486" s="1195"/>
      <c r="AD486" s="1195"/>
      <c r="AE486" s="1195"/>
      <c r="AF486" s="1195"/>
      <c r="AG486" s="1195"/>
      <c r="AH486" s="1195"/>
      <c r="AI486" s="1195"/>
      <c r="AJ486" s="1194"/>
      <c r="AK486" s="1194"/>
      <c r="AL486" s="1194"/>
    </row>
    <row r="487" spans="1:38" s="156" customFormat="1" ht="11.25">
      <c r="A487" s="1194"/>
      <c r="B487" s="1194"/>
      <c r="C487" s="1194"/>
      <c r="D487" s="1194"/>
      <c r="E487" s="1194"/>
      <c r="F487" s="1194"/>
      <c r="G487" s="1194"/>
      <c r="H487" s="1195"/>
      <c r="I487" s="1195"/>
      <c r="J487" s="1195"/>
      <c r="K487" s="1195"/>
      <c r="L487" s="1195"/>
      <c r="M487" s="1195"/>
      <c r="N487" s="1195"/>
      <c r="O487" s="1195"/>
      <c r="P487" s="1195"/>
      <c r="Q487" s="1195"/>
      <c r="R487" s="1195"/>
      <c r="S487" s="1195"/>
      <c r="T487" s="1195"/>
      <c r="U487" s="1195"/>
      <c r="V487" s="1195"/>
      <c r="W487" s="1195"/>
      <c r="X487" s="1195"/>
      <c r="Y487" s="1195"/>
      <c r="Z487" s="1195"/>
      <c r="AA487" s="1195"/>
      <c r="AB487" s="1195"/>
      <c r="AC487" s="1195"/>
      <c r="AD487" s="1195"/>
      <c r="AE487" s="1195"/>
      <c r="AF487" s="1195"/>
      <c r="AG487" s="1195"/>
      <c r="AH487" s="1195"/>
      <c r="AI487" s="1195"/>
      <c r="AJ487" s="1194"/>
      <c r="AK487" s="1194"/>
      <c r="AL487" s="1194"/>
    </row>
    <row r="488" spans="1:38" s="156" customFormat="1" ht="11.25">
      <c r="A488" s="1194"/>
      <c r="B488" s="1194"/>
      <c r="C488" s="1194"/>
      <c r="D488" s="1194"/>
      <c r="E488" s="1194"/>
      <c r="F488" s="1194"/>
      <c r="G488" s="1194"/>
      <c r="H488" s="1195"/>
      <c r="I488" s="1195"/>
      <c r="J488" s="1195"/>
      <c r="K488" s="1195"/>
      <c r="L488" s="1195"/>
      <c r="M488" s="1195"/>
      <c r="N488" s="1195"/>
      <c r="O488" s="1195"/>
      <c r="P488" s="1195"/>
      <c r="Q488" s="1195"/>
      <c r="R488" s="1195"/>
      <c r="S488" s="1195"/>
      <c r="T488" s="1195"/>
      <c r="U488" s="1195"/>
      <c r="V488" s="1195"/>
      <c r="W488" s="1195"/>
      <c r="X488" s="1195"/>
      <c r="Y488" s="1195"/>
      <c r="Z488" s="1195"/>
      <c r="AA488" s="1195"/>
      <c r="AB488" s="1195"/>
      <c r="AC488" s="1195"/>
      <c r="AD488" s="1195"/>
      <c r="AE488" s="1195"/>
      <c r="AF488" s="1195"/>
      <c r="AG488" s="1195"/>
      <c r="AH488" s="1195"/>
      <c r="AI488" s="1195"/>
      <c r="AJ488" s="1194"/>
      <c r="AK488" s="1194"/>
      <c r="AL488" s="1194"/>
    </row>
    <row r="489" spans="1:38" s="156" customFormat="1" ht="11.25">
      <c r="A489" s="1194"/>
      <c r="B489" s="1194"/>
      <c r="C489" s="1194"/>
      <c r="D489" s="1194"/>
      <c r="E489" s="1194"/>
      <c r="F489" s="1194"/>
      <c r="G489" s="1194"/>
      <c r="H489" s="1195"/>
      <c r="I489" s="1195"/>
      <c r="J489" s="1195"/>
      <c r="K489" s="1195"/>
      <c r="L489" s="1195"/>
      <c r="M489" s="1195"/>
      <c r="N489" s="1195"/>
      <c r="O489" s="1195"/>
      <c r="P489" s="1195"/>
      <c r="Q489" s="1195"/>
      <c r="R489" s="1195"/>
      <c r="S489" s="1195"/>
      <c r="T489" s="1195"/>
      <c r="U489" s="1195"/>
      <c r="V489" s="1195"/>
      <c r="W489" s="1195"/>
      <c r="X489" s="1195"/>
      <c r="Y489" s="1195"/>
      <c r="Z489" s="1195"/>
      <c r="AA489" s="1195"/>
      <c r="AB489" s="1195"/>
      <c r="AC489" s="1195"/>
      <c r="AD489" s="1195"/>
      <c r="AE489" s="1195"/>
      <c r="AF489" s="1195"/>
      <c r="AG489" s="1195"/>
      <c r="AH489" s="1195"/>
      <c r="AI489" s="1195"/>
      <c r="AJ489" s="1194"/>
      <c r="AK489" s="1194"/>
      <c r="AL489" s="1194"/>
    </row>
    <row r="490" spans="1:38" s="156" customFormat="1" ht="11.25">
      <c r="A490" s="1194"/>
      <c r="B490" s="1194"/>
      <c r="C490" s="1194"/>
      <c r="D490" s="1194"/>
      <c r="E490" s="1194"/>
      <c r="F490" s="1194"/>
      <c r="G490" s="1194"/>
      <c r="H490" s="1195"/>
      <c r="I490" s="1195"/>
      <c r="J490" s="1195"/>
      <c r="K490" s="1195"/>
      <c r="L490" s="1195"/>
      <c r="M490" s="1195"/>
      <c r="N490" s="1195"/>
      <c r="O490" s="1195"/>
      <c r="P490" s="1195"/>
      <c r="Q490" s="1195"/>
      <c r="R490" s="1195"/>
      <c r="S490" s="1195"/>
      <c r="T490" s="1195"/>
      <c r="U490" s="1195"/>
      <c r="V490" s="1195"/>
      <c r="W490" s="1195"/>
      <c r="X490" s="1195"/>
      <c r="Y490" s="1195"/>
      <c r="Z490" s="1195"/>
      <c r="AA490" s="1195"/>
      <c r="AB490" s="1195"/>
      <c r="AC490" s="1195"/>
      <c r="AD490" s="1195"/>
      <c r="AE490" s="1195"/>
      <c r="AF490" s="1195"/>
      <c r="AG490" s="1195"/>
      <c r="AH490" s="1195"/>
      <c r="AI490" s="1195"/>
      <c r="AJ490" s="1194"/>
      <c r="AK490" s="1194"/>
      <c r="AL490" s="1194"/>
    </row>
    <row r="491" spans="1:38" s="156" customFormat="1" ht="11.25">
      <c r="A491" s="1194"/>
      <c r="B491" s="1194"/>
      <c r="C491" s="1194"/>
      <c r="D491" s="1194"/>
      <c r="E491" s="1194"/>
      <c r="F491" s="1194"/>
      <c r="G491" s="1194"/>
      <c r="H491" s="1195"/>
      <c r="I491" s="1195"/>
      <c r="J491" s="1195"/>
      <c r="K491" s="1195"/>
      <c r="L491" s="1195"/>
      <c r="M491" s="1195"/>
      <c r="N491" s="1195"/>
      <c r="O491" s="1195"/>
      <c r="P491" s="1195"/>
      <c r="Q491" s="1195"/>
      <c r="R491" s="1195"/>
      <c r="S491" s="1195"/>
      <c r="T491" s="1195"/>
      <c r="U491" s="1195"/>
      <c r="V491" s="1195"/>
      <c r="W491" s="1195"/>
      <c r="X491" s="1195"/>
      <c r="Y491" s="1195"/>
      <c r="Z491" s="1195"/>
      <c r="AA491" s="1195"/>
      <c r="AB491" s="1195"/>
      <c r="AC491" s="1195"/>
      <c r="AD491" s="1195"/>
      <c r="AE491" s="1195"/>
      <c r="AF491" s="1195"/>
      <c r="AG491" s="1195"/>
      <c r="AH491" s="1195"/>
      <c r="AI491" s="1195"/>
      <c r="AJ491" s="1194"/>
      <c r="AK491" s="1194"/>
      <c r="AL491" s="1194"/>
    </row>
    <row r="492" spans="1:38" s="156" customFormat="1" ht="11.25">
      <c r="A492" s="1194"/>
      <c r="B492" s="1194"/>
      <c r="C492" s="1194"/>
      <c r="D492" s="1194"/>
      <c r="E492" s="1194"/>
      <c r="F492" s="1194"/>
      <c r="G492" s="1194"/>
      <c r="H492" s="1195"/>
      <c r="I492" s="1195"/>
      <c r="J492" s="1195"/>
      <c r="K492" s="1195"/>
      <c r="L492" s="1195"/>
      <c r="M492" s="1195"/>
      <c r="N492" s="1195"/>
      <c r="O492" s="1195"/>
      <c r="P492" s="1195"/>
      <c r="Q492" s="1195"/>
      <c r="R492" s="1195"/>
      <c r="S492" s="1195"/>
      <c r="T492" s="1195"/>
      <c r="U492" s="1195"/>
      <c r="V492" s="1195"/>
      <c r="W492" s="1195"/>
      <c r="X492" s="1195"/>
      <c r="Y492" s="1195"/>
      <c r="Z492" s="1195"/>
      <c r="AA492" s="1195"/>
      <c r="AB492" s="1195"/>
      <c r="AC492" s="1195"/>
      <c r="AD492" s="1195"/>
      <c r="AE492" s="1195"/>
      <c r="AF492" s="1195"/>
      <c r="AG492" s="1195"/>
      <c r="AH492" s="1195"/>
      <c r="AI492" s="1195"/>
      <c r="AJ492" s="1194"/>
      <c r="AK492" s="1194"/>
      <c r="AL492" s="1194"/>
    </row>
    <row r="493" spans="1:38" s="156" customFormat="1" ht="11.25">
      <c r="A493" s="1194"/>
      <c r="B493" s="1194"/>
      <c r="C493" s="1194"/>
      <c r="D493" s="1194"/>
      <c r="E493" s="1194"/>
      <c r="F493" s="1194"/>
      <c r="G493" s="1194"/>
      <c r="H493" s="1195"/>
      <c r="I493" s="1195"/>
      <c r="J493" s="1195"/>
      <c r="K493" s="1195"/>
      <c r="L493" s="1195"/>
      <c r="M493" s="1195"/>
      <c r="N493" s="1195"/>
      <c r="O493" s="1195"/>
      <c r="P493" s="1195"/>
      <c r="Q493" s="1195"/>
      <c r="R493" s="1195"/>
      <c r="S493" s="1195"/>
      <c r="T493" s="1195"/>
      <c r="U493" s="1195"/>
      <c r="V493" s="1195"/>
      <c r="W493" s="1195"/>
      <c r="X493" s="1195"/>
      <c r="Y493" s="1195"/>
      <c r="Z493" s="1195"/>
      <c r="AA493" s="1195"/>
      <c r="AB493" s="1195"/>
      <c r="AC493" s="1195"/>
      <c r="AD493" s="1195"/>
      <c r="AE493" s="1195"/>
      <c r="AF493" s="1195"/>
      <c r="AG493" s="1195"/>
      <c r="AH493" s="1195"/>
      <c r="AI493" s="1195"/>
      <c r="AJ493" s="1194"/>
      <c r="AK493" s="1194"/>
      <c r="AL493" s="1194"/>
    </row>
    <row r="494" spans="1:38" s="156" customFormat="1" ht="11.25">
      <c r="A494" s="1194"/>
      <c r="B494" s="1194"/>
      <c r="C494" s="1194"/>
      <c r="D494" s="1194"/>
      <c r="E494" s="1194"/>
      <c r="F494" s="1194"/>
      <c r="G494" s="1194"/>
      <c r="H494" s="1195"/>
      <c r="I494" s="1195"/>
      <c r="J494" s="1195"/>
      <c r="K494" s="1195"/>
      <c r="L494" s="1195"/>
      <c r="M494" s="1195"/>
      <c r="N494" s="1195"/>
      <c r="O494" s="1195"/>
      <c r="P494" s="1195"/>
      <c r="Q494" s="1195"/>
      <c r="R494" s="1195"/>
      <c r="S494" s="1195"/>
      <c r="T494" s="1195"/>
      <c r="U494" s="1195"/>
      <c r="V494" s="1195"/>
      <c r="W494" s="1195"/>
      <c r="X494" s="1195"/>
      <c r="Y494" s="1195"/>
      <c r="Z494" s="1195"/>
      <c r="AA494" s="1195"/>
      <c r="AB494" s="1195"/>
      <c r="AC494" s="1195"/>
      <c r="AD494" s="1195"/>
      <c r="AE494" s="1195"/>
      <c r="AF494" s="1195"/>
      <c r="AG494" s="1195"/>
      <c r="AH494" s="1195"/>
      <c r="AI494" s="1195"/>
      <c r="AJ494" s="1194"/>
      <c r="AK494" s="1194"/>
      <c r="AL494" s="1194"/>
    </row>
    <row r="495" spans="1:38" s="156" customFormat="1" ht="11.25">
      <c r="A495" s="1194"/>
      <c r="B495" s="1194"/>
      <c r="C495" s="1194"/>
      <c r="D495" s="1194"/>
      <c r="E495" s="1194"/>
      <c r="F495" s="1194"/>
      <c r="G495" s="1194"/>
      <c r="H495" s="1195"/>
      <c r="I495" s="1195"/>
      <c r="J495" s="1195"/>
      <c r="K495" s="1195"/>
      <c r="L495" s="1195"/>
      <c r="M495" s="1195"/>
      <c r="N495" s="1195"/>
      <c r="O495" s="1195"/>
      <c r="P495" s="1195"/>
      <c r="Q495" s="1195"/>
      <c r="R495" s="1195"/>
      <c r="S495" s="1195"/>
      <c r="T495" s="1195"/>
      <c r="U495" s="1195"/>
      <c r="V495" s="1195"/>
      <c r="W495" s="1195"/>
      <c r="X495" s="1195"/>
      <c r="Y495" s="1195"/>
      <c r="Z495" s="1195"/>
      <c r="AA495" s="1195"/>
      <c r="AB495" s="1195"/>
      <c r="AC495" s="1195"/>
      <c r="AD495" s="1195"/>
      <c r="AE495" s="1195"/>
      <c r="AF495" s="1195"/>
      <c r="AG495" s="1195"/>
      <c r="AH495" s="1195"/>
      <c r="AI495" s="1195"/>
      <c r="AJ495" s="1194"/>
      <c r="AK495" s="1194"/>
      <c r="AL495" s="1194"/>
    </row>
    <row r="496" spans="1:38" s="156" customFormat="1" ht="11.25">
      <c r="A496" s="1194"/>
      <c r="B496" s="1194"/>
      <c r="C496" s="1194"/>
      <c r="D496" s="1194"/>
      <c r="E496" s="1194"/>
      <c r="F496" s="1194"/>
      <c r="G496" s="1194"/>
      <c r="H496" s="1195"/>
      <c r="I496" s="1195"/>
      <c r="J496" s="1195"/>
      <c r="K496" s="1195"/>
      <c r="L496" s="1195"/>
      <c r="M496" s="1195"/>
      <c r="N496" s="1195"/>
      <c r="O496" s="1195"/>
      <c r="P496" s="1195"/>
      <c r="Q496" s="1195"/>
      <c r="R496" s="1195"/>
      <c r="S496" s="1195"/>
      <c r="T496" s="1195"/>
      <c r="U496" s="1195"/>
      <c r="V496" s="1195"/>
      <c r="W496" s="1195"/>
      <c r="X496" s="1195"/>
      <c r="Y496" s="1195"/>
      <c r="Z496" s="1195"/>
      <c r="AA496" s="1195"/>
      <c r="AB496" s="1195"/>
      <c r="AC496" s="1194"/>
      <c r="AD496" s="1194"/>
      <c r="AE496" s="1194"/>
      <c r="AF496" s="1194"/>
      <c r="AG496" s="1194"/>
      <c r="AH496" s="1194"/>
      <c r="AI496" s="1194"/>
      <c r="AJ496" s="1194"/>
      <c r="AK496" s="1194"/>
      <c r="AL496" s="1194"/>
    </row>
    <row r="497" spans="1:38" s="156" customFormat="1" ht="11.25">
      <c r="A497" s="1194"/>
      <c r="B497" s="1194"/>
      <c r="C497" s="1194"/>
      <c r="D497" s="1194"/>
      <c r="E497" s="1194"/>
      <c r="F497" s="1194"/>
      <c r="G497" s="1194"/>
      <c r="H497" s="1195"/>
      <c r="I497" s="1195"/>
      <c r="J497" s="1195"/>
      <c r="K497" s="1195"/>
      <c r="L497" s="1195"/>
      <c r="M497" s="1195"/>
      <c r="N497" s="1195"/>
      <c r="O497" s="1195"/>
      <c r="P497" s="1195"/>
      <c r="Q497" s="1195"/>
      <c r="R497" s="1195"/>
      <c r="S497" s="1195"/>
      <c r="T497" s="1195"/>
      <c r="U497" s="1195"/>
      <c r="V497" s="1195"/>
      <c r="W497" s="1195"/>
      <c r="X497" s="1195"/>
      <c r="Y497" s="1195"/>
      <c r="Z497" s="1195"/>
      <c r="AA497" s="1195"/>
      <c r="AB497" s="1195"/>
      <c r="AC497" s="1194"/>
      <c r="AD497" s="1194"/>
      <c r="AE497" s="1194"/>
      <c r="AF497" s="1194"/>
      <c r="AG497" s="1194"/>
      <c r="AH497" s="1194"/>
      <c r="AI497" s="1194"/>
      <c r="AJ497" s="1194"/>
      <c r="AK497" s="1194"/>
      <c r="AL497" s="1194"/>
    </row>
    <row r="498" spans="1:38" s="156" customFormat="1" ht="11.25">
      <c r="A498" s="1194"/>
      <c r="B498" s="1194"/>
      <c r="C498" s="1194"/>
      <c r="D498" s="1194"/>
      <c r="E498" s="1194"/>
      <c r="F498" s="1194"/>
      <c r="G498" s="1194"/>
      <c r="H498" s="1195"/>
      <c r="I498" s="1195"/>
      <c r="J498" s="1195"/>
      <c r="K498" s="1195"/>
      <c r="L498" s="1195"/>
      <c r="M498" s="1195"/>
      <c r="N498" s="1195"/>
      <c r="O498" s="1195"/>
      <c r="P498" s="1195"/>
      <c r="Q498" s="1195"/>
      <c r="R498" s="1195"/>
      <c r="S498" s="1195"/>
      <c r="T498" s="1195"/>
      <c r="U498" s="1195"/>
      <c r="V498" s="1195"/>
      <c r="W498" s="1195"/>
      <c r="X498" s="1195"/>
      <c r="Y498" s="1195"/>
      <c r="Z498" s="1195"/>
      <c r="AA498" s="1195"/>
      <c r="AB498" s="1195"/>
      <c r="AC498" s="1194"/>
      <c r="AD498" s="1194"/>
      <c r="AE498" s="1194"/>
      <c r="AF498" s="1194"/>
      <c r="AG498" s="1194"/>
      <c r="AH498" s="1194"/>
      <c r="AI498" s="1194"/>
      <c r="AJ498" s="1194"/>
      <c r="AK498" s="1194"/>
      <c r="AL498" s="1194"/>
    </row>
    <row r="499" spans="1:38" s="156" customFormat="1" ht="11.25">
      <c r="A499" s="1194"/>
      <c r="B499" s="1194"/>
      <c r="C499" s="1194"/>
      <c r="D499" s="1194"/>
      <c r="E499" s="1194"/>
      <c r="F499" s="1194"/>
      <c r="G499" s="1194"/>
      <c r="H499" s="1195"/>
      <c r="I499" s="1195"/>
      <c r="J499" s="1195"/>
      <c r="K499" s="1195"/>
      <c r="L499" s="1195"/>
      <c r="M499" s="1195"/>
      <c r="N499" s="1195"/>
      <c r="O499" s="1195"/>
      <c r="P499" s="1195"/>
      <c r="Q499" s="1195"/>
      <c r="R499" s="1195"/>
      <c r="S499" s="1195"/>
      <c r="T499" s="1195"/>
      <c r="U499" s="1195"/>
      <c r="V499" s="1195"/>
      <c r="W499" s="1195"/>
      <c r="X499" s="1195"/>
      <c r="Y499" s="1195"/>
      <c r="Z499" s="1195"/>
      <c r="AA499" s="1195"/>
      <c r="AB499" s="1195"/>
      <c r="AC499" s="1194"/>
      <c r="AD499" s="1194"/>
      <c r="AE499" s="1194"/>
      <c r="AF499" s="1194"/>
      <c r="AG499" s="1194"/>
      <c r="AH499" s="1194"/>
      <c r="AI499" s="1194"/>
      <c r="AJ499" s="1194"/>
      <c r="AK499" s="1194"/>
      <c r="AL499" s="1194"/>
    </row>
    <row r="500" spans="1:38" s="156" customFormat="1" ht="11.25">
      <c r="A500" s="1194"/>
      <c r="B500" s="1194"/>
      <c r="C500" s="1194"/>
      <c r="D500" s="1194"/>
      <c r="E500" s="1194"/>
      <c r="F500" s="1194"/>
      <c r="G500" s="1194"/>
      <c r="H500" s="1195"/>
      <c r="I500" s="1195"/>
      <c r="J500" s="1195"/>
      <c r="K500" s="1195"/>
      <c r="L500" s="1195"/>
      <c r="M500" s="1195"/>
      <c r="N500" s="1195"/>
      <c r="O500" s="1195"/>
      <c r="P500" s="1195"/>
      <c r="Q500" s="1195"/>
      <c r="R500" s="1195"/>
      <c r="S500" s="1195"/>
      <c r="T500" s="1195"/>
      <c r="U500" s="1195"/>
      <c r="V500" s="1195"/>
      <c r="W500" s="1195"/>
      <c r="X500" s="1195"/>
      <c r="Y500" s="1195"/>
      <c r="Z500" s="1195"/>
      <c r="AA500" s="1195"/>
      <c r="AB500" s="1195"/>
      <c r="AC500" s="1194"/>
      <c r="AD500" s="1194"/>
      <c r="AE500" s="1194"/>
      <c r="AF500" s="1194"/>
      <c r="AG500" s="1194"/>
      <c r="AH500" s="1194"/>
      <c r="AI500" s="1194"/>
      <c r="AJ500" s="1194"/>
      <c r="AK500" s="1194"/>
      <c r="AL500" s="1194"/>
    </row>
    <row r="501" spans="1:38" s="156" customFormat="1" ht="11.25">
      <c r="A501" s="1194"/>
      <c r="B501" s="1194"/>
      <c r="C501" s="1194"/>
      <c r="D501" s="1194"/>
      <c r="E501" s="1194"/>
      <c r="F501" s="1194"/>
      <c r="G501" s="1194"/>
      <c r="H501" s="1195"/>
      <c r="I501" s="1195"/>
      <c r="J501" s="1195"/>
      <c r="K501" s="1195"/>
      <c r="L501" s="1195"/>
      <c r="M501" s="1195"/>
      <c r="N501" s="1195"/>
      <c r="O501" s="1195"/>
      <c r="P501" s="1195"/>
      <c r="Q501" s="1195"/>
      <c r="R501" s="1195"/>
      <c r="S501" s="1195"/>
      <c r="T501" s="1195"/>
      <c r="U501" s="1195"/>
      <c r="V501" s="1195"/>
      <c r="W501" s="1195"/>
      <c r="X501" s="1195"/>
      <c r="Y501" s="1195"/>
      <c r="Z501" s="1195"/>
      <c r="AA501" s="1195"/>
      <c r="AB501" s="1195"/>
      <c r="AC501" s="1194"/>
      <c r="AD501" s="1194"/>
      <c r="AE501" s="1194"/>
      <c r="AF501" s="1194"/>
      <c r="AG501" s="1194"/>
      <c r="AH501" s="1194"/>
      <c r="AI501" s="1194"/>
      <c r="AJ501" s="1194"/>
      <c r="AK501" s="1194"/>
      <c r="AL501" s="1194"/>
    </row>
    <row r="502" spans="1:38" s="156" customFormat="1" ht="11.25">
      <c r="A502" s="1194"/>
      <c r="B502" s="1194"/>
      <c r="C502" s="1194"/>
      <c r="D502" s="1194"/>
      <c r="E502" s="1194"/>
      <c r="F502" s="1194"/>
      <c r="G502" s="1194"/>
      <c r="H502" s="1195"/>
      <c r="I502" s="1195"/>
      <c r="J502" s="1195"/>
      <c r="K502" s="1195"/>
      <c r="L502" s="1195"/>
      <c r="M502" s="1195"/>
      <c r="N502" s="1195"/>
      <c r="O502" s="1195"/>
      <c r="P502" s="1195"/>
      <c r="Q502" s="1195"/>
      <c r="R502" s="1195"/>
      <c r="S502" s="1195"/>
      <c r="T502" s="1195"/>
      <c r="U502" s="1195"/>
      <c r="V502" s="1195"/>
      <c r="W502" s="1195"/>
      <c r="X502" s="1195"/>
      <c r="Y502" s="1195"/>
      <c r="Z502" s="1195"/>
      <c r="AA502" s="1195"/>
      <c r="AB502" s="1195"/>
      <c r="AC502" s="1194"/>
      <c r="AD502" s="1194"/>
      <c r="AE502" s="1194"/>
      <c r="AF502" s="1194"/>
      <c r="AG502" s="1194"/>
      <c r="AH502" s="1194"/>
      <c r="AI502" s="1194"/>
      <c r="AJ502" s="1194"/>
      <c r="AK502" s="1194"/>
      <c r="AL502" s="1194"/>
    </row>
    <row r="503" spans="1:38" s="156" customFormat="1" ht="11.25">
      <c r="A503" s="1194"/>
      <c r="B503" s="1194"/>
      <c r="C503" s="1194"/>
      <c r="D503" s="1194"/>
      <c r="E503" s="1194"/>
      <c r="F503" s="1194"/>
      <c r="G503" s="1194"/>
      <c r="H503" s="1195"/>
      <c r="I503" s="1195"/>
      <c r="J503" s="1195"/>
      <c r="K503" s="1195"/>
      <c r="L503" s="1195"/>
      <c r="M503" s="1195"/>
      <c r="N503" s="1195"/>
      <c r="O503" s="1195"/>
      <c r="P503" s="1195"/>
      <c r="Q503" s="1195"/>
      <c r="R503" s="1195"/>
      <c r="S503" s="1195"/>
      <c r="T503" s="1195"/>
      <c r="U503" s="1195"/>
      <c r="V503" s="1195"/>
      <c r="W503" s="1195"/>
      <c r="X503" s="1195"/>
      <c r="Y503" s="1195"/>
      <c r="Z503" s="1195"/>
      <c r="AA503" s="1195"/>
      <c r="AB503" s="1195"/>
      <c r="AC503" s="1194"/>
      <c r="AD503" s="1194"/>
      <c r="AE503" s="1194"/>
      <c r="AF503" s="1194"/>
      <c r="AG503" s="1194"/>
      <c r="AH503" s="1194"/>
      <c r="AI503" s="1194"/>
      <c r="AJ503" s="1194"/>
      <c r="AK503" s="1194"/>
      <c r="AL503" s="1194"/>
    </row>
    <row r="504" spans="1:38" s="156" customFormat="1" ht="11.25">
      <c r="A504" s="1194"/>
      <c r="B504" s="1194"/>
      <c r="C504" s="1194"/>
      <c r="D504" s="1194"/>
      <c r="E504" s="1194"/>
      <c r="F504" s="1194"/>
      <c r="G504" s="1194"/>
      <c r="H504" s="1195"/>
      <c r="I504" s="1195"/>
      <c r="J504" s="1195"/>
      <c r="K504" s="1195"/>
      <c r="L504" s="1195"/>
      <c r="M504" s="1195"/>
      <c r="N504" s="1195"/>
      <c r="O504" s="1195"/>
      <c r="P504" s="1195"/>
      <c r="Q504" s="1195"/>
      <c r="R504" s="1195"/>
      <c r="S504" s="1195"/>
      <c r="T504" s="1195"/>
      <c r="U504" s="1195"/>
      <c r="V504" s="1195"/>
      <c r="W504" s="1195"/>
      <c r="X504" s="1195"/>
      <c r="Y504" s="1195"/>
      <c r="Z504" s="1195"/>
      <c r="AA504" s="1195"/>
      <c r="AB504" s="1195"/>
      <c r="AC504" s="1194"/>
      <c r="AD504" s="1194"/>
      <c r="AE504" s="1194"/>
      <c r="AF504" s="1194"/>
      <c r="AG504" s="1194"/>
      <c r="AH504" s="1194"/>
      <c r="AI504" s="1194"/>
      <c r="AJ504" s="1194"/>
      <c r="AK504" s="1194"/>
      <c r="AL504" s="1194"/>
    </row>
    <row r="505" spans="1:38" s="156" customFormat="1" ht="11.25">
      <c r="A505" s="1194"/>
      <c r="B505" s="1194"/>
      <c r="C505" s="1194"/>
      <c r="D505" s="1194"/>
      <c r="E505" s="1194"/>
      <c r="F505" s="1194"/>
      <c r="G505" s="1194"/>
      <c r="H505" s="1195"/>
      <c r="I505" s="1195"/>
      <c r="J505" s="1195"/>
      <c r="K505" s="1195"/>
      <c r="L505" s="1195"/>
      <c r="M505" s="1195"/>
      <c r="N505" s="1195"/>
      <c r="O505" s="1195"/>
      <c r="P505" s="1195"/>
      <c r="Q505" s="1195"/>
      <c r="R505" s="1195"/>
      <c r="S505" s="1195"/>
      <c r="T505" s="1195"/>
      <c r="U505" s="1195"/>
      <c r="V505" s="1195"/>
      <c r="W505" s="1195"/>
      <c r="X505" s="1195"/>
      <c r="Y505" s="1195"/>
      <c r="Z505" s="1195"/>
      <c r="AA505" s="1195"/>
      <c r="AB505" s="1195"/>
      <c r="AC505" s="1194"/>
      <c r="AD505" s="1194"/>
      <c r="AE505" s="1194"/>
      <c r="AF505" s="1194"/>
      <c r="AG505" s="1194"/>
      <c r="AH505" s="1194"/>
      <c r="AI505" s="1194"/>
      <c r="AJ505" s="1194"/>
      <c r="AK505" s="1194"/>
      <c r="AL505" s="1194"/>
    </row>
    <row r="506" spans="1:38" s="156" customFormat="1" ht="11.25">
      <c r="A506" s="1194"/>
      <c r="B506" s="1194"/>
      <c r="C506" s="1194"/>
      <c r="D506" s="1194"/>
      <c r="E506" s="1194"/>
      <c r="F506" s="1194"/>
      <c r="G506" s="1194"/>
      <c r="H506" s="1195"/>
      <c r="I506" s="1195"/>
      <c r="J506" s="1195"/>
      <c r="K506" s="1195"/>
      <c r="L506" s="1195"/>
      <c r="M506" s="1195"/>
      <c r="N506" s="1195"/>
      <c r="O506" s="1195"/>
      <c r="P506" s="1195"/>
      <c r="Q506" s="1195"/>
      <c r="R506" s="1195"/>
      <c r="S506" s="1195"/>
      <c r="T506" s="1195"/>
      <c r="U506" s="1195"/>
      <c r="V506" s="1195"/>
      <c r="W506" s="1195"/>
      <c r="X506" s="1195"/>
      <c r="Y506" s="1195"/>
      <c r="Z506" s="1195"/>
      <c r="AA506" s="1195"/>
      <c r="AB506" s="1195"/>
      <c r="AC506" s="1194"/>
      <c r="AD506" s="1194"/>
      <c r="AE506" s="1194"/>
      <c r="AF506" s="1194"/>
      <c r="AG506" s="1194"/>
      <c r="AH506" s="1194"/>
      <c r="AI506" s="1194"/>
      <c r="AJ506" s="1194"/>
      <c r="AK506" s="1194"/>
      <c r="AL506" s="1194"/>
    </row>
    <row r="507" spans="1:38" s="156" customFormat="1" ht="11.25">
      <c r="A507" s="1194"/>
      <c r="B507" s="1194"/>
      <c r="C507" s="1194"/>
      <c r="D507" s="1194"/>
      <c r="E507" s="1194"/>
      <c r="F507" s="1194"/>
      <c r="G507" s="1194"/>
      <c r="H507" s="1195"/>
      <c r="I507" s="1195"/>
      <c r="J507" s="1195"/>
      <c r="K507" s="1195"/>
      <c r="L507" s="1195"/>
      <c r="M507" s="1195"/>
      <c r="N507" s="1195"/>
      <c r="O507" s="1195"/>
      <c r="P507" s="1195"/>
      <c r="Q507" s="1195"/>
      <c r="R507" s="1195"/>
      <c r="S507" s="1195"/>
      <c r="T507" s="1195"/>
      <c r="U507" s="1195"/>
      <c r="V507" s="1195"/>
      <c r="W507" s="1195"/>
      <c r="X507" s="1195"/>
      <c r="Y507" s="1195"/>
      <c r="Z507" s="1195"/>
      <c r="AA507" s="1195"/>
      <c r="AB507" s="1195"/>
      <c r="AC507" s="1194"/>
      <c r="AD507" s="1194"/>
      <c r="AE507" s="1194"/>
      <c r="AF507" s="1194"/>
      <c r="AG507" s="1194"/>
      <c r="AH507" s="1194"/>
      <c r="AI507" s="1194"/>
      <c r="AJ507" s="1194"/>
      <c r="AK507" s="1194"/>
      <c r="AL507" s="1194"/>
    </row>
    <row r="508" spans="1:38" s="156" customFormat="1" ht="11.25">
      <c r="A508" s="1194"/>
      <c r="B508" s="1194"/>
      <c r="C508" s="1194"/>
      <c r="D508" s="1194"/>
      <c r="E508" s="1194"/>
      <c r="F508" s="1194"/>
      <c r="G508" s="1194"/>
      <c r="H508" s="1195"/>
      <c r="I508" s="1195"/>
      <c r="J508" s="1195"/>
      <c r="K508" s="1195"/>
      <c r="L508" s="1195"/>
      <c r="M508" s="1195"/>
      <c r="N508" s="1195"/>
      <c r="O508" s="1195"/>
      <c r="P508" s="1195"/>
      <c r="Q508" s="1195"/>
      <c r="R508" s="1195"/>
      <c r="S508" s="1195"/>
      <c r="T508" s="1195"/>
      <c r="U508" s="1195"/>
      <c r="V508" s="1195"/>
      <c r="W508" s="1195"/>
      <c r="X508" s="1195"/>
      <c r="Y508" s="1195"/>
      <c r="Z508" s="1195"/>
      <c r="AA508" s="1195"/>
      <c r="AB508" s="1195"/>
      <c r="AC508" s="1194"/>
      <c r="AD508" s="1194"/>
      <c r="AE508" s="1194"/>
      <c r="AF508" s="1194"/>
      <c r="AG508" s="1194"/>
      <c r="AH508" s="1194"/>
      <c r="AI508" s="1194"/>
      <c r="AJ508" s="1194"/>
      <c r="AK508" s="1194"/>
      <c r="AL508" s="1194"/>
    </row>
    <row r="509" spans="1:38" s="156" customFormat="1" ht="11.25">
      <c r="A509" s="1194"/>
      <c r="B509" s="1194"/>
      <c r="C509" s="1194"/>
      <c r="D509" s="1194"/>
      <c r="E509" s="1194"/>
      <c r="F509" s="1194"/>
      <c r="G509" s="1194"/>
      <c r="H509" s="1195"/>
      <c r="I509" s="1195"/>
      <c r="J509" s="1195"/>
      <c r="K509" s="1195"/>
      <c r="L509" s="1195"/>
      <c r="M509" s="1195"/>
      <c r="N509" s="1195"/>
      <c r="O509" s="1195"/>
      <c r="P509" s="1195"/>
      <c r="Q509" s="1195"/>
      <c r="R509" s="1195"/>
      <c r="S509" s="1195"/>
      <c r="T509" s="1195"/>
      <c r="U509" s="1195"/>
      <c r="V509" s="1195"/>
      <c r="W509" s="1195"/>
      <c r="X509" s="1195"/>
      <c r="Y509" s="1195"/>
      <c r="Z509" s="1195"/>
      <c r="AA509" s="1195"/>
      <c r="AB509" s="1195"/>
      <c r="AC509" s="1194"/>
      <c r="AD509" s="1194"/>
      <c r="AE509" s="1194"/>
      <c r="AF509" s="1194"/>
      <c r="AG509" s="1194"/>
      <c r="AH509" s="1194"/>
      <c r="AI509" s="1194"/>
      <c r="AJ509" s="1194"/>
      <c r="AK509" s="1194"/>
      <c r="AL509" s="1194"/>
    </row>
    <row r="510" spans="1:38" s="156" customFormat="1" ht="11.25">
      <c r="A510" s="1194"/>
      <c r="B510" s="1194"/>
      <c r="C510" s="1194"/>
      <c r="D510" s="1194"/>
      <c r="E510" s="1194"/>
      <c r="F510" s="1194"/>
      <c r="G510" s="1194"/>
      <c r="H510" s="1195"/>
      <c r="I510" s="1195"/>
      <c r="J510" s="1195"/>
      <c r="K510" s="1195"/>
      <c r="L510" s="1195"/>
      <c r="M510" s="1195"/>
      <c r="N510" s="1195"/>
      <c r="O510" s="1195"/>
      <c r="P510" s="1195"/>
      <c r="Q510" s="1195"/>
      <c r="R510" s="1195"/>
      <c r="S510" s="1195"/>
      <c r="T510" s="1195"/>
      <c r="U510" s="1195"/>
      <c r="V510" s="1195"/>
      <c r="W510" s="1195"/>
      <c r="X510" s="1195"/>
      <c r="Y510" s="1195"/>
      <c r="Z510" s="1195"/>
      <c r="AA510" s="1195"/>
      <c r="AB510" s="1195"/>
      <c r="AC510" s="1194"/>
      <c r="AD510" s="1194"/>
      <c r="AE510" s="1194"/>
      <c r="AF510" s="1194"/>
      <c r="AG510" s="1194"/>
      <c r="AH510" s="1194"/>
      <c r="AI510" s="1194"/>
      <c r="AJ510" s="1194"/>
      <c r="AK510" s="1194"/>
      <c r="AL510" s="1194"/>
    </row>
    <row r="511" spans="1:38" s="156" customFormat="1" ht="11.25">
      <c r="A511" s="1194"/>
      <c r="B511" s="1194"/>
      <c r="C511" s="1194"/>
      <c r="D511" s="1194"/>
      <c r="E511" s="1194"/>
      <c r="F511" s="1194"/>
      <c r="G511" s="1194"/>
      <c r="H511" s="1195"/>
      <c r="I511" s="1195"/>
      <c r="J511" s="1195"/>
      <c r="K511" s="1195"/>
      <c r="L511" s="1195"/>
      <c r="M511" s="1195"/>
      <c r="N511" s="1195"/>
      <c r="O511" s="1195"/>
      <c r="P511" s="1195"/>
      <c r="Q511" s="1195"/>
      <c r="R511" s="1195"/>
      <c r="S511" s="1195"/>
      <c r="T511" s="1195"/>
      <c r="U511" s="1195"/>
      <c r="V511" s="1195"/>
      <c r="W511" s="1195"/>
      <c r="X511" s="1195"/>
      <c r="Y511" s="1195"/>
      <c r="Z511" s="1195"/>
      <c r="AA511" s="1195"/>
      <c r="AB511" s="1195"/>
      <c r="AC511" s="1194"/>
      <c r="AD511" s="1194"/>
      <c r="AE511" s="1194"/>
      <c r="AF511" s="1194"/>
      <c r="AG511" s="1194"/>
      <c r="AH511" s="1194"/>
      <c r="AI511" s="1194"/>
      <c r="AJ511" s="1194"/>
      <c r="AK511" s="1194"/>
      <c r="AL511" s="1194"/>
    </row>
    <row r="512" spans="1:38" s="156" customFormat="1" ht="11.25">
      <c r="A512" s="1194"/>
      <c r="B512" s="1194"/>
      <c r="C512" s="1194"/>
      <c r="D512" s="1194"/>
      <c r="E512" s="1194"/>
      <c r="F512" s="1194"/>
      <c r="G512" s="1194"/>
      <c r="H512" s="1195"/>
      <c r="I512" s="1195"/>
      <c r="J512" s="1195"/>
      <c r="K512" s="1195"/>
      <c r="L512" s="1195"/>
      <c r="M512" s="1195"/>
      <c r="N512" s="1195"/>
      <c r="O512" s="1195"/>
      <c r="P512" s="1195"/>
      <c r="Q512" s="1195"/>
      <c r="R512" s="1195"/>
      <c r="S512" s="1195"/>
      <c r="T512" s="1195"/>
      <c r="U512" s="1195"/>
      <c r="V512" s="1195"/>
      <c r="W512" s="1195"/>
      <c r="X512" s="1195"/>
      <c r="Y512" s="1195"/>
      <c r="Z512" s="1195"/>
      <c r="AA512" s="1195"/>
      <c r="AB512" s="1195"/>
      <c r="AC512" s="1194"/>
      <c r="AD512" s="1194"/>
      <c r="AE512" s="1194"/>
      <c r="AF512" s="1194"/>
      <c r="AG512" s="1194"/>
      <c r="AH512" s="1194"/>
      <c r="AI512" s="1194"/>
      <c r="AJ512" s="1194"/>
      <c r="AK512" s="1194"/>
      <c r="AL512" s="1194"/>
    </row>
    <row r="513" spans="1:38" s="156" customFormat="1" ht="11.25">
      <c r="A513" s="1194"/>
      <c r="B513" s="1194"/>
      <c r="C513" s="1194"/>
      <c r="D513" s="1194"/>
      <c r="E513" s="1194"/>
      <c r="F513" s="1194"/>
      <c r="G513" s="1194"/>
      <c r="H513" s="1195"/>
      <c r="I513" s="1195"/>
      <c r="J513" s="1195"/>
      <c r="K513" s="1195"/>
      <c r="L513" s="1195"/>
      <c r="M513" s="1195"/>
      <c r="N513" s="1195"/>
      <c r="O513" s="1195"/>
      <c r="P513" s="1195"/>
      <c r="Q513" s="1195"/>
      <c r="R513" s="1195"/>
      <c r="S513" s="1195"/>
      <c r="T513" s="1195"/>
      <c r="U513" s="1195"/>
      <c r="V513" s="1195"/>
      <c r="W513" s="1195"/>
      <c r="X513" s="1195"/>
      <c r="Y513" s="1195"/>
      <c r="Z513" s="1195"/>
      <c r="AA513" s="1195"/>
      <c r="AB513" s="1195"/>
      <c r="AC513" s="1194"/>
      <c r="AD513" s="1194"/>
      <c r="AE513" s="1194"/>
      <c r="AF513" s="1194"/>
      <c r="AG513" s="1194"/>
      <c r="AH513" s="1194"/>
      <c r="AI513" s="1194"/>
      <c r="AJ513" s="1194"/>
      <c r="AK513" s="1194"/>
      <c r="AL513" s="1194"/>
    </row>
    <row r="514" spans="1:38" s="156" customFormat="1" ht="11.25">
      <c r="A514" s="1194"/>
      <c r="B514" s="1194"/>
      <c r="C514" s="1194"/>
      <c r="D514" s="1194"/>
      <c r="E514" s="1194"/>
      <c r="F514" s="1194"/>
      <c r="G514" s="1194"/>
      <c r="H514" s="1195"/>
      <c r="I514" s="1195"/>
      <c r="J514" s="1195"/>
      <c r="K514" s="1195"/>
      <c r="L514" s="1195"/>
      <c r="M514" s="1195"/>
      <c r="N514" s="1195"/>
      <c r="O514" s="1195"/>
      <c r="P514" s="1195"/>
      <c r="Q514" s="1195"/>
      <c r="R514" s="1195"/>
      <c r="S514" s="1195"/>
      <c r="T514" s="1195"/>
      <c r="U514" s="1195"/>
      <c r="V514" s="1195"/>
      <c r="W514" s="1195"/>
      <c r="X514" s="1195"/>
      <c r="Y514" s="1195"/>
      <c r="Z514" s="1195"/>
      <c r="AA514" s="1195"/>
      <c r="AB514" s="1195"/>
      <c r="AC514" s="1194"/>
      <c r="AD514" s="1194"/>
      <c r="AE514" s="1194"/>
      <c r="AF514" s="1194"/>
      <c r="AG514" s="1194"/>
      <c r="AH514" s="1194"/>
      <c r="AI514" s="1194"/>
      <c r="AJ514" s="1194"/>
      <c r="AK514" s="1194"/>
      <c r="AL514" s="1194"/>
    </row>
    <row r="515" spans="1:38" s="156" customFormat="1" ht="11.25">
      <c r="A515" s="1194"/>
      <c r="B515" s="1194"/>
      <c r="C515" s="1194"/>
      <c r="D515" s="1194"/>
      <c r="E515" s="1194"/>
      <c r="F515" s="1194"/>
      <c r="G515" s="1194"/>
      <c r="H515" s="1195"/>
      <c r="I515" s="1195"/>
      <c r="J515" s="1195"/>
      <c r="K515" s="1195"/>
      <c r="L515" s="1195"/>
      <c r="M515" s="1195"/>
      <c r="N515" s="1195"/>
      <c r="O515" s="1195"/>
      <c r="P515" s="1195"/>
      <c r="Q515" s="1195"/>
      <c r="R515" s="1195"/>
      <c r="S515" s="1195"/>
      <c r="T515" s="1195"/>
      <c r="U515" s="1195"/>
      <c r="V515" s="1195"/>
      <c r="W515" s="1195"/>
      <c r="X515" s="1195"/>
      <c r="Y515" s="1195"/>
      <c r="Z515" s="1195"/>
      <c r="AA515" s="1195"/>
      <c r="AB515" s="1195"/>
      <c r="AC515" s="1194"/>
      <c r="AD515" s="1194"/>
      <c r="AE515" s="1194"/>
      <c r="AF515" s="1194"/>
      <c r="AG515" s="1194"/>
      <c r="AH515" s="1194"/>
      <c r="AI515" s="1194"/>
      <c r="AJ515" s="1194"/>
      <c r="AK515" s="1194"/>
      <c r="AL515" s="1194"/>
    </row>
    <row r="516" spans="1:38" s="156" customFormat="1" ht="11.25">
      <c r="A516" s="1194"/>
      <c r="B516" s="1194"/>
      <c r="C516" s="1194"/>
      <c r="D516" s="1194"/>
      <c r="E516" s="1194"/>
      <c r="F516" s="1194"/>
      <c r="G516" s="1194"/>
      <c r="H516" s="1195"/>
      <c r="I516" s="1195"/>
      <c r="J516" s="1195"/>
      <c r="K516" s="1195"/>
      <c r="L516" s="1195"/>
      <c r="M516" s="1195"/>
      <c r="N516" s="1195"/>
      <c r="O516" s="1195"/>
      <c r="P516" s="1195"/>
      <c r="Q516" s="1195"/>
      <c r="R516" s="1195"/>
      <c r="S516" s="1195"/>
      <c r="T516" s="1195"/>
      <c r="U516" s="1195"/>
      <c r="V516" s="1195"/>
      <c r="W516" s="1195"/>
      <c r="X516" s="1195"/>
      <c r="Y516" s="1195"/>
      <c r="Z516" s="1195"/>
      <c r="AA516" s="1195"/>
      <c r="AB516" s="1195"/>
      <c r="AC516" s="1194"/>
      <c r="AD516" s="1194"/>
      <c r="AE516" s="1194"/>
      <c r="AF516" s="1194"/>
      <c r="AG516" s="1194"/>
      <c r="AH516" s="1194"/>
      <c r="AI516" s="1194"/>
      <c r="AJ516" s="1194"/>
      <c r="AK516" s="1194"/>
      <c r="AL516" s="1194"/>
    </row>
    <row r="517" spans="1:38" s="156" customFormat="1" ht="11.25">
      <c r="A517" s="1194"/>
      <c r="B517" s="1194"/>
      <c r="C517" s="1194"/>
      <c r="D517" s="1194"/>
      <c r="E517" s="1194"/>
      <c r="F517" s="1194"/>
      <c r="G517" s="1194"/>
      <c r="H517" s="1195"/>
      <c r="I517" s="1195"/>
      <c r="J517" s="1195"/>
      <c r="K517" s="1195"/>
      <c r="L517" s="1195"/>
      <c r="M517" s="1195"/>
      <c r="N517" s="1195"/>
      <c r="O517" s="1195"/>
      <c r="P517" s="1195"/>
      <c r="Q517" s="1195"/>
      <c r="R517" s="1195"/>
      <c r="S517" s="1195"/>
      <c r="T517" s="1195"/>
      <c r="U517" s="1195"/>
      <c r="V517" s="1195"/>
      <c r="W517" s="1195"/>
      <c r="X517" s="1195"/>
      <c r="Y517" s="1195"/>
      <c r="Z517" s="1195"/>
      <c r="AA517" s="1195"/>
      <c r="AB517" s="1195"/>
      <c r="AC517" s="1194"/>
      <c r="AD517" s="1194"/>
      <c r="AE517" s="1194"/>
      <c r="AF517" s="1194"/>
      <c r="AG517" s="1194"/>
      <c r="AH517" s="1194"/>
      <c r="AI517" s="1194"/>
      <c r="AJ517" s="1194"/>
      <c r="AK517" s="1194"/>
      <c r="AL517" s="1194"/>
    </row>
    <row r="518" spans="1:38" s="156" customFormat="1" ht="11.25">
      <c r="A518" s="1194"/>
      <c r="B518" s="1194"/>
      <c r="C518" s="1194"/>
      <c r="D518" s="1194"/>
      <c r="E518" s="1194"/>
      <c r="F518" s="1194"/>
      <c r="G518" s="1194"/>
      <c r="H518" s="1195"/>
      <c r="I518" s="1195"/>
      <c r="J518" s="1195"/>
      <c r="K518" s="1195"/>
      <c r="L518" s="1195"/>
      <c r="M518" s="1195"/>
      <c r="N518" s="1195"/>
      <c r="O518" s="1195"/>
      <c r="P518" s="1195"/>
      <c r="Q518" s="1195"/>
      <c r="R518" s="1195"/>
      <c r="S518" s="1195"/>
      <c r="T518" s="1195"/>
      <c r="U518" s="1195"/>
      <c r="V518" s="1195"/>
      <c r="W518" s="1195"/>
      <c r="X518" s="1195"/>
      <c r="Y518" s="1195"/>
      <c r="Z518" s="1195"/>
      <c r="AA518" s="1195"/>
      <c r="AB518" s="1195"/>
      <c r="AC518" s="1194"/>
      <c r="AD518" s="1194"/>
      <c r="AE518" s="1194"/>
      <c r="AF518" s="1194"/>
      <c r="AG518" s="1194"/>
      <c r="AH518" s="1194"/>
      <c r="AI518" s="1194"/>
      <c r="AJ518" s="1194"/>
      <c r="AK518" s="1194"/>
      <c r="AL518" s="1194"/>
    </row>
    <row r="519" spans="1:38" s="156" customFormat="1" ht="11.25">
      <c r="A519" s="1194"/>
      <c r="B519" s="1194"/>
      <c r="C519" s="1194"/>
      <c r="D519" s="1194"/>
      <c r="E519" s="1194"/>
      <c r="F519" s="1194"/>
      <c r="G519" s="1194"/>
      <c r="H519" s="1195"/>
      <c r="I519" s="1195"/>
      <c r="J519" s="1195"/>
      <c r="K519" s="1195"/>
      <c r="L519" s="1195"/>
      <c r="M519" s="1195"/>
      <c r="N519" s="1195"/>
      <c r="O519" s="1195"/>
      <c r="P519" s="1195"/>
      <c r="Q519" s="1195"/>
      <c r="R519" s="1195"/>
      <c r="S519" s="1195"/>
      <c r="T519" s="1195"/>
      <c r="U519" s="1195"/>
      <c r="V519" s="1195"/>
      <c r="W519" s="1195"/>
      <c r="X519" s="1195"/>
      <c r="Y519" s="1195"/>
      <c r="Z519" s="1195"/>
      <c r="AA519" s="1195"/>
      <c r="AB519" s="1195"/>
      <c r="AC519" s="1194"/>
      <c r="AD519" s="1194"/>
      <c r="AE519" s="1194"/>
      <c r="AF519" s="1194"/>
      <c r="AG519" s="1194"/>
      <c r="AH519" s="1194"/>
      <c r="AI519" s="1194"/>
      <c r="AJ519" s="1194"/>
      <c r="AK519" s="1194"/>
      <c r="AL519" s="1194"/>
    </row>
    <row r="520" spans="1:38" s="156" customFormat="1" ht="11.25">
      <c r="A520" s="1194"/>
      <c r="B520" s="1194"/>
      <c r="C520" s="1194"/>
      <c r="D520" s="1194"/>
      <c r="E520" s="1194"/>
      <c r="F520" s="1194"/>
      <c r="G520" s="1194"/>
      <c r="H520" s="1195"/>
      <c r="I520" s="1195"/>
      <c r="J520" s="1195"/>
      <c r="K520" s="1195"/>
      <c r="L520" s="1195"/>
      <c r="M520" s="1195"/>
      <c r="N520" s="1195"/>
      <c r="O520" s="1195"/>
      <c r="P520" s="1195"/>
      <c r="Q520" s="1195"/>
      <c r="R520" s="1195"/>
      <c r="S520" s="1195"/>
      <c r="T520" s="1195"/>
      <c r="U520" s="1195"/>
      <c r="V520" s="1195"/>
      <c r="W520" s="1195"/>
      <c r="X520" s="1195"/>
      <c r="Y520" s="1195"/>
      <c r="Z520" s="1195"/>
      <c r="AA520" s="1195"/>
      <c r="AB520" s="1195"/>
      <c r="AC520" s="1194"/>
      <c r="AD520" s="1194"/>
      <c r="AE520" s="1194"/>
      <c r="AF520" s="1194"/>
      <c r="AG520" s="1194"/>
      <c r="AH520" s="1194"/>
      <c r="AI520" s="1194"/>
      <c r="AJ520" s="1194"/>
      <c r="AK520" s="1194"/>
      <c r="AL520" s="1194"/>
    </row>
    <row r="521" spans="1:38" s="156" customFormat="1" ht="11.25">
      <c r="A521" s="1194"/>
      <c r="B521" s="1194"/>
      <c r="C521" s="1194"/>
      <c r="D521" s="1194"/>
      <c r="E521" s="1194"/>
      <c r="F521" s="1194"/>
      <c r="G521" s="1194"/>
      <c r="H521" s="1195"/>
      <c r="I521" s="1195"/>
      <c r="J521" s="1195"/>
      <c r="K521" s="1195"/>
      <c r="L521" s="1195"/>
      <c r="M521" s="1195"/>
      <c r="N521" s="1195"/>
      <c r="O521" s="1195"/>
      <c r="P521" s="1195"/>
      <c r="Q521" s="1195"/>
      <c r="R521" s="1195"/>
      <c r="S521" s="1195"/>
      <c r="T521" s="1195"/>
      <c r="U521" s="1195"/>
      <c r="V521" s="1195"/>
      <c r="W521" s="1195"/>
      <c r="X521" s="1195"/>
      <c r="Y521" s="1195"/>
      <c r="Z521" s="1195"/>
      <c r="AA521" s="1195"/>
      <c r="AB521" s="1195"/>
      <c r="AC521" s="1194"/>
      <c r="AD521" s="1194"/>
      <c r="AE521" s="1194"/>
      <c r="AF521" s="1194"/>
      <c r="AG521" s="1194"/>
      <c r="AH521" s="1194"/>
      <c r="AI521" s="1194"/>
      <c r="AJ521" s="1194"/>
      <c r="AK521" s="1194"/>
      <c r="AL521" s="1194"/>
    </row>
    <row r="522" spans="1:38" s="156" customFormat="1" ht="11.25">
      <c r="A522" s="1194"/>
      <c r="B522" s="1194"/>
      <c r="C522" s="1194"/>
      <c r="D522" s="1194"/>
      <c r="E522" s="1194"/>
      <c r="F522" s="1194"/>
      <c r="G522" s="1194"/>
      <c r="H522" s="1195"/>
      <c r="I522" s="1195"/>
      <c r="J522" s="1195"/>
      <c r="K522" s="1195"/>
      <c r="L522" s="1195"/>
      <c r="M522" s="1195"/>
      <c r="N522" s="1195"/>
      <c r="O522" s="1195"/>
      <c r="P522" s="1195"/>
      <c r="Q522" s="1195"/>
      <c r="R522" s="1195"/>
      <c r="S522" s="1195"/>
      <c r="T522" s="1195"/>
      <c r="U522" s="1195"/>
      <c r="V522" s="1195"/>
      <c r="W522" s="1195"/>
      <c r="X522" s="1195"/>
      <c r="Y522" s="1195"/>
      <c r="Z522" s="1195"/>
      <c r="AA522" s="1195"/>
      <c r="AB522" s="1195"/>
      <c r="AC522" s="1194"/>
      <c r="AD522" s="1194"/>
      <c r="AE522" s="1194"/>
      <c r="AF522" s="1194"/>
      <c r="AG522" s="1194"/>
      <c r="AH522" s="1194"/>
      <c r="AI522" s="1194"/>
      <c r="AJ522" s="1194"/>
      <c r="AK522" s="1194"/>
      <c r="AL522" s="1194"/>
    </row>
    <row r="523" spans="1:38" s="156" customFormat="1" ht="11.25">
      <c r="A523" s="1194"/>
      <c r="B523" s="1194"/>
      <c r="C523" s="1194"/>
      <c r="D523" s="1194"/>
      <c r="E523" s="1194"/>
      <c r="F523" s="1194"/>
      <c r="G523" s="1194"/>
      <c r="H523" s="1195"/>
      <c r="I523" s="1195"/>
      <c r="J523" s="1195"/>
      <c r="K523" s="1195"/>
      <c r="L523" s="1195"/>
      <c r="M523" s="1195"/>
      <c r="N523" s="1195"/>
      <c r="O523" s="1195"/>
      <c r="P523" s="1195"/>
      <c r="Q523" s="1195"/>
      <c r="R523" s="1195"/>
      <c r="S523" s="1195"/>
      <c r="T523" s="1195"/>
      <c r="U523" s="1195"/>
      <c r="V523" s="1195"/>
      <c r="W523" s="1195"/>
      <c r="X523" s="1195"/>
      <c r="Y523" s="1195"/>
      <c r="Z523" s="1195"/>
      <c r="AA523" s="1195"/>
      <c r="AB523" s="1195"/>
      <c r="AC523" s="1194"/>
      <c r="AD523" s="1194"/>
      <c r="AE523" s="1194"/>
      <c r="AF523" s="1194"/>
      <c r="AG523" s="1194"/>
      <c r="AH523" s="1194"/>
      <c r="AI523" s="1194"/>
      <c r="AJ523" s="1194"/>
      <c r="AK523" s="1194"/>
      <c r="AL523" s="1194"/>
    </row>
    <row r="524" spans="1:38" s="156" customFormat="1" ht="11.25">
      <c r="A524" s="1194"/>
      <c r="B524" s="1194"/>
      <c r="C524" s="1194"/>
      <c r="D524" s="1194"/>
      <c r="E524" s="1194"/>
      <c r="F524" s="1194"/>
      <c r="G524" s="1194"/>
      <c r="H524" s="1195"/>
      <c r="I524" s="1195"/>
      <c r="J524" s="1195"/>
      <c r="K524" s="1195"/>
      <c r="L524" s="1195"/>
      <c r="M524" s="1195"/>
      <c r="N524" s="1195"/>
      <c r="O524" s="1195"/>
      <c r="P524" s="1195"/>
      <c r="Q524" s="1195"/>
      <c r="R524" s="1195"/>
      <c r="S524" s="1195"/>
      <c r="T524" s="1195"/>
      <c r="U524" s="1195"/>
      <c r="V524" s="1195"/>
      <c r="W524" s="1195"/>
      <c r="X524" s="1195"/>
      <c r="Y524" s="1195"/>
      <c r="Z524" s="1195"/>
      <c r="AA524" s="1195"/>
      <c r="AB524" s="1195"/>
      <c r="AC524" s="1194"/>
      <c r="AD524" s="1194"/>
      <c r="AE524" s="1194"/>
      <c r="AF524" s="1194"/>
      <c r="AG524" s="1194"/>
      <c r="AH524" s="1194"/>
      <c r="AI524" s="1194"/>
      <c r="AJ524" s="1194"/>
      <c r="AK524" s="1194"/>
      <c r="AL524" s="1194"/>
    </row>
    <row r="525" spans="1:38" s="156" customFormat="1" ht="11.25">
      <c r="A525" s="1194"/>
      <c r="B525" s="1194"/>
      <c r="C525" s="1194"/>
      <c r="D525" s="1194"/>
      <c r="E525" s="1194"/>
      <c r="F525" s="1194"/>
      <c r="G525" s="1194"/>
      <c r="H525" s="1195"/>
      <c r="I525" s="1195"/>
      <c r="J525" s="1195"/>
      <c r="K525" s="1195"/>
      <c r="L525" s="1195"/>
      <c r="M525" s="1195"/>
      <c r="N525" s="1195"/>
      <c r="O525" s="1195"/>
      <c r="P525" s="1195"/>
      <c r="Q525" s="1195"/>
      <c r="R525" s="1195"/>
      <c r="S525" s="1195"/>
      <c r="T525" s="1195"/>
      <c r="U525" s="1195"/>
      <c r="V525" s="1195"/>
      <c r="W525" s="1195"/>
      <c r="X525" s="1195"/>
      <c r="Y525" s="1195"/>
      <c r="Z525" s="1195"/>
      <c r="AA525" s="1195"/>
      <c r="AB525" s="1195"/>
      <c r="AC525" s="1194"/>
      <c r="AD525" s="1194"/>
      <c r="AE525" s="1194"/>
      <c r="AF525" s="1194"/>
      <c r="AG525" s="1194"/>
      <c r="AH525" s="1194"/>
      <c r="AI525" s="1194"/>
      <c r="AJ525" s="1194"/>
      <c r="AK525" s="1194"/>
      <c r="AL525" s="1194"/>
    </row>
    <row r="526" spans="1:38" s="156" customFormat="1" ht="11.25">
      <c r="A526" s="1194"/>
      <c r="B526" s="1194"/>
      <c r="C526" s="1194"/>
      <c r="D526" s="1194"/>
      <c r="E526" s="1194"/>
      <c r="F526" s="1194"/>
      <c r="G526" s="1194"/>
      <c r="H526" s="1195"/>
      <c r="I526" s="1195"/>
      <c r="J526" s="1195"/>
      <c r="K526" s="1195"/>
      <c r="L526" s="1195"/>
      <c r="M526" s="1195"/>
      <c r="N526" s="1195"/>
      <c r="O526" s="1195"/>
      <c r="P526" s="1195"/>
      <c r="Q526" s="1195"/>
      <c r="R526" s="1195"/>
      <c r="S526" s="1195"/>
      <c r="T526" s="1195"/>
      <c r="U526" s="1195"/>
      <c r="V526" s="1195"/>
      <c r="W526" s="1195"/>
      <c r="X526" s="1195"/>
      <c r="Y526" s="1195"/>
      <c r="Z526" s="1195"/>
      <c r="AA526" s="1195"/>
      <c r="AB526" s="1195"/>
      <c r="AC526" s="1194"/>
      <c r="AD526" s="1194"/>
      <c r="AE526" s="1194"/>
      <c r="AF526" s="1194"/>
      <c r="AG526" s="1194"/>
      <c r="AH526" s="1194"/>
      <c r="AI526" s="1194"/>
      <c r="AJ526" s="1194"/>
      <c r="AK526" s="1194"/>
      <c r="AL526" s="1194"/>
    </row>
    <row r="527" spans="1:38" s="156" customFormat="1" ht="11.25">
      <c r="A527" s="1194"/>
      <c r="B527" s="1194"/>
      <c r="C527" s="1194"/>
      <c r="D527" s="1194"/>
      <c r="E527" s="1194"/>
      <c r="F527" s="1194"/>
      <c r="G527" s="1194"/>
      <c r="H527" s="1195"/>
      <c r="I527" s="1195"/>
      <c r="J527" s="1195"/>
      <c r="K527" s="1195"/>
      <c r="L527" s="1195"/>
      <c r="M527" s="1195"/>
      <c r="N527" s="1195"/>
      <c r="O527" s="1195"/>
      <c r="P527" s="1195"/>
      <c r="Q527" s="1195"/>
      <c r="R527" s="1195"/>
      <c r="S527" s="1195"/>
      <c r="T527" s="1195"/>
      <c r="U527" s="1195"/>
      <c r="V527" s="1195"/>
      <c r="W527" s="1195"/>
      <c r="X527" s="1195"/>
      <c r="Y527" s="1195"/>
      <c r="Z527" s="1195"/>
      <c r="AA527" s="1195"/>
      <c r="AB527" s="1195"/>
      <c r="AC527" s="1194"/>
      <c r="AD527" s="1194"/>
      <c r="AE527" s="1194"/>
      <c r="AF527" s="1194"/>
      <c r="AG527" s="1194"/>
      <c r="AH527" s="1194"/>
      <c r="AI527" s="1194"/>
      <c r="AJ527" s="1194"/>
      <c r="AK527" s="1194"/>
      <c r="AL527" s="1194"/>
    </row>
    <row r="528" spans="1:38" s="156" customFormat="1" ht="11.25">
      <c r="A528" s="1194"/>
      <c r="B528" s="1194"/>
      <c r="C528" s="1194"/>
      <c r="D528" s="1194"/>
      <c r="E528" s="1194"/>
      <c r="F528" s="1194"/>
      <c r="G528" s="1194"/>
      <c r="H528" s="1195"/>
      <c r="I528" s="1195"/>
      <c r="J528" s="1195"/>
      <c r="K528" s="1195"/>
      <c r="L528" s="1195"/>
      <c r="M528" s="1195"/>
      <c r="N528" s="1195"/>
      <c r="O528" s="1195"/>
      <c r="P528" s="1195"/>
      <c r="Q528" s="1195"/>
      <c r="R528" s="1195"/>
      <c r="S528" s="1195"/>
      <c r="T528" s="1195"/>
      <c r="U528" s="1195"/>
      <c r="V528" s="1195"/>
      <c r="W528" s="1195"/>
      <c r="X528" s="1195"/>
      <c r="Y528" s="1195"/>
      <c r="Z528" s="1195"/>
      <c r="AA528" s="1195"/>
      <c r="AB528" s="1195"/>
      <c r="AC528" s="1194"/>
      <c r="AD528" s="1194"/>
      <c r="AE528" s="1194"/>
      <c r="AF528" s="1194"/>
      <c r="AG528" s="1194"/>
      <c r="AH528" s="1194"/>
      <c r="AI528" s="1194"/>
      <c r="AJ528" s="1194"/>
      <c r="AK528" s="1194"/>
      <c r="AL528" s="1194"/>
    </row>
    <row r="529" spans="1:38" s="156" customFormat="1" ht="11.25">
      <c r="A529" s="1194"/>
      <c r="B529" s="1194"/>
      <c r="C529" s="1194"/>
      <c r="D529" s="1194"/>
      <c r="E529" s="1194"/>
      <c r="F529" s="1194"/>
      <c r="G529" s="1194"/>
      <c r="H529" s="1195"/>
      <c r="I529" s="1195"/>
      <c r="J529" s="1195"/>
      <c r="K529" s="1195"/>
      <c r="L529" s="1195"/>
      <c r="M529" s="1195"/>
      <c r="N529" s="1195"/>
      <c r="O529" s="1195"/>
      <c r="P529" s="1195"/>
      <c r="Q529" s="1195"/>
      <c r="R529" s="1195"/>
      <c r="S529" s="1195"/>
      <c r="T529" s="1195"/>
      <c r="U529" s="1195"/>
      <c r="V529" s="1195"/>
      <c r="W529" s="1195"/>
      <c r="X529" s="1195"/>
      <c r="Y529" s="1195"/>
      <c r="Z529" s="1195"/>
      <c r="AA529" s="1195"/>
      <c r="AB529" s="1195"/>
      <c r="AC529" s="1194"/>
      <c r="AD529" s="1194"/>
      <c r="AE529" s="1194"/>
      <c r="AF529" s="1194"/>
      <c r="AG529" s="1194"/>
      <c r="AH529" s="1194"/>
      <c r="AI529" s="1194"/>
      <c r="AJ529" s="1194"/>
      <c r="AK529" s="1194"/>
      <c r="AL529" s="1194"/>
    </row>
    <row r="530" spans="1:38" s="156" customFormat="1" ht="11.25">
      <c r="A530" s="1194"/>
      <c r="B530" s="1194"/>
      <c r="C530" s="1194"/>
      <c r="D530" s="1194"/>
      <c r="E530" s="1194"/>
      <c r="F530" s="1194"/>
      <c r="G530" s="1194"/>
      <c r="H530" s="1195"/>
      <c r="I530" s="1195"/>
      <c r="J530" s="1195"/>
      <c r="K530" s="1195"/>
      <c r="L530" s="1195"/>
      <c r="M530" s="1195"/>
      <c r="N530" s="1195"/>
      <c r="O530" s="1195"/>
      <c r="P530" s="1195"/>
      <c r="Q530" s="1195"/>
      <c r="R530" s="1195"/>
      <c r="S530" s="1195"/>
      <c r="T530" s="1195"/>
      <c r="U530" s="1195"/>
      <c r="V530" s="1195"/>
      <c r="W530" s="1195"/>
      <c r="X530" s="1195"/>
      <c r="Y530" s="1195"/>
      <c r="Z530" s="1195"/>
      <c r="AA530" s="1195"/>
      <c r="AB530" s="1195"/>
      <c r="AC530" s="1194"/>
      <c r="AD530" s="1194"/>
      <c r="AE530" s="1194"/>
      <c r="AF530" s="1194"/>
      <c r="AG530" s="1194"/>
      <c r="AH530" s="1194"/>
      <c r="AI530" s="1194"/>
      <c r="AJ530" s="1194"/>
      <c r="AK530" s="1194"/>
      <c r="AL530" s="1194"/>
    </row>
    <row r="531" spans="1:38" s="156" customFormat="1" ht="11.25">
      <c r="A531" s="1194"/>
      <c r="B531" s="1194"/>
      <c r="C531" s="1194"/>
      <c r="D531" s="1194"/>
      <c r="E531" s="1194"/>
      <c r="F531" s="1194"/>
      <c r="G531" s="1194"/>
      <c r="H531" s="1195"/>
      <c r="I531" s="1195"/>
      <c r="J531" s="1195"/>
      <c r="K531" s="1195"/>
      <c r="L531" s="1195"/>
      <c r="M531" s="1195"/>
      <c r="N531" s="1195"/>
      <c r="O531" s="1195"/>
      <c r="P531" s="1195"/>
      <c r="Q531" s="1195"/>
      <c r="R531" s="1195"/>
      <c r="S531" s="1195"/>
      <c r="T531" s="1195"/>
      <c r="U531" s="1195"/>
      <c r="V531" s="1195"/>
      <c r="W531" s="1195"/>
      <c r="X531" s="1195"/>
      <c r="Y531" s="1195"/>
      <c r="Z531" s="1195"/>
      <c r="AA531" s="1195"/>
      <c r="AB531" s="1195"/>
      <c r="AC531" s="1194"/>
      <c r="AD531" s="1194"/>
      <c r="AE531" s="1194"/>
      <c r="AF531" s="1194"/>
      <c r="AG531" s="1194"/>
      <c r="AH531" s="1194"/>
      <c r="AI531" s="1194"/>
      <c r="AJ531" s="1194"/>
      <c r="AK531" s="1194"/>
      <c r="AL531" s="1194"/>
    </row>
    <row r="532" spans="1:38" s="156" customFormat="1" ht="11.25">
      <c r="A532" s="1194"/>
      <c r="B532" s="1194"/>
      <c r="C532" s="1194"/>
      <c r="D532" s="1194"/>
      <c r="E532" s="1194"/>
      <c r="F532" s="1194"/>
      <c r="G532" s="1194"/>
      <c r="H532" s="1195"/>
      <c r="I532" s="1195"/>
      <c r="J532" s="1195"/>
      <c r="K532" s="1195"/>
      <c r="L532" s="1195"/>
      <c r="M532" s="1195"/>
      <c r="N532" s="1195"/>
      <c r="O532" s="1195"/>
      <c r="P532" s="1195"/>
      <c r="Q532" s="1195"/>
      <c r="R532" s="1195"/>
      <c r="S532" s="1195"/>
      <c r="T532" s="1195"/>
      <c r="U532" s="1195"/>
      <c r="V532" s="1195"/>
      <c r="W532" s="1195"/>
      <c r="X532" s="1195"/>
      <c r="Y532" s="1195"/>
      <c r="Z532" s="1195"/>
      <c r="AA532" s="1195"/>
      <c r="AB532" s="1195"/>
      <c r="AC532" s="1194"/>
      <c r="AD532" s="1194"/>
      <c r="AE532" s="1194"/>
      <c r="AF532" s="1194"/>
      <c r="AG532" s="1194"/>
      <c r="AH532" s="1194"/>
      <c r="AI532" s="1194"/>
      <c r="AJ532" s="1194"/>
      <c r="AK532" s="1194"/>
      <c r="AL532" s="1194"/>
    </row>
    <row r="533" spans="1:38" s="156" customFormat="1" ht="11.25">
      <c r="A533" s="1194"/>
      <c r="B533" s="1194"/>
      <c r="C533" s="1194"/>
      <c r="D533" s="1194"/>
      <c r="E533" s="1194"/>
      <c r="F533" s="1194"/>
      <c r="G533" s="1194"/>
      <c r="H533" s="1195"/>
      <c r="I533" s="1195"/>
      <c r="J533" s="1195"/>
      <c r="K533" s="1195"/>
      <c r="L533" s="1195"/>
      <c r="M533" s="1195"/>
      <c r="N533" s="1195"/>
      <c r="O533" s="1195"/>
      <c r="P533" s="1195"/>
      <c r="Q533" s="1195"/>
      <c r="R533" s="1195"/>
      <c r="S533" s="1195"/>
      <c r="T533" s="1195"/>
      <c r="U533" s="1195"/>
      <c r="V533" s="1195"/>
      <c r="W533" s="1195"/>
      <c r="X533" s="1195"/>
      <c r="Y533" s="1195"/>
      <c r="Z533" s="1195"/>
      <c r="AA533" s="1195"/>
      <c r="AB533" s="1195"/>
      <c r="AC533" s="1194"/>
      <c r="AD533" s="1194"/>
      <c r="AE533" s="1194"/>
      <c r="AF533" s="1194"/>
      <c r="AG533" s="1194"/>
      <c r="AH533" s="1194"/>
      <c r="AI533" s="1194"/>
      <c r="AJ533" s="1194"/>
      <c r="AK533" s="1194"/>
      <c r="AL533" s="1194"/>
    </row>
    <row r="534" spans="1:38" s="156" customFormat="1" ht="11.25">
      <c r="A534" s="1194"/>
      <c r="B534" s="1194"/>
      <c r="C534" s="1194"/>
      <c r="D534" s="1194"/>
      <c r="E534" s="1194"/>
      <c r="F534" s="1194"/>
      <c r="G534" s="1194"/>
      <c r="H534" s="1195"/>
      <c r="I534" s="1195"/>
      <c r="J534" s="1195"/>
      <c r="K534" s="1195"/>
      <c r="L534" s="1195"/>
      <c r="M534" s="1195"/>
      <c r="N534" s="1195"/>
      <c r="O534" s="1195"/>
      <c r="P534" s="1195"/>
      <c r="Q534" s="1195"/>
      <c r="R534" s="1195"/>
      <c r="S534" s="1195"/>
      <c r="T534" s="1195"/>
      <c r="U534" s="1195"/>
      <c r="V534" s="1195"/>
      <c r="W534" s="1195"/>
      <c r="X534" s="1195"/>
      <c r="Y534" s="1195"/>
      <c r="Z534" s="1195"/>
      <c r="AA534" s="1195"/>
      <c r="AB534" s="1195"/>
      <c r="AC534" s="1194"/>
      <c r="AD534" s="1194"/>
      <c r="AE534" s="1194"/>
      <c r="AF534" s="1194"/>
      <c r="AG534" s="1194"/>
      <c r="AH534" s="1194"/>
      <c r="AI534" s="1194"/>
      <c r="AJ534" s="1194"/>
      <c r="AK534" s="1194"/>
      <c r="AL534" s="1194"/>
    </row>
    <row r="535" spans="1:38" s="156" customFormat="1" ht="11.25">
      <c r="A535" s="1194"/>
      <c r="B535" s="1194"/>
      <c r="C535" s="1194"/>
      <c r="D535" s="1194"/>
      <c r="E535" s="1194"/>
      <c r="F535" s="1194"/>
      <c r="G535" s="1194"/>
      <c r="H535" s="1195"/>
      <c r="I535" s="1195"/>
      <c r="J535" s="1195"/>
      <c r="K535" s="1195"/>
      <c r="L535" s="1195"/>
      <c r="M535" s="1195"/>
      <c r="N535" s="1195"/>
      <c r="O535" s="1195"/>
      <c r="P535" s="1195"/>
      <c r="Q535" s="1195"/>
      <c r="R535" s="1195"/>
      <c r="S535" s="1195"/>
      <c r="T535" s="1195"/>
      <c r="U535" s="1195"/>
      <c r="V535" s="1195"/>
      <c r="W535" s="1195"/>
      <c r="X535" s="1195"/>
      <c r="Y535" s="1195"/>
      <c r="Z535" s="1195"/>
      <c r="AA535" s="1195"/>
      <c r="AB535" s="1195"/>
      <c r="AC535" s="1194"/>
      <c r="AD535" s="1194"/>
      <c r="AE535" s="1194"/>
      <c r="AF535" s="1194"/>
      <c r="AG535" s="1194"/>
      <c r="AH535" s="1194"/>
      <c r="AI535" s="1194"/>
      <c r="AJ535" s="1194"/>
      <c r="AK535" s="1194"/>
      <c r="AL535" s="1194"/>
    </row>
    <row r="536" spans="1:38" s="156" customFormat="1" ht="11.25">
      <c r="A536" s="1194"/>
      <c r="B536" s="1194"/>
      <c r="C536" s="1194"/>
      <c r="D536" s="1194"/>
      <c r="E536" s="1194"/>
      <c r="F536" s="1194"/>
      <c r="G536" s="1194"/>
      <c r="H536" s="1195"/>
      <c r="I536" s="1195"/>
      <c r="J536" s="1195"/>
      <c r="K536" s="1195"/>
      <c r="L536" s="1195"/>
      <c r="M536" s="1195"/>
      <c r="N536" s="1195"/>
      <c r="O536" s="1195"/>
      <c r="P536" s="1195"/>
      <c r="Q536" s="1195"/>
      <c r="R536" s="1195"/>
      <c r="S536" s="1195"/>
      <c r="T536" s="1195"/>
      <c r="U536" s="1195"/>
      <c r="V536" s="1195"/>
      <c r="W536" s="1195"/>
      <c r="X536" s="1195"/>
      <c r="Y536" s="1195"/>
      <c r="Z536" s="1195"/>
      <c r="AA536" s="1195"/>
      <c r="AB536" s="1195"/>
      <c r="AC536" s="1194"/>
      <c r="AD536" s="1194"/>
      <c r="AE536" s="1194"/>
      <c r="AF536" s="1194"/>
      <c r="AG536" s="1194"/>
      <c r="AH536" s="1194"/>
      <c r="AI536" s="1194"/>
      <c r="AJ536" s="1194"/>
      <c r="AK536" s="1194"/>
      <c r="AL536" s="1194"/>
    </row>
    <row r="537" spans="1:38" s="156" customFormat="1" ht="11.25">
      <c r="A537" s="1194"/>
      <c r="B537" s="1194"/>
      <c r="C537" s="1194"/>
      <c r="D537" s="1194"/>
      <c r="E537" s="1194"/>
      <c r="F537" s="1194"/>
      <c r="G537" s="1194"/>
      <c r="H537" s="1195"/>
      <c r="I537" s="1195"/>
      <c r="J537" s="1195"/>
      <c r="K537" s="1195"/>
      <c r="L537" s="1195"/>
      <c r="M537" s="1195"/>
      <c r="N537" s="1195"/>
      <c r="O537" s="1195"/>
      <c r="P537" s="1195"/>
      <c r="Q537" s="1195"/>
      <c r="R537" s="1195"/>
      <c r="S537" s="1195"/>
      <c r="T537" s="1195"/>
      <c r="U537" s="1195"/>
      <c r="V537" s="1195"/>
      <c r="W537" s="1195"/>
      <c r="X537" s="1195"/>
      <c r="Y537" s="1195"/>
      <c r="Z537" s="1195"/>
      <c r="AA537" s="1195"/>
      <c r="AB537" s="1195"/>
      <c r="AC537" s="1194"/>
      <c r="AD537" s="1194"/>
      <c r="AE537" s="1194"/>
      <c r="AF537" s="1194"/>
      <c r="AG537" s="1194"/>
      <c r="AH537" s="1194"/>
      <c r="AI537" s="1194"/>
      <c r="AJ537" s="1194"/>
      <c r="AK537" s="1194"/>
      <c r="AL537" s="1194"/>
    </row>
    <row r="538" spans="1:38" s="156" customFormat="1" ht="11.25">
      <c r="A538" s="1194"/>
      <c r="B538" s="1194"/>
      <c r="C538" s="1194"/>
      <c r="D538" s="1194"/>
      <c r="E538" s="1194"/>
      <c r="F538" s="1194"/>
      <c r="G538" s="1194"/>
      <c r="H538" s="1195"/>
      <c r="I538" s="1195"/>
      <c r="J538" s="1195"/>
      <c r="K538" s="1195"/>
      <c r="L538" s="1195"/>
      <c r="M538" s="1195"/>
      <c r="N538" s="1195"/>
      <c r="O538" s="1195"/>
      <c r="P538" s="1195"/>
      <c r="Q538" s="1195"/>
      <c r="R538" s="1195"/>
      <c r="S538" s="1195"/>
      <c r="T538" s="1195"/>
      <c r="U538" s="1195"/>
      <c r="V538" s="1195"/>
      <c r="W538" s="1195"/>
      <c r="X538" s="1195"/>
      <c r="Y538" s="1195"/>
      <c r="Z538" s="1195"/>
      <c r="AA538" s="1195"/>
      <c r="AB538" s="1195"/>
      <c r="AC538" s="1194"/>
      <c r="AD538" s="1194"/>
      <c r="AE538" s="1194"/>
      <c r="AF538" s="1194"/>
      <c r="AG538" s="1194"/>
      <c r="AH538" s="1194"/>
      <c r="AI538" s="1194"/>
      <c r="AJ538" s="1194"/>
      <c r="AK538" s="1194"/>
      <c r="AL538" s="1194"/>
    </row>
    <row r="539" spans="1:38" s="156" customFormat="1" ht="11.25">
      <c r="A539" s="1194"/>
      <c r="B539" s="1194"/>
      <c r="C539" s="1194"/>
      <c r="D539" s="1194"/>
      <c r="E539" s="1194"/>
      <c r="F539" s="1194"/>
      <c r="G539" s="1194"/>
      <c r="H539" s="1195"/>
      <c r="I539" s="1195"/>
      <c r="J539" s="1195"/>
      <c r="K539" s="1195"/>
      <c r="L539" s="1195"/>
      <c r="M539" s="1195"/>
      <c r="N539" s="1195"/>
      <c r="O539" s="1195"/>
      <c r="P539" s="1195"/>
      <c r="Q539" s="1195"/>
      <c r="R539" s="1195"/>
      <c r="S539" s="1195"/>
      <c r="T539" s="1195"/>
      <c r="U539" s="1195"/>
      <c r="V539" s="1195"/>
      <c r="W539" s="1195"/>
      <c r="X539" s="1195"/>
      <c r="Y539" s="1195"/>
      <c r="Z539" s="1195"/>
      <c r="AA539" s="1195"/>
      <c r="AB539" s="1195"/>
      <c r="AC539" s="1194"/>
      <c r="AD539" s="1194"/>
      <c r="AE539" s="1194"/>
      <c r="AF539" s="1194"/>
      <c r="AG539" s="1194"/>
      <c r="AH539" s="1194"/>
      <c r="AI539" s="1194"/>
      <c r="AJ539" s="1194"/>
      <c r="AK539" s="1194"/>
      <c r="AL539" s="1194"/>
    </row>
    <row r="540" spans="1:38" s="156" customFormat="1" ht="11.25">
      <c r="A540" s="1194"/>
      <c r="B540" s="1194"/>
      <c r="C540" s="1194"/>
      <c r="D540" s="1194"/>
      <c r="E540" s="1194"/>
      <c r="F540" s="1194"/>
      <c r="G540" s="1194"/>
      <c r="H540" s="1195"/>
      <c r="I540" s="1195"/>
      <c r="J540" s="1195"/>
      <c r="K540" s="1195"/>
      <c r="L540" s="1195"/>
      <c r="M540" s="1195"/>
      <c r="N540" s="1195"/>
      <c r="O540" s="1195"/>
      <c r="P540" s="1195"/>
      <c r="Q540" s="1195"/>
      <c r="R540" s="1195"/>
      <c r="S540" s="1195"/>
      <c r="T540" s="1195"/>
      <c r="U540" s="1195"/>
      <c r="V540" s="1195"/>
      <c r="W540" s="1195"/>
      <c r="X540" s="1195"/>
      <c r="Y540" s="1195"/>
      <c r="Z540" s="1195"/>
      <c r="AA540" s="1195"/>
      <c r="AB540" s="1195"/>
      <c r="AC540" s="1194"/>
      <c r="AD540" s="1194"/>
      <c r="AE540" s="1194"/>
      <c r="AF540" s="1194"/>
      <c r="AG540" s="1194"/>
      <c r="AH540" s="1194"/>
      <c r="AI540" s="1194"/>
      <c r="AJ540" s="1194"/>
      <c r="AK540" s="1194"/>
      <c r="AL540" s="1194"/>
    </row>
    <row r="541" spans="1:38" s="156" customFormat="1" ht="11.25">
      <c r="A541" s="1194"/>
      <c r="B541" s="1194"/>
      <c r="C541" s="1194"/>
      <c r="D541" s="1194"/>
      <c r="E541" s="1194"/>
      <c r="F541" s="1194"/>
      <c r="G541" s="1194"/>
      <c r="H541" s="1195"/>
      <c r="I541" s="1195"/>
      <c r="J541" s="1195"/>
      <c r="K541" s="1195"/>
      <c r="L541" s="1195"/>
      <c r="M541" s="1195"/>
      <c r="N541" s="1195"/>
      <c r="O541" s="1195"/>
      <c r="P541" s="1195"/>
      <c r="Q541" s="1195"/>
      <c r="R541" s="1195"/>
      <c r="S541" s="1195"/>
      <c r="T541" s="1195"/>
      <c r="U541" s="1195"/>
      <c r="V541" s="1195"/>
      <c r="W541" s="1195"/>
      <c r="X541" s="1195"/>
      <c r="Y541" s="1195"/>
      <c r="Z541" s="1195"/>
      <c r="AA541" s="1195"/>
      <c r="AB541" s="1195"/>
      <c r="AC541" s="1194"/>
      <c r="AD541" s="1194"/>
      <c r="AE541" s="1194"/>
      <c r="AF541" s="1194"/>
      <c r="AG541" s="1194"/>
      <c r="AH541" s="1194"/>
      <c r="AI541" s="1194"/>
      <c r="AJ541" s="1194"/>
      <c r="AK541" s="1194"/>
      <c r="AL541" s="1194"/>
    </row>
    <row r="542" spans="1:38" s="156" customFormat="1" ht="11.25">
      <c r="A542" s="1194"/>
      <c r="B542" s="1194"/>
      <c r="C542" s="1194"/>
      <c r="D542" s="1194"/>
      <c r="E542" s="1194"/>
      <c r="F542" s="1194"/>
      <c r="G542" s="1194"/>
      <c r="H542" s="1195"/>
      <c r="I542" s="1195"/>
      <c r="J542" s="1195"/>
      <c r="K542" s="1195"/>
      <c r="L542" s="1195"/>
      <c r="M542" s="1195"/>
      <c r="N542" s="1195"/>
      <c r="O542" s="1195"/>
      <c r="P542" s="1195"/>
      <c r="Q542" s="1195"/>
      <c r="R542" s="1195"/>
      <c r="S542" s="1195"/>
      <c r="T542" s="1195"/>
      <c r="U542" s="1195"/>
      <c r="V542" s="1195"/>
      <c r="W542" s="1195"/>
      <c r="X542" s="1195"/>
      <c r="Y542" s="1195"/>
      <c r="Z542" s="1195"/>
      <c r="AA542" s="1195"/>
      <c r="AB542" s="1195"/>
      <c r="AC542" s="1194"/>
      <c r="AD542" s="1194"/>
      <c r="AE542" s="1194"/>
      <c r="AF542" s="1194"/>
      <c r="AG542" s="1194"/>
      <c r="AH542" s="1194"/>
      <c r="AI542" s="1194"/>
      <c r="AJ542" s="1194"/>
      <c r="AK542" s="1194"/>
      <c r="AL542" s="1194"/>
    </row>
    <row r="543" spans="1:38" s="156" customFormat="1" ht="11.25">
      <c r="A543" s="1194"/>
      <c r="B543" s="1194"/>
      <c r="C543" s="1194"/>
      <c r="D543" s="1194"/>
      <c r="E543" s="1194"/>
      <c r="F543" s="1194"/>
      <c r="G543" s="1194"/>
      <c r="H543" s="1195"/>
      <c r="I543" s="1195"/>
      <c r="J543" s="1195"/>
      <c r="K543" s="1195"/>
      <c r="L543" s="1195"/>
      <c r="M543" s="1195"/>
      <c r="N543" s="1195"/>
      <c r="O543" s="1195"/>
      <c r="P543" s="1195"/>
      <c r="Q543" s="1195"/>
      <c r="R543" s="1195"/>
      <c r="S543" s="1195"/>
      <c r="T543" s="1195"/>
      <c r="U543" s="1195"/>
      <c r="V543" s="1195"/>
      <c r="W543" s="1195"/>
      <c r="X543" s="1195"/>
      <c r="Y543" s="1195"/>
      <c r="Z543" s="1195"/>
      <c r="AA543" s="1195"/>
      <c r="AB543" s="1195"/>
      <c r="AC543" s="1194"/>
      <c r="AD543" s="1194"/>
      <c r="AE543" s="1194"/>
      <c r="AF543" s="1194"/>
      <c r="AG543" s="1194"/>
      <c r="AH543" s="1194"/>
      <c r="AI543" s="1194"/>
      <c r="AJ543" s="1194"/>
      <c r="AK543" s="1194"/>
      <c r="AL543" s="1194"/>
    </row>
    <row r="544" spans="1:38" s="156" customFormat="1" ht="11.25">
      <c r="A544" s="1194"/>
      <c r="B544" s="1194"/>
      <c r="C544" s="1194"/>
      <c r="D544" s="1194"/>
      <c r="E544" s="1194"/>
      <c r="F544" s="1194"/>
      <c r="G544" s="1194"/>
      <c r="H544" s="1195"/>
      <c r="I544" s="1195"/>
      <c r="J544" s="1195"/>
      <c r="K544" s="1195"/>
      <c r="L544" s="1195"/>
      <c r="M544" s="1195"/>
      <c r="N544" s="1195"/>
      <c r="O544" s="1195"/>
      <c r="P544" s="1195"/>
      <c r="Q544" s="1195"/>
      <c r="R544" s="1195"/>
      <c r="S544" s="1195"/>
      <c r="T544" s="1195"/>
      <c r="U544" s="1195"/>
      <c r="V544" s="1195"/>
      <c r="W544" s="1195"/>
      <c r="X544" s="1195"/>
      <c r="Y544" s="1195"/>
      <c r="Z544" s="1195"/>
      <c r="AA544" s="1195"/>
      <c r="AB544" s="1195"/>
      <c r="AC544" s="1194"/>
      <c r="AD544" s="1194"/>
      <c r="AE544" s="1194"/>
      <c r="AF544" s="1194"/>
      <c r="AG544" s="1194"/>
      <c r="AH544" s="1194"/>
      <c r="AI544" s="1194"/>
      <c r="AJ544" s="1194"/>
      <c r="AK544" s="1194"/>
      <c r="AL544" s="1194"/>
    </row>
    <row r="545" spans="1:38" s="156" customFormat="1" ht="11.25">
      <c r="A545" s="1194"/>
      <c r="B545" s="1194"/>
      <c r="C545" s="1194"/>
      <c r="D545" s="1194"/>
      <c r="E545" s="1194"/>
      <c r="F545" s="1194"/>
      <c r="G545" s="1194"/>
      <c r="H545" s="1195"/>
      <c r="I545" s="1195"/>
      <c r="J545" s="1195"/>
      <c r="K545" s="1195"/>
      <c r="L545" s="1195"/>
      <c r="M545" s="1195"/>
      <c r="N545" s="1195"/>
      <c r="O545" s="1195"/>
      <c r="P545" s="1195"/>
      <c r="Q545" s="1195"/>
      <c r="R545" s="1195"/>
      <c r="S545" s="1195"/>
      <c r="T545" s="1195"/>
      <c r="U545" s="1195"/>
      <c r="V545" s="1195"/>
      <c r="W545" s="1195"/>
      <c r="X545" s="1195"/>
      <c r="Y545" s="1195"/>
      <c r="Z545" s="1195"/>
      <c r="AA545" s="1195"/>
      <c r="AB545" s="1195"/>
      <c r="AC545" s="1194"/>
      <c r="AD545" s="1194"/>
      <c r="AE545" s="1194"/>
      <c r="AF545" s="1194"/>
      <c r="AG545" s="1194"/>
      <c r="AH545" s="1194"/>
      <c r="AI545" s="1194"/>
      <c r="AJ545" s="1194"/>
      <c r="AK545" s="1194"/>
      <c r="AL545" s="1194"/>
    </row>
    <row r="546" spans="1:38" s="156" customFormat="1" ht="11.25">
      <c r="A546" s="1194"/>
      <c r="B546" s="1194"/>
      <c r="C546" s="1194"/>
      <c r="D546" s="1194"/>
      <c r="E546" s="1194"/>
      <c r="F546" s="1194"/>
      <c r="G546" s="1194"/>
      <c r="H546" s="1195"/>
      <c r="I546" s="1195"/>
      <c r="J546" s="1195"/>
      <c r="K546" s="1195"/>
      <c r="L546" s="1195"/>
      <c r="M546" s="1195"/>
      <c r="N546" s="1195"/>
      <c r="O546" s="1195"/>
      <c r="P546" s="1195"/>
      <c r="Q546" s="1195"/>
      <c r="R546" s="1195"/>
      <c r="S546" s="1195"/>
      <c r="T546" s="1195"/>
      <c r="U546" s="1195"/>
      <c r="V546" s="1195"/>
      <c r="W546" s="1195"/>
      <c r="X546" s="1195"/>
      <c r="Y546" s="1195"/>
      <c r="Z546" s="1195"/>
      <c r="AA546" s="1195"/>
      <c r="AB546" s="1195"/>
      <c r="AC546" s="1194"/>
      <c r="AD546" s="1194"/>
      <c r="AE546" s="1194"/>
      <c r="AF546" s="1194"/>
      <c r="AG546" s="1194"/>
      <c r="AH546" s="1194"/>
      <c r="AI546" s="1194"/>
      <c r="AJ546" s="1194"/>
      <c r="AK546" s="1194"/>
      <c r="AL546" s="1194"/>
    </row>
    <row r="547" spans="1:38" s="156" customFormat="1" ht="11.25">
      <c r="A547" s="1194"/>
      <c r="B547" s="1194"/>
      <c r="C547" s="1194"/>
      <c r="D547" s="1194"/>
      <c r="E547" s="1194"/>
      <c r="F547" s="1194"/>
      <c r="G547" s="1194"/>
      <c r="H547" s="1195"/>
      <c r="I547" s="1195"/>
      <c r="J547" s="1195"/>
      <c r="K547" s="1195"/>
      <c r="L547" s="1195"/>
      <c r="M547" s="1195"/>
      <c r="N547" s="1195"/>
      <c r="O547" s="1195"/>
      <c r="P547" s="1195"/>
      <c r="Q547" s="1195"/>
      <c r="R547" s="1195"/>
      <c r="S547" s="1195"/>
      <c r="T547" s="1195"/>
      <c r="U547" s="1195"/>
      <c r="V547" s="1195"/>
      <c r="W547" s="1195"/>
      <c r="X547" s="1195"/>
      <c r="Y547" s="1195"/>
      <c r="Z547" s="1195"/>
      <c r="AA547" s="1195"/>
      <c r="AB547" s="1195"/>
      <c r="AC547" s="1194"/>
      <c r="AD547" s="1194"/>
      <c r="AE547" s="1194"/>
      <c r="AF547" s="1194"/>
      <c r="AG547" s="1194"/>
      <c r="AH547" s="1194"/>
      <c r="AI547" s="1194"/>
      <c r="AJ547" s="1194"/>
      <c r="AK547" s="1194"/>
      <c r="AL547" s="1194"/>
    </row>
    <row r="548" spans="1:38" s="156" customFormat="1" ht="11.25">
      <c r="A548" s="1194"/>
      <c r="B548" s="1194"/>
      <c r="C548" s="1194"/>
      <c r="D548" s="1194"/>
      <c r="E548" s="1194"/>
      <c r="F548" s="1194"/>
      <c r="G548" s="1194"/>
      <c r="H548" s="1195"/>
      <c r="I548" s="1195"/>
      <c r="J548" s="1195"/>
      <c r="K548" s="1195"/>
      <c r="L548" s="1195"/>
      <c r="M548" s="1195"/>
      <c r="N548" s="1195"/>
      <c r="O548" s="1195"/>
      <c r="P548" s="1195"/>
      <c r="Q548" s="1195"/>
      <c r="R548" s="1195"/>
      <c r="S548" s="1195"/>
      <c r="T548" s="1195"/>
      <c r="U548" s="1195"/>
      <c r="V548" s="1195"/>
      <c r="W548" s="1195"/>
      <c r="X548" s="1195"/>
      <c r="Y548" s="1195"/>
      <c r="Z548" s="1195"/>
      <c r="AA548" s="1195"/>
      <c r="AB548" s="1195"/>
      <c r="AC548" s="1194"/>
      <c r="AD548" s="1194"/>
      <c r="AE548" s="1194"/>
      <c r="AF548" s="1194"/>
      <c r="AG548" s="1194"/>
      <c r="AH548" s="1194"/>
      <c r="AI548" s="1194"/>
      <c r="AJ548" s="1194"/>
      <c r="AK548" s="1194"/>
      <c r="AL548" s="1194"/>
    </row>
    <row r="549" spans="1:38" s="156" customFormat="1" ht="11.25">
      <c r="A549" s="1194"/>
      <c r="B549" s="1194"/>
      <c r="C549" s="1194"/>
      <c r="D549" s="1194"/>
      <c r="E549" s="1194"/>
      <c r="F549" s="1194"/>
      <c r="G549" s="1194"/>
      <c r="H549" s="1195"/>
      <c r="I549" s="1195"/>
      <c r="J549" s="1195"/>
      <c r="K549" s="1195"/>
      <c r="L549" s="1195"/>
      <c r="M549" s="1195"/>
      <c r="N549" s="1195"/>
      <c r="O549" s="1195"/>
      <c r="P549" s="1195"/>
      <c r="Q549" s="1195"/>
      <c r="R549" s="1195"/>
      <c r="S549" s="1195"/>
      <c r="T549" s="1195"/>
      <c r="U549" s="1195"/>
      <c r="V549" s="1195"/>
      <c r="W549" s="1195"/>
      <c r="X549" s="1195"/>
      <c r="Y549" s="1195"/>
      <c r="Z549" s="1195"/>
      <c r="AA549" s="1195"/>
      <c r="AB549" s="1195"/>
      <c r="AC549" s="1194"/>
      <c r="AD549" s="1194"/>
      <c r="AE549" s="1194"/>
      <c r="AF549" s="1194"/>
      <c r="AG549" s="1194"/>
      <c r="AH549" s="1194"/>
      <c r="AI549" s="1194"/>
      <c r="AJ549" s="1194"/>
      <c r="AK549" s="1194"/>
      <c r="AL549" s="1194"/>
    </row>
    <row r="550" spans="1:38" s="156" customFormat="1" ht="11.25">
      <c r="A550" s="1194"/>
      <c r="B550" s="1194"/>
      <c r="C550" s="1194"/>
      <c r="D550" s="1194"/>
      <c r="E550" s="1194"/>
      <c r="F550" s="1194"/>
      <c r="G550" s="1194"/>
      <c r="H550" s="1195"/>
      <c r="I550" s="1195"/>
      <c r="J550" s="1195"/>
      <c r="K550" s="1195"/>
      <c r="L550" s="1195"/>
      <c r="M550" s="1195"/>
      <c r="N550" s="1195"/>
      <c r="O550" s="1195"/>
      <c r="P550" s="1195"/>
      <c r="Q550" s="1195"/>
      <c r="R550" s="1195"/>
      <c r="S550" s="1195"/>
      <c r="T550" s="1195"/>
      <c r="U550" s="1195"/>
      <c r="V550" s="1195"/>
      <c r="W550" s="1195"/>
      <c r="X550" s="1195"/>
      <c r="Y550" s="1195"/>
      <c r="Z550" s="1195"/>
      <c r="AA550" s="1195"/>
      <c r="AB550" s="1195"/>
      <c r="AC550" s="1194"/>
      <c r="AD550" s="1194"/>
      <c r="AE550" s="1194"/>
      <c r="AF550" s="1194"/>
      <c r="AG550" s="1194"/>
      <c r="AH550" s="1194"/>
      <c r="AI550" s="1194"/>
      <c r="AJ550" s="1194"/>
      <c r="AK550" s="1194"/>
      <c r="AL550" s="1194"/>
    </row>
    <row r="551" spans="1:38" s="156" customFormat="1" ht="11.25">
      <c r="A551" s="1194"/>
      <c r="B551" s="1194"/>
      <c r="C551" s="1194"/>
      <c r="D551" s="1194"/>
      <c r="E551" s="1194"/>
      <c r="F551" s="1194"/>
      <c r="G551" s="1194"/>
      <c r="H551" s="1195"/>
      <c r="I551" s="1195"/>
      <c r="J551" s="1195"/>
      <c r="K551" s="1195"/>
      <c r="L551" s="1195"/>
      <c r="M551" s="1195"/>
      <c r="N551" s="1195"/>
      <c r="O551" s="1195"/>
      <c r="P551" s="1195"/>
      <c r="Q551" s="1195"/>
      <c r="R551" s="1195"/>
      <c r="S551" s="1195"/>
      <c r="T551" s="1195"/>
      <c r="U551" s="1195"/>
      <c r="V551" s="1195"/>
      <c r="W551" s="1195"/>
      <c r="X551" s="1195"/>
      <c r="Y551" s="1195"/>
      <c r="Z551" s="1195"/>
      <c r="AA551" s="1195"/>
      <c r="AB551" s="1195"/>
      <c r="AC551" s="1194"/>
      <c r="AD551" s="1194"/>
      <c r="AE551" s="1194"/>
      <c r="AF551" s="1194"/>
      <c r="AG551" s="1194"/>
      <c r="AH551" s="1194"/>
      <c r="AI551" s="1194"/>
      <c r="AJ551" s="1194"/>
      <c r="AK551" s="1194"/>
      <c r="AL551" s="1194"/>
    </row>
    <row r="552" spans="1:38" s="156" customFormat="1" ht="11.25">
      <c r="A552" s="1194"/>
      <c r="B552" s="1194"/>
      <c r="C552" s="1194"/>
      <c r="D552" s="1194"/>
      <c r="E552" s="1194"/>
      <c r="F552" s="1194"/>
      <c r="G552" s="1194"/>
      <c r="H552" s="1195"/>
      <c r="I552" s="1195"/>
      <c r="J552" s="1195"/>
      <c r="K552" s="1195"/>
      <c r="L552" s="1195"/>
      <c r="M552" s="1195"/>
      <c r="N552" s="1195"/>
      <c r="O552" s="1195"/>
      <c r="P552" s="1195"/>
      <c r="Q552" s="1195"/>
      <c r="R552" s="1195"/>
      <c r="S552" s="1195"/>
      <c r="T552" s="1195"/>
      <c r="U552" s="1195"/>
      <c r="V552" s="1195"/>
      <c r="W552" s="1195"/>
      <c r="X552" s="1195"/>
      <c r="Y552" s="1195"/>
      <c r="Z552" s="1195"/>
      <c r="AA552" s="1195"/>
      <c r="AB552" s="1195"/>
      <c r="AC552" s="1194"/>
      <c r="AD552" s="1194"/>
      <c r="AE552" s="1194"/>
      <c r="AF552" s="1194"/>
      <c r="AG552" s="1194"/>
      <c r="AH552" s="1194"/>
      <c r="AI552" s="1194"/>
      <c r="AJ552" s="1194"/>
      <c r="AK552" s="1194"/>
      <c r="AL552" s="1194"/>
    </row>
    <row r="553" spans="1:38" s="156" customFormat="1" ht="11.25">
      <c r="A553" s="1194"/>
      <c r="B553" s="1194"/>
      <c r="C553" s="1194"/>
      <c r="D553" s="1194"/>
      <c r="E553" s="1194"/>
      <c r="F553" s="1194"/>
      <c r="G553" s="1194"/>
      <c r="H553" s="1195"/>
      <c r="I553" s="1195"/>
      <c r="J553" s="1195"/>
      <c r="K553" s="1195"/>
      <c r="L553" s="1195"/>
      <c r="M553" s="1195"/>
      <c r="N553" s="1195"/>
      <c r="O553" s="1195"/>
      <c r="P553" s="1195"/>
      <c r="Q553" s="1195"/>
      <c r="R553" s="1195"/>
      <c r="S553" s="1195"/>
      <c r="T553" s="1195"/>
      <c r="U553" s="1195"/>
      <c r="V553" s="1195"/>
      <c r="W553" s="1195"/>
      <c r="X553" s="1195"/>
      <c r="Y553" s="1195"/>
      <c r="Z553" s="1195"/>
      <c r="AA553" s="1195"/>
      <c r="AB553" s="1195"/>
      <c r="AC553" s="1194"/>
      <c r="AD553" s="1194"/>
      <c r="AE553" s="1194"/>
      <c r="AF553" s="1194"/>
      <c r="AG553" s="1194"/>
      <c r="AH553" s="1194"/>
      <c r="AI553" s="1194"/>
      <c r="AJ553" s="1194"/>
      <c r="AK553" s="1194"/>
      <c r="AL553" s="1194"/>
    </row>
    <row r="554" spans="1:38" s="156" customFormat="1" ht="11.25">
      <c r="A554" s="1194"/>
      <c r="B554" s="1194"/>
      <c r="C554" s="1194"/>
      <c r="D554" s="1194"/>
      <c r="E554" s="1194"/>
      <c r="F554" s="1194"/>
      <c r="G554" s="1194"/>
      <c r="H554" s="1195"/>
      <c r="I554" s="1195"/>
      <c r="J554" s="1195"/>
      <c r="K554" s="1195"/>
      <c r="L554" s="1195"/>
      <c r="M554" s="1195"/>
      <c r="N554" s="1195"/>
      <c r="O554" s="1195"/>
      <c r="P554" s="1195"/>
      <c r="Q554" s="1195"/>
      <c r="R554" s="1195"/>
      <c r="S554" s="1195"/>
      <c r="T554" s="1195"/>
      <c r="U554" s="1195"/>
      <c r="V554" s="1195"/>
      <c r="W554" s="1195"/>
      <c r="X554" s="1195"/>
      <c r="Y554" s="1195"/>
      <c r="Z554" s="1195"/>
      <c r="AA554" s="1195"/>
      <c r="AB554" s="1195"/>
      <c r="AC554" s="1194"/>
      <c r="AD554" s="1194"/>
      <c r="AE554" s="1194"/>
      <c r="AF554" s="1194"/>
      <c r="AG554" s="1194"/>
      <c r="AH554" s="1194"/>
      <c r="AI554" s="1194"/>
      <c r="AJ554" s="1194"/>
      <c r="AK554" s="1194"/>
      <c r="AL554" s="1194"/>
    </row>
    <row r="555" spans="1:38" s="156" customFormat="1" ht="11.25">
      <c r="A555" s="1194"/>
      <c r="B555" s="1194"/>
      <c r="C555" s="1194"/>
      <c r="D555" s="1194"/>
      <c r="E555" s="1194"/>
      <c r="F555" s="1194"/>
      <c r="G555" s="1194"/>
      <c r="H555" s="1195"/>
      <c r="I555" s="1195"/>
      <c r="J555" s="1195"/>
      <c r="K555" s="1195"/>
      <c r="L555" s="1195"/>
      <c r="M555" s="1195"/>
      <c r="N555" s="1195"/>
      <c r="O555" s="1195"/>
      <c r="P555" s="1195"/>
      <c r="Q555" s="1195"/>
      <c r="R555" s="1195"/>
      <c r="S555" s="1195"/>
      <c r="T555" s="1195"/>
      <c r="U555" s="1195"/>
      <c r="V555" s="1195"/>
      <c r="W555" s="1195"/>
      <c r="X555" s="1195"/>
      <c r="Y555" s="1195"/>
      <c r="Z555" s="1195"/>
      <c r="AA555" s="1195"/>
      <c r="AB555" s="1195"/>
      <c r="AC555" s="1194"/>
      <c r="AD555" s="1194"/>
      <c r="AE555" s="1194"/>
      <c r="AF555" s="1194"/>
      <c r="AG555" s="1194"/>
      <c r="AH555" s="1194"/>
      <c r="AI555" s="1194"/>
      <c r="AJ555" s="1194"/>
      <c r="AK555" s="1194"/>
      <c r="AL555" s="1194"/>
    </row>
    <row r="556" spans="1:38" s="156" customFormat="1" ht="11.25">
      <c r="A556" s="1194"/>
      <c r="B556" s="1194"/>
      <c r="C556" s="1194"/>
      <c r="D556" s="1194"/>
      <c r="E556" s="1194"/>
      <c r="F556" s="1194"/>
      <c r="G556" s="1194"/>
      <c r="H556" s="1195"/>
      <c r="I556" s="1195"/>
      <c r="J556" s="1195"/>
      <c r="K556" s="1195"/>
      <c r="L556" s="1195"/>
      <c r="M556" s="1195"/>
      <c r="N556" s="1195"/>
      <c r="O556" s="1195"/>
      <c r="P556" s="1195"/>
      <c r="Q556" s="1195"/>
      <c r="R556" s="1195"/>
      <c r="S556" s="1195"/>
      <c r="T556" s="1195"/>
      <c r="U556" s="1195"/>
      <c r="V556" s="1195"/>
      <c r="W556" s="1195"/>
      <c r="X556" s="1195"/>
      <c r="Y556" s="1195"/>
      <c r="Z556" s="1195"/>
      <c r="AA556" s="1195"/>
      <c r="AB556" s="1195"/>
      <c r="AC556" s="1194"/>
      <c r="AD556" s="1194"/>
      <c r="AE556" s="1194"/>
      <c r="AF556" s="1194"/>
      <c r="AG556" s="1194"/>
      <c r="AH556" s="1194"/>
      <c r="AI556" s="1194"/>
      <c r="AJ556" s="1194"/>
      <c r="AK556" s="1194"/>
      <c r="AL556" s="1194"/>
    </row>
    <row r="557" spans="1:38" s="156" customFormat="1" ht="11.25">
      <c r="A557" s="1194"/>
      <c r="B557" s="1194"/>
      <c r="C557" s="1194"/>
      <c r="D557" s="1194"/>
      <c r="E557" s="1194"/>
      <c r="F557" s="1194"/>
      <c r="G557" s="1194"/>
      <c r="H557" s="1195"/>
      <c r="I557" s="1195"/>
      <c r="J557" s="1195"/>
      <c r="K557" s="1195"/>
      <c r="L557" s="1195"/>
      <c r="M557" s="1195"/>
      <c r="N557" s="1195"/>
      <c r="O557" s="1195"/>
      <c r="P557" s="1195"/>
      <c r="Q557" s="1195"/>
      <c r="R557" s="1195"/>
      <c r="S557" s="1195"/>
      <c r="T557" s="1195"/>
      <c r="U557" s="1195"/>
      <c r="V557" s="1195"/>
      <c r="W557" s="1195"/>
      <c r="X557" s="1195"/>
      <c r="Y557" s="1195"/>
      <c r="Z557" s="1195"/>
      <c r="AA557" s="1195"/>
      <c r="AB557" s="1195"/>
      <c r="AC557" s="1194"/>
      <c r="AD557" s="1194"/>
      <c r="AE557" s="1194"/>
      <c r="AF557" s="1194"/>
      <c r="AG557" s="1194"/>
      <c r="AH557" s="1194"/>
      <c r="AI557" s="1194"/>
      <c r="AJ557" s="1194"/>
      <c r="AK557" s="1194"/>
      <c r="AL557" s="1194"/>
    </row>
    <row r="558" spans="1:38" s="156" customFormat="1" ht="11.25">
      <c r="A558" s="1194"/>
      <c r="B558" s="1194"/>
      <c r="C558" s="1194"/>
      <c r="D558" s="1194"/>
      <c r="E558" s="1194"/>
      <c r="F558" s="1194"/>
      <c r="G558" s="1194"/>
      <c r="H558" s="1195"/>
      <c r="I558" s="1195"/>
      <c r="J558" s="1195"/>
      <c r="K558" s="1195"/>
      <c r="L558" s="1195"/>
      <c r="M558" s="1195"/>
      <c r="N558" s="1195"/>
      <c r="O558" s="1195"/>
      <c r="P558" s="1195"/>
      <c r="Q558" s="1195"/>
      <c r="R558" s="1195"/>
      <c r="S558" s="1195"/>
      <c r="T558" s="1195"/>
      <c r="U558" s="1195"/>
      <c r="V558" s="1195"/>
      <c r="W558" s="1195"/>
      <c r="X558" s="1195"/>
      <c r="Y558" s="1195"/>
      <c r="Z558" s="1195"/>
      <c r="AA558" s="1195"/>
      <c r="AB558" s="1195"/>
      <c r="AC558" s="1194"/>
      <c r="AD558" s="1194"/>
      <c r="AE558" s="1194"/>
      <c r="AF558" s="1194"/>
      <c r="AG558" s="1194"/>
      <c r="AH558" s="1194"/>
      <c r="AI558" s="1194"/>
      <c r="AJ558" s="1194"/>
      <c r="AK558" s="1194"/>
      <c r="AL558" s="1194"/>
    </row>
    <row r="559" spans="1:38" s="156" customFormat="1" ht="11.25">
      <c r="A559" s="1194"/>
      <c r="B559" s="1194"/>
      <c r="C559" s="1194"/>
      <c r="D559" s="1194"/>
      <c r="E559" s="1194"/>
      <c r="F559" s="1194"/>
      <c r="G559" s="1194"/>
      <c r="H559" s="1195"/>
      <c r="I559" s="1195"/>
      <c r="J559" s="1195"/>
      <c r="K559" s="1195"/>
      <c r="L559" s="1195"/>
      <c r="M559" s="1195"/>
      <c r="N559" s="1195"/>
      <c r="O559" s="1195"/>
      <c r="P559" s="1195"/>
      <c r="Q559" s="1195"/>
      <c r="R559" s="1195"/>
      <c r="S559" s="1195"/>
      <c r="T559" s="1195"/>
      <c r="U559" s="1195"/>
      <c r="V559" s="1195"/>
      <c r="W559" s="1195"/>
      <c r="X559" s="1195"/>
      <c r="Y559" s="1195"/>
      <c r="Z559" s="1195"/>
      <c r="AA559" s="1195"/>
      <c r="AB559" s="1195"/>
      <c r="AC559" s="1194"/>
      <c r="AD559" s="1194"/>
      <c r="AE559" s="1194"/>
      <c r="AF559" s="1194"/>
      <c r="AG559" s="1194"/>
      <c r="AH559" s="1194"/>
      <c r="AI559" s="1194"/>
      <c r="AJ559" s="1194"/>
      <c r="AK559" s="1194"/>
      <c r="AL559" s="1194"/>
    </row>
    <row r="560" spans="1:38" s="156" customFormat="1" ht="11.25">
      <c r="A560" s="1194"/>
      <c r="B560" s="1194"/>
      <c r="C560" s="1194"/>
      <c r="D560" s="1194"/>
      <c r="E560" s="1194"/>
      <c r="F560" s="1194"/>
      <c r="G560" s="1194"/>
      <c r="H560" s="1195"/>
      <c r="I560" s="1195"/>
      <c r="J560" s="1195"/>
      <c r="K560" s="1195"/>
      <c r="L560" s="1195"/>
      <c r="M560" s="1195"/>
      <c r="N560" s="1195"/>
      <c r="O560" s="1195"/>
      <c r="P560" s="1195"/>
      <c r="Q560" s="1195"/>
      <c r="R560" s="1195"/>
      <c r="S560" s="1195"/>
      <c r="T560" s="1195"/>
      <c r="U560" s="1195"/>
      <c r="V560" s="1195"/>
      <c r="W560" s="1195"/>
      <c r="X560" s="1195"/>
      <c r="Y560" s="1195"/>
      <c r="Z560" s="1195"/>
      <c r="AA560" s="1195"/>
      <c r="AB560" s="1195"/>
      <c r="AC560" s="1194"/>
      <c r="AD560" s="1194"/>
      <c r="AE560" s="1194"/>
      <c r="AF560" s="1194"/>
      <c r="AG560" s="1194"/>
      <c r="AH560" s="1194"/>
      <c r="AI560" s="1194"/>
      <c r="AJ560" s="1194"/>
      <c r="AK560" s="1194"/>
      <c r="AL560" s="1194"/>
    </row>
    <row r="561" spans="1:38">
      <c r="A561" s="1194"/>
      <c r="B561" s="1194"/>
      <c r="C561" s="1194"/>
      <c r="D561" s="1194"/>
      <c r="E561" s="1194"/>
      <c r="F561" s="1194"/>
      <c r="G561" s="1194"/>
      <c r="H561" s="1195"/>
      <c r="I561" s="1195"/>
      <c r="J561" s="1195"/>
      <c r="K561" s="1195"/>
      <c r="L561" s="1195"/>
      <c r="M561" s="1195"/>
      <c r="N561" s="1195"/>
      <c r="O561" s="1195"/>
      <c r="P561" s="1195"/>
      <c r="Q561" s="1195"/>
      <c r="R561" s="1195"/>
      <c r="S561" s="1195"/>
      <c r="T561" s="1195"/>
      <c r="U561" s="1195"/>
      <c r="V561" s="1195"/>
      <c r="W561" s="1195"/>
      <c r="X561" s="1195"/>
      <c r="Y561" s="1195"/>
      <c r="Z561" s="1195"/>
      <c r="AA561" s="1195"/>
      <c r="AB561" s="1195"/>
      <c r="AC561" s="1194"/>
      <c r="AD561" s="1194"/>
      <c r="AE561" s="1194"/>
      <c r="AF561" s="1194"/>
      <c r="AG561" s="1194"/>
      <c r="AH561" s="1194"/>
      <c r="AI561" s="1194"/>
      <c r="AJ561" s="1194"/>
      <c r="AK561" s="1194"/>
      <c r="AL561" s="1194"/>
    </row>
    <row r="562" spans="1:38">
      <c r="A562" s="1194"/>
      <c r="B562" s="1194"/>
      <c r="C562" s="1194"/>
      <c r="D562" s="1194"/>
      <c r="E562" s="1194"/>
      <c r="F562" s="1194"/>
      <c r="G562" s="1194"/>
      <c r="H562" s="1195"/>
      <c r="I562" s="1195"/>
      <c r="J562" s="1195"/>
      <c r="K562" s="1195"/>
      <c r="L562" s="1195"/>
      <c r="M562" s="1195"/>
      <c r="N562" s="1195"/>
      <c r="O562" s="1195"/>
      <c r="P562" s="1195"/>
      <c r="Q562" s="1195"/>
      <c r="R562" s="1195"/>
      <c r="S562" s="1195"/>
      <c r="T562" s="1195"/>
      <c r="U562" s="1195"/>
      <c r="V562" s="1195"/>
      <c r="W562" s="1195"/>
      <c r="X562" s="1195"/>
      <c r="Y562" s="1195"/>
      <c r="Z562" s="1195"/>
      <c r="AA562" s="1195"/>
      <c r="AB562" s="1195"/>
      <c r="AC562" s="1194"/>
      <c r="AD562" s="1194"/>
      <c r="AE562" s="1194"/>
      <c r="AF562" s="1194"/>
      <c r="AG562" s="1194"/>
      <c r="AH562" s="1194"/>
      <c r="AI562" s="1194"/>
      <c r="AJ562" s="1194"/>
      <c r="AK562" s="1194"/>
      <c r="AL562" s="1194"/>
    </row>
    <row r="563" spans="1:38">
      <c r="A563" s="1194"/>
      <c r="B563" s="1194"/>
      <c r="C563" s="1194"/>
      <c r="D563" s="1194"/>
      <c r="E563" s="1194"/>
      <c r="F563" s="1194"/>
      <c r="G563" s="1194"/>
      <c r="H563" s="1195"/>
      <c r="I563" s="1195"/>
      <c r="J563" s="1195"/>
      <c r="K563" s="1195"/>
      <c r="L563" s="1195"/>
      <c r="M563" s="1195"/>
      <c r="N563" s="1195"/>
      <c r="O563" s="1195"/>
      <c r="P563" s="1195"/>
      <c r="Q563" s="1195"/>
      <c r="R563" s="1195"/>
      <c r="S563" s="1195"/>
      <c r="T563" s="1195"/>
      <c r="U563" s="1195"/>
      <c r="V563" s="1195"/>
      <c r="W563" s="1195"/>
      <c r="X563" s="1195"/>
      <c r="Y563" s="1195"/>
      <c r="Z563" s="1195"/>
      <c r="AA563" s="1195"/>
      <c r="AB563" s="1195"/>
      <c r="AC563" s="1194"/>
      <c r="AD563" s="1194"/>
      <c r="AE563" s="1194"/>
      <c r="AF563" s="1194"/>
      <c r="AG563" s="1194"/>
      <c r="AH563" s="1194"/>
      <c r="AI563" s="1194"/>
      <c r="AJ563" s="1194"/>
      <c r="AK563" s="1194"/>
      <c r="AL563" s="1194"/>
    </row>
    <row r="564" spans="1:38">
      <c r="A564" s="1188"/>
      <c r="B564" s="1188"/>
      <c r="C564" s="1188"/>
      <c r="D564" s="1188"/>
      <c r="E564" s="1210"/>
      <c r="F564" s="1210"/>
      <c r="G564" s="1210"/>
      <c r="H564" s="1191"/>
      <c r="I564" s="1191"/>
      <c r="J564" s="1199"/>
      <c r="K564" s="1191"/>
      <c r="L564" s="1191"/>
      <c r="M564" s="1191"/>
      <c r="N564" s="1191"/>
      <c r="O564" s="1191"/>
      <c r="P564" s="1191"/>
      <c r="Q564" s="1199"/>
      <c r="R564" s="1191"/>
      <c r="S564" s="1191"/>
      <c r="T564" s="1191"/>
      <c r="U564" s="1191"/>
      <c r="V564" s="1191"/>
      <c r="W564" s="1191"/>
      <c r="X564" s="1191"/>
      <c r="Y564" s="1191"/>
      <c r="Z564" s="1191"/>
      <c r="AA564" s="1191"/>
      <c r="AB564" s="1191"/>
      <c r="AC564" s="1210"/>
      <c r="AD564" s="1210"/>
      <c r="AE564" s="1210"/>
      <c r="AF564" s="1210"/>
      <c r="AG564" s="1210"/>
      <c r="AH564" s="1210"/>
      <c r="AI564" s="1210"/>
      <c r="AJ564" s="1210"/>
      <c r="AK564" s="1210"/>
      <c r="AL564" s="1210"/>
    </row>
    <row r="565" spans="1:38">
      <c r="A565" s="1188"/>
      <c r="B565" s="1188"/>
      <c r="C565" s="1188"/>
      <c r="D565" s="1188"/>
      <c r="E565" s="1210"/>
      <c r="F565" s="1210"/>
      <c r="G565" s="1210"/>
      <c r="H565" s="1191"/>
      <c r="I565" s="1191"/>
      <c r="J565" s="1199"/>
      <c r="K565" s="1191"/>
      <c r="L565" s="1191"/>
      <c r="M565" s="1191"/>
      <c r="N565" s="1191"/>
      <c r="O565" s="1191"/>
      <c r="P565" s="1191"/>
      <c r="Q565" s="1199"/>
      <c r="R565" s="1191"/>
      <c r="S565" s="1191"/>
      <c r="T565" s="1191"/>
      <c r="U565" s="1191"/>
      <c r="V565" s="1191"/>
      <c r="W565" s="1191"/>
      <c r="X565" s="1191"/>
      <c r="Y565" s="1191"/>
      <c r="Z565" s="1191"/>
      <c r="AA565" s="1191"/>
      <c r="AB565" s="1191"/>
      <c r="AC565" s="1210"/>
      <c r="AD565" s="1210"/>
      <c r="AE565" s="1210"/>
      <c r="AF565" s="1210"/>
      <c r="AG565" s="1210"/>
      <c r="AH565" s="1210"/>
      <c r="AI565" s="1210"/>
      <c r="AJ565" s="1210"/>
      <c r="AK565" s="1210"/>
      <c r="AL565" s="1210"/>
    </row>
    <row r="566" spans="1:38">
      <c r="A566" s="1188"/>
      <c r="B566" s="1188"/>
      <c r="C566" s="1188"/>
      <c r="D566" s="1188"/>
      <c r="E566" s="1210"/>
      <c r="F566" s="1210"/>
      <c r="G566" s="1210"/>
      <c r="H566" s="1191"/>
      <c r="I566" s="1191"/>
      <c r="J566" s="1199"/>
      <c r="K566" s="1191"/>
      <c r="L566" s="1191"/>
      <c r="M566" s="1191"/>
      <c r="N566" s="1191"/>
      <c r="O566" s="1191"/>
      <c r="P566" s="1191"/>
      <c r="Q566" s="1199"/>
      <c r="R566" s="1191"/>
      <c r="S566" s="1191"/>
      <c r="T566" s="1191"/>
      <c r="U566" s="1191"/>
      <c r="V566" s="1191"/>
      <c r="W566" s="1191"/>
      <c r="X566" s="1191"/>
      <c r="Y566" s="1191"/>
      <c r="Z566" s="1191"/>
      <c r="AA566" s="1191"/>
      <c r="AB566" s="1191"/>
      <c r="AC566" s="1210"/>
      <c r="AD566" s="1210"/>
      <c r="AE566" s="1210"/>
      <c r="AF566" s="1210"/>
      <c r="AG566" s="1210"/>
      <c r="AH566" s="1210"/>
      <c r="AI566" s="1210"/>
      <c r="AJ566" s="1210"/>
      <c r="AK566" s="1210"/>
      <c r="AL566" s="1210"/>
    </row>
    <row r="567" spans="1:38">
      <c r="A567" s="1188"/>
      <c r="B567" s="1188"/>
      <c r="C567" s="1188"/>
      <c r="D567" s="1188"/>
      <c r="E567" s="1210"/>
      <c r="F567" s="1210"/>
      <c r="G567" s="1210"/>
      <c r="H567" s="1191"/>
      <c r="I567" s="1191"/>
      <c r="J567" s="1199"/>
      <c r="K567" s="1191"/>
      <c r="L567" s="1191"/>
      <c r="M567" s="1191"/>
      <c r="N567" s="1191"/>
      <c r="O567" s="1191"/>
      <c r="P567" s="1191"/>
      <c r="Q567" s="1199"/>
      <c r="R567" s="1191"/>
      <c r="S567" s="1191"/>
      <c r="T567" s="1191"/>
      <c r="U567" s="1191"/>
      <c r="V567" s="1191"/>
      <c r="W567" s="1191"/>
      <c r="X567" s="1191"/>
      <c r="Y567" s="1191"/>
      <c r="Z567" s="1191"/>
      <c r="AA567" s="1191"/>
      <c r="AB567" s="1191"/>
      <c r="AC567" s="1210"/>
      <c r="AD567" s="1210"/>
      <c r="AE567" s="1210"/>
      <c r="AF567" s="1210"/>
      <c r="AG567" s="1210"/>
      <c r="AH567" s="1210"/>
      <c r="AI567" s="1210"/>
      <c r="AJ567" s="1210"/>
      <c r="AK567" s="1210"/>
      <c r="AL567" s="1210"/>
    </row>
    <row r="568" spans="1:38">
      <c r="A568" s="1188"/>
      <c r="B568" s="1188"/>
      <c r="C568" s="1188"/>
      <c r="D568" s="1188"/>
      <c r="E568" s="1210"/>
      <c r="F568" s="1210"/>
      <c r="G568" s="1210"/>
      <c r="H568" s="1191"/>
      <c r="I568" s="1191"/>
      <c r="J568" s="1199"/>
      <c r="K568" s="1191"/>
      <c r="L568" s="1191"/>
      <c r="M568" s="1191"/>
      <c r="N568" s="1191"/>
      <c r="O568" s="1191"/>
      <c r="P568" s="1191"/>
      <c r="Q568" s="1199"/>
      <c r="R568" s="1191"/>
      <c r="S568" s="1191"/>
      <c r="T568" s="1191"/>
      <c r="U568" s="1191"/>
      <c r="V568" s="1191"/>
      <c r="W568" s="1191"/>
      <c r="X568" s="1191"/>
      <c r="Y568" s="1191"/>
      <c r="Z568" s="1191"/>
      <c r="AA568" s="1191"/>
      <c r="AB568" s="1191"/>
      <c r="AC568" s="1210"/>
      <c r="AD568" s="1210"/>
      <c r="AE568" s="1210"/>
      <c r="AF568" s="1210"/>
      <c r="AG568" s="1210"/>
      <c r="AH568" s="1210"/>
      <c r="AI568" s="1210"/>
      <c r="AJ568" s="1210"/>
      <c r="AK568" s="1210"/>
      <c r="AL568" s="1210"/>
    </row>
    <row r="569" spans="1:38">
      <c r="A569" s="1188"/>
      <c r="B569" s="1188"/>
      <c r="C569" s="1188"/>
      <c r="D569" s="1188"/>
      <c r="E569" s="1210"/>
      <c r="F569" s="1210"/>
      <c r="G569" s="1210"/>
      <c r="H569" s="1191"/>
      <c r="I569" s="1191"/>
      <c r="J569" s="1199"/>
      <c r="K569" s="1191"/>
      <c r="L569" s="1191"/>
      <c r="M569" s="1191"/>
      <c r="N569" s="1191"/>
      <c r="O569" s="1191"/>
      <c r="P569" s="1191"/>
      <c r="Q569" s="1199"/>
      <c r="R569" s="1191"/>
      <c r="S569" s="1191"/>
      <c r="T569" s="1191"/>
      <c r="U569" s="1191"/>
      <c r="V569" s="1191"/>
      <c r="W569" s="1191"/>
      <c r="X569" s="1191"/>
      <c r="Y569" s="1191"/>
      <c r="Z569" s="1191"/>
      <c r="AA569" s="1191"/>
      <c r="AB569" s="1191"/>
      <c r="AC569" s="1210"/>
      <c r="AD569" s="1210"/>
      <c r="AE569" s="1210"/>
      <c r="AF569" s="1210"/>
      <c r="AG569" s="1210"/>
      <c r="AH569" s="1210"/>
      <c r="AI569" s="1210"/>
      <c r="AJ569" s="1210"/>
      <c r="AK569" s="1210"/>
      <c r="AL569" s="1210"/>
    </row>
    <row r="570" spans="1:38">
      <c r="A570" s="1188"/>
      <c r="B570" s="1188"/>
      <c r="C570" s="1188"/>
      <c r="D570" s="1188"/>
      <c r="E570" s="1210"/>
      <c r="F570" s="1210"/>
      <c r="G570" s="1210"/>
      <c r="H570" s="1191"/>
      <c r="I570" s="1191"/>
      <c r="J570" s="1199"/>
      <c r="K570" s="1191"/>
      <c r="L570" s="1191"/>
      <c r="M570" s="1191"/>
      <c r="N570" s="1191"/>
      <c r="O570" s="1191"/>
      <c r="P570" s="1191"/>
      <c r="Q570" s="1199"/>
      <c r="R570" s="1191"/>
      <c r="S570" s="1191"/>
      <c r="T570" s="1191"/>
      <c r="U570" s="1191"/>
      <c r="V570" s="1191"/>
      <c r="W570" s="1191"/>
      <c r="X570" s="1191"/>
      <c r="Y570" s="1191"/>
      <c r="Z570" s="1191"/>
      <c r="AA570" s="1191"/>
      <c r="AB570" s="1191"/>
      <c r="AC570" s="1210"/>
      <c r="AD570" s="1210"/>
      <c r="AE570" s="1210"/>
      <c r="AF570" s="1210"/>
      <c r="AG570" s="1210"/>
      <c r="AH570" s="1210"/>
      <c r="AI570" s="1210"/>
      <c r="AJ570" s="1210"/>
      <c r="AK570" s="1210"/>
      <c r="AL570" s="1210"/>
    </row>
    <row r="571" spans="1:38">
      <c r="A571" s="1188"/>
      <c r="B571" s="1188"/>
      <c r="C571" s="1188"/>
      <c r="D571" s="1188"/>
      <c r="E571" s="1210"/>
      <c r="F571" s="1210"/>
      <c r="G571" s="1210"/>
      <c r="H571" s="1191"/>
      <c r="I571" s="1191"/>
      <c r="J571" s="1199"/>
      <c r="K571" s="1191"/>
      <c r="L571" s="1191"/>
      <c r="M571" s="1191"/>
      <c r="N571" s="1191"/>
      <c r="O571" s="1191"/>
      <c r="P571" s="1191"/>
      <c r="Q571" s="1199"/>
      <c r="R571" s="1191"/>
      <c r="S571" s="1191"/>
      <c r="T571" s="1191"/>
      <c r="U571" s="1191"/>
      <c r="V571" s="1191"/>
      <c r="W571" s="1191"/>
      <c r="X571" s="1191"/>
      <c r="Y571" s="1191"/>
      <c r="Z571" s="1191"/>
      <c r="AA571" s="1191"/>
      <c r="AB571" s="1191"/>
      <c r="AC571" s="1210"/>
      <c r="AD571" s="1210"/>
      <c r="AE571" s="1210"/>
      <c r="AF571" s="1210"/>
      <c r="AG571" s="1210"/>
      <c r="AH571" s="1210"/>
      <c r="AI571" s="1210"/>
      <c r="AJ571" s="1210"/>
      <c r="AK571" s="1210"/>
      <c r="AL571" s="1210"/>
    </row>
    <row r="572" spans="1:38">
      <c r="A572" s="1188"/>
      <c r="B572" s="1188"/>
      <c r="C572" s="1188"/>
      <c r="D572" s="1188"/>
      <c r="E572" s="1210"/>
      <c r="F572" s="1210"/>
      <c r="G572" s="1210"/>
      <c r="H572" s="1191"/>
      <c r="I572" s="1191"/>
      <c r="J572" s="1199"/>
      <c r="K572" s="1191"/>
      <c r="L572" s="1191"/>
      <c r="M572" s="1191"/>
      <c r="N572" s="1191"/>
      <c r="O572" s="1191"/>
      <c r="P572" s="1191"/>
      <c r="Q572" s="1199"/>
      <c r="R572" s="1191"/>
      <c r="S572" s="1191"/>
      <c r="T572" s="1191"/>
      <c r="U572" s="1191"/>
      <c r="V572" s="1191"/>
      <c r="W572" s="1191"/>
      <c r="X572" s="1191"/>
      <c r="Y572" s="1191"/>
      <c r="Z572" s="1191"/>
      <c r="AA572" s="1191"/>
      <c r="AB572" s="1191"/>
      <c r="AC572" s="1210"/>
      <c r="AD572" s="1210"/>
      <c r="AE572" s="1210"/>
      <c r="AF572" s="1210"/>
      <c r="AG572" s="1210"/>
      <c r="AH572" s="1210"/>
      <c r="AI572" s="1210"/>
      <c r="AJ572" s="1210"/>
      <c r="AK572" s="1210"/>
      <c r="AL572" s="1210"/>
    </row>
    <row r="573" spans="1:38">
      <c r="A573" s="1188"/>
      <c r="B573" s="1188"/>
      <c r="C573" s="1188"/>
      <c r="D573" s="1188"/>
      <c r="E573" s="1210"/>
      <c r="F573" s="1210"/>
      <c r="G573" s="1210"/>
      <c r="H573" s="1191"/>
      <c r="I573" s="1191"/>
      <c r="J573" s="1199"/>
      <c r="K573" s="1191"/>
      <c r="L573" s="1191"/>
      <c r="M573" s="1191"/>
      <c r="N573" s="1191"/>
      <c r="O573" s="1191"/>
      <c r="P573" s="1191"/>
      <c r="Q573" s="1199"/>
      <c r="R573" s="1191"/>
      <c r="S573" s="1191"/>
      <c r="T573" s="1191"/>
      <c r="U573" s="1191"/>
      <c r="V573" s="1191"/>
      <c r="W573" s="1191"/>
      <c r="X573" s="1191"/>
      <c r="Y573" s="1191"/>
      <c r="Z573" s="1191"/>
      <c r="AA573" s="1191"/>
      <c r="AB573" s="1191"/>
      <c r="AC573" s="1210"/>
      <c r="AD573" s="1210"/>
      <c r="AE573" s="1210"/>
      <c r="AF573" s="1210"/>
      <c r="AG573" s="1210"/>
      <c r="AH573" s="1210"/>
      <c r="AI573" s="1210"/>
      <c r="AJ573" s="1210"/>
      <c r="AK573" s="1210"/>
      <c r="AL573" s="1210"/>
    </row>
    <row r="574" spans="1:38">
      <c r="A574" s="1188"/>
      <c r="B574" s="1188"/>
      <c r="C574" s="1188"/>
      <c r="D574" s="1188"/>
      <c r="E574" s="1210"/>
      <c r="F574" s="1210"/>
      <c r="G574" s="1210"/>
      <c r="H574" s="1191"/>
      <c r="I574" s="1191"/>
      <c r="J574" s="1199"/>
      <c r="K574" s="1191"/>
      <c r="L574" s="1191"/>
      <c r="M574" s="1191"/>
      <c r="N574" s="1191"/>
      <c r="O574" s="1191"/>
      <c r="P574" s="1191"/>
      <c r="Q574" s="1199"/>
      <c r="R574" s="1191"/>
      <c r="S574" s="1191"/>
      <c r="T574" s="1191"/>
      <c r="U574" s="1191"/>
      <c r="V574" s="1191"/>
      <c r="W574" s="1191"/>
      <c r="X574" s="1191"/>
      <c r="Y574" s="1191"/>
      <c r="Z574" s="1191"/>
      <c r="AA574" s="1191"/>
      <c r="AB574" s="1191"/>
      <c r="AC574" s="1210"/>
      <c r="AD574" s="1210"/>
      <c r="AE574" s="1210"/>
      <c r="AF574" s="1210"/>
      <c r="AG574" s="1210"/>
      <c r="AH574" s="1210"/>
      <c r="AI574" s="1210"/>
      <c r="AJ574" s="1210"/>
      <c r="AK574" s="1210"/>
      <c r="AL574" s="1210"/>
    </row>
    <row r="575" spans="1:38">
      <c r="A575" s="1188"/>
      <c r="B575" s="1188"/>
      <c r="C575" s="1188"/>
      <c r="D575" s="1188"/>
      <c r="E575" s="1210"/>
      <c r="F575" s="1210"/>
      <c r="G575" s="1210"/>
      <c r="H575" s="1191"/>
      <c r="I575" s="1191"/>
      <c r="J575" s="1199"/>
      <c r="K575" s="1191"/>
      <c r="L575" s="1191"/>
      <c r="M575" s="1191"/>
      <c r="N575" s="1191"/>
      <c r="O575" s="1191"/>
      <c r="P575" s="1191"/>
      <c r="Q575" s="1199"/>
      <c r="R575" s="1191"/>
      <c r="S575" s="1191"/>
      <c r="T575" s="1191"/>
      <c r="U575" s="1191"/>
      <c r="V575" s="1191"/>
      <c r="W575" s="1191"/>
      <c r="X575" s="1191"/>
      <c r="Y575" s="1191"/>
      <c r="Z575" s="1191"/>
      <c r="AA575" s="1191"/>
      <c r="AB575" s="1191"/>
      <c r="AC575" s="1210"/>
      <c r="AD575" s="1210"/>
      <c r="AE575" s="1210"/>
      <c r="AF575" s="1210"/>
      <c r="AG575" s="1210"/>
      <c r="AH575" s="1210"/>
      <c r="AI575" s="1210"/>
      <c r="AJ575" s="1210"/>
      <c r="AK575" s="1210"/>
      <c r="AL575" s="1210"/>
    </row>
    <row r="576" spans="1:38">
      <c r="A576" s="1188"/>
      <c r="B576" s="1188"/>
      <c r="C576" s="1188"/>
      <c r="D576" s="1188"/>
      <c r="E576" s="1210"/>
      <c r="F576" s="1210"/>
      <c r="G576" s="1210"/>
      <c r="H576" s="1191"/>
      <c r="I576" s="1191"/>
      <c r="J576" s="1199"/>
      <c r="K576" s="1191"/>
      <c r="L576" s="1191"/>
      <c r="M576" s="1191"/>
      <c r="N576" s="1191"/>
      <c r="O576" s="1191"/>
      <c r="P576" s="1191"/>
      <c r="Q576" s="1199"/>
      <c r="R576" s="1191"/>
      <c r="S576" s="1191"/>
      <c r="T576" s="1191"/>
      <c r="U576" s="1191"/>
      <c r="V576" s="1191"/>
      <c r="W576" s="1191"/>
      <c r="X576" s="1191"/>
      <c r="Y576" s="1191"/>
      <c r="Z576" s="1191"/>
      <c r="AA576" s="1191"/>
      <c r="AB576" s="1191"/>
      <c r="AC576" s="1210"/>
      <c r="AD576" s="1210"/>
      <c r="AE576" s="1210"/>
      <c r="AF576" s="1210"/>
      <c r="AG576" s="1210"/>
      <c r="AH576" s="1210"/>
      <c r="AI576" s="1210"/>
      <c r="AJ576" s="1210"/>
      <c r="AK576" s="1210"/>
      <c r="AL576" s="1210"/>
    </row>
    <row r="577" spans="1:38">
      <c r="A577" s="1188"/>
      <c r="B577" s="1188"/>
      <c r="C577" s="1188"/>
      <c r="D577" s="1188"/>
      <c r="E577" s="1210"/>
      <c r="F577" s="1210"/>
      <c r="G577" s="1210"/>
      <c r="H577" s="1191"/>
      <c r="I577" s="1191"/>
      <c r="J577" s="1199"/>
      <c r="K577" s="1191"/>
      <c r="L577" s="1191"/>
      <c r="M577" s="1191"/>
      <c r="N577" s="1191"/>
      <c r="O577" s="1191"/>
      <c r="P577" s="1191"/>
      <c r="Q577" s="1199"/>
      <c r="R577" s="1191"/>
      <c r="S577" s="1191"/>
      <c r="T577" s="1191"/>
      <c r="U577" s="1191"/>
      <c r="V577" s="1191"/>
      <c r="W577" s="1191"/>
      <c r="X577" s="1191"/>
      <c r="Y577" s="1191"/>
      <c r="Z577" s="1191"/>
      <c r="AA577" s="1191"/>
      <c r="AB577" s="1191"/>
      <c r="AC577" s="1210"/>
      <c r="AD577" s="1210"/>
      <c r="AE577" s="1210"/>
      <c r="AF577" s="1210"/>
      <c r="AG577" s="1210"/>
      <c r="AH577" s="1210"/>
      <c r="AI577" s="1210"/>
      <c r="AJ577" s="1210"/>
      <c r="AK577" s="1210"/>
      <c r="AL577" s="1210"/>
    </row>
    <row r="578" spans="1:38">
      <c r="A578" s="1188"/>
      <c r="B578" s="1188"/>
      <c r="C578" s="1188"/>
      <c r="D578" s="1188"/>
      <c r="E578" s="1210"/>
      <c r="F578" s="1210"/>
      <c r="G578" s="1210"/>
      <c r="H578" s="1191"/>
      <c r="I578" s="1191"/>
      <c r="J578" s="1199"/>
      <c r="K578" s="1191"/>
      <c r="L578" s="1191"/>
      <c r="M578" s="1191"/>
      <c r="N578" s="1191"/>
      <c r="O578" s="1191"/>
      <c r="P578" s="1191"/>
      <c r="Q578" s="1199"/>
      <c r="R578" s="1191"/>
      <c r="S578" s="1191"/>
      <c r="T578" s="1191"/>
      <c r="U578" s="1191"/>
      <c r="V578" s="1191"/>
      <c r="W578" s="1191"/>
      <c r="X578" s="1191"/>
      <c r="Y578" s="1191"/>
      <c r="Z578" s="1191"/>
      <c r="AA578" s="1191"/>
      <c r="AB578" s="1191"/>
      <c r="AC578" s="1210"/>
      <c r="AD578" s="1210"/>
      <c r="AE578" s="1210"/>
      <c r="AF578" s="1210"/>
      <c r="AG578" s="1210"/>
      <c r="AH578" s="1210"/>
      <c r="AI578" s="1210"/>
      <c r="AJ578" s="1210"/>
      <c r="AK578" s="1210"/>
      <c r="AL578" s="1210"/>
    </row>
    <row r="579" spans="1:38" s="1179" customFormat="1">
      <c r="A579" s="1188"/>
      <c r="B579" s="1188"/>
      <c r="C579" s="1188"/>
      <c r="D579" s="1188"/>
      <c r="E579" s="1210"/>
      <c r="F579" s="1210"/>
      <c r="G579" s="1210"/>
      <c r="H579" s="1191"/>
      <c r="I579" s="1191"/>
      <c r="J579" s="1199"/>
      <c r="K579" s="1191"/>
      <c r="L579" s="1191"/>
      <c r="M579" s="1191"/>
      <c r="N579" s="1191"/>
      <c r="O579" s="1191"/>
      <c r="P579" s="1191"/>
      <c r="Q579" s="1199"/>
      <c r="R579" s="1191"/>
      <c r="S579" s="1191"/>
      <c r="T579" s="1191"/>
      <c r="U579" s="1191"/>
      <c r="V579" s="1191"/>
      <c r="W579" s="1191"/>
      <c r="X579" s="1191"/>
      <c r="Y579" s="1191"/>
      <c r="Z579" s="1191"/>
      <c r="AA579" s="1191"/>
      <c r="AB579" s="1191"/>
      <c r="AC579" s="1210"/>
      <c r="AD579" s="1210"/>
      <c r="AE579" s="1210"/>
      <c r="AF579" s="1210"/>
      <c r="AG579" s="1210"/>
      <c r="AH579" s="1210"/>
      <c r="AI579" s="1210"/>
      <c r="AJ579" s="1210"/>
      <c r="AK579" s="1210"/>
      <c r="AL579" s="1210"/>
    </row>
    <row r="580" spans="1:38" s="1179" customFormat="1">
      <c r="A580" s="1188"/>
      <c r="B580" s="1188"/>
      <c r="C580" s="1188"/>
      <c r="D580" s="1188"/>
      <c r="E580" s="1210"/>
      <c r="F580" s="1210"/>
      <c r="G580" s="1210"/>
      <c r="H580" s="1191"/>
      <c r="I580" s="1191"/>
      <c r="J580" s="1199"/>
      <c r="K580" s="1191"/>
      <c r="L580" s="1191"/>
      <c r="M580" s="1191"/>
      <c r="N580" s="1191"/>
      <c r="O580" s="1191"/>
      <c r="P580" s="1191"/>
      <c r="Q580" s="1199"/>
      <c r="R580" s="1191"/>
      <c r="S580" s="1191"/>
      <c r="T580" s="1191"/>
      <c r="U580" s="1191"/>
      <c r="V580" s="1191"/>
      <c r="W580" s="1191"/>
      <c r="X580" s="1191"/>
      <c r="Y580" s="1191"/>
      <c r="Z580" s="1191"/>
      <c r="AA580" s="1191"/>
      <c r="AB580" s="1191"/>
      <c r="AC580" s="1210"/>
      <c r="AD580" s="1210"/>
      <c r="AE580" s="1210"/>
      <c r="AF580" s="1210"/>
      <c r="AG580" s="1210"/>
      <c r="AH580" s="1210"/>
      <c r="AI580" s="1210"/>
      <c r="AJ580" s="1210"/>
      <c r="AK580" s="1210"/>
      <c r="AL580" s="1210"/>
    </row>
    <row r="581" spans="1:38" s="1179" customFormat="1">
      <c r="A581" s="1188"/>
      <c r="B581" s="1188"/>
      <c r="C581" s="1188"/>
      <c r="D581" s="1188"/>
      <c r="E581" s="1210"/>
      <c r="F581" s="1210"/>
      <c r="G581" s="1210"/>
      <c r="H581" s="1191"/>
      <c r="I581" s="1191"/>
      <c r="J581" s="1199"/>
      <c r="K581" s="1191"/>
      <c r="L581" s="1191"/>
      <c r="M581" s="1191"/>
      <c r="N581" s="1191"/>
      <c r="O581" s="1191"/>
      <c r="P581" s="1191"/>
      <c r="Q581" s="1199"/>
      <c r="R581" s="1191"/>
      <c r="S581" s="1191"/>
      <c r="T581" s="1191"/>
      <c r="U581" s="1191"/>
      <c r="V581" s="1191"/>
      <c r="W581" s="1191"/>
      <c r="X581" s="1191"/>
      <c r="Y581" s="1191"/>
      <c r="Z581" s="1191"/>
      <c r="AA581" s="1191"/>
      <c r="AB581" s="1191"/>
      <c r="AC581" s="1210"/>
      <c r="AD581" s="1210"/>
      <c r="AE581" s="1210"/>
      <c r="AF581" s="1210"/>
      <c r="AG581" s="1210"/>
      <c r="AH581" s="1210"/>
      <c r="AI581" s="1210"/>
      <c r="AJ581" s="1210"/>
      <c r="AK581" s="1210"/>
      <c r="AL581" s="1210"/>
    </row>
    <row r="582" spans="1:38" s="1179" customFormat="1">
      <c r="A582" s="1188"/>
      <c r="B582" s="1188"/>
      <c r="C582" s="1188"/>
      <c r="D582" s="1188"/>
      <c r="E582" s="1210"/>
      <c r="F582" s="1210"/>
      <c r="G582" s="1210"/>
      <c r="H582" s="1191"/>
      <c r="I582" s="1191"/>
      <c r="J582" s="1199"/>
      <c r="K582" s="1191"/>
      <c r="L582" s="1191"/>
      <c r="M582" s="1191"/>
      <c r="N582" s="1191"/>
      <c r="O582" s="1191"/>
      <c r="P582" s="1191"/>
      <c r="Q582" s="1199"/>
      <c r="R582" s="1191"/>
      <c r="S582" s="1191"/>
      <c r="T582" s="1191"/>
      <c r="U582" s="1191"/>
      <c r="V582" s="1191"/>
      <c r="W582" s="1191"/>
      <c r="X582" s="1191"/>
      <c r="Y582" s="1191"/>
      <c r="Z582" s="1191"/>
      <c r="AA582" s="1191"/>
      <c r="AB582" s="1191"/>
      <c r="AC582" s="1210"/>
      <c r="AD582" s="1210"/>
      <c r="AE582" s="1210"/>
      <c r="AF582" s="1210"/>
      <c r="AG582" s="1210"/>
      <c r="AH582" s="1210"/>
      <c r="AI582" s="1210"/>
      <c r="AJ582" s="1210"/>
      <c r="AK582" s="1210"/>
      <c r="AL582" s="1210"/>
    </row>
    <row r="583" spans="1:38" s="1179" customFormat="1">
      <c r="A583" s="1188"/>
      <c r="B583" s="1188"/>
      <c r="C583" s="1188"/>
      <c r="D583" s="1188"/>
      <c r="E583" s="1210"/>
      <c r="F583" s="1210"/>
      <c r="G583" s="1210"/>
      <c r="H583" s="1191"/>
      <c r="I583" s="1191"/>
      <c r="J583" s="1199"/>
      <c r="K583" s="1191"/>
      <c r="L583" s="1191"/>
      <c r="M583" s="1191"/>
      <c r="N583" s="1191"/>
      <c r="O583" s="1191"/>
      <c r="P583" s="1191"/>
      <c r="Q583" s="1199"/>
      <c r="R583" s="1191"/>
      <c r="S583" s="1191"/>
      <c r="T583" s="1191"/>
      <c r="U583" s="1191"/>
      <c r="V583" s="1191"/>
      <c r="W583" s="1191"/>
      <c r="X583" s="1191"/>
      <c r="Y583" s="1191"/>
      <c r="Z583" s="1191"/>
      <c r="AA583" s="1191"/>
      <c r="AB583" s="1191"/>
      <c r="AC583" s="1210"/>
      <c r="AD583" s="1210"/>
      <c r="AE583" s="1210"/>
      <c r="AF583" s="1210"/>
      <c r="AG583" s="1210"/>
      <c r="AH583" s="1210"/>
      <c r="AI583" s="1210"/>
      <c r="AJ583" s="1210"/>
      <c r="AK583" s="1210"/>
      <c r="AL583" s="1210"/>
    </row>
    <row r="584" spans="1:38" s="1179" customFormat="1">
      <c r="A584" s="1188"/>
      <c r="B584" s="1188"/>
      <c r="C584" s="1188"/>
      <c r="D584" s="1188"/>
      <c r="E584" s="1210"/>
      <c r="F584" s="1210"/>
      <c r="G584" s="1210"/>
      <c r="H584" s="1191"/>
      <c r="I584" s="1191"/>
      <c r="J584" s="1199"/>
      <c r="K584" s="1191"/>
      <c r="L584" s="1191"/>
      <c r="M584" s="1191"/>
      <c r="N584" s="1191"/>
      <c r="O584" s="1191"/>
      <c r="P584" s="1191"/>
      <c r="Q584" s="1199"/>
      <c r="R584" s="1191"/>
      <c r="S584" s="1191"/>
      <c r="T584" s="1191"/>
      <c r="U584" s="1191"/>
      <c r="V584" s="1191"/>
      <c r="W584" s="1191"/>
      <c r="X584" s="1191"/>
      <c r="Y584" s="1191"/>
      <c r="Z584" s="1191"/>
      <c r="AA584" s="1191"/>
      <c r="AB584" s="1191"/>
      <c r="AC584" s="1210"/>
      <c r="AD584" s="1210"/>
      <c r="AE584" s="1210"/>
      <c r="AF584" s="1210"/>
      <c r="AG584" s="1210"/>
      <c r="AH584" s="1210"/>
      <c r="AI584" s="1210"/>
      <c r="AJ584" s="1210"/>
      <c r="AK584" s="1210"/>
      <c r="AL584" s="1210"/>
    </row>
    <row r="585" spans="1:38" s="1179" customFormat="1">
      <c r="A585" s="1188"/>
      <c r="B585" s="1188"/>
      <c r="C585" s="1188"/>
      <c r="D585" s="1188"/>
      <c r="E585" s="1210"/>
      <c r="F585" s="1210"/>
      <c r="G585" s="1210"/>
      <c r="H585" s="1191"/>
      <c r="I585" s="1191"/>
      <c r="J585" s="1199"/>
      <c r="K585" s="1191"/>
      <c r="L585" s="1191"/>
      <c r="M585" s="1191"/>
      <c r="N585" s="1191"/>
      <c r="O585" s="1191"/>
      <c r="P585" s="1191"/>
      <c r="Q585" s="1199"/>
      <c r="R585" s="1191"/>
      <c r="S585" s="1191"/>
      <c r="T585" s="1191"/>
      <c r="U585" s="1191"/>
      <c r="V585" s="1191"/>
      <c r="W585" s="1191"/>
      <c r="X585" s="1191"/>
      <c r="Y585" s="1191"/>
      <c r="Z585" s="1191"/>
      <c r="AA585" s="1191"/>
      <c r="AB585" s="1191"/>
      <c r="AC585" s="1210"/>
      <c r="AD585" s="1210"/>
      <c r="AE585" s="1210"/>
      <c r="AF585" s="1210"/>
      <c r="AG585" s="1210"/>
      <c r="AH585" s="1210"/>
      <c r="AI585" s="1210"/>
      <c r="AJ585" s="1210"/>
      <c r="AK585" s="1210"/>
      <c r="AL585" s="1210"/>
    </row>
    <row r="586" spans="1:38" s="1179" customFormat="1">
      <c r="A586" s="1188"/>
      <c r="B586" s="1188"/>
      <c r="C586" s="1188"/>
      <c r="D586" s="1188"/>
      <c r="E586" s="1210"/>
      <c r="F586" s="1210"/>
      <c r="G586" s="1210"/>
      <c r="H586" s="1191"/>
      <c r="I586" s="1191"/>
      <c r="J586" s="1199"/>
      <c r="K586" s="1191"/>
      <c r="L586" s="1191"/>
      <c r="M586" s="1191"/>
      <c r="N586" s="1191"/>
      <c r="O586" s="1191"/>
      <c r="P586" s="1191"/>
      <c r="Q586" s="1199"/>
      <c r="R586" s="1191"/>
      <c r="S586" s="1191"/>
      <c r="T586" s="1191"/>
      <c r="U586" s="1191"/>
      <c r="V586" s="1191"/>
      <c r="W586" s="1191"/>
      <c r="X586" s="1191"/>
      <c r="Y586" s="1191"/>
      <c r="Z586" s="1191"/>
      <c r="AA586" s="1191"/>
      <c r="AB586" s="1191"/>
      <c r="AC586" s="1210"/>
      <c r="AD586" s="1210"/>
      <c r="AE586" s="1210"/>
      <c r="AF586" s="1210"/>
      <c r="AG586" s="1210"/>
      <c r="AH586" s="1210"/>
      <c r="AI586" s="1210"/>
      <c r="AJ586" s="1210"/>
      <c r="AK586" s="1210"/>
      <c r="AL586" s="1210"/>
    </row>
    <row r="587" spans="1:38" s="1179" customFormat="1">
      <c r="A587" s="1188"/>
      <c r="B587" s="1188"/>
      <c r="C587" s="1188"/>
      <c r="D587" s="1188"/>
      <c r="E587" s="1210"/>
      <c r="F587" s="1210"/>
      <c r="G587" s="1210"/>
      <c r="H587" s="1191"/>
      <c r="I587" s="1191"/>
      <c r="J587" s="1199"/>
      <c r="K587" s="1191"/>
      <c r="L587" s="1191"/>
      <c r="M587" s="1191"/>
      <c r="N587" s="1191"/>
      <c r="O587" s="1191"/>
      <c r="P587" s="1191"/>
      <c r="Q587" s="1199"/>
      <c r="R587" s="1191"/>
      <c r="S587" s="1191"/>
      <c r="T587" s="1191"/>
      <c r="U587" s="1191"/>
      <c r="V587" s="1191"/>
      <c r="W587" s="1191"/>
      <c r="X587" s="1191"/>
      <c r="Y587" s="1191"/>
      <c r="Z587" s="1191"/>
      <c r="AA587" s="1191"/>
      <c r="AB587" s="1191"/>
      <c r="AC587" s="1210"/>
      <c r="AD587" s="1210"/>
      <c r="AE587" s="1210"/>
      <c r="AF587" s="1210"/>
      <c r="AG587" s="1210"/>
      <c r="AH587" s="1210"/>
      <c r="AI587" s="1210"/>
      <c r="AJ587" s="1210"/>
      <c r="AK587" s="1210"/>
      <c r="AL587" s="1210"/>
    </row>
    <row r="588" spans="1:38" s="1179" customFormat="1">
      <c r="A588" s="1188"/>
      <c r="B588" s="1188"/>
      <c r="C588" s="1188"/>
      <c r="D588" s="1188"/>
      <c r="E588" s="1210"/>
      <c r="F588" s="1210"/>
      <c r="G588" s="1210"/>
      <c r="H588" s="1191"/>
      <c r="I588" s="1191"/>
      <c r="J588" s="1199"/>
      <c r="K588" s="1191"/>
      <c r="L588" s="1191"/>
      <c r="M588" s="1191"/>
      <c r="N588" s="1191"/>
      <c r="O588" s="1191"/>
      <c r="P588" s="1191"/>
      <c r="Q588" s="1199"/>
      <c r="R588" s="1191"/>
      <c r="S588" s="1191"/>
      <c r="T588" s="1191"/>
      <c r="U588" s="1191"/>
      <c r="V588" s="1191"/>
      <c r="W588" s="1191"/>
      <c r="X588" s="1191"/>
      <c r="Y588" s="1191"/>
      <c r="Z588" s="1191"/>
      <c r="AA588" s="1191"/>
      <c r="AB588" s="1191"/>
      <c r="AC588" s="1210"/>
      <c r="AD588" s="1210"/>
      <c r="AE588" s="1210"/>
      <c r="AF588" s="1210"/>
      <c r="AG588" s="1210"/>
      <c r="AH588" s="1210"/>
      <c r="AI588" s="1210"/>
      <c r="AJ588" s="1210"/>
      <c r="AK588" s="1210"/>
      <c r="AL588" s="1210"/>
    </row>
    <row r="589" spans="1:38" s="1179" customFormat="1">
      <c r="A589" s="1188"/>
      <c r="B589" s="1188"/>
      <c r="C589" s="1188"/>
      <c r="D589" s="1188"/>
      <c r="E589" s="1210"/>
      <c r="F589" s="1210"/>
      <c r="G589" s="1210"/>
      <c r="H589" s="1191"/>
      <c r="I589" s="1191"/>
      <c r="J589" s="1199"/>
      <c r="K589" s="1191"/>
      <c r="L589" s="1191"/>
      <c r="M589" s="1191"/>
      <c r="N589" s="1191"/>
      <c r="O589" s="1191"/>
      <c r="P589" s="1191"/>
      <c r="Q589" s="1199"/>
      <c r="R589" s="1191"/>
      <c r="S589" s="1191"/>
      <c r="T589" s="1191"/>
      <c r="U589" s="1191"/>
      <c r="V589" s="1191"/>
      <c r="W589" s="1191"/>
      <c r="X589" s="1191"/>
      <c r="Y589" s="1191"/>
      <c r="Z589" s="1191"/>
      <c r="AA589" s="1191"/>
      <c r="AB589" s="1191"/>
      <c r="AC589" s="1210"/>
      <c r="AD589" s="1210"/>
      <c r="AE589" s="1210"/>
      <c r="AF589" s="1210"/>
      <c r="AG589" s="1210"/>
      <c r="AH589" s="1210"/>
      <c r="AI589" s="1210"/>
      <c r="AJ589" s="1210"/>
      <c r="AK589" s="1210"/>
      <c r="AL589" s="1210"/>
    </row>
    <row r="590" spans="1:38" s="1179" customFormat="1">
      <c r="A590" s="1188"/>
      <c r="B590" s="1188"/>
      <c r="C590" s="1188"/>
      <c r="D590" s="1188"/>
      <c r="E590" s="1210"/>
      <c r="F590" s="1210"/>
      <c r="G590" s="1210"/>
      <c r="H590" s="1191"/>
      <c r="I590" s="1191"/>
      <c r="J590" s="1199"/>
      <c r="K590" s="1191"/>
      <c r="L590" s="1191"/>
      <c r="M590" s="1191"/>
      <c r="N590" s="1191"/>
      <c r="O590" s="1191"/>
      <c r="P590" s="1191"/>
      <c r="Q590" s="1199"/>
      <c r="R590" s="1191"/>
      <c r="S590" s="1191"/>
      <c r="T590" s="1191"/>
      <c r="U590" s="1191"/>
      <c r="V590" s="1191"/>
      <c r="W590" s="1191"/>
      <c r="X590" s="1191"/>
      <c r="Y590" s="1191"/>
      <c r="Z590" s="1191"/>
      <c r="AA590" s="1191"/>
      <c r="AB590" s="1191"/>
      <c r="AC590" s="1210"/>
      <c r="AD590" s="1210"/>
      <c r="AE590" s="1210"/>
      <c r="AF590" s="1210"/>
      <c r="AG590" s="1210"/>
      <c r="AH590" s="1210"/>
      <c r="AI590" s="1210"/>
      <c r="AJ590" s="1210"/>
      <c r="AK590" s="1210"/>
      <c r="AL590" s="1210"/>
    </row>
    <row r="591" spans="1:38" s="1179" customFormat="1">
      <c r="A591" s="1188"/>
      <c r="B591" s="1188"/>
      <c r="C591" s="1188"/>
      <c r="D591" s="1188"/>
      <c r="E591" s="1210"/>
      <c r="F591" s="1210"/>
      <c r="G591" s="1210"/>
      <c r="H591" s="1191"/>
      <c r="I591" s="1191"/>
      <c r="J591" s="1199"/>
      <c r="K591" s="1191"/>
      <c r="L591" s="1191"/>
      <c r="M591" s="1191"/>
      <c r="N591" s="1191"/>
      <c r="O591" s="1191"/>
      <c r="P591" s="1191"/>
      <c r="Q591" s="1199"/>
      <c r="R591" s="1191"/>
      <c r="S591" s="1191"/>
      <c r="T591" s="1191"/>
      <c r="U591" s="1191"/>
      <c r="V591" s="1191"/>
      <c r="W591" s="1191"/>
      <c r="X591" s="1191"/>
      <c r="Y591" s="1191"/>
      <c r="Z591" s="1191"/>
      <c r="AA591" s="1191"/>
      <c r="AB591" s="1191"/>
      <c r="AC591" s="1210"/>
      <c r="AD591" s="1210"/>
      <c r="AE591" s="1210"/>
      <c r="AF591" s="1210"/>
      <c r="AG591" s="1210"/>
      <c r="AH591" s="1210"/>
      <c r="AI591" s="1210"/>
      <c r="AJ591" s="1210"/>
      <c r="AK591" s="1210"/>
      <c r="AL591" s="1210"/>
    </row>
    <row r="592" spans="1:38" s="1179" customFormat="1">
      <c r="A592" s="1188"/>
      <c r="B592" s="1188"/>
      <c r="C592" s="1188"/>
      <c r="D592" s="1188"/>
      <c r="E592" s="1210"/>
      <c r="F592" s="1210"/>
      <c r="G592" s="1210"/>
      <c r="H592" s="1191"/>
      <c r="I592" s="1191"/>
      <c r="J592" s="1199"/>
      <c r="K592" s="1191"/>
      <c r="L592" s="1191"/>
      <c r="M592" s="1191"/>
      <c r="N592" s="1191"/>
      <c r="O592" s="1191"/>
      <c r="P592" s="1191"/>
      <c r="Q592" s="1199"/>
      <c r="R592" s="1191"/>
      <c r="S592" s="1191"/>
      <c r="T592" s="1191"/>
      <c r="U592" s="1191"/>
      <c r="V592" s="1191"/>
      <c r="W592" s="1191"/>
      <c r="X592" s="1191"/>
      <c r="Y592" s="1191"/>
      <c r="Z592" s="1191"/>
      <c r="AA592" s="1191"/>
      <c r="AB592" s="1191"/>
      <c r="AC592" s="1210"/>
      <c r="AD592" s="1210"/>
      <c r="AE592" s="1210"/>
      <c r="AF592" s="1210"/>
      <c r="AG592" s="1210"/>
      <c r="AH592" s="1210"/>
      <c r="AI592" s="1210"/>
      <c r="AJ592" s="1210"/>
      <c r="AK592" s="1210"/>
      <c r="AL592" s="1210"/>
    </row>
    <row r="593" spans="1:38" s="1179" customFormat="1">
      <c r="A593" s="1188"/>
      <c r="B593" s="1188"/>
      <c r="C593" s="1188"/>
      <c r="D593" s="1188"/>
      <c r="E593" s="1210"/>
      <c r="F593" s="1210"/>
      <c r="G593" s="1210"/>
      <c r="H593" s="1191"/>
      <c r="I593" s="1191"/>
      <c r="J593" s="1199"/>
      <c r="K593" s="1191"/>
      <c r="L593" s="1191"/>
      <c r="M593" s="1191"/>
      <c r="N593" s="1191"/>
      <c r="O593" s="1191"/>
      <c r="P593" s="1191"/>
      <c r="Q593" s="1199"/>
      <c r="R593" s="1191"/>
      <c r="S593" s="1191"/>
      <c r="T593" s="1191"/>
      <c r="U593" s="1191"/>
      <c r="V593" s="1191"/>
      <c r="W593" s="1191"/>
      <c r="X593" s="1191"/>
      <c r="Y593" s="1191"/>
      <c r="Z593" s="1191"/>
      <c r="AA593" s="1191"/>
      <c r="AB593" s="1191"/>
      <c r="AC593" s="1210"/>
      <c r="AD593" s="1210"/>
      <c r="AE593" s="1210"/>
      <c r="AF593" s="1210"/>
      <c r="AG593" s="1210"/>
      <c r="AH593" s="1210"/>
      <c r="AI593" s="1210"/>
      <c r="AJ593" s="1210"/>
      <c r="AK593" s="1210"/>
      <c r="AL593" s="1210"/>
    </row>
    <row r="594" spans="1:38" s="1179" customFormat="1">
      <c r="A594" s="1188"/>
      <c r="B594" s="1188"/>
      <c r="C594" s="1188"/>
      <c r="D594" s="1188"/>
      <c r="E594" s="1210"/>
      <c r="F594" s="1210"/>
      <c r="G594" s="1210"/>
      <c r="H594" s="1191"/>
      <c r="I594" s="1191"/>
      <c r="J594" s="1199"/>
      <c r="K594" s="1191"/>
      <c r="L594" s="1191"/>
      <c r="M594" s="1191"/>
      <c r="N594" s="1191"/>
      <c r="O594" s="1191"/>
      <c r="P594" s="1191"/>
      <c r="Q594" s="1199"/>
      <c r="R594" s="1191"/>
      <c r="S594" s="1191"/>
      <c r="T594" s="1191"/>
      <c r="U594" s="1191"/>
      <c r="V594" s="1191"/>
      <c r="W594" s="1191"/>
      <c r="X594" s="1191"/>
      <c r="Y594" s="1191"/>
      <c r="Z594" s="1191"/>
      <c r="AA594" s="1191"/>
      <c r="AB594" s="1191"/>
      <c r="AC594" s="1210"/>
      <c r="AD594" s="1210"/>
      <c r="AE594" s="1210"/>
      <c r="AF594" s="1210"/>
      <c r="AG594" s="1210"/>
      <c r="AH594" s="1210"/>
      <c r="AI594" s="1210"/>
      <c r="AJ594" s="1210"/>
      <c r="AK594" s="1210"/>
      <c r="AL594" s="1210"/>
    </row>
    <row r="595" spans="1:38" s="1179" customFormat="1">
      <c r="A595" s="1188"/>
      <c r="B595" s="1188"/>
      <c r="C595" s="1188"/>
      <c r="D595" s="1188"/>
      <c r="E595" s="1210"/>
      <c r="F595" s="1210"/>
      <c r="G595" s="1210"/>
      <c r="H595" s="1191"/>
      <c r="I595" s="1191"/>
      <c r="J595" s="1199"/>
      <c r="K595" s="1191"/>
      <c r="L595" s="1191"/>
      <c r="M595" s="1191"/>
      <c r="N595" s="1191"/>
      <c r="O595" s="1191"/>
      <c r="P595" s="1191"/>
      <c r="Q595" s="1199"/>
      <c r="R595" s="1191"/>
      <c r="S595" s="1191"/>
      <c r="T595" s="1191"/>
      <c r="U595" s="1191"/>
      <c r="V595" s="1191"/>
      <c r="W595" s="1191"/>
      <c r="X595" s="1191"/>
      <c r="Y595" s="1191"/>
      <c r="Z595" s="1191"/>
      <c r="AA595" s="1191"/>
      <c r="AB595" s="1191"/>
      <c r="AC595" s="1210"/>
      <c r="AD595" s="1210"/>
      <c r="AE595" s="1210"/>
      <c r="AF595" s="1210"/>
      <c r="AG595" s="1210"/>
      <c r="AH595" s="1210"/>
      <c r="AI595" s="1210"/>
      <c r="AJ595" s="1210"/>
      <c r="AK595" s="1210"/>
      <c r="AL595" s="1210"/>
    </row>
    <row r="596" spans="1:38" s="1179" customFormat="1">
      <c r="A596" s="1188"/>
      <c r="B596" s="1188"/>
      <c r="C596" s="1188"/>
      <c r="D596" s="1188"/>
      <c r="E596" s="1210"/>
      <c r="F596" s="1210"/>
      <c r="G596" s="1210"/>
      <c r="H596" s="1191"/>
      <c r="I596" s="1191"/>
      <c r="J596" s="1199"/>
      <c r="K596" s="1191"/>
      <c r="L596" s="1191"/>
      <c r="M596" s="1191"/>
      <c r="N596" s="1191"/>
      <c r="O596" s="1191"/>
      <c r="P596" s="1191"/>
      <c r="Q596" s="1199"/>
      <c r="R596" s="1191"/>
      <c r="S596" s="1191"/>
      <c r="T596" s="1191"/>
      <c r="U596" s="1191"/>
      <c r="V596" s="1191"/>
      <c r="W596" s="1191"/>
      <c r="X596" s="1191"/>
      <c r="Y596" s="1191"/>
      <c r="Z596" s="1191"/>
      <c r="AA596" s="1191"/>
      <c r="AB596" s="1191"/>
      <c r="AC596" s="1210"/>
      <c r="AD596" s="1210"/>
      <c r="AE596" s="1210"/>
      <c r="AF596" s="1210"/>
      <c r="AG596" s="1210"/>
      <c r="AH596" s="1210"/>
      <c r="AI596" s="1210"/>
      <c r="AJ596" s="1210"/>
      <c r="AK596" s="1210"/>
      <c r="AL596" s="1210"/>
    </row>
    <row r="597" spans="1:38" s="1179" customFormat="1">
      <c r="A597" s="1188"/>
      <c r="B597" s="1188"/>
      <c r="C597" s="1188"/>
      <c r="D597" s="1188"/>
      <c r="E597" s="1210"/>
      <c r="F597" s="1210"/>
      <c r="G597" s="1210"/>
      <c r="H597" s="1191"/>
      <c r="I597" s="1191"/>
      <c r="J597" s="1199"/>
      <c r="K597" s="1191"/>
      <c r="L597" s="1191"/>
      <c r="M597" s="1191"/>
      <c r="N597" s="1191"/>
      <c r="O597" s="1191"/>
      <c r="P597" s="1191"/>
      <c r="Q597" s="1199"/>
      <c r="R597" s="1191"/>
      <c r="S597" s="1191"/>
      <c r="T597" s="1191"/>
      <c r="U597" s="1191"/>
      <c r="V597" s="1191"/>
      <c r="W597" s="1191"/>
      <c r="X597" s="1191"/>
      <c r="Y597" s="1191"/>
      <c r="Z597" s="1191"/>
      <c r="AA597" s="1191"/>
      <c r="AB597" s="1191"/>
      <c r="AC597" s="1210"/>
      <c r="AD597" s="1210"/>
      <c r="AE597" s="1210"/>
      <c r="AF597" s="1210"/>
      <c r="AG597" s="1210"/>
      <c r="AH597" s="1210"/>
      <c r="AI597" s="1210"/>
      <c r="AJ597" s="1210"/>
      <c r="AK597" s="1210"/>
      <c r="AL597" s="1210"/>
    </row>
    <row r="598" spans="1:38" s="1179" customFormat="1">
      <c r="A598" s="1188"/>
      <c r="B598" s="1188"/>
      <c r="C598" s="1188"/>
      <c r="D598" s="1188"/>
      <c r="E598" s="1210"/>
      <c r="F598" s="1210"/>
      <c r="G598" s="1210"/>
      <c r="H598" s="1191"/>
      <c r="I598" s="1191"/>
      <c r="J598" s="1199"/>
      <c r="K598" s="1191"/>
      <c r="L598" s="1191"/>
      <c r="M598" s="1191"/>
      <c r="N598" s="1191"/>
      <c r="O598" s="1191"/>
      <c r="P598" s="1191"/>
      <c r="Q598" s="1199"/>
      <c r="R598" s="1191"/>
      <c r="S598" s="1191"/>
      <c r="T598" s="1191"/>
      <c r="U598" s="1191"/>
      <c r="V598" s="1191"/>
      <c r="W598" s="1191"/>
      <c r="X598" s="1191"/>
      <c r="Y598" s="1191"/>
      <c r="Z598" s="1191"/>
      <c r="AA598" s="1191"/>
      <c r="AB598" s="1191"/>
      <c r="AC598" s="1210"/>
      <c r="AD598" s="1210"/>
      <c r="AE598" s="1210"/>
      <c r="AF598" s="1210"/>
      <c r="AG598" s="1210"/>
      <c r="AH598" s="1210"/>
      <c r="AI598" s="1210"/>
      <c r="AJ598" s="1210"/>
      <c r="AK598" s="1210"/>
      <c r="AL598" s="1210"/>
    </row>
    <row r="599" spans="1:38" s="1179" customFormat="1">
      <c r="A599" s="1188"/>
      <c r="B599" s="1188"/>
      <c r="C599" s="1188"/>
      <c r="D599" s="1188"/>
      <c r="E599" s="1210"/>
      <c r="F599" s="1210"/>
      <c r="G599" s="1210"/>
      <c r="H599" s="1191"/>
      <c r="I599" s="1191"/>
      <c r="J599" s="1199"/>
      <c r="K599" s="1191"/>
      <c r="L599" s="1191"/>
      <c r="M599" s="1191"/>
      <c r="N599" s="1191"/>
      <c r="O599" s="1191"/>
      <c r="P599" s="1191"/>
      <c r="Q599" s="1199"/>
      <c r="R599" s="1191"/>
      <c r="S599" s="1191"/>
      <c r="T599" s="1191"/>
      <c r="U599" s="1191"/>
      <c r="V599" s="1191"/>
      <c r="W599" s="1191"/>
      <c r="X599" s="1191"/>
      <c r="Y599" s="1191"/>
      <c r="Z599" s="1191"/>
      <c r="AA599" s="1191"/>
      <c r="AB599" s="1191"/>
      <c r="AC599" s="1210"/>
      <c r="AD599" s="1210"/>
      <c r="AE599" s="1210"/>
      <c r="AF599" s="1210"/>
      <c r="AG599" s="1210"/>
      <c r="AH599" s="1210"/>
      <c r="AI599" s="1210"/>
      <c r="AJ599" s="1210"/>
      <c r="AK599" s="1210"/>
      <c r="AL599" s="1210"/>
    </row>
    <row r="600" spans="1:38" s="1179" customFormat="1">
      <c r="A600" s="1188"/>
      <c r="B600" s="1188"/>
      <c r="C600" s="1188"/>
      <c r="D600" s="1188"/>
      <c r="E600" s="1210"/>
      <c r="F600" s="1210"/>
      <c r="G600" s="1210"/>
      <c r="H600" s="1191"/>
      <c r="I600" s="1191"/>
      <c r="J600" s="1199"/>
      <c r="K600" s="1191"/>
      <c r="L600" s="1191"/>
      <c r="M600" s="1191"/>
      <c r="N600" s="1191"/>
      <c r="O600" s="1191"/>
      <c r="P600" s="1191"/>
      <c r="Q600" s="1199"/>
      <c r="R600" s="1191"/>
      <c r="S600" s="1191"/>
      <c r="T600" s="1191"/>
      <c r="U600" s="1191"/>
      <c r="V600" s="1191"/>
      <c r="W600" s="1191"/>
      <c r="X600" s="1191"/>
      <c r="Y600" s="1191"/>
      <c r="Z600" s="1191"/>
      <c r="AA600" s="1191"/>
      <c r="AB600" s="1191"/>
      <c r="AC600" s="1210"/>
      <c r="AD600" s="1210"/>
      <c r="AE600" s="1210"/>
      <c r="AF600" s="1210"/>
      <c r="AG600" s="1210"/>
      <c r="AH600" s="1210"/>
      <c r="AI600" s="1210"/>
      <c r="AJ600" s="1210"/>
      <c r="AK600" s="1210"/>
      <c r="AL600" s="1210"/>
    </row>
    <row r="601" spans="1:38" s="1179" customFormat="1">
      <c r="A601" s="1188"/>
      <c r="B601" s="1188"/>
      <c r="C601" s="1188"/>
      <c r="D601" s="1188"/>
      <c r="E601" s="1210"/>
      <c r="F601" s="1210"/>
      <c r="G601" s="1210"/>
      <c r="H601" s="1191"/>
      <c r="I601" s="1191"/>
      <c r="J601" s="1199"/>
      <c r="K601" s="1191"/>
      <c r="L601" s="1191"/>
      <c r="M601" s="1191"/>
      <c r="N601" s="1191"/>
      <c r="O601" s="1191"/>
      <c r="P601" s="1191"/>
      <c r="Q601" s="1199"/>
      <c r="R601" s="1191"/>
      <c r="S601" s="1191"/>
      <c r="T601" s="1191"/>
      <c r="U601" s="1191"/>
      <c r="V601" s="1191"/>
      <c r="W601" s="1191"/>
      <c r="X601" s="1191"/>
      <c r="Y601" s="1191"/>
      <c r="Z601" s="1191"/>
      <c r="AA601" s="1191"/>
      <c r="AB601" s="1191"/>
      <c r="AC601" s="1210"/>
      <c r="AD601" s="1210"/>
      <c r="AE601" s="1210"/>
      <c r="AF601" s="1210"/>
      <c r="AG601" s="1210"/>
      <c r="AH601" s="1210"/>
      <c r="AI601" s="1210"/>
      <c r="AJ601" s="1210"/>
      <c r="AK601" s="1210"/>
      <c r="AL601" s="1210"/>
    </row>
    <row r="602" spans="1:38" s="1179" customFormat="1">
      <c r="A602" s="1188"/>
      <c r="B602" s="1188"/>
      <c r="C602" s="1188"/>
      <c r="D602" s="1188"/>
      <c r="E602" s="1210"/>
      <c r="F602" s="1210"/>
      <c r="G602" s="1210"/>
      <c r="H602" s="1191"/>
      <c r="I602" s="1191"/>
      <c r="J602" s="1199"/>
      <c r="K602" s="1191"/>
      <c r="L602" s="1191"/>
      <c r="M602" s="1191"/>
      <c r="N602" s="1191"/>
      <c r="O602" s="1191"/>
      <c r="P602" s="1191"/>
      <c r="Q602" s="1199"/>
      <c r="R602" s="1191"/>
      <c r="S602" s="1191"/>
      <c r="T602" s="1191"/>
      <c r="U602" s="1191"/>
      <c r="V602" s="1191"/>
      <c r="W602" s="1191"/>
      <c r="X602" s="1191"/>
      <c r="Y602" s="1191"/>
      <c r="Z602" s="1191"/>
      <c r="AA602" s="1191"/>
      <c r="AB602" s="1191"/>
      <c r="AC602" s="1210"/>
      <c r="AD602" s="1210"/>
      <c r="AE602" s="1210"/>
      <c r="AF602" s="1210"/>
      <c r="AG602" s="1210"/>
      <c r="AH602" s="1210"/>
      <c r="AI602" s="1210"/>
      <c r="AJ602" s="1210"/>
      <c r="AK602" s="1210"/>
      <c r="AL602" s="1210"/>
    </row>
    <row r="603" spans="1:38" s="1179" customFormat="1">
      <c r="A603" s="1188"/>
      <c r="B603" s="1188"/>
      <c r="C603" s="1188"/>
      <c r="D603" s="1188"/>
      <c r="E603" s="1210"/>
      <c r="F603" s="1210"/>
      <c r="G603" s="1210"/>
      <c r="H603" s="1191"/>
      <c r="I603" s="1191"/>
      <c r="J603" s="1199"/>
      <c r="K603" s="1191"/>
      <c r="L603" s="1191"/>
      <c r="M603" s="1191"/>
      <c r="N603" s="1191"/>
      <c r="O603" s="1191"/>
      <c r="P603" s="1191"/>
      <c r="Q603" s="1199"/>
      <c r="R603" s="1191"/>
      <c r="S603" s="1191"/>
      <c r="T603" s="1191"/>
      <c r="U603" s="1191"/>
      <c r="V603" s="1191"/>
      <c r="W603" s="1191"/>
      <c r="X603" s="1191"/>
      <c r="Y603" s="1191"/>
      <c r="Z603" s="1191"/>
      <c r="AA603" s="1191"/>
      <c r="AB603" s="1191"/>
      <c r="AC603" s="1210"/>
      <c r="AD603" s="1210"/>
      <c r="AE603" s="1210"/>
      <c r="AF603" s="1210"/>
      <c r="AG603" s="1210"/>
      <c r="AH603" s="1210"/>
      <c r="AI603" s="1210"/>
      <c r="AJ603" s="1210"/>
      <c r="AK603" s="1210"/>
      <c r="AL603" s="1210"/>
    </row>
    <row r="604" spans="1:38" s="1179" customFormat="1">
      <c r="A604" s="1188"/>
      <c r="B604" s="1188"/>
      <c r="C604" s="1188"/>
      <c r="D604" s="1188"/>
      <c r="E604" s="1210"/>
      <c r="F604" s="1210"/>
      <c r="G604" s="1210"/>
      <c r="H604" s="1191"/>
      <c r="I604" s="1191"/>
      <c r="J604" s="1199"/>
      <c r="K604" s="1191"/>
      <c r="L604" s="1191"/>
      <c r="M604" s="1191"/>
      <c r="N604" s="1191"/>
      <c r="O604" s="1191"/>
      <c r="P604" s="1191"/>
      <c r="Q604" s="1199"/>
      <c r="R604" s="1191"/>
      <c r="S604" s="1191"/>
      <c r="T604" s="1191"/>
      <c r="U604" s="1191"/>
      <c r="V604" s="1191"/>
      <c r="W604" s="1191"/>
      <c r="X604" s="1191"/>
      <c r="Y604" s="1191"/>
      <c r="Z604" s="1191"/>
      <c r="AA604" s="1191"/>
      <c r="AB604" s="1191"/>
      <c r="AC604" s="1210"/>
      <c r="AD604" s="1210"/>
      <c r="AE604" s="1210"/>
      <c r="AF604" s="1210"/>
      <c r="AG604" s="1210"/>
      <c r="AH604" s="1210"/>
      <c r="AI604" s="1210"/>
      <c r="AJ604" s="1210"/>
      <c r="AK604" s="1210"/>
      <c r="AL604" s="1210"/>
    </row>
    <row r="605" spans="1:38" s="1179" customFormat="1">
      <c r="A605" s="1188"/>
      <c r="B605" s="1188"/>
      <c r="C605" s="1188"/>
      <c r="D605" s="1188"/>
      <c r="E605" s="1210"/>
      <c r="F605" s="1210"/>
      <c r="G605" s="1210"/>
      <c r="H605" s="1191"/>
      <c r="I605" s="1191"/>
      <c r="J605" s="1199"/>
      <c r="K605" s="1191"/>
      <c r="L605" s="1191"/>
      <c r="M605" s="1191"/>
      <c r="N605" s="1191"/>
      <c r="O605" s="1191"/>
      <c r="P605" s="1191"/>
      <c r="Q605" s="1199"/>
      <c r="R605" s="1191"/>
      <c r="S605" s="1191"/>
      <c r="T605" s="1191"/>
      <c r="U605" s="1191"/>
      <c r="V605" s="1191"/>
      <c r="W605" s="1191"/>
      <c r="X605" s="1191"/>
      <c r="Y605" s="1191"/>
      <c r="Z605" s="1191"/>
      <c r="AA605" s="1191"/>
      <c r="AB605" s="1191"/>
      <c r="AC605" s="1210"/>
      <c r="AD605" s="1210"/>
      <c r="AE605" s="1210"/>
      <c r="AF605" s="1210"/>
      <c r="AG605" s="1210"/>
      <c r="AH605" s="1210"/>
      <c r="AI605" s="1210"/>
      <c r="AJ605" s="1210"/>
      <c r="AK605" s="1210"/>
      <c r="AL605" s="1210"/>
    </row>
    <row r="606" spans="1:38" s="1179" customFormat="1">
      <c r="A606" s="1188"/>
      <c r="B606" s="1188"/>
      <c r="C606" s="1188"/>
      <c r="D606" s="1188"/>
      <c r="E606" s="1210"/>
      <c r="F606" s="1210"/>
      <c r="G606" s="1210"/>
      <c r="H606" s="1191"/>
      <c r="I606" s="1191"/>
      <c r="J606" s="1199"/>
      <c r="K606" s="1191"/>
      <c r="L606" s="1191"/>
      <c r="M606" s="1191"/>
      <c r="N606" s="1191"/>
      <c r="O606" s="1191"/>
      <c r="P606" s="1191"/>
      <c r="Q606" s="1199"/>
      <c r="R606" s="1191"/>
      <c r="S606" s="1191"/>
      <c r="T606" s="1191"/>
      <c r="U606" s="1191"/>
      <c r="V606" s="1191"/>
      <c r="W606" s="1191"/>
      <c r="X606" s="1191"/>
      <c r="Y606" s="1191"/>
      <c r="Z606" s="1191"/>
      <c r="AA606" s="1191"/>
      <c r="AB606" s="1191"/>
      <c r="AC606" s="1210"/>
      <c r="AD606" s="1210"/>
      <c r="AE606" s="1210"/>
      <c r="AF606" s="1210"/>
      <c r="AG606" s="1210"/>
      <c r="AH606" s="1210"/>
      <c r="AI606" s="1210"/>
      <c r="AJ606" s="1210"/>
      <c r="AK606" s="1210"/>
      <c r="AL606" s="1210"/>
    </row>
    <row r="607" spans="1:38" s="1179" customFormat="1">
      <c r="A607" s="1188"/>
      <c r="B607" s="1188"/>
      <c r="C607" s="1188"/>
      <c r="D607" s="1188"/>
      <c r="E607" s="1210"/>
      <c r="F607" s="1210"/>
      <c r="G607" s="1210"/>
      <c r="H607" s="1191"/>
      <c r="I607" s="1191"/>
      <c r="J607" s="1199"/>
      <c r="K607" s="1191"/>
      <c r="L607" s="1191"/>
      <c r="M607" s="1191"/>
      <c r="N607" s="1191"/>
      <c r="O607" s="1191"/>
      <c r="P607" s="1191"/>
      <c r="Q607" s="1199"/>
      <c r="R607" s="1191"/>
      <c r="S607" s="1191"/>
      <c r="T607" s="1191"/>
      <c r="U607" s="1191"/>
      <c r="V607" s="1191"/>
      <c r="W607" s="1191"/>
      <c r="X607" s="1191"/>
      <c r="Y607" s="1191"/>
      <c r="Z607" s="1191"/>
      <c r="AA607" s="1191"/>
      <c r="AB607" s="1191"/>
      <c r="AC607" s="1210"/>
      <c r="AD607" s="1210"/>
      <c r="AE607" s="1210"/>
      <c r="AF607" s="1210"/>
      <c r="AG607" s="1210"/>
      <c r="AH607" s="1210"/>
      <c r="AI607" s="1210"/>
      <c r="AJ607" s="1210"/>
      <c r="AK607" s="1210"/>
      <c r="AL607" s="1210"/>
    </row>
    <row r="608" spans="1:38" s="1179" customFormat="1">
      <c r="A608" s="1188"/>
      <c r="B608" s="1188"/>
      <c r="C608" s="1188"/>
      <c r="D608" s="1188"/>
      <c r="E608" s="1210"/>
      <c r="F608" s="1210"/>
      <c r="G608" s="1210"/>
      <c r="H608" s="1191"/>
      <c r="I608" s="1191"/>
      <c r="J608" s="1199"/>
      <c r="K608" s="1191"/>
      <c r="L608" s="1191"/>
      <c r="M608" s="1191"/>
      <c r="N608" s="1191"/>
      <c r="O608" s="1191"/>
      <c r="P608" s="1191"/>
      <c r="Q608" s="1199"/>
      <c r="R608" s="1191"/>
      <c r="S608" s="1191"/>
      <c r="T608" s="1191"/>
      <c r="U608" s="1191"/>
      <c r="V608" s="1191"/>
      <c r="W608" s="1191"/>
      <c r="X608" s="1191"/>
      <c r="Y608" s="1191"/>
      <c r="Z608" s="1191"/>
      <c r="AA608" s="1191"/>
      <c r="AB608" s="1191"/>
      <c r="AC608" s="1210"/>
      <c r="AD608" s="1210"/>
      <c r="AE608" s="1210"/>
      <c r="AF608" s="1210"/>
      <c r="AG608" s="1210"/>
      <c r="AH608" s="1210"/>
      <c r="AI608" s="1210"/>
      <c r="AJ608" s="1210"/>
      <c r="AK608" s="1210"/>
      <c r="AL608" s="1210"/>
    </row>
    <row r="609" spans="1:38" s="1179" customFormat="1">
      <c r="A609" s="1188"/>
      <c r="B609" s="1188"/>
      <c r="C609" s="1188"/>
      <c r="D609" s="1188"/>
      <c r="E609" s="1210"/>
      <c r="F609" s="1210"/>
      <c r="G609" s="1210"/>
      <c r="H609" s="1191"/>
      <c r="I609" s="1191"/>
      <c r="J609" s="1199"/>
      <c r="K609" s="1191"/>
      <c r="L609" s="1191"/>
      <c r="M609" s="1191"/>
      <c r="N609" s="1191"/>
      <c r="O609" s="1191"/>
      <c r="P609" s="1191"/>
      <c r="Q609" s="1199"/>
      <c r="R609" s="1191"/>
      <c r="S609" s="1191"/>
      <c r="T609" s="1191"/>
      <c r="U609" s="1191"/>
      <c r="V609" s="1191"/>
      <c r="W609" s="1191"/>
      <c r="X609" s="1191"/>
      <c r="Y609" s="1191"/>
      <c r="Z609" s="1191"/>
      <c r="AA609" s="1191"/>
      <c r="AB609" s="1191"/>
      <c r="AC609" s="1210"/>
      <c r="AD609" s="1210"/>
      <c r="AE609" s="1210"/>
      <c r="AF609" s="1210"/>
      <c r="AG609" s="1210"/>
      <c r="AH609" s="1210"/>
      <c r="AI609" s="1210"/>
      <c r="AJ609" s="1210"/>
      <c r="AK609" s="1210"/>
      <c r="AL609" s="1210"/>
    </row>
    <row r="610" spans="1:38" s="1179" customFormat="1">
      <c r="A610" s="1188"/>
      <c r="B610" s="1188"/>
      <c r="C610" s="1188"/>
      <c r="D610" s="1188"/>
      <c r="E610" s="1210"/>
      <c r="F610" s="1210"/>
      <c r="G610" s="1210"/>
      <c r="H610" s="1191"/>
      <c r="I610" s="1191"/>
      <c r="J610" s="1199"/>
      <c r="K610" s="1191"/>
      <c r="L610" s="1191"/>
      <c r="M610" s="1191"/>
      <c r="N610" s="1191"/>
      <c r="O610" s="1191"/>
      <c r="P610" s="1191"/>
      <c r="Q610" s="1199"/>
      <c r="R610" s="1191"/>
      <c r="S610" s="1191"/>
      <c r="T610" s="1191"/>
      <c r="U610" s="1191"/>
      <c r="V610" s="1191"/>
      <c r="W610" s="1191"/>
      <c r="X610" s="1191"/>
      <c r="Y610" s="1191"/>
      <c r="Z610" s="1191"/>
      <c r="AA610" s="1191"/>
      <c r="AB610" s="1191"/>
      <c r="AC610" s="1210"/>
      <c r="AD610" s="1210"/>
      <c r="AE610" s="1210"/>
      <c r="AF610" s="1210"/>
      <c r="AG610" s="1210"/>
      <c r="AH610" s="1210"/>
      <c r="AI610" s="1210"/>
      <c r="AJ610" s="1210"/>
      <c r="AK610" s="1210"/>
      <c r="AL610" s="1210"/>
    </row>
    <row r="611" spans="1:38" s="1179" customFormat="1">
      <c r="A611" s="1188"/>
      <c r="B611" s="1188"/>
      <c r="C611" s="1188"/>
      <c r="D611" s="1188"/>
      <c r="E611" s="1210"/>
      <c r="F611" s="1210"/>
      <c r="G611" s="1210"/>
      <c r="H611" s="1191"/>
      <c r="I611" s="1191"/>
      <c r="J611" s="1199"/>
      <c r="K611" s="1191"/>
      <c r="L611" s="1191"/>
      <c r="M611" s="1191"/>
      <c r="N611" s="1191"/>
      <c r="O611" s="1191"/>
      <c r="P611" s="1191"/>
      <c r="Q611" s="1199"/>
      <c r="R611" s="1191"/>
      <c r="S611" s="1191"/>
      <c r="T611" s="1191"/>
      <c r="U611" s="1191"/>
      <c r="V611" s="1191"/>
      <c r="W611" s="1191"/>
      <c r="X611" s="1191"/>
      <c r="Y611" s="1191"/>
      <c r="Z611" s="1191"/>
      <c r="AA611" s="1191"/>
      <c r="AB611" s="1191"/>
      <c r="AC611" s="1210"/>
      <c r="AD611" s="1210"/>
      <c r="AE611" s="1210"/>
      <c r="AF611" s="1210"/>
      <c r="AG611" s="1210"/>
      <c r="AH611" s="1210"/>
      <c r="AI611" s="1210"/>
      <c r="AJ611" s="1210"/>
      <c r="AK611" s="1210"/>
      <c r="AL611" s="1210"/>
    </row>
    <row r="612" spans="1:38" s="1179" customFormat="1">
      <c r="A612" s="1188"/>
      <c r="B612" s="1188"/>
      <c r="C612" s="1188"/>
      <c r="D612" s="1188"/>
      <c r="E612" s="1210"/>
      <c r="F612" s="1210"/>
      <c r="G612" s="1210"/>
      <c r="H612" s="1191"/>
      <c r="I612" s="1191"/>
      <c r="J612" s="1199"/>
      <c r="K612" s="1191"/>
      <c r="L612" s="1191"/>
      <c r="M612" s="1191"/>
      <c r="N612" s="1191"/>
      <c r="O612" s="1191"/>
      <c r="P612" s="1191"/>
      <c r="Q612" s="1199"/>
      <c r="R612" s="1191"/>
      <c r="S612" s="1191"/>
      <c r="T612" s="1191"/>
      <c r="U612" s="1191"/>
      <c r="V612" s="1191"/>
      <c r="W612" s="1191"/>
      <c r="X612" s="1191"/>
      <c r="Y612" s="1191"/>
      <c r="Z612" s="1191"/>
      <c r="AA612" s="1191"/>
      <c r="AB612" s="1191"/>
      <c r="AC612" s="1210"/>
      <c r="AD612" s="1210"/>
      <c r="AE612" s="1210"/>
      <c r="AF612" s="1210"/>
      <c r="AG612" s="1210"/>
      <c r="AH612" s="1210"/>
      <c r="AI612" s="1210"/>
      <c r="AJ612" s="1210"/>
      <c r="AK612" s="1210"/>
      <c r="AL612" s="1210"/>
    </row>
    <row r="613" spans="1:38" s="1179" customFormat="1">
      <c r="A613" s="1188"/>
      <c r="B613" s="1188"/>
      <c r="C613" s="1188"/>
      <c r="D613" s="1188"/>
      <c r="E613" s="1210"/>
      <c r="F613" s="1210"/>
      <c r="G613" s="1210"/>
      <c r="H613" s="1191"/>
      <c r="I613" s="1191"/>
      <c r="J613" s="1199"/>
      <c r="K613" s="1191"/>
      <c r="L613" s="1191"/>
      <c r="M613" s="1191"/>
      <c r="N613" s="1191"/>
      <c r="O613" s="1191"/>
      <c r="P613" s="1191"/>
      <c r="Q613" s="1199"/>
      <c r="R613" s="1191"/>
      <c r="S613" s="1191"/>
      <c r="T613" s="1191"/>
      <c r="U613" s="1191"/>
      <c r="V613" s="1191"/>
      <c r="W613" s="1191"/>
      <c r="X613" s="1191"/>
      <c r="Y613" s="1191"/>
      <c r="Z613" s="1191"/>
      <c r="AA613" s="1191"/>
      <c r="AB613" s="1191"/>
      <c r="AC613" s="1210"/>
      <c r="AD613" s="1210"/>
      <c r="AE613" s="1210"/>
      <c r="AF613" s="1210"/>
      <c r="AG613" s="1210"/>
      <c r="AH613" s="1210"/>
      <c r="AI613" s="1210"/>
      <c r="AJ613" s="1210"/>
      <c r="AK613" s="1210"/>
      <c r="AL613" s="1210"/>
    </row>
    <row r="614" spans="1:38" s="1179" customFormat="1">
      <c r="A614" s="1188"/>
      <c r="B614" s="1188"/>
      <c r="C614" s="1188"/>
      <c r="D614" s="1188"/>
      <c r="E614" s="1210"/>
      <c r="F614" s="1210"/>
      <c r="G614" s="1210"/>
      <c r="H614" s="1191"/>
      <c r="I614" s="1191"/>
      <c r="J614" s="1199"/>
      <c r="K614" s="1191"/>
      <c r="L614" s="1191"/>
      <c r="M614" s="1191"/>
      <c r="N614" s="1191"/>
      <c r="O614" s="1191"/>
      <c r="P614" s="1191"/>
      <c r="Q614" s="1199"/>
      <c r="R614" s="1191"/>
      <c r="S614" s="1191"/>
      <c r="T614" s="1191"/>
      <c r="U614" s="1191"/>
      <c r="V614" s="1191"/>
      <c r="W614" s="1191"/>
      <c r="X614" s="1191"/>
      <c r="Y614" s="1191"/>
      <c r="Z614" s="1191"/>
      <c r="AA614" s="1191"/>
      <c r="AB614" s="1191"/>
      <c r="AC614" s="1210"/>
      <c r="AD614" s="1210"/>
      <c r="AE614" s="1210"/>
      <c r="AF614" s="1210"/>
      <c r="AG614" s="1210"/>
      <c r="AH614" s="1210"/>
      <c r="AI614" s="1210"/>
      <c r="AJ614" s="1210"/>
      <c r="AK614" s="1210"/>
      <c r="AL614" s="1210"/>
    </row>
    <row r="615" spans="1:38" s="1179" customFormat="1">
      <c r="A615" s="1188"/>
      <c r="B615" s="1188"/>
      <c r="C615" s="1188"/>
      <c r="D615" s="1188"/>
      <c r="E615" s="1210"/>
      <c r="F615" s="1210"/>
      <c r="G615" s="1210"/>
      <c r="H615" s="1191"/>
      <c r="I615" s="1191"/>
      <c r="J615" s="1199"/>
      <c r="K615" s="1191"/>
      <c r="L615" s="1191"/>
      <c r="M615" s="1191"/>
      <c r="N615" s="1191"/>
      <c r="O615" s="1191"/>
      <c r="P615" s="1191"/>
      <c r="Q615" s="1199"/>
      <c r="R615" s="1191"/>
      <c r="S615" s="1191"/>
      <c r="T615" s="1191"/>
      <c r="U615" s="1191"/>
      <c r="V615" s="1191"/>
      <c r="W615" s="1191"/>
      <c r="X615" s="1191"/>
      <c r="Y615" s="1191"/>
      <c r="Z615" s="1191"/>
      <c r="AA615" s="1191"/>
      <c r="AB615" s="1191"/>
      <c r="AC615" s="1210"/>
      <c r="AD615" s="1210"/>
      <c r="AE615" s="1210"/>
      <c r="AF615" s="1210"/>
      <c r="AG615" s="1210"/>
      <c r="AH615" s="1210"/>
      <c r="AI615" s="1210"/>
      <c r="AJ615" s="1210"/>
      <c r="AK615" s="1210"/>
      <c r="AL615" s="1210"/>
    </row>
    <row r="616" spans="1:38" s="1179" customFormat="1">
      <c r="A616" s="1188"/>
      <c r="B616" s="1188"/>
      <c r="C616" s="1188"/>
      <c r="D616" s="1188"/>
      <c r="E616" s="1210"/>
      <c r="F616" s="1210"/>
      <c r="G616" s="1210"/>
      <c r="H616" s="1191"/>
      <c r="I616" s="1191"/>
      <c r="J616" s="1199"/>
      <c r="K616" s="1191"/>
      <c r="L616" s="1191"/>
      <c r="M616" s="1191"/>
      <c r="N616" s="1191"/>
      <c r="O616" s="1191"/>
      <c r="P616" s="1191"/>
      <c r="Q616" s="1199"/>
      <c r="R616" s="1191"/>
      <c r="S616" s="1191"/>
      <c r="T616" s="1191"/>
      <c r="U616" s="1191"/>
      <c r="V616" s="1191"/>
      <c r="W616" s="1191"/>
      <c r="X616" s="1191"/>
      <c r="Y616" s="1191"/>
      <c r="Z616" s="1191"/>
      <c r="AA616" s="1191"/>
      <c r="AB616" s="1191"/>
      <c r="AC616" s="1210"/>
      <c r="AD616" s="1210"/>
      <c r="AE616" s="1210"/>
      <c r="AF616" s="1210"/>
      <c r="AG616" s="1210"/>
      <c r="AH616" s="1210"/>
      <c r="AI616" s="1210"/>
      <c r="AJ616" s="1210"/>
      <c r="AK616" s="1210"/>
      <c r="AL616" s="1210"/>
    </row>
    <row r="617" spans="1:38" s="1179" customFormat="1">
      <c r="A617" s="1188"/>
      <c r="B617" s="1188"/>
      <c r="C617" s="1188"/>
      <c r="D617" s="1188"/>
      <c r="E617" s="1210"/>
      <c r="F617" s="1210"/>
      <c r="G617" s="1210"/>
      <c r="H617" s="1191"/>
      <c r="I617" s="1191"/>
      <c r="J617" s="1199"/>
      <c r="K617" s="1191"/>
      <c r="L617" s="1191"/>
      <c r="M617" s="1191"/>
      <c r="N617" s="1191"/>
      <c r="O617" s="1191"/>
      <c r="P617" s="1191"/>
      <c r="Q617" s="1199"/>
      <c r="R617" s="1191"/>
      <c r="S617" s="1191"/>
      <c r="T617" s="1191"/>
      <c r="U617" s="1191"/>
      <c r="V617" s="1191"/>
      <c r="W617" s="1191"/>
      <c r="X617" s="1191"/>
      <c r="Y617" s="1191"/>
      <c r="Z617" s="1191"/>
      <c r="AA617" s="1191"/>
      <c r="AB617" s="1191"/>
      <c r="AC617" s="1210"/>
      <c r="AD617" s="1210"/>
      <c r="AE617" s="1210"/>
      <c r="AF617" s="1210"/>
      <c r="AG617" s="1210"/>
      <c r="AH617" s="1210"/>
      <c r="AI617" s="1210"/>
      <c r="AJ617" s="1210"/>
      <c r="AK617" s="1210"/>
      <c r="AL617" s="1210"/>
    </row>
    <row r="618" spans="1:38" s="1179" customFormat="1">
      <c r="A618" s="1188"/>
      <c r="B618" s="1188"/>
      <c r="C618" s="1188"/>
      <c r="D618" s="1188"/>
      <c r="E618" s="1210"/>
      <c r="F618" s="1210"/>
      <c r="G618" s="1210"/>
      <c r="H618" s="1191"/>
      <c r="I618" s="1191"/>
      <c r="J618" s="1199"/>
      <c r="K618" s="1191"/>
      <c r="L618" s="1191"/>
      <c r="M618" s="1191"/>
      <c r="N618" s="1191"/>
      <c r="O618" s="1191"/>
      <c r="P618" s="1191"/>
      <c r="Q618" s="1199"/>
      <c r="R618" s="1191"/>
      <c r="S618" s="1191"/>
      <c r="T618" s="1191"/>
      <c r="U618" s="1191"/>
      <c r="V618" s="1191"/>
      <c r="W618" s="1191"/>
      <c r="X618" s="1191"/>
      <c r="Y618" s="1191"/>
      <c r="Z618" s="1191"/>
      <c r="AA618" s="1191"/>
      <c r="AB618" s="1191"/>
      <c r="AC618" s="1210"/>
      <c r="AD618" s="1210"/>
      <c r="AE618" s="1210"/>
      <c r="AF618" s="1210"/>
      <c r="AG618" s="1210"/>
      <c r="AH618" s="1210"/>
      <c r="AI618" s="1210"/>
      <c r="AJ618" s="1210"/>
      <c r="AK618" s="1210"/>
      <c r="AL618" s="1210"/>
    </row>
    <row r="619" spans="1:38" s="1179" customFormat="1">
      <c r="A619" s="1188"/>
      <c r="B619" s="1188"/>
      <c r="C619" s="1188"/>
      <c r="D619" s="1188"/>
      <c r="E619" s="1210"/>
      <c r="F619" s="1210"/>
      <c r="G619" s="1210"/>
      <c r="H619" s="1191"/>
      <c r="I619" s="1191"/>
      <c r="J619" s="1199"/>
      <c r="K619" s="1191"/>
      <c r="L619" s="1191"/>
      <c r="M619" s="1191"/>
      <c r="N619" s="1191"/>
      <c r="O619" s="1191"/>
      <c r="P619" s="1191"/>
      <c r="Q619" s="1199"/>
      <c r="R619" s="1191"/>
      <c r="S619" s="1191"/>
      <c r="T619" s="1191"/>
      <c r="U619" s="1191"/>
      <c r="V619" s="1191"/>
      <c r="W619" s="1191"/>
      <c r="X619" s="1191"/>
      <c r="Y619" s="1191"/>
      <c r="Z619" s="1191"/>
      <c r="AA619" s="1191"/>
      <c r="AB619" s="1191"/>
      <c r="AC619" s="1210"/>
      <c r="AD619" s="1210"/>
      <c r="AE619" s="1210"/>
      <c r="AF619" s="1210"/>
      <c r="AG619" s="1210"/>
      <c r="AH619" s="1210"/>
      <c r="AI619" s="1210"/>
      <c r="AJ619" s="1210"/>
      <c r="AK619" s="1210"/>
      <c r="AL619" s="1210"/>
    </row>
    <row r="620" spans="1:38" s="1179" customFormat="1">
      <c r="A620" s="1188"/>
      <c r="B620" s="1188"/>
      <c r="C620" s="1188"/>
      <c r="D620" s="1188"/>
      <c r="E620" s="1210"/>
      <c r="F620" s="1210"/>
      <c r="G620" s="1210"/>
      <c r="H620" s="1191"/>
      <c r="I620" s="1191"/>
      <c r="J620" s="1199"/>
      <c r="K620" s="1191"/>
      <c r="L620" s="1191"/>
      <c r="M620" s="1191"/>
      <c r="N620" s="1191"/>
      <c r="O620" s="1191"/>
      <c r="P620" s="1191"/>
      <c r="Q620" s="1199"/>
      <c r="R620" s="1191"/>
      <c r="S620" s="1191"/>
      <c r="T620" s="1191"/>
      <c r="U620" s="1191"/>
      <c r="V620" s="1191"/>
      <c r="W620" s="1191"/>
      <c r="X620" s="1191"/>
      <c r="Y620" s="1191"/>
      <c r="Z620" s="1191"/>
      <c r="AA620" s="1191"/>
      <c r="AB620" s="1191"/>
      <c r="AC620" s="1210"/>
      <c r="AD620" s="1210"/>
      <c r="AE620" s="1210"/>
      <c r="AF620" s="1210"/>
      <c r="AG620" s="1210"/>
      <c r="AH620" s="1210"/>
      <c r="AI620" s="1210"/>
      <c r="AJ620" s="1210"/>
      <c r="AK620" s="1210"/>
      <c r="AL620" s="1210"/>
    </row>
    <row r="621" spans="1:38" s="1179" customFormat="1">
      <c r="A621" s="1188"/>
      <c r="B621" s="1188"/>
      <c r="C621" s="1188"/>
      <c r="D621" s="1188"/>
      <c r="E621" s="1210"/>
      <c r="F621" s="1210"/>
      <c r="G621" s="1210"/>
      <c r="H621" s="1191"/>
      <c r="I621" s="1191"/>
      <c r="J621" s="1199"/>
      <c r="K621" s="1191"/>
      <c r="L621" s="1191"/>
      <c r="M621" s="1191"/>
      <c r="N621" s="1191"/>
      <c r="O621" s="1191"/>
      <c r="P621" s="1191"/>
      <c r="Q621" s="1199"/>
      <c r="R621" s="1191"/>
      <c r="S621" s="1191"/>
      <c r="T621" s="1191"/>
      <c r="U621" s="1191"/>
      <c r="V621" s="1191"/>
      <c r="W621" s="1191"/>
      <c r="X621" s="1191"/>
      <c r="Y621" s="1191"/>
      <c r="Z621" s="1191"/>
      <c r="AA621" s="1191"/>
      <c r="AB621" s="1191"/>
      <c r="AC621" s="1210"/>
      <c r="AD621" s="1210"/>
      <c r="AE621" s="1210"/>
      <c r="AF621" s="1210"/>
      <c r="AG621" s="1210"/>
      <c r="AH621" s="1210"/>
      <c r="AI621" s="1210"/>
      <c r="AJ621" s="1210"/>
      <c r="AK621" s="1210"/>
      <c r="AL621" s="1210"/>
    </row>
    <row r="622" spans="1:38" s="1179" customFormat="1">
      <c r="A622" s="1188"/>
      <c r="B622" s="1188"/>
      <c r="C622" s="1188"/>
      <c r="D622" s="1188"/>
      <c r="E622" s="1210"/>
      <c r="F622" s="1210"/>
      <c r="G622" s="1210"/>
      <c r="H622" s="1191"/>
      <c r="I622" s="1191"/>
      <c r="J622" s="1199"/>
      <c r="K622" s="1191"/>
      <c r="L622" s="1191"/>
      <c r="M622" s="1191"/>
      <c r="N622" s="1191"/>
      <c r="O622" s="1191"/>
      <c r="P622" s="1191"/>
      <c r="Q622" s="1199"/>
      <c r="R622" s="1191"/>
      <c r="S622" s="1191"/>
      <c r="T622" s="1191"/>
      <c r="U622" s="1191"/>
      <c r="V622" s="1191"/>
      <c r="W622" s="1191"/>
      <c r="X622" s="1191"/>
      <c r="Y622" s="1191"/>
      <c r="Z622" s="1191"/>
      <c r="AA622" s="1191"/>
      <c r="AB622" s="1191"/>
      <c r="AC622" s="1210"/>
      <c r="AD622" s="1210"/>
      <c r="AE622" s="1210"/>
      <c r="AF622" s="1210"/>
      <c r="AG622" s="1210"/>
      <c r="AH622" s="1210"/>
      <c r="AI622" s="1210"/>
      <c r="AJ622" s="1210"/>
      <c r="AK622" s="1210"/>
      <c r="AL622" s="1210"/>
    </row>
    <row r="623" spans="1:38" s="1179" customFormat="1">
      <c r="A623" s="1188"/>
      <c r="B623" s="1188"/>
      <c r="C623" s="1188"/>
      <c r="D623" s="1188"/>
      <c r="E623" s="1210"/>
      <c r="F623" s="1210"/>
      <c r="G623" s="1210"/>
      <c r="H623" s="1191"/>
      <c r="I623" s="1191"/>
      <c r="J623" s="1199"/>
      <c r="K623" s="1191"/>
      <c r="L623" s="1191"/>
      <c r="M623" s="1191"/>
      <c r="N623" s="1191"/>
      <c r="O623" s="1191"/>
      <c r="P623" s="1191"/>
      <c r="Q623" s="1199"/>
      <c r="R623" s="1191"/>
      <c r="S623" s="1191"/>
      <c r="T623" s="1191"/>
      <c r="U623" s="1191"/>
      <c r="V623" s="1191"/>
      <c r="W623" s="1191"/>
      <c r="X623" s="1191"/>
      <c r="Y623" s="1191"/>
      <c r="Z623" s="1191"/>
      <c r="AA623" s="1191"/>
      <c r="AB623" s="1191"/>
      <c r="AC623" s="1210"/>
      <c r="AD623" s="1210"/>
      <c r="AE623" s="1210"/>
      <c r="AF623" s="1210"/>
      <c r="AG623" s="1210"/>
      <c r="AH623" s="1210"/>
      <c r="AI623" s="1210"/>
      <c r="AJ623" s="1210"/>
      <c r="AK623" s="1210"/>
      <c r="AL623" s="1210"/>
    </row>
    <row r="624" spans="1:38" s="1179" customFormat="1">
      <c r="A624" s="1188"/>
      <c r="B624" s="1188"/>
      <c r="C624" s="1188"/>
      <c r="D624" s="1188"/>
      <c r="E624" s="1210"/>
      <c r="F624" s="1210"/>
      <c r="G624" s="1210"/>
      <c r="H624" s="1191"/>
      <c r="I624" s="1191"/>
      <c r="J624" s="1199"/>
      <c r="K624" s="1191"/>
      <c r="L624" s="1191"/>
      <c r="M624" s="1191"/>
      <c r="N624" s="1191"/>
      <c r="O624" s="1191"/>
      <c r="P624" s="1191"/>
      <c r="Q624" s="1199"/>
      <c r="R624" s="1191"/>
      <c r="S624" s="1191"/>
      <c r="T624" s="1191"/>
      <c r="U624" s="1191"/>
      <c r="V624" s="1191"/>
      <c r="W624" s="1191"/>
      <c r="X624" s="1191"/>
      <c r="Y624" s="1191"/>
      <c r="Z624" s="1191"/>
      <c r="AA624" s="1191"/>
      <c r="AB624" s="1191"/>
      <c r="AC624" s="1210"/>
      <c r="AD624" s="1210"/>
      <c r="AE624" s="1210"/>
      <c r="AF624" s="1210"/>
      <c r="AG624" s="1210"/>
      <c r="AH624" s="1210"/>
      <c r="AI624" s="1210"/>
      <c r="AJ624" s="1210"/>
      <c r="AK624" s="1210"/>
      <c r="AL624" s="1210"/>
    </row>
    <row r="625" spans="1:38" s="1179" customFormat="1">
      <c r="A625" s="1188"/>
      <c r="B625" s="1188"/>
      <c r="C625" s="1188"/>
      <c r="D625" s="1188"/>
      <c r="E625" s="1210"/>
      <c r="F625" s="1210"/>
      <c r="G625" s="1210"/>
      <c r="H625" s="1191"/>
      <c r="I625" s="1191"/>
      <c r="J625" s="1199"/>
      <c r="K625" s="1191"/>
      <c r="L625" s="1191"/>
      <c r="M625" s="1191"/>
      <c r="N625" s="1191"/>
      <c r="O625" s="1191"/>
      <c r="P625" s="1191"/>
      <c r="Q625" s="1199"/>
      <c r="R625" s="1191"/>
      <c r="S625" s="1191"/>
      <c r="T625" s="1191"/>
      <c r="U625" s="1191"/>
      <c r="V625" s="1191"/>
      <c r="W625" s="1191"/>
      <c r="X625" s="1191"/>
      <c r="Y625" s="1191"/>
      <c r="Z625" s="1191"/>
      <c r="AA625" s="1191"/>
      <c r="AB625" s="1191"/>
      <c r="AC625" s="1210"/>
      <c r="AD625" s="1210"/>
      <c r="AE625" s="1210"/>
      <c r="AF625" s="1210"/>
      <c r="AG625" s="1210"/>
      <c r="AH625" s="1210"/>
      <c r="AI625" s="1210"/>
      <c r="AJ625" s="1210"/>
      <c r="AK625" s="1210"/>
      <c r="AL625" s="1210"/>
    </row>
    <row r="626" spans="1:38" s="1179" customFormat="1">
      <c r="A626" s="1188"/>
      <c r="B626" s="1188"/>
      <c r="C626" s="1188"/>
      <c r="D626" s="1188"/>
      <c r="E626" s="1210"/>
      <c r="F626" s="1210"/>
      <c r="G626" s="1210"/>
      <c r="H626" s="1191"/>
      <c r="I626" s="1191"/>
      <c r="J626" s="1199"/>
      <c r="K626" s="1191"/>
      <c r="L626" s="1191"/>
      <c r="M626" s="1191"/>
      <c r="N626" s="1191"/>
      <c r="O626" s="1191"/>
      <c r="P626" s="1191"/>
      <c r="Q626" s="1199"/>
      <c r="R626" s="1191"/>
      <c r="S626" s="1191"/>
      <c r="T626" s="1191"/>
      <c r="U626" s="1191"/>
      <c r="V626" s="1191"/>
      <c r="W626" s="1191"/>
      <c r="X626" s="1191"/>
      <c r="Y626" s="1191"/>
      <c r="Z626" s="1191"/>
      <c r="AA626" s="1191"/>
      <c r="AB626" s="1191"/>
      <c r="AC626" s="1210"/>
      <c r="AD626" s="1210"/>
      <c r="AE626" s="1210"/>
      <c r="AF626" s="1210"/>
      <c r="AG626" s="1210"/>
      <c r="AH626" s="1210"/>
      <c r="AI626" s="1210"/>
      <c r="AJ626" s="1210"/>
      <c r="AK626" s="1210"/>
      <c r="AL626" s="1210"/>
    </row>
    <row r="627" spans="1:38" s="1179" customFormat="1">
      <c r="A627" s="1188"/>
      <c r="B627" s="1188"/>
      <c r="C627" s="1188"/>
      <c r="D627" s="1188"/>
      <c r="E627" s="1210"/>
      <c r="F627" s="1210"/>
      <c r="G627" s="1210"/>
      <c r="H627" s="1191"/>
      <c r="I627" s="1191"/>
      <c r="J627" s="1199"/>
      <c r="K627" s="1191"/>
      <c r="L627" s="1191"/>
      <c r="M627" s="1191"/>
      <c r="N627" s="1191"/>
      <c r="O627" s="1191"/>
      <c r="P627" s="1191"/>
      <c r="Q627" s="1199"/>
      <c r="R627" s="1191"/>
      <c r="S627" s="1191"/>
      <c r="T627" s="1191"/>
      <c r="U627" s="1191"/>
      <c r="V627" s="1191"/>
      <c r="W627" s="1191"/>
      <c r="X627" s="1191"/>
      <c r="Y627" s="1191"/>
      <c r="Z627" s="1191"/>
      <c r="AA627" s="1191"/>
      <c r="AB627" s="1191"/>
      <c r="AC627" s="1210"/>
      <c r="AD627" s="1210"/>
      <c r="AE627" s="1210"/>
      <c r="AF627" s="1210"/>
      <c r="AG627" s="1210"/>
      <c r="AH627" s="1210"/>
      <c r="AI627" s="1210"/>
      <c r="AJ627" s="1210"/>
      <c r="AK627" s="1210"/>
      <c r="AL627" s="1210"/>
    </row>
    <row r="628" spans="1:38" s="1179" customFormat="1">
      <c r="A628" s="1188"/>
      <c r="B628" s="1188"/>
      <c r="C628" s="1188"/>
      <c r="D628" s="1188"/>
      <c r="E628" s="1210"/>
      <c r="F628" s="1210"/>
      <c r="G628" s="1210"/>
      <c r="H628" s="1191"/>
      <c r="I628" s="1191"/>
      <c r="J628" s="1199"/>
      <c r="K628" s="1191"/>
      <c r="L628" s="1191"/>
      <c r="M628" s="1191"/>
      <c r="N628" s="1191"/>
      <c r="O628" s="1191"/>
      <c r="P628" s="1191"/>
      <c r="Q628" s="1199"/>
      <c r="R628" s="1191"/>
      <c r="S628" s="1191"/>
      <c r="T628" s="1191"/>
      <c r="U628" s="1191"/>
      <c r="V628" s="1191"/>
      <c r="W628" s="1191"/>
      <c r="X628" s="1191"/>
      <c r="Y628" s="1191"/>
      <c r="Z628" s="1191"/>
      <c r="AA628" s="1191"/>
      <c r="AB628" s="1191"/>
      <c r="AC628" s="1210"/>
      <c r="AD628" s="1210"/>
      <c r="AE628" s="1210"/>
      <c r="AF628" s="1210"/>
      <c r="AG628" s="1210"/>
      <c r="AH628" s="1210"/>
      <c r="AI628" s="1210"/>
      <c r="AJ628" s="1210"/>
      <c r="AK628" s="1210"/>
      <c r="AL628" s="1210"/>
    </row>
    <row r="629" spans="1:38" s="1179" customFormat="1">
      <c r="A629" s="1188"/>
      <c r="B629" s="1188"/>
      <c r="C629" s="1188"/>
      <c r="D629" s="1188"/>
      <c r="E629" s="1210"/>
      <c r="F629" s="1210"/>
      <c r="G629" s="1210"/>
      <c r="H629" s="1191"/>
      <c r="I629" s="1191"/>
      <c r="J629" s="1199"/>
      <c r="K629" s="1191"/>
      <c r="L629" s="1191"/>
      <c r="M629" s="1191"/>
      <c r="N629" s="1191"/>
      <c r="O629" s="1191"/>
      <c r="P629" s="1191"/>
      <c r="Q629" s="1199"/>
      <c r="R629" s="1191"/>
      <c r="S629" s="1191"/>
      <c r="T629" s="1191"/>
      <c r="U629" s="1191"/>
      <c r="V629" s="1191"/>
      <c r="W629" s="1191"/>
      <c r="X629" s="1191"/>
      <c r="Y629" s="1191"/>
      <c r="Z629" s="1191"/>
      <c r="AA629" s="1191"/>
      <c r="AB629" s="1191"/>
      <c r="AC629" s="1210"/>
      <c r="AD629" s="1210"/>
      <c r="AE629" s="1210"/>
      <c r="AF629" s="1210"/>
      <c r="AG629" s="1210"/>
      <c r="AH629" s="1210"/>
      <c r="AI629" s="1210"/>
      <c r="AJ629" s="1210"/>
      <c r="AK629" s="1210"/>
      <c r="AL629" s="1210"/>
    </row>
    <row r="630" spans="1:38" s="1179" customFormat="1">
      <c r="A630" s="1188"/>
      <c r="B630" s="1188"/>
      <c r="C630" s="1188"/>
      <c r="D630" s="1188"/>
      <c r="E630" s="1210"/>
      <c r="F630" s="1210"/>
      <c r="G630" s="1210"/>
      <c r="H630" s="1191"/>
      <c r="I630" s="1191"/>
      <c r="J630" s="1199"/>
      <c r="K630" s="1191"/>
      <c r="L630" s="1191"/>
      <c r="M630" s="1191"/>
      <c r="N630" s="1191"/>
      <c r="O630" s="1191"/>
      <c r="P630" s="1191"/>
      <c r="Q630" s="1199"/>
      <c r="R630" s="1191"/>
      <c r="S630" s="1191"/>
      <c r="T630" s="1191"/>
      <c r="U630" s="1191"/>
      <c r="V630" s="1191"/>
      <c r="W630" s="1191"/>
      <c r="X630" s="1191"/>
      <c r="Y630" s="1191"/>
      <c r="Z630" s="1191"/>
      <c r="AA630" s="1191"/>
      <c r="AB630" s="1191"/>
      <c r="AC630" s="1210"/>
      <c r="AD630" s="1210"/>
      <c r="AE630" s="1210"/>
      <c r="AF630" s="1210"/>
      <c r="AG630" s="1210"/>
      <c r="AH630" s="1210"/>
      <c r="AI630" s="1210"/>
      <c r="AJ630" s="1210"/>
      <c r="AK630" s="1210"/>
      <c r="AL630" s="1210"/>
    </row>
    <row r="631" spans="1:38" s="1179" customFormat="1">
      <c r="A631" s="1188"/>
      <c r="B631" s="1188"/>
      <c r="C631" s="1188"/>
      <c r="D631" s="1188"/>
      <c r="E631" s="1210"/>
      <c r="F631" s="1210"/>
      <c r="G631" s="1210"/>
      <c r="H631" s="1191"/>
      <c r="I631" s="1191"/>
      <c r="J631" s="1199"/>
      <c r="K631" s="1191"/>
      <c r="L631" s="1191"/>
      <c r="M631" s="1191"/>
      <c r="N631" s="1191"/>
      <c r="O631" s="1191"/>
      <c r="P631" s="1191"/>
      <c r="Q631" s="1199"/>
      <c r="R631" s="1191"/>
      <c r="S631" s="1191"/>
      <c r="T631" s="1191"/>
      <c r="U631" s="1191"/>
      <c r="V631" s="1191"/>
      <c r="W631" s="1191"/>
      <c r="X631" s="1191"/>
      <c r="Y631" s="1191"/>
      <c r="Z631" s="1191"/>
      <c r="AA631" s="1191"/>
      <c r="AB631" s="1191"/>
      <c r="AC631" s="1210"/>
      <c r="AD631" s="1210"/>
      <c r="AE631" s="1210"/>
      <c r="AF631" s="1210"/>
      <c r="AG631" s="1210"/>
      <c r="AH631" s="1210"/>
      <c r="AI631" s="1210"/>
      <c r="AJ631" s="1210"/>
      <c r="AK631" s="1210"/>
      <c r="AL631" s="1210"/>
    </row>
    <row r="632" spans="1:38" s="1179" customFormat="1">
      <c r="A632" s="1188"/>
      <c r="B632" s="1188"/>
      <c r="C632" s="1188"/>
      <c r="D632" s="1188"/>
      <c r="E632" s="1210"/>
      <c r="F632" s="1210"/>
      <c r="G632" s="1210"/>
      <c r="H632" s="1191"/>
      <c r="I632" s="1191"/>
      <c r="J632" s="1199"/>
      <c r="K632" s="1191"/>
      <c r="L632" s="1191"/>
      <c r="M632" s="1191"/>
      <c r="N632" s="1191"/>
      <c r="O632" s="1191"/>
      <c r="P632" s="1191"/>
      <c r="Q632" s="1199"/>
      <c r="R632" s="1191"/>
      <c r="S632" s="1191"/>
      <c r="T632" s="1191"/>
      <c r="U632" s="1191"/>
      <c r="V632" s="1191"/>
      <c r="W632" s="1191"/>
      <c r="X632" s="1191"/>
      <c r="Y632" s="1191"/>
      <c r="Z632" s="1191"/>
      <c r="AA632" s="1191"/>
      <c r="AB632" s="1191"/>
      <c r="AC632" s="1210"/>
      <c r="AD632" s="1210"/>
      <c r="AE632" s="1210"/>
      <c r="AF632" s="1210"/>
      <c r="AG632" s="1210"/>
      <c r="AH632" s="1210"/>
      <c r="AI632" s="1210"/>
      <c r="AJ632" s="1210"/>
      <c r="AK632" s="1210"/>
      <c r="AL632" s="1210"/>
    </row>
    <row r="633" spans="1:38" s="1179" customFormat="1">
      <c r="A633" s="1188"/>
      <c r="B633" s="1188"/>
      <c r="C633" s="1188"/>
      <c r="D633" s="1188"/>
      <c r="E633" s="1210"/>
      <c r="F633" s="1210"/>
      <c r="G633" s="1210"/>
      <c r="H633" s="1191"/>
      <c r="I633" s="1191"/>
      <c r="J633" s="1199"/>
      <c r="K633" s="1191"/>
      <c r="L633" s="1191"/>
      <c r="M633" s="1191"/>
      <c r="N633" s="1191"/>
      <c r="O633" s="1191"/>
      <c r="P633" s="1191"/>
      <c r="Q633" s="1199"/>
      <c r="R633" s="1191"/>
      <c r="S633" s="1191"/>
      <c r="T633" s="1191"/>
      <c r="U633" s="1191"/>
      <c r="V633" s="1191"/>
      <c r="W633" s="1191"/>
      <c r="X633" s="1191"/>
      <c r="Y633" s="1191"/>
      <c r="Z633" s="1191"/>
      <c r="AA633" s="1191"/>
      <c r="AB633" s="1191"/>
      <c r="AC633" s="1210"/>
      <c r="AD633" s="1210"/>
      <c r="AE633" s="1210"/>
      <c r="AF633" s="1210"/>
      <c r="AG633" s="1210"/>
      <c r="AH633" s="1210"/>
      <c r="AI633" s="1210"/>
      <c r="AJ633" s="1210"/>
      <c r="AK633" s="1210"/>
      <c r="AL633" s="1210"/>
    </row>
    <row r="634" spans="1:38" s="1179" customFormat="1">
      <c r="A634" s="1188"/>
      <c r="B634" s="1188"/>
      <c r="C634" s="1188"/>
      <c r="D634" s="1188"/>
      <c r="E634" s="1210"/>
      <c r="F634" s="1210"/>
      <c r="G634" s="1210"/>
      <c r="H634" s="1191"/>
      <c r="I634" s="1191"/>
      <c r="J634" s="1199"/>
      <c r="K634" s="1191"/>
      <c r="L634" s="1191"/>
      <c r="M634" s="1191"/>
      <c r="N634" s="1191"/>
      <c r="O634" s="1191"/>
      <c r="P634" s="1191"/>
      <c r="Q634" s="1199"/>
      <c r="R634" s="1191"/>
      <c r="S634" s="1191"/>
      <c r="T634" s="1191"/>
      <c r="U634" s="1191"/>
      <c r="V634" s="1191"/>
      <c r="W634" s="1191"/>
      <c r="X634" s="1191"/>
      <c r="Y634" s="1191"/>
      <c r="Z634" s="1191"/>
      <c r="AA634" s="1191"/>
      <c r="AB634" s="1191"/>
      <c r="AC634" s="1210"/>
      <c r="AD634" s="1210"/>
      <c r="AE634" s="1210"/>
      <c r="AF634" s="1210"/>
      <c r="AG634" s="1210"/>
      <c r="AH634" s="1210"/>
      <c r="AI634" s="1210"/>
      <c r="AJ634" s="1210"/>
      <c r="AK634" s="1210"/>
      <c r="AL634" s="1210"/>
    </row>
    <row r="635" spans="1:38" s="1179" customFormat="1">
      <c r="A635" s="1188"/>
      <c r="B635" s="1188"/>
      <c r="C635" s="1188"/>
      <c r="D635" s="1188"/>
      <c r="E635" s="1210"/>
      <c r="F635" s="1210"/>
      <c r="G635" s="1210"/>
      <c r="H635" s="1191"/>
      <c r="I635" s="1191"/>
      <c r="J635" s="1199"/>
      <c r="K635" s="1191"/>
      <c r="L635" s="1191"/>
      <c r="M635" s="1191"/>
      <c r="N635" s="1191"/>
      <c r="O635" s="1191"/>
      <c r="P635" s="1191"/>
      <c r="Q635" s="1199"/>
      <c r="R635" s="1191"/>
      <c r="S635" s="1191"/>
      <c r="T635" s="1191"/>
      <c r="U635" s="1191"/>
      <c r="V635" s="1191"/>
      <c r="W635" s="1191"/>
      <c r="X635" s="1191"/>
      <c r="Y635" s="1191"/>
      <c r="Z635" s="1191"/>
      <c r="AA635" s="1191"/>
      <c r="AB635" s="1191"/>
      <c r="AC635" s="1210"/>
      <c r="AD635" s="1210"/>
      <c r="AE635" s="1210"/>
      <c r="AF635" s="1210"/>
      <c r="AG635" s="1210"/>
      <c r="AH635" s="1210"/>
      <c r="AI635" s="1210"/>
      <c r="AJ635" s="1210"/>
      <c r="AK635" s="1210"/>
      <c r="AL635" s="1210"/>
    </row>
    <row r="636" spans="1:38" s="1179" customFormat="1">
      <c r="A636" s="1188"/>
      <c r="B636" s="1188"/>
      <c r="C636" s="1188"/>
      <c r="D636" s="1188"/>
      <c r="E636" s="1210"/>
      <c r="F636" s="1210"/>
      <c r="G636" s="1210"/>
      <c r="H636" s="1191"/>
      <c r="I636" s="1191"/>
      <c r="J636" s="1199"/>
      <c r="K636" s="1191"/>
      <c r="L636" s="1191"/>
      <c r="M636" s="1191"/>
      <c r="N636" s="1191"/>
      <c r="O636" s="1191"/>
      <c r="P636" s="1191"/>
      <c r="Q636" s="1199"/>
      <c r="R636" s="1191"/>
      <c r="S636" s="1191"/>
      <c r="T636" s="1191"/>
      <c r="U636" s="1191"/>
      <c r="V636" s="1191"/>
      <c r="W636" s="1191"/>
      <c r="X636" s="1191"/>
      <c r="Y636" s="1191"/>
      <c r="Z636" s="1191"/>
      <c r="AA636" s="1191"/>
      <c r="AB636" s="1191"/>
      <c r="AC636" s="1210"/>
      <c r="AD636" s="1210"/>
      <c r="AE636" s="1210"/>
      <c r="AF636" s="1210"/>
      <c r="AG636" s="1210"/>
      <c r="AH636" s="1210"/>
      <c r="AI636" s="1210"/>
      <c r="AJ636" s="1210"/>
      <c r="AK636" s="1210"/>
      <c r="AL636" s="1210"/>
    </row>
    <row r="637" spans="1:38" s="1179" customFormat="1">
      <c r="A637" s="1188"/>
      <c r="B637" s="1188"/>
      <c r="C637" s="1188"/>
      <c r="D637" s="1188"/>
      <c r="E637" s="1210"/>
      <c r="F637" s="1210"/>
      <c r="G637" s="1210"/>
      <c r="H637" s="1191"/>
      <c r="I637" s="1191"/>
      <c r="J637" s="1199"/>
      <c r="K637" s="1191"/>
      <c r="L637" s="1191"/>
      <c r="M637" s="1191"/>
      <c r="N637" s="1191"/>
      <c r="O637" s="1191"/>
      <c r="P637" s="1191"/>
      <c r="Q637" s="1199"/>
      <c r="R637" s="1191"/>
      <c r="S637" s="1191"/>
      <c r="T637" s="1191"/>
      <c r="U637" s="1191"/>
      <c r="V637" s="1191"/>
      <c r="W637" s="1191"/>
      <c r="X637" s="1191"/>
      <c r="Y637" s="1191"/>
      <c r="Z637" s="1191"/>
      <c r="AA637" s="1191"/>
      <c r="AB637" s="1191"/>
      <c r="AC637" s="1210"/>
      <c r="AD637" s="1210"/>
      <c r="AE637" s="1210"/>
      <c r="AF637" s="1210"/>
      <c r="AG637" s="1210"/>
      <c r="AH637" s="1210"/>
      <c r="AI637" s="1210"/>
      <c r="AJ637" s="1210"/>
      <c r="AK637" s="1210"/>
      <c r="AL637" s="1210"/>
    </row>
    <row r="638" spans="1:38" s="1179" customFormat="1">
      <c r="A638" s="1188"/>
      <c r="B638" s="1188"/>
      <c r="C638" s="1188"/>
      <c r="D638" s="1188"/>
      <c r="E638" s="1210"/>
      <c r="F638" s="1210"/>
      <c r="G638" s="1210"/>
      <c r="H638" s="1191"/>
      <c r="I638" s="1191"/>
      <c r="J638" s="1199"/>
      <c r="K638" s="1191"/>
      <c r="L638" s="1191"/>
      <c r="M638" s="1191"/>
      <c r="N638" s="1191"/>
      <c r="O638" s="1191"/>
      <c r="P638" s="1191"/>
      <c r="Q638" s="1199"/>
      <c r="R638" s="1191"/>
      <c r="S638" s="1191"/>
      <c r="T638" s="1191"/>
      <c r="U638" s="1191"/>
      <c r="V638" s="1191"/>
      <c r="W638" s="1191"/>
      <c r="X638" s="1191"/>
      <c r="Y638" s="1191"/>
      <c r="Z638" s="1191"/>
      <c r="AA638" s="1191"/>
      <c r="AB638" s="1191"/>
      <c r="AC638" s="1210"/>
      <c r="AD638" s="1210"/>
      <c r="AE638" s="1210"/>
      <c r="AF638" s="1210"/>
      <c r="AG638" s="1210"/>
      <c r="AH638" s="1210"/>
      <c r="AI638" s="1210"/>
      <c r="AJ638" s="1210"/>
      <c r="AK638" s="1210"/>
      <c r="AL638" s="1210"/>
    </row>
    <row r="639" spans="1:38" s="1179" customFormat="1">
      <c r="A639" s="1188"/>
      <c r="B639" s="1188"/>
      <c r="C639" s="1188"/>
      <c r="D639" s="1188"/>
      <c r="E639" s="1210"/>
      <c r="F639" s="1210"/>
      <c r="G639" s="1210"/>
      <c r="H639" s="1191"/>
      <c r="I639" s="1191"/>
      <c r="J639" s="1199"/>
      <c r="K639" s="1191"/>
      <c r="L639" s="1191"/>
      <c r="M639" s="1191"/>
      <c r="N639" s="1191"/>
      <c r="O639" s="1191"/>
      <c r="P639" s="1191"/>
      <c r="Q639" s="1199"/>
      <c r="R639" s="1191"/>
      <c r="S639" s="1191"/>
      <c r="T639" s="1191"/>
      <c r="U639" s="1191"/>
      <c r="V639" s="1191"/>
      <c r="W639" s="1191"/>
      <c r="X639" s="1191"/>
      <c r="Y639" s="1191"/>
      <c r="Z639" s="1191"/>
      <c r="AA639" s="1191"/>
      <c r="AB639" s="1191"/>
      <c r="AC639" s="1210"/>
      <c r="AD639" s="1210"/>
      <c r="AE639" s="1210"/>
      <c r="AF639" s="1210"/>
      <c r="AG639" s="1210"/>
      <c r="AH639" s="1210"/>
      <c r="AI639" s="1210"/>
      <c r="AJ639" s="1210"/>
      <c r="AK639" s="1210"/>
      <c r="AL639" s="1210"/>
    </row>
    <row r="640" spans="1:38" s="1179" customFormat="1">
      <c r="A640" s="1188"/>
      <c r="B640" s="1188"/>
      <c r="C640" s="1188"/>
      <c r="D640" s="1188"/>
      <c r="E640" s="1210"/>
      <c r="F640" s="1210"/>
      <c r="G640" s="1210"/>
      <c r="H640" s="1191"/>
      <c r="I640" s="1191"/>
      <c r="J640" s="1199"/>
      <c r="K640" s="1191"/>
      <c r="L640" s="1191"/>
      <c r="M640" s="1191"/>
      <c r="N640" s="1191"/>
      <c r="O640" s="1191"/>
      <c r="P640" s="1191"/>
      <c r="Q640" s="1199"/>
      <c r="R640" s="1191"/>
      <c r="S640" s="1191"/>
      <c r="T640" s="1191"/>
      <c r="U640" s="1191"/>
      <c r="V640" s="1191"/>
      <c r="W640" s="1191"/>
      <c r="X640" s="1191"/>
      <c r="Y640" s="1191"/>
      <c r="Z640" s="1191"/>
      <c r="AA640" s="1191"/>
      <c r="AB640" s="1191"/>
      <c r="AC640" s="1210"/>
      <c r="AD640" s="1210"/>
      <c r="AE640" s="1210"/>
      <c r="AF640" s="1210"/>
      <c r="AG640" s="1210"/>
      <c r="AH640" s="1210"/>
      <c r="AI640" s="1210"/>
      <c r="AJ640" s="1210"/>
      <c r="AK640" s="1210"/>
      <c r="AL640" s="1210"/>
    </row>
    <row r="641" spans="1:38" s="1179" customFormat="1">
      <c r="A641" s="1188"/>
      <c r="B641" s="1188"/>
      <c r="C641" s="1188"/>
      <c r="D641" s="1188"/>
      <c r="E641" s="1210"/>
      <c r="F641" s="1210"/>
      <c r="G641" s="1210"/>
      <c r="H641" s="1191"/>
      <c r="I641" s="1191"/>
      <c r="J641" s="1199"/>
      <c r="K641" s="1191"/>
      <c r="L641" s="1191"/>
      <c r="M641" s="1191"/>
      <c r="N641" s="1191"/>
      <c r="O641" s="1191"/>
      <c r="P641" s="1191"/>
      <c r="Q641" s="1199"/>
      <c r="R641" s="1191"/>
      <c r="S641" s="1191"/>
      <c r="T641" s="1191"/>
      <c r="U641" s="1191"/>
      <c r="V641" s="1191"/>
      <c r="W641" s="1191"/>
      <c r="X641" s="1191"/>
      <c r="Y641" s="1191"/>
      <c r="Z641" s="1191"/>
      <c r="AA641" s="1191"/>
      <c r="AB641" s="1191"/>
      <c r="AC641" s="1210"/>
      <c r="AD641" s="1210"/>
      <c r="AE641" s="1210"/>
      <c r="AF641" s="1210"/>
      <c r="AG641" s="1210"/>
      <c r="AH641" s="1210"/>
      <c r="AI641" s="1210"/>
      <c r="AJ641" s="1210"/>
      <c r="AK641" s="1210"/>
      <c r="AL641" s="1210"/>
    </row>
    <row r="642" spans="1:38" s="1179" customFormat="1">
      <c r="A642" s="1188"/>
      <c r="B642" s="1188"/>
      <c r="C642" s="1188"/>
      <c r="D642" s="1188"/>
      <c r="E642" s="1210"/>
      <c r="F642" s="1210"/>
      <c r="G642" s="1210"/>
      <c r="H642" s="1191"/>
      <c r="I642" s="1191"/>
      <c r="J642" s="1199"/>
      <c r="K642" s="1191"/>
      <c r="L642" s="1191"/>
      <c r="M642" s="1191"/>
      <c r="N642" s="1191"/>
      <c r="O642" s="1191"/>
      <c r="P642" s="1191"/>
      <c r="Q642" s="1199"/>
      <c r="R642" s="1191"/>
      <c r="S642" s="1191"/>
      <c r="T642" s="1191"/>
      <c r="U642" s="1191"/>
      <c r="V642" s="1191"/>
      <c r="W642" s="1191"/>
      <c r="X642" s="1191"/>
      <c r="Y642" s="1191"/>
      <c r="Z642" s="1191"/>
      <c r="AA642" s="1191"/>
      <c r="AB642" s="1191"/>
      <c r="AC642" s="1210"/>
      <c r="AD642" s="1210"/>
      <c r="AE642" s="1210"/>
      <c r="AF642" s="1210"/>
      <c r="AG642" s="1210"/>
      <c r="AH642" s="1210"/>
      <c r="AI642" s="1210"/>
      <c r="AJ642" s="1210"/>
      <c r="AK642" s="1210"/>
      <c r="AL642" s="1210"/>
    </row>
    <row r="643" spans="1:38" s="1179" customFormat="1">
      <c r="A643" s="1188"/>
      <c r="B643" s="1188"/>
      <c r="C643" s="1188"/>
      <c r="D643" s="1188"/>
      <c r="E643" s="1210"/>
      <c r="F643" s="1210"/>
      <c r="G643" s="1210"/>
      <c r="H643" s="1191"/>
      <c r="I643" s="1191"/>
      <c r="J643" s="1199"/>
      <c r="K643" s="1191"/>
      <c r="L643" s="1191"/>
      <c r="M643" s="1191"/>
      <c r="N643" s="1191"/>
      <c r="O643" s="1191"/>
      <c r="P643" s="1191"/>
      <c r="Q643" s="1199"/>
      <c r="R643" s="1191"/>
      <c r="S643" s="1191"/>
      <c r="T643" s="1191"/>
      <c r="U643" s="1191"/>
      <c r="V643" s="1191"/>
      <c r="W643" s="1191"/>
      <c r="X643" s="1191"/>
      <c r="Y643" s="1191"/>
      <c r="Z643" s="1191"/>
      <c r="AA643" s="1191"/>
      <c r="AB643" s="1191"/>
      <c r="AC643" s="1210"/>
      <c r="AD643" s="1210"/>
      <c r="AE643" s="1210"/>
      <c r="AF643" s="1210"/>
      <c r="AG643" s="1210"/>
      <c r="AH643" s="1210"/>
      <c r="AI643" s="1210"/>
      <c r="AJ643" s="1210"/>
      <c r="AK643" s="1210"/>
      <c r="AL643" s="1210"/>
    </row>
    <row r="644" spans="1:38" s="1179" customFormat="1">
      <c r="A644" s="1188"/>
      <c r="B644" s="1188"/>
      <c r="C644" s="1188"/>
      <c r="D644" s="1188"/>
      <c r="E644" s="1210"/>
      <c r="F644" s="1210"/>
      <c r="G644" s="1210"/>
      <c r="H644" s="1191"/>
      <c r="I644" s="1191"/>
      <c r="J644" s="1199"/>
      <c r="K644" s="1191"/>
      <c r="L644" s="1191"/>
      <c r="M644" s="1191"/>
      <c r="N644" s="1191"/>
      <c r="O644" s="1191"/>
      <c r="P644" s="1191"/>
      <c r="Q644" s="1199"/>
      <c r="R644" s="1191"/>
      <c r="S644" s="1191"/>
      <c r="T644" s="1191"/>
      <c r="U644" s="1191"/>
      <c r="V644" s="1191"/>
      <c r="W644" s="1191"/>
      <c r="X644" s="1191"/>
      <c r="Y644" s="1191"/>
      <c r="Z644" s="1191"/>
      <c r="AA644" s="1191"/>
      <c r="AB644" s="1191"/>
      <c r="AC644" s="1210"/>
      <c r="AD644" s="1210"/>
      <c r="AE644" s="1210"/>
      <c r="AF644" s="1210"/>
      <c r="AG644" s="1210"/>
      <c r="AH644" s="1210"/>
      <c r="AI644" s="1210"/>
      <c r="AJ644" s="1210"/>
      <c r="AK644" s="1210"/>
      <c r="AL644" s="1210"/>
    </row>
    <row r="645" spans="1:38" s="1179" customFormat="1">
      <c r="A645" s="1188"/>
      <c r="B645" s="1188"/>
      <c r="C645" s="1188"/>
      <c r="D645" s="1188"/>
      <c r="E645" s="1210"/>
      <c r="F645" s="1210"/>
      <c r="G645" s="1210"/>
      <c r="H645" s="1191"/>
      <c r="I645" s="1191"/>
      <c r="J645" s="1199"/>
      <c r="K645" s="1191"/>
      <c r="L645" s="1191"/>
      <c r="M645" s="1191"/>
      <c r="N645" s="1191"/>
      <c r="O645" s="1191"/>
      <c r="P645" s="1191"/>
      <c r="Q645" s="1199"/>
      <c r="R645" s="1191"/>
      <c r="S645" s="1191"/>
      <c r="T645" s="1191"/>
      <c r="U645" s="1191"/>
      <c r="V645" s="1191"/>
      <c r="W645" s="1191"/>
      <c r="X645" s="1191"/>
      <c r="Y645" s="1191"/>
      <c r="Z645" s="1191"/>
      <c r="AA645" s="1191"/>
      <c r="AB645" s="1191"/>
      <c r="AC645" s="1210"/>
      <c r="AD645" s="1210"/>
      <c r="AE645" s="1210"/>
      <c r="AF645" s="1210"/>
      <c r="AG645" s="1210"/>
      <c r="AH645" s="1210"/>
      <c r="AI645" s="1210"/>
      <c r="AJ645" s="1210"/>
      <c r="AK645" s="1210"/>
      <c r="AL645" s="1210"/>
    </row>
    <row r="646" spans="1:38" s="1179" customFormat="1">
      <c r="A646" s="1188"/>
      <c r="B646" s="1188"/>
      <c r="C646" s="1188"/>
      <c r="D646" s="1188"/>
      <c r="E646" s="1210"/>
      <c r="F646" s="1210"/>
      <c r="G646" s="1210"/>
      <c r="H646" s="1191"/>
      <c r="I646" s="1191"/>
      <c r="J646" s="1199"/>
      <c r="K646" s="1191"/>
      <c r="L646" s="1191"/>
      <c r="M646" s="1191"/>
      <c r="N646" s="1191"/>
      <c r="O646" s="1191"/>
      <c r="P646" s="1191"/>
      <c r="Q646" s="1199"/>
      <c r="R646" s="1191"/>
      <c r="S646" s="1191"/>
      <c r="T646" s="1191"/>
      <c r="U646" s="1191"/>
      <c r="V646" s="1191"/>
      <c r="W646" s="1191"/>
      <c r="X646" s="1191"/>
      <c r="Y646" s="1191"/>
      <c r="Z646" s="1191"/>
      <c r="AA646" s="1191"/>
      <c r="AB646" s="1191"/>
      <c r="AC646" s="1210"/>
      <c r="AD646" s="1210"/>
      <c r="AE646" s="1210"/>
      <c r="AF646" s="1210"/>
      <c r="AG646" s="1210"/>
      <c r="AH646" s="1210"/>
      <c r="AI646" s="1210"/>
      <c r="AJ646" s="1210"/>
      <c r="AK646" s="1210"/>
      <c r="AL646" s="1210"/>
    </row>
    <row r="647" spans="1:38" s="1179" customFormat="1">
      <c r="A647" s="1188"/>
      <c r="B647" s="1188"/>
      <c r="C647" s="1188"/>
      <c r="D647" s="1188"/>
      <c r="E647" s="1210"/>
      <c r="F647" s="1210"/>
      <c r="G647" s="1210"/>
      <c r="H647" s="1191"/>
      <c r="I647" s="1191"/>
      <c r="J647" s="1199"/>
      <c r="K647" s="1191"/>
      <c r="L647" s="1191"/>
      <c r="M647" s="1191"/>
      <c r="N647" s="1191"/>
      <c r="O647" s="1191"/>
      <c r="P647" s="1191"/>
      <c r="Q647" s="1199"/>
      <c r="R647" s="1191"/>
      <c r="S647" s="1191"/>
      <c r="T647" s="1191"/>
      <c r="U647" s="1191"/>
      <c r="V647" s="1191"/>
      <c r="W647" s="1191"/>
      <c r="X647" s="1191"/>
      <c r="Y647" s="1191"/>
      <c r="Z647" s="1191"/>
      <c r="AA647" s="1191"/>
      <c r="AB647" s="1191"/>
      <c r="AC647" s="1210"/>
      <c r="AD647" s="1210"/>
      <c r="AE647" s="1210"/>
      <c r="AF647" s="1210"/>
      <c r="AG647" s="1210"/>
      <c r="AH647" s="1210"/>
      <c r="AI647" s="1210"/>
      <c r="AJ647" s="1210"/>
      <c r="AK647" s="1210"/>
      <c r="AL647" s="1210"/>
    </row>
    <row r="648" spans="1:38" s="1179" customFormat="1">
      <c r="A648" s="1188"/>
      <c r="B648" s="1188"/>
      <c r="C648" s="1188"/>
      <c r="D648" s="1188"/>
      <c r="E648" s="1210"/>
      <c r="F648" s="1210"/>
      <c r="G648" s="1210"/>
      <c r="H648" s="1191"/>
      <c r="I648" s="1191"/>
      <c r="J648" s="1199"/>
      <c r="K648" s="1191"/>
      <c r="L648" s="1191"/>
      <c r="M648" s="1191"/>
      <c r="N648" s="1191"/>
      <c r="O648" s="1191"/>
      <c r="P648" s="1191"/>
      <c r="Q648" s="1199"/>
      <c r="R648" s="1191"/>
      <c r="S648" s="1191"/>
      <c r="T648" s="1191"/>
      <c r="U648" s="1191"/>
      <c r="V648" s="1191"/>
      <c r="W648" s="1191"/>
      <c r="X648" s="1191"/>
      <c r="Y648" s="1191"/>
      <c r="Z648" s="1191"/>
      <c r="AA648" s="1191"/>
      <c r="AB648" s="1191"/>
      <c r="AC648" s="1210"/>
      <c r="AD648" s="1210"/>
      <c r="AE648" s="1210"/>
      <c r="AF648" s="1210"/>
      <c r="AG648" s="1210"/>
      <c r="AH648" s="1210"/>
      <c r="AI648" s="1210"/>
      <c r="AJ648" s="1210"/>
      <c r="AK648" s="1210"/>
      <c r="AL648" s="1210"/>
    </row>
    <row r="649" spans="1:38" s="1179" customFormat="1">
      <c r="A649" s="1188"/>
      <c r="B649" s="1188"/>
      <c r="C649" s="1188"/>
      <c r="D649" s="1188"/>
      <c r="E649" s="1210"/>
      <c r="F649" s="1210"/>
      <c r="G649" s="1210"/>
      <c r="H649" s="1191"/>
      <c r="I649" s="1191"/>
      <c r="J649" s="1199"/>
      <c r="K649" s="1191"/>
      <c r="L649" s="1191"/>
      <c r="M649" s="1191"/>
      <c r="N649" s="1191"/>
      <c r="O649" s="1191"/>
      <c r="P649" s="1191"/>
      <c r="Q649" s="1199"/>
      <c r="R649" s="1191"/>
      <c r="S649" s="1191"/>
      <c r="T649" s="1191"/>
      <c r="U649" s="1191"/>
      <c r="V649" s="1191"/>
      <c r="W649" s="1191"/>
      <c r="X649" s="1191"/>
      <c r="Y649" s="1191"/>
      <c r="Z649" s="1191"/>
      <c r="AA649" s="1191"/>
      <c r="AB649" s="1191"/>
      <c r="AC649" s="1210"/>
      <c r="AD649" s="1210"/>
      <c r="AE649" s="1210"/>
      <c r="AF649" s="1210"/>
      <c r="AG649" s="1210"/>
      <c r="AH649" s="1210"/>
      <c r="AI649" s="1210"/>
      <c r="AJ649" s="1210"/>
      <c r="AK649" s="1210"/>
      <c r="AL649" s="1210"/>
    </row>
    <row r="650" spans="1:38" s="1179" customFormat="1">
      <c r="A650" s="1188"/>
      <c r="B650" s="1188"/>
      <c r="C650" s="1188"/>
      <c r="D650" s="1188"/>
      <c r="E650" s="1210"/>
      <c r="F650" s="1210"/>
      <c r="G650" s="1210"/>
      <c r="H650" s="1191"/>
      <c r="I650" s="1191"/>
      <c r="J650" s="1199"/>
      <c r="K650" s="1191"/>
      <c r="L650" s="1191"/>
      <c r="M650" s="1191"/>
      <c r="N650" s="1191"/>
      <c r="O650" s="1191"/>
      <c r="P650" s="1191"/>
      <c r="Q650" s="1199"/>
      <c r="R650" s="1191"/>
      <c r="S650" s="1191"/>
      <c r="T650" s="1191"/>
      <c r="U650" s="1191"/>
      <c r="V650" s="1191"/>
      <c r="W650" s="1191"/>
      <c r="X650" s="1191"/>
      <c r="Y650" s="1191"/>
      <c r="Z650" s="1191"/>
      <c r="AA650" s="1191"/>
      <c r="AB650" s="1191"/>
      <c r="AC650" s="1210"/>
      <c r="AD650" s="1210"/>
      <c r="AE650" s="1210"/>
      <c r="AF650" s="1210"/>
      <c r="AG650" s="1210"/>
      <c r="AH650" s="1210"/>
      <c r="AI650" s="1210"/>
      <c r="AJ650" s="1210"/>
      <c r="AK650" s="1210"/>
      <c r="AL650" s="1210"/>
    </row>
    <row r="651" spans="1:38" s="1179" customFormat="1">
      <c r="A651" s="1188"/>
      <c r="B651" s="1188"/>
      <c r="C651" s="1188"/>
      <c r="D651" s="1188"/>
      <c r="E651" s="1210"/>
      <c r="F651" s="1210"/>
      <c r="G651" s="1210"/>
      <c r="H651" s="1191"/>
      <c r="I651" s="1191"/>
      <c r="J651" s="1199"/>
      <c r="K651" s="1191"/>
      <c r="L651" s="1191"/>
      <c r="M651" s="1191"/>
      <c r="N651" s="1191"/>
      <c r="O651" s="1191"/>
      <c r="P651" s="1191"/>
      <c r="Q651" s="1199"/>
      <c r="R651" s="1191"/>
      <c r="S651" s="1191"/>
      <c r="T651" s="1191"/>
      <c r="U651" s="1191"/>
      <c r="V651" s="1191"/>
      <c r="W651" s="1191"/>
      <c r="X651" s="1191"/>
      <c r="Y651" s="1191"/>
      <c r="Z651" s="1191"/>
      <c r="AA651" s="1191"/>
      <c r="AB651" s="1191"/>
      <c r="AC651" s="1210"/>
      <c r="AD651" s="1210"/>
      <c r="AE651" s="1210"/>
      <c r="AF651" s="1210"/>
      <c r="AG651" s="1210"/>
      <c r="AH651" s="1210"/>
      <c r="AI651" s="1210"/>
      <c r="AJ651" s="1210"/>
      <c r="AK651" s="1210"/>
      <c r="AL651" s="1210"/>
    </row>
    <row r="652" spans="1:38" s="1179" customFormat="1">
      <c r="A652" s="1188"/>
      <c r="B652" s="1188"/>
      <c r="C652" s="1188"/>
      <c r="D652" s="1188"/>
      <c r="E652" s="1210"/>
      <c r="F652" s="1210"/>
      <c r="G652" s="1210"/>
      <c r="H652" s="1191"/>
      <c r="I652" s="1191"/>
      <c r="J652" s="1199"/>
      <c r="K652" s="1191"/>
      <c r="L652" s="1191"/>
      <c r="M652" s="1191"/>
      <c r="N652" s="1191"/>
      <c r="O652" s="1191"/>
      <c r="P652" s="1191"/>
      <c r="Q652" s="1199"/>
      <c r="R652" s="1191"/>
      <c r="S652" s="1191"/>
      <c r="T652" s="1191"/>
      <c r="U652" s="1191"/>
      <c r="V652" s="1191"/>
      <c r="W652" s="1191"/>
      <c r="X652" s="1191"/>
      <c r="Y652" s="1191"/>
      <c r="Z652" s="1191"/>
      <c r="AA652" s="1191"/>
      <c r="AB652" s="1191"/>
      <c r="AC652" s="1210"/>
      <c r="AD652" s="1210"/>
      <c r="AE652" s="1210"/>
      <c r="AF652" s="1210"/>
      <c r="AG652" s="1210"/>
      <c r="AH652" s="1210"/>
      <c r="AI652" s="1210"/>
      <c r="AJ652" s="1210"/>
      <c r="AK652" s="1210"/>
      <c r="AL652" s="1210"/>
    </row>
    <row r="653" spans="1:38" s="1179" customFormat="1">
      <c r="A653" s="1188"/>
      <c r="B653" s="1188"/>
      <c r="C653" s="1188"/>
      <c r="D653" s="1188"/>
      <c r="E653" s="1210"/>
      <c r="F653" s="1210"/>
      <c r="G653" s="1210"/>
      <c r="H653" s="1191"/>
      <c r="I653" s="1191"/>
      <c r="J653" s="1199"/>
      <c r="K653" s="1191"/>
      <c r="L653" s="1191"/>
      <c r="M653" s="1191"/>
      <c r="N653" s="1191"/>
      <c r="O653" s="1191"/>
      <c r="P653" s="1191"/>
      <c r="Q653" s="1199"/>
      <c r="R653" s="1191"/>
      <c r="S653" s="1191"/>
      <c r="T653" s="1191"/>
      <c r="U653" s="1191"/>
      <c r="V653" s="1191"/>
      <c r="W653" s="1191"/>
      <c r="X653" s="1191"/>
      <c r="Y653" s="1191"/>
      <c r="Z653" s="1191"/>
      <c r="AA653" s="1191"/>
      <c r="AB653" s="1191"/>
      <c r="AC653" s="1210"/>
      <c r="AD653" s="1210"/>
      <c r="AE653" s="1210"/>
      <c r="AF653" s="1210"/>
      <c r="AG653" s="1210"/>
      <c r="AH653" s="1210"/>
      <c r="AI653" s="1210"/>
      <c r="AJ653" s="1210"/>
      <c r="AK653" s="1210"/>
      <c r="AL653" s="1210"/>
    </row>
    <row r="654" spans="1:38" s="1179" customFormat="1">
      <c r="A654" s="1188"/>
      <c r="B654" s="1188"/>
      <c r="C654" s="1188"/>
      <c r="D654" s="1188"/>
      <c r="E654" s="1210"/>
      <c r="F654" s="1210"/>
      <c r="G654" s="1210"/>
      <c r="H654" s="1191"/>
      <c r="I654" s="1191"/>
      <c r="J654" s="1199"/>
      <c r="K654" s="1191"/>
      <c r="L654" s="1191"/>
      <c r="M654" s="1191"/>
      <c r="N654" s="1191"/>
      <c r="O654" s="1191"/>
      <c r="P654" s="1191"/>
      <c r="Q654" s="1199"/>
      <c r="R654" s="1191"/>
      <c r="S654" s="1191"/>
      <c r="T654" s="1191"/>
      <c r="U654" s="1191"/>
      <c r="V654" s="1191"/>
      <c r="W654" s="1191"/>
      <c r="X654" s="1191"/>
      <c r="Y654" s="1191"/>
      <c r="Z654" s="1191"/>
      <c r="AA654" s="1191"/>
      <c r="AB654" s="1191"/>
      <c r="AC654" s="1210"/>
      <c r="AD654" s="1210"/>
      <c r="AE654" s="1210"/>
      <c r="AF654" s="1210"/>
      <c r="AG654" s="1210"/>
      <c r="AH654" s="1210"/>
      <c r="AI654" s="1210"/>
      <c r="AJ654" s="1210"/>
      <c r="AK654" s="1210"/>
      <c r="AL654" s="1210"/>
    </row>
    <row r="655" spans="1:38" s="1179" customFormat="1">
      <c r="A655" s="1188"/>
      <c r="B655" s="1188"/>
      <c r="C655" s="1188"/>
      <c r="D655" s="1188"/>
      <c r="E655" s="1210"/>
      <c r="F655" s="1210"/>
      <c r="G655" s="1210"/>
      <c r="H655" s="1191"/>
      <c r="I655" s="1191"/>
      <c r="J655" s="1199"/>
      <c r="K655" s="1191"/>
      <c r="L655" s="1191"/>
      <c r="M655" s="1191"/>
      <c r="N655" s="1191"/>
      <c r="O655" s="1191"/>
      <c r="P655" s="1191"/>
      <c r="Q655" s="1199"/>
      <c r="R655" s="1191"/>
      <c r="S655" s="1191"/>
      <c r="T655" s="1191"/>
      <c r="U655" s="1191"/>
      <c r="V655" s="1191"/>
      <c r="W655" s="1191"/>
      <c r="X655" s="1191"/>
      <c r="Y655" s="1191"/>
      <c r="Z655" s="1191"/>
      <c r="AA655" s="1191"/>
      <c r="AB655" s="1191"/>
      <c r="AC655" s="1210"/>
      <c r="AD655" s="1210"/>
      <c r="AE655" s="1210"/>
      <c r="AF655" s="1210"/>
      <c r="AG655" s="1210"/>
      <c r="AH655" s="1210"/>
      <c r="AI655" s="1210"/>
      <c r="AJ655" s="1210"/>
      <c r="AK655" s="1210"/>
      <c r="AL655" s="1210"/>
    </row>
    <row r="656" spans="1:38" s="1179" customFormat="1">
      <c r="A656" s="1188"/>
      <c r="B656" s="1188"/>
      <c r="C656" s="1188"/>
      <c r="D656" s="1188"/>
      <c r="E656" s="1210"/>
      <c r="F656" s="1210"/>
      <c r="G656" s="1210"/>
      <c r="H656" s="1191"/>
      <c r="I656" s="1191"/>
      <c r="J656" s="1199"/>
      <c r="K656" s="1191"/>
      <c r="L656" s="1191"/>
      <c r="M656" s="1191"/>
      <c r="N656" s="1191"/>
      <c r="O656" s="1191"/>
      <c r="P656" s="1191"/>
      <c r="Q656" s="1199"/>
      <c r="R656" s="1191"/>
      <c r="S656" s="1191"/>
      <c r="T656" s="1191"/>
      <c r="U656" s="1191"/>
      <c r="V656" s="1191"/>
      <c r="W656" s="1191"/>
      <c r="X656" s="1191"/>
      <c r="Y656" s="1191"/>
      <c r="Z656" s="1191"/>
      <c r="AA656" s="1191"/>
      <c r="AB656" s="1191"/>
      <c r="AC656" s="1210"/>
      <c r="AD656" s="1210"/>
      <c r="AE656" s="1210"/>
      <c r="AF656" s="1210"/>
      <c r="AG656" s="1210"/>
      <c r="AH656" s="1210"/>
      <c r="AI656" s="1210"/>
      <c r="AJ656" s="1210"/>
      <c r="AK656" s="1210"/>
      <c r="AL656" s="1210"/>
    </row>
    <row r="657" spans="1:38" s="1179" customFormat="1">
      <c r="A657" s="1188"/>
      <c r="B657" s="1188"/>
      <c r="C657" s="1188"/>
      <c r="D657" s="1188"/>
      <c r="E657" s="1210"/>
      <c r="F657" s="1210"/>
      <c r="G657" s="1210"/>
      <c r="H657" s="1191"/>
      <c r="I657" s="1191"/>
      <c r="J657" s="1199"/>
      <c r="K657" s="1191"/>
      <c r="L657" s="1191"/>
      <c r="M657" s="1191"/>
      <c r="N657" s="1191"/>
      <c r="O657" s="1191"/>
      <c r="P657" s="1191"/>
      <c r="Q657" s="1199"/>
      <c r="R657" s="1191"/>
      <c r="S657" s="1191"/>
      <c r="T657" s="1191"/>
      <c r="U657" s="1191"/>
      <c r="V657" s="1191"/>
      <c r="W657" s="1191"/>
      <c r="X657" s="1191"/>
      <c r="Y657" s="1191"/>
      <c r="Z657" s="1191"/>
      <c r="AA657" s="1191"/>
      <c r="AB657" s="1191"/>
      <c r="AC657" s="1210"/>
      <c r="AD657" s="1210"/>
      <c r="AE657" s="1210"/>
      <c r="AF657" s="1210"/>
      <c r="AG657" s="1210"/>
      <c r="AH657" s="1210"/>
      <c r="AI657" s="1210"/>
      <c r="AJ657" s="1210"/>
      <c r="AK657" s="1210"/>
      <c r="AL657" s="1210"/>
    </row>
    <row r="658" spans="1:38" s="1179" customFormat="1">
      <c r="A658" s="1188"/>
      <c r="B658" s="1188"/>
      <c r="C658" s="1188"/>
      <c r="D658" s="1188"/>
      <c r="E658" s="1210"/>
      <c r="F658" s="1210"/>
      <c r="G658" s="1210"/>
      <c r="H658" s="1191"/>
      <c r="I658" s="1191"/>
      <c r="J658" s="1199"/>
      <c r="K658" s="1191"/>
      <c r="L658" s="1191"/>
      <c r="M658" s="1191"/>
      <c r="N658" s="1191"/>
      <c r="O658" s="1191"/>
      <c r="P658" s="1191"/>
      <c r="Q658" s="1199"/>
      <c r="R658" s="1191"/>
      <c r="S658" s="1191"/>
      <c r="T658" s="1191"/>
      <c r="U658" s="1191"/>
      <c r="V658" s="1191"/>
      <c r="W658" s="1191"/>
      <c r="X658" s="1191"/>
      <c r="Y658" s="1191"/>
      <c r="Z658" s="1191"/>
      <c r="AA658" s="1191"/>
      <c r="AB658" s="1191"/>
      <c r="AC658" s="1210"/>
      <c r="AD658" s="1210"/>
      <c r="AE658" s="1210"/>
      <c r="AF658" s="1210"/>
      <c r="AG658" s="1210"/>
      <c r="AH658" s="1210"/>
      <c r="AI658" s="1210"/>
      <c r="AJ658" s="1210"/>
      <c r="AK658" s="1210"/>
      <c r="AL658" s="1210"/>
    </row>
    <row r="659" spans="1:38" s="1179" customFormat="1">
      <c r="A659" s="1188"/>
      <c r="B659" s="1188"/>
      <c r="C659" s="1188"/>
      <c r="D659" s="1188"/>
      <c r="E659" s="1210"/>
      <c r="F659" s="1210"/>
      <c r="G659" s="1210"/>
      <c r="H659" s="1191"/>
      <c r="I659" s="1191"/>
      <c r="J659" s="1199"/>
      <c r="K659" s="1191"/>
      <c r="L659" s="1191"/>
      <c r="M659" s="1191"/>
      <c r="N659" s="1191"/>
      <c r="O659" s="1191"/>
      <c r="P659" s="1191"/>
      <c r="Q659" s="1199"/>
      <c r="R659" s="1191"/>
      <c r="S659" s="1191"/>
      <c r="T659" s="1191"/>
      <c r="U659" s="1191"/>
      <c r="V659" s="1191"/>
      <c r="W659" s="1191"/>
      <c r="X659" s="1191"/>
      <c r="Y659" s="1191"/>
      <c r="Z659" s="1191"/>
      <c r="AA659" s="1191"/>
      <c r="AB659" s="1191"/>
      <c r="AC659" s="1210"/>
      <c r="AD659" s="1210"/>
      <c r="AE659" s="1210"/>
      <c r="AF659" s="1210"/>
      <c r="AG659" s="1210"/>
      <c r="AH659" s="1210"/>
      <c r="AI659" s="1210"/>
      <c r="AJ659" s="1210"/>
      <c r="AK659" s="1210"/>
      <c r="AL659" s="1210"/>
    </row>
    <row r="660" spans="1:38" s="1179" customFormat="1">
      <c r="A660" s="1188"/>
      <c r="B660" s="1188"/>
      <c r="C660" s="1188"/>
      <c r="D660" s="1188"/>
      <c r="E660" s="1210"/>
      <c r="F660" s="1210"/>
      <c r="G660" s="1210"/>
      <c r="H660" s="1191"/>
      <c r="I660" s="1191"/>
      <c r="J660" s="1199"/>
      <c r="K660" s="1191"/>
      <c r="L660" s="1191"/>
      <c r="M660" s="1191"/>
      <c r="N660" s="1191"/>
      <c r="O660" s="1191"/>
      <c r="P660" s="1191"/>
      <c r="Q660" s="1199"/>
      <c r="R660" s="1191"/>
      <c r="S660" s="1191"/>
      <c r="T660" s="1191"/>
      <c r="U660" s="1191"/>
      <c r="V660" s="1191"/>
      <c r="W660" s="1191"/>
      <c r="X660" s="1191"/>
      <c r="Y660" s="1191"/>
      <c r="Z660" s="1191"/>
      <c r="AA660" s="1191"/>
      <c r="AB660" s="1191"/>
      <c r="AC660" s="1210"/>
      <c r="AD660" s="1210"/>
      <c r="AE660" s="1210"/>
      <c r="AF660" s="1210"/>
      <c r="AG660" s="1210"/>
      <c r="AH660" s="1210"/>
      <c r="AI660" s="1210"/>
      <c r="AJ660" s="1210"/>
      <c r="AK660" s="1210"/>
      <c r="AL660" s="1210"/>
    </row>
    <row r="661" spans="1:38" s="1179" customFormat="1">
      <c r="A661" s="1188"/>
      <c r="B661" s="1188"/>
      <c r="C661" s="1188"/>
      <c r="D661" s="1188"/>
      <c r="E661" s="1210"/>
      <c r="F661" s="1210"/>
      <c r="G661" s="1210"/>
      <c r="H661" s="1191"/>
      <c r="I661" s="1191"/>
      <c r="J661" s="1199"/>
      <c r="K661" s="1191"/>
      <c r="L661" s="1191"/>
      <c r="M661" s="1191"/>
      <c r="N661" s="1191"/>
      <c r="O661" s="1191"/>
      <c r="P661" s="1191"/>
      <c r="Q661" s="1199"/>
      <c r="R661" s="1191"/>
      <c r="S661" s="1191"/>
      <c r="T661" s="1191"/>
      <c r="U661" s="1191"/>
      <c r="V661" s="1191"/>
      <c r="W661" s="1191"/>
      <c r="X661" s="1191"/>
      <c r="Y661" s="1191"/>
      <c r="Z661" s="1191"/>
      <c r="AA661" s="1191"/>
      <c r="AB661" s="1191"/>
      <c r="AC661" s="1210"/>
      <c r="AD661" s="1210"/>
      <c r="AE661" s="1210"/>
      <c r="AF661" s="1210"/>
      <c r="AG661" s="1210"/>
      <c r="AH661" s="1210"/>
      <c r="AI661" s="1210"/>
      <c r="AJ661" s="1210"/>
      <c r="AK661" s="1210"/>
      <c r="AL661" s="1210"/>
    </row>
    <row r="662" spans="1:38" s="1179" customFormat="1">
      <c r="A662" s="1188"/>
      <c r="B662" s="1188"/>
      <c r="C662" s="1188"/>
      <c r="D662" s="1188"/>
      <c r="E662" s="1210"/>
      <c r="F662" s="1210"/>
      <c r="G662" s="1210"/>
      <c r="H662" s="1191"/>
      <c r="I662" s="1191"/>
      <c r="J662" s="1199"/>
      <c r="K662" s="1191"/>
      <c r="L662" s="1191"/>
      <c r="M662" s="1191"/>
      <c r="N662" s="1191"/>
      <c r="O662" s="1191"/>
      <c r="P662" s="1191"/>
      <c r="Q662" s="1199"/>
      <c r="R662" s="1191"/>
      <c r="S662" s="1191"/>
      <c r="T662" s="1191"/>
      <c r="U662" s="1191"/>
      <c r="V662" s="1191"/>
      <c r="W662" s="1191"/>
      <c r="X662" s="1191"/>
      <c r="Y662" s="1191"/>
      <c r="Z662" s="1191"/>
      <c r="AA662" s="1191"/>
      <c r="AB662" s="1191"/>
      <c r="AC662" s="1210"/>
      <c r="AD662" s="1210"/>
      <c r="AE662" s="1210"/>
      <c r="AF662" s="1210"/>
      <c r="AG662" s="1210"/>
      <c r="AH662" s="1210"/>
      <c r="AI662" s="1210"/>
      <c r="AJ662" s="1210"/>
      <c r="AK662" s="1210"/>
      <c r="AL662" s="1210"/>
    </row>
    <row r="663" spans="1:38" s="1179" customFormat="1">
      <c r="A663" s="1188"/>
      <c r="B663" s="1188"/>
      <c r="C663" s="1188"/>
      <c r="D663" s="1188"/>
      <c r="E663" s="1210"/>
      <c r="F663" s="1210"/>
      <c r="G663" s="1210"/>
      <c r="H663" s="1191"/>
      <c r="I663" s="1191"/>
      <c r="J663" s="1199"/>
      <c r="K663" s="1191"/>
      <c r="L663" s="1191"/>
      <c r="M663" s="1191"/>
      <c r="N663" s="1191"/>
      <c r="O663" s="1191"/>
      <c r="P663" s="1191"/>
      <c r="Q663" s="1199"/>
      <c r="R663" s="1191"/>
      <c r="S663" s="1191"/>
      <c r="T663" s="1191"/>
      <c r="U663" s="1191"/>
      <c r="V663" s="1191"/>
      <c r="W663" s="1191"/>
      <c r="X663" s="1191"/>
      <c r="Y663" s="1191"/>
      <c r="Z663" s="1191"/>
      <c r="AA663" s="1191"/>
      <c r="AB663" s="1191"/>
      <c r="AC663" s="1210"/>
      <c r="AD663" s="1210"/>
      <c r="AE663" s="1210"/>
      <c r="AF663" s="1210"/>
      <c r="AG663" s="1210"/>
      <c r="AH663" s="1210"/>
      <c r="AI663" s="1210"/>
      <c r="AJ663" s="1210"/>
      <c r="AK663" s="1210"/>
      <c r="AL663" s="1210"/>
    </row>
    <row r="664" spans="1:38" s="1179" customFormat="1">
      <c r="A664" s="1188"/>
      <c r="B664" s="1188"/>
      <c r="C664" s="1188"/>
      <c r="D664" s="1188"/>
      <c r="E664" s="1210"/>
      <c r="F664" s="1210"/>
      <c r="G664" s="1210"/>
      <c r="H664" s="1191"/>
      <c r="I664" s="1191"/>
      <c r="J664" s="1199"/>
      <c r="K664" s="1191"/>
      <c r="L664" s="1191"/>
      <c r="M664" s="1191"/>
      <c r="N664" s="1191"/>
      <c r="O664" s="1191"/>
      <c r="P664" s="1191"/>
      <c r="Q664" s="1199"/>
      <c r="R664" s="1191"/>
      <c r="S664" s="1191"/>
      <c r="T664" s="1191"/>
      <c r="U664" s="1191"/>
      <c r="V664" s="1191"/>
      <c r="W664" s="1191"/>
      <c r="X664" s="1191"/>
      <c r="Y664" s="1191"/>
      <c r="Z664" s="1191"/>
      <c r="AA664" s="1191"/>
      <c r="AB664" s="1191"/>
      <c r="AC664" s="1210"/>
      <c r="AD664" s="1210"/>
      <c r="AE664" s="1210"/>
      <c r="AF664" s="1210"/>
      <c r="AG664" s="1210"/>
      <c r="AH664" s="1210"/>
      <c r="AI664" s="1210"/>
      <c r="AJ664" s="1210"/>
      <c r="AK664" s="1210"/>
      <c r="AL664" s="1210"/>
    </row>
    <row r="665" spans="1:38" s="1179" customFormat="1">
      <c r="A665" s="1188"/>
      <c r="B665" s="1188"/>
      <c r="C665" s="1188"/>
      <c r="D665" s="1188"/>
      <c r="E665" s="1210"/>
      <c r="F665" s="1210"/>
      <c r="G665" s="1210"/>
      <c r="H665" s="1191"/>
      <c r="I665" s="1191"/>
      <c r="J665" s="1199"/>
      <c r="K665" s="1191"/>
      <c r="L665" s="1191"/>
      <c r="M665" s="1191"/>
      <c r="N665" s="1191"/>
      <c r="O665" s="1191"/>
      <c r="P665" s="1191"/>
      <c r="Q665" s="1199"/>
      <c r="R665" s="1191"/>
      <c r="S665" s="1191"/>
      <c r="T665" s="1191"/>
      <c r="U665" s="1191"/>
      <c r="V665" s="1191"/>
      <c r="W665" s="1191"/>
      <c r="X665" s="1191"/>
      <c r="Y665" s="1191"/>
      <c r="Z665" s="1191"/>
      <c r="AA665" s="1191"/>
      <c r="AB665" s="1191"/>
      <c r="AC665" s="1210"/>
      <c r="AD665" s="1210"/>
      <c r="AE665" s="1210"/>
      <c r="AF665" s="1210"/>
      <c r="AG665" s="1210"/>
      <c r="AH665" s="1210"/>
      <c r="AI665" s="1210"/>
      <c r="AJ665" s="1210"/>
      <c r="AK665" s="1210"/>
      <c r="AL665" s="1210"/>
    </row>
    <row r="666" spans="1:38" s="1179" customFormat="1">
      <c r="A666" s="1188"/>
      <c r="B666" s="1188"/>
      <c r="C666" s="1188"/>
      <c r="D666" s="1188"/>
      <c r="E666" s="1210"/>
      <c r="F666" s="1210"/>
      <c r="G666" s="1210"/>
      <c r="H666" s="1191"/>
      <c r="I666" s="1191"/>
      <c r="J666" s="1199"/>
      <c r="K666" s="1191"/>
      <c r="L666" s="1191"/>
      <c r="M666" s="1191"/>
      <c r="N666" s="1191"/>
      <c r="O666" s="1191"/>
      <c r="P666" s="1191"/>
      <c r="Q666" s="1199"/>
      <c r="R666" s="1191"/>
      <c r="S666" s="1191"/>
      <c r="T666" s="1191"/>
      <c r="U666" s="1191"/>
      <c r="V666" s="1191"/>
      <c r="W666" s="1191"/>
      <c r="X666" s="1191"/>
      <c r="Y666" s="1191"/>
      <c r="Z666" s="1191"/>
      <c r="AA666" s="1191"/>
      <c r="AB666" s="1191"/>
      <c r="AC666" s="1210"/>
      <c r="AD666" s="1210"/>
      <c r="AE666" s="1210"/>
      <c r="AF666" s="1210"/>
      <c r="AG666" s="1210"/>
      <c r="AH666" s="1210"/>
      <c r="AI666" s="1210"/>
      <c r="AJ666" s="1210"/>
      <c r="AK666" s="1210"/>
      <c r="AL666" s="1210"/>
    </row>
    <row r="667" spans="1:38" s="1179" customFormat="1">
      <c r="A667" s="1188"/>
      <c r="B667" s="1188"/>
      <c r="C667" s="1188"/>
      <c r="D667" s="1188"/>
      <c r="E667" s="1210"/>
      <c r="F667" s="1210"/>
      <c r="G667" s="1210"/>
      <c r="H667" s="1191"/>
      <c r="I667" s="1191"/>
      <c r="J667" s="1199"/>
      <c r="K667" s="1191"/>
      <c r="L667" s="1191"/>
      <c r="M667" s="1191"/>
      <c r="N667" s="1191"/>
      <c r="O667" s="1191"/>
      <c r="P667" s="1191"/>
      <c r="Q667" s="1199"/>
      <c r="R667" s="1191"/>
      <c r="S667" s="1191"/>
      <c r="T667" s="1191"/>
      <c r="U667" s="1191"/>
      <c r="V667" s="1191"/>
      <c r="W667" s="1191"/>
      <c r="X667" s="1191"/>
      <c r="Y667" s="1191"/>
      <c r="Z667" s="1191"/>
      <c r="AA667" s="1191"/>
      <c r="AB667" s="1191"/>
      <c r="AC667" s="1210"/>
      <c r="AD667" s="1210"/>
      <c r="AE667" s="1210"/>
      <c r="AF667" s="1210"/>
      <c r="AG667" s="1210"/>
      <c r="AH667" s="1210"/>
      <c r="AI667" s="1210"/>
      <c r="AJ667" s="1210"/>
      <c r="AK667" s="1210"/>
      <c r="AL667" s="1210"/>
    </row>
    <row r="668" spans="1:38" s="1179" customFormat="1">
      <c r="A668" s="1188"/>
      <c r="B668" s="1188"/>
      <c r="C668" s="1188"/>
      <c r="D668" s="1188"/>
      <c r="E668" s="1210"/>
      <c r="F668" s="1210"/>
      <c r="G668" s="1210"/>
      <c r="H668" s="1191"/>
      <c r="I668" s="1191"/>
      <c r="J668" s="1199"/>
      <c r="K668" s="1191"/>
      <c r="L668" s="1191"/>
      <c r="M668" s="1191"/>
      <c r="N668" s="1191"/>
      <c r="O668" s="1191"/>
      <c r="P668" s="1191"/>
      <c r="Q668" s="1199"/>
      <c r="R668" s="1191"/>
      <c r="S668" s="1191"/>
      <c r="T668" s="1191"/>
      <c r="U668" s="1191"/>
      <c r="V668" s="1191"/>
      <c r="W668" s="1191"/>
      <c r="X668" s="1191"/>
      <c r="Y668" s="1191"/>
      <c r="Z668" s="1191"/>
      <c r="AA668" s="1191"/>
      <c r="AB668" s="1191"/>
      <c r="AC668" s="1210"/>
      <c r="AD668" s="1210"/>
      <c r="AE668" s="1210"/>
      <c r="AF668" s="1210"/>
      <c r="AG668" s="1210"/>
      <c r="AH668" s="1210"/>
      <c r="AI668" s="1210"/>
      <c r="AJ668" s="1210"/>
      <c r="AK668" s="1210"/>
      <c r="AL668" s="1210"/>
    </row>
    <row r="669" spans="1:38" s="1179" customFormat="1">
      <c r="A669" s="1188"/>
      <c r="B669" s="1188"/>
      <c r="C669" s="1188"/>
      <c r="D669" s="1188"/>
      <c r="E669" s="1210"/>
      <c r="F669" s="1210"/>
      <c r="G669" s="1210"/>
      <c r="H669" s="1191"/>
      <c r="I669" s="1191"/>
      <c r="J669" s="1199"/>
      <c r="K669" s="1191"/>
      <c r="L669" s="1191"/>
      <c r="M669" s="1191"/>
      <c r="N669" s="1191"/>
      <c r="O669" s="1191"/>
      <c r="P669" s="1191"/>
      <c r="Q669" s="1199"/>
      <c r="R669" s="1191"/>
      <c r="S669" s="1191"/>
      <c r="T669" s="1191"/>
      <c r="U669" s="1191"/>
      <c r="V669" s="1191"/>
      <c r="W669" s="1191"/>
      <c r="X669" s="1191"/>
      <c r="Y669" s="1191"/>
      <c r="Z669" s="1191"/>
      <c r="AA669" s="1191"/>
      <c r="AB669" s="1191"/>
      <c r="AC669" s="1210"/>
      <c r="AD669" s="1210"/>
      <c r="AE669" s="1210"/>
      <c r="AF669" s="1210"/>
      <c r="AG669" s="1210"/>
      <c r="AH669" s="1210"/>
      <c r="AI669" s="1210"/>
      <c r="AJ669" s="1210"/>
      <c r="AK669" s="1210"/>
      <c r="AL669" s="1210"/>
    </row>
    <row r="670" spans="1:38" s="1179" customFormat="1">
      <c r="A670" s="1188"/>
      <c r="B670" s="1188"/>
      <c r="C670" s="1188"/>
      <c r="D670" s="1188"/>
      <c r="E670" s="1210"/>
      <c r="F670" s="1210"/>
      <c r="G670" s="1210"/>
      <c r="H670" s="1191"/>
      <c r="I670" s="1191"/>
      <c r="J670" s="1199"/>
      <c r="K670" s="1191"/>
      <c r="L670" s="1191"/>
      <c r="M670" s="1191"/>
      <c r="N670" s="1191"/>
      <c r="O670" s="1191"/>
      <c r="P670" s="1191"/>
      <c r="Q670" s="1199"/>
      <c r="R670" s="1191"/>
      <c r="S670" s="1191"/>
      <c r="T670" s="1191"/>
      <c r="U670" s="1191"/>
      <c r="V670" s="1191"/>
      <c r="W670" s="1191"/>
      <c r="X670" s="1191"/>
      <c r="Y670" s="1191"/>
      <c r="Z670" s="1191"/>
      <c r="AA670" s="1191"/>
      <c r="AB670" s="1191"/>
      <c r="AC670" s="1210"/>
      <c r="AD670" s="1210"/>
      <c r="AE670" s="1210"/>
      <c r="AF670" s="1210"/>
      <c r="AG670" s="1210"/>
      <c r="AH670" s="1210"/>
      <c r="AI670" s="1210"/>
      <c r="AJ670" s="1210"/>
      <c r="AK670" s="1210"/>
      <c r="AL670" s="1210"/>
    </row>
    <row r="671" spans="1:38" s="1179" customFormat="1">
      <c r="A671" s="1188"/>
      <c r="B671" s="1188"/>
      <c r="C671" s="1188"/>
      <c r="D671" s="1188"/>
      <c r="E671" s="1210"/>
      <c r="F671" s="1210"/>
      <c r="G671" s="1210"/>
      <c r="H671" s="1191"/>
      <c r="I671" s="1191"/>
      <c r="J671" s="1199"/>
      <c r="K671" s="1191"/>
      <c r="L671" s="1191"/>
      <c r="M671" s="1191"/>
      <c r="N671" s="1191"/>
      <c r="O671" s="1191"/>
      <c r="P671" s="1191"/>
      <c r="Q671" s="1199"/>
      <c r="R671" s="1191"/>
      <c r="S671" s="1191"/>
      <c r="T671" s="1191"/>
      <c r="U671" s="1191"/>
      <c r="V671" s="1191"/>
      <c r="W671" s="1191"/>
      <c r="X671" s="1191"/>
      <c r="Y671" s="1191"/>
      <c r="Z671" s="1191"/>
      <c r="AA671" s="1191"/>
      <c r="AB671" s="1191"/>
      <c r="AC671" s="1210"/>
      <c r="AD671" s="1210"/>
      <c r="AE671" s="1210"/>
      <c r="AF671" s="1210"/>
      <c r="AG671" s="1210"/>
      <c r="AH671" s="1210"/>
      <c r="AI671" s="1210"/>
      <c r="AJ671" s="1210"/>
      <c r="AK671" s="1210"/>
      <c r="AL671" s="1210"/>
    </row>
    <row r="672" spans="1:38" s="1179" customFormat="1">
      <c r="A672" s="1188"/>
      <c r="B672" s="1188"/>
      <c r="C672" s="1188"/>
      <c r="D672" s="1188"/>
      <c r="E672" s="1210"/>
      <c r="F672" s="1210"/>
      <c r="G672" s="1210"/>
      <c r="H672" s="1191"/>
      <c r="I672" s="1191"/>
      <c r="J672" s="1199"/>
      <c r="K672" s="1191"/>
      <c r="L672" s="1191"/>
      <c r="M672" s="1191"/>
      <c r="N672" s="1191"/>
      <c r="O672" s="1191"/>
      <c r="P672" s="1191"/>
      <c r="Q672" s="1199"/>
      <c r="R672" s="1191"/>
      <c r="S672" s="1191"/>
      <c r="T672" s="1191"/>
      <c r="U672" s="1191"/>
      <c r="V672" s="1191"/>
      <c r="W672" s="1191"/>
      <c r="X672" s="1191"/>
      <c r="Y672" s="1191"/>
      <c r="Z672" s="1191"/>
      <c r="AA672" s="1191"/>
      <c r="AB672" s="1191"/>
      <c r="AC672" s="1210"/>
      <c r="AD672" s="1210"/>
      <c r="AE672" s="1210"/>
      <c r="AF672" s="1210"/>
      <c r="AG672" s="1210"/>
      <c r="AH672" s="1210"/>
      <c r="AI672" s="1210"/>
      <c r="AJ672" s="1210"/>
      <c r="AK672" s="1210"/>
      <c r="AL672" s="1210"/>
    </row>
    <row r="673" spans="1:38" s="1179" customFormat="1">
      <c r="A673" s="1188"/>
      <c r="B673" s="1188"/>
      <c r="C673" s="1188"/>
      <c r="D673" s="1188"/>
      <c r="E673" s="1210"/>
      <c r="F673" s="1210"/>
      <c r="G673" s="1210"/>
      <c r="H673" s="1191"/>
      <c r="I673" s="1191"/>
      <c r="J673" s="1199"/>
      <c r="K673" s="1191"/>
      <c r="L673" s="1191"/>
      <c r="M673" s="1191"/>
      <c r="N673" s="1191"/>
      <c r="O673" s="1191"/>
      <c r="P673" s="1191"/>
      <c r="Q673" s="1199"/>
      <c r="R673" s="1191"/>
      <c r="S673" s="1191"/>
      <c r="T673" s="1191"/>
      <c r="U673" s="1191"/>
      <c r="V673" s="1191"/>
      <c r="W673" s="1191"/>
      <c r="X673" s="1191"/>
      <c r="Y673" s="1191"/>
      <c r="Z673" s="1191"/>
      <c r="AA673" s="1191"/>
      <c r="AB673" s="1191"/>
      <c r="AC673" s="1210"/>
      <c r="AD673" s="1210"/>
      <c r="AE673" s="1210"/>
      <c r="AF673" s="1210"/>
      <c r="AG673" s="1210"/>
      <c r="AH673" s="1210"/>
      <c r="AI673" s="1210"/>
      <c r="AJ673" s="1210"/>
      <c r="AK673" s="1210"/>
      <c r="AL673" s="1210"/>
    </row>
    <row r="674" spans="1:38" s="1179" customFormat="1">
      <c r="A674" s="1188"/>
      <c r="B674" s="1188"/>
      <c r="C674" s="1188"/>
      <c r="D674" s="1188"/>
      <c r="E674" s="1210"/>
      <c r="F674" s="1210"/>
      <c r="G674" s="1210"/>
      <c r="H674" s="1191"/>
      <c r="I674" s="1191"/>
      <c r="J674" s="1199"/>
      <c r="K674" s="1191"/>
      <c r="L674" s="1191"/>
      <c r="M674" s="1191"/>
      <c r="N674" s="1191"/>
      <c r="O674" s="1191"/>
      <c r="P674" s="1191"/>
      <c r="Q674" s="1199"/>
      <c r="R674" s="1191"/>
      <c r="S674" s="1191"/>
      <c r="T674" s="1191"/>
      <c r="U674" s="1191"/>
      <c r="V674" s="1191"/>
      <c r="W674" s="1191"/>
      <c r="X674" s="1191"/>
      <c r="Y674" s="1191"/>
      <c r="Z674" s="1191"/>
      <c r="AA674" s="1191"/>
      <c r="AB674" s="1191"/>
      <c r="AC674" s="1210"/>
      <c r="AD674" s="1210"/>
      <c r="AE674" s="1210"/>
      <c r="AF674" s="1210"/>
      <c r="AG674" s="1210"/>
      <c r="AH674" s="1210"/>
      <c r="AI674" s="1210"/>
      <c r="AJ674" s="1210"/>
      <c r="AK674" s="1210"/>
      <c r="AL674" s="1210"/>
    </row>
    <row r="675" spans="1:38" s="1179" customFormat="1">
      <c r="A675" s="1188"/>
      <c r="B675" s="1188"/>
      <c r="C675" s="1188"/>
      <c r="D675" s="1188"/>
      <c r="E675" s="1210"/>
      <c r="F675" s="1210"/>
      <c r="G675" s="1210"/>
      <c r="H675" s="1191"/>
      <c r="I675" s="1191"/>
      <c r="J675" s="1199"/>
      <c r="K675" s="1191"/>
      <c r="L675" s="1191"/>
      <c r="M675" s="1191"/>
      <c r="N675" s="1191"/>
      <c r="O675" s="1191"/>
      <c r="P675" s="1191"/>
      <c r="Q675" s="1199"/>
      <c r="R675" s="1191"/>
      <c r="S675" s="1191"/>
      <c r="T675" s="1191"/>
      <c r="U675" s="1191"/>
      <c r="V675" s="1191"/>
      <c r="W675" s="1191"/>
      <c r="X675" s="1191"/>
      <c r="Y675" s="1191"/>
      <c r="Z675" s="1191"/>
      <c r="AA675" s="1191"/>
      <c r="AB675" s="1191"/>
      <c r="AC675" s="1210"/>
      <c r="AD675" s="1210"/>
      <c r="AE675" s="1210"/>
      <c r="AF675" s="1210"/>
      <c r="AG675" s="1210"/>
      <c r="AH675" s="1210"/>
      <c r="AI675" s="1210"/>
      <c r="AJ675" s="1210"/>
      <c r="AK675" s="1210"/>
      <c r="AL675" s="1210"/>
    </row>
    <row r="676" spans="1:38" s="1179" customFormat="1">
      <c r="A676" s="1188"/>
      <c r="B676" s="1188"/>
      <c r="C676" s="1188"/>
      <c r="D676" s="1188"/>
      <c r="E676" s="1210"/>
      <c r="F676" s="1210"/>
      <c r="G676" s="1210"/>
      <c r="H676" s="1191"/>
      <c r="I676" s="1191"/>
      <c r="J676" s="1199"/>
      <c r="K676" s="1191"/>
      <c r="L676" s="1191"/>
      <c r="M676" s="1191"/>
      <c r="N676" s="1191"/>
      <c r="O676" s="1191"/>
      <c r="P676" s="1191"/>
      <c r="Q676" s="1199"/>
      <c r="R676" s="1191"/>
      <c r="S676" s="1191"/>
      <c r="T676" s="1191"/>
      <c r="U676" s="1191"/>
      <c r="V676" s="1191"/>
      <c r="W676" s="1191"/>
      <c r="X676" s="1191"/>
      <c r="Y676" s="1191"/>
      <c r="Z676" s="1191"/>
      <c r="AA676" s="1191"/>
      <c r="AB676" s="1191"/>
      <c r="AC676" s="1210"/>
      <c r="AD676" s="1210"/>
      <c r="AE676" s="1210"/>
      <c r="AF676" s="1210"/>
      <c r="AG676" s="1210"/>
      <c r="AH676" s="1210"/>
      <c r="AI676" s="1210"/>
      <c r="AJ676" s="1210"/>
      <c r="AK676" s="1210"/>
      <c r="AL676" s="1210"/>
    </row>
    <row r="677" spans="1:38" s="1179" customFormat="1">
      <c r="A677" s="1188"/>
      <c r="B677" s="1188"/>
      <c r="C677" s="1188"/>
      <c r="D677" s="1188"/>
      <c r="E677" s="1210"/>
      <c r="F677" s="1210"/>
      <c r="G677" s="1210"/>
      <c r="H677" s="1191"/>
      <c r="I677" s="1191"/>
      <c r="J677" s="1199"/>
      <c r="K677" s="1191"/>
      <c r="L677" s="1191"/>
      <c r="M677" s="1191"/>
      <c r="N677" s="1191"/>
      <c r="O677" s="1191"/>
      <c r="P677" s="1191"/>
      <c r="Q677" s="1199"/>
      <c r="R677" s="1191"/>
      <c r="S677" s="1191"/>
      <c r="T677" s="1191"/>
      <c r="U677" s="1191"/>
      <c r="V677" s="1191"/>
      <c r="W677" s="1191"/>
      <c r="X677" s="1191"/>
      <c r="Y677" s="1191"/>
      <c r="Z677" s="1191"/>
      <c r="AA677" s="1191"/>
      <c r="AB677" s="1191"/>
      <c r="AC677" s="1210"/>
      <c r="AD677" s="1210"/>
      <c r="AE677" s="1210"/>
      <c r="AF677" s="1210"/>
      <c r="AG677" s="1210"/>
      <c r="AH677" s="1210"/>
      <c r="AI677" s="1210"/>
      <c r="AJ677" s="1210"/>
      <c r="AK677" s="1210"/>
      <c r="AL677" s="1210"/>
    </row>
    <row r="678" spans="1:38" s="1179" customFormat="1">
      <c r="A678" s="1188"/>
      <c r="B678" s="1188"/>
      <c r="C678" s="1188"/>
      <c r="D678" s="1188"/>
      <c r="E678" s="1210"/>
      <c r="F678" s="1210"/>
      <c r="G678" s="1210"/>
      <c r="H678" s="1191"/>
      <c r="I678" s="1191"/>
      <c r="J678" s="1199"/>
      <c r="K678" s="1191"/>
      <c r="L678" s="1191"/>
      <c r="M678" s="1191"/>
      <c r="N678" s="1191"/>
      <c r="O678" s="1191"/>
      <c r="P678" s="1191"/>
      <c r="Q678" s="1199"/>
      <c r="R678" s="1191"/>
      <c r="S678" s="1191"/>
      <c r="T678" s="1191"/>
      <c r="U678" s="1191"/>
      <c r="V678" s="1191"/>
      <c r="W678" s="1191"/>
      <c r="X678" s="1191"/>
      <c r="Y678" s="1191"/>
      <c r="Z678" s="1191"/>
      <c r="AA678" s="1191"/>
      <c r="AB678" s="1191"/>
      <c r="AC678" s="1210"/>
      <c r="AD678" s="1210"/>
      <c r="AE678" s="1210"/>
      <c r="AF678" s="1210"/>
      <c r="AG678" s="1210"/>
      <c r="AH678" s="1210"/>
      <c r="AI678" s="1210"/>
      <c r="AJ678" s="1210"/>
      <c r="AK678" s="1210"/>
      <c r="AL678" s="1210"/>
    </row>
    <row r="679" spans="1:38" s="1179" customFormat="1">
      <c r="A679" s="1188"/>
      <c r="B679" s="1188"/>
      <c r="C679" s="1188"/>
      <c r="D679" s="1188"/>
      <c r="E679" s="1210"/>
      <c r="F679" s="1210"/>
      <c r="G679" s="1210"/>
      <c r="H679" s="1191"/>
      <c r="I679" s="1191"/>
      <c r="J679" s="1199"/>
      <c r="K679" s="1191"/>
      <c r="L679" s="1191"/>
      <c r="M679" s="1191"/>
      <c r="N679" s="1191"/>
      <c r="O679" s="1191"/>
      <c r="P679" s="1191"/>
      <c r="Q679" s="1199"/>
      <c r="R679" s="1191"/>
      <c r="S679" s="1191"/>
      <c r="T679" s="1191"/>
      <c r="U679" s="1191"/>
      <c r="V679" s="1191"/>
      <c r="W679" s="1191"/>
      <c r="X679" s="1191"/>
      <c r="Y679" s="1191"/>
      <c r="Z679" s="1191"/>
      <c r="AA679" s="1191"/>
      <c r="AB679" s="1191"/>
      <c r="AC679" s="1210"/>
      <c r="AD679" s="1210"/>
      <c r="AE679" s="1210"/>
      <c r="AF679" s="1210"/>
      <c r="AG679" s="1210"/>
      <c r="AH679" s="1210"/>
      <c r="AI679" s="1210"/>
      <c r="AJ679" s="1210"/>
      <c r="AK679" s="1210"/>
      <c r="AL679" s="1210"/>
    </row>
    <row r="680" spans="1:38" s="1179" customFormat="1">
      <c r="A680" s="1188"/>
      <c r="B680" s="1188"/>
      <c r="C680" s="1188"/>
      <c r="D680" s="1188"/>
      <c r="E680" s="1210"/>
      <c r="F680" s="1210"/>
      <c r="G680" s="1210"/>
      <c r="H680" s="1191"/>
      <c r="I680" s="1191"/>
      <c r="J680" s="1199"/>
      <c r="K680" s="1191"/>
      <c r="L680" s="1191"/>
      <c r="M680" s="1191"/>
      <c r="N680" s="1191"/>
      <c r="O680" s="1191"/>
      <c r="P680" s="1191"/>
      <c r="Q680" s="1199"/>
      <c r="R680" s="1191"/>
      <c r="S680" s="1191"/>
      <c r="T680" s="1191"/>
      <c r="U680" s="1191"/>
      <c r="V680" s="1191"/>
      <c r="W680" s="1191"/>
      <c r="X680" s="1191"/>
      <c r="Y680" s="1191"/>
      <c r="Z680" s="1191"/>
      <c r="AA680" s="1191"/>
      <c r="AB680" s="1191"/>
      <c r="AC680" s="1210"/>
      <c r="AD680" s="1210"/>
      <c r="AE680" s="1210"/>
      <c r="AF680" s="1210"/>
      <c r="AG680" s="1210"/>
      <c r="AH680" s="1210"/>
      <c r="AI680" s="1210"/>
      <c r="AJ680" s="1210"/>
      <c r="AK680" s="1210"/>
      <c r="AL680" s="1210"/>
    </row>
    <row r="681" spans="1:38" s="1179" customFormat="1">
      <c r="A681" s="1188"/>
      <c r="B681" s="1188"/>
      <c r="C681" s="1188"/>
      <c r="D681" s="1188"/>
      <c r="E681" s="1210"/>
      <c r="F681" s="1210"/>
      <c r="G681" s="1210"/>
      <c r="H681" s="1191"/>
      <c r="I681" s="1191"/>
      <c r="J681" s="1199"/>
      <c r="K681" s="1191"/>
      <c r="L681" s="1191"/>
      <c r="M681" s="1191"/>
      <c r="N681" s="1191"/>
      <c r="O681" s="1191"/>
      <c r="P681" s="1191"/>
      <c r="Q681" s="1199"/>
      <c r="R681" s="1191"/>
      <c r="S681" s="1191"/>
      <c r="T681" s="1191"/>
      <c r="U681" s="1191"/>
      <c r="V681" s="1191"/>
      <c r="W681" s="1191"/>
      <c r="X681" s="1191"/>
      <c r="Y681" s="1191"/>
      <c r="Z681" s="1191"/>
      <c r="AA681" s="1191"/>
      <c r="AB681" s="1191"/>
      <c r="AC681" s="1210"/>
      <c r="AD681" s="1210"/>
      <c r="AE681" s="1210"/>
      <c r="AF681" s="1210"/>
      <c r="AG681" s="1210"/>
      <c r="AH681" s="1210"/>
      <c r="AI681" s="1210"/>
      <c r="AJ681" s="1210"/>
      <c r="AK681" s="1210"/>
      <c r="AL681" s="1210"/>
    </row>
    <row r="682" spans="1:38" s="1179" customFormat="1">
      <c r="A682" s="1188"/>
      <c r="B682" s="1188"/>
      <c r="C682" s="1188"/>
      <c r="D682" s="1188"/>
      <c r="E682" s="1210"/>
      <c r="F682" s="1210"/>
      <c r="G682" s="1210"/>
      <c r="H682" s="1191"/>
      <c r="I682" s="1191"/>
      <c r="J682" s="1199"/>
      <c r="K682" s="1191"/>
      <c r="L682" s="1191"/>
      <c r="M682" s="1191"/>
      <c r="N682" s="1191"/>
      <c r="O682" s="1191"/>
      <c r="P682" s="1191"/>
      <c r="Q682" s="1199"/>
      <c r="R682" s="1191"/>
      <c r="S682" s="1191"/>
      <c r="T682" s="1191"/>
      <c r="U682" s="1191"/>
      <c r="V682" s="1191"/>
      <c r="W682" s="1191"/>
      <c r="X682" s="1191"/>
      <c r="Y682" s="1191"/>
      <c r="Z682" s="1191"/>
      <c r="AA682" s="1191"/>
      <c r="AB682" s="1191"/>
      <c r="AC682" s="1210"/>
      <c r="AD682" s="1210"/>
      <c r="AE682" s="1210"/>
      <c r="AF682" s="1210"/>
      <c r="AG682" s="1210"/>
      <c r="AH682" s="1210"/>
      <c r="AI682" s="1210"/>
      <c r="AJ682" s="1210"/>
      <c r="AK682" s="1210"/>
      <c r="AL682" s="1210"/>
    </row>
    <row r="683" spans="1:38" s="1179" customFormat="1">
      <c r="A683" s="1188"/>
      <c r="B683" s="1188"/>
      <c r="C683" s="1188"/>
      <c r="D683" s="1188"/>
      <c r="E683" s="1210"/>
      <c r="F683" s="1210"/>
      <c r="G683" s="1210"/>
      <c r="H683" s="1191"/>
      <c r="I683" s="1191"/>
      <c r="J683" s="1199"/>
      <c r="K683" s="1191"/>
      <c r="L683" s="1191"/>
      <c r="M683" s="1191"/>
      <c r="N683" s="1191"/>
      <c r="O683" s="1191"/>
      <c r="P683" s="1191"/>
      <c r="Q683" s="1199"/>
      <c r="R683" s="1191"/>
      <c r="S683" s="1191"/>
      <c r="T683" s="1191"/>
      <c r="U683" s="1191"/>
      <c r="V683" s="1191"/>
      <c r="W683" s="1191"/>
      <c r="X683" s="1191"/>
      <c r="Y683" s="1191"/>
      <c r="Z683" s="1191"/>
      <c r="AA683" s="1191"/>
      <c r="AB683" s="1191"/>
      <c r="AC683" s="1210"/>
      <c r="AD683" s="1210"/>
      <c r="AE683" s="1210"/>
      <c r="AF683" s="1210"/>
      <c r="AG683" s="1210"/>
      <c r="AH683" s="1210"/>
      <c r="AI683" s="1210"/>
      <c r="AJ683" s="1210"/>
      <c r="AK683" s="1210"/>
      <c r="AL683" s="1210"/>
    </row>
    <row r="684" spans="1:38" s="1179" customFormat="1">
      <c r="A684" s="1188"/>
      <c r="B684" s="1188"/>
      <c r="C684" s="1188"/>
      <c r="D684" s="1188"/>
      <c r="E684" s="1210"/>
      <c r="F684" s="1210"/>
      <c r="G684" s="1210"/>
      <c r="H684" s="1191"/>
      <c r="I684" s="1191"/>
      <c r="J684" s="1199"/>
      <c r="K684" s="1191"/>
      <c r="L684" s="1191"/>
      <c r="M684" s="1191"/>
      <c r="N684" s="1191"/>
      <c r="O684" s="1191"/>
      <c r="P684" s="1191"/>
      <c r="Q684" s="1199"/>
      <c r="R684" s="1191"/>
      <c r="S684" s="1191"/>
      <c r="T684" s="1191"/>
      <c r="U684" s="1191"/>
      <c r="V684" s="1191"/>
      <c r="W684" s="1191"/>
      <c r="X684" s="1191"/>
      <c r="Y684" s="1191"/>
      <c r="Z684" s="1191"/>
      <c r="AA684" s="1191"/>
      <c r="AB684" s="1191"/>
      <c r="AC684" s="1210"/>
      <c r="AD684" s="1210"/>
      <c r="AE684" s="1210"/>
      <c r="AF684" s="1210"/>
      <c r="AG684" s="1210"/>
      <c r="AH684" s="1210"/>
      <c r="AI684" s="1210"/>
      <c r="AJ684" s="1210"/>
      <c r="AK684" s="1210"/>
      <c r="AL684" s="1210"/>
    </row>
    <row r="685" spans="1:38" s="1179" customFormat="1">
      <c r="A685" s="1188"/>
      <c r="B685" s="1188"/>
      <c r="C685" s="1188"/>
      <c r="D685" s="1188"/>
      <c r="E685" s="1210"/>
      <c r="F685" s="1210"/>
      <c r="G685" s="1210"/>
      <c r="H685" s="1191"/>
      <c r="I685" s="1191"/>
      <c r="J685" s="1199"/>
      <c r="K685" s="1191"/>
      <c r="L685" s="1191"/>
      <c r="M685" s="1191"/>
      <c r="N685" s="1191"/>
      <c r="O685" s="1191"/>
      <c r="P685" s="1191"/>
      <c r="Q685" s="1199"/>
      <c r="R685" s="1191"/>
      <c r="S685" s="1191"/>
      <c r="T685" s="1191"/>
      <c r="U685" s="1191"/>
      <c r="V685" s="1191"/>
      <c r="W685" s="1191"/>
      <c r="X685" s="1191"/>
      <c r="Y685" s="1191"/>
      <c r="Z685" s="1191"/>
      <c r="AA685" s="1191"/>
      <c r="AB685" s="1191"/>
      <c r="AC685" s="1210"/>
      <c r="AD685" s="1210"/>
      <c r="AE685" s="1210"/>
      <c r="AF685" s="1210"/>
      <c r="AG685" s="1210"/>
      <c r="AH685" s="1210"/>
      <c r="AI685" s="1210"/>
      <c r="AJ685" s="1210"/>
      <c r="AK685" s="1210"/>
      <c r="AL685" s="1210"/>
    </row>
    <row r="686" spans="1:38" s="1179" customFormat="1">
      <c r="A686" s="1188"/>
      <c r="B686" s="1188"/>
      <c r="C686" s="1188"/>
      <c r="D686" s="1188"/>
      <c r="E686" s="1210"/>
      <c r="F686" s="1210"/>
      <c r="G686" s="1210"/>
      <c r="H686" s="1191"/>
      <c r="I686" s="1191"/>
      <c r="J686" s="1199"/>
      <c r="K686" s="1191"/>
      <c r="L686" s="1191"/>
      <c r="M686" s="1191"/>
      <c r="N686" s="1191"/>
      <c r="O686" s="1191"/>
      <c r="P686" s="1191"/>
      <c r="Q686" s="1199"/>
      <c r="R686" s="1191"/>
      <c r="S686" s="1191"/>
      <c r="T686" s="1191"/>
      <c r="U686" s="1191"/>
      <c r="V686" s="1191"/>
      <c r="W686" s="1191"/>
      <c r="X686" s="1191"/>
      <c r="Y686" s="1191"/>
      <c r="Z686" s="1191"/>
      <c r="AA686" s="1191"/>
      <c r="AB686" s="1191"/>
      <c r="AC686" s="1210"/>
      <c r="AD686" s="1210"/>
      <c r="AE686" s="1210"/>
      <c r="AF686" s="1210"/>
      <c r="AG686" s="1210"/>
      <c r="AH686" s="1210"/>
      <c r="AI686" s="1210"/>
      <c r="AJ686" s="1210"/>
      <c r="AK686" s="1210"/>
      <c r="AL686" s="1210"/>
    </row>
    <row r="687" spans="1:38" s="1179" customFormat="1">
      <c r="A687" s="1188"/>
      <c r="B687" s="1188"/>
      <c r="C687" s="1188"/>
      <c r="D687" s="1188"/>
      <c r="E687" s="1210"/>
      <c r="F687" s="1210"/>
      <c r="G687" s="1210"/>
      <c r="H687" s="1191"/>
      <c r="I687" s="1191"/>
      <c r="J687" s="1199"/>
      <c r="K687" s="1191"/>
      <c r="L687" s="1191"/>
      <c r="M687" s="1191"/>
      <c r="N687" s="1191"/>
      <c r="O687" s="1191"/>
      <c r="P687" s="1191"/>
      <c r="Q687" s="1199"/>
      <c r="R687" s="1191"/>
      <c r="S687" s="1191"/>
      <c r="T687" s="1191"/>
      <c r="U687" s="1191"/>
      <c r="V687" s="1191"/>
      <c r="W687" s="1191"/>
      <c r="X687" s="1191"/>
      <c r="Y687" s="1191"/>
      <c r="Z687" s="1191"/>
      <c r="AA687" s="1191"/>
      <c r="AB687" s="1191"/>
      <c r="AC687" s="1210"/>
      <c r="AD687" s="1210"/>
      <c r="AE687" s="1210"/>
      <c r="AF687" s="1210"/>
      <c r="AG687" s="1210"/>
      <c r="AH687" s="1210"/>
      <c r="AI687" s="1210"/>
      <c r="AJ687" s="1210"/>
      <c r="AK687" s="1210"/>
      <c r="AL687" s="1210"/>
    </row>
    <row r="688" spans="1:38" s="1179" customFormat="1">
      <c r="A688" s="1188"/>
      <c r="B688" s="1188"/>
      <c r="C688" s="1188"/>
      <c r="D688" s="1188"/>
      <c r="E688" s="1210"/>
      <c r="F688" s="1210"/>
      <c r="G688" s="1210"/>
      <c r="H688" s="1191"/>
      <c r="I688" s="1191"/>
      <c r="J688" s="1199"/>
      <c r="K688" s="1191"/>
      <c r="L688" s="1191"/>
      <c r="M688" s="1191"/>
      <c r="N688" s="1191"/>
      <c r="O688" s="1191"/>
      <c r="P688" s="1191"/>
      <c r="Q688" s="1199"/>
      <c r="R688" s="1191"/>
      <c r="S688" s="1191"/>
      <c r="T688" s="1191"/>
      <c r="U688" s="1191"/>
      <c r="V688" s="1191"/>
      <c r="W688" s="1191"/>
      <c r="X688" s="1191"/>
      <c r="Y688" s="1191"/>
      <c r="Z688" s="1191"/>
      <c r="AA688" s="1191"/>
      <c r="AB688" s="1191"/>
      <c r="AC688" s="1210"/>
      <c r="AD688" s="1210"/>
      <c r="AE688" s="1210"/>
      <c r="AF688" s="1210"/>
      <c r="AG688" s="1210"/>
      <c r="AH688" s="1210"/>
      <c r="AI688" s="1210"/>
      <c r="AJ688" s="1210"/>
      <c r="AK688" s="1210"/>
      <c r="AL688" s="1210"/>
    </row>
    <row r="689" spans="1:38" s="1179" customFormat="1">
      <c r="A689" s="1188"/>
      <c r="B689" s="1188"/>
      <c r="C689" s="1188"/>
      <c r="D689" s="1188"/>
      <c r="E689" s="1210"/>
      <c r="F689" s="1210"/>
      <c r="G689" s="1210"/>
      <c r="H689" s="1191"/>
      <c r="I689" s="1191"/>
      <c r="J689" s="1199"/>
      <c r="K689" s="1191"/>
      <c r="L689" s="1191"/>
      <c r="M689" s="1191"/>
      <c r="N689" s="1191"/>
      <c r="O689" s="1191"/>
      <c r="P689" s="1191"/>
      <c r="Q689" s="1199"/>
      <c r="R689" s="1191"/>
      <c r="S689" s="1191"/>
      <c r="T689" s="1191"/>
      <c r="U689" s="1191"/>
      <c r="V689" s="1191"/>
      <c r="W689" s="1191"/>
      <c r="X689" s="1191"/>
      <c r="Y689" s="1191"/>
      <c r="Z689" s="1191"/>
      <c r="AA689" s="1191"/>
      <c r="AB689" s="1191"/>
      <c r="AC689" s="1210"/>
      <c r="AD689" s="1210"/>
      <c r="AE689" s="1210"/>
      <c r="AF689" s="1210"/>
      <c r="AG689" s="1210"/>
      <c r="AH689" s="1210"/>
      <c r="AI689" s="1210"/>
      <c r="AJ689" s="1210"/>
      <c r="AK689" s="1210"/>
      <c r="AL689" s="1210"/>
    </row>
    <row r="690" spans="1:38" s="1179" customFormat="1">
      <c r="A690" s="1188"/>
      <c r="B690" s="1188"/>
      <c r="C690" s="1188"/>
      <c r="D690" s="1188"/>
      <c r="E690" s="1210"/>
      <c r="F690" s="1210"/>
      <c r="G690" s="1210"/>
      <c r="H690" s="1191"/>
      <c r="I690" s="1191"/>
      <c r="J690" s="1199"/>
      <c r="K690" s="1191"/>
      <c r="L690" s="1191"/>
      <c r="M690" s="1191"/>
      <c r="N690" s="1191"/>
      <c r="O690" s="1191"/>
      <c r="P690" s="1191"/>
      <c r="Q690" s="1199"/>
      <c r="R690" s="1191"/>
      <c r="S690" s="1191"/>
      <c r="T690" s="1191"/>
      <c r="U690" s="1191"/>
      <c r="V690" s="1191"/>
      <c r="W690" s="1191"/>
      <c r="X690" s="1191"/>
      <c r="Y690" s="1191"/>
      <c r="Z690" s="1191"/>
      <c r="AA690" s="1191"/>
      <c r="AB690" s="1191"/>
      <c r="AC690" s="1210"/>
      <c r="AD690" s="1210"/>
      <c r="AE690" s="1210"/>
      <c r="AF690" s="1210"/>
      <c r="AG690" s="1210"/>
      <c r="AH690" s="1210"/>
      <c r="AI690" s="1210"/>
      <c r="AJ690" s="1210"/>
      <c r="AK690" s="1210"/>
      <c r="AL690" s="1210"/>
    </row>
    <row r="691" spans="1:38" s="1179" customFormat="1">
      <c r="A691" s="1188"/>
      <c r="B691" s="1188"/>
      <c r="C691" s="1188"/>
      <c r="D691" s="1188"/>
      <c r="E691" s="1210"/>
      <c r="F691" s="1210"/>
      <c r="G691" s="1210"/>
      <c r="H691" s="1191"/>
      <c r="I691" s="1191"/>
      <c r="J691" s="1199"/>
      <c r="K691" s="1191"/>
      <c r="L691" s="1191"/>
      <c r="M691" s="1191"/>
      <c r="N691" s="1191"/>
      <c r="O691" s="1191"/>
      <c r="P691" s="1191"/>
      <c r="Q691" s="1199"/>
      <c r="R691" s="1191"/>
      <c r="S691" s="1191"/>
      <c r="T691" s="1191"/>
      <c r="U691" s="1191"/>
      <c r="V691" s="1191"/>
      <c r="W691" s="1191"/>
      <c r="X691" s="1191"/>
      <c r="Y691" s="1191"/>
      <c r="Z691" s="1191"/>
      <c r="AA691" s="1191"/>
      <c r="AB691" s="1191"/>
      <c r="AC691" s="1210"/>
      <c r="AD691" s="1210"/>
      <c r="AE691" s="1210"/>
      <c r="AF691" s="1210"/>
      <c r="AG691" s="1210"/>
      <c r="AH691" s="1210"/>
      <c r="AI691" s="1210"/>
      <c r="AJ691" s="1210"/>
      <c r="AK691" s="1210"/>
      <c r="AL691" s="1210"/>
    </row>
    <row r="692" spans="1:38" s="1179" customFormat="1">
      <c r="A692" s="1188"/>
      <c r="B692" s="1188"/>
      <c r="C692" s="1188"/>
      <c r="D692" s="1188"/>
      <c r="E692" s="1210"/>
      <c r="F692" s="1210"/>
      <c r="G692" s="1210"/>
      <c r="H692" s="1191"/>
      <c r="I692" s="1191"/>
      <c r="J692" s="1199"/>
      <c r="K692" s="1191"/>
      <c r="L692" s="1191"/>
      <c r="M692" s="1191"/>
      <c r="N692" s="1191"/>
      <c r="O692" s="1191"/>
      <c r="P692" s="1191"/>
      <c r="Q692" s="1199"/>
      <c r="R692" s="1191"/>
      <c r="S692" s="1191"/>
      <c r="T692" s="1191"/>
      <c r="U692" s="1191"/>
      <c r="V692" s="1191"/>
      <c r="W692" s="1191"/>
      <c r="X692" s="1191"/>
      <c r="Y692" s="1191"/>
      <c r="Z692" s="1191"/>
      <c r="AA692" s="1191"/>
      <c r="AB692" s="1191"/>
      <c r="AC692" s="1210"/>
      <c r="AD692" s="1210"/>
      <c r="AE692" s="1210"/>
      <c r="AF692" s="1210"/>
      <c r="AG692" s="1210"/>
      <c r="AH692" s="1210"/>
      <c r="AI692" s="1210"/>
      <c r="AJ692" s="1210"/>
      <c r="AK692" s="1210"/>
      <c r="AL692" s="1210"/>
    </row>
    <row r="693" spans="1:38" s="1179" customFormat="1">
      <c r="A693" s="1188"/>
      <c r="B693" s="1188"/>
      <c r="C693" s="1188"/>
      <c r="D693" s="1188"/>
      <c r="E693" s="1210"/>
      <c r="F693" s="1210"/>
      <c r="G693" s="1210"/>
      <c r="H693" s="1191"/>
      <c r="I693" s="1191"/>
      <c r="J693" s="1199"/>
      <c r="K693" s="1191"/>
      <c r="L693" s="1191"/>
      <c r="M693" s="1191"/>
      <c r="N693" s="1191"/>
      <c r="O693" s="1191"/>
      <c r="P693" s="1191"/>
      <c r="Q693" s="1199"/>
      <c r="R693" s="1191"/>
      <c r="S693" s="1191"/>
      <c r="T693" s="1191"/>
      <c r="U693" s="1191"/>
      <c r="V693" s="1191"/>
      <c r="W693" s="1191"/>
      <c r="X693" s="1191"/>
      <c r="Y693" s="1191"/>
      <c r="Z693" s="1191"/>
      <c r="AA693" s="1191"/>
      <c r="AB693" s="1191"/>
      <c r="AC693" s="1210"/>
      <c r="AD693" s="1210"/>
      <c r="AE693" s="1210"/>
      <c r="AF693" s="1210"/>
      <c r="AG693" s="1210"/>
      <c r="AH693" s="1210"/>
      <c r="AI693" s="1210"/>
      <c r="AJ693" s="1210"/>
      <c r="AK693" s="1210"/>
      <c r="AL693" s="1210"/>
    </row>
    <row r="694" spans="1:38" s="1179" customFormat="1">
      <c r="A694" s="1188"/>
      <c r="B694" s="1188"/>
      <c r="C694" s="1188"/>
      <c r="D694" s="1188"/>
      <c r="E694" s="1210"/>
      <c r="F694" s="1210"/>
      <c r="G694" s="1210"/>
      <c r="H694" s="1191"/>
      <c r="I694" s="1191"/>
      <c r="J694" s="1199"/>
      <c r="K694" s="1191"/>
      <c r="L694" s="1191"/>
      <c r="M694" s="1191"/>
      <c r="N694" s="1191"/>
      <c r="O694" s="1191"/>
      <c r="P694" s="1191"/>
      <c r="Q694" s="1199"/>
      <c r="R694" s="1191"/>
      <c r="S694" s="1191"/>
      <c r="T694" s="1191"/>
      <c r="U694" s="1191"/>
      <c r="V694" s="1191"/>
      <c r="W694" s="1191"/>
      <c r="X694" s="1191"/>
      <c r="Y694" s="1191"/>
      <c r="Z694" s="1191"/>
      <c r="AA694" s="1191"/>
      <c r="AB694" s="1191"/>
      <c r="AC694" s="1210"/>
      <c r="AD694" s="1210"/>
      <c r="AE694" s="1210"/>
      <c r="AF694" s="1210"/>
      <c r="AG694" s="1210"/>
      <c r="AH694" s="1210"/>
      <c r="AI694" s="1210"/>
      <c r="AJ694" s="1210"/>
      <c r="AK694" s="1210"/>
      <c r="AL694" s="1210"/>
    </row>
    <row r="695" spans="1:38" s="1179" customFormat="1">
      <c r="A695" s="1188"/>
      <c r="B695" s="1188"/>
      <c r="C695" s="1188"/>
      <c r="D695" s="1188"/>
      <c r="E695" s="1210"/>
      <c r="F695" s="1210"/>
      <c r="G695" s="1210"/>
      <c r="H695" s="1191"/>
      <c r="I695" s="1191"/>
      <c r="J695" s="1199"/>
      <c r="K695" s="1191"/>
      <c r="L695" s="1191"/>
      <c r="M695" s="1191"/>
      <c r="N695" s="1191"/>
      <c r="O695" s="1191"/>
      <c r="P695" s="1191"/>
      <c r="Q695" s="1199"/>
      <c r="R695" s="1191"/>
      <c r="S695" s="1191"/>
      <c r="T695" s="1191"/>
      <c r="U695" s="1191"/>
      <c r="V695" s="1191"/>
      <c r="W695" s="1191"/>
      <c r="X695" s="1191"/>
      <c r="Y695" s="1191"/>
      <c r="Z695" s="1191"/>
      <c r="AA695" s="1191"/>
      <c r="AB695" s="1191"/>
      <c r="AC695" s="1210"/>
      <c r="AD695" s="1210"/>
      <c r="AE695" s="1210"/>
      <c r="AF695" s="1210"/>
      <c r="AG695" s="1210"/>
      <c r="AH695" s="1210"/>
      <c r="AI695" s="1210"/>
      <c r="AJ695" s="1210"/>
      <c r="AK695" s="1210"/>
      <c r="AL695" s="1210"/>
    </row>
    <row r="696" spans="1:38" s="1179" customFormat="1">
      <c r="A696" s="1188"/>
      <c r="B696" s="1188"/>
      <c r="C696" s="1188"/>
      <c r="D696" s="1188"/>
      <c r="E696" s="1210"/>
      <c r="F696" s="1210"/>
      <c r="G696" s="1210"/>
      <c r="H696" s="1191"/>
      <c r="I696" s="1191"/>
      <c r="J696" s="1199"/>
      <c r="K696" s="1191"/>
      <c r="L696" s="1191"/>
      <c r="M696" s="1191"/>
      <c r="N696" s="1191"/>
      <c r="O696" s="1191"/>
      <c r="P696" s="1191"/>
      <c r="Q696" s="1199"/>
      <c r="R696" s="1191"/>
      <c r="S696" s="1191"/>
      <c r="T696" s="1191"/>
      <c r="U696" s="1191"/>
      <c r="V696" s="1191"/>
      <c r="W696" s="1191"/>
      <c r="X696" s="1191"/>
      <c r="Y696" s="1191"/>
      <c r="Z696" s="1191"/>
      <c r="AA696" s="1191"/>
      <c r="AB696" s="1191"/>
      <c r="AC696" s="1210"/>
      <c r="AD696" s="1210"/>
      <c r="AE696" s="1210"/>
      <c r="AF696" s="1210"/>
      <c r="AG696" s="1210"/>
      <c r="AH696" s="1210"/>
      <c r="AI696" s="1210"/>
      <c r="AJ696" s="1210"/>
      <c r="AK696" s="1210"/>
      <c r="AL696" s="1210"/>
    </row>
    <row r="697" spans="1:38" s="1179" customFormat="1">
      <c r="A697" s="1188"/>
      <c r="B697" s="1188"/>
      <c r="C697" s="1188"/>
      <c r="D697" s="1188"/>
      <c r="E697" s="1210"/>
      <c r="F697" s="1210"/>
      <c r="G697" s="1210"/>
      <c r="H697" s="1191"/>
      <c r="I697" s="1191"/>
      <c r="J697" s="1199"/>
      <c r="K697" s="1191"/>
      <c r="L697" s="1191"/>
      <c r="M697" s="1191"/>
      <c r="N697" s="1191"/>
      <c r="O697" s="1191"/>
      <c r="P697" s="1191"/>
      <c r="Q697" s="1199"/>
      <c r="R697" s="1191"/>
      <c r="S697" s="1191"/>
      <c r="T697" s="1191"/>
      <c r="U697" s="1191"/>
      <c r="V697" s="1191"/>
      <c r="W697" s="1191"/>
      <c r="X697" s="1191"/>
      <c r="Y697" s="1191"/>
      <c r="Z697" s="1191"/>
      <c r="AA697" s="1191"/>
      <c r="AB697" s="1191"/>
      <c r="AC697" s="1210"/>
      <c r="AD697" s="1210"/>
      <c r="AE697" s="1210"/>
      <c r="AF697" s="1210"/>
      <c r="AG697" s="1210"/>
      <c r="AH697" s="1210"/>
      <c r="AI697" s="1210"/>
      <c r="AJ697" s="1210"/>
      <c r="AK697" s="1210"/>
      <c r="AL697" s="1210"/>
    </row>
    <row r="698" spans="1:38" s="1179" customFormat="1">
      <c r="A698" s="1188"/>
      <c r="B698" s="1188"/>
      <c r="C698" s="1188"/>
      <c r="D698" s="1188"/>
      <c r="E698" s="1210"/>
      <c r="F698" s="1210"/>
      <c r="G698" s="1210"/>
      <c r="H698" s="1191"/>
      <c r="I698" s="1191"/>
      <c r="J698" s="1199"/>
      <c r="K698" s="1191"/>
      <c r="L698" s="1191"/>
      <c r="M698" s="1191"/>
      <c r="N698" s="1191"/>
      <c r="O698" s="1191"/>
      <c r="P698" s="1191"/>
      <c r="Q698" s="1199"/>
      <c r="R698" s="1191"/>
      <c r="S698" s="1191"/>
      <c r="T698" s="1191"/>
      <c r="U698" s="1191"/>
      <c r="V698" s="1191"/>
      <c r="W698" s="1191"/>
      <c r="X698" s="1191"/>
      <c r="Y698" s="1191"/>
      <c r="Z698" s="1191"/>
      <c r="AA698" s="1191"/>
      <c r="AB698" s="1191"/>
      <c r="AC698" s="1210"/>
      <c r="AD698" s="1210"/>
      <c r="AE698" s="1210"/>
      <c r="AF698" s="1210"/>
      <c r="AG698" s="1210"/>
      <c r="AH698" s="1210"/>
      <c r="AI698" s="1210"/>
      <c r="AJ698" s="1210"/>
      <c r="AK698" s="1210"/>
      <c r="AL698" s="1210"/>
    </row>
    <row r="699" spans="1:38" s="1179" customFormat="1">
      <c r="A699" s="1188"/>
      <c r="B699" s="1188"/>
      <c r="C699" s="1188"/>
      <c r="D699" s="1188"/>
      <c r="E699" s="1210"/>
      <c r="F699" s="1210"/>
      <c r="G699" s="1210"/>
      <c r="H699" s="1191"/>
      <c r="I699" s="1191"/>
      <c r="J699" s="1199"/>
      <c r="K699" s="1191"/>
      <c r="L699" s="1191"/>
      <c r="M699" s="1191"/>
      <c r="N699" s="1191"/>
      <c r="O699" s="1191"/>
      <c r="P699" s="1191"/>
      <c r="Q699" s="1199"/>
      <c r="R699" s="1191"/>
      <c r="S699" s="1191"/>
      <c r="T699" s="1191"/>
      <c r="U699" s="1191"/>
      <c r="V699" s="1191"/>
      <c r="W699" s="1191"/>
      <c r="X699" s="1191"/>
      <c r="Y699" s="1191"/>
      <c r="Z699" s="1191"/>
      <c r="AA699" s="1191"/>
      <c r="AB699" s="1191"/>
      <c r="AC699" s="1210"/>
      <c r="AD699" s="1210"/>
      <c r="AE699" s="1210"/>
      <c r="AF699" s="1210"/>
      <c r="AG699" s="1210"/>
      <c r="AH699" s="1210"/>
      <c r="AI699" s="1210"/>
      <c r="AJ699" s="1210"/>
      <c r="AK699" s="1210"/>
      <c r="AL699" s="1210"/>
    </row>
    <row r="700" spans="1:38" s="1179" customFormat="1">
      <c r="A700" s="1188"/>
      <c r="B700" s="1188"/>
      <c r="C700" s="1188"/>
      <c r="D700" s="1188"/>
      <c r="E700" s="1210"/>
      <c r="F700" s="1210"/>
      <c r="G700" s="1210"/>
      <c r="H700" s="1191"/>
      <c r="I700" s="1191"/>
      <c r="J700" s="1199"/>
      <c r="K700" s="1191"/>
      <c r="L700" s="1191"/>
      <c r="M700" s="1191"/>
      <c r="N700" s="1191"/>
      <c r="O700" s="1191"/>
      <c r="P700" s="1191"/>
      <c r="Q700" s="1199"/>
      <c r="R700" s="1191"/>
      <c r="S700" s="1191"/>
      <c r="T700" s="1191"/>
      <c r="U700" s="1191"/>
      <c r="V700" s="1191"/>
      <c r="W700" s="1191"/>
      <c r="X700" s="1191"/>
      <c r="Y700" s="1191"/>
      <c r="Z700" s="1191"/>
      <c r="AA700" s="1191"/>
      <c r="AB700" s="1191"/>
      <c r="AC700" s="1210"/>
      <c r="AD700" s="1210"/>
      <c r="AE700" s="1210"/>
      <c r="AF700" s="1210"/>
      <c r="AG700" s="1210"/>
      <c r="AH700" s="1210"/>
      <c r="AI700" s="1210"/>
      <c r="AJ700" s="1210"/>
      <c r="AK700" s="1210"/>
      <c r="AL700" s="1210"/>
    </row>
    <row r="701" spans="1:38" s="1179" customFormat="1">
      <c r="A701" s="1188"/>
      <c r="B701" s="1188"/>
      <c r="C701" s="1188"/>
      <c r="D701" s="1188"/>
      <c r="E701" s="1210"/>
      <c r="F701" s="1210"/>
      <c r="G701" s="1210"/>
      <c r="H701" s="1191"/>
      <c r="I701" s="1191"/>
      <c r="J701" s="1199"/>
      <c r="K701" s="1191"/>
      <c r="L701" s="1191"/>
      <c r="M701" s="1191"/>
      <c r="N701" s="1191"/>
      <c r="O701" s="1191"/>
      <c r="P701" s="1191"/>
      <c r="Q701" s="1199"/>
      <c r="R701" s="1191"/>
      <c r="S701" s="1191"/>
      <c r="T701" s="1191"/>
      <c r="U701" s="1191"/>
      <c r="V701" s="1191"/>
      <c r="W701" s="1191"/>
      <c r="X701" s="1191"/>
      <c r="Y701" s="1191"/>
      <c r="Z701" s="1191"/>
      <c r="AA701" s="1191"/>
      <c r="AB701" s="1191"/>
      <c r="AC701" s="1210"/>
      <c r="AD701" s="1210"/>
      <c r="AE701" s="1210"/>
      <c r="AF701" s="1210"/>
      <c r="AG701" s="1210"/>
      <c r="AH701" s="1210"/>
      <c r="AI701" s="1210"/>
      <c r="AJ701" s="1210"/>
      <c r="AK701" s="1210"/>
      <c r="AL701" s="1210"/>
    </row>
    <row r="702" spans="1:38" s="1179" customFormat="1">
      <c r="A702" s="1188"/>
      <c r="B702" s="1188"/>
      <c r="C702" s="1188"/>
      <c r="D702" s="1188"/>
      <c r="E702" s="1210"/>
      <c r="F702" s="1210"/>
      <c r="G702" s="1210"/>
      <c r="H702" s="1191"/>
      <c r="I702" s="1191"/>
      <c r="J702" s="1199"/>
      <c r="K702" s="1191"/>
      <c r="L702" s="1191"/>
      <c r="M702" s="1191"/>
      <c r="N702" s="1191"/>
      <c r="O702" s="1191"/>
      <c r="P702" s="1191"/>
      <c r="Q702" s="1199"/>
      <c r="R702" s="1191"/>
      <c r="S702" s="1191"/>
      <c r="T702" s="1191"/>
      <c r="U702" s="1191"/>
      <c r="V702" s="1191"/>
      <c r="W702" s="1191"/>
      <c r="X702" s="1191"/>
      <c r="Y702" s="1191"/>
      <c r="Z702" s="1191"/>
      <c r="AA702" s="1191"/>
      <c r="AB702" s="1191"/>
      <c r="AC702" s="1210"/>
      <c r="AD702" s="1210"/>
      <c r="AE702" s="1210"/>
      <c r="AF702" s="1210"/>
      <c r="AG702" s="1210"/>
      <c r="AH702" s="1210"/>
      <c r="AI702" s="1210"/>
      <c r="AJ702" s="1210"/>
      <c r="AK702" s="1210"/>
      <c r="AL702" s="1210"/>
    </row>
    <row r="703" spans="1:38" s="1179" customFormat="1">
      <c r="A703" s="1188"/>
      <c r="B703" s="1188"/>
      <c r="C703" s="1188"/>
      <c r="D703" s="1188"/>
      <c r="E703" s="1210"/>
      <c r="F703" s="1210"/>
      <c r="G703" s="1210"/>
      <c r="H703" s="1191"/>
      <c r="I703" s="1191"/>
      <c r="J703" s="1199"/>
      <c r="K703" s="1191"/>
      <c r="L703" s="1191"/>
      <c r="M703" s="1191"/>
      <c r="N703" s="1191"/>
      <c r="O703" s="1191"/>
      <c r="P703" s="1191"/>
      <c r="Q703" s="1199"/>
      <c r="R703" s="1191"/>
      <c r="S703" s="1191"/>
      <c r="T703" s="1191"/>
      <c r="U703" s="1191"/>
      <c r="V703" s="1191"/>
      <c r="W703" s="1191"/>
      <c r="X703" s="1191"/>
      <c r="Y703" s="1191"/>
      <c r="Z703" s="1191"/>
      <c r="AA703" s="1191"/>
      <c r="AB703" s="1191"/>
      <c r="AC703" s="1210"/>
      <c r="AD703" s="1210"/>
      <c r="AE703" s="1210"/>
      <c r="AF703" s="1210"/>
      <c r="AG703" s="1210"/>
      <c r="AH703" s="1210"/>
      <c r="AI703" s="1210"/>
      <c r="AJ703" s="1210"/>
      <c r="AK703" s="1210"/>
      <c r="AL703" s="1210"/>
    </row>
    <row r="704" spans="1:38" s="1179" customFormat="1">
      <c r="A704" s="1188"/>
      <c r="B704" s="1188"/>
      <c r="C704" s="1188"/>
      <c r="D704" s="1188"/>
      <c r="E704" s="1210"/>
      <c r="F704" s="1210"/>
      <c r="G704" s="1210"/>
      <c r="H704" s="1191"/>
      <c r="I704" s="1191"/>
      <c r="J704" s="1199"/>
      <c r="K704" s="1191"/>
      <c r="L704" s="1191"/>
      <c r="M704" s="1191"/>
      <c r="N704" s="1191"/>
      <c r="O704" s="1191"/>
      <c r="P704" s="1191"/>
      <c r="Q704" s="1199"/>
      <c r="R704" s="1191"/>
      <c r="S704" s="1191"/>
      <c r="T704" s="1191"/>
      <c r="U704" s="1191"/>
      <c r="V704" s="1191"/>
      <c r="W704" s="1191"/>
      <c r="X704" s="1191"/>
      <c r="Y704" s="1191"/>
      <c r="Z704" s="1191"/>
      <c r="AA704" s="1191"/>
      <c r="AB704" s="1191"/>
      <c r="AC704" s="1210"/>
      <c r="AD704" s="1210"/>
      <c r="AE704" s="1210"/>
      <c r="AF704" s="1210"/>
      <c r="AG704" s="1210"/>
      <c r="AH704" s="1210"/>
      <c r="AI704" s="1210"/>
      <c r="AJ704" s="1210"/>
      <c r="AK704" s="1210"/>
      <c r="AL704" s="1210"/>
    </row>
    <row r="705" spans="1:38" s="1179" customFormat="1">
      <c r="A705" s="1188"/>
      <c r="B705" s="1188"/>
      <c r="C705" s="1188"/>
      <c r="D705" s="1188"/>
      <c r="E705" s="1210"/>
      <c r="F705" s="1210"/>
      <c r="G705" s="1210"/>
      <c r="H705" s="1191"/>
      <c r="I705" s="1191"/>
      <c r="J705" s="1199"/>
      <c r="K705" s="1191"/>
      <c r="L705" s="1191"/>
      <c r="M705" s="1191"/>
      <c r="N705" s="1191"/>
      <c r="O705" s="1191"/>
      <c r="P705" s="1191"/>
      <c r="Q705" s="1199"/>
      <c r="R705" s="1191"/>
      <c r="S705" s="1191"/>
      <c r="T705" s="1191"/>
      <c r="U705" s="1191"/>
      <c r="V705" s="1191"/>
      <c r="W705" s="1191"/>
      <c r="X705" s="1191"/>
      <c r="Y705" s="1191"/>
      <c r="Z705" s="1191"/>
      <c r="AA705" s="1191"/>
      <c r="AB705" s="1191"/>
      <c r="AC705" s="1210"/>
      <c r="AD705" s="1210"/>
      <c r="AE705" s="1210"/>
      <c r="AF705" s="1210"/>
      <c r="AG705" s="1210"/>
      <c r="AH705" s="1210"/>
      <c r="AI705" s="1210"/>
      <c r="AJ705" s="1210"/>
      <c r="AK705" s="1210"/>
      <c r="AL705" s="1210"/>
    </row>
    <row r="706" spans="1:38" s="1179" customFormat="1">
      <c r="A706" s="1188"/>
      <c r="B706" s="1188"/>
      <c r="C706" s="1188"/>
      <c r="D706" s="1188"/>
      <c r="E706" s="1210"/>
      <c r="F706" s="1210"/>
      <c r="G706" s="1210"/>
      <c r="H706" s="1191"/>
      <c r="I706" s="1191"/>
      <c r="J706" s="1199"/>
      <c r="K706" s="1191"/>
      <c r="L706" s="1191"/>
      <c r="M706" s="1191"/>
      <c r="N706" s="1191"/>
      <c r="O706" s="1191"/>
      <c r="P706" s="1191"/>
      <c r="Q706" s="1199"/>
      <c r="R706" s="1191"/>
      <c r="S706" s="1191"/>
      <c r="T706" s="1191"/>
      <c r="U706" s="1191"/>
      <c r="V706" s="1191"/>
      <c r="W706" s="1191"/>
      <c r="X706" s="1191"/>
      <c r="Y706" s="1191"/>
      <c r="Z706" s="1191"/>
      <c r="AA706" s="1191"/>
      <c r="AB706" s="1191"/>
      <c r="AC706" s="1210"/>
      <c r="AD706" s="1210"/>
      <c r="AE706" s="1210"/>
      <c r="AF706" s="1210"/>
      <c r="AG706" s="1210"/>
      <c r="AH706" s="1210"/>
      <c r="AI706" s="1210"/>
      <c r="AJ706" s="1210"/>
      <c r="AK706" s="1210"/>
      <c r="AL706" s="1210"/>
    </row>
    <row r="707" spans="1:38" s="1179" customFormat="1">
      <c r="A707" s="1188"/>
      <c r="B707" s="1188"/>
      <c r="C707" s="1188"/>
      <c r="D707" s="1188"/>
      <c r="E707" s="1210"/>
      <c r="F707" s="1210"/>
      <c r="G707" s="1210"/>
      <c r="H707" s="1191"/>
      <c r="I707" s="1191"/>
      <c r="J707" s="1199"/>
      <c r="K707" s="1191"/>
      <c r="L707" s="1191"/>
      <c r="M707" s="1191"/>
      <c r="N707" s="1191"/>
      <c r="O707" s="1191"/>
      <c r="P707" s="1191"/>
      <c r="Q707" s="1199"/>
      <c r="R707" s="1191"/>
      <c r="S707" s="1191"/>
      <c r="T707" s="1191"/>
      <c r="U707" s="1191"/>
      <c r="V707" s="1191"/>
      <c r="W707" s="1191"/>
      <c r="X707" s="1191"/>
      <c r="Y707" s="1191"/>
      <c r="Z707" s="1191"/>
      <c r="AA707" s="1191"/>
      <c r="AB707" s="1191"/>
      <c r="AC707" s="1210"/>
      <c r="AD707" s="1210"/>
      <c r="AE707" s="1210"/>
      <c r="AF707" s="1210"/>
      <c r="AG707" s="1210"/>
      <c r="AH707" s="1210"/>
      <c r="AI707" s="1210"/>
      <c r="AJ707" s="1210"/>
      <c r="AK707" s="1210"/>
      <c r="AL707" s="1210"/>
    </row>
    <row r="708" spans="1:38" s="1179" customFormat="1">
      <c r="A708" s="1188"/>
      <c r="B708" s="1188"/>
      <c r="C708" s="1188"/>
      <c r="D708" s="1188"/>
      <c r="E708" s="1210"/>
      <c r="F708" s="1210"/>
      <c r="G708" s="1210"/>
      <c r="H708" s="1191"/>
      <c r="I708" s="1191"/>
      <c r="J708" s="1199"/>
      <c r="K708" s="1191"/>
      <c r="L708" s="1191"/>
      <c r="M708" s="1191"/>
      <c r="N708" s="1191"/>
      <c r="O708" s="1191"/>
      <c r="P708" s="1191"/>
      <c r="Q708" s="1199"/>
      <c r="R708" s="1191"/>
      <c r="S708" s="1191"/>
      <c r="T708" s="1191"/>
      <c r="U708" s="1191"/>
      <c r="V708" s="1191"/>
      <c r="W708" s="1191"/>
      <c r="X708" s="1191"/>
      <c r="Y708" s="1191"/>
      <c r="Z708" s="1191"/>
      <c r="AA708" s="1191"/>
      <c r="AB708" s="1191"/>
      <c r="AC708" s="1210"/>
      <c r="AD708" s="1210"/>
      <c r="AE708" s="1210"/>
      <c r="AF708" s="1210"/>
      <c r="AG708" s="1210"/>
      <c r="AH708" s="1210"/>
      <c r="AI708" s="1210"/>
      <c r="AJ708" s="1210"/>
      <c r="AK708" s="1210"/>
      <c r="AL708" s="1210"/>
    </row>
    <row r="709" spans="1:38" s="1179" customFormat="1">
      <c r="A709" s="1188"/>
      <c r="B709" s="1188"/>
      <c r="C709" s="1188"/>
      <c r="D709" s="1188"/>
      <c r="E709" s="1210"/>
      <c r="F709" s="1210"/>
      <c r="G709" s="1210"/>
      <c r="H709" s="1191"/>
      <c r="I709" s="1191"/>
      <c r="J709" s="1199"/>
      <c r="K709" s="1191"/>
      <c r="L709" s="1191"/>
      <c r="M709" s="1191"/>
      <c r="N709" s="1191"/>
      <c r="O709" s="1191"/>
      <c r="P709" s="1191"/>
      <c r="Q709" s="1199"/>
      <c r="R709" s="1191"/>
      <c r="S709" s="1191"/>
      <c r="T709" s="1191"/>
      <c r="U709" s="1191"/>
      <c r="V709" s="1191"/>
      <c r="W709" s="1191"/>
      <c r="X709" s="1191"/>
      <c r="Y709" s="1191"/>
      <c r="Z709" s="1191"/>
      <c r="AA709" s="1191"/>
      <c r="AB709" s="1191"/>
      <c r="AC709" s="1210"/>
      <c r="AD709" s="1210"/>
      <c r="AE709" s="1210"/>
      <c r="AF709" s="1210"/>
      <c r="AG709" s="1210"/>
      <c r="AH709" s="1210"/>
      <c r="AI709" s="1210"/>
      <c r="AJ709" s="1210"/>
      <c r="AK709" s="1210"/>
      <c r="AL709" s="1210"/>
    </row>
    <row r="710" spans="1:38" s="1179" customFormat="1">
      <c r="A710" s="1188"/>
      <c r="B710" s="1188"/>
      <c r="C710" s="1188"/>
      <c r="D710" s="1188"/>
      <c r="E710" s="1210"/>
      <c r="F710" s="1210"/>
      <c r="G710" s="1210"/>
      <c r="H710" s="1191"/>
      <c r="I710" s="1191"/>
      <c r="J710" s="1199"/>
      <c r="K710" s="1191"/>
      <c r="L710" s="1191"/>
      <c r="M710" s="1191"/>
      <c r="N710" s="1191"/>
      <c r="O710" s="1191"/>
      <c r="P710" s="1191"/>
      <c r="Q710" s="1199"/>
      <c r="R710" s="1191"/>
      <c r="S710" s="1191"/>
      <c r="T710" s="1191"/>
      <c r="U710" s="1191"/>
      <c r="V710" s="1191"/>
      <c r="W710" s="1191"/>
      <c r="X710" s="1191"/>
      <c r="Y710" s="1191"/>
      <c r="Z710" s="1191"/>
      <c r="AA710" s="1191"/>
      <c r="AB710" s="1191"/>
      <c r="AC710" s="1210"/>
      <c r="AD710" s="1210"/>
      <c r="AE710" s="1210"/>
      <c r="AF710" s="1210"/>
      <c r="AG710" s="1210"/>
      <c r="AH710" s="1210"/>
      <c r="AI710" s="1210"/>
      <c r="AJ710" s="1210"/>
      <c r="AK710" s="1210"/>
      <c r="AL710" s="1210"/>
    </row>
    <row r="711" spans="1:38" s="1179" customFormat="1">
      <c r="A711" s="1188"/>
      <c r="B711" s="1188"/>
      <c r="C711" s="1188"/>
      <c r="D711" s="1188"/>
      <c r="E711" s="1210"/>
      <c r="F711" s="1210"/>
      <c r="G711" s="1210"/>
      <c r="H711" s="1191"/>
      <c r="I711" s="1191"/>
      <c r="J711" s="1199"/>
      <c r="K711" s="1191"/>
      <c r="L711" s="1191"/>
      <c r="M711" s="1191"/>
      <c r="N711" s="1191"/>
      <c r="O711" s="1191"/>
      <c r="P711" s="1191"/>
      <c r="Q711" s="1199"/>
      <c r="R711" s="1191"/>
      <c r="S711" s="1191"/>
      <c r="T711" s="1191"/>
      <c r="U711" s="1191"/>
      <c r="V711" s="1191"/>
      <c r="W711" s="1191"/>
      <c r="X711" s="1191"/>
      <c r="Y711" s="1191"/>
      <c r="Z711" s="1191"/>
      <c r="AA711" s="1191"/>
      <c r="AB711" s="1191"/>
      <c r="AC711" s="1210"/>
      <c r="AD711" s="1210"/>
      <c r="AE711" s="1210"/>
      <c r="AF711" s="1210"/>
      <c r="AG711" s="1210"/>
      <c r="AH711" s="1210"/>
      <c r="AI711" s="1210"/>
      <c r="AJ711" s="1210"/>
      <c r="AK711" s="1210"/>
      <c r="AL711" s="1210"/>
    </row>
    <row r="712" spans="1:38" s="1179" customFormat="1">
      <c r="A712" s="1188"/>
      <c r="B712" s="1188"/>
      <c r="C712" s="1188"/>
      <c r="D712" s="1188"/>
      <c r="E712" s="1210"/>
      <c r="F712" s="1210"/>
      <c r="G712" s="1210"/>
      <c r="H712" s="1191"/>
      <c r="I712" s="1191"/>
      <c r="J712" s="1199"/>
      <c r="K712" s="1191"/>
      <c r="L712" s="1191"/>
      <c r="M712" s="1191"/>
      <c r="N712" s="1191"/>
      <c r="O712" s="1191"/>
      <c r="P712" s="1191"/>
      <c r="Q712" s="1199"/>
      <c r="R712" s="1191"/>
      <c r="S712" s="1191"/>
      <c r="T712" s="1191"/>
      <c r="U712" s="1191"/>
      <c r="V712" s="1191"/>
      <c r="W712" s="1191"/>
      <c r="X712" s="1191"/>
      <c r="Y712" s="1191"/>
      <c r="Z712" s="1191"/>
      <c r="AA712" s="1191"/>
      <c r="AB712" s="1191"/>
      <c r="AC712" s="1210"/>
      <c r="AD712" s="1210"/>
      <c r="AE712" s="1210"/>
      <c r="AF712" s="1210"/>
      <c r="AG712" s="1210"/>
      <c r="AH712" s="1210"/>
      <c r="AI712" s="1210"/>
      <c r="AJ712" s="1210"/>
      <c r="AK712" s="1210"/>
      <c r="AL712" s="1210"/>
    </row>
    <row r="713" spans="1:38" s="1179" customFormat="1">
      <c r="A713" s="1188"/>
      <c r="B713" s="1188"/>
      <c r="C713" s="1188"/>
      <c r="D713" s="1188"/>
      <c r="E713" s="1210"/>
      <c r="F713" s="1210"/>
      <c r="G713" s="1210"/>
      <c r="H713" s="1191"/>
      <c r="I713" s="1191"/>
      <c r="J713" s="1199"/>
      <c r="K713" s="1191"/>
      <c r="L713" s="1191"/>
      <c r="M713" s="1191"/>
      <c r="N713" s="1191"/>
      <c r="O713" s="1191"/>
      <c r="P713" s="1191"/>
      <c r="Q713" s="1199"/>
      <c r="R713" s="1191"/>
      <c r="S713" s="1191"/>
      <c r="T713" s="1191"/>
      <c r="U713" s="1191"/>
      <c r="V713" s="1191"/>
      <c r="W713" s="1191"/>
      <c r="X713" s="1191"/>
      <c r="Y713" s="1191"/>
      <c r="Z713" s="1191"/>
      <c r="AA713" s="1191"/>
      <c r="AB713" s="1191"/>
      <c r="AC713" s="1210"/>
      <c r="AD713" s="1210"/>
      <c r="AE713" s="1210"/>
      <c r="AF713" s="1210"/>
      <c r="AG713" s="1210"/>
      <c r="AH713" s="1210"/>
      <c r="AI713" s="1210"/>
      <c r="AJ713" s="1210"/>
      <c r="AK713" s="1210"/>
      <c r="AL713" s="1210"/>
    </row>
    <row r="714" spans="1:38" s="1179" customFormat="1">
      <c r="A714" s="1188"/>
      <c r="B714" s="1188"/>
      <c r="C714" s="1188"/>
      <c r="D714" s="1188"/>
      <c r="E714" s="1210"/>
      <c r="F714" s="1210"/>
      <c r="G714" s="1210"/>
      <c r="H714" s="1191"/>
      <c r="I714" s="1191"/>
      <c r="J714" s="1199"/>
      <c r="K714" s="1191"/>
      <c r="L714" s="1191"/>
      <c r="M714" s="1191"/>
      <c r="N714" s="1191"/>
      <c r="O714" s="1191"/>
      <c r="P714" s="1191"/>
      <c r="Q714" s="1199"/>
      <c r="R714" s="1191"/>
      <c r="S714" s="1191"/>
      <c r="T714" s="1191"/>
      <c r="U714" s="1191"/>
      <c r="V714" s="1191"/>
      <c r="W714" s="1191"/>
      <c r="X714" s="1191"/>
      <c r="Y714" s="1191"/>
      <c r="Z714" s="1191"/>
      <c r="AA714" s="1191"/>
      <c r="AB714" s="1191"/>
      <c r="AC714" s="1210"/>
      <c r="AD714" s="1210"/>
      <c r="AE714" s="1210"/>
      <c r="AF714" s="1210"/>
      <c r="AG714" s="1210"/>
      <c r="AH714" s="1210"/>
      <c r="AI714" s="1210"/>
      <c r="AJ714" s="1210"/>
      <c r="AK714" s="1210"/>
      <c r="AL714" s="1210"/>
    </row>
    <row r="715" spans="1:38" s="1179" customFormat="1">
      <c r="A715" s="1188"/>
      <c r="B715" s="1188"/>
      <c r="C715" s="1188"/>
      <c r="D715" s="1188"/>
      <c r="E715" s="1210"/>
      <c r="F715" s="1210"/>
      <c r="G715" s="1210"/>
      <c r="H715" s="1191"/>
      <c r="I715" s="1191"/>
      <c r="J715" s="1199"/>
      <c r="K715" s="1191"/>
      <c r="L715" s="1191"/>
      <c r="M715" s="1191"/>
      <c r="N715" s="1191"/>
      <c r="O715" s="1191"/>
      <c r="P715" s="1191"/>
      <c r="Q715" s="1199"/>
      <c r="R715" s="1191"/>
      <c r="S715" s="1191"/>
      <c r="T715" s="1191"/>
      <c r="U715" s="1191"/>
      <c r="V715" s="1191"/>
      <c r="W715" s="1191"/>
      <c r="X715" s="1191"/>
      <c r="Y715" s="1191"/>
      <c r="Z715" s="1191"/>
      <c r="AA715" s="1191"/>
      <c r="AB715" s="1191"/>
      <c r="AC715" s="1210"/>
      <c r="AD715" s="1210"/>
      <c r="AE715" s="1210"/>
      <c r="AF715" s="1210"/>
      <c r="AG715" s="1210"/>
      <c r="AH715" s="1210"/>
      <c r="AI715" s="1210"/>
      <c r="AJ715" s="1210"/>
      <c r="AK715" s="1210"/>
      <c r="AL715" s="1210"/>
    </row>
    <row r="716" spans="1:38" s="1179" customFormat="1">
      <c r="A716" s="1188"/>
      <c r="B716" s="1188"/>
      <c r="C716" s="1188"/>
      <c r="D716" s="1188"/>
      <c r="E716" s="1210"/>
      <c r="F716" s="1210"/>
      <c r="G716" s="1210"/>
      <c r="H716" s="1191"/>
      <c r="I716" s="1191"/>
      <c r="J716" s="1199"/>
      <c r="K716" s="1191"/>
      <c r="L716" s="1191"/>
      <c r="M716" s="1191"/>
      <c r="N716" s="1191"/>
      <c r="O716" s="1191"/>
      <c r="P716" s="1191"/>
      <c r="Q716" s="1199"/>
      <c r="R716" s="1191"/>
      <c r="S716" s="1191"/>
      <c r="T716" s="1191"/>
      <c r="U716" s="1191"/>
      <c r="V716" s="1191"/>
      <c r="W716" s="1191"/>
      <c r="X716" s="1191"/>
      <c r="Y716" s="1191"/>
      <c r="Z716" s="1191"/>
      <c r="AA716" s="1191"/>
      <c r="AB716" s="1191"/>
      <c r="AC716" s="1210"/>
      <c r="AD716" s="1210"/>
      <c r="AE716" s="1210"/>
      <c r="AF716" s="1210"/>
      <c r="AG716" s="1210"/>
      <c r="AH716" s="1210"/>
      <c r="AI716" s="1210"/>
      <c r="AJ716" s="1210"/>
      <c r="AK716" s="1210"/>
      <c r="AL716" s="1210"/>
    </row>
    <row r="717" spans="1:38" s="1179" customFormat="1">
      <c r="A717" s="1188"/>
      <c r="B717" s="1188"/>
      <c r="C717" s="1188"/>
      <c r="D717" s="1188"/>
      <c r="E717" s="1210"/>
      <c r="F717" s="1210"/>
      <c r="G717" s="1210"/>
      <c r="H717" s="1191"/>
      <c r="I717" s="1191"/>
      <c r="J717" s="1199"/>
      <c r="K717" s="1191"/>
      <c r="L717" s="1191"/>
      <c r="M717" s="1191"/>
      <c r="N717" s="1191"/>
      <c r="O717" s="1191"/>
      <c r="P717" s="1191"/>
      <c r="Q717" s="1199"/>
      <c r="R717" s="1191"/>
      <c r="S717" s="1191"/>
      <c r="T717" s="1191"/>
      <c r="U717" s="1191"/>
      <c r="V717" s="1191"/>
      <c r="W717" s="1191"/>
      <c r="X717" s="1191"/>
      <c r="Y717" s="1191"/>
      <c r="Z717" s="1191"/>
      <c r="AA717" s="1191"/>
      <c r="AB717" s="1191"/>
      <c r="AC717" s="1210"/>
      <c r="AD717" s="1210"/>
      <c r="AE717" s="1210"/>
      <c r="AF717" s="1210"/>
      <c r="AG717" s="1210"/>
      <c r="AH717" s="1210"/>
      <c r="AI717" s="1210"/>
      <c r="AJ717" s="1210"/>
      <c r="AK717" s="1210"/>
      <c r="AL717" s="1210"/>
    </row>
    <row r="718" spans="1:38" s="1179" customFormat="1">
      <c r="A718" s="1188"/>
      <c r="B718" s="1188"/>
      <c r="C718" s="1188"/>
      <c r="D718" s="1188"/>
      <c r="E718" s="1210"/>
      <c r="F718" s="1210"/>
      <c r="G718" s="1210"/>
      <c r="H718" s="1191"/>
      <c r="I718" s="1191"/>
      <c r="J718" s="1199"/>
      <c r="K718" s="1191"/>
      <c r="L718" s="1191"/>
      <c r="M718" s="1191"/>
      <c r="N718" s="1191"/>
      <c r="O718" s="1191"/>
      <c r="P718" s="1191"/>
      <c r="Q718" s="1199"/>
      <c r="R718" s="1191"/>
      <c r="S718" s="1191"/>
      <c r="T718" s="1191"/>
      <c r="U718" s="1191"/>
      <c r="V718" s="1191"/>
      <c r="W718" s="1191"/>
      <c r="X718" s="1191"/>
      <c r="Y718" s="1191"/>
      <c r="Z718" s="1191"/>
      <c r="AA718" s="1191"/>
      <c r="AB718" s="1191"/>
      <c r="AC718" s="1210"/>
      <c r="AD718" s="1210"/>
      <c r="AE718" s="1210"/>
      <c r="AF718" s="1210"/>
      <c r="AG718" s="1210"/>
      <c r="AH718" s="1210"/>
      <c r="AI718" s="1210"/>
      <c r="AJ718" s="1210"/>
      <c r="AK718" s="1210"/>
      <c r="AL718" s="1210"/>
    </row>
    <row r="719" spans="1:38" s="1179" customFormat="1">
      <c r="A719" s="1188"/>
      <c r="B719" s="1188"/>
      <c r="C719" s="1188"/>
      <c r="D719" s="1188"/>
      <c r="E719" s="1210"/>
      <c r="F719" s="1210"/>
      <c r="G719" s="1210"/>
      <c r="H719" s="1191"/>
      <c r="I719" s="1191"/>
      <c r="J719" s="1199"/>
      <c r="K719" s="1191"/>
      <c r="L719" s="1191"/>
      <c r="M719" s="1191"/>
      <c r="N719" s="1191"/>
      <c r="O719" s="1191"/>
      <c r="P719" s="1191"/>
      <c r="Q719" s="1199"/>
      <c r="R719" s="1191"/>
      <c r="S719" s="1191"/>
      <c r="T719" s="1191"/>
      <c r="U719" s="1191"/>
      <c r="V719" s="1191"/>
      <c r="W719" s="1191"/>
      <c r="X719" s="1191"/>
      <c r="Y719" s="1191"/>
      <c r="Z719" s="1191"/>
      <c r="AA719" s="1191"/>
      <c r="AB719" s="1191"/>
      <c r="AC719" s="1210"/>
      <c r="AD719" s="1210"/>
      <c r="AE719" s="1210"/>
      <c r="AF719" s="1210"/>
      <c r="AG719" s="1210"/>
      <c r="AH719" s="1210"/>
      <c r="AI719" s="1210"/>
      <c r="AJ719" s="1210"/>
      <c r="AK719" s="1210"/>
      <c r="AL719" s="1210"/>
    </row>
    <row r="720" spans="1:38" s="1179" customFormat="1">
      <c r="A720" s="1188"/>
      <c r="B720" s="1188"/>
      <c r="C720" s="1188"/>
      <c r="D720" s="1188"/>
      <c r="E720" s="1210"/>
      <c r="F720" s="1210"/>
      <c r="G720" s="1210"/>
      <c r="H720" s="1191"/>
      <c r="I720" s="1191"/>
      <c r="J720" s="1199"/>
      <c r="K720" s="1191"/>
      <c r="L720" s="1191"/>
      <c r="M720" s="1191"/>
      <c r="N720" s="1191"/>
      <c r="O720" s="1191"/>
      <c r="P720" s="1191"/>
      <c r="Q720" s="1199"/>
      <c r="R720" s="1191"/>
      <c r="S720" s="1191"/>
      <c r="T720" s="1191"/>
      <c r="U720" s="1191"/>
      <c r="V720" s="1191"/>
      <c r="W720" s="1191"/>
      <c r="X720" s="1191"/>
      <c r="Y720" s="1191"/>
      <c r="Z720" s="1191"/>
      <c r="AA720" s="1191"/>
      <c r="AB720" s="1191"/>
      <c r="AC720" s="1210"/>
      <c r="AD720" s="1210"/>
      <c r="AE720" s="1210"/>
      <c r="AF720" s="1210"/>
      <c r="AG720" s="1210"/>
      <c r="AH720" s="1210"/>
      <c r="AI720" s="1210"/>
      <c r="AJ720" s="1210"/>
      <c r="AK720" s="1210"/>
      <c r="AL720" s="1210"/>
    </row>
    <row r="721" spans="1:38" s="1179" customFormat="1">
      <c r="A721" s="1188"/>
      <c r="B721" s="1188"/>
      <c r="C721" s="1188"/>
      <c r="D721" s="1188"/>
      <c r="E721" s="1210"/>
      <c r="F721" s="1210"/>
      <c r="G721" s="1210"/>
      <c r="H721" s="1191"/>
      <c r="I721" s="1191"/>
      <c r="J721" s="1199"/>
      <c r="K721" s="1191"/>
      <c r="L721" s="1191"/>
      <c r="M721" s="1191"/>
      <c r="N721" s="1191"/>
      <c r="O721" s="1191"/>
      <c r="P721" s="1191"/>
      <c r="Q721" s="1199"/>
      <c r="R721" s="1191"/>
      <c r="S721" s="1191"/>
      <c r="T721" s="1191"/>
      <c r="U721" s="1191"/>
      <c r="V721" s="1191"/>
      <c r="W721" s="1191"/>
      <c r="X721" s="1191"/>
      <c r="Y721" s="1191"/>
      <c r="Z721" s="1191"/>
      <c r="AA721" s="1191"/>
      <c r="AB721" s="1191"/>
      <c r="AC721" s="1210"/>
      <c r="AD721" s="1210"/>
      <c r="AE721" s="1210"/>
      <c r="AF721" s="1210"/>
      <c r="AG721" s="1210"/>
      <c r="AH721" s="1210"/>
      <c r="AI721" s="1210"/>
      <c r="AJ721" s="1210"/>
      <c r="AK721" s="1210"/>
      <c r="AL721" s="1210"/>
    </row>
    <row r="722" spans="1:38" s="1179" customFormat="1">
      <c r="A722" s="1188"/>
      <c r="B722" s="1188"/>
      <c r="C722" s="1188"/>
      <c r="D722" s="1188"/>
      <c r="E722" s="1210"/>
      <c r="F722" s="1210"/>
      <c r="G722" s="1210"/>
      <c r="H722" s="1191"/>
      <c r="I722" s="1191"/>
      <c r="J722" s="1199"/>
      <c r="K722" s="1191"/>
      <c r="L722" s="1191"/>
      <c r="M722" s="1191"/>
      <c r="N722" s="1191"/>
      <c r="O722" s="1191"/>
      <c r="P722" s="1191"/>
      <c r="Q722" s="1199"/>
      <c r="R722" s="1191"/>
      <c r="S722" s="1191"/>
      <c r="T722" s="1191"/>
      <c r="U722" s="1191"/>
      <c r="V722" s="1191"/>
      <c r="W722" s="1191"/>
      <c r="X722" s="1191"/>
      <c r="Y722" s="1191"/>
      <c r="Z722" s="1191"/>
      <c r="AA722" s="1191"/>
      <c r="AB722" s="1191"/>
      <c r="AC722" s="1210"/>
      <c r="AD722" s="1210"/>
      <c r="AE722" s="1210"/>
      <c r="AF722" s="1210"/>
      <c r="AG722" s="1210"/>
      <c r="AH722" s="1210"/>
      <c r="AI722" s="1210"/>
      <c r="AJ722" s="1210"/>
      <c r="AK722" s="1210"/>
      <c r="AL722" s="1210"/>
    </row>
    <row r="723" spans="1:38" s="1179" customFormat="1">
      <c r="A723" s="1188"/>
      <c r="B723" s="1188"/>
      <c r="C723" s="1188"/>
      <c r="D723" s="1188"/>
      <c r="E723" s="1210"/>
      <c r="F723" s="1210"/>
      <c r="G723" s="1210"/>
      <c r="H723" s="1191"/>
      <c r="I723" s="1191"/>
      <c r="J723" s="1199"/>
      <c r="K723" s="1191"/>
      <c r="L723" s="1191"/>
      <c r="M723" s="1191"/>
      <c r="N723" s="1191"/>
      <c r="O723" s="1191"/>
      <c r="P723" s="1191"/>
      <c r="Q723" s="1199"/>
      <c r="R723" s="1191"/>
      <c r="S723" s="1191"/>
      <c r="T723" s="1191"/>
      <c r="U723" s="1191"/>
      <c r="V723" s="1191"/>
      <c r="W723" s="1191"/>
      <c r="X723" s="1191"/>
      <c r="Y723" s="1191"/>
      <c r="Z723" s="1191"/>
      <c r="AA723" s="1191"/>
      <c r="AB723" s="1191"/>
      <c r="AC723" s="1210"/>
      <c r="AD723" s="1210"/>
      <c r="AE723" s="1210"/>
      <c r="AF723" s="1210"/>
      <c r="AG723" s="1210"/>
      <c r="AH723" s="1210"/>
      <c r="AI723" s="1210"/>
      <c r="AJ723" s="1210"/>
      <c r="AK723" s="1210"/>
      <c r="AL723" s="1210"/>
    </row>
    <row r="724" spans="1:38" s="1179" customFormat="1">
      <c r="A724" s="1188"/>
      <c r="B724" s="1188"/>
      <c r="C724" s="1188"/>
      <c r="D724" s="1188"/>
      <c r="E724" s="1210"/>
      <c r="F724" s="1210"/>
      <c r="G724" s="1210"/>
      <c r="H724" s="1191"/>
      <c r="I724" s="1191"/>
      <c r="J724" s="1199"/>
      <c r="K724" s="1191"/>
      <c r="L724" s="1191"/>
      <c r="M724" s="1191"/>
      <c r="N724" s="1191"/>
      <c r="O724" s="1191"/>
      <c r="P724" s="1191"/>
      <c r="Q724" s="1199"/>
      <c r="R724" s="1191"/>
      <c r="S724" s="1191"/>
      <c r="T724" s="1191"/>
      <c r="U724" s="1191"/>
      <c r="V724" s="1191"/>
      <c r="W724" s="1191"/>
      <c r="X724" s="1191"/>
      <c r="Y724" s="1191"/>
      <c r="Z724" s="1191"/>
      <c r="AA724" s="1191"/>
      <c r="AB724" s="1191"/>
      <c r="AC724" s="1210"/>
      <c r="AD724" s="1210"/>
      <c r="AE724" s="1210"/>
      <c r="AF724" s="1210"/>
      <c r="AG724" s="1210"/>
      <c r="AH724" s="1210"/>
      <c r="AI724" s="1210"/>
      <c r="AJ724" s="1210"/>
      <c r="AK724" s="1210"/>
      <c r="AL724" s="1210"/>
    </row>
    <row r="725" spans="1:38" s="1179" customFormat="1">
      <c r="A725" s="1188"/>
      <c r="B725" s="1188"/>
      <c r="C725" s="1188"/>
      <c r="D725" s="1188"/>
      <c r="E725" s="1210"/>
      <c r="F725" s="1210"/>
      <c r="G725" s="1210"/>
      <c r="H725" s="1191"/>
      <c r="I725" s="1191"/>
      <c r="J725" s="1199"/>
      <c r="K725" s="1191"/>
      <c r="L725" s="1191"/>
      <c r="M725" s="1191"/>
      <c r="N725" s="1191"/>
      <c r="O725" s="1191"/>
      <c r="P725" s="1191"/>
      <c r="Q725" s="1199"/>
      <c r="R725" s="1191"/>
      <c r="S725" s="1191"/>
      <c r="T725" s="1191"/>
      <c r="U725" s="1191"/>
      <c r="V725" s="1191"/>
      <c r="W725" s="1191"/>
      <c r="X725" s="1191"/>
      <c r="Y725" s="1191"/>
      <c r="Z725" s="1191"/>
      <c r="AA725" s="1191"/>
      <c r="AB725" s="1191"/>
      <c r="AC725" s="1210"/>
      <c r="AD725" s="1210"/>
      <c r="AE725" s="1210"/>
      <c r="AF725" s="1210"/>
      <c r="AG725" s="1210"/>
      <c r="AH725" s="1210"/>
      <c r="AI725" s="1210"/>
      <c r="AJ725" s="1210"/>
      <c r="AK725" s="1210"/>
      <c r="AL725" s="1210"/>
    </row>
    <row r="726" spans="1:38" s="1179" customFormat="1">
      <c r="A726" s="1188"/>
      <c r="B726" s="1188"/>
      <c r="C726" s="1188"/>
      <c r="D726" s="1188"/>
      <c r="E726" s="1210"/>
      <c r="F726" s="1210"/>
      <c r="G726" s="1210"/>
      <c r="H726" s="1191"/>
      <c r="I726" s="1191"/>
      <c r="J726" s="1199"/>
      <c r="K726" s="1191"/>
      <c r="L726" s="1191"/>
      <c r="M726" s="1191"/>
      <c r="N726" s="1191"/>
      <c r="O726" s="1191"/>
      <c r="P726" s="1191"/>
      <c r="Q726" s="1199"/>
      <c r="R726" s="1191"/>
      <c r="S726" s="1191"/>
      <c r="T726" s="1191"/>
      <c r="U726" s="1191"/>
      <c r="V726" s="1191"/>
      <c r="W726" s="1191"/>
      <c r="X726" s="1191"/>
      <c r="Y726" s="1191"/>
      <c r="Z726" s="1191"/>
      <c r="AA726" s="1191"/>
      <c r="AB726" s="1191"/>
      <c r="AC726" s="1210"/>
      <c r="AD726" s="1210"/>
      <c r="AE726" s="1210"/>
      <c r="AF726" s="1210"/>
      <c r="AG726" s="1210"/>
      <c r="AH726" s="1210"/>
      <c r="AI726" s="1210"/>
      <c r="AJ726" s="1210"/>
      <c r="AK726" s="1210"/>
      <c r="AL726" s="1210"/>
    </row>
    <row r="727" spans="1:38" s="1179" customFormat="1">
      <c r="A727" s="1188"/>
      <c r="B727" s="1188"/>
      <c r="C727" s="1188"/>
      <c r="D727" s="1188"/>
      <c r="E727" s="1210"/>
      <c r="F727" s="1210"/>
      <c r="G727" s="1210"/>
      <c r="H727" s="1191"/>
      <c r="I727" s="1191"/>
      <c r="J727" s="1199"/>
      <c r="K727" s="1191"/>
      <c r="L727" s="1191"/>
      <c r="M727" s="1191"/>
      <c r="N727" s="1191"/>
      <c r="O727" s="1191"/>
      <c r="P727" s="1191"/>
      <c r="Q727" s="1199"/>
      <c r="R727" s="1191"/>
      <c r="S727" s="1191"/>
      <c r="T727" s="1191"/>
      <c r="U727" s="1191"/>
      <c r="V727" s="1191"/>
      <c r="W727" s="1191"/>
      <c r="X727" s="1191"/>
      <c r="Y727" s="1191"/>
      <c r="Z727" s="1191"/>
      <c r="AA727" s="1191"/>
      <c r="AB727" s="1191"/>
      <c r="AC727" s="1210"/>
      <c r="AD727" s="1210"/>
      <c r="AE727" s="1210"/>
      <c r="AF727" s="1210"/>
      <c r="AG727" s="1210"/>
      <c r="AH727" s="1210"/>
      <c r="AI727" s="1210"/>
      <c r="AJ727" s="1210"/>
      <c r="AK727" s="1210"/>
      <c r="AL727" s="1210"/>
    </row>
    <row r="728" spans="1:38" s="1179" customFormat="1">
      <c r="A728" s="1188"/>
      <c r="B728" s="1188"/>
      <c r="C728" s="1188"/>
      <c r="D728" s="1188"/>
      <c r="E728" s="1210"/>
      <c r="F728" s="1210"/>
      <c r="G728" s="1210"/>
      <c r="H728" s="1191"/>
      <c r="I728" s="1191"/>
      <c r="J728" s="1199"/>
      <c r="K728" s="1191"/>
      <c r="L728" s="1191"/>
      <c r="M728" s="1191"/>
      <c r="N728" s="1191"/>
      <c r="O728" s="1191"/>
      <c r="P728" s="1191"/>
      <c r="Q728" s="1199"/>
      <c r="R728" s="1191"/>
      <c r="S728" s="1191"/>
      <c r="T728" s="1191"/>
      <c r="U728" s="1191"/>
      <c r="V728" s="1191"/>
      <c r="W728" s="1191"/>
      <c r="X728" s="1191"/>
      <c r="Y728" s="1191"/>
      <c r="Z728" s="1191"/>
      <c r="AA728" s="1191"/>
      <c r="AB728" s="1191"/>
      <c r="AC728" s="1210"/>
      <c r="AD728" s="1210"/>
      <c r="AE728" s="1210"/>
      <c r="AF728" s="1210"/>
      <c r="AG728" s="1210"/>
      <c r="AH728" s="1210"/>
      <c r="AI728" s="1210"/>
      <c r="AJ728" s="1210"/>
      <c r="AK728" s="1210"/>
      <c r="AL728" s="1210"/>
    </row>
    <row r="729" spans="1:38" s="1179" customFormat="1">
      <c r="A729" s="1188"/>
      <c r="B729" s="1188"/>
      <c r="C729" s="1188"/>
      <c r="D729" s="1188"/>
      <c r="E729" s="1210"/>
      <c r="F729" s="1210"/>
      <c r="G729" s="1210"/>
      <c r="H729" s="1191"/>
      <c r="I729" s="1191"/>
      <c r="J729" s="1199"/>
      <c r="K729" s="1191"/>
      <c r="L729" s="1191"/>
      <c r="M729" s="1191"/>
      <c r="N729" s="1191"/>
      <c r="O729" s="1191"/>
      <c r="P729" s="1191"/>
      <c r="Q729" s="1199"/>
      <c r="R729" s="1191"/>
      <c r="S729" s="1191"/>
      <c r="T729" s="1191"/>
      <c r="U729" s="1191"/>
      <c r="V729" s="1191"/>
      <c r="W729" s="1191"/>
      <c r="X729" s="1191"/>
      <c r="Y729" s="1191"/>
      <c r="Z729" s="1191"/>
      <c r="AA729" s="1191"/>
      <c r="AB729" s="1191"/>
      <c r="AC729" s="1210"/>
      <c r="AD729" s="1210"/>
      <c r="AE729" s="1210"/>
      <c r="AF729" s="1210"/>
      <c r="AG729" s="1210"/>
      <c r="AH729" s="1210"/>
      <c r="AI729" s="1210"/>
      <c r="AJ729" s="1210"/>
      <c r="AK729" s="1210"/>
      <c r="AL729" s="1210"/>
    </row>
    <row r="730" spans="1:38" s="1179" customFormat="1">
      <c r="A730" s="1188"/>
      <c r="B730" s="1188"/>
      <c r="C730" s="1188"/>
      <c r="D730" s="1188"/>
      <c r="E730" s="1210"/>
      <c r="F730" s="1210"/>
      <c r="G730" s="1210"/>
      <c r="H730" s="1191"/>
      <c r="I730" s="1191"/>
      <c r="J730" s="1199"/>
      <c r="K730" s="1191"/>
      <c r="L730" s="1191"/>
      <c r="M730" s="1191"/>
      <c r="N730" s="1191"/>
      <c r="O730" s="1191"/>
      <c r="P730" s="1191"/>
      <c r="Q730" s="1199"/>
      <c r="R730" s="1191"/>
      <c r="S730" s="1191"/>
      <c r="T730" s="1191"/>
      <c r="U730" s="1191"/>
      <c r="V730" s="1191"/>
      <c r="W730" s="1191"/>
      <c r="X730" s="1191"/>
      <c r="Y730" s="1191"/>
      <c r="Z730" s="1191"/>
      <c r="AA730" s="1191"/>
      <c r="AB730" s="1191"/>
      <c r="AC730" s="1210"/>
      <c r="AD730" s="1210"/>
      <c r="AE730" s="1210"/>
      <c r="AF730" s="1210"/>
      <c r="AG730" s="1210"/>
      <c r="AH730" s="1210"/>
      <c r="AI730" s="1210"/>
      <c r="AJ730" s="1210"/>
      <c r="AK730" s="1210"/>
      <c r="AL730" s="1210"/>
    </row>
    <row r="731" spans="1:38" s="1179" customFormat="1">
      <c r="A731" s="1188"/>
      <c r="B731" s="1188"/>
      <c r="C731" s="1188"/>
      <c r="D731" s="1188"/>
      <c r="E731" s="1210"/>
      <c r="F731" s="1210"/>
      <c r="G731" s="1210"/>
      <c r="H731" s="1191"/>
      <c r="I731" s="1191"/>
      <c r="J731" s="1199"/>
      <c r="K731" s="1191"/>
      <c r="L731" s="1191"/>
      <c r="M731" s="1191"/>
      <c r="N731" s="1191"/>
      <c r="O731" s="1191"/>
      <c r="P731" s="1191"/>
      <c r="Q731" s="1199"/>
      <c r="R731" s="1191"/>
      <c r="S731" s="1191"/>
      <c r="T731" s="1191"/>
      <c r="U731" s="1191"/>
      <c r="V731" s="1191"/>
      <c r="W731" s="1191"/>
      <c r="X731" s="1191"/>
      <c r="Y731" s="1191"/>
      <c r="Z731" s="1191"/>
      <c r="AA731" s="1191"/>
      <c r="AB731" s="1191"/>
      <c r="AC731" s="1210"/>
      <c r="AD731" s="1210"/>
      <c r="AE731" s="1210"/>
      <c r="AF731" s="1210"/>
      <c r="AG731" s="1210"/>
      <c r="AH731" s="1210"/>
      <c r="AI731" s="1210"/>
      <c r="AJ731" s="1210"/>
      <c r="AK731" s="1210"/>
      <c r="AL731" s="1210"/>
    </row>
    <row r="732" spans="1:38" s="1179" customFormat="1">
      <c r="A732" s="1188"/>
      <c r="B732" s="1188"/>
      <c r="C732" s="1188"/>
      <c r="D732" s="1188"/>
      <c r="E732" s="1210"/>
      <c r="F732" s="1210"/>
      <c r="G732" s="1210"/>
      <c r="H732" s="1191"/>
      <c r="I732" s="1191"/>
      <c r="J732" s="1199"/>
      <c r="K732" s="1191"/>
      <c r="L732" s="1191"/>
      <c r="M732" s="1191"/>
      <c r="N732" s="1191"/>
      <c r="O732" s="1191"/>
      <c r="P732" s="1191"/>
      <c r="Q732" s="1199"/>
      <c r="R732" s="1191"/>
      <c r="S732" s="1191"/>
      <c r="T732" s="1191"/>
      <c r="U732" s="1191"/>
      <c r="V732" s="1191"/>
      <c r="W732" s="1191"/>
      <c r="X732" s="1191"/>
      <c r="Y732" s="1191"/>
      <c r="Z732" s="1191"/>
      <c r="AA732" s="1191"/>
      <c r="AB732" s="1191"/>
      <c r="AC732" s="1210"/>
      <c r="AD732" s="1210"/>
      <c r="AE732" s="1210"/>
      <c r="AF732" s="1210"/>
      <c r="AG732" s="1210"/>
      <c r="AH732" s="1210"/>
      <c r="AI732" s="1210"/>
      <c r="AJ732" s="1210"/>
      <c r="AK732" s="1210"/>
      <c r="AL732" s="1210"/>
    </row>
    <row r="733" spans="1:38" s="1179" customFormat="1">
      <c r="A733" s="1188"/>
      <c r="B733" s="1188"/>
      <c r="C733" s="1188"/>
      <c r="D733" s="1188"/>
      <c r="E733" s="1210"/>
      <c r="F733" s="1210"/>
      <c r="G733" s="1210"/>
      <c r="H733" s="1191"/>
      <c r="I733" s="1191"/>
      <c r="J733" s="1199"/>
      <c r="K733" s="1191"/>
      <c r="L733" s="1191"/>
      <c r="M733" s="1191"/>
      <c r="N733" s="1191"/>
      <c r="O733" s="1191"/>
      <c r="P733" s="1191"/>
      <c r="Q733" s="1199"/>
      <c r="R733" s="1191"/>
      <c r="S733" s="1191"/>
      <c r="T733" s="1191"/>
      <c r="U733" s="1191"/>
      <c r="V733" s="1191"/>
      <c r="W733" s="1191"/>
      <c r="X733" s="1191"/>
      <c r="Y733" s="1191"/>
      <c r="Z733" s="1191"/>
      <c r="AA733" s="1191"/>
      <c r="AB733" s="1191"/>
      <c r="AC733" s="1210"/>
      <c r="AD733" s="1210"/>
      <c r="AE733" s="1210"/>
      <c r="AF733" s="1210"/>
      <c r="AG733" s="1210"/>
      <c r="AH733" s="1210"/>
      <c r="AI733" s="1210"/>
      <c r="AJ733" s="1210"/>
      <c r="AK733" s="1210"/>
      <c r="AL733" s="1210"/>
    </row>
    <row r="734" spans="1:38" s="1179" customFormat="1">
      <c r="A734" s="1188"/>
      <c r="B734" s="1188"/>
      <c r="C734" s="1188"/>
      <c r="D734" s="1188"/>
      <c r="E734" s="1210"/>
      <c r="F734" s="1210"/>
      <c r="G734" s="1210"/>
      <c r="H734" s="1191"/>
      <c r="I734" s="1191"/>
      <c r="J734" s="1199"/>
      <c r="K734" s="1191"/>
      <c r="L734" s="1191"/>
      <c r="M734" s="1191"/>
      <c r="N734" s="1191"/>
      <c r="O734" s="1191"/>
      <c r="P734" s="1191"/>
      <c r="Q734" s="1199"/>
      <c r="R734" s="1191"/>
      <c r="S734" s="1191"/>
      <c r="T734" s="1191"/>
      <c r="U734" s="1191"/>
      <c r="V734" s="1191"/>
      <c r="W734" s="1191"/>
      <c r="X734" s="1191"/>
      <c r="Y734" s="1191"/>
      <c r="Z734" s="1191"/>
      <c r="AA734" s="1191"/>
      <c r="AB734" s="1191"/>
      <c r="AC734" s="1210"/>
      <c r="AD734" s="1210"/>
      <c r="AE734" s="1210"/>
      <c r="AF734" s="1210"/>
      <c r="AG734" s="1210"/>
      <c r="AH734" s="1210"/>
      <c r="AI734" s="1210"/>
      <c r="AJ734" s="1210"/>
      <c r="AK734" s="1210"/>
      <c r="AL734" s="1210"/>
    </row>
    <row r="735" spans="1:38" s="1179" customFormat="1">
      <c r="A735" s="1188"/>
      <c r="B735" s="1188"/>
      <c r="C735" s="1188"/>
      <c r="D735" s="1188"/>
      <c r="E735" s="1210"/>
      <c r="F735" s="1210"/>
      <c r="G735" s="1210"/>
      <c r="H735" s="1191"/>
      <c r="I735" s="1191"/>
      <c r="J735" s="1199"/>
      <c r="K735" s="1191"/>
      <c r="L735" s="1191"/>
      <c r="M735" s="1191"/>
      <c r="N735" s="1191"/>
      <c r="O735" s="1191"/>
      <c r="P735" s="1191"/>
      <c r="Q735" s="1199"/>
      <c r="R735" s="1191"/>
      <c r="S735" s="1191"/>
      <c r="T735" s="1191"/>
      <c r="U735" s="1191"/>
      <c r="V735" s="1191"/>
      <c r="W735" s="1191"/>
      <c r="X735" s="1191"/>
      <c r="Y735" s="1191"/>
      <c r="Z735" s="1191"/>
      <c r="AA735" s="1191"/>
      <c r="AB735" s="1191"/>
      <c r="AC735" s="1210"/>
      <c r="AD735" s="1210"/>
      <c r="AE735" s="1210"/>
      <c r="AF735" s="1210"/>
      <c r="AG735" s="1210"/>
      <c r="AH735" s="1210"/>
      <c r="AI735" s="1210"/>
      <c r="AJ735" s="1210"/>
      <c r="AK735" s="1210"/>
      <c r="AL735" s="1210"/>
    </row>
    <row r="736" spans="1:38" s="1179" customFormat="1">
      <c r="A736" s="1188"/>
      <c r="B736" s="1188"/>
      <c r="C736" s="1188"/>
      <c r="D736" s="1188"/>
      <c r="E736" s="1210"/>
      <c r="F736" s="1210"/>
      <c r="G736" s="1210"/>
      <c r="H736" s="1191"/>
      <c r="I736" s="1191"/>
      <c r="J736" s="1199"/>
      <c r="K736" s="1191"/>
      <c r="L736" s="1191"/>
      <c r="M736" s="1191"/>
      <c r="N736" s="1191"/>
      <c r="O736" s="1191"/>
      <c r="P736" s="1191"/>
      <c r="Q736" s="1199"/>
      <c r="R736" s="1191"/>
      <c r="S736" s="1191"/>
      <c r="T736" s="1191"/>
      <c r="U736" s="1191"/>
      <c r="V736" s="1191"/>
      <c r="W736" s="1191"/>
      <c r="X736" s="1191"/>
      <c r="Y736" s="1191"/>
      <c r="Z736" s="1191"/>
      <c r="AA736" s="1191"/>
      <c r="AB736" s="1191"/>
      <c r="AC736" s="1210"/>
      <c r="AD736" s="1210"/>
      <c r="AE736" s="1210"/>
      <c r="AF736" s="1210"/>
      <c r="AG736" s="1210"/>
      <c r="AH736" s="1210"/>
      <c r="AI736" s="1210"/>
      <c r="AJ736" s="1210"/>
      <c r="AK736" s="1210"/>
      <c r="AL736" s="1210"/>
    </row>
    <row r="737" spans="1:38" s="1179" customFormat="1">
      <c r="A737" s="1188"/>
      <c r="B737" s="1188"/>
      <c r="C737" s="1188"/>
      <c r="D737" s="1188"/>
      <c r="E737" s="1210"/>
      <c r="F737" s="1210"/>
      <c r="G737" s="1210"/>
      <c r="H737" s="1191"/>
      <c r="I737" s="1191"/>
      <c r="J737" s="1199"/>
      <c r="K737" s="1191"/>
      <c r="L737" s="1191"/>
      <c r="M737" s="1191"/>
      <c r="N737" s="1191"/>
      <c r="O737" s="1191"/>
      <c r="P737" s="1191"/>
      <c r="Q737" s="1199"/>
      <c r="R737" s="1191"/>
      <c r="S737" s="1191"/>
      <c r="T737" s="1191"/>
      <c r="U737" s="1191"/>
      <c r="V737" s="1191"/>
      <c r="W737" s="1191"/>
      <c r="X737" s="1191"/>
      <c r="Y737" s="1191"/>
      <c r="Z737" s="1191"/>
      <c r="AA737" s="1191"/>
      <c r="AB737" s="1191"/>
      <c r="AC737" s="1210"/>
      <c r="AD737" s="1210"/>
      <c r="AE737" s="1210"/>
      <c r="AF737" s="1210"/>
      <c r="AG737" s="1210"/>
      <c r="AH737" s="1210"/>
      <c r="AI737" s="1210"/>
      <c r="AJ737" s="1210"/>
      <c r="AK737" s="1210"/>
      <c r="AL737" s="1210"/>
    </row>
    <row r="738" spans="1:38" s="1179" customFormat="1">
      <c r="A738" s="1188"/>
      <c r="B738" s="1188"/>
      <c r="C738" s="1188"/>
      <c r="D738" s="1188"/>
      <c r="E738" s="1210"/>
      <c r="F738" s="1210"/>
      <c r="G738" s="1210"/>
      <c r="H738" s="1191"/>
      <c r="I738" s="1191"/>
      <c r="J738" s="1199"/>
      <c r="K738" s="1191"/>
      <c r="L738" s="1191"/>
      <c r="M738" s="1191"/>
      <c r="N738" s="1191"/>
      <c r="O738" s="1191"/>
      <c r="P738" s="1191"/>
      <c r="Q738" s="1199"/>
      <c r="R738" s="1191"/>
      <c r="S738" s="1191"/>
      <c r="T738" s="1191"/>
      <c r="U738" s="1191"/>
      <c r="V738" s="1191"/>
      <c r="W738" s="1191"/>
      <c r="X738" s="1191"/>
      <c r="Y738" s="1191"/>
      <c r="Z738" s="1191"/>
      <c r="AA738" s="1191"/>
      <c r="AB738" s="1191"/>
      <c r="AC738" s="1210"/>
      <c r="AD738" s="1210"/>
      <c r="AE738" s="1210"/>
      <c r="AF738" s="1210"/>
      <c r="AG738" s="1210"/>
      <c r="AH738" s="1210"/>
      <c r="AI738" s="1210"/>
      <c r="AJ738" s="1210"/>
      <c r="AK738" s="1210"/>
      <c r="AL738" s="1210"/>
    </row>
    <row r="739" spans="1:38" s="1179" customFormat="1">
      <c r="A739" s="1188"/>
      <c r="B739" s="1188"/>
      <c r="C739" s="1188"/>
      <c r="D739" s="1188"/>
      <c r="E739" s="1210"/>
      <c r="F739" s="1210"/>
      <c r="G739" s="1210"/>
      <c r="H739" s="1191"/>
      <c r="I739" s="1191"/>
      <c r="J739" s="1199"/>
      <c r="K739" s="1191"/>
      <c r="L739" s="1191"/>
      <c r="M739" s="1191"/>
      <c r="N739" s="1191"/>
      <c r="O739" s="1191"/>
      <c r="P739" s="1191"/>
      <c r="Q739" s="1199"/>
      <c r="R739" s="1191"/>
      <c r="S739" s="1191"/>
      <c r="T739" s="1191"/>
      <c r="U739" s="1191"/>
      <c r="V739" s="1191"/>
      <c r="W739" s="1191"/>
      <c r="X739" s="1191"/>
      <c r="Y739" s="1191"/>
      <c r="Z739" s="1191"/>
      <c r="AA739" s="1191"/>
      <c r="AB739" s="1191"/>
      <c r="AC739" s="1210"/>
      <c r="AD739" s="1210"/>
      <c r="AE739" s="1210"/>
      <c r="AF739" s="1210"/>
      <c r="AG739" s="1210"/>
      <c r="AH739" s="1210"/>
      <c r="AI739" s="1210"/>
      <c r="AJ739" s="1210"/>
      <c r="AK739" s="1210"/>
      <c r="AL739" s="1210"/>
    </row>
    <row r="740" spans="1:38" s="1179" customFormat="1">
      <c r="A740" s="1188"/>
      <c r="B740" s="1188"/>
      <c r="C740" s="1188"/>
      <c r="D740" s="1188"/>
      <c r="E740" s="1210"/>
      <c r="F740" s="1210"/>
      <c r="G740" s="1210"/>
      <c r="H740" s="1191"/>
      <c r="I740" s="1191"/>
      <c r="J740" s="1199"/>
      <c r="K740" s="1191"/>
      <c r="L740" s="1191"/>
      <c r="M740" s="1191"/>
      <c r="N740" s="1191"/>
      <c r="O740" s="1191"/>
      <c r="P740" s="1191"/>
      <c r="Q740" s="1199"/>
      <c r="R740" s="1191"/>
      <c r="S740" s="1191"/>
      <c r="T740" s="1191"/>
      <c r="U740" s="1191"/>
      <c r="V740" s="1191"/>
      <c r="W740" s="1191"/>
      <c r="X740" s="1191"/>
      <c r="Y740" s="1191"/>
      <c r="Z740" s="1191"/>
      <c r="AA740" s="1191"/>
      <c r="AB740" s="1191"/>
      <c r="AC740" s="1210"/>
      <c r="AD740" s="1210"/>
      <c r="AE740" s="1210"/>
      <c r="AF740" s="1210"/>
      <c r="AG740" s="1210"/>
      <c r="AH740" s="1210"/>
      <c r="AI740" s="1210"/>
      <c r="AJ740" s="1210"/>
      <c r="AK740" s="1210"/>
      <c r="AL740" s="1210"/>
    </row>
    <row r="741" spans="1:38" s="1179" customFormat="1">
      <c r="A741" s="1188"/>
      <c r="B741" s="1188"/>
      <c r="C741" s="1188"/>
      <c r="D741" s="1188"/>
      <c r="E741" s="1210"/>
      <c r="F741" s="1210"/>
      <c r="G741" s="1210"/>
      <c r="H741" s="1191"/>
      <c r="I741" s="1191"/>
      <c r="J741" s="1199"/>
      <c r="K741" s="1191"/>
      <c r="L741" s="1191"/>
      <c r="M741" s="1191"/>
      <c r="N741" s="1191"/>
      <c r="O741" s="1191"/>
      <c r="P741" s="1191"/>
      <c r="Q741" s="1199"/>
      <c r="R741" s="1191"/>
      <c r="S741" s="1191"/>
      <c r="T741" s="1191"/>
      <c r="U741" s="1191"/>
      <c r="V741" s="1191"/>
      <c r="W741" s="1191"/>
      <c r="X741" s="1191"/>
      <c r="Y741" s="1191"/>
      <c r="Z741" s="1191"/>
      <c r="AA741" s="1191"/>
      <c r="AB741" s="1191"/>
      <c r="AC741" s="1210"/>
      <c r="AD741" s="1210"/>
      <c r="AE741" s="1210"/>
      <c r="AF741" s="1210"/>
      <c r="AG741" s="1210"/>
      <c r="AH741" s="1210"/>
      <c r="AI741" s="1210"/>
      <c r="AJ741" s="1210"/>
      <c r="AK741" s="1210"/>
      <c r="AL741" s="1210"/>
    </row>
    <row r="742" spans="1:38" s="1179" customFormat="1">
      <c r="A742" s="1188"/>
      <c r="B742" s="1188"/>
      <c r="C742" s="1188"/>
      <c r="D742" s="1188"/>
      <c r="E742" s="1210"/>
      <c r="F742" s="1210"/>
      <c r="G742" s="1210"/>
      <c r="H742" s="1191"/>
      <c r="I742" s="1191"/>
      <c r="J742" s="1199"/>
      <c r="K742" s="1191"/>
      <c r="L742" s="1191"/>
      <c r="M742" s="1191"/>
      <c r="N742" s="1191"/>
      <c r="O742" s="1191"/>
      <c r="P742" s="1191"/>
      <c r="Q742" s="1199"/>
      <c r="R742" s="1191"/>
      <c r="S742" s="1191"/>
      <c r="T742" s="1191"/>
      <c r="U742" s="1191"/>
      <c r="V742" s="1191"/>
      <c r="W742" s="1191"/>
      <c r="X742" s="1191"/>
      <c r="Y742" s="1191"/>
      <c r="Z742" s="1191"/>
      <c r="AA742" s="1191"/>
      <c r="AB742" s="1191"/>
      <c r="AC742" s="1210"/>
      <c r="AD742" s="1210"/>
      <c r="AE742" s="1210"/>
      <c r="AF742" s="1210"/>
      <c r="AG742" s="1210"/>
      <c r="AH742" s="1210"/>
      <c r="AI742" s="1210"/>
      <c r="AJ742" s="1210"/>
      <c r="AK742" s="1210"/>
      <c r="AL742" s="1210"/>
    </row>
    <row r="743" spans="1:38" s="1179" customFormat="1">
      <c r="A743" s="1188"/>
      <c r="B743" s="1188"/>
      <c r="C743" s="1188"/>
      <c r="D743" s="1188"/>
      <c r="E743" s="1210"/>
      <c r="F743" s="1210"/>
      <c r="G743" s="1210"/>
      <c r="H743" s="1191"/>
      <c r="I743" s="1191"/>
      <c r="J743" s="1199"/>
      <c r="K743" s="1191"/>
      <c r="L743" s="1191"/>
      <c r="M743" s="1191"/>
      <c r="N743" s="1191"/>
      <c r="O743" s="1191"/>
      <c r="P743" s="1191"/>
      <c r="Q743" s="1199"/>
      <c r="R743" s="1191"/>
      <c r="S743" s="1191"/>
      <c r="T743" s="1191"/>
      <c r="U743" s="1191"/>
      <c r="V743" s="1191"/>
      <c r="W743" s="1191"/>
      <c r="X743" s="1191"/>
      <c r="Y743" s="1191"/>
      <c r="Z743" s="1191"/>
      <c r="AA743" s="1191"/>
      <c r="AB743" s="1191"/>
      <c r="AC743" s="1210"/>
      <c r="AD743" s="1210"/>
      <c r="AE743" s="1210"/>
      <c r="AF743" s="1210"/>
      <c r="AG743" s="1210"/>
      <c r="AH743" s="1210"/>
      <c r="AI743" s="1210"/>
      <c r="AJ743" s="1210"/>
      <c r="AK743" s="1210"/>
      <c r="AL743" s="1210"/>
    </row>
    <row r="744" spans="1:38" s="1179" customFormat="1">
      <c r="A744" s="1188"/>
      <c r="B744" s="1188"/>
      <c r="C744" s="1188"/>
      <c r="D744" s="1188"/>
      <c r="E744" s="1210"/>
      <c r="F744" s="1210"/>
      <c r="G744" s="1210"/>
      <c r="H744" s="1191"/>
      <c r="I744" s="1191"/>
      <c r="J744" s="1199"/>
      <c r="K744" s="1191"/>
      <c r="L744" s="1191"/>
      <c r="M744" s="1191"/>
      <c r="N744" s="1191"/>
      <c r="O744" s="1191"/>
      <c r="P744" s="1191"/>
      <c r="Q744" s="1199"/>
      <c r="R744" s="1191"/>
      <c r="S744" s="1191"/>
      <c r="T744" s="1191"/>
      <c r="U744" s="1191"/>
      <c r="V744" s="1191"/>
      <c r="W744" s="1191"/>
      <c r="X744" s="1191"/>
      <c r="Y744" s="1191"/>
      <c r="Z744" s="1191"/>
      <c r="AA744" s="1191"/>
      <c r="AB744" s="1191"/>
      <c r="AC744" s="1210"/>
      <c r="AD744" s="1210"/>
      <c r="AE744" s="1210"/>
      <c r="AF744" s="1210"/>
      <c r="AG744" s="1210"/>
      <c r="AH744" s="1210"/>
      <c r="AI744" s="1210"/>
      <c r="AJ744" s="1210"/>
      <c r="AK744" s="1210"/>
      <c r="AL744" s="1210"/>
    </row>
    <row r="745" spans="1:38" s="1179" customFormat="1">
      <c r="A745" s="1188"/>
      <c r="B745" s="1188"/>
      <c r="C745" s="1188"/>
      <c r="D745" s="1188"/>
      <c r="E745" s="1210"/>
      <c r="F745" s="1210"/>
      <c r="G745" s="1210"/>
      <c r="H745" s="1191"/>
      <c r="I745" s="1191"/>
      <c r="J745" s="1199"/>
      <c r="K745" s="1191"/>
      <c r="L745" s="1191"/>
      <c r="M745" s="1191"/>
      <c r="N745" s="1191"/>
      <c r="O745" s="1191"/>
      <c r="P745" s="1191"/>
      <c r="Q745" s="1199"/>
      <c r="R745" s="1191"/>
      <c r="S745" s="1191"/>
      <c r="T745" s="1191"/>
      <c r="U745" s="1191"/>
      <c r="V745" s="1191"/>
      <c r="W745" s="1191"/>
      <c r="X745" s="1191"/>
      <c r="Y745" s="1191"/>
      <c r="Z745" s="1191"/>
      <c r="AA745" s="1191"/>
      <c r="AB745" s="1191"/>
      <c r="AC745" s="1210"/>
      <c r="AD745" s="1210"/>
      <c r="AE745" s="1210"/>
      <c r="AF745" s="1210"/>
      <c r="AG745" s="1210"/>
      <c r="AH745" s="1210"/>
      <c r="AI745" s="1210"/>
      <c r="AJ745" s="1210"/>
      <c r="AK745" s="1210"/>
      <c r="AL745" s="1210"/>
    </row>
    <row r="746" spans="1:38" s="1179" customFormat="1">
      <c r="A746" s="1188"/>
      <c r="B746" s="1188"/>
      <c r="C746" s="1188"/>
      <c r="D746" s="1188"/>
      <c r="E746" s="1210"/>
      <c r="F746" s="1210"/>
      <c r="G746" s="1210"/>
      <c r="H746" s="1191"/>
      <c r="I746" s="1191"/>
      <c r="J746" s="1199"/>
      <c r="K746" s="1191"/>
      <c r="L746" s="1191"/>
      <c r="M746" s="1191"/>
      <c r="N746" s="1191"/>
      <c r="O746" s="1191"/>
      <c r="P746" s="1191"/>
      <c r="Q746" s="1199"/>
      <c r="R746" s="1191"/>
      <c r="S746" s="1191"/>
      <c r="T746" s="1191"/>
      <c r="U746" s="1191"/>
      <c r="V746" s="1191"/>
      <c r="W746" s="1191"/>
      <c r="X746" s="1191"/>
      <c r="Y746" s="1191"/>
      <c r="Z746" s="1191"/>
      <c r="AA746" s="1191"/>
      <c r="AB746" s="1191"/>
      <c r="AC746" s="1210"/>
      <c r="AD746" s="1210"/>
      <c r="AE746" s="1210"/>
      <c r="AF746" s="1210"/>
      <c r="AG746" s="1210"/>
      <c r="AH746" s="1210"/>
      <c r="AI746" s="1210"/>
      <c r="AJ746" s="1210"/>
      <c r="AK746" s="1210"/>
      <c r="AL746" s="1210"/>
    </row>
    <row r="747" spans="1:38" s="1179" customFormat="1">
      <c r="A747" s="1188"/>
      <c r="B747" s="1188"/>
      <c r="C747" s="1188"/>
      <c r="D747" s="1188"/>
      <c r="E747" s="1210"/>
      <c r="F747" s="1210"/>
      <c r="G747" s="1210"/>
      <c r="H747" s="1191"/>
      <c r="I747" s="1191"/>
      <c r="J747" s="1199"/>
      <c r="K747" s="1191"/>
      <c r="L747" s="1191"/>
      <c r="M747" s="1191"/>
      <c r="N747" s="1191"/>
      <c r="O747" s="1191"/>
      <c r="P747" s="1191"/>
      <c r="Q747" s="1199"/>
      <c r="R747" s="1191"/>
      <c r="S747" s="1191"/>
      <c r="T747" s="1191"/>
      <c r="U747" s="1191"/>
      <c r="V747" s="1191"/>
      <c r="W747" s="1191"/>
      <c r="X747" s="1191"/>
      <c r="Y747" s="1191"/>
      <c r="Z747" s="1191"/>
      <c r="AA747" s="1191"/>
      <c r="AB747" s="1191"/>
      <c r="AC747" s="1210"/>
      <c r="AD747" s="1210"/>
      <c r="AE747" s="1210"/>
      <c r="AF747" s="1210"/>
      <c r="AG747" s="1210"/>
      <c r="AH747" s="1210"/>
      <c r="AI747" s="1210"/>
      <c r="AJ747" s="1210"/>
      <c r="AK747" s="1210"/>
      <c r="AL747" s="1210"/>
    </row>
    <row r="748" spans="1:38" s="1179" customFormat="1">
      <c r="A748" s="1188"/>
      <c r="B748" s="1188"/>
      <c r="C748" s="1188"/>
      <c r="D748" s="1188"/>
      <c r="E748" s="1210"/>
      <c r="F748" s="1210"/>
      <c r="G748" s="1210"/>
      <c r="H748" s="1191"/>
      <c r="I748" s="1191"/>
      <c r="J748" s="1199"/>
      <c r="K748" s="1191"/>
      <c r="L748" s="1191"/>
      <c r="M748" s="1191"/>
      <c r="N748" s="1191"/>
      <c r="O748" s="1191"/>
      <c r="P748" s="1191"/>
      <c r="Q748" s="1199"/>
      <c r="R748" s="1191"/>
      <c r="S748" s="1191"/>
      <c r="T748" s="1191"/>
      <c r="U748" s="1191"/>
      <c r="V748" s="1191"/>
      <c r="W748" s="1191"/>
      <c r="X748" s="1191"/>
      <c r="Y748" s="1191"/>
      <c r="Z748" s="1191"/>
      <c r="AA748" s="1191"/>
      <c r="AB748" s="1191"/>
      <c r="AC748" s="1210"/>
      <c r="AD748" s="1210"/>
      <c r="AE748" s="1210"/>
      <c r="AF748" s="1210"/>
      <c r="AG748" s="1210"/>
      <c r="AH748" s="1210"/>
      <c r="AI748" s="1210"/>
      <c r="AJ748" s="1210"/>
      <c r="AK748" s="1210"/>
      <c r="AL748" s="1210"/>
    </row>
    <row r="749" spans="1:38" s="1179" customFormat="1">
      <c r="A749" s="1188"/>
      <c r="B749" s="1188"/>
      <c r="C749" s="1188"/>
      <c r="D749" s="1188"/>
      <c r="E749" s="1210"/>
      <c r="F749" s="1210"/>
      <c r="G749" s="1210"/>
      <c r="H749" s="1191"/>
      <c r="I749" s="1191"/>
      <c r="J749" s="1199"/>
      <c r="K749" s="1191"/>
      <c r="L749" s="1191"/>
      <c r="M749" s="1191"/>
      <c r="N749" s="1191"/>
      <c r="O749" s="1191"/>
      <c r="P749" s="1191"/>
      <c r="Q749" s="1199"/>
      <c r="R749" s="1191"/>
      <c r="S749" s="1191"/>
      <c r="T749" s="1191"/>
      <c r="U749" s="1191"/>
      <c r="V749" s="1191"/>
      <c r="W749" s="1191"/>
      <c r="X749" s="1191"/>
      <c r="Y749" s="1191"/>
      <c r="Z749" s="1191"/>
      <c r="AA749" s="1191"/>
      <c r="AB749" s="1191"/>
      <c r="AC749" s="1210"/>
      <c r="AD749" s="1210"/>
      <c r="AE749" s="1210"/>
      <c r="AF749" s="1210"/>
      <c r="AG749" s="1210"/>
      <c r="AH749" s="1210"/>
      <c r="AI749" s="1210"/>
      <c r="AJ749" s="1210"/>
      <c r="AK749" s="1210"/>
      <c r="AL749" s="1210"/>
    </row>
    <row r="750" spans="1:38" s="1179" customFormat="1">
      <c r="A750" s="1188"/>
      <c r="B750" s="1188"/>
      <c r="C750" s="1188"/>
      <c r="D750" s="1188"/>
      <c r="E750" s="1210"/>
      <c r="F750" s="1210"/>
      <c r="G750" s="1210"/>
      <c r="H750" s="1191"/>
      <c r="I750" s="1191"/>
      <c r="J750" s="1199"/>
      <c r="K750" s="1191"/>
      <c r="L750" s="1191"/>
      <c r="M750" s="1191"/>
      <c r="N750" s="1191"/>
      <c r="O750" s="1191"/>
      <c r="P750" s="1191"/>
      <c r="Q750" s="1199"/>
      <c r="R750" s="1191"/>
      <c r="S750" s="1191"/>
      <c r="T750" s="1191"/>
      <c r="U750" s="1191"/>
      <c r="V750" s="1191"/>
      <c r="W750" s="1191"/>
      <c r="X750" s="1191"/>
      <c r="Y750" s="1191"/>
      <c r="Z750" s="1191"/>
      <c r="AA750" s="1191"/>
      <c r="AB750" s="1191"/>
      <c r="AC750" s="1210"/>
      <c r="AD750" s="1210"/>
      <c r="AE750" s="1210"/>
      <c r="AF750" s="1210"/>
      <c r="AG750" s="1210"/>
      <c r="AH750" s="1210"/>
      <c r="AI750" s="1210"/>
      <c r="AJ750" s="1210"/>
      <c r="AK750" s="1210"/>
      <c r="AL750" s="1210"/>
    </row>
    <row r="751" spans="1:38" s="1179" customFormat="1">
      <c r="A751" s="1188"/>
      <c r="B751" s="1188"/>
      <c r="C751" s="1188"/>
      <c r="D751" s="1188"/>
      <c r="E751" s="1210"/>
      <c r="F751" s="1210"/>
      <c r="G751" s="1210"/>
      <c r="H751" s="1191"/>
      <c r="I751" s="1191"/>
      <c r="J751" s="1199"/>
      <c r="K751" s="1191"/>
      <c r="L751" s="1191"/>
      <c r="M751" s="1191"/>
      <c r="N751" s="1191"/>
      <c r="O751" s="1191"/>
      <c r="P751" s="1191"/>
      <c r="Q751" s="1199"/>
      <c r="R751" s="1191"/>
      <c r="S751" s="1191"/>
      <c r="T751" s="1191"/>
      <c r="U751" s="1191"/>
      <c r="V751" s="1191"/>
      <c r="W751" s="1191"/>
      <c r="X751" s="1191"/>
      <c r="Y751" s="1191"/>
      <c r="Z751" s="1191"/>
      <c r="AA751" s="1191"/>
      <c r="AB751" s="1191"/>
      <c r="AC751" s="1210"/>
      <c r="AD751" s="1210"/>
      <c r="AE751" s="1210"/>
      <c r="AF751" s="1210"/>
      <c r="AG751" s="1210"/>
      <c r="AH751" s="1210"/>
      <c r="AI751" s="1210"/>
      <c r="AJ751" s="1210"/>
      <c r="AK751" s="1210"/>
      <c r="AL751" s="1210"/>
    </row>
    <row r="752" spans="1:38" s="1179" customFormat="1">
      <c r="A752" s="1188"/>
      <c r="B752" s="1188"/>
      <c r="C752" s="1188"/>
      <c r="D752" s="1188"/>
      <c r="E752" s="1210"/>
      <c r="F752" s="1210"/>
      <c r="G752" s="1210"/>
      <c r="H752" s="1191"/>
      <c r="I752" s="1191"/>
      <c r="J752" s="1199"/>
      <c r="K752" s="1191"/>
      <c r="L752" s="1191"/>
      <c r="M752" s="1191"/>
      <c r="N752" s="1191"/>
      <c r="O752" s="1191"/>
      <c r="P752" s="1191"/>
      <c r="Q752" s="1199"/>
      <c r="R752" s="1191"/>
      <c r="S752" s="1191"/>
      <c r="T752" s="1191"/>
      <c r="U752" s="1191"/>
      <c r="V752" s="1191"/>
      <c r="W752" s="1191"/>
      <c r="X752" s="1191"/>
      <c r="Y752" s="1191"/>
      <c r="Z752" s="1191"/>
      <c r="AA752" s="1191"/>
      <c r="AB752" s="1191"/>
      <c r="AC752" s="1210"/>
      <c r="AD752" s="1210"/>
      <c r="AE752" s="1210"/>
      <c r="AF752" s="1210"/>
      <c r="AG752" s="1210"/>
      <c r="AH752" s="1210"/>
      <c r="AI752" s="1210"/>
      <c r="AJ752" s="1210"/>
      <c r="AK752" s="1210"/>
      <c r="AL752" s="1210"/>
    </row>
    <row r="753" spans="1:38" s="1179" customFormat="1">
      <c r="A753" s="1188"/>
      <c r="B753" s="1188"/>
      <c r="C753" s="1188"/>
      <c r="D753" s="1188"/>
      <c r="E753" s="1210"/>
      <c r="F753" s="1210"/>
      <c r="G753" s="1210"/>
      <c r="H753" s="1191"/>
      <c r="I753" s="1191"/>
      <c r="J753" s="1199"/>
      <c r="K753" s="1191"/>
      <c r="L753" s="1191"/>
      <c r="M753" s="1191"/>
      <c r="N753" s="1191"/>
      <c r="O753" s="1191"/>
      <c r="P753" s="1191"/>
      <c r="Q753" s="1199"/>
      <c r="R753" s="1191"/>
      <c r="S753" s="1191"/>
      <c r="T753" s="1191"/>
      <c r="U753" s="1191"/>
      <c r="V753" s="1191"/>
      <c r="W753" s="1191"/>
      <c r="X753" s="1191"/>
      <c r="Y753" s="1191"/>
      <c r="Z753" s="1191"/>
      <c r="AA753" s="1191"/>
      <c r="AB753" s="1191"/>
      <c r="AC753" s="1210"/>
      <c r="AD753" s="1210"/>
      <c r="AE753" s="1210"/>
      <c r="AF753" s="1210"/>
      <c r="AG753" s="1210"/>
      <c r="AH753" s="1210"/>
      <c r="AI753" s="1210"/>
      <c r="AJ753" s="1210"/>
      <c r="AK753" s="1210"/>
      <c r="AL753" s="1210"/>
    </row>
    <row r="754" spans="1:38" s="1179" customFormat="1">
      <c r="A754" s="1188"/>
      <c r="B754" s="1188"/>
      <c r="C754" s="1188"/>
      <c r="D754" s="1188"/>
      <c r="E754" s="1210"/>
      <c r="F754" s="1210"/>
      <c r="G754" s="1210"/>
      <c r="H754" s="1191"/>
      <c r="I754" s="1191"/>
      <c r="J754" s="1199"/>
      <c r="K754" s="1191"/>
      <c r="L754" s="1191"/>
      <c r="M754" s="1191"/>
      <c r="N754" s="1191"/>
      <c r="O754" s="1191"/>
      <c r="P754" s="1191"/>
      <c r="Q754" s="1199"/>
      <c r="R754" s="1191"/>
      <c r="S754" s="1191"/>
      <c r="T754" s="1191"/>
      <c r="U754" s="1191"/>
      <c r="V754" s="1191"/>
      <c r="W754" s="1191"/>
      <c r="X754" s="1191"/>
      <c r="Y754" s="1191"/>
      <c r="Z754" s="1191"/>
      <c r="AA754" s="1191"/>
      <c r="AB754" s="1191"/>
      <c r="AC754" s="1210"/>
      <c r="AD754" s="1210"/>
      <c r="AE754" s="1210"/>
      <c r="AF754" s="1210"/>
      <c r="AG754" s="1210"/>
      <c r="AH754" s="1210"/>
      <c r="AI754" s="1210"/>
      <c r="AJ754" s="1210"/>
      <c r="AK754" s="1210"/>
      <c r="AL754" s="1210"/>
    </row>
    <row r="755" spans="1:38" s="1179" customFormat="1">
      <c r="A755" s="1188"/>
      <c r="B755" s="1188"/>
      <c r="C755" s="1188"/>
      <c r="D755" s="1188"/>
      <c r="E755" s="1210"/>
      <c r="F755" s="1210"/>
      <c r="G755" s="1210"/>
      <c r="H755" s="1191"/>
      <c r="I755" s="1191"/>
      <c r="J755" s="1199"/>
      <c r="K755" s="1191"/>
      <c r="L755" s="1191"/>
      <c r="M755" s="1191"/>
      <c r="N755" s="1191"/>
      <c r="O755" s="1191"/>
      <c r="P755" s="1191"/>
      <c r="Q755" s="1199"/>
      <c r="R755" s="1191"/>
      <c r="S755" s="1191"/>
      <c r="T755" s="1191"/>
      <c r="U755" s="1191"/>
      <c r="V755" s="1191"/>
      <c r="W755" s="1191"/>
      <c r="X755" s="1191"/>
      <c r="Y755" s="1191"/>
      <c r="Z755" s="1191"/>
      <c r="AA755" s="1191"/>
      <c r="AB755" s="1191"/>
      <c r="AC755" s="1210"/>
      <c r="AD755" s="1210"/>
      <c r="AE755" s="1210"/>
      <c r="AF755" s="1210"/>
      <c r="AG755" s="1210"/>
      <c r="AH755" s="1210"/>
      <c r="AI755" s="1210"/>
      <c r="AJ755" s="1210"/>
      <c r="AK755" s="1210"/>
      <c r="AL755" s="1210"/>
    </row>
    <row r="756" spans="1:38" s="1179" customFormat="1">
      <c r="A756" s="1188"/>
      <c r="B756" s="1188"/>
      <c r="C756" s="1188"/>
      <c r="D756" s="1188"/>
      <c r="E756" s="1210"/>
      <c r="F756" s="1210"/>
      <c r="G756" s="1210"/>
      <c r="H756" s="1191"/>
      <c r="I756" s="1191"/>
      <c r="J756" s="1199"/>
      <c r="K756" s="1191"/>
      <c r="L756" s="1191"/>
      <c r="M756" s="1191"/>
      <c r="N756" s="1191"/>
      <c r="O756" s="1191"/>
      <c r="P756" s="1191"/>
      <c r="Q756" s="1199"/>
      <c r="R756" s="1191"/>
      <c r="S756" s="1191"/>
      <c r="T756" s="1191"/>
      <c r="U756" s="1191"/>
      <c r="V756" s="1191"/>
      <c r="W756" s="1191"/>
      <c r="X756" s="1191"/>
      <c r="Y756" s="1191"/>
      <c r="Z756" s="1191"/>
      <c r="AA756" s="1191"/>
      <c r="AB756" s="1191"/>
      <c r="AC756" s="1210"/>
      <c r="AD756" s="1210"/>
      <c r="AE756" s="1210"/>
      <c r="AF756" s="1210"/>
      <c r="AG756" s="1210"/>
      <c r="AH756" s="1210"/>
      <c r="AI756" s="1210"/>
      <c r="AJ756" s="1210"/>
      <c r="AK756" s="1210"/>
      <c r="AL756" s="1210"/>
    </row>
    <row r="757" spans="1:38" s="1179" customFormat="1">
      <c r="A757" s="1188"/>
      <c r="B757" s="1188"/>
      <c r="C757" s="1188"/>
      <c r="D757" s="1188"/>
      <c r="E757" s="1210"/>
      <c r="F757" s="1210"/>
      <c r="G757" s="1210"/>
      <c r="H757" s="1191"/>
      <c r="I757" s="1191"/>
      <c r="J757" s="1199"/>
      <c r="K757" s="1191"/>
      <c r="L757" s="1191"/>
      <c r="M757" s="1191"/>
      <c r="N757" s="1191"/>
      <c r="O757" s="1191"/>
      <c r="P757" s="1191"/>
      <c r="Q757" s="1199"/>
      <c r="R757" s="1191"/>
      <c r="S757" s="1191"/>
      <c r="T757" s="1191"/>
      <c r="U757" s="1191"/>
      <c r="V757" s="1191"/>
      <c r="W757" s="1191"/>
      <c r="X757" s="1191"/>
      <c r="Y757" s="1191"/>
      <c r="Z757" s="1191"/>
      <c r="AA757" s="1191"/>
      <c r="AB757" s="1191"/>
      <c r="AC757" s="1210"/>
      <c r="AD757" s="1210"/>
      <c r="AE757" s="1210"/>
      <c r="AF757" s="1210"/>
      <c r="AG757" s="1210"/>
      <c r="AH757" s="1210"/>
      <c r="AI757" s="1210"/>
      <c r="AJ757" s="1210"/>
      <c r="AK757" s="1210"/>
      <c r="AL757" s="1210"/>
    </row>
    <row r="758" spans="1:38" s="1179" customFormat="1">
      <c r="A758" s="1188"/>
      <c r="B758" s="1188"/>
      <c r="C758" s="1188"/>
      <c r="D758" s="1188"/>
      <c r="E758" s="1210"/>
      <c r="F758" s="1210"/>
      <c r="G758" s="1210"/>
      <c r="H758" s="1191"/>
      <c r="I758" s="1191"/>
      <c r="J758" s="1199"/>
      <c r="K758" s="1191"/>
      <c r="L758" s="1191"/>
      <c r="M758" s="1191"/>
      <c r="N758" s="1191"/>
      <c r="O758" s="1191"/>
      <c r="P758" s="1191"/>
      <c r="Q758" s="1199"/>
      <c r="R758" s="1191"/>
      <c r="S758" s="1191"/>
      <c r="T758" s="1191"/>
      <c r="U758" s="1191"/>
      <c r="V758" s="1191"/>
      <c r="W758" s="1191"/>
      <c r="X758" s="1191"/>
      <c r="Y758" s="1191"/>
      <c r="Z758" s="1191"/>
      <c r="AA758" s="1191"/>
      <c r="AB758" s="1191"/>
      <c r="AC758" s="1210"/>
      <c r="AD758" s="1210"/>
      <c r="AE758" s="1210"/>
      <c r="AF758" s="1210"/>
      <c r="AG758" s="1210"/>
      <c r="AH758" s="1210"/>
      <c r="AI758" s="1210"/>
      <c r="AJ758" s="1210"/>
      <c r="AK758" s="1210"/>
      <c r="AL758" s="1210"/>
    </row>
    <row r="759" spans="1:38" s="1179" customFormat="1">
      <c r="A759" s="1188"/>
      <c r="B759" s="1188"/>
      <c r="C759" s="1188"/>
      <c r="D759" s="1188"/>
      <c r="E759" s="1210"/>
      <c r="F759" s="1210"/>
      <c r="G759" s="1210"/>
      <c r="H759" s="1191"/>
      <c r="I759" s="1191"/>
      <c r="J759" s="1199"/>
      <c r="K759" s="1191"/>
      <c r="L759" s="1191"/>
      <c r="M759" s="1191"/>
      <c r="N759" s="1191"/>
      <c r="O759" s="1191"/>
      <c r="P759" s="1191"/>
      <c r="Q759" s="1199"/>
      <c r="R759" s="1191"/>
      <c r="S759" s="1191"/>
      <c r="T759" s="1191"/>
      <c r="U759" s="1191"/>
      <c r="V759" s="1191"/>
      <c r="W759" s="1191"/>
      <c r="X759" s="1191"/>
      <c r="Y759" s="1191"/>
      <c r="Z759" s="1191"/>
      <c r="AA759" s="1191"/>
      <c r="AB759" s="1191"/>
      <c r="AC759" s="1210"/>
      <c r="AD759" s="1210"/>
      <c r="AE759" s="1210"/>
      <c r="AF759" s="1210"/>
      <c r="AG759" s="1210"/>
      <c r="AH759" s="1210"/>
      <c r="AI759" s="1210"/>
      <c r="AJ759" s="1210"/>
      <c r="AK759" s="1210"/>
      <c r="AL759" s="1210"/>
    </row>
    <row r="760" spans="1:38" s="1179" customFormat="1">
      <c r="A760" s="1188"/>
      <c r="B760" s="1188"/>
      <c r="C760" s="1188"/>
      <c r="D760" s="1188"/>
      <c r="E760" s="1210"/>
      <c r="F760" s="1210"/>
      <c r="G760" s="1210"/>
      <c r="H760" s="1191"/>
      <c r="I760" s="1191"/>
      <c r="J760" s="1199"/>
      <c r="K760" s="1191"/>
      <c r="L760" s="1191"/>
      <c r="M760" s="1191"/>
      <c r="N760" s="1191"/>
      <c r="O760" s="1191"/>
      <c r="P760" s="1191"/>
      <c r="Q760" s="1199"/>
      <c r="R760" s="1191"/>
      <c r="S760" s="1191"/>
      <c r="T760" s="1191"/>
      <c r="U760" s="1191"/>
      <c r="V760" s="1191"/>
      <c r="W760" s="1191"/>
      <c r="X760" s="1191"/>
      <c r="Y760" s="1191"/>
      <c r="Z760" s="1191"/>
      <c r="AA760" s="1191"/>
      <c r="AB760" s="1191"/>
      <c r="AC760" s="1210"/>
      <c r="AD760" s="1210"/>
      <c r="AE760" s="1210"/>
      <c r="AF760" s="1210"/>
      <c r="AG760" s="1210"/>
      <c r="AH760" s="1210"/>
      <c r="AI760" s="1210"/>
      <c r="AJ760" s="1210"/>
      <c r="AK760" s="1210"/>
      <c r="AL760" s="1210"/>
    </row>
    <row r="761" spans="1:38" s="1179" customFormat="1">
      <c r="A761" s="1188"/>
      <c r="B761" s="1188"/>
      <c r="C761" s="1188"/>
      <c r="D761" s="1188"/>
      <c r="E761" s="1210"/>
      <c r="F761" s="1210"/>
      <c r="G761" s="1210"/>
      <c r="H761" s="1191"/>
      <c r="I761" s="1191"/>
      <c r="J761" s="1199"/>
      <c r="K761" s="1191"/>
      <c r="L761" s="1191"/>
      <c r="M761" s="1191"/>
      <c r="N761" s="1191"/>
      <c r="O761" s="1191"/>
      <c r="P761" s="1191"/>
      <c r="Q761" s="1199"/>
      <c r="R761" s="1191"/>
      <c r="S761" s="1191"/>
      <c r="T761" s="1191"/>
      <c r="U761" s="1191"/>
      <c r="V761" s="1191"/>
      <c r="W761" s="1191"/>
      <c r="X761" s="1191"/>
      <c r="Y761" s="1191"/>
      <c r="Z761" s="1191"/>
      <c r="AA761" s="1191"/>
      <c r="AB761" s="1191"/>
      <c r="AC761" s="1210"/>
      <c r="AD761" s="1210"/>
      <c r="AE761" s="1210"/>
      <c r="AF761" s="1210"/>
      <c r="AG761" s="1210"/>
      <c r="AH761" s="1210"/>
      <c r="AI761" s="1210"/>
      <c r="AJ761" s="1210"/>
      <c r="AK761" s="1210"/>
      <c r="AL761" s="1210"/>
    </row>
    <row r="762" spans="1:38" s="1179" customFormat="1">
      <c r="A762" s="1188"/>
      <c r="B762" s="1188"/>
      <c r="C762" s="1188"/>
      <c r="D762" s="1188"/>
      <c r="E762" s="1210"/>
      <c r="F762" s="1210"/>
      <c r="G762" s="1210"/>
      <c r="H762" s="1191"/>
      <c r="I762" s="1191"/>
      <c r="J762" s="1199"/>
      <c r="K762" s="1191"/>
      <c r="L762" s="1191"/>
      <c r="M762" s="1191"/>
      <c r="N762" s="1191"/>
      <c r="O762" s="1191"/>
      <c r="P762" s="1191"/>
      <c r="Q762" s="1199"/>
      <c r="R762" s="1191"/>
      <c r="S762" s="1191"/>
      <c r="T762" s="1191"/>
      <c r="U762" s="1191"/>
      <c r="V762" s="1191"/>
      <c r="W762" s="1191"/>
      <c r="X762" s="1191"/>
      <c r="Y762" s="1191"/>
      <c r="Z762" s="1191"/>
      <c r="AA762" s="1191"/>
      <c r="AB762" s="1191"/>
      <c r="AC762" s="1210"/>
      <c r="AD762" s="1210"/>
      <c r="AE762" s="1210"/>
      <c r="AF762" s="1210"/>
      <c r="AG762" s="1210"/>
      <c r="AH762" s="1210"/>
      <c r="AI762" s="1210"/>
      <c r="AJ762" s="1210"/>
      <c r="AK762" s="1210"/>
      <c r="AL762" s="1210"/>
    </row>
    <row r="763" spans="1:38" s="1179" customFormat="1">
      <c r="A763" s="1188"/>
      <c r="B763" s="1188"/>
      <c r="C763" s="1188"/>
      <c r="D763" s="1188"/>
      <c r="E763" s="1210"/>
      <c r="F763" s="1210"/>
      <c r="G763" s="1210"/>
      <c r="H763" s="1191"/>
      <c r="I763" s="1191"/>
      <c r="J763" s="1199"/>
      <c r="K763" s="1191"/>
      <c r="L763" s="1191"/>
      <c r="M763" s="1191"/>
      <c r="N763" s="1191"/>
      <c r="O763" s="1191"/>
      <c r="P763" s="1191"/>
      <c r="Q763" s="1199"/>
      <c r="R763" s="1191"/>
      <c r="S763" s="1191"/>
      <c r="T763" s="1191"/>
      <c r="U763" s="1191"/>
      <c r="V763" s="1191"/>
      <c r="W763" s="1191"/>
      <c r="X763" s="1191"/>
      <c r="Y763" s="1191"/>
      <c r="Z763" s="1191"/>
      <c r="AA763" s="1191"/>
      <c r="AB763" s="1191"/>
      <c r="AC763" s="1210"/>
      <c r="AD763" s="1210"/>
      <c r="AE763" s="1210"/>
      <c r="AF763" s="1210"/>
      <c r="AG763" s="1210"/>
      <c r="AH763" s="1210"/>
      <c r="AI763" s="1210"/>
      <c r="AJ763" s="1210"/>
      <c r="AK763" s="1210"/>
      <c r="AL763" s="1210"/>
    </row>
    <row r="764" spans="1:38" s="1179" customFormat="1">
      <c r="A764" s="1188"/>
      <c r="B764" s="1188"/>
      <c r="C764" s="1188"/>
      <c r="D764" s="1188"/>
      <c r="E764" s="1210"/>
      <c r="F764" s="1210"/>
      <c r="G764" s="1210"/>
      <c r="H764" s="1191"/>
      <c r="I764" s="1191"/>
      <c r="J764" s="1199"/>
      <c r="K764" s="1191"/>
      <c r="L764" s="1191"/>
      <c r="M764" s="1191"/>
      <c r="N764" s="1191"/>
      <c r="O764" s="1191"/>
      <c r="P764" s="1191"/>
      <c r="Q764" s="1199"/>
      <c r="R764" s="1191"/>
      <c r="S764" s="1191"/>
      <c r="T764" s="1191"/>
      <c r="U764" s="1191"/>
      <c r="V764" s="1191"/>
      <c r="W764" s="1191"/>
      <c r="X764" s="1191"/>
      <c r="Y764" s="1191"/>
      <c r="Z764" s="1191"/>
      <c r="AA764" s="1191"/>
      <c r="AB764" s="1191"/>
      <c r="AC764" s="1210"/>
      <c r="AD764" s="1210"/>
      <c r="AE764" s="1210"/>
      <c r="AF764" s="1210"/>
      <c r="AG764" s="1210"/>
      <c r="AH764" s="1210"/>
      <c r="AI764" s="1210"/>
      <c r="AJ764" s="1210"/>
      <c r="AK764" s="1210"/>
      <c r="AL764" s="1210"/>
    </row>
    <row r="765" spans="1:38" s="1179" customFormat="1">
      <c r="A765" s="1188"/>
      <c r="B765" s="1188"/>
      <c r="C765" s="1188"/>
      <c r="D765" s="1188"/>
      <c r="E765" s="1210"/>
      <c r="F765" s="1210"/>
      <c r="G765" s="1210"/>
      <c r="H765" s="1191"/>
      <c r="I765" s="1191"/>
      <c r="J765" s="1199"/>
      <c r="K765" s="1191"/>
      <c r="L765" s="1191"/>
      <c r="M765" s="1191"/>
      <c r="N765" s="1191"/>
      <c r="O765" s="1191"/>
      <c r="P765" s="1191"/>
      <c r="Q765" s="1199"/>
      <c r="R765" s="1191"/>
      <c r="S765" s="1191"/>
      <c r="T765" s="1191"/>
      <c r="U765" s="1191"/>
      <c r="V765" s="1191"/>
      <c r="W765" s="1191"/>
      <c r="X765" s="1191"/>
      <c r="Y765" s="1191"/>
      <c r="Z765" s="1191"/>
      <c r="AA765" s="1191"/>
      <c r="AB765" s="1191"/>
      <c r="AC765" s="1210"/>
      <c r="AD765" s="1210"/>
      <c r="AE765" s="1210"/>
      <c r="AF765" s="1210"/>
      <c r="AG765" s="1210"/>
      <c r="AH765" s="1210"/>
      <c r="AI765" s="1210"/>
      <c r="AJ765" s="1210"/>
      <c r="AK765" s="1210"/>
      <c r="AL765" s="1210"/>
    </row>
    <row r="766" spans="1:38" s="1179" customFormat="1">
      <c r="A766" s="1188"/>
      <c r="B766" s="1188"/>
      <c r="C766" s="1188"/>
      <c r="D766" s="1188"/>
      <c r="E766" s="1210"/>
      <c r="F766" s="1210"/>
      <c r="G766" s="1210"/>
      <c r="H766" s="1191"/>
      <c r="I766" s="1191"/>
      <c r="J766" s="1199"/>
      <c r="K766" s="1191"/>
      <c r="L766" s="1191"/>
      <c r="M766" s="1191"/>
      <c r="N766" s="1191"/>
      <c r="O766" s="1191"/>
      <c r="P766" s="1191"/>
      <c r="Q766" s="1199"/>
      <c r="R766" s="1191"/>
      <c r="S766" s="1191"/>
      <c r="T766" s="1191"/>
      <c r="U766" s="1191"/>
      <c r="V766" s="1191"/>
      <c r="W766" s="1191"/>
      <c r="X766" s="1191"/>
      <c r="Y766" s="1191"/>
      <c r="Z766" s="1191"/>
      <c r="AA766" s="1191"/>
      <c r="AB766" s="1191"/>
      <c r="AC766" s="1210"/>
      <c r="AD766" s="1210"/>
      <c r="AE766" s="1210"/>
      <c r="AF766" s="1210"/>
      <c r="AG766" s="1210"/>
      <c r="AH766" s="1210"/>
      <c r="AI766" s="1210"/>
      <c r="AJ766" s="1210"/>
      <c r="AK766" s="1210"/>
      <c r="AL766" s="1210"/>
    </row>
    <row r="767" spans="1:38" s="1179" customFormat="1">
      <c r="A767" s="1188"/>
      <c r="B767" s="1188"/>
      <c r="C767" s="1188"/>
      <c r="D767" s="1188"/>
      <c r="E767" s="1210"/>
      <c r="F767" s="1210"/>
      <c r="G767" s="1210"/>
      <c r="H767" s="1191"/>
      <c r="I767" s="1191"/>
      <c r="J767" s="1199"/>
      <c r="K767" s="1191"/>
      <c r="L767" s="1191"/>
      <c r="M767" s="1191"/>
      <c r="N767" s="1191"/>
      <c r="O767" s="1191"/>
      <c r="P767" s="1191"/>
      <c r="Q767" s="1199"/>
      <c r="R767" s="1191"/>
      <c r="S767" s="1191"/>
      <c r="T767" s="1191"/>
      <c r="U767" s="1191"/>
      <c r="V767" s="1191"/>
      <c r="W767" s="1191"/>
      <c r="X767" s="1191"/>
      <c r="Y767" s="1191"/>
      <c r="Z767" s="1191"/>
      <c r="AA767" s="1191"/>
      <c r="AB767" s="1191"/>
      <c r="AC767" s="1210"/>
      <c r="AD767" s="1210"/>
      <c r="AE767" s="1210"/>
      <c r="AF767" s="1210"/>
      <c r="AG767" s="1210"/>
      <c r="AH767" s="1210"/>
      <c r="AI767" s="1210"/>
      <c r="AJ767" s="1210"/>
      <c r="AK767" s="1210"/>
      <c r="AL767" s="1210"/>
    </row>
    <row r="768" spans="1:38" s="1179" customFormat="1">
      <c r="A768" s="1188"/>
      <c r="B768" s="1188"/>
      <c r="C768" s="1188"/>
      <c r="D768" s="1188"/>
      <c r="E768" s="1210"/>
      <c r="F768" s="1210"/>
      <c r="G768" s="1210"/>
      <c r="H768" s="1191"/>
      <c r="I768" s="1191"/>
      <c r="J768" s="1199"/>
      <c r="K768" s="1191"/>
      <c r="L768" s="1191"/>
      <c r="M768" s="1191"/>
      <c r="N768" s="1191"/>
      <c r="O768" s="1191"/>
      <c r="P768" s="1191"/>
      <c r="Q768" s="1199"/>
      <c r="R768" s="1191"/>
      <c r="S768" s="1191"/>
      <c r="T768" s="1191"/>
      <c r="U768" s="1191"/>
      <c r="V768" s="1191"/>
      <c r="W768" s="1191"/>
      <c r="X768" s="1191"/>
      <c r="Y768" s="1191"/>
      <c r="Z768" s="1191"/>
      <c r="AA768" s="1191"/>
      <c r="AB768" s="1191"/>
      <c r="AC768" s="1210"/>
      <c r="AD768" s="1210"/>
      <c r="AE768" s="1210"/>
      <c r="AF768" s="1210"/>
      <c r="AG768" s="1210"/>
      <c r="AH768" s="1210"/>
      <c r="AI768" s="1210"/>
      <c r="AJ768" s="1210"/>
      <c r="AK768" s="1210"/>
      <c r="AL768" s="1210"/>
    </row>
    <row r="769" spans="1:38" s="1179" customFormat="1">
      <c r="A769" s="1188"/>
      <c r="B769" s="1188"/>
      <c r="C769" s="1188"/>
      <c r="D769" s="1188"/>
      <c r="E769" s="1210"/>
      <c r="F769" s="1210"/>
      <c r="G769" s="1210"/>
      <c r="H769" s="1191"/>
      <c r="I769" s="1191"/>
      <c r="J769" s="1199"/>
      <c r="K769" s="1191"/>
      <c r="L769" s="1191"/>
      <c r="M769" s="1191"/>
      <c r="N769" s="1191"/>
      <c r="O769" s="1191"/>
      <c r="P769" s="1191"/>
      <c r="Q769" s="1199"/>
      <c r="R769" s="1191"/>
      <c r="S769" s="1191"/>
      <c r="T769" s="1191"/>
      <c r="U769" s="1191"/>
      <c r="V769" s="1191"/>
      <c r="W769" s="1191"/>
      <c r="X769" s="1191"/>
      <c r="Y769" s="1191"/>
      <c r="Z769" s="1191"/>
      <c r="AA769" s="1191"/>
      <c r="AB769" s="1191"/>
      <c r="AC769" s="1210"/>
      <c r="AD769" s="1210"/>
      <c r="AE769" s="1210"/>
      <c r="AF769" s="1210"/>
      <c r="AG769" s="1210"/>
      <c r="AH769" s="1210"/>
      <c r="AI769" s="1210"/>
      <c r="AJ769" s="1210"/>
      <c r="AK769" s="1210"/>
      <c r="AL769" s="1210"/>
    </row>
    <row r="770" spans="1:38" s="1179" customFormat="1">
      <c r="A770" s="1188"/>
      <c r="B770" s="1188"/>
      <c r="C770" s="1188"/>
      <c r="D770" s="1188"/>
      <c r="E770" s="1210"/>
      <c r="F770" s="1210"/>
      <c r="G770" s="1210"/>
      <c r="H770" s="1191"/>
      <c r="I770" s="1191"/>
      <c r="J770" s="1199"/>
      <c r="K770" s="1191"/>
      <c r="L770" s="1191"/>
      <c r="M770" s="1191"/>
      <c r="N770" s="1191"/>
      <c r="O770" s="1191"/>
      <c r="P770" s="1191"/>
      <c r="Q770" s="1199"/>
      <c r="R770" s="1191"/>
      <c r="S770" s="1191"/>
      <c r="T770" s="1191"/>
      <c r="U770" s="1191"/>
      <c r="V770" s="1191"/>
      <c r="W770" s="1191"/>
      <c r="X770" s="1191"/>
      <c r="Y770" s="1191"/>
      <c r="Z770" s="1191"/>
      <c r="AA770" s="1191"/>
      <c r="AB770" s="1191"/>
      <c r="AC770" s="1210"/>
      <c r="AD770" s="1210"/>
      <c r="AE770" s="1210"/>
      <c r="AF770" s="1210"/>
      <c r="AG770" s="1210"/>
      <c r="AH770" s="1210"/>
      <c r="AI770" s="1210"/>
      <c r="AJ770" s="1210"/>
      <c r="AK770" s="1210"/>
      <c r="AL770" s="1210"/>
    </row>
    <row r="771" spans="1:38" s="1179" customFormat="1">
      <c r="A771" s="1188"/>
      <c r="B771" s="1188"/>
      <c r="C771" s="1188"/>
      <c r="D771" s="1188"/>
      <c r="E771" s="1210"/>
      <c r="F771" s="1210"/>
      <c r="G771" s="1210"/>
      <c r="H771" s="1191"/>
      <c r="I771" s="1191"/>
      <c r="J771" s="1199"/>
      <c r="K771" s="1191"/>
      <c r="L771" s="1191"/>
      <c r="M771" s="1191"/>
      <c r="N771" s="1191"/>
      <c r="O771" s="1191"/>
      <c r="P771" s="1191"/>
      <c r="Q771" s="1199"/>
      <c r="R771" s="1191"/>
      <c r="S771" s="1191"/>
      <c r="T771" s="1191"/>
      <c r="U771" s="1191"/>
      <c r="V771" s="1191"/>
      <c r="W771" s="1191"/>
      <c r="X771" s="1191"/>
      <c r="Y771" s="1191"/>
      <c r="Z771" s="1191"/>
      <c r="AA771" s="1191"/>
      <c r="AB771" s="1191"/>
      <c r="AC771" s="1210"/>
      <c r="AD771" s="1210"/>
      <c r="AE771" s="1210"/>
      <c r="AF771" s="1210"/>
      <c r="AG771" s="1210"/>
      <c r="AH771" s="1210"/>
      <c r="AI771" s="1210"/>
      <c r="AJ771" s="1210"/>
      <c r="AK771" s="1210"/>
      <c r="AL771" s="1210"/>
    </row>
    <row r="772" spans="1:38" s="1179" customFormat="1">
      <c r="A772" s="1188"/>
      <c r="B772" s="1188"/>
      <c r="C772" s="1188"/>
      <c r="D772" s="1188"/>
      <c r="E772" s="1210"/>
      <c r="F772" s="1210"/>
      <c r="G772" s="1210"/>
      <c r="H772" s="1191"/>
      <c r="I772" s="1191"/>
      <c r="J772" s="1199"/>
      <c r="K772" s="1191"/>
      <c r="L772" s="1191"/>
      <c r="M772" s="1191"/>
      <c r="N772" s="1191"/>
      <c r="O772" s="1191"/>
      <c r="P772" s="1191"/>
      <c r="Q772" s="1199"/>
      <c r="R772" s="1191"/>
      <c r="S772" s="1191"/>
      <c r="T772" s="1191"/>
      <c r="U772" s="1191"/>
      <c r="V772" s="1191"/>
      <c r="W772" s="1191"/>
      <c r="X772" s="1191"/>
      <c r="Y772" s="1191"/>
      <c r="Z772" s="1191"/>
      <c r="AA772" s="1191"/>
      <c r="AB772" s="1191"/>
      <c r="AC772" s="1210"/>
      <c r="AD772" s="1210"/>
      <c r="AE772" s="1210"/>
      <c r="AF772" s="1210"/>
      <c r="AG772" s="1210"/>
      <c r="AH772" s="1210"/>
      <c r="AI772" s="1210"/>
      <c r="AJ772" s="1210"/>
      <c r="AK772" s="1210"/>
      <c r="AL772" s="1210"/>
    </row>
    <row r="773" spans="1:38" s="1179" customFormat="1">
      <c r="A773" s="1188"/>
      <c r="B773" s="1188"/>
      <c r="C773" s="1188"/>
      <c r="D773" s="1188"/>
      <c r="E773" s="1210"/>
      <c r="F773" s="1210"/>
      <c r="G773" s="1210"/>
      <c r="H773" s="1191"/>
      <c r="I773" s="1191"/>
      <c r="J773" s="1199"/>
      <c r="K773" s="1191"/>
      <c r="L773" s="1191"/>
      <c r="M773" s="1191"/>
      <c r="N773" s="1191"/>
      <c r="O773" s="1191"/>
      <c r="P773" s="1191"/>
      <c r="Q773" s="1199"/>
      <c r="R773" s="1191"/>
      <c r="S773" s="1191"/>
      <c r="T773" s="1191"/>
      <c r="U773" s="1191"/>
      <c r="V773" s="1191"/>
      <c r="W773" s="1191"/>
      <c r="X773" s="1191"/>
      <c r="Y773" s="1191"/>
      <c r="Z773" s="1191"/>
      <c r="AA773" s="1191"/>
      <c r="AB773" s="1191"/>
      <c r="AC773" s="1210"/>
      <c r="AD773" s="1210"/>
      <c r="AE773" s="1210"/>
      <c r="AF773" s="1210"/>
      <c r="AG773" s="1210"/>
      <c r="AH773" s="1210"/>
      <c r="AI773" s="1210"/>
      <c r="AJ773" s="1210"/>
      <c r="AK773" s="1210"/>
      <c r="AL773" s="1210"/>
    </row>
    <row r="774" spans="1:38" s="1179" customFormat="1">
      <c r="A774" s="1188"/>
      <c r="B774" s="1188"/>
      <c r="C774" s="1188"/>
      <c r="D774" s="1188"/>
      <c r="E774" s="1210"/>
      <c r="F774" s="1210"/>
      <c r="G774" s="1210"/>
      <c r="H774" s="1191"/>
      <c r="I774" s="1191"/>
      <c r="J774" s="1199"/>
      <c r="K774" s="1191"/>
      <c r="L774" s="1191"/>
      <c r="M774" s="1191"/>
      <c r="N774" s="1191"/>
      <c r="O774" s="1191"/>
      <c r="P774" s="1191"/>
      <c r="Q774" s="1199"/>
      <c r="R774" s="1191"/>
      <c r="S774" s="1191"/>
      <c r="T774" s="1191"/>
      <c r="U774" s="1191"/>
      <c r="V774" s="1191"/>
      <c r="W774" s="1191"/>
      <c r="X774" s="1191"/>
      <c r="Y774" s="1191"/>
      <c r="Z774" s="1191"/>
      <c r="AA774" s="1191"/>
      <c r="AB774" s="1191"/>
      <c r="AC774" s="1210"/>
      <c r="AD774" s="1210"/>
      <c r="AE774" s="1210"/>
      <c r="AF774" s="1210"/>
      <c r="AG774" s="1210"/>
      <c r="AH774" s="1210"/>
      <c r="AI774" s="1210"/>
      <c r="AJ774" s="1210"/>
      <c r="AK774" s="1210"/>
      <c r="AL774" s="1210"/>
    </row>
    <row r="775" spans="1:38" s="1179" customFormat="1">
      <c r="A775" s="1188"/>
      <c r="B775" s="1188"/>
      <c r="C775" s="1188"/>
      <c r="D775" s="1188"/>
      <c r="E775" s="1210"/>
      <c r="F775" s="1210"/>
      <c r="G775" s="1210"/>
      <c r="H775" s="1191"/>
      <c r="I775" s="1191"/>
      <c r="J775" s="1199"/>
      <c r="K775" s="1191"/>
      <c r="L775" s="1191"/>
      <c r="M775" s="1191"/>
      <c r="N775" s="1191"/>
      <c r="O775" s="1191"/>
      <c r="P775" s="1191"/>
      <c r="Q775" s="1199"/>
      <c r="R775" s="1191"/>
      <c r="S775" s="1191"/>
      <c r="T775" s="1191"/>
      <c r="U775" s="1191"/>
      <c r="V775" s="1191"/>
      <c r="W775" s="1191"/>
      <c r="X775" s="1191"/>
      <c r="Y775" s="1191"/>
      <c r="Z775" s="1191"/>
      <c r="AA775" s="1191"/>
      <c r="AB775" s="1191"/>
      <c r="AC775" s="1210"/>
      <c r="AD775" s="1210"/>
      <c r="AE775" s="1210"/>
      <c r="AF775" s="1210"/>
      <c r="AG775" s="1210"/>
      <c r="AH775" s="1210"/>
      <c r="AI775" s="1210"/>
      <c r="AJ775" s="1210"/>
      <c r="AK775" s="1210"/>
      <c r="AL775" s="1210"/>
    </row>
    <row r="776" spans="1:38" s="1179" customFormat="1">
      <c r="A776" s="1188"/>
      <c r="B776" s="1188"/>
      <c r="C776" s="1188"/>
      <c r="D776" s="1188"/>
      <c r="E776" s="1210"/>
      <c r="F776" s="1210"/>
      <c r="G776" s="1210"/>
      <c r="H776" s="1191"/>
      <c r="I776" s="1191"/>
      <c r="J776" s="1199"/>
      <c r="K776" s="1191"/>
      <c r="L776" s="1191"/>
      <c r="M776" s="1191"/>
      <c r="N776" s="1191"/>
      <c r="O776" s="1191"/>
      <c r="P776" s="1191"/>
      <c r="Q776" s="1199"/>
      <c r="R776" s="1191"/>
      <c r="S776" s="1191"/>
      <c r="T776" s="1191"/>
      <c r="U776" s="1191"/>
      <c r="V776" s="1191"/>
      <c r="W776" s="1191"/>
      <c r="X776" s="1191"/>
      <c r="Y776" s="1191"/>
      <c r="Z776" s="1191"/>
      <c r="AA776" s="1191"/>
      <c r="AB776" s="1191"/>
      <c r="AC776" s="1210"/>
      <c r="AD776" s="1210"/>
      <c r="AE776" s="1210"/>
      <c r="AF776" s="1210"/>
      <c r="AG776" s="1210"/>
      <c r="AH776" s="1210"/>
      <c r="AI776" s="1210"/>
      <c r="AJ776" s="1210"/>
      <c r="AK776" s="1210"/>
      <c r="AL776" s="1210"/>
    </row>
    <row r="777" spans="1:38" s="1179" customFormat="1">
      <c r="A777" s="1188"/>
      <c r="B777" s="1188"/>
      <c r="C777" s="1188"/>
      <c r="D777" s="1188"/>
      <c r="E777" s="1210"/>
      <c r="F777" s="1210"/>
      <c r="G777" s="1210"/>
      <c r="H777" s="1191"/>
      <c r="I777" s="1191"/>
      <c r="J777" s="1199"/>
      <c r="K777" s="1191"/>
      <c r="L777" s="1191"/>
      <c r="M777" s="1191"/>
      <c r="N777" s="1191"/>
      <c r="O777" s="1191"/>
      <c r="P777" s="1191"/>
      <c r="Q777" s="1199"/>
      <c r="R777" s="1191"/>
      <c r="S777" s="1191"/>
      <c r="T777" s="1191"/>
      <c r="U777" s="1191"/>
      <c r="V777" s="1191"/>
      <c r="W777" s="1191"/>
      <c r="X777" s="1191"/>
      <c r="Y777" s="1191"/>
      <c r="Z777" s="1191"/>
      <c r="AA777" s="1191"/>
      <c r="AB777" s="1191"/>
      <c r="AC777" s="1210"/>
      <c r="AD777" s="1210"/>
      <c r="AE777" s="1210"/>
      <c r="AF777" s="1210"/>
      <c r="AG777" s="1210"/>
      <c r="AH777" s="1210"/>
      <c r="AI777" s="1210"/>
      <c r="AJ777" s="1210"/>
      <c r="AK777" s="1210"/>
      <c r="AL777" s="1210"/>
    </row>
    <row r="778" spans="1:38" s="1179" customFormat="1">
      <c r="A778" s="1188"/>
      <c r="B778" s="1188"/>
      <c r="C778" s="1188"/>
      <c r="D778" s="1188"/>
      <c r="E778" s="1210"/>
      <c r="F778" s="1210"/>
      <c r="G778" s="1210"/>
      <c r="H778" s="1191"/>
      <c r="I778" s="1191"/>
      <c r="J778" s="1199"/>
      <c r="K778" s="1191"/>
      <c r="L778" s="1191"/>
      <c r="M778" s="1191"/>
      <c r="N778" s="1191"/>
      <c r="O778" s="1191"/>
      <c r="P778" s="1191"/>
      <c r="Q778" s="1199"/>
      <c r="R778" s="1191"/>
      <c r="S778" s="1191"/>
      <c r="T778" s="1191"/>
      <c r="U778" s="1191"/>
      <c r="V778" s="1191"/>
      <c r="W778" s="1191"/>
      <c r="X778" s="1191"/>
      <c r="Y778" s="1191"/>
      <c r="Z778" s="1191"/>
      <c r="AA778" s="1191"/>
      <c r="AB778" s="1191"/>
      <c r="AC778" s="1210"/>
      <c r="AD778" s="1210"/>
      <c r="AE778" s="1210"/>
      <c r="AF778" s="1210"/>
      <c r="AG778" s="1210"/>
      <c r="AH778" s="1210"/>
      <c r="AI778" s="1210"/>
      <c r="AJ778" s="1210"/>
      <c r="AK778" s="1210"/>
      <c r="AL778" s="1210"/>
    </row>
    <row r="779" spans="1:38" s="1179" customFormat="1">
      <c r="A779" s="1188"/>
      <c r="B779" s="1188"/>
      <c r="C779" s="1188"/>
      <c r="D779" s="1188"/>
      <c r="E779" s="1210"/>
      <c r="F779" s="1210"/>
      <c r="G779" s="1210"/>
      <c r="H779" s="1191"/>
      <c r="I779" s="1191"/>
      <c r="J779" s="1199"/>
      <c r="K779" s="1191"/>
      <c r="L779" s="1191"/>
      <c r="M779" s="1191"/>
      <c r="N779" s="1191"/>
      <c r="O779" s="1191"/>
      <c r="P779" s="1191"/>
      <c r="Q779" s="1199"/>
      <c r="R779" s="1191"/>
      <c r="S779" s="1191"/>
      <c r="T779" s="1191"/>
      <c r="U779" s="1191"/>
      <c r="V779" s="1191"/>
      <c r="W779" s="1191"/>
      <c r="X779" s="1191"/>
      <c r="Y779" s="1191"/>
      <c r="Z779" s="1191"/>
      <c r="AA779" s="1191"/>
      <c r="AB779" s="1191"/>
      <c r="AC779" s="1210"/>
      <c r="AD779" s="1210"/>
      <c r="AE779" s="1210"/>
      <c r="AF779" s="1210"/>
      <c r="AG779" s="1210"/>
      <c r="AH779" s="1210"/>
      <c r="AI779" s="1210"/>
      <c r="AJ779" s="1210"/>
      <c r="AK779" s="1210"/>
      <c r="AL779" s="1210"/>
    </row>
    <row r="780" spans="1:38" s="1179" customFormat="1">
      <c r="A780" s="1188"/>
      <c r="B780" s="1188"/>
      <c r="C780" s="1188"/>
      <c r="D780" s="1188"/>
      <c r="E780" s="1210"/>
      <c r="F780" s="1210"/>
      <c r="G780" s="1210"/>
      <c r="H780" s="1191"/>
      <c r="I780" s="1191"/>
      <c r="J780" s="1199"/>
      <c r="K780" s="1191"/>
      <c r="L780" s="1191"/>
      <c r="M780" s="1191"/>
      <c r="N780" s="1191"/>
      <c r="O780" s="1191"/>
      <c r="P780" s="1191"/>
      <c r="Q780" s="1199"/>
      <c r="R780" s="1191"/>
      <c r="S780" s="1191"/>
      <c r="T780" s="1191"/>
      <c r="U780" s="1191"/>
      <c r="V780" s="1191"/>
      <c r="W780" s="1191"/>
      <c r="X780" s="1191"/>
      <c r="Y780" s="1191"/>
      <c r="Z780" s="1191"/>
      <c r="AA780" s="1191"/>
      <c r="AB780" s="1191"/>
      <c r="AC780" s="1210"/>
      <c r="AD780" s="1210"/>
      <c r="AE780" s="1210"/>
      <c r="AF780" s="1210"/>
      <c r="AG780" s="1210"/>
      <c r="AH780" s="1210"/>
      <c r="AI780" s="1210"/>
      <c r="AJ780" s="1210"/>
      <c r="AK780" s="1210"/>
      <c r="AL780" s="1210"/>
    </row>
    <row r="781" spans="1:38" s="1179" customFormat="1">
      <c r="A781" s="1188"/>
      <c r="B781" s="1188"/>
      <c r="C781" s="1188"/>
      <c r="D781" s="1188"/>
      <c r="E781" s="1210"/>
      <c r="F781" s="1210"/>
      <c r="G781" s="1210"/>
      <c r="H781" s="1191"/>
      <c r="I781" s="1191"/>
      <c r="J781" s="1199"/>
      <c r="K781" s="1191"/>
      <c r="L781" s="1191"/>
      <c r="M781" s="1191"/>
      <c r="N781" s="1191"/>
      <c r="O781" s="1191"/>
      <c r="P781" s="1191"/>
      <c r="Q781" s="1199"/>
      <c r="R781" s="1191"/>
      <c r="S781" s="1191"/>
      <c r="T781" s="1191"/>
      <c r="U781" s="1191"/>
      <c r="V781" s="1191"/>
      <c r="W781" s="1191"/>
      <c r="X781" s="1191"/>
      <c r="Y781" s="1191"/>
      <c r="Z781" s="1191"/>
      <c r="AA781" s="1191"/>
      <c r="AB781" s="1191"/>
      <c r="AC781" s="1210"/>
      <c r="AD781" s="1210"/>
      <c r="AE781" s="1210"/>
      <c r="AF781" s="1210"/>
      <c r="AG781" s="1210"/>
      <c r="AH781" s="1210"/>
      <c r="AI781" s="1210"/>
      <c r="AJ781" s="1210"/>
      <c r="AK781" s="1210"/>
      <c r="AL781" s="1210"/>
    </row>
    <row r="782" spans="1:38" s="1179" customFormat="1">
      <c r="A782" s="1188"/>
      <c r="B782" s="1188"/>
      <c r="C782" s="1188"/>
      <c r="D782" s="1188"/>
      <c r="E782" s="1210"/>
      <c r="F782" s="1210"/>
      <c r="G782" s="1210"/>
      <c r="H782" s="1191"/>
      <c r="I782" s="1191"/>
      <c r="J782" s="1199"/>
      <c r="K782" s="1191"/>
      <c r="L782" s="1191"/>
      <c r="M782" s="1191"/>
      <c r="N782" s="1191"/>
      <c r="O782" s="1191"/>
      <c r="P782" s="1191"/>
      <c r="Q782" s="1199"/>
      <c r="R782" s="1191"/>
      <c r="S782" s="1191"/>
      <c r="T782" s="1191"/>
      <c r="U782" s="1191"/>
      <c r="V782" s="1191"/>
      <c r="W782" s="1191"/>
      <c r="X782" s="1191"/>
      <c r="Y782" s="1191"/>
      <c r="Z782" s="1191"/>
      <c r="AA782" s="1191"/>
      <c r="AB782" s="1191"/>
      <c r="AC782" s="1210"/>
      <c r="AD782" s="1210"/>
      <c r="AE782" s="1210"/>
      <c r="AF782" s="1210"/>
      <c r="AG782" s="1210"/>
      <c r="AH782" s="1210"/>
      <c r="AI782" s="1210"/>
      <c r="AJ782" s="1210"/>
      <c r="AK782" s="1210"/>
      <c r="AL782" s="1210"/>
    </row>
    <row r="783" spans="1:38" s="1179" customFormat="1">
      <c r="A783" s="1188"/>
      <c r="B783" s="1188"/>
      <c r="C783" s="1188"/>
      <c r="D783" s="1188"/>
      <c r="E783" s="1210"/>
      <c r="F783" s="1210"/>
      <c r="G783" s="1210"/>
      <c r="H783" s="1191"/>
      <c r="I783" s="1191"/>
      <c r="J783" s="1199"/>
      <c r="K783" s="1191"/>
      <c r="L783" s="1191"/>
      <c r="M783" s="1191"/>
      <c r="N783" s="1191"/>
      <c r="O783" s="1191"/>
      <c r="P783" s="1191"/>
      <c r="Q783" s="1199"/>
      <c r="R783" s="1191"/>
      <c r="S783" s="1191"/>
      <c r="T783" s="1191"/>
      <c r="U783" s="1191"/>
      <c r="V783" s="1191"/>
      <c r="W783" s="1191"/>
      <c r="X783" s="1191"/>
      <c r="Y783" s="1191"/>
      <c r="Z783" s="1191"/>
      <c r="AA783" s="1191"/>
      <c r="AB783" s="1191"/>
      <c r="AC783" s="1210"/>
      <c r="AD783" s="1210"/>
      <c r="AE783" s="1210"/>
      <c r="AF783" s="1210"/>
      <c r="AG783" s="1210"/>
      <c r="AH783" s="1210"/>
      <c r="AI783" s="1210"/>
      <c r="AJ783" s="1210"/>
      <c r="AK783" s="1210"/>
      <c r="AL783" s="1210"/>
    </row>
    <row r="784" spans="1:38" s="1179" customFormat="1">
      <c r="A784" s="1188"/>
      <c r="B784" s="1188"/>
      <c r="C784" s="1188"/>
      <c r="D784" s="1188"/>
      <c r="E784" s="1210"/>
      <c r="F784" s="1210"/>
      <c r="G784" s="1210"/>
      <c r="H784" s="1191"/>
      <c r="I784" s="1191"/>
      <c r="J784" s="1199"/>
      <c r="K784" s="1191"/>
      <c r="L784" s="1191"/>
      <c r="M784" s="1191"/>
      <c r="N784" s="1191"/>
      <c r="O784" s="1191"/>
      <c r="P784" s="1191"/>
      <c r="Q784" s="1199"/>
      <c r="R784" s="1191"/>
      <c r="S784" s="1191"/>
      <c r="T784" s="1191"/>
      <c r="U784" s="1191"/>
      <c r="V784" s="1191"/>
      <c r="W784" s="1191"/>
      <c r="X784" s="1191"/>
      <c r="Y784" s="1191"/>
      <c r="Z784" s="1191"/>
      <c r="AA784" s="1191"/>
      <c r="AB784" s="1191"/>
      <c r="AC784" s="1210"/>
      <c r="AD784" s="1210"/>
      <c r="AE784" s="1210"/>
      <c r="AF784" s="1210"/>
      <c r="AG784" s="1210"/>
      <c r="AH784" s="1210"/>
      <c r="AI784" s="1210"/>
      <c r="AJ784" s="1210"/>
      <c r="AK784" s="1210"/>
      <c r="AL784" s="1210"/>
    </row>
    <row r="785" spans="1:38" s="1179" customFormat="1">
      <c r="A785" s="1188"/>
      <c r="B785" s="1188"/>
      <c r="C785" s="1188"/>
      <c r="D785" s="1188"/>
      <c r="E785" s="1210"/>
      <c r="F785" s="1210"/>
      <c r="G785" s="1210"/>
      <c r="H785" s="1191"/>
      <c r="I785" s="1191"/>
      <c r="J785" s="1199"/>
      <c r="K785" s="1191"/>
      <c r="L785" s="1191"/>
      <c r="M785" s="1191"/>
      <c r="N785" s="1191"/>
      <c r="O785" s="1191"/>
      <c r="P785" s="1191"/>
      <c r="Q785" s="1199"/>
      <c r="R785" s="1191"/>
      <c r="S785" s="1191"/>
      <c r="T785" s="1191"/>
      <c r="U785" s="1191"/>
      <c r="V785" s="1191"/>
      <c r="W785" s="1191"/>
      <c r="X785" s="1191"/>
      <c r="Y785" s="1191"/>
      <c r="Z785" s="1191"/>
      <c r="AA785" s="1191"/>
      <c r="AB785" s="1191"/>
      <c r="AC785" s="1210"/>
      <c r="AD785" s="1210"/>
      <c r="AE785" s="1210"/>
      <c r="AF785" s="1210"/>
      <c r="AG785" s="1210"/>
      <c r="AH785" s="1210"/>
      <c r="AI785" s="1210"/>
      <c r="AJ785" s="1210"/>
      <c r="AK785" s="1210"/>
      <c r="AL785" s="1210"/>
    </row>
    <row r="786" spans="1:38" s="1179" customFormat="1">
      <c r="A786" s="1188"/>
      <c r="B786" s="1188"/>
      <c r="C786" s="1188"/>
      <c r="D786" s="1188"/>
      <c r="E786" s="1210"/>
      <c r="F786" s="1210"/>
      <c r="G786" s="1210"/>
      <c r="H786" s="1191"/>
      <c r="I786" s="1191"/>
      <c r="J786" s="1199"/>
      <c r="K786" s="1191"/>
      <c r="L786" s="1191"/>
      <c r="M786" s="1191"/>
      <c r="N786" s="1191"/>
      <c r="O786" s="1191"/>
      <c r="P786" s="1191"/>
      <c r="Q786" s="1199"/>
      <c r="R786" s="1191"/>
      <c r="S786" s="1191"/>
      <c r="T786" s="1191"/>
      <c r="U786" s="1191"/>
      <c r="V786" s="1191"/>
      <c r="W786" s="1191"/>
      <c r="X786" s="1191"/>
      <c r="Y786" s="1191"/>
      <c r="Z786" s="1191"/>
      <c r="AA786" s="1191"/>
      <c r="AB786" s="1191"/>
      <c r="AC786" s="1210"/>
      <c r="AD786" s="1210"/>
      <c r="AE786" s="1210"/>
      <c r="AF786" s="1210"/>
      <c r="AG786" s="1210"/>
      <c r="AH786" s="1210"/>
      <c r="AI786" s="1210"/>
      <c r="AJ786" s="1210"/>
      <c r="AK786" s="1210"/>
      <c r="AL786" s="1210"/>
    </row>
    <row r="787" spans="1:38" s="1179" customFormat="1">
      <c r="A787" s="1188"/>
      <c r="B787" s="1188"/>
      <c r="C787" s="1188"/>
      <c r="D787" s="1188"/>
      <c r="E787" s="1210"/>
      <c r="F787" s="1210"/>
      <c r="G787" s="1210"/>
      <c r="H787" s="1191"/>
      <c r="I787" s="1191"/>
      <c r="J787" s="1199"/>
      <c r="K787" s="1191"/>
      <c r="L787" s="1191"/>
      <c r="M787" s="1191"/>
      <c r="N787" s="1191"/>
      <c r="O787" s="1191"/>
      <c r="P787" s="1191"/>
      <c r="Q787" s="1199"/>
      <c r="R787" s="1191"/>
      <c r="S787" s="1191"/>
      <c r="T787" s="1191"/>
      <c r="U787" s="1191"/>
      <c r="V787" s="1191"/>
      <c r="W787" s="1191"/>
      <c r="X787" s="1191"/>
      <c r="Y787" s="1191"/>
      <c r="Z787" s="1191"/>
      <c r="AA787" s="1191"/>
      <c r="AB787" s="1191"/>
      <c r="AC787" s="1210"/>
      <c r="AD787" s="1210"/>
      <c r="AE787" s="1210"/>
      <c r="AF787" s="1210"/>
      <c r="AG787" s="1210"/>
      <c r="AH787" s="1210"/>
      <c r="AI787" s="1210"/>
      <c r="AJ787" s="1210"/>
      <c r="AK787" s="1210"/>
      <c r="AL787" s="1210"/>
    </row>
    <row r="788" spans="1:38" s="1179" customFormat="1">
      <c r="A788" s="1188"/>
      <c r="B788" s="1188"/>
      <c r="C788" s="1188"/>
      <c r="D788" s="1188"/>
      <c r="E788" s="1210"/>
      <c r="F788" s="1210"/>
      <c r="G788" s="1210"/>
      <c r="H788" s="1191"/>
      <c r="I788" s="1191"/>
      <c r="J788" s="1199"/>
      <c r="K788" s="1191"/>
      <c r="L788" s="1191"/>
      <c r="M788" s="1191"/>
      <c r="N788" s="1191"/>
      <c r="O788" s="1191"/>
      <c r="P788" s="1191"/>
      <c r="Q788" s="1199"/>
      <c r="R788" s="1191"/>
      <c r="S788" s="1191"/>
      <c r="T788" s="1191"/>
      <c r="U788" s="1191"/>
      <c r="V788" s="1191"/>
      <c r="W788" s="1191"/>
      <c r="X788" s="1191"/>
      <c r="Y788" s="1191"/>
      <c r="Z788" s="1191"/>
      <c r="AA788" s="1191"/>
      <c r="AB788" s="1191"/>
      <c r="AC788" s="1210"/>
      <c r="AD788" s="1210"/>
      <c r="AE788" s="1210"/>
      <c r="AF788" s="1210"/>
      <c r="AG788" s="1210"/>
      <c r="AH788" s="1210"/>
      <c r="AI788" s="1210"/>
      <c r="AJ788" s="1210"/>
      <c r="AK788" s="1210"/>
      <c r="AL788" s="1210"/>
    </row>
    <row r="789" spans="1:38" s="1179" customFormat="1">
      <c r="A789" s="1188"/>
      <c r="B789" s="1188"/>
      <c r="C789" s="1188"/>
      <c r="D789" s="1188"/>
      <c r="E789" s="1210"/>
      <c r="F789" s="1210"/>
      <c r="G789" s="1210"/>
      <c r="H789" s="1191"/>
      <c r="I789" s="1191"/>
      <c r="J789" s="1199"/>
      <c r="K789" s="1191"/>
      <c r="L789" s="1191"/>
      <c r="M789" s="1191"/>
      <c r="N789" s="1191"/>
      <c r="O789" s="1191"/>
      <c r="P789" s="1191"/>
      <c r="Q789" s="1199"/>
      <c r="R789" s="1191"/>
      <c r="S789" s="1191"/>
      <c r="T789" s="1191"/>
      <c r="U789" s="1191"/>
      <c r="V789" s="1191"/>
      <c r="W789" s="1191"/>
      <c r="X789" s="1191"/>
      <c r="Y789" s="1191"/>
      <c r="Z789" s="1191"/>
      <c r="AA789" s="1191"/>
      <c r="AB789" s="1191"/>
      <c r="AC789" s="1210"/>
      <c r="AD789" s="1210"/>
      <c r="AE789" s="1210"/>
      <c r="AF789" s="1210"/>
      <c r="AG789" s="1210"/>
      <c r="AH789" s="1210"/>
      <c r="AI789" s="1210"/>
      <c r="AJ789" s="1210"/>
      <c r="AK789" s="1210"/>
      <c r="AL789" s="1210"/>
    </row>
    <row r="790" spans="1:38" s="1179" customFormat="1">
      <c r="A790" s="1188"/>
      <c r="B790" s="1188"/>
      <c r="C790" s="1188"/>
      <c r="D790" s="1188"/>
      <c r="E790" s="1210"/>
      <c r="F790" s="1210"/>
      <c r="G790" s="1210"/>
      <c r="H790" s="1191"/>
      <c r="I790" s="1191"/>
      <c r="J790" s="1199"/>
      <c r="K790" s="1191"/>
      <c r="L790" s="1191"/>
      <c r="M790" s="1191"/>
      <c r="N790" s="1191"/>
      <c r="O790" s="1191"/>
      <c r="P790" s="1191"/>
      <c r="Q790" s="1199"/>
      <c r="R790" s="1191"/>
      <c r="S790" s="1191"/>
      <c r="T790" s="1191"/>
      <c r="U790" s="1191"/>
      <c r="V790" s="1191"/>
      <c r="W790" s="1191"/>
      <c r="X790" s="1191"/>
      <c r="Y790" s="1191"/>
      <c r="Z790" s="1191"/>
      <c r="AA790" s="1191"/>
      <c r="AB790" s="1191"/>
      <c r="AC790" s="1210"/>
      <c r="AD790" s="1210"/>
      <c r="AE790" s="1210"/>
      <c r="AF790" s="1210"/>
      <c r="AG790" s="1210"/>
      <c r="AH790" s="1210"/>
      <c r="AI790" s="1210"/>
      <c r="AJ790" s="1210"/>
      <c r="AK790" s="1210"/>
      <c r="AL790" s="1210"/>
    </row>
    <row r="791" spans="1:38" s="1179" customFormat="1">
      <c r="A791" s="1188"/>
      <c r="B791" s="1188"/>
      <c r="C791" s="1188"/>
      <c r="D791" s="1188"/>
      <c r="E791" s="1210"/>
      <c r="F791" s="1210"/>
      <c r="G791" s="1210"/>
      <c r="H791" s="1191"/>
      <c r="I791" s="1191"/>
      <c r="J791" s="1199"/>
      <c r="K791" s="1191"/>
      <c r="L791" s="1191"/>
      <c r="M791" s="1191"/>
      <c r="N791" s="1191"/>
      <c r="O791" s="1191"/>
      <c r="P791" s="1191"/>
      <c r="Q791" s="1199"/>
      <c r="R791" s="1191"/>
      <c r="S791" s="1191"/>
      <c r="T791" s="1191"/>
      <c r="U791" s="1191"/>
      <c r="V791" s="1191"/>
      <c r="W791" s="1191"/>
      <c r="X791" s="1191"/>
      <c r="Y791" s="1191"/>
      <c r="Z791" s="1191"/>
      <c r="AA791" s="1191"/>
      <c r="AB791" s="1191"/>
      <c r="AC791" s="1210"/>
      <c r="AD791" s="1210"/>
      <c r="AE791" s="1210"/>
      <c r="AF791" s="1210"/>
      <c r="AG791" s="1210"/>
      <c r="AH791" s="1210"/>
      <c r="AI791" s="1210"/>
      <c r="AJ791" s="1210"/>
      <c r="AK791" s="1210"/>
      <c r="AL791" s="1210"/>
    </row>
    <row r="792" spans="1:38" s="1179" customFormat="1">
      <c r="A792" s="1188"/>
      <c r="B792" s="1188"/>
      <c r="C792" s="1188"/>
      <c r="D792" s="1188"/>
      <c r="E792" s="1210"/>
      <c r="F792" s="1210"/>
      <c r="G792" s="1210"/>
      <c r="H792" s="1191"/>
      <c r="I792" s="1191"/>
      <c r="J792" s="1199"/>
      <c r="K792" s="1191"/>
      <c r="L792" s="1191"/>
      <c r="M792" s="1191"/>
      <c r="N792" s="1191"/>
      <c r="O792" s="1191"/>
      <c r="P792" s="1191"/>
      <c r="Q792" s="1199"/>
      <c r="R792" s="1191"/>
      <c r="S792" s="1191"/>
      <c r="T792" s="1191"/>
      <c r="U792" s="1191"/>
      <c r="V792" s="1191"/>
      <c r="W792" s="1191"/>
      <c r="X792" s="1191"/>
      <c r="Y792" s="1191"/>
      <c r="Z792" s="1191"/>
      <c r="AA792" s="1191"/>
      <c r="AB792" s="1191"/>
      <c r="AC792" s="1210"/>
      <c r="AD792" s="1210"/>
      <c r="AE792" s="1210"/>
      <c r="AF792" s="1210"/>
      <c r="AG792" s="1210"/>
      <c r="AH792" s="1210"/>
      <c r="AI792" s="1210"/>
      <c r="AJ792" s="1210"/>
      <c r="AK792" s="1210"/>
      <c r="AL792" s="1210"/>
    </row>
    <row r="793" spans="1:38" s="1179" customFormat="1">
      <c r="A793" s="1188"/>
      <c r="B793" s="1188"/>
      <c r="C793" s="1188"/>
      <c r="D793" s="1188"/>
      <c r="E793" s="1210"/>
      <c r="F793" s="1210"/>
      <c r="G793" s="1210"/>
      <c r="H793" s="1191"/>
      <c r="I793" s="1191"/>
      <c r="J793" s="1199"/>
      <c r="K793" s="1191"/>
      <c r="L793" s="1191"/>
      <c r="M793" s="1191"/>
      <c r="N793" s="1191"/>
      <c r="O793" s="1191"/>
      <c r="P793" s="1191"/>
      <c r="Q793" s="1199"/>
      <c r="R793" s="1191"/>
      <c r="S793" s="1191"/>
      <c r="T793" s="1191"/>
      <c r="U793" s="1191"/>
      <c r="V793" s="1191"/>
      <c r="W793" s="1191"/>
      <c r="X793" s="1191"/>
      <c r="Y793" s="1191"/>
      <c r="Z793" s="1191"/>
      <c r="AA793" s="1191"/>
      <c r="AB793" s="1191"/>
      <c r="AC793" s="1210"/>
      <c r="AD793" s="1210"/>
      <c r="AE793" s="1210"/>
      <c r="AF793" s="1210"/>
      <c r="AG793" s="1210"/>
      <c r="AH793" s="1210"/>
      <c r="AI793" s="1210"/>
      <c r="AJ793" s="1210"/>
      <c r="AK793" s="1210"/>
      <c r="AL793" s="1210"/>
    </row>
    <row r="794" spans="1:38" s="1179" customFormat="1">
      <c r="A794" s="1188"/>
      <c r="B794" s="1188"/>
      <c r="C794" s="1188"/>
      <c r="D794" s="1188"/>
      <c r="E794" s="1210"/>
      <c r="F794" s="1210"/>
      <c r="G794" s="1210"/>
      <c r="H794" s="1191"/>
      <c r="I794" s="1191"/>
      <c r="J794" s="1199"/>
      <c r="K794" s="1191"/>
      <c r="L794" s="1191"/>
      <c r="M794" s="1191"/>
      <c r="N794" s="1191"/>
      <c r="O794" s="1191"/>
      <c r="P794" s="1191"/>
      <c r="Q794" s="1199"/>
      <c r="R794" s="1191"/>
      <c r="S794" s="1191"/>
      <c r="T794" s="1191"/>
      <c r="U794" s="1191"/>
      <c r="V794" s="1191"/>
      <c r="W794" s="1191"/>
      <c r="X794" s="1191"/>
      <c r="Y794" s="1191"/>
      <c r="Z794" s="1191"/>
      <c r="AA794" s="1191"/>
      <c r="AB794" s="1191"/>
      <c r="AC794" s="1210"/>
      <c r="AD794" s="1210"/>
      <c r="AE794" s="1210"/>
      <c r="AF794" s="1210"/>
      <c r="AG794" s="1210"/>
      <c r="AH794" s="1210"/>
      <c r="AI794" s="1210"/>
      <c r="AJ794" s="1210"/>
      <c r="AK794" s="1210"/>
      <c r="AL794" s="1210"/>
    </row>
    <row r="795" spans="1:38" s="1179" customFormat="1">
      <c r="A795" s="1188"/>
      <c r="B795" s="1188"/>
      <c r="C795" s="1188"/>
      <c r="D795" s="1188"/>
      <c r="E795" s="1210"/>
      <c r="F795" s="1210"/>
      <c r="G795" s="1210"/>
      <c r="H795" s="1191"/>
      <c r="I795" s="1191"/>
      <c r="J795" s="1199"/>
      <c r="K795" s="1191"/>
      <c r="L795" s="1191"/>
      <c r="M795" s="1191"/>
      <c r="N795" s="1191"/>
      <c r="O795" s="1191"/>
      <c r="P795" s="1191"/>
      <c r="Q795" s="1199"/>
      <c r="R795" s="1191"/>
      <c r="S795" s="1191"/>
      <c r="T795" s="1191"/>
      <c r="U795" s="1191"/>
      <c r="V795" s="1191"/>
      <c r="W795" s="1191"/>
      <c r="X795" s="1191"/>
      <c r="Y795" s="1191"/>
      <c r="Z795" s="1191"/>
      <c r="AA795" s="1191"/>
      <c r="AB795" s="1191"/>
      <c r="AC795" s="1210"/>
      <c r="AD795" s="1210"/>
      <c r="AE795" s="1210"/>
      <c r="AF795" s="1210"/>
      <c r="AG795" s="1210"/>
      <c r="AH795" s="1210"/>
      <c r="AI795" s="1210"/>
      <c r="AJ795" s="1210"/>
      <c r="AK795" s="1210"/>
      <c r="AL795" s="1210"/>
    </row>
    <row r="796" spans="1:38" s="1179" customFormat="1">
      <c r="A796" s="1188"/>
      <c r="B796" s="1188"/>
      <c r="C796" s="1188"/>
      <c r="D796" s="1188"/>
      <c r="E796" s="1210"/>
      <c r="F796" s="1210"/>
      <c r="G796" s="1210"/>
      <c r="H796" s="1191"/>
      <c r="I796" s="1191"/>
      <c r="J796" s="1199"/>
      <c r="K796" s="1191"/>
      <c r="L796" s="1191"/>
      <c r="M796" s="1191"/>
      <c r="N796" s="1191"/>
      <c r="O796" s="1191"/>
      <c r="P796" s="1191"/>
      <c r="Q796" s="1199"/>
      <c r="R796" s="1191"/>
      <c r="S796" s="1191"/>
      <c r="T796" s="1191"/>
      <c r="U796" s="1191"/>
      <c r="V796" s="1191"/>
      <c r="W796" s="1191"/>
      <c r="X796" s="1191"/>
      <c r="Y796" s="1191"/>
      <c r="Z796" s="1191"/>
      <c r="AA796" s="1191"/>
      <c r="AB796" s="1191"/>
      <c r="AC796" s="1210"/>
      <c r="AD796" s="1210"/>
      <c r="AE796" s="1210"/>
      <c r="AF796" s="1210"/>
      <c r="AG796" s="1210"/>
      <c r="AH796" s="1210"/>
      <c r="AI796" s="1210"/>
      <c r="AJ796" s="1210"/>
      <c r="AK796" s="1210"/>
      <c r="AL796" s="1210"/>
    </row>
    <row r="797" spans="1:38" s="1179" customFormat="1">
      <c r="A797" s="1188"/>
      <c r="B797" s="1188"/>
      <c r="C797" s="1188"/>
      <c r="D797" s="1188"/>
      <c r="E797" s="1210"/>
      <c r="F797" s="1210"/>
      <c r="G797" s="1210"/>
      <c r="H797" s="1191"/>
      <c r="I797" s="1191"/>
      <c r="J797" s="1199"/>
      <c r="K797" s="1191"/>
      <c r="L797" s="1191"/>
      <c r="M797" s="1191"/>
      <c r="N797" s="1191"/>
      <c r="O797" s="1191"/>
      <c r="P797" s="1191"/>
      <c r="Q797" s="1199"/>
      <c r="R797" s="1191"/>
      <c r="S797" s="1191"/>
      <c r="T797" s="1191"/>
      <c r="U797" s="1191"/>
      <c r="V797" s="1191"/>
      <c r="W797" s="1191"/>
      <c r="X797" s="1191"/>
      <c r="Y797" s="1191"/>
      <c r="Z797" s="1191"/>
      <c r="AA797" s="1191"/>
      <c r="AB797" s="1191"/>
      <c r="AC797" s="1210"/>
      <c r="AD797" s="1210"/>
      <c r="AE797" s="1210"/>
      <c r="AF797" s="1210"/>
      <c r="AG797" s="1210"/>
      <c r="AH797" s="1210"/>
      <c r="AI797" s="1210"/>
      <c r="AJ797" s="1210"/>
      <c r="AK797" s="1210"/>
      <c r="AL797" s="1210"/>
    </row>
    <row r="798" spans="1:38" s="1179" customFormat="1">
      <c r="A798" s="1188"/>
      <c r="B798" s="1188"/>
      <c r="C798" s="1188"/>
      <c r="D798" s="1188"/>
      <c r="E798" s="1210"/>
      <c r="F798" s="1210"/>
      <c r="G798" s="1210"/>
      <c r="H798" s="1191"/>
      <c r="I798" s="1191"/>
      <c r="J798" s="1199"/>
      <c r="K798" s="1191"/>
      <c r="L798" s="1191"/>
      <c r="M798" s="1191"/>
      <c r="N798" s="1191"/>
      <c r="O798" s="1191"/>
      <c r="P798" s="1191"/>
      <c r="Q798" s="1199"/>
      <c r="R798" s="1191"/>
      <c r="S798" s="1191"/>
      <c r="T798" s="1191"/>
      <c r="U798" s="1191"/>
      <c r="V798" s="1191"/>
      <c r="W798" s="1191"/>
      <c r="X798" s="1191"/>
      <c r="Y798" s="1191"/>
      <c r="Z798" s="1191"/>
      <c r="AA798" s="1191"/>
      <c r="AB798" s="1191"/>
      <c r="AC798" s="1210"/>
      <c r="AD798" s="1210"/>
      <c r="AE798" s="1210"/>
      <c r="AF798" s="1210"/>
      <c r="AG798" s="1210"/>
      <c r="AH798" s="1210"/>
      <c r="AI798" s="1210"/>
      <c r="AJ798" s="1210"/>
      <c r="AK798" s="1210"/>
      <c r="AL798" s="1210"/>
    </row>
    <row r="799" spans="1:38" s="1179" customFormat="1">
      <c r="A799" s="1188"/>
      <c r="B799" s="1188"/>
      <c r="C799" s="1188"/>
      <c r="D799" s="1188"/>
      <c r="E799" s="1210"/>
      <c r="F799" s="1210"/>
      <c r="G799" s="1210"/>
      <c r="H799" s="1191"/>
      <c r="I799" s="1191"/>
      <c r="J799" s="1199"/>
      <c r="K799" s="1191"/>
      <c r="L799" s="1191"/>
      <c r="M799" s="1191"/>
      <c r="N799" s="1191"/>
      <c r="O799" s="1191"/>
      <c r="P799" s="1191"/>
      <c r="Q799" s="1199"/>
      <c r="R799" s="1191"/>
      <c r="S799" s="1191"/>
      <c r="T799" s="1191"/>
      <c r="U799" s="1191"/>
      <c r="V799" s="1191"/>
      <c r="W799" s="1191"/>
      <c r="X799" s="1191"/>
      <c r="Y799" s="1191"/>
      <c r="Z799" s="1191"/>
      <c r="AA799" s="1191"/>
      <c r="AB799" s="1191"/>
      <c r="AC799" s="1210"/>
      <c r="AD799" s="1210"/>
      <c r="AE799" s="1210"/>
      <c r="AF799" s="1210"/>
      <c r="AG799" s="1210"/>
      <c r="AH799" s="1210"/>
      <c r="AI799" s="1210"/>
      <c r="AJ799" s="1210"/>
      <c r="AK799" s="1210"/>
      <c r="AL799" s="1210"/>
    </row>
    <row r="800" spans="1:38" s="1179" customFormat="1">
      <c r="A800" s="1188"/>
      <c r="B800" s="1188"/>
      <c r="C800" s="1188"/>
      <c r="D800" s="1188"/>
      <c r="E800" s="1210"/>
      <c r="F800" s="1210"/>
      <c r="G800" s="1210"/>
      <c r="H800" s="1191"/>
      <c r="I800" s="1191"/>
      <c r="J800" s="1199"/>
      <c r="K800" s="1191"/>
      <c r="L800" s="1191"/>
      <c r="M800" s="1191"/>
      <c r="N800" s="1191"/>
      <c r="O800" s="1191"/>
      <c r="P800" s="1191"/>
      <c r="Q800" s="1199"/>
      <c r="R800" s="1191"/>
      <c r="S800" s="1191"/>
      <c r="T800" s="1191"/>
      <c r="U800" s="1191"/>
      <c r="V800" s="1191"/>
      <c r="W800" s="1191"/>
      <c r="X800" s="1191"/>
      <c r="Y800" s="1191"/>
      <c r="Z800" s="1191"/>
      <c r="AA800" s="1191"/>
      <c r="AB800" s="1191"/>
      <c r="AC800" s="1210"/>
      <c r="AD800" s="1210"/>
      <c r="AE800" s="1210"/>
      <c r="AF800" s="1210"/>
      <c r="AG800" s="1210"/>
      <c r="AH800" s="1210"/>
      <c r="AI800" s="1210"/>
      <c r="AJ800" s="1210"/>
      <c r="AK800" s="1210"/>
      <c r="AL800" s="1210"/>
    </row>
    <row r="801" spans="1:38" s="1179" customFormat="1">
      <c r="A801" s="1188"/>
      <c r="B801" s="1188"/>
      <c r="C801" s="1188"/>
      <c r="D801" s="1188"/>
      <c r="E801" s="1210"/>
      <c r="F801" s="1210"/>
      <c r="G801" s="1210"/>
      <c r="H801" s="1191"/>
      <c r="I801" s="1191"/>
      <c r="J801" s="1199"/>
      <c r="K801" s="1191"/>
      <c r="L801" s="1191"/>
      <c r="M801" s="1191"/>
      <c r="N801" s="1191"/>
      <c r="O801" s="1191"/>
      <c r="P801" s="1191"/>
      <c r="Q801" s="1199"/>
      <c r="R801" s="1191"/>
      <c r="S801" s="1191"/>
      <c r="T801" s="1191"/>
      <c r="U801" s="1191"/>
      <c r="V801" s="1191"/>
      <c r="W801" s="1191"/>
      <c r="X801" s="1191"/>
      <c r="Y801" s="1191"/>
      <c r="Z801" s="1191"/>
      <c r="AA801" s="1191"/>
      <c r="AB801" s="1191"/>
      <c r="AC801" s="1210"/>
      <c r="AD801" s="1210"/>
      <c r="AE801" s="1210"/>
      <c r="AF801" s="1210"/>
      <c r="AG801" s="1210"/>
      <c r="AH801" s="1210"/>
      <c r="AI801" s="1210"/>
      <c r="AJ801" s="1210"/>
      <c r="AK801" s="1210"/>
      <c r="AL801" s="1210"/>
    </row>
    <row r="802" spans="1:38" s="1179" customFormat="1">
      <c r="A802" s="1188"/>
      <c r="B802" s="1188"/>
      <c r="C802" s="1188"/>
      <c r="D802" s="1188"/>
      <c r="E802" s="1210"/>
      <c r="F802" s="1210"/>
      <c r="G802" s="1210"/>
      <c r="H802" s="1191"/>
      <c r="I802" s="1191"/>
      <c r="J802" s="1199"/>
      <c r="K802" s="1191"/>
      <c r="L802" s="1191"/>
      <c r="M802" s="1191"/>
      <c r="N802" s="1191"/>
      <c r="O802" s="1191"/>
      <c r="P802" s="1191"/>
      <c r="Q802" s="1199"/>
      <c r="R802" s="1191"/>
      <c r="S802" s="1191"/>
      <c r="T802" s="1191"/>
      <c r="U802" s="1191"/>
      <c r="V802" s="1191"/>
      <c r="W802" s="1191"/>
      <c r="X802" s="1191"/>
      <c r="Y802" s="1191"/>
      <c r="Z802" s="1191"/>
      <c r="AA802" s="1191"/>
      <c r="AB802" s="1191"/>
      <c r="AC802" s="1210"/>
      <c r="AD802" s="1210"/>
      <c r="AE802" s="1210"/>
      <c r="AF802" s="1210"/>
      <c r="AG802" s="1210"/>
      <c r="AH802" s="1210"/>
      <c r="AI802" s="1210"/>
      <c r="AJ802" s="1210"/>
      <c r="AK802" s="1210"/>
      <c r="AL802" s="1210"/>
    </row>
    <row r="803" spans="1:38" s="1179" customFormat="1">
      <c r="A803" s="1188"/>
      <c r="B803" s="1188"/>
      <c r="C803" s="1188"/>
      <c r="D803" s="1188"/>
      <c r="E803" s="1210"/>
      <c r="F803" s="1210"/>
      <c r="G803" s="1210"/>
      <c r="H803" s="1191"/>
      <c r="I803" s="1191"/>
      <c r="J803" s="1199"/>
      <c r="K803" s="1191"/>
      <c r="L803" s="1191"/>
      <c r="M803" s="1191"/>
      <c r="N803" s="1191"/>
      <c r="O803" s="1191"/>
      <c r="P803" s="1191"/>
      <c r="Q803" s="1199"/>
      <c r="R803" s="1191"/>
      <c r="S803" s="1191"/>
      <c r="T803" s="1191"/>
      <c r="U803" s="1191"/>
      <c r="V803" s="1191"/>
      <c r="W803" s="1191"/>
      <c r="X803" s="1191"/>
      <c r="Y803" s="1191"/>
      <c r="Z803" s="1191"/>
      <c r="AA803" s="1191"/>
      <c r="AB803" s="1191"/>
      <c r="AC803" s="1210"/>
      <c r="AD803" s="1210"/>
      <c r="AE803" s="1210"/>
      <c r="AF803" s="1210"/>
      <c r="AG803" s="1210"/>
      <c r="AH803" s="1210"/>
      <c r="AI803" s="1210"/>
      <c r="AJ803" s="1210"/>
      <c r="AK803" s="1210"/>
      <c r="AL803" s="1210"/>
    </row>
    <row r="804" spans="1:38" s="1179" customFormat="1">
      <c r="A804" s="1188"/>
      <c r="B804" s="1188"/>
      <c r="C804" s="1188"/>
      <c r="D804" s="1188"/>
      <c r="E804" s="1210"/>
      <c r="F804" s="1210"/>
      <c r="G804" s="1210"/>
      <c r="H804" s="1191"/>
      <c r="I804" s="1191"/>
      <c r="J804" s="1199"/>
      <c r="K804" s="1191"/>
      <c r="L804" s="1191"/>
      <c r="M804" s="1191"/>
      <c r="N804" s="1191"/>
      <c r="O804" s="1191"/>
      <c r="P804" s="1191"/>
      <c r="Q804" s="1199"/>
      <c r="R804" s="1191"/>
      <c r="S804" s="1191"/>
      <c r="T804" s="1191"/>
      <c r="U804" s="1191"/>
      <c r="V804" s="1191"/>
      <c r="W804" s="1191"/>
      <c r="X804" s="1191"/>
      <c r="Y804" s="1191"/>
      <c r="Z804" s="1191"/>
      <c r="AA804" s="1191"/>
      <c r="AB804" s="1191"/>
      <c r="AC804" s="1210"/>
      <c r="AD804" s="1210"/>
      <c r="AE804" s="1210"/>
      <c r="AF804" s="1210"/>
      <c r="AG804" s="1210"/>
      <c r="AH804" s="1210"/>
      <c r="AI804" s="1210"/>
      <c r="AJ804" s="1210"/>
      <c r="AK804" s="1210"/>
      <c r="AL804" s="1210"/>
    </row>
    <row r="805" spans="1:38" s="1179" customFormat="1">
      <c r="A805" s="1188"/>
      <c r="B805" s="1188"/>
      <c r="C805" s="1188"/>
      <c r="D805" s="1188"/>
      <c r="E805" s="1210"/>
      <c r="F805" s="1210"/>
      <c r="G805" s="1210"/>
      <c r="H805" s="1191"/>
      <c r="I805" s="1191"/>
      <c r="J805" s="1199"/>
      <c r="K805" s="1191"/>
      <c r="L805" s="1191"/>
      <c r="M805" s="1191"/>
      <c r="N805" s="1191"/>
      <c r="O805" s="1191"/>
      <c r="P805" s="1191"/>
      <c r="Q805" s="1199"/>
      <c r="R805" s="1191"/>
      <c r="S805" s="1191"/>
      <c r="T805" s="1191"/>
      <c r="U805" s="1191"/>
      <c r="V805" s="1191"/>
      <c r="W805" s="1191"/>
      <c r="X805" s="1191"/>
      <c r="Y805" s="1191"/>
      <c r="Z805" s="1191"/>
      <c r="AA805" s="1191"/>
      <c r="AB805" s="1191"/>
      <c r="AC805" s="1210"/>
      <c r="AD805" s="1210"/>
      <c r="AE805" s="1210"/>
      <c r="AF805" s="1210"/>
      <c r="AG805" s="1210"/>
      <c r="AH805" s="1210"/>
      <c r="AI805" s="1210"/>
      <c r="AJ805" s="1210"/>
      <c r="AK805" s="1210"/>
      <c r="AL805" s="1210"/>
    </row>
    <row r="806" spans="1:38" s="1179" customFormat="1">
      <c r="A806" s="1188"/>
      <c r="B806" s="1188"/>
      <c r="C806" s="1188"/>
      <c r="D806" s="1188"/>
      <c r="E806" s="1210"/>
      <c r="F806" s="1210"/>
      <c r="G806" s="1210"/>
      <c r="H806" s="1191"/>
      <c r="I806" s="1191"/>
      <c r="J806" s="1199"/>
      <c r="K806" s="1191"/>
      <c r="L806" s="1191"/>
      <c r="M806" s="1191"/>
      <c r="N806" s="1191"/>
      <c r="O806" s="1191"/>
      <c r="P806" s="1191"/>
      <c r="Q806" s="1199"/>
      <c r="R806" s="1191"/>
      <c r="S806" s="1191"/>
      <c r="T806" s="1191"/>
      <c r="U806" s="1191"/>
      <c r="V806" s="1191"/>
      <c r="W806" s="1191"/>
      <c r="X806" s="1191"/>
      <c r="Y806" s="1191"/>
      <c r="Z806" s="1191"/>
      <c r="AA806" s="1191"/>
      <c r="AB806" s="1191"/>
      <c r="AC806" s="1210"/>
      <c r="AD806" s="1210"/>
      <c r="AE806" s="1210"/>
      <c r="AF806" s="1210"/>
      <c r="AG806" s="1210"/>
      <c r="AH806" s="1210"/>
      <c r="AI806" s="1210"/>
      <c r="AJ806" s="1210"/>
      <c r="AK806" s="1210"/>
      <c r="AL806" s="1210"/>
    </row>
    <row r="807" spans="1:38" s="1179" customFormat="1">
      <c r="A807" s="1188"/>
      <c r="B807" s="1188"/>
      <c r="C807" s="1188"/>
      <c r="D807" s="1188"/>
      <c r="E807" s="1210"/>
      <c r="F807" s="1210"/>
      <c r="G807" s="1210"/>
      <c r="H807" s="1191"/>
      <c r="I807" s="1191"/>
      <c r="J807" s="1199"/>
      <c r="K807" s="1191"/>
      <c r="L807" s="1191"/>
      <c r="M807" s="1191"/>
      <c r="N807" s="1191"/>
      <c r="O807" s="1191"/>
      <c r="P807" s="1191"/>
      <c r="Q807" s="1199"/>
      <c r="R807" s="1191"/>
      <c r="S807" s="1191"/>
      <c r="T807" s="1191"/>
      <c r="U807" s="1191"/>
      <c r="V807" s="1191"/>
      <c r="W807" s="1191"/>
      <c r="X807" s="1191"/>
      <c r="Y807" s="1191"/>
      <c r="Z807" s="1191"/>
      <c r="AA807" s="1191"/>
      <c r="AB807" s="1191"/>
      <c r="AC807" s="1210"/>
      <c r="AD807" s="1210"/>
      <c r="AE807" s="1210"/>
      <c r="AF807" s="1210"/>
      <c r="AG807" s="1210"/>
      <c r="AH807" s="1210"/>
      <c r="AI807" s="1210"/>
      <c r="AJ807" s="1210"/>
      <c r="AK807" s="1210"/>
      <c r="AL807" s="1210"/>
    </row>
    <row r="808" spans="1:38" s="1179" customFormat="1">
      <c r="A808" s="1188"/>
      <c r="B808" s="1188"/>
      <c r="C808" s="1188"/>
      <c r="D808" s="1188"/>
      <c r="E808" s="1210"/>
      <c r="F808" s="1210"/>
      <c r="G808" s="1210"/>
      <c r="H808" s="1191"/>
      <c r="I808" s="1191"/>
      <c r="J808" s="1199"/>
      <c r="K808" s="1191"/>
      <c r="L808" s="1191"/>
      <c r="M808" s="1191"/>
      <c r="N808" s="1191"/>
      <c r="O808" s="1191"/>
      <c r="P808" s="1191"/>
      <c r="Q808" s="1199"/>
      <c r="R808" s="1191"/>
      <c r="S808" s="1191"/>
      <c r="T808" s="1191"/>
      <c r="U808" s="1191"/>
      <c r="V808" s="1191"/>
      <c r="W808" s="1191"/>
      <c r="X808" s="1191"/>
      <c r="Y808" s="1191"/>
      <c r="Z808" s="1191"/>
      <c r="AA808" s="1191"/>
      <c r="AB808" s="1191"/>
      <c r="AC808" s="1210"/>
      <c r="AD808" s="1210"/>
      <c r="AE808" s="1210"/>
      <c r="AF808" s="1210"/>
      <c r="AG808" s="1210"/>
      <c r="AH808" s="1210"/>
      <c r="AI808" s="1210"/>
      <c r="AJ808" s="1210"/>
      <c r="AK808" s="1210"/>
      <c r="AL808" s="1210"/>
    </row>
    <row r="809" spans="1:38" s="1179" customFormat="1">
      <c r="A809" s="1188"/>
      <c r="B809" s="1188"/>
      <c r="C809" s="1188"/>
      <c r="D809" s="1188"/>
      <c r="E809" s="1210"/>
      <c r="F809" s="1210"/>
      <c r="G809" s="1210"/>
      <c r="H809" s="1191"/>
      <c r="I809" s="1191"/>
      <c r="J809" s="1199"/>
      <c r="K809" s="1191"/>
      <c r="L809" s="1191"/>
      <c r="M809" s="1191"/>
      <c r="N809" s="1191"/>
      <c r="O809" s="1191"/>
      <c r="P809" s="1191"/>
      <c r="Q809" s="1199"/>
      <c r="R809" s="1191"/>
      <c r="S809" s="1191"/>
      <c r="T809" s="1191"/>
      <c r="U809" s="1191"/>
      <c r="V809" s="1191"/>
      <c r="W809" s="1191"/>
      <c r="X809" s="1191"/>
      <c r="Y809" s="1191"/>
      <c r="Z809" s="1191"/>
      <c r="AA809" s="1191"/>
      <c r="AB809" s="1191"/>
      <c r="AC809" s="1210"/>
      <c r="AD809" s="1210"/>
      <c r="AE809" s="1210"/>
      <c r="AF809" s="1210"/>
      <c r="AG809" s="1210"/>
      <c r="AH809" s="1210"/>
      <c r="AI809" s="1210"/>
      <c r="AJ809" s="1210"/>
      <c r="AK809" s="1210"/>
      <c r="AL809" s="1210"/>
    </row>
    <row r="810" spans="1:38" s="1179" customFormat="1">
      <c r="A810" s="1188"/>
      <c r="B810" s="1188"/>
      <c r="C810" s="1188"/>
      <c r="D810" s="1188"/>
      <c r="E810" s="1210"/>
      <c r="F810" s="1210"/>
      <c r="G810" s="1210"/>
      <c r="H810" s="1191"/>
      <c r="I810" s="1191"/>
      <c r="J810" s="1199"/>
      <c r="K810" s="1191"/>
      <c r="L810" s="1191"/>
      <c r="M810" s="1191"/>
      <c r="N810" s="1191"/>
      <c r="O810" s="1191"/>
      <c r="P810" s="1191"/>
      <c r="Q810" s="1199"/>
      <c r="R810" s="1191"/>
      <c r="S810" s="1191"/>
      <c r="T810" s="1191"/>
      <c r="U810" s="1191"/>
      <c r="V810" s="1191"/>
      <c r="W810" s="1191"/>
      <c r="X810" s="1191"/>
      <c r="Y810" s="1191"/>
      <c r="Z810" s="1191"/>
      <c r="AA810" s="1191"/>
      <c r="AB810" s="1191"/>
      <c r="AC810" s="1210"/>
      <c r="AD810" s="1210"/>
      <c r="AE810" s="1210"/>
      <c r="AF810" s="1210"/>
      <c r="AG810" s="1210"/>
      <c r="AH810" s="1210"/>
      <c r="AI810" s="1210"/>
      <c r="AJ810" s="1210"/>
      <c r="AK810" s="1210"/>
      <c r="AL810" s="1210"/>
    </row>
    <row r="811" spans="1:38" s="1179" customFormat="1">
      <c r="A811" s="1188"/>
      <c r="B811" s="1188"/>
      <c r="C811" s="1188"/>
      <c r="D811" s="1188"/>
      <c r="E811" s="1210"/>
      <c r="F811" s="1210"/>
      <c r="G811" s="1210"/>
      <c r="H811" s="1191"/>
      <c r="I811" s="1191"/>
      <c r="J811" s="1199"/>
      <c r="K811" s="1191"/>
      <c r="L811" s="1191"/>
      <c r="M811" s="1191"/>
      <c r="N811" s="1191"/>
      <c r="O811" s="1191"/>
      <c r="P811" s="1191"/>
      <c r="Q811" s="1199"/>
      <c r="R811" s="1191"/>
      <c r="S811" s="1191"/>
      <c r="T811" s="1191"/>
      <c r="U811" s="1191"/>
      <c r="V811" s="1191"/>
      <c r="W811" s="1191"/>
      <c r="X811" s="1191"/>
      <c r="Y811" s="1191"/>
      <c r="Z811" s="1191"/>
      <c r="AA811" s="1191"/>
      <c r="AB811" s="1191"/>
      <c r="AC811" s="1210"/>
      <c r="AD811" s="1210"/>
      <c r="AE811" s="1210"/>
      <c r="AF811" s="1210"/>
      <c r="AG811" s="1210"/>
      <c r="AH811" s="1210"/>
      <c r="AI811" s="1210"/>
      <c r="AJ811" s="1210"/>
      <c r="AK811" s="1210"/>
      <c r="AL811" s="1210"/>
    </row>
    <row r="812" spans="1:38" s="1179" customFormat="1">
      <c r="A812" s="1188"/>
      <c r="B812" s="1188"/>
      <c r="C812" s="1188"/>
      <c r="D812" s="1188"/>
      <c r="E812" s="1210"/>
      <c r="F812" s="1210"/>
      <c r="G812" s="1210"/>
      <c r="H812" s="1191"/>
      <c r="I812" s="1191"/>
      <c r="J812" s="1199"/>
      <c r="K812" s="1191"/>
      <c r="L812" s="1191"/>
      <c r="M812" s="1191"/>
      <c r="N812" s="1191"/>
      <c r="O812" s="1191"/>
      <c r="P812" s="1191"/>
      <c r="Q812" s="1199"/>
      <c r="R812" s="1191"/>
      <c r="S812" s="1191"/>
      <c r="T812" s="1191"/>
      <c r="U812" s="1191"/>
      <c r="V812" s="1191"/>
      <c r="W812" s="1191"/>
      <c r="X812" s="1191"/>
      <c r="Y812" s="1191"/>
      <c r="Z812" s="1191"/>
      <c r="AA812" s="1191"/>
      <c r="AB812" s="1191"/>
      <c r="AC812" s="1210"/>
      <c r="AD812" s="1210"/>
      <c r="AE812" s="1210"/>
      <c r="AF812" s="1210"/>
      <c r="AG812" s="1210"/>
      <c r="AH812" s="1210"/>
      <c r="AI812" s="1210"/>
      <c r="AJ812" s="1210"/>
      <c r="AK812" s="1210"/>
      <c r="AL812" s="1210"/>
    </row>
    <row r="813" spans="1:38" s="1179" customFormat="1">
      <c r="A813" s="1188"/>
      <c r="B813" s="1188"/>
      <c r="C813" s="1188"/>
      <c r="D813" s="1188"/>
      <c r="E813" s="1210"/>
      <c r="F813" s="1210"/>
      <c r="G813" s="1210"/>
      <c r="H813" s="1191"/>
      <c r="I813" s="1191"/>
      <c r="J813" s="1199"/>
      <c r="K813" s="1191"/>
      <c r="L813" s="1191"/>
      <c r="M813" s="1191"/>
      <c r="N813" s="1191"/>
      <c r="O813" s="1191"/>
      <c r="P813" s="1191"/>
      <c r="Q813" s="1199"/>
      <c r="R813" s="1191"/>
      <c r="S813" s="1191"/>
      <c r="T813" s="1191"/>
      <c r="U813" s="1191"/>
      <c r="V813" s="1191"/>
      <c r="W813" s="1191"/>
      <c r="X813" s="1191"/>
      <c r="Y813" s="1191"/>
      <c r="Z813" s="1191"/>
      <c r="AA813" s="1191"/>
      <c r="AB813" s="1191"/>
      <c r="AC813" s="1210"/>
      <c r="AD813" s="1210"/>
      <c r="AE813" s="1210"/>
      <c r="AF813" s="1210"/>
      <c r="AG813" s="1210"/>
      <c r="AH813" s="1210"/>
      <c r="AI813" s="1210"/>
      <c r="AJ813" s="1210"/>
      <c r="AK813" s="1210"/>
      <c r="AL813" s="1210"/>
    </row>
    <row r="814" spans="1:38" s="1179" customFormat="1">
      <c r="A814" s="1188"/>
      <c r="B814" s="1188"/>
      <c r="C814" s="1188"/>
      <c r="D814" s="1188"/>
      <c r="E814" s="1210"/>
      <c r="F814" s="1210"/>
      <c r="G814" s="1210"/>
      <c r="H814" s="1191"/>
      <c r="I814" s="1191"/>
      <c r="J814" s="1199"/>
      <c r="K814" s="1191"/>
      <c r="L814" s="1191"/>
      <c r="M814" s="1191"/>
      <c r="N814" s="1191"/>
      <c r="O814" s="1191"/>
      <c r="P814" s="1191"/>
      <c r="Q814" s="1199"/>
      <c r="R814" s="1191"/>
      <c r="S814" s="1191"/>
      <c r="T814" s="1191"/>
      <c r="U814" s="1191"/>
      <c r="V814" s="1191"/>
      <c r="W814" s="1191"/>
      <c r="X814" s="1191"/>
      <c r="Y814" s="1191"/>
      <c r="Z814" s="1191"/>
      <c r="AA814" s="1191"/>
      <c r="AB814" s="1191"/>
      <c r="AC814" s="1210"/>
      <c r="AD814" s="1210"/>
      <c r="AE814" s="1210"/>
      <c r="AF814" s="1210"/>
      <c r="AG814" s="1210"/>
      <c r="AH814" s="1210"/>
      <c r="AI814" s="1210"/>
      <c r="AJ814" s="1210"/>
      <c r="AK814" s="1210"/>
      <c r="AL814" s="1210"/>
    </row>
    <row r="815" spans="1:38" s="1179" customFormat="1">
      <c r="A815" s="1188"/>
      <c r="B815" s="1188"/>
      <c r="C815" s="1188"/>
      <c r="D815" s="1188"/>
      <c r="E815" s="1210"/>
      <c r="F815" s="1210"/>
      <c r="G815" s="1210"/>
      <c r="H815" s="1191"/>
      <c r="I815" s="1191"/>
      <c r="J815" s="1199"/>
      <c r="K815" s="1191"/>
      <c r="L815" s="1191"/>
      <c r="M815" s="1191"/>
      <c r="N815" s="1191"/>
      <c r="O815" s="1191"/>
      <c r="P815" s="1191"/>
      <c r="Q815" s="1199"/>
      <c r="R815" s="1191"/>
      <c r="S815" s="1191"/>
      <c r="T815" s="1191"/>
      <c r="U815" s="1191"/>
      <c r="V815" s="1191"/>
      <c r="W815" s="1191"/>
      <c r="X815" s="1191"/>
      <c r="Y815" s="1191"/>
      <c r="Z815" s="1191"/>
      <c r="AA815" s="1191"/>
      <c r="AB815" s="1191"/>
      <c r="AC815" s="1210"/>
      <c r="AD815" s="1210"/>
      <c r="AE815" s="1210"/>
      <c r="AF815" s="1210"/>
      <c r="AG815" s="1210"/>
      <c r="AH815" s="1210"/>
      <c r="AI815" s="1210"/>
      <c r="AJ815" s="1210"/>
      <c r="AK815" s="1210"/>
      <c r="AL815" s="1210"/>
    </row>
    <row r="816" spans="1:38" s="1179" customFormat="1">
      <c r="A816" s="1188"/>
      <c r="B816" s="1188"/>
      <c r="C816" s="1188"/>
      <c r="D816" s="1188"/>
      <c r="E816" s="1210"/>
      <c r="F816" s="1210"/>
      <c r="G816" s="1210"/>
      <c r="H816" s="1191"/>
      <c r="I816" s="1191"/>
      <c r="J816" s="1199"/>
      <c r="K816" s="1191"/>
      <c r="L816" s="1191"/>
      <c r="M816" s="1191"/>
      <c r="N816" s="1191"/>
      <c r="O816" s="1191"/>
      <c r="P816" s="1191"/>
      <c r="Q816" s="1199"/>
      <c r="R816" s="1191"/>
      <c r="S816" s="1191"/>
      <c r="T816" s="1191"/>
      <c r="U816" s="1191"/>
      <c r="V816" s="1191"/>
      <c r="W816" s="1191"/>
      <c r="X816" s="1191"/>
      <c r="Y816" s="1191"/>
      <c r="Z816" s="1191"/>
      <c r="AA816" s="1191"/>
      <c r="AB816" s="1191"/>
      <c r="AC816" s="1210"/>
      <c r="AD816" s="1210"/>
      <c r="AE816" s="1210"/>
      <c r="AF816" s="1210"/>
      <c r="AG816" s="1210"/>
      <c r="AH816" s="1210"/>
      <c r="AI816" s="1210"/>
      <c r="AJ816" s="1210"/>
      <c r="AK816" s="1210"/>
      <c r="AL816" s="1210"/>
    </row>
    <row r="817" spans="1:38" s="1179" customFormat="1">
      <c r="A817" s="1188"/>
      <c r="B817" s="1188"/>
      <c r="C817" s="1188"/>
      <c r="D817" s="1188"/>
      <c r="E817" s="1210"/>
      <c r="F817" s="1210"/>
      <c r="G817" s="1210"/>
      <c r="H817" s="1191"/>
      <c r="I817" s="1191"/>
      <c r="J817" s="1199"/>
      <c r="K817" s="1191"/>
      <c r="L817" s="1191"/>
      <c r="M817" s="1191"/>
      <c r="N817" s="1191"/>
      <c r="O817" s="1191"/>
      <c r="P817" s="1191"/>
      <c r="Q817" s="1199"/>
      <c r="R817" s="1191"/>
      <c r="S817" s="1191"/>
      <c r="T817" s="1191"/>
      <c r="U817" s="1191"/>
      <c r="V817" s="1191"/>
      <c r="W817" s="1191"/>
      <c r="X817" s="1191"/>
      <c r="Y817" s="1191"/>
      <c r="Z817" s="1191"/>
      <c r="AA817" s="1191"/>
      <c r="AB817" s="1191"/>
      <c r="AC817" s="1210"/>
      <c r="AD817" s="1210"/>
      <c r="AE817" s="1210"/>
      <c r="AF817" s="1210"/>
      <c r="AG817" s="1210"/>
      <c r="AH817" s="1210"/>
      <c r="AI817" s="1210"/>
      <c r="AJ817" s="1210"/>
      <c r="AK817" s="1210"/>
      <c r="AL817" s="1210"/>
    </row>
    <row r="818" spans="1:38" s="1179" customFormat="1">
      <c r="A818" s="1188"/>
      <c r="B818" s="1188"/>
      <c r="C818" s="1188"/>
      <c r="D818" s="1188"/>
      <c r="E818" s="1210"/>
      <c r="F818" s="1210"/>
      <c r="G818" s="1210"/>
      <c r="H818" s="1191"/>
      <c r="I818" s="1191"/>
      <c r="J818" s="1199"/>
      <c r="K818" s="1191"/>
      <c r="L818" s="1191"/>
      <c r="M818" s="1191"/>
      <c r="N818" s="1191"/>
      <c r="O818" s="1191"/>
      <c r="P818" s="1191"/>
      <c r="Q818" s="1199"/>
      <c r="R818" s="1191"/>
      <c r="S818" s="1191"/>
      <c r="T818" s="1191"/>
      <c r="U818" s="1191"/>
      <c r="V818" s="1191"/>
      <c r="W818" s="1191"/>
      <c r="X818" s="1191"/>
      <c r="Y818" s="1191"/>
      <c r="Z818" s="1191"/>
      <c r="AA818" s="1191"/>
      <c r="AB818" s="1191"/>
      <c r="AC818" s="1210"/>
      <c r="AD818" s="1210"/>
      <c r="AE818" s="1210"/>
      <c r="AF818" s="1210"/>
      <c r="AG818" s="1210"/>
      <c r="AH818" s="1210"/>
      <c r="AI818" s="1210"/>
      <c r="AJ818" s="1210"/>
      <c r="AK818" s="1210"/>
      <c r="AL818" s="1210"/>
    </row>
    <row r="819" spans="1:38" s="1179" customFormat="1">
      <c r="A819" s="1188"/>
      <c r="B819" s="1188"/>
      <c r="C819" s="1188"/>
      <c r="D819" s="1188"/>
      <c r="E819" s="1210"/>
      <c r="F819" s="1210"/>
      <c r="G819" s="1210"/>
      <c r="H819" s="1191"/>
      <c r="I819" s="1191"/>
      <c r="J819" s="1199"/>
      <c r="K819" s="1191"/>
      <c r="L819" s="1191"/>
      <c r="M819" s="1191"/>
      <c r="N819" s="1191"/>
      <c r="O819" s="1191"/>
      <c r="P819" s="1191"/>
      <c r="Q819" s="1199"/>
      <c r="R819" s="1191"/>
      <c r="S819" s="1191"/>
      <c r="T819" s="1191"/>
      <c r="U819" s="1191"/>
      <c r="V819" s="1191"/>
      <c r="W819" s="1191"/>
      <c r="X819" s="1191"/>
      <c r="Y819" s="1191"/>
      <c r="Z819" s="1191"/>
      <c r="AA819" s="1191"/>
      <c r="AB819" s="1191"/>
      <c r="AC819" s="1210"/>
      <c r="AD819" s="1210"/>
      <c r="AE819" s="1210"/>
      <c r="AF819" s="1210"/>
      <c r="AG819" s="1210"/>
      <c r="AH819" s="1210"/>
      <c r="AI819" s="1210"/>
      <c r="AJ819" s="1210"/>
      <c r="AK819" s="1210"/>
      <c r="AL819" s="1210"/>
    </row>
    <row r="820" spans="1:38" s="1179" customFormat="1">
      <c r="A820" s="1188"/>
      <c r="B820" s="1188"/>
      <c r="C820" s="1188"/>
      <c r="D820" s="1188"/>
      <c r="E820" s="1210"/>
      <c r="F820" s="1210"/>
      <c r="G820" s="1210"/>
      <c r="H820" s="1191"/>
      <c r="I820" s="1191"/>
      <c r="J820" s="1199"/>
      <c r="K820" s="1191"/>
      <c r="L820" s="1191"/>
      <c r="M820" s="1191"/>
      <c r="N820" s="1191"/>
      <c r="O820" s="1191"/>
      <c r="P820" s="1191"/>
      <c r="Q820" s="1199"/>
      <c r="R820" s="1191"/>
      <c r="S820" s="1191"/>
      <c r="T820" s="1191"/>
      <c r="U820" s="1191"/>
      <c r="V820" s="1191"/>
      <c r="W820" s="1191"/>
      <c r="X820" s="1191"/>
      <c r="Y820" s="1191"/>
      <c r="Z820" s="1191"/>
      <c r="AA820" s="1191"/>
      <c r="AB820" s="1191"/>
      <c r="AC820" s="1210"/>
      <c r="AD820" s="1210"/>
      <c r="AE820" s="1210"/>
      <c r="AF820" s="1210"/>
      <c r="AG820" s="1210"/>
      <c r="AH820" s="1210"/>
      <c r="AI820" s="1210"/>
      <c r="AJ820" s="1210"/>
      <c r="AK820" s="1210"/>
      <c r="AL820" s="1210"/>
    </row>
    <row r="821" spans="1:38" s="1179" customFormat="1">
      <c r="A821" s="1188"/>
      <c r="B821" s="1188"/>
      <c r="C821" s="1188"/>
      <c r="D821" s="1188"/>
      <c r="E821" s="1210"/>
      <c r="F821" s="1210"/>
      <c r="G821" s="1210"/>
      <c r="H821" s="1191"/>
      <c r="I821" s="1191"/>
      <c r="J821" s="1199"/>
      <c r="K821" s="1191"/>
      <c r="L821" s="1191"/>
      <c r="M821" s="1191"/>
      <c r="N821" s="1191"/>
      <c r="O821" s="1191"/>
      <c r="P821" s="1191"/>
      <c r="Q821" s="1199"/>
      <c r="R821" s="1191"/>
      <c r="S821" s="1191"/>
      <c r="T821" s="1191"/>
      <c r="U821" s="1191"/>
      <c r="V821" s="1191"/>
      <c r="W821" s="1191"/>
      <c r="X821" s="1191"/>
      <c r="Y821" s="1191"/>
      <c r="Z821" s="1191"/>
      <c r="AA821" s="1191"/>
      <c r="AB821" s="1191"/>
      <c r="AC821" s="1210"/>
      <c r="AD821" s="1210"/>
      <c r="AE821" s="1210"/>
      <c r="AF821" s="1210"/>
      <c r="AG821" s="1210"/>
      <c r="AH821" s="1210"/>
      <c r="AI821" s="1210"/>
      <c r="AJ821" s="1210"/>
      <c r="AK821" s="1210"/>
      <c r="AL821" s="1210"/>
    </row>
    <row r="822" spans="1:38" s="1179" customFormat="1">
      <c r="A822" s="1188"/>
      <c r="B822" s="1188"/>
      <c r="C822" s="1188"/>
      <c r="D822" s="1188"/>
      <c r="E822" s="1210"/>
      <c r="F822" s="1210"/>
      <c r="G822" s="1210"/>
      <c r="H822" s="1191"/>
      <c r="I822" s="1191"/>
      <c r="J822" s="1199"/>
      <c r="K822" s="1191"/>
      <c r="L822" s="1191"/>
      <c r="M822" s="1191"/>
      <c r="N822" s="1191"/>
      <c r="O822" s="1191"/>
      <c r="P822" s="1191"/>
      <c r="Q822" s="1199"/>
      <c r="R822" s="1191"/>
      <c r="S822" s="1191"/>
      <c r="T822" s="1191"/>
      <c r="U822" s="1191"/>
      <c r="V822" s="1191"/>
      <c r="W822" s="1191"/>
      <c r="X822" s="1191"/>
      <c r="Y822" s="1191"/>
      <c r="Z822" s="1191"/>
      <c r="AA822" s="1191"/>
      <c r="AB822" s="1191"/>
      <c r="AC822" s="1210"/>
      <c r="AD822" s="1210"/>
      <c r="AE822" s="1210"/>
      <c r="AF822" s="1210"/>
      <c r="AG822" s="1210"/>
      <c r="AH822" s="1210"/>
      <c r="AI822" s="1210"/>
      <c r="AJ822" s="1210"/>
      <c r="AK822" s="1210"/>
      <c r="AL822" s="1210"/>
    </row>
    <row r="823" spans="1:38" s="1179" customFormat="1">
      <c r="A823" s="1188"/>
      <c r="B823" s="1188"/>
      <c r="C823" s="1188"/>
      <c r="D823" s="1188"/>
      <c r="E823" s="1210"/>
      <c r="F823" s="1210"/>
      <c r="G823" s="1210"/>
      <c r="H823" s="1191"/>
      <c r="I823" s="1191"/>
      <c r="J823" s="1199"/>
      <c r="K823" s="1191"/>
      <c r="L823" s="1191"/>
      <c r="M823" s="1191"/>
      <c r="N823" s="1191"/>
      <c r="O823" s="1191"/>
      <c r="P823" s="1191"/>
      <c r="Q823" s="1199"/>
      <c r="R823" s="1191"/>
      <c r="S823" s="1191"/>
      <c r="T823" s="1191"/>
      <c r="U823" s="1191"/>
      <c r="V823" s="1191"/>
      <c r="W823" s="1191"/>
      <c r="X823" s="1191"/>
      <c r="Y823" s="1191"/>
      <c r="Z823" s="1191"/>
      <c r="AA823" s="1191"/>
      <c r="AB823" s="1191"/>
      <c r="AC823" s="1210"/>
      <c r="AD823" s="1210"/>
      <c r="AE823" s="1210"/>
      <c r="AF823" s="1210"/>
      <c r="AG823" s="1210"/>
      <c r="AH823" s="1210"/>
      <c r="AI823" s="1210"/>
      <c r="AJ823" s="1210"/>
      <c r="AK823" s="1210"/>
      <c r="AL823" s="1210"/>
    </row>
    <row r="824" spans="1:38" s="1179" customFormat="1">
      <c r="A824" s="1188"/>
      <c r="B824" s="1188"/>
      <c r="C824" s="1188"/>
      <c r="D824" s="1188"/>
      <c r="E824" s="1210"/>
      <c r="F824" s="1210"/>
      <c r="G824" s="1210"/>
      <c r="H824" s="1191"/>
      <c r="I824" s="1191"/>
      <c r="J824" s="1199"/>
      <c r="K824" s="1191"/>
      <c r="L824" s="1191"/>
      <c r="M824" s="1191"/>
      <c r="N824" s="1191"/>
      <c r="O824" s="1191"/>
      <c r="P824" s="1191"/>
      <c r="Q824" s="1199"/>
      <c r="R824" s="1191"/>
      <c r="S824" s="1191"/>
      <c r="T824" s="1191"/>
      <c r="U824" s="1191"/>
      <c r="V824" s="1191"/>
      <c r="W824" s="1191"/>
      <c r="X824" s="1191"/>
      <c r="Y824" s="1191"/>
      <c r="Z824" s="1191"/>
      <c r="AA824" s="1191"/>
      <c r="AB824" s="1191"/>
      <c r="AC824" s="1210"/>
      <c r="AD824" s="1210"/>
      <c r="AE824" s="1210"/>
      <c r="AF824" s="1210"/>
      <c r="AG824" s="1210"/>
      <c r="AH824" s="1210"/>
      <c r="AI824" s="1210"/>
      <c r="AJ824" s="1210"/>
      <c r="AK824" s="1210"/>
      <c r="AL824" s="1210"/>
    </row>
    <row r="825" spans="1:38" s="1179" customFormat="1">
      <c r="A825" s="1188"/>
      <c r="B825" s="1188"/>
      <c r="C825" s="1188"/>
      <c r="D825" s="1188"/>
      <c r="E825" s="1210"/>
      <c r="F825" s="1210"/>
      <c r="G825" s="1210"/>
      <c r="H825" s="1191"/>
      <c r="I825" s="1191"/>
      <c r="J825" s="1199"/>
      <c r="K825" s="1191"/>
      <c r="L825" s="1191"/>
      <c r="M825" s="1191"/>
      <c r="N825" s="1191"/>
      <c r="O825" s="1191"/>
      <c r="P825" s="1191"/>
      <c r="Q825" s="1199"/>
      <c r="R825" s="1191"/>
      <c r="S825" s="1191"/>
      <c r="T825" s="1191"/>
      <c r="U825" s="1191"/>
      <c r="V825" s="1191"/>
      <c r="W825" s="1191"/>
      <c r="X825" s="1191"/>
      <c r="Y825" s="1191"/>
      <c r="Z825" s="1191"/>
      <c r="AA825" s="1191"/>
      <c r="AB825" s="1191"/>
      <c r="AC825" s="1210"/>
      <c r="AD825" s="1210"/>
      <c r="AE825" s="1210"/>
      <c r="AF825" s="1210"/>
      <c r="AG825" s="1210"/>
      <c r="AH825" s="1210"/>
      <c r="AI825" s="1210"/>
      <c r="AJ825" s="1210"/>
      <c r="AK825" s="1210"/>
      <c r="AL825" s="1210"/>
    </row>
    <row r="826" spans="1:38" s="1179" customFormat="1">
      <c r="A826" s="1188"/>
      <c r="B826" s="1188"/>
      <c r="C826" s="1188"/>
      <c r="D826" s="1188"/>
      <c r="E826" s="1210"/>
      <c r="F826" s="1210"/>
      <c r="G826" s="1210"/>
      <c r="H826" s="1191"/>
      <c r="I826" s="1191"/>
      <c r="J826" s="1199"/>
      <c r="K826" s="1191"/>
      <c r="L826" s="1191"/>
      <c r="M826" s="1191"/>
      <c r="N826" s="1191"/>
      <c r="O826" s="1191"/>
      <c r="P826" s="1191"/>
      <c r="Q826" s="1199"/>
      <c r="R826" s="1191"/>
      <c r="S826" s="1191"/>
      <c r="T826" s="1191"/>
      <c r="U826" s="1191"/>
      <c r="V826" s="1191"/>
      <c r="W826" s="1191"/>
      <c r="X826" s="1191"/>
      <c r="Y826" s="1191"/>
      <c r="Z826" s="1191"/>
      <c r="AA826" s="1191"/>
      <c r="AB826" s="1191"/>
      <c r="AC826" s="1210"/>
      <c r="AD826" s="1210"/>
      <c r="AE826" s="1210"/>
      <c r="AF826" s="1210"/>
      <c r="AG826" s="1210"/>
      <c r="AH826" s="1210"/>
      <c r="AI826" s="1210"/>
      <c r="AJ826" s="1210"/>
      <c r="AK826" s="1210"/>
      <c r="AL826" s="1210"/>
    </row>
    <row r="827" spans="1:38" s="1179" customFormat="1">
      <c r="A827" s="1188"/>
      <c r="B827" s="1188"/>
      <c r="C827" s="1188"/>
      <c r="D827" s="1188"/>
      <c r="E827" s="1210"/>
      <c r="F827" s="1210"/>
      <c r="G827" s="1210"/>
      <c r="H827" s="1191"/>
      <c r="I827" s="1191"/>
      <c r="J827" s="1199"/>
      <c r="K827" s="1191"/>
      <c r="L827" s="1191"/>
      <c r="M827" s="1191"/>
      <c r="N827" s="1191"/>
      <c r="O827" s="1191"/>
      <c r="P827" s="1191"/>
      <c r="Q827" s="1199"/>
      <c r="R827" s="1191"/>
      <c r="S827" s="1191"/>
      <c r="T827" s="1191"/>
      <c r="U827" s="1191"/>
      <c r="V827" s="1191"/>
      <c r="W827" s="1191"/>
      <c r="X827" s="1191"/>
      <c r="Y827" s="1191"/>
      <c r="Z827" s="1191"/>
      <c r="AA827" s="1191"/>
      <c r="AB827" s="1191"/>
      <c r="AC827" s="1210"/>
      <c r="AD827" s="1210"/>
      <c r="AE827" s="1210"/>
      <c r="AF827" s="1210"/>
      <c r="AG827" s="1210"/>
      <c r="AH827" s="1210"/>
      <c r="AI827" s="1210"/>
      <c r="AJ827" s="1210"/>
      <c r="AK827" s="1210"/>
      <c r="AL827" s="1210"/>
    </row>
    <row r="828" spans="1:38" s="1179" customFormat="1">
      <c r="A828" s="1188"/>
      <c r="B828" s="1188"/>
      <c r="C828" s="1188"/>
      <c r="D828" s="1188"/>
      <c r="E828" s="1210"/>
      <c r="F828" s="1210"/>
      <c r="G828" s="1210"/>
      <c r="H828" s="1191"/>
      <c r="I828" s="1191"/>
      <c r="J828" s="1199"/>
      <c r="K828" s="1191"/>
      <c r="L828" s="1191"/>
      <c r="M828" s="1191"/>
      <c r="N828" s="1191"/>
      <c r="O828" s="1191"/>
      <c r="P828" s="1191"/>
      <c r="Q828" s="1199"/>
      <c r="R828" s="1191"/>
      <c r="S828" s="1191"/>
      <c r="T828" s="1191"/>
      <c r="U828" s="1191"/>
      <c r="V828" s="1191"/>
      <c r="W828" s="1191"/>
      <c r="X828" s="1191"/>
      <c r="Y828" s="1191"/>
      <c r="Z828" s="1191"/>
      <c r="AA828" s="1191"/>
      <c r="AB828" s="1191"/>
      <c r="AC828" s="1210"/>
      <c r="AD828" s="1210"/>
      <c r="AE828" s="1210"/>
      <c r="AF828" s="1210"/>
      <c r="AG828" s="1210"/>
      <c r="AH828" s="1210"/>
      <c r="AI828" s="1210"/>
      <c r="AJ828" s="1210"/>
      <c r="AK828" s="1210"/>
      <c r="AL828" s="1210"/>
    </row>
    <row r="829" spans="1:38" s="1179" customFormat="1">
      <c r="A829" s="1188"/>
      <c r="B829" s="1188"/>
      <c r="C829" s="1188"/>
      <c r="D829" s="1188"/>
      <c r="E829" s="1210"/>
      <c r="F829" s="1210"/>
      <c r="G829" s="1210"/>
      <c r="H829" s="1191"/>
      <c r="I829" s="1191"/>
      <c r="J829" s="1199"/>
      <c r="K829" s="1191"/>
      <c r="L829" s="1191"/>
      <c r="M829" s="1191"/>
      <c r="N829" s="1191"/>
      <c r="O829" s="1191"/>
      <c r="P829" s="1191"/>
      <c r="Q829" s="1199"/>
      <c r="R829" s="1191"/>
      <c r="S829" s="1191"/>
      <c r="T829" s="1191"/>
      <c r="U829" s="1191"/>
      <c r="V829" s="1191"/>
      <c r="W829" s="1191"/>
      <c r="X829" s="1191"/>
      <c r="Y829" s="1191"/>
      <c r="Z829" s="1191"/>
      <c r="AA829" s="1191"/>
      <c r="AB829" s="1191"/>
      <c r="AC829" s="1210"/>
      <c r="AD829" s="1210"/>
      <c r="AE829" s="1210"/>
      <c r="AF829" s="1210"/>
      <c r="AG829" s="1210"/>
      <c r="AH829" s="1210"/>
      <c r="AI829" s="1210"/>
      <c r="AJ829" s="1210"/>
      <c r="AK829" s="1210"/>
      <c r="AL829" s="1210"/>
    </row>
    <row r="830" spans="1:38" s="1179" customFormat="1">
      <c r="A830" s="1188"/>
      <c r="B830" s="1188"/>
      <c r="C830" s="1188"/>
      <c r="D830" s="1188"/>
      <c r="E830" s="1210"/>
      <c r="F830" s="1210"/>
      <c r="G830" s="1210"/>
      <c r="H830" s="1191"/>
      <c r="I830" s="1191"/>
      <c r="J830" s="1199"/>
      <c r="K830" s="1191"/>
      <c r="L830" s="1191"/>
      <c r="M830" s="1191"/>
      <c r="N830" s="1191"/>
      <c r="O830" s="1191"/>
      <c r="P830" s="1191"/>
      <c r="Q830" s="1199"/>
      <c r="R830" s="1191"/>
      <c r="S830" s="1191"/>
      <c r="T830" s="1191"/>
      <c r="U830" s="1191"/>
      <c r="V830" s="1191"/>
      <c r="W830" s="1191"/>
      <c r="X830" s="1191"/>
      <c r="Y830" s="1191"/>
      <c r="Z830" s="1191"/>
      <c r="AA830" s="1191"/>
      <c r="AB830" s="1191"/>
      <c r="AC830" s="1210"/>
      <c r="AD830" s="1210"/>
      <c r="AE830" s="1210"/>
      <c r="AF830" s="1210"/>
      <c r="AG830" s="1210"/>
      <c r="AH830" s="1210"/>
      <c r="AI830" s="1210"/>
      <c r="AJ830" s="1210"/>
      <c r="AK830" s="1210"/>
      <c r="AL830" s="1210"/>
    </row>
    <row r="831" spans="1:38" s="1179" customFormat="1">
      <c r="A831" s="1188"/>
      <c r="B831" s="1188"/>
      <c r="C831" s="1188"/>
      <c r="D831" s="1188"/>
      <c r="E831" s="1210"/>
      <c r="F831" s="1210"/>
      <c r="G831" s="1210"/>
      <c r="H831" s="1191"/>
      <c r="I831" s="1191"/>
      <c r="J831" s="1199"/>
      <c r="K831" s="1191"/>
      <c r="L831" s="1191"/>
      <c r="M831" s="1191"/>
      <c r="N831" s="1191"/>
      <c r="O831" s="1191"/>
      <c r="P831" s="1191"/>
      <c r="Q831" s="1199"/>
      <c r="R831" s="1191"/>
      <c r="S831" s="1191"/>
      <c r="T831" s="1191"/>
      <c r="U831" s="1191"/>
      <c r="V831" s="1191"/>
      <c r="W831" s="1191"/>
      <c r="X831" s="1191"/>
      <c r="Y831" s="1191"/>
      <c r="Z831" s="1191"/>
      <c r="AA831" s="1191"/>
      <c r="AB831" s="1191"/>
      <c r="AC831" s="1210"/>
      <c r="AD831" s="1210"/>
      <c r="AE831" s="1210"/>
      <c r="AF831" s="1210"/>
      <c r="AG831" s="1210"/>
      <c r="AH831" s="1210"/>
      <c r="AI831" s="1210"/>
      <c r="AJ831" s="1210"/>
      <c r="AK831" s="1210"/>
      <c r="AL831" s="1210"/>
    </row>
  </sheetData>
  <mergeCells count="18">
    <mergeCell ref="A1:O1"/>
    <mergeCell ref="S1:AL1"/>
    <mergeCell ref="A2:O2"/>
    <mergeCell ref="S2:AL2"/>
    <mergeCell ref="A3:L3"/>
    <mergeCell ref="S3:AL3"/>
    <mergeCell ref="A4:AL4"/>
    <mergeCell ref="A5:AL5"/>
    <mergeCell ref="E6:AI6"/>
    <mergeCell ref="A8:D8"/>
    <mergeCell ref="A451:D451"/>
    <mergeCell ref="A6:A7"/>
    <mergeCell ref="B6:B7"/>
    <mergeCell ref="C6:C7"/>
    <mergeCell ref="D6:D7"/>
    <mergeCell ref="AJ6:AJ8"/>
    <mergeCell ref="AK6:AK8"/>
    <mergeCell ref="AL6:AL8"/>
  </mergeCells>
  <pageMargins left="0.39370078740157499" right="0" top="0" bottom="0.39370078740157499" header="0" footer="0"/>
  <pageSetup paperSize="9" scale="85" orientation="landscape"/>
  <headerFooter>
    <oddFooter>&amp;RPage &amp;P/13</oddFooter>
  </headerFooter>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39"/>
  </sheetPr>
  <dimension ref="A1:G780"/>
  <sheetViews>
    <sheetView topLeftCell="A7" workbookViewId="0">
      <pane xSplit="1" ySplit="2" topLeftCell="B9" activePane="bottomRight" state="frozen"/>
      <selection pane="topRight"/>
      <selection pane="bottomLeft"/>
      <selection pane="bottomRight" activeCell="E305" sqref="E305"/>
    </sheetView>
  </sheetViews>
  <sheetFormatPr defaultColWidth="9" defaultRowHeight="15" outlineLevelRow="1"/>
  <cols>
    <col min="1" max="1" width="6.5703125" style="158" customWidth="1"/>
    <col min="2" max="2" width="16.85546875" style="158" customWidth="1"/>
    <col min="3" max="3" width="10.140625" style="172" customWidth="1"/>
    <col min="4" max="4" width="7" style="158" customWidth="1"/>
    <col min="5" max="5" width="15.5703125" style="1420" customWidth="1"/>
    <col min="6" max="6" width="14.5703125" style="158" customWidth="1"/>
    <col min="7" max="7" width="24.140625" style="1421" customWidth="1"/>
    <col min="8" max="16384" width="9" style="158"/>
  </cols>
  <sheetData>
    <row r="1" spans="1:7" s="157" customFormat="1" ht="14.25">
      <c r="A1" s="2335" t="s">
        <v>1949</v>
      </c>
      <c r="B1" s="2335"/>
      <c r="C1" s="2335"/>
      <c r="D1" s="2335" t="s">
        <v>0</v>
      </c>
      <c r="E1" s="2335"/>
      <c r="F1" s="2335"/>
      <c r="G1" s="2335"/>
    </row>
    <row r="2" spans="1:7" s="157" customFormat="1" ht="14.25">
      <c r="A2" s="2335" t="s">
        <v>611</v>
      </c>
      <c r="B2" s="2335"/>
      <c r="C2" s="2335"/>
      <c r="D2" s="2335" t="s">
        <v>1968</v>
      </c>
      <c r="E2" s="2335"/>
      <c r="F2" s="2335"/>
      <c r="G2" s="2335"/>
    </row>
    <row r="3" spans="1:7">
      <c r="A3" s="172"/>
      <c r="B3" s="1421"/>
      <c r="C3" s="158"/>
      <c r="F3" s="1421"/>
    </row>
    <row r="4" spans="1:7" ht="18.75">
      <c r="A4" s="2336" t="s">
        <v>1969</v>
      </c>
      <c r="B4" s="2336"/>
      <c r="C4" s="2336"/>
      <c r="D4" s="2336"/>
      <c r="E4" s="2336"/>
      <c r="F4" s="2336"/>
      <c r="G4" s="2336"/>
    </row>
    <row r="5" spans="1:7">
      <c r="A5" s="1422"/>
      <c r="B5" s="172"/>
    </row>
    <row r="6" spans="1:7">
      <c r="A6" s="1422"/>
      <c r="B6" s="1422"/>
    </row>
    <row r="7" spans="1:7" s="27" customFormat="1" ht="28.5">
      <c r="A7" s="147" t="s">
        <v>623</v>
      </c>
      <c r="B7" s="147" t="s">
        <v>356</v>
      </c>
      <c r="C7" s="147" t="s">
        <v>1932</v>
      </c>
      <c r="D7" s="33" t="s">
        <v>1970</v>
      </c>
      <c r="E7" s="33" t="s">
        <v>1971</v>
      </c>
      <c r="F7" s="147" t="s">
        <v>1972</v>
      </c>
      <c r="G7" s="33" t="s">
        <v>12</v>
      </c>
    </row>
    <row r="8" spans="1:7" s="27" customFormat="1" ht="17.45" customHeight="1">
      <c r="A8" s="1423" t="s">
        <v>1959</v>
      </c>
      <c r="B8" s="1424" t="s">
        <v>1973</v>
      </c>
      <c r="C8" s="1423"/>
      <c r="D8" s="1425"/>
      <c r="E8" s="1425"/>
      <c r="F8" s="1423"/>
      <c r="G8" s="1423"/>
    </row>
    <row r="9" spans="1:7" s="27" customFormat="1" ht="17.45" customHeight="1">
      <c r="A9" s="1423"/>
      <c r="B9" s="1424"/>
      <c r="C9" s="1423"/>
      <c r="D9" s="1425"/>
      <c r="E9" s="1425"/>
      <c r="F9" s="1423"/>
      <c r="G9" s="1423"/>
    </row>
    <row r="10" spans="1:7" s="157" customFormat="1" ht="17.45" customHeight="1">
      <c r="A10" s="1426" t="s">
        <v>521</v>
      </c>
      <c r="B10" s="1427"/>
      <c r="C10" s="1428"/>
      <c r="D10" s="1429"/>
      <c r="E10" s="1430"/>
      <c r="F10" s="1431"/>
      <c r="G10" s="1431"/>
    </row>
    <row r="11" spans="1:7" ht="17.45" customHeight="1">
      <c r="A11" s="1432">
        <v>1</v>
      </c>
      <c r="B11" s="1001" t="s">
        <v>14</v>
      </c>
      <c r="C11" s="1636" t="s">
        <v>1974</v>
      </c>
      <c r="D11" s="1434" t="s">
        <v>1975</v>
      </c>
      <c r="E11" s="1435"/>
      <c r="F11" s="1001" t="s">
        <v>1976</v>
      </c>
      <c r="G11" s="1001"/>
    </row>
    <row r="12" spans="1:7" ht="17.45" customHeight="1">
      <c r="A12" s="1432">
        <v>2</v>
      </c>
      <c r="B12" s="1001" t="s">
        <v>16</v>
      </c>
      <c r="C12" s="1636" t="s">
        <v>1977</v>
      </c>
      <c r="D12" s="1434" t="s">
        <v>1975</v>
      </c>
      <c r="E12" s="1436"/>
      <c r="F12" s="1001" t="s">
        <v>1976</v>
      </c>
      <c r="G12" s="1001"/>
    </row>
    <row r="13" spans="1:7" ht="17.45" customHeight="1">
      <c r="A13" s="1432">
        <v>3</v>
      </c>
      <c r="B13" s="1001" t="s">
        <v>17</v>
      </c>
      <c r="C13" s="1636" t="s">
        <v>1978</v>
      </c>
      <c r="D13" s="1434" t="s">
        <v>1975</v>
      </c>
      <c r="E13" s="1435"/>
      <c r="F13" s="1001" t="s">
        <v>1976</v>
      </c>
      <c r="G13" s="1001"/>
    </row>
    <row r="14" spans="1:7" ht="17.45" customHeight="1">
      <c r="A14" s="1432">
        <v>4</v>
      </c>
      <c r="B14" s="1001" t="s">
        <v>18</v>
      </c>
      <c r="C14" s="1636" t="s">
        <v>1979</v>
      </c>
      <c r="D14" s="1434" t="s">
        <v>1975</v>
      </c>
      <c r="E14" s="1435"/>
      <c r="F14" s="1001" t="s">
        <v>1976</v>
      </c>
      <c r="G14" s="1001"/>
    </row>
    <row r="15" spans="1:7" ht="17.45" customHeight="1">
      <c r="A15" s="1432">
        <v>5</v>
      </c>
      <c r="B15" s="1001" t="s">
        <v>19</v>
      </c>
      <c r="C15" s="1636" t="s">
        <v>1980</v>
      </c>
      <c r="D15" s="1434" t="s">
        <v>1975</v>
      </c>
      <c r="E15" s="1435"/>
      <c r="F15" s="1001" t="s">
        <v>1976</v>
      </c>
      <c r="G15" s="1001"/>
    </row>
    <row r="16" spans="1:7" ht="17.45" customHeight="1">
      <c r="A16" s="1432">
        <v>6</v>
      </c>
      <c r="B16" s="1001" t="s">
        <v>20</v>
      </c>
      <c r="C16" s="1636" t="s">
        <v>1981</v>
      </c>
      <c r="D16" s="1434" t="s">
        <v>1982</v>
      </c>
      <c r="E16" s="1435"/>
      <c r="F16" s="1001" t="s">
        <v>1976</v>
      </c>
      <c r="G16" s="1001"/>
    </row>
    <row r="17" spans="1:7" ht="17.45" customHeight="1">
      <c r="A17" s="1432">
        <v>7</v>
      </c>
      <c r="B17" s="1001" t="s">
        <v>21</v>
      </c>
      <c r="C17" s="1636" t="s">
        <v>1983</v>
      </c>
      <c r="D17" s="1434" t="s">
        <v>1975</v>
      </c>
      <c r="E17" s="1435"/>
      <c r="F17" s="1001" t="s">
        <v>1976</v>
      </c>
      <c r="G17" s="1001"/>
    </row>
    <row r="18" spans="1:7" ht="17.45" customHeight="1">
      <c r="A18" s="1432">
        <v>8</v>
      </c>
      <c r="B18" s="1001" t="s">
        <v>22</v>
      </c>
      <c r="C18" s="1636" t="s">
        <v>1984</v>
      </c>
      <c r="D18" s="1434" t="s">
        <v>1975</v>
      </c>
      <c r="E18" s="1435"/>
      <c r="F18" s="1001" t="s">
        <v>1976</v>
      </c>
      <c r="G18" s="1001"/>
    </row>
    <row r="19" spans="1:7" ht="17.45" customHeight="1" outlineLevel="1">
      <c r="A19" s="1432">
        <v>9</v>
      </c>
      <c r="B19" s="1437" t="s">
        <v>23</v>
      </c>
      <c r="C19" s="1636" t="s">
        <v>1985</v>
      </c>
      <c r="D19" s="1434" t="s">
        <v>1975</v>
      </c>
      <c r="E19" s="1436"/>
      <c r="F19" s="1001" t="s">
        <v>1976</v>
      </c>
      <c r="G19" s="1001"/>
    </row>
    <row r="20" spans="1:7" ht="17.45" customHeight="1">
      <c r="A20" s="1432">
        <v>10</v>
      </c>
      <c r="B20" s="1001" t="s">
        <v>24</v>
      </c>
      <c r="C20" s="1636" t="s">
        <v>1986</v>
      </c>
      <c r="D20" s="1434" t="s">
        <v>1975</v>
      </c>
      <c r="E20" s="1435"/>
      <c r="F20" s="1001" t="s">
        <v>1976</v>
      </c>
      <c r="G20" s="1001"/>
    </row>
    <row r="21" spans="1:7" ht="17.45" customHeight="1">
      <c r="A21" s="1432">
        <v>11</v>
      </c>
      <c r="B21" s="1001" t="s">
        <v>25</v>
      </c>
      <c r="C21" s="1636" t="s">
        <v>1987</v>
      </c>
      <c r="D21" s="1434" t="s">
        <v>1975</v>
      </c>
      <c r="E21" s="1436"/>
      <c r="F21" s="1001" t="s">
        <v>1976</v>
      </c>
      <c r="G21" s="1001"/>
    </row>
    <row r="22" spans="1:7" ht="17.45" customHeight="1">
      <c r="A22" s="1432">
        <v>12</v>
      </c>
      <c r="B22" s="1001" t="s">
        <v>26</v>
      </c>
      <c r="C22" s="1636" t="s">
        <v>1988</v>
      </c>
      <c r="D22" s="1434" t="s">
        <v>1982</v>
      </c>
      <c r="E22" s="1435"/>
      <c r="F22" s="1001" t="s">
        <v>1976</v>
      </c>
      <c r="G22" s="1001"/>
    </row>
    <row r="23" spans="1:7" ht="17.45" customHeight="1">
      <c r="A23" s="1432">
        <v>13</v>
      </c>
      <c r="B23" s="1001" t="s">
        <v>27</v>
      </c>
      <c r="C23" s="1636" t="s">
        <v>1989</v>
      </c>
      <c r="D23" s="1434" t="s">
        <v>1975</v>
      </c>
      <c r="E23" s="1435"/>
      <c r="F23" s="1001" t="s">
        <v>1990</v>
      </c>
      <c r="G23" s="1001"/>
    </row>
    <row r="24" spans="1:7" ht="17.45" customHeight="1">
      <c r="A24" s="1432">
        <v>14</v>
      </c>
      <c r="B24" s="1001" t="s">
        <v>28</v>
      </c>
      <c r="C24" s="1636" t="s">
        <v>1991</v>
      </c>
      <c r="D24" s="1434" t="s">
        <v>1975</v>
      </c>
      <c r="E24" s="1435"/>
      <c r="F24" s="1001" t="s">
        <v>1990</v>
      </c>
      <c r="G24" s="1001"/>
    </row>
    <row r="25" spans="1:7" ht="17.45" customHeight="1">
      <c r="A25" s="1432">
        <v>15</v>
      </c>
      <c r="B25" s="1001" t="s">
        <v>29</v>
      </c>
      <c r="C25" s="1636" t="s">
        <v>1992</v>
      </c>
      <c r="D25" s="1434" t="s">
        <v>1982</v>
      </c>
      <c r="E25" s="1435"/>
      <c r="F25" s="1001" t="s">
        <v>1976</v>
      </c>
      <c r="G25" s="1001"/>
    </row>
    <row r="26" spans="1:7" ht="17.45" customHeight="1">
      <c r="A26" s="1432">
        <v>16</v>
      </c>
      <c r="B26" s="1001" t="s">
        <v>30</v>
      </c>
      <c r="C26" s="1636" t="s">
        <v>1993</v>
      </c>
      <c r="D26" s="1434" t="s">
        <v>1975</v>
      </c>
      <c r="E26" s="1435"/>
      <c r="F26" s="1001" t="s">
        <v>1976</v>
      </c>
      <c r="G26" s="1001"/>
    </row>
    <row r="27" spans="1:7" ht="17.45" customHeight="1">
      <c r="A27" s="1432">
        <v>17</v>
      </c>
      <c r="B27" s="1001" t="s">
        <v>31</v>
      </c>
      <c r="C27" s="1636" t="s">
        <v>1994</v>
      </c>
      <c r="D27" s="1434" t="s">
        <v>1975</v>
      </c>
      <c r="E27" s="1435"/>
      <c r="F27" s="1001" t="s">
        <v>1976</v>
      </c>
      <c r="G27" s="1001"/>
    </row>
    <row r="28" spans="1:7" ht="17.45" customHeight="1">
      <c r="A28" s="1432">
        <v>18</v>
      </c>
      <c r="B28" s="1001" t="s">
        <v>32</v>
      </c>
      <c r="C28" s="1636" t="s">
        <v>1995</v>
      </c>
      <c r="D28" s="1434" t="s">
        <v>1982</v>
      </c>
      <c r="E28" s="1435"/>
      <c r="F28" s="1001" t="s">
        <v>1976</v>
      </c>
      <c r="G28" s="1001"/>
    </row>
    <row r="29" spans="1:7" ht="17.45" customHeight="1">
      <c r="A29" s="1432">
        <v>19</v>
      </c>
      <c r="B29" s="1001" t="s">
        <v>33</v>
      </c>
      <c r="C29" s="1636" t="s">
        <v>1996</v>
      </c>
      <c r="D29" s="1434" t="s">
        <v>1975</v>
      </c>
      <c r="E29" s="1435"/>
      <c r="F29" s="1001" t="s">
        <v>1976</v>
      </c>
      <c r="G29" s="1001"/>
    </row>
    <row r="30" spans="1:7" ht="17.45" customHeight="1">
      <c r="A30" s="1432">
        <v>20</v>
      </c>
      <c r="B30" s="1001" t="s">
        <v>34</v>
      </c>
      <c r="C30" s="1636" t="s">
        <v>1997</v>
      </c>
      <c r="D30" s="1434" t="s">
        <v>1982</v>
      </c>
      <c r="E30" s="1435"/>
      <c r="F30" s="1001" t="s">
        <v>1976</v>
      </c>
      <c r="G30" s="1001"/>
    </row>
    <row r="31" spans="1:7" ht="17.45" customHeight="1">
      <c r="A31" s="1432">
        <v>21</v>
      </c>
      <c r="B31" s="1001" t="s">
        <v>35</v>
      </c>
      <c r="C31" s="1636" t="s">
        <v>1998</v>
      </c>
      <c r="D31" s="1434" t="s">
        <v>1982</v>
      </c>
      <c r="E31" s="1435"/>
      <c r="F31" s="1001" t="s">
        <v>1976</v>
      </c>
      <c r="G31" s="1001"/>
    </row>
    <row r="32" spans="1:7" ht="17.45" customHeight="1">
      <c r="A32" s="1432">
        <v>22</v>
      </c>
      <c r="B32" s="1001" t="s">
        <v>36</v>
      </c>
      <c r="C32" s="1636" t="s">
        <v>1999</v>
      </c>
      <c r="D32" s="1434" t="s">
        <v>1982</v>
      </c>
      <c r="E32" s="1435"/>
      <c r="F32" s="1001" t="s">
        <v>1976</v>
      </c>
      <c r="G32" s="1001"/>
    </row>
    <row r="33" spans="1:7" ht="17.45" customHeight="1">
      <c r="A33" s="1432">
        <v>23</v>
      </c>
      <c r="B33" s="1001" t="s">
        <v>37</v>
      </c>
      <c r="C33" s="1636" t="s">
        <v>2000</v>
      </c>
      <c r="D33" s="1434" t="s">
        <v>1975</v>
      </c>
      <c r="E33" s="1435"/>
      <c r="F33" s="1001" t="s">
        <v>1976</v>
      </c>
      <c r="G33" s="1001"/>
    </row>
    <row r="34" spans="1:7" ht="17.45" customHeight="1">
      <c r="A34" s="1432">
        <v>24</v>
      </c>
      <c r="B34" s="1001" t="s">
        <v>38</v>
      </c>
      <c r="C34" s="1636" t="s">
        <v>2001</v>
      </c>
      <c r="D34" s="1434" t="s">
        <v>1975</v>
      </c>
      <c r="E34" s="1436"/>
      <c r="F34" s="1001" t="s">
        <v>1976</v>
      </c>
      <c r="G34" s="1001"/>
    </row>
    <row r="35" spans="1:7" ht="17.45" customHeight="1">
      <c r="A35" s="1432">
        <v>25</v>
      </c>
      <c r="B35" s="1001" t="s">
        <v>39</v>
      </c>
      <c r="C35" s="1636" t="s">
        <v>2002</v>
      </c>
      <c r="D35" s="1434" t="s">
        <v>1982</v>
      </c>
      <c r="E35" s="1435"/>
      <c r="F35" s="1001" t="s">
        <v>1976</v>
      </c>
      <c r="G35" s="1001"/>
    </row>
    <row r="36" spans="1:7" ht="17.45" customHeight="1">
      <c r="A36" s="1432">
        <v>26</v>
      </c>
      <c r="B36" s="1001" t="s">
        <v>40</v>
      </c>
      <c r="C36" s="1636" t="s">
        <v>2003</v>
      </c>
      <c r="D36" s="1434" t="s">
        <v>1975</v>
      </c>
      <c r="E36" s="1436"/>
      <c r="F36" s="1001" t="s">
        <v>2004</v>
      </c>
      <c r="G36" s="1001"/>
    </row>
    <row r="37" spans="1:7" ht="17.45" customHeight="1">
      <c r="A37" s="1432">
        <v>27</v>
      </c>
      <c r="B37" s="1001" t="s">
        <v>41</v>
      </c>
      <c r="C37" s="1636" t="s">
        <v>2005</v>
      </c>
      <c r="D37" s="1434" t="s">
        <v>1982</v>
      </c>
      <c r="E37" s="1435"/>
      <c r="F37" s="1001" t="s">
        <v>2004</v>
      </c>
      <c r="G37" s="1001"/>
    </row>
    <row r="38" spans="1:7" ht="17.45" customHeight="1">
      <c r="A38" s="1432">
        <v>28</v>
      </c>
      <c r="B38" s="1001" t="s">
        <v>42</v>
      </c>
      <c r="C38" s="1636" t="s">
        <v>2006</v>
      </c>
      <c r="D38" s="1434" t="s">
        <v>1982</v>
      </c>
      <c r="E38" s="1435"/>
      <c r="F38" s="1001" t="s">
        <v>1976</v>
      </c>
      <c r="G38" s="1001"/>
    </row>
    <row r="39" spans="1:7" ht="17.45" customHeight="1">
      <c r="A39" s="1432">
        <v>29</v>
      </c>
      <c r="B39" s="1001" t="s">
        <v>43</v>
      </c>
      <c r="C39" s="1636" t="s">
        <v>2005</v>
      </c>
      <c r="D39" s="1434" t="s">
        <v>1975</v>
      </c>
      <c r="E39" s="1435"/>
      <c r="F39" s="1001" t="s">
        <v>1976</v>
      </c>
      <c r="G39" s="1001"/>
    </row>
    <row r="40" spans="1:7" ht="17.45" customHeight="1">
      <c r="A40" s="1432">
        <v>30</v>
      </c>
      <c r="B40" s="1001" t="s">
        <v>44</v>
      </c>
      <c r="C40" s="1636" t="s">
        <v>2007</v>
      </c>
      <c r="D40" s="1434" t="s">
        <v>1975</v>
      </c>
      <c r="E40" s="1436"/>
      <c r="F40" s="1001" t="s">
        <v>1976</v>
      </c>
      <c r="G40" s="1001"/>
    </row>
    <row r="41" spans="1:7" ht="17.45" customHeight="1">
      <c r="A41" s="1432">
        <v>31</v>
      </c>
      <c r="B41" s="1001" t="s">
        <v>45</v>
      </c>
      <c r="C41" s="1636" t="s">
        <v>2008</v>
      </c>
      <c r="D41" s="1434" t="s">
        <v>1975</v>
      </c>
      <c r="E41" s="1435"/>
      <c r="F41" s="1001" t="s">
        <v>1976</v>
      </c>
      <c r="G41" s="1001"/>
    </row>
    <row r="42" spans="1:7" ht="17.45" customHeight="1">
      <c r="A42" s="1432">
        <v>32</v>
      </c>
      <c r="B42" s="1001" t="s">
        <v>46</v>
      </c>
      <c r="C42" s="1636" t="s">
        <v>2009</v>
      </c>
      <c r="D42" s="1434" t="s">
        <v>1982</v>
      </c>
      <c r="E42" s="1435"/>
      <c r="F42" s="1001" t="s">
        <v>1976</v>
      </c>
      <c r="G42" s="1001"/>
    </row>
    <row r="43" spans="1:7" ht="17.45" customHeight="1">
      <c r="A43" s="1432">
        <v>33</v>
      </c>
      <c r="B43" s="1001" t="s">
        <v>47</v>
      </c>
      <c r="C43" s="1636" t="s">
        <v>2010</v>
      </c>
      <c r="D43" s="1434" t="s">
        <v>1975</v>
      </c>
      <c r="E43" s="1435"/>
      <c r="F43" s="1001" t="s">
        <v>1976</v>
      </c>
      <c r="G43" s="1001"/>
    </row>
    <row r="44" spans="1:7" ht="17.45" customHeight="1">
      <c r="A44" s="1432">
        <v>34</v>
      </c>
      <c r="B44" s="1001" t="s">
        <v>48</v>
      </c>
      <c r="C44" s="1636" t="s">
        <v>2011</v>
      </c>
      <c r="D44" s="1434" t="s">
        <v>1982</v>
      </c>
      <c r="E44" s="1435"/>
      <c r="F44" s="1001" t="s">
        <v>1976</v>
      </c>
      <c r="G44" s="1001"/>
    </row>
    <row r="45" spans="1:7" ht="17.45" customHeight="1">
      <c r="A45" s="1432">
        <v>35</v>
      </c>
      <c r="B45" s="1001" t="s">
        <v>49</v>
      </c>
      <c r="C45" s="1636" t="s">
        <v>2012</v>
      </c>
      <c r="D45" s="1434" t="s">
        <v>1982</v>
      </c>
      <c r="E45" s="1435"/>
      <c r="F45" s="1001" t="s">
        <v>1976</v>
      </c>
      <c r="G45" s="1001"/>
    </row>
    <row r="46" spans="1:7" ht="17.45" customHeight="1">
      <c r="A46" s="1432">
        <v>36</v>
      </c>
      <c r="B46" s="1001" t="s">
        <v>50</v>
      </c>
      <c r="C46" s="1636" t="s">
        <v>2013</v>
      </c>
      <c r="D46" s="1434" t="s">
        <v>1975</v>
      </c>
      <c r="E46" s="1436"/>
      <c r="F46" s="1001" t="s">
        <v>1976</v>
      </c>
      <c r="G46" s="1001"/>
    </row>
    <row r="47" spans="1:7" ht="17.45" customHeight="1">
      <c r="A47" s="1432">
        <v>37</v>
      </c>
      <c r="B47" s="1001" t="s">
        <v>486</v>
      </c>
      <c r="C47" s="1636" t="s">
        <v>2014</v>
      </c>
      <c r="D47" s="1434" t="s">
        <v>1975</v>
      </c>
      <c r="E47" s="1435"/>
      <c r="F47" s="1001" t="s">
        <v>1976</v>
      </c>
      <c r="G47" s="1001"/>
    </row>
    <row r="48" spans="1:7" ht="17.45" customHeight="1">
      <c r="A48" s="1432">
        <v>38</v>
      </c>
      <c r="B48" s="1001" t="s">
        <v>52</v>
      </c>
      <c r="C48" s="1636" t="s">
        <v>2015</v>
      </c>
      <c r="D48" s="1434" t="s">
        <v>1975</v>
      </c>
      <c r="E48" s="1436"/>
      <c r="F48" s="1001" t="s">
        <v>1976</v>
      </c>
      <c r="G48" s="1001"/>
    </row>
    <row r="49" spans="1:7" ht="17.45" customHeight="1">
      <c r="A49" s="1432">
        <v>39</v>
      </c>
      <c r="B49" s="1001" t="s">
        <v>53</v>
      </c>
      <c r="C49" s="1636" t="s">
        <v>2016</v>
      </c>
      <c r="D49" s="1434" t="s">
        <v>1975</v>
      </c>
      <c r="E49" s="1436"/>
      <c r="F49" s="1001" t="s">
        <v>1976</v>
      </c>
      <c r="G49" s="1001"/>
    </row>
    <row r="50" spans="1:7" ht="17.45" customHeight="1">
      <c r="A50" s="1432">
        <v>40</v>
      </c>
      <c r="B50" s="1001" t="s">
        <v>54</v>
      </c>
      <c r="C50" s="1636" t="s">
        <v>2017</v>
      </c>
      <c r="D50" s="1434" t="s">
        <v>1975</v>
      </c>
      <c r="E50" s="1435"/>
      <c r="F50" s="1001" t="s">
        <v>1976</v>
      </c>
      <c r="G50" s="1001"/>
    </row>
    <row r="51" spans="1:7" ht="17.45" customHeight="1">
      <c r="A51" s="1432">
        <v>41</v>
      </c>
      <c r="B51" s="1001" t="s">
        <v>55</v>
      </c>
      <c r="C51" s="1636" t="s">
        <v>2018</v>
      </c>
      <c r="D51" s="1434" t="s">
        <v>1975</v>
      </c>
      <c r="E51" s="1435"/>
      <c r="F51" s="1001" t="s">
        <v>1976</v>
      </c>
      <c r="G51" s="1001"/>
    </row>
    <row r="52" spans="1:7" ht="17.45" customHeight="1">
      <c r="A52" s="1432">
        <v>42</v>
      </c>
      <c r="B52" s="1001" t="s">
        <v>56</v>
      </c>
      <c r="C52" s="1636" t="s">
        <v>2019</v>
      </c>
      <c r="D52" s="1434" t="s">
        <v>1975</v>
      </c>
      <c r="E52" s="1435"/>
      <c r="F52" s="1001" t="s">
        <v>1976</v>
      </c>
      <c r="G52" s="1001"/>
    </row>
    <row r="53" spans="1:7" ht="17.45" customHeight="1">
      <c r="A53" s="1432">
        <v>43</v>
      </c>
      <c r="B53" s="1001" t="s">
        <v>57</v>
      </c>
      <c r="C53" s="1636" t="s">
        <v>2020</v>
      </c>
      <c r="D53" s="1434" t="s">
        <v>1982</v>
      </c>
      <c r="E53" s="1435"/>
      <c r="F53" s="1001" t="s">
        <v>2004</v>
      </c>
      <c r="G53" s="1001"/>
    </row>
    <row r="54" spans="1:7" ht="17.45" customHeight="1">
      <c r="A54" s="1432">
        <v>44</v>
      </c>
      <c r="B54" s="1001" t="s">
        <v>59</v>
      </c>
      <c r="C54" s="1636" t="s">
        <v>2021</v>
      </c>
      <c r="D54" s="1434" t="s">
        <v>1982</v>
      </c>
      <c r="E54" s="1436"/>
      <c r="F54" s="1001" t="s">
        <v>1976</v>
      </c>
      <c r="G54" s="1001"/>
    </row>
    <row r="55" spans="1:7" ht="17.45" customHeight="1">
      <c r="A55" s="1432">
        <v>45</v>
      </c>
      <c r="B55" s="1001" t="s">
        <v>60</v>
      </c>
      <c r="C55" s="1636" t="s">
        <v>2022</v>
      </c>
      <c r="D55" s="1434" t="s">
        <v>1982</v>
      </c>
      <c r="E55" s="1435"/>
      <c r="F55" s="1001" t="s">
        <v>2023</v>
      </c>
      <c r="G55" s="1001"/>
    </row>
    <row r="56" spans="1:7" ht="17.45" customHeight="1">
      <c r="A56" s="1432">
        <v>46</v>
      </c>
      <c r="B56" s="1001" t="s">
        <v>2024</v>
      </c>
      <c r="C56" s="1636" t="s">
        <v>2025</v>
      </c>
      <c r="D56" s="1434" t="s">
        <v>1975</v>
      </c>
      <c r="E56" s="1435"/>
      <c r="F56" s="1001" t="s">
        <v>2023</v>
      </c>
      <c r="G56" s="1001"/>
    </row>
    <row r="57" spans="1:7" ht="17.45" customHeight="1">
      <c r="A57" s="1432">
        <v>47</v>
      </c>
      <c r="B57" s="1001" t="s">
        <v>62</v>
      </c>
      <c r="C57" s="1636" t="s">
        <v>2026</v>
      </c>
      <c r="D57" s="1434" t="s">
        <v>1975</v>
      </c>
      <c r="E57" s="1435"/>
      <c r="F57" s="1001" t="s">
        <v>1976</v>
      </c>
      <c r="G57" s="1001"/>
    </row>
    <row r="58" spans="1:7" ht="17.45" customHeight="1">
      <c r="A58" s="1432">
        <v>48</v>
      </c>
      <c r="B58" s="1001" t="s">
        <v>63</v>
      </c>
      <c r="C58" s="1636" t="s">
        <v>2027</v>
      </c>
      <c r="D58" s="1434" t="s">
        <v>1975</v>
      </c>
      <c r="E58" s="1436"/>
      <c r="F58" s="1001" t="s">
        <v>2028</v>
      </c>
      <c r="G58" s="1001"/>
    </row>
    <row r="59" spans="1:7" ht="17.45" customHeight="1">
      <c r="A59" s="1432">
        <v>49</v>
      </c>
      <c r="B59" s="1001" t="s">
        <v>64</v>
      </c>
      <c r="C59" s="1636" t="s">
        <v>2029</v>
      </c>
      <c r="D59" s="1434" t="s">
        <v>1982</v>
      </c>
      <c r="E59" s="1435"/>
      <c r="F59" s="1001" t="s">
        <v>1976</v>
      </c>
      <c r="G59" s="1001"/>
    </row>
    <row r="60" spans="1:7" ht="17.45" customHeight="1">
      <c r="A60" s="1432">
        <v>50</v>
      </c>
      <c r="B60" s="1001" t="s">
        <v>65</v>
      </c>
      <c r="C60" s="1636" t="s">
        <v>2030</v>
      </c>
      <c r="D60" s="1434" t="s">
        <v>1975</v>
      </c>
      <c r="E60" s="1435"/>
      <c r="F60" s="1001" t="s">
        <v>1976</v>
      </c>
      <c r="G60" s="1001"/>
    </row>
    <row r="61" spans="1:7" ht="17.45" customHeight="1">
      <c r="A61" s="1432">
        <v>51</v>
      </c>
      <c r="B61" s="1001" t="s">
        <v>66</v>
      </c>
      <c r="C61" s="1636" t="s">
        <v>2031</v>
      </c>
      <c r="D61" s="1434" t="s">
        <v>1975</v>
      </c>
      <c r="E61" s="1436"/>
      <c r="F61" s="1001" t="s">
        <v>1976</v>
      </c>
      <c r="G61" s="1001"/>
    </row>
    <row r="62" spans="1:7" ht="17.45" customHeight="1">
      <c r="A62" s="1432">
        <v>52</v>
      </c>
      <c r="B62" s="1001" t="s">
        <v>67</v>
      </c>
      <c r="C62" s="1636" t="s">
        <v>2032</v>
      </c>
      <c r="D62" s="1434" t="s">
        <v>1975</v>
      </c>
      <c r="E62" s="1436"/>
      <c r="F62" s="1001" t="s">
        <v>1976</v>
      </c>
      <c r="G62" s="1001"/>
    </row>
    <row r="63" spans="1:7" ht="17.45" customHeight="1">
      <c r="A63" s="1432">
        <v>53</v>
      </c>
      <c r="B63" s="1001" t="s">
        <v>68</v>
      </c>
      <c r="C63" s="1636" t="s">
        <v>2033</v>
      </c>
      <c r="D63" s="1434" t="s">
        <v>1975</v>
      </c>
      <c r="E63" s="1435"/>
      <c r="F63" s="1001" t="s">
        <v>1976</v>
      </c>
      <c r="G63" s="1001"/>
    </row>
    <row r="64" spans="1:7" ht="17.45" customHeight="1">
      <c r="A64" s="1432">
        <v>54</v>
      </c>
      <c r="B64" s="1001" t="s">
        <v>69</v>
      </c>
      <c r="C64" s="1636" t="s">
        <v>2034</v>
      </c>
      <c r="D64" s="1434" t="s">
        <v>1982</v>
      </c>
      <c r="E64" s="1435"/>
      <c r="F64" s="1001" t="s">
        <v>1976</v>
      </c>
      <c r="G64" s="1001"/>
    </row>
    <row r="65" spans="1:7" ht="17.45" customHeight="1">
      <c r="A65" s="1432">
        <v>55</v>
      </c>
      <c r="B65" s="1001" t="s">
        <v>70</v>
      </c>
      <c r="C65" s="1636" t="s">
        <v>2035</v>
      </c>
      <c r="D65" s="1434" t="s">
        <v>1982</v>
      </c>
      <c r="E65" s="1435"/>
      <c r="F65" s="158" t="s">
        <v>1976</v>
      </c>
      <c r="G65" s="1001"/>
    </row>
    <row r="66" spans="1:7" ht="17.45" customHeight="1">
      <c r="A66" s="1432">
        <v>56</v>
      </c>
      <c r="B66" s="1001" t="s">
        <v>71</v>
      </c>
      <c r="C66" s="1636" t="s">
        <v>2036</v>
      </c>
      <c r="D66" s="1434" t="s">
        <v>1975</v>
      </c>
      <c r="E66" s="1435"/>
      <c r="F66" s="1001" t="s">
        <v>1976</v>
      </c>
      <c r="G66" s="1001"/>
    </row>
    <row r="67" spans="1:7" ht="17.45" customHeight="1">
      <c r="A67" s="1432">
        <v>57</v>
      </c>
      <c r="B67" s="1001" t="s">
        <v>72</v>
      </c>
      <c r="C67" s="1636" t="s">
        <v>2037</v>
      </c>
      <c r="D67" s="1434" t="s">
        <v>1975</v>
      </c>
      <c r="E67" s="1436"/>
      <c r="F67" s="1001" t="s">
        <v>1976</v>
      </c>
      <c r="G67" s="1001"/>
    </row>
    <row r="68" spans="1:7" ht="17.45" customHeight="1">
      <c r="A68" s="1432">
        <v>58</v>
      </c>
      <c r="B68" s="1001" t="s">
        <v>74</v>
      </c>
      <c r="C68" s="1636" t="s">
        <v>2038</v>
      </c>
      <c r="D68" s="1434" t="s">
        <v>1975</v>
      </c>
      <c r="E68" s="1435"/>
      <c r="F68" s="1001" t="s">
        <v>2039</v>
      </c>
      <c r="G68" s="1001"/>
    </row>
    <row r="69" spans="1:7" ht="17.45" customHeight="1">
      <c r="A69" s="1432">
        <v>59</v>
      </c>
      <c r="B69" s="1001" t="s">
        <v>75</v>
      </c>
      <c r="C69" s="1636" t="s">
        <v>2040</v>
      </c>
      <c r="D69" s="1434" t="s">
        <v>1982</v>
      </c>
      <c r="E69" s="1436"/>
      <c r="F69" s="1001" t="s">
        <v>2004</v>
      </c>
      <c r="G69" s="1001"/>
    </row>
    <row r="70" spans="1:7" ht="17.45" customHeight="1" outlineLevel="1">
      <c r="A70" s="1432">
        <v>60</v>
      </c>
      <c r="B70" s="1438" t="s">
        <v>76</v>
      </c>
      <c r="C70" s="1636" t="s">
        <v>2041</v>
      </c>
      <c r="D70" s="1434" t="s">
        <v>1975</v>
      </c>
      <c r="E70" s="1436"/>
      <c r="F70" s="1001" t="s">
        <v>1976</v>
      </c>
      <c r="G70" s="1001"/>
    </row>
    <row r="71" spans="1:7" ht="17.45" customHeight="1" outlineLevel="1">
      <c r="A71" s="1432">
        <v>61</v>
      </c>
      <c r="B71" s="1438" t="s">
        <v>77</v>
      </c>
      <c r="C71" s="1636" t="s">
        <v>2042</v>
      </c>
      <c r="D71" s="1434" t="s">
        <v>1982</v>
      </c>
      <c r="E71" s="1436"/>
      <c r="F71" s="1001" t="s">
        <v>1976</v>
      </c>
      <c r="G71" s="1001"/>
    </row>
    <row r="72" spans="1:7" ht="17.45" customHeight="1" outlineLevel="1">
      <c r="A72" s="1432">
        <v>62</v>
      </c>
      <c r="B72" s="1438" t="s">
        <v>78</v>
      </c>
      <c r="C72" s="1636" t="s">
        <v>2043</v>
      </c>
      <c r="D72" s="1434" t="s">
        <v>1975</v>
      </c>
      <c r="E72" s="1436"/>
      <c r="F72" s="1001" t="s">
        <v>2023</v>
      </c>
      <c r="G72" s="1001"/>
    </row>
    <row r="73" spans="1:7" ht="17.45" customHeight="1" outlineLevel="1">
      <c r="A73" s="1432">
        <v>63</v>
      </c>
      <c r="B73" s="1438" t="s">
        <v>79</v>
      </c>
      <c r="C73" s="1636" t="s">
        <v>2044</v>
      </c>
      <c r="D73" s="1434" t="s">
        <v>1975</v>
      </c>
      <c r="E73" s="1436"/>
      <c r="F73" s="1001" t="s">
        <v>1976</v>
      </c>
      <c r="G73" s="1001"/>
    </row>
    <row r="74" spans="1:7" ht="17.45" customHeight="1" outlineLevel="1">
      <c r="A74" s="1432">
        <v>64</v>
      </c>
      <c r="B74" s="1438" t="s">
        <v>80</v>
      </c>
      <c r="C74" s="1636" t="s">
        <v>2045</v>
      </c>
      <c r="D74" s="1434" t="s">
        <v>1982</v>
      </c>
      <c r="E74" s="1436"/>
      <c r="F74" s="1001" t="s">
        <v>1976</v>
      </c>
      <c r="G74" s="1001"/>
    </row>
    <row r="75" spans="1:7" ht="17.45" customHeight="1" outlineLevel="1">
      <c r="A75" s="1432">
        <v>65</v>
      </c>
      <c r="B75" s="1438" t="s">
        <v>81</v>
      </c>
      <c r="C75" s="1636" t="s">
        <v>2046</v>
      </c>
      <c r="D75" s="1434" t="s">
        <v>1975</v>
      </c>
      <c r="E75" s="1436"/>
      <c r="F75" s="1001" t="s">
        <v>1976</v>
      </c>
      <c r="G75" s="1001"/>
    </row>
    <row r="76" spans="1:7" ht="17.45" customHeight="1" outlineLevel="1">
      <c r="A76" s="1432">
        <v>66</v>
      </c>
      <c r="B76" s="1438" t="s">
        <v>82</v>
      </c>
      <c r="C76" s="1636" t="s">
        <v>2047</v>
      </c>
      <c r="D76" s="1434" t="s">
        <v>1982</v>
      </c>
      <c r="E76" s="1436"/>
      <c r="F76" s="1001" t="s">
        <v>1976</v>
      </c>
      <c r="G76" s="1001"/>
    </row>
    <row r="77" spans="1:7" ht="17.45" customHeight="1" outlineLevel="1">
      <c r="A77" s="1432">
        <v>67</v>
      </c>
      <c r="B77" s="1438" t="s">
        <v>83</v>
      </c>
      <c r="C77" s="1636" t="s">
        <v>2048</v>
      </c>
      <c r="D77" s="1434" t="s">
        <v>1975</v>
      </c>
      <c r="E77" s="1436"/>
      <c r="F77" s="1001" t="s">
        <v>1976</v>
      </c>
      <c r="G77" s="1001"/>
    </row>
    <row r="78" spans="1:7" ht="17.45" customHeight="1" outlineLevel="1">
      <c r="A78" s="1432">
        <v>68</v>
      </c>
      <c r="B78" s="1438" t="s">
        <v>84</v>
      </c>
      <c r="C78" s="1636" t="s">
        <v>2049</v>
      </c>
      <c r="D78" s="1434" t="s">
        <v>1975</v>
      </c>
      <c r="E78" s="1436"/>
      <c r="F78" s="1001" t="s">
        <v>1976</v>
      </c>
      <c r="G78" s="1001"/>
    </row>
    <row r="79" spans="1:7" ht="17.45" customHeight="1" outlineLevel="1">
      <c r="A79" s="1432">
        <v>69</v>
      </c>
      <c r="B79" s="1438" t="s">
        <v>85</v>
      </c>
      <c r="C79" s="1636" t="s">
        <v>2050</v>
      </c>
      <c r="D79" s="1434" t="s">
        <v>1975</v>
      </c>
      <c r="E79" s="1436"/>
      <c r="F79" s="1001" t="s">
        <v>1976</v>
      </c>
      <c r="G79" s="1001"/>
    </row>
    <row r="80" spans="1:7" ht="17.45" customHeight="1" outlineLevel="1">
      <c r="A80" s="1432">
        <v>70</v>
      </c>
      <c r="B80" s="1438" t="s">
        <v>86</v>
      </c>
      <c r="C80" s="1636" t="s">
        <v>2051</v>
      </c>
      <c r="D80" s="1434" t="s">
        <v>1975</v>
      </c>
      <c r="E80" s="1436"/>
      <c r="F80" s="1001" t="s">
        <v>1976</v>
      </c>
      <c r="G80" s="1001"/>
    </row>
    <row r="81" spans="1:7" ht="17.45" customHeight="1" outlineLevel="1">
      <c r="A81" s="1432">
        <v>71</v>
      </c>
      <c r="B81" s="1438" t="s">
        <v>87</v>
      </c>
      <c r="C81" s="1636" t="s">
        <v>2052</v>
      </c>
      <c r="D81" s="1434" t="s">
        <v>1975</v>
      </c>
      <c r="E81" s="1436"/>
      <c r="F81" s="1001" t="s">
        <v>1976</v>
      </c>
      <c r="G81" s="1001"/>
    </row>
    <row r="82" spans="1:7" ht="17.45" customHeight="1" outlineLevel="1">
      <c r="A82" s="1432">
        <v>72</v>
      </c>
      <c r="B82" s="1438" t="s">
        <v>88</v>
      </c>
      <c r="C82" s="1636" t="s">
        <v>2053</v>
      </c>
      <c r="D82" s="1434" t="s">
        <v>1982</v>
      </c>
      <c r="E82" s="1436"/>
      <c r="F82" s="1001" t="s">
        <v>1976</v>
      </c>
      <c r="G82" s="1001"/>
    </row>
    <row r="83" spans="1:7" ht="17.45" customHeight="1" outlineLevel="1">
      <c r="A83" s="1432">
        <v>73</v>
      </c>
      <c r="B83" s="1438" t="s">
        <v>89</v>
      </c>
      <c r="C83" s="1636" t="s">
        <v>2054</v>
      </c>
      <c r="D83" s="1434" t="s">
        <v>1982</v>
      </c>
      <c r="E83" s="1436"/>
      <c r="F83" s="1001" t="s">
        <v>1976</v>
      </c>
      <c r="G83" s="1001"/>
    </row>
    <row r="84" spans="1:7" ht="17.45" customHeight="1" outlineLevel="1">
      <c r="A84" s="1432">
        <v>74</v>
      </c>
      <c r="B84" s="1438" t="s">
        <v>90</v>
      </c>
      <c r="C84" s="1636" t="s">
        <v>2055</v>
      </c>
      <c r="D84" s="1434" t="s">
        <v>1975</v>
      </c>
      <c r="E84" s="1436"/>
      <c r="F84" s="1001" t="s">
        <v>1976</v>
      </c>
      <c r="G84" s="1001"/>
    </row>
    <row r="85" spans="1:7" ht="17.45" customHeight="1" outlineLevel="1">
      <c r="A85" s="1432">
        <v>75</v>
      </c>
      <c r="B85" s="1438" t="s">
        <v>91</v>
      </c>
      <c r="C85" s="1636" t="s">
        <v>2056</v>
      </c>
      <c r="D85" s="1434" t="s">
        <v>1975</v>
      </c>
      <c r="E85" s="1436"/>
      <c r="F85" s="1001" t="s">
        <v>1976</v>
      </c>
      <c r="G85" s="1001"/>
    </row>
    <row r="86" spans="1:7" ht="17.45" customHeight="1" outlineLevel="1">
      <c r="A86" s="1432">
        <v>76</v>
      </c>
      <c r="B86" s="1438" t="s">
        <v>92</v>
      </c>
      <c r="C86" s="1636" t="s">
        <v>2057</v>
      </c>
      <c r="D86" s="1434" t="s">
        <v>1975</v>
      </c>
      <c r="E86" s="1436"/>
      <c r="F86" s="1001" t="s">
        <v>1976</v>
      </c>
      <c r="G86" s="1001"/>
    </row>
    <row r="87" spans="1:7" ht="17.45" customHeight="1" outlineLevel="1">
      <c r="A87" s="1432">
        <v>77</v>
      </c>
      <c r="B87" s="1438" t="s">
        <v>93</v>
      </c>
      <c r="C87" s="1636" t="s">
        <v>2058</v>
      </c>
      <c r="D87" s="1434" t="s">
        <v>1982</v>
      </c>
      <c r="E87" s="1436"/>
      <c r="F87" s="1001" t="s">
        <v>1976</v>
      </c>
      <c r="G87" s="1001"/>
    </row>
    <row r="88" spans="1:7" ht="17.45" customHeight="1" outlineLevel="1">
      <c r="A88" s="1432">
        <v>78</v>
      </c>
      <c r="B88" s="1438" t="s">
        <v>94</v>
      </c>
      <c r="C88" s="1636" t="s">
        <v>2059</v>
      </c>
      <c r="D88" s="1434" t="s">
        <v>1975</v>
      </c>
      <c r="E88" s="1436"/>
      <c r="F88" s="1001" t="s">
        <v>1976</v>
      </c>
      <c r="G88" s="1001"/>
    </row>
    <row r="89" spans="1:7" ht="17.45" customHeight="1" outlineLevel="1">
      <c r="A89" s="1432">
        <v>79</v>
      </c>
      <c r="B89" s="1438" t="s">
        <v>95</v>
      </c>
      <c r="C89" s="1636" t="s">
        <v>2060</v>
      </c>
      <c r="D89" s="1434" t="s">
        <v>1975</v>
      </c>
      <c r="E89" s="1436"/>
      <c r="F89" s="1001" t="s">
        <v>1976</v>
      </c>
      <c r="G89" s="1001"/>
    </row>
    <row r="90" spans="1:7" ht="17.45" customHeight="1" outlineLevel="1">
      <c r="A90" s="1432">
        <v>80</v>
      </c>
      <c r="B90" s="1438" t="s">
        <v>96</v>
      </c>
      <c r="C90" s="1636" t="s">
        <v>2061</v>
      </c>
      <c r="D90" s="1434" t="s">
        <v>1975</v>
      </c>
      <c r="E90" s="1436"/>
      <c r="F90" s="1001" t="s">
        <v>1976</v>
      </c>
      <c r="G90" s="1001"/>
    </row>
    <row r="91" spans="1:7" ht="17.45" customHeight="1" outlineLevel="1">
      <c r="A91" s="1432">
        <v>81</v>
      </c>
      <c r="B91" s="1438" t="s">
        <v>97</v>
      </c>
      <c r="C91" s="1636" t="s">
        <v>2062</v>
      </c>
      <c r="D91" s="1434" t="s">
        <v>1982</v>
      </c>
      <c r="E91" s="1436"/>
      <c r="F91" s="1001" t="s">
        <v>1976</v>
      </c>
      <c r="G91" s="1001"/>
    </row>
    <row r="92" spans="1:7" ht="17.45" customHeight="1" outlineLevel="1">
      <c r="A92" s="1432">
        <v>82</v>
      </c>
      <c r="B92" s="1438" t="s">
        <v>98</v>
      </c>
      <c r="C92" s="1636" t="s">
        <v>2063</v>
      </c>
      <c r="D92" s="1434" t="s">
        <v>1975</v>
      </c>
      <c r="E92" s="1436"/>
      <c r="F92" s="1001" t="s">
        <v>1976</v>
      </c>
      <c r="G92" s="1001"/>
    </row>
    <row r="93" spans="1:7" ht="17.45" customHeight="1" outlineLevel="1">
      <c r="A93" s="1432">
        <v>83</v>
      </c>
      <c r="B93" s="1438" t="s">
        <v>2064</v>
      </c>
      <c r="C93" s="1636" t="s">
        <v>2065</v>
      </c>
      <c r="D93" s="1434" t="s">
        <v>1975</v>
      </c>
      <c r="E93" s="1436"/>
      <c r="F93" s="1001" t="s">
        <v>1976</v>
      </c>
      <c r="G93" s="1001"/>
    </row>
    <row r="94" spans="1:7" ht="17.45" customHeight="1" outlineLevel="1">
      <c r="A94" s="1432">
        <v>84</v>
      </c>
      <c r="B94" s="1438" t="s">
        <v>100</v>
      </c>
      <c r="C94" s="1636" t="s">
        <v>2066</v>
      </c>
      <c r="D94" s="1434" t="s">
        <v>1975</v>
      </c>
      <c r="E94" s="1436"/>
      <c r="F94" s="1001" t="s">
        <v>1976</v>
      </c>
      <c r="G94" s="1001"/>
    </row>
    <row r="95" spans="1:7" ht="17.45" customHeight="1" outlineLevel="1">
      <c r="A95" s="1432">
        <v>85</v>
      </c>
      <c r="B95" s="1438" t="s">
        <v>101</v>
      </c>
      <c r="C95" s="1636" t="s">
        <v>2067</v>
      </c>
      <c r="D95" s="1434" t="s">
        <v>1982</v>
      </c>
      <c r="E95" s="1436"/>
      <c r="F95" s="1001" t="s">
        <v>1976</v>
      </c>
      <c r="G95" s="1001"/>
    </row>
    <row r="96" spans="1:7" ht="17.45" customHeight="1" outlineLevel="1">
      <c r="A96" s="1432">
        <v>86</v>
      </c>
      <c r="B96" s="1438" t="s">
        <v>102</v>
      </c>
      <c r="C96" s="1636" t="s">
        <v>2068</v>
      </c>
      <c r="D96" s="1434" t="s">
        <v>1975</v>
      </c>
      <c r="E96" s="1436"/>
      <c r="F96" s="1001" t="s">
        <v>1976</v>
      </c>
      <c r="G96" s="1001"/>
    </row>
    <row r="97" spans="1:7" ht="17.45" customHeight="1" outlineLevel="1">
      <c r="A97" s="1432">
        <v>87</v>
      </c>
      <c r="B97" s="1438" t="s">
        <v>487</v>
      </c>
      <c r="C97" s="1636" t="s">
        <v>2069</v>
      </c>
      <c r="D97" s="1434" t="s">
        <v>1975</v>
      </c>
      <c r="E97" s="1436"/>
      <c r="F97" s="1001" t="s">
        <v>1976</v>
      </c>
      <c r="G97" s="1001"/>
    </row>
    <row r="98" spans="1:7" ht="17.45" customHeight="1" outlineLevel="1">
      <c r="A98" s="1432">
        <v>88</v>
      </c>
      <c r="B98" s="1438" t="s">
        <v>488</v>
      </c>
      <c r="C98" s="1636" t="s">
        <v>2070</v>
      </c>
      <c r="D98" s="1434" t="s">
        <v>1975</v>
      </c>
      <c r="E98" s="1436"/>
      <c r="F98" s="1001" t="s">
        <v>1976</v>
      </c>
      <c r="G98" s="1001"/>
    </row>
    <row r="99" spans="1:7" ht="17.45" customHeight="1" outlineLevel="1">
      <c r="A99" s="1432">
        <v>89</v>
      </c>
      <c r="B99" s="1438" t="s">
        <v>489</v>
      </c>
      <c r="C99" s="1636" t="s">
        <v>2071</v>
      </c>
      <c r="D99" s="1434" t="s">
        <v>1975</v>
      </c>
      <c r="E99" s="1436"/>
      <c r="F99" s="1001" t="s">
        <v>1976</v>
      </c>
      <c r="G99" s="1001"/>
    </row>
    <row r="100" spans="1:7" ht="17.45" customHeight="1" outlineLevel="1">
      <c r="A100" s="1432">
        <v>90</v>
      </c>
      <c r="B100" s="1438" t="s">
        <v>490</v>
      </c>
      <c r="C100" s="1636" t="s">
        <v>2072</v>
      </c>
      <c r="D100" s="1434" t="s">
        <v>1975</v>
      </c>
      <c r="E100" s="1436"/>
      <c r="F100" s="1001" t="s">
        <v>1976</v>
      </c>
      <c r="G100" s="1001"/>
    </row>
    <row r="101" spans="1:7" ht="17.45" customHeight="1" outlineLevel="1">
      <c r="A101" s="1432">
        <v>91</v>
      </c>
      <c r="B101" s="1438" t="s">
        <v>491</v>
      </c>
      <c r="C101" s="1636" t="s">
        <v>2073</v>
      </c>
      <c r="D101" s="1434" t="s">
        <v>1982</v>
      </c>
      <c r="E101" s="1436"/>
      <c r="F101" s="1001" t="s">
        <v>1976</v>
      </c>
      <c r="G101" s="1001"/>
    </row>
    <row r="102" spans="1:7" ht="17.45" customHeight="1" outlineLevel="1">
      <c r="A102" s="1432">
        <v>92</v>
      </c>
      <c r="B102" s="1438" t="s">
        <v>492</v>
      </c>
      <c r="C102" s="1636" t="s">
        <v>2074</v>
      </c>
      <c r="D102" s="1434" t="s">
        <v>1975</v>
      </c>
      <c r="E102" s="1436"/>
      <c r="F102" s="1001" t="s">
        <v>1976</v>
      </c>
      <c r="G102" s="1001"/>
    </row>
    <row r="103" spans="1:7" ht="17.45" customHeight="1" outlineLevel="1">
      <c r="A103" s="1432">
        <v>93</v>
      </c>
      <c r="B103" s="1438" t="s">
        <v>493</v>
      </c>
      <c r="C103" s="1636" t="s">
        <v>2075</v>
      </c>
      <c r="D103" s="1434" t="s">
        <v>1982</v>
      </c>
      <c r="E103" s="1436"/>
      <c r="F103" s="1001" t="s">
        <v>1976</v>
      </c>
      <c r="G103" s="1001"/>
    </row>
    <row r="104" spans="1:7" s="157" customFormat="1" ht="17.45" customHeight="1">
      <c r="A104" s="1426" t="s">
        <v>523</v>
      </c>
      <c r="B104" s="1427"/>
      <c r="C104" s="1433"/>
      <c r="D104" s="1429"/>
      <c r="E104" s="1430"/>
      <c r="F104" s="1431"/>
      <c r="G104" s="1431"/>
    </row>
    <row r="105" spans="1:7" ht="17.45" customHeight="1" outlineLevel="1">
      <c r="A105" s="1439">
        <v>1</v>
      </c>
      <c r="B105" s="1437" t="s">
        <v>500</v>
      </c>
      <c r="C105" s="1636" t="s">
        <v>2076</v>
      </c>
      <c r="D105" s="1434" t="s">
        <v>1975</v>
      </c>
      <c r="E105" s="1436">
        <v>26696</v>
      </c>
      <c r="F105" s="1001" t="s">
        <v>1976</v>
      </c>
      <c r="G105" s="1001"/>
    </row>
    <row r="106" spans="1:7" ht="17.45" customHeight="1">
      <c r="A106" s="1432">
        <v>2</v>
      </c>
      <c r="B106" s="1001" t="s">
        <v>118</v>
      </c>
      <c r="C106" s="1636" t="s">
        <v>2077</v>
      </c>
      <c r="D106" s="1434" t="s">
        <v>1975</v>
      </c>
      <c r="E106" s="1435">
        <v>32579</v>
      </c>
      <c r="F106" s="1001" t="s">
        <v>1976</v>
      </c>
      <c r="G106" s="1001"/>
    </row>
    <row r="107" spans="1:7" ht="17.45" customHeight="1">
      <c r="A107" s="1439">
        <v>3</v>
      </c>
      <c r="B107" s="1001" t="s">
        <v>119</v>
      </c>
      <c r="C107" s="1636" t="s">
        <v>2078</v>
      </c>
      <c r="D107" s="1434" t="s">
        <v>1982</v>
      </c>
      <c r="E107" s="1435">
        <v>34889</v>
      </c>
      <c r="F107" s="1001" t="s">
        <v>1976</v>
      </c>
      <c r="G107" s="1001"/>
    </row>
    <row r="108" spans="1:7" ht="17.45" customHeight="1">
      <c r="A108" s="1432">
        <v>4</v>
      </c>
      <c r="B108" s="1001" t="s">
        <v>120</v>
      </c>
      <c r="C108" s="1636" t="s">
        <v>2079</v>
      </c>
      <c r="D108" s="1434" t="s">
        <v>1975</v>
      </c>
      <c r="E108" s="1435">
        <v>25486</v>
      </c>
      <c r="F108" s="1001" t="s">
        <v>1976</v>
      </c>
      <c r="G108" s="1001"/>
    </row>
    <row r="109" spans="1:7" ht="17.45" customHeight="1">
      <c r="A109" s="1439">
        <v>5</v>
      </c>
      <c r="B109" s="1001" t="s">
        <v>117</v>
      </c>
      <c r="C109" s="1636" t="s">
        <v>2080</v>
      </c>
      <c r="D109" s="1434" t="s">
        <v>1975</v>
      </c>
      <c r="E109" s="1435">
        <v>26183</v>
      </c>
      <c r="F109" s="1001" t="s">
        <v>1976</v>
      </c>
      <c r="G109" s="1001"/>
    </row>
    <row r="110" spans="1:7" ht="17.45" customHeight="1">
      <c r="A110" s="1432">
        <v>6</v>
      </c>
      <c r="B110" s="1001" t="s">
        <v>122</v>
      </c>
      <c r="C110" s="1636" t="s">
        <v>2081</v>
      </c>
      <c r="D110" s="1434" t="s">
        <v>1982</v>
      </c>
      <c r="E110" s="1436">
        <v>35013</v>
      </c>
      <c r="F110" s="1001" t="s">
        <v>1976</v>
      </c>
      <c r="G110" s="1001"/>
    </row>
    <row r="111" spans="1:7" ht="17.45" customHeight="1">
      <c r="A111" s="1439">
        <v>7</v>
      </c>
      <c r="B111" s="1001" t="s">
        <v>121</v>
      </c>
      <c r="C111" s="1636" t="s">
        <v>2082</v>
      </c>
      <c r="D111" s="1434" t="s">
        <v>1982</v>
      </c>
      <c r="E111" s="1435">
        <v>26671</v>
      </c>
      <c r="F111" s="1001" t="s">
        <v>1976</v>
      </c>
      <c r="G111" s="1001"/>
    </row>
    <row r="112" spans="1:7" s="157" customFormat="1" ht="17.45" customHeight="1">
      <c r="A112" s="1426" t="s">
        <v>524</v>
      </c>
      <c r="B112" s="1427"/>
      <c r="D112" s="1429"/>
      <c r="E112" s="1430"/>
      <c r="F112" s="1431"/>
      <c r="G112" s="1431"/>
    </row>
    <row r="113" spans="1:7" ht="17.45" customHeight="1" outlineLevel="1">
      <c r="A113" s="1439">
        <v>1</v>
      </c>
      <c r="B113" s="1437" t="s">
        <v>496</v>
      </c>
      <c r="C113" s="1636" t="s">
        <v>2083</v>
      </c>
      <c r="D113" s="1434" t="s">
        <v>1975</v>
      </c>
      <c r="E113" s="1436">
        <v>38400</v>
      </c>
      <c r="F113" s="1001" t="s">
        <v>1976</v>
      </c>
      <c r="G113" s="1001"/>
    </row>
    <row r="114" spans="1:7" ht="17.45" customHeight="1">
      <c r="A114" s="1432">
        <v>2</v>
      </c>
      <c r="B114" s="1001" t="s">
        <v>105</v>
      </c>
      <c r="C114" s="1636" t="s">
        <v>2084</v>
      </c>
      <c r="D114" s="1434" t="s">
        <v>1982</v>
      </c>
      <c r="E114" s="1435">
        <v>29503</v>
      </c>
      <c r="F114" s="1001" t="s">
        <v>1976</v>
      </c>
      <c r="G114" s="1001"/>
    </row>
    <row r="115" spans="1:7" ht="17.45" customHeight="1">
      <c r="A115" s="1439">
        <v>3</v>
      </c>
      <c r="B115" s="1001" t="s">
        <v>497</v>
      </c>
      <c r="C115" s="1636" t="s">
        <v>2085</v>
      </c>
      <c r="D115" s="1434" t="s">
        <v>1975</v>
      </c>
      <c r="E115" s="1435">
        <v>32960</v>
      </c>
      <c r="F115" s="1001" t="s">
        <v>2086</v>
      </c>
      <c r="G115" s="1001"/>
    </row>
    <row r="116" spans="1:7" ht="17.45" customHeight="1">
      <c r="A116" s="1432">
        <v>4</v>
      </c>
      <c r="B116" s="1437" t="s">
        <v>498</v>
      </c>
      <c r="C116" s="1636" t="s">
        <v>2087</v>
      </c>
      <c r="D116" s="1434" t="s">
        <v>1982</v>
      </c>
      <c r="E116" s="1435">
        <v>36203</v>
      </c>
      <c r="F116" s="1001" t="s">
        <v>2086</v>
      </c>
      <c r="G116" s="1001"/>
    </row>
    <row r="117" spans="1:7" ht="17.45" customHeight="1">
      <c r="A117" s="1439">
        <v>5</v>
      </c>
      <c r="B117" s="1437" t="s">
        <v>108</v>
      </c>
      <c r="C117" s="1636" t="s">
        <v>2088</v>
      </c>
      <c r="D117" s="1434" t="s">
        <v>1975</v>
      </c>
      <c r="E117" s="1435">
        <v>28619</v>
      </c>
      <c r="F117" s="1001" t="s">
        <v>1976</v>
      </c>
      <c r="G117" s="1001"/>
    </row>
    <row r="118" spans="1:7" ht="17.45" customHeight="1">
      <c r="A118" s="1432">
        <v>6</v>
      </c>
      <c r="B118" s="1437" t="s">
        <v>109</v>
      </c>
      <c r="C118" s="1636" t="s">
        <v>2089</v>
      </c>
      <c r="D118" s="1434" t="s">
        <v>1982</v>
      </c>
      <c r="E118" s="1436">
        <v>29405</v>
      </c>
      <c r="F118" s="1001" t="s">
        <v>1976</v>
      </c>
      <c r="G118" s="1001"/>
    </row>
    <row r="119" spans="1:7" ht="17.45" customHeight="1">
      <c r="A119" s="1439">
        <v>7</v>
      </c>
      <c r="B119" s="1437" t="s">
        <v>110</v>
      </c>
      <c r="C119" s="1636" t="s">
        <v>2090</v>
      </c>
      <c r="D119" s="1434" t="s">
        <v>1975</v>
      </c>
      <c r="E119" s="1436">
        <v>29803</v>
      </c>
      <c r="F119" s="1001" t="s">
        <v>1976</v>
      </c>
      <c r="G119" s="1001"/>
    </row>
    <row r="120" spans="1:7" ht="17.45" customHeight="1">
      <c r="A120" s="1432">
        <v>8</v>
      </c>
      <c r="B120" s="1437" t="s">
        <v>111</v>
      </c>
      <c r="C120" s="1636" t="s">
        <v>2091</v>
      </c>
      <c r="D120" s="1434" t="s">
        <v>1975</v>
      </c>
      <c r="E120" s="1436">
        <v>32762</v>
      </c>
      <c r="F120" s="1001" t="s">
        <v>2004</v>
      </c>
      <c r="G120" s="1001"/>
    </row>
    <row r="121" spans="1:7" s="1419" customFormat="1" ht="17.45" customHeight="1">
      <c r="A121" s="1440">
        <v>9</v>
      </c>
      <c r="B121" s="1441" t="s">
        <v>112</v>
      </c>
      <c r="C121" s="1637" t="s">
        <v>2092</v>
      </c>
      <c r="D121" s="1442" t="s">
        <v>1975</v>
      </c>
      <c r="E121" s="1443">
        <f>2024-1982</f>
        <v>42</v>
      </c>
      <c r="F121" s="1444" t="s">
        <v>2086</v>
      </c>
      <c r="G121" s="1444" t="s">
        <v>2093</v>
      </c>
    </row>
    <row r="122" spans="1:7" s="1419" customFormat="1" ht="17.45" customHeight="1">
      <c r="A122" s="1445">
        <v>10</v>
      </c>
      <c r="B122" s="1441" t="s">
        <v>113</v>
      </c>
      <c r="C122" s="1637" t="s">
        <v>2094</v>
      </c>
      <c r="D122" s="1442" t="s">
        <v>1975</v>
      </c>
      <c r="E122" s="1443">
        <f>2024-1975</f>
        <v>49</v>
      </c>
      <c r="F122" s="1444" t="s">
        <v>2095</v>
      </c>
      <c r="G122" s="1444" t="s">
        <v>2093</v>
      </c>
    </row>
    <row r="123" spans="1:7" s="1419" customFormat="1" ht="17.45" customHeight="1">
      <c r="A123" s="1440">
        <v>11</v>
      </c>
      <c r="B123" s="1441" t="s">
        <v>499</v>
      </c>
      <c r="C123" s="1637" t="s">
        <v>2096</v>
      </c>
      <c r="D123" s="1442" t="s">
        <v>1982</v>
      </c>
      <c r="E123" s="1443">
        <f>2024-1986</f>
        <v>38</v>
      </c>
      <c r="F123" s="1444" t="s">
        <v>2086</v>
      </c>
      <c r="G123" s="1444" t="s">
        <v>2093</v>
      </c>
    </row>
    <row r="124" spans="1:7" s="157" customFormat="1" ht="17.45" customHeight="1">
      <c r="A124" s="1426" t="s">
        <v>123</v>
      </c>
      <c r="B124" s="1437"/>
      <c r="C124" s="1428"/>
      <c r="D124" s="1429"/>
      <c r="E124" s="1443"/>
      <c r="F124" s="1431"/>
      <c r="G124" s="1431"/>
    </row>
    <row r="125" spans="1:7" ht="17.45" customHeight="1" outlineLevel="1">
      <c r="A125" s="1439">
        <v>1</v>
      </c>
      <c r="B125" s="1437" t="s">
        <v>124</v>
      </c>
      <c r="C125" s="1638" t="s">
        <v>2097</v>
      </c>
      <c r="D125" s="1434" t="s">
        <v>1975</v>
      </c>
      <c r="E125" s="1443">
        <v>34825</v>
      </c>
      <c r="F125" s="1436" t="s">
        <v>1976</v>
      </c>
      <c r="G125" s="1001"/>
    </row>
    <row r="126" spans="1:7" ht="17.45" customHeight="1">
      <c r="A126" s="1432">
        <v>2</v>
      </c>
      <c r="B126" s="1001" t="s">
        <v>125</v>
      </c>
      <c r="C126" s="1638" t="s">
        <v>2098</v>
      </c>
      <c r="D126" s="1434" t="s">
        <v>1975</v>
      </c>
      <c r="E126" s="1443">
        <v>36777</v>
      </c>
      <c r="F126" s="1436" t="s">
        <v>2099</v>
      </c>
      <c r="G126" s="1001"/>
    </row>
    <row r="127" spans="1:7" ht="17.45" customHeight="1">
      <c r="A127" s="1439">
        <v>3</v>
      </c>
      <c r="B127" s="1001" t="s">
        <v>189</v>
      </c>
      <c r="C127" s="1638" t="s">
        <v>2100</v>
      </c>
      <c r="D127" s="1434" t="s">
        <v>1975</v>
      </c>
      <c r="E127" s="1443">
        <v>28709</v>
      </c>
      <c r="F127" s="1436" t="s">
        <v>2004</v>
      </c>
      <c r="G127" s="1001"/>
    </row>
    <row r="128" spans="1:7" ht="17.45" customHeight="1">
      <c r="A128" s="1432">
        <v>4</v>
      </c>
      <c r="B128" s="1001" t="s">
        <v>127</v>
      </c>
      <c r="C128" s="1638" t="s">
        <v>2101</v>
      </c>
      <c r="D128" s="1434" t="s">
        <v>1975</v>
      </c>
      <c r="E128" s="1443">
        <v>31998</v>
      </c>
      <c r="F128" s="1436" t="s">
        <v>1976</v>
      </c>
      <c r="G128" s="1001"/>
    </row>
    <row r="129" spans="1:7" ht="17.45" customHeight="1">
      <c r="A129" s="1439">
        <v>5</v>
      </c>
      <c r="B129" s="1001" t="s">
        <v>128</v>
      </c>
      <c r="C129" s="1638" t="s">
        <v>2102</v>
      </c>
      <c r="D129" s="1434" t="s">
        <v>1975</v>
      </c>
      <c r="E129" s="1443">
        <v>34822</v>
      </c>
      <c r="F129" s="1436" t="s">
        <v>2099</v>
      </c>
      <c r="G129" s="1001"/>
    </row>
    <row r="130" spans="1:7" ht="17.45" customHeight="1">
      <c r="A130" s="1432">
        <v>6</v>
      </c>
      <c r="B130" s="1001" t="s">
        <v>129</v>
      </c>
      <c r="C130" s="1638" t="s">
        <v>2103</v>
      </c>
      <c r="D130" s="1434" t="s">
        <v>1975</v>
      </c>
      <c r="E130" s="1443">
        <v>35925</v>
      </c>
      <c r="F130" s="1436" t="s">
        <v>2099</v>
      </c>
      <c r="G130" s="1001"/>
    </row>
    <row r="131" spans="1:7" ht="17.45" customHeight="1">
      <c r="A131" s="1439">
        <v>7</v>
      </c>
      <c r="B131" s="1444" t="s">
        <v>130</v>
      </c>
      <c r="C131" s="1638" t="s">
        <v>2104</v>
      </c>
      <c r="D131" s="1442"/>
      <c r="E131" s="1443"/>
      <c r="F131" s="1446"/>
      <c r="G131" s="1444"/>
    </row>
    <row r="132" spans="1:7" ht="17.45" customHeight="1">
      <c r="A132" s="1432">
        <v>8</v>
      </c>
      <c r="B132" s="1001" t="s">
        <v>131</v>
      </c>
      <c r="C132" s="1638" t="s">
        <v>2105</v>
      </c>
      <c r="D132" s="1434" t="s">
        <v>1975</v>
      </c>
      <c r="E132" s="1443">
        <v>28613</v>
      </c>
      <c r="F132" s="1436" t="s">
        <v>2099</v>
      </c>
      <c r="G132" s="1001"/>
    </row>
    <row r="133" spans="1:7" ht="17.45" customHeight="1">
      <c r="A133" s="1439">
        <v>9</v>
      </c>
      <c r="B133" s="1001" t="s">
        <v>132</v>
      </c>
      <c r="C133" s="1638" t="s">
        <v>2106</v>
      </c>
      <c r="D133" s="1434" t="s">
        <v>1975</v>
      </c>
      <c r="E133" s="1443">
        <v>29039</v>
      </c>
      <c r="F133" s="1436" t="s">
        <v>2099</v>
      </c>
      <c r="G133" s="1001"/>
    </row>
    <row r="134" spans="1:7" ht="17.45" customHeight="1">
      <c r="A134" s="1432">
        <v>10</v>
      </c>
      <c r="B134" s="1001" t="s">
        <v>133</v>
      </c>
      <c r="C134" s="1638" t="s">
        <v>2107</v>
      </c>
      <c r="D134" s="1434" t="s">
        <v>1975</v>
      </c>
      <c r="E134" s="1443">
        <v>31658</v>
      </c>
      <c r="F134" s="1436" t="s">
        <v>2099</v>
      </c>
      <c r="G134" s="1001"/>
    </row>
    <row r="135" spans="1:7" ht="17.45" customHeight="1">
      <c r="A135" s="1439">
        <v>11</v>
      </c>
      <c r="B135" s="1001" t="s">
        <v>134</v>
      </c>
      <c r="C135" s="1638" t="s">
        <v>2108</v>
      </c>
      <c r="D135" s="1434" t="s">
        <v>1975</v>
      </c>
      <c r="E135" s="1443">
        <v>34768</v>
      </c>
      <c r="F135" s="1436" t="s">
        <v>2099</v>
      </c>
      <c r="G135" s="1001"/>
    </row>
    <row r="136" spans="1:7" ht="17.45" customHeight="1">
      <c r="A136" s="1432">
        <v>12</v>
      </c>
      <c r="B136" s="1001" t="s">
        <v>135</v>
      </c>
      <c r="C136" s="1638" t="s">
        <v>2109</v>
      </c>
      <c r="D136" s="1434" t="s">
        <v>1975</v>
      </c>
      <c r="E136" s="1443">
        <v>33770</v>
      </c>
      <c r="F136" s="1436" t="s">
        <v>2099</v>
      </c>
      <c r="G136" s="1001"/>
    </row>
    <row r="137" spans="1:7" ht="17.45" customHeight="1">
      <c r="A137" s="1439">
        <v>13</v>
      </c>
      <c r="B137" s="1001" t="s">
        <v>191</v>
      </c>
      <c r="C137" s="1638" t="s">
        <v>2110</v>
      </c>
      <c r="D137" s="1434" t="s">
        <v>1975</v>
      </c>
      <c r="E137" s="1443">
        <v>35530</v>
      </c>
      <c r="F137" s="1436" t="s">
        <v>1976</v>
      </c>
      <c r="G137" s="1001"/>
    </row>
    <row r="138" spans="1:7" ht="17.45" customHeight="1">
      <c r="A138" s="1432">
        <v>14</v>
      </c>
      <c r="B138" s="1001" t="s">
        <v>136</v>
      </c>
      <c r="C138" s="1638" t="s">
        <v>2111</v>
      </c>
      <c r="D138" s="1434" t="s">
        <v>1975</v>
      </c>
      <c r="E138" s="1443">
        <v>36229</v>
      </c>
      <c r="F138" s="1436" t="s">
        <v>1976</v>
      </c>
      <c r="G138" s="1001"/>
    </row>
    <row r="139" spans="1:7" ht="17.45" customHeight="1">
      <c r="A139" s="1439">
        <v>15</v>
      </c>
      <c r="B139" s="1001" t="s">
        <v>137</v>
      </c>
      <c r="C139" s="1638" t="s">
        <v>2112</v>
      </c>
      <c r="D139" s="1434" t="s">
        <v>1975</v>
      </c>
      <c r="E139" s="1443">
        <v>31787</v>
      </c>
      <c r="F139" s="1436" t="s">
        <v>2099</v>
      </c>
      <c r="G139" s="1001"/>
    </row>
    <row r="140" spans="1:7" ht="17.45" customHeight="1">
      <c r="A140" s="1432">
        <v>16</v>
      </c>
      <c r="B140" s="1001" t="s">
        <v>138</v>
      </c>
      <c r="C140" s="1638" t="s">
        <v>2113</v>
      </c>
      <c r="D140" s="1434" t="s">
        <v>1975</v>
      </c>
      <c r="E140" s="1443">
        <v>34188</v>
      </c>
      <c r="F140" s="1436" t="s">
        <v>2086</v>
      </c>
      <c r="G140" s="1001"/>
    </row>
    <row r="141" spans="1:7" ht="17.45" customHeight="1">
      <c r="A141" s="1439">
        <v>17</v>
      </c>
      <c r="B141" s="1001" t="s">
        <v>139</v>
      </c>
      <c r="C141" s="1638" t="s">
        <v>2114</v>
      </c>
      <c r="D141" s="1434" t="s">
        <v>1975</v>
      </c>
      <c r="E141" s="1443">
        <v>35951</v>
      </c>
      <c r="F141" s="1436" t="s">
        <v>2099</v>
      </c>
      <c r="G141" s="1001"/>
    </row>
    <row r="142" spans="1:7" ht="17.45" customHeight="1">
      <c r="A142" s="1432">
        <v>18</v>
      </c>
      <c r="B142" s="1001" t="s">
        <v>140</v>
      </c>
      <c r="C142" s="1638" t="s">
        <v>2115</v>
      </c>
      <c r="D142" s="1434" t="s">
        <v>1975</v>
      </c>
      <c r="E142" s="1443">
        <v>36314</v>
      </c>
      <c r="F142" s="1436" t="s">
        <v>2099</v>
      </c>
      <c r="G142" s="1001"/>
    </row>
    <row r="143" spans="1:7" ht="17.45" customHeight="1">
      <c r="A143" s="1439">
        <v>19</v>
      </c>
      <c r="B143" s="1001" t="s">
        <v>141</v>
      </c>
      <c r="C143" s="1638" t="s">
        <v>2116</v>
      </c>
      <c r="D143" s="1434" t="s">
        <v>1975</v>
      </c>
      <c r="E143" s="1443">
        <v>36621</v>
      </c>
      <c r="F143" s="1436" t="s">
        <v>2099</v>
      </c>
      <c r="G143" s="1001"/>
    </row>
    <row r="144" spans="1:7" ht="17.45" customHeight="1">
      <c r="A144" s="1432">
        <v>20</v>
      </c>
      <c r="B144" s="1001" t="s">
        <v>142</v>
      </c>
      <c r="C144" s="1638" t="s">
        <v>2117</v>
      </c>
      <c r="D144" s="1434" t="s">
        <v>1975</v>
      </c>
      <c r="E144" s="1443">
        <v>32091</v>
      </c>
      <c r="F144" s="1436" t="s">
        <v>2099</v>
      </c>
      <c r="G144" s="1001"/>
    </row>
    <row r="145" spans="1:7" ht="17.45" customHeight="1">
      <c r="A145" s="1439">
        <v>21</v>
      </c>
      <c r="B145" s="1001" t="s">
        <v>143</v>
      </c>
      <c r="C145" s="1638" t="s">
        <v>2118</v>
      </c>
      <c r="D145" s="1434" t="s">
        <v>1975</v>
      </c>
      <c r="E145" s="1443">
        <v>34952</v>
      </c>
      <c r="F145" s="1436" t="s">
        <v>2086</v>
      </c>
      <c r="G145" s="1001"/>
    </row>
    <row r="146" spans="1:7" ht="17.45" customHeight="1">
      <c r="A146" s="1432">
        <v>22</v>
      </c>
      <c r="B146" s="1001" t="s">
        <v>144</v>
      </c>
      <c r="C146" s="1638" t="s">
        <v>2119</v>
      </c>
      <c r="D146" s="1434" t="s">
        <v>1975</v>
      </c>
      <c r="E146" s="1443">
        <v>36684</v>
      </c>
      <c r="F146" s="1436" t="s">
        <v>2099</v>
      </c>
      <c r="G146" s="1001"/>
    </row>
    <row r="147" spans="1:7" ht="17.45" customHeight="1">
      <c r="A147" s="1439">
        <v>23</v>
      </c>
      <c r="B147" s="1001" t="s">
        <v>145</v>
      </c>
      <c r="C147" s="1638" t="s">
        <v>2120</v>
      </c>
      <c r="D147" s="1434" t="s">
        <v>1975</v>
      </c>
      <c r="E147" s="1443">
        <v>36924</v>
      </c>
      <c r="F147" s="1436" t="s">
        <v>2099</v>
      </c>
      <c r="G147" s="1001"/>
    </row>
    <row r="148" spans="1:7" ht="17.45" customHeight="1">
      <c r="A148" s="1432">
        <v>24</v>
      </c>
      <c r="B148" s="1001" t="s">
        <v>146</v>
      </c>
      <c r="C148" s="1638" t="s">
        <v>2121</v>
      </c>
      <c r="D148" s="1434" t="s">
        <v>1975</v>
      </c>
      <c r="E148" s="1443">
        <v>36443</v>
      </c>
      <c r="F148" s="1436" t="s">
        <v>2099</v>
      </c>
      <c r="G148" s="1001"/>
    </row>
    <row r="149" spans="1:7" ht="17.45" customHeight="1">
      <c r="A149" s="1439">
        <v>25</v>
      </c>
      <c r="B149" s="1001" t="s">
        <v>147</v>
      </c>
      <c r="C149" s="1638" t="s">
        <v>2122</v>
      </c>
      <c r="D149" s="1434" t="s">
        <v>1975</v>
      </c>
      <c r="E149" s="1443">
        <v>29406</v>
      </c>
      <c r="F149" s="1436" t="s">
        <v>2099</v>
      </c>
      <c r="G149" s="1001"/>
    </row>
    <row r="150" spans="1:7" ht="17.45" customHeight="1">
      <c r="A150" s="1432">
        <v>26</v>
      </c>
      <c r="B150" s="1001" t="s">
        <v>148</v>
      </c>
      <c r="C150" s="1638" t="s">
        <v>2123</v>
      </c>
      <c r="D150" s="1434" t="s">
        <v>1975</v>
      </c>
      <c r="E150" s="1443">
        <v>30837</v>
      </c>
      <c r="F150" s="1436" t="s">
        <v>1976</v>
      </c>
      <c r="G150" s="1001"/>
    </row>
    <row r="151" spans="1:7" ht="17.45" customHeight="1">
      <c r="A151" s="1439">
        <v>27</v>
      </c>
      <c r="B151" s="1001" t="s">
        <v>149</v>
      </c>
      <c r="C151" s="1638" t="s">
        <v>2124</v>
      </c>
      <c r="D151" s="1434" t="s">
        <v>1975</v>
      </c>
      <c r="E151" s="1443">
        <v>32694</v>
      </c>
      <c r="F151" s="1436" t="s">
        <v>2099</v>
      </c>
      <c r="G151" s="1001"/>
    </row>
    <row r="152" spans="1:7" ht="17.45" customHeight="1">
      <c r="A152" s="1432">
        <v>28</v>
      </c>
      <c r="B152" s="1001" t="s">
        <v>150</v>
      </c>
      <c r="C152" s="1638" t="s">
        <v>2125</v>
      </c>
      <c r="D152" s="1434" t="s">
        <v>1975</v>
      </c>
      <c r="E152" s="1443">
        <v>28191</v>
      </c>
      <c r="F152" s="1436" t="s">
        <v>2004</v>
      </c>
      <c r="G152" s="1001"/>
    </row>
    <row r="153" spans="1:7" ht="17.45" customHeight="1">
      <c r="A153" s="1439">
        <v>29</v>
      </c>
      <c r="B153" s="1001" t="s">
        <v>152</v>
      </c>
      <c r="C153" s="1638" t="s">
        <v>2126</v>
      </c>
      <c r="D153" s="1434" t="s">
        <v>1975</v>
      </c>
      <c r="E153" s="1443">
        <v>29567</v>
      </c>
      <c r="F153" s="1436" t="s">
        <v>2099</v>
      </c>
      <c r="G153" s="1001"/>
    </row>
    <row r="154" spans="1:7" ht="17.45" customHeight="1">
      <c r="A154" s="1432">
        <v>30</v>
      </c>
      <c r="B154" s="1001" t="s">
        <v>151</v>
      </c>
      <c r="C154" s="1638" t="s">
        <v>2127</v>
      </c>
      <c r="D154" s="1434" t="s">
        <v>1975</v>
      </c>
      <c r="E154" s="1443">
        <v>36744</v>
      </c>
      <c r="F154" s="1436" t="s">
        <v>2099</v>
      </c>
      <c r="G154" s="1001"/>
    </row>
    <row r="155" spans="1:7" ht="17.45" customHeight="1">
      <c r="A155" s="1439">
        <v>31</v>
      </c>
      <c r="B155" s="1001" t="s">
        <v>153</v>
      </c>
      <c r="C155" s="1638" t="s">
        <v>2128</v>
      </c>
      <c r="D155" s="1434" t="s">
        <v>1975</v>
      </c>
      <c r="E155" s="1443">
        <v>35490</v>
      </c>
      <c r="F155" s="1436" t="s">
        <v>1976</v>
      </c>
      <c r="G155" s="1001"/>
    </row>
    <row r="156" spans="1:7" ht="17.45" customHeight="1">
      <c r="A156" s="1432">
        <v>32</v>
      </c>
      <c r="B156" s="1001" t="s">
        <v>154</v>
      </c>
      <c r="C156" s="1638" t="s">
        <v>2129</v>
      </c>
      <c r="D156" s="1434" t="s">
        <v>1975</v>
      </c>
      <c r="E156" s="1443">
        <v>33155</v>
      </c>
      <c r="F156" s="1436" t="s">
        <v>2099</v>
      </c>
      <c r="G156" s="1001"/>
    </row>
    <row r="157" spans="1:7" ht="17.45" customHeight="1">
      <c r="A157" s="1439">
        <v>33</v>
      </c>
      <c r="B157" s="1001" t="s">
        <v>155</v>
      </c>
      <c r="C157" s="1638" t="s">
        <v>2130</v>
      </c>
      <c r="D157" s="1434" t="s">
        <v>1975</v>
      </c>
      <c r="E157" s="1443">
        <v>29409</v>
      </c>
      <c r="F157" s="1436" t="s">
        <v>2131</v>
      </c>
      <c r="G157" s="1001"/>
    </row>
    <row r="158" spans="1:7" ht="17.45" customHeight="1">
      <c r="A158" s="1432">
        <v>34</v>
      </c>
      <c r="B158" s="1001" t="s">
        <v>156</v>
      </c>
      <c r="C158" s="1638" t="s">
        <v>2132</v>
      </c>
      <c r="D158" s="1434" t="s">
        <v>1975</v>
      </c>
      <c r="E158" s="1443">
        <v>32333</v>
      </c>
      <c r="F158" s="1436" t="s">
        <v>2131</v>
      </c>
      <c r="G158" s="1001"/>
    </row>
    <row r="159" spans="1:7" ht="17.45" customHeight="1">
      <c r="A159" s="1439">
        <v>35</v>
      </c>
      <c r="B159" s="1001" t="s">
        <v>176</v>
      </c>
      <c r="C159" s="1638" t="s">
        <v>2133</v>
      </c>
      <c r="D159" s="1434" t="s">
        <v>1975</v>
      </c>
      <c r="E159" s="1443">
        <v>36954</v>
      </c>
      <c r="F159" s="1436" t="s">
        <v>2099</v>
      </c>
      <c r="G159" s="1001"/>
    </row>
    <row r="160" spans="1:7" ht="17.45" customHeight="1">
      <c r="A160" s="1432">
        <v>36</v>
      </c>
      <c r="B160" s="1001" t="s">
        <v>157</v>
      </c>
      <c r="C160" s="1638" t="s">
        <v>2134</v>
      </c>
      <c r="D160" s="1434" t="s">
        <v>1975</v>
      </c>
      <c r="E160" s="1443">
        <v>36226</v>
      </c>
      <c r="F160" s="1436" t="s">
        <v>1976</v>
      </c>
      <c r="G160" s="1001"/>
    </row>
    <row r="161" spans="1:7" ht="17.45" customHeight="1">
      <c r="A161" s="1439">
        <v>37</v>
      </c>
      <c r="B161" s="1001" t="s">
        <v>158</v>
      </c>
      <c r="C161" s="1638" t="s">
        <v>2135</v>
      </c>
      <c r="D161" s="1434" t="s">
        <v>1975</v>
      </c>
      <c r="E161" s="1443">
        <v>29108</v>
      </c>
      <c r="F161" s="1436" t="s">
        <v>1976</v>
      </c>
      <c r="G161" s="1001"/>
    </row>
    <row r="162" spans="1:7" ht="17.45" customHeight="1">
      <c r="A162" s="1432">
        <v>38</v>
      </c>
      <c r="B162" s="1001" t="s">
        <v>159</v>
      </c>
      <c r="C162" s="1638" t="s">
        <v>2136</v>
      </c>
      <c r="D162" s="1434" t="s">
        <v>1975</v>
      </c>
      <c r="E162" s="1443">
        <v>36685</v>
      </c>
      <c r="F162" s="1436" t="s">
        <v>2131</v>
      </c>
      <c r="G162" s="1001"/>
    </row>
    <row r="163" spans="1:7" ht="17.45" customHeight="1">
      <c r="A163" s="1439">
        <v>39</v>
      </c>
      <c r="B163" s="1001" t="s">
        <v>160</v>
      </c>
      <c r="C163" s="1638" t="s">
        <v>2137</v>
      </c>
      <c r="D163" s="1434" t="s">
        <v>1975</v>
      </c>
      <c r="E163" s="1443">
        <v>33027</v>
      </c>
      <c r="F163" s="1436" t="s">
        <v>2099</v>
      </c>
      <c r="G163" s="1001"/>
    </row>
    <row r="164" spans="1:7" ht="17.45" customHeight="1">
      <c r="A164" s="1432">
        <v>40</v>
      </c>
      <c r="B164" s="1001" t="s">
        <v>161</v>
      </c>
      <c r="C164" s="1638" t="s">
        <v>2138</v>
      </c>
      <c r="D164" s="1434" t="s">
        <v>1975</v>
      </c>
      <c r="E164" s="1443">
        <v>36938</v>
      </c>
      <c r="F164" s="1436" t="s">
        <v>1976</v>
      </c>
      <c r="G164" s="1001"/>
    </row>
    <row r="165" spans="1:7" ht="17.45" customHeight="1">
      <c r="A165" s="1439">
        <v>41</v>
      </c>
      <c r="B165" s="1001" t="s">
        <v>162</v>
      </c>
      <c r="C165" s="1638" t="s">
        <v>2139</v>
      </c>
      <c r="D165" s="1434" t="s">
        <v>1975</v>
      </c>
      <c r="E165" s="1443">
        <v>36924</v>
      </c>
      <c r="F165" s="1436" t="s">
        <v>2099</v>
      </c>
      <c r="G165" s="1001"/>
    </row>
    <row r="166" spans="1:7" ht="17.45" customHeight="1">
      <c r="A166" s="1432">
        <v>42</v>
      </c>
      <c r="B166" s="1001" t="s">
        <v>163</v>
      </c>
      <c r="C166" s="1638" t="s">
        <v>2140</v>
      </c>
      <c r="D166" s="1434" t="s">
        <v>1975</v>
      </c>
      <c r="E166" s="1443">
        <v>32782</v>
      </c>
      <c r="F166" s="1436" t="s">
        <v>2099</v>
      </c>
      <c r="G166" s="1001"/>
    </row>
    <row r="167" spans="1:7" ht="17.45" customHeight="1">
      <c r="A167" s="1439">
        <v>43</v>
      </c>
      <c r="B167" s="1001" t="s">
        <v>164</v>
      </c>
      <c r="C167" s="1638" t="s">
        <v>2141</v>
      </c>
      <c r="D167" s="1434" t="s">
        <v>1975</v>
      </c>
      <c r="E167" s="1443">
        <v>34314</v>
      </c>
      <c r="F167" s="1436" t="s">
        <v>1976</v>
      </c>
      <c r="G167" s="1001"/>
    </row>
    <row r="168" spans="1:7" ht="17.45" customHeight="1">
      <c r="A168" s="1432">
        <v>44</v>
      </c>
      <c r="B168" s="1001" t="s">
        <v>165</v>
      </c>
      <c r="C168" s="1638" t="s">
        <v>2142</v>
      </c>
      <c r="D168" s="1434" t="s">
        <v>1975</v>
      </c>
      <c r="E168" s="1443">
        <v>37109</v>
      </c>
      <c r="F168" s="1436" t="s">
        <v>2086</v>
      </c>
      <c r="G168" s="1001"/>
    </row>
    <row r="169" spans="1:7" ht="17.45" customHeight="1">
      <c r="A169" s="1439">
        <v>45</v>
      </c>
      <c r="B169" s="1001" t="s">
        <v>166</v>
      </c>
      <c r="C169" s="1638" t="s">
        <v>2143</v>
      </c>
      <c r="D169" s="1434" t="s">
        <v>1975</v>
      </c>
      <c r="E169" s="1443">
        <v>35775</v>
      </c>
      <c r="F169" s="1436" t="s">
        <v>2099</v>
      </c>
      <c r="G169" s="1001"/>
    </row>
    <row r="170" spans="1:7" ht="17.45" customHeight="1">
      <c r="A170" s="1432">
        <v>46</v>
      </c>
      <c r="B170" s="1001" t="s">
        <v>167</v>
      </c>
      <c r="C170" s="1638" t="s">
        <v>2144</v>
      </c>
      <c r="D170" s="1434" t="s">
        <v>1975</v>
      </c>
      <c r="E170" s="1443">
        <v>33000</v>
      </c>
      <c r="F170" s="1436" t="s">
        <v>1976</v>
      </c>
      <c r="G170" s="1001"/>
    </row>
    <row r="171" spans="1:7" ht="17.45" customHeight="1">
      <c r="A171" s="1439">
        <v>47</v>
      </c>
      <c r="B171" s="1001" t="s">
        <v>168</v>
      </c>
      <c r="C171" s="1638" t="s">
        <v>2145</v>
      </c>
      <c r="D171" s="1434" t="s">
        <v>1975</v>
      </c>
      <c r="E171" s="1443">
        <v>32204</v>
      </c>
      <c r="F171" s="1436" t="s">
        <v>1976</v>
      </c>
      <c r="G171" s="1001"/>
    </row>
    <row r="172" spans="1:7" ht="17.45" customHeight="1">
      <c r="A172" s="1432">
        <v>48</v>
      </c>
      <c r="B172" s="1001" t="s">
        <v>169</v>
      </c>
      <c r="C172" s="1638" t="s">
        <v>2146</v>
      </c>
      <c r="D172" s="1434" t="s">
        <v>1975</v>
      </c>
      <c r="E172" s="1443">
        <v>35864</v>
      </c>
      <c r="F172" s="1436" t="s">
        <v>2099</v>
      </c>
      <c r="G172" s="1001"/>
    </row>
    <row r="173" spans="1:7" ht="17.45" customHeight="1">
      <c r="A173" s="1439">
        <v>49</v>
      </c>
      <c r="B173" s="1001" t="s">
        <v>170</v>
      </c>
      <c r="C173" s="1638" t="s">
        <v>2147</v>
      </c>
      <c r="D173" s="1434" t="s">
        <v>1975</v>
      </c>
      <c r="E173" s="1443">
        <v>31844</v>
      </c>
      <c r="F173" s="1436" t="s">
        <v>2099</v>
      </c>
      <c r="G173" s="933"/>
    </row>
    <row r="174" spans="1:7" ht="17.45" customHeight="1">
      <c r="A174" s="1432">
        <v>50</v>
      </c>
      <c r="B174" s="1001" t="s">
        <v>171</v>
      </c>
      <c r="C174" s="1638" t="s">
        <v>2091</v>
      </c>
      <c r="D174" s="1434" t="s">
        <v>1975</v>
      </c>
      <c r="E174" s="1443">
        <v>38202</v>
      </c>
      <c r="F174" s="1436" t="s">
        <v>2099</v>
      </c>
      <c r="G174" s="1001"/>
    </row>
    <row r="175" spans="1:7" ht="17.45" customHeight="1">
      <c r="A175" s="1439">
        <v>51</v>
      </c>
      <c r="B175" s="1001" t="s">
        <v>172</v>
      </c>
      <c r="C175" s="1638" t="s">
        <v>2148</v>
      </c>
      <c r="D175" s="1434" t="s">
        <v>1975</v>
      </c>
      <c r="E175" s="1443">
        <v>34764</v>
      </c>
      <c r="F175" s="1436" t="s">
        <v>2131</v>
      </c>
      <c r="G175" s="1001"/>
    </row>
    <row r="176" spans="1:7" ht="17.45" customHeight="1">
      <c r="A176" s="1432">
        <v>52</v>
      </c>
      <c r="B176" s="1001" t="s">
        <v>173</v>
      </c>
      <c r="C176" s="1638" t="s">
        <v>2149</v>
      </c>
      <c r="D176" s="1434" t="s">
        <v>1975</v>
      </c>
      <c r="E176" s="1443">
        <v>33314</v>
      </c>
      <c r="F176" s="1436" t="s">
        <v>2099</v>
      </c>
      <c r="G176" s="1001"/>
    </row>
    <row r="177" spans="1:7" ht="17.45" customHeight="1">
      <c r="A177" s="1439">
        <v>53</v>
      </c>
      <c r="B177" s="1001" t="s">
        <v>174</v>
      </c>
      <c r="C177" s="1638" t="s">
        <v>2150</v>
      </c>
      <c r="D177" s="1434" t="s">
        <v>1975</v>
      </c>
      <c r="E177" s="1443">
        <v>37144</v>
      </c>
      <c r="F177" s="1436" t="s">
        <v>1976</v>
      </c>
      <c r="G177" s="1001"/>
    </row>
    <row r="178" spans="1:7" ht="17.45" customHeight="1">
      <c r="A178" s="1432">
        <v>54</v>
      </c>
      <c r="B178" s="1001" t="s">
        <v>175</v>
      </c>
      <c r="C178" s="1638" t="s">
        <v>2151</v>
      </c>
      <c r="D178" s="1434" t="s">
        <v>1975</v>
      </c>
      <c r="E178" s="1443">
        <v>34488</v>
      </c>
      <c r="F178" s="1436" t="s">
        <v>1976</v>
      </c>
      <c r="G178" s="1001"/>
    </row>
    <row r="179" spans="1:7" ht="17.45" customHeight="1">
      <c r="A179" s="1439">
        <v>55</v>
      </c>
      <c r="B179" s="1001" t="s">
        <v>177</v>
      </c>
      <c r="C179" s="1638" t="s">
        <v>2152</v>
      </c>
      <c r="D179" s="1434" t="s">
        <v>1975</v>
      </c>
      <c r="E179" s="1443">
        <v>28613</v>
      </c>
      <c r="F179" s="1436" t="s">
        <v>1976</v>
      </c>
      <c r="G179" s="1001"/>
    </row>
    <row r="180" spans="1:7" ht="17.45" customHeight="1">
      <c r="A180" s="1432">
        <v>56</v>
      </c>
      <c r="B180" s="1001" t="s">
        <v>178</v>
      </c>
      <c r="C180" s="1638" t="s">
        <v>2153</v>
      </c>
      <c r="D180" s="1434" t="s">
        <v>1975</v>
      </c>
      <c r="E180" s="1443">
        <v>34822</v>
      </c>
      <c r="F180" s="1436" t="s">
        <v>1976</v>
      </c>
      <c r="G180" s="1001"/>
    </row>
    <row r="181" spans="1:7" ht="17.45" customHeight="1">
      <c r="A181" s="1439">
        <v>57</v>
      </c>
      <c r="B181" s="1001" t="s">
        <v>179</v>
      </c>
      <c r="C181" s="1638" t="s">
        <v>2154</v>
      </c>
      <c r="D181" s="1434" t="s">
        <v>1975</v>
      </c>
      <c r="E181" s="1443">
        <v>36619</v>
      </c>
      <c r="F181" s="1436" t="s">
        <v>2023</v>
      </c>
      <c r="G181" s="1001"/>
    </row>
    <row r="182" spans="1:7" ht="17.45" customHeight="1">
      <c r="A182" s="1432">
        <v>58</v>
      </c>
      <c r="B182" s="1001" t="s">
        <v>180</v>
      </c>
      <c r="C182" s="1638" t="s">
        <v>2155</v>
      </c>
      <c r="D182" s="1434" t="s">
        <v>1975</v>
      </c>
      <c r="E182" s="1443">
        <v>37807</v>
      </c>
      <c r="F182" s="1436" t="s">
        <v>2099</v>
      </c>
      <c r="G182" s="1001"/>
    </row>
    <row r="183" spans="1:7" ht="17.45" customHeight="1">
      <c r="A183" s="1439">
        <v>59</v>
      </c>
      <c r="B183" s="1001" t="s">
        <v>181</v>
      </c>
      <c r="C183" s="1638" t="s">
        <v>2156</v>
      </c>
      <c r="D183" s="1434" t="s">
        <v>1975</v>
      </c>
      <c r="E183" s="1443">
        <v>36165</v>
      </c>
      <c r="F183" s="1436" t="s">
        <v>1976</v>
      </c>
      <c r="G183" s="1001"/>
    </row>
    <row r="184" spans="1:7" ht="17.45" customHeight="1">
      <c r="A184" s="1432">
        <v>60</v>
      </c>
      <c r="B184" s="1001" t="s">
        <v>182</v>
      </c>
      <c r="C184" s="1638" t="s">
        <v>2157</v>
      </c>
      <c r="D184" s="1434" t="s">
        <v>1975</v>
      </c>
      <c r="E184" s="1443">
        <v>36687</v>
      </c>
      <c r="F184" s="1436" t="s">
        <v>1976</v>
      </c>
      <c r="G184" s="1001"/>
    </row>
    <row r="185" spans="1:7" ht="17.45" customHeight="1">
      <c r="A185" s="1439">
        <v>61</v>
      </c>
      <c r="B185" s="1001" t="s">
        <v>183</v>
      </c>
      <c r="C185" s="1638" t="s">
        <v>2158</v>
      </c>
      <c r="D185" s="1434" t="s">
        <v>1975</v>
      </c>
      <c r="E185" s="1443">
        <v>35922</v>
      </c>
      <c r="F185" s="1436" t="s">
        <v>1976</v>
      </c>
      <c r="G185" s="1001"/>
    </row>
    <row r="186" spans="1:7" ht="17.45" customHeight="1">
      <c r="A186" s="1432">
        <v>62</v>
      </c>
      <c r="B186" s="1001" t="s">
        <v>184</v>
      </c>
      <c r="C186" s="1638" t="s">
        <v>2159</v>
      </c>
      <c r="D186" s="1434" t="s">
        <v>1975</v>
      </c>
      <c r="E186" s="1443">
        <v>35805</v>
      </c>
      <c r="F186" s="1436" t="s">
        <v>2131</v>
      </c>
      <c r="G186" s="1001"/>
    </row>
    <row r="187" spans="1:7" ht="17.45" customHeight="1">
      <c r="A187" s="1439">
        <v>63</v>
      </c>
      <c r="B187" s="1001" t="s">
        <v>185</v>
      </c>
      <c r="C187" s="1638" t="s">
        <v>2160</v>
      </c>
      <c r="D187" s="1434" t="s">
        <v>1975</v>
      </c>
      <c r="E187" s="1443">
        <v>33055</v>
      </c>
      <c r="F187" s="1436" t="s">
        <v>1976</v>
      </c>
      <c r="G187" s="1001"/>
    </row>
    <row r="188" spans="1:7" ht="17.45" customHeight="1">
      <c r="A188" s="1432">
        <v>64</v>
      </c>
      <c r="B188" s="1001" t="s">
        <v>186</v>
      </c>
      <c r="C188" s="1638" t="s">
        <v>2161</v>
      </c>
      <c r="D188" s="1434" t="s">
        <v>1975</v>
      </c>
      <c r="E188" s="1443">
        <v>36806</v>
      </c>
      <c r="F188" s="1436" t="s">
        <v>1976</v>
      </c>
      <c r="G188" s="1001"/>
    </row>
    <row r="189" spans="1:7" ht="17.45" customHeight="1">
      <c r="A189" s="1439">
        <v>65</v>
      </c>
      <c r="B189" s="1001" t="s">
        <v>187</v>
      </c>
      <c r="C189" s="1638" t="s">
        <v>2162</v>
      </c>
      <c r="D189" s="1434" t="s">
        <v>1975</v>
      </c>
      <c r="E189" s="1443">
        <v>37018</v>
      </c>
      <c r="F189" s="1436" t="s">
        <v>2099</v>
      </c>
      <c r="G189" s="1001"/>
    </row>
    <row r="190" spans="1:7" ht="17.45" customHeight="1">
      <c r="A190" s="1432">
        <v>66</v>
      </c>
      <c r="B190" s="1001" t="s">
        <v>188</v>
      </c>
      <c r="C190" s="1638" t="s">
        <v>2163</v>
      </c>
      <c r="D190" s="1434" t="s">
        <v>1975</v>
      </c>
      <c r="E190" s="1443">
        <v>31463</v>
      </c>
      <c r="F190" s="1436" t="s">
        <v>2099</v>
      </c>
      <c r="G190" s="1001"/>
    </row>
    <row r="191" spans="1:7" ht="17.45" customHeight="1">
      <c r="A191" s="1439">
        <v>67</v>
      </c>
      <c r="B191" s="1001" t="s">
        <v>190</v>
      </c>
      <c r="C191" s="1638" t="s">
        <v>2164</v>
      </c>
      <c r="D191" s="1434" t="s">
        <v>1975</v>
      </c>
      <c r="E191" s="1443">
        <v>33095</v>
      </c>
      <c r="F191" s="1436" t="s">
        <v>2004</v>
      </c>
      <c r="G191" s="1001"/>
    </row>
    <row r="192" spans="1:7" ht="17.45" customHeight="1">
      <c r="A192" s="1432">
        <v>68</v>
      </c>
      <c r="B192" s="1001" t="s">
        <v>126</v>
      </c>
      <c r="C192" s="1638" t="s">
        <v>2165</v>
      </c>
      <c r="D192" s="1434" t="s">
        <v>1975</v>
      </c>
      <c r="E192" s="1443">
        <v>32996</v>
      </c>
      <c r="F192" s="1436" t="s">
        <v>2004</v>
      </c>
      <c r="G192" s="1001"/>
    </row>
    <row r="193" spans="1:7" ht="17.45" customHeight="1">
      <c r="A193" s="1439">
        <v>69</v>
      </c>
      <c r="B193" s="1001" t="s">
        <v>504</v>
      </c>
      <c r="C193" s="1638" t="s">
        <v>2166</v>
      </c>
      <c r="D193" s="1434" t="s">
        <v>1975</v>
      </c>
      <c r="E193" s="1443">
        <v>34125</v>
      </c>
      <c r="F193" s="1436" t="s">
        <v>2004</v>
      </c>
      <c r="G193" s="1001"/>
    </row>
    <row r="194" spans="1:7" ht="17.45" customHeight="1">
      <c r="A194" s="1432">
        <v>70</v>
      </c>
      <c r="B194" s="1001" t="s">
        <v>193</v>
      </c>
      <c r="C194" s="1638" t="s">
        <v>2167</v>
      </c>
      <c r="D194" s="1434" t="s">
        <v>1975</v>
      </c>
      <c r="E194" s="1443">
        <v>32030</v>
      </c>
      <c r="F194" s="1436" t="s">
        <v>1976</v>
      </c>
      <c r="G194" s="1001"/>
    </row>
    <row r="195" spans="1:7" ht="17.45" customHeight="1">
      <c r="A195" s="1439">
        <v>71</v>
      </c>
      <c r="B195" s="1001" t="s">
        <v>194</v>
      </c>
      <c r="C195" s="1638" t="s">
        <v>2168</v>
      </c>
      <c r="D195" s="1434" t="s">
        <v>1975</v>
      </c>
      <c r="E195" s="1443">
        <v>36376</v>
      </c>
      <c r="F195" s="1436" t="s">
        <v>2004</v>
      </c>
      <c r="G195" s="1001"/>
    </row>
    <row r="196" spans="1:7" ht="17.45" customHeight="1">
      <c r="A196" s="1432">
        <v>72</v>
      </c>
      <c r="B196" s="1001" t="s">
        <v>195</v>
      </c>
      <c r="C196" s="1638" t="s">
        <v>2169</v>
      </c>
      <c r="D196" s="1434" t="s">
        <v>1975</v>
      </c>
      <c r="E196" s="1443">
        <v>34918</v>
      </c>
      <c r="F196" s="1436" t="s">
        <v>2086</v>
      </c>
      <c r="G196" s="1001"/>
    </row>
    <row r="197" spans="1:7" ht="17.45" customHeight="1">
      <c r="A197" s="1439">
        <v>73</v>
      </c>
      <c r="B197" s="1001" t="s">
        <v>196</v>
      </c>
      <c r="C197" s="1638" t="s">
        <v>2170</v>
      </c>
      <c r="D197" s="1434" t="s">
        <v>1975</v>
      </c>
      <c r="E197" s="1443">
        <v>35864</v>
      </c>
      <c r="F197" s="1436" t="s">
        <v>1976</v>
      </c>
      <c r="G197" s="1001"/>
    </row>
    <row r="198" spans="1:7" ht="17.45" customHeight="1">
      <c r="A198" s="1432">
        <v>74</v>
      </c>
      <c r="B198" s="1001" t="s">
        <v>197</v>
      </c>
      <c r="C198" s="1638" t="s">
        <v>2171</v>
      </c>
      <c r="D198" s="1434" t="s">
        <v>1975</v>
      </c>
      <c r="E198" s="1443">
        <v>36043</v>
      </c>
      <c r="F198" s="1436" t="s">
        <v>2099</v>
      </c>
      <c r="G198" s="1001"/>
    </row>
    <row r="199" spans="1:7" ht="17.45" customHeight="1">
      <c r="A199" s="1439">
        <v>75</v>
      </c>
      <c r="B199" s="1001" t="s">
        <v>198</v>
      </c>
      <c r="C199" s="1638" t="s">
        <v>2172</v>
      </c>
      <c r="D199" s="1434" t="s">
        <v>1975</v>
      </c>
      <c r="E199" s="1443">
        <v>31900</v>
      </c>
      <c r="F199" s="1436" t="s">
        <v>1976</v>
      </c>
      <c r="G199" s="1001"/>
    </row>
    <row r="200" spans="1:7" ht="17.45" customHeight="1">
      <c r="A200" s="1432">
        <v>76</v>
      </c>
      <c r="B200" s="1001" t="s">
        <v>199</v>
      </c>
      <c r="C200" s="1638" t="s">
        <v>2173</v>
      </c>
      <c r="D200" s="1434" t="s">
        <v>1975</v>
      </c>
      <c r="E200" s="1443">
        <v>29105</v>
      </c>
      <c r="F200" s="1436" t="s">
        <v>2099</v>
      </c>
      <c r="G200" s="1001"/>
    </row>
    <row r="201" spans="1:7" ht="17.45" customHeight="1">
      <c r="A201" s="1439">
        <v>77</v>
      </c>
      <c r="B201" s="1001" t="s">
        <v>200</v>
      </c>
      <c r="C201" s="1638" t="s">
        <v>2174</v>
      </c>
      <c r="D201" s="1434" t="s">
        <v>1975</v>
      </c>
      <c r="E201" s="1443">
        <v>37634</v>
      </c>
      <c r="F201" s="1436" t="s">
        <v>2099</v>
      </c>
      <c r="G201" s="1001"/>
    </row>
    <row r="202" spans="1:7" ht="17.45" customHeight="1">
      <c r="A202" s="1432">
        <v>78</v>
      </c>
      <c r="B202" s="1001" t="s">
        <v>201</v>
      </c>
      <c r="C202" s="1638" t="s">
        <v>2175</v>
      </c>
      <c r="D202" s="1434" t="s">
        <v>1975</v>
      </c>
      <c r="E202" s="1443">
        <v>32843</v>
      </c>
      <c r="F202" s="1436" t="s">
        <v>2086</v>
      </c>
      <c r="G202" s="1001"/>
    </row>
    <row r="203" spans="1:7" ht="17.45" customHeight="1">
      <c r="A203" s="1439">
        <v>79</v>
      </c>
      <c r="B203" s="1001" t="s">
        <v>202</v>
      </c>
      <c r="C203" s="1638" t="s">
        <v>2176</v>
      </c>
      <c r="D203" s="1434" t="s">
        <v>1975</v>
      </c>
      <c r="E203" s="1443">
        <v>28978</v>
      </c>
      <c r="F203" s="1436" t="s">
        <v>1976</v>
      </c>
      <c r="G203" s="1001"/>
    </row>
    <row r="204" spans="1:7" ht="17.45" customHeight="1">
      <c r="A204" s="1432">
        <v>80</v>
      </c>
      <c r="B204" s="1001" t="s">
        <v>203</v>
      </c>
      <c r="C204" s="1638" t="s">
        <v>2177</v>
      </c>
      <c r="D204" s="1434" t="s">
        <v>1975</v>
      </c>
      <c r="E204" s="1443">
        <v>34125</v>
      </c>
      <c r="F204" s="1436" t="s">
        <v>1976</v>
      </c>
      <c r="G204" s="1001"/>
    </row>
    <row r="205" spans="1:7" ht="17.45" customHeight="1">
      <c r="A205" s="1439">
        <v>81</v>
      </c>
      <c r="B205" s="1001" t="s">
        <v>204</v>
      </c>
      <c r="C205" s="1638" t="s">
        <v>2178</v>
      </c>
      <c r="D205" s="1434" t="s">
        <v>1975</v>
      </c>
      <c r="E205" s="1443">
        <v>32301</v>
      </c>
      <c r="F205" s="1436" t="s">
        <v>2023</v>
      </c>
      <c r="G205" s="1001"/>
    </row>
    <row r="206" spans="1:7" ht="17.45" customHeight="1">
      <c r="A206" s="1432">
        <v>82</v>
      </c>
      <c r="B206" s="1001" t="s">
        <v>205</v>
      </c>
      <c r="C206" s="1638" t="s">
        <v>2179</v>
      </c>
      <c r="D206" s="1434" t="s">
        <v>1975</v>
      </c>
      <c r="E206" s="1443">
        <v>31963</v>
      </c>
      <c r="F206" s="1436" t="s">
        <v>2023</v>
      </c>
      <c r="G206" s="1001"/>
    </row>
    <row r="207" spans="1:7" s="157" customFormat="1" ht="17.45" customHeight="1" outlineLevel="1">
      <c r="A207" s="1426" t="s">
        <v>522</v>
      </c>
      <c r="B207" s="1427"/>
      <c r="C207" s="1439"/>
      <c r="D207" s="1429"/>
      <c r="E207" s="1443"/>
      <c r="F207" s="1431"/>
      <c r="G207" s="1431"/>
    </row>
    <row r="208" spans="1:7" ht="17.45" customHeight="1">
      <c r="A208" s="1432">
        <v>1</v>
      </c>
      <c r="B208" s="1001" t="s">
        <v>206</v>
      </c>
      <c r="C208" s="1636" t="s">
        <v>2180</v>
      </c>
      <c r="D208" s="1434" t="s">
        <v>1982</v>
      </c>
      <c r="E208" s="1443">
        <v>37664</v>
      </c>
      <c r="F208" s="1001" t="s">
        <v>2181</v>
      </c>
      <c r="G208" s="1001"/>
    </row>
    <row r="209" spans="1:7" ht="17.45" customHeight="1">
      <c r="A209" s="1432">
        <v>2</v>
      </c>
      <c r="B209" s="1001" t="s">
        <v>207</v>
      </c>
      <c r="C209" s="1636" t="s">
        <v>2182</v>
      </c>
      <c r="D209" s="1434" t="s">
        <v>1975</v>
      </c>
      <c r="E209" s="1443">
        <v>29678</v>
      </c>
      <c r="F209" s="1001" t="s">
        <v>2131</v>
      </c>
      <c r="G209" s="1001"/>
    </row>
    <row r="210" spans="1:7" ht="17.45" customHeight="1">
      <c r="A210" s="1432">
        <v>3</v>
      </c>
      <c r="B210" s="1001" t="s">
        <v>208</v>
      </c>
      <c r="C210" s="1636" t="s">
        <v>2183</v>
      </c>
      <c r="D210" s="1434" t="s">
        <v>1975</v>
      </c>
      <c r="E210" s="1443">
        <v>38068</v>
      </c>
      <c r="F210" s="1001" t="s">
        <v>2131</v>
      </c>
      <c r="G210" s="1001"/>
    </row>
    <row r="211" spans="1:7" ht="17.45" customHeight="1">
      <c r="A211" s="1432">
        <v>4</v>
      </c>
      <c r="B211" s="1001" t="s">
        <v>209</v>
      </c>
      <c r="C211" s="1636" t="s">
        <v>2184</v>
      </c>
      <c r="D211" s="1434" t="s">
        <v>1975</v>
      </c>
      <c r="E211" s="1443">
        <v>34861</v>
      </c>
      <c r="F211" s="1001" t="s">
        <v>2181</v>
      </c>
      <c r="G211" s="1001"/>
    </row>
    <row r="212" spans="1:7" ht="17.45" customHeight="1">
      <c r="A212" s="1432">
        <v>5</v>
      </c>
      <c r="B212" s="1001" t="s">
        <v>210</v>
      </c>
      <c r="C212" s="1636" t="s">
        <v>2185</v>
      </c>
      <c r="D212" s="1434" t="s">
        <v>1975</v>
      </c>
      <c r="E212" s="1443">
        <v>32784</v>
      </c>
      <c r="F212" s="1001" t="s">
        <v>2181</v>
      </c>
      <c r="G212" s="1001"/>
    </row>
    <row r="213" spans="1:7" ht="17.45" customHeight="1">
      <c r="A213" s="1432">
        <v>6</v>
      </c>
      <c r="B213" s="1001" t="s">
        <v>211</v>
      </c>
      <c r="C213" s="1636" t="s">
        <v>2186</v>
      </c>
      <c r="D213" s="1434" t="s">
        <v>1982</v>
      </c>
      <c r="E213" s="1443">
        <v>32605</v>
      </c>
      <c r="F213" s="1001" t="s">
        <v>2181</v>
      </c>
      <c r="G213" s="1001"/>
    </row>
    <row r="214" spans="1:7" ht="17.45" customHeight="1">
      <c r="A214" s="1432">
        <v>7</v>
      </c>
      <c r="B214" s="1001" t="s">
        <v>212</v>
      </c>
      <c r="C214" s="1636" t="s">
        <v>2187</v>
      </c>
      <c r="D214" s="1434" t="s">
        <v>1975</v>
      </c>
      <c r="E214" s="1443">
        <v>31190</v>
      </c>
      <c r="F214" s="1001" t="s">
        <v>2181</v>
      </c>
      <c r="G214" s="1001"/>
    </row>
    <row r="215" spans="1:7" ht="17.45" customHeight="1">
      <c r="A215" s="1432">
        <v>8</v>
      </c>
      <c r="B215" s="1001" t="s">
        <v>213</v>
      </c>
      <c r="C215" s="1636" t="s">
        <v>2188</v>
      </c>
      <c r="D215" s="1434" t="s">
        <v>1975</v>
      </c>
      <c r="E215" s="1443">
        <v>37784</v>
      </c>
      <c r="F215" s="1001" t="s">
        <v>2181</v>
      </c>
      <c r="G215" s="1001"/>
    </row>
    <row r="216" spans="1:7" ht="17.45" customHeight="1">
      <c r="A216" s="1432">
        <v>9</v>
      </c>
      <c r="B216" s="1001" t="s">
        <v>214</v>
      </c>
      <c r="C216" s="1636" t="s">
        <v>2189</v>
      </c>
      <c r="D216" s="1434" t="s">
        <v>1975</v>
      </c>
      <c r="E216" s="1443">
        <v>37114</v>
      </c>
      <c r="F216" s="1001" t="s">
        <v>2190</v>
      </c>
      <c r="G216" s="1001"/>
    </row>
    <row r="217" spans="1:7" ht="17.45" customHeight="1">
      <c r="A217" s="1432">
        <v>10</v>
      </c>
      <c r="B217" s="1001" t="s">
        <v>215</v>
      </c>
      <c r="C217" s="1636" t="s">
        <v>2191</v>
      </c>
      <c r="D217" s="1434" t="s">
        <v>1975</v>
      </c>
      <c r="E217" s="1443">
        <v>30361</v>
      </c>
      <c r="F217" s="1001" t="s">
        <v>2181</v>
      </c>
      <c r="G217" s="1001"/>
    </row>
    <row r="218" spans="1:7" ht="17.45" customHeight="1">
      <c r="A218" s="1432">
        <v>11</v>
      </c>
      <c r="B218" s="1001" t="s">
        <v>216</v>
      </c>
      <c r="C218" s="1636" t="s">
        <v>2192</v>
      </c>
      <c r="D218" s="1434" t="s">
        <v>1982</v>
      </c>
      <c r="E218" s="1443">
        <v>38180</v>
      </c>
      <c r="F218" s="1001" t="s">
        <v>2181</v>
      </c>
      <c r="G218" s="1001"/>
    </row>
    <row r="219" spans="1:7" ht="17.45" customHeight="1">
      <c r="A219" s="1432">
        <v>12</v>
      </c>
      <c r="B219" s="1001" t="s">
        <v>217</v>
      </c>
      <c r="C219" s="1636" t="s">
        <v>2193</v>
      </c>
      <c r="D219" s="1434" t="s">
        <v>1975</v>
      </c>
      <c r="E219" s="1443">
        <v>37104</v>
      </c>
      <c r="F219" s="1001" t="s">
        <v>2181</v>
      </c>
      <c r="G219" s="1001"/>
    </row>
    <row r="220" spans="1:7" ht="17.45" customHeight="1">
      <c r="A220" s="1432">
        <v>13</v>
      </c>
      <c r="B220" s="1001" t="s">
        <v>218</v>
      </c>
      <c r="C220" s="1636" t="s">
        <v>2194</v>
      </c>
      <c r="D220" s="1434" t="s">
        <v>1975</v>
      </c>
      <c r="E220" s="1443">
        <v>36070</v>
      </c>
      <c r="F220" s="1001" t="s">
        <v>2181</v>
      </c>
      <c r="G220" s="1001"/>
    </row>
    <row r="221" spans="1:7" ht="17.45" customHeight="1">
      <c r="A221" s="1432">
        <v>14</v>
      </c>
      <c r="B221" s="1001" t="s">
        <v>219</v>
      </c>
      <c r="C221" s="1636" t="s">
        <v>2195</v>
      </c>
      <c r="D221" s="1434" t="s">
        <v>1975</v>
      </c>
      <c r="E221" s="1443">
        <v>38324</v>
      </c>
      <c r="F221" s="1001" t="s">
        <v>2181</v>
      </c>
      <c r="G221" s="1001"/>
    </row>
    <row r="222" spans="1:7" ht="17.45" customHeight="1">
      <c r="A222" s="1432">
        <v>15</v>
      </c>
      <c r="B222" s="1001" t="s">
        <v>220</v>
      </c>
      <c r="C222" s="1636" t="s">
        <v>2196</v>
      </c>
      <c r="D222" s="1434" t="s">
        <v>1975</v>
      </c>
      <c r="E222" s="1443">
        <v>38535</v>
      </c>
      <c r="F222" s="1001" t="s">
        <v>2181</v>
      </c>
      <c r="G222" s="1001"/>
    </row>
    <row r="223" spans="1:7" ht="17.45" customHeight="1">
      <c r="A223" s="1432">
        <v>16</v>
      </c>
      <c r="B223" s="1001" t="s">
        <v>221</v>
      </c>
      <c r="C223" s="1636" t="s">
        <v>2197</v>
      </c>
      <c r="D223" s="1434" t="s">
        <v>1975</v>
      </c>
      <c r="E223" s="1443">
        <v>37483</v>
      </c>
      <c r="F223" s="1001" t="s">
        <v>2181</v>
      </c>
      <c r="G223" s="1001"/>
    </row>
    <row r="224" spans="1:7" ht="17.45" customHeight="1">
      <c r="A224" s="1432">
        <v>17</v>
      </c>
      <c r="B224" s="1001" t="s">
        <v>222</v>
      </c>
      <c r="C224" s="1636" t="s">
        <v>2198</v>
      </c>
      <c r="D224" s="1434" t="s">
        <v>1975</v>
      </c>
      <c r="E224" s="1443">
        <v>31175</v>
      </c>
      <c r="F224" s="1001" t="s">
        <v>2181</v>
      </c>
      <c r="G224" s="1001"/>
    </row>
    <row r="225" spans="1:7" ht="17.45" customHeight="1">
      <c r="A225" s="1432">
        <v>18</v>
      </c>
      <c r="B225" s="1001" t="s">
        <v>223</v>
      </c>
      <c r="C225" s="1636" t="s">
        <v>2199</v>
      </c>
      <c r="D225" s="1434" t="s">
        <v>1975</v>
      </c>
      <c r="E225" s="1443">
        <v>37022</v>
      </c>
      <c r="F225" s="1001" t="s">
        <v>2181</v>
      </c>
      <c r="G225" s="1001"/>
    </row>
    <row r="226" spans="1:7" ht="17.45" customHeight="1">
      <c r="A226" s="1432">
        <v>19</v>
      </c>
      <c r="B226" s="1001" t="s">
        <v>224</v>
      </c>
      <c r="C226" s="1636" t="s">
        <v>2200</v>
      </c>
      <c r="D226" s="1434" t="s">
        <v>1975</v>
      </c>
      <c r="E226" s="1443">
        <v>33943</v>
      </c>
      <c r="F226" s="1001" t="s">
        <v>2181</v>
      </c>
      <c r="G226" s="1001"/>
    </row>
    <row r="227" spans="1:7" ht="17.45" customHeight="1">
      <c r="A227" s="1432">
        <v>20</v>
      </c>
      <c r="B227" s="1001" t="s">
        <v>225</v>
      </c>
      <c r="C227" s="1636" t="s">
        <v>2201</v>
      </c>
      <c r="D227" s="1434" t="s">
        <v>1975</v>
      </c>
      <c r="E227" s="1443">
        <v>38570</v>
      </c>
      <c r="F227" s="1001" t="s">
        <v>2131</v>
      </c>
      <c r="G227" s="1001"/>
    </row>
    <row r="228" spans="1:7" ht="17.45" customHeight="1">
      <c r="A228" s="1432">
        <v>21</v>
      </c>
      <c r="B228" s="1001" t="s">
        <v>226</v>
      </c>
      <c r="C228" s="1636" t="s">
        <v>2202</v>
      </c>
      <c r="D228" s="1434" t="s">
        <v>1975</v>
      </c>
      <c r="E228" s="1443">
        <v>35163</v>
      </c>
      <c r="F228" s="1001" t="s">
        <v>2181</v>
      </c>
      <c r="G228" s="1001"/>
    </row>
    <row r="229" spans="1:7" ht="17.45" customHeight="1">
      <c r="A229" s="1432">
        <v>22</v>
      </c>
      <c r="B229" s="1001" t="s">
        <v>227</v>
      </c>
      <c r="C229" s="1636" t="s">
        <v>2203</v>
      </c>
      <c r="D229" s="1434" t="s">
        <v>1982</v>
      </c>
      <c r="E229" s="1443">
        <v>35924</v>
      </c>
      <c r="F229" s="1001" t="s">
        <v>2131</v>
      </c>
      <c r="G229" s="1001"/>
    </row>
    <row r="230" spans="1:7" ht="17.45" customHeight="1">
      <c r="A230" s="1432">
        <v>23</v>
      </c>
      <c r="B230" s="1001" t="s">
        <v>228</v>
      </c>
      <c r="C230" s="1636" t="s">
        <v>2204</v>
      </c>
      <c r="D230" s="1434" t="s">
        <v>1975</v>
      </c>
      <c r="E230" s="1443">
        <v>31869</v>
      </c>
      <c r="F230" s="1001" t="s">
        <v>2181</v>
      </c>
      <c r="G230" s="1001"/>
    </row>
    <row r="231" spans="1:7" ht="17.45" customHeight="1">
      <c r="A231" s="1432">
        <v>24</v>
      </c>
      <c r="B231" s="1001" t="s">
        <v>229</v>
      </c>
      <c r="C231" s="1636" t="s">
        <v>2205</v>
      </c>
      <c r="D231" s="1434" t="s">
        <v>1975</v>
      </c>
      <c r="E231" s="1443">
        <v>36961</v>
      </c>
      <c r="F231" s="1001" t="s">
        <v>2181</v>
      </c>
      <c r="G231" s="1001"/>
    </row>
    <row r="232" spans="1:7" ht="17.45" customHeight="1">
      <c r="A232" s="1432">
        <v>25</v>
      </c>
      <c r="B232" s="1001" t="s">
        <v>230</v>
      </c>
      <c r="C232" s="1636" t="s">
        <v>2206</v>
      </c>
      <c r="D232" s="1434" t="s">
        <v>1975</v>
      </c>
      <c r="E232" s="1443">
        <v>36687</v>
      </c>
      <c r="F232" s="1001" t="s">
        <v>2207</v>
      </c>
      <c r="G232" s="1001"/>
    </row>
    <row r="233" spans="1:7" ht="17.45" customHeight="1">
      <c r="A233" s="1432">
        <v>26</v>
      </c>
      <c r="B233" s="1001" t="s">
        <v>231</v>
      </c>
      <c r="C233" s="1636" t="s">
        <v>2208</v>
      </c>
      <c r="D233" s="1434" t="s">
        <v>1975</v>
      </c>
      <c r="E233" s="1443">
        <v>37599</v>
      </c>
      <c r="F233" s="1001" t="s">
        <v>2131</v>
      </c>
      <c r="G233" s="1001"/>
    </row>
    <row r="234" spans="1:7" ht="17.45" customHeight="1">
      <c r="A234" s="1432">
        <v>27</v>
      </c>
      <c r="B234" s="1001" t="s">
        <v>232</v>
      </c>
      <c r="C234" s="1636" t="s">
        <v>2209</v>
      </c>
      <c r="D234" s="1434" t="s">
        <v>1975</v>
      </c>
      <c r="E234" s="1443">
        <v>31261</v>
      </c>
      <c r="F234" s="1001" t="s">
        <v>2181</v>
      </c>
      <c r="G234" s="1001"/>
    </row>
    <row r="235" spans="1:7" ht="17.45" customHeight="1">
      <c r="A235" s="1432">
        <v>28</v>
      </c>
      <c r="B235" s="1001" t="s">
        <v>233</v>
      </c>
      <c r="C235" s="1636" t="s">
        <v>2210</v>
      </c>
      <c r="D235" s="1434" t="s">
        <v>1975</v>
      </c>
      <c r="E235" s="1443">
        <v>32249</v>
      </c>
      <c r="F235" s="1001" t="s">
        <v>2207</v>
      </c>
      <c r="G235" s="1001"/>
    </row>
    <row r="236" spans="1:7" ht="17.45" customHeight="1">
      <c r="A236" s="1432">
        <v>29</v>
      </c>
      <c r="B236" s="1001" t="s">
        <v>234</v>
      </c>
      <c r="C236" s="1636" t="s">
        <v>2211</v>
      </c>
      <c r="D236" s="1434" t="s">
        <v>1982</v>
      </c>
      <c r="E236" s="1443">
        <v>37787</v>
      </c>
      <c r="F236" s="1001" t="s">
        <v>2181</v>
      </c>
      <c r="G236" s="1001"/>
    </row>
    <row r="237" spans="1:7" ht="17.45" customHeight="1">
      <c r="A237" s="1432">
        <v>30</v>
      </c>
      <c r="B237" s="1001" t="s">
        <v>235</v>
      </c>
      <c r="C237" s="1636" t="s">
        <v>2212</v>
      </c>
      <c r="D237" s="1434" t="s">
        <v>1975</v>
      </c>
      <c r="E237" s="1443">
        <v>36374</v>
      </c>
      <c r="F237" s="1001" t="s">
        <v>2213</v>
      </c>
      <c r="G237" s="1001"/>
    </row>
    <row r="238" spans="1:7" ht="17.45" customHeight="1">
      <c r="A238" s="1432">
        <v>31</v>
      </c>
      <c r="B238" s="1001" t="s">
        <v>236</v>
      </c>
      <c r="C238" s="1636" t="s">
        <v>2214</v>
      </c>
      <c r="D238" s="1434" t="s">
        <v>1975</v>
      </c>
      <c r="E238" s="1443">
        <v>39009</v>
      </c>
      <c r="F238" s="1001" t="s">
        <v>2181</v>
      </c>
      <c r="G238" s="1001"/>
    </row>
    <row r="239" spans="1:7" ht="17.45" customHeight="1">
      <c r="A239" s="1432">
        <v>32</v>
      </c>
      <c r="B239" s="1001" t="s">
        <v>237</v>
      </c>
      <c r="C239" s="1636" t="s">
        <v>2215</v>
      </c>
      <c r="D239" s="1434" t="s">
        <v>1982</v>
      </c>
      <c r="E239" s="1443">
        <v>37117</v>
      </c>
      <c r="F239" s="1001" t="s">
        <v>2181</v>
      </c>
      <c r="G239" s="1001"/>
    </row>
    <row r="240" spans="1:7" ht="17.45" customHeight="1">
      <c r="A240" s="1432">
        <v>33</v>
      </c>
      <c r="B240" s="1001" t="s">
        <v>238</v>
      </c>
      <c r="C240" s="1636" t="s">
        <v>2216</v>
      </c>
      <c r="D240" s="1434" t="s">
        <v>1975</v>
      </c>
      <c r="E240" s="1443">
        <v>37870</v>
      </c>
      <c r="F240" s="1001" t="s">
        <v>2213</v>
      </c>
      <c r="G240" s="1001"/>
    </row>
    <row r="241" spans="1:7" ht="17.45" customHeight="1">
      <c r="A241" s="1432">
        <v>34</v>
      </c>
      <c r="B241" s="1001" t="s">
        <v>239</v>
      </c>
      <c r="C241" s="1636" t="s">
        <v>2217</v>
      </c>
      <c r="D241" s="1434" t="s">
        <v>1975</v>
      </c>
      <c r="E241" s="1443">
        <v>38474</v>
      </c>
      <c r="F241" s="1001" t="s">
        <v>2181</v>
      </c>
      <c r="G241" s="1001"/>
    </row>
    <row r="242" spans="1:7" ht="17.45" customHeight="1">
      <c r="A242" s="1432">
        <v>35</v>
      </c>
      <c r="B242" s="1001" t="s">
        <v>240</v>
      </c>
      <c r="C242" s="1636" t="s">
        <v>2218</v>
      </c>
      <c r="D242" s="1434" t="s">
        <v>1975</v>
      </c>
      <c r="E242" s="1443">
        <v>32463</v>
      </c>
      <c r="F242" s="1001" t="s">
        <v>2181</v>
      </c>
      <c r="G242" s="1001"/>
    </row>
    <row r="243" spans="1:7" ht="17.45" customHeight="1">
      <c r="A243" s="1432">
        <v>36</v>
      </c>
      <c r="B243" s="1001" t="s">
        <v>241</v>
      </c>
      <c r="C243" s="1636" t="s">
        <v>2219</v>
      </c>
      <c r="D243" s="1434" t="s">
        <v>1982</v>
      </c>
      <c r="E243" s="1443">
        <v>32732</v>
      </c>
      <c r="F243" s="1001" t="s">
        <v>2181</v>
      </c>
      <c r="G243" s="1001"/>
    </row>
    <row r="244" spans="1:7" ht="17.45" customHeight="1">
      <c r="A244" s="1432">
        <v>37</v>
      </c>
      <c r="B244" s="1001" t="s">
        <v>242</v>
      </c>
      <c r="C244" s="1636" t="s">
        <v>2220</v>
      </c>
      <c r="D244" s="1434" t="s">
        <v>1982</v>
      </c>
      <c r="E244" s="1443">
        <v>38022</v>
      </c>
      <c r="F244" s="1001" t="s">
        <v>2181</v>
      </c>
      <c r="G244" s="1001"/>
    </row>
    <row r="245" spans="1:7" ht="17.45" customHeight="1">
      <c r="A245" s="1432">
        <v>38</v>
      </c>
      <c r="B245" s="1001" t="s">
        <v>243</v>
      </c>
      <c r="C245" s="1636" t="s">
        <v>2221</v>
      </c>
      <c r="D245" s="1434" t="s">
        <v>1975</v>
      </c>
      <c r="E245" s="1443">
        <v>38601</v>
      </c>
      <c r="F245" s="1001" t="s">
        <v>2181</v>
      </c>
      <c r="G245" s="1001"/>
    </row>
    <row r="246" spans="1:7" ht="17.45" customHeight="1">
      <c r="A246" s="1432">
        <v>39</v>
      </c>
      <c r="B246" s="1001" t="s">
        <v>244</v>
      </c>
      <c r="C246" s="1636" t="s">
        <v>2222</v>
      </c>
      <c r="D246" s="1434" t="s">
        <v>1975</v>
      </c>
      <c r="E246" s="1443">
        <v>36237</v>
      </c>
      <c r="F246" s="1001" t="s">
        <v>2207</v>
      </c>
      <c r="G246" s="1001"/>
    </row>
    <row r="247" spans="1:7" ht="17.45" customHeight="1">
      <c r="A247" s="1432">
        <v>40</v>
      </c>
      <c r="B247" s="1001" t="s">
        <v>245</v>
      </c>
      <c r="C247" s="1636" t="s">
        <v>2223</v>
      </c>
      <c r="D247" s="1434" t="s">
        <v>1975</v>
      </c>
      <c r="E247" s="1443">
        <v>37057</v>
      </c>
      <c r="F247" s="1001" t="s">
        <v>2190</v>
      </c>
      <c r="G247" s="1001"/>
    </row>
    <row r="248" spans="1:7" ht="17.45" customHeight="1">
      <c r="A248" s="1432">
        <v>41</v>
      </c>
      <c r="B248" s="1001" t="s">
        <v>246</v>
      </c>
      <c r="C248" s="1636" t="s">
        <v>2224</v>
      </c>
      <c r="D248" s="1434" t="s">
        <v>1975</v>
      </c>
      <c r="E248" s="1443">
        <v>37450</v>
      </c>
      <c r="F248" s="1001" t="s">
        <v>2181</v>
      </c>
      <c r="G248" s="1001"/>
    </row>
    <row r="249" spans="1:7" ht="17.45" customHeight="1">
      <c r="A249" s="1432">
        <v>42</v>
      </c>
      <c r="B249" s="1001" t="s">
        <v>247</v>
      </c>
      <c r="C249" s="1636" t="s">
        <v>2225</v>
      </c>
      <c r="D249" s="1434" t="s">
        <v>1975</v>
      </c>
      <c r="E249" s="1443">
        <v>35832</v>
      </c>
      <c r="F249" s="1001" t="s">
        <v>2131</v>
      </c>
      <c r="G249" s="1001"/>
    </row>
    <row r="250" spans="1:7" ht="17.45" customHeight="1">
      <c r="A250" s="1432">
        <v>43</v>
      </c>
      <c r="B250" s="1001" t="s">
        <v>248</v>
      </c>
      <c r="C250" s="1636" t="s">
        <v>2226</v>
      </c>
      <c r="D250" s="1434" t="s">
        <v>1982</v>
      </c>
      <c r="E250" s="1443">
        <v>37744</v>
      </c>
      <c r="F250" s="1001" t="s">
        <v>2181</v>
      </c>
      <c r="G250" s="1001"/>
    </row>
    <row r="251" spans="1:7" ht="17.45" customHeight="1">
      <c r="A251" s="1432">
        <v>44</v>
      </c>
      <c r="B251" s="1001" t="s">
        <v>249</v>
      </c>
      <c r="C251" s="1636" t="s">
        <v>2227</v>
      </c>
      <c r="D251" s="1434" t="s">
        <v>1975</v>
      </c>
      <c r="E251" s="1443">
        <v>35873</v>
      </c>
      <c r="F251" s="1001" t="s">
        <v>2181</v>
      </c>
      <c r="G251" s="1001"/>
    </row>
    <row r="252" spans="1:7" ht="17.45" customHeight="1">
      <c r="A252" s="1432">
        <v>45</v>
      </c>
      <c r="B252" s="1001" t="s">
        <v>250</v>
      </c>
      <c r="C252" s="1636" t="s">
        <v>2228</v>
      </c>
      <c r="D252" s="1434" t="s">
        <v>1975</v>
      </c>
      <c r="E252" s="1443">
        <v>33797</v>
      </c>
      <c r="F252" s="1001" t="s">
        <v>2181</v>
      </c>
      <c r="G252" s="1001"/>
    </row>
    <row r="253" spans="1:7" ht="17.45" customHeight="1">
      <c r="A253" s="1432">
        <v>46</v>
      </c>
      <c r="B253" s="1001" t="s">
        <v>251</v>
      </c>
      <c r="C253" s="1636" t="s">
        <v>2229</v>
      </c>
      <c r="D253" s="1434" t="s">
        <v>1975</v>
      </c>
      <c r="E253" s="1443">
        <v>32482</v>
      </c>
      <c r="F253" s="1001" t="s">
        <v>2181</v>
      </c>
      <c r="G253" s="1001"/>
    </row>
    <row r="254" spans="1:7" ht="17.45" customHeight="1">
      <c r="A254" s="1432">
        <v>47</v>
      </c>
      <c r="B254" s="1001" t="s">
        <v>252</v>
      </c>
      <c r="C254" s="1636" t="s">
        <v>2230</v>
      </c>
      <c r="D254" s="1434" t="s">
        <v>1975</v>
      </c>
      <c r="E254" s="1443">
        <v>35132</v>
      </c>
      <c r="F254" s="1001" t="s">
        <v>2181</v>
      </c>
      <c r="G254" s="1001"/>
    </row>
    <row r="255" spans="1:7" ht="17.45" customHeight="1">
      <c r="A255" s="1432">
        <v>48</v>
      </c>
      <c r="B255" s="1001" t="s">
        <v>253</v>
      </c>
      <c r="C255" s="1636" t="s">
        <v>2231</v>
      </c>
      <c r="D255" s="1434" t="s">
        <v>1982</v>
      </c>
      <c r="E255" s="1443">
        <v>35446</v>
      </c>
      <c r="F255" s="1001" t="s">
        <v>2181</v>
      </c>
      <c r="G255" s="1001"/>
    </row>
    <row r="256" spans="1:7" ht="17.45" customHeight="1">
      <c r="A256" s="1432">
        <v>49</v>
      </c>
      <c r="B256" s="1001" t="s">
        <v>254</v>
      </c>
      <c r="C256" s="1636" t="s">
        <v>2232</v>
      </c>
      <c r="D256" s="1434" t="s">
        <v>1975</v>
      </c>
      <c r="E256" s="1443">
        <v>38847</v>
      </c>
      <c r="F256" s="1001" t="s">
        <v>2181</v>
      </c>
      <c r="G256" s="1001"/>
    </row>
    <row r="257" spans="1:7" ht="17.45" customHeight="1">
      <c r="A257" s="1432">
        <v>50</v>
      </c>
      <c r="B257" s="1001" t="s">
        <v>255</v>
      </c>
      <c r="C257" s="1636" t="s">
        <v>2233</v>
      </c>
      <c r="D257" s="1434" t="s">
        <v>1975</v>
      </c>
      <c r="E257" s="1443">
        <v>30908</v>
      </c>
      <c r="F257" s="1001" t="s">
        <v>2181</v>
      </c>
      <c r="G257" s="1001"/>
    </row>
    <row r="258" spans="1:7" ht="17.45" customHeight="1">
      <c r="A258" s="1432">
        <v>51</v>
      </c>
      <c r="B258" s="1001" t="s">
        <v>256</v>
      </c>
      <c r="C258" s="1636" t="s">
        <v>2234</v>
      </c>
      <c r="D258" s="1434" t="s">
        <v>1975</v>
      </c>
      <c r="E258" s="1443">
        <v>34945</v>
      </c>
      <c r="F258" s="1001" t="s">
        <v>2181</v>
      </c>
      <c r="G258" s="1001"/>
    </row>
    <row r="259" spans="1:7" ht="17.45" customHeight="1">
      <c r="A259" s="1432">
        <v>52</v>
      </c>
      <c r="B259" s="1001" t="s">
        <v>258</v>
      </c>
      <c r="C259" s="1636" t="s">
        <v>2235</v>
      </c>
      <c r="D259" s="1434" t="s">
        <v>1975</v>
      </c>
      <c r="E259" s="1443">
        <v>33456</v>
      </c>
      <c r="F259" s="1001" t="s">
        <v>2131</v>
      </c>
      <c r="G259" s="1001"/>
    </row>
    <row r="260" spans="1:7" ht="17.45" customHeight="1">
      <c r="A260" s="1432">
        <v>53</v>
      </c>
      <c r="B260" s="1001" t="s">
        <v>259</v>
      </c>
      <c r="C260" s="1636" t="s">
        <v>2236</v>
      </c>
      <c r="D260" s="1434" t="s">
        <v>1975</v>
      </c>
      <c r="E260" s="1443">
        <v>35129</v>
      </c>
      <c r="F260" s="1001" t="s">
        <v>2181</v>
      </c>
      <c r="G260" s="1001"/>
    </row>
    <row r="261" spans="1:7" ht="17.45" customHeight="1">
      <c r="A261" s="1432">
        <v>54</v>
      </c>
      <c r="B261" s="1001" t="s">
        <v>257</v>
      </c>
      <c r="C261" s="1636" t="s">
        <v>2237</v>
      </c>
      <c r="D261" s="1434" t="s">
        <v>1975</v>
      </c>
      <c r="E261" s="1443">
        <v>30085</v>
      </c>
      <c r="F261" s="1001" t="s">
        <v>2181</v>
      </c>
      <c r="G261" s="1001"/>
    </row>
    <row r="262" spans="1:7" s="1419" customFormat="1" ht="17.45" customHeight="1">
      <c r="A262" s="1445">
        <v>55</v>
      </c>
      <c r="B262" s="1444" t="s">
        <v>260</v>
      </c>
      <c r="C262" s="1637" t="s">
        <v>2238</v>
      </c>
      <c r="D262" s="1442" t="s">
        <v>1975</v>
      </c>
      <c r="E262" s="1443">
        <v>27</v>
      </c>
      <c r="F262" s="1444" t="s">
        <v>2239</v>
      </c>
      <c r="G262" s="1444" t="s">
        <v>2093</v>
      </c>
    </row>
    <row r="263" spans="1:7" ht="17.45" customHeight="1">
      <c r="A263" s="1432">
        <v>56</v>
      </c>
      <c r="B263" s="1001" t="s">
        <v>261</v>
      </c>
      <c r="C263" s="1636" t="s">
        <v>2240</v>
      </c>
      <c r="D263" s="1434" t="s">
        <v>1975</v>
      </c>
      <c r="E263" s="1443">
        <v>35102</v>
      </c>
      <c r="F263" s="1001" t="s">
        <v>2181</v>
      </c>
      <c r="G263" s="1001"/>
    </row>
    <row r="264" spans="1:7" ht="17.45" customHeight="1">
      <c r="A264" s="1432">
        <v>57</v>
      </c>
      <c r="B264" s="1001" t="s">
        <v>262</v>
      </c>
      <c r="C264" s="1636" t="s">
        <v>2241</v>
      </c>
      <c r="D264" s="1434" t="s">
        <v>1975</v>
      </c>
      <c r="E264" s="1443">
        <v>33697</v>
      </c>
      <c r="F264" s="1001" t="s">
        <v>2181</v>
      </c>
      <c r="G264" s="1001"/>
    </row>
    <row r="265" spans="1:7" ht="17.45" customHeight="1">
      <c r="A265" s="1432">
        <v>58</v>
      </c>
      <c r="B265" s="1001" t="s">
        <v>263</v>
      </c>
      <c r="C265" s="1636" t="s">
        <v>2242</v>
      </c>
      <c r="D265" s="1434" t="s">
        <v>1975</v>
      </c>
      <c r="E265" s="1443">
        <v>32710</v>
      </c>
      <c r="F265" s="1001" t="s">
        <v>2181</v>
      </c>
      <c r="G265" s="1001"/>
    </row>
    <row r="266" spans="1:7" ht="17.45" customHeight="1">
      <c r="A266" s="1432">
        <v>59</v>
      </c>
      <c r="B266" s="1001" t="s">
        <v>264</v>
      </c>
      <c r="C266" s="1636" t="s">
        <v>2243</v>
      </c>
      <c r="D266" s="1434" t="s">
        <v>1975</v>
      </c>
      <c r="E266" s="1443">
        <v>34562</v>
      </c>
      <c r="F266" s="1001" t="s">
        <v>2244</v>
      </c>
      <c r="G266" s="1001"/>
    </row>
    <row r="267" spans="1:7" ht="17.45" customHeight="1">
      <c r="A267" s="1432">
        <v>60</v>
      </c>
      <c r="B267" s="1001" t="s">
        <v>265</v>
      </c>
      <c r="C267" s="1636" t="s">
        <v>2245</v>
      </c>
      <c r="D267" s="1434" t="s">
        <v>1982</v>
      </c>
      <c r="E267" s="1443">
        <v>33770</v>
      </c>
      <c r="F267" s="1001" t="s">
        <v>2131</v>
      </c>
      <c r="G267" s="1001"/>
    </row>
    <row r="268" spans="1:7" ht="17.45" customHeight="1">
      <c r="A268" s="1432">
        <v>61</v>
      </c>
      <c r="B268" s="1001" t="s">
        <v>266</v>
      </c>
      <c r="C268" s="1636" t="s">
        <v>2246</v>
      </c>
      <c r="D268" s="1434" t="s">
        <v>1975</v>
      </c>
      <c r="E268" s="1443">
        <v>38870</v>
      </c>
      <c r="F268" s="1001" t="s">
        <v>2131</v>
      </c>
      <c r="G268" s="1001"/>
    </row>
    <row r="269" spans="1:7" s="1419" customFormat="1" ht="17.45" customHeight="1">
      <c r="A269" s="1445">
        <v>62</v>
      </c>
      <c r="B269" s="1444" t="s">
        <v>267</v>
      </c>
      <c r="C269" s="1637" t="s">
        <v>2247</v>
      </c>
      <c r="D269" s="1442" t="s">
        <v>1975</v>
      </c>
      <c r="E269" s="1443">
        <v>23</v>
      </c>
      <c r="F269" s="1444" t="s">
        <v>2239</v>
      </c>
      <c r="G269" s="1444" t="s">
        <v>2093</v>
      </c>
    </row>
    <row r="270" spans="1:7" ht="17.45" customHeight="1">
      <c r="A270" s="1432">
        <v>63</v>
      </c>
      <c r="B270" s="1001" t="s">
        <v>268</v>
      </c>
      <c r="C270" s="1636" t="s">
        <v>2248</v>
      </c>
      <c r="D270" s="1434" t="s">
        <v>1975</v>
      </c>
      <c r="E270" s="1443">
        <v>37727</v>
      </c>
      <c r="F270" s="1001" t="s">
        <v>2131</v>
      </c>
      <c r="G270" s="1001"/>
    </row>
    <row r="271" spans="1:7" ht="17.45" customHeight="1">
      <c r="A271" s="1432">
        <v>64</v>
      </c>
      <c r="B271" s="1001" t="s">
        <v>269</v>
      </c>
      <c r="C271" s="1636" t="s">
        <v>2249</v>
      </c>
      <c r="D271" s="1434" t="s">
        <v>1975</v>
      </c>
      <c r="E271" s="1443">
        <v>38544</v>
      </c>
      <c r="F271" s="1001" t="s">
        <v>2244</v>
      </c>
      <c r="G271" s="1001"/>
    </row>
    <row r="272" spans="1:7" ht="17.45" customHeight="1">
      <c r="A272" s="1432">
        <v>65</v>
      </c>
      <c r="B272" s="1001" t="s">
        <v>270</v>
      </c>
      <c r="C272" s="1636" t="s">
        <v>2250</v>
      </c>
      <c r="D272" s="1434"/>
      <c r="E272" s="1443"/>
      <c r="F272" s="1001"/>
      <c r="G272" s="1001"/>
    </row>
    <row r="273" spans="1:7" ht="17.45" customHeight="1">
      <c r="A273" s="1432">
        <v>66</v>
      </c>
      <c r="B273" s="1001" t="s">
        <v>271</v>
      </c>
      <c r="C273" s="1636" t="s">
        <v>2251</v>
      </c>
      <c r="D273" s="1434"/>
      <c r="E273" s="1443"/>
      <c r="F273" s="1001"/>
      <c r="G273" s="1001"/>
    </row>
    <row r="274" spans="1:7" ht="17.45" customHeight="1">
      <c r="A274" s="1432">
        <v>67</v>
      </c>
      <c r="B274" s="1001" t="s">
        <v>272</v>
      </c>
      <c r="C274" s="1636" t="s">
        <v>2252</v>
      </c>
      <c r="D274" s="1434" t="s">
        <v>1975</v>
      </c>
      <c r="E274" s="1443">
        <v>31521</v>
      </c>
      <c r="F274" s="1001" t="s">
        <v>2181</v>
      </c>
      <c r="G274" s="1001"/>
    </row>
    <row r="275" spans="1:7" ht="17.45" customHeight="1">
      <c r="A275" s="1432">
        <v>68</v>
      </c>
      <c r="B275" s="1001" t="s">
        <v>273</v>
      </c>
      <c r="C275" s="1636" t="s">
        <v>2253</v>
      </c>
      <c r="D275" s="1434" t="s">
        <v>1975</v>
      </c>
      <c r="E275" s="1443">
        <v>32275</v>
      </c>
      <c r="F275" s="1001" t="s">
        <v>2190</v>
      </c>
      <c r="G275" s="1001"/>
    </row>
    <row r="276" spans="1:7" ht="17.45" customHeight="1">
      <c r="A276" s="1432">
        <v>69</v>
      </c>
      <c r="B276" s="1001" t="s">
        <v>274</v>
      </c>
      <c r="C276" s="1636" t="s">
        <v>2254</v>
      </c>
      <c r="D276" s="1434" t="s">
        <v>1975</v>
      </c>
      <c r="E276" s="1443">
        <v>32734</v>
      </c>
      <c r="F276" s="1001" t="s">
        <v>2190</v>
      </c>
      <c r="G276" s="1001"/>
    </row>
    <row r="277" spans="1:7" s="157" customFormat="1" ht="17.45" customHeight="1" outlineLevel="1">
      <c r="A277" s="1426" t="s">
        <v>2255</v>
      </c>
      <c r="B277" s="1427"/>
      <c r="C277" s="1428"/>
      <c r="D277" s="1429"/>
      <c r="E277" s="1443"/>
      <c r="F277" s="1431"/>
      <c r="G277" s="1431"/>
    </row>
    <row r="278" spans="1:7" ht="17.45" customHeight="1">
      <c r="A278" s="1432">
        <v>1</v>
      </c>
      <c r="B278" s="1001" t="s">
        <v>278</v>
      </c>
      <c r="C278" s="1636" t="s">
        <v>2256</v>
      </c>
      <c r="D278" s="1434" t="s">
        <v>1975</v>
      </c>
      <c r="E278" s="1443">
        <v>35981</v>
      </c>
      <c r="F278" s="1434" t="s">
        <v>2257</v>
      </c>
      <c r="G278" s="1001"/>
    </row>
    <row r="279" spans="1:7" ht="17.45" customHeight="1">
      <c r="A279" s="1432">
        <v>2</v>
      </c>
      <c r="B279" s="1001" t="s">
        <v>281</v>
      </c>
      <c r="C279" s="1636" t="s">
        <v>2258</v>
      </c>
      <c r="D279" s="1434" t="s">
        <v>1975</v>
      </c>
      <c r="E279" s="1443">
        <v>35982</v>
      </c>
      <c r="F279" s="1434" t="s">
        <v>2259</v>
      </c>
      <c r="G279" s="1001"/>
    </row>
    <row r="280" spans="1:7" ht="17.45" customHeight="1">
      <c r="A280" s="1432">
        <v>3</v>
      </c>
      <c r="B280" s="1001" t="s">
        <v>597</v>
      </c>
      <c r="C280" s="1636" t="s">
        <v>2260</v>
      </c>
      <c r="D280" s="1434" t="s">
        <v>1975</v>
      </c>
      <c r="E280" s="1443">
        <v>33636</v>
      </c>
      <c r="F280" s="1434" t="s">
        <v>2261</v>
      </c>
      <c r="G280" s="1001"/>
    </row>
    <row r="281" spans="1:7" ht="17.45" customHeight="1">
      <c r="A281" s="1432">
        <v>4</v>
      </c>
      <c r="B281" s="1001" t="s">
        <v>280</v>
      </c>
      <c r="C281" s="1636" t="s">
        <v>2262</v>
      </c>
      <c r="D281" s="1434" t="s">
        <v>1975</v>
      </c>
      <c r="E281" s="1443">
        <v>27212</v>
      </c>
      <c r="F281" s="1434" t="s">
        <v>2263</v>
      </c>
      <c r="G281" s="1001"/>
    </row>
    <row r="282" spans="1:7" ht="17.45" customHeight="1">
      <c r="A282" s="1432">
        <v>5</v>
      </c>
      <c r="B282" s="1001" t="s">
        <v>282</v>
      </c>
      <c r="C282" s="1636" t="s">
        <v>2264</v>
      </c>
      <c r="D282" s="1434" t="s">
        <v>1975</v>
      </c>
      <c r="E282" s="1443">
        <v>35951</v>
      </c>
      <c r="F282" s="1434" t="s">
        <v>2257</v>
      </c>
      <c r="G282" s="1001"/>
    </row>
    <row r="283" spans="1:7" ht="17.45" customHeight="1">
      <c r="A283" s="1432">
        <v>6</v>
      </c>
      <c r="B283" s="1001" t="s">
        <v>284</v>
      </c>
      <c r="C283" s="1636" t="s">
        <v>2265</v>
      </c>
      <c r="D283" s="1434" t="s">
        <v>1975</v>
      </c>
      <c r="E283" s="1443">
        <v>30072</v>
      </c>
      <c r="F283" s="1434" t="s">
        <v>2257</v>
      </c>
      <c r="G283" s="1001"/>
    </row>
    <row r="284" spans="1:7" ht="17.45" customHeight="1">
      <c r="A284" s="1432">
        <v>6</v>
      </c>
      <c r="B284" s="1001" t="s">
        <v>279</v>
      </c>
      <c r="C284" s="1636" t="s">
        <v>2266</v>
      </c>
      <c r="D284" s="1434" t="s">
        <v>1975</v>
      </c>
      <c r="E284" s="1443">
        <v>33822</v>
      </c>
      <c r="F284" s="1434" t="s">
        <v>2257</v>
      </c>
      <c r="G284" s="1001"/>
    </row>
    <row r="285" spans="1:7" s="157" customFormat="1" ht="17.45" customHeight="1">
      <c r="A285" s="1447" t="s">
        <v>514</v>
      </c>
      <c r="B285" s="1431"/>
      <c r="C285" s="1448"/>
      <c r="D285" s="1429"/>
      <c r="E285" s="1443"/>
      <c r="F285" s="1431"/>
      <c r="G285" s="1449"/>
    </row>
    <row r="286" spans="1:7" ht="17.45" customHeight="1">
      <c r="A286" s="1432">
        <v>1</v>
      </c>
      <c r="B286" s="1001" t="s">
        <v>308</v>
      </c>
      <c r="C286" s="1636" t="s">
        <v>2267</v>
      </c>
      <c r="D286" s="1434"/>
      <c r="E286" s="1443"/>
      <c r="F286" s="1001"/>
      <c r="G286" s="1001"/>
    </row>
    <row r="287" spans="1:7" ht="17.45" customHeight="1">
      <c r="A287" s="1432">
        <v>2</v>
      </c>
      <c r="B287" s="1001" t="s">
        <v>309</v>
      </c>
      <c r="C287" s="1636" t="s">
        <v>2268</v>
      </c>
      <c r="D287" s="1434"/>
      <c r="E287" s="1443"/>
      <c r="F287" s="1001"/>
      <c r="G287" s="1001"/>
    </row>
    <row r="288" spans="1:7" ht="17.45" customHeight="1">
      <c r="A288" s="1432">
        <v>3</v>
      </c>
      <c r="B288" s="1001" t="s">
        <v>310</v>
      </c>
      <c r="C288" s="1636" t="s">
        <v>2269</v>
      </c>
      <c r="D288" s="1434"/>
      <c r="E288" s="1443"/>
      <c r="F288" s="1001"/>
      <c r="G288" s="1001"/>
    </row>
    <row r="289" spans="1:7" ht="17.45" customHeight="1">
      <c r="A289" s="1432">
        <v>4</v>
      </c>
      <c r="B289" s="1001" t="s">
        <v>311</v>
      </c>
      <c r="C289" s="1636" t="s">
        <v>2270</v>
      </c>
      <c r="D289" s="1434"/>
      <c r="E289" s="1443"/>
      <c r="F289" s="1001"/>
      <c r="G289" s="1001"/>
    </row>
    <row r="290" spans="1:7" ht="17.45" customHeight="1">
      <c r="A290" s="1432">
        <v>5</v>
      </c>
      <c r="B290" s="1001" t="s">
        <v>312</v>
      </c>
      <c r="C290" s="1636" t="s">
        <v>2271</v>
      </c>
      <c r="D290" s="1434"/>
      <c r="E290" s="1443"/>
      <c r="F290" s="1001"/>
      <c r="G290" s="1001"/>
    </row>
    <row r="291" spans="1:7" ht="17.45" customHeight="1">
      <c r="A291" s="1432">
        <v>6</v>
      </c>
      <c r="B291" s="1001" t="s">
        <v>313</v>
      </c>
      <c r="C291" s="1636" t="s">
        <v>2272</v>
      </c>
      <c r="D291" s="1434"/>
      <c r="E291" s="1443"/>
      <c r="F291" s="1001"/>
      <c r="G291" s="1001"/>
    </row>
    <row r="292" spans="1:7" ht="17.45" customHeight="1">
      <c r="A292" s="1432">
        <v>7</v>
      </c>
      <c r="B292" s="1001" t="s">
        <v>314</v>
      </c>
      <c r="C292" s="1636" t="s">
        <v>2273</v>
      </c>
      <c r="D292" s="1434"/>
      <c r="E292" s="1443"/>
      <c r="F292" s="1001"/>
      <c r="G292" s="1001"/>
    </row>
    <row r="293" spans="1:7" ht="17.45" customHeight="1">
      <c r="A293" s="1432">
        <v>8</v>
      </c>
      <c r="B293" s="1001" t="s">
        <v>1439</v>
      </c>
      <c r="C293" s="1636" t="s">
        <v>2274</v>
      </c>
      <c r="D293" s="1434"/>
      <c r="E293" s="1443"/>
      <c r="F293" s="1001"/>
      <c r="G293" s="1001"/>
    </row>
    <row r="294" spans="1:7" ht="17.45" customHeight="1">
      <c r="A294" s="1432">
        <v>9</v>
      </c>
      <c r="B294" s="1001" t="s">
        <v>316</v>
      </c>
      <c r="C294" s="1636" t="s">
        <v>2275</v>
      </c>
      <c r="D294" s="1434"/>
      <c r="E294" s="1443"/>
      <c r="F294" s="1001"/>
      <c r="G294" s="1001"/>
    </row>
    <row r="295" spans="1:7" ht="17.45" customHeight="1">
      <c r="A295" s="1432">
        <v>10</v>
      </c>
      <c r="B295" s="1001" t="s">
        <v>317</v>
      </c>
      <c r="C295" s="1636" t="s">
        <v>2276</v>
      </c>
      <c r="D295" s="1434"/>
      <c r="E295" s="1443"/>
      <c r="F295" s="1001"/>
      <c r="G295" s="1001"/>
    </row>
    <row r="296" spans="1:7" ht="17.45" customHeight="1">
      <c r="A296" s="1432">
        <v>11</v>
      </c>
      <c r="B296" s="1001" t="s">
        <v>318</v>
      </c>
      <c r="C296" s="1636" t="s">
        <v>2277</v>
      </c>
      <c r="D296" s="1434"/>
      <c r="E296" s="1443"/>
      <c r="F296" s="1001"/>
      <c r="G296" s="1001"/>
    </row>
    <row r="297" spans="1:7" ht="17.45" customHeight="1">
      <c r="A297" s="1432">
        <v>12</v>
      </c>
      <c r="B297" s="1001" t="s">
        <v>319</v>
      </c>
      <c r="C297" s="1636" t="s">
        <v>2278</v>
      </c>
      <c r="D297" s="1434" t="s">
        <v>1982</v>
      </c>
      <c r="E297" s="1443"/>
      <c r="F297" s="1001"/>
      <c r="G297" s="1001"/>
    </row>
    <row r="298" spans="1:7" ht="17.45" customHeight="1">
      <c r="A298" s="1432">
        <v>13</v>
      </c>
      <c r="B298" s="1001" t="s">
        <v>320</v>
      </c>
      <c r="C298" s="1636" t="s">
        <v>2279</v>
      </c>
      <c r="D298" s="1434"/>
      <c r="E298" s="1443"/>
      <c r="F298" s="1001"/>
      <c r="G298" s="1001"/>
    </row>
    <row r="299" spans="1:7" ht="17.45" customHeight="1">
      <c r="A299" s="1432">
        <v>14</v>
      </c>
      <c r="B299" s="1001" t="s">
        <v>321</v>
      </c>
      <c r="C299" s="1636" t="s">
        <v>2280</v>
      </c>
      <c r="D299" s="1434" t="s">
        <v>1982</v>
      </c>
      <c r="E299" s="1443"/>
      <c r="F299" s="1001"/>
      <c r="G299" s="1001"/>
    </row>
    <row r="300" spans="1:7" ht="17.45" customHeight="1">
      <c r="A300" s="1432">
        <v>15</v>
      </c>
      <c r="B300" s="1001" t="s">
        <v>322</v>
      </c>
      <c r="C300" s="1636" t="s">
        <v>2281</v>
      </c>
      <c r="D300" s="1434"/>
      <c r="E300" s="1443"/>
      <c r="F300" s="1001"/>
      <c r="G300" s="1001"/>
    </row>
    <row r="301" spans="1:7" ht="17.45" customHeight="1">
      <c r="A301" s="1432">
        <v>16</v>
      </c>
      <c r="B301" s="1001" t="s">
        <v>323</v>
      </c>
      <c r="C301" s="1636" t="s">
        <v>2282</v>
      </c>
      <c r="D301" s="1434"/>
      <c r="E301" s="1443"/>
      <c r="F301" s="1001"/>
      <c r="G301" s="1001"/>
    </row>
    <row r="302" spans="1:7" ht="17.45" customHeight="1">
      <c r="A302" s="1432">
        <v>17</v>
      </c>
      <c r="B302" s="1001" t="s">
        <v>324</v>
      </c>
      <c r="C302" s="1636" t="s">
        <v>2283</v>
      </c>
      <c r="D302" s="1434"/>
      <c r="E302" s="1443"/>
      <c r="F302" s="1001"/>
      <c r="G302" s="1001"/>
    </row>
    <row r="303" spans="1:7" ht="17.45" customHeight="1">
      <c r="A303" s="1432">
        <v>18</v>
      </c>
      <c r="B303" s="1001" t="s">
        <v>325</v>
      </c>
      <c r="C303" s="1636" t="s">
        <v>2284</v>
      </c>
      <c r="D303" s="1434"/>
      <c r="E303" s="1443"/>
      <c r="F303" s="1001"/>
      <c r="G303" s="1001"/>
    </row>
    <row r="304" spans="1:7" ht="17.45" customHeight="1">
      <c r="A304" s="1432">
        <v>19</v>
      </c>
      <c r="B304" s="1001" t="s">
        <v>326</v>
      </c>
      <c r="C304" s="1636" t="s">
        <v>2285</v>
      </c>
      <c r="D304" s="1434"/>
      <c r="E304" s="1443"/>
      <c r="F304" s="1001"/>
      <c r="G304" s="1001"/>
    </row>
    <row r="305" spans="1:7" ht="17.45" customHeight="1">
      <c r="A305" s="1432">
        <v>20</v>
      </c>
      <c r="B305" s="1001" t="s">
        <v>327</v>
      </c>
      <c r="C305" s="1636" t="s">
        <v>2286</v>
      </c>
      <c r="D305" s="1434"/>
      <c r="E305" s="1443"/>
      <c r="F305" s="1001"/>
      <c r="G305" s="1001"/>
    </row>
    <row r="306" spans="1:7" ht="17.45" customHeight="1">
      <c r="A306" s="1432">
        <v>21</v>
      </c>
      <c r="B306" s="1001" t="s">
        <v>328</v>
      </c>
      <c r="C306" s="1433">
        <v>3863</v>
      </c>
      <c r="D306" s="1434" t="s">
        <v>1982</v>
      </c>
      <c r="E306" s="1443"/>
      <c r="F306" s="1001"/>
      <c r="G306" s="1001"/>
    </row>
    <row r="307" spans="1:7" ht="17.45" customHeight="1">
      <c r="A307" s="1432">
        <v>22</v>
      </c>
      <c r="B307" s="1001" t="s">
        <v>329</v>
      </c>
      <c r="C307" s="1636" t="s">
        <v>2287</v>
      </c>
      <c r="D307" s="1434" t="s">
        <v>1982</v>
      </c>
      <c r="E307" s="1443"/>
      <c r="F307" s="1001"/>
      <c r="G307" s="1001"/>
    </row>
    <row r="308" spans="1:7" ht="17.45" customHeight="1">
      <c r="A308" s="1432">
        <v>23</v>
      </c>
      <c r="B308" s="1001" t="s">
        <v>516</v>
      </c>
      <c r="C308" s="1636" t="s">
        <v>2288</v>
      </c>
      <c r="D308" s="1434"/>
      <c r="E308" s="1443"/>
      <c r="F308" s="1001"/>
      <c r="G308" s="1001"/>
    </row>
    <row r="309" spans="1:7" ht="17.45" customHeight="1">
      <c r="A309" s="1432">
        <v>24</v>
      </c>
      <c r="B309" s="1001" t="s">
        <v>287</v>
      </c>
      <c r="C309" s="1636" t="s">
        <v>2289</v>
      </c>
      <c r="D309" s="1434"/>
      <c r="E309" s="1443"/>
      <c r="F309" s="1001"/>
      <c r="G309" s="1001"/>
    </row>
    <row r="310" spans="1:7" ht="17.45" customHeight="1">
      <c r="A310" s="1432">
        <v>25</v>
      </c>
      <c r="B310" s="1001" t="s">
        <v>288</v>
      </c>
      <c r="C310" s="1636" t="s">
        <v>2290</v>
      </c>
      <c r="D310" s="1434"/>
      <c r="E310" s="1443"/>
      <c r="F310" s="1001"/>
      <c r="G310" s="1001"/>
    </row>
    <row r="311" spans="1:7" ht="17.45" customHeight="1">
      <c r="A311" s="1432">
        <v>26</v>
      </c>
      <c r="B311" s="1001" t="s">
        <v>289</v>
      </c>
      <c r="C311" s="1636" t="s">
        <v>2291</v>
      </c>
      <c r="D311" s="1434"/>
      <c r="E311" s="1443"/>
      <c r="F311" s="1001"/>
      <c r="G311" s="1001"/>
    </row>
    <row r="312" spans="1:7" ht="17.45" customHeight="1">
      <c r="A312" s="1432">
        <v>27</v>
      </c>
      <c r="B312" s="1001" t="s">
        <v>517</v>
      </c>
      <c r="C312" s="1636" t="s">
        <v>2292</v>
      </c>
      <c r="D312" s="1434"/>
      <c r="E312" s="1443"/>
      <c r="F312" s="1001"/>
      <c r="G312" s="1001"/>
    </row>
    <row r="313" spans="1:7" ht="17.45" customHeight="1">
      <c r="A313" s="1432">
        <v>28</v>
      </c>
      <c r="B313" s="1001" t="s">
        <v>291</v>
      </c>
      <c r="C313" s="1636" t="s">
        <v>2293</v>
      </c>
      <c r="D313" s="1434"/>
      <c r="E313" s="1443"/>
      <c r="F313" s="1001"/>
      <c r="G313" s="1001"/>
    </row>
    <row r="314" spans="1:7" ht="17.45" customHeight="1">
      <c r="A314" s="1432">
        <v>29</v>
      </c>
      <c r="B314" s="1001" t="s">
        <v>292</v>
      </c>
      <c r="C314" s="1636" t="s">
        <v>2294</v>
      </c>
      <c r="D314" s="1434"/>
      <c r="E314" s="1443"/>
      <c r="F314" s="1001"/>
      <c r="G314" s="1001"/>
    </row>
    <row r="315" spans="1:7" ht="17.45" customHeight="1">
      <c r="A315" s="1432">
        <v>30</v>
      </c>
      <c r="B315" s="1001" t="s">
        <v>293</v>
      </c>
      <c r="C315" s="1636" t="s">
        <v>2295</v>
      </c>
      <c r="D315" s="1434" t="s">
        <v>1982</v>
      </c>
      <c r="E315" s="1443"/>
      <c r="F315" s="1001"/>
      <c r="G315" s="1001"/>
    </row>
    <row r="316" spans="1:7" ht="17.45" customHeight="1">
      <c r="A316" s="1432">
        <v>31</v>
      </c>
      <c r="B316" s="1001" t="s">
        <v>294</v>
      </c>
      <c r="C316" s="1636" t="s">
        <v>2296</v>
      </c>
      <c r="D316" s="1434"/>
      <c r="E316" s="1443"/>
      <c r="F316" s="1001"/>
      <c r="G316" s="1001"/>
    </row>
    <row r="317" spans="1:7" ht="17.45" customHeight="1">
      <c r="A317" s="1432">
        <v>32</v>
      </c>
      <c r="B317" s="1001" t="s">
        <v>295</v>
      </c>
      <c r="C317" s="1636" t="s">
        <v>2297</v>
      </c>
      <c r="D317" s="1434" t="s">
        <v>1982</v>
      </c>
      <c r="E317" s="1443"/>
      <c r="F317" s="1001"/>
      <c r="G317" s="1001"/>
    </row>
    <row r="318" spans="1:7" ht="17.45" customHeight="1">
      <c r="A318" s="1432">
        <v>33</v>
      </c>
      <c r="B318" s="1001" t="s">
        <v>296</v>
      </c>
      <c r="C318" s="1636" t="s">
        <v>2298</v>
      </c>
      <c r="D318" s="1434"/>
      <c r="E318" s="1443"/>
      <c r="F318" s="1001"/>
      <c r="G318" s="1001"/>
    </row>
    <row r="319" spans="1:7" ht="17.45" customHeight="1">
      <c r="A319" s="1432">
        <v>34</v>
      </c>
      <c r="B319" s="1001" t="s">
        <v>297</v>
      </c>
      <c r="C319" s="1636" t="s">
        <v>2299</v>
      </c>
      <c r="D319" s="1434" t="s">
        <v>1982</v>
      </c>
      <c r="E319" s="1443"/>
      <c r="F319" s="1001"/>
      <c r="G319" s="1001"/>
    </row>
    <row r="320" spans="1:7" ht="17.45" customHeight="1">
      <c r="A320" s="1432">
        <v>35</v>
      </c>
      <c r="B320" s="1001" t="s">
        <v>298</v>
      </c>
      <c r="C320" s="1636" t="s">
        <v>2300</v>
      </c>
      <c r="D320" s="1434" t="s">
        <v>1982</v>
      </c>
      <c r="E320" s="1443"/>
      <c r="F320" s="1001"/>
      <c r="G320" s="1001"/>
    </row>
    <row r="321" spans="1:7" ht="17.45" customHeight="1">
      <c r="A321" s="1432">
        <v>36</v>
      </c>
      <c r="B321" s="1001" t="s">
        <v>299</v>
      </c>
      <c r="C321" s="1636" t="s">
        <v>2301</v>
      </c>
      <c r="D321" s="1434"/>
      <c r="E321" s="1443"/>
      <c r="F321" s="1001"/>
      <c r="G321" s="1001"/>
    </row>
    <row r="322" spans="1:7" ht="17.45" customHeight="1">
      <c r="A322" s="1432">
        <v>37</v>
      </c>
      <c r="B322" s="1001" t="s">
        <v>300</v>
      </c>
      <c r="C322" s="1636" t="s">
        <v>2302</v>
      </c>
      <c r="D322" s="1434"/>
      <c r="E322" s="1443"/>
      <c r="F322" s="1001"/>
      <c r="G322" s="1001"/>
    </row>
    <row r="323" spans="1:7" ht="17.45" customHeight="1">
      <c r="A323" s="1432">
        <v>38</v>
      </c>
      <c r="B323" s="1001" t="s">
        <v>301</v>
      </c>
      <c r="C323" s="1636" t="s">
        <v>2303</v>
      </c>
      <c r="D323" s="1434"/>
      <c r="E323" s="1443"/>
      <c r="F323" s="1001"/>
      <c r="G323" s="1001"/>
    </row>
    <row r="324" spans="1:7" ht="17.45" customHeight="1">
      <c r="A324" s="1432">
        <v>39</v>
      </c>
      <c r="B324" s="1001" t="s">
        <v>302</v>
      </c>
      <c r="C324" s="1636" t="s">
        <v>2304</v>
      </c>
      <c r="D324" s="1434"/>
      <c r="E324" s="1443"/>
      <c r="F324" s="1001"/>
      <c r="G324" s="1001"/>
    </row>
    <row r="325" spans="1:7" ht="17.45" customHeight="1">
      <c r="A325" s="1432">
        <v>40</v>
      </c>
      <c r="B325" s="1001" t="s">
        <v>2305</v>
      </c>
      <c r="C325" s="1636" t="s">
        <v>2306</v>
      </c>
      <c r="D325" s="1434"/>
      <c r="E325" s="1443"/>
      <c r="F325" s="1001"/>
      <c r="G325" s="1001"/>
    </row>
    <row r="326" spans="1:7" ht="17.45" customHeight="1">
      <c r="A326" s="1432">
        <v>41</v>
      </c>
      <c r="B326" s="1001" t="s">
        <v>304</v>
      </c>
      <c r="C326" s="1636" t="s">
        <v>2307</v>
      </c>
      <c r="D326" s="1434" t="s">
        <v>1982</v>
      </c>
      <c r="E326" s="1443"/>
      <c r="F326" s="1001"/>
      <c r="G326" s="1001"/>
    </row>
    <row r="327" spans="1:7" s="1419" customFormat="1" ht="17.45" customHeight="1">
      <c r="A327" s="1445">
        <v>42</v>
      </c>
      <c r="B327" s="1444" t="s">
        <v>331</v>
      </c>
      <c r="C327" s="1637" t="s">
        <v>2308</v>
      </c>
      <c r="D327" s="1442" t="s">
        <v>1975</v>
      </c>
      <c r="E327" s="1443">
        <v>18</v>
      </c>
      <c r="F327" s="1444" t="s">
        <v>2309</v>
      </c>
      <c r="G327" s="1444" t="s">
        <v>2093</v>
      </c>
    </row>
    <row r="328" spans="1:7" ht="17.45" customHeight="1">
      <c r="A328" s="1432">
        <v>43</v>
      </c>
      <c r="B328" s="1001" t="s">
        <v>332</v>
      </c>
      <c r="C328" s="1636" t="s">
        <v>2310</v>
      </c>
      <c r="D328" s="1434"/>
      <c r="E328" s="1443"/>
      <c r="F328" s="1001"/>
      <c r="G328" s="1001"/>
    </row>
    <row r="329" spans="1:7" s="1419" customFormat="1" ht="17.45" customHeight="1">
      <c r="A329" s="1445">
        <v>44</v>
      </c>
      <c r="B329" s="1444" t="s">
        <v>2311</v>
      </c>
      <c r="C329" s="1637" t="s">
        <v>2312</v>
      </c>
      <c r="D329" s="1442" t="s">
        <v>1975</v>
      </c>
      <c r="E329" s="1443">
        <v>29</v>
      </c>
      <c r="F329" s="1444" t="s">
        <v>2313</v>
      </c>
      <c r="G329" s="1444" t="s">
        <v>2093</v>
      </c>
    </row>
    <row r="330" spans="1:7" ht="17.45" customHeight="1">
      <c r="A330" s="1432">
        <v>45</v>
      </c>
      <c r="B330" s="1001" t="s">
        <v>334</v>
      </c>
      <c r="C330" s="1636" t="s">
        <v>2314</v>
      </c>
      <c r="D330" s="1434"/>
      <c r="E330" s="1443"/>
      <c r="F330" s="1001"/>
      <c r="G330" s="1001"/>
    </row>
    <row r="331" spans="1:7" s="1419" customFormat="1" ht="17.45" customHeight="1">
      <c r="A331" s="1445">
        <v>46</v>
      </c>
      <c r="B331" s="1444" t="s">
        <v>305</v>
      </c>
      <c r="C331" s="1637" t="s">
        <v>2315</v>
      </c>
      <c r="D331" s="1442" t="s">
        <v>1975</v>
      </c>
      <c r="E331" s="1443">
        <v>42</v>
      </c>
      <c r="F331" s="1444" t="s">
        <v>2309</v>
      </c>
      <c r="G331" s="1444" t="s">
        <v>2093</v>
      </c>
    </row>
    <row r="332" spans="1:7" s="1419" customFormat="1" ht="17.45" customHeight="1">
      <c r="A332" s="1445">
        <v>47</v>
      </c>
      <c r="B332" s="1444" t="s">
        <v>335</v>
      </c>
      <c r="C332" s="1637" t="s">
        <v>2316</v>
      </c>
      <c r="D332" s="1442" t="s">
        <v>1975</v>
      </c>
      <c r="E332" s="1443">
        <v>26</v>
      </c>
      <c r="F332" s="1444" t="s">
        <v>2309</v>
      </c>
      <c r="G332" s="1444" t="s">
        <v>2093</v>
      </c>
    </row>
    <row r="333" spans="1:7" ht="17.45" customHeight="1">
      <c r="A333" s="1432">
        <v>48</v>
      </c>
      <c r="B333" s="1001" t="s">
        <v>336</v>
      </c>
      <c r="C333" s="1636" t="s">
        <v>2121</v>
      </c>
      <c r="D333" s="1434"/>
      <c r="E333" s="1436"/>
      <c r="F333" s="1001"/>
      <c r="G333" s="1001"/>
    </row>
    <row r="334" spans="1:7" ht="17.45" customHeight="1">
      <c r="A334" s="1432">
        <v>49</v>
      </c>
      <c r="B334" s="1001" t="s">
        <v>337</v>
      </c>
      <c r="C334" s="1636" t="s">
        <v>2317</v>
      </c>
      <c r="D334" s="1434"/>
      <c r="E334" s="1436"/>
      <c r="F334" s="1001"/>
      <c r="G334" s="1001"/>
    </row>
    <row r="335" spans="1:7" ht="17.45" customHeight="1">
      <c r="A335" s="1432">
        <v>50</v>
      </c>
      <c r="B335" s="1001" t="s">
        <v>338</v>
      </c>
      <c r="C335" s="1636" t="s">
        <v>2318</v>
      </c>
      <c r="D335" s="1434"/>
      <c r="E335" s="1436"/>
      <c r="F335" s="1001"/>
      <c r="G335" s="1001"/>
    </row>
    <row r="336" spans="1:7" ht="17.45" customHeight="1">
      <c r="A336" s="1432">
        <v>51</v>
      </c>
      <c r="B336" s="1001" t="s">
        <v>1402</v>
      </c>
      <c r="C336" s="1636" t="s">
        <v>2319</v>
      </c>
      <c r="D336" s="1434"/>
      <c r="E336" s="1436"/>
      <c r="F336" s="1001"/>
      <c r="G336" s="1001"/>
    </row>
    <row r="337" spans="1:7" ht="17.45" customHeight="1">
      <c r="A337" s="1432">
        <v>52</v>
      </c>
      <c r="B337" s="1001" t="s">
        <v>340</v>
      </c>
      <c r="C337" s="1636" t="s">
        <v>2320</v>
      </c>
      <c r="D337" s="1434"/>
      <c r="E337" s="1436"/>
      <c r="F337" s="1001"/>
      <c r="G337" s="1001"/>
    </row>
    <row r="338" spans="1:7" ht="17.45" customHeight="1">
      <c r="A338" s="1432">
        <v>53</v>
      </c>
      <c r="B338" s="1001" t="s">
        <v>341</v>
      </c>
      <c r="C338" s="1636" t="s">
        <v>2321</v>
      </c>
      <c r="D338" s="1434"/>
      <c r="E338" s="1436"/>
      <c r="F338" s="1001"/>
      <c r="G338" s="1001"/>
    </row>
    <row r="339" spans="1:7" ht="17.45" customHeight="1">
      <c r="A339" s="1432">
        <v>54</v>
      </c>
      <c r="B339" s="1001" t="s">
        <v>342</v>
      </c>
      <c r="C339" s="1636" t="s">
        <v>2322</v>
      </c>
      <c r="D339" s="1434"/>
      <c r="E339" s="1436"/>
      <c r="F339" s="1001"/>
      <c r="G339" s="1001"/>
    </row>
    <row r="340" spans="1:7" ht="17.45" customHeight="1">
      <c r="A340" s="1432">
        <v>55</v>
      </c>
      <c r="B340" s="1001" t="s">
        <v>343</v>
      </c>
      <c r="C340" s="1636" t="s">
        <v>2323</v>
      </c>
      <c r="D340" s="1434"/>
      <c r="E340" s="1436"/>
      <c r="F340" s="1001"/>
      <c r="G340" s="1001"/>
    </row>
    <row r="341" spans="1:7" ht="17.45" customHeight="1">
      <c r="A341" s="1432">
        <v>56</v>
      </c>
      <c r="B341" s="1001" t="s">
        <v>344</v>
      </c>
      <c r="C341" s="1636" t="s">
        <v>2205</v>
      </c>
      <c r="D341" s="1434"/>
      <c r="E341" s="1436"/>
      <c r="F341" s="1001"/>
      <c r="G341" s="1001"/>
    </row>
    <row r="342" spans="1:7" ht="17.45" customHeight="1">
      <c r="A342" s="1432">
        <v>57</v>
      </c>
      <c r="B342" s="1001" t="s">
        <v>345</v>
      </c>
      <c r="C342" s="1636" t="s">
        <v>2324</v>
      </c>
      <c r="D342" s="1434"/>
      <c r="E342" s="1436"/>
      <c r="F342" s="1001"/>
      <c r="G342" s="1001"/>
    </row>
    <row r="343" spans="1:7" ht="17.45" customHeight="1">
      <c r="A343" s="1432">
        <v>68</v>
      </c>
      <c r="B343" s="1001"/>
      <c r="C343" s="1433"/>
      <c r="D343" s="1434"/>
      <c r="E343" s="1436"/>
      <c r="F343" s="1001"/>
      <c r="G343" s="1001"/>
    </row>
    <row r="344" spans="1:7" ht="17.45" customHeight="1">
      <c r="A344" s="1432">
        <v>69</v>
      </c>
      <c r="B344" s="1001"/>
      <c r="C344" s="1433"/>
      <c r="D344" s="1434"/>
      <c r="E344" s="1436"/>
      <c r="F344" s="1001"/>
      <c r="G344" s="1001"/>
    </row>
    <row r="345" spans="1:7" ht="17.45" customHeight="1">
      <c r="A345" s="1432">
        <v>70</v>
      </c>
      <c r="B345" s="1001"/>
      <c r="C345" s="1433"/>
      <c r="D345" s="1434"/>
      <c r="E345" s="1436"/>
      <c r="F345" s="1001"/>
      <c r="G345" s="1001"/>
    </row>
    <row r="346" spans="1:7" ht="17.45" customHeight="1">
      <c r="A346" s="1432">
        <v>71</v>
      </c>
      <c r="B346" s="1001"/>
      <c r="C346" s="1433"/>
      <c r="D346" s="1434"/>
      <c r="E346" s="1436"/>
      <c r="F346" s="1001"/>
      <c r="G346" s="1001"/>
    </row>
    <row r="347" spans="1:7" ht="17.45" customHeight="1">
      <c r="A347" s="1432">
        <v>72</v>
      </c>
      <c r="B347" s="1001"/>
      <c r="C347" s="1433"/>
      <c r="D347" s="1434"/>
      <c r="E347" s="1436"/>
      <c r="F347" s="1001"/>
      <c r="G347" s="1001"/>
    </row>
    <row r="348" spans="1:7" s="157" customFormat="1" ht="22.5" customHeight="1">
      <c r="A348" s="1431" t="s">
        <v>1957</v>
      </c>
      <c r="B348" s="1431" t="s">
        <v>2325</v>
      </c>
      <c r="C348" s="1448"/>
      <c r="D348" s="1429"/>
      <c r="E348" s="1450"/>
      <c r="F348" s="1431"/>
      <c r="G348" s="1431"/>
    </row>
    <row r="349" spans="1:7" ht="17.45" customHeight="1">
      <c r="A349" s="1432">
        <v>1</v>
      </c>
      <c r="B349" s="1001" t="s">
        <v>2326</v>
      </c>
      <c r="C349" s="1636" t="s">
        <v>2327</v>
      </c>
      <c r="D349" s="1451"/>
      <c r="E349" s="1452"/>
      <c r="F349" s="1453"/>
      <c r="G349" s="1001" t="s">
        <v>427</v>
      </c>
    </row>
    <row r="350" spans="1:7" ht="17.45" customHeight="1">
      <c r="A350" s="1432">
        <v>2</v>
      </c>
      <c r="B350" s="1001" t="s">
        <v>2328</v>
      </c>
      <c r="C350" s="1636" t="s">
        <v>2329</v>
      </c>
      <c r="D350" s="1434"/>
      <c r="E350" s="1435"/>
      <c r="F350" s="1001"/>
      <c r="G350" s="1001" t="s">
        <v>427</v>
      </c>
    </row>
    <row r="351" spans="1:7" ht="17.45" customHeight="1">
      <c r="A351" s="1432">
        <v>3</v>
      </c>
      <c r="B351" s="1001" t="s">
        <v>2330</v>
      </c>
      <c r="C351" s="1636" t="s">
        <v>2331</v>
      </c>
      <c r="D351" s="1434"/>
      <c r="E351" s="1436"/>
      <c r="F351" s="1001"/>
      <c r="G351" s="1001" t="s">
        <v>521</v>
      </c>
    </row>
    <row r="352" spans="1:7" ht="17.45" customHeight="1">
      <c r="A352" s="1432">
        <v>4</v>
      </c>
      <c r="B352" s="1001" t="s">
        <v>657</v>
      </c>
      <c r="C352" s="1636" t="s">
        <v>2332</v>
      </c>
      <c r="D352" s="1434"/>
      <c r="E352" s="1436"/>
      <c r="F352" s="1001"/>
      <c r="G352" s="1001" t="s">
        <v>521</v>
      </c>
    </row>
    <row r="353" spans="1:7" ht="17.45" customHeight="1">
      <c r="A353" s="1432">
        <v>5</v>
      </c>
      <c r="B353" s="1001" t="s">
        <v>51</v>
      </c>
      <c r="C353" s="1636" t="s">
        <v>2333</v>
      </c>
      <c r="D353" s="1434"/>
      <c r="E353" s="1436"/>
      <c r="F353" s="1001"/>
      <c r="G353" s="1001" t="s">
        <v>123</v>
      </c>
    </row>
    <row r="354" spans="1:7" ht="17.45" customHeight="1">
      <c r="A354" s="1432">
        <v>6</v>
      </c>
      <c r="B354" s="1001" t="s">
        <v>2334</v>
      </c>
      <c r="C354" s="1636" t="s">
        <v>2335</v>
      </c>
      <c r="D354" s="1434"/>
      <c r="E354" s="1454"/>
      <c r="F354" s="1001"/>
      <c r="G354" s="1001" t="s">
        <v>522</v>
      </c>
    </row>
    <row r="355" spans="1:7" ht="17.45" customHeight="1">
      <c r="A355" s="1432">
        <v>7</v>
      </c>
      <c r="B355" s="1001" t="s">
        <v>2336</v>
      </c>
      <c r="C355" s="1636" t="s">
        <v>2337</v>
      </c>
      <c r="D355" s="1434"/>
      <c r="E355" s="1436"/>
      <c r="F355" s="1001"/>
      <c r="G355" s="1001" t="s">
        <v>522</v>
      </c>
    </row>
    <row r="356" spans="1:7" ht="17.45" customHeight="1">
      <c r="A356" s="1432">
        <v>8</v>
      </c>
      <c r="B356" s="1001" t="s">
        <v>2338</v>
      </c>
      <c r="C356" s="1636" t="s">
        <v>2339</v>
      </c>
      <c r="D356" s="1434"/>
      <c r="E356" s="1436"/>
      <c r="F356" s="1001"/>
      <c r="G356" s="1001" t="s">
        <v>522</v>
      </c>
    </row>
    <row r="357" spans="1:7" ht="17.45" customHeight="1">
      <c r="A357" s="1432">
        <v>9</v>
      </c>
      <c r="B357" s="1001" t="s">
        <v>1078</v>
      </c>
      <c r="C357" s="1636" t="s">
        <v>2340</v>
      </c>
      <c r="D357" s="1434"/>
      <c r="E357" s="1436"/>
      <c r="F357" s="1001"/>
      <c r="G357" s="1001" t="s">
        <v>522</v>
      </c>
    </row>
    <row r="358" spans="1:7" ht="17.45" customHeight="1">
      <c r="A358" s="1432">
        <v>10</v>
      </c>
      <c r="B358" s="1001" t="s">
        <v>54</v>
      </c>
      <c r="C358" s="1636" t="s">
        <v>2341</v>
      </c>
      <c r="D358" s="1434"/>
      <c r="E358" s="1436"/>
      <c r="F358" s="1001"/>
      <c r="G358" s="1001" t="s">
        <v>285</v>
      </c>
    </row>
    <row r="359" spans="1:7" ht="17.45" customHeight="1">
      <c r="A359" s="1432">
        <v>11</v>
      </c>
      <c r="B359" s="1001" t="s">
        <v>2342</v>
      </c>
      <c r="C359" s="1636" t="s">
        <v>2343</v>
      </c>
      <c r="D359" s="1434"/>
      <c r="E359" s="1454"/>
      <c r="F359" s="1001"/>
      <c r="G359" s="1001" t="s">
        <v>285</v>
      </c>
    </row>
    <row r="360" spans="1:7" ht="17.45" customHeight="1">
      <c r="A360" s="1432">
        <v>12</v>
      </c>
      <c r="B360" s="1001" t="s">
        <v>1402</v>
      </c>
      <c r="C360" s="1636" t="s">
        <v>2344</v>
      </c>
      <c r="D360" s="1434"/>
      <c r="E360" s="1454"/>
      <c r="F360" s="1001"/>
      <c r="G360" s="1001" t="s">
        <v>285</v>
      </c>
    </row>
    <row r="361" spans="1:7" ht="17.45" customHeight="1">
      <c r="A361" s="1432">
        <v>13</v>
      </c>
      <c r="B361" s="1001" t="s">
        <v>585</v>
      </c>
      <c r="C361" s="1636" t="s">
        <v>2345</v>
      </c>
      <c r="D361" s="1434"/>
      <c r="E361" s="1454"/>
      <c r="F361" s="1001"/>
      <c r="G361" s="1001" t="s">
        <v>2346</v>
      </c>
    </row>
    <row r="362" spans="1:7" ht="17.45" customHeight="1">
      <c r="A362" s="1432">
        <v>14</v>
      </c>
      <c r="B362" s="1001"/>
      <c r="C362" s="1433"/>
      <c r="D362" s="1434"/>
      <c r="E362" s="1454"/>
      <c r="F362" s="1001"/>
      <c r="G362" s="1001"/>
    </row>
    <row r="363" spans="1:7" ht="21.95" customHeight="1">
      <c r="A363" s="1431" t="s">
        <v>1958</v>
      </c>
      <c r="B363" s="1431" t="s">
        <v>2347</v>
      </c>
      <c r="C363" s="1433"/>
      <c r="D363" s="1434"/>
      <c r="E363" s="1436"/>
      <c r="F363" s="1001"/>
      <c r="G363" s="1001"/>
    </row>
    <row r="364" spans="1:7" ht="17.45" customHeight="1">
      <c r="A364" s="1432">
        <v>1</v>
      </c>
      <c r="B364" s="1001" t="s">
        <v>2348</v>
      </c>
      <c r="C364" s="1636" t="s">
        <v>2349</v>
      </c>
      <c r="D364" s="1434"/>
      <c r="E364" s="1436"/>
      <c r="F364" s="1001"/>
      <c r="G364" s="1001"/>
    </row>
    <row r="365" spans="1:7" ht="17.45" customHeight="1">
      <c r="A365" s="1432">
        <v>2</v>
      </c>
      <c r="B365" s="1001" t="s">
        <v>1907</v>
      </c>
      <c r="C365" s="1636" t="s">
        <v>2350</v>
      </c>
      <c r="D365" s="1434"/>
      <c r="E365" s="1436"/>
      <c r="F365" s="1001"/>
      <c r="G365" s="1001"/>
    </row>
    <row r="366" spans="1:7" ht="17.45" customHeight="1">
      <c r="A366" s="1432">
        <v>3</v>
      </c>
      <c r="B366" s="1001" t="s">
        <v>1905</v>
      </c>
      <c r="C366" s="1636" t="s">
        <v>2351</v>
      </c>
      <c r="D366" s="1434"/>
      <c r="E366" s="1436"/>
      <c r="F366" s="1001"/>
      <c r="G366" s="1001"/>
    </row>
    <row r="367" spans="1:7" ht="17.45" customHeight="1">
      <c r="A367" s="1432">
        <v>4</v>
      </c>
      <c r="B367" s="1001" t="s">
        <v>2352</v>
      </c>
      <c r="C367" s="1636" t="s">
        <v>2353</v>
      </c>
      <c r="D367" s="1434"/>
      <c r="E367" s="1436"/>
      <c r="F367" s="1001"/>
      <c r="G367" s="1001"/>
    </row>
    <row r="368" spans="1:7" ht="17.45" customHeight="1">
      <c r="A368" s="1432">
        <v>5</v>
      </c>
      <c r="B368" s="1001" t="s">
        <v>2354</v>
      </c>
      <c r="C368" s="1636" t="s">
        <v>2355</v>
      </c>
      <c r="D368" s="1434"/>
      <c r="E368" s="1436"/>
      <c r="F368" s="1001"/>
      <c r="G368" s="1001"/>
    </row>
    <row r="369" spans="1:7" ht="17.45" customHeight="1">
      <c r="A369" s="1432">
        <v>6</v>
      </c>
      <c r="B369" s="1001" t="s">
        <v>2356</v>
      </c>
      <c r="C369" s="1636" t="s">
        <v>2357</v>
      </c>
      <c r="D369" s="1434"/>
      <c r="E369" s="1436"/>
      <c r="F369" s="1001"/>
      <c r="G369" s="1001"/>
    </row>
    <row r="370" spans="1:7" ht="17.45" customHeight="1">
      <c r="A370" s="1432">
        <v>7</v>
      </c>
      <c r="B370" s="1001" t="s">
        <v>1911</v>
      </c>
      <c r="C370" s="1636" t="s">
        <v>2358</v>
      </c>
      <c r="D370" s="1434"/>
      <c r="E370" s="1436"/>
      <c r="F370" s="1001"/>
      <c r="G370" s="1001"/>
    </row>
    <row r="371" spans="1:7" s="157" customFormat="1" ht="23.45" customHeight="1">
      <c r="A371" s="1447" t="s">
        <v>2359</v>
      </c>
      <c r="B371" s="1431" t="s">
        <v>2360</v>
      </c>
      <c r="C371" s="1448"/>
      <c r="D371" s="1429"/>
      <c r="E371" s="1455"/>
      <c r="F371" s="1431"/>
      <c r="G371" s="1431"/>
    </row>
    <row r="372" spans="1:7" ht="17.45" customHeight="1">
      <c r="A372" s="1432">
        <v>1</v>
      </c>
      <c r="B372" s="1001" t="s">
        <v>2361</v>
      </c>
      <c r="C372" s="1636" t="s">
        <v>2362</v>
      </c>
      <c r="D372" s="1434"/>
      <c r="E372" s="1456"/>
      <c r="F372" s="1001"/>
      <c r="G372" s="1001"/>
    </row>
    <row r="373" spans="1:7" ht="17.45" customHeight="1">
      <c r="A373" s="1432">
        <v>2</v>
      </c>
      <c r="B373" s="1001" t="s">
        <v>330</v>
      </c>
      <c r="C373" s="1636" t="s">
        <v>2363</v>
      </c>
      <c r="D373" s="1434"/>
      <c r="E373" s="1456"/>
      <c r="F373" s="1001"/>
      <c r="G373" s="1001"/>
    </row>
    <row r="374" spans="1:7" ht="17.45" customHeight="1">
      <c r="A374" s="1432">
        <v>3</v>
      </c>
      <c r="B374" s="1001" t="s">
        <v>603</v>
      </c>
      <c r="C374" s="1636" t="s">
        <v>2364</v>
      </c>
      <c r="D374" s="1434"/>
      <c r="E374" s="1456"/>
      <c r="F374" s="1001"/>
      <c r="G374" s="1001"/>
    </row>
    <row r="375" spans="1:7" ht="17.45" customHeight="1">
      <c r="A375" s="1432">
        <v>4</v>
      </c>
      <c r="B375" s="1001" t="s">
        <v>2365</v>
      </c>
      <c r="C375" s="1636" t="s">
        <v>2366</v>
      </c>
      <c r="D375" s="1434"/>
      <c r="E375" s="1456"/>
      <c r="F375" s="1001"/>
      <c r="G375" s="1001"/>
    </row>
    <row r="376" spans="1:7" ht="17.45" customHeight="1">
      <c r="A376" s="1432">
        <v>5</v>
      </c>
      <c r="B376" s="1001" t="s">
        <v>2367</v>
      </c>
      <c r="C376" s="1636" t="s">
        <v>2368</v>
      </c>
      <c r="D376" s="1434"/>
      <c r="E376" s="1456"/>
      <c r="F376" s="1001"/>
      <c r="G376" s="1001"/>
    </row>
    <row r="377" spans="1:7" ht="17.45" customHeight="1">
      <c r="A377" s="1432">
        <v>6</v>
      </c>
      <c r="B377" s="1001" t="s">
        <v>2369</v>
      </c>
      <c r="C377" s="1636" t="s">
        <v>2370</v>
      </c>
      <c r="D377" s="1434"/>
      <c r="E377" s="1456"/>
      <c r="F377" s="1001"/>
      <c r="G377" s="1001"/>
    </row>
    <row r="378" spans="1:7" ht="17.45" customHeight="1">
      <c r="A378" s="1432">
        <v>7</v>
      </c>
      <c r="B378" s="1001" t="s">
        <v>2371</v>
      </c>
      <c r="C378" s="1636" t="s">
        <v>2372</v>
      </c>
      <c r="D378" s="1434"/>
      <c r="E378" s="1456"/>
      <c r="F378" s="1001"/>
      <c r="G378" s="1001"/>
    </row>
    <row r="379" spans="1:7" ht="17.45" customHeight="1">
      <c r="A379" s="1432">
        <v>8</v>
      </c>
      <c r="B379" s="1001" t="s">
        <v>2373</v>
      </c>
      <c r="C379" s="1636" t="s">
        <v>2374</v>
      </c>
      <c r="D379" s="1434"/>
      <c r="E379" s="1456"/>
      <c r="F379" s="1001"/>
      <c r="G379" s="1001"/>
    </row>
    <row r="380" spans="1:7" ht="17.45" customHeight="1">
      <c r="A380" s="1432">
        <v>9</v>
      </c>
      <c r="B380" s="1001" t="s">
        <v>2375</v>
      </c>
      <c r="C380" s="1636" t="s">
        <v>2376</v>
      </c>
      <c r="D380" s="1434"/>
      <c r="E380" s="1456"/>
      <c r="F380" s="1001"/>
      <c r="G380" s="1001"/>
    </row>
    <row r="381" spans="1:7" ht="17.45" customHeight="1">
      <c r="A381" s="1432">
        <v>10</v>
      </c>
      <c r="B381" s="1001" t="s">
        <v>2064</v>
      </c>
      <c r="C381" s="1636" t="s">
        <v>2377</v>
      </c>
      <c r="D381" s="1434"/>
      <c r="E381" s="1456"/>
      <c r="F381" s="1001"/>
      <c r="G381" s="1001"/>
    </row>
    <row r="382" spans="1:7" ht="17.45" customHeight="1">
      <c r="A382" s="1432">
        <v>11</v>
      </c>
      <c r="B382" s="1001" t="s">
        <v>602</v>
      </c>
      <c r="C382" s="1636" t="s">
        <v>2378</v>
      </c>
      <c r="D382" s="1434"/>
      <c r="E382" s="1456"/>
      <c r="F382" s="1001"/>
      <c r="G382" s="1001"/>
    </row>
    <row r="383" spans="1:7" ht="17.45" customHeight="1">
      <c r="A383" s="1432">
        <v>12</v>
      </c>
      <c r="B383" s="1001" t="s">
        <v>122</v>
      </c>
      <c r="C383" s="1636" t="s">
        <v>2379</v>
      </c>
      <c r="D383" s="1434"/>
      <c r="E383" s="1456"/>
      <c r="F383" s="1001"/>
      <c r="G383" s="1001"/>
    </row>
    <row r="384" spans="1:7" ht="17.45" customHeight="1">
      <c r="A384" s="1432">
        <v>13</v>
      </c>
      <c r="B384" s="1001" t="s">
        <v>2380</v>
      </c>
      <c r="C384" s="1636" t="s">
        <v>2381</v>
      </c>
      <c r="D384" s="1434"/>
      <c r="E384" s="1456"/>
      <c r="F384" s="1001"/>
      <c r="G384" s="1001"/>
    </row>
    <row r="385" spans="1:7" ht="17.45" customHeight="1">
      <c r="A385" s="1432">
        <v>14</v>
      </c>
      <c r="B385" s="1001" t="s">
        <v>2382</v>
      </c>
      <c r="C385" s="1636" t="s">
        <v>2383</v>
      </c>
      <c r="D385" s="1434"/>
      <c r="E385" s="1456"/>
      <c r="F385" s="1001"/>
      <c r="G385" s="1001"/>
    </row>
    <row r="386" spans="1:7" ht="17.45" customHeight="1">
      <c r="A386" s="1432">
        <v>15</v>
      </c>
      <c r="B386" s="1001" t="s">
        <v>2384</v>
      </c>
      <c r="C386" s="1636" t="s">
        <v>2385</v>
      </c>
      <c r="D386" s="1434"/>
      <c r="E386" s="1456"/>
      <c r="F386" s="1001"/>
      <c r="G386" s="1001"/>
    </row>
    <row r="387" spans="1:7" ht="17.45" customHeight="1">
      <c r="A387" s="1432">
        <v>16</v>
      </c>
      <c r="B387" s="1001" t="s">
        <v>1214</v>
      </c>
      <c r="C387" s="1636" t="s">
        <v>2386</v>
      </c>
      <c r="D387" s="1434"/>
      <c r="E387" s="1456"/>
      <c r="F387" s="1001"/>
      <c r="G387" s="1001"/>
    </row>
    <row r="388" spans="1:7" ht="17.45" customHeight="1">
      <c r="A388" s="1432">
        <v>17</v>
      </c>
      <c r="B388" s="1001" t="s">
        <v>108</v>
      </c>
      <c r="C388" s="1636" t="s">
        <v>2387</v>
      </c>
      <c r="D388" s="1434"/>
      <c r="E388" s="1456"/>
      <c r="F388" s="1001"/>
      <c r="G388" s="1001"/>
    </row>
    <row r="389" spans="1:7" ht="17.45" customHeight="1">
      <c r="A389" s="1432">
        <v>18</v>
      </c>
      <c r="B389" s="1001" t="s">
        <v>2388</v>
      </c>
      <c r="C389" s="1636" t="s">
        <v>2389</v>
      </c>
      <c r="D389" s="1434"/>
      <c r="E389" s="1456"/>
      <c r="F389" s="1001"/>
      <c r="G389" s="1001"/>
    </row>
    <row r="390" spans="1:7" ht="17.45" customHeight="1">
      <c r="A390" s="172"/>
      <c r="B390" s="1421"/>
      <c r="C390" s="1457"/>
      <c r="D390" s="172"/>
      <c r="E390" s="1458"/>
      <c r="F390" s="1421"/>
    </row>
    <row r="391" spans="1:7">
      <c r="A391" s="1459"/>
      <c r="B391" s="1210"/>
      <c r="F391" s="2334" t="s">
        <v>2390</v>
      </c>
      <c r="G391" s="2334"/>
    </row>
    <row r="392" spans="1:7">
      <c r="A392" s="1210"/>
      <c r="B392" s="1210"/>
      <c r="D392" s="1460"/>
      <c r="F392" s="2335" t="s">
        <v>2391</v>
      </c>
      <c r="G392" s="2335"/>
    </row>
    <row r="393" spans="1:7">
      <c r="A393" s="1210"/>
      <c r="B393" s="1210"/>
    </row>
    <row r="394" spans="1:7">
      <c r="A394" s="1210"/>
      <c r="B394" s="1210"/>
    </row>
    <row r="399" spans="1:7">
      <c r="A399" s="1210"/>
      <c r="B399" s="1210"/>
    </row>
    <row r="400" spans="1:7">
      <c r="A400" s="1210"/>
      <c r="B400" s="1210"/>
    </row>
    <row r="401" spans="1:2">
      <c r="A401" s="1210"/>
      <c r="B401" s="1210"/>
    </row>
    <row r="402" spans="1:2">
      <c r="A402" s="1210"/>
      <c r="B402" s="1210"/>
    </row>
    <row r="403" spans="1:2">
      <c r="A403" s="1210"/>
      <c r="B403" s="1210"/>
    </row>
    <row r="404" spans="1:2">
      <c r="A404" s="1210"/>
      <c r="B404" s="1210"/>
    </row>
    <row r="405" spans="1:2">
      <c r="A405" s="1210"/>
      <c r="B405" s="1210"/>
    </row>
    <row r="406" spans="1:2">
      <c r="A406" s="1210"/>
      <c r="B406" s="1210"/>
    </row>
    <row r="407" spans="1:2">
      <c r="A407" s="1210"/>
      <c r="B407" s="1210"/>
    </row>
    <row r="408" spans="1:2">
      <c r="A408" s="1210"/>
      <c r="B408" s="1210"/>
    </row>
    <row r="409" spans="1:2">
      <c r="A409" s="1210"/>
      <c r="B409" s="1210"/>
    </row>
    <row r="410" spans="1:2">
      <c r="A410" s="1210"/>
      <c r="B410" s="1210"/>
    </row>
    <row r="411" spans="1:2">
      <c r="A411" s="1210"/>
      <c r="B411" s="1210"/>
    </row>
    <row r="412" spans="1:2">
      <c r="A412" s="1210"/>
      <c r="B412" s="1210"/>
    </row>
    <row r="413" spans="1:2">
      <c r="A413" s="1210"/>
      <c r="B413" s="1210"/>
    </row>
    <row r="414" spans="1:2">
      <c r="A414" s="1210"/>
      <c r="B414" s="1210"/>
    </row>
    <row r="415" spans="1:2">
      <c r="A415" s="1210"/>
      <c r="B415" s="1210"/>
    </row>
    <row r="416" spans="1:2">
      <c r="A416" s="1210"/>
      <c r="B416" s="1210"/>
    </row>
    <row r="417" spans="1:2">
      <c r="A417" s="1210"/>
      <c r="B417" s="1210"/>
    </row>
    <row r="418" spans="1:2">
      <c r="A418" s="1210"/>
      <c r="B418" s="1210"/>
    </row>
    <row r="419" spans="1:2">
      <c r="A419" s="1210"/>
      <c r="B419" s="1210"/>
    </row>
    <row r="420" spans="1:2">
      <c r="A420" s="1210"/>
      <c r="B420" s="1210"/>
    </row>
    <row r="421" spans="1:2">
      <c r="A421" s="1210"/>
      <c r="B421" s="1210"/>
    </row>
    <row r="422" spans="1:2">
      <c r="A422" s="1210"/>
      <c r="B422" s="1210"/>
    </row>
    <row r="423" spans="1:2">
      <c r="A423" s="1210"/>
      <c r="B423" s="1210"/>
    </row>
    <row r="424" spans="1:2">
      <c r="A424" s="1210"/>
      <c r="B424" s="1210"/>
    </row>
    <row r="425" spans="1:2">
      <c r="A425" s="1210"/>
      <c r="B425" s="1210"/>
    </row>
    <row r="426" spans="1:2">
      <c r="A426" s="1210"/>
      <c r="B426" s="1210"/>
    </row>
    <row r="427" spans="1:2">
      <c r="A427" s="1210"/>
      <c r="B427" s="1210"/>
    </row>
    <row r="428" spans="1:2">
      <c r="A428" s="1210"/>
      <c r="B428" s="1210"/>
    </row>
    <row r="429" spans="1:2">
      <c r="A429" s="1210"/>
      <c r="B429" s="1210"/>
    </row>
    <row r="430" spans="1:2">
      <c r="A430" s="1210"/>
      <c r="B430" s="1210"/>
    </row>
    <row r="431" spans="1:2">
      <c r="A431" s="1210"/>
      <c r="B431" s="1210"/>
    </row>
    <row r="432" spans="1:2">
      <c r="A432" s="1210"/>
      <c r="B432" s="1210"/>
    </row>
    <row r="433" spans="1:2">
      <c r="A433" s="1210"/>
      <c r="B433" s="1210"/>
    </row>
    <row r="434" spans="1:2">
      <c r="A434" s="1210"/>
      <c r="B434" s="1210"/>
    </row>
    <row r="435" spans="1:2">
      <c r="A435" s="1210"/>
      <c r="B435" s="1210"/>
    </row>
    <row r="436" spans="1:2">
      <c r="A436" s="1210"/>
      <c r="B436" s="1210"/>
    </row>
    <row r="437" spans="1:2">
      <c r="A437" s="1210"/>
      <c r="B437" s="1210"/>
    </row>
    <row r="438" spans="1:2">
      <c r="A438" s="1210"/>
      <c r="B438" s="1210"/>
    </row>
    <row r="439" spans="1:2">
      <c r="A439" s="1210"/>
      <c r="B439" s="1210"/>
    </row>
    <row r="440" spans="1:2">
      <c r="A440" s="1210"/>
      <c r="B440" s="1210"/>
    </row>
    <row r="441" spans="1:2">
      <c r="A441" s="1210"/>
      <c r="B441" s="1210"/>
    </row>
    <row r="442" spans="1:2">
      <c r="A442" s="1210"/>
      <c r="B442" s="1210"/>
    </row>
    <row r="443" spans="1:2">
      <c r="A443" s="1210"/>
      <c r="B443" s="1210"/>
    </row>
    <row r="444" spans="1:2">
      <c r="A444" s="1210"/>
      <c r="B444" s="1210"/>
    </row>
    <row r="445" spans="1:2">
      <c r="A445" s="1210"/>
      <c r="B445" s="1210"/>
    </row>
    <row r="446" spans="1:2">
      <c r="A446" s="1210"/>
      <c r="B446" s="1210"/>
    </row>
    <row r="447" spans="1:2">
      <c r="A447" s="1210"/>
      <c r="B447" s="1210"/>
    </row>
    <row r="448" spans="1:2">
      <c r="A448" s="1210"/>
      <c r="B448" s="1210"/>
    </row>
    <row r="449" spans="1:2">
      <c r="A449" s="1210"/>
      <c r="B449" s="1210"/>
    </row>
    <row r="450" spans="1:2">
      <c r="A450" s="1210"/>
      <c r="B450" s="1210"/>
    </row>
    <row r="451" spans="1:2">
      <c r="A451" s="1210"/>
      <c r="B451" s="1210"/>
    </row>
    <row r="452" spans="1:2">
      <c r="A452" s="1210"/>
      <c r="B452" s="1210"/>
    </row>
    <row r="453" spans="1:2">
      <c r="A453" s="1210"/>
      <c r="B453" s="1210"/>
    </row>
    <row r="454" spans="1:2">
      <c r="A454" s="1210"/>
      <c r="B454" s="1210"/>
    </row>
    <row r="455" spans="1:2">
      <c r="A455" s="1210"/>
      <c r="B455" s="1210"/>
    </row>
    <row r="456" spans="1:2">
      <c r="A456" s="1210"/>
      <c r="B456" s="1210"/>
    </row>
    <row r="457" spans="1:2">
      <c r="A457" s="1210"/>
      <c r="B457" s="1210"/>
    </row>
    <row r="458" spans="1:2">
      <c r="A458" s="1210"/>
      <c r="B458" s="1210"/>
    </row>
    <row r="459" spans="1:2">
      <c r="A459" s="1210"/>
      <c r="B459" s="1210"/>
    </row>
    <row r="460" spans="1:2">
      <c r="A460" s="1210"/>
      <c r="B460" s="1210"/>
    </row>
    <row r="461" spans="1:2">
      <c r="A461" s="1210"/>
      <c r="B461" s="1210"/>
    </row>
    <row r="462" spans="1:2">
      <c r="A462" s="1210"/>
      <c r="B462" s="1210"/>
    </row>
    <row r="463" spans="1:2">
      <c r="A463" s="1210"/>
      <c r="B463" s="1210"/>
    </row>
    <row r="464" spans="1:2">
      <c r="A464" s="1210"/>
      <c r="B464" s="1210"/>
    </row>
    <row r="465" spans="1:2">
      <c r="A465" s="1210"/>
      <c r="B465" s="1210"/>
    </row>
    <row r="466" spans="1:2">
      <c r="A466" s="1210"/>
      <c r="B466" s="1210"/>
    </row>
    <row r="467" spans="1:2">
      <c r="A467" s="1210"/>
      <c r="B467" s="1210"/>
    </row>
    <row r="468" spans="1:2">
      <c r="A468" s="1210"/>
      <c r="B468" s="1210"/>
    </row>
    <row r="469" spans="1:2">
      <c r="A469" s="1210"/>
      <c r="B469" s="1210"/>
    </row>
    <row r="470" spans="1:2">
      <c r="A470" s="1210"/>
      <c r="B470" s="1210"/>
    </row>
    <row r="471" spans="1:2">
      <c r="A471" s="1210"/>
      <c r="B471" s="1210"/>
    </row>
    <row r="472" spans="1:2">
      <c r="A472" s="1210"/>
      <c r="B472" s="1210"/>
    </row>
    <row r="473" spans="1:2">
      <c r="A473" s="1210"/>
      <c r="B473" s="1210"/>
    </row>
    <row r="474" spans="1:2">
      <c r="A474" s="1210"/>
      <c r="B474" s="1210"/>
    </row>
    <row r="475" spans="1:2">
      <c r="A475" s="1210"/>
      <c r="B475" s="1210"/>
    </row>
    <row r="476" spans="1:2">
      <c r="A476" s="1210"/>
      <c r="B476" s="1210"/>
    </row>
    <row r="477" spans="1:2">
      <c r="A477" s="1210"/>
      <c r="B477" s="1210"/>
    </row>
    <row r="478" spans="1:2">
      <c r="A478" s="1210"/>
      <c r="B478" s="1210"/>
    </row>
    <row r="479" spans="1:2">
      <c r="A479" s="1210"/>
      <c r="B479" s="1210"/>
    </row>
    <row r="480" spans="1:2">
      <c r="A480" s="1210"/>
      <c r="B480" s="1210"/>
    </row>
    <row r="481" spans="1:2">
      <c r="A481" s="1210"/>
      <c r="B481" s="1210"/>
    </row>
    <row r="482" spans="1:2">
      <c r="A482" s="1210"/>
      <c r="B482" s="1210"/>
    </row>
    <row r="483" spans="1:2">
      <c r="A483" s="1210"/>
      <c r="B483" s="1210"/>
    </row>
    <row r="484" spans="1:2">
      <c r="A484" s="1210"/>
      <c r="B484" s="1210"/>
    </row>
    <row r="485" spans="1:2">
      <c r="A485" s="1210"/>
      <c r="B485" s="1210"/>
    </row>
    <row r="486" spans="1:2">
      <c r="A486" s="1210"/>
      <c r="B486" s="1210"/>
    </row>
    <row r="487" spans="1:2">
      <c r="A487" s="1210"/>
      <c r="B487" s="1210"/>
    </row>
    <row r="488" spans="1:2">
      <c r="A488" s="1210"/>
      <c r="B488" s="1210"/>
    </row>
    <row r="489" spans="1:2">
      <c r="A489" s="1210"/>
      <c r="B489" s="1210"/>
    </row>
    <row r="490" spans="1:2">
      <c r="A490" s="1210"/>
      <c r="B490" s="1210"/>
    </row>
    <row r="491" spans="1:2">
      <c r="A491" s="1210"/>
      <c r="B491" s="1210"/>
    </row>
    <row r="492" spans="1:2">
      <c r="A492" s="1210"/>
      <c r="B492" s="1210"/>
    </row>
    <row r="493" spans="1:2">
      <c r="A493" s="1210"/>
      <c r="B493" s="1210"/>
    </row>
    <row r="494" spans="1:2">
      <c r="A494" s="1210"/>
      <c r="B494" s="1210"/>
    </row>
    <row r="495" spans="1:2">
      <c r="A495" s="1210"/>
      <c r="B495" s="1210"/>
    </row>
    <row r="496" spans="1:2">
      <c r="A496" s="1210"/>
      <c r="B496" s="1210"/>
    </row>
    <row r="497" spans="1:2">
      <c r="A497" s="1210"/>
      <c r="B497" s="1210"/>
    </row>
    <row r="498" spans="1:2">
      <c r="A498" s="1210"/>
      <c r="B498" s="1210"/>
    </row>
    <row r="499" spans="1:2">
      <c r="A499" s="1210"/>
      <c r="B499" s="1210"/>
    </row>
    <row r="500" spans="1:2">
      <c r="A500" s="1210"/>
      <c r="B500" s="1210"/>
    </row>
    <row r="501" spans="1:2">
      <c r="A501" s="1210"/>
      <c r="B501" s="1210"/>
    </row>
    <row r="502" spans="1:2">
      <c r="A502" s="1210"/>
      <c r="B502" s="1210"/>
    </row>
    <row r="503" spans="1:2">
      <c r="A503" s="1210"/>
      <c r="B503" s="1210"/>
    </row>
    <row r="504" spans="1:2">
      <c r="A504" s="1210"/>
      <c r="B504" s="1210"/>
    </row>
    <row r="505" spans="1:2">
      <c r="A505" s="1210"/>
      <c r="B505" s="1210"/>
    </row>
    <row r="506" spans="1:2">
      <c r="A506" s="1210"/>
      <c r="B506" s="1210"/>
    </row>
    <row r="507" spans="1:2">
      <c r="A507" s="1210"/>
      <c r="B507" s="1210"/>
    </row>
    <row r="508" spans="1:2">
      <c r="A508" s="1210"/>
      <c r="B508" s="1210"/>
    </row>
    <row r="509" spans="1:2">
      <c r="A509" s="1210"/>
      <c r="B509" s="1210"/>
    </row>
    <row r="510" spans="1:2">
      <c r="A510" s="1210"/>
      <c r="B510" s="1210"/>
    </row>
    <row r="511" spans="1:2">
      <c r="A511" s="1210"/>
      <c r="B511" s="1210"/>
    </row>
    <row r="512" spans="1:2">
      <c r="A512" s="1210"/>
      <c r="B512" s="1210"/>
    </row>
    <row r="513" spans="1:2">
      <c r="A513" s="1210"/>
      <c r="B513" s="1210"/>
    </row>
    <row r="514" spans="1:2">
      <c r="A514" s="1210"/>
      <c r="B514" s="1210"/>
    </row>
    <row r="515" spans="1:2">
      <c r="A515" s="1210"/>
      <c r="B515" s="1210"/>
    </row>
    <row r="516" spans="1:2">
      <c r="A516" s="1210"/>
      <c r="B516" s="1210"/>
    </row>
    <row r="517" spans="1:2">
      <c r="A517" s="1210"/>
      <c r="B517" s="1210"/>
    </row>
    <row r="518" spans="1:2">
      <c r="A518" s="1210"/>
      <c r="B518" s="1210"/>
    </row>
    <row r="519" spans="1:2">
      <c r="A519" s="1210"/>
      <c r="B519" s="1210"/>
    </row>
    <row r="520" spans="1:2">
      <c r="A520" s="1210"/>
      <c r="B520" s="1210"/>
    </row>
    <row r="521" spans="1:2">
      <c r="A521" s="1210"/>
      <c r="B521" s="1210"/>
    </row>
    <row r="522" spans="1:2">
      <c r="A522" s="1210"/>
      <c r="B522" s="1210"/>
    </row>
    <row r="523" spans="1:2">
      <c r="A523" s="1210"/>
      <c r="B523" s="1210"/>
    </row>
    <row r="524" spans="1:2">
      <c r="A524" s="1210"/>
      <c r="B524" s="1210"/>
    </row>
    <row r="525" spans="1:2">
      <c r="A525" s="1210"/>
      <c r="B525" s="1210"/>
    </row>
    <row r="526" spans="1:2">
      <c r="A526" s="1210"/>
      <c r="B526" s="1210"/>
    </row>
    <row r="527" spans="1:2">
      <c r="A527" s="1210"/>
      <c r="B527" s="1210"/>
    </row>
    <row r="528" spans="1:2">
      <c r="A528" s="1210"/>
      <c r="B528" s="1210"/>
    </row>
    <row r="529" spans="1:2">
      <c r="A529" s="1210"/>
      <c r="B529" s="1210"/>
    </row>
    <row r="530" spans="1:2">
      <c r="A530" s="1210"/>
      <c r="B530" s="1210"/>
    </row>
    <row r="531" spans="1:2">
      <c r="A531" s="1210"/>
      <c r="B531" s="1210"/>
    </row>
    <row r="532" spans="1:2">
      <c r="A532" s="1210"/>
      <c r="B532" s="1210"/>
    </row>
    <row r="533" spans="1:2">
      <c r="A533" s="1210"/>
      <c r="B533" s="1210"/>
    </row>
    <row r="534" spans="1:2">
      <c r="A534" s="1210"/>
      <c r="B534" s="1210"/>
    </row>
    <row r="535" spans="1:2">
      <c r="A535" s="1210"/>
      <c r="B535" s="1210"/>
    </row>
    <row r="536" spans="1:2">
      <c r="A536" s="1210"/>
      <c r="B536" s="1210"/>
    </row>
    <row r="537" spans="1:2">
      <c r="A537" s="1210"/>
      <c r="B537" s="1210"/>
    </row>
    <row r="538" spans="1:2">
      <c r="A538" s="1210"/>
      <c r="B538" s="1210"/>
    </row>
    <row r="539" spans="1:2">
      <c r="A539" s="1210"/>
      <c r="B539" s="1210"/>
    </row>
    <row r="540" spans="1:2">
      <c r="A540" s="1210"/>
      <c r="B540" s="1210"/>
    </row>
    <row r="541" spans="1:2">
      <c r="A541" s="1210"/>
      <c r="B541" s="1210"/>
    </row>
    <row r="542" spans="1:2">
      <c r="A542" s="1210"/>
      <c r="B542" s="1210"/>
    </row>
    <row r="543" spans="1:2">
      <c r="A543" s="1210"/>
      <c r="B543" s="1210"/>
    </row>
    <row r="544" spans="1:2">
      <c r="A544" s="1210"/>
      <c r="B544" s="1210"/>
    </row>
    <row r="545" spans="1:2">
      <c r="A545" s="1210"/>
      <c r="B545" s="1210"/>
    </row>
    <row r="546" spans="1:2">
      <c r="A546" s="1210"/>
      <c r="B546" s="1210"/>
    </row>
    <row r="547" spans="1:2">
      <c r="A547" s="1210"/>
      <c r="B547" s="1210"/>
    </row>
    <row r="548" spans="1:2">
      <c r="A548" s="1210"/>
      <c r="B548" s="1210"/>
    </row>
    <row r="549" spans="1:2">
      <c r="A549" s="1210"/>
      <c r="B549" s="1210"/>
    </row>
    <row r="550" spans="1:2">
      <c r="A550" s="1210"/>
      <c r="B550" s="1210"/>
    </row>
    <row r="551" spans="1:2">
      <c r="A551" s="1210"/>
      <c r="B551" s="1210"/>
    </row>
    <row r="552" spans="1:2">
      <c r="A552" s="1210"/>
      <c r="B552" s="1210"/>
    </row>
    <row r="553" spans="1:2">
      <c r="A553" s="1210"/>
      <c r="B553" s="1210"/>
    </row>
    <row r="554" spans="1:2">
      <c r="A554" s="1210"/>
      <c r="B554" s="1210"/>
    </row>
    <row r="555" spans="1:2">
      <c r="A555" s="1210"/>
      <c r="B555" s="1210"/>
    </row>
    <row r="556" spans="1:2">
      <c r="A556" s="1210"/>
      <c r="B556" s="1210"/>
    </row>
    <row r="557" spans="1:2">
      <c r="A557" s="1210"/>
      <c r="B557" s="1210"/>
    </row>
    <row r="558" spans="1:2">
      <c r="A558" s="1210"/>
      <c r="B558" s="1210"/>
    </row>
    <row r="559" spans="1:2">
      <c r="A559" s="1210"/>
      <c r="B559" s="1210"/>
    </row>
    <row r="560" spans="1:2">
      <c r="A560" s="1210"/>
      <c r="B560" s="1210"/>
    </row>
    <row r="561" spans="1:2">
      <c r="A561" s="1210"/>
      <c r="B561" s="1210"/>
    </row>
    <row r="562" spans="1:2">
      <c r="A562" s="1210"/>
      <c r="B562" s="1210"/>
    </row>
    <row r="563" spans="1:2">
      <c r="A563" s="1210"/>
      <c r="B563" s="1210"/>
    </row>
    <row r="564" spans="1:2">
      <c r="A564" s="1210"/>
      <c r="B564" s="1210"/>
    </row>
    <row r="565" spans="1:2">
      <c r="A565" s="1210"/>
      <c r="B565" s="1210"/>
    </row>
    <row r="566" spans="1:2">
      <c r="A566" s="1210"/>
      <c r="B566" s="1210"/>
    </row>
    <row r="567" spans="1:2">
      <c r="A567" s="1210"/>
      <c r="B567" s="1210"/>
    </row>
    <row r="568" spans="1:2">
      <c r="A568" s="1210"/>
      <c r="B568" s="1210"/>
    </row>
    <row r="569" spans="1:2">
      <c r="A569" s="1210"/>
      <c r="B569" s="1210"/>
    </row>
    <row r="570" spans="1:2">
      <c r="A570" s="1210"/>
      <c r="B570" s="1210"/>
    </row>
    <row r="571" spans="1:2">
      <c r="A571" s="1210"/>
      <c r="B571" s="1210"/>
    </row>
    <row r="572" spans="1:2">
      <c r="A572" s="1210"/>
      <c r="B572" s="1210"/>
    </row>
    <row r="573" spans="1:2">
      <c r="A573" s="1210"/>
      <c r="B573" s="1210"/>
    </row>
    <row r="574" spans="1:2">
      <c r="A574" s="1210"/>
      <c r="B574" s="1210"/>
    </row>
    <row r="575" spans="1:2">
      <c r="A575" s="1210"/>
      <c r="B575" s="1210"/>
    </row>
    <row r="576" spans="1:2">
      <c r="A576" s="1210"/>
      <c r="B576" s="1210"/>
    </row>
    <row r="577" spans="1:2">
      <c r="A577" s="1210"/>
      <c r="B577" s="1210"/>
    </row>
    <row r="578" spans="1:2">
      <c r="A578" s="1210"/>
      <c r="B578" s="1210"/>
    </row>
    <row r="579" spans="1:2">
      <c r="A579" s="1210"/>
      <c r="B579" s="1210"/>
    </row>
    <row r="580" spans="1:2">
      <c r="A580" s="1210"/>
      <c r="B580" s="1210"/>
    </row>
    <row r="581" spans="1:2">
      <c r="A581" s="1210"/>
      <c r="B581" s="1210"/>
    </row>
    <row r="582" spans="1:2">
      <c r="A582" s="1210"/>
      <c r="B582" s="1210"/>
    </row>
    <row r="583" spans="1:2">
      <c r="A583" s="1210"/>
      <c r="B583" s="1210"/>
    </row>
    <row r="584" spans="1:2">
      <c r="A584" s="1210"/>
      <c r="B584" s="1210"/>
    </row>
    <row r="585" spans="1:2">
      <c r="A585" s="1210"/>
      <c r="B585" s="1210"/>
    </row>
    <row r="586" spans="1:2">
      <c r="A586" s="1210"/>
      <c r="B586" s="1210"/>
    </row>
    <row r="587" spans="1:2">
      <c r="A587" s="1210"/>
      <c r="B587" s="1210"/>
    </row>
    <row r="588" spans="1:2">
      <c r="A588" s="1210"/>
      <c r="B588" s="1210"/>
    </row>
    <row r="589" spans="1:2">
      <c r="A589" s="1210"/>
      <c r="B589" s="1210"/>
    </row>
    <row r="590" spans="1:2">
      <c r="A590" s="1210"/>
      <c r="B590" s="1210"/>
    </row>
    <row r="591" spans="1:2">
      <c r="A591" s="1210"/>
      <c r="B591" s="1210"/>
    </row>
    <row r="592" spans="1:2">
      <c r="A592" s="1210"/>
      <c r="B592" s="1210"/>
    </row>
    <row r="593" spans="1:2">
      <c r="A593" s="1210"/>
      <c r="B593" s="1210"/>
    </row>
    <row r="594" spans="1:2">
      <c r="A594" s="1210"/>
      <c r="B594" s="1210"/>
    </row>
    <row r="595" spans="1:2">
      <c r="A595" s="1210"/>
      <c r="B595" s="1210"/>
    </row>
    <row r="596" spans="1:2">
      <c r="A596" s="1210"/>
      <c r="B596" s="1210"/>
    </row>
    <row r="597" spans="1:2">
      <c r="A597" s="1210"/>
      <c r="B597" s="1210"/>
    </row>
    <row r="598" spans="1:2">
      <c r="A598" s="1210"/>
      <c r="B598" s="1210"/>
    </row>
    <row r="599" spans="1:2">
      <c r="A599" s="1210"/>
      <c r="B599" s="1210"/>
    </row>
    <row r="600" spans="1:2">
      <c r="A600" s="1210"/>
      <c r="B600" s="1210"/>
    </row>
    <row r="601" spans="1:2">
      <c r="A601" s="1210"/>
      <c r="B601" s="1210"/>
    </row>
    <row r="602" spans="1:2">
      <c r="A602" s="1210"/>
      <c r="B602" s="1210"/>
    </row>
    <row r="603" spans="1:2">
      <c r="A603" s="1210"/>
      <c r="B603" s="1210"/>
    </row>
    <row r="604" spans="1:2">
      <c r="A604" s="1210"/>
      <c r="B604" s="1210"/>
    </row>
    <row r="605" spans="1:2">
      <c r="A605" s="1210"/>
      <c r="B605" s="1210"/>
    </row>
    <row r="606" spans="1:2">
      <c r="A606" s="1210"/>
      <c r="B606" s="1210"/>
    </row>
    <row r="607" spans="1:2">
      <c r="A607" s="1210"/>
      <c r="B607" s="1210"/>
    </row>
    <row r="608" spans="1:2">
      <c r="A608" s="1210"/>
      <c r="B608" s="1210"/>
    </row>
    <row r="609" spans="1:2">
      <c r="A609" s="1210"/>
      <c r="B609" s="1210"/>
    </row>
    <row r="610" spans="1:2">
      <c r="A610" s="1210"/>
      <c r="B610" s="1210"/>
    </row>
    <row r="611" spans="1:2">
      <c r="A611" s="1210"/>
      <c r="B611" s="1210"/>
    </row>
    <row r="612" spans="1:2">
      <c r="A612" s="1210"/>
      <c r="B612" s="1210"/>
    </row>
    <row r="613" spans="1:2">
      <c r="A613" s="1210"/>
      <c r="B613" s="1210"/>
    </row>
    <row r="614" spans="1:2">
      <c r="A614" s="1210"/>
      <c r="B614" s="1210"/>
    </row>
    <row r="615" spans="1:2">
      <c r="A615" s="1210"/>
      <c r="B615" s="1210"/>
    </row>
    <row r="616" spans="1:2">
      <c r="A616" s="1210"/>
      <c r="B616" s="1210"/>
    </row>
    <row r="617" spans="1:2">
      <c r="A617" s="1210"/>
      <c r="B617" s="1210"/>
    </row>
    <row r="618" spans="1:2">
      <c r="A618" s="1210"/>
      <c r="B618" s="1210"/>
    </row>
    <row r="619" spans="1:2">
      <c r="A619" s="1210"/>
      <c r="B619" s="1210"/>
    </row>
    <row r="620" spans="1:2">
      <c r="A620" s="1210"/>
      <c r="B620" s="1210"/>
    </row>
    <row r="621" spans="1:2">
      <c r="A621" s="1210"/>
      <c r="B621" s="1210"/>
    </row>
    <row r="622" spans="1:2">
      <c r="A622" s="1210"/>
      <c r="B622" s="1210"/>
    </row>
    <row r="623" spans="1:2">
      <c r="A623" s="1210"/>
      <c r="B623" s="1210"/>
    </row>
    <row r="624" spans="1:2">
      <c r="A624" s="1210"/>
      <c r="B624" s="1210"/>
    </row>
    <row r="625" spans="1:2">
      <c r="A625" s="1210"/>
      <c r="B625" s="1210"/>
    </row>
    <row r="626" spans="1:2">
      <c r="A626" s="1210"/>
      <c r="B626" s="1210"/>
    </row>
    <row r="627" spans="1:2">
      <c r="A627" s="1210"/>
      <c r="B627" s="1210"/>
    </row>
    <row r="628" spans="1:2">
      <c r="A628" s="1210"/>
      <c r="B628" s="1210"/>
    </row>
    <row r="629" spans="1:2">
      <c r="A629" s="1210"/>
      <c r="B629" s="1210"/>
    </row>
    <row r="630" spans="1:2">
      <c r="A630" s="1210"/>
      <c r="B630" s="1210"/>
    </row>
    <row r="631" spans="1:2">
      <c r="A631" s="1210"/>
      <c r="B631" s="1210"/>
    </row>
    <row r="632" spans="1:2">
      <c r="A632" s="1210"/>
      <c r="B632" s="1210"/>
    </row>
    <row r="633" spans="1:2">
      <c r="A633" s="1210"/>
      <c r="B633" s="1210"/>
    </row>
    <row r="634" spans="1:2">
      <c r="A634" s="1210"/>
      <c r="B634" s="1210"/>
    </row>
    <row r="635" spans="1:2">
      <c r="A635" s="1210"/>
      <c r="B635" s="1210"/>
    </row>
    <row r="636" spans="1:2">
      <c r="A636" s="1210"/>
      <c r="B636" s="1210"/>
    </row>
    <row r="637" spans="1:2">
      <c r="A637" s="1210"/>
      <c r="B637" s="1210"/>
    </row>
    <row r="638" spans="1:2">
      <c r="A638" s="1210"/>
      <c r="B638" s="1210"/>
    </row>
    <row r="639" spans="1:2">
      <c r="A639" s="1210"/>
      <c r="B639" s="1210"/>
    </row>
    <row r="640" spans="1:2">
      <c r="A640" s="1210"/>
      <c r="B640" s="1210"/>
    </row>
    <row r="641" spans="1:2">
      <c r="A641" s="1210"/>
      <c r="B641" s="1210"/>
    </row>
    <row r="642" spans="1:2">
      <c r="A642" s="1210"/>
      <c r="B642" s="1210"/>
    </row>
    <row r="643" spans="1:2">
      <c r="A643" s="1210"/>
      <c r="B643" s="1210"/>
    </row>
    <row r="644" spans="1:2">
      <c r="A644" s="1210"/>
      <c r="B644" s="1210"/>
    </row>
    <row r="645" spans="1:2">
      <c r="A645" s="1210"/>
      <c r="B645" s="1210"/>
    </row>
    <row r="646" spans="1:2">
      <c r="A646" s="1210"/>
      <c r="B646" s="1210"/>
    </row>
    <row r="647" spans="1:2">
      <c r="A647" s="1210"/>
      <c r="B647" s="1210"/>
    </row>
    <row r="648" spans="1:2">
      <c r="A648" s="1210"/>
      <c r="B648" s="1210"/>
    </row>
    <row r="649" spans="1:2">
      <c r="A649" s="1210"/>
      <c r="B649" s="1210"/>
    </row>
    <row r="650" spans="1:2">
      <c r="A650" s="1210"/>
      <c r="B650" s="1210"/>
    </row>
    <row r="651" spans="1:2">
      <c r="A651" s="1210"/>
      <c r="B651" s="1210"/>
    </row>
    <row r="652" spans="1:2">
      <c r="A652" s="1210"/>
      <c r="B652" s="1210"/>
    </row>
    <row r="653" spans="1:2">
      <c r="A653" s="1210"/>
      <c r="B653" s="1210"/>
    </row>
    <row r="654" spans="1:2">
      <c r="A654" s="1210"/>
      <c r="B654" s="1210"/>
    </row>
    <row r="655" spans="1:2">
      <c r="A655" s="1210"/>
      <c r="B655" s="1210"/>
    </row>
    <row r="656" spans="1:2">
      <c r="A656" s="1210"/>
      <c r="B656" s="1210"/>
    </row>
    <row r="657" spans="1:2">
      <c r="A657" s="1210"/>
      <c r="B657" s="1210"/>
    </row>
    <row r="658" spans="1:2">
      <c r="A658" s="1210"/>
      <c r="B658" s="1210"/>
    </row>
    <row r="659" spans="1:2">
      <c r="A659" s="1210"/>
      <c r="B659" s="1210"/>
    </row>
    <row r="660" spans="1:2">
      <c r="A660" s="1210"/>
      <c r="B660" s="1210"/>
    </row>
    <row r="661" spans="1:2">
      <c r="A661" s="1210"/>
      <c r="B661" s="1210"/>
    </row>
    <row r="662" spans="1:2">
      <c r="A662" s="1210"/>
      <c r="B662" s="1210"/>
    </row>
    <row r="663" spans="1:2">
      <c r="A663" s="1210"/>
      <c r="B663" s="1210"/>
    </row>
    <row r="664" spans="1:2">
      <c r="A664" s="1210"/>
      <c r="B664" s="1210"/>
    </row>
    <row r="665" spans="1:2">
      <c r="A665" s="1210"/>
      <c r="B665" s="1210"/>
    </row>
    <row r="666" spans="1:2">
      <c r="A666" s="1210"/>
      <c r="B666" s="1210"/>
    </row>
    <row r="667" spans="1:2">
      <c r="A667" s="1210"/>
      <c r="B667" s="1210"/>
    </row>
    <row r="668" spans="1:2">
      <c r="A668" s="1210"/>
      <c r="B668" s="1210"/>
    </row>
    <row r="669" spans="1:2">
      <c r="A669" s="1210"/>
      <c r="B669" s="1210"/>
    </row>
    <row r="670" spans="1:2">
      <c r="A670" s="1210"/>
      <c r="B670" s="1210"/>
    </row>
    <row r="671" spans="1:2">
      <c r="A671" s="1210"/>
      <c r="B671" s="1210"/>
    </row>
    <row r="672" spans="1:2">
      <c r="A672" s="1210"/>
      <c r="B672" s="1210"/>
    </row>
    <row r="673" spans="1:2">
      <c r="A673" s="1210"/>
      <c r="B673" s="1210"/>
    </row>
    <row r="674" spans="1:2">
      <c r="A674" s="1210"/>
      <c r="B674" s="1210"/>
    </row>
    <row r="675" spans="1:2">
      <c r="A675" s="1210"/>
      <c r="B675" s="1210"/>
    </row>
    <row r="676" spans="1:2">
      <c r="A676" s="1210"/>
      <c r="B676" s="1210"/>
    </row>
    <row r="677" spans="1:2">
      <c r="A677" s="1210"/>
      <c r="B677" s="1210"/>
    </row>
    <row r="678" spans="1:2">
      <c r="A678" s="1210"/>
      <c r="B678" s="1210"/>
    </row>
    <row r="679" spans="1:2">
      <c r="A679" s="1210"/>
      <c r="B679" s="1210"/>
    </row>
    <row r="680" spans="1:2">
      <c r="A680" s="1210"/>
      <c r="B680" s="1210"/>
    </row>
    <row r="681" spans="1:2">
      <c r="A681" s="1210"/>
      <c r="B681" s="1210"/>
    </row>
    <row r="682" spans="1:2">
      <c r="A682" s="1210"/>
      <c r="B682" s="1210"/>
    </row>
    <row r="683" spans="1:2">
      <c r="A683" s="1210"/>
      <c r="B683" s="1210"/>
    </row>
    <row r="684" spans="1:2">
      <c r="A684" s="1210"/>
      <c r="B684" s="1210"/>
    </row>
    <row r="685" spans="1:2">
      <c r="A685" s="1210"/>
      <c r="B685" s="1210"/>
    </row>
    <row r="686" spans="1:2">
      <c r="A686" s="1210"/>
      <c r="B686" s="1210"/>
    </row>
    <row r="687" spans="1:2">
      <c r="A687" s="1210"/>
      <c r="B687" s="1210"/>
    </row>
    <row r="688" spans="1:2">
      <c r="A688" s="1210"/>
      <c r="B688" s="1210"/>
    </row>
    <row r="689" spans="1:2">
      <c r="A689" s="1210"/>
      <c r="B689" s="1210"/>
    </row>
    <row r="690" spans="1:2">
      <c r="A690" s="1210"/>
      <c r="B690" s="1210"/>
    </row>
    <row r="691" spans="1:2">
      <c r="A691" s="1210"/>
      <c r="B691" s="1210"/>
    </row>
    <row r="692" spans="1:2">
      <c r="A692" s="1210"/>
      <c r="B692" s="1210"/>
    </row>
    <row r="693" spans="1:2">
      <c r="A693" s="1210"/>
      <c r="B693" s="1210"/>
    </row>
    <row r="694" spans="1:2">
      <c r="A694" s="1210"/>
      <c r="B694" s="1210"/>
    </row>
    <row r="695" spans="1:2">
      <c r="A695" s="1210"/>
      <c r="B695" s="1210"/>
    </row>
    <row r="696" spans="1:2">
      <c r="A696" s="1210"/>
      <c r="B696" s="1210"/>
    </row>
    <row r="697" spans="1:2">
      <c r="A697" s="1210"/>
      <c r="B697" s="1210"/>
    </row>
    <row r="698" spans="1:2">
      <c r="A698" s="1210"/>
      <c r="B698" s="1210"/>
    </row>
    <row r="699" spans="1:2">
      <c r="A699" s="1210"/>
      <c r="B699" s="1210"/>
    </row>
    <row r="700" spans="1:2">
      <c r="A700" s="1210"/>
      <c r="B700" s="1210"/>
    </row>
    <row r="701" spans="1:2">
      <c r="A701" s="1210"/>
      <c r="B701" s="1210"/>
    </row>
    <row r="702" spans="1:2">
      <c r="A702" s="1210"/>
      <c r="B702" s="1210"/>
    </row>
    <row r="703" spans="1:2">
      <c r="A703" s="1210"/>
      <c r="B703" s="1210"/>
    </row>
    <row r="704" spans="1:2">
      <c r="A704" s="1210"/>
      <c r="B704" s="1210"/>
    </row>
    <row r="705" spans="1:2">
      <c r="A705" s="1210"/>
      <c r="B705" s="1210"/>
    </row>
    <row r="706" spans="1:2">
      <c r="A706" s="1210"/>
      <c r="B706" s="1210"/>
    </row>
    <row r="707" spans="1:2">
      <c r="A707" s="1210"/>
      <c r="B707" s="1210"/>
    </row>
    <row r="708" spans="1:2">
      <c r="A708" s="1210"/>
      <c r="B708" s="1210"/>
    </row>
    <row r="709" spans="1:2">
      <c r="A709" s="1210"/>
      <c r="B709" s="1210"/>
    </row>
    <row r="710" spans="1:2">
      <c r="A710" s="1210"/>
      <c r="B710" s="1210"/>
    </row>
    <row r="711" spans="1:2">
      <c r="A711" s="1210"/>
      <c r="B711" s="1210"/>
    </row>
    <row r="712" spans="1:2">
      <c r="A712" s="1210"/>
      <c r="B712" s="1210"/>
    </row>
    <row r="713" spans="1:2">
      <c r="A713" s="1210"/>
      <c r="B713" s="1210"/>
    </row>
    <row r="714" spans="1:2">
      <c r="A714" s="1210"/>
      <c r="B714" s="1210"/>
    </row>
    <row r="715" spans="1:2">
      <c r="A715" s="1210"/>
      <c r="B715" s="1210"/>
    </row>
    <row r="716" spans="1:2">
      <c r="A716" s="1210"/>
      <c r="B716" s="1210"/>
    </row>
    <row r="717" spans="1:2">
      <c r="A717" s="1210"/>
      <c r="B717" s="1210"/>
    </row>
    <row r="718" spans="1:2">
      <c r="A718" s="1210"/>
      <c r="B718" s="1210"/>
    </row>
    <row r="719" spans="1:2">
      <c r="A719" s="1210"/>
      <c r="B719" s="1210"/>
    </row>
    <row r="720" spans="1:2">
      <c r="A720" s="1210"/>
      <c r="B720" s="1210"/>
    </row>
    <row r="721" spans="1:2">
      <c r="A721" s="1210"/>
      <c r="B721" s="1210"/>
    </row>
    <row r="722" spans="1:2">
      <c r="A722" s="1210"/>
      <c r="B722" s="1210"/>
    </row>
    <row r="723" spans="1:2">
      <c r="A723" s="1210"/>
      <c r="B723" s="1210"/>
    </row>
    <row r="724" spans="1:2">
      <c r="A724" s="1210"/>
      <c r="B724" s="1210"/>
    </row>
    <row r="725" spans="1:2">
      <c r="A725" s="1210"/>
      <c r="B725" s="1210"/>
    </row>
    <row r="726" spans="1:2">
      <c r="A726" s="1210"/>
      <c r="B726" s="1210"/>
    </row>
    <row r="727" spans="1:2">
      <c r="A727" s="1210"/>
      <c r="B727" s="1210"/>
    </row>
    <row r="728" spans="1:2">
      <c r="A728" s="1210"/>
      <c r="B728" s="1210"/>
    </row>
    <row r="729" spans="1:2">
      <c r="A729" s="1210"/>
      <c r="B729" s="1210"/>
    </row>
    <row r="730" spans="1:2">
      <c r="A730" s="1210"/>
      <c r="B730" s="1210"/>
    </row>
    <row r="731" spans="1:2">
      <c r="A731" s="1210"/>
      <c r="B731" s="1210"/>
    </row>
    <row r="732" spans="1:2">
      <c r="A732" s="1210"/>
      <c r="B732" s="1210"/>
    </row>
    <row r="733" spans="1:2">
      <c r="A733" s="1210"/>
      <c r="B733" s="1210"/>
    </row>
    <row r="734" spans="1:2">
      <c r="A734" s="1210"/>
      <c r="B734" s="1210"/>
    </row>
    <row r="735" spans="1:2">
      <c r="A735" s="1210"/>
      <c r="B735" s="1210"/>
    </row>
    <row r="736" spans="1:2">
      <c r="A736" s="1210"/>
      <c r="B736" s="1210"/>
    </row>
    <row r="737" spans="1:2">
      <c r="A737" s="1210"/>
      <c r="B737" s="1210"/>
    </row>
    <row r="738" spans="1:2">
      <c r="A738" s="1210"/>
      <c r="B738" s="1210"/>
    </row>
    <row r="739" spans="1:2">
      <c r="A739" s="1210"/>
      <c r="B739" s="1210"/>
    </row>
    <row r="740" spans="1:2">
      <c r="A740" s="1210"/>
      <c r="B740" s="1210"/>
    </row>
    <row r="741" spans="1:2">
      <c r="A741" s="1210"/>
      <c r="B741" s="1210"/>
    </row>
    <row r="742" spans="1:2">
      <c r="A742" s="1210"/>
      <c r="B742" s="1210"/>
    </row>
    <row r="743" spans="1:2">
      <c r="A743" s="1210"/>
      <c r="B743" s="1210"/>
    </row>
    <row r="744" spans="1:2">
      <c r="A744" s="1210"/>
      <c r="B744" s="1210"/>
    </row>
    <row r="745" spans="1:2">
      <c r="A745" s="1210"/>
      <c r="B745" s="1210"/>
    </row>
    <row r="746" spans="1:2">
      <c r="A746" s="1210"/>
      <c r="B746" s="1210"/>
    </row>
    <row r="747" spans="1:2">
      <c r="A747" s="1210"/>
      <c r="B747" s="1210"/>
    </row>
    <row r="748" spans="1:2">
      <c r="A748" s="1210"/>
      <c r="B748" s="1210"/>
    </row>
    <row r="749" spans="1:2">
      <c r="A749" s="1210"/>
      <c r="B749" s="1210"/>
    </row>
    <row r="750" spans="1:2">
      <c r="A750" s="1210"/>
      <c r="B750" s="1210"/>
    </row>
    <row r="751" spans="1:2">
      <c r="A751" s="1210"/>
      <c r="B751" s="1210"/>
    </row>
    <row r="752" spans="1:2">
      <c r="A752" s="1210"/>
      <c r="B752" s="1210"/>
    </row>
    <row r="753" spans="1:2">
      <c r="A753" s="1210"/>
      <c r="B753" s="1210"/>
    </row>
    <row r="754" spans="1:2">
      <c r="A754" s="1210"/>
      <c r="B754" s="1210"/>
    </row>
    <row r="755" spans="1:2">
      <c r="A755" s="1210"/>
      <c r="B755" s="1210"/>
    </row>
    <row r="756" spans="1:2">
      <c r="A756" s="1210"/>
      <c r="B756" s="1210"/>
    </row>
    <row r="757" spans="1:2">
      <c r="A757" s="1210"/>
      <c r="B757" s="1210"/>
    </row>
    <row r="758" spans="1:2">
      <c r="A758" s="1210"/>
      <c r="B758" s="1210"/>
    </row>
    <row r="759" spans="1:2">
      <c r="A759" s="1210"/>
      <c r="B759" s="1210"/>
    </row>
    <row r="760" spans="1:2">
      <c r="A760" s="1210"/>
      <c r="B760" s="1210"/>
    </row>
    <row r="761" spans="1:2">
      <c r="A761" s="1210"/>
      <c r="B761" s="1210"/>
    </row>
    <row r="762" spans="1:2">
      <c r="A762" s="1210"/>
      <c r="B762" s="1210"/>
    </row>
    <row r="763" spans="1:2">
      <c r="A763" s="1210"/>
      <c r="B763" s="1210"/>
    </row>
    <row r="764" spans="1:2">
      <c r="A764" s="1210"/>
      <c r="B764" s="1210"/>
    </row>
    <row r="765" spans="1:2">
      <c r="A765" s="1210"/>
      <c r="B765" s="1210"/>
    </row>
    <row r="766" spans="1:2">
      <c r="A766" s="1210"/>
      <c r="B766" s="1210"/>
    </row>
    <row r="767" spans="1:2">
      <c r="A767" s="1210"/>
      <c r="B767" s="1210"/>
    </row>
    <row r="768" spans="1:2">
      <c r="A768" s="1210"/>
      <c r="B768" s="1210"/>
    </row>
    <row r="769" spans="1:2">
      <c r="A769" s="1210"/>
      <c r="B769" s="1210"/>
    </row>
    <row r="770" spans="1:2">
      <c r="A770" s="1210"/>
      <c r="B770" s="1210"/>
    </row>
    <row r="771" spans="1:2">
      <c r="A771" s="1210"/>
      <c r="B771" s="1210"/>
    </row>
    <row r="772" spans="1:2">
      <c r="A772" s="1210"/>
      <c r="B772" s="1210"/>
    </row>
    <row r="773" spans="1:2">
      <c r="A773" s="1210"/>
      <c r="B773" s="1210"/>
    </row>
    <row r="774" spans="1:2">
      <c r="A774" s="1210"/>
      <c r="B774" s="1210"/>
    </row>
    <row r="775" spans="1:2">
      <c r="A775" s="1210"/>
      <c r="B775" s="1210"/>
    </row>
    <row r="776" spans="1:2">
      <c r="A776" s="1210"/>
      <c r="B776" s="1210"/>
    </row>
    <row r="777" spans="1:2">
      <c r="A777" s="1210"/>
      <c r="B777" s="1210"/>
    </row>
    <row r="778" spans="1:2">
      <c r="A778" s="1210"/>
      <c r="B778" s="1210"/>
    </row>
    <row r="779" spans="1:2">
      <c r="A779" s="1210"/>
      <c r="B779" s="1210"/>
    </row>
    <row r="780" spans="1:2">
      <c r="A780" s="1210"/>
      <c r="B780" s="1210"/>
    </row>
  </sheetData>
  <autoFilter ref="A9:G389"/>
  <mergeCells count="7">
    <mergeCell ref="F391:G391"/>
    <mergeCell ref="F392:G392"/>
    <mergeCell ref="A1:C1"/>
    <mergeCell ref="D1:G1"/>
    <mergeCell ref="A2:C2"/>
    <mergeCell ref="D2:G2"/>
    <mergeCell ref="A4:G4"/>
  </mergeCells>
  <printOptions horizontalCentered="1"/>
  <pageMargins left="0" right="0" top="0.39370078740157499" bottom="0.39370078740157499" header="3.9370078740157501E-2" footer="0"/>
  <pageSetup paperSize="9" scale="90" orientation="portrait"/>
  <headerFooter alignWithMargins="0">
    <oddFooter>&amp;R&amp;P</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0000"/>
  </sheetPr>
  <dimension ref="A1:R87"/>
  <sheetViews>
    <sheetView topLeftCell="A17" zoomScale="85" zoomScaleNormal="85" workbookViewId="0">
      <selection activeCell="O35" sqref="O24 O30 O35"/>
    </sheetView>
  </sheetViews>
  <sheetFormatPr defaultColWidth="9" defaultRowHeight="15.75"/>
  <cols>
    <col min="1" max="1" width="7.28515625" style="1286" customWidth="1"/>
    <col min="2" max="2" width="45.28515625" style="1287" customWidth="1"/>
    <col min="3" max="3" width="8.28515625" style="1288" customWidth="1"/>
    <col min="4" max="4" width="9.7109375" style="1289" customWidth="1"/>
    <col min="5" max="5" width="8.28515625" style="1286" customWidth="1"/>
    <col min="6" max="6" width="9.85546875" style="1286" customWidth="1"/>
    <col min="7" max="7" width="8.28515625" style="1286" customWidth="1"/>
    <col min="8" max="8" width="9.85546875" style="1286" customWidth="1"/>
    <col min="9" max="9" width="8.28515625" style="1286" customWidth="1"/>
    <col min="10" max="10" width="9.85546875" style="1286" customWidth="1"/>
    <col min="11" max="11" width="8.28515625" style="1286" customWidth="1"/>
    <col min="12" max="12" width="9.85546875" style="1286" customWidth="1"/>
    <col min="13" max="13" width="10.85546875" style="1290" customWidth="1"/>
    <col min="14" max="14" width="7" style="1287" customWidth="1"/>
    <col min="15" max="15" width="13.140625" style="1287" customWidth="1"/>
    <col min="16" max="16" width="16.5703125" style="1287" customWidth="1"/>
    <col min="17" max="17" width="19.85546875" style="1287" customWidth="1"/>
    <col min="18" max="18" width="19.28515625" style="1287" customWidth="1"/>
    <col min="19" max="19" width="20.42578125" style="1287" customWidth="1"/>
    <col min="20" max="16384" width="9" style="1287"/>
  </cols>
  <sheetData>
    <row r="1" spans="1:17">
      <c r="A1" s="2357" t="s">
        <v>0</v>
      </c>
      <c r="B1" s="2357"/>
      <c r="C1" s="2357"/>
      <c r="D1" s="2357"/>
      <c r="E1" s="2357"/>
      <c r="F1" s="2357"/>
      <c r="G1" s="2357"/>
      <c r="H1" s="2357"/>
      <c r="I1" s="2357"/>
      <c r="J1" s="2357"/>
      <c r="K1" s="2357"/>
      <c r="L1" s="2357"/>
      <c r="M1" s="2357"/>
      <c r="N1" s="2357"/>
      <c r="O1" s="2357"/>
      <c r="P1" s="2357"/>
    </row>
    <row r="2" spans="1:17">
      <c r="A2" s="2357" t="s">
        <v>2392</v>
      </c>
      <c r="B2" s="2357"/>
      <c r="C2" s="2357"/>
      <c r="D2" s="2357"/>
      <c r="E2" s="2357"/>
      <c r="F2" s="2357"/>
      <c r="G2" s="2357"/>
      <c r="H2" s="2357"/>
      <c r="I2" s="2357"/>
      <c r="J2" s="2357"/>
      <c r="K2" s="2357"/>
      <c r="L2" s="2357"/>
      <c r="M2" s="2357"/>
      <c r="N2" s="2357"/>
      <c r="O2" s="2357"/>
      <c r="P2" s="2357"/>
    </row>
    <row r="3" spans="1:17" ht="15" customHeight="1">
      <c r="A3" s="2358" t="s">
        <v>2393</v>
      </c>
      <c r="B3" s="2358"/>
      <c r="C3" s="2358"/>
      <c r="D3" s="2358"/>
      <c r="E3" s="2358"/>
      <c r="F3" s="2358"/>
      <c r="G3" s="2358"/>
      <c r="H3" s="2358"/>
      <c r="I3" s="2358"/>
      <c r="J3" s="2358"/>
      <c r="K3" s="2358"/>
      <c r="L3" s="2358"/>
      <c r="M3" s="2358"/>
      <c r="N3" s="2358"/>
      <c r="O3" s="2358"/>
      <c r="P3" s="2358"/>
    </row>
    <row r="4" spans="1:17" ht="15" customHeight="1">
      <c r="A4" s="2349" t="s">
        <v>2394</v>
      </c>
      <c r="B4" s="2349"/>
      <c r="C4" s="2349"/>
      <c r="D4" s="2349"/>
      <c r="E4" s="1293"/>
      <c r="F4" s="1293"/>
      <c r="G4" s="1294"/>
      <c r="H4" s="1294"/>
      <c r="I4" s="1294"/>
      <c r="J4" s="1294"/>
      <c r="K4" s="1294"/>
      <c r="L4" s="1294"/>
      <c r="M4" s="1294"/>
      <c r="N4" s="1294"/>
      <c r="O4" s="1294"/>
      <c r="P4" s="1294"/>
    </row>
    <row r="5" spans="1:17" ht="15" customHeight="1">
      <c r="A5" s="2357" t="s">
        <v>2395</v>
      </c>
      <c r="B5" s="2357"/>
      <c r="C5" s="2357"/>
      <c r="D5" s="2357"/>
      <c r="E5" s="1293"/>
      <c r="F5" s="1293"/>
      <c r="G5" s="1294"/>
      <c r="H5" s="1294"/>
      <c r="I5" s="1294"/>
      <c r="J5" s="1294"/>
      <c r="K5" s="1294"/>
      <c r="L5" s="1294"/>
      <c r="M5" s="1294"/>
      <c r="N5" s="1294"/>
      <c r="O5" s="1294"/>
      <c r="P5" s="1294"/>
    </row>
    <row r="6" spans="1:17" ht="2.25" customHeight="1">
      <c r="A6" s="1291"/>
      <c r="B6" s="1291"/>
      <c r="C6" s="1291"/>
      <c r="D6" s="1291"/>
      <c r="E6" s="1293"/>
      <c r="F6" s="1293"/>
      <c r="G6" s="1294"/>
      <c r="H6" s="1294"/>
      <c r="I6" s="1294"/>
      <c r="J6" s="1294"/>
      <c r="K6" s="1294"/>
      <c r="L6" s="1294"/>
      <c r="M6" s="1294"/>
      <c r="N6" s="1294"/>
      <c r="O6" s="1294"/>
      <c r="P6" s="1294"/>
    </row>
    <row r="7" spans="1:17" ht="18.75">
      <c r="A7" s="2348" t="s">
        <v>2396</v>
      </c>
      <c r="B7" s="2348"/>
      <c r="C7" s="2348"/>
      <c r="D7" s="2348"/>
      <c r="E7" s="2348"/>
      <c r="F7" s="2348"/>
      <c r="G7" s="2348"/>
      <c r="H7" s="2348"/>
      <c r="I7" s="2348"/>
      <c r="J7" s="2348"/>
      <c r="K7" s="2348"/>
      <c r="L7" s="2348"/>
      <c r="M7" s="2348"/>
      <c r="N7" s="2348"/>
      <c r="O7" s="2348"/>
      <c r="P7" s="2348"/>
    </row>
    <row r="8" spans="1:17">
      <c r="A8" s="2349" t="s">
        <v>2397</v>
      </c>
      <c r="B8" s="2349"/>
      <c r="C8" s="2349"/>
      <c r="D8" s="2349"/>
      <c r="E8" s="2349"/>
      <c r="F8" s="2349"/>
      <c r="G8" s="2349"/>
      <c r="H8" s="2349"/>
      <c r="I8" s="2349"/>
      <c r="J8" s="2349"/>
      <c r="K8" s="2349"/>
      <c r="L8" s="2349"/>
      <c r="M8" s="2349"/>
      <c r="N8" s="2349"/>
      <c r="O8" s="2349"/>
      <c r="P8" s="2349"/>
    </row>
    <row r="9" spans="1:17" ht="3.75" customHeight="1">
      <c r="A9" s="1295"/>
      <c r="B9" s="1292"/>
      <c r="C9" s="1292"/>
      <c r="D9" s="1296"/>
      <c r="E9" s="1297"/>
      <c r="F9" s="1297"/>
      <c r="G9" s="1297"/>
      <c r="H9" s="1297"/>
      <c r="I9" s="1297"/>
      <c r="J9" s="1297"/>
      <c r="K9" s="1297"/>
      <c r="L9" s="1297"/>
      <c r="M9" s="1367"/>
      <c r="N9" s="1292"/>
      <c r="O9" s="1292"/>
      <c r="P9" s="1292"/>
    </row>
    <row r="10" spans="1:17" ht="21.95" customHeight="1">
      <c r="A10" s="2352" t="s">
        <v>6</v>
      </c>
      <c r="B10" s="2353" t="s">
        <v>2398</v>
      </c>
      <c r="C10" s="2353" t="s">
        <v>2399</v>
      </c>
      <c r="D10" s="2354" t="s">
        <v>2400</v>
      </c>
      <c r="E10" s="2350" t="s">
        <v>2401</v>
      </c>
      <c r="F10" s="2350"/>
      <c r="G10" s="2350"/>
      <c r="H10" s="2350"/>
      <c r="I10" s="2350"/>
      <c r="J10" s="2350"/>
      <c r="K10" s="2350"/>
      <c r="L10" s="2350"/>
      <c r="M10" s="2355" t="s">
        <v>2402</v>
      </c>
      <c r="N10" s="2356" t="s">
        <v>2403</v>
      </c>
      <c r="O10" s="1368" t="s">
        <v>530</v>
      </c>
      <c r="P10" s="2353" t="s">
        <v>12</v>
      </c>
    </row>
    <row r="11" spans="1:17" ht="36" customHeight="1">
      <c r="A11" s="2352"/>
      <c r="B11" s="2353"/>
      <c r="C11" s="2353"/>
      <c r="D11" s="2354"/>
      <c r="E11" s="1298" t="s">
        <v>2404</v>
      </c>
      <c r="F11" s="1298" t="s">
        <v>2405</v>
      </c>
      <c r="G11" s="1298" t="s">
        <v>2404</v>
      </c>
      <c r="H11" s="1298" t="s">
        <v>2405</v>
      </c>
      <c r="I11" s="1298" t="s">
        <v>2404</v>
      </c>
      <c r="J11" s="1298" t="s">
        <v>2405</v>
      </c>
      <c r="K11" s="1298" t="s">
        <v>2404</v>
      </c>
      <c r="L11" s="1298" t="s">
        <v>2405</v>
      </c>
      <c r="M11" s="2355"/>
      <c r="N11" s="2356"/>
      <c r="O11" s="1368" t="s">
        <v>2406</v>
      </c>
      <c r="P11" s="2353"/>
    </row>
    <row r="12" spans="1:17" ht="21.95" customHeight="1">
      <c r="A12" s="1299" t="s">
        <v>1959</v>
      </c>
      <c r="B12" s="1300" t="s">
        <v>2407</v>
      </c>
      <c r="C12" s="1301"/>
      <c r="D12" s="1302"/>
      <c r="E12" s="1303"/>
      <c r="F12" s="1303"/>
      <c r="G12" s="1303"/>
      <c r="H12" s="1303"/>
      <c r="I12" s="1303"/>
      <c r="J12" s="1303"/>
      <c r="K12" s="1303"/>
      <c r="L12" s="1303"/>
      <c r="M12" s="1369"/>
      <c r="N12" s="1370"/>
      <c r="O12" s="1371">
        <f>O17+O21</f>
        <v>2134.48</v>
      </c>
      <c r="P12" s="1372"/>
    </row>
    <row r="13" spans="1:17" ht="20.100000000000001" customHeight="1">
      <c r="A13" s="1304" t="s">
        <v>2408</v>
      </c>
      <c r="B13" s="1305" t="s">
        <v>2409</v>
      </c>
      <c r="C13" s="1306" t="s">
        <v>2410</v>
      </c>
      <c r="D13" s="1307"/>
      <c r="E13" s="1308"/>
      <c r="F13" s="1308"/>
      <c r="G13" s="1308"/>
      <c r="H13" s="1308"/>
      <c r="I13" s="1308"/>
      <c r="J13" s="1308"/>
      <c r="K13" s="1308"/>
      <c r="L13" s="1308"/>
      <c r="M13" s="1337"/>
      <c r="N13" s="1307"/>
      <c r="O13" s="1373"/>
      <c r="P13" s="1374"/>
    </row>
    <row r="14" spans="1:17" ht="20.100000000000001" customHeight="1">
      <c r="A14" s="1309" t="s">
        <v>2411</v>
      </c>
      <c r="B14" s="1310" t="s">
        <v>2412</v>
      </c>
      <c r="C14" s="1311" t="s">
        <v>2413</v>
      </c>
      <c r="D14" s="1307"/>
      <c r="E14" s="1308"/>
      <c r="F14" s="1308"/>
      <c r="G14" s="1308"/>
      <c r="H14" s="1312"/>
      <c r="I14" s="1308"/>
      <c r="J14" s="1308"/>
      <c r="K14" s="1308"/>
      <c r="L14" s="1308"/>
      <c r="M14" s="1375"/>
      <c r="N14" s="1307"/>
      <c r="O14" s="1373"/>
      <c r="P14" s="1376"/>
      <c r="Q14" s="1287">
        <f>97+52+23</f>
        <v>172</v>
      </c>
    </row>
    <row r="15" spans="1:17" ht="20.100000000000001" customHeight="1">
      <c r="A15" s="1309" t="s">
        <v>2414</v>
      </c>
      <c r="B15" s="1310" t="s">
        <v>2415</v>
      </c>
      <c r="C15" s="1311" t="s">
        <v>2413</v>
      </c>
      <c r="D15" s="1307"/>
      <c r="E15" s="1308"/>
      <c r="F15" s="1308"/>
      <c r="G15" s="1313"/>
      <c r="H15" s="2351"/>
      <c r="I15" s="2351"/>
      <c r="J15" s="2351"/>
      <c r="K15" s="1308"/>
      <c r="L15" s="1308"/>
      <c r="M15" s="1315"/>
      <c r="N15" s="1307"/>
      <c r="O15" s="1373"/>
      <c r="P15" s="1376"/>
      <c r="Q15" s="1287">
        <f>Q14/4</f>
        <v>43</v>
      </c>
    </row>
    <row r="16" spans="1:17" ht="20.100000000000001" customHeight="1">
      <c r="A16" s="1309" t="s">
        <v>2416</v>
      </c>
      <c r="B16" s="1310" t="s">
        <v>2417</v>
      </c>
      <c r="C16" s="1311" t="s">
        <v>2413</v>
      </c>
      <c r="D16" s="1307"/>
      <c r="E16" s="1308"/>
      <c r="F16" s="1308"/>
      <c r="G16" s="1313"/>
      <c r="H16" s="2351"/>
      <c r="I16" s="2351"/>
      <c r="J16" s="2351"/>
      <c r="K16" s="1308"/>
      <c r="L16" s="1308"/>
      <c r="M16" s="1315"/>
      <c r="N16" s="1307"/>
      <c r="O16" s="1373"/>
      <c r="P16" s="1374"/>
    </row>
    <row r="17" spans="1:18" ht="20.100000000000001" customHeight="1">
      <c r="A17" s="1304" t="s">
        <v>2418</v>
      </c>
      <c r="B17" s="1305" t="s">
        <v>2419</v>
      </c>
      <c r="C17" s="1306" t="s">
        <v>2420</v>
      </c>
      <c r="D17" s="1307"/>
      <c r="E17" s="1308"/>
      <c r="F17" s="1308"/>
      <c r="G17" s="1308"/>
      <c r="H17" s="1312"/>
      <c r="I17" s="1308"/>
      <c r="J17" s="1308"/>
      <c r="K17" s="1308"/>
      <c r="L17" s="1308"/>
      <c r="M17" s="1308"/>
      <c r="N17" s="1307"/>
      <c r="O17" s="1377">
        <f>SUM(O18:O20)</f>
        <v>0</v>
      </c>
      <c r="P17" s="1374"/>
    </row>
    <row r="18" spans="1:18" ht="20.100000000000001" customHeight="1">
      <c r="A18" s="1309" t="s">
        <v>2421</v>
      </c>
      <c r="B18" s="1310" t="s">
        <v>2422</v>
      </c>
      <c r="C18" s="1311" t="s">
        <v>2423</v>
      </c>
      <c r="D18" s="1314"/>
      <c r="E18" s="2345"/>
      <c r="F18" s="2345"/>
      <c r="G18" s="2345"/>
      <c r="H18" s="2345"/>
      <c r="I18" s="2345"/>
      <c r="J18" s="2345"/>
      <c r="K18" s="2345"/>
      <c r="L18" s="2345"/>
      <c r="M18" s="1375"/>
      <c r="N18" s="1316"/>
      <c r="O18" s="1378">
        <f>ROUND(M18*30/25,2)</f>
        <v>0</v>
      </c>
      <c r="P18" s="1376"/>
      <c r="R18" s="1287">
        <v>59</v>
      </c>
    </row>
    <row r="19" spans="1:18" ht="20.100000000000001" customHeight="1">
      <c r="A19" s="1309" t="s">
        <v>2424</v>
      </c>
      <c r="B19" s="1310" t="s">
        <v>2425</v>
      </c>
      <c r="C19" s="1311" t="s">
        <v>2423</v>
      </c>
      <c r="D19" s="1316"/>
      <c r="E19" s="2345"/>
      <c r="F19" s="2345"/>
      <c r="G19" s="2345"/>
      <c r="H19" s="2345"/>
      <c r="I19" s="2345"/>
      <c r="J19" s="2345"/>
      <c r="K19" s="2345"/>
      <c r="L19" s="2345"/>
      <c r="M19" s="1375"/>
      <c r="N19" s="1316"/>
      <c r="O19" s="1378">
        <f>ROUND(M19*50/25,2)</f>
        <v>0</v>
      </c>
      <c r="P19" s="1376"/>
      <c r="Q19" s="1287">
        <v>78</v>
      </c>
      <c r="R19" s="1287">
        <v>25</v>
      </c>
    </row>
    <row r="20" spans="1:18" ht="20.100000000000001" customHeight="1">
      <c r="A20" s="1309" t="s">
        <v>2426</v>
      </c>
      <c r="B20" s="1310" t="s">
        <v>2427</v>
      </c>
      <c r="C20" s="1311" t="s">
        <v>2423</v>
      </c>
      <c r="D20" s="1314"/>
      <c r="E20" s="2345"/>
      <c r="F20" s="2345"/>
      <c r="G20" s="2345"/>
      <c r="H20" s="2345"/>
      <c r="I20" s="2345"/>
      <c r="J20" s="2345"/>
      <c r="K20" s="2345"/>
      <c r="L20" s="2345"/>
      <c r="M20" s="1375"/>
      <c r="N20" s="1316"/>
      <c r="O20" s="1378">
        <f>ROUND(M20*20/25,2)</f>
        <v>0</v>
      </c>
      <c r="P20" s="1376"/>
      <c r="R20" s="1287">
        <v>12</v>
      </c>
    </row>
    <row r="21" spans="1:18" ht="20.100000000000001" customHeight="1">
      <c r="A21" s="1304" t="s">
        <v>2428</v>
      </c>
      <c r="B21" s="1305" t="s">
        <v>2429</v>
      </c>
      <c r="C21" s="1311"/>
      <c r="D21" s="1316"/>
      <c r="E21" s="1312"/>
      <c r="F21" s="1312"/>
      <c r="G21" s="1315"/>
      <c r="H21" s="1312"/>
      <c r="I21" s="1312"/>
      <c r="J21" s="1312"/>
      <c r="K21" s="1312"/>
      <c r="L21" s="1312"/>
      <c r="M21" s="1315"/>
      <c r="N21" s="1316"/>
      <c r="O21" s="1377">
        <f>SUBTOTAL(9,O22:O46)</f>
        <v>2134.48</v>
      </c>
      <c r="P21" s="1376"/>
      <c r="Q21" s="1287">
        <f>SUM(Q18:Q20)</f>
        <v>78</v>
      </c>
      <c r="R21" s="1287">
        <f>SUM(R18:R20)</f>
        <v>96</v>
      </c>
    </row>
    <row r="22" spans="1:18" ht="20.100000000000001" customHeight="1">
      <c r="A22" s="1317">
        <v>1</v>
      </c>
      <c r="B22" s="1318" t="s">
        <v>2430</v>
      </c>
      <c r="C22" s="1311"/>
      <c r="D22" s="1316"/>
      <c r="E22" s="1312"/>
      <c r="F22" s="1312"/>
      <c r="G22" s="1315"/>
      <c r="H22" s="1312"/>
      <c r="I22" s="1312"/>
      <c r="J22" s="1312"/>
      <c r="K22" s="1312"/>
      <c r="L22" s="1312"/>
      <c r="M22" s="1375"/>
      <c r="N22" s="1316"/>
      <c r="O22" s="1379">
        <f>SUBTOTAL(9,O23:O27)</f>
        <v>379.68</v>
      </c>
      <c r="P22" s="1376"/>
    </row>
    <row r="23" spans="1:18" ht="20.100000000000001" customHeight="1">
      <c r="A23" s="1319" t="s">
        <v>2411</v>
      </c>
      <c r="B23" s="1320" t="s">
        <v>2431</v>
      </c>
      <c r="C23" s="1321" t="s">
        <v>2432</v>
      </c>
      <c r="D23" s="1316">
        <v>1.25</v>
      </c>
      <c r="E23" s="1312"/>
      <c r="F23" s="1312"/>
      <c r="G23" s="1315"/>
      <c r="H23" s="1312"/>
      <c r="I23" s="1312"/>
      <c r="J23" s="1312"/>
      <c r="K23" s="1312"/>
      <c r="L23" s="1312"/>
      <c r="M23" s="1380">
        <v>24</v>
      </c>
      <c r="N23" s="1316"/>
      <c r="O23" s="1381">
        <f t="shared" ref="O23:O26" si="0">M23/D23</f>
        <v>19.2</v>
      </c>
      <c r="P23" s="1376"/>
      <c r="Q23" s="1410">
        <f>1/D23</f>
        <v>0.8</v>
      </c>
    </row>
    <row r="24" spans="1:18" ht="20.100000000000001" customHeight="1">
      <c r="A24" s="1319" t="s">
        <v>2414</v>
      </c>
      <c r="B24" s="1320" t="s">
        <v>2433</v>
      </c>
      <c r="C24" s="1321" t="s">
        <v>2432</v>
      </c>
      <c r="D24" s="1316">
        <v>1.25</v>
      </c>
      <c r="E24" s="1312"/>
      <c r="F24" s="1312"/>
      <c r="G24" s="1315"/>
      <c r="H24" s="1312"/>
      <c r="I24" s="1312"/>
      <c r="J24" s="1312"/>
      <c r="K24" s="1312"/>
      <c r="L24" s="1312"/>
      <c r="M24" s="1380">
        <v>24</v>
      </c>
      <c r="N24" s="1316"/>
      <c r="O24" s="1381">
        <f t="shared" si="0"/>
        <v>19.2</v>
      </c>
      <c r="P24" s="1376"/>
    </row>
    <row r="25" spans="1:18" ht="20.100000000000001" customHeight="1">
      <c r="A25" s="1322" t="s">
        <v>2416</v>
      </c>
      <c r="B25" s="1320" t="s">
        <v>2434</v>
      </c>
      <c r="C25" s="1321"/>
      <c r="D25" s="1316"/>
      <c r="E25" s="1312"/>
      <c r="F25" s="1312"/>
      <c r="G25" s="1315"/>
      <c r="H25" s="1312"/>
      <c r="I25" s="1312"/>
      <c r="J25" s="1312"/>
      <c r="K25" s="1312"/>
      <c r="L25" s="1312"/>
      <c r="M25" s="1337"/>
      <c r="N25" s="1316"/>
      <c r="O25" s="1382"/>
      <c r="P25" s="1376"/>
    </row>
    <row r="26" spans="1:18" ht="20.100000000000001" customHeight="1">
      <c r="A26" s="1319"/>
      <c r="B26" s="1323" t="s">
        <v>2435</v>
      </c>
      <c r="C26" s="1321" t="s">
        <v>2436</v>
      </c>
      <c r="D26" s="1316">
        <f>1/4.8</f>
        <v>0.20833333333333301</v>
      </c>
      <c r="E26" s="1315" t="s">
        <v>2437</v>
      </c>
      <c r="F26" s="1312">
        <v>13.56</v>
      </c>
      <c r="G26" s="1312" t="s">
        <v>2438</v>
      </c>
      <c r="H26" s="1312">
        <v>5.62</v>
      </c>
      <c r="I26" s="1312" t="s">
        <v>2439</v>
      </c>
      <c r="J26" s="1312">
        <v>2.6</v>
      </c>
      <c r="K26" s="1312" t="s">
        <v>2440</v>
      </c>
      <c r="L26" s="1312">
        <v>17.53</v>
      </c>
      <c r="M26" s="1337">
        <f>SUM(E26:L27)</f>
        <v>71.099999999999994</v>
      </c>
      <c r="N26" s="1316"/>
      <c r="O26" s="1383">
        <f t="shared" si="0"/>
        <v>341.28</v>
      </c>
      <c r="P26" s="1376"/>
      <c r="Q26" s="1286">
        <f>[3]KHSXT7!M31</f>
        <v>11.84</v>
      </c>
      <c r="R26" s="1286">
        <f>M26+Q26</f>
        <v>82.94</v>
      </c>
    </row>
    <row r="27" spans="1:18" ht="20.100000000000001" customHeight="1">
      <c r="A27" s="1319"/>
      <c r="B27" s="1320"/>
      <c r="C27" s="1321"/>
      <c r="D27" s="1316"/>
      <c r="E27" s="1312" t="s">
        <v>2441</v>
      </c>
      <c r="F27" s="1312">
        <v>2.5</v>
      </c>
      <c r="G27" s="1315" t="s">
        <v>2442</v>
      </c>
      <c r="H27" s="1312">
        <v>6.5</v>
      </c>
      <c r="I27" s="1312" t="s">
        <v>2443</v>
      </c>
      <c r="J27" s="1312">
        <v>5.04</v>
      </c>
      <c r="K27" s="1312" t="s">
        <v>2444</v>
      </c>
      <c r="L27" s="1312">
        <v>17.75</v>
      </c>
      <c r="M27" s="1382"/>
      <c r="N27" s="1316"/>
      <c r="O27" s="1382"/>
      <c r="P27" s="1376"/>
      <c r="Q27" s="1411"/>
    </row>
    <row r="28" spans="1:18" s="1282" customFormat="1" ht="20.100000000000001" customHeight="1">
      <c r="A28" s="1324">
        <v>2</v>
      </c>
      <c r="B28" s="1318" t="s">
        <v>2445</v>
      </c>
      <c r="C28" s="1324"/>
      <c r="D28" s="1325"/>
      <c r="E28" s="1326"/>
      <c r="F28" s="1327"/>
      <c r="G28" s="1327"/>
      <c r="H28" s="1327"/>
      <c r="I28" s="1384"/>
      <c r="J28" s="1327"/>
      <c r="K28" s="1384"/>
      <c r="L28" s="1384"/>
      <c r="M28" s="1315"/>
      <c r="N28" s="1385"/>
      <c r="O28" s="1379">
        <f>SUBTOTAL(9,O29:O32)</f>
        <v>27.6</v>
      </c>
      <c r="P28" s="1386"/>
    </row>
    <row r="29" spans="1:18" ht="20.100000000000001" customHeight="1">
      <c r="A29" s="1319" t="s">
        <v>2421</v>
      </c>
      <c r="B29" s="1320" t="s">
        <v>2431</v>
      </c>
      <c r="C29" s="1321" t="s">
        <v>2432</v>
      </c>
      <c r="D29" s="1316">
        <v>1.25</v>
      </c>
      <c r="E29" s="1328"/>
      <c r="F29" s="1328"/>
      <c r="G29" s="1315"/>
      <c r="H29" s="1312"/>
      <c r="I29" s="1312"/>
      <c r="J29" s="1312"/>
      <c r="K29" s="1312"/>
      <c r="L29" s="1312"/>
      <c r="M29" s="1380">
        <v>12</v>
      </c>
      <c r="N29" s="1316"/>
      <c r="O29" s="1381">
        <f t="shared" ref="O29:O32" si="1">M29/D29</f>
        <v>9.6</v>
      </c>
      <c r="P29" s="1376"/>
    </row>
    <row r="30" spans="1:18" ht="20.100000000000001" customHeight="1">
      <c r="A30" s="1319" t="s">
        <v>2424</v>
      </c>
      <c r="B30" s="1320" t="s">
        <v>2433</v>
      </c>
      <c r="C30" s="1321" t="s">
        <v>2432</v>
      </c>
      <c r="D30" s="1316">
        <v>1.25</v>
      </c>
      <c r="E30" s="1312"/>
      <c r="F30" s="1312"/>
      <c r="G30" s="1315"/>
      <c r="H30" s="1312"/>
      <c r="I30" s="1312"/>
      <c r="J30" s="1312"/>
      <c r="K30" s="1312"/>
      <c r="L30" s="1312"/>
      <c r="M30" s="1380">
        <v>12</v>
      </c>
      <c r="N30" s="1316"/>
      <c r="O30" s="1381">
        <f t="shared" si="1"/>
        <v>9.6</v>
      </c>
      <c r="P30" s="1376"/>
    </row>
    <row r="31" spans="1:18" ht="20.100000000000001" customHeight="1">
      <c r="A31" s="1319" t="s">
        <v>2426</v>
      </c>
      <c r="B31" s="1320" t="s">
        <v>2434</v>
      </c>
      <c r="C31" s="1321"/>
      <c r="D31" s="1316"/>
      <c r="E31" s="1328"/>
      <c r="F31" s="1328"/>
      <c r="G31" s="1315"/>
      <c r="H31" s="1312"/>
      <c r="I31" s="1312"/>
      <c r="J31" s="1312"/>
      <c r="K31" s="1312"/>
      <c r="L31" s="1312"/>
      <c r="M31" s="1380"/>
      <c r="N31" s="1316"/>
      <c r="O31" s="1382"/>
      <c r="P31" s="1376"/>
    </row>
    <row r="32" spans="1:18" ht="20.100000000000001" customHeight="1">
      <c r="A32" s="1319"/>
      <c r="B32" s="1323" t="s">
        <v>2446</v>
      </c>
      <c r="C32" s="1321" t="s">
        <v>2436</v>
      </c>
      <c r="D32" s="1316">
        <f>1/4.8</f>
        <v>0.20833333333333301</v>
      </c>
      <c r="E32" s="1328" t="s">
        <v>2447</v>
      </c>
      <c r="F32" s="1328">
        <v>1.75</v>
      </c>
      <c r="G32" s="1315"/>
      <c r="H32" s="1312"/>
      <c r="I32" s="1312"/>
      <c r="J32" s="1312"/>
      <c r="K32" s="1312"/>
      <c r="L32" s="1312"/>
      <c r="M32" s="1337">
        <f>F32</f>
        <v>1.75</v>
      </c>
      <c r="N32" s="1316"/>
      <c r="O32" s="1383">
        <f t="shared" si="1"/>
        <v>8.4</v>
      </c>
      <c r="P32" s="1376"/>
      <c r="Q32" s="1286">
        <f>M32</f>
        <v>1.75</v>
      </c>
    </row>
    <row r="33" spans="1:17" s="1282" customFormat="1" ht="20.100000000000001" customHeight="1">
      <c r="A33" s="1324">
        <v>3</v>
      </c>
      <c r="B33" s="1318" t="s">
        <v>2448</v>
      </c>
      <c r="C33" s="1324"/>
      <c r="D33" s="1329"/>
      <c r="E33" s="1330"/>
      <c r="F33" s="1331"/>
      <c r="G33" s="1331"/>
      <c r="H33" s="1331"/>
      <c r="I33" s="1326"/>
      <c r="J33" s="1331"/>
      <c r="K33" s="1384"/>
      <c r="L33" s="1384"/>
      <c r="M33" s="1327"/>
      <c r="N33" s="1385"/>
      <c r="O33" s="1379">
        <f>SUBTOTAL(9,O34:O41)</f>
        <v>1230.08</v>
      </c>
      <c r="P33" s="1386"/>
      <c r="Q33" s="1412">
        <f>[3]KHSXT7!M45</f>
        <v>15.26</v>
      </c>
    </row>
    <row r="34" spans="1:17" ht="20.100000000000001" customHeight="1">
      <c r="A34" s="1332" t="s">
        <v>2449</v>
      </c>
      <c r="B34" s="1320" t="s">
        <v>2431</v>
      </c>
      <c r="C34" s="1321" t="s">
        <v>2432</v>
      </c>
      <c r="D34" s="1316">
        <v>1.25</v>
      </c>
      <c r="E34" s="1312"/>
      <c r="F34" s="1312"/>
      <c r="G34" s="1315"/>
      <c r="H34" s="1312"/>
      <c r="I34" s="1312"/>
      <c r="J34" s="1312"/>
      <c r="K34" s="1312"/>
      <c r="L34" s="1312"/>
      <c r="M34" s="1380">
        <v>180</v>
      </c>
      <c r="N34" s="1316"/>
      <c r="O34" s="1381">
        <f t="shared" ref="O34:O36" si="2">M34/D34</f>
        <v>144</v>
      </c>
      <c r="P34" s="1376"/>
    </row>
    <row r="35" spans="1:17" ht="20.100000000000001" customHeight="1">
      <c r="A35" s="1332" t="s">
        <v>2450</v>
      </c>
      <c r="B35" s="1320" t="s">
        <v>2433</v>
      </c>
      <c r="C35" s="1321" t="s">
        <v>2432</v>
      </c>
      <c r="D35" s="1316">
        <v>1.25</v>
      </c>
      <c r="E35" s="1312"/>
      <c r="F35" s="1312"/>
      <c r="G35" s="1315"/>
      <c r="H35" s="1312"/>
      <c r="I35" s="1312"/>
      <c r="J35" s="1312"/>
      <c r="K35" s="1312"/>
      <c r="L35" s="1312"/>
      <c r="M35" s="1380">
        <f>180-101</f>
        <v>79</v>
      </c>
      <c r="N35" s="1316"/>
      <c r="O35" s="1381">
        <f t="shared" si="2"/>
        <v>63.2</v>
      </c>
      <c r="P35" s="1376"/>
    </row>
    <row r="36" spans="1:17" s="1283" customFormat="1" ht="20.100000000000001" customHeight="1">
      <c r="A36" s="1332" t="s">
        <v>2451</v>
      </c>
      <c r="B36" s="1333" t="s">
        <v>2452</v>
      </c>
      <c r="C36" s="1321" t="s">
        <v>2436</v>
      </c>
      <c r="D36" s="1334">
        <f>1/16</f>
        <v>6.25E-2</v>
      </c>
      <c r="E36" s="1335" t="s">
        <v>2453</v>
      </c>
      <c r="F36" s="1336">
        <f>11.6+4</f>
        <v>15.6</v>
      </c>
      <c r="G36" s="1336" t="s">
        <v>2454</v>
      </c>
      <c r="H36" s="1336">
        <v>6.1</v>
      </c>
      <c r="I36" s="1336" t="s">
        <v>2455</v>
      </c>
      <c r="J36" s="1336">
        <v>11.45</v>
      </c>
      <c r="K36" s="1312"/>
      <c r="L36" s="1312"/>
      <c r="M36" s="1337">
        <f>SUM(E36:L36)</f>
        <v>33.15</v>
      </c>
      <c r="N36" s="1334"/>
      <c r="O36" s="1387">
        <f t="shared" si="2"/>
        <v>530.4</v>
      </c>
      <c r="P36" s="1388"/>
      <c r="Q36" s="1413">
        <f>M36-F36</f>
        <v>17.55</v>
      </c>
    </row>
    <row r="37" spans="1:17" s="1283" customFormat="1" ht="20.100000000000001" customHeight="1">
      <c r="A37" s="1322" t="s">
        <v>2456</v>
      </c>
      <c r="B37" s="1320" t="s">
        <v>2434</v>
      </c>
      <c r="C37" s="1321"/>
      <c r="D37" s="1316"/>
      <c r="E37" s="1328"/>
      <c r="F37" s="1336"/>
      <c r="G37" s="1337"/>
      <c r="H37" s="1336"/>
      <c r="I37" s="1337"/>
      <c r="J37" s="1336"/>
      <c r="K37" s="1336"/>
      <c r="L37" s="1336"/>
      <c r="M37" s="1337"/>
      <c r="N37" s="1334"/>
      <c r="O37" s="1382"/>
      <c r="P37" s="1388"/>
    </row>
    <row r="38" spans="1:17" s="1283" customFormat="1" ht="20.100000000000001" customHeight="1">
      <c r="A38" s="1319"/>
      <c r="B38" s="1323" t="s">
        <v>2446</v>
      </c>
      <c r="C38" s="1321" t="s">
        <v>2436</v>
      </c>
      <c r="D38" s="1316">
        <f>1/4.8</f>
        <v>0.20833333333333301</v>
      </c>
      <c r="E38" s="1328" t="s">
        <v>2457</v>
      </c>
      <c r="F38" s="1336">
        <v>9.16</v>
      </c>
      <c r="G38" s="1337" t="s">
        <v>2458</v>
      </c>
      <c r="H38" s="1336">
        <v>4.5199999999999996</v>
      </c>
      <c r="I38" s="1336" t="s">
        <v>2459</v>
      </c>
      <c r="J38" s="1336">
        <v>3.77</v>
      </c>
      <c r="K38" s="1336" t="s">
        <v>2460</v>
      </c>
      <c r="L38" s="1336">
        <v>7.1</v>
      </c>
      <c r="M38" s="1337">
        <f>SUM(E38:L39)</f>
        <v>32.4</v>
      </c>
      <c r="N38" s="1334"/>
      <c r="O38" s="1383">
        <f t="shared" ref="O38:O43" si="3">M38/D38</f>
        <v>155.52000000000001</v>
      </c>
      <c r="P38" s="1388"/>
    </row>
    <row r="39" spans="1:17" s="1283" customFormat="1" ht="20.100000000000001" customHeight="1">
      <c r="A39" s="1319"/>
      <c r="B39" s="1323"/>
      <c r="C39" s="1321"/>
      <c r="D39" s="1316"/>
      <c r="E39" s="1328" t="s">
        <v>2461</v>
      </c>
      <c r="F39" s="1336">
        <v>7.85</v>
      </c>
      <c r="G39" s="1336"/>
      <c r="H39" s="1336"/>
      <c r="I39" s="1336"/>
      <c r="J39" s="1336"/>
      <c r="K39" s="1336"/>
      <c r="L39" s="1336"/>
      <c r="M39" s="1337"/>
      <c r="N39" s="1334"/>
      <c r="O39" s="1389"/>
      <c r="P39" s="1388"/>
    </row>
    <row r="40" spans="1:17" s="1283" customFormat="1" ht="20.100000000000001" customHeight="1">
      <c r="A40" s="1319"/>
      <c r="B40" s="1323"/>
      <c r="C40" s="1321"/>
      <c r="D40" s="1316"/>
      <c r="E40" s="1328"/>
      <c r="F40" s="1336"/>
      <c r="G40" s="1336"/>
      <c r="H40" s="1336"/>
      <c r="I40" s="1336"/>
      <c r="J40" s="1336"/>
      <c r="K40" s="1336"/>
      <c r="L40" s="1336"/>
      <c r="M40" s="1337"/>
      <c r="N40" s="1334"/>
      <c r="O40" s="1389"/>
      <c r="P40" s="1388"/>
    </row>
    <row r="41" spans="1:17" s="1283" customFormat="1" ht="20.100000000000001" customHeight="1">
      <c r="A41" s="1319"/>
      <c r="B41" s="1323" t="s">
        <v>2435</v>
      </c>
      <c r="C41" s="1321" t="s">
        <v>2436</v>
      </c>
      <c r="D41" s="1338">
        <f>1/4.8</f>
        <v>0.20833333333333301</v>
      </c>
      <c r="E41" s="1339" t="s">
        <v>2462</v>
      </c>
      <c r="F41" s="1340">
        <v>14.42</v>
      </c>
      <c r="G41" s="1340" t="s">
        <v>2463</v>
      </c>
      <c r="H41" s="1340">
        <v>19.89</v>
      </c>
      <c r="I41" s="1340" t="s">
        <v>2464</v>
      </c>
      <c r="J41" s="1340">
        <v>31.95</v>
      </c>
      <c r="K41" s="1340" t="s">
        <v>2465</v>
      </c>
      <c r="L41" s="1340">
        <v>3.94</v>
      </c>
      <c r="M41" s="1337">
        <f t="shared" ref="M41:M46" si="4">SUM(E41:L41)</f>
        <v>70.2</v>
      </c>
      <c r="N41" s="1334"/>
      <c r="O41" s="1383">
        <f t="shared" si="3"/>
        <v>336.96</v>
      </c>
      <c r="P41" s="1388"/>
      <c r="Q41" s="1413"/>
    </row>
    <row r="42" spans="1:17" s="1282" customFormat="1" ht="20.100000000000001" customHeight="1">
      <c r="A42" s="1324">
        <v>4</v>
      </c>
      <c r="B42" s="1318" t="s">
        <v>2466</v>
      </c>
      <c r="C42" s="1324"/>
      <c r="D42" s="1329"/>
      <c r="E42" s="1330"/>
      <c r="F42" s="1331"/>
      <c r="G42" s="1331"/>
      <c r="H42" s="1331"/>
      <c r="I42" s="1326"/>
      <c r="J42" s="1331"/>
      <c r="K42" s="1384"/>
      <c r="L42" s="1384"/>
      <c r="M42" s="1337"/>
      <c r="N42" s="1385"/>
      <c r="O42" s="1379">
        <f>SUBTOTAL(9,O43:O46)</f>
        <v>497.12</v>
      </c>
      <c r="P42" s="1386"/>
    </row>
    <row r="43" spans="1:17" s="1283" customFormat="1" ht="20.100000000000001" customHeight="1">
      <c r="A43" s="1319" t="s">
        <v>2467</v>
      </c>
      <c r="B43" s="1333" t="s">
        <v>2452</v>
      </c>
      <c r="C43" s="1321" t="s">
        <v>2436</v>
      </c>
      <c r="D43" s="1334">
        <f>1/16</f>
        <v>6.25E-2</v>
      </c>
      <c r="E43" s="1335" t="s">
        <v>2453</v>
      </c>
      <c r="F43" s="1336">
        <f>15.79+2.82</f>
        <v>18.61</v>
      </c>
      <c r="G43" s="1336" t="s">
        <v>2454</v>
      </c>
      <c r="H43" s="1336">
        <v>6</v>
      </c>
      <c r="I43" s="1336" t="s">
        <v>2455</v>
      </c>
      <c r="J43" s="1336">
        <v>3.1</v>
      </c>
      <c r="K43" s="1384"/>
      <c r="L43" s="1384"/>
      <c r="M43" s="1337">
        <f t="shared" si="4"/>
        <v>27.71</v>
      </c>
      <c r="N43" s="1334"/>
      <c r="O43" s="1387">
        <f t="shared" si="3"/>
        <v>443.36</v>
      </c>
      <c r="P43" s="1388"/>
      <c r="Q43" s="1413">
        <f>M46</f>
        <v>11.2</v>
      </c>
    </row>
    <row r="44" spans="1:17" s="1283" customFormat="1" ht="20.100000000000001" customHeight="1">
      <c r="A44" s="1319"/>
      <c r="B44" s="1333"/>
      <c r="C44" s="1321"/>
      <c r="D44" s="1334"/>
      <c r="E44" s="1336"/>
      <c r="F44" s="1336"/>
      <c r="G44" s="1337"/>
      <c r="H44" s="1336"/>
      <c r="I44" s="1390"/>
      <c r="J44" s="1390"/>
      <c r="K44" s="1336"/>
      <c r="L44" s="1336"/>
      <c r="M44" s="1337"/>
      <c r="N44" s="1334"/>
      <c r="O44" s="1382"/>
      <c r="P44" s="1388"/>
    </row>
    <row r="45" spans="1:17" s="1283" customFormat="1" ht="20.100000000000001" customHeight="1">
      <c r="A45" s="1322" t="s">
        <v>2468</v>
      </c>
      <c r="B45" s="1320" t="s">
        <v>2434</v>
      </c>
      <c r="C45" s="1321"/>
      <c r="D45" s="1334"/>
      <c r="E45" s="1336"/>
      <c r="F45" s="1336"/>
      <c r="G45" s="1337"/>
      <c r="H45" s="1336"/>
      <c r="I45" s="1390"/>
      <c r="J45" s="1390"/>
      <c r="K45" s="1336"/>
      <c r="L45" s="1336"/>
      <c r="M45" s="1337"/>
      <c r="N45" s="1334"/>
      <c r="O45" s="1382"/>
      <c r="P45" s="1388"/>
    </row>
    <row r="46" spans="1:17" s="1283" customFormat="1" ht="20.100000000000001" customHeight="1">
      <c r="A46" s="1319"/>
      <c r="B46" s="1323" t="s">
        <v>2446</v>
      </c>
      <c r="C46" s="1321" t="s">
        <v>2436</v>
      </c>
      <c r="D46" s="1316">
        <f>1/4.8</f>
        <v>0.20833333333333301</v>
      </c>
      <c r="E46" s="1336" t="s">
        <v>2458</v>
      </c>
      <c r="F46" s="1336">
        <v>2.79</v>
      </c>
      <c r="G46" s="1337" t="s">
        <v>2459</v>
      </c>
      <c r="H46" s="1336">
        <v>6.56</v>
      </c>
      <c r="I46" s="1390" t="s">
        <v>2461</v>
      </c>
      <c r="J46" s="1390">
        <f>9.7-7.85</f>
        <v>1.85</v>
      </c>
      <c r="K46" s="1336"/>
      <c r="L46" s="1336"/>
      <c r="M46" s="1337">
        <f t="shared" si="4"/>
        <v>11.2</v>
      </c>
      <c r="N46" s="1334"/>
      <c r="O46" s="1383">
        <f>M46/D46</f>
        <v>53.76</v>
      </c>
      <c r="P46" s="1388"/>
    </row>
    <row r="47" spans="1:17" s="1284" customFormat="1" ht="20.100000000000001" customHeight="1">
      <c r="A47" s="1341" t="s">
        <v>1957</v>
      </c>
      <c r="B47" s="1342" t="s">
        <v>2469</v>
      </c>
      <c r="C47" s="1343"/>
      <c r="D47" s="1344"/>
      <c r="E47" s="1345"/>
      <c r="F47" s="1346"/>
      <c r="G47" s="1345"/>
      <c r="H47" s="1346"/>
      <c r="I47" s="1390"/>
      <c r="J47" s="1312"/>
      <c r="K47" s="1308"/>
      <c r="L47" s="1308"/>
      <c r="M47" s="1315"/>
      <c r="N47" s="1391"/>
      <c r="O47" s="1379">
        <f>SUBTOTAL(9,O48:O48)</f>
        <v>0</v>
      </c>
      <c r="P47" s="1374"/>
    </row>
    <row r="48" spans="1:17" s="1285" customFormat="1" ht="20.100000000000001" hidden="1" customHeight="1">
      <c r="A48" s="1347" t="s">
        <v>2408</v>
      </c>
      <c r="B48" s="1348" t="s">
        <v>2470</v>
      </c>
      <c r="C48" s="1349"/>
      <c r="D48" s="1350"/>
      <c r="E48" s="1351"/>
      <c r="F48" s="1352"/>
      <c r="G48" s="1351"/>
      <c r="H48" s="1352"/>
      <c r="I48" s="1392"/>
      <c r="J48" s="1393"/>
      <c r="K48" s="1394"/>
      <c r="L48" s="1394"/>
      <c r="M48" s="1394"/>
      <c r="N48" s="1395"/>
      <c r="O48" s="1379"/>
      <c r="P48" s="1396"/>
    </row>
    <row r="49" spans="1:16" ht="20.100000000000001" customHeight="1">
      <c r="A49" s="1304" t="s">
        <v>1958</v>
      </c>
      <c r="B49" s="1305" t="s">
        <v>2471</v>
      </c>
      <c r="C49" s="1311"/>
      <c r="D49" s="1316"/>
      <c r="E49" s="1328"/>
      <c r="F49" s="1328"/>
      <c r="G49" s="1315"/>
      <c r="H49" s="1315"/>
      <c r="I49" s="1397"/>
      <c r="J49" s="1397"/>
      <c r="K49" s="1397"/>
      <c r="L49" s="1397"/>
      <c r="M49" s="1378"/>
      <c r="N49" s="1398"/>
      <c r="O49" s="1399">
        <f>SUM(O50:O50)</f>
        <v>416</v>
      </c>
      <c r="P49" s="1376"/>
    </row>
    <row r="50" spans="1:16" ht="20.100000000000001" customHeight="1">
      <c r="A50" s="1353">
        <v>1</v>
      </c>
      <c r="B50" s="1310" t="s">
        <v>2472</v>
      </c>
      <c r="C50" s="1311" t="s">
        <v>2423</v>
      </c>
      <c r="D50" s="1316"/>
      <c r="E50" s="2346" t="s">
        <v>2473</v>
      </c>
      <c r="F50" s="2346"/>
      <c r="G50" s="2346"/>
      <c r="H50" s="2346"/>
      <c r="I50" s="2346"/>
      <c r="J50" s="2346"/>
      <c r="K50" s="2346"/>
      <c r="L50" s="2346"/>
      <c r="M50" s="2346"/>
      <c r="N50" s="1398"/>
      <c r="O50" s="1378">
        <f>+(2600000*4)/25000</f>
        <v>416</v>
      </c>
      <c r="P50" s="1311"/>
    </row>
    <row r="51" spans="1:16" ht="20.100000000000001" customHeight="1">
      <c r="A51" s="1304" t="s">
        <v>2359</v>
      </c>
      <c r="B51" s="1305" t="s">
        <v>2474</v>
      </c>
      <c r="C51" s="1311"/>
      <c r="D51" s="1316"/>
      <c r="E51" s="1315"/>
      <c r="F51" s="1315"/>
      <c r="G51" s="1315"/>
      <c r="H51" s="1315"/>
      <c r="I51" s="1315"/>
      <c r="J51" s="1315"/>
      <c r="K51" s="1315"/>
      <c r="L51" s="1315"/>
      <c r="M51" s="1378"/>
      <c r="N51" s="1398"/>
      <c r="O51" s="1399">
        <v>0</v>
      </c>
      <c r="P51" s="1376"/>
    </row>
    <row r="52" spans="1:16" ht="20.100000000000001" customHeight="1">
      <c r="A52" s="2347" t="s">
        <v>2475</v>
      </c>
      <c r="B52" s="2347"/>
      <c r="C52" s="1354"/>
      <c r="D52" s="1354"/>
      <c r="E52" s="1355"/>
      <c r="F52" s="1355"/>
      <c r="G52" s="1355"/>
      <c r="H52" s="1355"/>
      <c r="I52" s="1355"/>
      <c r="J52" s="1355"/>
      <c r="K52" s="1355"/>
      <c r="L52" s="1355"/>
      <c r="M52" s="1400"/>
      <c r="N52" s="1354"/>
      <c r="O52" s="1401">
        <f>O51+O49+O12+O47</f>
        <v>2550.48</v>
      </c>
      <c r="P52" s="1354"/>
    </row>
    <row r="53" spans="1:16">
      <c r="A53" s="1356"/>
      <c r="B53" s="1357"/>
      <c r="C53" s="1357"/>
      <c r="D53" s="1358"/>
      <c r="E53" s="1359"/>
      <c r="F53" s="1359"/>
      <c r="G53" s="1359"/>
      <c r="H53" s="1359"/>
      <c r="I53" s="2342" t="s">
        <v>2476</v>
      </c>
      <c r="J53" s="2342"/>
      <c r="K53" s="2342"/>
      <c r="L53" s="2342"/>
      <c r="M53" s="2342"/>
      <c r="N53" s="2342"/>
      <c r="O53" s="2342"/>
      <c r="P53" s="2342"/>
    </row>
    <row r="54" spans="1:16">
      <c r="A54" s="1295"/>
      <c r="B54" s="1291" t="s">
        <v>2477</v>
      </c>
      <c r="C54" s="1291"/>
      <c r="D54" s="1360"/>
      <c r="E54" s="1293"/>
      <c r="F54" s="2343" t="s">
        <v>2478</v>
      </c>
      <c r="G54" s="2343"/>
      <c r="H54" s="2343"/>
      <c r="I54" s="2343"/>
      <c r="J54" s="1361"/>
      <c r="K54" s="1361"/>
      <c r="L54" s="1361"/>
      <c r="M54" s="2344" t="s">
        <v>2479</v>
      </c>
      <c r="N54" s="2344"/>
      <c r="O54" s="2344"/>
      <c r="P54" s="2344"/>
    </row>
    <row r="55" spans="1:16" ht="16.5" customHeight="1">
      <c r="A55" s="1361"/>
      <c r="B55" s="1291"/>
      <c r="C55" s="1291"/>
      <c r="D55" s="1360"/>
      <c r="E55" s="1293"/>
      <c r="F55" s="1293"/>
      <c r="G55" s="1293"/>
      <c r="H55" s="1293"/>
      <c r="I55" s="1293"/>
      <c r="J55" s="1361"/>
      <c r="K55" s="1361"/>
      <c r="L55" s="1361"/>
      <c r="M55" s="1402"/>
      <c r="N55" s="1291"/>
      <c r="O55" s="1403"/>
      <c r="P55" s="1357"/>
    </row>
    <row r="56" spans="1:16" ht="16.5" customHeight="1">
      <c r="A56" s="1361"/>
      <c r="B56" s="1291"/>
      <c r="C56" s="1291"/>
      <c r="D56" s="1360"/>
      <c r="E56" s="1293"/>
      <c r="F56" s="1293"/>
      <c r="G56" s="1293"/>
      <c r="H56" s="1293"/>
      <c r="I56" s="1293"/>
      <c r="J56" s="1361"/>
      <c r="K56" s="1361"/>
      <c r="L56" s="1361"/>
      <c r="M56" s="1402"/>
      <c r="N56" s="1291"/>
      <c r="O56" s="1403"/>
      <c r="P56" s="1357"/>
    </row>
    <row r="57" spans="1:16" ht="16.5" customHeight="1">
      <c r="A57" s="1361"/>
      <c r="B57" s="1291"/>
      <c r="C57" s="1291"/>
      <c r="D57" s="1360"/>
      <c r="E57" s="1293"/>
      <c r="F57" s="1293"/>
      <c r="G57" s="1293"/>
      <c r="H57" s="1293"/>
      <c r="I57" s="1293"/>
      <c r="J57" s="1361"/>
      <c r="K57" s="1361"/>
      <c r="L57" s="1361"/>
      <c r="M57" s="1402"/>
      <c r="N57" s="1291"/>
      <c r="O57" s="1403"/>
      <c r="P57" s="1357"/>
    </row>
    <row r="58" spans="1:16" ht="16.5" customHeight="1">
      <c r="A58" s="1361"/>
      <c r="B58" s="1291"/>
      <c r="C58" s="1291"/>
      <c r="D58" s="1360"/>
      <c r="E58" s="1293"/>
      <c r="F58" s="1293"/>
      <c r="G58" s="1293"/>
      <c r="H58" s="1293"/>
      <c r="I58" s="1293"/>
      <c r="J58" s="1361"/>
      <c r="K58" s="1361"/>
      <c r="L58" s="1361"/>
      <c r="M58" s="1402"/>
      <c r="N58" s="1291"/>
      <c r="O58" s="1403"/>
      <c r="P58" s="1357"/>
    </row>
    <row r="59" spans="1:16">
      <c r="A59" s="1361"/>
      <c r="B59" s="1291"/>
      <c r="C59" s="1291"/>
      <c r="D59" s="1360"/>
      <c r="E59" s="1293"/>
      <c r="F59" s="1293"/>
      <c r="G59" s="1293"/>
      <c r="H59" s="1293"/>
      <c r="I59" s="1293"/>
      <c r="J59" s="1293"/>
      <c r="K59" s="1293"/>
      <c r="L59" s="1293"/>
      <c r="M59" s="1402"/>
      <c r="N59" s="1291"/>
      <c r="O59" s="1403"/>
      <c r="P59" s="1357"/>
    </row>
    <row r="60" spans="1:16">
      <c r="A60" s="1361"/>
      <c r="B60" s="1291" t="s">
        <v>2480</v>
      </c>
      <c r="C60" s="1291"/>
      <c r="D60" s="1362"/>
      <c r="E60" s="1363"/>
      <c r="F60" s="2343" t="s">
        <v>2481</v>
      </c>
      <c r="G60" s="2343"/>
      <c r="H60" s="2343"/>
      <c r="I60" s="2343"/>
      <c r="J60" s="1363"/>
      <c r="K60" s="1363"/>
      <c r="L60" s="1363"/>
      <c r="M60" s="2344" t="s">
        <v>2482</v>
      </c>
      <c r="N60" s="2344"/>
      <c r="O60" s="2344"/>
      <c r="P60" s="2344"/>
    </row>
    <row r="61" spans="1:16">
      <c r="A61" s="1361"/>
      <c r="B61" s="1364"/>
      <c r="C61" s="1291"/>
      <c r="D61" s="1360"/>
      <c r="E61" s="1293"/>
      <c r="F61" s="1293"/>
      <c r="G61" s="1293"/>
      <c r="H61" s="1293"/>
      <c r="I61" s="1293"/>
      <c r="J61" s="1293"/>
      <c r="K61" s="1293"/>
      <c r="L61" s="1293"/>
      <c r="M61" s="1402"/>
      <c r="N61" s="1404"/>
      <c r="O61" s="1403"/>
      <c r="P61" s="1405"/>
    </row>
    <row r="62" spans="1:16" ht="13.5" customHeight="1">
      <c r="A62" s="2337" t="s">
        <v>2483</v>
      </c>
      <c r="B62" s="2337"/>
      <c r="C62" s="2337"/>
      <c r="D62" s="2337"/>
      <c r="E62" s="2337"/>
      <c r="F62" s="2337"/>
      <c r="G62" s="2337"/>
      <c r="H62" s="2337"/>
      <c r="I62" s="2337"/>
      <c r="J62" s="2337"/>
      <c r="K62" s="2337"/>
      <c r="L62" s="2337"/>
      <c r="M62" s="2337"/>
      <c r="N62" s="2337"/>
      <c r="O62" s="2337"/>
      <c r="P62" s="2337"/>
    </row>
    <row r="63" spans="1:16">
      <c r="A63" s="1295"/>
      <c r="B63" s="1365"/>
      <c r="C63" s="1292"/>
      <c r="D63" s="1362"/>
      <c r="E63" s="1293"/>
      <c r="F63" s="1295"/>
      <c r="G63" s="1293"/>
      <c r="H63" s="1295"/>
      <c r="I63" s="1406"/>
      <c r="J63" s="1406"/>
      <c r="K63" s="1406"/>
      <c r="L63" s="1406"/>
      <c r="M63" s="1402"/>
      <c r="N63" s="1407"/>
      <c r="O63" s="1408"/>
      <c r="P63" s="1409"/>
    </row>
    <row r="64" spans="1:16">
      <c r="B64" s="1366" t="s">
        <v>2484</v>
      </c>
      <c r="C64" s="2338" t="s">
        <v>2485</v>
      </c>
      <c r="D64" s="2338"/>
      <c r="E64" s="2338"/>
      <c r="F64" s="2338"/>
      <c r="G64" s="2339" t="s">
        <v>2486</v>
      </c>
      <c r="H64" s="2339"/>
      <c r="I64" s="2339"/>
      <c r="J64" s="2340" t="s">
        <v>2487</v>
      </c>
      <c r="K64" s="2340"/>
      <c r="L64" s="2340"/>
      <c r="M64" s="2341" t="s">
        <v>2488</v>
      </c>
      <c r="N64" s="2341"/>
      <c r="O64" s="2341"/>
      <c r="P64" s="2341"/>
    </row>
    <row r="65" spans="1:16">
      <c r="A65" s="1414"/>
      <c r="B65" s="1415"/>
      <c r="C65" s="1416"/>
      <c r="D65" s="1417"/>
      <c r="E65" s="1414"/>
      <c r="F65" s="1414"/>
      <c r="G65" s="1414"/>
      <c r="H65" s="1414"/>
      <c r="I65" s="1414"/>
      <c r="J65" s="1414"/>
      <c r="K65" s="1414"/>
      <c r="L65" s="1414"/>
      <c r="M65" s="1418"/>
      <c r="N65" s="1415"/>
      <c r="O65" s="1415"/>
      <c r="P65" s="1415"/>
    </row>
    <row r="66" spans="1:16">
      <c r="A66" s="1414"/>
      <c r="B66" s="1415"/>
      <c r="C66" s="1416"/>
      <c r="D66" s="1417"/>
      <c r="E66" s="1414"/>
      <c r="F66" s="1414"/>
      <c r="G66" s="1414"/>
      <c r="H66" s="1414"/>
      <c r="I66" s="1414"/>
      <c r="J66" s="1414"/>
      <c r="K66" s="1414"/>
      <c r="L66" s="1414"/>
      <c r="M66" s="1418"/>
      <c r="N66" s="1415"/>
      <c r="O66" s="1415"/>
      <c r="P66" s="1415"/>
    </row>
    <row r="67" spans="1:16">
      <c r="A67" s="1414"/>
      <c r="B67" s="1415"/>
      <c r="C67" s="1416"/>
      <c r="D67" s="1417"/>
      <c r="E67" s="1414"/>
      <c r="F67" s="1414"/>
      <c r="G67" s="1414"/>
      <c r="H67" s="1414"/>
      <c r="I67" s="1414"/>
      <c r="J67" s="1414"/>
      <c r="K67" s="1414"/>
      <c r="L67" s="1414"/>
      <c r="M67" s="1418"/>
      <c r="N67" s="1415"/>
      <c r="O67" s="1415"/>
      <c r="P67" s="1415"/>
    </row>
    <row r="68" spans="1:16">
      <c r="A68" s="1414"/>
      <c r="B68" s="1415"/>
      <c r="C68" s="1416"/>
      <c r="D68" s="1417"/>
      <c r="E68" s="1414"/>
      <c r="F68" s="1414"/>
      <c r="G68" s="1414"/>
      <c r="H68" s="1414"/>
      <c r="I68" s="1414"/>
      <c r="J68" s="1414"/>
      <c r="K68" s="1414"/>
      <c r="L68" s="1414"/>
      <c r="M68" s="1418"/>
      <c r="N68" s="1415"/>
      <c r="O68" s="1415"/>
      <c r="P68" s="1415"/>
    </row>
    <row r="69" spans="1:16">
      <c r="A69" s="1414"/>
      <c r="B69" s="1415"/>
      <c r="C69" s="1416"/>
      <c r="D69" s="1417"/>
      <c r="E69" s="1414"/>
      <c r="F69" s="1414"/>
      <c r="G69" s="1414"/>
      <c r="H69" s="1414"/>
      <c r="I69" s="1414"/>
      <c r="J69" s="1414"/>
      <c r="K69" s="1414"/>
      <c r="L69" s="1414"/>
      <c r="M69" s="1418"/>
      <c r="N69" s="1415"/>
      <c r="O69" s="1415"/>
      <c r="P69" s="1415"/>
    </row>
    <row r="70" spans="1:16">
      <c r="A70" s="1414"/>
      <c r="B70" s="1415"/>
      <c r="C70" s="1416"/>
      <c r="D70" s="1417"/>
      <c r="E70" s="1414"/>
      <c r="F70" s="1414"/>
      <c r="G70" s="1414"/>
      <c r="H70" s="1414"/>
      <c r="I70" s="1414"/>
      <c r="J70" s="1414"/>
      <c r="K70" s="1414"/>
      <c r="L70" s="1414"/>
      <c r="M70" s="1418"/>
      <c r="N70" s="1415"/>
      <c r="O70" s="1415"/>
      <c r="P70" s="1415"/>
    </row>
    <row r="71" spans="1:16">
      <c r="A71" s="1414"/>
      <c r="B71" s="1415"/>
      <c r="C71" s="1416"/>
      <c r="D71" s="1417"/>
      <c r="E71" s="1414"/>
      <c r="F71" s="1414"/>
      <c r="G71" s="1414"/>
      <c r="H71" s="1414"/>
      <c r="I71" s="1414"/>
      <c r="J71" s="1414"/>
      <c r="K71" s="1414"/>
      <c r="L71" s="1414"/>
      <c r="M71" s="1418"/>
      <c r="N71" s="1415"/>
      <c r="O71" s="1415"/>
      <c r="P71" s="1415"/>
    </row>
    <row r="72" spans="1:16">
      <c r="A72" s="1414"/>
      <c r="B72" s="1415"/>
      <c r="C72" s="1416"/>
      <c r="D72" s="1417"/>
      <c r="E72" s="1414"/>
      <c r="F72" s="1414"/>
      <c r="G72" s="1414"/>
      <c r="H72" s="1414"/>
      <c r="I72" s="1414"/>
      <c r="J72" s="1414"/>
      <c r="K72" s="1414"/>
      <c r="L72" s="1414"/>
      <c r="M72" s="1418"/>
      <c r="N72" s="1415"/>
      <c r="O72" s="1415"/>
      <c r="P72" s="1415"/>
    </row>
    <row r="78" spans="1:16">
      <c r="A78" s="1287"/>
      <c r="C78" s="1287"/>
      <c r="D78" s="1287"/>
      <c r="E78" s="1287"/>
      <c r="F78" s="1287"/>
      <c r="G78" s="1287"/>
      <c r="H78" s="1287"/>
      <c r="I78" s="1287"/>
      <c r="J78" s="1287"/>
      <c r="K78" s="1287"/>
      <c r="L78" s="1287"/>
      <c r="M78" s="1287"/>
    </row>
    <row r="79" spans="1:16">
      <c r="A79" s="1287"/>
      <c r="C79" s="1287"/>
      <c r="D79" s="1287"/>
      <c r="E79" s="1287"/>
      <c r="F79" s="1287"/>
      <c r="G79" s="1287"/>
      <c r="H79" s="1287"/>
      <c r="I79" s="1287"/>
      <c r="J79" s="1287"/>
      <c r="K79" s="1287"/>
      <c r="L79" s="1287"/>
      <c r="M79" s="1287"/>
    </row>
    <row r="80" spans="1:16">
      <c r="A80" s="1287"/>
      <c r="C80" s="1287"/>
      <c r="D80" s="1287"/>
      <c r="E80" s="1287"/>
      <c r="F80" s="1287"/>
      <c r="G80" s="1287"/>
      <c r="H80" s="1287"/>
      <c r="I80" s="1287"/>
      <c r="J80" s="1287"/>
      <c r="K80" s="1287"/>
      <c r="L80" s="1287"/>
      <c r="M80" s="1287"/>
    </row>
    <row r="81" spans="1:13">
      <c r="A81" s="1287"/>
      <c r="C81" s="1287"/>
      <c r="D81" s="1287"/>
      <c r="E81" s="1287"/>
      <c r="F81" s="1287"/>
      <c r="G81" s="1287"/>
      <c r="H81" s="1287"/>
      <c r="I81" s="1287"/>
      <c r="J81" s="1287"/>
      <c r="K81" s="1287"/>
      <c r="L81" s="1287"/>
      <c r="M81" s="1287"/>
    </row>
    <row r="82" spans="1:13">
      <c r="A82" s="1287"/>
      <c r="C82" s="1287"/>
      <c r="D82" s="1287"/>
      <c r="E82" s="1287"/>
      <c r="F82" s="1287"/>
      <c r="G82" s="1287"/>
      <c r="H82" s="1287"/>
      <c r="I82" s="1287"/>
      <c r="J82" s="1287"/>
      <c r="K82" s="1287"/>
      <c r="L82" s="1287"/>
      <c r="M82" s="1287"/>
    </row>
    <row r="83" spans="1:13">
      <c r="A83" s="1287"/>
      <c r="C83" s="1287"/>
      <c r="D83" s="1287"/>
      <c r="E83" s="1287"/>
      <c r="F83" s="1287"/>
      <c r="G83" s="1287"/>
      <c r="H83" s="1287"/>
      <c r="I83" s="1287"/>
      <c r="J83" s="1287"/>
      <c r="K83" s="1287"/>
      <c r="L83" s="1287"/>
      <c r="M83" s="1287"/>
    </row>
    <row r="84" spans="1:13">
      <c r="A84" s="1287"/>
      <c r="C84" s="1287"/>
      <c r="D84" s="1287"/>
      <c r="E84" s="1287"/>
      <c r="F84" s="1287"/>
      <c r="G84" s="1287"/>
      <c r="H84" s="1287"/>
      <c r="I84" s="1287"/>
      <c r="J84" s="1287"/>
      <c r="K84" s="1287"/>
      <c r="L84" s="1287"/>
      <c r="M84" s="1287"/>
    </row>
    <row r="85" spans="1:13">
      <c r="A85" s="1287"/>
      <c r="C85" s="1287"/>
      <c r="D85" s="1287"/>
      <c r="E85" s="1287"/>
      <c r="F85" s="1287"/>
      <c r="G85" s="1287"/>
      <c r="H85" s="1287"/>
      <c r="I85" s="1287"/>
      <c r="J85" s="1287"/>
      <c r="K85" s="1287"/>
      <c r="L85" s="1287"/>
      <c r="M85" s="1287"/>
    </row>
    <row r="86" spans="1:13">
      <c r="A86" s="1287"/>
      <c r="C86" s="1287"/>
      <c r="D86" s="1287"/>
      <c r="E86" s="1287"/>
      <c r="F86" s="1287"/>
      <c r="G86" s="1287"/>
      <c r="H86" s="1287"/>
      <c r="I86" s="1287"/>
      <c r="J86" s="1287"/>
      <c r="K86" s="1287"/>
      <c r="L86" s="1287"/>
      <c r="M86" s="1287"/>
    </row>
    <row r="87" spans="1:13">
      <c r="A87" s="1287"/>
      <c r="C87" s="1287"/>
      <c r="D87" s="1287"/>
      <c r="E87" s="1287"/>
      <c r="F87" s="1287"/>
      <c r="G87" s="1287"/>
      <c r="H87" s="1287"/>
      <c r="I87" s="1287"/>
      <c r="J87" s="1287"/>
      <c r="K87" s="1287"/>
      <c r="L87" s="1287"/>
      <c r="M87" s="1287"/>
    </row>
  </sheetData>
  <mergeCells count="32">
    <mergeCell ref="A1:P1"/>
    <mergeCell ref="A2:P2"/>
    <mergeCell ref="A3:P3"/>
    <mergeCell ref="A4:D4"/>
    <mergeCell ref="A5:D5"/>
    <mergeCell ref="A7:P7"/>
    <mergeCell ref="A8:P8"/>
    <mergeCell ref="E10:L10"/>
    <mergeCell ref="H15:J15"/>
    <mergeCell ref="H16:J16"/>
    <mergeCell ref="A10:A11"/>
    <mergeCell ref="B10:B11"/>
    <mergeCell ref="C10:C11"/>
    <mergeCell ref="D10:D11"/>
    <mergeCell ref="M10:M11"/>
    <mergeCell ref="N10:N11"/>
    <mergeCell ref="P10:P11"/>
    <mergeCell ref="E18:L18"/>
    <mergeCell ref="E19:L19"/>
    <mergeCell ref="E20:L20"/>
    <mergeCell ref="E50:M50"/>
    <mergeCell ref="A52:B52"/>
    <mergeCell ref="I53:P53"/>
    <mergeCell ref="F54:I54"/>
    <mergeCell ref="M54:P54"/>
    <mergeCell ref="F60:I60"/>
    <mergeCell ref="M60:P60"/>
    <mergeCell ref="A62:P62"/>
    <mergeCell ref="C64:F64"/>
    <mergeCell ref="G64:I64"/>
    <mergeCell ref="J64:L64"/>
    <mergeCell ref="M64:P64"/>
  </mergeCells>
  <pageMargins left="0.2" right="0.2" top="0.25" bottom="0.57986111111111105" header="3.9583333333333297E-2" footer="7.9861111111111105E-2"/>
  <pageSetup paperSize="9" scale="75" orientation="landscape"/>
  <headerFooter>
    <oddFooter>&amp;RBCSX T6.2025 &amp;P/2</oddFooter>
  </headerFooter>
  <drawing r:id="rId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39988402966399123"/>
  </sheetPr>
  <dimension ref="A2:T67"/>
  <sheetViews>
    <sheetView topLeftCell="A4" workbookViewId="0">
      <pane xSplit="2" ySplit="2" topLeftCell="C57" activePane="bottomRight" state="frozen"/>
      <selection pane="topRight"/>
      <selection pane="bottomLeft"/>
      <selection pane="bottomRight" activeCell="B32" sqref="B32:B33"/>
    </sheetView>
  </sheetViews>
  <sheetFormatPr defaultColWidth="9.140625" defaultRowHeight="18.75"/>
  <cols>
    <col min="1" max="1" width="9.140625" style="1269"/>
    <col min="2" max="2" width="18" style="1269" customWidth="1"/>
    <col min="3" max="12" width="11.140625" style="1269" customWidth="1"/>
    <col min="13" max="13" width="10.5703125" style="1269" customWidth="1"/>
    <col min="14" max="16384" width="9.140625" style="1269"/>
  </cols>
  <sheetData>
    <row r="2" spans="1:20">
      <c r="A2" s="2295" t="s">
        <v>2489</v>
      </c>
      <c r="B2" s="2295"/>
      <c r="C2" s="2295"/>
      <c r="D2" s="2295"/>
      <c r="E2" s="2295"/>
      <c r="F2" s="2295"/>
      <c r="G2" s="2295"/>
      <c r="H2" s="2295"/>
      <c r="I2" s="2295"/>
      <c r="J2" s="2295"/>
      <c r="K2" s="2295"/>
      <c r="L2" s="2295"/>
      <c r="M2" s="2295"/>
    </row>
    <row r="4" spans="1:20" s="1267" customFormat="1">
      <c r="A4" s="2359" t="s">
        <v>6</v>
      </c>
      <c r="B4" s="2359" t="s">
        <v>2490</v>
      </c>
      <c r="C4" s="2359" t="s">
        <v>2491</v>
      </c>
      <c r="D4" s="2359"/>
      <c r="E4" s="2359"/>
      <c r="F4" s="2359"/>
      <c r="G4" s="2359"/>
      <c r="H4" s="2359"/>
      <c r="I4" s="2359"/>
      <c r="J4" s="2359"/>
      <c r="K4" s="2359"/>
      <c r="L4" s="2359"/>
      <c r="M4" s="2359" t="s">
        <v>525</v>
      </c>
      <c r="O4" s="1271"/>
      <c r="P4" s="1271"/>
      <c r="Q4" s="1271"/>
      <c r="R4" s="1271"/>
    </row>
    <row r="5" spans="1:20" s="1267" customFormat="1" ht="93.75">
      <c r="A5" s="2359"/>
      <c r="B5" s="2359"/>
      <c r="C5" s="1271" t="s">
        <v>2492</v>
      </c>
      <c r="D5" s="1271" t="s">
        <v>2493</v>
      </c>
      <c r="E5" s="1271" t="s">
        <v>2494</v>
      </c>
      <c r="F5" s="1271" t="s">
        <v>2495</v>
      </c>
      <c r="G5" s="1271"/>
      <c r="H5" s="1272"/>
      <c r="I5" s="1273"/>
      <c r="J5" s="1273"/>
      <c r="K5" s="1273"/>
      <c r="L5" s="1273"/>
      <c r="M5" s="2359"/>
      <c r="O5" s="1271" t="s">
        <v>2496</v>
      </c>
      <c r="P5" s="1271" t="s">
        <v>2497</v>
      </c>
      <c r="Q5" s="1271" t="s">
        <v>2498</v>
      </c>
      <c r="R5" s="1271" t="s">
        <v>2431</v>
      </c>
      <c r="S5" s="1273"/>
      <c r="T5" s="1273"/>
    </row>
    <row r="6" spans="1:20" s="1267" customFormat="1">
      <c r="A6" s="1270"/>
      <c r="B6" s="1270"/>
      <c r="C6" s="1271"/>
      <c r="D6" s="1271"/>
      <c r="E6" s="1271"/>
      <c r="F6" s="1271"/>
      <c r="G6" s="1271"/>
      <c r="H6" s="1273"/>
      <c r="I6" s="1273"/>
      <c r="J6" s="1273"/>
      <c r="K6" s="1273"/>
      <c r="L6" s="1273"/>
      <c r="M6" s="1270"/>
      <c r="O6" s="1271"/>
      <c r="P6" s="1271"/>
      <c r="Q6" s="1271"/>
      <c r="R6" s="1271"/>
    </row>
    <row r="7" spans="1:20" s="1267" customFormat="1">
      <c r="A7" s="1270" t="s">
        <v>2446</v>
      </c>
      <c r="B7" s="1270"/>
      <c r="C7" s="1273">
        <f>SUM(C8:C33)</f>
        <v>76.8</v>
      </c>
      <c r="D7" s="1274">
        <f>SUM(D8:D33)</f>
        <v>29.6</v>
      </c>
      <c r="E7" s="1274">
        <f t="shared" ref="E7:L7" si="0">SUM(E8:E33)</f>
        <v>217.68</v>
      </c>
      <c r="F7" s="1274">
        <f t="shared" si="0"/>
        <v>530.4</v>
      </c>
      <c r="G7" s="1274">
        <f t="shared" si="0"/>
        <v>0</v>
      </c>
      <c r="H7" s="1274">
        <f t="shared" si="0"/>
        <v>0</v>
      </c>
      <c r="I7" s="1274">
        <f t="shared" si="0"/>
        <v>0</v>
      </c>
      <c r="J7" s="1274">
        <f t="shared" si="0"/>
        <v>0</v>
      </c>
      <c r="K7" s="1274">
        <f t="shared" si="0"/>
        <v>0</v>
      </c>
      <c r="L7" s="1274">
        <f t="shared" si="0"/>
        <v>0</v>
      </c>
      <c r="M7" s="1274">
        <f>SUM(M8:M33)</f>
        <v>854.48</v>
      </c>
    </row>
    <row r="8" spans="1:20">
      <c r="A8" s="1275">
        <v>1</v>
      </c>
      <c r="B8" s="1276" t="s">
        <v>506</v>
      </c>
      <c r="C8" s="1275">
        <v>3.2</v>
      </c>
      <c r="D8" s="1275"/>
      <c r="E8" s="1276"/>
      <c r="F8" s="1276"/>
      <c r="G8" s="1276"/>
      <c r="H8" s="1276"/>
      <c r="I8" s="1279"/>
      <c r="J8" s="1276"/>
      <c r="K8" s="1276"/>
      <c r="L8" s="1276"/>
      <c r="M8" s="1279">
        <f>SUM(C8:L8)</f>
        <v>3.2</v>
      </c>
      <c r="O8" s="1269">
        <v>2</v>
      </c>
      <c r="P8" s="1269">
        <v>1</v>
      </c>
      <c r="Q8" s="1269">
        <v>3</v>
      </c>
      <c r="R8" s="1269">
        <v>3</v>
      </c>
    </row>
    <row r="9" spans="1:20">
      <c r="A9" s="1275">
        <v>2</v>
      </c>
      <c r="B9" s="1276" t="s">
        <v>2499</v>
      </c>
      <c r="C9" s="1275">
        <v>3.2</v>
      </c>
      <c r="D9" s="1275">
        <v>0.8</v>
      </c>
      <c r="E9" s="1276"/>
      <c r="F9" s="1276"/>
      <c r="G9" s="1276"/>
      <c r="H9" s="1276"/>
      <c r="I9" s="1279"/>
      <c r="J9" s="1276"/>
      <c r="K9" s="1276"/>
      <c r="L9" s="1276"/>
      <c r="M9" s="1276">
        <f t="shared" ref="M9:M31" si="1">SUM(C9:L9)</f>
        <v>4</v>
      </c>
      <c r="O9" s="1269">
        <v>1</v>
      </c>
      <c r="P9" s="1269">
        <v>2</v>
      </c>
      <c r="Q9" s="1269">
        <v>3</v>
      </c>
      <c r="R9" s="1269">
        <v>3</v>
      </c>
    </row>
    <row r="10" spans="1:20">
      <c r="A10" s="1275">
        <v>3</v>
      </c>
      <c r="B10" s="1276" t="s">
        <v>2500</v>
      </c>
      <c r="C10" s="1275">
        <v>3.2</v>
      </c>
      <c r="D10" s="1275">
        <v>0.8</v>
      </c>
      <c r="E10" s="1276"/>
      <c r="F10" s="1276"/>
      <c r="G10" s="1276"/>
      <c r="H10" s="1276"/>
      <c r="I10" s="1279"/>
      <c r="J10" s="1276"/>
      <c r="K10" s="1276"/>
      <c r="L10" s="1276"/>
      <c r="M10" s="1276">
        <f t="shared" si="1"/>
        <v>4</v>
      </c>
      <c r="O10" s="1269">
        <v>1</v>
      </c>
      <c r="P10" s="1269">
        <v>2</v>
      </c>
      <c r="Q10" s="1269">
        <v>3</v>
      </c>
      <c r="R10" s="1269">
        <v>3</v>
      </c>
    </row>
    <row r="11" spans="1:20">
      <c r="A11" s="1275">
        <v>4</v>
      </c>
      <c r="B11" s="1276" t="s">
        <v>2501</v>
      </c>
      <c r="C11" s="1275">
        <v>3.2</v>
      </c>
      <c r="D11" s="1275">
        <v>0.8</v>
      </c>
      <c r="E11" s="1276"/>
      <c r="F11" s="1276"/>
      <c r="G11" s="1276"/>
      <c r="H11" s="1276"/>
      <c r="I11" s="1279"/>
      <c r="J11" s="1276"/>
      <c r="K11" s="1276"/>
      <c r="L11" s="1276"/>
      <c r="M11" s="1276">
        <f t="shared" si="1"/>
        <v>4</v>
      </c>
      <c r="O11" s="1269">
        <v>1</v>
      </c>
      <c r="P11" s="1269">
        <v>2</v>
      </c>
      <c r="Q11" s="1269">
        <v>3</v>
      </c>
      <c r="R11" s="1269">
        <v>3</v>
      </c>
    </row>
    <row r="12" spans="1:20">
      <c r="A12" s="1275">
        <v>5</v>
      </c>
      <c r="B12" s="1276" t="s">
        <v>2502</v>
      </c>
      <c r="C12" s="1275">
        <v>3.2</v>
      </c>
      <c r="D12" s="1275"/>
      <c r="E12" s="1276"/>
      <c r="F12" s="1276"/>
      <c r="G12" s="1276"/>
      <c r="H12" s="1276"/>
      <c r="I12" s="1279"/>
      <c r="J12" s="1276"/>
      <c r="K12" s="1276"/>
      <c r="L12" s="1276"/>
      <c r="M12" s="1276">
        <f t="shared" si="1"/>
        <v>3.2</v>
      </c>
      <c r="O12" s="1269">
        <v>1</v>
      </c>
      <c r="P12" s="1269">
        <v>2</v>
      </c>
      <c r="Q12" s="1269">
        <v>3</v>
      </c>
      <c r="R12" s="1269">
        <v>3</v>
      </c>
    </row>
    <row r="13" spans="1:20">
      <c r="A13" s="1275">
        <v>6</v>
      </c>
      <c r="B13" s="1276" t="s">
        <v>2503</v>
      </c>
      <c r="C13" s="1275">
        <v>3.2</v>
      </c>
      <c r="D13" s="1275"/>
      <c r="E13" s="1276"/>
      <c r="F13" s="1276"/>
      <c r="G13" s="1276"/>
      <c r="H13" s="1276"/>
      <c r="I13" s="1279"/>
      <c r="J13" s="1276"/>
      <c r="K13" s="1276"/>
      <c r="L13" s="1276"/>
      <c r="M13" s="1276">
        <f t="shared" si="1"/>
        <v>3.2</v>
      </c>
      <c r="O13" s="1269">
        <v>1</v>
      </c>
      <c r="P13" s="1269">
        <v>2</v>
      </c>
      <c r="Q13" s="1269">
        <v>3</v>
      </c>
      <c r="R13" s="1269">
        <v>3</v>
      </c>
    </row>
    <row r="14" spans="1:20">
      <c r="A14" s="1275">
        <v>7</v>
      </c>
      <c r="B14" s="1276" t="s">
        <v>2504</v>
      </c>
      <c r="C14" s="1275">
        <v>3.2</v>
      </c>
      <c r="D14" s="1275">
        <v>0.8</v>
      </c>
      <c r="E14" s="1276"/>
      <c r="F14" s="1276"/>
      <c r="G14" s="1276"/>
      <c r="H14" s="1276"/>
      <c r="I14" s="1279"/>
      <c r="J14" s="1276"/>
      <c r="K14" s="1276"/>
      <c r="L14" s="1276"/>
      <c r="M14" s="1276">
        <f t="shared" si="1"/>
        <v>4</v>
      </c>
      <c r="O14" s="1269">
        <v>1</v>
      </c>
      <c r="P14" s="1269">
        <v>2</v>
      </c>
      <c r="Q14" s="1269">
        <v>3</v>
      </c>
      <c r="R14" s="1269">
        <v>3</v>
      </c>
    </row>
    <row r="15" spans="1:20">
      <c r="A15" s="1275">
        <v>8</v>
      </c>
      <c r="B15" s="1276" t="s">
        <v>877</v>
      </c>
      <c r="C15" s="1275">
        <v>3.2</v>
      </c>
      <c r="D15" s="1275">
        <v>0.8</v>
      </c>
      <c r="E15" s="1276"/>
      <c r="F15" s="1276"/>
      <c r="G15" s="1276"/>
      <c r="H15" s="1276"/>
      <c r="I15" s="1279"/>
      <c r="J15" s="1276"/>
      <c r="K15" s="1276"/>
      <c r="L15" s="1276"/>
      <c r="M15" s="1276">
        <f t="shared" si="1"/>
        <v>4</v>
      </c>
      <c r="O15" s="1269">
        <v>1</v>
      </c>
      <c r="P15" s="1269">
        <v>2</v>
      </c>
      <c r="Q15" s="1269">
        <v>3</v>
      </c>
      <c r="R15" s="1269">
        <v>3</v>
      </c>
    </row>
    <row r="16" spans="1:20">
      <c r="A16" s="1275">
        <v>9</v>
      </c>
      <c r="B16" s="1276" t="s">
        <v>987</v>
      </c>
      <c r="C16" s="1275">
        <v>3.2</v>
      </c>
      <c r="D16" s="1275">
        <v>0.8</v>
      </c>
      <c r="E16" s="1276"/>
      <c r="F16" s="1276"/>
      <c r="G16" s="1276"/>
      <c r="H16" s="1276"/>
      <c r="I16" s="1279"/>
      <c r="J16" s="1276"/>
      <c r="K16" s="1276"/>
      <c r="L16" s="1276"/>
      <c r="M16" s="1276">
        <f t="shared" si="1"/>
        <v>4</v>
      </c>
      <c r="O16" s="1269">
        <v>1</v>
      </c>
      <c r="P16" s="1269">
        <v>2</v>
      </c>
      <c r="Q16" s="1269">
        <v>3</v>
      </c>
      <c r="R16" s="1269">
        <v>3</v>
      </c>
    </row>
    <row r="17" spans="1:18">
      <c r="A17" s="1275">
        <v>10</v>
      </c>
      <c r="B17" s="1276" t="s">
        <v>2505</v>
      </c>
      <c r="C17" s="1275">
        <v>3.2</v>
      </c>
      <c r="D17" s="1275">
        <v>0.8</v>
      </c>
      <c r="E17" s="1276"/>
      <c r="F17" s="1276"/>
      <c r="G17" s="1276"/>
      <c r="H17" s="1276"/>
      <c r="I17" s="1279"/>
      <c r="J17" s="1276"/>
      <c r="K17" s="1276"/>
      <c r="L17" s="1276"/>
      <c r="M17" s="1276">
        <f t="shared" si="1"/>
        <v>4</v>
      </c>
      <c r="O17" s="1269">
        <v>1</v>
      </c>
      <c r="P17" s="1269">
        <v>2</v>
      </c>
      <c r="Q17" s="1269">
        <v>3</v>
      </c>
      <c r="R17" s="1269">
        <v>3</v>
      </c>
    </row>
    <row r="18" spans="1:18">
      <c r="A18" s="1275">
        <v>11</v>
      </c>
      <c r="B18" s="1276" t="s">
        <v>2506</v>
      </c>
      <c r="C18" s="1275">
        <v>3.2</v>
      </c>
      <c r="D18" s="1275">
        <v>1.6</v>
      </c>
      <c r="E18" s="1276"/>
      <c r="F18" s="1276"/>
      <c r="G18" s="1276"/>
      <c r="H18" s="1276"/>
      <c r="I18" s="1279"/>
      <c r="J18" s="1276"/>
      <c r="K18" s="1276"/>
      <c r="L18" s="1276"/>
      <c r="M18" s="1276">
        <f t="shared" si="1"/>
        <v>4.8</v>
      </c>
      <c r="O18" s="1269">
        <v>1</v>
      </c>
      <c r="P18" s="1269">
        <v>2</v>
      </c>
      <c r="Q18" s="1269">
        <v>3</v>
      </c>
      <c r="R18" s="1269">
        <v>3</v>
      </c>
    </row>
    <row r="19" spans="1:18">
      <c r="A19" s="1275">
        <v>12</v>
      </c>
      <c r="B19" s="1276" t="s">
        <v>2507</v>
      </c>
      <c r="C19" s="1275">
        <v>3.2</v>
      </c>
      <c r="D19" s="1275">
        <v>1.6</v>
      </c>
      <c r="E19" s="1276"/>
      <c r="F19" s="1276"/>
      <c r="G19" s="1276"/>
      <c r="H19" s="1276"/>
      <c r="I19" s="1279"/>
      <c r="J19" s="1276"/>
      <c r="K19" s="1276"/>
      <c r="L19" s="1276"/>
      <c r="M19" s="1276">
        <f t="shared" si="1"/>
        <v>4.8</v>
      </c>
      <c r="O19" s="1269">
        <v>1</v>
      </c>
      <c r="P19" s="1269">
        <v>2</v>
      </c>
      <c r="Q19" s="1269">
        <v>3</v>
      </c>
      <c r="R19" s="1269">
        <v>3</v>
      </c>
    </row>
    <row r="20" spans="1:18">
      <c r="A20" s="1275">
        <v>13</v>
      </c>
      <c r="B20" s="1276" t="s">
        <v>2508</v>
      </c>
      <c r="C20" s="1275">
        <v>3.2</v>
      </c>
      <c r="D20" s="1275">
        <v>0.8</v>
      </c>
      <c r="E20" s="1276"/>
      <c r="F20" s="1276"/>
      <c r="G20" s="1276"/>
      <c r="H20" s="1276"/>
      <c r="I20" s="1279"/>
      <c r="J20" s="1276"/>
      <c r="K20" s="1276"/>
      <c r="L20" s="1276"/>
      <c r="M20" s="1276">
        <f t="shared" si="1"/>
        <v>4</v>
      </c>
      <c r="O20" s="1269">
        <v>1</v>
      </c>
      <c r="P20" s="1269">
        <v>2</v>
      </c>
      <c r="Q20" s="1269">
        <v>3</v>
      </c>
      <c r="R20" s="1269">
        <v>3</v>
      </c>
    </row>
    <row r="21" spans="1:18">
      <c r="A21" s="1275">
        <v>14</v>
      </c>
      <c r="B21" s="1276" t="s">
        <v>988</v>
      </c>
      <c r="C21" s="1275">
        <v>3.2</v>
      </c>
      <c r="D21" s="1275">
        <v>0.8</v>
      </c>
      <c r="E21" s="1276"/>
      <c r="F21" s="1276"/>
      <c r="G21" s="1276"/>
      <c r="H21" s="1276"/>
      <c r="I21" s="1279"/>
      <c r="J21" s="1276"/>
      <c r="K21" s="1276"/>
      <c r="L21" s="1276"/>
      <c r="M21" s="1276">
        <f t="shared" si="1"/>
        <v>4</v>
      </c>
      <c r="O21" s="1269">
        <v>1</v>
      </c>
      <c r="P21" s="1269">
        <v>2</v>
      </c>
      <c r="Q21" s="1269">
        <v>3</v>
      </c>
      <c r="R21" s="1269">
        <v>3</v>
      </c>
    </row>
    <row r="22" spans="1:18">
      <c r="A22" s="1275">
        <v>15</v>
      </c>
      <c r="B22" s="1276" t="s">
        <v>2509</v>
      </c>
      <c r="C22" s="1275">
        <v>3.2</v>
      </c>
      <c r="D22" s="1275">
        <v>1.6</v>
      </c>
      <c r="E22" s="1276"/>
      <c r="F22" s="1276"/>
      <c r="G22" s="1276"/>
      <c r="H22" s="1276"/>
      <c r="I22" s="1279"/>
      <c r="J22" s="1276"/>
      <c r="K22" s="1276"/>
      <c r="L22" s="1276"/>
      <c r="M22" s="1276">
        <f t="shared" si="1"/>
        <v>4.8</v>
      </c>
      <c r="O22" s="1269">
        <v>1</v>
      </c>
      <c r="P22" s="1269">
        <v>2</v>
      </c>
      <c r="Q22" s="1269">
        <v>3</v>
      </c>
      <c r="R22" s="1269">
        <v>3</v>
      </c>
    </row>
    <row r="23" spans="1:18">
      <c r="A23" s="1275">
        <v>16</v>
      </c>
      <c r="B23" s="1276" t="s">
        <v>2510</v>
      </c>
      <c r="C23" s="1275">
        <v>3.2</v>
      </c>
      <c r="D23" s="1275">
        <v>1.6</v>
      </c>
      <c r="E23" s="1276"/>
      <c r="F23" s="1276"/>
      <c r="G23" s="1276"/>
      <c r="H23" s="1276"/>
      <c r="I23" s="1279"/>
      <c r="J23" s="1276"/>
      <c r="K23" s="1276"/>
      <c r="L23" s="1276"/>
      <c r="M23" s="1276">
        <f t="shared" si="1"/>
        <v>4.8</v>
      </c>
      <c r="O23" s="1269">
        <v>1</v>
      </c>
      <c r="P23" s="1269">
        <v>2</v>
      </c>
      <c r="Q23" s="1269">
        <v>3</v>
      </c>
      <c r="R23" s="1269">
        <v>3</v>
      </c>
    </row>
    <row r="24" spans="1:18">
      <c r="A24" s="1275">
        <v>17</v>
      </c>
      <c r="B24" s="1276" t="s">
        <v>2511</v>
      </c>
      <c r="C24" s="1275">
        <v>3.2</v>
      </c>
      <c r="D24" s="1275">
        <v>1.6</v>
      </c>
      <c r="E24" s="1276"/>
      <c r="F24" s="1276"/>
      <c r="G24" s="1276"/>
      <c r="H24" s="1276"/>
      <c r="I24" s="1279"/>
      <c r="J24" s="1276"/>
      <c r="K24" s="1276"/>
      <c r="L24" s="1276"/>
      <c r="M24" s="1276">
        <f t="shared" si="1"/>
        <v>4.8</v>
      </c>
      <c r="O24" s="1269">
        <v>1</v>
      </c>
      <c r="P24" s="1269">
        <v>2</v>
      </c>
      <c r="Q24" s="1269">
        <v>3</v>
      </c>
      <c r="R24" s="1269">
        <v>3</v>
      </c>
    </row>
    <row r="25" spans="1:18">
      <c r="A25" s="1275">
        <v>18</v>
      </c>
      <c r="B25" s="1276" t="s">
        <v>943</v>
      </c>
      <c r="C25" s="1275">
        <v>3.2</v>
      </c>
      <c r="D25" s="1275">
        <v>1.6</v>
      </c>
      <c r="E25" s="1276"/>
      <c r="F25" s="1276"/>
      <c r="G25" s="1276"/>
      <c r="H25" s="1276"/>
      <c r="I25" s="1279"/>
      <c r="J25" s="1276"/>
      <c r="K25" s="1276"/>
      <c r="L25" s="1276"/>
      <c r="M25" s="1276">
        <f t="shared" si="1"/>
        <v>4.8</v>
      </c>
      <c r="O25" s="1269">
        <v>1</v>
      </c>
      <c r="P25" s="1269">
        <v>2</v>
      </c>
      <c r="Q25" s="1269">
        <v>3</v>
      </c>
      <c r="R25" s="1269">
        <v>3</v>
      </c>
    </row>
    <row r="26" spans="1:18">
      <c r="A26" s="1275">
        <v>19</v>
      </c>
      <c r="B26" s="1276" t="s">
        <v>26</v>
      </c>
      <c r="C26" s="1275"/>
      <c r="D26" s="1275"/>
      <c r="E26" s="1276"/>
      <c r="F26" s="1276"/>
      <c r="G26" s="1276"/>
      <c r="H26" s="1276"/>
      <c r="I26" s="1279"/>
      <c r="J26" s="1276"/>
      <c r="K26" s="1276"/>
      <c r="L26" s="1276"/>
      <c r="M26" s="1276">
        <f t="shared" si="1"/>
        <v>0</v>
      </c>
      <c r="O26" s="1269">
        <v>1</v>
      </c>
      <c r="P26" s="1269">
        <v>2</v>
      </c>
      <c r="Q26" s="1269">
        <v>3</v>
      </c>
      <c r="R26" s="1269">
        <v>3</v>
      </c>
    </row>
    <row r="27" spans="1:18">
      <c r="A27" s="1275">
        <v>20</v>
      </c>
      <c r="B27" s="1276" t="s">
        <v>2512</v>
      </c>
      <c r="C27" s="1275">
        <v>3.2</v>
      </c>
      <c r="D27" s="1275">
        <v>1.6</v>
      </c>
      <c r="E27" s="1276"/>
      <c r="F27" s="1276"/>
      <c r="G27" s="1276"/>
      <c r="H27" s="1276"/>
      <c r="I27" s="1279"/>
      <c r="J27" s="1276"/>
      <c r="K27" s="1276"/>
      <c r="L27" s="1276"/>
      <c r="M27" s="1276">
        <f t="shared" si="1"/>
        <v>4.8</v>
      </c>
      <c r="O27" s="1269">
        <v>1</v>
      </c>
      <c r="P27" s="1269">
        <v>2</v>
      </c>
      <c r="Q27" s="1269">
        <v>3</v>
      </c>
      <c r="R27" s="1269">
        <v>3</v>
      </c>
    </row>
    <row r="28" spans="1:18">
      <c r="A28" s="1275">
        <v>21</v>
      </c>
      <c r="B28" s="1276" t="s">
        <v>2513</v>
      </c>
      <c r="C28" s="1275"/>
      <c r="D28" s="1275"/>
      <c r="E28" s="1276"/>
      <c r="F28" s="1276"/>
      <c r="G28" s="1276"/>
      <c r="H28" s="1276"/>
      <c r="I28" s="1279"/>
      <c r="J28" s="1276"/>
      <c r="K28" s="1276"/>
      <c r="L28" s="1276"/>
      <c r="M28" s="1276">
        <f t="shared" si="1"/>
        <v>0</v>
      </c>
      <c r="O28" s="1269">
        <v>1</v>
      </c>
      <c r="P28" s="1269">
        <v>2</v>
      </c>
      <c r="Q28" s="1269">
        <v>3</v>
      </c>
      <c r="R28" s="1269">
        <v>3</v>
      </c>
    </row>
    <row r="29" spans="1:18">
      <c r="A29" s="1275">
        <v>22</v>
      </c>
      <c r="B29" s="1276" t="s">
        <v>2514</v>
      </c>
      <c r="C29" s="1275">
        <v>3.2</v>
      </c>
      <c r="D29" s="1275">
        <v>0.8</v>
      </c>
      <c r="E29" s="1276"/>
      <c r="F29" s="1276"/>
      <c r="G29" s="1276"/>
      <c r="H29" s="1276"/>
      <c r="I29" s="1279"/>
      <c r="J29" s="1276"/>
      <c r="K29" s="1276"/>
      <c r="L29" s="1276"/>
      <c r="M29" s="1276">
        <f t="shared" si="1"/>
        <v>4</v>
      </c>
      <c r="O29" s="1269">
        <v>1</v>
      </c>
      <c r="P29" s="1269">
        <v>2</v>
      </c>
      <c r="Q29" s="1269">
        <v>3</v>
      </c>
      <c r="R29" s="1269">
        <v>3</v>
      </c>
    </row>
    <row r="30" spans="1:18">
      <c r="A30" s="1275">
        <v>23</v>
      </c>
      <c r="B30" s="1276" t="s">
        <v>907</v>
      </c>
      <c r="C30" s="1275">
        <v>3.2</v>
      </c>
      <c r="D30" s="1275">
        <v>0.8</v>
      </c>
      <c r="E30" s="1276"/>
      <c r="F30" s="1276"/>
      <c r="G30" s="1276"/>
      <c r="H30" s="1276"/>
      <c r="I30" s="1279"/>
      <c r="J30" s="1276"/>
      <c r="K30" s="1276"/>
      <c r="L30" s="1276"/>
      <c r="M30" s="1276">
        <f t="shared" si="1"/>
        <v>4</v>
      </c>
      <c r="O30" s="1269">
        <v>1</v>
      </c>
      <c r="P30" s="1269">
        <v>2</v>
      </c>
      <c r="Q30" s="1269">
        <v>3</v>
      </c>
      <c r="R30" s="1269">
        <v>3</v>
      </c>
    </row>
    <row r="31" spans="1:18">
      <c r="A31" s="1275">
        <v>24</v>
      </c>
      <c r="B31" s="1276" t="s">
        <v>1003</v>
      </c>
      <c r="C31" s="1275">
        <v>3.2</v>
      </c>
      <c r="D31" s="1275">
        <v>1.6</v>
      </c>
      <c r="E31" s="1276"/>
      <c r="F31" s="1276"/>
      <c r="G31" s="1276"/>
      <c r="H31" s="1276"/>
      <c r="I31" s="1279"/>
      <c r="J31" s="1276"/>
      <c r="K31" s="1276"/>
      <c r="L31" s="1276"/>
      <c r="M31" s="1276">
        <f t="shared" si="1"/>
        <v>4.8</v>
      </c>
      <c r="O31" s="1269">
        <v>1</v>
      </c>
      <c r="P31" s="1269">
        <v>2</v>
      </c>
      <c r="Q31" s="1269">
        <v>3</v>
      </c>
      <c r="R31" s="1269">
        <v>3</v>
      </c>
    </row>
    <row r="32" spans="1:18">
      <c r="A32" s="1275"/>
      <c r="B32" s="135" t="s">
        <v>2515</v>
      </c>
      <c r="C32" s="1275">
        <v>3.2</v>
      </c>
      <c r="D32" s="1275">
        <f>3.2+1.6</f>
        <v>4.8</v>
      </c>
      <c r="E32" s="1276">
        <v>217.68</v>
      </c>
      <c r="F32" s="1276"/>
      <c r="G32" s="1276"/>
      <c r="H32" s="1276"/>
      <c r="I32" s="1276"/>
      <c r="J32" s="1276"/>
      <c r="K32" s="1276"/>
      <c r="L32" s="1276"/>
      <c r="M32" s="1276">
        <f>SUM(C32:L32)</f>
        <v>225.68</v>
      </c>
    </row>
    <row r="33" spans="1:19">
      <c r="A33" s="1275"/>
      <c r="B33" s="135" t="s">
        <v>1331</v>
      </c>
      <c r="C33" s="1275">
        <v>3.2</v>
      </c>
      <c r="D33" s="1275">
        <v>3.2</v>
      </c>
      <c r="E33" s="1276"/>
      <c r="F33" s="1276">
        <v>530.4</v>
      </c>
      <c r="G33" s="1276"/>
      <c r="H33" s="1276"/>
      <c r="I33" s="1276"/>
      <c r="J33" s="1276"/>
      <c r="K33" s="1276"/>
      <c r="L33" s="1276"/>
      <c r="M33" s="1276">
        <f>SUM(C33:L33)</f>
        <v>536.79999999999995</v>
      </c>
    </row>
    <row r="34" spans="1:19" s="1268" customFormat="1" ht="93.75">
      <c r="A34" s="1277" t="s">
        <v>2435</v>
      </c>
      <c r="B34" s="1277"/>
      <c r="C34" s="1278">
        <f>SUM(C35:C66)</f>
        <v>96</v>
      </c>
      <c r="D34" s="1277">
        <f>SUM(D35:D66)</f>
        <v>62.4</v>
      </c>
      <c r="E34" s="1277">
        <f t="shared" ref="E34:M34" si="2">SUM(E35:E66)</f>
        <v>678.24</v>
      </c>
      <c r="F34" s="1277">
        <f t="shared" si="2"/>
        <v>443.36</v>
      </c>
      <c r="G34" s="1277">
        <f t="shared" si="2"/>
        <v>0</v>
      </c>
      <c r="H34" s="1277">
        <f t="shared" si="2"/>
        <v>0</v>
      </c>
      <c r="I34" s="1277">
        <f t="shared" si="2"/>
        <v>0</v>
      </c>
      <c r="J34" s="1277">
        <f t="shared" si="2"/>
        <v>0</v>
      </c>
      <c r="K34" s="1277">
        <f t="shared" si="2"/>
        <v>0</v>
      </c>
      <c r="L34" s="1277">
        <f t="shared" si="2"/>
        <v>0</v>
      </c>
      <c r="M34" s="1277">
        <f t="shared" si="2"/>
        <v>1280</v>
      </c>
      <c r="O34" s="1280" t="s">
        <v>2496</v>
      </c>
      <c r="P34" s="1280"/>
      <c r="Q34" s="1280" t="s">
        <v>2498</v>
      </c>
      <c r="R34" s="1280" t="s">
        <v>2431</v>
      </c>
      <c r="S34" s="1280" t="s">
        <v>2516</v>
      </c>
    </row>
    <row r="35" spans="1:19">
      <c r="A35" s="1275">
        <v>1</v>
      </c>
      <c r="B35" s="1276" t="s">
        <v>1006</v>
      </c>
      <c r="C35" s="1275">
        <v>3.2</v>
      </c>
      <c r="D35" s="1275">
        <v>2.4</v>
      </c>
      <c r="E35" s="1276"/>
      <c r="F35" s="1276"/>
      <c r="G35" s="1276"/>
      <c r="H35" s="1279"/>
      <c r="I35" s="1276"/>
      <c r="J35" s="1276"/>
      <c r="K35" s="1276"/>
      <c r="L35" s="1276"/>
      <c r="M35" s="1276">
        <f t="shared" ref="M35:M64" si="3">SUM(C35:L35)</f>
        <v>5.6</v>
      </c>
      <c r="O35" s="1269">
        <v>4</v>
      </c>
      <c r="Q35" s="1269">
        <v>4</v>
      </c>
      <c r="R35" s="1269">
        <v>4</v>
      </c>
    </row>
    <row r="36" spans="1:19">
      <c r="A36" s="1275">
        <v>2</v>
      </c>
      <c r="B36" s="1276" t="s">
        <v>1007</v>
      </c>
      <c r="C36" s="1275">
        <v>3.2</v>
      </c>
      <c r="D36" s="1275">
        <v>2.4</v>
      </c>
      <c r="E36" s="1276"/>
      <c r="F36" s="1276"/>
      <c r="G36" s="1276"/>
      <c r="H36" s="1279"/>
      <c r="I36" s="1276"/>
      <c r="J36" s="1276"/>
      <c r="K36" s="1276"/>
      <c r="L36" s="1276"/>
      <c r="M36" s="1276">
        <f t="shared" si="3"/>
        <v>5.6</v>
      </c>
      <c r="O36" s="1269">
        <v>4</v>
      </c>
      <c r="Q36" s="1269">
        <v>4</v>
      </c>
      <c r="R36" s="1269">
        <v>4</v>
      </c>
    </row>
    <row r="37" spans="1:19">
      <c r="A37" s="1275">
        <v>3</v>
      </c>
      <c r="B37" s="1276" t="s">
        <v>1008</v>
      </c>
      <c r="C37" s="1275">
        <v>3.2</v>
      </c>
      <c r="D37" s="1275">
        <v>2.4</v>
      </c>
      <c r="E37" s="1276"/>
      <c r="F37" s="1276"/>
      <c r="G37" s="1276"/>
      <c r="H37" s="1279"/>
      <c r="I37" s="1276"/>
      <c r="J37" s="1276"/>
      <c r="K37" s="1276"/>
      <c r="L37" s="1276"/>
      <c r="M37" s="1276">
        <f t="shared" si="3"/>
        <v>5.6</v>
      </c>
      <c r="O37" s="1269">
        <v>4</v>
      </c>
      <c r="Q37" s="1269">
        <v>4</v>
      </c>
      <c r="R37" s="1269">
        <v>4</v>
      </c>
    </row>
    <row r="38" spans="1:19">
      <c r="A38" s="1275">
        <v>4</v>
      </c>
      <c r="B38" s="1276" t="s">
        <v>1011</v>
      </c>
      <c r="C38" s="1275">
        <v>3.2</v>
      </c>
      <c r="D38" s="1275">
        <v>2.4</v>
      </c>
      <c r="E38" s="1276"/>
      <c r="F38" s="1276"/>
      <c r="G38" s="1276"/>
      <c r="H38" s="1279"/>
      <c r="I38" s="1276"/>
      <c r="J38" s="1276"/>
      <c r="K38" s="1276"/>
      <c r="L38" s="1276"/>
      <c r="M38" s="1276">
        <f t="shared" si="3"/>
        <v>5.6</v>
      </c>
      <c r="O38" s="1269">
        <v>4</v>
      </c>
      <c r="Q38" s="1269">
        <v>4</v>
      </c>
      <c r="R38" s="1269">
        <v>4</v>
      </c>
    </row>
    <row r="39" spans="1:19">
      <c r="A39" s="1275">
        <v>5</v>
      </c>
      <c r="B39" s="1276" t="s">
        <v>2517</v>
      </c>
      <c r="C39" s="1275">
        <v>3.2</v>
      </c>
      <c r="D39" s="1275">
        <v>2.4</v>
      </c>
      <c r="E39" s="1276"/>
      <c r="F39" s="1276"/>
      <c r="G39" s="1276"/>
      <c r="H39" s="1279"/>
      <c r="I39" s="1276"/>
      <c r="J39" s="1276"/>
      <c r="K39" s="1276"/>
      <c r="L39" s="1276"/>
      <c r="M39" s="1276">
        <f t="shared" si="3"/>
        <v>5.6</v>
      </c>
      <c r="O39" s="1269">
        <v>4</v>
      </c>
      <c r="Q39" s="1269">
        <v>4</v>
      </c>
      <c r="R39" s="1269">
        <v>4</v>
      </c>
    </row>
    <row r="40" spans="1:19">
      <c r="A40" s="1275">
        <v>6</v>
      </c>
      <c r="B40" s="1276" t="s">
        <v>1010</v>
      </c>
      <c r="C40" s="1275">
        <v>3.2</v>
      </c>
      <c r="D40" s="1275">
        <v>2.4</v>
      </c>
      <c r="E40" s="1276"/>
      <c r="F40" s="1276"/>
      <c r="G40" s="1276"/>
      <c r="H40" s="1279"/>
      <c r="I40" s="1276"/>
      <c r="J40" s="1276"/>
      <c r="K40" s="1276"/>
      <c r="L40" s="1276"/>
      <c r="M40" s="1276">
        <f t="shared" si="3"/>
        <v>5.6</v>
      </c>
      <c r="O40" s="1269">
        <v>4</v>
      </c>
      <c r="Q40" s="1269">
        <v>4</v>
      </c>
      <c r="R40" s="1269">
        <v>4</v>
      </c>
    </row>
    <row r="41" spans="1:19">
      <c r="A41" s="1275">
        <v>7</v>
      </c>
      <c r="B41" s="1276" t="s">
        <v>2518</v>
      </c>
      <c r="C41" s="1275">
        <v>3.2</v>
      </c>
      <c r="D41" s="1275">
        <v>1.6</v>
      </c>
      <c r="E41" s="1276"/>
      <c r="F41" s="1276"/>
      <c r="G41" s="1276"/>
      <c r="H41" s="1279"/>
      <c r="I41" s="1276"/>
      <c r="J41" s="1276"/>
      <c r="K41" s="1276"/>
      <c r="L41" s="1276"/>
      <c r="M41" s="1276">
        <f t="shared" si="3"/>
        <v>4.8</v>
      </c>
      <c r="O41" s="1269">
        <v>4</v>
      </c>
      <c r="Q41" s="1269">
        <v>4</v>
      </c>
      <c r="R41" s="1269">
        <v>4</v>
      </c>
    </row>
    <row r="42" spans="1:19">
      <c r="A42" s="1275">
        <v>8</v>
      </c>
      <c r="B42" s="1276" t="s">
        <v>2519</v>
      </c>
      <c r="C42" s="1275">
        <v>3.2</v>
      </c>
      <c r="D42" s="1275">
        <v>1.6</v>
      </c>
      <c r="E42" s="1276"/>
      <c r="F42" s="1276"/>
      <c r="G42" s="1276"/>
      <c r="H42" s="1279"/>
      <c r="I42" s="1276"/>
      <c r="J42" s="1276"/>
      <c r="K42" s="1276"/>
      <c r="L42" s="1276"/>
      <c r="M42" s="1276">
        <f t="shared" si="3"/>
        <v>4.8</v>
      </c>
      <c r="O42" s="1269">
        <v>4</v>
      </c>
      <c r="Q42" s="1269">
        <v>4</v>
      </c>
      <c r="R42" s="1269">
        <v>4</v>
      </c>
    </row>
    <row r="43" spans="1:19">
      <c r="A43" s="1275">
        <v>9</v>
      </c>
      <c r="B43" s="1276" t="s">
        <v>1013</v>
      </c>
      <c r="C43" s="1275">
        <v>3.2</v>
      </c>
      <c r="D43" s="1275">
        <v>1.6</v>
      </c>
      <c r="E43" s="1276"/>
      <c r="F43" s="1276"/>
      <c r="G43" s="1276"/>
      <c r="H43" s="1279"/>
      <c r="I43" s="1276"/>
      <c r="J43" s="1276"/>
      <c r="K43" s="1276"/>
      <c r="L43" s="1276"/>
      <c r="M43" s="1276">
        <f t="shared" si="3"/>
        <v>4.8</v>
      </c>
      <c r="O43" s="1269">
        <v>4</v>
      </c>
      <c r="Q43" s="1269">
        <v>4</v>
      </c>
      <c r="R43" s="1269">
        <v>4</v>
      </c>
    </row>
    <row r="44" spans="1:19">
      <c r="A44" s="1275">
        <v>10</v>
      </c>
      <c r="B44" s="1276" t="s">
        <v>1014</v>
      </c>
      <c r="C44" s="1275">
        <v>3.2</v>
      </c>
      <c r="D44" s="1275">
        <v>1.6</v>
      </c>
      <c r="E44" s="1276"/>
      <c r="F44" s="1276"/>
      <c r="G44" s="1276"/>
      <c r="H44" s="1279"/>
      <c r="I44" s="1276"/>
      <c r="J44" s="1276"/>
      <c r="K44" s="1276"/>
      <c r="L44" s="1276"/>
      <c r="M44" s="1276">
        <f t="shared" si="3"/>
        <v>4.8</v>
      </c>
      <c r="O44" s="1269">
        <v>4</v>
      </c>
      <c r="Q44" s="1269">
        <v>4</v>
      </c>
      <c r="R44" s="1269">
        <v>4</v>
      </c>
    </row>
    <row r="45" spans="1:19">
      <c r="A45" s="1275">
        <v>11</v>
      </c>
      <c r="B45" s="1276" t="s">
        <v>997</v>
      </c>
      <c r="C45" s="1275">
        <v>3.2</v>
      </c>
      <c r="D45" s="1275">
        <v>1.6</v>
      </c>
      <c r="E45" s="1276"/>
      <c r="F45" s="1276"/>
      <c r="G45" s="1276"/>
      <c r="H45" s="1279"/>
      <c r="I45" s="1276"/>
      <c r="J45" s="1276"/>
      <c r="K45" s="1276"/>
      <c r="L45" s="1276"/>
      <c r="M45" s="1276">
        <f t="shared" si="3"/>
        <v>4.8</v>
      </c>
      <c r="O45" s="1269">
        <v>4</v>
      </c>
      <c r="Q45" s="1269">
        <v>4</v>
      </c>
      <c r="R45" s="1269">
        <v>4</v>
      </c>
    </row>
    <row r="46" spans="1:19">
      <c r="A46" s="1275">
        <v>12</v>
      </c>
      <c r="B46" s="1276" t="s">
        <v>1016</v>
      </c>
      <c r="C46" s="1275">
        <v>3.2</v>
      </c>
      <c r="D46" s="1275">
        <v>1.6</v>
      </c>
      <c r="E46" s="1276"/>
      <c r="F46" s="1276"/>
      <c r="G46" s="1276"/>
      <c r="H46" s="1279"/>
      <c r="I46" s="1276"/>
      <c r="J46" s="1276"/>
      <c r="K46" s="1276"/>
      <c r="L46" s="1276"/>
      <c r="M46" s="1276">
        <f t="shared" si="3"/>
        <v>4.8</v>
      </c>
      <c r="O46" s="1269">
        <v>4</v>
      </c>
      <c r="Q46" s="1269">
        <v>4</v>
      </c>
      <c r="R46" s="1269">
        <v>4</v>
      </c>
    </row>
    <row r="47" spans="1:19">
      <c r="A47" s="1275">
        <v>13</v>
      </c>
      <c r="B47" s="1276" t="s">
        <v>1017</v>
      </c>
      <c r="C47" s="1275">
        <v>3.2</v>
      </c>
      <c r="D47" s="1275">
        <v>1.6</v>
      </c>
      <c r="E47" s="1276"/>
      <c r="F47" s="1276"/>
      <c r="G47" s="1276"/>
      <c r="H47" s="1279"/>
      <c r="I47" s="1276"/>
      <c r="J47" s="1276"/>
      <c r="K47" s="1276"/>
      <c r="L47" s="1276"/>
      <c r="M47" s="1276">
        <f t="shared" si="3"/>
        <v>4.8</v>
      </c>
      <c r="O47" s="1269">
        <v>4</v>
      </c>
      <c r="Q47" s="1269">
        <v>4</v>
      </c>
      <c r="R47" s="1269">
        <v>4</v>
      </c>
    </row>
    <row r="48" spans="1:19">
      <c r="A48" s="1275">
        <v>14</v>
      </c>
      <c r="B48" s="1276" t="s">
        <v>1018</v>
      </c>
      <c r="C48" s="1275">
        <v>3.2</v>
      </c>
      <c r="D48" s="1275">
        <v>1.6</v>
      </c>
      <c r="E48" s="1276"/>
      <c r="F48" s="1276"/>
      <c r="G48" s="1276"/>
      <c r="H48" s="1279"/>
      <c r="I48" s="1276"/>
      <c r="J48" s="1276"/>
      <c r="K48" s="1276"/>
      <c r="L48" s="1276"/>
      <c r="M48" s="1276">
        <f t="shared" si="3"/>
        <v>4.8</v>
      </c>
      <c r="O48" s="1269">
        <v>4</v>
      </c>
      <c r="Q48" s="1269">
        <v>4</v>
      </c>
      <c r="R48" s="1269">
        <v>4</v>
      </c>
    </row>
    <row r="49" spans="1:18">
      <c r="A49" s="1275">
        <v>15</v>
      </c>
      <c r="B49" s="1276" t="s">
        <v>1019</v>
      </c>
      <c r="C49" s="1275">
        <v>3.2</v>
      </c>
      <c r="D49" s="1275">
        <v>1.6</v>
      </c>
      <c r="E49" s="1276"/>
      <c r="F49" s="1276"/>
      <c r="G49" s="1276"/>
      <c r="H49" s="1279"/>
      <c r="I49" s="1276"/>
      <c r="J49" s="1276"/>
      <c r="K49" s="1276"/>
      <c r="L49" s="1276"/>
      <c r="M49" s="1276">
        <f t="shared" si="3"/>
        <v>4.8</v>
      </c>
      <c r="O49" s="1269">
        <v>4</v>
      </c>
      <c r="Q49" s="1269">
        <v>4</v>
      </c>
      <c r="R49" s="1269">
        <v>4</v>
      </c>
    </row>
    <row r="50" spans="1:18">
      <c r="A50" s="1275">
        <v>16</v>
      </c>
      <c r="B50" s="1276" t="s">
        <v>1020</v>
      </c>
      <c r="C50" s="1275">
        <v>3.2</v>
      </c>
      <c r="D50" s="1275">
        <v>1.6</v>
      </c>
      <c r="E50" s="1276"/>
      <c r="F50" s="1276"/>
      <c r="G50" s="1276"/>
      <c r="H50" s="1279"/>
      <c r="I50" s="1276"/>
      <c r="J50" s="1276"/>
      <c r="K50" s="1276"/>
      <c r="L50" s="1276"/>
      <c r="M50" s="1276">
        <f t="shared" si="3"/>
        <v>4.8</v>
      </c>
      <c r="O50" s="1269">
        <v>4</v>
      </c>
      <c r="Q50" s="1269">
        <v>4</v>
      </c>
      <c r="R50" s="1269">
        <v>4</v>
      </c>
    </row>
    <row r="51" spans="1:18">
      <c r="A51" s="1275">
        <v>17</v>
      </c>
      <c r="B51" s="1276" t="s">
        <v>2520</v>
      </c>
      <c r="C51" s="1275">
        <v>3.2</v>
      </c>
      <c r="D51" s="1275">
        <v>1.6</v>
      </c>
      <c r="E51" s="1276"/>
      <c r="F51" s="1276"/>
      <c r="G51" s="1276"/>
      <c r="H51" s="1279"/>
      <c r="I51" s="1276"/>
      <c r="J51" s="1276"/>
      <c r="K51" s="1276"/>
      <c r="L51" s="1276"/>
      <c r="M51" s="1276">
        <f t="shared" si="3"/>
        <v>4.8</v>
      </c>
      <c r="O51" s="1269">
        <v>4</v>
      </c>
      <c r="Q51" s="1269">
        <v>4</v>
      </c>
      <c r="R51" s="1269">
        <v>4</v>
      </c>
    </row>
    <row r="52" spans="1:18">
      <c r="A52" s="1275">
        <v>18</v>
      </c>
      <c r="B52" s="1276" t="s">
        <v>1022</v>
      </c>
      <c r="C52" s="1275">
        <v>3.2</v>
      </c>
      <c r="D52" s="1275">
        <v>1.6</v>
      </c>
      <c r="E52" s="1276"/>
      <c r="F52" s="1276"/>
      <c r="G52" s="1276"/>
      <c r="H52" s="1279"/>
      <c r="I52" s="1276"/>
      <c r="J52" s="1276"/>
      <c r="K52" s="1276"/>
      <c r="L52" s="1276"/>
      <c r="M52" s="1276">
        <f t="shared" si="3"/>
        <v>4.8</v>
      </c>
      <c r="O52" s="1269">
        <v>4</v>
      </c>
      <c r="Q52" s="1269">
        <v>4</v>
      </c>
      <c r="R52" s="1269">
        <v>4</v>
      </c>
    </row>
    <row r="53" spans="1:18">
      <c r="A53" s="1275">
        <v>19</v>
      </c>
      <c r="B53" s="1276" t="s">
        <v>1023</v>
      </c>
      <c r="C53" s="1275">
        <v>3.2</v>
      </c>
      <c r="D53" s="1275">
        <v>1.6</v>
      </c>
      <c r="E53" s="1276"/>
      <c r="F53" s="1276"/>
      <c r="G53" s="1276"/>
      <c r="H53" s="1279"/>
      <c r="I53" s="1276"/>
      <c r="J53" s="1276"/>
      <c r="K53" s="1276"/>
      <c r="L53" s="1276"/>
      <c r="M53" s="1276">
        <f t="shared" si="3"/>
        <v>4.8</v>
      </c>
      <c r="O53" s="1269">
        <v>4</v>
      </c>
      <c r="Q53" s="1269">
        <v>4</v>
      </c>
      <c r="R53" s="1269">
        <v>4</v>
      </c>
    </row>
    <row r="54" spans="1:18">
      <c r="A54" s="1275">
        <v>20</v>
      </c>
      <c r="B54" s="1276" t="s">
        <v>585</v>
      </c>
      <c r="C54" s="1275">
        <v>3.2</v>
      </c>
      <c r="D54" s="1275">
        <v>1.6</v>
      </c>
      <c r="E54" s="1276"/>
      <c r="F54" s="1276"/>
      <c r="G54" s="1276"/>
      <c r="H54" s="1279"/>
      <c r="I54" s="1276"/>
      <c r="J54" s="1276"/>
      <c r="K54" s="1276"/>
      <c r="L54" s="1276"/>
      <c r="M54" s="1276">
        <f t="shared" si="3"/>
        <v>4.8</v>
      </c>
      <c r="O54" s="1269">
        <v>4</v>
      </c>
      <c r="Q54" s="1269">
        <v>4</v>
      </c>
      <c r="R54" s="1269">
        <v>4</v>
      </c>
    </row>
    <row r="55" spans="1:18">
      <c r="A55" s="1275">
        <v>21</v>
      </c>
      <c r="B55" s="1276" t="s">
        <v>1024</v>
      </c>
      <c r="C55" s="1275">
        <v>3.2</v>
      </c>
      <c r="D55" s="1275">
        <v>1.6</v>
      </c>
      <c r="E55" s="1276"/>
      <c r="F55" s="1276"/>
      <c r="G55" s="1276"/>
      <c r="H55" s="1279"/>
      <c r="I55" s="1276"/>
      <c r="J55" s="1276"/>
      <c r="K55" s="1276"/>
      <c r="L55" s="1276"/>
      <c r="M55" s="1276">
        <f t="shared" si="3"/>
        <v>4.8</v>
      </c>
      <c r="O55" s="1269">
        <v>4</v>
      </c>
      <c r="Q55" s="1269">
        <v>4</v>
      </c>
      <c r="R55" s="1269">
        <v>4</v>
      </c>
    </row>
    <row r="56" spans="1:18">
      <c r="A56" s="1275">
        <v>22</v>
      </c>
      <c r="B56" s="1276" t="s">
        <v>1025</v>
      </c>
      <c r="C56" s="1275">
        <v>3.2</v>
      </c>
      <c r="D56" s="1275">
        <v>1.6</v>
      </c>
      <c r="E56" s="1276"/>
      <c r="F56" s="1276"/>
      <c r="G56" s="1276"/>
      <c r="H56" s="1279"/>
      <c r="I56" s="1276"/>
      <c r="J56" s="1276"/>
      <c r="K56" s="1276"/>
      <c r="L56" s="1276"/>
      <c r="M56" s="1276">
        <f t="shared" si="3"/>
        <v>4.8</v>
      </c>
      <c r="O56" s="1269">
        <v>4</v>
      </c>
      <c r="Q56" s="1269">
        <v>4</v>
      </c>
      <c r="R56" s="1269">
        <v>4</v>
      </c>
    </row>
    <row r="57" spans="1:18">
      <c r="A57" s="1275">
        <v>23</v>
      </c>
      <c r="B57" s="1276" t="s">
        <v>1026</v>
      </c>
      <c r="C57" s="1275">
        <v>3.2</v>
      </c>
      <c r="D57" s="1275">
        <v>1.6</v>
      </c>
      <c r="E57" s="1276"/>
      <c r="F57" s="1276"/>
      <c r="G57" s="1276"/>
      <c r="H57" s="1279"/>
      <c r="I57" s="1276"/>
      <c r="J57" s="1276"/>
      <c r="K57" s="1276"/>
      <c r="L57" s="1276"/>
      <c r="M57" s="1276">
        <f t="shared" si="3"/>
        <v>4.8</v>
      </c>
      <c r="O57" s="1269">
        <v>4</v>
      </c>
      <c r="Q57" s="1269">
        <v>4</v>
      </c>
      <c r="R57" s="1269">
        <v>4</v>
      </c>
    </row>
    <row r="58" spans="1:18">
      <c r="A58" s="1275">
        <v>24</v>
      </c>
      <c r="B58" s="1276" t="s">
        <v>1027</v>
      </c>
      <c r="C58" s="1275">
        <v>3.2</v>
      </c>
      <c r="D58" s="1275">
        <v>1.6</v>
      </c>
      <c r="E58" s="1276"/>
      <c r="F58" s="1276"/>
      <c r="G58" s="1276"/>
      <c r="H58" s="1279"/>
      <c r="I58" s="1276"/>
      <c r="J58" s="1276"/>
      <c r="K58" s="1276"/>
      <c r="L58" s="1276"/>
      <c r="M58" s="1276">
        <f t="shared" si="3"/>
        <v>4.8</v>
      </c>
      <c r="O58" s="1269">
        <v>4</v>
      </c>
      <c r="Q58" s="1269">
        <v>4</v>
      </c>
      <c r="R58" s="1269">
        <v>4</v>
      </c>
    </row>
    <row r="59" spans="1:18">
      <c r="A59" s="1275">
        <v>25</v>
      </c>
      <c r="B59" s="1276" t="s">
        <v>2521</v>
      </c>
      <c r="C59" s="1275">
        <v>3.2</v>
      </c>
      <c r="D59" s="1275">
        <v>3.2</v>
      </c>
      <c r="E59" s="1275"/>
      <c r="F59" s="1275"/>
      <c r="G59" s="1275"/>
      <c r="H59" s="1279"/>
      <c r="I59" s="1276"/>
      <c r="J59" s="1276"/>
      <c r="K59" s="1276"/>
      <c r="L59" s="1276"/>
      <c r="M59" s="1276">
        <f t="shared" si="3"/>
        <v>6.4</v>
      </c>
      <c r="O59" s="1269">
        <v>4</v>
      </c>
      <c r="Q59" s="1269">
        <v>4</v>
      </c>
      <c r="R59" s="1269">
        <v>4</v>
      </c>
    </row>
    <row r="60" spans="1:18">
      <c r="A60" s="1275">
        <v>26</v>
      </c>
      <c r="B60" s="1276" t="s">
        <v>2522</v>
      </c>
      <c r="C60" s="1275">
        <v>3.2</v>
      </c>
      <c r="D60" s="1275">
        <v>3.2</v>
      </c>
      <c r="E60" s="1275"/>
      <c r="F60" s="1275"/>
      <c r="G60" s="1275"/>
      <c r="H60" s="1279"/>
      <c r="I60" s="1276"/>
      <c r="J60" s="1276"/>
      <c r="K60" s="1276"/>
      <c r="L60" s="1276"/>
      <c r="M60" s="1276">
        <f t="shared" si="3"/>
        <v>6.4</v>
      </c>
      <c r="O60" s="1269">
        <v>4</v>
      </c>
      <c r="Q60" s="1269">
        <v>4</v>
      </c>
      <c r="R60" s="1269">
        <v>4</v>
      </c>
    </row>
    <row r="61" spans="1:18">
      <c r="A61" s="1275">
        <v>27</v>
      </c>
      <c r="B61" s="1276" t="s">
        <v>2523</v>
      </c>
      <c r="C61" s="1275">
        <v>3.2</v>
      </c>
      <c r="D61" s="1275">
        <v>3.2</v>
      </c>
      <c r="E61" s="1275"/>
      <c r="F61" s="1275"/>
      <c r="G61" s="1275"/>
      <c r="H61" s="1279"/>
      <c r="I61" s="1276"/>
      <c r="J61" s="1276"/>
      <c r="K61" s="1276"/>
      <c r="L61" s="1276"/>
      <c r="M61" s="1276">
        <f t="shared" si="3"/>
        <v>6.4</v>
      </c>
      <c r="O61" s="1269">
        <v>4</v>
      </c>
      <c r="Q61" s="1269">
        <v>4</v>
      </c>
      <c r="R61" s="1269">
        <v>4</v>
      </c>
    </row>
    <row r="62" spans="1:18">
      <c r="A62" s="1275">
        <v>28</v>
      </c>
      <c r="B62" s="1276" t="s">
        <v>2524</v>
      </c>
      <c r="C62" s="1275">
        <v>3.2</v>
      </c>
      <c r="D62" s="1275">
        <v>3.2</v>
      </c>
      <c r="E62" s="1275"/>
      <c r="F62" s="1275"/>
      <c r="G62" s="1275"/>
      <c r="H62" s="1279"/>
      <c r="I62" s="1276"/>
      <c r="J62" s="1276"/>
      <c r="K62" s="1276"/>
      <c r="L62" s="1276"/>
      <c r="M62" s="1276">
        <f t="shared" si="3"/>
        <v>6.4</v>
      </c>
      <c r="O62" s="1269">
        <v>4</v>
      </c>
      <c r="Q62" s="1269">
        <v>4</v>
      </c>
      <c r="R62" s="1269">
        <v>4</v>
      </c>
    </row>
    <row r="63" spans="1:18">
      <c r="A63" s="1275">
        <v>29</v>
      </c>
      <c r="B63" s="1276" t="s">
        <v>2525</v>
      </c>
      <c r="C63" s="1275">
        <v>3.2</v>
      </c>
      <c r="D63" s="1275">
        <v>3.2</v>
      </c>
      <c r="E63" s="1275"/>
      <c r="F63" s="1275"/>
      <c r="G63" s="1275"/>
      <c r="H63" s="1279"/>
      <c r="I63" s="1276"/>
      <c r="J63" s="1276"/>
      <c r="K63" s="1276"/>
      <c r="L63" s="1276"/>
      <c r="M63" s="1276">
        <f t="shared" si="3"/>
        <v>6.4</v>
      </c>
      <c r="O63" s="1269">
        <v>4</v>
      </c>
      <c r="Q63" s="1269">
        <v>4</v>
      </c>
      <c r="R63" s="1269">
        <v>4</v>
      </c>
    </row>
    <row r="64" spans="1:18">
      <c r="A64" s="1275">
        <v>30</v>
      </c>
      <c r="B64" s="1276" t="s">
        <v>1031</v>
      </c>
      <c r="C64" s="1275">
        <v>3.2</v>
      </c>
      <c r="D64" s="1275">
        <v>3.2</v>
      </c>
      <c r="E64" s="1275"/>
      <c r="F64" s="1275"/>
      <c r="G64" s="1275"/>
      <c r="H64" s="1279"/>
      <c r="I64" s="1276"/>
      <c r="J64" s="1276"/>
      <c r="K64" s="1276"/>
      <c r="L64" s="1276"/>
      <c r="M64" s="1276">
        <f t="shared" si="3"/>
        <v>6.4</v>
      </c>
      <c r="O64" s="1269">
        <v>4</v>
      </c>
      <c r="Q64" s="1269">
        <v>4</v>
      </c>
      <c r="R64" s="1269">
        <v>4</v>
      </c>
    </row>
    <row r="65" spans="1:13">
      <c r="A65" s="1275">
        <v>31</v>
      </c>
      <c r="B65" s="135" t="s">
        <v>346</v>
      </c>
      <c r="C65" s="1275"/>
      <c r="D65" s="1275"/>
      <c r="E65" s="1276">
        <v>678.24</v>
      </c>
      <c r="F65" s="1276"/>
      <c r="G65" s="1276"/>
      <c r="H65" s="1276"/>
      <c r="I65" s="1276"/>
      <c r="J65" s="1276"/>
      <c r="K65" s="1276"/>
      <c r="L65" s="1276"/>
      <c r="M65" s="1276">
        <f>SUM(C65:L65)</f>
        <v>678.24</v>
      </c>
    </row>
    <row r="66" spans="1:13">
      <c r="A66" s="1275">
        <v>32</v>
      </c>
      <c r="B66" s="135" t="s">
        <v>347</v>
      </c>
      <c r="C66" s="1275"/>
      <c r="D66" s="1275"/>
      <c r="E66" s="1276"/>
      <c r="F66" s="1276">
        <v>443.36</v>
      </c>
      <c r="G66" s="1276"/>
      <c r="H66" s="1276"/>
      <c r="I66" s="1276"/>
      <c r="J66" s="1276"/>
      <c r="K66" s="1276"/>
      <c r="L66" s="1276"/>
      <c r="M66" s="1276">
        <f>SUM(C66:L66)</f>
        <v>443.36</v>
      </c>
    </row>
    <row r="67" spans="1:13">
      <c r="A67" s="2360" t="s">
        <v>608</v>
      </c>
      <c r="B67" s="2361"/>
      <c r="C67" s="1277">
        <f>SUM(C7,C34)</f>
        <v>172.8</v>
      </c>
      <c r="D67" s="1277">
        <f>SUM(D7,D34)</f>
        <v>92</v>
      </c>
      <c r="E67" s="1277">
        <f t="shared" ref="E67:M67" si="4">SUM(E7,E34)</f>
        <v>895.92</v>
      </c>
      <c r="F67" s="1277">
        <f t="shared" si="4"/>
        <v>973.76</v>
      </c>
      <c r="G67" s="1277">
        <f t="shared" si="4"/>
        <v>0</v>
      </c>
      <c r="H67" s="1277">
        <f t="shared" si="4"/>
        <v>0</v>
      </c>
      <c r="I67" s="1277">
        <f t="shared" si="4"/>
        <v>0</v>
      </c>
      <c r="J67" s="1277">
        <f t="shared" si="4"/>
        <v>0</v>
      </c>
      <c r="K67" s="1277">
        <f t="shared" si="4"/>
        <v>0</v>
      </c>
      <c r="L67" s="1277">
        <f t="shared" si="4"/>
        <v>0</v>
      </c>
      <c r="M67" s="1281">
        <f t="shared" si="4"/>
        <v>2134.48</v>
      </c>
    </row>
  </sheetData>
  <mergeCells count="6">
    <mergeCell ref="A2:M2"/>
    <mergeCell ref="C4:L4"/>
    <mergeCell ref="A67:B67"/>
    <mergeCell ref="A4:A5"/>
    <mergeCell ref="B4:B5"/>
    <mergeCell ref="M4:M5"/>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105"/>
  <sheetViews>
    <sheetView zoomScale="70" zoomScaleNormal="70" zoomScaleSheetLayoutView="70" workbookViewId="0">
      <selection activeCell="R11" sqref="R11"/>
    </sheetView>
  </sheetViews>
  <sheetFormatPr defaultRowHeight="15.75"/>
  <cols>
    <col min="1" max="1" width="6.140625" style="2109" customWidth="1"/>
    <col min="2" max="2" width="43.5703125" style="1928" customWidth="1"/>
    <col min="3" max="3" width="9" style="1928" customWidth="1"/>
    <col min="4" max="4" width="7.85546875" style="1928" customWidth="1"/>
    <col min="5" max="6" width="8" style="1928" customWidth="1"/>
    <col min="7" max="7" width="8.42578125" style="1928" customWidth="1"/>
    <col min="8" max="8" width="8.7109375" style="1928" customWidth="1"/>
    <col min="9" max="9" width="9.140625" style="1928" customWidth="1"/>
    <col min="10" max="10" width="8.42578125" style="1928" customWidth="1"/>
    <col min="11" max="11" width="9.140625" style="1928" customWidth="1"/>
    <col min="12" max="12" width="7.85546875" style="1928" customWidth="1"/>
    <col min="13" max="13" width="8.5703125" style="1990" customWidth="1"/>
    <col min="14" max="14" width="13.140625" style="2108" customWidth="1"/>
    <col min="15" max="15" width="23.42578125" style="1928" customWidth="1"/>
    <col min="16" max="16" width="9.140625" style="1928"/>
    <col min="17" max="17" width="11.28515625" style="1928" bestFit="1" customWidth="1"/>
    <col min="18" max="16384" width="9.140625" style="1928"/>
  </cols>
  <sheetData>
    <row r="1" spans="1:16" ht="16.5">
      <c r="A1" s="2371" t="s">
        <v>0</v>
      </c>
      <c r="B1" s="2371"/>
      <c r="C1" s="2371"/>
      <c r="D1" s="2371"/>
      <c r="E1" s="2371"/>
      <c r="F1" s="2371"/>
      <c r="G1" s="2371"/>
      <c r="H1" s="2371"/>
      <c r="I1" s="2371"/>
      <c r="J1" s="2371"/>
      <c r="K1" s="2371"/>
      <c r="L1" s="2371"/>
      <c r="M1" s="2371"/>
      <c r="N1" s="2371"/>
      <c r="O1" s="2371"/>
    </row>
    <row r="2" spans="1:16" ht="16.5">
      <c r="A2" s="2371" t="s">
        <v>2392</v>
      </c>
      <c r="B2" s="2371"/>
      <c r="C2" s="2371"/>
      <c r="D2" s="2371"/>
      <c r="E2" s="2371"/>
      <c r="F2" s="2371"/>
      <c r="G2" s="2371"/>
      <c r="H2" s="2371"/>
      <c r="I2" s="2371"/>
      <c r="J2" s="2371"/>
      <c r="K2" s="2371"/>
      <c r="L2" s="2371"/>
      <c r="M2" s="2371"/>
      <c r="N2" s="2371"/>
      <c r="O2" s="2371"/>
    </row>
    <row r="3" spans="1:16">
      <c r="A3" s="2382" t="s">
        <v>2393</v>
      </c>
      <c r="B3" s="2382"/>
      <c r="C3" s="2382"/>
      <c r="D3" s="2382"/>
      <c r="E3" s="2382"/>
      <c r="F3" s="2382"/>
      <c r="G3" s="2382"/>
      <c r="H3" s="2382"/>
      <c r="I3" s="2382"/>
      <c r="J3" s="2382"/>
      <c r="K3" s="2382"/>
      <c r="L3" s="2382"/>
      <c r="M3" s="2382"/>
      <c r="N3" s="2382"/>
      <c r="O3" s="2382"/>
    </row>
    <row r="4" spans="1:16" ht="16.5">
      <c r="A4" s="2372" t="s">
        <v>2394</v>
      </c>
      <c r="B4" s="2372"/>
      <c r="C4" s="2372"/>
      <c r="D4" s="2372"/>
      <c r="E4" s="1929"/>
      <c r="F4" s="1929"/>
      <c r="G4" s="1930"/>
      <c r="H4" s="1930"/>
      <c r="I4" s="1930"/>
      <c r="J4" s="1930"/>
      <c r="K4" s="1930"/>
      <c r="L4" s="1930"/>
      <c r="M4" s="1931"/>
      <c r="N4" s="1932"/>
      <c r="O4" s="1930"/>
    </row>
    <row r="5" spans="1:16" ht="16.5">
      <c r="A5" s="2371" t="s">
        <v>3327</v>
      </c>
      <c r="B5" s="2371"/>
      <c r="C5" s="2371"/>
      <c r="D5" s="2371"/>
      <c r="E5" s="1929"/>
      <c r="F5" s="1929"/>
      <c r="G5" s="1930"/>
      <c r="H5" s="1930"/>
      <c r="I5" s="1930"/>
      <c r="J5" s="1930"/>
      <c r="K5" s="1930"/>
      <c r="L5" s="1930"/>
      <c r="M5" s="1931"/>
      <c r="N5" s="1932"/>
      <c r="O5" s="1930"/>
    </row>
    <row r="6" spans="1:16" ht="17.25" customHeight="1">
      <c r="A6" s="1933"/>
      <c r="B6" s="1934"/>
      <c r="C6" s="1934"/>
      <c r="D6" s="1934"/>
      <c r="E6" s="1929"/>
      <c r="F6" s="1929"/>
      <c r="G6" s="1930"/>
      <c r="H6" s="1930"/>
      <c r="I6" s="1930"/>
      <c r="J6" s="1930"/>
      <c r="K6" s="1930"/>
      <c r="L6" s="1930"/>
      <c r="M6" s="1931"/>
      <c r="N6" s="1932"/>
      <c r="O6" s="1930"/>
    </row>
    <row r="7" spans="1:16" ht="17.25" customHeight="1">
      <c r="A7" s="2371" t="s">
        <v>2396</v>
      </c>
      <c r="B7" s="2371"/>
      <c r="C7" s="2371"/>
      <c r="D7" s="2371"/>
      <c r="E7" s="2371"/>
      <c r="F7" s="2371"/>
      <c r="G7" s="2371"/>
      <c r="H7" s="2371"/>
      <c r="I7" s="2371"/>
      <c r="J7" s="2371"/>
      <c r="K7" s="2371"/>
      <c r="L7" s="2371"/>
      <c r="M7" s="2371"/>
      <c r="N7" s="2371"/>
      <c r="O7" s="2371"/>
    </row>
    <row r="8" spans="1:16" ht="16.5">
      <c r="A8" s="2372" t="s">
        <v>3420</v>
      </c>
      <c r="B8" s="2372"/>
      <c r="C8" s="2372"/>
      <c r="D8" s="2372"/>
      <c r="E8" s="2372"/>
      <c r="F8" s="2372"/>
      <c r="G8" s="2372"/>
      <c r="H8" s="2372"/>
      <c r="I8" s="2372"/>
      <c r="J8" s="2372"/>
      <c r="K8" s="2372"/>
      <c r="L8" s="2372"/>
      <c r="M8" s="2372"/>
      <c r="N8" s="2372"/>
      <c r="O8" s="2372"/>
    </row>
    <row r="9" spans="1:16" ht="16.5">
      <c r="A9" s="1935"/>
      <c r="B9" s="1936"/>
      <c r="C9" s="1936"/>
      <c r="D9" s="1937"/>
      <c r="E9" s="1938"/>
      <c r="F9" s="1938"/>
      <c r="G9" s="1938"/>
      <c r="H9" s="1938"/>
      <c r="I9" s="1938"/>
      <c r="J9" s="1938"/>
      <c r="K9" s="1938"/>
      <c r="L9" s="1938"/>
      <c r="M9" s="1939"/>
      <c r="N9" s="1940"/>
      <c r="O9" s="1936"/>
    </row>
    <row r="10" spans="1:16" ht="15.75" customHeight="1">
      <c r="A10" s="2373" t="s">
        <v>6</v>
      </c>
      <c r="B10" s="2375" t="s">
        <v>2398</v>
      </c>
      <c r="C10" s="2375" t="s">
        <v>2399</v>
      </c>
      <c r="D10" s="2377" t="s">
        <v>2400</v>
      </c>
      <c r="E10" s="2379" t="s">
        <v>2401</v>
      </c>
      <c r="F10" s="2379"/>
      <c r="G10" s="2379"/>
      <c r="H10" s="2379"/>
      <c r="I10" s="2379"/>
      <c r="J10" s="2379"/>
      <c r="K10" s="2379"/>
      <c r="L10" s="2379"/>
      <c r="M10" s="2380" t="s">
        <v>2402</v>
      </c>
      <c r="N10" s="1941" t="s">
        <v>530</v>
      </c>
      <c r="O10" s="2375" t="s">
        <v>12</v>
      </c>
    </row>
    <row r="11" spans="1:16" ht="46.5" customHeight="1">
      <c r="A11" s="2374"/>
      <c r="B11" s="2376"/>
      <c r="C11" s="2376"/>
      <c r="D11" s="2378"/>
      <c r="E11" s="1942" t="s">
        <v>2404</v>
      </c>
      <c r="F11" s="1942" t="s">
        <v>2405</v>
      </c>
      <c r="G11" s="1942" t="s">
        <v>2404</v>
      </c>
      <c r="H11" s="1942" t="s">
        <v>2405</v>
      </c>
      <c r="I11" s="1942" t="s">
        <v>2404</v>
      </c>
      <c r="J11" s="1942" t="s">
        <v>2405</v>
      </c>
      <c r="K11" s="1942" t="s">
        <v>2404</v>
      </c>
      <c r="L11" s="1942" t="s">
        <v>2405</v>
      </c>
      <c r="M11" s="2381"/>
      <c r="N11" s="1943" t="s">
        <v>2406</v>
      </c>
      <c r="O11" s="2376"/>
    </row>
    <row r="12" spans="1:16" ht="22.5" customHeight="1">
      <c r="A12" s="1944" t="s">
        <v>1959</v>
      </c>
      <c r="B12" s="1945" t="s">
        <v>2407</v>
      </c>
      <c r="C12" s="1946"/>
      <c r="D12" s="1947"/>
      <c r="E12" s="1948"/>
      <c r="F12" s="1948"/>
      <c r="G12" s="1948"/>
      <c r="H12" s="1948"/>
      <c r="I12" s="1948"/>
      <c r="J12" s="1948"/>
      <c r="K12" s="1948"/>
      <c r="L12" s="1948"/>
      <c r="M12" s="1949"/>
      <c r="N12" s="1941">
        <f>SUBTOTAL(9,N13:N56)</f>
        <v>1536.8019047619048</v>
      </c>
      <c r="O12" s="1950"/>
    </row>
    <row r="13" spans="1:16" ht="22.5" customHeight="1">
      <c r="A13" s="1951" t="s">
        <v>2408</v>
      </c>
      <c r="B13" s="1952" t="s">
        <v>2409</v>
      </c>
      <c r="C13" s="1953" t="s">
        <v>2410</v>
      </c>
      <c r="D13" s="1954"/>
      <c r="E13" s="1954"/>
      <c r="F13" s="1955"/>
      <c r="G13" s="1954"/>
      <c r="H13" s="1954"/>
      <c r="I13" s="1954"/>
      <c r="J13" s="1954"/>
      <c r="K13" s="1954"/>
      <c r="L13" s="1954"/>
      <c r="M13" s="1956"/>
      <c r="N13" s="1957"/>
      <c r="O13" s="1958"/>
    </row>
    <row r="14" spans="1:16" ht="22.5" customHeight="1">
      <c r="A14" s="1959" t="s">
        <v>2411</v>
      </c>
      <c r="B14" s="1960" t="s">
        <v>2412</v>
      </c>
      <c r="C14" s="1961" t="s">
        <v>2413</v>
      </c>
      <c r="D14" s="1962"/>
      <c r="E14" s="1962"/>
      <c r="F14" s="1963"/>
      <c r="G14" s="1962"/>
      <c r="H14" s="1962"/>
      <c r="I14" s="1962"/>
      <c r="J14" s="1962"/>
      <c r="K14" s="1964"/>
      <c r="L14" s="1962"/>
      <c r="M14" s="1965"/>
      <c r="N14" s="1966"/>
      <c r="O14" s="1967"/>
      <c r="P14" s="1928">
        <f>31/0.4</f>
        <v>77.5</v>
      </c>
    </row>
    <row r="15" spans="1:16" ht="22.5" customHeight="1">
      <c r="A15" s="1959" t="s">
        <v>2414</v>
      </c>
      <c r="B15" s="1960" t="s">
        <v>2415</v>
      </c>
      <c r="C15" s="1961" t="s">
        <v>2410</v>
      </c>
      <c r="D15" s="1962"/>
      <c r="E15" s="1962"/>
      <c r="F15" s="1963"/>
      <c r="G15" s="1962"/>
      <c r="H15" s="1962"/>
      <c r="I15" s="1962"/>
      <c r="J15" s="1962"/>
      <c r="K15" s="1962"/>
      <c r="L15" s="1962"/>
      <c r="M15" s="1965"/>
      <c r="N15" s="1966"/>
      <c r="O15" s="1967"/>
    </row>
    <row r="16" spans="1:16" ht="22.5" customHeight="1">
      <c r="A16" s="1959" t="s">
        <v>2416</v>
      </c>
      <c r="B16" s="1960" t="s">
        <v>2417</v>
      </c>
      <c r="C16" s="1961" t="s">
        <v>2410</v>
      </c>
      <c r="D16" s="1962"/>
      <c r="E16" s="1962"/>
      <c r="F16" s="1963"/>
      <c r="G16" s="1962"/>
      <c r="H16" s="1962"/>
      <c r="I16" s="1962"/>
      <c r="J16" s="1962"/>
      <c r="K16" s="1962"/>
      <c r="L16" s="1962"/>
      <c r="M16" s="1965"/>
      <c r="N16" s="1966"/>
      <c r="O16" s="1968"/>
    </row>
    <row r="17" spans="1:18" ht="22.5" customHeight="1">
      <c r="A17" s="1969" t="s">
        <v>2418</v>
      </c>
      <c r="B17" s="1970" t="s">
        <v>2419</v>
      </c>
      <c r="C17" s="1961" t="s">
        <v>2420</v>
      </c>
      <c r="D17" s="1962"/>
      <c r="E17" s="1962"/>
      <c r="F17" s="1963"/>
      <c r="G17" s="1962"/>
      <c r="H17" s="1962"/>
      <c r="I17" s="1962"/>
      <c r="J17" s="1962"/>
      <c r="K17" s="1962"/>
      <c r="L17" s="1962"/>
      <c r="M17" s="1971"/>
      <c r="N17" s="1972">
        <f>+SUBTOTAL(9,N18:N21)</f>
        <v>0</v>
      </c>
      <c r="O17" s="1968"/>
      <c r="P17" s="1973"/>
    </row>
    <row r="18" spans="1:18" ht="22.5" customHeight="1">
      <c r="A18" s="1959" t="s">
        <v>2421</v>
      </c>
      <c r="B18" s="1960" t="s">
        <v>2422</v>
      </c>
      <c r="C18" s="1961" t="s">
        <v>2420</v>
      </c>
      <c r="D18" s="1974"/>
      <c r="E18" s="1962"/>
      <c r="F18" s="1963"/>
      <c r="G18" s="1962"/>
      <c r="H18" s="1962"/>
      <c r="I18" s="1962"/>
      <c r="J18" s="1962"/>
      <c r="K18" s="1962"/>
      <c r="L18" s="1962"/>
      <c r="M18" s="1965"/>
      <c r="N18" s="1975"/>
      <c r="O18" s="1967"/>
      <c r="P18" s="1973"/>
    </row>
    <row r="19" spans="1:18" ht="22.5" customHeight="1">
      <c r="A19" s="1959" t="s">
        <v>2424</v>
      </c>
      <c r="B19" s="1960" t="s">
        <v>2425</v>
      </c>
      <c r="C19" s="1961" t="s">
        <v>2420</v>
      </c>
      <c r="D19" s="1976"/>
      <c r="E19" s="1962"/>
      <c r="F19" s="1963"/>
      <c r="G19" s="1962"/>
      <c r="H19" s="1962"/>
      <c r="I19" s="1962"/>
      <c r="J19" s="1962"/>
      <c r="K19" s="1962"/>
      <c r="L19" s="1962"/>
      <c r="M19" s="1965"/>
      <c r="N19" s="1975"/>
      <c r="O19" s="1977"/>
      <c r="P19" s="1973"/>
    </row>
    <row r="20" spans="1:18" ht="22.5" customHeight="1">
      <c r="A20" s="1959" t="s">
        <v>2426</v>
      </c>
      <c r="B20" s="1960" t="s">
        <v>2427</v>
      </c>
      <c r="C20" s="1961" t="s">
        <v>2420</v>
      </c>
      <c r="D20" s="1974"/>
      <c r="E20" s="1962"/>
      <c r="F20" s="1963"/>
      <c r="G20" s="1962"/>
      <c r="H20" s="1962"/>
      <c r="I20" s="1962"/>
      <c r="J20" s="1962"/>
      <c r="K20" s="1962"/>
      <c r="L20" s="1962"/>
      <c r="M20" s="1965"/>
      <c r="N20" s="1975"/>
      <c r="O20" s="1967"/>
      <c r="P20" s="1973"/>
    </row>
    <row r="21" spans="1:18" ht="22.5" customHeight="1">
      <c r="A21" s="1959" t="s">
        <v>3421</v>
      </c>
      <c r="B21" s="1978" t="s">
        <v>3422</v>
      </c>
      <c r="C21" s="1961" t="s">
        <v>2420</v>
      </c>
      <c r="D21" s="1979"/>
      <c r="E21" s="1962"/>
      <c r="F21" s="1963"/>
      <c r="G21" s="1962"/>
      <c r="H21" s="1962"/>
      <c r="I21" s="1962"/>
      <c r="J21" s="1962"/>
      <c r="K21" s="1962"/>
      <c r="L21" s="1962"/>
      <c r="M21" s="1965"/>
      <c r="N21" s="1975"/>
      <c r="O21" s="1968"/>
      <c r="P21" s="1973"/>
    </row>
    <row r="22" spans="1:18" ht="22.5" customHeight="1">
      <c r="A22" s="1969" t="s">
        <v>2428</v>
      </c>
      <c r="B22" s="1970" t="s">
        <v>2429</v>
      </c>
      <c r="C22" s="1961"/>
      <c r="D22" s="1976"/>
      <c r="E22" s="1980"/>
      <c r="F22" s="1980"/>
      <c r="G22" s="1981"/>
      <c r="H22" s="1980"/>
      <c r="I22" s="1980"/>
      <c r="J22" s="1980"/>
      <c r="K22" s="1980"/>
      <c r="L22" s="1980"/>
      <c r="M22" s="1965"/>
      <c r="N22" s="1972">
        <f>SUBTOTAL(9,N23:N56)</f>
        <v>1536.8019047619048</v>
      </c>
      <c r="O22" s="1967"/>
      <c r="P22" s="1973"/>
    </row>
    <row r="23" spans="1:18" ht="22.5" customHeight="1">
      <c r="A23" s="1982">
        <v>1</v>
      </c>
      <c r="B23" s="1983" t="s">
        <v>2430</v>
      </c>
      <c r="C23" s="1961"/>
      <c r="D23" s="1976"/>
      <c r="E23" s="1980"/>
      <c r="F23" s="1980"/>
      <c r="G23" s="1981"/>
      <c r="H23" s="1980"/>
      <c r="I23" s="1980"/>
      <c r="J23" s="1980"/>
      <c r="K23" s="1980"/>
      <c r="L23" s="1980"/>
      <c r="M23" s="1965"/>
      <c r="N23" s="1984">
        <f>+SUBTOTAL(9,N24:N31)</f>
        <v>399.10285714285709</v>
      </c>
      <c r="O23" s="1967"/>
      <c r="P23" s="1973"/>
    </row>
    <row r="24" spans="1:18" ht="22.5" customHeight="1">
      <c r="A24" s="1959" t="s">
        <v>2411</v>
      </c>
      <c r="B24" s="1978" t="s">
        <v>3423</v>
      </c>
      <c r="C24" s="1961" t="s">
        <v>3424</v>
      </c>
      <c r="D24" s="1985">
        <f>25/20</f>
        <v>1.25</v>
      </c>
      <c r="E24" s="1962"/>
      <c r="F24" s="1962"/>
      <c r="G24" s="1963"/>
      <c r="H24" s="1962"/>
      <c r="I24" s="1962"/>
      <c r="J24" s="1962"/>
      <c r="K24" s="1962"/>
      <c r="L24" s="1962"/>
      <c r="M24" s="1986">
        <v>23</v>
      </c>
      <c r="N24" s="1987">
        <f>+M24/D24</f>
        <v>18.399999999999999</v>
      </c>
      <c r="O24" s="1988"/>
      <c r="P24" s="1989"/>
    </row>
    <row r="25" spans="1:18" ht="22.5" customHeight="1">
      <c r="A25" s="1959" t="s">
        <v>2414</v>
      </c>
      <c r="B25" s="1978" t="s">
        <v>3425</v>
      </c>
      <c r="C25" s="1961" t="s">
        <v>3424</v>
      </c>
      <c r="D25" s="1985">
        <f>25/20</f>
        <v>1.25</v>
      </c>
      <c r="E25" s="1962"/>
      <c r="F25" s="1962"/>
      <c r="G25" s="1963"/>
      <c r="H25" s="1962"/>
      <c r="I25" s="1962"/>
      <c r="J25" s="1962"/>
      <c r="K25" s="1962"/>
      <c r="L25" s="1962"/>
      <c r="M25" s="1986">
        <v>23</v>
      </c>
      <c r="N25" s="1987">
        <f>+M25/D25</f>
        <v>18.399999999999999</v>
      </c>
      <c r="O25" s="1988"/>
      <c r="P25" s="1989"/>
    </row>
    <row r="26" spans="1:18" ht="22.5" customHeight="1">
      <c r="A26" s="1959" t="s">
        <v>2416</v>
      </c>
      <c r="B26" s="1978" t="s">
        <v>3426</v>
      </c>
      <c r="C26" s="1961" t="s">
        <v>3424</v>
      </c>
      <c r="D26" s="1985">
        <v>0.5</v>
      </c>
      <c r="E26" s="1962"/>
      <c r="F26" s="1963"/>
      <c r="G26" s="1962"/>
      <c r="H26" s="1962"/>
      <c r="I26" s="1962"/>
      <c r="J26" s="1962"/>
      <c r="K26" s="1963"/>
      <c r="L26" s="1962"/>
      <c r="M26" s="1986">
        <f>+SUM(E27:L27)</f>
        <v>22</v>
      </c>
      <c r="N26" s="1987">
        <f>+M26/D26</f>
        <v>44</v>
      </c>
      <c r="O26" s="1988"/>
      <c r="P26" s="1989"/>
    </row>
    <row r="27" spans="1:18" ht="22.5" customHeight="1">
      <c r="A27" s="1959"/>
      <c r="B27" s="1978"/>
      <c r="C27" s="1961"/>
      <c r="D27" s="1985"/>
      <c r="E27" s="1963" t="s">
        <v>3427</v>
      </c>
      <c r="F27" s="1963">
        <v>6</v>
      </c>
      <c r="G27" s="1963" t="s">
        <v>3428</v>
      </c>
      <c r="H27" s="1963">
        <v>10</v>
      </c>
      <c r="I27" s="1963" t="s">
        <v>3429</v>
      </c>
      <c r="J27" s="1963">
        <v>5</v>
      </c>
      <c r="K27" s="1963" t="s">
        <v>3430</v>
      </c>
      <c r="L27" s="1963">
        <v>1</v>
      </c>
      <c r="M27" s="1986"/>
      <c r="N27" s="1987"/>
      <c r="O27" s="1988"/>
      <c r="P27" s="1989"/>
      <c r="Q27" s="1990" t="e">
        <f>+#REF!+#REF!+#REF!+#REF!</f>
        <v>#REF!</v>
      </c>
      <c r="R27" s="1928">
        <v>94.570000000000022</v>
      </c>
    </row>
    <row r="28" spans="1:18" ht="22.5" customHeight="1">
      <c r="A28" s="1959" t="s">
        <v>3431</v>
      </c>
      <c r="B28" s="1978" t="s">
        <v>2434</v>
      </c>
      <c r="C28" s="1961" t="s">
        <v>2436</v>
      </c>
      <c r="D28" s="1985">
        <v>0.21</v>
      </c>
      <c r="E28" s="1962"/>
      <c r="F28" s="1962"/>
      <c r="G28" s="1963"/>
      <c r="H28" s="1962"/>
      <c r="I28" s="1962"/>
      <c r="J28" s="1962"/>
      <c r="K28" s="1962"/>
      <c r="L28" s="1962"/>
      <c r="M28" s="1986">
        <f>+SUM(E29:L29)</f>
        <v>1.29</v>
      </c>
      <c r="N28" s="1987">
        <f>+M28/D28</f>
        <v>6.1428571428571432</v>
      </c>
      <c r="O28" s="1988"/>
      <c r="P28" s="1989"/>
    </row>
    <row r="29" spans="1:18" ht="22.5" customHeight="1">
      <c r="A29" s="1959"/>
      <c r="B29" s="1961" t="s">
        <v>2435</v>
      </c>
      <c r="C29" s="1961"/>
      <c r="D29" s="1985"/>
      <c r="E29" s="1963" t="s">
        <v>3430</v>
      </c>
      <c r="F29" s="1962">
        <v>1.29</v>
      </c>
      <c r="G29" s="1963"/>
      <c r="H29" s="1962"/>
      <c r="I29" s="1991"/>
      <c r="J29" s="1991"/>
      <c r="K29" s="1963"/>
      <c r="L29" s="1962"/>
      <c r="M29" s="1986"/>
      <c r="N29" s="1987"/>
      <c r="O29" s="1992"/>
      <c r="P29" s="1989"/>
      <c r="Q29" s="1990">
        <f>+M28+M40+M49</f>
        <v>61.69</v>
      </c>
      <c r="R29" s="1990">
        <f>+M59+M62</f>
        <v>114.67999999999999</v>
      </c>
    </row>
    <row r="30" spans="1:18" ht="22.5" customHeight="1">
      <c r="A30" s="1993" t="s">
        <v>3432</v>
      </c>
      <c r="B30" s="1978" t="s">
        <v>3433</v>
      </c>
      <c r="C30" s="1961" t="s">
        <v>3434</v>
      </c>
      <c r="D30" s="1994">
        <f>1/16</f>
        <v>6.25E-2</v>
      </c>
      <c r="E30" s="1995"/>
      <c r="F30" s="1995"/>
      <c r="G30" s="1963"/>
      <c r="H30" s="1962"/>
      <c r="I30" s="1962"/>
      <c r="J30" s="1962"/>
      <c r="K30" s="1962"/>
      <c r="L30" s="1962"/>
      <c r="M30" s="1996">
        <f>+SUM(E31:L31)</f>
        <v>19.509999999999998</v>
      </c>
      <c r="N30" s="1987">
        <f>+M30/D30</f>
        <v>312.15999999999997</v>
      </c>
      <c r="O30" s="1997"/>
      <c r="P30" s="1989"/>
      <c r="Q30" s="1998">
        <f>+Q29+R29</f>
        <v>176.37</v>
      </c>
      <c r="R30" s="1928" t="s">
        <v>3435</v>
      </c>
    </row>
    <row r="31" spans="1:18" ht="22.5" customHeight="1">
      <c r="A31" s="1993"/>
      <c r="B31" s="1999" t="s">
        <v>2435</v>
      </c>
      <c r="C31" s="1961"/>
      <c r="D31" s="2000"/>
      <c r="E31" s="1962" t="s">
        <v>3436</v>
      </c>
      <c r="F31" s="1962">
        <v>10.75</v>
      </c>
      <c r="G31" s="2001" t="s">
        <v>3429</v>
      </c>
      <c r="H31" s="2001">
        <v>8.76</v>
      </c>
      <c r="I31" s="1962"/>
      <c r="J31" s="1962"/>
      <c r="K31" s="1962"/>
      <c r="M31" s="2002"/>
      <c r="N31" s="1987"/>
      <c r="O31" s="1988"/>
      <c r="P31" s="1989"/>
    </row>
    <row r="32" spans="1:18" ht="22.5" customHeight="1">
      <c r="A32" s="1982">
        <v>2</v>
      </c>
      <c r="B32" s="1983" t="s">
        <v>3437</v>
      </c>
      <c r="C32" s="1961"/>
      <c r="D32" s="1976"/>
      <c r="E32" s="1980"/>
      <c r="F32" s="1980"/>
      <c r="G32" s="1981"/>
      <c r="H32" s="1980"/>
      <c r="I32" s="1980"/>
      <c r="J32" s="1980"/>
      <c r="K32" s="1980"/>
      <c r="L32" s="1980"/>
      <c r="M32" s="1965"/>
      <c r="N32" s="1984">
        <f>+SUBTOTAL(9,N33:N36)</f>
        <v>164.16</v>
      </c>
      <c r="O32" s="1967"/>
      <c r="P32" s="1973"/>
    </row>
    <row r="33" spans="1:17" ht="22.5" customHeight="1">
      <c r="A33" s="1993" t="s">
        <v>2421</v>
      </c>
      <c r="B33" s="1978" t="s">
        <v>3423</v>
      </c>
      <c r="C33" s="1961" t="s">
        <v>3424</v>
      </c>
      <c r="D33" s="1985">
        <f>25/20</f>
        <v>1.25</v>
      </c>
      <c r="E33" s="1980"/>
      <c r="F33" s="1981"/>
      <c r="G33" s="1981"/>
      <c r="H33" s="1980"/>
      <c r="I33" s="1980"/>
      <c r="J33" s="1980"/>
      <c r="K33" s="1980"/>
      <c r="L33" s="1980"/>
      <c r="M33" s="2003">
        <v>33</v>
      </c>
      <c r="N33" s="1987">
        <f>+M33/D33</f>
        <v>26.4</v>
      </c>
      <c r="O33" s="1967"/>
      <c r="P33" s="1973"/>
    </row>
    <row r="34" spans="1:17" ht="22.5" customHeight="1">
      <c r="A34" s="1993" t="s">
        <v>2424</v>
      </c>
      <c r="B34" s="1978" t="s">
        <v>3425</v>
      </c>
      <c r="C34" s="1961" t="s">
        <v>3424</v>
      </c>
      <c r="D34" s="1985">
        <f>25/20</f>
        <v>1.25</v>
      </c>
      <c r="E34" s="1962"/>
      <c r="F34" s="1962"/>
      <c r="G34" s="1962"/>
      <c r="H34" s="1962"/>
      <c r="I34" s="1962"/>
      <c r="J34" s="1962"/>
      <c r="K34" s="1962"/>
      <c r="L34" s="1962"/>
      <c r="M34" s="1986">
        <v>33</v>
      </c>
      <c r="N34" s="1987">
        <f>+M34/D34</f>
        <v>26.4</v>
      </c>
      <c r="O34" s="1988"/>
      <c r="P34" s="1989"/>
    </row>
    <row r="35" spans="1:17" ht="22.5" customHeight="1">
      <c r="A35" s="1993" t="s">
        <v>3421</v>
      </c>
      <c r="B35" s="1978" t="s">
        <v>3433</v>
      </c>
      <c r="C35" s="1961" t="s">
        <v>3434</v>
      </c>
      <c r="D35" s="1994">
        <f>1/16</f>
        <v>6.25E-2</v>
      </c>
      <c r="E35" s="1962"/>
      <c r="F35" s="1962"/>
      <c r="G35" s="1963"/>
      <c r="H35" s="1962"/>
      <c r="I35" s="1962"/>
      <c r="J35" s="1962"/>
      <c r="K35" s="1962"/>
      <c r="L35" s="1962"/>
      <c r="M35" s="1996">
        <f>+SUM(E36:J36)</f>
        <v>6.96</v>
      </c>
      <c r="N35" s="1987">
        <f>+M35/D35</f>
        <v>111.36</v>
      </c>
      <c r="O35" s="1997"/>
      <c r="P35" s="1989"/>
      <c r="Q35" s="1989"/>
    </row>
    <row r="36" spans="1:17" ht="22.5" customHeight="1">
      <c r="A36" s="1993"/>
      <c r="B36" s="1999" t="s">
        <v>2435</v>
      </c>
      <c r="C36" s="1961"/>
      <c r="D36" s="2004"/>
      <c r="E36" s="1963" t="s">
        <v>3438</v>
      </c>
      <c r="F36" s="1962">
        <v>6.96</v>
      </c>
      <c r="G36" s="1962"/>
      <c r="H36" s="1962"/>
      <c r="I36" s="1980"/>
      <c r="J36" s="1980"/>
      <c r="K36" s="1980"/>
      <c r="L36" s="1980"/>
      <c r="M36" s="1996"/>
      <c r="N36" s="1987"/>
      <c r="O36" s="1988"/>
      <c r="P36" s="1989"/>
      <c r="Q36" s="1989"/>
    </row>
    <row r="37" spans="1:17" ht="22.5" customHeight="1">
      <c r="A37" s="1982">
        <v>3</v>
      </c>
      <c r="B37" s="1983" t="s">
        <v>3439</v>
      </c>
      <c r="C37" s="1961"/>
      <c r="D37" s="1976"/>
      <c r="E37" s="1980"/>
      <c r="F37" s="1980"/>
      <c r="G37" s="1981"/>
      <c r="H37" s="1980"/>
      <c r="I37" s="1980"/>
      <c r="J37" s="1980"/>
      <c r="K37" s="1980"/>
      <c r="L37" s="1980"/>
      <c r="M37" s="1965"/>
      <c r="N37" s="1984">
        <f>+SUBTOTAL(9,N38:N45)</f>
        <v>402.80190476190478</v>
      </c>
      <c r="O37" s="1967"/>
      <c r="P37" s="1973"/>
      <c r="Q37" s="2005">
        <v>50</v>
      </c>
    </row>
    <row r="38" spans="1:17" ht="22.5" customHeight="1">
      <c r="A38" s="1993" t="s">
        <v>2449</v>
      </c>
      <c r="B38" s="1978" t="s">
        <v>3423</v>
      </c>
      <c r="C38" s="1961" t="s">
        <v>3424</v>
      </c>
      <c r="D38" s="1985">
        <f>25/20</f>
        <v>1.25</v>
      </c>
      <c r="E38" s="1980"/>
      <c r="F38" s="1980"/>
      <c r="G38" s="1981"/>
      <c r="H38" s="1980"/>
      <c r="I38" s="1980"/>
      <c r="J38" s="1980"/>
      <c r="K38" s="1980"/>
      <c r="L38" s="1980"/>
      <c r="M38" s="2003">
        <v>64</v>
      </c>
      <c r="N38" s="1987">
        <f>+M38/D38</f>
        <v>51.2</v>
      </c>
      <c r="O38" s="1967"/>
      <c r="P38" s="1973"/>
      <c r="Q38" s="2005"/>
    </row>
    <row r="39" spans="1:17" ht="22.5" customHeight="1">
      <c r="A39" s="1993" t="s">
        <v>2450</v>
      </c>
      <c r="B39" s="1978" t="s">
        <v>3425</v>
      </c>
      <c r="C39" s="1961" t="s">
        <v>3424</v>
      </c>
      <c r="D39" s="1985">
        <f>25/20</f>
        <v>1.25</v>
      </c>
      <c r="E39" s="1980"/>
      <c r="F39" s="1980"/>
      <c r="G39" s="1981"/>
      <c r="H39" s="1980"/>
      <c r="I39" s="1980"/>
      <c r="J39" s="1980"/>
      <c r="K39" s="1980"/>
      <c r="L39" s="1980"/>
      <c r="M39" s="2003">
        <v>64</v>
      </c>
      <c r="N39" s="1987">
        <f>+M39/D39</f>
        <v>51.2</v>
      </c>
      <c r="O39" s="1967"/>
      <c r="P39" s="1973"/>
      <c r="Q39" s="2005"/>
    </row>
    <row r="40" spans="1:17" ht="22.5" customHeight="1">
      <c r="A40" s="1993" t="s">
        <v>3440</v>
      </c>
      <c r="B40" s="1978" t="s">
        <v>2434</v>
      </c>
      <c r="C40" s="1961" t="s">
        <v>2436</v>
      </c>
      <c r="D40" s="1985">
        <v>0.21</v>
      </c>
      <c r="E40" s="1962"/>
      <c r="F40" s="1962"/>
      <c r="G40" s="1963"/>
      <c r="H40" s="1962"/>
      <c r="I40" s="1962"/>
      <c r="J40" s="1962"/>
      <c r="K40" s="1962"/>
      <c r="L40" s="1962"/>
      <c r="M40" s="1986">
        <f>SUM(E41:L41)</f>
        <v>34.81</v>
      </c>
      <c r="N40" s="1987">
        <f>+M40/D40</f>
        <v>165.76190476190479</v>
      </c>
      <c r="O40" s="1988"/>
      <c r="P40" s="1989"/>
      <c r="Q40" s="1989"/>
    </row>
    <row r="41" spans="1:17" ht="22.5" customHeight="1">
      <c r="A41" s="1993"/>
      <c r="B41" s="1999" t="s">
        <v>2435</v>
      </c>
      <c r="C41" s="1961"/>
      <c r="D41" s="1985"/>
      <c r="E41" s="1963" t="s">
        <v>3430</v>
      </c>
      <c r="F41" s="1962">
        <v>16.310000000000002</v>
      </c>
      <c r="G41" s="1962" t="s">
        <v>3441</v>
      </c>
      <c r="H41" s="1962">
        <v>5.9</v>
      </c>
      <c r="I41" s="1962" t="s">
        <v>3442</v>
      </c>
      <c r="J41" s="1962">
        <v>12.6</v>
      </c>
      <c r="K41" s="1962"/>
      <c r="L41" s="1962"/>
      <c r="M41" s="1986"/>
      <c r="N41" s="1987"/>
      <c r="O41" s="1988"/>
      <c r="P41" s="1989"/>
      <c r="Q41" s="1989"/>
    </row>
    <row r="42" spans="1:17" ht="22.5" customHeight="1">
      <c r="A42" s="1993" t="s">
        <v>3443</v>
      </c>
      <c r="B42" s="1978" t="s">
        <v>3433</v>
      </c>
      <c r="C42" s="1961" t="s">
        <v>3434</v>
      </c>
      <c r="D42" s="1985">
        <f>1/16</f>
        <v>6.25E-2</v>
      </c>
      <c r="E42" s="1962"/>
      <c r="F42" s="1962"/>
      <c r="G42" s="1963"/>
      <c r="H42" s="1962"/>
      <c r="I42" s="1962"/>
      <c r="J42" s="1962"/>
      <c r="K42" s="1962"/>
      <c r="L42" s="1962"/>
      <c r="M42" s="1996">
        <f>+SUM(E43:L43)</f>
        <v>4.59</v>
      </c>
      <c r="N42" s="1987">
        <f>+M42/D42</f>
        <v>73.44</v>
      </c>
      <c r="O42" s="1997"/>
      <c r="P42" s="1989"/>
      <c r="Q42" s="1989"/>
    </row>
    <row r="43" spans="1:17" ht="22.5" customHeight="1">
      <c r="A43" s="1993"/>
      <c r="B43" s="1999" t="s">
        <v>2435</v>
      </c>
      <c r="C43" s="1961"/>
      <c r="D43" s="1985"/>
      <c r="E43" s="1963" t="s">
        <v>3444</v>
      </c>
      <c r="F43" s="1963">
        <v>2.5</v>
      </c>
      <c r="G43" s="1963" t="s">
        <v>3436</v>
      </c>
      <c r="H43" s="1962">
        <v>2.09</v>
      </c>
      <c r="I43" s="1962"/>
      <c r="J43" s="1962"/>
      <c r="K43" s="1962"/>
      <c r="L43" s="1962"/>
      <c r="M43" s="1986"/>
      <c r="N43" s="1987"/>
      <c r="O43" s="1997"/>
      <c r="P43" s="1989"/>
      <c r="Q43" s="1989"/>
    </row>
    <row r="44" spans="1:17" ht="22.5" customHeight="1">
      <c r="A44" s="1993" t="s">
        <v>3445</v>
      </c>
      <c r="B44" s="1978" t="s">
        <v>3433</v>
      </c>
      <c r="C44" s="1961" t="s">
        <v>3434</v>
      </c>
      <c r="D44" s="1985">
        <f>1/12</f>
        <v>8.3333333333333329E-2</v>
      </c>
      <c r="E44" s="1962"/>
      <c r="F44" s="1962"/>
      <c r="G44" s="1963"/>
      <c r="H44" s="1962"/>
      <c r="I44" s="2006"/>
      <c r="J44" s="2007"/>
      <c r="K44" s="2006"/>
      <c r="L44" s="2006"/>
      <c r="M44" s="1986">
        <f>SUM(E45:L45)</f>
        <v>5.0999999999999996</v>
      </c>
      <c r="N44" s="1987">
        <f>+M44/D44</f>
        <v>61.199999999999996</v>
      </c>
      <c r="O44" s="1997"/>
      <c r="P44" s="2008"/>
    </row>
    <row r="45" spans="1:17" ht="22.5" customHeight="1">
      <c r="A45" s="1961"/>
      <c r="B45" s="1999" t="s">
        <v>2435</v>
      </c>
      <c r="C45" s="2009"/>
      <c r="D45" s="2010"/>
      <c r="E45" s="1962" t="s">
        <v>3444</v>
      </c>
      <c r="F45" s="1962">
        <v>5.0999999999999996</v>
      </c>
      <c r="G45" s="1963"/>
      <c r="H45" s="1962"/>
      <c r="I45" s="2006"/>
      <c r="J45" s="2007"/>
      <c r="K45" s="2006"/>
      <c r="L45" s="2006"/>
      <c r="M45" s="2011"/>
      <c r="N45" s="2012"/>
      <c r="O45" s="2013"/>
      <c r="P45" s="2008"/>
    </row>
    <row r="46" spans="1:17" ht="22.5" customHeight="1">
      <c r="A46" s="2014">
        <v>4</v>
      </c>
      <c r="B46" s="1983" t="s">
        <v>2445</v>
      </c>
      <c r="C46" s="2009"/>
      <c r="D46" s="2010"/>
      <c r="E46" s="1962"/>
      <c r="F46" s="1962"/>
      <c r="G46" s="1963"/>
      <c r="H46" s="1962"/>
      <c r="I46" s="2006"/>
      <c r="J46" s="2007"/>
      <c r="K46" s="2006"/>
      <c r="L46" s="2006"/>
      <c r="M46" s="2011"/>
      <c r="N46" s="1984">
        <f>+SUBTOTAL(9,N47:N51)</f>
        <v>205.05714285714288</v>
      </c>
      <c r="O46" s="2013"/>
      <c r="P46" s="2008"/>
    </row>
    <row r="47" spans="1:17" ht="22.5" customHeight="1">
      <c r="A47" s="1961" t="s">
        <v>2467</v>
      </c>
      <c r="B47" s="1978" t="s">
        <v>3423</v>
      </c>
      <c r="C47" s="1961" t="s">
        <v>3424</v>
      </c>
      <c r="D47" s="1985">
        <f>25/20</f>
        <v>1.25</v>
      </c>
      <c r="E47" s="1962"/>
      <c r="F47" s="1962"/>
      <c r="G47" s="1963"/>
      <c r="H47" s="1962"/>
      <c r="I47" s="2006"/>
      <c r="J47" s="2007"/>
      <c r="K47" s="2006"/>
      <c r="L47" s="2015"/>
      <c r="M47" s="1986">
        <v>52</v>
      </c>
      <c r="N47" s="1987">
        <f>+M47/D47</f>
        <v>41.6</v>
      </c>
      <c r="O47" s="2016"/>
      <c r="P47" s="2008"/>
    </row>
    <row r="48" spans="1:17" ht="22.5" customHeight="1">
      <c r="A48" s="1961" t="s">
        <v>2468</v>
      </c>
      <c r="B48" s="1978" t="s">
        <v>3425</v>
      </c>
      <c r="C48" s="1961" t="s">
        <v>3424</v>
      </c>
      <c r="D48" s="1985">
        <f>25/20</f>
        <v>1.25</v>
      </c>
      <c r="E48" s="1962"/>
      <c r="F48" s="1962"/>
      <c r="G48" s="1963"/>
      <c r="H48" s="1962"/>
      <c r="I48" s="2006"/>
      <c r="J48" s="2007"/>
      <c r="K48" s="2006"/>
      <c r="L48" s="2015"/>
      <c r="M48" s="1986">
        <v>52</v>
      </c>
      <c r="N48" s="1987">
        <f>+M48/D48</f>
        <v>41.6</v>
      </c>
      <c r="O48" s="2016"/>
      <c r="P48" s="2008"/>
    </row>
    <row r="49" spans="1:16" ht="22.5" customHeight="1">
      <c r="A49" s="1993" t="s">
        <v>3446</v>
      </c>
      <c r="B49" s="1978" t="s">
        <v>2434</v>
      </c>
      <c r="C49" s="1961" t="s">
        <v>2436</v>
      </c>
      <c r="D49" s="1985">
        <v>0.21</v>
      </c>
      <c r="E49" s="1962"/>
      <c r="F49" s="1962"/>
      <c r="G49" s="1963"/>
      <c r="H49" s="1962"/>
      <c r="I49" s="1962"/>
      <c r="J49" s="1962"/>
      <c r="K49" s="1962"/>
      <c r="L49" s="1962"/>
      <c r="M49" s="1986">
        <f>+SUM(E50:L51)</f>
        <v>25.59</v>
      </c>
      <c r="N49" s="1987">
        <f>+M49/D49</f>
        <v>121.85714285714286</v>
      </c>
      <c r="O49" s="1988"/>
      <c r="P49" s="1989"/>
    </row>
    <row r="50" spans="1:16" ht="22.5" customHeight="1">
      <c r="A50" s="1993"/>
      <c r="B50" s="1999"/>
      <c r="C50" s="1961"/>
      <c r="D50" s="1985"/>
      <c r="E50" s="1962" t="s">
        <v>3447</v>
      </c>
      <c r="F50" s="1962">
        <v>2.5700000000000003</v>
      </c>
      <c r="G50" s="1963" t="s">
        <v>3448</v>
      </c>
      <c r="H50" s="1962">
        <v>10.5</v>
      </c>
      <c r="I50" s="1962" t="s">
        <v>3449</v>
      </c>
      <c r="J50" s="1962">
        <v>3.6799999999999997</v>
      </c>
      <c r="K50" s="1962" t="s">
        <v>3450</v>
      </c>
      <c r="L50" s="1962">
        <v>5.64</v>
      </c>
      <c r="M50" s="1986"/>
      <c r="N50" s="1987"/>
      <c r="O50" s="1988"/>
      <c r="P50" s="1989"/>
    </row>
    <row r="51" spans="1:16" ht="22.5" customHeight="1">
      <c r="A51" s="1993"/>
      <c r="B51" s="1999"/>
      <c r="C51" s="1961"/>
      <c r="D51" s="1985"/>
      <c r="E51" s="1962" t="s">
        <v>3451</v>
      </c>
      <c r="F51" s="1962">
        <v>3.2</v>
      </c>
      <c r="G51" s="1963"/>
      <c r="H51" s="1962"/>
      <c r="I51" s="1962"/>
      <c r="J51" s="1962"/>
      <c r="K51" s="1962"/>
      <c r="L51" s="1962"/>
      <c r="M51" s="1986"/>
      <c r="N51" s="2006"/>
      <c r="O51" s="1988"/>
      <c r="P51" s="1989"/>
    </row>
    <row r="52" spans="1:16" ht="22.5" customHeight="1">
      <c r="A52" s="2014">
        <v>5</v>
      </c>
      <c r="B52" s="1983" t="s">
        <v>2448</v>
      </c>
      <c r="C52" s="2009"/>
      <c r="D52" s="2017"/>
      <c r="E52" s="2018"/>
      <c r="F52" s="2019"/>
      <c r="G52" s="2019"/>
      <c r="H52" s="2019"/>
      <c r="I52" s="2020"/>
      <c r="J52" s="2019"/>
      <c r="K52" s="2006"/>
      <c r="L52" s="2006"/>
      <c r="M52" s="2011"/>
      <c r="N52" s="2021">
        <f>+SUBTOTAL(9,N53:N56)</f>
        <v>365.68</v>
      </c>
      <c r="O52" s="2022"/>
      <c r="P52" s="2008"/>
    </row>
    <row r="53" spans="1:16" ht="22.5" customHeight="1">
      <c r="A53" s="1993" t="s">
        <v>3452</v>
      </c>
      <c r="B53" s="1978" t="s">
        <v>3423</v>
      </c>
      <c r="C53" s="1961" t="s">
        <v>3424</v>
      </c>
      <c r="D53" s="1985">
        <f>25/20</f>
        <v>1.25</v>
      </c>
      <c r="E53" s="1962"/>
      <c r="F53" s="1962"/>
      <c r="G53" s="1963"/>
      <c r="H53" s="1962"/>
      <c r="I53" s="1962"/>
      <c r="J53" s="1962"/>
      <c r="K53" s="1962"/>
      <c r="L53" s="1962"/>
      <c r="M53" s="1986">
        <f>34*4</f>
        <v>136</v>
      </c>
      <c r="N53" s="1987">
        <f>+M53/D53</f>
        <v>108.8</v>
      </c>
      <c r="O53" s="1988"/>
      <c r="P53" s="1989"/>
    </row>
    <row r="54" spans="1:16" ht="22.5" customHeight="1">
      <c r="A54" s="1993" t="s">
        <v>3453</v>
      </c>
      <c r="B54" s="1978" t="s">
        <v>3454</v>
      </c>
      <c r="C54" s="1961" t="s">
        <v>3424</v>
      </c>
      <c r="D54" s="1985">
        <f>25/20</f>
        <v>1.25</v>
      </c>
      <c r="E54" s="1962"/>
      <c r="F54" s="1962"/>
      <c r="G54" s="1963"/>
      <c r="H54" s="1962"/>
      <c r="I54" s="1962"/>
      <c r="J54" s="1962"/>
      <c r="K54" s="1962"/>
      <c r="L54" s="1962"/>
      <c r="M54" s="1986">
        <v>61</v>
      </c>
      <c r="N54" s="1987">
        <f t="shared" ref="N54" si="0">+M54/D54</f>
        <v>48.8</v>
      </c>
      <c r="O54" s="1988"/>
      <c r="P54" s="1989"/>
    </row>
    <row r="55" spans="1:16" ht="22.5" customHeight="1">
      <c r="A55" s="1993" t="s">
        <v>3455</v>
      </c>
      <c r="B55" s="1978" t="s">
        <v>3433</v>
      </c>
      <c r="C55" s="1961" t="s">
        <v>3434</v>
      </c>
      <c r="D55" s="1985">
        <f>1/12</f>
        <v>8.3333333333333329E-2</v>
      </c>
      <c r="E55" s="1999"/>
      <c r="F55" s="1999"/>
      <c r="G55" s="1999"/>
      <c r="H55" s="1999"/>
      <c r="I55" s="1999"/>
      <c r="J55" s="1999"/>
      <c r="K55" s="1999"/>
      <c r="L55" s="1999"/>
      <c r="M55" s="1996">
        <f>+SUM(E56:L56)</f>
        <v>17.34</v>
      </c>
      <c r="N55" s="1987">
        <f>+M55/D55</f>
        <v>208.08</v>
      </c>
      <c r="O55" s="1997"/>
    </row>
    <row r="56" spans="1:16" ht="22.5" customHeight="1">
      <c r="A56" s="1993"/>
      <c r="B56" s="1999" t="s">
        <v>2446</v>
      </c>
      <c r="C56" s="1961"/>
      <c r="D56" s="1985"/>
      <c r="E56" s="1999" t="s">
        <v>3456</v>
      </c>
      <c r="F56" s="1999">
        <v>17.34</v>
      </c>
      <c r="G56" s="1999"/>
      <c r="H56" s="1999"/>
      <c r="I56" s="1999"/>
      <c r="J56" s="1999"/>
      <c r="K56" s="1999"/>
      <c r="L56" s="1999"/>
      <c r="M56" s="2002"/>
      <c r="N56" s="1987"/>
      <c r="O56" s="1988"/>
    </row>
    <row r="57" spans="1:16" ht="22.5" customHeight="1">
      <c r="A57" s="2023" t="s">
        <v>1957</v>
      </c>
      <c r="B57" s="2024" t="s">
        <v>2469</v>
      </c>
      <c r="C57" s="2025"/>
      <c r="D57" s="2026"/>
      <c r="E57" s="2027"/>
      <c r="F57" s="2028"/>
      <c r="G57" s="2027"/>
      <c r="H57" s="2028"/>
      <c r="I57" s="2029"/>
      <c r="J57" s="2030"/>
      <c r="K57" s="2029"/>
      <c r="L57" s="2029"/>
      <c r="M57" s="2031"/>
      <c r="N57" s="1941">
        <f>SUBTOTAL(9,N58:N65)</f>
        <v>546.09523809523819</v>
      </c>
      <c r="O57" s="2032"/>
      <c r="P57" s="2033"/>
    </row>
    <row r="58" spans="1:16" ht="22.5" customHeight="1">
      <c r="A58" s="2034">
        <v>1</v>
      </c>
      <c r="B58" s="2035" t="s">
        <v>3457</v>
      </c>
      <c r="C58" s="2036"/>
      <c r="D58" s="2037"/>
      <c r="E58" s="2038"/>
      <c r="F58" s="2039"/>
      <c r="G58" s="2038"/>
      <c r="H58" s="2039"/>
      <c r="I58" s="2040"/>
      <c r="J58" s="2041"/>
      <c r="K58" s="2040"/>
      <c r="L58" s="2040"/>
      <c r="M58" s="2042"/>
      <c r="N58" s="2043">
        <f>SUBTOTAL(9,N59:N60)</f>
        <v>25.761904761904763</v>
      </c>
      <c r="O58" s="2044"/>
      <c r="P58" s="2033"/>
    </row>
    <row r="59" spans="1:16" ht="22.5" customHeight="1">
      <c r="A59" s="2045" t="s">
        <v>2411</v>
      </c>
      <c r="B59" s="1978" t="s">
        <v>2434</v>
      </c>
      <c r="C59" s="1961" t="s">
        <v>2436</v>
      </c>
      <c r="D59" s="1985">
        <v>0.21</v>
      </c>
      <c r="E59" s="2046"/>
      <c r="F59" s="2047"/>
      <c r="G59" s="2046"/>
      <c r="H59" s="2047"/>
      <c r="I59" s="2048"/>
      <c r="J59" s="2049"/>
      <c r="K59" s="2048"/>
      <c r="L59" s="2048"/>
      <c r="M59" s="2003">
        <f>F60+H60+J60+L60</f>
        <v>5.41</v>
      </c>
      <c r="N59" s="1987">
        <f>M59/D59</f>
        <v>25.761904761904763</v>
      </c>
      <c r="O59" s="2050"/>
      <c r="P59" s="2033"/>
    </row>
    <row r="60" spans="1:16" ht="22.5" customHeight="1">
      <c r="A60" s="2045"/>
      <c r="B60" s="1999" t="s">
        <v>2435</v>
      </c>
      <c r="C60" s="1961"/>
      <c r="D60" s="1985"/>
      <c r="E60" s="2051" t="s">
        <v>3451</v>
      </c>
      <c r="F60" s="2051">
        <v>5.41</v>
      </c>
      <c r="G60" s="2046"/>
      <c r="H60" s="2047"/>
      <c r="I60" s="2048"/>
      <c r="J60" s="2049"/>
      <c r="K60" s="2048"/>
      <c r="L60" s="2048"/>
      <c r="M60" s="2003"/>
      <c r="N60" s="1972"/>
      <c r="O60" s="2050"/>
      <c r="P60" s="2033"/>
    </row>
    <row r="61" spans="1:16" ht="22.5" customHeight="1">
      <c r="A61" s="2052">
        <v>2</v>
      </c>
      <c r="B61" s="2053" t="s">
        <v>2470</v>
      </c>
      <c r="C61" s="1999"/>
      <c r="D61" s="2054"/>
      <c r="E61" s="2046"/>
      <c r="F61" s="2047"/>
      <c r="G61" s="2046"/>
      <c r="H61" s="2047"/>
      <c r="I61" s="2048"/>
      <c r="J61" s="2049"/>
      <c r="K61" s="2048"/>
      <c r="L61" s="2048"/>
      <c r="M61" s="2003"/>
      <c r="N61" s="1984">
        <f>+SUBTOTAL(9,N62:N65)</f>
        <v>520.33333333333337</v>
      </c>
      <c r="O61" s="2050"/>
      <c r="P61" s="2033"/>
    </row>
    <row r="62" spans="1:16" ht="22.5" customHeight="1">
      <c r="A62" s="2045" t="s">
        <v>2421</v>
      </c>
      <c r="B62" s="1978" t="s">
        <v>2434</v>
      </c>
      <c r="C62" s="1961" t="s">
        <v>2436</v>
      </c>
      <c r="D62" s="1985">
        <v>0.21</v>
      </c>
      <c r="E62" s="2046"/>
      <c r="F62" s="2047"/>
      <c r="G62" s="2046"/>
      <c r="H62" s="2047"/>
      <c r="I62" s="2048"/>
      <c r="J62" s="2049"/>
      <c r="K62" s="2048"/>
      <c r="L62" s="2048"/>
      <c r="M62" s="2003">
        <f>+SUM(E63:L65)</f>
        <v>109.27</v>
      </c>
      <c r="N62" s="1987">
        <f>M62/D62</f>
        <v>520.33333333333337</v>
      </c>
      <c r="O62" s="2050"/>
      <c r="P62" s="2033"/>
    </row>
    <row r="63" spans="1:16" ht="22.5" customHeight="1">
      <c r="A63" s="2045"/>
      <c r="B63" s="1999" t="s">
        <v>2435</v>
      </c>
      <c r="C63" s="1999"/>
      <c r="D63" s="2054"/>
      <c r="E63" s="1963" t="s">
        <v>3447</v>
      </c>
      <c r="F63" s="1962">
        <v>3.7</v>
      </c>
      <c r="G63" s="1963" t="s">
        <v>3458</v>
      </c>
      <c r="H63" s="1962">
        <v>3.55</v>
      </c>
      <c r="I63" s="1963" t="s">
        <v>3459</v>
      </c>
      <c r="J63" s="1962">
        <v>9.75</v>
      </c>
      <c r="K63" s="1963" t="s">
        <v>3460</v>
      </c>
      <c r="L63" s="1962">
        <v>20.09</v>
      </c>
      <c r="M63" s="2003"/>
      <c r="N63" s="1987"/>
      <c r="O63" s="2050"/>
      <c r="P63" s="2033"/>
    </row>
    <row r="64" spans="1:16" ht="22.5" customHeight="1">
      <c r="A64" s="2045"/>
      <c r="B64" s="2053"/>
      <c r="C64" s="1999"/>
      <c r="D64" s="2054"/>
      <c r="E64" s="1963" t="s">
        <v>3451</v>
      </c>
      <c r="F64" s="1962">
        <v>5.41</v>
      </c>
      <c r="G64" s="1963" t="s">
        <v>3461</v>
      </c>
      <c r="H64" s="1962">
        <v>17.63</v>
      </c>
      <c r="I64" s="1963" t="s">
        <v>3462</v>
      </c>
      <c r="J64" s="1962">
        <v>6.4</v>
      </c>
      <c r="K64" s="1963" t="s">
        <v>3463</v>
      </c>
      <c r="L64" s="1962">
        <v>7.6</v>
      </c>
      <c r="M64" s="2003"/>
      <c r="N64" s="1987"/>
      <c r="O64" s="2050"/>
      <c r="P64" s="2033"/>
    </row>
    <row r="65" spans="1:17" ht="22.5" customHeight="1">
      <c r="A65" s="2045"/>
      <c r="B65" s="2053"/>
      <c r="C65" s="1999"/>
      <c r="D65" s="2054"/>
      <c r="E65" s="1963" t="s">
        <v>3449</v>
      </c>
      <c r="F65" s="1962">
        <v>6.02</v>
      </c>
      <c r="G65" s="1963" t="s">
        <v>3464</v>
      </c>
      <c r="H65" s="1962">
        <v>6.78</v>
      </c>
      <c r="I65" s="1963" t="s">
        <v>3465</v>
      </c>
      <c r="J65" s="1962">
        <v>19.04</v>
      </c>
      <c r="K65" s="1963" t="s">
        <v>3441</v>
      </c>
      <c r="L65" s="1962">
        <v>3.2999999999999989</v>
      </c>
      <c r="M65" s="2003"/>
      <c r="N65" s="1987"/>
      <c r="O65" s="2050"/>
      <c r="P65" s="2033"/>
    </row>
    <row r="66" spans="1:17" ht="22.5" customHeight="1">
      <c r="A66" s="1944" t="s">
        <v>1958</v>
      </c>
      <c r="B66" s="1945" t="s">
        <v>2471</v>
      </c>
      <c r="C66" s="2055"/>
      <c r="D66" s="2056"/>
      <c r="E66" s="2057"/>
      <c r="F66" s="2057"/>
      <c r="G66" s="1948"/>
      <c r="H66" s="1948"/>
      <c r="I66" s="2058"/>
      <c r="J66" s="2058"/>
      <c r="K66" s="2058"/>
      <c r="L66" s="2058"/>
      <c r="M66" s="2031"/>
      <c r="N66" s="1941">
        <f>+SUBTOTAL(9,N67:N67)</f>
        <v>208</v>
      </c>
      <c r="O66" s="1950"/>
      <c r="P66" s="1973"/>
      <c r="Q66" s="1973"/>
    </row>
    <row r="67" spans="1:17" ht="22.5" customHeight="1">
      <c r="A67" s="2059">
        <v>1</v>
      </c>
      <c r="B67" s="2060" t="s">
        <v>2472</v>
      </c>
      <c r="C67" s="2055" t="s">
        <v>2420</v>
      </c>
      <c r="D67" s="2056"/>
      <c r="E67" s="2367" t="s">
        <v>3466</v>
      </c>
      <c r="F67" s="2367"/>
      <c r="G67" s="2367"/>
      <c r="H67" s="2367"/>
      <c r="I67" s="2367"/>
      <c r="J67" s="2367"/>
      <c r="K67" s="2367"/>
      <c r="L67" s="2367"/>
      <c r="M67" s="2367"/>
      <c r="N67" s="2061">
        <f>2*2600000/25000</f>
        <v>208</v>
      </c>
      <c r="O67" s="2062"/>
      <c r="P67" s="1973"/>
      <c r="Q67" s="1973"/>
    </row>
    <row r="68" spans="1:17" ht="22.5" customHeight="1">
      <c r="A68" s="2063" t="s">
        <v>2359</v>
      </c>
      <c r="B68" s="2064" t="s">
        <v>2474</v>
      </c>
      <c r="C68" s="2055"/>
      <c r="D68" s="2056"/>
      <c r="E68" s="2065"/>
      <c r="F68" s="2065"/>
      <c r="G68" s="2065"/>
      <c r="H68" s="2065"/>
      <c r="I68" s="2065"/>
      <c r="J68" s="2065"/>
      <c r="K68" s="2065"/>
      <c r="L68" s="2065"/>
      <c r="M68" s="2065"/>
      <c r="N68" s="2066">
        <f>SUBTOTAL(9,N69:N70)</f>
        <v>176</v>
      </c>
      <c r="O68" s="2062"/>
      <c r="P68" s="1973"/>
      <c r="Q68" s="1973"/>
    </row>
    <row r="69" spans="1:17" ht="22.5" customHeight="1">
      <c r="A69" s="2067">
        <v>1</v>
      </c>
      <c r="B69" s="2068" t="s">
        <v>3467</v>
      </c>
      <c r="C69" s="2069" t="s">
        <v>3468</v>
      </c>
      <c r="D69" s="2070"/>
      <c r="E69" s="2071"/>
      <c r="F69" s="2071"/>
      <c r="G69" s="2071"/>
      <c r="H69" s="2071"/>
      <c r="I69" s="2071"/>
      <c r="J69" s="2071"/>
      <c r="K69" s="2071"/>
      <c r="L69" s="2071"/>
      <c r="M69" s="2072">
        <v>3</v>
      </c>
      <c r="N69" s="2073">
        <f>M69*800000/25000</f>
        <v>96</v>
      </c>
      <c r="O69" s="2074"/>
      <c r="P69" s="1973"/>
      <c r="Q69" s="1973"/>
    </row>
    <row r="70" spans="1:17" ht="22.5" customHeight="1">
      <c r="A70" s="2067">
        <v>2</v>
      </c>
      <c r="B70" s="2068" t="s">
        <v>3469</v>
      </c>
      <c r="C70" s="2069" t="s">
        <v>2423</v>
      </c>
      <c r="D70" s="2070"/>
      <c r="E70" s="2071"/>
      <c r="F70" s="2071"/>
      <c r="G70" s="2071"/>
      <c r="H70" s="2071"/>
      <c r="I70" s="2071"/>
      <c r="J70" s="2071"/>
      <c r="K70" s="2071"/>
      <c r="L70" s="2071"/>
      <c r="M70" s="2072"/>
      <c r="N70" s="2073">
        <v>80</v>
      </c>
      <c r="O70" s="2074"/>
      <c r="P70" s="1973"/>
      <c r="Q70" s="1973"/>
    </row>
    <row r="71" spans="1:17" ht="22.5" customHeight="1">
      <c r="A71" s="2368" t="s">
        <v>2475</v>
      </c>
      <c r="B71" s="2368"/>
      <c r="C71" s="2075"/>
      <c r="D71" s="2076"/>
      <c r="E71" s="2077"/>
      <c r="F71" s="2077"/>
      <c r="G71" s="2077"/>
      <c r="H71" s="2077"/>
      <c r="I71" s="2077"/>
      <c r="J71" s="2077"/>
      <c r="K71" s="2077"/>
      <c r="L71" s="2077"/>
      <c r="M71" s="2078"/>
      <c r="N71" s="2079">
        <f>SUBTOTAL(9,N12:N70)</f>
        <v>2466.8971428571431</v>
      </c>
      <c r="O71" s="2075"/>
      <c r="P71" s="1973"/>
      <c r="Q71" s="1973"/>
    </row>
    <row r="72" spans="1:17" ht="16.5">
      <c r="A72" s="2080"/>
      <c r="B72" s="2081"/>
      <c r="C72" s="2081"/>
      <c r="D72" s="2082"/>
      <c r="E72" s="2083"/>
      <c r="F72" s="2083"/>
      <c r="G72" s="2083"/>
      <c r="H72" s="2083"/>
      <c r="I72" s="2369" t="s">
        <v>3470</v>
      </c>
      <c r="J72" s="2369"/>
      <c r="K72" s="2369"/>
      <c r="L72" s="2369"/>
      <c r="M72" s="2369"/>
      <c r="N72" s="2369"/>
      <c r="O72" s="2369"/>
      <c r="P72" s="1973"/>
      <c r="Q72" s="1973"/>
    </row>
    <row r="73" spans="1:17" ht="16.5">
      <c r="A73" s="2370" t="s">
        <v>3340</v>
      </c>
      <c r="B73" s="2370"/>
      <c r="C73" s="2084"/>
      <c r="D73" s="2371" t="s">
        <v>2478</v>
      </c>
      <c r="E73" s="2371"/>
      <c r="F73" s="2371"/>
      <c r="G73" s="2371"/>
      <c r="H73" s="2371"/>
      <c r="I73" s="2371" t="s">
        <v>2479</v>
      </c>
      <c r="J73" s="2371"/>
      <c r="K73" s="2371"/>
      <c r="L73" s="2371"/>
      <c r="M73" s="2371"/>
      <c r="N73" s="2371"/>
      <c r="O73" s="2371"/>
      <c r="P73" s="2005"/>
      <c r="Q73" s="1973"/>
    </row>
    <row r="74" spans="1:17" ht="16.5">
      <c r="A74" s="1935"/>
      <c r="B74" s="1934"/>
      <c r="C74" s="1934"/>
      <c r="D74" s="2085"/>
      <c r="E74" s="1929"/>
      <c r="F74" s="1929"/>
      <c r="G74" s="1929"/>
      <c r="H74" s="1929"/>
      <c r="I74" s="1929"/>
      <c r="J74" s="2086"/>
      <c r="K74" s="2086"/>
      <c r="L74" s="2086"/>
      <c r="M74" s="2087"/>
      <c r="N74" s="2088"/>
      <c r="O74" s="2081"/>
      <c r="P74" s="1973"/>
      <c r="Q74" s="2005"/>
    </row>
    <row r="75" spans="1:17" ht="16.5">
      <c r="A75" s="1935"/>
      <c r="B75" s="1934"/>
      <c r="C75" s="1934"/>
      <c r="D75" s="2085"/>
      <c r="E75" s="1929"/>
      <c r="F75" s="1929"/>
      <c r="G75" s="1929"/>
      <c r="H75" s="1929"/>
      <c r="I75" s="1929"/>
      <c r="J75" s="1929"/>
      <c r="K75" s="1929"/>
      <c r="L75" s="1929"/>
      <c r="M75" s="2087"/>
      <c r="N75" s="2088"/>
      <c r="O75" s="2081"/>
      <c r="P75" s="1973"/>
      <c r="Q75" s="2005"/>
    </row>
    <row r="76" spans="1:17" ht="16.5" hidden="1">
      <c r="A76" s="1935"/>
      <c r="B76" s="1934"/>
      <c r="C76" s="1934"/>
      <c r="D76" s="2085"/>
      <c r="E76" s="1929"/>
      <c r="F76" s="1929"/>
      <c r="G76" s="1929"/>
      <c r="H76" s="1929"/>
      <c r="I76" s="1929"/>
      <c r="J76" s="1929"/>
      <c r="K76" s="1929"/>
      <c r="L76" s="1929"/>
      <c r="M76" s="2087"/>
      <c r="N76" s="2088"/>
      <c r="O76" s="2081"/>
      <c r="P76" s="1973"/>
      <c r="Q76" s="1973"/>
    </row>
    <row r="77" spans="1:17" ht="16.5" hidden="1">
      <c r="A77" s="1935"/>
      <c r="B77" s="1934"/>
      <c r="C77" s="1934"/>
      <c r="D77" s="2085"/>
      <c r="E77" s="1929"/>
      <c r="F77" s="1929"/>
      <c r="G77" s="1929"/>
      <c r="H77" s="1929"/>
      <c r="I77" s="1929"/>
      <c r="J77" s="1929"/>
      <c r="K77" s="1929"/>
      <c r="L77" s="1929"/>
      <c r="M77" s="2087"/>
      <c r="N77" s="2088"/>
      <c r="O77" s="2081"/>
      <c r="P77" s="1973"/>
      <c r="Q77" s="1973"/>
    </row>
    <row r="78" spans="1:17" ht="16.5">
      <c r="A78" s="1935"/>
      <c r="B78" s="2084"/>
      <c r="C78" s="1934"/>
      <c r="D78" s="2089"/>
      <c r="E78" s="2090"/>
      <c r="F78" s="2090"/>
      <c r="G78" s="2090"/>
      <c r="H78" s="2090"/>
      <c r="I78" s="2090"/>
      <c r="J78" s="2090"/>
      <c r="K78" s="2090"/>
      <c r="L78" s="2090"/>
      <c r="M78" s="2087"/>
      <c r="N78" s="2088"/>
      <c r="O78" s="2091"/>
      <c r="P78" s="1973"/>
      <c r="Q78" s="1973"/>
    </row>
    <row r="79" spans="1:17" ht="16.5">
      <c r="A79" s="1935"/>
      <c r="B79" s="2092"/>
      <c r="C79" s="1934"/>
      <c r="D79" s="2085"/>
      <c r="E79" s="1929"/>
      <c r="F79" s="1929"/>
      <c r="G79" s="1929"/>
      <c r="H79" s="1929"/>
      <c r="I79" s="1929"/>
      <c r="J79" s="1929"/>
      <c r="K79" s="1929"/>
      <c r="L79" s="1929"/>
      <c r="M79" s="2087"/>
      <c r="N79" s="2088"/>
      <c r="O79" s="2093"/>
      <c r="P79" s="1973"/>
      <c r="Q79" s="1973"/>
    </row>
    <row r="80" spans="1:17" ht="16.5">
      <c r="A80" s="2362" t="s">
        <v>2483</v>
      </c>
      <c r="B80" s="2362"/>
      <c r="C80" s="2362"/>
      <c r="D80" s="2362"/>
      <c r="E80" s="2362"/>
      <c r="F80" s="2362"/>
      <c r="G80" s="2362"/>
      <c r="H80" s="2362"/>
      <c r="I80" s="2362"/>
      <c r="J80" s="2362"/>
      <c r="K80" s="2362"/>
      <c r="L80" s="2362"/>
      <c r="M80" s="2362"/>
      <c r="N80" s="2362"/>
      <c r="O80" s="2362"/>
      <c r="P80" s="1973"/>
      <c r="Q80" s="1973"/>
    </row>
    <row r="81" spans="1:17" ht="16.5">
      <c r="A81" s="1935"/>
      <c r="B81" s="2084"/>
      <c r="C81" s="1936"/>
      <c r="D81" s="2089"/>
      <c r="E81" s="1929"/>
      <c r="F81" s="2094"/>
      <c r="G81" s="1929"/>
      <c r="H81" s="2094"/>
      <c r="I81" s="2095"/>
      <c r="J81" s="2095"/>
      <c r="K81" s="2095"/>
      <c r="L81" s="2095"/>
      <c r="M81" s="2087"/>
      <c r="N81" s="1940"/>
      <c r="O81" s="2096"/>
      <c r="P81" s="1973"/>
      <c r="Q81" s="1973"/>
    </row>
    <row r="82" spans="1:17" ht="16.5">
      <c r="A82" s="2363" t="s">
        <v>3471</v>
      </c>
      <c r="B82" s="2363"/>
      <c r="C82" s="2364" t="s">
        <v>2485</v>
      </c>
      <c r="D82" s="2364"/>
      <c r="E82" s="2364"/>
      <c r="F82" s="2097"/>
      <c r="G82" s="2086" t="s">
        <v>2486</v>
      </c>
      <c r="H82" s="2086"/>
      <c r="I82" s="2086"/>
      <c r="J82" s="2365" t="s">
        <v>2487</v>
      </c>
      <c r="K82" s="2365"/>
      <c r="L82" s="2365"/>
      <c r="M82" s="2366" t="s">
        <v>2488</v>
      </c>
      <c r="N82" s="2366"/>
      <c r="O82" s="2366"/>
    </row>
    <row r="83" spans="1:17" ht="16.5">
      <c r="A83" s="2098"/>
      <c r="B83" s="2099"/>
      <c r="C83" s="2100"/>
      <c r="D83" s="2101"/>
      <c r="E83" s="2102"/>
      <c r="F83" s="2102"/>
      <c r="G83" s="2102"/>
      <c r="H83" s="2102"/>
      <c r="I83" s="2102"/>
      <c r="J83" s="2102"/>
      <c r="K83" s="2102"/>
      <c r="L83" s="2102"/>
      <c r="M83" s="2103"/>
      <c r="N83" s="2104"/>
      <c r="O83" s="2099"/>
    </row>
    <row r="84" spans="1:17" ht="16.5">
      <c r="A84" s="2098"/>
      <c r="B84" s="2099"/>
      <c r="C84" s="2100"/>
      <c r="D84" s="2101"/>
      <c r="E84" s="2102"/>
      <c r="F84" s="2102"/>
      <c r="G84" s="2102"/>
      <c r="H84" s="2102"/>
      <c r="I84" s="2102"/>
      <c r="J84" s="2102"/>
      <c r="K84" s="2102"/>
      <c r="L84" s="2102"/>
      <c r="M84" s="2103"/>
      <c r="N84" s="2104"/>
      <c r="O84" s="2099"/>
    </row>
    <row r="85" spans="1:17" ht="16.5">
      <c r="A85" s="2098"/>
      <c r="B85" s="2099"/>
      <c r="C85" s="2100"/>
      <c r="D85" s="2101"/>
      <c r="E85" s="2102"/>
      <c r="F85" s="2102"/>
      <c r="G85" s="2102"/>
      <c r="H85" s="2102"/>
      <c r="I85" s="2102"/>
      <c r="J85" s="2102"/>
      <c r="K85" s="2102"/>
      <c r="L85" s="2102"/>
      <c r="M85" s="2103"/>
      <c r="N85" s="2104"/>
      <c r="O85" s="2099"/>
    </row>
    <row r="86" spans="1:17" ht="16.5">
      <c r="A86" s="2098"/>
      <c r="B86" s="2099"/>
      <c r="C86" s="2100"/>
      <c r="D86" s="2101"/>
      <c r="E86" s="2102"/>
      <c r="F86" s="2102"/>
      <c r="G86" s="2102"/>
      <c r="H86" s="2102"/>
      <c r="I86" s="2102"/>
      <c r="J86" s="2102"/>
      <c r="K86" s="2102"/>
      <c r="L86" s="2102"/>
      <c r="M86" s="2103"/>
      <c r="N86" s="2104"/>
      <c r="O86" s="2099"/>
    </row>
    <row r="87" spans="1:17" ht="16.5">
      <c r="A87" s="2098"/>
      <c r="B87" s="2099"/>
      <c r="C87" s="2100"/>
      <c r="D87" s="2101"/>
      <c r="E87" s="2102"/>
      <c r="F87" s="2102"/>
      <c r="G87" s="2102"/>
      <c r="H87" s="2102"/>
      <c r="I87" s="2102"/>
      <c r="J87" s="2102"/>
      <c r="K87" s="2102"/>
      <c r="L87" s="2102"/>
      <c r="M87" s="2103"/>
      <c r="N87" s="2104"/>
      <c r="O87" s="2099"/>
    </row>
    <row r="88" spans="1:17" ht="16.5">
      <c r="A88" s="2098"/>
      <c r="B88" s="2099"/>
      <c r="C88" s="2100"/>
      <c r="D88" s="2101"/>
      <c r="E88" s="2102"/>
      <c r="F88" s="2102"/>
      <c r="G88" s="2102"/>
      <c r="H88" s="2102"/>
      <c r="I88" s="2102"/>
      <c r="J88" s="2102"/>
      <c r="K88" s="2102"/>
      <c r="L88" s="2102"/>
      <c r="M88" s="2103"/>
      <c r="N88" s="2104"/>
      <c r="O88" s="2099"/>
    </row>
    <row r="89" spans="1:17" ht="16.5">
      <c r="A89" s="2098"/>
      <c r="B89" s="2099"/>
      <c r="C89" s="2100"/>
      <c r="D89" s="2101"/>
      <c r="E89" s="2102"/>
      <c r="F89" s="2102"/>
      <c r="G89" s="2102"/>
      <c r="H89" s="2102"/>
      <c r="I89" s="2102"/>
      <c r="J89" s="2102"/>
      <c r="K89" s="2102"/>
      <c r="L89" s="2102"/>
      <c r="M89" s="2103"/>
      <c r="N89" s="2104"/>
      <c r="O89" s="2099"/>
    </row>
    <row r="90" spans="1:17" ht="16.5">
      <c r="A90" s="2098"/>
      <c r="B90" s="2099"/>
      <c r="C90" s="2100"/>
      <c r="D90" s="2101"/>
      <c r="E90" s="2102"/>
      <c r="F90" s="2102"/>
      <c r="G90" s="2102"/>
      <c r="H90" s="2102"/>
      <c r="I90" s="2102"/>
      <c r="J90" s="2102"/>
      <c r="K90" s="2102"/>
      <c r="L90" s="2102"/>
      <c r="M90" s="2103"/>
      <c r="N90" s="2104"/>
      <c r="O90" s="2099"/>
    </row>
    <row r="96" spans="1:17" ht="16.5">
      <c r="A96" s="2105"/>
      <c r="B96" s="1973"/>
      <c r="C96" s="2005"/>
      <c r="D96" s="2005"/>
      <c r="E96" s="2005"/>
      <c r="F96" s="2005"/>
      <c r="G96" s="2005"/>
      <c r="H96" s="2005"/>
      <c r="I96" s="2005"/>
      <c r="J96" s="2005"/>
      <c r="K96" s="2005"/>
      <c r="L96" s="2005"/>
      <c r="M96" s="2106"/>
      <c r="N96" s="2107"/>
      <c r="O96" s="1973"/>
    </row>
    <row r="97" spans="1:15" ht="16.5">
      <c r="A97" s="2105"/>
      <c r="B97" s="1973"/>
      <c r="C97" s="2005"/>
      <c r="D97" s="2005"/>
      <c r="E97" s="2005"/>
      <c r="F97" s="2005"/>
      <c r="G97" s="2005"/>
      <c r="H97" s="2005"/>
      <c r="I97" s="2005"/>
      <c r="J97" s="2005"/>
      <c r="K97" s="2005"/>
      <c r="L97" s="2005"/>
      <c r="M97" s="2106"/>
      <c r="N97" s="2107"/>
      <c r="O97" s="1973"/>
    </row>
    <row r="98" spans="1:15" ht="16.5">
      <c r="A98" s="2105"/>
      <c r="B98" s="1973"/>
      <c r="C98" s="2005"/>
      <c r="D98" s="2005"/>
      <c r="E98" s="2005"/>
      <c r="F98" s="2005"/>
      <c r="G98" s="2005"/>
      <c r="H98" s="2005"/>
      <c r="I98" s="2005"/>
      <c r="J98" s="2005"/>
      <c r="K98" s="2005"/>
      <c r="L98" s="2005"/>
      <c r="M98" s="2106"/>
    </row>
    <row r="99" spans="1:15" ht="16.5">
      <c r="A99" s="2105"/>
      <c r="B99" s="1973"/>
      <c r="C99" s="2005"/>
      <c r="D99" s="2005"/>
      <c r="E99" s="2005"/>
      <c r="F99" s="2005"/>
      <c r="G99" s="2005"/>
      <c r="H99" s="2005"/>
      <c r="I99" s="2005"/>
      <c r="J99" s="2005"/>
      <c r="K99" s="2005"/>
      <c r="L99" s="2005"/>
      <c r="M99" s="2106"/>
    </row>
    <row r="100" spans="1:15" ht="16.5">
      <c r="A100" s="2105"/>
      <c r="B100" s="1973"/>
      <c r="C100" s="2005"/>
      <c r="D100" s="2005"/>
      <c r="E100" s="2005"/>
      <c r="F100" s="2005"/>
      <c r="G100" s="2005"/>
      <c r="H100" s="2005"/>
      <c r="I100" s="2005"/>
      <c r="J100" s="2005"/>
      <c r="K100" s="2005"/>
      <c r="L100" s="2005"/>
      <c r="M100" s="2106"/>
    </row>
    <row r="101" spans="1:15" ht="16.5">
      <c r="A101" s="2105"/>
      <c r="B101" s="1973"/>
      <c r="C101" s="2005"/>
      <c r="D101" s="2005"/>
      <c r="E101" s="2005"/>
      <c r="F101" s="2005"/>
      <c r="G101" s="2005"/>
      <c r="H101" s="2005"/>
      <c r="I101" s="2005"/>
      <c r="J101" s="2005"/>
      <c r="K101" s="2005"/>
      <c r="L101" s="2005"/>
      <c r="M101" s="2106"/>
    </row>
    <row r="102" spans="1:15" ht="16.5">
      <c r="A102" s="2105"/>
      <c r="B102" s="1973"/>
      <c r="C102" s="2005"/>
      <c r="D102" s="2005"/>
      <c r="E102" s="2005"/>
      <c r="F102" s="2005"/>
      <c r="G102" s="2005"/>
      <c r="H102" s="2005"/>
      <c r="I102" s="2005"/>
      <c r="J102" s="2005"/>
      <c r="K102" s="2005"/>
      <c r="L102" s="2005"/>
      <c r="M102" s="2106"/>
    </row>
    <row r="103" spans="1:15" ht="16.5">
      <c r="A103" s="2105"/>
      <c r="B103" s="1973"/>
      <c r="C103" s="2005"/>
      <c r="D103" s="2005"/>
      <c r="E103" s="2005"/>
      <c r="F103" s="2005"/>
      <c r="G103" s="2005"/>
      <c r="H103" s="2005"/>
      <c r="I103" s="2005"/>
      <c r="J103" s="2005"/>
      <c r="K103" s="2005"/>
      <c r="L103" s="2005"/>
      <c r="M103" s="2106"/>
    </row>
    <row r="104" spans="1:15" ht="16.5">
      <c r="A104" s="2105"/>
      <c r="B104" s="1973"/>
      <c r="C104" s="2005"/>
      <c r="D104" s="2005"/>
      <c r="E104" s="2005"/>
      <c r="F104" s="2005"/>
      <c r="G104" s="2005"/>
      <c r="H104" s="2005"/>
      <c r="I104" s="2005"/>
      <c r="J104" s="2005"/>
      <c r="K104" s="2005"/>
      <c r="L104" s="2005"/>
      <c r="M104" s="2106"/>
    </row>
    <row r="105" spans="1:15" ht="16.5">
      <c r="A105" s="2105"/>
      <c r="B105" s="1973"/>
      <c r="C105" s="2005"/>
      <c r="D105" s="2005"/>
      <c r="E105" s="2005"/>
      <c r="F105" s="2005"/>
      <c r="G105" s="2005"/>
      <c r="H105" s="2005"/>
      <c r="I105" s="2005"/>
      <c r="J105" s="2005"/>
      <c r="K105" s="2005"/>
      <c r="L105" s="2005"/>
      <c r="M105" s="2106"/>
    </row>
  </sheetData>
  <mergeCells count="25">
    <mergeCell ref="A7:O7"/>
    <mergeCell ref="A1:O1"/>
    <mergeCell ref="A2:O2"/>
    <mergeCell ref="A3:O3"/>
    <mergeCell ref="A4:D4"/>
    <mergeCell ref="A5:D5"/>
    <mergeCell ref="A8:O8"/>
    <mergeCell ref="A10:A11"/>
    <mergeCell ref="B10:B11"/>
    <mergeCell ref="C10:C11"/>
    <mergeCell ref="D10:D11"/>
    <mergeCell ref="E10:L10"/>
    <mergeCell ref="M10:M11"/>
    <mergeCell ref="O10:O11"/>
    <mergeCell ref="E67:M67"/>
    <mergeCell ref="A71:B71"/>
    <mergeCell ref="I72:O72"/>
    <mergeCell ref="A73:B73"/>
    <mergeCell ref="D73:H73"/>
    <mergeCell ref="I73:O73"/>
    <mergeCell ref="A80:O80"/>
    <mergeCell ref="A82:B82"/>
    <mergeCell ref="C82:E82"/>
    <mergeCell ref="J82:L82"/>
    <mergeCell ref="M82:O82"/>
  </mergeCells>
  <pageMargins left="0.19685039370078741" right="0.19685039370078741" top="0.47244094488188981" bottom="0.35433070866141736" header="0.31496062992125984" footer="0.31496062992125984"/>
  <pageSetup paperSize="9" scale="80" fitToHeight="0" orientation="landscape" r:id="rId1"/>
  <rowBreaks count="2" manualBreakCount="2">
    <brk id="30" max="15" man="1"/>
    <brk id="56" max="14" man="1"/>
  </row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O34"/>
  <sheetViews>
    <sheetView view="pageBreakPreview" topLeftCell="A6" zoomScaleNormal="100" zoomScaleSheetLayoutView="100" workbookViewId="0">
      <selection activeCell="C14" sqref="C14"/>
    </sheetView>
  </sheetViews>
  <sheetFormatPr defaultRowHeight="16.5"/>
  <cols>
    <col min="1" max="1" width="6.7109375" style="1902" customWidth="1"/>
    <col min="2" max="2" width="22.5703125" style="1927" customWidth="1"/>
    <col min="3" max="3" width="9.85546875" style="1927" customWidth="1"/>
    <col min="4" max="4" width="16.140625" style="1927" customWidth="1"/>
    <col min="5" max="5" width="16.85546875" style="1927" customWidth="1"/>
    <col min="6" max="6" width="13.7109375" style="1927" customWidth="1"/>
    <col min="7" max="7" width="11.85546875" style="1927" customWidth="1"/>
    <col min="8" max="16384" width="9.140625" style="1902"/>
  </cols>
  <sheetData>
    <row r="1" spans="1:15">
      <c r="B1" s="2392" t="s">
        <v>617</v>
      </c>
      <c r="C1" s="2392"/>
      <c r="D1" s="2392"/>
      <c r="E1" s="2392"/>
      <c r="F1" s="2392"/>
      <c r="G1" s="2392"/>
      <c r="H1" s="1809"/>
      <c r="I1" s="1809"/>
      <c r="J1" s="1809"/>
      <c r="K1" s="1809"/>
      <c r="L1" s="1809"/>
      <c r="M1" s="1809"/>
      <c r="N1" s="1809"/>
      <c r="O1" s="1809"/>
    </row>
    <row r="2" spans="1:15">
      <c r="B2" s="2392" t="s">
        <v>2861</v>
      </c>
      <c r="C2" s="2392"/>
      <c r="D2" s="2392"/>
      <c r="E2" s="2392"/>
      <c r="F2" s="2392"/>
      <c r="G2" s="2392"/>
      <c r="H2" s="1809"/>
      <c r="I2" s="1809"/>
      <c r="J2" s="1809"/>
      <c r="K2" s="1809"/>
      <c r="L2" s="1809"/>
      <c r="M2" s="1809"/>
      <c r="N2" s="1809"/>
      <c r="O2" s="1809"/>
    </row>
    <row r="3" spans="1:15">
      <c r="B3" s="2393" t="s">
        <v>619</v>
      </c>
      <c r="C3" s="2393"/>
      <c r="D3" s="2393"/>
      <c r="E3" s="2393"/>
      <c r="F3" s="2393"/>
      <c r="G3" s="2393"/>
      <c r="H3" s="1809"/>
      <c r="I3" s="1809"/>
      <c r="J3" s="1809"/>
      <c r="K3" s="1809"/>
      <c r="L3" s="1809"/>
      <c r="M3" s="1809"/>
      <c r="N3" s="1809"/>
      <c r="O3" s="1809"/>
    </row>
    <row r="4" spans="1:15" ht="15.75">
      <c r="B4" s="1903" t="s">
        <v>3</v>
      </c>
      <c r="C4" s="1903"/>
      <c r="D4" s="1903"/>
      <c r="E4" s="1903"/>
      <c r="F4" s="1903"/>
      <c r="G4" s="1903"/>
      <c r="H4" s="1903"/>
      <c r="I4" s="1904"/>
      <c r="J4" s="1905"/>
      <c r="K4" s="1906"/>
      <c r="L4" s="1904"/>
      <c r="M4" s="1907"/>
      <c r="N4" s="1908"/>
      <c r="O4" s="1909"/>
    </row>
    <row r="5" spans="1:15" ht="15.75">
      <c r="B5" s="2394" t="s">
        <v>3172</v>
      </c>
      <c r="C5" s="2394"/>
      <c r="D5" s="2394"/>
      <c r="E5" s="1910"/>
      <c r="F5" s="1910"/>
      <c r="G5" s="1910"/>
      <c r="H5" s="1910"/>
      <c r="I5" s="1904"/>
      <c r="J5" s="1904"/>
      <c r="K5" s="1911"/>
      <c r="L5" s="1904"/>
      <c r="M5" s="1907"/>
      <c r="N5" s="1908"/>
      <c r="O5" s="1909"/>
    </row>
    <row r="6" spans="1:15" ht="15">
      <c r="B6" s="1902"/>
      <c r="C6" s="1902"/>
      <c r="D6" s="1902"/>
      <c r="E6" s="1902"/>
      <c r="F6" s="1902"/>
      <c r="G6" s="1902"/>
    </row>
    <row r="7" spans="1:15" ht="37.5" customHeight="1">
      <c r="B7" s="2395" t="s">
        <v>3412</v>
      </c>
      <c r="C7" s="2395"/>
      <c r="D7" s="2395"/>
      <c r="E7" s="2395"/>
      <c r="F7" s="2395"/>
      <c r="G7" s="2395"/>
      <c r="H7" s="2395"/>
    </row>
    <row r="8" spans="1:15" ht="15">
      <c r="B8" s="1902"/>
      <c r="C8" s="1902"/>
      <c r="D8" s="1902"/>
      <c r="E8" s="1902"/>
      <c r="F8" s="1902"/>
      <c r="G8" s="1902"/>
    </row>
    <row r="9" spans="1:15" ht="28.5">
      <c r="A9" s="1912" t="s">
        <v>6</v>
      </c>
      <c r="B9" s="1913" t="s">
        <v>356</v>
      </c>
      <c r="C9" s="1913" t="s">
        <v>3413</v>
      </c>
      <c r="D9" s="1914" t="s">
        <v>3414</v>
      </c>
      <c r="E9" s="1914" t="s">
        <v>3415</v>
      </c>
      <c r="F9" s="1913" t="s">
        <v>2715</v>
      </c>
      <c r="G9" s="1913" t="s">
        <v>12</v>
      </c>
    </row>
    <row r="10" spans="1:15" ht="21.95" customHeight="1">
      <c r="A10" s="1915">
        <v>1</v>
      </c>
      <c r="B10" s="1916" t="s">
        <v>3324</v>
      </c>
      <c r="C10" s="1917">
        <f>+VLOOKUP(B10,'[4]CHẤM CÔNG XĂNG'!$C$12:$AM$17,37,0)</f>
        <v>15</v>
      </c>
      <c r="D10" s="1918">
        <v>20000</v>
      </c>
      <c r="E10" s="1918">
        <f t="shared" ref="E10:E15" si="0">+C10*D10</f>
        <v>300000</v>
      </c>
      <c r="F10" s="1916"/>
      <c r="G10" s="1916"/>
    </row>
    <row r="11" spans="1:15" ht="21.95" customHeight="1">
      <c r="A11" s="1915">
        <v>2</v>
      </c>
      <c r="B11" s="1916" t="s">
        <v>3383</v>
      </c>
      <c r="C11" s="1917">
        <f>+VLOOKUP(B11,'[4]CHẤM CÔNG XĂNG'!$C$12:$AM$17,37,0)</f>
        <v>7</v>
      </c>
      <c r="D11" s="1918">
        <v>20000</v>
      </c>
      <c r="E11" s="1918">
        <f t="shared" si="0"/>
        <v>140000</v>
      </c>
      <c r="F11" s="1916"/>
      <c r="G11" s="1916"/>
    </row>
    <row r="12" spans="1:15" ht="21.95" customHeight="1">
      <c r="A12" s="1915">
        <v>3</v>
      </c>
      <c r="B12" s="1916" t="s">
        <v>3384</v>
      </c>
      <c r="C12" s="1917">
        <f>+VLOOKUP(B12,'[4]CHẤM CÔNG XĂNG'!$C$12:$AM$17,37,0)</f>
        <v>15</v>
      </c>
      <c r="D12" s="1918">
        <v>20000</v>
      </c>
      <c r="E12" s="1918">
        <f t="shared" si="0"/>
        <v>300000</v>
      </c>
      <c r="F12" s="1916"/>
      <c r="G12" s="1916"/>
    </row>
    <row r="13" spans="1:15" ht="21.95" customHeight="1">
      <c r="A13" s="1915">
        <v>4</v>
      </c>
      <c r="B13" s="1916" t="s">
        <v>3369</v>
      </c>
      <c r="C13" s="1917">
        <f>+VLOOKUP(B13,'[4]CHẤM CÔNG XĂNG'!$C$12:$AM$17,37,0)</f>
        <v>15</v>
      </c>
      <c r="D13" s="1918">
        <v>20000</v>
      </c>
      <c r="E13" s="1918">
        <f t="shared" si="0"/>
        <v>300000</v>
      </c>
      <c r="F13" s="1916"/>
      <c r="G13" s="1916"/>
    </row>
    <row r="14" spans="1:15" ht="21.95" customHeight="1">
      <c r="A14" s="1915">
        <v>5</v>
      </c>
      <c r="B14" s="1916" t="s">
        <v>3386</v>
      </c>
      <c r="C14" s="1917">
        <f>+VLOOKUP(B14,'[4]CHẤM CÔNG XĂNG'!$C$12:$AM$17,37,0)</f>
        <v>15</v>
      </c>
      <c r="D14" s="1918">
        <v>20000</v>
      </c>
      <c r="E14" s="1918">
        <f t="shared" si="0"/>
        <v>300000</v>
      </c>
      <c r="F14" s="1916"/>
      <c r="G14" s="1916"/>
    </row>
    <row r="15" spans="1:15" ht="21.95" customHeight="1">
      <c r="A15" s="1915">
        <v>6</v>
      </c>
      <c r="B15" s="1916" t="s">
        <v>3388</v>
      </c>
      <c r="C15" s="1917">
        <f>+VLOOKUP(B15,'[4]CHẤM CÔNG XĂNG'!$C$12:$AM$17,37,0)</f>
        <v>15</v>
      </c>
      <c r="D15" s="1918">
        <v>20000</v>
      </c>
      <c r="E15" s="1918">
        <f t="shared" si="0"/>
        <v>300000</v>
      </c>
      <c r="F15" s="1916"/>
      <c r="G15" s="1916"/>
    </row>
    <row r="16" spans="1:15" ht="21.95" customHeight="1">
      <c r="A16" s="2390" t="s">
        <v>3416</v>
      </c>
      <c r="B16" s="2391"/>
      <c r="C16" s="1919">
        <f>SUM(C10:C15)</f>
        <v>82</v>
      </c>
      <c r="D16" s="1920"/>
      <c r="E16" s="1921">
        <f>SUM(E10:E15)</f>
        <v>1640000</v>
      </c>
      <c r="F16" s="1920"/>
      <c r="G16" s="1920"/>
    </row>
    <row r="17" spans="1:7" ht="21.95" customHeight="1">
      <c r="A17" s="2384" t="s">
        <v>3417</v>
      </c>
      <c r="B17" s="2385"/>
      <c r="C17" s="2385"/>
      <c r="D17" s="2385"/>
      <c r="E17" s="2385"/>
      <c r="F17" s="2385"/>
      <c r="G17" s="2386"/>
    </row>
    <row r="18" spans="1:7">
      <c r="B18" s="1922"/>
      <c r="C18" s="1922"/>
      <c r="D18" s="2387" t="s">
        <v>3418</v>
      </c>
      <c r="E18" s="2387"/>
      <c r="F18" s="2387"/>
      <c r="G18" s="2387"/>
    </row>
    <row r="19" spans="1:7">
      <c r="A19" s="2388" t="s">
        <v>2737</v>
      </c>
      <c r="B19" s="2388"/>
      <c r="C19" s="2388" t="s">
        <v>2478</v>
      </c>
      <c r="D19" s="2388"/>
      <c r="E19" s="1923"/>
      <c r="F19" s="1923" t="s">
        <v>612</v>
      </c>
      <c r="G19" s="1923"/>
    </row>
    <row r="20" spans="1:7">
      <c r="B20" s="1924"/>
      <c r="C20" s="1923"/>
      <c r="D20" s="1923"/>
      <c r="E20" s="1923"/>
      <c r="F20" s="1925"/>
      <c r="G20" s="1925"/>
    </row>
    <row r="21" spans="1:7">
      <c r="B21" s="1924"/>
      <c r="C21" s="1923"/>
      <c r="D21" s="1923"/>
      <c r="E21" s="1923"/>
      <c r="F21" s="1925"/>
      <c r="G21" s="1925"/>
    </row>
    <row r="22" spans="1:7">
      <c r="B22" s="1924"/>
      <c r="C22" s="1923"/>
      <c r="D22" s="1923"/>
      <c r="E22" s="1923"/>
      <c r="F22" s="1925"/>
      <c r="G22" s="1925"/>
    </row>
    <row r="23" spans="1:7">
      <c r="B23" s="1924"/>
      <c r="C23" s="1923"/>
      <c r="D23" s="1923"/>
      <c r="E23" s="1923"/>
      <c r="F23" s="1925"/>
      <c r="G23" s="1925"/>
    </row>
    <row r="24" spans="1:7">
      <c r="B24" s="1924"/>
      <c r="C24" s="1923"/>
      <c r="D24" s="1923"/>
      <c r="E24" s="1923"/>
      <c r="F24" s="1925"/>
      <c r="G24" s="1925"/>
    </row>
    <row r="25" spans="1:7">
      <c r="B25" s="1926"/>
      <c r="C25" s="1926"/>
      <c r="D25" s="1926"/>
      <c r="E25" s="1923"/>
      <c r="F25" s="1923"/>
      <c r="G25" s="1923"/>
    </row>
    <row r="26" spans="1:7">
      <c r="B26" s="1926"/>
      <c r="C26" s="1926"/>
      <c r="D26" s="2389"/>
      <c r="E26" s="2389"/>
      <c r="F26" s="2389"/>
      <c r="G26" s="2389"/>
    </row>
    <row r="27" spans="1:7">
      <c r="A27" s="2388" t="s">
        <v>1921</v>
      </c>
      <c r="B27" s="2388"/>
      <c r="C27" s="2388"/>
      <c r="D27" s="2389" t="s">
        <v>3419</v>
      </c>
      <c r="E27" s="2389"/>
      <c r="F27" s="2389"/>
      <c r="G27" s="2389"/>
    </row>
    <row r="34" spans="2:7">
      <c r="B34" s="1902"/>
      <c r="C34" s="1902"/>
      <c r="D34" s="2383"/>
      <c r="E34" s="2383"/>
      <c r="F34" s="2383"/>
      <c r="G34" s="2383"/>
    </row>
  </sheetData>
  <mergeCells count="14">
    <mergeCell ref="A16:B16"/>
    <mergeCell ref="B1:G1"/>
    <mergeCell ref="B2:G2"/>
    <mergeCell ref="B3:G3"/>
    <mergeCell ref="B5:D5"/>
    <mergeCell ref="B7:H7"/>
    <mergeCell ref="D34:G34"/>
    <mergeCell ref="A17:G17"/>
    <mergeCell ref="D18:G18"/>
    <mergeCell ref="A19:B19"/>
    <mergeCell ref="C19:D19"/>
    <mergeCell ref="D26:G26"/>
    <mergeCell ref="A27:C27"/>
    <mergeCell ref="D27:G27"/>
  </mergeCells>
  <pageMargins left="0.36" right="0.21" top="0.74803149606299213" bottom="0.74803149606299213" header="0.31496062992125984" footer="0.31496062992125984"/>
  <pageSetup paperSize="9" orientation="portrait" r:id="rId1"/>
  <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92D050"/>
  </sheetPr>
  <dimension ref="A1:AT26"/>
  <sheetViews>
    <sheetView topLeftCell="A5" zoomScale="85" zoomScaleNormal="85" workbookViewId="0">
      <selection activeCell="Z15" sqref="Z15"/>
    </sheetView>
  </sheetViews>
  <sheetFormatPr defaultRowHeight="15"/>
  <cols>
    <col min="1" max="1" width="5.85546875" style="1863" customWidth="1"/>
    <col min="2" max="2" width="10.28515625" style="1863" hidden="1" customWidth="1"/>
    <col min="3" max="3" width="21.140625" style="1863" customWidth="1"/>
    <col min="4" max="4" width="17.7109375" style="1863" customWidth="1"/>
    <col min="5" max="8" width="4.140625" style="1863" customWidth="1"/>
    <col min="9" max="9" width="4.140625" style="1864" customWidth="1"/>
    <col min="10" max="35" width="4.140625" style="1863" customWidth="1"/>
    <col min="36" max="36" width="6.5703125" style="1863" hidden="1" customWidth="1"/>
    <col min="37" max="37" width="6.42578125" style="1863" hidden="1" customWidth="1"/>
    <col min="38" max="38" width="9.140625" style="1863" hidden="1" customWidth="1"/>
    <col min="39" max="39" width="6.7109375" style="1863" customWidth="1"/>
    <col min="40" max="40" width="10.42578125" style="1863" customWidth="1"/>
    <col min="41" max="47" width="9.140625" style="1863" customWidth="1"/>
    <col min="48" max="259" width="9.140625" style="1863"/>
    <col min="260" max="260" width="10.42578125" style="1863" customWidth="1"/>
    <col min="261" max="261" width="27.42578125" style="1863" customWidth="1"/>
    <col min="262" max="292" width="4.85546875" style="1863" customWidth="1"/>
    <col min="293" max="293" width="10.5703125" style="1863" customWidth="1"/>
    <col min="294" max="303" width="0" style="1863" hidden="1" customWidth="1"/>
    <col min="304" max="515" width="9.140625" style="1863"/>
    <col min="516" max="516" width="10.42578125" style="1863" customWidth="1"/>
    <col min="517" max="517" width="27.42578125" style="1863" customWidth="1"/>
    <col min="518" max="548" width="4.85546875" style="1863" customWidth="1"/>
    <col min="549" max="549" width="10.5703125" style="1863" customWidth="1"/>
    <col min="550" max="559" width="0" style="1863" hidden="1" customWidth="1"/>
    <col min="560" max="771" width="9.140625" style="1863"/>
    <col min="772" max="772" width="10.42578125" style="1863" customWidth="1"/>
    <col min="773" max="773" width="27.42578125" style="1863" customWidth="1"/>
    <col min="774" max="804" width="4.85546875" style="1863" customWidth="1"/>
    <col min="805" max="805" width="10.5703125" style="1863" customWidth="1"/>
    <col min="806" max="815" width="0" style="1863" hidden="1" customWidth="1"/>
    <col min="816" max="1027" width="9.140625" style="1863"/>
    <col min="1028" max="1028" width="10.42578125" style="1863" customWidth="1"/>
    <col min="1029" max="1029" width="27.42578125" style="1863" customWidth="1"/>
    <col min="1030" max="1060" width="4.85546875" style="1863" customWidth="1"/>
    <col min="1061" max="1061" width="10.5703125" style="1863" customWidth="1"/>
    <col min="1062" max="1071" width="0" style="1863" hidden="1" customWidth="1"/>
    <col min="1072" max="1283" width="9.140625" style="1863"/>
    <col min="1284" max="1284" width="10.42578125" style="1863" customWidth="1"/>
    <col min="1285" max="1285" width="27.42578125" style="1863" customWidth="1"/>
    <col min="1286" max="1316" width="4.85546875" style="1863" customWidth="1"/>
    <col min="1317" max="1317" width="10.5703125" style="1863" customWidth="1"/>
    <col min="1318" max="1327" width="0" style="1863" hidden="1" customWidth="1"/>
    <col min="1328" max="1539" width="9.140625" style="1863"/>
    <col min="1540" max="1540" width="10.42578125" style="1863" customWidth="1"/>
    <col min="1541" max="1541" width="27.42578125" style="1863" customWidth="1"/>
    <col min="1542" max="1572" width="4.85546875" style="1863" customWidth="1"/>
    <col min="1573" max="1573" width="10.5703125" style="1863" customWidth="1"/>
    <col min="1574" max="1583" width="0" style="1863" hidden="1" customWidth="1"/>
    <col min="1584" max="1795" width="9.140625" style="1863"/>
    <col min="1796" max="1796" width="10.42578125" style="1863" customWidth="1"/>
    <col min="1797" max="1797" width="27.42578125" style="1863" customWidth="1"/>
    <col min="1798" max="1828" width="4.85546875" style="1863" customWidth="1"/>
    <col min="1829" max="1829" width="10.5703125" style="1863" customWidth="1"/>
    <col min="1830" max="1839" width="0" style="1863" hidden="1" customWidth="1"/>
    <col min="1840" max="2051" width="9.140625" style="1863"/>
    <col min="2052" max="2052" width="10.42578125" style="1863" customWidth="1"/>
    <col min="2053" max="2053" width="27.42578125" style="1863" customWidth="1"/>
    <col min="2054" max="2084" width="4.85546875" style="1863" customWidth="1"/>
    <col min="2085" max="2085" width="10.5703125" style="1863" customWidth="1"/>
    <col min="2086" max="2095" width="0" style="1863" hidden="1" customWidth="1"/>
    <col min="2096" max="2307" width="9.140625" style="1863"/>
    <col min="2308" max="2308" width="10.42578125" style="1863" customWidth="1"/>
    <col min="2309" max="2309" width="27.42578125" style="1863" customWidth="1"/>
    <col min="2310" max="2340" width="4.85546875" style="1863" customWidth="1"/>
    <col min="2341" max="2341" width="10.5703125" style="1863" customWidth="1"/>
    <col min="2342" max="2351" width="0" style="1863" hidden="1" customWidth="1"/>
    <col min="2352" max="2563" width="9.140625" style="1863"/>
    <col min="2564" max="2564" width="10.42578125" style="1863" customWidth="1"/>
    <col min="2565" max="2565" width="27.42578125" style="1863" customWidth="1"/>
    <col min="2566" max="2596" width="4.85546875" style="1863" customWidth="1"/>
    <col min="2597" max="2597" width="10.5703125" style="1863" customWidth="1"/>
    <col min="2598" max="2607" width="0" style="1863" hidden="1" customWidth="1"/>
    <col min="2608" max="2819" width="9.140625" style="1863"/>
    <col min="2820" max="2820" width="10.42578125" style="1863" customWidth="1"/>
    <col min="2821" max="2821" width="27.42578125" style="1863" customWidth="1"/>
    <col min="2822" max="2852" width="4.85546875" style="1863" customWidth="1"/>
    <col min="2853" max="2853" width="10.5703125" style="1863" customWidth="1"/>
    <col min="2854" max="2863" width="0" style="1863" hidden="1" customWidth="1"/>
    <col min="2864" max="3075" width="9.140625" style="1863"/>
    <col min="3076" max="3076" width="10.42578125" style="1863" customWidth="1"/>
    <col min="3077" max="3077" width="27.42578125" style="1863" customWidth="1"/>
    <col min="3078" max="3108" width="4.85546875" style="1863" customWidth="1"/>
    <col min="3109" max="3109" width="10.5703125" style="1863" customWidth="1"/>
    <col min="3110" max="3119" width="0" style="1863" hidden="1" customWidth="1"/>
    <col min="3120" max="3331" width="9.140625" style="1863"/>
    <col min="3332" max="3332" width="10.42578125" style="1863" customWidth="1"/>
    <col min="3333" max="3333" width="27.42578125" style="1863" customWidth="1"/>
    <col min="3334" max="3364" width="4.85546875" style="1863" customWidth="1"/>
    <col min="3365" max="3365" width="10.5703125" style="1863" customWidth="1"/>
    <col min="3366" max="3375" width="0" style="1863" hidden="1" customWidth="1"/>
    <col min="3376" max="3587" width="9.140625" style="1863"/>
    <col min="3588" max="3588" width="10.42578125" style="1863" customWidth="1"/>
    <col min="3589" max="3589" width="27.42578125" style="1863" customWidth="1"/>
    <col min="3590" max="3620" width="4.85546875" style="1863" customWidth="1"/>
    <col min="3621" max="3621" width="10.5703125" style="1863" customWidth="1"/>
    <col min="3622" max="3631" width="0" style="1863" hidden="1" customWidth="1"/>
    <col min="3632" max="3843" width="9.140625" style="1863"/>
    <col min="3844" max="3844" width="10.42578125" style="1863" customWidth="1"/>
    <col min="3845" max="3845" width="27.42578125" style="1863" customWidth="1"/>
    <col min="3846" max="3876" width="4.85546875" style="1863" customWidth="1"/>
    <col min="3877" max="3877" width="10.5703125" style="1863" customWidth="1"/>
    <col min="3878" max="3887" width="0" style="1863" hidden="1" customWidth="1"/>
    <col min="3888" max="4099" width="9.140625" style="1863"/>
    <col min="4100" max="4100" width="10.42578125" style="1863" customWidth="1"/>
    <col min="4101" max="4101" width="27.42578125" style="1863" customWidth="1"/>
    <col min="4102" max="4132" width="4.85546875" style="1863" customWidth="1"/>
    <col min="4133" max="4133" width="10.5703125" style="1863" customWidth="1"/>
    <col min="4134" max="4143" width="0" style="1863" hidden="1" customWidth="1"/>
    <col min="4144" max="4355" width="9.140625" style="1863"/>
    <col min="4356" max="4356" width="10.42578125" style="1863" customWidth="1"/>
    <col min="4357" max="4357" width="27.42578125" style="1863" customWidth="1"/>
    <col min="4358" max="4388" width="4.85546875" style="1863" customWidth="1"/>
    <col min="4389" max="4389" width="10.5703125" style="1863" customWidth="1"/>
    <col min="4390" max="4399" width="0" style="1863" hidden="1" customWidth="1"/>
    <col min="4400" max="4611" width="9.140625" style="1863"/>
    <col min="4612" max="4612" width="10.42578125" style="1863" customWidth="1"/>
    <col min="4613" max="4613" width="27.42578125" style="1863" customWidth="1"/>
    <col min="4614" max="4644" width="4.85546875" style="1863" customWidth="1"/>
    <col min="4645" max="4645" width="10.5703125" style="1863" customWidth="1"/>
    <col min="4646" max="4655" width="0" style="1863" hidden="1" customWidth="1"/>
    <col min="4656" max="4867" width="9.140625" style="1863"/>
    <col min="4868" max="4868" width="10.42578125" style="1863" customWidth="1"/>
    <col min="4869" max="4869" width="27.42578125" style="1863" customWidth="1"/>
    <col min="4870" max="4900" width="4.85546875" style="1863" customWidth="1"/>
    <col min="4901" max="4901" width="10.5703125" style="1863" customWidth="1"/>
    <col min="4902" max="4911" width="0" style="1863" hidden="1" customWidth="1"/>
    <col min="4912" max="5123" width="9.140625" style="1863"/>
    <col min="5124" max="5124" width="10.42578125" style="1863" customWidth="1"/>
    <col min="5125" max="5125" width="27.42578125" style="1863" customWidth="1"/>
    <col min="5126" max="5156" width="4.85546875" style="1863" customWidth="1"/>
    <col min="5157" max="5157" width="10.5703125" style="1863" customWidth="1"/>
    <col min="5158" max="5167" width="0" style="1863" hidden="1" customWidth="1"/>
    <col min="5168" max="5379" width="9.140625" style="1863"/>
    <col min="5380" max="5380" width="10.42578125" style="1863" customWidth="1"/>
    <col min="5381" max="5381" width="27.42578125" style="1863" customWidth="1"/>
    <col min="5382" max="5412" width="4.85546875" style="1863" customWidth="1"/>
    <col min="5413" max="5413" width="10.5703125" style="1863" customWidth="1"/>
    <col min="5414" max="5423" width="0" style="1863" hidden="1" customWidth="1"/>
    <col min="5424" max="5635" width="9.140625" style="1863"/>
    <col min="5636" max="5636" width="10.42578125" style="1863" customWidth="1"/>
    <col min="5637" max="5637" width="27.42578125" style="1863" customWidth="1"/>
    <col min="5638" max="5668" width="4.85546875" style="1863" customWidth="1"/>
    <col min="5669" max="5669" width="10.5703125" style="1863" customWidth="1"/>
    <col min="5670" max="5679" width="0" style="1863" hidden="1" customWidth="1"/>
    <col min="5680" max="5891" width="9.140625" style="1863"/>
    <col min="5892" max="5892" width="10.42578125" style="1863" customWidth="1"/>
    <col min="5893" max="5893" width="27.42578125" style="1863" customWidth="1"/>
    <col min="5894" max="5924" width="4.85546875" style="1863" customWidth="1"/>
    <col min="5925" max="5925" width="10.5703125" style="1863" customWidth="1"/>
    <col min="5926" max="5935" width="0" style="1863" hidden="1" customWidth="1"/>
    <col min="5936" max="6147" width="9.140625" style="1863"/>
    <col min="6148" max="6148" width="10.42578125" style="1863" customWidth="1"/>
    <col min="6149" max="6149" width="27.42578125" style="1863" customWidth="1"/>
    <col min="6150" max="6180" width="4.85546875" style="1863" customWidth="1"/>
    <col min="6181" max="6181" width="10.5703125" style="1863" customWidth="1"/>
    <col min="6182" max="6191" width="0" style="1863" hidden="1" customWidth="1"/>
    <col min="6192" max="6403" width="9.140625" style="1863"/>
    <col min="6404" max="6404" width="10.42578125" style="1863" customWidth="1"/>
    <col min="6405" max="6405" width="27.42578125" style="1863" customWidth="1"/>
    <col min="6406" max="6436" width="4.85546875" style="1863" customWidth="1"/>
    <col min="6437" max="6437" width="10.5703125" style="1863" customWidth="1"/>
    <col min="6438" max="6447" width="0" style="1863" hidden="1" customWidth="1"/>
    <col min="6448" max="6659" width="9.140625" style="1863"/>
    <col min="6660" max="6660" width="10.42578125" style="1863" customWidth="1"/>
    <col min="6661" max="6661" width="27.42578125" style="1863" customWidth="1"/>
    <col min="6662" max="6692" width="4.85546875" style="1863" customWidth="1"/>
    <col min="6693" max="6693" width="10.5703125" style="1863" customWidth="1"/>
    <col min="6694" max="6703" width="0" style="1863" hidden="1" customWidth="1"/>
    <col min="6704" max="6915" width="9.140625" style="1863"/>
    <col min="6916" max="6916" width="10.42578125" style="1863" customWidth="1"/>
    <col min="6917" max="6917" width="27.42578125" style="1863" customWidth="1"/>
    <col min="6918" max="6948" width="4.85546875" style="1863" customWidth="1"/>
    <col min="6949" max="6949" width="10.5703125" style="1863" customWidth="1"/>
    <col min="6950" max="6959" width="0" style="1863" hidden="1" customWidth="1"/>
    <col min="6960" max="7171" width="9.140625" style="1863"/>
    <col min="7172" max="7172" width="10.42578125" style="1863" customWidth="1"/>
    <col min="7173" max="7173" width="27.42578125" style="1863" customWidth="1"/>
    <col min="7174" max="7204" width="4.85546875" style="1863" customWidth="1"/>
    <col min="7205" max="7205" width="10.5703125" style="1863" customWidth="1"/>
    <col min="7206" max="7215" width="0" style="1863" hidden="1" customWidth="1"/>
    <col min="7216" max="7427" width="9.140625" style="1863"/>
    <col min="7428" max="7428" width="10.42578125" style="1863" customWidth="1"/>
    <col min="7429" max="7429" width="27.42578125" style="1863" customWidth="1"/>
    <col min="7430" max="7460" width="4.85546875" style="1863" customWidth="1"/>
    <col min="7461" max="7461" width="10.5703125" style="1863" customWidth="1"/>
    <col min="7462" max="7471" width="0" style="1863" hidden="1" customWidth="1"/>
    <col min="7472" max="7683" width="9.140625" style="1863"/>
    <col min="7684" max="7684" width="10.42578125" style="1863" customWidth="1"/>
    <col min="7685" max="7685" width="27.42578125" style="1863" customWidth="1"/>
    <col min="7686" max="7716" width="4.85546875" style="1863" customWidth="1"/>
    <col min="7717" max="7717" width="10.5703125" style="1863" customWidth="1"/>
    <col min="7718" max="7727" width="0" style="1863" hidden="1" customWidth="1"/>
    <col min="7728" max="7939" width="9.140625" style="1863"/>
    <col min="7940" max="7940" width="10.42578125" style="1863" customWidth="1"/>
    <col min="7941" max="7941" width="27.42578125" style="1863" customWidth="1"/>
    <col min="7942" max="7972" width="4.85546875" style="1863" customWidth="1"/>
    <col min="7973" max="7973" width="10.5703125" style="1863" customWidth="1"/>
    <col min="7974" max="7983" width="0" style="1863" hidden="1" customWidth="1"/>
    <col min="7984" max="8195" width="9.140625" style="1863"/>
    <col min="8196" max="8196" width="10.42578125" style="1863" customWidth="1"/>
    <col min="8197" max="8197" width="27.42578125" style="1863" customWidth="1"/>
    <col min="8198" max="8228" width="4.85546875" style="1863" customWidth="1"/>
    <col min="8229" max="8229" width="10.5703125" style="1863" customWidth="1"/>
    <col min="8230" max="8239" width="0" style="1863" hidden="1" customWidth="1"/>
    <col min="8240" max="8451" width="9.140625" style="1863"/>
    <col min="8452" max="8452" width="10.42578125" style="1863" customWidth="1"/>
    <col min="8453" max="8453" width="27.42578125" style="1863" customWidth="1"/>
    <col min="8454" max="8484" width="4.85546875" style="1863" customWidth="1"/>
    <col min="8485" max="8485" width="10.5703125" style="1863" customWidth="1"/>
    <col min="8486" max="8495" width="0" style="1863" hidden="1" customWidth="1"/>
    <col min="8496" max="8707" width="9.140625" style="1863"/>
    <col min="8708" max="8708" width="10.42578125" style="1863" customWidth="1"/>
    <col min="8709" max="8709" width="27.42578125" style="1863" customWidth="1"/>
    <col min="8710" max="8740" width="4.85546875" style="1863" customWidth="1"/>
    <col min="8741" max="8741" width="10.5703125" style="1863" customWidth="1"/>
    <col min="8742" max="8751" width="0" style="1863" hidden="1" customWidth="1"/>
    <col min="8752" max="8963" width="9.140625" style="1863"/>
    <col min="8964" max="8964" width="10.42578125" style="1863" customWidth="1"/>
    <col min="8965" max="8965" width="27.42578125" style="1863" customWidth="1"/>
    <col min="8966" max="8996" width="4.85546875" style="1863" customWidth="1"/>
    <col min="8997" max="8997" width="10.5703125" style="1863" customWidth="1"/>
    <col min="8998" max="9007" width="0" style="1863" hidden="1" customWidth="1"/>
    <col min="9008" max="9219" width="9.140625" style="1863"/>
    <col min="9220" max="9220" width="10.42578125" style="1863" customWidth="1"/>
    <col min="9221" max="9221" width="27.42578125" style="1863" customWidth="1"/>
    <col min="9222" max="9252" width="4.85546875" style="1863" customWidth="1"/>
    <col min="9253" max="9253" width="10.5703125" style="1863" customWidth="1"/>
    <col min="9254" max="9263" width="0" style="1863" hidden="1" customWidth="1"/>
    <col min="9264" max="9475" width="9.140625" style="1863"/>
    <col min="9476" max="9476" width="10.42578125" style="1863" customWidth="1"/>
    <col min="9477" max="9477" width="27.42578125" style="1863" customWidth="1"/>
    <col min="9478" max="9508" width="4.85546875" style="1863" customWidth="1"/>
    <col min="9509" max="9509" width="10.5703125" style="1863" customWidth="1"/>
    <col min="9510" max="9519" width="0" style="1863" hidden="1" customWidth="1"/>
    <col min="9520" max="9731" width="9.140625" style="1863"/>
    <col min="9732" max="9732" width="10.42578125" style="1863" customWidth="1"/>
    <col min="9733" max="9733" width="27.42578125" style="1863" customWidth="1"/>
    <col min="9734" max="9764" width="4.85546875" style="1863" customWidth="1"/>
    <col min="9765" max="9765" width="10.5703125" style="1863" customWidth="1"/>
    <col min="9766" max="9775" width="0" style="1863" hidden="1" customWidth="1"/>
    <col min="9776" max="9987" width="9.140625" style="1863"/>
    <col min="9988" max="9988" width="10.42578125" style="1863" customWidth="1"/>
    <col min="9989" max="9989" width="27.42578125" style="1863" customWidth="1"/>
    <col min="9990" max="10020" width="4.85546875" style="1863" customWidth="1"/>
    <col min="10021" max="10021" width="10.5703125" style="1863" customWidth="1"/>
    <col min="10022" max="10031" width="0" style="1863" hidden="1" customWidth="1"/>
    <col min="10032" max="10243" width="9.140625" style="1863"/>
    <col min="10244" max="10244" width="10.42578125" style="1863" customWidth="1"/>
    <col min="10245" max="10245" width="27.42578125" style="1863" customWidth="1"/>
    <col min="10246" max="10276" width="4.85546875" style="1863" customWidth="1"/>
    <col min="10277" max="10277" width="10.5703125" style="1863" customWidth="1"/>
    <col min="10278" max="10287" width="0" style="1863" hidden="1" customWidth="1"/>
    <col min="10288" max="10499" width="9.140625" style="1863"/>
    <col min="10500" max="10500" width="10.42578125" style="1863" customWidth="1"/>
    <col min="10501" max="10501" width="27.42578125" style="1863" customWidth="1"/>
    <col min="10502" max="10532" width="4.85546875" style="1863" customWidth="1"/>
    <col min="10533" max="10533" width="10.5703125" style="1863" customWidth="1"/>
    <col min="10534" max="10543" width="0" style="1863" hidden="1" customWidth="1"/>
    <col min="10544" max="10755" width="9.140625" style="1863"/>
    <col min="10756" max="10756" width="10.42578125" style="1863" customWidth="1"/>
    <col min="10757" max="10757" width="27.42578125" style="1863" customWidth="1"/>
    <col min="10758" max="10788" width="4.85546875" style="1863" customWidth="1"/>
    <col min="10789" max="10789" width="10.5703125" style="1863" customWidth="1"/>
    <col min="10790" max="10799" width="0" style="1863" hidden="1" customWidth="1"/>
    <col min="10800" max="11011" width="9.140625" style="1863"/>
    <col min="11012" max="11012" width="10.42578125" style="1863" customWidth="1"/>
    <col min="11013" max="11013" width="27.42578125" style="1863" customWidth="1"/>
    <col min="11014" max="11044" width="4.85546875" style="1863" customWidth="1"/>
    <col min="11045" max="11045" width="10.5703125" style="1863" customWidth="1"/>
    <col min="11046" max="11055" width="0" style="1863" hidden="1" customWidth="1"/>
    <col min="11056" max="11267" width="9.140625" style="1863"/>
    <col min="11268" max="11268" width="10.42578125" style="1863" customWidth="1"/>
    <col min="11269" max="11269" width="27.42578125" style="1863" customWidth="1"/>
    <col min="11270" max="11300" width="4.85546875" style="1863" customWidth="1"/>
    <col min="11301" max="11301" width="10.5703125" style="1863" customWidth="1"/>
    <col min="11302" max="11311" width="0" style="1863" hidden="1" customWidth="1"/>
    <col min="11312" max="11523" width="9.140625" style="1863"/>
    <col min="11524" max="11524" width="10.42578125" style="1863" customWidth="1"/>
    <col min="11525" max="11525" width="27.42578125" style="1863" customWidth="1"/>
    <col min="11526" max="11556" width="4.85546875" style="1863" customWidth="1"/>
    <col min="11557" max="11557" width="10.5703125" style="1863" customWidth="1"/>
    <col min="11558" max="11567" width="0" style="1863" hidden="1" customWidth="1"/>
    <col min="11568" max="11779" width="9.140625" style="1863"/>
    <col min="11780" max="11780" width="10.42578125" style="1863" customWidth="1"/>
    <col min="11781" max="11781" width="27.42578125" style="1863" customWidth="1"/>
    <col min="11782" max="11812" width="4.85546875" style="1863" customWidth="1"/>
    <col min="11813" max="11813" width="10.5703125" style="1863" customWidth="1"/>
    <col min="11814" max="11823" width="0" style="1863" hidden="1" customWidth="1"/>
    <col min="11824" max="12035" width="9.140625" style="1863"/>
    <col min="12036" max="12036" width="10.42578125" style="1863" customWidth="1"/>
    <col min="12037" max="12037" width="27.42578125" style="1863" customWidth="1"/>
    <col min="12038" max="12068" width="4.85546875" style="1863" customWidth="1"/>
    <col min="12069" max="12069" width="10.5703125" style="1863" customWidth="1"/>
    <col min="12070" max="12079" width="0" style="1863" hidden="1" customWidth="1"/>
    <col min="12080" max="12291" width="9.140625" style="1863"/>
    <col min="12292" max="12292" width="10.42578125" style="1863" customWidth="1"/>
    <col min="12293" max="12293" width="27.42578125" style="1863" customWidth="1"/>
    <col min="12294" max="12324" width="4.85546875" style="1863" customWidth="1"/>
    <col min="12325" max="12325" width="10.5703125" style="1863" customWidth="1"/>
    <col min="12326" max="12335" width="0" style="1863" hidden="1" customWidth="1"/>
    <col min="12336" max="12547" width="9.140625" style="1863"/>
    <col min="12548" max="12548" width="10.42578125" style="1863" customWidth="1"/>
    <col min="12549" max="12549" width="27.42578125" style="1863" customWidth="1"/>
    <col min="12550" max="12580" width="4.85546875" style="1863" customWidth="1"/>
    <col min="12581" max="12581" width="10.5703125" style="1863" customWidth="1"/>
    <col min="12582" max="12591" width="0" style="1863" hidden="1" customWidth="1"/>
    <col min="12592" max="12803" width="9.140625" style="1863"/>
    <col min="12804" max="12804" width="10.42578125" style="1863" customWidth="1"/>
    <col min="12805" max="12805" width="27.42578125" style="1863" customWidth="1"/>
    <col min="12806" max="12836" width="4.85546875" style="1863" customWidth="1"/>
    <col min="12837" max="12837" width="10.5703125" style="1863" customWidth="1"/>
    <col min="12838" max="12847" width="0" style="1863" hidden="1" customWidth="1"/>
    <col min="12848" max="13059" width="9.140625" style="1863"/>
    <col min="13060" max="13060" width="10.42578125" style="1863" customWidth="1"/>
    <col min="13061" max="13061" width="27.42578125" style="1863" customWidth="1"/>
    <col min="13062" max="13092" width="4.85546875" style="1863" customWidth="1"/>
    <col min="13093" max="13093" width="10.5703125" style="1863" customWidth="1"/>
    <col min="13094" max="13103" width="0" style="1863" hidden="1" customWidth="1"/>
    <col min="13104" max="13315" width="9.140625" style="1863"/>
    <col min="13316" max="13316" width="10.42578125" style="1863" customWidth="1"/>
    <col min="13317" max="13317" width="27.42578125" style="1863" customWidth="1"/>
    <col min="13318" max="13348" width="4.85546875" style="1863" customWidth="1"/>
    <col min="13349" max="13349" width="10.5703125" style="1863" customWidth="1"/>
    <col min="13350" max="13359" width="0" style="1863" hidden="1" customWidth="1"/>
    <col min="13360" max="13571" width="9.140625" style="1863"/>
    <col min="13572" max="13572" width="10.42578125" style="1863" customWidth="1"/>
    <col min="13573" max="13573" width="27.42578125" style="1863" customWidth="1"/>
    <col min="13574" max="13604" width="4.85546875" style="1863" customWidth="1"/>
    <col min="13605" max="13605" width="10.5703125" style="1863" customWidth="1"/>
    <col min="13606" max="13615" width="0" style="1863" hidden="1" customWidth="1"/>
    <col min="13616" max="13827" width="9.140625" style="1863"/>
    <col min="13828" max="13828" width="10.42578125" style="1863" customWidth="1"/>
    <col min="13829" max="13829" width="27.42578125" style="1863" customWidth="1"/>
    <col min="13830" max="13860" width="4.85546875" style="1863" customWidth="1"/>
    <col min="13861" max="13861" width="10.5703125" style="1863" customWidth="1"/>
    <col min="13862" max="13871" width="0" style="1863" hidden="1" customWidth="1"/>
    <col min="13872" max="14083" width="9.140625" style="1863"/>
    <col min="14084" max="14084" width="10.42578125" style="1863" customWidth="1"/>
    <col min="14085" max="14085" width="27.42578125" style="1863" customWidth="1"/>
    <col min="14086" max="14116" width="4.85546875" style="1863" customWidth="1"/>
    <col min="14117" max="14117" width="10.5703125" style="1863" customWidth="1"/>
    <col min="14118" max="14127" width="0" style="1863" hidden="1" customWidth="1"/>
    <col min="14128" max="14339" width="9.140625" style="1863"/>
    <col min="14340" max="14340" width="10.42578125" style="1863" customWidth="1"/>
    <col min="14341" max="14341" width="27.42578125" style="1863" customWidth="1"/>
    <col min="14342" max="14372" width="4.85546875" style="1863" customWidth="1"/>
    <col min="14373" max="14373" width="10.5703125" style="1863" customWidth="1"/>
    <col min="14374" max="14383" width="0" style="1863" hidden="1" customWidth="1"/>
    <col min="14384" max="14595" width="9.140625" style="1863"/>
    <col min="14596" max="14596" width="10.42578125" style="1863" customWidth="1"/>
    <col min="14597" max="14597" width="27.42578125" style="1863" customWidth="1"/>
    <col min="14598" max="14628" width="4.85546875" style="1863" customWidth="1"/>
    <col min="14629" max="14629" width="10.5703125" style="1863" customWidth="1"/>
    <col min="14630" max="14639" width="0" style="1863" hidden="1" customWidth="1"/>
    <col min="14640" max="14851" width="9.140625" style="1863"/>
    <col min="14852" max="14852" width="10.42578125" style="1863" customWidth="1"/>
    <col min="14853" max="14853" width="27.42578125" style="1863" customWidth="1"/>
    <col min="14854" max="14884" width="4.85546875" style="1863" customWidth="1"/>
    <col min="14885" max="14885" width="10.5703125" style="1863" customWidth="1"/>
    <col min="14886" max="14895" width="0" style="1863" hidden="1" customWidth="1"/>
    <col min="14896" max="15107" width="9.140625" style="1863"/>
    <col min="15108" max="15108" width="10.42578125" style="1863" customWidth="1"/>
    <col min="15109" max="15109" width="27.42578125" style="1863" customWidth="1"/>
    <col min="15110" max="15140" width="4.85546875" style="1863" customWidth="1"/>
    <col min="15141" max="15141" width="10.5703125" style="1863" customWidth="1"/>
    <col min="15142" max="15151" width="0" style="1863" hidden="1" customWidth="1"/>
    <col min="15152" max="15363" width="9.140625" style="1863"/>
    <col min="15364" max="15364" width="10.42578125" style="1863" customWidth="1"/>
    <col min="15365" max="15365" width="27.42578125" style="1863" customWidth="1"/>
    <col min="15366" max="15396" width="4.85546875" style="1863" customWidth="1"/>
    <col min="15397" max="15397" width="10.5703125" style="1863" customWidth="1"/>
    <col min="15398" max="15407" width="0" style="1863" hidden="1" customWidth="1"/>
    <col min="15408" max="15619" width="9.140625" style="1863"/>
    <col min="15620" max="15620" width="10.42578125" style="1863" customWidth="1"/>
    <col min="15621" max="15621" width="27.42578125" style="1863" customWidth="1"/>
    <col min="15622" max="15652" width="4.85546875" style="1863" customWidth="1"/>
    <col min="15653" max="15653" width="10.5703125" style="1863" customWidth="1"/>
    <col min="15654" max="15663" width="0" style="1863" hidden="1" customWidth="1"/>
    <col min="15664" max="15875" width="9.140625" style="1863"/>
    <col min="15876" max="15876" width="10.42578125" style="1863" customWidth="1"/>
    <col min="15877" max="15877" width="27.42578125" style="1863" customWidth="1"/>
    <col min="15878" max="15908" width="4.85546875" style="1863" customWidth="1"/>
    <col min="15909" max="15909" width="10.5703125" style="1863" customWidth="1"/>
    <col min="15910" max="15919" width="0" style="1863" hidden="1" customWidth="1"/>
    <col min="15920" max="16131" width="9.140625" style="1863"/>
    <col min="16132" max="16132" width="10.42578125" style="1863" customWidth="1"/>
    <col min="16133" max="16133" width="27.42578125" style="1863" customWidth="1"/>
    <col min="16134" max="16164" width="4.85546875" style="1863" customWidth="1"/>
    <col min="16165" max="16165" width="10.5703125" style="1863" customWidth="1"/>
    <col min="16166" max="16175" width="0" style="1863" hidden="1" customWidth="1"/>
    <col min="16176" max="16384" width="9.140625" style="1863"/>
  </cols>
  <sheetData>
    <row r="1" spans="1:46" ht="15.75">
      <c r="A1" s="2416" t="s">
        <v>0</v>
      </c>
      <c r="B1" s="2416"/>
      <c r="C1" s="2416"/>
      <c r="D1" s="2416"/>
      <c r="E1" s="2416"/>
      <c r="F1" s="2416"/>
      <c r="G1" s="2416"/>
      <c r="H1" s="2416"/>
      <c r="I1" s="2416"/>
      <c r="J1" s="2416"/>
      <c r="K1" s="2416"/>
      <c r="L1" s="2416"/>
      <c r="M1" s="2416"/>
      <c r="N1" s="2416"/>
      <c r="O1" s="2416"/>
      <c r="P1" s="2416"/>
      <c r="Q1" s="2416"/>
      <c r="R1" s="2416"/>
      <c r="S1" s="2416"/>
      <c r="T1" s="2416"/>
      <c r="U1" s="2416"/>
      <c r="V1" s="2416"/>
      <c r="W1" s="2416"/>
      <c r="X1" s="2416"/>
      <c r="Y1" s="2416"/>
      <c r="Z1" s="2416"/>
      <c r="AA1" s="2416"/>
      <c r="AB1" s="2416"/>
      <c r="AC1" s="2416"/>
      <c r="AD1" s="2416"/>
      <c r="AE1" s="2416"/>
      <c r="AF1" s="2416"/>
      <c r="AG1" s="2416"/>
      <c r="AH1" s="2416"/>
      <c r="AI1" s="2416"/>
      <c r="AJ1" s="2416"/>
      <c r="AK1" s="2416"/>
      <c r="AL1" s="2416"/>
      <c r="AM1" s="2416"/>
      <c r="AN1" s="2416"/>
    </row>
    <row r="2" spans="1:46" ht="15.75">
      <c r="A2" s="2416" t="s">
        <v>1968</v>
      </c>
      <c r="B2" s="2416"/>
      <c r="C2" s="2416"/>
      <c r="D2" s="2416"/>
      <c r="E2" s="2416"/>
      <c r="F2" s="2416"/>
      <c r="G2" s="2416"/>
      <c r="H2" s="2416"/>
      <c r="I2" s="2416"/>
      <c r="J2" s="2416"/>
      <c r="K2" s="2416"/>
      <c r="L2" s="2416"/>
      <c r="M2" s="2416"/>
      <c r="N2" s="2416"/>
      <c r="O2" s="2416"/>
      <c r="P2" s="2416"/>
      <c r="Q2" s="2416"/>
      <c r="R2" s="2416"/>
      <c r="S2" s="2416"/>
      <c r="T2" s="2416"/>
      <c r="U2" s="2416"/>
      <c r="V2" s="2416"/>
      <c r="W2" s="2416"/>
      <c r="X2" s="2416"/>
      <c r="Y2" s="2416"/>
      <c r="Z2" s="2416"/>
      <c r="AA2" s="2416"/>
      <c r="AB2" s="2416"/>
      <c r="AC2" s="2416"/>
      <c r="AD2" s="2416"/>
      <c r="AE2" s="2416"/>
      <c r="AF2" s="2416"/>
      <c r="AG2" s="2416"/>
      <c r="AH2" s="2416"/>
      <c r="AI2" s="2416"/>
      <c r="AJ2" s="2416"/>
      <c r="AK2" s="2416"/>
      <c r="AL2" s="2416"/>
      <c r="AM2" s="2416"/>
      <c r="AN2" s="2416"/>
    </row>
    <row r="3" spans="1:46" ht="15.75">
      <c r="A3" s="2417" t="s">
        <v>2</v>
      </c>
      <c r="B3" s="2417"/>
      <c r="C3" s="2417"/>
      <c r="D3" s="2417"/>
      <c r="E3" s="2417"/>
      <c r="F3" s="2417"/>
      <c r="G3" s="2417"/>
      <c r="H3" s="2417"/>
      <c r="I3" s="2417"/>
      <c r="J3" s="2417"/>
      <c r="K3" s="2417"/>
      <c r="L3" s="2417"/>
      <c r="M3" s="2417"/>
      <c r="N3" s="2417"/>
      <c r="O3" s="2417"/>
      <c r="P3" s="2417"/>
      <c r="Q3" s="2417"/>
      <c r="R3" s="2417"/>
      <c r="S3" s="2417"/>
      <c r="T3" s="2417"/>
      <c r="U3" s="2417"/>
      <c r="V3" s="2417"/>
      <c r="W3" s="2417"/>
      <c r="X3" s="2417"/>
      <c r="Y3" s="2417"/>
      <c r="Z3" s="2417"/>
      <c r="AA3" s="2417"/>
      <c r="AB3" s="2417"/>
      <c r="AC3" s="2417"/>
      <c r="AD3" s="2417"/>
      <c r="AE3" s="2417"/>
      <c r="AF3" s="2417"/>
      <c r="AG3" s="2417"/>
      <c r="AH3" s="2417"/>
      <c r="AI3" s="2417"/>
      <c r="AJ3" s="2417"/>
      <c r="AK3" s="2417"/>
      <c r="AL3" s="2417"/>
      <c r="AM3" s="2417"/>
      <c r="AN3" s="2417"/>
    </row>
    <row r="4" spans="1:46" ht="16.5">
      <c r="A4" s="2418" t="s">
        <v>2867</v>
      </c>
      <c r="B4" s="2418"/>
      <c r="C4" s="2418"/>
      <c r="D4" s="2418"/>
      <c r="E4" s="2418"/>
      <c r="F4" s="2418"/>
      <c r="G4" s="2418"/>
      <c r="H4" s="2418"/>
      <c r="AN4" s="1865">
        <v>1</v>
      </c>
      <c r="AO4" s="1865">
        <v>2</v>
      </c>
      <c r="AP4" s="1865">
        <v>3</v>
      </c>
      <c r="AQ4" s="1865">
        <v>4</v>
      </c>
      <c r="AR4" s="1865">
        <v>5</v>
      </c>
      <c r="AS4" s="1866">
        <v>6</v>
      </c>
      <c r="AT4" s="1866">
        <v>7</v>
      </c>
    </row>
    <row r="5" spans="1:46" ht="16.5">
      <c r="A5" s="2419" t="s">
        <v>3396</v>
      </c>
      <c r="B5" s="2419"/>
      <c r="C5" s="2419"/>
      <c r="D5" s="2419"/>
      <c r="E5" s="2419"/>
      <c r="F5" s="2419"/>
      <c r="G5" s="2419"/>
      <c r="H5" s="2419"/>
      <c r="AN5" s="1865" t="s">
        <v>554</v>
      </c>
      <c r="AO5" s="1865" t="s">
        <v>2820</v>
      </c>
      <c r="AP5" s="1865" t="s">
        <v>2821</v>
      </c>
      <c r="AQ5" s="1865" t="s">
        <v>2822</v>
      </c>
      <c r="AR5" s="1865" t="s">
        <v>212</v>
      </c>
      <c r="AS5" s="1866" t="s">
        <v>2823</v>
      </c>
      <c r="AT5" s="1866" t="s">
        <v>2824</v>
      </c>
    </row>
    <row r="6" spans="1:46">
      <c r="AN6" s="1867"/>
      <c r="AO6" s="1867"/>
      <c r="AP6" s="1867"/>
      <c r="AQ6" s="1867"/>
      <c r="AR6" s="1867"/>
    </row>
    <row r="7" spans="1:46" ht="20.25">
      <c r="A7" s="2415" t="s">
        <v>3397</v>
      </c>
      <c r="B7" s="2415"/>
      <c r="C7" s="2415"/>
      <c r="D7" s="2415"/>
      <c r="E7" s="2415"/>
      <c r="F7" s="2415"/>
      <c r="G7" s="2415"/>
      <c r="H7" s="2415"/>
      <c r="I7" s="2415"/>
      <c r="J7" s="2415"/>
      <c r="K7" s="2415"/>
      <c r="L7" s="2415"/>
      <c r="M7" s="2415"/>
      <c r="N7" s="2415"/>
      <c r="O7" s="2415"/>
      <c r="P7" s="2415"/>
      <c r="Q7" s="2415"/>
      <c r="R7" s="2415"/>
      <c r="S7" s="2415"/>
      <c r="T7" s="2415"/>
      <c r="U7" s="2415"/>
      <c r="V7" s="2415"/>
      <c r="W7" s="2415"/>
      <c r="X7" s="2415"/>
      <c r="Y7" s="2415"/>
      <c r="Z7" s="2415"/>
      <c r="AA7" s="2415"/>
      <c r="AB7" s="2415"/>
      <c r="AC7" s="2415"/>
      <c r="AD7" s="2415"/>
      <c r="AE7" s="2415"/>
      <c r="AF7" s="2415"/>
      <c r="AG7" s="2415"/>
      <c r="AH7" s="2415"/>
      <c r="AI7" s="2415"/>
      <c r="AJ7" s="2415"/>
      <c r="AK7" s="2415"/>
      <c r="AL7" s="2415"/>
      <c r="AM7" s="2415"/>
      <c r="AN7" s="2415"/>
      <c r="AO7" s="1867"/>
      <c r="AP7" s="1867"/>
      <c r="AQ7" s="1867"/>
      <c r="AR7" s="1867"/>
    </row>
    <row r="8" spans="1:46" ht="15.75">
      <c r="B8" s="1868" t="s">
        <v>2826</v>
      </c>
      <c r="C8" s="1868">
        <v>2025</v>
      </c>
      <c r="D8" s="1868"/>
      <c r="E8" s="1869"/>
      <c r="F8" s="1869"/>
      <c r="G8" s="1869"/>
      <c r="H8" s="1869"/>
      <c r="I8" s="1869"/>
      <c r="J8" s="1869"/>
      <c r="K8" s="1869"/>
      <c r="L8" s="1869"/>
      <c r="M8" s="1869"/>
      <c r="N8" s="1869"/>
      <c r="O8" s="1869"/>
      <c r="P8" s="1869"/>
      <c r="Q8" s="1869"/>
      <c r="R8" s="1869"/>
      <c r="S8" s="1869"/>
      <c r="T8" s="1869"/>
      <c r="U8" s="1869"/>
      <c r="V8" s="1869"/>
      <c r="W8" s="1869"/>
      <c r="X8" s="1869"/>
      <c r="Y8" s="1869"/>
      <c r="Z8" s="1869"/>
      <c r="AA8" s="1869"/>
      <c r="AB8" s="1869"/>
      <c r="AC8" s="1869"/>
      <c r="AD8" s="1869"/>
      <c r="AE8" s="1869"/>
      <c r="AF8" s="1869"/>
      <c r="AG8" s="1869"/>
      <c r="AH8" s="1869"/>
      <c r="AI8" s="1869"/>
      <c r="AJ8" s="1869"/>
      <c r="AK8" s="1869"/>
      <c r="AL8" s="1869"/>
      <c r="AM8" s="1869"/>
      <c r="AN8" s="1869"/>
    </row>
    <row r="9" spans="1:46">
      <c r="B9" s="1868" t="s">
        <v>2827</v>
      </c>
      <c r="C9" s="1870" t="s">
        <v>3398</v>
      </c>
      <c r="D9" s="1868"/>
    </row>
    <row r="10" spans="1:46">
      <c r="A10" s="2409" t="s">
        <v>6</v>
      </c>
      <c r="B10" s="2402" t="s">
        <v>3399</v>
      </c>
      <c r="C10" s="2411" t="s">
        <v>3400</v>
      </c>
      <c r="D10" s="2413" t="s">
        <v>9</v>
      </c>
      <c r="E10" s="1871">
        <v>1</v>
      </c>
      <c r="F10" s="1871">
        <v>2</v>
      </c>
      <c r="G10" s="1871">
        <v>3</v>
      </c>
      <c r="H10" s="1871">
        <v>4</v>
      </c>
      <c r="I10" s="1872">
        <v>5</v>
      </c>
      <c r="J10" s="1871">
        <v>6</v>
      </c>
      <c r="K10" s="1871">
        <v>7</v>
      </c>
      <c r="L10" s="1871">
        <v>8</v>
      </c>
      <c r="M10" s="1871">
        <v>9</v>
      </c>
      <c r="N10" s="1871">
        <v>10</v>
      </c>
      <c r="O10" s="1871">
        <v>11</v>
      </c>
      <c r="P10" s="1871">
        <v>12</v>
      </c>
      <c r="Q10" s="1871">
        <v>13</v>
      </c>
      <c r="R10" s="1871">
        <v>14</v>
      </c>
      <c r="S10" s="1871">
        <v>15</v>
      </c>
      <c r="T10" s="1871">
        <v>16</v>
      </c>
      <c r="U10" s="1871">
        <v>17</v>
      </c>
      <c r="V10" s="1871">
        <v>18</v>
      </c>
      <c r="W10" s="1871">
        <v>19</v>
      </c>
      <c r="X10" s="1871">
        <v>20</v>
      </c>
      <c r="Y10" s="1871">
        <v>21</v>
      </c>
      <c r="Z10" s="1871">
        <v>22</v>
      </c>
      <c r="AA10" s="1871">
        <v>23</v>
      </c>
      <c r="AB10" s="1871">
        <v>24</v>
      </c>
      <c r="AC10" s="1871">
        <v>25</v>
      </c>
      <c r="AD10" s="1871">
        <v>26</v>
      </c>
      <c r="AE10" s="1871">
        <v>27</v>
      </c>
      <c r="AF10" s="1871">
        <v>28</v>
      </c>
      <c r="AG10" s="1871">
        <f>IF(DAY(DATE(C8,C9+1,1)-1)&lt;29,"",29)</f>
        <v>29</v>
      </c>
      <c r="AH10" s="1871">
        <v>30</v>
      </c>
      <c r="AI10" s="1871">
        <v>31</v>
      </c>
      <c r="AJ10" s="2413" t="s">
        <v>3401</v>
      </c>
      <c r="AK10" s="2413" t="s">
        <v>3402</v>
      </c>
      <c r="AL10" s="2398" t="s">
        <v>3403</v>
      </c>
      <c r="AM10" s="2398" t="s">
        <v>3404</v>
      </c>
      <c r="AN10" s="2402" t="s">
        <v>12</v>
      </c>
    </row>
    <row r="11" spans="1:46" ht="27.75" customHeight="1">
      <c r="A11" s="2410"/>
      <c r="B11" s="2403"/>
      <c r="C11" s="2412"/>
      <c r="D11" s="2414"/>
      <c r="E11" s="1873" t="str">
        <f t="shared" ref="E11:AG11" si="0">IF(E10="","",HLOOKUP(WEEKDAY(DATE($C$8,$C$9,E10)),$AN$4:$AT$5,2,0))</f>
        <v>Năm</v>
      </c>
      <c r="F11" s="1873" t="str">
        <f t="shared" si="0"/>
        <v>Sáu</v>
      </c>
      <c r="G11" s="1873" t="str">
        <f t="shared" si="0"/>
        <v>Bảy</v>
      </c>
      <c r="H11" s="1873" t="str">
        <f t="shared" si="0"/>
        <v>CN</v>
      </c>
      <c r="I11" s="1874" t="str">
        <f t="shared" si="0"/>
        <v>Hai</v>
      </c>
      <c r="J11" s="1873" t="str">
        <f t="shared" si="0"/>
        <v>Ba</v>
      </c>
      <c r="K11" s="1873" t="str">
        <f t="shared" si="0"/>
        <v>Tư</v>
      </c>
      <c r="L11" s="1873" t="str">
        <f t="shared" si="0"/>
        <v>Năm</v>
      </c>
      <c r="M11" s="1873" t="str">
        <f t="shared" si="0"/>
        <v>Sáu</v>
      </c>
      <c r="N11" s="1873" t="str">
        <f t="shared" si="0"/>
        <v>Bảy</v>
      </c>
      <c r="O11" s="1873" t="str">
        <f t="shared" si="0"/>
        <v>CN</v>
      </c>
      <c r="P11" s="1873" t="str">
        <f t="shared" si="0"/>
        <v>Hai</v>
      </c>
      <c r="Q11" s="1873" t="str">
        <f t="shared" si="0"/>
        <v>Ba</v>
      </c>
      <c r="R11" s="1873" t="str">
        <f t="shared" si="0"/>
        <v>Tư</v>
      </c>
      <c r="S11" s="1873" t="str">
        <f t="shared" si="0"/>
        <v>Năm</v>
      </c>
      <c r="T11" s="1873" t="str">
        <f t="shared" si="0"/>
        <v>Sáu</v>
      </c>
      <c r="U11" s="1873" t="str">
        <f t="shared" si="0"/>
        <v>Bảy</v>
      </c>
      <c r="V11" s="1873" t="str">
        <f t="shared" si="0"/>
        <v>CN</v>
      </c>
      <c r="W11" s="1873" t="str">
        <f t="shared" si="0"/>
        <v>Hai</v>
      </c>
      <c r="X11" s="1873" t="str">
        <f t="shared" si="0"/>
        <v>Ba</v>
      </c>
      <c r="Y11" s="1873" t="str">
        <f t="shared" si="0"/>
        <v>Tư</v>
      </c>
      <c r="Z11" s="1873" t="str">
        <f t="shared" si="0"/>
        <v>Năm</v>
      </c>
      <c r="AA11" s="1873" t="str">
        <f t="shared" si="0"/>
        <v>Sáu</v>
      </c>
      <c r="AB11" s="1873" t="str">
        <f t="shared" si="0"/>
        <v>Bảy</v>
      </c>
      <c r="AC11" s="1873" t="str">
        <f t="shared" si="0"/>
        <v>CN</v>
      </c>
      <c r="AD11" s="1873" t="str">
        <f t="shared" si="0"/>
        <v>Hai</v>
      </c>
      <c r="AE11" s="1873" t="str">
        <f t="shared" si="0"/>
        <v>Ba</v>
      </c>
      <c r="AF11" s="1873" t="str">
        <f t="shared" si="0"/>
        <v>Tư</v>
      </c>
      <c r="AG11" s="1871" t="str">
        <f t="shared" si="0"/>
        <v>Năm</v>
      </c>
      <c r="AH11" s="1871" t="s">
        <v>212</v>
      </c>
      <c r="AI11" s="1873" t="str">
        <f>IF(AI10="","",HLOOKUP(WEEKDAY(DATE($C$8,$C$9,AI10)),$AN$4:$AT$5,2,0))</f>
        <v>Bảy</v>
      </c>
      <c r="AJ11" s="2414"/>
      <c r="AK11" s="2414"/>
      <c r="AL11" s="2399"/>
      <c r="AM11" s="2399"/>
      <c r="AN11" s="2403"/>
    </row>
    <row r="12" spans="1:46" ht="21.95" customHeight="1">
      <c r="A12" s="1875">
        <v>1</v>
      </c>
      <c r="B12" s="1875"/>
      <c r="C12" s="1876" t="s">
        <v>3324</v>
      </c>
      <c r="D12" s="1876" t="s">
        <v>2855</v>
      </c>
      <c r="E12" s="1875" t="s">
        <v>536</v>
      </c>
      <c r="F12" s="1875" t="s">
        <v>536</v>
      </c>
      <c r="G12" s="1875" t="s">
        <v>536</v>
      </c>
      <c r="H12" s="1875" t="s">
        <v>536</v>
      </c>
      <c r="I12" s="1875" t="s">
        <v>536</v>
      </c>
      <c r="J12" s="1875" t="s">
        <v>536</v>
      </c>
      <c r="K12" s="1875" t="s">
        <v>536</v>
      </c>
      <c r="L12" s="1875" t="s">
        <v>536</v>
      </c>
      <c r="M12" s="1875" t="s">
        <v>536</v>
      </c>
      <c r="N12" s="1875" t="s">
        <v>536</v>
      </c>
      <c r="O12" s="1875" t="s">
        <v>536</v>
      </c>
      <c r="P12" s="1875" t="s">
        <v>536</v>
      </c>
      <c r="Q12" s="1875" t="s">
        <v>536</v>
      </c>
      <c r="R12" s="1875" t="s">
        <v>536</v>
      </c>
      <c r="S12" s="1875" t="s">
        <v>536</v>
      </c>
      <c r="T12" s="1877"/>
      <c r="U12" s="1877"/>
      <c r="V12" s="1877"/>
      <c r="W12" s="1877"/>
      <c r="X12" s="1877"/>
      <c r="Y12" s="1877"/>
      <c r="Z12" s="1877"/>
      <c r="AA12" s="1877"/>
      <c r="AB12" s="1877"/>
      <c r="AC12" s="1877"/>
      <c r="AD12" s="1877"/>
      <c r="AE12" s="1877"/>
      <c r="AF12" s="1877"/>
      <c r="AG12" s="1877"/>
      <c r="AH12" s="1877"/>
      <c r="AI12" s="1877"/>
      <c r="AJ12" s="1878">
        <f t="shared" ref="AJ12:AJ17" si="1">COUNTIF(E12:AI12,"X")</f>
        <v>15</v>
      </c>
      <c r="AK12" s="1878">
        <f t="shared" ref="AK12:AK17" si="2">COUNTIF(E12:AJ12,"P")</f>
        <v>0</v>
      </c>
      <c r="AL12" s="1878">
        <f t="shared" ref="AL12" si="3">COUNTIF(E12:AJ12,"TT")</f>
        <v>0</v>
      </c>
      <c r="AM12" s="1879">
        <f t="shared" ref="AM12:AM17" si="4">+AJ12+AL12+AK12</f>
        <v>15</v>
      </c>
      <c r="AN12" s="1880"/>
    </row>
    <row r="13" spans="1:46" ht="21.95" customHeight="1">
      <c r="A13" s="1875">
        <v>2</v>
      </c>
      <c r="B13" s="1875"/>
      <c r="C13" s="1876" t="s">
        <v>3383</v>
      </c>
      <c r="D13" s="1876" t="s">
        <v>3136</v>
      </c>
      <c r="E13" s="1875" t="s">
        <v>536</v>
      </c>
      <c r="F13" s="1875" t="s">
        <v>536</v>
      </c>
      <c r="G13" s="1875" t="s">
        <v>536</v>
      </c>
      <c r="H13" s="1875" t="s">
        <v>536</v>
      </c>
      <c r="I13" s="1875" t="s">
        <v>536</v>
      </c>
      <c r="J13" s="1875" t="s">
        <v>536</v>
      </c>
      <c r="K13" s="1875"/>
      <c r="L13" s="1875"/>
      <c r="M13" s="1875"/>
      <c r="N13" s="1875"/>
      <c r="O13" s="1875"/>
      <c r="P13" s="1875"/>
      <c r="Q13" s="1875"/>
      <c r="R13" s="1875"/>
      <c r="S13" s="1875" t="s">
        <v>536</v>
      </c>
      <c r="T13" s="1877"/>
      <c r="U13" s="1877"/>
      <c r="V13" s="1877"/>
      <c r="W13" s="1877"/>
      <c r="X13" s="1877"/>
      <c r="Y13" s="1877"/>
      <c r="Z13" s="1877"/>
      <c r="AA13" s="1877"/>
      <c r="AB13" s="1877"/>
      <c r="AC13" s="1877"/>
      <c r="AD13" s="1877"/>
      <c r="AE13" s="1877"/>
      <c r="AF13" s="1877"/>
      <c r="AG13" s="1877"/>
      <c r="AH13" s="1877"/>
      <c r="AI13" s="1877"/>
      <c r="AJ13" s="1878">
        <f t="shared" si="1"/>
        <v>7</v>
      </c>
      <c r="AK13" s="1878">
        <f t="shared" si="2"/>
        <v>0</v>
      </c>
      <c r="AL13" s="1878"/>
      <c r="AM13" s="1879">
        <f t="shared" si="4"/>
        <v>7</v>
      </c>
      <c r="AN13" s="1880"/>
    </row>
    <row r="14" spans="1:46" ht="21.95" customHeight="1">
      <c r="A14" s="1875">
        <v>3</v>
      </c>
      <c r="B14" s="1875"/>
      <c r="C14" s="1876" t="s">
        <v>3384</v>
      </c>
      <c r="D14" s="1876" t="s">
        <v>3136</v>
      </c>
      <c r="E14" s="1875" t="s">
        <v>536</v>
      </c>
      <c r="F14" s="1875" t="s">
        <v>536</v>
      </c>
      <c r="G14" s="1875" t="s">
        <v>536</v>
      </c>
      <c r="H14" s="1875" t="s">
        <v>536</v>
      </c>
      <c r="I14" s="1875" t="s">
        <v>536</v>
      </c>
      <c r="J14" s="1875" t="s">
        <v>536</v>
      </c>
      <c r="K14" s="1875" t="s">
        <v>536</v>
      </c>
      <c r="L14" s="1875" t="s">
        <v>536</v>
      </c>
      <c r="M14" s="1875" t="s">
        <v>536</v>
      </c>
      <c r="N14" s="1875" t="s">
        <v>536</v>
      </c>
      <c r="O14" s="1875" t="s">
        <v>536</v>
      </c>
      <c r="P14" s="1875" t="s">
        <v>536</v>
      </c>
      <c r="Q14" s="1875" t="s">
        <v>536</v>
      </c>
      <c r="R14" s="1875" t="s">
        <v>536</v>
      </c>
      <c r="S14" s="1875" t="s">
        <v>536</v>
      </c>
      <c r="T14" s="1877"/>
      <c r="U14" s="1877"/>
      <c r="V14" s="1877"/>
      <c r="W14" s="1877"/>
      <c r="X14" s="1877"/>
      <c r="Y14" s="1877"/>
      <c r="Z14" s="1877"/>
      <c r="AA14" s="1877"/>
      <c r="AB14" s="1877"/>
      <c r="AC14" s="1877"/>
      <c r="AD14" s="1877"/>
      <c r="AE14" s="1877"/>
      <c r="AF14" s="1877"/>
      <c r="AG14" s="1877"/>
      <c r="AH14" s="1877"/>
      <c r="AI14" s="1877"/>
      <c r="AJ14" s="1878">
        <f t="shared" si="1"/>
        <v>15</v>
      </c>
      <c r="AK14" s="1878">
        <f t="shared" si="2"/>
        <v>0</v>
      </c>
      <c r="AL14" s="1878">
        <f t="shared" ref="AL14:AL15" si="5">COUNTIF(E14:AJ14,"TT")</f>
        <v>0</v>
      </c>
      <c r="AM14" s="1879">
        <f t="shared" si="4"/>
        <v>15</v>
      </c>
      <c r="AN14" s="1880"/>
    </row>
    <row r="15" spans="1:46" ht="21.95" customHeight="1">
      <c r="A15" s="1875">
        <v>4</v>
      </c>
      <c r="B15" s="1875"/>
      <c r="C15" s="1880" t="s">
        <v>3369</v>
      </c>
      <c r="D15" s="1880" t="s">
        <v>3405</v>
      </c>
      <c r="E15" s="1875" t="s">
        <v>536</v>
      </c>
      <c r="F15" s="1875" t="s">
        <v>536</v>
      </c>
      <c r="G15" s="1875" t="s">
        <v>536</v>
      </c>
      <c r="H15" s="1875" t="s">
        <v>536</v>
      </c>
      <c r="I15" s="1875" t="s">
        <v>536</v>
      </c>
      <c r="J15" s="1875" t="s">
        <v>536</v>
      </c>
      <c r="K15" s="1875" t="s">
        <v>536</v>
      </c>
      <c r="L15" s="1875" t="s">
        <v>536</v>
      </c>
      <c r="M15" s="1875" t="s">
        <v>536</v>
      </c>
      <c r="N15" s="1875" t="s">
        <v>536</v>
      </c>
      <c r="O15" s="1875" t="s">
        <v>536</v>
      </c>
      <c r="P15" s="1875" t="s">
        <v>536</v>
      </c>
      <c r="Q15" s="1875" t="s">
        <v>536</v>
      </c>
      <c r="R15" s="1875" t="s">
        <v>536</v>
      </c>
      <c r="S15" s="1875" t="s">
        <v>536</v>
      </c>
      <c r="T15" s="1875"/>
      <c r="U15" s="1875"/>
      <c r="V15" s="1875"/>
      <c r="W15" s="1875"/>
      <c r="X15" s="1875"/>
      <c r="Y15" s="1875"/>
      <c r="Z15" s="1875"/>
      <c r="AA15" s="1875"/>
      <c r="AB15" s="1875"/>
      <c r="AC15" s="1875"/>
      <c r="AD15" s="1875"/>
      <c r="AE15" s="1875"/>
      <c r="AF15" s="1875"/>
      <c r="AG15" s="1875"/>
      <c r="AH15" s="1877"/>
      <c r="AI15" s="1877"/>
      <c r="AJ15" s="1878">
        <f t="shared" si="1"/>
        <v>15</v>
      </c>
      <c r="AK15" s="1878">
        <f t="shared" si="2"/>
        <v>0</v>
      </c>
      <c r="AL15" s="1878">
        <f t="shared" si="5"/>
        <v>0</v>
      </c>
      <c r="AM15" s="1879">
        <f t="shared" si="4"/>
        <v>15</v>
      </c>
      <c r="AN15" s="1880"/>
    </row>
    <row r="16" spans="1:46" ht="21.95" customHeight="1">
      <c r="A16" s="1875">
        <v>5</v>
      </c>
      <c r="B16" s="1881"/>
      <c r="C16" s="1882" t="s">
        <v>3386</v>
      </c>
      <c r="D16" s="1880" t="s">
        <v>3406</v>
      </c>
      <c r="E16" s="1875" t="s">
        <v>536</v>
      </c>
      <c r="F16" s="1875" t="s">
        <v>536</v>
      </c>
      <c r="G16" s="1875" t="s">
        <v>536</v>
      </c>
      <c r="H16" s="1875" t="s">
        <v>536</v>
      </c>
      <c r="I16" s="1875" t="s">
        <v>536</v>
      </c>
      <c r="J16" s="1875" t="s">
        <v>536</v>
      </c>
      <c r="K16" s="1875" t="s">
        <v>536</v>
      </c>
      <c r="L16" s="1875" t="s">
        <v>536</v>
      </c>
      <c r="M16" s="1875" t="s">
        <v>536</v>
      </c>
      <c r="N16" s="1875" t="s">
        <v>536</v>
      </c>
      <c r="O16" s="1875" t="s">
        <v>536</v>
      </c>
      <c r="P16" s="1875" t="s">
        <v>536</v>
      </c>
      <c r="Q16" s="1875" t="s">
        <v>536</v>
      </c>
      <c r="R16" s="1875" t="s">
        <v>536</v>
      </c>
      <c r="S16" s="1875" t="s">
        <v>536</v>
      </c>
      <c r="T16" s="1875"/>
      <c r="U16" s="1875"/>
      <c r="V16" s="1875"/>
      <c r="W16" s="1875"/>
      <c r="X16" s="1875"/>
      <c r="Y16" s="1875"/>
      <c r="Z16" s="1875"/>
      <c r="AA16" s="1875"/>
      <c r="AB16" s="1875"/>
      <c r="AC16" s="1875"/>
      <c r="AD16" s="1875"/>
      <c r="AE16" s="1875"/>
      <c r="AF16" s="1875"/>
      <c r="AG16" s="1875"/>
      <c r="AH16" s="1877"/>
      <c r="AI16" s="1877"/>
      <c r="AJ16" s="1878">
        <f t="shared" si="1"/>
        <v>15</v>
      </c>
      <c r="AK16" s="1883"/>
      <c r="AL16" s="1883"/>
      <c r="AM16" s="1879">
        <f t="shared" si="4"/>
        <v>15</v>
      </c>
      <c r="AN16" s="1882"/>
    </row>
    <row r="17" spans="1:40" ht="21.95" customHeight="1">
      <c r="A17" s="1875">
        <v>6</v>
      </c>
      <c r="B17" s="1884"/>
      <c r="C17" s="1885" t="s">
        <v>3388</v>
      </c>
      <c r="D17" s="1880" t="s">
        <v>3406</v>
      </c>
      <c r="E17" s="1875" t="s">
        <v>536</v>
      </c>
      <c r="F17" s="1875" t="s">
        <v>536</v>
      </c>
      <c r="G17" s="1875" t="s">
        <v>536</v>
      </c>
      <c r="H17" s="1875" t="s">
        <v>536</v>
      </c>
      <c r="I17" s="1875" t="s">
        <v>536</v>
      </c>
      <c r="J17" s="1875" t="s">
        <v>536</v>
      </c>
      <c r="K17" s="1875" t="s">
        <v>536</v>
      </c>
      <c r="L17" s="1875" t="s">
        <v>536</v>
      </c>
      <c r="M17" s="1875" t="s">
        <v>536</v>
      </c>
      <c r="N17" s="1875" t="s">
        <v>536</v>
      </c>
      <c r="O17" s="1875" t="s">
        <v>536</v>
      </c>
      <c r="P17" s="1875" t="s">
        <v>536</v>
      </c>
      <c r="Q17" s="1875" t="s">
        <v>536</v>
      </c>
      <c r="R17" s="1875" t="s">
        <v>536</v>
      </c>
      <c r="S17" s="1875" t="s">
        <v>536</v>
      </c>
      <c r="T17" s="1877"/>
      <c r="U17" s="1877"/>
      <c r="V17" s="1877"/>
      <c r="W17" s="1877"/>
      <c r="X17" s="1877"/>
      <c r="Y17" s="1877"/>
      <c r="Z17" s="1877"/>
      <c r="AA17" s="1877"/>
      <c r="AB17" s="1877"/>
      <c r="AC17" s="1877"/>
      <c r="AD17" s="1877"/>
      <c r="AE17" s="1877"/>
      <c r="AF17" s="1877"/>
      <c r="AG17" s="1877"/>
      <c r="AH17" s="1877"/>
      <c r="AI17" s="1877"/>
      <c r="AJ17" s="1878">
        <f t="shared" si="1"/>
        <v>15</v>
      </c>
      <c r="AK17" s="1886">
        <f t="shared" si="2"/>
        <v>0</v>
      </c>
      <c r="AL17" s="1886"/>
      <c r="AM17" s="1887">
        <f t="shared" si="4"/>
        <v>15</v>
      </c>
      <c r="AN17" s="1885"/>
    </row>
    <row r="18" spans="1:40" ht="21.95" customHeight="1">
      <c r="A18" s="2404" t="s">
        <v>3356</v>
      </c>
      <c r="B18" s="2405"/>
      <c r="C18" s="2405"/>
      <c r="D18" s="2406"/>
      <c r="E18" s="1888"/>
      <c r="F18" s="1888"/>
      <c r="G18" s="1888"/>
      <c r="H18" s="1888"/>
      <c r="I18" s="1888"/>
      <c r="J18" s="1888"/>
      <c r="K18" s="1888"/>
      <c r="L18" s="1888"/>
      <c r="M18" s="1888"/>
      <c r="N18" s="1888"/>
      <c r="O18" s="1888"/>
      <c r="P18" s="1888"/>
      <c r="Q18" s="1888"/>
      <c r="R18" s="1888"/>
      <c r="S18" s="1889">
        <f t="shared" ref="S18:AI18" si="6">COUNTIF(S12:S17,"X")</f>
        <v>6</v>
      </c>
      <c r="T18" s="1889">
        <f t="shared" si="6"/>
        <v>0</v>
      </c>
      <c r="U18" s="1889">
        <f t="shared" si="6"/>
        <v>0</v>
      </c>
      <c r="V18" s="1889">
        <f t="shared" si="6"/>
        <v>0</v>
      </c>
      <c r="W18" s="1889">
        <f t="shared" si="6"/>
        <v>0</v>
      </c>
      <c r="X18" s="1889">
        <f t="shared" si="6"/>
        <v>0</v>
      </c>
      <c r="Y18" s="1889">
        <f t="shared" si="6"/>
        <v>0</v>
      </c>
      <c r="Z18" s="1889">
        <f t="shared" si="6"/>
        <v>0</v>
      </c>
      <c r="AA18" s="1889">
        <f t="shared" si="6"/>
        <v>0</v>
      </c>
      <c r="AB18" s="1889">
        <f t="shared" si="6"/>
        <v>0</v>
      </c>
      <c r="AC18" s="1889">
        <f t="shared" si="6"/>
        <v>0</v>
      </c>
      <c r="AD18" s="1889">
        <f t="shared" si="6"/>
        <v>0</v>
      </c>
      <c r="AE18" s="1889">
        <f t="shared" si="6"/>
        <v>0</v>
      </c>
      <c r="AF18" s="1889">
        <f t="shared" si="6"/>
        <v>0</v>
      </c>
      <c r="AG18" s="1889">
        <f t="shared" si="6"/>
        <v>0</v>
      </c>
      <c r="AH18" s="1889">
        <f t="shared" si="6"/>
        <v>0</v>
      </c>
      <c r="AI18" s="1889">
        <f t="shared" si="6"/>
        <v>0</v>
      </c>
      <c r="AJ18" s="1890">
        <f>SUM(AJ12:AJ17)</f>
        <v>82</v>
      </c>
      <c r="AK18" s="1890">
        <f>SUM(AK12:AK15)</f>
        <v>0</v>
      </c>
      <c r="AL18" s="1890">
        <f>SUM(AL12:AL15)</f>
        <v>0</v>
      </c>
      <c r="AM18" s="1890">
        <f>SUM(AM12:AM17)</f>
        <v>82</v>
      </c>
      <c r="AN18" s="1891"/>
    </row>
    <row r="19" spans="1:40">
      <c r="A19" s="1892" t="s">
        <v>3407</v>
      </c>
      <c r="AA19" s="2407" t="s">
        <v>3408</v>
      </c>
      <c r="AB19" s="2407"/>
      <c r="AC19" s="2407"/>
      <c r="AD19" s="2407"/>
      <c r="AE19" s="2407"/>
      <c r="AF19" s="2407"/>
      <c r="AG19" s="2407"/>
      <c r="AH19" s="2407"/>
      <c r="AI19" s="2407"/>
      <c r="AJ19" s="2407"/>
      <c r="AK19" s="2407"/>
      <c r="AL19" s="2407"/>
      <c r="AM19" s="2407"/>
      <c r="AN19" s="2407"/>
    </row>
    <row r="20" spans="1:40">
      <c r="A20" s="1893" t="s">
        <v>2553</v>
      </c>
      <c r="B20" s="1863" t="s">
        <v>2554</v>
      </c>
      <c r="C20" s="1863" t="s">
        <v>3409</v>
      </c>
      <c r="D20" s="2401" t="s">
        <v>3410</v>
      </c>
      <c r="E20" s="2401"/>
      <c r="F20" s="2401"/>
      <c r="G20" s="1894"/>
      <c r="H20" s="1894"/>
      <c r="I20" s="2401" t="s">
        <v>3411</v>
      </c>
      <c r="J20" s="2401"/>
      <c r="K20" s="2401"/>
      <c r="L20" s="2401"/>
      <c r="M20" s="2401"/>
      <c r="N20" s="2401"/>
      <c r="O20" s="2401"/>
      <c r="P20" s="2401"/>
      <c r="Q20" s="2401"/>
      <c r="R20" s="1895"/>
      <c r="S20" s="2408" t="s">
        <v>2478</v>
      </c>
      <c r="T20" s="2408"/>
      <c r="U20" s="2408"/>
      <c r="V20" s="2408"/>
      <c r="W20" s="2408"/>
      <c r="X20" s="2408"/>
      <c r="Y20" s="2408"/>
      <c r="Z20" s="2408"/>
      <c r="AA20" s="1895"/>
      <c r="AB20" s="2408" t="s">
        <v>612</v>
      </c>
      <c r="AC20" s="2408"/>
      <c r="AD20" s="2408"/>
      <c r="AE20" s="2408"/>
      <c r="AF20" s="2408"/>
      <c r="AG20" s="2408"/>
      <c r="AH20" s="2408"/>
      <c r="AI20" s="2408"/>
      <c r="AJ20" s="2408"/>
      <c r="AK20" s="2408"/>
      <c r="AL20" s="2408"/>
      <c r="AM20" s="2408"/>
      <c r="AN20" s="2408"/>
    </row>
    <row r="21" spans="1:40">
      <c r="A21" s="1893"/>
      <c r="B21" s="1864"/>
      <c r="AJ21" s="1896"/>
      <c r="AK21" s="1896"/>
    </row>
    <row r="22" spans="1:40">
      <c r="A22" s="1893"/>
      <c r="B22" s="1897"/>
    </row>
    <row r="23" spans="1:40" ht="15.75">
      <c r="A23" s="1893"/>
      <c r="AA23" s="2400"/>
      <c r="AB23" s="2400"/>
      <c r="AC23" s="2400"/>
      <c r="AD23" s="2400"/>
      <c r="AE23" s="2400"/>
      <c r="AF23" s="2400"/>
      <c r="AG23" s="2400"/>
      <c r="AH23" s="2400"/>
      <c r="AI23" s="2400"/>
      <c r="AJ23" s="2400"/>
      <c r="AK23" s="1898"/>
    </row>
    <row r="24" spans="1:40">
      <c r="B24" s="2401"/>
      <c r="C24" s="2401"/>
      <c r="D24" s="1899"/>
      <c r="AB24" s="2397"/>
      <c r="AC24" s="2397"/>
      <c r="AD24" s="2397"/>
      <c r="AE24" s="2397"/>
      <c r="AF24" s="2397"/>
      <c r="AG24" s="2397"/>
      <c r="AH24" s="2397"/>
      <c r="AI24" s="2397"/>
      <c r="AJ24" s="2397"/>
      <c r="AK24" s="1893"/>
    </row>
    <row r="25" spans="1:40" s="1894" customFormat="1" ht="14.25">
      <c r="I25" s="1900"/>
      <c r="L25" s="2401"/>
      <c r="M25" s="2401"/>
      <c r="N25" s="2401"/>
      <c r="O25" s="2401"/>
      <c r="P25" s="2401"/>
      <c r="Q25" s="2401"/>
      <c r="R25" s="2401"/>
      <c r="S25" s="2401"/>
      <c r="T25" s="2401"/>
      <c r="U25" s="2401"/>
      <c r="AD25" s="2401"/>
      <c r="AE25" s="2401"/>
      <c r="AF25" s="2401"/>
      <c r="AG25" s="2401"/>
      <c r="AH25" s="2401"/>
      <c r="AI25" s="2401"/>
      <c r="AJ25" s="2401"/>
      <c r="AK25" s="1899"/>
    </row>
    <row r="26" spans="1:40">
      <c r="B26" s="2396"/>
      <c r="C26" s="2397"/>
      <c r="D26" s="1893"/>
      <c r="L26" s="2396"/>
      <c r="M26" s="2396"/>
      <c r="N26" s="2396"/>
      <c r="O26" s="2396"/>
      <c r="P26" s="2396"/>
      <c r="Q26" s="2396"/>
      <c r="R26" s="2396"/>
      <c r="S26" s="2396"/>
      <c r="T26" s="2396"/>
      <c r="U26" s="2396"/>
      <c r="AD26" s="2396"/>
      <c r="AE26" s="2396"/>
      <c r="AF26" s="2396"/>
      <c r="AG26" s="2396"/>
      <c r="AH26" s="2396"/>
      <c r="AI26" s="2396"/>
      <c r="AJ26" s="2396"/>
      <c r="AK26" s="1901"/>
    </row>
  </sheetData>
  <mergeCells count="29">
    <mergeCell ref="A7:AN7"/>
    <mergeCell ref="A1:AN1"/>
    <mergeCell ref="A2:AN2"/>
    <mergeCell ref="A3:AN3"/>
    <mergeCell ref="A4:H4"/>
    <mergeCell ref="A5:H5"/>
    <mergeCell ref="AN10:AN11"/>
    <mergeCell ref="A18:D18"/>
    <mergeCell ref="AA19:AN19"/>
    <mergeCell ref="D20:F20"/>
    <mergeCell ref="I20:Q20"/>
    <mergeCell ref="S20:Z20"/>
    <mergeCell ref="AB20:AN20"/>
    <mergeCell ref="A10:A11"/>
    <mergeCell ref="B10:B11"/>
    <mergeCell ref="C10:C11"/>
    <mergeCell ref="D10:D11"/>
    <mergeCell ref="AJ10:AJ11"/>
    <mergeCell ref="AK10:AK11"/>
    <mergeCell ref="B26:C26"/>
    <mergeCell ref="L26:U26"/>
    <mergeCell ref="AD26:AJ26"/>
    <mergeCell ref="AL10:AL11"/>
    <mergeCell ref="AM10:AM11"/>
    <mergeCell ref="AA23:AJ23"/>
    <mergeCell ref="B24:C24"/>
    <mergeCell ref="AB24:AJ24"/>
    <mergeCell ref="L25:U25"/>
    <mergeCell ref="AD25:AJ25"/>
  </mergeCells>
  <conditionalFormatting sqref="AN4:AT5">
    <cfRule type="expression" dxfId="66" priority="1" stopIfTrue="1">
      <formula>$AV$4=""</formula>
    </cfRule>
  </conditionalFormatting>
  <pageMargins left="0.19685039370078741" right="0.19685039370078741" top="0.52" bottom="0.74803149606299213" header="0.31496062992125984" footer="0.31496062992125984"/>
  <pageSetup paperSize="9" scale="75" fitToHeight="0" orientation="landscape" r:id="rId1"/>
  <drawing r:id="rId2"/>
  <legacyDrawing r:id="rId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pageSetUpPr fitToPage="1"/>
  </sheetPr>
  <dimension ref="A1:AQ487"/>
  <sheetViews>
    <sheetView topLeftCell="A81" zoomScale="55" zoomScaleNormal="55" zoomScaleSheetLayoutView="85" workbookViewId="0">
      <selection activeCell="AP96" sqref="AP96"/>
    </sheetView>
  </sheetViews>
  <sheetFormatPr defaultColWidth="8.85546875" defaultRowHeight="16.5"/>
  <cols>
    <col min="1" max="1" width="12.140625" style="1829" customWidth="1"/>
    <col min="2" max="2" width="28.140625" style="1829" customWidth="1"/>
    <col min="3" max="30" width="5.7109375" style="1830" hidden="1" customWidth="1"/>
    <col min="31" max="31" width="2" style="1830" hidden="1" customWidth="1"/>
    <col min="32" max="32" width="2.140625" style="1830" hidden="1" customWidth="1"/>
    <col min="33" max="33" width="22.85546875" style="2149" customWidth="1"/>
    <col min="34" max="34" width="18.85546875" style="1829" customWidth="1"/>
    <col min="35" max="35" width="25.28515625" style="1829" customWidth="1"/>
    <col min="36" max="36" width="35.7109375" style="1829" customWidth="1"/>
    <col min="37" max="37" width="14.5703125" style="1829" bestFit="1" customWidth="1"/>
    <col min="38" max="38" width="8.85546875" style="1829"/>
    <col min="39" max="39" width="10.28515625" style="1829" bestFit="1" customWidth="1"/>
    <col min="40" max="244" width="8.85546875" style="1829"/>
    <col min="245" max="245" width="4.28515625" style="1829" customWidth="1"/>
    <col min="246" max="246" width="9.140625" style="1829" customWidth="1"/>
    <col min="247" max="247" width="16.7109375" style="1829" customWidth="1"/>
    <col min="248" max="249" width="3.28515625" style="1829" customWidth="1"/>
    <col min="250" max="255" width="3.85546875" style="1829" customWidth="1"/>
    <col min="256" max="256" width="4.28515625" style="1829" customWidth="1"/>
    <col min="257" max="260" width="4.140625" style="1829" customWidth="1"/>
    <col min="261" max="262" width="3.85546875" style="1829" customWidth="1"/>
    <col min="263" max="264" width="3.28515625" style="1829" customWidth="1"/>
    <col min="265" max="267" width="3.85546875" style="1829" customWidth="1"/>
    <col min="268" max="268" width="4" style="1829" customWidth="1"/>
    <col min="269" max="269" width="3.85546875" style="1829" customWidth="1"/>
    <col min="270" max="270" width="3.28515625" style="1829" customWidth="1"/>
    <col min="271" max="276" width="3.85546875" style="1829" customWidth="1"/>
    <col min="277" max="278" width="3.28515625" style="1829" customWidth="1"/>
    <col min="279" max="279" width="8" style="1829" customWidth="1"/>
    <col min="280" max="280" width="7.5703125" style="1829" customWidth="1"/>
    <col min="281" max="281" width="7.140625" style="1829" customWidth="1"/>
    <col min="282" max="282" width="9.28515625" style="1829" bestFit="1" customWidth="1"/>
    <col min="283" max="283" width="9.42578125" style="1829" bestFit="1" customWidth="1"/>
    <col min="284" max="500" width="8.85546875" style="1829"/>
    <col min="501" max="501" width="4.28515625" style="1829" customWidth="1"/>
    <col min="502" max="502" width="9.140625" style="1829" customWidth="1"/>
    <col min="503" max="503" width="16.7109375" style="1829" customWidth="1"/>
    <col min="504" max="505" width="3.28515625" style="1829" customWidth="1"/>
    <col min="506" max="511" width="3.85546875" style="1829" customWidth="1"/>
    <col min="512" max="512" width="4.28515625" style="1829" customWidth="1"/>
    <col min="513" max="516" width="4.140625" style="1829" customWidth="1"/>
    <col min="517" max="518" width="3.85546875" style="1829" customWidth="1"/>
    <col min="519" max="520" width="3.28515625" style="1829" customWidth="1"/>
    <col min="521" max="523" width="3.85546875" style="1829" customWidth="1"/>
    <col min="524" max="524" width="4" style="1829" customWidth="1"/>
    <col min="525" max="525" width="3.85546875" style="1829" customWidth="1"/>
    <col min="526" max="526" width="3.28515625" style="1829" customWidth="1"/>
    <col min="527" max="532" width="3.85546875" style="1829" customWidth="1"/>
    <col min="533" max="534" width="3.28515625" style="1829" customWidth="1"/>
    <col min="535" max="535" width="8" style="1829" customWidth="1"/>
    <col min="536" max="536" width="7.5703125" style="1829" customWidth="1"/>
    <col min="537" max="537" width="7.140625" style="1829" customWidth="1"/>
    <col min="538" max="538" width="9.28515625" style="1829" bestFit="1" customWidth="1"/>
    <col min="539" max="539" width="9.42578125" style="1829" bestFit="1" customWidth="1"/>
    <col min="540" max="756" width="8.85546875" style="1829"/>
    <col min="757" max="757" width="4.28515625" style="1829" customWidth="1"/>
    <col min="758" max="758" width="9.140625" style="1829" customWidth="1"/>
    <col min="759" max="759" width="16.7109375" style="1829" customWidth="1"/>
    <col min="760" max="761" width="3.28515625" style="1829" customWidth="1"/>
    <col min="762" max="767" width="3.85546875" style="1829" customWidth="1"/>
    <col min="768" max="768" width="4.28515625" style="1829" customWidth="1"/>
    <col min="769" max="772" width="4.140625" style="1829" customWidth="1"/>
    <col min="773" max="774" width="3.85546875" style="1829" customWidth="1"/>
    <col min="775" max="776" width="3.28515625" style="1829" customWidth="1"/>
    <col min="777" max="779" width="3.85546875" style="1829" customWidth="1"/>
    <col min="780" max="780" width="4" style="1829" customWidth="1"/>
    <col min="781" max="781" width="3.85546875" style="1829" customWidth="1"/>
    <col min="782" max="782" width="3.28515625" style="1829" customWidth="1"/>
    <col min="783" max="788" width="3.85546875" style="1829" customWidth="1"/>
    <col min="789" max="790" width="3.28515625" style="1829" customWidth="1"/>
    <col min="791" max="791" width="8" style="1829" customWidth="1"/>
    <col min="792" max="792" width="7.5703125" style="1829" customWidth="1"/>
    <col min="793" max="793" width="7.140625" style="1829" customWidth="1"/>
    <col min="794" max="794" width="9.28515625" style="1829" bestFit="1" customWidth="1"/>
    <col min="795" max="795" width="9.42578125" style="1829" bestFit="1" customWidth="1"/>
    <col min="796" max="1012" width="8.85546875" style="1829"/>
    <col min="1013" max="1013" width="4.28515625" style="1829" customWidth="1"/>
    <col min="1014" max="1014" width="9.140625" style="1829" customWidth="1"/>
    <col min="1015" max="1015" width="16.7109375" style="1829" customWidth="1"/>
    <col min="1016" max="1017" width="3.28515625" style="1829" customWidth="1"/>
    <col min="1018" max="1023" width="3.85546875" style="1829" customWidth="1"/>
    <col min="1024" max="1024" width="4.28515625" style="1829" customWidth="1"/>
    <col min="1025" max="1028" width="4.140625" style="1829" customWidth="1"/>
    <col min="1029" max="1030" width="3.85546875" style="1829" customWidth="1"/>
    <col min="1031" max="1032" width="3.28515625" style="1829" customWidth="1"/>
    <col min="1033" max="1035" width="3.85546875" style="1829" customWidth="1"/>
    <col min="1036" max="1036" width="4" style="1829" customWidth="1"/>
    <col min="1037" max="1037" width="3.85546875" style="1829" customWidth="1"/>
    <col min="1038" max="1038" width="3.28515625" style="1829" customWidth="1"/>
    <col min="1039" max="1044" width="3.85546875" style="1829" customWidth="1"/>
    <col min="1045" max="1046" width="3.28515625" style="1829" customWidth="1"/>
    <col min="1047" max="1047" width="8" style="1829" customWidth="1"/>
    <col min="1048" max="1048" width="7.5703125" style="1829" customWidth="1"/>
    <col min="1049" max="1049" width="7.140625" style="1829" customWidth="1"/>
    <col min="1050" max="1050" width="9.28515625" style="1829" bestFit="1" customWidth="1"/>
    <col min="1051" max="1051" width="9.42578125" style="1829" bestFit="1" customWidth="1"/>
    <col min="1052" max="1268" width="8.85546875" style="1829"/>
    <col min="1269" max="1269" width="4.28515625" style="1829" customWidth="1"/>
    <col min="1270" max="1270" width="9.140625" style="1829" customWidth="1"/>
    <col min="1271" max="1271" width="16.7109375" style="1829" customWidth="1"/>
    <col min="1272" max="1273" width="3.28515625" style="1829" customWidth="1"/>
    <col min="1274" max="1279" width="3.85546875" style="1829" customWidth="1"/>
    <col min="1280" max="1280" width="4.28515625" style="1829" customWidth="1"/>
    <col min="1281" max="1284" width="4.140625" style="1829" customWidth="1"/>
    <col min="1285" max="1286" width="3.85546875" style="1829" customWidth="1"/>
    <col min="1287" max="1288" width="3.28515625" style="1829" customWidth="1"/>
    <col min="1289" max="1291" width="3.85546875" style="1829" customWidth="1"/>
    <col min="1292" max="1292" width="4" style="1829" customWidth="1"/>
    <col min="1293" max="1293" width="3.85546875" style="1829" customWidth="1"/>
    <col min="1294" max="1294" width="3.28515625" style="1829" customWidth="1"/>
    <col min="1295" max="1300" width="3.85546875" style="1829" customWidth="1"/>
    <col min="1301" max="1302" width="3.28515625" style="1829" customWidth="1"/>
    <col min="1303" max="1303" width="8" style="1829" customWidth="1"/>
    <col min="1304" max="1304" width="7.5703125" style="1829" customWidth="1"/>
    <col min="1305" max="1305" width="7.140625" style="1829" customWidth="1"/>
    <col min="1306" max="1306" width="9.28515625" style="1829" bestFit="1" customWidth="1"/>
    <col min="1307" max="1307" width="9.42578125" style="1829" bestFit="1" customWidth="1"/>
    <col min="1308" max="1524" width="8.85546875" style="1829"/>
    <col min="1525" max="1525" width="4.28515625" style="1829" customWidth="1"/>
    <col min="1526" max="1526" width="9.140625" style="1829" customWidth="1"/>
    <col min="1527" max="1527" width="16.7109375" style="1829" customWidth="1"/>
    <col min="1528" max="1529" width="3.28515625" style="1829" customWidth="1"/>
    <col min="1530" max="1535" width="3.85546875" style="1829" customWidth="1"/>
    <col min="1536" max="1536" width="4.28515625" style="1829" customWidth="1"/>
    <col min="1537" max="1540" width="4.140625" style="1829" customWidth="1"/>
    <col min="1541" max="1542" width="3.85546875" style="1829" customWidth="1"/>
    <col min="1543" max="1544" width="3.28515625" style="1829" customWidth="1"/>
    <col min="1545" max="1547" width="3.85546875" style="1829" customWidth="1"/>
    <col min="1548" max="1548" width="4" style="1829" customWidth="1"/>
    <col min="1549" max="1549" width="3.85546875" style="1829" customWidth="1"/>
    <col min="1550" max="1550" width="3.28515625" style="1829" customWidth="1"/>
    <col min="1551" max="1556" width="3.85546875" style="1829" customWidth="1"/>
    <col min="1557" max="1558" width="3.28515625" style="1829" customWidth="1"/>
    <col min="1559" max="1559" width="8" style="1829" customWidth="1"/>
    <col min="1560" max="1560" width="7.5703125" style="1829" customWidth="1"/>
    <col min="1561" max="1561" width="7.140625" style="1829" customWidth="1"/>
    <col min="1562" max="1562" width="9.28515625" style="1829" bestFit="1" customWidth="1"/>
    <col min="1563" max="1563" width="9.42578125" style="1829" bestFit="1" customWidth="1"/>
    <col min="1564" max="1780" width="8.85546875" style="1829"/>
    <col min="1781" max="1781" width="4.28515625" style="1829" customWidth="1"/>
    <col min="1782" max="1782" width="9.140625" style="1829" customWidth="1"/>
    <col min="1783" max="1783" width="16.7109375" style="1829" customWidth="1"/>
    <col min="1784" max="1785" width="3.28515625" style="1829" customWidth="1"/>
    <col min="1786" max="1791" width="3.85546875" style="1829" customWidth="1"/>
    <col min="1792" max="1792" width="4.28515625" style="1829" customWidth="1"/>
    <col min="1793" max="1796" width="4.140625" style="1829" customWidth="1"/>
    <col min="1797" max="1798" width="3.85546875" style="1829" customWidth="1"/>
    <col min="1799" max="1800" width="3.28515625" style="1829" customWidth="1"/>
    <col min="1801" max="1803" width="3.85546875" style="1829" customWidth="1"/>
    <col min="1804" max="1804" width="4" style="1829" customWidth="1"/>
    <col min="1805" max="1805" width="3.85546875" style="1829" customWidth="1"/>
    <col min="1806" max="1806" width="3.28515625" style="1829" customWidth="1"/>
    <col min="1807" max="1812" width="3.85546875" style="1829" customWidth="1"/>
    <col min="1813" max="1814" width="3.28515625" style="1829" customWidth="1"/>
    <col min="1815" max="1815" width="8" style="1829" customWidth="1"/>
    <col min="1816" max="1816" width="7.5703125" style="1829" customWidth="1"/>
    <col min="1817" max="1817" width="7.140625" style="1829" customWidth="1"/>
    <col min="1818" max="1818" width="9.28515625" style="1829" bestFit="1" customWidth="1"/>
    <col min="1819" max="1819" width="9.42578125" style="1829" bestFit="1" customWidth="1"/>
    <col min="1820" max="2036" width="8.85546875" style="1829"/>
    <col min="2037" max="2037" width="4.28515625" style="1829" customWidth="1"/>
    <col min="2038" max="2038" width="9.140625" style="1829" customWidth="1"/>
    <col min="2039" max="2039" width="16.7109375" style="1829" customWidth="1"/>
    <col min="2040" max="2041" width="3.28515625" style="1829" customWidth="1"/>
    <col min="2042" max="2047" width="3.85546875" style="1829" customWidth="1"/>
    <col min="2048" max="2048" width="4.28515625" style="1829" customWidth="1"/>
    <col min="2049" max="2052" width="4.140625" style="1829" customWidth="1"/>
    <col min="2053" max="2054" width="3.85546875" style="1829" customWidth="1"/>
    <col min="2055" max="2056" width="3.28515625" style="1829" customWidth="1"/>
    <col min="2057" max="2059" width="3.85546875" style="1829" customWidth="1"/>
    <col min="2060" max="2060" width="4" style="1829" customWidth="1"/>
    <col min="2061" max="2061" width="3.85546875" style="1829" customWidth="1"/>
    <col min="2062" max="2062" width="3.28515625" style="1829" customWidth="1"/>
    <col min="2063" max="2068" width="3.85546875" style="1829" customWidth="1"/>
    <col min="2069" max="2070" width="3.28515625" style="1829" customWidth="1"/>
    <col min="2071" max="2071" width="8" style="1829" customWidth="1"/>
    <col min="2072" max="2072" width="7.5703125" style="1829" customWidth="1"/>
    <col min="2073" max="2073" width="7.140625" style="1829" customWidth="1"/>
    <col min="2074" max="2074" width="9.28515625" style="1829" bestFit="1" customWidth="1"/>
    <col min="2075" max="2075" width="9.42578125" style="1829" bestFit="1" customWidth="1"/>
    <col min="2076" max="2292" width="8.85546875" style="1829"/>
    <col min="2293" max="2293" width="4.28515625" style="1829" customWidth="1"/>
    <col min="2294" max="2294" width="9.140625" style="1829" customWidth="1"/>
    <col min="2295" max="2295" width="16.7109375" style="1829" customWidth="1"/>
    <col min="2296" max="2297" width="3.28515625" style="1829" customWidth="1"/>
    <col min="2298" max="2303" width="3.85546875" style="1829" customWidth="1"/>
    <col min="2304" max="2304" width="4.28515625" style="1829" customWidth="1"/>
    <col min="2305" max="2308" width="4.140625" style="1829" customWidth="1"/>
    <col min="2309" max="2310" width="3.85546875" style="1829" customWidth="1"/>
    <col min="2311" max="2312" width="3.28515625" style="1829" customWidth="1"/>
    <col min="2313" max="2315" width="3.85546875" style="1829" customWidth="1"/>
    <col min="2316" max="2316" width="4" style="1829" customWidth="1"/>
    <col min="2317" max="2317" width="3.85546875" style="1829" customWidth="1"/>
    <col min="2318" max="2318" width="3.28515625" style="1829" customWidth="1"/>
    <col min="2319" max="2324" width="3.85546875" style="1829" customWidth="1"/>
    <col min="2325" max="2326" width="3.28515625" style="1829" customWidth="1"/>
    <col min="2327" max="2327" width="8" style="1829" customWidth="1"/>
    <col min="2328" max="2328" width="7.5703125" style="1829" customWidth="1"/>
    <col min="2329" max="2329" width="7.140625" style="1829" customWidth="1"/>
    <col min="2330" max="2330" width="9.28515625" style="1829" bestFit="1" customWidth="1"/>
    <col min="2331" max="2331" width="9.42578125" style="1829" bestFit="1" customWidth="1"/>
    <col min="2332" max="2548" width="8.85546875" style="1829"/>
    <col min="2549" max="2549" width="4.28515625" style="1829" customWidth="1"/>
    <col min="2550" max="2550" width="9.140625" style="1829" customWidth="1"/>
    <col min="2551" max="2551" width="16.7109375" style="1829" customWidth="1"/>
    <col min="2552" max="2553" width="3.28515625" style="1829" customWidth="1"/>
    <col min="2554" max="2559" width="3.85546875" style="1829" customWidth="1"/>
    <col min="2560" max="2560" width="4.28515625" style="1829" customWidth="1"/>
    <col min="2561" max="2564" width="4.140625" style="1829" customWidth="1"/>
    <col min="2565" max="2566" width="3.85546875" style="1829" customWidth="1"/>
    <col min="2567" max="2568" width="3.28515625" style="1829" customWidth="1"/>
    <col min="2569" max="2571" width="3.85546875" style="1829" customWidth="1"/>
    <col min="2572" max="2572" width="4" style="1829" customWidth="1"/>
    <col min="2573" max="2573" width="3.85546875" style="1829" customWidth="1"/>
    <col min="2574" max="2574" width="3.28515625" style="1829" customWidth="1"/>
    <col min="2575" max="2580" width="3.85546875" style="1829" customWidth="1"/>
    <col min="2581" max="2582" width="3.28515625" style="1829" customWidth="1"/>
    <col min="2583" max="2583" width="8" style="1829" customWidth="1"/>
    <col min="2584" max="2584" width="7.5703125" style="1829" customWidth="1"/>
    <col min="2585" max="2585" width="7.140625" style="1829" customWidth="1"/>
    <col min="2586" max="2586" width="9.28515625" style="1829" bestFit="1" customWidth="1"/>
    <col min="2587" max="2587" width="9.42578125" style="1829" bestFit="1" customWidth="1"/>
    <col min="2588" max="2804" width="8.85546875" style="1829"/>
    <col min="2805" max="2805" width="4.28515625" style="1829" customWidth="1"/>
    <col min="2806" max="2806" width="9.140625" style="1829" customWidth="1"/>
    <col min="2807" max="2807" width="16.7109375" style="1829" customWidth="1"/>
    <col min="2808" max="2809" width="3.28515625" style="1829" customWidth="1"/>
    <col min="2810" max="2815" width="3.85546875" style="1829" customWidth="1"/>
    <col min="2816" max="2816" width="4.28515625" style="1829" customWidth="1"/>
    <col min="2817" max="2820" width="4.140625" style="1829" customWidth="1"/>
    <col min="2821" max="2822" width="3.85546875" style="1829" customWidth="1"/>
    <col min="2823" max="2824" width="3.28515625" style="1829" customWidth="1"/>
    <col min="2825" max="2827" width="3.85546875" style="1829" customWidth="1"/>
    <col min="2828" max="2828" width="4" style="1829" customWidth="1"/>
    <col min="2829" max="2829" width="3.85546875" style="1829" customWidth="1"/>
    <col min="2830" max="2830" width="3.28515625" style="1829" customWidth="1"/>
    <col min="2831" max="2836" width="3.85546875" style="1829" customWidth="1"/>
    <col min="2837" max="2838" width="3.28515625" style="1829" customWidth="1"/>
    <col min="2839" max="2839" width="8" style="1829" customWidth="1"/>
    <col min="2840" max="2840" width="7.5703125" style="1829" customWidth="1"/>
    <col min="2841" max="2841" width="7.140625" style="1829" customWidth="1"/>
    <col min="2842" max="2842" width="9.28515625" style="1829" bestFit="1" customWidth="1"/>
    <col min="2843" max="2843" width="9.42578125" style="1829" bestFit="1" customWidth="1"/>
    <col min="2844" max="3060" width="8.85546875" style="1829"/>
    <col min="3061" max="3061" width="4.28515625" style="1829" customWidth="1"/>
    <col min="3062" max="3062" width="9.140625" style="1829" customWidth="1"/>
    <col min="3063" max="3063" width="16.7109375" style="1829" customWidth="1"/>
    <col min="3064" max="3065" width="3.28515625" style="1829" customWidth="1"/>
    <col min="3066" max="3071" width="3.85546875" style="1829" customWidth="1"/>
    <col min="3072" max="3072" width="4.28515625" style="1829" customWidth="1"/>
    <col min="3073" max="3076" width="4.140625" style="1829" customWidth="1"/>
    <col min="3077" max="3078" width="3.85546875" style="1829" customWidth="1"/>
    <col min="3079" max="3080" width="3.28515625" style="1829" customWidth="1"/>
    <col min="3081" max="3083" width="3.85546875" style="1829" customWidth="1"/>
    <col min="3084" max="3084" width="4" style="1829" customWidth="1"/>
    <col min="3085" max="3085" width="3.85546875" style="1829" customWidth="1"/>
    <col min="3086" max="3086" width="3.28515625" style="1829" customWidth="1"/>
    <col min="3087" max="3092" width="3.85546875" style="1829" customWidth="1"/>
    <col min="3093" max="3094" width="3.28515625" style="1829" customWidth="1"/>
    <col min="3095" max="3095" width="8" style="1829" customWidth="1"/>
    <col min="3096" max="3096" width="7.5703125" style="1829" customWidth="1"/>
    <col min="3097" max="3097" width="7.140625" style="1829" customWidth="1"/>
    <col min="3098" max="3098" width="9.28515625" style="1829" bestFit="1" customWidth="1"/>
    <col min="3099" max="3099" width="9.42578125" style="1829" bestFit="1" customWidth="1"/>
    <col min="3100" max="3316" width="8.85546875" style="1829"/>
    <col min="3317" max="3317" width="4.28515625" style="1829" customWidth="1"/>
    <col min="3318" max="3318" width="9.140625" style="1829" customWidth="1"/>
    <col min="3319" max="3319" width="16.7109375" style="1829" customWidth="1"/>
    <col min="3320" max="3321" width="3.28515625" style="1829" customWidth="1"/>
    <col min="3322" max="3327" width="3.85546875" style="1829" customWidth="1"/>
    <col min="3328" max="3328" width="4.28515625" style="1829" customWidth="1"/>
    <col min="3329" max="3332" width="4.140625" style="1829" customWidth="1"/>
    <col min="3333" max="3334" width="3.85546875" style="1829" customWidth="1"/>
    <col min="3335" max="3336" width="3.28515625" style="1829" customWidth="1"/>
    <col min="3337" max="3339" width="3.85546875" style="1829" customWidth="1"/>
    <col min="3340" max="3340" width="4" style="1829" customWidth="1"/>
    <col min="3341" max="3341" width="3.85546875" style="1829" customWidth="1"/>
    <col min="3342" max="3342" width="3.28515625" style="1829" customWidth="1"/>
    <col min="3343" max="3348" width="3.85546875" style="1829" customWidth="1"/>
    <col min="3349" max="3350" width="3.28515625" style="1829" customWidth="1"/>
    <col min="3351" max="3351" width="8" style="1829" customWidth="1"/>
    <col min="3352" max="3352" width="7.5703125" style="1829" customWidth="1"/>
    <col min="3353" max="3353" width="7.140625" style="1829" customWidth="1"/>
    <col min="3354" max="3354" width="9.28515625" style="1829" bestFit="1" customWidth="1"/>
    <col min="3355" max="3355" width="9.42578125" style="1829" bestFit="1" customWidth="1"/>
    <col min="3356" max="3572" width="8.85546875" style="1829"/>
    <col min="3573" max="3573" width="4.28515625" style="1829" customWidth="1"/>
    <col min="3574" max="3574" width="9.140625" style="1829" customWidth="1"/>
    <col min="3575" max="3575" width="16.7109375" style="1829" customWidth="1"/>
    <col min="3576" max="3577" width="3.28515625" style="1829" customWidth="1"/>
    <col min="3578" max="3583" width="3.85546875" style="1829" customWidth="1"/>
    <col min="3584" max="3584" width="4.28515625" style="1829" customWidth="1"/>
    <col min="3585" max="3588" width="4.140625" style="1829" customWidth="1"/>
    <col min="3589" max="3590" width="3.85546875" style="1829" customWidth="1"/>
    <col min="3591" max="3592" width="3.28515625" style="1829" customWidth="1"/>
    <col min="3593" max="3595" width="3.85546875" style="1829" customWidth="1"/>
    <col min="3596" max="3596" width="4" style="1829" customWidth="1"/>
    <col min="3597" max="3597" width="3.85546875" style="1829" customWidth="1"/>
    <col min="3598" max="3598" width="3.28515625" style="1829" customWidth="1"/>
    <col min="3599" max="3604" width="3.85546875" style="1829" customWidth="1"/>
    <col min="3605" max="3606" width="3.28515625" style="1829" customWidth="1"/>
    <col min="3607" max="3607" width="8" style="1829" customWidth="1"/>
    <col min="3608" max="3608" width="7.5703125" style="1829" customWidth="1"/>
    <col min="3609" max="3609" width="7.140625" style="1829" customWidth="1"/>
    <col min="3610" max="3610" width="9.28515625" style="1829" bestFit="1" customWidth="1"/>
    <col min="3611" max="3611" width="9.42578125" style="1829" bestFit="1" customWidth="1"/>
    <col min="3612" max="3828" width="8.85546875" style="1829"/>
    <col min="3829" max="3829" width="4.28515625" style="1829" customWidth="1"/>
    <col min="3830" max="3830" width="9.140625" style="1829" customWidth="1"/>
    <col min="3831" max="3831" width="16.7109375" style="1829" customWidth="1"/>
    <col min="3832" max="3833" width="3.28515625" style="1829" customWidth="1"/>
    <col min="3834" max="3839" width="3.85546875" style="1829" customWidth="1"/>
    <col min="3840" max="3840" width="4.28515625" style="1829" customWidth="1"/>
    <col min="3841" max="3844" width="4.140625" style="1829" customWidth="1"/>
    <col min="3845" max="3846" width="3.85546875" style="1829" customWidth="1"/>
    <col min="3847" max="3848" width="3.28515625" style="1829" customWidth="1"/>
    <col min="3849" max="3851" width="3.85546875" style="1829" customWidth="1"/>
    <col min="3852" max="3852" width="4" style="1829" customWidth="1"/>
    <col min="3853" max="3853" width="3.85546875" style="1829" customWidth="1"/>
    <col min="3854" max="3854" width="3.28515625" style="1829" customWidth="1"/>
    <col min="3855" max="3860" width="3.85546875" style="1829" customWidth="1"/>
    <col min="3861" max="3862" width="3.28515625" style="1829" customWidth="1"/>
    <col min="3863" max="3863" width="8" style="1829" customWidth="1"/>
    <col min="3864" max="3864" width="7.5703125" style="1829" customWidth="1"/>
    <col min="3865" max="3865" width="7.140625" style="1829" customWidth="1"/>
    <col min="3866" max="3866" width="9.28515625" style="1829" bestFit="1" customWidth="1"/>
    <col min="3867" max="3867" width="9.42578125" style="1829" bestFit="1" customWidth="1"/>
    <col min="3868" max="4084" width="8.85546875" style="1829"/>
    <col min="4085" max="4085" width="4.28515625" style="1829" customWidth="1"/>
    <col min="4086" max="4086" width="9.140625" style="1829" customWidth="1"/>
    <col min="4087" max="4087" width="16.7109375" style="1829" customWidth="1"/>
    <col min="4088" max="4089" width="3.28515625" style="1829" customWidth="1"/>
    <col min="4090" max="4095" width="3.85546875" style="1829" customWidth="1"/>
    <col min="4096" max="4096" width="4.28515625" style="1829" customWidth="1"/>
    <col min="4097" max="4100" width="4.140625" style="1829" customWidth="1"/>
    <col min="4101" max="4102" width="3.85546875" style="1829" customWidth="1"/>
    <col min="4103" max="4104" width="3.28515625" style="1829" customWidth="1"/>
    <col min="4105" max="4107" width="3.85546875" style="1829" customWidth="1"/>
    <col min="4108" max="4108" width="4" style="1829" customWidth="1"/>
    <col min="4109" max="4109" width="3.85546875" style="1829" customWidth="1"/>
    <col min="4110" max="4110" width="3.28515625" style="1829" customWidth="1"/>
    <col min="4111" max="4116" width="3.85546875" style="1829" customWidth="1"/>
    <col min="4117" max="4118" width="3.28515625" style="1829" customWidth="1"/>
    <col min="4119" max="4119" width="8" style="1829" customWidth="1"/>
    <col min="4120" max="4120" width="7.5703125" style="1829" customWidth="1"/>
    <col min="4121" max="4121" width="7.140625" style="1829" customWidth="1"/>
    <col min="4122" max="4122" width="9.28515625" style="1829" bestFit="1" customWidth="1"/>
    <col min="4123" max="4123" width="9.42578125" style="1829" bestFit="1" customWidth="1"/>
    <col min="4124" max="4340" width="8.85546875" style="1829"/>
    <col min="4341" max="4341" width="4.28515625" style="1829" customWidth="1"/>
    <col min="4342" max="4342" width="9.140625" style="1829" customWidth="1"/>
    <col min="4343" max="4343" width="16.7109375" style="1829" customWidth="1"/>
    <col min="4344" max="4345" width="3.28515625" style="1829" customWidth="1"/>
    <col min="4346" max="4351" width="3.85546875" style="1829" customWidth="1"/>
    <col min="4352" max="4352" width="4.28515625" style="1829" customWidth="1"/>
    <col min="4353" max="4356" width="4.140625" style="1829" customWidth="1"/>
    <col min="4357" max="4358" width="3.85546875" style="1829" customWidth="1"/>
    <col min="4359" max="4360" width="3.28515625" style="1829" customWidth="1"/>
    <col min="4361" max="4363" width="3.85546875" style="1829" customWidth="1"/>
    <col min="4364" max="4364" width="4" style="1829" customWidth="1"/>
    <col min="4365" max="4365" width="3.85546875" style="1829" customWidth="1"/>
    <col min="4366" max="4366" width="3.28515625" style="1829" customWidth="1"/>
    <col min="4367" max="4372" width="3.85546875" style="1829" customWidth="1"/>
    <col min="4373" max="4374" width="3.28515625" style="1829" customWidth="1"/>
    <col min="4375" max="4375" width="8" style="1829" customWidth="1"/>
    <col min="4376" max="4376" width="7.5703125" style="1829" customWidth="1"/>
    <col min="4377" max="4377" width="7.140625" style="1829" customWidth="1"/>
    <col min="4378" max="4378" width="9.28515625" style="1829" bestFit="1" customWidth="1"/>
    <col min="4379" max="4379" width="9.42578125" style="1829" bestFit="1" customWidth="1"/>
    <col min="4380" max="4596" width="8.85546875" style="1829"/>
    <col min="4597" max="4597" width="4.28515625" style="1829" customWidth="1"/>
    <col min="4598" max="4598" width="9.140625" style="1829" customWidth="1"/>
    <col min="4599" max="4599" width="16.7109375" style="1829" customWidth="1"/>
    <col min="4600" max="4601" width="3.28515625" style="1829" customWidth="1"/>
    <col min="4602" max="4607" width="3.85546875" style="1829" customWidth="1"/>
    <col min="4608" max="4608" width="4.28515625" style="1829" customWidth="1"/>
    <col min="4609" max="4612" width="4.140625" style="1829" customWidth="1"/>
    <col min="4613" max="4614" width="3.85546875" style="1829" customWidth="1"/>
    <col min="4615" max="4616" width="3.28515625" style="1829" customWidth="1"/>
    <col min="4617" max="4619" width="3.85546875" style="1829" customWidth="1"/>
    <col min="4620" max="4620" width="4" style="1829" customWidth="1"/>
    <col min="4621" max="4621" width="3.85546875" style="1829" customWidth="1"/>
    <col min="4622" max="4622" width="3.28515625" style="1829" customWidth="1"/>
    <col min="4623" max="4628" width="3.85546875" style="1829" customWidth="1"/>
    <col min="4629" max="4630" width="3.28515625" style="1829" customWidth="1"/>
    <col min="4631" max="4631" width="8" style="1829" customWidth="1"/>
    <col min="4632" max="4632" width="7.5703125" style="1829" customWidth="1"/>
    <col min="4633" max="4633" width="7.140625" style="1829" customWidth="1"/>
    <col min="4634" max="4634" width="9.28515625" style="1829" bestFit="1" customWidth="1"/>
    <col min="4635" max="4635" width="9.42578125" style="1829" bestFit="1" customWidth="1"/>
    <col min="4636" max="4852" width="8.85546875" style="1829"/>
    <col min="4853" max="4853" width="4.28515625" style="1829" customWidth="1"/>
    <col min="4854" max="4854" width="9.140625" style="1829" customWidth="1"/>
    <col min="4855" max="4855" width="16.7109375" style="1829" customWidth="1"/>
    <col min="4856" max="4857" width="3.28515625" style="1829" customWidth="1"/>
    <col min="4858" max="4863" width="3.85546875" style="1829" customWidth="1"/>
    <col min="4864" max="4864" width="4.28515625" style="1829" customWidth="1"/>
    <col min="4865" max="4868" width="4.140625" style="1829" customWidth="1"/>
    <col min="4869" max="4870" width="3.85546875" style="1829" customWidth="1"/>
    <col min="4871" max="4872" width="3.28515625" style="1829" customWidth="1"/>
    <col min="4873" max="4875" width="3.85546875" style="1829" customWidth="1"/>
    <col min="4876" max="4876" width="4" style="1829" customWidth="1"/>
    <col min="4877" max="4877" width="3.85546875" style="1829" customWidth="1"/>
    <col min="4878" max="4878" width="3.28515625" style="1829" customWidth="1"/>
    <col min="4879" max="4884" width="3.85546875" style="1829" customWidth="1"/>
    <col min="4885" max="4886" width="3.28515625" style="1829" customWidth="1"/>
    <col min="4887" max="4887" width="8" style="1829" customWidth="1"/>
    <col min="4888" max="4888" width="7.5703125" style="1829" customWidth="1"/>
    <col min="4889" max="4889" width="7.140625" style="1829" customWidth="1"/>
    <col min="4890" max="4890" width="9.28515625" style="1829" bestFit="1" customWidth="1"/>
    <col min="4891" max="4891" width="9.42578125" style="1829" bestFit="1" customWidth="1"/>
    <col min="4892" max="5108" width="8.85546875" style="1829"/>
    <col min="5109" max="5109" width="4.28515625" style="1829" customWidth="1"/>
    <col min="5110" max="5110" width="9.140625" style="1829" customWidth="1"/>
    <col min="5111" max="5111" width="16.7109375" style="1829" customWidth="1"/>
    <col min="5112" max="5113" width="3.28515625" style="1829" customWidth="1"/>
    <col min="5114" max="5119" width="3.85546875" style="1829" customWidth="1"/>
    <col min="5120" max="5120" width="4.28515625" style="1829" customWidth="1"/>
    <col min="5121" max="5124" width="4.140625" style="1829" customWidth="1"/>
    <col min="5125" max="5126" width="3.85546875" style="1829" customWidth="1"/>
    <col min="5127" max="5128" width="3.28515625" style="1829" customWidth="1"/>
    <col min="5129" max="5131" width="3.85546875" style="1829" customWidth="1"/>
    <col min="5132" max="5132" width="4" style="1829" customWidth="1"/>
    <col min="5133" max="5133" width="3.85546875" style="1829" customWidth="1"/>
    <col min="5134" max="5134" width="3.28515625" style="1829" customWidth="1"/>
    <col min="5135" max="5140" width="3.85546875" style="1829" customWidth="1"/>
    <col min="5141" max="5142" width="3.28515625" style="1829" customWidth="1"/>
    <col min="5143" max="5143" width="8" style="1829" customWidth="1"/>
    <col min="5144" max="5144" width="7.5703125" style="1829" customWidth="1"/>
    <col min="5145" max="5145" width="7.140625" style="1829" customWidth="1"/>
    <col min="5146" max="5146" width="9.28515625" style="1829" bestFit="1" customWidth="1"/>
    <col min="5147" max="5147" width="9.42578125" style="1829" bestFit="1" customWidth="1"/>
    <col min="5148" max="5364" width="8.85546875" style="1829"/>
    <col min="5365" max="5365" width="4.28515625" style="1829" customWidth="1"/>
    <col min="5366" max="5366" width="9.140625" style="1829" customWidth="1"/>
    <col min="5367" max="5367" width="16.7109375" style="1829" customWidth="1"/>
    <col min="5368" max="5369" width="3.28515625" style="1829" customWidth="1"/>
    <col min="5370" max="5375" width="3.85546875" style="1829" customWidth="1"/>
    <col min="5376" max="5376" width="4.28515625" style="1829" customWidth="1"/>
    <col min="5377" max="5380" width="4.140625" style="1829" customWidth="1"/>
    <col min="5381" max="5382" width="3.85546875" style="1829" customWidth="1"/>
    <col min="5383" max="5384" width="3.28515625" style="1829" customWidth="1"/>
    <col min="5385" max="5387" width="3.85546875" style="1829" customWidth="1"/>
    <col min="5388" max="5388" width="4" style="1829" customWidth="1"/>
    <col min="5389" max="5389" width="3.85546875" style="1829" customWidth="1"/>
    <col min="5390" max="5390" width="3.28515625" style="1829" customWidth="1"/>
    <col min="5391" max="5396" width="3.85546875" style="1829" customWidth="1"/>
    <col min="5397" max="5398" width="3.28515625" style="1829" customWidth="1"/>
    <col min="5399" max="5399" width="8" style="1829" customWidth="1"/>
    <col min="5400" max="5400" width="7.5703125" style="1829" customWidth="1"/>
    <col min="5401" max="5401" width="7.140625" style="1829" customWidth="1"/>
    <col min="5402" max="5402" width="9.28515625" style="1829" bestFit="1" customWidth="1"/>
    <col min="5403" max="5403" width="9.42578125" style="1829" bestFit="1" customWidth="1"/>
    <col min="5404" max="5620" width="8.85546875" style="1829"/>
    <col min="5621" max="5621" width="4.28515625" style="1829" customWidth="1"/>
    <col min="5622" max="5622" width="9.140625" style="1829" customWidth="1"/>
    <col min="5623" max="5623" width="16.7109375" style="1829" customWidth="1"/>
    <col min="5624" max="5625" width="3.28515625" style="1829" customWidth="1"/>
    <col min="5626" max="5631" width="3.85546875" style="1829" customWidth="1"/>
    <col min="5632" max="5632" width="4.28515625" style="1829" customWidth="1"/>
    <col min="5633" max="5636" width="4.140625" style="1829" customWidth="1"/>
    <col min="5637" max="5638" width="3.85546875" style="1829" customWidth="1"/>
    <col min="5639" max="5640" width="3.28515625" style="1829" customWidth="1"/>
    <col min="5641" max="5643" width="3.85546875" style="1829" customWidth="1"/>
    <col min="5644" max="5644" width="4" style="1829" customWidth="1"/>
    <col min="5645" max="5645" width="3.85546875" style="1829" customWidth="1"/>
    <col min="5646" max="5646" width="3.28515625" style="1829" customWidth="1"/>
    <col min="5647" max="5652" width="3.85546875" style="1829" customWidth="1"/>
    <col min="5653" max="5654" width="3.28515625" style="1829" customWidth="1"/>
    <col min="5655" max="5655" width="8" style="1829" customWidth="1"/>
    <col min="5656" max="5656" width="7.5703125" style="1829" customWidth="1"/>
    <col min="5657" max="5657" width="7.140625" style="1829" customWidth="1"/>
    <col min="5658" max="5658" width="9.28515625" style="1829" bestFit="1" customWidth="1"/>
    <col min="5659" max="5659" width="9.42578125" style="1829" bestFit="1" customWidth="1"/>
    <col min="5660" max="5876" width="8.85546875" style="1829"/>
    <col min="5877" max="5877" width="4.28515625" style="1829" customWidth="1"/>
    <col min="5878" max="5878" width="9.140625" style="1829" customWidth="1"/>
    <col min="5879" max="5879" width="16.7109375" style="1829" customWidth="1"/>
    <col min="5880" max="5881" width="3.28515625" style="1829" customWidth="1"/>
    <col min="5882" max="5887" width="3.85546875" style="1829" customWidth="1"/>
    <col min="5888" max="5888" width="4.28515625" style="1829" customWidth="1"/>
    <col min="5889" max="5892" width="4.140625" style="1829" customWidth="1"/>
    <col min="5893" max="5894" width="3.85546875" style="1829" customWidth="1"/>
    <col min="5895" max="5896" width="3.28515625" style="1829" customWidth="1"/>
    <col min="5897" max="5899" width="3.85546875" style="1829" customWidth="1"/>
    <col min="5900" max="5900" width="4" style="1829" customWidth="1"/>
    <col min="5901" max="5901" width="3.85546875" style="1829" customWidth="1"/>
    <col min="5902" max="5902" width="3.28515625" style="1829" customWidth="1"/>
    <col min="5903" max="5908" width="3.85546875" style="1829" customWidth="1"/>
    <col min="5909" max="5910" width="3.28515625" style="1829" customWidth="1"/>
    <col min="5911" max="5911" width="8" style="1829" customWidth="1"/>
    <col min="5912" max="5912" width="7.5703125" style="1829" customWidth="1"/>
    <col min="5913" max="5913" width="7.140625" style="1829" customWidth="1"/>
    <col min="5914" max="5914" width="9.28515625" style="1829" bestFit="1" customWidth="1"/>
    <col min="5915" max="5915" width="9.42578125" style="1829" bestFit="1" customWidth="1"/>
    <col min="5916" max="6132" width="8.85546875" style="1829"/>
    <col min="6133" max="6133" width="4.28515625" style="1829" customWidth="1"/>
    <col min="6134" max="6134" width="9.140625" style="1829" customWidth="1"/>
    <col min="6135" max="6135" width="16.7109375" style="1829" customWidth="1"/>
    <col min="6136" max="6137" width="3.28515625" style="1829" customWidth="1"/>
    <col min="6138" max="6143" width="3.85546875" style="1829" customWidth="1"/>
    <col min="6144" max="6144" width="4.28515625" style="1829" customWidth="1"/>
    <col min="6145" max="6148" width="4.140625" style="1829" customWidth="1"/>
    <col min="6149" max="6150" width="3.85546875" style="1829" customWidth="1"/>
    <col min="6151" max="6152" width="3.28515625" style="1829" customWidth="1"/>
    <col min="6153" max="6155" width="3.85546875" style="1829" customWidth="1"/>
    <col min="6156" max="6156" width="4" style="1829" customWidth="1"/>
    <col min="6157" max="6157" width="3.85546875" style="1829" customWidth="1"/>
    <col min="6158" max="6158" width="3.28515625" style="1829" customWidth="1"/>
    <col min="6159" max="6164" width="3.85546875" style="1829" customWidth="1"/>
    <col min="6165" max="6166" width="3.28515625" style="1829" customWidth="1"/>
    <col min="6167" max="6167" width="8" style="1829" customWidth="1"/>
    <col min="6168" max="6168" width="7.5703125" style="1829" customWidth="1"/>
    <col min="6169" max="6169" width="7.140625" style="1829" customWidth="1"/>
    <col min="6170" max="6170" width="9.28515625" style="1829" bestFit="1" customWidth="1"/>
    <col min="6171" max="6171" width="9.42578125" style="1829" bestFit="1" customWidth="1"/>
    <col min="6172" max="6388" width="8.85546875" style="1829"/>
    <col min="6389" max="6389" width="4.28515625" style="1829" customWidth="1"/>
    <col min="6390" max="6390" width="9.140625" style="1829" customWidth="1"/>
    <col min="6391" max="6391" width="16.7109375" style="1829" customWidth="1"/>
    <col min="6392" max="6393" width="3.28515625" style="1829" customWidth="1"/>
    <col min="6394" max="6399" width="3.85546875" style="1829" customWidth="1"/>
    <col min="6400" max="6400" width="4.28515625" style="1829" customWidth="1"/>
    <col min="6401" max="6404" width="4.140625" style="1829" customWidth="1"/>
    <col min="6405" max="6406" width="3.85546875" style="1829" customWidth="1"/>
    <col min="6407" max="6408" width="3.28515625" style="1829" customWidth="1"/>
    <col min="6409" max="6411" width="3.85546875" style="1829" customWidth="1"/>
    <col min="6412" max="6412" width="4" style="1829" customWidth="1"/>
    <col min="6413" max="6413" width="3.85546875" style="1829" customWidth="1"/>
    <col min="6414" max="6414" width="3.28515625" style="1829" customWidth="1"/>
    <col min="6415" max="6420" width="3.85546875" style="1829" customWidth="1"/>
    <col min="6421" max="6422" width="3.28515625" style="1829" customWidth="1"/>
    <col min="6423" max="6423" width="8" style="1829" customWidth="1"/>
    <col min="6424" max="6424" width="7.5703125" style="1829" customWidth="1"/>
    <col min="6425" max="6425" width="7.140625" style="1829" customWidth="1"/>
    <col min="6426" max="6426" width="9.28515625" style="1829" bestFit="1" customWidth="1"/>
    <col min="6427" max="6427" width="9.42578125" style="1829" bestFit="1" customWidth="1"/>
    <col min="6428" max="6644" width="8.85546875" style="1829"/>
    <col min="6645" max="6645" width="4.28515625" style="1829" customWidth="1"/>
    <col min="6646" max="6646" width="9.140625" style="1829" customWidth="1"/>
    <col min="6647" max="6647" width="16.7109375" style="1829" customWidth="1"/>
    <col min="6648" max="6649" width="3.28515625" style="1829" customWidth="1"/>
    <col min="6650" max="6655" width="3.85546875" style="1829" customWidth="1"/>
    <col min="6656" max="6656" width="4.28515625" style="1829" customWidth="1"/>
    <col min="6657" max="6660" width="4.140625" style="1829" customWidth="1"/>
    <col min="6661" max="6662" width="3.85546875" style="1829" customWidth="1"/>
    <col min="6663" max="6664" width="3.28515625" style="1829" customWidth="1"/>
    <col min="6665" max="6667" width="3.85546875" style="1829" customWidth="1"/>
    <col min="6668" max="6668" width="4" style="1829" customWidth="1"/>
    <col min="6669" max="6669" width="3.85546875" style="1829" customWidth="1"/>
    <col min="6670" max="6670" width="3.28515625" style="1829" customWidth="1"/>
    <col min="6671" max="6676" width="3.85546875" style="1829" customWidth="1"/>
    <col min="6677" max="6678" width="3.28515625" style="1829" customWidth="1"/>
    <col min="6679" max="6679" width="8" style="1829" customWidth="1"/>
    <col min="6680" max="6680" width="7.5703125" style="1829" customWidth="1"/>
    <col min="6681" max="6681" width="7.140625" style="1829" customWidth="1"/>
    <col min="6682" max="6682" width="9.28515625" style="1829" bestFit="1" customWidth="1"/>
    <col min="6683" max="6683" width="9.42578125" style="1829" bestFit="1" customWidth="1"/>
    <col min="6684" max="6900" width="8.85546875" style="1829"/>
    <col min="6901" max="6901" width="4.28515625" style="1829" customWidth="1"/>
    <col min="6902" max="6902" width="9.140625" style="1829" customWidth="1"/>
    <col min="6903" max="6903" width="16.7109375" style="1829" customWidth="1"/>
    <col min="6904" max="6905" width="3.28515625" style="1829" customWidth="1"/>
    <col min="6906" max="6911" width="3.85546875" style="1829" customWidth="1"/>
    <col min="6912" max="6912" width="4.28515625" style="1829" customWidth="1"/>
    <col min="6913" max="6916" width="4.140625" style="1829" customWidth="1"/>
    <col min="6917" max="6918" width="3.85546875" style="1829" customWidth="1"/>
    <col min="6919" max="6920" width="3.28515625" style="1829" customWidth="1"/>
    <col min="6921" max="6923" width="3.85546875" style="1829" customWidth="1"/>
    <col min="6924" max="6924" width="4" style="1829" customWidth="1"/>
    <col min="6925" max="6925" width="3.85546875" style="1829" customWidth="1"/>
    <col min="6926" max="6926" width="3.28515625" style="1829" customWidth="1"/>
    <col min="6927" max="6932" width="3.85546875" style="1829" customWidth="1"/>
    <col min="6933" max="6934" width="3.28515625" style="1829" customWidth="1"/>
    <col min="6935" max="6935" width="8" style="1829" customWidth="1"/>
    <col min="6936" max="6936" width="7.5703125" style="1829" customWidth="1"/>
    <col min="6937" max="6937" width="7.140625" style="1829" customWidth="1"/>
    <col min="6938" max="6938" width="9.28515625" style="1829" bestFit="1" customWidth="1"/>
    <col min="6939" max="6939" width="9.42578125" style="1829" bestFit="1" customWidth="1"/>
    <col min="6940" max="7156" width="8.85546875" style="1829"/>
    <col min="7157" max="7157" width="4.28515625" style="1829" customWidth="1"/>
    <col min="7158" max="7158" width="9.140625" style="1829" customWidth="1"/>
    <col min="7159" max="7159" width="16.7109375" style="1829" customWidth="1"/>
    <col min="7160" max="7161" width="3.28515625" style="1829" customWidth="1"/>
    <col min="7162" max="7167" width="3.85546875" style="1829" customWidth="1"/>
    <col min="7168" max="7168" width="4.28515625" style="1829" customWidth="1"/>
    <col min="7169" max="7172" width="4.140625" style="1829" customWidth="1"/>
    <col min="7173" max="7174" width="3.85546875" style="1829" customWidth="1"/>
    <col min="7175" max="7176" width="3.28515625" style="1829" customWidth="1"/>
    <col min="7177" max="7179" width="3.85546875" style="1829" customWidth="1"/>
    <col min="7180" max="7180" width="4" style="1829" customWidth="1"/>
    <col min="7181" max="7181" width="3.85546875" style="1829" customWidth="1"/>
    <col min="7182" max="7182" width="3.28515625" style="1829" customWidth="1"/>
    <col min="7183" max="7188" width="3.85546875" style="1829" customWidth="1"/>
    <col min="7189" max="7190" width="3.28515625" style="1829" customWidth="1"/>
    <col min="7191" max="7191" width="8" style="1829" customWidth="1"/>
    <col min="7192" max="7192" width="7.5703125" style="1829" customWidth="1"/>
    <col min="7193" max="7193" width="7.140625" style="1829" customWidth="1"/>
    <col min="7194" max="7194" width="9.28515625" style="1829" bestFit="1" customWidth="1"/>
    <col min="7195" max="7195" width="9.42578125" style="1829" bestFit="1" customWidth="1"/>
    <col min="7196" max="7412" width="8.85546875" style="1829"/>
    <col min="7413" max="7413" width="4.28515625" style="1829" customWidth="1"/>
    <col min="7414" max="7414" width="9.140625" style="1829" customWidth="1"/>
    <col min="7415" max="7415" width="16.7109375" style="1829" customWidth="1"/>
    <col min="7416" max="7417" width="3.28515625" style="1829" customWidth="1"/>
    <col min="7418" max="7423" width="3.85546875" style="1829" customWidth="1"/>
    <col min="7424" max="7424" width="4.28515625" style="1829" customWidth="1"/>
    <col min="7425" max="7428" width="4.140625" style="1829" customWidth="1"/>
    <col min="7429" max="7430" width="3.85546875" style="1829" customWidth="1"/>
    <col min="7431" max="7432" width="3.28515625" style="1829" customWidth="1"/>
    <col min="7433" max="7435" width="3.85546875" style="1829" customWidth="1"/>
    <col min="7436" max="7436" width="4" style="1829" customWidth="1"/>
    <col min="7437" max="7437" width="3.85546875" style="1829" customWidth="1"/>
    <col min="7438" max="7438" width="3.28515625" style="1829" customWidth="1"/>
    <col min="7439" max="7444" width="3.85546875" style="1829" customWidth="1"/>
    <col min="7445" max="7446" width="3.28515625" style="1829" customWidth="1"/>
    <col min="7447" max="7447" width="8" style="1829" customWidth="1"/>
    <col min="7448" max="7448" width="7.5703125" style="1829" customWidth="1"/>
    <col min="7449" max="7449" width="7.140625" style="1829" customWidth="1"/>
    <col min="7450" max="7450" width="9.28515625" style="1829" bestFit="1" customWidth="1"/>
    <col min="7451" max="7451" width="9.42578125" style="1829" bestFit="1" customWidth="1"/>
    <col min="7452" max="7668" width="8.85546875" style="1829"/>
    <col min="7669" max="7669" width="4.28515625" style="1829" customWidth="1"/>
    <col min="7670" max="7670" width="9.140625" style="1829" customWidth="1"/>
    <col min="7671" max="7671" width="16.7109375" style="1829" customWidth="1"/>
    <col min="7672" max="7673" width="3.28515625" style="1829" customWidth="1"/>
    <col min="7674" max="7679" width="3.85546875" style="1829" customWidth="1"/>
    <col min="7680" max="7680" width="4.28515625" style="1829" customWidth="1"/>
    <col min="7681" max="7684" width="4.140625" style="1829" customWidth="1"/>
    <col min="7685" max="7686" width="3.85546875" style="1829" customWidth="1"/>
    <col min="7687" max="7688" width="3.28515625" style="1829" customWidth="1"/>
    <col min="7689" max="7691" width="3.85546875" style="1829" customWidth="1"/>
    <col min="7692" max="7692" width="4" style="1829" customWidth="1"/>
    <col min="7693" max="7693" width="3.85546875" style="1829" customWidth="1"/>
    <col min="7694" max="7694" width="3.28515625" style="1829" customWidth="1"/>
    <col min="7695" max="7700" width="3.85546875" style="1829" customWidth="1"/>
    <col min="7701" max="7702" width="3.28515625" style="1829" customWidth="1"/>
    <col min="7703" max="7703" width="8" style="1829" customWidth="1"/>
    <col min="7704" max="7704" width="7.5703125" style="1829" customWidth="1"/>
    <col min="7705" max="7705" width="7.140625" style="1829" customWidth="1"/>
    <col min="7706" max="7706" width="9.28515625" style="1829" bestFit="1" customWidth="1"/>
    <col min="7707" max="7707" width="9.42578125" style="1829" bestFit="1" customWidth="1"/>
    <col min="7708" max="7924" width="8.85546875" style="1829"/>
    <col min="7925" max="7925" width="4.28515625" style="1829" customWidth="1"/>
    <col min="7926" max="7926" width="9.140625" style="1829" customWidth="1"/>
    <col min="7927" max="7927" width="16.7109375" style="1829" customWidth="1"/>
    <col min="7928" max="7929" width="3.28515625" style="1829" customWidth="1"/>
    <col min="7930" max="7935" width="3.85546875" style="1829" customWidth="1"/>
    <col min="7936" max="7936" width="4.28515625" style="1829" customWidth="1"/>
    <col min="7937" max="7940" width="4.140625" style="1829" customWidth="1"/>
    <col min="7941" max="7942" width="3.85546875" style="1829" customWidth="1"/>
    <col min="7943" max="7944" width="3.28515625" style="1829" customWidth="1"/>
    <col min="7945" max="7947" width="3.85546875" style="1829" customWidth="1"/>
    <col min="7948" max="7948" width="4" style="1829" customWidth="1"/>
    <col min="7949" max="7949" width="3.85546875" style="1829" customWidth="1"/>
    <col min="7950" max="7950" width="3.28515625" style="1829" customWidth="1"/>
    <col min="7951" max="7956" width="3.85546875" style="1829" customWidth="1"/>
    <col min="7957" max="7958" width="3.28515625" style="1829" customWidth="1"/>
    <col min="7959" max="7959" width="8" style="1829" customWidth="1"/>
    <col min="7960" max="7960" width="7.5703125" style="1829" customWidth="1"/>
    <col min="7961" max="7961" width="7.140625" style="1829" customWidth="1"/>
    <col min="7962" max="7962" width="9.28515625" style="1829" bestFit="1" customWidth="1"/>
    <col min="7963" max="7963" width="9.42578125" style="1829" bestFit="1" customWidth="1"/>
    <col min="7964" max="8180" width="8.85546875" style="1829"/>
    <col min="8181" max="8181" width="4.28515625" style="1829" customWidth="1"/>
    <col min="8182" max="8182" width="9.140625" style="1829" customWidth="1"/>
    <col min="8183" max="8183" width="16.7109375" style="1829" customWidth="1"/>
    <col min="8184" max="8185" width="3.28515625" style="1829" customWidth="1"/>
    <col min="8186" max="8191" width="3.85546875" style="1829" customWidth="1"/>
    <col min="8192" max="8192" width="4.28515625" style="1829" customWidth="1"/>
    <col min="8193" max="8196" width="4.140625" style="1829" customWidth="1"/>
    <col min="8197" max="8198" width="3.85546875" style="1829" customWidth="1"/>
    <col min="8199" max="8200" width="3.28515625" style="1829" customWidth="1"/>
    <col min="8201" max="8203" width="3.85546875" style="1829" customWidth="1"/>
    <col min="8204" max="8204" width="4" style="1829" customWidth="1"/>
    <col min="8205" max="8205" width="3.85546875" style="1829" customWidth="1"/>
    <col min="8206" max="8206" width="3.28515625" style="1829" customWidth="1"/>
    <col min="8207" max="8212" width="3.85546875" style="1829" customWidth="1"/>
    <col min="8213" max="8214" width="3.28515625" style="1829" customWidth="1"/>
    <col min="8215" max="8215" width="8" style="1829" customWidth="1"/>
    <col min="8216" max="8216" width="7.5703125" style="1829" customWidth="1"/>
    <col min="8217" max="8217" width="7.140625" style="1829" customWidth="1"/>
    <col min="8218" max="8218" width="9.28515625" style="1829" bestFit="1" customWidth="1"/>
    <col min="8219" max="8219" width="9.42578125" style="1829" bestFit="1" customWidth="1"/>
    <col min="8220" max="8436" width="8.85546875" style="1829"/>
    <col min="8437" max="8437" width="4.28515625" style="1829" customWidth="1"/>
    <col min="8438" max="8438" width="9.140625" style="1829" customWidth="1"/>
    <col min="8439" max="8439" width="16.7109375" style="1829" customWidth="1"/>
    <col min="8440" max="8441" width="3.28515625" style="1829" customWidth="1"/>
    <col min="8442" max="8447" width="3.85546875" style="1829" customWidth="1"/>
    <col min="8448" max="8448" width="4.28515625" style="1829" customWidth="1"/>
    <col min="8449" max="8452" width="4.140625" style="1829" customWidth="1"/>
    <col min="8453" max="8454" width="3.85546875" style="1829" customWidth="1"/>
    <col min="8455" max="8456" width="3.28515625" style="1829" customWidth="1"/>
    <col min="8457" max="8459" width="3.85546875" style="1829" customWidth="1"/>
    <col min="8460" max="8460" width="4" style="1829" customWidth="1"/>
    <col min="8461" max="8461" width="3.85546875" style="1829" customWidth="1"/>
    <col min="8462" max="8462" width="3.28515625" style="1829" customWidth="1"/>
    <col min="8463" max="8468" width="3.85546875" style="1829" customWidth="1"/>
    <col min="8469" max="8470" width="3.28515625" style="1829" customWidth="1"/>
    <col min="8471" max="8471" width="8" style="1829" customWidth="1"/>
    <col min="8472" max="8472" width="7.5703125" style="1829" customWidth="1"/>
    <col min="8473" max="8473" width="7.140625" style="1829" customWidth="1"/>
    <col min="8474" max="8474" width="9.28515625" style="1829" bestFit="1" customWidth="1"/>
    <col min="8475" max="8475" width="9.42578125" style="1829" bestFit="1" customWidth="1"/>
    <col min="8476" max="8692" width="8.85546875" style="1829"/>
    <col min="8693" max="8693" width="4.28515625" style="1829" customWidth="1"/>
    <col min="8694" max="8694" width="9.140625" style="1829" customWidth="1"/>
    <col min="8695" max="8695" width="16.7109375" style="1829" customWidth="1"/>
    <col min="8696" max="8697" width="3.28515625" style="1829" customWidth="1"/>
    <col min="8698" max="8703" width="3.85546875" style="1829" customWidth="1"/>
    <col min="8704" max="8704" width="4.28515625" style="1829" customWidth="1"/>
    <col min="8705" max="8708" width="4.140625" style="1829" customWidth="1"/>
    <col min="8709" max="8710" width="3.85546875" style="1829" customWidth="1"/>
    <col min="8711" max="8712" width="3.28515625" style="1829" customWidth="1"/>
    <col min="8713" max="8715" width="3.85546875" style="1829" customWidth="1"/>
    <col min="8716" max="8716" width="4" style="1829" customWidth="1"/>
    <col min="8717" max="8717" width="3.85546875" style="1829" customWidth="1"/>
    <col min="8718" max="8718" width="3.28515625" style="1829" customWidth="1"/>
    <col min="8719" max="8724" width="3.85546875" style="1829" customWidth="1"/>
    <col min="8725" max="8726" width="3.28515625" style="1829" customWidth="1"/>
    <col min="8727" max="8727" width="8" style="1829" customWidth="1"/>
    <col min="8728" max="8728" width="7.5703125" style="1829" customWidth="1"/>
    <col min="8729" max="8729" width="7.140625" style="1829" customWidth="1"/>
    <col min="8730" max="8730" width="9.28515625" style="1829" bestFit="1" customWidth="1"/>
    <col min="8731" max="8731" width="9.42578125" style="1829" bestFit="1" customWidth="1"/>
    <col min="8732" max="8948" width="8.85546875" style="1829"/>
    <col min="8949" max="8949" width="4.28515625" style="1829" customWidth="1"/>
    <col min="8950" max="8950" width="9.140625" style="1829" customWidth="1"/>
    <col min="8951" max="8951" width="16.7109375" style="1829" customWidth="1"/>
    <col min="8952" max="8953" width="3.28515625" style="1829" customWidth="1"/>
    <col min="8954" max="8959" width="3.85546875" style="1829" customWidth="1"/>
    <col min="8960" max="8960" width="4.28515625" style="1829" customWidth="1"/>
    <col min="8961" max="8964" width="4.140625" style="1829" customWidth="1"/>
    <col min="8965" max="8966" width="3.85546875" style="1829" customWidth="1"/>
    <col min="8967" max="8968" width="3.28515625" style="1829" customWidth="1"/>
    <col min="8969" max="8971" width="3.85546875" style="1829" customWidth="1"/>
    <col min="8972" max="8972" width="4" style="1829" customWidth="1"/>
    <col min="8973" max="8973" width="3.85546875" style="1829" customWidth="1"/>
    <col min="8974" max="8974" width="3.28515625" style="1829" customWidth="1"/>
    <col min="8975" max="8980" width="3.85546875" style="1829" customWidth="1"/>
    <col min="8981" max="8982" width="3.28515625" style="1829" customWidth="1"/>
    <col min="8983" max="8983" width="8" style="1829" customWidth="1"/>
    <col min="8984" max="8984" width="7.5703125" style="1829" customWidth="1"/>
    <col min="8985" max="8985" width="7.140625" style="1829" customWidth="1"/>
    <col min="8986" max="8986" width="9.28515625" style="1829" bestFit="1" customWidth="1"/>
    <col min="8987" max="8987" width="9.42578125" style="1829" bestFit="1" customWidth="1"/>
    <col min="8988" max="9204" width="8.85546875" style="1829"/>
    <col min="9205" max="9205" width="4.28515625" style="1829" customWidth="1"/>
    <col min="9206" max="9206" width="9.140625" style="1829" customWidth="1"/>
    <col min="9207" max="9207" width="16.7109375" style="1829" customWidth="1"/>
    <col min="9208" max="9209" width="3.28515625" style="1829" customWidth="1"/>
    <col min="9210" max="9215" width="3.85546875" style="1829" customWidth="1"/>
    <col min="9216" max="9216" width="4.28515625" style="1829" customWidth="1"/>
    <col min="9217" max="9220" width="4.140625" style="1829" customWidth="1"/>
    <col min="9221" max="9222" width="3.85546875" style="1829" customWidth="1"/>
    <col min="9223" max="9224" width="3.28515625" style="1829" customWidth="1"/>
    <col min="9225" max="9227" width="3.85546875" style="1829" customWidth="1"/>
    <col min="9228" max="9228" width="4" style="1829" customWidth="1"/>
    <col min="9229" max="9229" width="3.85546875" style="1829" customWidth="1"/>
    <col min="9230" max="9230" width="3.28515625" style="1829" customWidth="1"/>
    <col min="9231" max="9236" width="3.85546875" style="1829" customWidth="1"/>
    <col min="9237" max="9238" width="3.28515625" style="1829" customWidth="1"/>
    <col min="9239" max="9239" width="8" style="1829" customWidth="1"/>
    <col min="9240" max="9240" width="7.5703125" style="1829" customWidth="1"/>
    <col min="9241" max="9241" width="7.140625" style="1829" customWidth="1"/>
    <col min="9242" max="9242" width="9.28515625" style="1829" bestFit="1" customWidth="1"/>
    <col min="9243" max="9243" width="9.42578125" style="1829" bestFit="1" customWidth="1"/>
    <col min="9244" max="9460" width="8.85546875" style="1829"/>
    <col min="9461" max="9461" width="4.28515625" style="1829" customWidth="1"/>
    <col min="9462" max="9462" width="9.140625" style="1829" customWidth="1"/>
    <col min="9463" max="9463" width="16.7109375" style="1829" customWidth="1"/>
    <col min="9464" max="9465" width="3.28515625" style="1829" customWidth="1"/>
    <col min="9466" max="9471" width="3.85546875" style="1829" customWidth="1"/>
    <col min="9472" max="9472" width="4.28515625" style="1829" customWidth="1"/>
    <col min="9473" max="9476" width="4.140625" style="1829" customWidth="1"/>
    <col min="9477" max="9478" width="3.85546875" style="1829" customWidth="1"/>
    <col min="9479" max="9480" width="3.28515625" style="1829" customWidth="1"/>
    <col min="9481" max="9483" width="3.85546875" style="1829" customWidth="1"/>
    <col min="9484" max="9484" width="4" style="1829" customWidth="1"/>
    <col min="9485" max="9485" width="3.85546875" style="1829" customWidth="1"/>
    <col min="9486" max="9486" width="3.28515625" style="1829" customWidth="1"/>
    <col min="9487" max="9492" width="3.85546875" style="1829" customWidth="1"/>
    <col min="9493" max="9494" width="3.28515625" style="1829" customWidth="1"/>
    <col min="9495" max="9495" width="8" style="1829" customWidth="1"/>
    <col min="9496" max="9496" width="7.5703125" style="1829" customWidth="1"/>
    <col min="9497" max="9497" width="7.140625" style="1829" customWidth="1"/>
    <col min="9498" max="9498" width="9.28515625" style="1829" bestFit="1" customWidth="1"/>
    <col min="9499" max="9499" width="9.42578125" style="1829" bestFit="1" customWidth="1"/>
    <col min="9500" max="9716" width="8.85546875" style="1829"/>
    <col min="9717" max="9717" width="4.28515625" style="1829" customWidth="1"/>
    <col min="9718" max="9718" width="9.140625" style="1829" customWidth="1"/>
    <col min="9719" max="9719" width="16.7109375" style="1829" customWidth="1"/>
    <col min="9720" max="9721" width="3.28515625" style="1829" customWidth="1"/>
    <col min="9722" max="9727" width="3.85546875" style="1829" customWidth="1"/>
    <col min="9728" max="9728" width="4.28515625" style="1829" customWidth="1"/>
    <col min="9729" max="9732" width="4.140625" style="1829" customWidth="1"/>
    <col min="9733" max="9734" width="3.85546875" style="1829" customWidth="1"/>
    <col min="9735" max="9736" width="3.28515625" style="1829" customWidth="1"/>
    <col min="9737" max="9739" width="3.85546875" style="1829" customWidth="1"/>
    <col min="9740" max="9740" width="4" style="1829" customWidth="1"/>
    <col min="9741" max="9741" width="3.85546875" style="1829" customWidth="1"/>
    <col min="9742" max="9742" width="3.28515625" style="1829" customWidth="1"/>
    <col min="9743" max="9748" width="3.85546875" style="1829" customWidth="1"/>
    <col min="9749" max="9750" width="3.28515625" style="1829" customWidth="1"/>
    <col min="9751" max="9751" width="8" style="1829" customWidth="1"/>
    <col min="9752" max="9752" width="7.5703125" style="1829" customWidth="1"/>
    <col min="9753" max="9753" width="7.140625" style="1829" customWidth="1"/>
    <col min="9754" max="9754" width="9.28515625" style="1829" bestFit="1" customWidth="1"/>
    <col min="9755" max="9755" width="9.42578125" style="1829" bestFit="1" customWidth="1"/>
    <col min="9756" max="9972" width="8.85546875" style="1829"/>
    <col min="9973" max="9973" width="4.28515625" style="1829" customWidth="1"/>
    <col min="9974" max="9974" width="9.140625" style="1829" customWidth="1"/>
    <col min="9975" max="9975" width="16.7109375" style="1829" customWidth="1"/>
    <col min="9976" max="9977" width="3.28515625" style="1829" customWidth="1"/>
    <col min="9978" max="9983" width="3.85546875" style="1829" customWidth="1"/>
    <col min="9984" max="9984" width="4.28515625" style="1829" customWidth="1"/>
    <col min="9985" max="9988" width="4.140625" style="1829" customWidth="1"/>
    <col min="9989" max="9990" width="3.85546875" style="1829" customWidth="1"/>
    <col min="9991" max="9992" width="3.28515625" style="1829" customWidth="1"/>
    <col min="9993" max="9995" width="3.85546875" style="1829" customWidth="1"/>
    <col min="9996" max="9996" width="4" style="1829" customWidth="1"/>
    <col min="9997" max="9997" width="3.85546875" style="1829" customWidth="1"/>
    <col min="9998" max="9998" width="3.28515625" style="1829" customWidth="1"/>
    <col min="9999" max="10004" width="3.85546875" style="1829" customWidth="1"/>
    <col min="10005" max="10006" width="3.28515625" style="1829" customWidth="1"/>
    <col min="10007" max="10007" width="8" style="1829" customWidth="1"/>
    <col min="10008" max="10008" width="7.5703125" style="1829" customWidth="1"/>
    <col min="10009" max="10009" width="7.140625" style="1829" customWidth="1"/>
    <col min="10010" max="10010" width="9.28515625" style="1829" bestFit="1" customWidth="1"/>
    <col min="10011" max="10011" width="9.42578125" style="1829" bestFit="1" customWidth="1"/>
    <col min="10012" max="10228" width="8.85546875" style="1829"/>
    <col min="10229" max="10229" width="4.28515625" style="1829" customWidth="1"/>
    <col min="10230" max="10230" width="9.140625" style="1829" customWidth="1"/>
    <col min="10231" max="10231" width="16.7109375" style="1829" customWidth="1"/>
    <col min="10232" max="10233" width="3.28515625" style="1829" customWidth="1"/>
    <col min="10234" max="10239" width="3.85546875" style="1829" customWidth="1"/>
    <col min="10240" max="10240" width="4.28515625" style="1829" customWidth="1"/>
    <col min="10241" max="10244" width="4.140625" style="1829" customWidth="1"/>
    <col min="10245" max="10246" width="3.85546875" style="1829" customWidth="1"/>
    <col min="10247" max="10248" width="3.28515625" style="1829" customWidth="1"/>
    <col min="10249" max="10251" width="3.85546875" style="1829" customWidth="1"/>
    <col min="10252" max="10252" width="4" style="1829" customWidth="1"/>
    <col min="10253" max="10253" width="3.85546875" style="1829" customWidth="1"/>
    <col min="10254" max="10254" width="3.28515625" style="1829" customWidth="1"/>
    <col min="10255" max="10260" width="3.85546875" style="1829" customWidth="1"/>
    <col min="10261" max="10262" width="3.28515625" style="1829" customWidth="1"/>
    <col min="10263" max="10263" width="8" style="1829" customWidth="1"/>
    <col min="10264" max="10264" width="7.5703125" style="1829" customWidth="1"/>
    <col min="10265" max="10265" width="7.140625" style="1829" customWidth="1"/>
    <col min="10266" max="10266" width="9.28515625" style="1829" bestFit="1" customWidth="1"/>
    <col min="10267" max="10267" width="9.42578125" style="1829" bestFit="1" customWidth="1"/>
    <col min="10268" max="10484" width="8.85546875" style="1829"/>
    <col min="10485" max="10485" width="4.28515625" style="1829" customWidth="1"/>
    <col min="10486" max="10486" width="9.140625" style="1829" customWidth="1"/>
    <col min="10487" max="10487" width="16.7109375" style="1829" customWidth="1"/>
    <col min="10488" max="10489" width="3.28515625" style="1829" customWidth="1"/>
    <col min="10490" max="10495" width="3.85546875" style="1829" customWidth="1"/>
    <col min="10496" max="10496" width="4.28515625" style="1829" customWidth="1"/>
    <col min="10497" max="10500" width="4.140625" style="1829" customWidth="1"/>
    <col min="10501" max="10502" width="3.85546875" style="1829" customWidth="1"/>
    <col min="10503" max="10504" width="3.28515625" style="1829" customWidth="1"/>
    <col min="10505" max="10507" width="3.85546875" style="1829" customWidth="1"/>
    <col min="10508" max="10508" width="4" style="1829" customWidth="1"/>
    <col min="10509" max="10509" width="3.85546875" style="1829" customWidth="1"/>
    <col min="10510" max="10510" width="3.28515625" style="1829" customWidth="1"/>
    <col min="10511" max="10516" width="3.85546875" style="1829" customWidth="1"/>
    <col min="10517" max="10518" width="3.28515625" style="1829" customWidth="1"/>
    <col min="10519" max="10519" width="8" style="1829" customWidth="1"/>
    <col min="10520" max="10520" width="7.5703125" style="1829" customWidth="1"/>
    <col min="10521" max="10521" width="7.140625" style="1829" customWidth="1"/>
    <col min="10522" max="10522" width="9.28515625" style="1829" bestFit="1" customWidth="1"/>
    <col min="10523" max="10523" width="9.42578125" style="1829" bestFit="1" customWidth="1"/>
    <col min="10524" max="10740" width="8.85546875" style="1829"/>
    <col min="10741" max="10741" width="4.28515625" style="1829" customWidth="1"/>
    <col min="10742" max="10742" width="9.140625" style="1829" customWidth="1"/>
    <col min="10743" max="10743" width="16.7109375" style="1829" customWidth="1"/>
    <col min="10744" max="10745" width="3.28515625" style="1829" customWidth="1"/>
    <col min="10746" max="10751" width="3.85546875" style="1829" customWidth="1"/>
    <col min="10752" max="10752" width="4.28515625" style="1829" customWidth="1"/>
    <col min="10753" max="10756" width="4.140625" style="1829" customWidth="1"/>
    <col min="10757" max="10758" width="3.85546875" style="1829" customWidth="1"/>
    <col min="10759" max="10760" width="3.28515625" style="1829" customWidth="1"/>
    <col min="10761" max="10763" width="3.85546875" style="1829" customWidth="1"/>
    <col min="10764" max="10764" width="4" style="1829" customWidth="1"/>
    <col min="10765" max="10765" width="3.85546875" style="1829" customWidth="1"/>
    <col min="10766" max="10766" width="3.28515625" style="1829" customWidth="1"/>
    <col min="10767" max="10772" width="3.85546875" style="1829" customWidth="1"/>
    <col min="10773" max="10774" width="3.28515625" style="1829" customWidth="1"/>
    <col min="10775" max="10775" width="8" style="1829" customWidth="1"/>
    <col min="10776" max="10776" width="7.5703125" style="1829" customWidth="1"/>
    <col min="10777" max="10777" width="7.140625" style="1829" customWidth="1"/>
    <col min="10778" max="10778" width="9.28515625" style="1829" bestFit="1" customWidth="1"/>
    <col min="10779" max="10779" width="9.42578125" style="1829" bestFit="1" customWidth="1"/>
    <col min="10780" max="10996" width="8.85546875" style="1829"/>
    <col min="10997" max="10997" width="4.28515625" style="1829" customWidth="1"/>
    <col min="10998" max="10998" width="9.140625" style="1829" customWidth="1"/>
    <col min="10999" max="10999" width="16.7109375" style="1829" customWidth="1"/>
    <col min="11000" max="11001" width="3.28515625" style="1829" customWidth="1"/>
    <col min="11002" max="11007" width="3.85546875" style="1829" customWidth="1"/>
    <col min="11008" max="11008" width="4.28515625" style="1829" customWidth="1"/>
    <col min="11009" max="11012" width="4.140625" style="1829" customWidth="1"/>
    <col min="11013" max="11014" width="3.85546875" style="1829" customWidth="1"/>
    <col min="11015" max="11016" width="3.28515625" style="1829" customWidth="1"/>
    <col min="11017" max="11019" width="3.85546875" style="1829" customWidth="1"/>
    <col min="11020" max="11020" width="4" style="1829" customWidth="1"/>
    <col min="11021" max="11021" width="3.85546875" style="1829" customWidth="1"/>
    <col min="11022" max="11022" width="3.28515625" style="1829" customWidth="1"/>
    <col min="11023" max="11028" width="3.85546875" style="1829" customWidth="1"/>
    <col min="11029" max="11030" width="3.28515625" style="1829" customWidth="1"/>
    <col min="11031" max="11031" width="8" style="1829" customWidth="1"/>
    <col min="11032" max="11032" width="7.5703125" style="1829" customWidth="1"/>
    <col min="11033" max="11033" width="7.140625" style="1829" customWidth="1"/>
    <col min="11034" max="11034" width="9.28515625" style="1829" bestFit="1" customWidth="1"/>
    <col min="11035" max="11035" width="9.42578125" style="1829" bestFit="1" customWidth="1"/>
    <col min="11036" max="11252" width="8.85546875" style="1829"/>
    <col min="11253" max="11253" width="4.28515625" style="1829" customWidth="1"/>
    <col min="11254" max="11254" width="9.140625" style="1829" customWidth="1"/>
    <col min="11255" max="11255" width="16.7109375" style="1829" customWidth="1"/>
    <col min="11256" max="11257" width="3.28515625" style="1829" customWidth="1"/>
    <col min="11258" max="11263" width="3.85546875" style="1829" customWidth="1"/>
    <col min="11264" max="11264" width="4.28515625" style="1829" customWidth="1"/>
    <col min="11265" max="11268" width="4.140625" style="1829" customWidth="1"/>
    <col min="11269" max="11270" width="3.85546875" style="1829" customWidth="1"/>
    <col min="11271" max="11272" width="3.28515625" style="1829" customWidth="1"/>
    <col min="11273" max="11275" width="3.85546875" style="1829" customWidth="1"/>
    <col min="11276" max="11276" width="4" style="1829" customWidth="1"/>
    <col min="11277" max="11277" width="3.85546875" style="1829" customWidth="1"/>
    <col min="11278" max="11278" width="3.28515625" style="1829" customWidth="1"/>
    <col min="11279" max="11284" width="3.85546875" style="1829" customWidth="1"/>
    <col min="11285" max="11286" width="3.28515625" style="1829" customWidth="1"/>
    <col min="11287" max="11287" width="8" style="1829" customWidth="1"/>
    <col min="11288" max="11288" width="7.5703125" style="1829" customWidth="1"/>
    <col min="11289" max="11289" width="7.140625" style="1829" customWidth="1"/>
    <col min="11290" max="11290" width="9.28515625" style="1829" bestFit="1" customWidth="1"/>
    <col min="11291" max="11291" width="9.42578125" style="1829" bestFit="1" customWidth="1"/>
    <col min="11292" max="11508" width="8.85546875" style="1829"/>
    <col min="11509" max="11509" width="4.28515625" style="1829" customWidth="1"/>
    <col min="11510" max="11510" width="9.140625" style="1829" customWidth="1"/>
    <col min="11511" max="11511" width="16.7109375" style="1829" customWidth="1"/>
    <col min="11512" max="11513" width="3.28515625" style="1829" customWidth="1"/>
    <col min="11514" max="11519" width="3.85546875" style="1829" customWidth="1"/>
    <col min="11520" max="11520" width="4.28515625" style="1829" customWidth="1"/>
    <col min="11521" max="11524" width="4.140625" style="1829" customWidth="1"/>
    <col min="11525" max="11526" width="3.85546875" style="1829" customWidth="1"/>
    <col min="11527" max="11528" width="3.28515625" style="1829" customWidth="1"/>
    <col min="11529" max="11531" width="3.85546875" style="1829" customWidth="1"/>
    <col min="11532" max="11532" width="4" style="1829" customWidth="1"/>
    <col min="11533" max="11533" width="3.85546875" style="1829" customWidth="1"/>
    <col min="11534" max="11534" width="3.28515625" style="1829" customWidth="1"/>
    <col min="11535" max="11540" width="3.85546875" style="1829" customWidth="1"/>
    <col min="11541" max="11542" width="3.28515625" style="1829" customWidth="1"/>
    <col min="11543" max="11543" width="8" style="1829" customWidth="1"/>
    <col min="11544" max="11544" width="7.5703125" style="1829" customWidth="1"/>
    <col min="11545" max="11545" width="7.140625" style="1829" customWidth="1"/>
    <col min="11546" max="11546" width="9.28515625" style="1829" bestFit="1" customWidth="1"/>
    <col min="11547" max="11547" width="9.42578125" style="1829" bestFit="1" customWidth="1"/>
    <col min="11548" max="11764" width="8.85546875" style="1829"/>
    <col min="11765" max="11765" width="4.28515625" style="1829" customWidth="1"/>
    <col min="11766" max="11766" width="9.140625" style="1829" customWidth="1"/>
    <col min="11767" max="11767" width="16.7109375" style="1829" customWidth="1"/>
    <col min="11768" max="11769" width="3.28515625" style="1829" customWidth="1"/>
    <col min="11770" max="11775" width="3.85546875" style="1829" customWidth="1"/>
    <col min="11776" max="11776" width="4.28515625" style="1829" customWidth="1"/>
    <col min="11777" max="11780" width="4.140625" style="1829" customWidth="1"/>
    <col min="11781" max="11782" width="3.85546875" style="1829" customWidth="1"/>
    <col min="11783" max="11784" width="3.28515625" style="1829" customWidth="1"/>
    <col min="11785" max="11787" width="3.85546875" style="1829" customWidth="1"/>
    <col min="11788" max="11788" width="4" style="1829" customWidth="1"/>
    <col min="11789" max="11789" width="3.85546875" style="1829" customWidth="1"/>
    <col min="11790" max="11790" width="3.28515625" style="1829" customWidth="1"/>
    <col min="11791" max="11796" width="3.85546875" style="1829" customWidth="1"/>
    <col min="11797" max="11798" width="3.28515625" style="1829" customWidth="1"/>
    <col min="11799" max="11799" width="8" style="1829" customWidth="1"/>
    <col min="11800" max="11800" width="7.5703125" style="1829" customWidth="1"/>
    <col min="11801" max="11801" width="7.140625" style="1829" customWidth="1"/>
    <col min="11802" max="11802" width="9.28515625" style="1829" bestFit="1" customWidth="1"/>
    <col min="11803" max="11803" width="9.42578125" style="1829" bestFit="1" customWidth="1"/>
    <col min="11804" max="12020" width="8.85546875" style="1829"/>
    <col min="12021" max="12021" width="4.28515625" style="1829" customWidth="1"/>
    <col min="12022" max="12022" width="9.140625" style="1829" customWidth="1"/>
    <col min="12023" max="12023" width="16.7109375" style="1829" customWidth="1"/>
    <col min="12024" max="12025" width="3.28515625" style="1829" customWidth="1"/>
    <col min="12026" max="12031" width="3.85546875" style="1829" customWidth="1"/>
    <col min="12032" max="12032" width="4.28515625" style="1829" customWidth="1"/>
    <col min="12033" max="12036" width="4.140625" style="1829" customWidth="1"/>
    <col min="12037" max="12038" width="3.85546875" style="1829" customWidth="1"/>
    <col min="12039" max="12040" width="3.28515625" style="1829" customWidth="1"/>
    <col min="12041" max="12043" width="3.85546875" style="1829" customWidth="1"/>
    <col min="12044" max="12044" width="4" style="1829" customWidth="1"/>
    <col min="12045" max="12045" width="3.85546875" style="1829" customWidth="1"/>
    <col min="12046" max="12046" width="3.28515625" style="1829" customWidth="1"/>
    <col min="12047" max="12052" width="3.85546875" style="1829" customWidth="1"/>
    <col min="12053" max="12054" width="3.28515625" style="1829" customWidth="1"/>
    <col min="12055" max="12055" width="8" style="1829" customWidth="1"/>
    <col min="12056" max="12056" width="7.5703125" style="1829" customWidth="1"/>
    <col min="12057" max="12057" width="7.140625" style="1829" customWidth="1"/>
    <col min="12058" max="12058" width="9.28515625" style="1829" bestFit="1" customWidth="1"/>
    <col min="12059" max="12059" width="9.42578125" style="1829" bestFit="1" customWidth="1"/>
    <col min="12060" max="12276" width="8.85546875" style="1829"/>
    <col min="12277" max="12277" width="4.28515625" style="1829" customWidth="1"/>
    <col min="12278" max="12278" width="9.140625" style="1829" customWidth="1"/>
    <col min="12279" max="12279" width="16.7109375" style="1829" customWidth="1"/>
    <col min="12280" max="12281" width="3.28515625" style="1829" customWidth="1"/>
    <col min="12282" max="12287" width="3.85546875" style="1829" customWidth="1"/>
    <col min="12288" max="12288" width="4.28515625" style="1829" customWidth="1"/>
    <col min="12289" max="12292" width="4.140625" style="1829" customWidth="1"/>
    <col min="12293" max="12294" width="3.85546875" style="1829" customWidth="1"/>
    <col min="12295" max="12296" width="3.28515625" style="1829" customWidth="1"/>
    <col min="12297" max="12299" width="3.85546875" style="1829" customWidth="1"/>
    <col min="12300" max="12300" width="4" style="1829" customWidth="1"/>
    <col min="12301" max="12301" width="3.85546875" style="1829" customWidth="1"/>
    <col min="12302" max="12302" width="3.28515625" style="1829" customWidth="1"/>
    <col min="12303" max="12308" width="3.85546875" style="1829" customWidth="1"/>
    <col min="12309" max="12310" width="3.28515625" style="1829" customWidth="1"/>
    <col min="12311" max="12311" width="8" style="1829" customWidth="1"/>
    <col min="12312" max="12312" width="7.5703125" style="1829" customWidth="1"/>
    <col min="12313" max="12313" width="7.140625" style="1829" customWidth="1"/>
    <col min="12314" max="12314" width="9.28515625" style="1829" bestFit="1" customWidth="1"/>
    <col min="12315" max="12315" width="9.42578125" style="1829" bestFit="1" customWidth="1"/>
    <col min="12316" max="12532" width="8.85546875" style="1829"/>
    <col min="12533" max="12533" width="4.28515625" style="1829" customWidth="1"/>
    <col min="12534" max="12534" width="9.140625" style="1829" customWidth="1"/>
    <col min="12535" max="12535" width="16.7109375" style="1829" customWidth="1"/>
    <col min="12536" max="12537" width="3.28515625" style="1829" customWidth="1"/>
    <col min="12538" max="12543" width="3.85546875" style="1829" customWidth="1"/>
    <col min="12544" max="12544" width="4.28515625" style="1829" customWidth="1"/>
    <col min="12545" max="12548" width="4.140625" style="1829" customWidth="1"/>
    <col min="12549" max="12550" width="3.85546875" style="1829" customWidth="1"/>
    <col min="12551" max="12552" width="3.28515625" style="1829" customWidth="1"/>
    <col min="12553" max="12555" width="3.85546875" style="1829" customWidth="1"/>
    <col min="12556" max="12556" width="4" style="1829" customWidth="1"/>
    <col min="12557" max="12557" width="3.85546875" style="1829" customWidth="1"/>
    <col min="12558" max="12558" width="3.28515625" style="1829" customWidth="1"/>
    <col min="12559" max="12564" width="3.85546875" style="1829" customWidth="1"/>
    <col min="12565" max="12566" width="3.28515625" style="1829" customWidth="1"/>
    <col min="12567" max="12567" width="8" style="1829" customWidth="1"/>
    <col min="12568" max="12568" width="7.5703125" style="1829" customWidth="1"/>
    <col min="12569" max="12569" width="7.140625" style="1829" customWidth="1"/>
    <col min="12570" max="12570" width="9.28515625" style="1829" bestFit="1" customWidth="1"/>
    <col min="12571" max="12571" width="9.42578125" style="1829" bestFit="1" customWidth="1"/>
    <col min="12572" max="12788" width="8.85546875" style="1829"/>
    <col min="12789" max="12789" width="4.28515625" style="1829" customWidth="1"/>
    <col min="12790" max="12790" width="9.140625" style="1829" customWidth="1"/>
    <col min="12791" max="12791" width="16.7109375" style="1829" customWidth="1"/>
    <col min="12792" max="12793" width="3.28515625" style="1829" customWidth="1"/>
    <col min="12794" max="12799" width="3.85546875" style="1829" customWidth="1"/>
    <col min="12800" max="12800" width="4.28515625" style="1829" customWidth="1"/>
    <col min="12801" max="12804" width="4.140625" style="1829" customWidth="1"/>
    <col min="12805" max="12806" width="3.85546875" style="1829" customWidth="1"/>
    <col min="12807" max="12808" width="3.28515625" style="1829" customWidth="1"/>
    <col min="12809" max="12811" width="3.85546875" style="1829" customWidth="1"/>
    <col min="12812" max="12812" width="4" style="1829" customWidth="1"/>
    <col min="12813" max="12813" width="3.85546875" style="1829" customWidth="1"/>
    <col min="12814" max="12814" width="3.28515625" style="1829" customWidth="1"/>
    <col min="12815" max="12820" width="3.85546875" style="1829" customWidth="1"/>
    <col min="12821" max="12822" width="3.28515625" style="1829" customWidth="1"/>
    <col min="12823" max="12823" width="8" style="1829" customWidth="1"/>
    <col min="12824" max="12824" width="7.5703125" style="1829" customWidth="1"/>
    <col min="12825" max="12825" width="7.140625" style="1829" customWidth="1"/>
    <col min="12826" max="12826" width="9.28515625" style="1829" bestFit="1" customWidth="1"/>
    <col min="12827" max="12827" width="9.42578125" style="1829" bestFit="1" customWidth="1"/>
    <col min="12828" max="13044" width="8.85546875" style="1829"/>
    <col min="13045" max="13045" width="4.28515625" style="1829" customWidth="1"/>
    <col min="13046" max="13046" width="9.140625" style="1829" customWidth="1"/>
    <col min="13047" max="13047" width="16.7109375" style="1829" customWidth="1"/>
    <col min="13048" max="13049" width="3.28515625" style="1829" customWidth="1"/>
    <col min="13050" max="13055" width="3.85546875" style="1829" customWidth="1"/>
    <col min="13056" max="13056" width="4.28515625" style="1829" customWidth="1"/>
    <col min="13057" max="13060" width="4.140625" style="1829" customWidth="1"/>
    <col min="13061" max="13062" width="3.85546875" style="1829" customWidth="1"/>
    <col min="13063" max="13064" width="3.28515625" style="1829" customWidth="1"/>
    <col min="13065" max="13067" width="3.85546875" style="1829" customWidth="1"/>
    <col min="13068" max="13068" width="4" style="1829" customWidth="1"/>
    <col min="13069" max="13069" width="3.85546875" style="1829" customWidth="1"/>
    <col min="13070" max="13070" width="3.28515625" style="1829" customWidth="1"/>
    <col min="13071" max="13076" width="3.85546875" style="1829" customWidth="1"/>
    <col min="13077" max="13078" width="3.28515625" style="1829" customWidth="1"/>
    <col min="13079" max="13079" width="8" style="1829" customWidth="1"/>
    <col min="13080" max="13080" width="7.5703125" style="1829" customWidth="1"/>
    <col min="13081" max="13081" width="7.140625" style="1829" customWidth="1"/>
    <col min="13082" max="13082" width="9.28515625" style="1829" bestFit="1" customWidth="1"/>
    <col min="13083" max="13083" width="9.42578125" style="1829" bestFit="1" customWidth="1"/>
    <col min="13084" max="13300" width="8.85546875" style="1829"/>
    <col min="13301" max="13301" width="4.28515625" style="1829" customWidth="1"/>
    <col min="13302" max="13302" width="9.140625" style="1829" customWidth="1"/>
    <col min="13303" max="13303" width="16.7109375" style="1829" customWidth="1"/>
    <col min="13304" max="13305" width="3.28515625" style="1829" customWidth="1"/>
    <col min="13306" max="13311" width="3.85546875" style="1829" customWidth="1"/>
    <col min="13312" max="13312" width="4.28515625" style="1829" customWidth="1"/>
    <col min="13313" max="13316" width="4.140625" style="1829" customWidth="1"/>
    <col min="13317" max="13318" width="3.85546875" style="1829" customWidth="1"/>
    <col min="13319" max="13320" width="3.28515625" style="1829" customWidth="1"/>
    <col min="13321" max="13323" width="3.85546875" style="1829" customWidth="1"/>
    <col min="13324" max="13324" width="4" style="1829" customWidth="1"/>
    <col min="13325" max="13325" width="3.85546875" style="1829" customWidth="1"/>
    <col min="13326" max="13326" width="3.28515625" style="1829" customWidth="1"/>
    <col min="13327" max="13332" width="3.85546875" style="1829" customWidth="1"/>
    <col min="13333" max="13334" width="3.28515625" style="1829" customWidth="1"/>
    <col min="13335" max="13335" width="8" style="1829" customWidth="1"/>
    <col min="13336" max="13336" width="7.5703125" style="1829" customWidth="1"/>
    <col min="13337" max="13337" width="7.140625" style="1829" customWidth="1"/>
    <col min="13338" max="13338" width="9.28515625" style="1829" bestFit="1" customWidth="1"/>
    <col min="13339" max="13339" width="9.42578125" style="1829" bestFit="1" customWidth="1"/>
    <col min="13340" max="13556" width="8.85546875" style="1829"/>
    <col min="13557" max="13557" width="4.28515625" style="1829" customWidth="1"/>
    <col min="13558" max="13558" width="9.140625" style="1829" customWidth="1"/>
    <col min="13559" max="13559" width="16.7109375" style="1829" customWidth="1"/>
    <col min="13560" max="13561" width="3.28515625" style="1829" customWidth="1"/>
    <col min="13562" max="13567" width="3.85546875" style="1829" customWidth="1"/>
    <col min="13568" max="13568" width="4.28515625" style="1829" customWidth="1"/>
    <col min="13569" max="13572" width="4.140625" style="1829" customWidth="1"/>
    <col min="13573" max="13574" width="3.85546875" style="1829" customWidth="1"/>
    <col min="13575" max="13576" width="3.28515625" style="1829" customWidth="1"/>
    <col min="13577" max="13579" width="3.85546875" style="1829" customWidth="1"/>
    <col min="13580" max="13580" width="4" style="1829" customWidth="1"/>
    <col min="13581" max="13581" width="3.85546875" style="1829" customWidth="1"/>
    <col min="13582" max="13582" width="3.28515625" style="1829" customWidth="1"/>
    <col min="13583" max="13588" width="3.85546875" style="1829" customWidth="1"/>
    <col min="13589" max="13590" width="3.28515625" style="1829" customWidth="1"/>
    <col min="13591" max="13591" width="8" style="1829" customWidth="1"/>
    <col min="13592" max="13592" width="7.5703125" style="1829" customWidth="1"/>
    <col min="13593" max="13593" width="7.140625" style="1829" customWidth="1"/>
    <col min="13594" max="13594" width="9.28515625" style="1829" bestFit="1" customWidth="1"/>
    <col min="13595" max="13595" width="9.42578125" style="1829" bestFit="1" customWidth="1"/>
    <col min="13596" max="13812" width="8.85546875" style="1829"/>
    <col min="13813" max="13813" width="4.28515625" style="1829" customWidth="1"/>
    <col min="13814" max="13814" width="9.140625" style="1829" customWidth="1"/>
    <col min="13815" max="13815" width="16.7109375" style="1829" customWidth="1"/>
    <col min="13816" max="13817" width="3.28515625" style="1829" customWidth="1"/>
    <col min="13818" max="13823" width="3.85546875" style="1829" customWidth="1"/>
    <col min="13824" max="13824" width="4.28515625" style="1829" customWidth="1"/>
    <col min="13825" max="13828" width="4.140625" style="1829" customWidth="1"/>
    <col min="13829" max="13830" width="3.85546875" style="1829" customWidth="1"/>
    <col min="13831" max="13832" width="3.28515625" style="1829" customWidth="1"/>
    <col min="13833" max="13835" width="3.85546875" style="1829" customWidth="1"/>
    <col min="13836" max="13836" width="4" style="1829" customWidth="1"/>
    <col min="13837" max="13837" width="3.85546875" style="1829" customWidth="1"/>
    <col min="13838" max="13838" width="3.28515625" style="1829" customWidth="1"/>
    <col min="13839" max="13844" width="3.85546875" style="1829" customWidth="1"/>
    <col min="13845" max="13846" width="3.28515625" style="1829" customWidth="1"/>
    <col min="13847" max="13847" width="8" style="1829" customWidth="1"/>
    <col min="13848" max="13848" width="7.5703125" style="1829" customWidth="1"/>
    <col min="13849" max="13849" width="7.140625" style="1829" customWidth="1"/>
    <col min="13850" max="13850" width="9.28515625" style="1829" bestFit="1" customWidth="1"/>
    <col min="13851" max="13851" width="9.42578125" style="1829" bestFit="1" customWidth="1"/>
    <col min="13852" max="14068" width="8.85546875" style="1829"/>
    <col min="14069" max="14069" width="4.28515625" style="1829" customWidth="1"/>
    <col min="14070" max="14070" width="9.140625" style="1829" customWidth="1"/>
    <col min="14071" max="14071" width="16.7109375" style="1829" customWidth="1"/>
    <col min="14072" max="14073" width="3.28515625" style="1829" customWidth="1"/>
    <col min="14074" max="14079" width="3.85546875" style="1829" customWidth="1"/>
    <col min="14080" max="14080" width="4.28515625" style="1829" customWidth="1"/>
    <col min="14081" max="14084" width="4.140625" style="1829" customWidth="1"/>
    <col min="14085" max="14086" width="3.85546875" style="1829" customWidth="1"/>
    <col min="14087" max="14088" width="3.28515625" style="1829" customWidth="1"/>
    <col min="14089" max="14091" width="3.85546875" style="1829" customWidth="1"/>
    <col min="14092" max="14092" width="4" style="1829" customWidth="1"/>
    <col min="14093" max="14093" width="3.85546875" style="1829" customWidth="1"/>
    <col min="14094" max="14094" width="3.28515625" style="1829" customWidth="1"/>
    <col min="14095" max="14100" width="3.85546875" style="1829" customWidth="1"/>
    <col min="14101" max="14102" width="3.28515625" style="1829" customWidth="1"/>
    <col min="14103" max="14103" width="8" style="1829" customWidth="1"/>
    <col min="14104" max="14104" width="7.5703125" style="1829" customWidth="1"/>
    <col min="14105" max="14105" width="7.140625" style="1829" customWidth="1"/>
    <col min="14106" max="14106" width="9.28515625" style="1829" bestFit="1" customWidth="1"/>
    <col min="14107" max="14107" width="9.42578125" style="1829" bestFit="1" customWidth="1"/>
    <col min="14108" max="14324" width="8.85546875" style="1829"/>
    <col min="14325" max="14325" width="4.28515625" style="1829" customWidth="1"/>
    <col min="14326" max="14326" width="9.140625" style="1829" customWidth="1"/>
    <col min="14327" max="14327" width="16.7109375" style="1829" customWidth="1"/>
    <col min="14328" max="14329" width="3.28515625" style="1829" customWidth="1"/>
    <col min="14330" max="14335" width="3.85546875" style="1829" customWidth="1"/>
    <col min="14336" max="14336" width="4.28515625" style="1829" customWidth="1"/>
    <col min="14337" max="14340" width="4.140625" style="1829" customWidth="1"/>
    <col min="14341" max="14342" width="3.85546875" style="1829" customWidth="1"/>
    <col min="14343" max="14344" width="3.28515625" style="1829" customWidth="1"/>
    <col min="14345" max="14347" width="3.85546875" style="1829" customWidth="1"/>
    <col min="14348" max="14348" width="4" style="1829" customWidth="1"/>
    <col min="14349" max="14349" width="3.85546875" style="1829" customWidth="1"/>
    <col min="14350" max="14350" width="3.28515625" style="1829" customWidth="1"/>
    <col min="14351" max="14356" width="3.85546875" style="1829" customWidth="1"/>
    <col min="14357" max="14358" width="3.28515625" style="1829" customWidth="1"/>
    <col min="14359" max="14359" width="8" style="1829" customWidth="1"/>
    <col min="14360" max="14360" width="7.5703125" style="1829" customWidth="1"/>
    <col min="14361" max="14361" width="7.140625" style="1829" customWidth="1"/>
    <col min="14362" max="14362" width="9.28515625" style="1829" bestFit="1" customWidth="1"/>
    <col min="14363" max="14363" width="9.42578125" style="1829" bestFit="1" customWidth="1"/>
    <col min="14364" max="14580" width="8.85546875" style="1829"/>
    <col min="14581" max="14581" width="4.28515625" style="1829" customWidth="1"/>
    <col min="14582" max="14582" width="9.140625" style="1829" customWidth="1"/>
    <col min="14583" max="14583" width="16.7109375" style="1829" customWidth="1"/>
    <col min="14584" max="14585" width="3.28515625" style="1829" customWidth="1"/>
    <col min="14586" max="14591" width="3.85546875" style="1829" customWidth="1"/>
    <col min="14592" max="14592" width="4.28515625" style="1829" customWidth="1"/>
    <col min="14593" max="14596" width="4.140625" style="1829" customWidth="1"/>
    <col min="14597" max="14598" width="3.85546875" style="1829" customWidth="1"/>
    <col min="14599" max="14600" width="3.28515625" style="1829" customWidth="1"/>
    <col min="14601" max="14603" width="3.85546875" style="1829" customWidth="1"/>
    <col min="14604" max="14604" width="4" style="1829" customWidth="1"/>
    <col min="14605" max="14605" width="3.85546875" style="1829" customWidth="1"/>
    <col min="14606" max="14606" width="3.28515625" style="1829" customWidth="1"/>
    <col min="14607" max="14612" width="3.85546875" style="1829" customWidth="1"/>
    <col min="14613" max="14614" width="3.28515625" style="1829" customWidth="1"/>
    <col min="14615" max="14615" width="8" style="1829" customWidth="1"/>
    <col min="14616" max="14616" width="7.5703125" style="1829" customWidth="1"/>
    <col min="14617" max="14617" width="7.140625" style="1829" customWidth="1"/>
    <col min="14618" max="14618" width="9.28515625" style="1829" bestFit="1" customWidth="1"/>
    <col min="14619" max="14619" width="9.42578125" style="1829" bestFit="1" customWidth="1"/>
    <col min="14620" max="14836" width="8.85546875" style="1829"/>
    <col min="14837" max="14837" width="4.28515625" style="1829" customWidth="1"/>
    <col min="14838" max="14838" width="9.140625" style="1829" customWidth="1"/>
    <col min="14839" max="14839" width="16.7109375" style="1829" customWidth="1"/>
    <col min="14840" max="14841" width="3.28515625" style="1829" customWidth="1"/>
    <col min="14842" max="14847" width="3.85546875" style="1829" customWidth="1"/>
    <col min="14848" max="14848" width="4.28515625" style="1829" customWidth="1"/>
    <col min="14849" max="14852" width="4.140625" style="1829" customWidth="1"/>
    <col min="14853" max="14854" width="3.85546875" style="1829" customWidth="1"/>
    <col min="14855" max="14856" width="3.28515625" style="1829" customWidth="1"/>
    <col min="14857" max="14859" width="3.85546875" style="1829" customWidth="1"/>
    <col min="14860" max="14860" width="4" style="1829" customWidth="1"/>
    <col min="14861" max="14861" width="3.85546875" style="1829" customWidth="1"/>
    <col min="14862" max="14862" width="3.28515625" style="1829" customWidth="1"/>
    <col min="14863" max="14868" width="3.85546875" style="1829" customWidth="1"/>
    <col min="14869" max="14870" width="3.28515625" style="1829" customWidth="1"/>
    <col min="14871" max="14871" width="8" style="1829" customWidth="1"/>
    <col min="14872" max="14872" width="7.5703125" style="1829" customWidth="1"/>
    <col min="14873" max="14873" width="7.140625" style="1829" customWidth="1"/>
    <col min="14874" max="14874" width="9.28515625" style="1829" bestFit="1" customWidth="1"/>
    <col min="14875" max="14875" width="9.42578125" style="1829" bestFit="1" customWidth="1"/>
    <col min="14876" max="15092" width="8.85546875" style="1829"/>
    <col min="15093" max="15093" width="4.28515625" style="1829" customWidth="1"/>
    <col min="15094" max="15094" width="9.140625" style="1829" customWidth="1"/>
    <col min="15095" max="15095" width="16.7109375" style="1829" customWidth="1"/>
    <col min="15096" max="15097" width="3.28515625" style="1829" customWidth="1"/>
    <col min="15098" max="15103" width="3.85546875" style="1829" customWidth="1"/>
    <col min="15104" max="15104" width="4.28515625" style="1829" customWidth="1"/>
    <col min="15105" max="15108" width="4.140625" style="1829" customWidth="1"/>
    <col min="15109" max="15110" width="3.85546875" style="1829" customWidth="1"/>
    <col min="15111" max="15112" width="3.28515625" style="1829" customWidth="1"/>
    <col min="15113" max="15115" width="3.85546875" style="1829" customWidth="1"/>
    <col min="15116" max="15116" width="4" style="1829" customWidth="1"/>
    <col min="15117" max="15117" width="3.85546875" style="1829" customWidth="1"/>
    <col min="15118" max="15118" width="3.28515625" style="1829" customWidth="1"/>
    <col min="15119" max="15124" width="3.85546875" style="1829" customWidth="1"/>
    <col min="15125" max="15126" width="3.28515625" style="1829" customWidth="1"/>
    <col min="15127" max="15127" width="8" style="1829" customWidth="1"/>
    <col min="15128" max="15128" width="7.5703125" style="1829" customWidth="1"/>
    <col min="15129" max="15129" width="7.140625" style="1829" customWidth="1"/>
    <col min="15130" max="15130" width="9.28515625" style="1829" bestFit="1" customWidth="1"/>
    <col min="15131" max="15131" width="9.42578125" style="1829" bestFit="1" customWidth="1"/>
    <col min="15132" max="15348" width="8.85546875" style="1829"/>
    <col min="15349" max="15349" width="4.28515625" style="1829" customWidth="1"/>
    <col min="15350" max="15350" width="9.140625" style="1829" customWidth="1"/>
    <col min="15351" max="15351" width="16.7109375" style="1829" customWidth="1"/>
    <col min="15352" max="15353" width="3.28515625" style="1829" customWidth="1"/>
    <col min="15354" max="15359" width="3.85546875" style="1829" customWidth="1"/>
    <col min="15360" max="15360" width="4.28515625" style="1829" customWidth="1"/>
    <col min="15361" max="15364" width="4.140625" style="1829" customWidth="1"/>
    <col min="15365" max="15366" width="3.85546875" style="1829" customWidth="1"/>
    <col min="15367" max="15368" width="3.28515625" style="1829" customWidth="1"/>
    <col min="15369" max="15371" width="3.85546875" style="1829" customWidth="1"/>
    <col min="15372" max="15372" width="4" style="1829" customWidth="1"/>
    <col min="15373" max="15373" width="3.85546875" style="1829" customWidth="1"/>
    <col min="15374" max="15374" width="3.28515625" style="1829" customWidth="1"/>
    <col min="15375" max="15380" width="3.85546875" style="1829" customWidth="1"/>
    <col min="15381" max="15382" width="3.28515625" style="1829" customWidth="1"/>
    <col min="15383" max="15383" width="8" style="1829" customWidth="1"/>
    <col min="15384" max="15384" width="7.5703125" style="1829" customWidth="1"/>
    <col min="15385" max="15385" width="7.140625" style="1829" customWidth="1"/>
    <col min="15386" max="15386" width="9.28515625" style="1829" bestFit="1" customWidth="1"/>
    <col min="15387" max="15387" width="9.42578125" style="1829" bestFit="1" customWidth="1"/>
    <col min="15388" max="15604" width="8.85546875" style="1829"/>
    <col min="15605" max="15605" width="4.28515625" style="1829" customWidth="1"/>
    <col min="15606" max="15606" width="9.140625" style="1829" customWidth="1"/>
    <col min="15607" max="15607" width="16.7109375" style="1829" customWidth="1"/>
    <col min="15608" max="15609" width="3.28515625" style="1829" customWidth="1"/>
    <col min="15610" max="15615" width="3.85546875" style="1829" customWidth="1"/>
    <col min="15616" max="15616" width="4.28515625" style="1829" customWidth="1"/>
    <col min="15617" max="15620" width="4.140625" style="1829" customWidth="1"/>
    <col min="15621" max="15622" width="3.85546875" style="1829" customWidth="1"/>
    <col min="15623" max="15624" width="3.28515625" style="1829" customWidth="1"/>
    <col min="15625" max="15627" width="3.85546875" style="1829" customWidth="1"/>
    <col min="15628" max="15628" width="4" style="1829" customWidth="1"/>
    <col min="15629" max="15629" width="3.85546875" style="1829" customWidth="1"/>
    <col min="15630" max="15630" width="3.28515625" style="1829" customWidth="1"/>
    <col min="15631" max="15636" width="3.85546875" style="1829" customWidth="1"/>
    <col min="15637" max="15638" width="3.28515625" style="1829" customWidth="1"/>
    <col min="15639" max="15639" width="8" style="1829" customWidth="1"/>
    <col min="15640" max="15640" width="7.5703125" style="1829" customWidth="1"/>
    <col min="15641" max="15641" width="7.140625" style="1829" customWidth="1"/>
    <col min="15642" max="15642" width="9.28515625" style="1829" bestFit="1" customWidth="1"/>
    <col min="15643" max="15643" width="9.42578125" style="1829" bestFit="1" customWidth="1"/>
    <col min="15644" max="15860" width="8.85546875" style="1829"/>
    <col min="15861" max="15861" width="4.28515625" style="1829" customWidth="1"/>
    <col min="15862" max="15862" width="9.140625" style="1829" customWidth="1"/>
    <col min="15863" max="15863" width="16.7109375" style="1829" customWidth="1"/>
    <col min="15864" max="15865" width="3.28515625" style="1829" customWidth="1"/>
    <col min="15866" max="15871" width="3.85546875" style="1829" customWidth="1"/>
    <col min="15872" max="15872" width="4.28515625" style="1829" customWidth="1"/>
    <col min="15873" max="15876" width="4.140625" style="1829" customWidth="1"/>
    <col min="15877" max="15878" width="3.85546875" style="1829" customWidth="1"/>
    <col min="15879" max="15880" width="3.28515625" style="1829" customWidth="1"/>
    <col min="15881" max="15883" width="3.85546875" style="1829" customWidth="1"/>
    <col min="15884" max="15884" width="4" style="1829" customWidth="1"/>
    <col min="15885" max="15885" width="3.85546875" style="1829" customWidth="1"/>
    <col min="15886" max="15886" width="3.28515625" style="1829" customWidth="1"/>
    <col min="15887" max="15892" width="3.85546875" style="1829" customWidth="1"/>
    <col min="15893" max="15894" width="3.28515625" style="1829" customWidth="1"/>
    <col min="15895" max="15895" width="8" style="1829" customWidth="1"/>
    <col min="15896" max="15896" width="7.5703125" style="1829" customWidth="1"/>
    <col min="15897" max="15897" width="7.140625" style="1829" customWidth="1"/>
    <col min="15898" max="15898" width="9.28515625" style="1829" bestFit="1" customWidth="1"/>
    <col min="15899" max="15899" width="9.42578125" style="1829" bestFit="1" customWidth="1"/>
    <col min="15900" max="16116" width="8.85546875" style="1829"/>
    <col min="16117" max="16117" width="4.28515625" style="1829" customWidth="1"/>
    <col min="16118" max="16118" width="9.140625" style="1829" customWidth="1"/>
    <col min="16119" max="16119" width="16.7109375" style="1829" customWidth="1"/>
    <col min="16120" max="16121" width="3.28515625" style="1829" customWidth="1"/>
    <col min="16122" max="16127" width="3.85546875" style="1829" customWidth="1"/>
    <col min="16128" max="16128" width="4.28515625" style="1829" customWidth="1"/>
    <col min="16129" max="16132" width="4.140625" style="1829" customWidth="1"/>
    <col min="16133" max="16134" width="3.85546875" style="1829" customWidth="1"/>
    <col min="16135" max="16136" width="3.28515625" style="1829" customWidth="1"/>
    <col min="16137" max="16139" width="3.85546875" style="1829" customWidth="1"/>
    <col min="16140" max="16140" width="4" style="1829" customWidth="1"/>
    <col min="16141" max="16141" width="3.85546875" style="1829" customWidth="1"/>
    <col min="16142" max="16142" width="3.28515625" style="1829" customWidth="1"/>
    <col min="16143" max="16148" width="3.85546875" style="1829" customWidth="1"/>
    <col min="16149" max="16150" width="3.28515625" style="1829" customWidth="1"/>
    <col min="16151" max="16151" width="8" style="1829" customWidth="1"/>
    <col min="16152" max="16152" width="7.5703125" style="1829" customWidth="1"/>
    <col min="16153" max="16153" width="7.140625" style="1829" customWidth="1"/>
    <col min="16154" max="16154" width="9.28515625" style="1829" bestFit="1" customWidth="1"/>
    <col min="16155" max="16155" width="9.42578125" style="1829" bestFit="1" customWidth="1"/>
    <col min="16156" max="16384" width="8.85546875" style="1829"/>
  </cols>
  <sheetData>
    <row r="1" spans="1:43">
      <c r="A1" s="2421" t="s">
        <v>0</v>
      </c>
      <c r="B1" s="2421"/>
      <c r="C1" s="2421"/>
      <c r="D1" s="2421"/>
      <c r="E1" s="2421"/>
      <c r="F1" s="2421"/>
      <c r="G1" s="2421"/>
      <c r="H1" s="2421"/>
      <c r="I1" s="2421"/>
      <c r="J1" s="2421"/>
      <c r="K1" s="2421"/>
      <c r="L1" s="2421"/>
      <c r="M1" s="2421"/>
      <c r="N1" s="2421"/>
      <c r="O1" s="2421"/>
      <c r="P1" s="2421"/>
      <c r="Q1" s="2421"/>
      <c r="R1" s="2421"/>
      <c r="S1" s="2421"/>
      <c r="T1" s="2421"/>
      <c r="U1" s="2421"/>
      <c r="V1" s="2421"/>
      <c r="W1" s="2421"/>
      <c r="X1" s="2421"/>
      <c r="Y1" s="2421"/>
      <c r="Z1" s="2421"/>
      <c r="AA1" s="2421"/>
      <c r="AB1" s="2421"/>
      <c r="AC1" s="2421"/>
      <c r="AD1" s="2421"/>
      <c r="AE1" s="2421"/>
      <c r="AF1" s="2421"/>
      <c r="AG1" s="2421"/>
      <c r="AH1" s="2421"/>
      <c r="AI1" s="2421"/>
      <c r="AJ1" s="2421"/>
    </row>
    <row r="2" spans="1:43">
      <c r="A2" s="2421" t="s">
        <v>3395</v>
      </c>
      <c r="B2" s="2421"/>
      <c r="C2" s="2421"/>
      <c r="D2" s="2421"/>
      <c r="E2" s="2421"/>
      <c r="F2" s="2421"/>
      <c r="G2" s="2421"/>
      <c r="H2" s="2421"/>
      <c r="I2" s="2421"/>
      <c r="J2" s="2421"/>
      <c r="K2" s="2421"/>
      <c r="L2" s="2421"/>
      <c r="M2" s="2421"/>
      <c r="N2" s="2421"/>
      <c r="O2" s="2421"/>
      <c r="P2" s="2421"/>
      <c r="Q2" s="2421"/>
      <c r="R2" s="2421"/>
      <c r="S2" s="2421"/>
      <c r="T2" s="2421"/>
      <c r="U2" s="2421"/>
      <c r="V2" s="2421"/>
      <c r="W2" s="2421"/>
      <c r="X2" s="2421"/>
      <c r="Y2" s="2421"/>
      <c r="Z2" s="2421"/>
      <c r="AA2" s="2421"/>
      <c r="AB2" s="2421"/>
      <c r="AC2" s="2421"/>
      <c r="AD2" s="2421"/>
      <c r="AE2" s="2421"/>
      <c r="AF2" s="2421"/>
      <c r="AG2" s="2421"/>
      <c r="AH2" s="2421"/>
      <c r="AI2" s="2421"/>
      <c r="AJ2" s="2421"/>
    </row>
    <row r="3" spans="1:43">
      <c r="A3" s="2422" t="s">
        <v>2</v>
      </c>
      <c r="B3" s="2422"/>
      <c r="C3" s="2422"/>
      <c r="D3" s="2422"/>
      <c r="E3" s="2422"/>
      <c r="F3" s="2422"/>
      <c r="G3" s="2422"/>
      <c r="H3" s="2422"/>
      <c r="I3" s="2422"/>
      <c r="J3" s="2422"/>
      <c r="K3" s="2422"/>
      <c r="L3" s="2422"/>
      <c r="M3" s="2422"/>
      <c r="N3" s="2422"/>
      <c r="O3" s="2422"/>
      <c r="P3" s="2422"/>
      <c r="Q3" s="2422"/>
      <c r="R3" s="2422"/>
      <c r="S3" s="2422"/>
      <c r="T3" s="2422"/>
      <c r="U3" s="2422"/>
      <c r="V3" s="2422"/>
      <c r="W3" s="2422"/>
      <c r="X3" s="2422"/>
      <c r="Y3" s="2422"/>
      <c r="Z3" s="2422"/>
      <c r="AA3" s="2422"/>
      <c r="AB3" s="2422"/>
      <c r="AC3" s="2422"/>
      <c r="AD3" s="2422"/>
      <c r="AE3" s="2422"/>
      <c r="AF3" s="2422"/>
      <c r="AG3" s="2422"/>
      <c r="AH3" s="2422"/>
      <c r="AI3" s="2422"/>
      <c r="AJ3" s="2422"/>
      <c r="AK3" s="1862"/>
      <c r="AL3" s="1862"/>
      <c r="AM3" s="1862"/>
      <c r="AN3" s="1862"/>
      <c r="AO3" s="1862"/>
      <c r="AP3" s="1862"/>
      <c r="AQ3" s="1862"/>
    </row>
    <row r="4" spans="1:43">
      <c r="A4" s="2423" t="s">
        <v>2867</v>
      </c>
      <c r="B4" s="2423"/>
      <c r="C4" s="2423"/>
      <c r="D4" s="2423"/>
      <c r="E4" s="2423"/>
      <c r="F4" s="2423"/>
      <c r="G4" s="2423"/>
      <c r="H4" s="2423"/>
      <c r="I4" s="2423"/>
      <c r="J4" s="2423"/>
      <c r="K4" s="2423"/>
      <c r="L4" s="2423"/>
      <c r="M4" s="2423"/>
      <c r="N4" s="2423"/>
      <c r="O4" s="2423"/>
      <c r="P4" s="2423"/>
      <c r="Q4" s="2423"/>
      <c r="R4" s="2423"/>
      <c r="S4" s="2423"/>
      <c r="T4" s="2423"/>
      <c r="U4" s="2423"/>
      <c r="V4" s="2423"/>
      <c r="W4" s="2423"/>
      <c r="X4" s="2423"/>
      <c r="Y4" s="2423"/>
      <c r="Z4" s="2423"/>
      <c r="AA4" s="2423"/>
      <c r="AB4" s="2423"/>
      <c r="AC4" s="2423"/>
      <c r="AD4" s="2423"/>
      <c r="AE4" s="2423"/>
      <c r="AF4" s="2423"/>
      <c r="AG4" s="2423"/>
      <c r="AH4" s="1861"/>
      <c r="AI4" s="1861"/>
      <c r="AJ4" s="1861"/>
      <c r="AK4" s="1861"/>
      <c r="AL4" s="1861"/>
      <c r="AM4" s="1861"/>
      <c r="AN4" s="1861"/>
      <c r="AO4" s="1857"/>
    </row>
    <row r="5" spans="1:43">
      <c r="A5" s="2424" t="s">
        <v>3327</v>
      </c>
      <c r="B5" s="2424"/>
      <c r="C5" s="2424"/>
      <c r="D5" s="2424"/>
      <c r="E5" s="2424"/>
      <c r="F5" s="2424"/>
      <c r="G5" s="2424"/>
      <c r="H5" s="2424"/>
      <c r="I5" s="2424"/>
      <c r="J5" s="2424"/>
      <c r="K5" s="2424"/>
      <c r="L5" s="2424"/>
      <c r="M5" s="2424"/>
      <c r="N5" s="2424"/>
      <c r="O5" s="2424"/>
      <c r="P5" s="2424"/>
      <c r="Q5" s="2424"/>
      <c r="R5" s="2424"/>
      <c r="S5" s="2424"/>
      <c r="T5" s="2424"/>
      <c r="U5" s="2424"/>
      <c r="V5" s="2424"/>
      <c r="W5" s="2424"/>
      <c r="X5" s="2424"/>
      <c r="Y5" s="2424"/>
      <c r="Z5" s="2424"/>
      <c r="AA5" s="2424"/>
      <c r="AB5" s="2424"/>
      <c r="AC5" s="2424"/>
      <c r="AD5" s="2424"/>
      <c r="AE5" s="2424"/>
      <c r="AF5" s="2424"/>
      <c r="AG5" s="2424"/>
      <c r="AH5" s="1859"/>
      <c r="AI5" s="1858"/>
      <c r="AJ5" s="1858"/>
      <c r="AK5" s="1857"/>
      <c r="AL5" s="1857"/>
      <c r="AM5" s="1857"/>
      <c r="AN5" s="1857"/>
      <c r="AO5" s="1857"/>
    </row>
    <row r="6" spans="1:43">
      <c r="A6" s="1860"/>
      <c r="B6" s="1860"/>
      <c r="C6" s="1860"/>
      <c r="D6" s="1860"/>
      <c r="E6" s="1860"/>
      <c r="F6" s="1860"/>
      <c r="G6" s="1860"/>
      <c r="H6" s="1860"/>
      <c r="I6" s="1860"/>
      <c r="J6" s="1860"/>
      <c r="K6" s="1860"/>
      <c r="L6" s="1860"/>
      <c r="M6" s="1860"/>
      <c r="N6" s="1860"/>
      <c r="O6" s="1860"/>
      <c r="P6" s="1860"/>
      <c r="Q6" s="1860"/>
      <c r="R6" s="1860"/>
      <c r="S6" s="1860"/>
      <c r="T6" s="1860"/>
      <c r="U6" s="1860"/>
      <c r="V6" s="1860"/>
      <c r="W6" s="1860"/>
      <c r="X6" s="1860"/>
      <c r="Y6" s="1860"/>
      <c r="Z6" s="1860"/>
      <c r="AA6" s="1860"/>
      <c r="AB6" s="1860"/>
      <c r="AC6" s="1860"/>
      <c r="AD6" s="1860"/>
      <c r="AE6" s="1860"/>
      <c r="AF6" s="1860"/>
      <c r="AG6" s="2146"/>
      <c r="AH6" s="1859"/>
      <c r="AI6" s="1858"/>
      <c r="AJ6" s="1858"/>
      <c r="AK6" s="1857"/>
      <c r="AL6" s="1857"/>
      <c r="AM6" s="1857"/>
      <c r="AN6" s="1857"/>
      <c r="AO6" s="1857"/>
    </row>
    <row r="7" spans="1:43">
      <c r="A7" s="2420" t="s">
        <v>3498</v>
      </c>
      <c r="B7" s="2420"/>
      <c r="C7" s="2420"/>
      <c r="D7" s="2420"/>
      <c r="E7" s="2420"/>
      <c r="F7" s="2420"/>
      <c r="G7" s="2420"/>
      <c r="H7" s="2420"/>
      <c r="I7" s="2420"/>
      <c r="J7" s="2420"/>
      <c r="K7" s="2420"/>
      <c r="L7" s="2420"/>
      <c r="M7" s="2420"/>
      <c r="N7" s="2420"/>
      <c r="O7" s="2420"/>
      <c r="P7" s="2420"/>
      <c r="Q7" s="2420"/>
      <c r="R7" s="2420"/>
      <c r="S7" s="2420"/>
      <c r="T7" s="2420"/>
      <c r="U7" s="2420"/>
      <c r="V7" s="2420"/>
      <c r="W7" s="2420"/>
      <c r="X7" s="2420"/>
      <c r="Y7" s="2420"/>
      <c r="Z7" s="2420"/>
      <c r="AA7" s="2420"/>
      <c r="AB7" s="2420"/>
      <c r="AC7" s="2420"/>
      <c r="AD7" s="2420"/>
      <c r="AE7" s="2420"/>
      <c r="AF7" s="2420"/>
      <c r="AG7" s="2420"/>
      <c r="AH7" s="2420"/>
      <c r="AI7" s="2420"/>
      <c r="AJ7" s="2420"/>
    </row>
    <row r="8" spans="1:43">
      <c r="A8" s="2425" t="s">
        <v>3499</v>
      </c>
      <c r="B8" s="2425"/>
      <c r="C8" s="2425"/>
      <c r="D8" s="2425"/>
      <c r="E8" s="2425"/>
      <c r="F8" s="2425"/>
      <c r="G8" s="2425"/>
      <c r="H8" s="2425"/>
      <c r="I8" s="2425"/>
      <c r="J8" s="2425"/>
      <c r="K8" s="2425"/>
      <c r="L8" s="2425"/>
      <c r="M8" s="2425"/>
      <c r="N8" s="2425"/>
      <c r="O8" s="2425"/>
      <c r="P8" s="2425"/>
      <c r="Q8" s="2425"/>
      <c r="R8" s="2425"/>
      <c r="S8" s="2425"/>
      <c r="T8" s="2425"/>
      <c r="U8" s="2425"/>
      <c r="V8" s="2425"/>
      <c r="W8" s="2425"/>
      <c r="X8" s="2425"/>
      <c r="Y8" s="2425"/>
      <c r="Z8" s="2425"/>
      <c r="AA8" s="2425"/>
      <c r="AB8" s="2425"/>
      <c r="AC8" s="2425"/>
      <c r="AD8" s="2425"/>
      <c r="AE8" s="2425"/>
      <c r="AF8" s="2425"/>
      <c r="AG8" s="2425"/>
      <c r="AH8" s="2425"/>
      <c r="AI8" s="2425"/>
      <c r="AJ8" s="2425"/>
    </row>
    <row r="9" spans="1:43" ht="8.25" customHeight="1">
      <c r="A9" s="1856"/>
      <c r="B9" s="1856"/>
      <c r="C9" s="1856"/>
      <c r="D9" s="1856"/>
      <c r="E9" s="1856"/>
      <c r="F9" s="1856"/>
      <c r="G9" s="1856"/>
      <c r="H9" s="1856"/>
      <c r="I9" s="1856"/>
      <c r="J9" s="1856"/>
      <c r="K9" s="1856"/>
      <c r="L9" s="1856"/>
      <c r="M9" s="1856"/>
      <c r="N9" s="1856"/>
      <c r="O9" s="1856"/>
      <c r="P9" s="1856"/>
      <c r="Q9" s="1856"/>
      <c r="R9" s="1856"/>
      <c r="S9" s="1856"/>
      <c r="T9" s="1856"/>
      <c r="U9" s="1856"/>
      <c r="V9" s="1856"/>
      <c r="W9" s="1856"/>
      <c r="X9" s="1856"/>
      <c r="Y9" s="1856"/>
      <c r="Z9" s="1856"/>
      <c r="AA9" s="1856"/>
      <c r="AB9" s="1856"/>
      <c r="AC9" s="1856"/>
      <c r="AD9" s="1856"/>
      <c r="AE9" s="1856"/>
      <c r="AF9" s="1856"/>
      <c r="AG9" s="2145"/>
      <c r="AH9" s="1856"/>
      <c r="AI9" s="1856"/>
      <c r="AJ9" s="1856"/>
    </row>
    <row r="10" spans="1:43" ht="9" customHeight="1">
      <c r="A10" s="1855"/>
      <c r="B10" s="1855"/>
      <c r="C10" s="1855"/>
      <c r="D10" s="1855"/>
      <c r="E10" s="1855"/>
      <c r="F10" s="1855"/>
      <c r="G10" s="1855"/>
      <c r="H10" s="1855"/>
      <c r="I10" s="1855"/>
      <c r="J10" s="1855"/>
      <c r="K10" s="1855"/>
      <c r="L10" s="1855"/>
      <c r="M10" s="1855"/>
      <c r="N10" s="1855"/>
      <c r="O10" s="1855"/>
      <c r="P10" s="1855"/>
      <c r="Q10" s="1855"/>
      <c r="R10" s="1855"/>
      <c r="S10" s="1855"/>
      <c r="T10" s="1855"/>
      <c r="U10" s="1855"/>
      <c r="V10" s="1855"/>
      <c r="W10" s="1855"/>
      <c r="X10" s="1855"/>
      <c r="Y10" s="1855"/>
      <c r="Z10" s="1855"/>
      <c r="AA10" s="1855"/>
      <c r="AB10" s="1855"/>
      <c r="AC10" s="1855"/>
      <c r="AD10" s="1855"/>
      <c r="AE10" s="1855"/>
      <c r="AF10" s="1855"/>
      <c r="AG10" s="1855"/>
      <c r="AH10" s="1855"/>
      <c r="AI10" s="1855"/>
      <c r="AJ10" s="1855"/>
    </row>
    <row r="11" spans="1:43" ht="16.5" customHeight="1">
      <c r="A11" s="2426" t="s">
        <v>623</v>
      </c>
      <c r="B11" s="2426" t="s">
        <v>356</v>
      </c>
      <c r="C11" s="2427" t="s">
        <v>1953</v>
      </c>
      <c r="D11" s="2427"/>
      <c r="E11" s="2427"/>
      <c r="F11" s="2427"/>
      <c r="G11" s="2427"/>
      <c r="H11" s="2427"/>
      <c r="I11" s="2427"/>
      <c r="J11" s="2427"/>
      <c r="K11" s="2427"/>
      <c r="L11" s="2427"/>
      <c r="M11" s="2427"/>
      <c r="N11" s="2427"/>
      <c r="O11" s="2427"/>
      <c r="P11" s="2427"/>
      <c r="Q11" s="2427"/>
      <c r="R11" s="2427"/>
      <c r="S11" s="2427"/>
      <c r="T11" s="2427"/>
      <c r="U11" s="2427"/>
      <c r="V11" s="2427"/>
      <c r="W11" s="2427"/>
      <c r="X11" s="2427"/>
      <c r="Y11" s="2427"/>
      <c r="Z11" s="2427"/>
      <c r="AA11" s="2427"/>
      <c r="AB11" s="2427"/>
      <c r="AC11" s="2427"/>
      <c r="AD11" s="2427"/>
      <c r="AE11" s="2427"/>
      <c r="AF11" s="2427"/>
      <c r="AG11" s="2428" t="s">
        <v>3495</v>
      </c>
      <c r="AH11" s="2430" t="s">
        <v>3394</v>
      </c>
      <c r="AI11" s="2430" t="s">
        <v>2727</v>
      </c>
      <c r="AJ11" s="2431" t="s">
        <v>627</v>
      </c>
    </row>
    <row r="12" spans="1:43">
      <c r="A12" s="2426"/>
      <c r="B12" s="2426"/>
      <c r="C12" s="1854">
        <v>1</v>
      </c>
      <c r="D12" s="1854">
        <v>2</v>
      </c>
      <c r="E12" s="1854">
        <v>3</v>
      </c>
      <c r="F12" s="1854">
        <v>4</v>
      </c>
      <c r="G12" s="1854">
        <v>5</v>
      </c>
      <c r="H12" s="1854">
        <v>6</v>
      </c>
      <c r="I12" s="1854">
        <v>7</v>
      </c>
      <c r="J12" s="1854">
        <v>8</v>
      </c>
      <c r="K12" s="1854">
        <v>9</v>
      </c>
      <c r="L12" s="1854">
        <v>10</v>
      </c>
      <c r="M12" s="1854">
        <v>11</v>
      </c>
      <c r="N12" s="1854">
        <v>12</v>
      </c>
      <c r="O12" s="1854">
        <v>13</v>
      </c>
      <c r="P12" s="1854">
        <v>14</v>
      </c>
      <c r="Q12" s="1854">
        <v>15</v>
      </c>
      <c r="R12" s="1854">
        <v>16</v>
      </c>
      <c r="S12" s="1854">
        <v>17</v>
      </c>
      <c r="T12" s="1854">
        <v>18</v>
      </c>
      <c r="U12" s="1854">
        <v>19</v>
      </c>
      <c r="V12" s="1854">
        <v>20</v>
      </c>
      <c r="W12" s="1854">
        <v>21</v>
      </c>
      <c r="X12" s="1854">
        <v>22</v>
      </c>
      <c r="Y12" s="1854">
        <v>23</v>
      </c>
      <c r="Z12" s="1854">
        <v>24</v>
      </c>
      <c r="AA12" s="1854">
        <v>25</v>
      </c>
      <c r="AB12" s="1854">
        <v>26</v>
      </c>
      <c r="AC12" s="1854">
        <v>27</v>
      </c>
      <c r="AD12" s="1854">
        <v>28</v>
      </c>
      <c r="AE12" s="1854">
        <v>29</v>
      </c>
      <c r="AF12" s="1854">
        <v>30</v>
      </c>
      <c r="AG12" s="2429"/>
      <c r="AH12" s="2430"/>
      <c r="AI12" s="2430"/>
      <c r="AJ12" s="2431"/>
    </row>
    <row r="13" spans="1:43" ht="22.5" customHeight="1">
      <c r="A13" s="1853">
        <v>1</v>
      </c>
      <c r="B13" s="1850" t="s">
        <v>3173</v>
      </c>
      <c r="C13" s="1851"/>
      <c r="D13" s="1851"/>
      <c r="E13" s="1851"/>
      <c r="F13" s="1851"/>
      <c r="G13" s="1851"/>
      <c r="H13" s="1851"/>
      <c r="I13" s="1851"/>
      <c r="J13" s="1851"/>
      <c r="K13" s="1851"/>
      <c r="L13" s="1851"/>
      <c r="M13" s="1851"/>
      <c r="N13" s="1852"/>
      <c r="O13" s="1851"/>
      <c r="P13" s="1851"/>
      <c r="Q13" s="1851"/>
      <c r="R13" s="1851"/>
      <c r="S13" s="1851"/>
      <c r="T13" s="1851">
        <v>20</v>
      </c>
      <c r="U13" s="1851"/>
      <c r="V13" s="1851"/>
      <c r="W13" s="1851"/>
      <c r="X13" s="1851"/>
      <c r="Y13" s="1851"/>
      <c r="Z13" s="1851"/>
      <c r="AA13" s="1851"/>
      <c r="AB13" s="1851"/>
      <c r="AC13" s="1851"/>
      <c r="AD13" s="1851"/>
      <c r="AE13" s="1851"/>
      <c r="AF13" s="1851"/>
      <c r="AG13" s="1853">
        <f>+VLOOKUP(B13,'Biểu 2 TH MỦ dây'!$C$11:$AI$87,33,0)</f>
        <v>27</v>
      </c>
      <c r="AH13" s="2160">
        <v>8000</v>
      </c>
      <c r="AI13" s="2161">
        <f>+AG13*AH13</f>
        <v>216000</v>
      </c>
      <c r="AJ13" s="1850"/>
    </row>
    <row r="14" spans="1:43" ht="22.5" customHeight="1">
      <c r="A14" s="1853">
        <v>2</v>
      </c>
      <c r="B14" s="1850" t="s">
        <v>936</v>
      </c>
      <c r="C14" s="1851"/>
      <c r="D14" s="1851"/>
      <c r="E14" s="1851"/>
      <c r="F14" s="1851"/>
      <c r="G14" s="1851"/>
      <c r="H14" s="1851"/>
      <c r="I14" s="1851"/>
      <c r="J14" s="1851"/>
      <c r="K14" s="1851"/>
      <c r="L14" s="1851"/>
      <c r="M14" s="1851"/>
      <c r="N14" s="1852"/>
      <c r="O14" s="1851"/>
      <c r="P14" s="1851"/>
      <c r="Q14" s="1851"/>
      <c r="R14" s="1851">
        <v>20</v>
      </c>
      <c r="S14" s="1851"/>
      <c r="T14" s="1851"/>
      <c r="U14" s="1851"/>
      <c r="V14" s="1851"/>
      <c r="W14" s="1851"/>
      <c r="X14" s="1851"/>
      <c r="Y14" s="1851"/>
      <c r="Z14" s="1851"/>
      <c r="AA14" s="1851"/>
      <c r="AB14" s="1851"/>
      <c r="AC14" s="1851"/>
      <c r="AD14" s="1851"/>
      <c r="AE14" s="1851"/>
      <c r="AF14" s="1851"/>
      <c r="AG14" s="1853">
        <f>+VLOOKUP(B14,'Biểu 2 TH MỦ dây'!$C$11:$AI$87,33,0)</f>
        <v>27</v>
      </c>
      <c r="AH14" s="2160">
        <v>8000</v>
      </c>
      <c r="AI14" s="2161">
        <f t="shared" ref="AI14:AI76" si="0">+AG14*AH14</f>
        <v>216000</v>
      </c>
      <c r="AJ14" s="1850"/>
    </row>
    <row r="15" spans="1:43" ht="22.5" customHeight="1">
      <c r="A15" s="1853">
        <v>3</v>
      </c>
      <c r="B15" s="1850" t="s">
        <v>3174</v>
      </c>
      <c r="C15" s="1851"/>
      <c r="D15" s="1851"/>
      <c r="E15" s="1851"/>
      <c r="F15" s="1851"/>
      <c r="G15" s="1851"/>
      <c r="H15" s="1851"/>
      <c r="I15" s="1851"/>
      <c r="J15" s="1851"/>
      <c r="K15" s="1851"/>
      <c r="L15" s="1851"/>
      <c r="M15" s="1851"/>
      <c r="N15" s="1852"/>
      <c r="O15" s="1851"/>
      <c r="P15" s="1851"/>
      <c r="Q15" s="1851">
        <v>15</v>
      </c>
      <c r="R15" s="1851"/>
      <c r="S15" s="1851"/>
      <c r="T15" s="1851"/>
      <c r="U15" s="1851"/>
      <c r="V15" s="1851"/>
      <c r="W15" s="1851"/>
      <c r="X15" s="1851"/>
      <c r="Y15" s="1851"/>
      <c r="Z15" s="1851"/>
      <c r="AA15" s="1851"/>
      <c r="AB15" s="1851"/>
      <c r="AC15" s="1851"/>
      <c r="AD15" s="1851"/>
      <c r="AE15" s="1851"/>
      <c r="AF15" s="1851"/>
      <c r="AG15" s="1853">
        <f>+VLOOKUP(B15,'Biểu 2 TH MỦ dây'!$C$11:$AI$87,33,0)</f>
        <v>27</v>
      </c>
      <c r="AH15" s="2160">
        <v>8000</v>
      </c>
      <c r="AI15" s="2161">
        <f t="shared" si="0"/>
        <v>216000</v>
      </c>
      <c r="AJ15" s="1850"/>
    </row>
    <row r="16" spans="1:43" ht="22.5" customHeight="1">
      <c r="A16" s="1853">
        <v>4</v>
      </c>
      <c r="B16" s="1850" t="s">
        <v>3175</v>
      </c>
      <c r="C16" s="1851"/>
      <c r="D16" s="1851"/>
      <c r="E16" s="1851"/>
      <c r="F16" s="1851"/>
      <c r="G16" s="1851"/>
      <c r="H16" s="1851"/>
      <c r="I16" s="1851"/>
      <c r="J16" s="1851"/>
      <c r="K16" s="1851"/>
      <c r="L16" s="1851"/>
      <c r="M16" s="1851"/>
      <c r="N16" s="1852"/>
      <c r="O16" s="1851"/>
      <c r="P16" s="1851"/>
      <c r="Q16" s="1851">
        <v>16</v>
      </c>
      <c r="R16" s="1851"/>
      <c r="S16" s="1851"/>
      <c r="T16" s="1851"/>
      <c r="U16" s="1851"/>
      <c r="V16" s="1851"/>
      <c r="W16" s="1851"/>
      <c r="X16" s="1851"/>
      <c r="Y16" s="1851"/>
      <c r="Z16" s="1851"/>
      <c r="AA16" s="1851"/>
      <c r="AB16" s="1851"/>
      <c r="AC16" s="1851"/>
      <c r="AD16" s="1851"/>
      <c r="AE16" s="1851"/>
      <c r="AF16" s="1851"/>
      <c r="AG16" s="1853">
        <f>+VLOOKUP(B16,'Biểu 2 TH MỦ dây'!$C$11:$AI$87,33,0)</f>
        <v>27</v>
      </c>
      <c r="AH16" s="2160">
        <v>8000</v>
      </c>
      <c r="AI16" s="2161">
        <f t="shared" si="0"/>
        <v>216000</v>
      </c>
      <c r="AJ16" s="1850"/>
    </row>
    <row r="17" spans="1:36" ht="22.5" customHeight="1">
      <c r="A17" s="1853">
        <v>5</v>
      </c>
      <c r="B17" s="1850" t="s">
        <v>1386</v>
      </c>
      <c r="C17" s="1851"/>
      <c r="D17" s="1851"/>
      <c r="E17" s="1851"/>
      <c r="F17" s="1851"/>
      <c r="G17" s="1851"/>
      <c r="H17" s="1851"/>
      <c r="I17" s="1851"/>
      <c r="J17" s="1851"/>
      <c r="K17" s="1851"/>
      <c r="L17" s="1851"/>
      <c r="M17" s="1851"/>
      <c r="N17" s="1852"/>
      <c r="O17" s="1851"/>
      <c r="P17" s="1851"/>
      <c r="Q17" s="1851"/>
      <c r="R17" s="1851"/>
      <c r="S17" s="1851">
        <v>20</v>
      </c>
      <c r="T17" s="1851"/>
      <c r="U17" s="1851"/>
      <c r="V17" s="1851"/>
      <c r="W17" s="1851"/>
      <c r="X17" s="1851"/>
      <c r="Y17" s="1851"/>
      <c r="Z17" s="1851"/>
      <c r="AA17" s="1851"/>
      <c r="AB17" s="1851"/>
      <c r="AC17" s="1851"/>
      <c r="AD17" s="1851"/>
      <c r="AE17" s="1851"/>
      <c r="AF17" s="1851"/>
      <c r="AG17" s="1853">
        <f>+VLOOKUP(B17,'Biểu 2 TH MỦ dây'!$C$11:$AI$87,33,0)</f>
        <v>27</v>
      </c>
      <c r="AH17" s="2160">
        <v>8000</v>
      </c>
      <c r="AI17" s="2161">
        <f t="shared" si="0"/>
        <v>216000</v>
      </c>
      <c r="AJ17" s="1850"/>
    </row>
    <row r="18" spans="1:36" ht="22.5" customHeight="1">
      <c r="A18" s="1853">
        <v>6</v>
      </c>
      <c r="B18" s="1850" t="s">
        <v>3176</v>
      </c>
      <c r="C18" s="1851"/>
      <c r="D18" s="1851"/>
      <c r="E18" s="1851"/>
      <c r="F18" s="1851"/>
      <c r="G18" s="1851"/>
      <c r="H18" s="1851"/>
      <c r="I18" s="1851"/>
      <c r="J18" s="1851"/>
      <c r="K18" s="1851"/>
      <c r="L18" s="1851"/>
      <c r="M18" s="1851"/>
      <c r="N18" s="1852"/>
      <c r="O18" s="1851"/>
      <c r="P18" s="1851"/>
      <c r="Q18" s="1851"/>
      <c r="R18" s="1851"/>
      <c r="S18" s="1851">
        <v>12</v>
      </c>
      <c r="T18" s="1851"/>
      <c r="U18" s="1851"/>
      <c r="V18" s="1851"/>
      <c r="W18" s="1851"/>
      <c r="X18" s="1851"/>
      <c r="Y18" s="1851"/>
      <c r="Z18" s="1851"/>
      <c r="AA18" s="1851"/>
      <c r="AB18" s="1851"/>
      <c r="AC18" s="1851"/>
      <c r="AD18" s="1851"/>
      <c r="AE18" s="1851"/>
      <c r="AF18" s="1851"/>
      <c r="AG18" s="1853">
        <f>+VLOOKUP(B18,'Biểu 2 TH MỦ dây'!$C$11:$AI$87,33,0)</f>
        <v>27</v>
      </c>
      <c r="AH18" s="2160">
        <v>8000</v>
      </c>
      <c r="AI18" s="2161">
        <f t="shared" si="0"/>
        <v>216000</v>
      </c>
      <c r="AJ18" s="1850"/>
    </row>
    <row r="19" spans="1:36" ht="22.5" customHeight="1">
      <c r="A19" s="1853">
        <v>7</v>
      </c>
      <c r="B19" s="1850" t="s">
        <v>3177</v>
      </c>
      <c r="C19" s="1851"/>
      <c r="D19" s="1851"/>
      <c r="E19" s="1851"/>
      <c r="F19" s="1851"/>
      <c r="G19" s="1851"/>
      <c r="H19" s="1851"/>
      <c r="I19" s="1851"/>
      <c r="J19" s="1851"/>
      <c r="K19" s="1851"/>
      <c r="L19" s="1851"/>
      <c r="M19" s="1851"/>
      <c r="N19" s="1852"/>
      <c r="O19" s="1851"/>
      <c r="P19" s="1851"/>
      <c r="Q19" s="1851"/>
      <c r="R19" s="1851"/>
      <c r="S19" s="1851">
        <v>21</v>
      </c>
      <c r="T19" s="1851"/>
      <c r="U19" s="1851"/>
      <c r="V19" s="1851"/>
      <c r="W19" s="1851"/>
      <c r="X19" s="1851"/>
      <c r="Y19" s="1851"/>
      <c r="Z19" s="1851"/>
      <c r="AA19" s="1851"/>
      <c r="AB19" s="1851"/>
      <c r="AC19" s="1851"/>
      <c r="AD19" s="1851"/>
      <c r="AE19" s="1851"/>
      <c r="AF19" s="1851"/>
      <c r="AG19" s="1853">
        <f>+VLOOKUP(B19,'Biểu 2 TH MỦ dây'!$C$11:$AI$87,33,0)</f>
        <v>27</v>
      </c>
      <c r="AH19" s="2160">
        <v>8000</v>
      </c>
      <c r="AI19" s="2161">
        <f t="shared" si="0"/>
        <v>216000</v>
      </c>
      <c r="AJ19" s="1850"/>
    </row>
    <row r="20" spans="1:36" ht="22.5" customHeight="1">
      <c r="A20" s="1853">
        <v>8</v>
      </c>
      <c r="B20" s="1850" t="s">
        <v>3178</v>
      </c>
      <c r="C20" s="1851"/>
      <c r="D20" s="1851"/>
      <c r="E20" s="1851"/>
      <c r="F20" s="1851"/>
      <c r="G20" s="1851"/>
      <c r="H20" s="1851"/>
      <c r="I20" s="1851"/>
      <c r="J20" s="1851"/>
      <c r="K20" s="1851"/>
      <c r="L20" s="1851"/>
      <c r="M20" s="1851"/>
      <c r="N20" s="1852"/>
      <c r="O20" s="1851"/>
      <c r="P20" s="1851"/>
      <c r="Q20" s="1851"/>
      <c r="R20" s="1851"/>
      <c r="S20" s="1851"/>
      <c r="T20" s="1851">
        <v>17</v>
      </c>
      <c r="U20" s="1851"/>
      <c r="V20" s="1851"/>
      <c r="W20" s="1851"/>
      <c r="X20" s="1851"/>
      <c r="Y20" s="1851"/>
      <c r="Z20" s="1851"/>
      <c r="AA20" s="1851"/>
      <c r="AB20" s="1851"/>
      <c r="AC20" s="1851"/>
      <c r="AD20" s="1851"/>
      <c r="AE20" s="1851"/>
      <c r="AF20" s="1851"/>
      <c r="AG20" s="1853">
        <f>+VLOOKUP(B20,'Biểu 2 TH MỦ dây'!$C$11:$AI$87,33,0)</f>
        <v>27</v>
      </c>
      <c r="AH20" s="2160">
        <v>8000</v>
      </c>
      <c r="AI20" s="2161">
        <f t="shared" si="0"/>
        <v>216000</v>
      </c>
      <c r="AJ20" s="1850"/>
    </row>
    <row r="21" spans="1:36" ht="22.5" customHeight="1">
      <c r="A21" s="1853">
        <v>9</v>
      </c>
      <c r="B21" s="1850" t="s">
        <v>3179</v>
      </c>
      <c r="C21" s="1851"/>
      <c r="D21" s="1851"/>
      <c r="E21" s="1851"/>
      <c r="F21" s="1851"/>
      <c r="G21" s="1851"/>
      <c r="H21" s="1851"/>
      <c r="I21" s="1851"/>
      <c r="J21" s="1851"/>
      <c r="K21" s="1851"/>
      <c r="L21" s="1851"/>
      <c r="M21" s="1851"/>
      <c r="N21" s="1852"/>
      <c r="O21" s="1851"/>
      <c r="P21" s="1851"/>
      <c r="Q21" s="1851"/>
      <c r="R21" s="1851">
        <v>20</v>
      </c>
      <c r="S21" s="1851"/>
      <c r="T21" s="1851"/>
      <c r="U21" s="1851"/>
      <c r="V21" s="1851"/>
      <c r="W21" s="1851"/>
      <c r="X21" s="1851"/>
      <c r="Y21" s="1851"/>
      <c r="Z21" s="1851"/>
      <c r="AA21" s="1851"/>
      <c r="AB21" s="1851"/>
      <c r="AC21" s="1851"/>
      <c r="AD21" s="1851"/>
      <c r="AE21" s="1851"/>
      <c r="AF21" s="1851"/>
      <c r="AG21" s="1853">
        <f>+VLOOKUP(B21,'Biểu 2 TH MỦ dây'!$C$11:$AI$87,33,0)</f>
        <v>26</v>
      </c>
      <c r="AH21" s="2160">
        <v>8000</v>
      </c>
      <c r="AI21" s="2161">
        <f t="shared" si="0"/>
        <v>208000</v>
      </c>
      <c r="AJ21" s="1850"/>
    </row>
    <row r="22" spans="1:36" ht="22.5" customHeight="1">
      <c r="A22" s="1853">
        <v>10</v>
      </c>
      <c r="B22" s="1850" t="s">
        <v>3180</v>
      </c>
      <c r="C22" s="1851"/>
      <c r="D22" s="1851"/>
      <c r="E22" s="1851"/>
      <c r="F22" s="1851"/>
      <c r="G22" s="1851"/>
      <c r="H22" s="1851"/>
      <c r="I22" s="1851"/>
      <c r="J22" s="1851"/>
      <c r="K22" s="1851"/>
      <c r="L22" s="1851"/>
      <c r="M22" s="1851"/>
      <c r="N22" s="1852"/>
      <c r="O22" s="1851"/>
      <c r="P22" s="1851"/>
      <c r="Q22" s="1851"/>
      <c r="R22" s="1851"/>
      <c r="S22" s="1851">
        <v>10</v>
      </c>
      <c r="T22" s="1851"/>
      <c r="U22" s="1851"/>
      <c r="V22" s="1851"/>
      <c r="W22" s="1851"/>
      <c r="X22" s="1851"/>
      <c r="Y22" s="1851"/>
      <c r="Z22" s="1851"/>
      <c r="AA22" s="1851"/>
      <c r="AB22" s="1851"/>
      <c r="AC22" s="1851"/>
      <c r="AD22" s="1851"/>
      <c r="AE22" s="1851"/>
      <c r="AF22" s="1851"/>
      <c r="AG22" s="1853">
        <f>+VLOOKUP(B22,'Biểu 2 TH MỦ dây'!$C$11:$AI$87,33,0)</f>
        <v>26</v>
      </c>
      <c r="AH22" s="2160">
        <v>8000</v>
      </c>
      <c r="AI22" s="2161">
        <f t="shared" si="0"/>
        <v>208000</v>
      </c>
      <c r="AJ22" s="1850"/>
    </row>
    <row r="23" spans="1:36" ht="22.5" customHeight="1">
      <c r="A23" s="1853">
        <v>11</v>
      </c>
      <c r="B23" s="1850" t="s">
        <v>3181</v>
      </c>
      <c r="C23" s="1851"/>
      <c r="D23" s="1851"/>
      <c r="E23" s="1851"/>
      <c r="F23" s="1851"/>
      <c r="G23" s="1851"/>
      <c r="H23" s="1851"/>
      <c r="I23" s="1851"/>
      <c r="J23" s="1851"/>
      <c r="K23" s="1851"/>
      <c r="L23" s="1851"/>
      <c r="M23" s="1851"/>
      <c r="N23" s="1852"/>
      <c r="O23" s="1851"/>
      <c r="P23" s="1851"/>
      <c r="Q23" s="1851"/>
      <c r="R23" s="1851">
        <v>18</v>
      </c>
      <c r="S23" s="1851"/>
      <c r="T23" s="1851"/>
      <c r="U23" s="1851"/>
      <c r="V23" s="1851"/>
      <c r="W23" s="1851"/>
      <c r="X23" s="1851"/>
      <c r="Y23" s="1851"/>
      <c r="Z23" s="1851"/>
      <c r="AA23" s="1851"/>
      <c r="AB23" s="1851"/>
      <c r="AC23" s="1851"/>
      <c r="AD23" s="1851"/>
      <c r="AE23" s="1851"/>
      <c r="AF23" s="1851"/>
      <c r="AG23" s="1853">
        <f>+VLOOKUP(B23,'Biểu 2 TH MỦ dây'!$C$11:$AI$87,33,0)</f>
        <v>25</v>
      </c>
      <c r="AH23" s="2160">
        <v>8000</v>
      </c>
      <c r="AI23" s="2161">
        <f t="shared" si="0"/>
        <v>200000</v>
      </c>
      <c r="AJ23" s="1850"/>
    </row>
    <row r="24" spans="1:36" ht="22.5" customHeight="1">
      <c r="A24" s="1853">
        <v>12</v>
      </c>
      <c r="B24" s="1850" t="s">
        <v>3182</v>
      </c>
      <c r="C24" s="1851"/>
      <c r="D24" s="1851"/>
      <c r="E24" s="1851"/>
      <c r="F24" s="1851"/>
      <c r="G24" s="1851"/>
      <c r="H24" s="1851"/>
      <c r="I24" s="1851"/>
      <c r="J24" s="1851"/>
      <c r="K24" s="1851"/>
      <c r="L24" s="1851"/>
      <c r="M24" s="1851"/>
      <c r="N24" s="1852"/>
      <c r="O24" s="1851">
        <v>13</v>
      </c>
      <c r="P24" s="1851"/>
      <c r="Q24" s="1851"/>
      <c r="R24" s="1851"/>
      <c r="S24" s="1851">
        <v>6</v>
      </c>
      <c r="T24" s="1851"/>
      <c r="U24" s="1851"/>
      <c r="V24" s="1851"/>
      <c r="W24" s="1851"/>
      <c r="X24" s="1851"/>
      <c r="Y24" s="1851"/>
      <c r="Z24" s="1851"/>
      <c r="AA24" s="1851"/>
      <c r="AB24" s="1851"/>
      <c r="AC24" s="1851"/>
      <c r="AD24" s="1851"/>
      <c r="AE24" s="1851"/>
      <c r="AF24" s="1851"/>
      <c r="AG24" s="1853">
        <f>+VLOOKUP(B24,'Biểu 2 TH MỦ dây'!$C$11:$AI$87,33,0)</f>
        <v>25</v>
      </c>
      <c r="AH24" s="2160">
        <v>8000</v>
      </c>
      <c r="AI24" s="2161">
        <f t="shared" si="0"/>
        <v>200000</v>
      </c>
      <c r="AJ24" s="1850"/>
    </row>
    <row r="25" spans="1:36" ht="22.5" customHeight="1">
      <c r="A25" s="1853">
        <v>13</v>
      </c>
      <c r="B25" s="1850" t="s">
        <v>3183</v>
      </c>
      <c r="C25" s="1851"/>
      <c r="D25" s="1851"/>
      <c r="E25" s="1851"/>
      <c r="F25" s="1851"/>
      <c r="G25" s="1851"/>
      <c r="H25" s="1851"/>
      <c r="I25" s="1851"/>
      <c r="J25" s="1851"/>
      <c r="K25" s="1851"/>
      <c r="L25" s="1851"/>
      <c r="M25" s="1851"/>
      <c r="N25" s="1852"/>
      <c r="O25" s="1851">
        <v>12</v>
      </c>
      <c r="P25" s="1851"/>
      <c r="Q25" s="1851"/>
      <c r="R25" s="1851"/>
      <c r="S25" s="1851"/>
      <c r="T25" s="1851"/>
      <c r="U25" s="1851"/>
      <c r="V25" s="1851"/>
      <c r="W25" s="1851"/>
      <c r="X25" s="1851"/>
      <c r="Y25" s="1851"/>
      <c r="Z25" s="1851"/>
      <c r="AA25" s="1851"/>
      <c r="AB25" s="1851"/>
      <c r="AC25" s="1851"/>
      <c r="AD25" s="1851"/>
      <c r="AE25" s="1851"/>
      <c r="AF25" s="1851"/>
      <c r="AG25" s="1853">
        <f>+VLOOKUP(B25,'Biểu 2 TH MỦ dây'!$C$11:$AI$87,33,0)</f>
        <v>25</v>
      </c>
      <c r="AH25" s="2160">
        <v>8000</v>
      </c>
      <c r="AI25" s="2161">
        <f t="shared" si="0"/>
        <v>200000</v>
      </c>
      <c r="AJ25" s="1850"/>
    </row>
    <row r="26" spans="1:36" ht="22.5" customHeight="1">
      <c r="A26" s="1853">
        <v>14</v>
      </c>
      <c r="B26" s="1850" t="s">
        <v>882</v>
      </c>
      <c r="C26" s="1851"/>
      <c r="D26" s="1851"/>
      <c r="E26" s="1851"/>
      <c r="F26" s="1851"/>
      <c r="G26" s="1851"/>
      <c r="H26" s="1851"/>
      <c r="I26" s="1851"/>
      <c r="J26" s="1851"/>
      <c r="K26" s="1851"/>
      <c r="L26" s="1851"/>
      <c r="M26" s="1851"/>
      <c r="N26" s="1852"/>
      <c r="O26" s="1851"/>
      <c r="P26" s="1851"/>
      <c r="Q26" s="1851"/>
      <c r="R26" s="1851"/>
      <c r="S26" s="1851"/>
      <c r="T26" s="1851"/>
      <c r="U26" s="1851"/>
      <c r="V26" s="1851"/>
      <c r="W26" s="1851"/>
      <c r="X26" s="1851"/>
      <c r="Y26" s="1851"/>
      <c r="Z26" s="1851"/>
      <c r="AA26" s="1851"/>
      <c r="AB26" s="1851"/>
      <c r="AC26" s="1851"/>
      <c r="AD26" s="1851"/>
      <c r="AE26" s="1851"/>
      <c r="AF26" s="1851"/>
      <c r="AG26" s="1853">
        <f>+VLOOKUP(B26,'Biểu 2 TH MỦ dây'!$C$11:$AI$87,33,0)</f>
        <v>25</v>
      </c>
      <c r="AH26" s="2160">
        <v>8000</v>
      </c>
      <c r="AI26" s="2161">
        <f t="shared" si="0"/>
        <v>200000</v>
      </c>
      <c r="AJ26" s="1850"/>
    </row>
    <row r="27" spans="1:36" ht="22.5" customHeight="1">
      <c r="A27" s="1853">
        <v>15</v>
      </c>
      <c r="B27" s="1850" t="s">
        <v>3184</v>
      </c>
      <c r="C27" s="1851"/>
      <c r="D27" s="1851"/>
      <c r="E27" s="1851"/>
      <c r="F27" s="1851"/>
      <c r="G27" s="1851"/>
      <c r="H27" s="1851"/>
      <c r="I27" s="1851"/>
      <c r="J27" s="1851"/>
      <c r="K27" s="1851"/>
      <c r="L27" s="1851"/>
      <c r="M27" s="1851"/>
      <c r="N27" s="1852"/>
      <c r="O27" s="1851"/>
      <c r="P27" s="1851"/>
      <c r="Q27" s="1851"/>
      <c r="R27" s="1851"/>
      <c r="S27" s="1851"/>
      <c r="T27" s="1851"/>
      <c r="U27" s="1851"/>
      <c r="V27" s="1851"/>
      <c r="W27" s="1851"/>
      <c r="X27" s="1851"/>
      <c r="Y27" s="1851"/>
      <c r="Z27" s="1851"/>
      <c r="AA27" s="1851"/>
      <c r="AB27" s="1851"/>
      <c r="AC27" s="1851"/>
      <c r="AD27" s="1851"/>
      <c r="AE27" s="1851"/>
      <c r="AF27" s="1851"/>
      <c r="AG27" s="1853">
        <f>+VLOOKUP(B27,'Biểu 2 TH MỦ dây'!$C$11:$AI$87,33,0)</f>
        <v>25</v>
      </c>
      <c r="AH27" s="2160">
        <v>8000</v>
      </c>
      <c r="AI27" s="2161">
        <f t="shared" si="0"/>
        <v>200000</v>
      </c>
      <c r="AJ27" s="1850"/>
    </row>
    <row r="28" spans="1:36" ht="22.5" customHeight="1">
      <c r="A28" s="1853">
        <v>16</v>
      </c>
      <c r="B28" s="1850" t="s">
        <v>3185</v>
      </c>
      <c r="C28" s="1851"/>
      <c r="D28" s="1851"/>
      <c r="E28" s="1851"/>
      <c r="F28" s="1851"/>
      <c r="G28" s="1851"/>
      <c r="H28" s="1851"/>
      <c r="I28" s="1851"/>
      <c r="J28" s="1851"/>
      <c r="K28" s="1851"/>
      <c r="L28" s="1851"/>
      <c r="M28" s="1851"/>
      <c r="N28" s="1852"/>
      <c r="O28" s="1851"/>
      <c r="P28" s="1851"/>
      <c r="Q28" s="1851"/>
      <c r="R28" s="1851"/>
      <c r="S28" s="1851"/>
      <c r="T28" s="1851"/>
      <c r="U28" s="1851"/>
      <c r="V28" s="1851"/>
      <c r="W28" s="1851"/>
      <c r="X28" s="1851"/>
      <c r="Y28" s="1851"/>
      <c r="Z28" s="1851"/>
      <c r="AA28" s="1851"/>
      <c r="AB28" s="1851"/>
      <c r="AC28" s="1851"/>
      <c r="AD28" s="1851"/>
      <c r="AE28" s="1851"/>
      <c r="AF28" s="1851"/>
      <c r="AG28" s="1853">
        <f>+VLOOKUP(B28,'Biểu 2 TH MỦ dây'!$C$11:$AI$87,33,0)</f>
        <v>25</v>
      </c>
      <c r="AH28" s="2160">
        <v>8000</v>
      </c>
      <c r="AI28" s="2161">
        <f t="shared" si="0"/>
        <v>200000</v>
      </c>
      <c r="AJ28" s="1850"/>
    </row>
    <row r="29" spans="1:36" ht="22.5" customHeight="1">
      <c r="A29" s="1853">
        <v>17</v>
      </c>
      <c r="B29" s="1850" t="s">
        <v>3186</v>
      </c>
      <c r="C29" s="1851"/>
      <c r="D29" s="1851"/>
      <c r="E29" s="1851"/>
      <c r="F29" s="1851"/>
      <c r="G29" s="1851"/>
      <c r="H29" s="1851"/>
      <c r="I29" s="1851"/>
      <c r="J29" s="1851"/>
      <c r="K29" s="1851"/>
      <c r="L29" s="1851"/>
      <c r="M29" s="1851"/>
      <c r="N29" s="1852"/>
      <c r="O29" s="1851"/>
      <c r="P29" s="1851"/>
      <c r="Q29" s="1851"/>
      <c r="R29" s="1851"/>
      <c r="S29" s="1851"/>
      <c r="T29" s="1851"/>
      <c r="U29" s="1851"/>
      <c r="V29" s="1851"/>
      <c r="W29" s="1851"/>
      <c r="X29" s="1851"/>
      <c r="Y29" s="1851"/>
      <c r="Z29" s="1851"/>
      <c r="AA29" s="1851"/>
      <c r="AB29" s="1851"/>
      <c r="AC29" s="1851"/>
      <c r="AD29" s="1851"/>
      <c r="AE29" s="1851"/>
      <c r="AF29" s="1851"/>
      <c r="AG29" s="1853">
        <f>+VLOOKUP(B29,'Biểu 2 TH MỦ dây'!$C$11:$AI$87,33,0)</f>
        <v>25</v>
      </c>
      <c r="AH29" s="2160">
        <v>8000</v>
      </c>
      <c r="AI29" s="2161">
        <f t="shared" si="0"/>
        <v>200000</v>
      </c>
      <c r="AJ29" s="1850"/>
    </row>
    <row r="30" spans="1:36" ht="22.5" customHeight="1">
      <c r="A30" s="1853">
        <v>18</v>
      </c>
      <c r="B30" s="1850" t="s">
        <v>3187</v>
      </c>
      <c r="C30" s="1851"/>
      <c r="D30" s="1851"/>
      <c r="E30" s="1851"/>
      <c r="F30" s="1851"/>
      <c r="G30" s="1851"/>
      <c r="H30" s="1851"/>
      <c r="I30" s="1851"/>
      <c r="J30" s="1851"/>
      <c r="K30" s="1851"/>
      <c r="L30" s="1851"/>
      <c r="M30" s="1851"/>
      <c r="N30" s="1852"/>
      <c r="O30" s="1851"/>
      <c r="P30" s="1851"/>
      <c r="Q30" s="1851"/>
      <c r="R30" s="1851"/>
      <c r="S30" s="1851"/>
      <c r="T30" s="1851"/>
      <c r="U30" s="1851"/>
      <c r="V30" s="1851"/>
      <c r="W30" s="1851"/>
      <c r="X30" s="1851"/>
      <c r="Y30" s="1851"/>
      <c r="Z30" s="1851"/>
      <c r="AA30" s="1851"/>
      <c r="AB30" s="1851"/>
      <c r="AC30" s="1851"/>
      <c r="AD30" s="1851"/>
      <c r="AE30" s="1851"/>
      <c r="AF30" s="1851"/>
      <c r="AG30" s="1853">
        <f>+VLOOKUP(B30,'Biểu 2 TH MỦ dây'!$C$11:$AI$87,33,0)</f>
        <v>25</v>
      </c>
      <c r="AH30" s="2160">
        <v>8000</v>
      </c>
      <c r="AI30" s="2161">
        <f t="shared" si="0"/>
        <v>200000</v>
      </c>
      <c r="AJ30" s="1850"/>
    </row>
    <row r="31" spans="1:36" ht="22.5" customHeight="1">
      <c r="A31" s="1853">
        <v>19</v>
      </c>
      <c r="B31" s="1850" t="s">
        <v>3188</v>
      </c>
      <c r="C31" s="1851"/>
      <c r="D31" s="1851"/>
      <c r="E31" s="1851"/>
      <c r="F31" s="1851"/>
      <c r="G31" s="1851"/>
      <c r="H31" s="1851"/>
      <c r="I31" s="1851"/>
      <c r="J31" s="1851"/>
      <c r="K31" s="1851"/>
      <c r="L31" s="1851"/>
      <c r="M31" s="1851"/>
      <c r="N31" s="1852"/>
      <c r="O31" s="1851"/>
      <c r="P31" s="1851"/>
      <c r="Q31" s="1851"/>
      <c r="R31" s="1851"/>
      <c r="S31" s="1851"/>
      <c r="T31" s="1851"/>
      <c r="U31" s="1851"/>
      <c r="V31" s="1851"/>
      <c r="W31" s="1851"/>
      <c r="X31" s="1851"/>
      <c r="Y31" s="1851"/>
      <c r="Z31" s="1851"/>
      <c r="AA31" s="1851"/>
      <c r="AB31" s="1851"/>
      <c r="AC31" s="1851"/>
      <c r="AD31" s="1851"/>
      <c r="AE31" s="1851"/>
      <c r="AF31" s="1851"/>
      <c r="AG31" s="1853">
        <f>+VLOOKUP(B31,'Biểu 2 TH MỦ dây'!$C$11:$AI$87,33,0)</f>
        <v>25</v>
      </c>
      <c r="AH31" s="2160">
        <v>8000</v>
      </c>
      <c r="AI31" s="2161">
        <f t="shared" si="0"/>
        <v>200000</v>
      </c>
      <c r="AJ31" s="1850"/>
    </row>
    <row r="32" spans="1:36" ht="22.5" customHeight="1">
      <c r="A32" s="1853">
        <v>20</v>
      </c>
      <c r="B32" s="1850" t="s">
        <v>3189</v>
      </c>
      <c r="C32" s="1851"/>
      <c r="D32" s="1851"/>
      <c r="E32" s="1851"/>
      <c r="F32" s="1851"/>
      <c r="G32" s="1851"/>
      <c r="H32" s="1851"/>
      <c r="I32" s="1851"/>
      <c r="J32" s="1851"/>
      <c r="K32" s="1851"/>
      <c r="L32" s="1851"/>
      <c r="M32" s="1851"/>
      <c r="N32" s="1852"/>
      <c r="O32" s="1851"/>
      <c r="P32" s="1851"/>
      <c r="Q32" s="1851"/>
      <c r="R32" s="1851"/>
      <c r="S32" s="1851"/>
      <c r="T32" s="1851"/>
      <c r="U32" s="1851"/>
      <c r="V32" s="1851"/>
      <c r="W32" s="1851"/>
      <c r="X32" s="1851"/>
      <c r="Y32" s="1851"/>
      <c r="Z32" s="1851"/>
      <c r="AA32" s="1851"/>
      <c r="AB32" s="1851"/>
      <c r="AC32" s="1851"/>
      <c r="AD32" s="1851"/>
      <c r="AE32" s="1851"/>
      <c r="AF32" s="1851"/>
      <c r="AG32" s="1853">
        <f>+VLOOKUP(B32,'Biểu 2 TH MỦ dây'!$C$11:$AI$87,33,0)</f>
        <v>25</v>
      </c>
      <c r="AH32" s="2160">
        <v>8000</v>
      </c>
      <c r="AI32" s="2161">
        <f t="shared" si="0"/>
        <v>200000</v>
      </c>
      <c r="AJ32" s="1850"/>
    </row>
    <row r="33" spans="1:36" ht="22.5" customHeight="1">
      <c r="A33" s="1853">
        <v>21</v>
      </c>
      <c r="B33" s="1850" t="s">
        <v>3190</v>
      </c>
      <c r="C33" s="1851"/>
      <c r="D33" s="1851"/>
      <c r="E33" s="1851"/>
      <c r="F33" s="1851"/>
      <c r="G33" s="1851"/>
      <c r="H33" s="1851"/>
      <c r="I33" s="1851"/>
      <c r="J33" s="1851"/>
      <c r="K33" s="1851"/>
      <c r="L33" s="1851"/>
      <c r="M33" s="1851"/>
      <c r="N33" s="1852"/>
      <c r="O33" s="1851"/>
      <c r="P33" s="1851"/>
      <c r="Q33" s="1851"/>
      <c r="R33" s="1851"/>
      <c r="S33" s="1851"/>
      <c r="T33" s="1851"/>
      <c r="U33" s="1851"/>
      <c r="V33" s="1851"/>
      <c r="W33" s="1851"/>
      <c r="X33" s="1851"/>
      <c r="Y33" s="1851"/>
      <c r="Z33" s="1851"/>
      <c r="AA33" s="1851"/>
      <c r="AB33" s="1851"/>
      <c r="AC33" s="1851"/>
      <c r="AD33" s="1851"/>
      <c r="AE33" s="1851"/>
      <c r="AF33" s="1851"/>
      <c r="AG33" s="1853">
        <f>+VLOOKUP(B33,'Biểu 2 TH MỦ dây'!$C$11:$AI$87,33,0)</f>
        <v>25</v>
      </c>
      <c r="AH33" s="2160">
        <v>8000</v>
      </c>
      <c r="AI33" s="2161">
        <f t="shared" si="0"/>
        <v>200000</v>
      </c>
      <c r="AJ33" s="1850"/>
    </row>
    <row r="34" spans="1:36" ht="22.5" customHeight="1">
      <c r="A34" s="1853">
        <v>22</v>
      </c>
      <c r="B34" s="1850" t="s">
        <v>3191</v>
      </c>
      <c r="C34" s="1851"/>
      <c r="D34" s="1851"/>
      <c r="E34" s="1851"/>
      <c r="F34" s="1851"/>
      <c r="G34" s="1851"/>
      <c r="H34" s="1851"/>
      <c r="I34" s="1851"/>
      <c r="J34" s="1851"/>
      <c r="K34" s="1851"/>
      <c r="L34" s="1851"/>
      <c r="M34" s="1851"/>
      <c r="N34" s="1852"/>
      <c r="O34" s="1851"/>
      <c r="P34" s="1851"/>
      <c r="Q34" s="1851"/>
      <c r="R34" s="1851"/>
      <c r="S34" s="1851"/>
      <c r="T34" s="1851"/>
      <c r="U34" s="1851"/>
      <c r="V34" s="1851"/>
      <c r="W34" s="1851"/>
      <c r="X34" s="1851"/>
      <c r="Y34" s="1851"/>
      <c r="Z34" s="1851"/>
      <c r="AA34" s="1851"/>
      <c r="AB34" s="1851"/>
      <c r="AC34" s="1851"/>
      <c r="AD34" s="1851"/>
      <c r="AE34" s="1851"/>
      <c r="AF34" s="1851"/>
      <c r="AG34" s="1853">
        <f>+VLOOKUP(B34,'Biểu 2 TH MỦ dây'!$C$11:$AI$87,33,0)</f>
        <v>25</v>
      </c>
      <c r="AH34" s="2160">
        <v>8000</v>
      </c>
      <c r="AI34" s="2161">
        <f t="shared" si="0"/>
        <v>200000</v>
      </c>
      <c r="AJ34" s="1850"/>
    </row>
    <row r="35" spans="1:36" ht="22.5" customHeight="1">
      <c r="A35" s="1853">
        <v>23</v>
      </c>
      <c r="B35" s="1850" t="s">
        <v>3192</v>
      </c>
      <c r="C35" s="1851"/>
      <c r="D35" s="1851"/>
      <c r="E35" s="1851"/>
      <c r="F35" s="1851"/>
      <c r="G35" s="1851"/>
      <c r="H35" s="1851"/>
      <c r="I35" s="1851"/>
      <c r="J35" s="1851"/>
      <c r="K35" s="1851"/>
      <c r="L35" s="1851"/>
      <c r="M35" s="1851"/>
      <c r="N35" s="1852"/>
      <c r="O35" s="1851"/>
      <c r="P35" s="1851"/>
      <c r="Q35" s="1851"/>
      <c r="R35" s="1851"/>
      <c r="S35" s="1851"/>
      <c r="T35" s="1851"/>
      <c r="U35" s="1851"/>
      <c r="V35" s="1851"/>
      <c r="W35" s="1851"/>
      <c r="X35" s="1851"/>
      <c r="Y35" s="1851"/>
      <c r="Z35" s="1851"/>
      <c r="AA35" s="1851"/>
      <c r="AB35" s="1851"/>
      <c r="AC35" s="1851"/>
      <c r="AD35" s="1851"/>
      <c r="AE35" s="1851"/>
      <c r="AF35" s="1851"/>
      <c r="AG35" s="1853">
        <f>+VLOOKUP(B35,'Biểu 2 TH MỦ dây'!$C$11:$AI$87,33,0)</f>
        <v>25</v>
      </c>
      <c r="AH35" s="2160">
        <v>8000</v>
      </c>
      <c r="AI35" s="2161">
        <f t="shared" si="0"/>
        <v>200000</v>
      </c>
      <c r="AJ35" s="1850"/>
    </row>
    <row r="36" spans="1:36" ht="22.5" customHeight="1">
      <c r="A36" s="1853">
        <v>24</v>
      </c>
      <c r="B36" s="1850" t="s">
        <v>3193</v>
      </c>
      <c r="C36" s="1851"/>
      <c r="D36" s="1851"/>
      <c r="E36" s="1851"/>
      <c r="F36" s="1851"/>
      <c r="G36" s="1851"/>
      <c r="H36" s="1851"/>
      <c r="I36" s="1851"/>
      <c r="J36" s="1851"/>
      <c r="K36" s="1851"/>
      <c r="L36" s="1851"/>
      <c r="M36" s="1851"/>
      <c r="N36" s="1852"/>
      <c r="O36" s="1851"/>
      <c r="P36" s="1851"/>
      <c r="Q36" s="1851"/>
      <c r="R36" s="1851"/>
      <c r="S36" s="1851"/>
      <c r="T36" s="1851"/>
      <c r="U36" s="1851"/>
      <c r="V36" s="1851"/>
      <c r="W36" s="1851"/>
      <c r="X36" s="1851"/>
      <c r="Y36" s="1851"/>
      <c r="Z36" s="1851"/>
      <c r="AA36" s="1851"/>
      <c r="AB36" s="1851"/>
      <c r="AC36" s="1851"/>
      <c r="AD36" s="1851"/>
      <c r="AE36" s="1851"/>
      <c r="AF36" s="1851"/>
      <c r="AG36" s="1853">
        <f>+VLOOKUP(B36,'Biểu 2 TH MỦ dây'!$C$11:$AI$87,33,0)</f>
        <v>25</v>
      </c>
      <c r="AH36" s="2160">
        <v>8000</v>
      </c>
      <c r="AI36" s="2161">
        <f t="shared" si="0"/>
        <v>200000</v>
      </c>
      <c r="AJ36" s="1850"/>
    </row>
    <row r="37" spans="1:36" ht="22.5" customHeight="1">
      <c r="A37" s="1853">
        <v>25</v>
      </c>
      <c r="B37" s="1850" t="s">
        <v>3194</v>
      </c>
      <c r="C37" s="1851"/>
      <c r="D37" s="1851"/>
      <c r="E37" s="1851"/>
      <c r="F37" s="1851"/>
      <c r="G37" s="1851"/>
      <c r="H37" s="1851"/>
      <c r="I37" s="1851"/>
      <c r="J37" s="1851"/>
      <c r="K37" s="1851"/>
      <c r="L37" s="1851"/>
      <c r="M37" s="1851"/>
      <c r="N37" s="1852"/>
      <c r="O37" s="1851"/>
      <c r="P37" s="1851"/>
      <c r="Q37" s="1851"/>
      <c r="R37" s="1851"/>
      <c r="S37" s="1851"/>
      <c r="T37" s="1851"/>
      <c r="U37" s="1851"/>
      <c r="V37" s="1851"/>
      <c r="W37" s="1851"/>
      <c r="X37" s="1851"/>
      <c r="Y37" s="1851"/>
      <c r="Z37" s="1851"/>
      <c r="AA37" s="1851"/>
      <c r="AB37" s="1851"/>
      <c r="AC37" s="1851"/>
      <c r="AD37" s="1851"/>
      <c r="AE37" s="1851"/>
      <c r="AF37" s="1851"/>
      <c r="AG37" s="1853">
        <f>+VLOOKUP(B37,'Biểu 2 TH MỦ dây'!$C$11:$AI$87,33,0)</f>
        <v>25</v>
      </c>
      <c r="AH37" s="2160">
        <v>8000</v>
      </c>
      <c r="AI37" s="2161">
        <f t="shared" si="0"/>
        <v>200000</v>
      </c>
      <c r="AJ37" s="1850"/>
    </row>
    <row r="38" spans="1:36" ht="22.5" customHeight="1">
      <c r="A38" s="1853">
        <v>26</v>
      </c>
      <c r="B38" s="1850" t="s">
        <v>3195</v>
      </c>
      <c r="C38" s="1851"/>
      <c r="D38" s="1851"/>
      <c r="E38" s="1851"/>
      <c r="F38" s="1851"/>
      <c r="G38" s="1851"/>
      <c r="H38" s="1851"/>
      <c r="I38" s="1851"/>
      <c r="J38" s="1851"/>
      <c r="K38" s="1851"/>
      <c r="L38" s="1851"/>
      <c r="M38" s="1851"/>
      <c r="N38" s="1852"/>
      <c r="O38" s="1851"/>
      <c r="P38" s="1851"/>
      <c r="Q38" s="1851"/>
      <c r="R38" s="1851"/>
      <c r="S38" s="1851"/>
      <c r="T38" s="1851"/>
      <c r="U38" s="1851"/>
      <c r="V38" s="1851"/>
      <c r="W38" s="1851"/>
      <c r="X38" s="1851"/>
      <c r="Y38" s="1851"/>
      <c r="Z38" s="1851"/>
      <c r="AA38" s="1851"/>
      <c r="AB38" s="1851"/>
      <c r="AC38" s="1851"/>
      <c r="AD38" s="1851"/>
      <c r="AE38" s="1851"/>
      <c r="AF38" s="1851"/>
      <c r="AG38" s="1853">
        <f>+VLOOKUP(B38,'Biểu 2 TH MỦ dây'!$C$11:$AI$87,33,0)</f>
        <v>25</v>
      </c>
      <c r="AH38" s="2160">
        <v>8000</v>
      </c>
      <c r="AI38" s="2161">
        <f t="shared" si="0"/>
        <v>200000</v>
      </c>
      <c r="AJ38" s="1850"/>
    </row>
    <row r="39" spans="1:36" ht="22.5" customHeight="1">
      <c r="A39" s="1853">
        <v>27</v>
      </c>
      <c r="B39" s="1850" t="s">
        <v>3196</v>
      </c>
      <c r="C39" s="1851"/>
      <c r="D39" s="1851"/>
      <c r="E39" s="1851"/>
      <c r="F39" s="1851"/>
      <c r="G39" s="1851"/>
      <c r="H39" s="1851"/>
      <c r="I39" s="1851"/>
      <c r="J39" s="1851"/>
      <c r="K39" s="1851"/>
      <c r="L39" s="1851"/>
      <c r="M39" s="1851"/>
      <c r="N39" s="1852"/>
      <c r="O39" s="1851"/>
      <c r="P39" s="1851"/>
      <c r="Q39" s="1851"/>
      <c r="R39" s="1851"/>
      <c r="S39" s="1851"/>
      <c r="T39" s="1851"/>
      <c r="U39" s="1851"/>
      <c r="V39" s="1851"/>
      <c r="W39" s="1851"/>
      <c r="X39" s="1851"/>
      <c r="Y39" s="1851"/>
      <c r="Z39" s="1851"/>
      <c r="AA39" s="1851"/>
      <c r="AB39" s="1851"/>
      <c r="AC39" s="1851"/>
      <c r="AD39" s="1851"/>
      <c r="AE39" s="1851"/>
      <c r="AF39" s="1851"/>
      <c r="AG39" s="1853">
        <f>+VLOOKUP(B39,'Biểu 2 TH MỦ dây'!$C$11:$AI$87,33,0)</f>
        <v>25</v>
      </c>
      <c r="AH39" s="2160">
        <v>8000</v>
      </c>
      <c r="AI39" s="2161">
        <f t="shared" si="0"/>
        <v>200000</v>
      </c>
      <c r="AJ39" s="1850"/>
    </row>
    <row r="40" spans="1:36" ht="22.5" customHeight="1">
      <c r="A40" s="1853">
        <v>28</v>
      </c>
      <c r="B40" s="1850" t="s">
        <v>3197</v>
      </c>
      <c r="C40" s="1851"/>
      <c r="D40" s="1851"/>
      <c r="E40" s="1851"/>
      <c r="F40" s="1851"/>
      <c r="G40" s="1851"/>
      <c r="H40" s="1851"/>
      <c r="I40" s="1851"/>
      <c r="J40" s="1851"/>
      <c r="K40" s="1851"/>
      <c r="L40" s="1851"/>
      <c r="M40" s="1851"/>
      <c r="N40" s="1852"/>
      <c r="O40" s="1851"/>
      <c r="P40" s="1851"/>
      <c r="Q40" s="1851"/>
      <c r="R40" s="1851"/>
      <c r="S40" s="1851"/>
      <c r="T40" s="1851"/>
      <c r="U40" s="1851"/>
      <c r="V40" s="1851"/>
      <c r="W40" s="1851"/>
      <c r="X40" s="1851"/>
      <c r="Y40" s="1851"/>
      <c r="Z40" s="1851"/>
      <c r="AA40" s="1851"/>
      <c r="AB40" s="1851"/>
      <c r="AC40" s="1851"/>
      <c r="AD40" s="1851"/>
      <c r="AE40" s="1851"/>
      <c r="AF40" s="1851"/>
      <c r="AG40" s="1853">
        <f>+VLOOKUP(B40,'Biểu 2 TH MỦ dây'!$C$11:$AI$87,33,0)</f>
        <v>25</v>
      </c>
      <c r="AH40" s="2160">
        <v>8000</v>
      </c>
      <c r="AI40" s="2161">
        <f t="shared" si="0"/>
        <v>200000</v>
      </c>
      <c r="AJ40" s="1850"/>
    </row>
    <row r="41" spans="1:36" ht="22.5" customHeight="1">
      <c r="A41" s="1853">
        <v>29</v>
      </c>
      <c r="B41" s="1850" t="s">
        <v>3198</v>
      </c>
      <c r="C41" s="1851"/>
      <c r="D41" s="1851"/>
      <c r="E41" s="1851"/>
      <c r="F41" s="1851"/>
      <c r="G41" s="1851"/>
      <c r="H41" s="1851"/>
      <c r="I41" s="1851"/>
      <c r="J41" s="1851"/>
      <c r="K41" s="1851"/>
      <c r="L41" s="1851"/>
      <c r="M41" s="1851"/>
      <c r="N41" s="1852"/>
      <c r="O41" s="1851"/>
      <c r="P41" s="1851"/>
      <c r="Q41" s="1851"/>
      <c r="R41" s="1851"/>
      <c r="S41" s="1851"/>
      <c r="T41" s="1851"/>
      <c r="U41" s="1851"/>
      <c r="V41" s="1851"/>
      <c r="W41" s="1851"/>
      <c r="X41" s="1851"/>
      <c r="Y41" s="1851"/>
      <c r="Z41" s="1851"/>
      <c r="AA41" s="1851"/>
      <c r="AB41" s="1851"/>
      <c r="AC41" s="1851"/>
      <c r="AD41" s="1851"/>
      <c r="AE41" s="1851"/>
      <c r="AF41" s="1851"/>
      <c r="AG41" s="1853">
        <f>+VLOOKUP(B41,'Biểu 2 TH MỦ dây'!$C$11:$AI$87,33,0)</f>
        <v>25</v>
      </c>
      <c r="AH41" s="2160">
        <v>8000</v>
      </c>
      <c r="AI41" s="2161">
        <f t="shared" si="0"/>
        <v>200000</v>
      </c>
      <c r="AJ41" s="1850"/>
    </row>
    <row r="42" spans="1:36" ht="22.5" customHeight="1">
      <c r="A42" s="1853">
        <v>30</v>
      </c>
      <c r="B42" s="1850" t="s">
        <v>3199</v>
      </c>
      <c r="C42" s="1851"/>
      <c r="D42" s="1851"/>
      <c r="E42" s="1851"/>
      <c r="F42" s="1851"/>
      <c r="G42" s="1851"/>
      <c r="H42" s="1851"/>
      <c r="I42" s="1851"/>
      <c r="J42" s="1851"/>
      <c r="K42" s="1851"/>
      <c r="L42" s="1851"/>
      <c r="M42" s="1851"/>
      <c r="N42" s="1852"/>
      <c r="O42" s="1851"/>
      <c r="P42" s="1851"/>
      <c r="Q42" s="1851"/>
      <c r="R42" s="1851"/>
      <c r="S42" s="1851"/>
      <c r="T42" s="1851"/>
      <c r="U42" s="1851"/>
      <c r="V42" s="1851"/>
      <c r="W42" s="1851"/>
      <c r="X42" s="1851"/>
      <c r="Y42" s="1851"/>
      <c r="Z42" s="1851"/>
      <c r="AA42" s="1851"/>
      <c r="AB42" s="1851"/>
      <c r="AC42" s="1851"/>
      <c r="AD42" s="1851"/>
      <c r="AE42" s="1851"/>
      <c r="AF42" s="1851"/>
      <c r="AG42" s="1853">
        <f>+VLOOKUP(B42,'Biểu 2 TH MỦ dây'!$C$11:$AI$87,33,0)</f>
        <v>25</v>
      </c>
      <c r="AH42" s="2160">
        <v>8000</v>
      </c>
      <c r="AI42" s="2161">
        <f t="shared" si="0"/>
        <v>200000</v>
      </c>
      <c r="AJ42" s="1850"/>
    </row>
    <row r="43" spans="1:36" ht="22.5" customHeight="1">
      <c r="A43" s="1853">
        <v>31</v>
      </c>
      <c r="B43" s="1850" t="s">
        <v>3200</v>
      </c>
      <c r="C43" s="1851"/>
      <c r="D43" s="1851"/>
      <c r="E43" s="1851"/>
      <c r="F43" s="1851"/>
      <c r="G43" s="1851"/>
      <c r="H43" s="1851"/>
      <c r="I43" s="1851"/>
      <c r="J43" s="1851"/>
      <c r="K43" s="1851"/>
      <c r="L43" s="1851"/>
      <c r="M43" s="1851"/>
      <c r="N43" s="1852"/>
      <c r="O43" s="1851"/>
      <c r="P43" s="1851"/>
      <c r="Q43" s="1851"/>
      <c r="R43" s="1851"/>
      <c r="S43" s="1851"/>
      <c r="T43" s="1851"/>
      <c r="U43" s="1851"/>
      <c r="V43" s="1851"/>
      <c r="W43" s="1851"/>
      <c r="X43" s="1851"/>
      <c r="Y43" s="1851"/>
      <c r="Z43" s="1851"/>
      <c r="AA43" s="1851"/>
      <c r="AB43" s="1851"/>
      <c r="AC43" s="1851"/>
      <c r="AD43" s="1851"/>
      <c r="AE43" s="1851"/>
      <c r="AF43" s="1851"/>
      <c r="AG43" s="1853">
        <f>+VLOOKUP(B43,'Biểu 2 TH MỦ dây'!$C$11:$AI$87,33,0)</f>
        <v>25</v>
      </c>
      <c r="AH43" s="2160">
        <v>8000</v>
      </c>
      <c r="AI43" s="2161">
        <f t="shared" si="0"/>
        <v>200000</v>
      </c>
      <c r="AJ43" s="1850"/>
    </row>
    <row r="44" spans="1:36" ht="22.5" customHeight="1">
      <c r="A44" s="1853">
        <v>32</v>
      </c>
      <c r="B44" s="1850" t="s">
        <v>3201</v>
      </c>
      <c r="C44" s="1851"/>
      <c r="D44" s="1851"/>
      <c r="E44" s="1851"/>
      <c r="F44" s="1851"/>
      <c r="G44" s="1851"/>
      <c r="H44" s="1851"/>
      <c r="I44" s="1851"/>
      <c r="J44" s="1851"/>
      <c r="K44" s="1851"/>
      <c r="L44" s="1851"/>
      <c r="M44" s="1851"/>
      <c r="N44" s="1852"/>
      <c r="O44" s="1851"/>
      <c r="P44" s="1851"/>
      <c r="Q44" s="1851"/>
      <c r="R44" s="1851"/>
      <c r="S44" s="1851"/>
      <c r="T44" s="1851"/>
      <c r="U44" s="1851"/>
      <c r="V44" s="1851"/>
      <c r="W44" s="1851"/>
      <c r="X44" s="1851"/>
      <c r="Y44" s="1851"/>
      <c r="Z44" s="1851"/>
      <c r="AA44" s="1851"/>
      <c r="AB44" s="1851"/>
      <c r="AC44" s="1851"/>
      <c r="AD44" s="1851"/>
      <c r="AE44" s="1851"/>
      <c r="AF44" s="1851"/>
      <c r="AG44" s="1853">
        <f>+VLOOKUP(B44,'Biểu 2 TH MỦ dây'!$C$11:$AI$87,33,0)</f>
        <v>25</v>
      </c>
      <c r="AH44" s="2160">
        <v>8000</v>
      </c>
      <c r="AI44" s="2161">
        <f t="shared" si="0"/>
        <v>200000</v>
      </c>
      <c r="AJ44" s="1850"/>
    </row>
    <row r="45" spans="1:36" ht="22.5" customHeight="1">
      <c r="A45" s="1853">
        <v>33</v>
      </c>
      <c r="B45" s="1850" t="s">
        <v>3202</v>
      </c>
      <c r="C45" s="1851"/>
      <c r="D45" s="1851"/>
      <c r="E45" s="1851"/>
      <c r="F45" s="1851"/>
      <c r="G45" s="1851"/>
      <c r="H45" s="1851"/>
      <c r="I45" s="1851"/>
      <c r="J45" s="1851"/>
      <c r="K45" s="1851"/>
      <c r="L45" s="1851"/>
      <c r="M45" s="1851"/>
      <c r="N45" s="1852"/>
      <c r="O45" s="1851"/>
      <c r="P45" s="1851"/>
      <c r="Q45" s="1851"/>
      <c r="R45" s="1851"/>
      <c r="S45" s="1851"/>
      <c r="T45" s="1851"/>
      <c r="U45" s="1851"/>
      <c r="V45" s="1851"/>
      <c r="W45" s="1851"/>
      <c r="X45" s="1851"/>
      <c r="Y45" s="1851"/>
      <c r="Z45" s="1851"/>
      <c r="AA45" s="1851"/>
      <c r="AB45" s="1851"/>
      <c r="AC45" s="1851"/>
      <c r="AD45" s="1851"/>
      <c r="AE45" s="1851"/>
      <c r="AF45" s="1851"/>
      <c r="AG45" s="1853">
        <f>+VLOOKUP(B45,'Biểu 2 TH MỦ dây'!$C$11:$AI$87,33,0)</f>
        <v>24</v>
      </c>
      <c r="AH45" s="2160">
        <v>8000</v>
      </c>
      <c r="AI45" s="2161">
        <f t="shared" si="0"/>
        <v>192000</v>
      </c>
      <c r="AJ45" s="1850"/>
    </row>
    <row r="46" spans="1:36" ht="22.5" customHeight="1">
      <c r="A46" s="1853">
        <v>34</v>
      </c>
      <c r="B46" s="1850" t="s">
        <v>3203</v>
      </c>
      <c r="C46" s="1851"/>
      <c r="D46" s="1851"/>
      <c r="E46" s="1851"/>
      <c r="F46" s="1851"/>
      <c r="G46" s="1851"/>
      <c r="H46" s="1851"/>
      <c r="I46" s="1851"/>
      <c r="J46" s="1851"/>
      <c r="K46" s="1851"/>
      <c r="L46" s="1851"/>
      <c r="M46" s="1851"/>
      <c r="N46" s="1852"/>
      <c r="O46" s="1851"/>
      <c r="P46" s="1851"/>
      <c r="Q46" s="1851"/>
      <c r="R46" s="1851"/>
      <c r="S46" s="1851"/>
      <c r="T46" s="1851"/>
      <c r="U46" s="1851"/>
      <c r="V46" s="1851"/>
      <c r="W46" s="1851"/>
      <c r="X46" s="1851"/>
      <c r="Y46" s="1851"/>
      <c r="Z46" s="1851"/>
      <c r="AA46" s="1851"/>
      <c r="AB46" s="1851"/>
      <c r="AC46" s="1851"/>
      <c r="AD46" s="1851"/>
      <c r="AE46" s="1851"/>
      <c r="AF46" s="1851"/>
      <c r="AG46" s="1853">
        <f>+VLOOKUP(B46,'Biểu 2 TH MỦ dây'!$C$11:$AI$87,33,0)</f>
        <v>24</v>
      </c>
      <c r="AH46" s="2160">
        <v>8000</v>
      </c>
      <c r="AI46" s="2161">
        <f t="shared" si="0"/>
        <v>192000</v>
      </c>
      <c r="AJ46" s="1850"/>
    </row>
    <row r="47" spans="1:36" ht="22.5" customHeight="1">
      <c r="A47" s="1853">
        <v>35</v>
      </c>
      <c r="B47" s="1850" t="s">
        <v>3205</v>
      </c>
      <c r="C47" s="1851"/>
      <c r="D47" s="1851"/>
      <c r="E47" s="1851"/>
      <c r="F47" s="1851"/>
      <c r="G47" s="1851"/>
      <c r="H47" s="1851"/>
      <c r="I47" s="1851"/>
      <c r="J47" s="1851"/>
      <c r="K47" s="1851"/>
      <c r="L47" s="1851"/>
      <c r="M47" s="1851"/>
      <c r="N47" s="1852"/>
      <c r="O47" s="1851"/>
      <c r="P47" s="1851"/>
      <c r="Q47" s="1851"/>
      <c r="R47" s="1851"/>
      <c r="S47" s="1851"/>
      <c r="T47" s="1851"/>
      <c r="U47" s="1851"/>
      <c r="V47" s="1851"/>
      <c r="W47" s="1851"/>
      <c r="X47" s="1851"/>
      <c r="Y47" s="1851"/>
      <c r="Z47" s="1851"/>
      <c r="AA47" s="1851"/>
      <c r="AB47" s="1851"/>
      <c r="AC47" s="1851"/>
      <c r="AD47" s="1851"/>
      <c r="AE47" s="1851"/>
      <c r="AF47" s="1851"/>
      <c r="AG47" s="1853">
        <f>+VLOOKUP(B47,'Biểu 2 TH MỦ dây'!$C$11:$AI$87,33,0)</f>
        <v>4</v>
      </c>
      <c r="AH47" s="2160">
        <v>8000</v>
      </c>
      <c r="AI47" s="2161">
        <f t="shared" si="0"/>
        <v>32000</v>
      </c>
      <c r="AJ47" s="1850"/>
    </row>
    <row r="48" spans="1:36" ht="22.5" customHeight="1">
      <c r="A48" s="1853">
        <v>36</v>
      </c>
      <c r="B48" s="1850" t="s">
        <v>3206</v>
      </c>
      <c r="C48" s="1851"/>
      <c r="D48" s="1851"/>
      <c r="E48" s="1851"/>
      <c r="F48" s="1851"/>
      <c r="G48" s="1851"/>
      <c r="H48" s="1851"/>
      <c r="I48" s="1851"/>
      <c r="J48" s="1851"/>
      <c r="K48" s="1851"/>
      <c r="L48" s="1851"/>
      <c r="M48" s="1851"/>
      <c r="N48" s="1852"/>
      <c r="O48" s="1851"/>
      <c r="P48" s="1851"/>
      <c r="Q48" s="1851"/>
      <c r="R48" s="1851"/>
      <c r="S48" s="1851"/>
      <c r="T48" s="1851"/>
      <c r="U48" s="1851"/>
      <c r="V48" s="1851"/>
      <c r="W48" s="1851"/>
      <c r="X48" s="1851"/>
      <c r="Y48" s="1851"/>
      <c r="Z48" s="1851"/>
      <c r="AA48" s="1851"/>
      <c r="AB48" s="1851"/>
      <c r="AC48" s="1851"/>
      <c r="AD48" s="1851"/>
      <c r="AE48" s="1851"/>
      <c r="AF48" s="1851"/>
      <c r="AG48" s="1853">
        <f>+VLOOKUP(B48,'Biểu 2 TH MỦ dây'!$C$11:$AI$87,33,0)</f>
        <v>4</v>
      </c>
      <c r="AH48" s="2160">
        <v>8000</v>
      </c>
      <c r="AI48" s="2161">
        <f t="shared" si="0"/>
        <v>32000</v>
      </c>
      <c r="AJ48" s="1850"/>
    </row>
    <row r="49" spans="1:36" ht="22.5" customHeight="1">
      <c r="A49" s="1853">
        <v>37</v>
      </c>
      <c r="B49" s="1850" t="s">
        <v>3207</v>
      </c>
      <c r="C49" s="1851"/>
      <c r="D49" s="1851"/>
      <c r="E49" s="1851"/>
      <c r="F49" s="1851"/>
      <c r="G49" s="1851"/>
      <c r="H49" s="1851"/>
      <c r="I49" s="1851"/>
      <c r="J49" s="1851"/>
      <c r="K49" s="1851"/>
      <c r="L49" s="1851"/>
      <c r="M49" s="1851"/>
      <c r="N49" s="1852"/>
      <c r="O49" s="1851"/>
      <c r="P49" s="1851"/>
      <c r="Q49" s="1851"/>
      <c r="R49" s="1851"/>
      <c r="S49" s="1851"/>
      <c r="T49" s="1851"/>
      <c r="U49" s="1851"/>
      <c r="V49" s="1851"/>
      <c r="W49" s="1851"/>
      <c r="X49" s="1851"/>
      <c r="Y49" s="1851"/>
      <c r="Z49" s="1851"/>
      <c r="AA49" s="1851"/>
      <c r="AB49" s="1851"/>
      <c r="AC49" s="1851"/>
      <c r="AD49" s="1851"/>
      <c r="AE49" s="1851"/>
      <c r="AF49" s="1851"/>
      <c r="AG49" s="1853">
        <f>+VLOOKUP(B49,'Biểu 2 TH MỦ dây'!$C$11:$AI$87,33,0)</f>
        <v>4</v>
      </c>
      <c r="AH49" s="2160">
        <v>8000</v>
      </c>
      <c r="AI49" s="2161">
        <f t="shared" si="0"/>
        <v>32000</v>
      </c>
      <c r="AJ49" s="1850"/>
    </row>
    <row r="50" spans="1:36" ht="22.5" customHeight="1">
      <c r="A50" s="1853">
        <v>38</v>
      </c>
      <c r="B50" s="1850" t="s">
        <v>3208</v>
      </c>
      <c r="C50" s="1851"/>
      <c r="D50" s="1851"/>
      <c r="E50" s="1851"/>
      <c r="F50" s="1851"/>
      <c r="G50" s="1851"/>
      <c r="H50" s="1851"/>
      <c r="I50" s="1851"/>
      <c r="J50" s="1851"/>
      <c r="K50" s="1851"/>
      <c r="L50" s="1851"/>
      <c r="M50" s="1851"/>
      <c r="N50" s="1852"/>
      <c r="O50" s="1851"/>
      <c r="P50" s="1851"/>
      <c r="Q50" s="1851"/>
      <c r="R50" s="1851"/>
      <c r="S50" s="1851"/>
      <c r="T50" s="1851"/>
      <c r="U50" s="1851"/>
      <c r="V50" s="1851"/>
      <c r="W50" s="1851"/>
      <c r="X50" s="1851"/>
      <c r="Y50" s="1851"/>
      <c r="Z50" s="1851"/>
      <c r="AA50" s="1851"/>
      <c r="AB50" s="1851"/>
      <c r="AC50" s="1851"/>
      <c r="AD50" s="1851"/>
      <c r="AE50" s="1851"/>
      <c r="AF50" s="1851"/>
      <c r="AG50" s="1853">
        <f>+VLOOKUP(B50,'Biểu 2 TH MỦ dây'!$C$11:$AI$87,33,0)</f>
        <v>4</v>
      </c>
      <c r="AH50" s="2160">
        <v>8000</v>
      </c>
      <c r="AI50" s="2161">
        <f t="shared" si="0"/>
        <v>32000</v>
      </c>
      <c r="AJ50" s="1850"/>
    </row>
    <row r="51" spans="1:36" ht="22.5" customHeight="1">
      <c r="A51" s="1853">
        <v>39</v>
      </c>
      <c r="B51" s="1850" t="s">
        <v>3209</v>
      </c>
      <c r="C51" s="1851"/>
      <c r="D51" s="1851"/>
      <c r="E51" s="1851"/>
      <c r="F51" s="1851"/>
      <c r="G51" s="1851"/>
      <c r="H51" s="1851"/>
      <c r="I51" s="1851"/>
      <c r="J51" s="1851"/>
      <c r="K51" s="1851"/>
      <c r="L51" s="1851"/>
      <c r="M51" s="1851"/>
      <c r="N51" s="1852"/>
      <c r="O51" s="1851"/>
      <c r="P51" s="1851"/>
      <c r="Q51" s="1851"/>
      <c r="R51" s="1851"/>
      <c r="S51" s="1851"/>
      <c r="T51" s="1851"/>
      <c r="U51" s="1851"/>
      <c r="V51" s="1851"/>
      <c r="W51" s="1851"/>
      <c r="X51" s="1851"/>
      <c r="Y51" s="1851"/>
      <c r="Z51" s="1851"/>
      <c r="AA51" s="1851"/>
      <c r="AB51" s="1851"/>
      <c r="AC51" s="1851"/>
      <c r="AD51" s="1851"/>
      <c r="AE51" s="1851"/>
      <c r="AF51" s="1851"/>
      <c r="AG51" s="1853">
        <f>+VLOOKUP(B51,'Biểu 2 TH MỦ dây'!$C$11:$AI$87,33,0)</f>
        <v>4</v>
      </c>
      <c r="AH51" s="2160">
        <v>8000</v>
      </c>
      <c r="AI51" s="2161">
        <f t="shared" si="0"/>
        <v>32000</v>
      </c>
      <c r="AJ51" s="1850"/>
    </row>
    <row r="52" spans="1:36" ht="22.5" customHeight="1">
      <c r="A52" s="1853">
        <v>40</v>
      </c>
      <c r="B52" s="1850" t="s">
        <v>3210</v>
      </c>
      <c r="C52" s="1851"/>
      <c r="D52" s="1851"/>
      <c r="E52" s="1851"/>
      <c r="F52" s="1851"/>
      <c r="G52" s="1851"/>
      <c r="H52" s="1851"/>
      <c r="I52" s="1851"/>
      <c r="J52" s="1851"/>
      <c r="K52" s="1851"/>
      <c r="L52" s="1851"/>
      <c r="M52" s="1851"/>
      <c r="N52" s="1852"/>
      <c r="O52" s="1851"/>
      <c r="P52" s="1851"/>
      <c r="Q52" s="1851"/>
      <c r="R52" s="1851"/>
      <c r="S52" s="1851"/>
      <c r="T52" s="1851"/>
      <c r="U52" s="1851"/>
      <c r="V52" s="1851"/>
      <c r="W52" s="1851"/>
      <c r="X52" s="1851"/>
      <c r="Y52" s="1851"/>
      <c r="Z52" s="1851"/>
      <c r="AA52" s="1851"/>
      <c r="AB52" s="1851"/>
      <c r="AC52" s="1851"/>
      <c r="AD52" s="1851"/>
      <c r="AE52" s="1851"/>
      <c r="AF52" s="1851"/>
      <c r="AG52" s="1853">
        <f>+VLOOKUP(B52,'Biểu 2 TH MỦ dây'!$C$11:$AI$87,33,0)</f>
        <v>4</v>
      </c>
      <c r="AH52" s="2160">
        <v>8000</v>
      </c>
      <c r="AI52" s="2161">
        <f t="shared" si="0"/>
        <v>32000</v>
      </c>
      <c r="AJ52" s="1850"/>
    </row>
    <row r="53" spans="1:36" ht="22.5" customHeight="1">
      <c r="A53" s="1853">
        <v>41</v>
      </c>
      <c r="B53" s="1850" t="s">
        <v>3211</v>
      </c>
      <c r="C53" s="1851"/>
      <c r="D53" s="1851"/>
      <c r="E53" s="1851"/>
      <c r="F53" s="1851"/>
      <c r="G53" s="1851"/>
      <c r="H53" s="1851"/>
      <c r="I53" s="1851"/>
      <c r="J53" s="1851"/>
      <c r="K53" s="1851"/>
      <c r="L53" s="1851"/>
      <c r="M53" s="1851"/>
      <c r="N53" s="1852"/>
      <c r="O53" s="1851"/>
      <c r="P53" s="1851"/>
      <c r="Q53" s="1851"/>
      <c r="R53" s="1851"/>
      <c r="S53" s="1851"/>
      <c r="T53" s="1851"/>
      <c r="U53" s="1851"/>
      <c r="V53" s="1851"/>
      <c r="W53" s="1851"/>
      <c r="X53" s="1851"/>
      <c r="Y53" s="1851"/>
      <c r="Z53" s="1851"/>
      <c r="AA53" s="1851"/>
      <c r="AB53" s="1851"/>
      <c r="AC53" s="1851"/>
      <c r="AD53" s="1851"/>
      <c r="AE53" s="1851"/>
      <c r="AF53" s="1851"/>
      <c r="AG53" s="1853">
        <f>+VLOOKUP(B53,'Biểu 2 TH MỦ dây'!$C$11:$AI$87,33,0)</f>
        <v>4</v>
      </c>
      <c r="AH53" s="2160">
        <v>8000</v>
      </c>
      <c r="AI53" s="2161">
        <f t="shared" si="0"/>
        <v>32000</v>
      </c>
      <c r="AJ53" s="1850"/>
    </row>
    <row r="54" spans="1:36" ht="22.5" customHeight="1">
      <c r="A54" s="1853">
        <v>42</v>
      </c>
      <c r="B54" s="1850" t="s">
        <v>3212</v>
      </c>
      <c r="C54" s="1851"/>
      <c r="D54" s="1851"/>
      <c r="E54" s="1851"/>
      <c r="F54" s="1851"/>
      <c r="G54" s="1851"/>
      <c r="H54" s="1851"/>
      <c r="I54" s="1851"/>
      <c r="J54" s="1851"/>
      <c r="K54" s="1851"/>
      <c r="L54" s="1851"/>
      <c r="M54" s="1851"/>
      <c r="N54" s="1852"/>
      <c r="O54" s="1851"/>
      <c r="P54" s="1851"/>
      <c r="Q54" s="1851"/>
      <c r="R54" s="1851"/>
      <c r="S54" s="1851"/>
      <c r="T54" s="1851"/>
      <c r="U54" s="1851"/>
      <c r="V54" s="1851"/>
      <c r="W54" s="1851"/>
      <c r="X54" s="1851"/>
      <c r="Y54" s="1851"/>
      <c r="Z54" s="1851"/>
      <c r="AA54" s="1851"/>
      <c r="AB54" s="1851"/>
      <c r="AC54" s="1851"/>
      <c r="AD54" s="1851"/>
      <c r="AE54" s="1851"/>
      <c r="AF54" s="1851"/>
      <c r="AG54" s="1853">
        <f>+VLOOKUP(B54,'Biểu 2 TH MỦ dây'!$C$11:$AI$87,33,0)</f>
        <v>4</v>
      </c>
      <c r="AH54" s="2160">
        <v>8000</v>
      </c>
      <c r="AI54" s="2161">
        <f t="shared" si="0"/>
        <v>32000</v>
      </c>
      <c r="AJ54" s="1850"/>
    </row>
    <row r="55" spans="1:36" ht="22.5" customHeight="1">
      <c r="A55" s="1853">
        <v>43</v>
      </c>
      <c r="B55" s="1850" t="s">
        <v>3213</v>
      </c>
      <c r="C55" s="1851"/>
      <c r="D55" s="1851"/>
      <c r="E55" s="1851"/>
      <c r="F55" s="1851"/>
      <c r="G55" s="1851"/>
      <c r="H55" s="1851"/>
      <c r="I55" s="1851"/>
      <c r="J55" s="1851"/>
      <c r="K55" s="1851"/>
      <c r="L55" s="1851"/>
      <c r="M55" s="1851"/>
      <c r="N55" s="1852"/>
      <c r="O55" s="1851"/>
      <c r="P55" s="1851"/>
      <c r="Q55" s="1851"/>
      <c r="R55" s="1851"/>
      <c r="S55" s="1851"/>
      <c r="T55" s="1851"/>
      <c r="U55" s="1851"/>
      <c r="V55" s="1851"/>
      <c r="W55" s="1851"/>
      <c r="X55" s="1851"/>
      <c r="Y55" s="1851"/>
      <c r="Z55" s="1851"/>
      <c r="AA55" s="1851"/>
      <c r="AB55" s="1851"/>
      <c r="AC55" s="1851"/>
      <c r="AD55" s="1851"/>
      <c r="AE55" s="1851"/>
      <c r="AF55" s="1851"/>
      <c r="AG55" s="1853">
        <f>+VLOOKUP(B55,'Biểu 2 TH MỦ dây'!$C$11:$AI$87,33,0)</f>
        <v>4</v>
      </c>
      <c r="AH55" s="2160">
        <v>8000</v>
      </c>
      <c r="AI55" s="2161">
        <f t="shared" si="0"/>
        <v>32000</v>
      </c>
      <c r="AJ55" s="1850"/>
    </row>
    <row r="56" spans="1:36" ht="22.5" customHeight="1">
      <c r="A56" s="1853">
        <v>44</v>
      </c>
      <c r="B56" s="1850" t="s">
        <v>3214</v>
      </c>
      <c r="C56" s="1851"/>
      <c r="D56" s="1851"/>
      <c r="E56" s="1851"/>
      <c r="F56" s="1851"/>
      <c r="G56" s="1851"/>
      <c r="H56" s="1851"/>
      <c r="I56" s="1851"/>
      <c r="J56" s="1851"/>
      <c r="K56" s="1851"/>
      <c r="L56" s="1851"/>
      <c r="M56" s="1851"/>
      <c r="N56" s="1852"/>
      <c r="O56" s="1851"/>
      <c r="P56" s="1851"/>
      <c r="Q56" s="1851"/>
      <c r="R56" s="1851"/>
      <c r="S56" s="1851"/>
      <c r="T56" s="1851"/>
      <c r="U56" s="1851"/>
      <c r="V56" s="1851"/>
      <c r="W56" s="1851"/>
      <c r="X56" s="1851"/>
      <c r="Y56" s="1851"/>
      <c r="Z56" s="1851"/>
      <c r="AA56" s="1851"/>
      <c r="AB56" s="1851"/>
      <c r="AC56" s="1851"/>
      <c r="AD56" s="1851"/>
      <c r="AE56" s="1851"/>
      <c r="AF56" s="1851"/>
      <c r="AG56" s="1853">
        <f>+VLOOKUP(B56,'Biểu 2 TH MỦ dây'!$C$11:$AI$87,33,0)</f>
        <v>4</v>
      </c>
      <c r="AH56" s="2160">
        <v>8000</v>
      </c>
      <c r="AI56" s="2161">
        <f t="shared" si="0"/>
        <v>32000</v>
      </c>
      <c r="AJ56" s="1850"/>
    </row>
    <row r="57" spans="1:36" ht="22.5" customHeight="1">
      <c r="A57" s="1853">
        <v>45</v>
      </c>
      <c r="B57" s="1850" t="s">
        <v>3215</v>
      </c>
      <c r="C57" s="1851"/>
      <c r="D57" s="1851"/>
      <c r="E57" s="1851"/>
      <c r="F57" s="1851"/>
      <c r="G57" s="1851"/>
      <c r="H57" s="1851"/>
      <c r="I57" s="1851"/>
      <c r="J57" s="1851"/>
      <c r="K57" s="1851"/>
      <c r="L57" s="1851"/>
      <c r="M57" s="1851"/>
      <c r="N57" s="1852"/>
      <c r="O57" s="1851"/>
      <c r="P57" s="1851"/>
      <c r="Q57" s="1851"/>
      <c r="R57" s="1851"/>
      <c r="S57" s="1851"/>
      <c r="T57" s="1851"/>
      <c r="U57" s="1851"/>
      <c r="V57" s="1851"/>
      <c r="W57" s="1851"/>
      <c r="X57" s="1851"/>
      <c r="Y57" s="1851"/>
      <c r="Z57" s="1851"/>
      <c r="AA57" s="1851"/>
      <c r="AB57" s="1851"/>
      <c r="AC57" s="1851"/>
      <c r="AD57" s="1851"/>
      <c r="AE57" s="1851"/>
      <c r="AF57" s="1851"/>
      <c r="AG57" s="1853">
        <f>+VLOOKUP(B57,'Biểu 2 TH MỦ dây'!$C$11:$AI$87,33,0)</f>
        <v>4</v>
      </c>
      <c r="AH57" s="2160">
        <v>8000</v>
      </c>
      <c r="AI57" s="2161">
        <f t="shared" si="0"/>
        <v>32000</v>
      </c>
      <c r="AJ57" s="1850"/>
    </row>
    <row r="58" spans="1:36" ht="22.5" customHeight="1">
      <c r="A58" s="1853">
        <v>46</v>
      </c>
      <c r="B58" s="1850" t="s">
        <v>3216</v>
      </c>
      <c r="C58" s="1851"/>
      <c r="D58" s="1851"/>
      <c r="E58" s="1851"/>
      <c r="F58" s="1851"/>
      <c r="G58" s="1851"/>
      <c r="H58" s="1851"/>
      <c r="I58" s="1851"/>
      <c r="J58" s="1851"/>
      <c r="K58" s="1851"/>
      <c r="L58" s="1851"/>
      <c r="M58" s="1851"/>
      <c r="N58" s="1852"/>
      <c r="O58" s="1851"/>
      <c r="P58" s="1851"/>
      <c r="Q58" s="1851"/>
      <c r="R58" s="1851"/>
      <c r="S58" s="1851"/>
      <c r="T58" s="1851"/>
      <c r="U58" s="1851"/>
      <c r="V58" s="1851"/>
      <c r="W58" s="1851"/>
      <c r="X58" s="1851"/>
      <c r="Y58" s="1851"/>
      <c r="Z58" s="1851"/>
      <c r="AA58" s="1851"/>
      <c r="AB58" s="1851"/>
      <c r="AC58" s="1851"/>
      <c r="AD58" s="1851"/>
      <c r="AE58" s="1851"/>
      <c r="AF58" s="1851"/>
      <c r="AG58" s="1853">
        <f>+VLOOKUP(B58,'Biểu 2 TH MỦ dây'!$C$11:$AI$87,33,0)</f>
        <v>5</v>
      </c>
      <c r="AH58" s="2160">
        <v>8000</v>
      </c>
      <c r="AI58" s="2161">
        <f t="shared" si="0"/>
        <v>40000</v>
      </c>
      <c r="AJ58" s="1850"/>
    </row>
    <row r="59" spans="1:36" ht="22.5" customHeight="1">
      <c r="A59" s="1853">
        <v>47</v>
      </c>
      <c r="B59" s="1850" t="s">
        <v>3217</v>
      </c>
      <c r="C59" s="1851"/>
      <c r="D59" s="1851"/>
      <c r="E59" s="1851"/>
      <c r="F59" s="1851"/>
      <c r="G59" s="1851"/>
      <c r="H59" s="1851"/>
      <c r="I59" s="1851"/>
      <c r="J59" s="1851"/>
      <c r="K59" s="1851"/>
      <c r="L59" s="1851"/>
      <c r="M59" s="1851"/>
      <c r="N59" s="1852"/>
      <c r="O59" s="1851"/>
      <c r="P59" s="1851"/>
      <c r="Q59" s="1851"/>
      <c r="R59" s="1851"/>
      <c r="S59" s="1851"/>
      <c r="T59" s="1851"/>
      <c r="U59" s="1851"/>
      <c r="V59" s="1851"/>
      <c r="W59" s="1851"/>
      <c r="X59" s="1851"/>
      <c r="Y59" s="1851"/>
      <c r="Z59" s="1851"/>
      <c r="AA59" s="1851"/>
      <c r="AB59" s="1851"/>
      <c r="AC59" s="1851"/>
      <c r="AD59" s="1851"/>
      <c r="AE59" s="1851"/>
      <c r="AF59" s="1851"/>
      <c r="AG59" s="1853">
        <f>+VLOOKUP(B59,'Biểu 2 TH MỦ dây'!$C$11:$AI$87,33,0)</f>
        <v>5</v>
      </c>
      <c r="AH59" s="2160">
        <v>8000</v>
      </c>
      <c r="AI59" s="2161">
        <f t="shared" si="0"/>
        <v>40000</v>
      </c>
      <c r="AJ59" s="1850"/>
    </row>
    <row r="60" spans="1:36" ht="22.5" customHeight="1">
      <c r="A60" s="1853">
        <v>48</v>
      </c>
      <c r="B60" s="1850" t="s">
        <v>3218</v>
      </c>
      <c r="C60" s="1851"/>
      <c r="D60" s="1851"/>
      <c r="E60" s="1851"/>
      <c r="F60" s="1851"/>
      <c r="G60" s="1851"/>
      <c r="H60" s="1851"/>
      <c r="I60" s="1851"/>
      <c r="J60" s="1851"/>
      <c r="K60" s="1851"/>
      <c r="L60" s="1851"/>
      <c r="M60" s="1851"/>
      <c r="N60" s="1852"/>
      <c r="O60" s="1851"/>
      <c r="P60" s="1851"/>
      <c r="Q60" s="1851"/>
      <c r="R60" s="1851"/>
      <c r="S60" s="1851"/>
      <c r="T60" s="1851"/>
      <c r="U60" s="1851"/>
      <c r="V60" s="1851"/>
      <c r="W60" s="1851"/>
      <c r="X60" s="1851"/>
      <c r="Y60" s="1851"/>
      <c r="Z60" s="1851"/>
      <c r="AA60" s="1851"/>
      <c r="AB60" s="1851"/>
      <c r="AC60" s="1851"/>
      <c r="AD60" s="1851"/>
      <c r="AE60" s="1851"/>
      <c r="AF60" s="1851"/>
      <c r="AG60" s="1853">
        <f>+VLOOKUP(B60,'Biểu 2 TH MỦ dây'!$C$11:$AI$87,33,0)</f>
        <v>5</v>
      </c>
      <c r="AH60" s="2160">
        <v>8000</v>
      </c>
      <c r="AI60" s="2161">
        <f t="shared" si="0"/>
        <v>40000</v>
      </c>
      <c r="AJ60" s="1850"/>
    </row>
    <row r="61" spans="1:36" ht="22.5" customHeight="1">
      <c r="A61" s="1853">
        <v>49</v>
      </c>
      <c r="B61" s="1850" t="s">
        <v>3219</v>
      </c>
      <c r="C61" s="1851"/>
      <c r="D61" s="1851"/>
      <c r="E61" s="1851"/>
      <c r="F61" s="1851"/>
      <c r="G61" s="1851"/>
      <c r="H61" s="1851"/>
      <c r="I61" s="1851"/>
      <c r="J61" s="1851"/>
      <c r="K61" s="1851"/>
      <c r="L61" s="1851"/>
      <c r="M61" s="1851"/>
      <c r="N61" s="1852"/>
      <c r="O61" s="1851"/>
      <c r="P61" s="1851"/>
      <c r="Q61" s="1851"/>
      <c r="R61" s="1851"/>
      <c r="S61" s="1851"/>
      <c r="T61" s="1851"/>
      <c r="U61" s="1851"/>
      <c r="V61" s="1851"/>
      <c r="W61" s="1851"/>
      <c r="X61" s="1851"/>
      <c r="Y61" s="1851"/>
      <c r="Z61" s="1851"/>
      <c r="AA61" s="1851"/>
      <c r="AB61" s="1851"/>
      <c r="AC61" s="1851"/>
      <c r="AD61" s="1851"/>
      <c r="AE61" s="1851"/>
      <c r="AF61" s="1851"/>
      <c r="AG61" s="1853">
        <f>+VLOOKUP(B61,'Biểu 2 TH MỦ dây'!$C$11:$AI$87,33,0)</f>
        <v>5</v>
      </c>
      <c r="AH61" s="2160">
        <v>8000</v>
      </c>
      <c r="AI61" s="2161">
        <f t="shared" si="0"/>
        <v>40000</v>
      </c>
      <c r="AJ61" s="1850"/>
    </row>
    <row r="62" spans="1:36" ht="22.5" customHeight="1">
      <c r="A62" s="1853">
        <v>50</v>
      </c>
      <c r="B62" s="1850" t="s">
        <v>3220</v>
      </c>
      <c r="C62" s="1851"/>
      <c r="D62" s="1851"/>
      <c r="E62" s="1851"/>
      <c r="F62" s="1851"/>
      <c r="G62" s="1851"/>
      <c r="H62" s="1851"/>
      <c r="I62" s="1851"/>
      <c r="J62" s="1851"/>
      <c r="K62" s="1851"/>
      <c r="L62" s="1851"/>
      <c r="M62" s="1851"/>
      <c r="N62" s="1852"/>
      <c r="O62" s="1851"/>
      <c r="P62" s="1851"/>
      <c r="Q62" s="1851"/>
      <c r="R62" s="1851"/>
      <c r="S62" s="1851"/>
      <c r="T62" s="1851"/>
      <c r="U62" s="1851"/>
      <c r="V62" s="1851"/>
      <c r="W62" s="1851"/>
      <c r="X62" s="1851"/>
      <c r="Y62" s="1851"/>
      <c r="Z62" s="1851"/>
      <c r="AA62" s="1851"/>
      <c r="AB62" s="1851"/>
      <c r="AC62" s="1851"/>
      <c r="AD62" s="1851"/>
      <c r="AE62" s="1851"/>
      <c r="AF62" s="1851"/>
      <c r="AG62" s="1853">
        <f>+VLOOKUP(B62,'Biểu 2 TH MỦ dây'!$C$11:$AI$87,33,0)</f>
        <v>5</v>
      </c>
      <c r="AH62" s="2160">
        <v>8000</v>
      </c>
      <c r="AI62" s="2161">
        <f t="shared" si="0"/>
        <v>40000</v>
      </c>
      <c r="AJ62" s="1850"/>
    </row>
    <row r="63" spans="1:36" ht="22.5" customHeight="1">
      <c r="A63" s="1853">
        <v>51</v>
      </c>
      <c r="B63" s="1850" t="s">
        <v>3221</v>
      </c>
      <c r="C63" s="1851"/>
      <c r="D63" s="1851"/>
      <c r="E63" s="1851"/>
      <c r="F63" s="1851"/>
      <c r="G63" s="1851"/>
      <c r="H63" s="1851"/>
      <c r="I63" s="1851"/>
      <c r="J63" s="1851"/>
      <c r="K63" s="1851"/>
      <c r="L63" s="1851"/>
      <c r="M63" s="1851"/>
      <c r="N63" s="1852"/>
      <c r="O63" s="1851"/>
      <c r="P63" s="1851"/>
      <c r="Q63" s="1851"/>
      <c r="R63" s="1851"/>
      <c r="S63" s="1851"/>
      <c r="T63" s="1851"/>
      <c r="U63" s="1851"/>
      <c r="V63" s="1851"/>
      <c r="W63" s="1851"/>
      <c r="X63" s="1851"/>
      <c r="Y63" s="1851"/>
      <c r="Z63" s="1851"/>
      <c r="AA63" s="1851"/>
      <c r="AB63" s="1851"/>
      <c r="AC63" s="1851"/>
      <c r="AD63" s="1851"/>
      <c r="AE63" s="1851"/>
      <c r="AF63" s="1851"/>
      <c r="AG63" s="1853">
        <f>+VLOOKUP(B63,'Biểu 2 TH MỦ dây'!$C$11:$AI$87,33,0)</f>
        <v>5</v>
      </c>
      <c r="AH63" s="2160">
        <v>8000</v>
      </c>
      <c r="AI63" s="2161">
        <f t="shared" si="0"/>
        <v>40000</v>
      </c>
      <c r="AJ63" s="1850"/>
    </row>
    <row r="64" spans="1:36" ht="22.5" customHeight="1">
      <c r="A64" s="1853">
        <v>52</v>
      </c>
      <c r="B64" s="1850" t="s">
        <v>3222</v>
      </c>
      <c r="C64" s="1851"/>
      <c r="D64" s="1851"/>
      <c r="E64" s="1851"/>
      <c r="F64" s="1851"/>
      <c r="G64" s="1851"/>
      <c r="H64" s="1851"/>
      <c r="I64" s="1851"/>
      <c r="J64" s="1851"/>
      <c r="K64" s="1851"/>
      <c r="L64" s="1851"/>
      <c r="M64" s="1851"/>
      <c r="N64" s="1852"/>
      <c r="O64" s="1851"/>
      <c r="P64" s="1851"/>
      <c r="Q64" s="1851"/>
      <c r="R64" s="1851"/>
      <c r="S64" s="1851"/>
      <c r="T64" s="1851"/>
      <c r="U64" s="1851"/>
      <c r="V64" s="1851"/>
      <c r="W64" s="1851"/>
      <c r="X64" s="1851"/>
      <c r="Y64" s="1851"/>
      <c r="Z64" s="1851"/>
      <c r="AA64" s="1851"/>
      <c r="AB64" s="1851"/>
      <c r="AC64" s="1851"/>
      <c r="AD64" s="1851"/>
      <c r="AE64" s="1851"/>
      <c r="AF64" s="1851"/>
      <c r="AG64" s="1853">
        <f>+VLOOKUP(B64,'Biểu 2 TH MỦ dây'!$C$11:$AI$87,33,0)</f>
        <v>5</v>
      </c>
      <c r="AH64" s="2160">
        <v>8000</v>
      </c>
      <c r="AI64" s="2161">
        <f t="shared" si="0"/>
        <v>40000</v>
      </c>
      <c r="AJ64" s="1850"/>
    </row>
    <row r="65" spans="1:36" ht="22.5" customHeight="1">
      <c r="A65" s="1853">
        <v>53</v>
      </c>
      <c r="B65" s="1850" t="s">
        <v>3223</v>
      </c>
      <c r="C65" s="1851"/>
      <c r="D65" s="1851"/>
      <c r="E65" s="1851"/>
      <c r="F65" s="1851"/>
      <c r="G65" s="1851"/>
      <c r="H65" s="1851"/>
      <c r="I65" s="1851"/>
      <c r="J65" s="1851"/>
      <c r="K65" s="1851"/>
      <c r="L65" s="1851"/>
      <c r="M65" s="1851"/>
      <c r="N65" s="1852"/>
      <c r="O65" s="1851"/>
      <c r="P65" s="1851"/>
      <c r="Q65" s="1851"/>
      <c r="R65" s="1851"/>
      <c r="S65" s="1851"/>
      <c r="T65" s="1851"/>
      <c r="U65" s="1851"/>
      <c r="V65" s="1851"/>
      <c r="W65" s="1851"/>
      <c r="X65" s="1851"/>
      <c r="Y65" s="1851"/>
      <c r="Z65" s="1851"/>
      <c r="AA65" s="1851"/>
      <c r="AB65" s="1851"/>
      <c r="AC65" s="1851"/>
      <c r="AD65" s="1851"/>
      <c r="AE65" s="1851"/>
      <c r="AF65" s="1851"/>
      <c r="AG65" s="1853">
        <f>+VLOOKUP(B65,'Biểu 2 TH MỦ dây'!$C$11:$AI$87,33,0)</f>
        <v>5</v>
      </c>
      <c r="AH65" s="2160">
        <v>8000</v>
      </c>
      <c r="AI65" s="2161">
        <f t="shared" si="0"/>
        <v>40000</v>
      </c>
      <c r="AJ65" s="1850"/>
    </row>
    <row r="66" spans="1:36" ht="22.5" customHeight="1">
      <c r="A66" s="1853">
        <v>54</v>
      </c>
      <c r="B66" s="1850" t="s">
        <v>3224</v>
      </c>
      <c r="C66" s="1851"/>
      <c r="D66" s="1851"/>
      <c r="E66" s="1851"/>
      <c r="F66" s="1851"/>
      <c r="G66" s="1851"/>
      <c r="H66" s="1851"/>
      <c r="I66" s="1851"/>
      <c r="J66" s="1851"/>
      <c r="K66" s="1851"/>
      <c r="L66" s="1851"/>
      <c r="M66" s="1851"/>
      <c r="N66" s="1852"/>
      <c r="O66" s="1851"/>
      <c r="P66" s="1851"/>
      <c r="Q66" s="1851"/>
      <c r="R66" s="1851"/>
      <c r="S66" s="1851"/>
      <c r="T66" s="1851"/>
      <c r="U66" s="1851"/>
      <c r="V66" s="1851"/>
      <c r="W66" s="1851"/>
      <c r="X66" s="1851"/>
      <c r="Y66" s="1851"/>
      <c r="Z66" s="1851"/>
      <c r="AA66" s="1851"/>
      <c r="AB66" s="1851"/>
      <c r="AC66" s="1851"/>
      <c r="AD66" s="1851"/>
      <c r="AE66" s="1851"/>
      <c r="AF66" s="1851"/>
      <c r="AG66" s="1853">
        <f>+VLOOKUP(B66,'Biểu 2 TH MỦ dây'!$C$11:$AI$87,33,0)</f>
        <v>5</v>
      </c>
      <c r="AH66" s="2160">
        <v>8000</v>
      </c>
      <c r="AI66" s="2161">
        <f t="shared" si="0"/>
        <v>40000</v>
      </c>
      <c r="AJ66" s="1850"/>
    </row>
    <row r="67" spans="1:36" ht="22.5" customHeight="1">
      <c r="A67" s="1853">
        <v>55</v>
      </c>
      <c r="B67" s="1850" t="s">
        <v>3225</v>
      </c>
      <c r="C67" s="1851"/>
      <c r="D67" s="1851"/>
      <c r="E67" s="1851"/>
      <c r="F67" s="1851"/>
      <c r="G67" s="1851"/>
      <c r="H67" s="1851"/>
      <c r="I67" s="1851"/>
      <c r="J67" s="1851"/>
      <c r="K67" s="1851"/>
      <c r="L67" s="1851"/>
      <c r="M67" s="1851"/>
      <c r="N67" s="1852"/>
      <c r="O67" s="1851"/>
      <c r="P67" s="1851"/>
      <c r="Q67" s="1851"/>
      <c r="R67" s="1851"/>
      <c r="S67" s="1851"/>
      <c r="T67" s="1851"/>
      <c r="U67" s="1851"/>
      <c r="V67" s="1851"/>
      <c r="W67" s="1851"/>
      <c r="X67" s="1851"/>
      <c r="Y67" s="1851"/>
      <c r="Z67" s="1851"/>
      <c r="AA67" s="1851"/>
      <c r="AB67" s="1851"/>
      <c r="AC67" s="1851"/>
      <c r="AD67" s="1851"/>
      <c r="AE67" s="1851"/>
      <c r="AF67" s="1851"/>
      <c r="AG67" s="1853">
        <f>+VLOOKUP(B67,'Biểu 2 TH MỦ dây'!$C$11:$AI$87,33,0)</f>
        <v>5</v>
      </c>
      <c r="AH67" s="2160">
        <v>8000</v>
      </c>
      <c r="AI67" s="2161">
        <f t="shared" si="0"/>
        <v>40000</v>
      </c>
      <c r="AJ67" s="1850"/>
    </row>
    <row r="68" spans="1:36" ht="22.5" customHeight="1">
      <c r="A68" s="1853">
        <v>56</v>
      </c>
      <c r="B68" s="1850" t="s">
        <v>3226</v>
      </c>
      <c r="C68" s="1851"/>
      <c r="D68" s="1851"/>
      <c r="E68" s="1851"/>
      <c r="F68" s="1851"/>
      <c r="G68" s="1851"/>
      <c r="H68" s="1851"/>
      <c r="I68" s="1851"/>
      <c r="J68" s="1851"/>
      <c r="K68" s="1851"/>
      <c r="L68" s="1851"/>
      <c r="M68" s="1851"/>
      <c r="N68" s="1852"/>
      <c r="O68" s="1851"/>
      <c r="P68" s="1851"/>
      <c r="Q68" s="1851"/>
      <c r="R68" s="1851"/>
      <c r="S68" s="1851"/>
      <c r="T68" s="1851"/>
      <c r="U68" s="1851"/>
      <c r="V68" s="1851"/>
      <c r="W68" s="1851"/>
      <c r="X68" s="1851"/>
      <c r="Y68" s="1851"/>
      <c r="Z68" s="1851"/>
      <c r="AA68" s="1851"/>
      <c r="AB68" s="1851"/>
      <c r="AC68" s="1851"/>
      <c r="AD68" s="1851"/>
      <c r="AE68" s="1851"/>
      <c r="AF68" s="1851"/>
      <c r="AG68" s="1853">
        <f>+VLOOKUP(B68,'Biểu 2 TH MỦ dây'!$C$11:$AI$87,33,0)</f>
        <v>5</v>
      </c>
      <c r="AH68" s="2160">
        <v>8000</v>
      </c>
      <c r="AI68" s="2161">
        <f t="shared" si="0"/>
        <v>40000</v>
      </c>
      <c r="AJ68" s="1850"/>
    </row>
    <row r="69" spans="1:36" ht="22.5" customHeight="1">
      <c r="A69" s="1853">
        <v>57</v>
      </c>
      <c r="B69" s="1850" t="s">
        <v>3227</v>
      </c>
      <c r="C69" s="1851"/>
      <c r="D69" s="1851"/>
      <c r="E69" s="1851"/>
      <c r="F69" s="1851"/>
      <c r="G69" s="1851"/>
      <c r="H69" s="1851"/>
      <c r="I69" s="1851"/>
      <c r="J69" s="1851"/>
      <c r="K69" s="1851"/>
      <c r="L69" s="1851"/>
      <c r="M69" s="1851"/>
      <c r="N69" s="1852"/>
      <c r="O69" s="1851"/>
      <c r="P69" s="1851"/>
      <c r="Q69" s="1851"/>
      <c r="R69" s="1851"/>
      <c r="S69" s="1851"/>
      <c r="T69" s="1851"/>
      <c r="U69" s="1851"/>
      <c r="V69" s="1851"/>
      <c r="W69" s="1851"/>
      <c r="X69" s="1851"/>
      <c r="Y69" s="1851"/>
      <c r="Z69" s="1851"/>
      <c r="AA69" s="1851"/>
      <c r="AB69" s="1851"/>
      <c r="AC69" s="1851"/>
      <c r="AD69" s="1851"/>
      <c r="AE69" s="1851"/>
      <c r="AF69" s="1851"/>
      <c r="AG69" s="1853">
        <f>+VLOOKUP(B69,'Biểu 2 TH MỦ dây'!$C$11:$AI$87,33,0)</f>
        <v>5</v>
      </c>
      <c r="AH69" s="2160">
        <v>8000</v>
      </c>
      <c r="AI69" s="2161">
        <f t="shared" si="0"/>
        <v>40000</v>
      </c>
      <c r="AJ69" s="1850"/>
    </row>
    <row r="70" spans="1:36" ht="22.5" customHeight="1">
      <c r="A70" s="1853">
        <v>58</v>
      </c>
      <c r="B70" s="1850" t="s">
        <v>1245</v>
      </c>
      <c r="C70" s="1851"/>
      <c r="D70" s="1851"/>
      <c r="E70" s="1851"/>
      <c r="F70" s="1851"/>
      <c r="G70" s="1851"/>
      <c r="H70" s="1851"/>
      <c r="I70" s="1851"/>
      <c r="J70" s="1851"/>
      <c r="K70" s="1851"/>
      <c r="L70" s="1851"/>
      <c r="M70" s="1851"/>
      <c r="N70" s="1852"/>
      <c r="O70" s="1851"/>
      <c r="P70" s="1851"/>
      <c r="Q70" s="1851"/>
      <c r="R70" s="1851"/>
      <c r="S70" s="1851"/>
      <c r="T70" s="1851"/>
      <c r="U70" s="1851"/>
      <c r="V70" s="1851"/>
      <c r="W70" s="1851"/>
      <c r="X70" s="1851"/>
      <c r="Y70" s="1851"/>
      <c r="Z70" s="1851"/>
      <c r="AA70" s="1851"/>
      <c r="AB70" s="1851"/>
      <c r="AC70" s="1851"/>
      <c r="AD70" s="1851"/>
      <c r="AE70" s="1851"/>
      <c r="AF70" s="1851"/>
      <c r="AG70" s="1853">
        <f>+VLOOKUP(B70,'Biểu 2 TH MỦ dây'!$C$11:$AI$87,33,0)</f>
        <v>5</v>
      </c>
      <c r="AH70" s="2160">
        <v>8000</v>
      </c>
      <c r="AI70" s="2161">
        <f t="shared" si="0"/>
        <v>40000</v>
      </c>
      <c r="AJ70" s="1850"/>
    </row>
    <row r="71" spans="1:36" ht="22.5" customHeight="1">
      <c r="A71" s="1853">
        <v>59</v>
      </c>
      <c r="B71" s="1850" t="s">
        <v>3228</v>
      </c>
      <c r="C71" s="1851"/>
      <c r="D71" s="1851"/>
      <c r="E71" s="1851"/>
      <c r="F71" s="1851"/>
      <c r="G71" s="1851"/>
      <c r="H71" s="1851"/>
      <c r="I71" s="1851"/>
      <c r="J71" s="1851"/>
      <c r="K71" s="1851"/>
      <c r="L71" s="1851"/>
      <c r="M71" s="1851"/>
      <c r="N71" s="1852"/>
      <c r="O71" s="1851"/>
      <c r="P71" s="1851"/>
      <c r="Q71" s="1851"/>
      <c r="R71" s="1851"/>
      <c r="S71" s="1851"/>
      <c r="T71" s="1851"/>
      <c r="U71" s="1851"/>
      <c r="V71" s="1851"/>
      <c r="W71" s="1851"/>
      <c r="X71" s="1851"/>
      <c r="Y71" s="1851"/>
      <c r="Z71" s="1851"/>
      <c r="AA71" s="1851"/>
      <c r="AB71" s="1851"/>
      <c r="AC71" s="1851"/>
      <c r="AD71" s="1851"/>
      <c r="AE71" s="1851"/>
      <c r="AF71" s="1851"/>
      <c r="AG71" s="1853">
        <f>+VLOOKUP(B71,'Biểu 2 TH MỦ dây'!$C$11:$AI$87,33,0)</f>
        <v>5</v>
      </c>
      <c r="AH71" s="2160">
        <v>8000</v>
      </c>
      <c r="AI71" s="2161">
        <f t="shared" si="0"/>
        <v>40000</v>
      </c>
      <c r="AJ71" s="1850"/>
    </row>
    <row r="72" spans="1:36" ht="22.5" customHeight="1">
      <c r="A72" s="1853">
        <v>60</v>
      </c>
      <c r="B72" s="1850" t="s">
        <v>3229</v>
      </c>
      <c r="C72" s="1851"/>
      <c r="D72" s="1851"/>
      <c r="E72" s="1851"/>
      <c r="F72" s="1851"/>
      <c r="G72" s="1851"/>
      <c r="H72" s="1851"/>
      <c r="I72" s="1851"/>
      <c r="J72" s="1851"/>
      <c r="K72" s="1851"/>
      <c r="L72" s="1851"/>
      <c r="M72" s="1851"/>
      <c r="N72" s="1852"/>
      <c r="O72" s="1851"/>
      <c r="P72" s="1851"/>
      <c r="Q72" s="1851"/>
      <c r="R72" s="1851"/>
      <c r="S72" s="1851"/>
      <c r="T72" s="1851"/>
      <c r="U72" s="1851"/>
      <c r="V72" s="1851"/>
      <c r="W72" s="1851"/>
      <c r="X72" s="1851"/>
      <c r="Y72" s="1851"/>
      <c r="Z72" s="1851"/>
      <c r="AA72" s="1851"/>
      <c r="AB72" s="1851"/>
      <c r="AC72" s="1851"/>
      <c r="AD72" s="1851"/>
      <c r="AE72" s="1851"/>
      <c r="AF72" s="1851"/>
      <c r="AG72" s="1853">
        <f>+VLOOKUP(B72,'Biểu 2 TH MỦ dây'!$C$11:$AI$87,33,0)</f>
        <v>5</v>
      </c>
      <c r="AH72" s="2160">
        <v>8000</v>
      </c>
      <c r="AI72" s="2161">
        <f t="shared" si="0"/>
        <v>40000</v>
      </c>
      <c r="AJ72" s="1850"/>
    </row>
    <row r="73" spans="1:36" ht="22.5" customHeight="1">
      <c r="A73" s="1853">
        <v>61</v>
      </c>
      <c r="B73" s="1850" t="s">
        <v>3230</v>
      </c>
      <c r="C73" s="1851"/>
      <c r="D73" s="1851"/>
      <c r="E73" s="1851"/>
      <c r="F73" s="1851"/>
      <c r="G73" s="1851"/>
      <c r="H73" s="1851"/>
      <c r="I73" s="1851"/>
      <c r="J73" s="1851"/>
      <c r="K73" s="1851"/>
      <c r="L73" s="1851"/>
      <c r="M73" s="1851"/>
      <c r="N73" s="1852"/>
      <c r="O73" s="1851"/>
      <c r="P73" s="1851"/>
      <c r="Q73" s="1851"/>
      <c r="R73" s="1851"/>
      <c r="S73" s="1851"/>
      <c r="T73" s="1851"/>
      <c r="U73" s="1851"/>
      <c r="V73" s="1851"/>
      <c r="W73" s="1851"/>
      <c r="X73" s="1851"/>
      <c r="Y73" s="1851"/>
      <c r="Z73" s="1851"/>
      <c r="AA73" s="1851"/>
      <c r="AB73" s="1851"/>
      <c r="AC73" s="1851"/>
      <c r="AD73" s="1851"/>
      <c r="AE73" s="1851"/>
      <c r="AF73" s="1851"/>
      <c r="AG73" s="1853">
        <f>+VLOOKUP(B73,'Biểu 2 TH MỦ dây'!$C$11:$AI$87,33,0)</f>
        <v>5</v>
      </c>
      <c r="AH73" s="2160">
        <v>8000</v>
      </c>
      <c r="AI73" s="2161">
        <f t="shared" si="0"/>
        <v>40000</v>
      </c>
      <c r="AJ73" s="1850"/>
    </row>
    <row r="74" spans="1:36" ht="22.5" customHeight="1">
      <c r="A74" s="1853">
        <v>62</v>
      </c>
      <c r="B74" s="1850" t="s">
        <v>408</v>
      </c>
      <c r="C74" s="1851"/>
      <c r="D74" s="1851"/>
      <c r="E74" s="1851"/>
      <c r="F74" s="1851"/>
      <c r="G74" s="1851"/>
      <c r="H74" s="1851"/>
      <c r="I74" s="1851"/>
      <c r="J74" s="1851"/>
      <c r="K74" s="1851"/>
      <c r="L74" s="1851"/>
      <c r="M74" s="1851"/>
      <c r="N74" s="1852"/>
      <c r="O74" s="1851"/>
      <c r="P74" s="1851"/>
      <c r="Q74" s="1851"/>
      <c r="R74" s="1851"/>
      <c r="S74" s="1851"/>
      <c r="T74" s="1851"/>
      <c r="U74" s="1851"/>
      <c r="V74" s="1851"/>
      <c r="W74" s="1851"/>
      <c r="X74" s="1851"/>
      <c r="Y74" s="1851"/>
      <c r="Z74" s="1851"/>
      <c r="AA74" s="1851"/>
      <c r="AB74" s="1851"/>
      <c r="AC74" s="1851"/>
      <c r="AD74" s="1851"/>
      <c r="AE74" s="1851"/>
      <c r="AF74" s="1851"/>
      <c r="AG74" s="1853">
        <f>+VLOOKUP(B74,'Biểu 2 TH MỦ dây'!$C$11:$AI$87,33,0)</f>
        <v>5</v>
      </c>
      <c r="AH74" s="2160">
        <v>8000</v>
      </c>
      <c r="AI74" s="2161">
        <f t="shared" si="0"/>
        <v>40000</v>
      </c>
      <c r="AJ74" s="1850"/>
    </row>
    <row r="75" spans="1:36" ht="22.5" customHeight="1">
      <c r="A75" s="1853">
        <v>63</v>
      </c>
      <c r="B75" s="1850" t="s">
        <v>3231</v>
      </c>
      <c r="C75" s="1851"/>
      <c r="D75" s="1851"/>
      <c r="E75" s="1851"/>
      <c r="F75" s="1851"/>
      <c r="G75" s="1851"/>
      <c r="H75" s="1851"/>
      <c r="I75" s="1851"/>
      <c r="J75" s="1851"/>
      <c r="K75" s="1851"/>
      <c r="L75" s="1851"/>
      <c r="M75" s="1851"/>
      <c r="N75" s="1852"/>
      <c r="O75" s="1851"/>
      <c r="P75" s="1851"/>
      <c r="Q75" s="1851"/>
      <c r="R75" s="1851"/>
      <c r="S75" s="1851"/>
      <c r="T75" s="1851"/>
      <c r="U75" s="1851"/>
      <c r="V75" s="1851"/>
      <c r="W75" s="1851"/>
      <c r="X75" s="1851"/>
      <c r="Y75" s="1851"/>
      <c r="Z75" s="1851"/>
      <c r="AA75" s="1851"/>
      <c r="AB75" s="1851"/>
      <c r="AC75" s="1851"/>
      <c r="AD75" s="1851"/>
      <c r="AE75" s="1851"/>
      <c r="AF75" s="1851"/>
      <c r="AG75" s="1853">
        <f>+VLOOKUP(B75,'Biểu 2 TH MỦ dây'!$C$11:$AI$87,33,0)</f>
        <v>5</v>
      </c>
      <c r="AH75" s="2160">
        <v>8000</v>
      </c>
      <c r="AI75" s="2161">
        <f t="shared" si="0"/>
        <v>40000</v>
      </c>
      <c r="AJ75" s="1850"/>
    </row>
    <row r="76" spans="1:36" ht="22.5" customHeight="1">
      <c r="A76" s="1853">
        <v>64</v>
      </c>
      <c r="B76" s="1850" t="s">
        <v>3232</v>
      </c>
      <c r="C76" s="1851"/>
      <c r="D76" s="1851"/>
      <c r="E76" s="1851"/>
      <c r="F76" s="1851"/>
      <c r="G76" s="1851"/>
      <c r="H76" s="1851"/>
      <c r="I76" s="1851"/>
      <c r="J76" s="1851"/>
      <c r="K76" s="1851"/>
      <c r="L76" s="1851"/>
      <c r="M76" s="1851"/>
      <c r="N76" s="1852"/>
      <c r="O76" s="1851"/>
      <c r="P76" s="1851"/>
      <c r="Q76" s="1851"/>
      <c r="R76" s="1851"/>
      <c r="S76" s="1851">
        <v>19</v>
      </c>
      <c r="T76" s="1851"/>
      <c r="U76" s="1851"/>
      <c r="V76" s="1851"/>
      <c r="W76" s="1851"/>
      <c r="X76" s="1851"/>
      <c r="Y76" s="1851"/>
      <c r="Z76" s="1851"/>
      <c r="AA76" s="1851"/>
      <c r="AB76" s="1851"/>
      <c r="AC76" s="1851"/>
      <c r="AD76" s="1851"/>
      <c r="AE76" s="1851"/>
      <c r="AF76" s="1851"/>
      <c r="AG76" s="1853">
        <f>+VLOOKUP(B76,'Biểu 2 TH MỦ dây'!$C$11:$AI$87,33,0)</f>
        <v>5</v>
      </c>
      <c r="AH76" s="2160">
        <v>8000</v>
      </c>
      <c r="AI76" s="2161">
        <f t="shared" si="0"/>
        <v>40000</v>
      </c>
      <c r="AJ76" s="1850"/>
    </row>
    <row r="77" spans="1:36" ht="22.5" customHeight="1">
      <c r="A77" s="1853">
        <v>65</v>
      </c>
      <c r="B77" s="1850" t="s">
        <v>395</v>
      </c>
      <c r="C77" s="1851"/>
      <c r="D77" s="1851"/>
      <c r="E77" s="1851"/>
      <c r="F77" s="1851"/>
      <c r="G77" s="1851"/>
      <c r="H77" s="1851"/>
      <c r="I77" s="1851"/>
      <c r="J77" s="1851"/>
      <c r="K77" s="1851"/>
      <c r="L77" s="1851"/>
      <c r="M77" s="1851"/>
      <c r="N77" s="1852"/>
      <c r="O77" s="1851">
        <v>11</v>
      </c>
      <c r="P77" s="1851"/>
      <c r="Q77" s="1851"/>
      <c r="R77" s="1851"/>
      <c r="S77" s="1851"/>
      <c r="T77" s="1851"/>
      <c r="U77" s="1851"/>
      <c r="V77" s="1851"/>
      <c r="W77" s="1851"/>
      <c r="X77" s="1851"/>
      <c r="Y77" s="1851"/>
      <c r="Z77" s="1851"/>
      <c r="AA77" s="1851"/>
      <c r="AB77" s="1851"/>
      <c r="AC77" s="1851"/>
      <c r="AD77" s="1851"/>
      <c r="AE77" s="1851"/>
      <c r="AF77" s="1851"/>
      <c r="AG77" s="1853">
        <f>+VLOOKUP(B77,'Biểu 2 TH MỦ dây'!$C$11:$AI$87,33,0)</f>
        <v>5</v>
      </c>
      <c r="AH77" s="2160">
        <v>8000</v>
      </c>
      <c r="AI77" s="2161">
        <f t="shared" ref="AI77:AI92" si="1">+AG77*AH77</f>
        <v>40000</v>
      </c>
      <c r="AJ77" s="1850"/>
    </row>
    <row r="78" spans="1:36" ht="22.5" customHeight="1">
      <c r="A78" s="1853">
        <v>66</v>
      </c>
      <c r="B78" s="1850" t="s">
        <v>3233</v>
      </c>
      <c r="C78" s="1851"/>
      <c r="D78" s="1851"/>
      <c r="E78" s="1851"/>
      <c r="F78" s="1851"/>
      <c r="G78" s="1851"/>
      <c r="H78" s="1851"/>
      <c r="I78" s="1851"/>
      <c r="J78" s="1851"/>
      <c r="K78" s="1851"/>
      <c r="L78" s="1851"/>
      <c r="M78" s="1851"/>
      <c r="N78" s="1852"/>
      <c r="O78" s="1851"/>
      <c r="P78" s="1851"/>
      <c r="Q78" s="1851"/>
      <c r="R78" s="1851"/>
      <c r="S78" s="1851">
        <v>30</v>
      </c>
      <c r="T78" s="1851"/>
      <c r="U78" s="1851"/>
      <c r="V78" s="1851"/>
      <c r="W78" s="1851"/>
      <c r="X78" s="1851"/>
      <c r="Y78" s="1851"/>
      <c r="Z78" s="1851"/>
      <c r="AA78" s="1851"/>
      <c r="AB78" s="1851"/>
      <c r="AC78" s="1851"/>
      <c r="AD78" s="1851"/>
      <c r="AE78" s="1851"/>
      <c r="AF78" s="1851"/>
      <c r="AG78" s="1853">
        <f>+VLOOKUP(B78,'Biểu 2 TH MỦ dây'!$C$11:$AI$87,33,0)</f>
        <v>5</v>
      </c>
      <c r="AH78" s="2160">
        <v>8000</v>
      </c>
      <c r="AI78" s="2161">
        <f t="shared" si="1"/>
        <v>40000</v>
      </c>
      <c r="AJ78" s="1850"/>
    </row>
    <row r="79" spans="1:36" ht="22.5" customHeight="1">
      <c r="A79" s="1853">
        <v>67</v>
      </c>
      <c r="B79" s="1850" t="s">
        <v>3234</v>
      </c>
      <c r="C79" s="1851"/>
      <c r="D79" s="1851"/>
      <c r="E79" s="1851"/>
      <c r="F79" s="1851"/>
      <c r="G79" s="1851"/>
      <c r="H79" s="1851"/>
      <c r="I79" s="1851"/>
      <c r="J79" s="1851"/>
      <c r="K79" s="1851"/>
      <c r="L79" s="1851"/>
      <c r="M79" s="1851"/>
      <c r="N79" s="1852"/>
      <c r="O79" s="1851"/>
      <c r="P79" s="1851"/>
      <c r="Q79" s="1851"/>
      <c r="R79" s="1851"/>
      <c r="S79" s="1851">
        <v>21</v>
      </c>
      <c r="T79" s="1851"/>
      <c r="U79" s="1851"/>
      <c r="V79" s="1851"/>
      <c r="W79" s="1851"/>
      <c r="X79" s="1851"/>
      <c r="Y79" s="1851"/>
      <c r="Z79" s="1851"/>
      <c r="AA79" s="1851"/>
      <c r="AB79" s="1851"/>
      <c r="AC79" s="1851"/>
      <c r="AD79" s="1851"/>
      <c r="AE79" s="1851"/>
      <c r="AF79" s="1851"/>
      <c r="AG79" s="1853">
        <f>+VLOOKUP(B79,'Biểu 2 TH MỦ dây'!$C$11:$AI$87,33,0)</f>
        <v>5</v>
      </c>
      <c r="AH79" s="2160">
        <v>8000</v>
      </c>
      <c r="AI79" s="2161">
        <f t="shared" si="1"/>
        <v>40000</v>
      </c>
      <c r="AJ79" s="1850"/>
    </row>
    <row r="80" spans="1:36" ht="22.5" customHeight="1">
      <c r="A80" s="1853">
        <v>68</v>
      </c>
      <c r="B80" s="1850" t="s">
        <v>3235</v>
      </c>
      <c r="C80" s="1851"/>
      <c r="D80" s="1851"/>
      <c r="E80" s="1851"/>
      <c r="F80" s="1851"/>
      <c r="G80" s="1851"/>
      <c r="H80" s="1851"/>
      <c r="I80" s="1851"/>
      <c r="J80" s="1851"/>
      <c r="K80" s="1851"/>
      <c r="L80" s="1851"/>
      <c r="M80" s="1851"/>
      <c r="N80" s="1852"/>
      <c r="O80" s="1851"/>
      <c r="P80" s="1851"/>
      <c r="Q80" s="1851"/>
      <c r="R80" s="1851"/>
      <c r="S80" s="1851">
        <v>18</v>
      </c>
      <c r="T80" s="1851"/>
      <c r="U80" s="1851"/>
      <c r="V80" s="1851"/>
      <c r="W80" s="1851"/>
      <c r="X80" s="1851"/>
      <c r="Y80" s="1851"/>
      <c r="Z80" s="1851"/>
      <c r="AA80" s="1851"/>
      <c r="AB80" s="1851"/>
      <c r="AC80" s="1851"/>
      <c r="AD80" s="1851"/>
      <c r="AE80" s="1851"/>
      <c r="AF80" s="1851"/>
      <c r="AG80" s="1853">
        <f>+VLOOKUP(B80,'Biểu 2 TH MỦ dây'!$C$11:$AI$87,33,0)</f>
        <v>5</v>
      </c>
      <c r="AH80" s="2160">
        <v>8000</v>
      </c>
      <c r="AI80" s="2161">
        <f t="shared" si="1"/>
        <v>40000</v>
      </c>
      <c r="AJ80" s="1850"/>
    </row>
    <row r="81" spans="1:39" ht="22.5" customHeight="1">
      <c r="A81" s="1853">
        <v>69</v>
      </c>
      <c r="B81" s="1850" t="s">
        <v>3236</v>
      </c>
      <c r="C81" s="1851"/>
      <c r="D81" s="1851"/>
      <c r="E81" s="1851"/>
      <c r="F81" s="1851"/>
      <c r="G81" s="1851"/>
      <c r="H81" s="1851"/>
      <c r="I81" s="1851"/>
      <c r="J81" s="1851"/>
      <c r="K81" s="1851"/>
      <c r="L81" s="1851"/>
      <c r="M81" s="1851"/>
      <c r="N81" s="1852"/>
      <c r="O81" s="1851"/>
      <c r="P81" s="1851"/>
      <c r="Q81" s="1851">
        <v>6</v>
      </c>
      <c r="R81" s="1851"/>
      <c r="S81" s="1851"/>
      <c r="T81" s="1851"/>
      <c r="U81" s="1851"/>
      <c r="V81" s="1851"/>
      <c r="W81" s="1851"/>
      <c r="X81" s="1851"/>
      <c r="Y81" s="1851"/>
      <c r="Z81" s="1851"/>
      <c r="AA81" s="1851"/>
      <c r="AB81" s="1851"/>
      <c r="AC81" s="1851"/>
      <c r="AD81" s="1851"/>
      <c r="AE81" s="1851"/>
      <c r="AF81" s="1851"/>
      <c r="AG81" s="1853">
        <f>+VLOOKUP(B81,'Biểu 2 TH MỦ dây'!$C$11:$AI$87,33,0)</f>
        <v>5</v>
      </c>
      <c r="AH81" s="2160">
        <v>8000</v>
      </c>
      <c r="AI81" s="2161">
        <f t="shared" si="1"/>
        <v>40000</v>
      </c>
      <c r="AJ81" s="1850"/>
    </row>
    <row r="82" spans="1:39" ht="22.5" customHeight="1">
      <c r="A82" s="1853">
        <v>70</v>
      </c>
      <c r="B82" s="1850" t="s">
        <v>3237</v>
      </c>
      <c r="C82" s="1851"/>
      <c r="D82" s="1851"/>
      <c r="E82" s="1851"/>
      <c r="F82" s="1851"/>
      <c r="G82" s="1851"/>
      <c r="H82" s="1851"/>
      <c r="I82" s="1851"/>
      <c r="J82" s="1851"/>
      <c r="K82" s="1851"/>
      <c r="L82" s="1851"/>
      <c r="M82" s="1851"/>
      <c r="N82" s="1852"/>
      <c r="O82" s="1851"/>
      <c r="P82" s="1851">
        <v>5</v>
      </c>
      <c r="Q82" s="1851"/>
      <c r="R82" s="1851"/>
      <c r="S82" s="1851"/>
      <c r="T82" s="1851"/>
      <c r="U82" s="1851"/>
      <c r="V82" s="1851"/>
      <c r="W82" s="1851"/>
      <c r="X82" s="1851"/>
      <c r="Y82" s="1851"/>
      <c r="Z82" s="1851"/>
      <c r="AA82" s="1851"/>
      <c r="AB82" s="1851"/>
      <c r="AC82" s="1851"/>
      <c r="AD82" s="1851"/>
      <c r="AE82" s="1851"/>
      <c r="AF82" s="1851"/>
      <c r="AG82" s="1853">
        <f>+VLOOKUP(B82,'Biểu 2 TH MỦ dây'!$C$11:$AI$87,33,0)</f>
        <v>5</v>
      </c>
      <c r="AH82" s="2160">
        <v>8000</v>
      </c>
      <c r="AI82" s="2161">
        <f t="shared" si="1"/>
        <v>40000</v>
      </c>
      <c r="AJ82" s="1850"/>
    </row>
    <row r="83" spans="1:39" ht="22.5" customHeight="1">
      <c r="A83" s="1853">
        <v>71</v>
      </c>
      <c r="B83" s="1850" t="s">
        <v>3238</v>
      </c>
      <c r="C83" s="1851"/>
      <c r="D83" s="1851"/>
      <c r="E83" s="1851"/>
      <c r="F83" s="1851"/>
      <c r="G83" s="1851"/>
      <c r="H83" s="1851"/>
      <c r="I83" s="1851"/>
      <c r="J83" s="1851"/>
      <c r="K83" s="1851"/>
      <c r="L83" s="1851"/>
      <c r="M83" s="1851"/>
      <c r="N83" s="1852"/>
      <c r="O83" s="1851"/>
      <c r="P83" s="1851">
        <v>6</v>
      </c>
      <c r="Q83" s="1851"/>
      <c r="R83" s="1851"/>
      <c r="S83" s="1851"/>
      <c r="T83" s="1851"/>
      <c r="U83" s="1851"/>
      <c r="V83" s="1851"/>
      <c r="W83" s="1851"/>
      <c r="X83" s="1851"/>
      <c r="Y83" s="1851"/>
      <c r="Z83" s="1851"/>
      <c r="AA83" s="1851"/>
      <c r="AB83" s="1851"/>
      <c r="AC83" s="1851"/>
      <c r="AD83" s="1851"/>
      <c r="AE83" s="1851"/>
      <c r="AF83" s="1851"/>
      <c r="AG83" s="1853">
        <f>+VLOOKUP(B83,'Biểu 2 TH MỦ dây'!$C$11:$AI$87,33,0)</f>
        <v>5</v>
      </c>
      <c r="AH83" s="2160">
        <v>8000</v>
      </c>
      <c r="AI83" s="2161">
        <f t="shared" si="1"/>
        <v>40000</v>
      </c>
      <c r="AJ83" s="1850"/>
    </row>
    <row r="84" spans="1:39" ht="22.5" customHeight="1">
      <c r="A84" s="1853">
        <v>72</v>
      </c>
      <c r="B84" s="1850" t="s">
        <v>3239</v>
      </c>
      <c r="C84" s="1851"/>
      <c r="D84" s="1851"/>
      <c r="E84" s="1851"/>
      <c r="F84" s="1851"/>
      <c r="G84" s="1851"/>
      <c r="H84" s="1851"/>
      <c r="I84" s="1851"/>
      <c r="J84" s="1851"/>
      <c r="K84" s="1851"/>
      <c r="L84" s="1851"/>
      <c r="M84" s="1851"/>
      <c r="N84" s="1852"/>
      <c r="O84" s="1851"/>
      <c r="P84" s="1851"/>
      <c r="Q84" s="1851">
        <v>6</v>
      </c>
      <c r="R84" s="1851"/>
      <c r="S84" s="1851"/>
      <c r="T84" s="1851"/>
      <c r="U84" s="1851"/>
      <c r="V84" s="1851"/>
      <c r="W84" s="1851"/>
      <c r="X84" s="1851"/>
      <c r="Y84" s="1851"/>
      <c r="Z84" s="1851"/>
      <c r="AA84" s="1851"/>
      <c r="AB84" s="1851"/>
      <c r="AC84" s="1851"/>
      <c r="AD84" s="1851"/>
      <c r="AE84" s="1851"/>
      <c r="AF84" s="1851"/>
      <c r="AG84" s="1853">
        <f>+VLOOKUP(B84,'Biểu 2 TH MỦ dây'!$C$11:$AI$87,33,0)</f>
        <v>5</v>
      </c>
      <c r="AH84" s="2160">
        <v>8000</v>
      </c>
      <c r="AI84" s="2161">
        <f t="shared" si="1"/>
        <v>40000</v>
      </c>
      <c r="AJ84" s="1850"/>
    </row>
    <row r="85" spans="1:39" ht="22.5" customHeight="1">
      <c r="A85" s="1853">
        <v>73</v>
      </c>
      <c r="B85" s="1850" t="s">
        <v>3240</v>
      </c>
      <c r="C85" s="1851"/>
      <c r="D85" s="1851"/>
      <c r="E85" s="1851"/>
      <c r="F85" s="1851"/>
      <c r="G85" s="1851"/>
      <c r="H85" s="1851"/>
      <c r="I85" s="1851"/>
      <c r="J85" s="1851"/>
      <c r="K85" s="1851"/>
      <c r="L85" s="1851"/>
      <c r="M85" s="1851"/>
      <c r="N85" s="1852"/>
      <c r="O85" s="1851"/>
      <c r="P85" s="1851">
        <v>6</v>
      </c>
      <c r="Q85" s="1851"/>
      <c r="R85" s="1851"/>
      <c r="S85" s="1851"/>
      <c r="T85" s="1851"/>
      <c r="U85" s="1851"/>
      <c r="V85" s="1851"/>
      <c r="W85" s="1851"/>
      <c r="X85" s="1851"/>
      <c r="Y85" s="1851"/>
      <c r="Z85" s="1851"/>
      <c r="AA85" s="1851"/>
      <c r="AB85" s="1851"/>
      <c r="AC85" s="1851"/>
      <c r="AD85" s="1851"/>
      <c r="AE85" s="1851"/>
      <c r="AF85" s="1851"/>
      <c r="AG85" s="1853">
        <f>+VLOOKUP(B85,'Biểu 2 TH MỦ dây'!$C$11:$AI$87,33,0)</f>
        <v>5</v>
      </c>
      <c r="AH85" s="2160">
        <v>8000</v>
      </c>
      <c r="AI85" s="2161">
        <f t="shared" si="1"/>
        <v>40000</v>
      </c>
      <c r="AJ85" s="1850"/>
    </row>
    <row r="86" spans="1:39" ht="22.5" customHeight="1">
      <c r="A86" s="1853">
        <v>74</v>
      </c>
      <c r="B86" s="1850" t="s">
        <v>3241</v>
      </c>
      <c r="C86" s="1851"/>
      <c r="D86" s="1851"/>
      <c r="E86" s="1851"/>
      <c r="F86" s="1851"/>
      <c r="G86" s="1851"/>
      <c r="H86" s="1851"/>
      <c r="I86" s="1851"/>
      <c r="J86" s="1851"/>
      <c r="K86" s="1851"/>
      <c r="L86" s="1851"/>
      <c r="M86" s="1851"/>
      <c r="N86" s="1852"/>
      <c r="O86" s="1851"/>
      <c r="P86" s="1851">
        <v>6</v>
      </c>
      <c r="Q86" s="1851"/>
      <c r="R86" s="1851"/>
      <c r="S86" s="1851"/>
      <c r="T86" s="1851"/>
      <c r="U86" s="1851"/>
      <c r="V86" s="1851"/>
      <c r="W86" s="1851"/>
      <c r="X86" s="1851"/>
      <c r="Y86" s="1851"/>
      <c r="Z86" s="1851"/>
      <c r="AA86" s="1851"/>
      <c r="AB86" s="1851"/>
      <c r="AC86" s="1851"/>
      <c r="AD86" s="1851"/>
      <c r="AE86" s="1851"/>
      <c r="AF86" s="1851"/>
      <c r="AG86" s="1853">
        <f>+VLOOKUP(B86,'Biểu 2 TH MỦ dây'!$C$11:$AI$87,33,0)</f>
        <v>5</v>
      </c>
      <c r="AH86" s="2160">
        <v>8000</v>
      </c>
      <c r="AI86" s="2161">
        <f t="shared" si="1"/>
        <v>40000</v>
      </c>
      <c r="AJ86" s="1850"/>
    </row>
    <row r="87" spans="1:39" ht="22.5" customHeight="1">
      <c r="A87" s="1853">
        <v>75</v>
      </c>
      <c r="B87" s="1850" t="s">
        <v>3242</v>
      </c>
      <c r="C87" s="1851"/>
      <c r="D87" s="1851"/>
      <c r="E87" s="1851"/>
      <c r="F87" s="1851"/>
      <c r="G87" s="1851"/>
      <c r="H87" s="1851"/>
      <c r="I87" s="1851"/>
      <c r="J87" s="1851"/>
      <c r="K87" s="1851"/>
      <c r="L87" s="1851"/>
      <c r="M87" s="1851"/>
      <c r="N87" s="1852"/>
      <c r="O87" s="1851"/>
      <c r="P87" s="1851"/>
      <c r="Q87" s="1851">
        <v>8</v>
      </c>
      <c r="R87" s="1851"/>
      <c r="S87" s="1851"/>
      <c r="T87" s="1851"/>
      <c r="U87" s="1851"/>
      <c r="V87" s="1851"/>
      <c r="W87" s="1851"/>
      <c r="X87" s="1851"/>
      <c r="Y87" s="1851"/>
      <c r="Z87" s="1851"/>
      <c r="AA87" s="1851"/>
      <c r="AB87" s="1851"/>
      <c r="AC87" s="1851"/>
      <c r="AD87" s="1851"/>
      <c r="AE87" s="1851"/>
      <c r="AF87" s="1851"/>
      <c r="AG87" s="1853">
        <f>+VLOOKUP(B87,'Biểu 2 TH MỦ dây'!$C$11:$AI$87,33,0)</f>
        <v>5</v>
      </c>
      <c r="AH87" s="2160">
        <v>8000</v>
      </c>
      <c r="AI87" s="2161">
        <f t="shared" si="1"/>
        <v>40000</v>
      </c>
      <c r="AJ87" s="1850"/>
    </row>
    <row r="88" spans="1:39" ht="22.5" customHeight="1">
      <c r="A88" s="1853">
        <v>76</v>
      </c>
      <c r="B88" s="1850" t="s">
        <v>3243</v>
      </c>
      <c r="C88" s="1851"/>
      <c r="D88" s="1851"/>
      <c r="E88" s="1851"/>
      <c r="F88" s="1851"/>
      <c r="G88" s="1851"/>
      <c r="H88" s="1851"/>
      <c r="I88" s="1851"/>
      <c r="J88" s="1851"/>
      <c r="K88" s="1851"/>
      <c r="L88" s="1851"/>
      <c r="M88" s="1851"/>
      <c r="N88" s="1852"/>
      <c r="O88" s="1851"/>
      <c r="P88" s="1851"/>
      <c r="Q88" s="1851">
        <v>7</v>
      </c>
      <c r="R88" s="1851"/>
      <c r="S88" s="1851"/>
      <c r="T88" s="1851"/>
      <c r="U88" s="1851"/>
      <c r="V88" s="1851"/>
      <c r="W88" s="1851"/>
      <c r="X88" s="1851"/>
      <c r="Y88" s="1851"/>
      <c r="Z88" s="1851"/>
      <c r="AA88" s="1851"/>
      <c r="AB88" s="1851"/>
      <c r="AC88" s="1851"/>
      <c r="AD88" s="1851"/>
      <c r="AE88" s="1851"/>
      <c r="AF88" s="1851"/>
      <c r="AG88" s="1853">
        <f>+VLOOKUP(B88,'Biểu 2 TH MỦ dây'!$C$11:$AI$87,33,0)</f>
        <v>5</v>
      </c>
      <c r="AH88" s="2160">
        <v>8000</v>
      </c>
      <c r="AI88" s="2161">
        <f t="shared" si="1"/>
        <v>40000</v>
      </c>
      <c r="AJ88" s="1850"/>
    </row>
    <row r="89" spans="1:39" ht="22.5" customHeight="1">
      <c r="A89" s="1853">
        <v>77</v>
      </c>
      <c r="B89" s="1850" t="s">
        <v>3244</v>
      </c>
      <c r="C89" s="1851"/>
      <c r="D89" s="1851"/>
      <c r="E89" s="1851"/>
      <c r="F89" s="1851"/>
      <c r="G89" s="1851"/>
      <c r="H89" s="1851"/>
      <c r="I89" s="1851"/>
      <c r="J89" s="1851"/>
      <c r="K89" s="1851"/>
      <c r="L89" s="1851"/>
      <c r="M89" s="1851"/>
      <c r="N89" s="1852"/>
      <c r="O89" s="1851"/>
      <c r="P89" s="1851"/>
      <c r="Q89" s="1851"/>
      <c r="R89" s="1851"/>
      <c r="S89" s="1851"/>
      <c r="T89" s="1851"/>
      <c r="U89" s="1851"/>
      <c r="V89" s="1851"/>
      <c r="W89" s="1851"/>
      <c r="X89" s="1851"/>
      <c r="Y89" s="1851"/>
      <c r="Z89" s="1851"/>
      <c r="AA89" s="1851"/>
      <c r="AB89" s="1851"/>
      <c r="AC89" s="1851"/>
      <c r="AD89" s="1851"/>
      <c r="AE89" s="1851"/>
      <c r="AF89" s="1851"/>
      <c r="AG89" s="1853">
        <f>+VLOOKUP(B89,'Biểu 2 TH MỦ dây'!$C$11:$AI$87,33,0)</f>
        <v>5</v>
      </c>
      <c r="AH89" s="2160">
        <v>8000</v>
      </c>
      <c r="AI89" s="2161">
        <f t="shared" si="1"/>
        <v>40000</v>
      </c>
      <c r="AJ89" s="1850"/>
    </row>
    <row r="90" spans="1:39" ht="22.5" customHeight="1">
      <c r="A90" s="1853">
        <v>78</v>
      </c>
      <c r="B90" s="1850" t="s">
        <v>3324</v>
      </c>
      <c r="C90" s="1851"/>
      <c r="D90" s="1851"/>
      <c r="E90" s="1851"/>
      <c r="F90" s="1851"/>
      <c r="G90" s="1851"/>
      <c r="H90" s="1851"/>
      <c r="I90" s="1851"/>
      <c r="J90" s="1851"/>
      <c r="K90" s="1851"/>
      <c r="L90" s="1851"/>
      <c r="M90" s="1851"/>
      <c r="N90" s="1852"/>
      <c r="O90" s="1851"/>
      <c r="P90" s="1851"/>
      <c r="Q90" s="1851"/>
      <c r="R90" s="1851"/>
      <c r="S90" s="1851"/>
      <c r="T90" s="1851"/>
      <c r="U90" s="1851"/>
      <c r="V90" s="1851"/>
      <c r="W90" s="1851"/>
      <c r="X90" s="1851"/>
      <c r="Y90" s="1851"/>
      <c r="Z90" s="1851"/>
      <c r="AA90" s="1851"/>
      <c r="AB90" s="1851"/>
      <c r="AC90" s="1851"/>
      <c r="AD90" s="1851"/>
      <c r="AE90" s="1851"/>
      <c r="AF90" s="1851"/>
      <c r="AG90" s="1853">
        <v>1070</v>
      </c>
      <c r="AH90" s="2160">
        <v>700</v>
      </c>
      <c r="AI90" s="2161">
        <f t="shared" si="1"/>
        <v>749000</v>
      </c>
      <c r="AJ90" s="1850"/>
    </row>
    <row r="91" spans="1:39" ht="22.5" customHeight="1">
      <c r="A91" s="1853">
        <v>79</v>
      </c>
      <c r="B91" s="1850" t="s">
        <v>2480</v>
      </c>
      <c r="C91" s="1851"/>
      <c r="D91" s="1851"/>
      <c r="E91" s="1851"/>
      <c r="F91" s="1851"/>
      <c r="G91" s="1851"/>
      <c r="H91" s="1851"/>
      <c r="I91" s="1851"/>
      <c r="J91" s="1851"/>
      <c r="K91" s="1851"/>
      <c r="L91" s="1851"/>
      <c r="M91" s="1851"/>
      <c r="N91" s="1852"/>
      <c r="O91" s="1851"/>
      <c r="P91" s="1851"/>
      <c r="Q91" s="1851"/>
      <c r="R91" s="1851"/>
      <c r="S91" s="1851"/>
      <c r="T91" s="1851"/>
      <c r="U91" s="1851"/>
      <c r="V91" s="1851"/>
      <c r="W91" s="1851"/>
      <c r="X91" s="1851"/>
      <c r="Y91" s="1851"/>
      <c r="Z91" s="1851"/>
      <c r="AA91" s="1851"/>
      <c r="AB91" s="1851"/>
      <c r="AC91" s="1851"/>
      <c r="AD91" s="1851"/>
      <c r="AE91" s="1851"/>
      <c r="AF91" s="1851"/>
      <c r="AG91" s="1853">
        <v>1070</v>
      </c>
      <c r="AH91" s="2160">
        <v>300</v>
      </c>
      <c r="AI91" s="2161">
        <f t="shared" si="1"/>
        <v>321000</v>
      </c>
      <c r="AJ91" s="1850"/>
    </row>
    <row r="92" spans="1:39" ht="22.5" customHeight="1">
      <c r="A92" s="1853">
        <v>80</v>
      </c>
      <c r="B92" s="1850" t="s">
        <v>3393</v>
      </c>
      <c r="C92" s="1851"/>
      <c r="D92" s="1851"/>
      <c r="E92" s="1851"/>
      <c r="F92" s="1851"/>
      <c r="G92" s="1851"/>
      <c r="H92" s="1851"/>
      <c r="I92" s="1851"/>
      <c r="J92" s="1851"/>
      <c r="K92" s="1851"/>
      <c r="L92" s="1851"/>
      <c r="M92" s="1851"/>
      <c r="N92" s="1852"/>
      <c r="O92" s="1851"/>
      <c r="P92" s="1851"/>
      <c r="Q92" s="1851"/>
      <c r="R92" s="1851"/>
      <c r="S92" s="1851"/>
      <c r="T92" s="1851"/>
      <c r="U92" s="1851"/>
      <c r="V92" s="1851"/>
      <c r="W92" s="1851"/>
      <c r="X92" s="1851"/>
      <c r="Y92" s="1851"/>
      <c r="Z92" s="1851"/>
      <c r="AA92" s="1851"/>
      <c r="AB92" s="1851"/>
      <c r="AC92" s="1851"/>
      <c r="AD92" s="1851"/>
      <c r="AE92" s="1851"/>
      <c r="AF92" s="1851"/>
      <c r="AG92" s="1853">
        <v>1070</v>
      </c>
      <c r="AH92" s="2160">
        <v>1000</v>
      </c>
      <c r="AI92" s="2161">
        <f t="shared" si="1"/>
        <v>1070000</v>
      </c>
      <c r="AJ92" s="1850"/>
    </row>
    <row r="93" spans="1:39" s="1847" customFormat="1" ht="22.5" customHeight="1">
      <c r="A93" s="2434" t="s">
        <v>3392</v>
      </c>
      <c r="B93" s="2434"/>
      <c r="C93" s="1849" t="e">
        <f>#REF!+#REF!+#REF!+#REF!</f>
        <v>#REF!</v>
      </c>
      <c r="D93" s="1849" t="e">
        <f>#REF!+#REF!+#REF!+#REF!</f>
        <v>#REF!</v>
      </c>
      <c r="E93" s="1849" t="e">
        <f>#REF!+#REF!+#REF!+#REF!</f>
        <v>#REF!</v>
      </c>
      <c r="F93" s="1849" t="e">
        <f>#REF!+#REF!+#REF!+#REF!</f>
        <v>#REF!</v>
      </c>
      <c r="G93" s="1849" t="e">
        <f>#REF!+#REF!+#REF!+#REF!</f>
        <v>#REF!</v>
      </c>
      <c r="H93" s="1849" t="e">
        <f>#REF!+#REF!+#REF!+#REF!</f>
        <v>#REF!</v>
      </c>
      <c r="I93" s="1849" t="e">
        <f>#REF!+#REF!+#REF!+#REF!</f>
        <v>#REF!</v>
      </c>
      <c r="J93" s="1849" t="e">
        <f>#REF!+#REF!+#REF!+#REF!</f>
        <v>#REF!</v>
      </c>
      <c r="K93" s="1849" t="e">
        <f>#REF!+#REF!+#REF!+#REF!</f>
        <v>#REF!</v>
      </c>
      <c r="L93" s="1849" t="e">
        <f>#REF!+#REF!+#REF!+#REF!</f>
        <v>#REF!</v>
      </c>
      <c r="M93" s="1849" t="e">
        <f>#REF!+#REF!+#REF!+#REF!</f>
        <v>#REF!</v>
      </c>
      <c r="N93" s="1849" t="e">
        <f>#REF!+#REF!+#REF!+#REF!</f>
        <v>#REF!</v>
      </c>
      <c r="O93" s="1849" t="e">
        <f>#REF!+#REF!+#REF!+#REF!</f>
        <v>#REF!</v>
      </c>
      <c r="P93" s="1849" t="e">
        <f>#REF!+#REF!+#REF!+#REF!</f>
        <v>#REF!</v>
      </c>
      <c r="Q93" s="1849" t="e">
        <f>#REF!+#REF!+#REF!+#REF!</f>
        <v>#REF!</v>
      </c>
      <c r="R93" s="1849" t="e">
        <f>#REF!+#REF!+#REF!+#REF!</f>
        <v>#REF!</v>
      </c>
      <c r="S93" s="1849" t="e">
        <f>#REF!+#REF!+#REF!+#REF!</f>
        <v>#REF!</v>
      </c>
      <c r="T93" s="1849" t="e">
        <f>#REF!+#REF!+#REF!+#REF!</f>
        <v>#REF!</v>
      </c>
      <c r="U93" s="1849" t="e">
        <f>#REF!+#REF!+#REF!+#REF!</f>
        <v>#REF!</v>
      </c>
      <c r="V93" s="1849" t="e">
        <f>#REF!+#REF!+#REF!+#REF!</f>
        <v>#REF!</v>
      </c>
      <c r="W93" s="1849" t="e">
        <f>#REF!+#REF!+#REF!+#REF!</f>
        <v>#REF!</v>
      </c>
      <c r="X93" s="1849" t="e">
        <f>#REF!+#REF!+#REF!+#REF!</f>
        <v>#REF!</v>
      </c>
      <c r="Y93" s="1849" t="e">
        <f>#REF!+#REF!+#REF!+#REF!</f>
        <v>#REF!</v>
      </c>
      <c r="Z93" s="1849" t="e">
        <f>#REF!+#REF!+#REF!+#REF!</f>
        <v>#REF!</v>
      </c>
      <c r="AA93" s="1849" t="e">
        <f>#REF!+#REF!+#REF!+#REF!</f>
        <v>#REF!</v>
      </c>
      <c r="AB93" s="1849" t="e">
        <f>#REF!+#REF!+#REF!+#REF!</f>
        <v>#REF!</v>
      </c>
      <c r="AC93" s="1849" t="e">
        <f>#REF!+#REF!+#REF!+#REF!</f>
        <v>#REF!</v>
      </c>
      <c r="AD93" s="1849" t="e">
        <f>#REF!+#REF!+#REF!+#REF!</f>
        <v>#REF!</v>
      </c>
      <c r="AE93" s="1849" t="e">
        <f>#REF!+#REF!+#REF!+#REF!</f>
        <v>#REF!</v>
      </c>
      <c r="AF93" s="1849" t="e">
        <f>#REF!+#REF!+#REF!+#REF!</f>
        <v>#REF!</v>
      </c>
      <c r="AG93" s="2159">
        <f>+SUM(AG13:AG89)</f>
        <v>1070</v>
      </c>
      <c r="AH93" s="2162"/>
      <c r="AI93" s="2163">
        <f>+SUM(AI13:AI92)</f>
        <v>10700000</v>
      </c>
      <c r="AJ93" s="1848"/>
      <c r="AK93" s="1847">
        <f>+AG93*9000</f>
        <v>9630000</v>
      </c>
    </row>
    <row r="94" spans="1:39" ht="22.5" customHeight="1">
      <c r="A94" s="2435" t="s">
        <v>3494</v>
      </c>
      <c r="B94" s="2436"/>
      <c r="C94" s="2436"/>
      <c r="D94" s="2436"/>
      <c r="E94" s="2436"/>
      <c r="F94" s="2436"/>
      <c r="G94" s="2436"/>
      <c r="H94" s="2436"/>
      <c r="I94" s="2436"/>
      <c r="J94" s="2436"/>
      <c r="K94" s="2436"/>
      <c r="L94" s="2436"/>
      <c r="M94" s="2436"/>
      <c r="N94" s="2436"/>
      <c r="O94" s="2436"/>
      <c r="P94" s="2436"/>
      <c r="Q94" s="2436"/>
      <c r="R94" s="2436"/>
      <c r="S94" s="2436"/>
      <c r="T94" s="2436"/>
      <c r="U94" s="2436"/>
      <c r="V94" s="2436"/>
      <c r="W94" s="2436"/>
      <c r="X94" s="2436"/>
      <c r="Y94" s="2436"/>
      <c r="Z94" s="2436"/>
      <c r="AA94" s="2436"/>
      <c r="AB94" s="2436"/>
      <c r="AC94" s="2436"/>
      <c r="AD94" s="2436"/>
      <c r="AE94" s="2436"/>
      <c r="AF94" s="2436"/>
      <c r="AG94" s="2436"/>
      <c r="AH94" s="2436"/>
      <c r="AI94" s="2436"/>
      <c r="AJ94" s="2437"/>
      <c r="AM94" s="1829">
        <f>+AG93*9000</f>
        <v>9630000</v>
      </c>
    </row>
    <row r="95" spans="1:39" ht="9" customHeight="1">
      <c r="A95" s="1845"/>
      <c r="B95" s="1845"/>
      <c r="C95" s="1845"/>
      <c r="D95" s="1845"/>
      <c r="E95" s="1845"/>
      <c r="F95" s="1845"/>
      <c r="G95" s="1845"/>
      <c r="H95" s="1845"/>
      <c r="I95" s="1845"/>
      <c r="J95" s="1845"/>
      <c r="K95" s="1845"/>
      <c r="L95" s="1845"/>
      <c r="M95" s="1845"/>
      <c r="N95" s="1845"/>
      <c r="O95" s="1845"/>
      <c r="P95" s="1845"/>
      <c r="Q95" s="1845"/>
      <c r="R95" s="1845"/>
      <c r="S95" s="1845"/>
      <c r="T95" s="1845"/>
      <c r="U95" s="1845"/>
      <c r="V95" s="1845"/>
      <c r="W95" s="1845"/>
      <c r="X95" s="1845"/>
      <c r="Y95" s="1845"/>
      <c r="Z95" s="1845"/>
      <c r="AA95" s="1845"/>
      <c r="AB95" s="1845"/>
      <c r="AC95" s="1845"/>
      <c r="AD95" s="1845"/>
      <c r="AE95" s="1845"/>
      <c r="AF95" s="1845"/>
      <c r="AG95" s="1846"/>
      <c r="AH95" s="1845"/>
      <c r="AI95" s="1845"/>
      <c r="AJ95" s="1845"/>
    </row>
    <row r="96" spans="1:39" ht="18" customHeight="1">
      <c r="A96" s="1833"/>
      <c r="B96" s="1844"/>
      <c r="C96" s="1832"/>
      <c r="D96" s="1832"/>
      <c r="E96" s="1832"/>
      <c r="F96" s="1832"/>
      <c r="G96" s="1832"/>
      <c r="H96" s="1832"/>
      <c r="I96" s="1832"/>
      <c r="J96" s="1832"/>
      <c r="K96" s="1832"/>
      <c r="L96" s="1832"/>
      <c r="M96" s="1832"/>
      <c r="N96" s="1832"/>
      <c r="O96" s="1832"/>
      <c r="P96" s="1832"/>
      <c r="Q96" s="1832"/>
      <c r="R96" s="1832"/>
      <c r="S96" s="1832"/>
      <c r="T96" s="1832"/>
      <c r="U96" s="1843"/>
      <c r="V96" s="1843"/>
      <c r="W96" s="1842"/>
      <c r="X96" s="1842"/>
      <c r="Y96" s="1842"/>
      <c r="Z96" s="1842"/>
      <c r="AA96" s="1842"/>
      <c r="AB96" s="1842"/>
      <c r="AC96" s="1842"/>
      <c r="AD96" s="2438" t="s">
        <v>3473</v>
      </c>
      <c r="AE96" s="2438"/>
      <c r="AF96" s="2438"/>
      <c r="AG96" s="2438"/>
      <c r="AH96" s="2438"/>
      <c r="AI96" s="2438"/>
      <c r="AJ96" s="2438"/>
    </row>
    <row r="97" spans="1:36" hidden="1">
      <c r="A97" s="1833"/>
      <c r="B97" s="1844"/>
      <c r="C97" s="1832"/>
      <c r="D97" s="1832"/>
      <c r="E97" s="1832"/>
      <c r="F97" s="1832"/>
      <c r="G97" s="1832"/>
      <c r="H97" s="1832"/>
      <c r="I97" s="1832"/>
      <c r="J97" s="1832"/>
      <c r="K97" s="1832"/>
      <c r="L97" s="1832"/>
      <c r="M97" s="1832"/>
      <c r="N97" s="1832"/>
      <c r="O97" s="1832"/>
      <c r="P97" s="1832"/>
      <c r="Q97" s="1832"/>
      <c r="R97" s="1832"/>
      <c r="S97" s="1832"/>
      <c r="T97" s="1832"/>
      <c r="U97" s="1843"/>
      <c r="V97" s="1843"/>
      <c r="W97" s="1842"/>
      <c r="X97" s="1842"/>
      <c r="Y97" s="1842"/>
      <c r="Z97" s="1842"/>
      <c r="AA97" s="1842"/>
      <c r="AB97" s="1842"/>
      <c r="AC97" s="1842"/>
      <c r="AD97" s="1841"/>
      <c r="AE97" s="1841"/>
      <c r="AF97" s="1841"/>
      <c r="AG97" s="1841"/>
      <c r="AH97" s="1841"/>
      <c r="AI97" s="1841"/>
      <c r="AJ97" s="1841"/>
    </row>
    <row r="98" spans="1:36" s="1838" customFormat="1" ht="15.75">
      <c r="A98" s="1839" t="s">
        <v>3496</v>
      </c>
      <c r="B98" s="1839"/>
      <c r="C98" s="1839"/>
      <c r="D98" s="1839"/>
      <c r="E98" s="1839"/>
      <c r="F98" s="1839"/>
      <c r="G98" s="1839"/>
      <c r="H98" s="1839"/>
      <c r="I98" s="1839"/>
      <c r="J98" s="1839"/>
      <c r="K98" s="1839"/>
      <c r="L98" s="1839"/>
      <c r="M98" s="1839"/>
      <c r="N98" s="1839"/>
      <c r="O98" s="1839"/>
      <c r="P98" s="1839"/>
      <c r="Q98" s="1839"/>
      <c r="R98" s="1839"/>
      <c r="S98" s="1839"/>
      <c r="T98" s="1839"/>
      <c r="U98" s="1839"/>
      <c r="V98" s="1839"/>
      <c r="W98" s="1839"/>
      <c r="X98" s="1839"/>
      <c r="Y98" s="1839"/>
      <c r="Z98" s="1839"/>
      <c r="AA98" s="1839"/>
      <c r="AB98" s="1839"/>
      <c r="AC98" s="1839"/>
      <c r="AD98" s="1839"/>
      <c r="AE98" s="1839"/>
      <c r="AF98" s="1839"/>
      <c r="AG98" s="2148"/>
      <c r="AH98" s="1839"/>
      <c r="AI98" s="1840"/>
      <c r="AJ98" s="2148"/>
    </row>
    <row r="99" spans="1:36">
      <c r="A99" s="1837"/>
      <c r="B99" s="1837"/>
      <c r="C99" s="1837"/>
      <c r="D99" s="1837"/>
      <c r="E99" s="1837"/>
      <c r="F99" s="1837"/>
      <c r="G99" s="1837"/>
      <c r="H99" s="1837"/>
      <c r="I99" s="1837"/>
      <c r="J99" s="1837"/>
      <c r="K99" s="1837"/>
      <c r="L99" s="1837"/>
      <c r="M99" s="1837"/>
      <c r="N99" s="1837"/>
      <c r="O99" s="1837"/>
      <c r="P99" s="1837"/>
      <c r="Q99" s="1837"/>
      <c r="R99" s="1837"/>
      <c r="S99" s="1837"/>
      <c r="T99" s="1837"/>
      <c r="U99" s="1837"/>
      <c r="V99" s="1837"/>
      <c r="W99" s="1836"/>
      <c r="X99" s="1836"/>
      <c r="Y99" s="1836"/>
      <c r="Z99" s="1836"/>
      <c r="AA99" s="1836"/>
      <c r="AB99" s="1836"/>
      <c r="AC99" s="1836"/>
      <c r="AD99" s="1836"/>
      <c r="AE99" s="1836"/>
      <c r="AF99" s="1836"/>
      <c r="AG99" s="1836"/>
      <c r="AH99" s="1836"/>
      <c r="AI99" s="1835"/>
    </row>
    <row r="100" spans="1:36">
      <c r="A100" s="1833"/>
      <c r="B100" s="1833"/>
      <c r="C100" s="1831"/>
      <c r="D100" s="1831"/>
      <c r="E100" s="1831"/>
      <c r="F100" s="1831"/>
      <c r="G100" s="1831"/>
      <c r="H100" s="1831"/>
      <c r="I100" s="1832"/>
      <c r="J100" s="1832"/>
      <c r="K100" s="1832"/>
      <c r="L100" s="1832"/>
      <c r="M100" s="1832"/>
      <c r="N100" s="1832"/>
      <c r="O100" s="1832"/>
      <c r="P100" s="1832"/>
      <c r="Q100" s="1832"/>
      <c r="R100" s="1832"/>
      <c r="S100" s="1832"/>
      <c r="T100" s="1832"/>
      <c r="U100" s="1832"/>
      <c r="V100" s="1832"/>
      <c r="W100" s="1832"/>
      <c r="X100" s="1832"/>
      <c r="Y100" s="1832"/>
      <c r="Z100" s="1832"/>
      <c r="AA100" s="1832"/>
      <c r="AB100" s="1832"/>
      <c r="AC100" s="1832"/>
      <c r="AD100" s="1832"/>
      <c r="AE100" s="1832"/>
      <c r="AF100" s="1832"/>
      <c r="AG100" s="1832"/>
    </row>
    <row r="101" spans="1:36">
      <c r="A101" s="1833"/>
      <c r="B101" s="1833"/>
      <c r="C101" s="1832"/>
      <c r="D101" s="1832"/>
      <c r="E101" s="1832"/>
      <c r="F101" s="1832"/>
      <c r="G101" s="1832"/>
      <c r="H101" s="1831"/>
      <c r="I101" s="1832"/>
      <c r="J101" s="1832"/>
      <c r="K101" s="1832"/>
      <c r="L101" s="1832"/>
      <c r="M101" s="1832"/>
      <c r="N101" s="1832"/>
      <c r="O101" s="1832"/>
      <c r="P101" s="1832"/>
      <c r="Q101" s="1832"/>
      <c r="R101" s="1832"/>
      <c r="S101" s="1832"/>
      <c r="T101" s="1832"/>
      <c r="U101" s="1832"/>
      <c r="V101" s="1832"/>
      <c r="W101" s="1832"/>
      <c r="X101" s="1832"/>
      <c r="Y101" s="1832"/>
      <c r="Z101" s="1832"/>
      <c r="AA101" s="1832"/>
      <c r="AB101" s="1832"/>
      <c r="AC101" s="1832"/>
      <c r="AD101" s="1832"/>
      <c r="AE101" s="1832"/>
      <c r="AF101" s="1832"/>
      <c r="AG101" s="1832"/>
    </row>
    <row r="102" spans="1:36">
      <c r="C102" s="1832"/>
      <c r="D102" s="1832"/>
      <c r="E102" s="1832"/>
      <c r="F102" s="1832"/>
      <c r="G102" s="1832"/>
      <c r="H102" s="1831"/>
      <c r="I102" s="1832"/>
      <c r="J102" s="1832"/>
      <c r="K102" s="1832"/>
      <c r="L102" s="1832"/>
      <c r="M102" s="1832"/>
      <c r="N102" s="1832"/>
      <c r="O102" s="1832"/>
      <c r="P102" s="1832"/>
      <c r="Q102" s="1832"/>
      <c r="R102" s="1832"/>
      <c r="S102" s="1832"/>
      <c r="T102" s="1832"/>
      <c r="U102" s="1832"/>
      <c r="V102" s="1832"/>
      <c r="W102" s="1832"/>
      <c r="X102" s="1832"/>
      <c r="Y102" s="1832"/>
      <c r="Z102" s="1832"/>
      <c r="AA102" s="1832"/>
      <c r="AB102" s="1832"/>
      <c r="AC102" s="1832"/>
      <c r="AD102" s="1832"/>
      <c r="AE102" s="1832"/>
      <c r="AF102" s="1832"/>
      <c r="AG102" s="1832"/>
    </row>
    <row r="103" spans="1:36">
      <c r="C103" s="1832"/>
      <c r="D103" s="1832"/>
      <c r="E103" s="1832"/>
      <c r="F103" s="1832"/>
      <c r="G103" s="1832"/>
      <c r="H103" s="1831"/>
      <c r="I103" s="1832"/>
      <c r="J103" s="1832"/>
      <c r="K103" s="1832"/>
      <c r="L103" s="1832"/>
      <c r="M103" s="1832"/>
      <c r="N103" s="1832"/>
      <c r="O103" s="1832"/>
      <c r="P103" s="1832"/>
      <c r="Q103" s="1832"/>
      <c r="R103" s="1832"/>
      <c r="S103" s="1832"/>
      <c r="T103" s="1832"/>
      <c r="U103" s="1832"/>
      <c r="V103" s="1832"/>
      <c r="W103" s="1832"/>
      <c r="X103" s="1832"/>
      <c r="Y103" s="1832"/>
      <c r="Z103" s="1832"/>
      <c r="AA103" s="1832"/>
      <c r="AB103" s="1832"/>
      <c r="AC103" s="1832"/>
      <c r="AD103" s="1832"/>
      <c r="AE103" s="1832"/>
      <c r="AF103" s="1832"/>
      <c r="AG103" s="1832"/>
    </row>
    <row r="104" spans="1:36">
      <c r="C104" s="1832"/>
      <c r="D104" s="1832"/>
      <c r="E104" s="1832"/>
      <c r="F104" s="1832"/>
      <c r="G104" s="1832"/>
      <c r="H104" s="1831"/>
      <c r="I104" s="1832"/>
      <c r="J104" s="1832"/>
      <c r="K104" s="1832"/>
      <c r="L104" s="1832"/>
      <c r="M104" s="1832"/>
      <c r="N104" s="1832"/>
      <c r="O104" s="1832"/>
      <c r="P104" s="1832"/>
      <c r="Q104" s="1832"/>
      <c r="R104" s="1832"/>
      <c r="S104" s="1832"/>
      <c r="T104" s="1832"/>
      <c r="U104" s="1832"/>
      <c r="V104" s="1832"/>
      <c r="W104" s="1832"/>
      <c r="X104" s="1832"/>
      <c r="Y104" s="1832"/>
      <c r="Z104" s="1832"/>
      <c r="AA104" s="1832"/>
      <c r="AB104" s="1832"/>
      <c r="AC104" s="1832"/>
      <c r="AD104" s="1832"/>
      <c r="AE104" s="1832"/>
      <c r="AF104" s="1832"/>
      <c r="AG104" s="1832"/>
    </row>
    <row r="105" spans="1:36">
      <c r="C105" s="1832"/>
      <c r="D105" s="1832"/>
      <c r="E105" s="1832"/>
      <c r="F105" s="1832"/>
      <c r="G105" s="1832"/>
      <c r="H105" s="1832"/>
      <c r="I105" s="1832"/>
      <c r="J105" s="1832"/>
      <c r="K105" s="1832"/>
      <c r="L105" s="1832"/>
      <c r="M105" s="1832"/>
      <c r="N105" s="1832"/>
      <c r="O105" s="2432"/>
      <c r="P105" s="2432"/>
      <c r="Q105" s="2432"/>
      <c r="R105" s="2432"/>
      <c r="S105" s="2432"/>
      <c r="T105" s="2432"/>
      <c r="U105" s="2432"/>
      <c r="V105" s="2432"/>
      <c r="W105" s="1832"/>
      <c r="X105" s="1832"/>
      <c r="Y105" s="2432"/>
      <c r="Z105" s="2432"/>
      <c r="AA105" s="2432"/>
      <c r="AB105" s="2432"/>
      <c r="AC105" s="2432"/>
      <c r="AD105" s="2432"/>
      <c r="AE105" s="2432"/>
      <c r="AF105" s="2432"/>
      <c r="AG105" s="2432"/>
    </row>
    <row r="106" spans="1:36" ht="17.25">
      <c r="A106" s="1833"/>
      <c r="B106" s="1833"/>
      <c r="C106" s="1832"/>
      <c r="D106" s="1832"/>
      <c r="E106" s="1832"/>
      <c r="F106" s="1832"/>
      <c r="G106" s="1832"/>
      <c r="H106" s="1832"/>
      <c r="I106" s="1832"/>
      <c r="J106" s="1832"/>
      <c r="K106" s="1832"/>
      <c r="L106" s="1832"/>
      <c r="M106" s="1832"/>
      <c r="N106" s="1832"/>
      <c r="O106" s="1832"/>
      <c r="P106" s="1832"/>
      <c r="Q106" s="1832"/>
      <c r="R106" s="1834"/>
      <c r="S106" s="1834"/>
      <c r="T106" s="1834"/>
      <c r="U106" s="1834"/>
      <c r="V106" s="1834"/>
      <c r="W106" s="1834"/>
      <c r="X106" s="1834"/>
      <c r="Y106" s="2433"/>
      <c r="Z106" s="2433"/>
      <c r="AA106" s="2433"/>
      <c r="AB106" s="2433"/>
      <c r="AC106" s="2433"/>
      <c r="AD106" s="2433"/>
      <c r="AE106" s="2433"/>
      <c r="AF106" s="2433"/>
      <c r="AG106" s="2433"/>
    </row>
    <row r="107" spans="1:36">
      <c r="A107" s="1833"/>
      <c r="B107" s="1833"/>
      <c r="C107" s="1831"/>
      <c r="D107" s="1831"/>
      <c r="E107" s="1831"/>
      <c r="F107" s="1831"/>
      <c r="G107" s="1831"/>
      <c r="H107" s="1832"/>
      <c r="I107" s="1832"/>
      <c r="J107" s="1832"/>
      <c r="K107" s="1832"/>
      <c r="L107" s="1832"/>
      <c r="M107" s="1832"/>
      <c r="N107" s="1832"/>
      <c r="O107" s="1832"/>
      <c r="P107" s="1832"/>
      <c r="Q107" s="1832"/>
      <c r="R107" s="1832"/>
      <c r="S107" s="1832"/>
      <c r="T107" s="1832"/>
      <c r="U107" s="1832"/>
      <c r="V107" s="1832"/>
      <c r="W107" s="1832"/>
      <c r="X107" s="1832"/>
      <c r="Y107" s="1832"/>
      <c r="Z107" s="1832"/>
      <c r="AA107" s="1832"/>
      <c r="AB107" s="1832"/>
      <c r="AC107" s="1832"/>
      <c r="AD107" s="1832"/>
      <c r="AE107" s="1832"/>
      <c r="AF107" s="1832"/>
      <c r="AG107" s="1832"/>
    </row>
    <row r="108" spans="1:36">
      <c r="A108" s="1833"/>
      <c r="B108" s="1833"/>
      <c r="C108" s="1831"/>
      <c r="D108" s="1831"/>
      <c r="E108" s="1831"/>
      <c r="F108" s="1831"/>
      <c r="G108" s="1831"/>
      <c r="H108" s="1832"/>
      <c r="I108" s="1832"/>
      <c r="J108" s="1832"/>
      <c r="K108" s="1832"/>
      <c r="L108" s="1832"/>
      <c r="M108" s="1832"/>
      <c r="N108" s="1832"/>
      <c r="O108" s="1832"/>
      <c r="P108" s="1832"/>
      <c r="Q108" s="1832"/>
      <c r="R108" s="1832"/>
      <c r="S108" s="1832"/>
      <c r="T108" s="1832"/>
      <c r="U108" s="1832"/>
      <c r="V108" s="1832"/>
      <c r="W108" s="1832"/>
      <c r="X108" s="1832"/>
      <c r="Y108" s="1832"/>
      <c r="Z108" s="1832"/>
      <c r="AA108" s="1832"/>
      <c r="AB108" s="1832"/>
      <c r="AC108" s="1832"/>
      <c r="AD108" s="1832"/>
      <c r="AE108" s="1832"/>
      <c r="AF108" s="1832"/>
      <c r="AG108" s="1832"/>
    </row>
    <row r="109" spans="1:36">
      <c r="A109" s="1833"/>
      <c r="B109" s="1833"/>
      <c r="C109" s="1831"/>
      <c r="D109" s="1831"/>
      <c r="E109" s="1831"/>
      <c r="F109" s="1831"/>
      <c r="G109" s="1831"/>
      <c r="H109" s="1832"/>
      <c r="I109" s="1832"/>
      <c r="J109" s="1832"/>
      <c r="K109" s="1832"/>
      <c r="L109" s="1832"/>
      <c r="M109" s="1832"/>
      <c r="N109" s="1832"/>
      <c r="O109" s="1832"/>
      <c r="P109" s="1832"/>
      <c r="Q109" s="1832"/>
      <c r="R109" s="1832"/>
      <c r="S109" s="1832"/>
      <c r="T109" s="1832"/>
      <c r="U109" s="1832"/>
      <c r="V109" s="1832"/>
      <c r="W109" s="1832"/>
      <c r="X109" s="1832"/>
      <c r="Y109" s="1832"/>
      <c r="Z109" s="1832"/>
      <c r="AA109" s="1832"/>
      <c r="AB109" s="1832"/>
      <c r="AC109" s="1832"/>
      <c r="AD109" s="1832"/>
      <c r="AE109" s="1832"/>
      <c r="AF109" s="1832"/>
      <c r="AG109" s="1832"/>
    </row>
    <row r="110" spans="1:36">
      <c r="A110" s="1833"/>
      <c r="B110" s="1833"/>
      <c r="C110" s="1832"/>
      <c r="D110" s="1832"/>
      <c r="E110" s="1832"/>
      <c r="F110" s="1832"/>
      <c r="G110" s="1832"/>
      <c r="H110" s="1832"/>
      <c r="I110" s="1832"/>
      <c r="J110" s="1832"/>
      <c r="K110" s="1832"/>
      <c r="L110" s="1832"/>
      <c r="M110" s="1832"/>
      <c r="N110" s="1832"/>
      <c r="O110" s="1832"/>
      <c r="P110" s="1832"/>
      <c r="Q110" s="1832"/>
      <c r="R110" s="1832"/>
      <c r="S110" s="1832"/>
      <c r="T110" s="1832"/>
      <c r="U110" s="1832"/>
      <c r="V110" s="1832"/>
      <c r="W110" s="1832"/>
      <c r="X110" s="1832"/>
      <c r="Y110" s="1832"/>
      <c r="Z110" s="1832"/>
      <c r="AA110" s="1832"/>
      <c r="AB110" s="1832"/>
      <c r="AC110" s="1832"/>
      <c r="AD110" s="1832"/>
      <c r="AE110" s="1832"/>
      <c r="AF110" s="1832"/>
      <c r="AG110" s="1832"/>
    </row>
    <row r="111" spans="1:36">
      <c r="A111" s="1833"/>
      <c r="B111" s="1833"/>
      <c r="C111" s="1832"/>
      <c r="D111" s="1832"/>
      <c r="E111" s="1832"/>
      <c r="F111" s="1832"/>
      <c r="G111" s="1832"/>
      <c r="H111" s="1832"/>
      <c r="I111" s="1832"/>
      <c r="J111" s="1832"/>
      <c r="K111" s="1832"/>
      <c r="L111" s="1832"/>
      <c r="M111" s="1832"/>
      <c r="N111" s="1832"/>
      <c r="O111" s="1832"/>
      <c r="P111" s="1832"/>
      <c r="Q111" s="1832"/>
      <c r="R111" s="1832"/>
      <c r="S111" s="1832"/>
      <c r="T111" s="1832"/>
      <c r="U111" s="1832"/>
      <c r="V111" s="1832"/>
      <c r="W111" s="1832"/>
      <c r="X111" s="1832"/>
      <c r="Y111" s="1832"/>
      <c r="Z111" s="1832"/>
      <c r="AA111" s="1832"/>
      <c r="AB111" s="1832"/>
      <c r="AC111" s="1832"/>
      <c r="AD111" s="1832"/>
      <c r="AE111" s="1832"/>
      <c r="AF111" s="1832"/>
      <c r="AG111" s="1832"/>
    </row>
    <row r="112" spans="1:36">
      <c r="A112" s="1833"/>
      <c r="B112" s="1833"/>
      <c r="C112" s="1832"/>
      <c r="D112" s="1832"/>
      <c r="E112" s="1832"/>
      <c r="F112" s="1832"/>
      <c r="G112" s="1832"/>
      <c r="H112" s="1832"/>
      <c r="I112" s="1832"/>
      <c r="J112" s="1832"/>
      <c r="K112" s="1832"/>
      <c r="L112" s="1832"/>
      <c r="M112" s="1832"/>
      <c r="N112" s="1832"/>
      <c r="O112" s="1832"/>
      <c r="P112" s="1832"/>
      <c r="Q112" s="1832"/>
      <c r="R112" s="1832"/>
      <c r="S112" s="1832"/>
      <c r="T112" s="1832"/>
      <c r="U112" s="1832"/>
      <c r="V112" s="1832"/>
      <c r="W112" s="1832"/>
      <c r="X112" s="1832"/>
      <c r="Y112" s="1832"/>
      <c r="Z112" s="1832"/>
      <c r="AA112" s="1832"/>
      <c r="AB112" s="1832"/>
      <c r="AC112" s="1832"/>
      <c r="AD112" s="1832"/>
      <c r="AE112" s="1832"/>
      <c r="AF112" s="1832"/>
      <c r="AG112" s="1832"/>
    </row>
    <row r="113" spans="1:33">
      <c r="A113" s="1833"/>
      <c r="B113" s="1833"/>
      <c r="C113" s="1832"/>
      <c r="D113" s="1832"/>
      <c r="E113" s="1832"/>
      <c r="F113" s="1832"/>
      <c r="G113" s="1832"/>
      <c r="H113" s="1832"/>
      <c r="I113" s="1832"/>
      <c r="J113" s="1832"/>
      <c r="K113" s="1832"/>
      <c r="L113" s="1832"/>
      <c r="M113" s="1832"/>
      <c r="N113" s="1832"/>
      <c r="O113" s="1832"/>
      <c r="P113" s="1832"/>
      <c r="Q113" s="1832"/>
      <c r="R113" s="1832"/>
      <c r="S113" s="1832"/>
      <c r="T113" s="1832"/>
      <c r="U113" s="1832"/>
      <c r="V113" s="1832"/>
      <c r="W113" s="1832"/>
      <c r="X113" s="1832"/>
      <c r="Y113" s="1832"/>
      <c r="Z113" s="1832"/>
      <c r="AA113" s="1832"/>
      <c r="AB113" s="1832"/>
      <c r="AC113" s="1832"/>
      <c r="AD113" s="1832"/>
      <c r="AE113" s="1832"/>
      <c r="AF113" s="1832"/>
      <c r="AG113" s="1832"/>
    </row>
    <row r="114" spans="1:33">
      <c r="A114" s="1833"/>
      <c r="B114" s="1833"/>
      <c r="C114" s="1832"/>
      <c r="D114" s="1832"/>
      <c r="E114" s="1832"/>
      <c r="F114" s="1832"/>
      <c r="G114" s="1832"/>
      <c r="H114" s="1832"/>
      <c r="I114" s="1832"/>
      <c r="J114" s="1832"/>
      <c r="K114" s="1832"/>
      <c r="L114" s="1832"/>
      <c r="M114" s="1832"/>
      <c r="N114" s="1832"/>
      <c r="O114" s="1832"/>
      <c r="P114" s="1832"/>
      <c r="Q114" s="1832"/>
      <c r="R114" s="1832"/>
      <c r="S114" s="1832"/>
      <c r="T114" s="1832"/>
      <c r="U114" s="1832"/>
      <c r="V114" s="1832"/>
      <c r="W114" s="1832"/>
      <c r="X114" s="1832"/>
      <c r="Y114" s="1832"/>
      <c r="Z114" s="1832"/>
      <c r="AA114" s="1832"/>
      <c r="AB114" s="1832"/>
      <c r="AC114" s="1832"/>
      <c r="AD114" s="1832"/>
      <c r="AE114" s="1832"/>
      <c r="AF114" s="1832"/>
      <c r="AG114" s="1832"/>
    </row>
    <row r="115" spans="1:33">
      <c r="A115" s="1833"/>
      <c r="B115" s="1833"/>
      <c r="C115" s="1832"/>
      <c r="D115" s="1832"/>
      <c r="E115" s="1832"/>
      <c r="F115" s="1832"/>
      <c r="G115" s="1832"/>
      <c r="H115" s="1832"/>
      <c r="I115" s="1832"/>
      <c r="J115" s="1832"/>
      <c r="K115" s="1832"/>
      <c r="L115" s="1832"/>
      <c r="M115" s="1832"/>
      <c r="N115" s="1832"/>
      <c r="O115" s="1832"/>
      <c r="P115" s="1832"/>
      <c r="Q115" s="1832"/>
      <c r="R115" s="1832"/>
      <c r="S115" s="1832"/>
      <c r="T115" s="1832"/>
      <c r="U115" s="1832"/>
      <c r="V115" s="1832"/>
      <c r="W115" s="1832"/>
      <c r="X115" s="1832"/>
      <c r="Y115" s="1832"/>
      <c r="Z115" s="1832"/>
      <c r="AA115" s="1832"/>
      <c r="AB115" s="1832"/>
      <c r="AC115" s="1832"/>
      <c r="AD115" s="1832"/>
      <c r="AE115" s="1832"/>
      <c r="AF115" s="1832"/>
      <c r="AG115" s="1832"/>
    </row>
    <row r="116" spans="1:33">
      <c r="A116" s="1833"/>
      <c r="B116" s="1833"/>
      <c r="C116" s="1832"/>
      <c r="D116" s="1832"/>
      <c r="E116" s="1832"/>
      <c r="F116" s="1832"/>
      <c r="G116" s="1832"/>
      <c r="H116" s="1832"/>
      <c r="I116" s="1832"/>
      <c r="J116" s="1832"/>
      <c r="K116" s="1832"/>
      <c r="L116" s="1832"/>
      <c r="M116" s="1832"/>
      <c r="N116" s="1832"/>
      <c r="O116" s="1832"/>
      <c r="P116" s="1832"/>
      <c r="Q116" s="1832"/>
      <c r="R116" s="1832"/>
      <c r="S116" s="1832"/>
      <c r="T116" s="1832"/>
      <c r="U116" s="1832"/>
      <c r="V116" s="1832"/>
      <c r="W116" s="1832"/>
      <c r="X116" s="1832"/>
      <c r="Y116" s="1832"/>
      <c r="Z116" s="1832"/>
      <c r="AA116" s="1832"/>
      <c r="AB116" s="1832"/>
      <c r="AC116" s="1832"/>
      <c r="AD116" s="1832"/>
      <c r="AE116" s="1832"/>
      <c r="AF116" s="1832"/>
      <c r="AG116" s="1832"/>
    </row>
    <row r="117" spans="1:33">
      <c r="A117" s="1833"/>
      <c r="B117" s="1833"/>
      <c r="C117" s="1832"/>
      <c r="D117" s="1832"/>
      <c r="E117" s="1832"/>
      <c r="F117" s="1832"/>
      <c r="G117" s="1832"/>
      <c r="H117" s="1832"/>
      <c r="I117" s="1832"/>
      <c r="J117" s="1832"/>
      <c r="K117" s="1832"/>
      <c r="L117" s="1832"/>
      <c r="M117" s="1832"/>
      <c r="N117" s="1832"/>
      <c r="O117" s="1832"/>
      <c r="P117" s="1832"/>
      <c r="Q117" s="1832"/>
      <c r="R117" s="1832"/>
      <c r="S117" s="1832"/>
      <c r="T117" s="1832"/>
      <c r="U117" s="1832"/>
      <c r="V117" s="1832"/>
      <c r="W117" s="1832"/>
      <c r="X117" s="1832"/>
      <c r="Y117" s="1832"/>
      <c r="Z117" s="1832"/>
      <c r="AA117" s="1832"/>
      <c r="AB117" s="1832"/>
      <c r="AC117" s="1832"/>
      <c r="AD117" s="1832"/>
      <c r="AE117" s="1832"/>
      <c r="AF117" s="1832"/>
      <c r="AG117" s="1832"/>
    </row>
    <row r="118" spans="1:33">
      <c r="A118" s="1833"/>
      <c r="B118" s="1833"/>
      <c r="C118" s="1832"/>
      <c r="D118" s="1832"/>
      <c r="E118" s="1832"/>
      <c r="F118" s="1832"/>
      <c r="G118" s="1832"/>
      <c r="H118" s="1832"/>
      <c r="I118" s="1832"/>
      <c r="J118" s="1832"/>
      <c r="K118" s="1832"/>
      <c r="L118" s="1832"/>
      <c r="M118" s="1832"/>
      <c r="N118" s="1832"/>
      <c r="O118" s="1832"/>
      <c r="P118" s="1832"/>
      <c r="Q118" s="1832"/>
      <c r="R118" s="1832"/>
      <c r="S118" s="1832"/>
      <c r="T118" s="1832"/>
      <c r="U118" s="1832"/>
      <c r="V118" s="1832"/>
      <c r="W118" s="1832"/>
      <c r="X118" s="1832"/>
      <c r="Y118" s="1832"/>
      <c r="Z118" s="1832"/>
      <c r="AA118" s="1832"/>
      <c r="AB118" s="1832"/>
      <c r="AC118" s="1832"/>
      <c r="AD118" s="1832"/>
      <c r="AE118" s="1832"/>
      <c r="AF118" s="1832"/>
      <c r="AG118" s="1832"/>
    </row>
    <row r="119" spans="1:33">
      <c r="A119" s="1833"/>
      <c r="B119" s="1833"/>
      <c r="C119" s="1832"/>
      <c r="D119" s="1832"/>
      <c r="E119" s="1832"/>
      <c r="F119" s="1832"/>
      <c r="G119" s="1832"/>
      <c r="H119" s="1832"/>
      <c r="I119" s="1832"/>
      <c r="J119" s="1832"/>
      <c r="K119" s="1832"/>
      <c r="L119" s="1832"/>
      <c r="M119" s="1832"/>
      <c r="N119" s="1832"/>
      <c r="O119" s="1832"/>
      <c r="P119" s="1832"/>
      <c r="Q119" s="1832"/>
      <c r="R119" s="1832"/>
      <c r="S119" s="1832"/>
      <c r="T119" s="1832"/>
      <c r="U119" s="1832"/>
      <c r="V119" s="1832"/>
      <c r="W119" s="1832"/>
      <c r="X119" s="1832"/>
      <c r="Y119" s="1832"/>
      <c r="Z119" s="1832"/>
      <c r="AA119" s="1832"/>
      <c r="AB119" s="1832"/>
      <c r="AC119" s="1832"/>
      <c r="AD119" s="1832"/>
      <c r="AE119" s="1832"/>
      <c r="AF119" s="1832"/>
      <c r="AG119" s="1832"/>
    </row>
    <row r="120" spans="1:33">
      <c r="A120" s="1833"/>
      <c r="B120" s="1833"/>
      <c r="C120" s="1832"/>
      <c r="D120" s="1832"/>
      <c r="E120" s="1832"/>
      <c r="F120" s="1832"/>
      <c r="G120" s="1832"/>
      <c r="H120" s="1832"/>
      <c r="I120" s="1832"/>
      <c r="J120" s="1832"/>
      <c r="K120" s="1832"/>
      <c r="L120" s="1832"/>
      <c r="M120" s="1832"/>
      <c r="N120" s="1832"/>
      <c r="O120" s="1832"/>
      <c r="P120" s="1832"/>
      <c r="Q120" s="1832"/>
      <c r="R120" s="1832"/>
      <c r="S120" s="1832"/>
      <c r="T120" s="1832"/>
      <c r="U120" s="1832"/>
      <c r="V120" s="1832"/>
      <c r="W120" s="1832"/>
      <c r="X120" s="1832"/>
      <c r="Y120" s="1832"/>
      <c r="Z120" s="1832"/>
      <c r="AA120" s="1832"/>
      <c r="AB120" s="1832"/>
      <c r="AC120" s="1832"/>
      <c r="AD120" s="1832"/>
      <c r="AE120" s="1832"/>
      <c r="AF120" s="1832"/>
      <c r="AG120" s="1832"/>
    </row>
    <row r="121" spans="1:33">
      <c r="A121" s="1833"/>
      <c r="B121" s="1833"/>
      <c r="C121" s="1832"/>
      <c r="D121" s="1832"/>
      <c r="E121" s="1832"/>
      <c r="F121" s="1832"/>
      <c r="G121" s="1832"/>
      <c r="H121" s="1832"/>
      <c r="I121" s="1832"/>
      <c r="J121" s="1832"/>
      <c r="K121" s="1832"/>
      <c r="L121" s="1832"/>
      <c r="M121" s="1832"/>
      <c r="N121" s="1832"/>
      <c r="O121" s="1832"/>
      <c r="P121" s="1832"/>
      <c r="Q121" s="1832"/>
      <c r="R121" s="1832"/>
      <c r="S121" s="1832"/>
      <c r="T121" s="1832"/>
      <c r="U121" s="1832"/>
      <c r="V121" s="1832"/>
      <c r="W121" s="1832"/>
      <c r="X121" s="1832"/>
      <c r="Y121" s="1832"/>
      <c r="Z121" s="1832"/>
      <c r="AA121" s="1832"/>
      <c r="AB121" s="1832"/>
      <c r="AC121" s="1832"/>
      <c r="AD121" s="1832"/>
      <c r="AE121" s="1832"/>
      <c r="AF121" s="1832"/>
      <c r="AG121" s="1832"/>
    </row>
    <row r="122" spans="1:33">
      <c r="A122" s="1833"/>
      <c r="B122" s="1833"/>
      <c r="C122" s="1832"/>
      <c r="D122" s="1832"/>
      <c r="E122" s="1832"/>
      <c r="F122" s="1832"/>
      <c r="G122" s="1832"/>
      <c r="H122" s="1832"/>
      <c r="I122" s="1832"/>
      <c r="J122" s="1832"/>
      <c r="K122" s="1832"/>
      <c r="L122" s="1832"/>
      <c r="M122" s="1832"/>
      <c r="N122" s="1832"/>
      <c r="O122" s="1832"/>
      <c r="P122" s="1832"/>
      <c r="Q122" s="1832"/>
      <c r="R122" s="1832"/>
      <c r="S122" s="1832"/>
      <c r="T122" s="1832"/>
      <c r="U122" s="1832"/>
      <c r="V122" s="1832"/>
      <c r="W122" s="1832"/>
      <c r="X122" s="1832"/>
      <c r="Y122" s="1832"/>
      <c r="Z122" s="1832"/>
      <c r="AA122" s="1832"/>
      <c r="AB122" s="1832"/>
      <c r="AC122" s="1832"/>
      <c r="AD122" s="1832"/>
      <c r="AE122" s="1832"/>
      <c r="AF122" s="1832"/>
      <c r="AG122" s="1832"/>
    </row>
    <row r="123" spans="1:33">
      <c r="A123" s="1833"/>
      <c r="B123" s="1833"/>
      <c r="C123" s="1832"/>
      <c r="D123" s="1832"/>
      <c r="E123" s="1832"/>
      <c r="F123" s="1832"/>
      <c r="G123" s="1832"/>
      <c r="H123" s="1832"/>
      <c r="I123" s="1832"/>
      <c r="J123" s="1832"/>
      <c r="K123" s="1832"/>
      <c r="L123" s="1832"/>
      <c r="M123" s="1832"/>
      <c r="N123" s="1832"/>
      <c r="O123" s="1832"/>
      <c r="P123" s="1832"/>
      <c r="Q123" s="1832"/>
      <c r="R123" s="1832"/>
      <c r="S123" s="1832"/>
      <c r="T123" s="1832"/>
      <c r="U123" s="1832"/>
      <c r="V123" s="1832"/>
      <c r="W123" s="1832"/>
      <c r="X123" s="1832"/>
      <c r="Y123" s="1832"/>
      <c r="Z123" s="1832"/>
      <c r="AA123" s="1832"/>
      <c r="AB123" s="1832"/>
      <c r="AC123" s="1832"/>
      <c r="AD123" s="1832"/>
      <c r="AE123" s="1832"/>
      <c r="AF123" s="1832"/>
      <c r="AG123" s="1832"/>
    </row>
    <row r="124" spans="1:33">
      <c r="A124" s="1833"/>
      <c r="B124" s="1833"/>
      <c r="C124" s="1832"/>
      <c r="D124" s="1832"/>
      <c r="E124" s="1832"/>
      <c r="F124" s="1832"/>
      <c r="G124" s="1832"/>
      <c r="H124" s="1832"/>
      <c r="I124" s="1832"/>
      <c r="J124" s="1832"/>
      <c r="K124" s="1832"/>
      <c r="L124" s="1832"/>
      <c r="M124" s="1832"/>
      <c r="N124" s="1832"/>
      <c r="O124" s="1832"/>
      <c r="P124" s="1832"/>
      <c r="Q124" s="1832"/>
      <c r="R124" s="1832"/>
      <c r="S124" s="1832"/>
      <c r="T124" s="1832"/>
      <c r="U124" s="1832"/>
      <c r="V124" s="1832"/>
      <c r="W124" s="1832"/>
      <c r="X124" s="1832"/>
      <c r="Y124" s="1832"/>
      <c r="Z124" s="1832"/>
      <c r="AA124" s="1832"/>
      <c r="AB124" s="1832"/>
      <c r="AC124" s="1832"/>
      <c r="AD124" s="1832"/>
      <c r="AE124" s="1832"/>
      <c r="AF124" s="1832"/>
      <c r="AG124" s="1832"/>
    </row>
    <row r="125" spans="1:33">
      <c r="A125" s="1833"/>
      <c r="B125" s="1833"/>
      <c r="C125" s="1832"/>
      <c r="D125" s="1832"/>
      <c r="E125" s="1832"/>
      <c r="F125" s="1832"/>
      <c r="G125" s="1832"/>
      <c r="H125" s="1832"/>
      <c r="I125" s="1832"/>
      <c r="J125" s="1832"/>
      <c r="K125" s="1832"/>
      <c r="L125" s="1832"/>
      <c r="M125" s="1832"/>
      <c r="N125" s="1832"/>
      <c r="O125" s="1832"/>
      <c r="P125" s="1832"/>
      <c r="Q125" s="1832"/>
      <c r="R125" s="1832"/>
      <c r="S125" s="1832"/>
      <c r="T125" s="1832"/>
      <c r="U125" s="1832"/>
      <c r="V125" s="1832"/>
      <c r="W125" s="1832"/>
      <c r="X125" s="1832"/>
      <c r="Y125" s="1832"/>
      <c r="Z125" s="1832"/>
      <c r="AA125" s="1832"/>
      <c r="AB125" s="1832"/>
      <c r="AC125" s="1832"/>
      <c r="AD125" s="1832"/>
      <c r="AE125" s="1832"/>
      <c r="AF125" s="1832"/>
      <c r="AG125" s="1832"/>
    </row>
    <row r="126" spans="1:33">
      <c r="A126" s="1833"/>
      <c r="B126" s="1833"/>
      <c r="C126" s="1831"/>
      <c r="D126" s="1831"/>
      <c r="E126" s="1831"/>
      <c r="F126" s="1832"/>
      <c r="G126" s="1832"/>
      <c r="H126" s="1832"/>
      <c r="I126" s="1832"/>
      <c r="J126" s="1832"/>
      <c r="K126" s="1832"/>
      <c r="L126" s="1832"/>
      <c r="M126" s="1832"/>
      <c r="N126" s="1832"/>
      <c r="O126" s="1832"/>
      <c r="P126" s="1832"/>
      <c r="Q126" s="1832"/>
      <c r="R126" s="1832"/>
      <c r="S126" s="1832"/>
      <c r="T126" s="1832"/>
      <c r="U126" s="1832"/>
      <c r="V126" s="1832"/>
      <c r="W126" s="1832"/>
      <c r="X126" s="1832"/>
      <c r="Y126" s="1832"/>
      <c r="Z126" s="1832"/>
      <c r="AA126" s="1832"/>
      <c r="AB126" s="1832"/>
      <c r="AC126" s="1832"/>
      <c r="AD126" s="1832"/>
      <c r="AE126" s="1832"/>
      <c r="AF126" s="1832"/>
      <c r="AG126" s="1832"/>
    </row>
    <row r="127" spans="1:33">
      <c r="A127" s="1833"/>
      <c r="B127" s="1833"/>
      <c r="C127" s="1831"/>
      <c r="D127" s="1831"/>
      <c r="E127" s="1831"/>
      <c r="F127" s="1832"/>
      <c r="G127" s="1832"/>
      <c r="H127" s="1832"/>
      <c r="I127" s="1832"/>
      <c r="J127" s="1832"/>
      <c r="K127" s="1832"/>
      <c r="L127" s="1832"/>
      <c r="M127" s="1832"/>
      <c r="N127" s="1832"/>
      <c r="O127" s="1832"/>
      <c r="P127" s="1832"/>
      <c r="Q127" s="1832"/>
      <c r="R127" s="1832"/>
      <c r="S127" s="1832"/>
      <c r="T127" s="1832"/>
      <c r="U127" s="1832"/>
      <c r="V127" s="1832"/>
      <c r="W127" s="1832"/>
      <c r="X127" s="1832"/>
      <c r="Y127" s="1832"/>
      <c r="Z127" s="1832"/>
      <c r="AA127" s="1832"/>
      <c r="AB127" s="1832"/>
      <c r="AC127" s="1832"/>
      <c r="AD127" s="1832"/>
      <c r="AE127" s="1832"/>
      <c r="AF127" s="1832"/>
      <c r="AG127" s="1832"/>
    </row>
    <row r="128" spans="1:33">
      <c r="A128" s="1833"/>
      <c r="B128" s="1833"/>
      <c r="C128" s="1831"/>
      <c r="D128" s="1831"/>
      <c r="E128" s="1831"/>
      <c r="F128" s="1832"/>
      <c r="G128" s="1832"/>
      <c r="H128" s="1832"/>
      <c r="I128" s="1832"/>
      <c r="J128" s="1832"/>
      <c r="K128" s="1832"/>
      <c r="L128" s="1832"/>
      <c r="M128" s="1832"/>
      <c r="N128" s="1832"/>
      <c r="O128" s="1832"/>
      <c r="P128" s="1832"/>
      <c r="Q128" s="1832"/>
      <c r="R128" s="1832"/>
      <c r="S128" s="1832"/>
      <c r="T128" s="1832"/>
      <c r="U128" s="1832"/>
      <c r="V128" s="1832"/>
      <c r="W128" s="1832"/>
      <c r="X128" s="1832"/>
      <c r="Y128" s="1832"/>
      <c r="Z128" s="1832"/>
      <c r="AA128" s="1832"/>
      <c r="AB128" s="1832"/>
      <c r="AC128" s="1832"/>
      <c r="AD128" s="1832"/>
      <c r="AE128" s="1832"/>
      <c r="AF128" s="1832"/>
      <c r="AG128" s="1832"/>
    </row>
    <row r="129" spans="1:33">
      <c r="A129" s="1833"/>
      <c r="B129" s="1833"/>
      <c r="C129" s="1831"/>
      <c r="D129" s="1831"/>
      <c r="E129" s="1831"/>
      <c r="F129" s="1832"/>
      <c r="G129" s="1832"/>
      <c r="H129" s="1832"/>
      <c r="I129" s="1832"/>
      <c r="J129" s="1832"/>
      <c r="K129" s="1832"/>
      <c r="L129" s="1832"/>
      <c r="M129" s="1832"/>
      <c r="N129" s="1832"/>
      <c r="O129" s="1832"/>
      <c r="P129" s="1832"/>
      <c r="Q129" s="1832"/>
      <c r="R129" s="1832"/>
      <c r="S129" s="1832"/>
      <c r="T129" s="1832"/>
      <c r="U129" s="1832"/>
      <c r="V129" s="1832"/>
      <c r="W129" s="1832"/>
      <c r="X129" s="1832"/>
      <c r="Y129" s="1832"/>
      <c r="Z129" s="1832"/>
      <c r="AA129" s="1832"/>
      <c r="AB129" s="1832"/>
      <c r="AC129" s="1832"/>
      <c r="AD129" s="1832"/>
      <c r="AE129" s="1832"/>
      <c r="AF129" s="1832"/>
      <c r="AG129" s="1832"/>
    </row>
    <row r="130" spans="1:33">
      <c r="A130" s="1833"/>
      <c r="B130" s="1833"/>
      <c r="C130" s="1831"/>
      <c r="D130" s="1831"/>
      <c r="E130" s="1831"/>
      <c r="F130" s="1832"/>
      <c r="G130" s="1832"/>
      <c r="H130" s="1832"/>
      <c r="I130" s="1832"/>
      <c r="J130" s="1832"/>
      <c r="K130" s="1832"/>
      <c r="L130" s="1832"/>
      <c r="M130" s="1832"/>
      <c r="N130" s="1832"/>
      <c r="O130" s="1832"/>
      <c r="P130" s="1832"/>
      <c r="Q130" s="1832"/>
      <c r="R130" s="1832"/>
      <c r="S130" s="1832"/>
      <c r="T130" s="1832"/>
      <c r="U130" s="1832"/>
      <c r="V130" s="1832"/>
      <c r="W130" s="1832"/>
      <c r="X130" s="1832"/>
      <c r="Y130" s="1832"/>
      <c r="Z130" s="1832"/>
      <c r="AA130" s="1832"/>
      <c r="AB130" s="1832"/>
      <c r="AC130" s="1832"/>
      <c r="AD130" s="1832"/>
      <c r="AE130" s="1832"/>
      <c r="AF130" s="1832"/>
      <c r="AG130" s="1832"/>
    </row>
    <row r="131" spans="1:33">
      <c r="A131" s="1833"/>
      <c r="B131" s="1833"/>
      <c r="C131" s="1831"/>
      <c r="D131" s="1831"/>
      <c r="E131" s="1831"/>
      <c r="F131" s="1832"/>
      <c r="G131" s="1832"/>
      <c r="H131" s="1832"/>
      <c r="I131" s="1832"/>
      <c r="J131" s="1832"/>
      <c r="K131" s="1832"/>
      <c r="L131" s="1832"/>
      <c r="M131" s="1832"/>
      <c r="N131" s="1832"/>
      <c r="O131" s="1832"/>
      <c r="P131" s="1832"/>
      <c r="Q131" s="1832"/>
      <c r="R131" s="1832"/>
      <c r="S131" s="1832"/>
      <c r="T131" s="1832"/>
      <c r="U131" s="1832"/>
      <c r="V131" s="1832"/>
      <c r="W131" s="1832"/>
      <c r="X131" s="1832"/>
      <c r="Y131" s="1832"/>
      <c r="Z131" s="1832"/>
      <c r="AA131" s="1832"/>
      <c r="AB131" s="1832"/>
      <c r="AC131" s="1832"/>
      <c r="AD131" s="1832"/>
      <c r="AE131" s="1832"/>
      <c r="AF131" s="1832"/>
      <c r="AG131" s="1832"/>
    </row>
    <row r="132" spans="1:33">
      <c r="A132" s="1833"/>
      <c r="B132" s="1833"/>
      <c r="C132" s="1831"/>
      <c r="D132" s="1831"/>
      <c r="E132" s="1831"/>
      <c r="F132" s="1832"/>
      <c r="G132" s="1832"/>
      <c r="H132" s="1832"/>
      <c r="I132" s="1832"/>
      <c r="J132" s="1832"/>
      <c r="K132" s="1832"/>
      <c r="L132" s="1832"/>
      <c r="M132" s="1832"/>
      <c r="N132" s="1832"/>
      <c r="O132" s="1832"/>
      <c r="P132" s="1832"/>
      <c r="Q132" s="1832"/>
      <c r="R132" s="1832"/>
      <c r="S132" s="1832"/>
      <c r="T132" s="1832"/>
      <c r="U132" s="1832"/>
      <c r="V132" s="1832"/>
      <c r="W132" s="1832"/>
      <c r="X132" s="1832"/>
      <c r="Y132" s="1832"/>
      <c r="Z132" s="1832"/>
      <c r="AA132" s="1832"/>
      <c r="AB132" s="1832"/>
      <c r="AC132" s="1832"/>
      <c r="AD132" s="1832"/>
      <c r="AE132" s="1832"/>
      <c r="AF132" s="1832"/>
      <c r="AG132" s="1832"/>
    </row>
    <row r="133" spans="1:33">
      <c r="A133" s="1833"/>
      <c r="B133" s="1833"/>
      <c r="C133" s="1831"/>
      <c r="D133" s="1831"/>
      <c r="E133" s="1831"/>
      <c r="F133" s="1832"/>
      <c r="G133" s="1832"/>
      <c r="H133" s="1832"/>
      <c r="I133" s="1832"/>
      <c r="J133" s="1832"/>
      <c r="K133" s="1832"/>
      <c r="L133" s="1832"/>
      <c r="M133" s="1832"/>
      <c r="N133" s="1832"/>
      <c r="O133" s="1832"/>
      <c r="P133" s="1832"/>
      <c r="Q133" s="1832"/>
      <c r="R133" s="1832"/>
      <c r="S133" s="1832"/>
      <c r="T133" s="1832"/>
      <c r="U133" s="1832"/>
      <c r="V133" s="1832"/>
      <c r="W133" s="1832"/>
      <c r="X133" s="1832"/>
      <c r="Y133" s="1832"/>
      <c r="Z133" s="1832"/>
      <c r="AA133" s="1832"/>
      <c r="AB133" s="1832"/>
      <c r="AC133" s="1832"/>
      <c r="AD133" s="1832"/>
      <c r="AE133" s="1832"/>
      <c r="AF133" s="1832"/>
      <c r="AG133" s="1832"/>
    </row>
    <row r="134" spans="1:33">
      <c r="A134" s="1833"/>
      <c r="B134" s="1833"/>
      <c r="C134" s="1831"/>
      <c r="D134" s="1831"/>
      <c r="E134" s="1831"/>
      <c r="F134" s="1832"/>
      <c r="G134" s="1832"/>
      <c r="H134" s="1832"/>
      <c r="I134" s="1832"/>
      <c r="J134" s="1832"/>
      <c r="K134" s="1832"/>
      <c r="L134" s="1832"/>
      <c r="M134" s="1832"/>
      <c r="N134" s="1832"/>
      <c r="O134" s="1832"/>
      <c r="P134" s="1832"/>
      <c r="Q134" s="1832"/>
      <c r="R134" s="1832"/>
      <c r="S134" s="1832"/>
      <c r="T134" s="1832"/>
      <c r="U134" s="1832"/>
      <c r="V134" s="1832"/>
      <c r="W134" s="1832"/>
      <c r="X134" s="1832"/>
      <c r="Y134" s="1832"/>
      <c r="Z134" s="1832"/>
      <c r="AA134" s="1832"/>
      <c r="AB134" s="1832"/>
      <c r="AC134" s="1832"/>
      <c r="AD134" s="1832"/>
      <c r="AE134" s="1832"/>
      <c r="AF134" s="1832"/>
      <c r="AG134" s="1832"/>
    </row>
    <row r="135" spans="1:33">
      <c r="A135" s="1833"/>
      <c r="B135" s="1833"/>
      <c r="C135" s="1831"/>
      <c r="D135" s="1831"/>
      <c r="E135" s="1831"/>
      <c r="F135" s="1832"/>
      <c r="G135" s="1832"/>
      <c r="H135" s="1832"/>
      <c r="I135" s="1832"/>
      <c r="J135" s="1832"/>
      <c r="K135" s="1832"/>
      <c r="L135" s="1832"/>
      <c r="M135" s="1832"/>
      <c r="N135" s="1832"/>
      <c r="O135" s="1832"/>
      <c r="P135" s="1832"/>
      <c r="Q135" s="1832"/>
      <c r="R135" s="1832"/>
      <c r="S135" s="1832"/>
      <c r="T135" s="1832"/>
      <c r="U135" s="1832"/>
      <c r="V135" s="1832"/>
      <c r="W135" s="1832"/>
      <c r="X135" s="1832"/>
      <c r="Y135" s="1832"/>
      <c r="Z135" s="1832"/>
      <c r="AA135" s="1832"/>
      <c r="AB135" s="1832"/>
      <c r="AC135" s="1832"/>
      <c r="AD135" s="1832"/>
      <c r="AE135" s="1832"/>
      <c r="AF135" s="1832"/>
      <c r="AG135" s="1832"/>
    </row>
    <row r="136" spans="1:33">
      <c r="A136" s="1833"/>
      <c r="B136" s="1833"/>
      <c r="C136" s="1831"/>
      <c r="D136" s="1831"/>
      <c r="E136" s="1831"/>
      <c r="F136" s="1832"/>
      <c r="G136" s="1832"/>
      <c r="H136" s="1832"/>
      <c r="I136" s="1832"/>
      <c r="J136" s="1832"/>
      <c r="K136" s="1832"/>
      <c r="L136" s="1832"/>
      <c r="M136" s="1832"/>
      <c r="N136" s="1832"/>
      <c r="O136" s="1832"/>
      <c r="P136" s="1832"/>
      <c r="Q136" s="1832"/>
      <c r="R136" s="1832"/>
      <c r="S136" s="1832"/>
      <c r="T136" s="1832"/>
      <c r="U136" s="1832"/>
      <c r="V136" s="1832"/>
      <c r="W136" s="1832"/>
      <c r="X136" s="1832"/>
      <c r="Y136" s="1832"/>
      <c r="Z136" s="1832"/>
      <c r="AA136" s="1832"/>
      <c r="AB136" s="1832"/>
      <c r="AC136" s="1832"/>
      <c r="AD136" s="1832"/>
      <c r="AE136" s="1832"/>
      <c r="AF136" s="1832"/>
      <c r="AG136" s="1832"/>
    </row>
    <row r="137" spans="1:33">
      <c r="A137" s="1833"/>
      <c r="B137" s="1833"/>
      <c r="C137" s="1831"/>
      <c r="D137" s="1831"/>
      <c r="E137" s="1831"/>
      <c r="F137" s="1832"/>
      <c r="G137" s="1832"/>
      <c r="H137" s="1832"/>
      <c r="I137" s="1832"/>
      <c r="J137" s="1832"/>
      <c r="K137" s="1832"/>
      <c r="L137" s="1832"/>
      <c r="M137" s="1832"/>
      <c r="N137" s="1832"/>
      <c r="O137" s="1832"/>
      <c r="P137" s="1832"/>
      <c r="Q137" s="1832"/>
      <c r="R137" s="1832"/>
      <c r="S137" s="1832"/>
      <c r="T137" s="1832"/>
      <c r="U137" s="1832"/>
      <c r="V137" s="1832"/>
      <c r="W137" s="1832"/>
      <c r="X137" s="1832"/>
      <c r="Y137" s="1832"/>
      <c r="Z137" s="1832"/>
      <c r="AA137" s="1832"/>
      <c r="AB137" s="1832"/>
      <c r="AC137" s="1832"/>
      <c r="AD137" s="1832"/>
      <c r="AE137" s="1832"/>
      <c r="AF137" s="1832"/>
      <c r="AG137" s="1832"/>
    </row>
    <row r="138" spans="1:33">
      <c r="A138" s="1833"/>
      <c r="B138" s="1833"/>
      <c r="C138" s="1831"/>
      <c r="D138" s="1831"/>
      <c r="E138" s="1831"/>
      <c r="F138" s="1832"/>
      <c r="G138" s="1832"/>
      <c r="H138" s="1832"/>
      <c r="I138" s="1832"/>
      <c r="J138" s="1832"/>
      <c r="K138" s="1832"/>
      <c r="L138" s="1832"/>
      <c r="M138" s="1832"/>
      <c r="N138" s="1832"/>
      <c r="O138" s="1832"/>
      <c r="P138" s="1832"/>
      <c r="Q138" s="1832"/>
      <c r="R138" s="1832"/>
      <c r="S138" s="1832"/>
      <c r="T138" s="1832"/>
      <c r="U138" s="1832"/>
      <c r="V138" s="1832"/>
      <c r="W138" s="1832"/>
      <c r="X138" s="1832"/>
      <c r="Y138" s="1832"/>
      <c r="Z138" s="1832"/>
      <c r="AA138" s="1832"/>
      <c r="AB138" s="1832"/>
      <c r="AC138" s="1832"/>
      <c r="AD138" s="1832"/>
      <c r="AE138" s="1832"/>
      <c r="AF138" s="1832"/>
      <c r="AG138" s="1832"/>
    </row>
    <row r="139" spans="1:33">
      <c r="A139" s="1833"/>
      <c r="B139" s="1833"/>
      <c r="C139" s="1831"/>
      <c r="D139" s="1831"/>
      <c r="E139" s="1831"/>
      <c r="F139" s="1832"/>
      <c r="G139" s="1832"/>
      <c r="H139" s="1832"/>
      <c r="I139" s="1832"/>
      <c r="J139" s="1832"/>
      <c r="K139" s="1832"/>
      <c r="L139" s="1832"/>
      <c r="M139" s="1832"/>
      <c r="N139" s="1832"/>
      <c r="O139" s="1832"/>
      <c r="P139" s="1832"/>
      <c r="Q139" s="1832"/>
      <c r="R139" s="1832"/>
      <c r="S139" s="1832"/>
      <c r="T139" s="1832"/>
      <c r="U139" s="1832"/>
      <c r="V139" s="1832"/>
      <c r="W139" s="1832"/>
      <c r="X139" s="1832"/>
      <c r="Y139" s="1832"/>
      <c r="Z139" s="1832"/>
      <c r="AA139" s="1832"/>
      <c r="AB139" s="1832"/>
      <c r="AC139" s="1832"/>
      <c r="AD139" s="1832"/>
      <c r="AE139" s="1832"/>
      <c r="AF139" s="1832"/>
      <c r="AG139" s="1832"/>
    </row>
    <row r="140" spans="1:33">
      <c r="A140" s="1833"/>
      <c r="B140" s="1833"/>
      <c r="C140" s="1831"/>
      <c r="D140" s="1831"/>
      <c r="E140" s="1831"/>
      <c r="F140" s="1832"/>
      <c r="G140" s="1832"/>
      <c r="H140" s="1832"/>
      <c r="I140" s="1832"/>
      <c r="J140" s="1832"/>
      <c r="K140" s="1832"/>
      <c r="L140" s="1832"/>
      <c r="M140" s="1832"/>
      <c r="N140" s="1832"/>
      <c r="O140" s="1832"/>
      <c r="P140" s="1832"/>
      <c r="Q140" s="1832"/>
      <c r="R140" s="1832"/>
      <c r="S140" s="1832"/>
      <c r="T140" s="1832"/>
      <c r="U140" s="1832"/>
      <c r="V140" s="1832"/>
      <c r="W140" s="1832"/>
      <c r="X140" s="1832"/>
      <c r="Y140" s="1832"/>
      <c r="Z140" s="1832"/>
      <c r="AA140" s="1832"/>
      <c r="AB140" s="1832"/>
      <c r="AC140" s="1832"/>
      <c r="AD140" s="1832"/>
      <c r="AE140" s="1832"/>
      <c r="AF140" s="1832"/>
      <c r="AG140" s="1832"/>
    </row>
    <row r="141" spans="1:33">
      <c r="A141" s="1833"/>
      <c r="B141" s="1833"/>
      <c r="C141" s="1831"/>
      <c r="D141" s="1831"/>
      <c r="E141" s="1831"/>
      <c r="F141" s="1832"/>
      <c r="G141" s="1832"/>
      <c r="H141" s="1832"/>
      <c r="I141" s="1832"/>
      <c r="J141" s="1832"/>
      <c r="K141" s="1832"/>
      <c r="L141" s="1832"/>
      <c r="M141" s="1832"/>
      <c r="N141" s="1832"/>
      <c r="O141" s="1832"/>
      <c r="P141" s="1832"/>
      <c r="Q141" s="1832"/>
      <c r="R141" s="1832"/>
      <c r="S141" s="1832"/>
      <c r="T141" s="1832"/>
      <c r="U141" s="1832"/>
      <c r="V141" s="1832"/>
      <c r="W141" s="1832"/>
      <c r="X141" s="1832"/>
      <c r="Y141" s="1832"/>
      <c r="Z141" s="1832"/>
      <c r="AA141" s="1832"/>
      <c r="AB141" s="1832"/>
      <c r="AC141" s="1832"/>
      <c r="AD141" s="1832"/>
      <c r="AE141" s="1832"/>
      <c r="AF141" s="1832"/>
      <c r="AG141" s="1832"/>
    </row>
    <row r="142" spans="1:33">
      <c r="A142" s="1833"/>
      <c r="B142" s="1833"/>
      <c r="C142" s="1831"/>
      <c r="D142" s="1831"/>
      <c r="E142" s="1831"/>
      <c r="F142" s="1832"/>
      <c r="G142" s="1832"/>
      <c r="H142" s="1832"/>
      <c r="I142" s="1832"/>
      <c r="J142" s="1832"/>
      <c r="K142" s="1832"/>
      <c r="L142" s="1832"/>
      <c r="M142" s="1832"/>
      <c r="N142" s="1832"/>
      <c r="O142" s="1832"/>
      <c r="P142" s="1832"/>
      <c r="Q142" s="1832"/>
      <c r="R142" s="1832"/>
      <c r="S142" s="1832"/>
      <c r="T142" s="1832"/>
      <c r="U142" s="1832"/>
      <c r="V142" s="1832"/>
      <c r="W142" s="1832"/>
      <c r="X142" s="1832"/>
      <c r="Y142" s="1832"/>
      <c r="Z142" s="1832"/>
      <c r="AA142" s="1832"/>
      <c r="AB142" s="1832"/>
      <c r="AC142" s="1832"/>
      <c r="AD142" s="1832"/>
      <c r="AE142" s="1832"/>
      <c r="AF142" s="1832"/>
      <c r="AG142" s="1832"/>
    </row>
    <row r="143" spans="1:33">
      <c r="A143" s="1833"/>
      <c r="B143" s="1833"/>
      <c r="C143" s="1831"/>
      <c r="D143" s="1831"/>
      <c r="E143" s="1831"/>
      <c r="F143" s="1832"/>
      <c r="G143" s="1832"/>
      <c r="H143" s="1832"/>
      <c r="I143" s="1832"/>
      <c r="J143" s="1832"/>
      <c r="K143" s="1832"/>
      <c r="L143" s="1832"/>
      <c r="M143" s="1832"/>
      <c r="N143" s="1832"/>
      <c r="O143" s="1832"/>
      <c r="P143" s="1832"/>
      <c r="Q143" s="1832"/>
      <c r="R143" s="1832"/>
      <c r="S143" s="1832"/>
      <c r="T143" s="1832"/>
      <c r="U143" s="1832"/>
      <c r="V143" s="1832"/>
      <c r="W143" s="1832"/>
      <c r="X143" s="1832"/>
      <c r="Y143" s="1832"/>
      <c r="Z143" s="1832"/>
      <c r="AA143" s="1832"/>
      <c r="AB143" s="1832"/>
      <c r="AC143" s="1832"/>
      <c r="AD143" s="1832"/>
      <c r="AE143" s="1832"/>
      <c r="AF143" s="1832"/>
      <c r="AG143" s="1832"/>
    </row>
    <row r="144" spans="1:33">
      <c r="A144" s="1833"/>
      <c r="B144" s="1833"/>
      <c r="C144" s="1831"/>
      <c r="D144" s="1831"/>
      <c r="E144" s="1831"/>
      <c r="F144" s="1832"/>
      <c r="G144" s="1832"/>
      <c r="H144" s="1832"/>
      <c r="I144" s="1832"/>
      <c r="J144" s="1832"/>
      <c r="K144" s="1832"/>
      <c r="L144" s="1832"/>
      <c r="M144" s="1832"/>
      <c r="N144" s="1832"/>
      <c r="O144" s="1832"/>
      <c r="P144" s="1832"/>
      <c r="Q144" s="1832"/>
      <c r="R144" s="1832"/>
      <c r="S144" s="1832"/>
      <c r="T144" s="1832"/>
      <c r="U144" s="1832"/>
      <c r="V144" s="1832"/>
      <c r="W144" s="1832"/>
      <c r="X144" s="1832"/>
      <c r="Y144" s="1832"/>
      <c r="Z144" s="1832"/>
      <c r="AA144" s="1832"/>
      <c r="AB144" s="1832"/>
      <c r="AC144" s="1832"/>
      <c r="AD144" s="1832"/>
      <c r="AE144" s="1832"/>
      <c r="AF144" s="1832"/>
      <c r="AG144" s="1832"/>
    </row>
    <row r="145" spans="1:33">
      <c r="A145" s="1833"/>
      <c r="B145" s="1833"/>
      <c r="C145" s="1831"/>
      <c r="D145" s="1831"/>
      <c r="E145" s="1831"/>
      <c r="F145" s="1832"/>
      <c r="G145" s="1832"/>
      <c r="H145" s="1832"/>
      <c r="I145" s="1832"/>
      <c r="J145" s="1832"/>
      <c r="K145" s="1832"/>
      <c r="L145" s="1832"/>
      <c r="M145" s="1832"/>
      <c r="N145" s="1832"/>
      <c r="O145" s="1832"/>
      <c r="P145" s="1832"/>
      <c r="Q145" s="1832"/>
      <c r="R145" s="1832"/>
      <c r="S145" s="1832"/>
      <c r="T145" s="1832"/>
      <c r="U145" s="1832"/>
      <c r="V145" s="1832"/>
      <c r="W145" s="1832"/>
      <c r="X145" s="1832"/>
      <c r="Y145" s="1832"/>
      <c r="Z145" s="1832"/>
      <c r="AA145" s="1832"/>
      <c r="AB145" s="1832"/>
      <c r="AC145" s="1832"/>
      <c r="AD145" s="1832"/>
      <c r="AE145" s="1832"/>
      <c r="AF145" s="1832"/>
      <c r="AG145" s="1832"/>
    </row>
    <row r="146" spans="1:33">
      <c r="A146" s="1833"/>
      <c r="B146" s="1833"/>
      <c r="C146" s="1831"/>
      <c r="D146" s="1831"/>
      <c r="E146" s="1831"/>
      <c r="F146" s="1832"/>
      <c r="G146" s="1832"/>
      <c r="H146" s="1832"/>
      <c r="I146" s="1832"/>
      <c r="J146" s="1832"/>
      <c r="K146" s="1832"/>
      <c r="L146" s="1832"/>
      <c r="M146" s="1832"/>
      <c r="N146" s="1832"/>
      <c r="O146" s="1832"/>
      <c r="P146" s="1832"/>
      <c r="Q146" s="1832"/>
      <c r="R146" s="1832"/>
      <c r="S146" s="1832"/>
      <c r="T146" s="1832"/>
      <c r="U146" s="1832"/>
      <c r="V146" s="1832"/>
      <c r="W146" s="1832"/>
      <c r="X146" s="1832"/>
      <c r="Y146" s="1832"/>
      <c r="Z146" s="1832"/>
      <c r="AA146" s="1832"/>
      <c r="AB146" s="1832"/>
      <c r="AC146" s="1832"/>
      <c r="AD146" s="1832"/>
      <c r="AE146" s="1832"/>
      <c r="AF146" s="1832"/>
      <c r="AG146" s="1832"/>
    </row>
    <row r="147" spans="1:33">
      <c r="A147" s="1833"/>
      <c r="B147" s="1833"/>
      <c r="C147" s="1831"/>
      <c r="D147" s="1831"/>
      <c r="E147" s="1831"/>
      <c r="F147" s="1832"/>
      <c r="G147" s="1832"/>
      <c r="H147" s="1832"/>
      <c r="I147" s="1832"/>
      <c r="J147" s="1832"/>
      <c r="K147" s="1832"/>
      <c r="L147" s="1832"/>
      <c r="M147" s="1832"/>
      <c r="N147" s="1832"/>
      <c r="O147" s="1832"/>
      <c r="P147" s="1832"/>
      <c r="Q147" s="1832"/>
      <c r="R147" s="1832"/>
      <c r="S147" s="1832"/>
      <c r="T147" s="1832"/>
      <c r="U147" s="1832"/>
      <c r="V147" s="1832"/>
      <c r="W147" s="1832"/>
      <c r="X147" s="1832"/>
      <c r="Y147" s="1832"/>
      <c r="Z147" s="1832"/>
      <c r="AA147" s="1832"/>
      <c r="AB147" s="1832"/>
      <c r="AC147" s="1832"/>
      <c r="AD147" s="1832"/>
      <c r="AE147" s="1832"/>
      <c r="AF147" s="1832"/>
      <c r="AG147" s="1832"/>
    </row>
    <row r="148" spans="1:33">
      <c r="A148" s="1833"/>
      <c r="B148" s="1833"/>
      <c r="C148" s="1831"/>
      <c r="D148" s="1831"/>
      <c r="E148" s="1831"/>
      <c r="F148" s="1832"/>
      <c r="G148" s="1832"/>
      <c r="H148" s="1832"/>
      <c r="I148" s="1832"/>
      <c r="J148" s="1832"/>
      <c r="K148" s="1832"/>
      <c r="L148" s="1832"/>
      <c r="M148" s="1832"/>
      <c r="N148" s="1832"/>
      <c r="O148" s="1832"/>
      <c r="P148" s="1832"/>
      <c r="Q148" s="1832"/>
      <c r="R148" s="1832"/>
      <c r="S148" s="1832"/>
      <c r="T148" s="1832"/>
      <c r="U148" s="1832"/>
      <c r="V148" s="1832"/>
      <c r="W148" s="1832"/>
      <c r="X148" s="1832"/>
      <c r="Y148" s="1832"/>
      <c r="Z148" s="1832"/>
      <c r="AA148" s="1832"/>
      <c r="AB148" s="1832"/>
      <c r="AC148" s="1832"/>
      <c r="AD148" s="1832"/>
      <c r="AE148" s="1832"/>
      <c r="AF148" s="1832"/>
      <c r="AG148" s="1832"/>
    </row>
    <row r="149" spans="1:33">
      <c r="A149" s="1833"/>
      <c r="B149" s="1833"/>
      <c r="C149" s="1831"/>
      <c r="D149" s="1831"/>
      <c r="E149" s="1831"/>
      <c r="F149" s="1832"/>
      <c r="G149" s="1832"/>
      <c r="H149" s="1832"/>
      <c r="I149" s="1832"/>
      <c r="J149" s="1832"/>
      <c r="K149" s="1832"/>
      <c r="L149" s="1832"/>
      <c r="M149" s="1832"/>
      <c r="N149" s="1832"/>
      <c r="O149" s="1832"/>
      <c r="P149" s="1832"/>
      <c r="Q149" s="1832"/>
      <c r="R149" s="1832"/>
      <c r="S149" s="1832"/>
      <c r="T149" s="1832"/>
      <c r="U149" s="1832"/>
      <c r="V149" s="1832"/>
      <c r="W149" s="1832"/>
      <c r="X149" s="1832"/>
      <c r="Y149" s="1832"/>
      <c r="Z149" s="1832"/>
      <c r="AA149" s="1832"/>
      <c r="AB149" s="1832"/>
      <c r="AC149" s="1832"/>
      <c r="AD149" s="1832"/>
      <c r="AE149" s="1832"/>
      <c r="AF149" s="1832"/>
      <c r="AG149" s="1832"/>
    </row>
    <row r="150" spans="1:33">
      <c r="A150" s="1833"/>
      <c r="B150" s="1833"/>
      <c r="C150" s="1831"/>
      <c r="D150" s="1831"/>
      <c r="E150" s="1831"/>
      <c r="F150" s="1832"/>
      <c r="G150" s="1832"/>
      <c r="H150" s="1832"/>
      <c r="I150" s="1832"/>
      <c r="J150" s="1832"/>
      <c r="K150" s="1832"/>
      <c r="L150" s="1832"/>
      <c r="M150" s="1832"/>
      <c r="N150" s="1832"/>
      <c r="O150" s="1832"/>
      <c r="P150" s="1832"/>
      <c r="Q150" s="1832"/>
      <c r="R150" s="1832"/>
      <c r="S150" s="1832"/>
      <c r="T150" s="1832"/>
      <c r="U150" s="1832"/>
      <c r="V150" s="1832"/>
      <c r="W150" s="1832"/>
      <c r="X150" s="1832"/>
      <c r="Y150" s="1832"/>
      <c r="Z150" s="1832"/>
      <c r="AA150" s="1832"/>
      <c r="AB150" s="1832"/>
      <c r="AC150" s="1832"/>
      <c r="AD150" s="1832"/>
      <c r="AE150" s="1832"/>
      <c r="AF150" s="1832"/>
      <c r="AG150" s="1832"/>
    </row>
    <row r="151" spans="1:33">
      <c r="A151" s="1833"/>
      <c r="B151" s="1833"/>
      <c r="C151" s="1831"/>
      <c r="D151" s="1831"/>
      <c r="E151" s="1831"/>
      <c r="F151" s="1832"/>
      <c r="G151" s="1832"/>
      <c r="H151" s="1832"/>
      <c r="I151" s="1832"/>
      <c r="J151" s="1832"/>
      <c r="K151" s="1832"/>
      <c r="L151" s="1832"/>
      <c r="M151" s="1832"/>
      <c r="N151" s="1832"/>
      <c r="O151" s="1832"/>
      <c r="P151" s="1832"/>
      <c r="Q151" s="1832"/>
      <c r="R151" s="1832"/>
      <c r="S151" s="1832"/>
      <c r="T151" s="1832"/>
      <c r="U151" s="1832"/>
      <c r="V151" s="1832"/>
      <c r="W151" s="1832"/>
      <c r="X151" s="1832"/>
      <c r="Y151" s="1832"/>
      <c r="Z151" s="1832"/>
      <c r="AA151" s="1832"/>
      <c r="AB151" s="1832"/>
      <c r="AC151" s="1832"/>
      <c r="AD151" s="1832"/>
      <c r="AE151" s="1832"/>
      <c r="AF151" s="1832"/>
      <c r="AG151" s="1832"/>
    </row>
    <row r="152" spans="1:33">
      <c r="A152" s="1833"/>
      <c r="B152" s="1833"/>
      <c r="C152" s="1831"/>
      <c r="D152" s="1831"/>
      <c r="E152" s="1831"/>
      <c r="F152" s="1832"/>
      <c r="G152" s="1832"/>
      <c r="H152" s="1832"/>
      <c r="I152" s="1832"/>
      <c r="J152" s="1832"/>
      <c r="K152" s="1832"/>
      <c r="L152" s="1832"/>
      <c r="M152" s="1832"/>
      <c r="N152" s="1832"/>
      <c r="O152" s="1832"/>
      <c r="P152" s="1832"/>
      <c r="Q152" s="1832"/>
      <c r="R152" s="1832"/>
      <c r="S152" s="1832"/>
      <c r="T152" s="1832"/>
      <c r="U152" s="1832"/>
      <c r="V152" s="1832"/>
      <c r="W152" s="1832"/>
      <c r="X152" s="1832"/>
      <c r="Y152" s="1832"/>
      <c r="Z152" s="1832"/>
      <c r="AA152" s="1831"/>
      <c r="AB152" s="1831"/>
      <c r="AC152" s="1831"/>
      <c r="AD152" s="1831"/>
      <c r="AE152" s="1831"/>
      <c r="AF152" s="1831"/>
      <c r="AG152" s="1832"/>
    </row>
    <row r="153" spans="1:33">
      <c r="A153" s="1833"/>
      <c r="B153" s="1833"/>
      <c r="C153" s="1831"/>
      <c r="D153" s="1831"/>
      <c r="E153" s="1831"/>
      <c r="F153" s="1832"/>
      <c r="G153" s="1832"/>
      <c r="H153" s="1832"/>
      <c r="I153" s="1832"/>
      <c r="J153" s="1832"/>
      <c r="K153" s="1832"/>
      <c r="L153" s="1832"/>
      <c r="M153" s="1832"/>
      <c r="N153" s="1832"/>
      <c r="O153" s="1832"/>
      <c r="P153" s="1832"/>
      <c r="Q153" s="1832"/>
      <c r="R153" s="1832"/>
      <c r="S153" s="1832"/>
      <c r="T153" s="1832"/>
      <c r="U153" s="1832"/>
      <c r="V153" s="1832"/>
      <c r="W153" s="1832"/>
      <c r="X153" s="1832"/>
      <c r="Y153" s="1832"/>
      <c r="Z153" s="1832"/>
      <c r="AA153" s="1831"/>
      <c r="AB153" s="1831"/>
      <c r="AC153" s="1831"/>
      <c r="AD153" s="1831"/>
      <c r="AE153" s="1831"/>
      <c r="AF153" s="1831"/>
      <c r="AG153" s="1832"/>
    </row>
    <row r="154" spans="1:33">
      <c r="A154" s="1833"/>
      <c r="B154" s="1833"/>
      <c r="C154" s="1831"/>
      <c r="D154" s="1831"/>
      <c r="E154" s="1831"/>
      <c r="F154" s="1832"/>
      <c r="G154" s="1832"/>
      <c r="H154" s="1832"/>
      <c r="I154" s="1832"/>
      <c r="J154" s="1832"/>
      <c r="K154" s="1832"/>
      <c r="L154" s="1832"/>
      <c r="M154" s="1832"/>
      <c r="N154" s="1832"/>
      <c r="O154" s="1832"/>
      <c r="P154" s="1832"/>
      <c r="Q154" s="1832"/>
      <c r="R154" s="1832"/>
      <c r="S154" s="1832"/>
      <c r="T154" s="1832"/>
      <c r="U154" s="1832"/>
      <c r="V154" s="1832"/>
      <c r="W154" s="1832"/>
      <c r="X154" s="1832"/>
      <c r="Y154" s="1832"/>
      <c r="Z154" s="1832"/>
      <c r="AA154" s="1831"/>
      <c r="AB154" s="1831"/>
      <c r="AC154" s="1831"/>
      <c r="AD154" s="1831"/>
      <c r="AE154" s="1831"/>
      <c r="AF154" s="1831"/>
      <c r="AG154" s="1832"/>
    </row>
    <row r="155" spans="1:33">
      <c r="A155" s="1833"/>
      <c r="B155" s="1833"/>
      <c r="C155" s="1831"/>
      <c r="D155" s="1831"/>
      <c r="E155" s="1831"/>
      <c r="F155" s="1832"/>
      <c r="G155" s="1832"/>
      <c r="H155" s="1832"/>
      <c r="I155" s="1832"/>
      <c r="J155" s="1832"/>
      <c r="K155" s="1832"/>
      <c r="L155" s="1832"/>
      <c r="M155" s="1832"/>
      <c r="N155" s="1832"/>
      <c r="O155" s="1832"/>
      <c r="P155" s="1832"/>
      <c r="Q155" s="1832"/>
      <c r="R155" s="1832"/>
      <c r="S155" s="1832"/>
      <c r="T155" s="1832"/>
      <c r="U155" s="1832"/>
      <c r="V155" s="1832"/>
      <c r="W155" s="1832"/>
      <c r="X155" s="1832"/>
      <c r="Y155" s="1832"/>
      <c r="Z155" s="1832"/>
      <c r="AA155" s="1831"/>
      <c r="AB155" s="1831"/>
      <c r="AC155" s="1831"/>
      <c r="AD155" s="1831"/>
      <c r="AE155" s="1831"/>
      <c r="AF155" s="1831"/>
      <c r="AG155" s="1832"/>
    </row>
    <row r="156" spans="1:33">
      <c r="A156" s="1833"/>
      <c r="B156" s="1833"/>
      <c r="C156" s="1831"/>
      <c r="D156" s="1831"/>
      <c r="E156" s="1831"/>
      <c r="F156" s="1832"/>
      <c r="G156" s="1832"/>
      <c r="H156" s="1832"/>
      <c r="I156" s="1832"/>
      <c r="J156" s="1832"/>
      <c r="K156" s="1832"/>
      <c r="L156" s="1832"/>
      <c r="M156" s="1832"/>
      <c r="N156" s="1832"/>
      <c r="O156" s="1832"/>
      <c r="P156" s="1832"/>
      <c r="Q156" s="1832"/>
      <c r="R156" s="1832"/>
      <c r="S156" s="1832"/>
      <c r="T156" s="1832"/>
      <c r="U156" s="1832"/>
      <c r="V156" s="1832"/>
      <c r="W156" s="1832"/>
      <c r="X156" s="1832"/>
      <c r="Y156" s="1832"/>
      <c r="Z156" s="1832"/>
      <c r="AA156" s="1831"/>
      <c r="AB156" s="1831"/>
      <c r="AC156" s="1831"/>
      <c r="AD156" s="1831"/>
      <c r="AE156" s="1831"/>
      <c r="AF156" s="1831"/>
      <c r="AG156" s="1832"/>
    </row>
    <row r="157" spans="1:33">
      <c r="A157" s="1833"/>
      <c r="B157" s="1833"/>
      <c r="C157" s="1831"/>
      <c r="D157" s="1831"/>
      <c r="E157" s="1831"/>
      <c r="F157" s="1832"/>
      <c r="G157" s="1832"/>
      <c r="H157" s="1832"/>
      <c r="I157" s="1832"/>
      <c r="J157" s="1832"/>
      <c r="K157" s="1832"/>
      <c r="L157" s="1832"/>
      <c r="M157" s="1832"/>
      <c r="N157" s="1832"/>
      <c r="O157" s="1832"/>
      <c r="P157" s="1832"/>
      <c r="Q157" s="1832"/>
      <c r="R157" s="1832"/>
      <c r="S157" s="1832"/>
      <c r="T157" s="1832"/>
      <c r="U157" s="1832"/>
      <c r="V157" s="1832"/>
      <c r="W157" s="1832"/>
      <c r="X157" s="1832"/>
      <c r="Y157" s="1832"/>
      <c r="Z157" s="1832"/>
      <c r="AA157" s="1831"/>
      <c r="AB157" s="1831"/>
      <c r="AC157" s="1831"/>
      <c r="AD157" s="1831"/>
      <c r="AE157" s="1831"/>
      <c r="AF157" s="1831"/>
      <c r="AG157" s="1832"/>
    </row>
    <row r="158" spans="1:33">
      <c r="A158" s="1833"/>
      <c r="B158" s="1833"/>
      <c r="C158" s="1831"/>
      <c r="D158" s="1831"/>
      <c r="E158" s="1831"/>
      <c r="F158" s="1832"/>
      <c r="G158" s="1832"/>
      <c r="H158" s="1832"/>
      <c r="I158" s="1832"/>
      <c r="J158" s="1832"/>
      <c r="K158" s="1832"/>
      <c r="L158" s="1832"/>
      <c r="M158" s="1832"/>
      <c r="N158" s="1832"/>
      <c r="O158" s="1832"/>
      <c r="P158" s="1832"/>
      <c r="Q158" s="1832"/>
      <c r="R158" s="1832"/>
      <c r="S158" s="1832"/>
      <c r="T158" s="1832"/>
      <c r="U158" s="1832"/>
      <c r="V158" s="1832"/>
      <c r="W158" s="1832"/>
      <c r="X158" s="1832"/>
      <c r="Y158" s="1832"/>
      <c r="Z158" s="1832"/>
      <c r="AA158" s="1831"/>
      <c r="AB158" s="1831"/>
      <c r="AC158" s="1831"/>
      <c r="AD158" s="1831"/>
      <c r="AE158" s="1831"/>
      <c r="AF158" s="1831"/>
      <c r="AG158" s="1832"/>
    </row>
    <row r="159" spans="1:33">
      <c r="A159" s="1833"/>
      <c r="B159" s="1833"/>
      <c r="C159" s="1831"/>
      <c r="D159" s="1831"/>
      <c r="E159" s="1831"/>
      <c r="F159" s="1832"/>
      <c r="G159" s="1832"/>
      <c r="H159" s="1832"/>
      <c r="I159" s="1832"/>
      <c r="J159" s="1832"/>
      <c r="K159" s="1832"/>
      <c r="L159" s="1832"/>
      <c r="M159" s="1832"/>
      <c r="N159" s="1832"/>
      <c r="O159" s="1832"/>
      <c r="P159" s="1832"/>
      <c r="Q159" s="1832"/>
      <c r="R159" s="1832"/>
      <c r="S159" s="1832"/>
      <c r="T159" s="1832"/>
      <c r="U159" s="1832"/>
      <c r="V159" s="1832"/>
      <c r="W159" s="1832"/>
      <c r="X159" s="1832"/>
      <c r="Y159" s="1832"/>
      <c r="Z159" s="1832"/>
      <c r="AA159" s="1831"/>
      <c r="AB159" s="1831"/>
      <c r="AC159" s="1831"/>
      <c r="AD159" s="1831"/>
      <c r="AE159" s="1831"/>
      <c r="AF159" s="1831"/>
      <c r="AG159" s="1832"/>
    </row>
    <row r="160" spans="1:33">
      <c r="A160" s="1833"/>
      <c r="B160" s="1833"/>
      <c r="C160" s="1831"/>
      <c r="D160" s="1831"/>
      <c r="E160" s="1831"/>
      <c r="F160" s="1832"/>
      <c r="G160" s="1832"/>
      <c r="H160" s="1832"/>
      <c r="I160" s="1832"/>
      <c r="J160" s="1832"/>
      <c r="K160" s="1832"/>
      <c r="L160" s="1832"/>
      <c r="M160" s="1832"/>
      <c r="N160" s="1832"/>
      <c r="O160" s="1832"/>
      <c r="P160" s="1832"/>
      <c r="Q160" s="1832"/>
      <c r="R160" s="1832"/>
      <c r="S160" s="1832"/>
      <c r="T160" s="1832"/>
      <c r="U160" s="1832"/>
      <c r="V160" s="1832"/>
      <c r="W160" s="1832"/>
      <c r="X160" s="1832"/>
      <c r="Y160" s="1832"/>
      <c r="Z160" s="1832"/>
      <c r="AA160" s="1831"/>
      <c r="AB160" s="1831"/>
      <c r="AC160" s="1831"/>
      <c r="AD160" s="1831"/>
      <c r="AE160" s="1831"/>
      <c r="AF160" s="1831"/>
      <c r="AG160" s="1832"/>
    </row>
    <row r="161" spans="1:33">
      <c r="A161" s="1833"/>
      <c r="B161" s="1833"/>
      <c r="C161" s="1831"/>
      <c r="D161" s="1831"/>
      <c r="E161" s="1831"/>
      <c r="F161" s="1832"/>
      <c r="G161" s="1832"/>
      <c r="H161" s="1832"/>
      <c r="I161" s="1832"/>
      <c r="J161" s="1832"/>
      <c r="K161" s="1832"/>
      <c r="L161" s="1832"/>
      <c r="M161" s="1832"/>
      <c r="N161" s="1832"/>
      <c r="O161" s="1832"/>
      <c r="P161" s="1832"/>
      <c r="Q161" s="1832"/>
      <c r="R161" s="1832"/>
      <c r="S161" s="1832"/>
      <c r="T161" s="1832"/>
      <c r="U161" s="1832"/>
      <c r="V161" s="1832"/>
      <c r="W161" s="1832"/>
      <c r="X161" s="1832"/>
      <c r="Y161" s="1832"/>
      <c r="Z161" s="1832"/>
      <c r="AA161" s="1831"/>
      <c r="AB161" s="1831"/>
      <c r="AC161" s="1831"/>
      <c r="AD161" s="1831"/>
      <c r="AE161" s="1831"/>
      <c r="AF161" s="1831"/>
      <c r="AG161" s="1832"/>
    </row>
    <row r="162" spans="1:33">
      <c r="A162" s="1833"/>
      <c r="B162" s="1833"/>
      <c r="C162" s="1831"/>
      <c r="D162" s="1831"/>
      <c r="E162" s="1831"/>
      <c r="F162" s="1832"/>
      <c r="G162" s="1832"/>
      <c r="H162" s="1832"/>
      <c r="I162" s="1832"/>
      <c r="J162" s="1832"/>
      <c r="K162" s="1832"/>
      <c r="L162" s="1832"/>
      <c r="M162" s="1832"/>
      <c r="N162" s="1832"/>
      <c r="O162" s="1832"/>
      <c r="P162" s="1832"/>
      <c r="Q162" s="1832"/>
      <c r="R162" s="1832"/>
      <c r="S162" s="1832"/>
      <c r="T162" s="1832"/>
      <c r="U162" s="1832"/>
      <c r="V162" s="1832"/>
      <c r="W162" s="1832"/>
      <c r="X162" s="1832"/>
      <c r="Y162" s="1832"/>
      <c r="Z162" s="1832"/>
      <c r="AA162" s="1831"/>
      <c r="AB162" s="1831"/>
      <c r="AC162" s="1831"/>
      <c r="AD162" s="1831"/>
      <c r="AE162" s="1831"/>
      <c r="AF162" s="1831"/>
      <c r="AG162" s="1832"/>
    </row>
    <row r="163" spans="1:33">
      <c r="A163" s="1833"/>
      <c r="B163" s="1833"/>
      <c r="C163" s="1831"/>
      <c r="D163" s="1831"/>
      <c r="E163" s="1831"/>
      <c r="F163" s="1832"/>
      <c r="G163" s="1832"/>
      <c r="H163" s="1832"/>
      <c r="I163" s="1832"/>
      <c r="J163" s="1832"/>
      <c r="K163" s="1832"/>
      <c r="L163" s="1832"/>
      <c r="M163" s="1832"/>
      <c r="N163" s="1832"/>
      <c r="O163" s="1832"/>
      <c r="P163" s="1832"/>
      <c r="Q163" s="1832"/>
      <c r="R163" s="1832"/>
      <c r="S163" s="1832"/>
      <c r="T163" s="1832"/>
      <c r="U163" s="1832"/>
      <c r="V163" s="1832"/>
      <c r="W163" s="1832"/>
      <c r="X163" s="1832"/>
      <c r="Y163" s="1832"/>
      <c r="Z163" s="1832"/>
      <c r="AA163" s="1831"/>
      <c r="AB163" s="1831"/>
      <c r="AC163" s="1831"/>
      <c r="AD163" s="1831"/>
      <c r="AE163" s="1831"/>
      <c r="AF163" s="1831"/>
      <c r="AG163" s="1832"/>
    </row>
    <row r="164" spans="1:33">
      <c r="A164" s="1833"/>
      <c r="B164" s="1833"/>
      <c r="C164" s="1831"/>
      <c r="D164" s="1831"/>
      <c r="E164" s="1831"/>
      <c r="F164" s="1832"/>
      <c r="G164" s="1832"/>
      <c r="H164" s="1832"/>
      <c r="I164" s="1832"/>
      <c r="J164" s="1832"/>
      <c r="K164" s="1832"/>
      <c r="L164" s="1832"/>
      <c r="M164" s="1832"/>
      <c r="N164" s="1832"/>
      <c r="O164" s="1832"/>
      <c r="P164" s="1832"/>
      <c r="Q164" s="1832"/>
      <c r="R164" s="1832"/>
      <c r="S164" s="1832"/>
      <c r="T164" s="1832"/>
      <c r="U164" s="1832"/>
      <c r="V164" s="1832"/>
      <c r="W164" s="1832"/>
      <c r="X164" s="1832"/>
      <c r="Y164" s="1832"/>
      <c r="Z164" s="1832"/>
      <c r="AA164" s="1831"/>
      <c r="AB164" s="1831"/>
      <c r="AC164" s="1831"/>
      <c r="AD164" s="1831"/>
      <c r="AE164" s="1831"/>
      <c r="AF164" s="1831"/>
      <c r="AG164" s="1832"/>
    </row>
    <row r="165" spans="1:33">
      <c r="A165" s="1833"/>
      <c r="B165" s="1833"/>
      <c r="C165" s="1831"/>
      <c r="D165" s="1831"/>
      <c r="E165" s="1831"/>
      <c r="F165" s="1832"/>
      <c r="G165" s="1832"/>
      <c r="H165" s="1832"/>
      <c r="I165" s="1832"/>
      <c r="J165" s="1832"/>
      <c r="K165" s="1832"/>
      <c r="L165" s="1832"/>
      <c r="M165" s="1832"/>
      <c r="N165" s="1832"/>
      <c r="O165" s="1832"/>
      <c r="P165" s="1832"/>
      <c r="Q165" s="1832"/>
      <c r="R165" s="1832"/>
      <c r="S165" s="1832"/>
      <c r="T165" s="1832"/>
      <c r="U165" s="1832"/>
      <c r="V165" s="1832"/>
      <c r="W165" s="1832"/>
      <c r="X165" s="1832"/>
      <c r="Y165" s="1832"/>
      <c r="Z165" s="1832"/>
      <c r="AA165" s="1831"/>
      <c r="AB165" s="1831"/>
      <c r="AC165" s="1831"/>
      <c r="AD165" s="1831"/>
      <c r="AE165" s="1831"/>
      <c r="AF165" s="1831"/>
      <c r="AG165" s="1832"/>
    </row>
    <row r="166" spans="1:33">
      <c r="A166" s="1833"/>
      <c r="B166" s="1833"/>
      <c r="C166" s="1831"/>
      <c r="D166" s="1831"/>
      <c r="E166" s="1831"/>
      <c r="F166" s="1832"/>
      <c r="G166" s="1832"/>
      <c r="H166" s="1832"/>
      <c r="I166" s="1832"/>
      <c r="J166" s="1832"/>
      <c r="K166" s="1832"/>
      <c r="L166" s="1832"/>
      <c r="M166" s="1832"/>
      <c r="N166" s="1832"/>
      <c r="O166" s="1832"/>
      <c r="P166" s="1832"/>
      <c r="Q166" s="1832"/>
      <c r="R166" s="1832"/>
      <c r="S166" s="1832"/>
      <c r="T166" s="1832"/>
      <c r="U166" s="1832"/>
      <c r="V166" s="1832"/>
      <c r="W166" s="1832"/>
      <c r="X166" s="1832"/>
      <c r="Y166" s="1832"/>
      <c r="Z166" s="1832"/>
      <c r="AA166" s="1831"/>
      <c r="AB166" s="1831"/>
      <c r="AC166" s="1831"/>
      <c r="AD166" s="1831"/>
      <c r="AE166" s="1831"/>
      <c r="AF166" s="1831"/>
      <c r="AG166" s="1832"/>
    </row>
    <row r="167" spans="1:33">
      <c r="A167" s="1833"/>
      <c r="B167" s="1833"/>
      <c r="C167" s="1831"/>
      <c r="D167" s="1831"/>
      <c r="E167" s="1831"/>
      <c r="F167" s="1832"/>
      <c r="G167" s="1832"/>
      <c r="H167" s="1832"/>
      <c r="I167" s="1832"/>
      <c r="J167" s="1832"/>
      <c r="K167" s="1832"/>
      <c r="L167" s="1832"/>
      <c r="M167" s="1832"/>
      <c r="N167" s="1832"/>
      <c r="O167" s="1832"/>
      <c r="P167" s="1832"/>
      <c r="Q167" s="1832"/>
      <c r="R167" s="1832"/>
      <c r="S167" s="1832"/>
      <c r="T167" s="1832"/>
      <c r="U167" s="1832"/>
      <c r="V167" s="1832"/>
      <c r="W167" s="1832"/>
      <c r="X167" s="1832"/>
      <c r="Y167" s="1832"/>
      <c r="Z167" s="1832"/>
      <c r="AA167" s="1831"/>
      <c r="AB167" s="1831"/>
      <c r="AC167" s="1831"/>
      <c r="AD167" s="1831"/>
      <c r="AE167" s="1831"/>
      <c r="AF167" s="1831"/>
      <c r="AG167" s="1832"/>
    </row>
    <row r="168" spans="1:33">
      <c r="A168" s="1833"/>
      <c r="B168" s="1833"/>
      <c r="C168" s="1831"/>
      <c r="D168" s="1831"/>
      <c r="E168" s="1831"/>
      <c r="F168" s="1832"/>
      <c r="G168" s="1832"/>
      <c r="H168" s="1832"/>
      <c r="I168" s="1832"/>
      <c r="J168" s="1832"/>
      <c r="K168" s="1832"/>
      <c r="L168" s="1832"/>
      <c r="M168" s="1832"/>
      <c r="N168" s="1832"/>
      <c r="O168" s="1832"/>
      <c r="P168" s="1832"/>
      <c r="Q168" s="1832"/>
      <c r="R168" s="1832"/>
      <c r="S168" s="1832"/>
      <c r="T168" s="1832"/>
      <c r="U168" s="1832"/>
      <c r="V168" s="1832"/>
      <c r="W168" s="1832"/>
      <c r="X168" s="1832"/>
      <c r="Y168" s="1832"/>
      <c r="Z168" s="1832"/>
      <c r="AA168" s="1831"/>
      <c r="AB168" s="1831"/>
      <c r="AC168" s="1831"/>
      <c r="AD168" s="1831"/>
      <c r="AE168" s="1831"/>
      <c r="AF168" s="1831"/>
      <c r="AG168" s="1832"/>
    </row>
    <row r="169" spans="1:33">
      <c r="A169" s="1833"/>
      <c r="B169" s="1833"/>
      <c r="C169" s="1831"/>
      <c r="D169" s="1831"/>
      <c r="E169" s="1831"/>
      <c r="F169" s="1832"/>
      <c r="G169" s="1832"/>
      <c r="H169" s="1832"/>
      <c r="I169" s="1832"/>
      <c r="J169" s="1832"/>
      <c r="K169" s="1832"/>
      <c r="L169" s="1832"/>
      <c r="M169" s="1832"/>
      <c r="N169" s="1832"/>
      <c r="O169" s="1832"/>
      <c r="P169" s="1832"/>
      <c r="Q169" s="1832"/>
      <c r="R169" s="1832"/>
      <c r="S169" s="1832"/>
      <c r="T169" s="1832"/>
      <c r="U169" s="1832"/>
      <c r="V169" s="1832"/>
      <c r="W169" s="1832"/>
      <c r="X169" s="1832"/>
      <c r="Y169" s="1832"/>
      <c r="Z169" s="1832"/>
      <c r="AA169" s="1831"/>
      <c r="AB169" s="1831"/>
      <c r="AC169" s="1831"/>
      <c r="AD169" s="1831"/>
      <c r="AE169" s="1831"/>
      <c r="AF169" s="1831"/>
      <c r="AG169" s="1832"/>
    </row>
    <row r="170" spans="1:33">
      <c r="A170" s="1833"/>
      <c r="B170" s="1833"/>
      <c r="C170" s="1831"/>
      <c r="D170" s="1831"/>
      <c r="E170" s="1831"/>
      <c r="F170" s="1832"/>
      <c r="G170" s="1832"/>
      <c r="H170" s="1832"/>
      <c r="I170" s="1832"/>
      <c r="J170" s="1832"/>
      <c r="K170" s="1832"/>
      <c r="L170" s="1832"/>
      <c r="M170" s="1832"/>
      <c r="N170" s="1832"/>
      <c r="O170" s="1832"/>
      <c r="P170" s="1832"/>
      <c r="Q170" s="1832"/>
      <c r="R170" s="1832"/>
      <c r="S170" s="1832"/>
      <c r="T170" s="1832"/>
      <c r="U170" s="1832"/>
      <c r="V170" s="1832"/>
      <c r="W170" s="1832"/>
      <c r="X170" s="1832"/>
      <c r="Y170" s="1832"/>
      <c r="Z170" s="1832"/>
      <c r="AA170" s="1831"/>
      <c r="AB170" s="1831"/>
      <c r="AC170" s="1831"/>
      <c r="AD170" s="1831"/>
      <c r="AE170" s="1831"/>
      <c r="AF170" s="1831"/>
      <c r="AG170" s="1832"/>
    </row>
    <row r="171" spans="1:33">
      <c r="A171" s="1833"/>
      <c r="B171" s="1833"/>
      <c r="C171" s="1831"/>
      <c r="D171" s="1831"/>
      <c r="E171" s="1831"/>
      <c r="F171" s="1832"/>
      <c r="G171" s="1832"/>
      <c r="H171" s="1832"/>
      <c r="I171" s="1832"/>
      <c r="J171" s="1832"/>
      <c r="K171" s="1832"/>
      <c r="L171" s="1832"/>
      <c r="M171" s="1832"/>
      <c r="N171" s="1832"/>
      <c r="O171" s="1832"/>
      <c r="P171" s="1832"/>
      <c r="Q171" s="1832"/>
      <c r="R171" s="1832"/>
      <c r="S171" s="1832"/>
      <c r="T171" s="1832"/>
      <c r="U171" s="1832"/>
      <c r="V171" s="1832"/>
      <c r="W171" s="1832"/>
      <c r="X171" s="1832"/>
      <c r="Y171" s="1832"/>
      <c r="Z171" s="1832"/>
      <c r="AA171" s="1831"/>
      <c r="AB171" s="1831"/>
      <c r="AC171" s="1831"/>
      <c r="AD171" s="1831"/>
      <c r="AE171" s="1831"/>
      <c r="AF171" s="1831"/>
      <c r="AG171" s="1832"/>
    </row>
    <row r="172" spans="1:33">
      <c r="A172" s="1833"/>
      <c r="B172" s="1833"/>
      <c r="C172" s="1831"/>
      <c r="D172" s="1831"/>
      <c r="E172" s="1831"/>
      <c r="F172" s="1832"/>
      <c r="G172" s="1832"/>
      <c r="H172" s="1832"/>
      <c r="I172" s="1832"/>
      <c r="J172" s="1832"/>
      <c r="K172" s="1832"/>
      <c r="L172" s="1832"/>
      <c r="M172" s="1832"/>
      <c r="N172" s="1832"/>
      <c r="O172" s="1832"/>
      <c r="P172" s="1832"/>
      <c r="Q172" s="1832"/>
      <c r="R172" s="1832"/>
      <c r="S172" s="1832"/>
      <c r="T172" s="1832"/>
      <c r="U172" s="1832"/>
      <c r="V172" s="1832"/>
      <c r="W172" s="1832"/>
      <c r="X172" s="1832"/>
      <c r="Y172" s="1832"/>
      <c r="Z172" s="1832"/>
      <c r="AA172" s="1831"/>
      <c r="AB172" s="1831"/>
      <c r="AC172" s="1831"/>
      <c r="AD172" s="1831"/>
      <c r="AE172" s="1831"/>
      <c r="AF172" s="1831"/>
      <c r="AG172" s="1832"/>
    </row>
    <row r="173" spans="1:33">
      <c r="A173" s="1833"/>
      <c r="B173" s="1833"/>
      <c r="C173" s="1831"/>
      <c r="D173" s="1831"/>
      <c r="E173" s="1831"/>
      <c r="F173" s="1832"/>
      <c r="G173" s="1832"/>
      <c r="H173" s="1832"/>
      <c r="I173" s="1832"/>
      <c r="J173" s="1832"/>
      <c r="K173" s="1832"/>
      <c r="L173" s="1832"/>
      <c r="M173" s="1832"/>
      <c r="N173" s="1832"/>
      <c r="O173" s="1832"/>
      <c r="P173" s="1832"/>
      <c r="Q173" s="1832"/>
      <c r="R173" s="1832"/>
      <c r="S173" s="1832"/>
      <c r="T173" s="1832"/>
      <c r="U173" s="1832"/>
      <c r="V173" s="1832"/>
      <c r="W173" s="1832"/>
      <c r="X173" s="1832"/>
      <c r="Y173" s="1832"/>
      <c r="Z173" s="1832"/>
      <c r="AA173" s="1831"/>
      <c r="AB173" s="1831"/>
      <c r="AC173" s="1831"/>
      <c r="AD173" s="1831"/>
      <c r="AE173" s="1831"/>
      <c r="AF173" s="1831"/>
      <c r="AG173" s="1832"/>
    </row>
    <row r="174" spans="1:33">
      <c r="A174" s="1833"/>
      <c r="B174" s="1833"/>
      <c r="C174" s="1831"/>
      <c r="D174" s="1831"/>
      <c r="E174" s="1831"/>
      <c r="F174" s="1832"/>
      <c r="G174" s="1832"/>
      <c r="H174" s="1832"/>
      <c r="I174" s="1832"/>
      <c r="J174" s="1832"/>
      <c r="K174" s="1832"/>
      <c r="L174" s="1832"/>
      <c r="M174" s="1832"/>
      <c r="N174" s="1832"/>
      <c r="O174" s="1832"/>
      <c r="P174" s="1832"/>
      <c r="Q174" s="1832"/>
      <c r="R174" s="1832"/>
      <c r="S174" s="1832"/>
      <c r="T174" s="1832"/>
      <c r="U174" s="1832"/>
      <c r="V174" s="1832"/>
      <c r="W174" s="1832"/>
      <c r="X174" s="1832"/>
      <c r="Y174" s="1832"/>
      <c r="Z174" s="1832"/>
      <c r="AA174" s="1831"/>
      <c r="AB174" s="1831"/>
      <c r="AC174" s="1831"/>
      <c r="AD174" s="1831"/>
      <c r="AE174" s="1831"/>
      <c r="AF174" s="1831"/>
      <c r="AG174" s="1832"/>
    </row>
    <row r="175" spans="1:33">
      <c r="A175" s="1833"/>
      <c r="B175" s="1833"/>
      <c r="C175" s="1831"/>
      <c r="D175" s="1831"/>
      <c r="E175" s="1831"/>
      <c r="F175" s="1832"/>
      <c r="G175" s="1832"/>
      <c r="H175" s="1832"/>
      <c r="I175" s="1832"/>
      <c r="J175" s="1832"/>
      <c r="K175" s="1832"/>
      <c r="L175" s="1832"/>
      <c r="M175" s="1832"/>
      <c r="N175" s="1832"/>
      <c r="O175" s="1832"/>
      <c r="P175" s="1832"/>
      <c r="Q175" s="1832"/>
      <c r="R175" s="1832"/>
      <c r="S175" s="1832"/>
      <c r="T175" s="1832"/>
      <c r="U175" s="1832"/>
      <c r="V175" s="1832"/>
      <c r="W175" s="1832"/>
      <c r="X175" s="1832"/>
      <c r="Y175" s="1832"/>
      <c r="Z175" s="1832"/>
      <c r="AA175" s="1831"/>
      <c r="AB175" s="1831"/>
      <c r="AC175" s="1831"/>
      <c r="AD175" s="1831"/>
      <c r="AE175" s="1831"/>
      <c r="AF175" s="1831"/>
      <c r="AG175" s="1832"/>
    </row>
    <row r="176" spans="1:33">
      <c r="A176" s="1833"/>
      <c r="B176" s="1833"/>
      <c r="C176" s="1831"/>
      <c r="D176" s="1831"/>
      <c r="E176" s="1831"/>
      <c r="F176" s="1832"/>
      <c r="G176" s="1832"/>
      <c r="H176" s="1832"/>
      <c r="I176" s="1832"/>
      <c r="J176" s="1832"/>
      <c r="K176" s="1832"/>
      <c r="L176" s="1832"/>
      <c r="M176" s="1832"/>
      <c r="N176" s="1832"/>
      <c r="O176" s="1832"/>
      <c r="P176" s="1832"/>
      <c r="Q176" s="1832"/>
      <c r="R176" s="1832"/>
      <c r="S176" s="1832"/>
      <c r="T176" s="1832"/>
      <c r="U176" s="1832"/>
      <c r="V176" s="1832"/>
      <c r="W176" s="1832"/>
      <c r="X176" s="1832"/>
      <c r="Y176" s="1832"/>
      <c r="Z176" s="1832"/>
      <c r="AA176" s="1831"/>
      <c r="AB176" s="1831"/>
      <c r="AC176" s="1831"/>
      <c r="AD176" s="1831"/>
      <c r="AE176" s="1831"/>
      <c r="AF176" s="1831"/>
      <c r="AG176" s="1832"/>
    </row>
    <row r="177" spans="1:33">
      <c r="A177" s="1833"/>
      <c r="B177" s="1833"/>
      <c r="C177" s="1831"/>
      <c r="D177" s="1831"/>
      <c r="E177" s="1831"/>
      <c r="F177" s="1832"/>
      <c r="G177" s="1832"/>
      <c r="H177" s="1832"/>
      <c r="I177" s="1832"/>
      <c r="J177" s="1832"/>
      <c r="K177" s="1832"/>
      <c r="L177" s="1832"/>
      <c r="M177" s="1832"/>
      <c r="N177" s="1832"/>
      <c r="O177" s="1832"/>
      <c r="P177" s="1832"/>
      <c r="Q177" s="1832"/>
      <c r="R177" s="1832"/>
      <c r="S177" s="1832"/>
      <c r="T177" s="1832"/>
      <c r="U177" s="1832"/>
      <c r="V177" s="1832"/>
      <c r="W177" s="1832"/>
      <c r="X177" s="1832"/>
      <c r="Y177" s="1832"/>
      <c r="Z177" s="1832"/>
      <c r="AA177" s="1831"/>
      <c r="AB177" s="1831"/>
      <c r="AC177" s="1831"/>
      <c r="AD177" s="1831"/>
      <c r="AE177" s="1831"/>
      <c r="AF177" s="1831"/>
      <c r="AG177" s="1832"/>
    </row>
    <row r="178" spans="1:33">
      <c r="A178" s="1833"/>
      <c r="B178" s="1833"/>
      <c r="C178" s="1831"/>
      <c r="D178" s="1831"/>
      <c r="E178" s="1831"/>
      <c r="F178" s="1832"/>
      <c r="G178" s="1832"/>
      <c r="H178" s="1832"/>
      <c r="I178" s="1832"/>
      <c r="J178" s="1832"/>
      <c r="K178" s="1832"/>
      <c r="L178" s="1832"/>
      <c r="M178" s="1832"/>
      <c r="N178" s="1832"/>
      <c r="O178" s="1832"/>
      <c r="P178" s="1832"/>
      <c r="Q178" s="1832"/>
      <c r="R178" s="1832"/>
      <c r="S178" s="1832"/>
      <c r="T178" s="1832"/>
      <c r="U178" s="1832"/>
      <c r="V178" s="1832"/>
      <c r="W178" s="1832"/>
      <c r="X178" s="1832"/>
      <c r="Y178" s="1832"/>
      <c r="Z178" s="1832"/>
      <c r="AA178" s="1831"/>
      <c r="AB178" s="1831"/>
      <c r="AC178" s="1831"/>
      <c r="AD178" s="1831"/>
      <c r="AE178" s="1831"/>
      <c r="AF178" s="1831"/>
      <c r="AG178" s="1832"/>
    </row>
    <row r="179" spans="1:33">
      <c r="A179" s="1833"/>
      <c r="B179" s="1833"/>
      <c r="C179" s="1831"/>
      <c r="D179" s="1831"/>
      <c r="E179" s="1831"/>
      <c r="F179" s="1832"/>
      <c r="G179" s="1832"/>
      <c r="H179" s="1832"/>
      <c r="I179" s="1832"/>
      <c r="J179" s="1832"/>
      <c r="K179" s="1832"/>
      <c r="L179" s="1832"/>
      <c r="M179" s="1832"/>
      <c r="N179" s="1832"/>
      <c r="O179" s="1832"/>
      <c r="P179" s="1832"/>
      <c r="Q179" s="1832"/>
      <c r="R179" s="1832"/>
      <c r="S179" s="1832"/>
      <c r="T179" s="1832"/>
      <c r="U179" s="1832"/>
      <c r="V179" s="1832"/>
      <c r="W179" s="1832"/>
      <c r="X179" s="1832"/>
      <c r="Y179" s="1832"/>
      <c r="Z179" s="1832"/>
      <c r="AA179" s="1831"/>
      <c r="AB179" s="1831"/>
      <c r="AC179" s="1831"/>
      <c r="AD179" s="1831"/>
      <c r="AE179" s="1831"/>
      <c r="AF179" s="1831"/>
      <c r="AG179" s="1832"/>
    </row>
    <row r="180" spans="1:33">
      <c r="A180" s="1833"/>
      <c r="B180" s="1833"/>
      <c r="C180" s="1831"/>
      <c r="D180" s="1831"/>
      <c r="E180" s="1831"/>
      <c r="F180" s="1832"/>
      <c r="G180" s="1832"/>
      <c r="H180" s="1832"/>
      <c r="I180" s="1832"/>
      <c r="J180" s="1832"/>
      <c r="K180" s="1832"/>
      <c r="L180" s="1832"/>
      <c r="M180" s="1832"/>
      <c r="N180" s="1832"/>
      <c r="O180" s="1832"/>
      <c r="P180" s="1832"/>
      <c r="Q180" s="1832"/>
      <c r="R180" s="1832"/>
      <c r="S180" s="1832"/>
      <c r="T180" s="1832"/>
      <c r="U180" s="1832"/>
      <c r="V180" s="1832"/>
      <c r="W180" s="1832"/>
      <c r="X180" s="1832"/>
      <c r="Y180" s="1832"/>
      <c r="Z180" s="1832"/>
      <c r="AA180" s="1831"/>
      <c r="AB180" s="1831"/>
      <c r="AC180" s="1831"/>
      <c r="AD180" s="1831"/>
      <c r="AE180" s="1831"/>
      <c r="AF180" s="1831"/>
      <c r="AG180" s="1832"/>
    </row>
    <row r="181" spans="1:33">
      <c r="A181" s="1833"/>
      <c r="B181" s="1833"/>
      <c r="C181" s="1831"/>
      <c r="D181" s="1831"/>
      <c r="E181" s="1831"/>
      <c r="F181" s="1832"/>
      <c r="G181" s="1832"/>
      <c r="H181" s="1832"/>
      <c r="I181" s="1832"/>
      <c r="J181" s="1832"/>
      <c r="K181" s="1832"/>
      <c r="L181" s="1832"/>
      <c r="M181" s="1832"/>
      <c r="N181" s="1832"/>
      <c r="O181" s="1832"/>
      <c r="P181" s="1832"/>
      <c r="Q181" s="1832"/>
      <c r="R181" s="1832"/>
      <c r="S181" s="1832"/>
      <c r="T181" s="1832"/>
      <c r="U181" s="1832"/>
      <c r="V181" s="1832"/>
      <c r="W181" s="1832"/>
      <c r="X181" s="1832"/>
      <c r="Y181" s="1832"/>
      <c r="Z181" s="1832"/>
      <c r="AA181" s="1831"/>
      <c r="AB181" s="1831"/>
      <c r="AC181" s="1831"/>
      <c r="AD181" s="1831"/>
      <c r="AE181" s="1831"/>
      <c r="AF181" s="1831"/>
      <c r="AG181" s="1832"/>
    </row>
    <row r="182" spans="1:33">
      <c r="A182" s="1833"/>
      <c r="B182" s="1833"/>
      <c r="C182" s="1831"/>
      <c r="D182" s="1831"/>
      <c r="E182" s="1831"/>
      <c r="F182" s="1832"/>
      <c r="G182" s="1832"/>
      <c r="H182" s="1832"/>
      <c r="I182" s="1832"/>
      <c r="J182" s="1832"/>
      <c r="K182" s="1832"/>
      <c r="L182" s="1832"/>
      <c r="M182" s="1832"/>
      <c r="N182" s="1832"/>
      <c r="O182" s="1832"/>
      <c r="P182" s="1832"/>
      <c r="Q182" s="1832"/>
      <c r="R182" s="1832"/>
      <c r="S182" s="1832"/>
      <c r="T182" s="1832"/>
      <c r="U182" s="1832"/>
      <c r="V182" s="1832"/>
      <c r="W182" s="1832"/>
      <c r="X182" s="1832"/>
      <c r="Y182" s="1832"/>
      <c r="Z182" s="1832"/>
      <c r="AA182" s="1831"/>
      <c r="AB182" s="1831"/>
      <c r="AC182" s="1831"/>
      <c r="AD182" s="1831"/>
      <c r="AE182" s="1831"/>
      <c r="AF182" s="1831"/>
      <c r="AG182" s="1832"/>
    </row>
    <row r="183" spans="1:33">
      <c r="A183" s="1833"/>
      <c r="B183" s="1833"/>
      <c r="C183" s="1831"/>
      <c r="D183" s="1831"/>
      <c r="E183" s="1831"/>
      <c r="F183" s="1832"/>
      <c r="G183" s="1832"/>
      <c r="H183" s="1832"/>
      <c r="I183" s="1832"/>
      <c r="J183" s="1832"/>
      <c r="K183" s="1832"/>
      <c r="L183" s="1832"/>
      <c r="M183" s="1832"/>
      <c r="N183" s="1832"/>
      <c r="O183" s="1832"/>
      <c r="P183" s="1832"/>
      <c r="Q183" s="1832"/>
      <c r="R183" s="1832"/>
      <c r="S183" s="1832"/>
      <c r="T183" s="1832"/>
      <c r="U183" s="1832"/>
      <c r="V183" s="1832"/>
      <c r="W183" s="1832"/>
      <c r="X183" s="1832"/>
      <c r="Y183" s="1832"/>
      <c r="Z183" s="1832"/>
      <c r="AA183" s="1831"/>
      <c r="AB183" s="1831"/>
      <c r="AC183" s="1831"/>
      <c r="AD183" s="1831"/>
      <c r="AE183" s="1831"/>
      <c r="AF183" s="1831"/>
      <c r="AG183" s="1832"/>
    </row>
    <row r="184" spans="1:33">
      <c r="A184" s="1833"/>
      <c r="B184" s="1833"/>
      <c r="C184" s="1831"/>
      <c r="D184" s="1831"/>
      <c r="E184" s="1831"/>
      <c r="F184" s="1832"/>
      <c r="G184" s="1832"/>
      <c r="H184" s="1832"/>
      <c r="I184" s="1832"/>
      <c r="J184" s="1832"/>
      <c r="K184" s="1832"/>
      <c r="L184" s="1832"/>
      <c r="M184" s="1832"/>
      <c r="N184" s="1832"/>
      <c r="O184" s="1832"/>
      <c r="P184" s="1832"/>
      <c r="Q184" s="1832"/>
      <c r="R184" s="1832"/>
      <c r="S184" s="1832"/>
      <c r="T184" s="1832"/>
      <c r="U184" s="1832"/>
      <c r="V184" s="1832"/>
      <c r="W184" s="1832"/>
      <c r="X184" s="1832"/>
      <c r="Y184" s="1832"/>
      <c r="Z184" s="1832"/>
      <c r="AA184" s="1831"/>
      <c r="AB184" s="1831"/>
      <c r="AC184" s="1831"/>
      <c r="AD184" s="1831"/>
      <c r="AE184" s="1831"/>
      <c r="AF184" s="1831"/>
      <c r="AG184" s="1832"/>
    </row>
    <row r="185" spans="1:33">
      <c r="A185" s="1833"/>
      <c r="B185" s="1833"/>
      <c r="C185" s="1831"/>
      <c r="D185" s="1831"/>
      <c r="E185" s="1831"/>
      <c r="F185" s="1832"/>
      <c r="G185" s="1832"/>
      <c r="H185" s="1832"/>
      <c r="I185" s="1832"/>
      <c r="J185" s="1832"/>
      <c r="K185" s="1832"/>
      <c r="L185" s="1832"/>
      <c r="M185" s="1832"/>
      <c r="N185" s="1832"/>
      <c r="O185" s="1832"/>
      <c r="P185" s="1832"/>
      <c r="Q185" s="1832"/>
      <c r="R185" s="1832"/>
      <c r="S185" s="1832"/>
      <c r="T185" s="1832"/>
      <c r="U185" s="1832"/>
      <c r="V185" s="1832"/>
      <c r="W185" s="1832"/>
      <c r="X185" s="1832"/>
      <c r="Y185" s="1832"/>
      <c r="Z185" s="1832"/>
      <c r="AA185" s="1831"/>
      <c r="AB185" s="1831"/>
      <c r="AC185" s="1831"/>
      <c r="AD185" s="1831"/>
      <c r="AE185" s="1831"/>
      <c r="AF185" s="1831"/>
      <c r="AG185" s="1832"/>
    </row>
    <row r="186" spans="1:33">
      <c r="A186" s="1833"/>
      <c r="B186" s="1833"/>
      <c r="C186" s="1831"/>
      <c r="D186" s="1831"/>
      <c r="E186" s="1831"/>
      <c r="F186" s="1832"/>
      <c r="G186" s="1832"/>
      <c r="H186" s="1832"/>
      <c r="I186" s="1832"/>
      <c r="J186" s="1832"/>
      <c r="K186" s="1832"/>
      <c r="L186" s="1832"/>
      <c r="M186" s="1832"/>
      <c r="N186" s="1832"/>
      <c r="O186" s="1832"/>
      <c r="P186" s="1832"/>
      <c r="Q186" s="1832"/>
      <c r="R186" s="1832"/>
      <c r="S186" s="1832"/>
      <c r="T186" s="1832"/>
      <c r="U186" s="1832"/>
      <c r="V186" s="1832"/>
      <c r="W186" s="1832"/>
      <c r="X186" s="1832"/>
      <c r="Y186" s="1832"/>
      <c r="Z186" s="1832"/>
      <c r="AA186" s="1831"/>
      <c r="AB186" s="1831"/>
      <c r="AC186" s="1831"/>
      <c r="AD186" s="1831"/>
      <c r="AE186" s="1831"/>
      <c r="AF186" s="1831"/>
      <c r="AG186" s="1832"/>
    </row>
    <row r="187" spans="1:33">
      <c r="A187" s="1833"/>
      <c r="B187" s="1833"/>
      <c r="C187" s="1831"/>
      <c r="D187" s="1831"/>
      <c r="E187" s="1831"/>
      <c r="F187" s="1832"/>
      <c r="G187" s="1832"/>
      <c r="H187" s="1832"/>
      <c r="I187" s="1832"/>
      <c r="J187" s="1832"/>
      <c r="K187" s="1832"/>
      <c r="L187" s="1832"/>
      <c r="M187" s="1832"/>
      <c r="N187" s="1832"/>
      <c r="O187" s="1832"/>
      <c r="P187" s="1832"/>
      <c r="Q187" s="1832"/>
      <c r="R187" s="1832"/>
      <c r="S187" s="1832"/>
      <c r="T187" s="1832"/>
      <c r="U187" s="1832"/>
      <c r="V187" s="1832"/>
      <c r="W187" s="1832"/>
      <c r="X187" s="1832"/>
      <c r="Y187" s="1832"/>
      <c r="Z187" s="1832"/>
      <c r="AA187" s="1831"/>
      <c r="AB187" s="1831"/>
      <c r="AC187" s="1831"/>
      <c r="AD187" s="1831"/>
      <c r="AE187" s="1831"/>
      <c r="AF187" s="1831"/>
      <c r="AG187" s="1832"/>
    </row>
    <row r="188" spans="1:33">
      <c r="A188" s="1833"/>
      <c r="B188" s="1833"/>
      <c r="C188" s="1831"/>
      <c r="D188" s="1831"/>
      <c r="E188" s="1831"/>
      <c r="F188" s="1832"/>
      <c r="G188" s="1832"/>
      <c r="H188" s="1832"/>
      <c r="I188" s="1832"/>
      <c r="J188" s="1832"/>
      <c r="K188" s="1832"/>
      <c r="L188" s="1832"/>
      <c r="M188" s="1832"/>
      <c r="N188" s="1832"/>
      <c r="O188" s="1832"/>
      <c r="P188" s="1832"/>
      <c r="Q188" s="1832"/>
      <c r="R188" s="1832"/>
      <c r="S188" s="1832"/>
      <c r="T188" s="1832"/>
      <c r="U188" s="1832"/>
      <c r="V188" s="1832"/>
      <c r="W188" s="1832"/>
      <c r="X188" s="1832"/>
      <c r="Y188" s="1832"/>
      <c r="Z188" s="1832"/>
      <c r="AA188" s="1831"/>
      <c r="AB188" s="1831"/>
      <c r="AC188" s="1831"/>
      <c r="AD188" s="1831"/>
      <c r="AE188" s="1831"/>
      <c r="AF188" s="1831"/>
      <c r="AG188" s="1832"/>
    </row>
    <row r="189" spans="1:33">
      <c r="A189" s="1833"/>
      <c r="B189" s="1833"/>
      <c r="C189" s="1831"/>
      <c r="D189" s="1831"/>
      <c r="E189" s="1831"/>
      <c r="F189" s="1832"/>
      <c r="G189" s="1832"/>
      <c r="H189" s="1832"/>
      <c r="I189" s="1832"/>
      <c r="J189" s="1832"/>
      <c r="K189" s="1832"/>
      <c r="L189" s="1832"/>
      <c r="M189" s="1832"/>
      <c r="N189" s="1832"/>
      <c r="O189" s="1832"/>
      <c r="P189" s="1832"/>
      <c r="Q189" s="1832"/>
      <c r="R189" s="1832"/>
      <c r="S189" s="1832"/>
      <c r="T189" s="1832"/>
      <c r="U189" s="1832"/>
      <c r="V189" s="1832"/>
      <c r="W189" s="1832"/>
      <c r="X189" s="1832"/>
      <c r="Y189" s="1832"/>
      <c r="Z189" s="1832"/>
      <c r="AA189" s="1831"/>
      <c r="AB189" s="1831"/>
      <c r="AC189" s="1831"/>
      <c r="AD189" s="1831"/>
      <c r="AE189" s="1831"/>
      <c r="AF189" s="1831"/>
      <c r="AG189" s="1832"/>
    </row>
    <row r="190" spans="1:33">
      <c r="A190" s="1833"/>
      <c r="B190" s="1833"/>
      <c r="C190" s="1831"/>
      <c r="D190" s="1831"/>
      <c r="E190" s="1831"/>
      <c r="F190" s="1832"/>
      <c r="G190" s="1832"/>
      <c r="H190" s="1832"/>
      <c r="I190" s="1832"/>
      <c r="J190" s="1832"/>
      <c r="K190" s="1832"/>
      <c r="L190" s="1832"/>
      <c r="M190" s="1832"/>
      <c r="N190" s="1832"/>
      <c r="O190" s="1832"/>
      <c r="P190" s="1832"/>
      <c r="Q190" s="1832"/>
      <c r="R190" s="1832"/>
      <c r="S190" s="1832"/>
      <c r="T190" s="1832"/>
      <c r="U190" s="1832"/>
      <c r="V190" s="1832"/>
      <c r="W190" s="1832"/>
      <c r="X190" s="1832"/>
      <c r="Y190" s="1832"/>
      <c r="Z190" s="1832"/>
      <c r="AA190" s="1831"/>
      <c r="AB190" s="1831"/>
      <c r="AC190" s="1831"/>
      <c r="AD190" s="1831"/>
      <c r="AE190" s="1831"/>
      <c r="AF190" s="1831"/>
      <c r="AG190" s="1832"/>
    </row>
    <row r="191" spans="1:33">
      <c r="A191" s="1833"/>
      <c r="B191" s="1833"/>
      <c r="C191" s="1831"/>
      <c r="D191" s="1831"/>
      <c r="E191" s="1831"/>
      <c r="F191" s="1832"/>
      <c r="G191" s="1832"/>
      <c r="H191" s="1832"/>
      <c r="I191" s="1832"/>
      <c r="J191" s="1832"/>
      <c r="K191" s="1832"/>
      <c r="L191" s="1832"/>
      <c r="M191" s="1832"/>
      <c r="N191" s="1832"/>
      <c r="O191" s="1832"/>
      <c r="P191" s="1832"/>
      <c r="Q191" s="1832"/>
      <c r="R191" s="1832"/>
      <c r="S191" s="1832"/>
      <c r="T191" s="1832"/>
      <c r="U191" s="1832"/>
      <c r="V191" s="1832"/>
      <c r="W191" s="1832"/>
      <c r="X191" s="1832"/>
      <c r="Y191" s="1832"/>
      <c r="Z191" s="1832"/>
      <c r="AA191" s="1831"/>
      <c r="AB191" s="1831"/>
      <c r="AC191" s="1831"/>
      <c r="AD191" s="1831"/>
      <c r="AE191" s="1831"/>
      <c r="AF191" s="1831"/>
      <c r="AG191" s="1832"/>
    </row>
    <row r="192" spans="1:33">
      <c r="A192" s="1833"/>
      <c r="B192" s="1833"/>
      <c r="C192" s="1831"/>
      <c r="D192" s="1831"/>
      <c r="E192" s="1831"/>
      <c r="F192" s="1832"/>
      <c r="G192" s="1832"/>
      <c r="H192" s="1832"/>
      <c r="I192" s="1832"/>
      <c r="J192" s="1832"/>
      <c r="K192" s="1832"/>
      <c r="L192" s="1832"/>
      <c r="M192" s="1832"/>
      <c r="N192" s="1832"/>
      <c r="O192" s="1832"/>
      <c r="P192" s="1832"/>
      <c r="Q192" s="1832"/>
      <c r="R192" s="1832"/>
      <c r="S192" s="1832"/>
      <c r="T192" s="1832"/>
      <c r="U192" s="1832"/>
      <c r="V192" s="1832"/>
      <c r="W192" s="1832"/>
      <c r="X192" s="1832"/>
      <c r="Y192" s="1832"/>
      <c r="Z192" s="1832"/>
      <c r="AA192" s="1831"/>
      <c r="AB192" s="1831"/>
      <c r="AC192" s="1831"/>
      <c r="AD192" s="1831"/>
      <c r="AE192" s="1831"/>
      <c r="AF192" s="1831"/>
      <c r="AG192" s="1832"/>
    </row>
    <row r="193" spans="1:33">
      <c r="A193" s="1833"/>
      <c r="B193" s="1833"/>
      <c r="C193" s="1831"/>
      <c r="D193" s="1831"/>
      <c r="E193" s="1831"/>
      <c r="F193" s="1832"/>
      <c r="G193" s="1832"/>
      <c r="H193" s="1832"/>
      <c r="I193" s="1832"/>
      <c r="J193" s="1832"/>
      <c r="K193" s="1832"/>
      <c r="L193" s="1832"/>
      <c r="M193" s="1832"/>
      <c r="N193" s="1832"/>
      <c r="O193" s="1832"/>
      <c r="P193" s="1832"/>
      <c r="Q193" s="1832"/>
      <c r="R193" s="1832"/>
      <c r="S193" s="1832"/>
      <c r="T193" s="1832"/>
      <c r="U193" s="1832"/>
      <c r="V193" s="1832"/>
      <c r="W193" s="1832"/>
      <c r="X193" s="1832"/>
      <c r="Y193" s="1832"/>
      <c r="Z193" s="1832"/>
      <c r="AA193" s="1831"/>
      <c r="AB193" s="1831"/>
      <c r="AC193" s="1831"/>
      <c r="AD193" s="1831"/>
      <c r="AE193" s="1831"/>
      <c r="AF193" s="1831"/>
      <c r="AG193" s="1832"/>
    </row>
    <row r="194" spans="1:33">
      <c r="A194" s="1833"/>
      <c r="B194" s="1833"/>
      <c r="C194" s="1831"/>
      <c r="D194" s="1831"/>
      <c r="E194" s="1831"/>
      <c r="F194" s="1832"/>
      <c r="G194" s="1832"/>
      <c r="H194" s="1832"/>
      <c r="I194" s="1832"/>
      <c r="J194" s="1832"/>
      <c r="K194" s="1832"/>
      <c r="L194" s="1832"/>
      <c r="M194" s="1832"/>
      <c r="N194" s="1832"/>
      <c r="O194" s="1832"/>
      <c r="P194" s="1832"/>
      <c r="Q194" s="1832"/>
      <c r="R194" s="1832"/>
      <c r="S194" s="1832"/>
      <c r="T194" s="1832"/>
      <c r="U194" s="1832"/>
      <c r="V194" s="1832"/>
      <c r="W194" s="1832"/>
      <c r="X194" s="1832"/>
      <c r="Y194" s="1832"/>
      <c r="Z194" s="1832"/>
      <c r="AA194" s="1831"/>
      <c r="AB194" s="1831"/>
      <c r="AC194" s="1831"/>
      <c r="AD194" s="1831"/>
      <c r="AE194" s="1831"/>
      <c r="AF194" s="1831"/>
      <c r="AG194" s="1832"/>
    </row>
    <row r="195" spans="1:33">
      <c r="A195" s="1833"/>
      <c r="B195" s="1833"/>
      <c r="C195" s="1831"/>
      <c r="D195" s="1831"/>
      <c r="E195" s="1831"/>
      <c r="F195" s="1832"/>
      <c r="G195" s="1832"/>
      <c r="H195" s="1832"/>
      <c r="I195" s="1832"/>
      <c r="J195" s="1832"/>
      <c r="K195" s="1832"/>
      <c r="L195" s="1832"/>
      <c r="M195" s="1832"/>
      <c r="N195" s="1832"/>
      <c r="O195" s="1832"/>
      <c r="P195" s="1832"/>
      <c r="Q195" s="1832"/>
      <c r="R195" s="1832"/>
      <c r="S195" s="1832"/>
      <c r="T195" s="1832"/>
      <c r="U195" s="1832"/>
      <c r="V195" s="1832"/>
      <c r="W195" s="1832"/>
      <c r="X195" s="1832"/>
      <c r="Y195" s="1832"/>
      <c r="Z195" s="1832"/>
      <c r="AA195" s="1831"/>
      <c r="AB195" s="1831"/>
      <c r="AC195" s="1831"/>
      <c r="AD195" s="1831"/>
      <c r="AE195" s="1831"/>
      <c r="AF195" s="1831"/>
      <c r="AG195" s="1832"/>
    </row>
    <row r="196" spans="1:33">
      <c r="A196" s="1833"/>
      <c r="B196" s="1833"/>
      <c r="C196" s="1831"/>
      <c r="D196" s="1831"/>
      <c r="E196" s="1831"/>
      <c r="F196" s="1832"/>
      <c r="G196" s="1832"/>
      <c r="H196" s="1832"/>
      <c r="I196" s="1832"/>
      <c r="J196" s="1832"/>
      <c r="K196" s="1832"/>
      <c r="L196" s="1832"/>
      <c r="M196" s="1832"/>
      <c r="N196" s="1832"/>
      <c r="O196" s="1832"/>
      <c r="P196" s="1832"/>
      <c r="Q196" s="1832"/>
      <c r="R196" s="1832"/>
      <c r="S196" s="1832"/>
      <c r="T196" s="1832"/>
      <c r="U196" s="1832"/>
      <c r="V196" s="1832"/>
      <c r="W196" s="1832"/>
      <c r="X196" s="1832"/>
      <c r="Y196" s="1832"/>
      <c r="Z196" s="1832"/>
      <c r="AA196" s="1831"/>
      <c r="AB196" s="1831"/>
      <c r="AC196" s="1831"/>
      <c r="AD196" s="1831"/>
      <c r="AE196" s="1831"/>
      <c r="AF196" s="1831"/>
      <c r="AG196" s="1832"/>
    </row>
    <row r="197" spans="1:33">
      <c r="A197" s="1833"/>
      <c r="B197" s="1833"/>
      <c r="C197" s="1831"/>
      <c r="D197" s="1831"/>
      <c r="E197" s="1831"/>
      <c r="F197" s="1832"/>
      <c r="G197" s="1832"/>
      <c r="H197" s="1832"/>
      <c r="I197" s="1832"/>
      <c r="J197" s="1832"/>
      <c r="K197" s="1832"/>
      <c r="L197" s="1832"/>
      <c r="M197" s="1832"/>
      <c r="N197" s="1832"/>
      <c r="O197" s="1832"/>
      <c r="P197" s="1832"/>
      <c r="Q197" s="1832"/>
      <c r="R197" s="1832"/>
      <c r="S197" s="1832"/>
      <c r="T197" s="1832"/>
      <c r="U197" s="1832"/>
      <c r="V197" s="1832"/>
      <c r="W197" s="1832"/>
      <c r="X197" s="1832"/>
      <c r="Y197" s="1832"/>
      <c r="Z197" s="1832"/>
      <c r="AA197" s="1831"/>
      <c r="AB197" s="1831"/>
      <c r="AC197" s="1831"/>
      <c r="AD197" s="1831"/>
      <c r="AE197" s="1831"/>
      <c r="AF197" s="1831"/>
      <c r="AG197" s="1832"/>
    </row>
    <row r="198" spans="1:33">
      <c r="A198" s="1833"/>
      <c r="B198" s="1833"/>
      <c r="C198" s="1831"/>
      <c r="D198" s="1831"/>
      <c r="E198" s="1831"/>
      <c r="F198" s="1832"/>
      <c r="G198" s="1832"/>
      <c r="H198" s="1832"/>
      <c r="I198" s="1832"/>
      <c r="J198" s="1832"/>
      <c r="K198" s="1832"/>
      <c r="L198" s="1832"/>
      <c r="M198" s="1832"/>
      <c r="N198" s="1832"/>
      <c r="O198" s="1832"/>
      <c r="P198" s="1832"/>
      <c r="Q198" s="1832"/>
      <c r="R198" s="1832"/>
      <c r="S198" s="1832"/>
      <c r="T198" s="1832"/>
      <c r="U198" s="1832"/>
      <c r="V198" s="1832"/>
      <c r="W198" s="1832"/>
      <c r="X198" s="1832"/>
      <c r="Y198" s="1832"/>
      <c r="Z198" s="1832"/>
      <c r="AA198" s="1831"/>
      <c r="AB198" s="1831"/>
      <c r="AC198" s="1831"/>
      <c r="AD198" s="1831"/>
      <c r="AE198" s="1831"/>
      <c r="AF198" s="1831"/>
      <c r="AG198" s="1832"/>
    </row>
    <row r="199" spans="1:33">
      <c r="A199" s="1833"/>
      <c r="B199" s="1833"/>
      <c r="C199" s="1831"/>
      <c r="D199" s="1831"/>
      <c r="E199" s="1831"/>
      <c r="F199" s="1832"/>
      <c r="G199" s="1832"/>
      <c r="H199" s="1832"/>
      <c r="I199" s="1832"/>
      <c r="J199" s="1832"/>
      <c r="K199" s="1832"/>
      <c r="L199" s="1832"/>
      <c r="M199" s="1832"/>
      <c r="N199" s="1832"/>
      <c r="O199" s="1832"/>
      <c r="P199" s="1832"/>
      <c r="Q199" s="1832"/>
      <c r="R199" s="1832"/>
      <c r="S199" s="1832"/>
      <c r="T199" s="1832"/>
      <c r="U199" s="1832"/>
      <c r="V199" s="1832"/>
      <c r="W199" s="1832"/>
      <c r="X199" s="1832"/>
      <c r="Y199" s="1832"/>
      <c r="Z199" s="1832"/>
      <c r="AA199" s="1831"/>
      <c r="AB199" s="1831"/>
      <c r="AC199" s="1831"/>
      <c r="AD199" s="1831"/>
      <c r="AE199" s="1831"/>
      <c r="AF199" s="1831"/>
      <c r="AG199" s="1832"/>
    </row>
    <row r="200" spans="1:33">
      <c r="A200" s="1833"/>
      <c r="B200" s="1833"/>
      <c r="C200" s="1831"/>
      <c r="D200" s="1831"/>
      <c r="E200" s="1831"/>
      <c r="F200" s="1832"/>
      <c r="G200" s="1832"/>
      <c r="H200" s="1832"/>
      <c r="I200" s="1832"/>
      <c r="J200" s="1832"/>
      <c r="K200" s="1832"/>
      <c r="L200" s="1832"/>
      <c r="M200" s="1832"/>
      <c r="N200" s="1832"/>
      <c r="O200" s="1832"/>
      <c r="P200" s="1832"/>
      <c r="Q200" s="1832"/>
      <c r="R200" s="1832"/>
      <c r="S200" s="1832"/>
      <c r="T200" s="1832"/>
      <c r="U200" s="1832"/>
      <c r="V200" s="1832"/>
      <c r="W200" s="1832"/>
      <c r="X200" s="1832"/>
      <c r="Y200" s="1832"/>
      <c r="Z200" s="1832"/>
      <c r="AA200" s="1831"/>
      <c r="AB200" s="1831"/>
      <c r="AC200" s="1831"/>
      <c r="AD200" s="1831"/>
      <c r="AE200" s="1831"/>
      <c r="AF200" s="1831"/>
      <c r="AG200" s="1832"/>
    </row>
    <row r="201" spans="1:33">
      <c r="A201" s="1833"/>
      <c r="B201" s="1833"/>
      <c r="C201" s="1831"/>
      <c r="D201" s="1831"/>
      <c r="E201" s="1831"/>
      <c r="F201" s="1832"/>
      <c r="G201" s="1832"/>
      <c r="H201" s="1832"/>
      <c r="I201" s="1832"/>
      <c r="J201" s="1832"/>
      <c r="K201" s="1832"/>
      <c r="L201" s="1832"/>
      <c r="M201" s="1832"/>
      <c r="N201" s="1832"/>
      <c r="O201" s="1832"/>
      <c r="P201" s="1832"/>
      <c r="Q201" s="1832"/>
      <c r="R201" s="1832"/>
      <c r="S201" s="1832"/>
      <c r="T201" s="1832"/>
      <c r="U201" s="1832"/>
      <c r="V201" s="1832"/>
      <c r="W201" s="1832"/>
      <c r="X201" s="1832"/>
      <c r="Y201" s="1832"/>
      <c r="Z201" s="1832"/>
      <c r="AA201" s="1831"/>
      <c r="AB201" s="1831"/>
      <c r="AC201" s="1831"/>
      <c r="AD201" s="1831"/>
      <c r="AE201" s="1831"/>
      <c r="AF201" s="1831"/>
      <c r="AG201" s="1832"/>
    </row>
    <row r="202" spans="1:33">
      <c r="A202" s="1833"/>
      <c r="B202" s="1833"/>
      <c r="C202" s="1831"/>
      <c r="D202" s="1831"/>
      <c r="E202" s="1831"/>
      <c r="F202" s="1832"/>
      <c r="G202" s="1832"/>
      <c r="H202" s="1832"/>
      <c r="I202" s="1832"/>
      <c r="J202" s="1832"/>
      <c r="K202" s="1832"/>
      <c r="L202" s="1832"/>
      <c r="M202" s="1832"/>
      <c r="N202" s="1832"/>
      <c r="O202" s="1832"/>
      <c r="P202" s="1832"/>
      <c r="Q202" s="1832"/>
      <c r="R202" s="1832"/>
      <c r="S202" s="1832"/>
      <c r="T202" s="1832"/>
      <c r="U202" s="1832"/>
      <c r="V202" s="1832"/>
      <c r="W202" s="1832"/>
      <c r="X202" s="1832"/>
      <c r="Y202" s="1832"/>
      <c r="Z202" s="1832"/>
      <c r="AA202" s="1831"/>
      <c r="AB202" s="1831"/>
      <c r="AC202" s="1831"/>
      <c r="AD202" s="1831"/>
      <c r="AE202" s="1831"/>
      <c r="AF202" s="1831"/>
      <c r="AG202" s="1832"/>
    </row>
    <row r="203" spans="1:33">
      <c r="A203" s="1833"/>
      <c r="B203" s="1833"/>
      <c r="C203" s="1831"/>
      <c r="D203" s="1831"/>
      <c r="E203" s="1831"/>
      <c r="F203" s="1832"/>
      <c r="G203" s="1832"/>
      <c r="H203" s="1832"/>
      <c r="I203" s="1832"/>
      <c r="J203" s="1832"/>
      <c r="K203" s="1832"/>
      <c r="L203" s="1832"/>
      <c r="M203" s="1832"/>
      <c r="N203" s="1832"/>
      <c r="O203" s="1832"/>
      <c r="P203" s="1832"/>
      <c r="Q203" s="1832"/>
      <c r="R203" s="1832"/>
      <c r="S203" s="1832"/>
      <c r="T203" s="1832"/>
      <c r="U203" s="1832"/>
      <c r="V203" s="1832"/>
      <c r="W203" s="1832"/>
      <c r="X203" s="1832"/>
      <c r="Y203" s="1832"/>
      <c r="Z203" s="1832"/>
      <c r="AA203" s="1831"/>
      <c r="AB203" s="1831"/>
      <c r="AC203" s="1831"/>
      <c r="AD203" s="1831"/>
      <c r="AE203" s="1831"/>
      <c r="AF203" s="1831"/>
      <c r="AG203" s="1832"/>
    </row>
    <row r="204" spans="1:33">
      <c r="A204" s="1833"/>
      <c r="B204" s="1833"/>
      <c r="C204" s="1831"/>
      <c r="D204" s="1831"/>
      <c r="E204" s="1831"/>
      <c r="F204" s="1832"/>
      <c r="G204" s="1832"/>
      <c r="H204" s="1832"/>
      <c r="I204" s="1832"/>
      <c r="J204" s="1832"/>
      <c r="K204" s="1832"/>
      <c r="L204" s="1832"/>
      <c r="M204" s="1832"/>
      <c r="N204" s="1832"/>
      <c r="O204" s="1832"/>
      <c r="P204" s="1832"/>
      <c r="Q204" s="1832"/>
      <c r="R204" s="1832"/>
      <c r="S204" s="1832"/>
      <c r="T204" s="1832"/>
      <c r="U204" s="1832"/>
      <c r="V204" s="1832"/>
      <c r="W204" s="1832"/>
      <c r="X204" s="1832"/>
      <c r="Y204" s="1832"/>
      <c r="Z204" s="1832"/>
      <c r="AA204" s="1831"/>
      <c r="AB204" s="1831"/>
      <c r="AC204" s="1831"/>
      <c r="AD204" s="1831"/>
      <c r="AE204" s="1831"/>
      <c r="AF204" s="1831"/>
      <c r="AG204" s="1832"/>
    </row>
    <row r="205" spans="1:33">
      <c r="A205" s="1833"/>
      <c r="B205" s="1833"/>
      <c r="C205" s="1831"/>
      <c r="D205" s="1831"/>
      <c r="E205" s="1831"/>
      <c r="F205" s="1832"/>
      <c r="G205" s="1832"/>
      <c r="H205" s="1832"/>
      <c r="I205" s="1832"/>
      <c r="J205" s="1832"/>
      <c r="K205" s="1832"/>
      <c r="L205" s="1832"/>
      <c r="M205" s="1832"/>
      <c r="N205" s="1832"/>
      <c r="O205" s="1832"/>
      <c r="P205" s="1832"/>
      <c r="Q205" s="1832"/>
      <c r="R205" s="1832"/>
      <c r="S205" s="1832"/>
      <c r="T205" s="1832"/>
      <c r="U205" s="1832"/>
      <c r="V205" s="1832"/>
      <c r="W205" s="1832"/>
      <c r="X205" s="1832"/>
      <c r="Y205" s="1832"/>
      <c r="Z205" s="1832"/>
      <c r="AA205" s="1831"/>
      <c r="AB205" s="1831"/>
      <c r="AC205" s="1831"/>
      <c r="AD205" s="1831"/>
      <c r="AE205" s="1831"/>
      <c r="AF205" s="1831"/>
      <c r="AG205" s="1832"/>
    </row>
    <row r="206" spans="1:33">
      <c r="A206" s="1833"/>
      <c r="B206" s="1833"/>
      <c r="C206" s="1831"/>
      <c r="D206" s="1831"/>
      <c r="E206" s="1831"/>
      <c r="F206" s="1832"/>
      <c r="G206" s="1832"/>
      <c r="H206" s="1832"/>
      <c r="I206" s="1832"/>
      <c r="J206" s="1832"/>
      <c r="K206" s="1832"/>
      <c r="L206" s="1832"/>
      <c r="M206" s="1832"/>
      <c r="N206" s="1832"/>
      <c r="O206" s="1832"/>
      <c r="P206" s="1832"/>
      <c r="Q206" s="1832"/>
      <c r="R206" s="1832"/>
      <c r="S206" s="1832"/>
      <c r="T206" s="1832"/>
      <c r="U206" s="1832"/>
      <c r="V206" s="1832"/>
      <c r="W206" s="1832"/>
      <c r="X206" s="1832"/>
      <c r="Y206" s="1832"/>
      <c r="Z206" s="1832"/>
      <c r="AA206" s="1831"/>
      <c r="AB206" s="1831"/>
      <c r="AC206" s="1831"/>
      <c r="AD206" s="1831"/>
      <c r="AE206" s="1831"/>
      <c r="AF206" s="1831"/>
      <c r="AG206" s="1832"/>
    </row>
    <row r="207" spans="1:33">
      <c r="A207" s="1833"/>
      <c r="B207" s="1833"/>
      <c r="C207" s="1831"/>
      <c r="D207" s="1831"/>
      <c r="E207" s="1831"/>
      <c r="F207" s="1832"/>
      <c r="G207" s="1832"/>
      <c r="H207" s="1832"/>
      <c r="I207" s="1832"/>
      <c r="J207" s="1832"/>
      <c r="K207" s="1832"/>
      <c r="L207" s="1832"/>
      <c r="M207" s="1832"/>
      <c r="N207" s="1832"/>
      <c r="O207" s="1832"/>
      <c r="P207" s="1832"/>
      <c r="Q207" s="1832"/>
      <c r="R207" s="1832"/>
      <c r="S207" s="1832"/>
      <c r="T207" s="1832"/>
      <c r="U207" s="1832"/>
      <c r="V207" s="1832"/>
      <c r="W207" s="1832"/>
      <c r="X207" s="1832"/>
      <c r="Y207" s="1832"/>
      <c r="Z207" s="1832"/>
      <c r="AA207" s="1831"/>
      <c r="AB207" s="1831"/>
      <c r="AC207" s="1831"/>
      <c r="AD207" s="1831"/>
      <c r="AE207" s="1831"/>
      <c r="AF207" s="1831"/>
      <c r="AG207" s="1832"/>
    </row>
    <row r="208" spans="1:33">
      <c r="A208" s="1833"/>
      <c r="B208" s="1833"/>
      <c r="C208" s="1831"/>
      <c r="D208" s="1831"/>
      <c r="E208" s="1831"/>
      <c r="F208" s="1832"/>
      <c r="G208" s="1832"/>
      <c r="H208" s="1832"/>
      <c r="I208" s="1832"/>
      <c r="J208" s="1832"/>
      <c r="K208" s="1832"/>
      <c r="L208" s="1832"/>
      <c r="M208" s="1832"/>
      <c r="N208" s="1832"/>
      <c r="O208" s="1832"/>
      <c r="P208" s="1832"/>
      <c r="Q208" s="1832"/>
      <c r="R208" s="1832"/>
      <c r="S208" s="1832"/>
      <c r="T208" s="1832"/>
      <c r="U208" s="1832"/>
      <c r="V208" s="1832"/>
      <c r="W208" s="1832"/>
      <c r="X208" s="1832"/>
      <c r="Y208" s="1832"/>
      <c r="Z208" s="1832"/>
      <c r="AA208" s="1831"/>
      <c r="AB208" s="1831"/>
      <c r="AC208" s="1831"/>
      <c r="AD208" s="1831"/>
      <c r="AE208" s="1831"/>
      <c r="AF208" s="1831"/>
      <c r="AG208" s="1832"/>
    </row>
    <row r="209" spans="1:33">
      <c r="A209" s="1833"/>
      <c r="B209" s="1833"/>
      <c r="C209" s="1831"/>
      <c r="D209" s="1831"/>
      <c r="E209" s="1831"/>
      <c r="F209" s="1832"/>
      <c r="G209" s="1832"/>
      <c r="H209" s="1832"/>
      <c r="I209" s="1832"/>
      <c r="J209" s="1832"/>
      <c r="K209" s="1832"/>
      <c r="L209" s="1832"/>
      <c r="M209" s="1832"/>
      <c r="N209" s="1832"/>
      <c r="O209" s="1832"/>
      <c r="P209" s="1832"/>
      <c r="Q209" s="1832"/>
      <c r="R209" s="1832"/>
      <c r="S209" s="1832"/>
      <c r="T209" s="1832"/>
      <c r="U209" s="1832"/>
      <c r="V209" s="1832"/>
      <c r="W209" s="1832"/>
      <c r="X209" s="1832"/>
      <c r="Y209" s="1832"/>
      <c r="Z209" s="1832"/>
      <c r="AA209" s="1831"/>
      <c r="AB209" s="1831"/>
      <c r="AC209" s="1831"/>
      <c r="AD209" s="1831"/>
      <c r="AE209" s="1831"/>
      <c r="AF209" s="1831"/>
      <c r="AG209" s="1832"/>
    </row>
    <row r="210" spans="1:33">
      <c r="A210" s="1833"/>
      <c r="B210" s="1833"/>
      <c r="C210" s="1831"/>
      <c r="D210" s="1831"/>
      <c r="E210" s="1831"/>
      <c r="F210" s="1832"/>
      <c r="G210" s="1832"/>
      <c r="H210" s="1832"/>
      <c r="I210" s="1832"/>
      <c r="J210" s="1832"/>
      <c r="K210" s="1832"/>
      <c r="L210" s="1832"/>
      <c r="M210" s="1832"/>
      <c r="N210" s="1832"/>
      <c r="O210" s="1832"/>
      <c r="P210" s="1832"/>
      <c r="Q210" s="1832"/>
      <c r="R210" s="1832"/>
      <c r="S210" s="1832"/>
      <c r="T210" s="1832"/>
      <c r="U210" s="1832"/>
      <c r="V210" s="1832"/>
      <c r="W210" s="1832"/>
      <c r="X210" s="1832"/>
      <c r="Y210" s="1832"/>
      <c r="Z210" s="1832"/>
      <c r="AA210" s="1831"/>
      <c r="AB210" s="1831"/>
      <c r="AC210" s="1831"/>
      <c r="AD210" s="1831"/>
      <c r="AE210" s="1831"/>
      <c r="AF210" s="1831"/>
      <c r="AG210" s="1832"/>
    </row>
    <row r="211" spans="1:33">
      <c r="A211" s="1833"/>
      <c r="B211" s="1833"/>
      <c r="C211" s="1831"/>
      <c r="D211" s="1831"/>
      <c r="E211" s="1831"/>
      <c r="F211" s="1832"/>
      <c r="G211" s="1832"/>
      <c r="H211" s="1832"/>
      <c r="I211" s="1832"/>
      <c r="J211" s="1832"/>
      <c r="K211" s="1832"/>
      <c r="L211" s="1832"/>
      <c r="M211" s="1832"/>
      <c r="N211" s="1832"/>
      <c r="O211" s="1832"/>
      <c r="P211" s="1832"/>
      <c r="Q211" s="1832"/>
      <c r="R211" s="1832"/>
      <c r="S211" s="1832"/>
      <c r="T211" s="1832"/>
      <c r="U211" s="1832"/>
      <c r="V211" s="1832"/>
      <c r="W211" s="1832"/>
      <c r="X211" s="1832"/>
      <c r="Y211" s="1832"/>
      <c r="Z211" s="1832"/>
      <c r="AA211" s="1831"/>
      <c r="AB211" s="1831"/>
      <c r="AC211" s="1831"/>
      <c r="AD211" s="1831"/>
      <c r="AE211" s="1831"/>
      <c r="AF211" s="1831"/>
      <c r="AG211" s="1832"/>
    </row>
    <row r="212" spans="1:33">
      <c r="A212" s="1833"/>
      <c r="B212" s="1833"/>
      <c r="C212" s="1831"/>
      <c r="D212" s="1831"/>
      <c r="E212" s="1831"/>
      <c r="F212" s="1832"/>
      <c r="G212" s="1832"/>
      <c r="H212" s="1832"/>
      <c r="I212" s="1832"/>
      <c r="J212" s="1832"/>
      <c r="K212" s="1832"/>
      <c r="L212" s="1832"/>
      <c r="M212" s="1832"/>
      <c r="N212" s="1832"/>
      <c r="O212" s="1832"/>
      <c r="P212" s="1832"/>
      <c r="Q212" s="1832"/>
      <c r="R212" s="1832"/>
      <c r="S212" s="1832"/>
      <c r="T212" s="1832"/>
      <c r="U212" s="1832"/>
      <c r="V212" s="1832"/>
      <c r="W212" s="1832"/>
      <c r="X212" s="1832"/>
      <c r="Y212" s="1832"/>
      <c r="Z212" s="1832"/>
      <c r="AA212" s="1831"/>
      <c r="AB212" s="1831"/>
      <c r="AC212" s="1831"/>
      <c r="AD212" s="1831"/>
      <c r="AE212" s="1831"/>
      <c r="AF212" s="1831"/>
      <c r="AG212" s="1832"/>
    </row>
    <row r="213" spans="1:33">
      <c r="A213" s="1833"/>
      <c r="B213" s="1833"/>
      <c r="C213" s="1831"/>
      <c r="D213" s="1831"/>
      <c r="E213" s="1831"/>
      <c r="F213" s="1832"/>
      <c r="G213" s="1832"/>
      <c r="H213" s="1832"/>
      <c r="I213" s="1832"/>
      <c r="J213" s="1832"/>
      <c r="K213" s="1832"/>
      <c r="L213" s="1832"/>
      <c r="M213" s="1832"/>
      <c r="N213" s="1832"/>
      <c r="O213" s="1832"/>
      <c r="P213" s="1832"/>
      <c r="Q213" s="1832"/>
      <c r="R213" s="1832"/>
      <c r="S213" s="1832"/>
      <c r="T213" s="1832"/>
      <c r="U213" s="1832"/>
      <c r="V213" s="1832"/>
      <c r="W213" s="1832"/>
      <c r="X213" s="1832"/>
      <c r="Y213" s="1832"/>
      <c r="Z213" s="1832"/>
      <c r="AA213" s="1831"/>
      <c r="AB213" s="1831"/>
      <c r="AC213" s="1831"/>
      <c r="AD213" s="1831"/>
      <c r="AE213" s="1831"/>
      <c r="AF213" s="1831"/>
      <c r="AG213" s="1832"/>
    </row>
    <row r="214" spans="1:33">
      <c r="A214" s="1833"/>
      <c r="B214" s="1833"/>
      <c r="C214" s="1831"/>
      <c r="D214" s="1831"/>
      <c r="E214" s="1831"/>
      <c r="F214" s="1832"/>
      <c r="G214" s="1832"/>
      <c r="H214" s="1832"/>
      <c r="I214" s="1832"/>
      <c r="J214" s="1832"/>
      <c r="K214" s="1832"/>
      <c r="L214" s="1832"/>
      <c r="M214" s="1832"/>
      <c r="N214" s="1832"/>
      <c r="O214" s="1832"/>
      <c r="P214" s="1832"/>
      <c r="Q214" s="1832"/>
      <c r="R214" s="1832"/>
      <c r="S214" s="1832"/>
      <c r="T214" s="1832"/>
      <c r="U214" s="1832"/>
      <c r="V214" s="1832"/>
      <c r="W214" s="1832"/>
      <c r="X214" s="1832"/>
      <c r="Y214" s="1832"/>
      <c r="Z214" s="1832"/>
      <c r="AA214" s="1831"/>
      <c r="AB214" s="1831"/>
      <c r="AC214" s="1831"/>
      <c r="AD214" s="1831"/>
      <c r="AE214" s="1831"/>
      <c r="AF214" s="1831"/>
      <c r="AG214" s="1832"/>
    </row>
    <row r="215" spans="1:33">
      <c r="A215" s="1833"/>
      <c r="B215" s="1833"/>
      <c r="C215" s="1831"/>
      <c r="D215" s="1831"/>
      <c r="E215" s="1831"/>
      <c r="F215" s="1832"/>
      <c r="G215" s="1832"/>
      <c r="H215" s="1832"/>
      <c r="I215" s="1832"/>
      <c r="J215" s="1832"/>
      <c r="K215" s="1832"/>
      <c r="L215" s="1832"/>
      <c r="M215" s="1832"/>
      <c r="N215" s="1832"/>
      <c r="O215" s="1832"/>
      <c r="P215" s="1832"/>
      <c r="Q215" s="1832"/>
      <c r="R215" s="1832"/>
      <c r="S215" s="1832"/>
      <c r="T215" s="1832"/>
      <c r="U215" s="1832"/>
      <c r="V215" s="1832"/>
      <c r="W215" s="1832"/>
      <c r="X215" s="1832"/>
      <c r="Y215" s="1832"/>
      <c r="Z215" s="1832"/>
      <c r="AA215" s="1831"/>
      <c r="AB215" s="1831"/>
      <c r="AC215" s="1831"/>
      <c r="AD215" s="1831"/>
      <c r="AE215" s="1831"/>
      <c r="AF215" s="1831"/>
      <c r="AG215" s="1832"/>
    </row>
    <row r="216" spans="1:33">
      <c r="A216" s="1833"/>
      <c r="B216" s="1833"/>
      <c r="C216" s="1831"/>
      <c r="D216" s="1831"/>
      <c r="E216" s="1831"/>
      <c r="F216" s="1832"/>
      <c r="G216" s="1832"/>
      <c r="H216" s="1832"/>
      <c r="I216" s="1832"/>
      <c r="J216" s="1832"/>
      <c r="K216" s="1832"/>
      <c r="L216" s="1832"/>
      <c r="M216" s="1832"/>
      <c r="N216" s="1832"/>
      <c r="O216" s="1832"/>
      <c r="P216" s="1832"/>
      <c r="Q216" s="1832"/>
      <c r="R216" s="1832"/>
      <c r="S216" s="1832"/>
      <c r="T216" s="1832"/>
      <c r="U216" s="1832"/>
      <c r="V216" s="1832"/>
      <c r="W216" s="1832"/>
      <c r="X216" s="1832"/>
      <c r="Y216" s="1832"/>
      <c r="Z216" s="1832"/>
      <c r="AA216" s="1831"/>
      <c r="AB216" s="1831"/>
      <c r="AC216" s="1831"/>
      <c r="AD216" s="1831"/>
      <c r="AE216" s="1831"/>
      <c r="AF216" s="1831"/>
      <c r="AG216" s="1832"/>
    </row>
    <row r="217" spans="1:33">
      <c r="A217" s="1833"/>
      <c r="B217" s="1833"/>
      <c r="C217" s="1831"/>
      <c r="D217" s="1831"/>
      <c r="E217" s="1831"/>
      <c r="F217" s="1832"/>
      <c r="G217" s="1832"/>
      <c r="H217" s="1832"/>
      <c r="I217" s="1832"/>
      <c r="J217" s="1832"/>
      <c r="K217" s="1832"/>
      <c r="L217" s="1832"/>
      <c r="M217" s="1832"/>
      <c r="N217" s="1832"/>
      <c r="O217" s="1832"/>
      <c r="P217" s="1832"/>
      <c r="Q217" s="1832"/>
      <c r="R217" s="1832"/>
      <c r="S217" s="1832"/>
      <c r="T217" s="1832"/>
      <c r="U217" s="1832"/>
      <c r="V217" s="1832"/>
      <c r="W217" s="1832"/>
      <c r="X217" s="1832"/>
      <c r="Y217" s="1832"/>
      <c r="Z217" s="1832"/>
      <c r="AA217" s="1831"/>
      <c r="AB217" s="1831"/>
      <c r="AC217" s="1831"/>
      <c r="AD217" s="1831"/>
      <c r="AE217" s="1831"/>
      <c r="AF217" s="1831"/>
      <c r="AG217" s="1832"/>
    </row>
    <row r="218" spans="1:33">
      <c r="A218" s="1833"/>
      <c r="B218" s="1833"/>
      <c r="C218" s="1831"/>
      <c r="D218" s="1831"/>
      <c r="E218" s="1831"/>
      <c r="F218" s="1832"/>
      <c r="G218" s="1832"/>
      <c r="H218" s="1832"/>
      <c r="I218" s="1832"/>
      <c r="J218" s="1832"/>
      <c r="K218" s="1832"/>
      <c r="L218" s="1832"/>
      <c r="M218" s="1832"/>
      <c r="N218" s="1832"/>
      <c r="O218" s="1832"/>
      <c r="P218" s="1832"/>
      <c r="Q218" s="1832"/>
      <c r="R218" s="1832"/>
      <c r="S218" s="1832"/>
      <c r="T218" s="1832"/>
      <c r="U218" s="1832"/>
      <c r="V218" s="1832"/>
      <c r="W218" s="1832"/>
      <c r="X218" s="1832"/>
      <c r="Y218" s="1832"/>
      <c r="Z218" s="1832"/>
      <c r="AA218" s="1831"/>
      <c r="AB218" s="1831"/>
      <c r="AC218" s="1831"/>
      <c r="AD218" s="1831"/>
      <c r="AE218" s="1831"/>
      <c r="AF218" s="1831"/>
      <c r="AG218" s="1832"/>
    </row>
    <row r="219" spans="1:33">
      <c r="A219" s="1833"/>
      <c r="B219" s="1833"/>
      <c r="C219" s="1831"/>
      <c r="D219" s="1831"/>
      <c r="E219" s="1831"/>
      <c r="F219" s="1832"/>
      <c r="G219" s="1832"/>
      <c r="H219" s="1832"/>
      <c r="I219" s="1832"/>
      <c r="J219" s="1832"/>
      <c r="K219" s="1832"/>
      <c r="L219" s="1832"/>
      <c r="M219" s="1832"/>
      <c r="N219" s="1832"/>
      <c r="O219" s="1832"/>
      <c r="P219" s="1832"/>
      <c r="Q219" s="1832"/>
      <c r="R219" s="1832"/>
      <c r="S219" s="1832"/>
      <c r="T219" s="1832"/>
      <c r="U219" s="1832"/>
      <c r="V219" s="1832"/>
      <c r="W219" s="1832"/>
      <c r="X219" s="1832"/>
      <c r="Y219" s="1832"/>
      <c r="Z219" s="1832"/>
      <c r="AA219" s="1831"/>
      <c r="AB219" s="1831"/>
      <c r="AC219" s="1831"/>
      <c r="AD219" s="1831"/>
      <c r="AE219" s="1831"/>
      <c r="AF219" s="1831"/>
      <c r="AG219" s="1832"/>
    </row>
    <row r="220" spans="1:33">
      <c r="A220" s="1833"/>
      <c r="B220" s="1833"/>
      <c r="C220" s="1831"/>
      <c r="D220" s="1831"/>
      <c r="E220" s="1831"/>
      <c r="F220" s="1832"/>
      <c r="G220" s="1832"/>
      <c r="H220" s="1832"/>
      <c r="I220" s="1832"/>
      <c r="J220" s="1832"/>
      <c r="K220" s="1832"/>
      <c r="L220" s="1832"/>
      <c r="M220" s="1832"/>
      <c r="N220" s="1832"/>
      <c r="O220" s="1832"/>
      <c r="P220" s="1832"/>
      <c r="Q220" s="1832"/>
      <c r="R220" s="1832"/>
      <c r="S220" s="1832"/>
      <c r="T220" s="1832"/>
      <c r="U220" s="1832"/>
      <c r="V220" s="1832"/>
      <c r="W220" s="1832"/>
      <c r="X220" s="1832"/>
      <c r="Y220" s="1832"/>
      <c r="Z220" s="1832"/>
      <c r="AA220" s="1831"/>
      <c r="AB220" s="1831"/>
      <c r="AC220" s="1831"/>
      <c r="AD220" s="1831"/>
      <c r="AE220" s="1831"/>
      <c r="AF220" s="1831"/>
      <c r="AG220" s="1832"/>
    </row>
    <row r="221" spans="1:33">
      <c r="A221" s="1833"/>
      <c r="B221" s="1833"/>
      <c r="C221" s="1831"/>
      <c r="D221" s="1831"/>
      <c r="E221" s="1831"/>
      <c r="F221" s="1832"/>
      <c r="G221" s="1832"/>
      <c r="H221" s="1832"/>
      <c r="I221" s="1832"/>
      <c r="J221" s="1832"/>
      <c r="K221" s="1832"/>
      <c r="L221" s="1832"/>
      <c r="M221" s="1832"/>
      <c r="N221" s="1832"/>
      <c r="O221" s="1832"/>
      <c r="P221" s="1832"/>
      <c r="Q221" s="1832"/>
      <c r="R221" s="1832"/>
      <c r="S221" s="1832"/>
      <c r="T221" s="1832"/>
      <c r="U221" s="1832"/>
      <c r="V221" s="1832"/>
      <c r="W221" s="1832"/>
      <c r="X221" s="1832"/>
      <c r="Y221" s="1832"/>
      <c r="Z221" s="1832"/>
      <c r="AA221" s="1831"/>
      <c r="AB221" s="1831"/>
      <c r="AC221" s="1831"/>
      <c r="AD221" s="1831"/>
      <c r="AE221" s="1831"/>
      <c r="AF221" s="1831"/>
      <c r="AG221" s="1832"/>
    </row>
    <row r="222" spans="1:33">
      <c r="A222" s="1833"/>
      <c r="B222" s="1833"/>
      <c r="C222" s="1831"/>
      <c r="D222" s="1831"/>
      <c r="E222" s="1831"/>
      <c r="F222" s="1832"/>
      <c r="G222" s="1832"/>
      <c r="H222" s="1832"/>
      <c r="I222" s="1832"/>
      <c r="J222" s="1832"/>
      <c r="K222" s="1832"/>
      <c r="L222" s="1832"/>
      <c r="M222" s="1832"/>
      <c r="N222" s="1832"/>
      <c r="O222" s="1832"/>
      <c r="P222" s="1832"/>
      <c r="Q222" s="1832"/>
      <c r="R222" s="1832"/>
      <c r="S222" s="1832"/>
      <c r="T222" s="1832"/>
      <c r="U222" s="1832"/>
      <c r="V222" s="1832"/>
      <c r="W222" s="1832"/>
      <c r="X222" s="1832"/>
      <c r="Y222" s="1832"/>
      <c r="Z222" s="1832"/>
      <c r="AA222" s="1831"/>
      <c r="AB222" s="1831"/>
      <c r="AC222" s="1831"/>
      <c r="AD222" s="1831"/>
      <c r="AE222" s="1831"/>
      <c r="AF222" s="1831"/>
      <c r="AG222" s="1832"/>
    </row>
    <row r="223" spans="1:33">
      <c r="A223" s="1833"/>
      <c r="B223" s="1833"/>
      <c r="C223" s="1831"/>
      <c r="D223" s="1831"/>
      <c r="E223" s="1831"/>
      <c r="F223" s="1832"/>
      <c r="G223" s="1832"/>
      <c r="H223" s="1832"/>
      <c r="I223" s="1832"/>
      <c r="J223" s="1832"/>
      <c r="K223" s="1832"/>
      <c r="L223" s="1832"/>
      <c r="M223" s="1832"/>
      <c r="N223" s="1832"/>
      <c r="O223" s="1832"/>
      <c r="P223" s="1832"/>
      <c r="Q223" s="1832"/>
      <c r="R223" s="1832"/>
      <c r="S223" s="1832"/>
      <c r="T223" s="1832"/>
      <c r="U223" s="1832"/>
      <c r="V223" s="1832"/>
      <c r="W223" s="1832"/>
      <c r="X223" s="1832"/>
      <c r="Y223" s="1832"/>
      <c r="Z223" s="1832"/>
      <c r="AA223" s="1831"/>
      <c r="AB223" s="1831"/>
      <c r="AC223" s="1831"/>
      <c r="AD223" s="1831"/>
      <c r="AE223" s="1831"/>
      <c r="AF223" s="1831"/>
      <c r="AG223" s="1832"/>
    </row>
    <row r="224" spans="1:33">
      <c r="A224" s="1833"/>
      <c r="B224" s="1833"/>
      <c r="C224" s="1831"/>
      <c r="D224" s="1831"/>
      <c r="E224" s="1831"/>
      <c r="F224" s="1832"/>
      <c r="G224" s="1832"/>
      <c r="H224" s="1832"/>
      <c r="I224" s="1832"/>
      <c r="J224" s="1832"/>
      <c r="K224" s="1832"/>
      <c r="L224" s="1832"/>
      <c r="M224" s="1832"/>
      <c r="N224" s="1832"/>
      <c r="O224" s="1832"/>
      <c r="P224" s="1832"/>
      <c r="Q224" s="1832"/>
      <c r="R224" s="1832"/>
      <c r="S224" s="1832"/>
      <c r="T224" s="1832"/>
      <c r="U224" s="1832"/>
      <c r="V224" s="1832"/>
      <c r="W224" s="1832"/>
      <c r="X224" s="1832"/>
      <c r="Y224" s="1832"/>
      <c r="Z224" s="1832"/>
      <c r="AA224" s="1831"/>
      <c r="AB224" s="1831"/>
      <c r="AC224" s="1831"/>
      <c r="AD224" s="1831"/>
      <c r="AE224" s="1831"/>
      <c r="AF224" s="1831"/>
      <c r="AG224" s="1832"/>
    </row>
    <row r="225" spans="1:33">
      <c r="A225" s="1833"/>
      <c r="B225" s="1833"/>
      <c r="C225" s="1831"/>
      <c r="D225" s="1831"/>
      <c r="E225" s="1831"/>
      <c r="F225" s="1832"/>
      <c r="G225" s="1832"/>
      <c r="H225" s="1832"/>
      <c r="I225" s="1832"/>
      <c r="J225" s="1832"/>
      <c r="K225" s="1832"/>
      <c r="L225" s="1832"/>
      <c r="M225" s="1832"/>
      <c r="N225" s="1832"/>
      <c r="O225" s="1832"/>
      <c r="P225" s="1832"/>
      <c r="Q225" s="1832"/>
      <c r="R225" s="1832"/>
      <c r="S225" s="1832"/>
      <c r="T225" s="1832"/>
      <c r="U225" s="1832"/>
      <c r="V225" s="1832"/>
      <c r="W225" s="1832"/>
      <c r="X225" s="1832"/>
      <c r="Y225" s="1832"/>
      <c r="Z225" s="1832"/>
      <c r="AA225" s="1831"/>
      <c r="AB225" s="1831"/>
      <c r="AC225" s="1831"/>
      <c r="AD225" s="1831"/>
      <c r="AE225" s="1831"/>
      <c r="AF225" s="1831"/>
      <c r="AG225" s="1832"/>
    </row>
    <row r="226" spans="1:33">
      <c r="A226" s="1833"/>
      <c r="B226" s="1833"/>
      <c r="C226" s="1831"/>
      <c r="D226" s="1831"/>
      <c r="E226" s="1831"/>
      <c r="F226" s="1832"/>
      <c r="G226" s="1832"/>
      <c r="H226" s="1832"/>
      <c r="I226" s="1832"/>
      <c r="J226" s="1832"/>
      <c r="K226" s="1832"/>
      <c r="L226" s="1832"/>
      <c r="M226" s="1832"/>
      <c r="N226" s="1832"/>
      <c r="O226" s="1832"/>
      <c r="P226" s="1832"/>
      <c r="Q226" s="1832"/>
      <c r="R226" s="1832"/>
      <c r="S226" s="1832"/>
      <c r="T226" s="1832"/>
      <c r="U226" s="1832"/>
      <c r="V226" s="1832"/>
      <c r="W226" s="1832"/>
      <c r="X226" s="1832"/>
      <c r="Y226" s="1832"/>
      <c r="Z226" s="1832"/>
      <c r="AA226" s="1831"/>
      <c r="AB226" s="1831"/>
      <c r="AC226" s="1831"/>
      <c r="AD226" s="1831"/>
      <c r="AE226" s="1831"/>
      <c r="AF226" s="1831"/>
      <c r="AG226" s="1832"/>
    </row>
    <row r="227" spans="1:33">
      <c r="A227" s="1833"/>
      <c r="B227" s="1833"/>
      <c r="C227" s="1831"/>
      <c r="D227" s="1831"/>
      <c r="E227" s="1831"/>
      <c r="F227" s="1832"/>
      <c r="G227" s="1832"/>
      <c r="H227" s="1832"/>
      <c r="I227" s="1832"/>
      <c r="J227" s="1832"/>
      <c r="K227" s="1832"/>
      <c r="L227" s="1832"/>
      <c r="M227" s="1832"/>
      <c r="N227" s="1832"/>
      <c r="O227" s="1832"/>
      <c r="P227" s="1832"/>
      <c r="Q227" s="1832"/>
      <c r="R227" s="1832"/>
      <c r="S227" s="1832"/>
      <c r="T227" s="1832"/>
      <c r="U227" s="1832"/>
      <c r="V227" s="1832"/>
      <c r="W227" s="1832"/>
      <c r="X227" s="1832"/>
      <c r="Y227" s="1832"/>
      <c r="Z227" s="1832"/>
      <c r="AA227" s="1831"/>
      <c r="AB227" s="1831"/>
      <c r="AC227" s="1831"/>
      <c r="AD227" s="1831"/>
      <c r="AE227" s="1831"/>
      <c r="AF227" s="1831"/>
      <c r="AG227" s="1832"/>
    </row>
    <row r="228" spans="1:33">
      <c r="A228" s="1833"/>
      <c r="B228" s="1833"/>
      <c r="C228" s="1831"/>
      <c r="D228" s="1831"/>
      <c r="E228" s="1831"/>
      <c r="F228" s="1832"/>
      <c r="G228" s="1832"/>
      <c r="H228" s="1832"/>
      <c r="I228" s="1832"/>
      <c r="J228" s="1832"/>
      <c r="K228" s="1832"/>
      <c r="L228" s="1832"/>
      <c r="M228" s="1832"/>
      <c r="N228" s="1832"/>
      <c r="O228" s="1832"/>
      <c r="P228" s="1832"/>
      <c r="Q228" s="1832"/>
      <c r="R228" s="1832"/>
      <c r="S228" s="1832"/>
      <c r="T228" s="1832"/>
      <c r="U228" s="1832"/>
      <c r="V228" s="1832"/>
      <c r="W228" s="1832"/>
      <c r="X228" s="1832"/>
      <c r="Y228" s="1832"/>
      <c r="Z228" s="1832"/>
      <c r="AA228" s="1831"/>
      <c r="AB228" s="1831"/>
      <c r="AC228" s="1831"/>
      <c r="AD228" s="1831"/>
      <c r="AE228" s="1831"/>
      <c r="AF228" s="1831"/>
      <c r="AG228" s="1832"/>
    </row>
    <row r="229" spans="1:33">
      <c r="A229" s="1833"/>
      <c r="B229" s="1833"/>
      <c r="C229" s="1831"/>
      <c r="D229" s="1831"/>
      <c r="E229" s="1831"/>
      <c r="F229" s="1832"/>
      <c r="G229" s="1832"/>
      <c r="H229" s="1832"/>
      <c r="I229" s="1832"/>
      <c r="J229" s="1832"/>
      <c r="K229" s="1832"/>
      <c r="L229" s="1832"/>
      <c r="M229" s="1832"/>
      <c r="N229" s="1832"/>
      <c r="O229" s="1832"/>
      <c r="P229" s="1832"/>
      <c r="Q229" s="1832"/>
      <c r="R229" s="1832"/>
      <c r="S229" s="1832"/>
      <c r="T229" s="1832"/>
      <c r="U229" s="1832"/>
      <c r="V229" s="1832"/>
      <c r="W229" s="1832"/>
      <c r="X229" s="1832"/>
      <c r="Y229" s="1832"/>
      <c r="Z229" s="1832"/>
      <c r="AA229" s="1831"/>
      <c r="AB229" s="1831"/>
      <c r="AC229" s="1831"/>
      <c r="AD229" s="1831"/>
      <c r="AE229" s="1831"/>
      <c r="AF229" s="1831"/>
      <c r="AG229" s="1832"/>
    </row>
    <row r="230" spans="1:33">
      <c r="A230" s="1833"/>
      <c r="B230" s="1833"/>
      <c r="C230" s="1831"/>
      <c r="D230" s="1831"/>
      <c r="E230" s="1831"/>
      <c r="F230" s="1832"/>
      <c r="G230" s="1832"/>
      <c r="H230" s="1832"/>
      <c r="I230" s="1832"/>
      <c r="J230" s="1832"/>
      <c r="K230" s="1832"/>
      <c r="L230" s="1832"/>
      <c r="M230" s="1832"/>
      <c r="N230" s="1832"/>
      <c r="O230" s="1832"/>
      <c r="P230" s="1832"/>
      <c r="Q230" s="1832"/>
      <c r="R230" s="1832"/>
      <c r="S230" s="1832"/>
      <c r="T230" s="1832"/>
      <c r="U230" s="1832"/>
      <c r="V230" s="1832"/>
      <c r="W230" s="1832"/>
      <c r="X230" s="1832"/>
      <c r="Y230" s="1832"/>
      <c r="Z230" s="1832"/>
      <c r="AA230" s="1831"/>
      <c r="AB230" s="1831"/>
      <c r="AC230" s="1831"/>
      <c r="AD230" s="1831"/>
      <c r="AE230" s="1831"/>
      <c r="AF230" s="1831"/>
      <c r="AG230" s="1832"/>
    </row>
    <row r="231" spans="1:33">
      <c r="A231" s="1833"/>
      <c r="B231" s="1833"/>
      <c r="C231" s="1831"/>
      <c r="D231" s="1831"/>
      <c r="E231" s="1831"/>
      <c r="F231" s="1832"/>
      <c r="G231" s="1832"/>
      <c r="H231" s="1832"/>
      <c r="I231" s="1832"/>
      <c r="J231" s="1832"/>
      <c r="K231" s="1832"/>
      <c r="L231" s="1832"/>
      <c r="M231" s="1832"/>
      <c r="N231" s="1832"/>
      <c r="O231" s="1832"/>
      <c r="P231" s="1832"/>
      <c r="Q231" s="1832"/>
      <c r="R231" s="1832"/>
      <c r="S231" s="1832"/>
      <c r="T231" s="1832"/>
      <c r="U231" s="1832"/>
      <c r="V231" s="1832"/>
      <c r="W231" s="1832"/>
      <c r="X231" s="1832"/>
      <c r="Y231" s="1832"/>
      <c r="Z231" s="1832"/>
      <c r="AA231" s="1831"/>
      <c r="AB231" s="1831"/>
      <c r="AC231" s="1831"/>
      <c r="AD231" s="1831"/>
      <c r="AE231" s="1831"/>
      <c r="AF231" s="1831"/>
      <c r="AG231" s="1832"/>
    </row>
    <row r="232" spans="1:33">
      <c r="A232" s="1833"/>
      <c r="B232" s="1833"/>
      <c r="C232" s="1831"/>
      <c r="D232" s="1831"/>
      <c r="E232" s="1831"/>
      <c r="F232" s="1832"/>
      <c r="G232" s="1832"/>
      <c r="H232" s="1832"/>
      <c r="I232" s="1832"/>
      <c r="J232" s="1832"/>
      <c r="K232" s="1832"/>
      <c r="L232" s="1832"/>
      <c r="M232" s="1832"/>
      <c r="N232" s="1832"/>
      <c r="O232" s="1832"/>
      <c r="P232" s="1832"/>
      <c r="Q232" s="1832"/>
      <c r="R232" s="1832"/>
      <c r="S232" s="1832"/>
      <c r="T232" s="1832"/>
      <c r="U232" s="1832"/>
      <c r="V232" s="1832"/>
      <c r="W232" s="1832"/>
      <c r="X232" s="1832"/>
      <c r="Y232" s="1832"/>
      <c r="Z232" s="1832"/>
      <c r="AA232" s="1831"/>
      <c r="AB232" s="1831"/>
      <c r="AC232" s="1831"/>
      <c r="AD232" s="1831"/>
      <c r="AE232" s="1831"/>
      <c r="AF232" s="1831"/>
      <c r="AG232" s="1832"/>
    </row>
    <row r="233" spans="1:33">
      <c r="A233" s="1833"/>
      <c r="B233" s="1833"/>
      <c r="C233" s="1831"/>
      <c r="D233" s="1831"/>
      <c r="E233" s="1831"/>
      <c r="F233" s="1832"/>
      <c r="G233" s="1832"/>
      <c r="H233" s="1832"/>
      <c r="I233" s="1832"/>
      <c r="J233" s="1832"/>
      <c r="K233" s="1832"/>
      <c r="L233" s="1832"/>
      <c r="M233" s="1832"/>
      <c r="N233" s="1832"/>
      <c r="O233" s="1832"/>
      <c r="P233" s="1832"/>
      <c r="Q233" s="1832"/>
      <c r="R233" s="1832"/>
      <c r="S233" s="1832"/>
      <c r="T233" s="1832"/>
      <c r="U233" s="1832"/>
      <c r="V233" s="1832"/>
      <c r="W233" s="1832"/>
      <c r="X233" s="1832"/>
      <c r="Y233" s="1832"/>
      <c r="Z233" s="1832"/>
      <c r="AA233" s="1831"/>
      <c r="AB233" s="1831"/>
      <c r="AC233" s="1831"/>
      <c r="AD233" s="1831"/>
      <c r="AE233" s="1831"/>
      <c r="AF233" s="1831"/>
      <c r="AG233" s="1832"/>
    </row>
    <row r="234" spans="1:33">
      <c r="A234" s="1833"/>
      <c r="B234" s="1833"/>
      <c r="C234" s="1831"/>
      <c r="D234" s="1831"/>
      <c r="E234" s="1831"/>
      <c r="F234" s="1832"/>
      <c r="G234" s="1832"/>
      <c r="H234" s="1832"/>
      <c r="I234" s="1832"/>
      <c r="J234" s="1832"/>
      <c r="K234" s="1832"/>
      <c r="L234" s="1832"/>
      <c r="M234" s="1832"/>
      <c r="N234" s="1832"/>
      <c r="O234" s="1832"/>
      <c r="P234" s="1832"/>
      <c r="Q234" s="1832"/>
      <c r="R234" s="1832"/>
      <c r="S234" s="1832"/>
      <c r="T234" s="1832"/>
      <c r="U234" s="1832"/>
      <c r="V234" s="1832"/>
      <c r="W234" s="1832"/>
      <c r="X234" s="1832"/>
      <c r="Y234" s="1832"/>
      <c r="Z234" s="1832"/>
      <c r="AA234" s="1831"/>
      <c r="AB234" s="1831"/>
      <c r="AC234" s="1831"/>
      <c r="AD234" s="1831"/>
      <c r="AE234" s="1831"/>
      <c r="AF234" s="1831"/>
      <c r="AG234" s="1832"/>
    </row>
    <row r="235" spans="1:33">
      <c r="A235" s="1833"/>
      <c r="B235" s="1833"/>
      <c r="C235" s="1831"/>
      <c r="D235" s="1831"/>
      <c r="E235" s="1831"/>
      <c r="F235" s="1832"/>
      <c r="G235" s="1832"/>
      <c r="H235" s="1832"/>
      <c r="I235" s="1832"/>
      <c r="J235" s="1832"/>
      <c r="K235" s="1832"/>
      <c r="L235" s="1832"/>
      <c r="M235" s="1832"/>
      <c r="N235" s="1832"/>
      <c r="O235" s="1832"/>
      <c r="P235" s="1832"/>
      <c r="Q235" s="1832"/>
      <c r="R235" s="1832"/>
      <c r="S235" s="1832"/>
      <c r="T235" s="1832"/>
      <c r="U235" s="1832"/>
      <c r="V235" s="1832"/>
      <c r="W235" s="1832"/>
      <c r="X235" s="1832"/>
      <c r="Y235" s="1832"/>
      <c r="Z235" s="1832"/>
      <c r="AA235" s="1831"/>
      <c r="AB235" s="1831"/>
      <c r="AC235" s="1831"/>
      <c r="AD235" s="1831"/>
      <c r="AE235" s="1831"/>
      <c r="AF235" s="1831"/>
      <c r="AG235" s="1832"/>
    </row>
    <row r="236" spans="1:33">
      <c r="A236" s="1833"/>
      <c r="B236" s="1833"/>
      <c r="C236" s="1831"/>
      <c r="D236" s="1831"/>
      <c r="E236" s="1831"/>
      <c r="F236" s="1832"/>
      <c r="G236" s="1832"/>
      <c r="H236" s="1832"/>
      <c r="I236" s="1832"/>
      <c r="J236" s="1832"/>
      <c r="K236" s="1832"/>
      <c r="L236" s="1832"/>
      <c r="M236" s="1832"/>
      <c r="N236" s="1832"/>
      <c r="O236" s="1832"/>
      <c r="P236" s="1832"/>
      <c r="Q236" s="1832"/>
      <c r="R236" s="1832"/>
      <c r="S236" s="1832"/>
      <c r="T236" s="1832"/>
      <c r="U236" s="1832"/>
      <c r="V236" s="1832"/>
      <c r="W236" s="1832"/>
      <c r="X236" s="1832"/>
      <c r="Y236" s="1832"/>
      <c r="Z236" s="1832"/>
      <c r="AA236" s="1831"/>
      <c r="AB236" s="1831"/>
      <c r="AC236" s="1831"/>
      <c r="AD236" s="1831"/>
      <c r="AE236" s="1831"/>
      <c r="AF236" s="1831"/>
      <c r="AG236" s="1832"/>
    </row>
    <row r="237" spans="1:33">
      <c r="A237" s="1833"/>
      <c r="B237" s="1833"/>
      <c r="C237" s="1831"/>
      <c r="D237" s="1831"/>
      <c r="E237" s="1831"/>
      <c r="F237" s="1832"/>
      <c r="G237" s="1832"/>
      <c r="H237" s="1832"/>
      <c r="I237" s="1832"/>
      <c r="J237" s="1832"/>
      <c r="K237" s="1832"/>
      <c r="L237" s="1832"/>
      <c r="M237" s="1832"/>
      <c r="N237" s="1832"/>
      <c r="O237" s="1832"/>
      <c r="P237" s="1832"/>
      <c r="Q237" s="1832"/>
      <c r="R237" s="1832"/>
      <c r="S237" s="1832"/>
      <c r="T237" s="1832"/>
      <c r="U237" s="1832"/>
      <c r="V237" s="1832"/>
      <c r="W237" s="1832"/>
      <c r="X237" s="1832"/>
      <c r="Y237" s="1832"/>
      <c r="Z237" s="1832"/>
      <c r="AA237" s="1831"/>
      <c r="AB237" s="1831"/>
      <c r="AC237" s="1831"/>
      <c r="AD237" s="1831"/>
      <c r="AE237" s="1831"/>
      <c r="AF237" s="1831"/>
      <c r="AG237" s="1832"/>
    </row>
    <row r="238" spans="1:33">
      <c r="A238" s="1833"/>
      <c r="B238" s="1833"/>
      <c r="C238" s="1831"/>
      <c r="D238" s="1831"/>
      <c r="E238" s="1831"/>
      <c r="F238" s="1832"/>
      <c r="G238" s="1832"/>
      <c r="H238" s="1832"/>
      <c r="I238" s="1832"/>
      <c r="J238" s="1832"/>
      <c r="K238" s="1832"/>
      <c r="L238" s="1832"/>
      <c r="M238" s="1832"/>
      <c r="N238" s="1832"/>
      <c r="O238" s="1832"/>
      <c r="P238" s="1832"/>
      <c r="Q238" s="1832"/>
      <c r="R238" s="1832"/>
      <c r="S238" s="1832"/>
      <c r="T238" s="1832"/>
      <c r="U238" s="1832"/>
      <c r="V238" s="1832"/>
      <c r="W238" s="1832"/>
      <c r="X238" s="1832"/>
      <c r="Y238" s="1832"/>
      <c r="Z238" s="1832"/>
      <c r="AA238" s="1831"/>
      <c r="AB238" s="1831"/>
      <c r="AC238" s="1831"/>
      <c r="AD238" s="1831"/>
      <c r="AE238" s="1831"/>
      <c r="AF238" s="1831"/>
      <c r="AG238" s="1832"/>
    </row>
    <row r="239" spans="1:33">
      <c r="A239" s="1833"/>
      <c r="B239" s="1833"/>
      <c r="C239" s="1831"/>
      <c r="D239" s="1831"/>
      <c r="E239" s="1831"/>
      <c r="F239" s="1832"/>
      <c r="G239" s="1832"/>
      <c r="H239" s="1832"/>
      <c r="I239" s="1832"/>
      <c r="J239" s="1832"/>
      <c r="K239" s="1832"/>
      <c r="L239" s="1832"/>
      <c r="M239" s="1832"/>
      <c r="N239" s="1832"/>
      <c r="O239" s="1832"/>
      <c r="P239" s="1832"/>
      <c r="Q239" s="1832"/>
      <c r="R239" s="1832"/>
      <c r="S239" s="1832"/>
      <c r="T239" s="1832"/>
      <c r="U239" s="1832"/>
      <c r="V239" s="1832"/>
      <c r="W239" s="1832"/>
      <c r="X239" s="1832"/>
      <c r="Y239" s="1832"/>
      <c r="Z239" s="1832"/>
      <c r="AA239" s="1831"/>
      <c r="AB239" s="1831"/>
      <c r="AC239" s="1831"/>
      <c r="AD239" s="1831"/>
      <c r="AE239" s="1831"/>
      <c r="AF239" s="1831"/>
      <c r="AG239" s="1832"/>
    </row>
    <row r="240" spans="1:33">
      <c r="A240" s="1833"/>
      <c r="B240" s="1833"/>
      <c r="C240" s="1831"/>
      <c r="D240" s="1831"/>
      <c r="E240" s="1831"/>
      <c r="F240" s="1832"/>
      <c r="G240" s="1832"/>
      <c r="H240" s="1832"/>
      <c r="I240" s="1832"/>
      <c r="J240" s="1832"/>
      <c r="K240" s="1832"/>
      <c r="L240" s="1832"/>
      <c r="M240" s="1832"/>
      <c r="N240" s="1832"/>
      <c r="O240" s="1832"/>
      <c r="P240" s="1832"/>
      <c r="Q240" s="1832"/>
      <c r="R240" s="1832"/>
      <c r="S240" s="1832"/>
      <c r="T240" s="1832"/>
      <c r="U240" s="1832"/>
      <c r="V240" s="1832"/>
      <c r="W240" s="1832"/>
      <c r="X240" s="1832"/>
      <c r="Y240" s="1832"/>
      <c r="Z240" s="1832"/>
      <c r="AA240" s="1831"/>
      <c r="AB240" s="1831"/>
      <c r="AC240" s="1831"/>
      <c r="AD240" s="1831"/>
      <c r="AE240" s="1831"/>
      <c r="AF240" s="1831"/>
      <c r="AG240" s="1832"/>
    </row>
    <row r="241" spans="1:33">
      <c r="A241" s="1833"/>
      <c r="B241" s="1833"/>
      <c r="C241" s="1831"/>
      <c r="D241" s="1831"/>
      <c r="E241" s="1831"/>
      <c r="F241" s="1832"/>
      <c r="G241" s="1832"/>
      <c r="H241" s="1832"/>
      <c r="I241" s="1832"/>
      <c r="J241" s="1832"/>
      <c r="K241" s="1832"/>
      <c r="L241" s="1832"/>
      <c r="M241" s="1832"/>
      <c r="N241" s="1832"/>
      <c r="O241" s="1832"/>
      <c r="P241" s="1832"/>
      <c r="Q241" s="1832"/>
      <c r="R241" s="1832"/>
      <c r="S241" s="1832"/>
      <c r="T241" s="1832"/>
      <c r="U241" s="1832"/>
      <c r="V241" s="1832"/>
      <c r="W241" s="1832"/>
      <c r="X241" s="1832"/>
      <c r="Y241" s="1832"/>
      <c r="Z241" s="1832"/>
      <c r="AA241" s="1831"/>
      <c r="AB241" s="1831"/>
      <c r="AC241" s="1831"/>
      <c r="AD241" s="1831"/>
      <c r="AE241" s="1831"/>
      <c r="AF241" s="1831"/>
      <c r="AG241" s="1832"/>
    </row>
    <row r="242" spans="1:33">
      <c r="A242" s="1833"/>
      <c r="B242" s="1833"/>
      <c r="C242" s="1831"/>
      <c r="D242" s="1831"/>
      <c r="E242" s="1831"/>
      <c r="F242" s="1832"/>
      <c r="G242" s="1832"/>
      <c r="H242" s="1832"/>
      <c r="I242" s="1832"/>
      <c r="J242" s="1832"/>
      <c r="K242" s="1832"/>
      <c r="L242" s="1832"/>
      <c r="M242" s="1832"/>
      <c r="N242" s="1832"/>
      <c r="O242" s="1832"/>
      <c r="P242" s="1832"/>
      <c r="Q242" s="1832"/>
      <c r="R242" s="1832"/>
      <c r="S242" s="1832"/>
      <c r="T242" s="1832"/>
      <c r="U242" s="1832"/>
      <c r="V242" s="1832"/>
      <c r="W242" s="1832"/>
      <c r="X242" s="1832"/>
      <c r="Y242" s="1832"/>
      <c r="Z242" s="1832"/>
      <c r="AA242" s="1831"/>
      <c r="AB242" s="1831"/>
      <c r="AC242" s="1831"/>
      <c r="AD242" s="1831"/>
      <c r="AE242" s="1831"/>
      <c r="AF242" s="1831"/>
      <c r="AG242" s="1832"/>
    </row>
    <row r="243" spans="1:33">
      <c r="A243" s="1833"/>
      <c r="B243" s="1833"/>
      <c r="C243" s="1831"/>
      <c r="D243" s="1831"/>
      <c r="E243" s="1831"/>
      <c r="F243" s="1832"/>
      <c r="G243" s="1832"/>
      <c r="H243" s="1832"/>
      <c r="I243" s="1832"/>
      <c r="J243" s="1832"/>
      <c r="K243" s="1832"/>
      <c r="L243" s="1832"/>
      <c r="M243" s="1832"/>
      <c r="N243" s="1832"/>
      <c r="O243" s="1832"/>
      <c r="P243" s="1832"/>
      <c r="Q243" s="1832"/>
      <c r="R243" s="1832"/>
      <c r="S243" s="1832"/>
      <c r="T243" s="1832"/>
      <c r="U243" s="1832"/>
      <c r="V243" s="1832"/>
      <c r="W243" s="1832"/>
      <c r="X243" s="1832"/>
      <c r="Y243" s="1832"/>
      <c r="Z243" s="1832"/>
      <c r="AA243" s="1831"/>
      <c r="AB243" s="1831"/>
      <c r="AC243" s="1831"/>
      <c r="AD243" s="1831"/>
      <c r="AE243" s="1831"/>
      <c r="AF243" s="1831"/>
      <c r="AG243" s="1832"/>
    </row>
    <row r="244" spans="1:33">
      <c r="A244" s="1833"/>
      <c r="B244" s="1833"/>
      <c r="C244" s="1831"/>
      <c r="D244" s="1831"/>
      <c r="E244" s="1831"/>
      <c r="F244" s="1832"/>
      <c r="G244" s="1832"/>
      <c r="H244" s="1832"/>
      <c r="I244" s="1832"/>
      <c r="J244" s="1832"/>
      <c r="K244" s="1832"/>
      <c r="L244" s="1832"/>
      <c r="M244" s="1832"/>
      <c r="N244" s="1832"/>
      <c r="O244" s="1832"/>
      <c r="P244" s="1832"/>
      <c r="Q244" s="1832"/>
      <c r="R244" s="1832"/>
      <c r="S244" s="1832"/>
      <c r="T244" s="1832"/>
      <c r="U244" s="1832"/>
      <c r="V244" s="1832"/>
      <c r="W244" s="1832"/>
      <c r="X244" s="1832"/>
      <c r="Y244" s="1832"/>
      <c r="Z244" s="1832"/>
      <c r="AA244" s="1831"/>
      <c r="AB244" s="1831"/>
      <c r="AC244" s="1831"/>
      <c r="AD244" s="1831"/>
      <c r="AE244" s="1831"/>
      <c r="AF244" s="1831"/>
      <c r="AG244" s="1832"/>
    </row>
    <row r="245" spans="1:33">
      <c r="A245" s="1833"/>
      <c r="B245" s="1833"/>
      <c r="C245" s="1831"/>
      <c r="D245" s="1831"/>
      <c r="E245" s="1831"/>
      <c r="F245" s="1832"/>
      <c r="G245" s="1832"/>
      <c r="H245" s="1832"/>
      <c r="I245" s="1832"/>
      <c r="J245" s="1832"/>
      <c r="K245" s="1832"/>
      <c r="L245" s="1832"/>
      <c r="M245" s="1832"/>
      <c r="N245" s="1832"/>
      <c r="O245" s="1832"/>
      <c r="P245" s="1832"/>
      <c r="Q245" s="1832"/>
      <c r="R245" s="1832"/>
      <c r="S245" s="1832"/>
      <c r="T245" s="1832"/>
      <c r="U245" s="1832"/>
      <c r="V245" s="1832"/>
      <c r="W245" s="1832"/>
      <c r="X245" s="1832"/>
      <c r="Y245" s="1832"/>
      <c r="Z245" s="1832"/>
      <c r="AA245" s="1831"/>
      <c r="AB245" s="1831"/>
      <c r="AC245" s="1831"/>
      <c r="AD245" s="1831"/>
      <c r="AE245" s="1831"/>
      <c r="AF245" s="1831"/>
      <c r="AG245" s="1832"/>
    </row>
    <row r="246" spans="1:33">
      <c r="A246" s="1833"/>
      <c r="B246" s="1833"/>
      <c r="C246" s="1831"/>
      <c r="D246" s="1831"/>
      <c r="E246" s="1831"/>
      <c r="F246" s="1832"/>
      <c r="G246" s="1832"/>
      <c r="H246" s="1832"/>
      <c r="I246" s="1832"/>
      <c r="J246" s="1832"/>
      <c r="K246" s="1832"/>
      <c r="L246" s="1832"/>
      <c r="M246" s="1832"/>
      <c r="N246" s="1832"/>
      <c r="O246" s="1832"/>
      <c r="P246" s="1832"/>
      <c r="Q246" s="1832"/>
      <c r="R246" s="1832"/>
      <c r="S246" s="1832"/>
      <c r="T246" s="1832"/>
      <c r="U246" s="1832"/>
      <c r="V246" s="1832"/>
      <c r="W246" s="1832"/>
      <c r="X246" s="1832"/>
      <c r="Y246" s="1832"/>
      <c r="Z246" s="1832"/>
      <c r="AA246" s="1831"/>
      <c r="AB246" s="1831"/>
      <c r="AC246" s="1831"/>
      <c r="AD246" s="1831"/>
      <c r="AE246" s="1831"/>
      <c r="AF246" s="1831"/>
      <c r="AG246" s="1832"/>
    </row>
    <row r="247" spans="1:33">
      <c r="A247" s="1833"/>
      <c r="B247" s="1833"/>
      <c r="C247" s="1831"/>
      <c r="D247" s="1831"/>
      <c r="E247" s="1831"/>
      <c r="F247" s="1832"/>
      <c r="G247" s="1832"/>
      <c r="H247" s="1832"/>
      <c r="I247" s="1832"/>
      <c r="J247" s="1832"/>
      <c r="K247" s="1832"/>
      <c r="L247" s="1832"/>
      <c r="M247" s="1832"/>
      <c r="N247" s="1832"/>
      <c r="O247" s="1832"/>
      <c r="P247" s="1832"/>
      <c r="Q247" s="1832"/>
      <c r="R247" s="1832"/>
      <c r="S247" s="1832"/>
      <c r="T247" s="1832"/>
      <c r="U247" s="1832"/>
      <c r="V247" s="1832"/>
      <c r="W247" s="1832"/>
      <c r="X247" s="1832"/>
      <c r="Y247" s="1832"/>
      <c r="Z247" s="1832"/>
      <c r="AA247" s="1831"/>
      <c r="AB247" s="1831"/>
      <c r="AC247" s="1831"/>
      <c r="AD247" s="1831"/>
      <c r="AE247" s="1831"/>
      <c r="AF247" s="1831"/>
      <c r="AG247" s="1832"/>
    </row>
    <row r="248" spans="1:33">
      <c r="A248" s="1833"/>
      <c r="B248" s="1833"/>
      <c r="C248" s="1831"/>
      <c r="D248" s="1831"/>
      <c r="E248" s="1831"/>
      <c r="F248" s="1832"/>
      <c r="G248" s="1832"/>
      <c r="H248" s="1832"/>
      <c r="I248" s="1832"/>
      <c r="J248" s="1832"/>
      <c r="K248" s="1832"/>
      <c r="L248" s="1832"/>
      <c r="M248" s="1832"/>
      <c r="N248" s="1832"/>
      <c r="O248" s="1832"/>
      <c r="P248" s="1832"/>
      <c r="Q248" s="1832"/>
      <c r="R248" s="1832"/>
      <c r="S248" s="1832"/>
      <c r="T248" s="1832"/>
      <c r="U248" s="1832"/>
      <c r="V248" s="1832"/>
      <c r="W248" s="1832"/>
      <c r="X248" s="1832"/>
      <c r="Y248" s="1832"/>
      <c r="Z248" s="1832"/>
      <c r="AA248" s="1831"/>
      <c r="AB248" s="1831"/>
      <c r="AC248" s="1831"/>
      <c r="AD248" s="1831"/>
      <c r="AE248" s="1831"/>
      <c r="AF248" s="1831"/>
      <c r="AG248" s="1832"/>
    </row>
    <row r="249" spans="1:33">
      <c r="A249" s="1833"/>
      <c r="B249" s="1833"/>
      <c r="C249" s="1831"/>
      <c r="D249" s="1831"/>
      <c r="E249" s="1831"/>
      <c r="F249" s="1832"/>
      <c r="G249" s="1832"/>
      <c r="H249" s="1832"/>
      <c r="I249" s="1832"/>
      <c r="J249" s="1832"/>
      <c r="K249" s="1832"/>
      <c r="L249" s="1832"/>
      <c r="M249" s="1832"/>
      <c r="N249" s="1832"/>
      <c r="O249" s="1832"/>
      <c r="P249" s="1832"/>
      <c r="Q249" s="1832"/>
      <c r="R249" s="1832"/>
      <c r="S249" s="1832"/>
      <c r="T249" s="1832"/>
      <c r="U249" s="1832"/>
      <c r="V249" s="1832"/>
      <c r="W249" s="1832"/>
      <c r="X249" s="1832"/>
      <c r="Y249" s="1832"/>
      <c r="Z249" s="1832"/>
      <c r="AA249" s="1831"/>
      <c r="AB249" s="1831"/>
      <c r="AC249" s="1831"/>
      <c r="AD249" s="1831"/>
      <c r="AE249" s="1831"/>
      <c r="AF249" s="1831"/>
      <c r="AG249" s="1832"/>
    </row>
    <row r="250" spans="1:33">
      <c r="A250" s="1833"/>
      <c r="B250" s="1833"/>
      <c r="C250" s="1831"/>
      <c r="D250" s="1831"/>
      <c r="E250" s="1831"/>
      <c r="F250" s="1832"/>
      <c r="G250" s="1832"/>
      <c r="H250" s="1832"/>
      <c r="I250" s="1832"/>
      <c r="J250" s="1832"/>
      <c r="K250" s="1832"/>
      <c r="L250" s="1832"/>
      <c r="M250" s="1832"/>
      <c r="N250" s="1832"/>
      <c r="O250" s="1832"/>
      <c r="P250" s="1832"/>
      <c r="Q250" s="1832"/>
      <c r="R250" s="1832"/>
      <c r="S250" s="1832"/>
      <c r="T250" s="1832"/>
      <c r="U250" s="1832"/>
      <c r="V250" s="1832"/>
      <c r="W250" s="1832"/>
      <c r="X250" s="1832"/>
      <c r="Y250" s="1832"/>
      <c r="Z250" s="1832"/>
      <c r="AA250" s="1831"/>
      <c r="AB250" s="1831"/>
      <c r="AC250" s="1831"/>
      <c r="AD250" s="1831"/>
      <c r="AE250" s="1831"/>
      <c r="AF250" s="1831"/>
      <c r="AG250" s="1832"/>
    </row>
    <row r="251" spans="1:33">
      <c r="A251" s="1833"/>
      <c r="B251" s="1833"/>
      <c r="C251" s="1831"/>
      <c r="D251" s="1831"/>
      <c r="E251" s="1831"/>
      <c r="F251" s="1832"/>
      <c r="G251" s="1832"/>
      <c r="H251" s="1832"/>
      <c r="I251" s="1832"/>
      <c r="J251" s="1832"/>
      <c r="K251" s="1832"/>
      <c r="L251" s="1832"/>
      <c r="M251" s="1832"/>
      <c r="N251" s="1832"/>
      <c r="O251" s="1832"/>
      <c r="P251" s="1832"/>
      <c r="Q251" s="1832"/>
      <c r="R251" s="1832"/>
      <c r="S251" s="1832"/>
      <c r="T251" s="1832"/>
      <c r="U251" s="1832"/>
      <c r="V251" s="1832"/>
      <c r="W251" s="1832"/>
      <c r="X251" s="1832"/>
      <c r="Y251" s="1832"/>
      <c r="Z251" s="1832"/>
      <c r="AA251" s="1831"/>
      <c r="AB251" s="1831"/>
      <c r="AC251" s="1831"/>
      <c r="AD251" s="1831"/>
      <c r="AE251" s="1831"/>
      <c r="AF251" s="1831"/>
      <c r="AG251" s="1832"/>
    </row>
    <row r="252" spans="1:33">
      <c r="A252" s="1833"/>
      <c r="B252" s="1833"/>
      <c r="C252" s="1831"/>
      <c r="D252" s="1831"/>
      <c r="E252" s="1831"/>
      <c r="F252" s="1832"/>
      <c r="G252" s="1832"/>
      <c r="H252" s="1832"/>
      <c r="I252" s="1832"/>
      <c r="J252" s="1832"/>
      <c r="K252" s="1832"/>
      <c r="L252" s="1832"/>
      <c r="M252" s="1832"/>
      <c r="N252" s="1832"/>
      <c r="O252" s="1832"/>
      <c r="P252" s="1832"/>
      <c r="Q252" s="1832"/>
      <c r="R252" s="1832"/>
      <c r="S252" s="1832"/>
      <c r="T252" s="1832"/>
      <c r="U252" s="1832"/>
      <c r="V252" s="1832"/>
      <c r="W252" s="1832"/>
      <c r="X252" s="1832"/>
      <c r="Y252" s="1832"/>
      <c r="Z252" s="1832"/>
      <c r="AA252" s="1831"/>
      <c r="AB252" s="1831"/>
      <c r="AC252" s="1831"/>
      <c r="AD252" s="1831"/>
      <c r="AE252" s="1831"/>
      <c r="AF252" s="1831"/>
      <c r="AG252" s="1832"/>
    </row>
    <row r="253" spans="1:33">
      <c r="A253" s="1833"/>
      <c r="B253" s="1833"/>
      <c r="C253" s="1831"/>
      <c r="D253" s="1831"/>
      <c r="E253" s="1831"/>
      <c r="F253" s="1832"/>
      <c r="G253" s="1832"/>
      <c r="H253" s="1832"/>
      <c r="I253" s="1832"/>
      <c r="J253" s="1832"/>
      <c r="K253" s="1832"/>
      <c r="L253" s="1832"/>
      <c r="M253" s="1832"/>
      <c r="N253" s="1832"/>
      <c r="O253" s="1832"/>
      <c r="P253" s="1832"/>
      <c r="Q253" s="1832"/>
      <c r="R253" s="1832"/>
      <c r="S253" s="1832"/>
      <c r="T253" s="1832"/>
      <c r="U253" s="1832"/>
      <c r="V253" s="1832"/>
      <c r="W253" s="1832"/>
      <c r="X253" s="1832"/>
      <c r="Y253" s="1832"/>
      <c r="Z253" s="1832"/>
      <c r="AA253" s="1831"/>
      <c r="AB253" s="1831"/>
      <c r="AC253" s="1831"/>
      <c r="AD253" s="1831"/>
      <c r="AE253" s="1831"/>
      <c r="AF253" s="1831"/>
      <c r="AG253" s="1832"/>
    </row>
    <row r="254" spans="1:33">
      <c r="A254" s="1833"/>
      <c r="B254" s="1833"/>
      <c r="C254" s="1831"/>
      <c r="D254" s="1831"/>
      <c r="E254" s="1831"/>
      <c r="F254" s="1832"/>
      <c r="G254" s="1832"/>
      <c r="H254" s="1832"/>
      <c r="I254" s="1832"/>
      <c r="J254" s="1832"/>
      <c r="K254" s="1832"/>
      <c r="L254" s="1832"/>
      <c r="M254" s="1832"/>
      <c r="N254" s="1832"/>
      <c r="O254" s="1832"/>
      <c r="P254" s="1832"/>
      <c r="Q254" s="1832"/>
      <c r="R254" s="1832"/>
      <c r="S254" s="1832"/>
      <c r="T254" s="1832"/>
      <c r="U254" s="1832"/>
      <c r="V254" s="1832"/>
      <c r="W254" s="1832"/>
      <c r="X254" s="1832"/>
      <c r="Y254" s="1832"/>
      <c r="Z254" s="1832"/>
      <c r="AA254" s="1831"/>
      <c r="AB254" s="1831"/>
      <c r="AC254" s="1831"/>
      <c r="AD254" s="1831"/>
      <c r="AE254" s="1831"/>
      <c r="AF254" s="1831"/>
      <c r="AG254" s="1832"/>
    </row>
    <row r="255" spans="1:33">
      <c r="A255" s="1833"/>
      <c r="B255" s="1833"/>
      <c r="C255" s="1831"/>
      <c r="D255" s="1831"/>
      <c r="E255" s="1831"/>
      <c r="F255" s="1832"/>
      <c r="G255" s="1832"/>
      <c r="H255" s="1832"/>
      <c r="I255" s="1832"/>
      <c r="J255" s="1832"/>
      <c r="K255" s="1832"/>
      <c r="L255" s="1832"/>
      <c r="M255" s="1832"/>
      <c r="N255" s="1832"/>
      <c r="O255" s="1832"/>
      <c r="P255" s="1832"/>
      <c r="Q255" s="1832"/>
      <c r="R255" s="1832"/>
      <c r="S255" s="1832"/>
      <c r="T255" s="1832"/>
      <c r="U255" s="1832"/>
      <c r="V255" s="1832"/>
      <c r="W255" s="1832"/>
      <c r="X255" s="1832"/>
      <c r="Y255" s="1832"/>
      <c r="Z255" s="1832"/>
      <c r="AA255" s="1831"/>
      <c r="AB255" s="1831"/>
      <c r="AC255" s="1831"/>
      <c r="AD255" s="1831"/>
      <c r="AE255" s="1831"/>
      <c r="AF255" s="1831"/>
      <c r="AG255" s="1832"/>
    </row>
    <row r="256" spans="1:33">
      <c r="A256" s="1833"/>
      <c r="B256" s="1833"/>
      <c r="C256" s="1831"/>
      <c r="D256" s="1831"/>
      <c r="E256" s="1831"/>
      <c r="F256" s="1832"/>
      <c r="G256" s="1832"/>
      <c r="H256" s="1832"/>
      <c r="I256" s="1832"/>
      <c r="J256" s="1832"/>
      <c r="K256" s="1832"/>
      <c r="L256" s="1832"/>
      <c r="M256" s="1832"/>
      <c r="N256" s="1832"/>
      <c r="O256" s="1832"/>
      <c r="P256" s="1832"/>
      <c r="Q256" s="1832"/>
      <c r="R256" s="1832"/>
      <c r="S256" s="1832"/>
      <c r="T256" s="1832"/>
      <c r="U256" s="1832"/>
      <c r="V256" s="1832"/>
      <c r="W256" s="1832"/>
      <c r="X256" s="1832"/>
      <c r="Y256" s="1832"/>
      <c r="Z256" s="1832"/>
      <c r="AA256" s="1831"/>
      <c r="AB256" s="1831"/>
      <c r="AC256" s="1831"/>
      <c r="AD256" s="1831"/>
      <c r="AE256" s="1831"/>
      <c r="AF256" s="1831"/>
      <c r="AG256" s="1832"/>
    </row>
    <row r="257" spans="1:33">
      <c r="A257" s="1833"/>
      <c r="B257" s="1833"/>
      <c r="C257" s="1831"/>
      <c r="D257" s="1831"/>
      <c r="E257" s="1831"/>
      <c r="F257" s="1832"/>
      <c r="G257" s="1832"/>
      <c r="H257" s="1832"/>
      <c r="I257" s="1832"/>
      <c r="J257" s="1832"/>
      <c r="K257" s="1832"/>
      <c r="L257" s="1832"/>
      <c r="M257" s="1832"/>
      <c r="N257" s="1832"/>
      <c r="O257" s="1832"/>
      <c r="P257" s="1832"/>
      <c r="Q257" s="1832"/>
      <c r="R257" s="1832"/>
      <c r="S257" s="1832"/>
      <c r="T257" s="1832"/>
      <c r="U257" s="1832"/>
      <c r="V257" s="1832"/>
      <c r="W257" s="1832"/>
      <c r="X257" s="1832"/>
      <c r="Y257" s="1832"/>
      <c r="Z257" s="1832"/>
      <c r="AA257" s="1831"/>
      <c r="AB257" s="1831"/>
      <c r="AC257" s="1831"/>
      <c r="AD257" s="1831"/>
      <c r="AE257" s="1831"/>
      <c r="AF257" s="1831"/>
      <c r="AG257" s="1832"/>
    </row>
    <row r="258" spans="1:33">
      <c r="A258" s="1833"/>
      <c r="B258" s="1833"/>
      <c r="C258" s="1831"/>
      <c r="D258" s="1831"/>
      <c r="E258" s="1831"/>
      <c r="F258" s="1832"/>
      <c r="G258" s="1832"/>
      <c r="H258" s="1832"/>
      <c r="I258" s="1832"/>
      <c r="J258" s="1832"/>
      <c r="K258" s="1832"/>
      <c r="L258" s="1832"/>
      <c r="M258" s="1832"/>
      <c r="N258" s="1832"/>
      <c r="O258" s="1832"/>
      <c r="P258" s="1832"/>
      <c r="Q258" s="1832"/>
      <c r="R258" s="1832"/>
      <c r="S258" s="1832"/>
      <c r="T258" s="1832"/>
      <c r="U258" s="1832"/>
      <c r="V258" s="1832"/>
      <c r="W258" s="1832"/>
      <c r="X258" s="1832"/>
      <c r="Y258" s="1832"/>
      <c r="Z258" s="1832"/>
      <c r="AA258" s="1831"/>
      <c r="AB258" s="1831"/>
      <c r="AC258" s="1831"/>
      <c r="AD258" s="1831"/>
      <c r="AE258" s="1831"/>
      <c r="AF258" s="1831"/>
      <c r="AG258" s="1832"/>
    </row>
    <row r="259" spans="1:33">
      <c r="A259" s="1833"/>
      <c r="B259" s="1833"/>
      <c r="C259" s="1831"/>
      <c r="D259" s="1831"/>
      <c r="E259" s="1831"/>
      <c r="F259" s="1832"/>
      <c r="G259" s="1832"/>
      <c r="H259" s="1832"/>
      <c r="I259" s="1832"/>
      <c r="J259" s="1832"/>
      <c r="K259" s="1832"/>
      <c r="L259" s="1832"/>
      <c r="M259" s="1832"/>
      <c r="N259" s="1832"/>
      <c r="O259" s="1832"/>
      <c r="P259" s="1832"/>
      <c r="Q259" s="1832"/>
      <c r="R259" s="1832"/>
      <c r="S259" s="1832"/>
      <c r="T259" s="1832"/>
      <c r="U259" s="1832"/>
      <c r="V259" s="1832"/>
      <c r="W259" s="1832"/>
      <c r="X259" s="1832"/>
      <c r="Y259" s="1832"/>
      <c r="Z259" s="1832"/>
      <c r="AA259" s="1831"/>
      <c r="AB259" s="1831"/>
      <c r="AC259" s="1831"/>
      <c r="AD259" s="1831"/>
      <c r="AE259" s="1831"/>
      <c r="AF259" s="1831"/>
      <c r="AG259" s="1832"/>
    </row>
    <row r="260" spans="1:33">
      <c r="A260" s="1833"/>
      <c r="B260" s="1833"/>
      <c r="C260" s="1831"/>
      <c r="D260" s="1831"/>
      <c r="E260" s="1831"/>
      <c r="F260" s="1832"/>
      <c r="G260" s="1832"/>
      <c r="H260" s="1832"/>
      <c r="I260" s="1832"/>
      <c r="J260" s="1832"/>
      <c r="K260" s="1832"/>
      <c r="L260" s="1832"/>
      <c r="M260" s="1832"/>
      <c r="N260" s="1832"/>
      <c r="O260" s="1832"/>
      <c r="P260" s="1832"/>
      <c r="Q260" s="1832"/>
      <c r="R260" s="1832"/>
      <c r="S260" s="1832"/>
      <c r="T260" s="1832"/>
      <c r="U260" s="1832"/>
      <c r="V260" s="1832"/>
      <c r="W260" s="1832"/>
      <c r="X260" s="1832"/>
      <c r="Y260" s="1832"/>
      <c r="Z260" s="1832"/>
      <c r="AA260" s="1831"/>
      <c r="AB260" s="1831"/>
      <c r="AC260" s="1831"/>
      <c r="AD260" s="1831"/>
      <c r="AE260" s="1831"/>
      <c r="AF260" s="1831"/>
      <c r="AG260" s="1832"/>
    </row>
    <row r="261" spans="1:33">
      <c r="A261" s="1833"/>
      <c r="B261" s="1833"/>
      <c r="C261" s="1831"/>
      <c r="D261" s="1831"/>
      <c r="E261" s="1831"/>
      <c r="F261" s="1832"/>
      <c r="G261" s="1832"/>
      <c r="H261" s="1832"/>
      <c r="I261" s="1832"/>
      <c r="J261" s="1832"/>
      <c r="K261" s="1832"/>
      <c r="L261" s="1832"/>
      <c r="M261" s="1832"/>
      <c r="N261" s="1832"/>
      <c r="O261" s="1832"/>
      <c r="P261" s="1832"/>
      <c r="Q261" s="1832"/>
      <c r="R261" s="1832"/>
      <c r="S261" s="1832"/>
      <c r="T261" s="1832"/>
      <c r="U261" s="1832"/>
      <c r="V261" s="1832"/>
      <c r="W261" s="1832"/>
      <c r="X261" s="1832"/>
      <c r="Y261" s="1832"/>
      <c r="Z261" s="1832"/>
      <c r="AA261" s="1831"/>
      <c r="AB261" s="1831"/>
      <c r="AC261" s="1831"/>
      <c r="AD261" s="1831"/>
      <c r="AE261" s="1831"/>
      <c r="AF261" s="1831"/>
      <c r="AG261" s="1832"/>
    </row>
    <row r="262" spans="1:33">
      <c r="A262" s="1833"/>
      <c r="B262" s="1833"/>
      <c r="C262" s="1831"/>
      <c r="D262" s="1831"/>
      <c r="E262" s="1831"/>
      <c r="F262" s="1832"/>
      <c r="G262" s="1832"/>
      <c r="H262" s="1832"/>
      <c r="I262" s="1832"/>
      <c r="J262" s="1832"/>
      <c r="K262" s="1832"/>
      <c r="L262" s="1832"/>
      <c r="M262" s="1832"/>
      <c r="N262" s="1832"/>
      <c r="O262" s="1832"/>
      <c r="P262" s="1832"/>
      <c r="Q262" s="1832"/>
      <c r="R262" s="1832"/>
      <c r="S262" s="1832"/>
      <c r="T262" s="1832"/>
      <c r="U262" s="1832"/>
      <c r="V262" s="1832"/>
      <c r="W262" s="1832"/>
      <c r="X262" s="1832"/>
      <c r="Y262" s="1832"/>
      <c r="Z262" s="1832"/>
      <c r="AA262" s="1831"/>
      <c r="AB262" s="1831"/>
      <c r="AC262" s="1831"/>
      <c r="AD262" s="1831"/>
      <c r="AE262" s="1831"/>
      <c r="AF262" s="1831"/>
      <c r="AG262" s="1832"/>
    </row>
    <row r="263" spans="1:33">
      <c r="A263" s="1833"/>
      <c r="B263" s="1833"/>
      <c r="C263" s="1831"/>
      <c r="D263" s="1831"/>
      <c r="E263" s="1831"/>
      <c r="F263" s="1832"/>
      <c r="G263" s="1832"/>
      <c r="H263" s="1832"/>
      <c r="I263" s="1832"/>
      <c r="J263" s="1832"/>
      <c r="K263" s="1832"/>
      <c r="L263" s="1832"/>
      <c r="M263" s="1832"/>
      <c r="N263" s="1832"/>
      <c r="O263" s="1832"/>
      <c r="P263" s="1832"/>
      <c r="Q263" s="1832"/>
      <c r="R263" s="1832"/>
      <c r="S263" s="1832"/>
      <c r="T263" s="1832"/>
      <c r="U263" s="1832"/>
      <c r="V263" s="1832"/>
      <c r="W263" s="1832"/>
      <c r="X263" s="1832"/>
      <c r="Y263" s="1832"/>
      <c r="Z263" s="1832"/>
      <c r="AA263" s="1831"/>
      <c r="AB263" s="1831"/>
      <c r="AC263" s="1831"/>
      <c r="AD263" s="1831"/>
      <c r="AE263" s="1831"/>
      <c r="AF263" s="1831"/>
      <c r="AG263" s="1832"/>
    </row>
    <row r="264" spans="1:33">
      <c r="A264" s="1833"/>
      <c r="B264" s="1833"/>
      <c r="C264" s="1831"/>
      <c r="D264" s="1831"/>
      <c r="E264" s="1831"/>
      <c r="F264" s="1832"/>
      <c r="G264" s="1832"/>
      <c r="H264" s="1832"/>
      <c r="I264" s="1832"/>
      <c r="J264" s="1832"/>
      <c r="K264" s="1832"/>
      <c r="L264" s="1832"/>
      <c r="M264" s="1832"/>
      <c r="N264" s="1832"/>
      <c r="O264" s="1832"/>
      <c r="P264" s="1832"/>
      <c r="Q264" s="1832"/>
      <c r="R264" s="1832"/>
      <c r="S264" s="1832"/>
      <c r="T264" s="1832"/>
      <c r="U264" s="1832"/>
      <c r="V264" s="1832"/>
      <c r="W264" s="1832"/>
      <c r="X264" s="1832"/>
      <c r="Y264" s="1832"/>
      <c r="Z264" s="1832"/>
      <c r="AA264" s="1831"/>
      <c r="AB264" s="1831"/>
      <c r="AC264" s="1831"/>
      <c r="AD264" s="1831"/>
      <c r="AE264" s="1831"/>
      <c r="AF264" s="1831"/>
      <c r="AG264" s="1832"/>
    </row>
    <row r="265" spans="1:33">
      <c r="A265" s="1833"/>
      <c r="B265" s="1833"/>
      <c r="C265" s="1831"/>
      <c r="D265" s="1831"/>
      <c r="E265" s="1831"/>
      <c r="F265" s="1832"/>
      <c r="G265" s="1832"/>
      <c r="H265" s="1832"/>
      <c r="I265" s="1832"/>
      <c r="J265" s="1832"/>
      <c r="K265" s="1832"/>
      <c r="L265" s="1832"/>
      <c r="M265" s="1832"/>
      <c r="N265" s="1832"/>
      <c r="O265" s="1832"/>
      <c r="P265" s="1832"/>
      <c r="Q265" s="1832"/>
      <c r="R265" s="1832"/>
      <c r="S265" s="1832"/>
      <c r="T265" s="1832"/>
      <c r="U265" s="1832"/>
      <c r="V265" s="1832"/>
      <c r="W265" s="1832"/>
      <c r="X265" s="1832"/>
      <c r="Y265" s="1832"/>
      <c r="Z265" s="1832"/>
      <c r="AA265" s="1831"/>
      <c r="AB265" s="1831"/>
      <c r="AC265" s="1831"/>
      <c r="AD265" s="1831"/>
      <c r="AE265" s="1831"/>
      <c r="AF265" s="1831"/>
      <c r="AG265" s="1832"/>
    </row>
    <row r="266" spans="1:33">
      <c r="A266" s="1833"/>
      <c r="B266" s="1833"/>
      <c r="C266" s="1831"/>
      <c r="D266" s="1831"/>
      <c r="E266" s="1831"/>
      <c r="F266" s="1832"/>
      <c r="G266" s="1832"/>
      <c r="H266" s="1832"/>
      <c r="I266" s="1832"/>
      <c r="J266" s="1832"/>
      <c r="K266" s="1832"/>
      <c r="L266" s="1832"/>
      <c r="M266" s="1832"/>
      <c r="N266" s="1832"/>
      <c r="O266" s="1832"/>
      <c r="P266" s="1832"/>
      <c r="Q266" s="1832"/>
      <c r="R266" s="1832"/>
      <c r="S266" s="1832"/>
      <c r="T266" s="1832"/>
      <c r="U266" s="1832"/>
      <c r="V266" s="1832"/>
      <c r="W266" s="1832"/>
      <c r="X266" s="1832"/>
      <c r="Y266" s="1832"/>
      <c r="Z266" s="1832"/>
      <c r="AA266" s="1831"/>
      <c r="AB266" s="1831"/>
      <c r="AC266" s="1831"/>
      <c r="AD266" s="1831"/>
      <c r="AE266" s="1831"/>
      <c r="AF266" s="1831"/>
      <c r="AG266" s="1832"/>
    </row>
    <row r="267" spans="1:33">
      <c r="A267" s="1833"/>
      <c r="B267" s="1833"/>
      <c r="C267" s="1831"/>
      <c r="D267" s="1831"/>
      <c r="E267" s="1831"/>
      <c r="F267" s="1832"/>
      <c r="G267" s="1832"/>
      <c r="H267" s="1832"/>
      <c r="I267" s="1832"/>
      <c r="J267" s="1832"/>
      <c r="K267" s="1832"/>
      <c r="L267" s="1832"/>
      <c r="M267" s="1832"/>
      <c r="N267" s="1832"/>
      <c r="O267" s="1832"/>
      <c r="P267" s="1832"/>
      <c r="Q267" s="1832"/>
      <c r="R267" s="1832"/>
      <c r="S267" s="1832"/>
      <c r="T267" s="1832"/>
      <c r="U267" s="1832"/>
      <c r="V267" s="1832"/>
      <c r="W267" s="1832"/>
      <c r="X267" s="1832"/>
      <c r="Y267" s="1832"/>
      <c r="Z267" s="1832"/>
      <c r="AA267" s="1831"/>
      <c r="AB267" s="1831"/>
      <c r="AC267" s="1831"/>
      <c r="AD267" s="1831"/>
      <c r="AE267" s="1831"/>
      <c r="AF267" s="1831"/>
      <c r="AG267" s="1832"/>
    </row>
    <row r="268" spans="1:33">
      <c r="A268" s="1833"/>
      <c r="B268" s="1833"/>
      <c r="C268" s="1831"/>
      <c r="D268" s="1831"/>
      <c r="E268" s="1831"/>
      <c r="F268" s="1832"/>
      <c r="G268" s="1832"/>
      <c r="H268" s="1832"/>
      <c r="I268" s="1832"/>
      <c r="J268" s="1832"/>
      <c r="K268" s="1832"/>
      <c r="L268" s="1832"/>
      <c r="M268" s="1832"/>
      <c r="N268" s="1832"/>
      <c r="O268" s="1832"/>
      <c r="P268" s="1832"/>
      <c r="Q268" s="1832"/>
      <c r="R268" s="1832"/>
      <c r="S268" s="1832"/>
      <c r="T268" s="1832"/>
      <c r="U268" s="1832"/>
      <c r="V268" s="1832"/>
      <c r="W268" s="1832"/>
      <c r="X268" s="1832"/>
      <c r="Y268" s="1832"/>
      <c r="Z268" s="1832"/>
      <c r="AA268" s="1831"/>
      <c r="AB268" s="1831"/>
      <c r="AC268" s="1831"/>
      <c r="AD268" s="1831"/>
      <c r="AE268" s="1831"/>
      <c r="AF268" s="1831"/>
      <c r="AG268" s="1832"/>
    </row>
    <row r="269" spans="1:33">
      <c r="A269" s="1833"/>
      <c r="B269" s="1833"/>
      <c r="C269" s="1831"/>
      <c r="D269" s="1831"/>
      <c r="E269" s="1831"/>
      <c r="F269" s="1832"/>
      <c r="G269" s="1832"/>
      <c r="H269" s="1832"/>
      <c r="I269" s="1832"/>
      <c r="J269" s="1832"/>
      <c r="K269" s="1832"/>
      <c r="L269" s="1832"/>
      <c r="M269" s="1832"/>
      <c r="N269" s="1832"/>
      <c r="O269" s="1832"/>
      <c r="P269" s="1832"/>
      <c r="Q269" s="1832"/>
      <c r="R269" s="1832"/>
      <c r="S269" s="1832"/>
      <c r="T269" s="1832"/>
      <c r="U269" s="1832"/>
      <c r="V269" s="1832"/>
      <c r="W269" s="1832"/>
      <c r="X269" s="1832"/>
      <c r="Y269" s="1832"/>
      <c r="Z269" s="1832"/>
      <c r="AA269" s="1831"/>
      <c r="AB269" s="1831"/>
      <c r="AC269" s="1831"/>
      <c r="AD269" s="1831"/>
      <c r="AE269" s="1831"/>
      <c r="AF269" s="1831"/>
      <c r="AG269" s="1832"/>
    </row>
    <row r="270" spans="1:33">
      <c r="A270" s="1833"/>
      <c r="B270" s="1833"/>
      <c r="C270" s="1831"/>
      <c r="D270" s="1831"/>
      <c r="E270" s="1831"/>
      <c r="F270" s="1832"/>
      <c r="G270" s="1832"/>
      <c r="H270" s="1832"/>
      <c r="I270" s="1832"/>
      <c r="J270" s="1832"/>
      <c r="K270" s="1832"/>
      <c r="L270" s="1832"/>
      <c r="M270" s="1832"/>
      <c r="N270" s="1832"/>
      <c r="O270" s="1832"/>
      <c r="P270" s="1832"/>
      <c r="Q270" s="1832"/>
      <c r="R270" s="1832"/>
      <c r="S270" s="1832"/>
      <c r="T270" s="1832"/>
      <c r="U270" s="1832"/>
      <c r="V270" s="1832"/>
      <c r="W270" s="1832"/>
      <c r="X270" s="1832"/>
      <c r="Y270" s="1832"/>
      <c r="Z270" s="1832"/>
      <c r="AA270" s="1831"/>
      <c r="AB270" s="1831"/>
      <c r="AC270" s="1831"/>
      <c r="AD270" s="1831"/>
      <c r="AE270" s="1831"/>
      <c r="AF270" s="1831"/>
      <c r="AG270" s="1832"/>
    </row>
    <row r="271" spans="1:33">
      <c r="A271" s="1833"/>
      <c r="B271" s="1833"/>
      <c r="C271" s="1831"/>
      <c r="D271" s="1831"/>
      <c r="E271" s="1831"/>
      <c r="F271" s="1832"/>
      <c r="G271" s="1832"/>
      <c r="H271" s="1832"/>
      <c r="I271" s="1832"/>
      <c r="J271" s="1832"/>
      <c r="K271" s="1832"/>
      <c r="L271" s="1832"/>
      <c r="M271" s="1832"/>
      <c r="N271" s="1832"/>
      <c r="O271" s="1832"/>
      <c r="P271" s="1832"/>
      <c r="Q271" s="1832"/>
      <c r="R271" s="1832"/>
      <c r="S271" s="1832"/>
      <c r="T271" s="1832"/>
      <c r="U271" s="1832"/>
      <c r="V271" s="1832"/>
      <c r="W271" s="1832"/>
      <c r="X271" s="1832"/>
      <c r="Y271" s="1832"/>
      <c r="Z271" s="1832"/>
      <c r="AA271" s="1831"/>
      <c r="AB271" s="1831"/>
      <c r="AC271" s="1831"/>
      <c r="AD271" s="1831"/>
      <c r="AE271" s="1831"/>
      <c r="AF271" s="1831"/>
      <c r="AG271" s="1832"/>
    </row>
    <row r="272" spans="1:33">
      <c r="A272" s="1833"/>
      <c r="B272" s="1833"/>
      <c r="C272" s="1831"/>
      <c r="D272" s="1831"/>
      <c r="E272" s="1831"/>
      <c r="F272" s="1832"/>
      <c r="G272" s="1832"/>
      <c r="H272" s="1832"/>
      <c r="I272" s="1832"/>
      <c r="J272" s="1832"/>
      <c r="K272" s="1832"/>
      <c r="L272" s="1832"/>
      <c r="M272" s="1832"/>
      <c r="N272" s="1832"/>
      <c r="O272" s="1832"/>
      <c r="P272" s="1832"/>
      <c r="Q272" s="1832"/>
      <c r="R272" s="1832"/>
      <c r="S272" s="1832"/>
      <c r="T272" s="1832"/>
      <c r="U272" s="1832"/>
      <c r="V272" s="1832"/>
      <c r="W272" s="1832"/>
      <c r="X272" s="1832"/>
      <c r="Y272" s="1832"/>
      <c r="Z272" s="1832"/>
      <c r="AA272" s="1831"/>
      <c r="AB272" s="1831"/>
      <c r="AC272" s="1831"/>
      <c r="AD272" s="1831"/>
      <c r="AE272" s="1831"/>
      <c r="AF272" s="1831"/>
      <c r="AG272" s="1832"/>
    </row>
    <row r="273" spans="1:33">
      <c r="A273" s="1833"/>
      <c r="B273" s="1833"/>
      <c r="C273" s="1831"/>
      <c r="D273" s="1831"/>
      <c r="E273" s="1831"/>
      <c r="F273" s="1832"/>
      <c r="G273" s="1832"/>
      <c r="H273" s="1832"/>
      <c r="I273" s="1832"/>
      <c r="J273" s="1832"/>
      <c r="K273" s="1832"/>
      <c r="L273" s="1832"/>
      <c r="M273" s="1832"/>
      <c r="N273" s="1832"/>
      <c r="O273" s="1832"/>
      <c r="P273" s="1832"/>
      <c r="Q273" s="1832"/>
      <c r="R273" s="1832"/>
      <c r="S273" s="1832"/>
      <c r="T273" s="1832"/>
      <c r="U273" s="1832"/>
      <c r="V273" s="1832"/>
      <c r="W273" s="1832"/>
      <c r="X273" s="1832"/>
      <c r="Y273" s="1832"/>
      <c r="Z273" s="1832"/>
      <c r="AA273" s="1831"/>
      <c r="AB273" s="1831"/>
      <c r="AC273" s="1831"/>
      <c r="AD273" s="1831"/>
      <c r="AE273" s="1831"/>
      <c r="AF273" s="1831"/>
      <c r="AG273" s="1832"/>
    </row>
    <row r="274" spans="1:33">
      <c r="A274" s="1833"/>
      <c r="B274" s="1833"/>
      <c r="C274" s="1831"/>
      <c r="D274" s="1831"/>
      <c r="E274" s="1831"/>
      <c r="F274" s="1832"/>
      <c r="G274" s="1832"/>
      <c r="H274" s="1832"/>
      <c r="I274" s="1832"/>
      <c r="J274" s="1832"/>
      <c r="K274" s="1832"/>
      <c r="L274" s="1832"/>
      <c r="M274" s="1832"/>
      <c r="N274" s="1832"/>
      <c r="O274" s="1832"/>
      <c r="P274" s="1832"/>
      <c r="Q274" s="1832"/>
      <c r="R274" s="1832"/>
      <c r="S274" s="1832"/>
      <c r="T274" s="1832"/>
      <c r="U274" s="1832"/>
      <c r="V274" s="1832"/>
      <c r="W274" s="1832"/>
      <c r="X274" s="1832"/>
      <c r="Y274" s="1832"/>
      <c r="Z274" s="1832"/>
      <c r="AA274" s="1831"/>
      <c r="AB274" s="1831"/>
      <c r="AC274" s="1831"/>
      <c r="AD274" s="1831"/>
      <c r="AE274" s="1831"/>
      <c r="AF274" s="1831"/>
      <c r="AG274" s="1832"/>
    </row>
    <row r="275" spans="1:33">
      <c r="A275" s="1833"/>
      <c r="B275" s="1833"/>
      <c r="C275" s="1831"/>
      <c r="D275" s="1831"/>
      <c r="E275" s="1831"/>
      <c r="F275" s="1832"/>
      <c r="G275" s="1832"/>
      <c r="H275" s="1832"/>
      <c r="I275" s="1832"/>
      <c r="J275" s="1832"/>
      <c r="K275" s="1832"/>
      <c r="L275" s="1832"/>
      <c r="M275" s="1832"/>
      <c r="N275" s="1832"/>
      <c r="O275" s="1832"/>
      <c r="P275" s="1832"/>
      <c r="Q275" s="1832"/>
      <c r="R275" s="1832"/>
      <c r="S275" s="1832"/>
      <c r="T275" s="1832"/>
      <c r="U275" s="1832"/>
      <c r="V275" s="1832"/>
      <c r="W275" s="1832"/>
      <c r="X275" s="1832"/>
      <c r="Y275" s="1832"/>
      <c r="Z275" s="1832"/>
      <c r="AA275" s="1831"/>
      <c r="AB275" s="1831"/>
      <c r="AC275" s="1831"/>
      <c r="AD275" s="1831"/>
      <c r="AE275" s="1831"/>
      <c r="AF275" s="1831"/>
      <c r="AG275" s="1832"/>
    </row>
    <row r="276" spans="1:33">
      <c r="A276" s="1833"/>
      <c r="B276" s="1833"/>
      <c r="C276" s="1831"/>
      <c r="D276" s="1831"/>
      <c r="E276" s="1831"/>
      <c r="F276" s="1832"/>
      <c r="G276" s="1832"/>
      <c r="H276" s="1832"/>
      <c r="I276" s="1832"/>
      <c r="J276" s="1832"/>
      <c r="K276" s="1832"/>
      <c r="L276" s="1832"/>
      <c r="M276" s="1832"/>
      <c r="N276" s="1832"/>
      <c r="O276" s="1832"/>
      <c r="P276" s="1832"/>
      <c r="Q276" s="1832"/>
      <c r="R276" s="1832"/>
      <c r="S276" s="1832"/>
      <c r="T276" s="1832"/>
      <c r="U276" s="1832"/>
      <c r="V276" s="1832"/>
      <c r="W276" s="1832"/>
      <c r="X276" s="1832"/>
      <c r="Y276" s="1832"/>
      <c r="Z276" s="1832"/>
      <c r="AA276" s="1831"/>
      <c r="AB276" s="1831"/>
      <c r="AC276" s="1831"/>
      <c r="AD276" s="1831"/>
      <c r="AE276" s="1831"/>
      <c r="AF276" s="1831"/>
      <c r="AG276" s="1832"/>
    </row>
    <row r="277" spans="1:33">
      <c r="A277" s="1833"/>
      <c r="B277" s="1833"/>
      <c r="C277" s="1831"/>
      <c r="D277" s="1831"/>
      <c r="E277" s="1831"/>
      <c r="F277" s="1832"/>
      <c r="G277" s="1832"/>
      <c r="H277" s="1832"/>
      <c r="I277" s="1832"/>
      <c r="J277" s="1832"/>
      <c r="K277" s="1832"/>
      <c r="L277" s="1832"/>
      <c r="M277" s="1832"/>
      <c r="N277" s="1832"/>
      <c r="O277" s="1832"/>
      <c r="P277" s="1832"/>
      <c r="Q277" s="1832"/>
      <c r="R277" s="1832"/>
      <c r="S277" s="1832"/>
      <c r="T277" s="1832"/>
      <c r="U277" s="1832"/>
      <c r="V277" s="1832"/>
      <c r="W277" s="1832"/>
      <c r="X277" s="1832"/>
      <c r="Y277" s="1832"/>
      <c r="Z277" s="1832"/>
      <c r="AA277" s="1831"/>
      <c r="AB277" s="1831"/>
      <c r="AC277" s="1831"/>
      <c r="AD277" s="1831"/>
      <c r="AE277" s="1831"/>
      <c r="AF277" s="1831"/>
      <c r="AG277" s="1832"/>
    </row>
    <row r="278" spans="1:33">
      <c r="A278" s="1833"/>
      <c r="B278" s="1833"/>
      <c r="C278" s="1831"/>
      <c r="D278" s="1831"/>
      <c r="E278" s="1831"/>
      <c r="F278" s="1832"/>
      <c r="G278" s="1832"/>
      <c r="H278" s="1832"/>
      <c r="I278" s="1832"/>
      <c r="J278" s="1832"/>
      <c r="K278" s="1832"/>
      <c r="L278" s="1832"/>
      <c r="M278" s="1832"/>
      <c r="N278" s="1832"/>
      <c r="O278" s="1832"/>
      <c r="P278" s="1832"/>
      <c r="Q278" s="1832"/>
      <c r="R278" s="1832"/>
      <c r="S278" s="1832"/>
      <c r="T278" s="1832"/>
      <c r="U278" s="1832"/>
      <c r="V278" s="1832"/>
      <c r="W278" s="1832"/>
      <c r="X278" s="1832"/>
      <c r="Y278" s="1832"/>
      <c r="Z278" s="1832"/>
      <c r="AA278" s="1831"/>
      <c r="AB278" s="1831"/>
      <c r="AC278" s="1831"/>
      <c r="AD278" s="1831"/>
      <c r="AE278" s="1831"/>
      <c r="AF278" s="1831"/>
      <c r="AG278" s="1832"/>
    </row>
    <row r="279" spans="1:33">
      <c r="A279" s="1833"/>
      <c r="B279" s="1833"/>
      <c r="C279" s="1831"/>
      <c r="D279" s="1831"/>
      <c r="E279" s="1831"/>
      <c r="F279" s="1832"/>
      <c r="G279" s="1832"/>
      <c r="H279" s="1832"/>
      <c r="I279" s="1832"/>
      <c r="J279" s="1832"/>
      <c r="K279" s="1832"/>
      <c r="L279" s="1832"/>
      <c r="M279" s="1832"/>
      <c r="N279" s="1832"/>
      <c r="O279" s="1832"/>
      <c r="P279" s="1832"/>
      <c r="Q279" s="1832"/>
      <c r="R279" s="1832"/>
      <c r="S279" s="1832"/>
      <c r="T279" s="1832"/>
      <c r="U279" s="1832"/>
      <c r="V279" s="1832"/>
      <c r="W279" s="1832"/>
      <c r="X279" s="1832"/>
      <c r="Y279" s="1832"/>
      <c r="Z279" s="1832"/>
      <c r="AA279" s="1831"/>
      <c r="AB279" s="1831"/>
      <c r="AC279" s="1831"/>
      <c r="AD279" s="1831"/>
      <c r="AE279" s="1831"/>
      <c r="AF279" s="1831"/>
      <c r="AG279" s="1832"/>
    </row>
    <row r="280" spans="1:33">
      <c r="A280" s="1833"/>
      <c r="B280" s="1833"/>
      <c r="C280" s="1831"/>
      <c r="D280" s="1831"/>
      <c r="E280" s="1831"/>
      <c r="F280" s="1832"/>
      <c r="G280" s="1832"/>
      <c r="H280" s="1832"/>
      <c r="I280" s="1832"/>
      <c r="J280" s="1832"/>
      <c r="K280" s="1832"/>
      <c r="L280" s="1832"/>
      <c r="M280" s="1832"/>
      <c r="N280" s="1832"/>
      <c r="O280" s="1832"/>
      <c r="P280" s="1832"/>
      <c r="Q280" s="1832"/>
      <c r="R280" s="1832"/>
      <c r="S280" s="1832"/>
      <c r="T280" s="1832"/>
      <c r="U280" s="1832"/>
      <c r="V280" s="1832"/>
      <c r="W280" s="1832"/>
      <c r="X280" s="1832"/>
      <c r="Y280" s="1832"/>
      <c r="Z280" s="1832"/>
      <c r="AA280" s="1831"/>
      <c r="AB280" s="1831"/>
      <c r="AC280" s="1831"/>
      <c r="AD280" s="1831"/>
      <c r="AE280" s="1831"/>
      <c r="AF280" s="1831"/>
      <c r="AG280" s="1832"/>
    </row>
    <row r="281" spans="1:33">
      <c r="A281" s="1833"/>
      <c r="B281" s="1833"/>
      <c r="C281" s="1831"/>
      <c r="D281" s="1831"/>
      <c r="E281" s="1831"/>
      <c r="F281" s="1832"/>
      <c r="G281" s="1832"/>
      <c r="H281" s="1832"/>
      <c r="I281" s="1832"/>
      <c r="J281" s="1832"/>
      <c r="K281" s="1832"/>
      <c r="L281" s="1832"/>
      <c r="M281" s="1832"/>
      <c r="N281" s="1832"/>
      <c r="O281" s="1832"/>
      <c r="P281" s="1832"/>
      <c r="Q281" s="1832"/>
      <c r="R281" s="1832"/>
      <c r="S281" s="1832"/>
      <c r="T281" s="1832"/>
      <c r="U281" s="1832"/>
      <c r="V281" s="1832"/>
      <c r="W281" s="1832"/>
      <c r="X281" s="1832"/>
      <c r="Y281" s="1832"/>
      <c r="Z281" s="1832"/>
      <c r="AA281" s="1831"/>
      <c r="AB281" s="1831"/>
      <c r="AC281" s="1831"/>
      <c r="AD281" s="1831"/>
      <c r="AE281" s="1831"/>
      <c r="AF281" s="1831"/>
      <c r="AG281" s="1832"/>
    </row>
    <row r="282" spans="1:33">
      <c r="A282" s="1833"/>
      <c r="B282" s="1833"/>
      <c r="C282" s="1831"/>
      <c r="D282" s="1831"/>
      <c r="E282" s="1831"/>
      <c r="F282" s="1832"/>
      <c r="G282" s="1832"/>
      <c r="H282" s="1832"/>
      <c r="I282" s="1832"/>
      <c r="J282" s="1832"/>
      <c r="K282" s="1832"/>
      <c r="L282" s="1832"/>
      <c r="M282" s="1832"/>
      <c r="N282" s="1832"/>
      <c r="O282" s="1832"/>
      <c r="P282" s="1832"/>
      <c r="Q282" s="1832"/>
      <c r="R282" s="1832"/>
      <c r="S282" s="1832"/>
      <c r="T282" s="1832"/>
      <c r="U282" s="1832"/>
      <c r="V282" s="1832"/>
      <c r="W282" s="1832"/>
      <c r="X282" s="1832"/>
      <c r="Y282" s="1832"/>
      <c r="Z282" s="1832"/>
      <c r="AA282" s="1831"/>
      <c r="AB282" s="1831"/>
      <c r="AC282" s="1831"/>
      <c r="AD282" s="1831"/>
      <c r="AE282" s="1831"/>
      <c r="AF282" s="1831"/>
      <c r="AG282" s="1832"/>
    </row>
    <row r="283" spans="1:33">
      <c r="A283" s="1833"/>
      <c r="B283" s="1833"/>
      <c r="C283" s="1831"/>
      <c r="D283" s="1831"/>
      <c r="E283" s="1831"/>
      <c r="F283" s="1832"/>
      <c r="G283" s="1832"/>
      <c r="H283" s="1832"/>
      <c r="I283" s="1832"/>
      <c r="J283" s="1832"/>
      <c r="K283" s="1832"/>
      <c r="L283" s="1832"/>
      <c r="M283" s="1832"/>
      <c r="N283" s="1832"/>
      <c r="O283" s="1832"/>
      <c r="P283" s="1832"/>
      <c r="Q283" s="1832"/>
      <c r="R283" s="1832"/>
      <c r="S283" s="1832"/>
      <c r="T283" s="1832"/>
      <c r="U283" s="1832"/>
      <c r="V283" s="1832"/>
      <c r="W283" s="1832"/>
      <c r="X283" s="1832"/>
      <c r="Y283" s="1832"/>
      <c r="Z283" s="1832"/>
      <c r="AA283" s="1831"/>
      <c r="AB283" s="1831"/>
      <c r="AC283" s="1831"/>
      <c r="AD283" s="1831"/>
      <c r="AE283" s="1831"/>
      <c r="AF283" s="1831"/>
      <c r="AG283" s="1832"/>
    </row>
    <row r="284" spans="1:33">
      <c r="A284" s="1833"/>
      <c r="B284" s="1833"/>
      <c r="C284" s="1831"/>
      <c r="D284" s="1831"/>
      <c r="E284" s="1831"/>
      <c r="F284" s="1832"/>
      <c r="G284" s="1832"/>
      <c r="H284" s="1832"/>
      <c r="I284" s="1832"/>
      <c r="J284" s="1832"/>
      <c r="K284" s="1832"/>
      <c r="L284" s="1832"/>
      <c r="M284" s="1832"/>
      <c r="N284" s="1832"/>
      <c r="O284" s="1832"/>
      <c r="P284" s="1832"/>
      <c r="Q284" s="1832"/>
      <c r="R284" s="1832"/>
      <c r="S284" s="1832"/>
      <c r="T284" s="1832"/>
      <c r="U284" s="1832"/>
      <c r="V284" s="1832"/>
      <c r="W284" s="1832"/>
      <c r="X284" s="1832"/>
      <c r="Y284" s="1832"/>
      <c r="Z284" s="1832"/>
      <c r="AA284" s="1831"/>
      <c r="AB284" s="1831"/>
      <c r="AC284" s="1831"/>
      <c r="AD284" s="1831"/>
      <c r="AE284" s="1831"/>
      <c r="AF284" s="1831"/>
      <c r="AG284" s="1832"/>
    </row>
    <row r="285" spans="1:33">
      <c r="A285" s="1833"/>
      <c r="B285" s="1833"/>
      <c r="C285" s="1831"/>
      <c r="D285" s="1831"/>
      <c r="E285" s="1831"/>
      <c r="F285" s="1832"/>
      <c r="G285" s="1832"/>
      <c r="H285" s="1832"/>
      <c r="I285" s="1832"/>
      <c r="J285" s="1832"/>
      <c r="K285" s="1832"/>
      <c r="L285" s="1832"/>
      <c r="M285" s="1832"/>
      <c r="N285" s="1832"/>
      <c r="O285" s="1832"/>
      <c r="P285" s="1832"/>
      <c r="Q285" s="1832"/>
      <c r="R285" s="1832"/>
      <c r="S285" s="1832"/>
      <c r="T285" s="1832"/>
      <c r="U285" s="1832"/>
      <c r="V285" s="1832"/>
      <c r="W285" s="1832"/>
      <c r="X285" s="1832"/>
      <c r="Y285" s="1832"/>
      <c r="Z285" s="1832"/>
      <c r="AA285" s="1831"/>
      <c r="AB285" s="1831"/>
      <c r="AC285" s="1831"/>
      <c r="AD285" s="1831"/>
      <c r="AE285" s="1831"/>
      <c r="AF285" s="1831"/>
      <c r="AG285" s="1832"/>
    </row>
    <row r="286" spans="1:33">
      <c r="A286" s="1833"/>
      <c r="B286" s="1833"/>
      <c r="C286" s="1831"/>
      <c r="D286" s="1831"/>
      <c r="E286" s="1831"/>
      <c r="F286" s="1832"/>
      <c r="G286" s="1832"/>
      <c r="H286" s="1832"/>
      <c r="I286" s="1832"/>
      <c r="J286" s="1832"/>
      <c r="K286" s="1832"/>
      <c r="L286" s="1832"/>
      <c r="M286" s="1832"/>
      <c r="N286" s="1832"/>
      <c r="O286" s="1832"/>
      <c r="P286" s="1832"/>
      <c r="Q286" s="1832"/>
      <c r="R286" s="1832"/>
      <c r="S286" s="1832"/>
      <c r="T286" s="1832"/>
      <c r="U286" s="1832"/>
      <c r="V286" s="1832"/>
      <c r="W286" s="1832"/>
      <c r="X286" s="1832"/>
      <c r="Y286" s="1832"/>
      <c r="Z286" s="1832"/>
      <c r="AA286" s="1831"/>
      <c r="AB286" s="1831"/>
      <c r="AC286" s="1831"/>
      <c r="AD286" s="1831"/>
      <c r="AE286" s="1831"/>
      <c r="AF286" s="1831"/>
      <c r="AG286" s="1832"/>
    </row>
    <row r="287" spans="1:33">
      <c r="A287" s="1833"/>
      <c r="B287" s="1833"/>
      <c r="C287" s="1831"/>
      <c r="D287" s="1831"/>
      <c r="E287" s="1831"/>
      <c r="F287" s="1832"/>
      <c r="G287" s="1832"/>
      <c r="H287" s="1832"/>
      <c r="I287" s="1832"/>
      <c r="J287" s="1832"/>
      <c r="K287" s="1832"/>
      <c r="L287" s="1832"/>
      <c r="M287" s="1832"/>
      <c r="N287" s="1832"/>
      <c r="O287" s="1832"/>
      <c r="P287" s="1832"/>
      <c r="Q287" s="1832"/>
      <c r="R287" s="1832"/>
      <c r="S287" s="1832"/>
      <c r="T287" s="1832"/>
      <c r="U287" s="1832"/>
      <c r="V287" s="1832"/>
      <c r="W287" s="1832"/>
      <c r="X287" s="1832"/>
      <c r="Y287" s="1832"/>
      <c r="Z287" s="1832"/>
      <c r="AA287" s="1831"/>
      <c r="AB287" s="1831"/>
      <c r="AC287" s="1831"/>
      <c r="AD287" s="1831"/>
      <c r="AE287" s="1831"/>
      <c r="AF287" s="1831"/>
      <c r="AG287" s="1832"/>
    </row>
    <row r="288" spans="1:33">
      <c r="A288" s="1833"/>
      <c r="B288" s="1833"/>
      <c r="C288" s="1831"/>
      <c r="D288" s="1831"/>
      <c r="E288" s="1831"/>
      <c r="F288" s="1832"/>
      <c r="G288" s="1832"/>
      <c r="H288" s="1832"/>
      <c r="I288" s="1832"/>
      <c r="J288" s="1832"/>
      <c r="K288" s="1832"/>
      <c r="L288" s="1832"/>
      <c r="M288" s="1832"/>
      <c r="N288" s="1832"/>
      <c r="O288" s="1832"/>
      <c r="P288" s="1832"/>
      <c r="Q288" s="1832"/>
      <c r="R288" s="1832"/>
      <c r="S288" s="1832"/>
      <c r="T288" s="1832"/>
      <c r="U288" s="1832"/>
      <c r="V288" s="1832"/>
      <c r="W288" s="1832"/>
      <c r="X288" s="1832"/>
      <c r="Y288" s="1832"/>
      <c r="Z288" s="1832"/>
      <c r="AA288" s="1831"/>
      <c r="AB288" s="1831"/>
      <c r="AC288" s="1831"/>
      <c r="AD288" s="1831"/>
      <c r="AE288" s="1831"/>
      <c r="AF288" s="1831"/>
      <c r="AG288" s="1832"/>
    </row>
    <row r="289" spans="1:33">
      <c r="A289" s="1833"/>
      <c r="B289" s="1833"/>
      <c r="C289" s="1831"/>
      <c r="D289" s="1831"/>
      <c r="E289" s="1831"/>
      <c r="F289" s="1832"/>
      <c r="G289" s="1832"/>
      <c r="H289" s="1832"/>
      <c r="I289" s="1832"/>
      <c r="J289" s="1832"/>
      <c r="K289" s="1832"/>
      <c r="L289" s="1832"/>
      <c r="M289" s="1832"/>
      <c r="N289" s="1832"/>
      <c r="O289" s="1832"/>
      <c r="P289" s="1832"/>
      <c r="Q289" s="1832"/>
      <c r="R289" s="1832"/>
      <c r="S289" s="1832"/>
      <c r="T289" s="1832"/>
      <c r="U289" s="1832"/>
      <c r="V289" s="1832"/>
      <c r="W289" s="1832"/>
      <c r="X289" s="1832"/>
      <c r="Y289" s="1832"/>
      <c r="Z289" s="1832"/>
      <c r="AA289" s="1831"/>
      <c r="AB289" s="1831"/>
      <c r="AC289" s="1831"/>
      <c r="AD289" s="1831"/>
      <c r="AE289" s="1831"/>
      <c r="AF289" s="1831"/>
      <c r="AG289" s="1832"/>
    </row>
    <row r="290" spans="1:33">
      <c r="A290" s="1833"/>
      <c r="B290" s="1833"/>
      <c r="C290" s="1831"/>
      <c r="D290" s="1831"/>
      <c r="E290" s="1831"/>
      <c r="F290" s="1832"/>
      <c r="G290" s="1832"/>
      <c r="H290" s="1832"/>
      <c r="I290" s="1832"/>
      <c r="J290" s="1832"/>
      <c r="K290" s="1832"/>
      <c r="L290" s="1832"/>
      <c r="M290" s="1832"/>
      <c r="N290" s="1832"/>
      <c r="O290" s="1832"/>
      <c r="P290" s="1832"/>
      <c r="Q290" s="1832"/>
      <c r="R290" s="1832"/>
      <c r="S290" s="1832"/>
      <c r="T290" s="1832"/>
      <c r="U290" s="1832"/>
      <c r="V290" s="1832"/>
      <c r="W290" s="1832"/>
      <c r="X290" s="1832"/>
      <c r="Y290" s="1832"/>
      <c r="Z290" s="1832"/>
      <c r="AA290" s="1831"/>
      <c r="AB290" s="1831"/>
      <c r="AC290" s="1831"/>
      <c r="AD290" s="1831"/>
      <c r="AE290" s="1831"/>
      <c r="AF290" s="1831"/>
      <c r="AG290" s="1832"/>
    </row>
    <row r="291" spans="1:33">
      <c r="A291" s="1833"/>
      <c r="B291" s="1833"/>
      <c r="C291" s="1831"/>
      <c r="D291" s="1831"/>
      <c r="E291" s="1831"/>
      <c r="F291" s="1832"/>
      <c r="G291" s="1832"/>
      <c r="H291" s="1832"/>
      <c r="I291" s="1832"/>
      <c r="J291" s="1832"/>
      <c r="K291" s="1832"/>
      <c r="L291" s="1832"/>
      <c r="M291" s="1832"/>
      <c r="N291" s="1832"/>
      <c r="O291" s="1832"/>
      <c r="P291" s="1832"/>
      <c r="Q291" s="1832"/>
      <c r="R291" s="1832"/>
      <c r="S291" s="1832"/>
      <c r="T291" s="1832"/>
      <c r="U291" s="1832"/>
      <c r="V291" s="1832"/>
      <c r="W291" s="1832"/>
      <c r="X291" s="1832"/>
      <c r="Y291" s="1832"/>
      <c r="Z291" s="1832"/>
      <c r="AA291" s="1831"/>
      <c r="AB291" s="1831"/>
      <c r="AC291" s="1831"/>
      <c r="AD291" s="1831"/>
      <c r="AE291" s="1831"/>
      <c r="AF291" s="1831"/>
      <c r="AG291" s="1832"/>
    </row>
    <row r="292" spans="1:33">
      <c r="A292" s="1833"/>
      <c r="B292" s="1833"/>
      <c r="C292" s="1831"/>
      <c r="D292" s="1831"/>
      <c r="E292" s="1831"/>
      <c r="F292" s="1832"/>
      <c r="G292" s="1832"/>
      <c r="H292" s="1832"/>
      <c r="I292" s="1832"/>
      <c r="J292" s="1832"/>
      <c r="K292" s="1832"/>
      <c r="L292" s="1832"/>
      <c r="M292" s="1832"/>
      <c r="N292" s="1832"/>
      <c r="O292" s="1832"/>
      <c r="P292" s="1832"/>
      <c r="Q292" s="1832"/>
      <c r="R292" s="1832"/>
      <c r="S292" s="1832"/>
      <c r="T292" s="1832"/>
      <c r="U292" s="1832"/>
      <c r="V292" s="1832"/>
      <c r="W292" s="1832"/>
      <c r="X292" s="1832"/>
      <c r="Y292" s="1832"/>
      <c r="Z292" s="1832"/>
      <c r="AA292" s="1831"/>
      <c r="AB292" s="1831"/>
      <c r="AC292" s="1831"/>
      <c r="AD292" s="1831"/>
      <c r="AE292" s="1831"/>
      <c r="AF292" s="1831"/>
      <c r="AG292" s="1832"/>
    </row>
    <row r="293" spans="1:33">
      <c r="A293" s="1833"/>
      <c r="B293" s="1833"/>
      <c r="C293" s="1831"/>
      <c r="D293" s="1831"/>
      <c r="E293" s="1831"/>
      <c r="F293" s="1832"/>
      <c r="G293" s="1832"/>
      <c r="H293" s="1832"/>
      <c r="I293" s="1832"/>
      <c r="J293" s="1832"/>
      <c r="K293" s="1832"/>
      <c r="L293" s="1832"/>
      <c r="M293" s="1832"/>
      <c r="N293" s="1832"/>
      <c r="O293" s="1832"/>
      <c r="P293" s="1832"/>
      <c r="Q293" s="1832"/>
      <c r="R293" s="1832"/>
      <c r="S293" s="1832"/>
      <c r="T293" s="1832"/>
      <c r="U293" s="1832"/>
      <c r="V293" s="1832"/>
      <c r="W293" s="1832"/>
      <c r="X293" s="1832"/>
      <c r="Y293" s="1832"/>
      <c r="Z293" s="1832"/>
      <c r="AA293" s="1831"/>
      <c r="AB293" s="1831"/>
      <c r="AC293" s="1831"/>
      <c r="AD293" s="1831"/>
      <c r="AE293" s="1831"/>
      <c r="AF293" s="1831"/>
      <c r="AG293" s="1832"/>
    </row>
    <row r="294" spans="1:33">
      <c r="A294" s="1833"/>
      <c r="B294" s="1833"/>
      <c r="C294" s="1831"/>
      <c r="D294" s="1831"/>
      <c r="E294" s="1831"/>
      <c r="F294" s="1832"/>
      <c r="G294" s="1832"/>
      <c r="H294" s="1832"/>
      <c r="I294" s="1832"/>
      <c r="J294" s="1832"/>
      <c r="K294" s="1832"/>
      <c r="L294" s="1832"/>
      <c r="M294" s="1832"/>
      <c r="N294" s="1832"/>
      <c r="O294" s="1832"/>
      <c r="P294" s="1832"/>
      <c r="Q294" s="1832"/>
      <c r="R294" s="1832"/>
      <c r="S294" s="1832"/>
      <c r="T294" s="1832"/>
      <c r="U294" s="1832"/>
      <c r="V294" s="1832"/>
      <c r="W294" s="1832"/>
      <c r="X294" s="1832"/>
      <c r="Y294" s="1832"/>
      <c r="Z294" s="1832"/>
      <c r="AA294" s="1831"/>
      <c r="AB294" s="1831"/>
      <c r="AC294" s="1831"/>
      <c r="AD294" s="1831"/>
      <c r="AE294" s="1831"/>
      <c r="AF294" s="1831"/>
      <c r="AG294" s="1832"/>
    </row>
    <row r="295" spans="1:33">
      <c r="A295" s="1833"/>
      <c r="B295" s="1833"/>
      <c r="C295" s="1831"/>
      <c r="D295" s="1831"/>
      <c r="E295" s="1831"/>
      <c r="F295" s="1832"/>
      <c r="G295" s="1832"/>
      <c r="H295" s="1832"/>
      <c r="I295" s="1832"/>
      <c r="J295" s="1832"/>
      <c r="K295" s="1832"/>
      <c r="L295" s="1832"/>
      <c r="M295" s="1832"/>
      <c r="N295" s="1832"/>
      <c r="O295" s="1832"/>
      <c r="P295" s="1832"/>
      <c r="Q295" s="1832"/>
      <c r="R295" s="1832"/>
      <c r="S295" s="1832"/>
      <c r="T295" s="1832"/>
      <c r="U295" s="1832"/>
      <c r="V295" s="1832"/>
      <c r="W295" s="1832"/>
      <c r="X295" s="1832"/>
      <c r="Y295" s="1832"/>
      <c r="Z295" s="1832"/>
      <c r="AA295" s="1831"/>
      <c r="AB295" s="1831"/>
      <c r="AC295" s="1831"/>
      <c r="AD295" s="1831"/>
      <c r="AE295" s="1831"/>
      <c r="AF295" s="1831"/>
      <c r="AG295" s="1832"/>
    </row>
    <row r="296" spans="1:33">
      <c r="A296" s="1833"/>
      <c r="B296" s="1833"/>
      <c r="C296" s="1831"/>
      <c r="D296" s="1831"/>
      <c r="E296" s="1831"/>
      <c r="F296" s="1832"/>
      <c r="G296" s="1832"/>
      <c r="H296" s="1832"/>
      <c r="I296" s="1832"/>
      <c r="J296" s="1832"/>
      <c r="K296" s="1832"/>
      <c r="L296" s="1832"/>
      <c r="M296" s="1832"/>
      <c r="N296" s="1832"/>
      <c r="O296" s="1832"/>
      <c r="P296" s="1832"/>
      <c r="Q296" s="1832"/>
      <c r="R296" s="1832"/>
      <c r="S296" s="1832"/>
      <c r="T296" s="1832"/>
      <c r="U296" s="1832"/>
      <c r="V296" s="1832"/>
      <c r="W296" s="1832"/>
      <c r="X296" s="1832"/>
      <c r="Y296" s="1832"/>
      <c r="Z296" s="1832"/>
      <c r="AA296" s="1831"/>
      <c r="AB296" s="1831"/>
      <c r="AC296" s="1831"/>
      <c r="AD296" s="1831"/>
      <c r="AE296" s="1831"/>
      <c r="AF296" s="1831"/>
      <c r="AG296" s="1832"/>
    </row>
    <row r="297" spans="1:33">
      <c r="A297" s="1833"/>
      <c r="B297" s="1833"/>
      <c r="C297" s="1831"/>
      <c r="D297" s="1831"/>
      <c r="E297" s="1831"/>
      <c r="F297" s="1832"/>
      <c r="G297" s="1832"/>
      <c r="H297" s="1832"/>
      <c r="I297" s="1832"/>
      <c r="J297" s="1832"/>
      <c r="K297" s="1832"/>
      <c r="L297" s="1832"/>
      <c r="M297" s="1832"/>
      <c r="N297" s="1832"/>
      <c r="O297" s="1832"/>
      <c r="P297" s="1832"/>
      <c r="Q297" s="1832"/>
      <c r="R297" s="1832"/>
      <c r="S297" s="1832"/>
      <c r="T297" s="1832"/>
      <c r="U297" s="1832"/>
      <c r="V297" s="1832"/>
      <c r="W297" s="1832"/>
      <c r="X297" s="1832"/>
      <c r="Y297" s="1832"/>
      <c r="Z297" s="1832"/>
      <c r="AA297" s="1831"/>
      <c r="AB297" s="1831"/>
      <c r="AC297" s="1831"/>
      <c r="AD297" s="1831"/>
      <c r="AE297" s="1831"/>
      <c r="AF297" s="1831"/>
      <c r="AG297" s="1832"/>
    </row>
    <row r="298" spans="1:33">
      <c r="A298" s="1833"/>
      <c r="B298" s="1833"/>
      <c r="C298" s="1831"/>
      <c r="D298" s="1831"/>
      <c r="E298" s="1831"/>
      <c r="F298" s="1832"/>
      <c r="G298" s="1832"/>
      <c r="H298" s="1832"/>
      <c r="I298" s="1832"/>
      <c r="J298" s="1832"/>
      <c r="K298" s="1832"/>
      <c r="L298" s="1832"/>
      <c r="M298" s="1832"/>
      <c r="N298" s="1832"/>
      <c r="O298" s="1832"/>
      <c r="P298" s="1832"/>
      <c r="Q298" s="1832"/>
      <c r="R298" s="1832"/>
      <c r="S298" s="1832"/>
      <c r="T298" s="1832"/>
      <c r="U298" s="1832"/>
      <c r="V298" s="1832"/>
      <c r="W298" s="1832"/>
      <c r="X298" s="1832"/>
      <c r="Y298" s="1832"/>
      <c r="Z298" s="1832"/>
      <c r="AA298" s="1831"/>
      <c r="AB298" s="1831"/>
      <c r="AC298" s="1831"/>
      <c r="AD298" s="1831"/>
      <c r="AE298" s="1831"/>
      <c r="AF298" s="1831"/>
      <c r="AG298" s="1832"/>
    </row>
    <row r="299" spans="1:33">
      <c r="A299" s="1833"/>
      <c r="B299" s="1833"/>
      <c r="C299" s="1831"/>
      <c r="D299" s="1831"/>
      <c r="E299" s="1831"/>
      <c r="F299" s="1832"/>
      <c r="G299" s="1832"/>
      <c r="H299" s="1832"/>
      <c r="I299" s="1832"/>
      <c r="J299" s="1832"/>
      <c r="K299" s="1832"/>
      <c r="L299" s="1832"/>
      <c r="M299" s="1832"/>
      <c r="N299" s="1832"/>
      <c r="O299" s="1832"/>
      <c r="P299" s="1832"/>
      <c r="Q299" s="1832"/>
      <c r="R299" s="1832"/>
      <c r="S299" s="1832"/>
      <c r="T299" s="1832"/>
      <c r="U299" s="1832"/>
      <c r="V299" s="1832"/>
      <c r="W299" s="1832"/>
      <c r="X299" s="1832"/>
      <c r="Y299" s="1832"/>
      <c r="Z299" s="1832"/>
      <c r="AA299" s="1831"/>
      <c r="AB299" s="1831"/>
      <c r="AC299" s="1831"/>
      <c r="AD299" s="1831"/>
      <c r="AE299" s="1831"/>
      <c r="AF299" s="1831"/>
      <c r="AG299" s="1832"/>
    </row>
    <row r="300" spans="1:33">
      <c r="A300" s="1833"/>
      <c r="B300" s="1833"/>
      <c r="C300" s="1831"/>
      <c r="D300" s="1831"/>
      <c r="E300" s="1831"/>
      <c r="F300" s="1832"/>
      <c r="G300" s="1832"/>
      <c r="H300" s="1832"/>
      <c r="I300" s="1832"/>
      <c r="J300" s="1832"/>
      <c r="K300" s="1832"/>
      <c r="L300" s="1832"/>
      <c r="M300" s="1832"/>
      <c r="N300" s="1832"/>
      <c r="O300" s="1832"/>
      <c r="P300" s="1832"/>
      <c r="Q300" s="1832"/>
      <c r="R300" s="1832"/>
      <c r="S300" s="1832"/>
      <c r="T300" s="1832"/>
      <c r="U300" s="1832"/>
      <c r="V300" s="1832"/>
      <c r="W300" s="1832"/>
      <c r="X300" s="1832"/>
      <c r="Y300" s="1832"/>
      <c r="Z300" s="1832"/>
      <c r="AA300" s="1831"/>
      <c r="AB300" s="1831"/>
      <c r="AC300" s="1831"/>
      <c r="AD300" s="1831"/>
      <c r="AE300" s="1831"/>
      <c r="AF300" s="1831"/>
      <c r="AG300" s="1832"/>
    </row>
    <row r="301" spans="1:33">
      <c r="A301" s="1833"/>
      <c r="B301" s="1833"/>
      <c r="C301" s="1831"/>
      <c r="D301" s="1831"/>
      <c r="E301" s="1831"/>
      <c r="F301" s="1832"/>
      <c r="G301" s="1832"/>
      <c r="H301" s="1832"/>
      <c r="I301" s="1832"/>
      <c r="J301" s="1832"/>
      <c r="K301" s="1832"/>
      <c r="L301" s="1832"/>
      <c r="M301" s="1832"/>
      <c r="N301" s="1832"/>
      <c r="O301" s="1832"/>
      <c r="P301" s="1832"/>
      <c r="Q301" s="1832"/>
      <c r="R301" s="1832"/>
      <c r="S301" s="1832"/>
      <c r="T301" s="1832"/>
      <c r="U301" s="1832"/>
      <c r="V301" s="1832"/>
      <c r="W301" s="1832"/>
      <c r="X301" s="1832"/>
      <c r="Y301" s="1832"/>
      <c r="Z301" s="1832"/>
      <c r="AA301" s="1831"/>
      <c r="AB301" s="1831"/>
      <c r="AC301" s="1831"/>
      <c r="AD301" s="1831"/>
      <c r="AE301" s="1831"/>
      <c r="AF301" s="1831"/>
      <c r="AG301" s="1832"/>
    </row>
    <row r="302" spans="1:33">
      <c r="A302" s="1833"/>
      <c r="B302" s="1833"/>
      <c r="C302" s="1831"/>
      <c r="D302" s="1831"/>
      <c r="E302" s="1831"/>
      <c r="F302" s="1832"/>
      <c r="G302" s="1832"/>
      <c r="H302" s="1832"/>
      <c r="I302" s="1832"/>
      <c r="J302" s="1832"/>
      <c r="K302" s="1832"/>
      <c r="L302" s="1832"/>
      <c r="M302" s="1832"/>
      <c r="N302" s="1832"/>
      <c r="O302" s="1832"/>
      <c r="P302" s="1832"/>
      <c r="Q302" s="1832"/>
      <c r="R302" s="1832"/>
      <c r="S302" s="1832"/>
      <c r="T302" s="1832"/>
      <c r="U302" s="1832"/>
      <c r="V302" s="1832"/>
      <c r="W302" s="1832"/>
      <c r="X302" s="1832"/>
      <c r="Y302" s="1832"/>
      <c r="Z302" s="1832"/>
      <c r="AA302" s="1831"/>
      <c r="AB302" s="1831"/>
      <c r="AC302" s="1831"/>
      <c r="AD302" s="1831"/>
      <c r="AE302" s="1831"/>
      <c r="AF302" s="1831"/>
      <c r="AG302" s="1832"/>
    </row>
    <row r="303" spans="1:33">
      <c r="A303" s="1833"/>
      <c r="B303" s="1833"/>
      <c r="C303" s="1831"/>
      <c r="D303" s="1831"/>
      <c r="E303" s="1831"/>
      <c r="F303" s="1832"/>
      <c r="G303" s="1832"/>
      <c r="H303" s="1832"/>
      <c r="I303" s="1832"/>
      <c r="J303" s="1832"/>
      <c r="K303" s="1832"/>
      <c r="L303" s="1832"/>
      <c r="M303" s="1832"/>
      <c r="N303" s="1832"/>
      <c r="O303" s="1832"/>
      <c r="P303" s="1832"/>
      <c r="Q303" s="1832"/>
      <c r="R303" s="1832"/>
      <c r="S303" s="1832"/>
      <c r="T303" s="1832"/>
      <c r="U303" s="1832"/>
      <c r="V303" s="1832"/>
      <c r="W303" s="1832"/>
      <c r="X303" s="1832"/>
      <c r="Y303" s="1832"/>
      <c r="Z303" s="1832"/>
      <c r="AA303" s="1831"/>
      <c r="AB303" s="1831"/>
      <c r="AC303" s="1831"/>
      <c r="AD303" s="1831"/>
      <c r="AE303" s="1831"/>
      <c r="AF303" s="1831"/>
      <c r="AG303" s="1832"/>
    </row>
    <row r="304" spans="1:33">
      <c r="A304" s="1833"/>
      <c r="B304" s="1833"/>
      <c r="C304" s="1831"/>
      <c r="D304" s="1831"/>
      <c r="E304" s="1831"/>
      <c r="F304" s="1832"/>
      <c r="G304" s="1832"/>
      <c r="H304" s="1832"/>
      <c r="I304" s="1832"/>
      <c r="J304" s="1832"/>
      <c r="K304" s="1832"/>
      <c r="L304" s="1832"/>
      <c r="M304" s="1832"/>
      <c r="N304" s="1832"/>
      <c r="O304" s="1832"/>
      <c r="P304" s="1832"/>
      <c r="Q304" s="1832"/>
      <c r="R304" s="1832"/>
      <c r="S304" s="1832"/>
      <c r="T304" s="1832"/>
      <c r="U304" s="1832"/>
      <c r="V304" s="1832"/>
      <c r="W304" s="1832"/>
      <c r="X304" s="1832"/>
      <c r="Y304" s="1832"/>
      <c r="Z304" s="1832"/>
      <c r="AA304" s="1831"/>
      <c r="AB304" s="1831"/>
      <c r="AC304" s="1831"/>
      <c r="AD304" s="1831"/>
      <c r="AE304" s="1831"/>
      <c r="AF304" s="1831"/>
      <c r="AG304" s="1832"/>
    </row>
    <row r="305" spans="1:33">
      <c r="A305" s="1833"/>
      <c r="B305" s="1833"/>
      <c r="C305" s="1831"/>
      <c r="D305" s="1831"/>
      <c r="E305" s="1831"/>
      <c r="F305" s="1832"/>
      <c r="G305" s="1832"/>
      <c r="H305" s="1832"/>
      <c r="I305" s="1832"/>
      <c r="J305" s="1832"/>
      <c r="K305" s="1832"/>
      <c r="L305" s="1832"/>
      <c r="M305" s="1832"/>
      <c r="N305" s="1832"/>
      <c r="O305" s="1832"/>
      <c r="P305" s="1832"/>
      <c r="Q305" s="1832"/>
      <c r="R305" s="1832"/>
      <c r="S305" s="1832"/>
      <c r="T305" s="1832"/>
      <c r="U305" s="1832"/>
      <c r="V305" s="1832"/>
      <c r="W305" s="1832"/>
      <c r="X305" s="1832"/>
      <c r="Y305" s="1832"/>
      <c r="Z305" s="1832"/>
      <c r="AA305" s="1831"/>
      <c r="AB305" s="1831"/>
      <c r="AC305" s="1831"/>
      <c r="AD305" s="1831"/>
      <c r="AE305" s="1831"/>
      <c r="AF305" s="1831"/>
      <c r="AG305" s="1832"/>
    </row>
    <row r="306" spans="1:33">
      <c r="A306" s="1833"/>
      <c r="B306" s="1833"/>
      <c r="C306" s="1831"/>
      <c r="D306" s="1831"/>
      <c r="E306" s="1831"/>
      <c r="F306" s="1832"/>
      <c r="G306" s="1832"/>
      <c r="H306" s="1832"/>
      <c r="I306" s="1832"/>
      <c r="J306" s="1832"/>
      <c r="K306" s="1832"/>
      <c r="L306" s="1832"/>
      <c r="M306" s="1832"/>
      <c r="N306" s="1832"/>
      <c r="O306" s="1832"/>
      <c r="P306" s="1832"/>
      <c r="Q306" s="1832"/>
      <c r="R306" s="1832"/>
      <c r="S306" s="1832"/>
      <c r="T306" s="1832"/>
      <c r="U306" s="1832"/>
      <c r="V306" s="1832"/>
      <c r="W306" s="1832"/>
      <c r="X306" s="1832"/>
      <c r="Y306" s="1832"/>
      <c r="Z306" s="1832"/>
      <c r="AA306" s="1831"/>
      <c r="AB306" s="1831"/>
      <c r="AC306" s="1831"/>
      <c r="AD306" s="1831"/>
      <c r="AE306" s="1831"/>
      <c r="AF306" s="1831"/>
      <c r="AG306" s="1832"/>
    </row>
    <row r="307" spans="1:33">
      <c r="A307" s="1833"/>
      <c r="B307" s="1833"/>
      <c r="C307" s="1831"/>
      <c r="D307" s="1831"/>
      <c r="E307" s="1831"/>
      <c r="F307" s="1832"/>
      <c r="G307" s="1832"/>
      <c r="H307" s="1832"/>
      <c r="I307" s="1832"/>
      <c r="J307" s="1832"/>
      <c r="K307" s="1832"/>
      <c r="L307" s="1832"/>
      <c r="M307" s="1832"/>
      <c r="N307" s="1832"/>
      <c r="O307" s="1832"/>
      <c r="P307" s="1832"/>
      <c r="Q307" s="1832"/>
      <c r="R307" s="1832"/>
      <c r="S307" s="1832"/>
      <c r="T307" s="1832"/>
      <c r="U307" s="1832"/>
      <c r="V307" s="1832"/>
      <c r="W307" s="1832"/>
      <c r="X307" s="1832"/>
      <c r="Y307" s="1832"/>
      <c r="Z307" s="1832"/>
      <c r="AA307" s="1831"/>
      <c r="AB307" s="1831"/>
      <c r="AC307" s="1831"/>
      <c r="AD307" s="1831"/>
      <c r="AE307" s="1831"/>
      <c r="AF307" s="1831"/>
      <c r="AG307" s="1832"/>
    </row>
    <row r="308" spans="1:33">
      <c r="A308" s="1833"/>
      <c r="B308" s="1833"/>
      <c r="C308" s="1831"/>
      <c r="D308" s="1831"/>
      <c r="E308" s="1831"/>
      <c r="F308" s="1832"/>
      <c r="G308" s="1832"/>
      <c r="H308" s="1832"/>
      <c r="I308" s="1832"/>
      <c r="J308" s="1832"/>
      <c r="K308" s="1832"/>
      <c r="L308" s="1832"/>
      <c r="M308" s="1832"/>
      <c r="N308" s="1832"/>
      <c r="O308" s="1832"/>
      <c r="P308" s="1832"/>
      <c r="Q308" s="1832"/>
      <c r="R308" s="1832"/>
      <c r="S308" s="1832"/>
      <c r="T308" s="1832"/>
      <c r="U308" s="1832"/>
      <c r="V308" s="1832"/>
      <c r="W308" s="1832"/>
      <c r="X308" s="1832"/>
      <c r="Y308" s="1832"/>
      <c r="Z308" s="1832"/>
      <c r="AA308" s="1831"/>
      <c r="AB308" s="1831"/>
      <c r="AC308" s="1831"/>
      <c r="AD308" s="1831"/>
      <c r="AE308" s="1831"/>
      <c r="AF308" s="1831"/>
      <c r="AG308" s="1832"/>
    </row>
    <row r="309" spans="1:33">
      <c r="A309" s="1833"/>
      <c r="B309" s="1833"/>
      <c r="C309" s="1831"/>
      <c r="D309" s="1831"/>
      <c r="E309" s="1831"/>
      <c r="F309" s="1832"/>
      <c r="G309" s="1832"/>
      <c r="H309" s="1832"/>
      <c r="I309" s="1832"/>
      <c r="J309" s="1832"/>
      <c r="K309" s="1832"/>
      <c r="L309" s="1832"/>
      <c r="M309" s="1832"/>
      <c r="N309" s="1832"/>
      <c r="O309" s="1832"/>
      <c r="P309" s="1832"/>
      <c r="Q309" s="1832"/>
      <c r="R309" s="1832"/>
      <c r="S309" s="1832"/>
      <c r="T309" s="1832"/>
      <c r="U309" s="1832"/>
      <c r="V309" s="1832"/>
      <c r="W309" s="1832"/>
      <c r="X309" s="1832"/>
      <c r="Y309" s="1832"/>
      <c r="Z309" s="1832"/>
      <c r="AA309" s="1831"/>
      <c r="AB309" s="1831"/>
      <c r="AC309" s="1831"/>
      <c r="AD309" s="1831"/>
      <c r="AE309" s="1831"/>
      <c r="AF309" s="1831"/>
      <c r="AG309" s="1832"/>
    </row>
    <row r="310" spans="1:33">
      <c r="A310" s="1833"/>
      <c r="B310" s="1833"/>
      <c r="C310" s="1831"/>
      <c r="D310" s="1831"/>
      <c r="E310" s="1831"/>
      <c r="F310" s="1832"/>
      <c r="G310" s="1832"/>
      <c r="H310" s="1832"/>
      <c r="I310" s="1832"/>
      <c r="J310" s="1832"/>
      <c r="K310" s="1832"/>
      <c r="L310" s="1832"/>
      <c r="M310" s="1832"/>
      <c r="N310" s="1832"/>
      <c r="O310" s="1832"/>
      <c r="P310" s="1832"/>
      <c r="Q310" s="1832"/>
      <c r="R310" s="1832"/>
      <c r="S310" s="1832"/>
      <c r="T310" s="1832"/>
      <c r="U310" s="1832"/>
      <c r="V310" s="1832"/>
      <c r="W310" s="1832"/>
      <c r="X310" s="1832"/>
      <c r="Y310" s="1832"/>
      <c r="Z310" s="1832"/>
      <c r="AA310" s="1831"/>
      <c r="AB310" s="1831"/>
      <c r="AC310" s="1831"/>
      <c r="AD310" s="1831"/>
      <c r="AE310" s="1831"/>
      <c r="AF310" s="1831"/>
      <c r="AG310" s="1832"/>
    </row>
    <row r="311" spans="1:33">
      <c r="A311" s="1833"/>
      <c r="B311" s="1833"/>
      <c r="C311" s="1831"/>
      <c r="D311" s="1831"/>
      <c r="E311" s="1831"/>
      <c r="F311" s="1832"/>
      <c r="G311" s="1832"/>
      <c r="H311" s="1832"/>
      <c r="I311" s="1832"/>
      <c r="J311" s="1832"/>
      <c r="K311" s="1832"/>
      <c r="L311" s="1832"/>
      <c r="M311" s="1832"/>
      <c r="N311" s="1832"/>
      <c r="O311" s="1832"/>
      <c r="P311" s="1832"/>
      <c r="Q311" s="1832"/>
      <c r="R311" s="1832"/>
      <c r="S311" s="1832"/>
      <c r="T311" s="1832"/>
      <c r="U311" s="1832"/>
      <c r="V311" s="1832"/>
      <c r="W311" s="1832"/>
      <c r="X311" s="1832"/>
      <c r="Y311" s="1832"/>
      <c r="Z311" s="1832"/>
      <c r="AA311" s="1831"/>
      <c r="AB311" s="1831"/>
      <c r="AC311" s="1831"/>
      <c r="AD311" s="1831"/>
      <c r="AE311" s="1831"/>
      <c r="AF311" s="1831"/>
      <c r="AG311" s="1832"/>
    </row>
    <row r="312" spans="1:33">
      <c r="A312" s="1833"/>
      <c r="B312" s="1833"/>
      <c r="C312" s="1831"/>
      <c r="D312" s="1831"/>
      <c r="E312" s="1831"/>
      <c r="F312" s="1832"/>
      <c r="G312" s="1832"/>
      <c r="H312" s="1832"/>
      <c r="I312" s="1832"/>
      <c r="J312" s="1832"/>
      <c r="K312" s="1832"/>
      <c r="L312" s="1832"/>
      <c r="M312" s="1832"/>
      <c r="N312" s="1832"/>
      <c r="O312" s="1832"/>
      <c r="P312" s="1832"/>
      <c r="Q312" s="1832"/>
      <c r="R312" s="1832"/>
      <c r="S312" s="1832"/>
      <c r="T312" s="1832"/>
      <c r="U312" s="1832"/>
      <c r="V312" s="1832"/>
      <c r="W312" s="1832"/>
      <c r="X312" s="1832"/>
      <c r="Y312" s="1832"/>
      <c r="Z312" s="1832"/>
      <c r="AA312" s="1831"/>
      <c r="AB312" s="1831"/>
      <c r="AC312" s="1831"/>
      <c r="AD312" s="1831"/>
      <c r="AE312" s="1831"/>
      <c r="AF312" s="1831"/>
      <c r="AG312" s="1832"/>
    </row>
    <row r="313" spans="1:33">
      <c r="A313" s="1833"/>
      <c r="B313" s="1833"/>
      <c r="C313" s="1831"/>
      <c r="D313" s="1831"/>
      <c r="E313" s="1831"/>
      <c r="F313" s="1832"/>
      <c r="G313" s="1832"/>
      <c r="H313" s="1832"/>
      <c r="I313" s="1832"/>
      <c r="J313" s="1832"/>
      <c r="K313" s="1832"/>
      <c r="L313" s="1832"/>
      <c r="M313" s="1832"/>
      <c r="N313" s="1832"/>
      <c r="O313" s="1832"/>
      <c r="P313" s="1832"/>
      <c r="Q313" s="1832"/>
      <c r="R313" s="1832"/>
      <c r="S313" s="1832"/>
      <c r="T313" s="1832"/>
      <c r="U313" s="1832"/>
      <c r="V313" s="1832"/>
      <c r="W313" s="1832"/>
      <c r="X313" s="1832"/>
      <c r="Y313" s="1832"/>
      <c r="Z313" s="1832"/>
      <c r="AA313" s="1831"/>
      <c r="AB313" s="1831"/>
      <c r="AC313" s="1831"/>
      <c r="AD313" s="1831"/>
      <c r="AE313" s="1831"/>
      <c r="AF313" s="1831"/>
      <c r="AG313" s="1832"/>
    </row>
    <row r="314" spans="1:33">
      <c r="A314" s="1833"/>
      <c r="B314" s="1833"/>
      <c r="C314" s="1831"/>
      <c r="D314" s="1831"/>
      <c r="E314" s="1831"/>
      <c r="F314" s="1832"/>
      <c r="G314" s="1832"/>
      <c r="H314" s="1832"/>
      <c r="I314" s="1832"/>
      <c r="J314" s="1832"/>
      <c r="K314" s="1832"/>
      <c r="L314" s="1832"/>
      <c r="M314" s="1832"/>
      <c r="N314" s="1832"/>
      <c r="O314" s="1832"/>
      <c r="P314" s="1832"/>
      <c r="Q314" s="1832"/>
      <c r="R314" s="1832"/>
      <c r="S314" s="1832"/>
      <c r="T314" s="1832"/>
      <c r="U314" s="1832"/>
      <c r="V314" s="1832"/>
      <c r="W314" s="1832"/>
      <c r="X314" s="1832"/>
      <c r="Y314" s="1832"/>
      <c r="Z314" s="1832"/>
      <c r="AA314" s="1831"/>
      <c r="AB314" s="1831"/>
      <c r="AC314" s="1831"/>
      <c r="AD314" s="1831"/>
      <c r="AE314" s="1831"/>
      <c r="AF314" s="1831"/>
      <c r="AG314" s="1832"/>
    </row>
    <row r="315" spans="1:33">
      <c r="A315" s="1833"/>
      <c r="B315" s="1833"/>
      <c r="C315" s="1831"/>
      <c r="D315" s="1831"/>
      <c r="E315" s="1831"/>
      <c r="F315" s="1832"/>
      <c r="G315" s="1832"/>
      <c r="H315" s="1832"/>
      <c r="I315" s="1832"/>
      <c r="J315" s="1832"/>
      <c r="K315" s="1832"/>
      <c r="L315" s="1832"/>
      <c r="M315" s="1832"/>
      <c r="N315" s="1832"/>
      <c r="O315" s="1832"/>
      <c r="P315" s="1832"/>
      <c r="Q315" s="1832"/>
      <c r="R315" s="1832"/>
      <c r="S315" s="1832"/>
      <c r="T315" s="1832"/>
      <c r="U315" s="1832"/>
      <c r="V315" s="1832"/>
      <c r="W315" s="1832"/>
      <c r="X315" s="1832"/>
      <c r="Y315" s="1832"/>
      <c r="Z315" s="1832"/>
      <c r="AA315" s="1831"/>
      <c r="AB315" s="1831"/>
      <c r="AC315" s="1831"/>
      <c r="AD315" s="1831"/>
      <c r="AE315" s="1831"/>
      <c r="AF315" s="1831"/>
      <c r="AG315" s="1832"/>
    </row>
    <row r="316" spans="1:33">
      <c r="A316" s="1833"/>
      <c r="B316" s="1833"/>
      <c r="C316" s="1831"/>
      <c r="D316" s="1831"/>
      <c r="E316" s="1831"/>
      <c r="F316" s="1832"/>
      <c r="G316" s="1832"/>
      <c r="H316" s="1832"/>
      <c r="I316" s="1832"/>
      <c r="J316" s="1832"/>
      <c r="K316" s="1832"/>
      <c r="L316" s="1832"/>
      <c r="M316" s="1832"/>
      <c r="N316" s="1832"/>
      <c r="O316" s="1832"/>
      <c r="P316" s="1832"/>
      <c r="Q316" s="1832"/>
      <c r="R316" s="1832"/>
      <c r="S316" s="1832"/>
      <c r="T316" s="1832"/>
      <c r="U316" s="1832"/>
      <c r="V316" s="1832"/>
      <c r="W316" s="1832"/>
      <c r="X316" s="1832"/>
      <c r="Y316" s="1832"/>
      <c r="Z316" s="1832"/>
      <c r="AA316" s="1831"/>
      <c r="AB316" s="1831"/>
      <c r="AC316" s="1831"/>
      <c r="AD316" s="1831"/>
      <c r="AE316" s="1831"/>
      <c r="AF316" s="1831"/>
      <c r="AG316" s="1832"/>
    </row>
    <row r="317" spans="1:33">
      <c r="A317" s="1833"/>
      <c r="B317" s="1833"/>
      <c r="C317" s="1831"/>
      <c r="D317" s="1831"/>
      <c r="E317" s="1831"/>
      <c r="F317" s="1832"/>
      <c r="G317" s="1832"/>
      <c r="H317" s="1832"/>
      <c r="I317" s="1832"/>
      <c r="J317" s="1832"/>
      <c r="K317" s="1832"/>
      <c r="L317" s="1832"/>
      <c r="M317" s="1832"/>
      <c r="N317" s="1832"/>
      <c r="O317" s="1832"/>
      <c r="P317" s="1832"/>
      <c r="Q317" s="1832"/>
      <c r="R317" s="1832"/>
      <c r="S317" s="1832"/>
      <c r="T317" s="1832"/>
      <c r="U317" s="1832"/>
      <c r="V317" s="1832"/>
      <c r="W317" s="1832"/>
      <c r="X317" s="1832"/>
      <c r="Y317" s="1832"/>
      <c r="Z317" s="1832"/>
      <c r="AA317" s="1831"/>
      <c r="AB317" s="1831"/>
      <c r="AC317" s="1831"/>
      <c r="AD317" s="1831"/>
      <c r="AE317" s="1831"/>
      <c r="AF317" s="1831"/>
      <c r="AG317" s="1832"/>
    </row>
    <row r="318" spans="1:33">
      <c r="A318" s="1833"/>
      <c r="B318" s="1833"/>
      <c r="C318" s="1831"/>
      <c r="D318" s="1831"/>
      <c r="E318" s="1831"/>
      <c r="F318" s="1832"/>
      <c r="G318" s="1832"/>
      <c r="H318" s="1832"/>
      <c r="I318" s="1832"/>
      <c r="J318" s="1832"/>
      <c r="K318" s="1832"/>
      <c r="L318" s="1832"/>
      <c r="M318" s="1832"/>
      <c r="N318" s="1832"/>
      <c r="O318" s="1832"/>
      <c r="P318" s="1832"/>
      <c r="Q318" s="1832"/>
      <c r="R318" s="1832"/>
      <c r="S318" s="1832"/>
      <c r="T318" s="1832"/>
      <c r="U318" s="1832"/>
      <c r="V318" s="1832"/>
      <c r="W318" s="1832"/>
      <c r="X318" s="1832"/>
      <c r="Y318" s="1832"/>
      <c r="Z318" s="1832"/>
      <c r="AA318" s="1831"/>
      <c r="AB318" s="1831"/>
      <c r="AC318" s="1831"/>
      <c r="AD318" s="1831"/>
      <c r="AE318" s="1831"/>
      <c r="AF318" s="1831"/>
      <c r="AG318" s="1832"/>
    </row>
    <row r="319" spans="1:33">
      <c r="A319" s="1833"/>
      <c r="B319" s="1833"/>
      <c r="C319" s="1831"/>
      <c r="D319" s="1831"/>
      <c r="E319" s="1831"/>
      <c r="F319" s="1832"/>
      <c r="G319" s="1832"/>
      <c r="H319" s="1832"/>
      <c r="I319" s="1832"/>
      <c r="J319" s="1832"/>
      <c r="K319" s="1832"/>
      <c r="L319" s="1832"/>
      <c r="M319" s="1832"/>
      <c r="N319" s="1832"/>
      <c r="O319" s="1832"/>
      <c r="P319" s="1832"/>
      <c r="Q319" s="1832"/>
      <c r="R319" s="1832"/>
      <c r="S319" s="1832"/>
      <c r="T319" s="1832"/>
      <c r="U319" s="1832"/>
      <c r="V319" s="1832"/>
      <c r="W319" s="1832"/>
      <c r="X319" s="1832"/>
      <c r="Y319" s="1832"/>
      <c r="Z319" s="1832"/>
      <c r="AA319" s="1831"/>
      <c r="AB319" s="1831"/>
      <c r="AC319" s="1831"/>
      <c r="AD319" s="1831"/>
      <c r="AE319" s="1831"/>
      <c r="AF319" s="1831"/>
      <c r="AG319" s="1832"/>
    </row>
    <row r="320" spans="1:33">
      <c r="A320" s="1833"/>
      <c r="B320" s="1833"/>
      <c r="C320" s="1831"/>
      <c r="D320" s="1831"/>
      <c r="E320" s="1831"/>
      <c r="F320" s="1832"/>
      <c r="G320" s="1832"/>
      <c r="H320" s="1832"/>
      <c r="I320" s="1832"/>
      <c r="J320" s="1832"/>
      <c r="K320" s="1832"/>
      <c r="L320" s="1832"/>
      <c r="M320" s="1832"/>
      <c r="N320" s="1832"/>
      <c r="O320" s="1832"/>
      <c r="P320" s="1832"/>
      <c r="Q320" s="1832"/>
      <c r="R320" s="1832"/>
      <c r="S320" s="1832"/>
      <c r="T320" s="1832"/>
      <c r="U320" s="1832"/>
      <c r="V320" s="1832"/>
      <c r="W320" s="1832"/>
      <c r="X320" s="1832"/>
      <c r="Y320" s="1832"/>
      <c r="Z320" s="1832"/>
      <c r="AA320" s="1831"/>
      <c r="AB320" s="1831"/>
      <c r="AC320" s="1831"/>
      <c r="AD320" s="1831"/>
      <c r="AE320" s="1831"/>
      <c r="AF320" s="1831"/>
      <c r="AG320" s="1832"/>
    </row>
    <row r="321" spans="1:33">
      <c r="A321" s="1833"/>
      <c r="B321" s="1833"/>
      <c r="C321" s="1831"/>
      <c r="D321" s="1831"/>
      <c r="E321" s="1831"/>
      <c r="F321" s="1832"/>
      <c r="G321" s="1832"/>
      <c r="H321" s="1832"/>
      <c r="I321" s="1832"/>
      <c r="J321" s="1832"/>
      <c r="K321" s="1832"/>
      <c r="L321" s="1832"/>
      <c r="M321" s="1832"/>
      <c r="N321" s="1832"/>
      <c r="O321" s="1832"/>
      <c r="P321" s="1832"/>
      <c r="Q321" s="1832"/>
      <c r="R321" s="1832"/>
      <c r="S321" s="1832"/>
      <c r="T321" s="1832"/>
      <c r="U321" s="1832"/>
      <c r="V321" s="1832"/>
      <c r="W321" s="1832"/>
      <c r="X321" s="1832"/>
      <c r="Y321" s="1832"/>
      <c r="Z321" s="1832"/>
      <c r="AA321" s="1831"/>
      <c r="AB321" s="1831"/>
      <c r="AC321" s="1831"/>
      <c r="AD321" s="1831"/>
      <c r="AE321" s="1831"/>
      <c r="AF321" s="1831"/>
      <c r="AG321" s="1832"/>
    </row>
    <row r="322" spans="1:33">
      <c r="A322" s="1833"/>
      <c r="B322" s="1833"/>
      <c r="C322" s="1831"/>
      <c r="D322" s="1831"/>
      <c r="E322" s="1831"/>
      <c r="F322" s="1832"/>
      <c r="G322" s="1832"/>
      <c r="H322" s="1832"/>
      <c r="I322" s="1832"/>
      <c r="J322" s="1832"/>
      <c r="K322" s="1832"/>
      <c r="L322" s="1832"/>
      <c r="M322" s="1832"/>
      <c r="N322" s="1832"/>
      <c r="O322" s="1832"/>
      <c r="P322" s="1832"/>
      <c r="Q322" s="1832"/>
      <c r="R322" s="1832"/>
      <c r="S322" s="1832"/>
      <c r="T322" s="1832"/>
      <c r="U322" s="1832"/>
      <c r="V322" s="1832"/>
      <c r="W322" s="1832"/>
      <c r="X322" s="1832"/>
      <c r="Y322" s="1832"/>
      <c r="Z322" s="1832"/>
      <c r="AA322" s="1831"/>
      <c r="AB322" s="1831"/>
      <c r="AC322" s="1831"/>
      <c r="AD322" s="1831"/>
      <c r="AE322" s="1831"/>
      <c r="AF322" s="1831"/>
      <c r="AG322" s="1832"/>
    </row>
    <row r="323" spans="1:33">
      <c r="A323" s="1833"/>
      <c r="B323" s="1833"/>
      <c r="C323" s="1831"/>
      <c r="D323" s="1831"/>
      <c r="E323" s="1831"/>
      <c r="F323" s="1832"/>
      <c r="G323" s="1832"/>
      <c r="H323" s="1832"/>
      <c r="I323" s="1832"/>
      <c r="J323" s="1832"/>
      <c r="K323" s="1832"/>
      <c r="L323" s="1832"/>
      <c r="M323" s="1832"/>
      <c r="N323" s="1832"/>
      <c r="O323" s="1832"/>
      <c r="P323" s="1832"/>
      <c r="Q323" s="1832"/>
      <c r="R323" s="1832"/>
      <c r="S323" s="1832"/>
      <c r="T323" s="1832"/>
      <c r="U323" s="1832"/>
      <c r="V323" s="1832"/>
      <c r="W323" s="1832"/>
      <c r="X323" s="1832"/>
      <c r="Y323" s="1832"/>
      <c r="Z323" s="1832"/>
      <c r="AA323" s="1831"/>
      <c r="AB323" s="1831"/>
      <c r="AC323" s="1831"/>
      <c r="AD323" s="1831"/>
      <c r="AE323" s="1831"/>
      <c r="AF323" s="1831"/>
      <c r="AG323" s="1832"/>
    </row>
    <row r="324" spans="1:33">
      <c r="A324" s="1833"/>
      <c r="B324" s="1833"/>
      <c r="C324" s="1831"/>
      <c r="D324" s="1831"/>
      <c r="E324" s="1831"/>
      <c r="F324" s="1832"/>
      <c r="G324" s="1832"/>
      <c r="H324" s="1832"/>
      <c r="I324" s="1832"/>
      <c r="J324" s="1832"/>
      <c r="K324" s="1832"/>
      <c r="L324" s="1832"/>
      <c r="M324" s="1832"/>
      <c r="N324" s="1832"/>
      <c r="O324" s="1832"/>
      <c r="P324" s="1832"/>
      <c r="Q324" s="1832"/>
      <c r="R324" s="1832"/>
      <c r="S324" s="1832"/>
      <c r="T324" s="1832"/>
      <c r="U324" s="1832"/>
      <c r="V324" s="1832"/>
      <c r="W324" s="1832"/>
      <c r="X324" s="1832"/>
      <c r="Y324" s="1832"/>
      <c r="Z324" s="1832"/>
      <c r="AA324" s="1831"/>
      <c r="AB324" s="1831"/>
      <c r="AC324" s="1831"/>
      <c r="AD324" s="1831"/>
      <c r="AE324" s="1831"/>
      <c r="AF324" s="1831"/>
      <c r="AG324" s="1832"/>
    </row>
    <row r="325" spans="1:33">
      <c r="A325" s="1833"/>
      <c r="B325" s="1833"/>
      <c r="C325" s="1831"/>
      <c r="D325" s="1831"/>
      <c r="E325" s="1831"/>
      <c r="F325" s="1832"/>
      <c r="G325" s="1832"/>
      <c r="H325" s="1832"/>
      <c r="I325" s="1832"/>
      <c r="J325" s="1832"/>
      <c r="K325" s="1832"/>
      <c r="L325" s="1832"/>
      <c r="M325" s="1832"/>
      <c r="N325" s="1832"/>
      <c r="O325" s="1832"/>
      <c r="P325" s="1832"/>
      <c r="Q325" s="1832"/>
      <c r="R325" s="1832"/>
      <c r="S325" s="1832"/>
      <c r="T325" s="1832"/>
      <c r="U325" s="1832"/>
      <c r="V325" s="1832"/>
      <c r="W325" s="1832"/>
      <c r="X325" s="1832"/>
      <c r="Y325" s="1832"/>
      <c r="Z325" s="1832"/>
      <c r="AA325" s="1831"/>
      <c r="AB325" s="1831"/>
      <c r="AC325" s="1831"/>
      <c r="AD325" s="1831"/>
      <c r="AE325" s="1831"/>
      <c r="AF325" s="1831"/>
      <c r="AG325" s="1832"/>
    </row>
    <row r="326" spans="1:33">
      <c r="A326" s="1833"/>
      <c r="B326" s="1833"/>
      <c r="C326" s="1831"/>
      <c r="D326" s="1831"/>
      <c r="E326" s="1831"/>
      <c r="F326" s="1832"/>
      <c r="G326" s="1832"/>
      <c r="H326" s="1832"/>
      <c r="I326" s="1832"/>
      <c r="J326" s="1832"/>
      <c r="K326" s="1832"/>
      <c r="L326" s="1832"/>
      <c r="M326" s="1832"/>
      <c r="N326" s="1832"/>
      <c r="O326" s="1832"/>
      <c r="P326" s="1832"/>
      <c r="Q326" s="1832"/>
      <c r="R326" s="1832"/>
      <c r="S326" s="1832"/>
      <c r="T326" s="1832"/>
      <c r="U326" s="1832"/>
      <c r="V326" s="1832"/>
      <c r="W326" s="1832"/>
      <c r="X326" s="1832"/>
      <c r="Y326" s="1832"/>
      <c r="Z326" s="1832"/>
      <c r="AA326" s="1831"/>
      <c r="AB326" s="1831"/>
      <c r="AC326" s="1831"/>
      <c r="AD326" s="1831"/>
      <c r="AE326" s="1831"/>
      <c r="AF326" s="1831"/>
      <c r="AG326" s="1832"/>
    </row>
    <row r="327" spans="1:33">
      <c r="A327" s="1833"/>
      <c r="B327" s="1833"/>
      <c r="C327" s="1831"/>
      <c r="D327" s="1831"/>
      <c r="E327" s="1831"/>
      <c r="F327" s="1832"/>
      <c r="G327" s="1832"/>
      <c r="H327" s="1832"/>
      <c r="I327" s="1832"/>
      <c r="J327" s="1832"/>
      <c r="K327" s="1832"/>
      <c r="L327" s="1832"/>
      <c r="M327" s="1832"/>
      <c r="N327" s="1832"/>
      <c r="O327" s="1832"/>
      <c r="P327" s="1832"/>
      <c r="Q327" s="1832"/>
      <c r="R327" s="1832"/>
      <c r="S327" s="1832"/>
      <c r="T327" s="1832"/>
      <c r="U327" s="1832"/>
      <c r="V327" s="1832"/>
      <c r="W327" s="1832"/>
      <c r="X327" s="1832"/>
      <c r="Y327" s="1832"/>
      <c r="Z327" s="1832"/>
      <c r="AA327" s="1831"/>
      <c r="AB327" s="1831"/>
      <c r="AC327" s="1831"/>
      <c r="AD327" s="1831"/>
      <c r="AE327" s="1831"/>
      <c r="AF327" s="1831"/>
      <c r="AG327" s="1832"/>
    </row>
    <row r="328" spans="1:33">
      <c r="A328" s="1833"/>
      <c r="B328" s="1833"/>
      <c r="C328" s="1831"/>
      <c r="D328" s="1831"/>
      <c r="E328" s="1831"/>
      <c r="F328" s="1832"/>
      <c r="G328" s="1832"/>
      <c r="H328" s="1832"/>
      <c r="I328" s="1832"/>
      <c r="J328" s="1832"/>
      <c r="K328" s="1832"/>
      <c r="L328" s="1832"/>
      <c r="M328" s="1832"/>
      <c r="N328" s="1832"/>
      <c r="O328" s="1832"/>
      <c r="P328" s="1832"/>
      <c r="Q328" s="1832"/>
      <c r="R328" s="1832"/>
      <c r="S328" s="1832"/>
      <c r="T328" s="1832"/>
      <c r="U328" s="1832"/>
      <c r="V328" s="1832"/>
      <c r="W328" s="1832"/>
      <c r="X328" s="1832"/>
      <c r="Y328" s="1832"/>
      <c r="Z328" s="1832"/>
      <c r="AA328" s="1831"/>
      <c r="AB328" s="1831"/>
      <c r="AC328" s="1831"/>
      <c r="AD328" s="1831"/>
      <c r="AE328" s="1831"/>
      <c r="AF328" s="1831"/>
      <c r="AG328" s="1832"/>
    </row>
    <row r="329" spans="1:33">
      <c r="A329" s="1833"/>
      <c r="B329" s="1833"/>
      <c r="C329" s="1831"/>
      <c r="D329" s="1831"/>
      <c r="E329" s="1831"/>
      <c r="F329" s="1832"/>
      <c r="G329" s="1832"/>
      <c r="H329" s="1832"/>
      <c r="I329" s="1832"/>
      <c r="J329" s="1832"/>
      <c r="K329" s="1832"/>
      <c r="L329" s="1832"/>
      <c r="M329" s="1832"/>
      <c r="N329" s="1832"/>
      <c r="O329" s="1832"/>
      <c r="P329" s="1832"/>
      <c r="Q329" s="1832"/>
      <c r="R329" s="1832"/>
      <c r="S329" s="1832"/>
      <c r="T329" s="1832"/>
      <c r="U329" s="1832"/>
      <c r="V329" s="1832"/>
      <c r="W329" s="1832"/>
      <c r="X329" s="1832"/>
      <c r="Y329" s="1832"/>
      <c r="Z329" s="1832"/>
      <c r="AA329" s="1831"/>
      <c r="AB329" s="1831"/>
      <c r="AC329" s="1831"/>
      <c r="AD329" s="1831"/>
      <c r="AE329" s="1831"/>
      <c r="AF329" s="1831"/>
      <c r="AG329" s="1832"/>
    </row>
    <row r="330" spans="1:33">
      <c r="A330" s="1833"/>
      <c r="B330" s="1833"/>
      <c r="C330" s="1831"/>
      <c r="D330" s="1831"/>
      <c r="E330" s="1831"/>
      <c r="F330" s="1832"/>
      <c r="G330" s="1832"/>
      <c r="H330" s="1832"/>
      <c r="I330" s="1832"/>
      <c r="J330" s="1832"/>
      <c r="K330" s="1832"/>
      <c r="L330" s="1832"/>
      <c r="M330" s="1832"/>
      <c r="N330" s="1832"/>
      <c r="O330" s="1832"/>
      <c r="P330" s="1832"/>
      <c r="Q330" s="1832"/>
      <c r="R330" s="1832"/>
      <c r="S330" s="1832"/>
      <c r="T330" s="1832"/>
      <c r="U330" s="1832"/>
      <c r="V330" s="1832"/>
      <c r="W330" s="1832"/>
      <c r="X330" s="1832"/>
      <c r="Y330" s="1832"/>
      <c r="Z330" s="1832"/>
      <c r="AA330" s="1831"/>
      <c r="AB330" s="1831"/>
      <c r="AC330" s="1831"/>
      <c r="AD330" s="1831"/>
      <c r="AE330" s="1831"/>
      <c r="AF330" s="1831"/>
      <c r="AG330" s="1832"/>
    </row>
    <row r="331" spans="1:33">
      <c r="A331" s="1833"/>
      <c r="B331" s="1833"/>
      <c r="C331" s="1831"/>
      <c r="D331" s="1831"/>
      <c r="E331" s="1831"/>
      <c r="F331" s="1832"/>
      <c r="G331" s="1832"/>
      <c r="H331" s="1832"/>
      <c r="I331" s="1832"/>
      <c r="J331" s="1832"/>
      <c r="K331" s="1832"/>
      <c r="L331" s="1832"/>
      <c r="M331" s="1832"/>
      <c r="N331" s="1832"/>
      <c r="O331" s="1832"/>
      <c r="P331" s="1832"/>
      <c r="Q331" s="1832"/>
      <c r="R331" s="1832"/>
      <c r="S331" s="1832"/>
      <c r="T331" s="1832"/>
      <c r="U331" s="1832"/>
      <c r="V331" s="1832"/>
      <c r="W331" s="1832"/>
      <c r="X331" s="1832"/>
      <c r="Y331" s="1832"/>
      <c r="Z331" s="1832"/>
      <c r="AA331" s="1831"/>
      <c r="AB331" s="1831"/>
      <c r="AC331" s="1831"/>
      <c r="AD331" s="1831"/>
      <c r="AE331" s="1831"/>
      <c r="AF331" s="1831"/>
      <c r="AG331" s="1832"/>
    </row>
    <row r="332" spans="1:33">
      <c r="A332" s="1833"/>
      <c r="B332" s="1833"/>
      <c r="C332" s="1831"/>
      <c r="D332" s="1831"/>
      <c r="E332" s="1831"/>
      <c r="F332" s="1832"/>
      <c r="G332" s="1832"/>
      <c r="H332" s="1832"/>
      <c r="I332" s="1832"/>
      <c r="J332" s="1832"/>
      <c r="K332" s="1832"/>
      <c r="L332" s="1832"/>
      <c r="M332" s="1832"/>
      <c r="N332" s="1832"/>
      <c r="O332" s="1832"/>
      <c r="P332" s="1832"/>
      <c r="Q332" s="1832"/>
      <c r="R332" s="1832"/>
      <c r="S332" s="1832"/>
      <c r="T332" s="1832"/>
      <c r="U332" s="1832"/>
      <c r="V332" s="1832"/>
      <c r="W332" s="1832"/>
      <c r="X332" s="1832"/>
      <c r="Y332" s="1832"/>
      <c r="Z332" s="1832"/>
      <c r="AA332" s="1831"/>
      <c r="AB332" s="1831"/>
      <c r="AC332" s="1831"/>
      <c r="AD332" s="1831"/>
      <c r="AE332" s="1831"/>
      <c r="AF332" s="1831"/>
      <c r="AG332" s="1832"/>
    </row>
    <row r="333" spans="1:33">
      <c r="A333" s="1833"/>
      <c r="B333" s="1833"/>
      <c r="C333" s="1831"/>
      <c r="D333" s="1831"/>
      <c r="E333" s="1831"/>
      <c r="F333" s="1832"/>
      <c r="G333" s="1832"/>
      <c r="H333" s="1832"/>
      <c r="I333" s="1832"/>
      <c r="J333" s="1832"/>
      <c r="K333" s="1832"/>
      <c r="L333" s="1832"/>
      <c r="M333" s="1832"/>
      <c r="N333" s="1832"/>
      <c r="O333" s="1832"/>
      <c r="P333" s="1832"/>
      <c r="Q333" s="1832"/>
      <c r="R333" s="1832"/>
      <c r="S333" s="1832"/>
      <c r="T333" s="1832"/>
      <c r="U333" s="1832"/>
      <c r="V333" s="1832"/>
      <c r="W333" s="1832"/>
      <c r="X333" s="1832"/>
      <c r="Y333" s="1832"/>
      <c r="Z333" s="1832"/>
      <c r="AA333" s="1831"/>
      <c r="AB333" s="1831"/>
      <c r="AC333" s="1831"/>
      <c r="AD333" s="1831"/>
      <c r="AE333" s="1831"/>
      <c r="AF333" s="1831"/>
      <c r="AG333" s="1832"/>
    </row>
    <row r="334" spans="1:33">
      <c r="A334" s="1833"/>
      <c r="B334" s="1833"/>
      <c r="C334" s="1831"/>
      <c r="D334" s="1831"/>
      <c r="E334" s="1831"/>
      <c r="F334" s="1832"/>
      <c r="G334" s="1832"/>
      <c r="H334" s="1832"/>
      <c r="I334" s="1832"/>
      <c r="J334" s="1832"/>
      <c r="K334" s="1832"/>
      <c r="L334" s="1832"/>
      <c r="M334" s="1832"/>
      <c r="N334" s="1832"/>
      <c r="O334" s="1832"/>
      <c r="P334" s="1832"/>
      <c r="Q334" s="1832"/>
      <c r="R334" s="1832"/>
      <c r="S334" s="1832"/>
      <c r="T334" s="1832"/>
      <c r="U334" s="1832"/>
      <c r="V334" s="1832"/>
      <c r="W334" s="1832"/>
      <c r="X334" s="1832"/>
      <c r="Y334" s="1832"/>
      <c r="Z334" s="1832"/>
      <c r="AA334" s="1831"/>
      <c r="AB334" s="1831"/>
      <c r="AC334" s="1831"/>
      <c r="AD334" s="1831"/>
      <c r="AE334" s="1831"/>
      <c r="AF334" s="1831"/>
      <c r="AG334" s="1832"/>
    </row>
    <row r="335" spans="1:33">
      <c r="A335" s="1833"/>
      <c r="B335" s="1833"/>
      <c r="C335" s="1831"/>
      <c r="D335" s="1831"/>
      <c r="E335" s="1831"/>
      <c r="F335" s="1832"/>
      <c r="G335" s="1832"/>
      <c r="H335" s="1832"/>
      <c r="I335" s="1832"/>
      <c r="J335" s="1832"/>
      <c r="K335" s="1832"/>
      <c r="L335" s="1832"/>
      <c r="M335" s="1832"/>
      <c r="N335" s="1832"/>
      <c r="O335" s="1832"/>
      <c r="P335" s="1832"/>
      <c r="Q335" s="1832"/>
      <c r="R335" s="1832"/>
      <c r="S335" s="1832"/>
      <c r="T335" s="1832"/>
      <c r="U335" s="1832"/>
      <c r="V335" s="1832"/>
      <c r="W335" s="1832"/>
      <c r="X335" s="1832"/>
      <c r="Y335" s="1832"/>
      <c r="Z335" s="1832"/>
      <c r="AA335" s="1831"/>
      <c r="AB335" s="1831"/>
      <c r="AC335" s="1831"/>
      <c r="AD335" s="1831"/>
      <c r="AE335" s="1831"/>
      <c r="AF335" s="1831"/>
      <c r="AG335" s="1832"/>
    </row>
    <row r="336" spans="1:33">
      <c r="A336" s="1833"/>
      <c r="B336" s="1833"/>
      <c r="C336" s="1831"/>
      <c r="D336" s="1831"/>
      <c r="E336" s="1831"/>
      <c r="F336" s="1832"/>
      <c r="G336" s="1832"/>
      <c r="H336" s="1832"/>
      <c r="I336" s="1832"/>
      <c r="J336" s="1832"/>
      <c r="K336" s="1832"/>
      <c r="L336" s="1832"/>
      <c r="M336" s="1832"/>
      <c r="N336" s="1832"/>
      <c r="O336" s="1832"/>
      <c r="P336" s="1832"/>
      <c r="Q336" s="1832"/>
      <c r="R336" s="1832"/>
      <c r="S336" s="1832"/>
      <c r="T336" s="1832"/>
      <c r="U336" s="1832"/>
      <c r="V336" s="1832"/>
      <c r="W336" s="1832"/>
      <c r="X336" s="1832"/>
      <c r="Y336" s="1832"/>
      <c r="Z336" s="1832"/>
      <c r="AA336" s="1831"/>
      <c r="AB336" s="1831"/>
      <c r="AC336" s="1831"/>
      <c r="AD336" s="1831"/>
      <c r="AE336" s="1831"/>
      <c r="AF336" s="1831"/>
      <c r="AG336" s="1832"/>
    </row>
    <row r="337" spans="1:33">
      <c r="A337" s="1833"/>
      <c r="B337" s="1833"/>
      <c r="C337" s="1831"/>
      <c r="D337" s="1831"/>
      <c r="E337" s="1831"/>
      <c r="F337" s="1832"/>
      <c r="G337" s="1832"/>
      <c r="H337" s="1832"/>
      <c r="I337" s="1832"/>
      <c r="J337" s="1832"/>
      <c r="K337" s="1832"/>
      <c r="L337" s="1832"/>
      <c r="M337" s="1832"/>
      <c r="N337" s="1832"/>
      <c r="O337" s="1832"/>
      <c r="P337" s="1832"/>
      <c r="Q337" s="1832"/>
      <c r="R337" s="1832"/>
      <c r="S337" s="1832"/>
      <c r="T337" s="1832"/>
      <c r="U337" s="1832"/>
      <c r="V337" s="1832"/>
      <c r="W337" s="1832"/>
      <c r="X337" s="1832"/>
      <c r="Y337" s="1832"/>
      <c r="Z337" s="1832"/>
      <c r="AA337" s="1831"/>
      <c r="AB337" s="1831"/>
      <c r="AC337" s="1831"/>
      <c r="AD337" s="1831"/>
      <c r="AE337" s="1831"/>
      <c r="AF337" s="1831"/>
      <c r="AG337" s="1832"/>
    </row>
    <row r="338" spans="1:33">
      <c r="A338" s="1833"/>
      <c r="B338" s="1833"/>
      <c r="C338" s="1831"/>
      <c r="D338" s="1831"/>
      <c r="E338" s="1831"/>
      <c r="F338" s="1832"/>
      <c r="G338" s="1832"/>
      <c r="H338" s="1832"/>
      <c r="I338" s="1832"/>
      <c r="J338" s="1832"/>
      <c r="K338" s="1832"/>
      <c r="L338" s="1832"/>
      <c r="M338" s="1832"/>
      <c r="N338" s="1832"/>
      <c r="O338" s="1832"/>
      <c r="P338" s="1832"/>
      <c r="Q338" s="1832"/>
      <c r="R338" s="1832"/>
      <c r="S338" s="1832"/>
      <c r="T338" s="1832"/>
      <c r="U338" s="1832"/>
      <c r="V338" s="1832"/>
      <c r="W338" s="1832"/>
      <c r="X338" s="1832"/>
      <c r="Y338" s="1832"/>
      <c r="Z338" s="1832"/>
      <c r="AA338" s="1831"/>
      <c r="AB338" s="1831"/>
      <c r="AC338" s="1831"/>
      <c r="AD338" s="1831"/>
      <c r="AE338" s="1831"/>
      <c r="AF338" s="1831"/>
      <c r="AG338" s="1832"/>
    </row>
    <row r="339" spans="1:33">
      <c r="A339" s="1833"/>
      <c r="B339" s="1833"/>
      <c r="C339" s="1831"/>
      <c r="D339" s="1831"/>
      <c r="E339" s="1831"/>
      <c r="F339" s="1832"/>
      <c r="G339" s="1832"/>
      <c r="H339" s="1832"/>
      <c r="I339" s="1832"/>
      <c r="J339" s="1832"/>
      <c r="K339" s="1832"/>
      <c r="L339" s="1832"/>
      <c r="M339" s="1832"/>
      <c r="N339" s="1832"/>
      <c r="O339" s="1832"/>
      <c r="P339" s="1832"/>
      <c r="Q339" s="1832"/>
      <c r="R339" s="1832"/>
      <c r="S339" s="1832"/>
      <c r="T339" s="1832"/>
      <c r="U339" s="1832"/>
      <c r="V339" s="1832"/>
      <c r="W339" s="1832"/>
      <c r="X339" s="1832"/>
      <c r="Y339" s="1832"/>
      <c r="Z339" s="1832"/>
      <c r="AA339" s="1831"/>
      <c r="AB339" s="1831"/>
      <c r="AC339" s="1831"/>
      <c r="AD339" s="1831"/>
      <c r="AE339" s="1831"/>
      <c r="AF339" s="1831"/>
      <c r="AG339" s="1832"/>
    </row>
    <row r="340" spans="1:33">
      <c r="A340" s="1833"/>
      <c r="B340" s="1833"/>
      <c r="C340" s="1831"/>
      <c r="D340" s="1831"/>
      <c r="E340" s="1831"/>
      <c r="F340" s="1832"/>
      <c r="G340" s="1832"/>
      <c r="H340" s="1832"/>
      <c r="I340" s="1832"/>
      <c r="J340" s="1832"/>
      <c r="K340" s="1832"/>
      <c r="L340" s="1832"/>
      <c r="M340" s="1832"/>
      <c r="N340" s="1832"/>
      <c r="O340" s="1832"/>
      <c r="P340" s="1832"/>
      <c r="Q340" s="1832"/>
      <c r="R340" s="1832"/>
      <c r="S340" s="1832"/>
      <c r="T340" s="1832"/>
      <c r="U340" s="1832"/>
      <c r="V340" s="1832"/>
      <c r="W340" s="1832"/>
      <c r="X340" s="1832"/>
      <c r="Y340" s="1832"/>
      <c r="Z340" s="1832"/>
      <c r="AA340" s="1831"/>
      <c r="AB340" s="1831"/>
      <c r="AC340" s="1831"/>
      <c r="AD340" s="1831"/>
      <c r="AE340" s="1831"/>
      <c r="AF340" s="1831"/>
      <c r="AG340" s="1832"/>
    </row>
    <row r="341" spans="1:33">
      <c r="A341" s="1833"/>
      <c r="B341" s="1833"/>
      <c r="C341" s="1831"/>
      <c r="D341" s="1831"/>
      <c r="E341" s="1831"/>
      <c r="F341" s="1832"/>
      <c r="G341" s="1832"/>
      <c r="H341" s="1832"/>
      <c r="I341" s="1832"/>
      <c r="J341" s="1832"/>
      <c r="K341" s="1832"/>
      <c r="L341" s="1832"/>
      <c r="M341" s="1832"/>
      <c r="N341" s="1832"/>
      <c r="O341" s="1832"/>
      <c r="P341" s="1832"/>
      <c r="Q341" s="1832"/>
      <c r="R341" s="1832"/>
      <c r="S341" s="1832"/>
      <c r="T341" s="1832"/>
      <c r="U341" s="1832"/>
      <c r="V341" s="1832"/>
      <c r="W341" s="1832"/>
      <c r="X341" s="1832"/>
      <c r="Y341" s="1832"/>
      <c r="Z341" s="1832"/>
      <c r="AA341" s="1831"/>
      <c r="AB341" s="1831"/>
      <c r="AC341" s="1831"/>
      <c r="AD341" s="1831"/>
      <c r="AE341" s="1831"/>
      <c r="AF341" s="1831"/>
      <c r="AG341" s="1832"/>
    </row>
    <row r="342" spans="1:33">
      <c r="A342" s="1833"/>
      <c r="B342" s="1833"/>
      <c r="C342" s="1831"/>
      <c r="D342" s="1831"/>
      <c r="E342" s="1831"/>
      <c r="F342" s="1832"/>
      <c r="G342" s="1832"/>
      <c r="H342" s="1832"/>
      <c r="I342" s="1832"/>
      <c r="J342" s="1832"/>
      <c r="K342" s="1832"/>
      <c r="L342" s="1832"/>
      <c r="M342" s="1832"/>
      <c r="N342" s="1832"/>
      <c r="O342" s="1832"/>
      <c r="P342" s="1832"/>
      <c r="Q342" s="1832"/>
      <c r="R342" s="1832"/>
      <c r="S342" s="1832"/>
      <c r="T342" s="1832"/>
      <c r="U342" s="1832"/>
      <c r="V342" s="1832"/>
      <c r="W342" s="1832"/>
      <c r="X342" s="1832"/>
      <c r="Y342" s="1832"/>
      <c r="Z342" s="1832"/>
      <c r="AA342" s="1831"/>
      <c r="AB342" s="1831"/>
      <c r="AC342" s="1831"/>
      <c r="AD342" s="1831"/>
      <c r="AE342" s="1831"/>
      <c r="AF342" s="1831"/>
      <c r="AG342" s="1832"/>
    </row>
    <row r="343" spans="1:33">
      <c r="A343" s="1833"/>
      <c r="B343" s="1833"/>
      <c r="C343" s="1831"/>
      <c r="D343" s="1831"/>
      <c r="E343" s="1831"/>
      <c r="F343" s="1832"/>
      <c r="G343" s="1832"/>
      <c r="H343" s="1832"/>
      <c r="I343" s="1832"/>
      <c r="J343" s="1832"/>
      <c r="K343" s="1832"/>
      <c r="L343" s="1832"/>
      <c r="M343" s="1832"/>
      <c r="N343" s="1832"/>
      <c r="O343" s="1832"/>
      <c r="P343" s="1832"/>
      <c r="Q343" s="1832"/>
      <c r="R343" s="1832"/>
      <c r="S343" s="1832"/>
      <c r="T343" s="1832"/>
      <c r="U343" s="1832"/>
      <c r="V343" s="1832"/>
      <c r="W343" s="1832"/>
      <c r="X343" s="1832"/>
      <c r="Y343" s="1832"/>
      <c r="Z343" s="1832"/>
      <c r="AA343" s="1831"/>
      <c r="AB343" s="1831"/>
      <c r="AC343" s="1831"/>
      <c r="AD343" s="1831"/>
      <c r="AE343" s="1831"/>
      <c r="AF343" s="1831"/>
      <c r="AG343" s="1832"/>
    </row>
    <row r="344" spans="1:33">
      <c r="A344" s="1833"/>
      <c r="B344" s="1833"/>
      <c r="C344" s="1831"/>
      <c r="D344" s="1831"/>
      <c r="E344" s="1831"/>
      <c r="F344" s="1832"/>
      <c r="G344" s="1832"/>
      <c r="H344" s="1832"/>
      <c r="I344" s="1832"/>
      <c r="J344" s="1832"/>
      <c r="K344" s="1832"/>
      <c r="L344" s="1832"/>
      <c r="M344" s="1832"/>
      <c r="N344" s="1832"/>
      <c r="O344" s="1832"/>
      <c r="P344" s="1832"/>
      <c r="Q344" s="1832"/>
      <c r="R344" s="1832"/>
      <c r="S344" s="1832"/>
      <c r="T344" s="1832"/>
      <c r="U344" s="1832"/>
      <c r="V344" s="1832"/>
      <c r="W344" s="1832"/>
      <c r="X344" s="1832"/>
      <c r="Y344" s="1832"/>
      <c r="Z344" s="1832"/>
      <c r="AA344" s="1831"/>
      <c r="AB344" s="1831"/>
      <c r="AC344" s="1831"/>
      <c r="AD344" s="1831"/>
      <c r="AE344" s="1831"/>
      <c r="AF344" s="1831"/>
      <c r="AG344" s="1832"/>
    </row>
    <row r="345" spans="1:33">
      <c r="A345" s="1833"/>
      <c r="B345" s="1833"/>
      <c r="C345" s="1831"/>
      <c r="D345" s="1831"/>
      <c r="E345" s="1831"/>
      <c r="F345" s="1832"/>
      <c r="G345" s="1832"/>
      <c r="H345" s="1832"/>
      <c r="I345" s="1832"/>
      <c r="J345" s="1832"/>
      <c r="K345" s="1832"/>
      <c r="L345" s="1832"/>
      <c r="M345" s="1832"/>
      <c r="N345" s="1832"/>
      <c r="O345" s="1832"/>
      <c r="P345" s="1832"/>
      <c r="Q345" s="1832"/>
      <c r="R345" s="1832"/>
      <c r="S345" s="1832"/>
      <c r="T345" s="1832"/>
      <c r="U345" s="1832"/>
      <c r="V345" s="1832"/>
      <c r="W345" s="1832"/>
      <c r="X345" s="1832"/>
      <c r="Y345" s="1832"/>
      <c r="Z345" s="1832"/>
      <c r="AA345" s="1831"/>
      <c r="AB345" s="1831"/>
      <c r="AC345" s="1831"/>
      <c r="AD345" s="1831"/>
      <c r="AE345" s="1831"/>
      <c r="AF345" s="1831"/>
      <c r="AG345" s="1832"/>
    </row>
    <row r="346" spans="1:33">
      <c r="A346" s="1833"/>
      <c r="B346" s="1833"/>
      <c r="C346" s="1831"/>
      <c r="D346" s="1831"/>
      <c r="E346" s="1831"/>
      <c r="F346" s="1832"/>
      <c r="G346" s="1832"/>
      <c r="H346" s="1832"/>
      <c r="I346" s="1832"/>
      <c r="J346" s="1832"/>
      <c r="K346" s="1832"/>
      <c r="L346" s="1832"/>
      <c r="M346" s="1832"/>
      <c r="N346" s="1832"/>
      <c r="O346" s="1832"/>
      <c r="P346" s="1832"/>
      <c r="Q346" s="1832"/>
      <c r="R346" s="1832"/>
      <c r="S346" s="1832"/>
      <c r="T346" s="1832"/>
      <c r="U346" s="1832"/>
      <c r="V346" s="1832"/>
      <c r="W346" s="1832"/>
      <c r="X346" s="1832"/>
      <c r="Y346" s="1832"/>
      <c r="Z346" s="1832"/>
      <c r="AA346" s="1831"/>
      <c r="AB346" s="1831"/>
      <c r="AC346" s="1831"/>
      <c r="AD346" s="1831"/>
      <c r="AE346" s="1831"/>
      <c r="AF346" s="1831"/>
      <c r="AG346" s="1832"/>
    </row>
    <row r="347" spans="1:33">
      <c r="A347" s="1833"/>
      <c r="B347" s="1833"/>
      <c r="C347" s="1831"/>
      <c r="D347" s="1831"/>
      <c r="E347" s="1831"/>
      <c r="F347" s="1832"/>
      <c r="G347" s="1832"/>
      <c r="H347" s="1832"/>
      <c r="I347" s="1832"/>
      <c r="J347" s="1832"/>
      <c r="K347" s="1832"/>
      <c r="L347" s="1832"/>
      <c r="M347" s="1832"/>
      <c r="N347" s="1832"/>
      <c r="O347" s="1832"/>
      <c r="P347" s="1832"/>
      <c r="Q347" s="1832"/>
      <c r="R347" s="1832"/>
      <c r="S347" s="1832"/>
      <c r="T347" s="1832"/>
      <c r="U347" s="1832"/>
      <c r="V347" s="1832"/>
      <c r="W347" s="1832"/>
      <c r="X347" s="1832"/>
      <c r="Y347" s="1832"/>
      <c r="Z347" s="1832"/>
      <c r="AA347" s="1831"/>
      <c r="AB347" s="1831"/>
      <c r="AC347" s="1831"/>
      <c r="AD347" s="1831"/>
      <c r="AE347" s="1831"/>
      <c r="AF347" s="1831"/>
      <c r="AG347" s="1832"/>
    </row>
    <row r="348" spans="1:33">
      <c r="A348" s="1833"/>
      <c r="B348" s="1833"/>
      <c r="C348" s="1831"/>
      <c r="D348" s="1831"/>
      <c r="E348" s="1831"/>
      <c r="F348" s="1832"/>
      <c r="G348" s="1832"/>
      <c r="H348" s="1832"/>
      <c r="I348" s="1832"/>
      <c r="J348" s="1832"/>
      <c r="K348" s="1832"/>
      <c r="L348" s="1832"/>
      <c r="M348" s="1832"/>
      <c r="N348" s="1832"/>
      <c r="O348" s="1832"/>
      <c r="P348" s="1832"/>
      <c r="Q348" s="1832"/>
      <c r="R348" s="1832"/>
      <c r="S348" s="1832"/>
      <c r="T348" s="1832"/>
      <c r="U348" s="1832"/>
      <c r="V348" s="1832"/>
      <c r="W348" s="1832"/>
      <c r="X348" s="1832"/>
      <c r="Y348" s="1832"/>
      <c r="Z348" s="1832"/>
      <c r="AA348" s="1831"/>
      <c r="AB348" s="1831"/>
      <c r="AC348" s="1831"/>
      <c r="AD348" s="1831"/>
      <c r="AE348" s="1831"/>
      <c r="AF348" s="1831"/>
      <c r="AG348" s="1832"/>
    </row>
    <row r="349" spans="1:33">
      <c r="A349" s="1833"/>
      <c r="B349" s="1833"/>
      <c r="C349" s="1831"/>
      <c r="D349" s="1831"/>
      <c r="E349" s="1831"/>
      <c r="F349" s="1832"/>
      <c r="G349" s="1832"/>
      <c r="H349" s="1832"/>
      <c r="I349" s="1832"/>
      <c r="J349" s="1832"/>
      <c r="K349" s="1832"/>
      <c r="L349" s="1832"/>
      <c r="M349" s="1832"/>
      <c r="N349" s="1832"/>
      <c r="O349" s="1832"/>
      <c r="P349" s="1832"/>
      <c r="Q349" s="1832"/>
      <c r="R349" s="1832"/>
      <c r="S349" s="1832"/>
      <c r="T349" s="1832"/>
      <c r="U349" s="1832"/>
      <c r="V349" s="1832"/>
      <c r="W349" s="1832"/>
      <c r="X349" s="1832"/>
      <c r="Y349" s="1832"/>
      <c r="Z349" s="1832"/>
      <c r="AA349" s="1831"/>
      <c r="AB349" s="1831"/>
      <c r="AC349" s="1831"/>
      <c r="AD349" s="1831"/>
      <c r="AE349" s="1831"/>
      <c r="AF349" s="1831"/>
      <c r="AG349" s="1832"/>
    </row>
    <row r="350" spans="1:33">
      <c r="A350" s="1833"/>
      <c r="B350" s="1833"/>
      <c r="C350" s="1831"/>
      <c r="D350" s="1831"/>
      <c r="E350" s="1831"/>
      <c r="F350" s="1832"/>
      <c r="G350" s="1832"/>
      <c r="H350" s="1832"/>
      <c r="I350" s="1832"/>
      <c r="J350" s="1832"/>
      <c r="K350" s="1832"/>
      <c r="L350" s="1832"/>
      <c r="M350" s="1832"/>
      <c r="N350" s="1832"/>
      <c r="O350" s="1832"/>
      <c r="P350" s="1832"/>
      <c r="Q350" s="1832"/>
      <c r="R350" s="1832"/>
      <c r="S350" s="1832"/>
      <c r="T350" s="1832"/>
      <c r="U350" s="1832"/>
      <c r="V350" s="1832"/>
      <c r="W350" s="1832"/>
      <c r="X350" s="1832"/>
      <c r="Y350" s="1832"/>
      <c r="Z350" s="1832"/>
      <c r="AA350" s="1831"/>
      <c r="AB350" s="1831"/>
      <c r="AC350" s="1831"/>
      <c r="AD350" s="1831"/>
      <c r="AE350" s="1831"/>
      <c r="AF350" s="1831"/>
      <c r="AG350" s="1832"/>
    </row>
    <row r="351" spans="1:33">
      <c r="A351" s="1833"/>
      <c r="B351" s="1833"/>
      <c r="C351" s="1831"/>
      <c r="D351" s="1831"/>
      <c r="E351" s="1831"/>
      <c r="F351" s="1832"/>
      <c r="G351" s="1832"/>
      <c r="H351" s="1832"/>
      <c r="I351" s="1832"/>
      <c r="J351" s="1832"/>
      <c r="K351" s="1832"/>
      <c r="L351" s="1832"/>
      <c r="M351" s="1832"/>
      <c r="N351" s="1832"/>
      <c r="O351" s="1832"/>
      <c r="P351" s="1832"/>
      <c r="Q351" s="1832"/>
      <c r="R351" s="1832"/>
      <c r="S351" s="1832"/>
      <c r="T351" s="1832"/>
      <c r="U351" s="1832"/>
      <c r="V351" s="1832"/>
      <c r="W351" s="1832"/>
      <c r="X351" s="1832"/>
      <c r="Y351" s="1832"/>
      <c r="Z351" s="1832"/>
      <c r="AA351" s="1831"/>
      <c r="AB351" s="1831"/>
      <c r="AC351" s="1831"/>
      <c r="AD351" s="1831"/>
      <c r="AE351" s="1831"/>
      <c r="AF351" s="1831"/>
      <c r="AG351" s="1832"/>
    </row>
    <row r="352" spans="1:33">
      <c r="A352" s="1833"/>
      <c r="B352" s="1833"/>
      <c r="C352" s="1831"/>
      <c r="D352" s="1831"/>
      <c r="E352" s="1831"/>
      <c r="F352" s="1832"/>
      <c r="G352" s="1832"/>
      <c r="H352" s="1832"/>
      <c r="I352" s="1832"/>
      <c r="J352" s="1832"/>
      <c r="K352" s="1832"/>
      <c r="L352" s="1832"/>
      <c r="M352" s="1832"/>
      <c r="N352" s="1832"/>
      <c r="O352" s="1832"/>
      <c r="P352" s="1832"/>
      <c r="Q352" s="1832"/>
      <c r="R352" s="1832"/>
      <c r="S352" s="1832"/>
      <c r="T352" s="1832"/>
      <c r="U352" s="1832"/>
      <c r="V352" s="1832"/>
      <c r="W352" s="1832"/>
      <c r="X352" s="1832"/>
      <c r="Y352" s="1832"/>
      <c r="Z352" s="1832"/>
      <c r="AA352" s="1831"/>
      <c r="AB352" s="1831"/>
      <c r="AC352" s="1831"/>
      <c r="AD352" s="1831"/>
      <c r="AE352" s="1831"/>
      <c r="AF352" s="1831"/>
      <c r="AG352" s="1832"/>
    </row>
    <row r="353" spans="1:33">
      <c r="A353" s="1833"/>
      <c r="B353" s="1833"/>
      <c r="C353" s="1831"/>
      <c r="D353" s="1831"/>
      <c r="E353" s="1831"/>
      <c r="F353" s="1832"/>
      <c r="G353" s="1832"/>
      <c r="H353" s="1832"/>
      <c r="I353" s="1832"/>
      <c r="J353" s="1832"/>
      <c r="K353" s="1832"/>
      <c r="L353" s="1832"/>
      <c r="M353" s="1832"/>
      <c r="N353" s="1832"/>
      <c r="O353" s="1832"/>
      <c r="P353" s="1832"/>
      <c r="Q353" s="1832"/>
      <c r="R353" s="1832"/>
      <c r="S353" s="1832"/>
      <c r="T353" s="1832"/>
      <c r="U353" s="1832"/>
      <c r="V353" s="1832"/>
      <c r="W353" s="1832"/>
      <c r="X353" s="1832"/>
      <c r="Y353" s="1832"/>
      <c r="Z353" s="1832"/>
      <c r="AA353" s="1831"/>
      <c r="AB353" s="1831"/>
      <c r="AC353" s="1831"/>
      <c r="AD353" s="1831"/>
      <c r="AE353" s="1831"/>
      <c r="AF353" s="1831"/>
      <c r="AG353" s="1832"/>
    </row>
    <row r="354" spans="1:33">
      <c r="A354" s="1833"/>
      <c r="B354" s="1833"/>
      <c r="C354" s="1831"/>
      <c r="D354" s="1831"/>
      <c r="E354" s="1831"/>
      <c r="F354" s="1832"/>
      <c r="G354" s="1832"/>
      <c r="H354" s="1832"/>
      <c r="I354" s="1832"/>
      <c r="J354" s="1832"/>
      <c r="K354" s="1832"/>
      <c r="L354" s="1832"/>
      <c r="M354" s="1832"/>
      <c r="N354" s="1832"/>
      <c r="O354" s="1832"/>
      <c r="P354" s="1832"/>
      <c r="Q354" s="1832"/>
      <c r="R354" s="1832"/>
      <c r="S354" s="1832"/>
      <c r="T354" s="1832"/>
      <c r="U354" s="1832"/>
      <c r="V354" s="1832"/>
      <c r="W354" s="1832"/>
      <c r="X354" s="1832"/>
      <c r="Y354" s="1832"/>
      <c r="Z354" s="1832"/>
      <c r="AA354" s="1831"/>
      <c r="AB354" s="1831"/>
      <c r="AC354" s="1831"/>
      <c r="AD354" s="1831"/>
      <c r="AE354" s="1831"/>
      <c r="AF354" s="1831"/>
      <c r="AG354" s="1832"/>
    </row>
    <row r="355" spans="1:33">
      <c r="A355" s="1833"/>
      <c r="B355" s="1833"/>
      <c r="C355" s="1831"/>
      <c r="D355" s="1831"/>
      <c r="E355" s="1831"/>
      <c r="F355" s="1832"/>
      <c r="G355" s="1832"/>
      <c r="H355" s="1832"/>
      <c r="I355" s="1832"/>
      <c r="J355" s="1832"/>
      <c r="K355" s="1832"/>
      <c r="L355" s="1832"/>
      <c r="M355" s="1832"/>
      <c r="N355" s="1832"/>
      <c r="O355" s="1832"/>
      <c r="P355" s="1832"/>
      <c r="Q355" s="1832"/>
      <c r="R355" s="1832"/>
      <c r="S355" s="1832"/>
      <c r="T355" s="1832"/>
      <c r="U355" s="1832"/>
      <c r="V355" s="1832"/>
      <c r="W355" s="1832"/>
      <c r="X355" s="1832"/>
      <c r="Y355" s="1832"/>
      <c r="Z355" s="1832"/>
      <c r="AA355" s="1831"/>
      <c r="AB355" s="1831"/>
      <c r="AC355" s="1831"/>
      <c r="AD355" s="1831"/>
      <c r="AE355" s="1831"/>
      <c r="AF355" s="1831"/>
      <c r="AG355" s="1832"/>
    </row>
    <row r="356" spans="1:33">
      <c r="A356" s="1833"/>
      <c r="B356" s="1833"/>
      <c r="C356" s="1831"/>
      <c r="D356" s="1831"/>
      <c r="E356" s="1831"/>
      <c r="F356" s="1832"/>
      <c r="G356" s="1832"/>
      <c r="H356" s="1832"/>
      <c r="I356" s="1832"/>
      <c r="J356" s="1832"/>
      <c r="K356" s="1832"/>
      <c r="L356" s="1832"/>
      <c r="M356" s="1832"/>
      <c r="N356" s="1832"/>
      <c r="O356" s="1832"/>
      <c r="P356" s="1832"/>
      <c r="Q356" s="1832"/>
      <c r="R356" s="1832"/>
      <c r="S356" s="1832"/>
      <c r="T356" s="1832"/>
      <c r="U356" s="1832"/>
      <c r="V356" s="1832"/>
      <c r="W356" s="1832"/>
      <c r="X356" s="1832"/>
      <c r="Y356" s="1832"/>
      <c r="Z356" s="1832"/>
      <c r="AA356" s="1831"/>
      <c r="AB356" s="1831"/>
      <c r="AC356" s="1831"/>
      <c r="AD356" s="1831"/>
      <c r="AE356" s="1831"/>
      <c r="AF356" s="1831"/>
      <c r="AG356" s="1832"/>
    </row>
    <row r="357" spans="1:33">
      <c r="A357" s="1833"/>
      <c r="B357" s="1833"/>
      <c r="C357" s="1831"/>
      <c r="D357" s="1831"/>
      <c r="E357" s="1831"/>
      <c r="F357" s="1832"/>
      <c r="G357" s="1832"/>
      <c r="H357" s="1832"/>
      <c r="I357" s="1832"/>
      <c r="J357" s="1832"/>
      <c r="K357" s="1832"/>
      <c r="L357" s="1832"/>
      <c r="M357" s="1832"/>
      <c r="N357" s="1832"/>
      <c r="O357" s="1832"/>
      <c r="P357" s="1832"/>
      <c r="Q357" s="1832"/>
      <c r="R357" s="1832"/>
      <c r="S357" s="1832"/>
      <c r="T357" s="1832"/>
      <c r="U357" s="1832"/>
      <c r="V357" s="1832"/>
      <c r="W357" s="1832"/>
      <c r="X357" s="1832"/>
      <c r="Y357" s="1832"/>
      <c r="Z357" s="1832"/>
      <c r="AA357" s="1831"/>
      <c r="AB357" s="1831"/>
      <c r="AC357" s="1831"/>
      <c r="AD357" s="1831"/>
      <c r="AE357" s="1831"/>
      <c r="AF357" s="1831"/>
      <c r="AG357" s="1832"/>
    </row>
    <row r="358" spans="1:33">
      <c r="A358" s="1833"/>
      <c r="B358" s="1833"/>
      <c r="C358" s="1831"/>
      <c r="D358" s="1831"/>
      <c r="E358" s="1831"/>
      <c r="F358" s="1832"/>
      <c r="G358" s="1832"/>
      <c r="H358" s="1832"/>
      <c r="I358" s="1832"/>
      <c r="J358" s="1832"/>
      <c r="K358" s="1832"/>
      <c r="L358" s="1832"/>
      <c r="M358" s="1832"/>
      <c r="N358" s="1832"/>
      <c r="O358" s="1832"/>
      <c r="P358" s="1832"/>
      <c r="Q358" s="1832"/>
      <c r="R358" s="1832"/>
      <c r="S358" s="1832"/>
      <c r="T358" s="1832"/>
      <c r="U358" s="1832"/>
      <c r="V358" s="1832"/>
      <c r="W358" s="1832"/>
      <c r="X358" s="1832"/>
      <c r="Y358" s="1832"/>
      <c r="Z358" s="1832"/>
      <c r="AA358" s="1831"/>
      <c r="AB358" s="1831"/>
      <c r="AC358" s="1831"/>
      <c r="AD358" s="1831"/>
      <c r="AE358" s="1831"/>
      <c r="AF358" s="1831"/>
      <c r="AG358" s="1832"/>
    </row>
    <row r="359" spans="1:33">
      <c r="A359" s="1833"/>
      <c r="B359" s="1833"/>
      <c r="C359" s="1831"/>
      <c r="D359" s="1831"/>
      <c r="E359" s="1831"/>
      <c r="F359" s="1832"/>
      <c r="G359" s="1832"/>
      <c r="H359" s="1832"/>
      <c r="I359" s="1832"/>
      <c r="J359" s="1832"/>
      <c r="K359" s="1832"/>
      <c r="L359" s="1832"/>
      <c r="M359" s="1832"/>
      <c r="N359" s="1832"/>
      <c r="O359" s="1832"/>
      <c r="P359" s="1832"/>
      <c r="Q359" s="1832"/>
      <c r="R359" s="1832"/>
      <c r="S359" s="1832"/>
      <c r="T359" s="1832"/>
      <c r="U359" s="1832"/>
      <c r="V359" s="1832"/>
      <c r="W359" s="1832"/>
      <c r="X359" s="1832"/>
      <c r="Y359" s="1832"/>
      <c r="Z359" s="1832"/>
      <c r="AA359" s="1831"/>
      <c r="AB359" s="1831"/>
      <c r="AC359" s="1831"/>
      <c r="AD359" s="1831"/>
      <c r="AE359" s="1831"/>
      <c r="AF359" s="1831"/>
      <c r="AG359" s="1832"/>
    </row>
    <row r="360" spans="1:33">
      <c r="A360" s="1833"/>
      <c r="B360" s="1833"/>
      <c r="C360" s="1831"/>
      <c r="D360" s="1831"/>
      <c r="E360" s="1831"/>
      <c r="F360" s="1832"/>
      <c r="G360" s="1832"/>
      <c r="H360" s="1832"/>
      <c r="I360" s="1832"/>
      <c r="J360" s="1832"/>
      <c r="K360" s="1832"/>
      <c r="L360" s="1832"/>
      <c r="M360" s="1832"/>
      <c r="N360" s="1832"/>
      <c r="O360" s="1832"/>
      <c r="P360" s="1832"/>
      <c r="Q360" s="1832"/>
      <c r="R360" s="1832"/>
      <c r="S360" s="1832"/>
      <c r="T360" s="1832"/>
      <c r="U360" s="1832"/>
      <c r="V360" s="1832"/>
      <c r="W360" s="1832"/>
      <c r="X360" s="1832"/>
      <c r="Y360" s="1832"/>
      <c r="Z360" s="1832"/>
      <c r="AA360" s="1831"/>
      <c r="AB360" s="1831"/>
      <c r="AC360" s="1831"/>
      <c r="AD360" s="1831"/>
      <c r="AE360" s="1831"/>
      <c r="AF360" s="1831"/>
      <c r="AG360" s="1832"/>
    </row>
    <row r="361" spans="1:33">
      <c r="A361" s="1833"/>
      <c r="B361" s="1833"/>
      <c r="C361" s="1831"/>
      <c r="D361" s="1831"/>
      <c r="E361" s="1831"/>
      <c r="F361" s="1832"/>
      <c r="G361" s="1832"/>
      <c r="H361" s="1832"/>
      <c r="I361" s="1832"/>
      <c r="J361" s="1832"/>
      <c r="K361" s="1832"/>
      <c r="L361" s="1832"/>
      <c r="M361" s="1832"/>
      <c r="N361" s="1832"/>
      <c r="O361" s="1832"/>
      <c r="P361" s="1832"/>
      <c r="Q361" s="1832"/>
      <c r="R361" s="1832"/>
      <c r="S361" s="1832"/>
      <c r="T361" s="1832"/>
      <c r="U361" s="1832"/>
      <c r="V361" s="1832"/>
      <c r="W361" s="1832"/>
      <c r="X361" s="1832"/>
      <c r="Y361" s="1832"/>
      <c r="Z361" s="1832"/>
      <c r="AA361" s="1831"/>
      <c r="AB361" s="1831"/>
      <c r="AC361" s="1831"/>
      <c r="AD361" s="1831"/>
      <c r="AE361" s="1831"/>
      <c r="AF361" s="1831"/>
      <c r="AG361" s="1832"/>
    </row>
    <row r="362" spans="1:33">
      <c r="A362" s="1833"/>
      <c r="B362" s="1833"/>
      <c r="C362" s="1831"/>
      <c r="D362" s="1831"/>
      <c r="E362" s="1831"/>
      <c r="F362" s="1832"/>
      <c r="G362" s="1832"/>
      <c r="H362" s="1832"/>
      <c r="I362" s="1832"/>
      <c r="J362" s="1832"/>
      <c r="K362" s="1832"/>
      <c r="L362" s="1832"/>
      <c r="M362" s="1832"/>
      <c r="N362" s="1832"/>
      <c r="O362" s="1832"/>
      <c r="P362" s="1832"/>
      <c r="Q362" s="1832"/>
      <c r="R362" s="1832"/>
      <c r="S362" s="1832"/>
      <c r="T362" s="1832"/>
      <c r="U362" s="1832"/>
      <c r="V362" s="1832"/>
      <c r="W362" s="1832"/>
      <c r="X362" s="1832"/>
      <c r="Y362" s="1832"/>
      <c r="Z362" s="1832"/>
      <c r="AA362" s="1831"/>
      <c r="AB362" s="1831"/>
      <c r="AC362" s="1831"/>
      <c r="AD362" s="1831"/>
      <c r="AE362" s="1831"/>
      <c r="AF362" s="1831"/>
      <c r="AG362" s="1832"/>
    </row>
    <row r="363" spans="1:33">
      <c r="A363" s="1833"/>
      <c r="B363" s="1833"/>
      <c r="C363" s="1831"/>
      <c r="D363" s="1831"/>
      <c r="E363" s="1831"/>
      <c r="F363" s="1832"/>
      <c r="G363" s="1832"/>
      <c r="H363" s="1832"/>
      <c r="I363" s="1832"/>
      <c r="J363" s="1832"/>
      <c r="K363" s="1832"/>
      <c r="L363" s="1832"/>
      <c r="M363" s="1832"/>
      <c r="N363" s="1832"/>
      <c r="O363" s="1832"/>
      <c r="P363" s="1832"/>
      <c r="Q363" s="1832"/>
      <c r="R363" s="1832"/>
      <c r="S363" s="1832"/>
      <c r="T363" s="1832"/>
      <c r="U363" s="1832"/>
      <c r="V363" s="1832"/>
      <c r="W363" s="1832"/>
      <c r="X363" s="1832"/>
      <c r="Y363" s="1832"/>
      <c r="Z363" s="1832"/>
      <c r="AA363" s="1831"/>
      <c r="AB363" s="1831"/>
      <c r="AC363" s="1831"/>
      <c r="AD363" s="1831"/>
      <c r="AE363" s="1831"/>
      <c r="AF363" s="1831"/>
      <c r="AG363" s="1832"/>
    </row>
    <row r="364" spans="1:33">
      <c r="A364" s="1833"/>
      <c r="B364" s="1833"/>
      <c r="C364" s="1831"/>
      <c r="D364" s="1831"/>
      <c r="E364" s="1831"/>
      <c r="F364" s="1832"/>
      <c r="G364" s="1832"/>
      <c r="H364" s="1832"/>
      <c r="I364" s="1832"/>
      <c r="J364" s="1832"/>
      <c r="K364" s="1832"/>
      <c r="L364" s="1832"/>
      <c r="M364" s="1832"/>
      <c r="N364" s="1832"/>
      <c r="O364" s="1832"/>
      <c r="P364" s="1832"/>
      <c r="Q364" s="1832"/>
      <c r="R364" s="1832"/>
      <c r="S364" s="1832"/>
      <c r="T364" s="1832"/>
      <c r="U364" s="1832"/>
      <c r="V364" s="1832"/>
      <c r="W364" s="1832"/>
      <c r="X364" s="1832"/>
      <c r="Y364" s="1832"/>
      <c r="Z364" s="1832"/>
      <c r="AA364" s="1831"/>
      <c r="AB364" s="1831"/>
      <c r="AC364" s="1831"/>
      <c r="AD364" s="1831"/>
      <c r="AE364" s="1831"/>
      <c r="AF364" s="1831"/>
      <c r="AG364" s="1832"/>
    </row>
    <row r="365" spans="1:33">
      <c r="A365" s="1833"/>
      <c r="B365" s="1833"/>
      <c r="C365" s="1831"/>
      <c r="D365" s="1831"/>
      <c r="E365" s="1831"/>
      <c r="F365" s="1832"/>
      <c r="G365" s="1832"/>
      <c r="H365" s="1832"/>
      <c r="I365" s="1832"/>
      <c r="J365" s="1832"/>
      <c r="K365" s="1832"/>
      <c r="L365" s="1832"/>
      <c r="M365" s="1832"/>
      <c r="N365" s="1832"/>
      <c r="O365" s="1832"/>
      <c r="P365" s="1832"/>
      <c r="Q365" s="1832"/>
      <c r="R365" s="1832"/>
      <c r="S365" s="1832"/>
      <c r="T365" s="1832"/>
      <c r="U365" s="1832"/>
      <c r="V365" s="1832"/>
      <c r="W365" s="1832"/>
      <c r="X365" s="1832"/>
      <c r="Y365" s="1832"/>
      <c r="Z365" s="1832"/>
      <c r="AA365" s="1831"/>
      <c r="AB365" s="1831"/>
      <c r="AC365" s="1831"/>
      <c r="AD365" s="1831"/>
      <c r="AE365" s="1831"/>
      <c r="AF365" s="1831"/>
      <c r="AG365" s="1832"/>
    </row>
    <row r="366" spans="1:33">
      <c r="A366" s="1833"/>
      <c r="B366" s="1833"/>
      <c r="C366" s="1831"/>
      <c r="D366" s="1831"/>
      <c r="E366" s="1831"/>
      <c r="F366" s="1832"/>
      <c r="G366" s="1832"/>
      <c r="H366" s="1832"/>
      <c r="I366" s="1832"/>
      <c r="J366" s="1832"/>
      <c r="K366" s="1832"/>
      <c r="L366" s="1832"/>
      <c r="M366" s="1832"/>
      <c r="N366" s="1832"/>
      <c r="O366" s="1832"/>
      <c r="P366" s="1832"/>
      <c r="Q366" s="1832"/>
      <c r="R366" s="1832"/>
      <c r="S366" s="1832"/>
      <c r="T366" s="1832"/>
      <c r="U366" s="1832"/>
      <c r="V366" s="1832"/>
      <c r="W366" s="1832"/>
      <c r="X366" s="1832"/>
      <c r="Y366" s="1832"/>
      <c r="Z366" s="1832"/>
      <c r="AA366" s="1831"/>
      <c r="AB366" s="1831"/>
      <c r="AC366" s="1831"/>
      <c r="AD366" s="1831"/>
      <c r="AE366" s="1831"/>
      <c r="AF366" s="1831"/>
      <c r="AG366" s="1832"/>
    </row>
    <row r="367" spans="1:33">
      <c r="A367" s="1833"/>
      <c r="B367" s="1833"/>
      <c r="C367" s="1831"/>
      <c r="D367" s="1831"/>
      <c r="E367" s="1831"/>
      <c r="F367" s="1832"/>
      <c r="G367" s="1832"/>
      <c r="H367" s="1832"/>
      <c r="I367" s="1832"/>
      <c r="J367" s="1832"/>
      <c r="K367" s="1832"/>
      <c r="L367" s="1832"/>
      <c r="M367" s="1832"/>
      <c r="N367" s="1832"/>
      <c r="O367" s="1832"/>
      <c r="P367" s="1832"/>
      <c r="Q367" s="1832"/>
      <c r="R367" s="1832"/>
      <c r="S367" s="1832"/>
      <c r="T367" s="1832"/>
      <c r="U367" s="1832"/>
      <c r="V367" s="1832"/>
      <c r="W367" s="1832"/>
      <c r="X367" s="1832"/>
      <c r="Y367" s="1832"/>
      <c r="Z367" s="1832"/>
      <c r="AA367" s="1831"/>
      <c r="AB367" s="1831"/>
      <c r="AC367" s="1831"/>
      <c r="AD367" s="1831"/>
      <c r="AE367" s="1831"/>
      <c r="AF367" s="1831"/>
      <c r="AG367" s="1832"/>
    </row>
    <row r="368" spans="1:33">
      <c r="A368" s="1833"/>
      <c r="B368" s="1833"/>
      <c r="C368" s="1831"/>
      <c r="D368" s="1831"/>
      <c r="E368" s="1831"/>
      <c r="F368" s="1832"/>
      <c r="G368" s="1832"/>
      <c r="H368" s="1832"/>
      <c r="I368" s="1832"/>
      <c r="J368" s="1832"/>
      <c r="K368" s="1832"/>
      <c r="L368" s="1832"/>
      <c r="M368" s="1832"/>
      <c r="N368" s="1832"/>
      <c r="O368" s="1832"/>
      <c r="P368" s="1832"/>
      <c r="Q368" s="1832"/>
      <c r="R368" s="1832"/>
      <c r="S368" s="1832"/>
      <c r="T368" s="1832"/>
      <c r="U368" s="1832"/>
      <c r="V368" s="1832"/>
      <c r="W368" s="1832"/>
      <c r="X368" s="1832"/>
      <c r="Y368" s="1832"/>
      <c r="Z368" s="1832"/>
      <c r="AA368" s="1831"/>
      <c r="AB368" s="1831"/>
      <c r="AC368" s="1831"/>
      <c r="AD368" s="1831"/>
      <c r="AE368" s="1831"/>
      <c r="AF368" s="1831"/>
      <c r="AG368" s="1832"/>
    </row>
    <row r="369" spans="1:33">
      <c r="A369" s="1833"/>
      <c r="B369" s="1833"/>
      <c r="C369" s="1831"/>
      <c r="D369" s="1831"/>
      <c r="E369" s="1831"/>
      <c r="F369" s="1832"/>
      <c r="G369" s="1832"/>
      <c r="H369" s="1832"/>
      <c r="I369" s="1832"/>
      <c r="J369" s="1832"/>
      <c r="K369" s="1832"/>
      <c r="L369" s="1832"/>
      <c r="M369" s="1832"/>
      <c r="N369" s="1832"/>
      <c r="O369" s="1832"/>
      <c r="P369" s="1832"/>
      <c r="Q369" s="1832"/>
      <c r="R369" s="1832"/>
      <c r="S369" s="1832"/>
      <c r="T369" s="1832"/>
      <c r="U369" s="1832"/>
      <c r="V369" s="1832"/>
      <c r="W369" s="1832"/>
      <c r="X369" s="1832"/>
      <c r="Y369" s="1832"/>
      <c r="Z369" s="1832"/>
      <c r="AA369" s="1831"/>
      <c r="AB369" s="1831"/>
      <c r="AC369" s="1831"/>
      <c r="AD369" s="1831"/>
      <c r="AE369" s="1831"/>
      <c r="AF369" s="1831"/>
      <c r="AG369" s="1832"/>
    </row>
    <row r="370" spans="1:33">
      <c r="A370" s="1833"/>
      <c r="B370" s="1833"/>
      <c r="C370" s="1831"/>
      <c r="D370" s="1831"/>
      <c r="E370" s="1831"/>
      <c r="F370" s="1832"/>
      <c r="G370" s="1832"/>
      <c r="H370" s="1832"/>
      <c r="I370" s="1832"/>
      <c r="J370" s="1832"/>
      <c r="K370" s="1832"/>
      <c r="L370" s="1832"/>
      <c r="M370" s="1832"/>
      <c r="N370" s="1832"/>
      <c r="O370" s="1832"/>
      <c r="P370" s="1832"/>
      <c r="Q370" s="1832"/>
      <c r="R370" s="1832"/>
      <c r="S370" s="1832"/>
      <c r="T370" s="1832"/>
      <c r="U370" s="1832"/>
      <c r="V370" s="1832"/>
      <c r="W370" s="1832"/>
      <c r="X370" s="1832"/>
      <c r="Y370" s="1832"/>
      <c r="Z370" s="1832"/>
      <c r="AA370" s="1831"/>
      <c r="AB370" s="1831"/>
      <c r="AC370" s="1831"/>
      <c r="AD370" s="1831"/>
      <c r="AE370" s="1831"/>
      <c r="AF370" s="1831"/>
      <c r="AG370" s="1832"/>
    </row>
    <row r="371" spans="1:33">
      <c r="A371" s="1833"/>
      <c r="B371" s="1833"/>
      <c r="C371" s="1831"/>
      <c r="D371" s="1831"/>
      <c r="E371" s="1831"/>
      <c r="F371" s="1832"/>
      <c r="G371" s="1832"/>
      <c r="H371" s="1832"/>
      <c r="I371" s="1832"/>
      <c r="J371" s="1832"/>
      <c r="K371" s="1832"/>
      <c r="L371" s="1832"/>
      <c r="M371" s="1832"/>
      <c r="N371" s="1832"/>
      <c r="O371" s="1832"/>
      <c r="P371" s="1832"/>
      <c r="Q371" s="1832"/>
      <c r="R371" s="1832"/>
      <c r="S371" s="1832"/>
      <c r="T371" s="1832"/>
      <c r="U371" s="1832"/>
      <c r="V371" s="1832"/>
      <c r="W371" s="1832"/>
      <c r="X371" s="1832"/>
      <c r="Y371" s="1832"/>
      <c r="Z371" s="1832"/>
      <c r="AA371" s="1831"/>
      <c r="AB371" s="1831"/>
      <c r="AC371" s="1831"/>
      <c r="AD371" s="1831"/>
      <c r="AE371" s="1831"/>
      <c r="AF371" s="1831"/>
      <c r="AG371" s="1832"/>
    </row>
    <row r="372" spans="1:33">
      <c r="A372" s="1833"/>
      <c r="B372" s="1833"/>
      <c r="C372" s="1831"/>
      <c r="D372" s="1831"/>
      <c r="E372" s="1831"/>
      <c r="F372" s="1832"/>
      <c r="G372" s="1832"/>
      <c r="H372" s="1832"/>
      <c r="I372" s="1832"/>
      <c r="J372" s="1832"/>
      <c r="K372" s="1832"/>
      <c r="L372" s="1832"/>
      <c r="M372" s="1832"/>
      <c r="N372" s="1832"/>
      <c r="O372" s="1832"/>
      <c r="P372" s="1832"/>
      <c r="Q372" s="1832"/>
      <c r="R372" s="1832"/>
      <c r="S372" s="1832"/>
      <c r="T372" s="1832"/>
      <c r="U372" s="1832"/>
      <c r="V372" s="1832"/>
      <c r="W372" s="1832"/>
      <c r="X372" s="1832"/>
      <c r="Y372" s="1832"/>
      <c r="Z372" s="1832"/>
      <c r="AA372" s="1831"/>
      <c r="AB372" s="1831"/>
      <c r="AC372" s="1831"/>
      <c r="AD372" s="1831"/>
      <c r="AE372" s="1831"/>
      <c r="AF372" s="1831"/>
      <c r="AG372" s="1832"/>
    </row>
    <row r="373" spans="1:33">
      <c r="A373" s="1833"/>
      <c r="B373" s="1833"/>
      <c r="C373" s="1831"/>
      <c r="D373" s="1831"/>
      <c r="E373" s="1831"/>
      <c r="F373" s="1832"/>
      <c r="G373" s="1832"/>
      <c r="H373" s="1832"/>
      <c r="I373" s="1832"/>
      <c r="J373" s="1832"/>
      <c r="K373" s="1832"/>
      <c r="L373" s="1832"/>
      <c r="M373" s="1832"/>
      <c r="N373" s="1832"/>
      <c r="O373" s="1832"/>
      <c r="P373" s="1832"/>
      <c r="Q373" s="1832"/>
      <c r="R373" s="1832"/>
      <c r="S373" s="1832"/>
      <c r="T373" s="1832"/>
      <c r="U373" s="1832"/>
      <c r="V373" s="1832"/>
      <c r="W373" s="1832"/>
      <c r="X373" s="1832"/>
      <c r="Y373" s="1832"/>
      <c r="Z373" s="1832"/>
      <c r="AA373" s="1831"/>
      <c r="AB373" s="1831"/>
      <c r="AC373" s="1831"/>
      <c r="AD373" s="1831"/>
      <c r="AE373" s="1831"/>
      <c r="AF373" s="1831"/>
      <c r="AG373" s="1832"/>
    </row>
    <row r="374" spans="1:33">
      <c r="A374" s="1833"/>
      <c r="B374" s="1833"/>
      <c r="C374" s="1831"/>
      <c r="D374" s="1831"/>
      <c r="E374" s="1831"/>
      <c r="F374" s="1832"/>
      <c r="G374" s="1832"/>
      <c r="H374" s="1832"/>
      <c r="I374" s="1832"/>
      <c r="J374" s="1832"/>
      <c r="K374" s="1832"/>
      <c r="L374" s="1832"/>
      <c r="M374" s="1832"/>
      <c r="N374" s="1832"/>
      <c r="O374" s="1832"/>
      <c r="P374" s="1832"/>
      <c r="Q374" s="1832"/>
      <c r="R374" s="1832"/>
      <c r="S374" s="1832"/>
      <c r="T374" s="1832"/>
      <c r="U374" s="1832"/>
      <c r="V374" s="1832"/>
      <c r="W374" s="1832"/>
      <c r="X374" s="1832"/>
      <c r="Y374" s="1832"/>
      <c r="Z374" s="1832"/>
      <c r="AA374" s="1831"/>
      <c r="AB374" s="1831"/>
      <c r="AC374" s="1831"/>
      <c r="AD374" s="1831"/>
      <c r="AE374" s="1831"/>
      <c r="AF374" s="1831"/>
      <c r="AG374" s="1832"/>
    </row>
    <row r="375" spans="1:33">
      <c r="A375" s="1833"/>
      <c r="B375" s="1833"/>
      <c r="C375" s="1831"/>
      <c r="D375" s="1831"/>
      <c r="E375" s="1831"/>
      <c r="F375" s="1832"/>
      <c r="G375" s="1832"/>
      <c r="H375" s="1832"/>
      <c r="I375" s="1832"/>
      <c r="J375" s="1832"/>
      <c r="K375" s="1832"/>
      <c r="L375" s="1832"/>
      <c r="M375" s="1832"/>
      <c r="N375" s="1832"/>
      <c r="O375" s="1832"/>
      <c r="P375" s="1832"/>
      <c r="Q375" s="1832"/>
      <c r="R375" s="1832"/>
      <c r="S375" s="1832"/>
      <c r="T375" s="1832"/>
      <c r="U375" s="1832"/>
      <c r="V375" s="1832"/>
      <c r="W375" s="1832"/>
      <c r="X375" s="1832"/>
      <c r="Y375" s="1832"/>
      <c r="Z375" s="1832"/>
      <c r="AA375" s="1831"/>
      <c r="AB375" s="1831"/>
      <c r="AC375" s="1831"/>
      <c r="AD375" s="1831"/>
      <c r="AE375" s="1831"/>
      <c r="AF375" s="1831"/>
      <c r="AG375" s="1832"/>
    </row>
    <row r="376" spans="1:33">
      <c r="A376" s="1833"/>
      <c r="B376" s="1833"/>
      <c r="C376" s="1831"/>
      <c r="D376" s="1831"/>
      <c r="E376" s="1831"/>
      <c r="F376" s="1832"/>
      <c r="G376" s="1832"/>
      <c r="H376" s="1832"/>
      <c r="I376" s="1832"/>
      <c r="J376" s="1832"/>
      <c r="K376" s="1832"/>
      <c r="L376" s="1832"/>
      <c r="M376" s="1832"/>
      <c r="N376" s="1832"/>
      <c r="O376" s="1832"/>
      <c r="P376" s="1832"/>
      <c r="Q376" s="1832"/>
      <c r="R376" s="1832"/>
      <c r="S376" s="1832"/>
      <c r="T376" s="1832"/>
      <c r="U376" s="1832"/>
      <c r="V376" s="1832"/>
      <c r="W376" s="1832"/>
      <c r="X376" s="1832"/>
      <c r="Y376" s="1832"/>
      <c r="Z376" s="1832"/>
      <c r="AA376" s="1831"/>
      <c r="AB376" s="1831"/>
      <c r="AC376" s="1831"/>
      <c r="AD376" s="1831"/>
      <c r="AE376" s="1831"/>
      <c r="AF376" s="1831"/>
      <c r="AG376" s="1832"/>
    </row>
    <row r="377" spans="1:33">
      <c r="A377" s="1833"/>
      <c r="B377" s="1833"/>
      <c r="C377" s="1831"/>
      <c r="D377" s="1831"/>
      <c r="E377" s="1831"/>
      <c r="F377" s="1832"/>
      <c r="G377" s="1832"/>
      <c r="H377" s="1832"/>
      <c r="I377" s="1832"/>
      <c r="J377" s="1832"/>
      <c r="K377" s="1832"/>
      <c r="L377" s="1832"/>
      <c r="M377" s="1832"/>
      <c r="N377" s="1832"/>
      <c r="O377" s="1832"/>
      <c r="P377" s="1832"/>
      <c r="Q377" s="1832"/>
      <c r="R377" s="1832"/>
      <c r="S377" s="1832"/>
      <c r="T377" s="1832"/>
      <c r="U377" s="1832"/>
      <c r="V377" s="1832"/>
      <c r="W377" s="1832"/>
      <c r="X377" s="1832"/>
      <c r="Y377" s="1832"/>
      <c r="Z377" s="1832"/>
      <c r="AA377" s="1831"/>
      <c r="AB377" s="1831"/>
      <c r="AC377" s="1831"/>
      <c r="AD377" s="1831"/>
      <c r="AE377" s="1831"/>
      <c r="AF377" s="1831"/>
      <c r="AG377" s="1832"/>
    </row>
    <row r="378" spans="1:33">
      <c r="A378" s="1833"/>
      <c r="B378" s="1833"/>
      <c r="C378" s="1831"/>
      <c r="D378" s="1831"/>
      <c r="E378" s="1831"/>
      <c r="F378" s="1832"/>
      <c r="G378" s="1832"/>
      <c r="H378" s="1832"/>
      <c r="I378" s="1832"/>
      <c r="J378" s="1832"/>
      <c r="K378" s="1832"/>
      <c r="L378" s="1832"/>
      <c r="M378" s="1832"/>
      <c r="N378" s="1832"/>
      <c r="O378" s="1832"/>
      <c r="P378" s="1832"/>
      <c r="Q378" s="1832"/>
      <c r="R378" s="1832"/>
      <c r="S378" s="1832"/>
      <c r="T378" s="1832"/>
      <c r="U378" s="1832"/>
      <c r="V378" s="1832"/>
      <c r="W378" s="1832"/>
      <c r="X378" s="1832"/>
      <c r="Y378" s="1832"/>
      <c r="Z378" s="1832"/>
      <c r="AA378" s="1831"/>
      <c r="AB378" s="1831"/>
      <c r="AC378" s="1831"/>
      <c r="AD378" s="1831"/>
      <c r="AE378" s="1831"/>
      <c r="AF378" s="1831"/>
      <c r="AG378" s="1832"/>
    </row>
    <row r="379" spans="1:33">
      <c r="A379" s="1833"/>
      <c r="B379" s="1833"/>
      <c r="C379" s="1831"/>
      <c r="D379" s="1831"/>
      <c r="E379" s="1831"/>
      <c r="F379" s="1832"/>
      <c r="G379" s="1832"/>
      <c r="H379" s="1832"/>
      <c r="I379" s="1832"/>
      <c r="J379" s="1832"/>
      <c r="K379" s="1832"/>
      <c r="L379" s="1832"/>
      <c r="M379" s="1832"/>
      <c r="N379" s="1832"/>
      <c r="O379" s="1832"/>
      <c r="P379" s="1832"/>
      <c r="Q379" s="1832"/>
      <c r="R379" s="1832"/>
      <c r="S379" s="1832"/>
      <c r="T379" s="1832"/>
      <c r="U379" s="1832"/>
      <c r="V379" s="1832"/>
      <c r="W379" s="1832"/>
      <c r="X379" s="1832"/>
      <c r="Y379" s="1832"/>
      <c r="Z379" s="1832"/>
      <c r="AA379" s="1831"/>
      <c r="AB379" s="1831"/>
      <c r="AC379" s="1831"/>
      <c r="AD379" s="1831"/>
      <c r="AE379" s="1831"/>
      <c r="AF379" s="1831"/>
      <c r="AG379" s="1832"/>
    </row>
    <row r="380" spans="1:33">
      <c r="A380" s="1833"/>
      <c r="B380" s="1833"/>
      <c r="C380" s="1831"/>
      <c r="D380" s="1831"/>
      <c r="E380" s="1831"/>
      <c r="F380" s="1832"/>
      <c r="G380" s="1832"/>
      <c r="H380" s="1832"/>
      <c r="I380" s="1832"/>
      <c r="J380" s="1832"/>
      <c r="K380" s="1832"/>
      <c r="L380" s="1832"/>
      <c r="M380" s="1832"/>
      <c r="N380" s="1832"/>
      <c r="O380" s="1832"/>
      <c r="P380" s="1832"/>
      <c r="Q380" s="1832"/>
      <c r="R380" s="1832"/>
      <c r="S380" s="1832"/>
      <c r="T380" s="1832"/>
      <c r="U380" s="1832"/>
      <c r="V380" s="1832"/>
      <c r="W380" s="1832"/>
      <c r="X380" s="1832"/>
      <c r="Y380" s="1832"/>
      <c r="Z380" s="1832"/>
      <c r="AA380" s="1831"/>
      <c r="AB380" s="1831"/>
      <c r="AC380" s="1831"/>
      <c r="AD380" s="1831"/>
      <c r="AE380" s="1831"/>
      <c r="AF380" s="1831"/>
      <c r="AG380" s="1832"/>
    </row>
    <row r="381" spans="1:33">
      <c r="A381" s="1833"/>
      <c r="B381" s="1833"/>
      <c r="C381" s="1831"/>
      <c r="D381" s="1831"/>
      <c r="E381" s="1831"/>
      <c r="F381" s="1832"/>
      <c r="G381" s="1832"/>
      <c r="H381" s="1832"/>
      <c r="I381" s="1832"/>
      <c r="J381" s="1832"/>
      <c r="K381" s="1832"/>
      <c r="L381" s="1832"/>
      <c r="M381" s="1832"/>
      <c r="N381" s="1832"/>
      <c r="O381" s="1832"/>
      <c r="P381" s="1832"/>
      <c r="Q381" s="1832"/>
      <c r="R381" s="1832"/>
      <c r="S381" s="1832"/>
      <c r="T381" s="1832"/>
      <c r="U381" s="1832"/>
      <c r="V381" s="1832"/>
      <c r="W381" s="1832"/>
      <c r="X381" s="1832"/>
      <c r="Y381" s="1832"/>
      <c r="Z381" s="1832"/>
      <c r="AA381" s="1831"/>
      <c r="AB381" s="1831"/>
      <c r="AC381" s="1831"/>
      <c r="AD381" s="1831"/>
      <c r="AE381" s="1831"/>
      <c r="AF381" s="1831"/>
      <c r="AG381" s="1832"/>
    </row>
    <row r="382" spans="1:33">
      <c r="A382" s="1833"/>
      <c r="B382" s="1833"/>
      <c r="C382" s="1831"/>
      <c r="D382" s="1831"/>
      <c r="E382" s="1831"/>
      <c r="F382" s="1832"/>
      <c r="G382" s="1832"/>
      <c r="H382" s="1832"/>
      <c r="I382" s="1832"/>
      <c r="J382" s="1832"/>
      <c r="K382" s="1832"/>
      <c r="L382" s="1832"/>
      <c r="M382" s="1832"/>
      <c r="N382" s="1832"/>
      <c r="O382" s="1832"/>
      <c r="P382" s="1832"/>
      <c r="Q382" s="1832"/>
      <c r="R382" s="1832"/>
      <c r="S382" s="1832"/>
      <c r="T382" s="1832"/>
      <c r="U382" s="1832"/>
      <c r="V382" s="1832"/>
      <c r="W382" s="1832"/>
      <c r="X382" s="1832"/>
      <c r="Y382" s="1832"/>
      <c r="Z382" s="1832"/>
      <c r="AA382" s="1831"/>
      <c r="AB382" s="1831"/>
      <c r="AC382" s="1831"/>
      <c r="AD382" s="1831"/>
      <c r="AE382" s="1831"/>
      <c r="AF382" s="1831"/>
      <c r="AG382" s="1832"/>
    </row>
    <row r="383" spans="1:33">
      <c r="A383" s="1833"/>
      <c r="B383" s="1833"/>
      <c r="C383" s="1831"/>
      <c r="D383" s="1831"/>
      <c r="E383" s="1831"/>
      <c r="F383" s="1832"/>
      <c r="G383" s="1832"/>
      <c r="H383" s="1832"/>
      <c r="I383" s="1832"/>
      <c r="J383" s="1832"/>
      <c r="K383" s="1832"/>
      <c r="L383" s="1832"/>
      <c r="M383" s="1832"/>
      <c r="N383" s="1832"/>
      <c r="O383" s="1832"/>
      <c r="P383" s="1832"/>
      <c r="Q383" s="1832"/>
      <c r="R383" s="1832"/>
      <c r="S383" s="1832"/>
      <c r="T383" s="1832"/>
      <c r="U383" s="1832"/>
      <c r="V383" s="1832"/>
      <c r="W383" s="1832"/>
      <c r="X383" s="1832"/>
      <c r="Y383" s="1832"/>
      <c r="Z383" s="1832"/>
      <c r="AA383" s="1831"/>
      <c r="AB383" s="1831"/>
      <c r="AC383" s="1831"/>
      <c r="AD383" s="1831"/>
      <c r="AE383" s="1831"/>
      <c r="AF383" s="1831"/>
      <c r="AG383" s="1832"/>
    </row>
    <row r="384" spans="1:33">
      <c r="A384" s="1833"/>
      <c r="B384" s="1833"/>
      <c r="C384" s="1831"/>
      <c r="D384" s="1831"/>
      <c r="E384" s="1831"/>
      <c r="F384" s="1832"/>
      <c r="G384" s="1832"/>
      <c r="H384" s="1832"/>
      <c r="I384" s="1832"/>
      <c r="J384" s="1832"/>
      <c r="K384" s="1832"/>
      <c r="L384" s="1832"/>
      <c r="M384" s="1832"/>
      <c r="N384" s="1832"/>
      <c r="O384" s="1832"/>
      <c r="P384" s="1832"/>
      <c r="Q384" s="1832"/>
      <c r="R384" s="1832"/>
      <c r="S384" s="1832"/>
      <c r="T384" s="1832"/>
      <c r="U384" s="1832"/>
      <c r="V384" s="1832"/>
      <c r="W384" s="1832"/>
      <c r="X384" s="1832"/>
      <c r="Y384" s="1832"/>
      <c r="Z384" s="1832"/>
      <c r="AA384" s="1831"/>
      <c r="AB384" s="1831"/>
      <c r="AC384" s="1831"/>
      <c r="AD384" s="1831"/>
      <c r="AE384" s="1831"/>
      <c r="AF384" s="1831"/>
      <c r="AG384" s="1832"/>
    </row>
    <row r="385" spans="1:33">
      <c r="A385" s="1833"/>
      <c r="B385" s="1833"/>
      <c r="C385" s="1831"/>
      <c r="D385" s="1831"/>
      <c r="E385" s="1831"/>
      <c r="F385" s="1832"/>
      <c r="G385" s="1832"/>
      <c r="H385" s="1832"/>
      <c r="I385" s="1832"/>
      <c r="J385" s="1832"/>
      <c r="K385" s="1832"/>
      <c r="L385" s="1832"/>
      <c r="M385" s="1832"/>
      <c r="N385" s="1832"/>
      <c r="O385" s="1832"/>
      <c r="P385" s="1832"/>
      <c r="Q385" s="1832"/>
      <c r="R385" s="1832"/>
      <c r="S385" s="1832"/>
      <c r="T385" s="1832"/>
      <c r="U385" s="1832"/>
      <c r="V385" s="1832"/>
      <c r="W385" s="1832"/>
      <c r="X385" s="1832"/>
      <c r="Y385" s="1832"/>
      <c r="Z385" s="1832"/>
      <c r="AA385" s="1831"/>
      <c r="AB385" s="1831"/>
      <c r="AC385" s="1831"/>
      <c r="AD385" s="1831"/>
      <c r="AE385" s="1831"/>
      <c r="AF385" s="1831"/>
      <c r="AG385" s="1832"/>
    </row>
    <row r="386" spans="1:33">
      <c r="A386" s="1833"/>
      <c r="B386" s="1833"/>
      <c r="C386" s="1831"/>
      <c r="D386" s="1831"/>
      <c r="E386" s="1831"/>
      <c r="F386" s="1832"/>
      <c r="G386" s="1832"/>
      <c r="H386" s="1832"/>
      <c r="I386" s="1832"/>
      <c r="J386" s="1832"/>
      <c r="K386" s="1832"/>
      <c r="L386" s="1832"/>
      <c r="M386" s="1832"/>
      <c r="N386" s="1832"/>
      <c r="O386" s="1832"/>
      <c r="P386" s="1832"/>
      <c r="Q386" s="1832"/>
      <c r="R386" s="1832"/>
      <c r="S386" s="1832"/>
      <c r="T386" s="1832"/>
      <c r="U386" s="1832"/>
      <c r="V386" s="1832"/>
      <c r="W386" s="1832"/>
      <c r="X386" s="1832"/>
      <c r="Y386" s="1832"/>
      <c r="Z386" s="1832"/>
      <c r="AA386" s="1831"/>
      <c r="AB386" s="1831"/>
      <c r="AC386" s="1831"/>
      <c r="AD386" s="1831"/>
      <c r="AE386" s="1831"/>
      <c r="AF386" s="1831"/>
      <c r="AG386" s="1832"/>
    </row>
    <row r="387" spans="1:33">
      <c r="A387" s="1833"/>
      <c r="B387" s="1833"/>
      <c r="C387" s="1831"/>
      <c r="D387" s="1831"/>
      <c r="E387" s="1831"/>
      <c r="F387" s="1832"/>
      <c r="G387" s="1832"/>
      <c r="H387" s="1832"/>
      <c r="I387" s="1832"/>
      <c r="J387" s="1832"/>
      <c r="K387" s="1832"/>
      <c r="L387" s="1832"/>
      <c r="M387" s="1832"/>
      <c r="N387" s="1832"/>
      <c r="O387" s="1832"/>
      <c r="P387" s="1832"/>
      <c r="Q387" s="1832"/>
      <c r="R387" s="1832"/>
      <c r="S387" s="1832"/>
      <c r="T387" s="1832"/>
      <c r="U387" s="1832"/>
      <c r="V387" s="1832"/>
      <c r="W387" s="1832"/>
      <c r="X387" s="1832"/>
      <c r="Y387" s="1832"/>
      <c r="Z387" s="1832"/>
      <c r="AA387" s="1831"/>
      <c r="AB387" s="1831"/>
      <c r="AC387" s="1831"/>
      <c r="AD387" s="1831"/>
      <c r="AE387" s="1831"/>
      <c r="AF387" s="1831"/>
      <c r="AG387" s="1832"/>
    </row>
    <row r="388" spans="1:33">
      <c r="A388" s="1833"/>
      <c r="B388" s="1833"/>
      <c r="C388" s="1831"/>
      <c r="D388" s="1831"/>
      <c r="E388" s="1831"/>
      <c r="F388" s="1832"/>
      <c r="G388" s="1832"/>
      <c r="H388" s="1832"/>
      <c r="I388" s="1832"/>
      <c r="J388" s="1832"/>
      <c r="K388" s="1832"/>
      <c r="L388" s="1832"/>
      <c r="M388" s="1832"/>
      <c r="N388" s="1832"/>
      <c r="O388" s="1832"/>
      <c r="P388" s="1832"/>
      <c r="Q388" s="1832"/>
      <c r="R388" s="1832"/>
      <c r="S388" s="1832"/>
      <c r="T388" s="1832"/>
      <c r="U388" s="1832"/>
      <c r="V388" s="1832"/>
      <c r="W388" s="1832"/>
      <c r="X388" s="1832"/>
      <c r="Y388" s="1832"/>
      <c r="Z388" s="1832"/>
      <c r="AA388" s="1831"/>
      <c r="AB388" s="1831"/>
      <c r="AC388" s="1831"/>
      <c r="AD388" s="1831"/>
      <c r="AE388" s="1831"/>
      <c r="AF388" s="1831"/>
      <c r="AG388" s="1832"/>
    </row>
    <row r="389" spans="1:33">
      <c r="A389" s="1833"/>
      <c r="B389" s="1833"/>
      <c r="C389" s="1831"/>
      <c r="D389" s="1831"/>
      <c r="E389" s="1831"/>
      <c r="F389" s="1832"/>
      <c r="G389" s="1832"/>
      <c r="H389" s="1832"/>
      <c r="I389" s="1832"/>
      <c r="J389" s="1832"/>
      <c r="K389" s="1832"/>
      <c r="L389" s="1832"/>
      <c r="M389" s="1832"/>
      <c r="N389" s="1832"/>
      <c r="O389" s="1832"/>
      <c r="P389" s="1832"/>
      <c r="Q389" s="1832"/>
      <c r="R389" s="1832"/>
      <c r="S389" s="1832"/>
      <c r="T389" s="1832"/>
      <c r="U389" s="1832"/>
      <c r="V389" s="1832"/>
      <c r="W389" s="1832"/>
      <c r="X389" s="1832"/>
      <c r="Y389" s="1832"/>
      <c r="Z389" s="1832"/>
      <c r="AA389" s="1831"/>
      <c r="AB389" s="1831"/>
      <c r="AC389" s="1831"/>
      <c r="AD389" s="1831"/>
      <c r="AE389" s="1831"/>
      <c r="AF389" s="1831"/>
      <c r="AG389" s="1832"/>
    </row>
    <row r="390" spans="1:33">
      <c r="A390" s="1833"/>
      <c r="B390" s="1833"/>
      <c r="C390" s="1831"/>
      <c r="D390" s="1831"/>
      <c r="E390" s="1831"/>
      <c r="F390" s="1832"/>
      <c r="G390" s="1832"/>
      <c r="H390" s="1832"/>
      <c r="I390" s="1832"/>
      <c r="J390" s="1832"/>
      <c r="K390" s="1832"/>
      <c r="L390" s="1832"/>
      <c r="M390" s="1832"/>
      <c r="N390" s="1832"/>
      <c r="O390" s="1832"/>
      <c r="P390" s="1832"/>
      <c r="Q390" s="1832"/>
      <c r="R390" s="1832"/>
      <c r="S390" s="1832"/>
      <c r="T390" s="1832"/>
      <c r="U390" s="1832"/>
      <c r="V390" s="1832"/>
      <c r="W390" s="1832"/>
      <c r="X390" s="1832"/>
      <c r="Y390" s="1832"/>
      <c r="Z390" s="1832"/>
      <c r="AA390" s="1831"/>
      <c r="AB390" s="1831"/>
      <c r="AC390" s="1831"/>
      <c r="AD390" s="1831"/>
      <c r="AE390" s="1831"/>
      <c r="AF390" s="1831"/>
      <c r="AG390" s="1832"/>
    </row>
    <row r="391" spans="1:33">
      <c r="A391" s="1833"/>
      <c r="B391" s="1833"/>
      <c r="C391" s="1831"/>
      <c r="D391" s="1831"/>
      <c r="E391" s="1831"/>
      <c r="F391" s="1832"/>
      <c r="G391" s="1832"/>
      <c r="H391" s="1832"/>
      <c r="I391" s="1832"/>
      <c r="J391" s="1832"/>
      <c r="K391" s="1832"/>
      <c r="L391" s="1832"/>
      <c r="M391" s="1832"/>
      <c r="N391" s="1832"/>
      <c r="O391" s="1832"/>
      <c r="P391" s="1832"/>
      <c r="Q391" s="1832"/>
      <c r="R391" s="1832"/>
      <c r="S391" s="1832"/>
      <c r="T391" s="1832"/>
      <c r="U391" s="1832"/>
      <c r="V391" s="1832"/>
      <c r="W391" s="1832"/>
      <c r="X391" s="1832"/>
      <c r="Y391" s="1832"/>
      <c r="Z391" s="1832"/>
      <c r="AA391" s="1831"/>
      <c r="AB391" s="1831"/>
      <c r="AC391" s="1831"/>
      <c r="AD391" s="1831"/>
      <c r="AE391" s="1831"/>
      <c r="AF391" s="1831"/>
      <c r="AG391" s="1832"/>
    </row>
    <row r="392" spans="1:33">
      <c r="A392" s="1833"/>
      <c r="B392" s="1833"/>
      <c r="C392" s="1831"/>
      <c r="D392" s="1831"/>
      <c r="E392" s="1831"/>
      <c r="F392" s="1832"/>
      <c r="G392" s="1832"/>
      <c r="H392" s="1832"/>
      <c r="I392" s="1832"/>
      <c r="J392" s="1832"/>
      <c r="K392" s="1832"/>
      <c r="L392" s="1832"/>
      <c r="M392" s="1832"/>
      <c r="N392" s="1832"/>
      <c r="O392" s="1832"/>
      <c r="P392" s="1832"/>
      <c r="Q392" s="1832"/>
      <c r="R392" s="1832"/>
      <c r="S392" s="1832"/>
      <c r="T392" s="1832"/>
      <c r="U392" s="1832"/>
      <c r="V392" s="1832"/>
      <c r="W392" s="1832"/>
      <c r="X392" s="1832"/>
      <c r="Y392" s="1832"/>
      <c r="Z392" s="1832"/>
      <c r="AA392" s="1831"/>
      <c r="AB392" s="1831"/>
      <c r="AC392" s="1831"/>
      <c r="AD392" s="1831"/>
      <c r="AE392" s="1831"/>
      <c r="AF392" s="1831"/>
      <c r="AG392" s="1832"/>
    </row>
    <row r="393" spans="1:33">
      <c r="A393" s="1833"/>
      <c r="B393" s="1833"/>
      <c r="C393" s="1831"/>
      <c r="D393" s="1831"/>
      <c r="E393" s="1831"/>
      <c r="F393" s="1832"/>
      <c r="G393" s="1832"/>
      <c r="H393" s="1832"/>
      <c r="I393" s="1832"/>
      <c r="J393" s="1832"/>
      <c r="K393" s="1832"/>
      <c r="L393" s="1832"/>
      <c r="M393" s="1832"/>
      <c r="N393" s="1832"/>
      <c r="O393" s="1832"/>
      <c r="P393" s="1832"/>
      <c r="Q393" s="1832"/>
      <c r="R393" s="1832"/>
      <c r="S393" s="1832"/>
      <c r="T393" s="1832"/>
      <c r="U393" s="1832"/>
      <c r="V393" s="1832"/>
      <c r="W393" s="1832"/>
      <c r="X393" s="1832"/>
      <c r="Y393" s="1832"/>
      <c r="Z393" s="1832"/>
      <c r="AA393" s="1831"/>
      <c r="AB393" s="1831"/>
      <c r="AC393" s="1831"/>
      <c r="AD393" s="1831"/>
      <c r="AE393" s="1831"/>
      <c r="AF393" s="1831"/>
      <c r="AG393" s="1832"/>
    </row>
    <row r="394" spans="1:33">
      <c r="A394" s="1833"/>
      <c r="B394" s="1833"/>
      <c r="C394" s="1831"/>
      <c r="D394" s="1831"/>
      <c r="E394" s="1831"/>
      <c r="F394" s="1832"/>
      <c r="G394" s="1832"/>
      <c r="H394" s="1832"/>
      <c r="I394" s="1832"/>
      <c r="J394" s="1832"/>
      <c r="K394" s="1832"/>
      <c r="L394" s="1832"/>
      <c r="M394" s="1832"/>
      <c r="N394" s="1832"/>
      <c r="O394" s="1832"/>
      <c r="P394" s="1832"/>
      <c r="Q394" s="1832"/>
      <c r="R394" s="1832"/>
      <c r="S394" s="1832"/>
      <c r="T394" s="1832"/>
      <c r="U394" s="1832"/>
      <c r="V394" s="1832"/>
      <c r="W394" s="1832"/>
      <c r="X394" s="1832"/>
      <c r="Y394" s="1832"/>
      <c r="Z394" s="1832"/>
      <c r="AA394" s="1831"/>
      <c r="AB394" s="1831"/>
      <c r="AC394" s="1831"/>
      <c r="AD394" s="1831"/>
      <c r="AE394" s="1831"/>
      <c r="AF394" s="1831"/>
      <c r="AG394" s="1832"/>
    </row>
    <row r="395" spans="1:33">
      <c r="A395" s="1833"/>
      <c r="B395" s="1833"/>
      <c r="C395" s="1831"/>
      <c r="D395" s="1831"/>
      <c r="E395" s="1831"/>
      <c r="F395" s="1832"/>
      <c r="G395" s="1832"/>
      <c r="H395" s="1832"/>
      <c r="I395" s="1832"/>
      <c r="J395" s="1832"/>
      <c r="K395" s="1832"/>
      <c r="L395" s="1832"/>
      <c r="M395" s="1832"/>
      <c r="N395" s="1832"/>
      <c r="O395" s="1832"/>
      <c r="P395" s="1832"/>
      <c r="Q395" s="1832"/>
      <c r="R395" s="1832"/>
      <c r="S395" s="1832"/>
      <c r="T395" s="1832"/>
      <c r="U395" s="1832"/>
      <c r="V395" s="1832"/>
      <c r="W395" s="1832"/>
      <c r="X395" s="1832"/>
      <c r="Y395" s="1832"/>
      <c r="Z395" s="1832"/>
      <c r="AA395" s="1831"/>
      <c r="AB395" s="1831"/>
      <c r="AC395" s="1831"/>
      <c r="AD395" s="1831"/>
      <c r="AE395" s="1831"/>
      <c r="AF395" s="1831"/>
      <c r="AG395" s="1832"/>
    </row>
    <row r="396" spans="1:33">
      <c r="A396" s="1833"/>
      <c r="B396" s="1833"/>
      <c r="C396" s="1831"/>
      <c r="D396" s="1831"/>
      <c r="E396" s="1831"/>
      <c r="F396" s="1832"/>
      <c r="G396" s="1832"/>
      <c r="H396" s="1832"/>
      <c r="I396" s="1832"/>
      <c r="J396" s="1832"/>
      <c r="K396" s="1832"/>
      <c r="L396" s="1832"/>
      <c r="M396" s="1832"/>
      <c r="N396" s="1832"/>
      <c r="O396" s="1832"/>
      <c r="P396" s="1832"/>
      <c r="Q396" s="1832"/>
      <c r="R396" s="1832"/>
      <c r="S396" s="1832"/>
      <c r="T396" s="1832"/>
      <c r="U396" s="1832"/>
      <c r="V396" s="1832"/>
      <c r="W396" s="1832"/>
      <c r="X396" s="1832"/>
      <c r="Y396" s="1832"/>
      <c r="Z396" s="1832"/>
      <c r="AA396" s="1831"/>
      <c r="AB396" s="1831"/>
      <c r="AC396" s="1831"/>
      <c r="AD396" s="1831"/>
      <c r="AE396" s="1831"/>
      <c r="AF396" s="1831"/>
      <c r="AG396" s="1832"/>
    </row>
    <row r="397" spans="1:33">
      <c r="A397" s="1833"/>
      <c r="B397" s="1833"/>
      <c r="C397" s="1831"/>
      <c r="D397" s="1831"/>
      <c r="E397" s="1831"/>
      <c r="F397" s="1832"/>
      <c r="G397" s="1832"/>
      <c r="H397" s="1832"/>
      <c r="I397" s="1832"/>
      <c r="J397" s="1832"/>
      <c r="K397" s="1832"/>
      <c r="L397" s="1832"/>
      <c r="M397" s="1832"/>
      <c r="N397" s="1832"/>
      <c r="O397" s="1832"/>
      <c r="P397" s="1832"/>
      <c r="Q397" s="1832"/>
      <c r="R397" s="1832"/>
      <c r="S397" s="1832"/>
      <c r="T397" s="1832"/>
      <c r="U397" s="1832"/>
      <c r="V397" s="1832"/>
      <c r="W397" s="1832"/>
      <c r="X397" s="1832"/>
      <c r="Y397" s="1832"/>
      <c r="Z397" s="1832"/>
      <c r="AA397" s="1831"/>
      <c r="AB397" s="1831"/>
      <c r="AC397" s="1831"/>
      <c r="AD397" s="1831"/>
      <c r="AE397" s="1831"/>
      <c r="AF397" s="1831"/>
      <c r="AG397" s="1832"/>
    </row>
    <row r="398" spans="1:33">
      <c r="A398" s="1833"/>
      <c r="B398" s="1833"/>
      <c r="C398" s="1831"/>
      <c r="D398" s="1831"/>
      <c r="E398" s="1831"/>
      <c r="F398" s="1832"/>
      <c r="G398" s="1832"/>
      <c r="H398" s="1832"/>
      <c r="I398" s="1832"/>
      <c r="J398" s="1832"/>
      <c r="K398" s="1832"/>
      <c r="L398" s="1832"/>
      <c r="M398" s="1832"/>
      <c r="N398" s="1832"/>
      <c r="O398" s="1832"/>
      <c r="P398" s="1832"/>
      <c r="Q398" s="1832"/>
      <c r="R398" s="1832"/>
      <c r="S398" s="1832"/>
      <c r="T398" s="1832"/>
      <c r="U398" s="1832"/>
      <c r="V398" s="1832"/>
      <c r="W398" s="1832"/>
      <c r="X398" s="1832"/>
      <c r="Y398" s="1832"/>
      <c r="Z398" s="1832"/>
      <c r="AA398" s="1831"/>
      <c r="AB398" s="1831"/>
      <c r="AC398" s="1831"/>
      <c r="AD398" s="1831"/>
      <c r="AE398" s="1831"/>
      <c r="AF398" s="1831"/>
      <c r="AG398" s="1832"/>
    </row>
    <row r="399" spans="1:33">
      <c r="A399" s="1833"/>
      <c r="B399" s="1833"/>
      <c r="C399" s="1831"/>
      <c r="D399" s="1831"/>
      <c r="E399" s="1831"/>
      <c r="F399" s="1832"/>
      <c r="G399" s="1832"/>
      <c r="H399" s="1832"/>
      <c r="I399" s="1832"/>
      <c r="J399" s="1832"/>
      <c r="K399" s="1832"/>
      <c r="L399" s="1832"/>
      <c r="M399" s="1832"/>
      <c r="N399" s="1832"/>
      <c r="O399" s="1832"/>
      <c r="P399" s="1832"/>
      <c r="Q399" s="1832"/>
      <c r="R399" s="1832"/>
      <c r="S399" s="1832"/>
      <c r="T399" s="1832"/>
      <c r="U399" s="1832"/>
      <c r="V399" s="1832"/>
      <c r="W399" s="1832"/>
      <c r="X399" s="1832"/>
      <c r="Y399" s="1832"/>
      <c r="Z399" s="1832"/>
      <c r="AA399" s="1831"/>
      <c r="AB399" s="1831"/>
      <c r="AC399" s="1831"/>
      <c r="AD399" s="1831"/>
      <c r="AE399" s="1831"/>
      <c r="AF399" s="1831"/>
      <c r="AG399" s="1832"/>
    </row>
    <row r="400" spans="1:33">
      <c r="A400" s="1833"/>
      <c r="B400" s="1833"/>
      <c r="C400" s="1831"/>
      <c r="D400" s="1831"/>
      <c r="E400" s="1831"/>
      <c r="F400" s="1832"/>
      <c r="G400" s="1832"/>
      <c r="H400" s="1832"/>
      <c r="I400" s="1832"/>
      <c r="J400" s="1832"/>
      <c r="K400" s="1832"/>
      <c r="L400" s="1832"/>
      <c r="M400" s="1832"/>
      <c r="N400" s="1832"/>
      <c r="O400" s="1832"/>
      <c r="P400" s="1832"/>
      <c r="Q400" s="1832"/>
      <c r="R400" s="1832"/>
      <c r="S400" s="1832"/>
      <c r="T400" s="1832"/>
      <c r="U400" s="1832"/>
      <c r="V400" s="1832"/>
      <c r="W400" s="1832"/>
      <c r="X400" s="1832"/>
      <c r="Y400" s="1832"/>
      <c r="Z400" s="1832"/>
      <c r="AA400" s="1831"/>
      <c r="AB400" s="1831"/>
      <c r="AC400" s="1831"/>
      <c r="AD400" s="1831"/>
      <c r="AE400" s="1831"/>
      <c r="AF400" s="1831"/>
      <c r="AG400" s="1832"/>
    </row>
    <row r="401" spans="1:33">
      <c r="A401" s="1833"/>
      <c r="B401" s="1833"/>
      <c r="C401" s="1831"/>
      <c r="D401" s="1831"/>
      <c r="E401" s="1831"/>
      <c r="F401" s="1832"/>
      <c r="G401" s="1832"/>
      <c r="H401" s="1832"/>
      <c r="I401" s="1832"/>
      <c r="J401" s="1832"/>
      <c r="K401" s="1832"/>
      <c r="L401" s="1832"/>
      <c r="M401" s="1832"/>
      <c r="N401" s="1832"/>
      <c r="O401" s="1832"/>
      <c r="P401" s="1832"/>
      <c r="Q401" s="1832"/>
      <c r="R401" s="1832"/>
      <c r="S401" s="1832"/>
      <c r="T401" s="1832"/>
      <c r="U401" s="1832"/>
      <c r="V401" s="1832"/>
      <c r="W401" s="1832"/>
      <c r="X401" s="1832"/>
      <c r="Y401" s="1832"/>
      <c r="Z401" s="1832"/>
      <c r="AA401" s="1831"/>
      <c r="AB401" s="1831"/>
      <c r="AC401" s="1831"/>
      <c r="AD401" s="1831"/>
      <c r="AE401" s="1831"/>
      <c r="AF401" s="1831"/>
      <c r="AG401" s="1832"/>
    </row>
    <row r="402" spans="1:33">
      <c r="A402" s="1833"/>
      <c r="B402" s="1833"/>
      <c r="C402" s="1831"/>
      <c r="D402" s="1831"/>
      <c r="E402" s="1831"/>
      <c r="F402" s="1832"/>
      <c r="G402" s="1832"/>
      <c r="H402" s="1832"/>
      <c r="I402" s="1832"/>
      <c r="J402" s="1832"/>
      <c r="K402" s="1832"/>
      <c r="L402" s="1832"/>
      <c r="M402" s="1832"/>
      <c r="N402" s="1832"/>
      <c r="O402" s="1832"/>
      <c r="P402" s="1832"/>
      <c r="Q402" s="1832"/>
      <c r="R402" s="1832"/>
      <c r="S402" s="1832"/>
      <c r="T402" s="1832"/>
      <c r="U402" s="1832"/>
      <c r="V402" s="1832"/>
      <c r="W402" s="1832"/>
      <c r="X402" s="1832"/>
      <c r="Y402" s="1832"/>
      <c r="Z402" s="1832"/>
      <c r="AA402" s="1831"/>
      <c r="AB402" s="1831"/>
      <c r="AC402" s="1831"/>
      <c r="AD402" s="1831"/>
      <c r="AE402" s="1831"/>
      <c r="AF402" s="1831"/>
      <c r="AG402" s="1832"/>
    </row>
    <row r="403" spans="1:33">
      <c r="A403" s="1833"/>
      <c r="B403" s="1833"/>
      <c r="C403" s="1831"/>
      <c r="D403" s="1831"/>
      <c r="E403" s="1831"/>
      <c r="F403" s="1832"/>
      <c r="G403" s="1832"/>
      <c r="H403" s="1832"/>
      <c r="I403" s="1832"/>
      <c r="J403" s="1832"/>
      <c r="K403" s="1832"/>
      <c r="L403" s="1832"/>
      <c r="M403" s="1832"/>
      <c r="N403" s="1832"/>
      <c r="O403" s="1832"/>
      <c r="P403" s="1832"/>
      <c r="Q403" s="1832"/>
      <c r="R403" s="1832"/>
      <c r="S403" s="1832"/>
      <c r="T403" s="1832"/>
      <c r="U403" s="1832"/>
      <c r="V403" s="1832"/>
      <c r="W403" s="1832"/>
      <c r="X403" s="1832"/>
      <c r="Y403" s="1832"/>
      <c r="Z403" s="1832"/>
      <c r="AA403" s="1831"/>
      <c r="AB403" s="1831"/>
      <c r="AC403" s="1831"/>
      <c r="AD403" s="1831"/>
      <c r="AE403" s="1831"/>
      <c r="AF403" s="1831"/>
      <c r="AG403" s="1832"/>
    </row>
    <row r="404" spans="1:33">
      <c r="A404" s="1833"/>
      <c r="B404" s="1833"/>
      <c r="C404" s="1831"/>
      <c r="D404" s="1831"/>
      <c r="E404" s="1831"/>
      <c r="F404" s="1832"/>
      <c r="G404" s="1832"/>
      <c r="H404" s="1832"/>
      <c r="I404" s="1832"/>
      <c r="J404" s="1832"/>
      <c r="K404" s="1832"/>
      <c r="L404" s="1832"/>
      <c r="M404" s="1832"/>
      <c r="N404" s="1832"/>
      <c r="O404" s="1832"/>
      <c r="P404" s="1832"/>
      <c r="Q404" s="1832"/>
      <c r="R404" s="1832"/>
      <c r="S404" s="1832"/>
      <c r="T404" s="1832"/>
      <c r="U404" s="1832"/>
      <c r="V404" s="1832"/>
      <c r="W404" s="1832"/>
      <c r="X404" s="1832"/>
      <c r="Y404" s="1832"/>
      <c r="Z404" s="1832"/>
      <c r="AA404" s="1831"/>
      <c r="AB404" s="1831"/>
      <c r="AC404" s="1831"/>
      <c r="AD404" s="1831"/>
      <c r="AE404" s="1831"/>
      <c r="AF404" s="1831"/>
      <c r="AG404" s="1832"/>
    </row>
    <row r="405" spans="1:33">
      <c r="A405" s="1833"/>
      <c r="B405" s="1833"/>
      <c r="C405" s="1831"/>
      <c r="D405" s="1831"/>
      <c r="E405" s="1831"/>
      <c r="F405" s="1832"/>
      <c r="G405" s="1832"/>
      <c r="H405" s="1832"/>
      <c r="I405" s="1832"/>
      <c r="J405" s="1832"/>
      <c r="K405" s="1832"/>
      <c r="L405" s="1832"/>
      <c r="M405" s="1832"/>
      <c r="N405" s="1832"/>
      <c r="O405" s="1832"/>
      <c r="P405" s="1832"/>
      <c r="Q405" s="1832"/>
      <c r="R405" s="1832"/>
      <c r="S405" s="1832"/>
      <c r="T405" s="1832"/>
      <c r="U405" s="1832"/>
      <c r="V405" s="1832"/>
      <c r="W405" s="1832"/>
      <c r="X405" s="1832"/>
      <c r="Y405" s="1832"/>
      <c r="Z405" s="1832"/>
      <c r="AA405" s="1831"/>
      <c r="AB405" s="1831"/>
      <c r="AC405" s="1831"/>
      <c r="AD405" s="1831"/>
      <c r="AE405" s="1831"/>
      <c r="AF405" s="1831"/>
      <c r="AG405" s="1832"/>
    </row>
    <row r="406" spans="1:33">
      <c r="A406" s="1833"/>
      <c r="B406" s="1833"/>
      <c r="C406" s="1831"/>
      <c r="D406" s="1831"/>
      <c r="E406" s="1831"/>
      <c r="F406" s="1832"/>
      <c r="G406" s="1832"/>
      <c r="H406" s="1832"/>
      <c r="I406" s="1832"/>
      <c r="J406" s="1832"/>
      <c r="K406" s="1832"/>
      <c r="L406" s="1832"/>
      <c r="M406" s="1832"/>
      <c r="N406" s="1832"/>
      <c r="O406" s="1832"/>
      <c r="P406" s="1832"/>
      <c r="Q406" s="1832"/>
      <c r="R406" s="1832"/>
      <c r="S406" s="1832"/>
      <c r="T406" s="1832"/>
      <c r="U406" s="1832"/>
      <c r="V406" s="1832"/>
      <c r="W406" s="1832"/>
      <c r="X406" s="1832"/>
      <c r="Y406" s="1832"/>
      <c r="Z406" s="1832"/>
      <c r="AA406" s="1831"/>
      <c r="AB406" s="1831"/>
      <c r="AC406" s="1831"/>
      <c r="AD406" s="1831"/>
      <c r="AE406" s="1831"/>
      <c r="AF406" s="1831"/>
      <c r="AG406" s="1832"/>
    </row>
    <row r="407" spans="1:33">
      <c r="A407" s="1833"/>
      <c r="B407" s="1833"/>
      <c r="C407" s="1831"/>
      <c r="D407" s="1831"/>
      <c r="E407" s="1831"/>
      <c r="F407" s="1832"/>
      <c r="G407" s="1832"/>
      <c r="H407" s="1832"/>
      <c r="I407" s="1832"/>
      <c r="J407" s="1832"/>
      <c r="K407" s="1832"/>
      <c r="L407" s="1832"/>
      <c r="M407" s="1832"/>
      <c r="N407" s="1832"/>
      <c r="O407" s="1832"/>
      <c r="P407" s="1832"/>
      <c r="Q407" s="1832"/>
      <c r="R407" s="1832"/>
      <c r="S407" s="1832"/>
      <c r="T407" s="1832"/>
      <c r="U407" s="1832"/>
      <c r="V407" s="1832"/>
      <c r="W407" s="1832"/>
      <c r="X407" s="1832"/>
      <c r="Y407" s="1832"/>
      <c r="Z407" s="1832"/>
      <c r="AA407" s="1831"/>
      <c r="AB407" s="1831"/>
      <c r="AC407" s="1831"/>
      <c r="AD407" s="1831"/>
      <c r="AE407" s="1831"/>
      <c r="AF407" s="1831"/>
      <c r="AG407" s="1832"/>
    </row>
    <row r="408" spans="1:33">
      <c r="A408" s="1833"/>
      <c r="B408" s="1833"/>
      <c r="C408" s="1831"/>
      <c r="D408" s="1831"/>
      <c r="E408" s="1831"/>
      <c r="F408" s="1832"/>
      <c r="G408" s="1832"/>
      <c r="H408" s="1832"/>
      <c r="I408" s="1832"/>
      <c r="J408" s="1832"/>
      <c r="K408" s="1832"/>
      <c r="L408" s="1832"/>
      <c r="M408" s="1832"/>
      <c r="N408" s="1832"/>
      <c r="O408" s="1832"/>
      <c r="P408" s="1832"/>
      <c r="Q408" s="1832"/>
      <c r="R408" s="1832"/>
      <c r="S408" s="1832"/>
      <c r="T408" s="1832"/>
      <c r="U408" s="1832"/>
      <c r="V408" s="1832"/>
      <c r="W408" s="1832"/>
      <c r="X408" s="1832"/>
      <c r="Y408" s="1832"/>
      <c r="Z408" s="1832"/>
      <c r="AA408" s="1831"/>
      <c r="AB408" s="1831"/>
      <c r="AC408" s="1831"/>
      <c r="AD408" s="1831"/>
      <c r="AE408" s="1831"/>
      <c r="AF408" s="1831"/>
      <c r="AG408" s="1832"/>
    </row>
    <row r="409" spans="1:33">
      <c r="A409" s="1833"/>
      <c r="B409" s="1833"/>
      <c r="C409" s="1831"/>
      <c r="D409" s="1831"/>
      <c r="E409" s="1831"/>
      <c r="F409" s="1832"/>
      <c r="G409" s="1832"/>
      <c r="H409" s="1832"/>
      <c r="I409" s="1832"/>
      <c r="J409" s="1832"/>
      <c r="K409" s="1832"/>
      <c r="L409" s="1832"/>
      <c r="M409" s="1832"/>
      <c r="N409" s="1832"/>
      <c r="O409" s="1832"/>
      <c r="P409" s="1832"/>
      <c r="Q409" s="1832"/>
      <c r="R409" s="1832"/>
      <c r="S409" s="1832"/>
      <c r="T409" s="1832"/>
      <c r="U409" s="1832"/>
      <c r="V409" s="1832"/>
      <c r="W409" s="1832"/>
      <c r="X409" s="1832"/>
      <c r="Y409" s="1832"/>
      <c r="Z409" s="1832"/>
      <c r="AA409" s="1831"/>
      <c r="AB409" s="1831"/>
      <c r="AC409" s="1831"/>
      <c r="AD409" s="1831"/>
      <c r="AE409" s="1831"/>
      <c r="AF409" s="1831"/>
      <c r="AG409" s="1832"/>
    </row>
    <row r="410" spans="1:33">
      <c r="A410" s="1833"/>
      <c r="B410" s="1833"/>
      <c r="C410" s="1831"/>
      <c r="D410" s="1831"/>
      <c r="E410" s="1831"/>
      <c r="F410" s="1832"/>
      <c r="G410" s="1832"/>
      <c r="H410" s="1832"/>
      <c r="I410" s="1832"/>
      <c r="J410" s="1832"/>
      <c r="K410" s="1832"/>
      <c r="L410" s="1832"/>
      <c r="M410" s="1832"/>
      <c r="N410" s="1832"/>
      <c r="O410" s="1832"/>
      <c r="P410" s="1832"/>
      <c r="Q410" s="1832"/>
      <c r="R410" s="1832"/>
      <c r="S410" s="1832"/>
      <c r="T410" s="1832"/>
      <c r="U410" s="1832"/>
      <c r="V410" s="1832"/>
      <c r="W410" s="1832"/>
      <c r="X410" s="1832"/>
      <c r="Y410" s="1832"/>
      <c r="Z410" s="1832"/>
      <c r="AA410" s="1831"/>
      <c r="AB410" s="1831"/>
      <c r="AC410" s="1831"/>
      <c r="AD410" s="1831"/>
      <c r="AE410" s="1831"/>
      <c r="AF410" s="1831"/>
      <c r="AG410" s="1832"/>
    </row>
    <row r="411" spans="1:33">
      <c r="A411" s="1833"/>
      <c r="B411" s="1833"/>
      <c r="C411" s="1831"/>
      <c r="D411" s="1831"/>
      <c r="E411" s="1831"/>
      <c r="F411" s="1832"/>
      <c r="G411" s="1832"/>
      <c r="H411" s="1832"/>
      <c r="I411" s="1832"/>
      <c r="J411" s="1832"/>
      <c r="K411" s="1832"/>
      <c r="L411" s="1832"/>
      <c r="M411" s="1832"/>
      <c r="N411" s="1832"/>
      <c r="O411" s="1832"/>
      <c r="P411" s="1832"/>
      <c r="Q411" s="1832"/>
      <c r="R411" s="1832"/>
      <c r="S411" s="1832"/>
      <c r="T411" s="1832"/>
      <c r="U411" s="1832"/>
      <c r="V411" s="1832"/>
      <c r="W411" s="1832"/>
      <c r="X411" s="1832"/>
      <c r="Y411" s="1832"/>
      <c r="Z411" s="1832"/>
      <c r="AA411" s="1831"/>
      <c r="AB411" s="1831"/>
      <c r="AC411" s="1831"/>
      <c r="AD411" s="1831"/>
      <c r="AE411" s="1831"/>
      <c r="AF411" s="1831"/>
      <c r="AG411" s="1832"/>
    </row>
    <row r="412" spans="1:33">
      <c r="A412" s="1833"/>
      <c r="B412" s="1833"/>
      <c r="C412" s="1831"/>
      <c r="D412" s="1831"/>
      <c r="E412" s="1831"/>
      <c r="F412" s="1832"/>
      <c r="G412" s="1832"/>
      <c r="H412" s="1832"/>
      <c r="I412" s="1832"/>
      <c r="J412" s="1832"/>
      <c r="K412" s="1832"/>
      <c r="L412" s="1832"/>
      <c r="M412" s="1832"/>
      <c r="N412" s="1832"/>
      <c r="O412" s="1832"/>
      <c r="P412" s="1832"/>
      <c r="Q412" s="1832"/>
      <c r="R412" s="1832"/>
      <c r="S412" s="1832"/>
      <c r="T412" s="1832"/>
      <c r="U412" s="1832"/>
      <c r="V412" s="1832"/>
      <c r="W412" s="1832"/>
      <c r="X412" s="1832"/>
      <c r="Y412" s="1832"/>
      <c r="Z412" s="1832"/>
      <c r="AA412" s="1831"/>
      <c r="AB412" s="1831"/>
      <c r="AC412" s="1831"/>
      <c r="AD412" s="1831"/>
      <c r="AE412" s="1831"/>
      <c r="AF412" s="1831"/>
      <c r="AG412" s="1832"/>
    </row>
    <row r="413" spans="1:33">
      <c r="A413" s="1833"/>
      <c r="B413" s="1833"/>
      <c r="C413" s="1831"/>
      <c r="D413" s="1831"/>
      <c r="E413" s="1831"/>
      <c r="F413" s="1832"/>
      <c r="G413" s="1832"/>
      <c r="H413" s="1832"/>
      <c r="I413" s="1832"/>
      <c r="J413" s="1832"/>
      <c r="K413" s="1832"/>
      <c r="L413" s="1832"/>
      <c r="M413" s="1832"/>
      <c r="N413" s="1832"/>
      <c r="O413" s="1832"/>
      <c r="P413" s="1832"/>
      <c r="Q413" s="1832"/>
      <c r="R413" s="1832"/>
      <c r="S413" s="1832"/>
      <c r="T413" s="1832"/>
      <c r="U413" s="1832"/>
      <c r="V413" s="1832"/>
      <c r="W413" s="1832"/>
      <c r="X413" s="1832"/>
      <c r="Y413" s="1832"/>
      <c r="Z413" s="1832"/>
      <c r="AA413" s="1831"/>
      <c r="AB413" s="1831"/>
      <c r="AC413" s="1831"/>
      <c r="AD413" s="1831"/>
      <c r="AE413" s="1831"/>
      <c r="AF413" s="1831"/>
      <c r="AG413" s="1832"/>
    </row>
    <row r="414" spans="1:33">
      <c r="A414" s="1833"/>
      <c r="B414" s="1833"/>
      <c r="C414" s="1831"/>
      <c r="D414" s="1831"/>
      <c r="E414" s="1831"/>
      <c r="F414" s="1832"/>
      <c r="G414" s="1832"/>
      <c r="H414" s="1832"/>
      <c r="I414" s="1832"/>
      <c r="J414" s="1832"/>
      <c r="K414" s="1832"/>
      <c r="L414" s="1832"/>
      <c r="M414" s="1832"/>
      <c r="N414" s="1832"/>
      <c r="O414" s="1832"/>
      <c r="P414" s="1832"/>
      <c r="Q414" s="1832"/>
      <c r="R414" s="1832"/>
      <c r="S414" s="1832"/>
      <c r="T414" s="1832"/>
      <c r="U414" s="1832"/>
      <c r="V414" s="1832"/>
      <c r="W414" s="1832"/>
      <c r="X414" s="1832"/>
      <c r="Y414" s="1832"/>
      <c r="Z414" s="1832"/>
      <c r="AA414" s="1831"/>
      <c r="AB414" s="1831"/>
      <c r="AC414" s="1831"/>
      <c r="AD414" s="1831"/>
      <c r="AE414" s="1831"/>
      <c r="AF414" s="1831"/>
      <c r="AG414" s="1832"/>
    </row>
    <row r="415" spans="1:33">
      <c r="A415" s="1833"/>
      <c r="B415" s="1833"/>
      <c r="C415" s="1831"/>
      <c r="D415" s="1831"/>
      <c r="E415" s="1831"/>
      <c r="F415" s="1832"/>
      <c r="G415" s="1832"/>
      <c r="H415" s="1832"/>
      <c r="I415" s="1832"/>
      <c r="J415" s="1832"/>
      <c r="K415" s="1832"/>
      <c r="L415" s="1832"/>
      <c r="M415" s="1832"/>
      <c r="N415" s="1832"/>
      <c r="O415" s="1832"/>
      <c r="P415" s="1832"/>
      <c r="Q415" s="1832"/>
      <c r="R415" s="1832"/>
      <c r="S415" s="1832"/>
      <c r="T415" s="1832"/>
      <c r="U415" s="1832"/>
      <c r="V415" s="1832"/>
      <c r="W415" s="1832"/>
      <c r="X415" s="1832"/>
      <c r="Y415" s="1832"/>
      <c r="Z415" s="1832"/>
      <c r="AA415" s="1831"/>
      <c r="AB415" s="1831"/>
      <c r="AC415" s="1831"/>
      <c r="AD415" s="1831"/>
      <c r="AE415" s="1831"/>
      <c r="AF415" s="1831"/>
      <c r="AG415" s="1832"/>
    </row>
    <row r="416" spans="1:33">
      <c r="A416" s="1833"/>
      <c r="B416" s="1833"/>
      <c r="C416" s="1831"/>
      <c r="D416" s="1831"/>
      <c r="E416" s="1831"/>
      <c r="F416" s="1832"/>
      <c r="G416" s="1832"/>
      <c r="H416" s="1832"/>
      <c r="I416" s="1832"/>
      <c r="J416" s="1832"/>
      <c r="K416" s="1832"/>
      <c r="L416" s="1832"/>
      <c r="M416" s="1832"/>
      <c r="N416" s="1832"/>
      <c r="O416" s="1832"/>
      <c r="P416" s="1832"/>
      <c r="Q416" s="1832"/>
      <c r="R416" s="1832"/>
      <c r="S416" s="1832"/>
      <c r="T416" s="1832"/>
      <c r="U416" s="1832"/>
      <c r="V416" s="1832"/>
      <c r="W416" s="1832"/>
      <c r="X416" s="1832"/>
      <c r="Y416" s="1832"/>
      <c r="Z416" s="1832"/>
      <c r="AA416" s="1831"/>
      <c r="AB416" s="1831"/>
      <c r="AC416" s="1831"/>
      <c r="AD416" s="1831"/>
      <c r="AE416" s="1831"/>
      <c r="AF416" s="1831"/>
      <c r="AG416" s="1832"/>
    </row>
    <row r="417" spans="1:33">
      <c r="A417" s="1833"/>
      <c r="B417" s="1833"/>
      <c r="C417" s="1831"/>
      <c r="D417" s="1831"/>
      <c r="E417" s="1831"/>
      <c r="F417" s="1832"/>
      <c r="G417" s="1832"/>
      <c r="H417" s="1832"/>
      <c r="I417" s="1832"/>
      <c r="J417" s="1832"/>
      <c r="K417" s="1832"/>
      <c r="L417" s="1832"/>
      <c r="M417" s="1832"/>
      <c r="N417" s="1832"/>
      <c r="O417" s="1832"/>
      <c r="P417" s="1832"/>
      <c r="Q417" s="1832"/>
      <c r="R417" s="1832"/>
      <c r="S417" s="1832"/>
      <c r="T417" s="1832"/>
      <c r="U417" s="1832"/>
      <c r="V417" s="1832"/>
      <c r="W417" s="1832"/>
      <c r="X417" s="1832"/>
      <c r="Y417" s="1832"/>
      <c r="Z417" s="1832"/>
      <c r="AA417" s="1831"/>
      <c r="AB417" s="1831"/>
      <c r="AC417" s="1831"/>
      <c r="AD417" s="1831"/>
      <c r="AE417" s="1831"/>
      <c r="AF417" s="1831"/>
      <c r="AG417" s="1832"/>
    </row>
    <row r="418" spans="1:33">
      <c r="A418" s="1833"/>
      <c r="B418" s="1833"/>
      <c r="C418" s="1831"/>
      <c r="D418" s="1831"/>
      <c r="E418" s="1831"/>
      <c r="F418" s="1832"/>
      <c r="G418" s="1832"/>
      <c r="H418" s="1832"/>
      <c r="I418" s="1832"/>
      <c r="J418" s="1832"/>
      <c r="K418" s="1832"/>
      <c r="L418" s="1832"/>
      <c r="M418" s="1832"/>
      <c r="N418" s="1832"/>
      <c r="O418" s="1832"/>
      <c r="P418" s="1832"/>
      <c r="Q418" s="1832"/>
      <c r="R418" s="1832"/>
      <c r="S418" s="1832"/>
      <c r="T418" s="1832"/>
      <c r="U418" s="1832"/>
      <c r="V418" s="1832"/>
      <c r="W418" s="1832"/>
      <c r="X418" s="1832"/>
      <c r="Y418" s="1832"/>
      <c r="Z418" s="1832"/>
      <c r="AA418" s="1831"/>
      <c r="AB418" s="1831"/>
      <c r="AC418" s="1831"/>
      <c r="AD418" s="1831"/>
      <c r="AE418" s="1831"/>
      <c r="AF418" s="1831"/>
      <c r="AG418" s="1832"/>
    </row>
    <row r="419" spans="1:33">
      <c r="A419" s="1833"/>
      <c r="B419" s="1833"/>
      <c r="C419" s="1831"/>
      <c r="D419" s="1831"/>
      <c r="E419" s="1831"/>
      <c r="F419" s="1832"/>
      <c r="G419" s="1832"/>
      <c r="H419" s="1832"/>
      <c r="I419" s="1832"/>
      <c r="J419" s="1832"/>
      <c r="K419" s="1832"/>
      <c r="L419" s="1832"/>
      <c r="M419" s="1832"/>
      <c r="N419" s="1832"/>
      <c r="O419" s="1832"/>
      <c r="P419" s="1832"/>
      <c r="Q419" s="1832"/>
      <c r="R419" s="1832"/>
      <c r="S419" s="1832"/>
      <c r="T419" s="1832"/>
      <c r="U419" s="1832"/>
      <c r="V419" s="1832"/>
      <c r="W419" s="1832"/>
      <c r="X419" s="1832"/>
      <c r="Y419" s="1832"/>
      <c r="Z419" s="1832"/>
      <c r="AA419" s="1831"/>
      <c r="AB419" s="1831"/>
      <c r="AC419" s="1831"/>
      <c r="AD419" s="1831"/>
      <c r="AE419" s="1831"/>
      <c r="AF419" s="1831"/>
      <c r="AG419" s="1832"/>
    </row>
    <row r="420" spans="1:33">
      <c r="A420" s="1833"/>
      <c r="B420" s="1833"/>
      <c r="C420" s="1831"/>
      <c r="D420" s="1831"/>
      <c r="E420" s="1831"/>
      <c r="F420" s="1832"/>
      <c r="G420" s="1832"/>
      <c r="H420" s="1832"/>
      <c r="I420" s="1832"/>
      <c r="J420" s="1832"/>
      <c r="K420" s="1832"/>
      <c r="L420" s="1832"/>
      <c r="M420" s="1832"/>
      <c r="N420" s="1832"/>
      <c r="O420" s="1832"/>
      <c r="P420" s="1832"/>
      <c r="Q420" s="1832"/>
      <c r="R420" s="1832"/>
      <c r="S420" s="1832"/>
      <c r="T420" s="1832"/>
      <c r="U420" s="1832"/>
      <c r="V420" s="1832"/>
      <c r="W420" s="1832"/>
      <c r="X420" s="1832"/>
      <c r="Y420" s="1832"/>
      <c r="Z420" s="1832"/>
      <c r="AA420" s="1831"/>
      <c r="AB420" s="1831"/>
      <c r="AC420" s="1831"/>
      <c r="AD420" s="1831"/>
      <c r="AE420" s="1831"/>
      <c r="AF420" s="1831"/>
      <c r="AG420" s="1832"/>
    </row>
    <row r="421" spans="1:33">
      <c r="A421" s="1833"/>
      <c r="B421" s="1833"/>
      <c r="C421" s="1831"/>
      <c r="D421" s="1831"/>
      <c r="E421" s="1831"/>
      <c r="F421" s="1832"/>
      <c r="G421" s="1832"/>
      <c r="H421" s="1832"/>
      <c r="I421" s="1832"/>
      <c r="J421" s="1832"/>
      <c r="K421" s="1832"/>
      <c r="L421" s="1832"/>
      <c r="M421" s="1832"/>
      <c r="N421" s="1832"/>
      <c r="O421" s="1832"/>
      <c r="P421" s="1832"/>
      <c r="Q421" s="1832"/>
      <c r="R421" s="1832"/>
      <c r="S421" s="1832"/>
      <c r="T421" s="1832"/>
      <c r="U421" s="1832"/>
      <c r="V421" s="1832"/>
      <c r="W421" s="1832"/>
      <c r="X421" s="1832"/>
      <c r="Y421" s="1832"/>
      <c r="Z421" s="1832"/>
      <c r="AA421" s="1831"/>
      <c r="AB421" s="1831"/>
      <c r="AC421" s="1831"/>
      <c r="AD421" s="1831"/>
      <c r="AE421" s="1831"/>
      <c r="AF421" s="1831"/>
      <c r="AG421" s="1832"/>
    </row>
    <row r="422" spans="1:33">
      <c r="A422" s="1833"/>
      <c r="B422" s="1833"/>
      <c r="C422" s="1831"/>
      <c r="D422" s="1831"/>
      <c r="E422" s="1831"/>
      <c r="F422" s="1832"/>
      <c r="G422" s="1832"/>
      <c r="H422" s="1832"/>
      <c r="I422" s="1832"/>
      <c r="J422" s="1832"/>
      <c r="K422" s="1832"/>
      <c r="L422" s="1832"/>
      <c r="M422" s="1832"/>
      <c r="N422" s="1832"/>
      <c r="O422" s="1832"/>
      <c r="P422" s="1832"/>
      <c r="Q422" s="1832"/>
      <c r="R422" s="1832"/>
      <c r="S422" s="1832"/>
      <c r="T422" s="1832"/>
      <c r="U422" s="1832"/>
      <c r="V422" s="1832"/>
      <c r="W422" s="1832"/>
      <c r="X422" s="1832"/>
      <c r="Y422" s="1832"/>
      <c r="Z422" s="1832"/>
      <c r="AA422" s="1831"/>
      <c r="AB422" s="1831"/>
      <c r="AC422" s="1831"/>
      <c r="AD422" s="1831"/>
      <c r="AE422" s="1831"/>
      <c r="AF422" s="1831"/>
      <c r="AG422" s="1832"/>
    </row>
    <row r="423" spans="1:33">
      <c r="A423" s="1833"/>
      <c r="B423" s="1833"/>
      <c r="C423" s="1831"/>
      <c r="D423" s="1831"/>
      <c r="E423" s="1831"/>
      <c r="F423" s="1832"/>
      <c r="G423" s="1832"/>
      <c r="H423" s="1832"/>
      <c r="I423" s="1832"/>
      <c r="J423" s="1832"/>
      <c r="K423" s="1832"/>
      <c r="L423" s="1832"/>
      <c r="M423" s="1832"/>
      <c r="N423" s="1832"/>
      <c r="O423" s="1832"/>
      <c r="P423" s="1832"/>
      <c r="Q423" s="1832"/>
      <c r="R423" s="1832"/>
      <c r="S423" s="1832"/>
      <c r="T423" s="1832"/>
      <c r="U423" s="1832"/>
      <c r="V423" s="1832"/>
      <c r="W423" s="1832"/>
      <c r="X423" s="1832"/>
      <c r="Y423" s="1832"/>
      <c r="Z423" s="1832"/>
      <c r="AA423" s="1831"/>
      <c r="AB423" s="1831"/>
      <c r="AC423" s="1831"/>
      <c r="AD423" s="1831"/>
      <c r="AE423" s="1831"/>
      <c r="AF423" s="1831"/>
      <c r="AG423" s="1832"/>
    </row>
    <row r="424" spans="1:33">
      <c r="A424" s="1833"/>
      <c r="B424" s="1833"/>
      <c r="C424" s="1831"/>
      <c r="D424" s="1831"/>
      <c r="E424" s="1831"/>
      <c r="F424" s="1832"/>
      <c r="G424" s="1832"/>
      <c r="H424" s="1832"/>
      <c r="I424" s="1832"/>
      <c r="J424" s="1832"/>
      <c r="K424" s="1832"/>
      <c r="L424" s="1832"/>
      <c r="M424" s="1832"/>
      <c r="N424" s="1832"/>
      <c r="O424" s="1832"/>
      <c r="P424" s="1832"/>
      <c r="Q424" s="1832"/>
      <c r="R424" s="1832"/>
      <c r="S424" s="1832"/>
      <c r="T424" s="1832"/>
      <c r="U424" s="1832"/>
      <c r="V424" s="1832"/>
      <c r="W424" s="1832"/>
      <c r="X424" s="1832"/>
      <c r="Y424" s="1832"/>
      <c r="Z424" s="1832"/>
      <c r="AA424" s="1831"/>
      <c r="AB424" s="1831"/>
      <c r="AC424" s="1831"/>
      <c r="AD424" s="1831"/>
      <c r="AE424" s="1831"/>
      <c r="AF424" s="1831"/>
      <c r="AG424" s="1832"/>
    </row>
    <row r="425" spans="1:33">
      <c r="A425" s="1833"/>
      <c r="B425" s="1833"/>
      <c r="C425" s="1831"/>
      <c r="D425" s="1831"/>
      <c r="E425" s="1831"/>
      <c r="F425" s="1832"/>
      <c r="G425" s="1832"/>
      <c r="H425" s="1832"/>
      <c r="I425" s="1832"/>
      <c r="J425" s="1832"/>
      <c r="K425" s="1832"/>
      <c r="L425" s="1832"/>
      <c r="M425" s="1832"/>
      <c r="N425" s="1832"/>
      <c r="O425" s="1832"/>
      <c r="P425" s="1832"/>
      <c r="Q425" s="1832"/>
      <c r="R425" s="1832"/>
      <c r="S425" s="1832"/>
      <c r="T425" s="1832"/>
      <c r="U425" s="1832"/>
      <c r="V425" s="1832"/>
      <c r="W425" s="1832"/>
      <c r="X425" s="1832"/>
      <c r="Y425" s="1832"/>
      <c r="Z425" s="1832"/>
      <c r="AA425" s="1831"/>
      <c r="AB425" s="1831"/>
      <c r="AC425" s="1831"/>
      <c r="AD425" s="1831"/>
      <c r="AE425" s="1831"/>
      <c r="AF425" s="1831"/>
      <c r="AG425" s="1832"/>
    </row>
    <row r="426" spans="1:33">
      <c r="A426" s="1833"/>
      <c r="B426" s="1833"/>
      <c r="C426" s="1831"/>
      <c r="D426" s="1831"/>
      <c r="E426" s="1831"/>
      <c r="F426" s="1832"/>
      <c r="G426" s="1832"/>
      <c r="H426" s="1832"/>
      <c r="I426" s="1832"/>
      <c r="J426" s="1832"/>
      <c r="K426" s="1832"/>
      <c r="L426" s="1832"/>
      <c r="M426" s="1832"/>
      <c r="N426" s="1832"/>
      <c r="O426" s="1832"/>
      <c r="P426" s="1832"/>
      <c r="Q426" s="1832"/>
      <c r="R426" s="1832"/>
      <c r="S426" s="1832"/>
      <c r="T426" s="1832"/>
      <c r="U426" s="1832"/>
      <c r="V426" s="1832"/>
      <c r="W426" s="1832"/>
      <c r="X426" s="1832"/>
      <c r="Y426" s="1832"/>
      <c r="Z426" s="1832"/>
      <c r="AA426" s="1831"/>
      <c r="AB426" s="1831"/>
      <c r="AC426" s="1831"/>
      <c r="AD426" s="1831"/>
      <c r="AE426" s="1831"/>
      <c r="AF426" s="1831"/>
      <c r="AG426" s="1832"/>
    </row>
    <row r="427" spans="1:33">
      <c r="A427" s="1833"/>
      <c r="B427" s="1833"/>
      <c r="C427" s="1831"/>
      <c r="D427" s="1831"/>
      <c r="E427" s="1831"/>
      <c r="F427" s="1832"/>
      <c r="G427" s="1832"/>
      <c r="H427" s="1832"/>
      <c r="I427" s="1832"/>
      <c r="J427" s="1832"/>
      <c r="K427" s="1832"/>
      <c r="L427" s="1832"/>
      <c r="M427" s="1832"/>
      <c r="N427" s="1832"/>
      <c r="O427" s="1832"/>
      <c r="P427" s="1832"/>
      <c r="Q427" s="1832"/>
      <c r="R427" s="1832"/>
      <c r="S427" s="1832"/>
      <c r="T427" s="1832"/>
      <c r="U427" s="1832"/>
      <c r="V427" s="1832"/>
      <c r="W427" s="1832"/>
      <c r="X427" s="1832"/>
      <c r="Y427" s="1832"/>
      <c r="Z427" s="1832"/>
      <c r="AA427" s="1831"/>
      <c r="AB427" s="1831"/>
      <c r="AC427" s="1831"/>
      <c r="AD427" s="1831"/>
      <c r="AE427" s="1831"/>
      <c r="AF427" s="1831"/>
      <c r="AG427" s="1832"/>
    </row>
    <row r="428" spans="1:33">
      <c r="A428" s="1833"/>
      <c r="B428" s="1833"/>
      <c r="C428" s="1831"/>
      <c r="D428" s="1831"/>
      <c r="E428" s="1831"/>
      <c r="F428" s="1832"/>
      <c r="G428" s="1832"/>
      <c r="H428" s="1832"/>
      <c r="I428" s="1832"/>
      <c r="J428" s="1832"/>
      <c r="K428" s="1832"/>
      <c r="L428" s="1832"/>
      <c r="M428" s="1832"/>
      <c r="N428" s="1832"/>
      <c r="O428" s="1832"/>
      <c r="P428" s="1832"/>
      <c r="Q428" s="1832"/>
      <c r="R428" s="1832"/>
      <c r="S428" s="1832"/>
      <c r="T428" s="1832"/>
      <c r="U428" s="1832"/>
      <c r="V428" s="1832"/>
      <c r="W428" s="1832"/>
      <c r="X428" s="1832"/>
      <c r="Y428" s="1832"/>
      <c r="Z428" s="1832"/>
      <c r="AA428" s="1831"/>
      <c r="AB428" s="1831"/>
      <c r="AC428" s="1831"/>
      <c r="AD428" s="1831"/>
      <c r="AE428" s="1831"/>
      <c r="AF428" s="1831"/>
      <c r="AG428" s="1832"/>
    </row>
    <row r="429" spans="1:33">
      <c r="A429" s="1833"/>
      <c r="B429" s="1833"/>
      <c r="C429" s="1831"/>
      <c r="D429" s="1831"/>
      <c r="E429" s="1831"/>
      <c r="F429" s="1832"/>
      <c r="G429" s="1832"/>
      <c r="H429" s="1832"/>
      <c r="I429" s="1832"/>
      <c r="J429" s="1832"/>
      <c r="K429" s="1832"/>
      <c r="L429" s="1832"/>
      <c r="M429" s="1832"/>
      <c r="N429" s="1832"/>
      <c r="O429" s="1832"/>
      <c r="P429" s="1832"/>
      <c r="Q429" s="1832"/>
      <c r="R429" s="1832"/>
      <c r="S429" s="1832"/>
      <c r="T429" s="1832"/>
      <c r="U429" s="1832"/>
      <c r="V429" s="1832"/>
      <c r="W429" s="1832"/>
      <c r="X429" s="1832"/>
      <c r="Y429" s="1832"/>
      <c r="Z429" s="1832"/>
      <c r="AA429" s="1831"/>
      <c r="AB429" s="1831"/>
      <c r="AC429" s="1831"/>
      <c r="AD429" s="1831"/>
      <c r="AE429" s="1831"/>
      <c r="AF429" s="1831"/>
      <c r="AG429" s="1832"/>
    </row>
    <row r="430" spans="1:33">
      <c r="A430" s="1833"/>
      <c r="B430" s="1833"/>
      <c r="C430" s="1831"/>
      <c r="D430" s="1831"/>
      <c r="E430" s="1831"/>
      <c r="F430" s="1832"/>
      <c r="G430" s="1832"/>
      <c r="H430" s="1832"/>
      <c r="I430" s="1832"/>
      <c r="J430" s="1832"/>
      <c r="K430" s="1832"/>
      <c r="L430" s="1832"/>
      <c r="M430" s="1832"/>
      <c r="N430" s="1832"/>
      <c r="O430" s="1832"/>
      <c r="P430" s="1832"/>
      <c r="Q430" s="1832"/>
      <c r="R430" s="1832"/>
      <c r="S430" s="1832"/>
      <c r="T430" s="1832"/>
      <c r="U430" s="1832"/>
      <c r="V430" s="1832"/>
      <c r="W430" s="1832"/>
      <c r="X430" s="1832"/>
      <c r="Y430" s="1832"/>
      <c r="Z430" s="1832"/>
      <c r="AA430" s="1831"/>
      <c r="AB430" s="1831"/>
      <c r="AC430" s="1831"/>
      <c r="AD430" s="1831"/>
      <c r="AE430" s="1831"/>
      <c r="AF430" s="1831"/>
      <c r="AG430" s="1832"/>
    </row>
    <row r="431" spans="1:33">
      <c r="A431" s="1833"/>
      <c r="B431" s="1833"/>
      <c r="C431" s="1831"/>
      <c r="D431" s="1831"/>
      <c r="E431" s="1831"/>
      <c r="F431" s="1832"/>
      <c r="G431" s="1832"/>
      <c r="H431" s="1832"/>
      <c r="I431" s="1832"/>
      <c r="J431" s="1832"/>
      <c r="K431" s="1832"/>
      <c r="L431" s="1832"/>
      <c r="M431" s="1832"/>
      <c r="N431" s="1832"/>
      <c r="O431" s="1832"/>
      <c r="P431" s="1832"/>
      <c r="Q431" s="1832"/>
      <c r="R431" s="1832"/>
      <c r="S431" s="1832"/>
      <c r="T431" s="1832"/>
      <c r="U431" s="1832"/>
      <c r="V431" s="1832"/>
      <c r="W431" s="1832"/>
      <c r="X431" s="1832"/>
      <c r="Y431" s="1832"/>
      <c r="Z431" s="1832"/>
      <c r="AA431" s="1831"/>
      <c r="AB431" s="1831"/>
      <c r="AC431" s="1831"/>
      <c r="AD431" s="1831"/>
      <c r="AE431" s="1831"/>
      <c r="AF431" s="1831"/>
      <c r="AG431" s="1832"/>
    </row>
    <row r="432" spans="1:33">
      <c r="A432" s="1833"/>
      <c r="B432" s="1833"/>
      <c r="C432" s="1831"/>
      <c r="D432" s="1831"/>
      <c r="E432" s="1831"/>
      <c r="F432" s="1832"/>
      <c r="G432" s="1832"/>
      <c r="H432" s="1832"/>
      <c r="I432" s="1832"/>
      <c r="J432" s="1832"/>
      <c r="K432" s="1832"/>
      <c r="L432" s="1832"/>
      <c r="M432" s="1832"/>
      <c r="N432" s="1832"/>
      <c r="O432" s="1832"/>
      <c r="P432" s="1832"/>
      <c r="Q432" s="1832"/>
      <c r="R432" s="1832"/>
      <c r="S432" s="1832"/>
      <c r="T432" s="1832"/>
      <c r="U432" s="1832"/>
      <c r="V432" s="1832"/>
      <c r="W432" s="1832"/>
      <c r="X432" s="1832"/>
      <c r="Y432" s="1832"/>
      <c r="Z432" s="1832"/>
      <c r="AA432" s="1831"/>
      <c r="AB432" s="1831"/>
      <c r="AC432" s="1831"/>
      <c r="AD432" s="1831"/>
      <c r="AE432" s="1831"/>
      <c r="AF432" s="1831"/>
      <c r="AG432" s="1832"/>
    </row>
    <row r="433" spans="1:33">
      <c r="A433" s="1833"/>
      <c r="B433" s="1833"/>
      <c r="C433" s="1831"/>
      <c r="D433" s="1831"/>
      <c r="E433" s="1831"/>
      <c r="F433" s="1832"/>
      <c r="G433" s="1832"/>
      <c r="H433" s="1832"/>
      <c r="I433" s="1832"/>
      <c r="J433" s="1832"/>
      <c r="K433" s="1832"/>
      <c r="L433" s="1832"/>
      <c r="M433" s="1832"/>
      <c r="N433" s="1832"/>
      <c r="O433" s="1832"/>
      <c r="P433" s="1832"/>
      <c r="Q433" s="1832"/>
      <c r="R433" s="1832"/>
      <c r="S433" s="1832"/>
      <c r="T433" s="1832"/>
      <c r="U433" s="1832"/>
      <c r="V433" s="1832"/>
      <c r="W433" s="1832"/>
      <c r="X433" s="1832"/>
      <c r="Y433" s="1832"/>
      <c r="Z433" s="1832"/>
      <c r="AA433" s="1831"/>
      <c r="AB433" s="1831"/>
      <c r="AC433" s="1831"/>
      <c r="AD433" s="1831"/>
      <c r="AE433" s="1831"/>
      <c r="AF433" s="1831"/>
      <c r="AG433" s="1832"/>
    </row>
    <row r="434" spans="1:33">
      <c r="A434" s="1833"/>
      <c r="B434" s="1833"/>
      <c r="C434" s="1831"/>
      <c r="D434" s="1831"/>
      <c r="E434" s="1831"/>
      <c r="F434" s="1832"/>
      <c r="G434" s="1832"/>
      <c r="H434" s="1832"/>
      <c r="I434" s="1832"/>
      <c r="J434" s="1832"/>
      <c r="K434" s="1832"/>
      <c r="L434" s="1832"/>
      <c r="M434" s="1832"/>
      <c r="N434" s="1832"/>
      <c r="O434" s="1832"/>
      <c r="P434" s="1832"/>
      <c r="Q434" s="1832"/>
      <c r="R434" s="1832"/>
      <c r="S434" s="1832"/>
      <c r="T434" s="1832"/>
      <c r="U434" s="1832"/>
      <c r="V434" s="1832"/>
      <c r="W434" s="1832"/>
      <c r="X434" s="1832"/>
      <c r="Y434" s="1832"/>
      <c r="Z434" s="1832"/>
      <c r="AA434" s="1831"/>
      <c r="AB434" s="1831"/>
      <c r="AC434" s="1831"/>
      <c r="AD434" s="1831"/>
      <c r="AE434" s="1831"/>
      <c r="AF434" s="1831"/>
      <c r="AG434" s="1832"/>
    </row>
    <row r="435" spans="1:33">
      <c r="A435" s="1833"/>
      <c r="B435" s="1833"/>
      <c r="C435" s="1831"/>
      <c r="D435" s="1831"/>
      <c r="E435" s="1831"/>
      <c r="F435" s="1832"/>
      <c r="G435" s="1832"/>
      <c r="H435" s="1832"/>
      <c r="I435" s="1832"/>
      <c r="J435" s="1832"/>
      <c r="K435" s="1832"/>
      <c r="L435" s="1832"/>
      <c r="M435" s="1832"/>
      <c r="N435" s="1832"/>
      <c r="O435" s="1832"/>
      <c r="P435" s="1832"/>
      <c r="Q435" s="1832"/>
      <c r="R435" s="1832"/>
      <c r="S435" s="1832"/>
      <c r="T435" s="1832"/>
      <c r="U435" s="1832"/>
      <c r="V435" s="1832"/>
      <c r="W435" s="1832"/>
      <c r="X435" s="1832"/>
      <c r="Y435" s="1832"/>
      <c r="Z435" s="1832"/>
      <c r="AA435" s="1831"/>
      <c r="AB435" s="1831"/>
      <c r="AC435" s="1831"/>
      <c r="AD435" s="1831"/>
      <c r="AE435" s="1831"/>
      <c r="AF435" s="1831"/>
      <c r="AG435" s="1832"/>
    </row>
    <row r="436" spans="1:33">
      <c r="A436" s="1833"/>
      <c r="B436" s="1833"/>
      <c r="C436" s="1831"/>
      <c r="D436" s="1831"/>
      <c r="E436" s="1831"/>
      <c r="F436" s="1832"/>
      <c r="G436" s="1832"/>
      <c r="H436" s="1832"/>
      <c r="I436" s="1832"/>
      <c r="J436" s="1832"/>
      <c r="K436" s="1832"/>
      <c r="L436" s="1832"/>
      <c r="M436" s="1832"/>
      <c r="N436" s="1832"/>
      <c r="O436" s="1832"/>
      <c r="P436" s="1832"/>
      <c r="Q436" s="1832"/>
      <c r="R436" s="1832"/>
      <c r="S436" s="1832"/>
      <c r="T436" s="1832"/>
      <c r="U436" s="1832"/>
      <c r="V436" s="1832"/>
      <c r="W436" s="1832"/>
      <c r="X436" s="1832"/>
      <c r="Y436" s="1832"/>
      <c r="Z436" s="1832"/>
      <c r="AA436" s="1831"/>
      <c r="AB436" s="1831"/>
      <c r="AC436" s="1831"/>
      <c r="AD436" s="1831"/>
      <c r="AE436" s="1831"/>
      <c r="AF436" s="1831"/>
      <c r="AG436" s="1832"/>
    </row>
    <row r="437" spans="1:33">
      <c r="A437" s="1833"/>
      <c r="B437" s="1833"/>
      <c r="C437" s="1831"/>
      <c r="D437" s="1831"/>
      <c r="E437" s="1831"/>
      <c r="F437" s="1832"/>
      <c r="G437" s="1832"/>
      <c r="H437" s="1832"/>
      <c r="I437" s="1832"/>
      <c r="J437" s="1832"/>
      <c r="K437" s="1832"/>
      <c r="L437" s="1832"/>
      <c r="M437" s="1832"/>
      <c r="N437" s="1832"/>
      <c r="O437" s="1832"/>
      <c r="P437" s="1832"/>
      <c r="Q437" s="1832"/>
      <c r="R437" s="1832"/>
      <c r="S437" s="1832"/>
      <c r="T437" s="1832"/>
      <c r="U437" s="1832"/>
      <c r="V437" s="1832"/>
      <c r="W437" s="1832"/>
      <c r="X437" s="1832"/>
      <c r="Y437" s="1832"/>
      <c r="Z437" s="1832"/>
      <c r="AA437" s="1831"/>
      <c r="AB437" s="1831"/>
      <c r="AC437" s="1831"/>
      <c r="AD437" s="1831"/>
      <c r="AE437" s="1831"/>
      <c r="AF437" s="1831"/>
      <c r="AG437" s="1832"/>
    </row>
    <row r="438" spans="1:33">
      <c r="A438" s="1833"/>
      <c r="B438" s="1833"/>
      <c r="C438" s="1831"/>
      <c r="D438" s="1831"/>
      <c r="E438" s="1831"/>
      <c r="F438" s="1832"/>
      <c r="G438" s="1832"/>
      <c r="H438" s="1832"/>
      <c r="I438" s="1832"/>
      <c r="J438" s="1832"/>
      <c r="K438" s="1832"/>
      <c r="L438" s="1832"/>
      <c r="M438" s="1832"/>
      <c r="N438" s="1832"/>
      <c r="O438" s="1832"/>
      <c r="P438" s="1832"/>
      <c r="Q438" s="1832"/>
      <c r="R438" s="1832"/>
      <c r="S438" s="1832"/>
      <c r="T438" s="1832"/>
      <c r="U438" s="1832"/>
      <c r="V438" s="1832"/>
      <c r="W438" s="1832"/>
      <c r="X438" s="1832"/>
      <c r="Y438" s="1832"/>
      <c r="Z438" s="1832"/>
      <c r="AA438" s="1831"/>
      <c r="AB438" s="1831"/>
      <c r="AC438" s="1831"/>
      <c r="AD438" s="1831"/>
      <c r="AE438" s="1831"/>
      <c r="AF438" s="1831"/>
      <c r="AG438" s="1832"/>
    </row>
    <row r="439" spans="1:33">
      <c r="A439" s="1833"/>
      <c r="B439" s="1833"/>
      <c r="C439" s="1831"/>
      <c r="D439" s="1831"/>
      <c r="E439" s="1831"/>
      <c r="F439" s="1832"/>
      <c r="G439" s="1832"/>
      <c r="H439" s="1832"/>
      <c r="I439" s="1832"/>
      <c r="J439" s="1832"/>
      <c r="K439" s="1832"/>
      <c r="L439" s="1832"/>
      <c r="M439" s="1832"/>
      <c r="N439" s="1832"/>
      <c r="O439" s="1832"/>
      <c r="P439" s="1832"/>
      <c r="Q439" s="1832"/>
      <c r="R439" s="1832"/>
      <c r="S439" s="1832"/>
      <c r="T439" s="1832"/>
      <c r="U439" s="1832"/>
      <c r="V439" s="1832"/>
      <c r="W439" s="1832"/>
      <c r="X439" s="1832"/>
      <c r="Y439" s="1832"/>
      <c r="Z439" s="1832"/>
      <c r="AA439" s="1831"/>
      <c r="AB439" s="1831"/>
      <c r="AC439" s="1831"/>
      <c r="AD439" s="1831"/>
      <c r="AE439" s="1831"/>
      <c r="AF439" s="1831"/>
      <c r="AG439" s="1832"/>
    </row>
    <row r="440" spans="1:33">
      <c r="A440" s="1833"/>
      <c r="B440" s="1833"/>
      <c r="C440" s="1831"/>
      <c r="D440" s="1831"/>
      <c r="E440" s="1831"/>
      <c r="F440" s="1832"/>
      <c r="G440" s="1832"/>
      <c r="H440" s="1832"/>
      <c r="I440" s="1832"/>
      <c r="J440" s="1832"/>
      <c r="K440" s="1832"/>
      <c r="L440" s="1832"/>
      <c r="M440" s="1832"/>
      <c r="N440" s="1832"/>
      <c r="O440" s="1832"/>
      <c r="P440" s="1832"/>
      <c r="Q440" s="1832"/>
      <c r="R440" s="1832"/>
      <c r="S440" s="1832"/>
      <c r="T440" s="1832"/>
      <c r="U440" s="1832"/>
      <c r="V440" s="1832"/>
      <c r="W440" s="1832"/>
      <c r="X440" s="1832"/>
      <c r="Y440" s="1832"/>
      <c r="Z440" s="1832"/>
      <c r="AA440" s="1831"/>
      <c r="AB440" s="1831"/>
      <c r="AC440" s="1831"/>
      <c r="AD440" s="1831"/>
      <c r="AE440" s="1831"/>
      <c r="AF440" s="1831"/>
      <c r="AG440" s="1832"/>
    </row>
    <row r="441" spans="1:33">
      <c r="A441" s="1833"/>
      <c r="B441" s="1833"/>
      <c r="C441" s="1831"/>
      <c r="D441" s="1831"/>
      <c r="E441" s="1831"/>
      <c r="F441" s="1832"/>
      <c r="G441" s="1832"/>
      <c r="H441" s="1832"/>
      <c r="I441" s="1832"/>
      <c r="J441" s="1832"/>
      <c r="K441" s="1832"/>
      <c r="L441" s="1832"/>
      <c r="M441" s="1832"/>
      <c r="N441" s="1832"/>
      <c r="O441" s="1832"/>
      <c r="P441" s="1832"/>
      <c r="Q441" s="1832"/>
      <c r="R441" s="1832"/>
      <c r="S441" s="1832"/>
      <c r="T441" s="1832"/>
      <c r="U441" s="1832"/>
      <c r="V441" s="1832"/>
      <c r="W441" s="1832"/>
      <c r="X441" s="1832"/>
      <c r="Y441" s="1832"/>
      <c r="Z441" s="1832"/>
      <c r="AA441" s="1831"/>
      <c r="AB441" s="1831"/>
      <c r="AC441" s="1831"/>
      <c r="AD441" s="1831"/>
      <c r="AE441" s="1831"/>
      <c r="AF441" s="1831"/>
      <c r="AG441" s="1832"/>
    </row>
    <row r="442" spans="1:33">
      <c r="A442" s="1833"/>
      <c r="B442" s="1833"/>
      <c r="C442" s="1831"/>
      <c r="D442" s="1831"/>
      <c r="E442" s="1831"/>
      <c r="F442" s="1832"/>
      <c r="G442" s="1832"/>
      <c r="H442" s="1832"/>
      <c r="I442" s="1832"/>
      <c r="J442" s="1832"/>
      <c r="K442" s="1832"/>
      <c r="L442" s="1832"/>
      <c r="M442" s="1832"/>
      <c r="N442" s="1832"/>
      <c r="O442" s="1832"/>
      <c r="P442" s="1832"/>
      <c r="Q442" s="1832"/>
      <c r="R442" s="1832"/>
      <c r="S442" s="1832"/>
      <c r="T442" s="1832"/>
      <c r="U442" s="1832"/>
      <c r="V442" s="1832"/>
      <c r="W442" s="1832"/>
      <c r="X442" s="1832"/>
      <c r="Y442" s="1832"/>
      <c r="Z442" s="1832"/>
      <c r="AA442" s="1831"/>
      <c r="AB442" s="1831"/>
      <c r="AC442" s="1831"/>
      <c r="AD442" s="1831"/>
      <c r="AE442" s="1831"/>
      <c r="AF442" s="1831"/>
      <c r="AG442" s="1832"/>
    </row>
    <row r="443" spans="1:33">
      <c r="A443" s="1833"/>
      <c r="B443" s="1833"/>
      <c r="C443" s="1831"/>
      <c r="D443" s="1831"/>
      <c r="E443" s="1831"/>
      <c r="F443" s="1832"/>
      <c r="G443" s="1832"/>
      <c r="H443" s="1832"/>
      <c r="I443" s="1832"/>
      <c r="J443" s="1832"/>
      <c r="K443" s="1832"/>
      <c r="L443" s="1832"/>
      <c r="M443" s="1832"/>
      <c r="N443" s="1832"/>
      <c r="O443" s="1832"/>
      <c r="P443" s="1832"/>
      <c r="Q443" s="1832"/>
      <c r="R443" s="1832"/>
      <c r="S443" s="1832"/>
      <c r="T443" s="1832"/>
      <c r="U443" s="1832"/>
      <c r="V443" s="1832"/>
      <c r="W443" s="1832"/>
      <c r="X443" s="1832"/>
      <c r="Y443" s="1832"/>
      <c r="Z443" s="1832"/>
      <c r="AA443" s="1831"/>
      <c r="AB443" s="1831"/>
      <c r="AC443" s="1831"/>
      <c r="AD443" s="1831"/>
      <c r="AE443" s="1831"/>
      <c r="AF443" s="1831"/>
      <c r="AG443" s="1832"/>
    </row>
    <row r="444" spans="1:33">
      <c r="A444" s="1833"/>
      <c r="B444" s="1833"/>
      <c r="C444" s="1831"/>
      <c r="D444" s="1831"/>
      <c r="E444" s="1831"/>
      <c r="F444" s="1832"/>
      <c r="G444" s="1832"/>
      <c r="H444" s="1832"/>
      <c r="I444" s="1832"/>
      <c r="J444" s="1832"/>
      <c r="K444" s="1832"/>
      <c r="L444" s="1832"/>
      <c r="M444" s="1832"/>
      <c r="N444" s="1832"/>
      <c r="O444" s="1832"/>
      <c r="P444" s="1832"/>
      <c r="Q444" s="1832"/>
      <c r="R444" s="1832"/>
      <c r="S444" s="1832"/>
      <c r="T444" s="1832"/>
      <c r="U444" s="1832"/>
      <c r="V444" s="1832"/>
      <c r="W444" s="1832"/>
      <c r="X444" s="1832"/>
      <c r="Y444" s="1832"/>
      <c r="Z444" s="1832"/>
      <c r="AA444" s="1831"/>
      <c r="AB444" s="1831"/>
      <c r="AC444" s="1831"/>
      <c r="AD444" s="1831"/>
      <c r="AE444" s="1831"/>
      <c r="AF444" s="1831"/>
      <c r="AG444" s="1832"/>
    </row>
    <row r="445" spans="1:33">
      <c r="A445" s="1833"/>
      <c r="B445" s="1833"/>
      <c r="C445" s="1831"/>
      <c r="D445" s="1831"/>
      <c r="E445" s="1831"/>
      <c r="F445" s="1832"/>
      <c r="G445" s="1832"/>
      <c r="H445" s="1832"/>
      <c r="I445" s="1832"/>
      <c r="J445" s="1832"/>
      <c r="K445" s="1832"/>
      <c r="L445" s="1832"/>
      <c r="M445" s="1832"/>
      <c r="N445" s="1832"/>
      <c r="O445" s="1832"/>
      <c r="P445" s="1832"/>
      <c r="Q445" s="1832"/>
      <c r="R445" s="1832"/>
      <c r="S445" s="1832"/>
      <c r="T445" s="1832"/>
      <c r="U445" s="1832"/>
      <c r="V445" s="1832"/>
      <c r="W445" s="1832"/>
      <c r="X445" s="1832"/>
      <c r="Y445" s="1832"/>
      <c r="Z445" s="1832"/>
      <c r="AA445" s="1831"/>
      <c r="AB445" s="1831"/>
      <c r="AC445" s="1831"/>
      <c r="AD445" s="1831"/>
      <c r="AE445" s="1831"/>
      <c r="AF445" s="1831"/>
      <c r="AG445" s="1832"/>
    </row>
    <row r="446" spans="1:33">
      <c r="A446" s="1833"/>
      <c r="B446" s="1833"/>
      <c r="C446" s="1831"/>
      <c r="D446" s="1831"/>
      <c r="E446" s="1831"/>
      <c r="F446" s="1832"/>
      <c r="G446" s="1832"/>
      <c r="H446" s="1832"/>
      <c r="I446" s="1832"/>
      <c r="J446" s="1832"/>
      <c r="K446" s="1832"/>
      <c r="L446" s="1832"/>
      <c r="M446" s="1832"/>
      <c r="N446" s="1832"/>
      <c r="O446" s="1832"/>
      <c r="P446" s="1832"/>
      <c r="Q446" s="1832"/>
      <c r="R446" s="1832"/>
      <c r="S446" s="1832"/>
      <c r="T446" s="1832"/>
      <c r="U446" s="1832"/>
      <c r="V446" s="1832"/>
      <c r="W446" s="1832"/>
      <c r="X446" s="1832"/>
      <c r="Y446" s="1832"/>
      <c r="Z446" s="1832"/>
      <c r="AA446" s="1831"/>
      <c r="AB446" s="1831"/>
      <c r="AC446" s="1831"/>
      <c r="AD446" s="1831"/>
      <c r="AE446" s="1831"/>
      <c r="AF446" s="1831"/>
      <c r="AG446" s="1832"/>
    </row>
    <row r="447" spans="1:33">
      <c r="A447" s="1833"/>
      <c r="B447" s="1833"/>
      <c r="C447" s="1831"/>
      <c r="D447" s="1831"/>
      <c r="E447" s="1831"/>
      <c r="F447" s="1832"/>
      <c r="G447" s="1832"/>
      <c r="H447" s="1832"/>
      <c r="I447" s="1832"/>
      <c r="J447" s="1832"/>
      <c r="K447" s="1832"/>
      <c r="L447" s="1832"/>
      <c r="M447" s="1832"/>
      <c r="N447" s="1832"/>
      <c r="O447" s="1832"/>
      <c r="P447" s="1832"/>
      <c r="Q447" s="1832"/>
      <c r="R447" s="1832"/>
      <c r="S447" s="1832"/>
      <c r="T447" s="1832"/>
      <c r="U447" s="1832"/>
      <c r="V447" s="1832"/>
      <c r="W447" s="1832"/>
      <c r="X447" s="1832"/>
      <c r="Y447" s="1832"/>
      <c r="Z447" s="1832"/>
      <c r="AA447" s="1831"/>
      <c r="AB447" s="1831"/>
      <c r="AC447" s="1831"/>
      <c r="AD447" s="1831"/>
      <c r="AE447" s="1831"/>
      <c r="AF447" s="1831"/>
      <c r="AG447" s="1832"/>
    </row>
    <row r="448" spans="1:33">
      <c r="A448" s="1833"/>
      <c r="B448" s="1833"/>
      <c r="C448" s="1831"/>
      <c r="D448" s="1831"/>
      <c r="E448" s="1831"/>
      <c r="F448" s="1832"/>
      <c r="G448" s="1832"/>
      <c r="H448" s="1832"/>
      <c r="I448" s="1832"/>
      <c r="J448" s="1832"/>
      <c r="K448" s="1832"/>
      <c r="L448" s="1832"/>
      <c r="M448" s="1832"/>
      <c r="N448" s="1832"/>
      <c r="O448" s="1832"/>
      <c r="P448" s="1832"/>
      <c r="Q448" s="1832"/>
      <c r="R448" s="1832"/>
      <c r="S448" s="1832"/>
      <c r="T448" s="1832"/>
      <c r="U448" s="1832"/>
      <c r="V448" s="1832"/>
      <c r="W448" s="1832"/>
      <c r="X448" s="1832"/>
      <c r="Y448" s="1832"/>
      <c r="Z448" s="1832"/>
      <c r="AA448" s="1831"/>
      <c r="AB448" s="1831"/>
      <c r="AC448" s="1831"/>
      <c r="AD448" s="1831"/>
      <c r="AE448" s="1831"/>
      <c r="AF448" s="1831"/>
      <c r="AG448" s="1832"/>
    </row>
    <row r="449" spans="1:33">
      <c r="A449" s="1833"/>
      <c r="B449" s="1833"/>
      <c r="C449" s="1831"/>
      <c r="D449" s="1831"/>
      <c r="E449" s="1831"/>
      <c r="F449" s="1832"/>
      <c r="G449" s="1832"/>
      <c r="H449" s="1832"/>
      <c r="I449" s="1832"/>
      <c r="J449" s="1832"/>
      <c r="K449" s="1832"/>
      <c r="L449" s="1832"/>
      <c r="M449" s="1832"/>
      <c r="N449" s="1832"/>
      <c r="O449" s="1832"/>
      <c r="P449" s="1832"/>
      <c r="Q449" s="1832"/>
      <c r="R449" s="1832"/>
      <c r="S449" s="1832"/>
      <c r="T449" s="1832"/>
      <c r="U449" s="1832"/>
      <c r="V449" s="1832"/>
      <c r="W449" s="1832"/>
      <c r="X449" s="1832"/>
      <c r="Y449" s="1832"/>
      <c r="Z449" s="1832"/>
      <c r="AA449" s="1831"/>
      <c r="AB449" s="1831"/>
      <c r="AC449" s="1831"/>
      <c r="AD449" s="1831"/>
      <c r="AE449" s="1831"/>
      <c r="AF449" s="1831"/>
      <c r="AG449" s="1832"/>
    </row>
    <row r="450" spans="1:33">
      <c r="A450" s="1833"/>
      <c r="B450" s="1833"/>
      <c r="C450" s="1831"/>
      <c r="D450" s="1831"/>
      <c r="E450" s="1831"/>
      <c r="F450" s="1832"/>
      <c r="G450" s="1832"/>
      <c r="H450" s="1832"/>
      <c r="I450" s="1832"/>
      <c r="J450" s="1832"/>
      <c r="K450" s="1832"/>
      <c r="L450" s="1832"/>
      <c r="M450" s="1832"/>
      <c r="N450" s="1832"/>
      <c r="O450" s="1832"/>
      <c r="P450" s="1832"/>
      <c r="Q450" s="1832"/>
      <c r="R450" s="1832"/>
      <c r="S450" s="1832"/>
      <c r="T450" s="1832"/>
      <c r="U450" s="1832"/>
      <c r="V450" s="1832"/>
      <c r="W450" s="1832"/>
      <c r="X450" s="1832"/>
      <c r="Y450" s="1832"/>
      <c r="Z450" s="1832"/>
      <c r="AA450" s="1831"/>
      <c r="AB450" s="1831"/>
      <c r="AC450" s="1831"/>
      <c r="AD450" s="1831"/>
      <c r="AE450" s="1831"/>
      <c r="AF450" s="1831"/>
      <c r="AG450" s="1832"/>
    </row>
    <row r="451" spans="1:33">
      <c r="A451" s="1833"/>
      <c r="B451" s="1833"/>
      <c r="C451" s="1831"/>
      <c r="D451" s="1831"/>
      <c r="E451" s="1831"/>
      <c r="F451" s="1832"/>
      <c r="G451" s="1832"/>
      <c r="H451" s="1832"/>
      <c r="I451" s="1832"/>
      <c r="J451" s="1832"/>
      <c r="K451" s="1832"/>
      <c r="L451" s="1832"/>
      <c r="M451" s="1832"/>
      <c r="N451" s="1832"/>
      <c r="O451" s="1832"/>
      <c r="P451" s="1832"/>
      <c r="Q451" s="1832"/>
      <c r="R451" s="1832"/>
      <c r="S451" s="1832"/>
      <c r="T451" s="1832"/>
      <c r="U451" s="1832"/>
      <c r="V451" s="1832"/>
      <c r="W451" s="1832"/>
      <c r="X451" s="1832"/>
      <c r="Y451" s="1832"/>
      <c r="Z451" s="1832"/>
      <c r="AA451" s="1831"/>
      <c r="AB451" s="1831"/>
      <c r="AC451" s="1831"/>
      <c r="AD451" s="1831"/>
      <c r="AE451" s="1831"/>
      <c r="AF451" s="1831"/>
      <c r="AG451" s="1832"/>
    </row>
    <row r="452" spans="1:33">
      <c r="A452" s="1833"/>
      <c r="B452" s="1833"/>
      <c r="C452" s="1831"/>
      <c r="D452" s="1831"/>
      <c r="E452" s="1831"/>
      <c r="F452" s="1832"/>
      <c r="G452" s="1832"/>
      <c r="H452" s="1832"/>
      <c r="I452" s="1832"/>
      <c r="J452" s="1832"/>
      <c r="K452" s="1832"/>
      <c r="L452" s="1832"/>
      <c r="M452" s="1832"/>
      <c r="N452" s="1832"/>
      <c r="O452" s="1832"/>
      <c r="P452" s="1832"/>
      <c r="Q452" s="1832"/>
      <c r="R452" s="1832"/>
      <c r="S452" s="1832"/>
      <c r="T452" s="1832"/>
      <c r="U452" s="1832"/>
      <c r="V452" s="1832"/>
      <c r="W452" s="1832"/>
      <c r="X452" s="1832"/>
      <c r="Y452" s="1832"/>
      <c r="Z452" s="1832"/>
      <c r="AA452" s="1831"/>
      <c r="AB452" s="1831"/>
      <c r="AC452" s="1831"/>
      <c r="AD452" s="1831"/>
      <c r="AE452" s="1831"/>
      <c r="AF452" s="1831"/>
      <c r="AG452" s="1832"/>
    </row>
    <row r="453" spans="1:33">
      <c r="A453" s="1833"/>
      <c r="B453" s="1833"/>
      <c r="C453" s="1831"/>
      <c r="D453" s="1831"/>
      <c r="E453" s="1831"/>
      <c r="F453" s="1832"/>
      <c r="G453" s="1832"/>
      <c r="H453" s="1832"/>
      <c r="I453" s="1832"/>
      <c r="J453" s="1832"/>
      <c r="K453" s="1832"/>
      <c r="L453" s="1832"/>
      <c r="M453" s="1832"/>
      <c r="N453" s="1832"/>
      <c r="O453" s="1832"/>
      <c r="P453" s="1832"/>
      <c r="Q453" s="1832"/>
      <c r="R453" s="1832"/>
      <c r="S453" s="1832"/>
      <c r="T453" s="1832"/>
      <c r="U453" s="1832"/>
      <c r="V453" s="1832"/>
      <c r="W453" s="1832"/>
      <c r="X453" s="1832"/>
      <c r="Y453" s="1832"/>
      <c r="Z453" s="1832"/>
      <c r="AA453" s="1831"/>
      <c r="AB453" s="1831"/>
      <c r="AC453" s="1831"/>
      <c r="AD453" s="1831"/>
      <c r="AE453" s="1831"/>
      <c r="AF453" s="1831"/>
      <c r="AG453" s="1832"/>
    </row>
    <row r="454" spans="1:33">
      <c r="A454" s="1833"/>
      <c r="B454" s="1833"/>
      <c r="C454" s="1831"/>
      <c r="D454" s="1831"/>
      <c r="E454" s="1831"/>
      <c r="F454" s="1832"/>
      <c r="G454" s="1832"/>
      <c r="H454" s="1832"/>
      <c r="I454" s="1832"/>
      <c r="J454" s="1832"/>
      <c r="K454" s="1832"/>
      <c r="L454" s="1832"/>
      <c r="M454" s="1832"/>
      <c r="N454" s="1832"/>
      <c r="O454" s="1832"/>
      <c r="P454" s="1832"/>
      <c r="Q454" s="1832"/>
      <c r="R454" s="1832"/>
      <c r="S454" s="1832"/>
      <c r="T454" s="1832"/>
      <c r="U454" s="1832"/>
      <c r="V454" s="1832"/>
      <c r="W454" s="1832"/>
      <c r="X454" s="1832"/>
      <c r="Y454" s="1832"/>
      <c r="Z454" s="1832"/>
      <c r="AA454" s="1831"/>
      <c r="AB454" s="1831"/>
      <c r="AC454" s="1831"/>
      <c r="AD454" s="1831"/>
      <c r="AE454" s="1831"/>
      <c r="AF454" s="1831"/>
      <c r="AG454" s="1832"/>
    </row>
    <row r="455" spans="1:33">
      <c r="A455" s="1833"/>
      <c r="B455" s="1833"/>
      <c r="C455" s="1831"/>
      <c r="D455" s="1831"/>
      <c r="E455" s="1831"/>
      <c r="F455" s="1832"/>
      <c r="G455" s="1832"/>
      <c r="H455" s="1832"/>
      <c r="I455" s="1832"/>
      <c r="J455" s="1832"/>
      <c r="K455" s="1832"/>
      <c r="L455" s="1832"/>
      <c r="M455" s="1832"/>
      <c r="N455" s="1832"/>
      <c r="O455" s="1832"/>
      <c r="P455" s="1832"/>
      <c r="Q455" s="1832"/>
      <c r="R455" s="1832"/>
      <c r="S455" s="1832"/>
      <c r="T455" s="1832"/>
      <c r="U455" s="1832"/>
      <c r="V455" s="1832"/>
      <c r="W455" s="1832"/>
      <c r="X455" s="1832"/>
      <c r="Y455" s="1832"/>
      <c r="Z455" s="1832"/>
      <c r="AA455" s="1831"/>
      <c r="AB455" s="1831"/>
      <c r="AC455" s="1831"/>
      <c r="AD455" s="1831"/>
      <c r="AE455" s="1831"/>
      <c r="AF455" s="1831"/>
      <c r="AG455" s="1832"/>
    </row>
    <row r="456" spans="1:33">
      <c r="A456" s="1833"/>
      <c r="B456" s="1833"/>
      <c r="C456" s="1831"/>
      <c r="D456" s="1831"/>
      <c r="E456" s="1831"/>
      <c r="F456" s="1832"/>
      <c r="G456" s="1832"/>
      <c r="H456" s="1832"/>
      <c r="I456" s="1832"/>
      <c r="J456" s="1832"/>
      <c r="K456" s="1832"/>
      <c r="L456" s="1832"/>
      <c r="M456" s="1832"/>
      <c r="N456" s="1832"/>
      <c r="O456" s="1832"/>
      <c r="P456" s="1832"/>
      <c r="Q456" s="1832"/>
      <c r="R456" s="1832"/>
      <c r="S456" s="1832"/>
      <c r="T456" s="1832"/>
      <c r="U456" s="1832"/>
      <c r="V456" s="1832"/>
      <c r="W456" s="1832"/>
      <c r="X456" s="1832"/>
      <c r="Y456" s="1832"/>
      <c r="Z456" s="1832"/>
      <c r="AA456" s="1831"/>
      <c r="AB456" s="1831"/>
      <c r="AC456" s="1831"/>
      <c r="AD456" s="1831"/>
      <c r="AE456" s="1831"/>
      <c r="AF456" s="1831"/>
      <c r="AG456" s="1832"/>
    </row>
    <row r="457" spans="1:33">
      <c r="A457" s="1833"/>
      <c r="B457" s="1833"/>
      <c r="C457" s="1831"/>
      <c r="D457" s="1831"/>
      <c r="E457" s="1831"/>
      <c r="F457" s="1832"/>
      <c r="G457" s="1832"/>
      <c r="H457" s="1832"/>
      <c r="I457" s="1832"/>
      <c r="J457" s="1832"/>
      <c r="K457" s="1832"/>
      <c r="L457" s="1832"/>
      <c r="M457" s="1832"/>
      <c r="N457" s="1832"/>
      <c r="O457" s="1832"/>
      <c r="P457" s="1832"/>
      <c r="Q457" s="1832"/>
      <c r="R457" s="1832"/>
      <c r="S457" s="1832"/>
      <c r="T457" s="1832"/>
      <c r="U457" s="1832"/>
      <c r="V457" s="1832"/>
      <c r="W457" s="1832"/>
      <c r="X457" s="1832"/>
      <c r="Y457" s="1832"/>
      <c r="Z457" s="1832"/>
      <c r="AA457" s="1831"/>
      <c r="AB457" s="1831"/>
      <c r="AC457" s="1831"/>
      <c r="AD457" s="1831"/>
      <c r="AE457" s="1831"/>
      <c r="AF457" s="1831"/>
      <c r="AG457" s="1832"/>
    </row>
    <row r="458" spans="1:33">
      <c r="A458" s="1833"/>
      <c r="B458" s="1833"/>
      <c r="C458" s="1831"/>
      <c r="D458" s="1831"/>
      <c r="E458" s="1831"/>
      <c r="F458" s="1832"/>
      <c r="G458" s="1832"/>
      <c r="H458" s="1832"/>
      <c r="I458" s="1832"/>
      <c r="J458" s="1832"/>
      <c r="K458" s="1832"/>
      <c r="L458" s="1832"/>
      <c r="M458" s="1832"/>
      <c r="N458" s="1832"/>
      <c r="O458" s="1832"/>
      <c r="P458" s="1832"/>
      <c r="Q458" s="1832"/>
      <c r="R458" s="1832"/>
      <c r="S458" s="1832"/>
      <c r="T458" s="1832"/>
      <c r="U458" s="1832"/>
      <c r="V458" s="1832"/>
      <c r="W458" s="1832"/>
      <c r="X458" s="1832"/>
      <c r="Y458" s="1832"/>
      <c r="Z458" s="1832"/>
      <c r="AA458" s="1831"/>
      <c r="AB458" s="1831"/>
      <c r="AC458" s="1831"/>
      <c r="AD458" s="1831"/>
      <c r="AE458" s="1831"/>
      <c r="AF458" s="1831"/>
      <c r="AG458" s="1832"/>
    </row>
    <row r="459" spans="1:33">
      <c r="A459" s="1833"/>
      <c r="B459" s="1833"/>
      <c r="C459" s="1831"/>
      <c r="D459" s="1831"/>
      <c r="E459" s="1831"/>
      <c r="F459" s="1832"/>
      <c r="G459" s="1832"/>
      <c r="H459" s="1832"/>
      <c r="I459" s="1832"/>
      <c r="J459" s="1832"/>
      <c r="K459" s="1832"/>
      <c r="L459" s="1832"/>
      <c r="M459" s="1832"/>
      <c r="N459" s="1832"/>
      <c r="O459" s="1832"/>
      <c r="P459" s="1832"/>
      <c r="Q459" s="1832"/>
      <c r="R459" s="1832"/>
      <c r="S459" s="1832"/>
      <c r="T459" s="1832"/>
      <c r="U459" s="1832"/>
      <c r="V459" s="1832"/>
      <c r="W459" s="1832"/>
      <c r="X459" s="1832"/>
      <c r="Y459" s="1832"/>
      <c r="Z459" s="1832"/>
      <c r="AA459" s="1831"/>
      <c r="AB459" s="1831"/>
      <c r="AC459" s="1831"/>
      <c r="AD459" s="1831"/>
      <c r="AE459" s="1831"/>
      <c r="AF459" s="1831"/>
      <c r="AG459" s="1832"/>
    </row>
    <row r="460" spans="1:33">
      <c r="A460" s="1833"/>
      <c r="B460" s="1833"/>
      <c r="C460" s="1831"/>
      <c r="D460" s="1831"/>
      <c r="E460" s="1831"/>
      <c r="F460" s="1832"/>
      <c r="G460" s="1832"/>
      <c r="H460" s="1832"/>
      <c r="I460" s="1832"/>
      <c r="J460" s="1832"/>
      <c r="K460" s="1832"/>
      <c r="L460" s="1832"/>
      <c r="M460" s="1832"/>
      <c r="N460" s="1832"/>
      <c r="O460" s="1832"/>
      <c r="P460" s="1832"/>
      <c r="Q460" s="1832"/>
      <c r="R460" s="1832"/>
      <c r="S460" s="1832"/>
      <c r="T460" s="1832"/>
      <c r="U460" s="1832"/>
      <c r="V460" s="1832"/>
      <c r="W460" s="1832"/>
      <c r="X460" s="1832"/>
      <c r="Y460" s="1832"/>
      <c r="Z460" s="1832"/>
      <c r="AA460" s="1831"/>
      <c r="AB460" s="1831"/>
      <c r="AC460" s="1831"/>
      <c r="AD460" s="1831"/>
      <c r="AE460" s="1831"/>
      <c r="AF460" s="1831"/>
      <c r="AG460" s="1832"/>
    </row>
    <row r="461" spans="1:33">
      <c r="A461" s="1833"/>
      <c r="B461" s="1833"/>
      <c r="C461" s="1831"/>
      <c r="D461" s="1831"/>
      <c r="E461" s="1831"/>
      <c r="F461" s="1832"/>
      <c r="G461" s="1832"/>
      <c r="H461" s="1832"/>
      <c r="I461" s="1832"/>
      <c r="J461" s="1832"/>
      <c r="K461" s="1832"/>
      <c r="L461" s="1832"/>
      <c r="M461" s="1832"/>
      <c r="N461" s="1832"/>
      <c r="O461" s="1832"/>
      <c r="P461" s="1832"/>
      <c r="Q461" s="1832"/>
      <c r="R461" s="1832"/>
      <c r="S461" s="1832"/>
      <c r="T461" s="1832"/>
      <c r="U461" s="1832"/>
      <c r="V461" s="1832"/>
      <c r="W461" s="1832"/>
      <c r="X461" s="1832"/>
      <c r="Y461" s="1832"/>
      <c r="Z461" s="1832"/>
      <c r="AA461" s="1831"/>
      <c r="AB461" s="1831"/>
      <c r="AC461" s="1831"/>
      <c r="AD461" s="1831"/>
      <c r="AE461" s="1831"/>
      <c r="AF461" s="1831"/>
      <c r="AG461" s="1832"/>
    </row>
    <row r="462" spans="1:33">
      <c r="A462" s="1833"/>
      <c r="B462" s="1833"/>
      <c r="C462" s="1831"/>
      <c r="D462" s="1831"/>
      <c r="E462" s="1831"/>
      <c r="F462" s="1832"/>
      <c r="G462" s="1832"/>
      <c r="H462" s="1832"/>
      <c r="I462" s="1832"/>
      <c r="J462" s="1832"/>
      <c r="K462" s="1832"/>
      <c r="L462" s="1832"/>
      <c r="M462" s="1832"/>
      <c r="N462" s="1832"/>
      <c r="O462" s="1832"/>
      <c r="P462" s="1832"/>
      <c r="Q462" s="1832"/>
      <c r="R462" s="1832"/>
      <c r="S462" s="1832"/>
      <c r="T462" s="1832"/>
      <c r="U462" s="1832"/>
      <c r="V462" s="1832"/>
      <c r="W462" s="1832"/>
      <c r="X462" s="1832"/>
      <c r="Y462" s="1832"/>
      <c r="Z462" s="1832"/>
      <c r="AA462" s="1831"/>
      <c r="AB462" s="1831"/>
      <c r="AC462" s="1831"/>
      <c r="AD462" s="1831"/>
      <c r="AE462" s="1831"/>
      <c r="AF462" s="1831"/>
      <c r="AG462" s="1832"/>
    </row>
    <row r="463" spans="1:33">
      <c r="A463" s="1833"/>
      <c r="B463" s="1833"/>
      <c r="C463" s="1831"/>
      <c r="D463" s="1831"/>
      <c r="E463" s="1831"/>
      <c r="F463" s="1832"/>
      <c r="G463" s="1832"/>
      <c r="H463" s="1832"/>
      <c r="I463" s="1832"/>
      <c r="J463" s="1832"/>
      <c r="K463" s="1832"/>
      <c r="L463" s="1832"/>
      <c r="M463" s="1832"/>
      <c r="N463" s="1832"/>
      <c r="O463" s="1832"/>
      <c r="P463" s="1832"/>
      <c r="Q463" s="1832"/>
      <c r="R463" s="1832"/>
      <c r="S463" s="1832"/>
      <c r="T463" s="1832"/>
      <c r="U463" s="1832"/>
      <c r="V463" s="1832"/>
      <c r="W463" s="1832"/>
      <c r="X463" s="1832"/>
      <c r="Y463" s="1832"/>
      <c r="Z463" s="1832"/>
      <c r="AA463" s="1831"/>
      <c r="AB463" s="1831"/>
      <c r="AC463" s="1831"/>
      <c r="AD463" s="1831"/>
      <c r="AE463" s="1831"/>
      <c r="AF463" s="1831"/>
      <c r="AG463" s="1832"/>
    </row>
    <row r="464" spans="1:33">
      <c r="A464" s="1833"/>
      <c r="B464" s="1833"/>
      <c r="C464" s="1831"/>
      <c r="D464" s="1831"/>
      <c r="E464" s="1831"/>
      <c r="F464" s="1832"/>
      <c r="G464" s="1832"/>
      <c r="H464" s="1832"/>
      <c r="I464" s="1832"/>
      <c r="J464" s="1832"/>
      <c r="K464" s="1832"/>
      <c r="L464" s="1832"/>
      <c r="M464" s="1832"/>
      <c r="N464" s="1832"/>
      <c r="O464" s="1832"/>
      <c r="P464" s="1832"/>
      <c r="Q464" s="1832"/>
      <c r="R464" s="1832"/>
      <c r="S464" s="1832"/>
      <c r="T464" s="1832"/>
      <c r="U464" s="1832"/>
      <c r="V464" s="1832"/>
      <c r="W464" s="1832"/>
      <c r="X464" s="1832"/>
      <c r="Y464" s="1832"/>
      <c r="Z464" s="1832"/>
      <c r="AA464" s="1831"/>
      <c r="AB464" s="1831"/>
      <c r="AC464" s="1831"/>
      <c r="AD464" s="1831"/>
      <c r="AE464" s="1831"/>
      <c r="AF464" s="1831"/>
      <c r="AG464" s="1832"/>
    </row>
    <row r="465" spans="1:33">
      <c r="A465" s="1833"/>
      <c r="B465" s="1833"/>
      <c r="C465" s="1831"/>
      <c r="D465" s="1831"/>
      <c r="E465" s="1831"/>
      <c r="F465" s="1832"/>
      <c r="G465" s="1832"/>
      <c r="H465" s="1832"/>
      <c r="I465" s="1832"/>
      <c r="J465" s="1832"/>
      <c r="K465" s="1832"/>
      <c r="L465" s="1832"/>
      <c r="M465" s="1832"/>
      <c r="N465" s="1832"/>
      <c r="O465" s="1832"/>
      <c r="P465" s="1832"/>
      <c r="Q465" s="1832"/>
      <c r="R465" s="1832"/>
      <c r="S465" s="1832"/>
      <c r="T465" s="1832"/>
      <c r="U465" s="1832"/>
      <c r="V465" s="1832"/>
      <c r="W465" s="1832"/>
      <c r="X465" s="1832"/>
      <c r="Y465" s="1832"/>
      <c r="Z465" s="1832"/>
      <c r="AA465" s="1831"/>
      <c r="AB465" s="1831"/>
      <c r="AC465" s="1831"/>
      <c r="AD465" s="1831"/>
      <c r="AE465" s="1831"/>
      <c r="AF465" s="1831"/>
      <c r="AG465" s="1832"/>
    </row>
    <row r="466" spans="1:33">
      <c r="A466" s="1833"/>
      <c r="B466" s="1833"/>
      <c r="C466" s="1831"/>
      <c r="D466" s="1831"/>
      <c r="E466" s="1831"/>
      <c r="F466" s="1832"/>
      <c r="G466" s="1832"/>
      <c r="H466" s="1832"/>
      <c r="I466" s="1832"/>
      <c r="J466" s="1832"/>
      <c r="K466" s="1832"/>
      <c r="L466" s="1832"/>
      <c r="M466" s="1832"/>
      <c r="N466" s="1832"/>
      <c r="O466" s="1832"/>
      <c r="P466" s="1832"/>
      <c r="Q466" s="1832"/>
      <c r="R466" s="1832"/>
      <c r="S466" s="1832"/>
      <c r="T466" s="1832"/>
      <c r="U466" s="1832"/>
      <c r="V466" s="1832"/>
      <c r="W466" s="1832"/>
      <c r="X466" s="1832"/>
      <c r="Y466" s="1832"/>
      <c r="Z466" s="1832"/>
      <c r="AA466" s="1831"/>
      <c r="AB466" s="1831"/>
      <c r="AC466" s="1831"/>
      <c r="AD466" s="1831"/>
      <c r="AE466" s="1831"/>
      <c r="AF466" s="1831"/>
      <c r="AG466" s="1832"/>
    </row>
    <row r="467" spans="1:33">
      <c r="A467" s="1833"/>
      <c r="B467" s="1833"/>
      <c r="C467" s="1831"/>
      <c r="D467" s="1831"/>
      <c r="E467" s="1831"/>
      <c r="F467" s="1832"/>
      <c r="G467" s="1832"/>
      <c r="H467" s="1832"/>
      <c r="I467" s="1832"/>
      <c r="J467" s="1832"/>
      <c r="K467" s="1832"/>
      <c r="L467" s="1832"/>
      <c r="M467" s="1832"/>
      <c r="N467" s="1832"/>
      <c r="O467" s="1832"/>
      <c r="P467" s="1832"/>
      <c r="Q467" s="1832"/>
      <c r="R467" s="1832"/>
      <c r="S467" s="1832"/>
      <c r="T467" s="1832"/>
      <c r="U467" s="1832"/>
      <c r="V467" s="1832"/>
      <c r="W467" s="1832"/>
      <c r="X467" s="1832"/>
      <c r="Y467" s="1832"/>
      <c r="Z467" s="1832"/>
      <c r="AA467" s="1831"/>
      <c r="AB467" s="1831"/>
      <c r="AC467" s="1831"/>
      <c r="AD467" s="1831"/>
      <c r="AE467" s="1831"/>
      <c r="AF467" s="1831"/>
      <c r="AG467" s="1832"/>
    </row>
    <row r="468" spans="1:33">
      <c r="A468" s="1833"/>
      <c r="B468" s="1833"/>
      <c r="C468" s="1831"/>
      <c r="D468" s="1831"/>
      <c r="E468" s="1831"/>
      <c r="F468" s="1832"/>
      <c r="G468" s="1832"/>
      <c r="H468" s="1832"/>
      <c r="I468" s="1832"/>
      <c r="J468" s="1832"/>
      <c r="K468" s="1832"/>
      <c r="L468" s="1832"/>
      <c r="M468" s="1832"/>
      <c r="N468" s="1832"/>
      <c r="O468" s="1832"/>
      <c r="P468" s="1832"/>
      <c r="Q468" s="1832"/>
      <c r="R468" s="1832"/>
      <c r="S468" s="1832"/>
      <c r="T468" s="1832"/>
      <c r="U468" s="1832"/>
      <c r="V468" s="1832"/>
      <c r="W468" s="1832"/>
      <c r="X468" s="1832"/>
      <c r="Y468" s="1832"/>
      <c r="Z468" s="1832"/>
      <c r="AA468" s="1831"/>
      <c r="AB468" s="1831"/>
      <c r="AC468" s="1831"/>
      <c r="AD468" s="1831"/>
      <c r="AE468" s="1831"/>
      <c r="AF468" s="1831"/>
      <c r="AG468" s="1832"/>
    </row>
    <row r="469" spans="1:33">
      <c r="A469" s="1833"/>
      <c r="B469" s="1833"/>
      <c r="C469" s="1831"/>
      <c r="D469" s="1831"/>
      <c r="E469" s="1831"/>
      <c r="F469" s="1832"/>
      <c r="G469" s="1832"/>
      <c r="H469" s="1832"/>
      <c r="I469" s="1832"/>
      <c r="J469" s="1832"/>
      <c r="K469" s="1832"/>
      <c r="L469" s="1832"/>
      <c r="M469" s="1832"/>
      <c r="N469" s="1832"/>
      <c r="O469" s="1832"/>
      <c r="P469" s="1832"/>
      <c r="Q469" s="1832"/>
      <c r="R469" s="1832"/>
      <c r="S469" s="1832"/>
      <c r="T469" s="1832"/>
      <c r="U469" s="1832"/>
      <c r="V469" s="1832"/>
      <c r="W469" s="1832"/>
      <c r="X469" s="1832"/>
      <c r="Y469" s="1832"/>
      <c r="Z469" s="1832"/>
      <c r="AA469" s="1831"/>
      <c r="AB469" s="1831"/>
      <c r="AC469" s="1831"/>
      <c r="AD469" s="1831"/>
      <c r="AE469" s="1831"/>
      <c r="AF469" s="1831"/>
      <c r="AG469" s="1832"/>
    </row>
    <row r="470" spans="1:33">
      <c r="A470" s="1833"/>
      <c r="B470" s="1833"/>
      <c r="C470" s="1831"/>
      <c r="D470" s="1831"/>
      <c r="E470" s="1831"/>
      <c r="F470" s="1832"/>
      <c r="G470" s="1832"/>
      <c r="H470" s="1832"/>
      <c r="I470" s="1832"/>
      <c r="J470" s="1832"/>
      <c r="K470" s="1832"/>
      <c r="L470" s="1832"/>
      <c r="M470" s="1832"/>
      <c r="N470" s="1832"/>
      <c r="O470" s="1832"/>
      <c r="P470" s="1832"/>
      <c r="Q470" s="1832"/>
      <c r="R470" s="1832"/>
      <c r="S470" s="1832"/>
      <c r="T470" s="1832"/>
      <c r="U470" s="1832"/>
      <c r="V470" s="1832"/>
      <c r="W470" s="1832"/>
      <c r="X470" s="1832"/>
      <c r="Y470" s="1832"/>
      <c r="Z470" s="1832"/>
      <c r="AA470" s="1831"/>
      <c r="AB470" s="1831"/>
      <c r="AC470" s="1831"/>
      <c r="AD470" s="1831"/>
      <c r="AE470" s="1831"/>
      <c r="AF470" s="1831"/>
      <c r="AG470" s="1832"/>
    </row>
    <row r="471" spans="1:33">
      <c r="A471" s="1833"/>
      <c r="B471" s="1833"/>
      <c r="C471" s="1831"/>
      <c r="D471" s="1831"/>
      <c r="E471" s="1831"/>
      <c r="F471" s="1832"/>
      <c r="G471" s="1832"/>
      <c r="H471" s="1832"/>
      <c r="I471" s="1832"/>
      <c r="J471" s="1832"/>
      <c r="K471" s="1832"/>
      <c r="L471" s="1832"/>
      <c r="M471" s="1832"/>
      <c r="N471" s="1832"/>
      <c r="O471" s="1832"/>
      <c r="P471" s="1832"/>
      <c r="Q471" s="1832"/>
      <c r="R471" s="1832"/>
      <c r="S471" s="1832"/>
      <c r="T471" s="1832"/>
      <c r="U471" s="1832"/>
      <c r="V471" s="1832"/>
      <c r="W471" s="1832"/>
      <c r="X471" s="1832"/>
      <c r="Y471" s="1832"/>
      <c r="Z471" s="1832"/>
      <c r="AA471" s="1831"/>
      <c r="AB471" s="1831"/>
      <c r="AC471" s="1831"/>
      <c r="AD471" s="1831"/>
      <c r="AE471" s="1831"/>
      <c r="AF471" s="1831"/>
      <c r="AG471" s="1832"/>
    </row>
    <row r="472" spans="1:33">
      <c r="A472" s="1833"/>
      <c r="B472" s="1833"/>
      <c r="C472" s="1831"/>
      <c r="D472" s="1831"/>
      <c r="E472" s="1831"/>
      <c r="F472" s="1832"/>
      <c r="G472" s="1832"/>
      <c r="H472" s="1832"/>
      <c r="I472" s="1832"/>
      <c r="J472" s="1832"/>
      <c r="K472" s="1832"/>
      <c r="L472" s="1832"/>
      <c r="M472" s="1832"/>
      <c r="N472" s="1832"/>
      <c r="O472" s="1832"/>
      <c r="P472" s="1832"/>
      <c r="Q472" s="1832"/>
      <c r="R472" s="1832"/>
      <c r="S472" s="1832"/>
      <c r="T472" s="1832"/>
      <c r="U472" s="1832"/>
      <c r="V472" s="1832"/>
      <c r="W472" s="1832"/>
      <c r="X472" s="1832"/>
      <c r="Y472" s="1832"/>
      <c r="Z472" s="1832"/>
      <c r="AA472" s="1831"/>
      <c r="AB472" s="1831"/>
      <c r="AC472" s="1831"/>
      <c r="AD472" s="1831"/>
      <c r="AE472" s="1831"/>
      <c r="AF472" s="1831"/>
      <c r="AG472" s="1832"/>
    </row>
    <row r="473" spans="1:33">
      <c r="A473" s="1833"/>
      <c r="B473" s="1833"/>
      <c r="C473" s="1831"/>
      <c r="D473" s="1831"/>
      <c r="E473" s="1831"/>
      <c r="F473" s="1832"/>
      <c r="G473" s="1832"/>
      <c r="H473" s="1832"/>
      <c r="I473" s="1832"/>
      <c r="J473" s="1832"/>
      <c r="K473" s="1832"/>
      <c r="L473" s="1832"/>
      <c r="M473" s="1832"/>
      <c r="N473" s="1832"/>
      <c r="O473" s="1832"/>
      <c r="P473" s="1832"/>
      <c r="Q473" s="1832"/>
      <c r="R473" s="1832"/>
      <c r="S473" s="1832"/>
      <c r="T473" s="1832"/>
      <c r="U473" s="1832"/>
      <c r="V473" s="1832"/>
      <c r="W473" s="1832"/>
      <c r="X473" s="1832"/>
      <c r="Y473" s="1832"/>
      <c r="Z473" s="1832"/>
      <c r="AA473" s="1831"/>
      <c r="AB473" s="1831"/>
      <c r="AC473" s="1831"/>
      <c r="AD473" s="1831"/>
      <c r="AE473" s="1831"/>
      <c r="AF473" s="1831"/>
      <c r="AG473" s="1832"/>
    </row>
    <row r="474" spans="1:33">
      <c r="A474" s="1833"/>
      <c r="B474" s="1833"/>
      <c r="C474" s="1831"/>
      <c r="D474" s="1831"/>
      <c r="E474" s="1831"/>
      <c r="F474" s="1832"/>
      <c r="G474" s="1832"/>
      <c r="H474" s="1832"/>
      <c r="I474" s="1832"/>
      <c r="J474" s="1832"/>
      <c r="K474" s="1832"/>
      <c r="L474" s="1832"/>
      <c r="M474" s="1832"/>
      <c r="N474" s="1832"/>
      <c r="O474" s="1832"/>
      <c r="P474" s="1832"/>
      <c r="Q474" s="1832"/>
      <c r="R474" s="1832"/>
      <c r="S474" s="1832"/>
      <c r="T474" s="1832"/>
      <c r="U474" s="1832"/>
      <c r="V474" s="1832"/>
      <c r="W474" s="1832"/>
      <c r="X474" s="1832"/>
      <c r="Y474" s="1832"/>
      <c r="Z474" s="1832"/>
      <c r="AA474" s="1831"/>
      <c r="AB474" s="1831"/>
      <c r="AC474" s="1831"/>
      <c r="AD474" s="1831"/>
      <c r="AE474" s="1831"/>
      <c r="AF474" s="1831"/>
      <c r="AG474" s="1832"/>
    </row>
    <row r="475" spans="1:33">
      <c r="A475" s="1833"/>
      <c r="B475" s="1833"/>
      <c r="C475" s="1831"/>
      <c r="D475" s="1831"/>
      <c r="E475" s="1831"/>
      <c r="F475" s="1832"/>
      <c r="G475" s="1832"/>
      <c r="H475" s="1832"/>
      <c r="I475" s="1832"/>
      <c r="J475" s="1832"/>
      <c r="K475" s="1832"/>
      <c r="L475" s="1832"/>
      <c r="M475" s="1832"/>
      <c r="N475" s="1832"/>
      <c r="O475" s="1832"/>
      <c r="P475" s="1832"/>
      <c r="Q475" s="1832"/>
      <c r="R475" s="1832"/>
      <c r="S475" s="1832"/>
      <c r="T475" s="1832"/>
      <c r="U475" s="1832"/>
      <c r="V475" s="1832"/>
      <c r="W475" s="1832"/>
      <c r="X475" s="1832"/>
      <c r="Y475" s="1832"/>
      <c r="Z475" s="1832"/>
      <c r="AA475" s="1831"/>
      <c r="AB475" s="1831"/>
      <c r="AC475" s="1831"/>
      <c r="AD475" s="1831"/>
      <c r="AE475" s="1831"/>
      <c r="AF475" s="1831"/>
      <c r="AG475" s="1832"/>
    </row>
    <row r="476" spans="1:33">
      <c r="A476" s="1833"/>
      <c r="B476" s="1833"/>
      <c r="C476" s="1831"/>
      <c r="D476" s="1831"/>
      <c r="E476" s="1831"/>
      <c r="F476" s="1832"/>
      <c r="G476" s="1832"/>
      <c r="H476" s="1832"/>
      <c r="I476" s="1832"/>
      <c r="J476" s="1832"/>
      <c r="K476" s="1832"/>
      <c r="L476" s="1832"/>
      <c r="M476" s="1832"/>
      <c r="N476" s="1832"/>
      <c r="O476" s="1832"/>
      <c r="P476" s="1832"/>
      <c r="Q476" s="1832"/>
      <c r="R476" s="1832"/>
      <c r="S476" s="1832"/>
      <c r="T476" s="1832"/>
      <c r="U476" s="1832"/>
      <c r="V476" s="1832"/>
      <c r="W476" s="1832"/>
      <c r="X476" s="1832"/>
      <c r="Y476" s="1832"/>
      <c r="Z476" s="1832"/>
      <c r="AA476" s="1831"/>
      <c r="AB476" s="1831"/>
      <c r="AC476" s="1831"/>
      <c r="AD476" s="1831"/>
      <c r="AE476" s="1831"/>
      <c r="AF476" s="1831"/>
      <c r="AG476" s="1832"/>
    </row>
    <row r="477" spans="1:33">
      <c r="A477" s="1833"/>
      <c r="B477" s="1833"/>
      <c r="C477" s="1831"/>
      <c r="D477" s="1831"/>
      <c r="E477" s="1831"/>
      <c r="F477" s="1832"/>
      <c r="G477" s="1832"/>
      <c r="H477" s="1832"/>
      <c r="I477" s="1832"/>
      <c r="J477" s="1832"/>
      <c r="K477" s="1832"/>
      <c r="L477" s="1832"/>
      <c r="M477" s="1832"/>
      <c r="N477" s="1832"/>
      <c r="O477" s="1832"/>
      <c r="P477" s="1832"/>
      <c r="Q477" s="1832"/>
      <c r="R477" s="1832"/>
      <c r="S477" s="1832"/>
      <c r="T477" s="1832"/>
      <c r="U477" s="1832"/>
      <c r="V477" s="1832"/>
      <c r="W477" s="1832"/>
      <c r="X477" s="1832"/>
      <c r="Y477" s="1832"/>
      <c r="Z477" s="1832"/>
      <c r="AA477" s="1831"/>
      <c r="AB477" s="1831"/>
      <c r="AC477" s="1831"/>
      <c r="AD477" s="1831"/>
      <c r="AE477" s="1831"/>
      <c r="AF477" s="1831"/>
      <c r="AG477" s="1832"/>
    </row>
    <row r="478" spans="1:33">
      <c r="A478" s="1833"/>
      <c r="B478" s="1833"/>
      <c r="C478" s="1831"/>
      <c r="D478" s="1831"/>
      <c r="E478" s="1831"/>
      <c r="F478" s="1832"/>
      <c r="G478" s="1832"/>
      <c r="H478" s="1832"/>
      <c r="I478" s="1832"/>
      <c r="J478" s="1832"/>
      <c r="K478" s="1832"/>
      <c r="L478" s="1832"/>
      <c r="M478" s="1832"/>
      <c r="N478" s="1832"/>
      <c r="O478" s="1832"/>
      <c r="P478" s="1832"/>
      <c r="Q478" s="1832"/>
      <c r="R478" s="1832"/>
      <c r="S478" s="1832"/>
      <c r="T478" s="1832"/>
      <c r="U478" s="1832"/>
      <c r="V478" s="1832"/>
      <c r="W478" s="1832"/>
      <c r="X478" s="1832"/>
      <c r="Y478" s="1832"/>
      <c r="Z478" s="1832"/>
      <c r="AA478" s="1831"/>
      <c r="AB478" s="1831"/>
      <c r="AC478" s="1831"/>
      <c r="AD478" s="1831"/>
      <c r="AE478" s="1831"/>
      <c r="AF478" s="1831"/>
      <c r="AG478" s="1832"/>
    </row>
    <row r="479" spans="1:33">
      <c r="A479" s="1833"/>
      <c r="B479" s="1833"/>
      <c r="C479" s="1831"/>
      <c r="D479" s="1831"/>
      <c r="E479" s="1831"/>
      <c r="F479" s="1832"/>
      <c r="G479" s="1832"/>
      <c r="H479" s="1832"/>
      <c r="I479" s="1832"/>
      <c r="J479" s="1832"/>
      <c r="K479" s="1832"/>
      <c r="L479" s="1832"/>
      <c r="M479" s="1832"/>
      <c r="N479" s="1832"/>
      <c r="O479" s="1832"/>
      <c r="P479" s="1832"/>
      <c r="Q479" s="1832"/>
      <c r="R479" s="1832"/>
      <c r="S479" s="1832"/>
      <c r="T479" s="1832"/>
      <c r="U479" s="1832"/>
      <c r="V479" s="1832"/>
      <c r="W479" s="1832"/>
      <c r="X479" s="1832"/>
      <c r="Y479" s="1832"/>
      <c r="Z479" s="1832"/>
      <c r="AA479" s="1831"/>
      <c r="AB479" s="1831"/>
      <c r="AC479" s="1831"/>
      <c r="AD479" s="1831"/>
      <c r="AE479" s="1831"/>
      <c r="AF479" s="1831"/>
      <c r="AG479" s="1832"/>
    </row>
    <row r="480" spans="1:33">
      <c r="A480" s="1833"/>
      <c r="B480" s="1833"/>
      <c r="C480" s="1831"/>
      <c r="D480" s="1831"/>
      <c r="E480" s="1831"/>
      <c r="F480" s="1832"/>
      <c r="G480" s="1832"/>
      <c r="H480" s="1832"/>
      <c r="I480" s="1832"/>
      <c r="J480" s="1832"/>
      <c r="K480" s="1832"/>
      <c r="L480" s="1832"/>
      <c r="M480" s="1832"/>
      <c r="N480" s="1832"/>
      <c r="O480" s="1832"/>
      <c r="P480" s="1832"/>
      <c r="Q480" s="1832"/>
      <c r="R480" s="1832"/>
      <c r="S480" s="1832"/>
      <c r="T480" s="1832"/>
      <c r="U480" s="1832"/>
      <c r="V480" s="1832"/>
      <c r="W480" s="1832"/>
      <c r="X480" s="1832"/>
      <c r="Y480" s="1832"/>
      <c r="Z480" s="1832"/>
      <c r="AA480" s="1831"/>
      <c r="AB480" s="1831"/>
      <c r="AC480" s="1831"/>
      <c r="AD480" s="1831"/>
      <c r="AE480" s="1831"/>
      <c r="AF480" s="1831"/>
      <c r="AG480" s="1832"/>
    </row>
    <row r="481" spans="1:33">
      <c r="A481" s="1833"/>
      <c r="B481" s="1833"/>
      <c r="C481" s="1831"/>
      <c r="D481" s="1831"/>
      <c r="E481" s="1831"/>
      <c r="F481" s="1832"/>
      <c r="G481" s="1832"/>
      <c r="H481" s="1832"/>
      <c r="I481" s="1832"/>
      <c r="J481" s="1832"/>
      <c r="K481" s="1832"/>
      <c r="L481" s="1832"/>
      <c r="M481" s="1832"/>
      <c r="N481" s="1832"/>
      <c r="O481" s="1832"/>
      <c r="P481" s="1832"/>
      <c r="Q481" s="1832"/>
      <c r="R481" s="1832"/>
      <c r="S481" s="1832"/>
      <c r="T481" s="1832"/>
      <c r="U481" s="1832"/>
      <c r="V481" s="1832"/>
      <c r="W481" s="1832"/>
      <c r="X481" s="1832"/>
      <c r="Y481" s="1832"/>
      <c r="Z481" s="1832"/>
      <c r="AA481" s="1831"/>
      <c r="AB481" s="1831"/>
      <c r="AC481" s="1831"/>
      <c r="AD481" s="1831"/>
      <c r="AE481" s="1831"/>
      <c r="AF481" s="1831"/>
      <c r="AG481" s="1832"/>
    </row>
    <row r="482" spans="1:33">
      <c r="A482" s="1833"/>
      <c r="B482" s="1833"/>
      <c r="C482" s="1831"/>
      <c r="D482" s="1831"/>
      <c r="E482" s="1831"/>
      <c r="F482" s="1832"/>
      <c r="G482" s="1832"/>
      <c r="H482" s="1832"/>
      <c r="I482" s="1832"/>
      <c r="J482" s="1832"/>
      <c r="K482" s="1832"/>
      <c r="L482" s="1832"/>
      <c r="M482" s="1832"/>
      <c r="N482" s="1832"/>
      <c r="O482" s="1832"/>
      <c r="P482" s="1832"/>
      <c r="Q482" s="1832"/>
      <c r="R482" s="1832"/>
      <c r="S482" s="1832"/>
      <c r="T482" s="1832"/>
      <c r="U482" s="1832"/>
      <c r="V482" s="1832"/>
      <c r="W482" s="1832"/>
      <c r="X482" s="1832"/>
      <c r="Y482" s="1832"/>
      <c r="Z482" s="1832"/>
      <c r="AA482" s="1831"/>
      <c r="AB482" s="1831"/>
      <c r="AC482" s="1831"/>
      <c r="AD482" s="1831"/>
      <c r="AE482" s="1831"/>
      <c r="AF482" s="1831"/>
      <c r="AG482" s="1832"/>
    </row>
    <row r="483" spans="1:33">
      <c r="A483" s="1833"/>
      <c r="B483" s="1833"/>
      <c r="C483" s="1831"/>
      <c r="D483" s="1831"/>
      <c r="E483" s="1831"/>
      <c r="F483" s="1832"/>
      <c r="G483" s="1832"/>
      <c r="H483" s="1832"/>
      <c r="I483" s="1832"/>
      <c r="J483" s="1832"/>
      <c r="K483" s="1832"/>
      <c r="L483" s="1832"/>
      <c r="M483" s="1832"/>
      <c r="N483" s="1832"/>
      <c r="O483" s="1832"/>
      <c r="P483" s="1832"/>
      <c r="Q483" s="1832"/>
      <c r="R483" s="1832"/>
      <c r="S483" s="1832"/>
      <c r="T483" s="1832"/>
      <c r="U483" s="1832"/>
      <c r="V483" s="1832"/>
      <c r="W483" s="1832"/>
      <c r="X483" s="1832"/>
      <c r="Y483" s="1832"/>
      <c r="Z483" s="1832"/>
      <c r="AA483" s="1831"/>
      <c r="AB483" s="1831"/>
      <c r="AC483" s="1831"/>
      <c r="AD483" s="1831"/>
      <c r="AE483" s="1831"/>
      <c r="AF483" s="1831"/>
      <c r="AG483" s="1832"/>
    </row>
    <row r="484" spans="1:33">
      <c r="A484" s="1833"/>
      <c r="B484" s="1833"/>
      <c r="C484" s="1831"/>
      <c r="D484" s="1831"/>
      <c r="E484" s="1831"/>
      <c r="F484" s="1832"/>
      <c r="G484" s="1832"/>
      <c r="H484" s="1832"/>
      <c r="I484" s="1832"/>
      <c r="J484" s="1832"/>
      <c r="K484" s="1832"/>
      <c r="L484" s="1832"/>
      <c r="M484" s="1832"/>
      <c r="N484" s="1832"/>
      <c r="O484" s="1832"/>
      <c r="P484" s="1832"/>
      <c r="Q484" s="1832"/>
      <c r="R484" s="1832"/>
      <c r="S484" s="1832"/>
      <c r="T484" s="1832"/>
      <c r="U484" s="1832"/>
      <c r="V484" s="1832"/>
      <c r="W484" s="1832"/>
      <c r="X484" s="1832"/>
      <c r="Y484" s="1832"/>
      <c r="Z484" s="1832"/>
      <c r="AA484" s="1831"/>
      <c r="AB484" s="1831"/>
      <c r="AC484" s="1831"/>
      <c r="AD484" s="1831"/>
      <c r="AE484" s="1831"/>
      <c r="AF484" s="1831"/>
      <c r="AG484" s="1832"/>
    </row>
    <row r="485" spans="1:33">
      <c r="A485" s="1833"/>
      <c r="B485" s="1833"/>
      <c r="C485" s="1831"/>
      <c r="D485" s="1831"/>
      <c r="E485" s="1831"/>
      <c r="F485" s="1832"/>
      <c r="G485" s="1832"/>
      <c r="H485" s="1832"/>
      <c r="I485" s="1832"/>
      <c r="J485" s="1832"/>
      <c r="K485" s="1832"/>
      <c r="L485" s="1832"/>
      <c r="M485" s="1832"/>
      <c r="N485" s="1832"/>
      <c r="O485" s="1832"/>
      <c r="P485" s="1832"/>
      <c r="Q485" s="1832"/>
      <c r="R485" s="1832"/>
      <c r="S485" s="1832"/>
      <c r="T485" s="1832"/>
      <c r="U485" s="1832"/>
      <c r="V485" s="1832"/>
      <c r="W485" s="1832"/>
      <c r="X485" s="1832"/>
      <c r="Y485" s="1832"/>
      <c r="Z485" s="1832"/>
      <c r="AA485" s="1831"/>
      <c r="AB485" s="1831"/>
      <c r="AC485" s="1831"/>
      <c r="AD485" s="1831"/>
      <c r="AE485" s="1831"/>
      <c r="AF485" s="1831"/>
      <c r="AG485" s="1832"/>
    </row>
    <row r="486" spans="1:33">
      <c r="A486" s="1833"/>
      <c r="B486" s="1833"/>
      <c r="C486" s="1831"/>
      <c r="D486" s="1831"/>
      <c r="E486" s="1831"/>
      <c r="F486" s="1832"/>
      <c r="G486" s="1832"/>
      <c r="H486" s="1832"/>
      <c r="I486" s="1832"/>
      <c r="J486" s="1832"/>
      <c r="K486" s="1832"/>
      <c r="L486" s="1832"/>
      <c r="M486" s="1832"/>
      <c r="N486" s="1832"/>
      <c r="O486" s="1832"/>
      <c r="P486" s="1832"/>
      <c r="Q486" s="1832"/>
      <c r="R486" s="1832"/>
      <c r="S486" s="1832"/>
      <c r="T486" s="1832"/>
      <c r="U486" s="1832"/>
      <c r="V486" s="1832"/>
      <c r="W486" s="1832"/>
      <c r="X486" s="1832"/>
      <c r="Y486" s="1832"/>
      <c r="Z486" s="1832"/>
      <c r="AA486" s="1831"/>
      <c r="AB486" s="1831"/>
      <c r="AC486" s="1831"/>
      <c r="AD486" s="1831"/>
      <c r="AE486" s="1831"/>
      <c r="AF486" s="1831"/>
      <c r="AG486" s="1832"/>
    </row>
    <row r="487" spans="1:33">
      <c r="A487" s="1833"/>
      <c r="B487" s="1833"/>
      <c r="C487" s="1831"/>
      <c r="D487" s="1831"/>
      <c r="E487" s="1831"/>
      <c r="F487" s="1832"/>
      <c r="G487" s="1832"/>
      <c r="H487" s="1832"/>
      <c r="I487" s="1832"/>
      <c r="J487" s="1832"/>
      <c r="K487" s="1832"/>
      <c r="L487" s="1832"/>
      <c r="M487" s="1832"/>
      <c r="N487" s="1832"/>
      <c r="O487" s="1832"/>
      <c r="P487" s="1832"/>
      <c r="Q487" s="1832"/>
      <c r="R487" s="1832"/>
      <c r="S487" s="1832"/>
      <c r="T487" s="1832"/>
      <c r="U487" s="1832"/>
      <c r="V487" s="1832"/>
      <c r="W487" s="1832"/>
      <c r="X487" s="1832"/>
      <c r="Y487" s="1832"/>
      <c r="Z487" s="1832"/>
      <c r="AA487" s="1831"/>
      <c r="AB487" s="1831"/>
      <c r="AC487" s="1831"/>
      <c r="AD487" s="1831"/>
      <c r="AE487" s="1831"/>
      <c r="AF487" s="1831"/>
      <c r="AG487" s="1832"/>
    </row>
  </sheetData>
  <mergeCells count="20">
    <mergeCell ref="O105:V105"/>
    <mergeCell ref="Y105:AG105"/>
    <mergeCell ref="Y106:AG106"/>
    <mergeCell ref="A93:B93"/>
    <mergeCell ref="A94:AJ94"/>
    <mergeCell ref="AD96:AJ96"/>
    <mergeCell ref="A8:AJ8"/>
    <mergeCell ref="A11:A12"/>
    <mergeCell ref="B11:B12"/>
    <mergeCell ref="C11:AF11"/>
    <mergeCell ref="AG11:AG12"/>
    <mergeCell ref="AH11:AH12"/>
    <mergeCell ref="AI11:AI12"/>
    <mergeCell ref="AJ11:AJ12"/>
    <mergeCell ref="A7:AJ7"/>
    <mergeCell ref="A1:AJ1"/>
    <mergeCell ref="A2:AJ2"/>
    <mergeCell ref="A3:AJ3"/>
    <mergeCell ref="A4:AG4"/>
    <mergeCell ref="A5:AG5"/>
  </mergeCells>
  <pageMargins left="0.31496062992125984" right="0.23622047244094491" top="0.43" bottom="0.19685039370078741" header="0.19685039370078741" footer="0.19685039370078741"/>
  <pageSetup paperSize="9" scale="69" fitToHeight="0"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30A0"/>
  </sheetPr>
  <dimension ref="A1:F23"/>
  <sheetViews>
    <sheetView topLeftCell="A5" zoomScaleNormal="100" workbookViewId="0">
      <selection activeCell="C20" sqref="C20"/>
    </sheetView>
  </sheetViews>
  <sheetFormatPr defaultRowHeight="16.5"/>
  <cols>
    <col min="1" max="1" width="7" style="1825" customWidth="1"/>
    <col min="2" max="2" width="29.28515625" style="1825" customWidth="1"/>
    <col min="3" max="3" width="27.85546875" style="1825" customWidth="1"/>
    <col min="4" max="4" width="24.5703125" style="1825" customWidth="1"/>
    <col min="5" max="5" width="24" style="1825" customWidth="1"/>
    <col min="6" max="6" width="28" style="1825" customWidth="1"/>
    <col min="7" max="16384" width="9.140625" style="1811"/>
  </cols>
  <sheetData>
    <row r="1" spans="1:6">
      <c r="A1" s="2445" t="s">
        <v>0</v>
      </c>
      <c r="B1" s="2445"/>
      <c r="C1" s="2445"/>
      <c r="D1" s="2445"/>
      <c r="E1" s="2445"/>
      <c r="F1" s="2445"/>
    </row>
    <row r="2" spans="1:6">
      <c r="A2" s="2445" t="s">
        <v>1</v>
      </c>
      <c r="B2" s="2445"/>
      <c r="C2" s="2445"/>
      <c r="D2" s="2445"/>
      <c r="E2" s="2445"/>
      <c r="F2" s="2445"/>
    </row>
    <row r="3" spans="1:6">
      <c r="A3" s="2446" t="s">
        <v>3377</v>
      </c>
      <c r="B3" s="2445"/>
      <c r="C3" s="2445"/>
      <c r="D3" s="2445"/>
      <c r="E3" s="2445"/>
      <c r="F3" s="2445"/>
    </row>
    <row r="4" spans="1:6">
      <c r="A4" s="1812"/>
      <c r="B4" s="1812"/>
      <c r="C4" s="1812"/>
      <c r="D4" s="1812"/>
      <c r="E4" s="1812"/>
      <c r="F4" s="1813"/>
    </row>
    <row r="5" spans="1:6">
      <c r="A5" s="2447" t="s">
        <v>2709</v>
      </c>
      <c r="B5" s="2447"/>
      <c r="C5" s="2447"/>
      <c r="D5" s="1814"/>
      <c r="E5" s="1814"/>
      <c r="F5" s="1813"/>
    </row>
    <row r="6" spans="1:6">
      <c r="A6" s="2448" t="s">
        <v>3327</v>
      </c>
      <c r="B6" s="2448"/>
      <c r="C6" s="2448"/>
      <c r="D6" s="1813"/>
      <c r="E6" s="1813"/>
      <c r="F6" s="1813"/>
    </row>
    <row r="7" spans="1:6">
      <c r="A7" s="1815"/>
      <c r="B7" s="1815"/>
      <c r="C7" s="1815"/>
      <c r="D7" s="1813"/>
      <c r="E7" s="1813"/>
      <c r="F7" s="1813"/>
    </row>
    <row r="8" spans="1:6" ht="18.75">
      <c r="A8" s="2449" t="s">
        <v>3391</v>
      </c>
      <c r="B8" s="2450"/>
      <c r="C8" s="2450"/>
      <c r="D8" s="2450"/>
      <c r="E8" s="2450"/>
      <c r="F8" s="2450"/>
    </row>
    <row r="9" spans="1:6">
      <c r="A9" s="1816"/>
      <c r="B9" s="1817"/>
      <c r="C9" s="1816"/>
      <c r="D9" s="1816"/>
      <c r="E9" s="1816"/>
      <c r="F9" s="1818"/>
    </row>
    <row r="10" spans="1:6" ht="24.95" customHeight="1">
      <c r="A10" s="2439" t="s">
        <v>6</v>
      </c>
      <c r="B10" s="2439" t="s">
        <v>2931</v>
      </c>
      <c r="C10" s="2451" t="s">
        <v>2932</v>
      </c>
      <c r="D10" s="2451" t="s">
        <v>2712</v>
      </c>
      <c r="E10" s="2452" t="s">
        <v>3390</v>
      </c>
      <c r="F10" s="2439" t="s">
        <v>12</v>
      </c>
    </row>
    <row r="11" spans="1:6" ht="24.95" customHeight="1">
      <c r="A11" s="2439"/>
      <c r="B11" s="2439"/>
      <c r="C11" s="2451"/>
      <c r="D11" s="2439"/>
      <c r="E11" s="2452"/>
      <c r="F11" s="2439"/>
    </row>
    <row r="12" spans="1:6" ht="24.95" customHeight="1">
      <c r="A12" s="1819">
        <v>1</v>
      </c>
      <c r="B12" s="1820" t="s">
        <v>3184</v>
      </c>
      <c r="C12" s="1821" t="s">
        <v>15</v>
      </c>
      <c r="D12" s="1822">
        <f>+VLOOKUP(B12,'Phụ cấp người việt'!$B$12:$F$12,5,0)</f>
        <v>2400000</v>
      </c>
      <c r="E12" s="1822">
        <f>IF(D12&gt;65000000,((D12-65000000)*25%+10685000),IF(D12&gt;25000000,((D12-25000000)*20%+2685000),IF(D12&gt;15000000,((D12-15000000)*15%+1185000),IF(D12&gt;5000000,(D12-5000000)*10%+185000,IF(D12&gt;1300000,(D12-1300000)*5%,0)))))</f>
        <v>55000</v>
      </c>
      <c r="F12" s="1823"/>
    </row>
    <row r="13" spans="1:6" ht="24.95" customHeight="1">
      <c r="A13" s="1819">
        <v>2</v>
      </c>
      <c r="B13" s="1820" t="s">
        <v>3185</v>
      </c>
      <c r="C13" s="1821" t="s">
        <v>15</v>
      </c>
      <c r="D13" s="1822">
        <f>+VLOOKUP(B13,'Phụ cấp người việt'!B13:F13,5,0)</f>
        <v>2400000</v>
      </c>
      <c r="E13" s="1822">
        <f>IF(D13&gt;65000000,((D13-65000000)*25%+10685000),IF(D13&gt;25000000,((D13-25000000)*20%+2685000),IF(D13&gt;15000000,((D13-15000000)*15%+1185000),IF(D13&gt;5000000,(D13-5000000)*10%+185000,IF(D13&gt;1300000,(D13-1300000)*5%,0)))))</f>
        <v>55000</v>
      </c>
      <c r="F13" s="1823"/>
    </row>
    <row r="14" spans="1:6" ht="24.95" customHeight="1">
      <c r="A14" s="2439" t="s">
        <v>349</v>
      </c>
      <c r="B14" s="2439"/>
      <c r="C14" s="1824"/>
      <c r="D14" s="1824">
        <f>SUM(D12:D13)</f>
        <v>4800000</v>
      </c>
      <c r="E14" s="1824">
        <f>SUM(E12:E13)</f>
        <v>110000</v>
      </c>
      <c r="F14" s="1819"/>
    </row>
    <row r="15" spans="1:6" ht="24.95" customHeight="1">
      <c r="A15" s="2440" t="s">
        <v>3500</v>
      </c>
      <c r="B15" s="2441"/>
      <c r="C15" s="2441"/>
      <c r="D15" s="2441"/>
      <c r="E15" s="2441"/>
      <c r="F15" s="2442"/>
    </row>
    <row r="16" spans="1:6" ht="21.75" customHeight="1">
      <c r="D16" s="2443" t="s">
        <v>3501</v>
      </c>
      <c r="E16" s="2443"/>
      <c r="F16" s="2443"/>
    </row>
    <row r="17" spans="1:6" ht="22.5" customHeight="1">
      <c r="A17" s="2444" t="s">
        <v>1921</v>
      </c>
      <c r="B17" s="2444"/>
      <c r="C17" s="2444"/>
      <c r="D17" s="1826" t="s">
        <v>616</v>
      </c>
      <c r="E17" s="1827" t="s">
        <v>2478</v>
      </c>
      <c r="F17" s="1827"/>
    </row>
    <row r="23" spans="1:6">
      <c r="D23" s="2444"/>
      <c r="E23" s="2444"/>
      <c r="F23" s="1828"/>
    </row>
  </sheetData>
  <mergeCells count="17">
    <mergeCell ref="F10:F11"/>
    <mergeCell ref="A1:F1"/>
    <mergeCell ref="A2:F2"/>
    <mergeCell ref="A3:F3"/>
    <mergeCell ref="A5:C5"/>
    <mergeCell ref="A6:C6"/>
    <mergeCell ref="A8:F8"/>
    <mergeCell ref="A10:A11"/>
    <mergeCell ref="B10:B11"/>
    <mergeCell ref="C10:C11"/>
    <mergeCell ref="D10:D11"/>
    <mergeCell ref="E10:E11"/>
    <mergeCell ref="A14:B14"/>
    <mergeCell ref="A15:F15"/>
    <mergeCell ref="D16:F16"/>
    <mergeCell ref="D23:E23"/>
    <mergeCell ref="A17:C17"/>
  </mergeCells>
  <pageMargins left="0.3" right="0.2" top="0.75" bottom="0.75" header="0.3" footer="0.3"/>
  <pageSetup paperSize="9" orientation="landscape"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AE24"/>
  <sheetViews>
    <sheetView zoomScaleNormal="100" workbookViewId="0">
      <selection activeCell="B26" sqref="B26"/>
    </sheetView>
  </sheetViews>
  <sheetFormatPr defaultRowHeight="16.5"/>
  <cols>
    <col min="1" max="1" width="5.5703125" style="1790" customWidth="1"/>
    <col min="2" max="2" width="23.85546875" style="1790" customWidth="1"/>
    <col min="3" max="3" width="13.42578125" style="1790" customWidth="1"/>
    <col min="4" max="4" width="12.85546875" style="1790" customWidth="1"/>
    <col min="5" max="5" width="13.42578125" style="1790" customWidth="1"/>
    <col min="6" max="6" width="19.7109375" style="1790" customWidth="1"/>
    <col min="7" max="7" width="22.7109375" style="1790" customWidth="1"/>
    <col min="8" max="8" width="15.42578125" style="1790" customWidth="1"/>
    <col min="9" max="9" width="16.7109375" style="1790" customWidth="1"/>
    <col min="10" max="10" width="22.28515625" style="1790" customWidth="1"/>
    <col min="11" max="16384" width="9.140625" style="1778"/>
  </cols>
  <sheetData>
    <row r="1" spans="1:10">
      <c r="A1" s="2445" t="s">
        <v>0</v>
      </c>
      <c r="B1" s="2445"/>
      <c r="C1" s="2445"/>
      <c r="D1" s="2445"/>
      <c r="E1" s="2445"/>
      <c r="F1" s="2445"/>
      <c r="G1" s="2445"/>
      <c r="H1" s="2445"/>
      <c r="I1" s="2445"/>
      <c r="J1" s="2445"/>
    </row>
    <row r="2" spans="1:10">
      <c r="A2" s="2445" t="s">
        <v>1</v>
      </c>
      <c r="B2" s="2445"/>
      <c r="C2" s="2445"/>
      <c r="D2" s="2445"/>
      <c r="E2" s="2445"/>
      <c r="F2" s="2445"/>
      <c r="G2" s="2445"/>
      <c r="H2" s="2445"/>
      <c r="I2" s="2445"/>
      <c r="J2" s="2445"/>
    </row>
    <row r="3" spans="1:10">
      <c r="A3" s="2446" t="s">
        <v>3377</v>
      </c>
      <c r="B3" s="2445"/>
      <c r="C3" s="2445"/>
      <c r="D3" s="2445"/>
      <c r="E3" s="2445"/>
      <c r="F3" s="2445"/>
      <c r="G3" s="2445"/>
      <c r="H3" s="2445"/>
      <c r="I3" s="2445"/>
      <c r="J3" s="2445"/>
    </row>
    <row r="4" spans="1:10">
      <c r="A4" s="1779"/>
      <c r="B4" s="1779"/>
      <c r="C4" s="1779"/>
      <c r="D4" s="1779"/>
      <c r="E4" s="1779"/>
      <c r="F4" s="1779"/>
      <c r="G4" s="1779"/>
      <c r="H4" s="1779"/>
      <c r="I4" s="1780"/>
      <c r="J4" s="1780"/>
    </row>
    <row r="5" spans="1:10">
      <c r="A5" s="2465" t="s">
        <v>2709</v>
      </c>
      <c r="B5" s="2465"/>
      <c r="C5" s="2465"/>
      <c r="D5" s="2465"/>
      <c r="E5" s="2465"/>
      <c r="F5" s="1781"/>
      <c r="G5" s="1781"/>
      <c r="H5" s="1781"/>
      <c r="I5" s="1780"/>
      <c r="J5" s="1780"/>
    </row>
    <row r="6" spans="1:10">
      <c r="A6" s="2466" t="s">
        <v>3327</v>
      </c>
      <c r="B6" s="2466"/>
      <c r="C6" s="2466"/>
      <c r="D6" s="2466"/>
      <c r="E6" s="2466"/>
      <c r="F6" s="1782"/>
      <c r="G6" s="1782"/>
      <c r="H6" s="1780"/>
      <c r="I6" s="1780"/>
      <c r="J6" s="1780"/>
    </row>
    <row r="7" spans="1:10">
      <c r="A7" s="1783"/>
      <c r="B7" s="1783"/>
      <c r="C7" s="1783"/>
      <c r="D7" s="1783"/>
      <c r="E7" s="1783"/>
      <c r="F7" s="1782"/>
      <c r="G7" s="1782"/>
      <c r="H7" s="1780"/>
      <c r="I7" s="1780"/>
      <c r="J7" s="1780"/>
    </row>
    <row r="8" spans="1:10" ht="18.75">
      <c r="A8" s="2463" t="s">
        <v>3382</v>
      </c>
      <c r="B8" s="2464"/>
      <c r="C8" s="2464"/>
      <c r="D8" s="2464"/>
      <c r="E8" s="2464"/>
      <c r="F8" s="2464"/>
      <c r="G8" s="2464"/>
      <c r="H8" s="2464"/>
      <c r="I8" s="2464"/>
      <c r="J8" s="2464"/>
    </row>
    <row r="9" spans="1:10">
      <c r="A9" s="1784"/>
      <c r="B9" s="1785"/>
      <c r="C9" s="1785"/>
      <c r="D9" s="1784"/>
      <c r="E9" s="1784"/>
      <c r="F9" s="1784"/>
      <c r="G9" s="1784"/>
      <c r="H9" s="1784"/>
      <c r="I9" s="2454" t="s">
        <v>3378</v>
      </c>
      <c r="J9" s="2454"/>
    </row>
    <row r="10" spans="1:10" ht="15">
      <c r="A10" s="2455" t="s">
        <v>6</v>
      </c>
      <c r="B10" s="2455" t="s">
        <v>3379</v>
      </c>
      <c r="C10" s="2455" t="s">
        <v>3380</v>
      </c>
      <c r="D10" s="2456" t="s">
        <v>529</v>
      </c>
      <c r="E10" s="2458" t="s">
        <v>2941</v>
      </c>
      <c r="F10" s="2458" t="s">
        <v>2727</v>
      </c>
      <c r="G10" s="2456" t="s">
        <v>2787</v>
      </c>
      <c r="H10" s="2452" t="s">
        <v>3381</v>
      </c>
      <c r="I10" s="2455" t="s">
        <v>2715</v>
      </c>
      <c r="J10" s="2455" t="s">
        <v>12</v>
      </c>
    </row>
    <row r="11" spans="1:10" ht="15">
      <c r="A11" s="2455"/>
      <c r="B11" s="2455"/>
      <c r="C11" s="2455"/>
      <c r="D11" s="2457"/>
      <c r="E11" s="2458"/>
      <c r="F11" s="2458"/>
      <c r="G11" s="2457"/>
      <c r="H11" s="2452"/>
      <c r="I11" s="2455"/>
      <c r="J11" s="2455"/>
    </row>
    <row r="12" spans="1:10" ht="21.95" customHeight="1">
      <c r="A12" s="1789">
        <v>1</v>
      </c>
      <c r="B12" s="2214" t="str">
        <f>+'[4]CHẤM CÔNG '!C26</f>
        <v>Võ Thị Nguyên</v>
      </c>
      <c r="C12" s="1789" t="s">
        <v>15</v>
      </c>
      <c r="D12" s="2215">
        <f>+VLOOKUP(B12,'Biểu 1 TH CÔNG'!$C$25:$AO$26,39,0)</f>
        <v>30</v>
      </c>
      <c r="E12" s="2216">
        <v>80000</v>
      </c>
      <c r="F12" s="2216">
        <f>D12*E12</f>
        <v>2400000</v>
      </c>
      <c r="G12" s="2216">
        <f>IF(F12&gt;65000000,((F12-65000000)*25%+10685000),IF(F12&gt;25000000,((F12-25000000)*20%+2685000),IF(F12&gt;15000000,((F12-15000000)*15%+1185000),IF(F12&gt;5000000,(F12-5000000)*10%+185000,IF(F12&gt;1300000,(F12-1300000)*5%,0)))))</f>
        <v>55000</v>
      </c>
      <c r="H12" s="2216">
        <f>+F12-G12</f>
        <v>2345000</v>
      </c>
      <c r="I12" s="2166"/>
      <c r="J12" s="2166"/>
    </row>
    <row r="13" spans="1:10" ht="21.95" customHeight="1">
      <c r="A13" s="1789">
        <v>2</v>
      </c>
      <c r="B13" s="2214" t="str">
        <f>+'[4]CHẤM CÔNG '!C27</f>
        <v>Nguyễn Thị Thanh Trà</v>
      </c>
      <c r="C13" s="1789" t="s">
        <v>15</v>
      </c>
      <c r="D13" s="2215">
        <f>+VLOOKUP(B13,'Biểu 1 TH CÔNG'!$C$25:$AO$26,39,0)</f>
        <v>30</v>
      </c>
      <c r="E13" s="2216">
        <v>80000</v>
      </c>
      <c r="F13" s="2216">
        <f t="shared" ref="F13" si="0">D13*E13</f>
        <v>2400000</v>
      </c>
      <c r="G13" s="2216">
        <f t="shared" ref="G13" si="1">IF(F13&gt;65000000,((F13-65000000)*25%+10685000),IF(F13&gt;25000000,((F13-25000000)*20%+2685000),IF(F13&gt;15000000,((F13-15000000)*15%+1185000),IF(F13&gt;5000000,(F13-5000000)*10%+185000,IF(F13&gt;1300000,(F13-1300000)*5%,0)))))</f>
        <v>55000</v>
      </c>
      <c r="H13" s="2216">
        <f t="shared" ref="H13" si="2">+F13-G13</f>
        <v>2345000</v>
      </c>
      <c r="I13" s="2166"/>
      <c r="J13" s="2166"/>
    </row>
    <row r="14" spans="1:10" ht="21.95" customHeight="1">
      <c r="A14" s="2455" t="s">
        <v>349</v>
      </c>
      <c r="B14" s="2455"/>
      <c r="C14" s="1786"/>
      <c r="D14" s="1787">
        <f>SUM(D12:D13)</f>
        <v>60</v>
      </c>
      <c r="E14" s="1788"/>
      <c r="F14" s="1787">
        <f>SUM(F12:F13)</f>
        <v>4800000</v>
      </c>
      <c r="G14" s="1787">
        <f>SUM(G12:G13)</f>
        <v>110000</v>
      </c>
      <c r="H14" s="1787">
        <f>SUM(H12:H13)</f>
        <v>4690000</v>
      </c>
      <c r="I14" s="1787"/>
      <c r="J14" s="1789"/>
    </row>
    <row r="15" spans="1:10" ht="21.95" customHeight="1">
      <c r="A15" s="2460" t="s">
        <v>3504</v>
      </c>
      <c r="B15" s="2461"/>
      <c r="C15" s="2461"/>
      <c r="D15" s="2461"/>
      <c r="E15" s="2461"/>
      <c r="F15" s="2461"/>
      <c r="G15" s="2461"/>
      <c r="H15" s="2461"/>
      <c r="I15" s="2461"/>
      <c r="J15" s="2461"/>
    </row>
    <row r="16" spans="1:10">
      <c r="G16" s="2462" t="s">
        <v>3473</v>
      </c>
      <c r="H16" s="2462"/>
      <c r="I16" s="2462"/>
      <c r="J16" s="2462"/>
    </row>
    <row r="17" spans="1:31" ht="16.5" customHeight="1">
      <c r="A17" s="2459" t="s">
        <v>614</v>
      </c>
      <c r="B17" s="2459"/>
      <c r="C17" s="2459" t="s">
        <v>1921</v>
      </c>
      <c r="D17" s="2459"/>
      <c r="E17" s="2459" t="s">
        <v>616</v>
      </c>
      <c r="F17" s="2459"/>
      <c r="G17" s="1671" t="s">
        <v>2737</v>
      </c>
      <c r="H17" s="1671"/>
      <c r="I17" s="239" t="s">
        <v>3325</v>
      </c>
      <c r="J17" s="1671"/>
      <c r="K17" s="1671"/>
      <c r="L17" s="1671"/>
      <c r="M17" s="1671" t="s">
        <v>2737</v>
      </c>
      <c r="N17" s="1671"/>
      <c r="O17" s="1671"/>
      <c r="P17" s="239" t="s">
        <v>3325</v>
      </c>
      <c r="Q17" s="239"/>
      <c r="R17" s="239"/>
      <c r="S17" s="1671"/>
      <c r="T17" s="1791"/>
      <c r="U17" s="1791"/>
      <c r="V17" s="1791"/>
      <c r="W17" s="1791"/>
      <c r="X17" s="1791"/>
      <c r="Z17" s="1791"/>
      <c r="AA17" s="1791"/>
      <c r="AB17" s="1791"/>
      <c r="AC17" s="1791"/>
      <c r="AE17" s="1791"/>
    </row>
    <row r="23" spans="1:31">
      <c r="H23" s="2453"/>
      <c r="I23" s="2453"/>
      <c r="J23" s="2453"/>
    </row>
    <row r="24" spans="1:31">
      <c r="D24" s="1790" t="s">
        <v>1920</v>
      </c>
    </row>
  </sheetData>
  <mergeCells count="24">
    <mergeCell ref="A15:J15"/>
    <mergeCell ref="G16:J16"/>
    <mergeCell ref="A8:J8"/>
    <mergeCell ref="A1:J1"/>
    <mergeCell ref="A2:J2"/>
    <mergeCell ref="A3:J3"/>
    <mergeCell ref="A5:E5"/>
    <mergeCell ref="A6:E6"/>
    <mergeCell ref="H23:J23"/>
    <mergeCell ref="I9:J9"/>
    <mergeCell ref="A10:A11"/>
    <mergeCell ref="B10:B11"/>
    <mergeCell ref="C10:C11"/>
    <mergeCell ref="D10:D11"/>
    <mergeCell ref="E10:E11"/>
    <mergeCell ref="F10:F11"/>
    <mergeCell ref="G10:G11"/>
    <mergeCell ref="H10:H11"/>
    <mergeCell ref="I10:I11"/>
    <mergeCell ref="J10:J11"/>
    <mergeCell ref="A17:B17"/>
    <mergeCell ref="C17:D17"/>
    <mergeCell ref="E17:F17"/>
    <mergeCell ref="A14:B14"/>
  </mergeCells>
  <pageMargins left="0.31" right="0.21" top="0.75" bottom="0.75" header="0.3" footer="0.3"/>
  <pageSetup paperSize="9" scale="85" orientation="landscape"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30A0"/>
    <pageSetUpPr fitToPage="1"/>
  </sheetPr>
  <dimension ref="A1:AW31"/>
  <sheetViews>
    <sheetView topLeftCell="B1" zoomScale="70" zoomScaleNormal="70" workbookViewId="0">
      <selection activeCell="C36" sqref="C36"/>
    </sheetView>
  </sheetViews>
  <sheetFormatPr defaultColWidth="9.140625" defaultRowHeight="16.5"/>
  <cols>
    <col min="1" max="1" width="3.140625" style="1794" hidden="1" customWidth="1"/>
    <col min="2" max="2" width="7.42578125" style="1794" customWidth="1"/>
    <col min="3" max="3" width="23" style="1794" customWidth="1"/>
    <col min="4" max="4" width="23.28515625" style="1794" customWidth="1"/>
    <col min="5" max="33" width="5" style="1794" customWidth="1"/>
    <col min="34" max="34" width="4.7109375" style="1794" customWidth="1"/>
    <col min="35" max="35" width="4.7109375" style="1794" hidden="1" customWidth="1"/>
    <col min="36" max="36" width="7.42578125" style="1794" customWidth="1"/>
    <col min="37" max="37" width="5.85546875" style="1794" hidden="1" customWidth="1"/>
    <col min="38" max="38" width="11" style="1794" customWidth="1"/>
    <col min="39" max="47" width="9.140625" style="1794" hidden="1" customWidth="1"/>
    <col min="48" max="48" width="1.5703125" style="1794" customWidth="1"/>
    <col min="49" max="49" width="10.140625" style="1794" customWidth="1"/>
    <col min="50" max="16384" width="9.140625" style="1794"/>
  </cols>
  <sheetData>
    <row r="1" spans="2:49" s="1792" customFormat="1" ht="15.6" customHeight="1">
      <c r="B1" s="2467" t="s">
        <v>617</v>
      </c>
      <c r="C1" s="2467"/>
      <c r="D1" s="2467"/>
      <c r="E1" s="2467"/>
      <c r="F1" s="2467"/>
      <c r="G1" s="2467"/>
      <c r="H1" s="2467"/>
      <c r="I1" s="2467"/>
      <c r="J1" s="2467"/>
      <c r="K1" s="2467"/>
      <c r="L1" s="2467"/>
      <c r="M1" s="2467"/>
      <c r="N1" s="2467"/>
      <c r="O1" s="2467"/>
      <c r="P1" s="2467"/>
      <c r="Q1" s="2467"/>
      <c r="R1" s="2467"/>
      <c r="S1" s="2467"/>
      <c r="T1" s="2467"/>
      <c r="U1" s="2467"/>
      <c r="V1" s="2467"/>
      <c r="W1" s="2467"/>
      <c r="X1" s="2467"/>
      <c r="Y1" s="2467"/>
      <c r="Z1" s="2467"/>
      <c r="AA1" s="2467"/>
      <c r="AB1" s="2467"/>
      <c r="AC1" s="2467"/>
      <c r="AD1" s="2467"/>
      <c r="AE1" s="2467"/>
      <c r="AF1" s="2467"/>
      <c r="AG1" s="2467"/>
      <c r="AH1" s="2467"/>
      <c r="AI1" s="2467"/>
      <c r="AJ1" s="2467"/>
      <c r="AK1" s="2467"/>
      <c r="AL1" s="2467"/>
      <c r="AO1" s="1793">
        <v>1</v>
      </c>
      <c r="AP1" s="1793">
        <v>2</v>
      </c>
      <c r="AQ1" s="1793">
        <v>3</v>
      </c>
      <c r="AR1" s="1793">
        <v>4</v>
      </c>
      <c r="AS1" s="1793">
        <v>5</v>
      </c>
      <c r="AT1" s="1793">
        <v>6</v>
      </c>
      <c r="AU1" s="1793">
        <v>7</v>
      </c>
    </row>
    <row r="2" spans="2:49" s="1792" customFormat="1">
      <c r="B2" s="2467" t="s">
        <v>618</v>
      </c>
      <c r="C2" s="2467"/>
      <c r="D2" s="2467"/>
      <c r="E2" s="2467"/>
      <c r="F2" s="2467"/>
      <c r="G2" s="2467"/>
      <c r="H2" s="2467"/>
      <c r="I2" s="2467"/>
      <c r="J2" s="2467"/>
      <c r="K2" s="2467"/>
      <c r="L2" s="2467"/>
      <c r="M2" s="2467"/>
      <c r="N2" s="2467"/>
      <c r="O2" s="2467"/>
      <c r="P2" s="2467"/>
      <c r="Q2" s="2467"/>
      <c r="R2" s="2467"/>
      <c r="S2" s="2467"/>
      <c r="T2" s="2467"/>
      <c r="U2" s="2467"/>
      <c r="V2" s="2467"/>
      <c r="W2" s="2467"/>
      <c r="X2" s="2467"/>
      <c r="Y2" s="2467"/>
      <c r="Z2" s="2467"/>
      <c r="AA2" s="2467"/>
      <c r="AB2" s="2467"/>
      <c r="AC2" s="2467"/>
      <c r="AD2" s="2467"/>
      <c r="AE2" s="2467"/>
      <c r="AF2" s="2467"/>
      <c r="AG2" s="2467"/>
      <c r="AH2" s="2467"/>
      <c r="AI2" s="2467"/>
      <c r="AJ2" s="2467"/>
      <c r="AK2" s="2467"/>
      <c r="AL2" s="2467"/>
      <c r="AO2" s="1793" t="s">
        <v>554</v>
      </c>
      <c r="AP2" s="1793" t="s">
        <v>2820</v>
      </c>
      <c r="AQ2" s="1793" t="s">
        <v>2821</v>
      </c>
      <c r="AR2" s="1793" t="s">
        <v>2822</v>
      </c>
      <c r="AS2" s="1793" t="s">
        <v>212</v>
      </c>
      <c r="AT2" s="1793" t="s">
        <v>2823</v>
      </c>
      <c r="AU2" s="1793" t="s">
        <v>2824</v>
      </c>
    </row>
    <row r="3" spans="2:49" s="1792" customFormat="1">
      <c r="B3" s="2480" t="s">
        <v>619</v>
      </c>
      <c r="C3" s="2467"/>
      <c r="D3" s="2467"/>
      <c r="E3" s="2467"/>
      <c r="F3" s="2467"/>
      <c r="G3" s="2467"/>
      <c r="H3" s="2467"/>
      <c r="I3" s="2467"/>
      <c r="J3" s="2467"/>
      <c r="K3" s="2467"/>
      <c r="L3" s="2467"/>
      <c r="M3" s="2467"/>
      <c r="N3" s="2467"/>
      <c r="O3" s="2467"/>
      <c r="P3" s="2467"/>
      <c r="Q3" s="2467"/>
      <c r="R3" s="2467"/>
      <c r="S3" s="2467"/>
      <c r="T3" s="2467"/>
      <c r="U3" s="2467"/>
      <c r="V3" s="2467"/>
      <c r="W3" s="2467"/>
      <c r="X3" s="2467"/>
      <c r="Y3" s="2467"/>
      <c r="Z3" s="2467"/>
      <c r="AA3" s="2467"/>
      <c r="AB3" s="2467"/>
      <c r="AC3" s="2467"/>
      <c r="AD3" s="2467"/>
      <c r="AE3" s="2467"/>
      <c r="AF3" s="2467"/>
      <c r="AG3" s="2467"/>
      <c r="AH3" s="2467"/>
      <c r="AI3" s="2467"/>
      <c r="AJ3" s="2467"/>
      <c r="AK3" s="2467"/>
      <c r="AL3" s="2467"/>
      <c r="AO3" s="1793"/>
      <c r="AP3" s="1793"/>
      <c r="AQ3" s="1793"/>
      <c r="AR3" s="1793"/>
      <c r="AS3" s="1793"/>
      <c r="AT3" s="1793"/>
      <c r="AU3" s="1793"/>
    </row>
    <row r="4" spans="2:49" s="1792" customFormat="1">
      <c r="B4" s="2475" t="s">
        <v>2709</v>
      </c>
      <c r="C4" s="2475"/>
      <c r="D4" s="2475"/>
      <c r="E4" s="2475"/>
      <c r="F4" s="2475"/>
      <c r="G4" s="2475"/>
      <c r="H4" s="2475"/>
      <c r="I4" s="2475"/>
      <c r="J4" s="2475"/>
      <c r="K4" s="2475"/>
      <c r="L4" s="1793"/>
      <c r="M4" s="1793"/>
      <c r="N4" s="1793"/>
      <c r="O4" s="1793"/>
      <c r="P4" s="1793"/>
      <c r="Q4" s="1793"/>
      <c r="R4" s="1793"/>
      <c r="S4" s="1793"/>
      <c r="T4" s="1793"/>
      <c r="U4" s="1793"/>
      <c r="V4" s="1793"/>
      <c r="W4" s="1793"/>
      <c r="X4" s="1793"/>
      <c r="Y4" s="1793"/>
      <c r="Z4" s="1793"/>
      <c r="AA4" s="1793"/>
      <c r="AB4" s="1793"/>
      <c r="AC4" s="1793"/>
      <c r="AD4" s="1793"/>
      <c r="AE4" s="1793"/>
      <c r="AF4" s="1793"/>
      <c r="AG4" s="1793"/>
      <c r="AH4" s="1793"/>
      <c r="AI4" s="1793"/>
      <c r="AJ4" s="1793"/>
      <c r="AK4" s="1793"/>
      <c r="AL4" s="1793"/>
      <c r="AO4" s="1793"/>
      <c r="AP4" s="1793"/>
      <c r="AQ4" s="1793"/>
      <c r="AR4" s="1793"/>
      <c r="AS4" s="1793"/>
      <c r="AT4" s="1793"/>
      <c r="AU4" s="1793"/>
    </row>
    <row r="5" spans="2:49" s="1792" customFormat="1">
      <c r="B5" s="2467" t="s">
        <v>3172</v>
      </c>
      <c r="C5" s="2467"/>
      <c r="D5" s="2467"/>
      <c r="E5" s="2467"/>
      <c r="F5" s="2467"/>
      <c r="G5" s="2467"/>
      <c r="H5" s="2467"/>
      <c r="I5" s="2467"/>
      <c r="J5" s="2467"/>
      <c r="K5" s="2467"/>
      <c r="L5" s="1793"/>
      <c r="M5" s="1793"/>
      <c r="N5" s="1793"/>
      <c r="O5" s="1793"/>
      <c r="P5" s="1793"/>
      <c r="Q5" s="1793"/>
      <c r="R5" s="1793"/>
      <c r="S5" s="1793"/>
      <c r="T5" s="1793"/>
      <c r="U5" s="1793"/>
      <c r="V5" s="1793"/>
      <c r="W5" s="1793"/>
      <c r="X5" s="1793"/>
      <c r="Y5" s="1793"/>
      <c r="Z5" s="1793"/>
      <c r="AA5" s="1793"/>
      <c r="AB5" s="1793"/>
      <c r="AC5" s="1793"/>
      <c r="AD5" s="1793"/>
      <c r="AE5" s="1793"/>
      <c r="AF5" s="1793"/>
      <c r="AG5" s="1793"/>
      <c r="AH5" s="1793"/>
      <c r="AI5" s="1793"/>
      <c r="AJ5" s="1793"/>
      <c r="AK5" s="1793"/>
      <c r="AL5" s="1793"/>
      <c r="AO5" s="1793"/>
      <c r="AP5" s="1793"/>
      <c r="AQ5" s="1793"/>
      <c r="AR5" s="1793"/>
      <c r="AS5" s="1793"/>
      <c r="AT5" s="1793"/>
      <c r="AU5" s="1793"/>
    </row>
    <row r="6" spans="2:49" ht="20.25">
      <c r="E6" s="2479" t="s">
        <v>2825</v>
      </c>
      <c r="F6" s="2479"/>
      <c r="G6" s="2479"/>
      <c r="H6" s="2479"/>
      <c r="I6" s="2479"/>
      <c r="J6" s="2479"/>
      <c r="K6" s="2479"/>
      <c r="L6" s="2479"/>
      <c r="M6" s="2479"/>
      <c r="N6" s="2479"/>
      <c r="O6" s="2479"/>
      <c r="P6" s="2479"/>
      <c r="Q6" s="2479"/>
      <c r="R6" s="2479"/>
      <c r="S6" s="2479"/>
      <c r="T6" s="2479"/>
      <c r="U6" s="2479"/>
      <c r="V6" s="2479"/>
      <c r="W6" s="2479"/>
      <c r="X6" s="2479"/>
      <c r="Y6" s="2479"/>
      <c r="Z6" s="2479"/>
      <c r="AA6" s="2479"/>
      <c r="AB6" s="2479"/>
      <c r="AC6" s="2479"/>
      <c r="AD6" s="2479"/>
      <c r="AE6" s="2479"/>
      <c r="AF6" s="2479"/>
      <c r="AG6" s="2479"/>
      <c r="AH6" s="2479"/>
      <c r="AI6" s="2479"/>
    </row>
    <row r="7" spans="2:49" ht="16.5" customHeight="1">
      <c r="B7" s="2467" t="s">
        <v>2826</v>
      </c>
      <c r="C7" s="2467"/>
      <c r="D7" s="1793">
        <v>2025</v>
      </c>
      <c r="E7" s="2468" t="str">
        <f>"Tháng "&amp;IF(LEN($D$8)=1,"0"&amp;$D$8,$D$8)&amp;" năm "&amp;D7</f>
        <v>Tháng 06 năm 2025</v>
      </c>
      <c r="F7" s="2468"/>
      <c r="G7" s="2468"/>
      <c r="H7" s="2468"/>
      <c r="I7" s="2468"/>
      <c r="J7" s="2468"/>
      <c r="K7" s="2468"/>
      <c r="L7" s="2468"/>
      <c r="M7" s="2468"/>
      <c r="N7" s="2468"/>
      <c r="O7" s="2468"/>
      <c r="P7" s="2468"/>
      <c r="Q7" s="2468"/>
      <c r="R7" s="2468"/>
      <c r="S7" s="2468"/>
      <c r="T7" s="2468"/>
      <c r="U7" s="2468"/>
      <c r="V7" s="2468"/>
      <c r="W7" s="2468"/>
      <c r="X7" s="2468"/>
      <c r="Y7" s="2468"/>
      <c r="Z7" s="2468"/>
      <c r="AA7" s="2468"/>
      <c r="AB7" s="2468"/>
      <c r="AC7" s="2468"/>
      <c r="AD7" s="2468"/>
      <c r="AE7" s="2468"/>
      <c r="AF7" s="2468"/>
      <c r="AG7" s="2468"/>
      <c r="AH7" s="2468"/>
      <c r="AI7" s="2468"/>
    </row>
    <row r="8" spans="2:49">
      <c r="B8" s="2476" t="s">
        <v>2827</v>
      </c>
      <c r="C8" s="2476"/>
      <c r="D8" s="1793">
        <v>6</v>
      </c>
    </row>
    <row r="9" spans="2:49" s="1796" customFormat="1" ht="22.5" customHeight="1">
      <c r="B9" s="2477" t="s">
        <v>6</v>
      </c>
      <c r="C9" s="2471" t="s">
        <v>356</v>
      </c>
      <c r="D9" s="2471" t="s">
        <v>9</v>
      </c>
      <c r="E9" s="1795">
        <v>1</v>
      </c>
      <c r="F9" s="1795">
        <v>2</v>
      </c>
      <c r="G9" s="1795">
        <v>3</v>
      </c>
      <c r="H9" s="1795">
        <v>4</v>
      </c>
      <c r="I9" s="1795">
        <v>5</v>
      </c>
      <c r="J9" s="1795">
        <v>6</v>
      </c>
      <c r="K9" s="1795">
        <v>7</v>
      </c>
      <c r="L9" s="1795">
        <v>8</v>
      </c>
      <c r="M9" s="1795">
        <v>9</v>
      </c>
      <c r="N9" s="1795">
        <v>10</v>
      </c>
      <c r="O9" s="1795">
        <v>11</v>
      </c>
      <c r="P9" s="1795">
        <v>12</v>
      </c>
      <c r="Q9" s="1795">
        <v>13</v>
      </c>
      <c r="R9" s="1795">
        <v>14</v>
      </c>
      <c r="S9" s="1795">
        <v>15</v>
      </c>
      <c r="T9" s="1795">
        <v>16</v>
      </c>
      <c r="U9" s="1795">
        <v>17</v>
      </c>
      <c r="V9" s="1795">
        <v>18</v>
      </c>
      <c r="W9" s="1795">
        <v>19</v>
      </c>
      <c r="X9" s="1795">
        <v>20</v>
      </c>
      <c r="Y9" s="1795">
        <v>21</v>
      </c>
      <c r="Z9" s="1795">
        <v>22</v>
      </c>
      <c r="AA9" s="1795">
        <v>23</v>
      </c>
      <c r="AB9" s="1795">
        <v>24</v>
      </c>
      <c r="AC9" s="1795">
        <v>25</v>
      </c>
      <c r="AD9" s="1795">
        <v>26</v>
      </c>
      <c r="AE9" s="1795">
        <v>27</v>
      </c>
      <c r="AF9" s="1795">
        <v>28</v>
      </c>
      <c r="AG9" s="1795">
        <f>IF(DAY(DATE(D7,D8+1,1)-1)&lt;29,"",29)</f>
        <v>29</v>
      </c>
      <c r="AH9" s="1795">
        <v>30</v>
      </c>
      <c r="AI9" s="1795">
        <v>31</v>
      </c>
      <c r="AJ9" s="2471" t="s">
        <v>529</v>
      </c>
      <c r="AK9" s="2471" t="s">
        <v>2828</v>
      </c>
      <c r="AL9" s="2471" t="s">
        <v>12</v>
      </c>
    </row>
    <row r="10" spans="2:49" s="1796" customFormat="1" ht="42" customHeight="1">
      <c r="B10" s="2478"/>
      <c r="C10" s="2472"/>
      <c r="D10" s="2472"/>
      <c r="E10" s="1797" t="str">
        <f t="shared" ref="E10:AI10" si="0">IF(E9="","",HLOOKUP(WEEKDAY(DATE($D$7,$D$8,E9)),$AO$1:$AU$2,2,0))</f>
        <v>CN</v>
      </c>
      <c r="F10" s="1797" t="str">
        <f t="shared" si="0"/>
        <v>Hai</v>
      </c>
      <c r="G10" s="1797" t="str">
        <f t="shared" si="0"/>
        <v>Ba</v>
      </c>
      <c r="H10" s="1797" t="str">
        <f t="shared" si="0"/>
        <v>Tư</v>
      </c>
      <c r="I10" s="1797" t="str">
        <f t="shared" si="0"/>
        <v>Năm</v>
      </c>
      <c r="J10" s="1797" t="str">
        <f t="shared" si="0"/>
        <v>Sáu</v>
      </c>
      <c r="K10" s="1797" t="str">
        <f t="shared" si="0"/>
        <v>Bảy</v>
      </c>
      <c r="L10" s="1797" t="str">
        <f t="shared" si="0"/>
        <v>CN</v>
      </c>
      <c r="M10" s="1797" t="str">
        <f t="shared" si="0"/>
        <v>Hai</v>
      </c>
      <c r="N10" s="1797" t="str">
        <f t="shared" si="0"/>
        <v>Ba</v>
      </c>
      <c r="O10" s="1797" t="str">
        <f t="shared" si="0"/>
        <v>Tư</v>
      </c>
      <c r="P10" s="1797" t="str">
        <f t="shared" si="0"/>
        <v>Năm</v>
      </c>
      <c r="Q10" s="1797" t="str">
        <f t="shared" si="0"/>
        <v>Sáu</v>
      </c>
      <c r="R10" s="1797" t="str">
        <f t="shared" si="0"/>
        <v>Bảy</v>
      </c>
      <c r="S10" s="1797" t="str">
        <f t="shared" si="0"/>
        <v>CN</v>
      </c>
      <c r="T10" s="1797" t="str">
        <f t="shared" si="0"/>
        <v>Hai</v>
      </c>
      <c r="U10" s="1797" t="str">
        <f t="shared" si="0"/>
        <v>Ba</v>
      </c>
      <c r="V10" s="1797" t="str">
        <f t="shared" si="0"/>
        <v>Tư</v>
      </c>
      <c r="W10" s="1797" t="str">
        <f t="shared" si="0"/>
        <v>Năm</v>
      </c>
      <c r="X10" s="1797" t="str">
        <f t="shared" si="0"/>
        <v>Sáu</v>
      </c>
      <c r="Y10" s="1797" t="str">
        <f t="shared" si="0"/>
        <v>Bảy</v>
      </c>
      <c r="Z10" s="1797" t="str">
        <f t="shared" si="0"/>
        <v>CN</v>
      </c>
      <c r="AA10" s="1797" t="str">
        <f t="shared" si="0"/>
        <v>Hai</v>
      </c>
      <c r="AB10" s="1797" t="str">
        <f t="shared" si="0"/>
        <v>Ba</v>
      </c>
      <c r="AC10" s="1797" t="str">
        <f t="shared" si="0"/>
        <v>Tư</v>
      </c>
      <c r="AD10" s="1797" t="str">
        <f t="shared" si="0"/>
        <v>Năm</v>
      </c>
      <c r="AE10" s="1797" t="str">
        <f t="shared" si="0"/>
        <v>Sáu</v>
      </c>
      <c r="AF10" s="1797" t="str">
        <f t="shared" si="0"/>
        <v>Bảy</v>
      </c>
      <c r="AG10" s="1795" t="str">
        <f t="shared" si="0"/>
        <v>CN</v>
      </c>
      <c r="AH10" s="1795" t="str">
        <f t="shared" si="0"/>
        <v>Hai</v>
      </c>
      <c r="AI10" s="1795" t="str">
        <f t="shared" si="0"/>
        <v>Ba</v>
      </c>
      <c r="AJ10" s="2472"/>
      <c r="AK10" s="2472"/>
      <c r="AL10" s="2472"/>
    </row>
    <row r="11" spans="2:49" ht="21.75" customHeight="1">
      <c r="B11" s="1795">
        <v>1</v>
      </c>
      <c r="C11" s="1798" t="s">
        <v>3324</v>
      </c>
      <c r="D11" s="1798" t="s">
        <v>2855</v>
      </c>
      <c r="E11" s="1795" t="str">
        <f>IF(WEEKDAY(DATE($D$7,$D$8,E$9),2)&gt;'[5]Khai báo'!$B$4,"","X")</f>
        <v/>
      </c>
      <c r="F11" s="1795" t="str">
        <f>IF(WEEKDAY(DATE($D$7,$D$8,F$9),2)&gt;'[5]Khai báo'!$B$4,"","X")</f>
        <v>X</v>
      </c>
      <c r="G11" s="1795" t="str">
        <f>IF(WEEKDAY(DATE($D$7,$D$8,G$9),2)&gt;'[5]Khai báo'!$B$4,"","X")</f>
        <v>X</v>
      </c>
      <c r="H11" s="1795" t="str">
        <f>IF(WEEKDAY(DATE($D$7,$D$8,H$9),2)&gt;'[5]Khai báo'!$B$4,"","X")</f>
        <v>X</v>
      </c>
      <c r="I11" s="1795" t="str">
        <f>IF(WEEKDAY(DATE($D$7,$D$8,I$9),2)&gt;'[5]Khai báo'!$B$4,"","X")</f>
        <v>X</v>
      </c>
      <c r="J11" s="1795" t="str">
        <f>IF(WEEKDAY(DATE($D$7,$D$8,J$9),2)&gt;'[5]Khai báo'!$B$4,"","X")</f>
        <v>X</v>
      </c>
      <c r="K11" s="1795" t="s">
        <v>536</v>
      </c>
      <c r="L11" s="1795" t="str">
        <f>IF(WEEKDAY(DATE($D$7,$D$8,L$9),2)&gt;'[5]Khai báo'!$B$4,"","X")</f>
        <v/>
      </c>
      <c r="M11" s="1795" t="s">
        <v>536</v>
      </c>
      <c r="N11" s="1795" t="s">
        <v>536</v>
      </c>
      <c r="O11" s="1795" t="s">
        <v>536</v>
      </c>
      <c r="P11" s="1795" t="s">
        <v>536</v>
      </c>
      <c r="Q11" s="1795" t="s">
        <v>536</v>
      </c>
      <c r="R11" s="1795" t="str">
        <f>IF(WEEKDAY(DATE($D$7,$D$8,R$9),2)&gt;'[5]Khai báo'!$B$4,"","X")</f>
        <v>X</v>
      </c>
      <c r="S11" s="1795" t="str">
        <f>IF(WEEKDAY(DATE($D$7,$D$8,S$9),2)&gt;'[5]Khai báo'!$B$4,"","X")</f>
        <v/>
      </c>
      <c r="T11" s="1795" t="str">
        <f>IF(WEEKDAY(DATE($D$7,$D$8,T$9),2)&gt;'[5]Khai báo'!$B$4,"","X")</f>
        <v>X</v>
      </c>
      <c r="U11" s="1795" t="str">
        <f>IF(WEEKDAY(DATE($D$7,$D$8,U$9),2)&gt;'[5]Khai báo'!$B$4,"","X")</f>
        <v>X</v>
      </c>
      <c r="V11" s="1795" t="str">
        <f>IF(WEEKDAY(DATE($D$7,$D$8,V$9),2)&gt;'[5]Khai báo'!$B$4,"","X")</f>
        <v>X</v>
      </c>
      <c r="W11" s="1795" t="str">
        <f>IF(WEEKDAY(DATE($D$7,$D$8,W$9),2)&gt;'[5]Khai báo'!$B$4,"","X")</f>
        <v>X</v>
      </c>
      <c r="X11" s="1795" t="str">
        <f>IF(WEEKDAY(DATE($D$7,$D$8,X$9),2)&gt;'[5]Khai báo'!$B$4,"","X")</f>
        <v>X</v>
      </c>
      <c r="Y11" s="1795" t="str">
        <f>IF(WEEKDAY(DATE($D$7,$D$8,Y$9),2)&gt;'[5]Khai báo'!$B$4,"","X")</f>
        <v>X</v>
      </c>
      <c r="Z11" s="1795" t="str">
        <f>IF(WEEKDAY(DATE($D$7,$D$8,Z$9),2)&gt;'[5]Khai báo'!$B$4,"","X")</f>
        <v/>
      </c>
      <c r="AA11" s="1795" t="str">
        <f>IF(WEEKDAY(DATE($D$7,$D$8,AA$9),2)&gt;'[5]Khai báo'!$B$4,"","X")</f>
        <v>X</v>
      </c>
      <c r="AB11" s="1795" t="str">
        <f>IF(WEEKDAY(DATE($D$7,$D$8,AB$9),2)&gt;'[5]Khai báo'!$B$4,"","X")</f>
        <v>X</v>
      </c>
      <c r="AC11" s="1795" t="str">
        <f>IF(WEEKDAY(DATE($D$7,$D$8,AC$9),2)&gt;'[5]Khai báo'!$B$4,"","X")</f>
        <v>X</v>
      </c>
      <c r="AD11" s="1795" t="str">
        <f>IF(WEEKDAY(DATE($D$7,$D$8,AD$9),2)&gt;'[5]Khai báo'!$B$4,"","X")</f>
        <v>X</v>
      </c>
      <c r="AE11" s="1795" t="str">
        <f>IF(WEEKDAY(DATE($D$7,$D$8,AE$9),2)&gt;'[5]Khai báo'!$B$4,"","X")</f>
        <v>X</v>
      </c>
      <c r="AF11" s="1795" t="str">
        <f>IF(WEEKDAY(DATE($D$7,$D$8,AF$9),2)&gt;'[5]Khai báo'!$B$4,"","X")</f>
        <v>X</v>
      </c>
      <c r="AG11" s="1795" t="str">
        <f>IF(WEEKDAY(DATE($D$7,$D$8,AG$9),2)&gt;'[5]Khai báo'!$B$4,"","X")</f>
        <v/>
      </c>
      <c r="AH11" s="1795" t="str">
        <f>IF(WEEKDAY(DATE($D$7,$D$8,AH$9),2)&gt;'[5]Khai báo'!$B$4,"","X")</f>
        <v>X</v>
      </c>
      <c r="AI11" s="1795"/>
      <c r="AJ11" s="1799">
        <f t="shared" ref="AJ11:AJ17" si="1">COUNTIF(E11:AI11,"X")+COUNTIF(E11:AI11,"P")+COUNTIF(E11:AI11,"PT")</f>
        <v>25</v>
      </c>
      <c r="AK11" s="1799">
        <f t="shared" ref="AK11:AK17" si="2">COUNTIF(E11:AI11,"TT")</f>
        <v>0</v>
      </c>
      <c r="AL11" s="1799"/>
      <c r="AW11" s="1800" t="e">
        <f>+AK11-#REF!</f>
        <v>#REF!</v>
      </c>
    </row>
    <row r="12" spans="2:49" ht="21.75" customHeight="1">
      <c r="B12" s="1795">
        <v>2</v>
      </c>
      <c r="C12" s="1798" t="s">
        <v>3383</v>
      </c>
      <c r="D12" s="1798" t="s">
        <v>3136</v>
      </c>
      <c r="E12" s="1795" t="str">
        <f>IF(WEEKDAY(DATE($D$7,$D$8,E$9),2)&gt;'[5]Khai báo'!$B$4,"","X")</f>
        <v/>
      </c>
      <c r="F12" s="1795" t="s">
        <v>536</v>
      </c>
      <c r="G12" s="1795" t="s">
        <v>536</v>
      </c>
      <c r="H12" s="1795" t="s">
        <v>536</v>
      </c>
      <c r="I12" s="1795" t="s">
        <v>536</v>
      </c>
      <c r="J12" s="1795" t="str">
        <f>IF(WEEKDAY(DATE($D$7,$D$8,J$9),2)&gt;'[5]Khai báo'!$B$4,"","X")</f>
        <v>X</v>
      </c>
      <c r="K12" s="1795" t="str">
        <f>IF(WEEKDAY(DATE($D$7,$D$8,K$9),2)&gt;'[5]Khai báo'!$B$4,"","X")</f>
        <v>X</v>
      </c>
      <c r="L12" s="1795" t="str">
        <f>IF(WEEKDAY(DATE($D$7,$D$8,L$9),2)&gt;'[5]Khai báo'!$B$4,"","X")</f>
        <v/>
      </c>
      <c r="M12" s="1795" t="str">
        <f>IF(WEEKDAY(DATE($D$7,$D$8,M$9),2)&gt;'[5]Khai báo'!$B$4,"","X")</f>
        <v>X</v>
      </c>
      <c r="N12" s="1795" t="str">
        <f>IF(WEEKDAY(DATE($D$7,$D$8,N$9),2)&gt;'[5]Khai báo'!$B$4,"","X")</f>
        <v>X</v>
      </c>
      <c r="O12" s="1795" t="str">
        <f>IF(WEEKDAY(DATE($D$7,$D$8,O$9),2)&gt;'[5]Khai báo'!$B$4,"","X")</f>
        <v>X</v>
      </c>
      <c r="P12" s="1795" t="str">
        <f>IF(WEEKDAY(DATE($D$7,$D$8,P$9),2)&gt;'[5]Khai báo'!$B$4,"","X")</f>
        <v>X</v>
      </c>
      <c r="Q12" s="1795" t="str">
        <f>IF(WEEKDAY(DATE($D$7,$D$8,Q$9),2)&gt;'[5]Khai báo'!$B$4,"","X")</f>
        <v>X</v>
      </c>
      <c r="R12" s="1795" t="str">
        <f>IF(WEEKDAY(DATE($D$7,$D$8,R$9),2)&gt;'[5]Khai báo'!$B$4,"","X")</f>
        <v>X</v>
      </c>
      <c r="S12" s="1795" t="str">
        <f>IF(WEEKDAY(DATE($D$7,$D$8,S$9),2)&gt;'[5]Khai báo'!$B$4,"","X")</f>
        <v/>
      </c>
      <c r="T12" s="1795" t="str">
        <f>IF(WEEKDAY(DATE($D$7,$D$8,T$9),2)&gt;'[5]Khai báo'!$B$4,"","X")</f>
        <v>X</v>
      </c>
      <c r="U12" s="1795" t="str">
        <f>IF(WEEKDAY(DATE($D$7,$D$8,U$9),2)&gt;'[5]Khai báo'!$B$4,"","X")</f>
        <v>X</v>
      </c>
      <c r="V12" s="1795" t="str">
        <f>IF(WEEKDAY(DATE($D$7,$D$8,V$9),2)&gt;'[5]Khai báo'!$B$4,"","X")</f>
        <v>X</v>
      </c>
      <c r="W12" s="1795" t="str">
        <f>IF(WEEKDAY(DATE($D$7,$D$8,W$9),2)&gt;'[5]Khai báo'!$B$4,"","X")</f>
        <v>X</v>
      </c>
      <c r="X12" s="1795" t="str">
        <f>IF(WEEKDAY(DATE($D$7,$D$8,X$9),2)&gt;'[5]Khai báo'!$B$4,"","X")</f>
        <v>X</v>
      </c>
      <c r="Y12" s="1795" t="str">
        <f>IF(WEEKDAY(DATE($D$7,$D$8,Y$9),2)&gt;'[5]Khai báo'!$B$4,"","X")</f>
        <v>X</v>
      </c>
      <c r="Z12" s="1795" t="str">
        <f>IF(WEEKDAY(DATE($D$7,$D$8,Z$9),2)&gt;'[5]Khai báo'!$B$4,"","X")</f>
        <v/>
      </c>
      <c r="AA12" s="1795" t="str">
        <f>IF(WEEKDAY(DATE($D$7,$D$8,AA$9),2)&gt;'[5]Khai báo'!$B$4,"","X")</f>
        <v>X</v>
      </c>
      <c r="AB12" s="1795" t="str">
        <f>IF(WEEKDAY(DATE($D$7,$D$8,AB$9),2)&gt;'[5]Khai báo'!$B$4,"","X")</f>
        <v>X</v>
      </c>
      <c r="AC12" s="1795" t="str">
        <f>IF(WEEKDAY(DATE($D$7,$D$8,AC$9),2)&gt;'[5]Khai báo'!$B$4,"","X")</f>
        <v>X</v>
      </c>
      <c r="AD12" s="1795" t="str">
        <f>IF(WEEKDAY(DATE($D$7,$D$8,AD$9),2)&gt;'[5]Khai báo'!$B$4,"","X")</f>
        <v>X</v>
      </c>
      <c r="AE12" s="1795" t="str">
        <f>IF(WEEKDAY(DATE($D$7,$D$8,AE$9),2)&gt;'[5]Khai báo'!$B$4,"","X")</f>
        <v>X</v>
      </c>
      <c r="AF12" s="1795" t="str">
        <f>IF(WEEKDAY(DATE($D$7,$D$8,AF$9),2)&gt;'[5]Khai báo'!$B$4,"","X")</f>
        <v>X</v>
      </c>
      <c r="AG12" s="1795" t="str">
        <f>IF(WEEKDAY(DATE($D$7,$D$8,AG$9),2)&gt;'[5]Khai báo'!$B$4,"","X")</f>
        <v/>
      </c>
      <c r="AH12" s="1795" t="str">
        <f>IF(WEEKDAY(DATE($D$7,$D$8,AH$9),2)&gt;'[5]Khai báo'!$B$4,"","X")</f>
        <v>X</v>
      </c>
      <c r="AI12" s="1795"/>
      <c r="AJ12" s="1799">
        <f t="shared" si="1"/>
        <v>25</v>
      </c>
      <c r="AK12" s="1799">
        <f t="shared" si="2"/>
        <v>0</v>
      </c>
      <c r="AL12" s="1799"/>
      <c r="AW12" s="1800" t="e">
        <f>+AK12-#REF!</f>
        <v>#REF!</v>
      </c>
    </row>
    <row r="13" spans="2:49" ht="21.75" customHeight="1">
      <c r="B13" s="1795">
        <v>3</v>
      </c>
      <c r="C13" s="1801" t="s">
        <v>3384</v>
      </c>
      <c r="D13" s="1798" t="s">
        <v>3136</v>
      </c>
      <c r="E13" s="1795" t="str">
        <f>IF(WEEKDAY(DATE($D$7,$D$8,E$9),2)&gt;'[5]Khai báo'!$B$4,"","X")</f>
        <v/>
      </c>
      <c r="F13" s="1795" t="str">
        <f>IF(WEEKDAY(DATE($D$7,$D$8,F$9),2)&gt;'[5]Khai báo'!$B$4,"","X")</f>
        <v>X</v>
      </c>
      <c r="G13" s="1795" t="str">
        <f>IF(WEEKDAY(DATE($D$7,$D$8,G$9),2)&gt;'[5]Khai báo'!$B$4,"","X")</f>
        <v>X</v>
      </c>
      <c r="H13" s="1795" t="str">
        <f>IF(WEEKDAY(DATE($D$7,$D$8,H$9),2)&gt;'[5]Khai báo'!$B$4,"","X")</f>
        <v>X</v>
      </c>
      <c r="I13" s="1795" t="str">
        <f>IF(WEEKDAY(DATE($D$7,$D$8,I$9),2)&gt;'[5]Khai báo'!$B$4,"","X")</f>
        <v>X</v>
      </c>
      <c r="J13" s="1795" t="str">
        <f>IF(WEEKDAY(DATE($D$7,$D$8,J$9),2)&gt;'[5]Khai báo'!$B$4,"","X")</f>
        <v>X</v>
      </c>
      <c r="K13" s="1795" t="s">
        <v>2962</v>
      </c>
      <c r="L13" s="1795" t="str">
        <f>IF(WEEKDAY(DATE($D$7,$D$8,L$9),2)&gt;'[5]Khai báo'!$B$4,"","X")</f>
        <v/>
      </c>
      <c r="M13" s="1795" t="s">
        <v>2962</v>
      </c>
      <c r="N13" s="1795" t="s">
        <v>2962</v>
      </c>
      <c r="O13" s="1795" t="s">
        <v>2962</v>
      </c>
      <c r="P13" s="1795" t="s">
        <v>2962</v>
      </c>
      <c r="Q13" s="1795" t="s">
        <v>2962</v>
      </c>
      <c r="R13" s="1795" t="s">
        <v>2962</v>
      </c>
      <c r="S13" s="1795" t="str">
        <f>IF(WEEKDAY(DATE($D$7,$D$8,S$9),2)&gt;'[5]Khai báo'!$B$4,"","X")</f>
        <v/>
      </c>
      <c r="T13" s="1795" t="str">
        <f>IF(WEEKDAY(DATE($D$7,$D$8,T$9),2)&gt;'[5]Khai báo'!$B$4,"","X")</f>
        <v>X</v>
      </c>
      <c r="U13" s="1795" t="str">
        <f>IF(WEEKDAY(DATE($D$7,$D$8,U$9),2)&gt;'[5]Khai báo'!$B$4,"","X")</f>
        <v>X</v>
      </c>
      <c r="V13" s="1795" t="str">
        <f>IF(WEEKDAY(DATE($D$7,$D$8,V$9),2)&gt;'[5]Khai báo'!$B$4,"","X")</f>
        <v>X</v>
      </c>
      <c r="W13" s="1795" t="str">
        <f>IF(WEEKDAY(DATE($D$7,$D$8,W$9),2)&gt;'[5]Khai báo'!$B$4,"","X")</f>
        <v>X</v>
      </c>
      <c r="X13" s="1795" t="str">
        <f>IF(WEEKDAY(DATE($D$7,$D$8,X$9),2)&gt;'[5]Khai báo'!$B$4,"","X")</f>
        <v>X</v>
      </c>
      <c r="Y13" s="1795" t="str">
        <f>IF(WEEKDAY(DATE($D$7,$D$8,Y$9),2)&gt;'[5]Khai báo'!$B$4,"","X")</f>
        <v>X</v>
      </c>
      <c r="Z13" s="1795" t="str">
        <f>IF(WEEKDAY(DATE($D$7,$D$8,Z$9),2)&gt;'[5]Khai báo'!$B$4,"","X")</f>
        <v/>
      </c>
      <c r="AA13" s="1795" t="str">
        <f>IF(WEEKDAY(DATE($D$7,$D$8,AA$9),2)&gt;'[5]Khai báo'!$B$4,"","X")</f>
        <v>X</v>
      </c>
      <c r="AB13" s="1795" t="str">
        <f>IF(WEEKDAY(DATE($D$7,$D$8,AB$9),2)&gt;'[5]Khai báo'!$B$4,"","X")</f>
        <v>X</v>
      </c>
      <c r="AC13" s="1795" t="str">
        <f>IF(WEEKDAY(DATE($D$7,$D$8,AC$9),2)&gt;'[5]Khai báo'!$B$4,"","X")</f>
        <v>X</v>
      </c>
      <c r="AD13" s="1795" t="str">
        <f>IF(WEEKDAY(DATE($D$7,$D$8,AD$9),2)&gt;'[5]Khai báo'!$B$4,"","X")</f>
        <v>X</v>
      </c>
      <c r="AE13" s="1795" t="str">
        <f>IF(WEEKDAY(DATE($D$7,$D$8,AE$9),2)&gt;'[5]Khai báo'!$B$4,"","X")</f>
        <v>X</v>
      </c>
      <c r="AF13" s="1795" t="str">
        <f>IF(WEEKDAY(DATE($D$7,$D$8,AF$9),2)&gt;'[5]Khai báo'!$B$4,"","X")</f>
        <v>X</v>
      </c>
      <c r="AG13" s="1795" t="str">
        <f>IF(WEEKDAY(DATE($D$7,$D$8,AG$9),2)&gt;'[5]Khai báo'!$B$4,"","X")</f>
        <v/>
      </c>
      <c r="AH13" s="1795" t="s">
        <v>2962</v>
      </c>
      <c r="AI13" s="1795"/>
      <c r="AJ13" s="1799">
        <f t="shared" si="1"/>
        <v>25</v>
      </c>
      <c r="AK13" s="1799">
        <f t="shared" si="2"/>
        <v>0</v>
      </c>
      <c r="AL13" s="1799"/>
      <c r="AW13" s="1800" t="e">
        <f>+AK13-#REF!</f>
        <v>#REF!</v>
      </c>
    </row>
    <row r="14" spans="2:49" ht="21.75" customHeight="1">
      <c r="B14" s="1795">
        <v>4</v>
      </c>
      <c r="C14" s="1798" t="s">
        <v>3369</v>
      </c>
      <c r="D14" s="1798" t="s">
        <v>3385</v>
      </c>
      <c r="E14" s="1795" t="str">
        <f>IF(WEEKDAY(DATE($D$7,$D$8,E$9),2)&gt;'[5]Khai báo'!$B$4,"","X")</f>
        <v/>
      </c>
      <c r="F14" s="1795" t="str">
        <f>IF(WEEKDAY(DATE($D$7,$D$8,F$9),2)&gt;'[5]Khai báo'!$B$4,"","X")</f>
        <v>X</v>
      </c>
      <c r="G14" s="1795" t="str">
        <f>IF(WEEKDAY(DATE($D$7,$D$8,G$9),2)&gt;'[5]Khai báo'!$B$4,"","X")</f>
        <v>X</v>
      </c>
      <c r="H14" s="1795" t="str">
        <f>IF(WEEKDAY(DATE($D$7,$D$8,H$9),2)&gt;'[5]Khai báo'!$B$4,"","X")</f>
        <v>X</v>
      </c>
      <c r="I14" s="1795" t="str">
        <f>IF(WEEKDAY(DATE($D$7,$D$8,I$9),2)&gt;'[5]Khai báo'!$B$4,"","X")</f>
        <v>X</v>
      </c>
      <c r="J14" s="1795" t="str">
        <f>IF(WEEKDAY(DATE($D$7,$D$8,J$9),2)&gt;'[5]Khai báo'!$B$4,"","X")</f>
        <v>X</v>
      </c>
      <c r="K14" s="1795" t="str">
        <f>IF(WEEKDAY(DATE($D$7,$D$8,K$9),2)&gt;'[5]Khai báo'!$B$4,"","X")</f>
        <v>X</v>
      </c>
      <c r="L14" s="1795" t="str">
        <f>IF(WEEKDAY(DATE($D$7,$D$8,L$9),2)&gt;'[5]Khai báo'!$B$4,"","X")</f>
        <v/>
      </c>
      <c r="M14" s="1795" t="str">
        <f>IF(WEEKDAY(DATE($D$7,$D$8,M$9),2)&gt;'[5]Khai báo'!$B$4,"","X")</f>
        <v>X</v>
      </c>
      <c r="N14" s="1795" t="str">
        <f>IF(WEEKDAY(DATE($D$7,$D$8,N$9),2)&gt;'[5]Khai báo'!$B$4,"","X")</f>
        <v>X</v>
      </c>
      <c r="O14" s="1795" t="str">
        <f>IF(WEEKDAY(DATE($D$7,$D$8,O$9),2)&gt;'[5]Khai báo'!$B$4,"","X")</f>
        <v>X</v>
      </c>
      <c r="P14" s="1795" t="str">
        <f>IF(WEEKDAY(DATE($D$7,$D$8,P$9),2)&gt;'[5]Khai báo'!$B$4,"","X")</f>
        <v>X</v>
      </c>
      <c r="Q14" s="1795" t="str">
        <f>IF(WEEKDAY(DATE($D$7,$D$8,Q$9),2)&gt;'[5]Khai báo'!$B$4,"","X")</f>
        <v>X</v>
      </c>
      <c r="R14" s="1795" t="str">
        <f>IF(WEEKDAY(DATE($D$7,$D$8,R$9),2)&gt;'[5]Khai báo'!$B$4,"","X")</f>
        <v>X</v>
      </c>
      <c r="S14" s="1795" t="str">
        <f>IF(WEEKDAY(DATE($D$7,$D$8,S$9),2)&gt;'[5]Khai báo'!$B$4,"","X")</f>
        <v/>
      </c>
      <c r="T14" s="1795" t="str">
        <f>IF(WEEKDAY(DATE($D$7,$D$8,T$9),2)&gt;'[5]Khai báo'!$B$4,"","X")</f>
        <v>X</v>
      </c>
      <c r="U14" s="1795" t="str">
        <f>IF(WEEKDAY(DATE($D$7,$D$8,U$9),2)&gt;'[5]Khai báo'!$B$4,"","X")</f>
        <v>X</v>
      </c>
      <c r="V14" s="1795" t="s">
        <v>2962</v>
      </c>
      <c r="W14" s="1795" t="s">
        <v>2962</v>
      </c>
      <c r="X14" s="1795" t="s">
        <v>2962</v>
      </c>
      <c r="Y14" s="1795" t="s">
        <v>2962</v>
      </c>
      <c r="Z14" s="1795" t="str">
        <f>IF(WEEKDAY(DATE($D$7,$D$8,Z$9),2)&gt;'[5]Khai báo'!$B$4,"","X")</f>
        <v/>
      </c>
      <c r="AA14" s="1795" t="s">
        <v>2962</v>
      </c>
      <c r="AB14" s="1795" t="s">
        <v>2962</v>
      </c>
      <c r="AC14" s="1795" t="s">
        <v>2962</v>
      </c>
      <c r="AD14" s="1795" t="s">
        <v>2962</v>
      </c>
      <c r="AE14" s="1795" t="s">
        <v>2962</v>
      </c>
      <c r="AF14" s="1795" t="str">
        <f>IF(WEEKDAY(DATE($D$7,$D$8,AF$9),2)&gt;'[5]Khai báo'!$B$4,"","X")</f>
        <v>X</v>
      </c>
      <c r="AG14" s="1795" t="str">
        <f>IF(WEEKDAY(DATE($D$7,$D$8,AG$9),2)&gt;'[5]Khai báo'!$B$4,"","X")</f>
        <v/>
      </c>
      <c r="AH14" s="1795" t="str">
        <f>IF(WEEKDAY(DATE($D$7,$D$8,AH$9),2)&gt;'[5]Khai báo'!$B$4,"","X")</f>
        <v>X</v>
      </c>
      <c r="AI14" s="1795"/>
      <c r="AJ14" s="1799">
        <f t="shared" si="1"/>
        <v>25</v>
      </c>
      <c r="AK14" s="1799">
        <f t="shared" si="2"/>
        <v>0</v>
      </c>
      <c r="AL14" s="1799"/>
      <c r="AW14" s="1800" t="e">
        <f>+AK14-#REF!</f>
        <v>#REF!</v>
      </c>
    </row>
    <row r="15" spans="2:49" ht="21.75" customHeight="1">
      <c r="B15" s="1795">
        <v>5</v>
      </c>
      <c r="C15" s="1798" t="s">
        <v>3386</v>
      </c>
      <c r="D15" s="1798" t="s">
        <v>3387</v>
      </c>
      <c r="E15" s="1795" t="str">
        <f>IF(WEEKDAY(DATE($D$7,$D$8,E$9),2)&gt;'[5]Khai báo'!$B$4,"","X")</f>
        <v/>
      </c>
      <c r="F15" s="1795" t="str">
        <f>IF(WEEKDAY(DATE($D$7,$D$8,F$9),2)&gt;'[5]Khai báo'!$B$4,"","X")</f>
        <v>X</v>
      </c>
      <c r="G15" s="1795" t="str">
        <f>IF(WEEKDAY(DATE($D$7,$D$8,G$9),2)&gt;'[5]Khai báo'!$B$4,"","X")</f>
        <v>X</v>
      </c>
      <c r="H15" s="1795" t="str">
        <f>IF(WEEKDAY(DATE($D$7,$D$8,H$9),2)&gt;'[5]Khai báo'!$B$4,"","X")</f>
        <v>X</v>
      </c>
      <c r="I15" s="1795" t="str">
        <f>IF(WEEKDAY(DATE($D$7,$D$8,I$9),2)&gt;'[5]Khai báo'!$B$4,"","X")</f>
        <v>X</v>
      </c>
      <c r="J15" s="1795" t="str">
        <f>IF(WEEKDAY(DATE($D$7,$D$8,J$9),2)&gt;'[5]Khai báo'!$B$4,"","X")</f>
        <v>X</v>
      </c>
      <c r="K15" s="1795" t="str">
        <f>IF(WEEKDAY(DATE($D$7,$D$8,K$9),2)&gt;'[5]Khai báo'!$B$4,"","X")</f>
        <v>X</v>
      </c>
      <c r="L15" s="1795" t="str">
        <f>IF(WEEKDAY(DATE($D$7,$D$8,L$9),2)&gt;'[5]Khai báo'!$B$4,"","X")</f>
        <v/>
      </c>
      <c r="M15" s="1795" t="str">
        <f>IF(WEEKDAY(DATE($D$7,$D$8,M$9),2)&gt;'[5]Khai báo'!$B$4,"","X")</f>
        <v>X</v>
      </c>
      <c r="N15" s="1795" t="str">
        <f>IF(WEEKDAY(DATE($D$7,$D$8,N$9),2)&gt;'[5]Khai báo'!$B$4,"","X")</f>
        <v>X</v>
      </c>
      <c r="O15" s="1795" t="str">
        <f>IF(WEEKDAY(DATE($D$7,$D$8,O$9),2)&gt;'[5]Khai báo'!$B$4,"","X")</f>
        <v>X</v>
      </c>
      <c r="P15" s="1795" t="str">
        <f>IF(WEEKDAY(DATE($D$7,$D$8,P$9),2)&gt;'[5]Khai báo'!$B$4,"","X")</f>
        <v>X</v>
      </c>
      <c r="Q15" s="1795" t="str">
        <f>IF(WEEKDAY(DATE($D$7,$D$8,Q$9),2)&gt;'[5]Khai báo'!$B$4,"","X")</f>
        <v>X</v>
      </c>
      <c r="R15" s="1795" t="str">
        <f>IF(WEEKDAY(DATE($D$7,$D$8,R$9),2)&gt;'[5]Khai báo'!$B$4,"","X")</f>
        <v>X</v>
      </c>
      <c r="S15" s="1795" t="str">
        <f>IF(WEEKDAY(DATE($D$7,$D$8,S$9),2)&gt;'[5]Khai báo'!$B$4,"","X")</f>
        <v/>
      </c>
      <c r="T15" s="1795" t="str">
        <f>IF(WEEKDAY(DATE($D$7,$D$8,T$9),2)&gt;'[5]Khai báo'!$B$4,"","X")</f>
        <v>X</v>
      </c>
      <c r="U15" s="1795" t="str">
        <f>IF(WEEKDAY(DATE($D$7,$D$8,U$9),2)&gt;'[5]Khai báo'!$B$4,"","X")</f>
        <v>X</v>
      </c>
      <c r="V15" s="1795" t="str">
        <f>IF(WEEKDAY(DATE($D$7,$D$8,V$9),2)&gt;'[5]Khai báo'!$B$4,"","X")</f>
        <v>X</v>
      </c>
      <c r="W15" s="1795" t="str">
        <f>IF(WEEKDAY(DATE($D$7,$D$8,W$9),2)&gt;'[5]Khai báo'!$B$4,"","X")</f>
        <v>X</v>
      </c>
      <c r="X15" s="1795" t="str">
        <f>IF(WEEKDAY(DATE($D$7,$D$8,X$9),2)&gt;'[5]Khai báo'!$B$4,"","X")</f>
        <v>X</v>
      </c>
      <c r="Y15" s="1795" t="str">
        <f>IF(WEEKDAY(DATE($D$7,$D$8,Y$9),2)&gt;'[5]Khai báo'!$B$4,"","X")</f>
        <v>X</v>
      </c>
      <c r="Z15" s="1795" t="str">
        <f>IF(WEEKDAY(DATE($D$7,$D$8,Z$9),2)&gt;'[5]Khai báo'!$B$4,"","X")</f>
        <v/>
      </c>
      <c r="AA15" s="1795" t="str">
        <f>IF(WEEKDAY(DATE($D$7,$D$8,AA$9),2)&gt;'[5]Khai báo'!$B$4,"","X")</f>
        <v>X</v>
      </c>
      <c r="AB15" s="1795" t="str">
        <f>IF(WEEKDAY(DATE($D$7,$D$8,AB$9),2)&gt;'[5]Khai báo'!$B$4,"","X")</f>
        <v>X</v>
      </c>
      <c r="AC15" s="1795" t="str">
        <f>IF(WEEKDAY(DATE($D$7,$D$8,AC$9),2)&gt;'[5]Khai báo'!$B$4,"","X")</f>
        <v>X</v>
      </c>
      <c r="AD15" s="1795" t="str">
        <f>IF(WEEKDAY(DATE($D$7,$D$8,AD$9),2)&gt;'[5]Khai báo'!$B$4,"","X")</f>
        <v>X</v>
      </c>
      <c r="AE15" s="1795" t="str">
        <f>IF(WEEKDAY(DATE($D$7,$D$8,AE$9),2)&gt;'[5]Khai báo'!$B$4,"","X")</f>
        <v>X</v>
      </c>
      <c r="AF15" s="1795" t="str">
        <f>IF(WEEKDAY(DATE($D$7,$D$8,AF$9),2)&gt;'[5]Khai báo'!$B$4,"","X")</f>
        <v>X</v>
      </c>
      <c r="AG15" s="1795" t="str">
        <f>IF(WEEKDAY(DATE($D$7,$D$8,AG$9),2)&gt;'[5]Khai báo'!$B$4,"","X")</f>
        <v/>
      </c>
      <c r="AH15" s="1795" t="str">
        <f>IF(WEEKDAY(DATE($D$7,$D$8,AH$9),2)&gt;'[5]Khai báo'!$B$4,"","X")</f>
        <v>X</v>
      </c>
      <c r="AI15" s="1795"/>
      <c r="AJ15" s="1799">
        <f t="shared" si="1"/>
        <v>25</v>
      </c>
      <c r="AK15" s="1799">
        <f t="shared" si="2"/>
        <v>0</v>
      </c>
      <c r="AL15" s="1799"/>
      <c r="AW15" s="1800" t="e">
        <f>+AK15-#REF!</f>
        <v>#REF!</v>
      </c>
    </row>
    <row r="16" spans="2:49" ht="21.75" customHeight="1">
      <c r="B16" s="1795">
        <v>6</v>
      </c>
      <c r="C16" s="1798" t="s">
        <v>3388</v>
      </c>
      <c r="D16" s="1798" t="s">
        <v>3387</v>
      </c>
      <c r="E16" s="1795"/>
      <c r="F16" s="1795" t="str">
        <f>IF(WEEKDAY(DATE($D$7,$D$8,F$9),2)&gt;'[5]Khai báo'!$B$4,"","X")</f>
        <v>X</v>
      </c>
      <c r="G16" s="1795" t="str">
        <f>IF(WEEKDAY(DATE($D$7,$D$8,G$9),2)&gt;'[5]Khai báo'!$B$4,"","X")</f>
        <v>X</v>
      </c>
      <c r="H16" s="1795" t="str">
        <f>IF(WEEKDAY(DATE($D$7,$D$8,H$9),2)&gt;'[5]Khai báo'!$B$4,"","X")</f>
        <v>X</v>
      </c>
      <c r="I16" s="1795" t="str">
        <f>IF(WEEKDAY(DATE($D$7,$D$8,I$9),2)&gt;'[5]Khai báo'!$B$4,"","X")</f>
        <v>X</v>
      </c>
      <c r="J16" s="1795" t="str">
        <f>IF(WEEKDAY(DATE($D$7,$D$8,J$9),2)&gt;'[5]Khai báo'!$B$4,"","X")</f>
        <v>X</v>
      </c>
      <c r="K16" s="1795" t="str">
        <f>IF(WEEKDAY(DATE($D$7,$D$8,K$9),2)&gt;'[5]Khai báo'!$B$4,"","X")</f>
        <v>X</v>
      </c>
      <c r="L16" s="1795" t="str">
        <f>IF(WEEKDAY(DATE($D$7,$D$8,L$9),2)&gt;'[5]Khai báo'!$B$4,"","X")</f>
        <v/>
      </c>
      <c r="M16" s="1795" t="str">
        <f>IF(WEEKDAY(DATE($D$7,$D$8,M$9),2)&gt;'[5]Khai báo'!$B$4,"","X")</f>
        <v>X</v>
      </c>
      <c r="N16" s="1795" t="str">
        <f>IF(WEEKDAY(DATE($D$7,$D$8,N$9),2)&gt;'[5]Khai báo'!$B$4,"","X")</f>
        <v>X</v>
      </c>
      <c r="O16" s="1795" t="str">
        <f>IF(WEEKDAY(DATE($D$7,$D$8,O$9),2)&gt;'[5]Khai báo'!$B$4,"","X")</f>
        <v>X</v>
      </c>
      <c r="P16" s="1795" t="str">
        <f>IF(WEEKDAY(DATE($D$7,$D$8,P$9),2)&gt;'[5]Khai báo'!$B$4,"","X")</f>
        <v>X</v>
      </c>
      <c r="Q16" s="1795" t="str">
        <f>IF(WEEKDAY(DATE($D$7,$D$8,Q$9),2)&gt;'[5]Khai báo'!$B$4,"","X")</f>
        <v>X</v>
      </c>
      <c r="R16" s="1795" t="str">
        <f>IF(WEEKDAY(DATE($D$7,$D$8,R$9),2)&gt;'[5]Khai báo'!$B$4,"","X")</f>
        <v>X</v>
      </c>
      <c r="S16" s="1795" t="str">
        <f>IF(WEEKDAY(DATE($D$7,$D$8,S$9),2)&gt;'[5]Khai báo'!$B$4,"","X")</f>
        <v/>
      </c>
      <c r="T16" s="1795" t="str">
        <f>IF(WEEKDAY(DATE($D$7,$D$8,T$9),2)&gt;'[5]Khai báo'!$B$4,"","X")</f>
        <v>X</v>
      </c>
      <c r="U16" s="1795" t="str">
        <f>IF(WEEKDAY(DATE($D$7,$D$8,U$9),2)&gt;'[5]Khai báo'!$B$4,"","X")</f>
        <v>X</v>
      </c>
      <c r="V16" s="1795" t="str">
        <f>IF(WEEKDAY(DATE($D$7,$D$8,V$9),2)&gt;'[5]Khai báo'!$B$4,"","X")</f>
        <v>X</v>
      </c>
      <c r="W16" s="1795" t="str">
        <f>IF(WEEKDAY(DATE($D$7,$D$8,W$9),2)&gt;'[5]Khai báo'!$B$4,"","X")</f>
        <v>X</v>
      </c>
      <c r="X16" s="1795" t="str">
        <f>IF(WEEKDAY(DATE($D$7,$D$8,X$9),2)&gt;'[5]Khai báo'!$B$4,"","X")</f>
        <v>X</v>
      </c>
      <c r="Y16" s="1795" t="str">
        <f>IF(WEEKDAY(DATE($D$7,$D$8,Y$9),2)&gt;'[5]Khai báo'!$B$4,"","X")</f>
        <v>X</v>
      </c>
      <c r="Z16" s="1795" t="str">
        <f>IF(WEEKDAY(DATE($D$7,$D$8,Z$9),2)&gt;'[5]Khai báo'!$B$4,"","X")</f>
        <v/>
      </c>
      <c r="AA16" s="1795" t="str">
        <f>IF(WEEKDAY(DATE($D$7,$D$8,AA$9),2)&gt;'[5]Khai báo'!$B$4,"","X")</f>
        <v>X</v>
      </c>
      <c r="AB16" s="1795" t="str">
        <f>IF(WEEKDAY(DATE($D$7,$D$8,AB$9),2)&gt;'[5]Khai báo'!$B$4,"","X")</f>
        <v>X</v>
      </c>
      <c r="AC16" s="1795" t="str">
        <f>IF(WEEKDAY(DATE($D$7,$D$8,AC$9),2)&gt;'[5]Khai báo'!$B$4,"","X")</f>
        <v>X</v>
      </c>
      <c r="AD16" s="1795" t="str">
        <f>IF(WEEKDAY(DATE($D$7,$D$8,AD$9),2)&gt;'[5]Khai báo'!$B$4,"","X")</f>
        <v>X</v>
      </c>
      <c r="AE16" s="1795" t="str">
        <f>IF(WEEKDAY(DATE($D$7,$D$8,AE$9),2)&gt;'[5]Khai báo'!$B$4,"","X")</f>
        <v>X</v>
      </c>
      <c r="AF16" s="1795" t="str">
        <f>IF(WEEKDAY(DATE($D$7,$D$8,AF$9),2)&gt;'[5]Khai báo'!$B$4,"","X")</f>
        <v>X</v>
      </c>
      <c r="AG16" s="1795" t="str">
        <f>IF(WEEKDAY(DATE($D$7,$D$8,AG$9),2)&gt;'[5]Khai báo'!$B$4,"","X")</f>
        <v/>
      </c>
      <c r="AH16" s="1795" t="str">
        <f>IF(WEEKDAY(DATE($D$7,$D$8,AH$9),2)&gt;'[5]Khai báo'!$B$4,"","X")</f>
        <v>X</v>
      </c>
      <c r="AI16" s="1795"/>
      <c r="AJ16" s="1799">
        <f t="shared" si="1"/>
        <v>25</v>
      </c>
      <c r="AK16" s="1799"/>
      <c r="AL16" s="1799"/>
      <c r="AW16" s="1800"/>
    </row>
    <row r="17" spans="1:49" s="1802" customFormat="1" ht="21.75" customHeight="1">
      <c r="B17" s="1795">
        <v>7</v>
      </c>
      <c r="C17" s="1798" t="s">
        <v>613</v>
      </c>
      <c r="D17" s="1798" t="s">
        <v>3127</v>
      </c>
      <c r="E17" s="1795" t="str">
        <f>IF(WEEKDAY(DATE($D$7,$D$8,E$9),2)&gt;'[5]Khai báo'!$B$4,"","X")</f>
        <v/>
      </c>
      <c r="F17" s="1795" t="str">
        <f>IF(WEEKDAY(DATE($D$7,$D$8,F$9),2)&gt;'[5]Khai báo'!$B$4,"","X")</f>
        <v>X</v>
      </c>
      <c r="G17" s="1795" t="str">
        <f>IF(WEEKDAY(DATE($D$7,$D$8,G$9),2)&gt;'[5]Khai báo'!$B$4,"","X")</f>
        <v>X</v>
      </c>
      <c r="H17" s="1795" t="str">
        <f>IF(WEEKDAY(DATE($D$7,$D$8,H$9),2)&gt;'[5]Khai báo'!$B$4,"","X")</f>
        <v>X</v>
      </c>
      <c r="I17" s="1795" t="str">
        <f>IF(WEEKDAY(DATE($D$7,$D$8,I$9),2)&gt;'[5]Khai báo'!$B$4,"","X")</f>
        <v>X</v>
      </c>
      <c r="J17" s="1795" t="str">
        <f>IF(WEEKDAY(DATE($D$7,$D$8,J$9),2)&gt;'[5]Khai báo'!$B$4,"","X")</f>
        <v>X</v>
      </c>
      <c r="K17" s="1795" t="str">
        <f>IF(WEEKDAY(DATE($D$7,$D$8,K$9),2)&gt;'[5]Khai báo'!$B$4,"","X")</f>
        <v>X</v>
      </c>
      <c r="L17" s="1795" t="str">
        <f>IF(WEEKDAY(DATE($D$7,$D$8,L$9),2)&gt;'[5]Khai báo'!$B$4,"","X")</f>
        <v/>
      </c>
      <c r="M17" s="1795" t="str">
        <f>IF(WEEKDAY(DATE($D$7,$D$8,M$9),2)&gt;'[5]Khai báo'!$B$4,"","X")</f>
        <v>X</v>
      </c>
      <c r="N17" s="1795" t="str">
        <f>IF(WEEKDAY(DATE($D$7,$D$8,N$9),2)&gt;'[5]Khai báo'!$B$4,"","X")</f>
        <v>X</v>
      </c>
      <c r="O17" s="1795" t="str">
        <f>IF(WEEKDAY(DATE($D$7,$D$8,O$9),2)&gt;'[5]Khai báo'!$B$4,"","X")</f>
        <v>X</v>
      </c>
      <c r="P17" s="1795" t="str">
        <f>IF(WEEKDAY(DATE($D$7,$D$8,P$9),2)&gt;'[5]Khai báo'!$B$4,"","X")</f>
        <v>X</v>
      </c>
      <c r="Q17" s="1795" t="str">
        <f>IF(WEEKDAY(DATE($D$7,$D$8,Q$9),2)&gt;'[5]Khai báo'!$B$4,"","X")</f>
        <v>X</v>
      </c>
      <c r="R17" s="1795" t="str">
        <f>IF(WEEKDAY(DATE($D$7,$D$8,R$9),2)&gt;'[5]Khai báo'!$B$4,"","X")</f>
        <v>X</v>
      </c>
      <c r="S17" s="1795" t="str">
        <f>IF(WEEKDAY(DATE($D$7,$D$8,S$9),2)&gt;'[5]Khai báo'!$B$4,"","X")</f>
        <v/>
      </c>
      <c r="T17" s="1795" t="str">
        <f>IF(WEEKDAY(DATE($D$7,$D$8,T$9),2)&gt;'[5]Khai báo'!$B$4,"","X")</f>
        <v>X</v>
      </c>
      <c r="U17" s="1795" t="str">
        <f>IF(WEEKDAY(DATE($D$7,$D$8,U$9),2)&gt;'[5]Khai báo'!$B$4,"","X")</f>
        <v>X</v>
      </c>
      <c r="V17" s="1795" t="str">
        <f>IF(WEEKDAY(DATE($D$7,$D$8,V$9),2)&gt;'[5]Khai báo'!$B$4,"","X")</f>
        <v>X</v>
      </c>
      <c r="W17" s="1795" t="str">
        <f>IF(WEEKDAY(DATE($D$7,$D$8,W$9),2)&gt;'[5]Khai báo'!$B$4,"","X")</f>
        <v>X</v>
      </c>
      <c r="X17" s="1795" t="str">
        <f>IF(WEEKDAY(DATE($D$7,$D$8,X$9),2)&gt;'[5]Khai báo'!$B$4,"","X")</f>
        <v>X</v>
      </c>
      <c r="Y17" s="1795" t="str">
        <f>IF(WEEKDAY(DATE($D$7,$D$8,Y$9),2)&gt;'[5]Khai báo'!$B$4,"","X")</f>
        <v>X</v>
      </c>
      <c r="Z17" s="1795" t="str">
        <f>IF(WEEKDAY(DATE($D$7,$D$8,Z$9),2)&gt;'[5]Khai báo'!$B$4,"","X")</f>
        <v/>
      </c>
      <c r="AA17" s="1795" t="str">
        <f>IF(WEEKDAY(DATE($D$7,$D$8,AA$9),2)&gt;'[5]Khai báo'!$B$4,"","X")</f>
        <v>X</v>
      </c>
      <c r="AB17" s="1795" t="str">
        <f>IF(WEEKDAY(DATE($D$7,$D$8,AB$9),2)&gt;'[5]Khai báo'!$B$4,"","X")</f>
        <v>X</v>
      </c>
      <c r="AC17" s="1795" t="str">
        <f>IF(WEEKDAY(DATE($D$7,$D$8,AC$9),2)&gt;'[5]Khai báo'!$B$4,"","X")</f>
        <v>X</v>
      </c>
      <c r="AD17" s="1795" t="str">
        <f>IF(WEEKDAY(DATE($D$7,$D$8,AD$9),2)&gt;'[5]Khai báo'!$B$4,"","X")</f>
        <v>X</v>
      </c>
      <c r="AE17" s="1795" t="str">
        <f>IF(WEEKDAY(DATE($D$7,$D$8,AE$9),2)&gt;'[5]Khai báo'!$B$4,"","X")</f>
        <v>X</v>
      </c>
      <c r="AF17" s="1795" t="str">
        <f>IF(WEEKDAY(DATE($D$7,$D$8,AF$9),2)&gt;'[5]Khai báo'!$B$4,"","X")</f>
        <v>X</v>
      </c>
      <c r="AG17" s="1795" t="str">
        <f>IF(WEEKDAY(DATE($D$7,$D$8,AG$9),2)&gt;'[5]Khai báo'!$B$4,"","X")</f>
        <v/>
      </c>
      <c r="AH17" s="1795" t="str">
        <f>IF(WEEKDAY(DATE($D$7,$D$8,AH$9),2)&gt;'[5]Khai báo'!$B$4,"","X")</f>
        <v>X</v>
      </c>
      <c r="AI17" s="1795"/>
      <c r="AJ17" s="1799">
        <f t="shared" si="1"/>
        <v>25</v>
      </c>
      <c r="AK17" s="1803">
        <f t="shared" si="2"/>
        <v>0</v>
      </c>
      <c r="AL17" s="1803"/>
      <c r="AW17" s="1800" t="e">
        <f>+AK17-#REF!</f>
        <v>#REF!</v>
      </c>
    </row>
    <row r="18" spans="1:49" s="1792" customFormat="1" ht="21.75" customHeight="1">
      <c r="B18" s="2473" t="s">
        <v>2829</v>
      </c>
      <c r="C18" s="2474"/>
      <c r="D18" s="1804"/>
      <c r="E18" s="1805">
        <f t="shared" ref="E18:AI18" si="3">COUNTIF(E11:E17,"X")+COUNTIF(E11:E17,"P")</f>
        <v>0</v>
      </c>
      <c r="F18" s="1805">
        <f t="shared" si="3"/>
        <v>7</v>
      </c>
      <c r="G18" s="1805">
        <f t="shared" si="3"/>
        <v>7</v>
      </c>
      <c r="H18" s="1805">
        <f t="shared" si="3"/>
        <v>7</v>
      </c>
      <c r="I18" s="1805">
        <f t="shared" si="3"/>
        <v>7</v>
      </c>
      <c r="J18" s="1805">
        <f t="shared" si="3"/>
        <v>7</v>
      </c>
      <c r="K18" s="1805">
        <f t="shared" si="3"/>
        <v>7</v>
      </c>
      <c r="L18" s="1805">
        <f t="shared" si="3"/>
        <v>0</v>
      </c>
      <c r="M18" s="1805">
        <f t="shared" si="3"/>
        <v>7</v>
      </c>
      <c r="N18" s="1805">
        <f t="shared" si="3"/>
        <v>7</v>
      </c>
      <c r="O18" s="1805">
        <f t="shared" si="3"/>
        <v>7</v>
      </c>
      <c r="P18" s="1805">
        <f t="shared" si="3"/>
        <v>7</v>
      </c>
      <c r="Q18" s="1805">
        <f t="shared" si="3"/>
        <v>7</v>
      </c>
      <c r="R18" s="1805">
        <f t="shared" si="3"/>
        <v>7</v>
      </c>
      <c r="S18" s="1805">
        <f t="shared" si="3"/>
        <v>0</v>
      </c>
      <c r="T18" s="1805">
        <f t="shared" si="3"/>
        <v>7</v>
      </c>
      <c r="U18" s="1805">
        <f t="shared" si="3"/>
        <v>7</v>
      </c>
      <c r="V18" s="1805">
        <f t="shared" si="3"/>
        <v>7</v>
      </c>
      <c r="W18" s="1805">
        <f t="shared" si="3"/>
        <v>7</v>
      </c>
      <c r="X18" s="1805">
        <f t="shared" si="3"/>
        <v>7</v>
      </c>
      <c r="Y18" s="1805">
        <f t="shared" si="3"/>
        <v>7</v>
      </c>
      <c r="Z18" s="1805">
        <f t="shared" si="3"/>
        <v>0</v>
      </c>
      <c r="AA18" s="1805">
        <f t="shared" si="3"/>
        <v>7</v>
      </c>
      <c r="AB18" s="1805">
        <f t="shared" si="3"/>
        <v>7</v>
      </c>
      <c r="AC18" s="1805">
        <f t="shared" si="3"/>
        <v>7</v>
      </c>
      <c r="AD18" s="1805">
        <f t="shared" si="3"/>
        <v>7</v>
      </c>
      <c r="AE18" s="1805">
        <f t="shared" si="3"/>
        <v>7</v>
      </c>
      <c r="AF18" s="1805">
        <f t="shared" si="3"/>
        <v>7</v>
      </c>
      <c r="AG18" s="1805">
        <f t="shared" si="3"/>
        <v>0</v>
      </c>
      <c r="AH18" s="1805">
        <f t="shared" si="3"/>
        <v>7</v>
      </c>
      <c r="AI18" s="1805">
        <f t="shared" si="3"/>
        <v>0</v>
      </c>
      <c r="AJ18" s="1806">
        <f>SUM(AJ11:AJ17)</f>
        <v>175</v>
      </c>
      <c r="AK18" s="1807" t="e">
        <f>SUM(#REF!,#REF!,#REF!,#REF!)</f>
        <v>#REF!</v>
      </c>
      <c r="AL18" s="1807"/>
      <c r="AW18" s="1792">
        <f>18*7</f>
        <v>126</v>
      </c>
    </row>
    <row r="19" spans="1:49" ht="14.45" customHeight="1">
      <c r="A19" s="2475" t="s">
        <v>2554</v>
      </c>
      <c r="B19" s="2475"/>
      <c r="C19" s="1794" t="s">
        <v>2830</v>
      </c>
      <c r="AJ19" s="1808"/>
      <c r="AK19" s="1808"/>
      <c r="AL19" s="1808"/>
    </row>
    <row r="20" spans="1:49">
      <c r="C20" s="1794" t="s">
        <v>3138</v>
      </c>
      <c r="AA20" s="2468"/>
      <c r="AB20" s="2468"/>
      <c r="AC20" s="2468"/>
      <c r="AD20" s="2468"/>
      <c r="AE20" s="2468"/>
      <c r="AF20" s="2468"/>
      <c r="AG20" s="2468"/>
      <c r="AH20" s="2468"/>
      <c r="AI20" s="2468"/>
      <c r="AJ20" s="2468"/>
      <c r="AK20" s="2468"/>
      <c r="AL20" s="2468"/>
    </row>
    <row r="21" spans="1:49" s="1792" customFormat="1" ht="16.5" hidden="1" customHeight="1">
      <c r="C21" s="1794" t="s">
        <v>3139</v>
      </c>
      <c r="D21" s="1794"/>
      <c r="AA21" s="2468"/>
      <c r="AB21" s="2468"/>
      <c r="AC21" s="2468"/>
      <c r="AD21" s="2468"/>
      <c r="AE21" s="2468"/>
      <c r="AF21" s="2468"/>
      <c r="AG21" s="2468"/>
      <c r="AH21" s="2468"/>
      <c r="AI21" s="2468"/>
      <c r="AJ21" s="2468"/>
      <c r="AK21" s="2468"/>
      <c r="AL21" s="2468"/>
    </row>
    <row r="22" spans="1:49" s="1809" customFormat="1" ht="16.5" customHeight="1">
      <c r="C22" s="1810" t="s">
        <v>3139</v>
      </c>
      <c r="D22" s="1810"/>
      <c r="AA22" s="2469" t="s">
        <v>3473</v>
      </c>
      <c r="AB22" s="2469"/>
      <c r="AC22" s="2469"/>
      <c r="AD22" s="2469"/>
      <c r="AE22" s="2469"/>
      <c r="AF22" s="2469"/>
      <c r="AG22" s="2469"/>
      <c r="AH22" s="2469"/>
      <c r="AI22" s="2469"/>
      <c r="AJ22" s="2469"/>
      <c r="AK22" s="2469"/>
      <c r="AL22" s="2469"/>
    </row>
    <row r="23" spans="1:49" s="1810" customFormat="1">
      <c r="A23" s="2392" t="s">
        <v>2831</v>
      </c>
      <c r="B23" s="2392"/>
      <c r="C23" s="2392"/>
      <c r="D23" s="2392"/>
      <c r="E23" s="2392"/>
      <c r="F23" s="2392"/>
      <c r="G23" s="1809"/>
      <c r="H23" s="1809"/>
      <c r="I23" s="2392" t="s">
        <v>2737</v>
      </c>
      <c r="J23" s="2392"/>
      <c r="K23" s="2392"/>
      <c r="L23" s="2392"/>
      <c r="M23" s="2392"/>
      <c r="N23" s="2392"/>
      <c r="O23" s="2392"/>
      <c r="P23" s="2392"/>
      <c r="Q23" s="2392"/>
      <c r="R23" s="2392"/>
      <c r="S23" s="2392"/>
      <c r="T23" s="2392"/>
      <c r="U23" s="1809"/>
      <c r="V23" s="2392" t="s">
        <v>2478</v>
      </c>
      <c r="W23" s="2392"/>
      <c r="X23" s="2392"/>
      <c r="Y23" s="2392"/>
      <c r="Z23" s="2392"/>
      <c r="AA23" s="2392"/>
      <c r="AB23" s="2392"/>
      <c r="AC23" s="2392"/>
      <c r="AD23" s="2392"/>
      <c r="AE23" s="1809"/>
      <c r="AF23" s="2470" t="s">
        <v>3389</v>
      </c>
      <c r="AG23" s="2470"/>
      <c r="AH23" s="2470"/>
      <c r="AI23" s="2470"/>
      <c r="AJ23" s="2470"/>
      <c r="AK23" s="2470"/>
      <c r="AL23" s="2470"/>
    </row>
    <row r="29" spans="1:49">
      <c r="I29" s="1809"/>
      <c r="J29" s="1809"/>
      <c r="K29" s="1809"/>
      <c r="L29" s="1809"/>
      <c r="M29" s="1809"/>
      <c r="N29" s="1809"/>
      <c r="O29" s="1809"/>
      <c r="P29" s="1809"/>
      <c r="Q29" s="1809"/>
      <c r="R29" s="1809"/>
      <c r="S29" s="1809"/>
      <c r="T29" s="1809"/>
    </row>
    <row r="30" spans="1:49">
      <c r="I30" s="2392" t="s">
        <v>2480</v>
      </c>
      <c r="J30" s="2392"/>
      <c r="K30" s="2392"/>
      <c r="L30" s="2392"/>
      <c r="M30" s="2392"/>
      <c r="N30" s="2392"/>
      <c r="O30" s="2392"/>
      <c r="P30" s="2392"/>
      <c r="Q30" s="2392"/>
      <c r="R30" s="2392"/>
      <c r="S30" s="2392"/>
      <c r="T30" s="2392"/>
      <c r="U30" s="1809"/>
      <c r="V30" s="2392" t="s">
        <v>3324</v>
      </c>
      <c r="W30" s="2392"/>
      <c r="X30" s="2392"/>
      <c r="Y30" s="2392"/>
      <c r="Z30" s="2392"/>
      <c r="AA30" s="2392"/>
      <c r="AB30" s="2392"/>
      <c r="AC30" s="2392"/>
      <c r="AD30" s="2392"/>
      <c r="AE30" s="2467" t="s">
        <v>3369</v>
      </c>
      <c r="AF30" s="2467"/>
      <c r="AG30" s="2467"/>
      <c r="AH30" s="2467"/>
      <c r="AI30" s="2467"/>
      <c r="AJ30" s="2467"/>
      <c r="AK30" s="2467"/>
      <c r="AL30" s="2467"/>
    </row>
    <row r="31" spans="1:49">
      <c r="W31" s="1809"/>
      <c r="X31" s="1809"/>
      <c r="Y31" s="1809"/>
      <c r="Z31" s="1809"/>
      <c r="AA31" s="1809"/>
      <c r="AB31" s="1809"/>
      <c r="AC31" s="1809"/>
      <c r="AD31" s="1809"/>
      <c r="AE31" s="1809"/>
    </row>
  </sheetData>
  <mergeCells count="27">
    <mergeCell ref="E6:AI6"/>
    <mergeCell ref="B1:AL1"/>
    <mergeCell ref="B2:AL2"/>
    <mergeCell ref="B3:AL3"/>
    <mergeCell ref="B4:K4"/>
    <mergeCell ref="B5:K5"/>
    <mergeCell ref="B7:C7"/>
    <mergeCell ref="E7:AI7"/>
    <mergeCell ref="B8:C8"/>
    <mergeCell ref="B9:B10"/>
    <mergeCell ref="C9:C10"/>
    <mergeCell ref="D9:D10"/>
    <mergeCell ref="A23:F23"/>
    <mergeCell ref="I23:T23"/>
    <mergeCell ref="V23:AD23"/>
    <mergeCell ref="AF23:AL23"/>
    <mergeCell ref="AJ9:AJ10"/>
    <mergeCell ref="AK9:AK10"/>
    <mergeCell ref="AL9:AL10"/>
    <mergeCell ref="B18:C18"/>
    <mergeCell ref="A19:B19"/>
    <mergeCell ref="AA20:AL20"/>
    <mergeCell ref="I30:T30"/>
    <mergeCell ref="V30:AD30"/>
    <mergeCell ref="AE30:AL30"/>
    <mergeCell ref="AA21:AL21"/>
    <mergeCell ref="AA22:AL22"/>
  </mergeCells>
  <printOptions horizontalCentered="1"/>
  <pageMargins left="0.118110236220472" right="0.2" top="0.55118110236220497" bottom="0.74803149606299202" header="0.31496062992126" footer="0.31496062992126"/>
  <pageSetup paperSize="9" scale="65" fitToHeight="0" orientation="landscape"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AO24"/>
  <sheetViews>
    <sheetView topLeftCell="A9" zoomScale="55" zoomScaleNormal="55" workbookViewId="0">
      <selection activeCell="L22" sqref="L22"/>
    </sheetView>
  </sheetViews>
  <sheetFormatPr defaultRowHeight="14.25"/>
  <cols>
    <col min="1" max="1" width="9.140625" style="1746"/>
    <col min="2" max="2" width="20.28515625" style="1746" customWidth="1"/>
    <col min="3" max="32" width="9.140625" style="1746"/>
    <col min="33" max="33" width="0" style="1746" hidden="1" customWidth="1"/>
    <col min="34" max="34" width="10.85546875" style="1746" customWidth="1"/>
    <col min="35" max="35" width="13.140625" style="1746" customWidth="1"/>
    <col min="36" max="16384" width="9.140625" style="1746"/>
  </cols>
  <sheetData>
    <row r="1" spans="1:35" ht="25.5">
      <c r="A1" s="2483" t="s">
        <v>0</v>
      </c>
      <c r="B1" s="2483"/>
      <c r="C1" s="2483"/>
      <c r="D1" s="2483"/>
      <c r="E1" s="2483"/>
      <c r="F1" s="2483"/>
      <c r="G1" s="2483"/>
      <c r="H1" s="2483"/>
      <c r="I1" s="2483"/>
      <c r="J1" s="2483"/>
      <c r="K1" s="2483"/>
      <c r="L1" s="2483"/>
      <c r="M1" s="2483"/>
      <c r="N1" s="2483"/>
      <c r="O1" s="2483"/>
      <c r="P1" s="2483"/>
      <c r="Q1" s="2483"/>
      <c r="R1" s="2483"/>
      <c r="S1" s="2483"/>
      <c r="T1" s="2483"/>
      <c r="U1" s="2483"/>
      <c r="V1" s="2483"/>
      <c r="W1" s="2483"/>
      <c r="X1" s="2483"/>
      <c r="Y1" s="2483"/>
      <c r="Z1" s="2483"/>
      <c r="AA1" s="2483"/>
      <c r="AB1" s="2483"/>
      <c r="AC1" s="2483"/>
      <c r="AD1" s="2483"/>
      <c r="AE1" s="2483"/>
      <c r="AF1" s="2483"/>
      <c r="AG1" s="2483"/>
      <c r="AH1" s="2483"/>
      <c r="AI1" s="2483"/>
    </row>
    <row r="2" spans="1:35" ht="25.5">
      <c r="A2" s="2483" t="s">
        <v>1968</v>
      </c>
      <c r="B2" s="2483"/>
      <c r="C2" s="2483"/>
      <c r="D2" s="2483"/>
      <c r="E2" s="2483"/>
      <c r="F2" s="2483"/>
      <c r="G2" s="2483"/>
      <c r="H2" s="2483"/>
      <c r="I2" s="2483"/>
      <c r="J2" s="2483"/>
      <c r="K2" s="2483"/>
      <c r="L2" s="2483"/>
      <c r="M2" s="2483"/>
      <c r="N2" s="2483"/>
      <c r="O2" s="2483"/>
      <c r="P2" s="2483"/>
      <c r="Q2" s="2483"/>
      <c r="R2" s="2483"/>
      <c r="S2" s="2483"/>
      <c r="T2" s="2483"/>
      <c r="U2" s="2483"/>
      <c r="V2" s="2483"/>
      <c r="W2" s="2483"/>
      <c r="X2" s="2483"/>
      <c r="Y2" s="2483"/>
      <c r="Z2" s="2483"/>
      <c r="AA2" s="2483"/>
      <c r="AB2" s="2483"/>
      <c r="AC2" s="2483"/>
      <c r="AD2" s="2483"/>
      <c r="AE2" s="2483"/>
      <c r="AF2" s="2483"/>
      <c r="AG2" s="2483"/>
      <c r="AH2" s="2483"/>
      <c r="AI2" s="2483"/>
    </row>
    <row r="3" spans="1:35" ht="18.75">
      <c r="A3" s="2489" t="s">
        <v>619</v>
      </c>
      <c r="B3" s="2489"/>
      <c r="C3" s="2489"/>
      <c r="D3" s="2489"/>
      <c r="E3" s="2489"/>
      <c r="F3" s="2489"/>
      <c r="G3" s="2489"/>
      <c r="H3" s="2489"/>
      <c r="I3" s="2489"/>
      <c r="J3" s="2489"/>
      <c r="K3" s="2489"/>
      <c r="L3" s="2489"/>
      <c r="M3" s="2489"/>
      <c r="N3" s="2489"/>
      <c r="O3" s="2489"/>
      <c r="P3" s="2489"/>
      <c r="Q3" s="2489"/>
      <c r="R3" s="2489"/>
      <c r="S3" s="2489"/>
      <c r="T3" s="2489"/>
      <c r="U3" s="2489"/>
      <c r="V3" s="2489"/>
      <c r="W3" s="2489"/>
      <c r="X3" s="2489"/>
      <c r="Y3" s="2489"/>
      <c r="Z3" s="2489"/>
      <c r="AA3" s="2489"/>
      <c r="AB3" s="2489"/>
      <c r="AC3" s="2489"/>
      <c r="AD3" s="2489"/>
      <c r="AE3" s="2489"/>
      <c r="AF3" s="2489"/>
      <c r="AG3" s="2489"/>
      <c r="AH3" s="2489"/>
      <c r="AI3" s="2489"/>
    </row>
    <row r="4" spans="1:35" ht="26.25">
      <c r="A4" s="2490" t="s">
        <v>2526</v>
      </c>
      <c r="B4" s="2490"/>
      <c r="C4" s="2490"/>
      <c r="D4" s="2490"/>
      <c r="E4" s="2490"/>
      <c r="F4" s="2490"/>
      <c r="G4" s="2490"/>
      <c r="H4" s="2490"/>
      <c r="I4" s="2490"/>
      <c r="J4" s="2490"/>
      <c r="K4" s="2490"/>
      <c r="L4" s="2490"/>
      <c r="M4" s="2490"/>
      <c r="N4" s="1727"/>
      <c r="O4" s="1727"/>
      <c r="P4" s="1727"/>
      <c r="Q4" s="1727"/>
      <c r="R4" s="1727"/>
      <c r="S4" s="1727"/>
      <c r="T4" s="1727"/>
      <c r="U4" s="1727"/>
      <c r="V4" s="1727"/>
      <c r="W4" s="1727"/>
      <c r="X4" s="2483"/>
      <c r="Y4" s="2483"/>
      <c r="Z4" s="2483"/>
      <c r="AA4" s="2483"/>
      <c r="AB4" s="2483"/>
      <c r="AC4" s="2483"/>
      <c r="AD4" s="2483"/>
      <c r="AE4" s="2483"/>
      <c r="AF4" s="2483"/>
      <c r="AG4" s="2483"/>
      <c r="AH4" s="2483"/>
      <c r="AI4" s="1727"/>
    </row>
    <row r="5" spans="1:35" ht="25.5">
      <c r="A5" s="2488" t="s">
        <v>3327</v>
      </c>
      <c r="B5" s="2488"/>
      <c r="C5" s="2488"/>
      <c r="D5" s="2488"/>
      <c r="E5" s="2488"/>
      <c r="F5" s="2488"/>
      <c r="G5" s="2488"/>
      <c r="H5" s="2488"/>
      <c r="I5" s="2488"/>
      <c r="J5" s="2488"/>
      <c r="K5" s="2488"/>
      <c r="L5" s="2488"/>
      <c r="M5" s="2488"/>
      <c r="N5" s="1727"/>
      <c r="O5" s="1727"/>
      <c r="P5" s="1727"/>
      <c r="Q5" s="1727"/>
      <c r="R5" s="1727"/>
      <c r="S5" s="1727"/>
      <c r="T5" s="1727"/>
      <c r="U5" s="1727"/>
      <c r="V5" s="1727"/>
      <c r="W5" s="1727"/>
      <c r="X5" s="2483"/>
      <c r="Y5" s="2483"/>
      <c r="Z5" s="2483"/>
      <c r="AA5" s="2483"/>
      <c r="AB5" s="2483"/>
      <c r="AC5" s="2483"/>
      <c r="AD5" s="2483"/>
      <c r="AE5" s="2483"/>
      <c r="AF5" s="2483"/>
      <c r="AG5" s="2483"/>
      <c r="AH5" s="2483"/>
      <c r="AI5" s="1727"/>
    </row>
    <row r="6" spans="1:35" ht="25.5">
      <c r="A6" s="1727"/>
      <c r="B6" s="1727"/>
      <c r="C6" s="1727"/>
      <c r="D6" s="1727"/>
      <c r="E6" s="1727"/>
      <c r="F6" s="1727"/>
      <c r="G6" s="1727"/>
      <c r="H6" s="1727"/>
      <c r="I6" s="1727"/>
      <c r="J6" s="1727"/>
      <c r="K6" s="1727"/>
      <c r="L6" s="1727"/>
      <c r="M6" s="1727"/>
      <c r="N6" s="1727"/>
      <c r="O6" s="1727"/>
      <c r="P6" s="1727"/>
      <c r="Q6" s="1727"/>
      <c r="R6" s="1727"/>
      <c r="S6" s="1727"/>
      <c r="T6" s="1727"/>
      <c r="U6" s="1727"/>
      <c r="V6" s="1727"/>
      <c r="W6" s="1727"/>
      <c r="X6" s="1727"/>
      <c r="Y6" s="1727"/>
      <c r="Z6" s="1727"/>
      <c r="AA6" s="1727"/>
      <c r="AB6" s="1727"/>
      <c r="AC6" s="1727"/>
      <c r="AD6" s="1727"/>
      <c r="AE6" s="1727"/>
      <c r="AF6" s="1727"/>
      <c r="AG6" s="1727"/>
      <c r="AH6" s="1727"/>
      <c r="AI6" s="1727"/>
    </row>
    <row r="7" spans="1:35" ht="25.5">
      <c r="A7" s="2483" t="s">
        <v>3363</v>
      </c>
      <c r="B7" s="2483"/>
      <c r="C7" s="2483"/>
      <c r="D7" s="2483"/>
      <c r="E7" s="2483"/>
      <c r="F7" s="2483"/>
      <c r="G7" s="2483"/>
      <c r="H7" s="2483"/>
      <c r="I7" s="2483"/>
      <c r="J7" s="2483"/>
      <c r="K7" s="2483"/>
      <c r="L7" s="2483"/>
      <c r="M7" s="2483"/>
      <c r="N7" s="2483"/>
      <c r="O7" s="2483"/>
      <c r="P7" s="2483"/>
      <c r="Q7" s="2483"/>
      <c r="R7" s="2483"/>
      <c r="S7" s="2483"/>
      <c r="T7" s="2483"/>
      <c r="U7" s="2483"/>
      <c r="V7" s="2483"/>
      <c r="W7" s="2483"/>
      <c r="X7" s="2483"/>
      <c r="Y7" s="2483"/>
      <c r="Z7" s="2483"/>
      <c r="AA7" s="2483"/>
      <c r="AB7" s="2483"/>
      <c r="AC7" s="2483"/>
      <c r="AD7" s="2483"/>
      <c r="AE7" s="2483"/>
      <c r="AF7" s="2483"/>
      <c r="AG7" s="2483"/>
      <c r="AH7" s="2483"/>
      <c r="AI7" s="2483"/>
    </row>
    <row r="8" spans="1:35" ht="15.75">
      <c r="A8" s="1729"/>
      <c r="B8" s="1729"/>
      <c r="C8" s="1729"/>
      <c r="D8" s="1729"/>
      <c r="E8" s="1729"/>
      <c r="F8" s="1729"/>
      <c r="G8" s="1729"/>
      <c r="H8" s="1729"/>
      <c r="I8" s="1729"/>
      <c r="J8" s="1729"/>
      <c r="K8" s="1729"/>
      <c r="L8" s="1729"/>
      <c r="M8" s="1729"/>
      <c r="N8" s="1729"/>
      <c r="O8" s="1729"/>
      <c r="P8" s="1729"/>
      <c r="Q8" s="1729"/>
      <c r="R8" s="1729"/>
      <c r="S8" s="1729"/>
      <c r="T8" s="1729"/>
      <c r="U8" s="1729"/>
      <c r="V8" s="1729"/>
      <c r="W8" s="1729"/>
      <c r="X8" s="1729"/>
      <c r="Y8" s="1729"/>
      <c r="Z8" s="1729"/>
      <c r="AA8" s="1729"/>
      <c r="AB8" s="1729"/>
      <c r="AC8" s="1729"/>
      <c r="AD8" s="1729"/>
      <c r="AE8" s="1729"/>
      <c r="AF8" s="1729"/>
      <c r="AG8" s="1729"/>
      <c r="AH8" s="1747"/>
      <c r="AI8" s="1729"/>
    </row>
    <row r="9" spans="1:35" ht="21" customHeight="1">
      <c r="A9" s="2484" t="s">
        <v>623</v>
      </c>
      <c r="B9" s="2484" t="s">
        <v>356</v>
      </c>
      <c r="C9" s="2484" t="s">
        <v>529</v>
      </c>
      <c r="D9" s="2484"/>
      <c r="E9" s="2484"/>
      <c r="F9" s="2484"/>
      <c r="G9" s="2484"/>
      <c r="H9" s="2484"/>
      <c r="I9" s="2484"/>
      <c r="J9" s="2484"/>
      <c r="K9" s="2484"/>
      <c r="L9" s="2484"/>
      <c r="M9" s="2484"/>
      <c r="N9" s="2484"/>
      <c r="O9" s="2484"/>
      <c r="P9" s="2484"/>
      <c r="Q9" s="2484"/>
      <c r="R9" s="2484"/>
      <c r="S9" s="2484"/>
      <c r="T9" s="2484"/>
      <c r="U9" s="2484"/>
      <c r="V9" s="2484"/>
      <c r="W9" s="2484"/>
      <c r="X9" s="2484"/>
      <c r="Y9" s="2484"/>
      <c r="Z9" s="2484"/>
      <c r="AA9" s="2484"/>
      <c r="AB9" s="2484"/>
      <c r="AC9" s="2484"/>
      <c r="AD9" s="2484"/>
      <c r="AE9" s="2484"/>
      <c r="AF9" s="2484"/>
      <c r="AG9" s="2484"/>
      <c r="AH9" s="2485" t="s">
        <v>3353</v>
      </c>
      <c r="AI9" s="2487" t="s">
        <v>627</v>
      </c>
    </row>
    <row r="10" spans="1:35" ht="47.25" customHeight="1">
      <c r="A10" s="2484"/>
      <c r="B10" s="2484"/>
      <c r="C10" s="2167">
        <v>1</v>
      </c>
      <c r="D10" s="2167">
        <v>2</v>
      </c>
      <c r="E10" s="2167">
        <v>3</v>
      </c>
      <c r="F10" s="2167">
        <v>4</v>
      </c>
      <c r="G10" s="2167">
        <v>5</v>
      </c>
      <c r="H10" s="2167">
        <v>6</v>
      </c>
      <c r="I10" s="2167">
        <v>7</v>
      </c>
      <c r="J10" s="2167">
        <v>8</v>
      </c>
      <c r="K10" s="2167">
        <v>9</v>
      </c>
      <c r="L10" s="2167">
        <v>10</v>
      </c>
      <c r="M10" s="2167">
        <v>11</v>
      </c>
      <c r="N10" s="2167">
        <v>12</v>
      </c>
      <c r="O10" s="2167">
        <v>13</v>
      </c>
      <c r="P10" s="2167">
        <v>14</v>
      </c>
      <c r="Q10" s="2167">
        <v>15</v>
      </c>
      <c r="R10" s="2167">
        <v>16</v>
      </c>
      <c r="S10" s="2167">
        <v>17</v>
      </c>
      <c r="T10" s="2167">
        <v>18</v>
      </c>
      <c r="U10" s="2167">
        <v>19</v>
      </c>
      <c r="V10" s="2167">
        <v>20</v>
      </c>
      <c r="W10" s="2167">
        <v>21</v>
      </c>
      <c r="X10" s="2167">
        <v>22</v>
      </c>
      <c r="Y10" s="2167">
        <v>23</v>
      </c>
      <c r="Z10" s="2167">
        <v>24</v>
      </c>
      <c r="AA10" s="2167">
        <v>25</v>
      </c>
      <c r="AB10" s="2167">
        <v>26</v>
      </c>
      <c r="AC10" s="2167">
        <v>27</v>
      </c>
      <c r="AD10" s="2167">
        <v>28</v>
      </c>
      <c r="AE10" s="2167">
        <v>29</v>
      </c>
      <c r="AF10" s="2167">
        <v>30</v>
      </c>
      <c r="AG10" s="1731"/>
      <c r="AH10" s="2486"/>
      <c r="AI10" s="2487"/>
    </row>
    <row r="11" spans="1:35" ht="15.75" hidden="1">
      <c r="A11" s="1748" t="s">
        <v>2805</v>
      </c>
      <c r="B11" s="1748" t="s">
        <v>3364</v>
      </c>
      <c r="C11" s="1748">
        <f t="shared" ref="C11:AG11" si="0">COUNTIF(C12:C17,"x")+COUNTIF(C12:C17,"cn")+COUNTIF(C12:C17,"cnđ")+COUNTIF(C12:C17,"đ")</f>
        <v>6</v>
      </c>
      <c r="D11" s="1748">
        <f t="shared" si="0"/>
        <v>6</v>
      </c>
      <c r="E11" s="1748">
        <f t="shared" si="0"/>
        <v>6</v>
      </c>
      <c r="F11" s="1748">
        <f t="shared" si="0"/>
        <v>6</v>
      </c>
      <c r="G11" s="1748">
        <f t="shared" si="0"/>
        <v>6</v>
      </c>
      <c r="H11" s="1748">
        <f t="shared" si="0"/>
        <v>6</v>
      </c>
      <c r="I11" s="1748">
        <f t="shared" si="0"/>
        <v>6</v>
      </c>
      <c r="J11" s="1748">
        <f t="shared" si="0"/>
        <v>6</v>
      </c>
      <c r="K11" s="1748">
        <f t="shared" si="0"/>
        <v>6</v>
      </c>
      <c r="L11" s="1748">
        <f t="shared" si="0"/>
        <v>6</v>
      </c>
      <c r="M11" s="1748">
        <f t="shared" si="0"/>
        <v>6</v>
      </c>
      <c r="N11" s="1748">
        <f t="shared" si="0"/>
        <v>0</v>
      </c>
      <c r="O11" s="1748">
        <f t="shared" si="0"/>
        <v>6</v>
      </c>
      <c r="P11" s="1748">
        <f t="shared" si="0"/>
        <v>6</v>
      </c>
      <c r="Q11" s="1748">
        <f t="shared" si="0"/>
        <v>6</v>
      </c>
      <c r="R11" s="1748">
        <f t="shared" si="0"/>
        <v>6</v>
      </c>
      <c r="S11" s="1748">
        <f t="shared" si="0"/>
        <v>6</v>
      </c>
      <c r="T11" s="1748">
        <f t="shared" si="0"/>
        <v>6</v>
      </c>
      <c r="U11" s="1748">
        <f t="shared" si="0"/>
        <v>6</v>
      </c>
      <c r="V11" s="1748">
        <f t="shared" si="0"/>
        <v>6</v>
      </c>
      <c r="W11" s="1748">
        <f t="shared" si="0"/>
        <v>6</v>
      </c>
      <c r="X11" s="1748">
        <f t="shared" si="0"/>
        <v>6</v>
      </c>
      <c r="Y11" s="1748">
        <f t="shared" si="0"/>
        <v>6</v>
      </c>
      <c r="Z11" s="1748">
        <f t="shared" si="0"/>
        <v>6</v>
      </c>
      <c r="AA11" s="1748">
        <f t="shared" si="0"/>
        <v>6</v>
      </c>
      <c r="AB11" s="1748">
        <f t="shared" si="0"/>
        <v>6</v>
      </c>
      <c r="AC11" s="1748">
        <f t="shared" si="0"/>
        <v>6</v>
      </c>
      <c r="AD11" s="1748">
        <f t="shared" si="0"/>
        <v>6</v>
      </c>
      <c r="AE11" s="1748">
        <f t="shared" si="0"/>
        <v>6</v>
      </c>
      <c r="AF11" s="1748">
        <f t="shared" si="0"/>
        <v>6</v>
      </c>
      <c r="AG11" s="1748">
        <f t="shared" si="0"/>
        <v>0</v>
      </c>
      <c r="AH11" s="1748">
        <f>SUM(AH12:AH17)</f>
        <v>174</v>
      </c>
      <c r="AI11" s="1742"/>
    </row>
    <row r="12" spans="1:35" s="2220" customFormat="1" ht="32.25" customHeight="1">
      <c r="A12" s="2217">
        <v>1</v>
      </c>
      <c r="B12" s="2218" t="str">
        <f>+'[6]Biểu 1 TH CÔNG copy'!C83</f>
        <v>Thảo Vong</v>
      </c>
      <c r="C12" s="1740" t="s">
        <v>2553</v>
      </c>
      <c r="D12" s="1740" t="s">
        <v>2553</v>
      </c>
      <c r="E12" s="1740" t="s">
        <v>2553</v>
      </c>
      <c r="F12" s="1740" t="s">
        <v>2553</v>
      </c>
      <c r="G12" s="1740" t="s">
        <v>2553</v>
      </c>
      <c r="H12" s="1740" t="s">
        <v>2553</v>
      </c>
      <c r="I12" s="1740" t="s">
        <v>2553</v>
      </c>
      <c r="J12" s="1740" t="s">
        <v>2553</v>
      </c>
      <c r="K12" s="1740" t="s">
        <v>2553</v>
      </c>
      <c r="L12" s="1740" t="s">
        <v>2553</v>
      </c>
      <c r="M12" s="1740" t="s">
        <v>2553</v>
      </c>
      <c r="N12" s="1740"/>
      <c r="O12" s="1740" t="s">
        <v>2553</v>
      </c>
      <c r="P12" s="1740" t="s">
        <v>2553</v>
      </c>
      <c r="Q12" s="1740" t="s">
        <v>2553</v>
      </c>
      <c r="R12" s="1740" t="s">
        <v>2553</v>
      </c>
      <c r="S12" s="1740" t="s">
        <v>2553</v>
      </c>
      <c r="T12" s="1740" t="s">
        <v>2553</v>
      </c>
      <c r="U12" s="1740" t="s">
        <v>2553</v>
      </c>
      <c r="V12" s="1740" t="s">
        <v>2553</v>
      </c>
      <c r="W12" s="1740" t="s">
        <v>2553</v>
      </c>
      <c r="X12" s="1740" t="s">
        <v>2553</v>
      </c>
      <c r="Y12" s="1740" t="s">
        <v>2553</v>
      </c>
      <c r="Z12" s="1740" t="s">
        <v>2553</v>
      </c>
      <c r="AA12" s="1740" t="s">
        <v>2553</v>
      </c>
      <c r="AB12" s="1740" t="s">
        <v>2553</v>
      </c>
      <c r="AC12" s="1740" t="s">
        <v>2553</v>
      </c>
      <c r="AD12" s="1740" t="s">
        <v>2553</v>
      </c>
      <c r="AE12" s="1740" t="s">
        <v>2553</v>
      </c>
      <c r="AF12" s="1740" t="s">
        <v>2553</v>
      </c>
      <c r="AG12" s="1740"/>
      <c r="AH12" s="1731">
        <f>COUNTIF(C12:AG12,"X")</f>
        <v>29</v>
      </c>
      <c r="AI12" s="2219"/>
    </row>
    <row r="13" spans="1:35" s="2220" customFormat="1" ht="32.25" customHeight="1">
      <c r="A13" s="2217">
        <v>2</v>
      </c>
      <c r="B13" s="2218" t="str">
        <f>+'[6]Biểu 1 TH CÔNG copy'!C84</f>
        <v>Nàng Veng</v>
      </c>
      <c r="C13" s="1740" t="s">
        <v>2553</v>
      </c>
      <c r="D13" s="1740" t="s">
        <v>2553</v>
      </c>
      <c r="E13" s="1740" t="s">
        <v>2553</v>
      </c>
      <c r="F13" s="1740" t="s">
        <v>2553</v>
      </c>
      <c r="G13" s="1740" t="s">
        <v>2553</v>
      </c>
      <c r="H13" s="1740" t="s">
        <v>2553</v>
      </c>
      <c r="I13" s="1740" t="s">
        <v>2553</v>
      </c>
      <c r="J13" s="1740" t="s">
        <v>2553</v>
      </c>
      <c r="K13" s="1740" t="s">
        <v>2553</v>
      </c>
      <c r="L13" s="1740" t="s">
        <v>2553</v>
      </c>
      <c r="M13" s="1740" t="s">
        <v>2553</v>
      </c>
      <c r="N13" s="1740"/>
      <c r="O13" s="1740" t="s">
        <v>2553</v>
      </c>
      <c r="P13" s="1740" t="s">
        <v>2553</v>
      </c>
      <c r="Q13" s="1740" t="s">
        <v>2553</v>
      </c>
      <c r="R13" s="1740" t="s">
        <v>2553</v>
      </c>
      <c r="S13" s="1740" t="s">
        <v>2553</v>
      </c>
      <c r="T13" s="1740" t="s">
        <v>2553</v>
      </c>
      <c r="U13" s="1740" t="s">
        <v>2553</v>
      </c>
      <c r="V13" s="1740" t="s">
        <v>2553</v>
      </c>
      <c r="W13" s="1740" t="s">
        <v>2553</v>
      </c>
      <c r="X13" s="1740" t="s">
        <v>2553</v>
      </c>
      <c r="Y13" s="1740" t="s">
        <v>2553</v>
      </c>
      <c r="Z13" s="1740" t="s">
        <v>2553</v>
      </c>
      <c r="AA13" s="1740" t="s">
        <v>2553</v>
      </c>
      <c r="AB13" s="1740" t="s">
        <v>2553</v>
      </c>
      <c r="AC13" s="1740" t="s">
        <v>2553</v>
      </c>
      <c r="AD13" s="1740" t="s">
        <v>2553</v>
      </c>
      <c r="AE13" s="1740" t="s">
        <v>2553</v>
      </c>
      <c r="AF13" s="1740" t="s">
        <v>2553</v>
      </c>
      <c r="AG13" s="1740"/>
      <c r="AH13" s="1731">
        <f t="shared" ref="AH13:AH17" si="1">COUNTIF(C13:AG13,"X")</f>
        <v>29</v>
      </c>
      <c r="AI13" s="2219"/>
    </row>
    <row r="14" spans="1:35" s="2220" customFormat="1" ht="32.25" customHeight="1">
      <c r="A14" s="2217">
        <v>3</v>
      </c>
      <c r="B14" s="2218" t="str">
        <f>+'[6]Biểu 1 TH CÔNG copy'!C85</f>
        <v>Thảo Đuông Chăn</v>
      </c>
      <c r="C14" s="1740" t="s">
        <v>2553</v>
      </c>
      <c r="D14" s="1740" t="s">
        <v>2553</v>
      </c>
      <c r="E14" s="1740" t="s">
        <v>2553</v>
      </c>
      <c r="F14" s="1740" t="s">
        <v>2553</v>
      </c>
      <c r="G14" s="1740" t="s">
        <v>2553</v>
      </c>
      <c r="H14" s="1740" t="s">
        <v>2553</v>
      </c>
      <c r="I14" s="1740" t="s">
        <v>2553</v>
      </c>
      <c r="J14" s="1740" t="s">
        <v>2553</v>
      </c>
      <c r="K14" s="1740" t="s">
        <v>2553</v>
      </c>
      <c r="L14" s="1740" t="s">
        <v>2553</v>
      </c>
      <c r="M14" s="1740" t="s">
        <v>2553</v>
      </c>
      <c r="N14" s="1740"/>
      <c r="O14" s="1740" t="s">
        <v>2553</v>
      </c>
      <c r="P14" s="1740" t="s">
        <v>2553</v>
      </c>
      <c r="Q14" s="1740" t="s">
        <v>2553</v>
      </c>
      <c r="R14" s="1740" t="s">
        <v>2553</v>
      </c>
      <c r="S14" s="1740" t="s">
        <v>2553</v>
      </c>
      <c r="T14" s="1740" t="s">
        <v>2553</v>
      </c>
      <c r="U14" s="1740" t="s">
        <v>2553</v>
      </c>
      <c r="V14" s="1740" t="s">
        <v>2553</v>
      </c>
      <c r="W14" s="1740" t="s">
        <v>2553</v>
      </c>
      <c r="X14" s="1740" t="s">
        <v>2553</v>
      </c>
      <c r="Y14" s="1740" t="s">
        <v>2553</v>
      </c>
      <c r="Z14" s="1740" t="s">
        <v>2553</v>
      </c>
      <c r="AA14" s="1740" t="s">
        <v>2553</v>
      </c>
      <c r="AB14" s="1740" t="s">
        <v>2553</v>
      </c>
      <c r="AC14" s="1740" t="s">
        <v>2553</v>
      </c>
      <c r="AD14" s="1740" t="s">
        <v>2553</v>
      </c>
      <c r="AE14" s="1740" t="s">
        <v>2553</v>
      </c>
      <c r="AF14" s="1740" t="s">
        <v>2553</v>
      </c>
      <c r="AG14" s="1740"/>
      <c r="AH14" s="1731">
        <f t="shared" si="1"/>
        <v>29</v>
      </c>
      <c r="AI14" s="2219"/>
    </row>
    <row r="15" spans="1:35" s="2220" customFormat="1" ht="32.25" customHeight="1">
      <c r="A15" s="2217">
        <v>4</v>
      </c>
      <c r="B15" s="2218" t="str">
        <f>+'[6]Biểu 1 TH CÔNG copy'!C86</f>
        <v>Nàng Peng</v>
      </c>
      <c r="C15" s="1740" t="s">
        <v>2553</v>
      </c>
      <c r="D15" s="1740" t="s">
        <v>2553</v>
      </c>
      <c r="E15" s="1740" t="s">
        <v>2553</v>
      </c>
      <c r="F15" s="1740" t="s">
        <v>2553</v>
      </c>
      <c r="G15" s="1740" t="s">
        <v>2553</v>
      </c>
      <c r="H15" s="1740" t="s">
        <v>2553</v>
      </c>
      <c r="I15" s="1740" t="s">
        <v>2553</v>
      </c>
      <c r="J15" s="1740" t="s">
        <v>2553</v>
      </c>
      <c r="K15" s="1740" t="s">
        <v>2553</v>
      </c>
      <c r="L15" s="1740" t="s">
        <v>2553</v>
      </c>
      <c r="M15" s="1740" t="s">
        <v>2553</v>
      </c>
      <c r="N15" s="1740"/>
      <c r="O15" s="1740" t="s">
        <v>2553</v>
      </c>
      <c r="P15" s="1740" t="s">
        <v>2553</v>
      </c>
      <c r="Q15" s="1740" t="s">
        <v>2553</v>
      </c>
      <c r="R15" s="1740" t="s">
        <v>2553</v>
      </c>
      <c r="S15" s="1740" t="s">
        <v>2553</v>
      </c>
      <c r="T15" s="1740" t="s">
        <v>2553</v>
      </c>
      <c r="U15" s="1740" t="s">
        <v>2553</v>
      </c>
      <c r="V15" s="1740" t="s">
        <v>2553</v>
      </c>
      <c r="W15" s="1740" t="s">
        <v>2553</v>
      </c>
      <c r="X15" s="1740" t="s">
        <v>2553</v>
      </c>
      <c r="Y15" s="1740" t="s">
        <v>2553</v>
      </c>
      <c r="Z15" s="1740" t="s">
        <v>2553</v>
      </c>
      <c r="AA15" s="1740" t="s">
        <v>2553</v>
      </c>
      <c r="AB15" s="1740" t="s">
        <v>2553</v>
      </c>
      <c r="AC15" s="1740" t="s">
        <v>2553</v>
      </c>
      <c r="AD15" s="1740" t="s">
        <v>2553</v>
      </c>
      <c r="AE15" s="1740" t="s">
        <v>2553</v>
      </c>
      <c r="AF15" s="1740" t="s">
        <v>2553</v>
      </c>
      <c r="AG15" s="1740"/>
      <c r="AH15" s="1731">
        <f t="shared" si="1"/>
        <v>29</v>
      </c>
      <c r="AI15" s="2219"/>
    </row>
    <row r="16" spans="1:35" s="2220" customFormat="1" ht="32.25" customHeight="1">
      <c r="A16" s="2217">
        <v>5</v>
      </c>
      <c r="B16" s="2218" t="str">
        <f>+'[6]Biểu 1 TH CÔNG copy'!C87</f>
        <v>Thảo Xay Tho</v>
      </c>
      <c r="C16" s="1740" t="s">
        <v>2553</v>
      </c>
      <c r="D16" s="1740" t="s">
        <v>2553</v>
      </c>
      <c r="E16" s="1740" t="s">
        <v>2553</v>
      </c>
      <c r="F16" s="1740" t="s">
        <v>2553</v>
      </c>
      <c r="G16" s="1740" t="s">
        <v>2553</v>
      </c>
      <c r="H16" s="1740" t="s">
        <v>2553</v>
      </c>
      <c r="I16" s="1740" t="s">
        <v>2553</v>
      </c>
      <c r="J16" s="1740" t="s">
        <v>2553</v>
      </c>
      <c r="K16" s="1740" t="s">
        <v>2553</v>
      </c>
      <c r="L16" s="1740" t="s">
        <v>2553</v>
      </c>
      <c r="M16" s="1740" t="s">
        <v>2553</v>
      </c>
      <c r="N16" s="1740"/>
      <c r="O16" s="1740" t="s">
        <v>2553</v>
      </c>
      <c r="P16" s="1740" t="s">
        <v>2553</v>
      </c>
      <c r="Q16" s="1740" t="s">
        <v>2553</v>
      </c>
      <c r="R16" s="1740" t="s">
        <v>2553</v>
      </c>
      <c r="S16" s="1740" t="s">
        <v>2553</v>
      </c>
      <c r="T16" s="1740" t="s">
        <v>2553</v>
      </c>
      <c r="U16" s="1740" t="s">
        <v>2553</v>
      </c>
      <c r="V16" s="1740" t="s">
        <v>2553</v>
      </c>
      <c r="W16" s="1740" t="s">
        <v>2553</v>
      </c>
      <c r="X16" s="1740" t="s">
        <v>2553</v>
      </c>
      <c r="Y16" s="1740" t="s">
        <v>2553</v>
      </c>
      <c r="Z16" s="1740" t="s">
        <v>2553</v>
      </c>
      <c r="AA16" s="1740" t="s">
        <v>2553</v>
      </c>
      <c r="AB16" s="1740" t="s">
        <v>2553</v>
      </c>
      <c r="AC16" s="1740" t="s">
        <v>2553</v>
      </c>
      <c r="AD16" s="1740" t="s">
        <v>2553</v>
      </c>
      <c r="AE16" s="1740" t="s">
        <v>2553</v>
      </c>
      <c r="AF16" s="1740" t="s">
        <v>2553</v>
      </c>
      <c r="AG16" s="1740"/>
      <c r="AH16" s="1731">
        <f t="shared" si="1"/>
        <v>29</v>
      </c>
      <c r="AI16" s="2219"/>
    </row>
    <row r="17" spans="1:41" s="2220" customFormat="1" ht="32.25" customHeight="1">
      <c r="A17" s="2217">
        <v>6</v>
      </c>
      <c r="B17" s="2218" t="str">
        <f>+'[6]Biểu 1 TH CÔNG copy'!C88</f>
        <v>Nàng Xia Lô</v>
      </c>
      <c r="C17" s="1740" t="s">
        <v>2553</v>
      </c>
      <c r="D17" s="1740" t="s">
        <v>2553</v>
      </c>
      <c r="E17" s="1740" t="s">
        <v>2553</v>
      </c>
      <c r="F17" s="1740" t="s">
        <v>2553</v>
      </c>
      <c r="G17" s="1740" t="s">
        <v>2553</v>
      </c>
      <c r="H17" s="1740" t="s">
        <v>2553</v>
      </c>
      <c r="I17" s="1740" t="s">
        <v>2553</v>
      </c>
      <c r="J17" s="1740" t="s">
        <v>2553</v>
      </c>
      <c r="K17" s="1740" t="s">
        <v>2553</v>
      </c>
      <c r="L17" s="1740" t="s">
        <v>2553</v>
      </c>
      <c r="M17" s="1740" t="s">
        <v>2553</v>
      </c>
      <c r="N17" s="1740"/>
      <c r="O17" s="1740" t="s">
        <v>2553</v>
      </c>
      <c r="P17" s="1740" t="s">
        <v>2553</v>
      </c>
      <c r="Q17" s="1740" t="s">
        <v>2553</v>
      </c>
      <c r="R17" s="1740" t="s">
        <v>2553</v>
      </c>
      <c r="S17" s="1740" t="s">
        <v>2553</v>
      </c>
      <c r="T17" s="1740" t="s">
        <v>2553</v>
      </c>
      <c r="U17" s="1740" t="s">
        <v>2553</v>
      </c>
      <c r="V17" s="1740" t="s">
        <v>2553</v>
      </c>
      <c r="W17" s="1740" t="s">
        <v>2553</v>
      </c>
      <c r="X17" s="1740" t="s">
        <v>2553</v>
      </c>
      <c r="Y17" s="1740" t="s">
        <v>2553</v>
      </c>
      <c r="Z17" s="1740" t="s">
        <v>2553</v>
      </c>
      <c r="AA17" s="1740" t="s">
        <v>2553</v>
      </c>
      <c r="AB17" s="1740" t="s">
        <v>2553</v>
      </c>
      <c r="AC17" s="1740" t="s">
        <v>2553</v>
      </c>
      <c r="AD17" s="1740" t="s">
        <v>2553</v>
      </c>
      <c r="AE17" s="1740" t="s">
        <v>2553</v>
      </c>
      <c r="AF17" s="1740" t="s">
        <v>2553</v>
      </c>
      <c r="AG17" s="1740"/>
      <c r="AH17" s="1731">
        <f t="shared" si="1"/>
        <v>29</v>
      </c>
      <c r="AI17" s="2219"/>
    </row>
    <row r="18" spans="1:41" ht="32.25" customHeight="1">
      <c r="A18" s="1742"/>
      <c r="B18" s="2221" t="s">
        <v>3356</v>
      </c>
      <c r="C18" s="1748">
        <f>+C11</f>
        <v>6</v>
      </c>
      <c r="D18" s="1748">
        <f t="shared" ref="D18:AG18" si="2">+D11</f>
        <v>6</v>
      </c>
      <c r="E18" s="1748">
        <f t="shared" si="2"/>
        <v>6</v>
      </c>
      <c r="F18" s="1748">
        <f t="shared" si="2"/>
        <v>6</v>
      </c>
      <c r="G18" s="1748">
        <f t="shared" si="2"/>
        <v>6</v>
      </c>
      <c r="H18" s="1748">
        <f t="shared" si="2"/>
        <v>6</v>
      </c>
      <c r="I18" s="1748">
        <f t="shared" si="2"/>
        <v>6</v>
      </c>
      <c r="J18" s="1748">
        <f t="shared" si="2"/>
        <v>6</v>
      </c>
      <c r="K18" s="1748">
        <f t="shared" si="2"/>
        <v>6</v>
      </c>
      <c r="L18" s="1748">
        <f t="shared" si="2"/>
        <v>6</v>
      </c>
      <c r="M18" s="1748">
        <f t="shared" si="2"/>
        <v>6</v>
      </c>
      <c r="N18" s="1748">
        <f t="shared" si="2"/>
        <v>0</v>
      </c>
      <c r="O18" s="1748">
        <f t="shared" si="2"/>
        <v>6</v>
      </c>
      <c r="P18" s="1748">
        <f t="shared" si="2"/>
        <v>6</v>
      </c>
      <c r="Q18" s="1748">
        <f t="shared" si="2"/>
        <v>6</v>
      </c>
      <c r="R18" s="1748">
        <f t="shared" si="2"/>
        <v>6</v>
      </c>
      <c r="S18" s="1748">
        <f t="shared" si="2"/>
        <v>6</v>
      </c>
      <c r="T18" s="1748">
        <f t="shared" si="2"/>
        <v>6</v>
      </c>
      <c r="U18" s="1748">
        <f t="shared" si="2"/>
        <v>6</v>
      </c>
      <c r="V18" s="1748">
        <f t="shared" si="2"/>
        <v>6</v>
      </c>
      <c r="W18" s="1748">
        <f t="shared" si="2"/>
        <v>6</v>
      </c>
      <c r="X18" s="1748">
        <f t="shared" si="2"/>
        <v>6</v>
      </c>
      <c r="Y18" s="1748">
        <f t="shared" si="2"/>
        <v>6</v>
      </c>
      <c r="Z18" s="1748">
        <f t="shared" si="2"/>
        <v>6</v>
      </c>
      <c r="AA18" s="1748">
        <f t="shared" si="2"/>
        <v>6</v>
      </c>
      <c r="AB18" s="1748">
        <f t="shared" si="2"/>
        <v>6</v>
      </c>
      <c r="AC18" s="1748">
        <f t="shared" si="2"/>
        <v>6</v>
      </c>
      <c r="AD18" s="1748">
        <f t="shared" si="2"/>
        <v>6</v>
      </c>
      <c r="AE18" s="1748">
        <f t="shared" si="2"/>
        <v>6</v>
      </c>
      <c r="AF18" s="1748">
        <f t="shared" si="2"/>
        <v>6</v>
      </c>
      <c r="AG18" s="1748">
        <f t="shared" si="2"/>
        <v>0</v>
      </c>
      <c r="AH18" s="1748">
        <f>+AH11</f>
        <v>174</v>
      </c>
      <c r="AI18" s="1742"/>
    </row>
    <row r="19" spans="1:41" ht="15.75">
      <c r="A19" s="1729"/>
      <c r="B19" s="2481" t="s">
        <v>2554</v>
      </c>
      <c r="C19" s="2481"/>
      <c r="D19" s="1729"/>
      <c r="E19" s="1729"/>
      <c r="F19" s="1729"/>
      <c r="G19" s="1729"/>
      <c r="H19" s="1729"/>
      <c r="I19" s="1729"/>
      <c r="J19" s="1729"/>
      <c r="K19" s="1729"/>
      <c r="L19" s="1729"/>
      <c r="M19" s="1729"/>
      <c r="N19" s="1729"/>
      <c r="O19" s="1729"/>
      <c r="P19" s="1729"/>
      <c r="Q19" s="1729"/>
      <c r="R19" s="1729"/>
      <c r="S19" s="1729"/>
      <c r="T19" s="1729"/>
      <c r="U19" s="1729"/>
      <c r="V19" s="1729"/>
      <c r="W19" s="1729"/>
      <c r="X19" s="1729"/>
      <c r="Y19" s="1729"/>
      <c r="Z19" s="1729"/>
      <c r="AA19" s="1729"/>
      <c r="AB19" s="1729"/>
      <c r="AC19" s="1729"/>
      <c r="AD19" s="1729"/>
      <c r="AE19" s="1729"/>
      <c r="AF19" s="1729"/>
      <c r="AG19" s="1729"/>
      <c r="AH19" s="1729"/>
      <c r="AI19" s="1729"/>
    </row>
    <row r="20" spans="1:41" ht="15.75">
      <c r="A20" s="1729"/>
      <c r="B20" s="1745" t="s">
        <v>3357</v>
      </c>
      <c r="C20" s="1729"/>
      <c r="D20" s="1729"/>
      <c r="E20" s="1729"/>
      <c r="F20" s="1729"/>
      <c r="G20" s="1729"/>
      <c r="H20" s="1729"/>
      <c r="I20" s="1729"/>
      <c r="J20" s="1729"/>
      <c r="K20" s="1729"/>
      <c r="L20" s="1729"/>
      <c r="M20" s="1729"/>
      <c r="N20" s="1729"/>
      <c r="O20" s="1729"/>
      <c r="P20" s="1729"/>
      <c r="Q20" s="1729"/>
      <c r="R20" s="1729"/>
      <c r="S20" s="1729"/>
      <c r="T20" s="1729"/>
      <c r="U20" s="1729"/>
      <c r="V20" s="1729"/>
      <c r="W20" s="1729"/>
      <c r="X20" s="1729"/>
      <c r="Y20" s="1729"/>
      <c r="Z20" s="1729"/>
      <c r="AA20" s="1729"/>
      <c r="AB20" s="1729"/>
      <c r="AC20" s="1729"/>
      <c r="AD20" s="1729"/>
      <c r="AE20" s="1729"/>
      <c r="AF20" s="1729"/>
      <c r="AG20" s="1729"/>
      <c r="AH20" s="1729"/>
      <c r="AI20" s="1729"/>
    </row>
    <row r="21" spans="1:41" ht="15.75">
      <c r="A21" s="1729"/>
      <c r="B21" s="1745" t="s">
        <v>3358</v>
      </c>
      <c r="C21" s="1729"/>
      <c r="D21" s="1729"/>
      <c r="E21" s="1729"/>
      <c r="F21" s="1729"/>
      <c r="G21" s="1729"/>
      <c r="H21" s="1729"/>
      <c r="I21" s="1729"/>
      <c r="J21" s="1729"/>
      <c r="K21" s="1729"/>
      <c r="L21" s="1729"/>
      <c r="M21" s="1729"/>
      <c r="N21" s="1729"/>
      <c r="O21" s="1729"/>
      <c r="P21" s="1729"/>
      <c r="Q21" s="1729"/>
      <c r="R21" s="1729"/>
      <c r="S21" s="1729"/>
      <c r="T21" s="1729"/>
      <c r="U21" s="1729"/>
      <c r="V21" s="1729"/>
      <c r="W21" s="1729"/>
      <c r="X21" s="1729"/>
      <c r="Y21" s="1729"/>
      <c r="Z21" s="1729"/>
      <c r="AA21" s="1729"/>
      <c r="AB21" s="1729"/>
      <c r="AC21" s="1729"/>
      <c r="AD21" s="1729"/>
      <c r="AE21" s="1729"/>
      <c r="AF21" s="1729"/>
      <c r="AG21" s="1729"/>
      <c r="AH21" s="1729"/>
      <c r="AI21" s="1729"/>
    </row>
    <row r="22" spans="1:41" ht="19.5">
      <c r="A22" s="1702"/>
      <c r="B22" s="1703"/>
      <c r="C22" s="1702"/>
      <c r="D22" s="1702"/>
      <c r="E22" s="1702"/>
      <c r="F22" s="1702"/>
      <c r="G22" s="1702"/>
      <c r="H22" s="1702"/>
      <c r="I22" s="1702"/>
      <c r="J22" s="1702"/>
      <c r="K22" s="1702"/>
      <c r="L22" s="1702"/>
      <c r="M22" s="1702"/>
      <c r="N22" s="1702"/>
      <c r="O22" s="1702"/>
      <c r="P22" s="1702"/>
      <c r="Q22" s="1702"/>
      <c r="R22" s="1702"/>
      <c r="S22" s="1702"/>
      <c r="T22" s="1702"/>
      <c r="U22" s="1702"/>
      <c r="V22" s="1702"/>
      <c r="W22" s="1702"/>
      <c r="X22" s="1702"/>
      <c r="Y22" s="1702"/>
      <c r="Z22" s="1702"/>
      <c r="AA22" s="1702"/>
      <c r="AB22" s="1702"/>
      <c r="AC22" s="2482" t="s">
        <v>3317</v>
      </c>
      <c r="AD22" s="2482"/>
      <c r="AE22" s="2482"/>
      <c r="AF22" s="2482"/>
      <c r="AG22" s="2482"/>
      <c r="AH22" s="2482"/>
      <c r="AI22" s="2482"/>
    </row>
    <row r="23" spans="1:41" s="1705" customFormat="1" ht="21" customHeight="1">
      <c r="A23" s="1704"/>
      <c r="B23" s="1705" t="s">
        <v>614</v>
      </c>
      <c r="C23" s="1706"/>
      <c r="D23" s="1706"/>
      <c r="H23" s="1705" t="s">
        <v>2486</v>
      </c>
      <c r="N23" s="1706" t="s">
        <v>3339</v>
      </c>
      <c r="T23" s="1706" t="s">
        <v>3340</v>
      </c>
      <c r="U23" s="1706"/>
      <c r="W23" s="1706"/>
      <c r="Y23" s="1706"/>
      <c r="Z23" s="1706"/>
      <c r="AB23" s="1706" t="s">
        <v>2478</v>
      </c>
      <c r="AF23" s="1749" t="s">
        <v>612</v>
      </c>
      <c r="AG23" s="1749"/>
      <c r="AH23" s="1749"/>
      <c r="AI23" s="1749"/>
      <c r="AJ23" s="1749"/>
      <c r="AK23" s="1749"/>
      <c r="AL23" s="1749"/>
      <c r="AM23" s="1749"/>
      <c r="AN23" s="1749"/>
      <c r="AO23" s="1749"/>
    </row>
    <row r="24" spans="1:41" ht="15">
      <c r="A24" s="1691"/>
      <c r="B24" s="1691"/>
      <c r="C24" s="1691"/>
      <c r="D24" s="1691"/>
      <c r="E24" s="1691"/>
      <c r="F24" s="1691"/>
      <c r="G24" s="1691"/>
      <c r="H24" s="1691"/>
      <c r="I24" s="1691"/>
      <c r="J24" s="1691"/>
      <c r="K24" s="1691"/>
      <c r="L24" s="1691"/>
      <c r="M24" s="1691"/>
      <c r="N24" s="1691"/>
      <c r="O24" s="1691"/>
      <c r="P24" s="1691"/>
      <c r="Q24" s="1691"/>
      <c r="R24" s="1691"/>
      <c r="S24" s="1691"/>
      <c r="T24" s="1691"/>
      <c r="U24" s="1691"/>
      <c r="V24" s="1691"/>
      <c r="W24" s="1691"/>
      <c r="X24" s="1691"/>
      <c r="Y24" s="1691"/>
      <c r="Z24" s="1691"/>
      <c r="AA24" s="1691"/>
      <c r="AB24" s="1691"/>
      <c r="AC24" s="1691"/>
      <c r="AD24" s="1691"/>
      <c r="AE24" s="1691"/>
      <c r="AF24" s="1691"/>
      <c r="AG24" s="1691"/>
      <c r="AH24" s="1691"/>
      <c r="AI24" s="1691"/>
    </row>
  </sheetData>
  <mergeCells count="15">
    <mergeCell ref="A5:M5"/>
    <mergeCell ref="X5:AH5"/>
    <mergeCell ref="A1:AI1"/>
    <mergeCell ref="A2:AI2"/>
    <mergeCell ref="A3:AI3"/>
    <mergeCell ref="A4:M4"/>
    <mergeCell ref="X4:AH4"/>
    <mergeCell ref="B19:C19"/>
    <mergeCell ref="AC22:AI22"/>
    <mergeCell ref="A7:AI7"/>
    <mergeCell ref="A9:A10"/>
    <mergeCell ref="B9:B10"/>
    <mergeCell ref="C9:AG9"/>
    <mergeCell ref="AH9:AH10"/>
    <mergeCell ref="AI9:AI10"/>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pageSetUpPr fitToPage="1"/>
  </sheetPr>
  <dimension ref="A1:AO99"/>
  <sheetViews>
    <sheetView view="pageBreakPreview" zoomScale="40" zoomScaleNormal="40" zoomScaleSheetLayoutView="40" workbookViewId="0">
      <pane xSplit="3" ySplit="10" topLeftCell="D74" activePane="bottomRight" state="frozen"/>
      <selection pane="topRight" activeCell="C1" sqref="C1"/>
      <selection pane="bottomLeft" activeCell="A12" sqref="A12"/>
      <selection pane="bottomRight" activeCell="P80" sqref="P80"/>
    </sheetView>
  </sheetViews>
  <sheetFormatPr defaultColWidth="9.140625" defaultRowHeight="12"/>
  <cols>
    <col min="1" max="2" width="6.42578125" style="1707" customWidth="1"/>
    <col min="3" max="3" width="26.28515625" style="1708" customWidth="1"/>
    <col min="4" max="10" width="9" style="1710" customWidth="1"/>
    <col min="11" max="11" width="11.85546875" style="1710" customWidth="1"/>
    <col min="12" max="17" width="9" style="1710" customWidth="1"/>
    <col min="18" max="18" width="11.85546875" style="1710" customWidth="1"/>
    <col min="19" max="27" width="9" style="1710" customWidth="1"/>
    <col min="28" max="28" width="11.85546875" style="1710" customWidth="1"/>
    <col min="29" max="33" width="9" style="1710" customWidth="1"/>
    <col min="34" max="34" width="9" style="1710" hidden="1" customWidth="1"/>
    <col min="35" max="35" width="14.42578125" style="1710" customWidth="1"/>
    <col min="36" max="36" width="8.5703125" style="1710" customWidth="1"/>
    <col min="37" max="37" width="15.85546875" style="1710" customWidth="1"/>
    <col min="38" max="38" width="9" style="1710" hidden="1" customWidth="1"/>
    <col min="39" max="39" width="30.42578125" style="1710" customWidth="1"/>
    <col min="40" max="40" width="11.140625" style="1710" customWidth="1"/>
    <col min="41" max="16384" width="9.140625" style="1710"/>
  </cols>
  <sheetData>
    <row r="1" spans="1:41" s="1673" customFormat="1" ht="35.25" customHeight="1">
      <c r="A1" s="2493" t="s">
        <v>0</v>
      </c>
      <c r="B1" s="2493"/>
      <c r="C1" s="2493"/>
      <c r="D1" s="2493"/>
      <c r="E1" s="2493"/>
      <c r="F1" s="2493"/>
      <c r="G1" s="2493"/>
      <c r="H1" s="2493"/>
      <c r="I1" s="2493"/>
      <c r="J1" s="2493"/>
      <c r="K1" s="2493"/>
      <c r="L1" s="2493"/>
      <c r="M1" s="2493"/>
      <c r="N1" s="2493"/>
      <c r="O1" s="2493"/>
      <c r="P1" s="2493"/>
      <c r="Q1" s="2493"/>
      <c r="R1" s="2493"/>
      <c r="S1" s="2493"/>
      <c r="T1" s="2493"/>
      <c r="U1" s="2493"/>
      <c r="V1" s="2493"/>
      <c r="W1" s="2493"/>
      <c r="X1" s="2493"/>
      <c r="Y1" s="2493"/>
      <c r="Z1" s="2493"/>
      <c r="AA1" s="2493"/>
      <c r="AB1" s="2493"/>
      <c r="AC1" s="2493"/>
      <c r="AD1" s="2493"/>
      <c r="AE1" s="2493"/>
      <c r="AF1" s="2493"/>
      <c r="AG1" s="2493"/>
      <c r="AH1" s="2493"/>
      <c r="AI1" s="2493"/>
      <c r="AJ1" s="2493"/>
      <c r="AK1" s="2493"/>
      <c r="AL1" s="2493"/>
      <c r="AM1" s="2493"/>
    </row>
    <row r="2" spans="1:41" s="1673" customFormat="1" ht="28.5" customHeight="1">
      <c r="A2" s="2493" t="s">
        <v>1968</v>
      </c>
      <c r="B2" s="2493"/>
      <c r="C2" s="2493"/>
      <c r="D2" s="2493"/>
      <c r="E2" s="2493"/>
      <c r="F2" s="2493"/>
      <c r="G2" s="2493"/>
      <c r="H2" s="2493"/>
      <c r="I2" s="2493"/>
      <c r="J2" s="2493"/>
      <c r="K2" s="2493"/>
      <c r="L2" s="2493"/>
      <c r="M2" s="2493"/>
      <c r="N2" s="2493"/>
      <c r="O2" s="2493"/>
      <c r="P2" s="2493"/>
      <c r="Q2" s="2493"/>
      <c r="R2" s="2493"/>
      <c r="S2" s="2493"/>
      <c r="T2" s="2493"/>
      <c r="U2" s="2493"/>
      <c r="V2" s="2493"/>
      <c r="W2" s="2493"/>
      <c r="X2" s="2493"/>
      <c r="Y2" s="2493"/>
      <c r="Z2" s="2493"/>
      <c r="AA2" s="2493"/>
      <c r="AB2" s="2493"/>
      <c r="AC2" s="2493"/>
      <c r="AD2" s="2493"/>
      <c r="AE2" s="2493"/>
      <c r="AF2" s="2493"/>
      <c r="AG2" s="2493"/>
      <c r="AH2" s="2493"/>
      <c r="AI2" s="2493"/>
      <c r="AJ2" s="2493"/>
      <c r="AK2" s="2493"/>
      <c r="AL2" s="2493"/>
      <c r="AM2" s="2493"/>
    </row>
    <row r="3" spans="1:41" s="1673" customFormat="1" ht="24" customHeight="1">
      <c r="A3" s="1678"/>
      <c r="B3" s="1678"/>
      <c r="C3" s="1712"/>
    </row>
    <row r="4" spans="1:41" s="1675" customFormat="1" ht="36" customHeight="1">
      <c r="A4" s="2505" t="s">
        <v>2526</v>
      </c>
      <c r="B4" s="2505"/>
      <c r="C4" s="2505"/>
      <c r="D4" s="2505"/>
      <c r="E4" s="2505"/>
      <c r="F4" s="2505"/>
      <c r="G4" s="2505"/>
      <c r="H4" s="2505"/>
      <c r="I4" s="2505"/>
      <c r="J4" s="2505"/>
      <c r="K4" s="2505"/>
      <c r="L4" s="2505"/>
      <c r="M4" s="2505"/>
      <c r="N4" s="2505"/>
      <c r="Y4" s="2493"/>
      <c r="Z4" s="2493"/>
      <c r="AA4" s="2493"/>
      <c r="AB4" s="2493"/>
      <c r="AC4" s="2493"/>
      <c r="AD4" s="2493"/>
      <c r="AE4" s="2493"/>
      <c r="AF4" s="2493"/>
      <c r="AG4" s="2493"/>
      <c r="AH4" s="2493"/>
      <c r="AI4" s="2493"/>
      <c r="AJ4" s="2493"/>
      <c r="AK4" s="2493"/>
      <c r="AL4" s="2493"/>
      <c r="AM4" s="2493"/>
    </row>
    <row r="5" spans="1:41" s="1675" customFormat="1" ht="35.25" customHeight="1">
      <c r="A5" s="2506" t="s">
        <v>3327</v>
      </c>
      <c r="B5" s="2506"/>
      <c r="C5" s="2506"/>
      <c r="D5" s="2506"/>
      <c r="E5" s="2506"/>
      <c r="F5" s="2506"/>
      <c r="G5" s="2506"/>
      <c r="H5" s="2506"/>
      <c r="I5" s="2506"/>
      <c r="J5" s="2506"/>
      <c r="K5" s="2506"/>
      <c r="L5" s="2506"/>
      <c r="M5" s="2506"/>
      <c r="N5" s="2506"/>
      <c r="Y5" s="2493"/>
      <c r="Z5" s="2493"/>
      <c r="AA5" s="2493"/>
      <c r="AB5" s="2493"/>
      <c r="AC5" s="2493"/>
      <c r="AD5" s="2493"/>
      <c r="AE5" s="2493"/>
      <c r="AF5" s="2493"/>
      <c r="AG5" s="2493"/>
      <c r="AH5" s="2493"/>
      <c r="AI5" s="2493"/>
      <c r="AJ5" s="2493"/>
      <c r="AK5" s="2493"/>
      <c r="AL5" s="2493"/>
      <c r="AM5" s="2493"/>
    </row>
    <row r="6" spans="1:41" s="1675" customFormat="1" ht="20.25" customHeight="1">
      <c r="A6" s="1676"/>
      <c r="B6" s="1676"/>
      <c r="C6" s="1677"/>
    </row>
    <row r="7" spans="1:41" s="1673" customFormat="1" ht="34.5" customHeight="1">
      <c r="A7" s="2493" t="s">
        <v>3342</v>
      </c>
      <c r="B7" s="2493"/>
      <c r="C7" s="2493"/>
      <c r="D7" s="2493"/>
      <c r="E7" s="2493"/>
      <c r="F7" s="2493"/>
      <c r="G7" s="2493"/>
      <c r="H7" s="2493"/>
      <c r="I7" s="2493"/>
      <c r="J7" s="2493"/>
      <c r="K7" s="2493"/>
      <c r="L7" s="2493"/>
      <c r="M7" s="2493"/>
      <c r="N7" s="2493"/>
      <c r="O7" s="2493"/>
      <c r="P7" s="2493"/>
      <c r="Q7" s="2493"/>
      <c r="R7" s="2493"/>
      <c r="S7" s="2493"/>
      <c r="T7" s="2493"/>
      <c r="U7" s="2493"/>
      <c r="V7" s="2493"/>
      <c r="W7" s="2493"/>
      <c r="X7" s="2493"/>
      <c r="Y7" s="2493"/>
      <c r="Z7" s="2493"/>
      <c r="AA7" s="2493"/>
      <c r="AB7" s="2493"/>
      <c r="AC7" s="2493"/>
      <c r="AD7" s="2493"/>
      <c r="AE7" s="2493"/>
      <c r="AF7" s="2493"/>
      <c r="AG7" s="2493"/>
      <c r="AH7" s="2493"/>
      <c r="AI7" s="2493"/>
      <c r="AJ7" s="2493"/>
      <c r="AK7" s="2493"/>
      <c r="AL7" s="2493"/>
      <c r="AM7" s="2493"/>
      <c r="AO7" s="1679"/>
    </row>
    <row r="8" spans="1:41" s="1682" customFormat="1" ht="22.5" customHeight="1">
      <c r="A8" s="1680"/>
      <c r="B8" s="1680"/>
      <c r="C8" s="1681"/>
      <c r="D8" s="1680"/>
      <c r="E8" s="1680"/>
      <c r="F8" s="1680"/>
      <c r="G8" s="1680"/>
      <c r="H8" s="1680"/>
      <c r="I8" s="1680"/>
      <c r="J8" s="1680"/>
      <c r="K8" s="1680"/>
      <c r="L8" s="1680"/>
      <c r="M8" s="1680"/>
      <c r="N8" s="1680"/>
      <c r="O8" s="1680"/>
      <c r="P8" s="1680"/>
      <c r="Q8" s="1680"/>
      <c r="R8" s="1680"/>
      <c r="S8" s="1680"/>
      <c r="T8" s="1680"/>
      <c r="U8" s="1680"/>
      <c r="V8" s="1680"/>
      <c r="W8" s="1680"/>
      <c r="X8" s="1680"/>
      <c r="Y8" s="1680"/>
      <c r="Z8" s="1680"/>
      <c r="AA8" s="1680"/>
      <c r="AB8" s="1680"/>
      <c r="AC8" s="1680"/>
      <c r="AD8" s="1680"/>
      <c r="AE8" s="1680"/>
      <c r="AF8" s="1680"/>
      <c r="AG8" s="1680"/>
      <c r="AH8" s="1680"/>
      <c r="AI8" s="2494" t="s">
        <v>3329</v>
      </c>
      <c r="AJ8" s="2494"/>
      <c r="AK8" s="2494"/>
      <c r="AL8" s="2494"/>
      <c r="AM8" s="2494"/>
    </row>
    <row r="9" spans="1:41" s="1683" customFormat="1" ht="57" customHeight="1">
      <c r="A9" s="2495" t="s">
        <v>623</v>
      </c>
      <c r="B9" s="2496"/>
      <c r="C9" s="2499" t="s">
        <v>356</v>
      </c>
      <c r="D9" s="2500" t="s">
        <v>529</v>
      </c>
      <c r="E9" s="2500"/>
      <c r="F9" s="2500"/>
      <c r="G9" s="2500"/>
      <c r="H9" s="2500"/>
      <c r="I9" s="2500"/>
      <c r="J9" s="2500"/>
      <c r="K9" s="2500"/>
      <c r="L9" s="2500"/>
      <c r="M9" s="2500"/>
      <c r="N9" s="2500"/>
      <c r="O9" s="2500"/>
      <c r="P9" s="2500"/>
      <c r="Q9" s="2500"/>
      <c r="R9" s="2500"/>
      <c r="S9" s="2500"/>
      <c r="T9" s="2500"/>
      <c r="U9" s="2500"/>
      <c r="V9" s="2500"/>
      <c r="W9" s="2500"/>
      <c r="X9" s="2500"/>
      <c r="Y9" s="2500"/>
      <c r="Z9" s="2500"/>
      <c r="AA9" s="2500"/>
      <c r="AB9" s="2500"/>
      <c r="AC9" s="2500"/>
      <c r="AD9" s="2500"/>
      <c r="AE9" s="2500"/>
      <c r="AF9" s="2500"/>
      <c r="AG9" s="2500"/>
      <c r="AH9" s="2500"/>
      <c r="AI9" s="2501" t="s">
        <v>1966</v>
      </c>
      <c r="AJ9" s="2502" t="s">
        <v>3330</v>
      </c>
      <c r="AK9" s="2502" t="s">
        <v>3343</v>
      </c>
      <c r="AL9" s="2501" t="s">
        <v>2531</v>
      </c>
      <c r="AM9" s="2504" t="s">
        <v>1934</v>
      </c>
    </row>
    <row r="10" spans="1:41" s="1685" customFormat="1" ht="39" customHeight="1">
      <c r="A10" s="2497"/>
      <c r="B10" s="2498"/>
      <c r="C10" s="2499"/>
      <c r="D10" s="2150">
        <v>1</v>
      </c>
      <c r="E10" s="2150">
        <v>2</v>
      </c>
      <c r="F10" s="2150">
        <v>3</v>
      </c>
      <c r="G10" s="2150">
        <v>4</v>
      </c>
      <c r="H10" s="2150">
        <v>5</v>
      </c>
      <c r="I10" s="2150">
        <v>6</v>
      </c>
      <c r="J10" s="2150">
        <v>7</v>
      </c>
      <c r="K10" s="2150">
        <v>8</v>
      </c>
      <c r="L10" s="2150">
        <v>9</v>
      </c>
      <c r="M10" s="2150">
        <v>10</v>
      </c>
      <c r="N10" s="2150">
        <v>11</v>
      </c>
      <c r="O10" s="2150">
        <v>12</v>
      </c>
      <c r="P10" s="2150">
        <v>13</v>
      </c>
      <c r="Q10" s="2150">
        <v>14</v>
      </c>
      <c r="R10" s="2150">
        <v>15</v>
      </c>
      <c r="S10" s="2150">
        <v>16</v>
      </c>
      <c r="T10" s="2150">
        <v>17</v>
      </c>
      <c r="U10" s="2150">
        <v>18</v>
      </c>
      <c r="V10" s="2150">
        <v>19</v>
      </c>
      <c r="W10" s="2150">
        <v>20</v>
      </c>
      <c r="X10" s="2150">
        <v>21</v>
      </c>
      <c r="Y10" s="2150">
        <v>22</v>
      </c>
      <c r="Z10" s="2150">
        <v>23</v>
      </c>
      <c r="AA10" s="2150">
        <v>24</v>
      </c>
      <c r="AB10" s="2150">
        <v>25</v>
      </c>
      <c r="AC10" s="2150">
        <v>26</v>
      </c>
      <c r="AD10" s="2150">
        <v>27</v>
      </c>
      <c r="AE10" s="2150">
        <v>28</v>
      </c>
      <c r="AF10" s="2151">
        <v>29</v>
      </c>
      <c r="AG10" s="2151">
        <v>30</v>
      </c>
      <c r="AH10" s="1684">
        <v>31</v>
      </c>
      <c r="AI10" s="2501"/>
      <c r="AJ10" s="2503"/>
      <c r="AK10" s="2503"/>
      <c r="AL10" s="2501"/>
      <c r="AM10" s="2504"/>
    </row>
    <row r="11" spans="1:41" s="1691" customFormat="1" ht="27.95" customHeight="1">
      <c r="A11" s="1686">
        <v>1</v>
      </c>
      <c r="B11" s="1686"/>
      <c r="C11" s="1687" t="str">
        <f>+'[6]Biểu 1 TH CÔNG copy'!C11</f>
        <v>Tà Lọt</v>
      </c>
      <c r="D11" s="1713"/>
      <c r="E11" s="1713"/>
      <c r="F11" s="1713"/>
      <c r="G11" s="1713"/>
      <c r="H11" s="1713"/>
      <c r="I11" s="1713"/>
      <c r="J11" s="1713"/>
      <c r="K11" s="1713">
        <v>16</v>
      </c>
      <c r="L11" s="1713"/>
      <c r="M11" s="1713"/>
      <c r="N11" s="1713"/>
      <c r="O11" s="1713"/>
      <c r="P11" s="1714"/>
      <c r="Q11" s="1714"/>
      <c r="R11" s="1713">
        <v>4</v>
      </c>
      <c r="S11" s="1714"/>
      <c r="T11" s="1714"/>
      <c r="U11" s="1714"/>
      <c r="V11" s="1714"/>
      <c r="W11" s="1714"/>
      <c r="X11" s="1714"/>
      <c r="Y11" s="1714"/>
      <c r="Z11" s="1688"/>
      <c r="AA11" s="1688"/>
      <c r="AB11" s="1713">
        <v>7</v>
      </c>
      <c r="AC11" s="1688"/>
      <c r="AD11" s="1688"/>
      <c r="AE11" s="1688"/>
      <c r="AF11" s="1688"/>
      <c r="AG11" s="1688"/>
      <c r="AH11" s="1715"/>
      <c r="AI11" s="1689">
        <f t="shared" ref="AI11:AI73" si="0">SUM(D11:AH11)</f>
        <v>27</v>
      </c>
      <c r="AJ11" s="1716"/>
      <c r="AK11" s="1717">
        <f>AI11*AJ11/100</f>
        <v>0</v>
      </c>
      <c r="AL11" s="1718"/>
      <c r="AM11" s="1686"/>
    </row>
    <row r="12" spans="1:41" s="1691" customFormat="1" ht="27.95" customHeight="1">
      <c r="A12" s="1686">
        <v>2</v>
      </c>
      <c r="B12" s="1686"/>
      <c r="C12" s="1687" t="str">
        <f>+'[6]Biểu 1 TH CÔNG copy'!C12</f>
        <v>A Nhớp</v>
      </c>
      <c r="D12" s="1713"/>
      <c r="E12" s="1713"/>
      <c r="F12" s="1713"/>
      <c r="G12" s="1713"/>
      <c r="H12" s="1713"/>
      <c r="I12" s="1713"/>
      <c r="J12" s="1713"/>
      <c r="K12" s="1713">
        <v>16</v>
      </c>
      <c r="L12" s="1713"/>
      <c r="M12" s="1713"/>
      <c r="N12" s="1713"/>
      <c r="O12" s="1713"/>
      <c r="P12" s="1714"/>
      <c r="Q12" s="1714"/>
      <c r="R12" s="1713">
        <v>4</v>
      </c>
      <c r="S12" s="1714"/>
      <c r="T12" s="1714"/>
      <c r="U12" s="1714"/>
      <c r="V12" s="1714"/>
      <c r="W12" s="1714"/>
      <c r="X12" s="1714"/>
      <c r="Y12" s="1714"/>
      <c r="Z12" s="1688"/>
      <c r="AA12" s="1688"/>
      <c r="AB12" s="1713">
        <v>7</v>
      </c>
      <c r="AC12" s="1688"/>
      <c r="AD12" s="1688"/>
      <c r="AE12" s="1688"/>
      <c r="AF12" s="1688"/>
      <c r="AG12" s="1688"/>
      <c r="AH12" s="1715"/>
      <c r="AI12" s="1689">
        <f t="shared" si="0"/>
        <v>27</v>
      </c>
      <c r="AJ12" s="1716"/>
      <c r="AK12" s="1717">
        <f t="shared" ref="AK12:AK74" si="1">AI12*AJ12/100</f>
        <v>0</v>
      </c>
      <c r="AL12" s="1718"/>
      <c r="AM12" s="1686"/>
      <c r="AO12" s="1691">
        <v>46.656798860112971</v>
      </c>
    </row>
    <row r="13" spans="1:41" s="1691" customFormat="1" ht="27.95" customHeight="1">
      <c r="A13" s="1686">
        <v>3</v>
      </c>
      <c r="B13" s="1686"/>
      <c r="C13" s="1687" t="str">
        <f>+'[6]Biểu 1 TH CÔNG copy'!C13</f>
        <v>A Chan</v>
      </c>
      <c r="D13" s="1713"/>
      <c r="E13" s="1713"/>
      <c r="F13" s="1713"/>
      <c r="G13" s="1713"/>
      <c r="H13" s="1713"/>
      <c r="I13" s="1713"/>
      <c r="J13" s="1713"/>
      <c r="K13" s="1713">
        <v>16</v>
      </c>
      <c r="L13" s="1713"/>
      <c r="M13" s="1713"/>
      <c r="N13" s="1713"/>
      <c r="O13" s="1713"/>
      <c r="P13" s="1714"/>
      <c r="Q13" s="1714"/>
      <c r="R13" s="1713">
        <v>4</v>
      </c>
      <c r="S13" s="1714"/>
      <c r="T13" s="1714"/>
      <c r="U13" s="1714"/>
      <c r="V13" s="1714"/>
      <c r="W13" s="1714"/>
      <c r="X13" s="1714"/>
      <c r="Y13" s="1714"/>
      <c r="Z13" s="1688"/>
      <c r="AA13" s="1688"/>
      <c r="AB13" s="1713">
        <v>7</v>
      </c>
      <c r="AC13" s="1688"/>
      <c r="AD13" s="1688"/>
      <c r="AE13" s="1688"/>
      <c r="AF13" s="1688"/>
      <c r="AG13" s="1688"/>
      <c r="AH13" s="1715"/>
      <c r="AI13" s="1689">
        <f t="shared" si="0"/>
        <v>27</v>
      </c>
      <c r="AJ13" s="1716"/>
      <c r="AK13" s="1717">
        <f t="shared" si="1"/>
        <v>0</v>
      </c>
      <c r="AL13" s="1718"/>
      <c r="AM13" s="1686"/>
      <c r="AO13" s="1691">
        <f>AO12/100</f>
        <v>0.46656798860112969</v>
      </c>
    </row>
    <row r="14" spans="1:41" s="1691" customFormat="1" ht="27.95" customHeight="1">
      <c r="A14" s="1686">
        <v>4</v>
      </c>
      <c r="B14" s="1686"/>
      <c r="C14" s="1687" t="str">
        <f>+'[6]Biểu 1 TH CÔNG copy'!C14</f>
        <v>Phò Đưa</v>
      </c>
      <c r="D14" s="1713"/>
      <c r="E14" s="1713"/>
      <c r="F14" s="1713"/>
      <c r="G14" s="1713"/>
      <c r="H14" s="1713"/>
      <c r="I14" s="1713"/>
      <c r="J14" s="1713"/>
      <c r="K14" s="1713">
        <v>16</v>
      </c>
      <c r="L14" s="1713"/>
      <c r="M14" s="1713"/>
      <c r="N14" s="1713"/>
      <c r="O14" s="1713"/>
      <c r="P14" s="1714"/>
      <c r="Q14" s="1714"/>
      <c r="R14" s="1713">
        <v>4</v>
      </c>
      <c r="S14" s="1714"/>
      <c r="T14" s="1714"/>
      <c r="U14" s="1714"/>
      <c r="V14" s="1714"/>
      <c r="W14" s="1714"/>
      <c r="X14" s="1714"/>
      <c r="Y14" s="1714"/>
      <c r="Z14" s="1688"/>
      <c r="AA14" s="1688"/>
      <c r="AB14" s="1713">
        <v>7</v>
      </c>
      <c r="AC14" s="1688"/>
      <c r="AD14" s="1688"/>
      <c r="AE14" s="1688"/>
      <c r="AF14" s="1688"/>
      <c r="AG14" s="1688"/>
      <c r="AH14" s="1715"/>
      <c r="AI14" s="1689">
        <f t="shared" si="0"/>
        <v>27</v>
      </c>
      <c r="AJ14" s="1716"/>
      <c r="AK14" s="1717">
        <f t="shared" si="1"/>
        <v>0</v>
      </c>
      <c r="AL14" s="1718"/>
      <c r="AM14" s="1686"/>
    </row>
    <row r="15" spans="1:41" s="1691" customFormat="1" ht="27.95" customHeight="1">
      <c r="A15" s="1686">
        <v>5</v>
      </c>
      <c r="B15" s="1686"/>
      <c r="C15" s="1687" t="str">
        <f>+'[6]Biểu 1 TH CÔNG copy'!C15</f>
        <v>Xúc</v>
      </c>
      <c r="D15" s="1713"/>
      <c r="E15" s="1713"/>
      <c r="F15" s="1713"/>
      <c r="G15" s="1713"/>
      <c r="H15" s="1713"/>
      <c r="I15" s="1713"/>
      <c r="J15" s="1713"/>
      <c r="K15" s="1713">
        <v>16</v>
      </c>
      <c r="L15" s="1713"/>
      <c r="M15" s="1713"/>
      <c r="N15" s="1713"/>
      <c r="O15" s="1713"/>
      <c r="P15" s="1714"/>
      <c r="Q15" s="1714"/>
      <c r="R15" s="1713">
        <v>4</v>
      </c>
      <c r="S15" s="1714"/>
      <c r="T15" s="1714"/>
      <c r="U15" s="1714"/>
      <c r="V15" s="1714"/>
      <c r="W15" s="1714"/>
      <c r="X15" s="1714"/>
      <c r="Y15" s="1714"/>
      <c r="Z15" s="1688"/>
      <c r="AA15" s="1688"/>
      <c r="AB15" s="1713">
        <v>7</v>
      </c>
      <c r="AC15" s="1688"/>
      <c r="AD15" s="1688"/>
      <c r="AE15" s="1688"/>
      <c r="AF15" s="1688"/>
      <c r="AG15" s="1688"/>
      <c r="AH15" s="1715"/>
      <c r="AI15" s="1689">
        <f t="shared" si="0"/>
        <v>27</v>
      </c>
      <c r="AJ15" s="1716"/>
      <c r="AK15" s="1717">
        <f t="shared" si="1"/>
        <v>0</v>
      </c>
      <c r="AL15" s="1690"/>
      <c r="AM15" s="1686"/>
    </row>
    <row r="16" spans="1:41" s="1691" customFormat="1" ht="27.95" customHeight="1">
      <c r="A16" s="1686">
        <v>6</v>
      </c>
      <c r="B16" s="1686"/>
      <c r="C16" s="1687" t="str">
        <f>+'[6]Biểu 1 TH CÔNG copy'!C16</f>
        <v>Phơ</v>
      </c>
      <c r="D16" s="1713"/>
      <c r="E16" s="1713"/>
      <c r="F16" s="1713"/>
      <c r="G16" s="1713"/>
      <c r="H16" s="1713"/>
      <c r="I16" s="1713"/>
      <c r="J16" s="1713"/>
      <c r="K16" s="1713">
        <v>16</v>
      </c>
      <c r="L16" s="1713"/>
      <c r="M16" s="1713"/>
      <c r="N16" s="1713"/>
      <c r="O16" s="1713"/>
      <c r="P16" s="1714"/>
      <c r="Q16" s="1714"/>
      <c r="R16" s="1713">
        <v>4</v>
      </c>
      <c r="S16" s="1714"/>
      <c r="T16" s="1714"/>
      <c r="U16" s="1714"/>
      <c r="V16" s="1714"/>
      <c r="W16" s="1714"/>
      <c r="X16" s="1714"/>
      <c r="Y16" s="1714"/>
      <c r="Z16" s="1688"/>
      <c r="AA16" s="1688"/>
      <c r="AB16" s="1713">
        <v>7</v>
      </c>
      <c r="AC16" s="1688"/>
      <c r="AD16" s="1688"/>
      <c r="AE16" s="1688"/>
      <c r="AF16" s="1688"/>
      <c r="AG16" s="1688"/>
      <c r="AH16" s="1715"/>
      <c r="AI16" s="1689">
        <f t="shared" si="0"/>
        <v>27</v>
      </c>
      <c r="AJ16" s="1716"/>
      <c r="AK16" s="1717">
        <f t="shared" si="1"/>
        <v>0</v>
      </c>
      <c r="AL16" s="1690"/>
      <c r="AM16" s="1686"/>
    </row>
    <row r="17" spans="1:39" s="1691" customFormat="1" ht="27.95" customHeight="1">
      <c r="A17" s="1686">
        <v>7</v>
      </c>
      <c r="B17" s="1686"/>
      <c r="C17" s="1687" t="str">
        <f>+'[6]Biểu 1 TH CÔNG copy'!C17</f>
        <v>A Phơ</v>
      </c>
      <c r="D17" s="1713"/>
      <c r="E17" s="1713"/>
      <c r="F17" s="1713"/>
      <c r="G17" s="1713"/>
      <c r="H17" s="1713"/>
      <c r="I17" s="1713"/>
      <c r="J17" s="1713"/>
      <c r="K17" s="1713">
        <v>16</v>
      </c>
      <c r="L17" s="1713"/>
      <c r="M17" s="1713"/>
      <c r="N17" s="1713"/>
      <c r="O17" s="1713"/>
      <c r="P17" s="1714"/>
      <c r="Q17" s="1714"/>
      <c r="R17" s="1713">
        <v>4</v>
      </c>
      <c r="S17" s="1714"/>
      <c r="T17" s="1714"/>
      <c r="U17" s="1714"/>
      <c r="V17" s="1714"/>
      <c r="W17" s="1714"/>
      <c r="X17" s="1714"/>
      <c r="Y17" s="1714"/>
      <c r="Z17" s="1688"/>
      <c r="AA17" s="1688"/>
      <c r="AB17" s="1713">
        <v>7</v>
      </c>
      <c r="AC17" s="1688"/>
      <c r="AD17" s="1688"/>
      <c r="AE17" s="1688"/>
      <c r="AF17" s="1688"/>
      <c r="AG17" s="1688"/>
      <c r="AH17" s="1715"/>
      <c r="AI17" s="1689">
        <f t="shared" si="0"/>
        <v>27</v>
      </c>
      <c r="AJ17" s="1716"/>
      <c r="AK17" s="1717">
        <f t="shared" si="1"/>
        <v>0</v>
      </c>
      <c r="AL17" s="1690"/>
      <c r="AM17" s="1686"/>
    </row>
    <row r="18" spans="1:39" s="1691" customFormat="1" ht="27.95" customHeight="1">
      <c r="A18" s="1686">
        <v>8</v>
      </c>
      <c r="B18" s="1686"/>
      <c r="C18" s="1687" t="str">
        <f>+'[6]Biểu 1 TH CÔNG copy'!C18</f>
        <v>Phò Lấp</v>
      </c>
      <c r="D18" s="1713"/>
      <c r="E18" s="1713"/>
      <c r="F18" s="1713"/>
      <c r="G18" s="1713"/>
      <c r="H18" s="1713"/>
      <c r="I18" s="1713"/>
      <c r="J18" s="1713"/>
      <c r="K18" s="1713">
        <v>16</v>
      </c>
      <c r="L18" s="1713"/>
      <c r="M18" s="1713"/>
      <c r="N18" s="1713"/>
      <c r="O18" s="1713"/>
      <c r="P18" s="1714"/>
      <c r="Q18" s="1714"/>
      <c r="R18" s="1713">
        <v>4</v>
      </c>
      <c r="S18" s="1714"/>
      <c r="T18" s="1714"/>
      <c r="U18" s="1714"/>
      <c r="V18" s="1714"/>
      <c r="W18" s="1714"/>
      <c r="X18" s="1714"/>
      <c r="Y18" s="1714"/>
      <c r="Z18" s="1688"/>
      <c r="AA18" s="1688"/>
      <c r="AB18" s="1713">
        <v>7</v>
      </c>
      <c r="AC18" s="1688"/>
      <c r="AD18" s="1688"/>
      <c r="AE18" s="1688"/>
      <c r="AF18" s="1688"/>
      <c r="AG18" s="1688"/>
      <c r="AH18" s="1715"/>
      <c r="AI18" s="1689">
        <f t="shared" si="0"/>
        <v>27</v>
      </c>
      <c r="AJ18" s="1716"/>
      <c r="AK18" s="1717">
        <f t="shared" si="1"/>
        <v>0</v>
      </c>
      <c r="AL18" s="1690"/>
      <c r="AM18" s="1686"/>
    </row>
    <row r="19" spans="1:39" s="1691" customFormat="1" ht="27.95" customHeight="1">
      <c r="A19" s="1686">
        <v>9</v>
      </c>
      <c r="B19" s="1686"/>
      <c r="C19" s="1687" t="str">
        <f>+'[6]Biểu 1 TH CÔNG copy'!C19</f>
        <v>Nang Sun</v>
      </c>
      <c r="D19" s="1713"/>
      <c r="E19" s="1713"/>
      <c r="F19" s="1713"/>
      <c r="G19" s="1713"/>
      <c r="H19" s="1713"/>
      <c r="I19" s="1713"/>
      <c r="J19" s="1713"/>
      <c r="K19" s="1713">
        <v>16</v>
      </c>
      <c r="L19" s="1713"/>
      <c r="M19" s="1713"/>
      <c r="N19" s="1713"/>
      <c r="O19" s="1713"/>
      <c r="P19" s="1714"/>
      <c r="Q19" s="1714"/>
      <c r="R19" s="1713">
        <v>3</v>
      </c>
      <c r="S19" s="1714"/>
      <c r="T19" s="1714"/>
      <c r="U19" s="1714"/>
      <c r="V19" s="1714"/>
      <c r="W19" s="1714"/>
      <c r="X19" s="1714"/>
      <c r="Y19" s="1714"/>
      <c r="Z19" s="1688"/>
      <c r="AA19" s="1688"/>
      <c r="AB19" s="1713">
        <v>7</v>
      </c>
      <c r="AC19" s="1688"/>
      <c r="AD19" s="1688"/>
      <c r="AE19" s="1688"/>
      <c r="AF19" s="1688"/>
      <c r="AG19" s="1688"/>
      <c r="AH19" s="1715"/>
      <c r="AI19" s="1689">
        <f t="shared" si="0"/>
        <v>26</v>
      </c>
      <c r="AJ19" s="1716"/>
      <c r="AK19" s="1717">
        <f t="shared" si="1"/>
        <v>0</v>
      </c>
      <c r="AL19" s="1718"/>
      <c r="AM19" s="1686"/>
    </row>
    <row r="20" spans="1:39" s="1691" customFormat="1" ht="27.95" customHeight="1">
      <c r="A20" s="1686">
        <v>10</v>
      </c>
      <c r="B20" s="1686"/>
      <c r="C20" s="1687" t="str">
        <f>+'[6]Biểu 1 TH CÔNG copy'!C20</f>
        <v>A Nhem</v>
      </c>
      <c r="D20" s="1713"/>
      <c r="E20" s="1713"/>
      <c r="F20" s="1713"/>
      <c r="G20" s="1713"/>
      <c r="H20" s="1713"/>
      <c r="I20" s="1713"/>
      <c r="J20" s="1713"/>
      <c r="K20" s="1713">
        <v>16</v>
      </c>
      <c r="L20" s="1713"/>
      <c r="M20" s="1713"/>
      <c r="N20" s="1713"/>
      <c r="O20" s="1713"/>
      <c r="P20" s="1714"/>
      <c r="Q20" s="1714"/>
      <c r="R20" s="1713">
        <v>3</v>
      </c>
      <c r="S20" s="1714"/>
      <c r="T20" s="1714"/>
      <c r="U20" s="1714"/>
      <c r="V20" s="1714"/>
      <c r="W20" s="1714"/>
      <c r="X20" s="1714"/>
      <c r="Y20" s="1714"/>
      <c r="Z20" s="1688"/>
      <c r="AA20" s="1688"/>
      <c r="AB20" s="1713">
        <v>7</v>
      </c>
      <c r="AC20" s="1688"/>
      <c r="AD20" s="1688"/>
      <c r="AE20" s="1688"/>
      <c r="AF20" s="1688"/>
      <c r="AG20" s="1688"/>
      <c r="AH20" s="1715"/>
      <c r="AI20" s="1689">
        <f t="shared" si="0"/>
        <v>26</v>
      </c>
      <c r="AJ20" s="1716"/>
      <c r="AK20" s="1717">
        <f t="shared" si="1"/>
        <v>0</v>
      </c>
      <c r="AL20" s="1690"/>
      <c r="AM20" s="1686"/>
    </row>
    <row r="21" spans="1:39" s="1691" customFormat="1" ht="27.95" customHeight="1">
      <c r="A21" s="1686">
        <v>11</v>
      </c>
      <c r="B21" s="1686"/>
      <c r="C21" s="1687" t="str">
        <f>+'[6]Biểu 1 TH CÔNG copy'!C21</f>
        <v>Ton</v>
      </c>
      <c r="D21" s="1713"/>
      <c r="E21" s="1713"/>
      <c r="F21" s="1713"/>
      <c r="G21" s="1713"/>
      <c r="H21" s="1713"/>
      <c r="I21" s="1713"/>
      <c r="J21" s="1713"/>
      <c r="K21" s="1713">
        <v>15</v>
      </c>
      <c r="L21" s="1713"/>
      <c r="M21" s="1713"/>
      <c r="N21" s="1713"/>
      <c r="O21" s="1713"/>
      <c r="P21" s="1714"/>
      <c r="Q21" s="1714"/>
      <c r="R21" s="1713">
        <v>3</v>
      </c>
      <c r="S21" s="1714"/>
      <c r="T21" s="1714"/>
      <c r="U21" s="1714"/>
      <c r="V21" s="1714"/>
      <c r="W21" s="1714"/>
      <c r="X21" s="1714"/>
      <c r="Y21" s="1714"/>
      <c r="Z21" s="1688"/>
      <c r="AA21" s="1688"/>
      <c r="AB21" s="1713">
        <v>7</v>
      </c>
      <c r="AC21" s="1688"/>
      <c r="AD21" s="1688"/>
      <c r="AE21" s="1688"/>
      <c r="AF21" s="1688"/>
      <c r="AG21" s="1688"/>
      <c r="AH21" s="1715"/>
      <c r="AI21" s="1689">
        <f t="shared" si="0"/>
        <v>25</v>
      </c>
      <c r="AJ21" s="1716"/>
      <c r="AK21" s="1717">
        <f t="shared" si="1"/>
        <v>0</v>
      </c>
      <c r="AL21" s="1690"/>
      <c r="AM21" s="1686"/>
    </row>
    <row r="22" spans="1:39" s="1691" customFormat="1" ht="27.95" customHeight="1">
      <c r="A22" s="1686">
        <v>12</v>
      </c>
      <c r="B22" s="1686"/>
      <c r="C22" s="1687" t="str">
        <f>+'[6]Biểu 1 TH CÔNG copy'!C22</f>
        <v>Phò Thít</v>
      </c>
      <c r="D22" s="1713"/>
      <c r="E22" s="1713"/>
      <c r="F22" s="1713"/>
      <c r="G22" s="1713"/>
      <c r="H22" s="1713"/>
      <c r="I22" s="1713"/>
      <c r="J22" s="1713"/>
      <c r="K22" s="1713">
        <v>15</v>
      </c>
      <c r="L22" s="1713"/>
      <c r="M22" s="1713"/>
      <c r="N22" s="1713"/>
      <c r="O22" s="1713"/>
      <c r="P22" s="1714"/>
      <c r="Q22" s="1714"/>
      <c r="R22" s="1713">
        <v>3</v>
      </c>
      <c r="S22" s="1714"/>
      <c r="T22" s="1714"/>
      <c r="U22" s="1714"/>
      <c r="V22" s="1714"/>
      <c r="W22" s="1714"/>
      <c r="X22" s="1714"/>
      <c r="Y22" s="1714"/>
      <c r="Z22" s="1688"/>
      <c r="AA22" s="1688"/>
      <c r="AB22" s="1713">
        <v>7</v>
      </c>
      <c r="AC22" s="1688"/>
      <c r="AD22" s="1688"/>
      <c r="AE22" s="1688"/>
      <c r="AF22" s="1688"/>
      <c r="AG22" s="1688"/>
      <c r="AH22" s="1715"/>
      <c r="AI22" s="1689">
        <f t="shared" si="0"/>
        <v>25</v>
      </c>
      <c r="AJ22" s="1716"/>
      <c r="AK22" s="1717">
        <f t="shared" si="1"/>
        <v>0</v>
      </c>
      <c r="AL22" s="1718"/>
      <c r="AM22" s="1686"/>
    </row>
    <row r="23" spans="1:39" s="1691" customFormat="1" ht="27.95" customHeight="1">
      <c r="A23" s="1686">
        <v>13</v>
      </c>
      <c r="B23" s="1686"/>
      <c r="C23" s="1687" t="str">
        <f>+'[6]Biểu 1 TH CÔNG copy'!C23</f>
        <v>A Bớp</v>
      </c>
      <c r="D23" s="1713"/>
      <c r="E23" s="1713"/>
      <c r="F23" s="1713"/>
      <c r="G23" s="1713"/>
      <c r="H23" s="1713"/>
      <c r="I23" s="1713"/>
      <c r="J23" s="1713"/>
      <c r="K23" s="1713">
        <v>15</v>
      </c>
      <c r="L23" s="1713"/>
      <c r="M23" s="1713"/>
      <c r="N23" s="1713"/>
      <c r="O23" s="1713"/>
      <c r="P23" s="1714"/>
      <c r="Q23" s="1714"/>
      <c r="R23" s="1713">
        <v>3</v>
      </c>
      <c r="S23" s="1714"/>
      <c r="T23" s="1714"/>
      <c r="U23" s="1714"/>
      <c r="V23" s="1714"/>
      <c r="W23" s="1714"/>
      <c r="X23" s="1714"/>
      <c r="Y23" s="1714"/>
      <c r="Z23" s="1688"/>
      <c r="AA23" s="1688"/>
      <c r="AB23" s="1713">
        <v>7</v>
      </c>
      <c r="AC23" s="1688"/>
      <c r="AD23" s="1688"/>
      <c r="AE23" s="1688"/>
      <c r="AF23" s="1688"/>
      <c r="AG23" s="1688"/>
      <c r="AH23" s="1715"/>
      <c r="AI23" s="1689">
        <f t="shared" si="0"/>
        <v>25</v>
      </c>
      <c r="AJ23" s="1716"/>
      <c r="AK23" s="1717">
        <f t="shared" si="1"/>
        <v>0</v>
      </c>
      <c r="AL23" s="1718"/>
      <c r="AM23" s="1686"/>
    </row>
    <row r="24" spans="1:39" s="1691" customFormat="1" ht="27.95" customHeight="1">
      <c r="A24" s="1686">
        <v>14</v>
      </c>
      <c r="B24" s="1686"/>
      <c r="C24" s="1687" t="str">
        <f>+'[6]Biểu 1 TH CÔNG copy'!C24</f>
        <v>A Cơ</v>
      </c>
      <c r="D24" s="1713"/>
      <c r="E24" s="1713"/>
      <c r="F24" s="1713"/>
      <c r="G24" s="1713"/>
      <c r="H24" s="1713"/>
      <c r="I24" s="1713"/>
      <c r="J24" s="1713"/>
      <c r="K24" s="1713">
        <v>15</v>
      </c>
      <c r="L24" s="1713"/>
      <c r="M24" s="1713"/>
      <c r="N24" s="1713"/>
      <c r="O24" s="1713"/>
      <c r="P24" s="1714"/>
      <c r="Q24" s="1714"/>
      <c r="R24" s="1713">
        <v>3</v>
      </c>
      <c r="S24" s="1714"/>
      <c r="T24" s="1714"/>
      <c r="U24" s="1714"/>
      <c r="V24" s="1714"/>
      <c r="W24" s="1714"/>
      <c r="X24" s="1714"/>
      <c r="Y24" s="1714"/>
      <c r="Z24" s="1688"/>
      <c r="AA24" s="1688"/>
      <c r="AB24" s="1713">
        <v>7</v>
      </c>
      <c r="AC24" s="1688"/>
      <c r="AD24" s="1688"/>
      <c r="AE24" s="1688"/>
      <c r="AF24" s="1688"/>
      <c r="AG24" s="1688"/>
      <c r="AH24" s="1715"/>
      <c r="AI24" s="1689">
        <f t="shared" si="0"/>
        <v>25</v>
      </c>
      <c r="AJ24" s="1716"/>
      <c r="AK24" s="1717">
        <f t="shared" si="1"/>
        <v>0</v>
      </c>
      <c r="AL24" s="1690"/>
      <c r="AM24" s="1686"/>
    </row>
    <row r="25" spans="1:39" s="1691" customFormat="1" ht="27.95" customHeight="1">
      <c r="A25" s="1686">
        <v>15</v>
      </c>
      <c r="B25" s="1686"/>
      <c r="C25" s="1687" t="str">
        <f>+'[6]Biểu 1 TH CÔNG copy'!C25</f>
        <v>Võ Thị Nguyên</v>
      </c>
      <c r="D25" s="1713"/>
      <c r="E25" s="1713"/>
      <c r="F25" s="1713"/>
      <c r="G25" s="1713"/>
      <c r="H25" s="1713"/>
      <c r="I25" s="1713"/>
      <c r="J25" s="1713"/>
      <c r="K25" s="1713">
        <v>15</v>
      </c>
      <c r="L25" s="1713"/>
      <c r="M25" s="1713"/>
      <c r="N25" s="1713"/>
      <c r="O25" s="1713"/>
      <c r="P25" s="1714"/>
      <c r="Q25" s="1714"/>
      <c r="R25" s="1713">
        <v>3</v>
      </c>
      <c r="S25" s="1714"/>
      <c r="T25" s="1714"/>
      <c r="U25" s="1714"/>
      <c r="V25" s="1714"/>
      <c r="W25" s="1714"/>
      <c r="X25" s="1714"/>
      <c r="Y25" s="1714"/>
      <c r="Z25" s="1688"/>
      <c r="AA25" s="1688"/>
      <c r="AB25" s="1713">
        <v>7</v>
      </c>
      <c r="AC25" s="1688"/>
      <c r="AD25" s="1688"/>
      <c r="AE25" s="1688"/>
      <c r="AF25" s="1688"/>
      <c r="AG25" s="1688"/>
      <c r="AH25" s="1715"/>
      <c r="AI25" s="1689">
        <f t="shared" si="0"/>
        <v>25</v>
      </c>
      <c r="AJ25" s="1716"/>
      <c r="AK25" s="1717">
        <f t="shared" si="1"/>
        <v>0</v>
      </c>
      <c r="AL25" s="1718"/>
      <c r="AM25" s="1686"/>
    </row>
    <row r="26" spans="1:39" s="1691" customFormat="1" ht="27.95" customHeight="1">
      <c r="A26" s="1686">
        <v>16</v>
      </c>
      <c r="B26" s="1686"/>
      <c r="C26" s="1687" t="str">
        <f>+'[6]Biểu 1 TH CÔNG copy'!C26</f>
        <v>Nguyễn Thị Thanh Trà</v>
      </c>
      <c r="D26" s="1713"/>
      <c r="E26" s="1713"/>
      <c r="F26" s="1713"/>
      <c r="G26" s="1713"/>
      <c r="H26" s="1713"/>
      <c r="I26" s="1713"/>
      <c r="J26" s="1713"/>
      <c r="K26" s="1713">
        <v>15</v>
      </c>
      <c r="L26" s="1713"/>
      <c r="M26" s="1713"/>
      <c r="N26" s="1713"/>
      <c r="O26" s="1713"/>
      <c r="P26" s="1714"/>
      <c r="Q26" s="1714"/>
      <c r="R26" s="1713">
        <v>3</v>
      </c>
      <c r="S26" s="1714"/>
      <c r="T26" s="1714"/>
      <c r="U26" s="1714"/>
      <c r="V26" s="1714"/>
      <c r="W26" s="1714"/>
      <c r="X26" s="1714"/>
      <c r="Y26" s="1714"/>
      <c r="Z26" s="1688"/>
      <c r="AA26" s="1688"/>
      <c r="AB26" s="1713">
        <v>7</v>
      </c>
      <c r="AC26" s="1688"/>
      <c r="AD26" s="1688"/>
      <c r="AE26" s="1688"/>
      <c r="AF26" s="1688"/>
      <c r="AG26" s="1688"/>
      <c r="AH26" s="1715"/>
      <c r="AI26" s="1689">
        <f t="shared" si="0"/>
        <v>25</v>
      </c>
      <c r="AJ26" s="1716"/>
      <c r="AK26" s="1717">
        <f t="shared" si="1"/>
        <v>0</v>
      </c>
      <c r="AL26" s="1718"/>
      <c r="AM26" s="1686"/>
    </row>
    <row r="27" spans="1:39" s="1691" customFormat="1" ht="27.95" customHeight="1">
      <c r="A27" s="1686">
        <v>17</v>
      </c>
      <c r="B27" s="1686"/>
      <c r="C27" s="1687" t="str">
        <f>+'[6]Biểu 1 TH CÔNG copy'!C27</f>
        <v>A Han</v>
      </c>
      <c r="D27" s="1713"/>
      <c r="E27" s="1713"/>
      <c r="F27" s="1713"/>
      <c r="G27" s="1713"/>
      <c r="H27" s="1713"/>
      <c r="I27" s="1713"/>
      <c r="J27" s="1713"/>
      <c r="K27" s="1713">
        <v>15</v>
      </c>
      <c r="L27" s="1713"/>
      <c r="M27" s="1713"/>
      <c r="N27" s="1713"/>
      <c r="O27" s="1713"/>
      <c r="P27" s="1714"/>
      <c r="Q27" s="1714"/>
      <c r="R27" s="1713">
        <v>3</v>
      </c>
      <c r="S27" s="1714"/>
      <c r="T27" s="1714"/>
      <c r="U27" s="1714"/>
      <c r="V27" s="1714"/>
      <c r="W27" s="1714"/>
      <c r="X27" s="1714"/>
      <c r="Y27" s="1714"/>
      <c r="Z27" s="1688"/>
      <c r="AA27" s="1688"/>
      <c r="AB27" s="1713">
        <v>7</v>
      </c>
      <c r="AC27" s="1688"/>
      <c r="AD27" s="1688"/>
      <c r="AE27" s="1688"/>
      <c r="AF27" s="1688"/>
      <c r="AG27" s="1688"/>
      <c r="AH27" s="1715"/>
      <c r="AI27" s="1689">
        <f t="shared" si="0"/>
        <v>25</v>
      </c>
      <c r="AJ27" s="1716"/>
      <c r="AK27" s="1717">
        <f t="shared" si="1"/>
        <v>0</v>
      </c>
      <c r="AL27" s="1718"/>
      <c r="AM27" s="1686"/>
    </row>
    <row r="28" spans="1:39" s="1691" customFormat="1" ht="27.95" customHeight="1">
      <c r="A28" s="1686">
        <v>18</v>
      </c>
      <c r="B28" s="1686"/>
      <c r="C28" s="1687" t="str">
        <f>+'[6]Biểu 1 TH CÔNG copy'!C28</f>
        <v>Thảo Bun Ten</v>
      </c>
      <c r="D28" s="1713"/>
      <c r="E28" s="1713"/>
      <c r="F28" s="1713"/>
      <c r="G28" s="1713"/>
      <c r="H28" s="1713"/>
      <c r="I28" s="1713"/>
      <c r="J28" s="1713"/>
      <c r="K28" s="1713">
        <v>15</v>
      </c>
      <c r="L28" s="1713"/>
      <c r="M28" s="1713"/>
      <c r="N28" s="1713"/>
      <c r="O28" s="1713"/>
      <c r="P28" s="1714"/>
      <c r="Q28" s="1714"/>
      <c r="R28" s="1713">
        <v>3</v>
      </c>
      <c r="S28" s="1714"/>
      <c r="T28" s="1714"/>
      <c r="U28" s="1714"/>
      <c r="V28" s="1714"/>
      <c r="W28" s="1714"/>
      <c r="X28" s="1714"/>
      <c r="Y28" s="1714"/>
      <c r="Z28" s="1688"/>
      <c r="AA28" s="1688"/>
      <c r="AB28" s="1713">
        <v>7</v>
      </c>
      <c r="AC28" s="1688"/>
      <c r="AD28" s="1688"/>
      <c r="AE28" s="1688"/>
      <c r="AF28" s="1688"/>
      <c r="AG28" s="1688"/>
      <c r="AH28" s="1715"/>
      <c r="AI28" s="1689">
        <f t="shared" si="0"/>
        <v>25</v>
      </c>
      <c r="AJ28" s="1716"/>
      <c r="AK28" s="1717">
        <f t="shared" si="1"/>
        <v>0</v>
      </c>
      <c r="AL28" s="1718"/>
      <c r="AM28" s="1686"/>
    </row>
    <row r="29" spans="1:39" s="1691" customFormat="1" ht="27.95" customHeight="1">
      <c r="A29" s="1686">
        <v>19</v>
      </c>
      <c r="B29" s="1686"/>
      <c r="C29" s="1687" t="str">
        <f>+'[6]Biểu 1 TH CÔNG copy'!C29</f>
        <v>Nang Đào</v>
      </c>
      <c r="D29" s="1713"/>
      <c r="E29" s="1713"/>
      <c r="F29" s="1713"/>
      <c r="G29" s="1713"/>
      <c r="H29" s="1713"/>
      <c r="I29" s="1713"/>
      <c r="J29" s="1713"/>
      <c r="K29" s="1713">
        <v>15</v>
      </c>
      <c r="L29" s="1713"/>
      <c r="M29" s="1713"/>
      <c r="N29" s="1713"/>
      <c r="O29" s="1713"/>
      <c r="P29" s="1714"/>
      <c r="Q29" s="1714"/>
      <c r="R29" s="1713">
        <v>3</v>
      </c>
      <c r="S29" s="1714"/>
      <c r="T29" s="1714"/>
      <c r="U29" s="1714"/>
      <c r="V29" s="1714"/>
      <c r="W29" s="1714"/>
      <c r="X29" s="1714"/>
      <c r="Y29" s="1714"/>
      <c r="Z29" s="1688"/>
      <c r="AA29" s="1688"/>
      <c r="AB29" s="1713">
        <v>7</v>
      </c>
      <c r="AC29" s="1688"/>
      <c r="AD29" s="1688"/>
      <c r="AE29" s="1688"/>
      <c r="AF29" s="1688"/>
      <c r="AG29" s="1688"/>
      <c r="AH29" s="1715"/>
      <c r="AI29" s="1689">
        <f t="shared" si="0"/>
        <v>25</v>
      </c>
      <c r="AJ29" s="1716"/>
      <c r="AK29" s="1717">
        <f t="shared" si="1"/>
        <v>0</v>
      </c>
      <c r="AL29" s="1718"/>
      <c r="AM29" s="1686"/>
    </row>
    <row r="30" spans="1:39" s="1691" customFormat="1" ht="27.95" customHeight="1">
      <c r="A30" s="1686">
        <v>20</v>
      </c>
      <c r="B30" s="1686"/>
      <c r="C30" s="1687" t="str">
        <f>+'[6]Biểu 1 TH CÔNG copy'!C30</f>
        <v>Phò Nhạt</v>
      </c>
      <c r="D30" s="1713"/>
      <c r="E30" s="1713"/>
      <c r="F30" s="1713"/>
      <c r="G30" s="1713"/>
      <c r="H30" s="1713"/>
      <c r="I30" s="1713"/>
      <c r="J30" s="1713"/>
      <c r="K30" s="1713">
        <v>15</v>
      </c>
      <c r="L30" s="1713"/>
      <c r="M30" s="1713"/>
      <c r="N30" s="1713"/>
      <c r="O30" s="1713"/>
      <c r="P30" s="1714"/>
      <c r="Q30" s="1714"/>
      <c r="R30" s="1713">
        <v>3</v>
      </c>
      <c r="S30" s="1714"/>
      <c r="T30" s="1714"/>
      <c r="U30" s="1714"/>
      <c r="V30" s="1714"/>
      <c r="W30" s="1714"/>
      <c r="X30" s="1714"/>
      <c r="Y30" s="1714"/>
      <c r="Z30" s="1688"/>
      <c r="AA30" s="1688"/>
      <c r="AB30" s="1713">
        <v>7</v>
      </c>
      <c r="AC30" s="1688"/>
      <c r="AD30" s="1688"/>
      <c r="AE30" s="1688"/>
      <c r="AF30" s="1688"/>
      <c r="AG30" s="1688"/>
      <c r="AH30" s="1715"/>
      <c r="AI30" s="1689">
        <f t="shared" si="0"/>
        <v>25</v>
      </c>
      <c r="AJ30" s="1716"/>
      <c r="AK30" s="1717">
        <f t="shared" si="1"/>
        <v>0</v>
      </c>
      <c r="AL30" s="1690"/>
      <c r="AM30" s="1686"/>
    </row>
    <row r="31" spans="1:39" s="1691" customFormat="1" ht="27.95" customHeight="1">
      <c r="A31" s="1686">
        <v>21</v>
      </c>
      <c r="B31" s="1686"/>
      <c r="C31" s="1687" t="str">
        <f>+'[6]Biểu 1 TH CÔNG copy'!C31</f>
        <v>Nang Xây</v>
      </c>
      <c r="D31" s="1713"/>
      <c r="E31" s="1713"/>
      <c r="F31" s="1713"/>
      <c r="G31" s="1713"/>
      <c r="H31" s="1713"/>
      <c r="I31" s="1713"/>
      <c r="J31" s="1713"/>
      <c r="K31" s="1713">
        <v>15</v>
      </c>
      <c r="L31" s="1713"/>
      <c r="M31" s="1713"/>
      <c r="N31" s="1713"/>
      <c r="O31" s="1713"/>
      <c r="P31" s="1714"/>
      <c r="Q31" s="1714"/>
      <c r="R31" s="1713">
        <v>3</v>
      </c>
      <c r="S31" s="1714"/>
      <c r="T31" s="1714"/>
      <c r="U31" s="1714"/>
      <c r="V31" s="1714"/>
      <c r="W31" s="1714"/>
      <c r="X31" s="1714"/>
      <c r="Y31" s="1714"/>
      <c r="Z31" s="1688"/>
      <c r="AA31" s="1688"/>
      <c r="AB31" s="1713">
        <v>7</v>
      </c>
      <c r="AC31" s="1688"/>
      <c r="AD31" s="1688"/>
      <c r="AE31" s="1688"/>
      <c r="AF31" s="1688"/>
      <c r="AG31" s="1688"/>
      <c r="AH31" s="1715"/>
      <c r="AI31" s="1689">
        <f t="shared" si="0"/>
        <v>25</v>
      </c>
      <c r="AJ31" s="1716"/>
      <c r="AK31" s="1717">
        <f t="shared" si="1"/>
        <v>0</v>
      </c>
      <c r="AL31" s="1690"/>
      <c r="AM31" s="1686"/>
    </row>
    <row r="32" spans="1:39" s="1691" customFormat="1" ht="27.95" customHeight="1">
      <c r="A32" s="1686">
        <v>22</v>
      </c>
      <c r="B32" s="1686"/>
      <c r="C32" s="1687" t="str">
        <f>+'[6]Biểu 1 TH CÔNG copy'!C32</f>
        <v>Thảo Anh</v>
      </c>
      <c r="D32" s="1713"/>
      <c r="E32" s="1713"/>
      <c r="F32" s="1713"/>
      <c r="G32" s="1713"/>
      <c r="H32" s="1713"/>
      <c r="I32" s="1713"/>
      <c r="J32" s="1713"/>
      <c r="K32" s="1713">
        <v>15</v>
      </c>
      <c r="L32" s="1713"/>
      <c r="M32" s="1713"/>
      <c r="N32" s="1713"/>
      <c r="O32" s="1713"/>
      <c r="P32" s="1714"/>
      <c r="Q32" s="1714"/>
      <c r="R32" s="1713">
        <v>3</v>
      </c>
      <c r="S32" s="1714"/>
      <c r="T32" s="1714"/>
      <c r="U32" s="1714"/>
      <c r="V32" s="1714"/>
      <c r="W32" s="1714"/>
      <c r="X32" s="1714"/>
      <c r="Y32" s="1714"/>
      <c r="Z32" s="1688"/>
      <c r="AA32" s="1688"/>
      <c r="AB32" s="1713">
        <v>7</v>
      </c>
      <c r="AC32" s="1688"/>
      <c r="AD32" s="1688"/>
      <c r="AE32" s="1688"/>
      <c r="AF32" s="1688"/>
      <c r="AG32" s="1688"/>
      <c r="AH32" s="1715"/>
      <c r="AI32" s="1689">
        <f t="shared" si="0"/>
        <v>25</v>
      </c>
      <c r="AJ32" s="1716"/>
      <c r="AK32" s="1717">
        <f t="shared" si="1"/>
        <v>0</v>
      </c>
      <c r="AL32" s="1690"/>
      <c r="AM32" s="1686"/>
    </row>
    <row r="33" spans="1:40" s="1691" customFormat="1" ht="27.95" customHeight="1">
      <c r="A33" s="1686">
        <v>23</v>
      </c>
      <c r="B33" s="1686"/>
      <c r="C33" s="1687" t="str">
        <f>+'[6]Biểu 1 TH CÔNG copy'!C33</f>
        <v>Húc</v>
      </c>
      <c r="D33" s="1713"/>
      <c r="E33" s="1713"/>
      <c r="F33" s="1713"/>
      <c r="G33" s="1713"/>
      <c r="H33" s="1713"/>
      <c r="I33" s="1713"/>
      <c r="J33" s="1713"/>
      <c r="K33" s="1713">
        <v>15</v>
      </c>
      <c r="L33" s="1713"/>
      <c r="M33" s="1713"/>
      <c r="N33" s="1713"/>
      <c r="O33" s="1713"/>
      <c r="P33" s="1714"/>
      <c r="Q33" s="1714"/>
      <c r="R33" s="1713">
        <v>3</v>
      </c>
      <c r="S33" s="1714"/>
      <c r="T33" s="1714"/>
      <c r="U33" s="1714"/>
      <c r="V33" s="1714"/>
      <c r="W33" s="1714"/>
      <c r="X33" s="1714"/>
      <c r="Y33" s="1714"/>
      <c r="Z33" s="1688"/>
      <c r="AA33" s="1688"/>
      <c r="AB33" s="1713">
        <v>7</v>
      </c>
      <c r="AC33" s="1688"/>
      <c r="AD33" s="1688"/>
      <c r="AE33" s="1688"/>
      <c r="AF33" s="1688"/>
      <c r="AG33" s="1688"/>
      <c r="AH33" s="1715"/>
      <c r="AI33" s="1689">
        <f t="shared" si="0"/>
        <v>25</v>
      </c>
      <c r="AJ33" s="1716"/>
      <c r="AK33" s="1717">
        <f t="shared" si="1"/>
        <v>0</v>
      </c>
      <c r="AL33" s="1690"/>
      <c r="AM33" s="1686"/>
    </row>
    <row r="34" spans="1:40" s="1691" customFormat="1" ht="27.95" customHeight="1">
      <c r="A34" s="1686">
        <v>24</v>
      </c>
      <c r="B34" s="1686"/>
      <c r="C34" s="1687" t="str">
        <f>+'[6]Biểu 1 TH CÔNG copy'!C34</f>
        <v>Thảo Nét</v>
      </c>
      <c r="D34" s="1713"/>
      <c r="E34" s="1713"/>
      <c r="F34" s="1713"/>
      <c r="G34" s="1713"/>
      <c r="H34" s="1713"/>
      <c r="I34" s="1713"/>
      <c r="J34" s="1713"/>
      <c r="K34" s="1713">
        <v>15</v>
      </c>
      <c r="L34" s="1713"/>
      <c r="M34" s="1713"/>
      <c r="N34" s="1713"/>
      <c r="O34" s="1713"/>
      <c r="P34" s="1714"/>
      <c r="Q34" s="1714"/>
      <c r="R34" s="1713">
        <v>3</v>
      </c>
      <c r="S34" s="1714"/>
      <c r="T34" s="1714"/>
      <c r="U34" s="1714"/>
      <c r="V34" s="1714"/>
      <c r="W34" s="1714"/>
      <c r="X34" s="1714"/>
      <c r="Y34" s="1714"/>
      <c r="Z34" s="1688"/>
      <c r="AA34" s="1688"/>
      <c r="AB34" s="1713">
        <v>7</v>
      </c>
      <c r="AC34" s="1688"/>
      <c r="AD34" s="1688"/>
      <c r="AE34" s="1688"/>
      <c r="AF34" s="1688"/>
      <c r="AG34" s="1688"/>
      <c r="AH34" s="1715"/>
      <c r="AI34" s="1689">
        <f t="shared" si="0"/>
        <v>25</v>
      </c>
      <c r="AJ34" s="1716"/>
      <c r="AK34" s="1717">
        <f t="shared" si="1"/>
        <v>0</v>
      </c>
      <c r="AL34" s="1690"/>
      <c r="AM34" s="1686"/>
    </row>
    <row r="35" spans="1:40" s="1691" customFormat="1" ht="27.95" customHeight="1">
      <c r="A35" s="1686">
        <v>25</v>
      </c>
      <c r="B35" s="1686"/>
      <c r="C35" s="1687" t="str">
        <f>+'[6]Biểu 1 TH CÔNG copy'!C35</f>
        <v>Thảo út</v>
      </c>
      <c r="D35" s="1713"/>
      <c r="E35" s="1713"/>
      <c r="F35" s="1713"/>
      <c r="G35" s="1713"/>
      <c r="H35" s="1713"/>
      <c r="I35" s="1713"/>
      <c r="J35" s="1713"/>
      <c r="K35" s="1713">
        <v>15</v>
      </c>
      <c r="L35" s="1713"/>
      <c r="M35" s="1713"/>
      <c r="N35" s="1713"/>
      <c r="O35" s="1713"/>
      <c r="P35" s="1714"/>
      <c r="Q35" s="1714"/>
      <c r="R35" s="1713">
        <v>3</v>
      </c>
      <c r="S35" s="1714"/>
      <c r="T35" s="1714"/>
      <c r="U35" s="1714"/>
      <c r="V35" s="1714"/>
      <c r="W35" s="1714"/>
      <c r="X35" s="1714"/>
      <c r="Y35" s="1714"/>
      <c r="Z35" s="1688"/>
      <c r="AA35" s="1688"/>
      <c r="AB35" s="1713">
        <v>7</v>
      </c>
      <c r="AC35" s="1688"/>
      <c r="AD35" s="1688"/>
      <c r="AE35" s="1688"/>
      <c r="AF35" s="1688"/>
      <c r="AG35" s="1688"/>
      <c r="AH35" s="1715"/>
      <c r="AI35" s="1689">
        <f t="shared" si="0"/>
        <v>25</v>
      </c>
      <c r="AJ35" s="1716"/>
      <c r="AK35" s="1717">
        <f t="shared" si="1"/>
        <v>0</v>
      </c>
      <c r="AL35" s="1690"/>
      <c r="AM35" s="1686"/>
    </row>
    <row r="36" spans="1:40" s="1691" customFormat="1" ht="27.95" customHeight="1">
      <c r="A36" s="1686">
        <v>26</v>
      </c>
      <c r="B36" s="1686"/>
      <c r="C36" s="1687" t="str">
        <f>+'[6]Biểu 1 TH CÔNG copy'!C36</f>
        <v>Nang Nhăn</v>
      </c>
      <c r="D36" s="1713"/>
      <c r="E36" s="1713"/>
      <c r="F36" s="1713"/>
      <c r="G36" s="1713"/>
      <c r="H36" s="1713"/>
      <c r="I36" s="1713"/>
      <c r="J36" s="1713"/>
      <c r="K36" s="1713">
        <v>15</v>
      </c>
      <c r="L36" s="1713"/>
      <c r="M36" s="1713"/>
      <c r="N36" s="1713"/>
      <c r="O36" s="1713"/>
      <c r="P36" s="1714"/>
      <c r="Q36" s="1714"/>
      <c r="R36" s="1713">
        <v>3</v>
      </c>
      <c r="S36" s="1714"/>
      <c r="T36" s="1714"/>
      <c r="U36" s="1714"/>
      <c r="V36" s="1714"/>
      <c r="W36" s="1714"/>
      <c r="X36" s="1714"/>
      <c r="Y36" s="1714"/>
      <c r="Z36" s="1688"/>
      <c r="AA36" s="1688"/>
      <c r="AB36" s="1713">
        <v>7</v>
      </c>
      <c r="AC36" s="1688"/>
      <c r="AD36" s="1688"/>
      <c r="AE36" s="1688"/>
      <c r="AF36" s="1688"/>
      <c r="AG36" s="1688"/>
      <c r="AH36" s="1715"/>
      <c r="AI36" s="1689">
        <f t="shared" si="0"/>
        <v>25</v>
      </c>
      <c r="AJ36" s="1716"/>
      <c r="AK36" s="1717">
        <f t="shared" si="1"/>
        <v>0</v>
      </c>
      <c r="AL36" s="1718"/>
      <c r="AM36" s="1686"/>
    </row>
    <row r="37" spans="1:40" s="1691" customFormat="1" ht="27.95" customHeight="1">
      <c r="A37" s="1686">
        <v>27</v>
      </c>
      <c r="B37" s="1686"/>
      <c r="C37" s="1687" t="str">
        <f>+'[6]Biểu 1 TH CÔNG copy'!C37</f>
        <v>A Nghen</v>
      </c>
      <c r="D37" s="1713"/>
      <c r="E37" s="1713"/>
      <c r="F37" s="1713"/>
      <c r="G37" s="1713"/>
      <c r="H37" s="1713"/>
      <c r="I37" s="1713"/>
      <c r="J37" s="1713"/>
      <c r="K37" s="1713">
        <v>15</v>
      </c>
      <c r="L37" s="1713"/>
      <c r="M37" s="1713"/>
      <c r="N37" s="1713"/>
      <c r="O37" s="1713"/>
      <c r="P37" s="1714"/>
      <c r="Q37" s="1714"/>
      <c r="R37" s="1713">
        <v>3</v>
      </c>
      <c r="S37" s="1714"/>
      <c r="T37" s="1714"/>
      <c r="U37" s="1714"/>
      <c r="V37" s="1714"/>
      <c r="W37" s="1714"/>
      <c r="X37" s="1714"/>
      <c r="Y37" s="1714"/>
      <c r="Z37" s="1688"/>
      <c r="AA37" s="1688"/>
      <c r="AB37" s="1713">
        <v>7</v>
      </c>
      <c r="AC37" s="1688"/>
      <c r="AD37" s="1688"/>
      <c r="AE37" s="1688"/>
      <c r="AF37" s="1688"/>
      <c r="AG37" s="1688"/>
      <c r="AH37" s="1715"/>
      <c r="AI37" s="1689">
        <f t="shared" si="0"/>
        <v>25</v>
      </c>
      <c r="AJ37" s="1716"/>
      <c r="AK37" s="1717">
        <f t="shared" si="1"/>
        <v>0</v>
      </c>
      <c r="AL37" s="1718"/>
      <c r="AM37" s="1686"/>
    </row>
    <row r="38" spans="1:40" s="1691" customFormat="1" ht="27.95" customHeight="1">
      <c r="A38" s="1686">
        <v>28</v>
      </c>
      <c r="B38" s="1686"/>
      <c r="C38" s="1687" t="str">
        <f>+'[6]Biểu 1 TH CÔNG copy'!C38</f>
        <v>Thảo Xâm</v>
      </c>
      <c r="D38" s="1713"/>
      <c r="E38" s="1713"/>
      <c r="F38" s="1713"/>
      <c r="G38" s="1713"/>
      <c r="H38" s="1713"/>
      <c r="I38" s="1713"/>
      <c r="J38" s="1713"/>
      <c r="K38" s="1713">
        <v>15</v>
      </c>
      <c r="L38" s="1713"/>
      <c r="M38" s="1713"/>
      <c r="N38" s="1713"/>
      <c r="O38" s="1713"/>
      <c r="P38" s="1714"/>
      <c r="Q38" s="1714"/>
      <c r="R38" s="1713">
        <v>3</v>
      </c>
      <c r="S38" s="1714"/>
      <c r="T38" s="1714"/>
      <c r="U38" s="1714"/>
      <c r="V38" s="1714"/>
      <c r="W38" s="1714"/>
      <c r="X38" s="1714"/>
      <c r="Y38" s="1714"/>
      <c r="Z38" s="1688"/>
      <c r="AA38" s="1688"/>
      <c r="AB38" s="1713">
        <v>7</v>
      </c>
      <c r="AC38" s="1688"/>
      <c r="AD38" s="1688"/>
      <c r="AE38" s="1688"/>
      <c r="AF38" s="1688"/>
      <c r="AG38" s="1688"/>
      <c r="AH38" s="1715"/>
      <c r="AI38" s="1689">
        <f t="shared" si="0"/>
        <v>25</v>
      </c>
      <c r="AJ38" s="1716"/>
      <c r="AK38" s="1717">
        <f t="shared" si="1"/>
        <v>0</v>
      </c>
      <c r="AL38" s="1718"/>
      <c r="AM38" s="1686"/>
    </row>
    <row r="39" spans="1:40" s="1691" customFormat="1" ht="27.95" customHeight="1">
      <c r="A39" s="1686">
        <v>29</v>
      </c>
      <c r="B39" s="1686"/>
      <c r="C39" s="1687" t="str">
        <f>+'[6]Biểu 1 TH CÔNG copy'!C39</f>
        <v>Thảo Von</v>
      </c>
      <c r="D39" s="1713"/>
      <c r="E39" s="1713"/>
      <c r="F39" s="1713"/>
      <c r="G39" s="1713"/>
      <c r="H39" s="1713"/>
      <c r="I39" s="1713"/>
      <c r="J39" s="1713"/>
      <c r="K39" s="1713">
        <v>15</v>
      </c>
      <c r="L39" s="1713"/>
      <c r="M39" s="1713"/>
      <c r="N39" s="1713"/>
      <c r="O39" s="1713"/>
      <c r="P39" s="1714"/>
      <c r="Q39" s="1714"/>
      <c r="R39" s="1713">
        <v>3</v>
      </c>
      <c r="S39" s="1714"/>
      <c r="T39" s="1714"/>
      <c r="U39" s="1714"/>
      <c r="V39" s="1714"/>
      <c r="W39" s="1714"/>
      <c r="X39" s="1714"/>
      <c r="Y39" s="1714"/>
      <c r="Z39" s="1688"/>
      <c r="AA39" s="1688"/>
      <c r="AB39" s="1713">
        <v>7</v>
      </c>
      <c r="AC39" s="1688"/>
      <c r="AD39" s="1688"/>
      <c r="AE39" s="1688"/>
      <c r="AF39" s="1688"/>
      <c r="AG39" s="1688"/>
      <c r="AH39" s="1715"/>
      <c r="AI39" s="1689">
        <f t="shared" si="0"/>
        <v>25</v>
      </c>
      <c r="AJ39" s="1716"/>
      <c r="AK39" s="1717">
        <f t="shared" si="1"/>
        <v>0</v>
      </c>
      <c r="AL39" s="1690"/>
      <c r="AM39" s="1686"/>
    </row>
    <row r="40" spans="1:40" s="1691" customFormat="1" ht="27.95" customHeight="1">
      <c r="A40" s="1686">
        <v>30</v>
      </c>
      <c r="B40" s="1686"/>
      <c r="C40" s="1687" t="str">
        <f>+'[6]Biểu 1 TH CÔNG copy'!C40</f>
        <v>Nang Phen</v>
      </c>
      <c r="D40" s="1713"/>
      <c r="E40" s="1713"/>
      <c r="F40" s="1713"/>
      <c r="G40" s="1713"/>
      <c r="H40" s="1713"/>
      <c r="I40" s="1713"/>
      <c r="J40" s="1713"/>
      <c r="K40" s="1713">
        <v>15</v>
      </c>
      <c r="L40" s="1713"/>
      <c r="M40" s="1713"/>
      <c r="N40" s="1713"/>
      <c r="O40" s="1713"/>
      <c r="P40" s="1714"/>
      <c r="Q40" s="1714"/>
      <c r="R40" s="1713">
        <v>3</v>
      </c>
      <c r="S40" s="1714"/>
      <c r="T40" s="1714"/>
      <c r="U40" s="1714"/>
      <c r="V40" s="1714"/>
      <c r="W40" s="1714"/>
      <c r="X40" s="1714"/>
      <c r="Y40" s="1714"/>
      <c r="Z40" s="1688"/>
      <c r="AA40" s="1688"/>
      <c r="AB40" s="1713">
        <v>7</v>
      </c>
      <c r="AC40" s="1688"/>
      <c r="AD40" s="1688"/>
      <c r="AE40" s="1688"/>
      <c r="AF40" s="1688"/>
      <c r="AG40" s="1688"/>
      <c r="AH40" s="1715"/>
      <c r="AI40" s="1689">
        <f t="shared" si="0"/>
        <v>25</v>
      </c>
      <c r="AJ40" s="1716"/>
      <c r="AK40" s="1717">
        <f t="shared" si="1"/>
        <v>0</v>
      </c>
      <c r="AL40" s="1690"/>
      <c r="AM40" s="1686"/>
    </row>
    <row r="41" spans="1:40" s="1691" customFormat="1" ht="27.95" customHeight="1">
      <c r="A41" s="1686">
        <v>31</v>
      </c>
      <c r="B41" s="1686"/>
      <c r="C41" s="1687" t="str">
        <f>+'[6]Biểu 1 TH CÔNG copy'!C41</f>
        <v>Nang Bun Ten</v>
      </c>
      <c r="D41" s="1713"/>
      <c r="E41" s="1713"/>
      <c r="F41" s="1713"/>
      <c r="G41" s="1713"/>
      <c r="H41" s="1713"/>
      <c r="I41" s="1713"/>
      <c r="J41" s="1713"/>
      <c r="K41" s="1713">
        <v>15</v>
      </c>
      <c r="L41" s="1713"/>
      <c r="M41" s="1713"/>
      <c r="N41" s="1713"/>
      <c r="O41" s="1713"/>
      <c r="P41" s="1714"/>
      <c r="Q41" s="1714"/>
      <c r="R41" s="1713">
        <v>3</v>
      </c>
      <c r="S41" s="1714"/>
      <c r="T41" s="1714"/>
      <c r="U41" s="1714"/>
      <c r="V41" s="1714"/>
      <c r="W41" s="1714"/>
      <c r="X41" s="1714"/>
      <c r="Y41" s="1714"/>
      <c r="Z41" s="1688"/>
      <c r="AA41" s="1688"/>
      <c r="AB41" s="1713">
        <v>7</v>
      </c>
      <c r="AC41" s="1688"/>
      <c r="AD41" s="1688"/>
      <c r="AE41" s="1688"/>
      <c r="AF41" s="1688"/>
      <c r="AG41" s="1688"/>
      <c r="AH41" s="1715"/>
      <c r="AI41" s="1689">
        <f t="shared" si="0"/>
        <v>25</v>
      </c>
      <c r="AJ41" s="1716"/>
      <c r="AK41" s="1717">
        <f t="shared" si="1"/>
        <v>0</v>
      </c>
      <c r="AL41" s="1718"/>
      <c r="AM41" s="1686"/>
    </row>
    <row r="42" spans="1:40" s="1691" customFormat="1" ht="27.95" customHeight="1">
      <c r="A42" s="1686">
        <v>32</v>
      </c>
      <c r="B42" s="1686"/>
      <c r="C42" s="1687" t="str">
        <f>+'[6]Biểu 1 TH CÔNG copy'!C42</f>
        <v>Thảo Ben</v>
      </c>
      <c r="D42" s="1713"/>
      <c r="E42" s="1713"/>
      <c r="F42" s="1713"/>
      <c r="G42" s="1713"/>
      <c r="H42" s="1713"/>
      <c r="I42" s="1713"/>
      <c r="J42" s="1713"/>
      <c r="K42" s="1713">
        <v>15</v>
      </c>
      <c r="L42" s="1713"/>
      <c r="M42" s="1713"/>
      <c r="N42" s="1713"/>
      <c r="O42" s="1713"/>
      <c r="P42" s="1714"/>
      <c r="Q42" s="1714"/>
      <c r="R42" s="1713">
        <v>3</v>
      </c>
      <c r="S42" s="1714"/>
      <c r="T42" s="1714"/>
      <c r="U42" s="1714"/>
      <c r="V42" s="1714"/>
      <c r="W42" s="1714"/>
      <c r="X42" s="1714"/>
      <c r="Y42" s="1714"/>
      <c r="Z42" s="1688"/>
      <c r="AA42" s="1688"/>
      <c r="AB42" s="1713">
        <v>7</v>
      </c>
      <c r="AC42" s="1688"/>
      <c r="AD42" s="1688"/>
      <c r="AE42" s="1688"/>
      <c r="AF42" s="1688"/>
      <c r="AG42" s="1688"/>
      <c r="AH42" s="1715"/>
      <c r="AI42" s="1689">
        <f t="shared" si="0"/>
        <v>25</v>
      </c>
      <c r="AJ42" s="1716"/>
      <c r="AK42" s="1717">
        <f t="shared" si="1"/>
        <v>0</v>
      </c>
      <c r="AL42" s="1718"/>
      <c r="AM42" s="1686"/>
    </row>
    <row r="43" spans="1:40" s="1691" customFormat="1" ht="27.95" customHeight="1">
      <c r="A43" s="1686">
        <v>33</v>
      </c>
      <c r="B43" s="1686"/>
      <c r="C43" s="1687" t="str">
        <f>+'[6]Biểu 1 TH CÔNG copy'!C43</f>
        <v>Da Lây</v>
      </c>
      <c r="D43" s="1713"/>
      <c r="E43" s="1713"/>
      <c r="F43" s="1713"/>
      <c r="G43" s="1713"/>
      <c r="H43" s="1713"/>
      <c r="I43" s="1713"/>
      <c r="J43" s="1713"/>
      <c r="K43" s="1713">
        <v>15</v>
      </c>
      <c r="L43" s="1713"/>
      <c r="M43" s="1713"/>
      <c r="N43" s="1713"/>
      <c r="O43" s="1713"/>
      <c r="P43" s="1714"/>
      <c r="Q43" s="1714"/>
      <c r="R43" s="1713">
        <v>3</v>
      </c>
      <c r="S43" s="1714"/>
      <c r="T43" s="1714"/>
      <c r="U43" s="1714"/>
      <c r="V43" s="1714"/>
      <c r="W43" s="1714"/>
      <c r="X43" s="1714"/>
      <c r="Y43" s="1714"/>
      <c r="Z43" s="1688"/>
      <c r="AA43" s="1688"/>
      <c r="AB43" s="1713">
        <v>6</v>
      </c>
      <c r="AC43" s="1688"/>
      <c r="AD43" s="1688"/>
      <c r="AE43" s="1688"/>
      <c r="AF43" s="1688"/>
      <c r="AG43" s="1688"/>
      <c r="AH43" s="1715"/>
      <c r="AI43" s="1689">
        <f t="shared" si="0"/>
        <v>24</v>
      </c>
      <c r="AJ43" s="1716"/>
      <c r="AK43" s="1717">
        <f t="shared" si="1"/>
        <v>0</v>
      </c>
      <c r="AL43" s="1690"/>
      <c r="AM43" s="1686"/>
    </row>
    <row r="44" spans="1:40" s="1691" customFormat="1" ht="27.95" customHeight="1">
      <c r="A44" s="1686">
        <v>34</v>
      </c>
      <c r="B44" s="1686"/>
      <c r="C44" s="1687" t="str">
        <f>+'[6]Biểu 1 TH CÔNG copy'!C44</f>
        <v>Thảo Xen</v>
      </c>
      <c r="D44" s="1713"/>
      <c r="E44" s="1713"/>
      <c r="F44" s="1713"/>
      <c r="G44" s="1713"/>
      <c r="H44" s="1713"/>
      <c r="I44" s="1713"/>
      <c r="J44" s="1713"/>
      <c r="K44" s="1713">
        <v>15</v>
      </c>
      <c r="L44" s="1713"/>
      <c r="M44" s="1713"/>
      <c r="N44" s="1713"/>
      <c r="O44" s="1713"/>
      <c r="P44" s="1714"/>
      <c r="Q44" s="1714"/>
      <c r="R44" s="1713">
        <v>3</v>
      </c>
      <c r="S44" s="1714"/>
      <c r="T44" s="1714"/>
      <c r="U44" s="1714"/>
      <c r="V44" s="1714"/>
      <c r="W44" s="1714"/>
      <c r="X44" s="1714"/>
      <c r="Y44" s="1714"/>
      <c r="Z44" s="1688"/>
      <c r="AA44" s="1688"/>
      <c r="AB44" s="1713">
        <v>6</v>
      </c>
      <c r="AC44" s="1688"/>
      <c r="AD44" s="1688"/>
      <c r="AE44" s="1688"/>
      <c r="AF44" s="1688"/>
      <c r="AG44" s="1688"/>
      <c r="AH44" s="1715"/>
      <c r="AI44" s="1689">
        <f t="shared" si="0"/>
        <v>24</v>
      </c>
      <c r="AJ44" s="1716"/>
      <c r="AK44" s="1717">
        <f t="shared" si="1"/>
        <v>0</v>
      </c>
      <c r="AL44" s="1690"/>
      <c r="AM44" s="1686"/>
    </row>
    <row r="45" spans="1:40" s="1683" customFormat="1" ht="27.95" customHeight="1">
      <c r="A45" s="1686">
        <v>36</v>
      </c>
      <c r="B45" s="1686">
        <v>1</v>
      </c>
      <c r="C45" s="1687" t="str">
        <f>+'[6]Biểu 1 TH CÔNG copy'!C46</f>
        <v>Nàng Ăn</v>
      </c>
      <c r="D45" s="1713"/>
      <c r="E45" s="1713"/>
      <c r="F45" s="1713"/>
      <c r="G45" s="1713"/>
      <c r="H45" s="1713"/>
      <c r="I45" s="1713"/>
      <c r="J45" s="1713"/>
      <c r="K45" s="1713"/>
      <c r="L45" s="1713"/>
      <c r="M45" s="1713"/>
      <c r="N45" s="1713"/>
      <c r="O45" s="1713"/>
      <c r="P45" s="1714"/>
      <c r="Q45" s="1714"/>
      <c r="R45" s="1714"/>
      <c r="S45" s="1714"/>
      <c r="T45" s="1714"/>
      <c r="U45" s="1688"/>
      <c r="V45" s="1688"/>
      <c r="W45" s="1688"/>
      <c r="X45" s="1688"/>
      <c r="Y45" s="1688"/>
      <c r="Z45" s="1688"/>
      <c r="AA45" s="1688"/>
      <c r="AB45" s="1713">
        <v>4</v>
      </c>
      <c r="AC45" s="1688"/>
      <c r="AD45" s="1688"/>
      <c r="AE45" s="1688"/>
      <c r="AF45" s="1688"/>
      <c r="AG45" s="1688"/>
      <c r="AH45" s="1714"/>
      <c r="AI45" s="1693">
        <f t="shared" si="0"/>
        <v>4</v>
      </c>
      <c r="AJ45" s="1719"/>
      <c r="AK45" s="1720">
        <f t="shared" si="1"/>
        <v>0</v>
      </c>
      <c r="AL45" s="1721"/>
      <c r="AM45" s="1694"/>
    </row>
    <row r="46" spans="1:40" s="1683" customFormat="1" ht="27.95" customHeight="1">
      <c r="A46" s="1686">
        <v>37</v>
      </c>
      <c r="B46" s="1686">
        <v>2</v>
      </c>
      <c r="C46" s="1687" t="str">
        <f>+'[6]Biểu 1 TH CÔNG copy'!C47</f>
        <v>Thảo Ơ</v>
      </c>
      <c r="D46" s="1713"/>
      <c r="E46" s="1713"/>
      <c r="F46" s="1713"/>
      <c r="G46" s="1713"/>
      <c r="H46" s="1713"/>
      <c r="I46" s="1713"/>
      <c r="J46" s="1713"/>
      <c r="K46" s="1713"/>
      <c r="L46" s="1713"/>
      <c r="M46" s="1713"/>
      <c r="N46" s="1713"/>
      <c r="O46" s="1713"/>
      <c r="P46" s="1714"/>
      <c r="Q46" s="1714"/>
      <c r="R46" s="1714"/>
      <c r="S46" s="1714"/>
      <c r="T46" s="1714"/>
      <c r="U46" s="1688"/>
      <c r="V46" s="1688"/>
      <c r="W46" s="1688"/>
      <c r="X46" s="1688"/>
      <c r="Y46" s="1688"/>
      <c r="Z46" s="1688"/>
      <c r="AA46" s="1688"/>
      <c r="AB46" s="1713">
        <v>4</v>
      </c>
      <c r="AC46" s="1688"/>
      <c r="AD46" s="1688"/>
      <c r="AE46" s="1688"/>
      <c r="AF46" s="1688"/>
      <c r="AG46" s="1688"/>
      <c r="AH46" s="1714"/>
      <c r="AI46" s="1693">
        <f t="shared" si="0"/>
        <v>4</v>
      </c>
      <c r="AJ46" s="1719"/>
      <c r="AK46" s="1720">
        <f t="shared" si="1"/>
        <v>0</v>
      </c>
      <c r="AL46" s="1690"/>
      <c r="AM46" s="1694"/>
      <c r="AN46" s="1695">
        <v>46.604897247520057</v>
      </c>
    </row>
    <row r="47" spans="1:40" s="1683" customFormat="1" ht="27.95" customHeight="1">
      <c r="A47" s="1686">
        <v>38</v>
      </c>
      <c r="B47" s="1686">
        <v>3</v>
      </c>
      <c r="C47" s="1687" t="str">
        <f>+'[6]Biểu 1 TH CÔNG copy'!C48</f>
        <v>Thảo Ui</v>
      </c>
      <c r="D47" s="1713"/>
      <c r="E47" s="1713"/>
      <c r="F47" s="1713"/>
      <c r="G47" s="1713"/>
      <c r="H47" s="1713"/>
      <c r="I47" s="1713"/>
      <c r="J47" s="1713"/>
      <c r="K47" s="1713"/>
      <c r="L47" s="1713"/>
      <c r="M47" s="1713"/>
      <c r="N47" s="1713"/>
      <c r="O47" s="1713"/>
      <c r="P47" s="1714"/>
      <c r="Q47" s="1714"/>
      <c r="R47" s="1714"/>
      <c r="S47" s="1714"/>
      <c r="T47" s="1714"/>
      <c r="U47" s="1688"/>
      <c r="V47" s="1688"/>
      <c r="W47" s="1688"/>
      <c r="X47" s="1688"/>
      <c r="Y47" s="1688"/>
      <c r="Z47" s="1688"/>
      <c r="AA47" s="1688"/>
      <c r="AB47" s="1713">
        <v>4</v>
      </c>
      <c r="AC47" s="1688"/>
      <c r="AD47" s="1688"/>
      <c r="AE47" s="1688"/>
      <c r="AF47" s="1688"/>
      <c r="AG47" s="1688"/>
      <c r="AH47" s="1714"/>
      <c r="AI47" s="1693">
        <f t="shared" si="0"/>
        <v>4</v>
      </c>
      <c r="AJ47" s="1719"/>
      <c r="AK47" s="1720">
        <f t="shared" si="1"/>
        <v>0</v>
      </c>
      <c r="AL47" s="1721"/>
      <c r="AM47" s="1694"/>
      <c r="AN47" s="1683">
        <f>AN46/100</f>
        <v>0.46604897247520055</v>
      </c>
    </row>
    <row r="48" spans="1:40" s="1683" customFormat="1" ht="27.95" customHeight="1">
      <c r="A48" s="1686">
        <v>39</v>
      </c>
      <c r="B48" s="1686">
        <v>4</v>
      </c>
      <c r="C48" s="1687" t="str">
        <f>+'[6]Biểu 1 TH CÔNG copy'!C49</f>
        <v>Thảo Tin</v>
      </c>
      <c r="D48" s="1713"/>
      <c r="E48" s="1713"/>
      <c r="F48" s="1713"/>
      <c r="G48" s="1713"/>
      <c r="H48" s="1713"/>
      <c r="I48" s="1713"/>
      <c r="J48" s="1713"/>
      <c r="K48" s="1713"/>
      <c r="L48" s="1713"/>
      <c r="M48" s="1713"/>
      <c r="N48" s="1713"/>
      <c r="O48" s="1713"/>
      <c r="P48" s="1714"/>
      <c r="Q48" s="1714"/>
      <c r="R48" s="1714"/>
      <c r="S48" s="1714"/>
      <c r="T48" s="1714"/>
      <c r="U48" s="1688"/>
      <c r="V48" s="1688"/>
      <c r="W48" s="1688"/>
      <c r="X48" s="1688"/>
      <c r="Y48" s="1688"/>
      <c r="Z48" s="1688"/>
      <c r="AA48" s="1688"/>
      <c r="AB48" s="1713">
        <v>4</v>
      </c>
      <c r="AC48" s="1688"/>
      <c r="AD48" s="1688"/>
      <c r="AE48" s="1688"/>
      <c r="AF48" s="1688"/>
      <c r="AG48" s="1688"/>
      <c r="AH48" s="1714"/>
      <c r="AI48" s="1693">
        <f t="shared" si="0"/>
        <v>4</v>
      </c>
      <c r="AJ48" s="1719"/>
      <c r="AK48" s="1720">
        <f t="shared" si="1"/>
        <v>0</v>
      </c>
      <c r="AL48" s="1721"/>
      <c r="AM48" s="1694"/>
    </row>
    <row r="49" spans="1:39" s="1683" customFormat="1" ht="27.95" customHeight="1">
      <c r="A49" s="1686">
        <v>40</v>
      </c>
      <c r="B49" s="1686">
        <v>5</v>
      </c>
      <c r="C49" s="1687" t="str">
        <f>+'[6]Biểu 1 TH CÔNG copy'!C50</f>
        <v>Nàng Xái</v>
      </c>
      <c r="D49" s="1713"/>
      <c r="E49" s="1713"/>
      <c r="F49" s="1713"/>
      <c r="G49" s="1713"/>
      <c r="H49" s="1713"/>
      <c r="I49" s="1713"/>
      <c r="J49" s="1713"/>
      <c r="K49" s="1713"/>
      <c r="L49" s="1713"/>
      <c r="M49" s="1713"/>
      <c r="N49" s="1713"/>
      <c r="O49" s="1713"/>
      <c r="P49" s="1714"/>
      <c r="Q49" s="1714"/>
      <c r="R49" s="1714"/>
      <c r="S49" s="1714"/>
      <c r="T49" s="1714"/>
      <c r="U49" s="1688"/>
      <c r="V49" s="1688"/>
      <c r="W49" s="1688"/>
      <c r="X49" s="1688"/>
      <c r="Y49" s="1688"/>
      <c r="Z49" s="1688"/>
      <c r="AA49" s="1688"/>
      <c r="AB49" s="1713">
        <v>4</v>
      </c>
      <c r="AC49" s="1688"/>
      <c r="AD49" s="1688"/>
      <c r="AE49" s="1688"/>
      <c r="AF49" s="1688"/>
      <c r="AG49" s="1688"/>
      <c r="AH49" s="1714"/>
      <c r="AI49" s="1693">
        <f t="shared" si="0"/>
        <v>4</v>
      </c>
      <c r="AJ49" s="1719"/>
      <c r="AK49" s="1720">
        <f t="shared" si="1"/>
        <v>0</v>
      </c>
      <c r="AL49" s="1690"/>
      <c r="AM49" s="1694"/>
    </row>
    <row r="50" spans="1:39" s="1683" customFormat="1" ht="27.95" customHeight="1">
      <c r="A50" s="1686">
        <v>41</v>
      </c>
      <c r="B50" s="1686">
        <v>6</v>
      </c>
      <c r="C50" s="1687" t="str">
        <f>+'[6]Biểu 1 TH CÔNG copy'!C51</f>
        <v>Thảo Phôn Xay</v>
      </c>
      <c r="D50" s="1713"/>
      <c r="E50" s="1713"/>
      <c r="F50" s="1713"/>
      <c r="G50" s="1713"/>
      <c r="H50" s="1713"/>
      <c r="I50" s="1713"/>
      <c r="J50" s="1713"/>
      <c r="K50" s="1713"/>
      <c r="L50" s="1713"/>
      <c r="M50" s="1713"/>
      <c r="N50" s="1713"/>
      <c r="O50" s="1713"/>
      <c r="P50" s="1714"/>
      <c r="Q50" s="1714"/>
      <c r="R50" s="1714"/>
      <c r="S50" s="1714"/>
      <c r="T50" s="1714"/>
      <c r="U50" s="1688"/>
      <c r="V50" s="1688"/>
      <c r="W50" s="1688"/>
      <c r="X50" s="1688"/>
      <c r="Y50" s="1688"/>
      <c r="Z50" s="1688"/>
      <c r="AA50" s="1688"/>
      <c r="AB50" s="1713">
        <v>4</v>
      </c>
      <c r="AC50" s="1688"/>
      <c r="AD50" s="1688"/>
      <c r="AE50" s="1688"/>
      <c r="AF50" s="1688"/>
      <c r="AG50" s="1688"/>
      <c r="AH50" s="1714"/>
      <c r="AI50" s="1693">
        <f t="shared" si="0"/>
        <v>4</v>
      </c>
      <c r="AJ50" s="1719"/>
      <c r="AK50" s="1720">
        <f t="shared" si="1"/>
        <v>0</v>
      </c>
      <c r="AL50" s="1721"/>
      <c r="AM50" s="1694"/>
    </row>
    <row r="51" spans="1:39" s="1683" customFormat="1" ht="27.95" customHeight="1">
      <c r="A51" s="1686">
        <v>42</v>
      </c>
      <c r="B51" s="1686">
        <v>7</v>
      </c>
      <c r="C51" s="1687" t="str">
        <f>+'[6]Biểu 1 TH CÔNG copy'!C52</f>
        <v>Nàng Phêng</v>
      </c>
      <c r="D51" s="1713"/>
      <c r="E51" s="1713"/>
      <c r="F51" s="1713"/>
      <c r="G51" s="1713"/>
      <c r="H51" s="1713"/>
      <c r="I51" s="1713"/>
      <c r="J51" s="1713"/>
      <c r="K51" s="1713"/>
      <c r="L51" s="1713"/>
      <c r="M51" s="1713"/>
      <c r="N51" s="1713"/>
      <c r="O51" s="1713"/>
      <c r="P51" s="1714"/>
      <c r="Q51" s="1714"/>
      <c r="R51" s="1714"/>
      <c r="S51" s="1714"/>
      <c r="T51" s="1714"/>
      <c r="U51" s="1688"/>
      <c r="V51" s="1688"/>
      <c r="W51" s="1688"/>
      <c r="X51" s="1688"/>
      <c r="Y51" s="1688"/>
      <c r="Z51" s="1688"/>
      <c r="AA51" s="1688"/>
      <c r="AB51" s="1713">
        <v>4</v>
      </c>
      <c r="AC51" s="1688"/>
      <c r="AD51" s="1688"/>
      <c r="AE51" s="1688"/>
      <c r="AF51" s="1688"/>
      <c r="AG51" s="1688"/>
      <c r="AH51" s="1714"/>
      <c r="AI51" s="1693">
        <f t="shared" si="0"/>
        <v>4</v>
      </c>
      <c r="AJ51" s="1719"/>
      <c r="AK51" s="1720">
        <f t="shared" si="1"/>
        <v>0</v>
      </c>
      <c r="AL51" s="1690"/>
      <c r="AM51" s="1694"/>
    </row>
    <row r="52" spans="1:39" s="1683" customFormat="1" ht="27.95" customHeight="1">
      <c r="A52" s="1686">
        <v>43</v>
      </c>
      <c r="B52" s="1686">
        <v>8</v>
      </c>
      <c r="C52" s="1687" t="str">
        <f>+'[6]Biểu 1 TH CÔNG copy'!C53</f>
        <v>Thảo Phíc</v>
      </c>
      <c r="D52" s="1713"/>
      <c r="E52" s="1713"/>
      <c r="F52" s="1713"/>
      <c r="G52" s="1713"/>
      <c r="H52" s="1713"/>
      <c r="I52" s="1713"/>
      <c r="J52" s="1713"/>
      <c r="K52" s="1713"/>
      <c r="L52" s="1713"/>
      <c r="M52" s="1713"/>
      <c r="N52" s="1713"/>
      <c r="O52" s="1713"/>
      <c r="P52" s="1714"/>
      <c r="Q52" s="1714"/>
      <c r="R52" s="1714"/>
      <c r="S52" s="1714"/>
      <c r="T52" s="1714"/>
      <c r="U52" s="1688"/>
      <c r="V52" s="1688"/>
      <c r="W52" s="1688"/>
      <c r="X52" s="1688"/>
      <c r="Y52" s="1688"/>
      <c r="Z52" s="1688"/>
      <c r="AA52" s="1688"/>
      <c r="AB52" s="1713">
        <v>4</v>
      </c>
      <c r="AC52" s="1688"/>
      <c r="AD52" s="1688"/>
      <c r="AE52" s="1688"/>
      <c r="AF52" s="1688"/>
      <c r="AG52" s="1688"/>
      <c r="AH52" s="1714"/>
      <c r="AI52" s="1693">
        <f t="shared" si="0"/>
        <v>4</v>
      </c>
      <c r="AJ52" s="1719"/>
      <c r="AK52" s="1720">
        <f t="shared" si="1"/>
        <v>0</v>
      </c>
      <c r="AL52" s="1690"/>
      <c r="AM52" s="1694"/>
    </row>
    <row r="53" spans="1:39" s="1683" customFormat="1" ht="27.95" customHeight="1">
      <c r="A53" s="1686">
        <v>44</v>
      </c>
      <c r="B53" s="1686">
        <v>9</v>
      </c>
      <c r="C53" s="1687" t="str">
        <f>+'[6]Biểu 1 TH CÔNG copy'!C54</f>
        <v>Nàng Chai</v>
      </c>
      <c r="D53" s="1713"/>
      <c r="E53" s="1713"/>
      <c r="F53" s="1713"/>
      <c r="G53" s="1713"/>
      <c r="H53" s="1713"/>
      <c r="I53" s="1713"/>
      <c r="J53" s="1713"/>
      <c r="K53" s="1713"/>
      <c r="L53" s="1713"/>
      <c r="M53" s="1713"/>
      <c r="N53" s="1713"/>
      <c r="O53" s="1713"/>
      <c r="P53" s="1714"/>
      <c r="Q53" s="1714"/>
      <c r="R53" s="1714"/>
      <c r="S53" s="1714"/>
      <c r="T53" s="1714"/>
      <c r="U53" s="1688"/>
      <c r="V53" s="1688"/>
      <c r="W53" s="1688"/>
      <c r="X53" s="1688"/>
      <c r="Y53" s="1688"/>
      <c r="Z53" s="1688"/>
      <c r="AA53" s="1688"/>
      <c r="AB53" s="1713">
        <v>4</v>
      </c>
      <c r="AC53" s="1688"/>
      <c r="AD53" s="1688"/>
      <c r="AE53" s="1688"/>
      <c r="AF53" s="1688"/>
      <c r="AG53" s="1688"/>
      <c r="AH53" s="1714"/>
      <c r="AI53" s="1693">
        <f t="shared" si="0"/>
        <v>4</v>
      </c>
      <c r="AJ53" s="1719"/>
      <c r="AK53" s="1720">
        <f t="shared" si="1"/>
        <v>0</v>
      </c>
      <c r="AL53" s="1690"/>
      <c r="AM53" s="1694"/>
    </row>
    <row r="54" spans="1:39" s="1683" customFormat="1" ht="27.95" customHeight="1">
      <c r="A54" s="1686">
        <v>45</v>
      </c>
      <c r="B54" s="1686">
        <v>10</v>
      </c>
      <c r="C54" s="1687" t="str">
        <f>+'[6]Biểu 1 TH CÔNG copy'!C55</f>
        <v>Nàng Xanh</v>
      </c>
      <c r="D54" s="1713"/>
      <c r="E54" s="1713"/>
      <c r="F54" s="1713"/>
      <c r="G54" s="1713"/>
      <c r="H54" s="1713"/>
      <c r="I54" s="1713"/>
      <c r="J54" s="1713"/>
      <c r="K54" s="1713"/>
      <c r="L54" s="1713"/>
      <c r="M54" s="1713"/>
      <c r="N54" s="1713"/>
      <c r="O54" s="1713"/>
      <c r="P54" s="1714"/>
      <c r="Q54" s="1714"/>
      <c r="R54" s="1714"/>
      <c r="S54" s="1714"/>
      <c r="T54" s="1714"/>
      <c r="U54" s="1688"/>
      <c r="V54" s="1688"/>
      <c r="W54" s="1688"/>
      <c r="X54" s="1688"/>
      <c r="Y54" s="1688"/>
      <c r="Z54" s="1688"/>
      <c r="AA54" s="1688"/>
      <c r="AB54" s="1713">
        <v>4</v>
      </c>
      <c r="AC54" s="1688"/>
      <c r="AD54" s="1688"/>
      <c r="AE54" s="1688"/>
      <c r="AF54" s="1688"/>
      <c r="AG54" s="1688"/>
      <c r="AH54" s="1714"/>
      <c r="AI54" s="1693">
        <f t="shared" si="0"/>
        <v>4</v>
      </c>
      <c r="AJ54" s="1719"/>
      <c r="AK54" s="1720">
        <f t="shared" si="1"/>
        <v>0</v>
      </c>
      <c r="AL54" s="1690"/>
      <c r="AM54" s="1694"/>
    </row>
    <row r="55" spans="1:39" s="1683" customFormat="1" ht="27.95" customHeight="1">
      <c r="A55" s="1686">
        <v>46</v>
      </c>
      <c r="B55" s="1686">
        <v>11</v>
      </c>
      <c r="C55" s="1687" t="str">
        <f>+'[6]Biểu 1 TH CÔNG copy'!C56</f>
        <v>Thảo Xượm</v>
      </c>
      <c r="D55" s="1713"/>
      <c r="E55" s="1713"/>
      <c r="F55" s="1713"/>
      <c r="G55" s="1713"/>
      <c r="H55" s="1713"/>
      <c r="I55" s="1713"/>
      <c r="J55" s="1713"/>
      <c r="K55" s="1713"/>
      <c r="L55" s="1713"/>
      <c r="M55" s="1713"/>
      <c r="N55" s="1713"/>
      <c r="O55" s="1713"/>
      <c r="P55" s="1714"/>
      <c r="Q55" s="1714"/>
      <c r="R55" s="1714"/>
      <c r="S55" s="1714"/>
      <c r="T55" s="1714"/>
      <c r="U55" s="1688"/>
      <c r="V55" s="1688"/>
      <c r="W55" s="1688"/>
      <c r="X55" s="1688"/>
      <c r="Y55" s="1688"/>
      <c r="Z55" s="1688"/>
      <c r="AA55" s="1688"/>
      <c r="AB55" s="1713">
        <v>4</v>
      </c>
      <c r="AC55" s="1688"/>
      <c r="AD55" s="1688"/>
      <c r="AE55" s="1688"/>
      <c r="AF55" s="1688"/>
      <c r="AG55" s="1688"/>
      <c r="AH55" s="1714"/>
      <c r="AI55" s="1693">
        <f t="shared" si="0"/>
        <v>4</v>
      </c>
      <c r="AJ55" s="1719"/>
      <c r="AK55" s="1720">
        <f t="shared" si="1"/>
        <v>0</v>
      </c>
      <c r="AL55" s="1690"/>
      <c r="AM55" s="1694"/>
    </row>
    <row r="56" spans="1:39" s="1683" customFormat="1" ht="27.95" customHeight="1">
      <c r="A56" s="1686">
        <v>47</v>
      </c>
      <c r="B56" s="1686">
        <v>12</v>
      </c>
      <c r="C56" s="1687" t="str">
        <f>+'[6]Biểu 1 TH CÔNG copy'!C57</f>
        <v>Thảo Tích</v>
      </c>
      <c r="D56" s="1713"/>
      <c r="E56" s="1713"/>
      <c r="F56" s="1713"/>
      <c r="G56" s="1713"/>
      <c r="H56" s="1713"/>
      <c r="I56" s="1713"/>
      <c r="J56" s="1713"/>
      <c r="K56" s="1713"/>
      <c r="L56" s="1713"/>
      <c r="M56" s="1713"/>
      <c r="N56" s="1713"/>
      <c r="O56" s="1713"/>
      <c r="P56" s="1714"/>
      <c r="Q56" s="1714"/>
      <c r="R56" s="1714"/>
      <c r="S56" s="1714"/>
      <c r="T56" s="1714"/>
      <c r="U56" s="1688"/>
      <c r="V56" s="1688"/>
      <c r="W56" s="1688"/>
      <c r="X56" s="1688"/>
      <c r="Y56" s="1688"/>
      <c r="Z56" s="1688"/>
      <c r="AA56" s="1688"/>
      <c r="AB56" s="1713">
        <v>5</v>
      </c>
      <c r="AC56" s="1688"/>
      <c r="AD56" s="1688"/>
      <c r="AE56" s="1688"/>
      <c r="AF56" s="1688"/>
      <c r="AG56" s="1688"/>
      <c r="AH56" s="1714"/>
      <c r="AI56" s="1693">
        <f t="shared" si="0"/>
        <v>5</v>
      </c>
      <c r="AJ56" s="1719"/>
      <c r="AK56" s="1720">
        <f t="shared" si="1"/>
        <v>0</v>
      </c>
      <c r="AL56" s="1690"/>
      <c r="AM56" s="1694"/>
    </row>
    <row r="57" spans="1:39" s="1683" customFormat="1" ht="27.95" customHeight="1">
      <c r="A57" s="1686">
        <v>48</v>
      </c>
      <c r="B57" s="1686">
        <v>13</v>
      </c>
      <c r="C57" s="1687" t="str">
        <f>+'[6]Biểu 1 TH CÔNG copy'!C58</f>
        <v>Nàng Thoong</v>
      </c>
      <c r="D57" s="1713"/>
      <c r="E57" s="1713"/>
      <c r="F57" s="1713"/>
      <c r="G57" s="1713"/>
      <c r="H57" s="1713"/>
      <c r="I57" s="1713"/>
      <c r="J57" s="1713"/>
      <c r="K57" s="1713"/>
      <c r="L57" s="1713"/>
      <c r="M57" s="1713"/>
      <c r="N57" s="1713"/>
      <c r="O57" s="1713"/>
      <c r="P57" s="1714"/>
      <c r="Q57" s="1714"/>
      <c r="R57" s="1714"/>
      <c r="S57" s="1714"/>
      <c r="T57" s="1714"/>
      <c r="U57" s="1688"/>
      <c r="V57" s="1688"/>
      <c r="W57" s="1688"/>
      <c r="X57" s="1688"/>
      <c r="Y57" s="1688"/>
      <c r="Z57" s="1688"/>
      <c r="AA57" s="1688"/>
      <c r="AB57" s="1713">
        <v>5</v>
      </c>
      <c r="AC57" s="1688"/>
      <c r="AD57" s="1688"/>
      <c r="AE57" s="1688"/>
      <c r="AF57" s="1688"/>
      <c r="AG57" s="1688"/>
      <c r="AH57" s="1714"/>
      <c r="AI57" s="1693">
        <f t="shared" si="0"/>
        <v>5</v>
      </c>
      <c r="AJ57" s="1719"/>
      <c r="AK57" s="1720">
        <f t="shared" si="1"/>
        <v>0</v>
      </c>
      <c r="AL57" s="1690"/>
      <c r="AM57" s="1694"/>
    </row>
    <row r="58" spans="1:39" s="1683" customFormat="1" ht="27.95" customHeight="1">
      <c r="A58" s="1686">
        <v>49</v>
      </c>
      <c r="B58" s="1686">
        <v>14</v>
      </c>
      <c r="C58" s="1687" t="str">
        <f>+'[6]Biểu 1 TH CÔNG copy'!C59</f>
        <v>Thảo Xoan Chay</v>
      </c>
      <c r="D58" s="1713"/>
      <c r="E58" s="1713"/>
      <c r="F58" s="1713"/>
      <c r="G58" s="1713"/>
      <c r="H58" s="1713"/>
      <c r="I58" s="1713"/>
      <c r="J58" s="1713"/>
      <c r="K58" s="1713"/>
      <c r="L58" s="1713"/>
      <c r="M58" s="1713"/>
      <c r="N58" s="1713"/>
      <c r="O58" s="1713"/>
      <c r="P58" s="1714"/>
      <c r="Q58" s="1714"/>
      <c r="R58" s="1714"/>
      <c r="S58" s="1714"/>
      <c r="T58" s="1714"/>
      <c r="U58" s="1688"/>
      <c r="V58" s="1688"/>
      <c r="W58" s="1688"/>
      <c r="X58" s="1688"/>
      <c r="Y58" s="1688"/>
      <c r="Z58" s="1688"/>
      <c r="AA58" s="1688"/>
      <c r="AB58" s="1713">
        <v>5</v>
      </c>
      <c r="AC58" s="1688"/>
      <c r="AD58" s="1688"/>
      <c r="AE58" s="1688"/>
      <c r="AF58" s="1688"/>
      <c r="AG58" s="1688"/>
      <c r="AH58" s="1714"/>
      <c r="AI58" s="1693">
        <f t="shared" si="0"/>
        <v>5</v>
      </c>
      <c r="AJ58" s="1719"/>
      <c r="AK58" s="1720">
        <f t="shared" si="1"/>
        <v>0</v>
      </c>
      <c r="AL58" s="1690"/>
      <c r="AM58" s="1694"/>
    </row>
    <row r="59" spans="1:39" s="1683" customFormat="1" ht="27.95" customHeight="1">
      <c r="A59" s="1686">
        <v>50</v>
      </c>
      <c r="B59" s="1686">
        <v>15</v>
      </c>
      <c r="C59" s="1687" t="str">
        <f>+'[6]Biểu 1 TH CÔNG copy'!C60</f>
        <v>Nàng Út</v>
      </c>
      <c r="D59" s="1713"/>
      <c r="E59" s="1713"/>
      <c r="F59" s="1713"/>
      <c r="G59" s="1713"/>
      <c r="H59" s="1713"/>
      <c r="I59" s="1713"/>
      <c r="J59" s="1713"/>
      <c r="K59" s="1713"/>
      <c r="L59" s="1713"/>
      <c r="M59" s="1713"/>
      <c r="N59" s="1713"/>
      <c r="O59" s="1713"/>
      <c r="P59" s="1714"/>
      <c r="Q59" s="1714"/>
      <c r="R59" s="1714"/>
      <c r="S59" s="1714"/>
      <c r="T59" s="1714"/>
      <c r="U59" s="1688"/>
      <c r="V59" s="1688"/>
      <c r="W59" s="1688"/>
      <c r="X59" s="1688"/>
      <c r="Y59" s="1688"/>
      <c r="Z59" s="1688"/>
      <c r="AA59" s="1688"/>
      <c r="AB59" s="1713">
        <v>5</v>
      </c>
      <c r="AC59" s="1688"/>
      <c r="AD59" s="1688"/>
      <c r="AE59" s="1688"/>
      <c r="AF59" s="1688"/>
      <c r="AG59" s="1688"/>
      <c r="AH59" s="1714"/>
      <c r="AI59" s="1693">
        <f t="shared" si="0"/>
        <v>5</v>
      </c>
      <c r="AJ59" s="1719"/>
      <c r="AK59" s="1720">
        <f t="shared" si="1"/>
        <v>0</v>
      </c>
      <c r="AL59" s="1690"/>
      <c r="AM59" s="1694"/>
    </row>
    <row r="60" spans="1:39" s="1683" customFormat="1" ht="27.95" customHeight="1">
      <c r="A60" s="1686">
        <v>51</v>
      </c>
      <c r="B60" s="1686">
        <v>16</v>
      </c>
      <c r="C60" s="1687" t="str">
        <f>+'[6]Biểu 1 TH CÔNG copy'!C61</f>
        <v>Thảo Xay Phôn</v>
      </c>
      <c r="D60" s="1713"/>
      <c r="E60" s="1713"/>
      <c r="F60" s="1713"/>
      <c r="G60" s="1713"/>
      <c r="H60" s="1713"/>
      <c r="I60" s="1713"/>
      <c r="J60" s="1713"/>
      <c r="K60" s="1713"/>
      <c r="L60" s="1713"/>
      <c r="M60" s="1713"/>
      <c r="N60" s="1713"/>
      <c r="O60" s="1713"/>
      <c r="P60" s="1714"/>
      <c r="Q60" s="1714"/>
      <c r="R60" s="1714"/>
      <c r="S60" s="1714"/>
      <c r="T60" s="1714"/>
      <c r="U60" s="1688"/>
      <c r="V60" s="1688"/>
      <c r="W60" s="1688"/>
      <c r="X60" s="1688"/>
      <c r="Y60" s="1688"/>
      <c r="Z60" s="1688"/>
      <c r="AA60" s="1688"/>
      <c r="AB60" s="1713">
        <v>5</v>
      </c>
      <c r="AC60" s="1688"/>
      <c r="AD60" s="1688"/>
      <c r="AE60" s="1688"/>
      <c r="AF60" s="1688"/>
      <c r="AG60" s="1688"/>
      <c r="AH60" s="1714"/>
      <c r="AI60" s="1693">
        <f t="shared" si="0"/>
        <v>5</v>
      </c>
      <c r="AJ60" s="1719"/>
      <c r="AK60" s="1720">
        <f t="shared" si="1"/>
        <v>0</v>
      </c>
      <c r="AL60" s="1690"/>
      <c r="AM60" s="1694"/>
    </row>
    <row r="61" spans="1:39" s="1683" customFormat="1" ht="27.95" customHeight="1">
      <c r="A61" s="1686">
        <v>52</v>
      </c>
      <c r="B61" s="1686">
        <v>17</v>
      </c>
      <c r="C61" s="1687" t="str">
        <f>+'[6]Biểu 1 TH CÔNG copy'!C62</f>
        <v>Nàng Mui</v>
      </c>
      <c r="D61" s="1713"/>
      <c r="E61" s="1713"/>
      <c r="F61" s="1713"/>
      <c r="G61" s="1713"/>
      <c r="H61" s="1713"/>
      <c r="I61" s="1713"/>
      <c r="J61" s="1713"/>
      <c r="K61" s="1713"/>
      <c r="L61" s="1713"/>
      <c r="M61" s="1713"/>
      <c r="N61" s="1713"/>
      <c r="O61" s="1713"/>
      <c r="P61" s="1714"/>
      <c r="Q61" s="1714"/>
      <c r="R61" s="1714"/>
      <c r="S61" s="1714"/>
      <c r="T61" s="1714"/>
      <c r="U61" s="1688"/>
      <c r="V61" s="1688"/>
      <c r="W61" s="1688"/>
      <c r="X61" s="1688"/>
      <c r="Y61" s="1688"/>
      <c r="Z61" s="1688"/>
      <c r="AA61" s="1688"/>
      <c r="AB61" s="1713">
        <v>5</v>
      </c>
      <c r="AC61" s="1688"/>
      <c r="AD61" s="1688"/>
      <c r="AE61" s="1688"/>
      <c r="AF61" s="1688"/>
      <c r="AG61" s="1688"/>
      <c r="AH61" s="1714"/>
      <c r="AI61" s="1693">
        <f t="shared" si="0"/>
        <v>5</v>
      </c>
      <c r="AJ61" s="1719"/>
      <c r="AK61" s="1720">
        <f t="shared" si="1"/>
        <v>0</v>
      </c>
      <c r="AL61" s="1690"/>
      <c r="AM61" s="1694"/>
    </row>
    <row r="62" spans="1:39" s="1683" customFormat="1" ht="27.95" customHeight="1">
      <c r="A62" s="1686">
        <v>53</v>
      </c>
      <c r="B62" s="1686">
        <v>18</v>
      </c>
      <c r="C62" s="1687" t="str">
        <f>+'[6]Biểu 1 TH CÔNG copy'!C63</f>
        <v>Ning Dung</v>
      </c>
      <c r="D62" s="1713"/>
      <c r="E62" s="1713"/>
      <c r="F62" s="1713"/>
      <c r="G62" s="1713"/>
      <c r="H62" s="1713"/>
      <c r="I62" s="1713"/>
      <c r="J62" s="1713"/>
      <c r="K62" s="1713"/>
      <c r="L62" s="1713"/>
      <c r="M62" s="1713"/>
      <c r="N62" s="1713"/>
      <c r="O62" s="1713"/>
      <c r="P62" s="1714"/>
      <c r="Q62" s="1714"/>
      <c r="R62" s="1714"/>
      <c r="S62" s="1714"/>
      <c r="T62" s="1714"/>
      <c r="U62" s="1688"/>
      <c r="V62" s="1688"/>
      <c r="W62" s="1688"/>
      <c r="X62" s="1688"/>
      <c r="Y62" s="1688"/>
      <c r="Z62" s="1688"/>
      <c r="AA62" s="1688"/>
      <c r="AB62" s="1713">
        <v>5</v>
      </c>
      <c r="AC62" s="1688"/>
      <c r="AD62" s="1688"/>
      <c r="AE62" s="1688"/>
      <c r="AF62" s="1688"/>
      <c r="AG62" s="1688"/>
      <c r="AH62" s="1714"/>
      <c r="AI62" s="1693">
        <f t="shared" si="0"/>
        <v>5</v>
      </c>
      <c r="AJ62" s="1719"/>
      <c r="AK62" s="1720">
        <f t="shared" si="1"/>
        <v>0</v>
      </c>
      <c r="AL62" s="1690"/>
      <c r="AM62" s="1694"/>
    </row>
    <row r="63" spans="1:39" s="1683" customFormat="1" ht="27.95" customHeight="1">
      <c r="A63" s="1686">
        <v>54</v>
      </c>
      <c r="B63" s="1686">
        <v>19</v>
      </c>
      <c r="C63" s="1687" t="str">
        <f>+'[6]Biểu 1 TH CÔNG copy'!C64</f>
        <v>Mua Chăn</v>
      </c>
      <c r="D63" s="1713"/>
      <c r="E63" s="1713"/>
      <c r="F63" s="1713"/>
      <c r="G63" s="1713"/>
      <c r="H63" s="1713"/>
      <c r="I63" s="1713"/>
      <c r="J63" s="1713"/>
      <c r="K63" s="1713"/>
      <c r="L63" s="1713"/>
      <c r="M63" s="1713"/>
      <c r="N63" s="1713"/>
      <c r="O63" s="1713"/>
      <c r="P63" s="1714"/>
      <c r="Q63" s="1714"/>
      <c r="R63" s="1714"/>
      <c r="S63" s="1714"/>
      <c r="T63" s="1714"/>
      <c r="U63" s="1688"/>
      <c r="V63" s="1688"/>
      <c r="W63" s="1688"/>
      <c r="X63" s="1688"/>
      <c r="Y63" s="1688"/>
      <c r="Z63" s="1688"/>
      <c r="AA63" s="1688"/>
      <c r="AB63" s="1713">
        <v>5</v>
      </c>
      <c r="AC63" s="1688"/>
      <c r="AD63" s="1688"/>
      <c r="AE63" s="1688"/>
      <c r="AF63" s="1688"/>
      <c r="AG63" s="1688"/>
      <c r="AH63" s="1714"/>
      <c r="AI63" s="1693">
        <f t="shared" si="0"/>
        <v>5</v>
      </c>
      <c r="AJ63" s="1719"/>
      <c r="AK63" s="1720">
        <f t="shared" si="1"/>
        <v>0</v>
      </c>
      <c r="AL63" s="1690"/>
      <c r="AM63" s="1694"/>
    </row>
    <row r="64" spans="1:39" s="1683" customFormat="1" ht="27.95" customHeight="1">
      <c r="A64" s="1686">
        <v>55</v>
      </c>
      <c r="B64" s="1686">
        <v>20</v>
      </c>
      <c r="C64" s="1687" t="str">
        <f>+'[6]Biểu 1 TH CÔNG copy'!C65</f>
        <v>Thảo Chọi 2</v>
      </c>
      <c r="D64" s="1713"/>
      <c r="E64" s="1713"/>
      <c r="F64" s="1713"/>
      <c r="G64" s="1713"/>
      <c r="H64" s="1713"/>
      <c r="I64" s="1713"/>
      <c r="J64" s="1713"/>
      <c r="K64" s="1713"/>
      <c r="L64" s="1713"/>
      <c r="M64" s="1713"/>
      <c r="N64" s="1713"/>
      <c r="O64" s="1713"/>
      <c r="P64" s="1714"/>
      <c r="Q64" s="1714"/>
      <c r="R64" s="1714"/>
      <c r="S64" s="1714"/>
      <c r="T64" s="1714"/>
      <c r="U64" s="1688"/>
      <c r="V64" s="1688"/>
      <c r="W64" s="1688"/>
      <c r="X64" s="1688"/>
      <c r="Y64" s="1688"/>
      <c r="Z64" s="1688"/>
      <c r="AA64" s="1688"/>
      <c r="AB64" s="1713">
        <v>5</v>
      </c>
      <c r="AC64" s="1688"/>
      <c r="AD64" s="1688"/>
      <c r="AE64" s="1688"/>
      <c r="AF64" s="1688"/>
      <c r="AG64" s="1688"/>
      <c r="AH64" s="1714"/>
      <c r="AI64" s="1693">
        <f t="shared" si="0"/>
        <v>5</v>
      </c>
      <c r="AJ64" s="1719"/>
      <c r="AK64" s="1720">
        <f t="shared" si="1"/>
        <v>0</v>
      </c>
      <c r="AL64" s="1721"/>
      <c r="AM64" s="1694"/>
    </row>
    <row r="65" spans="1:39" s="1683" customFormat="1" ht="27.95" customHeight="1">
      <c r="A65" s="1686">
        <v>56</v>
      </c>
      <c r="B65" s="1686">
        <v>21</v>
      </c>
      <c r="C65" s="1687" t="str">
        <f>+'[6]Biểu 1 TH CÔNG copy'!C66</f>
        <v>Thảo Sing</v>
      </c>
      <c r="D65" s="1713"/>
      <c r="E65" s="1713"/>
      <c r="F65" s="1713"/>
      <c r="G65" s="1713"/>
      <c r="H65" s="1713"/>
      <c r="I65" s="1713"/>
      <c r="J65" s="1713"/>
      <c r="K65" s="1713"/>
      <c r="L65" s="1713"/>
      <c r="M65" s="1713"/>
      <c r="N65" s="1713"/>
      <c r="O65" s="1713"/>
      <c r="P65" s="1714"/>
      <c r="Q65" s="1714"/>
      <c r="R65" s="1714"/>
      <c r="S65" s="1714"/>
      <c r="T65" s="1714"/>
      <c r="U65" s="1688"/>
      <c r="V65" s="1688"/>
      <c r="W65" s="1688"/>
      <c r="X65" s="1688"/>
      <c r="Y65" s="1688"/>
      <c r="Z65" s="1688"/>
      <c r="AA65" s="1688"/>
      <c r="AB65" s="1713">
        <v>5</v>
      </c>
      <c r="AC65" s="1688"/>
      <c r="AD65" s="1688"/>
      <c r="AE65" s="1688"/>
      <c r="AF65" s="1688"/>
      <c r="AG65" s="1688"/>
      <c r="AH65" s="1714"/>
      <c r="AI65" s="1693">
        <f t="shared" si="0"/>
        <v>5</v>
      </c>
      <c r="AJ65" s="1719"/>
      <c r="AK65" s="1720">
        <f t="shared" si="1"/>
        <v>0</v>
      </c>
      <c r="AL65" s="1690"/>
      <c r="AM65" s="1694"/>
    </row>
    <row r="66" spans="1:39" s="1683" customFormat="1" ht="27.95" customHeight="1">
      <c r="A66" s="1686">
        <v>57</v>
      </c>
      <c r="B66" s="1686">
        <v>22</v>
      </c>
      <c r="C66" s="1687" t="str">
        <f>+'[6]Biểu 1 TH CÔNG copy'!C67</f>
        <v>Thảo Phu</v>
      </c>
      <c r="D66" s="1713"/>
      <c r="E66" s="1713"/>
      <c r="F66" s="1713"/>
      <c r="G66" s="1713"/>
      <c r="H66" s="1713"/>
      <c r="I66" s="1713"/>
      <c r="J66" s="1713"/>
      <c r="K66" s="1713"/>
      <c r="L66" s="1713"/>
      <c r="M66" s="1713"/>
      <c r="N66" s="1713"/>
      <c r="O66" s="1713"/>
      <c r="P66" s="1714"/>
      <c r="Q66" s="1714"/>
      <c r="R66" s="1714"/>
      <c r="S66" s="1714"/>
      <c r="T66" s="1714"/>
      <c r="U66" s="1688"/>
      <c r="V66" s="1688"/>
      <c r="W66" s="1688"/>
      <c r="X66" s="1688"/>
      <c r="Y66" s="1688"/>
      <c r="Z66" s="1688"/>
      <c r="AA66" s="1688"/>
      <c r="AB66" s="1713">
        <v>5</v>
      </c>
      <c r="AC66" s="1688"/>
      <c r="AD66" s="1688"/>
      <c r="AE66" s="1688"/>
      <c r="AF66" s="1688"/>
      <c r="AG66" s="1688"/>
      <c r="AH66" s="1714"/>
      <c r="AI66" s="1693">
        <f t="shared" si="0"/>
        <v>5</v>
      </c>
      <c r="AJ66" s="1719"/>
      <c r="AK66" s="1720">
        <f t="shared" si="1"/>
        <v>0</v>
      </c>
      <c r="AL66" s="1690"/>
      <c r="AM66" s="1694"/>
    </row>
    <row r="67" spans="1:39" s="1683" customFormat="1" ht="27.95" customHeight="1">
      <c r="A67" s="1686">
        <v>58</v>
      </c>
      <c r="B67" s="1686">
        <v>23</v>
      </c>
      <c r="C67" s="1687" t="str">
        <f>+'[6]Biểu 1 TH CÔNG copy'!C68</f>
        <v>Nàng Tịa</v>
      </c>
      <c r="D67" s="1713"/>
      <c r="E67" s="1713"/>
      <c r="F67" s="1713"/>
      <c r="G67" s="1713"/>
      <c r="H67" s="1713"/>
      <c r="I67" s="1713"/>
      <c r="J67" s="1713"/>
      <c r="K67" s="1713"/>
      <c r="L67" s="1713"/>
      <c r="M67" s="1713"/>
      <c r="N67" s="1713"/>
      <c r="O67" s="1713"/>
      <c r="P67" s="1714"/>
      <c r="Q67" s="1714"/>
      <c r="R67" s="1714"/>
      <c r="S67" s="1714"/>
      <c r="T67" s="1714"/>
      <c r="U67" s="1688"/>
      <c r="V67" s="1688"/>
      <c r="W67" s="1688"/>
      <c r="X67" s="1688"/>
      <c r="Y67" s="1688"/>
      <c r="Z67" s="1688"/>
      <c r="AA67" s="1688"/>
      <c r="AB67" s="1713">
        <v>5</v>
      </c>
      <c r="AC67" s="1688"/>
      <c r="AD67" s="1688"/>
      <c r="AE67" s="1688"/>
      <c r="AF67" s="1688"/>
      <c r="AG67" s="1688"/>
      <c r="AH67" s="1714"/>
      <c r="AI67" s="1693">
        <f t="shared" si="0"/>
        <v>5</v>
      </c>
      <c r="AJ67" s="1719"/>
      <c r="AK67" s="1720">
        <f t="shared" si="1"/>
        <v>0</v>
      </c>
      <c r="AL67" s="1690"/>
      <c r="AM67" s="1694"/>
    </row>
    <row r="68" spans="1:39" s="1683" customFormat="1" ht="27.95" customHeight="1">
      <c r="A68" s="1686">
        <v>59</v>
      </c>
      <c r="B68" s="1686">
        <v>24</v>
      </c>
      <c r="C68" s="1687" t="str">
        <f>+'[6]Biểu 1 TH CÔNG copy'!C69</f>
        <v>Thảo Tý</v>
      </c>
      <c r="D68" s="1713"/>
      <c r="E68" s="1713"/>
      <c r="F68" s="1713"/>
      <c r="G68" s="1713"/>
      <c r="H68" s="1713"/>
      <c r="I68" s="1713"/>
      <c r="J68" s="1713"/>
      <c r="K68" s="1713"/>
      <c r="L68" s="1713"/>
      <c r="M68" s="1713"/>
      <c r="N68" s="1713"/>
      <c r="O68" s="1713"/>
      <c r="P68" s="1714"/>
      <c r="Q68" s="1714"/>
      <c r="R68" s="1714"/>
      <c r="S68" s="1714"/>
      <c r="T68" s="1714"/>
      <c r="U68" s="1688"/>
      <c r="V68" s="1688"/>
      <c r="W68" s="1688"/>
      <c r="X68" s="1688"/>
      <c r="Y68" s="1688"/>
      <c r="Z68" s="1688"/>
      <c r="AA68" s="1688"/>
      <c r="AB68" s="1713">
        <v>5</v>
      </c>
      <c r="AC68" s="1688"/>
      <c r="AD68" s="1688"/>
      <c r="AE68" s="1688"/>
      <c r="AF68" s="1688"/>
      <c r="AG68" s="1688"/>
      <c r="AH68" s="1714"/>
      <c r="AI68" s="1693">
        <f t="shared" si="0"/>
        <v>5</v>
      </c>
      <c r="AJ68" s="1719"/>
      <c r="AK68" s="1720">
        <f t="shared" si="1"/>
        <v>0</v>
      </c>
      <c r="AL68" s="1690"/>
      <c r="AM68" s="1694"/>
    </row>
    <row r="69" spans="1:39" s="1683" customFormat="1" ht="27.95" customHeight="1">
      <c r="A69" s="1686">
        <v>60</v>
      </c>
      <c r="B69" s="1686">
        <v>25</v>
      </c>
      <c r="C69" s="1687" t="str">
        <f>+'[6]Biểu 1 TH CÔNG copy'!C70</f>
        <v>Nàng Lếc</v>
      </c>
      <c r="D69" s="1713"/>
      <c r="E69" s="1713"/>
      <c r="F69" s="1713"/>
      <c r="G69" s="1713"/>
      <c r="H69" s="1713"/>
      <c r="I69" s="1713"/>
      <c r="J69" s="1713"/>
      <c r="K69" s="1713"/>
      <c r="L69" s="1713"/>
      <c r="M69" s="1713"/>
      <c r="N69" s="1713"/>
      <c r="O69" s="1713"/>
      <c r="P69" s="1714"/>
      <c r="Q69" s="1714"/>
      <c r="R69" s="1714"/>
      <c r="S69" s="1714"/>
      <c r="T69" s="1714"/>
      <c r="U69" s="1688"/>
      <c r="V69" s="1688"/>
      <c r="W69" s="1688"/>
      <c r="X69" s="1688"/>
      <c r="Y69" s="1688"/>
      <c r="Z69" s="1688"/>
      <c r="AA69" s="1688"/>
      <c r="AB69" s="1713">
        <v>5</v>
      </c>
      <c r="AC69" s="1688"/>
      <c r="AD69" s="1688"/>
      <c r="AE69" s="1688"/>
      <c r="AF69" s="1688"/>
      <c r="AG69" s="1688"/>
      <c r="AH69" s="1714"/>
      <c r="AI69" s="1693">
        <f t="shared" si="0"/>
        <v>5</v>
      </c>
      <c r="AJ69" s="1719"/>
      <c r="AK69" s="1720">
        <f t="shared" si="1"/>
        <v>0</v>
      </c>
      <c r="AL69" s="1721"/>
      <c r="AM69" s="1694"/>
    </row>
    <row r="70" spans="1:39" s="1683" customFormat="1" ht="27.95" customHeight="1">
      <c r="A70" s="1686">
        <v>61</v>
      </c>
      <c r="B70" s="1686">
        <v>26</v>
      </c>
      <c r="C70" s="1687" t="str">
        <f>+'[6]Biểu 1 TH CÔNG copy'!C71</f>
        <v>Nàng Veo</v>
      </c>
      <c r="D70" s="1713"/>
      <c r="E70" s="1713"/>
      <c r="F70" s="1713"/>
      <c r="G70" s="1713"/>
      <c r="H70" s="1713"/>
      <c r="I70" s="1713"/>
      <c r="J70" s="1713"/>
      <c r="K70" s="1713"/>
      <c r="L70" s="1713"/>
      <c r="M70" s="1713"/>
      <c r="N70" s="1713"/>
      <c r="O70" s="1713"/>
      <c r="P70" s="1714"/>
      <c r="Q70" s="1714"/>
      <c r="R70" s="1714"/>
      <c r="S70" s="1714"/>
      <c r="T70" s="1714"/>
      <c r="U70" s="1688"/>
      <c r="V70" s="1688"/>
      <c r="W70" s="1688"/>
      <c r="X70" s="1688"/>
      <c r="Y70" s="1688"/>
      <c r="Z70" s="1688"/>
      <c r="AA70" s="1688"/>
      <c r="AB70" s="1713">
        <v>5</v>
      </c>
      <c r="AC70" s="1688"/>
      <c r="AD70" s="1688"/>
      <c r="AE70" s="1688"/>
      <c r="AF70" s="1688"/>
      <c r="AG70" s="1688"/>
      <c r="AH70" s="1714"/>
      <c r="AI70" s="1693">
        <f t="shared" si="0"/>
        <v>5</v>
      </c>
      <c r="AJ70" s="1719"/>
      <c r="AK70" s="1720">
        <f t="shared" si="1"/>
        <v>0</v>
      </c>
      <c r="AL70" s="1721"/>
      <c r="AM70" s="1694"/>
    </row>
    <row r="71" spans="1:39" s="1683" customFormat="1" ht="27.95" customHeight="1">
      <c r="A71" s="1686">
        <v>62</v>
      </c>
      <c r="B71" s="1686">
        <v>27</v>
      </c>
      <c r="C71" s="1687" t="str">
        <f>+'[6]Biểu 1 TH CÔNG copy'!C72</f>
        <v>Thảo Chọi</v>
      </c>
      <c r="D71" s="1713"/>
      <c r="E71" s="1713"/>
      <c r="F71" s="1713"/>
      <c r="G71" s="1713"/>
      <c r="H71" s="1713"/>
      <c r="I71" s="1713"/>
      <c r="J71" s="1713"/>
      <c r="K71" s="1713"/>
      <c r="L71" s="1713"/>
      <c r="M71" s="1713"/>
      <c r="N71" s="1713"/>
      <c r="O71" s="1713"/>
      <c r="P71" s="1714"/>
      <c r="Q71" s="1714"/>
      <c r="R71" s="1714"/>
      <c r="S71" s="1714"/>
      <c r="T71" s="1714"/>
      <c r="U71" s="1688"/>
      <c r="V71" s="1688"/>
      <c r="W71" s="1688"/>
      <c r="X71" s="1688"/>
      <c r="Y71" s="1688"/>
      <c r="Z71" s="1688"/>
      <c r="AA71" s="1688"/>
      <c r="AB71" s="1713">
        <v>5</v>
      </c>
      <c r="AC71" s="1688"/>
      <c r="AD71" s="1688"/>
      <c r="AE71" s="1688"/>
      <c r="AF71" s="1688"/>
      <c r="AG71" s="1688"/>
      <c r="AH71" s="1714"/>
      <c r="AI71" s="1693">
        <f t="shared" si="0"/>
        <v>5</v>
      </c>
      <c r="AJ71" s="1719"/>
      <c r="AK71" s="1720">
        <f t="shared" si="1"/>
        <v>0</v>
      </c>
      <c r="AL71" s="1690"/>
      <c r="AM71" s="1694"/>
    </row>
    <row r="72" spans="1:39" s="1683" customFormat="1" ht="27.95" customHeight="1">
      <c r="A72" s="1686">
        <v>63</v>
      </c>
      <c r="B72" s="1686">
        <v>28</v>
      </c>
      <c r="C72" s="1687" t="str">
        <f>+'[6]Biểu 1 TH CÔNG copy'!C73</f>
        <v>Nàng Nọi</v>
      </c>
      <c r="D72" s="1713"/>
      <c r="E72" s="1713"/>
      <c r="F72" s="1713"/>
      <c r="G72" s="1713"/>
      <c r="H72" s="1713"/>
      <c r="I72" s="1713"/>
      <c r="J72" s="1713"/>
      <c r="K72" s="1713"/>
      <c r="L72" s="1713"/>
      <c r="M72" s="1713"/>
      <c r="N72" s="1713"/>
      <c r="O72" s="1713"/>
      <c r="P72" s="1714"/>
      <c r="Q72" s="1714"/>
      <c r="R72" s="1714"/>
      <c r="S72" s="1714"/>
      <c r="T72" s="1714"/>
      <c r="U72" s="1688"/>
      <c r="V72" s="1688"/>
      <c r="W72" s="1688"/>
      <c r="X72" s="1688"/>
      <c r="Y72" s="1688"/>
      <c r="Z72" s="1688"/>
      <c r="AA72" s="1688"/>
      <c r="AB72" s="1713">
        <v>5</v>
      </c>
      <c r="AC72" s="1688"/>
      <c r="AD72" s="1688"/>
      <c r="AE72" s="1688"/>
      <c r="AF72" s="1688"/>
      <c r="AG72" s="1688"/>
      <c r="AH72" s="1714"/>
      <c r="AI72" s="1693">
        <f t="shared" si="0"/>
        <v>5</v>
      </c>
      <c r="AJ72" s="1719"/>
      <c r="AK72" s="1720">
        <f t="shared" si="1"/>
        <v>0</v>
      </c>
      <c r="AL72" s="1721"/>
      <c r="AM72" s="1694"/>
    </row>
    <row r="73" spans="1:39" s="1683" customFormat="1" ht="27.95" customHeight="1">
      <c r="A73" s="1686">
        <v>64</v>
      </c>
      <c r="B73" s="1686">
        <v>29</v>
      </c>
      <c r="C73" s="1687" t="str">
        <f>+'[6]Biểu 1 TH CÔNG copy'!C74</f>
        <v>Thảo Uổn</v>
      </c>
      <c r="D73" s="1713"/>
      <c r="E73" s="1713"/>
      <c r="F73" s="1713"/>
      <c r="G73" s="1713"/>
      <c r="H73" s="1713"/>
      <c r="I73" s="1713"/>
      <c r="J73" s="1713"/>
      <c r="K73" s="1713"/>
      <c r="L73" s="1713"/>
      <c r="M73" s="1713"/>
      <c r="N73" s="1713"/>
      <c r="O73" s="1713"/>
      <c r="P73" s="1714"/>
      <c r="Q73" s="1714"/>
      <c r="R73" s="1714"/>
      <c r="S73" s="1714"/>
      <c r="T73" s="1714"/>
      <c r="U73" s="1688"/>
      <c r="V73" s="1688"/>
      <c r="W73" s="1688"/>
      <c r="X73" s="1688"/>
      <c r="Y73" s="1688"/>
      <c r="Z73" s="1688"/>
      <c r="AA73" s="1688"/>
      <c r="AB73" s="1713">
        <v>5</v>
      </c>
      <c r="AC73" s="1688"/>
      <c r="AD73" s="1688"/>
      <c r="AE73" s="1688"/>
      <c r="AF73" s="1688"/>
      <c r="AG73" s="1688"/>
      <c r="AH73" s="1714"/>
      <c r="AI73" s="1693">
        <f t="shared" si="0"/>
        <v>5</v>
      </c>
      <c r="AJ73" s="1719"/>
      <c r="AK73" s="1720">
        <f t="shared" si="1"/>
        <v>0</v>
      </c>
      <c r="AL73" s="1721"/>
      <c r="AM73" s="1694"/>
    </row>
    <row r="74" spans="1:39" s="1683" customFormat="1" ht="27.95" customHeight="1">
      <c r="A74" s="1686">
        <v>65</v>
      </c>
      <c r="B74" s="1686">
        <v>30</v>
      </c>
      <c r="C74" s="1687" t="str">
        <f>+'[6]Biểu 1 TH CÔNG copy'!C75</f>
        <v>Nàng Văn</v>
      </c>
      <c r="D74" s="1713"/>
      <c r="E74" s="1713"/>
      <c r="F74" s="1713"/>
      <c r="G74" s="1713"/>
      <c r="H74" s="1713"/>
      <c r="I74" s="1713"/>
      <c r="J74" s="1713"/>
      <c r="K74" s="1713"/>
      <c r="L74" s="1713"/>
      <c r="M74" s="1713"/>
      <c r="N74" s="1713"/>
      <c r="O74" s="1713"/>
      <c r="P74" s="1714"/>
      <c r="Q74" s="1714"/>
      <c r="R74" s="1714"/>
      <c r="S74" s="1714"/>
      <c r="T74" s="1714"/>
      <c r="U74" s="1688"/>
      <c r="V74" s="1688"/>
      <c r="W74" s="1688"/>
      <c r="X74" s="1688"/>
      <c r="Y74" s="1688"/>
      <c r="Z74" s="1688"/>
      <c r="AA74" s="1688"/>
      <c r="AB74" s="1713">
        <v>5</v>
      </c>
      <c r="AC74" s="1688"/>
      <c r="AD74" s="1688"/>
      <c r="AE74" s="1688"/>
      <c r="AF74" s="1688"/>
      <c r="AG74" s="1688"/>
      <c r="AH74" s="1714"/>
      <c r="AI74" s="1693">
        <f t="shared" ref="AI74:AI87" si="2">SUM(D74:AH74)</f>
        <v>5</v>
      </c>
      <c r="AJ74" s="1719"/>
      <c r="AK74" s="1720">
        <f t="shared" si="1"/>
        <v>0</v>
      </c>
      <c r="AL74" s="1721"/>
      <c r="AM74" s="1694"/>
    </row>
    <row r="75" spans="1:39" s="1683" customFormat="1" ht="27.95" customHeight="1">
      <c r="A75" s="1686">
        <v>66</v>
      </c>
      <c r="B75" s="1686">
        <v>31</v>
      </c>
      <c r="C75" s="1687" t="str">
        <f>+'[6]Biểu 1 TH CÔNG copy'!C76</f>
        <v>Thảo Chòi</v>
      </c>
      <c r="D75" s="1713"/>
      <c r="E75" s="1713"/>
      <c r="F75" s="1713"/>
      <c r="G75" s="1713"/>
      <c r="H75" s="1713"/>
      <c r="I75" s="1713"/>
      <c r="J75" s="1713"/>
      <c r="K75" s="1713"/>
      <c r="L75" s="1713"/>
      <c r="M75" s="1713"/>
      <c r="N75" s="1713"/>
      <c r="O75" s="1713"/>
      <c r="P75" s="1714"/>
      <c r="Q75" s="1714"/>
      <c r="R75" s="1714"/>
      <c r="S75" s="1714"/>
      <c r="T75" s="1714"/>
      <c r="U75" s="1688"/>
      <c r="V75" s="1688"/>
      <c r="W75" s="1688"/>
      <c r="X75" s="1688"/>
      <c r="Y75" s="1688"/>
      <c r="Z75" s="1688"/>
      <c r="AA75" s="1688"/>
      <c r="AB75" s="1713">
        <v>5</v>
      </c>
      <c r="AC75" s="1688"/>
      <c r="AD75" s="1688"/>
      <c r="AE75" s="1688"/>
      <c r="AF75" s="1688"/>
      <c r="AG75" s="1688"/>
      <c r="AH75" s="1714"/>
      <c r="AI75" s="1693">
        <f t="shared" si="2"/>
        <v>5</v>
      </c>
      <c r="AJ75" s="1719"/>
      <c r="AK75" s="1720">
        <f t="shared" ref="AK75:AK87" si="3">AI75*AJ75/100</f>
        <v>0</v>
      </c>
      <c r="AL75" s="1721"/>
      <c r="AM75" s="1694"/>
    </row>
    <row r="76" spans="1:39" s="1683" customFormat="1" ht="27.95" customHeight="1">
      <c r="A76" s="1686">
        <v>67</v>
      </c>
      <c r="B76" s="1686">
        <v>32</v>
      </c>
      <c r="C76" s="1687" t="str">
        <f>+'[6]Biểu 1 TH CÔNG copy'!C77</f>
        <v>Thảo Chanh</v>
      </c>
      <c r="D76" s="1713"/>
      <c r="E76" s="1713"/>
      <c r="F76" s="1713"/>
      <c r="G76" s="1713"/>
      <c r="H76" s="1713"/>
      <c r="I76" s="1713"/>
      <c r="J76" s="1713"/>
      <c r="K76" s="1713"/>
      <c r="L76" s="1713"/>
      <c r="M76" s="1713"/>
      <c r="N76" s="1713"/>
      <c r="O76" s="1713"/>
      <c r="P76" s="1714"/>
      <c r="Q76" s="1714"/>
      <c r="R76" s="1714"/>
      <c r="S76" s="1714"/>
      <c r="T76" s="1714"/>
      <c r="U76" s="1688"/>
      <c r="V76" s="1688"/>
      <c r="W76" s="1688"/>
      <c r="X76" s="1688"/>
      <c r="Y76" s="1688"/>
      <c r="Z76" s="1688"/>
      <c r="AA76" s="1688"/>
      <c r="AB76" s="1713">
        <v>5</v>
      </c>
      <c r="AC76" s="1688"/>
      <c r="AD76" s="1688"/>
      <c r="AE76" s="1688"/>
      <c r="AF76" s="1688"/>
      <c r="AG76" s="1688"/>
      <c r="AH76" s="1714"/>
      <c r="AI76" s="1693">
        <f t="shared" si="2"/>
        <v>5</v>
      </c>
      <c r="AJ76" s="1719"/>
      <c r="AK76" s="1720">
        <f t="shared" si="3"/>
        <v>0</v>
      </c>
      <c r="AL76" s="1721"/>
      <c r="AM76" s="1694"/>
    </row>
    <row r="77" spans="1:39" s="1683" customFormat="1" ht="27.95" customHeight="1">
      <c r="A77" s="1686">
        <v>68</v>
      </c>
      <c r="B77" s="1686">
        <v>33</v>
      </c>
      <c r="C77" s="1687" t="str">
        <f>+'[6]Biểu 1 TH CÔNG copy'!C78</f>
        <v>Thảo Sa</v>
      </c>
      <c r="D77" s="1713"/>
      <c r="E77" s="1713"/>
      <c r="F77" s="1713"/>
      <c r="G77" s="1713"/>
      <c r="H77" s="1713"/>
      <c r="I77" s="1713"/>
      <c r="J77" s="1713"/>
      <c r="K77" s="1713"/>
      <c r="L77" s="1713"/>
      <c r="M77" s="1713"/>
      <c r="N77" s="1713"/>
      <c r="O77" s="1713"/>
      <c r="P77" s="1714"/>
      <c r="Q77" s="1714"/>
      <c r="R77" s="1714"/>
      <c r="S77" s="1714"/>
      <c r="T77" s="1714"/>
      <c r="U77" s="1688"/>
      <c r="V77" s="1688"/>
      <c r="W77" s="1688"/>
      <c r="X77" s="1688"/>
      <c r="Y77" s="1688"/>
      <c r="Z77" s="1688"/>
      <c r="AA77" s="1688"/>
      <c r="AB77" s="1713">
        <v>5</v>
      </c>
      <c r="AC77" s="1688"/>
      <c r="AD77" s="1688"/>
      <c r="AE77" s="1688"/>
      <c r="AF77" s="1688"/>
      <c r="AG77" s="1688"/>
      <c r="AH77" s="1714"/>
      <c r="AI77" s="1693">
        <f t="shared" si="2"/>
        <v>5</v>
      </c>
      <c r="AJ77" s="1719"/>
      <c r="AK77" s="1720">
        <f t="shared" si="3"/>
        <v>0</v>
      </c>
      <c r="AL77" s="1721"/>
      <c r="AM77" s="1694"/>
    </row>
    <row r="78" spans="1:39" s="1683" customFormat="1" ht="27.95" customHeight="1">
      <c r="A78" s="1686">
        <v>69</v>
      </c>
      <c r="B78" s="1686">
        <v>34</v>
      </c>
      <c r="C78" s="1687" t="str">
        <f>+'[6]Biểu 1 TH CÔNG copy'!C79</f>
        <v>Nàng Phôn</v>
      </c>
      <c r="D78" s="1713"/>
      <c r="E78" s="1713"/>
      <c r="F78" s="1713"/>
      <c r="G78" s="1713"/>
      <c r="H78" s="1713"/>
      <c r="I78" s="1713"/>
      <c r="J78" s="1713"/>
      <c r="K78" s="1713"/>
      <c r="L78" s="1713"/>
      <c r="M78" s="1713"/>
      <c r="N78" s="1713"/>
      <c r="O78" s="1713"/>
      <c r="P78" s="1714"/>
      <c r="Q78" s="1714"/>
      <c r="R78" s="1714"/>
      <c r="S78" s="1714"/>
      <c r="T78" s="1714"/>
      <c r="U78" s="1688"/>
      <c r="V78" s="1688"/>
      <c r="W78" s="1688"/>
      <c r="X78" s="1688"/>
      <c r="Y78" s="1688"/>
      <c r="Z78" s="1688"/>
      <c r="AA78" s="1688"/>
      <c r="AB78" s="1713">
        <v>5</v>
      </c>
      <c r="AC78" s="1688"/>
      <c r="AD78" s="1688"/>
      <c r="AE78" s="1688"/>
      <c r="AF78" s="1688"/>
      <c r="AG78" s="1688"/>
      <c r="AH78" s="1714"/>
      <c r="AI78" s="1693">
        <f t="shared" si="2"/>
        <v>5</v>
      </c>
      <c r="AJ78" s="1719"/>
      <c r="AK78" s="1720">
        <f t="shared" si="3"/>
        <v>0</v>
      </c>
      <c r="AL78" s="1690"/>
      <c r="AM78" s="1694"/>
    </row>
    <row r="79" spans="1:39" s="1683" customFormat="1" ht="27.95" customHeight="1">
      <c r="A79" s="1686">
        <v>70</v>
      </c>
      <c r="B79" s="1686">
        <v>35</v>
      </c>
      <c r="C79" s="1687" t="str">
        <f>+'[6]Biểu 1 TH CÔNG copy'!C80</f>
        <v>Thảo Mon</v>
      </c>
      <c r="D79" s="1713"/>
      <c r="E79" s="1713"/>
      <c r="F79" s="1713"/>
      <c r="G79" s="1713"/>
      <c r="H79" s="1713"/>
      <c r="I79" s="1713"/>
      <c r="J79" s="1713"/>
      <c r="K79" s="1713"/>
      <c r="L79" s="1713"/>
      <c r="M79" s="1713"/>
      <c r="N79" s="1713"/>
      <c r="O79" s="1713"/>
      <c r="P79" s="1714"/>
      <c r="Q79" s="1714"/>
      <c r="R79" s="1714"/>
      <c r="S79" s="1714"/>
      <c r="T79" s="1714"/>
      <c r="U79" s="1688"/>
      <c r="V79" s="1688"/>
      <c r="W79" s="1688"/>
      <c r="X79" s="1688"/>
      <c r="Y79" s="1688"/>
      <c r="Z79" s="1688"/>
      <c r="AA79" s="1688"/>
      <c r="AB79" s="1713">
        <v>5</v>
      </c>
      <c r="AC79" s="1688"/>
      <c r="AD79" s="1688"/>
      <c r="AE79" s="1688"/>
      <c r="AF79" s="1688"/>
      <c r="AG79" s="1688"/>
      <c r="AH79" s="1714"/>
      <c r="AI79" s="1693">
        <f t="shared" si="2"/>
        <v>5</v>
      </c>
      <c r="AJ79" s="1719"/>
      <c r="AK79" s="1720">
        <f t="shared" si="3"/>
        <v>0</v>
      </c>
      <c r="AL79" s="1690"/>
      <c r="AM79" s="1694"/>
    </row>
    <row r="80" spans="1:39" s="1683" customFormat="1" ht="27.95" customHeight="1">
      <c r="A80" s="1686">
        <v>71</v>
      </c>
      <c r="B80" s="1686">
        <v>36</v>
      </c>
      <c r="C80" s="1687" t="str">
        <f>+'[6]Biểu 1 TH CÔNG copy'!C81</f>
        <v>Thảo Vông Xay</v>
      </c>
      <c r="D80" s="1713"/>
      <c r="E80" s="1713"/>
      <c r="F80" s="1713"/>
      <c r="G80" s="1713"/>
      <c r="H80" s="1713"/>
      <c r="I80" s="1713"/>
      <c r="J80" s="1713"/>
      <c r="K80" s="1713"/>
      <c r="L80" s="1713"/>
      <c r="M80" s="1713"/>
      <c r="N80" s="1713"/>
      <c r="O80" s="1713"/>
      <c r="P80" s="1714"/>
      <c r="Q80" s="1714"/>
      <c r="R80" s="1714"/>
      <c r="S80" s="1714"/>
      <c r="T80" s="1714"/>
      <c r="U80" s="1688"/>
      <c r="V80" s="1688"/>
      <c r="W80" s="1688"/>
      <c r="X80" s="1688"/>
      <c r="Y80" s="1688"/>
      <c r="Z80" s="1688"/>
      <c r="AA80" s="1688"/>
      <c r="AB80" s="1713">
        <v>5</v>
      </c>
      <c r="AC80" s="1688"/>
      <c r="AD80" s="1688"/>
      <c r="AE80" s="1688"/>
      <c r="AF80" s="1688"/>
      <c r="AG80" s="1688"/>
      <c r="AH80" s="1714"/>
      <c r="AI80" s="1693">
        <f t="shared" si="2"/>
        <v>5</v>
      </c>
      <c r="AJ80" s="1719"/>
      <c r="AK80" s="1720">
        <f t="shared" si="3"/>
        <v>0</v>
      </c>
      <c r="AL80" s="1721"/>
      <c r="AM80" s="1694"/>
    </row>
    <row r="81" spans="1:41" s="1683" customFormat="1" ht="27.95" customHeight="1">
      <c r="A81" s="1686">
        <v>72</v>
      </c>
      <c r="B81" s="1686">
        <v>37</v>
      </c>
      <c r="C81" s="1687" t="str">
        <f>+'[6]Biểu 1 TH CÔNG copy'!C82</f>
        <v>Nàng Lun</v>
      </c>
      <c r="D81" s="1713"/>
      <c r="E81" s="1713"/>
      <c r="F81" s="1713"/>
      <c r="G81" s="1713"/>
      <c r="H81" s="1713"/>
      <c r="I81" s="1713"/>
      <c r="J81" s="1713"/>
      <c r="K81" s="1713"/>
      <c r="L81" s="1713"/>
      <c r="M81" s="1713"/>
      <c r="N81" s="1713"/>
      <c r="O81" s="1713"/>
      <c r="P81" s="1714"/>
      <c r="Q81" s="1714"/>
      <c r="R81" s="1714"/>
      <c r="S81" s="1714"/>
      <c r="T81" s="1714"/>
      <c r="U81" s="1688"/>
      <c r="V81" s="1688"/>
      <c r="W81" s="1688"/>
      <c r="X81" s="1688"/>
      <c r="Y81" s="1688"/>
      <c r="Z81" s="1688"/>
      <c r="AA81" s="1688"/>
      <c r="AB81" s="1713">
        <v>5</v>
      </c>
      <c r="AC81" s="1688"/>
      <c r="AD81" s="1688"/>
      <c r="AE81" s="1688"/>
      <c r="AF81" s="1688"/>
      <c r="AG81" s="1688"/>
      <c r="AH81" s="1714"/>
      <c r="AI81" s="1693">
        <f t="shared" si="2"/>
        <v>5</v>
      </c>
      <c r="AJ81" s="1719"/>
      <c r="AK81" s="1720">
        <f t="shared" si="3"/>
        <v>0</v>
      </c>
      <c r="AL81" s="1690"/>
      <c r="AM81" s="1694"/>
    </row>
    <row r="82" spans="1:41" s="1683" customFormat="1" ht="27.95" customHeight="1">
      <c r="A82" s="1686">
        <v>73</v>
      </c>
      <c r="B82" s="1686">
        <v>38</v>
      </c>
      <c r="C82" s="1687" t="str">
        <f>+'[6]Biểu 1 TH CÔNG copy'!C83</f>
        <v>Thảo Vong</v>
      </c>
      <c r="D82" s="1713"/>
      <c r="E82" s="1713"/>
      <c r="F82" s="1713"/>
      <c r="G82" s="1713"/>
      <c r="H82" s="1713"/>
      <c r="I82" s="1713"/>
      <c r="J82" s="1713"/>
      <c r="K82" s="1713"/>
      <c r="L82" s="1713"/>
      <c r="M82" s="1713"/>
      <c r="N82" s="1713"/>
      <c r="O82" s="1713"/>
      <c r="P82" s="1714"/>
      <c r="Q82" s="1714"/>
      <c r="R82" s="1714"/>
      <c r="S82" s="1714"/>
      <c r="T82" s="1714"/>
      <c r="U82" s="1688"/>
      <c r="V82" s="1688"/>
      <c r="W82" s="1688"/>
      <c r="X82" s="1688"/>
      <c r="Y82" s="1688"/>
      <c r="Z82" s="1688"/>
      <c r="AA82" s="1688"/>
      <c r="AB82" s="1713">
        <v>5</v>
      </c>
      <c r="AC82" s="1688"/>
      <c r="AD82" s="1688"/>
      <c r="AE82" s="1688"/>
      <c r="AF82" s="1688"/>
      <c r="AG82" s="1688"/>
      <c r="AH82" s="1714"/>
      <c r="AI82" s="1693">
        <f t="shared" si="2"/>
        <v>5</v>
      </c>
      <c r="AJ82" s="1719"/>
      <c r="AK82" s="1720">
        <f t="shared" si="3"/>
        <v>0</v>
      </c>
      <c r="AL82" s="1690"/>
      <c r="AM82" s="1694"/>
    </row>
    <row r="83" spans="1:41" s="1683" customFormat="1" ht="27.95" customHeight="1">
      <c r="A83" s="1686">
        <v>74</v>
      </c>
      <c r="B83" s="1686">
        <v>39</v>
      </c>
      <c r="C83" s="1687" t="str">
        <f>+'[6]Biểu 1 TH CÔNG copy'!C84</f>
        <v>Nàng Veng</v>
      </c>
      <c r="D83" s="1713"/>
      <c r="E83" s="1713"/>
      <c r="F83" s="1713"/>
      <c r="G83" s="1713"/>
      <c r="H83" s="1713"/>
      <c r="I83" s="1713"/>
      <c r="J83" s="1713"/>
      <c r="K83" s="1713"/>
      <c r="L83" s="1713"/>
      <c r="M83" s="1713"/>
      <c r="N83" s="1713"/>
      <c r="O83" s="1713"/>
      <c r="P83" s="1714"/>
      <c r="Q83" s="1714"/>
      <c r="R83" s="1714"/>
      <c r="S83" s="1714"/>
      <c r="T83" s="1714"/>
      <c r="U83" s="1688"/>
      <c r="V83" s="1688"/>
      <c r="W83" s="1688"/>
      <c r="X83" s="1688"/>
      <c r="Y83" s="1688"/>
      <c r="Z83" s="1688"/>
      <c r="AA83" s="1688"/>
      <c r="AB83" s="1713">
        <v>5</v>
      </c>
      <c r="AC83" s="1688"/>
      <c r="AD83" s="1688"/>
      <c r="AE83" s="1688"/>
      <c r="AF83" s="1688"/>
      <c r="AG83" s="1688"/>
      <c r="AH83" s="1714"/>
      <c r="AI83" s="1693">
        <f t="shared" si="2"/>
        <v>5</v>
      </c>
      <c r="AJ83" s="1719"/>
      <c r="AK83" s="1720">
        <f t="shared" si="3"/>
        <v>0</v>
      </c>
      <c r="AL83" s="1690"/>
      <c r="AM83" s="1694"/>
    </row>
    <row r="84" spans="1:41" s="1683" customFormat="1" ht="27.95" customHeight="1">
      <c r="A84" s="1686">
        <v>75</v>
      </c>
      <c r="B84" s="1686">
        <v>40</v>
      </c>
      <c r="C84" s="1687" t="str">
        <f>+'[6]Biểu 1 TH CÔNG copy'!C85</f>
        <v>Thảo Đuông Chăn</v>
      </c>
      <c r="D84" s="1713"/>
      <c r="E84" s="1713"/>
      <c r="F84" s="1713"/>
      <c r="G84" s="1713"/>
      <c r="H84" s="1713"/>
      <c r="I84" s="1713"/>
      <c r="J84" s="1713"/>
      <c r="K84" s="1713"/>
      <c r="L84" s="1713"/>
      <c r="M84" s="1713"/>
      <c r="N84" s="1713"/>
      <c r="O84" s="1713"/>
      <c r="P84" s="1714"/>
      <c r="Q84" s="1714"/>
      <c r="R84" s="1714"/>
      <c r="S84" s="1714"/>
      <c r="T84" s="1714"/>
      <c r="U84" s="1688"/>
      <c r="V84" s="1688"/>
      <c r="W84" s="1688"/>
      <c r="X84" s="1688"/>
      <c r="Y84" s="1688"/>
      <c r="Z84" s="1688"/>
      <c r="AA84" s="1688"/>
      <c r="AB84" s="1713">
        <v>5</v>
      </c>
      <c r="AC84" s="1688"/>
      <c r="AD84" s="1688"/>
      <c r="AE84" s="1688"/>
      <c r="AF84" s="1688"/>
      <c r="AG84" s="1688"/>
      <c r="AH84" s="1714"/>
      <c r="AI84" s="1693">
        <f t="shared" si="2"/>
        <v>5</v>
      </c>
      <c r="AJ84" s="1719"/>
      <c r="AK84" s="1720">
        <f t="shared" si="3"/>
        <v>0</v>
      </c>
      <c r="AL84" s="1690"/>
      <c r="AM84" s="1694"/>
    </row>
    <row r="85" spans="1:41" s="1683" customFormat="1" ht="27.95" customHeight="1">
      <c r="A85" s="1686">
        <v>76</v>
      </c>
      <c r="B85" s="1686">
        <v>41</v>
      </c>
      <c r="C85" s="1687" t="str">
        <f>+'[6]Biểu 1 TH CÔNG copy'!C86</f>
        <v>Nàng Peng</v>
      </c>
      <c r="D85" s="1713"/>
      <c r="E85" s="1713"/>
      <c r="F85" s="1713"/>
      <c r="G85" s="1713"/>
      <c r="H85" s="1713"/>
      <c r="I85" s="1713"/>
      <c r="J85" s="1713"/>
      <c r="K85" s="1713"/>
      <c r="L85" s="1713"/>
      <c r="M85" s="1713"/>
      <c r="N85" s="1713"/>
      <c r="O85" s="1713"/>
      <c r="P85" s="1714"/>
      <c r="Q85" s="1714"/>
      <c r="R85" s="1714"/>
      <c r="S85" s="1714"/>
      <c r="T85" s="1714"/>
      <c r="U85" s="1688"/>
      <c r="V85" s="1688"/>
      <c r="W85" s="1688"/>
      <c r="X85" s="1688"/>
      <c r="Y85" s="1688"/>
      <c r="Z85" s="1688"/>
      <c r="AA85" s="1688"/>
      <c r="AB85" s="1713">
        <v>5</v>
      </c>
      <c r="AC85" s="1688"/>
      <c r="AD85" s="1688"/>
      <c r="AE85" s="1688"/>
      <c r="AF85" s="1688"/>
      <c r="AG85" s="1688"/>
      <c r="AH85" s="1714"/>
      <c r="AI85" s="1693">
        <f t="shared" si="2"/>
        <v>5</v>
      </c>
      <c r="AJ85" s="1719"/>
      <c r="AK85" s="1720">
        <f t="shared" si="3"/>
        <v>0</v>
      </c>
      <c r="AL85" s="1690"/>
      <c r="AM85" s="1694"/>
    </row>
    <row r="86" spans="1:41" s="1683" customFormat="1" ht="27.95" customHeight="1">
      <c r="A86" s="1686">
        <v>77</v>
      </c>
      <c r="B86" s="1686">
        <v>42</v>
      </c>
      <c r="C86" s="1687" t="str">
        <f>+'[6]Biểu 1 TH CÔNG copy'!C87</f>
        <v>Thảo Xay Tho</v>
      </c>
      <c r="D86" s="1713"/>
      <c r="E86" s="1713"/>
      <c r="F86" s="1713"/>
      <c r="G86" s="1713"/>
      <c r="H86" s="1713"/>
      <c r="I86" s="1713"/>
      <c r="J86" s="1713"/>
      <c r="K86" s="1713"/>
      <c r="L86" s="1713"/>
      <c r="M86" s="1713"/>
      <c r="N86" s="1713"/>
      <c r="O86" s="1713"/>
      <c r="P86" s="1714"/>
      <c r="Q86" s="1714"/>
      <c r="R86" s="1714"/>
      <c r="S86" s="1714"/>
      <c r="T86" s="1714"/>
      <c r="U86" s="1688"/>
      <c r="V86" s="1688"/>
      <c r="W86" s="1688"/>
      <c r="X86" s="1688"/>
      <c r="Y86" s="1688"/>
      <c r="Z86" s="1688"/>
      <c r="AA86" s="1688"/>
      <c r="AB86" s="1713">
        <v>5</v>
      </c>
      <c r="AC86" s="1688"/>
      <c r="AD86" s="1688"/>
      <c r="AE86" s="1688"/>
      <c r="AF86" s="1688"/>
      <c r="AG86" s="1688"/>
      <c r="AH86" s="1714"/>
      <c r="AI86" s="1693">
        <f t="shared" si="2"/>
        <v>5</v>
      </c>
      <c r="AJ86" s="1719"/>
      <c r="AK86" s="1720">
        <f t="shared" si="3"/>
        <v>0</v>
      </c>
      <c r="AL86" s="1690"/>
      <c r="AM86" s="1694"/>
    </row>
    <row r="87" spans="1:41" s="1683" customFormat="1" ht="27.95" customHeight="1">
      <c r="A87" s="1686">
        <v>78</v>
      </c>
      <c r="B87" s="1686">
        <v>43</v>
      </c>
      <c r="C87" s="1687" t="str">
        <f>+'[6]Biểu 1 TH CÔNG copy'!C88</f>
        <v>Nàng Xia Lô</v>
      </c>
      <c r="D87" s="1713"/>
      <c r="E87" s="1713"/>
      <c r="F87" s="1713"/>
      <c r="G87" s="1713"/>
      <c r="H87" s="1713"/>
      <c r="I87" s="1713"/>
      <c r="J87" s="1713"/>
      <c r="K87" s="1713"/>
      <c r="L87" s="1713"/>
      <c r="M87" s="1713"/>
      <c r="N87" s="1713"/>
      <c r="O87" s="1713"/>
      <c r="P87" s="1714"/>
      <c r="Q87" s="1714"/>
      <c r="R87" s="1714"/>
      <c r="S87" s="1714"/>
      <c r="T87" s="1714"/>
      <c r="U87" s="1688"/>
      <c r="V87" s="1688"/>
      <c r="W87" s="1688"/>
      <c r="X87" s="1688"/>
      <c r="Y87" s="1688"/>
      <c r="Z87" s="1688"/>
      <c r="AA87" s="1688"/>
      <c r="AB87" s="1713">
        <v>5</v>
      </c>
      <c r="AC87" s="1688"/>
      <c r="AD87" s="1688"/>
      <c r="AE87" s="1688"/>
      <c r="AF87" s="1688"/>
      <c r="AG87" s="1688"/>
      <c r="AH87" s="1714"/>
      <c r="AI87" s="1693">
        <f t="shared" si="2"/>
        <v>5</v>
      </c>
      <c r="AJ87" s="1719"/>
      <c r="AK87" s="1720">
        <f t="shared" si="3"/>
        <v>0</v>
      </c>
      <c r="AL87" s="1690"/>
      <c r="AM87" s="1694"/>
    </row>
    <row r="88" spans="1:41" s="1685" customFormat="1" ht="27.95" customHeight="1">
      <c r="A88" s="1696"/>
      <c r="B88" s="1696"/>
      <c r="C88" s="1697" t="s">
        <v>608</v>
      </c>
      <c r="D88" s="1698">
        <f t="shared" ref="D88:AI88" si="4">SUM(D11:D87)</f>
        <v>0</v>
      </c>
      <c r="E88" s="1698">
        <f t="shared" si="4"/>
        <v>0</v>
      </c>
      <c r="F88" s="1698">
        <f t="shared" si="4"/>
        <v>0</v>
      </c>
      <c r="G88" s="1698">
        <f t="shared" si="4"/>
        <v>0</v>
      </c>
      <c r="H88" s="1698">
        <f t="shared" si="4"/>
        <v>0</v>
      </c>
      <c r="I88" s="1698">
        <f t="shared" si="4"/>
        <v>0</v>
      </c>
      <c r="J88" s="1698">
        <f t="shared" si="4"/>
        <v>0</v>
      </c>
      <c r="K88" s="1698">
        <f t="shared" si="4"/>
        <v>520</v>
      </c>
      <c r="L88" s="1698">
        <f t="shared" si="4"/>
        <v>0</v>
      </c>
      <c r="M88" s="1698">
        <f t="shared" si="4"/>
        <v>0</v>
      </c>
      <c r="N88" s="1698">
        <f t="shared" si="4"/>
        <v>0</v>
      </c>
      <c r="O88" s="1698">
        <f t="shared" si="4"/>
        <v>0</v>
      </c>
      <c r="P88" s="1698">
        <f t="shared" si="4"/>
        <v>0</v>
      </c>
      <c r="Q88" s="1698">
        <f t="shared" si="4"/>
        <v>0</v>
      </c>
      <c r="R88" s="1698">
        <f t="shared" si="4"/>
        <v>110</v>
      </c>
      <c r="S88" s="1698">
        <f t="shared" si="4"/>
        <v>0</v>
      </c>
      <c r="T88" s="1698">
        <f t="shared" si="4"/>
        <v>0</v>
      </c>
      <c r="U88" s="1698">
        <f t="shared" si="4"/>
        <v>0</v>
      </c>
      <c r="V88" s="1698">
        <f t="shared" si="4"/>
        <v>0</v>
      </c>
      <c r="W88" s="1698">
        <f t="shared" si="4"/>
        <v>0</v>
      </c>
      <c r="X88" s="1698">
        <f t="shared" si="4"/>
        <v>0</v>
      </c>
      <c r="Y88" s="1698">
        <f t="shared" si="4"/>
        <v>0</v>
      </c>
      <c r="Z88" s="1698">
        <f t="shared" si="4"/>
        <v>0</v>
      </c>
      <c r="AA88" s="1698">
        <f t="shared" si="4"/>
        <v>0</v>
      </c>
      <c r="AB88" s="1698">
        <f t="shared" si="4"/>
        <v>440</v>
      </c>
      <c r="AC88" s="1698">
        <f t="shared" si="4"/>
        <v>0</v>
      </c>
      <c r="AD88" s="1698">
        <f t="shared" si="4"/>
        <v>0</v>
      </c>
      <c r="AE88" s="1698">
        <f t="shared" si="4"/>
        <v>0</v>
      </c>
      <c r="AF88" s="1698">
        <f t="shared" si="4"/>
        <v>0</v>
      </c>
      <c r="AG88" s="1698">
        <f t="shared" si="4"/>
        <v>0</v>
      </c>
      <c r="AH88" s="1698">
        <f t="shared" si="4"/>
        <v>0</v>
      </c>
      <c r="AI88" s="1698">
        <f t="shared" si="4"/>
        <v>1070</v>
      </c>
      <c r="AJ88" s="1699"/>
      <c r="AK88" s="1699"/>
      <c r="AL88" s="1696"/>
      <c r="AM88" s="1696"/>
    </row>
    <row r="89" spans="1:41" s="1702" customFormat="1" ht="31.5" customHeight="1">
      <c r="A89" s="1722"/>
      <c r="B89" s="1722"/>
      <c r="C89" s="1723"/>
      <c r="AB89" s="2482" t="s">
        <v>3317</v>
      </c>
      <c r="AC89" s="2482"/>
      <c r="AD89" s="2482"/>
      <c r="AE89" s="2482"/>
      <c r="AF89" s="2482"/>
      <c r="AG89" s="2482"/>
      <c r="AH89" s="2482"/>
      <c r="AI89" s="2482"/>
      <c r="AJ89" s="2482"/>
      <c r="AK89" s="2482"/>
      <c r="AL89" s="2482"/>
      <c r="AM89" s="2482"/>
    </row>
    <row r="90" spans="1:41" s="1724" customFormat="1" ht="19.5">
      <c r="A90" s="1702"/>
      <c r="B90" s="1702"/>
      <c r="C90" s="1703"/>
      <c r="D90" s="1702"/>
      <c r="E90" s="1702"/>
      <c r="F90" s="1702"/>
      <c r="G90" s="1702"/>
      <c r="H90" s="1702"/>
      <c r="I90" s="1702"/>
      <c r="J90" s="1702"/>
      <c r="K90" s="1702"/>
      <c r="L90" s="1702"/>
      <c r="M90" s="1702"/>
      <c r="N90" s="1702"/>
      <c r="O90" s="1702"/>
      <c r="P90" s="1702"/>
      <c r="Q90" s="1702"/>
      <c r="R90" s="1702"/>
      <c r="S90" s="1702"/>
      <c r="T90" s="1702"/>
      <c r="U90" s="1702"/>
      <c r="V90" s="1702"/>
      <c r="W90" s="1702"/>
      <c r="X90" s="1702"/>
      <c r="Y90" s="1702"/>
      <c r="Z90" s="1702"/>
      <c r="AA90" s="1702"/>
      <c r="AB90" s="1702"/>
      <c r="AC90" s="1702"/>
      <c r="AD90" s="2482"/>
      <c r="AE90" s="2482"/>
      <c r="AF90" s="2482"/>
      <c r="AG90" s="2482"/>
      <c r="AH90" s="2482"/>
      <c r="AI90" s="2482"/>
      <c r="AJ90" s="2482"/>
      <c r="AK90" s="2482"/>
      <c r="AL90" s="2482"/>
      <c r="AM90" s="2482"/>
      <c r="AN90" s="2482"/>
      <c r="AO90" s="1702"/>
    </row>
    <row r="91" spans="1:41" s="1725" customFormat="1" ht="21" customHeight="1">
      <c r="A91" s="1704"/>
      <c r="B91" s="1704"/>
      <c r="C91" s="1705" t="s">
        <v>614</v>
      </c>
      <c r="D91" s="1706"/>
      <c r="E91" s="1706"/>
      <c r="F91" s="1705"/>
      <c r="G91" s="1705"/>
      <c r="I91" s="1705" t="s">
        <v>2486</v>
      </c>
      <c r="J91" s="1705"/>
      <c r="K91" s="1705"/>
      <c r="L91" s="1705"/>
      <c r="M91" s="1705"/>
      <c r="O91" s="1706" t="s">
        <v>3339</v>
      </c>
      <c r="P91" s="1705"/>
      <c r="Q91" s="1705"/>
      <c r="R91" s="1705"/>
      <c r="S91" s="1705"/>
      <c r="T91" s="1705"/>
      <c r="U91" s="1706" t="s">
        <v>3340</v>
      </c>
      <c r="V91" s="1706"/>
      <c r="X91" s="1706"/>
      <c r="Z91" s="1706"/>
      <c r="AA91" s="1706"/>
      <c r="AB91" s="1705"/>
      <c r="AC91" s="1706" t="s">
        <v>2478</v>
      </c>
      <c r="AD91" s="1705"/>
      <c r="AE91" s="1705"/>
      <c r="AF91" s="1705"/>
      <c r="AG91" s="1705"/>
      <c r="AH91" s="2491" t="s">
        <v>612</v>
      </c>
      <c r="AI91" s="2491"/>
      <c r="AJ91" s="2491"/>
      <c r="AK91" s="2491"/>
      <c r="AL91" s="2491"/>
      <c r="AM91" s="2491"/>
      <c r="AN91" s="2491"/>
      <c r="AO91" s="1705"/>
    </row>
    <row r="93" spans="1:41">
      <c r="D93" s="2492" t="s">
        <v>3341</v>
      </c>
      <c r="E93" s="2492"/>
      <c r="F93" s="2492"/>
      <c r="G93" s="2492"/>
      <c r="H93" s="2492"/>
      <c r="I93" s="2492"/>
      <c r="J93" s="2492"/>
      <c r="K93" s="2492"/>
      <c r="L93" s="2492"/>
      <c r="M93" s="2492"/>
      <c r="N93" s="2492"/>
      <c r="O93" s="2492"/>
      <c r="P93" s="2492"/>
      <c r="Q93" s="2492"/>
      <c r="R93" s="2492"/>
      <c r="S93" s="2492"/>
      <c r="T93" s="2492"/>
      <c r="U93" s="2492"/>
      <c r="V93" s="2492"/>
      <c r="W93" s="2492"/>
      <c r="X93" s="2492"/>
      <c r="Y93" s="2492"/>
      <c r="Z93" s="2492"/>
      <c r="AA93" s="2492"/>
      <c r="AB93" s="2492"/>
      <c r="AC93" s="2492"/>
      <c r="AD93" s="2492"/>
      <c r="AE93" s="2492"/>
      <c r="AF93" s="2492"/>
      <c r="AG93" s="2492"/>
      <c r="AH93" s="2492"/>
      <c r="AI93" s="2492"/>
      <c r="AJ93" s="2492"/>
      <c r="AK93" s="2492"/>
      <c r="AL93" s="1709"/>
    </row>
    <row r="94" spans="1:41">
      <c r="D94" s="2492"/>
      <c r="E94" s="2492"/>
      <c r="F94" s="2492"/>
      <c r="G94" s="2492"/>
      <c r="H94" s="2492"/>
      <c r="I94" s="2492"/>
      <c r="J94" s="2492"/>
      <c r="K94" s="2492"/>
      <c r="L94" s="2492"/>
      <c r="M94" s="2492"/>
      <c r="N94" s="2492"/>
      <c r="O94" s="2492"/>
      <c r="P94" s="2492"/>
      <c r="Q94" s="2492"/>
      <c r="R94" s="2492"/>
      <c r="S94" s="2492"/>
      <c r="T94" s="2492"/>
      <c r="U94" s="2492"/>
      <c r="V94" s="2492"/>
      <c r="W94" s="2492"/>
      <c r="X94" s="2492"/>
      <c r="Y94" s="2492"/>
      <c r="Z94" s="2492"/>
      <c r="AA94" s="2492"/>
      <c r="AB94" s="2492"/>
      <c r="AC94" s="2492"/>
      <c r="AD94" s="2492"/>
      <c r="AE94" s="2492"/>
      <c r="AF94" s="2492"/>
      <c r="AG94" s="2492"/>
      <c r="AH94" s="2492"/>
      <c r="AI94" s="2492"/>
      <c r="AJ94" s="2492"/>
      <c r="AK94" s="2492"/>
      <c r="AL94" s="1709"/>
    </row>
    <row r="95" spans="1:41">
      <c r="D95" s="2492"/>
      <c r="E95" s="2492"/>
      <c r="F95" s="2492"/>
      <c r="G95" s="2492"/>
      <c r="H95" s="2492"/>
      <c r="I95" s="2492"/>
      <c r="J95" s="2492"/>
      <c r="K95" s="2492"/>
      <c r="L95" s="2492"/>
      <c r="M95" s="2492"/>
      <c r="N95" s="2492"/>
      <c r="O95" s="2492"/>
      <c r="P95" s="2492"/>
      <c r="Q95" s="2492"/>
      <c r="R95" s="2492"/>
      <c r="S95" s="2492"/>
      <c r="T95" s="2492"/>
      <c r="U95" s="2492"/>
      <c r="V95" s="2492"/>
      <c r="W95" s="2492"/>
      <c r="X95" s="2492"/>
      <c r="Y95" s="2492"/>
      <c r="Z95" s="2492"/>
      <c r="AA95" s="2492"/>
      <c r="AB95" s="2492"/>
      <c r="AC95" s="2492"/>
      <c r="AD95" s="2492"/>
      <c r="AE95" s="2492"/>
      <c r="AF95" s="2492"/>
      <c r="AG95" s="2492"/>
      <c r="AH95" s="2492"/>
      <c r="AI95" s="2492"/>
      <c r="AJ95" s="2492"/>
      <c r="AK95" s="2492"/>
      <c r="AL95" s="1709"/>
    </row>
    <row r="96" spans="1:41">
      <c r="D96" s="2492"/>
      <c r="E96" s="2492"/>
      <c r="F96" s="2492"/>
      <c r="G96" s="2492"/>
      <c r="H96" s="2492"/>
      <c r="I96" s="2492"/>
      <c r="J96" s="2492"/>
      <c r="K96" s="2492"/>
      <c r="L96" s="2492"/>
      <c r="M96" s="2492"/>
      <c r="N96" s="2492"/>
      <c r="O96" s="2492"/>
      <c r="P96" s="2492"/>
      <c r="Q96" s="2492"/>
      <c r="R96" s="2492"/>
      <c r="S96" s="2492"/>
      <c r="T96" s="2492"/>
      <c r="U96" s="2492"/>
      <c r="V96" s="2492"/>
      <c r="W96" s="2492"/>
      <c r="X96" s="2492"/>
      <c r="Y96" s="2492"/>
      <c r="Z96" s="2492"/>
      <c r="AA96" s="2492"/>
      <c r="AB96" s="2492"/>
      <c r="AC96" s="2492"/>
      <c r="AD96" s="2492"/>
      <c r="AE96" s="2492"/>
      <c r="AF96" s="2492"/>
      <c r="AG96" s="2492"/>
      <c r="AH96" s="2492"/>
      <c r="AI96" s="2492"/>
      <c r="AJ96" s="2492"/>
      <c r="AK96" s="2492"/>
      <c r="AL96" s="1709"/>
    </row>
    <row r="97" spans="3:38">
      <c r="C97" s="1711"/>
      <c r="D97" s="2492"/>
      <c r="E97" s="2492"/>
      <c r="F97" s="2492"/>
      <c r="G97" s="2492"/>
      <c r="H97" s="2492"/>
      <c r="I97" s="2492"/>
      <c r="J97" s="2492"/>
      <c r="K97" s="2492"/>
      <c r="L97" s="2492"/>
      <c r="M97" s="2492"/>
      <c r="N97" s="2492"/>
      <c r="O97" s="2492"/>
      <c r="P97" s="2492"/>
      <c r="Q97" s="2492"/>
      <c r="R97" s="2492"/>
      <c r="S97" s="2492"/>
      <c r="T97" s="2492"/>
      <c r="U97" s="2492"/>
      <c r="V97" s="2492"/>
      <c r="W97" s="2492"/>
      <c r="X97" s="2492"/>
      <c r="Y97" s="2492"/>
      <c r="Z97" s="2492"/>
      <c r="AA97" s="2492"/>
      <c r="AB97" s="2492"/>
      <c r="AC97" s="2492"/>
      <c r="AD97" s="2492"/>
      <c r="AE97" s="2492"/>
      <c r="AF97" s="2492"/>
      <c r="AG97" s="2492"/>
      <c r="AH97" s="2492"/>
      <c r="AI97" s="2492"/>
      <c r="AJ97" s="2492"/>
      <c r="AK97" s="2492"/>
      <c r="AL97" s="1709"/>
    </row>
    <row r="98" spans="3:38">
      <c r="D98" s="2492"/>
      <c r="E98" s="2492"/>
      <c r="F98" s="2492"/>
      <c r="G98" s="2492"/>
      <c r="H98" s="2492"/>
      <c r="I98" s="2492"/>
      <c r="J98" s="2492"/>
      <c r="K98" s="2492"/>
      <c r="L98" s="2492"/>
      <c r="M98" s="2492"/>
      <c r="N98" s="2492"/>
      <c r="O98" s="2492"/>
      <c r="P98" s="2492"/>
      <c r="Q98" s="2492"/>
      <c r="R98" s="2492"/>
      <c r="S98" s="2492"/>
      <c r="T98" s="2492"/>
      <c r="U98" s="2492"/>
      <c r="V98" s="2492"/>
      <c r="W98" s="2492"/>
      <c r="X98" s="2492"/>
      <c r="Y98" s="2492"/>
      <c r="Z98" s="2492"/>
      <c r="AA98" s="2492"/>
      <c r="AB98" s="2492"/>
      <c r="AC98" s="2492"/>
      <c r="AD98" s="2492"/>
      <c r="AE98" s="2492"/>
      <c r="AF98" s="2492"/>
      <c r="AG98" s="2492"/>
      <c r="AH98" s="2492"/>
      <c r="AI98" s="2492"/>
      <c r="AJ98" s="2492"/>
      <c r="AK98" s="2492"/>
      <c r="AL98" s="1709"/>
    </row>
    <row r="99" spans="3:38">
      <c r="D99" s="2492"/>
      <c r="E99" s="2492"/>
      <c r="F99" s="2492"/>
      <c r="G99" s="2492"/>
      <c r="H99" s="2492"/>
      <c r="I99" s="2492"/>
      <c r="J99" s="2492"/>
      <c r="K99" s="2492"/>
      <c r="L99" s="2492"/>
      <c r="M99" s="2492"/>
      <c r="N99" s="2492"/>
      <c r="O99" s="2492"/>
      <c r="P99" s="2492"/>
      <c r="Q99" s="2492"/>
      <c r="R99" s="2492"/>
      <c r="S99" s="2492"/>
      <c r="T99" s="2492"/>
      <c r="U99" s="2492"/>
      <c r="V99" s="2492"/>
      <c r="W99" s="2492"/>
      <c r="X99" s="2492"/>
      <c r="Y99" s="2492"/>
      <c r="Z99" s="2492"/>
      <c r="AA99" s="2492"/>
      <c r="AB99" s="2492"/>
      <c r="AC99" s="2492"/>
      <c r="AD99" s="2492"/>
      <c r="AE99" s="2492"/>
      <c r="AF99" s="2492"/>
      <c r="AG99" s="2492"/>
      <c r="AH99" s="2492"/>
      <c r="AI99" s="2492"/>
      <c r="AJ99" s="2492"/>
      <c r="AK99" s="2492"/>
      <c r="AL99" s="1709"/>
    </row>
  </sheetData>
  <mergeCells count="20">
    <mergeCell ref="A1:AM1"/>
    <mergeCell ref="A2:AM2"/>
    <mergeCell ref="A4:N4"/>
    <mergeCell ref="Y4:AM4"/>
    <mergeCell ref="A5:N5"/>
    <mergeCell ref="Y5:AM5"/>
    <mergeCell ref="AB89:AM89"/>
    <mergeCell ref="AD90:AN90"/>
    <mergeCell ref="AH91:AN91"/>
    <mergeCell ref="D93:AK99"/>
    <mergeCell ref="A7:AM7"/>
    <mergeCell ref="AI8:AM8"/>
    <mergeCell ref="A9:B10"/>
    <mergeCell ref="C9:C10"/>
    <mergeCell ref="D9:AH9"/>
    <mergeCell ref="AI9:AI10"/>
    <mergeCell ref="AJ9:AJ10"/>
    <mergeCell ref="AK9:AK10"/>
    <mergeCell ref="AL9:AL10"/>
    <mergeCell ref="AM9:AM10"/>
  </mergeCells>
  <pageMargins left="0.2" right="0" top="0.25" bottom="0.25" header="0.3" footer="0.3"/>
  <pageSetup paperSize="9" scale="37" fitToHeight="0" orientation="landscape"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pageSetUpPr fitToPage="1"/>
  </sheetPr>
  <dimension ref="A1:AS108"/>
  <sheetViews>
    <sheetView zoomScale="55" zoomScaleNormal="55" workbookViewId="0">
      <pane xSplit="3" ySplit="10" topLeftCell="D79" activePane="bottomRight" state="frozen"/>
      <selection pane="topRight" activeCell="C1" sqref="C1"/>
      <selection pane="bottomLeft" activeCell="A12" sqref="A12"/>
      <selection pane="bottomRight" activeCell="O19" sqref="O19"/>
    </sheetView>
  </sheetViews>
  <sheetFormatPr defaultColWidth="9.140625" defaultRowHeight="15"/>
  <cols>
    <col min="1" max="2" width="6" style="1691" customWidth="1"/>
    <col min="3" max="3" width="18.5703125" style="1691" customWidth="1"/>
    <col min="4" max="33" width="6.28515625" style="1691" customWidth="1"/>
    <col min="34" max="34" width="6.28515625" style="1691" hidden="1" customWidth="1"/>
    <col min="35" max="35" width="8.5703125" style="1691" customWidth="1"/>
    <col min="36" max="36" width="8.140625" style="1691" customWidth="1"/>
    <col min="37" max="37" width="6.85546875" style="1691" hidden="1" customWidth="1"/>
    <col min="38" max="38" width="6.85546875" style="1691" customWidth="1"/>
    <col min="39" max="40" width="6.85546875" style="1691" hidden="1" customWidth="1"/>
    <col min="41" max="41" width="11" style="1691" customWidth="1"/>
    <col min="42" max="42" width="18.28515625" style="1691" customWidth="1"/>
    <col min="43" max="43" width="10.85546875" style="1691" bestFit="1" customWidth="1"/>
    <col min="44" max="16384" width="9.140625" style="1691"/>
  </cols>
  <sheetData>
    <row r="1" spans="1:45" s="1682" customFormat="1" ht="20.25" customHeight="1">
      <c r="A1" s="2483" t="s">
        <v>0</v>
      </c>
      <c r="B1" s="2483"/>
      <c r="C1" s="2483"/>
      <c r="D1" s="2483"/>
      <c r="E1" s="2483"/>
      <c r="F1" s="2483"/>
      <c r="G1" s="2483"/>
      <c r="H1" s="2483"/>
      <c r="I1" s="2483"/>
      <c r="J1" s="2483"/>
      <c r="K1" s="2483"/>
      <c r="L1" s="2483"/>
      <c r="M1" s="2483"/>
      <c r="N1" s="2483"/>
      <c r="O1" s="2483"/>
      <c r="P1" s="2483"/>
      <c r="Q1" s="2483"/>
      <c r="R1" s="2483"/>
      <c r="S1" s="2483"/>
      <c r="T1" s="2483"/>
      <c r="U1" s="2483"/>
      <c r="V1" s="2483"/>
      <c r="W1" s="2483"/>
      <c r="X1" s="2483"/>
      <c r="Y1" s="2483"/>
      <c r="Z1" s="2483"/>
      <c r="AA1" s="2483"/>
      <c r="AB1" s="2483"/>
      <c r="AC1" s="2483"/>
      <c r="AD1" s="2483"/>
      <c r="AE1" s="2483"/>
      <c r="AF1" s="2483"/>
      <c r="AG1" s="2483"/>
      <c r="AH1" s="2483"/>
      <c r="AI1" s="2483"/>
      <c r="AJ1" s="2483"/>
      <c r="AK1" s="2483"/>
      <c r="AL1" s="2483"/>
      <c r="AM1" s="2483"/>
      <c r="AN1" s="2483"/>
      <c r="AO1" s="2483"/>
      <c r="AP1" s="2483"/>
    </row>
    <row r="2" spans="1:45" s="1682" customFormat="1" ht="20.25" customHeight="1">
      <c r="A2" s="2483" t="s">
        <v>1968</v>
      </c>
      <c r="B2" s="2483"/>
      <c r="C2" s="2483"/>
      <c r="D2" s="2483"/>
      <c r="E2" s="2483"/>
      <c r="F2" s="2483"/>
      <c r="G2" s="2483"/>
      <c r="H2" s="2483"/>
      <c r="I2" s="2483"/>
      <c r="J2" s="2483"/>
      <c r="K2" s="2483"/>
      <c r="L2" s="2483"/>
      <c r="M2" s="2483"/>
      <c r="N2" s="2483"/>
      <c r="O2" s="2483"/>
      <c r="P2" s="2483"/>
      <c r="Q2" s="2483"/>
      <c r="R2" s="2483"/>
      <c r="S2" s="2483"/>
      <c r="T2" s="2483"/>
      <c r="U2" s="2483"/>
      <c r="V2" s="2483"/>
      <c r="W2" s="2483"/>
      <c r="X2" s="2483"/>
      <c r="Y2" s="2483"/>
      <c r="Z2" s="2483"/>
      <c r="AA2" s="2483"/>
      <c r="AB2" s="2483"/>
      <c r="AC2" s="2483"/>
      <c r="AD2" s="2483"/>
      <c r="AE2" s="2483"/>
      <c r="AF2" s="2483"/>
      <c r="AG2" s="2483"/>
      <c r="AH2" s="2483"/>
      <c r="AI2" s="2483"/>
      <c r="AJ2" s="2483"/>
      <c r="AK2" s="2483"/>
      <c r="AL2" s="2483"/>
      <c r="AM2" s="2483"/>
      <c r="AN2" s="2483"/>
      <c r="AO2" s="2483"/>
      <c r="AP2" s="2483"/>
    </row>
    <row r="3" spans="1:45" s="1682" customFormat="1" ht="20.25" customHeight="1">
      <c r="A3" s="2489" t="s">
        <v>619</v>
      </c>
      <c r="B3" s="2489"/>
      <c r="C3" s="2489"/>
      <c r="D3" s="2489"/>
      <c r="E3" s="2489"/>
      <c r="F3" s="2489"/>
      <c r="G3" s="2489"/>
      <c r="H3" s="2489"/>
      <c r="I3" s="2489"/>
      <c r="J3" s="2489"/>
      <c r="K3" s="2489"/>
      <c r="L3" s="2489"/>
      <c r="M3" s="2489"/>
      <c r="N3" s="2489"/>
      <c r="O3" s="2489"/>
      <c r="P3" s="2489"/>
      <c r="Q3" s="2489"/>
      <c r="R3" s="2489"/>
      <c r="S3" s="2489"/>
      <c r="T3" s="2489"/>
      <c r="U3" s="2489"/>
      <c r="V3" s="2489"/>
      <c r="W3" s="2489"/>
      <c r="X3" s="2489"/>
      <c r="Y3" s="2489"/>
      <c r="Z3" s="2489"/>
      <c r="AA3" s="2489"/>
      <c r="AB3" s="2489"/>
      <c r="AC3" s="2489"/>
      <c r="AD3" s="2489"/>
      <c r="AE3" s="2489"/>
      <c r="AF3" s="2489"/>
      <c r="AG3" s="2489"/>
      <c r="AH3" s="2489"/>
      <c r="AI3" s="2489"/>
      <c r="AJ3" s="2489"/>
      <c r="AK3" s="2489"/>
      <c r="AL3" s="2489"/>
      <c r="AM3" s="2489"/>
      <c r="AN3" s="2489"/>
      <c r="AO3" s="2489"/>
      <c r="AP3" s="2489"/>
      <c r="AQ3" s="1726"/>
    </row>
    <row r="4" spans="1:45" s="1705" customFormat="1" ht="29.25" customHeight="1">
      <c r="A4" s="2490" t="s">
        <v>2526</v>
      </c>
      <c r="B4" s="2490"/>
      <c r="C4" s="2490"/>
      <c r="D4" s="2490"/>
      <c r="E4" s="2490"/>
      <c r="F4" s="2490"/>
      <c r="G4" s="2490"/>
      <c r="H4" s="2490"/>
      <c r="I4" s="2490"/>
      <c r="J4" s="2490"/>
      <c r="K4" s="2490"/>
      <c r="L4" s="2490"/>
      <c r="M4" s="2490"/>
      <c r="N4" s="2490"/>
      <c r="O4" s="1727"/>
      <c r="P4" s="1727"/>
      <c r="Q4" s="1727"/>
      <c r="R4" s="1727"/>
      <c r="S4" s="1727"/>
      <c r="T4" s="1727"/>
      <c r="U4" s="1727"/>
      <c r="V4" s="1727"/>
      <c r="W4" s="1727"/>
      <c r="X4" s="1727"/>
      <c r="Y4" s="2483"/>
      <c r="Z4" s="2483"/>
      <c r="AA4" s="2483"/>
      <c r="AB4" s="2483"/>
      <c r="AC4" s="2483"/>
      <c r="AD4" s="2483"/>
      <c r="AE4" s="2483"/>
      <c r="AF4" s="2483"/>
      <c r="AG4" s="2483"/>
      <c r="AH4" s="2483"/>
      <c r="AI4" s="2483"/>
      <c r="AJ4" s="2483"/>
      <c r="AK4" s="2483"/>
      <c r="AL4" s="2483"/>
      <c r="AM4" s="2483"/>
      <c r="AN4" s="2483"/>
      <c r="AO4" s="2483"/>
      <c r="AP4" s="1727"/>
    </row>
    <row r="5" spans="1:45" s="1705" customFormat="1" ht="24" customHeight="1">
      <c r="A5" s="2488" t="s">
        <v>3327</v>
      </c>
      <c r="B5" s="2488"/>
      <c r="C5" s="2488"/>
      <c r="D5" s="2488"/>
      <c r="E5" s="2488"/>
      <c r="F5" s="2488"/>
      <c r="G5" s="2488"/>
      <c r="H5" s="2488"/>
      <c r="I5" s="2488"/>
      <c r="J5" s="2488"/>
      <c r="K5" s="2488"/>
      <c r="L5" s="2488"/>
      <c r="M5" s="2488"/>
      <c r="N5" s="2488"/>
      <c r="O5" s="1727"/>
      <c r="P5" s="1727"/>
      <c r="Q5" s="1727"/>
      <c r="R5" s="1727"/>
      <c r="S5" s="1727"/>
      <c r="T5" s="1727"/>
      <c r="U5" s="1727"/>
      <c r="V5" s="1727"/>
      <c r="W5" s="1727"/>
      <c r="X5" s="1727"/>
      <c r="Y5" s="2483"/>
      <c r="Z5" s="2483"/>
      <c r="AA5" s="2483"/>
      <c r="AB5" s="2483"/>
      <c r="AC5" s="2483"/>
      <c r="AD5" s="2483"/>
      <c r="AE5" s="2483"/>
      <c r="AF5" s="2483"/>
      <c r="AG5" s="2483"/>
      <c r="AH5" s="2483"/>
      <c r="AI5" s="2483"/>
      <c r="AJ5" s="2483"/>
      <c r="AK5" s="2483"/>
      <c r="AL5" s="2483"/>
      <c r="AM5" s="2483"/>
      <c r="AN5" s="2483"/>
      <c r="AO5" s="2483"/>
      <c r="AP5" s="1727"/>
    </row>
    <row r="6" spans="1:45" s="1728" customFormat="1" ht="25.5">
      <c r="A6" s="1727"/>
      <c r="B6" s="1727"/>
      <c r="C6" s="1727"/>
      <c r="D6" s="1727"/>
      <c r="E6" s="1727"/>
      <c r="F6" s="1727"/>
      <c r="G6" s="1727"/>
      <c r="H6" s="1727"/>
      <c r="I6" s="1727"/>
      <c r="J6" s="1727"/>
      <c r="K6" s="1727"/>
      <c r="L6" s="1727"/>
      <c r="M6" s="1727"/>
      <c r="N6" s="1727"/>
      <c r="O6" s="1727"/>
      <c r="P6" s="1727"/>
      <c r="Q6" s="1727"/>
      <c r="R6" s="1727"/>
      <c r="S6" s="1727"/>
      <c r="T6" s="1727"/>
      <c r="U6" s="1727"/>
      <c r="V6" s="1727"/>
      <c r="W6" s="1727"/>
      <c r="X6" s="1727"/>
      <c r="Y6" s="1727"/>
      <c r="Z6" s="1727"/>
      <c r="AA6" s="1727"/>
      <c r="AB6" s="1727"/>
      <c r="AC6" s="1727"/>
      <c r="AD6" s="1727"/>
      <c r="AE6" s="1727"/>
      <c r="AF6" s="1727"/>
      <c r="AG6" s="1727"/>
      <c r="AH6" s="1727"/>
      <c r="AI6" s="1727"/>
      <c r="AJ6" s="1727"/>
      <c r="AK6" s="1727"/>
      <c r="AL6" s="1727"/>
      <c r="AM6" s="1727"/>
      <c r="AN6" s="1727"/>
      <c r="AO6" s="1727"/>
      <c r="AP6" s="1727"/>
    </row>
    <row r="7" spans="1:45" s="1702" customFormat="1" ht="25.5">
      <c r="A7" s="2483" t="s">
        <v>3344</v>
      </c>
      <c r="B7" s="2483"/>
      <c r="C7" s="2483"/>
      <c r="D7" s="2483"/>
      <c r="E7" s="2483"/>
      <c r="F7" s="2483"/>
      <c r="G7" s="2483"/>
      <c r="H7" s="2483"/>
      <c r="I7" s="2483"/>
      <c r="J7" s="2483"/>
      <c r="K7" s="2483"/>
      <c r="L7" s="2483"/>
      <c r="M7" s="2483"/>
      <c r="N7" s="2483"/>
      <c r="O7" s="2483"/>
      <c r="P7" s="2483"/>
      <c r="Q7" s="2483"/>
      <c r="R7" s="2483"/>
      <c r="S7" s="2483"/>
      <c r="T7" s="2483"/>
      <c r="U7" s="2483"/>
      <c r="V7" s="2483"/>
      <c r="W7" s="2483"/>
      <c r="X7" s="2483"/>
      <c r="Y7" s="2483"/>
      <c r="Z7" s="2483"/>
      <c r="AA7" s="2483"/>
      <c r="AB7" s="2483"/>
      <c r="AC7" s="2483"/>
      <c r="AD7" s="2483"/>
      <c r="AE7" s="2483"/>
      <c r="AF7" s="2483"/>
      <c r="AG7" s="2483"/>
      <c r="AH7" s="2483"/>
      <c r="AI7" s="2483"/>
      <c r="AJ7" s="2483"/>
      <c r="AK7" s="2483"/>
      <c r="AL7" s="2483"/>
      <c r="AM7" s="2483"/>
      <c r="AN7" s="2483"/>
      <c r="AO7" s="2483"/>
      <c r="AP7" s="2483"/>
    </row>
    <row r="8" spans="1:45" ht="15.75">
      <c r="A8" s="1729"/>
      <c r="B8" s="1729"/>
      <c r="C8" s="1729"/>
      <c r="D8" s="1729"/>
      <c r="E8" s="1729"/>
      <c r="F8" s="1729"/>
      <c r="G8" s="1729"/>
      <c r="H8" s="1729"/>
      <c r="I8" s="1729"/>
      <c r="J8" s="1729"/>
      <c r="K8" s="1729"/>
      <c r="L8" s="1729"/>
      <c r="M8" s="1729"/>
      <c r="N8" s="1729"/>
      <c r="O8" s="1729"/>
      <c r="P8" s="1729"/>
      <c r="Q8" s="1729"/>
      <c r="R8" s="1729"/>
      <c r="S8" s="1729"/>
      <c r="T8" s="1729"/>
      <c r="U8" s="1729"/>
      <c r="V8" s="1729"/>
      <c r="W8" s="1729"/>
      <c r="X8" s="1729"/>
      <c r="Y8" s="1729"/>
      <c r="Z8" s="1729"/>
      <c r="AA8" s="1729"/>
      <c r="AB8" s="1729"/>
      <c r="AC8" s="1729"/>
      <c r="AD8" s="1729"/>
      <c r="AE8" s="1729"/>
      <c r="AF8" s="1729"/>
      <c r="AG8" s="1729"/>
      <c r="AH8" s="1729"/>
      <c r="AI8" s="1729"/>
      <c r="AJ8" s="2508" t="s">
        <v>3345</v>
      </c>
      <c r="AK8" s="2508"/>
      <c r="AL8" s="2508"/>
      <c r="AM8" s="2508"/>
      <c r="AN8" s="2508"/>
      <c r="AO8" s="2508"/>
      <c r="AP8" s="1729"/>
    </row>
    <row r="9" spans="1:45" s="1683" customFormat="1" ht="15.75" customHeight="1">
      <c r="A9" s="2509" t="s">
        <v>623</v>
      </c>
      <c r="B9" s="2510"/>
      <c r="C9" s="2484" t="s">
        <v>356</v>
      </c>
      <c r="D9" s="2484" t="s">
        <v>529</v>
      </c>
      <c r="E9" s="2484"/>
      <c r="F9" s="2484"/>
      <c r="G9" s="2484"/>
      <c r="H9" s="2484"/>
      <c r="I9" s="2484"/>
      <c r="J9" s="2484"/>
      <c r="K9" s="2484"/>
      <c r="L9" s="2484"/>
      <c r="M9" s="2484"/>
      <c r="N9" s="2484"/>
      <c r="O9" s="2484"/>
      <c r="P9" s="2484"/>
      <c r="Q9" s="2484"/>
      <c r="R9" s="2484"/>
      <c r="S9" s="2484"/>
      <c r="T9" s="2484"/>
      <c r="U9" s="2484"/>
      <c r="V9" s="2484"/>
      <c r="W9" s="2484"/>
      <c r="X9" s="2484"/>
      <c r="Y9" s="2484"/>
      <c r="Z9" s="2484"/>
      <c r="AA9" s="2484"/>
      <c r="AB9" s="2484"/>
      <c r="AC9" s="2484"/>
      <c r="AD9" s="2484"/>
      <c r="AE9" s="2484"/>
      <c r="AF9" s="2484"/>
      <c r="AG9" s="2484"/>
      <c r="AH9" s="2484"/>
      <c r="AI9" s="2514" t="s">
        <v>3346</v>
      </c>
      <c r="AJ9" s="2515"/>
      <c r="AK9" s="2515"/>
      <c r="AL9" s="2515"/>
      <c r="AM9" s="2515"/>
      <c r="AN9" s="2515"/>
      <c r="AO9" s="2516"/>
      <c r="AP9" s="2487" t="s">
        <v>627</v>
      </c>
      <c r="AS9" s="1730"/>
    </row>
    <row r="10" spans="1:45" s="1683" customFormat="1" ht="114" customHeight="1">
      <c r="A10" s="2511"/>
      <c r="B10" s="2512"/>
      <c r="C10" s="2513"/>
      <c r="D10" s="2222">
        <v>1</v>
      </c>
      <c r="E10" s="2222">
        <v>2</v>
      </c>
      <c r="F10" s="2222">
        <v>3</v>
      </c>
      <c r="G10" s="2222">
        <v>4</v>
      </c>
      <c r="H10" s="2222">
        <v>5</v>
      </c>
      <c r="I10" s="2222">
        <v>6</v>
      </c>
      <c r="J10" s="2222">
        <v>7</v>
      </c>
      <c r="K10" s="2222">
        <v>8</v>
      </c>
      <c r="L10" s="2222">
        <v>9</v>
      </c>
      <c r="M10" s="2222">
        <v>10</v>
      </c>
      <c r="N10" s="2222">
        <v>11</v>
      </c>
      <c r="O10" s="2222">
        <v>12</v>
      </c>
      <c r="P10" s="2222">
        <v>13</v>
      </c>
      <c r="Q10" s="2222">
        <v>14</v>
      </c>
      <c r="R10" s="2222">
        <v>15</v>
      </c>
      <c r="S10" s="2222">
        <v>16</v>
      </c>
      <c r="T10" s="2222">
        <v>17</v>
      </c>
      <c r="U10" s="2222">
        <v>18</v>
      </c>
      <c r="V10" s="2222">
        <v>19</v>
      </c>
      <c r="W10" s="2222">
        <v>20</v>
      </c>
      <c r="X10" s="2222">
        <v>21</v>
      </c>
      <c r="Y10" s="2222">
        <v>22</v>
      </c>
      <c r="Z10" s="2222">
        <v>23</v>
      </c>
      <c r="AA10" s="2222">
        <v>24</v>
      </c>
      <c r="AB10" s="2222">
        <v>25</v>
      </c>
      <c r="AC10" s="2222">
        <v>26</v>
      </c>
      <c r="AD10" s="2222">
        <v>27</v>
      </c>
      <c r="AE10" s="2222">
        <v>28</v>
      </c>
      <c r="AF10" s="2222">
        <v>29</v>
      </c>
      <c r="AG10" s="2222">
        <v>30</v>
      </c>
      <c r="AH10" s="2222">
        <v>31</v>
      </c>
      <c r="AI10" s="1732" t="s">
        <v>3347</v>
      </c>
      <c r="AJ10" s="1732" t="s">
        <v>3348</v>
      </c>
      <c r="AK10" s="1732" t="s">
        <v>3349</v>
      </c>
      <c r="AL10" s="1732" t="s">
        <v>3350</v>
      </c>
      <c r="AM10" s="1732" t="s">
        <v>3351</v>
      </c>
      <c r="AN10" s="1732" t="s">
        <v>3352</v>
      </c>
      <c r="AO10" s="2168" t="s">
        <v>3353</v>
      </c>
      <c r="AP10" s="2517"/>
    </row>
    <row r="11" spans="1:45" ht="18.75" customHeight="1">
      <c r="A11" s="1733">
        <v>1</v>
      </c>
      <c r="B11" s="1734"/>
      <c r="C11" s="1735" t="s">
        <v>3173</v>
      </c>
      <c r="D11" s="1731"/>
      <c r="E11" s="1731" t="s">
        <v>2553</v>
      </c>
      <c r="F11" s="1731" t="s">
        <v>2553</v>
      </c>
      <c r="G11" s="1731" t="s">
        <v>2553</v>
      </c>
      <c r="H11" s="1731" t="s">
        <v>2553</v>
      </c>
      <c r="I11" s="1731" t="s">
        <v>2553</v>
      </c>
      <c r="J11" s="1731" t="s">
        <v>2553</v>
      </c>
      <c r="K11" s="1731" t="s">
        <v>2552</v>
      </c>
      <c r="L11" s="1731" t="s">
        <v>2553</v>
      </c>
      <c r="M11" s="1731" t="s">
        <v>2553</v>
      </c>
      <c r="N11" s="1731" t="s">
        <v>2553</v>
      </c>
      <c r="O11" s="1731"/>
      <c r="P11" s="1731" t="s">
        <v>2553</v>
      </c>
      <c r="Q11" s="1731"/>
      <c r="R11" s="1731" t="s">
        <v>2552</v>
      </c>
      <c r="S11" s="1731" t="s">
        <v>2553</v>
      </c>
      <c r="T11" s="1731" t="s">
        <v>2553</v>
      </c>
      <c r="U11" s="1731" t="s">
        <v>2553</v>
      </c>
      <c r="V11" s="1731" t="s">
        <v>2553</v>
      </c>
      <c r="W11" s="1731" t="s">
        <v>2553</v>
      </c>
      <c r="X11" s="1731" t="s">
        <v>2553</v>
      </c>
      <c r="Y11" s="1731" t="s">
        <v>2552</v>
      </c>
      <c r="Z11" s="1731" t="s">
        <v>2553</v>
      </c>
      <c r="AA11" s="2223"/>
      <c r="AB11" s="1731" t="s">
        <v>2553</v>
      </c>
      <c r="AC11" s="1731" t="s">
        <v>2553</v>
      </c>
      <c r="AD11" s="1731" t="s">
        <v>2553</v>
      </c>
      <c r="AE11" s="1731" t="s">
        <v>2553</v>
      </c>
      <c r="AF11" s="1731" t="s">
        <v>2552</v>
      </c>
      <c r="AG11" s="1731" t="s">
        <v>2553</v>
      </c>
      <c r="AH11" s="1736"/>
      <c r="AI11" s="1737">
        <f>COUNTIF(D11:AH11,"x")</f>
        <v>22</v>
      </c>
      <c r="AJ11" s="1737">
        <f>COUNTIF(D11:AH11,"cn")</f>
        <v>4</v>
      </c>
      <c r="AK11" s="1737">
        <f>COUNTIF(D11:AJ11,"đ")</f>
        <v>0</v>
      </c>
      <c r="AL11" s="1737">
        <f>COUNTIF(D11:AH11,"đc")</f>
        <v>0</v>
      </c>
      <c r="AM11" s="1737">
        <f>COUNTIF(D11:AH11,"gt")</f>
        <v>0</v>
      </c>
      <c r="AN11" s="1737">
        <f>COUNTIF(D11:AH11,"ct")</f>
        <v>0</v>
      </c>
      <c r="AO11" s="1737">
        <f>SUM(AI11:AN11)</f>
        <v>26</v>
      </c>
      <c r="AP11" s="1734"/>
    </row>
    <row r="12" spans="1:45" ht="18.75" customHeight="1">
      <c r="A12" s="1733">
        <v>2</v>
      </c>
      <c r="B12" s="1734"/>
      <c r="C12" s="1735" t="s">
        <v>936</v>
      </c>
      <c r="D12" s="1731" t="s">
        <v>2552</v>
      </c>
      <c r="E12" s="1731" t="s">
        <v>2553</v>
      </c>
      <c r="F12" s="1731" t="s">
        <v>2553</v>
      </c>
      <c r="G12" s="1731" t="s">
        <v>2553</v>
      </c>
      <c r="H12" s="1731" t="s">
        <v>2553</v>
      </c>
      <c r="I12" s="1731" t="s">
        <v>2553</v>
      </c>
      <c r="J12" s="1731" t="s">
        <v>2553</v>
      </c>
      <c r="K12" s="1731" t="s">
        <v>2552</v>
      </c>
      <c r="L12" s="1731" t="s">
        <v>2553</v>
      </c>
      <c r="M12" s="1731" t="s">
        <v>2553</v>
      </c>
      <c r="N12" s="1731" t="s">
        <v>2553</v>
      </c>
      <c r="O12" s="1731"/>
      <c r="P12" s="1731" t="s">
        <v>2553</v>
      </c>
      <c r="Q12" s="1731" t="s">
        <v>2553</v>
      </c>
      <c r="R12" s="1731" t="s">
        <v>2552</v>
      </c>
      <c r="S12" s="1731" t="s">
        <v>2553</v>
      </c>
      <c r="T12" s="1731" t="s">
        <v>2553</v>
      </c>
      <c r="U12" s="1731" t="s">
        <v>2553</v>
      </c>
      <c r="V12" s="1731" t="s">
        <v>2553</v>
      </c>
      <c r="W12" s="1731" t="s">
        <v>2553</v>
      </c>
      <c r="X12" s="1731" t="s">
        <v>2553</v>
      </c>
      <c r="Y12" s="1731" t="s">
        <v>2552</v>
      </c>
      <c r="Z12" s="1731" t="s">
        <v>2553</v>
      </c>
      <c r="AA12" s="1731" t="s">
        <v>2553</v>
      </c>
      <c r="AB12" s="1731" t="s">
        <v>2553</v>
      </c>
      <c r="AC12" s="1731" t="s">
        <v>2553</v>
      </c>
      <c r="AD12" s="1731" t="s">
        <v>2553</v>
      </c>
      <c r="AE12" s="1731" t="s">
        <v>2553</v>
      </c>
      <c r="AF12" s="1731" t="s">
        <v>2552</v>
      </c>
      <c r="AG12" s="1731" t="s">
        <v>2553</v>
      </c>
      <c r="AH12" s="1731"/>
      <c r="AI12" s="1737">
        <f t="shared" ref="AI12:AI75" si="0">COUNTIF(D12:AH12,"x")</f>
        <v>24</v>
      </c>
      <c r="AJ12" s="1737">
        <f t="shared" ref="AJ12:AJ45" si="1">COUNTIF(D12:AH12,"cn")</f>
        <v>5</v>
      </c>
      <c r="AK12" s="1737">
        <f t="shared" ref="AK12:AK45" si="2">COUNTIF(D12:AJ12,"đ")</f>
        <v>0</v>
      </c>
      <c r="AL12" s="1737">
        <f t="shared" ref="AL12:AL44" si="3">COUNTIF(D12:AH12,"đc")</f>
        <v>0</v>
      </c>
      <c r="AM12" s="1737">
        <f t="shared" ref="AM12:AM75" si="4">COUNTIF(D12:AH12,"gt")</f>
        <v>0</v>
      </c>
      <c r="AN12" s="1737">
        <f t="shared" ref="AN12:AN75" si="5">COUNTIF(D12:AH12,"ct")</f>
        <v>0</v>
      </c>
      <c r="AO12" s="1737">
        <f t="shared" ref="AO12:AO75" si="6">SUM(AI12:AN12)</f>
        <v>29</v>
      </c>
      <c r="AP12" s="1734"/>
    </row>
    <row r="13" spans="1:45" ht="18.75" customHeight="1">
      <c r="A13" s="1733">
        <v>3</v>
      </c>
      <c r="B13" s="1734"/>
      <c r="C13" s="1735" t="s">
        <v>3174</v>
      </c>
      <c r="D13" s="1731"/>
      <c r="E13" s="1731" t="s">
        <v>2553</v>
      </c>
      <c r="F13" s="1731" t="s">
        <v>2553</v>
      </c>
      <c r="G13" s="1731" t="s">
        <v>2553</v>
      </c>
      <c r="H13" s="1731" t="s">
        <v>2553</v>
      </c>
      <c r="I13" s="1731" t="s">
        <v>2553</v>
      </c>
      <c r="J13" s="1731" t="s">
        <v>2553</v>
      </c>
      <c r="K13" s="1731"/>
      <c r="L13" s="1731" t="s">
        <v>2553</v>
      </c>
      <c r="M13" s="1731"/>
      <c r="N13" s="1731" t="s">
        <v>2553</v>
      </c>
      <c r="O13" s="1731"/>
      <c r="P13" s="1731" t="s">
        <v>2553</v>
      </c>
      <c r="Q13" s="1731" t="s">
        <v>2553</v>
      </c>
      <c r="R13" s="1731" t="s">
        <v>2552</v>
      </c>
      <c r="S13" s="1731" t="s">
        <v>2553</v>
      </c>
      <c r="T13" s="1731" t="s">
        <v>2553</v>
      </c>
      <c r="U13" s="1731" t="s">
        <v>2553</v>
      </c>
      <c r="V13" s="1731" t="s">
        <v>2553</v>
      </c>
      <c r="W13" s="1731" t="s">
        <v>2553</v>
      </c>
      <c r="X13" s="1731" t="s">
        <v>2553</v>
      </c>
      <c r="Y13" s="1731" t="s">
        <v>2552</v>
      </c>
      <c r="Z13" s="1731" t="s">
        <v>2553</v>
      </c>
      <c r="AA13" s="1731" t="s">
        <v>2553</v>
      </c>
      <c r="AB13" s="1731" t="s">
        <v>2553</v>
      </c>
      <c r="AC13" s="1731" t="s">
        <v>2553</v>
      </c>
      <c r="AD13" s="1731" t="s">
        <v>2553</v>
      </c>
      <c r="AE13" s="1731"/>
      <c r="AF13" s="1731" t="s">
        <v>2552</v>
      </c>
      <c r="AG13" s="1731" t="s">
        <v>2553</v>
      </c>
      <c r="AH13" s="1736"/>
      <c r="AI13" s="1737">
        <f t="shared" si="0"/>
        <v>22</v>
      </c>
      <c r="AJ13" s="1737">
        <f t="shared" si="1"/>
        <v>3</v>
      </c>
      <c r="AK13" s="1737">
        <f t="shared" si="2"/>
        <v>0</v>
      </c>
      <c r="AL13" s="1737">
        <f t="shared" si="3"/>
        <v>0</v>
      </c>
      <c r="AM13" s="1737">
        <f t="shared" si="4"/>
        <v>0</v>
      </c>
      <c r="AN13" s="1737">
        <f t="shared" si="5"/>
        <v>0</v>
      </c>
      <c r="AO13" s="1737">
        <f t="shared" si="6"/>
        <v>25</v>
      </c>
      <c r="AP13" s="1734"/>
    </row>
    <row r="14" spans="1:45" ht="18.75" customHeight="1">
      <c r="A14" s="1733">
        <v>4</v>
      </c>
      <c r="B14" s="1734"/>
      <c r="C14" s="1735" t="s">
        <v>3175</v>
      </c>
      <c r="D14" s="1731" t="s">
        <v>2552</v>
      </c>
      <c r="E14" s="1731" t="s">
        <v>2553</v>
      </c>
      <c r="F14" s="1731" t="s">
        <v>2553</v>
      </c>
      <c r="G14" s="1731" t="s">
        <v>2553</v>
      </c>
      <c r="H14" s="1731" t="s">
        <v>2553</v>
      </c>
      <c r="I14" s="1731" t="s">
        <v>2553</v>
      </c>
      <c r="J14" s="1731" t="s">
        <v>2553</v>
      </c>
      <c r="K14" s="1731" t="s">
        <v>2552</v>
      </c>
      <c r="L14" s="1731" t="s">
        <v>2553</v>
      </c>
      <c r="M14" s="1731" t="s">
        <v>2553</v>
      </c>
      <c r="N14" s="1731" t="s">
        <v>2553</v>
      </c>
      <c r="O14" s="1731"/>
      <c r="P14" s="1731" t="s">
        <v>2553</v>
      </c>
      <c r="Q14" s="1731" t="s">
        <v>2553</v>
      </c>
      <c r="R14" s="1731" t="s">
        <v>2552</v>
      </c>
      <c r="S14" s="1731" t="s">
        <v>2553</v>
      </c>
      <c r="T14" s="1731" t="s">
        <v>2553</v>
      </c>
      <c r="U14" s="1731" t="s">
        <v>2553</v>
      </c>
      <c r="V14" s="1731" t="s">
        <v>2553</v>
      </c>
      <c r="W14" s="1731" t="s">
        <v>2553</v>
      </c>
      <c r="X14" s="1731" t="s">
        <v>2553</v>
      </c>
      <c r="Y14" s="1731" t="s">
        <v>2552</v>
      </c>
      <c r="Z14" s="1731" t="s">
        <v>2553</v>
      </c>
      <c r="AA14" s="1731" t="s">
        <v>2553</v>
      </c>
      <c r="AB14" s="1731" t="s">
        <v>2553</v>
      </c>
      <c r="AC14" s="1731" t="s">
        <v>2553</v>
      </c>
      <c r="AD14" s="1731" t="s">
        <v>2553</v>
      </c>
      <c r="AE14" s="1731" t="s">
        <v>2553</v>
      </c>
      <c r="AF14" s="1731" t="s">
        <v>2552</v>
      </c>
      <c r="AG14" s="1731" t="s">
        <v>2553</v>
      </c>
      <c r="AH14" s="1731"/>
      <c r="AI14" s="1737">
        <f t="shared" si="0"/>
        <v>24</v>
      </c>
      <c r="AJ14" s="1737">
        <f t="shared" si="1"/>
        <v>5</v>
      </c>
      <c r="AK14" s="1737">
        <f t="shared" si="2"/>
        <v>0</v>
      </c>
      <c r="AL14" s="1737">
        <f t="shared" si="3"/>
        <v>0</v>
      </c>
      <c r="AM14" s="1737">
        <f t="shared" si="4"/>
        <v>0</v>
      </c>
      <c r="AN14" s="1737">
        <f t="shared" si="5"/>
        <v>0</v>
      </c>
      <c r="AO14" s="1737">
        <f t="shared" si="6"/>
        <v>29</v>
      </c>
      <c r="AP14" s="1734"/>
    </row>
    <row r="15" spans="1:45" ht="18.75" customHeight="1">
      <c r="A15" s="1733">
        <v>5</v>
      </c>
      <c r="B15" s="1734"/>
      <c r="C15" s="1735" t="s">
        <v>1386</v>
      </c>
      <c r="D15" s="1731" t="s">
        <v>2552</v>
      </c>
      <c r="E15" s="1731" t="s">
        <v>2553</v>
      </c>
      <c r="F15" s="1731" t="s">
        <v>2553</v>
      </c>
      <c r="G15" s="1731" t="s">
        <v>2553</v>
      </c>
      <c r="H15" s="1731" t="s">
        <v>2553</v>
      </c>
      <c r="I15" s="1731" t="s">
        <v>2553</v>
      </c>
      <c r="J15" s="1731"/>
      <c r="K15" s="1731" t="s">
        <v>2552</v>
      </c>
      <c r="L15" s="1731" t="s">
        <v>2553</v>
      </c>
      <c r="M15" s="1731" t="s">
        <v>2553</v>
      </c>
      <c r="N15" s="1731" t="s">
        <v>2553</v>
      </c>
      <c r="O15" s="1731"/>
      <c r="P15" s="1731" t="s">
        <v>2553</v>
      </c>
      <c r="Q15" s="1731"/>
      <c r="R15" s="1731" t="s">
        <v>2552</v>
      </c>
      <c r="S15" s="1731" t="s">
        <v>2553</v>
      </c>
      <c r="T15" s="1731" t="s">
        <v>2553</v>
      </c>
      <c r="U15" s="1731" t="s">
        <v>2553</v>
      </c>
      <c r="V15" s="1731" t="s">
        <v>2553</v>
      </c>
      <c r="W15" s="1731" t="s">
        <v>2553</v>
      </c>
      <c r="X15" s="1731" t="s">
        <v>2553</v>
      </c>
      <c r="Y15" s="1731" t="s">
        <v>2552</v>
      </c>
      <c r="Z15" s="1731" t="s">
        <v>2553</v>
      </c>
      <c r="AA15" s="1731" t="s">
        <v>2553</v>
      </c>
      <c r="AB15" s="1731" t="s">
        <v>2553</v>
      </c>
      <c r="AC15" s="1731" t="s">
        <v>2553</v>
      </c>
      <c r="AD15" s="1731" t="s">
        <v>2553</v>
      </c>
      <c r="AE15" s="1731" t="s">
        <v>2553</v>
      </c>
      <c r="AF15" s="1731" t="s">
        <v>2552</v>
      </c>
      <c r="AG15" s="1731" t="s">
        <v>2553</v>
      </c>
      <c r="AH15" s="1731"/>
      <c r="AI15" s="1737">
        <f t="shared" si="0"/>
        <v>22</v>
      </c>
      <c r="AJ15" s="1737">
        <f t="shared" si="1"/>
        <v>5</v>
      </c>
      <c r="AK15" s="1737">
        <f t="shared" si="2"/>
        <v>0</v>
      </c>
      <c r="AL15" s="1737">
        <f t="shared" si="3"/>
        <v>0</v>
      </c>
      <c r="AM15" s="1737">
        <f t="shared" si="4"/>
        <v>0</v>
      </c>
      <c r="AN15" s="1737">
        <f t="shared" si="5"/>
        <v>0</v>
      </c>
      <c r="AO15" s="1737">
        <f t="shared" si="6"/>
        <v>27</v>
      </c>
      <c r="AP15" s="1734"/>
    </row>
    <row r="16" spans="1:45" ht="18.75" customHeight="1">
      <c r="A16" s="1733">
        <v>6</v>
      </c>
      <c r="B16" s="1734"/>
      <c r="C16" s="1735" t="s">
        <v>3176</v>
      </c>
      <c r="D16" s="1731" t="s">
        <v>2552</v>
      </c>
      <c r="E16" s="1731" t="s">
        <v>2553</v>
      </c>
      <c r="F16" s="1731" t="s">
        <v>2553</v>
      </c>
      <c r="G16" s="1731" t="s">
        <v>2553</v>
      </c>
      <c r="H16" s="1731" t="s">
        <v>2553</v>
      </c>
      <c r="I16" s="1731" t="s">
        <v>2553</v>
      </c>
      <c r="J16" s="1731" t="s">
        <v>2553</v>
      </c>
      <c r="K16" s="1731" t="s">
        <v>2552</v>
      </c>
      <c r="L16" s="1731" t="s">
        <v>2553</v>
      </c>
      <c r="M16" s="1731" t="s">
        <v>2553</v>
      </c>
      <c r="N16" s="1731"/>
      <c r="O16" s="1731"/>
      <c r="P16" s="1731" t="s">
        <v>2553</v>
      </c>
      <c r="Q16" s="1731" t="s">
        <v>2553</v>
      </c>
      <c r="R16" s="1731" t="s">
        <v>2552</v>
      </c>
      <c r="S16" s="1731" t="s">
        <v>2553</v>
      </c>
      <c r="T16" s="1731" t="s">
        <v>2553</v>
      </c>
      <c r="U16" s="1731" t="s">
        <v>2553</v>
      </c>
      <c r="V16" s="1731" t="s">
        <v>2553</v>
      </c>
      <c r="W16" s="1731" t="s">
        <v>2553</v>
      </c>
      <c r="X16" s="1731" t="s">
        <v>2553</v>
      </c>
      <c r="Y16" s="1731" t="s">
        <v>2552</v>
      </c>
      <c r="Z16" s="1731" t="s">
        <v>2553</v>
      </c>
      <c r="AA16" s="1731" t="s">
        <v>2553</v>
      </c>
      <c r="AB16" s="1731" t="s">
        <v>2553</v>
      </c>
      <c r="AC16" s="1731" t="s">
        <v>2553</v>
      </c>
      <c r="AD16" s="1731" t="s">
        <v>2553</v>
      </c>
      <c r="AE16" s="1731" t="s">
        <v>2553</v>
      </c>
      <c r="AF16" s="1731" t="s">
        <v>2552</v>
      </c>
      <c r="AG16" s="1731" t="s">
        <v>2553</v>
      </c>
      <c r="AH16" s="1736"/>
      <c r="AI16" s="1737">
        <f t="shared" si="0"/>
        <v>23</v>
      </c>
      <c r="AJ16" s="1737">
        <f t="shared" si="1"/>
        <v>5</v>
      </c>
      <c r="AK16" s="1737">
        <f t="shared" si="2"/>
        <v>0</v>
      </c>
      <c r="AL16" s="1737">
        <f t="shared" si="3"/>
        <v>0</v>
      </c>
      <c r="AM16" s="1737">
        <f t="shared" si="4"/>
        <v>0</v>
      </c>
      <c r="AN16" s="1737">
        <f t="shared" si="5"/>
        <v>0</v>
      </c>
      <c r="AO16" s="1737">
        <f t="shared" si="6"/>
        <v>28</v>
      </c>
      <c r="AP16" s="1734"/>
    </row>
    <row r="17" spans="1:42" ht="18.75" customHeight="1">
      <c r="A17" s="1733">
        <v>7</v>
      </c>
      <c r="B17" s="1734"/>
      <c r="C17" s="1735" t="s">
        <v>3177</v>
      </c>
      <c r="D17" s="1731" t="s">
        <v>2552</v>
      </c>
      <c r="E17" s="1731" t="s">
        <v>2553</v>
      </c>
      <c r="F17" s="1731" t="s">
        <v>2553</v>
      </c>
      <c r="G17" s="1731" t="s">
        <v>2553</v>
      </c>
      <c r="H17" s="1731" t="s">
        <v>2553</v>
      </c>
      <c r="I17" s="1731" t="s">
        <v>2553</v>
      </c>
      <c r="J17" s="1731" t="s">
        <v>2553</v>
      </c>
      <c r="K17" s="1731" t="s">
        <v>2552</v>
      </c>
      <c r="L17" s="1731" t="s">
        <v>2553</v>
      </c>
      <c r="M17" s="1731" t="s">
        <v>2553</v>
      </c>
      <c r="N17" s="1731" t="s">
        <v>2553</v>
      </c>
      <c r="O17" s="1731"/>
      <c r="P17" s="1731" t="s">
        <v>2553</v>
      </c>
      <c r="Q17" s="1731" t="s">
        <v>2553</v>
      </c>
      <c r="R17" s="1731" t="s">
        <v>2552</v>
      </c>
      <c r="S17" s="1731" t="s">
        <v>2553</v>
      </c>
      <c r="T17" s="1731" t="s">
        <v>2553</v>
      </c>
      <c r="U17" s="1731" t="s">
        <v>2553</v>
      </c>
      <c r="V17" s="1731" t="s">
        <v>2553</v>
      </c>
      <c r="W17" s="1731" t="s">
        <v>2553</v>
      </c>
      <c r="X17" s="1731" t="s">
        <v>2553</v>
      </c>
      <c r="Y17" s="1731" t="s">
        <v>2552</v>
      </c>
      <c r="Z17" s="1731" t="s">
        <v>2553</v>
      </c>
      <c r="AA17" s="1731" t="s">
        <v>2553</v>
      </c>
      <c r="AB17" s="1731" t="s">
        <v>2553</v>
      </c>
      <c r="AC17" s="1731" t="s">
        <v>2553</v>
      </c>
      <c r="AD17" s="1731" t="s">
        <v>2553</v>
      </c>
      <c r="AE17" s="1731" t="s">
        <v>2553</v>
      </c>
      <c r="AF17" s="1731" t="s">
        <v>2552</v>
      </c>
      <c r="AG17" s="1731" t="s">
        <v>2553</v>
      </c>
      <c r="AH17" s="1731"/>
      <c r="AI17" s="1737">
        <f t="shared" si="0"/>
        <v>24</v>
      </c>
      <c r="AJ17" s="1737">
        <f t="shared" si="1"/>
        <v>5</v>
      </c>
      <c r="AK17" s="1737">
        <f t="shared" si="2"/>
        <v>0</v>
      </c>
      <c r="AL17" s="1737">
        <f t="shared" si="3"/>
        <v>0</v>
      </c>
      <c r="AM17" s="1737">
        <f t="shared" si="4"/>
        <v>0</v>
      </c>
      <c r="AN17" s="1737">
        <f t="shared" si="5"/>
        <v>0</v>
      </c>
      <c r="AO17" s="1737">
        <f t="shared" si="6"/>
        <v>29</v>
      </c>
      <c r="AP17" s="1734"/>
    </row>
    <row r="18" spans="1:42" ht="18.75" customHeight="1">
      <c r="A18" s="1733">
        <v>8</v>
      </c>
      <c r="B18" s="1734"/>
      <c r="C18" s="1735" t="s">
        <v>3178</v>
      </c>
      <c r="D18" s="1731" t="s">
        <v>2552</v>
      </c>
      <c r="E18" s="1731" t="s">
        <v>2553</v>
      </c>
      <c r="F18" s="1731" t="s">
        <v>2553</v>
      </c>
      <c r="G18" s="1731" t="s">
        <v>2553</v>
      </c>
      <c r="H18" s="1731" t="s">
        <v>2553</v>
      </c>
      <c r="I18" s="1731" t="s">
        <v>2553</v>
      </c>
      <c r="J18" s="1731" t="s">
        <v>2553</v>
      </c>
      <c r="K18" s="1731"/>
      <c r="L18" s="1731"/>
      <c r="M18" s="1731"/>
      <c r="N18" s="1731" t="s">
        <v>2553</v>
      </c>
      <c r="O18" s="1731"/>
      <c r="P18" s="1731"/>
      <c r="Q18" s="1731"/>
      <c r="R18" s="1731"/>
      <c r="S18" s="1731"/>
      <c r="T18" s="1731" t="s">
        <v>2553</v>
      </c>
      <c r="U18" s="1731" t="s">
        <v>2553</v>
      </c>
      <c r="V18" s="1731" t="s">
        <v>2553</v>
      </c>
      <c r="W18" s="1731" t="s">
        <v>2553</v>
      </c>
      <c r="X18" s="1731" t="s">
        <v>2553</v>
      </c>
      <c r="Y18" s="1731" t="s">
        <v>2552</v>
      </c>
      <c r="Z18" s="1731" t="s">
        <v>2553</v>
      </c>
      <c r="AA18" s="1731" t="s">
        <v>2553</v>
      </c>
      <c r="AB18" s="1731" t="s">
        <v>2553</v>
      </c>
      <c r="AC18" s="1731" t="s">
        <v>2553</v>
      </c>
      <c r="AD18" s="1731" t="s">
        <v>2553</v>
      </c>
      <c r="AE18" s="1731" t="s">
        <v>2553</v>
      </c>
      <c r="AF18" s="1731" t="s">
        <v>2552</v>
      </c>
      <c r="AG18" s="1731" t="s">
        <v>2553</v>
      </c>
      <c r="AH18" s="1731"/>
      <c r="AI18" s="1737">
        <f t="shared" si="0"/>
        <v>19</v>
      </c>
      <c r="AJ18" s="1737">
        <f t="shared" si="1"/>
        <v>3</v>
      </c>
      <c r="AK18" s="1737">
        <f t="shared" si="2"/>
        <v>0</v>
      </c>
      <c r="AL18" s="1737">
        <f t="shared" si="3"/>
        <v>0</v>
      </c>
      <c r="AM18" s="1737">
        <f t="shared" si="4"/>
        <v>0</v>
      </c>
      <c r="AN18" s="1737">
        <f t="shared" si="5"/>
        <v>0</v>
      </c>
      <c r="AO18" s="1737">
        <f t="shared" si="6"/>
        <v>22</v>
      </c>
      <c r="AP18" s="1734"/>
    </row>
    <row r="19" spans="1:42" ht="18.75" customHeight="1">
      <c r="A19" s="1733">
        <v>9</v>
      </c>
      <c r="B19" s="1734"/>
      <c r="C19" s="1735" t="s">
        <v>3179</v>
      </c>
      <c r="D19" s="1731" t="s">
        <v>2552</v>
      </c>
      <c r="E19" s="1731" t="s">
        <v>2553</v>
      </c>
      <c r="F19" s="1731" t="s">
        <v>2553</v>
      </c>
      <c r="G19" s="1731" t="s">
        <v>2553</v>
      </c>
      <c r="H19" s="1731" t="s">
        <v>2553</v>
      </c>
      <c r="I19" s="1731" t="s">
        <v>2553</v>
      </c>
      <c r="J19" s="1731" t="s">
        <v>2553</v>
      </c>
      <c r="K19" s="1731" t="s">
        <v>2552</v>
      </c>
      <c r="L19" s="1731" t="s">
        <v>2553</v>
      </c>
      <c r="M19" s="1731" t="s">
        <v>2553</v>
      </c>
      <c r="N19" s="1731" t="s">
        <v>2553</v>
      </c>
      <c r="O19" s="1731" t="s">
        <v>2553</v>
      </c>
      <c r="P19" s="1731"/>
      <c r="Q19" s="1731" t="s">
        <v>2553</v>
      </c>
      <c r="R19" s="1731" t="s">
        <v>2552</v>
      </c>
      <c r="S19" s="1731" t="s">
        <v>2553</v>
      </c>
      <c r="T19" s="1731" t="s">
        <v>2553</v>
      </c>
      <c r="U19" s="1731" t="s">
        <v>2553</v>
      </c>
      <c r="V19" s="1731" t="s">
        <v>2553</v>
      </c>
      <c r="W19" s="1731" t="s">
        <v>2553</v>
      </c>
      <c r="X19" s="1731" t="s">
        <v>2553</v>
      </c>
      <c r="Y19" s="1731" t="s">
        <v>2552</v>
      </c>
      <c r="Z19" s="1731" t="s">
        <v>2553</v>
      </c>
      <c r="AA19" s="1731" t="s">
        <v>2553</v>
      </c>
      <c r="AB19" s="1731" t="s">
        <v>2553</v>
      </c>
      <c r="AC19" s="1731" t="s">
        <v>2553</v>
      </c>
      <c r="AD19" s="1731" t="s">
        <v>2553</v>
      </c>
      <c r="AE19" s="1731" t="s">
        <v>2553</v>
      </c>
      <c r="AF19" s="1731" t="s">
        <v>2552</v>
      </c>
      <c r="AG19" s="1731" t="s">
        <v>2553</v>
      </c>
      <c r="AH19" s="1731"/>
      <c r="AI19" s="1737">
        <f t="shared" si="0"/>
        <v>24</v>
      </c>
      <c r="AJ19" s="1737">
        <f t="shared" si="1"/>
        <v>5</v>
      </c>
      <c r="AK19" s="1737">
        <f t="shared" si="2"/>
        <v>0</v>
      </c>
      <c r="AL19" s="1737">
        <f t="shared" si="3"/>
        <v>0</v>
      </c>
      <c r="AM19" s="1737">
        <f t="shared" si="4"/>
        <v>0</v>
      </c>
      <c r="AN19" s="1737">
        <f t="shared" si="5"/>
        <v>0</v>
      </c>
      <c r="AO19" s="1737">
        <f t="shared" si="6"/>
        <v>29</v>
      </c>
      <c r="AP19" s="1734"/>
    </row>
    <row r="20" spans="1:42" ht="18.75" customHeight="1">
      <c r="A20" s="1733">
        <v>10</v>
      </c>
      <c r="B20" s="1734"/>
      <c r="C20" s="1735" t="s">
        <v>3180</v>
      </c>
      <c r="D20" s="1731" t="s">
        <v>2552</v>
      </c>
      <c r="E20" s="1731" t="s">
        <v>2553</v>
      </c>
      <c r="F20" s="1731" t="s">
        <v>2553</v>
      </c>
      <c r="G20" s="1731" t="s">
        <v>2553</v>
      </c>
      <c r="H20" s="1731" t="s">
        <v>2553</v>
      </c>
      <c r="I20" s="1731" t="s">
        <v>2553</v>
      </c>
      <c r="J20" s="1731" t="s">
        <v>2553</v>
      </c>
      <c r="K20" s="1731" t="s">
        <v>2552</v>
      </c>
      <c r="L20" s="1731" t="s">
        <v>2553</v>
      </c>
      <c r="M20" s="1731" t="s">
        <v>2553</v>
      </c>
      <c r="N20" s="1731" t="s">
        <v>2553</v>
      </c>
      <c r="O20" s="1731"/>
      <c r="P20" s="1731" t="s">
        <v>2553</v>
      </c>
      <c r="Q20" s="1731" t="s">
        <v>2553</v>
      </c>
      <c r="R20" s="1731" t="s">
        <v>2552</v>
      </c>
      <c r="S20" s="1731" t="s">
        <v>2553</v>
      </c>
      <c r="T20" s="1731" t="s">
        <v>2553</v>
      </c>
      <c r="U20" s="1731" t="s">
        <v>2553</v>
      </c>
      <c r="V20" s="1731"/>
      <c r="W20" s="1731" t="s">
        <v>2553</v>
      </c>
      <c r="X20" s="1731" t="s">
        <v>2553</v>
      </c>
      <c r="Y20" s="1731" t="s">
        <v>2552</v>
      </c>
      <c r="Z20" s="1731" t="s">
        <v>2553</v>
      </c>
      <c r="AA20" s="1731" t="s">
        <v>2553</v>
      </c>
      <c r="AB20" s="1731" t="s">
        <v>2553</v>
      </c>
      <c r="AC20" s="1731" t="s">
        <v>2553</v>
      </c>
      <c r="AD20" s="1731" t="s">
        <v>2553</v>
      </c>
      <c r="AE20" s="1731" t="s">
        <v>2553</v>
      </c>
      <c r="AF20" s="1731" t="s">
        <v>2552</v>
      </c>
      <c r="AG20" s="1731" t="s">
        <v>2553</v>
      </c>
      <c r="AH20" s="1736"/>
      <c r="AI20" s="1737">
        <f t="shared" si="0"/>
        <v>23</v>
      </c>
      <c r="AJ20" s="1737">
        <f t="shared" si="1"/>
        <v>5</v>
      </c>
      <c r="AK20" s="1737">
        <f t="shared" si="2"/>
        <v>0</v>
      </c>
      <c r="AL20" s="1737">
        <f t="shared" si="3"/>
        <v>0</v>
      </c>
      <c r="AM20" s="1737">
        <f t="shared" si="4"/>
        <v>0</v>
      </c>
      <c r="AN20" s="1737">
        <f t="shared" si="5"/>
        <v>0</v>
      </c>
      <c r="AO20" s="1737">
        <f t="shared" si="6"/>
        <v>28</v>
      </c>
      <c r="AP20" s="1734"/>
    </row>
    <row r="21" spans="1:42" ht="18.75" customHeight="1">
      <c r="A21" s="1733">
        <v>11</v>
      </c>
      <c r="B21" s="1734"/>
      <c r="C21" s="1735" t="s">
        <v>3181</v>
      </c>
      <c r="D21" s="1731" t="s">
        <v>2552</v>
      </c>
      <c r="E21" s="1731" t="s">
        <v>2553</v>
      </c>
      <c r="F21" s="1731" t="s">
        <v>2553</v>
      </c>
      <c r="G21" s="1731" t="s">
        <v>2553</v>
      </c>
      <c r="H21" s="1731" t="s">
        <v>2553</v>
      </c>
      <c r="I21" s="1731" t="s">
        <v>2553</v>
      </c>
      <c r="J21" s="1731" t="s">
        <v>2553</v>
      </c>
      <c r="K21" s="1731" t="s">
        <v>2552</v>
      </c>
      <c r="L21" s="1731" t="s">
        <v>2553</v>
      </c>
      <c r="M21" s="1731" t="s">
        <v>2553</v>
      </c>
      <c r="N21" s="1731" t="s">
        <v>2553</v>
      </c>
      <c r="O21" s="1731"/>
      <c r="P21" s="1731" t="s">
        <v>2553</v>
      </c>
      <c r="Q21" s="1731" t="s">
        <v>2553</v>
      </c>
      <c r="R21" s="1731" t="s">
        <v>2552</v>
      </c>
      <c r="S21" s="1731" t="s">
        <v>2553</v>
      </c>
      <c r="T21" s="1731" t="s">
        <v>2553</v>
      </c>
      <c r="U21" s="1731" t="s">
        <v>2553</v>
      </c>
      <c r="V21" s="1731"/>
      <c r="W21" s="1731" t="s">
        <v>2553</v>
      </c>
      <c r="X21" s="1731" t="s">
        <v>2553</v>
      </c>
      <c r="Y21" s="1731" t="s">
        <v>2552</v>
      </c>
      <c r="Z21" s="1731" t="s">
        <v>2553</v>
      </c>
      <c r="AA21" s="1731" t="s">
        <v>2553</v>
      </c>
      <c r="AB21" s="1731" t="s">
        <v>2553</v>
      </c>
      <c r="AC21" s="1731" t="s">
        <v>2553</v>
      </c>
      <c r="AD21" s="1731" t="s">
        <v>2553</v>
      </c>
      <c r="AE21" s="1731" t="s">
        <v>2553</v>
      </c>
      <c r="AF21" s="1731" t="s">
        <v>2552</v>
      </c>
      <c r="AG21" s="1731" t="s">
        <v>2553</v>
      </c>
      <c r="AH21" s="1736"/>
      <c r="AI21" s="1737">
        <f t="shared" si="0"/>
        <v>23</v>
      </c>
      <c r="AJ21" s="1737">
        <f t="shared" si="1"/>
        <v>5</v>
      </c>
      <c r="AK21" s="1737">
        <f t="shared" si="2"/>
        <v>0</v>
      </c>
      <c r="AL21" s="1737">
        <f t="shared" si="3"/>
        <v>0</v>
      </c>
      <c r="AM21" s="1737">
        <f t="shared" si="4"/>
        <v>0</v>
      </c>
      <c r="AN21" s="1737">
        <f t="shared" si="5"/>
        <v>0</v>
      </c>
      <c r="AO21" s="1737">
        <f t="shared" si="6"/>
        <v>28</v>
      </c>
      <c r="AP21" s="1734"/>
    </row>
    <row r="22" spans="1:42" ht="18.75" customHeight="1">
      <c r="A22" s="1733">
        <v>12</v>
      </c>
      <c r="B22" s="1734"/>
      <c r="C22" s="1735" t="s">
        <v>3182</v>
      </c>
      <c r="D22" s="1731" t="s">
        <v>2552</v>
      </c>
      <c r="E22" s="1731" t="s">
        <v>2553</v>
      </c>
      <c r="F22" s="1731" t="s">
        <v>2553</v>
      </c>
      <c r="G22" s="1731" t="s">
        <v>2553</v>
      </c>
      <c r="H22" s="1731" t="s">
        <v>2553</v>
      </c>
      <c r="I22" s="1731" t="s">
        <v>2553</v>
      </c>
      <c r="J22" s="1731" t="s">
        <v>2553</v>
      </c>
      <c r="K22" s="1731" t="s">
        <v>2552</v>
      </c>
      <c r="L22" s="1731" t="s">
        <v>2553</v>
      </c>
      <c r="M22" s="1731" t="s">
        <v>2553</v>
      </c>
      <c r="N22" s="1731" t="s">
        <v>2553</v>
      </c>
      <c r="O22" s="1731" t="s">
        <v>2553</v>
      </c>
      <c r="P22" s="1731" t="s">
        <v>2553</v>
      </c>
      <c r="Q22" s="1731" t="s">
        <v>2553</v>
      </c>
      <c r="R22" s="1731" t="s">
        <v>2552</v>
      </c>
      <c r="S22" s="1731" t="s">
        <v>2553</v>
      </c>
      <c r="T22" s="1731" t="s">
        <v>2553</v>
      </c>
      <c r="U22" s="1731" t="s">
        <v>2553</v>
      </c>
      <c r="V22" s="1731" t="s">
        <v>2553</v>
      </c>
      <c r="W22" s="1731" t="s">
        <v>2553</v>
      </c>
      <c r="X22" s="1731" t="s">
        <v>2553</v>
      </c>
      <c r="Y22" s="1731" t="s">
        <v>2552</v>
      </c>
      <c r="Z22" s="1731" t="s">
        <v>2553</v>
      </c>
      <c r="AA22" s="1731" t="s">
        <v>2553</v>
      </c>
      <c r="AB22" s="1731" t="s">
        <v>2553</v>
      </c>
      <c r="AC22" s="1731" t="s">
        <v>2553</v>
      </c>
      <c r="AD22" s="1731" t="s">
        <v>2553</v>
      </c>
      <c r="AE22" s="1731" t="s">
        <v>2553</v>
      </c>
      <c r="AF22" s="1731" t="s">
        <v>2552</v>
      </c>
      <c r="AG22" s="1731" t="s">
        <v>2553</v>
      </c>
      <c r="AH22" s="1731"/>
      <c r="AI22" s="1737">
        <f t="shared" si="0"/>
        <v>25</v>
      </c>
      <c r="AJ22" s="1737">
        <f t="shared" si="1"/>
        <v>5</v>
      </c>
      <c r="AK22" s="1737">
        <f t="shared" si="2"/>
        <v>0</v>
      </c>
      <c r="AL22" s="1737">
        <f t="shared" si="3"/>
        <v>0</v>
      </c>
      <c r="AM22" s="1737">
        <f t="shared" si="4"/>
        <v>0</v>
      </c>
      <c r="AN22" s="1737">
        <f t="shared" si="5"/>
        <v>0</v>
      </c>
      <c r="AO22" s="1737">
        <f t="shared" si="6"/>
        <v>30</v>
      </c>
      <c r="AP22" s="1734"/>
    </row>
    <row r="23" spans="1:42" ht="18.75" customHeight="1">
      <c r="A23" s="1733">
        <v>13</v>
      </c>
      <c r="B23" s="1734"/>
      <c r="C23" s="1735" t="s">
        <v>3183</v>
      </c>
      <c r="D23" s="1731" t="s">
        <v>2552</v>
      </c>
      <c r="E23" s="1731" t="s">
        <v>2553</v>
      </c>
      <c r="F23" s="1731" t="s">
        <v>2553</v>
      </c>
      <c r="G23" s="1731" t="s">
        <v>2553</v>
      </c>
      <c r="H23" s="1731" t="s">
        <v>2553</v>
      </c>
      <c r="I23" s="1731" t="s">
        <v>2553</v>
      </c>
      <c r="J23" s="1731" t="s">
        <v>2553</v>
      </c>
      <c r="K23" s="1731" t="s">
        <v>2552</v>
      </c>
      <c r="L23" s="1731" t="s">
        <v>2553</v>
      </c>
      <c r="M23" s="1731" t="s">
        <v>2553</v>
      </c>
      <c r="N23" s="1731" t="s">
        <v>2553</v>
      </c>
      <c r="O23" s="1731"/>
      <c r="P23" s="1731" t="s">
        <v>2553</v>
      </c>
      <c r="Q23" s="1731" t="s">
        <v>2553</v>
      </c>
      <c r="R23" s="1731" t="s">
        <v>2552</v>
      </c>
      <c r="S23" s="1731" t="s">
        <v>2553</v>
      </c>
      <c r="T23" s="1731" t="s">
        <v>2553</v>
      </c>
      <c r="U23" s="1731" t="s">
        <v>2553</v>
      </c>
      <c r="V23" s="1731" t="s">
        <v>2553</v>
      </c>
      <c r="W23" s="1731" t="s">
        <v>2553</v>
      </c>
      <c r="X23" s="1731" t="s">
        <v>2553</v>
      </c>
      <c r="Y23" s="1731" t="s">
        <v>2552</v>
      </c>
      <c r="Z23" s="1731" t="s">
        <v>2553</v>
      </c>
      <c r="AA23" s="1731" t="s">
        <v>2553</v>
      </c>
      <c r="AB23" s="1731" t="s">
        <v>2553</v>
      </c>
      <c r="AC23" s="1731" t="s">
        <v>2553</v>
      </c>
      <c r="AD23" s="1731" t="s">
        <v>2553</v>
      </c>
      <c r="AE23" s="1731" t="s">
        <v>2553</v>
      </c>
      <c r="AF23" s="1731" t="s">
        <v>2552</v>
      </c>
      <c r="AG23" s="1731" t="s">
        <v>2553</v>
      </c>
      <c r="AH23" s="1731"/>
      <c r="AI23" s="1737">
        <f t="shared" si="0"/>
        <v>24</v>
      </c>
      <c r="AJ23" s="1737">
        <f t="shared" si="1"/>
        <v>5</v>
      </c>
      <c r="AK23" s="1737">
        <f t="shared" si="2"/>
        <v>0</v>
      </c>
      <c r="AL23" s="1737">
        <f t="shared" si="3"/>
        <v>0</v>
      </c>
      <c r="AM23" s="1737">
        <f t="shared" si="4"/>
        <v>0</v>
      </c>
      <c r="AN23" s="1737">
        <f t="shared" si="5"/>
        <v>0</v>
      </c>
      <c r="AO23" s="1737">
        <f t="shared" si="6"/>
        <v>29</v>
      </c>
      <c r="AP23" s="1734"/>
    </row>
    <row r="24" spans="1:42" ht="18.75" customHeight="1">
      <c r="A24" s="1733">
        <v>14</v>
      </c>
      <c r="B24" s="1734"/>
      <c r="C24" s="1735" t="s">
        <v>882</v>
      </c>
      <c r="D24" s="1731" t="s">
        <v>2552</v>
      </c>
      <c r="E24" s="1731" t="s">
        <v>2553</v>
      </c>
      <c r="F24" s="1731" t="s">
        <v>2553</v>
      </c>
      <c r="G24" s="1731" t="s">
        <v>2553</v>
      </c>
      <c r="H24" s="1731" t="s">
        <v>2553</v>
      </c>
      <c r="I24" s="1731" t="s">
        <v>2553</v>
      </c>
      <c r="J24" s="1731" t="s">
        <v>2553</v>
      </c>
      <c r="K24" s="1731" t="s">
        <v>2552</v>
      </c>
      <c r="L24" s="1731" t="s">
        <v>2553</v>
      </c>
      <c r="M24" s="1731" t="s">
        <v>2553</v>
      </c>
      <c r="N24" s="1731" t="s">
        <v>2553</v>
      </c>
      <c r="O24" s="1731"/>
      <c r="P24" s="1731" t="s">
        <v>2553</v>
      </c>
      <c r="Q24" s="1731" t="s">
        <v>2553</v>
      </c>
      <c r="R24" s="1731" t="s">
        <v>2552</v>
      </c>
      <c r="S24" s="1731" t="s">
        <v>2553</v>
      </c>
      <c r="T24" s="1731" t="s">
        <v>2553</v>
      </c>
      <c r="U24" s="1731" t="s">
        <v>2553</v>
      </c>
      <c r="V24" s="1731" t="s">
        <v>2553</v>
      </c>
      <c r="W24" s="1731" t="s">
        <v>2553</v>
      </c>
      <c r="X24" s="1731" t="s">
        <v>2553</v>
      </c>
      <c r="Y24" s="1731" t="s">
        <v>2552</v>
      </c>
      <c r="Z24" s="1731" t="s">
        <v>2553</v>
      </c>
      <c r="AA24" s="1731" t="s">
        <v>2553</v>
      </c>
      <c r="AB24" s="1731" t="s">
        <v>2553</v>
      </c>
      <c r="AC24" s="1731" t="s">
        <v>2553</v>
      </c>
      <c r="AD24" s="1731" t="s">
        <v>2553</v>
      </c>
      <c r="AE24" s="1731" t="s">
        <v>2553</v>
      </c>
      <c r="AF24" s="1731" t="s">
        <v>2552</v>
      </c>
      <c r="AG24" s="1731" t="s">
        <v>2553</v>
      </c>
      <c r="AH24" s="1731"/>
      <c r="AI24" s="1737">
        <f t="shared" si="0"/>
        <v>24</v>
      </c>
      <c r="AJ24" s="1737">
        <f t="shared" si="1"/>
        <v>5</v>
      </c>
      <c r="AK24" s="1737">
        <f t="shared" si="2"/>
        <v>0</v>
      </c>
      <c r="AL24" s="1737">
        <f t="shared" si="3"/>
        <v>0</v>
      </c>
      <c r="AM24" s="1737">
        <f t="shared" si="4"/>
        <v>0</v>
      </c>
      <c r="AN24" s="1737">
        <f t="shared" si="5"/>
        <v>0</v>
      </c>
      <c r="AO24" s="1737">
        <f t="shared" si="6"/>
        <v>29</v>
      </c>
      <c r="AP24" s="1734"/>
    </row>
    <row r="25" spans="1:42" ht="18.75" customHeight="1">
      <c r="A25" s="1733">
        <v>15</v>
      </c>
      <c r="B25" s="1734"/>
      <c r="C25" s="1735" t="s">
        <v>3184</v>
      </c>
      <c r="D25" s="1731" t="s">
        <v>2552</v>
      </c>
      <c r="E25" s="1731" t="s">
        <v>2553</v>
      </c>
      <c r="F25" s="1731" t="s">
        <v>2553</v>
      </c>
      <c r="G25" s="1731" t="s">
        <v>2553</v>
      </c>
      <c r="H25" s="1731" t="s">
        <v>2553</v>
      </c>
      <c r="I25" s="1731" t="s">
        <v>2553</v>
      </c>
      <c r="J25" s="1731" t="s">
        <v>2553</v>
      </c>
      <c r="K25" s="1731" t="s">
        <v>2552</v>
      </c>
      <c r="L25" s="1731" t="s">
        <v>2553</v>
      </c>
      <c r="M25" s="1731" t="s">
        <v>2553</v>
      </c>
      <c r="N25" s="1731" t="s">
        <v>2553</v>
      </c>
      <c r="O25" s="1731" t="s">
        <v>2553</v>
      </c>
      <c r="P25" s="1731" t="s">
        <v>2553</v>
      </c>
      <c r="Q25" s="1731" t="s">
        <v>2553</v>
      </c>
      <c r="R25" s="1731" t="s">
        <v>2552</v>
      </c>
      <c r="S25" s="1731" t="s">
        <v>2553</v>
      </c>
      <c r="T25" s="1731" t="s">
        <v>2553</v>
      </c>
      <c r="U25" s="1731" t="s">
        <v>2553</v>
      </c>
      <c r="V25" s="1731" t="s">
        <v>2553</v>
      </c>
      <c r="W25" s="1731" t="s">
        <v>2553</v>
      </c>
      <c r="X25" s="1731" t="s">
        <v>2553</v>
      </c>
      <c r="Y25" s="1731" t="s">
        <v>2552</v>
      </c>
      <c r="Z25" s="1731" t="s">
        <v>2553</v>
      </c>
      <c r="AA25" s="1731" t="s">
        <v>2553</v>
      </c>
      <c r="AB25" s="1731" t="s">
        <v>2553</v>
      </c>
      <c r="AC25" s="1731" t="s">
        <v>2553</v>
      </c>
      <c r="AD25" s="1731" t="s">
        <v>2553</v>
      </c>
      <c r="AE25" s="1731" t="s">
        <v>2553</v>
      </c>
      <c r="AF25" s="1731" t="s">
        <v>2552</v>
      </c>
      <c r="AG25" s="1731" t="s">
        <v>2553</v>
      </c>
      <c r="AH25" s="1731"/>
      <c r="AI25" s="1737">
        <f t="shared" si="0"/>
        <v>25</v>
      </c>
      <c r="AJ25" s="1737">
        <f t="shared" si="1"/>
        <v>5</v>
      </c>
      <c r="AK25" s="1737">
        <f t="shared" si="2"/>
        <v>0</v>
      </c>
      <c r="AL25" s="1737">
        <f t="shared" si="3"/>
        <v>0</v>
      </c>
      <c r="AM25" s="1737">
        <f t="shared" si="4"/>
        <v>0</v>
      </c>
      <c r="AN25" s="1737">
        <f t="shared" si="5"/>
        <v>0</v>
      </c>
      <c r="AO25" s="1737">
        <f t="shared" si="6"/>
        <v>30</v>
      </c>
      <c r="AP25" s="1734"/>
    </row>
    <row r="26" spans="1:42" ht="18.75" customHeight="1">
      <c r="A26" s="1733">
        <v>16</v>
      </c>
      <c r="B26" s="1734"/>
      <c r="C26" s="2155" t="s">
        <v>3185</v>
      </c>
      <c r="D26" s="1731" t="s">
        <v>2552</v>
      </c>
      <c r="E26" s="1731" t="s">
        <v>2553</v>
      </c>
      <c r="F26" s="1731" t="s">
        <v>2553</v>
      </c>
      <c r="G26" s="1731" t="s">
        <v>2553</v>
      </c>
      <c r="H26" s="1731" t="s">
        <v>2553</v>
      </c>
      <c r="I26" s="1731" t="s">
        <v>2553</v>
      </c>
      <c r="J26" s="1731" t="s">
        <v>2553</v>
      </c>
      <c r="K26" s="1731" t="s">
        <v>2552</v>
      </c>
      <c r="L26" s="1731" t="s">
        <v>2553</v>
      </c>
      <c r="M26" s="1731" t="s">
        <v>2553</v>
      </c>
      <c r="N26" s="1731" t="s">
        <v>2553</v>
      </c>
      <c r="O26" s="1731" t="s">
        <v>2553</v>
      </c>
      <c r="P26" s="1731" t="s">
        <v>2553</v>
      </c>
      <c r="Q26" s="1731" t="s">
        <v>2553</v>
      </c>
      <c r="R26" s="1731" t="s">
        <v>2552</v>
      </c>
      <c r="S26" s="1731" t="s">
        <v>2553</v>
      </c>
      <c r="T26" s="1731" t="s">
        <v>2553</v>
      </c>
      <c r="U26" s="1731" t="s">
        <v>2553</v>
      </c>
      <c r="V26" s="1731" t="s">
        <v>2553</v>
      </c>
      <c r="W26" s="1731" t="s">
        <v>2553</v>
      </c>
      <c r="X26" s="1731" t="s">
        <v>2553</v>
      </c>
      <c r="Y26" s="1731" t="s">
        <v>2552</v>
      </c>
      <c r="Z26" s="1731" t="s">
        <v>2553</v>
      </c>
      <c r="AA26" s="1731" t="s">
        <v>2553</v>
      </c>
      <c r="AB26" s="1731" t="s">
        <v>2553</v>
      </c>
      <c r="AC26" s="1731" t="s">
        <v>2553</v>
      </c>
      <c r="AD26" s="1731" t="s">
        <v>2553</v>
      </c>
      <c r="AE26" s="1731" t="s">
        <v>2553</v>
      </c>
      <c r="AF26" s="1731" t="s">
        <v>2552</v>
      </c>
      <c r="AG26" s="1731" t="s">
        <v>2553</v>
      </c>
      <c r="AH26" s="1731"/>
      <c r="AI26" s="1737">
        <f t="shared" si="0"/>
        <v>25</v>
      </c>
      <c r="AJ26" s="1737">
        <f t="shared" si="1"/>
        <v>5</v>
      </c>
      <c r="AK26" s="1737">
        <f t="shared" si="2"/>
        <v>0</v>
      </c>
      <c r="AL26" s="1737">
        <f t="shared" si="3"/>
        <v>0</v>
      </c>
      <c r="AM26" s="1737">
        <f t="shared" si="4"/>
        <v>0</v>
      </c>
      <c r="AN26" s="1737">
        <f t="shared" si="5"/>
        <v>0</v>
      </c>
      <c r="AO26" s="1737">
        <f t="shared" si="6"/>
        <v>30</v>
      </c>
      <c r="AP26" s="1734"/>
    </row>
    <row r="27" spans="1:42" ht="18.75" customHeight="1">
      <c r="A27" s="1733">
        <v>17</v>
      </c>
      <c r="B27" s="1734"/>
      <c r="C27" s="1735" t="s">
        <v>3186</v>
      </c>
      <c r="D27" s="1731" t="s">
        <v>2552</v>
      </c>
      <c r="E27" s="1731" t="s">
        <v>2553</v>
      </c>
      <c r="F27" s="1731" t="s">
        <v>2553</v>
      </c>
      <c r="G27" s="1731" t="s">
        <v>2553</v>
      </c>
      <c r="H27" s="1731" t="s">
        <v>2553</v>
      </c>
      <c r="I27" s="1731"/>
      <c r="J27" s="1731" t="s">
        <v>2553</v>
      </c>
      <c r="K27" s="1731" t="s">
        <v>2552</v>
      </c>
      <c r="L27" s="1731" t="s">
        <v>2553</v>
      </c>
      <c r="M27" s="1731" t="s">
        <v>2553</v>
      </c>
      <c r="N27" s="1731" t="s">
        <v>2553</v>
      </c>
      <c r="O27" s="1731"/>
      <c r="P27" s="1731" t="s">
        <v>2553</v>
      </c>
      <c r="Q27" s="1731" t="s">
        <v>2553</v>
      </c>
      <c r="R27" s="1731" t="s">
        <v>2552</v>
      </c>
      <c r="S27" s="1731" t="s">
        <v>2553</v>
      </c>
      <c r="T27" s="1731" t="s">
        <v>2553</v>
      </c>
      <c r="U27" s="1731" t="s">
        <v>2553</v>
      </c>
      <c r="V27" s="1731" t="s">
        <v>2553</v>
      </c>
      <c r="W27" s="1731" t="s">
        <v>2553</v>
      </c>
      <c r="X27" s="1731" t="s">
        <v>2553</v>
      </c>
      <c r="Y27" s="1731" t="s">
        <v>2552</v>
      </c>
      <c r="Z27" s="1731" t="s">
        <v>2553</v>
      </c>
      <c r="AA27" s="1731" t="s">
        <v>2553</v>
      </c>
      <c r="AB27" s="1731" t="s">
        <v>2553</v>
      </c>
      <c r="AC27" s="1731" t="s">
        <v>2553</v>
      </c>
      <c r="AD27" s="1731" t="s">
        <v>2553</v>
      </c>
      <c r="AE27" s="1731" t="s">
        <v>2553</v>
      </c>
      <c r="AF27" s="1731" t="s">
        <v>2552</v>
      </c>
      <c r="AG27" s="1731" t="s">
        <v>2553</v>
      </c>
      <c r="AH27" s="1731"/>
      <c r="AI27" s="1737">
        <f t="shared" si="0"/>
        <v>23</v>
      </c>
      <c r="AJ27" s="1737">
        <f t="shared" si="1"/>
        <v>5</v>
      </c>
      <c r="AK27" s="1737">
        <f t="shared" si="2"/>
        <v>0</v>
      </c>
      <c r="AL27" s="1737">
        <f t="shared" si="3"/>
        <v>0</v>
      </c>
      <c r="AM27" s="1737">
        <f t="shared" si="4"/>
        <v>0</v>
      </c>
      <c r="AN27" s="1737">
        <f t="shared" si="5"/>
        <v>0</v>
      </c>
      <c r="AO27" s="1737">
        <f t="shared" si="6"/>
        <v>28</v>
      </c>
      <c r="AP27" s="1734"/>
    </row>
    <row r="28" spans="1:42" ht="18.75" customHeight="1">
      <c r="A28" s="1733">
        <v>18</v>
      </c>
      <c r="B28" s="1734"/>
      <c r="C28" s="1735" t="s">
        <v>3187</v>
      </c>
      <c r="D28" s="1731" t="s">
        <v>2552</v>
      </c>
      <c r="E28" s="1731" t="s">
        <v>2553</v>
      </c>
      <c r="F28" s="1731" t="s">
        <v>2553</v>
      </c>
      <c r="G28" s="1731" t="s">
        <v>2553</v>
      </c>
      <c r="H28" s="1731" t="s">
        <v>2553</v>
      </c>
      <c r="I28" s="1731" t="s">
        <v>2553</v>
      </c>
      <c r="J28" s="1731" t="s">
        <v>2553</v>
      </c>
      <c r="K28" s="1731" t="s">
        <v>2552</v>
      </c>
      <c r="L28" s="1731" t="s">
        <v>2553</v>
      </c>
      <c r="M28" s="1731" t="s">
        <v>2553</v>
      </c>
      <c r="N28" s="1731" t="s">
        <v>2553</v>
      </c>
      <c r="O28" s="1731"/>
      <c r="P28" s="1731" t="s">
        <v>2553</v>
      </c>
      <c r="Q28" s="1731" t="s">
        <v>2553</v>
      </c>
      <c r="R28" s="1731" t="s">
        <v>2552</v>
      </c>
      <c r="S28" s="1731" t="s">
        <v>2553</v>
      </c>
      <c r="T28" s="1731" t="s">
        <v>2553</v>
      </c>
      <c r="U28" s="1731" t="s">
        <v>2553</v>
      </c>
      <c r="V28" s="1731" t="s">
        <v>2553</v>
      </c>
      <c r="W28" s="1731" t="s">
        <v>2553</v>
      </c>
      <c r="X28" s="1731" t="s">
        <v>2553</v>
      </c>
      <c r="Y28" s="1731" t="s">
        <v>2552</v>
      </c>
      <c r="Z28" s="1731" t="s">
        <v>2553</v>
      </c>
      <c r="AA28" s="1731" t="s">
        <v>2553</v>
      </c>
      <c r="AB28" s="1731" t="s">
        <v>2553</v>
      </c>
      <c r="AC28" s="1731" t="s">
        <v>2553</v>
      </c>
      <c r="AD28" s="1731" t="s">
        <v>2553</v>
      </c>
      <c r="AE28" s="1731" t="s">
        <v>2553</v>
      </c>
      <c r="AF28" s="1731" t="s">
        <v>2552</v>
      </c>
      <c r="AG28" s="1731" t="s">
        <v>2553</v>
      </c>
      <c r="AH28" s="1731"/>
      <c r="AI28" s="1737">
        <f t="shared" si="0"/>
        <v>24</v>
      </c>
      <c r="AJ28" s="1737">
        <f t="shared" si="1"/>
        <v>5</v>
      </c>
      <c r="AK28" s="1737">
        <f t="shared" si="2"/>
        <v>0</v>
      </c>
      <c r="AL28" s="1737">
        <f t="shared" si="3"/>
        <v>0</v>
      </c>
      <c r="AM28" s="1737">
        <f t="shared" si="4"/>
        <v>0</v>
      </c>
      <c r="AN28" s="1737">
        <f t="shared" si="5"/>
        <v>0</v>
      </c>
      <c r="AO28" s="1737">
        <f t="shared" si="6"/>
        <v>29</v>
      </c>
      <c r="AP28" s="1734"/>
    </row>
    <row r="29" spans="1:42" ht="18.75" customHeight="1">
      <c r="A29" s="1733">
        <v>19</v>
      </c>
      <c r="B29" s="1734"/>
      <c r="C29" s="1735" t="s">
        <v>3188</v>
      </c>
      <c r="D29" s="1731" t="s">
        <v>2552</v>
      </c>
      <c r="E29" s="1731" t="s">
        <v>2553</v>
      </c>
      <c r="F29" s="1731" t="s">
        <v>2553</v>
      </c>
      <c r="G29" s="1731" t="s">
        <v>2553</v>
      </c>
      <c r="H29" s="1731" t="s">
        <v>2553</v>
      </c>
      <c r="I29" s="1731" t="s">
        <v>2553</v>
      </c>
      <c r="J29" s="1731" t="s">
        <v>2553</v>
      </c>
      <c r="K29" s="1731" t="s">
        <v>2552</v>
      </c>
      <c r="L29" s="1731" t="s">
        <v>2553</v>
      </c>
      <c r="M29" s="1731" t="s">
        <v>2553</v>
      </c>
      <c r="N29" s="1731" t="s">
        <v>2553</v>
      </c>
      <c r="O29" s="1731" t="s">
        <v>2553</v>
      </c>
      <c r="P29" s="1731"/>
      <c r="Q29" s="1731" t="s">
        <v>2553</v>
      </c>
      <c r="R29" s="1731" t="s">
        <v>2552</v>
      </c>
      <c r="S29" s="1731" t="s">
        <v>2553</v>
      </c>
      <c r="T29" s="1731"/>
      <c r="U29" s="1731"/>
      <c r="V29" s="1731" t="s">
        <v>2553</v>
      </c>
      <c r="W29" s="1731" t="s">
        <v>2553</v>
      </c>
      <c r="X29" s="1731" t="s">
        <v>2553</v>
      </c>
      <c r="Y29" s="1731" t="s">
        <v>2552</v>
      </c>
      <c r="Z29" s="1731" t="s">
        <v>2553</v>
      </c>
      <c r="AA29" s="1731" t="s">
        <v>2553</v>
      </c>
      <c r="AB29" s="1731" t="s">
        <v>2553</v>
      </c>
      <c r="AC29" s="1731" t="s">
        <v>2553</v>
      </c>
      <c r="AD29" s="1731" t="s">
        <v>2553</v>
      </c>
      <c r="AE29" s="1731" t="s">
        <v>2553</v>
      </c>
      <c r="AF29" s="1731" t="s">
        <v>2552</v>
      </c>
      <c r="AG29" s="1731" t="s">
        <v>2553</v>
      </c>
      <c r="AH29" s="1731"/>
      <c r="AI29" s="1737">
        <f t="shared" si="0"/>
        <v>22</v>
      </c>
      <c r="AJ29" s="1737">
        <f t="shared" si="1"/>
        <v>5</v>
      </c>
      <c r="AK29" s="1737">
        <f t="shared" si="2"/>
        <v>0</v>
      </c>
      <c r="AL29" s="1737">
        <f t="shared" si="3"/>
        <v>0</v>
      </c>
      <c r="AM29" s="1737">
        <f t="shared" si="4"/>
        <v>0</v>
      </c>
      <c r="AN29" s="1737">
        <f t="shared" si="5"/>
        <v>0</v>
      </c>
      <c r="AO29" s="1737">
        <f t="shared" si="6"/>
        <v>27</v>
      </c>
      <c r="AP29" s="1734"/>
    </row>
    <row r="30" spans="1:42" ht="18.75" customHeight="1">
      <c r="A30" s="1733">
        <v>20</v>
      </c>
      <c r="B30" s="1734"/>
      <c r="C30" s="1735" t="s">
        <v>3189</v>
      </c>
      <c r="D30" s="1736" t="s">
        <v>2552</v>
      </c>
      <c r="E30" s="1736" t="s">
        <v>2553</v>
      </c>
      <c r="F30" s="1736" t="s">
        <v>2553</v>
      </c>
      <c r="G30" s="1736" t="s">
        <v>2553</v>
      </c>
      <c r="H30" s="1736" t="s">
        <v>2553</v>
      </c>
      <c r="I30" s="1736" t="s">
        <v>2553</v>
      </c>
      <c r="J30" s="1736" t="s">
        <v>2553</v>
      </c>
      <c r="K30" s="1736" t="s">
        <v>2552</v>
      </c>
      <c r="L30" s="1736" t="s">
        <v>2553</v>
      </c>
      <c r="M30" s="1736" t="s">
        <v>2553</v>
      </c>
      <c r="N30" s="1736" t="s">
        <v>2553</v>
      </c>
      <c r="O30" s="1736"/>
      <c r="P30" s="1736" t="s">
        <v>2553</v>
      </c>
      <c r="Q30" s="1736" t="s">
        <v>2553</v>
      </c>
      <c r="R30" s="1736" t="s">
        <v>2552</v>
      </c>
      <c r="S30" s="1736" t="s">
        <v>2553</v>
      </c>
      <c r="T30" s="1736" t="s">
        <v>2553</v>
      </c>
      <c r="U30" s="1736" t="s">
        <v>2553</v>
      </c>
      <c r="V30" s="1736" t="s">
        <v>2553</v>
      </c>
      <c r="W30" s="1736" t="s">
        <v>2553</v>
      </c>
      <c r="X30" s="1736" t="s">
        <v>2553</v>
      </c>
      <c r="Y30" s="1736" t="s">
        <v>2552</v>
      </c>
      <c r="Z30" s="1736" t="s">
        <v>2553</v>
      </c>
      <c r="AA30" s="1736" t="s">
        <v>2553</v>
      </c>
      <c r="AB30" s="1736" t="s">
        <v>2553</v>
      </c>
      <c r="AC30" s="1736" t="s">
        <v>2553</v>
      </c>
      <c r="AD30" s="1736" t="s">
        <v>2553</v>
      </c>
      <c r="AE30" s="1731" t="s">
        <v>2553</v>
      </c>
      <c r="AF30" s="1731" t="s">
        <v>2552</v>
      </c>
      <c r="AG30" s="1731" t="s">
        <v>2553</v>
      </c>
      <c r="AH30" s="1731"/>
      <c r="AI30" s="1737">
        <f t="shared" si="0"/>
        <v>24</v>
      </c>
      <c r="AJ30" s="1737">
        <f t="shared" si="1"/>
        <v>5</v>
      </c>
      <c r="AK30" s="1737">
        <f t="shared" si="2"/>
        <v>0</v>
      </c>
      <c r="AL30" s="1737">
        <f t="shared" si="3"/>
        <v>0</v>
      </c>
      <c r="AM30" s="1737">
        <f t="shared" si="4"/>
        <v>0</v>
      </c>
      <c r="AN30" s="1737">
        <f t="shared" si="5"/>
        <v>0</v>
      </c>
      <c r="AO30" s="1737">
        <f t="shared" si="6"/>
        <v>29</v>
      </c>
      <c r="AP30" s="1734"/>
    </row>
    <row r="31" spans="1:42" ht="18.75" customHeight="1">
      <c r="A31" s="1733">
        <v>21</v>
      </c>
      <c r="B31" s="1734"/>
      <c r="C31" s="1735" t="s">
        <v>3190</v>
      </c>
      <c r="D31" s="1736" t="s">
        <v>2552</v>
      </c>
      <c r="E31" s="1736" t="s">
        <v>2553</v>
      </c>
      <c r="F31" s="1736" t="s">
        <v>2553</v>
      </c>
      <c r="G31" s="1736" t="s">
        <v>2553</v>
      </c>
      <c r="H31" s="1736" t="s">
        <v>2553</v>
      </c>
      <c r="I31" s="1736" t="s">
        <v>2553</v>
      </c>
      <c r="J31" s="1736" t="s">
        <v>2553</v>
      </c>
      <c r="K31" s="1736" t="s">
        <v>2552</v>
      </c>
      <c r="L31" s="1736" t="s">
        <v>2553</v>
      </c>
      <c r="M31" s="1736" t="s">
        <v>2553</v>
      </c>
      <c r="N31" s="1736" t="s">
        <v>2553</v>
      </c>
      <c r="O31" s="1736"/>
      <c r="P31" s="1736" t="s">
        <v>2553</v>
      </c>
      <c r="Q31" s="1736" t="s">
        <v>2553</v>
      </c>
      <c r="R31" s="1736" t="s">
        <v>2552</v>
      </c>
      <c r="S31" s="1736" t="s">
        <v>2553</v>
      </c>
      <c r="T31" s="1736" t="s">
        <v>2553</v>
      </c>
      <c r="U31" s="1736" t="s">
        <v>2553</v>
      </c>
      <c r="V31" s="1736" t="s">
        <v>2553</v>
      </c>
      <c r="W31" s="1736" t="s">
        <v>2553</v>
      </c>
      <c r="X31" s="1736" t="s">
        <v>2553</v>
      </c>
      <c r="Y31" s="1736" t="s">
        <v>2552</v>
      </c>
      <c r="Z31" s="1736" t="s">
        <v>2553</v>
      </c>
      <c r="AA31" s="1736" t="s">
        <v>2553</v>
      </c>
      <c r="AB31" s="1736" t="s">
        <v>2553</v>
      </c>
      <c r="AC31" s="1736" t="s">
        <v>2553</v>
      </c>
      <c r="AD31" s="1736"/>
      <c r="AE31" s="1731" t="s">
        <v>2553</v>
      </c>
      <c r="AF31" s="1731" t="s">
        <v>2552</v>
      </c>
      <c r="AG31" s="1731" t="s">
        <v>2553</v>
      </c>
      <c r="AH31" s="1731"/>
      <c r="AI31" s="1737">
        <f t="shared" si="0"/>
        <v>23</v>
      </c>
      <c r="AJ31" s="1737">
        <f t="shared" si="1"/>
        <v>5</v>
      </c>
      <c r="AK31" s="1737">
        <f t="shared" si="2"/>
        <v>0</v>
      </c>
      <c r="AL31" s="1737">
        <f t="shared" si="3"/>
        <v>0</v>
      </c>
      <c r="AM31" s="1737">
        <f t="shared" si="4"/>
        <v>0</v>
      </c>
      <c r="AN31" s="1737">
        <f t="shared" si="5"/>
        <v>0</v>
      </c>
      <c r="AO31" s="1737">
        <f t="shared" si="6"/>
        <v>28</v>
      </c>
      <c r="AP31" s="1734"/>
    </row>
    <row r="32" spans="1:42" ht="18.75" customHeight="1">
      <c r="A32" s="1733">
        <v>22</v>
      </c>
      <c r="B32" s="1734"/>
      <c r="C32" s="1735" t="s">
        <v>3191</v>
      </c>
      <c r="D32" s="1736" t="s">
        <v>2552</v>
      </c>
      <c r="E32" s="1736" t="s">
        <v>2553</v>
      </c>
      <c r="F32" s="1736" t="s">
        <v>2553</v>
      </c>
      <c r="G32" s="1736" t="s">
        <v>2553</v>
      </c>
      <c r="H32" s="1736" t="s">
        <v>2553</v>
      </c>
      <c r="I32" s="1736" t="s">
        <v>2553</v>
      </c>
      <c r="J32" s="1736" t="s">
        <v>2553</v>
      </c>
      <c r="K32" s="1736" t="s">
        <v>2552</v>
      </c>
      <c r="L32" s="1736" t="s">
        <v>2553</v>
      </c>
      <c r="M32" s="1736" t="s">
        <v>2553</v>
      </c>
      <c r="N32" s="1736" t="s">
        <v>2553</v>
      </c>
      <c r="O32" s="1736"/>
      <c r="P32" s="1736" t="s">
        <v>2553</v>
      </c>
      <c r="Q32" s="1736" t="s">
        <v>2553</v>
      </c>
      <c r="R32" s="1736" t="s">
        <v>2552</v>
      </c>
      <c r="S32" s="1736" t="s">
        <v>2553</v>
      </c>
      <c r="T32" s="1736" t="s">
        <v>2553</v>
      </c>
      <c r="U32" s="1736" t="s">
        <v>2553</v>
      </c>
      <c r="V32" s="1736" t="s">
        <v>2553</v>
      </c>
      <c r="W32" s="1736" t="s">
        <v>2553</v>
      </c>
      <c r="X32" s="1736" t="s">
        <v>2553</v>
      </c>
      <c r="Y32" s="1736" t="s">
        <v>2552</v>
      </c>
      <c r="Z32" s="1736" t="s">
        <v>2553</v>
      </c>
      <c r="AA32" s="1736" t="s">
        <v>2553</v>
      </c>
      <c r="AB32" s="1736" t="s">
        <v>2553</v>
      </c>
      <c r="AC32" s="1736" t="s">
        <v>2553</v>
      </c>
      <c r="AD32" s="1736" t="s">
        <v>2553</v>
      </c>
      <c r="AE32" s="1731" t="s">
        <v>2553</v>
      </c>
      <c r="AF32" s="1731" t="s">
        <v>2552</v>
      </c>
      <c r="AG32" s="1731" t="s">
        <v>2553</v>
      </c>
      <c r="AH32" s="1731"/>
      <c r="AI32" s="1737">
        <f t="shared" si="0"/>
        <v>24</v>
      </c>
      <c r="AJ32" s="1737">
        <f t="shared" si="1"/>
        <v>5</v>
      </c>
      <c r="AK32" s="1737">
        <f t="shared" si="2"/>
        <v>0</v>
      </c>
      <c r="AL32" s="1737">
        <f t="shared" si="3"/>
        <v>0</v>
      </c>
      <c r="AM32" s="1737">
        <f t="shared" si="4"/>
        <v>0</v>
      </c>
      <c r="AN32" s="1737">
        <f t="shared" si="5"/>
        <v>0</v>
      </c>
      <c r="AO32" s="1737">
        <f t="shared" si="6"/>
        <v>29</v>
      </c>
      <c r="AP32" s="1734"/>
    </row>
    <row r="33" spans="1:45" ht="18.75" customHeight="1">
      <c r="A33" s="1733">
        <v>23</v>
      </c>
      <c r="B33" s="1734"/>
      <c r="C33" s="1735" t="s">
        <v>3192</v>
      </c>
      <c r="D33" s="1736" t="s">
        <v>2552</v>
      </c>
      <c r="E33" s="1736" t="s">
        <v>2553</v>
      </c>
      <c r="F33" s="1736" t="s">
        <v>2553</v>
      </c>
      <c r="G33" s="1736" t="s">
        <v>2553</v>
      </c>
      <c r="H33" s="1736" t="s">
        <v>2553</v>
      </c>
      <c r="I33" s="1736" t="s">
        <v>2553</v>
      </c>
      <c r="J33" s="1736" t="s">
        <v>2553</v>
      </c>
      <c r="K33" s="1736" t="s">
        <v>2552</v>
      </c>
      <c r="L33" s="1736" t="s">
        <v>2553</v>
      </c>
      <c r="M33" s="1736" t="s">
        <v>2553</v>
      </c>
      <c r="N33" s="1736" t="s">
        <v>2553</v>
      </c>
      <c r="O33" s="1736"/>
      <c r="P33" s="1736" t="s">
        <v>2553</v>
      </c>
      <c r="Q33" s="1736"/>
      <c r="R33" s="1736"/>
      <c r="S33" s="1736" t="s">
        <v>2553</v>
      </c>
      <c r="T33" s="1736" t="s">
        <v>2553</v>
      </c>
      <c r="U33" s="1736" t="s">
        <v>2553</v>
      </c>
      <c r="V33" s="1736" t="s">
        <v>2553</v>
      </c>
      <c r="W33" s="1736" t="s">
        <v>2553</v>
      </c>
      <c r="X33" s="1736" t="s">
        <v>2553</v>
      </c>
      <c r="Y33" s="1736" t="s">
        <v>2552</v>
      </c>
      <c r="Z33" s="1736" t="s">
        <v>2553</v>
      </c>
      <c r="AA33" s="1736" t="s">
        <v>2553</v>
      </c>
      <c r="AB33" s="1736" t="s">
        <v>2553</v>
      </c>
      <c r="AC33" s="1736" t="s">
        <v>2553</v>
      </c>
      <c r="AD33" s="1736" t="s">
        <v>2553</v>
      </c>
      <c r="AE33" s="1731" t="s">
        <v>2553</v>
      </c>
      <c r="AF33" s="1731" t="s">
        <v>2552</v>
      </c>
      <c r="AG33" s="1731" t="s">
        <v>2553</v>
      </c>
      <c r="AH33" s="1731"/>
      <c r="AI33" s="1737">
        <f t="shared" si="0"/>
        <v>23</v>
      </c>
      <c r="AJ33" s="1737">
        <f t="shared" si="1"/>
        <v>4</v>
      </c>
      <c r="AK33" s="1737">
        <f t="shared" si="2"/>
        <v>0</v>
      </c>
      <c r="AL33" s="1737">
        <f t="shared" si="3"/>
        <v>0</v>
      </c>
      <c r="AM33" s="1737">
        <f t="shared" si="4"/>
        <v>0</v>
      </c>
      <c r="AN33" s="1737">
        <f t="shared" si="5"/>
        <v>0</v>
      </c>
      <c r="AO33" s="1737">
        <f t="shared" si="6"/>
        <v>27</v>
      </c>
      <c r="AP33" s="1734"/>
    </row>
    <row r="34" spans="1:45" ht="18.75" customHeight="1">
      <c r="A34" s="1733">
        <v>24</v>
      </c>
      <c r="B34" s="1734"/>
      <c r="C34" s="1735" t="s">
        <v>3193</v>
      </c>
      <c r="D34" s="1736" t="s">
        <v>2552</v>
      </c>
      <c r="E34" s="1736" t="s">
        <v>2553</v>
      </c>
      <c r="F34" s="1736" t="s">
        <v>2553</v>
      </c>
      <c r="G34" s="1736" t="s">
        <v>2553</v>
      </c>
      <c r="H34" s="1736" t="s">
        <v>2553</v>
      </c>
      <c r="I34" s="1736" t="s">
        <v>2553</v>
      </c>
      <c r="J34" s="1736" t="s">
        <v>2553</v>
      </c>
      <c r="K34" s="1736"/>
      <c r="L34" s="1736"/>
      <c r="M34" s="1736" t="s">
        <v>2553</v>
      </c>
      <c r="N34" s="1736" t="s">
        <v>2553</v>
      </c>
      <c r="O34" s="1736"/>
      <c r="P34" s="1736" t="s">
        <v>2553</v>
      </c>
      <c r="Q34" s="1736" t="s">
        <v>2553</v>
      </c>
      <c r="R34" s="1736" t="s">
        <v>2552</v>
      </c>
      <c r="S34" s="1736"/>
      <c r="T34" s="1736"/>
      <c r="U34" s="1736" t="s">
        <v>2553</v>
      </c>
      <c r="V34" s="1736"/>
      <c r="W34" s="1736"/>
      <c r="X34" s="1736" t="s">
        <v>2553</v>
      </c>
      <c r="Y34" s="1736" t="s">
        <v>2552</v>
      </c>
      <c r="Z34" s="1736"/>
      <c r="AA34" s="1736" t="s">
        <v>2553</v>
      </c>
      <c r="AB34" s="1736" t="s">
        <v>2553</v>
      </c>
      <c r="AC34" s="1736" t="s">
        <v>2553</v>
      </c>
      <c r="AD34" s="1736" t="s">
        <v>2553</v>
      </c>
      <c r="AE34" s="1731" t="s">
        <v>2553</v>
      </c>
      <c r="AF34" s="1731" t="s">
        <v>2552</v>
      </c>
      <c r="AG34" s="1731" t="s">
        <v>2553</v>
      </c>
      <c r="AH34" s="1731"/>
      <c r="AI34" s="1737">
        <f t="shared" si="0"/>
        <v>18</v>
      </c>
      <c r="AJ34" s="1737">
        <f t="shared" si="1"/>
        <v>4</v>
      </c>
      <c r="AK34" s="1737">
        <f t="shared" si="2"/>
        <v>0</v>
      </c>
      <c r="AL34" s="1737">
        <f t="shared" si="3"/>
        <v>0</v>
      </c>
      <c r="AM34" s="1737">
        <f t="shared" si="4"/>
        <v>0</v>
      </c>
      <c r="AN34" s="1737">
        <f t="shared" si="5"/>
        <v>0</v>
      </c>
      <c r="AO34" s="1737">
        <f t="shared" si="6"/>
        <v>22</v>
      </c>
      <c r="AP34" s="1734"/>
    </row>
    <row r="35" spans="1:45" ht="18.75" customHeight="1">
      <c r="A35" s="1733">
        <v>25</v>
      </c>
      <c r="B35" s="1734"/>
      <c r="C35" s="1735" t="s">
        <v>3194</v>
      </c>
      <c r="D35" s="1736" t="s">
        <v>2552</v>
      </c>
      <c r="E35" s="1736" t="s">
        <v>2553</v>
      </c>
      <c r="F35" s="1736" t="s">
        <v>2553</v>
      </c>
      <c r="G35" s="1736" t="s">
        <v>2553</v>
      </c>
      <c r="H35" s="1736" t="s">
        <v>2553</v>
      </c>
      <c r="I35" s="1736" t="s">
        <v>2553</v>
      </c>
      <c r="J35" s="1736" t="s">
        <v>2553</v>
      </c>
      <c r="K35" s="1736" t="s">
        <v>2552</v>
      </c>
      <c r="L35" s="1736" t="s">
        <v>2553</v>
      </c>
      <c r="M35" s="1736" t="s">
        <v>2553</v>
      </c>
      <c r="N35" s="1736" t="s">
        <v>2553</v>
      </c>
      <c r="O35" s="1736"/>
      <c r="P35" s="1736"/>
      <c r="Q35" s="1736"/>
      <c r="R35" s="1736"/>
      <c r="S35" s="1736"/>
      <c r="T35" s="1736"/>
      <c r="U35" s="1736"/>
      <c r="V35" s="1736" t="s">
        <v>2553</v>
      </c>
      <c r="W35" s="1736" t="s">
        <v>2553</v>
      </c>
      <c r="X35" s="1736" t="s">
        <v>2553</v>
      </c>
      <c r="Y35" s="1736" t="s">
        <v>2552</v>
      </c>
      <c r="Z35" s="1736" t="s">
        <v>2553</v>
      </c>
      <c r="AA35" s="1736" t="s">
        <v>2553</v>
      </c>
      <c r="AB35" s="1736" t="s">
        <v>2553</v>
      </c>
      <c r="AC35" s="1736" t="s">
        <v>2553</v>
      </c>
      <c r="AD35" s="1736" t="s">
        <v>2553</v>
      </c>
      <c r="AE35" s="1731" t="s">
        <v>2553</v>
      </c>
      <c r="AF35" s="1731" t="s">
        <v>2552</v>
      </c>
      <c r="AG35" s="1731" t="s">
        <v>2553</v>
      </c>
      <c r="AH35" s="1731"/>
      <c r="AI35" s="1737">
        <f t="shared" si="0"/>
        <v>19</v>
      </c>
      <c r="AJ35" s="1737">
        <f t="shared" si="1"/>
        <v>4</v>
      </c>
      <c r="AK35" s="1737">
        <f t="shared" si="2"/>
        <v>0</v>
      </c>
      <c r="AL35" s="1737">
        <f t="shared" si="3"/>
        <v>0</v>
      </c>
      <c r="AM35" s="1737">
        <f t="shared" si="4"/>
        <v>0</v>
      </c>
      <c r="AN35" s="1737">
        <f t="shared" si="5"/>
        <v>0</v>
      </c>
      <c r="AO35" s="1737">
        <f t="shared" si="6"/>
        <v>23</v>
      </c>
      <c r="AP35" s="1734"/>
    </row>
    <row r="36" spans="1:45" ht="18.75" customHeight="1">
      <c r="A36" s="1733">
        <v>26</v>
      </c>
      <c r="B36" s="1734"/>
      <c r="C36" s="1735" t="s">
        <v>3195</v>
      </c>
      <c r="D36" s="1736" t="s">
        <v>2552</v>
      </c>
      <c r="E36" s="1736" t="s">
        <v>2553</v>
      </c>
      <c r="F36" s="1736" t="s">
        <v>2553</v>
      </c>
      <c r="G36" s="1736" t="s">
        <v>2553</v>
      </c>
      <c r="H36" s="1736" t="s">
        <v>2553</v>
      </c>
      <c r="I36" s="1736" t="s">
        <v>2553</v>
      </c>
      <c r="J36" s="1736" t="s">
        <v>2553</v>
      </c>
      <c r="K36" s="1736"/>
      <c r="L36" s="1736"/>
      <c r="M36" s="1736"/>
      <c r="N36" s="1736" t="s">
        <v>2553</v>
      </c>
      <c r="O36" s="1736"/>
      <c r="P36" s="1736"/>
      <c r="Q36" s="1736"/>
      <c r="R36" s="1736"/>
      <c r="S36" s="1736"/>
      <c r="T36" s="1736"/>
      <c r="U36" s="1736"/>
      <c r="V36" s="1736" t="s">
        <v>2553</v>
      </c>
      <c r="W36" s="1736" t="s">
        <v>2553</v>
      </c>
      <c r="X36" s="1736" t="s">
        <v>2553</v>
      </c>
      <c r="Y36" s="1736" t="s">
        <v>2552</v>
      </c>
      <c r="Z36" s="1736" t="s">
        <v>2553</v>
      </c>
      <c r="AA36" s="1736" t="s">
        <v>2553</v>
      </c>
      <c r="AB36" s="1736" t="s">
        <v>2553</v>
      </c>
      <c r="AC36" s="1736" t="s">
        <v>2553</v>
      </c>
      <c r="AD36" s="1736" t="s">
        <v>2553</v>
      </c>
      <c r="AE36" s="1731" t="s">
        <v>2553</v>
      </c>
      <c r="AF36" s="1731" t="s">
        <v>2552</v>
      </c>
      <c r="AG36" s="1731" t="s">
        <v>2553</v>
      </c>
      <c r="AH36" s="1731"/>
      <c r="AI36" s="1737">
        <f t="shared" si="0"/>
        <v>17</v>
      </c>
      <c r="AJ36" s="1737">
        <f t="shared" si="1"/>
        <v>3</v>
      </c>
      <c r="AK36" s="1737">
        <f t="shared" si="2"/>
        <v>0</v>
      </c>
      <c r="AL36" s="1737">
        <f t="shared" si="3"/>
        <v>0</v>
      </c>
      <c r="AM36" s="1737">
        <f t="shared" si="4"/>
        <v>0</v>
      </c>
      <c r="AN36" s="1737">
        <f t="shared" si="5"/>
        <v>0</v>
      </c>
      <c r="AO36" s="1737">
        <f t="shared" si="6"/>
        <v>20</v>
      </c>
      <c r="AP36" s="1734"/>
    </row>
    <row r="37" spans="1:45" ht="18.75" customHeight="1">
      <c r="A37" s="1733">
        <v>27</v>
      </c>
      <c r="B37" s="1734"/>
      <c r="C37" s="1735" t="s">
        <v>3196</v>
      </c>
      <c r="D37" s="1736" t="s">
        <v>2552</v>
      </c>
      <c r="E37" s="1736" t="s">
        <v>2553</v>
      </c>
      <c r="F37" s="1736" t="s">
        <v>2553</v>
      </c>
      <c r="G37" s="1736" t="s">
        <v>2553</v>
      </c>
      <c r="H37" s="1736" t="s">
        <v>2553</v>
      </c>
      <c r="I37" s="1736" t="s">
        <v>2553</v>
      </c>
      <c r="J37" s="1736"/>
      <c r="K37" s="1736" t="s">
        <v>2552</v>
      </c>
      <c r="L37" s="1736" t="s">
        <v>2553</v>
      </c>
      <c r="M37" s="1736" t="s">
        <v>2553</v>
      </c>
      <c r="N37" s="1736" t="s">
        <v>2553</v>
      </c>
      <c r="O37" s="1736"/>
      <c r="P37" s="1736" t="s">
        <v>2553</v>
      </c>
      <c r="Q37" s="1736" t="s">
        <v>2553</v>
      </c>
      <c r="R37" s="1736" t="s">
        <v>2552</v>
      </c>
      <c r="S37" s="1736" t="s">
        <v>2553</v>
      </c>
      <c r="T37" s="1736" t="s">
        <v>2553</v>
      </c>
      <c r="U37" s="1736" t="s">
        <v>2553</v>
      </c>
      <c r="V37" s="1736" t="s">
        <v>2553</v>
      </c>
      <c r="W37" s="1736" t="s">
        <v>2553</v>
      </c>
      <c r="X37" s="1736" t="s">
        <v>2553</v>
      </c>
      <c r="Y37" s="1736" t="s">
        <v>2552</v>
      </c>
      <c r="Z37" s="1736" t="s">
        <v>2553</v>
      </c>
      <c r="AA37" s="1736" t="s">
        <v>2553</v>
      </c>
      <c r="AB37" s="1736" t="s">
        <v>2553</v>
      </c>
      <c r="AC37" s="1736" t="s">
        <v>2553</v>
      </c>
      <c r="AD37" s="1736" t="s">
        <v>2553</v>
      </c>
      <c r="AE37" s="1731" t="s">
        <v>2553</v>
      </c>
      <c r="AF37" s="1731" t="s">
        <v>2552</v>
      </c>
      <c r="AG37" s="1731" t="s">
        <v>2553</v>
      </c>
      <c r="AH37" s="1731"/>
      <c r="AI37" s="1737">
        <f t="shared" si="0"/>
        <v>23</v>
      </c>
      <c r="AJ37" s="1737">
        <f t="shared" si="1"/>
        <v>5</v>
      </c>
      <c r="AK37" s="1737">
        <f t="shared" si="2"/>
        <v>0</v>
      </c>
      <c r="AL37" s="1737">
        <f t="shared" si="3"/>
        <v>0</v>
      </c>
      <c r="AM37" s="1737">
        <f t="shared" si="4"/>
        <v>0</v>
      </c>
      <c r="AN37" s="1737">
        <f t="shared" si="5"/>
        <v>0</v>
      </c>
      <c r="AO37" s="1737">
        <f t="shared" si="6"/>
        <v>28</v>
      </c>
      <c r="AP37" s="1734"/>
    </row>
    <row r="38" spans="1:45" ht="18.75" customHeight="1">
      <c r="A38" s="1733">
        <v>28</v>
      </c>
      <c r="B38" s="1734"/>
      <c r="C38" s="1735" t="s">
        <v>3197</v>
      </c>
      <c r="D38" s="1736" t="s">
        <v>2552</v>
      </c>
      <c r="E38" s="1736" t="s">
        <v>2553</v>
      </c>
      <c r="F38" s="1736" t="s">
        <v>2553</v>
      </c>
      <c r="G38" s="1736" t="s">
        <v>2553</v>
      </c>
      <c r="H38" s="1736" t="s">
        <v>2553</v>
      </c>
      <c r="I38" s="1736" t="s">
        <v>2553</v>
      </c>
      <c r="J38" s="1736" t="s">
        <v>2553</v>
      </c>
      <c r="K38" s="1736" t="s">
        <v>2552</v>
      </c>
      <c r="L38" s="1736" t="s">
        <v>2553</v>
      </c>
      <c r="M38" s="1736" t="s">
        <v>2553</v>
      </c>
      <c r="N38" s="1736" t="s">
        <v>2553</v>
      </c>
      <c r="O38" s="1736"/>
      <c r="P38" s="1736" t="s">
        <v>2553</v>
      </c>
      <c r="Q38" s="1736" t="s">
        <v>2553</v>
      </c>
      <c r="R38" s="1736" t="s">
        <v>2552</v>
      </c>
      <c r="S38" s="1736" t="s">
        <v>2553</v>
      </c>
      <c r="T38" s="1736" t="s">
        <v>2553</v>
      </c>
      <c r="U38" s="1736" t="s">
        <v>2553</v>
      </c>
      <c r="V38" s="1736" t="s">
        <v>2553</v>
      </c>
      <c r="W38" s="1736" t="s">
        <v>2553</v>
      </c>
      <c r="X38" s="1736" t="s">
        <v>2553</v>
      </c>
      <c r="Y38" s="1736" t="s">
        <v>2552</v>
      </c>
      <c r="Z38" s="1736" t="s">
        <v>2553</v>
      </c>
      <c r="AA38" s="1736" t="s">
        <v>2553</v>
      </c>
      <c r="AB38" s="1736" t="s">
        <v>2553</v>
      </c>
      <c r="AC38" s="1736" t="s">
        <v>2553</v>
      </c>
      <c r="AD38" s="1736" t="s">
        <v>2553</v>
      </c>
      <c r="AE38" s="1731" t="s">
        <v>2553</v>
      </c>
      <c r="AF38" s="1731" t="s">
        <v>2552</v>
      </c>
      <c r="AG38" s="1731" t="s">
        <v>2553</v>
      </c>
      <c r="AH38" s="1731"/>
      <c r="AI38" s="1737">
        <f t="shared" si="0"/>
        <v>24</v>
      </c>
      <c r="AJ38" s="1737">
        <f t="shared" si="1"/>
        <v>5</v>
      </c>
      <c r="AK38" s="1737">
        <f t="shared" si="2"/>
        <v>0</v>
      </c>
      <c r="AL38" s="1737">
        <f t="shared" si="3"/>
        <v>0</v>
      </c>
      <c r="AM38" s="1737">
        <f t="shared" si="4"/>
        <v>0</v>
      </c>
      <c r="AN38" s="1737">
        <f t="shared" si="5"/>
        <v>0</v>
      </c>
      <c r="AO38" s="1737">
        <f t="shared" si="6"/>
        <v>29</v>
      </c>
      <c r="AP38" s="1734"/>
    </row>
    <row r="39" spans="1:45" ht="18.75" customHeight="1">
      <c r="A39" s="1733">
        <v>29</v>
      </c>
      <c r="B39" s="1734"/>
      <c r="C39" s="1735" t="s">
        <v>3198</v>
      </c>
      <c r="D39" s="1736" t="s">
        <v>2552</v>
      </c>
      <c r="E39" s="1736" t="s">
        <v>2553</v>
      </c>
      <c r="F39" s="1736" t="s">
        <v>2553</v>
      </c>
      <c r="G39" s="1736" t="s">
        <v>2553</v>
      </c>
      <c r="H39" s="1736" t="s">
        <v>2553</v>
      </c>
      <c r="I39" s="1736" t="s">
        <v>2553</v>
      </c>
      <c r="J39" s="1736" t="s">
        <v>2553</v>
      </c>
      <c r="K39" s="1736" t="s">
        <v>2552</v>
      </c>
      <c r="L39" s="1736" t="s">
        <v>2553</v>
      </c>
      <c r="M39" s="1736" t="s">
        <v>2553</v>
      </c>
      <c r="N39" s="1736" t="s">
        <v>2553</v>
      </c>
      <c r="O39" s="1736"/>
      <c r="P39" s="1736" t="s">
        <v>2553</v>
      </c>
      <c r="Q39" s="1736" t="s">
        <v>2553</v>
      </c>
      <c r="R39" s="1736" t="s">
        <v>2552</v>
      </c>
      <c r="S39" s="1736" t="s">
        <v>2553</v>
      </c>
      <c r="T39" s="1736" t="s">
        <v>2553</v>
      </c>
      <c r="U39" s="1736"/>
      <c r="V39" s="1736" t="s">
        <v>2553</v>
      </c>
      <c r="W39" s="1736" t="s">
        <v>2553</v>
      </c>
      <c r="X39" s="1736" t="s">
        <v>2553</v>
      </c>
      <c r="Y39" s="1736" t="s">
        <v>2552</v>
      </c>
      <c r="Z39" s="1736" t="s">
        <v>2553</v>
      </c>
      <c r="AA39" s="1736" t="s">
        <v>2553</v>
      </c>
      <c r="AB39" s="1736" t="s">
        <v>2553</v>
      </c>
      <c r="AC39" s="1736" t="s">
        <v>2553</v>
      </c>
      <c r="AD39" s="1736" t="s">
        <v>2553</v>
      </c>
      <c r="AE39" s="1731" t="s">
        <v>2553</v>
      </c>
      <c r="AF39" s="1731" t="s">
        <v>2552</v>
      </c>
      <c r="AG39" s="1731" t="s">
        <v>2553</v>
      </c>
      <c r="AH39" s="1731"/>
      <c r="AI39" s="1737">
        <f t="shared" si="0"/>
        <v>23</v>
      </c>
      <c r="AJ39" s="1737">
        <f t="shared" si="1"/>
        <v>5</v>
      </c>
      <c r="AK39" s="1737">
        <f t="shared" si="2"/>
        <v>0</v>
      </c>
      <c r="AL39" s="1737">
        <f t="shared" si="3"/>
        <v>0</v>
      </c>
      <c r="AM39" s="1737">
        <f t="shared" si="4"/>
        <v>0</v>
      </c>
      <c r="AN39" s="1737">
        <f t="shared" si="5"/>
        <v>0</v>
      </c>
      <c r="AO39" s="1737">
        <f t="shared" si="6"/>
        <v>28</v>
      </c>
      <c r="AP39" s="1734"/>
    </row>
    <row r="40" spans="1:45" ht="18.75" customHeight="1">
      <c r="A40" s="1733">
        <v>30</v>
      </c>
      <c r="B40" s="1734"/>
      <c r="C40" s="1735" t="s">
        <v>3199</v>
      </c>
      <c r="D40" s="1736" t="s">
        <v>2552</v>
      </c>
      <c r="E40" s="1736" t="s">
        <v>2553</v>
      </c>
      <c r="F40" s="1736" t="s">
        <v>2553</v>
      </c>
      <c r="G40" s="1736" t="s">
        <v>2553</v>
      </c>
      <c r="H40" s="1736" t="s">
        <v>2553</v>
      </c>
      <c r="I40" s="1736" t="s">
        <v>2553</v>
      </c>
      <c r="J40" s="1736" t="s">
        <v>2553</v>
      </c>
      <c r="K40" s="1736" t="s">
        <v>2552</v>
      </c>
      <c r="L40" s="1736" t="s">
        <v>2553</v>
      </c>
      <c r="M40" s="1736" t="s">
        <v>2553</v>
      </c>
      <c r="N40" s="1736" t="s">
        <v>2553</v>
      </c>
      <c r="O40" s="1736" t="s">
        <v>2553</v>
      </c>
      <c r="P40" s="1736"/>
      <c r="Q40" s="1736" t="s">
        <v>2553</v>
      </c>
      <c r="R40" s="1736" t="s">
        <v>2552</v>
      </c>
      <c r="S40" s="1736" t="s">
        <v>2553</v>
      </c>
      <c r="T40" s="1736" t="s">
        <v>2553</v>
      </c>
      <c r="U40" s="1736" t="s">
        <v>2553</v>
      </c>
      <c r="V40" s="1736" t="s">
        <v>2553</v>
      </c>
      <c r="W40" s="1736" t="s">
        <v>2553</v>
      </c>
      <c r="X40" s="1736" t="s">
        <v>2553</v>
      </c>
      <c r="Y40" s="1736" t="s">
        <v>2552</v>
      </c>
      <c r="Z40" s="1736" t="s">
        <v>2553</v>
      </c>
      <c r="AA40" s="1736" t="s">
        <v>2553</v>
      </c>
      <c r="AB40" s="1736" t="s">
        <v>2553</v>
      </c>
      <c r="AC40" s="1736" t="s">
        <v>2553</v>
      </c>
      <c r="AD40" s="1736" t="s">
        <v>2553</v>
      </c>
      <c r="AE40" s="1731" t="s">
        <v>2553</v>
      </c>
      <c r="AF40" s="1731" t="s">
        <v>2552</v>
      </c>
      <c r="AG40" s="1731" t="s">
        <v>2553</v>
      </c>
      <c r="AH40" s="1731"/>
      <c r="AI40" s="1737">
        <f t="shared" si="0"/>
        <v>24</v>
      </c>
      <c r="AJ40" s="1737">
        <f t="shared" si="1"/>
        <v>5</v>
      </c>
      <c r="AK40" s="1737">
        <f t="shared" si="2"/>
        <v>0</v>
      </c>
      <c r="AL40" s="1737">
        <f t="shared" si="3"/>
        <v>0</v>
      </c>
      <c r="AM40" s="1737">
        <f t="shared" si="4"/>
        <v>0</v>
      </c>
      <c r="AN40" s="1737">
        <f t="shared" si="5"/>
        <v>0</v>
      </c>
      <c r="AO40" s="1737">
        <f t="shared" si="6"/>
        <v>29</v>
      </c>
      <c r="AP40" s="1734"/>
    </row>
    <row r="41" spans="1:45" ht="18.75" customHeight="1">
      <c r="A41" s="1733">
        <v>31</v>
      </c>
      <c r="B41" s="1734"/>
      <c r="C41" s="1735" t="s">
        <v>3200</v>
      </c>
      <c r="D41" s="1736" t="s">
        <v>2552</v>
      </c>
      <c r="E41" s="1736" t="s">
        <v>2553</v>
      </c>
      <c r="F41" s="1736" t="s">
        <v>2553</v>
      </c>
      <c r="G41" s="1736" t="s">
        <v>2553</v>
      </c>
      <c r="H41" s="1736" t="s">
        <v>2553</v>
      </c>
      <c r="I41" s="1736" t="s">
        <v>2553</v>
      </c>
      <c r="J41" s="1736" t="s">
        <v>2553</v>
      </c>
      <c r="K41" s="1736" t="s">
        <v>2552</v>
      </c>
      <c r="L41" s="1736" t="s">
        <v>2553</v>
      </c>
      <c r="M41" s="1736" t="s">
        <v>2553</v>
      </c>
      <c r="N41" s="1736" t="s">
        <v>2553</v>
      </c>
      <c r="O41" s="1736" t="s">
        <v>2553</v>
      </c>
      <c r="P41" s="1736"/>
      <c r="Q41" s="1736" t="s">
        <v>2553</v>
      </c>
      <c r="R41" s="1736" t="s">
        <v>2552</v>
      </c>
      <c r="S41" s="1736" t="s">
        <v>2553</v>
      </c>
      <c r="T41" s="1736" t="s">
        <v>2553</v>
      </c>
      <c r="U41" s="1736" t="s">
        <v>2553</v>
      </c>
      <c r="V41" s="1736" t="s">
        <v>2553</v>
      </c>
      <c r="W41" s="1736" t="s">
        <v>2553</v>
      </c>
      <c r="X41" s="1736" t="s">
        <v>2553</v>
      </c>
      <c r="Y41" s="1736" t="s">
        <v>2552</v>
      </c>
      <c r="Z41" s="1736" t="s">
        <v>2553</v>
      </c>
      <c r="AA41" s="1736" t="s">
        <v>2553</v>
      </c>
      <c r="AB41" s="1736" t="s">
        <v>2553</v>
      </c>
      <c r="AC41" s="1736" t="s">
        <v>2553</v>
      </c>
      <c r="AD41" s="1736" t="s">
        <v>2553</v>
      </c>
      <c r="AE41" s="1731" t="s">
        <v>2553</v>
      </c>
      <c r="AF41" s="1731" t="s">
        <v>2552</v>
      </c>
      <c r="AG41" s="1731" t="s">
        <v>2553</v>
      </c>
      <c r="AH41" s="1731"/>
      <c r="AI41" s="1737">
        <f t="shared" si="0"/>
        <v>24</v>
      </c>
      <c r="AJ41" s="1737">
        <f t="shared" si="1"/>
        <v>5</v>
      </c>
      <c r="AK41" s="1737">
        <f t="shared" si="2"/>
        <v>0</v>
      </c>
      <c r="AL41" s="1737">
        <f t="shared" si="3"/>
        <v>0</v>
      </c>
      <c r="AM41" s="1737">
        <f t="shared" si="4"/>
        <v>0</v>
      </c>
      <c r="AN41" s="1737">
        <f t="shared" si="5"/>
        <v>0</v>
      </c>
      <c r="AO41" s="1737">
        <f t="shared" si="6"/>
        <v>29</v>
      </c>
      <c r="AP41" s="1734"/>
    </row>
    <row r="42" spans="1:45" ht="18.75" customHeight="1">
      <c r="A42" s="1733">
        <v>32</v>
      </c>
      <c r="B42" s="1734"/>
      <c r="C42" s="1735" t="s">
        <v>3201</v>
      </c>
      <c r="D42" s="1736" t="s">
        <v>2552</v>
      </c>
      <c r="E42" s="1736" t="s">
        <v>2553</v>
      </c>
      <c r="F42" s="1736" t="s">
        <v>2553</v>
      </c>
      <c r="G42" s="1736" t="s">
        <v>2553</v>
      </c>
      <c r="H42" s="1736" t="s">
        <v>2553</v>
      </c>
      <c r="I42" s="1736" t="s">
        <v>2553</v>
      </c>
      <c r="J42" s="1736" t="s">
        <v>2553</v>
      </c>
      <c r="K42" s="1736"/>
      <c r="L42" s="1736"/>
      <c r="M42" s="1736"/>
      <c r="N42" s="1736"/>
      <c r="O42" s="1736"/>
      <c r="P42" s="1736"/>
      <c r="Q42" s="1736"/>
      <c r="R42" s="1736"/>
      <c r="S42" s="1736"/>
      <c r="T42" s="1736"/>
      <c r="U42" s="1736"/>
      <c r="V42" s="1736" t="s">
        <v>2553</v>
      </c>
      <c r="W42" s="1736" t="s">
        <v>2553</v>
      </c>
      <c r="X42" s="1736" t="s">
        <v>2553</v>
      </c>
      <c r="Y42" s="1736" t="s">
        <v>2552</v>
      </c>
      <c r="Z42" s="1736" t="s">
        <v>2553</v>
      </c>
      <c r="AA42" s="1736" t="s">
        <v>2553</v>
      </c>
      <c r="AB42" s="1736" t="s">
        <v>2553</v>
      </c>
      <c r="AC42" s="1736" t="s">
        <v>2553</v>
      </c>
      <c r="AD42" s="1736" t="s">
        <v>2553</v>
      </c>
      <c r="AE42" s="1731" t="s">
        <v>2553</v>
      </c>
      <c r="AF42" s="1731" t="s">
        <v>2552</v>
      </c>
      <c r="AG42" s="1731" t="s">
        <v>2553</v>
      </c>
      <c r="AH42" s="1731"/>
      <c r="AI42" s="1737">
        <f t="shared" si="0"/>
        <v>16</v>
      </c>
      <c r="AJ42" s="1737">
        <f t="shared" si="1"/>
        <v>3</v>
      </c>
      <c r="AK42" s="1737">
        <f t="shared" si="2"/>
        <v>0</v>
      </c>
      <c r="AL42" s="1737">
        <f t="shared" si="3"/>
        <v>0</v>
      </c>
      <c r="AM42" s="1737">
        <f t="shared" si="4"/>
        <v>0</v>
      </c>
      <c r="AN42" s="1737">
        <f t="shared" si="5"/>
        <v>0</v>
      </c>
      <c r="AO42" s="1737">
        <f t="shared" si="6"/>
        <v>19</v>
      </c>
      <c r="AP42" s="1734"/>
    </row>
    <row r="43" spans="1:45" ht="18.75" customHeight="1">
      <c r="A43" s="1733">
        <v>33</v>
      </c>
      <c r="B43" s="1734"/>
      <c r="C43" s="1735" t="s">
        <v>3202</v>
      </c>
      <c r="D43" s="1736"/>
      <c r="E43" s="1736"/>
      <c r="F43" s="1736"/>
      <c r="G43" s="1736"/>
      <c r="H43" s="1736"/>
      <c r="I43" s="1736" t="s">
        <v>2553</v>
      </c>
      <c r="J43" s="1736" t="s">
        <v>2553</v>
      </c>
      <c r="K43" s="1736" t="s">
        <v>2552</v>
      </c>
      <c r="L43" s="1736" t="s">
        <v>2553</v>
      </c>
      <c r="M43" s="1736" t="s">
        <v>2553</v>
      </c>
      <c r="N43" s="1736" t="s">
        <v>2553</v>
      </c>
      <c r="O43" s="1736"/>
      <c r="P43" s="1736" t="s">
        <v>2553</v>
      </c>
      <c r="Q43" s="1736"/>
      <c r="R43" s="1736"/>
      <c r="S43" s="1736"/>
      <c r="T43" s="1736"/>
      <c r="U43" s="1736"/>
      <c r="V43" s="1736" t="s">
        <v>2553</v>
      </c>
      <c r="W43" s="1736" t="s">
        <v>2553</v>
      </c>
      <c r="X43" s="1736" t="s">
        <v>2553</v>
      </c>
      <c r="Y43" s="1736" t="s">
        <v>2552</v>
      </c>
      <c r="Z43" s="1736" t="s">
        <v>2553</v>
      </c>
      <c r="AA43" s="1736" t="s">
        <v>2553</v>
      </c>
      <c r="AB43" s="1736" t="s">
        <v>2553</v>
      </c>
      <c r="AC43" s="1736" t="s">
        <v>2553</v>
      </c>
      <c r="AD43" s="1736" t="s">
        <v>2553</v>
      </c>
      <c r="AE43" s="1731" t="s">
        <v>2553</v>
      </c>
      <c r="AF43" s="1736" t="s">
        <v>2552</v>
      </c>
      <c r="AG43" s="1731" t="s">
        <v>2553</v>
      </c>
      <c r="AH43" s="1731"/>
      <c r="AI43" s="1737">
        <f t="shared" si="0"/>
        <v>16</v>
      </c>
      <c r="AJ43" s="1737">
        <f t="shared" si="1"/>
        <v>3</v>
      </c>
      <c r="AK43" s="1737">
        <f t="shared" si="2"/>
        <v>0</v>
      </c>
      <c r="AL43" s="1737">
        <f t="shared" si="3"/>
        <v>0</v>
      </c>
      <c r="AM43" s="1737">
        <f t="shared" si="4"/>
        <v>0</v>
      </c>
      <c r="AN43" s="1737">
        <f t="shared" si="5"/>
        <v>0</v>
      </c>
      <c r="AO43" s="1737">
        <f t="shared" si="6"/>
        <v>19</v>
      </c>
      <c r="AP43" s="1734"/>
    </row>
    <row r="44" spans="1:45" ht="18.75" customHeight="1">
      <c r="A44" s="1733">
        <v>34</v>
      </c>
      <c r="B44" s="1734"/>
      <c r="C44" s="1735" t="s">
        <v>3203</v>
      </c>
      <c r="D44" s="1736" t="s">
        <v>2552</v>
      </c>
      <c r="E44" s="1736" t="s">
        <v>2553</v>
      </c>
      <c r="F44" s="1736" t="s">
        <v>2553</v>
      </c>
      <c r="G44" s="1736" t="s">
        <v>2553</v>
      </c>
      <c r="H44" s="1736" t="s">
        <v>2553</v>
      </c>
      <c r="I44" s="1736" t="s">
        <v>2553</v>
      </c>
      <c r="J44" s="1736" t="s">
        <v>2553</v>
      </c>
      <c r="K44" s="1736" t="s">
        <v>2552</v>
      </c>
      <c r="L44" s="1736" t="s">
        <v>2553</v>
      </c>
      <c r="M44" s="1736" t="s">
        <v>2553</v>
      </c>
      <c r="N44" s="1736" t="s">
        <v>2553</v>
      </c>
      <c r="O44" s="1736"/>
      <c r="P44" s="1736" t="s">
        <v>2553</v>
      </c>
      <c r="Q44" s="1736" t="s">
        <v>2553</v>
      </c>
      <c r="R44" s="1736" t="s">
        <v>2552</v>
      </c>
      <c r="S44" s="1736" t="s">
        <v>2553</v>
      </c>
      <c r="T44" s="1736"/>
      <c r="U44" s="1736" t="s">
        <v>2553</v>
      </c>
      <c r="V44" s="1736" t="s">
        <v>2553</v>
      </c>
      <c r="W44" s="1736" t="s">
        <v>2553</v>
      </c>
      <c r="X44" s="1736" t="s">
        <v>2553</v>
      </c>
      <c r="Y44" s="1736" t="s">
        <v>2552</v>
      </c>
      <c r="Z44" s="1736" t="s">
        <v>2553</v>
      </c>
      <c r="AA44" s="1736" t="s">
        <v>2553</v>
      </c>
      <c r="AB44" s="1736" t="s">
        <v>2553</v>
      </c>
      <c r="AC44" s="1736" t="s">
        <v>2553</v>
      </c>
      <c r="AD44" s="1736" t="s">
        <v>2553</v>
      </c>
      <c r="AE44" s="1731" t="s">
        <v>2553</v>
      </c>
      <c r="AF44" s="1731" t="s">
        <v>2552</v>
      </c>
      <c r="AG44" s="1731" t="s">
        <v>2553</v>
      </c>
      <c r="AH44" s="1731"/>
      <c r="AI44" s="1737">
        <f t="shared" si="0"/>
        <v>23</v>
      </c>
      <c r="AJ44" s="1737">
        <f t="shared" si="1"/>
        <v>5</v>
      </c>
      <c r="AK44" s="1737">
        <f t="shared" si="2"/>
        <v>0</v>
      </c>
      <c r="AL44" s="1737">
        <f t="shared" si="3"/>
        <v>0</v>
      </c>
      <c r="AM44" s="1737">
        <f t="shared" si="4"/>
        <v>0</v>
      </c>
      <c r="AN44" s="1737">
        <f t="shared" si="5"/>
        <v>0</v>
      </c>
      <c r="AO44" s="1737">
        <f t="shared" si="6"/>
        <v>28</v>
      </c>
      <c r="AP44" s="1734"/>
    </row>
    <row r="45" spans="1:45" ht="18.75" customHeight="1">
      <c r="A45" s="1733">
        <v>35</v>
      </c>
      <c r="B45" s="1734"/>
      <c r="C45" s="1735" t="s">
        <v>3204</v>
      </c>
      <c r="D45" s="1736"/>
      <c r="E45" s="1736"/>
      <c r="F45" s="1736"/>
      <c r="G45" s="1736"/>
      <c r="H45" s="1736"/>
      <c r="I45" s="1736"/>
      <c r="J45" s="1736" t="s">
        <v>2553</v>
      </c>
      <c r="K45" s="1736"/>
      <c r="L45" s="1736"/>
      <c r="M45" s="1736" t="s">
        <v>2553</v>
      </c>
      <c r="N45" s="1736" t="s">
        <v>2553</v>
      </c>
      <c r="O45" s="1736"/>
      <c r="P45" s="1736" t="s">
        <v>2553</v>
      </c>
      <c r="Q45" s="1736" t="s">
        <v>2553</v>
      </c>
      <c r="R45" s="1736" t="s">
        <v>2552</v>
      </c>
      <c r="S45" s="1736" t="s">
        <v>2553</v>
      </c>
      <c r="T45" s="1736"/>
      <c r="U45" s="1736" t="s">
        <v>2553</v>
      </c>
      <c r="V45" s="1736" t="s">
        <v>2553</v>
      </c>
      <c r="W45" s="1736" t="s">
        <v>2553</v>
      </c>
      <c r="X45" s="1736"/>
      <c r="Y45" s="1736"/>
      <c r="Z45" s="1736" t="s">
        <v>2553</v>
      </c>
      <c r="AA45" s="1736" t="s">
        <v>2553</v>
      </c>
      <c r="AB45" s="1736"/>
      <c r="AC45" s="1736"/>
      <c r="AD45" s="1736" t="s">
        <v>2553</v>
      </c>
      <c r="AE45" s="1736" t="s">
        <v>2553</v>
      </c>
      <c r="AF45" s="1731"/>
      <c r="AG45" s="1731"/>
      <c r="AH45" s="1731"/>
      <c r="AI45" s="1737">
        <f t="shared" si="0"/>
        <v>13</v>
      </c>
      <c r="AJ45" s="1737">
        <f t="shared" si="1"/>
        <v>1</v>
      </c>
      <c r="AK45" s="1737">
        <f t="shared" si="2"/>
        <v>0</v>
      </c>
      <c r="AL45" s="1737">
        <f>COUNTIF(D45:AH45,"dcn")</f>
        <v>0</v>
      </c>
      <c r="AM45" s="1737">
        <f t="shared" si="4"/>
        <v>0</v>
      </c>
      <c r="AN45" s="1737">
        <f t="shared" si="5"/>
        <v>0</v>
      </c>
      <c r="AO45" s="1737">
        <f t="shared" si="6"/>
        <v>14</v>
      </c>
      <c r="AP45" s="1734"/>
      <c r="AQ45" s="1738">
        <f>SUM(AO11:AO45)</f>
        <v>933</v>
      </c>
      <c r="AR45" s="1692" t="s">
        <v>3354</v>
      </c>
      <c r="AS45" s="1692"/>
    </row>
    <row r="46" spans="1:45" ht="18.75" customHeight="1">
      <c r="A46" s="1733">
        <v>36</v>
      </c>
      <c r="B46" s="1733">
        <v>1</v>
      </c>
      <c r="C46" s="1739" t="s">
        <v>3205</v>
      </c>
      <c r="D46" s="1740" t="s">
        <v>2552</v>
      </c>
      <c r="E46" s="1740" t="s">
        <v>2553</v>
      </c>
      <c r="F46" s="1740" t="s">
        <v>2553</v>
      </c>
      <c r="G46" s="1740" t="s">
        <v>2553</v>
      </c>
      <c r="H46" s="1740" t="s">
        <v>2553</v>
      </c>
      <c r="I46" s="1740" t="s">
        <v>2553</v>
      </c>
      <c r="J46" s="1740" t="s">
        <v>2553</v>
      </c>
      <c r="K46" s="1740" t="s">
        <v>2552</v>
      </c>
      <c r="L46" s="1740" t="s">
        <v>2553</v>
      </c>
      <c r="M46" s="1740" t="s">
        <v>2553</v>
      </c>
      <c r="N46" s="1740" t="s">
        <v>2553</v>
      </c>
      <c r="O46" s="1740"/>
      <c r="P46" s="1740" t="s">
        <v>2553</v>
      </c>
      <c r="Q46" s="1740" t="s">
        <v>2553</v>
      </c>
      <c r="R46" s="1740" t="s">
        <v>2552</v>
      </c>
      <c r="S46" s="1740" t="s">
        <v>2553</v>
      </c>
      <c r="T46" s="1740" t="s">
        <v>2553</v>
      </c>
      <c r="U46" s="1740" t="s">
        <v>2553</v>
      </c>
      <c r="V46" s="1740" t="s">
        <v>2553</v>
      </c>
      <c r="W46" s="1740" t="s">
        <v>2553</v>
      </c>
      <c r="X46" s="1740" t="s">
        <v>2553</v>
      </c>
      <c r="Y46" s="1740" t="s">
        <v>2552</v>
      </c>
      <c r="Z46" s="1740" t="s">
        <v>2553</v>
      </c>
      <c r="AA46" s="1740" t="s">
        <v>2553</v>
      </c>
      <c r="AB46" s="1740" t="s">
        <v>2553</v>
      </c>
      <c r="AC46" s="1740" t="s">
        <v>2553</v>
      </c>
      <c r="AD46" s="1740" t="s">
        <v>2553</v>
      </c>
      <c r="AE46" s="1740" t="s">
        <v>2553</v>
      </c>
      <c r="AF46" s="1740" t="s">
        <v>3320</v>
      </c>
      <c r="AG46" s="1740" t="s">
        <v>2553</v>
      </c>
      <c r="AH46" s="1740"/>
      <c r="AI46" s="1737">
        <f t="shared" si="0"/>
        <v>24</v>
      </c>
      <c r="AJ46" s="1737">
        <f t="shared" ref="AJ46:AJ88" si="7">SUM(COUNTIF(D46:AH46,"cn"))</f>
        <v>4</v>
      </c>
      <c r="AK46" s="1737">
        <f t="shared" ref="AK46:AK88" si="8">SUM(COUNTIF(D46:AH46,"đ"))</f>
        <v>0</v>
      </c>
      <c r="AL46" s="1737">
        <f>COUNTIF(D46:AH46,"đc")</f>
        <v>1</v>
      </c>
      <c r="AM46" s="1737">
        <f t="shared" si="4"/>
        <v>0</v>
      </c>
      <c r="AN46" s="1737">
        <f t="shared" si="5"/>
        <v>0</v>
      </c>
      <c r="AO46" s="1737">
        <f t="shared" si="6"/>
        <v>29</v>
      </c>
      <c r="AP46" s="1734"/>
      <c r="AQ46" s="1738">
        <f>SUM(AO46:AO88)</f>
        <v>1247</v>
      </c>
      <c r="AR46" s="1692" t="s">
        <v>3355</v>
      </c>
      <c r="AS46" s="1692"/>
    </row>
    <row r="47" spans="1:45" ht="18.75" customHeight="1">
      <c r="A47" s="1733">
        <v>37</v>
      </c>
      <c r="B47" s="1733">
        <v>2</v>
      </c>
      <c r="C47" s="1739" t="s">
        <v>3206</v>
      </c>
      <c r="D47" s="1740" t="s">
        <v>2552</v>
      </c>
      <c r="E47" s="1740" t="s">
        <v>2553</v>
      </c>
      <c r="F47" s="1740" t="s">
        <v>2553</v>
      </c>
      <c r="G47" s="1740" t="s">
        <v>2553</v>
      </c>
      <c r="H47" s="1740" t="s">
        <v>2553</v>
      </c>
      <c r="I47" s="1740" t="s">
        <v>2553</v>
      </c>
      <c r="J47" s="1740" t="s">
        <v>2553</v>
      </c>
      <c r="K47" s="1740" t="s">
        <v>2552</v>
      </c>
      <c r="L47" s="1740" t="s">
        <v>2553</v>
      </c>
      <c r="M47" s="1740" t="s">
        <v>2553</v>
      </c>
      <c r="N47" s="1740" t="s">
        <v>2553</v>
      </c>
      <c r="O47" s="1740"/>
      <c r="P47" s="1740" t="s">
        <v>2553</v>
      </c>
      <c r="Q47" s="1740" t="s">
        <v>2553</v>
      </c>
      <c r="R47" s="1740" t="s">
        <v>2552</v>
      </c>
      <c r="S47" s="1740" t="s">
        <v>2553</v>
      </c>
      <c r="T47" s="1740" t="s">
        <v>2553</v>
      </c>
      <c r="U47" s="1740" t="s">
        <v>2553</v>
      </c>
      <c r="V47" s="1740" t="s">
        <v>2553</v>
      </c>
      <c r="W47" s="1740" t="s">
        <v>2553</v>
      </c>
      <c r="X47" s="1740" t="s">
        <v>2553</v>
      </c>
      <c r="Y47" s="1740" t="s">
        <v>2552</v>
      </c>
      <c r="Z47" s="1740" t="s">
        <v>2553</v>
      </c>
      <c r="AA47" s="1740" t="s">
        <v>2553</v>
      </c>
      <c r="AB47" s="1740" t="s">
        <v>2553</v>
      </c>
      <c r="AC47" s="1740" t="s">
        <v>2553</v>
      </c>
      <c r="AD47" s="1740" t="s">
        <v>2553</v>
      </c>
      <c r="AE47" s="1740" t="s">
        <v>2553</v>
      </c>
      <c r="AF47" s="1740" t="s">
        <v>3320</v>
      </c>
      <c r="AG47" s="1740" t="s">
        <v>2553</v>
      </c>
      <c r="AH47" s="1740"/>
      <c r="AI47" s="1737">
        <f t="shared" si="0"/>
        <v>24</v>
      </c>
      <c r="AJ47" s="1737">
        <f t="shared" si="7"/>
        <v>4</v>
      </c>
      <c r="AK47" s="1737">
        <f t="shared" si="8"/>
        <v>0</v>
      </c>
      <c r="AL47" s="1737">
        <f t="shared" ref="AL47:AL88" si="9">COUNTIF(D47:AH47,"đc")</f>
        <v>1</v>
      </c>
      <c r="AM47" s="1737">
        <f t="shared" si="4"/>
        <v>0</v>
      </c>
      <c r="AN47" s="1737">
        <f t="shared" si="5"/>
        <v>0</v>
      </c>
      <c r="AO47" s="1737">
        <f t="shared" si="6"/>
        <v>29</v>
      </c>
      <c r="AP47" s="1734"/>
    </row>
    <row r="48" spans="1:45" ht="18.75" customHeight="1">
      <c r="A48" s="1733">
        <v>38</v>
      </c>
      <c r="B48" s="1733">
        <v>3</v>
      </c>
      <c r="C48" s="1739" t="s">
        <v>3207</v>
      </c>
      <c r="D48" s="1740" t="s">
        <v>2552</v>
      </c>
      <c r="E48" s="1740" t="s">
        <v>2553</v>
      </c>
      <c r="F48" s="1740" t="s">
        <v>2553</v>
      </c>
      <c r="G48" s="1740" t="s">
        <v>2553</v>
      </c>
      <c r="H48" s="1740" t="s">
        <v>2553</v>
      </c>
      <c r="I48" s="1740" t="s">
        <v>2553</v>
      </c>
      <c r="J48" s="1740" t="s">
        <v>2553</v>
      </c>
      <c r="K48" s="1740" t="s">
        <v>2552</v>
      </c>
      <c r="L48" s="1740" t="s">
        <v>2553</v>
      </c>
      <c r="M48" s="1740" t="s">
        <v>2553</v>
      </c>
      <c r="N48" s="1740" t="s">
        <v>2553</v>
      </c>
      <c r="O48" s="1740"/>
      <c r="P48" s="1740" t="s">
        <v>2553</v>
      </c>
      <c r="Q48" s="1740" t="s">
        <v>2553</v>
      </c>
      <c r="R48" s="1740" t="s">
        <v>2552</v>
      </c>
      <c r="S48" s="1740" t="s">
        <v>2553</v>
      </c>
      <c r="T48" s="1740" t="s">
        <v>2553</v>
      </c>
      <c r="U48" s="1740" t="s">
        <v>2553</v>
      </c>
      <c r="V48" s="1740" t="s">
        <v>2553</v>
      </c>
      <c r="W48" s="1740" t="s">
        <v>2553</v>
      </c>
      <c r="X48" s="1740" t="s">
        <v>2553</v>
      </c>
      <c r="Y48" s="1740" t="s">
        <v>2552</v>
      </c>
      <c r="Z48" s="1740" t="s">
        <v>2553</v>
      </c>
      <c r="AA48" s="1740" t="s">
        <v>2553</v>
      </c>
      <c r="AB48" s="1740" t="s">
        <v>2553</v>
      </c>
      <c r="AC48" s="1740" t="s">
        <v>2553</v>
      </c>
      <c r="AD48" s="1740" t="s">
        <v>2553</v>
      </c>
      <c r="AE48" s="1740" t="s">
        <v>2553</v>
      </c>
      <c r="AF48" s="1740" t="s">
        <v>3320</v>
      </c>
      <c r="AG48" s="1740" t="s">
        <v>2553</v>
      </c>
      <c r="AH48" s="1740"/>
      <c r="AI48" s="1737">
        <f t="shared" si="0"/>
        <v>24</v>
      </c>
      <c r="AJ48" s="1737">
        <f t="shared" si="7"/>
        <v>4</v>
      </c>
      <c r="AK48" s="1737">
        <f t="shared" si="8"/>
        <v>0</v>
      </c>
      <c r="AL48" s="1737">
        <f t="shared" si="9"/>
        <v>1</v>
      </c>
      <c r="AM48" s="1737">
        <f t="shared" si="4"/>
        <v>0</v>
      </c>
      <c r="AN48" s="1737">
        <f t="shared" si="5"/>
        <v>0</v>
      </c>
      <c r="AO48" s="1737">
        <f t="shared" si="6"/>
        <v>29</v>
      </c>
      <c r="AP48" s="1734"/>
    </row>
    <row r="49" spans="1:42" ht="18.75" customHeight="1">
      <c r="A49" s="1733">
        <v>39</v>
      </c>
      <c r="B49" s="1733">
        <v>4</v>
      </c>
      <c r="C49" s="1739" t="s">
        <v>3208</v>
      </c>
      <c r="D49" s="1740" t="s">
        <v>2552</v>
      </c>
      <c r="E49" s="1740" t="s">
        <v>2553</v>
      </c>
      <c r="F49" s="1740" t="s">
        <v>2553</v>
      </c>
      <c r="G49" s="1740" t="s">
        <v>2553</v>
      </c>
      <c r="H49" s="1740" t="s">
        <v>2553</v>
      </c>
      <c r="I49" s="1740" t="s">
        <v>2553</v>
      </c>
      <c r="J49" s="1740" t="s">
        <v>2553</v>
      </c>
      <c r="K49" s="1740" t="s">
        <v>2552</v>
      </c>
      <c r="L49" s="1740" t="s">
        <v>2553</v>
      </c>
      <c r="M49" s="1740" t="s">
        <v>2553</v>
      </c>
      <c r="N49" s="1740" t="s">
        <v>2553</v>
      </c>
      <c r="O49" s="1740"/>
      <c r="P49" s="1740" t="s">
        <v>2553</v>
      </c>
      <c r="Q49" s="1740" t="s">
        <v>2553</v>
      </c>
      <c r="R49" s="1740" t="s">
        <v>2552</v>
      </c>
      <c r="S49" s="1740" t="s">
        <v>2553</v>
      </c>
      <c r="T49" s="1740" t="s">
        <v>2553</v>
      </c>
      <c r="U49" s="1740" t="s">
        <v>2553</v>
      </c>
      <c r="V49" s="1740" t="s">
        <v>2553</v>
      </c>
      <c r="W49" s="1740" t="s">
        <v>2553</v>
      </c>
      <c r="X49" s="1740" t="s">
        <v>2553</v>
      </c>
      <c r="Y49" s="1740" t="s">
        <v>2552</v>
      </c>
      <c r="Z49" s="1740" t="s">
        <v>2553</v>
      </c>
      <c r="AA49" s="1740" t="s">
        <v>2553</v>
      </c>
      <c r="AB49" s="1740" t="s">
        <v>2553</v>
      </c>
      <c r="AC49" s="1740" t="s">
        <v>2553</v>
      </c>
      <c r="AD49" s="1740" t="s">
        <v>2553</v>
      </c>
      <c r="AE49" s="1740" t="s">
        <v>2553</v>
      </c>
      <c r="AF49" s="1740" t="s">
        <v>3320</v>
      </c>
      <c r="AG49" s="1740" t="s">
        <v>2553</v>
      </c>
      <c r="AH49" s="1740"/>
      <c r="AI49" s="1737">
        <f>COUNTIF(D49:AH49,"x")</f>
        <v>24</v>
      </c>
      <c r="AJ49" s="1737">
        <f>SUM(COUNTIF(D49:AH49,"cn"))</f>
        <v>4</v>
      </c>
      <c r="AK49" s="1737">
        <f>SUM(COUNTIF(D49:AH49,"đ"))</f>
        <v>0</v>
      </c>
      <c r="AL49" s="1737">
        <f t="shared" si="9"/>
        <v>1</v>
      </c>
      <c r="AM49" s="1737">
        <f>COUNTIF(D49:AH49,"gt")</f>
        <v>0</v>
      </c>
      <c r="AN49" s="1737">
        <f>COUNTIF(D49:AH49,"ct")</f>
        <v>0</v>
      </c>
      <c r="AO49" s="1737">
        <f t="shared" si="6"/>
        <v>29</v>
      </c>
      <c r="AP49" s="1734"/>
    </row>
    <row r="50" spans="1:42" ht="18.75" customHeight="1">
      <c r="A50" s="1733">
        <v>40</v>
      </c>
      <c r="B50" s="1733">
        <v>5</v>
      </c>
      <c r="C50" s="1739" t="s">
        <v>3209</v>
      </c>
      <c r="D50" s="1740" t="s">
        <v>2552</v>
      </c>
      <c r="E50" s="1740" t="s">
        <v>2553</v>
      </c>
      <c r="F50" s="1740" t="s">
        <v>2553</v>
      </c>
      <c r="G50" s="1740" t="s">
        <v>2553</v>
      </c>
      <c r="H50" s="1740" t="s">
        <v>2553</v>
      </c>
      <c r="I50" s="1740" t="s">
        <v>2553</v>
      </c>
      <c r="J50" s="1740" t="s">
        <v>2553</v>
      </c>
      <c r="K50" s="1740" t="s">
        <v>2552</v>
      </c>
      <c r="L50" s="1740" t="s">
        <v>2553</v>
      </c>
      <c r="M50" s="1740" t="s">
        <v>2553</v>
      </c>
      <c r="N50" s="1740" t="s">
        <v>2553</v>
      </c>
      <c r="O50" s="1740"/>
      <c r="P50" s="1740" t="s">
        <v>2553</v>
      </c>
      <c r="Q50" s="1740" t="s">
        <v>2553</v>
      </c>
      <c r="R50" s="1740" t="s">
        <v>2552</v>
      </c>
      <c r="S50" s="1740" t="s">
        <v>2553</v>
      </c>
      <c r="T50" s="1740" t="s">
        <v>2553</v>
      </c>
      <c r="U50" s="1740" t="s">
        <v>2553</v>
      </c>
      <c r="V50" s="1740" t="s">
        <v>2553</v>
      </c>
      <c r="W50" s="1740" t="s">
        <v>2553</v>
      </c>
      <c r="X50" s="1740" t="s">
        <v>2553</v>
      </c>
      <c r="Y50" s="1740" t="s">
        <v>2552</v>
      </c>
      <c r="Z50" s="1740" t="s">
        <v>2553</v>
      </c>
      <c r="AA50" s="1740" t="s">
        <v>2553</v>
      </c>
      <c r="AB50" s="1740" t="s">
        <v>2553</v>
      </c>
      <c r="AC50" s="1740" t="s">
        <v>2553</v>
      </c>
      <c r="AD50" s="1740" t="s">
        <v>2553</v>
      </c>
      <c r="AE50" s="1740" t="s">
        <v>2553</v>
      </c>
      <c r="AF50" s="1740" t="s">
        <v>3320</v>
      </c>
      <c r="AG50" s="1740" t="s">
        <v>2553</v>
      </c>
      <c r="AH50" s="1740"/>
      <c r="AI50" s="1737">
        <f>COUNTIF(D50:AH50,"x")</f>
        <v>24</v>
      </c>
      <c r="AJ50" s="1737">
        <f>SUM(COUNTIF(D50:AH50,"cn"))</f>
        <v>4</v>
      </c>
      <c r="AK50" s="1737">
        <f>SUM(COUNTIF(D50:AH50,"đ"))</f>
        <v>0</v>
      </c>
      <c r="AL50" s="1737">
        <f t="shared" si="9"/>
        <v>1</v>
      </c>
      <c r="AM50" s="1737">
        <f>COUNTIF(D50:AH50,"gt")</f>
        <v>0</v>
      </c>
      <c r="AN50" s="1737">
        <f>COUNTIF(D50:AH50,"ct")</f>
        <v>0</v>
      </c>
      <c r="AO50" s="1737">
        <f t="shared" si="6"/>
        <v>29</v>
      </c>
      <c r="AP50" s="1734"/>
    </row>
    <row r="51" spans="1:42" ht="18.75" customHeight="1">
      <c r="A51" s="1733">
        <v>41</v>
      </c>
      <c r="B51" s="1733">
        <v>6</v>
      </c>
      <c r="C51" s="1739" t="s">
        <v>3210</v>
      </c>
      <c r="D51" s="1740" t="s">
        <v>2552</v>
      </c>
      <c r="E51" s="1740" t="s">
        <v>2553</v>
      </c>
      <c r="F51" s="1740" t="s">
        <v>2553</v>
      </c>
      <c r="G51" s="1740" t="s">
        <v>2553</v>
      </c>
      <c r="H51" s="1740" t="s">
        <v>2553</v>
      </c>
      <c r="I51" s="1740" t="s">
        <v>2553</v>
      </c>
      <c r="J51" s="1740" t="s">
        <v>2553</v>
      </c>
      <c r="K51" s="1740" t="s">
        <v>2552</v>
      </c>
      <c r="L51" s="1740" t="s">
        <v>2553</v>
      </c>
      <c r="M51" s="1740" t="s">
        <v>2553</v>
      </c>
      <c r="N51" s="1740" t="s">
        <v>2553</v>
      </c>
      <c r="O51" s="1740"/>
      <c r="P51" s="1740" t="s">
        <v>2553</v>
      </c>
      <c r="Q51" s="1740" t="s">
        <v>2553</v>
      </c>
      <c r="R51" s="1740" t="s">
        <v>2552</v>
      </c>
      <c r="S51" s="1740" t="s">
        <v>2553</v>
      </c>
      <c r="T51" s="1740" t="s">
        <v>2553</v>
      </c>
      <c r="U51" s="1740" t="s">
        <v>2553</v>
      </c>
      <c r="V51" s="1740" t="s">
        <v>2553</v>
      </c>
      <c r="W51" s="1740" t="s">
        <v>2553</v>
      </c>
      <c r="X51" s="1740" t="s">
        <v>2553</v>
      </c>
      <c r="Y51" s="1740" t="s">
        <v>2552</v>
      </c>
      <c r="Z51" s="1740" t="s">
        <v>2553</v>
      </c>
      <c r="AA51" s="1740" t="s">
        <v>2553</v>
      </c>
      <c r="AB51" s="1740" t="s">
        <v>2553</v>
      </c>
      <c r="AC51" s="1740" t="s">
        <v>2553</v>
      </c>
      <c r="AD51" s="1740" t="s">
        <v>2553</v>
      </c>
      <c r="AE51" s="1740" t="s">
        <v>2553</v>
      </c>
      <c r="AF51" s="1740" t="s">
        <v>3320</v>
      </c>
      <c r="AG51" s="1740" t="s">
        <v>2553</v>
      </c>
      <c r="AH51" s="1740"/>
      <c r="AI51" s="1737">
        <f t="shared" si="0"/>
        <v>24</v>
      </c>
      <c r="AJ51" s="1737">
        <f t="shared" si="7"/>
        <v>4</v>
      </c>
      <c r="AK51" s="1737">
        <f t="shared" si="8"/>
        <v>0</v>
      </c>
      <c r="AL51" s="1737">
        <f t="shared" si="9"/>
        <v>1</v>
      </c>
      <c r="AM51" s="1737">
        <f t="shared" si="4"/>
        <v>0</v>
      </c>
      <c r="AN51" s="1737">
        <f t="shared" si="5"/>
        <v>0</v>
      </c>
      <c r="AO51" s="1737">
        <f t="shared" si="6"/>
        <v>29</v>
      </c>
      <c r="AP51" s="1734"/>
    </row>
    <row r="52" spans="1:42" ht="18.75" customHeight="1">
      <c r="A52" s="1733">
        <v>42</v>
      </c>
      <c r="B52" s="1733">
        <v>7</v>
      </c>
      <c r="C52" s="1739" t="s">
        <v>3211</v>
      </c>
      <c r="D52" s="1740" t="s">
        <v>2552</v>
      </c>
      <c r="E52" s="1740" t="s">
        <v>2553</v>
      </c>
      <c r="F52" s="1740" t="s">
        <v>2553</v>
      </c>
      <c r="G52" s="1740" t="s">
        <v>2553</v>
      </c>
      <c r="H52" s="1740" t="s">
        <v>2553</v>
      </c>
      <c r="I52" s="1740" t="s">
        <v>2553</v>
      </c>
      <c r="J52" s="1740" t="s">
        <v>2553</v>
      </c>
      <c r="K52" s="1740" t="s">
        <v>2552</v>
      </c>
      <c r="L52" s="1740" t="s">
        <v>2553</v>
      </c>
      <c r="M52" s="1740" t="s">
        <v>2553</v>
      </c>
      <c r="N52" s="1740" t="s">
        <v>2553</v>
      </c>
      <c r="O52" s="1740"/>
      <c r="P52" s="1740" t="s">
        <v>2553</v>
      </c>
      <c r="Q52" s="1740" t="s">
        <v>2553</v>
      </c>
      <c r="R52" s="1740" t="s">
        <v>2552</v>
      </c>
      <c r="S52" s="1740" t="s">
        <v>2553</v>
      </c>
      <c r="T52" s="1740" t="s">
        <v>2553</v>
      </c>
      <c r="U52" s="1740" t="s">
        <v>2553</v>
      </c>
      <c r="V52" s="1740" t="s">
        <v>2553</v>
      </c>
      <c r="W52" s="1740" t="s">
        <v>2553</v>
      </c>
      <c r="X52" s="1740" t="s">
        <v>2553</v>
      </c>
      <c r="Y52" s="1740" t="s">
        <v>2552</v>
      </c>
      <c r="Z52" s="1740" t="s">
        <v>2553</v>
      </c>
      <c r="AA52" s="1740" t="s">
        <v>2553</v>
      </c>
      <c r="AB52" s="1740" t="s">
        <v>2553</v>
      </c>
      <c r="AC52" s="1740" t="s">
        <v>2553</v>
      </c>
      <c r="AD52" s="1740" t="s">
        <v>2553</v>
      </c>
      <c r="AE52" s="1740" t="s">
        <v>2553</v>
      </c>
      <c r="AF52" s="1740" t="s">
        <v>3320</v>
      </c>
      <c r="AG52" s="1740" t="s">
        <v>2553</v>
      </c>
      <c r="AH52" s="1740"/>
      <c r="AI52" s="1737">
        <f t="shared" si="0"/>
        <v>24</v>
      </c>
      <c r="AJ52" s="1737">
        <f t="shared" si="7"/>
        <v>4</v>
      </c>
      <c r="AK52" s="1737">
        <f t="shared" si="8"/>
        <v>0</v>
      </c>
      <c r="AL52" s="1737">
        <f t="shared" si="9"/>
        <v>1</v>
      </c>
      <c r="AM52" s="1737">
        <f t="shared" si="4"/>
        <v>0</v>
      </c>
      <c r="AN52" s="1737">
        <f t="shared" si="5"/>
        <v>0</v>
      </c>
      <c r="AO52" s="1737">
        <f t="shared" si="6"/>
        <v>29</v>
      </c>
      <c r="AP52" s="1734"/>
    </row>
    <row r="53" spans="1:42" ht="18.75" customHeight="1">
      <c r="A53" s="1733">
        <v>43</v>
      </c>
      <c r="B53" s="1733">
        <v>8</v>
      </c>
      <c r="C53" s="1739" t="s">
        <v>3212</v>
      </c>
      <c r="D53" s="1740" t="s">
        <v>2552</v>
      </c>
      <c r="E53" s="1740" t="s">
        <v>2553</v>
      </c>
      <c r="F53" s="1740" t="s">
        <v>2553</v>
      </c>
      <c r="G53" s="1740" t="s">
        <v>2553</v>
      </c>
      <c r="H53" s="1740" t="s">
        <v>2553</v>
      </c>
      <c r="I53" s="1740" t="s">
        <v>2553</v>
      </c>
      <c r="J53" s="1740" t="s">
        <v>2553</v>
      </c>
      <c r="K53" s="1740" t="s">
        <v>2552</v>
      </c>
      <c r="L53" s="1740" t="s">
        <v>2553</v>
      </c>
      <c r="M53" s="1740" t="s">
        <v>2553</v>
      </c>
      <c r="N53" s="1740" t="s">
        <v>2553</v>
      </c>
      <c r="O53" s="1740"/>
      <c r="P53" s="1740" t="s">
        <v>2553</v>
      </c>
      <c r="Q53" s="1740" t="s">
        <v>2553</v>
      </c>
      <c r="R53" s="1740" t="s">
        <v>2552</v>
      </c>
      <c r="S53" s="1740" t="s">
        <v>2553</v>
      </c>
      <c r="T53" s="1740" t="s">
        <v>2553</v>
      </c>
      <c r="U53" s="1740" t="s">
        <v>2553</v>
      </c>
      <c r="V53" s="1740" t="s">
        <v>2553</v>
      </c>
      <c r="W53" s="1740" t="s">
        <v>2553</v>
      </c>
      <c r="X53" s="1740" t="s">
        <v>2553</v>
      </c>
      <c r="Y53" s="1740" t="s">
        <v>2552</v>
      </c>
      <c r="Z53" s="1740" t="s">
        <v>2553</v>
      </c>
      <c r="AA53" s="1740" t="s">
        <v>2553</v>
      </c>
      <c r="AB53" s="1740" t="s">
        <v>2553</v>
      </c>
      <c r="AC53" s="1740" t="s">
        <v>2553</v>
      </c>
      <c r="AD53" s="1740" t="s">
        <v>2553</v>
      </c>
      <c r="AE53" s="1740" t="s">
        <v>2553</v>
      </c>
      <c r="AF53" s="1740" t="s">
        <v>3320</v>
      </c>
      <c r="AG53" s="1740" t="s">
        <v>2553</v>
      </c>
      <c r="AH53" s="1740"/>
      <c r="AI53" s="1737">
        <f t="shared" si="0"/>
        <v>24</v>
      </c>
      <c r="AJ53" s="1737">
        <f t="shared" si="7"/>
        <v>4</v>
      </c>
      <c r="AK53" s="1737">
        <f t="shared" si="8"/>
        <v>0</v>
      </c>
      <c r="AL53" s="1737">
        <f t="shared" si="9"/>
        <v>1</v>
      </c>
      <c r="AM53" s="1737">
        <f t="shared" si="4"/>
        <v>0</v>
      </c>
      <c r="AN53" s="1737">
        <f t="shared" si="5"/>
        <v>0</v>
      </c>
      <c r="AO53" s="1737">
        <f t="shared" si="6"/>
        <v>29</v>
      </c>
      <c r="AP53" s="1734"/>
    </row>
    <row r="54" spans="1:42" ht="18.75" customHeight="1">
      <c r="A54" s="1733">
        <v>44</v>
      </c>
      <c r="B54" s="1733">
        <v>9</v>
      </c>
      <c r="C54" s="1739" t="s">
        <v>3213</v>
      </c>
      <c r="D54" s="1740" t="s">
        <v>2552</v>
      </c>
      <c r="E54" s="1740" t="s">
        <v>2553</v>
      </c>
      <c r="F54" s="1740" t="s">
        <v>2553</v>
      </c>
      <c r="G54" s="1740" t="s">
        <v>2553</v>
      </c>
      <c r="H54" s="1740" t="s">
        <v>2553</v>
      </c>
      <c r="I54" s="1740" t="s">
        <v>2553</v>
      </c>
      <c r="J54" s="1740" t="s">
        <v>2553</v>
      </c>
      <c r="K54" s="1740" t="s">
        <v>2552</v>
      </c>
      <c r="L54" s="1740" t="s">
        <v>2553</v>
      </c>
      <c r="M54" s="1740" t="s">
        <v>2553</v>
      </c>
      <c r="N54" s="1740" t="s">
        <v>2553</v>
      </c>
      <c r="O54" s="1740"/>
      <c r="P54" s="1740" t="s">
        <v>2553</v>
      </c>
      <c r="Q54" s="1740" t="s">
        <v>2553</v>
      </c>
      <c r="R54" s="1740" t="s">
        <v>2552</v>
      </c>
      <c r="S54" s="1740" t="s">
        <v>2553</v>
      </c>
      <c r="T54" s="1740" t="s">
        <v>2553</v>
      </c>
      <c r="U54" s="1740" t="s">
        <v>2553</v>
      </c>
      <c r="V54" s="1740" t="s">
        <v>2553</v>
      </c>
      <c r="W54" s="1740" t="s">
        <v>2553</v>
      </c>
      <c r="X54" s="1740" t="s">
        <v>2553</v>
      </c>
      <c r="Y54" s="1740" t="s">
        <v>2552</v>
      </c>
      <c r="Z54" s="1740" t="s">
        <v>2553</v>
      </c>
      <c r="AA54" s="1740" t="s">
        <v>2553</v>
      </c>
      <c r="AB54" s="1740" t="s">
        <v>2553</v>
      </c>
      <c r="AC54" s="1740" t="s">
        <v>2553</v>
      </c>
      <c r="AD54" s="1740" t="s">
        <v>2553</v>
      </c>
      <c r="AE54" s="1740" t="s">
        <v>2553</v>
      </c>
      <c r="AF54" s="1740" t="s">
        <v>3320</v>
      </c>
      <c r="AG54" s="1740" t="s">
        <v>2553</v>
      </c>
      <c r="AH54" s="1740"/>
      <c r="AI54" s="1737">
        <f t="shared" si="0"/>
        <v>24</v>
      </c>
      <c r="AJ54" s="1737">
        <f t="shared" si="7"/>
        <v>4</v>
      </c>
      <c r="AK54" s="1737">
        <f t="shared" si="8"/>
        <v>0</v>
      </c>
      <c r="AL54" s="1737">
        <f t="shared" si="9"/>
        <v>1</v>
      </c>
      <c r="AM54" s="1737">
        <f t="shared" si="4"/>
        <v>0</v>
      </c>
      <c r="AN54" s="1737">
        <f t="shared" si="5"/>
        <v>0</v>
      </c>
      <c r="AO54" s="1737">
        <f t="shared" si="6"/>
        <v>29</v>
      </c>
      <c r="AP54" s="1734"/>
    </row>
    <row r="55" spans="1:42" ht="18.75" customHeight="1">
      <c r="A55" s="1733">
        <v>45</v>
      </c>
      <c r="B55" s="1733">
        <v>10</v>
      </c>
      <c r="C55" s="1739" t="s">
        <v>3214</v>
      </c>
      <c r="D55" s="1740" t="s">
        <v>2552</v>
      </c>
      <c r="E55" s="1740" t="s">
        <v>2553</v>
      </c>
      <c r="F55" s="1740" t="s">
        <v>2553</v>
      </c>
      <c r="G55" s="1740" t="s">
        <v>2553</v>
      </c>
      <c r="H55" s="1740" t="s">
        <v>2553</v>
      </c>
      <c r="I55" s="1740" t="s">
        <v>2553</v>
      </c>
      <c r="J55" s="1740" t="s">
        <v>2553</v>
      </c>
      <c r="K55" s="1740" t="s">
        <v>2552</v>
      </c>
      <c r="L55" s="1740" t="s">
        <v>2553</v>
      </c>
      <c r="M55" s="1740" t="s">
        <v>2553</v>
      </c>
      <c r="N55" s="1740" t="s">
        <v>2553</v>
      </c>
      <c r="O55" s="1740"/>
      <c r="P55" s="1740" t="s">
        <v>2553</v>
      </c>
      <c r="Q55" s="1740" t="s">
        <v>2553</v>
      </c>
      <c r="R55" s="1740" t="s">
        <v>2552</v>
      </c>
      <c r="S55" s="1740" t="s">
        <v>2553</v>
      </c>
      <c r="T55" s="1740" t="s">
        <v>2553</v>
      </c>
      <c r="U55" s="1740" t="s">
        <v>2553</v>
      </c>
      <c r="V55" s="1740" t="s">
        <v>2553</v>
      </c>
      <c r="W55" s="1740" t="s">
        <v>2553</v>
      </c>
      <c r="X55" s="1740" t="s">
        <v>2553</v>
      </c>
      <c r="Y55" s="1740" t="s">
        <v>2552</v>
      </c>
      <c r="Z55" s="1740" t="s">
        <v>2553</v>
      </c>
      <c r="AA55" s="1740" t="s">
        <v>2553</v>
      </c>
      <c r="AB55" s="1740" t="s">
        <v>2553</v>
      </c>
      <c r="AC55" s="1740" t="s">
        <v>2553</v>
      </c>
      <c r="AD55" s="1740" t="s">
        <v>2553</v>
      </c>
      <c r="AE55" s="1740" t="s">
        <v>2553</v>
      </c>
      <c r="AF55" s="1740" t="s">
        <v>3320</v>
      </c>
      <c r="AG55" s="1740" t="s">
        <v>2553</v>
      </c>
      <c r="AH55" s="1740"/>
      <c r="AI55" s="1737">
        <f t="shared" si="0"/>
        <v>24</v>
      </c>
      <c r="AJ55" s="1737">
        <f t="shared" si="7"/>
        <v>4</v>
      </c>
      <c r="AK55" s="1737">
        <f t="shared" si="8"/>
        <v>0</v>
      </c>
      <c r="AL55" s="1737">
        <f t="shared" si="9"/>
        <v>1</v>
      </c>
      <c r="AM55" s="1737">
        <f t="shared" si="4"/>
        <v>0</v>
      </c>
      <c r="AN55" s="1737">
        <f t="shared" si="5"/>
        <v>0</v>
      </c>
      <c r="AO55" s="1737">
        <f t="shared" si="6"/>
        <v>29</v>
      </c>
      <c r="AP55" s="1734"/>
    </row>
    <row r="56" spans="1:42" ht="18.75" customHeight="1">
      <c r="A56" s="1733">
        <v>46</v>
      </c>
      <c r="B56" s="1733">
        <v>11</v>
      </c>
      <c r="C56" s="1739" t="s">
        <v>3215</v>
      </c>
      <c r="D56" s="1740" t="s">
        <v>2552</v>
      </c>
      <c r="E56" s="1740" t="s">
        <v>2553</v>
      </c>
      <c r="F56" s="1740" t="s">
        <v>2553</v>
      </c>
      <c r="G56" s="1740" t="s">
        <v>2553</v>
      </c>
      <c r="H56" s="1740" t="s">
        <v>2553</v>
      </c>
      <c r="I56" s="1740" t="s">
        <v>2553</v>
      </c>
      <c r="J56" s="1740" t="s">
        <v>2553</v>
      </c>
      <c r="K56" s="1740" t="s">
        <v>2552</v>
      </c>
      <c r="L56" s="1740" t="s">
        <v>2553</v>
      </c>
      <c r="M56" s="1740" t="s">
        <v>2553</v>
      </c>
      <c r="N56" s="1740" t="s">
        <v>2553</v>
      </c>
      <c r="O56" s="1740"/>
      <c r="P56" s="1740" t="s">
        <v>2553</v>
      </c>
      <c r="Q56" s="1740" t="s">
        <v>2553</v>
      </c>
      <c r="R56" s="1740" t="s">
        <v>2552</v>
      </c>
      <c r="S56" s="1740" t="s">
        <v>2553</v>
      </c>
      <c r="T56" s="1740" t="s">
        <v>2553</v>
      </c>
      <c r="U56" s="1740" t="s">
        <v>2553</v>
      </c>
      <c r="V56" s="1740" t="s">
        <v>2553</v>
      </c>
      <c r="W56" s="1740" t="s">
        <v>2553</v>
      </c>
      <c r="X56" s="1740" t="s">
        <v>2553</v>
      </c>
      <c r="Y56" s="1740" t="s">
        <v>2552</v>
      </c>
      <c r="Z56" s="1740" t="s">
        <v>2553</v>
      </c>
      <c r="AA56" s="1740" t="s">
        <v>2553</v>
      </c>
      <c r="AB56" s="1740" t="s">
        <v>2553</v>
      </c>
      <c r="AC56" s="1740" t="s">
        <v>2553</v>
      </c>
      <c r="AD56" s="1740" t="s">
        <v>2553</v>
      </c>
      <c r="AE56" s="1740" t="s">
        <v>2553</v>
      </c>
      <c r="AF56" s="1740" t="s">
        <v>3320</v>
      </c>
      <c r="AG56" s="1740" t="s">
        <v>2553</v>
      </c>
      <c r="AH56" s="1740"/>
      <c r="AI56" s="1737">
        <f t="shared" si="0"/>
        <v>24</v>
      </c>
      <c r="AJ56" s="1737">
        <f t="shared" si="7"/>
        <v>4</v>
      </c>
      <c r="AK56" s="1737">
        <f t="shared" si="8"/>
        <v>0</v>
      </c>
      <c r="AL56" s="1737">
        <f t="shared" si="9"/>
        <v>1</v>
      </c>
      <c r="AM56" s="1737">
        <f t="shared" si="4"/>
        <v>0</v>
      </c>
      <c r="AN56" s="1737">
        <f t="shared" si="5"/>
        <v>0</v>
      </c>
      <c r="AO56" s="1737">
        <f t="shared" si="6"/>
        <v>29</v>
      </c>
      <c r="AP56" s="1734"/>
    </row>
    <row r="57" spans="1:42" ht="18.75" customHeight="1">
      <c r="A57" s="1733">
        <v>47</v>
      </c>
      <c r="B57" s="1733">
        <v>12</v>
      </c>
      <c r="C57" s="1739" t="s">
        <v>3216</v>
      </c>
      <c r="D57" s="1740" t="s">
        <v>2552</v>
      </c>
      <c r="E57" s="1740" t="s">
        <v>2553</v>
      </c>
      <c r="F57" s="1740" t="s">
        <v>2553</v>
      </c>
      <c r="G57" s="1740" t="s">
        <v>2553</v>
      </c>
      <c r="H57" s="1740" t="s">
        <v>2553</v>
      </c>
      <c r="I57" s="1740" t="s">
        <v>2553</v>
      </c>
      <c r="J57" s="1740" t="s">
        <v>2553</v>
      </c>
      <c r="K57" s="1740" t="s">
        <v>2552</v>
      </c>
      <c r="L57" s="1740" t="s">
        <v>2553</v>
      </c>
      <c r="M57" s="1740" t="s">
        <v>2553</v>
      </c>
      <c r="N57" s="1740" t="s">
        <v>2553</v>
      </c>
      <c r="O57" s="1740"/>
      <c r="P57" s="1740" t="s">
        <v>2553</v>
      </c>
      <c r="Q57" s="1740" t="s">
        <v>2553</v>
      </c>
      <c r="R57" s="1740" t="s">
        <v>2552</v>
      </c>
      <c r="S57" s="1740" t="s">
        <v>2553</v>
      </c>
      <c r="T57" s="1740" t="s">
        <v>2553</v>
      </c>
      <c r="U57" s="1740" t="s">
        <v>2553</v>
      </c>
      <c r="V57" s="1740" t="s">
        <v>2553</v>
      </c>
      <c r="W57" s="1740" t="s">
        <v>2553</v>
      </c>
      <c r="X57" s="1740" t="s">
        <v>2553</v>
      </c>
      <c r="Y57" s="1740" t="s">
        <v>2552</v>
      </c>
      <c r="Z57" s="1740" t="s">
        <v>2553</v>
      </c>
      <c r="AA57" s="1740" t="s">
        <v>2553</v>
      </c>
      <c r="AB57" s="1740" t="s">
        <v>2553</v>
      </c>
      <c r="AC57" s="1740" t="s">
        <v>2553</v>
      </c>
      <c r="AD57" s="1740" t="s">
        <v>2553</v>
      </c>
      <c r="AE57" s="1740" t="s">
        <v>2553</v>
      </c>
      <c r="AF57" s="1740" t="s">
        <v>3320</v>
      </c>
      <c r="AG57" s="1740" t="s">
        <v>2553</v>
      </c>
      <c r="AH57" s="1740"/>
      <c r="AI57" s="1737">
        <f t="shared" si="0"/>
        <v>24</v>
      </c>
      <c r="AJ57" s="1737">
        <f t="shared" si="7"/>
        <v>4</v>
      </c>
      <c r="AK57" s="1737">
        <f t="shared" si="8"/>
        <v>0</v>
      </c>
      <c r="AL57" s="1737">
        <f t="shared" si="9"/>
        <v>1</v>
      </c>
      <c r="AM57" s="1737">
        <f t="shared" si="4"/>
        <v>0</v>
      </c>
      <c r="AN57" s="1737">
        <f t="shared" si="5"/>
        <v>0</v>
      </c>
      <c r="AO57" s="1737">
        <f t="shared" si="6"/>
        <v>29</v>
      </c>
      <c r="AP57" s="1734"/>
    </row>
    <row r="58" spans="1:42" ht="18.75" customHeight="1">
      <c r="A58" s="1733">
        <v>48</v>
      </c>
      <c r="B58" s="1733">
        <v>13</v>
      </c>
      <c r="C58" s="1739" t="s">
        <v>3217</v>
      </c>
      <c r="D58" s="1740" t="s">
        <v>2552</v>
      </c>
      <c r="E58" s="1740" t="s">
        <v>2553</v>
      </c>
      <c r="F58" s="1740" t="s">
        <v>2553</v>
      </c>
      <c r="G58" s="1740" t="s">
        <v>2553</v>
      </c>
      <c r="H58" s="1740" t="s">
        <v>2553</v>
      </c>
      <c r="I58" s="1740" t="s">
        <v>2553</v>
      </c>
      <c r="J58" s="1740" t="s">
        <v>2553</v>
      </c>
      <c r="K58" s="1740" t="s">
        <v>2552</v>
      </c>
      <c r="L58" s="1740" t="s">
        <v>2553</v>
      </c>
      <c r="M58" s="1740" t="s">
        <v>2553</v>
      </c>
      <c r="N58" s="1740" t="s">
        <v>2553</v>
      </c>
      <c r="O58" s="1740"/>
      <c r="P58" s="1740" t="s">
        <v>2553</v>
      </c>
      <c r="Q58" s="1740" t="s">
        <v>2553</v>
      </c>
      <c r="R58" s="1740" t="s">
        <v>2552</v>
      </c>
      <c r="S58" s="1740" t="s">
        <v>2553</v>
      </c>
      <c r="T58" s="1740" t="s">
        <v>2553</v>
      </c>
      <c r="U58" s="1740" t="s">
        <v>2553</v>
      </c>
      <c r="V58" s="1740" t="s">
        <v>2553</v>
      </c>
      <c r="W58" s="1740" t="s">
        <v>2553</v>
      </c>
      <c r="X58" s="1740" t="s">
        <v>2553</v>
      </c>
      <c r="Y58" s="1740" t="s">
        <v>2552</v>
      </c>
      <c r="Z58" s="1740" t="s">
        <v>2553</v>
      </c>
      <c r="AA58" s="1740" t="s">
        <v>2553</v>
      </c>
      <c r="AB58" s="1740" t="s">
        <v>2553</v>
      </c>
      <c r="AC58" s="1740" t="s">
        <v>2553</v>
      </c>
      <c r="AD58" s="1740" t="s">
        <v>2553</v>
      </c>
      <c r="AE58" s="1740" t="s">
        <v>2553</v>
      </c>
      <c r="AF58" s="1740" t="s">
        <v>3320</v>
      </c>
      <c r="AG58" s="1740" t="s">
        <v>2553</v>
      </c>
      <c r="AH58" s="1740"/>
      <c r="AI58" s="1737">
        <f t="shared" si="0"/>
        <v>24</v>
      </c>
      <c r="AJ58" s="1737">
        <f t="shared" si="7"/>
        <v>4</v>
      </c>
      <c r="AK58" s="1737">
        <f t="shared" si="8"/>
        <v>0</v>
      </c>
      <c r="AL58" s="1737">
        <f t="shared" si="9"/>
        <v>1</v>
      </c>
      <c r="AM58" s="1737">
        <f t="shared" si="4"/>
        <v>0</v>
      </c>
      <c r="AN58" s="1737">
        <f t="shared" si="5"/>
        <v>0</v>
      </c>
      <c r="AO58" s="1737">
        <f t="shared" si="6"/>
        <v>29</v>
      </c>
      <c r="AP58" s="1734"/>
    </row>
    <row r="59" spans="1:42" ht="18.75" customHeight="1">
      <c r="A59" s="1733">
        <v>49</v>
      </c>
      <c r="B59" s="1733">
        <v>14</v>
      </c>
      <c r="C59" s="1739" t="s">
        <v>3218</v>
      </c>
      <c r="D59" s="1740" t="s">
        <v>2552</v>
      </c>
      <c r="E59" s="1740" t="s">
        <v>2553</v>
      </c>
      <c r="F59" s="1740" t="s">
        <v>2553</v>
      </c>
      <c r="G59" s="1740" t="s">
        <v>2553</v>
      </c>
      <c r="H59" s="1740" t="s">
        <v>2553</v>
      </c>
      <c r="I59" s="1740" t="s">
        <v>2553</v>
      </c>
      <c r="J59" s="1740" t="s">
        <v>2553</v>
      </c>
      <c r="K59" s="1740" t="s">
        <v>2552</v>
      </c>
      <c r="L59" s="1740" t="s">
        <v>2553</v>
      </c>
      <c r="M59" s="1740" t="s">
        <v>2553</v>
      </c>
      <c r="N59" s="1740" t="s">
        <v>2553</v>
      </c>
      <c r="O59" s="1740"/>
      <c r="P59" s="1740" t="s">
        <v>2553</v>
      </c>
      <c r="Q59" s="1740" t="s">
        <v>2553</v>
      </c>
      <c r="R59" s="1740" t="s">
        <v>2552</v>
      </c>
      <c r="S59" s="1740" t="s">
        <v>2553</v>
      </c>
      <c r="T59" s="1740" t="s">
        <v>2553</v>
      </c>
      <c r="U59" s="1740" t="s">
        <v>2553</v>
      </c>
      <c r="V59" s="1740" t="s">
        <v>2553</v>
      </c>
      <c r="W59" s="1740" t="s">
        <v>2553</v>
      </c>
      <c r="X59" s="1740" t="s">
        <v>2553</v>
      </c>
      <c r="Y59" s="1740" t="s">
        <v>2552</v>
      </c>
      <c r="Z59" s="1740" t="s">
        <v>2553</v>
      </c>
      <c r="AA59" s="1740" t="s">
        <v>2553</v>
      </c>
      <c r="AB59" s="1740" t="s">
        <v>2553</v>
      </c>
      <c r="AC59" s="1740" t="s">
        <v>2553</v>
      </c>
      <c r="AD59" s="1740" t="s">
        <v>2553</v>
      </c>
      <c r="AE59" s="1740" t="s">
        <v>2553</v>
      </c>
      <c r="AF59" s="1740" t="s">
        <v>3320</v>
      </c>
      <c r="AG59" s="1740" t="s">
        <v>2553</v>
      </c>
      <c r="AH59" s="1740"/>
      <c r="AI59" s="1737">
        <f t="shared" si="0"/>
        <v>24</v>
      </c>
      <c r="AJ59" s="1737">
        <f t="shared" si="7"/>
        <v>4</v>
      </c>
      <c r="AK59" s="1737">
        <f t="shared" si="8"/>
        <v>0</v>
      </c>
      <c r="AL59" s="1737">
        <f t="shared" si="9"/>
        <v>1</v>
      </c>
      <c r="AM59" s="1737">
        <f t="shared" si="4"/>
        <v>0</v>
      </c>
      <c r="AN59" s="1737">
        <f t="shared" si="5"/>
        <v>0</v>
      </c>
      <c r="AO59" s="1737">
        <f t="shared" si="6"/>
        <v>29</v>
      </c>
      <c r="AP59" s="1734"/>
    </row>
    <row r="60" spans="1:42" ht="18.75" customHeight="1">
      <c r="A60" s="1733">
        <v>50</v>
      </c>
      <c r="B60" s="1733">
        <v>15</v>
      </c>
      <c r="C60" s="1739" t="s">
        <v>3219</v>
      </c>
      <c r="D60" s="1740" t="s">
        <v>2552</v>
      </c>
      <c r="E60" s="1740" t="s">
        <v>2553</v>
      </c>
      <c r="F60" s="1740" t="s">
        <v>2553</v>
      </c>
      <c r="G60" s="1740" t="s">
        <v>2553</v>
      </c>
      <c r="H60" s="1740" t="s">
        <v>2553</v>
      </c>
      <c r="I60" s="1740" t="s">
        <v>2553</v>
      </c>
      <c r="J60" s="1740" t="s">
        <v>2553</v>
      </c>
      <c r="K60" s="1740" t="s">
        <v>2552</v>
      </c>
      <c r="L60" s="1740" t="s">
        <v>2553</v>
      </c>
      <c r="M60" s="1740" t="s">
        <v>2553</v>
      </c>
      <c r="N60" s="1740" t="s">
        <v>2553</v>
      </c>
      <c r="O60" s="1740"/>
      <c r="P60" s="1740" t="s">
        <v>2553</v>
      </c>
      <c r="Q60" s="1740" t="s">
        <v>2553</v>
      </c>
      <c r="R60" s="1740" t="s">
        <v>2552</v>
      </c>
      <c r="S60" s="1740" t="s">
        <v>2553</v>
      </c>
      <c r="T60" s="1740" t="s">
        <v>2553</v>
      </c>
      <c r="U60" s="1740" t="s">
        <v>2553</v>
      </c>
      <c r="V60" s="1740" t="s">
        <v>2553</v>
      </c>
      <c r="W60" s="1740" t="s">
        <v>2553</v>
      </c>
      <c r="X60" s="1740" t="s">
        <v>2553</v>
      </c>
      <c r="Y60" s="1740" t="s">
        <v>2552</v>
      </c>
      <c r="Z60" s="1740" t="s">
        <v>2553</v>
      </c>
      <c r="AA60" s="1740" t="s">
        <v>2553</v>
      </c>
      <c r="AB60" s="1740" t="s">
        <v>2553</v>
      </c>
      <c r="AC60" s="1740" t="s">
        <v>2553</v>
      </c>
      <c r="AD60" s="1740" t="s">
        <v>2553</v>
      </c>
      <c r="AE60" s="1740" t="s">
        <v>2553</v>
      </c>
      <c r="AF60" s="1740" t="s">
        <v>3320</v>
      </c>
      <c r="AG60" s="1740" t="s">
        <v>2553</v>
      </c>
      <c r="AH60" s="1740"/>
      <c r="AI60" s="1737">
        <f t="shared" si="0"/>
        <v>24</v>
      </c>
      <c r="AJ60" s="1737">
        <f t="shared" si="7"/>
        <v>4</v>
      </c>
      <c r="AK60" s="1737">
        <f t="shared" si="8"/>
        <v>0</v>
      </c>
      <c r="AL60" s="1737">
        <f t="shared" si="9"/>
        <v>1</v>
      </c>
      <c r="AM60" s="1737">
        <f t="shared" si="4"/>
        <v>0</v>
      </c>
      <c r="AN60" s="1737">
        <f t="shared" si="5"/>
        <v>0</v>
      </c>
      <c r="AO60" s="1737">
        <f t="shared" si="6"/>
        <v>29</v>
      </c>
      <c r="AP60" s="1734"/>
    </row>
    <row r="61" spans="1:42" ht="18.75" customHeight="1">
      <c r="A61" s="1733">
        <v>51</v>
      </c>
      <c r="B61" s="1733">
        <v>16</v>
      </c>
      <c r="C61" s="1739" t="s">
        <v>3220</v>
      </c>
      <c r="D61" s="1740" t="s">
        <v>2552</v>
      </c>
      <c r="E61" s="1740" t="s">
        <v>2553</v>
      </c>
      <c r="F61" s="1740" t="s">
        <v>2553</v>
      </c>
      <c r="G61" s="1740" t="s">
        <v>2553</v>
      </c>
      <c r="H61" s="1740" t="s">
        <v>2553</v>
      </c>
      <c r="I61" s="1740" t="s">
        <v>2553</v>
      </c>
      <c r="J61" s="1740" t="s">
        <v>2553</v>
      </c>
      <c r="K61" s="1740" t="s">
        <v>2552</v>
      </c>
      <c r="L61" s="1740" t="s">
        <v>2553</v>
      </c>
      <c r="M61" s="1740" t="s">
        <v>2553</v>
      </c>
      <c r="N61" s="1740" t="s">
        <v>2553</v>
      </c>
      <c r="O61" s="1740"/>
      <c r="P61" s="1740" t="s">
        <v>2553</v>
      </c>
      <c r="Q61" s="1740" t="s">
        <v>2553</v>
      </c>
      <c r="R61" s="1740" t="s">
        <v>2552</v>
      </c>
      <c r="S61" s="1740" t="s">
        <v>2553</v>
      </c>
      <c r="T61" s="1740" t="s">
        <v>2553</v>
      </c>
      <c r="U61" s="1740" t="s">
        <v>2553</v>
      </c>
      <c r="V61" s="1740" t="s">
        <v>2553</v>
      </c>
      <c r="W61" s="1740" t="s">
        <v>2553</v>
      </c>
      <c r="X61" s="1740" t="s">
        <v>2553</v>
      </c>
      <c r="Y61" s="1740" t="s">
        <v>2552</v>
      </c>
      <c r="Z61" s="1740" t="s">
        <v>2553</v>
      </c>
      <c r="AA61" s="1740" t="s">
        <v>2553</v>
      </c>
      <c r="AB61" s="1740" t="s">
        <v>2553</v>
      </c>
      <c r="AC61" s="1740" t="s">
        <v>2553</v>
      </c>
      <c r="AD61" s="1740" t="s">
        <v>2553</v>
      </c>
      <c r="AE61" s="1740" t="s">
        <v>2553</v>
      </c>
      <c r="AF61" s="1740" t="s">
        <v>3320</v>
      </c>
      <c r="AG61" s="1740" t="s">
        <v>2553</v>
      </c>
      <c r="AH61" s="1740"/>
      <c r="AI61" s="1737">
        <f t="shared" si="0"/>
        <v>24</v>
      </c>
      <c r="AJ61" s="1737">
        <f t="shared" si="7"/>
        <v>4</v>
      </c>
      <c r="AK61" s="1737">
        <f t="shared" si="8"/>
        <v>0</v>
      </c>
      <c r="AL61" s="1737">
        <f t="shared" si="9"/>
        <v>1</v>
      </c>
      <c r="AM61" s="1737">
        <f t="shared" si="4"/>
        <v>0</v>
      </c>
      <c r="AN61" s="1737">
        <f t="shared" si="5"/>
        <v>0</v>
      </c>
      <c r="AO61" s="1737">
        <f t="shared" si="6"/>
        <v>29</v>
      </c>
      <c r="AP61" s="1734"/>
    </row>
    <row r="62" spans="1:42" ht="18.75" customHeight="1">
      <c r="A62" s="1733">
        <v>52</v>
      </c>
      <c r="B62" s="1733">
        <v>17</v>
      </c>
      <c r="C62" s="1739" t="s">
        <v>3221</v>
      </c>
      <c r="D62" s="1740" t="s">
        <v>2552</v>
      </c>
      <c r="E62" s="1740" t="s">
        <v>2553</v>
      </c>
      <c r="F62" s="1740" t="s">
        <v>2553</v>
      </c>
      <c r="G62" s="1740" t="s">
        <v>2553</v>
      </c>
      <c r="H62" s="1740" t="s">
        <v>2553</v>
      </c>
      <c r="I62" s="1740" t="s">
        <v>2553</v>
      </c>
      <c r="J62" s="1740" t="s">
        <v>2553</v>
      </c>
      <c r="K62" s="1740" t="s">
        <v>2552</v>
      </c>
      <c r="L62" s="1740" t="s">
        <v>2553</v>
      </c>
      <c r="M62" s="1740" t="s">
        <v>2553</v>
      </c>
      <c r="N62" s="1740" t="s">
        <v>2553</v>
      </c>
      <c r="O62" s="1740"/>
      <c r="P62" s="1740" t="s">
        <v>2553</v>
      </c>
      <c r="Q62" s="1740" t="s">
        <v>2553</v>
      </c>
      <c r="R62" s="1740" t="s">
        <v>2552</v>
      </c>
      <c r="S62" s="1740" t="s">
        <v>2553</v>
      </c>
      <c r="T62" s="1740" t="s">
        <v>2553</v>
      </c>
      <c r="U62" s="1740" t="s">
        <v>2553</v>
      </c>
      <c r="V62" s="1740" t="s">
        <v>2553</v>
      </c>
      <c r="W62" s="1740" t="s">
        <v>2553</v>
      </c>
      <c r="X62" s="1740" t="s">
        <v>2553</v>
      </c>
      <c r="Y62" s="1740" t="s">
        <v>2552</v>
      </c>
      <c r="Z62" s="1740" t="s">
        <v>2553</v>
      </c>
      <c r="AA62" s="1740" t="s">
        <v>2553</v>
      </c>
      <c r="AB62" s="1740" t="s">
        <v>2553</v>
      </c>
      <c r="AC62" s="1740" t="s">
        <v>2553</v>
      </c>
      <c r="AD62" s="1740" t="s">
        <v>2553</v>
      </c>
      <c r="AE62" s="1740" t="s">
        <v>2553</v>
      </c>
      <c r="AF62" s="1740" t="s">
        <v>3320</v>
      </c>
      <c r="AG62" s="1740" t="s">
        <v>2553</v>
      </c>
      <c r="AH62" s="1740"/>
      <c r="AI62" s="1737">
        <f t="shared" si="0"/>
        <v>24</v>
      </c>
      <c r="AJ62" s="1737">
        <f t="shared" si="7"/>
        <v>4</v>
      </c>
      <c r="AK62" s="1737">
        <f t="shared" si="8"/>
        <v>0</v>
      </c>
      <c r="AL62" s="1737">
        <f t="shared" si="9"/>
        <v>1</v>
      </c>
      <c r="AM62" s="1737">
        <f t="shared" si="4"/>
        <v>0</v>
      </c>
      <c r="AN62" s="1737">
        <f t="shared" si="5"/>
        <v>0</v>
      </c>
      <c r="AO62" s="1737">
        <f t="shared" si="6"/>
        <v>29</v>
      </c>
      <c r="AP62" s="1734"/>
    </row>
    <row r="63" spans="1:42" ht="18.75" customHeight="1">
      <c r="A63" s="1733">
        <v>53</v>
      </c>
      <c r="B63" s="1733">
        <v>18</v>
      </c>
      <c r="C63" s="1739" t="s">
        <v>3222</v>
      </c>
      <c r="D63" s="1740" t="s">
        <v>2552</v>
      </c>
      <c r="E63" s="1740" t="s">
        <v>2553</v>
      </c>
      <c r="F63" s="1740" t="s">
        <v>2553</v>
      </c>
      <c r="G63" s="1740" t="s">
        <v>2553</v>
      </c>
      <c r="H63" s="1740" t="s">
        <v>2553</v>
      </c>
      <c r="I63" s="1740" t="s">
        <v>2553</v>
      </c>
      <c r="J63" s="1740" t="s">
        <v>2553</v>
      </c>
      <c r="K63" s="1740" t="s">
        <v>2552</v>
      </c>
      <c r="L63" s="1740" t="s">
        <v>2553</v>
      </c>
      <c r="M63" s="1740" t="s">
        <v>2553</v>
      </c>
      <c r="N63" s="1740" t="s">
        <v>2553</v>
      </c>
      <c r="O63" s="1740"/>
      <c r="P63" s="1740" t="s">
        <v>2553</v>
      </c>
      <c r="Q63" s="1740" t="s">
        <v>2553</v>
      </c>
      <c r="R63" s="1740" t="s">
        <v>2552</v>
      </c>
      <c r="S63" s="1740" t="s">
        <v>2553</v>
      </c>
      <c r="T63" s="1740" t="s">
        <v>2553</v>
      </c>
      <c r="U63" s="1740" t="s">
        <v>2553</v>
      </c>
      <c r="V63" s="1740" t="s">
        <v>2553</v>
      </c>
      <c r="W63" s="1740" t="s">
        <v>2553</v>
      </c>
      <c r="X63" s="1740" t="s">
        <v>2553</v>
      </c>
      <c r="Y63" s="1740" t="s">
        <v>2552</v>
      </c>
      <c r="Z63" s="1740" t="s">
        <v>2553</v>
      </c>
      <c r="AA63" s="1740" t="s">
        <v>2553</v>
      </c>
      <c r="AB63" s="1740" t="s">
        <v>2553</v>
      </c>
      <c r="AC63" s="1740" t="s">
        <v>2553</v>
      </c>
      <c r="AD63" s="1740" t="s">
        <v>2553</v>
      </c>
      <c r="AE63" s="1740" t="s">
        <v>2553</v>
      </c>
      <c r="AF63" s="1740" t="s">
        <v>3320</v>
      </c>
      <c r="AG63" s="1740" t="s">
        <v>2553</v>
      </c>
      <c r="AH63" s="1740"/>
      <c r="AI63" s="1737">
        <f t="shared" si="0"/>
        <v>24</v>
      </c>
      <c r="AJ63" s="1737">
        <f t="shared" si="7"/>
        <v>4</v>
      </c>
      <c r="AK63" s="1737">
        <f t="shared" si="8"/>
        <v>0</v>
      </c>
      <c r="AL63" s="1737">
        <f t="shared" si="9"/>
        <v>1</v>
      </c>
      <c r="AM63" s="1737">
        <f t="shared" si="4"/>
        <v>0</v>
      </c>
      <c r="AN63" s="1737">
        <f t="shared" si="5"/>
        <v>0</v>
      </c>
      <c r="AO63" s="1737">
        <f t="shared" si="6"/>
        <v>29</v>
      </c>
      <c r="AP63" s="1734"/>
    </row>
    <row r="64" spans="1:42" ht="18.75" customHeight="1">
      <c r="A64" s="1733">
        <v>54</v>
      </c>
      <c r="B64" s="1733">
        <v>19</v>
      </c>
      <c r="C64" s="1739" t="s">
        <v>3223</v>
      </c>
      <c r="D64" s="1740" t="s">
        <v>2552</v>
      </c>
      <c r="E64" s="1740" t="s">
        <v>2553</v>
      </c>
      <c r="F64" s="1740" t="s">
        <v>2553</v>
      </c>
      <c r="G64" s="1740" t="s">
        <v>2553</v>
      </c>
      <c r="H64" s="1740" t="s">
        <v>2553</v>
      </c>
      <c r="I64" s="1740" t="s">
        <v>2553</v>
      </c>
      <c r="J64" s="1740" t="s">
        <v>2553</v>
      </c>
      <c r="K64" s="1740" t="s">
        <v>2552</v>
      </c>
      <c r="L64" s="1740" t="s">
        <v>2553</v>
      </c>
      <c r="M64" s="1740" t="s">
        <v>2553</v>
      </c>
      <c r="N64" s="1740" t="s">
        <v>2553</v>
      </c>
      <c r="O64" s="1740"/>
      <c r="P64" s="1740" t="s">
        <v>2553</v>
      </c>
      <c r="Q64" s="1740" t="s">
        <v>2553</v>
      </c>
      <c r="R64" s="1740" t="s">
        <v>2552</v>
      </c>
      <c r="S64" s="1740" t="s">
        <v>2553</v>
      </c>
      <c r="T64" s="1740" t="s">
        <v>2553</v>
      </c>
      <c r="U64" s="1740" t="s">
        <v>2553</v>
      </c>
      <c r="V64" s="1740" t="s">
        <v>2553</v>
      </c>
      <c r="W64" s="1740" t="s">
        <v>2553</v>
      </c>
      <c r="X64" s="1740" t="s">
        <v>2553</v>
      </c>
      <c r="Y64" s="1740" t="s">
        <v>2552</v>
      </c>
      <c r="Z64" s="1740" t="s">
        <v>2553</v>
      </c>
      <c r="AA64" s="1740" t="s">
        <v>2553</v>
      </c>
      <c r="AB64" s="1740" t="s">
        <v>2553</v>
      </c>
      <c r="AC64" s="1740" t="s">
        <v>2553</v>
      </c>
      <c r="AD64" s="1740" t="s">
        <v>2553</v>
      </c>
      <c r="AE64" s="1740" t="s">
        <v>2553</v>
      </c>
      <c r="AF64" s="1740" t="s">
        <v>3320</v>
      </c>
      <c r="AG64" s="1740" t="s">
        <v>2553</v>
      </c>
      <c r="AH64" s="1740"/>
      <c r="AI64" s="1737">
        <f t="shared" si="0"/>
        <v>24</v>
      </c>
      <c r="AJ64" s="1737">
        <f t="shared" si="7"/>
        <v>4</v>
      </c>
      <c r="AK64" s="1737">
        <f t="shared" si="8"/>
        <v>0</v>
      </c>
      <c r="AL64" s="1737">
        <f t="shared" si="9"/>
        <v>1</v>
      </c>
      <c r="AM64" s="1737">
        <f t="shared" si="4"/>
        <v>0</v>
      </c>
      <c r="AN64" s="1737">
        <f t="shared" si="5"/>
        <v>0</v>
      </c>
      <c r="AO64" s="1737">
        <f t="shared" si="6"/>
        <v>29</v>
      </c>
      <c r="AP64" s="1734"/>
    </row>
    <row r="65" spans="1:42" ht="18.75" customHeight="1">
      <c r="A65" s="1733">
        <v>55</v>
      </c>
      <c r="B65" s="1733">
        <v>20</v>
      </c>
      <c r="C65" s="1739" t="s">
        <v>3224</v>
      </c>
      <c r="D65" s="1740" t="s">
        <v>2552</v>
      </c>
      <c r="E65" s="1740" t="s">
        <v>2553</v>
      </c>
      <c r="F65" s="1740" t="s">
        <v>2553</v>
      </c>
      <c r="G65" s="1740" t="s">
        <v>2553</v>
      </c>
      <c r="H65" s="1740" t="s">
        <v>2553</v>
      </c>
      <c r="I65" s="1740" t="s">
        <v>2553</v>
      </c>
      <c r="J65" s="1740" t="s">
        <v>2553</v>
      </c>
      <c r="K65" s="1740" t="s">
        <v>2552</v>
      </c>
      <c r="L65" s="1740" t="s">
        <v>2553</v>
      </c>
      <c r="M65" s="1740" t="s">
        <v>2553</v>
      </c>
      <c r="N65" s="1740" t="s">
        <v>2553</v>
      </c>
      <c r="O65" s="1740"/>
      <c r="P65" s="1740" t="s">
        <v>2553</v>
      </c>
      <c r="Q65" s="1740" t="s">
        <v>2553</v>
      </c>
      <c r="R65" s="1740" t="s">
        <v>2552</v>
      </c>
      <c r="S65" s="1740" t="s">
        <v>2553</v>
      </c>
      <c r="T65" s="1740" t="s">
        <v>2553</v>
      </c>
      <c r="U65" s="1740" t="s">
        <v>2553</v>
      </c>
      <c r="V65" s="1740" t="s">
        <v>2553</v>
      </c>
      <c r="W65" s="1740" t="s">
        <v>2553</v>
      </c>
      <c r="X65" s="1740" t="s">
        <v>2553</v>
      </c>
      <c r="Y65" s="1740" t="s">
        <v>2552</v>
      </c>
      <c r="Z65" s="1740" t="s">
        <v>2553</v>
      </c>
      <c r="AA65" s="1740" t="s">
        <v>2553</v>
      </c>
      <c r="AB65" s="1740" t="s">
        <v>2553</v>
      </c>
      <c r="AC65" s="1740" t="s">
        <v>2553</v>
      </c>
      <c r="AD65" s="1740" t="s">
        <v>2553</v>
      </c>
      <c r="AE65" s="1740" t="s">
        <v>2553</v>
      </c>
      <c r="AF65" s="1740" t="s">
        <v>3320</v>
      </c>
      <c r="AG65" s="1740" t="s">
        <v>2553</v>
      </c>
      <c r="AH65" s="1740"/>
      <c r="AI65" s="1737">
        <f t="shared" si="0"/>
        <v>24</v>
      </c>
      <c r="AJ65" s="1737">
        <f t="shared" si="7"/>
        <v>4</v>
      </c>
      <c r="AK65" s="1737">
        <f t="shared" si="8"/>
        <v>0</v>
      </c>
      <c r="AL65" s="1737">
        <f t="shared" si="9"/>
        <v>1</v>
      </c>
      <c r="AM65" s="1737">
        <f t="shared" si="4"/>
        <v>0</v>
      </c>
      <c r="AN65" s="1737">
        <f t="shared" si="5"/>
        <v>0</v>
      </c>
      <c r="AO65" s="1737">
        <f t="shared" si="6"/>
        <v>29</v>
      </c>
      <c r="AP65" s="1734"/>
    </row>
    <row r="66" spans="1:42" ht="18.75" customHeight="1">
      <c r="A66" s="1733">
        <v>56</v>
      </c>
      <c r="B66" s="1733">
        <v>21</v>
      </c>
      <c r="C66" s="1739" t="s">
        <v>3225</v>
      </c>
      <c r="D66" s="1740" t="s">
        <v>2552</v>
      </c>
      <c r="E66" s="1740" t="s">
        <v>2553</v>
      </c>
      <c r="F66" s="1740" t="s">
        <v>2553</v>
      </c>
      <c r="G66" s="1740" t="s">
        <v>2553</v>
      </c>
      <c r="H66" s="1740" t="s">
        <v>2553</v>
      </c>
      <c r="I66" s="1740" t="s">
        <v>2553</v>
      </c>
      <c r="J66" s="1740" t="s">
        <v>2553</v>
      </c>
      <c r="K66" s="1740" t="s">
        <v>2552</v>
      </c>
      <c r="L66" s="1740" t="s">
        <v>2553</v>
      </c>
      <c r="M66" s="1740" t="s">
        <v>2553</v>
      </c>
      <c r="N66" s="1740" t="s">
        <v>2553</v>
      </c>
      <c r="O66" s="1740"/>
      <c r="P66" s="1740" t="s">
        <v>2553</v>
      </c>
      <c r="Q66" s="1740" t="s">
        <v>2553</v>
      </c>
      <c r="R66" s="1740" t="s">
        <v>2552</v>
      </c>
      <c r="S66" s="1740" t="s">
        <v>2553</v>
      </c>
      <c r="T66" s="1740" t="s">
        <v>2553</v>
      </c>
      <c r="U66" s="1740" t="s">
        <v>2553</v>
      </c>
      <c r="V66" s="1740" t="s">
        <v>2553</v>
      </c>
      <c r="W66" s="1740" t="s">
        <v>2553</v>
      </c>
      <c r="X66" s="1740" t="s">
        <v>2553</v>
      </c>
      <c r="Y66" s="1740" t="s">
        <v>2552</v>
      </c>
      <c r="Z66" s="1740" t="s">
        <v>2553</v>
      </c>
      <c r="AA66" s="1740" t="s">
        <v>2553</v>
      </c>
      <c r="AB66" s="1740" t="s">
        <v>2553</v>
      </c>
      <c r="AC66" s="1740" t="s">
        <v>2553</v>
      </c>
      <c r="AD66" s="1740" t="s">
        <v>2553</v>
      </c>
      <c r="AE66" s="1740" t="s">
        <v>2553</v>
      </c>
      <c r="AF66" s="1740" t="s">
        <v>3320</v>
      </c>
      <c r="AG66" s="1740" t="s">
        <v>2553</v>
      </c>
      <c r="AH66" s="1740"/>
      <c r="AI66" s="1737">
        <f t="shared" si="0"/>
        <v>24</v>
      </c>
      <c r="AJ66" s="1737">
        <f t="shared" si="7"/>
        <v>4</v>
      </c>
      <c r="AK66" s="1737">
        <f t="shared" si="8"/>
        <v>0</v>
      </c>
      <c r="AL66" s="1737">
        <f t="shared" si="9"/>
        <v>1</v>
      </c>
      <c r="AM66" s="1737">
        <f t="shared" si="4"/>
        <v>0</v>
      </c>
      <c r="AN66" s="1737">
        <f t="shared" si="5"/>
        <v>0</v>
      </c>
      <c r="AO66" s="1737">
        <f t="shared" si="6"/>
        <v>29</v>
      </c>
      <c r="AP66" s="1734"/>
    </row>
    <row r="67" spans="1:42" ht="18.75" customHeight="1">
      <c r="A67" s="1733">
        <v>57</v>
      </c>
      <c r="B67" s="1733">
        <v>22</v>
      </c>
      <c r="C67" s="1739" t="s">
        <v>3226</v>
      </c>
      <c r="D67" s="1740" t="s">
        <v>2552</v>
      </c>
      <c r="E67" s="1740" t="s">
        <v>2553</v>
      </c>
      <c r="F67" s="1740" t="s">
        <v>2553</v>
      </c>
      <c r="G67" s="1740" t="s">
        <v>2553</v>
      </c>
      <c r="H67" s="1740" t="s">
        <v>2553</v>
      </c>
      <c r="I67" s="1740" t="s">
        <v>2553</v>
      </c>
      <c r="J67" s="1740" t="s">
        <v>2553</v>
      </c>
      <c r="K67" s="1740" t="s">
        <v>2552</v>
      </c>
      <c r="L67" s="1740" t="s">
        <v>2553</v>
      </c>
      <c r="M67" s="1740" t="s">
        <v>2553</v>
      </c>
      <c r="N67" s="1740" t="s">
        <v>2553</v>
      </c>
      <c r="O67" s="1740"/>
      <c r="P67" s="1740" t="s">
        <v>2553</v>
      </c>
      <c r="Q67" s="1740" t="s">
        <v>2553</v>
      </c>
      <c r="R67" s="1740" t="s">
        <v>2552</v>
      </c>
      <c r="S67" s="1740" t="s">
        <v>2553</v>
      </c>
      <c r="T67" s="1740" t="s">
        <v>2553</v>
      </c>
      <c r="U67" s="1740" t="s">
        <v>2553</v>
      </c>
      <c r="V67" s="1740" t="s">
        <v>2553</v>
      </c>
      <c r="W67" s="1740" t="s">
        <v>2553</v>
      </c>
      <c r="X67" s="1740" t="s">
        <v>2553</v>
      </c>
      <c r="Y67" s="1740" t="s">
        <v>2552</v>
      </c>
      <c r="Z67" s="1740" t="s">
        <v>2553</v>
      </c>
      <c r="AA67" s="1740" t="s">
        <v>2553</v>
      </c>
      <c r="AB67" s="1740" t="s">
        <v>2553</v>
      </c>
      <c r="AC67" s="1740" t="s">
        <v>2553</v>
      </c>
      <c r="AD67" s="1740" t="s">
        <v>2553</v>
      </c>
      <c r="AE67" s="1740" t="s">
        <v>2553</v>
      </c>
      <c r="AF67" s="1740" t="s">
        <v>3320</v>
      </c>
      <c r="AG67" s="1740" t="s">
        <v>2553</v>
      </c>
      <c r="AH67" s="1740"/>
      <c r="AI67" s="1737">
        <f t="shared" si="0"/>
        <v>24</v>
      </c>
      <c r="AJ67" s="1737">
        <f t="shared" si="7"/>
        <v>4</v>
      </c>
      <c r="AK67" s="1737">
        <f t="shared" si="8"/>
        <v>0</v>
      </c>
      <c r="AL67" s="1737">
        <f t="shared" si="9"/>
        <v>1</v>
      </c>
      <c r="AM67" s="1737">
        <f t="shared" si="4"/>
        <v>0</v>
      </c>
      <c r="AN67" s="1737">
        <f t="shared" si="5"/>
        <v>0</v>
      </c>
      <c r="AO67" s="1737">
        <f t="shared" si="6"/>
        <v>29</v>
      </c>
      <c r="AP67" s="1734"/>
    </row>
    <row r="68" spans="1:42" ht="18.75" customHeight="1">
      <c r="A68" s="1733">
        <v>58</v>
      </c>
      <c r="B68" s="1733">
        <v>23</v>
      </c>
      <c r="C68" s="1739" t="s">
        <v>3227</v>
      </c>
      <c r="D68" s="1740" t="s">
        <v>2552</v>
      </c>
      <c r="E68" s="1740" t="s">
        <v>2553</v>
      </c>
      <c r="F68" s="1740" t="s">
        <v>2553</v>
      </c>
      <c r="G68" s="1740" t="s">
        <v>2553</v>
      </c>
      <c r="H68" s="1740" t="s">
        <v>2553</v>
      </c>
      <c r="I68" s="1740" t="s">
        <v>2553</v>
      </c>
      <c r="J68" s="1740" t="s">
        <v>2553</v>
      </c>
      <c r="K68" s="1740" t="s">
        <v>2552</v>
      </c>
      <c r="L68" s="1740" t="s">
        <v>2553</v>
      </c>
      <c r="M68" s="1740" t="s">
        <v>2553</v>
      </c>
      <c r="N68" s="1740" t="s">
        <v>2553</v>
      </c>
      <c r="O68" s="1740"/>
      <c r="P68" s="1740" t="s">
        <v>2553</v>
      </c>
      <c r="Q68" s="1740" t="s">
        <v>2553</v>
      </c>
      <c r="R68" s="1740" t="s">
        <v>2552</v>
      </c>
      <c r="S68" s="1740" t="s">
        <v>2553</v>
      </c>
      <c r="T68" s="1740" t="s">
        <v>2553</v>
      </c>
      <c r="U68" s="1740" t="s">
        <v>2553</v>
      </c>
      <c r="V68" s="1740" t="s">
        <v>2553</v>
      </c>
      <c r="W68" s="1740" t="s">
        <v>2553</v>
      </c>
      <c r="X68" s="1740" t="s">
        <v>2553</v>
      </c>
      <c r="Y68" s="1740" t="s">
        <v>2552</v>
      </c>
      <c r="Z68" s="1740" t="s">
        <v>2553</v>
      </c>
      <c r="AA68" s="1740" t="s">
        <v>2553</v>
      </c>
      <c r="AB68" s="1740" t="s">
        <v>2553</v>
      </c>
      <c r="AC68" s="1740" t="s">
        <v>2553</v>
      </c>
      <c r="AD68" s="1740" t="s">
        <v>2553</v>
      </c>
      <c r="AE68" s="1740" t="s">
        <v>2553</v>
      </c>
      <c r="AF68" s="1740" t="s">
        <v>3320</v>
      </c>
      <c r="AG68" s="1740" t="s">
        <v>2553</v>
      </c>
      <c r="AH68" s="1740"/>
      <c r="AI68" s="1737">
        <f t="shared" si="0"/>
        <v>24</v>
      </c>
      <c r="AJ68" s="1737">
        <f t="shared" si="7"/>
        <v>4</v>
      </c>
      <c r="AK68" s="1737">
        <f t="shared" si="8"/>
        <v>0</v>
      </c>
      <c r="AL68" s="1737">
        <f t="shared" si="9"/>
        <v>1</v>
      </c>
      <c r="AM68" s="1737">
        <f t="shared" si="4"/>
        <v>0</v>
      </c>
      <c r="AN68" s="1737">
        <f t="shared" si="5"/>
        <v>0</v>
      </c>
      <c r="AO68" s="1737">
        <f t="shared" si="6"/>
        <v>29</v>
      </c>
      <c r="AP68" s="1734"/>
    </row>
    <row r="69" spans="1:42" ht="18.75" customHeight="1">
      <c r="A69" s="1733">
        <v>59</v>
      </c>
      <c r="B69" s="1733">
        <v>24</v>
      </c>
      <c r="C69" s="1739" t="s">
        <v>1245</v>
      </c>
      <c r="D69" s="1740" t="s">
        <v>2552</v>
      </c>
      <c r="E69" s="1740" t="s">
        <v>2553</v>
      </c>
      <c r="F69" s="1740" t="s">
        <v>2553</v>
      </c>
      <c r="G69" s="1740" t="s">
        <v>2553</v>
      </c>
      <c r="H69" s="1740" t="s">
        <v>2553</v>
      </c>
      <c r="I69" s="1740" t="s">
        <v>2553</v>
      </c>
      <c r="J69" s="1740" t="s">
        <v>2553</v>
      </c>
      <c r="K69" s="1740" t="s">
        <v>2552</v>
      </c>
      <c r="L69" s="1740" t="s">
        <v>2553</v>
      </c>
      <c r="M69" s="1740" t="s">
        <v>2553</v>
      </c>
      <c r="N69" s="1740" t="s">
        <v>2553</v>
      </c>
      <c r="O69" s="1740"/>
      <c r="P69" s="1740" t="s">
        <v>2553</v>
      </c>
      <c r="Q69" s="1740" t="s">
        <v>2553</v>
      </c>
      <c r="R69" s="1740" t="s">
        <v>2552</v>
      </c>
      <c r="S69" s="1740" t="s">
        <v>2553</v>
      </c>
      <c r="T69" s="1740" t="s">
        <v>2553</v>
      </c>
      <c r="U69" s="1740" t="s">
        <v>2553</v>
      </c>
      <c r="V69" s="1740" t="s">
        <v>2553</v>
      </c>
      <c r="W69" s="1740" t="s">
        <v>2553</v>
      </c>
      <c r="X69" s="1740" t="s">
        <v>2553</v>
      </c>
      <c r="Y69" s="1740" t="s">
        <v>2552</v>
      </c>
      <c r="Z69" s="1740" t="s">
        <v>2553</v>
      </c>
      <c r="AA69" s="1740" t="s">
        <v>2553</v>
      </c>
      <c r="AB69" s="1740" t="s">
        <v>2553</v>
      </c>
      <c r="AC69" s="1740" t="s">
        <v>2553</v>
      </c>
      <c r="AD69" s="1740" t="s">
        <v>2553</v>
      </c>
      <c r="AE69" s="1740" t="s">
        <v>2553</v>
      </c>
      <c r="AF69" s="1740" t="s">
        <v>3320</v>
      </c>
      <c r="AG69" s="1740" t="s">
        <v>2553</v>
      </c>
      <c r="AH69" s="1740"/>
      <c r="AI69" s="1737">
        <f t="shared" si="0"/>
        <v>24</v>
      </c>
      <c r="AJ69" s="1737">
        <f t="shared" si="7"/>
        <v>4</v>
      </c>
      <c r="AK69" s="1737">
        <f t="shared" si="8"/>
        <v>0</v>
      </c>
      <c r="AL69" s="1737">
        <f t="shared" si="9"/>
        <v>1</v>
      </c>
      <c r="AM69" s="1737">
        <f t="shared" si="4"/>
        <v>0</v>
      </c>
      <c r="AN69" s="1737">
        <f t="shared" si="5"/>
        <v>0</v>
      </c>
      <c r="AO69" s="1737">
        <f t="shared" si="6"/>
        <v>29</v>
      </c>
      <c r="AP69" s="1734"/>
    </row>
    <row r="70" spans="1:42" ht="18.75" customHeight="1">
      <c r="A70" s="1733">
        <v>60</v>
      </c>
      <c r="B70" s="1733">
        <v>25</v>
      </c>
      <c r="C70" s="1739" t="s">
        <v>3228</v>
      </c>
      <c r="D70" s="1740" t="s">
        <v>2552</v>
      </c>
      <c r="E70" s="1740" t="s">
        <v>2553</v>
      </c>
      <c r="F70" s="1740" t="s">
        <v>2553</v>
      </c>
      <c r="G70" s="1740" t="s">
        <v>2553</v>
      </c>
      <c r="H70" s="1740" t="s">
        <v>2553</v>
      </c>
      <c r="I70" s="1740" t="s">
        <v>2553</v>
      </c>
      <c r="J70" s="1740" t="s">
        <v>2553</v>
      </c>
      <c r="K70" s="1740" t="s">
        <v>2552</v>
      </c>
      <c r="L70" s="1740" t="s">
        <v>2553</v>
      </c>
      <c r="M70" s="1740" t="s">
        <v>2553</v>
      </c>
      <c r="N70" s="1740" t="s">
        <v>2553</v>
      </c>
      <c r="O70" s="1740"/>
      <c r="P70" s="1740" t="s">
        <v>2553</v>
      </c>
      <c r="Q70" s="1740" t="s">
        <v>2553</v>
      </c>
      <c r="R70" s="1740" t="s">
        <v>2552</v>
      </c>
      <c r="S70" s="1740" t="s">
        <v>2553</v>
      </c>
      <c r="T70" s="1740" t="s">
        <v>2553</v>
      </c>
      <c r="U70" s="1740" t="s">
        <v>2553</v>
      </c>
      <c r="V70" s="1740" t="s">
        <v>2553</v>
      </c>
      <c r="W70" s="1740" t="s">
        <v>2553</v>
      </c>
      <c r="X70" s="1740" t="s">
        <v>2553</v>
      </c>
      <c r="Y70" s="1740" t="s">
        <v>2552</v>
      </c>
      <c r="Z70" s="1740" t="s">
        <v>2553</v>
      </c>
      <c r="AA70" s="1740" t="s">
        <v>2553</v>
      </c>
      <c r="AB70" s="1740" t="s">
        <v>2553</v>
      </c>
      <c r="AC70" s="1740" t="s">
        <v>2553</v>
      </c>
      <c r="AD70" s="1740" t="s">
        <v>2553</v>
      </c>
      <c r="AE70" s="1740" t="s">
        <v>2553</v>
      </c>
      <c r="AF70" s="1740" t="s">
        <v>3320</v>
      </c>
      <c r="AG70" s="1740" t="s">
        <v>2553</v>
      </c>
      <c r="AH70" s="1740"/>
      <c r="AI70" s="1737">
        <f t="shared" si="0"/>
        <v>24</v>
      </c>
      <c r="AJ70" s="1737">
        <f t="shared" si="7"/>
        <v>4</v>
      </c>
      <c r="AK70" s="1737">
        <f t="shared" si="8"/>
        <v>0</v>
      </c>
      <c r="AL70" s="1737">
        <f t="shared" si="9"/>
        <v>1</v>
      </c>
      <c r="AM70" s="1737">
        <f t="shared" si="4"/>
        <v>0</v>
      </c>
      <c r="AN70" s="1737">
        <f t="shared" si="5"/>
        <v>0</v>
      </c>
      <c r="AO70" s="1737">
        <f t="shared" si="6"/>
        <v>29</v>
      </c>
      <c r="AP70" s="1734"/>
    </row>
    <row r="71" spans="1:42" ht="18.75" customHeight="1">
      <c r="A71" s="1733">
        <v>61</v>
      </c>
      <c r="B71" s="1733">
        <v>26</v>
      </c>
      <c r="C71" s="1739" t="s">
        <v>3229</v>
      </c>
      <c r="D71" s="1740" t="s">
        <v>2552</v>
      </c>
      <c r="E71" s="1740" t="s">
        <v>2553</v>
      </c>
      <c r="F71" s="1740" t="s">
        <v>2553</v>
      </c>
      <c r="G71" s="1740" t="s">
        <v>2553</v>
      </c>
      <c r="H71" s="1740" t="s">
        <v>2553</v>
      </c>
      <c r="I71" s="1740" t="s">
        <v>2553</v>
      </c>
      <c r="J71" s="1740" t="s">
        <v>2553</v>
      </c>
      <c r="K71" s="1740" t="s">
        <v>2552</v>
      </c>
      <c r="L71" s="1740" t="s">
        <v>2553</v>
      </c>
      <c r="M71" s="1740" t="s">
        <v>2553</v>
      </c>
      <c r="N71" s="1740" t="s">
        <v>2553</v>
      </c>
      <c r="O71" s="1740"/>
      <c r="P71" s="1740" t="s">
        <v>2553</v>
      </c>
      <c r="Q71" s="1740" t="s">
        <v>2553</v>
      </c>
      <c r="R71" s="1740" t="s">
        <v>2552</v>
      </c>
      <c r="S71" s="1740" t="s">
        <v>2553</v>
      </c>
      <c r="T71" s="1740" t="s">
        <v>2553</v>
      </c>
      <c r="U71" s="1740" t="s">
        <v>2553</v>
      </c>
      <c r="V71" s="1740" t="s">
        <v>2553</v>
      </c>
      <c r="W71" s="1740" t="s">
        <v>2553</v>
      </c>
      <c r="X71" s="1740" t="s">
        <v>2553</v>
      </c>
      <c r="Y71" s="1740" t="s">
        <v>2552</v>
      </c>
      <c r="Z71" s="1740" t="s">
        <v>2553</v>
      </c>
      <c r="AA71" s="1740" t="s">
        <v>2553</v>
      </c>
      <c r="AB71" s="1740" t="s">
        <v>2553</v>
      </c>
      <c r="AC71" s="1740" t="s">
        <v>2553</v>
      </c>
      <c r="AD71" s="1740" t="s">
        <v>2553</v>
      </c>
      <c r="AE71" s="1740" t="s">
        <v>2553</v>
      </c>
      <c r="AF71" s="1740" t="s">
        <v>3320</v>
      </c>
      <c r="AG71" s="1740" t="s">
        <v>2553</v>
      </c>
      <c r="AH71" s="1740"/>
      <c r="AI71" s="1737">
        <f t="shared" si="0"/>
        <v>24</v>
      </c>
      <c r="AJ71" s="1737">
        <f t="shared" si="7"/>
        <v>4</v>
      </c>
      <c r="AK71" s="1737">
        <f t="shared" si="8"/>
        <v>0</v>
      </c>
      <c r="AL71" s="1737">
        <f t="shared" si="9"/>
        <v>1</v>
      </c>
      <c r="AM71" s="1737">
        <f t="shared" si="4"/>
        <v>0</v>
      </c>
      <c r="AN71" s="1737">
        <f t="shared" si="5"/>
        <v>0</v>
      </c>
      <c r="AO71" s="1737">
        <f t="shared" si="6"/>
        <v>29</v>
      </c>
      <c r="AP71" s="1734"/>
    </row>
    <row r="72" spans="1:42" ht="18.75" customHeight="1">
      <c r="A72" s="1733">
        <v>62</v>
      </c>
      <c r="B72" s="1733">
        <v>27</v>
      </c>
      <c r="C72" s="1739" t="s">
        <v>3230</v>
      </c>
      <c r="D72" s="1740" t="s">
        <v>2552</v>
      </c>
      <c r="E72" s="1740" t="s">
        <v>2553</v>
      </c>
      <c r="F72" s="1740" t="s">
        <v>2553</v>
      </c>
      <c r="G72" s="1740" t="s">
        <v>2553</v>
      </c>
      <c r="H72" s="1740" t="s">
        <v>2553</v>
      </c>
      <c r="I72" s="1740" t="s">
        <v>2553</v>
      </c>
      <c r="J72" s="1740" t="s">
        <v>2553</v>
      </c>
      <c r="K72" s="1740" t="s">
        <v>2552</v>
      </c>
      <c r="L72" s="1740" t="s">
        <v>2553</v>
      </c>
      <c r="M72" s="1740" t="s">
        <v>2553</v>
      </c>
      <c r="N72" s="1740" t="s">
        <v>2553</v>
      </c>
      <c r="O72" s="1740"/>
      <c r="P72" s="1740" t="s">
        <v>2553</v>
      </c>
      <c r="Q72" s="1740" t="s">
        <v>2553</v>
      </c>
      <c r="R72" s="1740" t="s">
        <v>2552</v>
      </c>
      <c r="S72" s="1740" t="s">
        <v>2553</v>
      </c>
      <c r="T72" s="1740" t="s">
        <v>2553</v>
      </c>
      <c r="U72" s="1740" t="s">
        <v>2553</v>
      </c>
      <c r="V72" s="1740" t="s">
        <v>2553</v>
      </c>
      <c r="W72" s="1740" t="s">
        <v>2553</v>
      </c>
      <c r="X72" s="1740" t="s">
        <v>2553</v>
      </c>
      <c r="Y72" s="1740" t="s">
        <v>2552</v>
      </c>
      <c r="Z72" s="1740" t="s">
        <v>2553</v>
      </c>
      <c r="AA72" s="1740" t="s">
        <v>2553</v>
      </c>
      <c r="AB72" s="1740" t="s">
        <v>2553</v>
      </c>
      <c r="AC72" s="1740" t="s">
        <v>2553</v>
      </c>
      <c r="AD72" s="1740" t="s">
        <v>2553</v>
      </c>
      <c r="AE72" s="1740" t="s">
        <v>2553</v>
      </c>
      <c r="AF72" s="1740" t="s">
        <v>3320</v>
      </c>
      <c r="AG72" s="1740" t="s">
        <v>2553</v>
      </c>
      <c r="AH72" s="1740"/>
      <c r="AI72" s="1737">
        <f t="shared" si="0"/>
        <v>24</v>
      </c>
      <c r="AJ72" s="1737">
        <f t="shared" si="7"/>
        <v>4</v>
      </c>
      <c r="AK72" s="1737">
        <f t="shared" si="8"/>
        <v>0</v>
      </c>
      <c r="AL72" s="1737">
        <f t="shared" si="9"/>
        <v>1</v>
      </c>
      <c r="AM72" s="1737">
        <f t="shared" si="4"/>
        <v>0</v>
      </c>
      <c r="AN72" s="1737">
        <f t="shared" si="5"/>
        <v>0</v>
      </c>
      <c r="AO72" s="1737">
        <f t="shared" si="6"/>
        <v>29</v>
      </c>
      <c r="AP72" s="1734"/>
    </row>
    <row r="73" spans="1:42" ht="18.75" customHeight="1">
      <c r="A73" s="1733">
        <v>63</v>
      </c>
      <c r="B73" s="1733">
        <v>28</v>
      </c>
      <c r="C73" s="1739" t="s">
        <v>408</v>
      </c>
      <c r="D73" s="1740" t="s">
        <v>2552</v>
      </c>
      <c r="E73" s="1740" t="s">
        <v>2553</v>
      </c>
      <c r="F73" s="1740" t="s">
        <v>2553</v>
      </c>
      <c r="G73" s="1740" t="s">
        <v>2553</v>
      </c>
      <c r="H73" s="1740" t="s">
        <v>2553</v>
      </c>
      <c r="I73" s="1740" t="s">
        <v>2553</v>
      </c>
      <c r="J73" s="1740" t="s">
        <v>2553</v>
      </c>
      <c r="K73" s="1740" t="s">
        <v>2552</v>
      </c>
      <c r="L73" s="1740" t="s">
        <v>2553</v>
      </c>
      <c r="M73" s="1740" t="s">
        <v>2553</v>
      </c>
      <c r="N73" s="1740" t="s">
        <v>2553</v>
      </c>
      <c r="O73" s="1740"/>
      <c r="P73" s="1740" t="s">
        <v>2553</v>
      </c>
      <c r="Q73" s="1740" t="s">
        <v>2553</v>
      </c>
      <c r="R73" s="1740" t="s">
        <v>2552</v>
      </c>
      <c r="S73" s="1740" t="s">
        <v>2553</v>
      </c>
      <c r="T73" s="1740" t="s">
        <v>2553</v>
      </c>
      <c r="U73" s="1740" t="s">
        <v>2553</v>
      </c>
      <c r="V73" s="1740" t="s">
        <v>2553</v>
      </c>
      <c r="W73" s="1740" t="s">
        <v>2553</v>
      </c>
      <c r="X73" s="1740" t="s">
        <v>2553</v>
      </c>
      <c r="Y73" s="1740" t="s">
        <v>2552</v>
      </c>
      <c r="Z73" s="1740" t="s">
        <v>2553</v>
      </c>
      <c r="AA73" s="1740" t="s">
        <v>2553</v>
      </c>
      <c r="AB73" s="1740" t="s">
        <v>2553</v>
      </c>
      <c r="AC73" s="1740" t="s">
        <v>2553</v>
      </c>
      <c r="AD73" s="1740" t="s">
        <v>2553</v>
      </c>
      <c r="AE73" s="1740" t="s">
        <v>2553</v>
      </c>
      <c r="AF73" s="1740" t="s">
        <v>3320</v>
      </c>
      <c r="AG73" s="1740" t="s">
        <v>2553</v>
      </c>
      <c r="AH73" s="1740"/>
      <c r="AI73" s="1737">
        <f t="shared" si="0"/>
        <v>24</v>
      </c>
      <c r="AJ73" s="1737">
        <f t="shared" si="7"/>
        <v>4</v>
      </c>
      <c r="AK73" s="1737">
        <f t="shared" si="8"/>
        <v>0</v>
      </c>
      <c r="AL73" s="1737">
        <f t="shared" si="9"/>
        <v>1</v>
      </c>
      <c r="AM73" s="1737">
        <f t="shared" si="4"/>
        <v>0</v>
      </c>
      <c r="AN73" s="1737">
        <f t="shared" si="5"/>
        <v>0</v>
      </c>
      <c r="AO73" s="1737">
        <f t="shared" si="6"/>
        <v>29</v>
      </c>
      <c r="AP73" s="1734"/>
    </row>
    <row r="74" spans="1:42" ht="18.75" customHeight="1">
      <c r="A74" s="1733">
        <v>64</v>
      </c>
      <c r="B74" s="1733">
        <v>29</v>
      </c>
      <c r="C74" s="1739" t="s">
        <v>3231</v>
      </c>
      <c r="D74" s="1740" t="s">
        <v>2552</v>
      </c>
      <c r="E74" s="1740" t="s">
        <v>2553</v>
      </c>
      <c r="F74" s="1740" t="s">
        <v>2553</v>
      </c>
      <c r="G74" s="1740" t="s">
        <v>2553</v>
      </c>
      <c r="H74" s="1740" t="s">
        <v>2553</v>
      </c>
      <c r="I74" s="1740" t="s">
        <v>2553</v>
      </c>
      <c r="J74" s="1740" t="s">
        <v>2553</v>
      </c>
      <c r="K74" s="1740" t="s">
        <v>2552</v>
      </c>
      <c r="L74" s="1740" t="s">
        <v>2553</v>
      </c>
      <c r="M74" s="1740" t="s">
        <v>2553</v>
      </c>
      <c r="N74" s="1740" t="s">
        <v>2553</v>
      </c>
      <c r="O74" s="1740"/>
      <c r="P74" s="1740" t="s">
        <v>2553</v>
      </c>
      <c r="Q74" s="1740" t="s">
        <v>2553</v>
      </c>
      <c r="R74" s="1740" t="s">
        <v>2552</v>
      </c>
      <c r="S74" s="1740" t="s">
        <v>2553</v>
      </c>
      <c r="T74" s="1740" t="s">
        <v>2553</v>
      </c>
      <c r="U74" s="1740" t="s">
        <v>2553</v>
      </c>
      <c r="V74" s="1740" t="s">
        <v>2553</v>
      </c>
      <c r="W74" s="1740" t="s">
        <v>2553</v>
      </c>
      <c r="X74" s="1740" t="s">
        <v>2553</v>
      </c>
      <c r="Y74" s="1740" t="s">
        <v>2552</v>
      </c>
      <c r="Z74" s="1740" t="s">
        <v>2553</v>
      </c>
      <c r="AA74" s="1740" t="s">
        <v>2553</v>
      </c>
      <c r="AB74" s="1740" t="s">
        <v>2553</v>
      </c>
      <c r="AC74" s="1740" t="s">
        <v>2553</v>
      </c>
      <c r="AD74" s="1740" t="s">
        <v>2553</v>
      </c>
      <c r="AE74" s="1740" t="s">
        <v>2553</v>
      </c>
      <c r="AF74" s="1740" t="s">
        <v>3320</v>
      </c>
      <c r="AG74" s="1740" t="s">
        <v>2553</v>
      </c>
      <c r="AH74" s="1740"/>
      <c r="AI74" s="1737">
        <f t="shared" si="0"/>
        <v>24</v>
      </c>
      <c r="AJ74" s="1737">
        <f t="shared" si="7"/>
        <v>4</v>
      </c>
      <c r="AK74" s="1737">
        <f t="shared" si="8"/>
        <v>0</v>
      </c>
      <c r="AL74" s="1737">
        <f t="shared" si="9"/>
        <v>1</v>
      </c>
      <c r="AM74" s="1737">
        <f t="shared" si="4"/>
        <v>0</v>
      </c>
      <c r="AN74" s="1737">
        <f t="shared" si="5"/>
        <v>0</v>
      </c>
      <c r="AO74" s="1737">
        <f t="shared" si="6"/>
        <v>29</v>
      </c>
      <c r="AP74" s="1734"/>
    </row>
    <row r="75" spans="1:42" ht="18.75" customHeight="1">
      <c r="A75" s="1733">
        <v>65</v>
      </c>
      <c r="B75" s="1733">
        <v>30</v>
      </c>
      <c r="C75" s="1739" t="s">
        <v>3232</v>
      </c>
      <c r="D75" s="1740" t="s">
        <v>2552</v>
      </c>
      <c r="E75" s="1740" t="s">
        <v>2553</v>
      </c>
      <c r="F75" s="1740" t="s">
        <v>2553</v>
      </c>
      <c r="G75" s="1740" t="s">
        <v>2553</v>
      </c>
      <c r="H75" s="1740" t="s">
        <v>2553</v>
      </c>
      <c r="I75" s="1740" t="s">
        <v>2553</v>
      </c>
      <c r="J75" s="1740" t="s">
        <v>2553</v>
      </c>
      <c r="K75" s="1740" t="s">
        <v>2552</v>
      </c>
      <c r="L75" s="1740" t="s">
        <v>2553</v>
      </c>
      <c r="M75" s="1740" t="s">
        <v>2553</v>
      </c>
      <c r="N75" s="1740" t="s">
        <v>2553</v>
      </c>
      <c r="O75" s="1740"/>
      <c r="P75" s="1740" t="s">
        <v>2553</v>
      </c>
      <c r="Q75" s="1740" t="s">
        <v>2553</v>
      </c>
      <c r="R75" s="1740" t="s">
        <v>2552</v>
      </c>
      <c r="S75" s="1740" t="s">
        <v>2553</v>
      </c>
      <c r="T75" s="1740" t="s">
        <v>2553</v>
      </c>
      <c r="U75" s="1740" t="s">
        <v>2553</v>
      </c>
      <c r="V75" s="1740" t="s">
        <v>2553</v>
      </c>
      <c r="W75" s="1740" t="s">
        <v>2553</v>
      </c>
      <c r="X75" s="1740" t="s">
        <v>2553</v>
      </c>
      <c r="Y75" s="1740" t="s">
        <v>2552</v>
      </c>
      <c r="Z75" s="1740" t="s">
        <v>2553</v>
      </c>
      <c r="AA75" s="1740" t="s">
        <v>2553</v>
      </c>
      <c r="AB75" s="1740" t="s">
        <v>2553</v>
      </c>
      <c r="AC75" s="1740" t="s">
        <v>2553</v>
      </c>
      <c r="AD75" s="1740" t="s">
        <v>2553</v>
      </c>
      <c r="AE75" s="1740" t="s">
        <v>2553</v>
      </c>
      <c r="AF75" s="1740" t="s">
        <v>3320</v>
      </c>
      <c r="AG75" s="1740" t="s">
        <v>2553</v>
      </c>
      <c r="AH75" s="1740"/>
      <c r="AI75" s="1737">
        <f t="shared" si="0"/>
        <v>24</v>
      </c>
      <c r="AJ75" s="1737">
        <f t="shared" si="7"/>
        <v>4</v>
      </c>
      <c r="AK75" s="1737">
        <f t="shared" si="8"/>
        <v>0</v>
      </c>
      <c r="AL75" s="1737">
        <f t="shared" si="9"/>
        <v>1</v>
      </c>
      <c r="AM75" s="1737">
        <f t="shared" si="4"/>
        <v>0</v>
      </c>
      <c r="AN75" s="1737">
        <f t="shared" si="5"/>
        <v>0</v>
      </c>
      <c r="AO75" s="1737">
        <f t="shared" si="6"/>
        <v>29</v>
      </c>
      <c r="AP75" s="1734"/>
    </row>
    <row r="76" spans="1:42" ht="18.75" customHeight="1">
      <c r="A76" s="1733">
        <v>66</v>
      </c>
      <c r="B76" s="1733">
        <v>31</v>
      </c>
      <c r="C76" s="1739" t="s">
        <v>395</v>
      </c>
      <c r="D76" s="1740" t="s">
        <v>2552</v>
      </c>
      <c r="E76" s="1740" t="s">
        <v>2553</v>
      </c>
      <c r="F76" s="1740" t="s">
        <v>2553</v>
      </c>
      <c r="G76" s="1740" t="s">
        <v>2553</v>
      </c>
      <c r="H76" s="1740" t="s">
        <v>2553</v>
      </c>
      <c r="I76" s="1740" t="s">
        <v>2553</v>
      </c>
      <c r="J76" s="1740" t="s">
        <v>2553</v>
      </c>
      <c r="K76" s="1740" t="s">
        <v>2552</v>
      </c>
      <c r="L76" s="1740" t="s">
        <v>2553</v>
      </c>
      <c r="M76" s="1740" t="s">
        <v>2553</v>
      </c>
      <c r="N76" s="1740" t="s">
        <v>2553</v>
      </c>
      <c r="O76" s="1740"/>
      <c r="P76" s="1740" t="s">
        <v>2553</v>
      </c>
      <c r="Q76" s="1740" t="s">
        <v>2553</v>
      </c>
      <c r="R76" s="1740" t="s">
        <v>2552</v>
      </c>
      <c r="S76" s="1740" t="s">
        <v>2553</v>
      </c>
      <c r="T76" s="1740" t="s">
        <v>2553</v>
      </c>
      <c r="U76" s="1740" t="s">
        <v>2553</v>
      </c>
      <c r="V76" s="1740" t="s">
        <v>2553</v>
      </c>
      <c r="W76" s="1740" t="s">
        <v>2553</v>
      </c>
      <c r="X76" s="1740" t="s">
        <v>2553</v>
      </c>
      <c r="Y76" s="1740" t="s">
        <v>2552</v>
      </c>
      <c r="Z76" s="1740" t="s">
        <v>2553</v>
      </c>
      <c r="AA76" s="1740" t="s">
        <v>2553</v>
      </c>
      <c r="AB76" s="1740" t="s">
        <v>2553</v>
      </c>
      <c r="AC76" s="1740" t="s">
        <v>2553</v>
      </c>
      <c r="AD76" s="1740" t="s">
        <v>2553</v>
      </c>
      <c r="AE76" s="1740" t="s">
        <v>2553</v>
      </c>
      <c r="AF76" s="1740" t="s">
        <v>3320</v>
      </c>
      <c r="AG76" s="1740" t="s">
        <v>2553</v>
      </c>
      <c r="AH76" s="1740"/>
      <c r="AI76" s="1737">
        <f t="shared" ref="AI76:AI88" si="10">COUNTIF(D76:AH76,"x")</f>
        <v>24</v>
      </c>
      <c r="AJ76" s="1737">
        <f t="shared" si="7"/>
        <v>4</v>
      </c>
      <c r="AK76" s="1737">
        <f t="shared" si="8"/>
        <v>0</v>
      </c>
      <c r="AL76" s="1737">
        <f t="shared" si="9"/>
        <v>1</v>
      </c>
      <c r="AM76" s="1737">
        <f t="shared" ref="AM76:AM88" si="11">COUNTIF(D76:AH76,"gt")</f>
        <v>0</v>
      </c>
      <c r="AN76" s="1737">
        <f t="shared" ref="AN76:AN88" si="12">COUNTIF(D76:AH76,"ct")</f>
        <v>0</v>
      </c>
      <c r="AO76" s="1737">
        <f t="shared" ref="AO76:AO88" si="13">SUM(AI76:AN76)</f>
        <v>29</v>
      </c>
      <c r="AP76" s="1734"/>
    </row>
    <row r="77" spans="1:42" ht="18.75" customHeight="1">
      <c r="A77" s="1733">
        <v>67</v>
      </c>
      <c r="B77" s="1733">
        <v>32</v>
      </c>
      <c r="C77" s="1739" t="s">
        <v>3233</v>
      </c>
      <c r="D77" s="1740" t="s">
        <v>2552</v>
      </c>
      <c r="E77" s="1740" t="s">
        <v>2553</v>
      </c>
      <c r="F77" s="1740" t="s">
        <v>2553</v>
      </c>
      <c r="G77" s="1740" t="s">
        <v>2553</v>
      </c>
      <c r="H77" s="1740" t="s">
        <v>2553</v>
      </c>
      <c r="I77" s="1740" t="s">
        <v>2553</v>
      </c>
      <c r="J77" s="1740" t="s">
        <v>2553</v>
      </c>
      <c r="K77" s="1740" t="s">
        <v>2552</v>
      </c>
      <c r="L77" s="1740" t="s">
        <v>2553</v>
      </c>
      <c r="M77" s="1740" t="s">
        <v>2553</v>
      </c>
      <c r="N77" s="1740" t="s">
        <v>2553</v>
      </c>
      <c r="O77" s="1740"/>
      <c r="P77" s="1740" t="s">
        <v>2553</v>
      </c>
      <c r="Q77" s="1740" t="s">
        <v>2553</v>
      </c>
      <c r="R77" s="1740" t="s">
        <v>2552</v>
      </c>
      <c r="S77" s="1740" t="s">
        <v>2553</v>
      </c>
      <c r="T77" s="1740" t="s">
        <v>2553</v>
      </c>
      <c r="U77" s="1740" t="s">
        <v>2553</v>
      </c>
      <c r="V77" s="1740" t="s">
        <v>2553</v>
      </c>
      <c r="W77" s="1740" t="s">
        <v>2553</v>
      </c>
      <c r="X77" s="1740" t="s">
        <v>2553</v>
      </c>
      <c r="Y77" s="1740" t="s">
        <v>2552</v>
      </c>
      <c r="Z77" s="1740" t="s">
        <v>2553</v>
      </c>
      <c r="AA77" s="1740" t="s">
        <v>2553</v>
      </c>
      <c r="AB77" s="1740" t="s">
        <v>2553</v>
      </c>
      <c r="AC77" s="1740" t="s">
        <v>2553</v>
      </c>
      <c r="AD77" s="1740" t="s">
        <v>2553</v>
      </c>
      <c r="AE77" s="1740" t="s">
        <v>2553</v>
      </c>
      <c r="AF77" s="1740" t="s">
        <v>3320</v>
      </c>
      <c r="AG77" s="1740" t="s">
        <v>2553</v>
      </c>
      <c r="AH77" s="1740"/>
      <c r="AI77" s="1737">
        <f t="shared" si="10"/>
        <v>24</v>
      </c>
      <c r="AJ77" s="1737">
        <f t="shared" si="7"/>
        <v>4</v>
      </c>
      <c r="AK77" s="1737">
        <f t="shared" si="8"/>
        <v>0</v>
      </c>
      <c r="AL77" s="1737">
        <f t="shared" si="9"/>
        <v>1</v>
      </c>
      <c r="AM77" s="1737">
        <f t="shared" si="11"/>
        <v>0</v>
      </c>
      <c r="AN77" s="1737">
        <f t="shared" si="12"/>
        <v>0</v>
      </c>
      <c r="AO77" s="1737">
        <f t="shared" si="13"/>
        <v>29</v>
      </c>
      <c r="AP77" s="1734"/>
    </row>
    <row r="78" spans="1:42" ht="18.75" customHeight="1">
      <c r="A78" s="1733">
        <v>68</v>
      </c>
      <c r="B78" s="1733">
        <v>33</v>
      </c>
      <c r="C78" s="1739" t="s">
        <v>3234</v>
      </c>
      <c r="D78" s="1740" t="s">
        <v>2552</v>
      </c>
      <c r="E78" s="1740" t="s">
        <v>2553</v>
      </c>
      <c r="F78" s="1740" t="s">
        <v>2553</v>
      </c>
      <c r="G78" s="1740" t="s">
        <v>2553</v>
      </c>
      <c r="H78" s="1740" t="s">
        <v>2553</v>
      </c>
      <c r="I78" s="1740" t="s">
        <v>2553</v>
      </c>
      <c r="J78" s="1740" t="s">
        <v>2553</v>
      </c>
      <c r="K78" s="1740" t="s">
        <v>2552</v>
      </c>
      <c r="L78" s="1740" t="s">
        <v>2553</v>
      </c>
      <c r="M78" s="1740" t="s">
        <v>2553</v>
      </c>
      <c r="N78" s="1740" t="s">
        <v>2553</v>
      </c>
      <c r="O78" s="1740"/>
      <c r="P78" s="1740" t="s">
        <v>2553</v>
      </c>
      <c r="Q78" s="1740" t="s">
        <v>2553</v>
      </c>
      <c r="R78" s="1740" t="s">
        <v>2552</v>
      </c>
      <c r="S78" s="1740" t="s">
        <v>2553</v>
      </c>
      <c r="T78" s="1740" t="s">
        <v>2553</v>
      </c>
      <c r="U78" s="1740" t="s">
        <v>2553</v>
      </c>
      <c r="V78" s="1740" t="s">
        <v>2553</v>
      </c>
      <c r="W78" s="1740" t="s">
        <v>2553</v>
      </c>
      <c r="X78" s="1740" t="s">
        <v>2553</v>
      </c>
      <c r="Y78" s="1740" t="s">
        <v>2552</v>
      </c>
      <c r="Z78" s="1740" t="s">
        <v>2553</v>
      </c>
      <c r="AA78" s="1740" t="s">
        <v>2553</v>
      </c>
      <c r="AB78" s="1740" t="s">
        <v>2553</v>
      </c>
      <c r="AC78" s="1740" t="s">
        <v>2553</v>
      </c>
      <c r="AD78" s="1740" t="s">
        <v>2553</v>
      </c>
      <c r="AE78" s="1740" t="s">
        <v>2553</v>
      </c>
      <c r="AF78" s="1740" t="s">
        <v>3320</v>
      </c>
      <c r="AG78" s="1740" t="s">
        <v>2553</v>
      </c>
      <c r="AH78" s="1740"/>
      <c r="AI78" s="1737">
        <f t="shared" si="10"/>
        <v>24</v>
      </c>
      <c r="AJ78" s="1737">
        <f t="shared" si="7"/>
        <v>4</v>
      </c>
      <c r="AK78" s="1737">
        <f t="shared" si="8"/>
        <v>0</v>
      </c>
      <c r="AL78" s="1737">
        <f t="shared" si="9"/>
        <v>1</v>
      </c>
      <c r="AM78" s="1737">
        <f t="shared" si="11"/>
        <v>0</v>
      </c>
      <c r="AN78" s="1737">
        <f t="shared" si="12"/>
        <v>0</v>
      </c>
      <c r="AO78" s="1737">
        <f t="shared" si="13"/>
        <v>29</v>
      </c>
      <c r="AP78" s="1734"/>
    </row>
    <row r="79" spans="1:42" ht="18.75" customHeight="1">
      <c r="A79" s="1733">
        <v>69</v>
      </c>
      <c r="B79" s="1733">
        <v>34</v>
      </c>
      <c r="C79" s="1739" t="s">
        <v>3235</v>
      </c>
      <c r="D79" s="1740" t="s">
        <v>2552</v>
      </c>
      <c r="E79" s="1740" t="s">
        <v>2553</v>
      </c>
      <c r="F79" s="1740" t="s">
        <v>2553</v>
      </c>
      <c r="G79" s="1740" t="s">
        <v>2553</v>
      </c>
      <c r="H79" s="1740" t="s">
        <v>2553</v>
      </c>
      <c r="I79" s="1740" t="s">
        <v>2553</v>
      </c>
      <c r="J79" s="1740" t="s">
        <v>2553</v>
      </c>
      <c r="K79" s="1740" t="s">
        <v>2552</v>
      </c>
      <c r="L79" s="1740" t="s">
        <v>2553</v>
      </c>
      <c r="M79" s="1740" t="s">
        <v>2553</v>
      </c>
      <c r="N79" s="1740" t="s">
        <v>2553</v>
      </c>
      <c r="O79" s="1740"/>
      <c r="P79" s="1740" t="s">
        <v>2553</v>
      </c>
      <c r="Q79" s="1740" t="s">
        <v>2553</v>
      </c>
      <c r="R79" s="1740" t="s">
        <v>2552</v>
      </c>
      <c r="S79" s="1740" t="s">
        <v>2553</v>
      </c>
      <c r="T79" s="1740" t="s">
        <v>2553</v>
      </c>
      <c r="U79" s="1740" t="s">
        <v>2553</v>
      </c>
      <c r="V79" s="1740" t="s">
        <v>2553</v>
      </c>
      <c r="W79" s="1740" t="s">
        <v>2553</v>
      </c>
      <c r="X79" s="1740" t="s">
        <v>2553</v>
      </c>
      <c r="Y79" s="1740" t="s">
        <v>2552</v>
      </c>
      <c r="Z79" s="1740" t="s">
        <v>2553</v>
      </c>
      <c r="AA79" s="1740" t="s">
        <v>2553</v>
      </c>
      <c r="AB79" s="1740" t="s">
        <v>2553</v>
      </c>
      <c r="AC79" s="1740" t="s">
        <v>2553</v>
      </c>
      <c r="AD79" s="1740" t="s">
        <v>2553</v>
      </c>
      <c r="AE79" s="1740" t="s">
        <v>2553</v>
      </c>
      <c r="AF79" s="1740" t="s">
        <v>3320</v>
      </c>
      <c r="AG79" s="1740" t="s">
        <v>2553</v>
      </c>
      <c r="AH79" s="1740"/>
      <c r="AI79" s="1737">
        <f t="shared" si="10"/>
        <v>24</v>
      </c>
      <c r="AJ79" s="1737">
        <f t="shared" si="7"/>
        <v>4</v>
      </c>
      <c r="AK79" s="1737">
        <f t="shared" si="8"/>
        <v>0</v>
      </c>
      <c r="AL79" s="1737">
        <f t="shared" si="9"/>
        <v>1</v>
      </c>
      <c r="AM79" s="1737">
        <f t="shared" si="11"/>
        <v>0</v>
      </c>
      <c r="AN79" s="1737">
        <f t="shared" si="12"/>
        <v>0</v>
      </c>
      <c r="AO79" s="1737">
        <f t="shared" si="13"/>
        <v>29</v>
      </c>
      <c r="AP79" s="1734"/>
    </row>
    <row r="80" spans="1:42" ht="18.75" customHeight="1">
      <c r="A80" s="1733">
        <v>70</v>
      </c>
      <c r="B80" s="1733">
        <v>35</v>
      </c>
      <c r="C80" s="1739" t="s">
        <v>3236</v>
      </c>
      <c r="D80" s="1740" t="s">
        <v>2552</v>
      </c>
      <c r="E80" s="1740" t="s">
        <v>2553</v>
      </c>
      <c r="F80" s="1740" t="s">
        <v>2553</v>
      </c>
      <c r="G80" s="1740" t="s">
        <v>2553</v>
      </c>
      <c r="H80" s="1740" t="s">
        <v>2553</v>
      </c>
      <c r="I80" s="1740" t="s">
        <v>2553</v>
      </c>
      <c r="J80" s="1740" t="s">
        <v>2553</v>
      </c>
      <c r="K80" s="1740" t="s">
        <v>2552</v>
      </c>
      <c r="L80" s="1740" t="s">
        <v>2553</v>
      </c>
      <c r="M80" s="1740" t="s">
        <v>2553</v>
      </c>
      <c r="N80" s="1740" t="s">
        <v>2553</v>
      </c>
      <c r="O80" s="1740"/>
      <c r="P80" s="1740" t="s">
        <v>2553</v>
      </c>
      <c r="Q80" s="1740" t="s">
        <v>2553</v>
      </c>
      <c r="R80" s="1740" t="s">
        <v>2552</v>
      </c>
      <c r="S80" s="1740" t="s">
        <v>2553</v>
      </c>
      <c r="T80" s="1740" t="s">
        <v>2553</v>
      </c>
      <c r="U80" s="1740" t="s">
        <v>2553</v>
      </c>
      <c r="V80" s="1740" t="s">
        <v>2553</v>
      </c>
      <c r="W80" s="1740" t="s">
        <v>2553</v>
      </c>
      <c r="X80" s="1740" t="s">
        <v>2553</v>
      </c>
      <c r="Y80" s="1740" t="s">
        <v>2552</v>
      </c>
      <c r="Z80" s="1740" t="s">
        <v>2553</v>
      </c>
      <c r="AA80" s="1740" t="s">
        <v>2553</v>
      </c>
      <c r="AB80" s="1740" t="s">
        <v>2553</v>
      </c>
      <c r="AC80" s="1740" t="s">
        <v>2553</v>
      </c>
      <c r="AD80" s="1740" t="s">
        <v>2553</v>
      </c>
      <c r="AE80" s="1740" t="s">
        <v>2553</v>
      </c>
      <c r="AF80" s="1740" t="s">
        <v>3320</v>
      </c>
      <c r="AG80" s="1740" t="s">
        <v>2553</v>
      </c>
      <c r="AH80" s="1740"/>
      <c r="AI80" s="1737">
        <f t="shared" si="10"/>
        <v>24</v>
      </c>
      <c r="AJ80" s="1737">
        <f t="shared" si="7"/>
        <v>4</v>
      </c>
      <c r="AK80" s="1737">
        <f t="shared" si="8"/>
        <v>0</v>
      </c>
      <c r="AL80" s="1737">
        <f t="shared" si="9"/>
        <v>1</v>
      </c>
      <c r="AM80" s="1737">
        <f t="shared" si="11"/>
        <v>0</v>
      </c>
      <c r="AN80" s="1737">
        <f t="shared" si="12"/>
        <v>0</v>
      </c>
      <c r="AO80" s="1737">
        <f t="shared" si="13"/>
        <v>29</v>
      </c>
      <c r="AP80" s="1734"/>
    </row>
    <row r="81" spans="1:43" ht="18.75" customHeight="1">
      <c r="A81" s="1733">
        <v>71</v>
      </c>
      <c r="B81" s="1733">
        <v>36</v>
      </c>
      <c r="C81" s="1739" t="s">
        <v>3237</v>
      </c>
      <c r="D81" s="1740" t="s">
        <v>2552</v>
      </c>
      <c r="E81" s="1740" t="s">
        <v>2553</v>
      </c>
      <c r="F81" s="1740" t="s">
        <v>2553</v>
      </c>
      <c r="G81" s="1740" t="s">
        <v>2553</v>
      </c>
      <c r="H81" s="1740" t="s">
        <v>2553</v>
      </c>
      <c r="I81" s="1740" t="s">
        <v>2553</v>
      </c>
      <c r="J81" s="1740" t="s">
        <v>2553</v>
      </c>
      <c r="K81" s="1740" t="s">
        <v>2552</v>
      </c>
      <c r="L81" s="1740" t="s">
        <v>2553</v>
      </c>
      <c r="M81" s="1740" t="s">
        <v>2553</v>
      </c>
      <c r="N81" s="1740" t="s">
        <v>2553</v>
      </c>
      <c r="O81" s="1740"/>
      <c r="P81" s="1740" t="s">
        <v>2553</v>
      </c>
      <c r="Q81" s="1740" t="s">
        <v>2553</v>
      </c>
      <c r="R81" s="1740" t="s">
        <v>2552</v>
      </c>
      <c r="S81" s="1740" t="s">
        <v>2553</v>
      </c>
      <c r="T81" s="1740" t="s">
        <v>2553</v>
      </c>
      <c r="U81" s="1740" t="s">
        <v>2553</v>
      </c>
      <c r="V81" s="1740" t="s">
        <v>2553</v>
      </c>
      <c r="W81" s="1740" t="s">
        <v>2553</v>
      </c>
      <c r="X81" s="1740" t="s">
        <v>2553</v>
      </c>
      <c r="Y81" s="1740" t="s">
        <v>2552</v>
      </c>
      <c r="Z81" s="1740" t="s">
        <v>2553</v>
      </c>
      <c r="AA81" s="1740" t="s">
        <v>2553</v>
      </c>
      <c r="AB81" s="1740" t="s">
        <v>2553</v>
      </c>
      <c r="AC81" s="1740" t="s">
        <v>2553</v>
      </c>
      <c r="AD81" s="1740" t="s">
        <v>2553</v>
      </c>
      <c r="AE81" s="1740" t="s">
        <v>2553</v>
      </c>
      <c r="AF81" s="1740" t="s">
        <v>3320</v>
      </c>
      <c r="AG81" s="1740" t="s">
        <v>2553</v>
      </c>
      <c r="AH81" s="1740"/>
      <c r="AI81" s="1737">
        <f t="shared" si="10"/>
        <v>24</v>
      </c>
      <c r="AJ81" s="1737">
        <f t="shared" si="7"/>
        <v>4</v>
      </c>
      <c r="AK81" s="1737">
        <f t="shared" si="8"/>
        <v>0</v>
      </c>
      <c r="AL81" s="1737">
        <f t="shared" si="9"/>
        <v>1</v>
      </c>
      <c r="AM81" s="1737">
        <f t="shared" si="11"/>
        <v>0</v>
      </c>
      <c r="AN81" s="1737">
        <f t="shared" si="12"/>
        <v>0</v>
      </c>
      <c r="AO81" s="1737">
        <f t="shared" si="13"/>
        <v>29</v>
      </c>
      <c r="AP81" s="1734"/>
    </row>
    <row r="82" spans="1:43" ht="18.75" customHeight="1">
      <c r="A82" s="1733">
        <v>72</v>
      </c>
      <c r="B82" s="1733">
        <v>37</v>
      </c>
      <c r="C82" s="1739" t="s">
        <v>3238</v>
      </c>
      <c r="D82" s="1740" t="s">
        <v>2552</v>
      </c>
      <c r="E82" s="1740" t="s">
        <v>2553</v>
      </c>
      <c r="F82" s="1740" t="s">
        <v>2553</v>
      </c>
      <c r="G82" s="1740" t="s">
        <v>2553</v>
      </c>
      <c r="H82" s="1740" t="s">
        <v>2553</v>
      </c>
      <c r="I82" s="1740" t="s">
        <v>2553</v>
      </c>
      <c r="J82" s="1740" t="s">
        <v>2553</v>
      </c>
      <c r="K82" s="1740" t="s">
        <v>2552</v>
      </c>
      <c r="L82" s="1740" t="s">
        <v>2553</v>
      </c>
      <c r="M82" s="1740" t="s">
        <v>2553</v>
      </c>
      <c r="N82" s="1740" t="s">
        <v>2553</v>
      </c>
      <c r="O82" s="1740"/>
      <c r="P82" s="1740" t="s">
        <v>2553</v>
      </c>
      <c r="Q82" s="1740" t="s">
        <v>2553</v>
      </c>
      <c r="R82" s="1740" t="s">
        <v>2552</v>
      </c>
      <c r="S82" s="1740" t="s">
        <v>2553</v>
      </c>
      <c r="T82" s="1740" t="s">
        <v>2553</v>
      </c>
      <c r="U82" s="1740" t="s">
        <v>2553</v>
      </c>
      <c r="V82" s="1740" t="s">
        <v>2553</v>
      </c>
      <c r="W82" s="1740" t="s">
        <v>2553</v>
      </c>
      <c r="X82" s="1740" t="s">
        <v>2553</v>
      </c>
      <c r="Y82" s="1740" t="s">
        <v>2552</v>
      </c>
      <c r="Z82" s="1740" t="s">
        <v>2553</v>
      </c>
      <c r="AA82" s="1740" t="s">
        <v>2553</v>
      </c>
      <c r="AB82" s="1740" t="s">
        <v>2553</v>
      </c>
      <c r="AC82" s="1740" t="s">
        <v>2553</v>
      </c>
      <c r="AD82" s="1740" t="s">
        <v>2553</v>
      </c>
      <c r="AE82" s="1740" t="s">
        <v>2553</v>
      </c>
      <c r="AF82" s="1740" t="s">
        <v>3320</v>
      </c>
      <c r="AG82" s="1740" t="s">
        <v>2553</v>
      </c>
      <c r="AH82" s="1740"/>
      <c r="AI82" s="1737">
        <f t="shared" si="10"/>
        <v>24</v>
      </c>
      <c r="AJ82" s="1737">
        <f t="shared" si="7"/>
        <v>4</v>
      </c>
      <c r="AK82" s="1737">
        <f t="shared" si="8"/>
        <v>0</v>
      </c>
      <c r="AL82" s="1737">
        <f t="shared" si="9"/>
        <v>1</v>
      </c>
      <c r="AM82" s="1737">
        <f t="shared" si="11"/>
        <v>0</v>
      </c>
      <c r="AN82" s="1737">
        <f t="shared" si="12"/>
        <v>0</v>
      </c>
      <c r="AO82" s="1737">
        <f t="shared" si="13"/>
        <v>29</v>
      </c>
      <c r="AP82" s="1734"/>
    </row>
    <row r="83" spans="1:43" ht="18.75" customHeight="1">
      <c r="A83" s="1733">
        <v>73</v>
      </c>
      <c r="B83" s="1733">
        <v>38</v>
      </c>
      <c r="C83" s="1739" t="s">
        <v>3239</v>
      </c>
      <c r="D83" s="1740" t="s">
        <v>2552</v>
      </c>
      <c r="E83" s="1740" t="s">
        <v>2553</v>
      </c>
      <c r="F83" s="1740" t="s">
        <v>2553</v>
      </c>
      <c r="G83" s="1740" t="s">
        <v>2553</v>
      </c>
      <c r="H83" s="1740" t="s">
        <v>2553</v>
      </c>
      <c r="I83" s="1740" t="s">
        <v>2553</v>
      </c>
      <c r="J83" s="1740" t="s">
        <v>2553</v>
      </c>
      <c r="K83" s="1740" t="s">
        <v>2552</v>
      </c>
      <c r="L83" s="1740" t="s">
        <v>2553</v>
      </c>
      <c r="M83" s="1740" t="s">
        <v>2553</v>
      </c>
      <c r="N83" s="1740" t="s">
        <v>2553</v>
      </c>
      <c r="O83" s="1740"/>
      <c r="P83" s="1740" t="s">
        <v>2553</v>
      </c>
      <c r="Q83" s="1740" t="s">
        <v>2553</v>
      </c>
      <c r="R83" s="1740" t="s">
        <v>2552</v>
      </c>
      <c r="S83" s="1740" t="s">
        <v>2553</v>
      </c>
      <c r="T83" s="1740" t="s">
        <v>2553</v>
      </c>
      <c r="U83" s="1740" t="s">
        <v>2553</v>
      </c>
      <c r="V83" s="1740" t="s">
        <v>2553</v>
      </c>
      <c r="W83" s="1740" t="s">
        <v>2553</v>
      </c>
      <c r="X83" s="1740" t="s">
        <v>2553</v>
      </c>
      <c r="Y83" s="1740" t="s">
        <v>2552</v>
      </c>
      <c r="Z83" s="1740" t="s">
        <v>2553</v>
      </c>
      <c r="AA83" s="1740" t="s">
        <v>2553</v>
      </c>
      <c r="AB83" s="1740" t="s">
        <v>2553</v>
      </c>
      <c r="AC83" s="1740" t="s">
        <v>2553</v>
      </c>
      <c r="AD83" s="1740" t="s">
        <v>2553</v>
      </c>
      <c r="AE83" s="1740" t="s">
        <v>2553</v>
      </c>
      <c r="AF83" s="1740" t="s">
        <v>3320</v>
      </c>
      <c r="AG83" s="1740" t="s">
        <v>2553</v>
      </c>
      <c r="AH83" s="1740"/>
      <c r="AI83" s="1737">
        <f t="shared" si="10"/>
        <v>24</v>
      </c>
      <c r="AJ83" s="1737">
        <f t="shared" si="7"/>
        <v>4</v>
      </c>
      <c r="AK83" s="1737">
        <f t="shared" si="8"/>
        <v>0</v>
      </c>
      <c r="AL83" s="1737">
        <f t="shared" si="9"/>
        <v>1</v>
      </c>
      <c r="AM83" s="1737">
        <f t="shared" si="11"/>
        <v>0</v>
      </c>
      <c r="AN83" s="1737">
        <f t="shared" si="12"/>
        <v>0</v>
      </c>
      <c r="AO83" s="1737">
        <f t="shared" si="13"/>
        <v>29</v>
      </c>
      <c r="AP83" s="1734"/>
    </row>
    <row r="84" spans="1:43" ht="18.75" customHeight="1">
      <c r="A84" s="1733">
        <v>74</v>
      </c>
      <c r="B84" s="1733">
        <v>39</v>
      </c>
      <c r="C84" s="1739" t="s">
        <v>3240</v>
      </c>
      <c r="D84" s="1740" t="s">
        <v>2552</v>
      </c>
      <c r="E84" s="1740" t="s">
        <v>2553</v>
      </c>
      <c r="F84" s="1740" t="s">
        <v>2553</v>
      </c>
      <c r="G84" s="1740" t="s">
        <v>2553</v>
      </c>
      <c r="H84" s="1740" t="s">
        <v>2553</v>
      </c>
      <c r="I84" s="1740" t="s">
        <v>2553</v>
      </c>
      <c r="J84" s="1740" t="s">
        <v>2553</v>
      </c>
      <c r="K84" s="1740" t="s">
        <v>2552</v>
      </c>
      <c r="L84" s="1740" t="s">
        <v>2553</v>
      </c>
      <c r="M84" s="1740" t="s">
        <v>2553</v>
      </c>
      <c r="N84" s="1740" t="s">
        <v>2553</v>
      </c>
      <c r="O84" s="1740"/>
      <c r="P84" s="1740" t="s">
        <v>2553</v>
      </c>
      <c r="Q84" s="1740" t="s">
        <v>2553</v>
      </c>
      <c r="R84" s="1740" t="s">
        <v>2552</v>
      </c>
      <c r="S84" s="1740" t="s">
        <v>2553</v>
      </c>
      <c r="T84" s="1740" t="s">
        <v>2553</v>
      </c>
      <c r="U84" s="1740" t="s">
        <v>2553</v>
      </c>
      <c r="V84" s="1740" t="s">
        <v>2553</v>
      </c>
      <c r="W84" s="1740" t="s">
        <v>2553</v>
      </c>
      <c r="X84" s="1740" t="s">
        <v>2553</v>
      </c>
      <c r="Y84" s="1740" t="s">
        <v>2552</v>
      </c>
      <c r="Z84" s="1740" t="s">
        <v>2553</v>
      </c>
      <c r="AA84" s="1740" t="s">
        <v>2553</v>
      </c>
      <c r="AB84" s="1740" t="s">
        <v>2553</v>
      </c>
      <c r="AC84" s="1740" t="s">
        <v>2553</v>
      </c>
      <c r="AD84" s="1740" t="s">
        <v>2553</v>
      </c>
      <c r="AE84" s="1740" t="s">
        <v>2553</v>
      </c>
      <c r="AF84" s="1740" t="s">
        <v>3320</v>
      </c>
      <c r="AG84" s="1740" t="s">
        <v>2553</v>
      </c>
      <c r="AH84" s="1740"/>
      <c r="AI84" s="1737">
        <f t="shared" si="10"/>
        <v>24</v>
      </c>
      <c r="AJ84" s="1737">
        <f t="shared" si="7"/>
        <v>4</v>
      </c>
      <c r="AK84" s="1737">
        <f t="shared" si="8"/>
        <v>0</v>
      </c>
      <c r="AL84" s="1737">
        <f t="shared" si="9"/>
        <v>1</v>
      </c>
      <c r="AM84" s="1737">
        <f t="shared" si="11"/>
        <v>0</v>
      </c>
      <c r="AN84" s="1737">
        <f t="shared" si="12"/>
        <v>0</v>
      </c>
      <c r="AO84" s="1737">
        <f t="shared" si="13"/>
        <v>29</v>
      </c>
      <c r="AP84" s="1734"/>
    </row>
    <row r="85" spans="1:43" ht="18.75" customHeight="1">
      <c r="A85" s="1733">
        <v>75</v>
      </c>
      <c r="B85" s="1733">
        <v>40</v>
      </c>
      <c r="C85" s="1739" t="s">
        <v>3241</v>
      </c>
      <c r="D85" s="1740" t="s">
        <v>2552</v>
      </c>
      <c r="E85" s="1740" t="s">
        <v>2553</v>
      </c>
      <c r="F85" s="1740" t="s">
        <v>2553</v>
      </c>
      <c r="G85" s="1740" t="s">
        <v>2553</v>
      </c>
      <c r="H85" s="1740" t="s">
        <v>2553</v>
      </c>
      <c r="I85" s="1740" t="s">
        <v>2553</v>
      </c>
      <c r="J85" s="1740" t="s">
        <v>2553</v>
      </c>
      <c r="K85" s="1740" t="s">
        <v>2552</v>
      </c>
      <c r="L85" s="1740" t="s">
        <v>2553</v>
      </c>
      <c r="M85" s="1740" t="s">
        <v>2553</v>
      </c>
      <c r="N85" s="1740" t="s">
        <v>2553</v>
      </c>
      <c r="O85" s="1740"/>
      <c r="P85" s="1740" t="s">
        <v>2553</v>
      </c>
      <c r="Q85" s="1740" t="s">
        <v>2553</v>
      </c>
      <c r="R85" s="1740" t="s">
        <v>2552</v>
      </c>
      <c r="S85" s="1740" t="s">
        <v>2553</v>
      </c>
      <c r="T85" s="1740" t="s">
        <v>2553</v>
      </c>
      <c r="U85" s="1740" t="s">
        <v>2553</v>
      </c>
      <c r="V85" s="1740" t="s">
        <v>2553</v>
      </c>
      <c r="W85" s="1740" t="s">
        <v>2553</v>
      </c>
      <c r="X85" s="1740" t="s">
        <v>2553</v>
      </c>
      <c r="Y85" s="1740" t="s">
        <v>2552</v>
      </c>
      <c r="Z85" s="1740" t="s">
        <v>2553</v>
      </c>
      <c r="AA85" s="1740" t="s">
        <v>2553</v>
      </c>
      <c r="AB85" s="1740" t="s">
        <v>2553</v>
      </c>
      <c r="AC85" s="1740" t="s">
        <v>2553</v>
      </c>
      <c r="AD85" s="1740" t="s">
        <v>2553</v>
      </c>
      <c r="AE85" s="1740" t="s">
        <v>2553</v>
      </c>
      <c r="AF85" s="1740" t="s">
        <v>3320</v>
      </c>
      <c r="AG85" s="1740" t="s">
        <v>2553</v>
      </c>
      <c r="AH85" s="1740"/>
      <c r="AI85" s="1737">
        <f t="shared" si="10"/>
        <v>24</v>
      </c>
      <c r="AJ85" s="1737">
        <f t="shared" si="7"/>
        <v>4</v>
      </c>
      <c r="AK85" s="1737">
        <f t="shared" si="8"/>
        <v>0</v>
      </c>
      <c r="AL85" s="1737">
        <f t="shared" si="9"/>
        <v>1</v>
      </c>
      <c r="AM85" s="1737">
        <f t="shared" si="11"/>
        <v>0</v>
      </c>
      <c r="AN85" s="1737">
        <f t="shared" si="12"/>
        <v>0</v>
      </c>
      <c r="AO85" s="1737">
        <f t="shared" si="13"/>
        <v>29</v>
      </c>
      <c r="AP85" s="1734"/>
    </row>
    <row r="86" spans="1:43" ht="18.75" customHeight="1">
      <c r="A86" s="1733">
        <v>76</v>
      </c>
      <c r="B86" s="1733">
        <v>41</v>
      </c>
      <c r="C86" s="1739" t="s">
        <v>3242</v>
      </c>
      <c r="D86" s="1740" t="s">
        <v>2552</v>
      </c>
      <c r="E86" s="1740" t="s">
        <v>2553</v>
      </c>
      <c r="F86" s="1740" t="s">
        <v>2553</v>
      </c>
      <c r="G86" s="1740" t="s">
        <v>2553</v>
      </c>
      <c r="H86" s="1740" t="s">
        <v>2553</v>
      </c>
      <c r="I86" s="1740" t="s">
        <v>2553</v>
      </c>
      <c r="J86" s="1740" t="s">
        <v>2553</v>
      </c>
      <c r="K86" s="1740" t="s">
        <v>2552</v>
      </c>
      <c r="L86" s="1740" t="s">
        <v>2553</v>
      </c>
      <c r="M86" s="1740" t="s">
        <v>2553</v>
      </c>
      <c r="N86" s="1740" t="s">
        <v>2553</v>
      </c>
      <c r="O86" s="1740"/>
      <c r="P86" s="1740" t="s">
        <v>2553</v>
      </c>
      <c r="Q86" s="1740" t="s">
        <v>2553</v>
      </c>
      <c r="R86" s="1740" t="s">
        <v>2552</v>
      </c>
      <c r="S86" s="1740" t="s">
        <v>2553</v>
      </c>
      <c r="T86" s="1740" t="s">
        <v>2553</v>
      </c>
      <c r="U86" s="1740" t="s">
        <v>2553</v>
      </c>
      <c r="V86" s="1740" t="s">
        <v>2553</v>
      </c>
      <c r="W86" s="1740" t="s">
        <v>2553</v>
      </c>
      <c r="X86" s="1740" t="s">
        <v>2553</v>
      </c>
      <c r="Y86" s="1740" t="s">
        <v>2552</v>
      </c>
      <c r="Z86" s="1740" t="s">
        <v>2553</v>
      </c>
      <c r="AA86" s="1740" t="s">
        <v>2553</v>
      </c>
      <c r="AB86" s="1740" t="s">
        <v>2553</v>
      </c>
      <c r="AC86" s="1740" t="s">
        <v>2553</v>
      </c>
      <c r="AD86" s="1740" t="s">
        <v>2553</v>
      </c>
      <c r="AE86" s="1740" t="s">
        <v>2553</v>
      </c>
      <c r="AF86" s="1740" t="s">
        <v>3320</v>
      </c>
      <c r="AG86" s="1740" t="s">
        <v>2553</v>
      </c>
      <c r="AH86" s="1740"/>
      <c r="AI86" s="1737">
        <f t="shared" si="10"/>
        <v>24</v>
      </c>
      <c r="AJ86" s="1737">
        <f t="shared" si="7"/>
        <v>4</v>
      </c>
      <c r="AK86" s="1737">
        <f t="shared" si="8"/>
        <v>0</v>
      </c>
      <c r="AL86" s="1737">
        <f t="shared" si="9"/>
        <v>1</v>
      </c>
      <c r="AM86" s="1737">
        <f t="shared" si="11"/>
        <v>0</v>
      </c>
      <c r="AN86" s="1737">
        <f t="shared" si="12"/>
        <v>0</v>
      </c>
      <c r="AO86" s="1737">
        <f t="shared" si="13"/>
        <v>29</v>
      </c>
      <c r="AP86" s="1734"/>
    </row>
    <row r="87" spans="1:43" ht="18.75" customHeight="1">
      <c r="A87" s="1733">
        <v>77</v>
      </c>
      <c r="B87" s="1733">
        <v>42</v>
      </c>
      <c r="C87" s="1739" t="s">
        <v>3243</v>
      </c>
      <c r="D87" s="1740" t="s">
        <v>2552</v>
      </c>
      <c r="E87" s="1740" t="s">
        <v>2553</v>
      </c>
      <c r="F87" s="1740" t="s">
        <v>2553</v>
      </c>
      <c r="G87" s="1740" t="s">
        <v>2553</v>
      </c>
      <c r="H87" s="1740" t="s">
        <v>2553</v>
      </c>
      <c r="I87" s="1740" t="s">
        <v>2553</v>
      </c>
      <c r="J87" s="1740" t="s">
        <v>2553</v>
      </c>
      <c r="K87" s="1740" t="s">
        <v>2552</v>
      </c>
      <c r="L87" s="1740" t="s">
        <v>2553</v>
      </c>
      <c r="M87" s="1740" t="s">
        <v>2553</v>
      </c>
      <c r="N87" s="1740" t="s">
        <v>2553</v>
      </c>
      <c r="O87" s="1740"/>
      <c r="P87" s="1740" t="s">
        <v>2553</v>
      </c>
      <c r="Q87" s="1740" t="s">
        <v>2553</v>
      </c>
      <c r="R87" s="1740" t="s">
        <v>2552</v>
      </c>
      <c r="S87" s="1740" t="s">
        <v>2553</v>
      </c>
      <c r="T87" s="1740" t="s">
        <v>2553</v>
      </c>
      <c r="U87" s="1740" t="s">
        <v>2553</v>
      </c>
      <c r="V87" s="1740" t="s">
        <v>2553</v>
      </c>
      <c r="W87" s="1740" t="s">
        <v>2553</v>
      </c>
      <c r="X87" s="1740" t="s">
        <v>2553</v>
      </c>
      <c r="Y87" s="1740" t="s">
        <v>2552</v>
      </c>
      <c r="Z87" s="1740" t="s">
        <v>2553</v>
      </c>
      <c r="AA87" s="1740" t="s">
        <v>2553</v>
      </c>
      <c r="AB87" s="1740" t="s">
        <v>2553</v>
      </c>
      <c r="AC87" s="1740" t="s">
        <v>2553</v>
      </c>
      <c r="AD87" s="1740" t="s">
        <v>2553</v>
      </c>
      <c r="AE87" s="1740" t="s">
        <v>2553</v>
      </c>
      <c r="AF87" s="1740" t="s">
        <v>3320</v>
      </c>
      <c r="AG87" s="1740" t="s">
        <v>2553</v>
      </c>
      <c r="AH87" s="1740"/>
      <c r="AI87" s="1737">
        <f t="shared" si="10"/>
        <v>24</v>
      </c>
      <c r="AJ87" s="1737">
        <f t="shared" si="7"/>
        <v>4</v>
      </c>
      <c r="AK87" s="1737">
        <f t="shared" si="8"/>
        <v>0</v>
      </c>
      <c r="AL87" s="1737">
        <f t="shared" si="9"/>
        <v>1</v>
      </c>
      <c r="AM87" s="1737">
        <f t="shared" si="11"/>
        <v>0</v>
      </c>
      <c r="AN87" s="1737">
        <f t="shared" si="12"/>
        <v>0</v>
      </c>
      <c r="AO87" s="1737">
        <f t="shared" si="13"/>
        <v>29</v>
      </c>
      <c r="AP87" s="1734"/>
    </row>
    <row r="88" spans="1:43" ht="18.75" customHeight="1">
      <c r="A88" s="1733">
        <v>78</v>
      </c>
      <c r="B88" s="1733">
        <v>43</v>
      </c>
      <c r="C88" s="1739" t="s">
        <v>3244</v>
      </c>
      <c r="D88" s="1740" t="s">
        <v>2552</v>
      </c>
      <c r="E88" s="1740" t="s">
        <v>2553</v>
      </c>
      <c r="F88" s="1740" t="s">
        <v>2553</v>
      </c>
      <c r="G88" s="1740" t="s">
        <v>2553</v>
      </c>
      <c r="H88" s="1740" t="s">
        <v>2553</v>
      </c>
      <c r="I88" s="1740" t="s">
        <v>2553</v>
      </c>
      <c r="J88" s="1740" t="s">
        <v>2553</v>
      </c>
      <c r="K88" s="1740" t="s">
        <v>2552</v>
      </c>
      <c r="L88" s="1740" t="s">
        <v>2553</v>
      </c>
      <c r="M88" s="1740" t="s">
        <v>2553</v>
      </c>
      <c r="N88" s="1740" t="s">
        <v>2553</v>
      </c>
      <c r="O88" s="1740"/>
      <c r="P88" s="1740" t="s">
        <v>2553</v>
      </c>
      <c r="Q88" s="1740" t="s">
        <v>2553</v>
      </c>
      <c r="R88" s="1740" t="s">
        <v>2552</v>
      </c>
      <c r="S88" s="1740" t="s">
        <v>2553</v>
      </c>
      <c r="T88" s="1740" t="s">
        <v>2553</v>
      </c>
      <c r="U88" s="1740" t="s">
        <v>2553</v>
      </c>
      <c r="V88" s="1740" t="s">
        <v>2553</v>
      </c>
      <c r="W88" s="1740" t="s">
        <v>2553</v>
      </c>
      <c r="X88" s="1740" t="s">
        <v>2553</v>
      </c>
      <c r="Y88" s="1740" t="s">
        <v>2552</v>
      </c>
      <c r="Z88" s="1740" t="s">
        <v>2553</v>
      </c>
      <c r="AA88" s="1740" t="s">
        <v>2553</v>
      </c>
      <c r="AB88" s="1740" t="s">
        <v>2553</v>
      </c>
      <c r="AC88" s="1740" t="s">
        <v>2553</v>
      </c>
      <c r="AD88" s="1740" t="s">
        <v>2553</v>
      </c>
      <c r="AE88" s="1740" t="s">
        <v>2553</v>
      </c>
      <c r="AF88" s="1740" t="s">
        <v>3320</v>
      </c>
      <c r="AG88" s="1740" t="s">
        <v>2553</v>
      </c>
      <c r="AH88" s="1740"/>
      <c r="AI88" s="1737">
        <f t="shared" si="10"/>
        <v>24</v>
      </c>
      <c r="AJ88" s="1737">
        <f t="shared" si="7"/>
        <v>4</v>
      </c>
      <c r="AK88" s="1737">
        <f t="shared" si="8"/>
        <v>0</v>
      </c>
      <c r="AL88" s="1737">
        <f t="shared" si="9"/>
        <v>1</v>
      </c>
      <c r="AM88" s="1737">
        <f t="shared" si="11"/>
        <v>0</v>
      </c>
      <c r="AN88" s="1737">
        <f t="shared" si="12"/>
        <v>0</v>
      </c>
      <c r="AO88" s="1737">
        <f t="shared" si="13"/>
        <v>29</v>
      </c>
      <c r="AP88" s="1734"/>
      <c r="AQ88" s="1741">
        <f>SUM(AO46:AO88)</f>
        <v>1247</v>
      </c>
    </row>
    <row r="89" spans="1:43" s="1683" customFormat="1" ht="18.75" customHeight="1">
      <c r="A89" s="1742"/>
      <c r="B89" s="1742"/>
      <c r="C89" s="1743" t="s">
        <v>3356</v>
      </c>
      <c r="D89" s="1744">
        <f t="shared" ref="D89:AH89" si="14">COUNTA(D11:D88)</f>
        <v>74</v>
      </c>
      <c r="E89" s="1744">
        <f t="shared" si="14"/>
        <v>76</v>
      </c>
      <c r="F89" s="1744">
        <f t="shared" si="14"/>
        <v>76</v>
      </c>
      <c r="G89" s="1744">
        <f t="shared" si="14"/>
        <v>76</v>
      </c>
      <c r="H89" s="1744">
        <f t="shared" si="14"/>
        <v>76</v>
      </c>
      <c r="I89" s="1744">
        <f t="shared" si="14"/>
        <v>76</v>
      </c>
      <c r="J89" s="1744">
        <f t="shared" si="14"/>
        <v>76</v>
      </c>
      <c r="K89" s="1744">
        <f t="shared" si="14"/>
        <v>72</v>
      </c>
      <c r="L89" s="1744">
        <f t="shared" si="14"/>
        <v>73</v>
      </c>
      <c r="M89" s="1744">
        <f t="shared" si="14"/>
        <v>74</v>
      </c>
      <c r="N89" s="1744">
        <f t="shared" si="14"/>
        <v>76</v>
      </c>
      <c r="O89" s="1744">
        <f t="shared" si="14"/>
        <v>7</v>
      </c>
      <c r="P89" s="1744">
        <f t="shared" si="14"/>
        <v>70</v>
      </c>
      <c r="Q89" s="1744">
        <f t="shared" si="14"/>
        <v>70</v>
      </c>
      <c r="R89" s="1744">
        <f t="shared" si="14"/>
        <v>72</v>
      </c>
      <c r="S89" s="1744">
        <f t="shared" si="14"/>
        <v>72</v>
      </c>
      <c r="T89" s="1744">
        <f t="shared" si="14"/>
        <v>70</v>
      </c>
      <c r="U89" s="1744">
        <f t="shared" si="14"/>
        <v>72</v>
      </c>
      <c r="V89" s="1744">
        <f t="shared" si="14"/>
        <v>75</v>
      </c>
      <c r="W89" s="1744">
        <f t="shared" si="14"/>
        <v>77</v>
      </c>
      <c r="X89" s="1744">
        <f t="shared" si="14"/>
        <v>77</v>
      </c>
      <c r="Y89" s="1744">
        <f t="shared" si="14"/>
        <v>77</v>
      </c>
      <c r="Z89" s="1744">
        <f t="shared" si="14"/>
        <v>77</v>
      </c>
      <c r="AA89" s="1744">
        <f t="shared" si="14"/>
        <v>77</v>
      </c>
      <c r="AB89" s="1744">
        <f t="shared" si="14"/>
        <v>77</v>
      </c>
      <c r="AC89" s="1744">
        <f t="shared" si="14"/>
        <v>77</v>
      </c>
      <c r="AD89" s="1744">
        <f t="shared" si="14"/>
        <v>77</v>
      </c>
      <c r="AE89" s="1744">
        <f t="shared" si="14"/>
        <v>77</v>
      </c>
      <c r="AF89" s="1744">
        <f t="shared" si="14"/>
        <v>77</v>
      </c>
      <c r="AG89" s="1744">
        <f t="shared" si="14"/>
        <v>77</v>
      </c>
      <c r="AH89" s="1744">
        <f t="shared" si="14"/>
        <v>0</v>
      </c>
      <c r="AI89" s="1744">
        <f t="shared" ref="AI89:AO89" si="15">SUM(AI11:AI88)</f>
        <v>1808</v>
      </c>
      <c r="AJ89" s="1744">
        <f t="shared" si="15"/>
        <v>329</v>
      </c>
      <c r="AK89" s="1744">
        <f t="shared" si="15"/>
        <v>0</v>
      </c>
      <c r="AL89" s="2152">
        <f>SUM(AL11:AL88)</f>
        <v>43</v>
      </c>
      <c r="AM89" s="1744">
        <f t="shared" si="15"/>
        <v>0</v>
      </c>
      <c r="AN89" s="1744">
        <f t="shared" si="15"/>
        <v>0</v>
      </c>
      <c r="AO89" s="1744">
        <f t="shared" si="15"/>
        <v>2180</v>
      </c>
      <c r="AP89" s="1742"/>
    </row>
    <row r="90" spans="1:43" s="1729" customFormat="1" ht="15.75">
      <c r="C90" s="2481" t="s">
        <v>2554</v>
      </c>
      <c r="D90" s="2481"/>
      <c r="AO90" s="2153">
        <v>43</v>
      </c>
    </row>
    <row r="91" spans="1:43" s="1729" customFormat="1" ht="15.75">
      <c r="C91" s="1745" t="s">
        <v>3357</v>
      </c>
      <c r="AO91" s="2154">
        <f>+AO89+AO90</f>
        <v>2223</v>
      </c>
    </row>
    <row r="92" spans="1:43" s="1729" customFormat="1" ht="15.75">
      <c r="C92" s="1745" t="s">
        <v>3358</v>
      </c>
    </row>
    <row r="93" spans="1:43" s="1729" customFormat="1" ht="15.75" hidden="1">
      <c r="C93" s="1745" t="s">
        <v>3359</v>
      </c>
    </row>
    <row r="94" spans="1:43" s="1729" customFormat="1" ht="15.75" hidden="1">
      <c r="C94" s="1745" t="s">
        <v>3360</v>
      </c>
    </row>
    <row r="95" spans="1:43" s="1729" customFormat="1" ht="15.75" hidden="1">
      <c r="C95" s="1745" t="s">
        <v>3361</v>
      </c>
    </row>
    <row r="96" spans="1:43" s="1729" customFormat="1" ht="15.75" hidden="1">
      <c r="C96" s="1745" t="s">
        <v>3362</v>
      </c>
    </row>
    <row r="97" spans="1:42" s="1702" customFormat="1" ht="19.5">
      <c r="C97" s="1703"/>
      <c r="AD97" s="2482" t="s">
        <v>3317</v>
      </c>
      <c r="AE97" s="2482"/>
      <c r="AF97" s="2482"/>
      <c r="AG97" s="2482"/>
      <c r="AH97" s="2482"/>
      <c r="AI97" s="2482"/>
      <c r="AJ97" s="2482"/>
      <c r="AK97" s="2482"/>
      <c r="AL97" s="2482"/>
      <c r="AM97" s="2482"/>
      <c r="AN97" s="2482"/>
      <c r="AO97" s="2482"/>
      <c r="AP97" s="2482"/>
    </row>
    <row r="98" spans="1:42" s="1705" customFormat="1" ht="21" customHeight="1">
      <c r="A98" s="1704"/>
      <c r="B98" s="1704"/>
      <c r="C98" s="1705" t="s">
        <v>614</v>
      </c>
      <c r="D98" s="1706"/>
      <c r="E98" s="1706"/>
      <c r="I98" s="1705" t="s">
        <v>2486</v>
      </c>
      <c r="O98" s="1706" t="s">
        <v>3339</v>
      </c>
      <c r="U98" s="1706" t="s">
        <v>3340</v>
      </c>
      <c r="V98" s="1706"/>
      <c r="X98" s="1706"/>
      <c r="Z98" s="1706"/>
      <c r="AA98" s="1706"/>
      <c r="AC98" s="1706" t="s">
        <v>2478</v>
      </c>
      <c r="AH98" s="2491" t="s">
        <v>612</v>
      </c>
      <c r="AI98" s="2491"/>
      <c r="AJ98" s="2491"/>
      <c r="AK98" s="2491"/>
      <c r="AL98" s="2491"/>
      <c r="AM98" s="2491"/>
      <c r="AN98" s="2491"/>
      <c r="AO98" s="2491"/>
      <c r="AP98" s="2491"/>
    </row>
    <row r="101" spans="1:42" hidden="1">
      <c r="F101" s="2507" t="s">
        <v>3341</v>
      </c>
      <c r="G101" s="2507"/>
      <c r="H101" s="2507"/>
      <c r="I101" s="2507"/>
      <c r="J101" s="2507"/>
      <c r="K101" s="2507"/>
      <c r="L101" s="2507"/>
      <c r="M101" s="2507"/>
      <c r="N101" s="2507"/>
      <c r="O101" s="2507"/>
      <c r="P101" s="2507"/>
      <c r="Q101" s="2507"/>
      <c r="R101" s="2507"/>
      <c r="S101" s="2507"/>
      <c r="T101" s="2507"/>
      <c r="U101" s="2507"/>
      <c r="V101" s="2507"/>
      <c r="W101" s="2507"/>
      <c r="X101" s="2507"/>
      <c r="Y101" s="2507"/>
      <c r="Z101" s="2507"/>
      <c r="AA101" s="2507"/>
      <c r="AB101" s="2507"/>
      <c r="AC101" s="2507"/>
      <c r="AD101" s="2507"/>
      <c r="AE101" s="2507"/>
      <c r="AF101" s="2507"/>
      <c r="AG101" s="2507"/>
      <c r="AH101" s="2507"/>
      <c r="AI101" s="2507"/>
      <c r="AJ101" s="2507"/>
      <c r="AK101" s="2507"/>
      <c r="AL101" s="2507"/>
      <c r="AM101" s="2507"/>
      <c r="AN101" s="2507"/>
      <c r="AO101" s="2507"/>
    </row>
    <row r="102" spans="1:42" hidden="1">
      <c r="F102" s="2507"/>
      <c r="G102" s="2507"/>
      <c r="H102" s="2507"/>
      <c r="I102" s="2507"/>
      <c r="J102" s="2507"/>
      <c r="K102" s="2507"/>
      <c r="L102" s="2507"/>
      <c r="M102" s="2507"/>
      <c r="N102" s="2507"/>
      <c r="O102" s="2507"/>
      <c r="P102" s="2507"/>
      <c r="Q102" s="2507"/>
      <c r="R102" s="2507"/>
      <c r="S102" s="2507"/>
      <c r="T102" s="2507"/>
      <c r="U102" s="2507"/>
      <c r="V102" s="2507"/>
      <c r="W102" s="2507"/>
      <c r="X102" s="2507"/>
      <c r="Y102" s="2507"/>
      <c r="Z102" s="2507"/>
      <c r="AA102" s="2507"/>
      <c r="AB102" s="2507"/>
      <c r="AC102" s="2507"/>
      <c r="AD102" s="2507"/>
      <c r="AE102" s="2507"/>
      <c r="AF102" s="2507"/>
      <c r="AG102" s="2507"/>
      <c r="AH102" s="2507"/>
      <c r="AI102" s="2507"/>
      <c r="AJ102" s="2507"/>
      <c r="AK102" s="2507"/>
      <c r="AL102" s="2507"/>
      <c r="AM102" s="2507"/>
      <c r="AN102" s="2507"/>
      <c r="AO102" s="2507"/>
    </row>
    <row r="103" spans="1:42" hidden="1">
      <c r="F103" s="2507"/>
      <c r="G103" s="2507"/>
      <c r="H103" s="2507"/>
      <c r="I103" s="2507"/>
      <c r="J103" s="2507"/>
      <c r="K103" s="2507"/>
      <c r="L103" s="2507"/>
      <c r="M103" s="2507"/>
      <c r="N103" s="2507"/>
      <c r="O103" s="2507"/>
      <c r="P103" s="2507"/>
      <c r="Q103" s="2507"/>
      <c r="R103" s="2507"/>
      <c r="S103" s="2507"/>
      <c r="T103" s="2507"/>
      <c r="U103" s="2507"/>
      <c r="V103" s="2507"/>
      <c r="W103" s="2507"/>
      <c r="X103" s="2507"/>
      <c r="Y103" s="2507"/>
      <c r="Z103" s="2507"/>
      <c r="AA103" s="2507"/>
      <c r="AB103" s="2507"/>
      <c r="AC103" s="2507"/>
      <c r="AD103" s="2507"/>
      <c r="AE103" s="2507"/>
      <c r="AF103" s="2507"/>
      <c r="AG103" s="2507"/>
      <c r="AH103" s="2507"/>
      <c r="AI103" s="2507"/>
      <c r="AJ103" s="2507"/>
      <c r="AK103" s="2507"/>
      <c r="AL103" s="2507"/>
      <c r="AM103" s="2507"/>
      <c r="AN103" s="2507"/>
      <c r="AO103" s="2507"/>
    </row>
    <row r="104" spans="1:42" hidden="1">
      <c r="F104" s="2507"/>
      <c r="G104" s="2507"/>
      <c r="H104" s="2507"/>
      <c r="I104" s="2507"/>
      <c r="J104" s="2507"/>
      <c r="K104" s="2507"/>
      <c r="L104" s="2507"/>
      <c r="M104" s="2507"/>
      <c r="N104" s="2507"/>
      <c r="O104" s="2507"/>
      <c r="P104" s="2507"/>
      <c r="Q104" s="2507"/>
      <c r="R104" s="2507"/>
      <c r="S104" s="2507"/>
      <c r="T104" s="2507"/>
      <c r="U104" s="2507"/>
      <c r="V104" s="2507"/>
      <c r="W104" s="2507"/>
      <c r="X104" s="2507"/>
      <c r="Y104" s="2507"/>
      <c r="Z104" s="2507"/>
      <c r="AA104" s="2507"/>
      <c r="AB104" s="2507"/>
      <c r="AC104" s="2507"/>
      <c r="AD104" s="2507"/>
      <c r="AE104" s="2507"/>
      <c r="AF104" s="2507"/>
      <c r="AG104" s="2507"/>
      <c r="AH104" s="2507"/>
      <c r="AI104" s="2507"/>
      <c r="AJ104" s="2507"/>
      <c r="AK104" s="2507"/>
      <c r="AL104" s="2507"/>
      <c r="AM104" s="2507"/>
      <c r="AN104" s="2507"/>
      <c r="AO104" s="2507"/>
    </row>
    <row r="105" spans="1:42" hidden="1">
      <c r="F105" s="2507"/>
      <c r="G105" s="2507"/>
      <c r="H105" s="2507"/>
      <c r="I105" s="2507"/>
      <c r="J105" s="2507"/>
      <c r="K105" s="2507"/>
      <c r="L105" s="2507"/>
      <c r="M105" s="2507"/>
      <c r="N105" s="2507"/>
      <c r="O105" s="2507"/>
      <c r="P105" s="2507"/>
      <c r="Q105" s="2507"/>
      <c r="R105" s="2507"/>
      <c r="S105" s="2507"/>
      <c r="T105" s="2507"/>
      <c r="U105" s="2507"/>
      <c r="V105" s="2507"/>
      <c r="W105" s="2507"/>
      <c r="X105" s="2507"/>
      <c r="Y105" s="2507"/>
      <c r="Z105" s="2507"/>
      <c r="AA105" s="2507"/>
      <c r="AB105" s="2507"/>
      <c r="AC105" s="2507"/>
      <c r="AD105" s="2507"/>
      <c r="AE105" s="2507"/>
      <c r="AF105" s="2507"/>
      <c r="AG105" s="2507"/>
      <c r="AH105" s="2507"/>
      <c r="AI105" s="2507"/>
      <c r="AJ105" s="2507"/>
      <c r="AK105" s="2507"/>
      <c r="AL105" s="2507"/>
      <c r="AM105" s="2507"/>
      <c r="AN105" s="2507"/>
      <c r="AO105" s="2507"/>
    </row>
    <row r="106" spans="1:42" hidden="1">
      <c r="C106" s="1683"/>
      <c r="F106" s="2507"/>
      <c r="G106" s="2507"/>
      <c r="H106" s="2507"/>
      <c r="I106" s="2507"/>
      <c r="J106" s="2507"/>
      <c r="K106" s="2507"/>
      <c r="L106" s="2507"/>
      <c r="M106" s="2507"/>
      <c r="N106" s="2507"/>
      <c r="O106" s="2507"/>
      <c r="P106" s="2507"/>
      <c r="Q106" s="2507"/>
      <c r="R106" s="2507"/>
      <c r="S106" s="2507"/>
      <c r="T106" s="2507"/>
      <c r="U106" s="2507"/>
      <c r="V106" s="2507"/>
      <c r="W106" s="2507"/>
      <c r="X106" s="2507"/>
      <c r="Y106" s="2507"/>
      <c r="Z106" s="2507"/>
      <c r="AA106" s="2507"/>
      <c r="AB106" s="2507"/>
      <c r="AC106" s="2507"/>
      <c r="AD106" s="2507"/>
      <c r="AE106" s="2507"/>
      <c r="AF106" s="2507"/>
      <c r="AG106" s="2507"/>
      <c r="AH106" s="2507"/>
      <c r="AI106" s="2507"/>
      <c r="AJ106" s="2507"/>
      <c r="AK106" s="2507"/>
      <c r="AL106" s="2507"/>
      <c r="AM106" s="2507"/>
      <c r="AN106" s="2507"/>
      <c r="AO106" s="2507"/>
    </row>
    <row r="107" spans="1:42" hidden="1"/>
    <row r="108" spans="1:42" hidden="1"/>
  </sheetData>
  <mergeCells count="18">
    <mergeCell ref="A5:N5"/>
    <mergeCell ref="Y5:AO5"/>
    <mergeCell ref="A1:AP1"/>
    <mergeCell ref="A2:AP2"/>
    <mergeCell ref="A3:AP3"/>
    <mergeCell ref="A4:N4"/>
    <mergeCell ref="Y4:AO4"/>
    <mergeCell ref="C90:D90"/>
    <mergeCell ref="AD97:AP97"/>
    <mergeCell ref="AH98:AP98"/>
    <mergeCell ref="F101:AO106"/>
    <mergeCell ref="A7:AP7"/>
    <mergeCell ref="AJ8:AO8"/>
    <mergeCell ref="A9:B10"/>
    <mergeCell ref="C9:C10"/>
    <mergeCell ref="D9:AH9"/>
    <mergeCell ref="AI9:AO9"/>
    <mergeCell ref="AP9:AP10"/>
  </mergeCells>
  <conditionalFormatting sqref="AH12 AH17:AH19 AH14:AH15 AH22:AH45">
    <cfRule type="containsBlanks" dxfId="65" priority="6">
      <formula>LEN(TRIM(AH12))=0</formula>
    </cfRule>
  </conditionalFormatting>
  <conditionalFormatting sqref="AH12 AH17:AH19 AH14:AH15 AH22:AH45">
    <cfRule type="containsBlanks" dxfId="64" priority="5">
      <formula>LEN(TRIM(AH12))=0</formula>
    </cfRule>
  </conditionalFormatting>
  <pageMargins left="0" right="0" top="0.27" bottom="0.24803149599999999" header="0.31496062992126" footer="0.31496062992126"/>
  <pageSetup paperSize="9" scale="52" fitToHeight="0" orientation="landscape" r:id="rId1"/>
  <colBreaks count="1" manualBreakCount="1">
    <brk id="42" max="1048575" man="1"/>
  </colBreak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pageSetUpPr fitToPage="1"/>
  </sheetPr>
  <dimension ref="A1:AS114"/>
  <sheetViews>
    <sheetView topLeftCell="K86" zoomScale="40" zoomScaleNormal="40" zoomScaleSheetLayoutView="25" workbookViewId="0">
      <selection activeCell="AP97" sqref="AP97"/>
    </sheetView>
  </sheetViews>
  <sheetFormatPr defaultColWidth="9.140625" defaultRowHeight="12"/>
  <cols>
    <col min="1" max="2" width="6.42578125" style="1707" customWidth="1"/>
    <col min="3" max="3" width="29.140625" style="1708" customWidth="1"/>
    <col min="4" max="33" width="11.85546875" style="1710" customWidth="1"/>
    <col min="34" max="34" width="11.85546875" style="1710" hidden="1" customWidth="1"/>
    <col min="35" max="35" width="14.42578125" style="1710" customWidth="1"/>
    <col min="36" max="36" width="13.85546875" style="1710" customWidth="1"/>
    <col min="37" max="37" width="18.42578125" style="1710" customWidth="1"/>
    <col min="38" max="38" width="11.5703125" style="1710" customWidth="1"/>
    <col min="39" max="39" width="37.28515625" style="1710" customWidth="1"/>
    <col min="40" max="40" width="20.5703125" style="1710" bestFit="1" customWidth="1"/>
    <col min="41" max="41" width="18.7109375" style="1710" bestFit="1" customWidth="1"/>
    <col min="42" max="42" width="20.42578125" style="1710" customWidth="1"/>
    <col min="43" max="43" width="25.28515625" style="1710" customWidth="1"/>
    <col min="44" max="44" width="9.140625" style="1710"/>
    <col min="45" max="45" width="11.5703125" style="1710" bestFit="1" customWidth="1"/>
    <col min="46" max="16384" width="9.140625" style="1710"/>
  </cols>
  <sheetData>
    <row r="1" spans="1:45" s="1673" customFormat="1" ht="35.25" customHeight="1">
      <c r="A1" s="2493" t="s">
        <v>0</v>
      </c>
      <c r="B1" s="2493"/>
      <c r="C1" s="2493"/>
      <c r="D1" s="2493"/>
      <c r="E1" s="2493"/>
      <c r="F1" s="2493"/>
      <c r="G1" s="2493"/>
      <c r="H1" s="2493"/>
      <c r="I1" s="2493"/>
      <c r="J1" s="2493"/>
      <c r="K1" s="2493"/>
      <c r="L1" s="2493"/>
      <c r="M1" s="2493"/>
      <c r="N1" s="2493"/>
      <c r="O1" s="2493"/>
      <c r="P1" s="2493"/>
      <c r="Q1" s="2493"/>
      <c r="R1" s="2493"/>
      <c r="S1" s="2493"/>
      <c r="T1" s="2493"/>
      <c r="U1" s="2493"/>
      <c r="V1" s="2493"/>
      <c r="W1" s="2493"/>
      <c r="X1" s="2493"/>
      <c r="Y1" s="2493"/>
      <c r="Z1" s="2493"/>
      <c r="AA1" s="2493"/>
      <c r="AB1" s="2493"/>
      <c r="AC1" s="2493"/>
      <c r="AD1" s="2493"/>
      <c r="AE1" s="2493"/>
      <c r="AF1" s="2493"/>
      <c r="AG1" s="2493"/>
      <c r="AH1" s="2493"/>
      <c r="AI1" s="2493"/>
      <c r="AJ1" s="2493"/>
      <c r="AK1" s="2493"/>
      <c r="AL1" s="2493"/>
      <c r="AM1" s="2493"/>
    </row>
    <row r="2" spans="1:45" s="1673" customFormat="1" ht="28.5" customHeight="1">
      <c r="A2" s="2493" t="s">
        <v>1968</v>
      </c>
      <c r="B2" s="2493"/>
      <c r="C2" s="2493"/>
      <c r="D2" s="2493"/>
      <c r="E2" s="2493"/>
      <c r="F2" s="2493"/>
      <c r="G2" s="2493"/>
      <c r="H2" s="2493"/>
      <c r="I2" s="2493"/>
      <c r="J2" s="2493"/>
      <c r="K2" s="2493"/>
      <c r="L2" s="2493"/>
      <c r="M2" s="2493"/>
      <c r="N2" s="2493"/>
      <c r="O2" s="2493"/>
      <c r="P2" s="2493"/>
      <c r="Q2" s="2493"/>
      <c r="R2" s="2493"/>
      <c r="S2" s="2493"/>
      <c r="T2" s="2493"/>
      <c r="U2" s="2493"/>
      <c r="V2" s="2493"/>
      <c r="W2" s="2493"/>
      <c r="X2" s="2493"/>
      <c r="Y2" s="2493"/>
      <c r="Z2" s="2493"/>
      <c r="AA2" s="2493"/>
      <c r="AB2" s="2493"/>
      <c r="AC2" s="2493"/>
      <c r="AD2" s="2493"/>
      <c r="AE2" s="2493"/>
      <c r="AF2" s="2493"/>
      <c r="AG2" s="2493"/>
      <c r="AH2" s="2493"/>
      <c r="AI2" s="2493"/>
      <c r="AJ2" s="2493"/>
      <c r="AK2" s="2493"/>
      <c r="AL2" s="2493"/>
      <c r="AM2" s="2493"/>
    </row>
    <row r="3" spans="1:45" s="1673" customFormat="1" ht="48.75" customHeight="1">
      <c r="A3" s="2493" t="s">
        <v>619</v>
      </c>
      <c r="B3" s="2493"/>
      <c r="C3" s="2493"/>
      <c r="D3" s="2493"/>
      <c r="E3" s="2493"/>
      <c r="F3" s="2493"/>
      <c r="G3" s="2493"/>
      <c r="H3" s="2493"/>
      <c r="I3" s="2493"/>
      <c r="J3" s="2493"/>
      <c r="K3" s="2493"/>
      <c r="L3" s="2493"/>
      <c r="M3" s="2493"/>
      <c r="N3" s="2493"/>
      <c r="O3" s="2493"/>
      <c r="P3" s="2493"/>
      <c r="Q3" s="2493"/>
      <c r="R3" s="2493"/>
      <c r="S3" s="2493"/>
      <c r="T3" s="2493"/>
      <c r="U3" s="2493"/>
      <c r="V3" s="2493"/>
      <c r="W3" s="2493"/>
      <c r="X3" s="2493"/>
      <c r="Y3" s="2493"/>
      <c r="Z3" s="2493"/>
      <c r="AA3" s="2493"/>
      <c r="AB3" s="2493"/>
      <c r="AC3" s="2493"/>
      <c r="AD3" s="2493"/>
      <c r="AE3" s="2493"/>
      <c r="AF3" s="2493"/>
      <c r="AG3" s="2493"/>
      <c r="AH3" s="2493"/>
      <c r="AI3" s="2493"/>
      <c r="AJ3" s="2493"/>
      <c r="AK3" s="2493"/>
      <c r="AL3" s="2493"/>
      <c r="AM3" s="2493"/>
      <c r="AN3" s="1674"/>
      <c r="AO3" s="1674"/>
      <c r="AP3" s="1674"/>
    </row>
    <row r="4" spans="1:45" s="1675" customFormat="1" ht="36" customHeight="1">
      <c r="A4" s="2505" t="s">
        <v>2526</v>
      </c>
      <c r="B4" s="2505"/>
      <c r="C4" s="2505"/>
      <c r="D4" s="2505"/>
      <c r="E4" s="2505"/>
      <c r="F4" s="2505"/>
      <c r="G4" s="2505"/>
      <c r="H4" s="2505"/>
      <c r="I4" s="2505"/>
      <c r="J4" s="2505"/>
      <c r="K4" s="2505"/>
      <c r="L4" s="2505"/>
      <c r="M4" s="2505"/>
      <c r="N4" s="2505"/>
      <c r="Y4" s="2493"/>
      <c r="Z4" s="2493"/>
      <c r="AA4" s="2493"/>
      <c r="AB4" s="2493"/>
      <c r="AC4" s="2493"/>
      <c r="AD4" s="2493"/>
      <c r="AE4" s="2493"/>
      <c r="AF4" s="2493"/>
      <c r="AG4" s="2493"/>
      <c r="AH4" s="2493"/>
      <c r="AI4" s="2493"/>
      <c r="AJ4" s="2493"/>
      <c r="AK4" s="2493"/>
      <c r="AL4" s="2493"/>
      <c r="AM4" s="2493"/>
    </row>
    <row r="5" spans="1:45" s="1675" customFormat="1" ht="35.25" customHeight="1">
      <c r="A5" s="2506" t="s">
        <v>3327</v>
      </c>
      <c r="B5" s="2506"/>
      <c r="C5" s="2506"/>
      <c r="D5" s="2506"/>
      <c r="E5" s="2506"/>
      <c r="F5" s="2506"/>
      <c r="G5" s="2506"/>
      <c r="H5" s="2506"/>
      <c r="I5" s="2506"/>
      <c r="J5" s="2506"/>
      <c r="K5" s="2506"/>
      <c r="L5" s="2506"/>
      <c r="M5" s="2506"/>
      <c r="N5" s="2506"/>
      <c r="Y5" s="2493"/>
      <c r="Z5" s="2493"/>
      <c r="AA5" s="2493"/>
      <c r="AB5" s="2493"/>
      <c r="AC5" s="2493"/>
      <c r="AD5" s="2493"/>
      <c r="AE5" s="2493"/>
      <c r="AF5" s="2493"/>
      <c r="AG5" s="2493"/>
      <c r="AH5" s="2493"/>
      <c r="AI5" s="2493"/>
      <c r="AJ5" s="2493"/>
      <c r="AK5" s="2493"/>
      <c r="AL5" s="2493"/>
      <c r="AM5" s="2493"/>
    </row>
    <row r="6" spans="1:45" s="1675" customFormat="1" ht="20.25" customHeight="1">
      <c r="A6" s="1676"/>
      <c r="B6" s="1676"/>
      <c r="C6" s="1677"/>
    </row>
    <row r="7" spans="1:45" s="1673" customFormat="1" ht="34.5" customHeight="1">
      <c r="A7" s="2493" t="s">
        <v>3328</v>
      </c>
      <c r="B7" s="2493"/>
      <c r="C7" s="2493"/>
      <c r="D7" s="2493"/>
      <c r="E7" s="2493"/>
      <c r="F7" s="2493"/>
      <c r="G7" s="2493"/>
      <c r="H7" s="2493"/>
      <c r="I7" s="2493"/>
      <c r="J7" s="2493"/>
      <c r="K7" s="2493"/>
      <c r="L7" s="2493"/>
      <c r="M7" s="2493"/>
      <c r="N7" s="2493"/>
      <c r="O7" s="2493"/>
      <c r="P7" s="2493"/>
      <c r="Q7" s="2493"/>
      <c r="R7" s="2493"/>
      <c r="S7" s="2493"/>
      <c r="T7" s="2493"/>
      <c r="U7" s="2493"/>
      <c r="V7" s="2493"/>
      <c r="W7" s="2493"/>
      <c r="X7" s="2493"/>
      <c r="Y7" s="2493"/>
      <c r="Z7" s="2493"/>
      <c r="AA7" s="2493"/>
      <c r="AB7" s="2493"/>
      <c r="AC7" s="2493"/>
      <c r="AD7" s="2493"/>
      <c r="AE7" s="2493"/>
      <c r="AF7" s="2493"/>
      <c r="AG7" s="2493"/>
      <c r="AH7" s="2493"/>
      <c r="AI7" s="2493"/>
      <c r="AJ7" s="2493"/>
      <c r="AK7" s="2493"/>
      <c r="AL7" s="2493"/>
      <c r="AM7" s="2493"/>
      <c r="AN7" s="1674"/>
      <c r="AO7" s="1678"/>
      <c r="AQ7" s="1679"/>
    </row>
    <row r="8" spans="1:45" s="1682" customFormat="1" ht="22.5" customHeight="1">
      <c r="A8" s="1680"/>
      <c r="B8" s="1680"/>
      <c r="C8" s="1681"/>
      <c r="D8" s="1680"/>
      <c r="E8" s="1680"/>
      <c r="F8" s="1680"/>
      <c r="G8" s="1680"/>
      <c r="H8" s="1680"/>
      <c r="I8" s="1680"/>
      <c r="J8" s="1680"/>
      <c r="K8" s="1680"/>
      <c r="L8" s="1680"/>
      <c r="M8" s="1680"/>
      <c r="N8" s="1680"/>
      <c r="O8" s="1680"/>
      <c r="P8" s="1680"/>
      <c r="Q8" s="1680"/>
      <c r="R8" s="1680"/>
      <c r="S8" s="1680"/>
      <c r="T8" s="1680"/>
      <c r="U8" s="1680"/>
      <c r="V8" s="1680"/>
      <c r="W8" s="1680"/>
      <c r="X8" s="1680"/>
      <c r="Y8" s="1680"/>
      <c r="Z8" s="1680"/>
      <c r="AA8" s="1680"/>
      <c r="AB8" s="1680"/>
      <c r="AC8" s="1680"/>
      <c r="AD8" s="1680"/>
      <c r="AE8" s="1680"/>
      <c r="AF8" s="1680"/>
      <c r="AG8" s="1680"/>
      <c r="AH8" s="1680"/>
      <c r="AI8" s="2494" t="s">
        <v>3329</v>
      </c>
      <c r="AJ8" s="2494"/>
      <c r="AK8" s="2494"/>
      <c r="AL8" s="2494"/>
      <c r="AM8" s="2494"/>
      <c r="AN8" s="1680"/>
      <c r="AO8" s="1680"/>
    </row>
    <row r="9" spans="1:45" s="1701" customFormat="1" ht="57" customHeight="1">
      <c r="A9" s="2541" t="s">
        <v>623</v>
      </c>
      <c r="B9" s="2542"/>
      <c r="C9" s="2545" t="s">
        <v>356</v>
      </c>
      <c r="D9" s="2545" t="s">
        <v>529</v>
      </c>
      <c r="E9" s="2545"/>
      <c r="F9" s="2545"/>
      <c r="G9" s="2545"/>
      <c r="H9" s="2545"/>
      <c r="I9" s="2545"/>
      <c r="J9" s="2545"/>
      <c r="K9" s="2545"/>
      <c r="L9" s="2545"/>
      <c r="M9" s="2545"/>
      <c r="N9" s="2545"/>
      <c r="O9" s="2545"/>
      <c r="P9" s="2545"/>
      <c r="Q9" s="2545"/>
      <c r="R9" s="2545"/>
      <c r="S9" s="2545"/>
      <c r="T9" s="2545"/>
      <c r="U9" s="2545"/>
      <c r="V9" s="2545"/>
      <c r="W9" s="2545"/>
      <c r="X9" s="2545"/>
      <c r="Y9" s="2545"/>
      <c r="Z9" s="2545"/>
      <c r="AA9" s="2545"/>
      <c r="AB9" s="2545"/>
      <c r="AC9" s="2545"/>
      <c r="AD9" s="2545"/>
      <c r="AE9" s="2545"/>
      <c r="AF9" s="2545"/>
      <c r="AG9" s="2545"/>
      <c r="AH9" s="2545"/>
      <c r="AI9" s="2546" t="s">
        <v>2529</v>
      </c>
      <c r="AJ9" s="2547" t="s">
        <v>3330</v>
      </c>
      <c r="AK9" s="2547" t="s">
        <v>3331</v>
      </c>
      <c r="AL9" s="2546" t="s">
        <v>2531</v>
      </c>
      <c r="AM9" s="2549" t="s">
        <v>1934</v>
      </c>
      <c r="AN9" s="1700"/>
      <c r="AO9" s="1700"/>
      <c r="AR9" s="2165" t="s">
        <v>3332</v>
      </c>
      <c r="AS9" s="2194">
        <v>0.48055188100000001</v>
      </c>
    </row>
    <row r="10" spans="1:45" s="1701" customFormat="1" ht="84" customHeight="1">
      <c r="A10" s="2543"/>
      <c r="B10" s="2544"/>
      <c r="C10" s="2545"/>
      <c r="D10" s="2195">
        <v>1</v>
      </c>
      <c r="E10" s="2195">
        <v>2</v>
      </c>
      <c r="F10" s="2195">
        <v>3</v>
      </c>
      <c r="G10" s="2195">
        <v>4</v>
      </c>
      <c r="H10" s="2195">
        <v>5</v>
      </c>
      <c r="I10" s="2195">
        <v>6</v>
      </c>
      <c r="J10" s="2195">
        <v>7</v>
      </c>
      <c r="K10" s="2195">
        <v>8</v>
      </c>
      <c r="L10" s="2195">
        <v>9</v>
      </c>
      <c r="M10" s="2195">
        <v>10</v>
      </c>
      <c r="N10" s="2195">
        <v>11</v>
      </c>
      <c r="O10" s="2195">
        <v>12</v>
      </c>
      <c r="P10" s="2195">
        <v>13</v>
      </c>
      <c r="Q10" s="2195">
        <v>14</v>
      </c>
      <c r="R10" s="2195">
        <v>15</v>
      </c>
      <c r="S10" s="2195">
        <v>16</v>
      </c>
      <c r="T10" s="2195">
        <v>17</v>
      </c>
      <c r="U10" s="2195">
        <v>18</v>
      </c>
      <c r="V10" s="2195">
        <v>19</v>
      </c>
      <c r="W10" s="2195">
        <v>20</v>
      </c>
      <c r="X10" s="2195">
        <v>21</v>
      </c>
      <c r="Y10" s="2195">
        <v>22</v>
      </c>
      <c r="Z10" s="2195">
        <v>23</v>
      </c>
      <c r="AA10" s="2195">
        <v>24</v>
      </c>
      <c r="AB10" s="2195">
        <v>25</v>
      </c>
      <c r="AC10" s="2195">
        <v>26</v>
      </c>
      <c r="AD10" s="2195">
        <v>27</v>
      </c>
      <c r="AE10" s="2195">
        <v>28</v>
      </c>
      <c r="AF10" s="2196">
        <v>29</v>
      </c>
      <c r="AG10" s="2196">
        <v>30</v>
      </c>
      <c r="AH10" s="2197">
        <v>31</v>
      </c>
      <c r="AI10" s="2546"/>
      <c r="AJ10" s="2548"/>
      <c r="AK10" s="2548"/>
      <c r="AL10" s="2546"/>
      <c r="AM10" s="2549"/>
      <c r="AN10" s="1700"/>
      <c r="AO10" s="1700"/>
    </row>
    <row r="11" spans="1:45" s="2170" customFormat="1" ht="51" customHeight="1">
      <c r="A11" s="2173">
        <v>1</v>
      </c>
      <c r="B11" s="2173"/>
      <c r="C11" s="2175" t="str">
        <f>+'[6]Biểu 1 TH CÔNG copy'!C11</f>
        <v>Tà Lọt</v>
      </c>
      <c r="D11" s="2176">
        <v>0</v>
      </c>
      <c r="E11" s="2176">
        <v>150</v>
      </c>
      <c r="F11" s="2176">
        <v>21</v>
      </c>
      <c r="G11" s="2176">
        <v>91</v>
      </c>
      <c r="H11" s="2176">
        <v>25</v>
      </c>
      <c r="I11" s="2176">
        <v>55</v>
      </c>
      <c r="J11" s="2176">
        <v>0</v>
      </c>
      <c r="K11" s="2176">
        <v>0</v>
      </c>
      <c r="L11" s="2176">
        <v>0</v>
      </c>
      <c r="M11" s="2176">
        <v>58</v>
      </c>
      <c r="N11" s="2176">
        <v>0</v>
      </c>
      <c r="O11" s="2176">
        <v>68</v>
      </c>
      <c r="P11" s="2177">
        <v>0</v>
      </c>
      <c r="Q11" s="2177">
        <v>40</v>
      </c>
      <c r="R11" s="2177">
        <v>0</v>
      </c>
      <c r="S11" s="2177">
        <v>85</v>
      </c>
      <c r="T11" s="2177">
        <v>0</v>
      </c>
      <c r="U11" s="2177">
        <v>0</v>
      </c>
      <c r="V11" s="2177">
        <v>150</v>
      </c>
      <c r="W11" s="2177">
        <v>65</v>
      </c>
      <c r="X11" s="2177">
        <v>95</v>
      </c>
      <c r="Y11" s="2177">
        <v>0</v>
      </c>
      <c r="Z11" s="2177">
        <v>86</v>
      </c>
      <c r="AA11" s="2177">
        <v>0</v>
      </c>
      <c r="AB11" s="2177">
        <v>55</v>
      </c>
      <c r="AC11" s="2177">
        <v>68</v>
      </c>
      <c r="AD11" s="2177">
        <v>78</v>
      </c>
      <c r="AE11" s="2177">
        <v>78</v>
      </c>
      <c r="AF11" s="2177">
        <v>0</v>
      </c>
      <c r="AG11" s="2177">
        <v>49</v>
      </c>
      <c r="AH11" s="2177"/>
      <c r="AI11" s="2178">
        <f t="shared" ref="AI11:AI45" si="0">SUM(D11:AH11)</f>
        <v>1317</v>
      </c>
      <c r="AJ11" s="2179">
        <f>+$AS$9*100</f>
        <v>48.055188100000002</v>
      </c>
      <c r="AK11" s="2180">
        <f>+AI11*AJ11/100</f>
        <v>632.88682727700007</v>
      </c>
      <c r="AL11" s="2181" t="s">
        <v>1957</v>
      </c>
      <c r="AM11" s="2173"/>
      <c r="AN11" s="2169"/>
      <c r="AO11" s="2169"/>
    </row>
    <row r="12" spans="1:45" s="2170" customFormat="1" ht="51" customHeight="1">
      <c r="A12" s="2173">
        <v>2</v>
      </c>
      <c r="B12" s="2173"/>
      <c r="C12" s="2175" t="str">
        <f>+'[6]Biểu 1 TH CÔNG copy'!C12</f>
        <v>A Nhớp</v>
      </c>
      <c r="D12" s="2176">
        <v>44</v>
      </c>
      <c r="E12" s="2176">
        <v>92</v>
      </c>
      <c r="F12" s="2176">
        <v>25</v>
      </c>
      <c r="G12" s="2176">
        <v>40</v>
      </c>
      <c r="H12" s="2176">
        <v>37</v>
      </c>
      <c r="I12" s="2176">
        <v>61</v>
      </c>
      <c r="J12" s="2176">
        <v>15</v>
      </c>
      <c r="K12" s="2176">
        <v>39</v>
      </c>
      <c r="L12" s="2176">
        <v>41</v>
      </c>
      <c r="M12" s="2176">
        <v>52</v>
      </c>
      <c r="N12" s="2176">
        <v>30</v>
      </c>
      <c r="O12" s="2176">
        <v>120</v>
      </c>
      <c r="P12" s="2177">
        <v>0</v>
      </c>
      <c r="Q12" s="2177">
        <v>0</v>
      </c>
      <c r="R12" s="2177">
        <v>0</v>
      </c>
      <c r="S12" s="2177">
        <v>0</v>
      </c>
      <c r="T12" s="2177">
        <v>76</v>
      </c>
      <c r="U12" s="2177">
        <v>156</v>
      </c>
      <c r="V12" s="2177">
        <v>68</v>
      </c>
      <c r="W12" s="2177">
        <v>102</v>
      </c>
      <c r="X12" s="2177">
        <v>108</v>
      </c>
      <c r="Y12" s="2177">
        <v>130</v>
      </c>
      <c r="Z12" s="2177">
        <v>92</v>
      </c>
      <c r="AA12" s="2177">
        <v>142</v>
      </c>
      <c r="AB12" s="2177">
        <v>115</v>
      </c>
      <c r="AC12" s="2177">
        <v>125</v>
      </c>
      <c r="AD12" s="2177">
        <v>80</v>
      </c>
      <c r="AE12" s="2177">
        <v>130</v>
      </c>
      <c r="AF12" s="2177">
        <v>83</v>
      </c>
      <c r="AG12" s="2177">
        <v>99</v>
      </c>
      <c r="AH12" s="2177"/>
      <c r="AI12" s="2178">
        <f t="shared" si="0"/>
        <v>2102</v>
      </c>
      <c r="AJ12" s="2179">
        <f t="shared" ref="AJ12:AJ75" si="1">+$AS$9*100</f>
        <v>48.055188100000002</v>
      </c>
      <c r="AK12" s="2180">
        <f t="shared" ref="AK12:AK75" si="2">+AI12*AJ12/100</f>
        <v>1010.1200538620001</v>
      </c>
      <c r="AL12" s="2181" t="s">
        <v>1957</v>
      </c>
      <c r="AM12" s="2173"/>
      <c r="AN12" s="2169"/>
      <c r="AO12" s="2169"/>
    </row>
    <row r="13" spans="1:45" s="2170" customFormat="1" ht="51" customHeight="1">
      <c r="A13" s="2173">
        <v>3</v>
      </c>
      <c r="B13" s="2173"/>
      <c r="C13" s="2175" t="str">
        <f>+'[6]Biểu 1 TH CÔNG copy'!C13</f>
        <v>A Chan</v>
      </c>
      <c r="D13" s="2176">
        <v>0</v>
      </c>
      <c r="E13" s="2176">
        <v>0</v>
      </c>
      <c r="F13" s="2176">
        <v>50</v>
      </c>
      <c r="G13" s="2176">
        <v>0</v>
      </c>
      <c r="H13" s="2176">
        <v>0</v>
      </c>
      <c r="I13" s="2176">
        <v>22</v>
      </c>
      <c r="J13" s="2176">
        <v>53</v>
      </c>
      <c r="K13" s="2176">
        <v>0</v>
      </c>
      <c r="L13" s="2176">
        <v>0</v>
      </c>
      <c r="M13" s="2176">
        <v>62</v>
      </c>
      <c r="N13" s="2176">
        <v>0</v>
      </c>
      <c r="O13" s="2176">
        <v>105</v>
      </c>
      <c r="P13" s="2177">
        <v>0</v>
      </c>
      <c r="Q13" s="2177">
        <v>0</v>
      </c>
      <c r="R13" s="2177">
        <v>0</v>
      </c>
      <c r="S13" s="2177">
        <v>0</v>
      </c>
      <c r="T13" s="2177">
        <v>0</v>
      </c>
      <c r="U13" s="2177">
        <v>0</v>
      </c>
      <c r="V13" s="2177">
        <v>74</v>
      </c>
      <c r="W13" s="2177">
        <v>180</v>
      </c>
      <c r="X13" s="2177">
        <v>120</v>
      </c>
      <c r="Y13" s="2177">
        <v>0</v>
      </c>
      <c r="Z13" s="2177">
        <v>0</v>
      </c>
      <c r="AA13" s="2177">
        <v>0</v>
      </c>
      <c r="AB13" s="2177">
        <v>102</v>
      </c>
      <c r="AC13" s="2177">
        <v>135</v>
      </c>
      <c r="AD13" s="2177">
        <v>0</v>
      </c>
      <c r="AE13" s="2177">
        <v>156</v>
      </c>
      <c r="AF13" s="2177">
        <v>63</v>
      </c>
      <c r="AG13" s="2177">
        <v>67</v>
      </c>
      <c r="AH13" s="2177"/>
      <c r="AI13" s="2178">
        <f t="shared" si="0"/>
        <v>1189</v>
      </c>
      <c r="AJ13" s="2179">
        <f t="shared" si="1"/>
        <v>48.055188100000002</v>
      </c>
      <c r="AK13" s="2180">
        <f t="shared" si="2"/>
        <v>571.37618650900004</v>
      </c>
      <c r="AL13" s="2181" t="s">
        <v>1957</v>
      </c>
      <c r="AM13" s="2173"/>
      <c r="AN13" s="2169"/>
      <c r="AO13" s="2169"/>
    </row>
    <row r="14" spans="1:45" s="2170" customFormat="1" ht="51" customHeight="1">
      <c r="A14" s="2173">
        <v>4</v>
      </c>
      <c r="B14" s="2173"/>
      <c r="C14" s="2175" t="str">
        <f>+'[6]Biểu 1 TH CÔNG copy'!C14</f>
        <v>Phò Đưa</v>
      </c>
      <c r="D14" s="2176">
        <v>54</v>
      </c>
      <c r="E14" s="2176">
        <v>45</v>
      </c>
      <c r="F14" s="2176">
        <v>55</v>
      </c>
      <c r="G14" s="2176">
        <v>32</v>
      </c>
      <c r="H14" s="2176">
        <v>45</v>
      </c>
      <c r="I14" s="2176">
        <v>16</v>
      </c>
      <c r="J14" s="2176">
        <v>26</v>
      </c>
      <c r="K14" s="2176">
        <v>20</v>
      </c>
      <c r="L14" s="2176">
        <v>29</v>
      </c>
      <c r="M14" s="2176">
        <v>15</v>
      </c>
      <c r="N14" s="2176">
        <v>25</v>
      </c>
      <c r="O14" s="2176">
        <v>61</v>
      </c>
      <c r="P14" s="2177">
        <v>0</v>
      </c>
      <c r="Q14" s="2177">
        <v>93</v>
      </c>
      <c r="R14" s="2177">
        <v>17</v>
      </c>
      <c r="S14" s="2177">
        <v>61</v>
      </c>
      <c r="T14" s="2177">
        <v>82</v>
      </c>
      <c r="U14" s="2177">
        <v>86</v>
      </c>
      <c r="V14" s="2177">
        <v>25</v>
      </c>
      <c r="W14" s="2177">
        <v>67</v>
      </c>
      <c r="X14" s="2177">
        <v>51</v>
      </c>
      <c r="Y14" s="2177">
        <v>82</v>
      </c>
      <c r="Z14" s="2177">
        <v>23</v>
      </c>
      <c r="AA14" s="2177">
        <v>63</v>
      </c>
      <c r="AB14" s="2177">
        <v>50</v>
      </c>
      <c r="AC14" s="2177">
        <v>80</v>
      </c>
      <c r="AD14" s="2177">
        <v>25</v>
      </c>
      <c r="AE14" s="2177">
        <v>44</v>
      </c>
      <c r="AF14" s="2177">
        <v>66</v>
      </c>
      <c r="AG14" s="2177">
        <v>82</v>
      </c>
      <c r="AH14" s="2177"/>
      <c r="AI14" s="2178">
        <f t="shared" si="0"/>
        <v>1420</v>
      </c>
      <c r="AJ14" s="2179">
        <f t="shared" si="1"/>
        <v>48.055188100000002</v>
      </c>
      <c r="AK14" s="2180">
        <f t="shared" si="2"/>
        <v>682.38367102000007</v>
      </c>
      <c r="AL14" s="2181" t="s">
        <v>1957</v>
      </c>
      <c r="AM14" s="2173"/>
      <c r="AN14" s="2169"/>
      <c r="AO14" s="2169"/>
    </row>
    <row r="15" spans="1:45" s="2170" customFormat="1" ht="51" customHeight="1">
      <c r="A15" s="2173">
        <v>5</v>
      </c>
      <c r="B15" s="2173"/>
      <c r="C15" s="2175" t="str">
        <f>+'[6]Biểu 1 TH CÔNG copy'!C15</f>
        <v>Xúc</v>
      </c>
      <c r="D15" s="2176">
        <v>76</v>
      </c>
      <c r="E15" s="2176">
        <v>125</v>
      </c>
      <c r="F15" s="2176">
        <v>80</v>
      </c>
      <c r="G15" s="2176">
        <v>85</v>
      </c>
      <c r="H15" s="2176">
        <v>0</v>
      </c>
      <c r="I15" s="2176">
        <v>0</v>
      </c>
      <c r="J15" s="2176">
        <v>0</v>
      </c>
      <c r="K15" s="2176">
        <v>0</v>
      </c>
      <c r="L15" s="2176">
        <v>36</v>
      </c>
      <c r="M15" s="2176">
        <v>32</v>
      </c>
      <c r="N15" s="2176">
        <v>86</v>
      </c>
      <c r="O15" s="2176">
        <v>93</v>
      </c>
      <c r="P15" s="2177">
        <v>0</v>
      </c>
      <c r="Q15" s="2177">
        <v>0</v>
      </c>
      <c r="R15" s="2177">
        <v>20</v>
      </c>
      <c r="S15" s="2177">
        <v>0</v>
      </c>
      <c r="T15" s="2177">
        <v>100</v>
      </c>
      <c r="U15" s="2177">
        <v>109</v>
      </c>
      <c r="V15" s="2177">
        <v>50</v>
      </c>
      <c r="W15" s="2177">
        <v>93</v>
      </c>
      <c r="X15" s="2177">
        <v>59</v>
      </c>
      <c r="Y15" s="2177">
        <v>65</v>
      </c>
      <c r="Z15" s="2177">
        <v>73</v>
      </c>
      <c r="AA15" s="2177">
        <v>0</v>
      </c>
      <c r="AB15" s="2177">
        <v>0</v>
      </c>
      <c r="AC15" s="2177">
        <v>95</v>
      </c>
      <c r="AD15" s="2177">
        <v>0</v>
      </c>
      <c r="AE15" s="2177">
        <v>115</v>
      </c>
      <c r="AF15" s="2177">
        <v>110</v>
      </c>
      <c r="AG15" s="2177">
        <v>70</v>
      </c>
      <c r="AH15" s="2177"/>
      <c r="AI15" s="2178">
        <f t="shared" si="0"/>
        <v>1572</v>
      </c>
      <c r="AJ15" s="2179">
        <f t="shared" si="1"/>
        <v>48.055188100000002</v>
      </c>
      <c r="AK15" s="2180">
        <f t="shared" si="2"/>
        <v>755.42755693200002</v>
      </c>
      <c r="AL15" s="2181" t="s">
        <v>1957</v>
      </c>
      <c r="AM15" s="2173"/>
      <c r="AN15" s="2169"/>
      <c r="AO15" s="2169"/>
    </row>
    <row r="16" spans="1:45" s="2170" customFormat="1" ht="51" customHeight="1">
      <c r="A16" s="2173">
        <v>6</v>
      </c>
      <c r="B16" s="2173"/>
      <c r="C16" s="2175" t="str">
        <f>+'[6]Biểu 1 TH CÔNG copy'!C16</f>
        <v>Phơ</v>
      </c>
      <c r="D16" s="2176">
        <v>73</v>
      </c>
      <c r="E16" s="2176">
        <v>60</v>
      </c>
      <c r="F16" s="2176">
        <v>22</v>
      </c>
      <c r="G16" s="2176">
        <v>36</v>
      </c>
      <c r="H16" s="2176">
        <v>0</v>
      </c>
      <c r="I16" s="2176">
        <v>0</v>
      </c>
      <c r="J16" s="2176">
        <v>0</v>
      </c>
      <c r="K16" s="2176">
        <v>22</v>
      </c>
      <c r="L16" s="2176">
        <v>85</v>
      </c>
      <c r="M16" s="2176">
        <v>150</v>
      </c>
      <c r="N16" s="2176">
        <v>35</v>
      </c>
      <c r="O16" s="2176">
        <v>120</v>
      </c>
      <c r="P16" s="2177">
        <v>0</v>
      </c>
      <c r="Q16" s="2177">
        <v>110</v>
      </c>
      <c r="R16" s="2177">
        <v>0</v>
      </c>
      <c r="S16" s="2177">
        <v>0</v>
      </c>
      <c r="T16" s="2177">
        <v>102</v>
      </c>
      <c r="U16" s="2177">
        <v>90</v>
      </c>
      <c r="V16" s="2177">
        <v>67</v>
      </c>
      <c r="W16" s="2177">
        <v>128</v>
      </c>
      <c r="X16" s="2177">
        <v>66</v>
      </c>
      <c r="Y16" s="2177">
        <v>120</v>
      </c>
      <c r="Z16" s="2177">
        <v>110</v>
      </c>
      <c r="AA16" s="2177">
        <v>60</v>
      </c>
      <c r="AB16" s="2177">
        <v>58</v>
      </c>
      <c r="AC16" s="2177">
        <v>73</v>
      </c>
      <c r="AD16" s="2177">
        <v>90</v>
      </c>
      <c r="AE16" s="2177">
        <v>56</v>
      </c>
      <c r="AF16" s="2177">
        <v>77</v>
      </c>
      <c r="AG16" s="2177">
        <v>69</v>
      </c>
      <c r="AH16" s="2177"/>
      <c r="AI16" s="2178">
        <f t="shared" si="0"/>
        <v>1879</v>
      </c>
      <c r="AJ16" s="2179">
        <f t="shared" si="1"/>
        <v>48.055188100000002</v>
      </c>
      <c r="AK16" s="2180">
        <f t="shared" si="2"/>
        <v>902.95698439900002</v>
      </c>
      <c r="AL16" s="2181" t="s">
        <v>1959</v>
      </c>
      <c r="AM16" s="2173"/>
      <c r="AN16" s="2169"/>
      <c r="AO16" s="2169"/>
    </row>
    <row r="17" spans="1:41" s="2170" customFormat="1" ht="51" customHeight="1">
      <c r="A17" s="2173">
        <v>7</v>
      </c>
      <c r="B17" s="2173"/>
      <c r="C17" s="2175" t="str">
        <f>+'[6]Biểu 1 TH CÔNG copy'!C17</f>
        <v>A Phơ</v>
      </c>
      <c r="D17" s="2176">
        <v>64</v>
      </c>
      <c r="E17" s="2176">
        <v>28</v>
      </c>
      <c r="F17" s="2176">
        <v>42</v>
      </c>
      <c r="G17" s="2176">
        <v>59</v>
      </c>
      <c r="H17" s="2176">
        <v>38</v>
      </c>
      <c r="I17" s="2176">
        <v>43</v>
      </c>
      <c r="J17" s="2176">
        <v>39</v>
      </c>
      <c r="K17" s="2176">
        <v>64</v>
      </c>
      <c r="L17" s="2176">
        <v>42</v>
      </c>
      <c r="M17" s="2176">
        <v>44</v>
      </c>
      <c r="N17" s="2176">
        <v>0</v>
      </c>
      <c r="O17" s="2176">
        <v>148</v>
      </c>
      <c r="P17" s="2177">
        <v>0</v>
      </c>
      <c r="Q17" s="2177">
        <v>120</v>
      </c>
      <c r="R17" s="2177">
        <v>0</v>
      </c>
      <c r="S17" s="2177">
        <v>120</v>
      </c>
      <c r="T17" s="2177">
        <v>130</v>
      </c>
      <c r="U17" s="2177">
        <v>105</v>
      </c>
      <c r="V17" s="2177">
        <v>87</v>
      </c>
      <c r="W17" s="2177">
        <v>90</v>
      </c>
      <c r="X17" s="2177">
        <v>140</v>
      </c>
      <c r="Y17" s="2177">
        <v>120</v>
      </c>
      <c r="Z17" s="2177">
        <v>53</v>
      </c>
      <c r="AA17" s="2177">
        <v>90</v>
      </c>
      <c r="AB17" s="2177">
        <v>113</v>
      </c>
      <c r="AC17" s="2177">
        <v>90</v>
      </c>
      <c r="AD17" s="2177">
        <v>55</v>
      </c>
      <c r="AE17" s="2177">
        <v>88</v>
      </c>
      <c r="AF17" s="2177">
        <v>110</v>
      </c>
      <c r="AG17" s="2177">
        <v>90</v>
      </c>
      <c r="AH17" s="2177"/>
      <c r="AI17" s="2178">
        <f t="shared" si="0"/>
        <v>2212</v>
      </c>
      <c r="AJ17" s="2179">
        <f t="shared" si="1"/>
        <v>48.055188100000002</v>
      </c>
      <c r="AK17" s="2180">
        <f t="shared" si="2"/>
        <v>1062.9807607720002</v>
      </c>
      <c r="AL17" s="2181" t="s">
        <v>1957</v>
      </c>
      <c r="AM17" s="2173"/>
      <c r="AN17" s="2169"/>
      <c r="AO17" s="2169"/>
    </row>
    <row r="18" spans="1:41" s="2170" customFormat="1" ht="51" customHeight="1">
      <c r="A18" s="2173">
        <v>8</v>
      </c>
      <c r="B18" s="2173"/>
      <c r="C18" s="2175" t="str">
        <f>+'[6]Biểu 1 TH CÔNG copy'!C18</f>
        <v>Phò Lấp</v>
      </c>
      <c r="D18" s="2176">
        <v>52</v>
      </c>
      <c r="E18" s="2176">
        <v>20</v>
      </c>
      <c r="F18" s="2176">
        <v>35</v>
      </c>
      <c r="G18" s="2176">
        <v>93</v>
      </c>
      <c r="H18" s="2176">
        <v>22</v>
      </c>
      <c r="I18" s="2176">
        <v>10</v>
      </c>
      <c r="J18" s="2176">
        <v>0</v>
      </c>
      <c r="K18" s="2176">
        <v>0</v>
      </c>
      <c r="L18" s="2176">
        <v>0</v>
      </c>
      <c r="M18" s="2176">
        <v>0</v>
      </c>
      <c r="N18" s="2176">
        <v>0</v>
      </c>
      <c r="O18" s="2176">
        <v>0</v>
      </c>
      <c r="P18" s="2177">
        <v>0</v>
      </c>
      <c r="Q18" s="2177">
        <v>0</v>
      </c>
      <c r="R18" s="2177">
        <v>0</v>
      </c>
      <c r="S18" s="2177">
        <v>0</v>
      </c>
      <c r="T18" s="2177">
        <v>0</v>
      </c>
      <c r="U18" s="2177">
        <v>0</v>
      </c>
      <c r="V18" s="2177">
        <v>0</v>
      </c>
      <c r="W18" s="2177">
        <v>25</v>
      </c>
      <c r="X18" s="2177">
        <v>95</v>
      </c>
      <c r="Y18" s="2177">
        <v>63</v>
      </c>
      <c r="Z18" s="2177">
        <v>49</v>
      </c>
      <c r="AA18" s="2177">
        <v>17</v>
      </c>
      <c r="AB18" s="2177">
        <v>0</v>
      </c>
      <c r="AC18" s="2177">
        <v>105</v>
      </c>
      <c r="AD18" s="2177">
        <v>44</v>
      </c>
      <c r="AE18" s="2177">
        <v>75</v>
      </c>
      <c r="AF18" s="2177">
        <v>170</v>
      </c>
      <c r="AG18" s="2177">
        <v>95</v>
      </c>
      <c r="AH18" s="2177"/>
      <c r="AI18" s="2178">
        <f t="shared" si="0"/>
        <v>970</v>
      </c>
      <c r="AJ18" s="2179">
        <f t="shared" si="1"/>
        <v>48.055188100000002</v>
      </c>
      <c r="AK18" s="2180">
        <f t="shared" si="2"/>
        <v>466.13532457000002</v>
      </c>
      <c r="AL18" s="2181" t="s">
        <v>1959</v>
      </c>
      <c r="AM18" s="2173"/>
      <c r="AN18" s="2169"/>
      <c r="AO18" s="2169"/>
    </row>
    <row r="19" spans="1:41" s="2170" customFormat="1" ht="51" customHeight="1">
      <c r="A19" s="2173">
        <v>9</v>
      </c>
      <c r="B19" s="2173"/>
      <c r="C19" s="2175" t="str">
        <f>+'[6]Biểu 1 TH CÔNG copy'!C19</f>
        <v>Nang Sun</v>
      </c>
      <c r="D19" s="2176">
        <v>48</v>
      </c>
      <c r="E19" s="2176">
        <v>45</v>
      </c>
      <c r="F19" s="2176">
        <v>45</v>
      </c>
      <c r="G19" s="2176">
        <v>29</v>
      </c>
      <c r="H19" s="2176">
        <v>0</v>
      </c>
      <c r="I19" s="2176">
        <v>40</v>
      </c>
      <c r="J19" s="2176">
        <v>0</v>
      </c>
      <c r="K19" s="2176">
        <v>30</v>
      </c>
      <c r="L19" s="2176">
        <v>140</v>
      </c>
      <c r="M19" s="2176">
        <v>40</v>
      </c>
      <c r="N19" s="2176">
        <v>50</v>
      </c>
      <c r="O19" s="2176">
        <v>101</v>
      </c>
      <c r="P19" s="2177">
        <v>0</v>
      </c>
      <c r="Q19" s="2177">
        <v>80</v>
      </c>
      <c r="R19" s="2177">
        <v>30</v>
      </c>
      <c r="S19" s="2177">
        <v>79</v>
      </c>
      <c r="T19" s="2177">
        <v>71</v>
      </c>
      <c r="U19" s="2177">
        <v>105</v>
      </c>
      <c r="V19" s="2177">
        <v>83</v>
      </c>
      <c r="W19" s="2177">
        <v>130</v>
      </c>
      <c r="X19" s="2177">
        <v>85</v>
      </c>
      <c r="Y19" s="2177">
        <v>135</v>
      </c>
      <c r="Z19" s="2177">
        <v>0</v>
      </c>
      <c r="AA19" s="2177">
        <v>47</v>
      </c>
      <c r="AB19" s="2177">
        <v>76</v>
      </c>
      <c r="AC19" s="2177">
        <v>95</v>
      </c>
      <c r="AD19" s="2177">
        <v>190</v>
      </c>
      <c r="AE19" s="2177">
        <v>0</v>
      </c>
      <c r="AF19" s="2177">
        <v>55</v>
      </c>
      <c r="AG19" s="2177">
        <v>92</v>
      </c>
      <c r="AH19" s="2177"/>
      <c r="AI19" s="2178">
        <f t="shared" si="0"/>
        <v>1921</v>
      </c>
      <c r="AJ19" s="2179">
        <f t="shared" si="1"/>
        <v>48.055188100000002</v>
      </c>
      <c r="AK19" s="2180">
        <f t="shared" si="2"/>
        <v>923.140163401</v>
      </c>
      <c r="AL19" s="2181" t="s">
        <v>1957</v>
      </c>
      <c r="AM19" s="2173"/>
      <c r="AN19" s="2169"/>
      <c r="AO19" s="2169"/>
    </row>
    <row r="20" spans="1:41" s="2170" customFormat="1" ht="51" customHeight="1">
      <c r="A20" s="2173">
        <v>10</v>
      </c>
      <c r="B20" s="2173"/>
      <c r="C20" s="2175" t="str">
        <f>+'[6]Biểu 1 TH CÔNG copy'!C20</f>
        <v>A Nhem</v>
      </c>
      <c r="D20" s="2176">
        <v>0</v>
      </c>
      <c r="E20" s="2176">
        <v>40</v>
      </c>
      <c r="F20" s="2176">
        <v>39</v>
      </c>
      <c r="G20" s="2176">
        <v>52</v>
      </c>
      <c r="H20" s="2176">
        <v>26</v>
      </c>
      <c r="I20" s="2176">
        <v>0</v>
      </c>
      <c r="J20" s="2176">
        <v>0</v>
      </c>
      <c r="K20" s="2176">
        <v>0</v>
      </c>
      <c r="L20" s="2176">
        <v>0</v>
      </c>
      <c r="M20" s="2176">
        <v>33</v>
      </c>
      <c r="N20" s="2176">
        <v>0</v>
      </c>
      <c r="O20" s="2176">
        <v>0</v>
      </c>
      <c r="P20" s="2177">
        <v>0</v>
      </c>
      <c r="Q20" s="2177">
        <v>0</v>
      </c>
      <c r="R20" s="2177">
        <v>0</v>
      </c>
      <c r="S20" s="2177">
        <v>0</v>
      </c>
      <c r="T20" s="2177">
        <v>0</v>
      </c>
      <c r="U20" s="2177">
        <v>100</v>
      </c>
      <c r="V20" s="2177">
        <v>0</v>
      </c>
      <c r="W20" s="2177">
        <v>156</v>
      </c>
      <c r="X20" s="2177">
        <v>45</v>
      </c>
      <c r="Y20" s="2177">
        <v>41</v>
      </c>
      <c r="Z20" s="2177">
        <v>72</v>
      </c>
      <c r="AA20" s="2177">
        <v>120</v>
      </c>
      <c r="AB20" s="2177">
        <v>85</v>
      </c>
      <c r="AC20" s="2177">
        <v>105</v>
      </c>
      <c r="AD20" s="2177">
        <v>0</v>
      </c>
      <c r="AE20" s="2177">
        <v>97</v>
      </c>
      <c r="AF20" s="2177">
        <v>0</v>
      </c>
      <c r="AG20" s="2177">
        <v>0</v>
      </c>
      <c r="AH20" s="2177"/>
      <c r="AI20" s="2178">
        <f t="shared" si="0"/>
        <v>1011</v>
      </c>
      <c r="AJ20" s="2179">
        <f t="shared" si="1"/>
        <v>48.055188100000002</v>
      </c>
      <c r="AK20" s="2180">
        <f t="shared" si="2"/>
        <v>485.83795169100006</v>
      </c>
      <c r="AL20" s="2181" t="s">
        <v>1957</v>
      </c>
      <c r="AM20" s="2173"/>
      <c r="AN20" s="2169"/>
      <c r="AO20" s="2169"/>
    </row>
    <row r="21" spans="1:41" s="2170" customFormat="1" ht="51" customHeight="1">
      <c r="A21" s="2173">
        <v>11</v>
      </c>
      <c r="B21" s="2173"/>
      <c r="C21" s="2175" t="str">
        <f>+'[6]Biểu 1 TH CÔNG copy'!C21</f>
        <v>Ton</v>
      </c>
      <c r="D21" s="2176">
        <v>0</v>
      </c>
      <c r="E21" s="2176">
        <v>40</v>
      </c>
      <c r="F21" s="2176">
        <v>40</v>
      </c>
      <c r="G21" s="2176">
        <v>52</v>
      </c>
      <c r="H21" s="2176">
        <v>26</v>
      </c>
      <c r="I21" s="2176">
        <v>0</v>
      </c>
      <c r="J21" s="2176">
        <v>0</v>
      </c>
      <c r="K21" s="2176">
        <v>0</v>
      </c>
      <c r="L21" s="2176">
        <v>0</v>
      </c>
      <c r="M21" s="2176">
        <v>33</v>
      </c>
      <c r="N21" s="2176">
        <v>0</v>
      </c>
      <c r="O21" s="2176">
        <v>0</v>
      </c>
      <c r="P21" s="2177">
        <v>0</v>
      </c>
      <c r="Q21" s="2177">
        <v>0</v>
      </c>
      <c r="R21" s="2177">
        <v>0</v>
      </c>
      <c r="S21" s="2177">
        <v>0</v>
      </c>
      <c r="T21" s="2177">
        <v>0</v>
      </c>
      <c r="U21" s="2177">
        <v>101</v>
      </c>
      <c r="V21" s="2177">
        <v>0</v>
      </c>
      <c r="W21" s="2177">
        <v>156</v>
      </c>
      <c r="X21" s="2177">
        <v>45</v>
      </c>
      <c r="Y21" s="2177">
        <v>42</v>
      </c>
      <c r="Z21" s="2177">
        <v>73</v>
      </c>
      <c r="AA21" s="2177">
        <v>120</v>
      </c>
      <c r="AB21" s="2177">
        <v>85</v>
      </c>
      <c r="AC21" s="2177">
        <v>105</v>
      </c>
      <c r="AD21" s="2177">
        <v>0</v>
      </c>
      <c r="AE21" s="2177">
        <v>97</v>
      </c>
      <c r="AF21" s="2177">
        <v>77</v>
      </c>
      <c r="AG21" s="2177">
        <v>0</v>
      </c>
      <c r="AH21" s="2177"/>
      <c r="AI21" s="2178">
        <f t="shared" si="0"/>
        <v>1092</v>
      </c>
      <c r="AJ21" s="2179">
        <f t="shared" si="1"/>
        <v>48.055188100000002</v>
      </c>
      <c r="AK21" s="2180">
        <f t="shared" si="2"/>
        <v>524.76265405200002</v>
      </c>
      <c r="AL21" s="2181" t="s">
        <v>1957</v>
      </c>
      <c r="AM21" s="2173"/>
      <c r="AN21" s="2169"/>
      <c r="AO21" s="2169"/>
    </row>
    <row r="22" spans="1:41" s="2170" customFormat="1" ht="51" customHeight="1">
      <c r="A22" s="2173">
        <v>12</v>
      </c>
      <c r="B22" s="2173"/>
      <c r="C22" s="2175" t="str">
        <f>+'[6]Biểu 1 TH CÔNG copy'!C22</f>
        <v>Phò Thít</v>
      </c>
      <c r="D22" s="2176">
        <v>45</v>
      </c>
      <c r="E22" s="2176">
        <v>42</v>
      </c>
      <c r="F22" s="2176">
        <v>60</v>
      </c>
      <c r="G22" s="2176">
        <v>65</v>
      </c>
      <c r="H22" s="2176">
        <v>45</v>
      </c>
      <c r="I22" s="2176">
        <v>45</v>
      </c>
      <c r="J22" s="2176">
        <v>56</v>
      </c>
      <c r="K22" s="2176">
        <v>51</v>
      </c>
      <c r="L22" s="2176">
        <v>55</v>
      </c>
      <c r="M22" s="2176">
        <v>35</v>
      </c>
      <c r="N22" s="2176">
        <v>59</v>
      </c>
      <c r="O22" s="2176">
        <v>90</v>
      </c>
      <c r="P22" s="2177">
        <v>0</v>
      </c>
      <c r="Q22" s="2177">
        <v>95</v>
      </c>
      <c r="R22" s="2177">
        <v>40</v>
      </c>
      <c r="S22" s="2177">
        <v>135</v>
      </c>
      <c r="T22" s="2177">
        <v>102</v>
      </c>
      <c r="U22" s="2177">
        <v>80</v>
      </c>
      <c r="V22" s="2177">
        <v>0</v>
      </c>
      <c r="W22" s="2177">
        <v>92</v>
      </c>
      <c r="X22" s="2177">
        <v>95</v>
      </c>
      <c r="Y22" s="2177">
        <v>72</v>
      </c>
      <c r="Z22" s="2177">
        <v>90</v>
      </c>
      <c r="AA22" s="2177">
        <v>75</v>
      </c>
      <c r="AB22" s="2177">
        <v>75</v>
      </c>
      <c r="AC22" s="2177">
        <v>84</v>
      </c>
      <c r="AD22" s="2177">
        <v>69</v>
      </c>
      <c r="AE22" s="2177">
        <v>80</v>
      </c>
      <c r="AF22" s="2177">
        <v>79</v>
      </c>
      <c r="AG22" s="2177">
        <v>74</v>
      </c>
      <c r="AH22" s="2177"/>
      <c r="AI22" s="2178">
        <f t="shared" si="0"/>
        <v>1985</v>
      </c>
      <c r="AJ22" s="2179">
        <f t="shared" si="1"/>
        <v>48.055188100000002</v>
      </c>
      <c r="AK22" s="2180">
        <f t="shared" si="2"/>
        <v>953.89548378500012</v>
      </c>
      <c r="AL22" s="2181" t="s">
        <v>1957</v>
      </c>
      <c r="AM22" s="2173"/>
      <c r="AN22" s="2169"/>
      <c r="AO22" s="2169"/>
    </row>
    <row r="23" spans="1:41" s="2170" customFormat="1" ht="51" customHeight="1">
      <c r="A23" s="2173">
        <v>13</v>
      </c>
      <c r="B23" s="2173"/>
      <c r="C23" s="2175" t="str">
        <f>+'[6]Biểu 1 TH CÔNG copy'!C23</f>
        <v>A Bớp</v>
      </c>
      <c r="D23" s="2176">
        <v>70</v>
      </c>
      <c r="E23" s="2176">
        <v>80</v>
      </c>
      <c r="F23" s="2176">
        <v>103</v>
      </c>
      <c r="G23" s="2176">
        <v>89</v>
      </c>
      <c r="H23" s="2176">
        <v>0</v>
      </c>
      <c r="I23" s="2176">
        <v>67</v>
      </c>
      <c r="J23" s="2176">
        <v>70</v>
      </c>
      <c r="K23" s="2176">
        <v>85</v>
      </c>
      <c r="L23" s="2176">
        <v>46</v>
      </c>
      <c r="M23" s="2176">
        <v>63</v>
      </c>
      <c r="N23" s="2176">
        <v>83</v>
      </c>
      <c r="O23" s="2176">
        <v>201</v>
      </c>
      <c r="P23" s="2177">
        <v>0</v>
      </c>
      <c r="Q23" s="2177">
        <v>0</v>
      </c>
      <c r="R23" s="2177">
        <v>57</v>
      </c>
      <c r="S23" s="2177">
        <v>203</v>
      </c>
      <c r="T23" s="2177">
        <v>123</v>
      </c>
      <c r="U23" s="2177">
        <v>93</v>
      </c>
      <c r="V23" s="2177">
        <v>65</v>
      </c>
      <c r="W23" s="2177">
        <v>140</v>
      </c>
      <c r="X23" s="2177">
        <v>140</v>
      </c>
      <c r="Y23" s="2177">
        <v>102</v>
      </c>
      <c r="Z23" s="2177">
        <v>0</v>
      </c>
      <c r="AA23" s="2177">
        <v>121</v>
      </c>
      <c r="AB23" s="2177">
        <v>110</v>
      </c>
      <c r="AC23" s="2177">
        <v>80</v>
      </c>
      <c r="AD23" s="2177">
        <v>185</v>
      </c>
      <c r="AE23" s="2177">
        <v>110</v>
      </c>
      <c r="AF23" s="2177">
        <v>122</v>
      </c>
      <c r="AG23" s="2177">
        <v>80</v>
      </c>
      <c r="AH23" s="2177"/>
      <c r="AI23" s="2178">
        <f t="shared" si="0"/>
        <v>2688</v>
      </c>
      <c r="AJ23" s="2179">
        <f t="shared" si="1"/>
        <v>48.055188100000002</v>
      </c>
      <c r="AK23" s="2180">
        <f t="shared" si="2"/>
        <v>1291.7234561280002</v>
      </c>
      <c r="AL23" s="2181" t="s">
        <v>1957</v>
      </c>
      <c r="AM23" s="2173"/>
      <c r="AN23" s="2169"/>
      <c r="AO23" s="2169"/>
    </row>
    <row r="24" spans="1:41" s="2170" customFormat="1" ht="51" customHeight="1">
      <c r="A24" s="2173">
        <v>14</v>
      </c>
      <c r="B24" s="2173"/>
      <c r="C24" s="2175" t="str">
        <f>+'[6]Biểu 1 TH CÔNG copy'!C24</f>
        <v>A Cơ</v>
      </c>
      <c r="D24" s="2176">
        <v>70</v>
      </c>
      <c r="E24" s="2176">
        <v>180</v>
      </c>
      <c r="F24" s="2176">
        <v>135</v>
      </c>
      <c r="G24" s="2176">
        <v>100</v>
      </c>
      <c r="H24" s="2176">
        <v>0</v>
      </c>
      <c r="I24" s="2176">
        <v>0</v>
      </c>
      <c r="J24" s="2176">
        <v>0</v>
      </c>
      <c r="K24" s="2176">
        <v>43</v>
      </c>
      <c r="L24" s="2176">
        <v>51</v>
      </c>
      <c r="M24" s="2176">
        <v>40</v>
      </c>
      <c r="N24" s="2176">
        <v>123</v>
      </c>
      <c r="O24" s="2176">
        <v>105</v>
      </c>
      <c r="P24" s="2177">
        <v>0</v>
      </c>
      <c r="Q24" s="2177">
        <v>0</v>
      </c>
      <c r="R24" s="2177">
        <v>13</v>
      </c>
      <c r="S24" s="2177">
        <v>125</v>
      </c>
      <c r="T24" s="2177">
        <v>90</v>
      </c>
      <c r="U24" s="2177">
        <v>0</v>
      </c>
      <c r="V24" s="2177">
        <v>60</v>
      </c>
      <c r="W24" s="2177">
        <v>106</v>
      </c>
      <c r="X24" s="2177">
        <v>95</v>
      </c>
      <c r="Y24" s="2177">
        <v>32</v>
      </c>
      <c r="Z24" s="2177">
        <v>80</v>
      </c>
      <c r="AA24" s="2177">
        <v>0</v>
      </c>
      <c r="AB24" s="2177">
        <v>0</v>
      </c>
      <c r="AC24" s="2177">
        <v>55</v>
      </c>
      <c r="AD24" s="2177">
        <v>0</v>
      </c>
      <c r="AE24" s="2177">
        <v>105</v>
      </c>
      <c r="AF24" s="2177">
        <v>130</v>
      </c>
      <c r="AG24" s="2177">
        <v>40</v>
      </c>
      <c r="AH24" s="2177"/>
      <c r="AI24" s="2178">
        <f t="shared" si="0"/>
        <v>1778</v>
      </c>
      <c r="AJ24" s="2179">
        <f t="shared" si="1"/>
        <v>48.055188100000002</v>
      </c>
      <c r="AK24" s="2180">
        <f t="shared" si="2"/>
        <v>854.42124441800001</v>
      </c>
      <c r="AL24" s="2181" t="s">
        <v>1958</v>
      </c>
      <c r="AM24" s="2173"/>
      <c r="AN24" s="2169"/>
      <c r="AO24" s="2169"/>
    </row>
    <row r="25" spans="1:41" s="2170" customFormat="1" ht="51" customHeight="1">
      <c r="A25" s="2173">
        <v>15</v>
      </c>
      <c r="B25" s="2173"/>
      <c r="C25" s="2175" t="str">
        <f>+'[6]Biểu 1 TH CÔNG copy'!C25</f>
        <v>Võ Thị Nguyên</v>
      </c>
      <c r="D25" s="2176">
        <v>0</v>
      </c>
      <c r="E25" s="2176">
        <v>158</v>
      </c>
      <c r="F25" s="2176">
        <v>60</v>
      </c>
      <c r="G25" s="2176">
        <v>93</v>
      </c>
      <c r="H25" s="2176">
        <v>120</v>
      </c>
      <c r="I25" s="2176">
        <v>53</v>
      </c>
      <c r="J25" s="2176">
        <v>42</v>
      </c>
      <c r="K25" s="2176">
        <v>56</v>
      </c>
      <c r="L25" s="2176">
        <v>57</v>
      </c>
      <c r="M25" s="2176">
        <v>71</v>
      </c>
      <c r="N25" s="2176">
        <v>53</v>
      </c>
      <c r="O25" s="2176">
        <v>114</v>
      </c>
      <c r="P25" s="2177">
        <v>0</v>
      </c>
      <c r="Q25" s="2177">
        <v>75</v>
      </c>
      <c r="R25" s="2177">
        <v>68</v>
      </c>
      <c r="S25" s="2177">
        <v>103</v>
      </c>
      <c r="T25" s="2177">
        <v>91</v>
      </c>
      <c r="U25" s="2177">
        <v>55</v>
      </c>
      <c r="V25" s="2177">
        <v>75</v>
      </c>
      <c r="W25" s="2177">
        <v>113</v>
      </c>
      <c r="X25" s="2177">
        <v>86</v>
      </c>
      <c r="Y25" s="2177">
        <v>94</v>
      </c>
      <c r="Z25" s="2177">
        <v>108</v>
      </c>
      <c r="AA25" s="2177">
        <v>64</v>
      </c>
      <c r="AB25" s="2177">
        <v>82</v>
      </c>
      <c r="AC25" s="2177">
        <v>102</v>
      </c>
      <c r="AD25" s="2177">
        <v>104</v>
      </c>
      <c r="AE25" s="2177">
        <v>74</v>
      </c>
      <c r="AF25" s="2177">
        <v>98</v>
      </c>
      <c r="AG25" s="2177">
        <v>104</v>
      </c>
      <c r="AH25" s="2177"/>
      <c r="AI25" s="2178">
        <f t="shared" si="0"/>
        <v>2373</v>
      </c>
      <c r="AJ25" s="2179">
        <f t="shared" si="1"/>
        <v>48.055188100000002</v>
      </c>
      <c r="AK25" s="2180">
        <f t="shared" si="2"/>
        <v>1140.3496136130002</v>
      </c>
      <c r="AL25" s="2181" t="s">
        <v>1959</v>
      </c>
      <c r="AM25" s="2173"/>
      <c r="AN25" s="2169"/>
      <c r="AO25" s="2169"/>
    </row>
    <row r="26" spans="1:41" s="2170" customFormat="1" ht="51" customHeight="1">
      <c r="A26" s="2173">
        <v>16</v>
      </c>
      <c r="B26" s="2173"/>
      <c r="C26" s="2175" t="str">
        <f>+'[6]Biểu 1 TH CÔNG copy'!C26</f>
        <v>Nguyễn Thị Thanh Trà</v>
      </c>
      <c r="D26" s="2176">
        <v>0</v>
      </c>
      <c r="E26" s="2176">
        <v>158</v>
      </c>
      <c r="F26" s="2176">
        <v>60</v>
      </c>
      <c r="G26" s="2176">
        <v>93</v>
      </c>
      <c r="H26" s="2176">
        <v>120</v>
      </c>
      <c r="I26" s="2176">
        <v>53</v>
      </c>
      <c r="J26" s="2176">
        <v>42</v>
      </c>
      <c r="K26" s="2176">
        <v>56</v>
      </c>
      <c r="L26" s="2176">
        <v>57</v>
      </c>
      <c r="M26" s="2176">
        <v>71</v>
      </c>
      <c r="N26" s="2176">
        <v>53</v>
      </c>
      <c r="O26" s="2176">
        <v>115</v>
      </c>
      <c r="P26" s="2177">
        <v>0</v>
      </c>
      <c r="Q26" s="2177">
        <v>75</v>
      </c>
      <c r="R26" s="2177">
        <v>68</v>
      </c>
      <c r="S26" s="2177">
        <v>104</v>
      </c>
      <c r="T26" s="2177">
        <v>90</v>
      </c>
      <c r="U26" s="2177">
        <v>54</v>
      </c>
      <c r="V26" s="2177">
        <v>75</v>
      </c>
      <c r="W26" s="2177">
        <v>113</v>
      </c>
      <c r="X26" s="2177">
        <v>86</v>
      </c>
      <c r="Y26" s="2177">
        <v>94</v>
      </c>
      <c r="Z26" s="2177">
        <v>108</v>
      </c>
      <c r="AA26" s="2177">
        <v>64</v>
      </c>
      <c r="AB26" s="2177">
        <v>82</v>
      </c>
      <c r="AC26" s="2177">
        <v>102</v>
      </c>
      <c r="AD26" s="2177">
        <v>104</v>
      </c>
      <c r="AE26" s="2177">
        <v>74</v>
      </c>
      <c r="AF26" s="2177">
        <v>98</v>
      </c>
      <c r="AG26" s="2177">
        <v>104</v>
      </c>
      <c r="AH26" s="2177"/>
      <c r="AI26" s="2178">
        <f t="shared" si="0"/>
        <v>2373</v>
      </c>
      <c r="AJ26" s="2179">
        <f t="shared" si="1"/>
        <v>48.055188100000002</v>
      </c>
      <c r="AK26" s="2180">
        <f t="shared" si="2"/>
        <v>1140.3496136130002</v>
      </c>
      <c r="AL26" s="2181" t="s">
        <v>1959</v>
      </c>
      <c r="AM26" s="2173"/>
      <c r="AN26" s="2169"/>
      <c r="AO26" s="2169"/>
    </row>
    <row r="27" spans="1:41" s="2170" customFormat="1" ht="51" customHeight="1">
      <c r="A27" s="2173">
        <v>17</v>
      </c>
      <c r="B27" s="2173"/>
      <c r="C27" s="2175" t="str">
        <f>+'[6]Biểu 1 TH CÔNG copy'!C27</f>
        <v>A Han</v>
      </c>
      <c r="D27" s="2176">
        <v>84</v>
      </c>
      <c r="E27" s="2176">
        <v>200</v>
      </c>
      <c r="F27" s="2176">
        <v>0</v>
      </c>
      <c r="G27" s="2176">
        <v>0</v>
      </c>
      <c r="H27" s="2176">
        <v>0</v>
      </c>
      <c r="I27" s="2176">
        <v>0</v>
      </c>
      <c r="J27" s="2176">
        <v>0</v>
      </c>
      <c r="K27" s="2176">
        <v>100</v>
      </c>
      <c r="L27" s="2176">
        <v>0</v>
      </c>
      <c r="M27" s="2176">
        <v>40</v>
      </c>
      <c r="N27" s="2176">
        <v>111</v>
      </c>
      <c r="O27" s="2176">
        <v>60</v>
      </c>
      <c r="P27" s="2177">
        <v>0</v>
      </c>
      <c r="Q27" s="2177">
        <v>0</v>
      </c>
      <c r="R27" s="2177">
        <v>0</v>
      </c>
      <c r="S27" s="2177">
        <v>173</v>
      </c>
      <c r="T27" s="2177">
        <v>140</v>
      </c>
      <c r="U27" s="2177">
        <v>114</v>
      </c>
      <c r="V27" s="2177">
        <v>85</v>
      </c>
      <c r="W27" s="2177">
        <v>218</v>
      </c>
      <c r="X27" s="2177">
        <v>118</v>
      </c>
      <c r="Y27" s="2177">
        <v>0</v>
      </c>
      <c r="Z27" s="2177">
        <v>0</v>
      </c>
      <c r="AA27" s="2177">
        <v>0</v>
      </c>
      <c r="AB27" s="2177">
        <v>0</v>
      </c>
      <c r="AC27" s="2177">
        <v>175</v>
      </c>
      <c r="AD27" s="2177">
        <v>124</v>
      </c>
      <c r="AE27" s="2177">
        <v>333</v>
      </c>
      <c r="AF27" s="2177">
        <v>261</v>
      </c>
      <c r="AG27" s="2177">
        <v>0</v>
      </c>
      <c r="AH27" s="2177"/>
      <c r="AI27" s="2178">
        <f t="shared" si="0"/>
        <v>2336</v>
      </c>
      <c r="AJ27" s="2179">
        <f t="shared" si="1"/>
        <v>48.055188100000002</v>
      </c>
      <c r="AK27" s="2180">
        <f t="shared" si="2"/>
        <v>1122.5691940160002</v>
      </c>
      <c r="AL27" s="2181" t="s">
        <v>1957</v>
      </c>
      <c r="AM27" s="2173"/>
      <c r="AN27" s="2169"/>
      <c r="AO27" s="2169"/>
    </row>
    <row r="28" spans="1:41" s="2170" customFormat="1" ht="51" customHeight="1">
      <c r="A28" s="2173">
        <v>18</v>
      </c>
      <c r="B28" s="2173"/>
      <c r="C28" s="2175" t="str">
        <f>+'[6]Biểu 1 TH CÔNG copy'!C28</f>
        <v>Thảo Bun Ten</v>
      </c>
      <c r="D28" s="2176">
        <v>24</v>
      </c>
      <c r="E28" s="2176">
        <v>58</v>
      </c>
      <c r="F28" s="2176">
        <v>55</v>
      </c>
      <c r="G28" s="2176">
        <v>65</v>
      </c>
      <c r="H28" s="2176">
        <v>0</v>
      </c>
      <c r="I28" s="2176">
        <v>24</v>
      </c>
      <c r="J28" s="2176">
        <v>50</v>
      </c>
      <c r="K28" s="2176">
        <v>58</v>
      </c>
      <c r="L28" s="2176">
        <v>43</v>
      </c>
      <c r="M28" s="2176">
        <v>37</v>
      </c>
      <c r="N28" s="2176">
        <v>33</v>
      </c>
      <c r="O28" s="2176">
        <v>115</v>
      </c>
      <c r="P28" s="2177">
        <v>0</v>
      </c>
      <c r="Q28" s="2177">
        <v>0</v>
      </c>
      <c r="R28" s="2177">
        <v>42</v>
      </c>
      <c r="S28" s="2177">
        <v>75</v>
      </c>
      <c r="T28" s="2177">
        <v>107</v>
      </c>
      <c r="U28" s="2177">
        <v>93</v>
      </c>
      <c r="V28" s="2177">
        <v>70</v>
      </c>
      <c r="W28" s="2177">
        <v>80</v>
      </c>
      <c r="X28" s="2177">
        <v>84</v>
      </c>
      <c r="Y28" s="2177">
        <v>53</v>
      </c>
      <c r="Z28" s="2177">
        <v>0</v>
      </c>
      <c r="AA28" s="2177">
        <v>110</v>
      </c>
      <c r="AB28" s="2177">
        <v>109</v>
      </c>
      <c r="AC28" s="2177">
        <v>45</v>
      </c>
      <c r="AD28" s="2177">
        <v>162</v>
      </c>
      <c r="AE28" s="2177">
        <v>65</v>
      </c>
      <c r="AF28" s="2177">
        <v>81</v>
      </c>
      <c r="AG28" s="2177">
        <v>44</v>
      </c>
      <c r="AH28" s="2177"/>
      <c r="AI28" s="2178">
        <f t="shared" si="0"/>
        <v>1782</v>
      </c>
      <c r="AJ28" s="2179">
        <f t="shared" si="1"/>
        <v>48.055188100000002</v>
      </c>
      <c r="AK28" s="2180">
        <f t="shared" si="2"/>
        <v>856.34345194200012</v>
      </c>
      <c r="AL28" s="2181" t="s">
        <v>1959</v>
      </c>
      <c r="AM28" s="2173"/>
      <c r="AN28" s="2169"/>
      <c r="AO28" s="2169"/>
    </row>
    <row r="29" spans="1:41" s="2170" customFormat="1" ht="51" customHeight="1">
      <c r="A29" s="2173">
        <v>19</v>
      </c>
      <c r="B29" s="2173"/>
      <c r="C29" s="2175" t="str">
        <f>+'[6]Biểu 1 TH CÔNG copy'!C29</f>
        <v>Nang Đào</v>
      </c>
      <c r="D29" s="2176">
        <v>28</v>
      </c>
      <c r="E29" s="2176">
        <v>31</v>
      </c>
      <c r="F29" s="2176">
        <v>45</v>
      </c>
      <c r="G29" s="2176">
        <v>86</v>
      </c>
      <c r="H29" s="2176">
        <v>0</v>
      </c>
      <c r="I29" s="2176">
        <v>0</v>
      </c>
      <c r="J29" s="2176">
        <v>0</v>
      </c>
      <c r="K29" s="2176">
        <v>0</v>
      </c>
      <c r="L29" s="2176">
        <v>0</v>
      </c>
      <c r="M29" s="2176">
        <v>55</v>
      </c>
      <c r="N29" s="2176">
        <v>70</v>
      </c>
      <c r="O29" s="2176">
        <v>72</v>
      </c>
      <c r="P29" s="2177">
        <v>0</v>
      </c>
      <c r="Q29" s="2177">
        <v>0</v>
      </c>
      <c r="R29" s="2177">
        <v>15</v>
      </c>
      <c r="S29" s="2177">
        <v>74</v>
      </c>
      <c r="T29" s="2177">
        <v>0</v>
      </c>
      <c r="U29" s="2177">
        <v>0</v>
      </c>
      <c r="V29" s="2177">
        <v>0</v>
      </c>
      <c r="W29" s="2177">
        <v>0</v>
      </c>
      <c r="X29" s="2177">
        <v>0</v>
      </c>
      <c r="Y29" s="2177">
        <v>0</v>
      </c>
      <c r="Z29" s="2177">
        <v>0</v>
      </c>
      <c r="AA29" s="2177">
        <v>0</v>
      </c>
      <c r="AB29" s="2177">
        <v>0</v>
      </c>
      <c r="AC29" s="2177">
        <v>138</v>
      </c>
      <c r="AD29" s="2177">
        <v>144</v>
      </c>
      <c r="AE29" s="2177">
        <v>144</v>
      </c>
      <c r="AF29" s="2177">
        <v>130</v>
      </c>
      <c r="AG29" s="2177">
        <v>52</v>
      </c>
      <c r="AH29" s="2177"/>
      <c r="AI29" s="2178">
        <f t="shared" si="0"/>
        <v>1084</v>
      </c>
      <c r="AJ29" s="2179">
        <f t="shared" si="1"/>
        <v>48.055188100000002</v>
      </c>
      <c r="AK29" s="2180">
        <f t="shared" si="2"/>
        <v>520.91823900400004</v>
      </c>
      <c r="AL29" s="2181" t="s">
        <v>1957</v>
      </c>
      <c r="AM29" s="2173"/>
      <c r="AN29" s="2169"/>
      <c r="AO29" s="2169"/>
    </row>
    <row r="30" spans="1:41" s="2170" customFormat="1" ht="51" customHeight="1">
      <c r="A30" s="2173">
        <v>20</v>
      </c>
      <c r="B30" s="2173"/>
      <c r="C30" s="2175" t="str">
        <f>+'[6]Biểu 1 TH CÔNG copy'!C30</f>
        <v>Phò Nhạt</v>
      </c>
      <c r="D30" s="2176">
        <v>55</v>
      </c>
      <c r="E30" s="2176">
        <v>172</v>
      </c>
      <c r="F30" s="2176">
        <v>82</v>
      </c>
      <c r="G30" s="2176">
        <v>125</v>
      </c>
      <c r="H30" s="2176">
        <v>0</v>
      </c>
      <c r="I30" s="2176">
        <v>14</v>
      </c>
      <c r="J30" s="2176">
        <v>20</v>
      </c>
      <c r="K30" s="2176">
        <v>26</v>
      </c>
      <c r="L30" s="2176">
        <v>28</v>
      </c>
      <c r="M30" s="2176">
        <v>20</v>
      </c>
      <c r="N30" s="2176">
        <v>25</v>
      </c>
      <c r="O30" s="2176">
        <v>87</v>
      </c>
      <c r="P30" s="2177">
        <v>0</v>
      </c>
      <c r="Q30" s="2177">
        <v>21</v>
      </c>
      <c r="R30" s="2177">
        <v>50</v>
      </c>
      <c r="S30" s="2177">
        <v>120</v>
      </c>
      <c r="T30" s="2177">
        <v>82</v>
      </c>
      <c r="U30" s="2177">
        <v>0</v>
      </c>
      <c r="V30" s="2177">
        <v>0</v>
      </c>
      <c r="W30" s="2177">
        <v>64</v>
      </c>
      <c r="X30" s="2177">
        <v>65</v>
      </c>
      <c r="Y30" s="2177">
        <v>69</v>
      </c>
      <c r="Z30" s="2177">
        <v>62</v>
      </c>
      <c r="AA30" s="2177">
        <v>69</v>
      </c>
      <c r="AB30" s="2177">
        <v>88</v>
      </c>
      <c r="AC30" s="2177">
        <v>54</v>
      </c>
      <c r="AD30" s="2177">
        <v>20</v>
      </c>
      <c r="AE30" s="2177">
        <v>51</v>
      </c>
      <c r="AF30" s="2177">
        <v>43</v>
      </c>
      <c r="AG30" s="2177">
        <v>44</v>
      </c>
      <c r="AH30" s="2177"/>
      <c r="AI30" s="2178">
        <f t="shared" si="0"/>
        <v>1556</v>
      </c>
      <c r="AJ30" s="2179">
        <f t="shared" si="1"/>
        <v>48.055188100000002</v>
      </c>
      <c r="AK30" s="2180">
        <f t="shared" si="2"/>
        <v>747.73872683599996</v>
      </c>
      <c r="AL30" s="2181" t="s">
        <v>1957</v>
      </c>
      <c r="AM30" s="2173"/>
      <c r="AN30" s="2169"/>
      <c r="AO30" s="2169"/>
    </row>
    <row r="31" spans="1:41" s="2170" customFormat="1" ht="51" customHeight="1">
      <c r="A31" s="2173">
        <v>21</v>
      </c>
      <c r="B31" s="2173"/>
      <c r="C31" s="2175" t="str">
        <f>+'[6]Biểu 1 TH CÔNG copy'!C31</f>
        <v>Nang Xây</v>
      </c>
      <c r="D31" s="2176">
        <v>49</v>
      </c>
      <c r="E31" s="2176">
        <v>51</v>
      </c>
      <c r="F31" s="2176">
        <v>53</v>
      </c>
      <c r="G31" s="2176">
        <v>42</v>
      </c>
      <c r="H31" s="2176">
        <v>0</v>
      </c>
      <c r="I31" s="2176">
        <v>41</v>
      </c>
      <c r="J31" s="2176">
        <v>0</v>
      </c>
      <c r="K31" s="2176">
        <v>52</v>
      </c>
      <c r="L31" s="2176">
        <v>50</v>
      </c>
      <c r="M31" s="2176">
        <v>65</v>
      </c>
      <c r="N31" s="2176">
        <v>69</v>
      </c>
      <c r="O31" s="2176">
        <v>104</v>
      </c>
      <c r="P31" s="2177">
        <v>0</v>
      </c>
      <c r="Q31" s="2177">
        <v>0</v>
      </c>
      <c r="R31" s="2177">
        <v>0</v>
      </c>
      <c r="S31" s="2177">
        <v>65</v>
      </c>
      <c r="T31" s="2177">
        <v>110</v>
      </c>
      <c r="U31" s="2177">
        <v>75</v>
      </c>
      <c r="V31" s="2177">
        <v>0</v>
      </c>
      <c r="W31" s="2177">
        <v>78</v>
      </c>
      <c r="X31" s="2177">
        <v>100</v>
      </c>
      <c r="Y31" s="2177">
        <v>0</v>
      </c>
      <c r="Z31" s="2177">
        <v>0</v>
      </c>
      <c r="AA31" s="2177">
        <v>0</v>
      </c>
      <c r="AB31" s="2177">
        <v>105</v>
      </c>
      <c r="AC31" s="2177">
        <v>60</v>
      </c>
      <c r="AD31" s="2177">
        <v>80</v>
      </c>
      <c r="AE31" s="2177">
        <v>39</v>
      </c>
      <c r="AF31" s="2177">
        <v>110</v>
      </c>
      <c r="AG31" s="2177">
        <v>0</v>
      </c>
      <c r="AH31" s="2177"/>
      <c r="AI31" s="2178">
        <f t="shared" si="0"/>
        <v>1398</v>
      </c>
      <c r="AJ31" s="2179">
        <f t="shared" si="1"/>
        <v>48.055188100000002</v>
      </c>
      <c r="AK31" s="2180">
        <f t="shared" si="2"/>
        <v>671.81152963800002</v>
      </c>
      <c r="AL31" s="2181" t="s">
        <v>1957</v>
      </c>
      <c r="AM31" s="2173"/>
      <c r="AN31" s="2169"/>
      <c r="AO31" s="2169"/>
    </row>
    <row r="32" spans="1:41" s="2170" customFormat="1" ht="51" customHeight="1">
      <c r="A32" s="2173">
        <v>22</v>
      </c>
      <c r="B32" s="2173"/>
      <c r="C32" s="2175" t="str">
        <f>+'[6]Biểu 1 TH CÔNG copy'!C32</f>
        <v>Thảo Anh</v>
      </c>
      <c r="D32" s="2176">
        <v>45</v>
      </c>
      <c r="E32" s="2176">
        <v>45</v>
      </c>
      <c r="F32" s="2176">
        <v>76</v>
      </c>
      <c r="G32" s="2176">
        <v>29</v>
      </c>
      <c r="H32" s="2176">
        <v>0</v>
      </c>
      <c r="I32" s="2176">
        <v>49</v>
      </c>
      <c r="J32" s="2176">
        <v>0</v>
      </c>
      <c r="K32" s="2176">
        <v>0</v>
      </c>
      <c r="L32" s="2176">
        <v>95</v>
      </c>
      <c r="M32" s="2176">
        <v>45</v>
      </c>
      <c r="N32" s="2176">
        <v>66</v>
      </c>
      <c r="O32" s="2176">
        <v>125</v>
      </c>
      <c r="P32" s="2177">
        <v>0</v>
      </c>
      <c r="Q32" s="2177">
        <v>0</v>
      </c>
      <c r="R32" s="2177">
        <v>38</v>
      </c>
      <c r="S32" s="2177">
        <v>0</v>
      </c>
      <c r="T32" s="2177">
        <v>78</v>
      </c>
      <c r="U32" s="2177">
        <v>97</v>
      </c>
      <c r="V32" s="2177">
        <v>74</v>
      </c>
      <c r="W32" s="2177">
        <v>158</v>
      </c>
      <c r="X32" s="2177">
        <v>145</v>
      </c>
      <c r="Y32" s="2177">
        <v>135</v>
      </c>
      <c r="Z32" s="2177">
        <v>136</v>
      </c>
      <c r="AA32" s="2177">
        <v>72</v>
      </c>
      <c r="AB32" s="2177">
        <v>80</v>
      </c>
      <c r="AC32" s="2177">
        <v>88</v>
      </c>
      <c r="AD32" s="2177">
        <v>74</v>
      </c>
      <c r="AE32" s="2177">
        <v>93</v>
      </c>
      <c r="AF32" s="2177">
        <v>70</v>
      </c>
      <c r="AG32" s="2177">
        <v>0</v>
      </c>
      <c r="AH32" s="2177"/>
      <c r="AI32" s="2178">
        <f t="shared" si="0"/>
        <v>1913</v>
      </c>
      <c r="AJ32" s="2179">
        <f t="shared" si="1"/>
        <v>48.055188100000002</v>
      </c>
      <c r="AK32" s="2180">
        <f t="shared" si="2"/>
        <v>919.29574835300014</v>
      </c>
      <c r="AL32" s="2181" t="s">
        <v>1957</v>
      </c>
      <c r="AM32" s="2173"/>
      <c r="AN32" s="2169"/>
      <c r="AO32" s="2169"/>
    </row>
    <row r="33" spans="1:43" s="2170" customFormat="1" ht="51" customHeight="1">
      <c r="A33" s="2173">
        <v>23</v>
      </c>
      <c r="B33" s="2173"/>
      <c r="C33" s="2175" t="str">
        <f>+'[6]Biểu 1 TH CÔNG copy'!C33</f>
        <v>Húc</v>
      </c>
      <c r="D33" s="2176">
        <v>45</v>
      </c>
      <c r="E33" s="2176">
        <v>26</v>
      </c>
      <c r="F33" s="2176">
        <v>100</v>
      </c>
      <c r="G33" s="2176">
        <v>64</v>
      </c>
      <c r="H33" s="2176">
        <v>27</v>
      </c>
      <c r="I33" s="2176">
        <v>20</v>
      </c>
      <c r="J33" s="2176">
        <v>95</v>
      </c>
      <c r="K33" s="2176">
        <v>83</v>
      </c>
      <c r="L33" s="2176">
        <v>21</v>
      </c>
      <c r="M33" s="2176">
        <v>30</v>
      </c>
      <c r="N33" s="2176">
        <v>55</v>
      </c>
      <c r="O33" s="2176">
        <v>110</v>
      </c>
      <c r="P33" s="2177">
        <v>0</v>
      </c>
      <c r="Q33" s="2177">
        <v>50</v>
      </c>
      <c r="R33" s="2177">
        <v>30</v>
      </c>
      <c r="S33" s="2177">
        <v>210</v>
      </c>
      <c r="T33" s="2177">
        <v>165</v>
      </c>
      <c r="U33" s="2177">
        <v>25</v>
      </c>
      <c r="V33" s="2177">
        <v>31</v>
      </c>
      <c r="W33" s="2177">
        <v>136</v>
      </c>
      <c r="X33" s="2177">
        <v>120</v>
      </c>
      <c r="Y33" s="2177">
        <v>47</v>
      </c>
      <c r="Z33" s="2177">
        <v>33</v>
      </c>
      <c r="AA33" s="2177">
        <v>110</v>
      </c>
      <c r="AB33" s="2177">
        <v>59</v>
      </c>
      <c r="AC33" s="2177">
        <v>46</v>
      </c>
      <c r="AD33" s="2177">
        <v>45</v>
      </c>
      <c r="AE33" s="2177">
        <v>113</v>
      </c>
      <c r="AF33" s="2177">
        <v>121</v>
      </c>
      <c r="AG33" s="2177">
        <v>38</v>
      </c>
      <c r="AH33" s="2177"/>
      <c r="AI33" s="2178">
        <f t="shared" si="0"/>
        <v>2055</v>
      </c>
      <c r="AJ33" s="2179">
        <f t="shared" si="1"/>
        <v>48.055188100000002</v>
      </c>
      <c r="AK33" s="2180">
        <f t="shared" si="2"/>
        <v>987.53411545500001</v>
      </c>
      <c r="AL33" s="2181" t="s">
        <v>1957</v>
      </c>
      <c r="AM33" s="2173"/>
      <c r="AN33" s="2169"/>
      <c r="AO33" s="2169"/>
    </row>
    <row r="34" spans="1:43" s="2170" customFormat="1" ht="51" customHeight="1">
      <c r="A34" s="2173">
        <v>24</v>
      </c>
      <c r="B34" s="2173"/>
      <c r="C34" s="2175" t="str">
        <f>+'[6]Biểu 1 TH CÔNG copy'!C34</f>
        <v>Thảo Nét</v>
      </c>
      <c r="D34" s="2176">
        <v>17</v>
      </c>
      <c r="E34" s="2176">
        <v>43</v>
      </c>
      <c r="F34" s="2176">
        <v>55</v>
      </c>
      <c r="G34" s="2176">
        <v>35</v>
      </c>
      <c r="H34" s="2176">
        <v>0</v>
      </c>
      <c r="I34" s="2176">
        <v>43</v>
      </c>
      <c r="J34" s="2176">
        <v>0</v>
      </c>
      <c r="K34" s="2176">
        <v>0</v>
      </c>
      <c r="L34" s="2176">
        <v>0</v>
      </c>
      <c r="M34" s="2176">
        <v>0</v>
      </c>
      <c r="N34" s="2176">
        <v>72</v>
      </c>
      <c r="O34" s="2176">
        <v>0</v>
      </c>
      <c r="P34" s="2177">
        <v>0</v>
      </c>
      <c r="Q34" s="2177">
        <v>0</v>
      </c>
      <c r="R34" s="2177">
        <v>0</v>
      </c>
      <c r="S34" s="2177">
        <v>0</v>
      </c>
      <c r="T34" s="2177">
        <v>0</v>
      </c>
      <c r="U34" s="2177">
        <v>89</v>
      </c>
      <c r="V34" s="2177">
        <v>53</v>
      </c>
      <c r="W34" s="2177">
        <v>20</v>
      </c>
      <c r="X34" s="2177">
        <v>0</v>
      </c>
      <c r="Y34" s="2177">
        <v>33</v>
      </c>
      <c r="Z34" s="2177">
        <v>0</v>
      </c>
      <c r="AA34" s="2177">
        <v>0</v>
      </c>
      <c r="AB34" s="2177">
        <v>53</v>
      </c>
      <c r="AC34" s="2177">
        <v>0</v>
      </c>
      <c r="AD34" s="2177">
        <v>0</v>
      </c>
      <c r="AE34" s="2177">
        <v>45</v>
      </c>
      <c r="AF34" s="2177">
        <v>45</v>
      </c>
      <c r="AG34" s="2177">
        <v>32</v>
      </c>
      <c r="AH34" s="2177"/>
      <c r="AI34" s="2178">
        <f t="shared" si="0"/>
        <v>635</v>
      </c>
      <c r="AJ34" s="2179">
        <f t="shared" si="1"/>
        <v>48.055188100000002</v>
      </c>
      <c r="AK34" s="2180">
        <f t="shared" si="2"/>
        <v>305.15044443500005</v>
      </c>
      <c r="AL34" s="2181" t="s">
        <v>1957</v>
      </c>
      <c r="AM34" s="2173"/>
      <c r="AN34" s="2169"/>
      <c r="AO34" s="2169"/>
    </row>
    <row r="35" spans="1:43" s="2170" customFormat="1" ht="51" customHeight="1">
      <c r="A35" s="2173">
        <v>25</v>
      </c>
      <c r="B35" s="2173"/>
      <c r="C35" s="2175" t="str">
        <f>+'[6]Biểu 1 TH CÔNG copy'!C35</f>
        <v>Thảo út</v>
      </c>
      <c r="D35" s="2176">
        <v>46</v>
      </c>
      <c r="E35" s="2176">
        <v>35</v>
      </c>
      <c r="F35" s="2176">
        <v>53</v>
      </c>
      <c r="G35" s="2176">
        <v>48</v>
      </c>
      <c r="H35" s="2176">
        <v>0</v>
      </c>
      <c r="I35" s="2176">
        <v>0</v>
      </c>
      <c r="J35" s="2176">
        <v>0</v>
      </c>
      <c r="K35" s="2176">
        <v>30</v>
      </c>
      <c r="L35" s="2176">
        <v>30</v>
      </c>
      <c r="M35" s="2176">
        <v>80</v>
      </c>
      <c r="N35" s="2176">
        <v>0</v>
      </c>
      <c r="O35" s="2176">
        <v>0</v>
      </c>
      <c r="P35" s="2177">
        <v>0</v>
      </c>
      <c r="Q35" s="2177">
        <v>0</v>
      </c>
      <c r="R35" s="2177">
        <v>0</v>
      </c>
      <c r="S35" s="2177">
        <v>0</v>
      </c>
      <c r="T35" s="2177">
        <v>0</v>
      </c>
      <c r="U35" s="2177">
        <v>0</v>
      </c>
      <c r="V35" s="2177">
        <v>0</v>
      </c>
      <c r="W35" s="2177">
        <v>0</v>
      </c>
      <c r="X35" s="2177">
        <v>0</v>
      </c>
      <c r="Y35" s="2177">
        <v>0</v>
      </c>
      <c r="Z35" s="2177">
        <v>0</v>
      </c>
      <c r="AA35" s="2177">
        <v>0</v>
      </c>
      <c r="AB35" s="2177">
        <v>0</v>
      </c>
      <c r="AC35" s="2177">
        <v>54</v>
      </c>
      <c r="AD35" s="2177">
        <v>111</v>
      </c>
      <c r="AE35" s="2177">
        <v>150</v>
      </c>
      <c r="AF35" s="2177">
        <v>103</v>
      </c>
      <c r="AG35" s="2177">
        <v>25</v>
      </c>
      <c r="AH35" s="2177"/>
      <c r="AI35" s="2178">
        <f t="shared" si="0"/>
        <v>765</v>
      </c>
      <c r="AJ35" s="2179">
        <f t="shared" si="1"/>
        <v>48.055188100000002</v>
      </c>
      <c r="AK35" s="2180">
        <f t="shared" si="2"/>
        <v>367.62218896500002</v>
      </c>
      <c r="AL35" s="2181" t="s">
        <v>1957</v>
      </c>
      <c r="AM35" s="2173"/>
      <c r="AN35" s="2169"/>
      <c r="AO35" s="2169"/>
    </row>
    <row r="36" spans="1:43" s="2170" customFormat="1" ht="51" customHeight="1">
      <c r="A36" s="2173">
        <v>26</v>
      </c>
      <c r="B36" s="2173"/>
      <c r="C36" s="2175" t="str">
        <f>+'[6]Biểu 1 TH CÔNG copy'!C36</f>
        <v>Nang Nhăn</v>
      </c>
      <c r="D36" s="2176">
        <v>18</v>
      </c>
      <c r="E36" s="2176">
        <v>69</v>
      </c>
      <c r="F36" s="2176">
        <v>55</v>
      </c>
      <c r="G36" s="2176">
        <v>35</v>
      </c>
      <c r="H36" s="2176">
        <v>0</v>
      </c>
      <c r="I36" s="2176">
        <v>0</v>
      </c>
      <c r="J36" s="2176">
        <v>0</v>
      </c>
      <c r="K36" s="2176">
        <v>0</v>
      </c>
      <c r="L36" s="2176">
        <v>0</v>
      </c>
      <c r="M36" s="2176">
        <v>0</v>
      </c>
      <c r="N36" s="2176">
        <v>0</v>
      </c>
      <c r="O36" s="2176">
        <v>0</v>
      </c>
      <c r="P36" s="2177">
        <v>0</v>
      </c>
      <c r="Q36" s="2177">
        <v>0</v>
      </c>
      <c r="R36" s="2177">
        <v>0</v>
      </c>
      <c r="S36" s="2177">
        <v>0</v>
      </c>
      <c r="T36" s="2177">
        <v>0</v>
      </c>
      <c r="U36" s="2177">
        <v>0</v>
      </c>
      <c r="V36" s="2177">
        <v>0</v>
      </c>
      <c r="W36" s="2177">
        <v>0</v>
      </c>
      <c r="X36" s="2177">
        <v>0</v>
      </c>
      <c r="Y36" s="2177">
        <v>0</v>
      </c>
      <c r="Z36" s="2177">
        <v>0</v>
      </c>
      <c r="AA36" s="2177">
        <v>0</v>
      </c>
      <c r="AB36" s="2177">
        <v>0</v>
      </c>
      <c r="AC36" s="2177">
        <v>54</v>
      </c>
      <c r="AD36" s="2177">
        <v>111</v>
      </c>
      <c r="AE36" s="2177">
        <v>150</v>
      </c>
      <c r="AF36" s="2177">
        <v>103</v>
      </c>
      <c r="AG36" s="2177">
        <v>26</v>
      </c>
      <c r="AH36" s="2177"/>
      <c r="AI36" s="2178">
        <f t="shared" si="0"/>
        <v>621</v>
      </c>
      <c r="AJ36" s="2179">
        <f t="shared" si="1"/>
        <v>48.055188100000002</v>
      </c>
      <c r="AK36" s="2180">
        <f t="shared" si="2"/>
        <v>298.42271810100004</v>
      </c>
      <c r="AL36" s="2181" t="s">
        <v>1957</v>
      </c>
      <c r="AM36" s="2173"/>
      <c r="AN36" s="2169"/>
      <c r="AO36" s="2169"/>
    </row>
    <row r="37" spans="1:43" s="2170" customFormat="1" ht="51" customHeight="1">
      <c r="A37" s="2173">
        <v>27</v>
      </c>
      <c r="B37" s="2173"/>
      <c r="C37" s="2175" t="str">
        <f>+'[6]Biểu 1 TH CÔNG copy'!C37</f>
        <v>A Nghen</v>
      </c>
      <c r="D37" s="2176">
        <v>68</v>
      </c>
      <c r="E37" s="2176">
        <v>163</v>
      </c>
      <c r="F37" s="2176">
        <v>160</v>
      </c>
      <c r="G37" s="2176">
        <v>78</v>
      </c>
      <c r="H37" s="2176">
        <v>0</v>
      </c>
      <c r="I37" s="2176">
        <v>0</v>
      </c>
      <c r="J37" s="2176">
        <v>0</v>
      </c>
      <c r="K37" s="2176">
        <v>33</v>
      </c>
      <c r="L37" s="2176">
        <v>57</v>
      </c>
      <c r="M37" s="2176">
        <v>40</v>
      </c>
      <c r="N37" s="2176">
        <v>124</v>
      </c>
      <c r="O37" s="2176">
        <v>93</v>
      </c>
      <c r="P37" s="2177">
        <v>0</v>
      </c>
      <c r="Q37" s="2177">
        <v>0</v>
      </c>
      <c r="R37" s="2177">
        <v>46</v>
      </c>
      <c r="S37" s="2177">
        <v>157</v>
      </c>
      <c r="T37" s="2177">
        <v>0</v>
      </c>
      <c r="U37" s="2177">
        <v>0</v>
      </c>
      <c r="V37" s="2177">
        <v>0</v>
      </c>
      <c r="W37" s="2177">
        <v>102</v>
      </c>
      <c r="X37" s="2177">
        <v>90</v>
      </c>
      <c r="Y37" s="2177">
        <v>34</v>
      </c>
      <c r="Z37" s="2177">
        <v>126</v>
      </c>
      <c r="AA37" s="2177">
        <v>0</v>
      </c>
      <c r="AB37" s="2177">
        <v>0</v>
      </c>
      <c r="AC37" s="2177">
        <v>50</v>
      </c>
      <c r="AD37" s="2177">
        <v>0</v>
      </c>
      <c r="AE37" s="2177">
        <v>143</v>
      </c>
      <c r="AF37" s="2177">
        <v>101</v>
      </c>
      <c r="AG37" s="2177">
        <v>35</v>
      </c>
      <c r="AH37" s="2177"/>
      <c r="AI37" s="2178">
        <f t="shared" si="0"/>
        <v>1700</v>
      </c>
      <c r="AJ37" s="2179">
        <f t="shared" si="1"/>
        <v>48.055188100000002</v>
      </c>
      <c r="AK37" s="2180">
        <f t="shared" si="2"/>
        <v>816.93819770000005</v>
      </c>
      <c r="AL37" s="2181" t="s">
        <v>1957</v>
      </c>
      <c r="AM37" s="2173"/>
      <c r="AN37" s="2169"/>
      <c r="AO37" s="2169"/>
    </row>
    <row r="38" spans="1:43" s="2170" customFormat="1" ht="51" customHeight="1">
      <c r="A38" s="2173">
        <v>28</v>
      </c>
      <c r="B38" s="2173"/>
      <c r="C38" s="2175" t="str">
        <f>+'[6]Biểu 1 TH CÔNG copy'!C38</f>
        <v>Thảo Xâm</v>
      </c>
      <c r="D38" s="2176">
        <v>35</v>
      </c>
      <c r="E38" s="2176">
        <v>51</v>
      </c>
      <c r="F38" s="2176">
        <v>41</v>
      </c>
      <c r="G38" s="2176">
        <v>45</v>
      </c>
      <c r="H38" s="2176">
        <v>0</v>
      </c>
      <c r="I38" s="2176">
        <v>30</v>
      </c>
      <c r="J38" s="2176">
        <v>0</v>
      </c>
      <c r="K38" s="2176">
        <v>53</v>
      </c>
      <c r="L38" s="2176">
        <v>53</v>
      </c>
      <c r="M38" s="2176">
        <v>33</v>
      </c>
      <c r="N38" s="2176">
        <v>80</v>
      </c>
      <c r="O38" s="2176">
        <v>70</v>
      </c>
      <c r="P38" s="2177">
        <v>0</v>
      </c>
      <c r="Q38" s="2177">
        <v>0</v>
      </c>
      <c r="R38" s="2177">
        <v>0</v>
      </c>
      <c r="S38" s="2177">
        <v>0</v>
      </c>
      <c r="T38" s="2177">
        <v>75</v>
      </c>
      <c r="U38" s="2177">
        <v>79</v>
      </c>
      <c r="V38" s="2177">
        <v>59</v>
      </c>
      <c r="W38" s="2177">
        <v>275</v>
      </c>
      <c r="X38" s="2177">
        <v>147</v>
      </c>
      <c r="Y38" s="2177">
        <v>80</v>
      </c>
      <c r="Z38" s="2177">
        <v>69</v>
      </c>
      <c r="AA38" s="2177">
        <v>0</v>
      </c>
      <c r="AB38" s="2177">
        <v>94</v>
      </c>
      <c r="AC38" s="2177">
        <v>72</v>
      </c>
      <c r="AD38" s="2177">
        <v>54</v>
      </c>
      <c r="AE38" s="2177">
        <v>113</v>
      </c>
      <c r="AF38" s="2177">
        <v>86</v>
      </c>
      <c r="AG38" s="2177">
        <v>0</v>
      </c>
      <c r="AH38" s="2177"/>
      <c r="AI38" s="2178">
        <f t="shared" si="0"/>
        <v>1694</v>
      </c>
      <c r="AJ38" s="2179">
        <f t="shared" si="1"/>
        <v>48.055188100000002</v>
      </c>
      <c r="AK38" s="2180">
        <f t="shared" si="2"/>
        <v>814.05488641400007</v>
      </c>
      <c r="AL38" s="2181" t="s">
        <v>1959</v>
      </c>
      <c r="AM38" s="2173"/>
      <c r="AN38" s="2169"/>
      <c r="AO38" s="2169"/>
    </row>
    <row r="39" spans="1:43" s="2170" customFormat="1" ht="51" customHeight="1">
      <c r="A39" s="2173">
        <v>29</v>
      </c>
      <c r="B39" s="2173"/>
      <c r="C39" s="2175" t="str">
        <f>+'[6]Biểu 1 TH CÔNG copy'!C39</f>
        <v>Thảo Von</v>
      </c>
      <c r="D39" s="2176">
        <v>28</v>
      </c>
      <c r="E39" s="2176">
        <v>52</v>
      </c>
      <c r="F39" s="2176">
        <v>53</v>
      </c>
      <c r="G39" s="2176">
        <v>59</v>
      </c>
      <c r="H39" s="2176">
        <v>0</v>
      </c>
      <c r="I39" s="2176">
        <v>0</v>
      </c>
      <c r="J39" s="2176">
        <v>0</v>
      </c>
      <c r="K39" s="2176">
        <v>0</v>
      </c>
      <c r="L39" s="2176">
        <v>47</v>
      </c>
      <c r="M39" s="2176">
        <v>120</v>
      </c>
      <c r="N39" s="2176">
        <v>47</v>
      </c>
      <c r="O39" s="2176">
        <v>109</v>
      </c>
      <c r="P39" s="2177">
        <v>0</v>
      </c>
      <c r="Q39" s="2177">
        <v>0</v>
      </c>
      <c r="R39" s="2177">
        <v>27</v>
      </c>
      <c r="S39" s="2177">
        <v>0</v>
      </c>
      <c r="T39" s="2177">
        <v>100</v>
      </c>
      <c r="U39" s="2177">
        <v>0</v>
      </c>
      <c r="V39" s="2177">
        <v>0</v>
      </c>
      <c r="W39" s="2177">
        <v>0</v>
      </c>
      <c r="X39" s="2177">
        <v>0</v>
      </c>
      <c r="Y39" s="2177">
        <v>0</v>
      </c>
      <c r="Z39" s="2177">
        <v>0</v>
      </c>
      <c r="AA39" s="2177">
        <v>0</v>
      </c>
      <c r="AB39" s="2177">
        <v>0</v>
      </c>
      <c r="AC39" s="2177">
        <v>137</v>
      </c>
      <c r="AD39" s="2177">
        <v>144</v>
      </c>
      <c r="AE39" s="2177">
        <v>113</v>
      </c>
      <c r="AF39" s="2177">
        <v>126</v>
      </c>
      <c r="AG39" s="2177">
        <v>52</v>
      </c>
      <c r="AH39" s="2177"/>
      <c r="AI39" s="2178">
        <f t="shared" si="0"/>
        <v>1214</v>
      </c>
      <c r="AJ39" s="2179">
        <f t="shared" si="1"/>
        <v>48.055188100000002</v>
      </c>
      <c r="AK39" s="2180">
        <f t="shared" si="2"/>
        <v>583.38998353400007</v>
      </c>
      <c r="AL39" s="2181" t="s">
        <v>1959</v>
      </c>
      <c r="AM39" s="2173"/>
      <c r="AN39" s="2169"/>
      <c r="AO39" s="2169"/>
    </row>
    <row r="40" spans="1:43" s="2170" customFormat="1" ht="51" customHeight="1">
      <c r="A40" s="2173">
        <v>30</v>
      </c>
      <c r="B40" s="2173"/>
      <c r="C40" s="2175" t="str">
        <f>+'[6]Biểu 1 TH CÔNG copy'!C40</f>
        <v>Nang Phen</v>
      </c>
      <c r="D40" s="2176">
        <v>24</v>
      </c>
      <c r="E40" s="2176">
        <v>58</v>
      </c>
      <c r="F40" s="2176">
        <v>54</v>
      </c>
      <c r="G40" s="2176">
        <v>64</v>
      </c>
      <c r="H40" s="2176">
        <v>0</v>
      </c>
      <c r="I40" s="2176">
        <v>23</v>
      </c>
      <c r="J40" s="2176">
        <v>51</v>
      </c>
      <c r="K40" s="2176">
        <v>59</v>
      </c>
      <c r="L40" s="2176">
        <v>56</v>
      </c>
      <c r="M40" s="2176">
        <v>64</v>
      </c>
      <c r="N40" s="2176">
        <v>51</v>
      </c>
      <c r="O40" s="2176">
        <v>111</v>
      </c>
      <c r="P40" s="2177">
        <v>0</v>
      </c>
      <c r="Q40" s="2177">
        <v>0</v>
      </c>
      <c r="R40" s="2177">
        <v>42</v>
      </c>
      <c r="S40" s="2177">
        <v>75</v>
      </c>
      <c r="T40" s="2177">
        <v>107</v>
      </c>
      <c r="U40" s="2177">
        <v>70</v>
      </c>
      <c r="V40" s="2177">
        <v>60</v>
      </c>
      <c r="W40" s="2177">
        <v>0</v>
      </c>
      <c r="X40" s="2177">
        <v>80</v>
      </c>
      <c r="Y40" s="2177">
        <v>53</v>
      </c>
      <c r="Z40" s="2177">
        <v>0</v>
      </c>
      <c r="AA40" s="2177">
        <v>110</v>
      </c>
      <c r="AB40" s="2177">
        <v>109</v>
      </c>
      <c r="AC40" s="2177">
        <v>44</v>
      </c>
      <c r="AD40" s="2177">
        <v>162</v>
      </c>
      <c r="AE40" s="2177">
        <v>65</v>
      </c>
      <c r="AF40" s="2177">
        <v>81</v>
      </c>
      <c r="AG40" s="2177">
        <v>44</v>
      </c>
      <c r="AH40" s="2177"/>
      <c r="AI40" s="2178">
        <f t="shared" si="0"/>
        <v>1717</v>
      </c>
      <c r="AJ40" s="2179">
        <f t="shared" si="1"/>
        <v>48.055188100000002</v>
      </c>
      <c r="AK40" s="2180">
        <f t="shared" si="2"/>
        <v>825.10757967699999</v>
      </c>
      <c r="AL40" s="2181" t="s">
        <v>1959</v>
      </c>
      <c r="AM40" s="2173"/>
      <c r="AN40" s="2169"/>
      <c r="AO40" s="2169"/>
    </row>
    <row r="41" spans="1:43" s="2170" customFormat="1" ht="51" customHeight="1">
      <c r="A41" s="2173">
        <v>31</v>
      </c>
      <c r="B41" s="2173"/>
      <c r="C41" s="2175" t="str">
        <f>+'[6]Biểu 1 TH CÔNG copy'!C41</f>
        <v>Nang Bun Ten</v>
      </c>
      <c r="D41" s="2176">
        <v>24</v>
      </c>
      <c r="E41" s="2176">
        <v>58</v>
      </c>
      <c r="F41" s="2176">
        <v>54</v>
      </c>
      <c r="G41" s="2176">
        <v>64</v>
      </c>
      <c r="H41" s="2176">
        <v>0</v>
      </c>
      <c r="I41" s="2176">
        <v>23</v>
      </c>
      <c r="J41" s="2176">
        <v>51</v>
      </c>
      <c r="K41" s="2176">
        <v>58</v>
      </c>
      <c r="L41" s="2176">
        <v>57</v>
      </c>
      <c r="M41" s="2176">
        <v>70</v>
      </c>
      <c r="N41" s="2176">
        <v>47</v>
      </c>
      <c r="O41" s="2176">
        <v>112</v>
      </c>
      <c r="P41" s="2177">
        <v>0</v>
      </c>
      <c r="Q41" s="2177">
        <v>0</v>
      </c>
      <c r="R41" s="2177">
        <v>42</v>
      </c>
      <c r="S41" s="2177">
        <v>75</v>
      </c>
      <c r="T41" s="2177">
        <v>107</v>
      </c>
      <c r="U41" s="2177">
        <v>70</v>
      </c>
      <c r="V41" s="2177">
        <v>60</v>
      </c>
      <c r="W41" s="2177">
        <v>80</v>
      </c>
      <c r="X41" s="2177">
        <v>80</v>
      </c>
      <c r="Y41" s="2177">
        <v>53</v>
      </c>
      <c r="Z41" s="2177">
        <v>0</v>
      </c>
      <c r="AA41" s="2177">
        <v>110</v>
      </c>
      <c r="AB41" s="2177">
        <v>109</v>
      </c>
      <c r="AC41" s="2177">
        <v>44</v>
      </c>
      <c r="AD41" s="2177">
        <v>162</v>
      </c>
      <c r="AE41" s="2177">
        <v>65</v>
      </c>
      <c r="AF41" s="2177">
        <v>80</v>
      </c>
      <c r="AG41" s="2177">
        <v>44</v>
      </c>
      <c r="AH41" s="2177"/>
      <c r="AI41" s="2178">
        <f t="shared" si="0"/>
        <v>1799</v>
      </c>
      <c r="AJ41" s="2179">
        <f t="shared" si="1"/>
        <v>48.055188100000002</v>
      </c>
      <c r="AK41" s="2180">
        <f t="shared" si="2"/>
        <v>864.51283391900006</v>
      </c>
      <c r="AL41" s="2181" t="s">
        <v>1959</v>
      </c>
      <c r="AM41" s="2173"/>
      <c r="AN41" s="2169"/>
      <c r="AO41" s="2169"/>
    </row>
    <row r="42" spans="1:43" s="2170" customFormat="1" ht="51" customHeight="1">
      <c r="A42" s="2173">
        <v>32</v>
      </c>
      <c r="B42" s="2173"/>
      <c r="C42" s="2175" t="str">
        <f>+'[6]Biểu 1 TH CÔNG copy'!C42</f>
        <v>Thảo Ben</v>
      </c>
      <c r="D42" s="2176">
        <v>0</v>
      </c>
      <c r="E42" s="2176">
        <v>29</v>
      </c>
      <c r="F42" s="2176">
        <v>35</v>
      </c>
      <c r="G42" s="2176">
        <v>0</v>
      </c>
      <c r="H42" s="2176">
        <v>0</v>
      </c>
      <c r="I42" s="2176">
        <v>0</v>
      </c>
      <c r="J42" s="2176">
        <v>0</v>
      </c>
      <c r="K42" s="2176">
        <v>0</v>
      </c>
      <c r="L42" s="2176">
        <v>0</v>
      </c>
      <c r="M42" s="2176">
        <v>0</v>
      </c>
      <c r="N42" s="2176">
        <v>0</v>
      </c>
      <c r="O42" s="2176">
        <v>0</v>
      </c>
      <c r="P42" s="2177">
        <v>0</v>
      </c>
      <c r="Q42" s="2177">
        <v>0</v>
      </c>
      <c r="R42" s="2177">
        <v>0</v>
      </c>
      <c r="S42" s="2177">
        <v>0</v>
      </c>
      <c r="T42" s="2177">
        <v>0</v>
      </c>
      <c r="U42" s="2177">
        <v>0</v>
      </c>
      <c r="V42" s="2177">
        <v>0</v>
      </c>
      <c r="W42" s="2177">
        <v>0</v>
      </c>
      <c r="X42" s="2177">
        <v>0</v>
      </c>
      <c r="Y42" s="2177">
        <v>0</v>
      </c>
      <c r="Z42" s="2177">
        <v>0</v>
      </c>
      <c r="AA42" s="2177">
        <v>0</v>
      </c>
      <c r="AB42" s="2177">
        <v>0</v>
      </c>
      <c r="AC42" s="2177">
        <v>54</v>
      </c>
      <c r="AD42" s="2177">
        <v>111</v>
      </c>
      <c r="AE42" s="2177">
        <v>140</v>
      </c>
      <c r="AF42" s="2177">
        <v>103</v>
      </c>
      <c r="AG42" s="2177">
        <v>25</v>
      </c>
      <c r="AH42" s="2177"/>
      <c r="AI42" s="2178">
        <f t="shared" si="0"/>
        <v>497</v>
      </c>
      <c r="AJ42" s="2179">
        <f t="shared" si="1"/>
        <v>48.055188100000002</v>
      </c>
      <c r="AK42" s="2180">
        <f t="shared" si="2"/>
        <v>238.83428485700003</v>
      </c>
      <c r="AL42" s="2181" t="s">
        <v>1959</v>
      </c>
      <c r="AM42" s="2173"/>
      <c r="AN42" s="2169"/>
      <c r="AO42" s="2169"/>
    </row>
    <row r="43" spans="1:43" s="2170" customFormat="1" ht="51" customHeight="1">
      <c r="A43" s="2173">
        <v>33</v>
      </c>
      <c r="B43" s="2173"/>
      <c r="C43" s="2175" t="str">
        <f>+'[6]Biểu 1 TH CÔNG copy'!C43</f>
        <v>Da Lây</v>
      </c>
      <c r="D43" s="2176">
        <v>0</v>
      </c>
      <c r="E43" s="2176">
        <v>0</v>
      </c>
      <c r="F43" s="2176">
        <v>0</v>
      </c>
      <c r="G43" s="2176">
        <v>0</v>
      </c>
      <c r="H43" s="2176">
        <v>0</v>
      </c>
      <c r="I43" s="2176">
        <v>0</v>
      </c>
      <c r="J43" s="2176">
        <v>0</v>
      </c>
      <c r="K43" s="2176">
        <v>64</v>
      </c>
      <c r="L43" s="2176">
        <v>65</v>
      </c>
      <c r="M43" s="2176">
        <v>140</v>
      </c>
      <c r="N43" s="2176">
        <v>24</v>
      </c>
      <c r="O43" s="2176">
        <v>0</v>
      </c>
      <c r="P43" s="2177">
        <v>0</v>
      </c>
      <c r="Q43" s="2177">
        <v>0</v>
      </c>
      <c r="R43" s="2177">
        <v>0</v>
      </c>
      <c r="S43" s="2177">
        <v>0</v>
      </c>
      <c r="T43" s="2177">
        <v>0</v>
      </c>
      <c r="U43" s="2177">
        <v>0</v>
      </c>
      <c r="V43" s="2177">
        <v>0</v>
      </c>
      <c r="W43" s="2177">
        <v>0</v>
      </c>
      <c r="X43" s="2177">
        <v>0</v>
      </c>
      <c r="Y43" s="2177">
        <v>0</v>
      </c>
      <c r="Z43" s="2177">
        <v>0</v>
      </c>
      <c r="AA43" s="2177">
        <v>0</v>
      </c>
      <c r="AB43" s="2177">
        <v>0</v>
      </c>
      <c r="AC43" s="2177">
        <v>54</v>
      </c>
      <c r="AD43" s="2177">
        <v>111</v>
      </c>
      <c r="AE43" s="2177">
        <v>150</v>
      </c>
      <c r="AF43" s="2177">
        <v>103</v>
      </c>
      <c r="AG43" s="2177">
        <v>25</v>
      </c>
      <c r="AH43" s="2177"/>
      <c r="AI43" s="2178">
        <f t="shared" si="0"/>
        <v>736</v>
      </c>
      <c r="AJ43" s="2179">
        <f t="shared" si="1"/>
        <v>48.055188100000002</v>
      </c>
      <c r="AK43" s="2180">
        <f t="shared" si="2"/>
        <v>353.68618441600006</v>
      </c>
      <c r="AL43" s="2181" t="s">
        <v>1957</v>
      </c>
      <c r="AM43" s="2173"/>
      <c r="AN43" s="2169"/>
      <c r="AO43" s="2169"/>
    </row>
    <row r="44" spans="1:43" s="2170" customFormat="1" ht="51" customHeight="1">
      <c r="A44" s="2173">
        <v>34</v>
      </c>
      <c r="B44" s="2173"/>
      <c r="C44" s="2175" t="str">
        <f>+'[6]Biểu 1 TH CÔNG copy'!C44</f>
        <v>Thảo Xen</v>
      </c>
      <c r="D44" s="2176">
        <v>38</v>
      </c>
      <c r="E44" s="2176">
        <v>42</v>
      </c>
      <c r="F44" s="2176">
        <v>34</v>
      </c>
      <c r="G44" s="2176">
        <v>35</v>
      </c>
      <c r="H44" s="2176">
        <v>32</v>
      </c>
      <c r="I44" s="2176">
        <v>0</v>
      </c>
      <c r="J44" s="2176">
        <v>40</v>
      </c>
      <c r="K44" s="2176">
        <v>45</v>
      </c>
      <c r="L44" s="2176">
        <v>45</v>
      </c>
      <c r="M44" s="2176">
        <v>72</v>
      </c>
      <c r="N44" s="2176">
        <v>109</v>
      </c>
      <c r="O44" s="2176">
        <v>63</v>
      </c>
      <c r="P44" s="2177">
        <v>0</v>
      </c>
      <c r="Q44" s="2177">
        <v>0</v>
      </c>
      <c r="R44" s="2177">
        <v>0</v>
      </c>
      <c r="S44" s="2177">
        <v>55</v>
      </c>
      <c r="T44" s="2177">
        <v>71</v>
      </c>
      <c r="U44" s="2177">
        <v>55</v>
      </c>
      <c r="V44" s="2177">
        <v>0</v>
      </c>
      <c r="W44" s="2177">
        <v>0</v>
      </c>
      <c r="X44" s="2177">
        <v>68</v>
      </c>
      <c r="Y44" s="2177">
        <v>58</v>
      </c>
      <c r="Z44" s="2177">
        <v>60</v>
      </c>
      <c r="AA44" s="2177">
        <v>51</v>
      </c>
      <c r="AB44" s="2177">
        <v>51</v>
      </c>
      <c r="AC44" s="2177">
        <v>43</v>
      </c>
      <c r="AD44" s="2177">
        <v>120</v>
      </c>
      <c r="AE44" s="2177">
        <v>55</v>
      </c>
      <c r="AF44" s="2177">
        <v>58</v>
      </c>
      <c r="AG44" s="2177">
        <v>47</v>
      </c>
      <c r="AH44" s="2177"/>
      <c r="AI44" s="2178">
        <f t="shared" si="0"/>
        <v>1347</v>
      </c>
      <c r="AJ44" s="2179">
        <f t="shared" si="1"/>
        <v>48.055188100000002</v>
      </c>
      <c r="AK44" s="2180">
        <f t="shared" si="2"/>
        <v>647.30338370700008</v>
      </c>
      <c r="AL44" s="2181" t="s">
        <v>1959</v>
      </c>
      <c r="AM44" s="2173"/>
      <c r="AN44" s="2169"/>
      <c r="AO44" s="2169"/>
    </row>
    <row r="45" spans="1:43" s="2170" customFormat="1" ht="51" customHeight="1">
      <c r="A45" s="2173">
        <v>35</v>
      </c>
      <c r="B45" s="2173"/>
      <c r="C45" s="2175" t="str">
        <f>+'[6]Biểu 1 TH CÔNG copy'!C45</f>
        <v>Phò Nhuận</v>
      </c>
      <c r="D45" s="2176">
        <v>0</v>
      </c>
      <c r="E45" s="2176">
        <v>0</v>
      </c>
      <c r="F45" s="2176">
        <v>0</v>
      </c>
      <c r="G45" s="2176">
        <v>0</v>
      </c>
      <c r="H45" s="2176">
        <v>0</v>
      </c>
      <c r="I45" s="2176">
        <v>0</v>
      </c>
      <c r="J45" s="2176">
        <v>0</v>
      </c>
      <c r="K45" s="2176">
        <v>0</v>
      </c>
      <c r="L45" s="2176">
        <v>0</v>
      </c>
      <c r="M45" s="2176">
        <v>0</v>
      </c>
      <c r="N45" s="2176">
        <v>0</v>
      </c>
      <c r="O45" s="2176">
        <v>0</v>
      </c>
      <c r="P45" s="2177">
        <v>0</v>
      </c>
      <c r="Q45" s="2177">
        <v>0</v>
      </c>
      <c r="R45" s="2177">
        <v>0</v>
      </c>
      <c r="S45" s="2177">
        <v>0</v>
      </c>
      <c r="T45" s="2177">
        <v>52</v>
      </c>
      <c r="U45" s="2177">
        <v>0</v>
      </c>
      <c r="V45" s="2177">
        <v>0</v>
      </c>
      <c r="W45" s="2177">
        <v>63</v>
      </c>
      <c r="X45" s="2177">
        <v>0</v>
      </c>
      <c r="Y45" s="2177">
        <v>47</v>
      </c>
      <c r="Z45" s="2177">
        <v>0</v>
      </c>
      <c r="AA45" s="2177">
        <v>0</v>
      </c>
      <c r="AB45" s="2177">
        <v>0</v>
      </c>
      <c r="AC45" s="2177">
        <v>0</v>
      </c>
      <c r="AD45" s="2177">
        <v>0</v>
      </c>
      <c r="AE45" s="2177">
        <v>0</v>
      </c>
      <c r="AF45" s="2177">
        <v>0</v>
      </c>
      <c r="AG45" s="2177">
        <v>0</v>
      </c>
      <c r="AH45" s="2177"/>
      <c r="AI45" s="2178">
        <f t="shared" si="0"/>
        <v>162</v>
      </c>
      <c r="AJ45" s="2179">
        <f t="shared" si="1"/>
        <v>48.055188100000002</v>
      </c>
      <c r="AK45" s="2180">
        <v>77.844931484920053</v>
      </c>
      <c r="AL45" s="2181" t="s">
        <v>1958</v>
      </c>
      <c r="AM45" s="2173"/>
      <c r="AN45" s="2171">
        <v>77.849404722000003</v>
      </c>
      <c r="AO45" s="2157">
        <f>AN45+AR97</f>
        <v>77.849404722000003</v>
      </c>
      <c r="AP45" s="2157"/>
      <c r="AQ45" s="2157"/>
    </row>
    <row r="46" spans="1:43" s="2174" customFormat="1" ht="51" customHeight="1">
      <c r="A46" s="2173">
        <v>36</v>
      </c>
      <c r="B46" s="2173">
        <v>1</v>
      </c>
      <c r="C46" s="2175" t="str">
        <f>+'[6]Biểu 1 TH CÔNG copy'!C46</f>
        <v>Nàng Ăn</v>
      </c>
      <c r="D46" s="2176">
        <v>37</v>
      </c>
      <c r="E46" s="2176">
        <v>40</v>
      </c>
      <c r="F46" s="2176">
        <v>23</v>
      </c>
      <c r="G46" s="2176">
        <v>70</v>
      </c>
      <c r="H46" s="2176">
        <v>36</v>
      </c>
      <c r="I46" s="2176">
        <v>65</v>
      </c>
      <c r="J46" s="2176">
        <v>78</v>
      </c>
      <c r="K46" s="2176">
        <v>47</v>
      </c>
      <c r="L46" s="2176">
        <v>33</v>
      </c>
      <c r="M46" s="2176">
        <v>41</v>
      </c>
      <c r="N46" s="2176">
        <v>48</v>
      </c>
      <c r="O46" s="2176">
        <v>46</v>
      </c>
      <c r="P46" s="2177">
        <v>44</v>
      </c>
      <c r="Q46" s="2177">
        <v>0</v>
      </c>
      <c r="R46" s="2177">
        <v>22</v>
      </c>
      <c r="S46" s="2177">
        <v>73</v>
      </c>
      <c r="T46" s="2177">
        <v>38</v>
      </c>
      <c r="U46" s="2177">
        <v>33</v>
      </c>
      <c r="V46" s="2177">
        <v>51</v>
      </c>
      <c r="W46" s="2177">
        <v>34</v>
      </c>
      <c r="X46" s="2177">
        <v>80</v>
      </c>
      <c r="Y46" s="2177">
        <v>74</v>
      </c>
      <c r="Z46" s="2177">
        <v>75</v>
      </c>
      <c r="AA46" s="2177">
        <v>93</v>
      </c>
      <c r="AB46" s="2177">
        <v>111</v>
      </c>
      <c r="AC46" s="2177">
        <v>61</v>
      </c>
      <c r="AD46" s="2177">
        <v>69</v>
      </c>
      <c r="AE46" s="2177">
        <v>185</v>
      </c>
      <c r="AF46" s="2177">
        <v>54</v>
      </c>
      <c r="AG46" s="2177">
        <v>73</v>
      </c>
      <c r="AH46" s="2177"/>
      <c r="AI46" s="2178">
        <f>SUM(D46:AH46)</f>
        <v>1734</v>
      </c>
      <c r="AJ46" s="2179">
        <f t="shared" si="1"/>
        <v>48.055188100000002</v>
      </c>
      <c r="AK46" s="2180">
        <f t="shared" si="2"/>
        <v>833.27696165400005</v>
      </c>
      <c r="AL46" s="2182" t="s">
        <v>1957</v>
      </c>
      <c r="AM46" s="2165"/>
      <c r="AN46" s="2172"/>
      <c r="AO46" s="2534"/>
      <c r="AP46" s="2534"/>
      <c r="AQ46" s="2534"/>
    </row>
    <row r="47" spans="1:43" s="2174" customFormat="1" ht="51" customHeight="1">
      <c r="A47" s="2173">
        <v>37</v>
      </c>
      <c r="B47" s="2173">
        <v>2</v>
      </c>
      <c r="C47" s="2175" t="str">
        <f>+'[6]Biểu 1 TH CÔNG copy'!C47</f>
        <v>Thảo Ơ</v>
      </c>
      <c r="D47" s="2176">
        <v>38</v>
      </c>
      <c r="E47" s="2176">
        <v>39</v>
      </c>
      <c r="F47" s="2176">
        <v>23</v>
      </c>
      <c r="G47" s="2176">
        <v>70</v>
      </c>
      <c r="H47" s="2176">
        <v>36</v>
      </c>
      <c r="I47" s="2176">
        <v>63</v>
      </c>
      <c r="J47" s="2176">
        <v>78</v>
      </c>
      <c r="K47" s="2176">
        <v>48</v>
      </c>
      <c r="L47" s="2176">
        <v>34</v>
      </c>
      <c r="M47" s="2176">
        <v>42</v>
      </c>
      <c r="N47" s="2176">
        <v>49</v>
      </c>
      <c r="O47" s="2176">
        <v>46</v>
      </c>
      <c r="P47" s="2177">
        <v>45</v>
      </c>
      <c r="Q47" s="2177">
        <v>0</v>
      </c>
      <c r="R47" s="2177">
        <v>20</v>
      </c>
      <c r="S47" s="2177">
        <v>78</v>
      </c>
      <c r="T47" s="2177">
        <v>38</v>
      </c>
      <c r="U47" s="2177">
        <v>33</v>
      </c>
      <c r="V47" s="2177">
        <v>51</v>
      </c>
      <c r="W47" s="2177">
        <v>34</v>
      </c>
      <c r="X47" s="2177">
        <v>80</v>
      </c>
      <c r="Y47" s="2177">
        <v>74</v>
      </c>
      <c r="Z47" s="2177">
        <v>75</v>
      </c>
      <c r="AA47" s="2177">
        <v>93</v>
      </c>
      <c r="AB47" s="2177">
        <v>111</v>
      </c>
      <c r="AC47" s="2177">
        <v>60</v>
      </c>
      <c r="AD47" s="2177">
        <v>69</v>
      </c>
      <c r="AE47" s="2177">
        <v>185</v>
      </c>
      <c r="AF47" s="2177">
        <v>54</v>
      </c>
      <c r="AG47" s="2177">
        <v>73</v>
      </c>
      <c r="AH47" s="2177"/>
      <c r="AI47" s="2178">
        <f t="shared" ref="AI47:AI90" si="3">SUM(D47:AH47)</f>
        <v>1739</v>
      </c>
      <c r="AJ47" s="2179">
        <f t="shared" si="1"/>
        <v>48.055188100000002</v>
      </c>
      <c r="AK47" s="2180">
        <f t="shared" si="2"/>
        <v>835.67972105900003</v>
      </c>
      <c r="AL47" s="2181" t="s">
        <v>1959</v>
      </c>
      <c r="AM47" s="2165"/>
      <c r="AN47" s="2171"/>
      <c r="AO47" s="2169"/>
      <c r="AP47" s="2183"/>
    </row>
    <row r="48" spans="1:43" s="2174" customFormat="1" ht="51" customHeight="1">
      <c r="A48" s="2173">
        <v>38</v>
      </c>
      <c r="B48" s="2173">
        <v>3</v>
      </c>
      <c r="C48" s="2175" t="str">
        <f>+'[6]Biểu 1 TH CÔNG copy'!C48</f>
        <v>Thảo Ui</v>
      </c>
      <c r="D48" s="2176">
        <v>37</v>
      </c>
      <c r="E48" s="2176">
        <v>40</v>
      </c>
      <c r="F48" s="2176">
        <v>24</v>
      </c>
      <c r="G48" s="2176">
        <v>70</v>
      </c>
      <c r="H48" s="2176">
        <v>36</v>
      </c>
      <c r="I48" s="2176">
        <v>65</v>
      </c>
      <c r="J48" s="2176">
        <v>78</v>
      </c>
      <c r="K48" s="2176">
        <v>48</v>
      </c>
      <c r="L48" s="2176">
        <v>34</v>
      </c>
      <c r="M48" s="2176">
        <v>42</v>
      </c>
      <c r="N48" s="2176">
        <v>49</v>
      </c>
      <c r="O48" s="2176">
        <v>47</v>
      </c>
      <c r="P48" s="2177">
        <v>45</v>
      </c>
      <c r="Q48" s="2177">
        <v>0</v>
      </c>
      <c r="R48" s="2177">
        <v>22</v>
      </c>
      <c r="S48" s="2177">
        <v>73</v>
      </c>
      <c r="T48" s="2177">
        <v>38</v>
      </c>
      <c r="U48" s="2177">
        <v>33</v>
      </c>
      <c r="V48" s="2177">
        <v>52</v>
      </c>
      <c r="W48" s="2177">
        <v>35</v>
      </c>
      <c r="X48" s="2177">
        <v>77</v>
      </c>
      <c r="Y48" s="2177">
        <v>75</v>
      </c>
      <c r="Z48" s="2177">
        <v>74</v>
      </c>
      <c r="AA48" s="2177">
        <v>94</v>
      </c>
      <c r="AB48" s="2177">
        <v>111</v>
      </c>
      <c r="AC48" s="2177">
        <v>61</v>
      </c>
      <c r="AD48" s="2177">
        <v>69</v>
      </c>
      <c r="AE48" s="2177">
        <v>186</v>
      </c>
      <c r="AF48" s="2177">
        <v>55</v>
      </c>
      <c r="AG48" s="2177">
        <v>75</v>
      </c>
      <c r="AH48" s="2177"/>
      <c r="AI48" s="2178">
        <f t="shared" si="3"/>
        <v>1745</v>
      </c>
      <c r="AJ48" s="2179">
        <f t="shared" si="1"/>
        <v>48.055188100000002</v>
      </c>
      <c r="AK48" s="2180">
        <f t="shared" si="2"/>
        <v>838.56303234500012</v>
      </c>
      <c r="AL48" s="2182" t="s">
        <v>1959</v>
      </c>
      <c r="AM48" s="2165"/>
      <c r="AN48" s="2169"/>
      <c r="AO48" s="2169"/>
    </row>
    <row r="49" spans="1:41" s="2174" customFormat="1" ht="51" customHeight="1">
      <c r="A49" s="2173">
        <v>39</v>
      </c>
      <c r="B49" s="2173">
        <v>4</v>
      </c>
      <c r="C49" s="2175" t="str">
        <f>+'[6]Biểu 1 TH CÔNG copy'!C49</f>
        <v>Thảo Tin</v>
      </c>
      <c r="D49" s="2176">
        <v>38</v>
      </c>
      <c r="E49" s="2176">
        <v>40</v>
      </c>
      <c r="F49" s="2176">
        <v>138</v>
      </c>
      <c r="G49" s="2176">
        <v>67</v>
      </c>
      <c r="H49" s="2176">
        <v>77</v>
      </c>
      <c r="I49" s="2176">
        <v>83</v>
      </c>
      <c r="J49" s="2176">
        <v>35</v>
      </c>
      <c r="K49" s="2176">
        <v>28</v>
      </c>
      <c r="L49" s="2176">
        <v>46</v>
      </c>
      <c r="M49" s="2176">
        <v>64</v>
      </c>
      <c r="N49" s="2176">
        <v>66</v>
      </c>
      <c r="O49" s="2176">
        <v>44</v>
      </c>
      <c r="P49" s="2177">
        <v>33</v>
      </c>
      <c r="Q49" s="2177">
        <v>0</v>
      </c>
      <c r="R49" s="2177">
        <v>0</v>
      </c>
      <c r="S49" s="2177">
        <v>95</v>
      </c>
      <c r="T49" s="2177">
        <v>32</v>
      </c>
      <c r="U49" s="2177">
        <v>70</v>
      </c>
      <c r="V49" s="2177">
        <v>131</v>
      </c>
      <c r="W49" s="2177">
        <v>34</v>
      </c>
      <c r="X49" s="2177">
        <v>35</v>
      </c>
      <c r="Y49" s="2177">
        <v>91</v>
      </c>
      <c r="Z49" s="2177">
        <v>117</v>
      </c>
      <c r="AA49" s="2177">
        <v>102</v>
      </c>
      <c r="AB49" s="2177">
        <v>74</v>
      </c>
      <c r="AC49" s="2177">
        <v>92</v>
      </c>
      <c r="AD49" s="2177">
        <v>127</v>
      </c>
      <c r="AE49" s="2177">
        <v>160</v>
      </c>
      <c r="AF49" s="2177">
        <v>97</v>
      </c>
      <c r="AG49" s="2177">
        <v>119</v>
      </c>
      <c r="AH49" s="2177"/>
      <c r="AI49" s="2178">
        <f t="shared" si="3"/>
        <v>2135</v>
      </c>
      <c r="AJ49" s="2179">
        <f t="shared" si="1"/>
        <v>48.055188100000002</v>
      </c>
      <c r="AK49" s="2180">
        <f t="shared" si="2"/>
        <v>1025.9782659350001</v>
      </c>
      <c r="AL49" s="2182" t="s">
        <v>1959</v>
      </c>
      <c r="AM49" s="2165"/>
      <c r="AN49" s="2169"/>
      <c r="AO49" s="2169"/>
    </row>
    <row r="50" spans="1:41" s="2174" customFormat="1" ht="51" customHeight="1">
      <c r="A50" s="2173">
        <v>40</v>
      </c>
      <c r="B50" s="2173">
        <v>5</v>
      </c>
      <c r="C50" s="2175" t="str">
        <f>+'[6]Biểu 1 TH CÔNG copy'!C50</f>
        <v>Nàng Xái</v>
      </c>
      <c r="D50" s="2176">
        <v>40</v>
      </c>
      <c r="E50" s="2176">
        <v>41</v>
      </c>
      <c r="F50" s="2176">
        <v>140</v>
      </c>
      <c r="G50" s="2176">
        <v>67</v>
      </c>
      <c r="H50" s="2176">
        <v>80</v>
      </c>
      <c r="I50" s="2176">
        <v>84</v>
      </c>
      <c r="J50" s="2176">
        <v>36</v>
      </c>
      <c r="K50" s="2176">
        <v>28</v>
      </c>
      <c r="L50" s="2176">
        <v>46</v>
      </c>
      <c r="M50" s="2176">
        <v>65</v>
      </c>
      <c r="N50" s="2176">
        <v>67</v>
      </c>
      <c r="O50" s="2176">
        <v>43</v>
      </c>
      <c r="P50" s="2177">
        <v>34</v>
      </c>
      <c r="Q50" s="2177">
        <v>0</v>
      </c>
      <c r="R50" s="2177">
        <v>0</v>
      </c>
      <c r="S50" s="2177">
        <v>96</v>
      </c>
      <c r="T50" s="2177">
        <v>31</v>
      </c>
      <c r="U50" s="2177">
        <v>68</v>
      </c>
      <c r="V50" s="2177">
        <v>132</v>
      </c>
      <c r="W50" s="2177">
        <v>34</v>
      </c>
      <c r="X50" s="2177">
        <v>35</v>
      </c>
      <c r="Y50" s="2177">
        <v>92</v>
      </c>
      <c r="Z50" s="2177">
        <v>118</v>
      </c>
      <c r="AA50" s="2177">
        <v>103</v>
      </c>
      <c r="AB50" s="2177">
        <v>74</v>
      </c>
      <c r="AC50" s="2177">
        <v>93</v>
      </c>
      <c r="AD50" s="2177">
        <v>128</v>
      </c>
      <c r="AE50" s="2177">
        <v>162</v>
      </c>
      <c r="AF50" s="2177">
        <v>98</v>
      </c>
      <c r="AG50" s="2177">
        <v>119</v>
      </c>
      <c r="AH50" s="2177"/>
      <c r="AI50" s="2178">
        <f t="shared" si="3"/>
        <v>2154</v>
      </c>
      <c r="AJ50" s="2179">
        <f t="shared" si="1"/>
        <v>48.055188100000002</v>
      </c>
      <c r="AK50" s="2180">
        <f t="shared" si="2"/>
        <v>1035.1087516740001</v>
      </c>
      <c r="AL50" s="2181" t="s">
        <v>1959</v>
      </c>
      <c r="AM50" s="2165"/>
      <c r="AN50" s="2169"/>
      <c r="AO50" s="2169"/>
    </row>
    <row r="51" spans="1:41" s="2174" customFormat="1" ht="51" customHeight="1">
      <c r="A51" s="2173">
        <v>41</v>
      </c>
      <c r="B51" s="2173">
        <v>6</v>
      </c>
      <c r="C51" s="2175" t="str">
        <f>+'[6]Biểu 1 TH CÔNG copy'!C51</f>
        <v>Thảo Phôn Xay</v>
      </c>
      <c r="D51" s="2176">
        <v>37</v>
      </c>
      <c r="E51" s="2176">
        <v>30</v>
      </c>
      <c r="F51" s="2176">
        <v>68</v>
      </c>
      <c r="G51" s="2176">
        <v>82</v>
      </c>
      <c r="H51" s="2176">
        <v>33</v>
      </c>
      <c r="I51" s="2176">
        <v>52</v>
      </c>
      <c r="J51" s="2176">
        <v>60</v>
      </c>
      <c r="K51" s="2176">
        <v>51</v>
      </c>
      <c r="L51" s="2176">
        <v>33</v>
      </c>
      <c r="M51" s="2176">
        <v>42</v>
      </c>
      <c r="N51" s="2176">
        <v>66</v>
      </c>
      <c r="O51" s="2176">
        <v>44</v>
      </c>
      <c r="P51" s="2177">
        <v>0</v>
      </c>
      <c r="Q51" s="2177">
        <v>0</v>
      </c>
      <c r="R51" s="2177">
        <v>30</v>
      </c>
      <c r="S51" s="2177">
        <v>53</v>
      </c>
      <c r="T51" s="2177">
        <v>33</v>
      </c>
      <c r="U51" s="2177">
        <v>55</v>
      </c>
      <c r="V51" s="2177">
        <v>66</v>
      </c>
      <c r="W51" s="2177">
        <v>40</v>
      </c>
      <c r="X51" s="2177">
        <v>58</v>
      </c>
      <c r="Y51" s="2177">
        <v>55</v>
      </c>
      <c r="Z51" s="2177">
        <v>78</v>
      </c>
      <c r="AA51" s="2177">
        <v>114</v>
      </c>
      <c r="AB51" s="2177">
        <v>104</v>
      </c>
      <c r="AC51" s="2177">
        <v>47</v>
      </c>
      <c r="AD51" s="2177">
        <v>79</v>
      </c>
      <c r="AE51" s="2177">
        <v>190</v>
      </c>
      <c r="AF51" s="2177">
        <v>43</v>
      </c>
      <c r="AG51" s="2177">
        <v>68</v>
      </c>
      <c r="AH51" s="2177"/>
      <c r="AI51" s="2178">
        <f t="shared" si="3"/>
        <v>1711</v>
      </c>
      <c r="AJ51" s="2179">
        <f t="shared" si="1"/>
        <v>48.055188100000002</v>
      </c>
      <c r="AK51" s="2180">
        <f t="shared" si="2"/>
        <v>822.22426839100012</v>
      </c>
      <c r="AL51" s="2182" t="s">
        <v>1959</v>
      </c>
      <c r="AM51" s="2165"/>
      <c r="AN51" s="2169"/>
      <c r="AO51" s="2169"/>
    </row>
    <row r="52" spans="1:41" s="2174" customFormat="1" ht="51" customHeight="1">
      <c r="A52" s="2173">
        <v>42</v>
      </c>
      <c r="B52" s="2173">
        <v>7</v>
      </c>
      <c r="C52" s="2175" t="str">
        <f>+'[6]Biểu 1 TH CÔNG copy'!C52</f>
        <v>Nàng Phêng</v>
      </c>
      <c r="D52" s="2176">
        <v>34</v>
      </c>
      <c r="E52" s="2176">
        <v>15</v>
      </c>
      <c r="F52" s="2176">
        <v>84</v>
      </c>
      <c r="G52" s="2176">
        <v>70</v>
      </c>
      <c r="H52" s="2176">
        <v>35</v>
      </c>
      <c r="I52" s="2176">
        <v>42</v>
      </c>
      <c r="J52" s="2176">
        <v>46</v>
      </c>
      <c r="K52" s="2176">
        <v>32</v>
      </c>
      <c r="L52" s="2176">
        <v>30</v>
      </c>
      <c r="M52" s="2176">
        <v>29</v>
      </c>
      <c r="N52" s="2176">
        <v>60</v>
      </c>
      <c r="O52" s="2176">
        <v>31</v>
      </c>
      <c r="P52" s="2177">
        <v>21</v>
      </c>
      <c r="Q52" s="2177">
        <v>0</v>
      </c>
      <c r="R52" s="2177">
        <v>15</v>
      </c>
      <c r="S52" s="2177">
        <v>134</v>
      </c>
      <c r="T52" s="2177">
        <v>29</v>
      </c>
      <c r="U52" s="2177">
        <v>54</v>
      </c>
      <c r="V52" s="2177">
        <v>20</v>
      </c>
      <c r="W52" s="2177">
        <v>25</v>
      </c>
      <c r="X52" s="2177">
        <v>46</v>
      </c>
      <c r="Y52" s="2177">
        <v>45</v>
      </c>
      <c r="Z52" s="2177">
        <v>58</v>
      </c>
      <c r="AA52" s="2177">
        <v>140</v>
      </c>
      <c r="AB52" s="2177">
        <v>69</v>
      </c>
      <c r="AC52" s="2177">
        <v>43</v>
      </c>
      <c r="AD52" s="2177">
        <v>47</v>
      </c>
      <c r="AE52" s="2177">
        <v>165</v>
      </c>
      <c r="AF52" s="2177">
        <v>54</v>
      </c>
      <c r="AG52" s="2177">
        <v>43</v>
      </c>
      <c r="AH52" s="2177"/>
      <c r="AI52" s="2178">
        <f t="shared" si="3"/>
        <v>1516</v>
      </c>
      <c r="AJ52" s="2179">
        <f t="shared" si="1"/>
        <v>48.055188100000002</v>
      </c>
      <c r="AK52" s="2180">
        <f t="shared" si="2"/>
        <v>728.51665159599997</v>
      </c>
      <c r="AL52" s="2181" t="s">
        <v>1957</v>
      </c>
      <c r="AM52" s="2165"/>
      <c r="AN52" s="2169"/>
      <c r="AO52" s="2169"/>
    </row>
    <row r="53" spans="1:41" s="2174" customFormat="1" ht="51" customHeight="1">
      <c r="A53" s="2173">
        <v>43</v>
      </c>
      <c r="B53" s="2173">
        <v>8</v>
      </c>
      <c r="C53" s="2175" t="str">
        <f>+'[6]Biểu 1 TH CÔNG copy'!C53</f>
        <v>Thảo Phíc</v>
      </c>
      <c r="D53" s="2176">
        <v>34</v>
      </c>
      <c r="E53" s="2176">
        <v>15</v>
      </c>
      <c r="F53" s="2176">
        <v>82</v>
      </c>
      <c r="G53" s="2176">
        <v>69</v>
      </c>
      <c r="H53" s="2176">
        <v>35</v>
      </c>
      <c r="I53" s="2176">
        <v>43</v>
      </c>
      <c r="J53" s="2176">
        <v>47</v>
      </c>
      <c r="K53" s="2176">
        <v>32</v>
      </c>
      <c r="L53" s="2176">
        <v>30</v>
      </c>
      <c r="M53" s="2176">
        <v>30</v>
      </c>
      <c r="N53" s="2176">
        <v>60</v>
      </c>
      <c r="O53" s="2176">
        <v>31</v>
      </c>
      <c r="P53" s="2177">
        <v>22</v>
      </c>
      <c r="Q53" s="2177">
        <v>0</v>
      </c>
      <c r="R53" s="2177">
        <v>16</v>
      </c>
      <c r="S53" s="2177">
        <v>134</v>
      </c>
      <c r="T53" s="2177">
        <v>30</v>
      </c>
      <c r="U53" s="2177">
        <v>53</v>
      </c>
      <c r="V53" s="2177">
        <v>20</v>
      </c>
      <c r="W53" s="2177">
        <v>25</v>
      </c>
      <c r="X53" s="2177">
        <v>45</v>
      </c>
      <c r="Y53" s="2177">
        <v>46</v>
      </c>
      <c r="Z53" s="2177">
        <v>60</v>
      </c>
      <c r="AA53" s="2177">
        <v>140</v>
      </c>
      <c r="AB53" s="2177">
        <v>70</v>
      </c>
      <c r="AC53" s="2177">
        <v>44</v>
      </c>
      <c r="AD53" s="2177">
        <v>47</v>
      </c>
      <c r="AE53" s="2177">
        <v>167</v>
      </c>
      <c r="AF53" s="2177">
        <v>54</v>
      </c>
      <c r="AG53" s="2177">
        <v>43</v>
      </c>
      <c r="AH53" s="2177"/>
      <c r="AI53" s="2178">
        <f t="shared" si="3"/>
        <v>1524</v>
      </c>
      <c r="AJ53" s="2179">
        <f t="shared" si="1"/>
        <v>48.055188100000002</v>
      </c>
      <c r="AK53" s="2180">
        <f t="shared" si="2"/>
        <v>732.36106664400006</v>
      </c>
      <c r="AL53" s="2181" t="s">
        <v>1959</v>
      </c>
      <c r="AM53" s="2165"/>
      <c r="AN53" s="2169"/>
      <c r="AO53" s="2169"/>
    </row>
    <row r="54" spans="1:41" s="2174" customFormat="1" ht="51" customHeight="1">
      <c r="A54" s="2173">
        <v>44</v>
      </c>
      <c r="B54" s="2173">
        <v>9</v>
      </c>
      <c r="C54" s="2175" t="str">
        <f>+'[6]Biểu 1 TH CÔNG copy'!C54</f>
        <v>Nàng Chai</v>
      </c>
      <c r="D54" s="2176">
        <v>38</v>
      </c>
      <c r="E54" s="2176">
        <v>30</v>
      </c>
      <c r="F54" s="2176">
        <v>68</v>
      </c>
      <c r="G54" s="2176">
        <v>80</v>
      </c>
      <c r="H54" s="2176">
        <v>33</v>
      </c>
      <c r="I54" s="2176">
        <v>54</v>
      </c>
      <c r="J54" s="2176">
        <v>61</v>
      </c>
      <c r="K54" s="2176">
        <v>51</v>
      </c>
      <c r="L54" s="2176">
        <v>33</v>
      </c>
      <c r="M54" s="2176">
        <v>43</v>
      </c>
      <c r="N54" s="2176">
        <v>65</v>
      </c>
      <c r="O54" s="2176">
        <v>44</v>
      </c>
      <c r="P54" s="2177">
        <v>0</v>
      </c>
      <c r="Q54" s="2177">
        <v>0</v>
      </c>
      <c r="R54" s="2177">
        <v>30</v>
      </c>
      <c r="S54" s="2177">
        <v>53</v>
      </c>
      <c r="T54" s="2177">
        <v>34</v>
      </c>
      <c r="U54" s="2177">
        <v>55</v>
      </c>
      <c r="V54" s="2177">
        <v>66</v>
      </c>
      <c r="W54" s="2177">
        <v>41</v>
      </c>
      <c r="X54" s="2177">
        <v>59</v>
      </c>
      <c r="Y54" s="2177">
        <v>55</v>
      </c>
      <c r="Z54" s="2177">
        <v>78</v>
      </c>
      <c r="AA54" s="2177">
        <v>114</v>
      </c>
      <c r="AB54" s="2177">
        <v>104</v>
      </c>
      <c r="AC54" s="2177">
        <v>47</v>
      </c>
      <c r="AD54" s="2177">
        <v>79</v>
      </c>
      <c r="AE54" s="2177">
        <v>190</v>
      </c>
      <c r="AF54" s="2177">
        <v>43</v>
      </c>
      <c r="AG54" s="2177">
        <v>68</v>
      </c>
      <c r="AH54" s="2177"/>
      <c r="AI54" s="2178">
        <f t="shared" si="3"/>
        <v>1716</v>
      </c>
      <c r="AJ54" s="2179">
        <f t="shared" si="1"/>
        <v>48.055188100000002</v>
      </c>
      <c r="AK54" s="2180">
        <f t="shared" si="2"/>
        <v>824.62702779599999</v>
      </c>
      <c r="AL54" s="2181" t="s">
        <v>1959</v>
      </c>
      <c r="AM54" s="2165"/>
      <c r="AN54" s="2169"/>
      <c r="AO54" s="2169"/>
    </row>
    <row r="55" spans="1:41" s="2174" customFormat="1" ht="51" customHeight="1">
      <c r="A55" s="2173">
        <v>45</v>
      </c>
      <c r="B55" s="2173">
        <v>10</v>
      </c>
      <c r="C55" s="2175" t="str">
        <f>+'[6]Biểu 1 TH CÔNG copy'!C55</f>
        <v>Nàng Xanh</v>
      </c>
      <c r="D55" s="2176">
        <v>37</v>
      </c>
      <c r="E55" s="2176">
        <v>29</v>
      </c>
      <c r="F55" s="2176">
        <v>68</v>
      </c>
      <c r="G55" s="2176">
        <v>80</v>
      </c>
      <c r="H55" s="2176">
        <v>32</v>
      </c>
      <c r="I55" s="2176">
        <v>52</v>
      </c>
      <c r="J55" s="2176">
        <v>60</v>
      </c>
      <c r="K55" s="2176">
        <v>52</v>
      </c>
      <c r="L55" s="2176">
        <v>33</v>
      </c>
      <c r="M55" s="2176">
        <v>43</v>
      </c>
      <c r="N55" s="2176">
        <v>49</v>
      </c>
      <c r="O55" s="2176">
        <v>45</v>
      </c>
      <c r="P55" s="2177">
        <v>0</v>
      </c>
      <c r="Q55" s="2177">
        <v>0</v>
      </c>
      <c r="R55" s="2177">
        <v>28</v>
      </c>
      <c r="S55" s="2177">
        <v>52</v>
      </c>
      <c r="T55" s="2177">
        <v>34</v>
      </c>
      <c r="U55" s="2177">
        <v>55</v>
      </c>
      <c r="V55" s="2177">
        <v>66</v>
      </c>
      <c r="W55" s="2177">
        <v>41</v>
      </c>
      <c r="X55" s="2177">
        <v>59</v>
      </c>
      <c r="Y55" s="2177">
        <v>56</v>
      </c>
      <c r="Z55" s="2177">
        <v>77</v>
      </c>
      <c r="AA55" s="2177">
        <v>115</v>
      </c>
      <c r="AB55" s="2177">
        <v>104</v>
      </c>
      <c r="AC55" s="2177">
        <v>48</v>
      </c>
      <c r="AD55" s="2177">
        <v>79</v>
      </c>
      <c r="AE55" s="2177">
        <v>192</v>
      </c>
      <c r="AF55" s="2177">
        <v>42</v>
      </c>
      <c r="AG55" s="2177">
        <v>70</v>
      </c>
      <c r="AH55" s="2177"/>
      <c r="AI55" s="2178">
        <f t="shared" si="3"/>
        <v>1698</v>
      </c>
      <c r="AJ55" s="2179">
        <f t="shared" si="1"/>
        <v>48.055188100000002</v>
      </c>
      <c r="AK55" s="2180">
        <f t="shared" si="2"/>
        <v>815.97709393800005</v>
      </c>
      <c r="AL55" s="2181" t="s">
        <v>1957</v>
      </c>
      <c r="AM55" s="2165"/>
      <c r="AN55" s="2169"/>
      <c r="AO55" s="2169"/>
    </row>
    <row r="56" spans="1:41" s="2174" customFormat="1" ht="51" customHeight="1">
      <c r="A56" s="2173">
        <v>46</v>
      </c>
      <c r="B56" s="2173">
        <v>11</v>
      </c>
      <c r="C56" s="2175" t="str">
        <f>+'[6]Biểu 1 TH CÔNG copy'!C56</f>
        <v>Thảo Xượm</v>
      </c>
      <c r="D56" s="2176">
        <v>43</v>
      </c>
      <c r="E56" s="2176">
        <v>20</v>
      </c>
      <c r="F56" s="2176">
        <v>107</v>
      </c>
      <c r="G56" s="2176">
        <v>78</v>
      </c>
      <c r="H56" s="2176">
        <v>52</v>
      </c>
      <c r="I56" s="2176">
        <v>31</v>
      </c>
      <c r="J56" s="2176">
        <v>81</v>
      </c>
      <c r="K56" s="2176">
        <v>61</v>
      </c>
      <c r="L56" s="2176">
        <v>43</v>
      </c>
      <c r="M56" s="2176">
        <v>24</v>
      </c>
      <c r="N56" s="2176">
        <v>146</v>
      </c>
      <c r="O56" s="2176">
        <v>58</v>
      </c>
      <c r="P56" s="2177">
        <v>0</v>
      </c>
      <c r="Q56" s="2177">
        <v>0</v>
      </c>
      <c r="R56" s="2177">
        <v>0</v>
      </c>
      <c r="S56" s="2177">
        <v>103</v>
      </c>
      <c r="T56" s="2177">
        <v>68</v>
      </c>
      <c r="U56" s="2177">
        <v>84</v>
      </c>
      <c r="V56" s="2177">
        <v>65</v>
      </c>
      <c r="W56" s="2177">
        <v>119</v>
      </c>
      <c r="X56" s="2177">
        <v>44</v>
      </c>
      <c r="Y56" s="2177">
        <v>78</v>
      </c>
      <c r="Z56" s="2177">
        <v>104</v>
      </c>
      <c r="AA56" s="2177">
        <v>181</v>
      </c>
      <c r="AB56" s="2177">
        <v>139</v>
      </c>
      <c r="AC56" s="2177">
        <v>93</v>
      </c>
      <c r="AD56" s="2177">
        <v>83</v>
      </c>
      <c r="AE56" s="2177">
        <v>325</v>
      </c>
      <c r="AF56" s="2177">
        <v>38</v>
      </c>
      <c r="AG56" s="2177">
        <v>63</v>
      </c>
      <c r="AH56" s="2177"/>
      <c r="AI56" s="2178">
        <f t="shared" si="3"/>
        <v>2331</v>
      </c>
      <c r="AJ56" s="2179">
        <f t="shared" si="1"/>
        <v>48.055188100000002</v>
      </c>
      <c r="AK56" s="2180">
        <f t="shared" si="2"/>
        <v>1120.1664346110001</v>
      </c>
      <c r="AL56" s="2181" t="s">
        <v>1959</v>
      </c>
      <c r="AM56" s="2165"/>
      <c r="AN56" s="2169"/>
      <c r="AO56" s="2169"/>
    </row>
    <row r="57" spans="1:41" s="2174" customFormat="1" ht="51" customHeight="1">
      <c r="A57" s="2173">
        <v>47</v>
      </c>
      <c r="B57" s="2173">
        <v>12</v>
      </c>
      <c r="C57" s="2175" t="str">
        <f>+'[6]Biểu 1 TH CÔNG copy'!C57</f>
        <v>Thảo Tích</v>
      </c>
      <c r="D57" s="2176">
        <v>0</v>
      </c>
      <c r="E57" s="2176">
        <v>37</v>
      </c>
      <c r="F57" s="2176">
        <v>35</v>
      </c>
      <c r="G57" s="2176">
        <v>40</v>
      </c>
      <c r="H57" s="2176">
        <v>50</v>
      </c>
      <c r="I57" s="2176">
        <v>38</v>
      </c>
      <c r="J57" s="2176">
        <v>73</v>
      </c>
      <c r="K57" s="2176">
        <v>73</v>
      </c>
      <c r="L57" s="2176">
        <v>22</v>
      </c>
      <c r="M57" s="2176">
        <v>29</v>
      </c>
      <c r="N57" s="2176">
        <v>68</v>
      </c>
      <c r="O57" s="2176">
        <v>45</v>
      </c>
      <c r="P57" s="2177">
        <v>22</v>
      </c>
      <c r="Q57" s="2177">
        <v>0</v>
      </c>
      <c r="R57" s="2177">
        <v>0</v>
      </c>
      <c r="S57" s="2177">
        <v>105</v>
      </c>
      <c r="T57" s="2177">
        <v>72</v>
      </c>
      <c r="U57" s="2177">
        <v>14</v>
      </c>
      <c r="V57" s="2177">
        <v>56</v>
      </c>
      <c r="W57" s="2177">
        <v>65</v>
      </c>
      <c r="X57" s="2177">
        <v>49</v>
      </c>
      <c r="Y57" s="2177">
        <v>51</v>
      </c>
      <c r="Z57" s="2177">
        <v>101</v>
      </c>
      <c r="AA57" s="2177">
        <v>135</v>
      </c>
      <c r="AB57" s="2177">
        <v>132</v>
      </c>
      <c r="AC57" s="2177">
        <v>45</v>
      </c>
      <c r="AD57" s="2177">
        <v>60</v>
      </c>
      <c r="AE57" s="2177">
        <v>231</v>
      </c>
      <c r="AF57" s="2177">
        <v>53</v>
      </c>
      <c r="AG57" s="2177">
        <v>66</v>
      </c>
      <c r="AH57" s="2177"/>
      <c r="AI57" s="2178">
        <f t="shared" si="3"/>
        <v>1767</v>
      </c>
      <c r="AJ57" s="2179">
        <f t="shared" si="1"/>
        <v>48.055188100000002</v>
      </c>
      <c r="AK57" s="2180">
        <f t="shared" si="2"/>
        <v>849.13517372700005</v>
      </c>
      <c r="AL57" s="2181" t="s">
        <v>1957</v>
      </c>
      <c r="AM57" s="2165"/>
      <c r="AN57" s="2169"/>
      <c r="AO57" s="2169"/>
    </row>
    <row r="58" spans="1:41" s="2174" customFormat="1" ht="51" customHeight="1">
      <c r="A58" s="2173">
        <v>48</v>
      </c>
      <c r="B58" s="2173">
        <v>13</v>
      </c>
      <c r="C58" s="2175" t="str">
        <f>+'[6]Biểu 1 TH CÔNG copy'!C58</f>
        <v>Nàng Thoong</v>
      </c>
      <c r="D58" s="2176">
        <v>0</v>
      </c>
      <c r="E58" s="2176">
        <v>37</v>
      </c>
      <c r="F58" s="2176">
        <v>35</v>
      </c>
      <c r="G58" s="2176">
        <v>35</v>
      </c>
      <c r="H58" s="2176">
        <v>50</v>
      </c>
      <c r="I58" s="2176">
        <v>37</v>
      </c>
      <c r="J58" s="2176">
        <v>73</v>
      </c>
      <c r="K58" s="2176">
        <v>74</v>
      </c>
      <c r="L58" s="2176">
        <v>22</v>
      </c>
      <c r="M58" s="2176">
        <v>29</v>
      </c>
      <c r="N58" s="2176">
        <v>68</v>
      </c>
      <c r="O58" s="2176">
        <v>45</v>
      </c>
      <c r="P58" s="2177">
        <v>22</v>
      </c>
      <c r="Q58" s="2177">
        <v>0</v>
      </c>
      <c r="R58" s="2177">
        <v>0</v>
      </c>
      <c r="S58" s="2177">
        <v>108</v>
      </c>
      <c r="T58" s="2177">
        <v>73</v>
      </c>
      <c r="U58" s="2177">
        <v>14</v>
      </c>
      <c r="V58" s="2177">
        <v>57</v>
      </c>
      <c r="W58" s="2177">
        <v>64</v>
      </c>
      <c r="X58" s="2177">
        <v>50</v>
      </c>
      <c r="Y58" s="2177">
        <v>50</v>
      </c>
      <c r="Z58" s="2177">
        <v>101</v>
      </c>
      <c r="AA58" s="2177">
        <v>135</v>
      </c>
      <c r="AB58" s="2177">
        <v>132</v>
      </c>
      <c r="AC58" s="2177">
        <v>45</v>
      </c>
      <c r="AD58" s="2177">
        <v>60</v>
      </c>
      <c r="AE58" s="2177">
        <v>232</v>
      </c>
      <c r="AF58" s="2177">
        <v>52</v>
      </c>
      <c r="AG58" s="2177">
        <v>66</v>
      </c>
      <c r="AH58" s="2177"/>
      <c r="AI58" s="2178">
        <f t="shared" si="3"/>
        <v>1766</v>
      </c>
      <c r="AJ58" s="2179">
        <f t="shared" si="1"/>
        <v>48.055188100000002</v>
      </c>
      <c r="AK58" s="2180">
        <f t="shared" si="2"/>
        <v>848.65462184600005</v>
      </c>
      <c r="AL58" s="2181" t="s">
        <v>1959</v>
      </c>
      <c r="AM58" s="2165"/>
      <c r="AN58" s="2169"/>
      <c r="AO58" s="2169"/>
    </row>
    <row r="59" spans="1:41" s="2174" customFormat="1" ht="51" customHeight="1">
      <c r="A59" s="2173">
        <v>49</v>
      </c>
      <c r="B59" s="2173">
        <v>14</v>
      </c>
      <c r="C59" s="2175" t="str">
        <f>+'[6]Biểu 1 TH CÔNG copy'!C59</f>
        <v>Thảo Xoan Chay</v>
      </c>
      <c r="D59" s="2176">
        <v>46</v>
      </c>
      <c r="E59" s="2176">
        <v>44</v>
      </c>
      <c r="F59" s="2176">
        <v>35</v>
      </c>
      <c r="G59" s="2176">
        <v>35</v>
      </c>
      <c r="H59" s="2176">
        <v>44</v>
      </c>
      <c r="I59" s="2176">
        <v>38</v>
      </c>
      <c r="J59" s="2176">
        <v>73</v>
      </c>
      <c r="K59" s="2176">
        <v>74</v>
      </c>
      <c r="L59" s="2176">
        <v>23</v>
      </c>
      <c r="M59" s="2176">
        <v>29</v>
      </c>
      <c r="N59" s="2176">
        <v>69</v>
      </c>
      <c r="O59" s="2176">
        <v>46</v>
      </c>
      <c r="P59" s="2177">
        <v>23</v>
      </c>
      <c r="Q59" s="2177">
        <v>0</v>
      </c>
      <c r="R59" s="2177">
        <v>0</v>
      </c>
      <c r="S59" s="2177">
        <v>105</v>
      </c>
      <c r="T59" s="2177">
        <v>72</v>
      </c>
      <c r="U59" s="2177">
        <v>13</v>
      </c>
      <c r="V59" s="2177">
        <v>57</v>
      </c>
      <c r="W59" s="2177">
        <v>65</v>
      </c>
      <c r="X59" s="2177">
        <v>50</v>
      </c>
      <c r="Y59" s="2177">
        <v>51</v>
      </c>
      <c r="Z59" s="2177">
        <v>100</v>
      </c>
      <c r="AA59" s="2177">
        <v>136</v>
      </c>
      <c r="AB59" s="2177">
        <v>134</v>
      </c>
      <c r="AC59" s="2177">
        <v>46</v>
      </c>
      <c r="AD59" s="2177">
        <v>60</v>
      </c>
      <c r="AE59" s="2177">
        <v>232</v>
      </c>
      <c r="AF59" s="2177">
        <v>52</v>
      </c>
      <c r="AG59" s="2177">
        <v>64</v>
      </c>
      <c r="AH59" s="2177"/>
      <c r="AI59" s="2178">
        <f>SUM(D59:AH59)</f>
        <v>1816</v>
      </c>
      <c r="AJ59" s="2179">
        <f t="shared" si="1"/>
        <v>48.055188100000002</v>
      </c>
      <c r="AK59" s="2180">
        <f t="shared" si="2"/>
        <v>872.682215896</v>
      </c>
      <c r="AL59" s="2181" t="s">
        <v>1959</v>
      </c>
      <c r="AM59" s="2165"/>
      <c r="AN59" s="2169"/>
      <c r="AO59" s="2169"/>
    </row>
    <row r="60" spans="1:41" s="2174" customFormat="1" ht="51" customHeight="1">
      <c r="A60" s="2173">
        <v>50</v>
      </c>
      <c r="B60" s="2173">
        <v>15</v>
      </c>
      <c r="C60" s="2175" t="str">
        <f>+'[6]Biểu 1 TH CÔNG copy'!C60</f>
        <v>Nàng Út</v>
      </c>
      <c r="D60" s="2176">
        <v>47</v>
      </c>
      <c r="E60" s="2176">
        <v>44</v>
      </c>
      <c r="F60" s="2176">
        <v>0</v>
      </c>
      <c r="G60" s="2176">
        <v>0</v>
      </c>
      <c r="H60" s="2176">
        <v>24</v>
      </c>
      <c r="I60" s="2176">
        <v>57</v>
      </c>
      <c r="J60" s="2176">
        <v>106</v>
      </c>
      <c r="K60" s="2176">
        <v>37</v>
      </c>
      <c r="L60" s="2176">
        <v>32</v>
      </c>
      <c r="M60" s="2176">
        <v>33</v>
      </c>
      <c r="N60" s="2176">
        <v>53</v>
      </c>
      <c r="O60" s="2176">
        <v>22</v>
      </c>
      <c r="P60" s="2177">
        <v>30</v>
      </c>
      <c r="Q60" s="2177">
        <v>0</v>
      </c>
      <c r="R60" s="2177">
        <v>0</v>
      </c>
      <c r="S60" s="2177">
        <v>89</v>
      </c>
      <c r="T60" s="2177">
        <v>23</v>
      </c>
      <c r="U60" s="2177">
        <v>25</v>
      </c>
      <c r="V60" s="2177">
        <v>72</v>
      </c>
      <c r="W60" s="2177">
        <v>70</v>
      </c>
      <c r="X60" s="2177">
        <v>38</v>
      </c>
      <c r="Y60" s="2177">
        <v>60</v>
      </c>
      <c r="Z60" s="2177">
        <v>67</v>
      </c>
      <c r="AA60" s="2177">
        <v>134</v>
      </c>
      <c r="AB60" s="2177">
        <v>65</v>
      </c>
      <c r="AC60" s="2177">
        <v>58</v>
      </c>
      <c r="AD60" s="2177">
        <v>71</v>
      </c>
      <c r="AE60" s="2177">
        <v>170</v>
      </c>
      <c r="AF60" s="2177">
        <v>50</v>
      </c>
      <c r="AG60" s="2177">
        <v>65</v>
      </c>
      <c r="AH60" s="2177"/>
      <c r="AI60" s="2178">
        <f>SUM(D60:AH60)</f>
        <v>1542</v>
      </c>
      <c r="AJ60" s="2179">
        <f t="shared" si="1"/>
        <v>48.055188100000002</v>
      </c>
      <c r="AK60" s="2180">
        <f t="shared" si="2"/>
        <v>741.01100050200012</v>
      </c>
      <c r="AL60" s="2181" t="s">
        <v>1957</v>
      </c>
      <c r="AM60" s="2165"/>
      <c r="AN60" s="2169"/>
      <c r="AO60" s="2169"/>
    </row>
    <row r="61" spans="1:41" s="2174" customFormat="1" ht="51" customHeight="1">
      <c r="A61" s="2173">
        <v>51</v>
      </c>
      <c r="B61" s="2173">
        <v>16</v>
      </c>
      <c r="C61" s="2175" t="str">
        <f>+'[6]Biểu 1 TH CÔNG copy'!C61</f>
        <v>Thảo Xay Phôn</v>
      </c>
      <c r="D61" s="2176">
        <v>27</v>
      </c>
      <c r="E61" s="2176">
        <v>32</v>
      </c>
      <c r="F61" s="2176">
        <v>40</v>
      </c>
      <c r="G61" s="2176">
        <v>25</v>
      </c>
      <c r="H61" s="2176">
        <v>25</v>
      </c>
      <c r="I61" s="2176">
        <v>57</v>
      </c>
      <c r="J61" s="2176">
        <v>106</v>
      </c>
      <c r="K61" s="2176">
        <v>37</v>
      </c>
      <c r="L61" s="2176">
        <v>32</v>
      </c>
      <c r="M61" s="2176">
        <v>33</v>
      </c>
      <c r="N61" s="2176">
        <v>53</v>
      </c>
      <c r="O61" s="2176">
        <v>22</v>
      </c>
      <c r="P61" s="2177">
        <v>30</v>
      </c>
      <c r="Q61" s="2177">
        <v>0</v>
      </c>
      <c r="R61" s="2177">
        <v>0</v>
      </c>
      <c r="S61" s="2177">
        <v>89</v>
      </c>
      <c r="T61" s="2177">
        <v>24</v>
      </c>
      <c r="U61" s="2177">
        <v>24</v>
      </c>
      <c r="V61" s="2177">
        <v>72</v>
      </c>
      <c r="W61" s="2177">
        <v>71</v>
      </c>
      <c r="X61" s="2177">
        <v>38</v>
      </c>
      <c r="Y61" s="2177">
        <v>61</v>
      </c>
      <c r="Z61" s="2177">
        <v>67</v>
      </c>
      <c r="AA61" s="2177">
        <v>135</v>
      </c>
      <c r="AB61" s="2177">
        <v>65</v>
      </c>
      <c r="AC61" s="2177">
        <v>58</v>
      </c>
      <c r="AD61" s="2177">
        <v>71</v>
      </c>
      <c r="AE61" s="2177">
        <v>170</v>
      </c>
      <c r="AF61" s="2177">
        <v>45</v>
      </c>
      <c r="AG61" s="2177">
        <v>65</v>
      </c>
      <c r="AH61" s="2177"/>
      <c r="AI61" s="2178">
        <f t="shared" si="3"/>
        <v>1574</v>
      </c>
      <c r="AJ61" s="2179">
        <f t="shared" si="1"/>
        <v>48.055188100000002</v>
      </c>
      <c r="AK61" s="2180">
        <f t="shared" si="2"/>
        <v>756.38866069400001</v>
      </c>
      <c r="AL61" s="2181" t="s">
        <v>1959</v>
      </c>
      <c r="AM61" s="2165"/>
      <c r="AN61" s="2169"/>
      <c r="AO61" s="2169"/>
    </row>
    <row r="62" spans="1:41" s="2174" customFormat="1" ht="51" customHeight="1">
      <c r="A62" s="2173">
        <v>52</v>
      </c>
      <c r="B62" s="2173">
        <v>17</v>
      </c>
      <c r="C62" s="2175" t="str">
        <f>+'[6]Biểu 1 TH CÔNG copy'!C62</f>
        <v>Nàng Mui</v>
      </c>
      <c r="D62" s="2176">
        <v>30</v>
      </c>
      <c r="E62" s="2176">
        <v>32</v>
      </c>
      <c r="F62" s="2176">
        <v>38</v>
      </c>
      <c r="G62" s="2176">
        <v>27</v>
      </c>
      <c r="H62" s="2176">
        <v>25</v>
      </c>
      <c r="I62" s="2176">
        <v>57</v>
      </c>
      <c r="J62" s="2176">
        <v>106</v>
      </c>
      <c r="K62" s="2176">
        <v>38</v>
      </c>
      <c r="L62" s="2176">
        <v>32</v>
      </c>
      <c r="M62" s="2176">
        <v>34</v>
      </c>
      <c r="N62" s="2176">
        <v>53</v>
      </c>
      <c r="O62" s="2176">
        <v>23</v>
      </c>
      <c r="P62" s="2177">
        <v>32</v>
      </c>
      <c r="Q62" s="2177">
        <v>0</v>
      </c>
      <c r="R62" s="2177">
        <v>0</v>
      </c>
      <c r="S62" s="2177">
        <v>90</v>
      </c>
      <c r="T62" s="2177">
        <v>23</v>
      </c>
      <c r="U62" s="2177">
        <v>25</v>
      </c>
      <c r="V62" s="2177">
        <v>73</v>
      </c>
      <c r="W62" s="2177">
        <v>70</v>
      </c>
      <c r="X62" s="2177">
        <v>38</v>
      </c>
      <c r="Y62" s="2177">
        <v>60</v>
      </c>
      <c r="Z62" s="2177">
        <v>67</v>
      </c>
      <c r="AA62" s="2177">
        <v>135</v>
      </c>
      <c r="AB62" s="2177">
        <v>65</v>
      </c>
      <c r="AC62" s="2177">
        <v>58</v>
      </c>
      <c r="AD62" s="2177">
        <v>72</v>
      </c>
      <c r="AE62" s="2177">
        <v>169</v>
      </c>
      <c r="AF62" s="2177">
        <v>50</v>
      </c>
      <c r="AG62" s="2177">
        <v>66</v>
      </c>
      <c r="AH62" s="2177"/>
      <c r="AI62" s="2178">
        <f t="shared" si="3"/>
        <v>1588</v>
      </c>
      <c r="AJ62" s="2179">
        <f t="shared" si="1"/>
        <v>48.055188100000002</v>
      </c>
      <c r="AK62" s="2180">
        <f t="shared" si="2"/>
        <v>763.11638702800008</v>
      </c>
      <c r="AL62" s="2181" t="s">
        <v>1959</v>
      </c>
      <c r="AM62" s="2165"/>
      <c r="AN62" s="2169"/>
      <c r="AO62" s="2169"/>
    </row>
    <row r="63" spans="1:41" s="2174" customFormat="1" ht="51" customHeight="1">
      <c r="A63" s="2173">
        <v>53</v>
      </c>
      <c r="B63" s="2173">
        <v>18</v>
      </c>
      <c r="C63" s="2175" t="str">
        <f>+'[6]Biểu 1 TH CÔNG copy'!C63</f>
        <v>Ning Dung</v>
      </c>
      <c r="D63" s="2176">
        <v>50</v>
      </c>
      <c r="E63" s="2176">
        <v>42</v>
      </c>
      <c r="F63" s="2176">
        <v>110</v>
      </c>
      <c r="G63" s="2176">
        <v>50</v>
      </c>
      <c r="H63" s="2176">
        <v>38</v>
      </c>
      <c r="I63" s="2176">
        <v>40</v>
      </c>
      <c r="J63" s="2176">
        <v>48</v>
      </c>
      <c r="K63" s="2176">
        <v>46</v>
      </c>
      <c r="L63" s="2176">
        <v>38</v>
      </c>
      <c r="M63" s="2176">
        <v>38</v>
      </c>
      <c r="N63" s="2176">
        <v>52</v>
      </c>
      <c r="O63" s="2176">
        <v>33</v>
      </c>
      <c r="P63" s="2177">
        <v>37</v>
      </c>
      <c r="Q63" s="2177">
        <v>0</v>
      </c>
      <c r="R63" s="2177">
        <v>51</v>
      </c>
      <c r="S63" s="2177">
        <v>65</v>
      </c>
      <c r="T63" s="2177">
        <v>45</v>
      </c>
      <c r="U63" s="2177">
        <v>73</v>
      </c>
      <c r="V63" s="2177">
        <v>51</v>
      </c>
      <c r="W63" s="2177">
        <v>78</v>
      </c>
      <c r="X63" s="2177">
        <v>46</v>
      </c>
      <c r="Y63" s="2177">
        <v>102</v>
      </c>
      <c r="Z63" s="2177">
        <v>88</v>
      </c>
      <c r="AA63" s="2177">
        <v>104</v>
      </c>
      <c r="AB63" s="2177">
        <v>90</v>
      </c>
      <c r="AC63" s="2177">
        <v>80</v>
      </c>
      <c r="AD63" s="2177">
        <v>84</v>
      </c>
      <c r="AE63" s="2177">
        <v>178</v>
      </c>
      <c r="AF63" s="2177">
        <v>75</v>
      </c>
      <c r="AG63" s="2177">
        <v>74</v>
      </c>
      <c r="AH63" s="2177"/>
      <c r="AI63" s="2178">
        <f t="shared" si="3"/>
        <v>1906</v>
      </c>
      <c r="AJ63" s="2179">
        <f t="shared" si="1"/>
        <v>48.055188100000002</v>
      </c>
      <c r="AK63" s="2180">
        <f t="shared" si="2"/>
        <v>915.93188518600004</v>
      </c>
      <c r="AL63" s="2181" t="s">
        <v>1957</v>
      </c>
      <c r="AM63" s="2165"/>
      <c r="AN63" s="2169"/>
      <c r="AO63" s="2169"/>
    </row>
    <row r="64" spans="1:41" s="2174" customFormat="1" ht="51" customHeight="1">
      <c r="A64" s="2173">
        <v>54</v>
      </c>
      <c r="B64" s="2173">
        <v>19</v>
      </c>
      <c r="C64" s="2175" t="str">
        <f>+'[6]Biểu 1 TH CÔNG copy'!C64</f>
        <v>Mua Chăn</v>
      </c>
      <c r="D64" s="2176">
        <v>50</v>
      </c>
      <c r="E64" s="2176">
        <v>43</v>
      </c>
      <c r="F64" s="2176">
        <v>109</v>
      </c>
      <c r="G64" s="2176">
        <v>50</v>
      </c>
      <c r="H64" s="2176">
        <v>37</v>
      </c>
      <c r="I64" s="2176">
        <v>40</v>
      </c>
      <c r="J64" s="2176">
        <v>48</v>
      </c>
      <c r="K64" s="2176">
        <v>46</v>
      </c>
      <c r="L64" s="2176">
        <v>39</v>
      </c>
      <c r="M64" s="2176">
        <v>39</v>
      </c>
      <c r="N64" s="2176">
        <v>52</v>
      </c>
      <c r="O64" s="2176">
        <v>33</v>
      </c>
      <c r="P64" s="2177">
        <v>39</v>
      </c>
      <c r="Q64" s="2177">
        <v>0</v>
      </c>
      <c r="R64" s="2177">
        <v>51</v>
      </c>
      <c r="S64" s="2177">
        <v>64</v>
      </c>
      <c r="T64" s="2177">
        <v>45</v>
      </c>
      <c r="U64" s="2177">
        <v>73</v>
      </c>
      <c r="V64" s="2177">
        <v>50</v>
      </c>
      <c r="W64" s="2177">
        <v>78</v>
      </c>
      <c r="X64" s="2177">
        <v>46</v>
      </c>
      <c r="Y64" s="2177">
        <v>102</v>
      </c>
      <c r="Z64" s="2177">
        <v>88</v>
      </c>
      <c r="AA64" s="2177">
        <v>104</v>
      </c>
      <c r="AB64" s="2177">
        <v>90</v>
      </c>
      <c r="AC64" s="2177">
        <v>80</v>
      </c>
      <c r="AD64" s="2177">
        <v>84</v>
      </c>
      <c r="AE64" s="2177">
        <v>178</v>
      </c>
      <c r="AF64" s="2177">
        <v>75</v>
      </c>
      <c r="AG64" s="2177">
        <v>74</v>
      </c>
      <c r="AH64" s="2177"/>
      <c r="AI64" s="2178">
        <f t="shared" si="3"/>
        <v>1907</v>
      </c>
      <c r="AJ64" s="2179">
        <f t="shared" si="1"/>
        <v>48.055188100000002</v>
      </c>
      <c r="AK64" s="2180">
        <f t="shared" si="2"/>
        <v>916.41243706700004</v>
      </c>
      <c r="AL64" s="2181" t="s">
        <v>1959</v>
      </c>
      <c r="AM64" s="2165"/>
      <c r="AN64" s="2169"/>
      <c r="AO64" s="2169"/>
    </row>
    <row r="65" spans="1:41" s="2174" customFormat="1" ht="51" customHeight="1">
      <c r="A65" s="2173">
        <v>55</v>
      </c>
      <c r="B65" s="2173">
        <v>20</v>
      </c>
      <c r="C65" s="2175" t="str">
        <f>+'[6]Biểu 1 TH CÔNG copy'!C65</f>
        <v>Thảo Chọi 2</v>
      </c>
      <c r="D65" s="2176">
        <v>50</v>
      </c>
      <c r="E65" s="2176">
        <v>40</v>
      </c>
      <c r="F65" s="2176">
        <v>70</v>
      </c>
      <c r="G65" s="2176">
        <v>27</v>
      </c>
      <c r="H65" s="2176">
        <v>60</v>
      </c>
      <c r="I65" s="2176">
        <v>44</v>
      </c>
      <c r="J65" s="2176">
        <v>67</v>
      </c>
      <c r="K65" s="2176">
        <v>29</v>
      </c>
      <c r="L65" s="2176">
        <v>49</v>
      </c>
      <c r="M65" s="2176">
        <v>40</v>
      </c>
      <c r="N65" s="2176">
        <v>63</v>
      </c>
      <c r="O65" s="2176">
        <v>30</v>
      </c>
      <c r="P65" s="2177">
        <v>51</v>
      </c>
      <c r="Q65" s="2177">
        <v>0</v>
      </c>
      <c r="R65" s="2177">
        <v>50</v>
      </c>
      <c r="S65" s="2177">
        <v>133</v>
      </c>
      <c r="T65" s="2177">
        <v>18</v>
      </c>
      <c r="U65" s="2177">
        <v>55</v>
      </c>
      <c r="V65" s="2177">
        <v>33</v>
      </c>
      <c r="W65" s="2177">
        <v>67</v>
      </c>
      <c r="X65" s="2177">
        <v>37</v>
      </c>
      <c r="Y65" s="2177">
        <v>91</v>
      </c>
      <c r="Z65" s="2177">
        <v>98</v>
      </c>
      <c r="AA65" s="2177">
        <v>129</v>
      </c>
      <c r="AB65" s="2177">
        <v>68</v>
      </c>
      <c r="AC65" s="2177">
        <v>91</v>
      </c>
      <c r="AD65" s="2177">
        <v>96</v>
      </c>
      <c r="AE65" s="2177">
        <v>205</v>
      </c>
      <c r="AF65" s="2177">
        <v>89</v>
      </c>
      <c r="AG65" s="2177">
        <v>91</v>
      </c>
      <c r="AH65" s="2177"/>
      <c r="AI65" s="2178">
        <f t="shared" si="3"/>
        <v>1971</v>
      </c>
      <c r="AJ65" s="2179">
        <f t="shared" si="1"/>
        <v>48.055188100000002</v>
      </c>
      <c r="AK65" s="2180">
        <f t="shared" si="2"/>
        <v>947.16775745100006</v>
      </c>
      <c r="AL65" s="2182" t="s">
        <v>1957</v>
      </c>
      <c r="AM65" s="2165"/>
      <c r="AN65" s="2169"/>
      <c r="AO65" s="2169"/>
    </row>
    <row r="66" spans="1:41" s="2174" customFormat="1" ht="51" customHeight="1">
      <c r="A66" s="2173">
        <v>56</v>
      </c>
      <c r="B66" s="2173">
        <v>21</v>
      </c>
      <c r="C66" s="2175" t="str">
        <f>+'[6]Biểu 1 TH CÔNG copy'!C66</f>
        <v>Thảo Sing</v>
      </c>
      <c r="D66" s="2176">
        <v>57</v>
      </c>
      <c r="E66" s="2176">
        <v>56</v>
      </c>
      <c r="F66" s="2176">
        <v>80</v>
      </c>
      <c r="G66" s="2176">
        <v>95</v>
      </c>
      <c r="H66" s="2176">
        <v>52</v>
      </c>
      <c r="I66" s="2176">
        <v>58</v>
      </c>
      <c r="J66" s="2176">
        <v>79</v>
      </c>
      <c r="K66" s="2176">
        <v>84</v>
      </c>
      <c r="L66" s="2176">
        <v>44</v>
      </c>
      <c r="M66" s="2176">
        <v>55</v>
      </c>
      <c r="N66" s="2176">
        <v>91</v>
      </c>
      <c r="O66" s="2176">
        <v>89</v>
      </c>
      <c r="P66" s="2177">
        <v>52</v>
      </c>
      <c r="Q66" s="2177">
        <v>0</v>
      </c>
      <c r="R66" s="2177">
        <v>65</v>
      </c>
      <c r="S66" s="2177">
        <v>120</v>
      </c>
      <c r="T66" s="2177">
        <v>80</v>
      </c>
      <c r="U66" s="2177">
        <v>54</v>
      </c>
      <c r="V66" s="2177">
        <v>59</v>
      </c>
      <c r="W66" s="2177">
        <v>90</v>
      </c>
      <c r="X66" s="2177">
        <v>68</v>
      </c>
      <c r="Y66" s="2177">
        <v>68</v>
      </c>
      <c r="Z66" s="2177">
        <v>87</v>
      </c>
      <c r="AA66" s="2177">
        <v>156</v>
      </c>
      <c r="AB66" s="2177">
        <v>109</v>
      </c>
      <c r="AC66" s="2177">
        <v>0</v>
      </c>
      <c r="AD66" s="2177">
        <v>0</v>
      </c>
      <c r="AE66" s="2177">
        <v>96</v>
      </c>
      <c r="AF66" s="2177">
        <v>198</v>
      </c>
      <c r="AG66" s="2177">
        <v>81</v>
      </c>
      <c r="AH66" s="2177"/>
      <c r="AI66" s="2178">
        <f t="shared" si="3"/>
        <v>2223</v>
      </c>
      <c r="AJ66" s="2179">
        <f t="shared" si="1"/>
        <v>48.055188100000002</v>
      </c>
      <c r="AK66" s="2180">
        <f t="shared" si="2"/>
        <v>1068.266831463</v>
      </c>
      <c r="AL66" s="2181" t="s">
        <v>1957</v>
      </c>
      <c r="AM66" s="2165"/>
      <c r="AN66" s="2169"/>
      <c r="AO66" s="2169"/>
    </row>
    <row r="67" spans="1:41" s="2174" customFormat="1" ht="51" customHeight="1">
      <c r="A67" s="2173">
        <v>57</v>
      </c>
      <c r="B67" s="2173">
        <v>22</v>
      </c>
      <c r="C67" s="2175" t="str">
        <f>+'[6]Biểu 1 TH CÔNG copy'!C67</f>
        <v>Thảo Phu</v>
      </c>
      <c r="D67" s="2176">
        <v>110</v>
      </c>
      <c r="E67" s="2176">
        <v>28</v>
      </c>
      <c r="F67" s="2176">
        <v>80</v>
      </c>
      <c r="G67" s="2176">
        <v>25</v>
      </c>
      <c r="H67" s="2176">
        <v>46</v>
      </c>
      <c r="I67" s="2176">
        <v>30</v>
      </c>
      <c r="J67" s="2176">
        <v>74</v>
      </c>
      <c r="K67" s="2176">
        <v>24</v>
      </c>
      <c r="L67" s="2176">
        <v>50</v>
      </c>
      <c r="M67" s="2176">
        <v>26</v>
      </c>
      <c r="N67" s="2176">
        <v>55</v>
      </c>
      <c r="O67" s="2176">
        <v>22</v>
      </c>
      <c r="P67" s="2177">
        <v>49</v>
      </c>
      <c r="Q67" s="2177">
        <v>0</v>
      </c>
      <c r="R67" s="2177">
        <v>14</v>
      </c>
      <c r="S67" s="2177">
        <v>50</v>
      </c>
      <c r="T67" s="2177">
        <v>26</v>
      </c>
      <c r="U67" s="2177">
        <v>40</v>
      </c>
      <c r="V67" s="2177">
        <v>34</v>
      </c>
      <c r="W67" s="2177">
        <v>77</v>
      </c>
      <c r="X67" s="2177">
        <v>21</v>
      </c>
      <c r="Y67" s="2177">
        <v>68</v>
      </c>
      <c r="Z67" s="2177">
        <v>45</v>
      </c>
      <c r="AA67" s="2177">
        <v>125</v>
      </c>
      <c r="AB67" s="2177">
        <v>42</v>
      </c>
      <c r="AC67" s="2177">
        <v>65</v>
      </c>
      <c r="AD67" s="2177">
        <v>47</v>
      </c>
      <c r="AE67" s="2177">
        <v>157</v>
      </c>
      <c r="AF67" s="2177">
        <v>0</v>
      </c>
      <c r="AG67" s="2177">
        <v>56</v>
      </c>
      <c r="AH67" s="2177"/>
      <c r="AI67" s="2178">
        <f t="shared" si="3"/>
        <v>1486</v>
      </c>
      <c r="AJ67" s="2179">
        <f t="shared" si="1"/>
        <v>48.055188100000002</v>
      </c>
      <c r="AK67" s="2180">
        <f t="shared" si="2"/>
        <v>714.10009516600007</v>
      </c>
      <c r="AL67" s="2181" t="s">
        <v>1959</v>
      </c>
      <c r="AM67" s="2165"/>
      <c r="AN67" s="2169"/>
      <c r="AO67" s="2169"/>
    </row>
    <row r="68" spans="1:41" s="2174" customFormat="1" ht="51" customHeight="1">
      <c r="A68" s="2173">
        <v>58</v>
      </c>
      <c r="B68" s="2173">
        <v>23</v>
      </c>
      <c r="C68" s="2175" t="str">
        <f>+'[6]Biểu 1 TH CÔNG copy'!C68</f>
        <v>Nàng Tịa</v>
      </c>
      <c r="D68" s="2176">
        <v>107</v>
      </c>
      <c r="E68" s="2176">
        <v>28</v>
      </c>
      <c r="F68" s="2176">
        <v>80</v>
      </c>
      <c r="G68" s="2176">
        <v>26</v>
      </c>
      <c r="H68" s="2176">
        <v>50</v>
      </c>
      <c r="I68" s="2176">
        <v>30</v>
      </c>
      <c r="J68" s="2176">
        <v>74</v>
      </c>
      <c r="K68" s="2176">
        <v>25</v>
      </c>
      <c r="L68" s="2176">
        <v>50</v>
      </c>
      <c r="M68" s="2176">
        <v>27</v>
      </c>
      <c r="N68" s="2176">
        <v>55</v>
      </c>
      <c r="O68" s="2176">
        <v>23</v>
      </c>
      <c r="P68" s="2177">
        <v>49</v>
      </c>
      <c r="Q68" s="2177">
        <v>0</v>
      </c>
      <c r="R68" s="2177">
        <v>14</v>
      </c>
      <c r="S68" s="2177">
        <v>49</v>
      </c>
      <c r="T68" s="2177">
        <v>0</v>
      </c>
      <c r="U68" s="2177">
        <v>0</v>
      </c>
      <c r="V68" s="2177">
        <v>34</v>
      </c>
      <c r="W68" s="2177">
        <v>78</v>
      </c>
      <c r="X68" s="2177">
        <v>21</v>
      </c>
      <c r="Y68" s="2177">
        <v>68</v>
      </c>
      <c r="Z68" s="2177">
        <v>45</v>
      </c>
      <c r="AA68" s="2177">
        <v>125</v>
      </c>
      <c r="AB68" s="2177">
        <v>43</v>
      </c>
      <c r="AC68" s="2177">
        <v>64</v>
      </c>
      <c r="AD68" s="2177">
        <v>47</v>
      </c>
      <c r="AE68" s="2177">
        <v>157</v>
      </c>
      <c r="AF68" s="2177">
        <v>0</v>
      </c>
      <c r="AG68" s="2177">
        <v>57</v>
      </c>
      <c r="AH68" s="2177"/>
      <c r="AI68" s="2178">
        <f t="shared" si="3"/>
        <v>1426</v>
      </c>
      <c r="AJ68" s="2179">
        <f t="shared" si="1"/>
        <v>48.055188100000002</v>
      </c>
      <c r="AK68" s="2180">
        <f t="shared" si="2"/>
        <v>685.26698230600005</v>
      </c>
      <c r="AL68" s="2181" t="s">
        <v>1959</v>
      </c>
      <c r="AM68" s="2165"/>
      <c r="AN68" s="2169"/>
      <c r="AO68" s="2169"/>
    </row>
    <row r="69" spans="1:41" s="2174" customFormat="1" ht="51" customHeight="1">
      <c r="A69" s="2173">
        <v>59</v>
      </c>
      <c r="B69" s="2173">
        <v>24</v>
      </c>
      <c r="C69" s="2175" t="str">
        <f>+'[6]Biểu 1 TH CÔNG copy'!C69</f>
        <v>Thảo Tý</v>
      </c>
      <c r="D69" s="2176">
        <v>61</v>
      </c>
      <c r="E69" s="2176">
        <v>42</v>
      </c>
      <c r="F69" s="2176">
        <v>65</v>
      </c>
      <c r="G69" s="2176">
        <v>44</v>
      </c>
      <c r="H69" s="2176">
        <v>60</v>
      </c>
      <c r="I69" s="2176">
        <v>42</v>
      </c>
      <c r="J69" s="2176">
        <v>63</v>
      </c>
      <c r="K69" s="2176">
        <v>47</v>
      </c>
      <c r="L69" s="2176">
        <v>66</v>
      </c>
      <c r="M69" s="2176">
        <v>38</v>
      </c>
      <c r="N69" s="2176">
        <v>79</v>
      </c>
      <c r="O69" s="2176">
        <v>60</v>
      </c>
      <c r="P69" s="2177">
        <v>68</v>
      </c>
      <c r="Q69" s="2177">
        <v>0</v>
      </c>
      <c r="R69" s="2177">
        <v>43</v>
      </c>
      <c r="S69" s="2177">
        <v>161</v>
      </c>
      <c r="T69" s="2177">
        <v>40</v>
      </c>
      <c r="U69" s="2177">
        <v>83</v>
      </c>
      <c r="V69" s="2177">
        <v>34</v>
      </c>
      <c r="W69" s="2177">
        <v>75</v>
      </c>
      <c r="X69" s="2177">
        <v>58</v>
      </c>
      <c r="Y69" s="2177">
        <v>173</v>
      </c>
      <c r="Z69" s="2177">
        <v>97</v>
      </c>
      <c r="AA69" s="2177">
        <v>197</v>
      </c>
      <c r="AB69" s="2177">
        <v>108</v>
      </c>
      <c r="AC69" s="2177">
        <v>191</v>
      </c>
      <c r="AD69" s="2177">
        <v>155</v>
      </c>
      <c r="AE69" s="2177">
        <v>227</v>
      </c>
      <c r="AF69" s="2177">
        <v>156</v>
      </c>
      <c r="AG69" s="2177">
        <v>87</v>
      </c>
      <c r="AH69" s="2177"/>
      <c r="AI69" s="2178">
        <f t="shared" si="3"/>
        <v>2620</v>
      </c>
      <c r="AJ69" s="2179">
        <f t="shared" si="1"/>
        <v>48.055188100000002</v>
      </c>
      <c r="AK69" s="2180">
        <f t="shared" si="2"/>
        <v>1259.04592822</v>
      </c>
      <c r="AL69" s="2181" t="s">
        <v>1959</v>
      </c>
      <c r="AM69" s="2165"/>
      <c r="AN69" s="2169"/>
      <c r="AO69" s="2169"/>
    </row>
    <row r="70" spans="1:41" s="2174" customFormat="1" ht="51" customHeight="1">
      <c r="A70" s="2173">
        <v>60</v>
      </c>
      <c r="B70" s="2173">
        <v>25</v>
      </c>
      <c r="C70" s="2175" t="str">
        <f>+'[6]Biểu 1 TH CÔNG copy'!C70</f>
        <v>Nàng Lếc</v>
      </c>
      <c r="D70" s="2176">
        <v>62</v>
      </c>
      <c r="E70" s="2176">
        <v>41</v>
      </c>
      <c r="F70" s="2176">
        <v>65</v>
      </c>
      <c r="G70" s="2176">
        <v>43</v>
      </c>
      <c r="H70" s="2176">
        <v>55</v>
      </c>
      <c r="I70" s="2176">
        <v>41</v>
      </c>
      <c r="J70" s="2176">
        <v>64</v>
      </c>
      <c r="K70" s="2176">
        <v>48</v>
      </c>
      <c r="L70" s="2176">
        <v>67</v>
      </c>
      <c r="M70" s="2176">
        <v>39</v>
      </c>
      <c r="N70" s="2176">
        <v>80</v>
      </c>
      <c r="O70" s="2176">
        <v>60</v>
      </c>
      <c r="P70" s="2177">
        <v>68</v>
      </c>
      <c r="Q70" s="2177">
        <v>0</v>
      </c>
      <c r="R70" s="2177">
        <v>44</v>
      </c>
      <c r="S70" s="2177">
        <v>162</v>
      </c>
      <c r="T70" s="2177">
        <v>41</v>
      </c>
      <c r="U70" s="2177">
        <v>84</v>
      </c>
      <c r="V70" s="2177">
        <v>35</v>
      </c>
      <c r="W70" s="2177">
        <v>74</v>
      </c>
      <c r="X70" s="2177">
        <v>58</v>
      </c>
      <c r="Y70" s="2177">
        <v>173</v>
      </c>
      <c r="Z70" s="2177">
        <v>98</v>
      </c>
      <c r="AA70" s="2177">
        <v>197</v>
      </c>
      <c r="AB70" s="2177">
        <v>108</v>
      </c>
      <c r="AC70" s="2177">
        <v>192</v>
      </c>
      <c r="AD70" s="2177">
        <v>155</v>
      </c>
      <c r="AE70" s="2177">
        <v>228</v>
      </c>
      <c r="AF70" s="2177">
        <v>156</v>
      </c>
      <c r="AG70" s="2177">
        <v>88</v>
      </c>
      <c r="AH70" s="2177"/>
      <c r="AI70" s="2178">
        <f t="shared" si="3"/>
        <v>2626</v>
      </c>
      <c r="AJ70" s="2179">
        <f t="shared" si="1"/>
        <v>48.055188100000002</v>
      </c>
      <c r="AK70" s="2180">
        <f t="shared" si="2"/>
        <v>1261.9292395059999</v>
      </c>
      <c r="AL70" s="2182" t="s">
        <v>1959</v>
      </c>
      <c r="AM70" s="2165"/>
      <c r="AN70" s="2169"/>
      <c r="AO70" s="2169"/>
    </row>
    <row r="71" spans="1:41" s="2174" customFormat="1" ht="51" customHeight="1">
      <c r="A71" s="2173">
        <v>61</v>
      </c>
      <c r="B71" s="2173">
        <v>26</v>
      </c>
      <c r="C71" s="2175" t="str">
        <f>+'[6]Biểu 1 TH CÔNG copy'!C71</f>
        <v>Nàng Veo</v>
      </c>
      <c r="D71" s="2176">
        <v>50</v>
      </c>
      <c r="E71" s="2176">
        <v>40</v>
      </c>
      <c r="F71" s="2176">
        <v>70</v>
      </c>
      <c r="G71" s="2176">
        <v>30</v>
      </c>
      <c r="H71" s="2176">
        <v>60</v>
      </c>
      <c r="I71" s="2176">
        <v>50</v>
      </c>
      <c r="J71" s="2176">
        <v>67</v>
      </c>
      <c r="K71" s="2176">
        <v>29</v>
      </c>
      <c r="L71" s="2176">
        <v>49</v>
      </c>
      <c r="M71" s="2176">
        <v>40</v>
      </c>
      <c r="N71" s="2176">
        <v>64</v>
      </c>
      <c r="O71" s="2176">
        <v>30</v>
      </c>
      <c r="P71" s="2177">
        <v>64</v>
      </c>
      <c r="Q71" s="2177">
        <v>0</v>
      </c>
      <c r="R71" s="2177">
        <v>51</v>
      </c>
      <c r="S71" s="2177">
        <v>133</v>
      </c>
      <c r="T71" s="2177">
        <v>18</v>
      </c>
      <c r="U71" s="2177">
        <v>56</v>
      </c>
      <c r="V71" s="2177">
        <v>34</v>
      </c>
      <c r="W71" s="2177">
        <v>70</v>
      </c>
      <c r="X71" s="2177">
        <v>37</v>
      </c>
      <c r="Y71" s="2177">
        <v>92</v>
      </c>
      <c r="Z71" s="2177">
        <v>99</v>
      </c>
      <c r="AA71" s="2177">
        <v>130</v>
      </c>
      <c r="AB71" s="2177">
        <v>70</v>
      </c>
      <c r="AC71" s="2177">
        <v>91</v>
      </c>
      <c r="AD71" s="2177">
        <v>97</v>
      </c>
      <c r="AE71" s="2177">
        <v>206</v>
      </c>
      <c r="AF71" s="2177">
        <v>89</v>
      </c>
      <c r="AG71" s="2177">
        <v>91</v>
      </c>
      <c r="AH71" s="2177"/>
      <c r="AI71" s="2178">
        <f t="shared" si="3"/>
        <v>2007</v>
      </c>
      <c r="AJ71" s="2179">
        <f t="shared" si="1"/>
        <v>48.055188100000002</v>
      </c>
      <c r="AK71" s="2180">
        <f t="shared" si="2"/>
        <v>964.46762516700005</v>
      </c>
      <c r="AL71" s="2182" t="s">
        <v>1957</v>
      </c>
      <c r="AM71" s="2165"/>
      <c r="AN71" s="2169"/>
      <c r="AO71" s="2169"/>
    </row>
    <row r="72" spans="1:41" s="2174" customFormat="1" ht="51" customHeight="1">
      <c r="A72" s="2173">
        <v>62</v>
      </c>
      <c r="B72" s="2173">
        <v>27</v>
      </c>
      <c r="C72" s="2175" t="str">
        <f>+'[6]Biểu 1 TH CÔNG copy'!C72</f>
        <v>Thảo Chọi</v>
      </c>
      <c r="D72" s="2176">
        <v>50</v>
      </c>
      <c r="E72" s="2176">
        <v>42</v>
      </c>
      <c r="F72" s="2176">
        <v>70</v>
      </c>
      <c r="G72" s="2176">
        <v>30</v>
      </c>
      <c r="H72" s="2176">
        <v>60</v>
      </c>
      <c r="I72" s="2176">
        <v>50</v>
      </c>
      <c r="J72" s="2176">
        <v>67</v>
      </c>
      <c r="K72" s="2176">
        <v>30</v>
      </c>
      <c r="L72" s="2176">
        <v>50</v>
      </c>
      <c r="M72" s="2176">
        <v>41</v>
      </c>
      <c r="N72" s="2176">
        <v>63</v>
      </c>
      <c r="O72" s="2176">
        <v>32</v>
      </c>
      <c r="P72" s="2177">
        <v>64</v>
      </c>
      <c r="Q72" s="2177">
        <v>0</v>
      </c>
      <c r="R72" s="2177">
        <v>52</v>
      </c>
      <c r="S72" s="2177">
        <v>133</v>
      </c>
      <c r="T72" s="2177">
        <v>18</v>
      </c>
      <c r="U72" s="2177">
        <v>56</v>
      </c>
      <c r="V72" s="2177">
        <v>34</v>
      </c>
      <c r="W72" s="2177">
        <v>70</v>
      </c>
      <c r="X72" s="2177">
        <v>37</v>
      </c>
      <c r="Y72" s="2177">
        <v>92</v>
      </c>
      <c r="Z72" s="2177">
        <v>99</v>
      </c>
      <c r="AA72" s="2177">
        <v>130</v>
      </c>
      <c r="AB72" s="2177">
        <v>70</v>
      </c>
      <c r="AC72" s="2177">
        <v>91</v>
      </c>
      <c r="AD72" s="2177">
        <v>97</v>
      </c>
      <c r="AE72" s="2177">
        <v>206</v>
      </c>
      <c r="AF72" s="2177">
        <v>90</v>
      </c>
      <c r="AG72" s="2177">
        <v>92</v>
      </c>
      <c r="AH72" s="2177"/>
      <c r="AI72" s="2178">
        <f t="shared" si="3"/>
        <v>2016</v>
      </c>
      <c r="AJ72" s="2179">
        <f t="shared" si="1"/>
        <v>48.055188100000002</v>
      </c>
      <c r="AK72" s="2180">
        <f t="shared" si="2"/>
        <v>968.79259209600002</v>
      </c>
      <c r="AL72" s="2181" t="s">
        <v>1957</v>
      </c>
      <c r="AM72" s="2165"/>
      <c r="AN72" s="2169"/>
      <c r="AO72" s="2169"/>
    </row>
    <row r="73" spans="1:41" s="2174" customFormat="1" ht="51" customHeight="1">
      <c r="A73" s="2173">
        <v>63</v>
      </c>
      <c r="B73" s="2173">
        <v>28</v>
      </c>
      <c r="C73" s="2175" t="str">
        <f>+'[6]Biểu 1 TH CÔNG copy'!C73</f>
        <v>Nàng Nọi</v>
      </c>
      <c r="D73" s="2176">
        <v>35</v>
      </c>
      <c r="E73" s="2176">
        <v>40</v>
      </c>
      <c r="F73" s="2176">
        <v>60</v>
      </c>
      <c r="G73" s="2176">
        <v>43</v>
      </c>
      <c r="H73" s="2176">
        <v>35</v>
      </c>
      <c r="I73" s="2176">
        <v>35</v>
      </c>
      <c r="J73" s="2176">
        <v>63</v>
      </c>
      <c r="K73" s="2176">
        <v>40</v>
      </c>
      <c r="L73" s="2176">
        <v>35</v>
      </c>
      <c r="M73" s="2176">
        <v>33</v>
      </c>
      <c r="N73" s="2176">
        <v>57</v>
      </c>
      <c r="O73" s="2176">
        <v>42</v>
      </c>
      <c r="P73" s="2177">
        <v>35</v>
      </c>
      <c r="Q73" s="2177">
        <v>0</v>
      </c>
      <c r="R73" s="2177">
        <v>30</v>
      </c>
      <c r="S73" s="2177">
        <v>50</v>
      </c>
      <c r="T73" s="2177">
        <v>35</v>
      </c>
      <c r="U73" s="2177">
        <v>40</v>
      </c>
      <c r="V73" s="2177">
        <v>36</v>
      </c>
      <c r="W73" s="2177">
        <v>50</v>
      </c>
      <c r="X73" s="2177">
        <v>36</v>
      </c>
      <c r="Y73" s="2177">
        <v>60</v>
      </c>
      <c r="Z73" s="2177">
        <v>38</v>
      </c>
      <c r="AA73" s="2177">
        <v>85</v>
      </c>
      <c r="AB73" s="2177">
        <v>33</v>
      </c>
      <c r="AC73" s="2177">
        <v>67</v>
      </c>
      <c r="AD73" s="2177">
        <v>56</v>
      </c>
      <c r="AE73" s="2177">
        <v>147</v>
      </c>
      <c r="AF73" s="2177">
        <v>67</v>
      </c>
      <c r="AG73" s="2177">
        <v>63</v>
      </c>
      <c r="AH73" s="2177"/>
      <c r="AI73" s="2178">
        <f t="shared" si="3"/>
        <v>1446</v>
      </c>
      <c r="AJ73" s="2179">
        <f t="shared" si="1"/>
        <v>48.055188100000002</v>
      </c>
      <c r="AK73" s="2180">
        <f t="shared" si="2"/>
        <v>694.87801992599998</v>
      </c>
      <c r="AL73" s="2182" t="s">
        <v>1959</v>
      </c>
      <c r="AM73" s="2165"/>
      <c r="AN73" s="2169"/>
      <c r="AO73" s="2169"/>
    </row>
    <row r="74" spans="1:41" s="2174" customFormat="1" ht="51" customHeight="1">
      <c r="A74" s="2173">
        <v>64</v>
      </c>
      <c r="B74" s="2173">
        <v>29</v>
      </c>
      <c r="C74" s="2175" t="str">
        <f>+'[6]Biểu 1 TH CÔNG copy'!C74</f>
        <v>Thảo Uổn</v>
      </c>
      <c r="D74" s="2176">
        <v>33</v>
      </c>
      <c r="E74" s="2176">
        <v>36</v>
      </c>
      <c r="F74" s="2176">
        <v>62</v>
      </c>
      <c r="G74" s="2176">
        <v>44</v>
      </c>
      <c r="H74" s="2176">
        <v>36</v>
      </c>
      <c r="I74" s="2176">
        <v>36</v>
      </c>
      <c r="J74" s="2176">
        <v>63</v>
      </c>
      <c r="K74" s="2176">
        <v>40</v>
      </c>
      <c r="L74" s="2176">
        <v>35</v>
      </c>
      <c r="M74" s="2176">
        <v>33</v>
      </c>
      <c r="N74" s="2176">
        <v>57</v>
      </c>
      <c r="O74" s="2176">
        <v>42</v>
      </c>
      <c r="P74" s="2177">
        <v>35</v>
      </c>
      <c r="Q74" s="2177">
        <v>0</v>
      </c>
      <c r="R74" s="2177">
        <v>30</v>
      </c>
      <c r="S74" s="2177">
        <v>49</v>
      </c>
      <c r="T74" s="2177">
        <v>36</v>
      </c>
      <c r="U74" s="2177">
        <v>41</v>
      </c>
      <c r="V74" s="2177">
        <v>37</v>
      </c>
      <c r="W74" s="2177">
        <v>51</v>
      </c>
      <c r="X74" s="2177">
        <v>36</v>
      </c>
      <c r="Y74" s="2177">
        <v>62</v>
      </c>
      <c r="Z74" s="2177">
        <v>58</v>
      </c>
      <c r="AA74" s="2177">
        <v>82</v>
      </c>
      <c r="AB74" s="2177">
        <v>77</v>
      </c>
      <c r="AC74" s="2177">
        <v>70</v>
      </c>
      <c r="AD74" s="2177">
        <v>67</v>
      </c>
      <c r="AE74" s="2177">
        <v>174</v>
      </c>
      <c r="AF74" s="2177">
        <v>66</v>
      </c>
      <c r="AG74" s="2177">
        <v>65</v>
      </c>
      <c r="AH74" s="2177"/>
      <c r="AI74" s="2178">
        <f t="shared" si="3"/>
        <v>1553</v>
      </c>
      <c r="AJ74" s="2179">
        <f t="shared" si="1"/>
        <v>48.055188100000002</v>
      </c>
      <c r="AK74" s="2180">
        <f t="shared" si="2"/>
        <v>746.29707119299997</v>
      </c>
      <c r="AL74" s="2182" t="s">
        <v>1957</v>
      </c>
      <c r="AM74" s="2165"/>
      <c r="AN74" s="2169"/>
      <c r="AO74" s="2169"/>
    </row>
    <row r="75" spans="1:41" s="2174" customFormat="1" ht="51" customHeight="1">
      <c r="A75" s="2173">
        <v>65</v>
      </c>
      <c r="B75" s="2173">
        <v>30</v>
      </c>
      <c r="C75" s="2175" t="str">
        <f>+'[6]Biểu 1 TH CÔNG copy'!C75</f>
        <v>Nàng Văn</v>
      </c>
      <c r="D75" s="2176">
        <v>35</v>
      </c>
      <c r="E75" s="2176">
        <v>40</v>
      </c>
      <c r="F75" s="2176">
        <v>60</v>
      </c>
      <c r="G75" s="2176">
        <v>43</v>
      </c>
      <c r="H75" s="2176">
        <v>35</v>
      </c>
      <c r="I75" s="2176">
        <v>35</v>
      </c>
      <c r="J75" s="2176">
        <v>63</v>
      </c>
      <c r="K75" s="2176">
        <v>40</v>
      </c>
      <c r="L75" s="2176">
        <v>35</v>
      </c>
      <c r="M75" s="2176">
        <v>34</v>
      </c>
      <c r="N75" s="2176">
        <v>57</v>
      </c>
      <c r="O75" s="2176">
        <v>43</v>
      </c>
      <c r="P75" s="2177">
        <v>35</v>
      </c>
      <c r="Q75" s="2177">
        <v>0</v>
      </c>
      <c r="R75" s="2177">
        <v>25</v>
      </c>
      <c r="S75" s="2177">
        <v>50</v>
      </c>
      <c r="T75" s="2177">
        <v>35</v>
      </c>
      <c r="U75" s="2177">
        <v>41</v>
      </c>
      <c r="V75" s="2177">
        <v>36</v>
      </c>
      <c r="W75" s="2177">
        <v>51</v>
      </c>
      <c r="X75" s="2177">
        <v>36</v>
      </c>
      <c r="Y75" s="2177">
        <v>60</v>
      </c>
      <c r="Z75" s="2177">
        <v>58</v>
      </c>
      <c r="AA75" s="2177">
        <v>83</v>
      </c>
      <c r="AB75" s="2177">
        <v>77</v>
      </c>
      <c r="AC75" s="2177">
        <v>70</v>
      </c>
      <c r="AD75" s="2177">
        <v>67</v>
      </c>
      <c r="AE75" s="2177">
        <v>174</v>
      </c>
      <c r="AF75" s="2177">
        <v>66</v>
      </c>
      <c r="AG75" s="2177">
        <v>65</v>
      </c>
      <c r="AH75" s="2177"/>
      <c r="AI75" s="2178">
        <f t="shared" si="3"/>
        <v>1549</v>
      </c>
      <c r="AJ75" s="2179">
        <f t="shared" si="1"/>
        <v>48.055188100000002</v>
      </c>
      <c r="AK75" s="2180">
        <f t="shared" si="2"/>
        <v>744.37486366900009</v>
      </c>
      <c r="AL75" s="2182" t="s">
        <v>1957</v>
      </c>
      <c r="AM75" s="2165"/>
      <c r="AN75" s="2169"/>
      <c r="AO75" s="2169"/>
    </row>
    <row r="76" spans="1:41" s="2174" customFormat="1" ht="51" customHeight="1">
      <c r="A76" s="2173">
        <v>66</v>
      </c>
      <c r="B76" s="2173">
        <v>31</v>
      </c>
      <c r="C76" s="2175" t="str">
        <f>+'[6]Biểu 1 TH CÔNG copy'!C76</f>
        <v>Thảo Chòi</v>
      </c>
      <c r="D76" s="2176">
        <v>35</v>
      </c>
      <c r="E76" s="2176">
        <v>37</v>
      </c>
      <c r="F76" s="2176">
        <v>62</v>
      </c>
      <c r="G76" s="2176">
        <v>43</v>
      </c>
      <c r="H76" s="2176">
        <v>35</v>
      </c>
      <c r="I76" s="2176">
        <v>37</v>
      </c>
      <c r="J76" s="2176">
        <v>63</v>
      </c>
      <c r="K76" s="2176">
        <v>40</v>
      </c>
      <c r="L76" s="2176">
        <v>35</v>
      </c>
      <c r="M76" s="2176">
        <v>33</v>
      </c>
      <c r="N76" s="2176">
        <v>57</v>
      </c>
      <c r="O76" s="2176">
        <v>43</v>
      </c>
      <c r="P76" s="2177">
        <v>36</v>
      </c>
      <c r="Q76" s="2177">
        <v>0</v>
      </c>
      <c r="R76" s="2177">
        <v>30</v>
      </c>
      <c r="S76" s="2177">
        <v>49</v>
      </c>
      <c r="T76" s="2177">
        <v>36</v>
      </c>
      <c r="U76" s="2177">
        <v>41</v>
      </c>
      <c r="V76" s="2177">
        <v>36</v>
      </c>
      <c r="W76" s="2177">
        <v>51</v>
      </c>
      <c r="X76" s="2177">
        <v>37</v>
      </c>
      <c r="Y76" s="2177">
        <v>62</v>
      </c>
      <c r="Z76" s="2177">
        <v>58</v>
      </c>
      <c r="AA76" s="2177">
        <v>83</v>
      </c>
      <c r="AB76" s="2177">
        <v>77</v>
      </c>
      <c r="AC76" s="2177">
        <v>71</v>
      </c>
      <c r="AD76" s="2177">
        <v>67</v>
      </c>
      <c r="AE76" s="2177">
        <v>176</v>
      </c>
      <c r="AF76" s="2177">
        <v>66</v>
      </c>
      <c r="AG76" s="2177">
        <v>65</v>
      </c>
      <c r="AH76" s="2177"/>
      <c r="AI76" s="2178">
        <f t="shared" si="3"/>
        <v>1561</v>
      </c>
      <c r="AJ76" s="2179">
        <f t="shared" ref="AJ76:AJ88" si="4">+$AS$9*100</f>
        <v>48.055188100000002</v>
      </c>
      <c r="AK76" s="2180">
        <f t="shared" ref="AK76:AK88" si="5">+AI76*AJ76/100</f>
        <v>750.14148624100005</v>
      </c>
      <c r="AL76" s="2182" t="s">
        <v>1959</v>
      </c>
      <c r="AM76" s="2165"/>
      <c r="AN76" s="2169"/>
      <c r="AO76" s="2169"/>
    </row>
    <row r="77" spans="1:41" s="2174" customFormat="1" ht="51" customHeight="1">
      <c r="A77" s="2173">
        <v>67</v>
      </c>
      <c r="B77" s="2173">
        <v>32</v>
      </c>
      <c r="C77" s="2175" t="str">
        <f>+'[6]Biểu 1 TH CÔNG copy'!C77</f>
        <v>Thảo Chanh</v>
      </c>
      <c r="D77" s="2176">
        <v>72</v>
      </c>
      <c r="E77" s="2176">
        <v>38</v>
      </c>
      <c r="F77" s="2176">
        <v>57</v>
      </c>
      <c r="G77" s="2176">
        <v>45</v>
      </c>
      <c r="H77" s="2176">
        <v>37</v>
      </c>
      <c r="I77" s="2176">
        <v>29</v>
      </c>
      <c r="J77" s="2176">
        <v>57</v>
      </c>
      <c r="K77" s="2176">
        <v>37</v>
      </c>
      <c r="L77" s="2176">
        <v>37</v>
      </c>
      <c r="M77" s="2176">
        <v>30</v>
      </c>
      <c r="N77" s="2176">
        <v>57</v>
      </c>
      <c r="O77" s="2176">
        <v>43</v>
      </c>
      <c r="P77" s="2177">
        <v>41</v>
      </c>
      <c r="Q77" s="2177">
        <v>0</v>
      </c>
      <c r="R77" s="2177">
        <v>32</v>
      </c>
      <c r="S77" s="2177">
        <v>32</v>
      </c>
      <c r="T77" s="2177">
        <v>47</v>
      </c>
      <c r="U77" s="2177">
        <v>41</v>
      </c>
      <c r="V77" s="2177">
        <v>40</v>
      </c>
      <c r="W77" s="2177">
        <v>34</v>
      </c>
      <c r="X77" s="2177">
        <v>42</v>
      </c>
      <c r="Y77" s="2177">
        <v>63</v>
      </c>
      <c r="Z77" s="2177">
        <v>52</v>
      </c>
      <c r="AA77" s="2177">
        <v>95</v>
      </c>
      <c r="AB77" s="2177">
        <v>88</v>
      </c>
      <c r="AC77" s="2177">
        <v>75</v>
      </c>
      <c r="AD77" s="2177">
        <v>58</v>
      </c>
      <c r="AE77" s="2177">
        <v>125</v>
      </c>
      <c r="AF77" s="2177">
        <v>83</v>
      </c>
      <c r="AG77" s="2177">
        <v>36</v>
      </c>
      <c r="AH77" s="2177"/>
      <c r="AI77" s="2178">
        <f t="shared" si="3"/>
        <v>1523</v>
      </c>
      <c r="AJ77" s="2179">
        <f t="shared" si="4"/>
        <v>48.055188100000002</v>
      </c>
      <c r="AK77" s="2180">
        <f t="shared" si="5"/>
        <v>731.88051476300006</v>
      </c>
      <c r="AL77" s="2182" t="s">
        <v>1959</v>
      </c>
      <c r="AM77" s="2165"/>
      <c r="AN77" s="2169"/>
      <c r="AO77" s="2169"/>
    </row>
    <row r="78" spans="1:41" s="2174" customFormat="1" ht="51" customHeight="1">
      <c r="A78" s="2173">
        <v>68</v>
      </c>
      <c r="B78" s="2173">
        <v>33</v>
      </c>
      <c r="C78" s="2175" t="str">
        <f>+'[6]Biểu 1 TH CÔNG copy'!C78</f>
        <v>Thảo Sa</v>
      </c>
      <c r="D78" s="2176">
        <v>71</v>
      </c>
      <c r="E78" s="2176">
        <v>40</v>
      </c>
      <c r="F78" s="2176">
        <v>58</v>
      </c>
      <c r="G78" s="2176">
        <v>47</v>
      </c>
      <c r="H78" s="2176">
        <v>37</v>
      </c>
      <c r="I78" s="2176">
        <v>30</v>
      </c>
      <c r="J78" s="2176">
        <v>58</v>
      </c>
      <c r="K78" s="2176">
        <v>37</v>
      </c>
      <c r="L78" s="2176">
        <v>38</v>
      </c>
      <c r="M78" s="2176">
        <v>31</v>
      </c>
      <c r="N78" s="2176">
        <v>57</v>
      </c>
      <c r="O78" s="2176">
        <v>44</v>
      </c>
      <c r="P78" s="2177">
        <v>41</v>
      </c>
      <c r="Q78" s="2177">
        <v>0</v>
      </c>
      <c r="R78" s="2177">
        <v>32</v>
      </c>
      <c r="S78" s="2177">
        <v>32</v>
      </c>
      <c r="T78" s="2177">
        <v>48</v>
      </c>
      <c r="U78" s="2177">
        <v>41</v>
      </c>
      <c r="V78" s="2177">
        <v>37</v>
      </c>
      <c r="W78" s="2177">
        <v>35</v>
      </c>
      <c r="X78" s="2177">
        <v>41</v>
      </c>
      <c r="Y78" s="2177">
        <v>63</v>
      </c>
      <c r="Z78" s="2177">
        <v>52</v>
      </c>
      <c r="AA78" s="2177">
        <v>96</v>
      </c>
      <c r="AB78" s="2177">
        <v>88</v>
      </c>
      <c r="AC78" s="2177">
        <v>76</v>
      </c>
      <c r="AD78" s="2177">
        <v>58</v>
      </c>
      <c r="AE78" s="2177">
        <v>126</v>
      </c>
      <c r="AF78" s="2177">
        <v>83</v>
      </c>
      <c r="AG78" s="2177">
        <v>37</v>
      </c>
      <c r="AH78" s="2177"/>
      <c r="AI78" s="2178">
        <f t="shared" si="3"/>
        <v>1534</v>
      </c>
      <c r="AJ78" s="2179">
        <f t="shared" si="4"/>
        <v>48.055188100000002</v>
      </c>
      <c r="AK78" s="2180">
        <f t="shared" si="5"/>
        <v>737.16658545400003</v>
      </c>
      <c r="AL78" s="2182" t="s">
        <v>1959</v>
      </c>
      <c r="AM78" s="2165"/>
      <c r="AN78" s="2169"/>
      <c r="AO78" s="2169"/>
    </row>
    <row r="79" spans="1:41" s="2174" customFormat="1" ht="51" customHeight="1">
      <c r="A79" s="2173">
        <v>69</v>
      </c>
      <c r="B79" s="2173">
        <v>34</v>
      </c>
      <c r="C79" s="2175" t="str">
        <f>+'[6]Biểu 1 TH CÔNG copy'!C79</f>
        <v>Nàng Phôn</v>
      </c>
      <c r="D79" s="2176">
        <v>55</v>
      </c>
      <c r="E79" s="2176">
        <v>57</v>
      </c>
      <c r="F79" s="2176">
        <v>67</v>
      </c>
      <c r="G79" s="2176">
        <v>44</v>
      </c>
      <c r="H79" s="2176">
        <v>37</v>
      </c>
      <c r="I79" s="2176">
        <v>52</v>
      </c>
      <c r="J79" s="2176">
        <v>66</v>
      </c>
      <c r="K79" s="2176">
        <v>43</v>
      </c>
      <c r="L79" s="2176">
        <v>36</v>
      </c>
      <c r="M79" s="2176">
        <v>53</v>
      </c>
      <c r="N79" s="2176">
        <v>68</v>
      </c>
      <c r="O79" s="2176">
        <v>45</v>
      </c>
      <c r="P79" s="2177">
        <v>39</v>
      </c>
      <c r="Q79" s="2177">
        <v>0</v>
      </c>
      <c r="R79" s="2177">
        <v>50</v>
      </c>
      <c r="S79" s="2177">
        <v>55</v>
      </c>
      <c r="T79" s="2177">
        <v>50</v>
      </c>
      <c r="U79" s="2177">
        <v>43</v>
      </c>
      <c r="V79" s="2177">
        <v>57</v>
      </c>
      <c r="W79" s="2177">
        <v>53</v>
      </c>
      <c r="X79" s="2177">
        <v>44</v>
      </c>
      <c r="Y79" s="2177">
        <v>66</v>
      </c>
      <c r="Z79" s="2177">
        <v>81</v>
      </c>
      <c r="AA79" s="2177">
        <v>116</v>
      </c>
      <c r="AB79" s="2177">
        <v>67</v>
      </c>
      <c r="AC79" s="2177">
        <v>86</v>
      </c>
      <c r="AD79" s="2177">
        <v>83</v>
      </c>
      <c r="AE79" s="2177">
        <v>158</v>
      </c>
      <c r="AF79" s="2177">
        <v>82</v>
      </c>
      <c r="AG79" s="2177">
        <v>36</v>
      </c>
      <c r="AH79" s="2177"/>
      <c r="AI79" s="2178">
        <f t="shared" si="3"/>
        <v>1789</v>
      </c>
      <c r="AJ79" s="2179">
        <f t="shared" si="4"/>
        <v>48.055188100000002</v>
      </c>
      <c r="AK79" s="2180">
        <f t="shared" si="5"/>
        <v>859.70731510900009</v>
      </c>
      <c r="AL79" s="2181" t="s">
        <v>1959</v>
      </c>
      <c r="AM79" s="2165"/>
      <c r="AN79" s="2169"/>
      <c r="AO79" s="2169"/>
    </row>
    <row r="80" spans="1:41" s="2174" customFormat="1" ht="51" customHeight="1">
      <c r="A80" s="2173">
        <v>70</v>
      </c>
      <c r="B80" s="2173">
        <v>35</v>
      </c>
      <c r="C80" s="2175" t="str">
        <f>+'[6]Biểu 1 TH CÔNG copy'!C80</f>
        <v>Thảo Mon</v>
      </c>
      <c r="D80" s="2176">
        <v>56</v>
      </c>
      <c r="E80" s="2176">
        <v>56</v>
      </c>
      <c r="F80" s="2176">
        <v>68</v>
      </c>
      <c r="G80" s="2176">
        <v>42</v>
      </c>
      <c r="H80" s="2176">
        <v>37</v>
      </c>
      <c r="I80" s="2176">
        <v>53</v>
      </c>
      <c r="J80" s="2176">
        <v>66</v>
      </c>
      <c r="K80" s="2176">
        <v>44</v>
      </c>
      <c r="L80" s="2176">
        <v>37</v>
      </c>
      <c r="M80" s="2176">
        <v>54</v>
      </c>
      <c r="N80" s="2176">
        <v>69</v>
      </c>
      <c r="O80" s="2176">
        <v>46</v>
      </c>
      <c r="P80" s="2177">
        <v>40</v>
      </c>
      <c r="Q80" s="2177">
        <v>0</v>
      </c>
      <c r="R80" s="2177">
        <v>50</v>
      </c>
      <c r="S80" s="2177">
        <v>56</v>
      </c>
      <c r="T80" s="2177">
        <v>47</v>
      </c>
      <c r="U80" s="2177">
        <v>43</v>
      </c>
      <c r="V80" s="2177">
        <v>60</v>
      </c>
      <c r="W80" s="2177">
        <v>53</v>
      </c>
      <c r="X80" s="2177">
        <v>45</v>
      </c>
      <c r="Y80" s="2177">
        <v>67</v>
      </c>
      <c r="Z80" s="2177">
        <v>82</v>
      </c>
      <c r="AA80" s="2177">
        <v>117</v>
      </c>
      <c r="AB80" s="2177">
        <v>70</v>
      </c>
      <c r="AC80" s="2177">
        <v>87</v>
      </c>
      <c r="AD80" s="2177">
        <v>83</v>
      </c>
      <c r="AE80" s="2177">
        <v>159</v>
      </c>
      <c r="AF80" s="2177">
        <v>82</v>
      </c>
      <c r="AG80" s="2177">
        <v>36</v>
      </c>
      <c r="AH80" s="2177"/>
      <c r="AI80" s="2178">
        <f t="shared" si="3"/>
        <v>1805</v>
      </c>
      <c r="AJ80" s="2179">
        <f t="shared" si="4"/>
        <v>48.055188100000002</v>
      </c>
      <c r="AK80" s="2180">
        <f t="shared" si="5"/>
        <v>867.39614520500004</v>
      </c>
      <c r="AL80" s="2181" t="s">
        <v>1959</v>
      </c>
      <c r="AM80" s="2165"/>
      <c r="AN80" s="2169"/>
      <c r="AO80" s="2169"/>
    </row>
    <row r="81" spans="1:44" s="2174" customFormat="1" ht="51" customHeight="1">
      <c r="A81" s="2173">
        <v>71</v>
      </c>
      <c r="B81" s="2173">
        <v>36</v>
      </c>
      <c r="C81" s="2175" t="str">
        <f>+'[6]Biểu 1 TH CÔNG copy'!C81</f>
        <v>Thảo Vông Xay</v>
      </c>
      <c r="D81" s="2176">
        <v>33</v>
      </c>
      <c r="E81" s="2176">
        <v>39</v>
      </c>
      <c r="F81" s="2176">
        <v>0</v>
      </c>
      <c r="G81" s="2176">
        <v>45</v>
      </c>
      <c r="H81" s="2176">
        <v>30</v>
      </c>
      <c r="I81" s="2176">
        <v>77</v>
      </c>
      <c r="J81" s="2176">
        <v>130</v>
      </c>
      <c r="K81" s="2176">
        <v>53</v>
      </c>
      <c r="L81" s="2176">
        <v>28</v>
      </c>
      <c r="M81" s="2176">
        <v>51</v>
      </c>
      <c r="N81" s="2176">
        <v>46</v>
      </c>
      <c r="O81" s="2176">
        <v>36</v>
      </c>
      <c r="P81" s="2177">
        <v>34</v>
      </c>
      <c r="Q81" s="2177">
        <v>0</v>
      </c>
      <c r="R81" s="2177">
        <v>26</v>
      </c>
      <c r="S81" s="2177">
        <v>92</v>
      </c>
      <c r="T81" s="2177">
        <v>55</v>
      </c>
      <c r="U81" s="2177">
        <v>35</v>
      </c>
      <c r="V81" s="2177">
        <v>47</v>
      </c>
      <c r="W81" s="2177">
        <v>56</v>
      </c>
      <c r="X81" s="2177">
        <v>37</v>
      </c>
      <c r="Y81" s="2177">
        <v>70</v>
      </c>
      <c r="Z81" s="2177">
        <v>95</v>
      </c>
      <c r="AA81" s="2177">
        <v>72</v>
      </c>
      <c r="AB81" s="2177">
        <v>87</v>
      </c>
      <c r="AC81" s="2177">
        <v>69</v>
      </c>
      <c r="AD81" s="2177">
        <v>86</v>
      </c>
      <c r="AE81" s="2177">
        <v>202</v>
      </c>
      <c r="AF81" s="2177">
        <v>62</v>
      </c>
      <c r="AG81" s="2177">
        <v>59</v>
      </c>
      <c r="AH81" s="2177"/>
      <c r="AI81" s="2178">
        <f t="shared" si="3"/>
        <v>1752</v>
      </c>
      <c r="AJ81" s="2179">
        <f t="shared" si="4"/>
        <v>48.055188100000002</v>
      </c>
      <c r="AK81" s="2180">
        <f t="shared" si="5"/>
        <v>841.9268955120001</v>
      </c>
      <c r="AL81" s="2182" t="s">
        <v>1957</v>
      </c>
      <c r="AM81" s="2165"/>
      <c r="AN81" s="2169"/>
      <c r="AO81" s="2169"/>
    </row>
    <row r="82" spans="1:44" s="2174" customFormat="1" ht="51" customHeight="1">
      <c r="A82" s="2173">
        <v>72</v>
      </c>
      <c r="B82" s="2173">
        <v>37</v>
      </c>
      <c r="C82" s="2175" t="str">
        <f>+'[6]Biểu 1 TH CÔNG copy'!C82</f>
        <v>Nàng Lun</v>
      </c>
      <c r="D82" s="2176">
        <v>34</v>
      </c>
      <c r="E82" s="2176">
        <v>40</v>
      </c>
      <c r="F82" s="2176">
        <v>0</v>
      </c>
      <c r="G82" s="2176">
        <v>45</v>
      </c>
      <c r="H82" s="2176">
        <v>31</v>
      </c>
      <c r="I82" s="2176">
        <v>77</v>
      </c>
      <c r="J82" s="2176">
        <v>130</v>
      </c>
      <c r="K82" s="2176">
        <v>54</v>
      </c>
      <c r="L82" s="2176">
        <v>28</v>
      </c>
      <c r="M82" s="2176">
        <v>51</v>
      </c>
      <c r="N82" s="2176">
        <v>46</v>
      </c>
      <c r="O82" s="2176">
        <v>36</v>
      </c>
      <c r="P82" s="2177">
        <v>35</v>
      </c>
      <c r="Q82" s="2177">
        <v>0</v>
      </c>
      <c r="R82" s="2177">
        <v>27</v>
      </c>
      <c r="S82" s="2177">
        <v>92</v>
      </c>
      <c r="T82" s="2177">
        <v>55</v>
      </c>
      <c r="U82" s="2177">
        <v>35</v>
      </c>
      <c r="V82" s="2177">
        <v>50</v>
      </c>
      <c r="W82" s="2177">
        <v>56</v>
      </c>
      <c r="X82" s="2177">
        <v>40</v>
      </c>
      <c r="Y82" s="2177">
        <v>71</v>
      </c>
      <c r="Z82" s="2177">
        <v>95</v>
      </c>
      <c r="AA82" s="2177">
        <v>73</v>
      </c>
      <c r="AB82" s="2177">
        <v>88</v>
      </c>
      <c r="AC82" s="2177">
        <v>68</v>
      </c>
      <c r="AD82" s="2177">
        <v>85</v>
      </c>
      <c r="AE82" s="2177">
        <v>203</v>
      </c>
      <c r="AF82" s="2177">
        <v>62</v>
      </c>
      <c r="AG82" s="2177">
        <v>58</v>
      </c>
      <c r="AH82" s="2177"/>
      <c r="AI82" s="2178">
        <f t="shared" si="3"/>
        <v>1765</v>
      </c>
      <c r="AJ82" s="2179">
        <f t="shared" si="4"/>
        <v>48.055188100000002</v>
      </c>
      <c r="AK82" s="2180">
        <f t="shared" si="5"/>
        <v>848.17406996500006</v>
      </c>
      <c r="AL82" s="2181" t="s">
        <v>1959</v>
      </c>
      <c r="AM82" s="2165"/>
      <c r="AN82" s="2169"/>
      <c r="AO82" s="2169"/>
    </row>
    <row r="83" spans="1:44" s="2174" customFormat="1" ht="51" customHeight="1">
      <c r="A83" s="2173">
        <v>73</v>
      </c>
      <c r="B83" s="2173">
        <v>38</v>
      </c>
      <c r="C83" s="2175" t="str">
        <f>+'[6]Biểu 1 TH CÔNG copy'!C83</f>
        <v>Thảo Vong</v>
      </c>
      <c r="D83" s="2176">
        <v>225</v>
      </c>
      <c r="E83" s="2176">
        <v>94</v>
      </c>
      <c r="F83" s="2176">
        <v>235</v>
      </c>
      <c r="G83" s="2176">
        <v>19</v>
      </c>
      <c r="H83" s="2176">
        <v>23</v>
      </c>
      <c r="I83" s="2176">
        <v>42</v>
      </c>
      <c r="J83" s="2176">
        <v>67</v>
      </c>
      <c r="K83" s="2176">
        <v>65</v>
      </c>
      <c r="L83" s="2176">
        <v>70</v>
      </c>
      <c r="M83" s="2176">
        <v>41</v>
      </c>
      <c r="N83" s="2176">
        <v>90</v>
      </c>
      <c r="O83" s="2176">
        <v>0</v>
      </c>
      <c r="P83" s="2177">
        <v>0</v>
      </c>
      <c r="Q83" s="2177">
        <v>0</v>
      </c>
      <c r="R83" s="2177">
        <v>35</v>
      </c>
      <c r="S83" s="2177">
        <v>100</v>
      </c>
      <c r="T83" s="2177">
        <v>82</v>
      </c>
      <c r="U83" s="2177">
        <v>178</v>
      </c>
      <c r="V83" s="2177">
        <v>70</v>
      </c>
      <c r="W83" s="2177">
        <v>78</v>
      </c>
      <c r="X83" s="2177">
        <v>16</v>
      </c>
      <c r="Y83" s="2177">
        <v>137</v>
      </c>
      <c r="Z83" s="2177">
        <v>88</v>
      </c>
      <c r="AA83" s="2177">
        <v>178</v>
      </c>
      <c r="AB83" s="2177">
        <v>109</v>
      </c>
      <c r="AC83" s="2177">
        <v>111</v>
      </c>
      <c r="AD83" s="2177">
        <v>71</v>
      </c>
      <c r="AE83" s="2177">
        <v>220</v>
      </c>
      <c r="AF83" s="2177">
        <v>95</v>
      </c>
      <c r="AG83" s="2177">
        <v>67</v>
      </c>
      <c r="AH83" s="2177"/>
      <c r="AI83" s="2178">
        <f t="shared" si="3"/>
        <v>2606</v>
      </c>
      <c r="AJ83" s="2179">
        <f t="shared" si="4"/>
        <v>48.055188100000002</v>
      </c>
      <c r="AK83" s="2180">
        <f t="shared" si="5"/>
        <v>1252.318201886</v>
      </c>
      <c r="AL83" s="2181" t="s">
        <v>1957</v>
      </c>
      <c r="AM83" s="2165"/>
      <c r="AN83" s="2169"/>
      <c r="AO83" s="2169"/>
    </row>
    <row r="84" spans="1:44" s="2174" customFormat="1" ht="51" customHeight="1">
      <c r="A84" s="2173">
        <v>74</v>
      </c>
      <c r="B84" s="2173">
        <v>39</v>
      </c>
      <c r="C84" s="2175" t="str">
        <f>+'[6]Biểu 1 TH CÔNG copy'!C84</f>
        <v>Nàng Veng</v>
      </c>
      <c r="D84" s="2176">
        <v>226</v>
      </c>
      <c r="E84" s="2176">
        <v>95</v>
      </c>
      <c r="F84" s="2176">
        <v>236</v>
      </c>
      <c r="G84" s="2176">
        <v>20</v>
      </c>
      <c r="H84" s="2176">
        <v>23</v>
      </c>
      <c r="I84" s="2176">
        <v>42</v>
      </c>
      <c r="J84" s="2176">
        <v>67</v>
      </c>
      <c r="K84" s="2176">
        <v>66</v>
      </c>
      <c r="L84" s="2176">
        <v>71</v>
      </c>
      <c r="M84" s="2176">
        <v>42</v>
      </c>
      <c r="N84" s="2176">
        <v>91</v>
      </c>
      <c r="O84" s="2176">
        <v>0</v>
      </c>
      <c r="P84" s="2177">
        <v>0</v>
      </c>
      <c r="Q84" s="2177">
        <v>0</v>
      </c>
      <c r="R84" s="2177">
        <v>40</v>
      </c>
      <c r="S84" s="2177">
        <v>97</v>
      </c>
      <c r="T84" s="2177">
        <v>83</v>
      </c>
      <c r="U84" s="2177">
        <v>178</v>
      </c>
      <c r="V84" s="2177">
        <v>70</v>
      </c>
      <c r="W84" s="2177">
        <v>79</v>
      </c>
      <c r="X84" s="2177">
        <v>16</v>
      </c>
      <c r="Y84" s="2177">
        <v>138</v>
      </c>
      <c r="Z84" s="2177">
        <v>88</v>
      </c>
      <c r="AA84" s="2177">
        <v>178</v>
      </c>
      <c r="AB84" s="2177">
        <v>110</v>
      </c>
      <c r="AC84" s="2177">
        <v>111</v>
      </c>
      <c r="AD84" s="2177">
        <v>72</v>
      </c>
      <c r="AE84" s="2177">
        <v>220</v>
      </c>
      <c r="AF84" s="2177">
        <v>95</v>
      </c>
      <c r="AG84" s="2177">
        <v>69</v>
      </c>
      <c r="AH84" s="2177"/>
      <c r="AI84" s="2178">
        <f t="shared" si="3"/>
        <v>2623</v>
      </c>
      <c r="AJ84" s="2179">
        <f t="shared" si="4"/>
        <v>48.055188100000002</v>
      </c>
      <c r="AK84" s="2180">
        <f t="shared" si="5"/>
        <v>1260.4875838630001</v>
      </c>
      <c r="AL84" s="2181" t="s">
        <v>1957</v>
      </c>
      <c r="AM84" s="2165"/>
      <c r="AN84" s="2169"/>
      <c r="AO84" s="2169"/>
    </row>
    <row r="85" spans="1:44" s="2174" customFormat="1" ht="51" customHeight="1">
      <c r="A85" s="2173">
        <v>75</v>
      </c>
      <c r="B85" s="2173">
        <v>40</v>
      </c>
      <c r="C85" s="2175" t="str">
        <f>+'[6]Biểu 1 TH CÔNG copy'!C85</f>
        <v>Thảo Đuông Chăn</v>
      </c>
      <c r="D85" s="2176">
        <v>200</v>
      </c>
      <c r="E85" s="2176">
        <v>130</v>
      </c>
      <c r="F85" s="2176">
        <v>44</v>
      </c>
      <c r="G85" s="2176">
        <v>60</v>
      </c>
      <c r="H85" s="2176">
        <v>0</v>
      </c>
      <c r="I85" s="2176">
        <v>80</v>
      </c>
      <c r="J85" s="2176">
        <v>53</v>
      </c>
      <c r="K85" s="2176">
        <v>43</v>
      </c>
      <c r="L85" s="2176">
        <v>93</v>
      </c>
      <c r="M85" s="2176">
        <v>78</v>
      </c>
      <c r="N85" s="2176">
        <v>43</v>
      </c>
      <c r="O85" s="2176">
        <v>70</v>
      </c>
      <c r="P85" s="2177">
        <v>0</v>
      </c>
      <c r="Q85" s="2177">
        <v>50</v>
      </c>
      <c r="R85" s="2177">
        <v>0</v>
      </c>
      <c r="S85" s="2177">
        <v>40</v>
      </c>
      <c r="T85" s="2177">
        <v>60</v>
      </c>
      <c r="U85" s="2177">
        <v>78</v>
      </c>
      <c r="V85" s="2177">
        <v>96</v>
      </c>
      <c r="W85" s="2177">
        <v>56</v>
      </c>
      <c r="X85" s="2177">
        <v>68</v>
      </c>
      <c r="Y85" s="2177">
        <v>143</v>
      </c>
      <c r="Z85" s="2177">
        <v>85</v>
      </c>
      <c r="AA85" s="2177">
        <v>68</v>
      </c>
      <c r="AB85" s="2177">
        <v>127</v>
      </c>
      <c r="AC85" s="2177">
        <v>110</v>
      </c>
      <c r="AD85" s="2177">
        <v>80</v>
      </c>
      <c r="AE85" s="2177">
        <v>189</v>
      </c>
      <c r="AF85" s="2177">
        <v>99</v>
      </c>
      <c r="AG85" s="2177">
        <v>88</v>
      </c>
      <c r="AH85" s="2177"/>
      <c r="AI85" s="2178">
        <f t="shared" si="3"/>
        <v>2331</v>
      </c>
      <c r="AJ85" s="2179">
        <f t="shared" si="4"/>
        <v>48.055188100000002</v>
      </c>
      <c r="AK85" s="2180">
        <f t="shared" si="5"/>
        <v>1120.1664346110001</v>
      </c>
      <c r="AL85" s="2181" t="s">
        <v>1957</v>
      </c>
      <c r="AM85" s="2165"/>
      <c r="AN85" s="2169"/>
      <c r="AO85" s="2169"/>
    </row>
    <row r="86" spans="1:44" s="2174" customFormat="1" ht="51" customHeight="1">
      <c r="A86" s="2173">
        <v>76</v>
      </c>
      <c r="B86" s="2173">
        <v>41</v>
      </c>
      <c r="C86" s="2175" t="str">
        <f>+'[6]Biểu 1 TH CÔNG copy'!C86</f>
        <v>Nàng Peng</v>
      </c>
      <c r="D86" s="2176">
        <v>201</v>
      </c>
      <c r="E86" s="2176">
        <v>128</v>
      </c>
      <c r="F86" s="2176">
        <v>44</v>
      </c>
      <c r="G86" s="2176">
        <v>59</v>
      </c>
      <c r="H86" s="2176">
        <v>0</v>
      </c>
      <c r="I86" s="2176">
        <v>82</v>
      </c>
      <c r="J86" s="2176">
        <v>54</v>
      </c>
      <c r="K86" s="2176">
        <v>43</v>
      </c>
      <c r="L86" s="2176">
        <v>93</v>
      </c>
      <c r="M86" s="2176">
        <v>79</v>
      </c>
      <c r="N86" s="2176">
        <v>44</v>
      </c>
      <c r="O86" s="2176">
        <v>68</v>
      </c>
      <c r="P86" s="2177">
        <v>0</v>
      </c>
      <c r="Q86" s="2177">
        <v>50</v>
      </c>
      <c r="R86" s="2177">
        <v>0</v>
      </c>
      <c r="S86" s="2177">
        <v>40</v>
      </c>
      <c r="T86" s="2177">
        <v>58</v>
      </c>
      <c r="U86" s="2177">
        <v>78</v>
      </c>
      <c r="V86" s="2177">
        <v>96</v>
      </c>
      <c r="W86" s="2177">
        <v>56</v>
      </c>
      <c r="X86" s="2177">
        <v>68</v>
      </c>
      <c r="Y86" s="2177">
        <v>144</v>
      </c>
      <c r="Z86" s="2177">
        <v>86</v>
      </c>
      <c r="AA86" s="2177">
        <v>70</v>
      </c>
      <c r="AB86" s="2177">
        <v>128</v>
      </c>
      <c r="AC86" s="2177">
        <v>112</v>
      </c>
      <c r="AD86" s="2177">
        <v>80</v>
      </c>
      <c r="AE86" s="2177">
        <v>190</v>
      </c>
      <c r="AF86" s="2177">
        <v>99</v>
      </c>
      <c r="AG86" s="2177">
        <v>89</v>
      </c>
      <c r="AH86" s="2177"/>
      <c r="AI86" s="2178">
        <f t="shared" si="3"/>
        <v>2339</v>
      </c>
      <c r="AJ86" s="2179">
        <f t="shared" si="4"/>
        <v>48.055188100000002</v>
      </c>
      <c r="AK86" s="2180">
        <v>1123.8606766309474</v>
      </c>
      <c r="AL86" s="2181" t="s">
        <v>1957</v>
      </c>
      <c r="AM86" s="2165"/>
      <c r="AN86" s="2169">
        <v>1124.0108496590001</v>
      </c>
      <c r="AO86" s="2169">
        <f>AN86+AR96</f>
        <v>1124.0108496590001</v>
      </c>
    </row>
    <row r="87" spans="1:44" s="2174" customFormat="1" ht="51" customHeight="1">
      <c r="A87" s="2173">
        <v>77</v>
      </c>
      <c r="B87" s="2173">
        <v>42</v>
      </c>
      <c r="C87" s="2175" t="str">
        <f>+'[6]Biểu 1 TH CÔNG copy'!C87</f>
        <v>Thảo Xay Tho</v>
      </c>
      <c r="D87" s="2176">
        <v>50</v>
      </c>
      <c r="E87" s="2176">
        <v>40</v>
      </c>
      <c r="F87" s="2176">
        <v>105</v>
      </c>
      <c r="G87" s="2176">
        <v>50</v>
      </c>
      <c r="H87" s="2176">
        <v>37</v>
      </c>
      <c r="I87" s="2176">
        <v>36</v>
      </c>
      <c r="J87" s="2176">
        <v>48</v>
      </c>
      <c r="K87" s="2176">
        <v>46</v>
      </c>
      <c r="L87" s="2176">
        <v>39</v>
      </c>
      <c r="M87" s="2176">
        <v>39</v>
      </c>
      <c r="N87" s="2176">
        <v>52</v>
      </c>
      <c r="O87" s="2176">
        <v>32</v>
      </c>
      <c r="P87" s="2177">
        <v>37</v>
      </c>
      <c r="Q87" s="2177">
        <v>0</v>
      </c>
      <c r="R87" s="2177">
        <v>50</v>
      </c>
      <c r="S87" s="2177">
        <v>64</v>
      </c>
      <c r="T87" s="2177">
        <v>45</v>
      </c>
      <c r="U87" s="2177">
        <v>72</v>
      </c>
      <c r="V87" s="2177">
        <v>50</v>
      </c>
      <c r="W87" s="2177">
        <v>77</v>
      </c>
      <c r="X87" s="2177">
        <v>45</v>
      </c>
      <c r="Y87" s="2177">
        <v>100</v>
      </c>
      <c r="Z87" s="2177">
        <v>88</v>
      </c>
      <c r="AA87" s="2177">
        <v>104</v>
      </c>
      <c r="AB87" s="2177">
        <v>89</v>
      </c>
      <c r="AC87" s="2177">
        <v>80</v>
      </c>
      <c r="AD87" s="2177">
        <v>84</v>
      </c>
      <c r="AE87" s="2177">
        <v>176</v>
      </c>
      <c r="AF87" s="2177">
        <v>72</v>
      </c>
      <c r="AG87" s="2177">
        <v>74</v>
      </c>
      <c r="AH87" s="2177"/>
      <c r="AI87" s="2178">
        <f t="shared" si="3"/>
        <v>1881</v>
      </c>
      <c r="AJ87" s="2179">
        <f t="shared" si="4"/>
        <v>48.055188100000002</v>
      </c>
      <c r="AK87" s="2180">
        <v>903.77180289345722</v>
      </c>
      <c r="AL87" s="2181" t="s">
        <v>1959</v>
      </c>
      <c r="AM87" s="2165"/>
      <c r="AN87" s="2169">
        <v>903.91808816100001</v>
      </c>
      <c r="AO87" s="2169">
        <f>AN87+AR95</f>
        <v>903.91808816100001</v>
      </c>
    </row>
    <row r="88" spans="1:44" s="2174" customFormat="1" ht="51" customHeight="1">
      <c r="A88" s="2173">
        <v>78</v>
      </c>
      <c r="B88" s="2173">
        <v>43</v>
      </c>
      <c r="C88" s="2175" t="str">
        <f>+'[6]Biểu 1 TH CÔNG copy'!C88</f>
        <v>Nàng Xia Lô</v>
      </c>
      <c r="D88" s="2176">
        <v>45</v>
      </c>
      <c r="E88" s="2176">
        <v>42</v>
      </c>
      <c r="F88" s="2176">
        <v>105</v>
      </c>
      <c r="G88" s="2176">
        <v>46</v>
      </c>
      <c r="H88" s="2176">
        <v>38</v>
      </c>
      <c r="I88" s="2176">
        <v>40</v>
      </c>
      <c r="J88" s="2176">
        <v>48</v>
      </c>
      <c r="K88" s="2176">
        <v>46</v>
      </c>
      <c r="L88" s="2176">
        <v>39</v>
      </c>
      <c r="M88" s="2176">
        <v>39</v>
      </c>
      <c r="N88" s="2176">
        <v>52</v>
      </c>
      <c r="O88" s="2176">
        <v>33</v>
      </c>
      <c r="P88" s="2177">
        <v>37</v>
      </c>
      <c r="Q88" s="2177">
        <v>0</v>
      </c>
      <c r="R88" s="2177">
        <v>50</v>
      </c>
      <c r="S88" s="2177">
        <v>64</v>
      </c>
      <c r="T88" s="2177">
        <v>44</v>
      </c>
      <c r="U88" s="2177">
        <v>72</v>
      </c>
      <c r="V88" s="2177">
        <v>50</v>
      </c>
      <c r="W88" s="2177">
        <v>77</v>
      </c>
      <c r="X88" s="2177">
        <v>45</v>
      </c>
      <c r="Y88" s="2177">
        <v>100</v>
      </c>
      <c r="Z88" s="2177">
        <v>87</v>
      </c>
      <c r="AA88" s="2177">
        <v>104</v>
      </c>
      <c r="AB88" s="2177">
        <v>90</v>
      </c>
      <c r="AC88" s="2177">
        <v>75</v>
      </c>
      <c r="AD88" s="2177">
        <v>84</v>
      </c>
      <c r="AE88" s="2177">
        <v>177</v>
      </c>
      <c r="AF88" s="2177">
        <v>73</v>
      </c>
      <c r="AG88" s="2177">
        <v>76</v>
      </c>
      <c r="AH88" s="2177"/>
      <c r="AI88" s="2178">
        <f t="shared" si="3"/>
        <v>1878</v>
      </c>
      <c r="AJ88" s="2179">
        <f t="shared" si="4"/>
        <v>48.055188100000002</v>
      </c>
      <c r="AK88" s="2180">
        <f t="shared" si="5"/>
        <v>902.47643251800002</v>
      </c>
      <c r="AL88" s="2181" t="s">
        <v>1959</v>
      </c>
      <c r="AM88" s="2165"/>
      <c r="AN88" s="2169"/>
      <c r="AO88" s="2169"/>
    </row>
    <row r="89" spans="1:44" s="2174" customFormat="1" ht="51" hidden="1" customHeight="1">
      <c r="A89" s="2173">
        <v>79</v>
      </c>
      <c r="B89" s="2173">
        <v>44</v>
      </c>
      <c r="C89" s="2184" t="e">
        <f>+'[6]Biểu 1 TH CÔNG copy'!#REF!</f>
        <v>#REF!</v>
      </c>
      <c r="D89" s="2185"/>
      <c r="E89" s="2185"/>
      <c r="F89" s="2176">
        <v>0</v>
      </c>
      <c r="G89" s="2176">
        <v>0</v>
      </c>
      <c r="H89" s="2176">
        <v>0</v>
      </c>
      <c r="I89" s="2176">
        <v>0</v>
      </c>
      <c r="J89" s="2176">
        <v>0</v>
      </c>
      <c r="K89" s="2176">
        <v>0</v>
      </c>
      <c r="L89" s="2176">
        <v>0</v>
      </c>
      <c r="M89" s="2176">
        <v>0</v>
      </c>
      <c r="N89" s="2176">
        <v>0</v>
      </c>
      <c r="O89" s="2176">
        <v>0</v>
      </c>
      <c r="P89" s="2177">
        <v>0</v>
      </c>
      <c r="Q89" s="2177">
        <v>0</v>
      </c>
      <c r="R89" s="2177">
        <v>0</v>
      </c>
      <c r="S89" s="2177">
        <v>0</v>
      </c>
      <c r="T89" s="2177">
        <v>0</v>
      </c>
      <c r="U89" s="2177">
        <v>0</v>
      </c>
      <c r="V89" s="2177">
        <v>0</v>
      </c>
      <c r="W89" s="2177">
        <v>0</v>
      </c>
      <c r="X89" s="2177">
        <v>0</v>
      </c>
      <c r="Y89" s="2177">
        <v>0</v>
      </c>
      <c r="Z89" s="2177">
        <v>0</v>
      </c>
      <c r="AA89" s="2177">
        <v>0</v>
      </c>
      <c r="AB89" s="2177">
        <v>0</v>
      </c>
      <c r="AC89" s="2177">
        <v>0</v>
      </c>
      <c r="AD89" s="2177">
        <v>0</v>
      </c>
      <c r="AE89" s="2177"/>
      <c r="AF89" s="2177"/>
      <c r="AG89" s="2177"/>
      <c r="AH89" s="2177"/>
      <c r="AI89" s="2178">
        <f t="shared" si="3"/>
        <v>0</v>
      </c>
      <c r="AJ89" s="2186">
        <f t="shared" ref="AJ89:AJ90" si="6">+AS87*100</f>
        <v>0</v>
      </c>
      <c r="AK89" s="2180">
        <f t="shared" ref="AK89:AK90" si="7">+AI89*$AS$9</f>
        <v>0</v>
      </c>
      <c r="AL89" s="2181"/>
      <c r="AM89" s="2165"/>
      <c r="AN89" s="2169"/>
      <c r="AO89" s="2169"/>
    </row>
    <row r="90" spans="1:44" s="2174" customFormat="1" ht="51" hidden="1" customHeight="1">
      <c r="A90" s="2173">
        <v>80</v>
      </c>
      <c r="B90" s="2173">
        <v>45</v>
      </c>
      <c r="C90" s="2184" t="e">
        <f>+'[6]Biểu 1 TH CÔNG copy'!#REF!</f>
        <v>#REF!</v>
      </c>
      <c r="D90" s="2185"/>
      <c r="E90" s="2185"/>
      <c r="F90" s="2176">
        <v>0</v>
      </c>
      <c r="G90" s="2176">
        <v>0</v>
      </c>
      <c r="H90" s="2176">
        <v>0</v>
      </c>
      <c r="I90" s="2176">
        <v>0</v>
      </c>
      <c r="J90" s="2176">
        <v>0</v>
      </c>
      <c r="K90" s="2176">
        <v>0</v>
      </c>
      <c r="L90" s="2176">
        <v>0</v>
      </c>
      <c r="M90" s="2176">
        <v>0</v>
      </c>
      <c r="N90" s="2176">
        <v>0</v>
      </c>
      <c r="O90" s="2176">
        <v>0</v>
      </c>
      <c r="P90" s="2177">
        <v>0</v>
      </c>
      <c r="Q90" s="2177">
        <v>0</v>
      </c>
      <c r="R90" s="2177">
        <v>0</v>
      </c>
      <c r="S90" s="2177">
        <v>0</v>
      </c>
      <c r="T90" s="2177">
        <v>0</v>
      </c>
      <c r="U90" s="2177">
        <v>0</v>
      </c>
      <c r="V90" s="2177">
        <v>0</v>
      </c>
      <c r="W90" s="2177">
        <v>0</v>
      </c>
      <c r="X90" s="2177">
        <v>0</v>
      </c>
      <c r="Y90" s="2177">
        <v>0</v>
      </c>
      <c r="Z90" s="2177">
        <v>0</v>
      </c>
      <c r="AA90" s="2177">
        <v>0</v>
      </c>
      <c r="AB90" s="2177">
        <v>0</v>
      </c>
      <c r="AC90" s="2177">
        <v>0</v>
      </c>
      <c r="AD90" s="2177">
        <v>0</v>
      </c>
      <c r="AE90" s="2177"/>
      <c r="AF90" s="2177"/>
      <c r="AG90" s="2177"/>
      <c r="AH90" s="2177"/>
      <c r="AI90" s="2178">
        <f t="shared" si="3"/>
        <v>0</v>
      </c>
      <c r="AJ90" s="2186">
        <f t="shared" si="6"/>
        <v>0</v>
      </c>
      <c r="AK90" s="2180">
        <f t="shared" si="7"/>
        <v>0</v>
      </c>
      <c r="AL90" s="2181"/>
      <c r="AM90" s="2165"/>
      <c r="AN90" s="2169"/>
      <c r="AO90" s="2169"/>
    </row>
    <row r="91" spans="1:44" s="2174" customFormat="1" ht="51" customHeight="1">
      <c r="A91" s="2165"/>
      <c r="B91" s="2165"/>
      <c r="C91" s="2187" t="s">
        <v>608</v>
      </c>
      <c r="D91" s="2188">
        <f>SUM(D11:D88)</f>
        <v>3840</v>
      </c>
      <c r="E91" s="2188">
        <f>SUM(E11:E88)</f>
        <v>4365</v>
      </c>
      <c r="F91" s="2188">
        <f t="shared" ref="F91:AI91" si="8">SUM(F11:F90)</f>
        <v>4947</v>
      </c>
      <c r="G91" s="2188">
        <f t="shared" si="8"/>
        <v>3963</v>
      </c>
      <c r="H91" s="2188">
        <f t="shared" si="8"/>
        <v>2255</v>
      </c>
      <c r="I91" s="2188">
        <f t="shared" si="8"/>
        <v>2858</v>
      </c>
      <c r="J91" s="2188">
        <f t="shared" si="8"/>
        <v>3594</v>
      </c>
      <c r="K91" s="2188">
        <f t="shared" si="8"/>
        <v>3083</v>
      </c>
      <c r="L91" s="2188">
        <f t="shared" si="8"/>
        <v>3095</v>
      </c>
      <c r="M91" s="2188">
        <f t="shared" si="8"/>
        <v>3466</v>
      </c>
      <c r="N91" s="2188">
        <f t="shared" si="8"/>
        <v>4266</v>
      </c>
      <c r="O91" s="2188">
        <f t="shared" si="8"/>
        <v>4389</v>
      </c>
      <c r="P91" s="2188">
        <f t="shared" si="8"/>
        <v>1389</v>
      </c>
      <c r="Q91" s="2188">
        <f t="shared" si="8"/>
        <v>859</v>
      </c>
      <c r="R91" s="2188">
        <f t="shared" si="8"/>
        <v>1770</v>
      </c>
      <c r="S91" s="2188">
        <f t="shared" si="8"/>
        <v>5656</v>
      </c>
      <c r="T91" s="2188">
        <f t="shared" si="8"/>
        <v>4090</v>
      </c>
      <c r="U91" s="2188">
        <f t="shared" si="8"/>
        <v>4240</v>
      </c>
      <c r="V91" s="2188">
        <f t="shared" si="8"/>
        <v>3744</v>
      </c>
      <c r="W91" s="2188">
        <f t="shared" si="8"/>
        <v>5567</v>
      </c>
      <c r="X91" s="2188">
        <f t="shared" si="8"/>
        <v>4470</v>
      </c>
      <c r="Y91" s="2188">
        <f t="shared" si="8"/>
        <v>5363</v>
      </c>
      <c r="Z91" s="2188">
        <f t="shared" si="8"/>
        <v>4955</v>
      </c>
      <c r="AA91" s="2188">
        <f t="shared" si="8"/>
        <v>6715</v>
      </c>
      <c r="AB91" s="2188">
        <f t="shared" si="8"/>
        <v>5812</v>
      </c>
      <c r="AC91" s="2188">
        <f t="shared" si="8"/>
        <v>5993</v>
      </c>
      <c r="AD91" s="2188">
        <f t="shared" si="8"/>
        <v>6072</v>
      </c>
      <c r="AE91" s="2188">
        <f t="shared" si="8"/>
        <v>11371</v>
      </c>
      <c r="AF91" s="2188">
        <f t="shared" si="8"/>
        <v>6257</v>
      </c>
      <c r="AG91" s="2188">
        <f t="shared" si="8"/>
        <v>4628</v>
      </c>
      <c r="AH91" s="2188">
        <f t="shared" si="8"/>
        <v>0</v>
      </c>
      <c r="AI91" s="2188">
        <f t="shared" si="8"/>
        <v>133072</v>
      </c>
      <c r="AJ91" s="2189"/>
      <c r="AK91" s="2189">
        <f>SUM(AK11:AK90)</f>
        <v>63947.698976899337</v>
      </c>
      <c r="AL91" s="2165"/>
      <c r="AM91" s="2165"/>
      <c r="AN91" s="2171"/>
      <c r="AO91" s="2190"/>
    </row>
    <row r="92" spans="1:44" s="2174" customFormat="1" ht="51" customHeight="1">
      <c r="A92" s="2156"/>
      <c r="B92" s="2156"/>
      <c r="C92" s="2191"/>
      <c r="D92" s="2192"/>
      <c r="E92" s="2192"/>
      <c r="F92" s="2192"/>
      <c r="G92" s="2192"/>
      <c r="H92" s="2192"/>
      <c r="I92" s="2192"/>
      <c r="J92" s="2192"/>
      <c r="K92" s="2192"/>
      <c r="L92" s="2192"/>
      <c r="M92" s="2192"/>
      <c r="N92" s="2192"/>
      <c r="O92" s="2192"/>
      <c r="P92" s="2192"/>
      <c r="Q92" s="2192"/>
      <c r="R92" s="2192"/>
      <c r="S92" s="2192"/>
      <c r="T92" s="2192"/>
      <c r="U92" s="2192"/>
      <c r="V92" s="2192"/>
      <c r="W92" s="2192"/>
      <c r="X92" s="2192"/>
      <c r="Y92" s="2192"/>
      <c r="Z92" s="2192"/>
      <c r="AA92" s="2192"/>
      <c r="AB92" s="2192"/>
      <c r="AC92" s="2192"/>
      <c r="AD92" s="2192"/>
      <c r="AE92" s="2192"/>
      <c r="AF92" s="2192"/>
      <c r="AG92" s="2192"/>
      <c r="AH92" s="2192"/>
      <c r="AI92" s="2192"/>
      <c r="AJ92" s="2192"/>
      <c r="AK92" s="2192"/>
      <c r="AL92" s="2192"/>
      <c r="AM92" s="2192"/>
      <c r="AN92" s="2157"/>
    </row>
    <row r="93" spans="1:44" s="2158" customFormat="1" ht="51" customHeight="1">
      <c r="A93" s="2156"/>
      <c r="B93" s="2156"/>
      <c r="C93" s="2193" t="s">
        <v>6</v>
      </c>
      <c r="D93" s="2535" t="s">
        <v>3333</v>
      </c>
      <c r="E93" s="2536"/>
      <c r="F93" s="2536"/>
      <c r="G93" s="2536"/>
      <c r="H93" s="2536"/>
      <c r="I93" s="2536"/>
      <c r="J93" s="2537"/>
      <c r="K93" s="2535" t="s">
        <v>3334</v>
      </c>
      <c r="L93" s="2536"/>
      <c r="M93" s="2536"/>
      <c r="N93" s="2536"/>
      <c r="O93" s="2536"/>
      <c r="P93" s="2537"/>
      <c r="Q93" s="2538" t="s">
        <v>3335</v>
      </c>
      <c r="R93" s="2538"/>
      <c r="S93" s="2538"/>
      <c r="T93" s="2538"/>
      <c r="U93" s="2538"/>
      <c r="V93" s="2538"/>
      <c r="W93" s="2538" t="s">
        <v>3336</v>
      </c>
      <c r="X93" s="2538"/>
      <c r="Y93" s="2538"/>
      <c r="Z93" s="2538"/>
      <c r="AA93" s="2538"/>
      <c r="AB93" s="2538"/>
      <c r="AC93" s="2538" t="s">
        <v>3337</v>
      </c>
      <c r="AD93" s="2538"/>
      <c r="AE93" s="2538"/>
      <c r="AF93" s="2538"/>
      <c r="AG93" s="2538"/>
      <c r="AH93" s="2538"/>
      <c r="AI93" s="2538"/>
      <c r="AJ93" s="2538"/>
      <c r="AK93" s="2535" t="s">
        <v>2935</v>
      </c>
      <c r="AL93" s="2536"/>
      <c r="AM93" s="2537"/>
      <c r="AN93" s="2157"/>
    </row>
    <row r="94" spans="1:44" s="2158" customFormat="1" ht="51" customHeight="1">
      <c r="A94" s="2156"/>
      <c r="B94" s="2156"/>
      <c r="C94" s="2198" t="s">
        <v>2408</v>
      </c>
      <c r="D94" s="2519" t="s">
        <v>3338</v>
      </c>
      <c r="E94" s="2520"/>
      <c r="F94" s="2520"/>
      <c r="G94" s="2520"/>
      <c r="H94" s="2520"/>
      <c r="I94" s="2520"/>
      <c r="J94" s="2521"/>
      <c r="K94" s="2519"/>
      <c r="L94" s="2520"/>
      <c r="M94" s="2520"/>
      <c r="N94" s="2520"/>
      <c r="O94" s="2520"/>
      <c r="P94" s="2521"/>
      <c r="Q94" s="2539"/>
      <c r="R94" s="2539"/>
      <c r="S94" s="2539"/>
      <c r="T94" s="2539"/>
      <c r="U94" s="2539"/>
      <c r="V94" s="2539"/>
      <c r="W94" s="2539"/>
      <c r="X94" s="2539"/>
      <c r="Y94" s="2539"/>
      <c r="Z94" s="2539"/>
      <c r="AA94" s="2539"/>
      <c r="AB94" s="2539"/>
      <c r="AC94" s="2540">
        <f>+SUM(AC95:AJ98)</f>
        <v>99.87826781458854</v>
      </c>
      <c r="AD94" s="2539"/>
      <c r="AE94" s="2539"/>
      <c r="AF94" s="2539"/>
      <c r="AG94" s="2539"/>
      <c r="AH94" s="2539"/>
      <c r="AI94" s="2539"/>
      <c r="AJ94" s="2539"/>
      <c r="AK94" s="2525"/>
      <c r="AL94" s="2526"/>
      <c r="AM94" s="2527"/>
      <c r="AN94" s="2157"/>
    </row>
    <row r="95" spans="1:44" s="2174" customFormat="1" ht="51" customHeight="1">
      <c r="A95" s="2156"/>
      <c r="B95" s="2156"/>
      <c r="C95" s="2199"/>
      <c r="D95" s="2519">
        <f>COUNTIF($AL$11:$AL$88,K95)</f>
        <v>37</v>
      </c>
      <c r="E95" s="2520"/>
      <c r="F95" s="2520"/>
      <c r="G95" s="2520"/>
      <c r="H95" s="2520"/>
      <c r="I95" s="2520"/>
      <c r="J95" s="2521"/>
      <c r="K95" s="2519" t="s">
        <v>1959</v>
      </c>
      <c r="L95" s="2520"/>
      <c r="M95" s="2520"/>
      <c r="N95" s="2520"/>
      <c r="O95" s="2520"/>
      <c r="P95" s="2521"/>
      <c r="Q95" s="2528">
        <f>SUMIF($AL$11:$AL$88,$K95,$AI$11:$AI$88)</f>
        <v>64691</v>
      </c>
      <c r="R95" s="2529"/>
      <c r="S95" s="2529"/>
      <c r="T95" s="2529"/>
      <c r="U95" s="2529"/>
      <c r="V95" s="2530"/>
      <c r="W95" s="2528">
        <f>SUMIF($AL$11:AL$88,$K95,$AK$11:AK$88)</f>
        <v>31087.235448503452</v>
      </c>
      <c r="X95" s="2529"/>
      <c r="Y95" s="2529"/>
      <c r="Z95" s="2529"/>
      <c r="AA95" s="2529"/>
      <c r="AB95" s="2530"/>
      <c r="AC95" s="2531">
        <f>W95/W101*100</f>
        <v>48.613532536539758</v>
      </c>
      <c r="AD95" s="2532"/>
      <c r="AE95" s="2532"/>
      <c r="AF95" s="2532"/>
      <c r="AG95" s="2532"/>
      <c r="AH95" s="2532"/>
      <c r="AI95" s="2532"/>
      <c r="AJ95" s="2533"/>
      <c r="AK95" s="2525"/>
      <c r="AL95" s="2526"/>
      <c r="AM95" s="2527"/>
      <c r="AN95" s="2157">
        <v>4079.924</v>
      </c>
      <c r="AO95" s="2174">
        <f>W95*AN95</f>
        <v>126833558</v>
      </c>
      <c r="AP95" s="2174">
        <v>126833558</v>
      </c>
      <c r="AQ95" s="2211">
        <f>+AP95-AO95</f>
        <v>0</v>
      </c>
      <c r="AR95" s="2174">
        <f>AQ95/AN95</f>
        <v>0</v>
      </c>
    </row>
    <row r="96" spans="1:44" s="2174" customFormat="1" ht="51" customHeight="1">
      <c r="A96" s="2156"/>
      <c r="B96" s="2156"/>
      <c r="C96" s="2199"/>
      <c r="D96" s="2519">
        <f>COUNTIF($AL$11:$AL$88,K96)</f>
        <v>39</v>
      </c>
      <c r="E96" s="2520"/>
      <c r="F96" s="2520"/>
      <c r="G96" s="2520"/>
      <c r="H96" s="2520"/>
      <c r="I96" s="2520"/>
      <c r="J96" s="2521"/>
      <c r="K96" s="2519" t="s">
        <v>1957</v>
      </c>
      <c r="L96" s="2520"/>
      <c r="M96" s="2520"/>
      <c r="N96" s="2520"/>
      <c r="O96" s="2520"/>
      <c r="P96" s="2521"/>
      <c r="Q96" s="2528">
        <f>SUMIF($AL$11:$AL$88,$K96,$AI$11:$AI$88)</f>
        <v>66441</v>
      </c>
      <c r="R96" s="2529"/>
      <c r="S96" s="2529"/>
      <c r="T96" s="2529"/>
      <c r="U96" s="2529"/>
      <c r="V96" s="2530"/>
      <c r="W96" s="2528">
        <f>SUMIF($AL$11:AL$88,$K96,$AK$11:AK$88)</f>
        <v>31928.197352492942</v>
      </c>
      <c r="X96" s="2529"/>
      <c r="Y96" s="2529"/>
      <c r="Z96" s="2529"/>
      <c r="AA96" s="2529"/>
      <c r="AB96" s="2530"/>
      <c r="AC96" s="2531">
        <f>W96/W101*100</f>
        <v>49.928610197572226</v>
      </c>
      <c r="AD96" s="2532"/>
      <c r="AE96" s="2532"/>
      <c r="AF96" s="2532"/>
      <c r="AG96" s="2532"/>
      <c r="AH96" s="2532"/>
      <c r="AI96" s="2532"/>
      <c r="AJ96" s="2533"/>
      <c r="AK96" s="2525"/>
      <c r="AL96" s="2526"/>
      <c r="AM96" s="2527"/>
      <c r="AN96" s="2157">
        <v>3879.2719999999999</v>
      </c>
      <c r="AO96" s="2174">
        <f t="shared" ref="AO96" si="9">W96*AN96</f>
        <v>123858162</v>
      </c>
      <c r="AP96" s="2174">
        <v>123858162</v>
      </c>
      <c r="AQ96" s="2211">
        <f t="shared" ref="AQ96:AQ97" si="10">+AP96-AO96</f>
        <v>0</v>
      </c>
      <c r="AR96" s="2174">
        <f t="shared" ref="AR96:AR97" si="11">AQ96/AN96</f>
        <v>0</v>
      </c>
    </row>
    <row r="97" spans="1:44" s="2174" customFormat="1" ht="51" customHeight="1">
      <c r="A97" s="2156"/>
      <c r="B97" s="2156"/>
      <c r="C97" s="2199"/>
      <c r="D97" s="2519">
        <v>1</v>
      </c>
      <c r="E97" s="2520"/>
      <c r="F97" s="2520"/>
      <c r="G97" s="2520"/>
      <c r="H97" s="2520"/>
      <c r="I97" s="2520"/>
      <c r="J97" s="2521"/>
      <c r="K97" s="2519" t="s">
        <v>1958</v>
      </c>
      <c r="L97" s="2520"/>
      <c r="M97" s="2520"/>
      <c r="N97" s="2520"/>
      <c r="O97" s="2520"/>
      <c r="P97" s="2521"/>
      <c r="Q97" s="2528">
        <f>+AI24</f>
        <v>1778</v>
      </c>
      <c r="R97" s="2529"/>
      <c r="S97" s="2529"/>
      <c r="T97" s="2529"/>
      <c r="U97" s="2529"/>
      <c r="V97" s="2530"/>
      <c r="W97" s="2528">
        <f>+AK24</f>
        <v>854.42124441800001</v>
      </c>
      <c r="X97" s="2529"/>
      <c r="Y97" s="2529"/>
      <c r="Z97" s="2529"/>
      <c r="AA97" s="2529"/>
      <c r="AB97" s="2530"/>
      <c r="AC97" s="2531">
        <f>W97/W101*100</f>
        <v>1.3361250804765534</v>
      </c>
      <c r="AD97" s="2532"/>
      <c r="AE97" s="2532"/>
      <c r="AF97" s="2532"/>
      <c r="AG97" s="2532"/>
      <c r="AH97" s="2532"/>
      <c r="AI97" s="2532"/>
      <c r="AJ97" s="2533"/>
      <c r="AK97" s="2525"/>
      <c r="AL97" s="2526"/>
      <c r="AM97" s="2527"/>
      <c r="AN97" s="2157">
        <v>3678.6200000000003</v>
      </c>
      <c r="AO97" s="2213">
        <f>(W97+W100)*AN97</f>
        <v>3429453</v>
      </c>
      <c r="AP97" s="2174">
        <v>3429453</v>
      </c>
      <c r="AQ97" s="2212">
        <f t="shared" si="10"/>
        <v>0</v>
      </c>
      <c r="AR97" s="2174">
        <f t="shared" si="11"/>
        <v>0</v>
      </c>
    </row>
    <row r="98" spans="1:44" s="2174" customFormat="1" ht="51" customHeight="1">
      <c r="A98" s="2156"/>
      <c r="B98" s="2156"/>
      <c r="C98" s="2199"/>
      <c r="D98" s="2519">
        <f>COUNTIF($AL$11:$AL$88,K98)</f>
        <v>0</v>
      </c>
      <c r="E98" s="2520"/>
      <c r="F98" s="2520"/>
      <c r="G98" s="2520"/>
      <c r="H98" s="2520"/>
      <c r="I98" s="2520"/>
      <c r="J98" s="2521"/>
      <c r="K98" s="2519" t="s">
        <v>2359</v>
      </c>
      <c r="L98" s="2520"/>
      <c r="M98" s="2520"/>
      <c r="N98" s="2520"/>
      <c r="O98" s="2520"/>
      <c r="P98" s="2521"/>
      <c r="Q98" s="2528">
        <f>SUMIF($AL$11:$AL$88,$K98,$AI$11:$AI$88)</f>
        <v>0</v>
      </c>
      <c r="R98" s="2529"/>
      <c r="S98" s="2529"/>
      <c r="T98" s="2529"/>
      <c r="U98" s="2529"/>
      <c r="V98" s="2530"/>
      <c r="W98" s="2528">
        <f>SUMIF($AL$11:AL$88,$K98,$AK$11:AK$88)</f>
        <v>0</v>
      </c>
      <c r="X98" s="2529"/>
      <c r="Y98" s="2529"/>
      <c r="Z98" s="2529"/>
      <c r="AA98" s="2529"/>
      <c r="AB98" s="2530"/>
      <c r="AC98" s="2531">
        <f>W98/W101*100</f>
        <v>0</v>
      </c>
      <c r="AD98" s="2532"/>
      <c r="AE98" s="2532"/>
      <c r="AF98" s="2532"/>
      <c r="AG98" s="2532"/>
      <c r="AH98" s="2532"/>
      <c r="AI98" s="2532"/>
      <c r="AJ98" s="2533"/>
      <c r="AK98" s="2525"/>
      <c r="AL98" s="2526"/>
      <c r="AM98" s="2527"/>
      <c r="AN98" s="2157"/>
    </row>
    <row r="99" spans="1:44" s="2174" customFormat="1" ht="51" customHeight="1">
      <c r="A99" s="2156"/>
      <c r="B99" s="2156"/>
      <c r="C99" s="2198" t="s">
        <v>2805</v>
      </c>
      <c r="D99" s="2519" t="s">
        <v>2542</v>
      </c>
      <c r="E99" s="2520"/>
      <c r="F99" s="2520"/>
      <c r="G99" s="2520"/>
      <c r="H99" s="2520"/>
      <c r="I99" s="2520"/>
      <c r="J99" s="2521"/>
      <c r="K99" s="2519"/>
      <c r="L99" s="2520"/>
      <c r="M99" s="2520"/>
      <c r="N99" s="2520"/>
      <c r="O99" s="2520"/>
      <c r="P99" s="2521"/>
      <c r="Q99" s="2528"/>
      <c r="R99" s="2529"/>
      <c r="S99" s="2529"/>
      <c r="T99" s="2529"/>
      <c r="U99" s="2529"/>
      <c r="V99" s="2530"/>
      <c r="W99" s="2528"/>
      <c r="X99" s="2529"/>
      <c r="Y99" s="2529"/>
      <c r="Z99" s="2529"/>
      <c r="AA99" s="2529"/>
      <c r="AB99" s="2530"/>
      <c r="AC99" s="2531">
        <f>+AC100</f>
        <v>0.12173218541145792</v>
      </c>
      <c r="AD99" s="2532"/>
      <c r="AE99" s="2532"/>
      <c r="AF99" s="2532"/>
      <c r="AG99" s="2532"/>
      <c r="AH99" s="2532"/>
      <c r="AI99" s="2532"/>
      <c r="AJ99" s="2533"/>
      <c r="AK99" s="2525"/>
      <c r="AL99" s="2526"/>
      <c r="AM99" s="2527"/>
      <c r="AN99" s="2157"/>
    </row>
    <row r="100" spans="1:44" s="2174" customFormat="1" ht="51" customHeight="1">
      <c r="A100" s="2156"/>
      <c r="B100" s="2156"/>
      <c r="C100" s="2198">
        <v>1</v>
      </c>
      <c r="D100" s="2519">
        <v>1</v>
      </c>
      <c r="E100" s="2520"/>
      <c r="F100" s="2520"/>
      <c r="G100" s="2520"/>
      <c r="H100" s="2520"/>
      <c r="I100" s="2520"/>
      <c r="J100" s="2521"/>
      <c r="K100" s="2519" t="s">
        <v>1958</v>
      </c>
      <c r="L100" s="2520"/>
      <c r="M100" s="2520"/>
      <c r="N100" s="2520"/>
      <c r="O100" s="2520"/>
      <c r="P100" s="2521"/>
      <c r="Q100" s="2528">
        <f>+AI90+AI89+AI45</f>
        <v>162</v>
      </c>
      <c r="R100" s="2529"/>
      <c r="S100" s="2529"/>
      <c r="T100" s="2529"/>
      <c r="U100" s="2529"/>
      <c r="V100" s="2530"/>
      <c r="W100" s="2528">
        <f>+AK90+AK89+AK45</f>
        <v>77.844931484920053</v>
      </c>
      <c r="X100" s="2529"/>
      <c r="Y100" s="2529"/>
      <c r="Z100" s="2529"/>
      <c r="AA100" s="2529"/>
      <c r="AB100" s="2530"/>
      <c r="AC100" s="2531">
        <f>W100/W101*100</f>
        <v>0.12173218541145792</v>
      </c>
      <c r="AD100" s="2532"/>
      <c r="AE100" s="2532"/>
      <c r="AF100" s="2532"/>
      <c r="AG100" s="2532"/>
      <c r="AH100" s="2532"/>
      <c r="AI100" s="2532"/>
      <c r="AJ100" s="2533"/>
      <c r="AK100" s="2525"/>
      <c r="AL100" s="2526"/>
      <c r="AM100" s="2527"/>
      <c r="AN100" s="2157"/>
    </row>
    <row r="101" spans="1:44" s="2174" customFormat="1" ht="51" customHeight="1">
      <c r="A101" s="2156"/>
      <c r="B101" s="2156"/>
      <c r="C101" s="2198" t="s">
        <v>608</v>
      </c>
      <c r="D101" s="2519">
        <f>D95+D96+D97+D98+D100</f>
        <v>78</v>
      </c>
      <c r="E101" s="2520"/>
      <c r="F101" s="2520"/>
      <c r="G101" s="2520"/>
      <c r="H101" s="2520"/>
      <c r="I101" s="2520"/>
      <c r="J101" s="2521"/>
      <c r="K101" s="2519"/>
      <c r="L101" s="2520"/>
      <c r="M101" s="2520"/>
      <c r="N101" s="2520"/>
      <c r="O101" s="2520"/>
      <c r="P101" s="2521"/>
      <c r="Q101" s="2522">
        <f>SUM(Q95:V100)</f>
        <v>133072</v>
      </c>
      <c r="R101" s="2523"/>
      <c r="S101" s="2523"/>
      <c r="T101" s="2523"/>
      <c r="U101" s="2523"/>
      <c r="V101" s="2524"/>
      <c r="W101" s="2522">
        <f>SUM(W95:AB100)</f>
        <v>63947.698976899315</v>
      </c>
      <c r="X101" s="2523"/>
      <c r="Y101" s="2523"/>
      <c r="Z101" s="2523"/>
      <c r="AA101" s="2523"/>
      <c r="AB101" s="2524"/>
      <c r="AC101" s="2522">
        <f>+AC94+AC99</f>
        <v>100</v>
      </c>
      <c r="AD101" s="2523"/>
      <c r="AE101" s="2523"/>
      <c r="AF101" s="2523"/>
      <c r="AG101" s="2523"/>
      <c r="AH101" s="2523"/>
      <c r="AI101" s="2523"/>
      <c r="AJ101" s="2524"/>
      <c r="AK101" s="2519"/>
      <c r="AL101" s="2520"/>
      <c r="AM101" s="2521"/>
      <c r="AN101" s="2157"/>
    </row>
    <row r="102" spans="1:44" s="1727" customFormat="1" ht="26.25" customHeight="1">
      <c r="A102" s="2210"/>
      <c r="B102" s="2210"/>
      <c r="C102" s="2200"/>
      <c r="D102" s="2201"/>
      <c r="E102" s="2201"/>
      <c r="F102" s="2201"/>
      <c r="G102" s="2201"/>
      <c r="H102" s="2201"/>
      <c r="I102" s="2201"/>
      <c r="J102" s="2201"/>
      <c r="K102" s="2201"/>
      <c r="L102" s="2201"/>
      <c r="M102" s="2201"/>
      <c r="N102" s="2201"/>
      <c r="O102" s="2201"/>
      <c r="P102" s="2201"/>
      <c r="Q102" s="2201"/>
      <c r="R102" s="2201"/>
      <c r="S102" s="2201"/>
      <c r="T102" s="2201"/>
      <c r="U102" s="2201"/>
      <c r="V102" s="2201"/>
      <c r="W102" s="2201"/>
      <c r="X102" s="2201"/>
      <c r="Y102" s="2201"/>
      <c r="Z102" s="2201"/>
      <c r="AA102" s="2201"/>
      <c r="AB102" s="2201"/>
      <c r="AC102" s="2201"/>
      <c r="AD102" s="2201"/>
      <c r="AE102" s="2201"/>
      <c r="AF102" s="2201"/>
      <c r="AG102" s="2201"/>
      <c r="AH102" s="2201"/>
      <c r="AJ102" s="2202" t="s">
        <v>3317</v>
      </c>
      <c r="AL102" s="2201"/>
      <c r="AM102" s="2203"/>
    </row>
    <row r="103" spans="1:44" s="2205" customFormat="1" ht="26.25">
      <c r="C103" s="2204"/>
      <c r="AE103" s="2206"/>
      <c r="AF103" s="2206"/>
      <c r="AG103" s="2206"/>
      <c r="AH103" s="2206"/>
      <c r="AI103" s="2202"/>
      <c r="AJ103" s="2202"/>
      <c r="AK103" s="1727"/>
      <c r="AL103" s="2202"/>
      <c r="AM103" s="2206"/>
      <c r="AN103" s="2206"/>
      <c r="AO103" s="2206"/>
      <c r="AP103" s="2206"/>
    </row>
    <row r="104" spans="1:44" s="1727" customFormat="1" ht="38.25" customHeight="1">
      <c r="A104" s="2164"/>
      <c r="B104" s="2164"/>
      <c r="C104" s="1727" t="s">
        <v>3497</v>
      </c>
      <c r="D104" s="2207"/>
      <c r="E104" s="2207"/>
      <c r="I104" s="1727" t="s">
        <v>2486</v>
      </c>
      <c r="O104" s="2207" t="s">
        <v>3339</v>
      </c>
      <c r="U104" s="2207" t="s">
        <v>3340</v>
      </c>
      <c r="V104" s="2207"/>
      <c r="X104" s="2207"/>
      <c r="Z104" s="2207"/>
      <c r="AA104" s="2207"/>
      <c r="AC104" s="2207" t="s">
        <v>2478</v>
      </c>
      <c r="AH104" s="2208" t="s">
        <v>612</v>
      </c>
      <c r="AI104" s="2208"/>
      <c r="AJ104" s="2208"/>
      <c r="AK104" s="2207" t="s">
        <v>612</v>
      </c>
      <c r="AL104" s="2208"/>
      <c r="AM104" s="2209"/>
      <c r="AN104" s="2208"/>
      <c r="AO104" s="2208"/>
      <c r="AP104" s="2208"/>
    </row>
    <row r="105" spans="1:44" ht="23.25">
      <c r="A105" s="1680"/>
      <c r="B105" s="1680"/>
      <c r="C105" s="1681"/>
      <c r="D105" s="1682"/>
      <c r="E105" s="1682"/>
      <c r="F105" s="1682"/>
      <c r="G105" s="1682"/>
      <c r="H105" s="1682"/>
      <c r="I105" s="1682"/>
      <c r="J105" s="1682"/>
      <c r="K105" s="1682"/>
      <c r="L105" s="1682"/>
      <c r="M105" s="1682"/>
      <c r="N105" s="1682"/>
      <c r="O105" s="1682"/>
      <c r="P105" s="1682"/>
      <c r="Q105" s="1682"/>
      <c r="R105" s="1682"/>
      <c r="S105" s="1682"/>
      <c r="T105" s="1682"/>
      <c r="U105" s="1682"/>
      <c r="V105" s="1682"/>
      <c r="W105" s="1682"/>
      <c r="X105" s="1682"/>
      <c r="Y105" s="1682"/>
      <c r="Z105" s="1682"/>
      <c r="AA105" s="1682"/>
      <c r="AB105" s="1682"/>
      <c r="AC105" s="1682"/>
      <c r="AD105" s="1682"/>
      <c r="AE105" s="1682"/>
      <c r="AF105" s="1682"/>
      <c r="AG105" s="1682"/>
      <c r="AH105" s="1682"/>
      <c r="AI105" s="1682"/>
      <c r="AJ105" s="1682"/>
      <c r="AK105" s="1682"/>
      <c r="AL105" s="1682"/>
      <c r="AM105" s="1682"/>
    </row>
    <row r="106" spans="1:44" ht="23.25">
      <c r="A106" s="1680"/>
      <c r="B106" s="1680"/>
      <c r="C106" s="1681"/>
      <c r="D106" s="1682"/>
      <c r="E106" s="1682"/>
      <c r="F106" s="1682"/>
      <c r="G106" s="1682"/>
      <c r="H106" s="1682"/>
      <c r="I106" s="1682"/>
      <c r="J106" s="1682"/>
      <c r="K106" s="1682"/>
      <c r="L106" s="1682"/>
      <c r="M106" s="1682"/>
      <c r="N106" s="1682"/>
      <c r="O106" s="1682"/>
      <c r="P106" s="1682"/>
      <c r="Q106" s="1682"/>
      <c r="R106" s="1682"/>
      <c r="S106" s="1682"/>
      <c r="T106" s="1682"/>
      <c r="U106" s="1682"/>
      <c r="V106" s="1682"/>
      <c r="W106" s="1682"/>
      <c r="X106" s="1682"/>
      <c r="Y106" s="1682"/>
      <c r="Z106" s="1682"/>
      <c r="AA106" s="1682"/>
      <c r="AB106" s="1682"/>
      <c r="AC106" s="1682"/>
      <c r="AD106" s="1682"/>
      <c r="AE106" s="1682"/>
      <c r="AF106" s="1682"/>
      <c r="AG106" s="1682"/>
      <c r="AH106" s="1682"/>
      <c r="AI106" s="1682"/>
      <c r="AJ106" s="1682"/>
      <c r="AK106" s="1682"/>
      <c r="AL106" s="1682"/>
      <c r="AM106" s="1682"/>
    </row>
    <row r="107" spans="1:44" hidden="1">
      <c r="D107" s="2518" t="s">
        <v>3341</v>
      </c>
      <c r="E107" s="2518"/>
      <c r="F107" s="2518"/>
      <c r="G107" s="2518"/>
      <c r="H107" s="2518"/>
      <c r="I107" s="2518"/>
      <c r="J107" s="2518"/>
      <c r="K107" s="2518"/>
      <c r="L107" s="2518"/>
      <c r="M107" s="2518"/>
      <c r="N107" s="2518"/>
      <c r="O107" s="2518"/>
      <c r="P107" s="2518"/>
      <c r="Q107" s="2518"/>
      <c r="R107" s="2518"/>
      <c r="S107" s="2518"/>
      <c r="T107" s="2518"/>
      <c r="U107" s="2518"/>
      <c r="V107" s="2518"/>
      <c r="W107" s="2518"/>
      <c r="X107" s="2518"/>
      <c r="Y107" s="2518"/>
      <c r="Z107" s="2518"/>
      <c r="AA107" s="2518"/>
      <c r="AB107" s="2518"/>
      <c r="AC107" s="2518"/>
      <c r="AD107" s="2518"/>
      <c r="AE107" s="2518"/>
      <c r="AF107" s="2518"/>
      <c r="AG107" s="2518"/>
      <c r="AH107" s="2518"/>
      <c r="AI107" s="2518"/>
      <c r="AJ107" s="2518"/>
      <c r="AK107" s="2518"/>
      <c r="AL107" s="1709"/>
    </row>
    <row r="108" spans="1:44" hidden="1">
      <c r="D108" s="2518"/>
      <c r="E108" s="2518"/>
      <c r="F108" s="2518"/>
      <c r="G108" s="2518"/>
      <c r="H108" s="2518"/>
      <c r="I108" s="2518"/>
      <c r="J108" s="2518"/>
      <c r="K108" s="2518"/>
      <c r="L108" s="2518"/>
      <c r="M108" s="2518"/>
      <c r="N108" s="2518"/>
      <c r="O108" s="2518"/>
      <c r="P108" s="2518"/>
      <c r="Q108" s="2518"/>
      <c r="R108" s="2518"/>
      <c r="S108" s="2518"/>
      <c r="T108" s="2518"/>
      <c r="U108" s="2518"/>
      <c r="V108" s="2518"/>
      <c r="W108" s="2518"/>
      <c r="X108" s="2518"/>
      <c r="Y108" s="2518"/>
      <c r="Z108" s="2518"/>
      <c r="AA108" s="2518"/>
      <c r="AB108" s="2518"/>
      <c r="AC108" s="2518"/>
      <c r="AD108" s="2518"/>
      <c r="AE108" s="2518"/>
      <c r="AF108" s="2518"/>
      <c r="AG108" s="2518"/>
      <c r="AH108" s="2518"/>
      <c r="AI108" s="2518"/>
      <c r="AJ108" s="2518"/>
      <c r="AK108" s="2518"/>
      <c r="AL108" s="1709"/>
    </row>
    <row r="109" spans="1:44" hidden="1">
      <c r="D109" s="2518"/>
      <c r="E109" s="2518"/>
      <c r="F109" s="2518"/>
      <c r="G109" s="2518"/>
      <c r="H109" s="2518"/>
      <c r="I109" s="2518"/>
      <c r="J109" s="2518"/>
      <c r="K109" s="2518"/>
      <c r="L109" s="2518"/>
      <c r="M109" s="2518"/>
      <c r="N109" s="2518"/>
      <c r="O109" s="2518"/>
      <c r="P109" s="2518"/>
      <c r="Q109" s="2518"/>
      <c r="R109" s="2518"/>
      <c r="S109" s="2518"/>
      <c r="T109" s="2518"/>
      <c r="U109" s="2518"/>
      <c r="V109" s="2518"/>
      <c r="W109" s="2518"/>
      <c r="X109" s="2518"/>
      <c r="Y109" s="2518"/>
      <c r="Z109" s="2518"/>
      <c r="AA109" s="2518"/>
      <c r="AB109" s="2518"/>
      <c r="AC109" s="2518"/>
      <c r="AD109" s="2518"/>
      <c r="AE109" s="2518"/>
      <c r="AF109" s="2518"/>
      <c r="AG109" s="2518"/>
      <c r="AH109" s="2518"/>
      <c r="AI109" s="2518"/>
      <c r="AJ109" s="2518"/>
      <c r="AK109" s="2518"/>
      <c r="AL109" s="1709"/>
    </row>
    <row r="110" spans="1:44" hidden="1">
      <c r="D110" s="2518"/>
      <c r="E110" s="2518"/>
      <c r="F110" s="2518"/>
      <c r="G110" s="2518"/>
      <c r="H110" s="2518"/>
      <c r="I110" s="2518"/>
      <c r="J110" s="2518"/>
      <c r="K110" s="2518"/>
      <c r="L110" s="2518"/>
      <c r="M110" s="2518"/>
      <c r="N110" s="2518"/>
      <c r="O110" s="2518"/>
      <c r="P110" s="2518"/>
      <c r="Q110" s="2518"/>
      <c r="R110" s="2518"/>
      <c r="S110" s="2518"/>
      <c r="T110" s="2518"/>
      <c r="U110" s="2518"/>
      <c r="V110" s="2518"/>
      <c r="W110" s="2518"/>
      <c r="X110" s="2518"/>
      <c r="Y110" s="2518"/>
      <c r="Z110" s="2518"/>
      <c r="AA110" s="2518"/>
      <c r="AB110" s="2518"/>
      <c r="AC110" s="2518"/>
      <c r="AD110" s="2518"/>
      <c r="AE110" s="2518"/>
      <c r="AF110" s="2518"/>
      <c r="AG110" s="2518"/>
      <c r="AH110" s="2518"/>
      <c r="AI110" s="2518"/>
      <c r="AJ110" s="2518"/>
      <c r="AK110" s="2518"/>
      <c r="AL110" s="1709"/>
    </row>
    <row r="111" spans="1:44" hidden="1">
      <c r="C111" s="1711"/>
      <c r="D111" s="2518"/>
      <c r="E111" s="2518"/>
      <c r="F111" s="2518"/>
      <c r="G111" s="2518"/>
      <c r="H111" s="2518"/>
      <c r="I111" s="2518"/>
      <c r="J111" s="2518"/>
      <c r="K111" s="2518"/>
      <c r="L111" s="2518"/>
      <c r="M111" s="2518"/>
      <c r="N111" s="2518"/>
      <c r="O111" s="2518"/>
      <c r="P111" s="2518"/>
      <c r="Q111" s="2518"/>
      <c r="R111" s="2518"/>
      <c r="S111" s="2518"/>
      <c r="T111" s="2518"/>
      <c r="U111" s="2518"/>
      <c r="V111" s="2518"/>
      <c r="W111" s="2518"/>
      <c r="X111" s="2518"/>
      <c r="Y111" s="2518"/>
      <c r="Z111" s="2518"/>
      <c r="AA111" s="2518"/>
      <c r="AB111" s="2518"/>
      <c r="AC111" s="2518"/>
      <c r="AD111" s="2518"/>
      <c r="AE111" s="2518"/>
      <c r="AF111" s="2518"/>
      <c r="AG111" s="2518"/>
      <c r="AH111" s="2518"/>
      <c r="AI111" s="2518"/>
      <c r="AJ111" s="2518"/>
      <c r="AK111" s="2518"/>
      <c r="AL111" s="1709"/>
    </row>
    <row r="112" spans="1:44" hidden="1">
      <c r="D112" s="2518"/>
      <c r="E112" s="2518"/>
      <c r="F112" s="2518"/>
      <c r="G112" s="2518"/>
      <c r="H112" s="2518"/>
      <c r="I112" s="2518"/>
      <c r="J112" s="2518"/>
      <c r="K112" s="2518"/>
      <c r="L112" s="2518"/>
      <c r="M112" s="2518"/>
      <c r="N112" s="2518"/>
      <c r="O112" s="2518"/>
      <c r="P112" s="2518"/>
      <c r="Q112" s="2518"/>
      <c r="R112" s="2518"/>
      <c r="S112" s="2518"/>
      <c r="T112" s="2518"/>
      <c r="U112" s="2518"/>
      <c r="V112" s="2518"/>
      <c r="W112" s="2518"/>
      <c r="X112" s="2518"/>
      <c r="Y112" s="2518"/>
      <c r="Z112" s="2518"/>
      <c r="AA112" s="2518"/>
      <c r="AB112" s="2518"/>
      <c r="AC112" s="2518"/>
      <c r="AD112" s="2518"/>
      <c r="AE112" s="2518"/>
      <c r="AF112" s="2518"/>
      <c r="AG112" s="2518"/>
      <c r="AH112" s="2518"/>
      <c r="AI112" s="2518"/>
      <c r="AJ112" s="2518"/>
      <c r="AK112" s="2518"/>
      <c r="AL112" s="1709"/>
    </row>
    <row r="113" spans="4:38" hidden="1">
      <c r="D113" s="2518"/>
      <c r="E113" s="2518"/>
      <c r="F113" s="2518"/>
      <c r="G113" s="2518"/>
      <c r="H113" s="2518"/>
      <c r="I113" s="2518"/>
      <c r="J113" s="2518"/>
      <c r="K113" s="2518"/>
      <c r="L113" s="2518"/>
      <c r="M113" s="2518"/>
      <c r="N113" s="2518"/>
      <c r="O113" s="2518"/>
      <c r="P113" s="2518"/>
      <c r="Q113" s="2518"/>
      <c r="R113" s="2518"/>
      <c r="S113" s="2518"/>
      <c r="T113" s="2518"/>
      <c r="U113" s="2518"/>
      <c r="V113" s="2518"/>
      <c r="W113" s="2518"/>
      <c r="X113" s="2518"/>
      <c r="Y113" s="2518"/>
      <c r="Z113" s="2518"/>
      <c r="AA113" s="2518"/>
      <c r="AB113" s="2518"/>
      <c r="AC113" s="2518"/>
      <c r="AD113" s="2518"/>
      <c r="AE113" s="2518"/>
      <c r="AF113" s="2518"/>
      <c r="AG113" s="2518"/>
      <c r="AH113" s="2518"/>
      <c r="AI113" s="2518"/>
      <c r="AJ113" s="2518"/>
      <c r="AK113" s="2518"/>
      <c r="AL113" s="1709"/>
    </row>
    <row r="114" spans="4:38" hidden="1"/>
  </sheetData>
  <mergeCells count="73">
    <mergeCell ref="A5:N5"/>
    <mergeCell ref="Y5:AM5"/>
    <mergeCell ref="A1:AM1"/>
    <mergeCell ref="A2:AM2"/>
    <mergeCell ref="A3:AM3"/>
    <mergeCell ref="A4:N4"/>
    <mergeCell ref="Y4:AM4"/>
    <mergeCell ref="A7:AM7"/>
    <mergeCell ref="AI8:AM8"/>
    <mergeCell ref="A9:B10"/>
    <mergeCell ref="C9:C10"/>
    <mergeCell ref="D9:AH9"/>
    <mergeCell ref="AI9:AI10"/>
    <mergeCell ref="AJ9:AJ10"/>
    <mergeCell ref="AK9:AK10"/>
    <mergeCell ref="AL9:AL10"/>
    <mergeCell ref="AM9:AM10"/>
    <mergeCell ref="AK94:AM94"/>
    <mergeCell ref="AO46:AQ46"/>
    <mergeCell ref="D93:J93"/>
    <mergeCell ref="K93:P93"/>
    <mergeCell ref="Q93:V93"/>
    <mergeCell ref="W93:AB93"/>
    <mergeCell ref="AC93:AJ93"/>
    <mergeCell ref="AK93:AM93"/>
    <mergeCell ref="D94:J94"/>
    <mergeCell ref="K94:P94"/>
    <mergeCell ref="Q94:V94"/>
    <mergeCell ref="W94:AB94"/>
    <mergeCell ref="AC94:AJ94"/>
    <mergeCell ref="AK96:AM96"/>
    <mergeCell ref="D95:J95"/>
    <mergeCell ref="K95:P95"/>
    <mergeCell ref="Q95:V95"/>
    <mergeCell ref="W95:AB95"/>
    <mergeCell ref="AC95:AJ95"/>
    <mergeCell ref="AK95:AM95"/>
    <mergeCell ref="D96:J96"/>
    <mergeCell ref="K96:P96"/>
    <mergeCell ref="Q96:V96"/>
    <mergeCell ref="W96:AB96"/>
    <mergeCell ref="AC96:AJ96"/>
    <mergeCell ref="AK98:AM98"/>
    <mergeCell ref="D97:J97"/>
    <mergeCell ref="K97:P97"/>
    <mergeCell ref="Q97:V97"/>
    <mergeCell ref="W97:AB97"/>
    <mergeCell ref="AC97:AJ97"/>
    <mergeCell ref="AK97:AM97"/>
    <mergeCell ref="D98:J98"/>
    <mergeCell ref="K98:P98"/>
    <mergeCell ref="Q98:V98"/>
    <mergeCell ref="W98:AB98"/>
    <mergeCell ref="AC98:AJ98"/>
    <mergeCell ref="AK100:AM100"/>
    <mergeCell ref="D99:J99"/>
    <mergeCell ref="K99:P99"/>
    <mergeCell ref="Q99:V99"/>
    <mergeCell ref="W99:AB99"/>
    <mergeCell ref="AC99:AJ99"/>
    <mergeCell ref="AK99:AM99"/>
    <mergeCell ref="D100:J100"/>
    <mergeCell ref="K100:P100"/>
    <mergeCell ref="Q100:V100"/>
    <mergeCell ref="W100:AB100"/>
    <mergeCell ref="AC100:AJ100"/>
    <mergeCell ref="D107:AK113"/>
    <mergeCell ref="D101:J101"/>
    <mergeCell ref="K101:P101"/>
    <mergeCell ref="Q101:V101"/>
    <mergeCell ref="W101:AB101"/>
    <mergeCell ref="AC101:AJ101"/>
    <mergeCell ref="AK101:AM101"/>
  </mergeCells>
  <pageMargins left="0.2" right="0" top="0.25" bottom="0.25" header="0.3" footer="0.3"/>
  <pageSetup paperSize="9" scale="29" fitToHeight="0" orientation="landscape"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39988402966399123"/>
    <pageSetUpPr fitToPage="1"/>
  </sheetPr>
  <dimension ref="A1:AV480"/>
  <sheetViews>
    <sheetView topLeftCell="C81" zoomScale="85" zoomScaleNormal="85" zoomScaleSheetLayoutView="25" workbookViewId="0">
      <selection activeCell="AH95" sqref="AH95:AK95"/>
    </sheetView>
  </sheetViews>
  <sheetFormatPr defaultColWidth="9" defaultRowHeight="15.75" outlineLevelRow="1"/>
  <cols>
    <col min="1" max="1" width="3.5703125" style="346" customWidth="1"/>
    <col min="2" max="2" width="3.42578125" style="335" customWidth="1"/>
    <col min="3" max="3" width="7" style="335" customWidth="1"/>
    <col min="4" max="4" width="14.140625" style="335" customWidth="1"/>
    <col min="5" max="5" width="8.7109375" style="158" customWidth="1"/>
    <col min="6" max="32" width="4" style="158" customWidth="1"/>
    <col min="33" max="33" width="4.7109375" style="158" customWidth="1"/>
    <col min="34" max="35" width="4" style="158" customWidth="1"/>
    <col min="36" max="36" width="3.7109375" style="158" hidden="1" customWidth="1"/>
    <col min="37" max="37" width="8.42578125" style="158" customWidth="1"/>
    <col min="38" max="38" width="8.140625" style="158" customWidth="1"/>
    <col min="39" max="39" width="6.42578125" style="158" customWidth="1"/>
    <col min="40" max="40" width="8.7109375" style="158" customWidth="1"/>
    <col min="41" max="41" width="10.5703125" style="158" customWidth="1"/>
    <col min="42" max="16384" width="9" style="158"/>
  </cols>
  <sheetData>
    <row r="1" spans="1:47" ht="18.75">
      <c r="A1" s="2300" t="s">
        <v>1928</v>
      </c>
      <c r="B1" s="2300"/>
      <c r="C1" s="2300"/>
      <c r="D1" s="2300"/>
      <c r="E1" s="2300"/>
      <c r="F1" s="2300"/>
      <c r="G1" s="2300"/>
      <c r="H1" s="2300"/>
      <c r="I1" s="2300"/>
      <c r="J1" s="2300"/>
      <c r="K1" s="2300"/>
      <c r="L1" s="2300"/>
      <c r="M1" s="2300"/>
      <c r="N1" s="2300"/>
      <c r="O1" s="2300"/>
      <c r="P1" s="2300"/>
      <c r="Q1" s="2300"/>
      <c r="R1" s="2300"/>
      <c r="S1" s="2300"/>
      <c r="T1" s="2300"/>
      <c r="U1" s="2300"/>
      <c r="V1" s="2300"/>
      <c r="W1" s="2300"/>
      <c r="X1" s="2300"/>
      <c r="Y1" s="2300"/>
      <c r="Z1" s="2300"/>
      <c r="AA1" s="2300"/>
      <c r="AB1" s="2300"/>
      <c r="AC1" s="2300"/>
      <c r="AD1" s="2300"/>
      <c r="AE1" s="2300"/>
      <c r="AF1" s="2300"/>
      <c r="AG1" s="2300"/>
      <c r="AH1" s="2300"/>
      <c r="AI1" s="2300"/>
      <c r="AJ1" s="2300"/>
      <c r="AK1" s="2300"/>
      <c r="AL1" s="2300"/>
      <c r="AM1" s="2300"/>
      <c r="AN1" s="2300"/>
    </row>
    <row r="2" spans="1:47" ht="18.75">
      <c r="A2" s="2300" t="s">
        <v>1</v>
      </c>
      <c r="B2" s="2300"/>
      <c r="C2" s="2300"/>
      <c r="D2" s="2300"/>
      <c r="E2" s="2300"/>
      <c r="F2" s="2300"/>
      <c r="G2" s="2300"/>
      <c r="H2" s="2300"/>
      <c r="I2" s="2300"/>
      <c r="J2" s="2300"/>
      <c r="K2" s="2300"/>
      <c r="L2" s="2300"/>
      <c r="M2" s="2300"/>
      <c r="N2" s="2300"/>
      <c r="O2" s="2300"/>
      <c r="P2" s="2300"/>
      <c r="Q2" s="2300"/>
      <c r="R2" s="2300"/>
      <c r="S2" s="2300"/>
      <c r="T2" s="2300"/>
      <c r="U2" s="2300"/>
      <c r="V2" s="2300"/>
      <c r="W2" s="2300"/>
      <c r="X2" s="2300"/>
      <c r="Y2" s="2300"/>
      <c r="Z2" s="2300"/>
      <c r="AA2" s="2300"/>
      <c r="AB2" s="2300"/>
      <c r="AC2" s="2300"/>
      <c r="AD2" s="2300"/>
      <c r="AE2" s="2300"/>
      <c r="AF2" s="2300"/>
      <c r="AG2" s="2300"/>
      <c r="AH2" s="2300"/>
      <c r="AI2" s="2300"/>
      <c r="AJ2" s="2300"/>
      <c r="AK2" s="2300"/>
      <c r="AL2" s="2300"/>
      <c r="AM2" s="2300"/>
      <c r="AN2" s="2300"/>
    </row>
    <row r="3" spans="1:47" ht="15" customHeight="1">
      <c r="A3" s="2302" t="s">
        <v>619</v>
      </c>
      <c r="B3" s="2300"/>
      <c r="C3" s="2300"/>
      <c r="D3" s="2300"/>
      <c r="E3" s="2300"/>
      <c r="F3" s="2300"/>
      <c r="G3" s="2300"/>
      <c r="H3" s="2300"/>
      <c r="I3" s="2300"/>
      <c r="J3" s="2300"/>
      <c r="K3" s="2300"/>
      <c r="L3" s="2300"/>
      <c r="M3" s="2300"/>
      <c r="N3" s="2300"/>
      <c r="O3" s="2300"/>
      <c r="P3" s="2300"/>
      <c r="Q3" s="2300"/>
      <c r="R3" s="2300"/>
      <c r="S3" s="2300"/>
      <c r="T3" s="2300"/>
      <c r="U3" s="2300"/>
      <c r="V3" s="2300"/>
      <c r="W3" s="2300"/>
      <c r="X3" s="2300"/>
      <c r="Y3" s="2300"/>
      <c r="Z3" s="2300"/>
      <c r="AA3" s="2300"/>
      <c r="AB3" s="2300"/>
      <c r="AC3" s="2300"/>
      <c r="AD3" s="2300"/>
      <c r="AE3" s="2300"/>
      <c r="AF3" s="2300"/>
      <c r="AG3" s="2300"/>
      <c r="AH3" s="2300"/>
      <c r="AI3" s="2300"/>
      <c r="AJ3" s="2300"/>
      <c r="AK3" s="2300"/>
      <c r="AL3" s="2300"/>
      <c r="AM3" s="2300"/>
      <c r="AN3" s="2300"/>
    </row>
    <row r="4" spans="1:47" ht="15" customHeight="1">
      <c r="A4" s="2608" t="s">
        <v>2526</v>
      </c>
      <c r="B4" s="2608"/>
      <c r="C4" s="2608"/>
      <c r="D4" s="2608"/>
      <c r="E4" s="2608"/>
      <c r="F4" s="2608"/>
      <c r="G4" s="2608"/>
      <c r="H4" s="2608"/>
      <c r="I4" s="2608"/>
      <c r="J4" s="2608"/>
      <c r="K4" s="2608"/>
      <c r="L4" s="2608"/>
      <c r="M4" s="2608"/>
      <c r="N4" s="2608"/>
      <c r="O4" s="2608"/>
      <c r="P4" s="2608"/>
      <c r="Q4" s="1197"/>
      <c r="R4" s="1198"/>
      <c r="S4" s="1197"/>
      <c r="T4" s="1201"/>
      <c r="U4" s="1201"/>
      <c r="V4" s="1201"/>
      <c r="W4" s="1201"/>
      <c r="X4" s="1201"/>
      <c r="Y4" s="1201"/>
      <c r="Z4" s="1201"/>
      <c r="AA4" s="1201"/>
      <c r="AB4" s="1201"/>
      <c r="AC4" s="1201"/>
      <c r="AD4" s="1201"/>
      <c r="AE4" s="1201"/>
      <c r="AF4" s="1201"/>
      <c r="AG4" s="1201"/>
      <c r="AH4" s="1201"/>
      <c r="AI4" s="1201"/>
      <c r="AJ4" s="1201"/>
      <c r="AK4" s="1201"/>
      <c r="AL4" s="1201"/>
      <c r="AM4" s="1201"/>
      <c r="AN4" s="1201"/>
    </row>
    <row r="5" spans="1:47" ht="16.5" customHeight="1">
      <c r="A5" s="2299" t="s">
        <v>3172</v>
      </c>
      <c r="B5" s="2299"/>
      <c r="C5" s="2299"/>
      <c r="D5" s="2299"/>
      <c r="E5" s="2299"/>
      <c r="F5" s="2299"/>
      <c r="G5" s="2299"/>
      <c r="H5" s="2299"/>
      <c r="I5" s="2299"/>
      <c r="J5" s="2299"/>
      <c r="K5" s="2299"/>
      <c r="L5" s="2299"/>
      <c r="M5" s="2299"/>
      <c r="N5" s="2299"/>
      <c r="O5" s="2299"/>
      <c r="P5" s="2299"/>
      <c r="Q5" s="1197"/>
      <c r="R5" s="1198"/>
      <c r="S5" s="1197"/>
      <c r="T5" s="1201"/>
      <c r="U5" s="1201"/>
      <c r="V5" s="1201"/>
      <c r="W5" s="1201"/>
      <c r="X5" s="1201"/>
      <c r="Y5" s="1201"/>
      <c r="Z5" s="1201"/>
      <c r="AA5" s="1201"/>
      <c r="AB5" s="1201"/>
      <c r="AC5" s="1201"/>
      <c r="AD5" s="1201"/>
      <c r="AE5" s="1201"/>
      <c r="AF5" s="1201"/>
      <c r="AG5" s="1201"/>
      <c r="AH5" s="1201"/>
      <c r="AI5" s="1201"/>
      <c r="AJ5" s="1201"/>
      <c r="AK5" s="1201"/>
      <c r="AL5" s="1201"/>
      <c r="AM5" s="1201"/>
      <c r="AN5" s="1201"/>
    </row>
    <row r="6" spans="1:47" ht="15" customHeight="1">
      <c r="A6" s="1237"/>
      <c r="B6" s="1181"/>
      <c r="C6" s="1181"/>
      <c r="D6" s="1181"/>
      <c r="E6" s="1201"/>
      <c r="F6" s="1181"/>
      <c r="G6" s="1181"/>
      <c r="H6" s="1181"/>
      <c r="I6" s="1181"/>
      <c r="J6" s="1181"/>
      <c r="K6" s="1181"/>
      <c r="L6" s="1181"/>
      <c r="M6" s="1181"/>
      <c r="N6" s="1196"/>
      <c r="O6" s="1197"/>
      <c r="P6" s="1197"/>
      <c r="Q6" s="1197"/>
      <c r="R6" s="1198"/>
      <c r="S6" s="1197"/>
      <c r="T6" s="1201"/>
      <c r="U6" s="1201"/>
      <c r="V6" s="1201"/>
      <c r="W6" s="1201"/>
      <c r="X6" s="1201"/>
      <c r="Y6" s="1201"/>
      <c r="Z6" s="1201"/>
      <c r="AA6" s="1201"/>
      <c r="AB6" s="1201"/>
      <c r="AC6" s="1201"/>
      <c r="AD6" s="1201"/>
      <c r="AE6" s="1201"/>
      <c r="AF6" s="1201"/>
      <c r="AG6" s="1201"/>
      <c r="AH6" s="1201"/>
      <c r="AI6" s="1201"/>
      <c r="AJ6" s="1201"/>
      <c r="AK6" s="1201"/>
      <c r="AL6" s="1201"/>
      <c r="AM6" s="1201"/>
      <c r="AN6" s="1201"/>
    </row>
    <row r="7" spans="1:47" ht="17.25" customHeight="1">
      <c r="A7" s="2319" t="s">
        <v>2527</v>
      </c>
      <c r="B7" s="2319"/>
      <c r="C7" s="2319"/>
      <c r="D7" s="2319"/>
      <c r="E7" s="2319"/>
      <c r="F7" s="2319"/>
      <c r="G7" s="2319"/>
      <c r="H7" s="2319"/>
      <c r="I7" s="2319"/>
      <c r="J7" s="2319"/>
      <c r="K7" s="2319"/>
      <c r="L7" s="2319"/>
      <c r="M7" s="2319"/>
      <c r="N7" s="2319"/>
      <c r="O7" s="2319"/>
      <c r="P7" s="2319"/>
      <c r="Q7" s="2319"/>
      <c r="R7" s="2319"/>
      <c r="S7" s="2319"/>
      <c r="T7" s="2319"/>
      <c r="U7" s="2319"/>
      <c r="V7" s="2319"/>
      <c r="W7" s="2319"/>
      <c r="X7" s="2319"/>
      <c r="Y7" s="2319"/>
      <c r="Z7" s="2319"/>
      <c r="AA7" s="2319"/>
      <c r="AB7" s="2319"/>
      <c r="AC7" s="2319"/>
      <c r="AD7" s="2319"/>
      <c r="AE7" s="2319"/>
      <c r="AF7" s="2319"/>
      <c r="AG7" s="2319"/>
      <c r="AH7" s="2319"/>
      <c r="AI7" s="2319"/>
      <c r="AJ7" s="2319"/>
      <c r="AK7" s="2319"/>
      <c r="AL7" s="2319"/>
      <c r="AM7" s="2319"/>
      <c r="AN7" s="2319"/>
    </row>
    <row r="8" spans="1:47" ht="18.75" customHeight="1">
      <c r="A8" s="2320" t="s">
        <v>2528</v>
      </c>
      <c r="B8" s="2320"/>
      <c r="C8" s="2320"/>
      <c r="D8" s="2320"/>
      <c r="E8" s="2320"/>
      <c r="F8" s="2320"/>
      <c r="G8" s="2320"/>
      <c r="H8" s="2320"/>
      <c r="I8" s="2320"/>
      <c r="J8" s="2320"/>
      <c r="K8" s="2320"/>
      <c r="L8" s="2320"/>
      <c r="M8" s="2320"/>
      <c r="N8" s="2320"/>
      <c r="O8" s="2320"/>
      <c r="P8" s="2320"/>
      <c r="Q8" s="2320"/>
      <c r="R8" s="2320"/>
      <c r="S8" s="2320"/>
      <c r="T8" s="2320"/>
      <c r="U8" s="2320"/>
      <c r="V8" s="2320"/>
      <c r="W8" s="2320"/>
      <c r="X8" s="2320"/>
      <c r="Y8" s="2320"/>
      <c r="Z8" s="2320"/>
      <c r="AA8" s="2320"/>
      <c r="AB8" s="2320"/>
      <c r="AC8" s="2320"/>
      <c r="AD8" s="2320"/>
      <c r="AE8" s="2320"/>
      <c r="AF8" s="2320"/>
      <c r="AG8" s="2320"/>
      <c r="AH8" s="2320"/>
      <c r="AI8" s="2320"/>
      <c r="AJ8" s="2320"/>
      <c r="AK8" s="2320"/>
      <c r="AL8" s="2320"/>
      <c r="AM8" s="2320"/>
      <c r="AN8" s="2320"/>
    </row>
    <row r="9" spans="1:47" s="1232" customFormat="1" ht="20.45" customHeight="1">
      <c r="A9" s="2610" t="s">
        <v>623</v>
      </c>
      <c r="B9" s="2611"/>
      <c r="C9" s="2553" t="s">
        <v>1932</v>
      </c>
      <c r="D9" s="2554" t="s">
        <v>356</v>
      </c>
      <c r="E9" s="2556" t="s">
        <v>627</v>
      </c>
      <c r="F9" s="2553" t="s">
        <v>1953</v>
      </c>
      <c r="G9" s="2553"/>
      <c r="H9" s="2553"/>
      <c r="I9" s="2553"/>
      <c r="J9" s="2553"/>
      <c r="K9" s="2553"/>
      <c r="L9" s="2553"/>
      <c r="M9" s="2553"/>
      <c r="N9" s="2553"/>
      <c r="O9" s="2553"/>
      <c r="P9" s="2553"/>
      <c r="Q9" s="2553"/>
      <c r="R9" s="2553"/>
      <c r="S9" s="2553"/>
      <c r="T9" s="2553"/>
      <c r="U9" s="2553"/>
      <c r="V9" s="2553"/>
      <c r="W9" s="2553"/>
      <c r="X9" s="2553"/>
      <c r="Y9" s="2553"/>
      <c r="Z9" s="2553"/>
      <c r="AA9" s="2553"/>
      <c r="AB9" s="2553"/>
      <c r="AC9" s="2553"/>
      <c r="AD9" s="2553"/>
      <c r="AE9" s="2553"/>
      <c r="AF9" s="2553"/>
      <c r="AG9" s="2553"/>
      <c r="AH9" s="2553"/>
      <c r="AI9" s="2553"/>
      <c r="AJ9" s="2553"/>
      <c r="AK9" s="2609" t="s">
        <v>2529</v>
      </c>
      <c r="AL9" s="2609" t="s">
        <v>2530</v>
      </c>
      <c r="AM9" s="2556" t="s">
        <v>2531</v>
      </c>
      <c r="AN9" s="2556" t="s">
        <v>12</v>
      </c>
      <c r="AP9" s="1244"/>
    </row>
    <row r="10" spans="1:47" s="1232" customFormat="1" ht="42.75" customHeight="1">
      <c r="A10" s="2612"/>
      <c r="B10" s="2613"/>
      <c r="C10" s="2553"/>
      <c r="D10" s="2555"/>
      <c r="E10" s="2557"/>
      <c r="F10" s="1216">
        <v>1</v>
      </c>
      <c r="G10" s="1216">
        <v>2</v>
      </c>
      <c r="H10" s="1216">
        <v>3</v>
      </c>
      <c r="I10" s="1216">
        <v>4</v>
      </c>
      <c r="J10" s="1216">
        <v>5</v>
      </c>
      <c r="K10" s="1216">
        <v>6</v>
      </c>
      <c r="L10" s="1216">
        <v>7</v>
      </c>
      <c r="M10" s="1216">
        <v>8</v>
      </c>
      <c r="N10" s="1216">
        <v>9</v>
      </c>
      <c r="O10" s="1216">
        <v>10</v>
      </c>
      <c r="P10" s="1216">
        <v>11</v>
      </c>
      <c r="Q10" s="1216">
        <v>12</v>
      </c>
      <c r="R10" s="1216">
        <v>13</v>
      </c>
      <c r="S10" s="1216">
        <v>14</v>
      </c>
      <c r="T10" s="1216">
        <v>15</v>
      </c>
      <c r="U10" s="1216">
        <v>16</v>
      </c>
      <c r="V10" s="1216">
        <v>17</v>
      </c>
      <c r="W10" s="1216">
        <v>18</v>
      </c>
      <c r="X10" s="1216">
        <v>19</v>
      </c>
      <c r="Y10" s="1216">
        <v>20</v>
      </c>
      <c r="Z10" s="1216">
        <v>21</v>
      </c>
      <c r="AA10" s="1216">
        <v>22</v>
      </c>
      <c r="AB10" s="1216">
        <v>23</v>
      </c>
      <c r="AC10" s="1216">
        <v>24</v>
      </c>
      <c r="AD10" s="1216">
        <v>25</v>
      </c>
      <c r="AE10" s="1216">
        <v>26</v>
      </c>
      <c r="AF10" s="1216">
        <v>27</v>
      </c>
      <c r="AG10" s="1216">
        <v>28</v>
      </c>
      <c r="AH10" s="1216">
        <v>29</v>
      </c>
      <c r="AI10" s="1216">
        <v>30</v>
      </c>
      <c r="AJ10" s="1216">
        <v>31</v>
      </c>
      <c r="AK10" s="2609"/>
      <c r="AL10" s="2609"/>
      <c r="AM10" s="2557"/>
      <c r="AN10" s="2557"/>
      <c r="AO10" s="1245" t="s">
        <v>2532</v>
      </c>
      <c r="AP10" s="1246">
        <f>AR10/AQ10</f>
        <v>0.4805518816881087</v>
      </c>
      <c r="AQ10" s="1247">
        <f>AK90</f>
        <v>133072</v>
      </c>
      <c r="AR10" s="1232">
        <v>63948</v>
      </c>
      <c r="AS10" s="1248"/>
    </row>
    <row r="11" spans="1:47" s="1232" customFormat="1" ht="19.149999999999999" hidden="1" customHeight="1" outlineLevel="1">
      <c r="A11" s="1238"/>
      <c r="B11" s="1239"/>
      <c r="C11" s="1217"/>
      <c r="D11" s="1217"/>
      <c r="E11" s="1218"/>
      <c r="F11" s="1240"/>
      <c r="G11" s="1240"/>
      <c r="H11" s="1240"/>
      <c r="I11" s="1240"/>
      <c r="J11" s="1240"/>
      <c r="K11" s="1240"/>
      <c r="L11" s="1240"/>
      <c r="M11" s="1240"/>
      <c r="N11" s="1240"/>
      <c r="O11" s="1240"/>
      <c r="P11" s="1240"/>
      <c r="Q11" s="1240"/>
      <c r="R11" s="1240"/>
      <c r="S11" s="1240"/>
      <c r="T11" s="1240"/>
      <c r="U11" s="1240"/>
      <c r="V11" s="1240"/>
      <c r="W11" s="1240"/>
      <c r="X11" s="1240"/>
      <c r="Y11" s="1240"/>
      <c r="Z11" s="1240"/>
      <c r="AA11" s="1240"/>
      <c r="AB11" s="1240"/>
      <c r="AC11" s="1240"/>
      <c r="AD11" s="1240"/>
      <c r="AE11" s="1240"/>
      <c r="AF11" s="1240"/>
      <c r="AG11" s="1240"/>
      <c r="AH11" s="1240"/>
      <c r="AI11" s="1240"/>
      <c r="AJ11" s="1240"/>
      <c r="AK11" s="1242"/>
      <c r="AL11" s="1242"/>
      <c r="AM11" s="1242"/>
      <c r="AN11" s="1242"/>
      <c r="AO11" s="1242"/>
      <c r="AP11" s="1246"/>
      <c r="AS11" s="1249"/>
      <c r="AU11" s="1249"/>
    </row>
    <row r="12" spans="1:47" s="156" customFormat="1" ht="19.149999999999999" customHeight="1" outlineLevel="1">
      <c r="A12" s="1219">
        <v>1</v>
      </c>
      <c r="B12" s="1219"/>
      <c r="C12" s="1639" t="s">
        <v>3288</v>
      </c>
      <c r="D12" s="1220" t="s">
        <v>3173</v>
      </c>
      <c r="E12" s="1221"/>
      <c r="F12" s="1219">
        <v>0</v>
      </c>
      <c r="G12" s="1219">
        <v>150</v>
      </c>
      <c r="H12" s="1219">
        <v>21</v>
      </c>
      <c r="I12" s="1219">
        <v>91</v>
      </c>
      <c r="J12" s="1219">
        <v>25</v>
      </c>
      <c r="K12" s="1219">
        <v>55</v>
      </c>
      <c r="L12" s="1219">
        <v>0</v>
      </c>
      <c r="M12" s="1219">
        <v>0</v>
      </c>
      <c r="N12" s="1219">
        <v>0</v>
      </c>
      <c r="O12" s="1219">
        <v>58</v>
      </c>
      <c r="P12" s="1219">
        <v>0</v>
      </c>
      <c r="Q12" s="1219">
        <v>68</v>
      </c>
      <c r="R12" s="1219">
        <v>0</v>
      </c>
      <c r="S12" s="1219">
        <v>40</v>
      </c>
      <c r="T12" s="1219">
        <v>0</v>
      </c>
      <c r="U12" s="1219">
        <v>85</v>
      </c>
      <c r="V12" s="1219">
        <v>0</v>
      </c>
      <c r="W12" s="1219">
        <v>0</v>
      </c>
      <c r="X12" s="1219">
        <v>150</v>
      </c>
      <c r="Y12" s="1219">
        <v>65</v>
      </c>
      <c r="Z12" s="1219">
        <v>95</v>
      </c>
      <c r="AA12" s="1219">
        <v>0</v>
      </c>
      <c r="AB12" s="1219">
        <v>86</v>
      </c>
      <c r="AC12" s="1219">
        <v>0</v>
      </c>
      <c r="AD12" s="1219">
        <v>55</v>
      </c>
      <c r="AE12" s="1219">
        <v>68</v>
      </c>
      <c r="AF12" s="1219">
        <v>78</v>
      </c>
      <c r="AG12" s="1219">
        <v>78</v>
      </c>
      <c r="AH12" s="1219">
        <v>0</v>
      </c>
      <c r="AI12" s="1219">
        <v>49</v>
      </c>
      <c r="AJ12" s="1219"/>
      <c r="AK12" s="1221">
        <f>SUM(F12:AJ12)</f>
        <v>1317</v>
      </c>
      <c r="AL12" s="1221">
        <f>AK12*$AP$10</f>
        <v>632.88682818323912</v>
      </c>
      <c r="AM12" s="165" t="s">
        <v>1957</v>
      </c>
      <c r="AN12" s="1221">
        <f>+AK12*40%</f>
        <v>526.80000000000007</v>
      </c>
      <c r="AO12" s="1250">
        <f>+AL12-AN12</f>
        <v>106.08682818323905</v>
      </c>
      <c r="AP12" s="1246"/>
      <c r="AS12" s="1249"/>
      <c r="AU12" s="1249"/>
    </row>
    <row r="13" spans="1:47" s="156" customFormat="1" ht="19.149999999999999" customHeight="1" outlineLevel="1">
      <c r="A13" s="1219">
        <v>2</v>
      </c>
      <c r="B13" s="1219"/>
      <c r="C13" s="1639" t="s">
        <v>3293</v>
      </c>
      <c r="D13" s="1220" t="s">
        <v>936</v>
      </c>
      <c r="E13" s="1221"/>
      <c r="F13" s="1219">
        <v>44</v>
      </c>
      <c r="G13" s="1219">
        <v>92</v>
      </c>
      <c r="H13" s="1219">
        <v>25</v>
      </c>
      <c r="I13" s="1219">
        <v>40</v>
      </c>
      <c r="J13" s="1219">
        <v>37</v>
      </c>
      <c r="K13" s="1219">
        <v>61</v>
      </c>
      <c r="L13" s="1219">
        <v>15</v>
      </c>
      <c r="M13" s="1219">
        <v>39</v>
      </c>
      <c r="N13" s="1219">
        <v>41</v>
      </c>
      <c r="O13" s="1219">
        <v>52</v>
      </c>
      <c r="P13" s="1219">
        <v>30</v>
      </c>
      <c r="Q13" s="1219">
        <v>120</v>
      </c>
      <c r="R13" s="1219">
        <v>0</v>
      </c>
      <c r="S13" s="1219">
        <v>0</v>
      </c>
      <c r="T13" s="1219">
        <v>0</v>
      </c>
      <c r="U13" s="1219">
        <v>0</v>
      </c>
      <c r="V13" s="1219">
        <v>76</v>
      </c>
      <c r="W13" s="1219">
        <v>156</v>
      </c>
      <c r="X13" s="1219">
        <v>68</v>
      </c>
      <c r="Y13" s="1219">
        <v>102</v>
      </c>
      <c r="Z13" s="1219">
        <v>108</v>
      </c>
      <c r="AA13" s="1219">
        <v>130</v>
      </c>
      <c r="AB13" s="1219">
        <v>92</v>
      </c>
      <c r="AC13" s="1219">
        <v>142</v>
      </c>
      <c r="AD13" s="1219">
        <v>115</v>
      </c>
      <c r="AE13" s="1219">
        <v>125</v>
      </c>
      <c r="AF13" s="1219">
        <v>80</v>
      </c>
      <c r="AG13" s="1219">
        <v>130</v>
      </c>
      <c r="AH13" s="1219">
        <v>83</v>
      </c>
      <c r="AI13" s="1219">
        <v>99</v>
      </c>
      <c r="AJ13" s="1219"/>
      <c r="AK13" s="1221">
        <f t="shared" ref="AK13:AK76" si="0">SUM(F13:AJ13)</f>
        <v>2102</v>
      </c>
      <c r="AL13" s="1221">
        <f t="shared" ref="AL13:AL76" si="1">AK13*$AP$10</f>
        <v>1010.1200553084045</v>
      </c>
      <c r="AM13" s="165" t="s">
        <v>1957</v>
      </c>
      <c r="AN13" s="1221">
        <f t="shared" ref="AN13:AN35" si="2">+AK13*40%</f>
        <v>840.80000000000007</v>
      </c>
      <c r="AO13" s="1250">
        <f t="shared" ref="AO13:AO35" si="3">+AL13-AN13</f>
        <v>169.32005530840445</v>
      </c>
      <c r="AP13" s="1246"/>
      <c r="AS13" s="1249"/>
      <c r="AU13" s="1249"/>
    </row>
    <row r="14" spans="1:47" s="156" customFormat="1" ht="19.149999999999999" customHeight="1" outlineLevel="1">
      <c r="A14" s="1219">
        <v>3</v>
      </c>
      <c r="B14" s="1219"/>
      <c r="C14" s="1639"/>
      <c r="D14" s="1220" t="s">
        <v>3174</v>
      </c>
      <c r="E14" s="1221"/>
      <c r="F14" s="1219">
        <v>0</v>
      </c>
      <c r="G14" s="1219">
        <v>0</v>
      </c>
      <c r="H14" s="1219">
        <v>50</v>
      </c>
      <c r="I14" s="1219">
        <v>0</v>
      </c>
      <c r="J14" s="1219">
        <v>0</v>
      </c>
      <c r="K14" s="1219">
        <v>22</v>
      </c>
      <c r="L14" s="1219">
        <v>53</v>
      </c>
      <c r="M14" s="1219">
        <v>0</v>
      </c>
      <c r="N14" s="1219">
        <v>0</v>
      </c>
      <c r="O14" s="1219">
        <v>62</v>
      </c>
      <c r="P14" s="1219">
        <v>0</v>
      </c>
      <c r="Q14" s="1219">
        <v>105</v>
      </c>
      <c r="R14" s="1219">
        <v>0</v>
      </c>
      <c r="S14" s="1219">
        <v>0</v>
      </c>
      <c r="T14" s="1219">
        <v>0</v>
      </c>
      <c r="U14" s="1219">
        <v>0</v>
      </c>
      <c r="V14" s="1219">
        <v>0</v>
      </c>
      <c r="W14" s="1219">
        <v>0</v>
      </c>
      <c r="X14" s="1219">
        <v>74</v>
      </c>
      <c r="Y14" s="1219">
        <v>180</v>
      </c>
      <c r="Z14" s="1219">
        <v>120</v>
      </c>
      <c r="AA14" s="1219">
        <v>0</v>
      </c>
      <c r="AB14" s="1219">
        <v>0</v>
      </c>
      <c r="AC14" s="1219">
        <v>0</v>
      </c>
      <c r="AD14" s="1219">
        <v>102</v>
      </c>
      <c r="AE14" s="1219">
        <v>135</v>
      </c>
      <c r="AF14" s="1219">
        <v>0</v>
      </c>
      <c r="AG14" s="1219">
        <v>156</v>
      </c>
      <c r="AH14" s="1219">
        <v>63</v>
      </c>
      <c r="AI14" s="1219">
        <v>67</v>
      </c>
      <c r="AJ14" s="1219"/>
      <c r="AK14" s="1221">
        <f t="shared" si="0"/>
        <v>1189</v>
      </c>
      <c r="AL14" s="1221">
        <f t="shared" si="1"/>
        <v>571.37618732716123</v>
      </c>
      <c r="AM14" s="165" t="s">
        <v>1957</v>
      </c>
      <c r="AN14" s="1221">
        <f t="shared" si="2"/>
        <v>475.6</v>
      </c>
      <c r="AO14" s="1250">
        <f t="shared" si="3"/>
        <v>95.77618732716121</v>
      </c>
      <c r="AP14" s="1246"/>
      <c r="AS14" s="1249"/>
      <c r="AU14" s="1249"/>
    </row>
    <row r="15" spans="1:47" s="156" customFormat="1" ht="19.149999999999999" customHeight="1" outlineLevel="1">
      <c r="A15" s="1219">
        <v>4</v>
      </c>
      <c r="B15" s="1219"/>
      <c r="C15" s="1219"/>
      <c r="D15" s="1220" t="s">
        <v>3175</v>
      </c>
      <c r="E15" s="1221"/>
      <c r="F15" s="1219">
        <v>54</v>
      </c>
      <c r="G15" s="1219">
        <v>45</v>
      </c>
      <c r="H15" s="1219">
        <v>55</v>
      </c>
      <c r="I15" s="1219">
        <v>32</v>
      </c>
      <c r="J15" s="1219">
        <v>45</v>
      </c>
      <c r="K15" s="1219">
        <v>16</v>
      </c>
      <c r="L15" s="1219">
        <v>26</v>
      </c>
      <c r="M15" s="1219">
        <v>20</v>
      </c>
      <c r="N15" s="1219">
        <v>29</v>
      </c>
      <c r="O15" s="1219">
        <v>15</v>
      </c>
      <c r="P15" s="1219">
        <v>25</v>
      </c>
      <c r="Q15" s="1219">
        <v>61</v>
      </c>
      <c r="R15" s="1219">
        <v>0</v>
      </c>
      <c r="S15" s="1219">
        <v>93</v>
      </c>
      <c r="T15" s="1219">
        <v>17</v>
      </c>
      <c r="U15" s="1219">
        <v>61</v>
      </c>
      <c r="V15" s="1219">
        <v>82</v>
      </c>
      <c r="W15" s="1219">
        <v>86</v>
      </c>
      <c r="X15" s="1219">
        <v>25</v>
      </c>
      <c r="Y15" s="1219">
        <v>67</v>
      </c>
      <c r="Z15" s="1219">
        <v>51</v>
      </c>
      <c r="AA15" s="1219">
        <v>82</v>
      </c>
      <c r="AB15" s="1219">
        <v>23</v>
      </c>
      <c r="AC15" s="1219">
        <v>63</v>
      </c>
      <c r="AD15" s="1219">
        <v>50</v>
      </c>
      <c r="AE15" s="1219">
        <v>80</v>
      </c>
      <c r="AF15" s="1219">
        <v>25</v>
      </c>
      <c r="AG15" s="1219">
        <v>44</v>
      </c>
      <c r="AH15" s="1219">
        <v>66</v>
      </c>
      <c r="AI15" s="1219">
        <v>82</v>
      </c>
      <c r="AJ15" s="1219"/>
      <c r="AK15" s="1221">
        <f t="shared" si="0"/>
        <v>1420</v>
      </c>
      <c r="AL15" s="1221">
        <f t="shared" si="1"/>
        <v>682.38367199711433</v>
      </c>
      <c r="AM15" s="165" t="s">
        <v>1957</v>
      </c>
      <c r="AN15" s="1221">
        <f t="shared" si="2"/>
        <v>568</v>
      </c>
      <c r="AO15" s="1250">
        <f t="shared" si="3"/>
        <v>114.38367199711433</v>
      </c>
      <c r="AP15" s="1246"/>
      <c r="AS15" s="1249"/>
      <c r="AU15" s="1249"/>
    </row>
    <row r="16" spans="1:47" s="156" customFormat="1" ht="19.149999999999999" customHeight="1" outlineLevel="1">
      <c r="A16" s="1219">
        <v>5</v>
      </c>
      <c r="B16" s="1219"/>
      <c r="C16" s="1219" t="s">
        <v>3291</v>
      </c>
      <c r="D16" s="1220" t="s">
        <v>1386</v>
      </c>
      <c r="E16" s="1221"/>
      <c r="F16" s="1219">
        <v>76</v>
      </c>
      <c r="G16" s="1219">
        <v>125</v>
      </c>
      <c r="H16" s="1219">
        <v>80</v>
      </c>
      <c r="I16" s="1219">
        <v>85</v>
      </c>
      <c r="J16" s="1219">
        <v>0</v>
      </c>
      <c r="K16" s="1219">
        <v>0</v>
      </c>
      <c r="L16" s="1219">
        <v>0</v>
      </c>
      <c r="M16" s="1219">
        <v>0</v>
      </c>
      <c r="N16" s="1219">
        <v>36</v>
      </c>
      <c r="O16" s="1219">
        <v>32</v>
      </c>
      <c r="P16" s="1219">
        <v>86</v>
      </c>
      <c r="Q16" s="1219">
        <v>93</v>
      </c>
      <c r="R16" s="1219">
        <v>0</v>
      </c>
      <c r="S16" s="1219">
        <v>0</v>
      </c>
      <c r="T16" s="1219">
        <v>20</v>
      </c>
      <c r="U16" s="1219">
        <v>0</v>
      </c>
      <c r="V16" s="1219">
        <v>100</v>
      </c>
      <c r="W16" s="1219">
        <v>109</v>
      </c>
      <c r="X16" s="1219">
        <v>50</v>
      </c>
      <c r="Y16" s="1219">
        <v>93</v>
      </c>
      <c r="Z16" s="1219">
        <v>59</v>
      </c>
      <c r="AA16" s="1219">
        <v>65</v>
      </c>
      <c r="AB16" s="1219">
        <v>73</v>
      </c>
      <c r="AC16" s="1219">
        <v>0</v>
      </c>
      <c r="AD16" s="1219">
        <v>0</v>
      </c>
      <c r="AE16" s="1219">
        <v>95</v>
      </c>
      <c r="AF16" s="1219">
        <v>0</v>
      </c>
      <c r="AG16" s="1219">
        <v>115</v>
      </c>
      <c r="AH16" s="1219">
        <v>110</v>
      </c>
      <c r="AI16" s="1219">
        <v>70</v>
      </c>
      <c r="AJ16" s="1219"/>
      <c r="AK16" s="1221">
        <f t="shared" si="0"/>
        <v>1572</v>
      </c>
      <c r="AL16" s="1221">
        <f t="shared" si="1"/>
        <v>755.42755801370686</v>
      </c>
      <c r="AM16" s="165" t="s">
        <v>1957</v>
      </c>
      <c r="AN16" s="1221">
        <f t="shared" si="2"/>
        <v>628.80000000000007</v>
      </c>
      <c r="AO16" s="1250">
        <f t="shared" si="3"/>
        <v>126.62755801370679</v>
      </c>
      <c r="AP16" s="1246"/>
      <c r="AS16" s="1249"/>
      <c r="AU16" s="1249"/>
    </row>
    <row r="17" spans="1:47" s="156" customFormat="1" ht="19.149999999999999" customHeight="1" outlineLevel="1">
      <c r="A17" s="1219">
        <v>6</v>
      </c>
      <c r="B17" s="1219"/>
      <c r="C17" s="1219" t="s">
        <v>3295</v>
      </c>
      <c r="D17" s="1220" t="s">
        <v>3176</v>
      </c>
      <c r="E17" s="1221"/>
      <c r="F17" s="1219">
        <v>73</v>
      </c>
      <c r="G17" s="1219">
        <v>60</v>
      </c>
      <c r="H17" s="1219">
        <v>22</v>
      </c>
      <c r="I17" s="1219">
        <v>36</v>
      </c>
      <c r="J17" s="1219">
        <v>0</v>
      </c>
      <c r="K17" s="1219">
        <v>0</v>
      </c>
      <c r="L17" s="1219">
        <v>0</v>
      </c>
      <c r="M17" s="1219">
        <v>22</v>
      </c>
      <c r="N17" s="1219">
        <v>85</v>
      </c>
      <c r="O17" s="1219">
        <v>150</v>
      </c>
      <c r="P17" s="1219">
        <v>35</v>
      </c>
      <c r="Q17" s="1219">
        <v>120</v>
      </c>
      <c r="R17" s="1219">
        <v>0</v>
      </c>
      <c r="S17" s="1219">
        <v>110</v>
      </c>
      <c r="T17" s="1219">
        <v>0</v>
      </c>
      <c r="U17" s="1219">
        <v>0</v>
      </c>
      <c r="V17" s="1219">
        <v>102</v>
      </c>
      <c r="W17" s="1219">
        <v>90</v>
      </c>
      <c r="X17" s="1219">
        <v>67</v>
      </c>
      <c r="Y17" s="1219">
        <v>128</v>
      </c>
      <c r="Z17" s="1219">
        <v>66</v>
      </c>
      <c r="AA17" s="1219">
        <v>120</v>
      </c>
      <c r="AB17" s="1219">
        <v>110</v>
      </c>
      <c r="AC17" s="1219">
        <v>60</v>
      </c>
      <c r="AD17" s="1219">
        <v>58</v>
      </c>
      <c r="AE17" s="1219">
        <v>73</v>
      </c>
      <c r="AF17" s="1219">
        <v>90</v>
      </c>
      <c r="AG17" s="1219">
        <v>56</v>
      </c>
      <c r="AH17" s="1219">
        <v>77</v>
      </c>
      <c r="AI17" s="1219">
        <v>69</v>
      </c>
      <c r="AJ17" s="1219"/>
      <c r="AK17" s="1221">
        <f t="shared" si="0"/>
        <v>1879</v>
      </c>
      <c r="AL17" s="1221">
        <f t="shared" si="1"/>
        <v>902.95698569195622</v>
      </c>
      <c r="AM17" s="165" t="s">
        <v>1959</v>
      </c>
      <c r="AN17" s="1221">
        <f t="shared" si="2"/>
        <v>751.6</v>
      </c>
      <c r="AO17" s="1250">
        <f t="shared" si="3"/>
        <v>151.3569856919562</v>
      </c>
      <c r="AP17" s="1246"/>
      <c r="AS17" s="1249"/>
      <c r="AU17" s="1249"/>
    </row>
    <row r="18" spans="1:47" s="156" customFormat="1" ht="19.149999999999999" customHeight="1" outlineLevel="1">
      <c r="A18" s="1219">
        <v>7</v>
      </c>
      <c r="B18" s="1219"/>
      <c r="C18" s="1639" t="s">
        <v>3296</v>
      </c>
      <c r="D18" s="1220" t="s">
        <v>3177</v>
      </c>
      <c r="E18" s="1221"/>
      <c r="F18" s="1219">
        <v>64</v>
      </c>
      <c r="G18" s="1219">
        <v>28</v>
      </c>
      <c r="H18" s="1219">
        <v>42</v>
      </c>
      <c r="I18" s="1219">
        <v>59</v>
      </c>
      <c r="J18" s="1219">
        <v>38</v>
      </c>
      <c r="K18" s="1219">
        <v>43</v>
      </c>
      <c r="L18" s="1219">
        <v>39</v>
      </c>
      <c r="M18" s="1219">
        <v>64</v>
      </c>
      <c r="N18" s="1219">
        <v>42</v>
      </c>
      <c r="O18" s="1219">
        <v>44</v>
      </c>
      <c r="P18" s="1219">
        <v>0</v>
      </c>
      <c r="Q18" s="1219">
        <v>148</v>
      </c>
      <c r="R18" s="1219">
        <v>0</v>
      </c>
      <c r="S18" s="1219">
        <v>120</v>
      </c>
      <c r="T18" s="1219">
        <v>0</v>
      </c>
      <c r="U18" s="1219">
        <v>120</v>
      </c>
      <c r="V18" s="1219">
        <v>130</v>
      </c>
      <c r="W18" s="1219">
        <v>105</v>
      </c>
      <c r="X18" s="1219">
        <v>87</v>
      </c>
      <c r="Y18" s="1219">
        <v>90</v>
      </c>
      <c r="Z18" s="1219">
        <v>140</v>
      </c>
      <c r="AA18" s="1219">
        <v>120</v>
      </c>
      <c r="AB18" s="1219">
        <v>53</v>
      </c>
      <c r="AC18" s="1219">
        <v>90</v>
      </c>
      <c r="AD18" s="1219">
        <v>113</v>
      </c>
      <c r="AE18" s="1219">
        <v>90</v>
      </c>
      <c r="AF18" s="1219">
        <v>55</v>
      </c>
      <c r="AG18" s="1219">
        <v>88</v>
      </c>
      <c r="AH18" s="1219">
        <v>110</v>
      </c>
      <c r="AI18" s="1219">
        <v>90</v>
      </c>
      <c r="AJ18" s="1219"/>
      <c r="AK18" s="1221">
        <f t="shared" si="0"/>
        <v>2212</v>
      </c>
      <c r="AL18" s="1221">
        <f t="shared" si="1"/>
        <v>1062.9807622940964</v>
      </c>
      <c r="AM18" s="165" t="s">
        <v>1957</v>
      </c>
      <c r="AN18" s="1221">
        <f t="shared" si="2"/>
        <v>884.80000000000007</v>
      </c>
      <c r="AO18" s="1250">
        <f t="shared" si="3"/>
        <v>178.18076229409633</v>
      </c>
    </row>
    <row r="19" spans="1:47" s="156" customFormat="1" ht="19.149999999999999" customHeight="1" outlineLevel="1">
      <c r="A19" s="1219">
        <v>8</v>
      </c>
      <c r="B19" s="1219"/>
      <c r="C19" s="1639"/>
      <c r="D19" s="1220" t="s">
        <v>3178</v>
      </c>
      <c r="E19" s="1221"/>
      <c r="F19" s="1219">
        <v>52</v>
      </c>
      <c r="G19" s="1219">
        <v>20</v>
      </c>
      <c r="H19" s="1219">
        <v>35</v>
      </c>
      <c r="I19" s="1219">
        <v>93</v>
      </c>
      <c r="J19" s="1219">
        <v>22</v>
      </c>
      <c r="K19" s="1219">
        <v>10</v>
      </c>
      <c r="L19" s="1219">
        <v>0</v>
      </c>
      <c r="M19" s="1219">
        <v>0</v>
      </c>
      <c r="N19" s="1219">
        <v>0</v>
      </c>
      <c r="O19" s="1219">
        <v>0</v>
      </c>
      <c r="P19" s="1219">
        <v>0</v>
      </c>
      <c r="Q19" s="1219">
        <v>0</v>
      </c>
      <c r="R19" s="1219">
        <v>0</v>
      </c>
      <c r="S19" s="1219">
        <v>0</v>
      </c>
      <c r="T19" s="1219">
        <v>0</v>
      </c>
      <c r="U19" s="1219">
        <v>0</v>
      </c>
      <c r="V19" s="1219">
        <v>0</v>
      </c>
      <c r="W19" s="1219">
        <v>0</v>
      </c>
      <c r="X19" s="1219">
        <v>0</v>
      </c>
      <c r="Y19" s="1219">
        <v>25</v>
      </c>
      <c r="Z19" s="1219">
        <v>95</v>
      </c>
      <c r="AA19" s="1219">
        <v>63</v>
      </c>
      <c r="AB19" s="1219">
        <v>49</v>
      </c>
      <c r="AC19" s="1219">
        <v>17</v>
      </c>
      <c r="AD19" s="1219">
        <v>0</v>
      </c>
      <c r="AE19" s="1219">
        <v>105</v>
      </c>
      <c r="AF19" s="1219">
        <v>44</v>
      </c>
      <c r="AG19" s="1219">
        <v>75</v>
      </c>
      <c r="AH19" s="1219">
        <v>170</v>
      </c>
      <c r="AI19" s="1219">
        <v>95</v>
      </c>
      <c r="AJ19" s="1219"/>
      <c r="AK19" s="1221">
        <f t="shared" si="0"/>
        <v>970</v>
      </c>
      <c r="AL19" s="1221">
        <f t="shared" si="1"/>
        <v>466.13532523746545</v>
      </c>
      <c r="AM19" s="165" t="s">
        <v>1959</v>
      </c>
      <c r="AN19" s="1221">
        <f t="shared" si="2"/>
        <v>388</v>
      </c>
      <c r="AO19" s="1250">
        <f t="shared" si="3"/>
        <v>78.135325237465452</v>
      </c>
    </row>
    <row r="20" spans="1:47" s="156" customFormat="1" ht="19.149999999999999" customHeight="1" outlineLevel="1">
      <c r="A20" s="1219">
        <v>9</v>
      </c>
      <c r="B20" s="1219"/>
      <c r="C20" s="1639"/>
      <c r="D20" s="1220" t="s">
        <v>3179</v>
      </c>
      <c r="E20" s="1221"/>
      <c r="F20" s="1219">
        <v>48</v>
      </c>
      <c r="G20" s="1219">
        <v>45</v>
      </c>
      <c r="H20" s="1219">
        <v>45</v>
      </c>
      <c r="I20" s="1219">
        <v>29</v>
      </c>
      <c r="J20" s="1219">
        <v>0</v>
      </c>
      <c r="K20" s="1219">
        <v>40</v>
      </c>
      <c r="L20" s="1219">
        <v>0</v>
      </c>
      <c r="M20" s="1219">
        <v>30</v>
      </c>
      <c r="N20" s="1219">
        <v>140</v>
      </c>
      <c r="O20" s="1219">
        <v>40</v>
      </c>
      <c r="P20" s="1219">
        <v>50</v>
      </c>
      <c r="Q20" s="1219">
        <v>101</v>
      </c>
      <c r="R20" s="1219">
        <v>0</v>
      </c>
      <c r="S20" s="1219">
        <v>80</v>
      </c>
      <c r="T20" s="1219">
        <v>30</v>
      </c>
      <c r="U20" s="1219">
        <v>79</v>
      </c>
      <c r="V20" s="1219">
        <v>71</v>
      </c>
      <c r="W20" s="1219">
        <v>105</v>
      </c>
      <c r="X20" s="1219">
        <v>83</v>
      </c>
      <c r="Y20" s="1219">
        <v>130</v>
      </c>
      <c r="Z20" s="1219">
        <v>85</v>
      </c>
      <c r="AA20" s="1219">
        <v>135</v>
      </c>
      <c r="AB20" s="1219">
        <v>0</v>
      </c>
      <c r="AC20" s="1219">
        <v>47</v>
      </c>
      <c r="AD20" s="1219">
        <v>76</v>
      </c>
      <c r="AE20" s="1219">
        <v>95</v>
      </c>
      <c r="AF20" s="1219">
        <v>190</v>
      </c>
      <c r="AG20" s="1219">
        <v>0</v>
      </c>
      <c r="AH20" s="1219">
        <v>55</v>
      </c>
      <c r="AI20" s="1219">
        <v>92</v>
      </c>
      <c r="AJ20" s="1219"/>
      <c r="AK20" s="1221">
        <f t="shared" si="0"/>
        <v>1921</v>
      </c>
      <c r="AL20" s="1221">
        <f t="shared" si="1"/>
        <v>923.14016472285675</v>
      </c>
      <c r="AM20" s="165" t="s">
        <v>1957</v>
      </c>
      <c r="AN20" s="1221">
        <f t="shared" si="2"/>
        <v>768.40000000000009</v>
      </c>
      <c r="AO20" s="1250">
        <f t="shared" si="3"/>
        <v>154.74016472285666</v>
      </c>
    </row>
    <row r="21" spans="1:47" s="156" customFormat="1" ht="19.149999999999999" customHeight="1" outlineLevel="1">
      <c r="A21" s="1219">
        <v>10</v>
      </c>
      <c r="B21" s="1219"/>
      <c r="C21" s="1219" t="s">
        <v>3297</v>
      </c>
      <c r="D21" s="1220" t="s">
        <v>3180</v>
      </c>
      <c r="E21" s="1221"/>
      <c r="F21" s="1219">
        <v>0</v>
      </c>
      <c r="G21" s="1219">
        <v>40</v>
      </c>
      <c r="H21" s="1219">
        <v>39</v>
      </c>
      <c r="I21" s="1219">
        <v>52</v>
      </c>
      <c r="J21" s="1219">
        <v>26</v>
      </c>
      <c r="K21" s="1219">
        <v>0</v>
      </c>
      <c r="L21" s="1219">
        <v>0</v>
      </c>
      <c r="M21" s="1219">
        <v>0</v>
      </c>
      <c r="N21" s="1219">
        <v>0</v>
      </c>
      <c r="O21" s="1219">
        <v>33</v>
      </c>
      <c r="P21" s="1219">
        <v>0</v>
      </c>
      <c r="Q21" s="1219">
        <v>0</v>
      </c>
      <c r="R21" s="1219">
        <v>0</v>
      </c>
      <c r="S21" s="1219">
        <v>0</v>
      </c>
      <c r="T21" s="1219">
        <v>0</v>
      </c>
      <c r="U21" s="1219">
        <v>0</v>
      </c>
      <c r="V21" s="1219">
        <v>0</v>
      </c>
      <c r="W21" s="1219">
        <v>100</v>
      </c>
      <c r="X21" s="1219">
        <v>0</v>
      </c>
      <c r="Y21" s="1219">
        <v>156</v>
      </c>
      <c r="Z21" s="1219">
        <v>45</v>
      </c>
      <c r="AA21" s="1219">
        <v>41</v>
      </c>
      <c r="AB21" s="1219">
        <v>72</v>
      </c>
      <c r="AC21" s="1219">
        <v>120</v>
      </c>
      <c r="AD21" s="1219">
        <v>85</v>
      </c>
      <c r="AE21" s="1219">
        <v>105</v>
      </c>
      <c r="AF21" s="1219">
        <v>0</v>
      </c>
      <c r="AG21" s="1219">
        <v>97</v>
      </c>
      <c r="AH21" s="1219">
        <v>0</v>
      </c>
      <c r="AI21" s="1219">
        <v>0</v>
      </c>
      <c r="AJ21" s="1219"/>
      <c r="AK21" s="1221">
        <f t="shared" si="0"/>
        <v>1011</v>
      </c>
      <c r="AL21" s="1221">
        <f t="shared" si="1"/>
        <v>485.8379523866779</v>
      </c>
      <c r="AM21" s="165" t="s">
        <v>1957</v>
      </c>
      <c r="AN21" s="1221">
        <f t="shared" si="2"/>
        <v>404.40000000000003</v>
      </c>
      <c r="AO21" s="1250">
        <f t="shared" si="3"/>
        <v>81.437952386677864</v>
      </c>
    </row>
    <row r="22" spans="1:47" s="156" customFormat="1" ht="19.149999999999999" customHeight="1" outlineLevel="1">
      <c r="A22" s="1219">
        <v>11</v>
      </c>
      <c r="B22" s="1219"/>
      <c r="C22" s="1219" t="s">
        <v>3289</v>
      </c>
      <c r="D22" s="1220" t="s">
        <v>3181</v>
      </c>
      <c r="E22" s="1221"/>
      <c r="F22" s="1219">
        <v>0</v>
      </c>
      <c r="G22" s="1219">
        <v>40</v>
      </c>
      <c r="H22" s="1219">
        <v>40</v>
      </c>
      <c r="I22" s="1219">
        <v>52</v>
      </c>
      <c r="J22" s="1219">
        <v>26</v>
      </c>
      <c r="K22" s="1219">
        <v>0</v>
      </c>
      <c r="L22" s="1219">
        <v>0</v>
      </c>
      <c r="M22" s="1219">
        <v>0</v>
      </c>
      <c r="N22" s="1219">
        <v>0</v>
      </c>
      <c r="O22" s="1219">
        <v>33</v>
      </c>
      <c r="P22" s="1219">
        <v>0</v>
      </c>
      <c r="Q22" s="1219">
        <v>0</v>
      </c>
      <c r="R22" s="1219">
        <v>0</v>
      </c>
      <c r="S22" s="1219">
        <v>0</v>
      </c>
      <c r="T22" s="1219">
        <v>0</v>
      </c>
      <c r="U22" s="1219">
        <v>0</v>
      </c>
      <c r="V22" s="1219">
        <v>0</v>
      </c>
      <c r="W22" s="1219">
        <v>101</v>
      </c>
      <c r="X22" s="1219">
        <v>0</v>
      </c>
      <c r="Y22" s="1219">
        <v>156</v>
      </c>
      <c r="Z22" s="1219">
        <v>45</v>
      </c>
      <c r="AA22" s="1219">
        <v>42</v>
      </c>
      <c r="AB22" s="1219">
        <v>73</v>
      </c>
      <c r="AC22" s="1219">
        <v>120</v>
      </c>
      <c r="AD22" s="1219">
        <v>85</v>
      </c>
      <c r="AE22" s="1219">
        <v>105</v>
      </c>
      <c r="AF22" s="1219">
        <v>0</v>
      </c>
      <c r="AG22" s="1219">
        <v>97</v>
      </c>
      <c r="AH22" s="1219">
        <v>77</v>
      </c>
      <c r="AI22" s="1219">
        <v>0</v>
      </c>
      <c r="AJ22" s="1219"/>
      <c r="AK22" s="1221">
        <f t="shared" si="0"/>
        <v>1092</v>
      </c>
      <c r="AL22" s="1221">
        <f t="shared" si="1"/>
        <v>524.76265480341465</v>
      </c>
      <c r="AM22" s="165" t="s">
        <v>1957</v>
      </c>
      <c r="AN22" s="1221">
        <f t="shared" si="2"/>
        <v>436.8</v>
      </c>
      <c r="AO22" s="1250">
        <f t="shared" si="3"/>
        <v>87.962654803414637</v>
      </c>
    </row>
    <row r="23" spans="1:47" s="156" customFormat="1" ht="19.149999999999999" customHeight="1" outlineLevel="1">
      <c r="A23" s="1219">
        <v>12</v>
      </c>
      <c r="B23" s="1219"/>
      <c r="C23" s="1219" t="s">
        <v>3298</v>
      </c>
      <c r="D23" s="1220" t="s">
        <v>3182</v>
      </c>
      <c r="E23" s="1221"/>
      <c r="F23" s="1219">
        <v>45</v>
      </c>
      <c r="G23" s="1219">
        <v>42</v>
      </c>
      <c r="H23" s="1219">
        <v>60</v>
      </c>
      <c r="I23" s="1219">
        <v>65</v>
      </c>
      <c r="J23" s="1219">
        <v>45</v>
      </c>
      <c r="K23" s="1219">
        <v>45</v>
      </c>
      <c r="L23" s="1219">
        <v>56</v>
      </c>
      <c r="M23" s="1219">
        <v>51</v>
      </c>
      <c r="N23" s="1219">
        <v>55</v>
      </c>
      <c r="O23" s="1219">
        <v>35</v>
      </c>
      <c r="P23" s="1219">
        <v>59</v>
      </c>
      <c r="Q23" s="1219">
        <v>90</v>
      </c>
      <c r="R23" s="1219">
        <v>0</v>
      </c>
      <c r="S23" s="1219">
        <v>95</v>
      </c>
      <c r="T23" s="1219">
        <v>40</v>
      </c>
      <c r="U23" s="1219">
        <v>135</v>
      </c>
      <c r="V23" s="1219">
        <v>102</v>
      </c>
      <c r="W23" s="1219">
        <v>80</v>
      </c>
      <c r="X23" s="1219">
        <v>0</v>
      </c>
      <c r="Y23" s="1219">
        <v>92</v>
      </c>
      <c r="Z23" s="1219">
        <v>95</v>
      </c>
      <c r="AA23" s="1219">
        <v>72</v>
      </c>
      <c r="AB23" s="1219">
        <v>90</v>
      </c>
      <c r="AC23" s="1219">
        <v>75</v>
      </c>
      <c r="AD23" s="1219">
        <v>75</v>
      </c>
      <c r="AE23" s="1219">
        <v>84</v>
      </c>
      <c r="AF23" s="1219">
        <v>69</v>
      </c>
      <c r="AG23" s="1219">
        <v>80</v>
      </c>
      <c r="AH23" s="1219">
        <v>79</v>
      </c>
      <c r="AI23" s="1219">
        <v>74</v>
      </c>
      <c r="AJ23" s="1219"/>
      <c r="AK23" s="1221">
        <f t="shared" si="0"/>
        <v>1985</v>
      </c>
      <c r="AL23" s="1221">
        <f t="shared" si="1"/>
        <v>953.89548515089575</v>
      </c>
      <c r="AM23" s="165" t="s">
        <v>1957</v>
      </c>
      <c r="AN23" s="1221">
        <f t="shared" si="2"/>
        <v>794</v>
      </c>
      <c r="AO23" s="1250">
        <f t="shared" si="3"/>
        <v>159.89548515089575</v>
      </c>
    </row>
    <row r="24" spans="1:47" s="156" customFormat="1" ht="19.149999999999999" customHeight="1" outlineLevel="1">
      <c r="A24" s="1219">
        <v>13</v>
      </c>
      <c r="B24" s="1219"/>
      <c r="C24" s="1219" t="s">
        <v>3299</v>
      </c>
      <c r="D24" s="1220" t="s">
        <v>3183</v>
      </c>
      <c r="E24" s="1221"/>
      <c r="F24" s="1219">
        <v>70</v>
      </c>
      <c r="G24" s="1219">
        <v>80</v>
      </c>
      <c r="H24" s="1219">
        <v>103</v>
      </c>
      <c r="I24" s="1219">
        <v>89</v>
      </c>
      <c r="J24" s="1219">
        <v>0</v>
      </c>
      <c r="K24" s="1219">
        <v>67</v>
      </c>
      <c r="L24" s="1219">
        <v>70</v>
      </c>
      <c r="M24" s="1219">
        <v>85</v>
      </c>
      <c r="N24" s="1219">
        <v>46</v>
      </c>
      <c r="O24" s="1219">
        <v>63</v>
      </c>
      <c r="P24" s="1219">
        <v>83</v>
      </c>
      <c r="Q24" s="1219">
        <v>201</v>
      </c>
      <c r="R24" s="1219">
        <v>0</v>
      </c>
      <c r="S24" s="1219">
        <v>0</v>
      </c>
      <c r="T24" s="1219">
        <v>57</v>
      </c>
      <c r="U24" s="1219">
        <v>203</v>
      </c>
      <c r="V24" s="1219">
        <v>123</v>
      </c>
      <c r="W24" s="1219">
        <v>93</v>
      </c>
      <c r="X24" s="1219">
        <v>65</v>
      </c>
      <c r="Y24" s="1219">
        <v>140</v>
      </c>
      <c r="Z24" s="1219">
        <v>140</v>
      </c>
      <c r="AA24" s="1219">
        <v>102</v>
      </c>
      <c r="AB24" s="1219">
        <v>0</v>
      </c>
      <c r="AC24" s="1219">
        <v>121</v>
      </c>
      <c r="AD24" s="1219">
        <v>110</v>
      </c>
      <c r="AE24" s="1219">
        <v>80</v>
      </c>
      <c r="AF24" s="1219">
        <v>185</v>
      </c>
      <c r="AG24" s="1219">
        <v>110</v>
      </c>
      <c r="AH24" s="1219">
        <v>122</v>
      </c>
      <c r="AI24" s="1219">
        <v>80</v>
      </c>
      <c r="AJ24" s="1219"/>
      <c r="AK24" s="1221">
        <f t="shared" si="0"/>
        <v>2688</v>
      </c>
      <c r="AL24" s="1221">
        <f t="shared" si="1"/>
        <v>1291.7234579776361</v>
      </c>
      <c r="AM24" s="165" t="s">
        <v>1957</v>
      </c>
      <c r="AN24" s="1221">
        <f t="shared" si="2"/>
        <v>1075.2</v>
      </c>
      <c r="AO24" s="1250">
        <f t="shared" si="3"/>
        <v>216.5234579776361</v>
      </c>
    </row>
    <row r="25" spans="1:47" s="156" customFormat="1" ht="19.149999999999999" customHeight="1" outlineLevel="1">
      <c r="A25" s="1219">
        <v>14</v>
      </c>
      <c r="B25" s="1219"/>
      <c r="C25" s="1639" t="s">
        <v>3300</v>
      </c>
      <c r="D25" s="1220" t="s">
        <v>882</v>
      </c>
      <c r="E25" s="1221"/>
      <c r="F25" s="1219">
        <v>70</v>
      </c>
      <c r="G25" s="1219">
        <v>180</v>
      </c>
      <c r="H25" s="1219">
        <v>135</v>
      </c>
      <c r="I25" s="1219">
        <v>100</v>
      </c>
      <c r="J25" s="1219">
        <v>0</v>
      </c>
      <c r="K25" s="1219">
        <v>0</v>
      </c>
      <c r="L25" s="1219">
        <v>0</v>
      </c>
      <c r="M25" s="1219">
        <v>43</v>
      </c>
      <c r="N25" s="1219">
        <v>51</v>
      </c>
      <c r="O25" s="1219">
        <v>40</v>
      </c>
      <c r="P25" s="1219">
        <v>123</v>
      </c>
      <c r="Q25" s="1219">
        <v>105</v>
      </c>
      <c r="R25" s="1219">
        <v>0</v>
      </c>
      <c r="S25" s="1219">
        <v>0</v>
      </c>
      <c r="T25" s="1219">
        <v>13</v>
      </c>
      <c r="U25" s="1219">
        <v>125</v>
      </c>
      <c r="V25" s="1219">
        <v>90</v>
      </c>
      <c r="W25" s="1219">
        <v>0</v>
      </c>
      <c r="X25" s="1219">
        <v>60</v>
      </c>
      <c r="Y25" s="1219">
        <v>106</v>
      </c>
      <c r="Z25" s="1219">
        <v>95</v>
      </c>
      <c r="AA25" s="1219">
        <v>32</v>
      </c>
      <c r="AB25" s="1219">
        <v>80</v>
      </c>
      <c r="AC25" s="1219">
        <v>0</v>
      </c>
      <c r="AD25" s="1219">
        <v>0</v>
      </c>
      <c r="AE25" s="1219">
        <v>55</v>
      </c>
      <c r="AF25" s="1219">
        <v>0</v>
      </c>
      <c r="AG25" s="1219">
        <v>105</v>
      </c>
      <c r="AH25" s="1219">
        <v>130</v>
      </c>
      <c r="AI25" s="1219">
        <v>40</v>
      </c>
      <c r="AJ25" s="1219"/>
      <c r="AK25" s="1221">
        <f t="shared" si="0"/>
        <v>1778</v>
      </c>
      <c r="AL25" s="1221">
        <f t="shared" si="1"/>
        <v>854.42124564145729</v>
      </c>
      <c r="AM25" s="165" t="s">
        <v>1958</v>
      </c>
      <c r="AN25" s="1221">
        <f t="shared" si="2"/>
        <v>711.2</v>
      </c>
      <c r="AO25" s="1250">
        <f t="shared" si="3"/>
        <v>143.22124564145724</v>
      </c>
    </row>
    <row r="26" spans="1:47" s="156" customFormat="1" ht="19.149999999999999" customHeight="1" outlineLevel="1">
      <c r="A26" s="1219">
        <v>15</v>
      </c>
      <c r="B26" s="1219"/>
      <c r="C26" s="1219" t="s">
        <v>3290</v>
      </c>
      <c r="D26" s="1220" t="s">
        <v>3184</v>
      </c>
      <c r="E26" s="1221"/>
      <c r="F26" s="1219">
        <v>0</v>
      </c>
      <c r="G26" s="1219">
        <v>158</v>
      </c>
      <c r="H26" s="1219">
        <v>60</v>
      </c>
      <c r="I26" s="1219">
        <v>93</v>
      </c>
      <c r="J26" s="1219">
        <v>120</v>
      </c>
      <c r="K26" s="1219">
        <v>53</v>
      </c>
      <c r="L26" s="1219">
        <v>42</v>
      </c>
      <c r="M26" s="1219">
        <v>56</v>
      </c>
      <c r="N26" s="1219">
        <v>57</v>
      </c>
      <c r="O26" s="1219">
        <v>71</v>
      </c>
      <c r="P26" s="1219">
        <v>53</v>
      </c>
      <c r="Q26" s="1219">
        <v>114</v>
      </c>
      <c r="R26" s="1219">
        <v>0</v>
      </c>
      <c r="S26" s="1219">
        <v>75</v>
      </c>
      <c r="T26" s="1219">
        <v>68</v>
      </c>
      <c r="U26" s="1219">
        <v>103</v>
      </c>
      <c r="V26" s="1219">
        <v>91</v>
      </c>
      <c r="W26" s="1219">
        <v>55</v>
      </c>
      <c r="X26" s="1219">
        <v>75</v>
      </c>
      <c r="Y26" s="1219">
        <v>113</v>
      </c>
      <c r="Z26" s="1219">
        <v>86</v>
      </c>
      <c r="AA26" s="1219">
        <v>94</v>
      </c>
      <c r="AB26" s="1219">
        <v>108</v>
      </c>
      <c r="AC26" s="1219">
        <v>64</v>
      </c>
      <c r="AD26" s="1219">
        <v>82</v>
      </c>
      <c r="AE26" s="1219">
        <v>102</v>
      </c>
      <c r="AF26" s="1219">
        <v>104</v>
      </c>
      <c r="AG26" s="1219">
        <v>74</v>
      </c>
      <c r="AH26" s="1219">
        <v>98</v>
      </c>
      <c r="AI26" s="1219">
        <v>104</v>
      </c>
      <c r="AJ26" s="1219"/>
      <c r="AK26" s="1221">
        <f t="shared" si="0"/>
        <v>2373</v>
      </c>
      <c r="AL26" s="1221">
        <f t="shared" si="1"/>
        <v>1140.349615245882</v>
      </c>
      <c r="AM26" s="165" t="s">
        <v>1959</v>
      </c>
      <c r="AN26" s="1221">
        <f t="shared" si="2"/>
        <v>949.2</v>
      </c>
      <c r="AO26" s="1250">
        <f t="shared" si="3"/>
        <v>191.14961524588193</v>
      </c>
    </row>
    <row r="27" spans="1:47" s="156" customFormat="1" ht="19.149999999999999" customHeight="1" outlineLevel="1">
      <c r="A27" s="1219">
        <v>16</v>
      </c>
      <c r="B27" s="1219"/>
      <c r="C27" s="1639" t="s">
        <v>3301</v>
      </c>
      <c r="D27" s="1220" t="s">
        <v>3185</v>
      </c>
      <c r="E27" s="1221"/>
      <c r="F27" s="1219">
        <v>0</v>
      </c>
      <c r="G27" s="1219">
        <v>158</v>
      </c>
      <c r="H27" s="1219">
        <v>60</v>
      </c>
      <c r="I27" s="1219">
        <v>93</v>
      </c>
      <c r="J27" s="1219">
        <v>120</v>
      </c>
      <c r="K27" s="1219">
        <v>53</v>
      </c>
      <c r="L27" s="1219">
        <v>42</v>
      </c>
      <c r="M27" s="1219">
        <v>56</v>
      </c>
      <c r="N27" s="1219">
        <v>57</v>
      </c>
      <c r="O27" s="1219">
        <v>71</v>
      </c>
      <c r="P27" s="1219">
        <v>53</v>
      </c>
      <c r="Q27" s="1219">
        <v>115</v>
      </c>
      <c r="R27" s="1219">
        <v>0</v>
      </c>
      <c r="S27" s="1219">
        <v>75</v>
      </c>
      <c r="T27" s="1219">
        <v>68</v>
      </c>
      <c r="U27" s="1219">
        <v>104</v>
      </c>
      <c r="V27" s="1219">
        <v>90</v>
      </c>
      <c r="W27" s="1219">
        <v>54</v>
      </c>
      <c r="X27" s="1219">
        <v>75</v>
      </c>
      <c r="Y27" s="1219">
        <v>113</v>
      </c>
      <c r="Z27" s="1219">
        <v>86</v>
      </c>
      <c r="AA27" s="1219">
        <v>94</v>
      </c>
      <c r="AB27" s="1219">
        <v>108</v>
      </c>
      <c r="AC27" s="1219">
        <v>64</v>
      </c>
      <c r="AD27" s="1219">
        <v>82</v>
      </c>
      <c r="AE27" s="1219">
        <v>102</v>
      </c>
      <c r="AF27" s="1219">
        <v>104</v>
      </c>
      <c r="AG27" s="1219">
        <v>74</v>
      </c>
      <c r="AH27" s="1219">
        <v>98</v>
      </c>
      <c r="AI27" s="1219">
        <v>104</v>
      </c>
      <c r="AJ27" s="1219"/>
      <c r="AK27" s="1221">
        <f t="shared" si="0"/>
        <v>2373</v>
      </c>
      <c r="AL27" s="1221">
        <f t="shared" si="1"/>
        <v>1140.349615245882</v>
      </c>
      <c r="AM27" s="165" t="s">
        <v>1959</v>
      </c>
      <c r="AN27" s="1221">
        <f t="shared" si="2"/>
        <v>949.2</v>
      </c>
      <c r="AO27" s="1250">
        <f t="shared" si="3"/>
        <v>191.14961524588193</v>
      </c>
    </row>
    <row r="28" spans="1:47" s="156" customFormat="1" ht="19.149999999999999" customHeight="1" outlineLevel="1">
      <c r="A28" s="1219">
        <v>17</v>
      </c>
      <c r="B28" s="1219"/>
      <c r="C28" s="1639" t="s">
        <v>3302</v>
      </c>
      <c r="D28" s="1220" t="s">
        <v>3186</v>
      </c>
      <c r="E28" s="1221"/>
      <c r="F28" s="1219">
        <v>84</v>
      </c>
      <c r="G28" s="1219">
        <v>200</v>
      </c>
      <c r="H28" s="1219">
        <v>0</v>
      </c>
      <c r="I28" s="1219">
        <v>0</v>
      </c>
      <c r="J28" s="1219">
        <v>0</v>
      </c>
      <c r="K28" s="1219">
        <v>0</v>
      </c>
      <c r="L28" s="1219">
        <v>0</v>
      </c>
      <c r="M28" s="1219">
        <v>100</v>
      </c>
      <c r="N28" s="1219">
        <v>0</v>
      </c>
      <c r="O28" s="1219">
        <v>40</v>
      </c>
      <c r="P28" s="1219">
        <v>111</v>
      </c>
      <c r="Q28" s="1219">
        <v>60</v>
      </c>
      <c r="R28" s="1219">
        <v>0</v>
      </c>
      <c r="S28" s="1219">
        <v>0</v>
      </c>
      <c r="T28" s="1219">
        <v>0</v>
      </c>
      <c r="U28" s="1219">
        <v>173</v>
      </c>
      <c r="V28" s="1219">
        <v>140</v>
      </c>
      <c r="W28" s="1219">
        <v>114</v>
      </c>
      <c r="X28" s="1219">
        <v>85</v>
      </c>
      <c r="Y28" s="1219">
        <v>218</v>
      </c>
      <c r="Z28" s="1219">
        <v>118</v>
      </c>
      <c r="AA28" s="1219">
        <v>0</v>
      </c>
      <c r="AB28" s="1219">
        <v>0</v>
      </c>
      <c r="AC28" s="1219">
        <v>0</v>
      </c>
      <c r="AD28" s="1219">
        <v>0</v>
      </c>
      <c r="AE28" s="1219">
        <v>175</v>
      </c>
      <c r="AF28" s="1219">
        <v>124</v>
      </c>
      <c r="AG28" s="1219">
        <v>333</v>
      </c>
      <c r="AH28" s="1219">
        <v>261</v>
      </c>
      <c r="AI28" s="1219">
        <v>0</v>
      </c>
      <c r="AJ28" s="1219"/>
      <c r="AK28" s="1221">
        <f t="shared" si="0"/>
        <v>2336</v>
      </c>
      <c r="AL28" s="1221">
        <f t="shared" si="1"/>
        <v>1122.5691956234218</v>
      </c>
      <c r="AM28" s="165" t="s">
        <v>1957</v>
      </c>
      <c r="AN28" s="1221">
        <f t="shared" si="2"/>
        <v>934.40000000000009</v>
      </c>
      <c r="AO28" s="1250">
        <f t="shared" si="3"/>
        <v>188.16919562342173</v>
      </c>
    </row>
    <row r="29" spans="1:47" s="156" customFormat="1" ht="19.149999999999999" customHeight="1" outlineLevel="1">
      <c r="A29" s="1219">
        <v>18</v>
      </c>
      <c r="B29" s="1219"/>
      <c r="C29" s="1219" t="s">
        <v>3311</v>
      </c>
      <c r="D29" s="1220" t="s">
        <v>3187</v>
      </c>
      <c r="E29" s="1221"/>
      <c r="F29" s="1219">
        <v>24</v>
      </c>
      <c r="G29" s="1219">
        <v>58</v>
      </c>
      <c r="H29" s="1219">
        <v>55</v>
      </c>
      <c r="I29" s="1219">
        <v>65</v>
      </c>
      <c r="J29" s="1219">
        <v>0</v>
      </c>
      <c r="K29" s="1219">
        <v>24</v>
      </c>
      <c r="L29" s="1219">
        <v>50</v>
      </c>
      <c r="M29" s="1219">
        <v>58</v>
      </c>
      <c r="N29" s="1219">
        <v>43</v>
      </c>
      <c r="O29" s="1219">
        <v>37</v>
      </c>
      <c r="P29" s="1219">
        <v>33</v>
      </c>
      <c r="Q29" s="1219">
        <v>115</v>
      </c>
      <c r="R29" s="1219">
        <v>0</v>
      </c>
      <c r="S29" s="1219">
        <v>0</v>
      </c>
      <c r="T29" s="1219">
        <v>42</v>
      </c>
      <c r="U29" s="1219">
        <v>75</v>
      </c>
      <c r="V29" s="1219">
        <v>107</v>
      </c>
      <c r="W29" s="1219">
        <v>93</v>
      </c>
      <c r="X29" s="1219">
        <v>70</v>
      </c>
      <c r="Y29" s="1219">
        <v>80</v>
      </c>
      <c r="Z29" s="1219">
        <v>84</v>
      </c>
      <c r="AA29" s="1219">
        <v>53</v>
      </c>
      <c r="AB29" s="1219">
        <v>0</v>
      </c>
      <c r="AC29" s="1219">
        <v>110</v>
      </c>
      <c r="AD29" s="1219">
        <v>109</v>
      </c>
      <c r="AE29" s="1219">
        <v>45</v>
      </c>
      <c r="AF29" s="1219">
        <v>162</v>
      </c>
      <c r="AG29" s="1219">
        <v>65</v>
      </c>
      <c r="AH29" s="1219">
        <v>81</v>
      </c>
      <c r="AI29" s="1219">
        <v>44</v>
      </c>
      <c r="AJ29" s="1219"/>
      <c r="AK29" s="1221">
        <f t="shared" si="0"/>
        <v>1782</v>
      </c>
      <c r="AL29" s="1221">
        <f t="shared" si="1"/>
        <v>856.34345316820975</v>
      </c>
      <c r="AM29" s="165" t="s">
        <v>1959</v>
      </c>
      <c r="AN29" s="1221">
        <f t="shared" si="2"/>
        <v>712.80000000000007</v>
      </c>
      <c r="AO29" s="1250">
        <f t="shared" si="3"/>
        <v>143.54345316820968</v>
      </c>
    </row>
    <row r="30" spans="1:47" s="156" customFormat="1" ht="19.149999999999999" customHeight="1" outlineLevel="1">
      <c r="A30" s="1219">
        <v>19</v>
      </c>
      <c r="B30" s="1219"/>
      <c r="C30" s="1219" t="s">
        <v>3303</v>
      </c>
      <c r="D30" s="1220" t="s">
        <v>3188</v>
      </c>
      <c r="E30" s="1221"/>
      <c r="F30" s="1219">
        <v>28</v>
      </c>
      <c r="G30" s="1219">
        <v>31</v>
      </c>
      <c r="H30" s="1219">
        <v>45</v>
      </c>
      <c r="I30" s="1219">
        <v>86</v>
      </c>
      <c r="J30" s="1219">
        <v>0</v>
      </c>
      <c r="K30" s="1219">
        <v>0</v>
      </c>
      <c r="L30" s="1219">
        <v>0</v>
      </c>
      <c r="M30" s="1219">
        <v>0</v>
      </c>
      <c r="N30" s="1219">
        <v>0</v>
      </c>
      <c r="O30" s="1219">
        <v>55</v>
      </c>
      <c r="P30" s="1219">
        <v>70</v>
      </c>
      <c r="Q30" s="1219">
        <v>72</v>
      </c>
      <c r="R30" s="1219">
        <v>0</v>
      </c>
      <c r="S30" s="1219">
        <v>0</v>
      </c>
      <c r="T30" s="1219">
        <v>15</v>
      </c>
      <c r="U30" s="1219">
        <v>74</v>
      </c>
      <c r="V30" s="1219">
        <v>0</v>
      </c>
      <c r="W30" s="1219">
        <v>0</v>
      </c>
      <c r="X30" s="1219">
        <v>0</v>
      </c>
      <c r="Y30" s="1219">
        <v>0</v>
      </c>
      <c r="Z30" s="1219">
        <v>0</v>
      </c>
      <c r="AA30" s="1219">
        <v>0</v>
      </c>
      <c r="AB30" s="1219">
        <v>0</v>
      </c>
      <c r="AC30" s="1219">
        <v>0</v>
      </c>
      <c r="AD30" s="1219">
        <v>0</v>
      </c>
      <c r="AE30" s="1219">
        <v>138</v>
      </c>
      <c r="AF30" s="1219">
        <v>144</v>
      </c>
      <c r="AG30" s="1219">
        <v>144</v>
      </c>
      <c r="AH30" s="1219">
        <v>130</v>
      </c>
      <c r="AI30" s="1219">
        <v>52</v>
      </c>
      <c r="AJ30" s="1219"/>
      <c r="AK30" s="1221">
        <f t="shared" si="0"/>
        <v>1084</v>
      </c>
      <c r="AL30" s="1221">
        <f t="shared" si="1"/>
        <v>520.91823974990984</v>
      </c>
      <c r="AM30" s="165" t="s">
        <v>1957</v>
      </c>
      <c r="AN30" s="1221">
        <f t="shared" si="2"/>
        <v>433.6</v>
      </c>
      <c r="AO30" s="1250">
        <f t="shared" si="3"/>
        <v>87.318239749909822</v>
      </c>
    </row>
    <row r="31" spans="1:47" s="156" customFormat="1" ht="19.149999999999999" customHeight="1" outlineLevel="1">
      <c r="A31" s="1219">
        <v>20</v>
      </c>
      <c r="B31" s="1219"/>
      <c r="C31" s="1639" t="s">
        <v>3304</v>
      </c>
      <c r="D31" s="1220" t="s">
        <v>3189</v>
      </c>
      <c r="E31" s="1221"/>
      <c r="F31" s="1219">
        <v>55</v>
      </c>
      <c r="G31" s="1219">
        <v>172</v>
      </c>
      <c r="H31" s="1219">
        <v>82</v>
      </c>
      <c r="I31" s="1219">
        <v>125</v>
      </c>
      <c r="J31" s="1219">
        <v>0</v>
      </c>
      <c r="K31" s="1219">
        <v>14</v>
      </c>
      <c r="L31" s="1219">
        <v>20</v>
      </c>
      <c r="M31" s="1219">
        <v>26</v>
      </c>
      <c r="N31" s="1219">
        <v>28</v>
      </c>
      <c r="O31" s="1219">
        <v>20</v>
      </c>
      <c r="P31" s="1219">
        <v>25</v>
      </c>
      <c r="Q31" s="1219">
        <v>87</v>
      </c>
      <c r="R31" s="1219">
        <v>0</v>
      </c>
      <c r="S31" s="1219">
        <v>21</v>
      </c>
      <c r="T31" s="1219">
        <v>50</v>
      </c>
      <c r="U31" s="1219">
        <v>120</v>
      </c>
      <c r="V31" s="1219">
        <v>82</v>
      </c>
      <c r="W31" s="1219">
        <v>0</v>
      </c>
      <c r="X31" s="1219">
        <v>0</v>
      </c>
      <c r="Y31" s="1219">
        <v>64</v>
      </c>
      <c r="Z31" s="1219">
        <v>65</v>
      </c>
      <c r="AA31" s="1219">
        <v>69</v>
      </c>
      <c r="AB31" s="1219">
        <v>62</v>
      </c>
      <c r="AC31" s="1219">
        <v>69</v>
      </c>
      <c r="AD31" s="1219">
        <v>88</v>
      </c>
      <c r="AE31" s="1219">
        <v>54</v>
      </c>
      <c r="AF31" s="1219">
        <v>20</v>
      </c>
      <c r="AG31" s="1219">
        <v>51</v>
      </c>
      <c r="AH31" s="1219">
        <v>43</v>
      </c>
      <c r="AI31" s="1219">
        <v>44</v>
      </c>
      <c r="AJ31" s="1219"/>
      <c r="AK31" s="1221">
        <f t="shared" si="0"/>
        <v>1556</v>
      </c>
      <c r="AL31" s="1221">
        <f t="shared" si="1"/>
        <v>747.73872790669714</v>
      </c>
      <c r="AM31" s="165" t="s">
        <v>1957</v>
      </c>
      <c r="AN31" s="1221">
        <f t="shared" si="2"/>
        <v>622.40000000000009</v>
      </c>
      <c r="AO31" s="1250">
        <f t="shared" si="3"/>
        <v>125.33872790669705</v>
      </c>
    </row>
    <row r="32" spans="1:47" s="156" customFormat="1" ht="19.149999999999999" customHeight="1" outlineLevel="1">
      <c r="A32" s="1219">
        <v>21</v>
      </c>
      <c r="B32" s="1219"/>
      <c r="C32" s="1219"/>
      <c r="D32" s="1220" t="s">
        <v>3190</v>
      </c>
      <c r="E32" s="1221"/>
      <c r="F32" s="1219">
        <v>49</v>
      </c>
      <c r="G32" s="1219">
        <v>51</v>
      </c>
      <c r="H32" s="1219">
        <v>53</v>
      </c>
      <c r="I32" s="1219">
        <v>42</v>
      </c>
      <c r="J32" s="1219">
        <v>0</v>
      </c>
      <c r="K32" s="1219">
        <v>41</v>
      </c>
      <c r="L32" s="1219">
        <v>0</v>
      </c>
      <c r="M32" s="1219">
        <v>52</v>
      </c>
      <c r="N32" s="1219">
        <v>50</v>
      </c>
      <c r="O32" s="1219">
        <v>65</v>
      </c>
      <c r="P32" s="1219">
        <v>69</v>
      </c>
      <c r="Q32" s="1219">
        <v>104</v>
      </c>
      <c r="R32" s="1219">
        <v>0</v>
      </c>
      <c r="S32" s="1219">
        <v>0</v>
      </c>
      <c r="T32" s="1219">
        <v>0</v>
      </c>
      <c r="U32" s="1219">
        <v>65</v>
      </c>
      <c r="V32" s="1219">
        <v>110</v>
      </c>
      <c r="W32" s="1219">
        <v>75</v>
      </c>
      <c r="X32" s="1219">
        <v>0</v>
      </c>
      <c r="Y32" s="1219">
        <v>78</v>
      </c>
      <c r="Z32" s="1219">
        <v>100</v>
      </c>
      <c r="AA32" s="1219">
        <v>0</v>
      </c>
      <c r="AB32" s="1219">
        <v>0</v>
      </c>
      <c r="AC32" s="1219">
        <v>0</v>
      </c>
      <c r="AD32" s="1219">
        <v>105</v>
      </c>
      <c r="AE32" s="1219">
        <v>60</v>
      </c>
      <c r="AF32" s="1219">
        <v>80</v>
      </c>
      <c r="AG32" s="1219">
        <v>39</v>
      </c>
      <c r="AH32" s="1219">
        <v>110</v>
      </c>
      <c r="AI32" s="1219">
        <v>0</v>
      </c>
      <c r="AJ32" s="1219"/>
      <c r="AK32" s="1221">
        <f t="shared" si="0"/>
        <v>1398</v>
      </c>
      <c r="AL32" s="1221">
        <f t="shared" si="1"/>
        <v>671.81153059997598</v>
      </c>
      <c r="AM32" s="165" t="s">
        <v>1957</v>
      </c>
      <c r="AN32" s="1221">
        <f t="shared" si="2"/>
        <v>559.20000000000005</v>
      </c>
      <c r="AO32" s="1250">
        <f t="shared" si="3"/>
        <v>112.61153059997594</v>
      </c>
    </row>
    <row r="33" spans="1:42" s="156" customFormat="1" ht="19.149999999999999" customHeight="1" outlineLevel="1">
      <c r="A33" s="1219">
        <v>22</v>
      </c>
      <c r="B33" s="1219"/>
      <c r="C33" s="1639" t="s">
        <v>3305</v>
      </c>
      <c r="D33" s="1220" t="s">
        <v>3191</v>
      </c>
      <c r="E33" s="1221"/>
      <c r="F33" s="1219">
        <v>45</v>
      </c>
      <c r="G33" s="1219">
        <v>45</v>
      </c>
      <c r="H33" s="1219">
        <v>76</v>
      </c>
      <c r="I33" s="1219">
        <v>29</v>
      </c>
      <c r="J33" s="1219">
        <v>0</v>
      </c>
      <c r="K33" s="1219">
        <v>49</v>
      </c>
      <c r="L33" s="1219">
        <v>0</v>
      </c>
      <c r="M33" s="1219">
        <v>0</v>
      </c>
      <c r="N33" s="1219">
        <v>95</v>
      </c>
      <c r="O33" s="1219">
        <v>45</v>
      </c>
      <c r="P33" s="1219">
        <v>66</v>
      </c>
      <c r="Q33" s="1219">
        <v>125</v>
      </c>
      <c r="R33" s="1219">
        <v>0</v>
      </c>
      <c r="S33" s="1219">
        <v>0</v>
      </c>
      <c r="T33" s="1219">
        <v>38</v>
      </c>
      <c r="U33" s="1219">
        <v>0</v>
      </c>
      <c r="V33" s="1219">
        <v>78</v>
      </c>
      <c r="W33" s="1219">
        <v>97</v>
      </c>
      <c r="X33" s="1219">
        <v>74</v>
      </c>
      <c r="Y33" s="1219">
        <v>158</v>
      </c>
      <c r="Z33" s="1219">
        <v>145</v>
      </c>
      <c r="AA33" s="1219">
        <v>135</v>
      </c>
      <c r="AB33" s="1219">
        <v>136</v>
      </c>
      <c r="AC33" s="1219">
        <v>72</v>
      </c>
      <c r="AD33" s="1219">
        <v>80</v>
      </c>
      <c r="AE33" s="1219">
        <v>88</v>
      </c>
      <c r="AF33" s="1219">
        <v>74</v>
      </c>
      <c r="AG33" s="1219">
        <v>93</v>
      </c>
      <c r="AH33" s="1219">
        <v>70</v>
      </c>
      <c r="AI33" s="1219">
        <v>0</v>
      </c>
      <c r="AJ33" s="1219"/>
      <c r="AK33" s="1221">
        <f t="shared" si="0"/>
        <v>1913</v>
      </c>
      <c r="AL33" s="1221">
        <f t="shared" si="1"/>
        <v>919.29574966935195</v>
      </c>
      <c r="AM33" s="165" t="s">
        <v>1957</v>
      </c>
      <c r="AN33" s="1221">
        <f t="shared" si="2"/>
        <v>765.2</v>
      </c>
      <c r="AO33" s="1250">
        <f t="shared" si="3"/>
        <v>154.0957496693519</v>
      </c>
    </row>
    <row r="34" spans="1:42" s="156" customFormat="1" ht="19.149999999999999" customHeight="1" outlineLevel="1">
      <c r="A34" s="1219">
        <v>23</v>
      </c>
      <c r="B34" s="1219"/>
      <c r="C34" s="1219" t="s">
        <v>3306</v>
      </c>
      <c r="D34" s="1220" t="s">
        <v>3192</v>
      </c>
      <c r="E34" s="1221"/>
      <c r="F34" s="1219">
        <v>45</v>
      </c>
      <c r="G34" s="1219">
        <v>26</v>
      </c>
      <c r="H34" s="1219">
        <v>100</v>
      </c>
      <c r="I34" s="1219">
        <v>64</v>
      </c>
      <c r="J34" s="1219">
        <v>27</v>
      </c>
      <c r="K34" s="1219">
        <v>20</v>
      </c>
      <c r="L34" s="1219">
        <v>95</v>
      </c>
      <c r="M34" s="1219">
        <v>83</v>
      </c>
      <c r="N34" s="1219">
        <v>21</v>
      </c>
      <c r="O34" s="1219">
        <v>30</v>
      </c>
      <c r="P34" s="1219">
        <v>55</v>
      </c>
      <c r="Q34" s="1219">
        <v>110</v>
      </c>
      <c r="R34" s="1219">
        <v>0</v>
      </c>
      <c r="S34" s="1219">
        <v>50</v>
      </c>
      <c r="T34" s="1219">
        <v>30</v>
      </c>
      <c r="U34" s="1219">
        <v>210</v>
      </c>
      <c r="V34" s="1219">
        <v>165</v>
      </c>
      <c r="W34" s="1219">
        <v>25</v>
      </c>
      <c r="X34" s="1219">
        <v>31</v>
      </c>
      <c r="Y34" s="1219">
        <v>136</v>
      </c>
      <c r="Z34" s="1219">
        <v>120</v>
      </c>
      <c r="AA34" s="1219">
        <v>47</v>
      </c>
      <c r="AB34" s="1219">
        <v>33</v>
      </c>
      <c r="AC34" s="1219">
        <v>110</v>
      </c>
      <c r="AD34" s="1219">
        <v>59</v>
      </c>
      <c r="AE34" s="1219">
        <v>46</v>
      </c>
      <c r="AF34" s="1219">
        <v>45</v>
      </c>
      <c r="AG34" s="1219">
        <v>113</v>
      </c>
      <c r="AH34" s="1219">
        <v>121</v>
      </c>
      <c r="AI34" s="1219">
        <v>38</v>
      </c>
      <c r="AJ34" s="1219"/>
      <c r="AK34" s="1221">
        <f t="shared" si="0"/>
        <v>2055</v>
      </c>
      <c r="AL34" s="1221">
        <f t="shared" si="1"/>
        <v>987.53411686906338</v>
      </c>
      <c r="AM34" s="165" t="s">
        <v>1957</v>
      </c>
      <c r="AN34" s="1221">
        <f t="shared" si="2"/>
        <v>822</v>
      </c>
      <c r="AO34" s="1250">
        <f t="shared" si="3"/>
        <v>165.53411686906338</v>
      </c>
    </row>
    <row r="35" spans="1:42" s="156" customFormat="1" ht="19.149999999999999" customHeight="1" outlineLevel="1">
      <c r="A35" s="1219">
        <v>24</v>
      </c>
      <c r="B35" s="1219"/>
      <c r="C35" s="1639"/>
      <c r="D35" s="1220" t="s">
        <v>3193</v>
      </c>
      <c r="E35" s="1221"/>
      <c r="F35" s="1219">
        <v>17</v>
      </c>
      <c r="G35" s="1219">
        <v>43</v>
      </c>
      <c r="H35" s="1219">
        <v>55</v>
      </c>
      <c r="I35" s="1219">
        <v>35</v>
      </c>
      <c r="J35" s="1219">
        <v>0</v>
      </c>
      <c r="K35" s="1219">
        <v>43</v>
      </c>
      <c r="L35" s="1219">
        <v>0</v>
      </c>
      <c r="M35" s="1219">
        <v>0</v>
      </c>
      <c r="N35" s="1219">
        <v>0</v>
      </c>
      <c r="O35" s="1219">
        <v>0</v>
      </c>
      <c r="P35" s="1219">
        <v>72</v>
      </c>
      <c r="Q35" s="1219">
        <v>0</v>
      </c>
      <c r="R35" s="1219">
        <v>0</v>
      </c>
      <c r="S35" s="1219">
        <v>0</v>
      </c>
      <c r="T35" s="1219">
        <v>0</v>
      </c>
      <c r="U35" s="1219">
        <v>0</v>
      </c>
      <c r="V35" s="1219">
        <v>0</v>
      </c>
      <c r="W35" s="1219">
        <v>89</v>
      </c>
      <c r="X35" s="1219">
        <v>53</v>
      </c>
      <c r="Y35" s="1219">
        <v>20</v>
      </c>
      <c r="Z35" s="1219">
        <v>0</v>
      </c>
      <c r="AA35" s="1219">
        <v>33</v>
      </c>
      <c r="AB35" s="1219">
        <v>0</v>
      </c>
      <c r="AC35" s="1219">
        <v>0</v>
      </c>
      <c r="AD35" s="1219">
        <v>53</v>
      </c>
      <c r="AE35" s="1219">
        <v>0</v>
      </c>
      <c r="AF35" s="1219">
        <v>0</v>
      </c>
      <c r="AG35" s="1219">
        <v>45</v>
      </c>
      <c r="AH35" s="1219">
        <v>45</v>
      </c>
      <c r="AI35" s="1219">
        <v>32</v>
      </c>
      <c r="AJ35" s="1219"/>
      <c r="AK35" s="1221">
        <f t="shared" si="0"/>
        <v>635</v>
      </c>
      <c r="AL35" s="1221">
        <f t="shared" si="1"/>
        <v>305.15044487194905</v>
      </c>
      <c r="AM35" s="165" t="s">
        <v>1957</v>
      </c>
      <c r="AN35" s="1221">
        <f t="shared" si="2"/>
        <v>254</v>
      </c>
      <c r="AO35" s="1250">
        <f t="shared" si="3"/>
        <v>51.150444871949048</v>
      </c>
    </row>
    <row r="36" spans="1:42" s="156" customFormat="1" ht="19.149999999999999" customHeight="1" outlineLevel="1">
      <c r="A36" s="1219">
        <v>25</v>
      </c>
      <c r="B36" s="1219"/>
      <c r="C36" s="1639"/>
      <c r="D36" s="1220" t="s">
        <v>3194</v>
      </c>
      <c r="E36" s="1221"/>
      <c r="F36" s="1219">
        <v>46</v>
      </c>
      <c r="G36" s="1219">
        <v>35</v>
      </c>
      <c r="H36" s="1219">
        <v>53</v>
      </c>
      <c r="I36" s="1219">
        <v>48</v>
      </c>
      <c r="J36" s="1219">
        <v>0</v>
      </c>
      <c r="K36" s="1219">
        <v>0</v>
      </c>
      <c r="L36" s="1219">
        <v>0</v>
      </c>
      <c r="M36" s="1219">
        <v>30</v>
      </c>
      <c r="N36" s="1219">
        <v>30</v>
      </c>
      <c r="O36" s="1219">
        <v>80</v>
      </c>
      <c r="P36" s="1219">
        <v>0</v>
      </c>
      <c r="Q36" s="1219">
        <v>0</v>
      </c>
      <c r="R36" s="1219">
        <v>0</v>
      </c>
      <c r="S36" s="1219">
        <v>0</v>
      </c>
      <c r="T36" s="1219">
        <v>0</v>
      </c>
      <c r="U36" s="1219">
        <v>0</v>
      </c>
      <c r="V36" s="1219">
        <v>0</v>
      </c>
      <c r="W36" s="1219">
        <v>0</v>
      </c>
      <c r="X36" s="1219">
        <v>0</v>
      </c>
      <c r="Y36" s="1219">
        <v>0</v>
      </c>
      <c r="Z36" s="169">
        <v>0</v>
      </c>
      <c r="AA36" s="169">
        <v>0</v>
      </c>
      <c r="AB36" s="1241">
        <v>0</v>
      </c>
      <c r="AC36" s="1241">
        <v>0</v>
      </c>
      <c r="AD36" s="1241">
        <v>0</v>
      </c>
      <c r="AE36" s="1241">
        <v>54</v>
      </c>
      <c r="AF36" s="1241">
        <v>111</v>
      </c>
      <c r="AG36" s="1241">
        <v>150</v>
      </c>
      <c r="AH36" s="1241">
        <v>103</v>
      </c>
      <c r="AI36" s="1241">
        <v>25</v>
      </c>
      <c r="AJ36" s="1241"/>
      <c r="AK36" s="1221">
        <f t="shared" si="0"/>
        <v>765</v>
      </c>
      <c r="AL36" s="1221">
        <f t="shared" si="1"/>
        <v>367.62218949140316</v>
      </c>
      <c r="AM36" s="165" t="s">
        <v>1957</v>
      </c>
      <c r="AN36" s="1221">
        <f t="shared" ref="AN36:AN89" si="4">+AK36*40%</f>
        <v>306</v>
      </c>
      <c r="AO36" s="1250">
        <f t="shared" ref="AO36:AO89" si="5">+AL36-AN36</f>
        <v>61.622189491403162</v>
      </c>
      <c r="AP36" s="615"/>
    </row>
    <row r="37" spans="1:42" s="156" customFormat="1" ht="19.149999999999999" customHeight="1" outlineLevel="1">
      <c r="A37" s="1219">
        <v>26</v>
      </c>
      <c r="B37" s="1219"/>
      <c r="C37" s="1639"/>
      <c r="D37" s="1220" t="s">
        <v>3195</v>
      </c>
      <c r="E37" s="1221"/>
      <c r="F37" s="1219">
        <v>18</v>
      </c>
      <c r="G37" s="1219">
        <v>69</v>
      </c>
      <c r="H37" s="1219">
        <v>55</v>
      </c>
      <c r="I37" s="1219">
        <v>35</v>
      </c>
      <c r="J37" s="1219">
        <v>0</v>
      </c>
      <c r="K37" s="1219">
        <v>0</v>
      </c>
      <c r="L37" s="1219">
        <v>0</v>
      </c>
      <c r="M37" s="1219">
        <v>0</v>
      </c>
      <c r="N37" s="1219">
        <v>0</v>
      </c>
      <c r="O37" s="1219">
        <v>0</v>
      </c>
      <c r="P37" s="1219">
        <v>0</v>
      </c>
      <c r="Q37" s="1219">
        <v>0</v>
      </c>
      <c r="R37" s="1219">
        <v>0</v>
      </c>
      <c r="S37" s="1219">
        <v>0</v>
      </c>
      <c r="T37" s="1219">
        <v>0</v>
      </c>
      <c r="U37" s="1219">
        <v>0</v>
      </c>
      <c r="V37" s="1219">
        <v>0</v>
      </c>
      <c r="W37" s="1219">
        <v>0</v>
      </c>
      <c r="X37" s="1219">
        <v>0</v>
      </c>
      <c r="Y37" s="1219">
        <v>0</v>
      </c>
      <c r="Z37" s="169">
        <v>0</v>
      </c>
      <c r="AA37" s="169">
        <v>0</v>
      </c>
      <c r="AB37" s="1241">
        <v>0</v>
      </c>
      <c r="AC37" s="1241">
        <v>0</v>
      </c>
      <c r="AD37" s="1241">
        <v>0</v>
      </c>
      <c r="AE37" s="1241">
        <v>54</v>
      </c>
      <c r="AF37" s="1241">
        <v>111</v>
      </c>
      <c r="AG37" s="1241">
        <v>150</v>
      </c>
      <c r="AH37" s="1241">
        <v>103</v>
      </c>
      <c r="AI37" s="1241">
        <v>26</v>
      </c>
      <c r="AJ37" s="1241"/>
      <c r="AK37" s="1221">
        <f t="shared" si="0"/>
        <v>621</v>
      </c>
      <c r="AL37" s="1221">
        <f t="shared" si="1"/>
        <v>298.4227185283155</v>
      </c>
      <c r="AM37" s="165" t="s">
        <v>1957</v>
      </c>
      <c r="AN37" s="1221">
        <f t="shared" si="4"/>
        <v>248.4</v>
      </c>
      <c r="AO37" s="1250">
        <f t="shared" si="5"/>
        <v>50.022718528315494</v>
      </c>
      <c r="AP37" s="615"/>
    </row>
    <row r="38" spans="1:42" s="156" customFormat="1" ht="19.149999999999999" customHeight="1" outlineLevel="1">
      <c r="A38" s="1219">
        <v>27</v>
      </c>
      <c r="B38" s="1219"/>
      <c r="C38" s="1639" t="s">
        <v>3294</v>
      </c>
      <c r="D38" s="1220" t="s">
        <v>3196</v>
      </c>
      <c r="E38" s="1221"/>
      <c r="F38" s="1219">
        <v>68</v>
      </c>
      <c r="G38" s="1219">
        <v>163</v>
      </c>
      <c r="H38" s="1219">
        <v>160</v>
      </c>
      <c r="I38" s="1219">
        <v>78</v>
      </c>
      <c r="J38" s="1219">
        <v>0</v>
      </c>
      <c r="K38" s="1219">
        <v>0</v>
      </c>
      <c r="L38" s="1219">
        <v>0</v>
      </c>
      <c r="M38" s="1219">
        <v>33</v>
      </c>
      <c r="N38" s="1219">
        <v>57</v>
      </c>
      <c r="O38" s="1219">
        <v>40</v>
      </c>
      <c r="P38" s="1219">
        <v>124</v>
      </c>
      <c r="Q38" s="1219">
        <v>93</v>
      </c>
      <c r="R38" s="1219">
        <v>0</v>
      </c>
      <c r="S38" s="1219">
        <v>0</v>
      </c>
      <c r="T38" s="1219">
        <v>46</v>
      </c>
      <c r="U38" s="1219">
        <v>157</v>
      </c>
      <c r="V38" s="1219">
        <v>0</v>
      </c>
      <c r="W38" s="1219">
        <v>0</v>
      </c>
      <c r="X38" s="1219">
        <v>0</v>
      </c>
      <c r="Y38" s="1219">
        <v>102</v>
      </c>
      <c r="Z38" s="169">
        <v>90</v>
      </c>
      <c r="AA38" s="169">
        <v>34</v>
      </c>
      <c r="AB38" s="1241">
        <v>126</v>
      </c>
      <c r="AC38" s="1241">
        <v>0</v>
      </c>
      <c r="AD38" s="1241">
        <v>0</v>
      </c>
      <c r="AE38" s="1241">
        <v>50</v>
      </c>
      <c r="AF38" s="1241">
        <v>0</v>
      </c>
      <c r="AG38" s="1241">
        <v>143</v>
      </c>
      <c r="AH38" s="1241">
        <v>101</v>
      </c>
      <c r="AI38" s="1241">
        <v>35</v>
      </c>
      <c r="AJ38" s="1241"/>
      <c r="AK38" s="1221">
        <f t="shared" si="0"/>
        <v>1700</v>
      </c>
      <c r="AL38" s="1221">
        <f t="shared" si="1"/>
        <v>816.93819886978474</v>
      </c>
      <c r="AM38" s="165" t="s">
        <v>1957</v>
      </c>
      <c r="AN38" s="1221">
        <f t="shared" si="4"/>
        <v>680</v>
      </c>
      <c r="AO38" s="1250">
        <f t="shared" si="5"/>
        <v>136.93819886978474</v>
      </c>
      <c r="AP38" s="615"/>
    </row>
    <row r="39" spans="1:42" s="156" customFormat="1" ht="19.149999999999999" customHeight="1" outlineLevel="1">
      <c r="A39" s="1219">
        <v>28</v>
      </c>
      <c r="B39" s="1219"/>
      <c r="C39" s="1639" t="s">
        <v>3307</v>
      </c>
      <c r="D39" s="1220" t="s">
        <v>3197</v>
      </c>
      <c r="E39" s="1221"/>
      <c r="F39" s="1219">
        <v>35</v>
      </c>
      <c r="G39" s="1219">
        <v>51</v>
      </c>
      <c r="H39" s="1219">
        <v>41</v>
      </c>
      <c r="I39" s="1219">
        <v>45</v>
      </c>
      <c r="J39" s="1219">
        <v>0</v>
      </c>
      <c r="K39" s="1219">
        <v>30</v>
      </c>
      <c r="L39" s="1219">
        <v>0</v>
      </c>
      <c r="M39" s="1219">
        <v>53</v>
      </c>
      <c r="N39" s="1219">
        <v>53</v>
      </c>
      <c r="O39" s="1219">
        <v>33</v>
      </c>
      <c r="P39" s="1219">
        <v>80</v>
      </c>
      <c r="Q39" s="1219">
        <v>70</v>
      </c>
      <c r="R39" s="1219">
        <v>0</v>
      </c>
      <c r="S39" s="1219">
        <v>0</v>
      </c>
      <c r="T39" s="1219">
        <v>0</v>
      </c>
      <c r="U39" s="1219">
        <v>0</v>
      </c>
      <c r="V39" s="1219">
        <v>75</v>
      </c>
      <c r="W39" s="1219">
        <v>79</v>
      </c>
      <c r="X39" s="1219">
        <v>59</v>
      </c>
      <c r="Y39" s="1219">
        <v>275</v>
      </c>
      <c r="Z39" s="169">
        <v>147</v>
      </c>
      <c r="AA39" s="169">
        <v>80</v>
      </c>
      <c r="AB39" s="1241">
        <v>69</v>
      </c>
      <c r="AC39" s="1241">
        <v>0</v>
      </c>
      <c r="AD39" s="1241">
        <v>94</v>
      </c>
      <c r="AE39" s="1241">
        <v>72</v>
      </c>
      <c r="AF39" s="1241">
        <v>54</v>
      </c>
      <c r="AG39" s="1241">
        <v>113</v>
      </c>
      <c r="AH39" s="1241">
        <v>86</v>
      </c>
      <c r="AI39" s="1241">
        <v>0</v>
      </c>
      <c r="AJ39" s="1241"/>
      <c r="AK39" s="1221">
        <f t="shared" si="0"/>
        <v>1694</v>
      </c>
      <c r="AL39" s="1221">
        <f t="shared" si="1"/>
        <v>814.05488757965611</v>
      </c>
      <c r="AM39" s="165" t="s">
        <v>1959</v>
      </c>
      <c r="AN39" s="1221">
        <f t="shared" si="4"/>
        <v>677.6</v>
      </c>
      <c r="AO39" s="1250">
        <f t="shared" si="5"/>
        <v>136.45488757965609</v>
      </c>
      <c r="AP39" s="615"/>
    </row>
    <row r="40" spans="1:42" s="156" customFormat="1" ht="19.149999999999999" customHeight="1" outlineLevel="1">
      <c r="A40" s="1219">
        <v>29</v>
      </c>
      <c r="B40" s="1219"/>
      <c r="C40" s="1639" t="s">
        <v>3308</v>
      </c>
      <c r="D40" s="1220" t="s">
        <v>3198</v>
      </c>
      <c r="E40" s="1221"/>
      <c r="F40" s="1219">
        <v>28</v>
      </c>
      <c r="G40" s="1219">
        <v>52</v>
      </c>
      <c r="H40" s="1219">
        <v>53</v>
      </c>
      <c r="I40" s="1219">
        <v>59</v>
      </c>
      <c r="J40" s="1219">
        <v>0</v>
      </c>
      <c r="K40" s="1219">
        <v>0</v>
      </c>
      <c r="L40" s="1219">
        <v>0</v>
      </c>
      <c r="M40" s="1219">
        <v>0</v>
      </c>
      <c r="N40" s="1219">
        <v>47</v>
      </c>
      <c r="O40" s="1219">
        <v>120</v>
      </c>
      <c r="P40" s="1219">
        <v>47</v>
      </c>
      <c r="Q40" s="1219">
        <v>109</v>
      </c>
      <c r="R40" s="1219">
        <v>0</v>
      </c>
      <c r="S40" s="1219">
        <v>0</v>
      </c>
      <c r="T40" s="1219">
        <v>27</v>
      </c>
      <c r="U40" s="1219">
        <v>0</v>
      </c>
      <c r="V40" s="1219">
        <v>100</v>
      </c>
      <c r="W40" s="1219">
        <v>0</v>
      </c>
      <c r="X40" s="1219">
        <v>0</v>
      </c>
      <c r="Y40" s="1219">
        <v>0</v>
      </c>
      <c r="Z40" s="169">
        <v>0</v>
      </c>
      <c r="AA40" s="169">
        <v>0</v>
      </c>
      <c r="AB40" s="1241">
        <v>0</v>
      </c>
      <c r="AC40" s="1241">
        <v>0</v>
      </c>
      <c r="AD40" s="1241">
        <v>0</v>
      </c>
      <c r="AE40" s="1241">
        <v>137</v>
      </c>
      <c r="AF40" s="1241">
        <v>144</v>
      </c>
      <c r="AG40" s="1241">
        <v>113</v>
      </c>
      <c r="AH40" s="1241">
        <v>126</v>
      </c>
      <c r="AI40" s="1241">
        <v>52</v>
      </c>
      <c r="AJ40" s="1241"/>
      <c r="AK40" s="1221">
        <f t="shared" si="0"/>
        <v>1214</v>
      </c>
      <c r="AL40" s="1221">
        <f t="shared" si="1"/>
        <v>583.3899843693639</v>
      </c>
      <c r="AM40" s="165" t="s">
        <v>1959</v>
      </c>
      <c r="AN40" s="1221">
        <f t="shared" si="4"/>
        <v>485.6</v>
      </c>
      <c r="AO40" s="1250">
        <f t="shared" si="5"/>
        <v>97.789984369363879</v>
      </c>
      <c r="AP40" s="615"/>
    </row>
    <row r="41" spans="1:42" s="156" customFormat="1" ht="19.149999999999999" customHeight="1" outlineLevel="1">
      <c r="A41" s="1219">
        <v>30</v>
      </c>
      <c r="B41" s="1219"/>
      <c r="C41" s="1639" t="s">
        <v>3309</v>
      </c>
      <c r="D41" s="1220" t="s">
        <v>3199</v>
      </c>
      <c r="E41" s="1221"/>
      <c r="F41" s="1219">
        <v>24</v>
      </c>
      <c r="G41" s="1219">
        <v>58</v>
      </c>
      <c r="H41" s="1219">
        <v>54</v>
      </c>
      <c r="I41" s="1219">
        <v>64</v>
      </c>
      <c r="J41" s="1219">
        <v>0</v>
      </c>
      <c r="K41" s="1219">
        <v>23</v>
      </c>
      <c r="L41" s="1219">
        <v>51</v>
      </c>
      <c r="M41" s="1219">
        <v>59</v>
      </c>
      <c r="N41" s="1219">
        <v>56</v>
      </c>
      <c r="O41" s="1219">
        <v>64</v>
      </c>
      <c r="P41" s="1219">
        <v>51</v>
      </c>
      <c r="Q41" s="1219">
        <v>111</v>
      </c>
      <c r="R41" s="1219">
        <v>0</v>
      </c>
      <c r="S41" s="1219">
        <v>0</v>
      </c>
      <c r="T41" s="1219">
        <v>42</v>
      </c>
      <c r="U41" s="1219">
        <v>75</v>
      </c>
      <c r="V41" s="1219">
        <v>107</v>
      </c>
      <c r="W41" s="1219">
        <v>70</v>
      </c>
      <c r="X41" s="1219">
        <v>60</v>
      </c>
      <c r="Y41" s="1219">
        <v>0</v>
      </c>
      <c r="Z41" s="169">
        <v>80</v>
      </c>
      <c r="AA41" s="169">
        <v>53</v>
      </c>
      <c r="AB41" s="1241">
        <v>0</v>
      </c>
      <c r="AC41" s="1241">
        <v>110</v>
      </c>
      <c r="AD41" s="1241">
        <v>109</v>
      </c>
      <c r="AE41" s="1241">
        <v>44</v>
      </c>
      <c r="AF41" s="1241">
        <v>162</v>
      </c>
      <c r="AG41" s="1241">
        <v>65</v>
      </c>
      <c r="AH41" s="1241">
        <v>81</v>
      </c>
      <c r="AI41" s="1241">
        <v>44</v>
      </c>
      <c r="AJ41" s="1241"/>
      <c r="AK41" s="1221">
        <f t="shared" si="0"/>
        <v>1717</v>
      </c>
      <c r="AL41" s="1221">
        <f t="shared" si="1"/>
        <v>825.10758085848261</v>
      </c>
      <c r="AM41" s="165" t="s">
        <v>1959</v>
      </c>
      <c r="AN41" s="1221">
        <f t="shared" si="4"/>
        <v>686.80000000000007</v>
      </c>
      <c r="AO41" s="1250">
        <f t="shared" si="5"/>
        <v>138.30758085848254</v>
      </c>
      <c r="AP41" s="615"/>
    </row>
    <row r="42" spans="1:42" s="156" customFormat="1" ht="19.149999999999999" customHeight="1" outlineLevel="1">
      <c r="A42" s="1219">
        <v>31</v>
      </c>
      <c r="B42" s="1219"/>
      <c r="C42" s="1639" t="s">
        <v>3310</v>
      </c>
      <c r="D42" s="1220" t="s">
        <v>3200</v>
      </c>
      <c r="E42" s="1221"/>
      <c r="F42" s="1219">
        <v>24</v>
      </c>
      <c r="G42" s="1219">
        <v>58</v>
      </c>
      <c r="H42" s="1219">
        <v>54</v>
      </c>
      <c r="I42" s="1219">
        <v>64</v>
      </c>
      <c r="J42" s="1219">
        <v>0</v>
      </c>
      <c r="K42" s="1219">
        <v>23</v>
      </c>
      <c r="L42" s="1219">
        <v>51</v>
      </c>
      <c r="M42" s="1219">
        <v>58</v>
      </c>
      <c r="N42" s="1219">
        <v>57</v>
      </c>
      <c r="O42" s="1219">
        <v>70</v>
      </c>
      <c r="P42" s="1219">
        <v>47</v>
      </c>
      <c r="Q42" s="1219">
        <v>112</v>
      </c>
      <c r="R42" s="1219">
        <v>0</v>
      </c>
      <c r="S42" s="1219">
        <v>0</v>
      </c>
      <c r="T42" s="1219">
        <v>42</v>
      </c>
      <c r="U42" s="1219">
        <v>75</v>
      </c>
      <c r="V42" s="1219">
        <v>107</v>
      </c>
      <c r="W42" s="1219">
        <v>70</v>
      </c>
      <c r="X42" s="1219">
        <v>60</v>
      </c>
      <c r="Y42" s="1219">
        <v>80</v>
      </c>
      <c r="Z42" s="169">
        <v>80</v>
      </c>
      <c r="AA42" s="169">
        <v>53</v>
      </c>
      <c r="AB42" s="1241">
        <v>0</v>
      </c>
      <c r="AC42" s="1241">
        <v>110</v>
      </c>
      <c r="AD42" s="1241">
        <v>109</v>
      </c>
      <c r="AE42" s="1241">
        <v>44</v>
      </c>
      <c r="AF42" s="1241">
        <v>162</v>
      </c>
      <c r="AG42" s="1241">
        <v>65</v>
      </c>
      <c r="AH42" s="1241">
        <v>80</v>
      </c>
      <c r="AI42" s="1241">
        <v>44</v>
      </c>
      <c r="AJ42" s="1241"/>
      <c r="AK42" s="1221">
        <f t="shared" si="0"/>
        <v>1799</v>
      </c>
      <c r="AL42" s="1221">
        <f t="shared" si="1"/>
        <v>864.5128351569075</v>
      </c>
      <c r="AM42" s="165" t="s">
        <v>1959</v>
      </c>
      <c r="AN42" s="1221">
        <f t="shared" si="4"/>
        <v>719.6</v>
      </c>
      <c r="AO42" s="1250">
        <f t="shared" si="5"/>
        <v>144.91283515690748</v>
      </c>
      <c r="AP42" s="615"/>
    </row>
    <row r="43" spans="1:42" s="156" customFormat="1" ht="19.149999999999999" customHeight="1" outlineLevel="1">
      <c r="A43" s="1219">
        <v>32</v>
      </c>
      <c r="B43" s="1219"/>
      <c r="C43" s="1639"/>
      <c r="D43" s="1220" t="s">
        <v>3201</v>
      </c>
      <c r="E43" s="1221"/>
      <c r="F43" s="1219">
        <v>0</v>
      </c>
      <c r="G43" s="1219">
        <v>29</v>
      </c>
      <c r="H43" s="1219">
        <v>35</v>
      </c>
      <c r="I43" s="1219">
        <v>0</v>
      </c>
      <c r="J43" s="1219">
        <v>0</v>
      </c>
      <c r="K43" s="1219">
        <v>0</v>
      </c>
      <c r="L43" s="1219">
        <v>0</v>
      </c>
      <c r="M43" s="1219">
        <v>0</v>
      </c>
      <c r="N43" s="1219">
        <v>0</v>
      </c>
      <c r="O43" s="1219">
        <v>0</v>
      </c>
      <c r="P43" s="1219">
        <v>0</v>
      </c>
      <c r="Q43" s="1219">
        <v>0</v>
      </c>
      <c r="R43" s="1219">
        <v>0</v>
      </c>
      <c r="S43" s="1219">
        <v>0</v>
      </c>
      <c r="T43" s="1219">
        <v>0</v>
      </c>
      <c r="U43" s="1219">
        <v>0</v>
      </c>
      <c r="V43" s="1219">
        <v>0</v>
      </c>
      <c r="W43" s="1219">
        <v>0</v>
      </c>
      <c r="X43" s="1219">
        <v>0</v>
      </c>
      <c r="Y43" s="1219">
        <v>0</v>
      </c>
      <c r="Z43" s="169">
        <v>0</v>
      </c>
      <c r="AA43" s="169">
        <v>0</v>
      </c>
      <c r="AB43" s="1241">
        <v>0</v>
      </c>
      <c r="AC43" s="1241">
        <v>0</v>
      </c>
      <c r="AD43" s="1241">
        <v>0</v>
      </c>
      <c r="AE43" s="1241">
        <v>54</v>
      </c>
      <c r="AF43" s="1241">
        <v>111</v>
      </c>
      <c r="AG43" s="1241">
        <v>140</v>
      </c>
      <c r="AH43" s="1241">
        <v>103</v>
      </c>
      <c r="AI43" s="1241">
        <v>25</v>
      </c>
      <c r="AJ43" s="1241"/>
      <c r="AK43" s="1221">
        <f t="shared" si="0"/>
        <v>497</v>
      </c>
      <c r="AL43" s="1221">
        <f t="shared" si="1"/>
        <v>238.83428519899002</v>
      </c>
      <c r="AM43" s="165" t="s">
        <v>1959</v>
      </c>
      <c r="AN43" s="1221">
        <f t="shared" si="4"/>
        <v>198.8</v>
      </c>
      <c r="AO43" s="1250">
        <f t="shared" si="5"/>
        <v>40.034285198990005</v>
      </c>
      <c r="AP43" s="615"/>
    </row>
    <row r="44" spans="1:42" s="156" customFormat="1" ht="19.149999999999999" customHeight="1" outlineLevel="1">
      <c r="A44" s="1219">
        <v>33</v>
      </c>
      <c r="B44" s="1219"/>
      <c r="C44" s="1639" t="s">
        <v>3292</v>
      </c>
      <c r="D44" s="1220" t="s">
        <v>3202</v>
      </c>
      <c r="E44" s="1221"/>
      <c r="F44" s="1219">
        <v>0</v>
      </c>
      <c r="G44" s="1219">
        <v>0</v>
      </c>
      <c r="H44" s="1219">
        <v>0</v>
      </c>
      <c r="I44" s="1219">
        <v>0</v>
      </c>
      <c r="J44" s="1219">
        <v>0</v>
      </c>
      <c r="K44" s="1219">
        <v>0</v>
      </c>
      <c r="L44" s="1219">
        <v>0</v>
      </c>
      <c r="M44" s="1219">
        <v>64</v>
      </c>
      <c r="N44" s="1219">
        <v>65</v>
      </c>
      <c r="O44" s="1219">
        <v>140</v>
      </c>
      <c r="P44" s="1219">
        <v>24</v>
      </c>
      <c r="Q44" s="1219">
        <v>0</v>
      </c>
      <c r="R44" s="1219">
        <v>0</v>
      </c>
      <c r="S44" s="1219">
        <v>0</v>
      </c>
      <c r="T44" s="1219">
        <v>0</v>
      </c>
      <c r="U44" s="1219">
        <v>0</v>
      </c>
      <c r="V44" s="1219">
        <v>0</v>
      </c>
      <c r="W44" s="1219">
        <v>0</v>
      </c>
      <c r="X44" s="1219">
        <v>0</v>
      </c>
      <c r="Y44" s="1219">
        <v>0</v>
      </c>
      <c r="Z44" s="169">
        <v>0</v>
      </c>
      <c r="AA44" s="169">
        <v>0</v>
      </c>
      <c r="AB44" s="1241">
        <v>0</v>
      </c>
      <c r="AC44" s="1241">
        <v>0</v>
      </c>
      <c r="AD44" s="1241">
        <v>0</v>
      </c>
      <c r="AE44" s="1241">
        <v>54</v>
      </c>
      <c r="AF44" s="1241">
        <v>111</v>
      </c>
      <c r="AG44" s="1241">
        <v>150</v>
      </c>
      <c r="AH44" s="1241">
        <v>103</v>
      </c>
      <c r="AI44" s="1241">
        <v>25</v>
      </c>
      <c r="AJ44" s="1241"/>
      <c r="AK44" s="1221">
        <f t="shared" si="0"/>
        <v>736</v>
      </c>
      <c r="AL44" s="1221">
        <f t="shared" si="1"/>
        <v>353.68618492244798</v>
      </c>
      <c r="AM44" s="165" t="s">
        <v>1957</v>
      </c>
      <c r="AN44" s="1221"/>
      <c r="AO44" s="1250"/>
      <c r="AP44" s="615"/>
    </row>
    <row r="45" spans="1:42" s="156" customFormat="1" ht="19.149999999999999" customHeight="1" outlineLevel="1">
      <c r="A45" s="1219">
        <v>34</v>
      </c>
      <c r="B45" s="1219"/>
      <c r="C45" s="1639" t="s">
        <v>3312</v>
      </c>
      <c r="D45" s="1220" t="s">
        <v>3203</v>
      </c>
      <c r="E45" s="1221"/>
      <c r="F45" s="1219">
        <v>38</v>
      </c>
      <c r="G45" s="1219">
        <v>42</v>
      </c>
      <c r="H45" s="1219">
        <v>34</v>
      </c>
      <c r="I45" s="1219">
        <v>35</v>
      </c>
      <c r="J45" s="1219">
        <v>32</v>
      </c>
      <c r="K45" s="1219">
        <v>0</v>
      </c>
      <c r="L45" s="1219">
        <v>40</v>
      </c>
      <c r="M45" s="1219">
        <v>45</v>
      </c>
      <c r="N45" s="1219">
        <v>45</v>
      </c>
      <c r="O45" s="1219">
        <v>72</v>
      </c>
      <c r="P45" s="1219">
        <v>109</v>
      </c>
      <c r="Q45" s="1219">
        <v>63</v>
      </c>
      <c r="R45" s="1219">
        <v>0</v>
      </c>
      <c r="S45" s="1219">
        <v>0</v>
      </c>
      <c r="T45" s="1219">
        <v>0</v>
      </c>
      <c r="U45" s="1219">
        <v>55</v>
      </c>
      <c r="V45" s="1219">
        <v>71</v>
      </c>
      <c r="W45" s="1219">
        <v>55</v>
      </c>
      <c r="X45" s="1219">
        <v>0</v>
      </c>
      <c r="Y45" s="1219">
        <v>0</v>
      </c>
      <c r="Z45" s="169">
        <v>68</v>
      </c>
      <c r="AA45" s="169">
        <v>58</v>
      </c>
      <c r="AB45" s="1241">
        <v>60</v>
      </c>
      <c r="AC45" s="1241">
        <v>51</v>
      </c>
      <c r="AD45" s="1241">
        <v>51</v>
      </c>
      <c r="AE45" s="1241">
        <v>43</v>
      </c>
      <c r="AF45" s="1241">
        <v>120</v>
      </c>
      <c r="AG45" s="1241">
        <v>55</v>
      </c>
      <c r="AH45" s="1241">
        <v>58</v>
      </c>
      <c r="AI45" s="1241">
        <v>47</v>
      </c>
      <c r="AJ45" s="1241"/>
      <c r="AK45" s="1221">
        <f t="shared" si="0"/>
        <v>1347</v>
      </c>
      <c r="AL45" s="1221">
        <f t="shared" si="1"/>
        <v>647.30338463388239</v>
      </c>
      <c r="AM45" s="165" t="s">
        <v>1959</v>
      </c>
      <c r="AN45" s="1221"/>
      <c r="AO45" s="1250"/>
      <c r="AP45" s="615"/>
    </row>
    <row r="46" spans="1:42" s="156" customFormat="1" ht="19.149999999999999" customHeight="1" outlineLevel="1">
      <c r="A46" s="1219">
        <v>35</v>
      </c>
      <c r="B46" s="1219"/>
      <c r="C46" s="1639"/>
      <c r="D46" s="1220" t="s">
        <v>3204</v>
      </c>
      <c r="E46" s="1221"/>
      <c r="F46" s="1219">
        <v>0</v>
      </c>
      <c r="G46" s="1219">
        <v>0</v>
      </c>
      <c r="H46" s="1219">
        <v>0</v>
      </c>
      <c r="I46" s="1219">
        <v>0</v>
      </c>
      <c r="J46" s="1219">
        <v>0</v>
      </c>
      <c r="K46" s="1219">
        <v>0</v>
      </c>
      <c r="L46" s="1219">
        <v>0</v>
      </c>
      <c r="M46" s="1219">
        <v>0</v>
      </c>
      <c r="N46" s="1219">
        <v>0</v>
      </c>
      <c r="O46" s="1219">
        <v>0</v>
      </c>
      <c r="P46" s="1219">
        <v>0</v>
      </c>
      <c r="Q46" s="1219">
        <v>0</v>
      </c>
      <c r="R46" s="1219">
        <v>0</v>
      </c>
      <c r="S46" s="1219">
        <v>0</v>
      </c>
      <c r="T46" s="1219">
        <v>0</v>
      </c>
      <c r="U46" s="1219">
        <v>0</v>
      </c>
      <c r="V46" s="1219">
        <v>52</v>
      </c>
      <c r="W46" s="1219">
        <v>0</v>
      </c>
      <c r="X46" s="1219">
        <v>0</v>
      </c>
      <c r="Y46" s="1219">
        <v>63</v>
      </c>
      <c r="Z46" s="169">
        <v>0</v>
      </c>
      <c r="AA46" s="169">
        <v>47</v>
      </c>
      <c r="AB46" s="1241">
        <v>0</v>
      </c>
      <c r="AC46" s="1241">
        <v>0</v>
      </c>
      <c r="AD46" s="1241">
        <v>0</v>
      </c>
      <c r="AE46" s="1241">
        <v>0</v>
      </c>
      <c r="AF46" s="1241">
        <v>0</v>
      </c>
      <c r="AG46" s="1241">
        <v>0</v>
      </c>
      <c r="AH46" s="1241">
        <v>0</v>
      </c>
      <c r="AI46" s="1241">
        <v>0</v>
      </c>
      <c r="AJ46" s="1241"/>
      <c r="AK46" s="1221">
        <f t="shared" si="0"/>
        <v>162</v>
      </c>
      <c r="AL46" s="1221">
        <f t="shared" si="1"/>
        <v>77.849404833473614</v>
      </c>
      <c r="AM46" s="165" t="s">
        <v>1958</v>
      </c>
      <c r="AN46" s="1221"/>
      <c r="AO46" s="1250"/>
      <c r="AP46" s="615"/>
    </row>
    <row r="47" spans="1:42" s="156" customFormat="1" ht="19.149999999999999" customHeight="1" outlineLevel="1">
      <c r="A47" s="1219">
        <v>36</v>
      </c>
      <c r="B47" s="1219">
        <v>1</v>
      </c>
      <c r="C47" s="1639" t="s">
        <v>3245</v>
      </c>
      <c r="D47" s="1220" t="s">
        <v>3205</v>
      </c>
      <c r="E47" s="1221"/>
      <c r="F47" s="1219">
        <v>37</v>
      </c>
      <c r="G47" s="1219">
        <v>40</v>
      </c>
      <c r="H47" s="1219">
        <v>23</v>
      </c>
      <c r="I47" s="1219">
        <v>70</v>
      </c>
      <c r="J47" s="1219">
        <v>36</v>
      </c>
      <c r="K47" s="1219">
        <v>65</v>
      </c>
      <c r="L47" s="1219">
        <v>78</v>
      </c>
      <c r="M47" s="1219">
        <v>47</v>
      </c>
      <c r="N47" s="1219">
        <v>33</v>
      </c>
      <c r="O47" s="1219">
        <v>41</v>
      </c>
      <c r="P47" s="1219">
        <v>48</v>
      </c>
      <c r="Q47" s="1219">
        <v>46</v>
      </c>
      <c r="R47" s="1219">
        <v>44</v>
      </c>
      <c r="S47" s="1219">
        <v>0</v>
      </c>
      <c r="T47" s="1219">
        <v>22</v>
      </c>
      <c r="U47" s="1219">
        <v>73</v>
      </c>
      <c r="V47" s="1219">
        <v>38</v>
      </c>
      <c r="W47" s="1219">
        <v>33</v>
      </c>
      <c r="X47" s="1219">
        <v>51</v>
      </c>
      <c r="Y47" s="1219">
        <v>34</v>
      </c>
      <c r="Z47" s="169">
        <v>80</v>
      </c>
      <c r="AA47" s="169">
        <v>74</v>
      </c>
      <c r="AB47" s="1241">
        <v>75</v>
      </c>
      <c r="AC47" s="1241">
        <v>93</v>
      </c>
      <c r="AD47" s="1241">
        <v>111</v>
      </c>
      <c r="AE47" s="1241">
        <v>61</v>
      </c>
      <c r="AF47" s="1241">
        <v>69</v>
      </c>
      <c r="AG47" s="1241">
        <v>185</v>
      </c>
      <c r="AH47" s="1241">
        <v>54</v>
      </c>
      <c r="AI47" s="1241">
        <v>73</v>
      </c>
      <c r="AJ47" s="1241"/>
      <c r="AK47" s="1221">
        <f t="shared" si="0"/>
        <v>1734</v>
      </c>
      <c r="AL47" s="1221">
        <f t="shared" si="1"/>
        <v>833.27696284718047</v>
      </c>
      <c r="AM47" s="165" t="s">
        <v>1957</v>
      </c>
      <c r="AN47" s="1221"/>
      <c r="AO47" s="1250"/>
      <c r="AP47" s="615"/>
    </row>
    <row r="48" spans="1:42" s="156" customFormat="1" ht="19.149999999999999" customHeight="1" outlineLevel="1">
      <c r="A48" s="1219">
        <v>37</v>
      </c>
      <c r="B48" s="1219">
        <v>2</v>
      </c>
      <c r="C48" s="1639" t="s">
        <v>3246</v>
      </c>
      <c r="D48" s="1220" t="s">
        <v>3206</v>
      </c>
      <c r="E48" s="1221"/>
      <c r="F48" s="1219">
        <v>38</v>
      </c>
      <c r="G48" s="1219">
        <v>39</v>
      </c>
      <c r="H48" s="1219">
        <v>23</v>
      </c>
      <c r="I48" s="1219">
        <v>70</v>
      </c>
      <c r="J48" s="1219">
        <v>36</v>
      </c>
      <c r="K48" s="1219">
        <v>63</v>
      </c>
      <c r="L48" s="1219">
        <v>78</v>
      </c>
      <c r="M48" s="1219">
        <v>48</v>
      </c>
      <c r="N48" s="1219">
        <v>34</v>
      </c>
      <c r="O48" s="1219">
        <v>42</v>
      </c>
      <c r="P48" s="1219">
        <v>49</v>
      </c>
      <c r="Q48" s="1219">
        <v>46</v>
      </c>
      <c r="R48" s="1219">
        <v>45</v>
      </c>
      <c r="S48" s="1219">
        <v>0</v>
      </c>
      <c r="T48" s="1219">
        <v>20</v>
      </c>
      <c r="U48" s="1219">
        <v>78</v>
      </c>
      <c r="V48" s="1219">
        <v>38</v>
      </c>
      <c r="W48" s="1219">
        <v>33</v>
      </c>
      <c r="X48" s="1219">
        <v>51</v>
      </c>
      <c r="Y48" s="1219">
        <v>34</v>
      </c>
      <c r="Z48" s="169">
        <v>80</v>
      </c>
      <c r="AA48" s="169">
        <v>74</v>
      </c>
      <c r="AB48" s="1241">
        <v>75</v>
      </c>
      <c r="AC48" s="1241">
        <v>93</v>
      </c>
      <c r="AD48" s="1241">
        <v>111</v>
      </c>
      <c r="AE48" s="1241">
        <v>60</v>
      </c>
      <c r="AF48" s="1241">
        <v>69</v>
      </c>
      <c r="AG48" s="1241">
        <v>185</v>
      </c>
      <c r="AH48" s="1241">
        <v>54</v>
      </c>
      <c r="AI48" s="1241">
        <v>73</v>
      </c>
      <c r="AJ48" s="1241"/>
      <c r="AK48" s="1221">
        <f t="shared" si="0"/>
        <v>1739</v>
      </c>
      <c r="AL48" s="1221">
        <f t="shared" si="1"/>
        <v>835.67972225562107</v>
      </c>
      <c r="AM48" s="165" t="s">
        <v>1959</v>
      </c>
      <c r="AN48" s="1221"/>
      <c r="AO48" s="1250"/>
      <c r="AP48" s="615"/>
    </row>
    <row r="49" spans="1:42" s="156" customFormat="1" ht="19.149999999999999" customHeight="1" outlineLevel="1">
      <c r="A49" s="1219">
        <v>38</v>
      </c>
      <c r="B49" s="1219">
        <v>3</v>
      </c>
      <c r="C49" s="1639" t="s">
        <v>3247</v>
      </c>
      <c r="D49" s="1220" t="s">
        <v>3207</v>
      </c>
      <c r="E49" s="1221"/>
      <c r="F49" s="1219">
        <v>37</v>
      </c>
      <c r="G49" s="1219">
        <v>40</v>
      </c>
      <c r="H49" s="1219">
        <v>24</v>
      </c>
      <c r="I49" s="1219">
        <v>70</v>
      </c>
      <c r="J49" s="1219">
        <v>36</v>
      </c>
      <c r="K49" s="1219">
        <v>65</v>
      </c>
      <c r="L49" s="1219">
        <v>78</v>
      </c>
      <c r="M49" s="1219">
        <v>48</v>
      </c>
      <c r="N49" s="1219">
        <v>34</v>
      </c>
      <c r="O49" s="1219">
        <v>42</v>
      </c>
      <c r="P49" s="1219">
        <v>49</v>
      </c>
      <c r="Q49" s="1219">
        <v>47</v>
      </c>
      <c r="R49" s="1219">
        <v>45</v>
      </c>
      <c r="S49" s="1219">
        <v>0</v>
      </c>
      <c r="T49" s="1219">
        <v>22</v>
      </c>
      <c r="U49" s="1219">
        <v>73</v>
      </c>
      <c r="V49" s="1219">
        <v>38</v>
      </c>
      <c r="W49" s="1219">
        <v>33</v>
      </c>
      <c r="X49" s="1219">
        <v>52</v>
      </c>
      <c r="Y49" s="1219">
        <v>35</v>
      </c>
      <c r="Z49" s="169">
        <v>77</v>
      </c>
      <c r="AA49" s="169">
        <v>75</v>
      </c>
      <c r="AB49" s="1241">
        <v>74</v>
      </c>
      <c r="AC49" s="1241">
        <v>94</v>
      </c>
      <c r="AD49" s="1241">
        <v>111</v>
      </c>
      <c r="AE49" s="1241">
        <v>61</v>
      </c>
      <c r="AF49" s="1241">
        <v>69</v>
      </c>
      <c r="AG49" s="1241">
        <v>186</v>
      </c>
      <c r="AH49" s="1241">
        <v>55</v>
      </c>
      <c r="AI49" s="1241">
        <v>75</v>
      </c>
      <c r="AJ49" s="1241"/>
      <c r="AK49" s="1221">
        <f t="shared" si="0"/>
        <v>1745</v>
      </c>
      <c r="AL49" s="1221">
        <f t="shared" si="1"/>
        <v>838.5630335457497</v>
      </c>
      <c r="AM49" s="165" t="s">
        <v>1959</v>
      </c>
      <c r="AN49" s="1221"/>
      <c r="AO49" s="1250"/>
      <c r="AP49" s="615"/>
    </row>
    <row r="50" spans="1:42" s="156" customFormat="1" ht="19.149999999999999" customHeight="1" outlineLevel="1">
      <c r="A50" s="1219">
        <v>39</v>
      </c>
      <c r="B50" s="1219">
        <v>4</v>
      </c>
      <c r="C50" s="1639" t="s">
        <v>3248</v>
      </c>
      <c r="D50" s="1220" t="s">
        <v>3208</v>
      </c>
      <c r="E50" s="1221"/>
      <c r="F50" s="1219">
        <v>38</v>
      </c>
      <c r="G50" s="1219">
        <v>40</v>
      </c>
      <c r="H50" s="1219">
        <v>138</v>
      </c>
      <c r="I50" s="1219">
        <v>67</v>
      </c>
      <c r="J50" s="1219">
        <v>77</v>
      </c>
      <c r="K50" s="1219">
        <v>83</v>
      </c>
      <c r="L50" s="1219">
        <v>35</v>
      </c>
      <c r="M50" s="1219">
        <v>28</v>
      </c>
      <c r="N50" s="1219">
        <v>46</v>
      </c>
      <c r="O50" s="1219">
        <v>64</v>
      </c>
      <c r="P50" s="1219">
        <v>66</v>
      </c>
      <c r="Q50" s="1219">
        <v>44</v>
      </c>
      <c r="R50" s="1219">
        <v>33</v>
      </c>
      <c r="S50" s="1219">
        <v>0</v>
      </c>
      <c r="T50" s="1219">
        <v>0</v>
      </c>
      <c r="U50" s="1219">
        <v>95</v>
      </c>
      <c r="V50" s="1219">
        <v>32</v>
      </c>
      <c r="W50" s="1219">
        <v>70</v>
      </c>
      <c r="X50" s="1219">
        <v>131</v>
      </c>
      <c r="Y50" s="1219">
        <v>34</v>
      </c>
      <c r="Z50" s="169">
        <v>35</v>
      </c>
      <c r="AA50" s="169">
        <v>91</v>
      </c>
      <c r="AB50" s="1241">
        <v>117</v>
      </c>
      <c r="AC50" s="1241">
        <v>102</v>
      </c>
      <c r="AD50" s="1241">
        <v>74</v>
      </c>
      <c r="AE50" s="1241">
        <v>92</v>
      </c>
      <c r="AF50" s="1241">
        <v>127</v>
      </c>
      <c r="AG50" s="1241">
        <v>160</v>
      </c>
      <c r="AH50" s="1241">
        <v>97</v>
      </c>
      <c r="AI50" s="1241">
        <v>119</v>
      </c>
      <c r="AJ50" s="1241"/>
      <c r="AK50" s="1221">
        <f t="shared" si="0"/>
        <v>2135</v>
      </c>
      <c r="AL50" s="1221">
        <f t="shared" si="1"/>
        <v>1025.9782674041121</v>
      </c>
      <c r="AM50" s="165" t="s">
        <v>1959</v>
      </c>
      <c r="AN50" s="1221"/>
      <c r="AO50" s="1250"/>
      <c r="AP50" s="615"/>
    </row>
    <row r="51" spans="1:42" s="156" customFormat="1" ht="19.149999999999999" customHeight="1" outlineLevel="1">
      <c r="A51" s="1219">
        <v>40</v>
      </c>
      <c r="B51" s="1219">
        <v>5</v>
      </c>
      <c r="C51" s="1639" t="s">
        <v>3249</v>
      </c>
      <c r="D51" s="1220" t="s">
        <v>3209</v>
      </c>
      <c r="E51" s="1221"/>
      <c r="F51" s="1219">
        <v>40</v>
      </c>
      <c r="G51" s="1219">
        <v>41</v>
      </c>
      <c r="H51" s="1219">
        <v>140</v>
      </c>
      <c r="I51" s="1219">
        <v>67</v>
      </c>
      <c r="J51" s="1219">
        <v>80</v>
      </c>
      <c r="K51" s="1219">
        <v>84</v>
      </c>
      <c r="L51" s="1219">
        <v>36</v>
      </c>
      <c r="M51" s="1219">
        <v>28</v>
      </c>
      <c r="N51" s="1219">
        <v>46</v>
      </c>
      <c r="O51" s="1219">
        <v>65</v>
      </c>
      <c r="P51" s="1219">
        <v>67</v>
      </c>
      <c r="Q51" s="1219">
        <v>43</v>
      </c>
      <c r="R51" s="1219">
        <v>34</v>
      </c>
      <c r="S51" s="1219">
        <v>0</v>
      </c>
      <c r="T51" s="1219">
        <v>0</v>
      </c>
      <c r="U51" s="1219">
        <v>96</v>
      </c>
      <c r="V51" s="1219">
        <v>31</v>
      </c>
      <c r="W51" s="1219">
        <v>68</v>
      </c>
      <c r="X51" s="1219">
        <v>132</v>
      </c>
      <c r="Y51" s="1219">
        <v>34</v>
      </c>
      <c r="Z51" s="169">
        <v>35</v>
      </c>
      <c r="AA51" s="169">
        <v>92</v>
      </c>
      <c r="AB51" s="1241">
        <v>118</v>
      </c>
      <c r="AC51" s="1241">
        <v>103</v>
      </c>
      <c r="AD51" s="1241">
        <v>74</v>
      </c>
      <c r="AE51" s="1241">
        <v>93</v>
      </c>
      <c r="AF51" s="1241">
        <v>128</v>
      </c>
      <c r="AG51" s="1241">
        <v>162</v>
      </c>
      <c r="AH51" s="1241">
        <v>98</v>
      </c>
      <c r="AI51" s="1241">
        <v>119</v>
      </c>
      <c r="AJ51" s="1241"/>
      <c r="AK51" s="1221">
        <f t="shared" si="0"/>
        <v>2154</v>
      </c>
      <c r="AL51" s="1221">
        <f t="shared" si="1"/>
        <v>1035.1087531561861</v>
      </c>
      <c r="AM51" s="165" t="s">
        <v>1959</v>
      </c>
      <c r="AN51" s="1221"/>
      <c r="AO51" s="1250"/>
      <c r="AP51" s="615"/>
    </row>
    <row r="52" spans="1:42" s="156" customFormat="1" ht="19.149999999999999" customHeight="1" outlineLevel="1">
      <c r="A52" s="1219">
        <v>41</v>
      </c>
      <c r="B52" s="1219">
        <v>6</v>
      </c>
      <c r="C52" s="1639" t="s">
        <v>3250</v>
      </c>
      <c r="D52" s="1220" t="s">
        <v>3210</v>
      </c>
      <c r="E52" s="1221"/>
      <c r="F52" s="1219">
        <v>37</v>
      </c>
      <c r="G52" s="1219">
        <v>30</v>
      </c>
      <c r="H52" s="1219">
        <v>68</v>
      </c>
      <c r="I52" s="1219">
        <v>82</v>
      </c>
      <c r="J52" s="1219">
        <v>33</v>
      </c>
      <c r="K52" s="1219">
        <v>52</v>
      </c>
      <c r="L52" s="1219">
        <v>60</v>
      </c>
      <c r="M52" s="1219">
        <v>51</v>
      </c>
      <c r="N52" s="1219">
        <v>33</v>
      </c>
      <c r="O52" s="1219">
        <v>42</v>
      </c>
      <c r="P52" s="1219">
        <v>66</v>
      </c>
      <c r="Q52" s="1219">
        <v>44</v>
      </c>
      <c r="R52" s="1219">
        <v>0</v>
      </c>
      <c r="S52" s="1219">
        <v>0</v>
      </c>
      <c r="T52" s="1219">
        <v>30</v>
      </c>
      <c r="U52" s="1219">
        <v>53</v>
      </c>
      <c r="V52" s="1219">
        <v>33</v>
      </c>
      <c r="W52" s="1219">
        <v>55</v>
      </c>
      <c r="X52" s="1219">
        <v>66</v>
      </c>
      <c r="Y52" s="1219">
        <v>40</v>
      </c>
      <c r="Z52" s="169">
        <v>58</v>
      </c>
      <c r="AA52" s="169">
        <v>55</v>
      </c>
      <c r="AB52" s="1241">
        <v>78</v>
      </c>
      <c r="AC52" s="1241">
        <v>114</v>
      </c>
      <c r="AD52" s="1241">
        <v>104</v>
      </c>
      <c r="AE52" s="1241">
        <v>47</v>
      </c>
      <c r="AF52" s="1241">
        <v>79</v>
      </c>
      <c r="AG52" s="1241">
        <v>190</v>
      </c>
      <c r="AH52" s="1241">
        <v>43</v>
      </c>
      <c r="AI52" s="1241">
        <v>68</v>
      </c>
      <c r="AJ52" s="1241"/>
      <c r="AK52" s="1221">
        <f t="shared" si="0"/>
        <v>1711</v>
      </c>
      <c r="AL52" s="1221">
        <f t="shared" si="1"/>
        <v>822.22426956835398</v>
      </c>
      <c r="AM52" s="165" t="s">
        <v>1959</v>
      </c>
      <c r="AN52" s="1221"/>
      <c r="AO52" s="1250"/>
      <c r="AP52" s="615"/>
    </row>
    <row r="53" spans="1:42" s="156" customFormat="1" ht="19.149999999999999" customHeight="1" outlineLevel="1">
      <c r="A53" s="1219">
        <v>42</v>
      </c>
      <c r="B53" s="1219">
        <v>7</v>
      </c>
      <c r="C53" s="1639" t="s">
        <v>3251</v>
      </c>
      <c r="D53" s="1220" t="s">
        <v>3211</v>
      </c>
      <c r="E53" s="1221"/>
      <c r="F53" s="1219">
        <v>34</v>
      </c>
      <c r="G53" s="1219">
        <v>15</v>
      </c>
      <c r="H53" s="1219">
        <v>84</v>
      </c>
      <c r="I53" s="1219">
        <v>70</v>
      </c>
      <c r="J53" s="1219">
        <v>35</v>
      </c>
      <c r="K53" s="1219">
        <v>42</v>
      </c>
      <c r="L53" s="1219">
        <v>46</v>
      </c>
      <c r="M53" s="1219">
        <v>32</v>
      </c>
      <c r="N53" s="1219">
        <v>30</v>
      </c>
      <c r="O53" s="1219">
        <v>29</v>
      </c>
      <c r="P53" s="1219">
        <v>60</v>
      </c>
      <c r="Q53" s="1219">
        <v>31</v>
      </c>
      <c r="R53" s="1219">
        <v>21</v>
      </c>
      <c r="S53" s="1219">
        <v>0</v>
      </c>
      <c r="T53" s="1219">
        <v>15</v>
      </c>
      <c r="U53" s="1219">
        <v>134</v>
      </c>
      <c r="V53" s="1219">
        <v>29</v>
      </c>
      <c r="W53" s="1219">
        <v>54</v>
      </c>
      <c r="X53" s="1219">
        <v>20</v>
      </c>
      <c r="Y53" s="1219">
        <v>25</v>
      </c>
      <c r="Z53" s="169">
        <v>46</v>
      </c>
      <c r="AA53" s="169">
        <v>45</v>
      </c>
      <c r="AB53" s="1241">
        <v>58</v>
      </c>
      <c r="AC53" s="1241">
        <v>140</v>
      </c>
      <c r="AD53" s="1241">
        <v>69</v>
      </c>
      <c r="AE53" s="1241">
        <v>43</v>
      </c>
      <c r="AF53" s="1241">
        <v>47</v>
      </c>
      <c r="AG53" s="1241">
        <v>165</v>
      </c>
      <c r="AH53" s="1241">
        <v>54</v>
      </c>
      <c r="AI53" s="1241">
        <v>43</v>
      </c>
      <c r="AJ53" s="1241"/>
      <c r="AK53" s="1221">
        <f t="shared" si="0"/>
        <v>1516</v>
      </c>
      <c r="AL53" s="1221">
        <f t="shared" si="1"/>
        <v>728.51665263917278</v>
      </c>
      <c r="AM53" s="165" t="s">
        <v>1957</v>
      </c>
      <c r="AN53" s="1221"/>
      <c r="AO53" s="1250"/>
      <c r="AP53" s="615"/>
    </row>
    <row r="54" spans="1:42" s="156" customFormat="1" ht="19.149999999999999" customHeight="1" outlineLevel="1">
      <c r="A54" s="1219">
        <v>43</v>
      </c>
      <c r="B54" s="1219">
        <v>8</v>
      </c>
      <c r="C54" s="1639" t="s">
        <v>3252</v>
      </c>
      <c r="D54" s="1220" t="s">
        <v>3212</v>
      </c>
      <c r="E54" s="1221"/>
      <c r="F54" s="1219">
        <v>34</v>
      </c>
      <c r="G54" s="1219">
        <v>15</v>
      </c>
      <c r="H54" s="1219">
        <v>82</v>
      </c>
      <c r="I54" s="1219">
        <v>69</v>
      </c>
      <c r="J54" s="1219">
        <v>35</v>
      </c>
      <c r="K54" s="1219">
        <v>43</v>
      </c>
      <c r="L54" s="1219">
        <v>47</v>
      </c>
      <c r="M54" s="1219">
        <v>32</v>
      </c>
      <c r="N54" s="1219">
        <v>30</v>
      </c>
      <c r="O54" s="1219">
        <v>30</v>
      </c>
      <c r="P54" s="1219">
        <v>60</v>
      </c>
      <c r="Q54" s="1219">
        <v>31</v>
      </c>
      <c r="R54" s="1219">
        <v>22</v>
      </c>
      <c r="S54" s="1219">
        <v>0</v>
      </c>
      <c r="T54" s="1219">
        <v>16</v>
      </c>
      <c r="U54" s="1219">
        <v>134</v>
      </c>
      <c r="V54" s="1219">
        <v>30</v>
      </c>
      <c r="W54" s="1219">
        <v>53</v>
      </c>
      <c r="X54" s="1219">
        <v>20</v>
      </c>
      <c r="Y54" s="1219">
        <v>25</v>
      </c>
      <c r="Z54" s="169">
        <v>45</v>
      </c>
      <c r="AA54" s="169">
        <v>46</v>
      </c>
      <c r="AB54" s="1241">
        <v>60</v>
      </c>
      <c r="AC54" s="1241">
        <v>140</v>
      </c>
      <c r="AD54" s="1241">
        <v>70</v>
      </c>
      <c r="AE54" s="1241">
        <v>44</v>
      </c>
      <c r="AF54" s="1241">
        <v>47</v>
      </c>
      <c r="AG54" s="1241">
        <v>167</v>
      </c>
      <c r="AH54" s="1241">
        <v>54</v>
      </c>
      <c r="AI54" s="1241">
        <v>43</v>
      </c>
      <c r="AJ54" s="1241"/>
      <c r="AK54" s="1221">
        <f t="shared" si="0"/>
        <v>1524</v>
      </c>
      <c r="AL54" s="1221">
        <f t="shared" si="1"/>
        <v>732.36106769267769</v>
      </c>
      <c r="AM54" s="165" t="s">
        <v>1959</v>
      </c>
      <c r="AN54" s="1221"/>
      <c r="AO54" s="1250"/>
      <c r="AP54" s="615"/>
    </row>
    <row r="55" spans="1:42" s="156" customFormat="1" ht="19.149999999999999" customHeight="1" outlineLevel="1">
      <c r="A55" s="1219">
        <v>44</v>
      </c>
      <c r="B55" s="1219">
        <v>9</v>
      </c>
      <c r="C55" s="1639" t="s">
        <v>3253</v>
      </c>
      <c r="D55" s="1220" t="s">
        <v>3213</v>
      </c>
      <c r="E55" s="1221"/>
      <c r="F55" s="1219">
        <v>38</v>
      </c>
      <c r="G55" s="1219">
        <v>30</v>
      </c>
      <c r="H55" s="1219">
        <v>68</v>
      </c>
      <c r="I55" s="1219">
        <v>80</v>
      </c>
      <c r="J55" s="1219">
        <v>33</v>
      </c>
      <c r="K55" s="1219">
        <v>54</v>
      </c>
      <c r="L55" s="1219">
        <v>61</v>
      </c>
      <c r="M55" s="1219">
        <v>51</v>
      </c>
      <c r="N55" s="1219">
        <v>33</v>
      </c>
      <c r="O55" s="1219">
        <v>43</v>
      </c>
      <c r="P55" s="1219">
        <v>65</v>
      </c>
      <c r="Q55" s="1219">
        <v>44</v>
      </c>
      <c r="R55" s="1219">
        <v>0</v>
      </c>
      <c r="S55" s="1219">
        <v>0</v>
      </c>
      <c r="T55" s="1219">
        <v>30</v>
      </c>
      <c r="U55" s="1219">
        <v>53</v>
      </c>
      <c r="V55" s="1219">
        <v>34</v>
      </c>
      <c r="W55" s="1219">
        <v>55</v>
      </c>
      <c r="X55" s="1219">
        <v>66</v>
      </c>
      <c r="Y55" s="1219">
        <v>41</v>
      </c>
      <c r="Z55" s="169">
        <v>59</v>
      </c>
      <c r="AA55" s="169">
        <v>55</v>
      </c>
      <c r="AB55" s="1241">
        <v>78</v>
      </c>
      <c r="AC55" s="1241">
        <v>114</v>
      </c>
      <c r="AD55" s="1241">
        <v>104</v>
      </c>
      <c r="AE55" s="1241">
        <v>47</v>
      </c>
      <c r="AF55" s="1241">
        <v>79</v>
      </c>
      <c r="AG55" s="1241">
        <v>190</v>
      </c>
      <c r="AH55" s="1241">
        <v>43</v>
      </c>
      <c r="AI55" s="1241">
        <v>68</v>
      </c>
      <c r="AJ55" s="1241"/>
      <c r="AK55" s="1221">
        <f t="shared" si="0"/>
        <v>1716</v>
      </c>
      <c r="AL55" s="1221">
        <f t="shared" si="1"/>
        <v>824.62702897679458</v>
      </c>
      <c r="AM55" s="165" t="s">
        <v>1959</v>
      </c>
      <c r="AN55" s="1221"/>
      <c r="AO55" s="1250"/>
      <c r="AP55" s="615"/>
    </row>
    <row r="56" spans="1:42" s="156" customFormat="1" ht="19.149999999999999" customHeight="1" outlineLevel="1">
      <c r="A56" s="1219">
        <v>45</v>
      </c>
      <c r="B56" s="1219">
        <v>10</v>
      </c>
      <c r="C56" s="1639" t="s">
        <v>3254</v>
      </c>
      <c r="D56" s="1220" t="s">
        <v>3214</v>
      </c>
      <c r="E56" s="1221"/>
      <c r="F56" s="1219">
        <v>37</v>
      </c>
      <c r="G56" s="1219">
        <v>29</v>
      </c>
      <c r="H56" s="1219">
        <v>68</v>
      </c>
      <c r="I56" s="1219">
        <v>80</v>
      </c>
      <c r="J56" s="1219">
        <v>32</v>
      </c>
      <c r="K56" s="1219">
        <v>52</v>
      </c>
      <c r="L56" s="1219">
        <v>60</v>
      </c>
      <c r="M56" s="1219">
        <v>52</v>
      </c>
      <c r="N56" s="1219">
        <v>33</v>
      </c>
      <c r="O56" s="1219">
        <v>43</v>
      </c>
      <c r="P56" s="1219">
        <v>49</v>
      </c>
      <c r="Q56" s="1219">
        <v>45</v>
      </c>
      <c r="R56" s="1219">
        <v>0</v>
      </c>
      <c r="S56" s="1219">
        <v>0</v>
      </c>
      <c r="T56" s="1219">
        <v>28</v>
      </c>
      <c r="U56" s="1219">
        <v>52</v>
      </c>
      <c r="V56" s="1219">
        <v>34</v>
      </c>
      <c r="W56" s="1219">
        <v>55</v>
      </c>
      <c r="X56" s="1219">
        <v>66</v>
      </c>
      <c r="Y56" s="1219">
        <v>41</v>
      </c>
      <c r="Z56" s="169">
        <v>59</v>
      </c>
      <c r="AA56" s="169">
        <v>56</v>
      </c>
      <c r="AB56" s="1241">
        <v>77</v>
      </c>
      <c r="AC56" s="1241">
        <v>115</v>
      </c>
      <c r="AD56" s="1241">
        <v>104</v>
      </c>
      <c r="AE56" s="1241">
        <v>48</v>
      </c>
      <c r="AF56" s="1241">
        <v>79</v>
      </c>
      <c r="AG56" s="1241">
        <v>192</v>
      </c>
      <c r="AH56" s="1241">
        <v>42</v>
      </c>
      <c r="AI56" s="1241">
        <v>70</v>
      </c>
      <c r="AJ56" s="1241"/>
      <c r="AK56" s="1221">
        <f t="shared" si="0"/>
        <v>1698</v>
      </c>
      <c r="AL56" s="1221">
        <f t="shared" si="1"/>
        <v>815.97709510640857</v>
      </c>
      <c r="AM56" s="165" t="s">
        <v>1957</v>
      </c>
      <c r="AN56" s="1221"/>
      <c r="AO56" s="1250"/>
      <c r="AP56" s="615"/>
    </row>
    <row r="57" spans="1:42" s="156" customFormat="1" ht="19.149999999999999" customHeight="1" outlineLevel="1">
      <c r="A57" s="1219">
        <v>46</v>
      </c>
      <c r="B57" s="1219">
        <v>11</v>
      </c>
      <c r="C57" s="1639" t="s">
        <v>3255</v>
      </c>
      <c r="D57" s="1220" t="s">
        <v>3215</v>
      </c>
      <c r="E57" s="1221"/>
      <c r="F57" s="1219">
        <v>43</v>
      </c>
      <c r="G57" s="1219">
        <v>20</v>
      </c>
      <c r="H57" s="1219">
        <v>107</v>
      </c>
      <c r="I57" s="1219">
        <v>78</v>
      </c>
      <c r="J57" s="1219">
        <v>52</v>
      </c>
      <c r="K57" s="1219">
        <v>31</v>
      </c>
      <c r="L57" s="1219">
        <v>81</v>
      </c>
      <c r="M57" s="1219">
        <v>61</v>
      </c>
      <c r="N57" s="1219">
        <v>43</v>
      </c>
      <c r="O57" s="1219">
        <v>24</v>
      </c>
      <c r="P57" s="1219">
        <v>146</v>
      </c>
      <c r="Q57" s="1219">
        <v>58</v>
      </c>
      <c r="R57" s="1219">
        <v>0</v>
      </c>
      <c r="S57" s="1219">
        <v>0</v>
      </c>
      <c r="T57" s="1219">
        <v>0</v>
      </c>
      <c r="U57" s="1219">
        <v>103</v>
      </c>
      <c r="V57" s="1219">
        <v>68</v>
      </c>
      <c r="W57" s="1219">
        <v>84</v>
      </c>
      <c r="X57" s="1219">
        <v>65</v>
      </c>
      <c r="Y57" s="1219">
        <v>119</v>
      </c>
      <c r="Z57" s="169">
        <v>44</v>
      </c>
      <c r="AA57" s="169">
        <v>78</v>
      </c>
      <c r="AB57" s="1241">
        <v>104</v>
      </c>
      <c r="AC57" s="1241">
        <v>181</v>
      </c>
      <c r="AD57" s="1241">
        <v>139</v>
      </c>
      <c r="AE57" s="1241">
        <v>93</v>
      </c>
      <c r="AF57" s="1241">
        <v>83</v>
      </c>
      <c r="AG57" s="1241">
        <v>325</v>
      </c>
      <c r="AH57" s="1241">
        <v>38</v>
      </c>
      <c r="AI57" s="1241">
        <v>63</v>
      </c>
      <c r="AJ57" s="1241"/>
      <c r="AK57" s="1221">
        <f t="shared" si="0"/>
        <v>2331</v>
      </c>
      <c r="AL57" s="1221">
        <f t="shared" si="1"/>
        <v>1120.1664362149813</v>
      </c>
      <c r="AM57" s="165" t="s">
        <v>1959</v>
      </c>
      <c r="AN57" s="1221"/>
      <c r="AO57" s="1250"/>
      <c r="AP57" s="615"/>
    </row>
    <row r="58" spans="1:42" s="156" customFormat="1" ht="19.149999999999999" customHeight="1" outlineLevel="1">
      <c r="A58" s="1219">
        <v>47</v>
      </c>
      <c r="B58" s="1219">
        <v>12</v>
      </c>
      <c r="C58" s="1639" t="s">
        <v>3256</v>
      </c>
      <c r="D58" s="1220" t="s">
        <v>3216</v>
      </c>
      <c r="E58" s="1221"/>
      <c r="F58" s="1219">
        <v>0</v>
      </c>
      <c r="G58" s="1219">
        <v>37</v>
      </c>
      <c r="H58" s="1219">
        <v>35</v>
      </c>
      <c r="I58" s="1219">
        <v>40</v>
      </c>
      <c r="J58" s="1219">
        <v>50</v>
      </c>
      <c r="K58" s="1219">
        <v>38</v>
      </c>
      <c r="L58" s="1219">
        <v>73</v>
      </c>
      <c r="M58" s="1219">
        <v>73</v>
      </c>
      <c r="N58" s="1219">
        <v>22</v>
      </c>
      <c r="O58" s="1219">
        <v>29</v>
      </c>
      <c r="P58" s="1219">
        <v>68</v>
      </c>
      <c r="Q58" s="1219">
        <v>45</v>
      </c>
      <c r="R58" s="1219">
        <v>22</v>
      </c>
      <c r="S58" s="1219">
        <v>0</v>
      </c>
      <c r="T58" s="1219">
        <v>0</v>
      </c>
      <c r="U58" s="1219">
        <v>105</v>
      </c>
      <c r="V58" s="1219">
        <v>72</v>
      </c>
      <c r="W58" s="1219">
        <v>14</v>
      </c>
      <c r="X58" s="1219">
        <v>56</v>
      </c>
      <c r="Y58" s="1219">
        <v>65</v>
      </c>
      <c r="Z58" s="169">
        <v>49</v>
      </c>
      <c r="AA58" s="169">
        <v>51</v>
      </c>
      <c r="AB58" s="1241">
        <v>101</v>
      </c>
      <c r="AC58" s="1241">
        <v>135</v>
      </c>
      <c r="AD58" s="1241">
        <v>132</v>
      </c>
      <c r="AE58" s="1241">
        <v>45</v>
      </c>
      <c r="AF58" s="1241">
        <v>60</v>
      </c>
      <c r="AG58" s="1241">
        <v>231</v>
      </c>
      <c r="AH58" s="1241">
        <v>53</v>
      </c>
      <c r="AI58" s="1241">
        <v>66</v>
      </c>
      <c r="AJ58" s="1241"/>
      <c r="AK58" s="1221">
        <f t="shared" si="0"/>
        <v>1767</v>
      </c>
      <c r="AL58" s="1221">
        <f t="shared" si="1"/>
        <v>849.13517494288806</v>
      </c>
      <c r="AM58" s="165" t="s">
        <v>1957</v>
      </c>
      <c r="AN58" s="1221"/>
      <c r="AO58" s="1250"/>
      <c r="AP58" s="615"/>
    </row>
    <row r="59" spans="1:42" s="156" customFormat="1" ht="19.149999999999999" customHeight="1" outlineLevel="1">
      <c r="A59" s="1219">
        <v>48</v>
      </c>
      <c r="B59" s="1219">
        <v>13</v>
      </c>
      <c r="C59" s="1639" t="s">
        <v>3257</v>
      </c>
      <c r="D59" s="1220" t="s">
        <v>3217</v>
      </c>
      <c r="E59" s="1221"/>
      <c r="F59" s="1219">
        <v>0</v>
      </c>
      <c r="G59" s="1219">
        <v>37</v>
      </c>
      <c r="H59" s="1219">
        <v>35</v>
      </c>
      <c r="I59" s="1219">
        <v>35</v>
      </c>
      <c r="J59" s="1219">
        <v>50</v>
      </c>
      <c r="K59" s="1219">
        <v>37</v>
      </c>
      <c r="L59" s="1219">
        <v>73</v>
      </c>
      <c r="M59" s="1219">
        <v>74</v>
      </c>
      <c r="N59" s="1219">
        <v>22</v>
      </c>
      <c r="O59" s="1219">
        <v>29</v>
      </c>
      <c r="P59" s="1219">
        <v>68</v>
      </c>
      <c r="Q59" s="1219">
        <v>45</v>
      </c>
      <c r="R59" s="1219">
        <v>22</v>
      </c>
      <c r="S59" s="1219">
        <v>0</v>
      </c>
      <c r="T59" s="1219">
        <v>0</v>
      </c>
      <c r="U59" s="1219">
        <v>108</v>
      </c>
      <c r="V59" s="1219">
        <v>73</v>
      </c>
      <c r="W59" s="1219">
        <v>14</v>
      </c>
      <c r="X59" s="1219">
        <v>57</v>
      </c>
      <c r="Y59" s="1219">
        <v>64</v>
      </c>
      <c r="Z59" s="169">
        <v>50</v>
      </c>
      <c r="AA59" s="169">
        <v>50</v>
      </c>
      <c r="AB59" s="1241">
        <v>101</v>
      </c>
      <c r="AC59" s="1241">
        <v>135</v>
      </c>
      <c r="AD59" s="1241">
        <v>132</v>
      </c>
      <c r="AE59" s="1241">
        <v>45</v>
      </c>
      <c r="AF59" s="1241">
        <v>60</v>
      </c>
      <c r="AG59" s="1241">
        <v>232</v>
      </c>
      <c r="AH59" s="1241">
        <v>52</v>
      </c>
      <c r="AI59" s="1241">
        <v>66</v>
      </c>
      <c r="AJ59" s="1241"/>
      <c r="AK59" s="1221">
        <f t="shared" si="0"/>
        <v>1766</v>
      </c>
      <c r="AL59" s="1221">
        <f t="shared" si="1"/>
        <v>848.65462306119991</v>
      </c>
      <c r="AM59" s="165" t="s">
        <v>1959</v>
      </c>
      <c r="AN59" s="1221"/>
      <c r="AO59" s="1250"/>
      <c r="AP59" s="615"/>
    </row>
    <row r="60" spans="1:42" s="156" customFormat="1" ht="19.149999999999999" customHeight="1" outlineLevel="1">
      <c r="A60" s="1219">
        <v>49</v>
      </c>
      <c r="B60" s="1219">
        <v>14</v>
      </c>
      <c r="C60" s="1639" t="s">
        <v>3258</v>
      </c>
      <c r="D60" s="1220" t="s">
        <v>3218</v>
      </c>
      <c r="E60" s="1221"/>
      <c r="F60" s="1219">
        <v>46</v>
      </c>
      <c r="G60" s="1219">
        <v>44</v>
      </c>
      <c r="H60" s="1219">
        <v>35</v>
      </c>
      <c r="I60" s="1219">
        <v>35</v>
      </c>
      <c r="J60" s="1219">
        <v>44</v>
      </c>
      <c r="K60" s="1219">
        <v>38</v>
      </c>
      <c r="L60" s="1219">
        <v>73</v>
      </c>
      <c r="M60" s="1219">
        <v>74</v>
      </c>
      <c r="N60" s="1219">
        <v>23</v>
      </c>
      <c r="O60" s="1219">
        <v>29</v>
      </c>
      <c r="P60" s="1219">
        <v>69</v>
      </c>
      <c r="Q60" s="1219">
        <v>46</v>
      </c>
      <c r="R60" s="1219">
        <v>23</v>
      </c>
      <c r="S60" s="1219">
        <v>0</v>
      </c>
      <c r="T60" s="1219">
        <v>0</v>
      </c>
      <c r="U60" s="1219">
        <v>105</v>
      </c>
      <c r="V60" s="1219">
        <v>72</v>
      </c>
      <c r="W60" s="1219">
        <v>13</v>
      </c>
      <c r="X60" s="1219">
        <v>57</v>
      </c>
      <c r="Y60" s="1219">
        <v>65</v>
      </c>
      <c r="Z60" s="169">
        <v>50</v>
      </c>
      <c r="AA60" s="169">
        <v>51</v>
      </c>
      <c r="AB60" s="1241">
        <v>100</v>
      </c>
      <c r="AC60" s="1241">
        <v>136</v>
      </c>
      <c r="AD60" s="1241">
        <v>134</v>
      </c>
      <c r="AE60" s="1241">
        <v>46</v>
      </c>
      <c r="AF60" s="1241">
        <v>60</v>
      </c>
      <c r="AG60" s="1241">
        <v>232</v>
      </c>
      <c r="AH60" s="1241">
        <v>52</v>
      </c>
      <c r="AI60" s="1241">
        <v>64</v>
      </c>
      <c r="AJ60" s="1241"/>
      <c r="AK60" s="1221">
        <f t="shared" si="0"/>
        <v>1816</v>
      </c>
      <c r="AL60" s="1221">
        <f t="shared" si="1"/>
        <v>872.68221714560536</v>
      </c>
      <c r="AM60" s="165" t="s">
        <v>1959</v>
      </c>
      <c r="AN60" s="1221"/>
      <c r="AO60" s="1250"/>
      <c r="AP60" s="615"/>
    </row>
    <row r="61" spans="1:42" s="156" customFormat="1" ht="19.149999999999999" customHeight="1" outlineLevel="1">
      <c r="A61" s="1219">
        <v>50</v>
      </c>
      <c r="B61" s="1219">
        <v>15</v>
      </c>
      <c r="C61" s="1639" t="s">
        <v>3259</v>
      </c>
      <c r="D61" s="1220" t="s">
        <v>3219</v>
      </c>
      <c r="E61" s="1221"/>
      <c r="F61" s="1219">
        <v>47</v>
      </c>
      <c r="G61" s="1219">
        <v>44</v>
      </c>
      <c r="H61" s="1219">
        <v>0</v>
      </c>
      <c r="I61" s="1219">
        <v>0</v>
      </c>
      <c r="J61" s="1219">
        <v>24</v>
      </c>
      <c r="K61" s="1219">
        <v>57</v>
      </c>
      <c r="L61" s="1219">
        <v>106</v>
      </c>
      <c r="M61" s="1219">
        <v>37</v>
      </c>
      <c r="N61" s="1219">
        <v>32</v>
      </c>
      <c r="O61" s="1219">
        <v>33</v>
      </c>
      <c r="P61" s="1219">
        <v>53</v>
      </c>
      <c r="Q61" s="1219">
        <v>22</v>
      </c>
      <c r="R61" s="1219">
        <v>30</v>
      </c>
      <c r="S61" s="1219">
        <v>0</v>
      </c>
      <c r="T61" s="1219">
        <v>0</v>
      </c>
      <c r="U61" s="1219">
        <v>89</v>
      </c>
      <c r="V61" s="1219">
        <v>23</v>
      </c>
      <c r="W61" s="1219">
        <v>25</v>
      </c>
      <c r="X61" s="1219">
        <v>72</v>
      </c>
      <c r="Y61" s="1219">
        <v>70</v>
      </c>
      <c r="Z61" s="169">
        <v>38</v>
      </c>
      <c r="AA61" s="169">
        <v>60</v>
      </c>
      <c r="AB61" s="1241">
        <v>67</v>
      </c>
      <c r="AC61" s="1241">
        <v>134</v>
      </c>
      <c r="AD61" s="1241">
        <v>65</v>
      </c>
      <c r="AE61" s="1241">
        <v>58</v>
      </c>
      <c r="AF61" s="1241">
        <v>71</v>
      </c>
      <c r="AG61" s="1241">
        <v>170</v>
      </c>
      <c r="AH61" s="1241">
        <v>50</v>
      </c>
      <c r="AI61" s="1241">
        <v>65</v>
      </c>
      <c r="AJ61" s="1241"/>
      <c r="AK61" s="1221">
        <f t="shared" si="0"/>
        <v>1542</v>
      </c>
      <c r="AL61" s="1221">
        <f t="shared" si="1"/>
        <v>741.01100156306359</v>
      </c>
      <c r="AM61" s="165" t="s">
        <v>1957</v>
      </c>
      <c r="AN61" s="1221"/>
      <c r="AO61" s="1250"/>
      <c r="AP61" s="615"/>
    </row>
    <row r="62" spans="1:42" s="156" customFormat="1" ht="19.149999999999999" customHeight="1" outlineLevel="1">
      <c r="A62" s="1219">
        <v>51</v>
      </c>
      <c r="B62" s="1219">
        <v>16</v>
      </c>
      <c r="C62" s="1639" t="s">
        <v>3260</v>
      </c>
      <c r="D62" s="1220" t="s">
        <v>3220</v>
      </c>
      <c r="E62" s="1221"/>
      <c r="F62" s="1219">
        <v>27</v>
      </c>
      <c r="G62" s="1219">
        <v>32</v>
      </c>
      <c r="H62" s="1219">
        <v>40</v>
      </c>
      <c r="I62" s="1219">
        <v>25</v>
      </c>
      <c r="J62" s="1219">
        <v>25</v>
      </c>
      <c r="K62" s="1219">
        <v>57</v>
      </c>
      <c r="L62" s="1219">
        <v>106</v>
      </c>
      <c r="M62" s="1219">
        <v>37</v>
      </c>
      <c r="N62" s="1219">
        <v>32</v>
      </c>
      <c r="O62" s="1219">
        <v>33</v>
      </c>
      <c r="P62" s="1219">
        <v>53</v>
      </c>
      <c r="Q62" s="1219">
        <v>22</v>
      </c>
      <c r="R62" s="1219">
        <v>30</v>
      </c>
      <c r="S62" s="1219">
        <v>0</v>
      </c>
      <c r="T62" s="1219">
        <v>0</v>
      </c>
      <c r="U62" s="1219">
        <v>89</v>
      </c>
      <c r="V62" s="1219">
        <v>24</v>
      </c>
      <c r="W62" s="1219">
        <v>24</v>
      </c>
      <c r="X62" s="1219">
        <v>72</v>
      </c>
      <c r="Y62" s="1219">
        <v>71</v>
      </c>
      <c r="Z62" s="169">
        <v>38</v>
      </c>
      <c r="AA62" s="169">
        <v>61</v>
      </c>
      <c r="AB62" s="1241">
        <v>67</v>
      </c>
      <c r="AC62" s="1241">
        <v>135</v>
      </c>
      <c r="AD62" s="1241">
        <v>65</v>
      </c>
      <c r="AE62" s="1241">
        <v>58</v>
      </c>
      <c r="AF62" s="1241">
        <v>71</v>
      </c>
      <c r="AG62" s="1241">
        <v>170</v>
      </c>
      <c r="AH62" s="1241">
        <v>45</v>
      </c>
      <c r="AI62" s="1241">
        <v>65</v>
      </c>
      <c r="AJ62" s="1241"/>
      <c r="AK62" s="1221">
        <f t="shared" si="0"/>
        <v>1574</v>
      </c>
      <c r="AL62" s="1221">
        <f t="shared" si="1"/>
        <v>756.38866177708303</v>
      </c>
      <c r="AM62" s="165" t="s">
        <v>1959</v>
      </c>
      <c r="AN62" s="1221"/>
      <c r="AO62" s="1250"/>
      <c r="AP62" s="615"/>
    </row>
    <row r="63" spans="1:42" s="156" customFormat="1" ht="19.149999999999999" customHeight="1" outlineLevel="1">
      <c r="A63" s="1219">
        <v>52</v>
      </c>
      <c r="B63" s="1219">
        <v>17</v>
      </c>
      <c r="C63" s="1639" t="s">
        <v>3261</v>
      </c>
      <c r="D63" s="1220" t="s">
        <v>3221</v>
      </c>
      <c r="E63" s="1221"/>
      <c r="F63" s="1219">
        <v>30</v>
      </c>
      <c r="G63" s="1219">
        <v>32</v>
      </c>
      <c r="H63" s="1219">
        <v>38</v>
      </c>
      <c r="I63" s="1219">
        <v>27</v>
      </c>
      <c r="J63" s="1219">
        <v>25</v>
      </c>
      <c r="K63" s="1219">
        <v>57</v>
      </c>
      <c r="L63" s="1219">
        <v>106</v>
      </c>
      <c r="M63" s="1219">
        <v>38</v>
      </c>
      <c r="N63" s="1219">
        <v>32</v>
      </c>
      <c r="O63" s="1219">
        <v>34</v>
      </c>
      <c r="P63" s="1219">
        <v>53</v>
      </c>
      <c r="Q63" s="1219">
        <v>23</v>
      </c>
      <c r="R63" s="1219">
        <v>32</v>
      </c>
      <c r="S63" s="1219">
        <v>0</v>
      </c>
      <c r="T63" s="1219">
        <v>0</v>
      </c>
      <c r="U63" s="1219">
        <v>90</v>
      </c>
      <c r="V63" s="1219">
        <v>23</v>
      </c>
      <c r="W63" s="1219">
        <v>25</v>
      </c>
      <c r="X63" s="1219">
        <v>73</v>
      </c>
      <c r="Y63" s="1219">
        <v>70</v>
      </c>
      <c r="Z63" s="169">
        <v>38</v>
      </c>
      <c r="AA63" s="169">
        <v>60</v>
      </c>
      <c r="AB63" s="1241">
        <v>67</v>
      </c>
      <c r="AC63" s="1241">
        <v>135</v>
      </c>
      <c r="AD63" s="1241">
        <v>65</v>
      </c>
      <c r="AE63" s="1241">
        <v>58</v>
      </c>
      <c r="AF63" s="1241">
        <v>72</v>
      </c>
      <c r="AG63" s="1241">
        <v>169</v>
      </c>
      <c r="AH63" s="1241">
        <v>50</v>
      </c>
      <c r="AI63" s="1241">
        <v>66</v>
      </c>
      <c r="AJ63" s="1241"/>
      <c r="AK63" s="1221">
        <f t="shared" si="0"/>
        <v>1588</v>
      </c>
      <c r="AL63" s="1221">
        <f t="shared" si="1"/>
        <v>763.11638812071658</v>
      </c>
      <c r="AM63" s="165" t="s">
        <v>1959</v>
      </c>
      <c r="AN63" s="1221"/>
      <c r="AO63" s="1250"/>
      <c r="AP63" s="615"/>
    </row>
    <row r="64" spans="1:42" s="156" customFormat="1" ht="19.149999999999999" customHeight="1" outlineLevel="1">
      <c r="A64" s="1219">
        <v>53</v>
      </c>
      <c r="B64" s="1219">
        <v>18</v>
      </c>
      <c r="C64" s="1639" t="s">
        <v>3262</v>
      </c>
      <c r="D64" s="1220" t="s">
        <v>3222</v>
      </c>
      <c r="E64" s="1221"/>
      <c r="F64" s="1219">
        <v>50</v>
      </c>
      <c r="G64" s="1219">
        <v>42</v>
      </c>
      <c r="H64" s="1219">
        <v>110</v>
      </c>
      <c r="I64" s="1219">
        <v>50</v>
      </c>
      <c r="J64" s="1219">
        <v>38</v>
      </c>
      <c r="K64" s="1219">
        <v>40</v>
      </c>
      <c r="L64" s="1219">
        <v>48</v>
      </c>
      <c r="M64" s="1219">
        <v>46</v>
      </c>
      <c r="N64" s="1219">
        <v>38</v>
      </c>
      <c r="O64" s="1219">
        <v>38</v>
      </c>
      <c r="P64" s="1219">
        <v>52</v>
      </c>
      <c r="Q64" s="1219">
        <v>33</v>
      </c>
      <c r="R64" s="1219">
        <v>37</v>
      </c>
      <c r="S64" s="1219">
        <v>0</v>
      </c>
      <c r="T64" s="1219">
        <v>51</v>
      </c>
      <c r="U64" s="1219">
        <v>65</v>
      </c>
      <c r="V64" s="1219">
        <v>45</v>
      </c>
      <c r="W64" s="1219">
        <v>73</v>
      </c>
      <c r="X64" s="1219">
        <v>51</v>
      </c>
      <c r="Y64" s="1219">
        <v>78</v>
      </c>
      <c r="Z64" s="169">
        <v>46</v>
      </c>
      <c r="AA64" s="169">
        <v>102</v>
      </c>
      <c r="AB64" s="1241">
        <v>88</v>
      </c>
      <c r="AC64" s="1241">
        <v>104</v>
      </c>
      <c r="AD64" s="1241">
        <v>90</v>
      </c>
      <c r="AE64" s="1241">
        <v>80</v>
      </c>
      <c r="AF64" s="1241">
        <v>84</v>
      </c>
      <c r="AG64" s="1241">
        <v>178</v>
      </c>
      <c r="AH64" s="1241">
        <v>75</v>
      </c>
      <c r="AI64" s="1241">
        <v>74</v>
      </c>
      <c r="AJ64" s="1241"/>
      <c r="AK64" s="1221">
        <f t="shared" si="0"/>
        <v>1906</v>
      </c>
      <c r="AL64" s="1221">
        <f t="shared" si="1"/>
        <v>915.93188649753517</v>
      </c>
      <c r="AM64" s="165" t="s">
        <v>1957</v>
      </c>
      <c r="AN64" s="1221"/>
      <c r="AO64" s="1250"/>
      <c r="AP64" s="615"/>
    </row>
    <row r="65" spans="1:42" s="156" customFormat="1" ht="19.149999999999999" customHeight="1" outlineLevel="1">
      <c r="A65" s="1219">
        <v>54</v>
      </c>
      <c r="B65" s="1219">
        <v>19</v>
      </c>
      <c r="C65" s="1639" t="s">
        <v>3263</v>
      </c>
      <c r="D65" s="1220" t="s">
        <v>3223</v>
      </c>
      <c r="E65" s="1221"/>
      <c r="F65" s="1219">
        <v>50</v>
      </c>
      <c r="G65" s="1219">
        <v>43</v>
      </c>
      <c r="H65" s="1219">
        <v>109</v>
      </c>
      <c r="I65" s="1219">
        <v>50</v>
      </c>
      <c r="J65" s="1219">
        <v>37</v>
      </c>
      <c r="K65" s="1219">
        <v>40</v>
      </c>
      <c r="L65" s="1219">
        <v>48</v>
      </c>
      <c r="M65" s="1219">
        <v>46</v>
      </c>
      <c r="N65" s="1219">
        <v>39</v>
      </c>
      <c r="O65" s="1219">
        <v>39</v>
      </c>
      <c r="P65" s="1219">
        <v>52</v>
      </c>
      <c r="Q65" s="1219">
        <v>33</v>
      </c>
      <c r="R65" s="1219">
        <v>39</v>
      </c>
      <c r="S65" s="1219">
        <v>0</v>
      </c>
      <c r="T65" s="1219">
        <v>51</v>
      </c>
      <c r="U65" s="1219">
        <v>64</v>
      </c>
      <c r="V65" s="1219">
        <v>45</v>
      </c>
      <c r="W65" s="1219">
        <v>73</v>
      </c>
      <c r="X65" s="1219">
        <v>50</v>
      </c>
      <c r="Y65" s="1219">
        <v>78</v>
      </c>
      <c r="Z65" s="169">
        <v>46</v>
      </c>
      <c r="AA65" s="169">
        <v>102</v>
      </c>
      <c r="AB65" s="1241">
        <v>88</v>
      </c>
      <c r="AC65" s="1241">
        <v>104</v>
      </c>
      <c r="AD65" s="1241">
        <v>90</v>
      </c>
      <c r="AE65" s="1241">
        <v>80</v>
      </c>
      <c r="AF65" s="1241">
        <v>84</v>
      </c>
      <c r="AG65" s="1241">
        <v>178</v>
      </c>
      <c r="AH65" s="1241">
        <v>75</v>
      </c>
      <c r="AI65" s="1241">
        <v>74</v>
      </c>
      <c r="AJ65" s="1241"/>
      <c r="AK65" s="1221">
        <f t="shared" si="0"/>
        <v>1907</v>
      </c>
      <c r="AL65" s="1221">
        <f t="shared" si="1"/>
        <v>916.41243837922332</v>
      </c>
      <c r="AM65" s="165" t="s">
        <v>1959</v>
      </c>
      <c r="AN65" s="1221"/>
      <c r="AO65" s="1250"/>
      <c r="AP65" s="615"/>
    </row>
    <row r="66" spans="1:42" s="156" customFormat="1" ht="19.149999999999999" customHeight="1" outlineLevel="1">
      <c r="A66" s="1219">
        <v>55</v>
      </c>
      <c r="B66" s="1219">
        <v>20</v>
      </c>
      <c r="C66" s="1639" t="s">
        <v>3264</v>
      </c>
      <c r="D66" s="1220" t="s">
        <v>3224</v>
      </c>
      <c r="E66" s="1221"/>
      <c r="F66" s="1219">
        <v>50</v>
      </c>
      <c r="G66" s="1219">
        <v>40</v>
      </c>
      <c r="H66" s="1219">
        <v>70</v>
      </c>
      <c r="I66" s="1219">
        <v>27</v>
      </c>
      <c r="J66" s="1219">
        <v>60</v>
      </c>
      <c r="K66" s="1219">
        <v>44</v>
      </c>
      <c r="L66" s="1219">
        <v>67</v>
      </c>
      <c r="M66" s="1219">
        <v>29</v>
      </c>
      <c r="N66" s="1219">
        <v>49</v>
      </c>
      <c r="O66" s="1219">
        <v>40</v>
      </c>
      <c r="P66" s="1219">
        <v>63</v>
      </c>
      <c r="Q66" s="1219">
        <v>30</v>
      </c>
      <c r="R66" s="1219">
        <v>51</v>
      </c>
      <c r="S66" s="1219">
        <v>0</v>
      </c>
      <c r="T66" s="1219">
        <v>50</v>
      </c>
      <c r="U66" s="1219">
        <v>133</v>
      </c>
      <c r="V66" s="1219">
        <v>18</v>
      </c>
      <c r="W66" s="1219">
        <v>55</v>
      </c>
      <c r="X66" s="1219">
        <v>33</v>
      </c>
      <c r="Y66" s="1219">
        <v>67</v>
      </c>
      <c r="Z66" s="169">
        <v>37</v>
      </c>
      <c r="AA66" s="169">
        <v>91</v>
      </c>
      <c r="AB66" s="1241">
        <v>98</v>
      </c>
      <c r="AC66" s="1241">
        <v>129</v>
      </c>
      <c r="AD66" s="1241">
        <v>68</v>
      </c>
      <c r="AE66" s="1241">
        <v>91</v>
      </c>
      <c r="AF66" s="1241">
        <v>96</v>
      </c>
      <c r="AG66" s="1241">
        <v>205</v>
      </c>
      <c r="AH66" s="1241">
        <v>89</v>
      </c>
      <c r="AI66" s="1241">
        <v>91</v>
      </c>
      <c r="AJ66" s="1241"/>
      <c r="AK66" s="1221">
        <f t="shared" si="0"/>
        <v>1971</v>
      </c>
      <c r="AL66" s="1221">
        <f t="shared" si="1"/>
        <v>947.1677588072622</v>
      </c>
      <c r="AM66" s="165" t="s">
        <v>1957</v>
      </c>
      <c r="AN66" s="1221"/>
      <c r="AO66" s="1250"/>
      <c r="AP66" s="615"/>
    </row>
    <row r="67" spans="1:42" s="156" customFormat="1" ht="19.149999999999999" customHeight="1" outlineLevel="1">
      <c r="A67" s="1219">
        <v>56</v>
      </c>
      <c r="B67" s="1219">
        <v>21</v>
      </c>
      <c r="C67" s="1639" t="s">
        <v>3265</v>
      </c>
      <c r="D67" s="1220" t="s">
        <v>3225</v>
      </c>
      <c r="E67" s="1221"/>
      <c r="F67" s="1219">
        <v>57</v>
      </c>
      <c r="G67" s="1219">
        <v>56</v>
      </c>
      <c r="H67" s="1219">
        <v>80</v>
      </c>
      <c r="I67" s="1219">
        <v>95</v>
      </c>
      <c r="J67" s="1219">
        <v>52</v>
      </c>
      <c r="K67" s="1219">
        <v>58</v>
      </c>
      <c r="L67" s="1219">
        <v>79</v>
      </c>
      <c r="M67" s="1219">
        <v>84</v>
      </c>
      <c r="N67" s="1219">
        <v>44</v>
      </c>
      <c r="O67" s="1219">
        <v>55</v>
      </c>
      <c r="P67" s="1219">
        <v>91</v>
      </c>
      <c r="Q67" s="1219">
        <v>89</v>
      </c>
      <c r="R67" s="1219">
        <v>52</v>
      </c>
      <c r="S67" s="1219">
        <v>0</v>
      </c>
      <c r="T67" s="1219">
        <v>65</v>
      </c>
      <c r="U67" s="1219">
        <v>120</v>
      </c>
      <c r="V67" s="1219">
        <v>80</v>
      </c>
      <c r="W67" s="1219">
        <v>54</v>
      </c>
      <c r="X67" s="1219">
        <v>59</v>
      </c>
      <c r="Y67" s="1219">
        <v>90</v>
      </c>
      <c r="Z67" s="169">
        <v>68</v>
      </c>
      <c r="AA67" s="169">
        <v>68</v>
      </c>
      <c r="AB67" s="1241">
        <v>87</v>
      </c>
      <c r="AC67" s="1241">
        <v>156</v>
      </c>
      <c r="AD67" s="1241">
        <v>109</v>
      </c>
      <c r="AE67" s="1241">
        <v>0</v>
      </c>
      <c r="AF67" s="1241">
        <v>0</v>
      </c>
      <c r="AG67" s="1241">
        <v>96</v>
      </c>
      <c r="AH67" s="1241">
        <v>198</v>
      </c>
      <c r="AI67" s="1241">
        <v>81</v>
      </c>
      <c r="AJ67" s="1241"/>
      <c r="AK67" s="1221">
        <f t="shared" si="0"/>
        <v>2223</v>
      </c>
      <c r="AL67" s="1221">
        <f t="shared" si="1"/>
        <v>1068.2668329926657</v>
      </c>
      <c r="AM67" s="165" t="s">
        <v>1957</v>
      </c>
      <c r="AN67" s="1221"/>
      <c r="AO67" s="1250"/>
      <c r="AP67" s="615"/>
    </row>
    <row r="68" spans="1:42" s="156" customFormat="1" ht="19.149999999999999" customHeight="1" outlineLevel="1">
      <c r="A68" s="1219">
        <v>57</v>
      </c>
      <c r="B68" s="1219">
        <v>22</v>
      </c>
      <c r="C68" s="1639" t="s">
        <v>3266</v>
      </c>
      <c r="D68" s="1220" t="s">
        <v>3226</v>
      </c>
      <c r="E68" s="1221"/>
      <c r="F68" s="1219">
        <v>110</v>
      </c>
      <c r="G68" s="1219">
        <v>28</v>
      </c>
      <c r="H68" s="1219">
        <v>80</v>
      </c>
      <c r="I68" s="1219">
        <v>25</v>
      </c>
      <c r="J68" s="1219">
        <v>46</v>
      </c>
      <c r="K68" s="1219">
        <v>30</v>
      </c>
      <c r="L68" s="1219">
        <v>74</v>
      </c>
      <c r="M68" s="1219">
        <v>24</v>
      </c>
      <c r="N68" s="1219">
        <v>50</v>
      </c>
      <c r="O68" s="1219">
        <v>26</v>
      </c>
      <c r="P68" s="1219">
        <v>55</v>
      </c>
      <c r="Q68" s="1219">
        <v>22</v>
      </c>
      <c r="R68" s="1219">
        <v>49</v>
      </c>
      <c r="S68" s="1219">
        <v>0</v>
      </c>
      <c r="T68" s="1219">
        <v>14</v>
      </c>
      <c r="U68" s="1219">
        <v>50</v>
      </c>
      <c r="V68" s="1219">
        <v>26</v>
      </c>
      <c r="W68" s="1219">
        <v>40</v>
      </c>
      <c r="X68" s="1219">
        <v>34</v>
      </c>
      <c r="Y68" s="1219">
        <v>77</v>
      </c>
      <c r="Z68" s="169">
        <v>21</v>
      </c>
      <c r="AA68" s="169">
        <v>68</v>
      </c>
      <c r="AB68" s="1241">
        <v>45</v>
      </c>
      <c r="AC68" s="1241">
        <v>125</v>
      </c>
      <c r="AD68" s="1241">
        <v>42</v>
      </c>
      <c r="AE68" s="1241">
        <v>65</v>
      </c>
      <c r="AF68" s="1241">
        <v>47</v>
      </c>
      <c r="AG68" s="1241">
        <v>157</v>
      </c>
      <c r="AH68" s="1241">
        <v>0</v>
      </c>
      <c r="AI68" s="1241">
        <v>56</v>
      </c>
      <c r="AJ68" s="1241"/>
      <c r="AK68" s="1221">
        <f t="shared" si="0"/>
        <v>1486</v>
      </c>
      <c r="AL68" s="1221">
        <f t="shared" si="1"/>
        <v>714.10009618852951</v>
      </c>
      <c r="AM68" s="165" t="s">
        <v>1959</v>
      </c>
      <c r="AN68" s="1221"/>
      <c r="AO68" s="1250"/>
      <c r="AP68" s="615"/>
    </row>
    <row r="69" spans="1:42" s="156" customFormat="1" ht="19.149999999999999" customHeight="1" outlineLevel="1">
      <c r="A69" s="1219">
        <v>58</v>
      </c>
      <c r="B69" s="1219">
        <v>23</v>
      </c>
      <c r="C69" s="1639" t="s">
        <v>3267</v>
      </c>
      <c r="D69" s="1220" t="s">
        <v>3227</v>
      </c>
      <c r="E69" s="1221"/>
      <c r="F69" s="1219">
        <v>107</v>
      </c>
      <c r="G69" s="1219">
        <v>28</v>
      </c>
      <c r="H69" s="1219">
        <v>80</v>
      </c>
      <c r="I69" s="1219">
        <v>26</v>
      </c>
      <c r="J69" s="1219">
        <v>50</v>
      </c>
      <c r="K69" s="1219">
        <v>30</v>
      </c>
      <c r="L69" s="1219">
        <v>74</v>
      </c>
      <c r="M69" s="1219">
        <v>25</v>
      </c>
      <c r="N69" s="1219">
        <v>50</v>
      </c>
      <c r="O69" s="1219">
        <v>27</v>
      </c>
      <c r="P69" s="1219">
        <v>55</v>
      </c>
      <c r="Q69" s="1219">
        <v>23</v>
      </c>
      <c r="R69" s="1219">
        <v>49</v>
      </c>
      <c r="S69" s="1219">
        <v>0</v>
      </c>
      <c r="T69" s="1219">
        <v>14</v>
      </c>
      <c r="U69" s="1219">
        <v>49</v>
      </c>
      <c r="V69" s="1219">
        <v>0</v>
      </c>
      <c r="W69" s="1219">
        <v>0</v>
      </c>
      <c r="X69" s="1219">
        <v>34</v>
      </c>
      <c r="Y69" s="1219">
        <v>78</v>
      </c>
      <c r="Z69" s="169">
        <v>21</v>
      </c>
      <c r="AA69" s="169">
        <v>68</v>
      </c>
      <c r="AB69" s="1241">
        <v>45</v>
      </c>
      <c r="AC69" s="1241">
        <v>125</v>
      </c>
      <c r="AD69" s="1241">
        <v>43</v>
      </c>
      <c r="AE69" s="1241">
        <v>64</v>
      </c>
      <c r="AF69" s="1241">
        <v>47</v>
      </c>
      <c r="AG69" s="1241">
        <v>157</v>
      </c>
      <c r="AH69" s="1241">
        <v>0</v>
      </c>
      <c r="AI69" s="1241">
        <v>57</v>
      </c>
      <c r="AJ69" s="1241"/>
      <c r="AK69" s="1221">
        <f t="shared" si="0"/>
        <v>1426</v>
      </c>
      <c r="AL69" s="1221">
        <f t="shared" si="1"/>
        <v>685.26698328724297</v>
      </c>
      <c r="AM69" s="165" t="s">
        <v>1959</v>
      </c>
      <c r="AN69" s="1221"/>
      <c r="AO69" s="1250"/>
      <c r="AP69" s="615"/>
    </row>
    <row r="70" spans="1:42" s="156" customFormat="1" ht="19.149999999999999" customHeight="1" outlineLevel="1">
      <c r="A70" s="1219">
        <v>59</v>
      </c>
      <c r="B70" s="1219">
        <v>24</v>
      </c>
      <c r="C70" s="1639" t="s">
        <v>3268</v>
      </c>
      <c r="D70" s="1220" t="s">
        <v>1245</v>
      </c>
      <c r="E70" s="1221"/>
      <c r="F70" s="1219">
        <v>61</v>
      </c>
      <c r="G70" s="1219">
        <v>42</v>
      </c>
      <c r="H70" s="1219">
        <v>65</v>
      </c>
      <c r="I70" s="1219">
        <v>44</v>
      </c>
      <c r="J70" s="1219">
        <v>60</v>
      </c>
      <c r="K70" s="1219">
        <v>42</v>
      </c>
      <c r="L70" s="1219">
        <v>63</v>
      </c>
      <c r="M70" s="1219">
        <v>47</v>
      </c>
      <c r="N70" s="1219">
        <v>66</v>
      </c>
      <c r="O70" s="1219">
        <v>38</v>
      </c>
      <c r="P70" s="1219">
        <v>79</v>
      </c>
      <c r="Q70" s="1219">
        <v>60</v>
      </c>
      <c r="R70" s="1219">
        <v>68</v>
      </c>
      <c r="S70" s="1219">
        <v>0</v>
      </c>
      <c r="T70" s="1219">
        <v>43</v>
      </c>
      <c r="U70" s="1219">
        <v>161</v>
      </c>
      <c r="V70" s="1219">
        <v>40</v>
      </c>
      <c r="W70" s="1219">
        <v>83</v>
      </c>
      <c r="X70" s="1219">
        <v>34</v>
      </c>
      <c r="Y70" s="1219">
        <v>75</v>
      </c>
      <c r="Z70" s="169">
        <v>58</v>
      </c>
      <c r="AA70" s="169">
        <v>173</v>
      </c>
      <c r="AB70" s="1241">
        <v>97</v>
      </c>
      <c r="AC70" s="1241">
        <v>197</v>
      </c>
      <c r="AD70" s="1241">
        <v>108</v>
      </c>
      <c r="AE70" s="1241">
        <v>191</v>
      </c>
      <c r="AF70" s="1241">
        <v>155</v>
      </c>
      <c r="AG70" s="1241">
        <v>227</v>
      </c>
      <c r="AH70" s="1241">
        <v>156</v>
      </c>
      <c r="AI70" s="1241">
        <v>87</v>
      </c>
      <c r="AJ70" s="1241"/>
      <c r="AK70" s="1221">
        <f t="shared" si="0"/>
        <v>2620</v>
      </c>
      <c r="AL70" s="1221">
        <f t="shared" si="1"/>
        <v>1259.0459300228447</v>
      </c>
      <c r="AM70" s="165" t="s">
        <v>1959</v>
      </c>
      <c r="AN70" s="1221"/>
      <c r="AO70" s="1250"/>
      <c r="AP70" s="615"/>
    </row>
    <row r="71" spans="1:42" s="156" customFormat="1" ht="19.149999999999999" customHeight="1" outlineLevel="1">
      <c r="A71" s="1219">
        <v>60</v>
      </c>
      <c r="B71" s="1219">
        <v>25</v>
      </c>
      <c r="C71" s="1639" t="s">
        <v>3269</v>
      </c>
      <c r="D71" s="1220" t="s">
        <v>3228</v>
      </c>
      <c r="E71" s="1221"/>
      <c r="F71" s="1219">
        <v>62</v>
      </c>
      <c r="G71" s="1219">
        <v>41</v>
      </c>
      <c r="H71" s="1219">
        <v>65</v>
      </c>
      <c r="I71" s="1219">
        <v>43</v>
      </c>
      <c r="J71" s="1219">
        <v>55</v>
      </c>
      <c r="K71" s="1219">
        <v>41</v>
      </c>
      <c r="L71" s="1219">
        <v>64</v>
      </c>
      <c r="M71" s="1219">
        <v>48</v>
      </c>
      <c r="N71" s="1219">
        <v>67</v>
      </c>
      <c r="O71" s="1219">
        <v>39</v>
      </c>
      <c r="P71" s="1219">
        <v>80</v>
      </c>
      <c r="Q71" s="1219">
        <v>60</v>
      </c>
      <c r="R71" s="1219">
        <v>68</v>
      </c>
      <c r="S71" s="1219">
        <v>0</v>
      </c>
      <c r="T71" s="1219">
        <v>44</v>
      </c>
      <c r="U71" s="1219">
        <v>162</v>
      </c>
      <c r="V71" s="1219">
        <v>41</v>
      </c>
      <c r="W71" s="1219">
        <v>84</v>
      </c>
      <c r="X71" s="1219">
        <v>35</v>
      </c>
      <c r="Y71" s="1219">
        <v>74</v>
      </c>
      <c r="Z71" s="169">
        <v>58</v>
      </c>
      <c r="AA71" s="169">
        <v>173</v>
      </c>
      <c r="AB71" s="1241">
        <v>98</v>
      </c>
      <c r="AC71" s="1241">
        <v>197</v>
      </c>
      <c r="AD71" s="1241">
        <v>108</v>
      </c>
      <c r="AE71" s="1241">
        <v>192</v>
      </c>
      <c r="AF71" s="1241">
        <v>155</v>
      </c>
      <c r="AG71" s="1241">
        <v>228</v>
      </c>
      <c r="AH71" s="1241">
        <v>156</v>
      </c>
      <c r="AI71" s="1241">
        <v>88</v>
      </c>
      <c r="AJ71" s="1241"/>
      <c r="AK71" s="1221">
        <f t="shared" si="0"/>
        <v>2626</v>
      </c>
      <c r="AL71" s="1221">
        <f t="shared" si="1"/>
        <v>1261.9292413129735</v>
      </c>
      <c r="AM71" s="165" t="s">
        <v>1959</v>
      </c>
      <c r="AN71" s="1221"/>
      <c r="AO71" s="1250"/>
      <c r="AP71" s="615"/>
    </row>
    <row r="72" spans="1:42" s="156" customFormat="1" ht="19.149999999999999" customHeight="1" outlineLevel="1">
      <c r="A72" s="1219">
        <v>61</v>
      </c>
      <c r="B72" s="1219">
        <v>26</v>
      </c>
      <c r="C72" s="1639" t="s">
        <v>3270</v>
      </c>
      <c r="D72" s="1220" t="s">
        <v>3229</v>
      </c>
      <c r="E72" s="1221"/>
      <c r="F72" s="1219">
        <v>50</v>
      </c>
      <c r="G72" s="1219">
        <v>40</v>
      </c>
      <c r="H72" s="1219">
        <v>70</v>
      </c>
      <c r="I72" s="1219">
        <v>30</v>
      </c>
      <c r="J72" s="1219">
        <v>60</v>
      </c>
      <c r="K72" s="1219">
        <v>50</v>
      </c>
      <c r="L72" s="1219">
        <v>67</v>
      </c>
      <c r="M72" s="1219">
        <v>29</v>
      </c>
      <c r="N72" s="1219">
        <v>49</v>
      </c>
      <c r="O72" s="1219">
        <v>40</v>
      </c>
      <c r="P72" s="1219">
        <v>64</v>
      </c>
      <c r="Q72" s="1219">
        <v>30</v>
      </c>
      <c r="R72" s="1219">
        <v>64</v>
      </c>
      <c r="S72" s="1219">
        <v>0</v>
      </c>
      <c r="T72" s="1219">
        <v>51</v>
      </c>
      <c r="U72" s="1219">
        <v>133</v>
      </c>
      <c r="V72" s="1219">
        <v>18</v>
      </c>
      <c r="W72" s="1219">
        <v>56</v>
      </c>
      <c r="X72" s="1219">
        <v>34</v>
      </c>
      <c r="Y72" s="1219">
        <v>70</v>
      </c>
      <c r="Z72" s="169">
        <v>37</v>
      </c>
      <c r="AA72" s="169">
        <v>92</v>
      </c>
      <c r="AB72" s="1241">
        <v>99</v>
      </c>
      <c r="AC72" s="1241">
        <v>130</v>
      </c>
      <c r="AD72" s="1241">
        <v>70</v>
      </c>
      <c r="AE72" s="1241">
        <v>91</v>
      </c>
      <c r="AF72" s="1241">
        <v>97</v>
      </c>
      <c r="AG72" s="1241">
        <v>206</v>
      </c>
      <c r="AH72" s="1241">
        <v>89</v>
      </c>
      <c r="AI72" s="1241">
        <v>91</v>
      </c>
      <c r="AJ72" s="1241"/>
      <c r="AK72" s="1221">
        <f t="shared" si="0"/>
        <v>2007</v>
      </c>
      <c r="AL72" s="1221">
        <f t="shared" si="1"/>
        <v>964.4676265480341</v>
      </c>
      <c r="AM72" s="165" t="s">
        <v>1957</v>
      </c>
      <c r="AN72" s="1221"/>
      <c r="AO72" s="1250"/>
      <c r="AP72" s="615"/>
    </row>
    <row r="73" spans="1:42" s="156" customFormat="1" ht="19.149999999999999" customHeight="1" outlineLevel="1">
      <c r="A73" s="1219">
        <v>62</v>
      </c>
      <c r="B73" s="1219">
        <v>27</v>
      </c>
      <c r="C73" s="1639" t="s">
        <v>3271</v>
      </c>
      <c r="D73" s="1220" t="s">
        <v>3230</v>
      </c>
      <c r="E73" s="1221"/>
      <c r="F73" s="1219">
        <v>50</v>
      </c>
      <c r="G73" s="1219">
        <v>42</v>
      </c>
      <c r="H73" s="1219">
        <v>70</v>
      </c>
      <c r="I73" s="1219">
        <v>30</v>
      </c>
      <c r="J73" s="1219">
        <v>60</v>
      </c>
      <c r="K73" s="1219">
        <v>50</v>
      </c>
      <c r="L73" s="1219">
        <v>67</v>
      </c>
      <c r="M73" s="1219">
        <v>30</v>
      </c>
      <c r="N73" s="1219">
        <v>50</v>
      </c>
      <c r="O73" s="1219">
        <v>41</v>
      </c>
      <c r="P73" s="1219">
        <v>63</v>
      </c>
      <c r="Q73" s="1219">
        <v>32</v>
      </c>
      <c r="R73" s="1219">
        <v>64</v>
      </c>
      <c r="S73" s="1219">
        <v>0</v>
      </c>
      <c r="T73" s="1219">
        <v>52</v>
      </c>
      <c r="U73" s="1219">
        <v>133</v>
      </c>
      <c r="V73" s="1219">
        <v>18</v>
      </c>
      <c r="W73" s="1219">
        <v>56</v>
      </c>
      <c r="X73" s="1219">
        <v>34</v>
      </c>
      <c r="Y73" s="1219">
        <v>70</v>
      </c>
      <c r="Z73" s="169">
        <v>37</v>
      </c>
      <c r="AA73" s="169">
        <v>92</v>
      </c>
      <c r="AB73" s="1241">
        <v>99</v>
      </c>
      <c r="AC73" s="1241">
        <v>130</v>
      </c>
      <c r="AD73" s="1241">
        <v>70</v>
      </c>
      <c r="AE73" s="1241">
        <v>91</v>
      </c>
      <c r="AF73" s="1241">
        <v>97</v>
      </c>
      <c r="AG73" s="1241">
        <v>206</v>
      </c>
      <c r="AH73" s="1241">
        <v>90</v>
      </c>
      <c r="AI73" s="1241">
        <v>92</v>
      </c>
      <c r="AJ73" s="1241"/>
      <c r="AK73" s="1221">
        <f t="shared" si="0"/>
        <v>2016</v>
      </c>
      <c r="AL73" s="1221">
        <f t="shared" si="1"/>
        <v>968.79259348322717</v>
      </c>
      <c r="AM73" s="165" t="s">
        <v>1957</v>
      </c>
      <c r="AN73" s="1221"/>
      <c r="AO73" s="1250"/>
      <c r="AP73" s="615"/>
    </row>
    <row r="74" spans="1:42" s="156" customFormat="1" ht="19.149999999999999" customHeight="1" outlineLevel="1">
      <c r="A74" s="1219">
        <v>63</v>
      </c>
      <c r="B74" s="1219">
        <v>28</v>
      </c>
      <c r="C74" s="1639" t="s">
        <v>3272</v>
      </c>
      <c r="D74" s="1220" t="s">
        <v>408</v>
      </c>
      <c r="E74" s="1221"/>
      <c r="F74" s="1219">
        <v>35</v>
      </c>
      <c r="G74" s="1219">
        <v>40</v>
      </c>
      <c r="H74" s="1219">
        <v>60</v>
      </c>
      <c r="I74" s="1219">
        <v>43</v>
      </c>
      <c r="J74" s="1219">
        <v>35</v>
      </c>
      <c r="K74" s="1219">
        <v>35</v>
      </c>
      <c r="L74" s="1219">
        <v>63</v>
      </c>
      <c r="M74" s="1219">
        <v>40</v>
      </c>
      <c r="N74" s="1219">
        <v>35</v>
      </c>
      <c r="O74" s="1219">
        <v>33</v>
      </c>
      <c r="P74" s="1219">
        <v>57</v>
      </c>
      <c r="Q74" s="1219">
        <v>42</v>
      </c>
      <c r="R74" s="1219">
        <v>35</v>
      </c>
      <c r="S74" s="1219">
        <v>0</v>
      </c>
      <c r="T74" s="1219">
        <v>30</v>
      </c>
      <c r="U74" s="1219">
        <v>50</v>
      </c>
      <c r="V74" s="1219">
        <v>35</v>
      </c>
      <c r="W74" s="1219">
        <v>40</v>
      </c>
      <c r="X74" s="1219">
        <v>36</v>
      </c>
      <c r="Y74" s="1219">
        <v>50</v>
      </c>
      <c r="Z74" s="169">
        <v>36</v>
      </c>
      <c r="AA74" s="169">
        <v>60</v>
      </c>
      <c r="AB74" s="1241">
        <v>38</v>
      </c>
      <c r="AC74" s="1241">
        <v>85</v>
      </c>
      <c r="AD74" s="1241">
        <v>33</v>
      </c>
      <c r="AE74" s="1241">
        <v>67</v>
      </c>
      <c r="AF74" s="1241">
        <v>56</v>
      </c>
      <c r="AG74" s="1241">
        <v>147</v>
      </c>
      <c r="AH74" s="1241">
        <v>67</v>
      </c>
      <c r="AI74" s="1241">
        <v>63</v>
      </c>
      <c r="AJ74" s="1241"/>
      <c r="AK74" s="1221">
        <f t="shared" si="0"/>
        <v>1446</v>
      </c>
      <c r="AL74" s="1221">
        <f t="shared" si="1"/>
        <v>694.87802092100515</v>
      </c>
      <c r="AM74" s="165" t="s">
        <v>1959</v>
      </c>
      <c r="AN74" s="1221"/>
      <c r="AO74" s="1250"/>
      <c r="AP74" s="615"/>
    </row>
    <row r="75" spans="1:42" s="156" customFormat="1" ht="19.149999999999999" customHeight="1" outlineLevel="1">
      <c r="A75" s="1219">
        <v>64</v>
      </c>
      <c r="B75" s="1219">
        <v>29</v>
      </c>
      <c r="C75" s="1639" t="s">
        <v>3273</v>
      </c>
      <c r="D75" s="1220" t="s">
        <v>3231</v>
      </c>
      <c r="E75" s="1221"/>
      <c r="F75" s="1219">
        <v>33</v>
      </c>
      <c r="G75" s="1219">
        <v>36</v>
      </c>
      <c r="H75" s="1219">
        <v>62</v>
      </c>
      <c r="I75" s="1219">
        <v>44</v>
      </c>
      <c r="J75" s="1219">
        <v>36</v>
      </c>
      <c r="K75" s="1219">
        <v>36</v>
      </c>
      <c r="L75" s="1219">
        <v>63</v>
      </c>
      <c r="M75" s="1219">
        <v>40</v>
      </c>
      <c r="N75" s="1219">
        <v>35</v>
      </c>
      <c r="O75" s="1219">
        <v>33</v>
      </c>
      <c r="P75" s="1219">
        <v>57</v>
      </c>
      <c r="Q75" s="1219">
        <v>42</v>
      </c>
      <c r="R75" s="1219">
        <v>35</v>
      </c>
      <c r="S75" s="1219">
        <v>0</v>
      </c>
      <c r="T75" s="1219">
        <v>30</v>
      </c>
      <c r="U75" s="1219">
        <v>49</v>
      </c>
      <c r="V75" s="1219">
        <v>36</v>
      </c>
      <c r="W75" s="1219">
        <v>41</v>
      </c>
      <c r="X75" s="1219">
        <v>37</v>
      </c>
      <c r="Y75" s="1219">
        <v>51</v>
      </c>
      <c r="Z75" s="169">
        <v>36</v>
      </c>
      <c r="AA75" s="169">
        <v>62</v>
      </c>
      <c r="AB75" s="1241">
        <v>58</v>
      </c>
      <c r="AC75" s="1241">
        <v>82</v>
      </c>
      <c r="AD75" s="1241">
        <v>77</v>
      </c>
      <c r="AE75" s="1241">
        <v>70</v>
      </c>
      <c r="AF75" s="1241">
        <v>67</v>
      </c>
      <c r="AG75" s="1241">
        <v>174</v>
      </c>
      <c r="AH75" s="1241">
        <v>66</v>
      </c>
      <c r="AI75" s="1241">
        <v>65</v>
      </c>
      <c r="AJ75" s="1241"/>
      <c r="AK75" s="1221">
        <f t="shared" si="0"/>
        <v>1553</v>
      </c>
      <c r="AL75" s="1221">
        <f t="shared" si="1"/>
        <v>746.29707226163282</v>
      </c>
      <c r="AM75" s="165" t="s">
        <v>1957</v>
      </c>
      <c r="AN75" s="1221"/>
      <c r="AO75" s="1250"/>
      <c r="AP75" s="615"/>
    </row>
    <row r="76" spans="1:42" s="156" customFormat="1" ht="19.149999999999999" customHeight="1" outlineLevel="1">
      <c r="A76" s="1219">
        <v>65</v>
      </c>
      <c r="B76" s="1219">
        <v>30</v>
      </c>
      <c r="C76" s="1639" t="s">
        <v>3274</v>
      </c>
      <c r="D76" s="1220" t="s">
        <v>3232</v>
      </c>
      <c r="E76" s="1221"/>
      <c r="F76" s="1219">
        <v>35</v>
      </c>
      <c r="G76" s="1219">
        <v>40</v>
      </c>
      <c r="H76" s="1219">
        <v>60</v>
      </c>
      <c r="I76" s="1219">
        <v>43</v>
      </c>
      <c r="J76" s="1219">
        <v>35</v>
      </c>
      <c r="K76" s="1219">
        <v>35</v>
      </c>
      <c r="L76" s="1219">
        <v>63</v>
      </c>
      <c r="M76" s="1219">
        <v>40</v>
      </c>
      <c r="N76" s="1219">
        <v>35</v>
      </c>
      <c r="O76" s="1219">
        <v>34</v>
      </c>
      <c r="P76" s="1219">
        <v>57</v>
      </c>
      <c r="Q76" s="1219">
        <v>43</v>
      </c>
      <c r="R76" s="1219">
        <v>35</v>
      </c>
      <c r="S76" s="1219">
        <v>0</v>
      </c>
      <c r="T76" s="1219">
        <v>25</v>
      </c>
      <c r="U76" s="1219">
        <v>50</v>
      </c>
      <c r="V76" s="1219">
        <v>35</v>
      </c>
      <c r="W76" s="1219">
        <v>41</v>
      </c>
      <c r="X76" s="1219">
        <v>36</v>
      </c>
      <c r="Y76" s="1219">
        <v>51</v>
      </c>
      <c r="Z76" s="169">
        <v>36</v>
      </c>
      <c r="AA76" s="169">
        <v>60</v>
      </c>
      <c r="AB76" s="1241">
        <v>58</v>
      </c>
      <c r="AC76" s="1241">
        <v>83</v>
      </c>
      <c r="AD76" s="1241">
        <v>77</v>
      </c>
      <c r="AE76" s="1241">
        <v>70</v>
      </c>
      <c r="AF76" s="1241">
        <v>67</v>
      </c>
      <c r="AG76" s="1241">
        <v>174</v>
      </c>
      <c r="AH76" s="1241">
        <v>66</v>
      </c>
      <c r="AI76" s="1241">
        <v>65</v>
      </c>
      <c r="AJ76" s="1241"/>
      <c r="AK76" s="1221">
        <f t="shared" si="0"/>
        <v>1549</v>
      </c>
      <c r="AL76" s="1221">
        <f t="shared" si="1"/>
        <v>744.37486473488036</v>
      </c>
      <c r="AM76" s="165" t="s">
        <v>1957</v>
      </c>
      <c r="AN76" s="1221">
        <f t="shared" si="4"/>
        <v>619.6</v>
      </c>
      <c r="AO76" s="1250">
        <f t="shared" si="5"/>
        <v>124.77486473488034</v>
      </c>
      <c r="AP76" s="615"/>
    </row>
    <row r="77" spans="1:42" s="156" customFormat="1" ht="19.149999999999999" customHeight="1" outlineLevel="1">
      <c r="A77" s="1219">
        <v>66</v>
      </c>
      <c r="B77" s="1219">
        <v>31</v>
      </c>
      <c r="C77" s="1639" t="s">
        <v>3275</v>
      </c>
      <c r="D77" s="1220" t="s">
        <v>395</v>
      </c>
      <c r="E77" s="1221"/>
      <c r="F77" s="1219">
        <v>35</v>
      </c>
      <c r="G77" s="1219">
        <v>37</v>
      </c>
      <c r="H77" s="1219">
        <v>62</v>
      </c>
      <c r="I77" s="1219">
        <v>43</v>
      </c>
      <c r="J77" s="1219">
        <v>35</v>
      </c>
      <c r="K77" s="1219">
        <v>37</v>
      </c>
      <c r="L77" s="1219">
        <v>63</v>
      </c>
      <c r="M77" s="1219">
        <v>40</v>
      </c>
      <c r="N77" s="1219">
        <v>35</v>
      </c>
      <c r="O77" s="1219">
        <v>33</v>
      </c>
      <c r="P77" s="1219">
        <v>57</v>
      </c>
      <c r="Q77" s="1219">
        <v>43</v>
      </c>
      <c r="R77" s="1219">
        <v>36</v>
      </c>
      <c r="S77" s="1219">
        <v>0</v>
      </c>
      <c r="T77" s="1219">
        <v>30</v>
      </c>
      <c r="U77" s="1219">
        <v>49</v>
      </c>
      <c r="V77" s="1219">
        <v>36</v>
      </c>
      <c r="W77" s="1219">
        <v>41</v>
      </c>
      <c r="X77" s="1219">
        <v>36</v>
      </c>
      <c r="Y77" s="1219">
        <v>51</v>
      </c>
      <c r="Z77" s="169">
        <v>37</v>
      </c>
      <c r="AA77" s="169">
        <v>62</v>
      </c>
      <c r="AB77" s="1241">
        <v>58</v>
      </c>
      <c r="AC77" s="1241">
        <v>83</v>
      </c>
      <c r="AD77" s="1241">
        <v>77</v>
      </c>
      <c r="AE77" s="1241">
        <v>71</v>
      </c>
      <c r="AF77" s="1241">
        <v>67</v>
      </c>
      <c r="AG77" s="1241">
        <v>176</v>
      </c>
      <c r="AH77" s="1241">
        <v>66</v>
      </c>
      <c r="AI77" s="1241">
        <v>65</v>
      </c>
      <c r="AJ77" s="1241"/>
      <c r="AK77" s="1221">
        <f t="shared" ref="AK77:AK89" si="6">SUM(F77:AJ77)</f>
        <v>1561</v>
      </c>
      <c r="AL77" s="1221">
        <f t="shared" ref="AL77:AL89" si="7">AK77*$AP$10</f>
        <v>750.14148731513762</v>
      </c>
      <c r="AM77" s="165" t="s">
        <v>1959</v>
      </c>
      <c r="AN77" s="1221">
        <f t="shared" si="4"/>
        <v>624.40000000000009</v>
      </c>
      <c r="AO77" s="1250">
        <f t="shared" si="5"/>
        <v>125.74148731513753</v>
      </c>
      <c r="AP77" s="615"/>
    </row>
    <row r="78" spans="1:42" s="156" customFormat="1" ht="19.149999999999999" customHeight="1" outlineLevel="1">
      <c r="A78" s="1219">
        <v>67</v>
      </c>
      <c r="B78" s="1219">
        <v>32</v>
      </c>
      <c r="C78" s="1639" t="s">
        <v>3276</v>
      </c>
      <c r="D78" s="1220" t="s">
        <v>3233</v>
      </c>
      <c r="E78" s="1221"/>
      <c r="F78" s="1219">
        <v>72</v>
      </c>
      <c r="G78" s="1219">
        <v>38</v>
      </c>
      <c r="H78" s="1219">
        <v>57</v>
      </c>
      <c r="I78" s="1219">
        <v>45</v>
      </c>
      <c r="J78" s="1219">
        <v>37</v>
      </c>
      <c r="K78" s="1219">
        <v>29</v>
      </c>
      <c r="L78" s="1219">
        <v>57</v>
      </c>
      <c r="M78" s="1219">
        <v>37</v>
      </c>
      <c r="N78" s="1219">
        <v>37</v>
      </c>
      <c r="O78" s="1219">
        <v>30</v>
      </c>
      <c r="P78" s="1219">
        <v>57</v>
      </c>
      <c r="Q78" s="1219">
        <v>43</v>
      </c>
      <c r="R78" s="1219">
        <v>41</v>
      </c>
      <c r="S78" s="1219">
        <v>0</v>
      </c>
      <c r="T78" s="1219">
        <v>32</v>
      </c>
      <c r="U78" s="1219">
        <v>32</v>
      </c>
      <c r="V78" s="1219">
        <v>47</v>
      </c>
      <c r="W78" s="1219">
        <v>41</v>
      </c>
      <c r="X78" s="1219">
        <v>40</v>
      </c>
      <c r="Y78" s="1219">
        <v>34</v>
      </c>
      <c r="Z78" s="169">
        <v>42</v>
      </c>
      <c r="AA78" s="169">
        <v>63</v>
      </c>
      <c r="AB78" s="1241">
        <v>52</v>
      </c>
      <c r="AC78" s="1241">
        <v>95</v>
      </c>
      <c r="AD78" s="1241">
        <v>88</v>
      </c>
      <c r="AE78" s="1241">
        <v>75</v>
      </c>
      <c r="AF78" s="1241">
        <v>58</v>
      </c>
      <c r="AG78" s="1241">
        <v>125</v>
      </c>
      <c r="AH78" s="1241">
        <v>83</v>
      </c>
      <c r="AI78" s="1241">
        <v>36</v>
      </c>
      <c r="AJ78" s="1241"/>
      <c r="AK78" s="1221">
        <f t="shared" si="6"/>
        <v>1523</v>
      </c>
      <c r="AL78" s="1221">
        <f t="shared" si="7"/>
        <v>731.88051581098955</v>
      </c>
      <c r="AM78" s="165" t="s">
        <v>1959</v>
      </c>
      <c r="AN78" s="1221">
        <f t="shared" si="4"/>
        <v>609.20000000000005</v>
      </c>
      <c r="AO78" s="1250">
        <f t="shared" si="5"/>
        <v>122.6805158109895</v>
      </c>
      <c r="AP78" s="615"/>
    </row>
    <row r="79" spans="1:42" s="156" customFormat="1" ht="19.149999999999999" customHeight="1" outlineLevel="1">
      <c r="A79" s="1219">
        <v>68</v>
      </c>
      <c r="B79" s="1219">
        <v>33</v>
      </c>
      <c r="C79" s="1639" t="s">
        <v>3277</v>
      </c>
      <c r="D79" s="1220" t="s">
        <v>3234</v>
      </c>
      <c r="E79" s="1221"/>
      <c r="F79" s="1219">
        <v>71</v>
      </c>
      <c r="G79" s="1219">
        <v>40</v>
      </c>
      <c r="H79" s="1219">
        <v>58</v>
      </c>
      <c r="I79" s="1219">
        <v>47</v>
      </c>
      <c r="J79" s="1219">
        <v>37</v>
      </c>
      <c r="K79" s="1219">
        <v>30</v>
      </c>
      <c r="L79" s="1219">
        <v>58</v>
      </c>
      <c r="M79" s="1219">
        <v>37</v>
      </c>
      <c r="N79" s="1219">
        <v>38</v>
      </c>
      <c r="O79" s="1219">
        <v>31</v>
      </c>
      <c r="P79" s="1219">
        <v>57</v>
      </c>
      <c r="Q79" s="1219">
        <v>44</v>
      </c>
      <c r="R79" s="1219">
        <v>41</v>
      </c>
      <c r="S79" s="1219">
        <v>0</v>
      </c>
      <c r="T79" s="1219">
        <v>32</v>
      </c>
      <c r="U79" s="1219">
        <v>32</v>
      </c>
      <c r="V79" s="1219">
        <v>48</v>
      </c>
      <c r="W79" s="1219">
        <v>41</v>
      </c>
      <c r="X79" s="1219">
        <v>37</v>
      </c>
      <c r="Y79" s="1219">
        <v>35</v>
      </c>
      <c r="Z79" s="169">
        <v>41</v>
      </c>
      <c r="AA79" s="169">
        <v>63</v>
      </c>
      <c r="AB79" s="1241">
        <v>52</v>
      </c>
      <c r="AC79" s="1241">
        <v>96</v>
      </c>
      <c r="AD79" s="1241">
        <v>88</v>
      </c>
      <c r="AE79" s="1241">
        <v>76</v>
      </c>
      <c r="AF79" s="1241">
        <v>58</v>
      </c>
      <c r="AG79" s="1241">
        <v>126</v>
      </c>
      <c r="AH79" s="1241">
        <v>83</v>
      </c>
      <c r="AI79" s="1241">
        <v>37</v>
      </c>
      <c r="AJ79" s="1241"/>
      <c r="AK79" s="1221">
        <f t="shared" si="6"/>
        <v>1534</v>
      </c>
      <c r="AL79" s="1221">
        <f t="shared" si="7"/>
        <v>737.16658650955878</v>
      </c>
      <c r="AM79" s="165" t="s">
        <v>1959</v>
      </c>
      <c r="AN79" s="1221">
        <f t="shared" si="4"/>
        <v>613.6</v>
      </c>
      <c r="AO79" s="1250">
        <f t="shared" si="5"/>
        <v>123.56658650955876</v>
      </c>
      <c r="AP79" s="615"/>
    </row>
    <row r="80" spans="1:42" s="156" customFormat="1" ht="19.149999999999999" customHeight="1" outlineLevel="1">
      <c r="A80" s="1219">
        <v>69</v>
      </c>
      <c r="B80" s="1219">
        <v>34</v>
      </c>
      <c r="C80" s="1639" t="s">
        <v>3278</v>
      </c>
      <c r="D80" s="1220" t="s">
        <v>3235</v>
      </c>
      <c r="E80" s="1221"/>
      <c r="F80" s="1219">
        <v>55</v>
      </c>
      <c r="G80" s="1219">
        <v>57</v>
      </c>
      <c r="H80" s="1219">
        <v>67</v>
      </c>
      <c r="I80" s="1219">
        <v>44</v>
      </c>
      <c r="J80" s="1219">
        <v>37</v>
      </c>
      <c r="K80" s="1219">
        <v>52</v>
      </c>
      <c r="L80" s="1219">
        <v>66</v>
      </c>
      <c r="M80" s="1219">
        <v>43</v>
      </c>
      <c r="N80" s="1219">
        <v>36</v>
      </c>
      <c r="O80" s="1219">
        <v>53</v>
      </c>
      <c r="P80" s="1219">
        <v>68</v>
      </c>
      <c r="Q80" s="1219">
        <v>45</v>
      </c>
      <c r="R80" s="1219">
        <v>39</v>
      </c>
      <c r="S80" s="1219">
        <v>0</v>
      </c>
      <c r="T80" s="1219">
        <v>50</v>
      </c>
      <c r="U80" s="1219">
        <v>55</v>
      </c>
      <c r="V80" s="1219">
        <v>50</v>
      </c>
      <c r="W80" s="1219">
        <v>43</v>
      </c>
      <c r="X80" s="1219">
        <v>57</v>
      </c>
      <c r="Y80" s="1219">
        <v>53</v>
      </c>
      <c r="Z80" s="169">
        <v>44</v>
      </c>
      <c r="AA80" s="169">
        <v>66</v>
      </c>
      <c r="AB80" s="1241">
        <v>81</v>
      </c>
      <c r="AC80" s="1241">
        <v>116</v>
      </c>
      <c r="AD80" s="1241">
        <v>67</v>
      </c>
      <c r="AE80" s="1241">
        <v>86</v>
      </c>
      <c r="AF80" s="1241">
        <v>83</v>
      </c>
      <c r="AG80" s="1241">
        <v>158</v>
      </c>
      <c r="AH80" s="1241">
        <v>82</v>
      </c>
      <c r="AI80" s="1241">
        <v>36</v>
      </c>
      <c r="AJ80" s="1241"/>
      <c r="AK80" s="1221">
        <f t="shared" si="6"/>
        <v>1789</v>
      </c>
      <c r="AL80" s="1221">
        <f t="shared" si="7"/>
        <v>859.70731634002641</v>
      </c>
      <c r="AM80" s="165" t="s">
        <v>1959</v>
      </c>
      <c r="AN80" s="1221">
        <f t="shared" si="4"/>
        <v>715.6</v>
      </c>
      <c r="AO80" s="1250">
        <f t="shared" si="5"/>
        <v>144.10731634002639</v>
      </c>
      <c r="AP80" s="615"/>
    </row>
    <row r="81" spans="1:42" s="156" customFormat="1" ht="19.149999999999999" customHeight="1" outlineLevel="1">
      <c r="A81" s="1219">
        <v>70</v>
      </c>
      <c r="B81" s="1219">
        <v>35</v>
      </c>
      <c r="C81" s="1639" t="s">
        <v>3279</v>
      </c>
      <c r="D81" s="1220" t="s">
        <v>3236</v>
      </c>
      <c r="E81" s="1221"/>
      <c r="F81" s="1219">
        <v>56</v>
      </c>
      <c r="G81" s="1219">
        <v>56</v>
      </c>
      <c r="H81" s="1219">
        <v>68</v>
      </c>
      <c r="I81" s="1219">
        <v>42</v>
      </c>
      <c r="J81" s="1219">
        <v>37</v>
      </c>
      <c r="K81" s="1219">
        <v>53</v>
      </c>
      <c r="L81" s="1219">
        <v>66</v>
      </c>
      <c r="M81" s="1219">
        <v>44</v>
      </c>
      <c r="N81" s="1219">
        <v>37</v>
      </c>
      <c r="O81" s="1219">
        <v>54</v>
      </c>
      <c r="P81" s="1219">
        <v>69</v>
      </c>
      <c r="Q81" s="1219">
        <v>46</v>
      </c>
      <c r="R81" s="1219">
        <v>40</v>
      </c>
      <c r="S81" s="1219">
        <v>0</v>
      </c>
      <c r="T81" s="1219">
        <v>50</v>
      </c>
      <c r="U81" s="1219">
        <v>56</v>
      </c>
      <c r="V81" s="1219">
        <v>47</v>
      </c>
      <c r="W81" s="1219">
        <v>43</v>
      </c>
      <c r="X81" s="1219">
        <v>60</v>
      </c>
      <c r="Y81" s="1219">
        <v>53</v>
      </c>
      <c r="Z81" s="169">
        <v>45</v>
      </c>
      <c r="AA81" s="169">
        <v>67</v>
      </c>
      <c r="AB81" s="1241">
        <v>82</v>
      </c>
      <c r="AC81" s="1241">
        <v>117</v>
      </c>
      <c r="AD81" s="1241">
        <v>70</v>
      </c>
      <c r="AE81" s="1241">
        <v>87</v>
      </c>
      <c r="AF81" s="1241">
        <v>83</v>
      </c>
      <c r="AG81" s="1241">
        <v>159</v>
      </c>
      <c r="AH81" s="1241">
        <v>82</v>
      </c>
      <c r="AI81" s="1241">
        <v>36</v>
      </c>
      <c r="AJ81" s="1241"/>
      <c r="AK81" s="1221">
        <f t="shared" si="6"/>
        <v>1805</v>
      </c>
      <c r="AL81" s="1221">
        <f t="shared" si="7"/>
        <v>867.39614644703624</v>
      </c>
      <c r="AM81" s="165" t="s">
        <v>1959</v>
      </c>
      <c r="AN81" s="1221">
        <f t="shared" si="4"/>
        <v>722</v>
      </c>
      <c r="AO81" s="1250">
        <f t="shared" si="5"/>
        <v>145.39614644703624</v>
      </c>
      <c r="AP81" s="615"/>
    </row>
    <row r="82" spans="1:42" s="156" customFormat="1" ht="19.149999999999999" customHeight="1" outlineLevel="1">
      <c r="A82" s="1219">
        <v>71</v>
      </c>
      <c r="B82" s="1219">
        <v>36</v>
      </c>
      <c r="C82" s="1639" t="s">
        <v>3280</v>
      </c>
      <c r="D82" s="1220" t="s">
        <v>3237</v>
      </c>
      <c r="E82" s="1221"/>
      <c r="F82" s="1219">
        <v>33</v>
      </c>
      <c r="G82" s="1219">
        <v>39</v>
      </c>
      <c r="H82" s="1219">
        <v>0</v>
      </c>
      <c r="I82" s="1219">
        <v>45</v>
      </c>
      <c r="J82" s="1219">
        <v>30</v>
      </c>
      <c r="K82" s="1219">
        <v>77</v>
      </c>
      <c r="L82" s="1219">
        <v>130</v>
      </c>
      <c r="M82" s="1219">
        <v>53</v>
      </c>
      <c r="N82" s="1219">
        <v>28</v>
      </c>
      <c r="O82" s="1219">
        <v>51</v>
      </c>
      <c r="P82" s="1219">
        <v>46</v>
      </c>
      <c r="Q82" s="1219">
        <v>36</v>
      </c>
      <c r="R82" s="1219">
        <v>34</v>
      </c>
      <c r="S82" s="1219">
        <v>0</v>
      </c>
      <c r="T82" s="1219">
        <v>26</v>
      </c>
      <c r="U82" s="1219">
        <v>92</v>
      </c>
      <c r="V82" s="1219">
        <v>55</v>
      </c>
      <c r="W82" s="1219">
        <v>35</v>
      </c>
      <c r="X82" s="1219">
        <v>47</v>
      </c>
      <c r="Y82" s="1219">
        <v>56</v>
      </c>
      <c r="Z82" s="169">
        <v>37</v>
      </c>
      <c r="AA82" s="169">
        <v>70</v>
      </c>
      <c r="AB82" s="1241">
        <v>95</v>
      </c>
      <c r="AC82" s="1241">
        <v>72</v>
      </c>
      <c r="AD82" s="1241">
        <v>87</v>
      </c>
      <c r="AE82" s="1241">
        <v>69</v>
      </c>
      <c r="AF82" s="1241">
        <v>86</v>
      </c>
      <c r="AG82" s="1241">
        <v>202</v>
      </c>
      <c r="AH82" s="1241">
        <v>62</v>
      </c>
      <c r="AI82" s="1241">
        <v>59</v>
      </c>
      <c r="AJ82" s="1241"/>
      <c r="AK82" s="1221">
        <f t="shared" si="6"/>
        <v>1752</v>
      </c>
      <c r="AL82" s="1221">
        <f t="shared" si="7"/>
        <v>841.92689671756648</v>
      </c>
      <c r="AM82" s="165" t="s">
        <v>1957</v>
      </c>
      <c r="AN82" s="1221">
        <f t="shared" si="4"/>
        <v>700.80000000000007</v>
      </c>
      <c r="AO82" s="1250">
        <f t="shared" si="5"/>
        <v>141.12689671756641</v>
      </c>
      <c r="AP82" s="615"/>
    </row>
    <row r="83" spans="1:42" s="156" customFormat="1" ht="19.149999999999999" customHeight="1" outlineLevel="1">
      <c r="A83" s="1219">
        <v>72</v>
      </c>
      <c r="B83" s="1219">
        <v>37</v>
      </c>
      <c r="C83" s="1639" t="s">
        <v>3281</v>
      </c>
      <c r="D83" s="1220" t="s">
        <v>3238</v>
      </c>
      <c r="E83" s="1221"/>
      <c r="F83" s="1219">
        <v>34</v>
      </c>
      <c r="G83" s="1219">
        <v>40</v>
      </c>
      <c r="H83" s="1219">
        <v>0</v>
      </c>
      <c r="I83" s="1219">
        <v>45</v>
      </c>
      <c r="J83" s="1219">
        <v>31</v>
      </c>
      <c r="K83" s="1219">
        <v>77</v>
      </c>
      <c r="L83" s="1219">
        <v>130</v>
      </c>
      <c r="M83" s="1219">
        <v>54</v>
      </c>
      <c r="N83" s="1219">
        <v>28</v>
      </c>
      <c r="O83" s="1219">
        <v>51</v>
      </c>
      <c r="P83" s="1219">
        <v>46</v>
      </c>
      <c r="Q83" s="1219">
        <v>36</v>
      </c>
      <c r="R83" s="1219">
        <v>35</v>
      </c>
      <c r="S83" s="1219">
        <v>0</v>
      </c>
      <c r="T83" s="1219">
        <v>27</v>
      </c>
      <c r="U83" s="1219">
        <v>92</v>
      </c>
      <c r="V83" s="1219">
        <v>55</v>
      </c>
      <c r="W83" s="1219">
        <v>35</v>
      </c>
      <c r="X83" s="1219">
        <v>50</v>
      </c>
      <c r="Y83" s="1219">
        <v>56</v>
      </c>
      <c r="Z83" s="169">
        <v>40</v>
      </c>
      <c r="AA83" s="169">
        <v>71</v>
      </c>
      <c r="AB83" s="1241">
        <v>95</v>
      </c>
      <c r="AC83" s="1241">
        <v>73</v>
      </c>
      <c r="AD83" s="1241">
        <v>88</v>
      </c>
      <c r="AE83" s="1241">
        <v>68</v>
      </c>
      <c r="AF83" s="1241">
        <v>85</v>
      </c>
      <c r="AG83" s="1241">
        <v>203</v>
      </c>
      <c r="AH83" s="1241">
        <v>62</v>
      </c>
      <c r="AI83" s="1241">
        <v>58</v>
      </c>
      <c r="AJ83" s="1241"/>
      <c r="AK83" s="1221">
        <f t="shared" si="6"/>
        <v>1765</v>
      </c>
      <c r="AL83" s="1221">
        <f t="shared" si="7"/>
        <v>848.17407117951188</v>
      </c>
      <c r="AM83" s="165" t="s">
        <v>1959</v>
      </c>
      <c r="AN83" s="1221">
        <f t="shared" si="4"/>
        <v>706</v>
      </c>
      <c r="AO83" s="1250">
        <f t="shared" si="5"/>
        <v>142.17407117951188</v>
      </c>
      <c r="AP83" s="615"/>
    </row>
    <row r="84" spans="1:42" s="156" customFormat="1" ht="19.149999999999999" customHeight="1" outlineLevel="1">
      <c r="A84" s="1219">
        <v>73</v>
      </c>
      <c r="B84" s="1219">
        <v>38</v>
      </c>
      <c r="C84" s="1639" t="s">
        <v>3282</v>
      </c>
      <c r="D84" s="1220" t="s">
        <v>3239</v>
      </c>
      <c r="E84" s="1221"/>
      <c r="F84" s="1219">
        <v>225</v>
      </c>
      <c r="G84" s="1219">
        <v>94</v>
      </c>
      <c r="H84" s="1219">
        <v>235</v>
      </c>
      <c r="I84" s="1219">
        <v>19</v>
      </c>
      <c r="J84" s="1219">
        <v>23</v>
      </c>
      <c r="K84" s="1219">
        <v>42</v>
      </c>
      <c r="L84" s="1219">
        <v>67</v>
      </c>
      <c r="M84" s="1219">
        <v>65</v>
      </c>
      <c r="N84" s="1219">
        <v>70</v>
      </c>
      <c r="O84" s="1219">
        <v>41</v>
      </c>
      <c r="P84" s="1219">
        <v>90</v>
      </c>
      <c r="Q84" s="1219">
        <v>0</v>
      </c>
      <c r="R84" s="1219">
        <v>0</v>
      </c>
      <c r="S84" s="1219">
        <v>0</v>
      </c>
      <c r="T84" s="1219">
        <v>35</v>
      </c>
      <c r="U84" s="1219">
        <v>100</v>
      </c>
      <c r="V84" s="1219">
        <v>82</v>
      </c>
      <c r="W84" s="1219">
        <v>178</v>
      </c>
      <c r="X84" s="1219">
        <v>70</v>
      </c>
      <c r="Y84" s="1219">
        <v>78</v>
      </c>
      <c r="Z84" s="169">
        <v>16</v>
      </c>
      <c r="AA84" s="169">
        <v>137</v>
      </c>
      <c r="AB84" s="1241">
        <v>88</v>
      </c>
      <c r="AC84" s="1241">
        <v>178</v>
      </c>
      <c r="AD84" s="1241">
        <v>109</v>
      </c>
      <c r="AE84" s="1241">
        <v>111</v>
      </c>
      <c r="AF84" s="1241">
        <v>71</v>
      </c>
      <c r="AG84" s="1241">
        <v>220</v>
      </c>
      <c r="AH84" s="1241">
        <v>95</v>
      </c>
      <c r="AI84" s="1241">
        <v>67</v>
      </c>
      <c r="AJ84" s="1241"/>
      <c r="AK84" s="1221">
        <f t="shared" si="6"/>
        <v>2606</v>
      </c>
      <c r="AL84" s="1221">
        <f t="shared" si="7"/>
        <v>1252.3182036792114</v>
      </c>
      <c r="AM84" s="165" t="s">
        <v>1957</v>
      </c>
      <c r="AN84" s="1221">
        <f t="shared" si="4"/>
        <v>1042.4000000000001</v>
      </c>
      <c r="AO84" s="1250">
        <f t="shared" si="5"/>
        <v>209.91820367921127</v>
      </c>
      <c r="AP84" s="615"/>
    </row>
    <row r="85" spans="1:42" s="156" customFormat="1" ht="19.149999999999999" customHeight="1" outlineLevel="1">
      <c r="A85" s="1219">
        <v>74</v>
      </c>
      <c r="B85" s="1219">
        <v>39</v>
      </c>
      <c r="C85" s="1219" t="s">
        <v>3283</v>
      </c>
      <c r="D85" s="1220" t="s">
        <v>3240</v>
      </c>
      <c r="E85" s="1221"/>
      <c r="F85" s="1219">
        <v>226</v>
      </c>
      <c r="G85" s="1219">
        <v>95</v>
      </c>
      <c r="H85" s="1219">
        <v>236</v>
      </c>
      <c r="I85" s="1219">
        <v>20</v>
      </c>
      <c r="J85" s="1219">
        <v>23</v>
      </c>
      <c r="K85" s="1219">
        <v>42</v>
      </c>
      <c r="L85" s="1219">
        <v>67</v>
      </c>
      <c r="M85" s="1219">
        <v>66</v>
      </c>
      <c r="N85" s="1219">
        <v>71</v>
      </c>
      <c r="O85" s="1219">
        <v>42</v>
      </c>
      <c r="P85" s="1219">
        <v>91</v>
      </c>
      <c r="Q85" s="1219">
        <v>0</v>
      </c>
      <c r="R85" s="1219">
        <v>0</v>
      </c>
      <c r="S85" s="1219">
        <v>0</v>
      </c>
      <c r="T85" s="1219">
        <v>40</v>
      </c>
      <c r="U85" s="1219">
        <v>97</v>
      </c>
      <c r="V85" s="1219">
        <v>83</v>
      </c>
      <c r="W85" s="1219">
        <v>178</v>
      </c>
      <c r="X85" s="1219">
        <v>70</v>
      </c>
      <c r="Y85" s="1219">
        <v>79</v>
      </c>
      <c r="Z85" s="169">
        <v>16</v>
      </c>
      <c r="AA85" s="169">
        <v>138</v>
      </c>
      <c r="AB85" s="1241">
        <v>88</v>
      </c>
      <c r="AC85" s="1241">
        <v>178</v>
      </c>
      <c r="AD85" s="1241">
        <v>110</v>
      </c>
      <c r="AE85" s="1241">
        <v>111</v>
      </c>
      <c r="AF85" s="1241">
        <v>72</v>
      </c>
      <c r="AG85" s="1241">
        <v>220</v>
      </c>
      <c r="AH85" s="1241">
        <v>95</v>
      </c>
      <c r="AI85" s="1241">
        <v>69</v>
      </c>
      <c r="AJ85" s="1241"/>
      <c r="AK85" s="1221">
        <f t="shared" si="6"/>
        <v>2623</v>
      </c>
      <c r="AL85" s="1221">
        <f t="shared" si="7"/>
        <v>1260.4875856679091</v>
      </c>
      <c r="AM85" s="165" t="s">
        <v>1957</v>
      </c>
      <c r="AN85" s="1221">
        <f t="shared" si="4"/>
        <v>1049.2</v>
      </c>
      <c r="AO85" s="1250">
        <f t="shared" si="5"/>
        <v>211.28758566790907</v>
      </c>
      <c r="AP85" s="615"/>
    </row>
    <row r="86" spans="1:42" s="156" customFormat="1" ht="19.149999999999999" customHeight="1" outlineLevel="1">
      <c r="A86" s="1219">
        <v>75</v>
      </c>
      <c r="B86" s="1219">
        <v>40</v>
      </c>
      <c r="C86" s="1639" t="s">
        <v>3284</v>
      </c>
      <c r="D86" s="1220" t="s">
        <v>3241</v>
      </c>
      <c r="E86" s="1221"/>
      <c r="F86" s="1219">
        <v>200</v>
      </c>
      <c r="G86" s="1219">
        <v>130</v>
      </c>
      <c r="H86" s="1219">
        <v>44</v>
      </c>
      <c r="I86" s="1219">
        <v>60</v>
      </c>
      <c r="J86" s="1219">
        <v>0</v>
      </c>
      <c r="K86" s="1219">
        <v>80</v>
      </c>
      <c r="L86" s="1219">
        <v>53</v>
      </c>
      <c r="M86" s="1219">
        <v>43</v>
      </c>
      <c r="N86" s="1219">
        <v>93</v>
      </c>
      <c r="O86" s="1219">
        <v>78</v>
      </c>
      <c r="P86" s="1219">
        <v>43</v>
      </c>
      <c r="Q86" s="1219">
        <v>70</v>
      </c>
      <c r="R86" s="1219">
        <v>0</v>
      </c>
      <c r="S86" s="1219">
        <v>50</v>
      </c>
      <c r="T86" s="1219">
        <v>0</v>
      </c>
      <c r="U86" s="1219">
        <v>40</v>
      </c>
      <c r="V86" s="1219">
        <v>60</v>
      </c>
      <c r="W86" s="1219">
        <v>78</v>
      </c>
      <c r="X86" s="1219">
        <v>96</v>
      </c>
      <c r="Y86" s="1219">
        <v>56</v>
      </c>
      <c r="Z86" s="169">
        <v>68</v>
      </c>
      <c r="AA86" s="169">
        <v>143</v>
      </c>
      <c r="AB86" s="1241">
        <v>85</v>
      </c>
      <c r="AC86" s="1241">
        <v>68</v>
      </c>
      <c r="AD86" s="1241">
        <v>127</v>
      </c>
      <c r="AE86" s="1241">
        <v>110</v>
      </c>
      <c r="AF86" s="1241">
        <v>80</v>
      </c>
      <c r="AG86" s="1241">
        <v>189</v>
      </c>
      <c r="AH86" s="1241">
        <v>99</v>
      </c>
      <c r="AI86" s="1241">
        <v>88</v>
      </c>
      <c r="AJ86" s="1241"/>
      <c r="AK86" s="1221">
        <f t="shared" si="6"/>
        <v>2331</v>
      </c>
      <c r="AL86" s="1221">
        <f t="shared" si="7"/>
        <v>1120.1664362149813</v>
      </c>
      <c r="AM86" s="165" t="s">
        <v>1957</v>
      </c>
      <c r="AN86" s="1221">
        <f t="shared" si="4"/>
        <v>932.40000000000009</v>
      </c>
      <c r="AO86" s="1250">
        <f t="shared" si="5"/>
        <v>187.76643621498124</v>
      </c>
      <c r="AP86" s="615"/>
    </row>
    <row r="87" spans="1:42" s="156" customFormat="1" ht="19.149999999999999" customHeight="1" outlineLevel="1">
      <c r="A87" s="1219">
        <v>76</v>
      </c>
      <c r="B87" s="1219">
        <v>41</v>
      </c>
      <c r="C87" s="1219" t="s">
        <v>3285</v>
      </c>
      <c r="D87" s="1220" t="s">
        <v>3242</v>
      </c>
      <c r="E87" s="1221"/>
      <c r="F87" s="1219">
        <v>201</v>
      </c>
      <c r="G87" s="1219">
        <v>128</v>
      </c>
      <c r="H87" s="1219">
        <v>44</v>
      </c>
      <c r="I87" s="1219">
        <v>59</v>
      </c>
      <c r="J87" s="1219">
        <v>0</v>
      </c>
      <c r="K87" s="1219">
        <v>82</v>
      </c>
      <c r="L87" s="1219">
        <v>54</v>
      </c>
      <c r="M87" s="1219">
        <v>43</v>
      </c>
      <c r="N87" s="1219">
        <v>93</v>
      </c>
      <c r="O87" s="1219">
        <v>79</v>
      </c>
      <c r="P87" s="1219">
        <v>44</v>
      </c>
      <c r="Q87" s="1219">
        <v>68</v>
      </c>
      <c r="R87" s="1219">
        <v>0</v>
      </c>
      <c r="S87" s="1219">
        <v>50</v>
      </c>
      <c r="T87" s="1219">
        <v>0</v>
      </c>
      <c r="U87" s="1219">
        <v>40</v>
      </c>
      <c r="V87" s="1219">
        <v>58</v>
      </c>
      <c r="W87" s="1219">
        <v>78</v>
      </c>
      <c r="X87" s="1219">
        <v>96</v>
      </c>
      <c r="Y87" s="1219">
        <v>56</v>
      </c>
      <c r="Z87" s="169">
        <v>68</v>
      </c>
      <c r="AA87" s="169">
        <v>144</v>
      </c>
      <c r="AB87" s="1241">
        <v>86</v>
      </c>
      <c r="AC87" s="1241">
        <v>70</v>
      </c>
      <c r="AD87" s="1241">
        <v>128</v>
      </c>
      <c r="AE87" s="1241">
        <v>112</v>
      </c>
      <c r="AF87" s="1241">
        <v>80</v>
      </c>
      <c r="AG87" s="1241">
        <v>190</v>
      </c>
      <c r="AH87" s="1241">
        <v>99</v>
      </c>
      <c r="AI87" s="1241">
        <v>89</v>
      </c>
      <c r="AJ87" s="1241"/>
      <c r="AK87" s="1221">
        <f t="shared" si="6"/>
        <v>2339</v>
      </c>
      <c r="AL87" s="1221">
        <f t="shared" si="7"/>
        <v>1124.0108512684862</v>
      </c>
      <c r="AM87" s="165" t="s">
        <v>1957</v>
      </c>
      <c r="AN87" s="1221">
        <f t="shared" si="4"/>
        <v>935.6</v>
      </c>
      <c r="AO87" s="1250">
        <f t="shared" si="5"/>
        <v>188.41085126848623</v>
      </c>
      <c r="AP87" s="615"/>
    </row>
    <row r="88" spans="1:42" s="156" customFormat="1" ht="19.149999999999999" customHeight="1" outlineLevel="1">
      <c r="A88" s="1219">
        <v>77</v>
      </c>
      <c r="B88" s="1219">
        <v>42</v>
      </c>
      <c r="C88" s="1219" t="s">
        <v>3286</v>
      </c>
      <c r="D88" s="1220" t="s">
        <v>3243</v>
      </c>
      <c r="E88" s="1221"/>
      <c r="F88" s="1219">
        <v>50</v>
      </c>
      <c r="G88" s="1219">
        <v>40</v>
      </c>
      <c r="H88" s="1219">
        <v>105</v>
      </c>
      <c r="I88" s="1219">
        <v>50</v>
      </c>
      <c r="J88" s="1219">
        <v>37</v>
      </c>
      <c r="K88" s="1219">
        <v>36</v>
      </c>
      <c r="L88" s="1219">
        <v>48</v>
      </c>
      <c r="M88" s="1219">
        <v>46</v>
      </c>
      <c r="N88" s="1219">
        <v>39</v>
      </c>
      <c r="O88" s="1219">
        <v>39</v>
      </c>
      <c r="P88" s="1219">
        <v>52</v>
      </c>
      <c r="Q88" s="1219">
        <v>32</v>
      </c>
      <c r="R88" s="1219">
        <v>37</v>
      </c>
      <c r="S88" s="1219">
        <v>0</v>
      </c>
      <c r="T88" s="1219">
        <v>50</v>
      </c>
      <c r="U88" s="1219">
        <v>64</v>
      </c>
      <c r="V88" s="1219">
        <v>45</v>
      </c>
      <c r="W88" s="1219">
        <v>72</v>
      </c>
      <c r="X88" s="1219">
        <v>50</v>
      </c>
      <c r="Y88" s="1219">
        <v>77</v>
      </c>
      <c r="Z88" s="169">
        <v>45</v>
      </c>
      <c r="AA88" s="169">
        <v>100</v>
      </c>
      <c r="AB88" s="1241">
        <v>88</v>
      </c>
      <c r="AC88" s="1241">
        <v>104</v>
      </c>
      <c r="AD88" s="1241">
        <v>89</v>
      </c>
      <c r="AE88" s="1241">
        <v>80</v>
      </c>
      <c r="AF88" s="1241">
        <v>84</v>
      </c>
      <c r="AG88" s="1241">
        <v>176</v>
      </c>
      <c r="AH88" s="1241">
        <v>72</v>
      </c>
      <c r="AI88" s="1241">
        <v>74</v>
      </c>
      <c r="AJ88" s="1241"/>
      <c r="AK88" s="1221">
        <f t="shared" si="6"/>
        <v>1881</v>
      </c>
      <c r="AL88" s="1221">
        <f t="shared" si="7"/>
        <v>903.91808945533251</v>
      </c>
      <c r="AM88" s="165" t="s">
        <v>1959</v>
      </c>
      <c r="AN88" s="1221">
        <f t="shared" si="4"/>
        <v>752.40000000000009</v>
      </c>
      <c r="AO88" s="1250">
        <f t="shared" si="5"/>
        <v>151.51808945533242</v>
      </c>
      <c r="AP88" s="615"/>
    </row>
    <row r="89" spans="1:42" s="156" customFormat="1" ht="19.149999999999999" customHeight="1" outlineLevel="1">
      <c r="A89" s="1219">
        <v>78</v>
      </c>
      <c r="B89" s="1219">
        <v>43</v>
      </c>
      <c r="C89" s="1219" t="s">
        <v>3287</v>
      </c>
      <c r="D89" s="1220" t="s">
        <v>3244</v>
      </c>
      <c r="E89" s="1221"/>
      <c r="F89" s="1219">
        <v>45</v>
      </c>
      <c r="G89" s="1219">
        <v>42</v>
      </c>
      <c r="H89" s="1219">
        <v>105</v>
      </c>
      <c r="I89" s="1219">
        <v>46</v>
      </c>
      <c r="J89" s="1219">
        <v>38</v>
      </c>
      <c r="K89" s="1219">
        <v>40</v>
      </c>
      <c r="L89" s="1219">
        <v>48</v>
      </c>
      <c r="M89" s="1219">
        <v>46</v>
      </c>
      <c r="N89" s="1219">
        <v>39</v>
      </c>
      <c r="O89" s="1219">
        <v>39</v>
      </c>
      <c r="P89" s="1219">
        <v>52</v>
      </c>
      <c r="Q89" s="1219">
        <v>33</v>
      </c>
      <c r="R89" s="1219">
        <v>37</v>
      </c>
      <c r="S89" s="1219">
        <v>0</v>
      </c>
      <c r="T89" s="1219">
        <v>50</v>
      </c>
      <c r="U89" s="1219">
        <v>64</v>
      </c>
      <c r="V89" s="1219">
        <v>44</v>
      </c>
      <c r="W89" s="1219">
        <v>72</v>
      </c>
      <c r="X89" s="1219">
        <v>50</v>
      </c>
      <c r="Y89" s="1219">
        <v>77</v>
      </c>
      <c r="Z89" s="169">
        <v>45</v>
      </c>
      <c r="AA89" s="169">
        <v>100</v>
      </c>
      <c r="AB89" s="1241">
        <v>87</v>
      </c>
      <c r="AC89" s="1241">
        <v>104</v>
      </c>
      <c r="AD89" s="1241">
        <v>90</v>
      </c>
      <c r="AE89" s="1241">
        <v>75</v>
      </c>
      <c r="AF89" s="1241">
        <v>84</v>
      </c>
      <c r="AG89" s="1241">
        <v>177</v>
      </c>
      <c r="AH89" s="1241">
        <v>73</v>
      </c>
      <c r="AI89" s="1241">
        <v>76</v>
      </c>
      <c r="AJ89" s="1241"/>
      <c r="AK89" s="1221">
        <f t="shared" si="6"/>
        <v>1878</v>
      </c>
      <c r="AL89" s="1221">
        <f t="shared" si="7"/>
        <v>902.47643381026808</v>
      </c>
      <c r="AM89" s="165" t="s">
        <v>1959</v>
      </c>
      <c r="AN89" s="1221">
        <f t="shared" si="4"/>
        <v>751.2</v>
      </c>
      <c r="AO89" s="1250">
        <f t="shared" si="5"/>
        <v>151.27643381026803</v>
      </c>
      <c r="AP89" s="615"/>
    </row>
    <row r="90" spans="1:42" s="1233" customFormat="1" ht="19.149999999999999" customHeight="1">
      <c r="A90" s="2570" t="s">
        <v>525</v>
      </c>
      <c r="B90" s="2570"/>
      <c r="C90" s="2570"/>
      <c r="D90" s="2570"/>
      <c r="E90" s="1225"/>
      <c r="F90" s="1251">
        <f>SUM(F12:F89)</f>
        <v>3840</v>
      </c>
      <c r="G90" s="1251">
        <f t="shared" ref="G90:AJ90" si="8">SUM(G12:G89)</f>
        <v>4365</v>
      </c>
      <c r="H90" s="1251">
        <f t="shared" si="8"/>
        <v>4947</v>
      </c>
      <c r="I90" s="1251">
        <f t="shared" si="8"/>
        <v>3963</v>
      </c>
      <c r="J90" s="1251">
        <f t="shared" si="8"/>
        <v>2255</v>
      </c>
      <c r="K90" s="1251">
        <f t="shared" si="8"/>
        <v>2858</v>
      </c>
      <c r="L90" s="1251">
        <f t="shared" si="8"/>
        <v>3594</v>
      </c>
      <c r="M90" s="1251">
        <f t="shared" si="8"/>
        <v>3083</v>
      </c>
      <c r="N90" s="1251">
        <f t="shared" si="8"/>
        <v>3095</v>
      </c>
      <c r="O90" s="1251">
        <f t="shared" si="8"/>
        <v>3466</v>
      </c>
      <c r="P90" s="1251">
        <f t="shared" si="8"/>
        <v>4266</v>
      </c>
      <c r="Q90" s="1251">
        <f t="shared" si="8"/>
        <v>4389</v>
      </c>
      <c r="R90" s="1251">
        <f t="shared" si="8"/>
        <v>1389</v>
      </c>
      <c r="S90" s="1251">
        <f t="shared" si="8"/>
        <v>859</v>
      </c>
      <c r="T90" s="1251">
        <f t="shared" si="8"/>
        <v>1770</v>
      </c>
      <c r="U90" s="1251">
        <f t="shared" si="8"/>
        <v>5656</v>
      </c>
      <c r="V90" s="1251">
        <f t="shared" si="8"/>
        <v>4090</v>
      </c>
      <c r="W90" s="1251">
        <f t="shared" si="8"/>
        <v>4240</v>
      </c>
      <c r="X90" s="1251">
        <f t="shared" si="8"/>
        <v>3744</v>
      </c>
      <c r="Y90" s="1251">
        <f t="shared" si="8"/>
        <v>5567</v>
      </c>
      <c r="Z90" s="1251">
        <f t="shared" si="8"/>
        <v>4470</v>
      </c>
      <c r="AA90" s="1251">
        <f t="shared" si="8"/>
        <v>5363</v>
      </c>
      <c r="AB90" s="1251">
        <f t="shared" si="8"/>
        <v>4955</v>
      </c>
      <c r="AC90" s="1251">
        <f t="shared" si="8"/>
        <v>6715</v>
      </c>
      <c r="AD90" s="1251">
        <f t="shared" si="8"/>
        <v>5812</v>
      </c>
      <c r="AE90" s="1251">
        <f t="shared" si="8"/>
        <v>5993</v>
      </c>
      <c r="AF90" s="1251">
        <f t="shared" si="8"/>
        <v>6072</v>
      </c>
      <c r="AG90" s="1251">
        <f t="shared" si="8"/>
        <v>11371</v>
      </c>
      <c r="AH90" s="1251">
        <f t="shared" si="8"/>
        <v>6257</v>
      </c>
      <c r="AI90" s="1251">
        <f t="shared" si="8"/>
        <v>4628</v>
      </c>
      <c r="AJ90" s="1251">
        <f t="shared" si="8"/>
        <v>0</v>
      </c>
      <c r="AK90" s="1251">
        <f>SUM(AK12:AK89)</f>
        <v>133072</v>
      </c>
      <c r="AL90" s="1251">
        <f>SUM(AL12:AL89)</f>
        <v>63948.000000000007</v>
      </c>
      <c r="AM90" s="1251"/>
      <c r="AN90" s="1251" t="e">
        <f>SUM(#REF!,#REF!)</f>
        <v>#REF!</v>
      </c>
      <c r="AO90" s="1251" t="e">
        <f>SUM(#REF!,#REF!)</f>
        <v>#REF!</v>
      </c>
      <c r="AP90" s="1265"/>
    </row>
    <row r="91" spans="1:42" s="1233" customFormat="1" ht="13.9" customHeight="1">
      <c r="A91" s="1213"/>
      <c r="B91" s="1180"/>
      <c r="C91" s="1180"/>
      <c r="D91" s="1180"/>
      <c r="E91" s="1252"/>
      <c r="F91" s="1253"/>
      <c r="G91" s="1253"/>
      <c r="H91" s="1253"/>
      <c r="I91" s="1253"/>
      <c r="J91" s="1253"/>
      <c r="K91" s="1253"/>
      <c r="L91" s="1253"/>
      <c r="M91" s="1253"/>
      <c r="N91" s="1253"/>
      <c r="O91" s="1253"/>
      <c r="P91" s="1253"/>
      <c r="Q91" s="1253"/>
      <c r="R91" s="1253"/>
      <c r="S91" s="1253"/>
      <c r="T91" s="1253"/>
      <c r="U91" s="1253"/>
      <c r="V91" s="1253"/>
      <c r="W91" s="1253"/>
      <c r="X91" s="1253"/>
      <c r="Y91" s="1253"/>
      <c r="Z91" s="1252"/>
      <c r="AA91" s="1252"/>
      <c r="AB91" s="1252"/>
      <c r="AC91" s="1252"/>
      <c r="AD91" s="1252"/>
      <c r="AE91" s="1252"/>
      <c r="AF91" s="1252"/>
      <c r="AG91" s="1252"/>
      <c r="AH91" s="1252"/>
      <c r="AI91" s="1252"/>
      <c r="AJ91" s="1252"/>
      <c r="AK91" s="1259"/>
      <c r="AL91" s="1259"/>
      <c r="AM91" s="1252"/>
      <c r="AN91" s="1252"/>
      <c r="AP91" s="1265"/>
    </row>
    <row r="92" spans="1:42" s="1234" customFormat="1" ht="20.25" customHeight="1">
      <c r="A92" s="1254"/>
      <c r="B92" s="1212"/>
      <c r="C92" s="1212"/>
      <c r="D92" s="2558" t="s">
        <v>6</v>
      </c>
      <c r="E92" s="2558"/>
      <c r="F92" s="2572" t="s">
        <v>2533</v>
      </c>
      <c r="G92" s="2572"/>
      <c r="H92" s="2572"/>
      <c r="I92" s="2572"/>
      <c r="J92" s="2572"/>
      <c r="K92" s="2572"/>
      <c r="L92" s="2572"/>
      <c r="M92" s="2572" t="s">
        <v>2534</v>
      </c>
      <c r="N92" s="2572"/>
      <c r="O92" s="2572"/>
      <c r="P92" s="2572"/>
      <c r="Q92" s="2572"/>
      <c r="R92" s="2572"/>
      <c r="S92" s="2572"/>
      <c r="T92" s="2579" t="s">
        <v>2535</v>
      </c>
      <c r="U92" s="2580"/>
      <c r="V92" s="2580"/>
      <c r="W92" s="2580"/>
      <c r="X92" s="2580"/>
      <c r="Y92" s="2580"/>
      <c r="Z92" s="2580"/>
      <c r="AA92" s="2580"/>
      <c r="AB92" s="2580"/>
      <c r="AC92" s="2580"/>
      <c r="AD92" s="2580"/>
      <c r="AE92" s="2580"/>
      <c r="AF92" s="2580"/>
      <c r="AG92" s="2580"/>
      <c r="AH92" s="2580"/>
      <c r="AI92" s="2580"/>
      <c r="AJ92" s="2580"/>
      <c r="AK92" s="2581"/>
      <c r="AL92" s="2571" t="s">
        <v>12</v>
      </c>
      <c r="AM92" s="2571"/>
      <c r="AN92" s="1260"/>
    </row>
    <row r="93" spans="1:42" s="1234" customFormat="1" ht="19.5" customHeight="1">
      <c r="A93" s="1254"/>
      <c r="B93" s="1212"/>
      <c r="C93" s="1212"/>
      <c r="D93" s="2558"/>
      <c r="E93" s="2558"/>
      <c r="F93" s="2572"/>
      <c r="G93" s="2572"/>
      <c r="H93" s="2572"/>
      <c r="I93" s="2572"/>
      <c r="J93" s="2572"/>
      <c r="K93" s="2572"/>
      <c r="L93" s="2572"/>
      <c r="M93" s="2572" t="s">
        <v>2536</v>
      </c>
      <c r="N93" s="2572"/>
      <c r="O93" s="2572"/>
      <c r="P93" s="2572"/>
      <c r="Q93" s="2572" t="s">
        <v>2537</v>
      </c>
      <c r="R93" s="2572"/>
      <c r="S93" s="2572"/>
      <c r="T93" s="2579" t="s">
        <v>2538</v>
      </c>
      <c r="U93" s="2580"/>
      <c r="V93" s="2580"/>
      <c r="W93" s="2580"/>
      <c r="X93" s="2580"/>
      <c r="Y93" s="2580"/>
      <c r="Z93" s="2581"/>
      <c r="AA93" s="2579" t="s">
        <v>2539</v>
      </c>
      <c r="AB93" s="2580"/>
      <c r="AC93" s="2580"/>
      <c r="AD93" s="2580"/>
      <c r="AE93" s="2580"/>
      <c r="AF93" s="2580"/>
      <c r="AG93" s="2581"/>
      <c r="AH93" s="2582" t="s">
        <v>2540</v>
      </c>
      <c r="AI93" s="2583"/>
      <c r="AJ93" s="2583"/>
      <c r="AK93" s="2584"/>
      <c r="AL93" s="2571"/>
      <c r="AM93" s="2571"/>
      <c r="AN93" s="1260"/>
    </row>
    <row r="94" spans="1:42" s="1233" customFormat="1" ht="14.25" customHeight="1">
      <c r="A94" s="1213"/>
      <c r="B94" s="1180"/>
      <c r="C94" s="1180"/>
      <c r="D94" s="2597" t="s">
        <v>2541</v>
      </c>
      <c r="E94" s="2598"/>
      <c r="F94" s="2599">
        <f>SUM(F95:L98)</f>
        <v>77</v>
      </c>
      <c r="G94" s="2600"/>
      <c r="H94" s="2600"/>
      <c r="I94" s="2600"/>
      <c r="J94" s="2600"/>
      <c r="K94" s="2600"/>
      <c r="L94" s="2601"/>
      <c r="M94" s="2599"/>
      <c r="N94" s="2600"/>
      <c r="O94" s="2600"/>
      <c r="P94" s="2601"/>
      <c r="Q94" s="2573">
        <f>SUM(Q95:S98)</f>
        <v>100</v>
      </c>
      <c r="R94" s="2574"/>
      <c r="S94" s="2575"/>
      <c r="T94" s="2576">
        <f>SUM(T95:Z98)</f>
        <v>132910</v>
      </c>
      <c r="U94" s="2577"/>
      <c r="V94" s="2577"/>
      <c r="W94" s="2577"/>
      <c r="X94" s="2577"/>
      <c r="Y94" s="2577"/>
      <c r="Z94" s="2578"/>
      <c r="AA94" s="2576">
        <f>SUM(AA95:AG98)</f>
        <v>63870.150595166539</v>
      </c>
      <c r="AB94" s="2577"/>
      <c r="AC94" s="2577"/>
      <c r="AD94" s="2577"/>
      <c r="AE94" s="2577"/>
      <c r="AF94" s="2577"/>
      <c r="AG94" s="2578"/>
      <c r="AH94" s="2573">
        <f>SUM(AH95:AK98)</f>
        <v>100.00000000000001</v>
      </c>
      <c r="AI94" s="2574"/>
      <c r="AJ94" s="2574"/>
      <c r="AK94" s="2575"/>
      <c r="AL94" s="2582"/>
      <c r="AM94" s="2584"/>
      <c r="AN94" s="1261"/>
    </row>
    <row r="95" spans="1:42" s="1233" customFormat="1" ht="14.25" customHeight="1">
      <c r="A95" s="1190"/>
      <c r="B95" s="1236"/>
      <c r="C95" s="1236"/>
      <c r="D95" s="2587"/>
      <c r="E95" s="2588"/>
      <c r="F95" s="2589">
        <f>COUNTIF($AM$11:$AM$89,"A")</f>
        <v>37</v>
      </c>
      <c r="G95" s="2590"/>
      <c r="H95" s="2590"/>
      <c r="I95" s="2590"/>
      <c r="J95" s="2590"/>
      <c r="K95" s="2590"/>
      <c r="L95" s="2591"/>
      <c r="M95" s="2589" t="s">
        <v>1959</v>
      </c>
      <c r="N95" s="2590"/>
      <c r="O95" s="2590"/>
      <c r="P95" s="2591"/>
      <c r="Q95" s="2592">
        <f>+F95/$F$94*100</f>
        <v>48.051948051948052</v>
      </c>
      <c r="R95" s="2593"/>
      <c r="S95" s="2594"/>
      <c r="T95" s="2605">
        <f>SUMIF($AM$11:$AM$89,"A",$AK$11:$AK$89)</f>
        <v>64691</v>
      </c>
      <c r="U95" s="2606"/>
      <c r="V95" s="2606"/>
      <c r="W95" s="2606"/>
      <c r="X95" s="2606"/>
      <c r="Y95" s="2606"/>
      <c r="Z95" s="2607"/>
      <c r="AA95" s="2592">
        <f>SUMIF($AM$11:$AM$89,"A",$AL$11:$AL$89)</f>
        <v>31087.381778285442</v>
      </c>
      <c r="AB95" s="2593"/>
      <c r="AC95" s="2593"/>
      <c r="AD95" s="2593"/>
      <c r="AE95" s="2593"/>
      <c r="AF95" s="2593"/>
      <c r="AG95" s="2594"/>
      <c r="AH95" s="2592">
        <f>+AA95/$AA$94*100</f>
        <v>48.672786095854335</v>
      </c>
      <c r="AI95" s="2593"/>
      <c r="AJ95" s="2593"/>
      <c r="AK95" s="2594"/>
      <c r="AL95" s="2595"/>
      <c r="AM95" s="2596"/>
      <c r="AN95" s="1262"/>
    </row>
    <row r="96" spans="1:42" s="1233" customFormat="1" ht="14.25" customHeight="1">
      <c r="A96" s="1190"/>
      <c r="B96" s="1236"/>
      <c r="C96" s="1236"/>
      <c r="D96" s="2587"/>
      <c r="E96" s="2588"/>
      <c r="F96" s="2589">
        <f>COUNTIF($AM$11:$AM$89,"B")</f>
        <v>39</v>
      </c>
      <c r="G96" s="2590"/>
      <c r="H96" s="2590"/>
      <c r="I96" s="2590"/>
      <c r="J96" s="2590"/>
      <c r="K96" s="2590"/>
      <c r="L96" s="2591"/>
      <c r="M96" s="2589" t="s">
        <v>1957</v>
      </c>
      <c r="N96" s="2590"/>
      <c r="O96" s="2590"/>
      <c r="P96" s="2591"/>
      <c r="Q96" s="2592">
        <f t="shared" ref="Q96:Q98" si="9">+F96/$F$94*100</f>
        <v>50.649350649350644</v>
      </c>
      <c r="R96" s="2593"/>
      <c r="S96" s="2594"/>
      <c r="T96" s="2605">
        <f>SUMIF($AM$11:$AM$89,"b",$AK$11:$AK$89)</f>
        <v>66441</v>
      </c>
      <c r="U96" s="2606"/>
      <c r="V96" s="2606"/>
      <c r="W96" s="2606"/>
      <c r="X96" s="2606"/>
      <c r="Y96" s="2606"/>
      <c r="Z96" s="2607"/>
      <c r="AA96" s="2592">
        <f>SUMIF($AM$11:$AM$89,"b",$AL$11:$AL$89)</f>
        <v>31928.347571239639</v>
      </c>
      <c r="AB96" s="2593"/>
      <c r="AC96" s="2593"/>
      <c r="AD96" s="2593"/>
      <c r="AE96" s="2593"/>
      <c r="AF96" s="2593"/>
      <c r="AG96" s="2594"/>
      <c r="AH96" s="2592">
        <f t="shared" ref="AH96:AH98" si="10">+AA96/$AA$94*100</f>
        <v>49.989466556316309</v>
      </c>
      <c r="AI96" s="2593"/>
      <c r="AJ96" s="2593"/>
      <c r="AK96" s="2594"/>
      <c r="AL96" s="2595"/>
      <c r="AM96" s="2596"/>
      <c r="AN96" s="1262"/>
    </row>
    <row r="97" spans="1:48" s="1233" customFormat="1" ht="14.25" customHeight="1">
      <c r="A97" s="1190"/>
      <c r="B97" s="1236"/>
      <c r="C97" s="1236"/>
      <c r="D97" s="2587"/>
      <c r="E97" s="2588"/>
      <c r="F97" s="2589">
        <f>COUNTIF($AM$11:$AM$89,"c")-1</f>
        <v>1</v>
      </c>
      <c r="G97" s="2590"/>
      <c r="H97" s="2590"/>
      <c r="I97" s="2590"/>
      <c r="J97" s="2590"/>
      <c r="K97" s="2590"/>
      <c r="L97" s="2591"/>
      <c r="M97" s="2589" t="s">
        <v>1958</v>
      </c>
      <c r="N97" s="2590"/>
      <c r="O97" s="2590"/>
      <c r="P97" s="2591"/>
      <c r="Q97" s="2592">
        <f t="shared" si="9"/>
        <v>1.2987012987012987</v>
      </c>
      <c r="R97" s="2593"/>
      <c r="S97" s="2594"/>
      <c r="T97" s="2605">
        <f>+AK25</f>
        <v>1778</v>
      </c>
      <c r="U97" s="2606"/>
      <c r="V97" s="2606"/>
      <c r="W97" s="2606"/>
      <c r="X97" s="2606"/>
      <c r="Y97" s="2606"/>
      <c r="Z97" s="2607"/>
      <c r="AA97" s="2592">
        <f>+AL25</f>
        <v>854.42124564145729</v>
      </c>
      <c r="AB97" s="2593"/>
      <c r="AC97" s="2593"/>
      <c r="AD97" s="2593"/>
      <c r="AE97" s="2593"/>
      <c r="AF97" s="2593"/>
      <c r="AG97" s="2594"/>
      <c r="AH97" s="2592">
        <f t="shared" si="10"/>
        <v>1.337747347829358</v>
      </c>
      <c r="AI97" s="2593"/>
      <c r="AJ97" s="2593"/>
      <c r="AK97" s="2594"/>
      <c r="AL97" s="2595"/>
      <c r="AM97" s="2596"/>
      <c r="AN97" s="1262"/>
    </row>
    <row r="98" spans="1:48" s="1233" customFormat="1" ht="14.25" customHeight="1">
      <c r="A98" s="1190"/>
      <c r="B98" s="1236"/>
      <c r="C98" s="1236"/>
      <c r="D98" s="2587"/>
      <c r="E98" s="2588"/>
      <c r="F98" s="2589">
        <f>COUNTIF($AM$11:$AM$35,"D")</f>
        <v>0</v>
      </c>
      <c r="G98" s="2590"/>
      <c r="H98" s="2590"/>
      <c r="I98" s="2590"/>
      <c r="J98" s="2590"/>
      <c r="K98" s="2590"/>
      <c r="L98" s="2591"/>
      <c r="M98" s="2589" t="s">
        <v>2359</v>
      </c>
      <c r="N98" s="2590"/>
      <c r="O98" s="2590"/>
      <c r="P98" s="2591"/>
      <c r="Q98" s="2592">
        <f t="shared" si="9"/>
        <v>0</v>
      </c>
      <c r="R98" s="2593"/>
      <c r="S98" s="2594"/>
      <c r="T98" s="2592">
        <f>SUMIF($AM$11:$AM$35,"d",$AK$11:$AK$35)</f>
        <v>0</v>
      </c>
      <c r="U98" s="2593"/>
      <c r="V98" s="2593"/>
      <c r="W98" s="2593"/>
      <c r="X98" s="2593"/>
      <c r="Y98" s="2593"/>
      <c r="Z98" s="2594"/>
      <c r="AA98" s="2592">
        <f>SUMIF($AM$11:$AM$35,"d",$AL$11:$AL$35)</f>
        <v>0</v>
      </c>
      <c r="AB98" s="2593"/>
      <c r="AC98" s="2593"/>
      <c r="AD98" s="2593"/>
      <c r="AE98" s="2593"/>
      <c r="AF98" s="2593"/>
      <c r="AG98" s="2594"/>
      <c r="AH98" s="2592">
        <f t="shared" si="10"/>
        <v>0</v>
      </c>
      <c r="AI98" s="2593"/>
      <c r="AJ98" s="2593"/>
      <c r="AK98" s="2594"/>
      <c r="AL98" s="2595"/>
      <c r="AM98" s="2596"/>
      <c r="AN98" s="1262"/>
    </row>
    <row r="99" spans="1:48" s="1233" customFormat="1" ht="14.25" customHeight="1">
      <c r="A99" s="1190"/>
      <c r="B99" s="1236"/>
      <c r="C99" s="1236"/>
      <c r="D99" s="2597" t="s">
        <v>2542</v>
      </c>
      <c r="E99" s="2598"/>
      <c r="F99" s="2599">
        <v>1</v>
      </c>
      <c r="G99" s="2600"/>
      <c r="H99" s="2600"/>
      <c r="I99" s="2600"/>
      <c r="J99" s="2600"/>
      <c r="K99" s="2600"/>
      <c r="L99" s="2601"/>
      <c r="M99" s="2599" t="s">
        <v>2543</v>
      </c>
      <c r="N99" s="2600"/>
      <c r="O99" s="2600"/>
      <c r="P99" s="2601"/>
      <c r="Q99" s="2602"/>
      <c r="R99" s="2603"/>
      <c r="S99" s="2604"/>
      <c r="T99" s="2602">
        <f>+AK46</f>
        <v>162</v>
      </c>
      <c r="U99" s="2603"/>
      <c r="V99" s="2603"/>
      <c r="W99" s="2603"/>
      <c r="X99" s="2603"/>
      <c r="Y99" s="2603"/>
      <c r="Z99" s="2604"/>
      <c r="AA99" s="2602">
        <f>+AL46</f>
        <v>77.849404833473614</v>
      </c>
      <c r="AB99" s="2603"/>
      <c r="AC99" s="2603"/>
      <c r="AD99" s="2603"/>
      <c r="AE99" s="2603"/>
      <c r="AF99" s="2603"/>
      <c r="AG99" s="2604"/>
      <c r="AH99" s="2602"/>
      <c r="AI99" s="2603"/>
      <c r="AJ99" s="2603"/>
      <c r="AK99" s="2604"/>
      <c r="AL99" s="2582"/>
      <c r="AM99" s="2584"/>
      <c r="AN99" s="1262"/>
    </row>
    <row r="100" spans="1:48" s="1235" customFormat="1" ht="14.25" customHeight="1">
      <c r="A100" s="1255"/>
      <c r="B100" s="1256"/>
      <c r="C100" s="1256"/>
      <c r="D100" s="2559" t="s">
        <v>3313</v>
      </c>
      <c r="E100" s="2560"/>
      <c r="F100" s="2561">
        <f>+F94+F99</f>
        <v>78</v>
      </c>
      <c r="G100" s="2562"/>
      <c r="H100" s="2562"/>
      <c r="I100" s="2562"/>
      <c r="J100" s="2562"/>
      <c r="K100" s="2562"/>
      <c r="L100" s="2563"/>
      <c r="M100" s="2561"/>
      <c r="N100" s="2562"/>
      <c r="O100" s="2562"/>
      <c r="P100" s="2563"/>
      <c r="Q100" s="2564"/>
      <c r="R100" s="2565"/>
      <c r="S100" s="2566"/>
      <c r="T100" s="2567">
        <f>+T94+T99</f>
        <v>133072</v>
      </c>
      <c r="U100" s="2568"/>
      <c r="V100" s="2568"/>
      <c r="W100" s="2568"/>
      <c r="X100" s="2568"/>
      <c r="Y100" s="2568"/>
      <c r="Z100" s="2569"/>
      <c r="AA100" s="2567">
        <f>AA94+AA99</f>
        <v>63948.000000000015</v>
      </c>
      <c r="AB100" s="2568"/>
      <c r="AC100" s="2568"/>
      <c r="AD100" s="2568"/>
      <c r="AE100" s="2568"/>
      <c r="AF100" s="2568"/>
      <c r="AG100" s="2569"/>
      <c r="AH100" s="2564"/>
      <c r="AI100" s="2565"/>
      <c r="AJ100" s="2565"/>
      <c r="AK100" s="2566"/>
      <c r="AL100" s="2585"/>
      <c r="AM100" s="2586"/>
      <c r="AN100" s="1263"/>
    </row>
    <row r="101" spans="1:48" s="1233" customFormat="1" ht="10.5" customHeight="1">
      <c r="A101" s="1213"/>
      <c r="B101" s="1180"/>
      <c r="C101" s="1180"/>
      <c r="D101" s="1180"/>
      <c r="E101" s="1253"/>
      <c r="F101" s="1253"/>
      <c r="G101" s="1253"/>
      <c r="H101" s="1253"/>
      <c r="I101" s="1253"/>
      <c r="J101" s="1253"/>
      <c r="K101" s="1253"/>
      <c r="L101" s="1253"/>
      <c r="M101" s="1253"/>
      <c r="N101" s="1253"/>
      <c r="O101" s="1253"/>
      <c r="P101" s="1253"/>
      <c r="Q101" s="1253"/>
      <c r="R101" s="1253"/>
      <c r="S101" s="1253"/>
      <c r="T101" s="1253"/>
      <c r="U101" s="1253"/>
      <c r="V101" s="1253"/>
      <c r="W101" s="1253"/>
      <c r="X101" s="1253"/>
      <c r="Y101" s="1253"/>
      <c r="Z101" s="1253"/>
      <c r="AA101" s="1253"/>
      <c r="AB101" s="1253"/>
      <c r="AC101" s="1253"/>
      <c r="AD101" s="1253"/>
      <c r="AE101" s="1253"/>
      <c r="AF101" s="1253"/>
      <c r="AG101" s="1253"/>
      <c r="AH101" s="1253"/>
      <c r="AI101" s="1253"/>
      <c r="AJ101" s="1253"/>
      <c r="AK101" s="1264"/>
      <c r="AL101" s="1264"/>
      <c r="AM101" s="1253"/>
      <c r="AN101" s="1253"/>
      <c r="AP101" s="1265"/>
    </row>
    <row r="102" spans="1:48" s="335" customFormat="1" ht="16.5">
      <c r="A102" s="1188"/>
      <c r="B102" s="1188"/>
      <c r="C102" s="1188"/>
      <c r="D102" s="1257"/>
      <c r="E102" s="1226"/>
      <c r="F102" s="1226"/>
      <c r="G102" s="1191"/>
      <c r="H102" s="1191"/>
      <c r="I102" s="1191"/>
      <c r="J102" s="1191"/>
      <c r="K102" s="1191"/>
      <c r="L102" s="1191"/>
      <c r="M102" s="1191"/>
      <c r="N102" s="1191"/>
      <c r="O102" s="1191"/>
      <c r="P102" s="1227"/>
      <c r="Q102" s="1227"/>
      <c r="R102" s="1227"/>
      <c r="S102" s="1227"/>
      <c r="T102" s="1191"/>
      <c r="U102" s="1191"/>
      <c r="V102" s="1191"/>
      <c r="W102" s="1191"/>
      <c r="X102" s="1191"/>
      <c r="Y102" s="1229"/>
      <c r="Z102" s="1229"/>
      <c r="AB102" s="1229"/>
      <c r="AC102" s="1229"/>
      <c r="AD102" s="1652" t="s">
        <v>3318</v>
      </c>
      <c r="AE102" s="1648"/>
      <c r="AF102" s="1648"/>
      <c r="AG102" s="1648"/>
      <c r="AH102" s="1648"/>
      <c r="AI102" s="1648"/>
      <c r="AJ102" s="1648"/>
      <c r="AK102" s="1648"/>
      <c r="AL102" s="1648"/>
      <c r="AM102" s="1648"/>
      <c r="AN102" s="1648"/>
      <c r="AO102" s="1648"/>
      <c r="AP102" s="1266"/>
      <c r="AQ102" s="1266"/>
      <c r="AR102" s="1229"/>
      <c r="AS102" s="1229"/>
      <c r="AT102" s="1229"/>
      <c r="AV102" s="1223"/>
    </row>
    <row r="103" spans="1:48" s="176" customFormat="1">
      <c r="A103" s="2550" t="s">
        <v>3319</v>
      </c>
      <c r="B103" s="2551"/>
      <c r="C103" s="2551"/>
      <c r="D103" s="2551"/>
      <c r="F103" s="2552" t="s">
        <v>1945</v>
      </c>
      <c r="G103" s="2552"/>
      <c r="H103" s="2552"/>
      <c r="I103" s="2552"/>
      <c r="J103" s="2552"/>
      <c r="K103" s="2552"/>
      <c r="L103" s="2552"/>
      <c r="O103" s="2551" t="s">
        <v>616</v>
      </c>
      <c r="P103" s="2551"/>
      <c r="Q103" s="2551"/>
      <c r="R103" s="2551"/>
      <c r="S103" s="2551"/>
      <c r="T103" s="2551"/>
      <c r="U103" s="1228"/>
      <c r="W103" s="2551" t="s">
        <v>2545</v>
      </c>
      <c r="X103" s="2551"/>
      <c r="Y103" s="2551"/>
      <c r="Z103" s="2551"/>
      <c r="AA103" s="2551"/>
      <c r="AB103" s="2551"/>
      <c r="AC103" s="2551"/>
      <c r="AD103" s="1651" t="s">
        <v>3314</v>
      </c>
      <c r="AF103" s="1651"/>
      <c r="AG103" s="1651"/>
      <c r="AH103" s="1651"/>
      <c r="AI103" s="1651"/>
      <c r="AJ103" s="1651"/>
      <c r="AK103" s="1649" t="s">
        <v>3315</v>
      </c>
      <c r="AL103" s="1649"/>
      <c r="AM103" s="1649"/>
      <c r="AN103" s="1649"/>
      <c r="AO103" s="1649"/>
    </row>
    <row r="104" spans="1:48">
      <c r="A104" s="1258"/>
      <c r="B104" s="1188"/>
      <c r="C104" s="1188"/>
      <c r="D104" s="1188"/>
      <c r="E104" s="1210"/>
      <c r="F104" s="1188"/>
      <c r="G104" s="1188"/>
      <c r="H104" s="1188"/>
      <c r="I104" s="1188"/>
      <c r="J104" s="1188"/>
      <c r="K104" s="1198"/>
      <c r="L104" s="1191"/>
      <c r="M104" s="1191"/>
      <c r="N104" s="1191"/>
      <c r="O104" s="1191"/>
      <c r="P104" s="1191"/>
      <c r="Q104" s="1191"/>
      <c r="R104" s="1199"/>
      <c r="S104" s="1191"/>
      <c r="T104" s="1191"/>
      <c r="U104" s="1191"/>
      <c r="V104" s="1191"/>
      <c r="W104" s="1191"/>
      <c r="X104" s="1191"/>
      <c r="Y104" s="1191"/>
      <c r="Z104" s="1191"/>
      <c r="AA104" s="1191"/>
      <c r="AB104" s="1191"/>
      <c r="AC104" s="1191"/>
      <c r="AD104" s="1191"/>
      <c r="AE104" s="1203"/>
      <c r="AF104" s="1203"/>
      <c r="AG104" s="1203"/>
      <c r="AH104" s="1203"/>
      <c r="AI104" s="1203"/>
      <c r="AJ104" s="1203"/>
      <c r="AK104" s="1210"/>
      <c r="AL104" s="1210"/>
      <c r="AM104" s="1210"/>
      <c r="AN104" s="1210"/>
    </row>
    <row r="105" spans="1:48">
      <c r="A105" s="1258"/>
      <c r="B105" s="1188"/>
      <c r="C105" s="1188"/>
      <c r="D105" s="1188"/>
      <c r="E105" s="1210"/>
      <c r="F105" s="1258"/>
      <c r="G105" s="1188"/>
      <c r="H105" s="1258"/>
      <c r="I105" s="1258"/>
      <c r="J105" s="1258"/>
      <c r="K105" s="1198"/>
      <c r="L105" s="1191"/>
      <c r="M105" s="1191"/>
      <c r="N105" s="1227"/>
      <c r="O105" s="1191"/>
      <c r="P105" s="1191"/>
      <c r="Q105" s="1191"/>
      <c r="R105" s="1199"/>
      <c r="S105" s="1191"/>
      <c r="T105" s="1191"/>
      <c r="U105" s="1191"/>
      <c r="V105" s="1191"/>
      <c r="W105" s="1191"/>
      <c r="X105" s="1191"/>
      <c r="Y105" s="1191"/>
      <c r="Z105" s="1191"/>
      <c r="AA105" s="1191"/>
      <c r="AB105" s="1191"/>
      <c r="AC105" s="1191"/>
      <c r="AD105" s="1191"/>
      <c r="AE105" s="1203"/>
      <c r="AF105" s="1203"/>
      <c r="AG105" s="1203"/>
      <c r="AH105" s="1203"/>
      <c r="AI105" s="1203"/>
      <c r="AJ105" s="1203"/>
      <c r="AK105" s="1210"/>
      <c r="AL105" s="1210"/>
      <c r="AM105" s="1210"/>
      <c r="AN105" s="1210"/>
    </row>
    <row r="106" spans="1:48">
      <c r="A106" s="1258"/>
      <c r="B106" s="1188"/>
      <c r="C106" s="1188"/>
      <c r="D106" s="1188"/>
      <c r="E106" s="1227"/>
      <c r="F106" s="1191"/>
      <c r="G106" s="1191"/>
      <c r="H106" s="1191"/>
      <c r="I106" s="1191"/>
      <c r="J106" s="1191"/>
      <c r="K106" s="1198"/>
      <c r="L106" s="1191"/>
      <c r="M106" s="1191"/>
      <c r="N106" s="1191"/>
      <c r="O106" s="1191"/>
      <c r="P106" s="1191"/>
      <c r="Q106" s="1191"/>
      <c r="R106" s="1199"/>
      <c r="S106" s="1191"/>
      <c r="T106" s="1191"/>
      <c r="U106" s="1191"/>
      <c r="V106" s="1191"/>
      <c r="W106" s="1191"/>
      <c r="X106" s="1191"/>
      <c r="Y106" s="1191"/>
      <c r="Z106" s="1191"/>
      <c r="AA106" s="1191"/>
      <c r="AB106" s="1191"/>
      <c r="AC106" s="1191"/>
      <c r="AD106" s="1191"/>
      <c r="AE106" s="1203"/>
      <c r="AF106" s="1203"/>
      <c r="AG106" s="1203"/>
      <c r="AH106" s="1203"/>
      <c r="AI106" s="1203"/>
      <c r="AJ106" s="1203"/>
      <c r="AK106" s="1227"/>
      <c r="AL106" s="1227"/>
      <c r="AM106" s="1227"/>
      <c r="AN106" s="1227"/>
    </row>
    <row r="107" spans="1:48">
      <c r="A107" s="1258"/>
      <c r="B107" s="1188"/>
      <c r="C107" s="1188"/>
      <c r="D107" s="1188"/>
      <c r="E107" s="1227"/>
      <c r="F107" s="1191"/>
      <c r="G107" s="1191"/>
      <c r="H107" s="1191"/>
      <c r="I107" s="1191"/>
      <c r="J107" s="1191"/>
      <c r="K107" s="1198"/>
      <c r="L107" s="1191"/>
      <c r="M107" s="1191"/>
      <c r="N107" s="1191"/>
      <c r="O107" s="1191"/>
      <c r="P107" s="1191"/>
      <c r="Q107" s="1191"/>
      <c r="R107" s="1199"/>
      <c r="S107" s="1191"/>
      <c r="T107" s="1191"/>
      <c r="U107" s="1191"/>
      <c r="V107" s="1191"/>
      <c r="W107" s="1191"/>
      <c r="X107" s="1191"/>
      <c r="Y107" s="1191"/>
      <c r="Z107" s="1191"/>
      <c r="AA107" s="1191"/>
      <c r="AB107" s="1191"/>
      <c r="AC107" s="1191"/>
      <c r="AD107" s="1191"/>
      <c r="AE107" s="1203"/>
      <c r="AF107" s="1203"/>
      <c r="AG107" s="1203"/>
      <c r="AH107" s="1203"/>
      <c r="AI107" s="1203"/>
      <c r="AJ107" s="1203"/>
      <c r="AK107" s="1227"/>
      <c r="AL107" s="1227"/>
      <c r="AM107" s="1227"/>
      <c r="AN107" s="1227"/>
    </row>
    <row r="108" spans="1:48" s="156" customFormat="1">
      <c r="A108" s="1258"/>
      <c r="B108" s="1194"/>
      <c r="C108" s="1194"/>
      <c r="D108" s="1194"/>
      <c r="E108" s="1188"/>
      <c r="F108" s="1191"/>
      <c r="G108" s="1191"/>
      <c r="H108" s="1191"/>
      <c r="I108" s="1191"/>
      <c r="J108" s="1191"/>
      <c r="K108" s="1191"/>
      <c r="L108" s="1191"/>
      <c r="M108" s="1191"/>
      <c r="N108" s="1191"/>
      <c r="O108" s="1191"/>
      <c r="P108" s="1191"/>
      <c r="Q108" s="1191"/>
      <c r="R108" s="1191"/>
      <c r="S108" s="1191"/>
      <c r="T108" s="1191"/>
      <c r="U108" s="1191"/>
      <c r="V108" s="1191"/>
      <c r="W108" s="1191"/>
      <c r="X108" s="1191"/>
      <c r="Y108" s="1191"/>
      <c r="Z108" s="1191"/>
      <c r="AA108" s="1191"/>
      <c r="AB108" s="1191"/>
      <c r="AC108" s="1191"/>
      <c r="AD108" s="1191"/>
      <c r="AE108" s="1191"/>
      <c r="AF108" s="1191"/>
      <c r="AG108" s="1191"/>
      <c r="AH108" s="1191"/>
      <c r="AI108" s="1191"/>
      <c r="AJ108" s="1191"/>
      <c r="AK108" s="1188"/>
      <c r="AL108" s="1188"/>
      <c r="AM108" s="1188"/>
      <c r="AN108" s="1188"/>
    </row>
    <row r="109" spans="1:48" s="156" customFormat="1">
      <c r="A109" s="1258"/>
      <c r="B109" s="1194"/>
      <c r="C109" s="1194"/>
      <c r="D109" s="1194"/>
      <c r="E109" s="1194"/>
      <c r="F109" s="1195"/>
      <c r="G109" s="1195"/>
      <c r="H109" s="1195"/>
      <c r="I109" s="1195"/>
      <c r="J109" s="1195"/>
      <c r="K109" s="1195"/>
      <c r="L109" s="1195"/>
      <c r="M109" s="1195"/>
      <c r="N109" s="1195"/>
      <c r="O109" s="1195"/>
      <c r="P109" s="1195"/>
      <c r="Q109" s="1195"/>
      <c r="R109" s="1195"/>
      <c r="S109" s="1195"/>
      <c r="T109" s="1195"/>
      <c r="U109" s="1195"/>
      <c r="V109" s="1195"/>
      <c r="W109" s="1195"/>
      <c r="X109" s="1195"/>
      <c r="Y109" s="1195"/>
      <c r="Z109" s="1195"/>
      <c r="AA109" s="1195"/>
      <c r="AB109" s="1195"/>
      <c r="AC109" s="1195"/>
      <c r="AD109" s="1195"/>
      <c r="AE109" s="1195"/>
      <c r="AF109" s="1195"/>
      <c r="AG109" s="1195"/>
      <c r="AH109" s="1195"/>
      <c r="AI109" s="1195"/>
      <c r="AJ109" s="1195"/>
      <c r="AK109" s="1194"/>
      <c r="AL109" s="1194"/>
      <c r="AM109" s="1194"/>
      <c r="AN109" s="1194"/>
    </row>
    <row r="110" spans="1:48" s="156" customFormat="1" ht="16.5">
      <c r="A110" s="1258"/>
      <c r="B110" s="1194"/>
      <c r="C110" s="1194"/>
      <c r="D110" s="1194"/>
      <c r="E110" s="1194"/>
      <c r="F110" s="1195"/>
      <c r="G110" s="1195"/>
      <c r="H110" s="1195"/>
      <c r="I110" s="1195"/>
      <c r="J110" s="1195"/>
      <c r="K110" s="1195"/>
      <c r="L110" s="1195"/>
      <c r="M110" s="1195"/>
      <c r="N110" s="1195"/>
      <c r="O110" s="1195"/>
      <c r="P110" s="1195"/>
      <c r="Q110" s="1195"/>
      <c r="R110" s="1195"/>
      <c r="S110" s="1195"/>
      <c r="T110" s="1195"/>
      <c r="U110" s="1195"/>
      <c r="V110" s="1195"/>
      <c r="W110" s="1650" t="s">
        <v>2480</v>
      </c>
      <c r="X110" s="1195"/>
      <c r="Y110" s="1195"/>
      <c r="Z110" s="1195"/>
      <c r="AA110" s="1195"/>
      <c r="AB110" s="1195"/>
      <c r="AC110" s="1195"/>
      <c r="AD110" s="1230" t="s">
        <v>3316</v>
      </c>
      <c r="AE110" s="1195"/>
      <c r="AF110" s="1195"/>
      <c r="AG110" s="1195"/>
      <c r="AH110" s="1195"/>
      <c r="AI110" s="1195"/>
      <c r="AJ110" s="1195"/>
      <c r="AK110" s="1653"/>
      <c r="AL110" s="1653"/>
      <c r="AM110" s="1653"/>
      <c r="AN110" s="1194"/>
    </row>
    <row r="111" spans="1:48" s="156" customFormat="1">
      <c r="A111" s="1258"/>
      <c r="B111" s="1194"/>
      <c r="C111" s="1194"/>
      <c r="D111" s="1194"/>
      <c r="E111" s="1194"/>
      <c r="F111" s="1195"/>
      <c r="G111" s="1195"/>
      <c r="H111" s="1195"/>
      <c r="I111" s="1195"/>
      <c r="J111" s="1195"/>
      <c r="K111" s="1195"/>
      <c r="L111" s="1195"/>
      <c r="M111" s="1195"/>
      <c r="N111" s="1195"/>
      <c r="O111" s="1195"/>
      <c r="P111" s="1195"/>
      <c r="Q111" s="1195"/>
      <c r="R111" s="1195"/>
      <c r="S111" s="1195"/>
      <c r="T111" s="1195"/>
      <c r="U111" s="1195"/>
      <c r="V111" s="1195"/>
      <c r="W111" s="1195"/>
      <c r="X111" s="1195"/>
      <c r="Y111" s="1195"/>
      <c r="Z111" s="1195"/>
      <c r="AA111" s="1195"/>
      <c r="AB111" s="1195"/>
      <c r="AC111" s="1195"/>
      <c r="AD111" s="1195"/>
      <c r="AE111" s="1195"/>
      <c r="AF111" s="1195"/>
      <c r="AG111" s="1195"/>
      <c r="AH111" s="1195"/>
      <c r="AI111" s="1195"/>
      <c r="AJ111" s="1195"/>
      <c r="AK111" s="1194"/>
      <c r="AL111" s="1194"/>
      <c r="AM111" s="1194"/>
      <c r="AN111" s="1194"/>
    </row>
    <row r="112" spans="1:48" s="156" customFormat="1" ht="16.5">
      <c r="A112" s="1258"/>
      <c r="B112" s="1194"/>
      <c r="C112" s="1194"/>
      <c r="D112" s="1194"/>
      <c r="E112" s="1194"/>
      <c r="F112" s="1195"/>
      <c r="G112" s="1195"/>
      <c r="H112" s="1195"/>
      <c r="I112" s="1195"/>
      <c r="J112" s="1195"/>
      <c r="K112" s="1195"/>
      <c r="L112" s="1195"/>
      <c r="M112" s="1195"/>
      <c r="N112" s="1195"/>
      <c r="O112" s="1195"/>
      <c r="P112" s="1195"/>
      <c r="Q112" s="1195"/>
      <c r="R112" s="1195"/>
      <c r="S112" s="1195"/>
      <c r="T112" s="1195"/>
      <c r="U112" s="1195"/>
      <c r="V112" s="1195"/>
      <c r="W112" s="1650"/>
      <c r="X112" s="1650"/>
      <c r="Y112" s="1650"/>
      <c r="Z112" s="1650"/>
      <c r="AA112" s="1650"/>
      <c r="AB112" s="1650"/>
      <c r="AC112" s="1650"/>
      <c r="AD112" s="1230"/>
      <c r="AE112" s="1230"/>
      <c r="AG112" s="1230"/>
      <c r="AH112" s="1230"/>
      <c r="AI112" s="1230"/>
      <c r="AJ112" s="1191"/>
      <c r="AK112" s="1191"/>
      <c r="AL112" s="1191"/>
      <c r="AM112" s="1191"/>
      <c r="AN112" s="1191"/>
      <c r="AO112" s="1191"/>
    </row>
    <row r="113" spans="1:40" s="156" customFormat="1">
      <c r="A113" s="1258"/>
      <c r="B113" s="1194"/>
      <c r="C113" s="1194"/>
      <c r="D113" s="1194"/>
      <c r="E113" s="1194"/>
      <c r="F113" s="1195"/>
      <c r="G113" s="1195"/>
      <c r="H113" s="1195"/>
      <c r="I113" s="1195"/>
      <c r="J113" s="1195"/>
      <c r="K113" s="1195"/>
      <c r="L113" s="1195"/>
      <c r="M113" s="1195"/>
      <c r="N113" s="1195"/>
      <c r="O113" s="1195"/>
      <c r="P113" s="1195"/>
      <c r="Q113" s="1195"/>
      <c r="R113" s="1195"/>
      <c r="S113" s="1195"/>
      <c r="T113" s="1195"/>
      <c r="U113" s="1195"/>
      <c r="V113" s="1195"/>
      <c r="W113" s="1195"/>
      <c r="X113" s="1195"/>
      <c r="Y113" s="1195"/>
      <c r="Z113" s="1195"/>
      <c r="AA113" s="1195"/>
      <c r="AB113" s="1195"/>
      <c r="AC113" s="1195"/>
      <c r="AD113" s="1195"/>
      <c r="AE113" s="1195"/>
      <c r="AF113" s="1195"/>
      <c r="AG113" s="1195"/>
      <c r="AH113" s="1195"/>
      <c r="AI113" s="1195"/>
      <c r="AJ113" s="1195"/>
      <c r="AK113" s="1194"/>
      <c r="AL113" s="1194"/>
      <c r="AM113" s="1194"/>
      <c r="AN113" s="1194"/>
    </row>
    <row r="114" spans="1:40" s="156" customFormat="1">
      <c r="A114" s="1258"/>
      <c r="B114" s="1194"/>
      <c r="C114" s="1194"/>
      <c r="D114" s="1194"/>
      <c r="E114" s="1194"/>
      <c r="F114" s="1195"/>
      <c r="G114" s="1195"/>
      <c r="H114" s="1195"/>
      <c r="I114" s="1195"/>
      <c r="J114" s="1195"/>
      <c r="K114" s="1195"/>
      <c r="L114" s="1195"/>
      <c r="M114" s="1195"/>
      <c r="N114" s="1195"/>
      <c r="O114" s="1195"/>
      <c r="P114" s="1195"/>
      <c r="Q114" s="1195"/>
      <c r="R114" s="1195"/>
      <c r="S114" s="1195"/>
      <c r="T114" s="1195"/>
      <c r="U114" s="1195"/>
      <c r="V114" s="1195"/>
      <c r="W114" s="1195"/>
      <c r="X114" s="1195"/>
      <c r="Y114" s="1195"/>
      <c r="Z114" s="1195"/>
      <c r="AA114" s="1195"/>
      <c r="AB114" s="1195"/>
      <c r="AC114" s="1195"/>
      <c r="AD114" s="1195"/>
      <c r="AE114" s="1195"/>
      <c r="AF114" s="1195"/>
      <c r="AG114" s="1195"/>
      <c r="AH114" s="1195"/>
      <c r="AI114" s="1195"/>
      <c r="AJ114" s="1195"/>
      <c r="AK114" s="1194"/>
      <c r="AL114" s="1194"/>
      <c r="AM114" s="1194"/>
      <c r="AN114" s="1194"/>
    </row>
    <row r="115" spans="1:40" s="156" customFormat="1">
      <c r="A115" s="1258"/>
      <c r="B115" s="1194"/>
      <c r="C115" s="1194"/>
      <c r="D115" s="1194"/>
      <c r="E115" s="1194"/>
      <c r="F115" s="1195"/>
      <c r="G115" s="1195"/>
      <c r="H115" s="1195"/>
      <c r="I115" s="1195"/>
      <c r="J115" s="1195"/>
      <c r="K115" s="1195"/>
      <c r="L115" s="1195"/>
      <c r="M115" s="1195"/>
      <c r="N115" s="1195"/>
      <c r="O115" s="1195"/>
      <c r="P115" s="1195"/>
      <c r="Q115" s="1195"/>
      <c r="R115" s="1195"/>
      <c r="S115" s="1195"/>
      <c r="T115" s="1195"/>
      <c r="U115" s="1195"/>
      <c r="V115" s="1195"/>
      <c r="W115" s="1195"/>
      <c r="X115" s="1195"/>
      <c r="Y115" s="1195"/>
      <c r="Z115" s="1195"/>
      <c r="AA115" s="1195"/>
      <c r="AB115" s="1195"/>
      <c r="AC115" s="1195"/>
      <c r="AD115" s="1195"/>
      <c r="AE115" s="1195"/>
      <c r="AF115" s="1195"/>
      <c r="AG115" s="1195"/>
      <c r="AH115" s="1195"/>
      <c r="AI115" s="1195"/>
      <c r="AJ115" s="1195"/>
      <c r="AK115" s="1194"/>
      <c r="AL115" s="1194"/>
      <c r="AM115" s="1194"/>
      <c r="AN115" s="1194"/>
    </row>
    <row r="116" spans="1:40" s="156" customFormat="1">
      <c r="A116" s="1258"/>
      <c r="B116" s="1194"/>
      <c r="C116" s="1194"/>
      <c r="D116" s="1194"/>
      <c r="E116" s="1194"/>
      <c r="F116" s="1195"/>
      <c r="G116" s="1195"/>
      <c r="H116" s="1195"/>
      <c r="I116" s="1195"/>
      <c r="J116" s="1195"/>
      <c r="K116" s="1195"/>
      <c r="L116" s="1195"/>
      <c r="M116" s="1195"/>
      <c r="N116" s="1195"/>
      <c r="O116" s="1195"/>
      <c r="P116" s="1195"/>
      <c r="Q116" s="1195"/>
      <c r="R116" s="1195"/>
      <c r="S116" s="1195"/>
      <c r="T116" s="1195"/>
      <c r="U116" s="1195"/>
      <c r="V116" s="1195"/>
      <c r="W116" s="1195"/>
      <c r="X116" s="1195"/>
      <c r="Y116" s="1195"/>
      <c r="Z116" s="1195"/>
      <c r="AA116" s="1195"/>
      <c r="AB116" s="1195"/>
      <c r="AC116" s="1195"/>
      <c r="AD116" s="1195"/>
      <c r="AE116" s="1195"/>
      <c r="AF116" s="1195"/>
      <c r="AG116" s="1195"/>
      <c r="AH116" s="1195"/>
      <c r="AI116" s="1195"/>
      <c r="AJ116" s="1195"/>
      <c r="AK116" s="1194"/>
      <c r="AL116" s="1194"/>
      <c r="AM116" s="1194"/>
      <c r="AN116" s="1194"/>
    </row>
    <row r="117" spans="1:40" s="156" customFormat="1">
      <c r="A117" s="1258"/>
      <c r="B117" s="1194"/>
      <c r="C117" s="1194"/>
      <c r="D117" s="1194"/>
      <c r="E117" s="1194"/>
      <c r="F117" s="1195"/>
      <c r="G117" s="1195"/>
      <c r="H117" s="1195"/>
      <c r="I117" s="1195"/>
      <c r="J117" s="1195"/>
      <c r="K117" s="1195"/>
      <c r="L117" s="1195"/>
      <c r="M117" s="1195"/>
      <c r="N117" s="1195"/>
      <c r="O117" s="1195"/>
      <c r="P117" s="1195"/>
      <c r="Q117" s="1195"/>
      <c r="R117" s="1195"/>
      <c r="S117" s="1195"/>
      <c r="T117" s="1195"/>
      <c r="U117" s="1195"/>
      <c r="V117" s="1195"/>
      <c r="W117" s="1195"/>
      <c r="X117" s="1195"/>
      <c r="Y117" s="1195"/>
      <c r="Z117" s="1195"/>
      <c r="AA117" s="1195"/>
      <c r="AB117" s="1195"/>
      <c r="AC117" s="1195"/>
      <c r="AD117" s="1195"/>
      <c r="AE117" s="1195"/>
      <c r="AF117" s="1195"/>
      <c r="AG117" s="1195"/>
      <c r="AH117" s="1195"/>
      <c r="AI117" s="1195"/>
      <c r="AJ117" s="1195"/>
      <c r="AK117" s="1194"/>
      <c r="AL117" s="1194"/>
      <c r="AM117" s="1194"/>
      <c r="AN117" s="1194"/>
    </row>
    <row r="118" spans="1:40" s="156" customFormat="1">
      <c r="A118" s="1258"/>
      <c r="B118" s="1194"/>
      <c r="C118" s="1194"/>
      <c r="D118" s="1194"/>
      <c r="E118" s="1194"/>
      <c r="F118" s="1195"/>
      <c r="G118" s="1195"/>
      <c r="H118" s="1195"/>
      <c r="I118" s="1195"/>
      <c r="J118" s="1195"/>
      <c r="K118" s="1195"/>
      <c r="L118" s="1195"/>
      <c r="M118" s="1195"/>
      <c r="N118" s="1195"/>
      <c r="O118" s="1195"/>
      <c r="P118" s="1195"/>
      <c r="Q118" s="1195"/>
      <c r="R118" s="1195"/>
      <c r="S118" s="1195"/>
      <c r="T118" s="1195"/>
      <c r="U118" s="1195"/>
      <c r="V118" s="1195"/>
      <c r="W118" s="1195"/>
      <c r="X118" s="1195"/>
      <c r="Y118" s="1195"/>
      <c r="Z118" s="1195"/>
      <c r="AA118" s="1195"/>
      <c r="AB118" s="1195"/>
      <c r="AC118" s="1195"/>
      <c r="AD118" s="1195"/>
      <c r="AE118" s="1195"/>
      <c r="AF118" s="1195"/>
      <c r="AG118" s="1195"/>
      <c r="AH118" s="1195"/>
      <c r="AI118" s="1195"/>
      <c r="AJ118" s="1195"/>
      <c r="AK118" s="1194"/>
      <c r="AL118" s="1194"/>
      <c r="AM118" s="1194"/>
      <c r="AN118" s="1194"/>
    </row>
    <row r="119" spans="1:40" s="156" customFormat="1">
      <c r="A119" s="1258"/>
      <c r="B119" s="1194"/>
      <c r="C119" s="1194"/>
      <c r="D119" s="1194"/>
      <c r="E119" s="1194"/>
      <c r="F119" s="1194"/>
      <c r="G119" s="1194"/>
      <c r="H119" s="1194"/>
      <c r="I119" s="1195"/>
      <c r="J119" s="1195"/>
      <c r="K119" s="1195"/>
      <c r="L119" s="1195"/>
      <c r="M119" s="1195"/>
      <c r="N119" s="1195"/>
      <c r="O119" s="1195"/>
      <c r="P119" s="1195"/>
      <c r="Q119" s="1195"/>
      <c r="R119" s="1195"/>
      <c r="S119" s="1195"/>
      <c r="T119" s="1195"/>
      <c r="U119" s="1195"/>
      <c r="V119" s="1195"/>
      <c r="W119" s="1195"/>
      <c r="X119" s="1195"/>
      <c r="Y119" s="1195"/>
      <c r="Z119" s="1195"/>
      <c r="AA119" s="1195"/>
      <c r="AB119" s="1195"/>
      <c r="AC119" s="1195"/>
      <c r="AD119" s="1195"/>
      <c r="AE119" s="1195"/>
      <c r="AF119" s="1195"/>
      <c r="AG119" s="1195"/>
      <c r="AH119" s="1195"/>
      <c r="AI119" s="1195"/>
      <c r="AJ119" s="1195"/>
      <c r="AK119" s="1194"/>
      <c r="AL119" s="1194"/>
      <c r="AM119" s="1194"/>
      <c r="AN119" s="1194"/>
    </row>
    <row r="120" spans="1:40" s="156" customFormat="1">
      <c r="A120" s="1258"/>
      <c r="B120" s="1194"/>
      <c r="C120" s="1194"/>
      <c r="D120" s="1194"/>
      <c r="E120" s="1194"/>
      <c r="F120" s="1194"/>
      <c r="G120" s="1194"/>
      <c r="H120" s="1194"/>
      <c r="I120" s="1195"/>
      <c r="J120" s="1195"/>
      <c r="K120" s="1195"/>
      <c r="L120" s="1195"/>
      <c r="M120" s="1195"/>
      <c r="N120" s="1195"/>
      <c r="O120" s="1195"/>
      <c r="P120" s="1195"/>
      <c r="Q120" s="1195"/>
      <c r="R120" s="1195"/>
      <c r="S120" s="1195"/>
      <c r="T120" s="1195"/>
      <c r="U120" s="1195"/>
      <c r="V120" s="1195"/>
      <c r="W120" s="1195"/>
      <c r="X120" s="1195"/>
      <c r="Y120" s="1195"/>
      <c r="Z120" s="1195"/>
      <c r="AA120" s="1195"/>
      <c r="AB120" s="1195"/>
      <c r="AC120" s="1195"/>
      <c r="AD120" s="1195"/>
      <c r="AE120" s="1195"/>
      <c r="AF120" s="1195"/>
      <c r="AG120" s="1195"/>
      <c r="AH120" s="1195"/>
      <c r="AI120" s="1195"/>
      <c r="AJ120" s="1195"/>
      <c r="AK120" s="1194"/>
      <c r="AL120" s="1194"/>
      <c r="AM120" s="1194"/>
      <c r="AN120" s="1194"/>
    </row>
    <row r="121" spans="1:40" s="156" customFormat="1">
      <c r="A121" s="1258"/>
      <c r="B121" s="1194"/>
      <c r="C121" s="1194"/>
      <c r="D121" s="1194"/>
      <c r="E121" s="1194"/>
      <c r="F121" s="1194"/>
      <c r="G121" s="1194"/>
      <c r="H121" s="1194"/>
      <c r="I121" s="1195"/>
      <c r="J121" s="1195"/>
      <c r="K121" s="1195"/>
      <c r="L121" s="1195"/>
      <c r="M121" s="1195"/>
      <c r="N121" s="1195"/>
      <c r="O121" s="1195"/>
      <c r="P121" s="1195"/>
      <c r="Q121" s="1195"/>
      <c r="R121" s="1195"/>
      <c r="S121" s="1195"/>
      <c r="T121" s="1195"/>
      <c r="U121" s="1195"/>
      <c r="V121" s="1195"/>
      <c r="W121" s="1195"/>
      <c r="X121" s="1195"/>
      <c r="Y121" s="1195"/>
      <c r="Z121" s="1195"/>
      <c r="AA121" s="1195"/>
      <c r="AB121" s="1195"/>
      <c r="AC121" s="1195"/>
      <c r="AD121" s="1195"/>
      <c r="AE121" s="1195"/>
      <c r="AF121" s="1195"/>
      <c r="AG121" s="1195"/>
      <c r="AH121" s="1195"/>
      <c r="AI121" s="1195"/>
      <c r="AJ121" s="1195"/>
      <c r="AK121" s="1194"/>
      <c r="AL121" s="1194"/>
      <c r="AM121" s="1194"/>
      <c r="AN121" s="1194"/>
    </row>
    <row r="122" spans="1:40" s="156" customFormat="1">
      <c r="A122" s="1258"/>
      <c r="B122" s="1194"/>
      <c r="C122" s="1194"/>
      <c r="D122" s="1194"/>
      <c r="E122" s="1194"/>
      <c r="F122" s="1194"/>
      <c r="G122" s="1194"/>
      <c r="H122" s="1194"/>
      <c r="I122" s="1195"/>
      <c r="J122" s="1195"/>
      <c r="K122" s="1195"/>
      <c r="L122" s="1195"/>
      <c r="M122" s="1195"/>
      <c r="N122" s="1195"/>
      <c r="O122" s="1195"/>
      <c r="P122" s="1195"/>
      <c r="Q122" s="1195"/>
      <c r="R122" s="1195"/>
      <c r="S122" s="1195"/>
      <c r="T122" s="1195"/>
      <c r="U122" s="1195"/>
      <c r="V122" s="1195"/>
      <c r="W122" s="1195"/>
      <c r="X122" s="1195"/>
      <c r="Y122" s="1195"/>
      <c r="Z122" s="1195"/>
      <c r="AA122" s="1195"/>
      <c r="AB122" s="1195"/>
      <c r="AC122" s="1195"/>
      <c r="AD122" s="1195"/>
      <c r="AE122" s="1195"/>
      <c r="AF122" s="1195"/>
      <c r="AG122" s="1195"/>
      <c r="AH122" s="1195"/>
      <c r="AI122" s="1195"/>
      <c r="AJ122" s="1195"/>
      <c r="AK122" s="1194"/>
      <c r="AL122" s="1194"/>
      <c r="AM122" s="1194"/>
      <c r="AN122" s="1194"/>
    </row>
    <row r="123" spans="1:40" s="156" customFormat="1">
      <c r="A123" s="1258"/>
      <c r="B123" s="1194"/>
      <c r="C123" s="1194"/>
      <c r="D123" s="1194"/>
      <c r="E123" s="1194"/>
      <c r="F123" s="1194"/>
      <c r="G123" s="1194"/>
      <c r="H123" s="1194"/>
      <c r="I123" s="1195"/>
      <c r="J123" s="1195"/>
      <c r="K123" s="1195"/>
      <c r="L123" s="1195"/>
      <c r="M123" s="1195"/>
      <c r="N123" s="1195"/>
      <c r="O123" s="1195"/>
      <c r="P123" s="1195"/>
      <c r="Q123" s="1195"/>
      <c r="R123" s="1195"/>
      <c r="S123" s="1195"/>
      <c r="T123" s="1195"/>
      <c r="U123" s="1195"/>
      <c r="V123" s="1195"/>
      <c r="W123" s="1195"/>
      <c r="X123" s="1195"/>
      <c r="Y123" s="1195"/>
      <c r="Z123" s="1195"/>
      <c r="AA123" s="1195"/>
      <c r="AB123" s="1195"/>
      <c r="AC123" s="1195"/>
      <c r="AD123" s="1195"/>
      <c r="AE123" s="1195"/>
      <c r="AF123" s="1195"/>
      <c r="AG123" s="1195"/>
      <c r="AH123" s="1195"/>
      <c r="AI123" s="1195"/>
      <c r="AJ123" s="1195"/>
      <c r="AK123" s="1194"/>
      <c r="AL123" s="1194"/>
      <c r="AM123" s="1194"/>
      <c r="AN123" s="1194"/>
    </row>
    <row r="124" spans="1:40" s="156" customFormat="1">
      <c r="A124" s="1258"/>
      <c r="B124" s="1194"/>
      <c r="C124" s="1194"/>
      <c r="D124" s="1194"/>
      <c r="E124" s="1194"/>
      <c r="F124" s="1194"/>
      <c r="G124" s="1194"/>
      <c r="H124" s="1194"/>
      <c r="I124" s="1195"/>
      <c r="J124" s="1195"/>
      <c r="K124" s="1195"/>
      <c r="L124" s="1195"/>
      <c r="M124" s="1195"/>
      <c r="N124" s="1195"/>
      <c r="O124" s="1195"/>
      <c r="P124" s="1195"/>
      <c r="Q124" s="1195"/>
      <c r="R124" s="1195"/>
      <c r="S124" s="1195"/>
      <c r="T124" s="1195"/>
      <c r="U124" s="1195"/>
      <c r="V124" s="1195"/>
      <c r="W124" s="1195"/>
      <c r="X124" s="1195"/>
      <c r="Y124" s="1195"/>
      <c r="Z124" s="1195"/>
      <c r="AA124" s="1195"/>
      <c r="AB124" s="1195"/>
      <c r="AC124" s="1195"/>
      <c r="AD124" s="1195"/>
      <c r="AE124" s="1195"/>
      <c r="AF124" s="1195"/>
      <c r="AG124" s="1195"/>
      <c r="AH124" s="1195"/>
      <c r="AI124" s="1195"/>
      <c r="AJ124" s="1195"/>
      <c r="AK124" s="1194"/>
      <c r="AL124" s="1194"/>
      <c r="AM124" s="1194"/>
      <c r="AN124" s="1194"/>
    </row>
    <row r="125" spans="1:40" s="156" customFormat="1">
      <c r="A125" s="1258"/>
      <c r="B125" s="1194"/>
      <c r="C125" s="1194"/>
      <c r="D125" s="1194"/>
      <c r="E125" s="1194"/>
      <c r="F125" s="1194"/>
      <c r="G125" s="1194"/>
      <c r="H125" s="1194"/>
      <c r="I125" s="1195"/>
      <c r="J125" s="1195"/>
      <c r="K125" s="1195"/>
      <c r="L125" s="1195"/>
      <c r="M125" s="1195"/>
      <c r="N125" s="1195"/>
      <c r="O125" s="1195"/>
      <c r="P125" s="1195"/>
      <c r="Q125" s="1195"/>
      <c r="R125" s="1195"/>
      <c r="S125" s="1195"/>
      <c r="T125" s="1195"/>
      <c r="U125" s="1195"/>
      <c r="V125" s="1195"/>
      <c r="W125" s="1195"/>
      <c r="X125" s="1195"/>
      <c r="Y125" s="1195"/>
      <c r="Z125" s="1195"/>
      <c r="AA125" s="1195"/>
      <c r="AB125" s="1195"/>
      <c r="AC125" s="1195"/>
      <c r="AD125" s="1195"/>
      <c r="AE125" s="1195"/>
      <c r="AF125" s="1195"/>
      <c r="AG125" s="1195"/>
      <c r="AH125" s="1195"/>
      <c r="AI125" s="1195"/>
      <c r="AJ125" s="1195"/>
      <c r="AK125" s="1194"/>
      <c r="AL125" s="1194"/>
      <c r="AM125" s="1194"/>
      <c r="AN125" s="1194"/>
    </row>
    <row r="126" spans="1:40" s="156" customFormat="1">
      <c r="A126" s="1258"/>
      <c r="B126" s="1194"/>
      <c r="C126" s="1194"/>
      <c r="D126" s="1194"/>
      <c r="E126" s="1194"/>
      <c r="F126" s="1194"/>
      <c r="G126" s="1194"/>
      <c r="H126" s="1194"/>
      <c r="I126" s="1195"/>
      <c r="J126" s="1195"/>
      <c r="K126" s="1195"/>
      <c r="L126" s="1195"/>
      <c r="M126" s="1195"/>
      <c r="N126" s="1195"/>
      <c r="O126" s="1195"/>
      <c r="P126" s="1195"/>
      <c r="Q126" s="1195"/>
      <c r="R126" s="1195"/>
      <c r="S126" s="1195"/>
      <c r="T126" s="1195"/>
      <c r="U126" s="1195"/>
      <c r="V126" s="1195"/>
      <c r="W126" s="1195"/>
      <c r="X126" s="1195"/>
      <c r="Y126" s="1195"/>
      <c r="Z126" s="1195"/>
      <c r="AA126" s="1195"/>
      <c r="AB126" s="1195"/>
      <c r="AC126" s="1195"/>
      <c r="AD126" s="1195"/>
      <c r="AE126" s="1195"/>
      <c r="AF126" s="1195"/>
      <c r="AG126" s="1195"/>
      <c r="AH126" s="1195"/>
      <c r="AI126" s="1195"/>
      <c r="AJ126" s="1195"/>
      <c r="AK126" s="1194"/>
      <c r="AL126" s="1194"/>
      <c r="AM126" s="1194"/>
      <c r="AN126" s="1194"/>
    </row>
    <row r="127" spans="1:40" s="156" customFormat="1">
      <c r="A127" s="1258"/>
      <c r="B127" s="1194"/>
      <c r="C127" s="1194"/>
      <c r="D127" s="1194"/>
      <c r="E127" s="1194"/>
      <c r="F127" s="1194"/>
      <c r="G127" s="1194"/>
      <c r="H127" s="1194"/>
      <c r="I127" s="1195"/>
      <c r="J127" s="1195"/>
      <c r="K127" s="1195"/>
      <c r="L127" s="1195"/>
      <c r="M127" s="1195"/>
      <c r="N127" s="1195"/>
      <c r="O127" s="1195"/>
      <c r="P127" s="1195"/>
      <c r="Q127" s="1195"/>
      <c r="R127" s="1195"/>
      <c r="S127" s="1195"/>
      <c r="T127" s="1195"/>
      <c r="U127" s="1195"/>
      <c r="V127" s="1195"/>
      <c r="W127" s="1195"/>
      <c r="X127" s="1195"/>
      <c r="Y127" s="1195"/>
      <c r="Z127" s="1195"/>
      <c r="AA127" s="1195"/>
      <c r="AB127" s="1195"/>
      <c r="AC127" s="1195"/>
      <c r="AD127" s="1195"/>
      <c r="AE127" s="1195"/>
      <c r="AF127" s="1195"/>
      <c r="AG127" s="1195"/>
      <c r="AH127" s="1195"/>
      <c r="AI127" s="1195"/>
      <c r="AJ127" s="1195"/>
      <c r="AK127" s="1194"/>
      <c r="AL127" s="1194"/>
      <c r="AM127" s="1194"/>
      <c r="AN127" s="1194"/>
    </row>
    <row r="128" spans="1:40" s="156" customFormat="1">
      <c r="A128" s="1258"/>
      <c r="B128" s="1194"/>
      <c r="C128" s="1194"/>
      <c r="D128" s="1194"/>
      <c r="E128" s="1194"/>
      <c r="F128" s="1194"/>
      <c r="G128" s="1194"/>
      <c r="H128" s="1194"/>
      <c r="I128" s="1195"/>
      <c r="J128" s="1195"/>
      <c r="K128" s="1195"/>
      <c r="L128" s="1195"/>
      <c r="M128" s="1195"/>
      <c r="N128" s="1195"/>
      <c r="O128" s="1195"/>
      <c r="P128" s="1195"/>
      <c r="Q128" s="1195"/>
      <c r="R128" s="1195"/>
      <c r="S128" s="1195"/>
      <c r="T128" s="1195"/>
      <c r="U128" s="1195"/>
      <c r="V128" s="1195"/>
      <c r="W128" s="1195"/>
      <c r="X128" s="1195"/>
      <c r="Y128" s="1195"/>
      <c r="Z128" s="1195"/>
      <c r="AA128" s="1195"/>
      <c r="AB128" s="1195"/>
      <c r="AC128" s="1195"/>
      <c r="AD128" s="1195"/>
      <c r="AE128" s="1195"/>
      <c r="AF128" s="1195"/>
      <c r="AG128" s="1195"/>
      <c r="AH128" s="1195"/>
      <c r="AI128" s="1195"/>
      <c r="AJ128" s="1195"/>
      <c r="AK128" s="1194"/>
      <c r="AL128" s="1194"/>
      <c r="AM128" s="1194"/>
      <c r="AN128" s="1194"/>
    </row>
    <row r="129" spans="1:40" s="156" customFormat="1">
      <c r="A129" s="1258"/>
      <c r="B129" s="1194"/>
      <c r="C129" s="1194"/>
      <c r="D129" s="1194"/>
      <c r="E129" s="1194"/>
      <c r="F129" s="1194"/>
      <c r="G129" s="1194"/>
      <c r="H129" s="1194"/>
      <c r="I129" s="1195"/>
      <c r="J129" s="1195"/>
      <c r="K129" s="1195"/>
      <c r="L129" s="1195"/>
      <c r="M129" s="1195"/>
      <c r="N129" s="1195"/>
      <c r="O129" s="1195"/>
      <c r="P129" s="1195"/>
      <c r="Q129" s="1195"/>
      <c r="R129" s="1195"/>
      <c r="S129" s="1195"/>
      <c r="T129" s="1195"/>
      <c r="U129" s="1195"/>
      <c r="V129" s="1195"/>
      <c r="W129" s="1195"/>
      <c r="X129" s="1195"/>
      <c r="Y129" s="1195"/>
      <c r="Z129" s="1195"/>
      <c r="AA129" s="1195"/>
      <c r="AB129" s="1195"/>
      <c r="AC129" s="1195"/>
      <c r="AD129" s="1195"/>
      <c r="AE129" s="1195"/>
      <c r="AF129" s="1195"/>
      <c r="AG129" s="1195"/>
      <c r="AH129" s="1195"/>
      <c r="AI129" s="1195"/>
      <c r="AJ129" s="1195"/>
      <c r="AK129" s="1194"/>
      <c r="AL129" s="1194"/>
      <c r="AM129" s="1194"/>
      <c r="AN129" s="1194"/>
    </row>
    <row r="130" spans="1:40" s="156" customFormat="1">
      <c r="A130" s="1258"/>
      <c r="B130" s="1194"/>
      <c r="C130" s="1194"/>
      <c r="D130" s="1194"/>
      <c r="E130" s="1194"/>
      <c r="F130" s="1194"/>
      <c r="G130" s="1194"/>
      <c r="H130" s="1194"/>
      <c r="I130" s="1195"/>
      <c r="J130" s="1195"/>
      <c r="K130" s="1195"/>
      <c r="L130" s="1195"/>
      <c r="M130" s="1195"/>
      <c r="N130" s="1195"/>
      <c r="O130" s="1195"/>
      <c r="P130" s="1195"/>
      <c r="Q130" s="1195"/>
      <c r="R130" s="1195"/>
      <c r="S130" s="1195"/>
      <c r="T130" s="1195"/>
      <c r="U130" s="1195"/>
      <c r="V130" s="1195"/>
      <c r="W130" s="1195"/>
      <c r="X130" s="1195"/>
      <c r="Y130" s="1195"/>
      <c r="Z130" s="1195"/>
      <c r="AA130" s="1195"/>
      <c r="AB130" s="1195"/>
      <c r="AC130" s="1195"/>
      <c r="AD130" s="1195"/>
      <c r="AE130" s="1195"/>
      <c r="AF130" s="1195"/>
      <c r="AG130" s="1195"/>
      <c r="AH130" s="1195"/>
      <c r="AI130" s="1195"/>
      <c r="AJ130" s="1195"/>
      <c r="AK130" s="1194"/>
      <c r="AL130" s="1194"/>
      <c r="AM130" s="1194"/>
      <c r="AN130" s="1194"/>
    </row>
    <row r="131" spans="1:40" s="156" customFormat="1">
      <c r="A131" s="1258"/>
      <c r="B131" s="1194"/>
      <c r="C131" s="1194"/>
      <c r="D131" s="1194"/>
      <c r="E131" s="1194"/>
      <c r="F131" s="1194"/>
      <c r="G131" s="1194"/>
      <c r="H131" s="1194"/>
      <c r="I131" s="1195"/>
      <c r="J131" s="1195"/>
      <c r="K131" s="1195"/>
      <c r="L131" s="1195"/>
      <c r="M131" s="1195"/>
      <c r="N131" s="1195"/>
      <c r="O131" s="1195"/>
      <c r="P131" s="1195"/>
      <c r="Q131" s="1195"/>
      <c r="R131" s="1195"/>
      <c r="S131" s="1195"/>
      <c r="T131" s="1195"/>
      <c r="U131" s="1195"/>
      <c r="V131" s="1195"/>
      <c r="W131" s="1195"/>
      <c r="X131" s="1195"/>
      <c r="Y131" s="1195"/>
      <c r="Z131" s="1195"/>
      <c r="AA131" s="1195"/>
      <c r="AB131" s="1195"/>
      <c r="AC131" s="1195"/>
      <c r="AD131" s="1195"/>
      <c r="AE131" s="1195"/>
      <c r="AF131" s="1195"/>
      <c r="AG131" s="1195"/>
      <c r="AH131" s="1195"/>
      <c r="AI131" s="1195"/>
      <c r="AJ131" s="1195"/>
      <c r="AK131" s="1194"/>
      <c r="AL131" s="1194"/>
      <c r="AM131" s="1194"/>
      <c r="AN131" s="1194"/>
    </row>
    <row r="132" spans="1:40" s="156" customFormat="1">
      <c r="A132" s="1258"/>
      <c r="B132" s="1194"/>
      <c r="C132" s="1194"/>
      <c r="D132" s="1194"/>
      <c r="E132" s="1194"/>
      <c r="F132" s="1194"/>
      <c r="G132" s="1194"/>
      <c r="H132" s="1194"/>
      <c r="I132" s="1195"/>
      <c r="J132" s="1195"/>
      <c r="K132" s="1195"/>
      <c r="L132" s="1195"/>
      <c r="M132" s="1195"/>
      <c r="N132" s="1195"/>
      <c r="O132" s="1195"/>
      <c r="P132" s="1195"/>
      <c r="Q132" s="1195"/>
      <c r="R132" s="1195"/>
      <c r="S132" s="1195"/>
      <c r="T132" s="1195"/>
      <c r="U132" s="1195"/>
      <c r="V132" s="1195"/>
      <c r="W132" s="1195"/>
      <c r="X132" s="1195"/>
      <c r="Y132" s="1195"/>
      <c r="Z132" s="1195"/>
      <c r="AA132" s="1195"/>
      <c r="AB132" s="1195"/>
      <c r="AC132" s="1195"/>
      <c r="AD132" s="1195"/>
      <c r="AE132" s="1195"/>
      <c r="AF132" s="1195"/>
      <c r="AG132" s="1195"/>
      <c r="AH132" s="1195"/>
      <c r="AI132" s="1195"/>
      <c r="AJ132" s="1195"/>
      <c r="AK132" s="1194"/>
      <c r="AL132" s="1194"/>
      <c r="AM132" s="1194"/>
      <c r="AN132" s="1194"/>
    </row>
    <row r="133" spans="1:40" s="156" customFormat="1">
      <c r="A133" s="1258"/>
      <c r="B133" s="1194"/>
      <c r="C133" s="1194"/>
      <c r="D133" s="1194"/>
      <c r="E133" s="1194"/>
      <c r="F133" s="1194"/>
      <c r="G133" s="1194"/>
      <c r="H133" s="1194"/>
      <c r="I133" s="1195"/>
      <c r="J133" s="1195"/>
      <c r="K133" s="1195"/>
      <c r="L133" s="1195"/>
      <c r="M133" s="1195"/>
      <c r="N133" s="1195"/>
      <c r="O133" s="1195"/>
      <c r="P133" s="1195"/>
      <c r="Q133" s="1195"/>
      <c r="R133" s="1195"/>
      <c r="S133" s="1195"/>
      <c r="T133" s="1195"/>
      <c r="U133" s="1195"/>
      <c r="V133" s="1195"/>
      <c r="W133" s="1195"/>
      <c r="X133" s="1195"/>
      <c r="Y133" s="1195"/>
      <c r="Z133" s="1195"/>
      <c r="AA133" s="1195"/>
      <c r="AB133" s="1195"/>
      <c r="AC133" s="1195"/>
      <c r="AD133" s="1195"/>
      <c r="AE133" s="1195"/>
      <c r="AF133" s="1195"/>
      <c r="AG133" s="1195"/>
      <c r="AH133" s="1195"/>
      <c r="AI133" s="1195"/>
      <c r="AJ133" s="1195"/>
      <c r="AK133" s="1194"/>
      <c r="AL133" s="1194"/>
      <c r="AM133" s="1194"/>
      <c r="AN133" s="1194"/>
    </row>
    <row r="134" spans="1:40" s="156" customFormat="1">
      <c r="A134" s="1258"/>
      <c r="B134" s="1194"/>
      <c r="C134" s="1194"/>
      <c r="D134" s="1194"/>
      <c r="E134" s="1194"/>
      <c r="F134" s="1194"/>
      <c r="G134" s="1194"/>
      <c r="H134" s="1194"/>
      <c r="I134" s="1195"/>
      <c r="J134" s="1195"/>
      <c r="K134" s="1195"/>
      <c r="L134" s="1195"/>
      <c r="M134" s="1195"/>
      <c r="N134" s="1195"/>
      <c r="O134" s="1195"/>
      <c r="P134" s="1195"/>
      <c r="Q134" s="1195"/>
      <c r="R134" s="1195"/>
      <c r="S134" s="1195"/>
      <c r="T134" s="1195"/>
      <c r="U134" s="1195"/>
      <c r="V134" s="1195"/>
      <c r="W134" s="1195"/>
      <c r="X134" s="1195"/>
      <c r="Y134" s="1195"/>
      <c r="Z134" s="1195"/>
      <c r="AA134" s="1195"/>
      <c r="AB134" s="1195"/>
      <c r="AC134" s="1195"/>
      <c r="AD134" s="1195"/>
      <c r="AE134" s="1195"/>
      <c r="AF134" s="1195"/>
      <c r="AG134" s="1195"/>
      <c r="AH134" s="1195"/>
      <c r="AI134" s="1195"/>
      <c r="AJ134" s="1195"/>
      <c r="AK134" s="1194"/>
      <c r="AL134" s="1194"/>
      <c r="AM134" s="1194"/>
      <c r="AN134" s="1194"/>
    </row>
    <row r="135" spans="1:40" s="156" customFormat="1">
      <c r="A135" s="1258"/>
      <c r="B135" s="1194"/>
      <c r="C135" s="1194"/>
      <c r="D135" s="1194"/>
      <c r="E135" s="1194"/>
      <c r="F135" s="1194"/>
      <c r="G135" s="1194"/>
      <c r="H135" s="1194"/>
      <c r="I135" s="1195"/>
      <c r="J135" s="1195"/>
      <c r="K135" s="1195"/>
      <c r="L135" s="1195"/>
      <c r="M135" s="1195"/>
      <c r="N135" s="1195"/>
      <c r="O135" s="1195"/>
      <c r="P135" s="1195"/>
      <c r="Q135" s="1195"/>
      <c r="R135" s="1195"/>
      <c r="S135" s="1195"/>
      <c r="T135" s="1195"/>
      <c r="U135" s="1195"/>
      <c r="V135" s="1195"/>
      <c r="W135" s="1195"/>
      <c r="X135" s="1195"/>
      <c r="Y135" s="1195"/>
      <c r="Z135" s="1195"/>
      <c r="AA135" s="1195"/>
      <c r="AB135" s="1195"/>
      <c r="AC135" s="1195"/>
      <c r="AD135" s="1195"/>
      <c r="AE135" s="1195"/>
      <c r="AF135" s="1195"/>
      <c r="AG135" s="1195"/>
      <c r="AH135" s="1195"/>
      <c r="AI135" s="1195"/>
      <c r="AJ135" s="1195"/>
      <c r="AK135" s="1194"/>
      <c r="AL135" s="1194"/>
      <c r="AM135" s="1194"/>
      <c r="AN135" s="1194"/>
    </row>
    <row r="136" spans="1:40" s="156" customFormat="1">
      <c r="A136" s="1258"/>
      <c r="B136" s="1194"/>
      <c r="C136" s="1194"/>
      <c r="D136" s="1194"/>
      <c r="E136" s="1194"/>
      <c r="F136" s="1194"/>
      <c r="G136" s="1194"/>
      <c r="H136" s="1194"/>
      <c r="I136" s="1195"/>
      <c r="J136" s="1195"/>
      <c r="K136" s="1195"/>
      <c r="L136" s="1195"/>
      <c r="M136" s="1195"/>
      <c r="N136" s="1195"/>
      <c r="O136" s="1195"/>
      <c r="P136" s="1195"/>
      <c r="Q136" s="1195"/>
      <c r="R136" s="1195"/>
      <c r="S136" s="1195"/>
      <c r="T136" s="1195"/>
      <c r="U136" s="1195"/>
      <c r="V136" s="1195"/>
      <c r="W136" s="1195"/>
      <c r="X136" s="1195"/>
      <c r="Y136" s="1195"/>
      <c r="Z136" s="1195"/>
      <c r="AA136" s="1195"/>
      <c r="AB136" s="1195"/>
      <c r="AC136" s="1195"/>
      <c r="AD136" s="1195"/>
      <c r="AE136" s="1195"/>
      <c r="AF136" s="1195"/>
      <c r="AG136" s="1195"/>
      <c r="AH136" s="1195"/>
      <c r="AI136" s="1195"/>
      <c r="AJ136" s="1195"/>
      <c r="AK136" s="1194"/>
      <c r="AL136" s="1194"/>
      <c r="AM136" s="1194"/>
      <c r="AN136" s="1194"/>
    </row>
    <row r="137" spans="1:40" s="156" customFormat="1">
      <c r="A137" s="1258"/>
      <c r="B137" s="1194"/>
      <c r="C137" s="1194"/>
      <c r="D137" s="1194"/>
      <c r="E137" s="1194"/>
      <c r="F137" s="1194"/>
      <c r="G137" s="1194"/>
      <c r="H137" s="1194"/>
      <c r="I137" s="1195"/>
      <c r="J137" s="1195"/>
      <c r="K137" s="1195"/>
      <c r="L137" s="1195"/>
      <c r="M137" s="1195"/>
      <c r="N137" s="1195"/>
      <c r="O137" s="1195"/>
      <c r="P137" s="1195"/>
      <c r="Q137" s="1195"/>
      <c r="R137" s="1195"/>
      <c r="S137" s="1195"/>
      <c r="T137" s="1195"/>
      <c r="U137" s="1195"/>
      <c r="V137" s="1195"/>
      <c r="W137" s="1195"/>
      <c r="X137" s="1195"/>
      <c r="Y137" s="1195"/>
      <c r="Z137" s="1195"/>
      <c r="AA137" s="1195"/>
      <c r="AB137" s="1195"/>
      <c r="AC137" s="1195"/>
      <c r="AD137" s="1195"/>
      <c r="AE137" s="1195"/>
      <c r="AF137" s="1195"/>
      <c r="AG137" s="1195"/>
      <c r="AH137" s="1195"/>
      <c r="AI137" s="1195"/>
      <c r="AJ137" s="1195"/>
      <c r="AK137" s="1194"/>
      <c r="AL137" s="1194"/>
      <c r="AM137" s="1194"/>
      <c r="AN137" s="1194"/>
    </row>
    <row r="138" spans="1:40" s="156" customFormat="1">
      <c r="A138" s="1258"/>
      <c r="B138" s="1194"/>
      <c r="C138" s="1194"/>
      <c r="D138" s="1194"/>
      <c r="E138" s="1194"/>
      <c r="F138" s="1194"/>
      <c r="G138" s="1194"/>
      <c r="H138" s="1194"/>
      <c r="I138" s="1195"/>
      <c r="J138" s="1195"/>
      <c r="K138" s="1195"/>
      <c r="L138" s="1195"/>
      <c r="M138" s="1195"/>
      <c r="N138" s="1195"/>
      <c r="O138" s="1195"/>
      <c r="P138" s="1195"/>
      <c r="Q138" s="1195"/>
      <c r="R138" s="1195"/>
      <c r="S138" s="1195"/>
      <c r="T138" s="1195"/>
      <c r="U138" s="1195"/>
      <c r="V138" s="1195"/>
      <c r="W138" s="1195"/>
      <c r="X138" s="1195"/>
      <c r="Y138" s="1195"/>
      <c r="Z138" s="1195"/>
      <c r="AA138" s="1195"/>
      <c r="AB138" s="1195"/>
      <c r="AC138" s="1195"/>
      <c r="AD138" s="1195"/>
      <c r="AE138" s="1195"/>
      <c r="AF138" s="1195"/>
      <c r="AG138" s="1195"/>
      <c r="AH138" s="1195"/>
      <c r="AI138" s="1195"/>
      <c r="AJ138" s="1195"/>
      <c r="AK138" s="1194"/>
      <c r="AL138" s="1194"/>
      <c r="AM138" s="1194"/>
      <c r="AN138" s="1194"/>
    </row>
    <row r="139" spans="1:40" s="156" customFormat="1">
      <c r="A139" s="1258"/>
      <c r="B139" s="1194"/>
      <c r="C139" s="1194"/>
      <c r="D139" s="1194"/>
      <c r="E139" s="1194"/>
      <c r="F139" s="1194"/>
      <c r="G139" s="1194"/>
      <c r="H139" s="1194"/>
      <c r="I139" s="1195"/>
      <c r="J139" s="1195"/>
      <c r="K139" s="1195"/>
      <c r="L139" s="1195"/>
      <c r="M139" s="1195"/>
      <c r="N139" s="1195"/>
      <c r="O139" s="1195"/>
      <c r="P139" s="1195"/>
      <c r="Q139" s="1195"/>
      <c r="R139" s="1195"/>
      <c r="S139" s="1195"/>
      <c r="T139" s="1195"/>
      <c r="U139" s="1195"/>
      <c r="V139" s="1195"/>
      <c r="W139" s="1195"/>
      <c r="X139" s="1195"/>
      <c r="Y139" s="1195"/>
      <c r="Z139" s="1195"/>
      <c r="AA139" s="1195"/>
      <c r="AB139" s="1195"/>
      <c r="AC139" s="1195"/>
      <c r="AD139" s="1195"/>
      <c r="AE139" s="1195"/>
      <c r="AF139" s="1195"/>
      <c r="AG139" s="1195"/>
      <c r="AH139" s="1195"/>
      <c r="AI139" s="1195"/>
      <c r="AJ139" s="1195"/>
      <c r="AK139" s="1194"/>
      <c r="AL139" s="1194"/>
      <c r="AM139" s="1194"/>
      <c r="AN139" s="1194"/>
    </row>
    <row r="140" spans="1:40" s="156" customFormat="1">
      <c r="A140" s="1258"/>
      <c r="B140" s="1194"/>
      <c r="C140" s="1194"/>
      <c r="D140" s="1194"/>
      <c r="E140" s="1194"/>
      <c r="F140" s="1194"/>
      <c r="G140" s="1194"/>
      <c r="H140" s="1194"/>
      <c r="I140" s="1195"/>
      <c r="J140" s="1195"/>
      <c r="K140" s="1195"/>
      <c r="L140" s="1195"/>
      <c r="M140" s="1195"/>
      <c r="N140" s="1195"/>
      <c r="O140" s="1195"/>
      <c r="P140" s="1195"/>
      <c r="Q140" s="1195"/>
      <c r="R140" s="1195"/>
      <c r="S140" s="1195"/>
      <c r="T140" s="1195"/>
      <c r="U140" s="1195"/>
      <c r="V140" s="1195"/>
      <c r="W140" s="1195"/>
      <c r="X140" s="1195"/>
      <c r="Y140" s="1195"/>
      <c r="Z140" s="1195"/>
      <c r="AA140" s="1195"/>
      <c r="AB140" s="1195"/>
      <c r="AC140" s="1195"/>
      <c r="AD140" s="1195"/>
      <c r="AE140" s="1195"/>
      <c r="AF140" s="1195"/>
      <c r="AG140" s="1195"/>
      <c r="AH140" s="1195"/>
      <c r="AI140" s="1195"/>
      <c r="AJ140" s="1195"/>
      <c r="AK140" s="1194"/>
      <c r="AL140" s="1194"/>
      <c r="AM140" s="1194"/>
      <c r="AN140" s="1194"/>
    </row>
    <row r="141" spans="1:40" s="156" customFormat="1">
      <c r="A141" s="1258"/>
      <c r="B141" s="1194"/>
      <c r="C141" s="1194"/>
      <c r="D141" s="1194"/>
      <c r="E141" s="1194"/>
      <c r="F141" s="1194"/>
      <c r="G141" s="1194"/>
      <c r="H141" s="1194"/>
      <c r="I141" s="1195"/>
      <c r="J141" s="1195"/>
      <c r="K141" s="1195"/>
      <c r="L141" s="1195"/>
      <c r="M141" s="1195"/>
      <c r="N141" s="1195"/>
      <c r="O141" s="1195"/>
      <c r="P141" s="1195"/>
      <c r="Q141" s="1195"/>
      <c r="R141" s="1195"/>
      <c r="S141" s="1195"/>
      <c r="T141" s="1195"/>
      <c r="U141" s="1195"/>
      <c r="V141" s="1195"/>
      <c r="W141" s="1195"/>
      <c r="X141" s="1195"/>
      <c r="Y141" s="1195"/>
      <c r="Z141" s="1195"/>
      <c r="AA141" s="1195"/>
      <c r="AB141" s="1195"/>
      <c r="AC141" s="1195"/>
      <c r="AD141" s="1195"/>
      <c r="AE141" s="1195"/>
      <c r="AF141" s="1195"/>
      <c r="AG141" s="1195"/>
      <c r="AH141" s="1195"/>
      <c r="AI141" s="1195"/>
      <c r="AJ141" s="1195"/>
      <c r="AK141" s="1194"/>
      <c r="AL141" s="1194"/>
      <c r="AM141" s="1194"/>
      <c r="AN141" s="1194"/>
    </row>
    <row r="142" spans="1:40" s="156" customFormat="1">
      <c r="A142" s="1258"/>
      <c r="B142" s="1194"/>
      <c r="C142" s="1194"/>
      <c r="D142" s="1194"/>
      <c r="E142" s="1194"/>
      <c r="F142" s="1194"/>
      <c r="G142" s="1194"/>
      <c r="H142" s="1194"/>
      <c r="I142" s="1195"/>
      <c r="J142" s="1195"/>
      <c r="K142" s="1195"/>
      <c r="L142" s="1195"/>
      <c r="M142" s="1195"/>
      <c r="N142" s="1195"/>
      <c r="O142" s="1195"/>
      <c r="P142" s="1195"/>
      <c r="Q142" s="1195"/>
      <c r="R142" s="1195"/>
      <c r="S142" s="1195"/>
      <c r="T142" s="1195"/>
      <c r="U142" s="1195"/>
      <c r="V142" s="1195"/>
      <c r="W142" s="1195"/>
      <c r="X142" s="1195"/>
      <c r="Y142" s="1195"/>
      <c r="Z142" s="1195"/>
      <c r="AA142" s="1195"/>
      <c r="AB142" s="1195"/>
      <c r="AC142" s="1195"/>
      <c r="AD142" s="1195"/>
      <c r="AE142" s="1195"/>
      <c r="AF142" s="1195"/>
      <c r="AG142" s="1195"/>
      <c r="AH142" s="1195"/>
      <c r="AI142" s="1195"/>
      <c r="AJ142" s="1195"/>
      <c r="AK142" s="1194"/>
      <c r="AL142" s="1194"/>
      <c r="AM142" s="1194"/>
      <c r="AN142" s="1194"/>
    </row>
    <row r="143" spans="1:40" s="156" customFormat="1">
      <c r="A143" s="1258"/>
      <c r="B143" s="1194"/>
      <c r="C143" s="1194"/>
      <c r="D143" s="1194"/>
      <c r="E143" s="1194"/>
      <c r="F143" s="1194"/>
      <c r="G143" s="1194"/>
      <c r="H143" s="1194"/>
      <c r="I143" s="1195"/>
      <c r="J143" s="1195"/>
      <c r="K143" s="1195"/>
      <c r="L143" s="1195"/>
      <c r="M143" s="1195"/>
      <c r="N143" s="1195"/>
      <c r="O143" s="1195"/>
      <c r="P143" s="1195"/>
      <c r="Q143" s="1195"/>
      <c r="R143" s="1195"/>
      <c r="S143" s="1195"/>
      <c r="T143" s="1195"/>
      <c r="U143" s="1195"/>
      <c r="V143" s="1195"/>
      <c r="W143" s="1195"/>
      <c r="X143" s="1195"/>
      <c r="Y143" s="1195"/>
      <c r="Z143" s="1195"/>
      <c r="AA143" s="1195"/>
      <c r="AB143" s="1195"/>
      <c r="AC143" s="1195"/>
      <c r="AD143" s="1195"/>
      <c r="AE143" s="1195"/>
      <c r="AF143" s="1195"/>
      <c r="AG143" s="1195"/>
      <c r="AH143" s="1195"/>
      <c r="AI143" s="1195"/>
      <c r="AJ143" s="1195"/>
      <c r="AK143" s="1194"/>
      <c r="AL143" s="1194"/>
      <c r="AM143" s="1194"/>
      <c r="AN143" s="1194"/>
    </row>
    <row r="144" spans="1:40" s="156" customFormat="1">
      <c r="A144" s="1258"/>
      <c r="B144" s="1194"/>
      <c r="C144" s="1194"/>
      <c r="D144" s="1194"/>
      <c r="E144" s="1194"/>
      <c r="F144" s="1194"/>
      <c r="G144" s="1194"/>
      <c r="H144" s="1194"/>
      <c r="I144" s="1195"/>
      <c r="J144" s="1195"/>
      <c r="K144" s="1195"/>
      <c r="L144" s="1195"/>
      <c r="M144" s="1195"/>
      <c r="N144" s="1195"/>
      <c r="O144" s="1195"/>
      <c r="P144" s="1195"/>
      <c r="Q144" s="1195"/>
      <c r="R144" s="1195"/>
      <c r="S144" s="1195"/>
      <c r="T144" s="1195"/>
      <c r="U144" s="1195"/>
      <c r="V144" s="1195"/>
      <c r="W144" s="1195"/>
      <c r="X144" s="1195"/>
      <c r="Y144" s="1195"/>
      <c r="Z144" s="1195"/>
      <c r="AA144" s="1195"/>
      <c r="AB144" s="1195"/>
      <c r="AC144" s="1195"/>
      <c r="AD144" s="1195"/>
      <c r="AE144" s="1195"/>
      <c r="AF144" s="1195"/>
      <c r="AG144" s="1195"/>
      <c r="AH144" s="1195"/>
      <c r="AI144" s="1195"/>
      <c r="AJ144" s="1195"/>
      <c r="AK144" s="1194"/>
      <c r="AL144" s="1194"/>
      <c r="AM144" s="1194"/>
      <c r="AN144" s="1194"/>
    </row>
    <row r="145" spans="1:40" s="156" customFormat="1">
      <c r="A145" s="1258"/>
      <c r="B145" s="1194"/>
      <c r="C145" s="1194"/>
      <c r="D145" s="1194"/>
      <c r="E145" s="1194"/>
      <c r="F145" s="1194"/>
      <c r="G145" s="1194"/>
      <c r="H145" s="1194"/>
      <c r="I145" s="1195"/>
      <c r="J145" s="1195"/>
      <c r="K145" s="1195"/>
      <c r="L145" s="1195"/>
      <c r="M145" s="1195"/>
      <c r="N145" s="1195"/>
      <c r="O145" s="1195"/>
      <c r="P145" s="1195"/>
      <c r="Q145" s="1195"/>
      <c r="R145" s="1195"/>
      <c r="S145" s="1195"/>
      <c r="T145" s="1195"/>
      <c r="U145" s="1195"/>
      <c r="V145" s="1195"/>
      <c r="W145" s="1195"/>
      <c r="X145" s="1195"/>
      <c r="Y145" s="1195"/>
      <c r="Z145" s="1195"/>
      <c r="AA145" s="1195"/>
      <c r="AB145" s="1195"/>
      <c r="AC145" s="1195"/>
      <c r="AD145" s="1194"/>
      <c r="AE145" s="1194"/>
      <c r="AF145" s="1194"/>
      <c r="AG145" s="1194"/>
      <c r="AH145" s="1194"/>
      <c r="AI145" s="1194"/>
      <c r="AJ145" s="1194"/>
      <c r="AK145" s="1194"/>
      <c r="AL145" s="1194"/>
      <c r="AM145" s="1194"/>
      <c r="AN145" s="1194"/>
    </row>
    <row r="146" spans="1:40" s="156" customFormat="1">
      <c r="A146" s="1258"/>
      <c r="B146" s="1194"/>
      <c r="C146" s="1194"/>
      <c r="D146" s="1194"/>
      <c r="E146" s="1194"/>
      <c r="F146" s="1194"/>
      <c r="G146" s="1194"/>
      <c r="H146" s="1194"/>
      <c r="I146" s="1195"/>
      <c r="J146" s="1195"/>
      <c r="K146" s="1195"/>
      <c r="L146" s="1195"/>
      <c r="M146" s="1195"/>
      <c r="N146" s="1195"/>
      <c r="O146" s="1195"/>
      <c r="P146" s="1195"/>
      <c r="Q146" s="1195"/>
      <c r="R146" s="1195"/>
      <c r="S146" s="1195"/>
      <c r="T146" s="1195"/>
      <c r="U146" s="1195"/>
      <c r="V146" s="1195"/>
      <c r="W146" s="1195"/>
      <c r="X146" s="1195"/>
      <c r="Y146" s="1195"/>
      <c r="Z146" s="1195"/>
      <c r="AA146" s="1195"/>
      <c r="AB146" s="1195"/>
      <c r="AC146" s="1195"/>
      <c r="AD146" s="1194"/>
      <c r="AE146" s="1194"/>
      <c r="AF146" s="1194"/>
      <c r="AG146" s="1194"/>
      <c r="AH146" s="1194"/>
      <c r="AI146" s="1194"/>
      <c r="AJ146" s="1194"/>
      <c r="AK146" s="1194"/>
      <c r="AL146" s="1194"/>
      <c r="AM146" s="1194"/>
      <c r="AN146" s="1194"/>
    </row>
    <row r="147" spans="1:40" s="156" customFormat="1">
      <c r="A147" s="1258"/>
      <c r="B147" s="1194"/>
      <c r="C147" s="1194"/>
      <c r="D147" s="1194"/>
      <c r="E147" s="1194"/>
      <c r="F147" s="1194"/>
      <c r="G147" s="1194"/>
      <c r="H147" s="1194"/>
      <c r="I147" s="1195"/>
      <c r="J147" s="1195"/>
      <c r="K147" s="1195"/>
      <c r="L147" s="1195"/>
      <c r="M147" s="1195"/>
      <c r="N147" s="1195"/>
      <c r="O147" s="1195"/>
      <c r="P147" s="1195"/>
      <c r="Q147" s="1195"/>
      <c r="R147" s="1195"/>
      <c r="S147" s="1195"/>
      <c r="T147" s="1195"/>
      <c r="U147" s="1195"/>
      <c r="V147" s="1195"/>
      <c r="W147" s="1195"/>
      <c r="X147" s="1195"/>
      <c r="Y147" s="1195"/>
      <c r="Z147" s="1195"/>
      <c r="AA147" s="1195"/>
      <c r="AB147" s="1195"/>
      <c r="AC147" s="1195"/>
      <c r="AD147" s="1194"/>
      <c r="AE147" s="1194"/>
      <c r="AF147" s="1194"/>
      <c r="AG147" s="1194"/>
      <c r="AH147" s="1194"/>
      <c r="AI147" s="1194"/>
      <c r="AJ147" s="1194"/>
      <c r="AK147" s="1194"/>
      <c r="AL147" s="1194"/>
      <c r="AM147" s="1194"/>
      <c r="AN147" s="1194"/>
    </row>
    <row r="148" spans="1:40" s="156" customFormat="1">
      <c r="A148" s="1258"/>
      <c r="B148" s="1194"/>
      <c r="C148" s="1194"/>
      <c r="D148" s="1194"/>
      <c r="E148" s="1194"/>
      <c r="F148" s="1194"/>
      <c r="G148" s="1194"/>
      <c r="H148" s="1194"/>
      <c r="I148" s="1195"/>
      <c r="J148" s="1195"/>
      <c r="K148" s="1195"/>
      <c r="L148" s="1195"/>
      <c r="M148" s="1195"/>
      <c r="N148" s="1195"/>
      <c r="O148" s="1195"/>
      <c r="P148" s="1195"/>
      <c r="Q148" s="1195"/>
      <c r="R148" s="1195"/>
      <c r="S148" s="1195"/>
      <c r="T148" s="1195"/>
      <c r="U148" s="1195"/>
      <c r="V148" s="1195"/>
      <c r="W148" s="1195"/>
      <c r="X148" s="1195"/>
      <c r="Y148" s="1195"/>
      <c r="Z148" s="1195"/>
      <c r="AA148" s="1195"/>
      <c r="AB148" s="1195"/>
      <c r="AC148" s="1195"/>
      <c r="AD148" s="1194"/>
      <c r="AE148" s="1194"/>
      <c r="AF148" s="1194"/>
      <c r="AG148" s="1194"/>
      <c r="AH148" s="1194"/>
      <c r="AI148" s="1194"/>
      <c r="AJ148" s="1194"/>
      <c r="AK148" s="1194"/>
      <c r="AL148" s="1194"/>
      <c r="AM148" s="1194"/>
      <c r="AN148" s="1194"/>
    </row>
    <row r="149" spans="1:40" s="156" customFormat="1">
      <c r="A149" s="1258"/>
      <c r="B149" s="1194"/>
      <c r="C149" s="1194"/>
      <c r="D149" s="1194"/>
      <c r="E149" s="1194"/>
      <c r="F149" s="1194"/>
      <c r="G149" s="1194"/>
      <c r="H149" s="1194"/>
      <c r="I149" s="1195"/>
      <c r="J149" s="1195"/>
      <c r="K149" s="1195"/>
      <c r="L149" s="1195"/>
      <c r="M149" s="1195"/>
      <c r="N149" s="1195"/>
      <c r="O149" s="1195"/>
      <c r="P149" s="1195"/>
      <c r="Q149" s="1195"/>
      <c r="R149" s="1195"/>
      <c r="S149" s="1195"/>
      <c r="T149" s="1195"/>
      <c r="U149" s="1195"/>
      <c r="V149" s="1195"/>
      <c r="W149" s="1195"/>
      <c r="X149" s="1195"/>
      <c r="Y149" s="1195"/>
      <c r="Z149" s="1195"/>
      <c r="AA149" s="1195"/>
      <c r="AB149" s="1195"/>
      <c r="AC149" s="1195"/>
      <c r="AD149" s="1194"/>
      <c r="AE149" s="1194"/>
      <c r="AF149" s="1194"/>
      <c r="AG149" s="1194"/>
      <c r="AH149" s="1194"/>
      <c r="AI149" s="1194"/>
      <c r="AJ149" s="1194"/>
      <c r="AK149" s="1194"/>
      <c r="AL149" s="1194"/>
      <c r="AM149" s="1194"/>
      <c r="AN149" s="1194"/>
    </row>
    <row r="150" spans="1:40" s="156" customFormat="1">
      <c r="A150" s="1258"/>
      <c r="B150" s="1194"/>
      <c r="C150" s="1194"/>
      <c r="D150" s="1194"/>
      <c r="E150" s="1194"/>
      <c r="F150" s="1194"/>
      <c r="G150" s="1194"/>
      <c r="H150" s="1194"/>
      <c r="I150" s="1195"/>
      <c r="J150" s="1195"/>
      <c r="K150" s="1195"/>
      <c r="L150" s="1195"/>
      <c r="M150" s="1195"/>
      <c r="N150" s="1195"/>
      <c r="O150" s="1195"/>
      <c r="P150" s="1195"/>
      <c r="Q150" s="1195"/>
      <c r="R150" s="1195"/>
      <c r="S150" s="1195"/>
      <c r="T150" s="1195"/>
      <c r="U150" s="1195"/>
      <c r="V150" s="1195"/>
      <c r="W150" s="1195"/>
      <c r="X150" s="1195"/>
      <c r="Y150" s="1195"/>
      <c r="Z150" s="1195"/>
      <c r="AA150" s="1195"/>
      <c r="AB150" s="1195"/>
      <c r="AC150" s="1195"/>
      <c r="AD150" s="1194"/>
      <c r="AE150" s="1194"/>
      <c r="AF150" s="1194"/>
      <c r="AG150" s="1194"/>
      <c r="AH150" s="1194"/>
      <c r="AI150" s="1194"/>
      <c r="AJ150" s="1194"/>
      <c r="AK150" s="1194"/>
      <c r="AL150" s="1194"/>
      <c r="AM150" s="1194"/>
      <c r="AN150" s="1194"/>
    </row>
    <row r="151" spans="1:40" s="156" customFormat="1">
      <c r="A151" s="1258"/>
      <c r="B151" s="1194"/>
      <c r="C151" s="1194"/>
      <c r="D151" s="1194"/>
      <c r="E151" s="1194"/>
      <c r="F151" s="1194"/>
      <c r="G151" s="1194"/>
      <c r="H151" s="1194"/>
      <c r="I151" s="1195"/>
      <c r="J151" s="1195"/>
      <c r="K151" s="1195"/>
      <c r="L151" s="1195"/>
      <c r="M151" s="1195"/>
      <c r="N151" s="1195"/>
      <c r="O151" s="1195"/>
      <c r="P151" s="1195"/>
      <c r="Q151" s="1195"/>
      <c r="R151" s="1195"/>
      <c r="S151" s="1195"/>
      <c r="T151" s="1195"/>
      <c r="U151" s="1195"/>
      <c r="V151" s="1195"/>
      <c r="W151" s="1195"/>
      <c r="X151" s="1195"/>
      <c r="Y151" s="1195"/>
      <c r="Z151" s="1195"/>
      <c r="AA151" s="1195"/>
      <c r="AB151" s="1195"/>
      <c r="AC151" s="1195"/>
      <c r="AD151" s="1194"/>
      <c r="AE151" s="1194"/>
      <c r="AF151" s="1194"/>
      <c r="AG151" s="1194"/>
      <c r="AH151" s="1194"/>
      <c r="AI151" s="1194"/>
      <c r="AJ151" s="1194"/>
      <c r="AK151" s="1194"/>
      <c r="AL151" s="1194"/>
      <c r="AM151" s="1194"/>
      <c r="AN151" s="1194"/>
    </row>
    <row r="152" spans="1:40" s="156" customFormat="1">
      <c r="A152" s="1258"/>
      <c r="B152" s="1194"/>
      <c r="C152" s="1194"/>
      <c r="D152" s="1194"/>
      <c r="E152" s="1194"/>
      <c r="F152" s="1194"/>
      <c r="G152" s="1194"/>
      <c r="H152" s="1194"/>
      <c r="I152" s="1195"/>
      <c r="J152" s="1195"/>
      <c r="K152" s="1195"/>
      <c r="L152" s="1195"/>
      <c r="M152" s="1195"/>
      <c r="N152" s="1195"/>
      <c r="O152" s="1195"/>
      <c r="P152" s="1195"/>
      <c r="Q152" s="1195"/>
      <c r="R152" s="1195"/>
      <c r="S152" s="1195"/>
      <c r="T152" s="1195"/>
      <c r="U152" s="1195"/>
      <c r="V152" s="1195"/>
      <c r="W152" s="1195"/>
      <c r="X152" s="1195"/>
      <c r="Y152" s="1195"/>
      <c r="Z152" s="1195"/>
      <c r="AA152" s="1195"/>
      <c r="AB152" s="1195"/>
      <c r="AC152" s="1195"/>
      <c r="AD152" s="1194"/>
      <c r="AE152" s="1194"/>
      <c r="AF152" s="1194"/>
      <c r="AG152" s="1194"/>
      <c r="AH152" s="1194"/>
      <c r="AI152" s="1194"/>
      <c r="AJ152" s="1194"/>
      <c r="AK152" s="1194"/>
      <c r="AL152" s="1194"/>
      <c r="AM152" s="1194"/>
      <c r="AN152" s="1194"/>
    </row>
    <row r="153" spans="1:40" s="156" customFormat="1">
      <c r="A153" s="1258"/>
      <c r="B153" s="1194"/>
      <c r="C153" s="1194"/>
      <c r="D153" s="1194"/>
      <c r="E153" s="1194"/>
      <c r="F153" s="1194"/>
      <c r="G153" s="1194"/>
      <c r="H153" s="1194"/>
      <c r="I153" s="1195"/>
      <c r="J153" s="1195"/>
      <c r="K153" s="1195"/>
      <c r="L153" s="1195"/>
      <c r="M153" s="1195"/>
      <c r="N153" s="1195"/>
      <c r="O153" s="1195"/>
      <c r="P153" s="1195"/>
      <c r="Q153" s="1195"/>
      <c r="R153" s="1195"/>
      <c r="S153" s="1195"/>
      <c r="T153" s="1195"/>
      <c r="U153" s="1195"/>
      <c r="V153" s="1195"/>
      <c r="W153" s="1195"/>
      <c r="X153" s="1195"/>
      <c r="Y153" s="1195"/>
      <c r="Z153" s="1195"/>
      <c r="AA153" s="1195"/>
      <c r="AB153" s="1195"/>
      <c r="AC153" s="1195"/>
      <c r="AD153" s="1194"/>
      <c r="AE153" s="1194"/>
      <c r="AF153" s="1194"/>
      <c r="AG153" s="1194"/>
      <c r="AH153" s="1194"/>
      <c r="AI153" s="1194"/>
      <c r="AJ153" s="1194"/>
      <c r="AK153" s="1194"/>
      <c r="AL153" s="1194"/>
      <c r="AM153" s="1194"/>
      <c r="AN153" s="1194"/>
    </row>
    <row r="154" spans="1:40" s="156" customFormat="1">
      <c r="A154" s="1258"/>
      <c r="B154" s="1194"/>
      <c r="C154" s="1194"/>
      <c r="D154" s="1194"/>
      <c r="E154" s="1194"/>
      <c r="F154" s="1194"/>
      <c r="G154" s="1194"/>
      <c r="H154" s="1194"/>
      <c r="I154" s="1195"/>
      <c r="J154" s="1195"/>
      <c r="K154" s="1195"/>
      <c r="L154" s="1195"/>
      <c r="M154" s="1195"/>
      <c r="N154" s="1195"/>
      <c r="O154" s="1195"/>
      <c r="P154" s="1195"/>
      <c r="Q154" s="1195"/>
      <c r="R154" s="1195"/>
      <c r="S154" s="1195"/>
      <c r="T154" s="1195"/>
      <c r="U154" s="1195"/>
      <c r="V154" s="1195"/>
      <c r="W154" s="1195"/>
      <c r="X154" s="1195"/>
      <c r="Y154" s="1195"/>
      <c r="Z154" s="1195"/>
      <c r="AA154" s="1195"/>
      <c r="AB154" s="1195"/>
      <c r="AC154" s="1195"/>
      <c r="AD154" s="1194"/>
      <c r="AE154" s="1194"/>
      <c r="AF154" s="1194"/>
      <c r="AG154" s="1194"/>
      <c r="AH154" s="1194"/>
      <c r="AI154" s="1194"/>
      <c r="AJ154" s="1194"/>
      <c r="AK154" s="1194"/>
      <c r="AL154" s="1194"/>
      <c r="AM154" s="1194"/>
      <c r="AN154" s="1194"/>
    </row>
    <row r="155" spans="1:40" s="156" customFormat="1">
      <c r="A155" s="1258"/>
      <c r="B155" s="1194"/>
      <c r="C155" s="1194"/>
      <c r="D155" s="1194"/>
      <c r="E155" s="1194"/>
      <c r="F155" s="1194"/>
      <c r="G155" s="1194"/>
      <c r="H155" s="1194"/>
      <c r="I155" s="1195"/>
      <c r="J155" s="1195"/>
      <c r="K155" s="1195"/>
      <c r="L155" s="1195"/>
      <c r="M155" s="1195"/>
      <c r="N155" s="1195"/>
      <c r="O155" s="1195"/>
      <c r="P155" s="1195"/>
      <c r="Q155" s="1195"/>
      <c r="R155" s="1195"/>
      <c r="S155" s="1195"/>
      <c r="T155" s="1195"/>
      <c r="U155" s="1195"/>
      <c r="V155" s="1195"/>
      <c r="W155" s="1195"/>
      <c r="X155" s="1195"/>
      <c r="Y155" s="1195"/>
      <c r="Z155" s="1195"/>
      <c r="AA155" s="1195"/>
      <c r="AB155" s="1195"/>
      <c r="AC155" s="1195"/>
      <c r="AD155" s="1194"/>
      <c r="AE155" s="1194"/>
      <c r="AF155" s="1194"/>
      <c r="AG155" s="1194"/>
      <c r="AH155" s="1194"/>
      <c r="AI155" s="1194"/>
      <c r="AJ155" s="1194"/>
      <c r="AK155" s="1194"/>
      <c r="AL155" s="1194"/>
      <c r="AM155" s="1194"/>
      <c r="AN155" s="1194"/>
    </row>
    <row r="156" spans="1:40" s="156" customFormat="1">
      <c r="A156" s="1258"/>
      <c r="B156" s="1194"/>
      <c r="C156" s="1194"/>
      <c r="D156" s="1194"/>
      <c r="E156" s="1194"/>
      <c r="F156" s="1194"/>
      <c r="G156" s="1194"/>
      <c r="H156" s="1194"/>
      <c r="I156" s="1195"/>
      <c r="J156" s="1195"/>
      <c r="K156" s="1195"/>
      <c r="L156" s="1195"/>
      <c r="M156" s="1195"/>
      <c r="N156" s="1195"/>
      <c r="O156" s="1195"/>
      <c r="P156" s="1195"/>
      <c r="Q156" s="1195"/>
      <c r="R156" s="1195"/>
      <c r="S156" s="1195"/>
      <c r="T156" s="1195"/>
      <c r="U156" s="1195"/>
      <c r="V156" s="1195"/>
      <c r="W156" s="1195"/>
      <c r="X156" s="1195"/>
      <c r="Y156" s="1195"/>
      <c r="Z156" s="1195"/>
      <c r="AA156" s="1195"/>
      <c r="AB156" s="1195"/>
      <c r="AC156" s="1195"/>
      <c r="AD156" s="1194"/>
      <c r="AE156" s="1194"/>
      <c r="AF156" s="1194"/>
      <c r="AG156" s="1194"/>
      <c r="AH156" s="1194"/>
      <c r="AI156" s="1194"/>
      <c r="AJ156" s="1194"/>
      <c r="AK156" s="1194"/>
      <c r="AL156" s="1194"/>
      <c r="AM156" s="1194"/>
      <c r="AN156" s="1194"/>
    </row>
    <row r="157" spans="1:40" s="156" customFormat="1">
      <c r="A157" s="1258"/>
      <c r="B157" s="1194"/>
      <c r="C157" s="1194"/>
      <c r="D157" s="1194"/>
      <c r="E157" s="1194"/>
      <c r="F157" s="1194"/>
      <c r="G157" s="1194"/>
      <c r="H157" s="1194"/>
      <c r="I157" s="1195"/>
      <c r="J157" s="1195"/>
      <c r="K157" s="1195"/>
      <c r="L157" s="1195"/>
      <c r="M157" s="1195"/>
      <c r="N157" s="1195"/>
      <c r="O157" s="1195"/>
      <c r="P157" s="1195"/>
      <c r="Q157" s="1195"/>
      <c r="R157" s="1195"/>
      <c r="S157" s="1195"/>
      <c r="T157" s="1195"/>
      <c r="U157" s="1195"/>
      <c r="V157" s="1195"/>
      <c r="W157" s="1195"/>
      <c r="X157" s="1195"/>
      <c r="Y157" s="1195"/>
      <c r="Z157" s="1195"/>
      <c r="AA157" s="1195"/>
      <c r="AB157" s="1195"/>
      <c r="AC157" s="1195"/>
      <c r="AD157" s="1194"/>
      <c r="AE157" s="1194"/>
      <c r="AF157" s="1194"/>
      <c r="AG157" s="1194"/>
      <c r="AH157" s="1194"/>
      <c r="AI157" s="1194"/>
      <c r="AJ157" s="1194"/>
      <c r="AK157" s="1194"/>
      <c r="AL157" s="1194"/>
      <c r="AM157" s="1194"/>
      <c r="AN157" s="1194"/>
    </row>
    <row r="158" spans="1:40" s="156" customFormat="1">
      <c r="A158" s="1258"/>
      <c r="B158" s="1194"/>
      <c r="C158" s="1194"/>
      <c r="D158" s="1194"/>
      <c r="E158" s="1194"/>
      <c r="F158" s="1194"/>
      <c r="G158" s="1194"/>
      <c r="H158" s="1194"/>
      <c r="I158" s="1195"/>
      <c r="J158" s="1195"/>
      <c r="K158" s="1195"/>
      <c r="L158" s="1195"/>
      <c r="M158" s="1195"/>
      <c r="N158" s="1195"/>
      <c r="O158" s="1195"/>
      <c r="P158" s="1195"/>
      <c r="Q158" s="1195"/>
      <c r="R158" s="1195"/>
      <c r="S158" s="1195"/>
      <c r="T158" s="1195"/>
      <c r="U158" s="1195"/>
      <c r="V158" s="1195"/>
      <c r="W158" s="1195"/>
      <c r="X158" s="1195"/>
      <c r="Y158" s="1195"/>
      <c r="Z158" s="1195"/>
      <c r="AA158" s="1195"/>
      <c r="AB158" s="1195"/>
      <c r="AC158" s="1195"/>
      <c r="AD158" s="1194"/>
      <c r="AE158" s="1194"/>
      <c r="AF158" s="1194"/>
      <c r="AG158" s="1194"/>
      <c r="AH158" s="1194"/>
      <c r="AI158" s="1194"/>
      <c r="AJ158" s="1194"/>
      <c r="AK158" s="1194"/>
      <c r="AL158" s="1194"/>
      <c r="AM158" s="1194"/>
      <c r="AN158" s="1194"/>
    </row>
    <row r="159" spans="1:40" s="156" customFormat="1">
      <c r="A159" s="1258"/>
      <c r="B159" s="1194"/>
      <c r="C159" s="1194"/>
      <c r="D159" s="1194"/>
      <c r="E159" s="1194"/>
      <c r="F159" s="1194"/>
      <c r="G159" s="1194"/>
      <c r="H159" s="1194"/>
      <c r="I159" s="1195"/>
      <c r="J159" s="1195"/>
      <c r="K159" s="1195"/>
      <c r="L159" s="1195"/>
      <c r="M159" s="1195"/>
      <c r="N159" s="1195"/>
      <c r="O159" s="1195"/>
      <c r="P159" s="1195"/>
      <c r="Q159" s="1195"/>
      <c r="R159" s="1195"/>
      <c r="S159" s="1195"/>
      <c r="T159" s="1195"/>
      <c r="U159" s="1195"/>
      <c r="V159" s="1195"/>
      <c r="W159" s="1195"/>
      <c r="X159" s="1195"/>
      <c r="Y159" s="1195"/>
      <c r="Z159" s="1195"/>
      <c r="AA159" s="1195"/>
      <c r="AB159" s="1195"/>
      <c r="AC159" s="1195"/>
      <c r="AD159" s="1194"/>
      <c r="AE159" s="1194"/>
      <c r="AF159" s="1194"/>
      <c r="AG159" s="1194"/>
      <c r="AH159" s="1194"/>
      <c r="AI159" s="1194"/>
      <c r="AJ159" s="1194"/>
      <c r="AK159" s="1194"/>
      <c r="AL159" s="1194"/>
      <c r="AM159" s="1194"/>
      <c r="AN159" s="1194"/>
    </row>
    <row r="160" spans="1:40" s="156" customFormat="1">
      <c r="A160" s="1258"/>
      <c r="B160" s="1194"/>
      <c r="C160" s="1194"/>
      <c r="D160" s="1194"/>
      <c r="E160" s="1194"/>
      <c r="F160" s="1194"/>
      <c r="G160" s="1194"/>
      <c r="H160" s="1194"/>
      <c r="I160" s="1195"/>
      <c r="J160" s="1195"/>
      <c r="K160" s="1195"/>
      <c r="L160" s="1195"/>
      <c r="M160" s="1195"/>
      <c r="N160" s="1195"/>
      <c r="O160" s="1195"/>
      <c r="P160" s="1195"/>
      <c r="Q160" s="1195"/>
      <c r="R160" s="1195"/>
      <c r="S160" s="1195"/>
      <c r="T160" s="1195"/>
      <c r="U160" s="1195"/>
      <c r="V160" s="1195"/>
      <c r="W160" s="1195"/>
      <c r="X160" s="1195"/>
      <c r="Y160" s="1195"/>
      <c r="Z160" s="1195"/>
      <c r="AA160" s="1195"/>
      <c r="AB160" s="1195"/>
      <c r="AC160" s="1195"/>
      <c r="AD160" s="1194"/>
      <c r="AE160" s="1194"/>
      <c r="AF160" s="1194"/>
      <c r="AG160" s="1194"/>
      <c r="AH160" s="1194"/>
      <c r="AI160" s="1194"/>
      <c r="AJ160" s="1194"/>
      <c r="AK160" s="1194"/>
      <c r="AL160" s="1194"/>
      <c r="AM160" s="1194"/>
      <c r="AN160" s="1194"/>
    </row>
    <row r="161" spans="1:40" s="156" customFormat="1">
      <c r="A161" s="1258"/>
      <c r="B161" s="1194"/>
      <c r="C161" s="1194"/>
      <c r="D161" s="1194"/>
      <c r="E161" s="1194"/>
      <c r="F161" s="1194"/>
      <c r="G161" s="1194"/>
      <c r="H161" s="1194"/>
      <c r="I161" s="1195"/>
      <c r="J161" s="1195"/>
      <c r="K161" s="1195"/>
      <c r="L161" s="1195"/>
      <c r="M161" s="1195"/>
      <c r="N161" s="1195"/>
      <c r="O161" s="1195"/>
      <c r="P161" s="1195"/>
      <c r="Q161" s="1195"/>
      <c r="R161" s="1195"/>
      <c r="S161" s="1195"/>
      <c r="T161" s="1195"/>
      <c r="U161" s="1195"/>
      <c r="V161" s="1195"/>
      <c r="W161" s="1195"/>
      <c r="X161" s="1195"/>
      <c r="Y161" s="1195"/>
      <c r="Z161" s="1195"/>
      <c r="AA161" s="1195"/>
      <c r="AB161" s="1195"/>
      <c r="AC161" s="1195"/>
      <c r="AD161" s="1194"/>
      <c r="AE161" s="1194"/>
      <c r="AF161" s="1194"/>
      <c r="AG161" s="1194"/>
      <c r="AH161" s="1194"/>
      <c r="AI161" s="1194"/>
      <c r="AJ161" s="1194"/>
      <c r="AK161" s="1194"/>
      <c r="AL161" s="1194"/>
      <c r="AM161" s="1194"/>
      <c r="AN161" s="1194"/>
    </row>
    <row r="162" spans="1:40" s="156" customFormat="1">
      <c r="A162" s="1258"/>
      <c r="B162" s="1194"/>
      <c r="C162" s="1194"/>
      <c r="D162" s="1194"/>
      <c r="E162" s="1194"/>
      <c r="F162" s="1194"/>
      <c r="G162" s="1194"/>
      <c r="H162" s="1194"/>
      <c r="I162" s="1195"/>
      <c r="J162" s="1195"/>
      <c r="K162" s="1195"/>
      <c r="L162" s="1195"/>
      <c r="M162" s="1195"/>
      <c r="N162" s="1195"/>
      <c r="O162" s="1195"/>
      <c r="P162" s="1195"/>
      <c r="Q162" s="1195"/>
      <c r="R162" s="1195"/>
      <c r="S162" s="1195"/>
      <c r="T162" s="1195"/>
      <c r="U162" s="1195"/>
      <c r="V162" s="1195"/>
      <c r="W162" s="1195"/>
      <c r="X162" s="1195"/>
      <c r="Y162" s="1195"/>
      <c r="Z162" s="1195"/>
      <c r="AA162" s="1195"/>
      <c r="AB162" s="1195"/>
      <c r="AC162" s="1195"/>
      <c r="AD162" s="1194"/>
      <c r="AE162" s="1194"/>
      <c r="AF162" s="1194"/>
      <c r="AG162" s="1194"/>
      <c r="AH162" s="1194"/>
      <c r="AI162" s="1194"/>
      <c r="AJ162" s="1194"/>
      <c r="AK162" s="1194"/>
      <c r="AL162" s="1194"/>
      <c r="AM162" s="1194"/>
      <c r="AN162" s="1194"/>
    </row>
    <row r="163" spans="1:40" s="156" customFormat="1">
      <c r="A163" s="1258"/>
      <c r="B163" s="1194"/>
      <c r="C163" s="1194"/>
      <c r="D163" s="1194"/>
      <c r="E163" s="1194"/>
      <c r="F163" s="1194"/>
      <c r="G163" s="1194"/>
      <c r="H163" s="1194"/>
      <c r="I163" s="1195"/>
      <c r="J163" s="1195"/>
      <c r="K163" s="1195"/>
      <c r="L163" s="1195"/>
      <c r="M163" s="1195"/>
      <c r="N163" s="1195"/>
      <c r="O163" s="1195"/>
      <c r="P163" s="1195"/>
      <c r="Q163" s="1195"/>
      <c r="R163" s="1195"/>
      <c r="S163" s="1195"/>
      <c r="T163" s="1195"/>
      <c r="U163" s="1195"/>
      <c r="V163" s="1195"/>
      <c r="W163" s="1195"/>
      <c r="X163" s="1195"/>
      <c r="Y163" s="1195"/>
      <c r="Z163" s="1195"/>
      <c r="AA163" s="1195"/>
      <c r="AB163" s="1195"/>
      <c r="AC163" s="1195"/>
      <c r="AD163" s="1194"/>
      <c r="AE163" s="1194"/>
      <c r="AF163" s="1194"/>
      <c r="AG163" s="1194"/>
      <c r="AH163" s="1194"/>
      <c r="AI163" s="1194"/>
      <c r="AJ163" s="1194"/>
      <c r="AK163" s="1194"/>
      <c r="AL163" s="1194"/>
      <c r="AM163" s="1194"/>
      <c r="AN163" s="1194"/>
    </row>
    <row r="164" spans="1:40" s="156" customFormat="1">
      <c r="A164" s="1258"/>
      <c r="B164" s="1194"/>
      <c r="C164" s="1194"/>
      <c r="D164" s="1194"/>
      <c r="E164" s="1194"/>
      <c r="F164" s="1194"/>
      <c r="G164" s="1194"/>
      <c r="H164" s="1194"/>
      <c r="I164" s="1195"/>
      <c r="J164" s="1195"/>
      <c r="K164" s="1195"/>
      <c r="L164" s="1195"/>
      <c r="M164" s="1195"/>
      <c r="N164" s="1195"/>
      <c r="O164" s="1195"/>
      <c r="P164" s="1195"/>
      <c r="Q164" s="1195"/>
      <c r="R164" s="1195"/>
      <c r="S164" s="1195"/>
      <c r="T164" s="1195"/>
      <c r="U164" s="1195"/>
      <c r="V164" s="1195"/>
      <c r="W164" s="1195"/>
      <c r="X164" s="1195"/>
      <c r="Y164" s="1195"/>
      <c r="Z164" s="1195"/>
      <c r="AA164" s="1195"/>
      <c r="AB164" s="1195"/>
      <c r="AC164" s="1195"/>
      <c r="AD164" s="1194"/>
      <c r="AE164" s="1194"/>
      <c r="AF164" s="1194"/>
      <c r="AG164" s="1194"/>
      <c r="AH164" s="1194"/>
      <c r="AI164" s="1194"/>
      <c r="AJ164" s="1194"/>
      <c r="AK164" s="1194"/>
      <c r="AL164" s="1194"/>
      <c r="AM164" s="1194"/>
      <c r="AN164" s="1194"/>
    </row>
    <row r="165" spans="1:40" s="156" customFormat="1">
      <c r="A165" s="1258"/>
      <c r="B165" s="1194"/>
      <c r="C165" s="1194"/>
      <c r="D165" s="1194"/>
      <c r="E165" s="1194"/>
      <c r="F165" s="1194"/>
      <c r="G165" s="1194"/>
      <c r="H165" s="1194"/>
      <c r="I165" s="1195"/>
      <c r="J165" s="1195"/>
      <c r="K165" s="1195"/>
      <c r="L165" s="1195"/>
      <c r="M165" s="1195"/>
      <c r="N165" s="1195"/>
      <c r="O165" s="1195"/>
      <c r="P165" s="1195"/>
      <c r="Q165" s="1195"/>
      <c r="R165" s="1195"/>
      <c r="S165" s="1195"/>
      <c r="T165" s="1195"/>
      <c r="U165" s="1195"/>
      <c r="V165" s="1195"/>
      <c r="W165" s="1195"/>
      <c r="X165" s="1195"/>
      <c r="Y165" s="1195"/>
      <c r="Z165" s="1195"/>
      <c r="AA165" s="1195"/>
      <c r="AB165" s="1195"/>
      <c r="AC165" s="1195"/>
      <c r="AD165" s="1194"/>
      <c r="AE165" s="1194"/>
      <c r="AF165" s="1194"/>
      <c r="AG165" s="1194"/>
      <c r="AH165" s="1194"/>
      <c r="AI165" s="1194"/>
      <c r="AJ165" s="1194"/>
      <c r="AK165" s="1194"/>
      <c r="AL165" s="1194"/>
      <c r="AM165" s="1194"/>
      <c r="AN165" s="1194"/>
    </row>
    <row r="166" spans="1:40" s="156" customFormat="1">
      <c r="A166" s="1258"/>
      <c r="B166" s="1194"/>
      <c r="C166" s="1194"/>
      <c r="D166" s="1194"/>
      <c r="E166" s="1194"/>
      <c r="F166" s="1194"/>
      <c r="G166" s="1194"/>
      <c r="H166" s="1194"/>
      <c r="I166" s="1195"/>
      <c r="J166" s="1195"/>
      <c r="K166" s="1195"/>
      <c r="L166" s="1195"/>
      <c r="M166" s="1195"/>
      <c r="N166" s="1195"/>
      <c r="O166" s="1195"/>
      <c r="P166" s="1195"/>
      <c r="Q166" s="1195"/>
      <c r="R166" s="1195"/>
      <c r="S166" s="1195"/>
      <c r="T166" s="1195"/>
      <c r="U166" s="1195"/>
      <c r="V166" s="1195"/>
      <c r="W166" s="1195"/>
      <c r="X166" s="1195"/>
      <c r="Y166" s="1195"/>
      <c r="Z166" s="1195"/>
      <c r="AA166" s="1195"/>
      <c r="AB166" s="1195"/>
      <c r="AC166" s="1195"/>
      <c r="AD166" s="1194"/>
      <c r="AE166" s="1194"/>
      <c r="AF166" s="1194"/>
      <c r="AG166" s="1194"/>
      <c r="AH166" s="1194"/>
      <c r="AI166" s="1194"/>
      <c r="AJ166" s="1194"/>
      <c r="AK166" s="1194"/>
      <c r="AL166" s="1194"/>
      <c r="AM166" s="1194"/>
      <c r="AN166" s="1194"/>
    </row>
    <row r="167" spans="1:40" s="156" customFormat="1">
      <c r="A167" s="1258"/>
      <c r="B167" s="1194"/>
      <c r="C167" s="1194"/>
      <c r="D167" s="1194"/>
      <c r="E167" s="1194"/>
      <c r="F167" s="1194"/>
      <c r="G167" s="1194"/>
      <c r="H167" s="1194"/>
      <c r="I167" s="1195"/>
      <c r="J167" s="1195"/>
      <c r="K167" s="1195"/>
      <c r="L167" s="1195"/>
      <c r="M167" s="1195"/>
      <c r="N167" s="1195"/>
      <c r="O167" s="1195"/>
      <c r="P167" s="1195"/>
      <c r="Q167" s="1195"/>
      <c r="R167" s="1195"/>
      <c r="S167" s="1195"/>
      <c r="T167" s="1195"/>
      <c r="U167" s="1195"/>
      <c r="V167" s="1195"/>
      <c r="W167" s="1195"/>
      <c r="X167" s="1195"/>
      <c r="Y167" s="1195"/>
      <c r="Z167" s="1195"/>
      <c r="AA167" s="1195"/>
      <c r="AB167" s="1195"/>
      <c r="AC167" s="1195"/>
      <c r="AD167" s="1194"/>
      <c r="AE167" s="1194"/>
      <c r="AF167" s="1194"/>
      <c r="AG167" s="1194"/>
      <c r="AH167" s="1194"/>
      <c r="AI167" s="1194"/>
      <c r="AJ167" s="1194"/>
      <c r="AK167" s="1194"/>
      <c r="AL167" s="1194"/>
      <c r="AM167" s="1194"/>
      <c r="AN167" s="1194"/>
    </row>
    <row r="168" spans="1:40" s="156" customFormat="1">
      <c r="A168" s="1258"/>
      <c r="B168" s="1194"/>
      <c r="C168" s="1194"/>
      <c r="D168" s="1194"/>
      <c r="E168" s="1194"/>
      <c r="F168" s="1194"/>
      <c r="G168" s="1194"/>
      <c r="H168" s="1194"/>
      <c r="I168" s="1195"/>
      <c r="J168" s="1195"/>
      <c r="K168" s="1195"/>
      <c r="L168" s="1195"/>
      <c r="M168" s="1195"/>
      <c r="N168" s="1195"/>
      <c r="O168" s="1195"/>
      <c r="P168" s="1195"/>
      <c r="Q168" s="1195"/>
      <c r="R168" s="1195"/>
      <c r="S168" s="1195"/>
      <c r="T168" s="1195"/>
      <c r="U168" s="1195"/>
      <c r="V168" s="1195"/>
      <c r="W168" s="1195"/>
      <c r="X168" s="1195"/>
      <c r="Y168" s="1195"/>
      <c r="Z168" s="1195"/>
      <c r="AA168" s="1195"/>
      <c r="AB168" s="1195"/>
      <c r="AC168" s="1195"/>
      <c r="AD168" s="1194"/>
      <c r="AE168" s="1194"/>
      <c r="AF168" s="1194"/>
      <c r="AG168" s="1194"/>
      <c r="AH168" s="1194"/>
      <c r="AI168" s="1194"/>
      <c r="AJ168" s="1194"/>
      <c r="AK168" s="1194"/>
      <c r="AL168" s="1194"/>
      <c r="AM168" s="1194"/>
      <c r="AN168" s="1194"/>
    </row>
    <row r="169" spans="1:40" s="156" customFormat="1">
      <c r="A169" s="1258"/>
      <c r="B169" s="1194"/>
      <c r="C169" s="1194"/>
      <c r="D169" s="1194"/>
      <c r="E169" s="1194"/>
      <c r="F169" s="1194"/>
      <c r="G169" s="1194"/>
      <c r="H169" s="1194"/>
      <c r="I169" s="1195"/>
      <c r="J169" s="1195"/>
      <c r="K169" s="1195"/>
      <c r="L169" s="1195"/>
      <c r="M169" s="1195"/>
      <c r="N169" s="1195"/>
      <c r="O169" s="1195"/>
      <c r="P169" s="1195"/>
      <c r="Q169" s="1195"/>
      <c r="R169" s="1195"/>
      <c r="S169" s="1195"/>
      <c r="T169" s="1195"/>
      <c r="U169" s="1195"/>
      <c r="V169" s="1195"/>
      <c r="W169" s="1195"/>
      <c r="X169" s="1195"/>
      <c r="Y169" s="1195"/>
      <c r="Z169" s="1195"/>
      <c r="AA169" s="1195"/>
      <c r="AB169" s="1195"/>
      <c r="AC169" s="1195"/>
      <c r="AD169" s="1194"/>
      <c r="AE169" s="1194"/>
      <c r="AF169" s="1194"/>
      <c r="AG169" s="1194"/>
      <c r="AH169" s="1194"/>
      <c r="AI169" s="1194"/>
      <c r="AJ169" s="1194"/>
      <c r="AK169" s="1194"/>
      <c r="AL169" s="1194"/>
      <c r="AM169" s="1194"/>
      <c r="AN169" s="1194"/>
    </row>
    <row r="170" spans="1:40" s="156" customFormat="1">
      <c r="A170" s="1258"/>
      <c r="B170" s="1194"/>
      <c r="C170" s="1194"/>
      <c r="D170" s="1194"/>
      <c r="E170" s="1194"/>
      <c r="F170" s="1194"/>
      <c r="G170" s="1194"/>
      <c r="H170" s="1194"/>
      <c r="I170" s="1195"/>
      <c r="J170" s="1195"/>
      <c r="K170" s="1195"/>
      <c r="L170" s="1195"/>
      <c r="M170" s="1195"/>
      <c r="N170" s="1195"/>
      <c r="O170" s="1195"/>
      <c r="P170" s="1195"/>
      <c r="Q170" s="1195"/>
      <c r="R170" s="1195"/>
      <c r="S170" s="1195"/>
      <c r="T170" s="1195"/>
      <c r="U170" s="1195"/>
      <c r="V170" s="1195"/>
      <c r="W170" s="1195"/>
      <c r="X170" s="1195"/>
      <c r="Y170" s="1195"/>
      <c r="Z170" s="1195"/>
      <c r="AA170" s="1195"/>
      <c r="AB170" s="1195"/>
      <c r="AC170" s="1195"/>
      <c r="AD170" s="1194"/>
      <c r="AE170" s="1194"/>
      <c r="AF170" s="1194"/>
      <c r="AG170" s="1194"/>
      <c r="AH170" s="1194"/>
      <c r="AI170" s="1194"/>
      <c r="AJ170" s="1194"/>
      <c r="AK170" s="1194"/>
      <c r="AL170" s="1194"/>
      <c r="AM170" s="1194"/>
      <c r="AN170" s="1194"/>
    </row>
    <row r="171" spans="1:40" s="156" customFormat="1">
      <c r="A171" s="1258"/>
      <c r="B171" s="1194"/>
      <c r="C171" s="1194"/>
      <c r="D171" s="1194"/>
      <c r="E171" s="1194"/>
      <c r="F171" s="1194"/>
      <c r="G171" s="1194"/>
      <c r="H171" s="1194"/>
      <c r="I171" s="1195"/>
      <c r="J171" s="1195"/>
      <c r="K171" s="1195"/>
      <c r="L171" s="1195"/>
      <c r="M171" s="1195"/>
      <c r="N171" s="1195"/>
      <c r="O171" s="1195"/>
      <c r="P171" s="1195"/>
      <c r="Q171" s="1195"/>
      <c r="R171" s="1195"/>
      <c r="S171" s="1195"/>
      <c r="T171" s="1195"/>
      <c r="U171" s="1195"/>
      <c r="V171" s="1195"/>
      <c r="W171" s="1195"/>
      <c r="X171" s="1195"/>
      <c r="Y171" s="1195"/>
      <c r="Z171" s="1195"/>
      <c r="AA171" s="1195"/>
      <c r="AB171" s="1195"/>
      <c r="AC171" s="1195"/>
      <c r="AD171" s="1194"/>
      <c r="AE171" s="1194"/>
      <c r="AF171" s="1194"/>
      <c r="AG171" s="1194"/>
      <c r="AH171" s="1194"/>
      <c r="AI171" s="1194"/>
      <c r="AJ171" s="1194"/>
      <c r="AK171" s="1194"/>
      <c r="AL171" s="1194"/>
      <c r="AM171" s="1194"/>
      <c r="AN171" s="1194"/>
    </row>
    <row r="172" spans="1:40" s="156" customFormat="1">
      <c r="A172" s="1258"/>
      <c r="B172" s="1194"/>
      <c r="C172" s="1194"/>
      <c r="D172" s="1194"/>
      <c r="E172" s="1194"/>
      <c r="F172" s="1194"/>
      <c r="G172" s="1194"/>
      <c r="H172" s="1194"/>
      <c r="I172" s="1195"/>
      <c r="J172" s="1195"/>
      <c r="K172" s="1195"/>
      <c r="L172" s="1195"/>
      <c r="M172" s="1195"/>
      <c r="N172" s="1195"/>
      <c r="O172" s="1195"/>
      <c r="P172" s="1195"/>
      <c r="Q172" s="1195"/>
      <c r="R172" s="1195"/>
      <c r="S172" s="1195"/>
      <c r="T172" s="1195"/>
      <c r="U172" s="1195"/>
      <c r="V172" s="1195"/>
      <c r="W172" s="1195"/>
      <c r="X172" s="1195"/>
      <c r="Y172" s="1195"/>
      <c r="Z172" s="1195"/>
      <c r="AA172" s="1195"/>
      <c r="AB172" s="1195"/>
      <c r="AC172" s="1195"/>
      <c r="AD172" s="1194"/>
      <c r="AE172" s="1194"/>
      <c r="AF172" s="1194"/>
      <c r="AG172" s="1194"/>
      <c r="AH172" s="1194"/>
      <c r="AI172" s="1194"/>
      <c r="AJ172" s="1194"/>
      <c r="AK172" s="1194"/>
      <c r="AL172" s="1194"/>
      <c r="AM172" s="1194"/>
      <c r="AN172" s="1194"/>
    </row>
    <row r="173" spans="1:40" s="156" customFormat="1">
      <c r="A173" s="1258"/>
      <c r="B173" s="1194"/>
      <c r="C173" s="1194"/>
      <c r="D173" s="1194"/>
      <c r="E173" s="1194"/>
      <c r="F173" s="1194"/>
      <c r="G173" s="1194"/>
      <c r="H173" s="1194"/>
      <c r="I173" s="1195"/>
      <c r="J173" s="1195"/>
      <c r="K173" s="1195"/>
      <c r="L173" s="1195"/>
      <c r="M173" s="1195"/>
      <c r="N173" s="1195"/>
      <c r="O173" s="1195"/>
      <c r="P173" s="1195"/>
      <c r="Q173" s="1195"/>
      <c r="R173" s="1195"/>
      <c r="S173" s="1195"/>
      <c r="T173" s="1195"/>
      <c r="U173" s="1195"/>
      <c r="V173" s="1195"/>
      <c r="W173" s="1195"/>
      <c r="X173" s="1195"/>
      <c r="Y173" s="1195"/>
      <c r="Z173" s="1195"/>
      <c r="AA173" s="1195"/>
      <c r="AB173" s="1195"/>
      <c r="AC173" s="1195"/>
      <c r="AD173" s="1194"/>
      <c r="AE173" s="1194"/>
      <c r="AF173" s="1194"/>
      <c r="AG173" s="1194"/>
      <c r="AH173" s="1194"/>
      <c r="AI173" s="1194"/>
      <c r="AJ173" s="1194"/>
      <c r="AK173" s="1194"/>
      <c r="AL173" s="1194"/>
      <c r="AM173" s="1194"/>
      <c r="AN173" s="1194"/>
    </row>
    <row r="174" spans="1:40" s="156" customFormat="1">
      <c r="A174" s="1258"/>
      <c r="B174" s="1194"/>
      <c r="C174" s="1194"/>
      <c r="D174" s="1194"/>
      <c r="E174" s="1194"/>
      <c r="F174" s="1194"/>
      <c r="G174" s="1194"/>
      <c r="H174" s="1194"/>
      <c r="I174" s="1195"/>
      <c r="J174" s="1195"/>
      <c r="K174" s="1195"/>
      <c r="L174" s="1195"/>
      <c r="M174" s="1195"/>
      <c r="N174" s="1195"/>
      <c r="O174" s="1195"/>
      <c r="P174" s="1195"/>
      <c r="Q174" s="1195"/>
      <c r="R174" s="1195"/>
      <c r="S174" s="1195"/>
      <c r="T174" s="1195"/>
      <c r="U174" s="1195"/>
      <c r="V174" s="1195"/>
      <c r="W174" s="1195"/>
      <c r="X174" s="1195"/>
      <c r="Y174" s="1195"/>
      <c r="Z174" s="1195"/>
      <c r="AA174" s="1195"/>
      <c r="AB174" s="1195"/>
      <c r="AC174" s="1195"/>
      <c r="AD174" s="1194"/>
      <c r="AE174" s="1194"/>
      <c r="AF174" s="1194"/>
      <c r="AG174" s="1194"/>
      <c r="AH174" s="1194"/>
      <c r="AI174" s="1194"/>
      <c r="AJ174" s="1194"/>
      <c r="AK174" s="1194"/>
      <c r="AL174" s="1194"/>
      <c r="AM174" s="1194"/>
      <c r="AN174" s="1194"/>
    </row>
    <row r="175" spans="1:40" s="156" customFormat="1">
      <c r="A175" s="1258"/>
      <c r="B175" s="1194"/>
      <c r="C175" s="1194"/>
      <c r="D175" s="1194"/>
      <c r="E175" s="1194"/>
      <c r="F175" s="1194"/>
      <c r="G175" s="1194"/>
      <c r="H175" s="1194"/>
      <c r="I175" s="1195"/>
      <c r="J175" s="1195"/>
      <c r="K175" s="1195"/>
      <c r="L175" s="1195"/>
      <c r="M175" s="1195"/>
      <c r="N175" s="1195"/>
      <c r="O175" s="1195"/>
      <c r="P175" s="1195"/>
      <c r="Q175" s="1195"/>
      <c r="R175" s="1195"/>
      <c r="S175" s="1195"/>
      <c r="T175" s="1195"/>
      <c r="U175" s="1195"/>
      <c r="V175" s="1195"/>
      <c r="W175" s="1195"/>
      <c r="X175" s="1195"/>
      <c r="Y175" s="1195"/>
      <c r="Z175" s="1195"/>
      <c r="AA175" s="1195"/>
      <c r="AB175" s="1195"/>
      <c r="AC175" s="1195"/>
      <c r="AD175" s="1194"/>
      <c r="AE175" s="1194"/>
      <c r="AF175" s="1194"/>
      <c r="AG175" s="1194"/>
      <c r="AH175" s="1194"/>
      <c r="AI175" s="1194"/>
      <c r="AJ175" s="1194"/>
      <c r="AK175" s="1194"/>
      <c r="AL175" s="1194"/>
      <c r="AM175" s="1194"/>
      <c r="AN175" s="1194"/>
    </row>
    <row r="176" spans="1:40" s="156" customFormat="1">
      <c r="A176" s="1258"/>
      <c r="B176" s="1194"/>
      <c r="C176" s="1194"/>
      <c r="D176" s="1194"/>
      <c r="E176" s="1194"/>
      <c r="F176" s="1194"/>
      <c r="G176" s="1194"/>
      <c r="H176" s="1194"/>
      <c r="I176" s="1195"/>
      <c r="J176" s="1195"/>
      <c r="K176" s="1195"/>
      <c r="L176" s="1195"/>
      <c r="M176" s="1195"/>
      <c r="N176" s="1195"/>
      <c r="O176" s="1195"/>
      <c r="P176" s="1195"/>
      <c r="Q176" s="1195"/>
      <c r="R176" s="1195"/>
      <c r="S176" s="1195"/>
      <c r="T176" s="1195"/>
      <c r="U176" s="1195"/>
      <c r="V176" s="1195"/>
      <c r="W176" s="1195"/>
      <c r="X176" s="1195"/>
      <c r="Y176" s="1195"/>
      <c r="Z176" s="1195"/>
      <c r="AA176" s="1195"/>
      <c r="AB176" s="1195"/>
      <c r="AC176" s="1195"/>
      <c r="AD176" s="1194"/>
      <c r="AE176" s="1194"/>
      <c r="AF176" s="1194"/>
      <c r="AG176" s="1194"/>
      <c r="AH176" s="1194"/>
      <c r="AI176" s="1194"/>
      <c r="AJ176" s="1194"/>
      <c r="AK176" s="1194"/>
      <c r="AL176" s="1194"/>
      <c r="AM176" s="1194"/>
      <c r="AN176" s="1194"/>
    </row>
    <row r="177" spans="1:40" s="156" customFormat="1">
      <c r="A177" s="1258"/>
      <c r="B177" s="1194"/>
      <c r="C177" s="1194"/>
      <c r="D177" s="1194"/>
      <c r="E177" s="1194"/>
      <c r="F177" s="1194"/>
      <c r="G177" s="1194"/>
      <c r="H177" s="1194"/>
      <c r="I177" s="1195"/>
      <c r="J177" s="1195"/>
      <c r="K177" s="1195"/>
      <c r="L177" s="1195"/>
      <c r="M177" s="1195"/>
      <c r="N177" s="1195"/>
      <c r="O177" s="1195"/>
      <c r="P177" s="1195"/>
      <c r="Q177" s="1195"/>
      <c r="R177" s="1195"/>
      <c r="S177" s="1195"/>
      <c r="T177" s="1195"/>
      <c r="U177" s="1195"/>
      <c r="V177" s="1195"/>
      <c r="W177" s="1195"/>
      <c r="X177" s="1195"/>
      <c r="Y177" s="1195"/>
      <c r="Z177" s="1195"/>
      <c r="AA177" s="1195"/>
      <c r="AB177" s="1195"/>
      <c r="AC177" s="1195"/>
      <c r="AD177" s="1194"/>
      <c r="AE177" s="1194"/>
      <c r="AF177" s="1194"/>
      <c r="AG177" s="1194"/>
      <c r="AH177" s="1194"/>
      <c r="AI177" s="1194"/>
      <c r="AJ177" s="1194"/>
      <c r="AK177" s="1194"/>
      <c r="AL177" s="1194"/>
      <c r="AM177" s="1194"/>
      <c r="AN177" s="1194"/>
    </row>
    <row r="178" spans="1:40" s="156" customFormat="1">
      <c r="A178" s="1258"/>
      <c r="B178" s="1194"/>
      <c r="C178" s="1194"/>
      <c r="D178" s="1194"/>
      <c r="E178" s="1194"/>
      <c r="F178" s="1194"/>
      <c r="G178" s="1194"/>
      <c r="H178" s="1194"/>
      <c r="I178" s="1195"/>
      <c r="J178" s="1195"/>
      <c r="K178" s="1195"/>
      <c r="L178" s="1195"/>
      <c r="M178" s="1195"/>
      <c r="N178" s="1195"/>
      <c r="O178" s="1195"/>
      <c r="P178" s="1195"/>
      <c r="Q178" s="1195"/>
      <c r="R178" s="1195"/>
      <c r="S178" s="1195"/>
      <c r="T178" s="1195"/>
      <c r="U178" s="1195"/>
      <c r="V178" s="1195"/>
      <c r="W178" s="1195"/>
      <c r="X178" s="1195"/>
      <c r="Y178" s="1195"/>
      <c r="Z178" s="1195"/>
      <c r="AA178" s="1195"/>
      <c r="AB178" s="1195"/>
      <c r="AC178" s="1195"/>
      <c r="AD178" s="1194"/>
      <c r="AE178" s="1194"/>
      <c r="AF178" s="1194"/>
      <c r="AG178" s="1194"/>
      <c r="AH178" s="1194"/>
      <c r="AI178" s="1194"/>
      <c r="AJ178" s="1194"/>
      <c r="AK178" s="1194"/>
      <c r="AL178" s="1194"/>
      <c r="AM178" s="1194"/>
      <c r="AN178" s="1194"/>
    </row>
    <row r="179" spans="1:40" s="156" customFormat="1">
      <c r="A179" s="1258"/>
      <c r="B179" s="1194"/>
      <c r="C179" s="1194"/>
      <c r="D179" s="1194"/>
      <c r="E179" s="1194"/>
      <c r="F179" s="1194"/>
      <c r="G179" s="1194"/>
      <c r="H179" s="1194"/>
      <c r="I179" s="1195"/>
      <c r="J179" s="1195"/>
      <c r="K179" s="1195"/>
      <c r="L179" s="1195"/>
      <c r="M179" s="1195"/>
      <c r="N179" s="1195"/>
      <c r="O179" s="1195"/>
      <c r="P179" s="1195"/>
      <c r="Q179" s="1195"/>
      <c r="R179" s="1195"/>
      <c r="S179" s="1195"/>
      <c r="T179" s="1195"/>
      <c r="U179" s="1195"/>
      <c r="V179" s="1195"/>
      <c r="W179" s="1195"/>
      <c r="X179" s="1195"/>
      <c r="Y179" s="1195"/>
      <c r="Z179" s="1195"/>
      <c r="AA179" s="1195"/>
      <c r="AB179" s="1195"/>
      <c r="AC179" s="1195"/>
      <c r="AD179" s="1194"/>
      <c r="AE179" s="1194"/>
      <c r="AF179" s="1194"/>
      <c r="AG179" s="1194"/>
      <c r="AH179" s="1194"/>
      <c r="AI179" s="1194"/>
      <c r="AJ179" s="1194"/>
      <c r="AK179" s="1194"/>
      <c r="AL179" s="1194"/>
      <c r="AM179" s="1194"/>
      <c r="AN179" s="1194"/>
    </row>
    <row r="180" spans="1:40" s="156" customFormat="1">
      <c r="A180" s="1258"/>
      <c r="B180" s="1194"/>
      <c r="C180" s="1194"/>
      <c r="D180" s="1194"/>
      <c r="E180" s="1194"/>
      <c r="F180" s="1194"/>
      <c r="G180" s="1194"/>
      <c r="H180" s="1194"/>
      <c r="I180" s="1195"/>
      <c r="J180" s="1195"/>
      <c r="K180" s="1195"/>
      <c r="L180" s="1195"/>
      <c r="M180" s="1195"/>
      <c r="N180" s="1195"/>
      <c r="O180" s="1195"/>
      <c r="P180" s="1195"/>
      <c r="Q180" s="1195"/>
      <c r="R180" s="1195"/>
      <c r="S180" s="1195"/>
      <c r="T180" s="1195"/>
      <c r="U180" s="1195"/>
      <c r="V180" s="1195"/>
      <c r="W180" s="1195"/>
      <c r="X180" s="1195"/>
      <c r="Y180" s="1195"/>
      <c r="Z180" s="1195"/>
      <c r="AA180" s="1195"/>
      <c r="AB180" s="1195"/>
      <c r="AC180" s="1195"/>
      <c r="AD180" s="1194"/>
      <c r="AE180" s="1194"/>
      <c r="AF180" s="1194"/>
      <c r="AG180" s="1194"/>
      <c r="AH180" s="1194"/>
      <c r="AI180" s="1194"/>
      <c r="AJ180" s="1194"/>
      <c r="AK180" s="1194"/>
      <c r="AL180" s="1194"/>
      <c r="AM180" s="1194"/>
      <c r="AN180" s="1194"/>
    </row>
    <row r="181" spans="1:40" s="156" customFormat="1">
      <c r="A181" s="1258"/>
      <c r="B181" s="1194"/>
      <c r="C181" s="1194"/>
      <c r="D181" s="1194"/>
      <c r="E181" s="1194"/>
      <c r="F181" s="1194"/>
      <c r="G181" s="1194"/>
      <c r="H181" s="1194"/>
      <c r="I181" s="1195"/>
      <c r="J181" s="1195"/>
      <c r="K181" s="1195"/>
      <c r="L181" s="1195"/>
      <c r="M181" s="1195"/>
      <c r="N181" s="1195"/>
      <c r="O181" s="1195"/>
      <c r="P181" s="1195"/>
      <c r="Q181" s="1195"/>
      <c r="R181" s="1195"/>
      <c r="S181" s="1195"/>
      <c r="T181" s="1195"/>
      <c r="U181" s="1195"/>
      <c r="V181" s="1195"/>
      <c r="W181" s="1195"/>
      <c r="X181" s="1195"/>
      <c r="Y181" s="1195"/>
      <c r="Z181" s="1195"/>
      <c r="AA181" s="1195"/>
      <c r="AB181" s="1195"/>
      <c r="AC181" s="1195"/>
      <c r="AD181" s="1194"/>
      <c r="AE181" s="1194"/>
      <c r="AF181" s="1194"/>
      <c r="AG181" s="1194"/>
      <c r="AH181" s="1194"/>
      <c r="AI181" s="1194"/>
      <c r="AJ181" s="1194"/>
      <c r="AK181" s="1194"/>
      <c r="AL181" s="1194"/>
      <c r="AM181" s="1194"/>
      <c r="AN181" s="1194"/>
    </row>
    <row r="182" spans="1:40" s="156" customFormat="1">
      <c r="A182" s="1258"/>
      <c r="B182" s="1194"/>
      <c r="C182" s="1194"/>
      <c r="D182" s="1194"/>
      <c r="E182" s="1194"/>
      <c r="F182" s="1194"/>
      <c r="G182" s="1194"/>
      <c r="H182" s="1194"/>
      <c r="I182" s="1195"/>
      <c r="J182" s="1195"/>
      <c r="K182" s="1195"/>
      <c r="L182" s="1195"/>
      <c r="M182" s="1195"/>
      <c r="N182" s="1195"/>
      <c r="O182" s="1195"/>
      <c r="P182" s="1195"/>
      <c r="Q182" s="1195"/>
      <c r="R182" s="1195"/>
      <c r="S182" s="1195"/>
      <c r="T182" s="1195"/>
      <c r="U182" s="1195"/>
      <c r="V182" s="1195"/>
      <c r="W182" s="1195"/>
      <c r="X182" s="1195"/>
      <c r="Y182" s="1195"/>
      <c r="Z182" s="1195"/>
      <c r="AA182" s="1195"/>
      <c r="AB182" s="1195"/>
      <c r="AC182" s="1195"/>
      <c r="AD182" s="1194"/>
      <c r="AE182" s="1194"/>
      <c r="AF182" s="1194"/>
      <c r="AG182" s="1194"/>
      <c r="AH182" s="1194"/>
      <c r="AI182" s="1194"/>
      <c r="AJ182" s="1194"/>
      <c r="AK182" s="1194"/>
      <c r="AL182" s="1194"/>
      <c r="AM182" s="1194"/>
      <c r="AN182" s="1194"/>
    </row>
    <row r="183" spans="1:40" s="156" customFormat="1">
      <c r="A183" s="1258"/>
      <c r="B183" s="1194"/>
      <c r="C183" s="1194"/>
      <c r="D183" s="1194"/>
      <c r="E183" s="1194"/>
      <c r="F183" s="1194"/>
      <c r="G183" s="1194"/>
      <c r="H183" s="1194"/>
      <c r="I183" s="1195"/>
      <c r="J183" s="1195"/>
      <c r="K183" s="1195"/>
      <c r="L183" s="1195"/>
      <c r="M183" s="1195"/>
      <c r="N183" s="1195"/>
      <c r="O183" s="1195"/>
      <c r="P183" s="1195"/>
      <c r="Q183" s="1195"/>
      <c r="R183" s="1195"/>
      <c r="S183" s="1195"/>
      <c r="T183" s="1195"/>
      <c r="U183" s="1195"/>
      <c r="V183" s="1195"/>
      <c r="W183" s="1195"/>
      <c r="X183" s="1195"/>
      <c r="Y183" s="1195"/>
      <c r="Z183" s="1195"/>
      <c r="AA183" s="1195"/>
      <c r="AB183" s="1195"/>
      <c r="AC183" s="1195"/>
      <c r="AD183" s="1194"/>
      <c r="AE183" s="1194"/>
      <c r="AF183" s="1194"/>
      <c r="AG183" s="1194"/>
      <c r="AH183" s="1194"/>
      <c r="AI183" s="1194"/>
      <c r="AJ183" s="1194"/>
      <c r="AK183" s="1194"/>
      <c r="AL183" s="1194"/>
      <c r="AM183" s="1194"/>
      <c r="AN183" s="1194"/>
    </row>
    <row r="184" spans="1:40" s="156" customFormat="1">
      <c r="A184" s="1258"/>
      <c r="B184" s="1194"/>
      <c r="C184" s="1194"/>
      <c r="D184" s="1194"/>
      <c r="E184" s="1194"/>
      <c r="F184" s="1194"/>
      <c r="G184" s="1194"/>
      <c r="H184" s="1194"/>
      <c r="I184" s="1195"/>
      <c r="J184" s="1195"/>
      <c r="K184" s="1195"/>
      <c r="L184" s="1195"/>
      <c r="M184" s="1195"/>
      <c r="N184" s="1195"/>
      <c r="O184" s="1195"/>
      <c r="P184" s="1195"/>
      <c r="Q184" s="1195"/>
      <c r="R184" s="1195"/>
      <c r="S184" s="1195"/>
      <c r="T184" s="1195"/>
      <c r="U184" s="1195"/>
      <c r="V184" s="1195"/>
      <c r="W184" s="1195"/>
      <c r="X184" s="1195"/>
      <c r="Y184" s="1195"/>
      <c r="Z184" s="1195"/>
      <c r="AA184" s="1195"/>
      <c r="AB184" s="1195"/>
      <c r="AC184" s="1195"/>
      <c r="AD184" s="1194"/>
      <c r="AE184" s="1194"/>
      <c r="AF184" s="1194"/>
      <c r="AG184" s="1194"/>
      <c r="AH184" s="1194"/>
      <c r="AI184" s="1194"/>
      <c r="AJ184" s="1194"/>
      <c r="AK184" s="1194"/>
      <c r="AL184" s="1194"/>
      <c r="AM184" s="1194"/>
      <c r="AN184" s="1194"/>
    </row>
    <row r="185" spans="1:40" s="156" customFormat="1">
      <c r="A185" s="1258"/>
      <c r="B185" s="1194"/>
      <c r="C185" s="1194"/>
      <c r="D185" s="1194"/>
      <c r="E185" s="1194"/>
      <c r="F185" s="1194"/>
      <c r="G185" s="1194"/>
      <c r="H185" s="1194"/>
      <c r="I185" s="1195"/>
      <c r="J185" s="1195"/>
      <c r="K185" s="1195"/>
      <c r="L185" s="1195"/>
      <c r="M185" s="1195"/>
      <c r="N185" s="1195"/>
      <c r="O185" s="1195"/>
      <c r="P185" s="1195"/>
      <c r="Q185" s="1195"/>
      <c r="R185" s="1195"/>
      <c r="S185" s="1195"/>
      <c r="T185" s="1195"/>
      <c r="U185" s="1195"/>
      <c r="V185" s="1195"/>
      <c r="W185" s="1195"/>
      <c r="X185" s="1195"/>
      <c r="Y185" s="1195"/>
      <c r="Z185" s="1195"/>
      <c r="AA185" s="1195"/>
      <c r="AB185" s="1195"/>
      <c r="AC185" s="1195"/>
      <c r="AD185" s="1194"/>
      <c r="AE185" s="1194"/>
      <c r="AF185" s="1194"/>
      <c r="AG185" s="1194"/>
      <c r="AH185" s="1194"/>
      <c r="AI185" s="1194"/>
      <c r="AJ185" s="1194"/>
      <c r="AK185" s="1194"/>
      <c r="AL185" s="1194"/>
      <c r="AM185" s="1194"/>
      <c r="AN185" s="1194"/>
    </row>
    <row r="186" spans="1:40" s="156" customFormat="1">
      <c r="A186" s="1258"/>
      <c r="B186" s="1194"/>
      <c r="C186" s="1194"/>
      <c r="D186" s="1194"/>
      <c r="E186" s="1194"/>
      <c r="F186" s="1194"/>
      <c r="G186" s="1194"/>
      <c r="H186" s="1194"/>
      <c r="I186" s="1195"/>
      <c r="J186" s="1195"/>
      <c r="K186" s="1195"/>
      <c r="L186" s="1195"/>
      <c r="M186" s="1195"/>
      <c r="N186" s="1195"/>
      <c r="O186" s="1195"/>
      <c r="P186" s="1195"/>
      <c r="Q186" s="1195"/>
      <c r="R186" s="1195"/>
      <c r="S186" s="1195"/>
      <c r="T186" s="1195"/>
      <c r="U186" s="1195"/>
      <c r="V186" s="1195"/>
      <c r="W186" s="1195"/>
      <c r="X186" s="1195"/>
      <c r="Y186" s="1195"/>
      <c r="Z186" s="1195"/>
      <c r="AA186" s="1195"/>
      <c r="AB186" s="1195"/>
      <c r="AC186" s="1195"/>
      <c r="AD186" s="1194"/>
      <c r="AE186" s="1194"/>
      <c r="AF186" s="1194"/>
      <c r="AG186" s="1194"/>
      <c r="AH186" s="1194"/>
      <c r="AI186" s="1194"/>
      <c r="AJ186" s="1194"/>
      <c r="AK186" s="1194"/>
      <c r="AL186" s="1194"/>
      <c r="AM186" s="1194"/>
      <c r="AN186" s="1194"/>
    </row>
    <row r="187" spans="1:40" s="156" customFormat="1">
      <c r="A187" s="1258"/>
      <c r="B187" s="1194"/>
      <c r="C187" s="1194"/>
      <c r="D187" s="1194"/>
      <c r="E187" s="1194"/>
      <c r="F187" s="1194"/>
      <c r="G187" s="1194"/>
      <c r="H187" s="1194"/>
      <c r="I187" s="1195"/>
      <c r="J187" s="1195"/>
      <c r="K187" s="1195"/>
      <c r="L187" s="1195"/>
      <c r="M187" s="1195"/>
      <c r="N187" s="1195"/>
      <c r="O187" s="1195"/>
      <c r="P187" s="1195"/>
      <c r="Q187" s="1195"/>
      <c r="R187" s="1195"/>
      <c r="S187" s="1195"/>
      <c r="T187" s="1195"/>
      <c r="U187" s="1195"/>
      <c r="V187" s="1195"/>
      <c r="W187" s="1195"/>
      <c r="X187" s="1195"/>
      <c r="Y187" s="1195"/>
      <c r="Z187" s="1195"/>
      <c r="AA187" s="1195"/>
      <c r="AB187" s="1195"/>
      <c r="AC187" s="1195"/>
      <c r="AD187" s="1194"/>
      <c r="AE187" s="1194"/>
      <c r="AF187" s="1194"/>
      <c r="AG187" s="1194"/>
      <c r="AH187" s="1194"/>
      <c r="AI187" s="1194"/>
      <c r="AJ187" s="1194"/>
      <c r="AK187" s="1194"/>
      <c r="AL187" s="1194"/>
      <c r="AM187" s="1194"/>
      <c r="AN187" s="1194"/>
    </row>
    <row r="188" spans="1:40" s="156" customFormat="1">
      <c r="A188" s="1258"/>
      <c r="B188" s="1194"/>
      <c r="C188" s="1194"/>
      <c r="D188" s="1194"/>
      <c r="E188" s="1194"/>
      <c r="F188" s="1194"/>
      <c r="G188" s="1194"/>
      <c r="H188" s="1194"/>
      <c r="I188" s="1195"/>
      <c r="J188" s="1195"/>
      <c r="K188" s="1195"/>
      <c r="L188" s="1195"/>
      <c r="M188" s="1195"/>
      <c r="N188" s="1195"/>
      <c r="O188" s="1195"/>
      <c r="P188" s="1195"/>
      <c r="Q188" s="1195"/>
      <c r="R188" s="1195"/>
      <c r="S188" s="1195"/>
      <c r="T188" s="1195"/>
      <c r="U188" s="1195"/>
      <c r="V188" s="1195"/>
      <c r="W188" s="1195"/>
      <c r="X188" s="1195"/>
      <c r="Y188" s="1195"/>
      <c r="Z188" s="1195"/>
      <c r="AA188" s="1195"/>
      <c r="AB188" s="1195"/>
      <c r="AC188" s="1195"/>
      <c r="AD188" s="1194"/>
      <c r="AE188" s="1194"/>
      <c r="AF188" s="1194"/>
      <c r="AG188" s="1194"/>
      <c r="AH188" s="1194"/>
      <c r="AI188" s="1194"/>
      <c r="AJ188" s="1194"/>
      <c r="AK188" s="1194"/>
      <c r="AL188" s="1194"/>
      <c r="AM188" s="1194"/>
      <c r="AN188" s="1194"/>
    </row>
    <row r="189" spans="1:40" s="156" customFormat="1">
      <c r="A189" s="1258"/>
      <c r="B189" s="1194"/>
      <c r="C189" s="1194"/>
      <c r="D189" s="1194"/>
      <c r="E189" s="1194"/>
      <c r="F189" s="1194"/>
      <c r="G189" s="1194"/>
      <c r="H189" s="1194"/>
      <c r="I189" s="1195"/>
      <c r="J189" s="1195"/>
      <c r="K189" s="1195"/>
      <c r="L189" s="1195"/>
      <c r="M189" s="1195"/>
      <c r="N189" s="1195"/>
      <c r="O189" s="1195"/>
      <c r="P189" s="1195"/>
      <c r="Q189" s="1195"/>
      <c r="R189" s="1195"/>
      <c r="S189" s="1195"/>
      <c r="T189" s="1195"/>
      <c r="U189" s="1195"/>
      <c r="V189" s="1195"/>
      <c r="W189" s="1195"/>
      <c r="X189" s="1195"/>
      <c r="Y189" s="1195"/>
      <c r="Z189" s="1195"/>
      <c r="AA189" s="1195"/>
      <c r="AB189" s="1195"/>
      <c r="AC189" s="1195"/>
      <c r="AD189" s="1194"/>
      <c r="AE189" s="1194"/>
      <c r="AF189" s="1194"/>
      <c r="AG189" s="1194"/>
      <c r="AH189" s="1194"/>
      <c r="AI189" s="1194"/>
      <c r="AJ189" s="1194"/>
      <c r="AK189" s="1194"/>
      <c r="AL189" s="1194"/>
      <c r="AM189" s="1194"/>
      <c r="AN189" s="1194"/>
    </row>
    <row r="190" spans="1:40" s="156" customFormat="1">
      <c r="A190" s="1258"/>
      <c r="B190" s="1194"/>
      <c r="C190" s="1194"/>
      <c r="D190" s="1194"/>
      <c r="E190" s="1194"/>
      <c r="F190" s="1194"/>
      <c r="G190" s="1194"/>
      <c r="H190" s="1194"/>
      <c r="I190" s="1195"/>
      <c r="J190" s="1195"/>
      <c r="K190" s="1195"/>
      <c r="L190" s="1195"/>
      <c r="M190" s="1195"/>
      <c r="N190" s="1195"/>
      <c r="O190" s="1195"/>
      <c r="P190" s="1195"/>
      <c r="Q190" s="1195"/>
      <c r="R190" s="1195"/>
      <c r="S190" s="1195"/>
      <c r="T190" s="1195"/>
      <c r="U190" s="1195"/>
      <c r="V190" s="1195"/>
      <c r="W190" s="1195"/>
      <c r="X190" s="1195"/>
      <c r="Y190" s="1195"/>
      <c r="Z190" s="1195"/>
      <c r="AA190" s="1195"/>
      <c r="AB190" s="1195"/>
      <c r="AC190" s="1195"/>
      <c r="AD190" s="1194"/>
      <c r="AE190" s="1194"/>
      <c r="AF190" s="1194"/>
      <c r="AG190" s="1194"/>
      <c r="AH190" s="1194"/>
      <c r="AI190" s="1194"/>
      <c r="AJ190" s="1194"/>
      <c r="AK190" s="1194"/>
      <c r="AL190" s="1194"/>
      <c r="AM190" s="1194"/>
      <c r="AN190" s="1194"/>
    </row>
    <row r="191" spans="1:40" s="156" customFormat="1">
      <c r="A191" s="1258"/>
      <c r="B191" s="1194"/>
      <c r="C191" s="1194"/>
      <c r="D191" s="1194"/>
      <c r="E191" s="1194"/>
      <c r="F191" s="1194"/>
      <c r="G191" s="1194"/>
      <c r="H191" s="1194"/>
      <c r="I191" s="1195"/>
      <c r="J191" s="1195"/>
      <c r="K191" s="1195"/>
      <c r="L191" s="1195"/>
      <c r="M191" s="1195"/>
      <c r="N191" s="1195"/>
      <c r="O191" s="1195"/>
      <c r="P191" s="1195"/>
      <c r="Q191" s="1195"/>
      <c r="R191" s="1195"/>
      <c r="S191" s="1195"/>
      <c r="T191" s="1195"/>
      <c r="U191" s="1195"/>
      <c r="V191" s="1195"/>
      <c r="W191" s="1195"/>
      <c r="X191" s="1195"/>
      <c r="Y191" s="1195"/>
      <c r="Z191" s="1195"/>
      <c r="AA191" s="1195"/>
      <c r="AB191" s="1195"/>
      <c r="AC191" s="1195"/>
      <c r="AD191" s="1194"/>
      <c r="AE191" s="1194"/>
      <c r="AF191" s="1194"/>
      <c r="AG191" s="1194"/>
      <c r="AH191" s="1194"/>
      <c r="AI191" s="1194"/>
      <c r="AJ191" s="1194"/>
      <c r="AK191" s="1194"/>
      <c r="AL191" s="1194"/>
      <c r="AM191" s="1194"/>
      <c r="AN191" s="1194"/>
    </row>
    <row r="192" spans="1:40" s="156" customFormat="1">
      <c r="A192" s="1258"/>
      <c r="B192" s="1194"/>
      <c r="C192" s="1194"/>
      <c r="D192" s="1194"/>
      <c r="E192" s="1194"/>
      <c r="F192" s="1194"/>
      <c r="G192" s="1194"/>
      <c r="H192" s="1194"/>
      <c r="I192" s="1195"/>
      <c r="J192" s="1195"/>
      <c r="K192" s="1195"/>
      <c r="L192" s="1195"/>
      <c r="M192" s="1195"/>
      <c r="N192" s="1195"/>
      <c r="O192" s="1195"/>
      <c r="P192" s="1195"/>
      <c r="Q192" s="1195"/>
      <c r="R192" s="1195"/>
      <c r="S192" s="1195"/>
      <c r="T192" s="1195"/>
      <c r="U192" s="1195"/>
      <c r="V192" s="1195"/>
      <c r="W192" s="1195"/>
      <c r="X192" s="1195"/>
      <c r="Y192" s="1195"/>
      <c r="Z192" s="1195"/>
      <c r="AA192" s="1195"/>
      <c r="AB192" s="1195"/>
      <c r="AC192" s="1195"/>
      <c r="AD192" s="1194"/>
      <c r="AE192" s="1194"/>
      <c r="AF192" s="1194"/>
      <c r="AG192" s="1194"/>
      <c r="AH192" s="1194"/>
      <c r="AI192" s="1194"/>
      <c r="AJ192" s="1194"/>
      <c r="AK192" s="1194"/>
      <c r="AL192" s="1194"/>
      <c r="AM192" s="1194"/>
      <c r="AN192" s="1194"/>
    </row>
    <row r="193" spans="1:40" s="156" customFormat="1">
      <c r="A193" s="1258"/>
      <c r="B193" s="1194"/>
      <c r="C193" s="1194"/>
      <c r="D193" s="1194"/>
      <c r="E193" s="1194"/>
      <c r="F193" s="1194"/>
      <c r="G193" s="1194"/>
      <c r="H193" s="1194"/>
      <c r="I193" s="1195"/>
      <c r="J193" s="1195"/>
      <c r="K193" s="1195"/>
      <c r="L193" s="1195"/>
      <c r="M193" s="1195"/>
      <c r="N193" s="1195"/>
      <c r="O193" s="1195"/>
      <c r="P193" s="1195"/>
      <c r="Q193" s="1195"/>
      <c r="R193" s="1195"/>
      <c r="S193" s="1195"/>
      <c r="T193" s="1195"/>
      <c r="U193" s="1195"/>
      <c r="V193" s="1195"/>
      <c r="W193" s="1195"/>
      <c r="X193" s="1195"/>
      <c r="Y193" s="1195"/>
      <c r="Z193" s="1195"/>
      <c r="AA193" s="1195"/>
      <c r="AB193" s="1195"/>
      <c r="AC193" s="1195"/>
      <c r="AD193" s="1194"/>
      <c r="AE193" s="1194"/>
      <c r="AF193" s="1194"/>
      <c r="AG193" s="1194"/>
      <c r="AH193" s="1194"/>
      <c r="AI193" s="1194"/>
      <c r="AJ193" s="1194"/>
      <c r="AK193" s="1194"/>
      <c r="AL193" s="1194"/>
      <c r="AM193" s="1194"/>
      <c r="AN193" s="1194"/>
    </row>
    <row r="194" spans="1:40" s="156" customFormat="1">
      <c r="A194" s="1258"/>
      <c r="B194" s="1194"/>
      <c r="C194" s="1194"/>
      <c r="D194" s="1194"/>
      <c r="E194" s="1194"/>
      <c r="F194" s="1194"/>
      <c r="G194" s="1194"/>
      <c r="H194" s="1194"/>
      <c r="I194" s="1195"/>
      <c r="J194" s="1195"/>
      <c r="K194" s="1195"/>
      <c r="L194" s="1195"/>
      <c r="M194" s="1195"/>
      <c r="N194" s="1195"/>
      <c r="O194" s="1195"/>
      <c r="P194" s="1195"/>
      <c r="Q194" s="1195"/>
      <c r="R194" s="1195"/>
      <c r="S194" s="1195"/>
      <c r="T194" s="1195"/>
      <c r="U194" s="1195"/>
      <c r="V194" s="1195"/>
      <c r="W194" s="1195"/>
      <c r="X194" s="1195"/>
      <c r="Y194" s="1195"/>
      <c r="Z194" s="1195"/>
      <c r="AA194" s="1195"/>
      <c r="AB194" s="1195"/>
      <c r="AC194" s="1195"/>
      <c r="AD194" s="1194"/>
      <c r="AE194" s="1194"/>
      <c r="AF194" s="1194"/>
      <c r="AG194" s="1194"/>
      <c r="AH194" s="1194"/>
      <c r="AI194" s="1194"/>
      <c r="AJ194" s="1194"/>
      <c r="AK194" s="1194"/>
      <c r="AL194" s="1194"/>
      <c r="AM194" s="1194"/>
      <c r="AN194" s="1194"/>
    </row>
    <row r="195" spans="1:40" s="156" customFormat="1">
      <c r="A195" s="1258"/>
      <c r="B195" s="1194"/>
      <c r="C195" s="1194"/>
      <c r="D195" s="1194"/>
      <c r="E195" s="1194"/>
      <c r="F195" s="1194"/>
      <c r="G195" s="1194"/>
      <c r="H195" s="1194"/>
      <c r="I195" s="1195"/>
      <c r="J195" s="1195"/>
      <c r="K195" s="1195"/>
      <c r="L195" s="1195"/>
      <c r="M195" s="1195"/>
      <c r="N195" s="1195"/>
      <c r="O195" s="1195"/>
      <c r="P195" s="1195"/>
      <c r="Q195" s="1195"/>
      <c r="R195" s="1195"/>
      <c r="S195" s="1195"/>
      <c r="T195" s="1195"/>
      <c r="U195" s="1195"/>
      <c r="V195" s="1195"/>
      <c r="W195" s="1195"/>
      <c r="X195" s="1195"/>
      <c r="Y195" s="1195"/>
      <c r="Z195" s="1195"/>
      <c r="AA195" s="1195"/>
      <c r="AB195" s="1195"/>
      <c r="AC195" s="1195"/>
      <c r="AD195" s="1194"/>
      <c r="AE195" s="1194"/>
      <c r="AF195" s="1194"/>
      <c r="AG195" s="1194"/>
      <c r="AH195" s="1194"/>
      <c r="AI195" s="1194"/>
      <c r="AJ195" s="1194"/>
      <c r="AK195" s="1194"/>
      <c r="AL195" s="1194"/>
      <c r="AM195" s="1194"/>
      <c r="AN195" s="1194"/>
    </row>
    <row r="196" spans="1:40" s="156" customFormat="1">
      <c r="A196" s="1258"/>
      <c r="B196" s="1194"/>
      <c r="C196" s="1194"/>
      <c r="D196" s="1194"/>
      <c r="E196" s="1194"/>
      <c r="F196" s="1194"/>
      <c r="G196" s="1194"/>
      <c r="H196" s="1194"/>
      <c r="I196" s="1195"/>
      <c r="J196" s="1195"/>
      <c r="K196" s="1195"/>
      <c r="L196" s="1195"/>
      <c r="M196" s="1195"/>
      <c r="N196" s="1195"/>
      <c r="O196" s="1195"/>
      <c r="P196" s="1195"/>
      <c r="Q196" s="1195"/>
      <c r="R196" s="1195"/>
      <c r="S196" s="1195"/>
      <c r="T196" s="1195"/>
      <c r="U196" s="1195"/>
      <c r="V196" s="1195"/>
      <c r="W196" s="1195"/>
      <c r="X196" s="1195"/>
      <c r="Y196" s="1195"/>
      <c r="Z196" s="1195"/>
      <c r="AA196" s="1195"/>
      <c r="AB196" s="1195"/>
      <c r="AC196" s="1195"/>
      <c r="AD196" s="1194"/>
      <c r="AE196" s="1194"/>
      <c r="AF196" s="1194"/>
      <c r="AG196" s="1194"/>
      <c r="AH196" s="1194"/>
      <c r="AI196" s="1194"/>
      <c r="AJ196" s="1194"/>
      <c r="AK196" s="1194"/>
      <c r="AL196" s="1194"/>
      <c r="AM196" s="1194"/>
      <c r="AN196" s="1194"/>
    </row>
    <row r="197" spans="1:40" s="156" customFormat="1">
      <c r="A197" s="1258"/>
      <c r="B197" s="1194"/>
      <c r="C197" s="1194"/>
      <c r="D197" s="1194"/>
      <c r="E197" s="1194"/>
      <c r="F197" s="1194"/>
      <c r="G197" s="1194"/>
      <c r="H197" s="1194"/>
      <c r="I197" s="1195"/>
      <c r="J197" s="1195"/>
      <c r="K197" s="1195"/>
      <c r="L197" s="1195"/>
      <c r="M197" s="1195"/>
      <c r="N197" s="1195"/>
      <c r="O197" s="1195"/>
      <c r="P197" s="1195"/>
      <c r="Q197" s="1195"/>
      <c r="R197" s="1195"/>
      <c r="S197" s="1195"/>
      <c r="T197" s="1195"/>
      <c r="U197" s="1195"/>
      <c r="V197" s="1195"/>
      <c r="W197" s="1195"/>
      <c r="X197" s="1195"/>
      <c r="Y197" s="1195"/>
      <c r="Z197" s="1195"/>
      <c r="AA197" s="1195"/>
      <c r="AB197" s="1195"/>
      <c r="AC197" s="1195"/>
      <c r="AD197" s="1194"/>
      <c r="AE197" s="1194"/>
      <c r="AF197" s="1194"/>
      <c r="AG197" s="1194"/>
      <c r="AH197" s="1194"/>
      <c r="AI197" s="1194"/>
      <c r="AJ197" s="1194"/>
      <c r="AK197" s="1194"/>
      <c r="AL197" s="1194"/>
      <c r="AM197" s="1194"/>
      <c r="AN197" s="1194"/>
    </row>
    <row r="198" spans="1:40" s="156" customFormat="1">
      <c r="A198" s="1258"/>
      <c r="B198" s="1194"/>
      <c r="C198" s="1194"/>
      <c r="D198" s="1194"/>
      <c r="E198" s="1194"/>
      <c r="F198" s="1194"/>
      <c r="G198" s="1194"/>
      <c r="H198" s="1194"/>
      <c r="I198" s="1195"/>
      <c r="J198" s="1195"/>
      <c r="K198" s="1195"/>
      <c r="L198" s="1195"/>
      <c r="M198" s="1195"/>
      <c r="N198" s="1195"/>
      <c r="O198" s="1195"/>
      <c r="P198" s="1195"/>
      <c r="Q198" s="1195"/>
      <c r="R198" s="1195"/>
      <c r="S198" s="1195"/>
      <c r="T198" s="1195"/>
      <c r="U198" s="1195"/>
      <c r="V198" s="1195"/>
      <c r="W198" s="1195"/>
      <c r="X198" s="1195"/>
      <c r="Y198" s="1195"/>
      <c r="Z198" s="1195"/>
      <c r="AA198" s="1195"/>
      <c r="AB198" s="1195"/>
      <c r="AC198" s="1195"/>
      <c r="AD198" s="1194"/>
      <c r="AE198" s="1194"/>
      <c r="AF198" s="1194"/>
      <c r="AG198" s="1194"/>
      <c r="AH198" s="1194"/>
      <c r="AI198" s="1194"/>
      <c r="AJ198" s="1194"/>
      <c r="AK198" s="1194"/>
      <c r="AL198" s="1194"/>
      <c r="AM198" s="1194"/>
      <c r="AN198" s="1194"/>
    </row>
    <row r="199" spans="1:40" s="156" customFormat="1">
      <c r="A199" s="1258"/>
      <c r="B199" s="1194"/>
      <c r="C199" s="1194"/>
      <c r="D199" s="1194"/>
      <c r="E199" s="1194"/>
      <c r="F199" s="1194"/>
      <c r="G199" s="1194"/>
      <c r="H199" s="1194"/>
      <c r="I199" s="1195"/>
      <c r="J199" s="1195"/>
      <c r="K199" s="1195"/>
      <c r="L199" s="1195"/>
      <c r="M199" s="1195"/>
      <c r="N199" s="1195"/>
      <c r="O199" s="1195"/>
      <c r="P199" s="1195"/>
      <c r="Q199" s="1195"/>
      <c r="R199" s="1195"/>
      <c r="S199" s="1195"/>
      <c r="T199" s="1195"/>
      <c r="U199" s="1195"/>
      <c r="V199" s="1195"/>
      <c r="W199" s="1195"/>
      <c r="X199" s="1195"/>
      <c r="Y199" s="1195"/>
      <c r="Z199" s="1195"/>
      <c r="AA199" s="1195"/>
      <c r="AB199" s="1195"/>
      <c r="AC199" s="1195"/>
      <c r="AD199" s="1194"/>
      <c r="AE199" s="1194"/>
      <c r="AF199" s="1194"/>
      <c r="AG199" s="1194"/>
      <c r="AH199" s="1194"/>
      <c r="AI199" s="1194"/>
      <c r="AJ199" s="1194"/>
      <c r="AK199" s="1194"/>
      <c r="AL199" s="1194"/>
      <c r="AM199" s="1194"/>
      <c r="AN199" s="1194"/>
    </row>
    <row r="200" spans="1:40" s="156" customFormat="1">
      <c r="A200" s="1258"/>
      <c r="B200" s="1194"/>
      <c r="C200" s="1194"/>
      <c r="D200" s="1194"/>
      <c r="E200" s="1194"/>
      <c r="F200" s="1194"/>
      <c r="G200" s="1194"/>
      <c r="H200" s="1194"/>
      <c r="I200" s="1195"/>
      <c r="J200" s="1195"/>
      <c r="K200" s="1195"/>
      <c r="L200" s="1195"/>
      <c r="M200" s="1195"/>
      <c r="N200" s="1195"/>
      <c r="O200" s="1195"/>
      <c r="P200" s="1195"/>
      <c r="Q200" s="1195"/>
      <c r="R200" s="1195"/>
      <c r="S200" s="1195"/>
      <c r="T200" s="1195"/>
      <c r="U200" s="1195"/>
      <c r="V200" s="1195"/>
      <c r="W200" s="1195"/>
      <c r="X200" s="1195"/>
      <c r="Y200" s="1195"/>
      <c r="Z200" s="1195"/>
      <c r="AA200" s="1195"/>
      <c r="AB200" s="1195"/>
      <c r="AC200" s="1195"/>
      <c r="AD200" s="1194"/>
      <c r="AE200" s="1194"/>
      <c r="AF200" s="1194"/>
      <c r="AG200" s="1194"/>
      <c r="AH200" s="1194"/>
      <c r="AI200" s="1194"/>
      <c r="AJ200" s="1194"/>
      <c r="AK200" s="1194"/>
      <c r="AL200" s="1194"/>
      <c r="AM200" s="1194"/>
      <c r="AN200" s="1194"/>
    </row>
    <row r="201" spans="1:40" s="156" customFormat="1">
      <c r="A201" s="1258"/>
      <c r="B201" s="1194"/>
      <c r="C201" s="1194"/>
      <c r="D201" s="1194"/>
      <c r="E201" s="1194"/>
      <c r="F201" s="1194"/>
      <c r="G201" s="1194"/>
      <c r="H201" s="1194"/>
      <c r="I201" s="1195"/>
      <c r="J201" s="1195"/>
      <c r="K201" s="1195"/>
      <c r="L201" s="1195"/>
      <c r="M201" s="1195"/>
      <c r="N201" s="1195"/>
      <c r="O201" s="1195"/>
      <c r="P201" s="1195"/>
      <c r="Q201" s="1195"/>
      <c r="R201" s="1195"/>
      <c r="S201" s="1195"/>
      <c r="T201" s="1195"/>
      <c r="U201" s="1195"/>
      <c r="V201" s="1195"/>
      <c r="W201" s="1195"/>
      <c r="X201" s="1195"/>
      <c r="Y201" s="1195"/>
      <c r="Z201" s="1195"/>
      <c r="AA201" s="1195"/>
      <c r="AB201" s="1195"/>
      <c r="AC201" s="1195"/>
      <c r="AD201" s="1194"/>
      <c r="AE201" s="1194"/>
      <c r="AF201" s="1194"/>
      <c r="AG201" s="1194"/>
      <c r="AH201" s="1194"/>
      <c r="AI201" s="1194"/>
      <c r="AJ201" s="1194"/>
      <c r="AK201" s="1194"/>
      <c r="AL201" s="1194"/>
      <c r="AM201" s="1194"/>
      <c r="AN201" s="1194"/>
    </row>
    <row r="202" spans="1:40" s="156" customFormat="1">
      <c r="A202" s="1258"/>
      <c r="B202" s="1194"/>
      <c r="C202" s="1194"/>
      <c r="D202" s="1194"/>
      <c r="E202" s="1194"/>
      <c r="F202" s="1194"/>
      <c r="G202" s="1194"/>
      <c r="H202" s="1194"/>
      <c r="I202" s="1195"/>
      <c r="J202" s="1195"/>
      <c r="K202" s="1195"/>
      <c r="L202" s="1195"/>
      <c r="M202" s="1195"/>
      <c r="N202" s="1195"/>
      <c r="O202" s="1195"/>
      <c r="P202" s="1195"/>
      <c r="Q202" s="1195"/>
      <c r="R202" s="1195"/>
      <c r="S202" s="1195"/>
      <c r="T202" s="1195"/>
      <c r="U202" s="1195"/>
      <c r="V202" s="1195"/>
      <c r="W202" s="1195"/>
      <c r="X202" s="1195"/>
      <c r="Y202" s="1195"/>
      <c r="Z202" s="1195"/>
      <c r="AA202" s="1195"/>
      <c r="AB202" s="1195"/>
      <c r="AC202" s="1195"/>
      <c r="AD202" s="1194"/>
      <c r="AE202" s="1194"/>
      <c r="AF202" s="1194"/>
      <c r="AG202" s="1194"/>
      <c r="AH202" s="1194"/>
      <c r="AI202" s="1194"/>
      <c r="AJ202" s="1194"/>
      <c r="AK202" s="1194"/>
      <c r="AL202" s="1194"/>
      <c r="AM202" s="1194"/>
      <c r="AN202" s="1194"/>
    </row>
    <row r="203" spans="1:40" s="156" customFormat="1">
      <c r="A203" s="1258"/>
      <c r="B203" s="1194"/>
      <c r="C203" s="1194"/>
      <c r="D203" s="1194"/>
      <c r="E203" s="1194"/>
      <c r="F203" s="1194"/>
      <c r="G203" s="1194"/>
      <c r="H203" s="1194"/>
      <c r="I203" s="1195"/>
      <c r="J203" s="1195"/>
      <c r="K203" s="1195"/>
      <c r="L203" s="1195"/>
      <c r="M203" s="1195"/>
      <c r="N203" s="1195"/>
      <c r="O203" s="1195"/>
      <c r="P203" s="1195"/>
      <c r="Q203" s="1195"/>
      <c r="R203" s="1195"/>
      <c r="S203" s="1195"/>
      <c r="T203" s="1195"/>
      <c r="U203" s="1195"/>
      <c r="V203" s="1195"/>
      <c r="W203" s="1195"/>
      <c r="X203" s="1195"/>
      <c r="Y203" s="1195"/>
      <c r="Z203" s="1195"/>
      <c r="AA203" s="1195"/>
      <c r="AB203" s="1195"/>
      <c r="AC203" s="1195"/>
      <c r="AD203" s="1194"/>
      <c r="AE203" s="1194"/>
      <c r="AF203" s="1194"/>
      <c r="AG203" s="1194"/>
      <c r="AH203" s="1194"/>
      <c r="AI203" s="1194"/>
      <c r="AJ203" s="1194"/>
      <c r="AK203" s="1194"/>
      <c r="AL203" s="1194"/>
      <c r="AM203" s="1194"/>
      <c r="AN203" s="1194"/>
    </row>
    <row r="204" spans="1:40" s="156" customFormat="1">
      <c r="A204" s="1258"/>
      <c r="B204" s="1194"/>
      <c r="C204" s="1194"/>
      <c r="D204" s="1194"/>
      <c r="E204" s="1194"/>
      <c r="F204" s="1194"/>
      <c r="G204" s="1194"/>
      <c r="H204" s="1194"/>
      <c r="I204" s="1195"/>
      <c r="J204" s="1195"/>
      <c r="K204" s="1195"/>
      <c r="L204" s="1195"/>
      <c r="M204" s="1195"/>
      <c r="N204" s="1195"/>
      <c r="O204" s="1195"/>
      <c r="P204" s="1195"/>
      <c r="Q204" s="1195"/>
      <c r="R204" s="1195"/>
      <c r="S204" s="1195"/>
      <c r="T204" s="1195"/>
      <c r="U204" s="1195"/>
      <c r="V204" s="1195"/>
      <c r="W204" s="1195"/>
      <c r="X204" s="1195"/>
      <c r="Y204" s="1195"/>
      <c r="Z204" s="1195"/>
      <c r="AA204" s="1195"/>
      <c r="AB204" s="1195"/>
      <c r="AC204" s="1195"/>
      <c r="AD204" s="1194"/>
      <c r="AE204" s="1194"/>
      <c r="AF204" s="1194"/>
      <c r="AG204" s="1194"/>
      <c r="AH204" s="1194"/>
      <c r="AI204" s="1194"/>
      <c r="AJ204" s="1194"/>
      <c r="AK204" s="1194"/>
      <c r="AL204" s="1194"/>
      <c r="AM204" s="1194"/>
      <c r="AN204" s="1194"/>
    </row>
    <row r="205" spans="1:40" s="156" customFormat="1">
      <c r="A205" s="1258"/>
      <c r="B205" s="1194"/>
      <c r="C205" s="1194"/>
      <c r="D205" s="1194"/>
      <c r="E205" s="1194"/>
      <c r="F205" s="1194"/>
      <c r="G205" s="1194"/>
      <c r="H205" s="1194"/>
      <c r="I205" s="1195"/>
      <c r="J205" s="1195"/>
      <c r="K205" s="1195"/>
      <c r="L205" s="1195"/>
      <c r="M205" s="1195"/>
      <c r="N205" s="1195"/>
      <c r="O205" s="1195"/>
      <c r="P205" s="1195"/>
      <c r="Q205" s="1195"/>
      <c r="R205" s="1195"/>
      <c r="S205" s="1195"/>
      <c r="T205" s="1195"/>
      <c r="U205" s="1195"/>
      <c r="V205" s="1195"/>
      <c r="W205" s="1195"/>
      <c r="X205" s="1195"/>
      <c r="Y205" s="1195"/>
      <c r="Z205" s="1195"/>
      <c r="AA205" s="1195"/>
      <c r="AB205" s="1195"/>
      <c r="AC205" s="1195"/>
      <c r="AD205" s="1194"/>
      <c r="AE205" s="1194"/>
      <c r="AF205" s="1194"/>
      <c r="AG205" s="1194"/>
      <c r="AH205" s="1194"/>
      <c r="AI205" s="1194"/>
      <c r="AJ205" s="1194"/>
      <c r="AK205" s="1194"/>
      <c r="AL205" s="1194"/>
      <c r="AM205" s="1194"/>
      <c r="AN205" s="1194"/>
    </row>
    <row r="206" spans="1:40" s="156" customFormat="1">
      <c r="A206" s="1258"/>
      <c r="B206" s="1194"/>
      <c r="C206" s="1194"/>
      <c r="D206" s="1194"/>
      <c r="E206" s="1194"/>
      <c r="F206" s="1194"/>
      <c r="G206" s="1194"/>
      <c r="H206" s="1194"/>
      <c r="I206" s="1195"/>
      <c r="J206" s="1195"/>
      <c r="K206" s="1195"/>
      <c r="L206" s="1195"/>
      <c r="M206" s="1195"/>
      <c r="N206" s="1195"/>
      <c r="O206" s="1195"/>
      <c r="P206" s="1195"/>
      <c r="Q206" s="1195"/>
      <c r="R206" s="1195"/>
      <c r="S206" s="1195"/>
      <c r="T206" s="1195"/>
      <c r="U206" s="1195"/>
      <c r="V206" s="1195"/>
      <c r="W206" s="1195"/>
      <c r="X206" s="1195"/>
      <c r="Y206" s="1195"/>
      <c r="Z206" s="1195"/>
      <c r="AA206" s="1195"/>
      <c r="AB206" s="1195"/>
      <c r="AC206" s="1195"/>
      <c r="AD206" s="1194"/>
      <c r="AE206" s="1194"/>
      <c r="AF206" s="1194"/>
      <c r="AG206" s="1194"/>
      <c r="AH206" s="1194"/>
      <c r="AI206" s="1194"/>
      <c r="AJ206" s="1194"/>
      <c r="AK206" s="1194"/>
      <c r="AL206" s="1194"/>
      <c r="AM206" s="1194"/>
      <c r="AN206" s="1194"/>
    </row>
    <row r="207" spans="1:40" s="156" customFormat="1">
      <c r="A207" s="1258"/>
      <c r="B207" s="1194"/>
      <c r="C207" s="1194"/>
      <c r="D207" s="1194"/>
      <c r="E207" s="1194"/>
      <c r="F207" s="1194"/>
      <c r="G207" s="1194"/>
      <c r="H207" s="1194"/>
      <c r="I207" s="1195"/>
      <c r="J207" s="1195"/>
      <c r="K207" s="1195"/>
      <c r="L207" s="1195"/>
      <c r="M207" s="1195"/>
      <c r="N207" s="1195"/>
      <c r="O207" s="1195"/>
      <c r="P207" s="1195"/>
      <c r="Q207" s="1195"/>
      <c r="R207" s="1195"/>
      <c r="S207" s="1195"/>
      <c r="T207" s="1195"/>
      <c r="U207" s="1195"/>
      <c r="V207" s="1195"/>
      <c r="W207" s="1195"/>
      <c r="X207" s="1195"/>
      <c r="Y207" s="1195"/>
      <c r="Z207" s="1195"/>
      <c r="AA207" s="1195"/>
      <c r="AB207" s="1195"/>
      <c r="AC207" s="1195"/>
      <c r="AD207" s="1194"/>
      <c r="AE207" s="1194"/>
      <c r="AF207" s="1194"/>
      <c r="AG207" s="1194"/>
      <c r="AH207" s="1194"/>
      <c r="AI207" s="1194"/>
      <c r="AJ207" s="1194"/>
      <c r="AK207" s="1194"/>
      <c r="AL207" s="1194"/>
      <c r="AM207" s="1194"/>
      <c r="AN207" s="1194"/>
    </row>
    <row r="208" spans="1:40" s="156" customFormat="1">
      <c r="A208" s="1258"/>
      <c r="B208" s="1194"/>
      <c r="C208" s="1194"/>
      <c r="D208" s="1194"/>
      <c r="E208" s="1194"/>
      <c r="F208" s="1194"/>
      <c r="G208" s="1194"/>
      <c r="H208" s="1194"/>
      <c r="I208" s="1195"/>
      <c r="J208" s="1195"/>
      <c r="K208" s="1195"/>
      <c r="L208" s="1195"/>
      <c r="M208" s="1195"/>
      <c r="N208" s="1195"/>
      <c r="O208" s="1195"/>
      <c r="P208" s="1195"/>
      <c r="Q208" s="1195"/>
      <c r="R208" s="1195"/>
      <c r="S208" s="1195"/>
      <c r="T208" s="1195"/>
      <c r="U208" s="1195"/>
      <c r="V208" s="1195"/>
      <c r="W208" s="1195"/>
      <c r="X208" s="1195"/>
      <c r="Y208" s="1195"/>
      <c r="Z208" s="1195"/>
      <c r="AA208" s="1195"/>
      <c r="AB208" s="1195"/>
      <c r="AC208" s="1195"/>
      <c r="AD208" s="1194"/>
      <c r="AE208" s="1194"/>
      <c r="AF208" s="1194"/>
      <c r="AG208" s="1194"/>
      <c r="AH208" s="1194"/>
      <c r="AI208" s="1194"/>
      <c r="AJ208" s="1194"/>
      <c r="AK208" s="1194"/>
      <c r="AL208" s="1194"/>
      <c r="AM208" s="1194"/>
      <c r="AN208" s="1194"/>
    </row>
    <row r="209" spans="1:40" s="156" customFormat="1">
      <c r="A209" s="1258"/>
      <c r="B209" s="1194"/>
      <c r="C209" s="1194"/>
      <c r="D209" s="1194"/>
      <c r="E209" s="1194"/>
      <c r="F209" s="1194"/>
      <c r="G209" s="1194"/>
      <c r="H209" s="1194"/>
      <c r="I209" s="1195"/>
      <c r="J209" s="1195"/>
      <c r="K209" s="1195"/>
      <c r="L209" s="1195"/>
      <c r="M209" s="1195"/>
      <c r="N209" s="1195"/>
      <c r="O209" s="1195"/>
      <c r="P209" s="1195"/>
      <c r="Q209" s="1195"/>
      <c r="R209" s="1195"/>
      <c r="S209" s="1195"/>
      <c r="T209" s="1195"/>
      <c r="U209" s="1195"/>
      <c r="V209" s="1195"/>
      <c r="W209" s="1195"/>
      <c r="X209" s="1195"/>
      <c r="Y209" s="1195"/>
      <c r="Z209" s="1195"/>
      <c r="AA209" s="1195"/>
      <c r="AB209" s="1195"/>
      <c r="AC209" s="1195"/>
      <c r="AD209" s="1194"/>
      <c r="AE209" s="1194"/>
      <c r="AF209" s="1194"/>
      <c r="AG209" s="1194"/>
      <c r="AH209" s="1194"/>
      <c r="AI209" s="1194"/>
      <c r="AJ209" s="1194"/>
      <c r="AK209" s="1194"/>
      <c r="AL209" s="1194"/>
      <c r="AM209" s="1194"/>
      <c r="AN209" s="1194"/>
    </row>
    <row r="210" spans="1:40">
      <c r="A210" s="1258"/>
      <c r="B210" s="1194"/>
      <c r="C210" s="1194"/>
      <c r="D210" s="1194"/>
      <c r="E210" s="1194"/>
      <c r="F210" s="1194"/>
      <c r="G210" s="1194"/>
      <c r="H210" s="1194"/>
      <c r="I210" s="1195"/>
      <c r="J210" s="1195"/>
      <c r="K210" s="1195"/>
      <c r="L210" s="1195"/>
      <c r="M210" s="1195"/>
      <c r="N210" s="1195"/>
      <c r="O210" s="1195"/>
      <c r="P210" s="1195"/>
      <c r="Q210" s="1195"/>
      <c r="R210" s="1195"/>
      <c r="S210" s="1195"/>
      <c r="T210" s="1195"/>
      <c r="U210" s="1195"/>
      <c r="V210" s="1195"/>
      <c r="W210" s="1195"/>
      <c r="X210" s="1195"/>
      <c r="Y210" s="1195"/>
      <c r="Z210" s="1195"/>
      <c r="AA210" s="1195"/>
      <c r="AB210" s="1195"/>
      <c r="AC210" s="1195"/>
      <c r="AD210" s="1194"/>
      <c r="AE210" s="1194"/>
      <c r="AF210" s="1194"/>
      <c r="AG210" s="1194"/>
      <c r="AH210" s="1194"/>
      <c r="AI210" s="1194"/>
      <c r="AJ210" s="1194"/>
      <c r="AK210" s="1194"/>
      <c r="AL210" s="1194"/>
      <c r="AM210" s="1194"/>
      <c r="AN210" s="1194"/>
    </row>
    <row r="211" spans="1:40">
      <c r="A211" s="1258"/>
      <c r="B211" s="1194"/>
      <c r="C211" s="1194"/>
      <c r="D211" s="1194"/>
      <c r="E211" s="1194"/>
      <c r="F211" s="1194"/>
      <c r="G211" s="1194"/>
      <c r="H211" s="1194"/>
      <c r="I211" s="1195"/>
      <c r="J211" s="1195"/>
      <c r="K211" s="1195"/>
      <c r="L211" s="1195"/>
      <c r="M211" s="1195"/>
      <c r="N211" s="1195"/>
      <c r="O211" s="1195"/>
      <c r="P211" s="1195"/>
      <c r="Q211" s="1195"/>
      <c r="R211" s="1195"/>
      <c r="S211" s="1195"/>
      <c r="T211" s="1195"/>
      <c r="U211" s="1195"/>
      <c r="V211" s="1195"/>
      <c r="W211" s="1195"/>
      <c r="X211" s="1195"/>
      <c r="Y211" s="1195"/>
      <c r="Z211" s="1195"/>
      <c r="AA211" s="1195"/>
      <c r="AB211" s="1195"/>
      <c r="AC211" s="1195"/>
      <c r="AD211" s="1194"/>
      <c r="AE211" s="1194"/>
      <c r="AF211" s="1194"/>
      <c r="AG211" s="1194"/>
      <c r="AH211" s="1194"/>
      <c r="AI211" s="1194"/>
      <c r="AJ211" s="1194"/>
      <c r="AK211" s="1194"/>
      <c r="AL211" s="1194"/>
      <c r="AM211" s="1194"/>
      <c r="AN211" s="1194"/>
    </row>
    <row r="212" spans="1:40">
      <c r="A212" s="1258"/>
      <c r="B212" s="1194"/>
      <c r="C212" s="1194"/>
      <c r="D212" s="1194"/>
      <c r="E212" s="1194"/>
      <c r="F212" s="1194"/>
      <c r="G212" s="1194"/>
      <c r="H212" s="1194"/>
      <c r="I212" s="1195"/>
      <c r="J212" s="1195"/>
      <c r="K212" s="1195"/>
      <c r="L212" s="1195"/>
      <c r="M212" s="1195"/>
      <c r="N212" s="1195"/>
      <c r="O212" s="1195"/>
      <c r="P212" s="1195"/>
      <c r="Q212" s="1195"/>
      <c r="R212" s="1195"/>
      <c r="S212" s="1195"/>
      <c r="T212" s="1195"/>
      <c r="U212" s="1195"/>
      <c r="V212" s="1195"/>
      <c r="W212" s="1195"/>
      <c r="X212" s="1195"/>
      <c r="Y212" s="1195"/>
      <c r="Z212" s="1195"/>
      <c r="AA212" s="1195"/>
      <c r="AB212" s="1195"/>
      <c r="AC212" s="1195"/>
      <c r="AD212" s="1194"/>
      <c r="AE212" s="1194"/>
      <c r="AF212" s="1194"/>
      <c r="AG212" s="1194"/>
      <c r="AH212" s="1194"/>
      <c r="AI212" s="1194"/>
      <c r="AJ212" s="1194"/>
      <c r="AK212" s="1194"/>
      <c r="AL212" s="1194"/>
      <c r="AM212" s="1194"/>
      <c r="AN212" s="1194"/>
    </row>
    <row r="213" spans="1:40">
      <c r="A213" s="1258"/>
      <c r="B213" s="1188"/>
      <c r="C213" s="1188"/>
      <c r="D213" s="1188"/>
      <c r="E213" s="1210"/>
      <c r="F213" s="1210"/>
      <c r="G213" s="1210"/>
      <c r="H213" s="1210"/>
      <c r="I213" s="1191"/>
      <c r="J213" s="1191"/>
      <c r="K213" s="1199"/>
      <c r="L213" s="1191"/>
      <c r="M213" s="1191"/>
      <c r="N213" s="1191"/>
      <c r="O213" s="1191"/>
      <c r="P213" s="1191"/>
      <c r="Q213" s="1191"/>
      <c r="R213" s="1199"/>
      <c r="S213" s="1191"/>
      <c r="T213" s="1191"/>
      <c r="U213" s="1191"/>
      <c r="V213" s="1191"/>
      <c r="W213" s="1191"/>
      <c r="X213" s="1191"/>
      <c r="Y213" s="1191"/>
      <c r="Z213" s="1191"/>
      <c r="AA213" s="1191"/>
      <c r="AB213" s="1191"/>
      <c r="AC213" s="1191"/>
      <c r="AD213" s="1210"/>
      <c r="AE213" s="1210"/>
      <c r="AF213" s="1210"/>
      <c r="AG213" s="1210"/>
      <c r="AH213" s="1210"/>
      <c r="AI213" s="1210"/>
      <c r="AJ213" s="1210"/>
      <c r="AK213" s="1210"/>
      <c r="AL213" s="1210"/>
      <c r="AM213" s="1210"/>
      <c r="AN213" s="1210"/>
    </row>
    <row r="214" spans="1:40">
      <c r="A214" s="1258"/>
      <c r="B214" s="1188"/>
      <c r="C214" s="1188"/>
      <c r="D214" s="1188"/>
      <c r="E214" s="1210"/>
      <c r="F214" s="1210"/>
      <c r="G214" s="1210"/>
      <c r="H214" s="1210"/>
      <c r="I214" s="1191"/>
      <c r="J214" s="1191"/>
      <c r="K214" s="1199"/>
      <c r="L214" s="1191"/>
      <c r="M214" s="1191"/>
      <c r="N214" s="1191"/>
      <c r="O214" s="1191"/>
      <c r="P214" s="1191"/>
      <c r="Q214" s="1191"/>
      <c r="R214" s="1199"/>
      <c r="S214" s="1191"/>
      <c r="T214" s="1191"/>
      <c r="U214" s="1191"/>
      <c r="V214" s="1191"/>
      <c r="W214" s="1191"/>
      <c r="X214" s="1191"/>
      <c r="Y214" s="1191"/>
      <c r="Z214" s="1191"/>
      <c r="AA214" s="1191"/>
      <c r="AB214" s="1191"/>
      <c r="AC214" s="1191"/>
      <c r="AD214" s="1210"/>
      <c r="AE214" s="1210"/>
      <c r="AF214" s="1210"/>
      <c r="AG214" s="1210"/>
      <c r="AH214" s="1210"/>
      <c r="AI214" s="1210"/>
      <c r="AJ214" s="1210"/>
      <c r="AK214" s="1210"/>
      <c r="AL214" s="1210"/>
      <c r="AM214" s="1210"/>
      <c r="AN214" s="1210"/>
    </row>
    <row r="215" spans="1:40">
      <c r="A215" s="1258"/>
      <c r="B215" s="1188"/>
      <c r="C215" s="1188"/>
      <c r="D215" s="1188"/>
      <c r="E215" s="1210"/>
      <c r="F215" s="1210"/>
      <c r="G215" s="1210"/>
      <c r="H215" s="1210"/>
      <c r="I215" s="1191"/>
      <c r="J215" s="1191"/>
      <c r="K215" s="1199"/>
      <c r="L215" s="1191"/>
      <c r="M215" s="1191"/>
      <c r="N215" s="1191"/>
      <c r="O215" s="1191"/>
      <c r="P215" s="1191"/>
      <c r="Q215" s="1191"/>
      <c r="R215" s="1199"/>
      <c r="S215" s="1191"/>
      <c r="T215" s="1191"/>
      <c r="U215" s="1191"/>
      <c r="V215" s="1191"/>
      <c r="W215" s="1191"/>
      <c r="X215" s="1191"/>
      <c r="Y215" s="1191"/>
      <c r="Z215" s="1191"/>
      <c r="AA215" s="1191"/>
      <c r="AB215" s="1191"/>
      <c r="AC215" s="1191"/>
      <c r="AD215" s="1210"/>
      <c r="AE215" s="1210"/>
      <c r="AF215" s="1210"/>
      <c r="AG215" s="1210"/>
      <c r="AH215" s="1210"/>
      <c r="AI215" s="1210"/>
      <c r="AJ215" s="1210"/>
      <c r="AK215" s="1210"/>
      <c r="AL215" s="1210"/>
      <c r="AM215" s="1210"/>
      <c r="AN215" s="1210"/>
    </row>
    <row r="216" spans="1:40">
      <c r="A216" s="1258"/>
      <c r="B216" s="1188"/>
      <c r="C216" s="1188"/>
      <c r="D216" s="1188"/>
      <c r="E216" s="1210"/>
      <c r="F216" s="1210"/>
      <c r="G216" s="1210"/>
      <c r="H216" s="1210"/>
      <c r="I216" s="1191"/>
      <c r="J216" s="1191"/>
      <c r="K216" s="1199"/>
      <c r="L216" s="1191"/>
      <c r="M216" s="1191"/>
      <c r="N216" s="1191"/>
      <c r="O216" s="1191"/>
      <c r="P216" s="1191"/>
      <c r="Q216" s="1191"/>
      <c r="R216" s="1199"/>
      <c r="S216" s="1191"/>
      <c r="T216" s="1191"/>
      <c r="U216" s="1191"/>
      <c r="V216" s="1191"/>
      <c r="W216" s="1191"/>
      <c r="X216" s="1191"/>
      <c r="Y216" s="1191"/>
      <c r="Z216" s="1191"/>
      <c r="AA216" s="1191"/>
      <c r="AB216" s="1191"/>
      <c r="AC216" s="1191"/>
      <c r="AD216" s="1210"/>
      <c r="AE216" s="1210"/>
      <c r="AF216" s="1210"/>
      <c r="AG216" s="1210"/>
      <c r="AH216" s="1210"/>
      <c r="AI216" s="1210"/>
      <c r="AJ216" s="1210"/>
      <c r="AK216" s="1210"/>
      <c r="AL216" s="1210"/>
      <c r="AM216" s="1210"/>
      <c r="AN216" s="1210"/>
    </row>
    <row r="217" spans="1:40">
      <c r="A217" s="1258"/>
      <c r="B217" s="1188"/>
      <c r="C217" s="1188"/>
      <c r="D217" s="1188"/>
      <c r="E217" s="1210"/>
      <c r="F217" s="1210"/>
      <c r="G217" s="1210"/>
      <c r="H217" s="1210"/>
      <c r="I217" s="1191"/>
      <c r="J217" s="1191"/>
      <c r="K217" s="1199"/>
      <c r="L217" s="1191"/>
      <c r="M217" s="1191"/>
      <c r="N217" s="1191"/>
      <c r="O217" s="1191"/>
      <c r="P217" s="1191"/>
      <c r="Q217" s="1191"/>
      <c r="R217" s="1199"/>
      <c r="S217" s="1191"/>
      <c r="T217" s="1191"/>
      <c r="U217" s="1191"/>
      <c r="V217" s="1191"/>
      <c r="W217" s="1191"/>
      <c r="X217" s="1191"/>
      <c r="Y217" s="1191"/>
      <c r="Z217" s="1191"/>
      <c r="AA217" s="1191"/>
      <c r="AB217" s="1191"/>
      <c r="AC217" s="1191"/>
      <c r="AD217" s="1210"/>
      <c r="AE217" s="1210"/>
      <c r="AF217" s="1210"/>
      <c r="AG217" s="1210"/>
      <c r="AH217" s="1210"/>
      <c r="AI217" s="1210"/>
      <c r="AJ217" s="1210"/>
      <c r="AK217" s="1210"/>
      <c r="AL217" s="1210"/>
      <c r="AM217" s="1210"/>
      <c r="AN217" s="1210"/>
    </row>
    <row r="218" spans="1:40">
      <c r="A218" s="1258"/>
      <c r="B218" s="1188"/>
      <c r="C218" s="1188"/>
      <c r="D218" s="1188"/>
      <c r="E218" s="1210"/>
      <c r="F218" s="1210"/>
      <c r="G218" s="1210"/>
      <c r="H218" s="1210"/>
      <c r="I218" s="1191"/>
      <c r="J218" s="1191"/>
      <c r="K218" s="1199"/>
      <c r="L218" s="1191"/>
      <c r="M218" s="1191"/>
      <c r="N218" s="1191"/>
      <c r="O218" s="1191"/>
      <c r="P218" s="1191"/>
      <c r="Q218" s="1191"/>
      <c r="R218" s="1199"/>
      <c r="S218" s="1191"/>
      <c r="T218" s="1191"/>
      <c r="U218" s="1191"/>
      <c r="V218" s="1191"/>
      <c r="W218" s="1191"/>
      <c r="X218" s="1191"/>
      <c r="Y218" s="1191"/>
      <c r="Z218" s="1191"/>
      <c r="AA218" s="1191"/>
      <c r="AB218" s="1191"/>
      <c r="AC218" s="1191"/>
      <c r="AD218" s="1210"/>
      <c r="AE218" s="1210"/>
      <c r="AF218" s="1210"/>
      <c r="AG218" s="1210"/>
      <c r="AH218" s="1210"/>
      <c r="AI218" s="1210"/>
      <c r="AJ218" s="1210"/>
      <c r="AK218" s="1210"/>
      <c r="AL218" s="1210"/>
      <c r="AM218" s="1210"/>
      <c r="AN218" s="1210"/>
    </row>
    <row r="219" spans="1:40">
      <c r="A219" s="1258"/>
      <c r="B219" s="1188"/>
      <c r="C219" s="1188"/>
      <c r="D219" s="1188"/>
      <c r="E219" s="1210"/>
      <c r="F219" s="1210"/>
      <c r="G219" s="1210"/>
      <c r="H219" s="1210"/>
      <c r="I219" s="1191"/>
      <c r="J219" s="1191"/>
      <c r="K219" s="1199"/>
      <c r="L219" s="1191"/>
      <c r="M219" s="1191"/>
      <c r="N219" s="1191"/>
      <c r="O219" s="1191"/>
      <c r="P219" s="1191"/>
      <c r="Q219" s="1191"/>
      <c r="R219" s="1199"/>
      <c r="S219" s="1191"/>
      <c r="T219" s="1191"/>
      <c r="U219" s="1191"/>
      <c r="V219" s="1191"/>
      <c r="W219" s="1191"/>
      <c r="X219" s="1191"/>
      <c r="Y219" s="1191"/>
      <c r="Z219" s="1191"/>
      <c r="AA219" s="1191"/>
      <c r="AB219" s="1191"/>
      <c r="AC219" s="1191"/>
      <c r="AD219" s="1210"/>
      <c r="AE219" s="1210"/>
      <c r="AF219" s="1210"/>
      <c r="AG219" s="1210"/>
      <c r="AH219" s="1210"/>
      <c r="AI219" s="1210"/>
      <c r="AJ219" s="1210"/>
      <c r="AK219" s="1210"/>
      <c r="AL219" s="1210"/>
      <c r="AM219" s="1210"/>
      <c r="AN219" s="1210"/>
    </row>
    <row r="220" spans="1:40">
      <c r="A220" s="1258"/>
      <c r="B220" s="1188"/>
      <c r="C220" s="1188"/>
      <c r="D220" s="1188"/>
      <c r="E220" s="1210"/>
      <c r="F220" s="1210"/>
      <c r="G220" s="1210"/>
      <c r="H220" s="1210"/>
      <c r="I220" s="1191"/>
      <c r="J220" s="1191"/>
      <c r="K220" s="1199"/>
      <c r="L220" s="1191"/>
      <c r="M220" s="1191"/>
      <c r="N220" s="1191"/>
      <c r="O220" s="1191"/>
      <c r="P220" s="1191"/>
      <c r="Q220" s="1191"/>
      <c r="R220" s="1199"/>
      <c r="S220" s="1191"/>
      <c r="T220" s="1191"/>
      <c r="U220" s="1191"/>
      <c r="V220" s="1191"/>
      <c r="W220" s="1191"/>
      <c r="X220" s="1191"/>
      <c r="Y220" s="1191"/>
      <c r="Z220" s="1191"/>
      <c r="AA220" s="1191"/>
      <c r="AB220" s="1191"/>
      <c r="AC220" s="1191"/>
      <c r="AD220" s="1210"/>
      <c r="AE220" s="1210"/>
      <c r="AF220" s="1210"/>
      <c r="AG220" s="1210"/>
      <c r="AH220" s="1210"/>
      <c r="AI220" s="1210"/>
      <c r="AJ220" s="1210"/>
      <c r="AK220" s="1210"/>
      <c r="AL220" s="1210"/>
      <c r="AM220" s="1210"/>
      <c r="AN220" s="1210"/>
    </row>
    <row r="221" spans="1:40">
      <c r="A221" s="1258"/>
      <c r="B221" s="1188"/>
      <c r="C221" s="1188"/>
      <c r="D221" s="1188"/>
      <c r="E221" s="1210"/>
      <c r="F221" s="1210"/>
      <c r="G221" s="1210"/>
      <c r="H221" s="1210"/>
      <c r="I221" s="1191"/>
      <c r="J221" s="1191"/>
      <c r="K221" s="1199"/>
      <c r="L221" s="1191"/>
      <c r="M221" s="1191"/>
      <c r="N221" s="1191"/>
      <c r="O221" s="1191"/>
      <c r="P221" s="1191"/>
      <c r="Q221" s="1191"/>
      <c r="R221" s="1199"/>
      <c r="S221" s="1191"/>
      <c r="T221" s="1191"/>
      <c r="U221" s="1191"/>
      <c r="V221" s="1191"/>
      <c r="W221" s="1191"/>
      <c r="X221" s="1191"/>
      <c r="Y221" s="1191"/>
      <c r="Z221" s="1191"/>
      <c r="AA221" s="1191"/>
      <c r="AB221" s="1191"/>
      <c r="AC221" s="1191"/>
      <c r="AD221" s="1210"/>
      <c r="AE221" s="1210"/>
      <c r="AF221" s="1210"/>
      <c r="AG221" s="1210"/>
      <c r="AH221" s="1210"/>
      <c r="AI221" s="1210"/>
      <c r="AJ221" s="1210"/>
      <c r="AK221" s="1210"/>
      <c r="AL221" s="1210"/>
      <c r="AM221" s="1210"/>
      <c r="AN221" s="1210"/>
    </row>
    <row r="222" spans="1:40">
      <c r="A222" s="1258"/>
      <c r="B222" s="1188"/>
      <c r="C222" s="1188"/>
      <c r="D222" s="1188"/>
      <c r="E222" s="1210"/>
      <c r="F222" s="1210"/>
      <c r="G222" s="1210"/>
      <c r="H222" s="1210"/>
      <c r="I222" s="1191"/>
      <c r="J222" s="1191"/>
      <c r="K222" s="1199"/>
      <c r="L222" s="1191"/>
      <c r="M222" s="1191"/>
      <c r="N222" s="1191"/>
      <c r="O222" s="1191"/>
      <c r="P222" s="1191"/>
      <c r="Q222" s="1191"/>
      <c r="R222" s="1199"/>
      <c r="S222" s="1191"/>
      <c r="T222" s="1191"/>
      <c r="U222" s="1191"/>
      <c r="V222" s="1191"/>
      <c r="W222" s="1191"/>
      <c r="X222" s="1191"/>
      <c r="Y222" s="1191"/>
      <c r="Z222" s="1191"/>
      <c r="AA222" s="1191"/>
      <c r="AB222" s="1191"/>
      <c r="AC222" s="1191"/>
      <c r="AD222" s="1210"/>
      <c r="AE222" s="1210"/>
      <c r="AF222" s="1210"/>
      <c r="AG222" s="1210"/>
      <c r="AH222" s="1210"/>
      <c r="AI222" s="1210"/>
      <c r="AJ222" s="1210"/>
      <c r="AK222" s="1210"/>
      <c r="AL222" s="1210"/>
      <c r="AM222" s="1210"/>
      <c r="AN222" s="1210"/>
    </row>
    <row r="223" spans="1:40">
      <c r="A223" s="1258"/>
      <c r="B223" s="1188"/>
      <c r="C223" s="1188"/>
      <c r="D223" s="1188"/>
      <c r="E223" s="1210"/>
      <c r="F223" s="1210"/>
      <c r="G223" s="1210"/>
      <c r="H223" s="1210"/>
      <c r="I223" s="1191"/>
      <c r="J223" s="1191"/>
      <c r="K223" s="1199"/>
      <c r="L223" s="1191"/>
      <c r="M223" s="1191"/>
      <c r="N223" s="1191"/>
      <c r="O223" s="1191"/>
      <c r="P223" s="1191"/>
      <c r="Q223" s="1191"/>
      <c r="R223" s="1199"/>
      <c r="S223" s="1191"/>
      <c r="T223" s="1191"/>
      <c r="U223" s="1191"/>
      <c r="V223" s="1191"/>
      <c r="W223" s="1191"/>
      <c r="X223" s="1191"/>
      <c r="Y223" s="1191"/>
      <c r="Z223" s="1191"/>
      <c r="AA223" s="1191"/>
      <c r="AB223" s="1191"/>
      <c r="AC223" s="1191"/>
      <c r="AD223" s="1210"/>
      <c r="AE223" s="1210"/>
      <c r="AF223" s="1210"/>
      <c r="AG223" s="1210"/>
      <c r="AH223" s="1210"/>
      <c r="AI223" s="1210"/>
      <c r="AJ223" s="1210"/>
      <c r="AK223" s="1210"/>
      <c r="AL223" s="1210"/>
      <c r="AM223" s="1210"/>
      <c r="AN223" s="1210"/>
    </row>
    <row r="224" spans="1:40">
      <c r="A224" s="1258"/>
      <c r="B224" s="1188"/>
      <c r="C224" s="1188"/>
      <c r="D224" s="1188"/>
      <c r="E224" s="1210"/>
      <c r="F224" s="1210"/>
      <c r="G224" s="1210"/>
      <c r="H224" s="1210"/>
      <c r="I224" s="1191"/>
      <c r="J224" s="1191"/>
      <c r="K224" s="1199"/>
      <c r="L224" s="1191"/>
      <c r="M224" s="1191"/>
      <c r="N224" s="1191"/>
      <c r="O224" s="1191"/>
      <c r="P224" s="1191"/>
      <c r="Q224" s="1191"/>
      <c r="R224" s="1199"/>
      <c r="S224" s="1191"/>
      <c r="T224" s="1191"/>
      <c r="U224" s="1191"/>
      <c r="V224" s="1191"/>
      <c r="W224" s="1191"/>
      <c r="X224" s="1191"/>
      <c r="Y224" s="1191"/>
      <c r="Z224" s="1191"/>
      <c r="AA224" s="1191"/>
      <c r="AB224" s="1191"/>
      <c r="AC224" s="1191"/>
      <c r="AD224" s="1210"/>
      <c r="AE224" s="1210"/>
      <c r="AF224" s="1210"/>
      <c r="AG224" s="1210"/>
      <c r="AH224" s="1210"/>
      <c r="AI224" s="1210"/>
      <c r="AJ224" s="1210"/>
      <c r="AK224" s="1210"/>
      <c r="AL224" s="1210"/>
      <c r="AM224" s="1210"/>
      <c r="AN224" s="1210"/>
    </row>
    <row r="225" spans="1:40">
      <c r="A225" s="1258"/>
      <c r="B225" s="1188"/>
      <c r="C225" s="1188"/>
      <c r="D225" s="1188"/>
      <c r="E225" s="1210"/>
      <c r="F225" s="1210"/>
      <c r="G225" s="1210"/>
      <c r="H225" s="1210"/>
      <c r="I225" s="1191"/>
      <c r="J225" s="1191"/>
      <c r="K225" s="1199"/>
      <c r="L225" s="1191"/>
      <c r="M225" s="1191"/>
      <c r="N225" s="1191"/>
      <c r="O225" s="1191"/>
      <c r="P225" s="1191"/>
      <c r="Q225" s="1191"/>
      <c r="R225" s="1199"/>
      <c r="S225" s="1191"/>
      <c r="T225" s="1191"/>
      <c r="U225" s="1191"/>
      <c r="V225" s="1191"/>
      <c r="W225" s="1191"/>
      <c r="X225" s="1191"/>
      <c r="Y225" s="1191"/>
      <c r="Z225" s="1191"/>
      <c r="AA225" s="1191"/>
      <c r="AB225" s="1191"/>
      <c r="AC225" s="1191"/>
      <c r="AD225" s="1210"/>
      <c r="AE225" s="1210"/>
      <c r="AF225" s="1210"/>
      <c r="AG225" s="1210"/>
      <c r="AH225" s="1210"/>
      <c r="AI225" s="1210"/>
      <c r="AJ225" s="1210"/>
      <c r="AK225" s="1210"/>
      <c r="AL225" s="1210"/>
      <c r="AM225" s="1210"/>
      <c r="AN225" s="1210"/>
    </row>
    <row r="226" spans="1:40">
      <c r="A226" s="1258"/>
      <c r="B226" s="1188"/>
      <c r="C226" s="1188"/>
      <c r="D226" s="1188"/>
      <c r="E226" s="1210"/>
      <c r="F226" s="1210"/>
      <c r="G226" s="1210"/>
      <c r="H226" s="1210"/>
      <c r="I226" s="1191"/>
      <c r="J226" s="1191"/>
      <c r="K226" s="1199"/>
      <c r="L226" s="1191"/>
      <c r="M226" s="1191"/>
      <c r="N226" s="1191"/>
      <c r="O226" s="1191"/>
      <c r="P226" s="1191"/>
      <c r="Q226" s="1191"/>
      <c r="R226" s="1199"/>
      <c r="S226" s="1191"/>
      <c r="T226" s="1191"/>
      <c r="U226" s="1191"/>
      <c r="V226" s="1191"/>
      <c r="W226" s="1191"/>
      <c r="X226" s="1191"/>
      <c r="Y226" s="1191"/>
      <c r="Z226" s="1191"/>
      <c r="AA226" s="1191"/>
      <c r="AB226" s="1191"/>
      <c r="AC226" s="1191"/>
      <c r="AD226" s="1210"/>
      <c r="AE226" s="1210"/>
      <c r="AF226" s="1210"/>
      <c r="AG226" s="1210"/>
      <c r="AH226" s="1210"/>
      <c r="AI226" s="1210"/>
      <c r="AJ226" s="1210"/>
      <c r="AK226" s="1210"/>
      <c r="AL226" s="1210"/>
      <c r="AM226" s="1210"/>
      <c r="AN226" s="1210"/>
    </row>
    <row r="227" spans="1:40">
      <c r="A227" s="1258"/>
      <c r="B227" s="1188"/>
      <c r="C227" s="1188"/>
      <c r="D227" s="1188"/>
      <c r="E227" s="1210"/>
      <c r="F227" s="1210"/>
      <c r="G227" s="1210"/>
      <c r="H227" s="1210"/>
      <c r="I227" s="1191"/>
      <c r="J227" s="1191"/>
      <c r="K227" s="1199"/>
      <c r="L227" s="1191"/>
      <c r="M227" s="1191"/>
      <c r="N227" s="1191"/>
      <c r="O227" s="1191"/>
      <c r="P227" s="1191"/>
      <c r="Q227" s="1191"/>
      <c r="R227" s="1199"/>
      <c r="S227" s="1191"/>
      <c r="T227" s="1191"/>
      <c r="U227" s="1191"/>
      <c r="V227" s="1191"/>
      <c r="W227" s="1191"/>
      <c r="X227" s="1191"/>
      <c r="Y227" s="1191"/>
      <c r="Z227" s="1191"/>
      <c r="AA227" s="1191"/>
      <c r="AB227" s="1191"/>
      <c r="AC227" s="1191"/>
      <c r="AD227" s="1210"/>
      <c r="AE227" s="1210"/>
      <c r="AF227" s="1210"/>
      <c r="AG227" s="1210"/>
      <c r="AH227" s="1210"/>
      <c r="AI227" s="1210"/>
      <c r="AJ227" s="1210"/>
      <c r="AK227" s="1210"/>
      <c r="AL227" s="1210"/>
      <c r="AM227" s="1210"/>
      <c r="AN227" s="1210"/>
    </row>
    <row r="228" spans="1:40" s="1179" customFormat="1">
      <c r="A228" s="1258"/>
      <c r="B228" s="1188"/>
      <c r="C228" s="1188"/>
      <c r="D228" s="1188"/>
      <c r="E228" s="1210"/>
      <c r="F228" s="1210"/>
      <c r="G228" s="1210"/>
      <c r="H228" s="1210"/>
      <c r="I228" s="1191"/>
      <c r="J228" s="1191"/>
      <c r="K228" s="1199"/>
      <c r="L228" s="1191"/>
      <c r="M228" s="1191"/>
      <c r="N228" s="1191"/>
      <c r="O228" s="1191"/>
      <c r="P228" s="1191"/>
      <c r="Q228" s="1191"/>
      <c r="R228" s="1199"/>
      <c r="S228" s="1191"/>
      <c r="T228" s="1191"/>
      <c r="U228" s="1191"/>
      <c r="V228" s="1191"/>
      <c r="W228" s="1191"/>
      <c r="X228" s="1191"/>
      <c r="Y228" s="1191"/>
      <c r="Z228" s="1191"/>
      <c r="AA228" s="1191"/>
      <c r="AB228" s="1191"/>
      <c r="AC228" s="1191"/>
      <c r="AD228" s="1210"/>
      <c r="AE228" s="1210"/>
      <c r="AF228" s="1210"/>
      <c r="AG228" s="1210"/>
      <c r="AH228" s="1210"/>
      <c r="AI228" s="1210"/>
      <c r="AJ228" s="1210"/>
      <c r="AK228" s="1210"/>
      <c r="AL228" s="1210"/>
      <c r="AM228" s="1210"/>
      <c r="AN228" s="1210"/>
    </row>
    <row r="229" spans="1:40" s="1179" customFormat="1">
      <c r="A229" s="1258"/>
      <c r="B229" s="1188"/>
      <c r="C229" s="1188"/>
      <c r="D229" s="1188"/>
      <c r="E229" s="1210"/>
      <c r="F229" s="1210"/>
      <c r="G229" s="1210"/>
      <c r="H229" s="1210"/>
      <c r="I229" s="1191"/>
      <c r="J229" s="1191"/>
      <c r="K229" s="1199"/>
      <c r="L229" s="1191"/>
      <c r="M229" s="1191"/>
      <c r="N229" s="1191"/>
      <c r="O229" s="1191"/>
      <c r="P229" s="1191"/>
      <c r="Q229" s="1191"/>
      <c r="R229" s="1199"/>
      <c r="S229" s="1191"/>
      <c r="T229" s="1191"/>
      <c r="U229" s="1191"/>
      <c r="V229" s="1191"/>
      <c r="W229" s="1191"/>
      <c r="X229" s="1191"/>
      <c r="Y229" s="1191"/>
      <c r="Z229" s="1191"/>
      <c r="AA229" s="1191"/>
      <c r="AB229" s="1191"/>
      <c r="AC229" s="1191"/>
      <c r="AD229" s="1210"/>
      <c r="AE229" s="1210"/>
      <c r="AF229" s="1210"/>
      <c r="AG229" s="1210"/>
      <c r="AH229" s="1210"/>
      <c r="AI229" s="1210"/>
      <c r="AJ229" s="1210"/>
      <c r="AK229" s="1210"/>
      <c r="AL229" s="1210"/>
      <c r="AM229" s="1210"/>
      <c r="AN229" s="1210"/>
    </row>
    <row r="230" spans="1:40" s="1179" customFormat="1">
      <c r="A230" s="1258"/>
      <c r="B230" s="1188"/>
      <c r="C230" s="1188"/>
      <c r="D230" s="1188"/>
      <c r="E230" s="1210"/>
      <c r="F230" s="1210"/>
      <c r="G230" s="1210"/>
      <c r="H230" s="1210"/>
      <c r="I230" s="1191"/>
      <c r="J230" s="1191"/>
      <c r="K230" s="1199"/>
      <c r="L230" s="1191"/>
      <c r="M230" s="1191"/>
      <c r="N230" s="1191"/>
      <c r="O230" s="1191"/>
      <c r="P230" s="1191"/>
      <c r="Q230" s="1191"/>
      <c r="R230" s="1199"/>
      <c r="S230" s="1191"/>
      <c r="T230" s="1191"/>
      <c r="U230" s="1191"/>
      <c r="V230" s="1191"/>
      <c r="W230" s="1191"/>
      <c r="X230" s="1191"/>
      <c r="Y230" s="1191"/>
      <c r="Z230" s="1191"/>
      <c r="AA230" s="1191"/>
      <c r="AB230" s="1191"/>
      <c r="AC230" s="1191"/>
      <c r="AD230" s="1210"/>
      <c r="AE230" s="1210"/>
      <c r="AF230" s="1210"/>
      <c r="AG230" s="1210"/>
      <c r="AH230" s="1210"/>
      <c r="AI230" s="1210"/>
      <c r="AJ230" s="1210"/>
      <c r="AK230" s="1210"/>
      <c r="AL230" s="1210"/>
      <c r="AM230" s="1210"/>
      <c r="AN230" s="1210"/>
    </row>
    <row r="231" spans="1:40" s="1179" customFormat="1">
      <c r="A231" s="1258"/>
      <c r="B231" s="1188"/>
      <c r="C231" s="1188"/>
      <c r="D231" s="1188"/>
      <c r="E231" s="1210"/>
      <c r="F231" s="1210"/>
      <c r="G231" s="1210"/>
      <c r="H231" s="1210"/>
      <c r="I231" s="1191"/>
      <c r="J231" s="1191"/>
      <c r="K231" s="1199"/>
      <c r="L231" s="1191"/>
      <c r="M231" s="1191"/>
      <c r="N231" s="1191"/>
      <c r="O231" s="1191"/>
      <c r="P231" s="1191"/>
      <c r="Q231" s="1191"/>
      <c r="R231" s="1199"/>
      <c r="S231" s="1191"/>
      <c r="T231" s="1191"/>
      <c r="U231" s="1191"/>
      <c r="V231" s="1191"/>
      <c r="W231" s="1191"/>
      <c r="X231" s="1191"/>
      <c r="Y231" s="1191"/>
      <c r="Z231" s="1191"/>
      <c r="AA231" s="1191"/>
      <c r="AB231" s="1191"/>
      <c r="AC231" s="1191"/>
      <c r="AD231" s="1210"/>
      <c r="AE231" s="1210"/>
      <c r="AF231" s="1210"/>
      <c r="AG231" s="1210"/>
      <c r="AH231" s="1210"/>
      <c r="AI231" s="1210"/>
      <c r="AJ231" s="1210"/>
      <c r="AK231" s="1210"/>
      <c r="AL231" s="1210"/>
      <c r="AM231" s="1210"/>
      <c r="AN231" s="1210"/>
    </row>
    <row r="232" spans="1:40" s="1179" customFormat="1">
      <c r="A232" s="1258"/>
      <c r="B232" s="1188"/>
      <c r="C232" s="1188"/>
      <c r="D232" s="1188"/>
      <c r="E232" s="1210"/>
      <c r="F232" s="1210"/>
      <c r="G232" s="1210"/>
      <c r="H232" s="1210"/>
      <c r="I232" s="1191"/>
      <c r="J232" s="1191"/>
      <c r="K232" s="1199"/>
      <c r="L232" s="1191"/>
      <c r="M232" s="1191"/>
      <c r="N232" s="1191"/>
      <c r="O232" s="1191"/>
      <c r="P232" s="1191"/>
      <c r="Q232" s="1191"/>
      <c r="R232" s="1199"/>
      <c r="S232" s="1191"/>
      <c r="T232" s="1191"/>
      <c r="U232" s="1191"/>
      <c r="V232" s="1191"/>
      <c r="W232" s="1191"/>
      <c r="X232" s="1191"/>
      <c r="Y232" s="1191"/>
      <c r="Z232" s="1191"/>
      <c r="AA232" s="1191"/>
      <c r="AB232" s="1191"/>
      <c r="AC232" s="1191"/>
      <c r="AD232" s="1210"/>
      <c r="AE232" s="1210"/>
      <c r="AF232" s="1210"/>
      <c r="AG232" s="1210"/>
      <c r="AH232" s="1210"/>
      <c r="AI232" s="1210"/>
      <c r="AJ232" s="1210"/>
      <c r="AK232" s="1210"/>
      <c r="AL232" s="1210"/>
      <c r="AM232" s="1210"/>
      <c r="AN232" s="1210"/>
    </row>
    <row r="233" spans="1:40" s="1179" customFormat="1">
      <c r="A233" s="1258"/>
      <c r="B233" s="1188"/>
      <c r="C233" s="1188"/>
      <c r="D233" s="1188"/>
      <c r="E233" s="1210"/>
      <c r="F233" s="1210"/>
      <c r="G233" s="1210"/>
      <c r="H233" s="1210"/>
      <c r="I233" s="1191"/>
      <c r="J233" s="1191"/>
      <c r="K233" s="1199"/>
      <c r="L233" s="1191"/>
      <c r="M233" s="1191"/>
      <c r="N233" s="1191"/>
      <c r="O233" s="1191"/>
      <c r="P233" s="1191"/>
      <c r="Q233" s="1191"/>
      <c r="R233" s="1199"/>
      <c r="S233" s="1191"/>
      <c r="T233" s="1191"/>
      <c r="U233" s="1191"/>
      <c r="V233" s="1191"/>
      <c r="W233" s="1191"/>
      <c r="X233" s="1191"/>
      <c r="Y233" s="1191"/>
      <c r="Z233" s="1191"/>
      <c r="AA233" s="1191"/>
      <c r="AB233" s="1191"/>
      <c r="AC233" s="1191"/>
      <c r="AD233" s="1210"/>
      <c r="AE233" s="1210"/>
      <c r="AF233" s="1210"/>
      <c r="AG233" s="1210"/>
      <c r="AH233" s="1210"/>
      <c r="AI233" s="1210"/>
      <c r="AJ233" s="1210"/>
      <c r="AK233" s="1210"/>
      <c r="AL233" s="1210"/>
      <c r="AM233" s="1210"/>
      <c r="AN233" s="1210"/>
    </row>
    <row r="234" spans="1:40" s="1179" customFormat="1">
      <c r="A234" s="1258"/>
      <c r="B234" s="1188"/>
      <c r="C234" s="1188"/>
      <c r="D234" s="1188"/>
      <c r="E234" s="1210"/>
      <c r="F234" s="1210"/>
      <c r="G234" s="1210"/>
      <c r="H234" s="1210"/>
      <c r="I234" s="1191"/>
      <c r="J234" s="1191"/>
      <c r="K234" s="1199"/>
      <c r="L234" s="1191"/>
      <c r="M234" s="1191"/>
      <c r="N234" s="1191"/>
      <c r="O234" s="1191"/>
      <c r="P234" s="1191"/>
      <c r="Q234" s="1191"/>
      <c r="R234" s="1199"/>
      <c r="S234" s="1191"/>
      <c r="T234" s="1191"/>
      <c r="U234" s="1191"/>
      <c r="V234" s="1191"/>
      <c r="W234" s="1191"/>
      <c r="X234" s="1191"/>
      <c r="Y234" s="1191"/>
      <c r="Z234" s="1191"/>
      <c r="AA234" s="1191"/>
      <c r="AB234" s="1191"/>
      <c r="AC234" s="1191"/>
      <c r="AD234" s="1210"/>
      <c r="AE234" s="1210"/>
      <c r="AF234" s="1210"/>
      <c r="AG234" s="1210"/>
      <c r="AH234" s="1210"/>
      <c r="AI234" s="1210"/>
      <c r="AJ234" s="1210"/>
      <c r="AK234" s="1210"/>
      <c r="AL234" s="1210"/>
      <c r="AM234" s="1210"/>
      <c r="AN234" s="1210"/>
    </row>
    <row r="235" spans="1:40" s="1179" customFormat="1">
      <c r="A235" s="1258"/>
      <c r="B235" s="1188"/>
      <c r="C235" s="1188"/>
      <c r="D235" s="1188"/>
      <c r="E235" s="1210"/>
      <c r="F235" s="1210"/>
      <c r="G235" s="1210"/>
      <c r="H235" s="1210"/>
      <c r="I235" s="1191"/>
      <c r="J235" s="1191"/>
      <c r="K235" s="1199"/>
      <c r="L235" s="1191"/>
      <c r="M235" s="1191"/>
      <c r="N235" s="1191"/>
      <c r="O235" s="1191"/>
      <c r="P235" s="1191"/>
      <c r="Q235" s="1191"/>
      <c r="R235" s="1199"/>
      <c r="S235" s="1191"/>
      <c r="T235" s="1191"/>
      <c r="U235" s="1191"/>
      <c r="V235" s="1191"/>
      <c r="W235" s="1191"/>
      <c r="X235" s="1191"/>
      <c r="Y235" s="1191"/>
      <c r="Z235" s="1191"/>
      <c r="AA235" s="1191"/>
      <c r="AB235" s="1191"/>
      <c r="AC235" s="1191"/>
      <c r="AD235" s="1210"/>
      <c r="AE235" s="1210"/>
      <c r="AF235" s="1210"/>
      <c r="AG235" s="1210"/>
      <c r="AH235" s="1210"/>
      <c r="AI235" s="1210"/>
      <c r="AJ235" s="1210"/>
      <c r="AK235" s="1210"/>
      <c r="AL235" s="1210"/>
      <c r="AM235" s="1210"/>
      <c r="AN235" s="1210"/>
    </row>
    <row r="236" spans="1:40" s="1179" customFormat="1">
      <c r="A236" s="1258"/>
      <c r="B236" s="1188"/>
      <c r="C236" s="1188"/>
      <c r="D236" s="1188"/>
      <c r="E236" s="1210"/>
      <c r="F236" s="1210"/>
      <c r="G236" s="1210"/>
      <c r="H236" s="1210"/>
      <c r="I236" s="1191"/>
      <c r="J236" s="1191"/>
      <c r="K236" s="1199"/>
      <c r="L236" s="1191"/>
      <c r="M236" s="1191"/>
      <c r="N236" s="1191"/>
      <c r="O236" s="1191"/>
      <c r="P236" s="1191"/>
      <c r="Q236" s="1191"/>
      <c r="R236" s="1199"/>
      <c r="S236" s="1191"/>
      <c r="T236" s="1191"/>
      <c r="U236" s="1191"/>
      <c r="V236" s="1191"/>
      <c r="W236" s="1191"/>
      <c r="X236" s="1191"/>
      <c r="Y236" s="1191"/>
      <c r="Z236" s="1191"/>
      <c r="AA236" s="1191"/>
      <c r="AB236" s="1191"/>
      <c r="AC236" s="1191"/>
      <c r="AD236" s="1210"/>
      <c r="AE236" s="1210"/>
      <c r="AF236" s="1210"/>
      <c r="AG236" s="1210"/>
      <c r="AH236" s="1210"/>
      <c r="AI236" s="1210"/>
      <c r="AJ236" s="1210"/>
      <c r="AK236" s="1210"/>
      <c r="AL236" s="1210"/>
      <c r="AM236" s="1210"/>
      <c r="AN236" s="1210"/>
    </row>
    <row r="237" spans="1:40" s="1179" customFormat="1">
      <c r="A237" s="1258"/>
      <c r="B237" s="1188"/>
      <c r="C237" s="1188"/>
      <c r="D237" s="1188"/>
      <c r="E237" s="1210"/>
      <c r="F237" s="1210"/>
      <c r="G237" s="1210"/>
      <c r="H237" s="1210"/>
      <c r="I237" s="1191"/>
      <c r="J237" s="1191"/>
      <c r="K237" s="1199"/>
      <c r="L237" s="1191"/>
      <c r="M237" s="1191"/>
      <c r="N237" s="1191"/>
      <c r="O237" s="1191"/>
      <c r="P237" s="1191"/>
      <c r="Q237" s="1191"/>
      <c r="R237" s="1199"/>
      <c r="S237" s="1191"/>
      <c r="T237" s="1191"/>
      <c r="U237" s="1191"/>
      <c r="V237" s="1191"/>
      <c r="W237" s="1191"/>
      <c r="X237" s="1191"/>
      <c r="Y237" s="1191"/>
      <c r="Z237" s="1191"/>
      <c r="AA237" s="1191"/>
      <c r="AB237" s="1191"/>
      <c r="AC237" s="1191"/>
      <c r="AD237" s="1210"/>
      <c r="AE237" s="1210"/>
      <c r="AF237" s="1210"/>
      <c r="AG237" s="1210"/>
      <c r="AH237" s="1210"/>
      <c r="AI237" s="1210"/>
      <c r="AJ237" s="1210"/>
      <c r="AK237" s="1210"/>
      <c r="AL237" s="1210"/>
      <c r="AM237" s="1210"/>
      <c r="AN237" s="1210"/>
    </row>
    <row r="238" spans="1:40" s="1179" customFormat="1">
      <c r="A238" s="1258"/>
      <c r="B238" s="1188"/>
      <c r="C238" s="1188"/>
      <c r="D238" s="1188"/>
      <c r="E238" s="1210"/>
      <c r="F238" s="1210"/>
      <c r="G238" s="1210"/>
      <c r="H238" s="1210"/>
      <c r="I238" s="1191"/>
      <c r="J238" s="1191"/>
      <c r="K238" s="1199"/>
      <c r="L238" s="1191"/>
      <c r="M238" s="1191"/>
      <c r="N238" s="1191"/>
      <c r="O238" s="1191"/>
      <c r="P238" s="1191"/>
      <c r="Q238" s="1191"/>
      <c r="R238" s="1199"/>
      <c r="S238" s="1191"/>
      <c r="T238" s="1191"/>
      <c r="U238" s="1191"/>
      <c r="V238" s="1191"/>
      <c r="W238" s="1191"/>
      <c r="X238" s="1191"/>
      <c r="Y238" s="1191"/>
      <c r="Z238" s="1191"/>
      <c r="AA238" s="1191"/>
      <c r="AB238" s="1191"/>
      <c r="AC238" s="1191"/>
      <c r="AD238" s="1210"/>
      <c r="AE238" s="1210"/>
      <c r="AF238" s="1210"/>
      <c r="AG238" s="1210"/>
      <c r="AH238" s="1210"/>
      <c r="AI238" s="1210"/>
      <c r="AJ238" s="1210"/>
      <c r="AK238" s="1210"/>
      <c r="AL238" s="1210"/>
      <c r="AM238" s="1210"/>
      <c r="AN238" s="1210"/>
    </row>
    <row r="239" spans="1:40" s="1179" customFormat="1">
      <c r="A239" s="1258"/>
      <c r="B239" s="1188"/>
      <c r="C239" s="1188"/>
      <c r="D239" s="1188"/>
      <c r="E239" s="1210"/>
      <c r="F239" s="1210"/>
      <c r="G239" s="1210"/>
      <c r="H239" s="1210"/>
      <c r="I239" s="1191"/>
      <c r="J239" s="1191"/>
      <c r="K239" s="1199"/>
      <c r="L239" s="1191"/>
      <c r="M239" s="1191"/>
      <c r="N239" s="1191"/>
      <c r="O239" s="1191"/>
      <c r="P239" s="1191"/>
      <c r="Q239" s="1191"/>
      <c r="R239" s="1199"/>
      <c r="S239" s="1191"/>
      <c r="T239" s="1191"/>
      <c r="U239" s="1191"/>
      <c r="V239" s="1191"/>
      <c r="W239" s="1191"/>
      <c r="X239" s="1191"/>
      <c r="Y239" s="1191"/>
      <c r="Z239" s="1191"/>
      <c r="AA239" s="1191"/>
      <c r="AB239" s="1191"/>
      <c r="AC239" s="1191"/>
      <c r="AD239" s="1210"/>
      <c r="AE239" s="1210"/>
      <c r="AF239" s="1210"/>
      <c r="AG239" s="1210"/>
      <c r="AH239" s="1210"/>
      <c r="AI239" s="1210"/>
      <c r="AJ239" s="1210"/>
      <c r="AK239" s="1210"/>
      <c r="AL239" s="1210"/>
      <c r="AM239" s="1210"/>
      <c r="AN239" s="1210"/>
    </row>
    <row r="240" spans="1:40" s="1179" customFormat="1">
      <c r="A240" s="1258"/>
      <c r="B240" s="1188"/>
      <c r="C240" s="1188"/>
      <c r="D240" s="1188"/>
      <c r="E240" s="1210"/>
      <c r="F240" s="1210"/>
      <c r="G240" s="1210"/>
      <c r="H240" s="1210"/>
      <c r="I240" s="1191"/>
      <c r="J240" s="1191"/>
      <c r="K240" s="1199"/>
      <c r="L240" s="1191"/>
      <c r="M240" s="1191"/>
      <c r="N240" s="1191"/>
      <c r="O240" s="1191"/>
      <c r="P240" s="1191"/>
      <c r="Q240" s="1191"/>
      <c r="R240" s="1199"/>
      <c r="S240" s="1191"/>
      <c r="T240" s="1191"/>
      <c r="U240" s="1191"/>
      <c r="V240" s="1191"/>
      <c r="W240" s="1191"/>
      <c r="X240" s="1191"/>
      <c r="Y240" s="1191"/>
      <c r="Z240" s="1191"/>
      <c r="AA240" s="1191"/>
      <c r="AB240" s="1191"/>
      <c r="AC240" s="1191"/>
      <c r="AD240" s="1210"/>
      <c r="AE240" s="1210"/>
      <c r="AF240" s="1210"/>
      <c r="AG240" s="1210"/>
      <c r="AH240" s="1210"/>
      <c r="AI240" s="1210"/>
      <c r="AJ240" s="1210"/>
      <c r="AK240" s="1210"/>
      <c r="AL240" s="1210"/>
      <c r="AM240" s="1210"/>
      <c r="AN240" s="1210"/>
    </row>
    <row r="241" spans="1:40" s="1179" customFormat="1">
      <c r="A241" s="1258"/>
      <c r="B241" s="1188"/>
      <c r="C241" s="1188"/>
      <c r="D241" s="1188"/>
      <c r="E241" s="1210"/>
      <c r="F241" s="1210"/>
      <c r="G241" s="1210"/>
      <c r="H241" s="1210"/>
      <c r="I241" s="1191"/>
      <c r="J241" s="1191"/>
      <c r="K241" s="1199"/>
      <c r="L241" s="1191"/>
      <c r="M241" s="1191"/>
      <c r="N241" s="1191"/>
      <c r="O241" s="1191"/>
      <c r="P241" s="1191"/>
      <c r="Q241" s="1191"/>
      <c r="R241" s="1199"/>
      <c r="S241" s="1191"/>
      <c r="T241" s="1191"/>
      <c r="U241" s="1191"/>
      <c r="V241" s="1191"/>
      <c r="W241" s="1191"/>
      <c r="X241" s="1191"/>
      <c r="Y241" s="1191"/>
      <c r="Z241" s="1191"/>
      <c r="AA241" s="1191"/>
      <c r="AB241" s="1191"/>
      <c r="AC241" s="1191"/>
      <c r="AD241" s="1210"/>
      <c r="AE241" s="1210"/>
      <c r="AF241" s="1210"/>
      <c r="AG241" s="1210"/>
      <c r="AH241" s="1210"/>
      <c r="AI241" s="1210"/>
      <c r="AJ241" s="1210"/>
      <c r="AK241" s="1210"/>
      <c r="AL241" s="1210"/>
      <c r="AM241" s="1210"/>
      <c r="AN241" s="1210"/>
    </row>
    <row r="242" spans="1:40" s="1179" customFormat="1">
      <c r="A242" s="1258"/>
      <c r="B242" s="1188"/>
      <c r="C242" s="1188"/>
      <c r="D242" s="1188"/>
      <c r="E242" s="1210"/>
      <c r="F242" s="1210"/>
      <c r="G242" s="1210"/>
      <c r="H242" s="1210"/>
      <c r="I242" s="1191"/>
      <c r="J242" s="1191"/>
      <c r="K242" s="1199"/>
      <c r="L242" s="1191"/>
      <c r="M242" s="1191"/>
      <c r="N242" s="1191"/>
      <c r="O242" s="1191"/>
      <c r="P242" s="1191"/>
      <c r="Q242" s="1191"/>
      <c r="R242" s="1199"/>
      <c r="S242" s="1191"/>
      <c r="T242" s="1191"/>
      <c r="U242" s="1191"/>
      <c r="V242" s="1191"/>
      <c r="W242" s="1191"/>
      <c r="X242" s="1191"/>
      <c r="Y242" s="1191"/>
      <c r="Z242" s="1191"/>
      <c r="AA242" s="1191"/>
      <c r="AB242" s="1191"/>
      <c r="AC242" s="1191"/>
      <c r="AD242" s="1210"/>
      <c r="AE242" s="1210"/>
      <c r="AF242" s="1210"/>
      <c r="AG242" s="1210"/>
      <c r="AH242" s="1210"/>
      <c r="AI242" s="1210"/>
      <c r="AJ242" s="1210"/>
      <c r="AK242" s="1210"/>
      <c r="AL242" s="1210"/>
      <c r="AM242" s="1210"/>
      <c r="AN242" s="1210"/>
    </row>
    <row r="243" spans="1:40" s="1179" customFormat="1">
      <c r="A243" s="1258"/>
      <c r="B243" s="1188"/>
      <c r="C243" s="1188"/>
      <c r="D243" s="1188"/>
      <c r="E243" s="1210"/>
      <c r="F243" s="1210"/>
      <c r="G243" s="1210"/>
      <c r="H243" s="1210"/>
      <c r="I243" s="1191"/>
      <c r="J243" s="1191"/>
      <c r="K243" s="1199"/>
      <c r="L243" s="1191"/>
      <c r="M243" s="1191"/>
      <c r="N243" s="1191"/>
      <c r="O243" s="1191"/>
      <c r="P243" s="1191"/>
      <c r="Q243" s="1191"/>
      <c r="R243" s="1199"/>
      <c r="S243" s="1191"/>
      <c r="T243" s="1191"/>
      <c r="U243" s="1191"/>
      <c r="V243" s="1191"/>
      <c r="W243" s="1191"/>
      <c r="X243" s="1191"/>
      <c r="Y243" s="1191"/>
      <c r="Z243" s="1191"/>
      <c r="AA243" s="1191"/>
      <c r="AB243" s="1191"/>
      <c r="AC243" s="1191"/>
      <c r="AD243" s="1210"/>
      <c r="AE243" s="1210"/>
      <c r="AF243" s="1210"/>
      <c r="AG243" s="1210"/>
      <c r="AH243" s="1210"/>
      <c r="AI243" s="1210"/>
      <c r="AJ243" s="1210"/>
      <c r="AK243" s="1210"/>
      <c r="AL243" s="1210"/>
      <c r="AM243" s="1210"/>
      <c r="AN243" s="1210"/>
    </row>
    <row r="244" spans="1:40" s="1179" customFormat="1">
      <c r="A244" s="1258"/>
      <c r="B244" s="1188"/>
      <c r="C244" s="1188"/>
      <c r="D244" s="1188"/>
      <c r="E244" s="1210"/>
      <c r="F244" s="1210"/>
      <c r="G244" s="1210"/>
      <c r="H244" s="1210"/>
      <c r="I244" s="1191"/>
      <c r="J244" s="1191"/>
      <c r="K244" s="1199"/>
      <c r="L244" s="1191"/>
      <c r="M244" s="1191"/>
      <c r="N244" s="1191"/>
      <c r="O244" s="1191"/>
      <c r="P244" s="1191"/>
      <c r="Q244" s="1191"/>
      <c r="R244" s="1199"/>
      <c r="S244" s="1191"/>
      <c r="T244" s="1191"/>
      <c r="U244" s="1191"/>
      <c r="V244" s="1191"/>
      <c r="W244" s="1191"/>
      <c r="X244" s="1191"/>
      <c r="Y244" s="1191"/>
      <c r="Z244" s="1191"/>
      <c r="AA244" s="1191"/>
      <c r="AB244" s="1191"/>
      <c r="AC244" s="1191"/>
      <c r="AD244" s="1210"/>
      <c r="AE244" s="1210"/>
      <c r="AF244" s="1210"/>
      <c r="AG244" s="1210"/>
      <c r="AH244" s="1210"/>
      <c r="AI244" s="1210"/>
      <c r="AJ244" s="1210"/>
      <c r="AK244" s="1210"/>
      <c r="AL244" s="1210"/>
      <c r="AM244" s="1210"/>
      <c r="AN244" s="1210"/>
    </row>
    <row r="245" spans="1:40" s="1179" customFormat="1">
      <c r="A245" s="1258"/>
      <c r="B245" s="1188"/>
      <c r="C245" s="1188"/>
      <c r="D245" s="1188"/>
      <c r="E245" s="1210"/>
      <c r="F245" s="1210"/>
      <c r="G245" s="1210"/>
      <c r="H245" s="1210"/>
      <c r="I245" s="1191"/>
      <c r="J245" s="1191"/>
      <c r="K245" s="1199"/>
      <c r="L245" s="1191"/>
      <c r="M245" s="1191"/>
      <c r="N245" s="1191"/>
      <c r="O245" s="1191"/>
      <c r="P245" s="1191"/>
      <c r="Q245" s="1191"/>
      <c r="R245" s="1199"/>
      <c r="S245" s="1191"/>
      <c r="T245" s="1191"/>
      <c r="U245" s="1191"/>
      <c r="V245" s="1191"/>
      <c r="W245" s="1191"/>
      <c r="X245" s="1191"/>
      <c r="Y245" s="1191"/>
      <c r="Z245" s="1191"/>
      <c r="AA245" s="1191"/>
      <c r="AB245" s="1191"/>
      <c r="AC245" s="1191"/>
      <c r="AD245" s="1210"/>
      <c r="AE245" s="1210"/>
      <c r="AF245" s="1210"/>
      <c r="AG245" s="1210"/>
      <c r="AH245" s="1210"/>
      <c r="AI245" s="1210"/>
      <c r="AJ245" s="1210"/>
      <c r="AK245" s="1210"/>
      <c r="AL245" s="1210"/>
      <c r="AM245" s="1210"/>
      <c r="AN245" s="1210"/>
    </row>
    <row r="246" spans="1:40" s="1179" customFormat="1">
      <c r="A246" s="1258"/>
      <c r="B246" s="1188"/>
      <c r="C246" s="1188"/>
      <c r="D246" s="1188"/>
      <c r="E246" s="1210"/>
      <c r="F246" s="1210"/>
      <c r="G246" s="1210"/>
      <c r="H246" s="1210"/>
      <c r="I246" s="1191"/>
      <c r="J246" s="1191"/>
      <c r="K246" s="1199"/>
      <c r="L246" s="1191"/>
      <c r="M246" s="1191"/>
      <c r="N246" s="1191"/>
      <c r="O246" s="1191"/>
      <c r="P246" s="1191"/>
      <c r="Q246" s="1191"/>
      <c r="R246" s="1199"/>
      <c r="S246" s="1191"/>
      <c r="T246" s="1191"/>
      <c r="U246" s="1191"/>
      <c r="V246" s="1191"/>
      <c r="W246" s="1191"/>
      <c r="X246" s="1191"/>
      <c r="Y246" s="1191"/>
      <c r="Z246" s="1191"/>
      <c r="AA246" s="1191"/>
      <c r="AB246" s="1191"/>
      <c r="AC246" s="1191"/>
      <c r="AD246" s="1210"/>
      <c r="AE246" s="1210"/>
      <c r="AF246" s="1210"/>
      <c r="AG246" s="1210"/>
      <c r="AH246" s="1210"/>
      <c r="AI246" s="1210"/>
      <c r="AJ246" s="1210"/>
      <c r="AK246" s="1210"/>
      <c r="AL246" s="1210"/>
      <c r="AM246" s="1210"/>
      <c r="AN246" s="1210"/>
    </row>
    <row r="247" spans="1:40" s="1179" customFormat="1">
      <c r="A247" s="1258"/>
      <c r="B247" s="1188"/>
      <c r="C247" s="1188"/>
      <c r="D247" s="1188"/>
      <c r="E247" s="1210"/>
      <c r="F247" s="1210"/>
      <c r="G247" s="1210"/>
      <c r="H247" s="1210"/>
      <c r="I247" s="1191"/>
      <c r="J247" s="1191"/>
      <c r="K247" s="1199"/>
      <c r="L247" s="1191"/>
      <c r="M247" s="1191"/>
      <c r="N247" s="1191"/>
      <c r="O247" s="1191"/>
      <c r="P247" s="1191"/>
      <c r="Q247" s="1191"/>
      <c r="R247" s="1199"/>
      <c r="S247" s="1191"/>
      <c r="T247" s="1191"/>
      <c r="U247" s="1191"/>
      <c r="V247" s="1191"/>
      <c r="W247" s="1191"/>
      <c r="X247" s="1191"/>
      <c r="Y247" s="1191"/>
      <c r="Z247" s="1191"/>
      <c r="AA247" s="1191"/>
      <c r="AB247" s="1191"/>
      <c r="AC247" s="1191"/>
      <c r="AD247" s="1210"/>
      <c r="AE247" s="1210"/>
      <c r="AF247" s="1210"/>
      <c r="AG247" s="1210"/>
      <c r="AH247" s="1210"/>
      <c r="AI247" s="1210"/>
      <c r="AJ247" s="1210"/>
      <c r="AK247" s="1210"/>
      <c r="AL247" s="1210"/>
      <c r="AM247" s="1210"/>
      <c r="AN247" s="1210"/>
    </row>
    <row r="248" spans="1:40" s="1179" customFormat="1">
      <c r="A248" s="1258"/>
      <c r="B248" s="1188"/>
      <c r="C248" s="1188"/>
      <c r="D248" s="1188"/>
      <c r="E248" s="1210"/>
      <c r="F248" s="1210"/>
      <c r="G248" s="1210"/>
      <c r="H248" s="1210"/>
      <c r="I248" s="1191"/>
      <c r="J248" s="1191"/>
      <c r="K248" s="1199"/>
      <c r="L248" s="1191"/>
      <c r="M248" s="1191"/>
      <c r="N248" s="1191"/>
      <c r="O248" s="1191"/>
      <c r="P248" s="1191"/>
      <c r="Q248" s="1191"/>
      <c r="R248" s="1199"/>
      <c r="S248" s="1191"/>
      <c r="T248" s="1191"/>
      <c r="U248" s="1191"/>
      <c r="V248" s="1191"/>
      <c r="W248" s="1191"/>
      <c r="X248" s="1191"/>
      <c r="Y248" s="1191"/>
      <c r="Z248" s="1191"/>
      <c r="AA248" s="1191"/>
      <c r="AB248" s="1191"/>
      <c r="AC248" s="1191"/>
      <c r="AD248" s="1210"/>
      <c r="AE248" s="1210"/>
      <c r="AF248" s="1210"/>
      <c r="AG248" s="1210"/>
      <c r="AH248" s="1210"/>
      <c r="AI248" s="1210"/>
      <c r="AJ248" s="1210"/>
      <c r="AK248" s="1210"/>
      <c r="AL248" s="1210"/>
      <c r="AM248" s="1210"/>
      <c r="AN248" s="1210"/>
    </row>
    <row r="249" spans="1:40" s="1179" customFormat="1">
      <c r="A249" s="1258"/>
      <c r="B249" s="1188"/>
      <c r="C249" s="1188"/>
      <c r="D249" s="1188"/>
      <c r="E249" s="1210"/>
      <c r="F249" s="1210"/>
      <c r="G249" s="1210"/>
      <c r="H249" s="1210"/>
      <c r="I249" s="1191"/>
      <c r="J249" s="1191"/>
      <c r="K249" s="1199"/>
      <c r="L249" s="1191"/>
      <c r="M249" s="1191"/>
      <c r="N249" s="1191"/>
      <c r="O249" s="1191"/>
      <c r="P249" s="1191"/>
      <c r="Q249" s="1191"/>
      <c r="R249" s="1199"/>
      <c r="S249" s="1191"/>
      <c r="T249" s="1191"/>
      <c r="U249" s="1191"/>
      <c r="V249" s="1191"/>
      <c r="W249" s="1191"/>
      <c r="X249" s="1191"/>
      <c r="Y249" s="1191"/>
      <c r="Z249" s="1191"/>
      <c r="AA249" s="1191"/>
      <c r="AB249" s="1191"/>
      <c r="AC249" s="1191"/>
      <c r="AD249" s="1210"/>
      <c r="AE249" s="1210"/>
      <c r="AF249" s="1210"/>
      <c r="AG249" s="1210"/>
      <c r="AH249" s="1210"/>
      <c r="AI249" s="1210"/>
      <c r="AJ249" s="1210"/>
      <c r="AK249" s="1210"/>
      <c r="AL249" s="1210"/>
      <c r="AM249" s="1210"/>
      <c r="AN249" s="1210"/>
    </row>
    <row r="250" spans="1:40" s="1179" customFormat="1">
      <c r="A250" s="1258"/>
      <c r="B250" s="1188"/>
      <c r="C250" s="1188"/>
      <c r="D250" s="1188"/>
      <c r="E250" s="1210"/>
      <c r="F250" s="1210"/>
      <c r="G250" s="1210"/>
      <c r="H250" s="1210"/>
      <c r="I250" s="1191"/>
      <c r="J250" s="1191"/>
      <c r="K250" s="1199"/>
      <c r="L250" s="1191"/>
      <c r="M250" s="1191"/>
      <c r="N250" s="1191"/>
      <c r="O250" s="1191"/>
      <c r="P250" s="1191"/>
      <c r="Q250" s="1191"/>
      <c r="R250" s="1199"/>
      <c r="S250" s="1191"/>
      <c r="T250" s="1191"/>
      <c r="U250" s="1191"/>
      <c r="V250" s="1191"/>
      <c r="W250" s="1191"/>
      <c r="X250" s="1191"/>
      <c r="Y250" s="1191"/>
      <c r="Z250" s="1191"/>
      <c r="AA250" s="1191"/>
      <c r="AB250" s="1191"/>
      <c r="AC250" s="1191"/>
      <c r="AD250" s="1210"/>
      <c r="AE250" s="1210"/>
      <c r="AF250" s="1210"/>
      <c r="AG250" s="1210"/>
      <c r="AH250" s="1210"/>
      <c r="AI250" s="1210"/>
      <c r="AJ250" s="1210"/>
      <c r="AK250" s="1210"/>
      <c r="AL250" s="1210"/>
      <c r="AM250" s="1210"/>
      <c r="AN250" s="1210"/>
    </row>
    <row r="251" spans="1:40" s="1179" customFormat="1">
      <c r="A251" s="1258"/>
      <c r="B251" s="1188"/>
      <c r="C251" s="1188"/>
      <c r="D251" s="1188"/>
      <c r="E251" s="1210"/>
      <c r="F251" s="1210"/>
      <c r="G251" s="1210"/>
      <c r="H251" s="1210"/>
      <c r="I251" s="1191"/>
      <c r="J251" s="1191"/>
      <c r="K251" s="1199"/>
      <c r="L251" s="1191"/>
      <c r="M251" s="1191"/>
      <c r="N251" s="1191"/>
      <c r="O251" s="1191"/>
      <c r="P251" s="1191"/>
      <c r="Q251" s="1191"/>
      <c r="R251" s="1199"/>
      <c r="S251" s="1191"/>
      <c r="T251" s="1191"/>
      <c r="U251" s="1191"/>
      <c r="V251" s="1191"/>
      <c r="W251" s="1191"/>
      <c r="X251" s="1191"/>
      <c r="Y251" s="1191"/>
      <c r="Z251" s="1191"/>
      <c r="AA251" s="1191"/>
      <c r="AB251" s="1191"/>
      <c r="AC251" s="1191"/>
      <c r="AD251" s="1210"/>
      <c r="AE251" s="1210"/>
      <c r="AF251" s="1210"/>
      <c r="AG251" s="1210"/>
      <c r="AH251" s="1210"/>
      <c r="AI251" s="1210"/>
      <c r="AJ251" s="1210"/>
      <c r="AK251" s="1210"/>
      <c r="AL251" s="1210"/>
      <c r="AM251" s="1210"/>
      <c r="AN251" s="1210"/>
    </row>
    <row r="252" spans="1:40" s="1179" customFormat="1">
      <c r="A252" s="1258"/>
      <c r="B252" s="1188"/>
      <c r="C252" s="1188"/>
      <c r="D252" s="1188"/>
      <c r="E252" s="1210"/>
      <c r="F252" s="1210"/>
      <c r="G252" s="1210"/>
      <c r="H252" s="1210"/>
      <c r="I252" s="1191"/>
      <c r="J252" s="1191"/>
      <c r="K252" s="1199"/>
      <c r="L252" s="1191"/>
      <c r="M252" s="1191"/>
      <c r="N252" s="1191"/>
      <c r="O252" s="1191"/>
      <c r="P252" s="1191"/>
      <c r="Q252" s="1191"/>
      <c r="R252" s="1199"/>
      <c r="S252" s="1191"/>
      <c r="T252" s="1191"/>
      <c r="U252" s="1191"/>
      <c r="V252" s="1191"/>
      <c r="W252" s="1191"/>
      <c r="X252" s="1191"/>
      <c r="Y252" s="1191"/>
      <c r="Z252" s="1191"/>
      <c r="AA252" s="1191"/>
      <c r="AB252" s="1191"/>
      <c r="AC252" s="1191"/>
      <c r="AD252" s="1210"/>
      <c r="AE252" s="1210"/>
      <c r="AF252" s="1210"/>
      <c r="AG252" s="1210"/>
      <c r="AH252" s="1210"/>
      <c r="AI252" s="1210"/>
      <c r="AJ252" s="1210"/>
      <c r="AK252" s="1210"/>
      <c r="AL252" s="1210"/>
      <c r="AM252" s="1210"/>
      <c r="AN252" s="1210"/>
    </row>
    <row r="253" spans="1:40" s="1179" customFormat="1">
      <c r="A253" s="1258"/>
      <c r="B253" s="1188"/>
      <c r="C253" s="1188"/>
      <c r="D253" s="1188"/>
      <c r="E253" s="1210"/>
      <c r="F253" s="1210"/>
      <c r="G253" s="1210"/>
      <c r="H253" s="1210"/>
      <c r="I253" s="1191"/>
      <c r="J253" s="1191"/>
      <c r="K253" s="1199"/>
      <c r="L253" s="1191"/>
      <c r="M253" s="1191"/>
      <c r="N253" s="1191"/>
      <c r="O253" s="1191"/>
      <c r="P253" s="1191"/>
      <c r="Q253" s="1191"/>
      <c r="R253" s="1199"/>
      <c r="S253" s="1191"/>
      <c r="T253" s="1191"/>
      <c r="U253" s="1191"/>
      <c r="V253" s="1191"/>
      <c r="W253" s="1191"/>
      <c r="X253" s="1191"/>
      <c r="Y253" s="1191"/>
      <c r="Z253" s="1191"/>
      <c r="AA253" s="1191"/>
      <c r="AB253" s="1191"/>
      <c r="AC253" s="1191"/>
      <c r="AD253" s="1210"/>
      <c r="AE253" s="1210"/>
      <c r="AF253" s="1210"/>
      <c r="AG253" s="1210"/>
      <c r="AH253" s="1210"/>
      <c r="AI253" s="1210"/>
      <c r="AJ253" s="1210"/>
      <c r="AK253" s="1210"/>
      <c r="AL253" s="1210"/>
      <c r="AM253" s="1210"/>
      <c r="AN253" s="1210"/>
    </row>
    <row r="254" spans="1:40" s="1179" customFormat="1">
      <c r="A254" s="1258"/>
      <c r="B254" s="1188"/>
      <c r="C254" s="1188"/>
      <c r="D254" s="1188"/>
      <c r="E254" s="1210"/>
      <c r="F254" s="1210"/>
      <c r="G254" s="1210"/>
      <c r="H254" s="1210"/>
      <c r="I254" s="1191"/>
      <c r="J254" s="1191"/>
      <c r="K254" s="1199"/>
      <c r="L254" s="1191"/>
      <c r="M254" s="1191"/>
      <c r="N254" s="1191"/>
      <c r="O254" s="1191"/>
      <c r="P254" s="1191"/>
      <c r="Q254" s="1191"/>
      <c r="R254" s="1199"/>
      <c r="S254" s="1191"/>
      <c r="T254" s="1191"/>
      <c r="U254" s="1191"/>
      <c r="V254" s="1191"/>
      <c r="W254" s="1191"/>
      <c r="X254" s="1191"/>
      <c r="Y254" s="1191"/>
      <c r="Z254" s="1191"/>
      <c r="AA254" s="1191"/>
      <c r="AB254" s="1191"/>
      <c r="AC254" s="1191"/>
      <c r="AD254" s="1210"/>
      <c r="AE254" s="1210"/>
      <c r="AF254" s="1210"/>
      <c r="AG254" s="1210"/>
      <c r="AH254" s="1210"/>
      <c r="AI254" s="1210"/>
      <c r="AJ254" s="1210"/>
      <c r="AK254" s="1210"/>
      <c r="AL254" s="1210"/>
      <c r="AM254" s="1210"/>
      <c r="AN254" s="1210"/>
    </row>
    <row r="255" spans="1:40" s="1179" customFormat="1">
      <c r="A255" s="1258"/>
      <c r="B255" s="1188"/>
      <c r="C255" s="1188"/>
      <c r="D255" s="1188"/>
      <c r="E255" s="1210"/>
      <c r="F255" s="1210"/>
      <c r="G255" s="1210"/>
      <c r="H255" s="1210"/>
      <c r="I255" s="1191"/>
      <c r="J255" s="1191"/>
      <c r="K255" s="1199"/>
      <c r="L255" s="1191"/>
      <c r="M255" s="1191"/>
      <c r="N255" s="1191"/>
      <c r="O255" s="1191"/>
      <c r="P255" s="1191"/>
      <c r="Q255" s="1191"/>
      <c r="R255" s="1199"/>
      <c r="S255" s="1191"/>
      <c r="T255" s="1191"/>
      <c r="U255" s="1191"/>
      <c r="V255" s="1191"/>
      <c r="W255" s="1191"/>
      <c r="X255" s="1191"/>
      <c r="Y255" s="1191"/>
      <c r="Z255" s="1191"/>
      <c r="AA255" s="1191"/>
      <c r="AB255" s="1191"/>
      <c r="AC255" s="1191"/>
      <c r="AD255" s="1210"/>
      <c r="AE255" s="1210"/>
      <c r="AF255" s="1210"/>
      <c r="AG255" s="1210"/>
      <c r="AH255" s="1210"/>
      <c r="AI255" s="1210"/>
      <c r="AJ255" s="1210"/>
      <c r="AK255" s="1210"/>
      <c r="AL255" s="1210"/>
      <c r="AM255" s="1210"/>
      <c r="AN255" s="1210"/>
    </row>
    <row r="256" spans="1:40" s="1179" customFormat="1">
      <c r="A256" s="1258"/>
      <c r="B256" s="1188"/>
      <c r="C256" s="1188"/>
      <c r="D256" s="1188"/>
      <c r="E256" s="1210"/>
      <c r="F256" s="1210"/>
      <c r="G256" s="1210"/>
      <c r="H256" s="1210"/>
      <c r="I256" s="1191"/>
      <c r="J256" s="1191"/>
      <c r="K256" s="1199"/>
      <c r="L256" s="1191"/>
      <c r="M256" s="1191"/>
      <c r="N256" s="1191"/>
      <c r="O256" s="1191"/>
      <c r="P256" s="1191"/>
      <c r="Q256" s="1191"/>
      <c r="R256" s="1199"/>
      <c r="S256" s="1191"/>
      <c r="T256" s="1191"/>
      <c r="U256" s="1191"/>
      <c r="V256" s="1191"/>
      <c r="W256" s="1191"/>
      <c r="X256" s="1191"/>
      <c r="Y256" s="1191"/>
      <c r="Z256" s="1191"/>
      <c r="AA256" s="1191"/>
      <c r="AB256" s="1191"/>
      <c r="AC256" s="1191"/>
      <c r="AD256" s="1210"/>
      <c r="AE256" s="1210"/>
      <c r="AF256" s="1210"/>
      <c r="AG256" s="1210"/>
      <c r="AH256" s="1210"/>
      <c r="AI256" s="1210"/>
      <c r="AJ256" s="1210"/>
      <c r="AK256" s="1210"/>
      <c r="AL256" s="1210"/>
      <c r="AM256" s="1210"/>
      <c r="AN256" s="1210"/>
    </row>
    <row r="257" spans="1:40" s="1179" customFormat="1">
      <c r="A257" s="1258"/>
      <c r="B257" s="1188"/>
      <c r="C257" s="1188"/>
      <c r="D257" s="1188"/>
      <c r="E257" s="1210"/>
      <c r="F257" s="1210"/>
      <c r="G257" s="1210"/>
      <c r="H257" s="1210"/>
      <c r="I257" s="1191"/>
      <c r="J257" s="1191"/>
      <c r="K257" s="1199"/>
      <c r="L257" s="1191"/>
      <c r="M257" s="1191"/>
      <c r="N257" s="1191"/>
      <c r="O257" s="1191"/>
      <c r="P257" s="1191"/>
      <c r="Q257" s="1191"/>
      <c r="R257" s="1199"/>
      <c r="S257" s="1191"/>
      <c r="T257" s="1191"/>
      <c r="U257" s="1191"/>
      <c r="V257" s="1191"/>
      <c r="W257" s="1191"/>
      <c r="X257" s="1191"/>
      <c r="Y257" s="1191"/>
      <c r="Z257" s="1191"/>
      <c r="AA257" s="1191"/>
      <c r="AB257" s="1191"/>
      <c r="AC257" s="1191"/>
      <c r="AD257" s="1210"/>
      <c r="AE257" s="1210"/>
      <c r="AF257" s="1210"/>
      <c r="AG257" s="1210"/>
      <c r="AH257" s="1210"/>
      <c r="AI257" s="1210"/>
      <c r="AJ257" s="1210"/>
      <c r="AK257" s="1210"/>
      <c r="AL257" s="1210"/>
      <c r="AM257" s="1210"/>
      <c r="AN257" s="1210"/>
    </row>
    <row r="258" spans="1:40" s="1179" customFormat="1">
      <c r="A258" s="1258"/>
      <c r="B258" s="1188"/>
      <c r="C258" s="1188"/>
      <c r="D258" s="1188"/>
      <c r="E258" s="1210"/>
      <c r="F258" s="1210"/>
      <c r="G258" s="1210"/>
      <c r="H258" s="1210"/>
      <c r="I258" s="1191"/>
      <c r="J258" s="1191"/>
      <c r="K258" s="1199"/>
      <c r="L258" s="1191"/>
      <c r="M258" s="1191"/>
      <c r="N258" s="1191"/>
      <c r="O258" s="1191"/>
      <c r="P258" s="1191"/>
      <c r="Q258" s="1191"/>
      <c r="R258" s="1199"/>
      <c r="S258" s="1191"/>
      <c r="T258" s="1191"/>
      <c r="U258" s="1191"/>
      <c r="V258" s="1191"/>
      <c r="W258" s="1191"/>
      <c r="X258" s="1191"/>
      <c r="Y258" s="1191"/>
      <c r="Z258" s="1191"/>
      <c r="AA258" s="1191"/>
      <c r="AB258" s="1191"/>
      <c r="AC258" s="1191"/>
      <c r="AD258" s="1210"/>
      <c r="AE258" s="1210"/>
      <c r="AF258" s="1210"/>
      <c r="AG258" s="1210"/>
      <c r="AH258" s="1210"/>
      <c r="AI258" s="1210"/>
      <c r="AJ258" s="1210"/>
      <c r="AK258" s="1210"/>
      <c r="AL258" s="1210"/>
      <c r="AM258" s="1210"/>
      <c r="AN258" s="1210"/>
    </row>
    <row r="259" spans="1:40" s="1179" customFormat="1">
      <c r="A259" s="1258"/>
      <c r="B259" s="1188"/>
      <c r="C259" s="1188"/>
      <c r="D259" s="1188"/>
      <c r="E259" s="1210"/>
      <c r="F259" s="1210"/>
      <c r="G259" s="1210"/>
      <c r="H259" s="1210"/>
      <c r="I259" s="1191"/>
      <c r="J259" s="1191"/>
      <c r="K259" s="1199"/>
      <c r="L259" s="1191"/>
      <c r="M259" s="1191"/>
      <c r="N259" s="1191"/>
      <c r="O259" s="1191"/>
      <c r="P259" s="1191"/>
      <c r="Q259" s="1191"/>
      <c r="R259" s="1199"/>
      <c r="S259" s="1191"/>
      <c r="T259" s="1191"/>
      <c r="U259" s="1191"/>
      <c r="V259" s="1191"/>
      <c r="W259" s="1191"/>
      <c r="X259" s="1191"/>
      <c r="Y259" s="1191"/>
      <c r="Z259" s="1191"/>
      <c r="AA259" s="1191"/>
      <c r="AB259" s="1191"/>
      <c r="AC259" s="1191"/>
      <c r="AD259" s="1210"/>
      <c r="AE259" s="1210"/>
      <c r="AF259" s="1210"/>
      <c r="AG259" s="1210"/>
      <c r="AH259" s="1210"/>
      <c r="AI259" s="1210"/>
      <c r="AJ259" s="1210"/>
      <c r="AK259" s="1210"/>
      <c r="AL259" s="1210"/>
      <c r="AM259" s="1210"/>
      <c r="AN259" s="1210"/>
    </row>
    <row r="260" spans="1:40" s="1179" customFormat="1">
      <c r="A260" s="1258"/>
      <c r="B260" s="1188"/>
      <c r="C260" s="1188"/>
      <c r="D260" s="1188"/>
      <c r="E260" s="1210"/>
      <c r="F260" s="1210"/>
      <c r="G260" s="1210"/>
      <c r="H260" s="1210"/>
      <c r="I260" s="1191"/>
      <c r="J260" s="1191"/>
      <c r="K260" s="1199"/>
      <c r="L260" s="1191"/>
      <c r="M260" s="1191"/>
      <c r="N260" s="1191"/>
      <c r="O260" s="1191"/>
      <c r="P260" s="1191"/>
      <c r="Q260" s="1191"/>
      <c r="R260" s="1199"/>
      <c r="S260" s="1191"/>
      <c r="T260" s="1191"/>
      <c r="U260" s="1191"/>
      <c r="V260" s="1191"/>
      <c r="W260" s="1191"/>
      <c r="X260" s="1191"/>
      <c r="Y260" s="1191"/>
      <c r="Z260" s="1191"/>
      <c r="AA260" s="1191"/>
      <c r="AB260" s="1191"/>
      <c r="AC260" s="1191"/>
      <c r="AD260" s="1210"/>
      <c r="AE260" s="1210"/>
      <c r="AF260" s="1210"/>
      <c r="AG260" s="1210"/>
      <c r="AH260" s="1210"/>
      <c r="AI260" s="1210"/>
      <c r="AJ260" s="1210"/>
      <c r="AK260" s="1210"/>
      <c r="AL260" s="1210"/>
      <c r="AM260" s="1210"/>
      <c r="AN260" s="1210"/>
    </row>
    <row r="261" spans="1:40" s="1179" customFormat="1">
      <c r="A261" s="1258"/>
      <c r="B261" s="1188"/>
      <c r="C261" s="1188"/>
      <c r="D261" s="1188"/>
      <c r="E261" s="1210"/>
      <c r="F261" s="1210"/>
      <c r="G261" s="1210"/>
      <c r="H261" s="1210"/>
      <c r="I261" s="1191"/>
      <c r="J261" s="1191"/>
      <c r="K261" s="1199"/>
      <c r="L261" s="1191"/>
      <c r="M261" s="1191"/>
      <c r="N261" s="1191"/>
      <c r="O261" s="1191"/>
      <c r="P261" s="1191"/>
      <c r="Q261" s="1191"/>
      <c r="R261" s="1199"/>
      <c r="S261" s="1191"/>
      <c r="T261" s="1191"/>
      <c r="U261" s="1191"/>
      <c r="V261" s="1191"/>
      <c r="W261" s="1191"/>
      <c r="X261" s="1191"/>
      <c r="Y261" s="1191"/>
      <c r="Z261" s="1191"/>
      <c r="AA261" s="1191"/>
      <c r="AB261" s="1191"/>
      <c r="AC261" s="1191"/>
      <c r="AD261" s="1210"/>
      <c r="AE261" s="1210"/>
      <c r="AF261" s="1210"/>
      <c r="AG261" s="1210"/>
      <c r="AH261" s="1210"/>
      <c r="AI261" s="1210"/>
      <c r="AJ261" s="1210"/>
      <c r="AK261" s="1210"/>
      <c r="AL261" s="1210"/>
      <c r="AM261" s="1210"/>
      <c r="AN261" s="1210"/>
    </row>
    <row r="262" spans="1:40" s="1179" customFormat="1">
      <c r="A262" s="1258"/>
      <c r="B262" s="1188"/>
      <c r="C262" s="1188"/>
      <c r="D262" s="1188"/>
      <c r="E262" s="1210"/>
      <c r="F262" s="1210"/>
      <c r="G262" s="1210"/>
      <c r="H262" s="1210"/>
      <c r="I262" s="1191"/>
      <c r="J262" s="1191"/>
      <c r="K262" s="1199"/>
      <c r="L262" s="1191"/>
      <c r="M262" s="1191"/>
      <c r="N262" s="1191"/>
      <c r="O262" s="1191"/>
      <c r="P262" s="1191"/>
      <c r="Q262" s="1191"/>
      <c r="R262" s="1199"/>
      <c r="S262" s="1191"/>
      <c r="T262" s="1191"/>
      <c r="U262" s="1191"/>
      <c r="V262" s="1191"/>
      <c r="W262" s="1191"/>
      <c r="X262" s="1191"/>
      <c r="Y262" s="1191"/>
      <c r="Z262" s="1191"/>
      <c r="AA262" s="1191"/>
      <c r="AB262" s="1191"/>
      <c r="AC262" s="1191"/>
      <c r="AD262" s="1210"/>
      <c r="AE262" s="1210"/>
      <c r="AF262" s="1210"/>
      <c r="AG262" s="1210"/>
      <c r="AH262" s="1210"/>
      <c r="AI262" s="1210"/>
      <c r="AJ262" s="1210"/>
      <c r="AK262" s="1210"/>
      <c r="AL262" s="1210"/>
      <c r="AM262" s="1210"/>
      <c r="AN262" s="1210"/>
    </row>
    <row r="263" spans="1:40" s="1179" customFormat="1">
      <c r="A263" s="1258"/>
      <c r="B263" s="1188"/>
      <c r="C263" s="1188"/>
      <c r="D263" s="1188"/>
      <c r="E263" s="1210"/>
      <c r="F263" s="1210"/>
      <c r="G263" s="1210"/>
      <c r="H263" s="1210"/>
      <c r="I263" s="1191"/>
      <c r="J263" s="1191"/>
      <c r="K263" s="1199"/>
      <c r="L263" s="1191"/>
      <c r="M263" s="1191"/>
      <c r="N263" s="1191"/>
      <c r="O263" s="1191"/>
      <c r="P263" s="1191"/>
      <c r="Q263" s="1191"/>
      <c r="R263" s="1199"/>
      <c r="S263" s="1191"/>
      <c r="T263" s="1191"/>
      <c r="U263" s="1191"/>
      <c r="V263" s="1191"/>
      <c r="W263" s="1191"/>
      <c r="X263" s="1191"/>
      <c r="Y263" s="1191"/>
      <c r="Z263" s="1191"/>
      <c r="AA263" s="1191"/>
      <c r="AB263" s="1191"/>
      <c r="AC263" s="1191"/>
      <c r="AD263" s="1210"/>
      <c r="AE263" s="1210"/>
      <c r="AF263" s="1210"/>
      <c r="AG263" s="1210"/>
      <c r="AH263" s="1210"/>
      <c r="AI263" s="1210"/>
      <c r="AJ263" s="1210"/>
      <c r="AK263" s="1210"/>
      <c r="AL263" s="1210"/>
      <c r="AM263" s="1210"/>
      <c r="AN263" s="1210"/>
    </row>
    <row r="264" spans="1:40" s="1179" customFormat="1">
      <c r="A264" s="1258"/>
      <c r="B264" s="1188"/>
      <c r="C264" s="1188"/>
      <c r="D264" s="1188"/>
      <c r="E264" s="1210"/>
      <c r="F264" s="1210"/>
      <c r="G264" s="1210"/>
      <c r="H264" s="1210"/>
      <c r="I264" s="1191"/>
      <c r="J264" s="1191"/>
      <c r="K264" s="1199"/>
      <c r="L264" s="1191"/>
      <c r="M264" s="1191"/>
      <c r="N264" s="1191"/>
      <c r="O264" s="1191"/>
      <c r="P264" s="1191"/>
      <c r="Q264" s="1191"/>
      <c r="R264" s="1199"/>
      <c r="S264" s="1191"/>
      <c r="T264" s="1191"/>
      <c r="U264" s="1191"/>
      <c r="V264" s="1191"/>
      <c r="W264" s="1191"/>
      <c r="X264" s="1191"/>
      <c r="Y264" s="1191"/>
      <c r="Z264" s="1191"/>
      <c r="AA264" s="1191"/>
      <c r="AB264" s="1191"/>
      <c r="AC264" s="1191"/>
      <c r="AD264" s="1210"/>
      <c r="AE264" s="1210"/>
      <c r="AF264" s="1210"/>
      <c r="AG264" s="1210"/>
      <c r="AH264" s="1210"/>
      <c r="AI264" s="1210"/>
      <c r="AJ264" s="1210"/>
      <c r="AK264" s="1210"/>
      <c r="AL264" s="1210"/>
      <c r="AM264" s="1210"/>
      <c r="AN264" s="1210"/>
    </row>
    <row r="265" spans="1:40" s="1179" customFormat="1">
      <c r="A265" s="1258"/>
      <c r="B265" s="1188"/>
      <c r="C265" s="1188"/>
      <c r="D265" s="1188"/>
      <c r="E265" s="1210"/>
      <c r="F265" s="1210"/>
      <c r="G265" s="1210"/>
      <c r="H265" s="1210"/>
      <c r="I265" s="1191"/>
      <c r="J265" s="1191"/>
      <c r="K265" s="1199"/>
      <c r="L265" s="1191"/>
      <c r="M265" s="1191"/>
      <c r="N265" s="1191"/>
      <c r="O265" s="1191"/>
      <c r="P265" s="1191"/>
      <c r="Q265" s="1191"/>
      <c r="R265" s="1199"/>
      <c r="S265" s="1191"/>
      <c r="T265" s="1191"/>
      <c r="U265" s="1191"/>
      <c r="V265" s="1191"/>
      <c r="W265" s="1191"/>
      <c r="X265" s="1191"/>
      <c r="Y265" s="1191"/>
      <c r="Z265" s="1191"/>
      <c r="AA265" s="1191"/>
      <c r="AB265" s="1191"/>
      <c r="AC265" s="1191"/>
      <c r="AD265" s="1210"/>
      <c r="AE265" s="1210"/>
      <c r="AF265" s="1210"/>
      <c r="AG265" s="1210"/>
      <c r="AH265" s="1210"/>
      <c r="AI265" s="1210"/>
      <c r="AJ265" s="1210"/>
      <c r="AK265" s="1210"/>
      <c r="AL265" s="1210"/>
      <c r="AM265" s="1210"/>
      <c r="AN265" s="1210"/>
    </row>
    <row r="266" spans="1:40" s="1179" customFormat="1">
      <c r="A266" s="1258"/>
      <c r="B266" s="1188"/>
      <c r="C266" s="1188"/>
      <c r="D266" s="1188"/>
      <c r="E266" s="1210"/>
      <c r="F266" s="1210"/>
      <c r="G266" s="1210"/>
      <c r="H266" s="1210"/>
      <c r="I266" s="1191"/>
      <c r="J266" s="1191"/>
      <c r="K266" s="1199"/>
      <c r="L266" s="1191"/>
      <c r="M266" s="1191"/>
      <c r="N266" s="1191"/>
      <c r="O266" s="1191"/>
      <c r="P266" s="1191"/>
      <c r="Q266" s="1191"/>
      <c r="R266" s="1199"/>
      <c r="S266" s="1191"/>
      <c r="T266" s="1191"/>
      <c r="U266" s="1191"/>
      <c r="V266" s="1191"/>
      <c r="W266" s="1191"/>
      <c r="X266" s="1191"/>
      <c r="Y266" s="1191"/>
      <c r="Z266" s="1191"/>
      <c r="AA266" s="1191"/>
      <c r="AB266" s="1191"/>
      <c r="AC266" s="1191"/>
      <c r="AD266" s="1210"/>
      <c r="AE266" s="1210"/>
      <c r="AF266" s="1210"/>
      <c r="AG266" s="1210"/>
      <c r="AH266" s="1210"/>
      <c r="AI266" s="1210"/>
      <c r="AJ266" s="1210"/>
      <c r="AK266" s="1210"/>
      <c r="AL266" s="1210"/>
      <c r="AM266" s="1210"/>
      <c r="AN266" s="1210"/>
    </row>
    <row r="267" spans="1:40" s="1179" customFormat="1">
      <c r="A267" s="1258"/>
      <c r="B267" s="1188"/>
      <c r="C267" s="1188"/>
      <c r="D267" s="1188"/>
      <c r="E267" s="1210"/>
      <c r="F267" s="1210"/>
      <c r="G267" s="1210"/>
      <c r="H267" s="1210"/>
      <c r="I267" s="1191"/>
      <c r="J267" s="1191"/>
      <c r="K267" s="1199"/>
      <c r="L267" s="1191"/>
      <c r="M267" s="1191"/>
      <c r="N267" s="1191"/>
      <c r="O267" s="1191"/>
      <c r="P267" s="1191"/>
      <c r="Q267" s="1191"/>
      <c r="R267" s="1199"/>
      <c r="S267" s="1191"/>
      <c r="T267" s="1191"/>
      <c r="U267" s="1191"/>
      <c r="V267" s="1191"/>
      <c r="W267" s="1191"/>
      <c r="X267" s="1191"/>
      <c r="Y267" s="1191"/>
      <c r="Z267" s="1191"/>
      <c r="AA267" s="1191"/>
      <c r="AB267" s="1191"/>
      <c r="AC267" s="1191"/>
      <c r="AD267" s="1210"/>
      <c r="AE267" s="1210"/>
      <c r="AF267" s="1210"/>
      <c r="AG267" s="1210"/>
      <c r="AH267" s="1210"/>
      <c r="AI267" s="1210"/>
      <c r="AJ267" s="1210"/>
      <c r="AK267" s="1210"/>
      <c r="AL267" s="1210"/>
      <c r="AM267" s="1210"/>
      <c r="AN267" s="1210"/>
    </row>
    <row r="268" spans="1:40" s="1179" customFormat="1">
      <c r="A268" s="1258"/>
      <c r="B268" s="1188"/>
      <c r="C268" s="1188"/>
      <c r="D268" s="1188"/>
      <c r="E268" s="1210"/>
      <c r="F268" s="1210"/>
      <c r="G268" s="1210"/>
      <c r="H268" s="1210"/>
      <c r="I268" s="1191"/>
      <c r="J268" s="1191"/>
      <c r="K268" s="1199"/>
      <c r="L268" s="1191"/>
      <c r="M268" s="1191"/>
      <c r="N268" s="1191"/>
      <c r="O268" s="1191"/>
      <c r="P268" s="1191"/>
      <c r="Q268" s="1191"/>
      <c r="R268" s="1199"/>
      <c r="S268" s="1191"/>
      <c r="T268" s="1191"/>
      <c r="U268" s="1191"/>
      <c r="V268" s="1191"/>
      <c r="W268" s="1191"/>
      <c r="X268" s="1191"/>
      <c r="Y268" s="1191"/>
      <c r="Z268" s="1191"/>
      <c r="AA268" s="1191"/>
      <c r="AB268" s="1191"/>
      <c r="AC268" s="1191"/>
      <c r="AD268" s="1210"/>
      <c r="AE268" s="1210"/>
      <c r="AF268" s="1210"/>
      <c r="AG268" s="1210"/>
      <c r="AH268" s="1210"/>
      <c r="AI268" s="1210"/>
      <c r="AJ268" s="1210"/>
      <c r="AK268" s="1210"/>
      <c r="AL268" s="1210"/>
      <c r="AM268" s="1210"/>
      <c r="AN268" s="1210"/>
    </row>
    <row r="269" spans="1:40" s="1179" customFormat="1">
      <c r="A269" s="1258"/>
      <c r="B269" s="1188"/>
      <c r="C269" s="1188"/>
      <c r="D269" s="1188"/>
      <c r="E269" s="1210"/>
      <c r="F269" s="1210"/>
      <c r="G269" s="1210"/>
      <c r="H269" s="1210"/>
      <c r="I269" s="1191"/>
      <c r="J269" s="1191"/>
      <c r="K269" s="1199"/>
      <c r="L269" s="1191"/>
      <c r="M269" s="1191"/>
      <c r="N269" s="1191"/>
      <c r="O269" s="1191"/>
      <c r="P269" s="1191"/>
      <c r="Q269" s="1191"/>
      <c r="R269" s="1199"/>
      <c r="S269" s="1191"/>
      <c r="T269" s="1191"/>
      <c r="U269" s="1191"/>
      <c r="V269" s="1191"/>
      <c r="W269" s="1191"/>
      <c r="X269" s="1191"/>
      <c r="Y269" s="1191"/>
      <c r="Z269" s="1191"/>
      <c r="AA269" s="1191"/>
      <c r="AB269" s="1191"/>
      <c r="AC269" s="1191"/>
      <c r="AD269" s="1210"/>
      <c r="AE269" s="1210"/>
      <c r="AF269" s="1210"/>
      <c r="AG269" s="1210"/>
      <c r="AH269" s="1210"/>
      <c r="AI269" s="1210"/>
      <c r="AJ269" s="1210"/>
      <c r="AK269" s="1210"/>
      <c r="AL269" s="1210"/>
      <c r="AM269" s="1210"/>
      <c r="AN269" s="1210"/>
    </row>
    <row r="270" spans="1:40" s="1179" customFormat="1">
      <c r="A270" s="1258"/>
      <c r="B270" s="1188"/>
      <c r="C270" s="1188"/>
      <c r="D270" s="1188"/>
      <c r="E270" s="1210"/>
      <c r="F270" s="1210"/>
      <c r="G270" s="1210"/>
      <c r="H270" s="1210"/>
      <c r="I270" s="1191"/>
      <c r="J270" s="1191"/>
      <c r="K270" s="1199"/>
      <c r="L270" s="1191"/>
      <c r="M270" s="1191"/>
      <c r="N270" s="1191"/>
      <c r="O270" s="1191"/>
      <c r="P270" s="1191"/>
      <c r="Q270" s="1191"/>
      <c r="R270" s="1199"/>
      <c r="S270" s="1191"/>
      <c r="T270" s="1191"/>
      <c r="U270" s="1191"/>
      <c r="V270" s="1191"/>
      <c r="W270" s="1191"/>
      <c r="X270" s="1191"/>
      <c r="Y270" s="1191"/>
      <c r="Z270" s="1191"/>
      <c r="AA270" s="1191"/>
      <c r="AB270" s="1191"/>
      <c r="AC270" s="1191"/>
      <c r="AD270" s="1210"/>
      <c r="AE270" s="1210"/>
      <c r="AF270" s="1210"/>
      <c r="AG270" s="1210"/>
      <c r="AH270" s="1210"/>
      <c r="AI270" s="1210"/>
      <c r="AJ270" s="1210"/>
      <c r="AK270" s="1210"/>
      <c r="AL270" s="1210"/>
      <c r="AM270" s="1210"/>
      <c r="AN270" s="1210"/>
    </row>
    <row r="271" spans="1:40" s="1179" customFormat="1">
      <c r="A271" s="1258"/>
      <c r="B271" s="1188"/>
      <c r="C271" s="1188"/>
      <c r="D271" s="1188"/>
      <c r="E271" s="1210"/>
      <c r="F271" s="1210"/>
      <c r="G271" s="1210"/>
      <c r="H271" s="1210"/>
      <c r="I271" s="1191"/>
      <c r="J271" s="1191"/>
      <c r="K271" s="1199"/>
      <c r="L271" s="1191"/>
      <c r="M271" s="1191"/>
      <c r="N271" s="1191"/>
      <c r="O271" s="1191"/>
      <c r="P271" s="1191"/>
      <c r="Q271" s="1191"/>
      <c r="R271" s="1199"/>
      <c r="S271" s="1191"/>
      <c r="T271" s="1191"/>
      <c r="U271" s="1191"/>
      <c r="V271" s="1191"/>
      <c r="W271" s="1191"/>
      <c r="X271" s="1191"/>
      <c r="Y271" s="1191"/>
      <c r="Z271" s="1191"/>
      <c r="AA271" s="1191"/>
      <c r="AB271" s="1191"/>
      <c r="AC271" s="1191"/>
      <c r="AD271" s="1210"/>
      <c r="AE271" s="1210"/>
      <c r="AF271" s="1210"/>
      <c r="AG271" s="1210"/>
      <c r="AH271" s="1210"/>
      <c r="AI271" s="1210"/>
      <c r="AJ271" s="1210"/>
      <c r="AK271" s="1210"/>
      <c r="AL271" s="1210"/>
      <c r="AM271" s="1210"/>
      <c r="AN271" s="1210"/>
    </row>
    <row r="272" spans="1:40" s="1179" customFormat="1">
      <c r="A272" s="1258"/>
      <c r="B272" s="1188"/>
      <c r="C272" s="1188"/>
      <c r="D272" s="1188"/>
      <c r="E272" s="1210"/>
      <c r="F272" s="1210"/>
      <c r="G272" s="1210"/>
      <c r="H272" s="1210"/>
      <c r="I272" s="1191"/>
      <c r="J272" s="1191"/>
      <c r="K272" s="1199"/>
      <c r="L272" s="1191"/>
      <c r="M272" s="1191"/>
      <c r="N272" s="1191"/>
      <c r="O272" s="1191"/>
      <c r="P272" s="1191"/>
      <c r="Q272" s="1191"/>
      <c r="R272" s="1199"/>
      <c r="S272" s="1191"/>
      <c r="T272" s="1191"/>
      <c r="U272" s="1191"/>
      <c r="V272" s="1191"/>
      <c r="W272" s="1191"/>
      <c r="X272" s="1191"/>
      <c r="Y272" s="1191"/>
      <c r="Z272" s="1191"/>
      <c r="AA272" s="1191"/>
      <c r="AB272" s="1191"/>
      <c r="AC272" s="1191"/>
      <c r="AD272" s="1210"/>
      <c r="AE272" s="1210"/>
      <c r="AF272" s="1210"/>
      <c r="AG272" s="1210"/>
      <c r="AH272" s="1210"/>
      <c r="AI272" s="1210"/>
      <c r="AJ272" s="1210"/>
      <c r="AK272" s="1210"/>
      <c r="AL272" s="1210"/>
      <c r="AM272" s="1210"/>
      <c r="AN272" s="1210"/>
    </row>
    <row r="273" spans="1:40" s="1179" customFormat="1">
      <c r="A273" s="1258"/>
      <c r="B273" s="1188"/>
      <c r="C273" s="1188"/>
      <c r="D273" s="1188"/>
      <c r="E273" s="1210"/>
      <c r="F273" s="1210"/>
      <c r="G273" s="1210"/>
      <c r="H273" s="1210"/>
      <c r="I273" s="1191"/>
      <c r="J273" s="1191"/>
      <c r="K273" s="1199"/>
      <c r="L273" s="1191"/>
      <c r="M273" s="1191"/>
      <c r="N273" s="1191"/>
      <c r="O273" s="1191"/>
      <c r="P273" s="1191"/>
      <c r="Q273" s="1191"/>
      <c r="R273" s="1199"/>
      <c r="S273" s="1191"/>
      <c r="T273" s="1191"/>
      <c r="U273" s="1191"/>
      <c r="V273" s="1191"/>
      <c r="W273" s="1191"/>
      <c r="X273" s="1191"/>
      <c r="Y273" s="1191"/>
      <c r="Z273" s="1191"/>
      <c r="AA273" s="1191"/>
      <c r="AB273" s="1191"/>
      <c r="AC273" s="1191"/>
      <c r="AD273" s="1210"/>
      <c r="AE273" s="1210"/>
      <c r="AF273" s="1210"/>
      <c r="AG273" s="1210"/>
      <c r="AH273" s="1210"/>
      <c r="AI273" s="1210"/>
      <c r="AJ273" s="1210"/>
      <c r="AK273" s="1210"/>
      <c r="AL273" s="1210"/>
      <c r="AM273" s="1210"/>
      <c r="AN273" s="1210"/>
    </row>
    <row r="274" spans="1:40" s="1179" customFormat="1">
      <c r="A274" s="1258"/>
      <c r="B274" s="1188"/>
      <c r="C274" s="1188"/>
      <c r="D274" s="1188"/>
      <c r="E274" s="1210"/>
      <c r="F274" s="1210"/>
      <c r="G274" s="1210"/>
      <c r="H274" s="1210"/>
      <c r="I274" s="1191"/>
      <c r="J274" s="1191"/>
      <c r="K274" s="1199"/>
      <c r="L274" s="1191"/>
      <c r="M274" s="1191"/>
      <c r="N274" s="1191"/>
      <c r="O274" s="1191"/>
      <c r="P274" s="1191"/>
      <c r="Q274" s="1191"/>
      <c r="R274" s="1199"/>
      <c r="S274" s="1191"/>
      <c r="T274" s="1191"/>
      <c r="U274" s="1191"/>
      <c r="V274" s="1191"/>
      <c r="W274" s="1191"/>
      <c r="X274" s="1191"/>
      <c r="Y274" s="1191"/>
      <c r="Z274" s="1191"/>
      <c r="AA274" s="1191"/>
      <c r="AB274" s="1191"/>
      <c r="AC274" s="1191"/>
      <c r="AD274" s="1210"/>
      <c r="AE274" s="1210"/>
      <c r="AF274" s="1210"/>
      <c r="AG274" s="1210"/>
      <c r="AH274" s="1210"/>
      <c r="AI274" s="1210"/>
      <c r="AJ274" s="1210"/>
      <c r="AK274" s="1210"/>
      <c r="AL274" s="1210"/>
      <c r="AM274" s="1210"/>
      <c r="AN274" s="1210"/>
    </row>
    <row r="275" spans="1:40" s="1179" customFormat="1">
      <c r="A275" s="1258"/>
      <c r="B275" s="1188"/>
      <c r="C275" s="1188"/>
      <c r="D275" s="1188"/>
      <c r="E275" s="1210"/>
      <c r="F275" s="1210"/>
      <c r="G275" s="1210"/>
      <c r="H275" s="1210"/>
      <c r="I275" s="1191"/>
      <c r="J275" s="1191"/>
      <c r="K275" s="1199"/>
      <c r="L275" s="1191"/>
      <c r="M275" s="1191"/>
      <c r="N275" s="1191"/>
      <c r="O275" s="1191"/>
      <c r="P275" s="1191"/>
      <c r="Q275" s="1191"/>
      <c r="R275" s="1199"/>
      <c r="S275" s="1191"/>
      <c r="T275" s="1191"/>
      <c r="U275" s="1191"/>
      <c r="V275" s="1191"/>
      <c r="W275" s="1191"/>
      <c r="X275" s="1191"/>
      <c r="Y275" s="1191"/>
      <c r="Z275" s="1191"/>
      <c r="AA275" s="1191"/>
      <c r="AB275" s="1191"/>
      <c r="AC275" s="1191"/>
      <c r="AD275" s="1210"/>
      <c r="AE275" s="1210"/>
      <c r="AF275" s="1210"/>
      <c r="AG275" s="1210"/>
      <c r="AH275" s="1210"/>
      <c r="AI275" s="1210"/>
      <c r="AJ275" s="1210"/>
      <c r="AK275" s="1210"/>
      <c r="AL275" s="1210"/>
      <c r="AM275" s="1210"/>
      <c r="AN275" s="1210"/>
    </row>
    <row r="276" spans="1:40" s="1179" customFormat="1">
      <c r="A276" s="1258"/>
      <c r="B276" s="1188"/>
      <c r="C276" s="1188"/>
      <c r="D276" s="1188"/>
      <c r="E276" s="1210"/>
      <c r="F276" s="1210"/>
      <c r="G276" s="1210"/>
      <c r="H276" s="1210"/>
      <c r="I276" s="1191"/>
      <c r="J276" s="1191"/>
      <c r="K276" s="1199"/>
      <c r="L276" s="1191"/>
      <c r="M276" s="1191"/>
      <c r="N276" s="1191"/>
      <c r="O276" s="1191"/>
      <c r="P276" s="1191"/>
      <c r="Q276" s="1191"/>
      <c r="R276" s="1199"/>
      <c r="S276" s="1191"/>
      <c r="T276" s="1191"/>
      <c r="U276" s="1191"/>
      <c r="V276" s="1191"/>
      <c r="W276" s="1191"/>
      <c r="X276" s="1191"/>
      <c r="Y276" s="1191"/>
      <c r="Z276" s="1191"/>
      <c r="AA276" s="1191"/>
      <c r="AB276" s="1191"/>
      <c r="AC276" s="1191"/>
      <c r="AD276" s="1210"/>
      <c r="AE276" s="1210"/>
      <c r="AF276" s="1210"/>
      <c r="AG276" s="1210"/>
      <c r="AH276" s="1210"/>
      <c r="AI276" s="1210"/>
      <c r="AJ276" s="1210"/>
      <c r="AK276" s="1210"/>
      <c r="AL276" s="1210"/>
      <c r="AM276" s="1210"/>
      <c r="AN276" s="1210"/>
    </row>
    <row r="277" spans="1:40" s="1179" customFormat="1">
      <c r="A277" s="1258"/>
      <c r="B277" s="1188"/>
      <c r="C277" s="1188"/>
      <c r="D277" s="1188"/>
      <c r="E277" s="1210"/>
      <c r="F277" s="1210"/>
      <c r="G277" s="1210"/>
      <c r="H277" s="1210"/>
      <c r="I277" s="1191"/>
      <c r="J277" s="1191"/>
      <c r="K277" s="1199"/>
      <c r="L277" s="1191"/>
      <c r="M277" s="1191"/>
      <c r="N277" s="1191"/>
      <c r="O277" s="1191"/>
      <c r="P277" s="1191"/>
      <c r="Q277" s="1191"/>
      <c r="R277" s="1199"/>
      <c r="S277" s="1191"/>
      <c r="T277" s="1191"/>
      <c r="U277" s="1191"/>
      <c r="V277" s="1191"/>
      <c r="W277" s="1191"/>
      <c r="X277" s="1191"/>
      <c r="Y277" s="1191"/>
      <c r="Z277" s="1191"/>
      <c r="AA277" s="1191"/>
      <c r="AB277" s="1191"/>
      <c r="AC277" s="1191"/>
      <c r="AD277" s="1210"/>
      <c r="AE277" s="1210"/>
      <c r="AF277" s="1210"/>
      <c r="AG277" s="1210"/>
      <c r="AH277" s="1210"/>
      <c r="AI277" s="1210"/>
      <c r="AJ277" s="1210"/>
      <c r="AK277" s="1210"/>
      <c r="AL277" s="1210"/>
      <c r="AM277" s="1210"/>
      <c r="AN277" s="1210"/>
    </row>
    <row r="278" spans="1:40" s="1179" customFormat="1">
      <c r="A278" s="1258"/>
      <c r="B278" s="1188"/>
      <c r="C278" s="1188"/>
      <c r="D278" s="1188"/>
      <c r="E278" s="1210"/>
      <c r="F278" s="1210"/>
      <c r="G278" s="1210"/>
      <c r="H278" s="1210"/>
      <c r="I278" s="1191"/>
      <c r="J278" s="1191"/>
      <c r="K278" s="1199"/>
      <c r="L278" s="1191"/>
      <c r="M278" s="1191"/>
      <c r="N278" s="1191"/>
      <c r="O278" s="1191"/>
      <c r="P278" s="1191"/>
      <c r="Q278" s="1191"/>
      <c r="R278" s="1199"/>
      <c r="S278" s="1191"/>
      <c r="T278" s="1191"/>
      <c r="U278" s="1191"/>
      <c r="V278" s="1191"/>
      <c r="W278" s="1191"/>
      <c r="X278" s="1191"/>
      <c r="Y278" s="1191"/>
      <c r="Z278" s="1191"/>
      <c r="AA278" s="1191"/>
      <c r="AB278" s="1191"/>
      <c r="AC278" s="1191"/>
      <c r="AD278" s="1210"/>
      <c r="AE278" s="1210"/>
      <c r="AF278" s="1210"/>
      <c r="AG278" s="1210"/>
      <c r="AH278" s="1210"/>
      <c r="AI278" s="1210"/>
      <c r="AJ278" s="1210"/>
      <c r="AK278" s="1210"/>
      <c r="AL278" s="1210"/>
      <c r="AM278" s="1210"/>
      <c r="AN278" s="1210"/>
    </row>
    <row r="279" spans="1:40" s="1179" customFormat="1">
      <c r="A279" s="1258"/>
      <c r="B279" s="1188"/>
      <c r="C279" s="1188"/>
      <c r="D279" s="1188"/>
      <c r="E279" s="1210"/>
      <c r="F279" s="1210"/>
      <c r="G279" s="1210"/>
      <c r="H279" s="1210"/>
      <c r="I279" s="1191"/>
      <c r="J279" s="1191"/>
      <c r="K279" s="1199"/>
      <c r="L279" s="1191"/>
      <c r="M279" s="1191"/>
      <c r="N279" s="1191"/>
      <c r="O279" s="1191"/>
      <c r="P279" s="1191"/>
      <c r="Q279" s="1191"/>
      <c r="R279" s="1199"/>
      <c r="S279" s="1191"/>
      <c r="T279" s="1191"/>
      <c r="U279" s="1191"/>
      <c r="V279" s="1191"/>
      <c r="W279" s="1191"/>
      <c r="X279" s="1191"/>
      <c r="Y279" s="1191"/>
      <c r="Z279" s="1191"/>
      <c r="AA279" s="1191"/>
      <c r="AB279" s="1191"/>
      <c r="AC279" s="1191"/>
      <c r="AD279" s="1210"/>
      <c r="AE279" s="1210"/>
      <c r="AF279" s="1210"/>
      <c r="AG279" s="1210"/>
      <c r="AH279" s="1210"/>
      <c r="AI279" s="1210"/>
      <c r="AJ279" s="1210"/>
      <c r="AK279" s="1210"/>
      <c r="AL279" s="1210"/>
      <c r="AM279" s="1210"/>
      <c r="AN279" s="1210"/>
    </row>
    <row r="280" spans="1:40" s="1179" customFormat="1">
      <c r="A280" s="1258"/>
      <c r="B280" s="1188"/>
      <c r="C280" s="1188"/>
      <c r="D280" s="1188"/>
      <c r="E280" s="1210"/>
      <c r="F280" s="1210"/>
      <c r="G280" s="1210"/>
      <c r="H280" s="1210"/>
      <c r="I280" s="1191"/>
      <c r="J280" s="1191"/>
      <c r="K280" s="1199"/>
      <c r="L280" s="1191"/>
      <c r="M280" s="1191"/>
      <c r="N280" s="1191"/>
      <c r="O280" s="1191"/>
      <c r="P280" s="1191"/>
      <c r="Q280" s="1191"/>
      <c r="R280" s="1199"/>
      <c r="S280" s="1191"/>
      <c r="T280" s="1191"/>
      <c r="U280" s="1191"/>
      <c r="V280" s="1191"/>
      <c r="W280" s="1191"/>
      <c r="X280" s="1191"/>
      <c r="Y280" s="1191"/>
      <c r="Z280" s="1191"/>
      <c r="AA280" s="1191"/>
      <c r="AB280" s="1191"/>
      <c r="AC280" s="1191"/>
      <c r="AD280" s="1210"/>
      <c r="AE280" s="1210"/>
      <c r="AF280" s="1210"/>
      <c r="AG280" s="1210"/>
      <c r="AH280" s="1210"/>
      <c r="AI280" s="1210"/>
      <c r="AJ280" s="1210"/>
      <c r="AK280" s="1210"/>
      <c r="AL280" s="1210"/>
      <c r="AM280" s="1210"/>
      <c r="AN280" s="1210"/>
    </row>
    <row r="281" spans="1:40" s="1179" customFormat="1">
      <c r="A281" s="1258"/>
      <c r="B281" s="1188"/>
      <c r="C281" s="1188"/>
      <c r="D281" s="1188"/>
      <c r="E281" s="1210"/>
      <c r="F281" s="1210"/>
      <c r="G281" s="1210"/>
      <c r="H281" s="1210"/>
      <c r="I281" s="1191"/>
      <c r="J281" s="1191"/>
      <c r="K281" s="1199"/>
      <c r="L281" s="1191"/>
      <c r="M281" s="1191"/>
      <c r="N281" s="1191"/>
      <c r="O281" s="1191"/>
      <c r="P281" s="1191"/>
      <c r="Q281" s="1191"/>
      <c r="R281" s="1199"/>
      <c r="S281" s="1191"/>
      <c r="T281" s="1191"/>
      <c r="U281" s="1191"/>
      <c r="V281" s="1191"/>
      <c r="W281" s="1191"/>
      <c r="X281" s="1191"/>
      <c r="Y281" s="1191"/>
      <c r="Z281" s="1191"/>
      <c r="AA281" s="1191"/>
      <c r="AB281" s="1191"/>
      <c r="AC281" s="1191"/>
      <c r="AD281" s="1210"/>
      <c r="AE281" s="1210"/>
      <c r="AF281" s="1210"/>
      <c r="AG281" s="1210"/>
      <c r="AH281" s="1210"/>
      <c r="AI281" s="1210"/>
      <c r="AJ281" s="1210"/>
      <c r="AK281" s="1210"/>
      <c r="AL281" s="1210"/>
      <c r="AM281" s="1210"/>
      <c r="AN281" s="1210"/>
    </row>
    <row r="282" spans="1:40" s="1179" customFormat="1">
      <c r="A282" s="1258"/>
      <c r="B282" s="1188"/>
      <c r="C282" s="1188"/>
      <c r="D282" s="1188"/>
      <c r="E282" s="1210"/>
      <c r="F282" s="1210"/>
      <c r="G282" s="1210"/>
      <c r="H282" s="1210"/>
      <c r="I282" s="1191"/>
      <c r="J282" s="1191"/>
      <c r="K282" s="1199"/>
      <c r="L282" s="1191"/>
      <c r="M282" s="1191"/>
      <c r="N282" s="1191"/>
      <c r="O282" s="1191"/>
      <c r="P282" s="1191"/>
      <c r="Q282" s="1191"/>
      <c r="R282" s="1199"/>
      <c r="S282" s="1191"/>
      <c r="T282" s="1191"/>
      <c r="U282" s="1191"/>
      <c r="V282" s="1191"/>
      <c r="W282" s="1191"/>
      <c r="X282" s="1191"/>
      <c r="Y282" s="1191"/>
      <c r="Z282" s="1191"/>
      <c r="AA282" s="1191"/>
      <c r="AB282" s="1191"/>
      <c r="AC282" s="1191"/>
      <c r="AD282" s="1210"/>
      <c r="AE282" s="1210"/>
      <c r="AF282" s="1210"/>
      <c r="AG282" s="1210"/>
      <c r="AH282" s="1210"/>
      <c r="AI282" s="1210"/>
      <c r="AJ282" s="1210"/>
      <c r="AK282" s="1210"/>
      <c r="AL282" s="1210"/>
      <c r="AM282" s="1210"/>
      <c r="AN282" s="1210"/>
    </row>
    <row r="283" spans="1:40" s="1179" customFormat="1">
      <c r="A283" s="1258"/>
      <c r="B283" s="1188"/>
      <c r="C283" s="1188"/>
      <c r="D283" s="1188"/>
      <c r="E283" s="1210"/>
      <c r="F283" s="1210"/>
      <c r="G283" s="1210"/>
      <c r="H283" s="1210"/>
      <c r="I283" s="1191"/>
      <c r="J283" s="1191"/>
      <c r="K283" s="1199"/>
      <c r="L283" s="1191"/>
      <c r="M283" s="1191"/>
      <c r="N283" s="1191"/>
      <c r="O283" s="1191"/>
      <c r="P283" s="1191"/>
      <c r="Q283" s="1191"/>
      <c r="R283" s="1199"/>
      <c r="S283" s="1191"/>
      <c r="T283" s="1191"/>
      <c r="U283" s="1191"/>
      <c r="V283" s="1191"/>
      <c r="W283" s="1191"/>
      <c r="X283" s="1191"/>
      <c r="Y283" s="1191"/>
      <c r="Z283" s="1191"/>
      <c r="AA283" s="1191"/>
      <c r="AB283" s="1191"/>
      <c r="AC283" s="1191"/>
      <c r="AD283" s="1210"/>
      <c r="AE283" s="1210"/>
      <c r="AF283" s="1210"/>
      <c r="AG283" s="1210"/>
      <c r="AH283" s="1210"/>
      <c r="AI283" s="1210"/>
      <c r="AJ283" s="1210"/>
      <c r="AK283" s="1210"/>
      <c r="AL283" s="1210"/>
      <c r="AM283" s="1210"/>
      <c r="AN283" s="1210"/>
    </row>
    <row r="284" spans="1:40" s="1179" customFormat="1">
      <c r="A284" s="1258"/>
      <c r="B284" s="1188"/>
      <c r="C284" s="1188"/>
      <c r="D284" s="1188"/>
      <c r="E284" s="1210"/>
      <c r="F284" s="1210"/>
      <c r="G284" s="1210"/>
      <c r="H284" s="1210"/>
      <c r="I284" s="1191"/>
      <c r="J284" s="1191"/>
      <c r="K284" s="1199"/>
      <c r="L284" s="1191"/>
      <c r="M284" s="1191"/>
      <c r="N284" s="1191"/>
      <c r="O284" s="1191"/>
      <c r="P284" s="1191"/>
      <c r="Q284" s="1191"/>
      <c r="R284" s="1199"/>
      <c r="S284" s="1191"/>
      <c r="T284" s="1191"/>
      <c r="U284" s="1191"/>
      <c r="V284" s="1191"/>
      <c r="W284" s="1191"/>
      <c r="X284" s="1191"/>
      <c r="Y284" s="1191"/>
      <c r="Z284" s="1191"/>
      <c r="AA284" s="1191"/>
      <c r="AB284" s="1191"/>
      <c r="AC284" s="1191"/>
      <c r="AD284" s="1210"/>
      <c r="AE284" s="1210"/>
      <c r="AF284" s="1210"/>
      <c r="AG284" s="1210"/>
      <c r="AH284" s="1210"/>
      <c r="AI284" s="1210"/>
      <c r="AJ284" s="1210"/>
      <c r="AK284" s="1210"/>
      <c r="AL284" s="1210"/>
      <c r="AM284" s="1210"/>
      <c r="AN284" s="1210"/>
    </row>
    <row r="285" spans="1:40" s="1179" customFormat="1">
      <c r="A285" s="1258"/>
      <c r="B285" s="1188"/>
      <c r="C285" s="1188"/>
      <c r="D285" s="1188"/>
      <c r="E285" s="1210"/>
      <c r="F285" s="1210"/>
      <c r="G285" s="1210"/>
      <c r="H285" s="1210"/>
      <c r="I285" s="1191"/>
      <c r="J285" s="1191"/>
      <c r="K285" s="1199"/>
      <c r="L285" s="1191"/>
      <c r="M285" s="1191"/>
      <c r="N285" s="1191"/>
      <c r="O285" s="1191"/>
      <c r="P285" s="1191"/>
      <c r="Q285" s="1191"/>
      <c r="R285" s="1199"/>
      <c r="S285" s="1191"/>
      <c r="T285" s="1191"/>
      <c r="U285" s="1191"/>
      <c r="V285" s="1191"/>
      <c r="W285" s="1191"/>
      <c r="X285" s="1191"/>
      <c r="Y285" s="1191"/>
      <c r="Z285" s="1191"/>
      <c r="AA285" s="1191"/>
      <c r="AB285" s="1191"/>
      <c r="AC285" s="1191"/>
      <c r="AD285" s="1210"/>
      <c r="AE285" s="1210"/>
      <c r="AF285" s="1210"/>
      <c r="AG285" s="1210"/>
      <c r="AH285" s="1210"/>
      <c r="AI285" s="1210"/>
      <c r="AJ285" s="1210"/>
      <c r="AK285" s="1210"/>
      <c r="AL285" s="1210"/>
      <c r="AM285" s="1210"/>
      <c r="AN285" s="1210"/>
    </row>
    <row r="286" spans="1:40" s="1179" customFormat="1">
      <c r="A286" s="1258"/>
      <c r="B286" s="1188"/>
      <c r="C286" s="1188"/>
      <c r="D286" s="1188"/>
      <c r="E286" s="1210"/>
      <c r="F286" s="1210"/>
      <c r="G286" s="1210"/>
      <c r="H286" s="1210"/>
      <c r="I286" s="1191"/>
      <c r="J286" s="1191"/>
      <c r="K286" s="1199"/>
      <c r="L286" s="1191"/>
      <c r="M286" s="1191"/>
      <c r="N286" s="1191"/>
      <c r="O286" s="1191"/>
      <c r="P286" s="1191"/>
      <c r="Q286" s="1191"/>
      <c r="R286" s="1199"/>
      <c r="S286" s="1191"/>
      <c r="T286" s="1191"/>
      <c r="U286" s="1191"/>
      <c r="V286" s="1191"/>
      <c r="W286" s="1191"/>
      <c r="X286" s="1191"/>
      <c r="Y286" s="1191"/>
      <c r="Z286" s="1191"/>
      <c r="AA286" s="1191"/>
      <c r="AB286" s="1191"/>
      <c r="AC286" s="1191"/>
      <c r="AD286" s="1210"/>
      <c r="AE286" s="1210"/>
      <c r="AF286" s="1210"/>
      <c r="AG286" s="1210"/>
      <c r="AH286" s="1210"/>
      <c r="AI286" s="1210"/>
      <c r="AJ286" s="1210"/>
      <c r="AK286" s="1210"/>
      <c r="AL286" s="1210"/>
      <c r="AM286" s="1210"/>
      <c r="AN286" s="1210"/>
    </row>
    <row r="287" spans="1:40" s="1179" customFormat="1">
      <c r="A287" s="1258"/>
      <c r="B287" s="1188"/>
      <c r="C287" s="1188"/>
      <c r="D287" s="1188"/>
      <c r="E287" s="1210"/>
      <c r="F287" s="1210"/>
      <c r="G287" s="1210"/>
      <c r="H287" s="1210"/>
      <c r="I287" s="1191"/>
      <c r="J287" s="1191"/>
      <c r="K287" s="1199"/>
      <c r="L287" s="1191"/>
      <c r="M287" s="1191"/>
      <c r="N287" s="1191"/>
      <c r="O287" s="1191"/>
      <c r="P287" s="1191"/>
      <c r="Q287" s="1191"/>
      <c r="R287" s="1199"/>
      <c r="S287" s="1191"/>
      <c r="T287" s="1191"/>
      <c r="U287" s="1191"/>
      <c r="V287" s="1191"/>
      <c r="W287" s="1191"/>
      <c r="X287" s="1191"/>
      <c r="Y287" s="1191"/>
      <c r="Z287" s="1191"/>
      <c r="AA287" s="1191"/>
      <c r="AB287" s="1191"/>
      <c r="AC287" s="1191"/>
      <c r="AD287" s="1210"/>
      <c r="AE287" s="1210"/>
      <c r="AF287" s="1210"/>
      <c r="AG287" s="1210"/>
      <c r="AH287" s="1210"/>
      <c r="AI287" s="1210"/>
      <c r="AJ287" s="1210"/>
      <c r="AK287" s="1210"/>
      <c r="AL287" s="1210"/>
      <c r="AM287" s="1210"/>
      <c r="AN287" s="1210"/>
    </row>
    <row r="288" spans="1:40" s="1179" customFormat="1">
      <c r="A288" s="1258"/>
      <c r="B288" s="1188"/>
      <c r="C288" s="1188"/>
      <c r="D288" s="1188"/>
      <c r="E288" s="1210"/>
      <c r="F288" s="1210"/>
      <c r="G288" s="1210"/>
      <c r="H288" s="1210"/>
      <c r="I288" s="1191"/>
      <c r="J288" s="1191"/>
      <c r="K288" s="1199"/>
      <c r="L288" s="1191"/>
      <c r="M288" s="1191"/>
      <c r="N288" s="1191"/>
      <c r="O288" s="1191"/>
      <c r="P288" s="1191"/>
      <c r="Q288" s="1191"/>
      <c r="R288" s="1199"/>
      <c r="S288" s="1191"/>
      <c r="T288" s="1191"/>
      <c r="U288" s="1191"/>
      <c r="V288" s="1191"/>
      <c r="W288" s="1191"/>
      <c r="X288" s="1191"/>
      <c r="Y288" s="1191"/>
      <c r="Z288" s="1191"/>
      <c r="AA288" s="1191"/>
      <c r="AB288" s="1191"/>
      <c r="AC288" s="1191"/>
      <c r="AD288" s="1210"/>
      <c r="AE288" s="1210"/>
      <c r="AF288" s="1210"/>
      <c r="AG288" s="1210"/>
      <c r="AH288" s="1210"/>
      <c r="AI288" s="1210"/>
      <c r="AJ288" s="1210"/>
      <c r="AK288" s="1210"/>
      <c r="AL288" s="1210"/>
      <c r="AM288" s="1210"/>
      <c r="AN288" s="1210"/>
    </row>
    <row r="289" spans="1:40" s="1179" customFormat="1">
      <c r="A289" s="1258"/>
      <c r="B289" s="1188"/>
      <c r="C289" s="1188"/>
      <c r="D289" s="1188"/>
      <c r="E289" s="1210"/>
      <c r="F289" s="1210"/>
      <c r="G289" s="1210"/>
      <c r="H289" s="1210"/>
      <c r="I289" s="1191"/>
      <c r="J289" s="1191"/>
      <c r="K289" s="1199"/>
      <c r="L289" s="1191"/>
      <c r="M289" s="1191"/>
      <c r="N289" s="1191"/>
      <c r="O289" s="1191"/>
      <c r="P289" s="1191"/>
      <c r="Q289" s="1191"/>
      <c r="R289" s="1199"/>
      <c r="S289" s="1191"/>
      <c r="T289" s="1191"/>
      <c r="U289" s="1191"/>
      <c r="V289" s="1191"/>
      <c r="W289" s="1191"/>
      <c r="X289" s="1191"/>
      <c r="Y289" s="1191"/>
      <c r="Z289" s="1191"/>
      <c r="AA289" s="1191"/>
      <c r="AB289" s="1191"/>
      <c r="AC289" s="1191"/>
      <c r="AD289" s="1210"/>
      <c r="AE289" s="1210"/>
      <c r="AF289" s="1210"/>
      <c r="AG289" s="1210"/>
      <c r="AH289" s="1210"/>
      <c r="AI289" s="1210"/>
      <c r="AJ289" s="1210"/>
      <c r="AK289" s="1210"/>
      <c r="AL289" s="1210"/>
      <c r="AM289" s="1210"/>
      <c r="AN289" s="1210"/>
    </row>
    <row r="290" spans="1:40" s="1179" customFormat="1">
      <c r="A290" s="1258"/>
      <c r="B290" s="1188"/>
      <c r="C290" s="1188"/>
      <c r="D290" s="1188"/>
      <c r="E290" s="1210"/>
      <c r="F290" s="1210"/>
      <c r="G290" s="1210"/>
      <c r="H290" s="1210"/>
      <c r="I290" s="1191"/>
      <c r="J290" s="1191"/>
      <c r="K290" s="1199"/>
      <c r="L290" s="1191"/>
      <c r="M290" s="1191"/>
      <c r="N290" s="1191"/>
      <c r="O290" s="1191"/>
      <c r="P290" s="1191"/>
      <c r="Q290" s="1191"/>
      <c r="R290" s="1199"/>
      <c r="S290" s="1191"/>
      <c r="T290" s="1191"/>
      <c r="U290" s="1191"/>
      <c r="V290" s="1191"/>
      <c r="W290" s="1191"/>
      <c r="X290" s="1191"/>
      <c r="Y290" s="1191"/>
      <c r="Z290" s="1191"/>
      <c r="AA290" s="1191"/>
      <c r="AB290" s="1191"/>
      <c r="AC290" s="1191"/>
      <c r="AD290" s="1210"/>
      <c r="AE290" s="1210"/>
      <c r="AF290" s="1210"/>
      <c r="AG290" s="1210"/>
      <c r="AH290" s="1210"/>
      <c r="AI290" s="1210"/>
      <c r="AJ290" s="1210"/>
      <c r="AK290" s="1210"/>
      <c r="AL290" s="1210"/>
      <c r="AM290" s="1210"/>
      <c r="AN290" s="1210"/>
    </row>
    <row r="291" spans="1:40" s="1179" customFormat="1">
      <c r="A291" s="1258"/>
      <c r="B291" s="1188"/>
      <c r="C291" s="1188"/>
      <c r="D291" s="1188"/>
      <c r="E291" s="1210"/>
      <c r="F291" s="1210"/>
      <c r="G291" s="1210"/>
      <c r="H291" s="1210"/>
      <c r="I291" s="1191"/>
      <c r="J291" s="1191"/>
      <c r="K291" s="1199"/>
      <c r="L291" s="1191"/>
      <c r="M291" s="1191"/>
      <c r="N291" s="1191"/>
      <c r="O291" s="1191"/>
      <c r="P291" s="1191"/>
      <c r="Q291" s="1191"/>
      <c r="R291" s="1199"/>
      <c r="S291" s="1191"/>
      <c r="T291" s="1191"/>
      <c r="U291" s="1191"/>
      <c r="V291" s="1191"/>
      <c r="W291" s="1191"/>
      <c r="X291" s="1191"/>
      <c r="Y291" s="1191"/>
      <c r="Z291" s="1191"/>
      <c r="AA291" s="1191"/>
      <c r="AB291" s="1191"/>
      <c r="AC291" s="1191"/>
      <c r="AD291" s="1210"/>
      <c r="AE291" s="1210"/>
      <c r="AF291" s="1210"/>
      <c r="AG291" s="1210"/>
      <c r="AH291" s="1210"/>
      <c r="AI291" s="1210"/>
      <c r="AJ291" s="1210"/>
      <c r="AK291" s="1210"/>
      <c r="AL291" s="1210"/>
      <c r="AM291" s="1210"/>
      <c r="AN291" s="1210"/>
    </row>
    <row r="292" spans="1:40" s="1179" customFormat="1">
      <c r="A292" s="1258"/>
      <c r="B292" s="1188"/>
      <c r="C292" s="1188"/>
      <c r="D292" s="1188"/>
      <c r="E292" s="1210"/>
      <c r="F292" s="1210"/>
      <c r="G292" s="1210"/>
      <c r="H292" s="1210"/>
      <c r="I292" s="1191"/>
      <c r="J292" s="1191"/>
      <c r="K292" s="1199"/>
      <c r="L292" s="1191"/>
      <c r="M292" s="1191"/>
      <c r="N292" s="1191"/>
      <c r="O292" s="1191"/>
      <c r="P292" s="1191"/>
      <c r="Q292" s="1191"/>
      <c r="R292" s="1199"/>
      <c r="S292" s="1191"/>
      <c r="T292" s="1191"/>
      <c r="U292" s="1191"/>
      <c r="V292" s="1191"/>
      <c r="W292" s="1191"/>
      <c r="X292" s="1191"/>
      <c r="Y292" s="1191"/>
      <c r="Z292" s="1191"/>
      <c r="AA292" s="1191"/>
      <c r="AB292" s="1191"/>
      <c r="AC292" s="1191"/>
      <c r="AD292" s="1210"/>
      <c r="AE292" s="1210"/>
      <c r="AF292" s="1210"/>
      <c r="AG292" s="1210"/>
      <c r="AH292" s="1210"/>
      <c r="AI292" s="1210"/>
      <c r="AJ292" s="1210"/>
      <c r="AK292" s="1210"/>
      <c r="AL292" s="1210"/>
      <c r="AM292" s="1210"/>
      <c r="AN292" s="1210"/>
    </row>
    <row r="293" spans="1:40" s="1179" customFormat="1">
      <c r="A293" s="1258"/>
      <c r="B293" s="1188"/>
      <c r="C293" s="1188"/>
      <c r="D293" s="1188"/>
      <c r="E293" s="1210"/>
      <c r="F293" s="1210"/>
      <c r="G293" s="1210"/>
      <c r="H293" s="1210"/>
      <c r="I293" s="1191"/>
      <c r="J293" s="1191"/>
      <c r="K293" s="1199"/>
      <c r="L293" s="1191"/>
      <c r="M293" s="1191"/>
      <c r="N293" s="1191"/>
      <c r="O293" s="1191"/>
      <c r="P293" s="1191"/>
      <c r="Q293" s="1191"/>
      <c r="R293" s="1199"/>
      <c r="S293" s="1191"/>
      <c r="T293" s="1191"/>
      <c r="U293" s="1191"/>
      <c r="V293" s="1191"/>
      <c r="W293" s="1191"/>
      <c r="X293" s="1191"/>
      <c r="Y293" s="1191"/>
      <c r="Z293" s="1191"/>
      <c r="AA293" s="1191"/>
      <c r="AB293" s="1191"/>
      <c r="AC293" s="1191"/>
      <c r="AD293" s="1210"/>
      <c r="AE293" s="1210"/>
      <c r="AF293" s="1210"/>
      <c r="AG293" s="1210"/>
      <c r="AH293" s="1210"/>
      <c r="AI293" s="1210"/>
      <c r="AJ293" s="1210"/>
      <c r="AK293" s="1210"/>
      <c r="AL293" s="1210"/>
      <c r="AM293" s="1210"/>
      <c r="AN293" s="1210"/>
    </row>
    <row r="294" spans="1:40" s="1179" customFormat="1">
      <c r="A294" s="1258"/>
      <c r="B294" s="1188"/>
      <c r="C294" s="1188"/>
      <c r="D294" s="1188"/>
      <c r="E294" s="1210"/>
      <c r="F294" s="1210"/>
      <c r="G294" s="1210"/>
      <c r="H294" s="1210"/>
      <c r="I294" s="1191"/>
      <c r="J294" s="1191"/>
      <c r="K294" s="1199"/>
      <c r="L294" s="1191"/>
      <c r="M294" s="1191"/>
      <c r="N294" s="1191"/>
      <c r="O294" s="1191"/>
      <c r="P294" s="1191"/>
      <c r="Q294" s="1191"/>
      <c r="R294" s="1199"/>
      <c r="S294" s="1191"/>
      <c r="T294" s="1191"/>
      <c r="U294" s="1191"/>
      <c r="V294" s="1191"/>
      <c r="W294" s="1191"/>
      <c r="X294" s="1191"/>
      <c r="Y294" s="1191"/>
      <c r="Z294" s="1191"/>
      <c r="AA294" s="1191"/>
      <c r="AB294" s="1191"/>
      <c r="AC294" s="1191"/>
      <c r="AD294" s="1210"/>
      <c r="AE294" s="1210"/>
      <c r="AF294" s="1210"/>
      <c r="AG294" s="1210"/>
      <c r="AH294" s="1210"/>
      <c r="AI294" s="1210"/>
      <c r="AJ294" s="1210"/>
      <c r="AK294" s="1210"/>
      <c r="AL294" s="1210"/>
      <c r="AM294" s="1210"/>
      <c r="AN294" s="1210"/>
    </row>
    <row r="295" spans="1:40" s="1179" customFormat="1">
      <c r="A295" s="1258"/>
      <c r="B295" s="1188"/>
      <c r="C295" s="1188"/>
      <c r="D295" s="1188"/>
      <c r="E295" s="1210"/>
      <c r="F295" s="1210"/>
      <c r="G295" s="1210"/>
      <c r="H295" s="1210"/>
      <c r="I295" s="1191"/>
      <c r="J295" s="1191"/>
      <c r="K295" s="1199"/>
      <c r="L295" s="1191"/>
      <c r="M295" s="1191"/>
      <c r="N295" s="1191"/>
      <c r="O295" s="1191"/>
      <c r="P295" s="1191"/>
      <c r="Q295" s="1191"/>
      <c r="R295" s="1199"/>
      <c r="S295" s="1191"/>
      <c r="T295" s="1191"/>
      <c r="U295" s="1191"/>
      <c r="V295" s="1191"/>
      <c r="W295" s="1191"/>
      <c r="X295" s="1191"/>
      <c r="Y295" s="1191"/>
      <c r="Z295" s="1191"/>
      <c r="AA295" s="1191"/>
      <c r="AB295" s="1191"/>
      <c r="AC295" s="1191"/>
      <c r="AD295" s="1210"/>
      <c r="AE295" s="1210"/>
      <c r="AF295" s="1210"/>
      <c r="AG295" s="1210"/>
      <c r="AH295" s="1210"/>
      <c r="AI295" s="1210"/>
      <c r="AJ295" s="1210"/>
      <c r="AK295" s="1210"/>
      <c r="AL295" s="1210"/>
      <c r="AM295" s="1210"/>
      <c r="AN295" s="1210"/>
    </row>
    <row r="296" spans="1:40" s="1179" customFormat="1">
      <c r="A296" s="1258"/>
      <c r="B296" s="1188"/>
      <c r="C296" s="1188"/>
      <c r="D296" s="1188"/>
      <c r="E296" s="1210"/>
      <c r="F296" s="1210"/>
      <c r="G296" s="1210"/>
      <c r="H296" s="1210"/>
      <c r="I296" s="1191"/>
      <c r="J296" s="1191"/>
      <c r="K296" s="1199"/>
      <c r="L296" s="1191"/>
      <c r="M296" s="1191"/>
      <c r="N296" s="1191"/>
      <c r="O296" s="1191"/>
      <c r="P296" s="1191"/>
      <c r="Q296" s="1191"/>
      <c r="R296" s="1199"/>
      <c r="S296" s="1191"/>
      <c r="T296" s="1191"/>
      <c r="U296" s="1191"/>
      <c r="V296" s="1191"/>
      <c r="W296" s="1191"/>
      <c r="X296" s="1191"/>
      <c r="Y296" s="1191"/>
      <c r="Z296" s="1191"/>
      <c r="AA296" s="1191"/>
      <c r="AB296" s="1191"/>
      <c r="AC296" s="1191"/>
      <c r="AD296" s="1210"/>
      <c r="AE296" s="1210"/>
      <c r="AF296" s="1210"/>
      <c r="AG296" s="1210"/>
      <c r="AH296" s="1210"/>
      <c r="AI296" s="1210"/>
      <c r="AJ296" s="1210"/>
      <c r="AK296" s="1210"/>
      <c r="AL296" s="1210"/>
      <c r="AM296" s="1210"/>
      <c r="AN296" s="1210"/>
    </row>
    <row r="297" spans="1:40" s="1179" customFormat="1">
      <c r="A297" s="1258"/>
      <c r="B297" s="1188"/>
      <c r="C297" s="1188"/>
      <c r="D297" s="1188"/>
      <c r="E297" s="1210"/>
      <c r="F297" s="1210"/>
      <c r="G297" s="1210"/>
      <c r="H297" s="1210"/>
      <c r="I297" s="1191"/>
      <c r="J297" s="1191"/>
      <c r="K297" s="1199"/>
      <c r="L297" s="1191"/>
      <c r="M297" s="1191"/>
      <c r="N297" s="1191"/>
      <c r="O297" s="1191"/>
      <c r="P297" s="1191"/>
      <c r="Q297" s="1191"/>
      <c r="R297" s="1199"/>
      <c r="S297" s="1191"/>
      <c r="T297" s="1191"/>
      <c r="U297" s="1191"/>
      <c r="V297" s="1191"/>
      <c r="W297" s="1191"/>
      <c r="X297" s="1191"/>
      <c r="Y297" s="1191"/>
      <c r="Z297" s="1191"/>
      <c r="AA297" s="1191"/>
      <c r="AB297" s="1191"/>
      <c r="AC297" s="1191"/>
      <c r="AD297" s="1210"/>
      <c r="AE297" s="1210"/>
      <c r="AF297" s="1210"/>
      <c r="AG297" s="1210"/>
      <c r="AH297" s="1210"/>
      <c r="AI297" s="1210"/>
      <c r="AJ297" s="1210"/>
      <c r="AK297" s="1210"/>
      <c r="AL297" s="1210"/>
      <c r="AM297" s="1210"/>
      <c r="AN297" s="1210"/>
    </row>
    <row r="298" spans="1:40" s="1179" customFormat="1">
      <c r="A298" s="1258"/>
      <c r="B298" s="1188"/>
      <c r="C298" s="1188"/>
      <c r="D298" s="1188"/>
      <c r="E298" s="1210"/>
      <c r="F298" s="1210"/>
      <c r="G298" s="1210"/>
      <c r="H298" s="1210"/>
      <c r="I298" s="1191"/>
      <c r="J298" s="1191"/>
      <c r="K298" s="1199"/>
      <c r="L298" s="1191"/>
      <c r="M298" s="1191"/>
      <c r="N298" s="1191"/>
      <c r="O298" s="1191"/>
      <c r="P298" s="1191"/>
      <c r="Q298" s="1191"/>
      <c r="R298" s="1199"/>
      <c r="S298" s="1191"/>
      <c r="T298" s="1191"/>
      <c r="U298" s="1191"/>
      <c r="V298" s="1191"/>
      <c r="W298" s="1191"/>
      <c r="X298" s="1191"/>
      <c r="Y298" s="1191"/>
      <c r="Z298" s="1191"/>
      <c r="AA298" s="1191"/>
      <c r="AB298" s="1191"/>
      <c r="AC298" s="1191"/>
      <c r="AD298" s="1210"/>
      <c r="AE298" s="1210"/>
      <c r="AF298" s="1210"/>
      <c r="AG298" s="1210"/>
      <c r="AH298" s="1210"/>
      <c r="AI298" s="1210"/>
      <c r="AJ298" s="1210"/>
      <c r="AK298" s="1210"/>
      <c r="AL298" s="1210"/>
      <c r="AM298" s="1210"/>
      <c r="AN298" s="1210"/>
    </row>
    <row r="299" spans="1:40" s="1179" customFormat="1">
      <c r="A299" s="1258"/>
      <c r="B299" s="1188"/>
      <c r="C299" s="1188"/>
      <c r="D299" s="1188"/>
      <c r="E299" s="1210"/>
      <c r="F299" s="1210"/>
      <c r="G299" s="1210"/>
      <c r="H299" s="1210"/>
      <c r="I299" s="1191"/>
      <c r="J299" s="1191"/>
      <c r="K299" s="1199"/>
      <c r="L299" s="1191"/>
      <c r="M299" s="1191"/>
      <c r="N299" s="1191"/>
      <c r="O299" s="1191"/>
      <c r="P299" s="1191"/>
      <c r="Q299" s="1191"/>
      <c r="R299" s="1199"/>
      <c r="S299" s="1191"/>
      <c r="T299" s="1191"/>
      <c r="U299" s="1191"/>
      <c r="V299" s="1191"/>
      <c r="W299" s="1191"/>
      <c r="X299" s="1191"/>
      <c r="Y299" s="1191"/>
      <c r="Z299" s="1191"/>
      <c r="AA299" s="1191"/>
      <c r="AB299" s="1191"/>
      <c r="AC299" s="1191"/>
      <c r="AD299" s="1210"/>
      <c r="AE299" s="1210"/>
      <c r="AF299" s="1210"/>
      <c r="AG299" s="1210"/>
      <c r="AH299" s="1210"/>
      <c r="AI299" s="1210"/>
      <c r="AJ299" s="1210"/>
      <c r="AK299" s="1210"/>
      <c r="AL299" s="1210"/>
      <c r="AM299" s="1210"/>
      <c r="AN299" s="1210"/>
    </row>
    <row r="300" spans="1:40" s="1179" customFormat="1">
      <c r="A300" s="1258"/>
      <c r="B300" s="1188"/>
      <c r="C300" s="1188"/>
      <c r="D300" s="1188"/>
      <c r="E300" s="1210"/>
      <c r="F300" s="1210"/>
      <c r="G300" s="1210"/>
      <c r="H300" s="1210"/>
      <c r="I300" s="1191"/>
      <c r="J300" s="1191"/>
      <c r="K300" s="1199"/>
      <c r="L300" s="1191"/>
      <c r="M300" s="1191"/>
      <c r="N300" s="1191"/>
      <c r="O300" s="1191"/>
      <c r="P300" s="1191"/>
      <c r="Q300" s="1191"/>
      <c r="R300" s="1199"/>
      <c r="S300" s="1191"/>
      <c r="T300" s="1191"/>
      <c r="U300" s="1191"/>
      <c r="V300" s="1191"/>
      <c r="W300" s="1191"/>
      <c r="X300" s="1191"/>
      <c r="Y300" s="1191"/>
      <c r="Z300" s="1191"/>
      <c r="AA300" s="1191"/>
      <c r="AB300" s="1191"/>
      <c r="AC300" s="1191"/>
      <c r="AD300" s="1210"/>
      <c r="AE300" s="1210"/>
      <c r="AF300" s="1210"/>
      <c r="AG300" s="1210"/>
      <c r="AH300" s="1210"/>
      <c r="AI300" s="1210"/>
      <c r="AJ300" s="1210"/>
      <c r="AK300" s="1210"/>
      <c r="AL300" s="1210"/>
      <c r="AM300" s="1210"/>
      <c r="AN300" s="1210"/>
    </row>
    <row r="301" spans="1:40" s="1179" customFormat="1">
      <c r="A301" s="1258"/>
      <c r="B301" s="1188"/>
      <c r="C301" s="1188"/>
      <c r="D301" s="1188"/>
      <c r="E301" s="1210"/>
      <c r="F301" s="1210"/>
      <c r="G301" s="1210"/>
      <c r="H301" s="1210"/>
      <c r="I301" s="1191"/>
      <c r="J301" s="1191"/>
      <c r="K301" s="1199"/>
      <c r="L301" s="1191"/>
      <c r="M301" s="1191"/>
      <c r="N301" s="1191"/>
      <c r="O301" s="1191"/>
      <c r="P301" s="1191"/>
      <c r="Q301" s="1191"/>
      <c r="R301" s="1199"/>
      <c r="S301" s="1191"/>
      <c r="T301" s="1191"/>
      <c r="U301" s="1191"/>
      <c r="V301" s="1191"/>
      <c r="W301" s="1191"/>
      <c r="X301" s="1191"/>
      <c r="Y301" s="1191"/>
      <c r="Z301" s="1191"/>
      <c r="AA301" s="1191"/>
      <c r="AB301" s="1191"/>
      <c r="AC301" s="1191"/>
      <c r="AD301" s="1210"/>
      <c r="AE301" s="1210"/>
      <c r="AF301" s="1210"/>
      <c r="AG301" s="1210"/>
      <c r="AH301" s="1210"/>
      <c r="AI301" s="1210"/>
      <c r="AJ301" s="1210"/>
      <c r="AK301" s="1210"/>
      <c r="AL301" s="1210"/>
      <c r="AM301" s="1210"/>
      <c r="AN301" s="1210"/>
    </row>
    <row r="302" spans="1:40" s="1179" customFormat="1">
      <c r="A302" s="1258"/>
      <c r="B302" s="1188"/>
      <c r="C302" s="1188"/>
      <c r="D302" s="1188"/>
      <c r="E302" s="1210"/>
      <c r="F302" s="1210"/>
      <c r="G302" s="1210"/>
      <c r="H302" s="1210"/>
      <c r="I302" s="1191"/>
      <c r="J302" s="1191"/>
      <c r="K302" s="1199"/>
      <c r="L302" s="1191"/>
      <c r="M302" s="1191"/>
      <c r="N302" s="1191"/>
      <c r="O302" s="1191"/>
      <c r="P302" s="1191"/>
      <c r="Q302" s="1191"/>
      <c r="R302" s="1199"/>
      <c r="S302" s="1191"/>
      <c r="T302" s="1191"/>
      <c r="U302" s="1191"/>
      <c r="V302" s="1191"/>
      <c r="W302" s="1191"/>
      <c r="X302" s="1191"/>
      <c r="Y302" s="1191"/>
      <c r="Z302" s="1191"/>
      <c r="AA302" s="1191"/>
      <c r="AB302" s="1191"/>
      <c r="AC302" s="1191"/>
      <c r="AD302" s="1210"/>
      <c r="AE302" s="1210"/>
      <c r="AF302" s="1210"/>
      <c r="AG302" s="1210"/>
      <c r="AH302" s="1210"/>
      <c r="AI302" s="1210"/>
      <c r="AJ302" s="1210"/>
      <c r="AK302" s="1210"/>
      <c r="AL302" s="1210"/>
      <c r="AM302" s="1210"/>
      <c r="AN302" s="1210"/>
    </row>
    <row r="303" spans="1:40" s="1179" customFormat="1">
      <c r="A303" s="1258"/>
      <c r="B303" s="1188"/>
      <c r="C303" s="1188"/>
      <c r="D303" s="1188"/>
      <c r="E303" s="1210"/>
      <c r="F303" s="1210"/>
      <c r="G303" s="1210"/>
      <c r="H303" s="1210"/>
      <c r="I303" s="1191"/>
      <c r="J303" s="1191"/>
      <c r="K303" s="1199"/>
      <c r="L303" s="1191"/>
      <c r="M303" s="1191"/>
      <c r="N303" s="1191"/>
      <c r="O303" s="1191"/>
      <c r="P303" s="1191"/>
      <c r="Q303" s="1191"/>
      <c r="R303" s="1199"/>
      <c r="S303" s="1191"/>
      <c r="T303" s="1191"/>
      <c r="U303" s="1191"/>
      <c r="V303" s="1191"/>
      <c r="W303" s="1191"/>
      <c r="X303" s="1191"/>
      <c r="Y303" s="1191"/>
      <c r="Z303" s="1191"/>
      <c r="AA303" s="1191"/>
      <c r="AB303" s="1191"/>
      <c r="AC303" s="1191"/>
      <c r="AD303" s="1210"/>
      <c r="AE303" s="1210"/>
      <c r="AF303" s="1210"/>
      <c r="AG303" s="1210"/>
      <c r="AH303" s="1210"/>
      <c r="AI303" s="1210"/>
      <c r="AJ303" s="1210"/>
      <c r="AK303" s="1210"/>
      <c r="AL303" s="1210"/>
      <c r="AM303" s="1210"/>
      <c r="AN303" s="1210"/>
    </row>
    <row r="304" spans="1:40" s="1179" customFormat="1">
      <c r="A304" s="1258"/>
      <c r="B304" s="1188"/>
      <c r="C304" s="1188"/>
      <c r="D304" s="1188"/>
      <c r="E304" s="1210"/>
      <c r="F304" s="1210"/>
      <c r="G304" s="1210"/>
      <c r="H304" s="1210"/>
      <c r="I304" s="1191"/>
      <c r="J304" s="1191"/>
      <c r="K304" s="1199"/>
      <c r="L304" s="1191"/>
      <c r="M304" s="1191"/>
      <c r="N304" s="1191"/>
      <c r="O304" s="1191"/>
      <c r="P304" s="1191"/>
      <c r="Q304" s="1191"/>
      <c r="R304" s="1199"/>
      <c r="S304" s="1191"/>
      <c r="T304" s="1191"/>
      <c r="U304" s="1191"/>
      <c r="V304" s="1191"/>
      <c r="W304" s="1191"/>
      <c r="X304" s="1191"/>
      <c r="Y304" s="1191"/>
      <c r="Z304" s="1191"/>
      <c r="AA304" s="1191"/>
      <c r="AB304" s="1191"/>
      <c r="AC304" s="1191"/>
      <c r="AD304" s="1210"/>
      <c r="AE304" s="1210"/>
      <c r="AF304" s="1210"/>
      <c r="AG304" s="1210"/>
      <c r="AH304" s="1210"/>
      <c r="AI304" s="1210"/>
      <c r="AJ304" s="1210"/>
      <c r="AK304" s="1210"/>
      <c r="AL304" s="1210"/>
      <c r="AM304" s="1210"/>
      <c r="AN304" s="1210"/>
    </row>
    <row r="305" spans="1:40" s="1179" customFormat="1">
      <c r="A305" s="1258"/>
      <c r="B305" s="1188"/>
      <c r="C305" s="1188"/>
      <c r="D305" s="1188"/>
      <c r="E305" s="1210"/>
      <c r="F305" s="1210"/>
      <c r="G305" s="1210"/>
      <c r="H305" s="1210"/>
      <c r="I305" s="1191"/>
      <c r="J305" s="1191"/>
      <c r="K305" s="1199"/>
      <c r="L305" s="1191"/>
      <c r="M305" s="1191"/>
      <c r="N305" s="1191"/>
      <c r="O305" s="1191"/>
      <c r="P305" s="1191"/>
      <c r="Q305" s="1191"/>
      <c r="R305" s="1199"/>
      <c r="S305" s="1191"/>
      <c r="T305" s="1191"/>
      <c r="U305" s="1191"/>
      <c r="V305" s="1191"/>
      <c r="W305" s="1191"/>
      <c r="X305" s="1191"/>
      <c r="Y305" s="1191"/>
      <c r="Z305" s="1191"/>
      <c r="AA305" s="1191"/>
      <c r="AB305" s="1191"/>
      <c r="AC305" s="1191"/>
      <c r="AD305" s="1210"/>
      <c r="AE305" s="1210"/>
      <c r="AF305" s="1210"/>
      <c r="AG305" s="1210"/>
      <c r="AH305" s="1210"/>
      <c r="AI305" s="1210"/>
      <c r="AJ305" s="1210"/>
      <c r="AK305" s="1210"/>
      <c r="AL305" s="1210"/>
      <c r="AM305" s="1210"/>
      <c r="AN305" s="1210"/>
    </row>
    <row r="306" spans="1:40" s="1179" customFormat="1">
      <c r="A306" s="1258"/>
      <c r="B306" s="1188"/>
      <c r="C306" s="1188"/>
      <c r="D306" s="1188"/>
      <c r="E306" s="1210"/>
      <c r="F306" s="1210"/>
      <c r="G306" s="1210"/>
      <c r="H306" s="1210"/>
      <c r="I306" s="1191"/>
      <c r="J306" s="1191"/>
      <c r="K306" s="1199"/>
      <c r="L306" s="1191"/>
      <c r="M306" s="1191"/>
      <c r="N306" s="1191"/>
      <c r="O306" s="1191"/>
      <c r="P306" s="1191"/>
      <c r="Q306" s="1191"/>
      <c r="R306" s="1199"/>
      <c r="S306" s="1191"/>
      <c r="T306" s="1191"/>
      <c r="U306" s="1191"/>
      <c r="V306" s="1191"/>
      <c r="W306" s="1191"/>
      <c r="X306" s="1191"/>
      <c r="Y306" s="1191"/>
      <c r="Z306" s="1191"/>
      <c r="AA306" s="1191"/>
      <c r="AB306" s="1191"/>
      <c r="AC306" s="1191"/>
      <c r="AD306" s="1210"/>
      <c r="AE306" s="1210"/>
      <c r="AF306" s="1210"/>
      <c r="AG306" s="1210"/>
      <c r="AH306" s="1210"/>
      <c r="AI306" s="1210"/>
      <c r="AJ306" s="1210"/>
      <c r="AK306" s="1210"/>
      <c r="AL306" s="1210"/>
      <c r="AM306" s="1210"/>
      <c r="AN306" s="1210"/>
    </row>
    <row r="307" spans="1:40" s="1179" customFormat="1">
      <c r="A307" s="1258"/>
      <c r="B307" s="1188"/>
      <c r="C307" s="1188"/>
      <c r="D307" s="1188"/>
      <c r="E307" s="1210"/>
      <c r="F307" s="1210"/>
      <c r="G307" s="1210"/>
      <c r="H307" s="1210"/>
      <c r="I307" s="1191"/>
      <c r="J307" s="1191"/>
      <c r="K307" s="1199"/>
      <c r="L307" s="1191"/>
      <c r="M307" s="1191"/>
      <c r="N307" s="1191"/>
      <c r="O307" s="1191"/>
      <c r="P307" s="1191"/>
      <c r="Q307" s="1191"/>
      <c r="R307" s="1199"/>
      <c r="S307" s="1191"/>
      <c r="T307" s="1191"/>
      <c r="U307" s="1191"/>
      <c r="V307" s="1191"/>
      <c r="W307" s="1191"/>
      <c r="X307" s="1191"/>
      <c r="Y307" s="1191"/>
      <c r="Z307" s="1191"/>
      <c r="AA307" s="1191"/>
      <c r="AB307" s="1191"/>
      <c r="AC307" s="1191"/>
      <c r="AD307" s="1210"/>
      <c r="AE307" s="1210"/>
      <c r="AF307" s="1210"/>
      <c r="AG307" s="1210"/>
      <c r="AH307" s="1210"/>
      <c r="AI307" s="1210"/>
      <c r="AJ307" s="1210"/>
      <c r="AK307" s="1210"/>
      <c r="AL307" s="1210"/>
      <c r="AM307" s="1210"/>
      <c r="AN307" s="1210"/>
    </row>
    <row r="308" spans="1:40" s="1179" customFormat="1">
      <c r="A308" s="1258"/>
      <c r="B308" s="1188"/>
      <c r="C308" s="1188"/>
      <c r="D308" s="1188"/>
      <c r="E308" s="1210"/>
      <c r="F308" s="1210"/>
      <c r="G308" s="1210"/>
      <c r="H308" s="1210"/>
      <c r="I308" s="1191"/>
      <c r="J308" s="1191"/>
      <c r="K308" s="1199"/>
      <c r="L308" s="1191"/>
      <c r="M308" s="1191"/>
      <c r="N308" s="1191"/>
      <c r="O308" s="1191"/>
      <c r="P308" s="1191"/>
      <c r="Q308" s="1191"/>
      <c r="R308" s="1199"/>
      <c r="S308" s="1191"/>
      <c r="T308" s="1191"/>
      <c r="U308" s="1191"/>
      <c r="V308" s="1191"/>
      <c r="W308" s="1191"/>
      <c r="X308" s="1191"/>
      <c r="Y308" s="1191"/>
      <c r="Z308" s="1191"/>
      <c r="AA308" s="1191"/>
      <c r="AB308" s="1191"/>
      <c r="AC308" s="1191"/>
      <c r="AD308" s="1210"/>
      <c r="AE308" s="1210"/>
      <c r="AF308" s="1210"/>
      <c r="AG308" s="1210"/>
      <c r="AH308" s="1210"/>
      <c r="AI308" s="1210"/>
      <c r="AJ308" s="1210"/>
      <c r="AK308" s="1210"/>
      <c r="AL308" s="1210"/>
      <c r="AM308" s="1210"/>
      <c r="AN308" s="1210"/>
    </row>
    <row r="309" spans="1:40" s="1179" customFormat="1">
      <c r="A309" s="1258"/>
      <c r="B309" s="1188"/>
      <c r="C309" s="1188"/>
      <c r="D309" s="1188"/>
      <c r="E309" s="1210"/>
      <c r="F309" s="1210"/>
      <c r="G309" s="1210"/>
      <c r="H309" s="1210"/>
      <c r="I309" s="1191"/>
      <c r="J309" s="1191"/>
      <c r="K309" s="1199"/>
      <c r="L309" s="1191"/>
      <c r="M309" s="1191"/>
      <c r="N309" s="1191"/>
      <c r="O309" s="1191"/>
      <c r="P309" s="1191"/>
      <c r="Q309" s="1191"/>
      <c r="R309" s="1199"/>
      <c r="S309" s="1191"/>
      <c r="T309" s="1191"/>
      <c r="U309" s="1191"/>
      <c r="V309" s="1191"/>
      <c r="W309" s="1191"/>
      <c r="X309" s="1191"/>
      <c r="Y309" s="1191"/>
      <c r="Z309" s="1191"/>
      <c r="AA309" s="1191"/>
      <c r="AB309" s="1191"/>
      <c r="AC309" s="1191"/>
      <c r="AD309" s="1210"/>
      <c r="AE309" s="1210"/>
      <c r="AF309" s="1210"/>
      <c r="AG309" s="1210"/>
      <c r="AH309" s="1210"/>
      <c r="AI309" s="1210"/>
      <c r="AJ309" s="1210"/>
      <c r="AK309" s="1210"/>
      <c r="AL309" s="1210"/>
      <c r="AM309" s="1210"/>
      <c r="AN309" s="1210"/>
    </row>
    <row r="310" spans="1:40" s="1179" customFormat="1">
      <c r="A310" s="1258"/>
      <c r="B310" s="1188"/>
      <c r="C310" s="1188"/>
      <c r="D310" s="1188"/>
      <c r="E310" s="1210"/>
      <c r="F310" s="1210"/>
      <c r="G310" s="1210"/>
      <c r="H310" s="1210"/>
      <c r="I310" s="1191"/>
      <c r="J310" s="1191"/>
      <c r="K310" s="1199"/>
      <c r="L310" s="1191"/>
      <c r="M310" s="1191"/>
      <c r="N310" s="1191"/>
      <c r="O310" s="1191"/>
      <c r="P310" s="1191"/>
      <c r="Q310" s="1191"/>
      <c r="R310" s="1199"/>
      <c r="S310" s="1191"/>
      <c r="T310" s="1191"/>
      <c r="U310" s="1191"/>
      <c r="V310" s="1191"/>
      <c r="W310" s="1191"/>
      <c r="X310" s="1191"/>
      <c r="Y310" s="1191"/>
      <c r="Z310" s="1191"/>
      <c r="AA310" s="1191"/>
      <c r="AB310" s="1191"/>
      <c r="AC310" s="1191"/>
      <c r="AD310" s="1210"/>
      <c r="AE310" s="1210"/>
      <c r="AF310" s="1210"/>
      <c r="AG310" s="1210"/>
      <c r="AH310" s="1210"/>
      <c r="AI310" s="1210"/>
      <c r="AJ310" s="1210"/>
      <c r="AK310" s="1210"/>
      <c r="AL310" s="1210"/>
      <c r="AM310" s="1210"/>
      <c r="AN310" s="1210"/>
    </row>
    <row r="311" spans="1:40" s="1179" customFormat="1">
      <c r="A311" s="1258"/>
      <c r="B311" s="1188"/>
      <c r="C311" s="1188"/>
      <c r="D311" s="1188"/>
      <c r="E311" s="1210"/>
      <c r="F311" s="1210"/>
      <c r="G311" s="1210"/>
      <c r="H311" s="1210"/>
      <c r="I311" s="1191"/>
      <c r="J311" s="1191"/>
      <c r="K311" s="1199"/>
      <c r="L311" s="1191"/>
      <c r="M311" s="1191"/>
      <c r="N311" s="1191"/>
      <c r="O311" s="1191"/>
      <c r="P311" s="1191"/>
      <c r="Q311" s="1191"/>
      <c r="R311" s="1199"/>
      <c r="S311" s="1191"/>
      <c r="T311" s="1191"/>
      <c r="U311" s="1191"/>
      <c r="V311" s="1191"/>
      <c r="W311" s="1191"/>
      <c r="X311" s="1191"/>
      <c r="Y311" s="1191"/>
      <c r="Z311" s="1191"/>
      <c r="AA311" s="1191"/>
      <c r="AB311" s="1191"/>
      <c r="AC311" s="1191"/>
      <c r="AD311" s="1210"/>
      <c r="AE311" s="1210"/>
      <c r="AF311" s="1210"/>
      <c r="AG311" s="1210"/>
      <c r="AH311" s="1210"/>
      <c r="AI311" s="1210"/>
      <c r="AJ311" s="1210"/>
      <c r="AK311" s="1210"/>
      <c r="AL311" s="1210"/>
      <c r="AM311" s="1210"/>
      <c r="AN311" s="1210"/>
    </row>
    <row r="312" spans="1:40" s="1179" customFormat="1">
      <c r="A312" s="1258"/>
      <c r="B312" s="1188"/>
      <c r="C312" s="1188"/>
      <c r="D312" s="1188"/>
      <c r="E312" s="1210"/>
      <c r="F312" s="1210"/>
      <c r="G312" s="1210"/>
      <c r="H312" s="1210"/>
      <c r="I312" s="1191"/>
      <c r="J312" s="1191"/>
      <c r="K312" s="1199"/>
      <c r="L312" s="1191"/>
      <c r="M312" s="1191"/>
      <c r="N312" s="1191"/>
      <c r="O312" s="1191"/>
      <c r="P312" s="1191"/>
      <c r="Q312" s="1191"/>
      <c r="R312" s="1199"/>
      <c r="S312" s="1191"/>
      <c r="T312" s="1191"/>
      <c r="U312" s="1191"/>
      <c r="V312" s="1191"/>
      <c r="W312" s="1191"/>
      <c r="X312" s="1191"/>
      <c r="Y312" s="1191"/>
      <c r="Z312" s="1191"/>
      <c r="AA312" s="1191"/>
      <c r="AB312" s="1191"/>
      <c r="AC312" s="1191"/>
      <c r="AD312" s="1210"/>
      <c r="AE312" s="1210"/>
      <c r="AF312" s="1210"/>
      <c r="AG312" s="1210"/>
      <c r="AH312" s="1210"/>
      <c r="AI312" s="1210"/>
      <c r="AJ312" s="1210"/>
      <c r="AK312" s="1210"/>
      <c r="AL312" s="1210"/>
      <c r="AM312" s="1210"/>
      <c r="AN312" s="1210"/>
    </row>
    <row r="313" spans="1:40" s="1179" customFormat="1">
      <c r="A313" s="1258"/>
      <c r="B313" s="1188"/>
      <c r="C313" s="1188"/>
      <c r="D313" s="1188"/>
      <c r="E313" s="1210"/>
      <c r="F313" s="1210"/>
      <c r="G313" s="1210"/>
      <c r="H313" s="1210"/>
      <c r="I313" s="1191"/>
      <c r="J313" s="1191"/>
      <c r="K313" s="1199"/>
      <c r="L313" s="1191"/>
      <c r="M313" s="1191"/>
      <c r="N313" s="1191"/>
      <c r="O313" s="1191"/>
      <c r="P313" s="1191"/>
      <c r="Q313" s="1191"/>
      <c r="R313" s="1199"/>
      <c r="S313" s="1191"/>
      <c r="T313" s="1191"/>
      <c r="U313" s="1191"/>
      <c r="V313" s="1191"/>
      <c r="W313" s="1191"/>
      <c r="X313" s="1191"/>
      <c r="Y313" s="1191"/>
      <c r="Z313" s="1191"/>
      <c r="AA313" s="1191"/>
      <c r="AB313" s="1191"/>
      <c r="AC313" s="1191"/>
      <c r="AD313" s="1210"/>
      <c r="AE313" s="1210"/>
      <c r="AF313" s="1210"/>
      <c r="AG313" s="1210"/>
      <c r="AH313" s="1210"/>
      <c r="AI313" s="1210"/>
      <c r="AJ313" s="1210"/>
      <c r="AK313" s="1210"/>
      <c r="AL313" s="1210"/>
      <c r="AM313" s="1210"/>
      <c r="AN313" s="1210"/>
    </row>
    <row r="314" spans="1:40" s="1179" customFormat="1">
      <c r="A314" s="1258"/>
      <c r="B314" s="1188"/>
      <c r="C314" s="1188"/>
      <c r="D314" s="1188"/>
      <c r="E314" s="1210"/>
      <c r="F314" s="1210"/>
      <c r="G314" s="1210"/>
      <c r="H314" s="1210"/>
      <c r="I314" s="1191"/>
      <c r="J314" s="1191"/>
      <c r="K314" s="1199"/>
      <c r="L314" s="1191"/>
      <c r="M314" s="1191"/>
      <c r="N314" s="1191"/>
      <c r="O314" s="1191"/>
      <c r="P314" s="1191"/>
      <c r="Q314" s="1191"/>
      <c r="R314" s="1199"/>
      <c r="S314" s="1191"/>
      <c r="T314" s="1191"/>
      <c r="U314" s="1191"/>
      <c r="V314" s="1191"/>
      <c r="W314" s="1191"/>
      <c r="X314" s="1191"/>
      <c r="Y314" s="1191"/>
      <c r="Z314" s="1191"/>
      <c r="AA314" s="1191"/>
      <c r="AB314" s="1191"/>
      <c r="AC314" s="1191"/>
      <c r="AD314" s="1210"/>
      <c r="AE314" s="1210"/>
      <c r="AF314" s="1210"/>
      <c r="AG314" s="1210"/>
      <c r="AH314" s="1210"/>
      <c r="AI314" s="1210"/>
      <c r="AJ314" s="1210"/>
      <c r="AK314" s="1210"/>
      <c r="AL314" s="1210"/>
      <c r="AM314" s="1210"/>
      <c r="AN314" s="1210"/>
    </row>
    <row r="315" spans="1:40" s="1179" customFormat="1">
      <c r="A315" s="1258"/>
      <c r="B315" s="1188"/>
      <c r="C315" s="1188"/>
      <c r="D315" s="1188"/>
      <c r="E315" s="1210"/>
      <c r="F315" s="1210"/>
      <c r="G315" s="1210"/>
      <c r="H315" s="1210"/>
      <c r="I315" s="1191"/>
      <c r="J315" s="1191"/>
      <c r="K315" s="1199"/>
      <c r="L315" s="1191"/>
      <c r="M315" s="1191"/>
      <c r="N315" s="1191"/>
      <c r="O315" s="1191"/>
      <c r="P315" s="1191"/>
      <c r="Q315" s="1191"/>
      <c r="R315" s="1199"/>
      <c r="S315" s="1191"/>
      <c r="T315" s="1191"/>
      <c r="U315" s="1191"/>
      <c r="V315" s="1191"/>
      <c r="W315" s="1191"/>
      <c r="X315" s="1191"/>
      <c r="Y315" s="1191"/>
      <c r="Z315" s="1191"/>
      <c r="AA315" s="1191"/>
      <c r="AB315" s="1191"/>
      <c r="AC315" s="1191"/>
      <c r="AD315" s="1210"/>
      <c r="AE315" s="1210"/>
      <c r="AF315" s="1210"/>
      <c r="AG315" s="1210"/>
      <c r="AH315" s="1210"/>
      <c r="AI315" s="1210"/>
      <c r="AJ315" s="1210"/>
      <c r="AK315" s="1210"/>
      <c r="AL315" s="1210"/>
      <c r="AM315" s="1210"/>
      <c r="AN315" s="1210"/>
    </row>
    <row r="316" spans="1:40" s="1179" customFormat="1">
      <c r="A316" s="1258"/>
      <c r="B316" s="1188"/>
      <c r="C316" s="1188"/>
      <c r="D316" s="1188"/>
      <c r="E316" s="1210"/>
      <c r="F316" s="1210"/>
      <c r="G316" s="1210"/>
      <c r="H316" s="1210"/>
      <c r="I316" s="1191"/>
      <c r="J316" s="1191"/>
      <c r="K316" s="1199"/>
      <c r="L316" s="1191"/>
      <c r="M316" s="1191"/>
      <c r="N316" s="1191"/>
      <c r="O316" s="1191"/>
      <c r="P316" s="1191"/>
      <c r="Q316" s="1191"/>
      <c r="R316" s="1199"/>
      <c r="S316" s="1191"/>
      <c r="T316" s="1191"/>
      <c r="U316" s="1191"/>
      <c r="V316" s="1191"/>
      <c r="W316" s="1191"/>
      <c r="X316" s="1191"/>
      <c r="Y316" s="1191"/>
      <c r="Z316" s="1191"/>
      <c r="AA316" s="1191"/>
      <c r="AB316" s="1191"/>
      <c r="AC316" s="1191"/>
      <c r="AD316" s="1210"/>
      <c r="AE316" s="1210"/>
      <c r="AF316" s="1210"/>
      <c r="AG316" s="1210"/>
      <c r="AH316" s="1210"/>
      <c r="AI316" s="1210"/>
      <c r="AJ316" s="1210"/>
      <c r="AK316" s="1210"/>
      <c r="AL316" s="1210"/>
      <c r="AM316" s="1210"/>
      <c r="AN316" s="1210"/>
    </row>
    <row r="317" spans="1:40" s="1179" customFormat="1">
      <c r="A317" s="1258"/>
      <c r="B317" s="1188"/>
      <c r="C317" s="1188"/>
      <c r="D317" s="1188"/>
      <c r="E317" s="1210"/>
      <c r="F317" s="1210"/>
      <c r="G317" s="1210"/>
      <c r="H317" s="1210"/>
      <c r="I317" s="1191"/>
      <c r="J317" s="1191"/>
      <c r="K317" s="1199"/>
      <c r="L317" s="1191"/>
      <c r="M317" s="1191"/>
      <c r="N317" s="1191"/>
      <c r="O317" s="1191"/>
      <c r="P317" s="1191"/>
      <c r="Q317" s="1191"/>
      <c r="R317" s="1199"/>
      <c r="S317" s="1191"/>
      <c r="T317" s="1191"/>
      <c r="U317" s="1191"/>
      <c r="V317" s="1191"/>
      <c r="W317" s="1191"/>
      <c r="X317" s="1191"/>
      <c r="Y317" s="1191"/>
      <c r="Z317" s="1191"/>
      <c r="AA317" s="1191"/>
      <c r="AB317" s="1191"/>
      <c r="AC317" s="1191"/>
      <c r="AD317" s="1210"/>
      <c r="AE317" s="1210"/>
      <c r="AF317" s="1210"/>
      <c r="AG317" s="1210"/>
      <c r="AH317" s="1210"/>
      <c r="AI317" s="1210"/>
      <c r="AJ317" s="1210"/>
      <c r="AK317" s="1210"/>
      <c r="AL317" s="1210"/>
      <c r="AM317" s="1210"/>
      <c r="AN317" s="1210"/>
    </row>
    <row r="318" spans="1:40" s="1179" customFormat="1">
      <c r="A318" s="1258"/>
      <c r="B318" s="1188"/>
      <c r="C318" s="1188"/>
      <c r="D318" s="1188"/>
      <c r="E318" s="1210"/>
      <c r="F318" s="1210"/>
      <c r="G318" s="1210"/>
      <c r="H318" s="1210"/>
      <c r="I318" s="1191"/>
      <c r="J318" s="1191"/>
      <c r="K318" s="1199"/>
      <c r="L318" s="1191"/>
      <c r="M318" s="1191"/>
      <c r="N318" s="1191"/>
      <c r="O318" s="1191"/>
      <c r="P318" s="1191"/>
      <c r="Q318" s="1191"/>
      <c r="R318" s="1199"/>
      <c r="S318" s="1191"/>
      <c r="T318" s="1191"/>
      <c r="U318" s="1191"/>
      <c r="V318" s="1191"/>
      <c r="W318" s="1191"/>
      <c r="X318" s="1191"/>
      <c r="Y318" s="1191"/>
      <c r="Z318" s="1191"/>
      <c r="AA318" s="1191"/>
      <c r="AB318" s="1191"/>
      <c r="AC318" s="1191"/>
      <c r="AD318" s="1210"/>
      <c r="AE318" s="1210"/>
      <c r="AF318" s="1210"/>
      <c r="AG318" s="1210"/>
      <c r="AH318" s="1210"/>
      <c r="AI318" s="1210"/>
      <c r="AJ318" s="1210"/>
      <c r="AK318" s="1210"/>
      <c r="AL318" s="1210"/>
      <c r="AM318" s="1210"/>
      <c r="AN318" s="1210"/>
    </row>
    <row r="319" spans="1:40" s="1179" customFormat="1">
      <c r="A319" s="1258"/>
      <c r="B319" s="1188"/>
      <c r="C319" s="1188"/>
      <c r="D319" s="1188"/>
      <c r="E319" s="1210"/>
      <c r="F319" s="1210"/>
      <c r="G319" s="1210"/>
      <c r="H319" s="1210"/>
      <c r="I319" s="1191"/>
      <c r="J319" s="1191"/>
      <c r="K319" s="1199"/>
      <c r="L319" s="1191"/>
      <c r="M319" s="1191"/>
      <c r="N319" s="1191"/>
      <c r="O319" s="1191"/>
      <c r="P319" s="1191"/>
      <c r="Q319" s="1191"/>
      <c r="R319" s="1199"/>
      <c r="S319" s="1191"/>
      <c r="T319" s="1191"/>
      <c r="U319" s="1191"/>
      <c r="V319" s="1191"/>
      <c r="W319" s="1191"/>
      <c r="X319" s="1191"/>
      <c r="Y319" s="1191"/>
      <c r="Z319" s="1191"/>
      <c r="AA319" s="1191"/>
      <c r="AB319" s="1191"/>
      <c r="AC319" s="1191"/>
      <c r="AD319" s="1210"/>
      <c r="AE319" s="1210"/>
      <c r="AF319" s="1210"/>
      <c r="AG319" s="1210"/>
      <c r="AH319" s="1210"/>
      <c r="AI319" s="1210"/>
      <c r="AJ319" s="1210"/>
      <c r="AK319" s="1210"/>
      <c r="AL319" s="1210"/>
      <c r="AM319" s="1210"/>
      <c r="AN319" s="1210"/>
    </row>
    <row r="320" spans="1:40" s="1179" customFormat="1">
      <c r="A320" s="1258"/>
      <c r="B320" s="1188"/>
      <c r="C320" s="1188"/>
      <c r="D320" s="1188"/>
      <c r="E320" s="1210"/>
      <c r="F320" s="1210"/>
      <c r="G320" s="1210"/>
      <c r="H320" s="1210"/>
      <c r="I320" s="1191"/>
      <c r="J320" s="1191"/>
      <c r="K320" s="1199"/>
      <c r="L320" s="1191"/>
      <c r="M320" s="1191"/>
      <c r="N320" s="1191"/>
      <c r="O320" s="1191"/>
      <c r="P320" s="1191"/>
      <c r="Q320" s="1191"/>
      <c r="R320" s="1199"/>
      <c r="S320" s="1191"/>
      <c r="T320" s="1191"/>
      <c r="U320" s="1191"/>
      <c r="V320" s="1191"/>
      <c r="W320" s="1191"/>
      <c r="X320" s="1191"/>
      <c r="Y320" s="1191"/>
      <c r="Z320" s="1191"/>
      <c r="AA320" s="1191"/>
      <c r="AB320" s="1191"/>
      <c r="AC320" s="1191"/>
      <c r="AD320" s="1210"/>
      <c r="AE320" s="1210"/>
      <c r="AF320" s="1210"/>
      <c r="AG320" s="1210"/>
      <c r="AH320" s="1210"/>
      <c r="AI320" s="1210"/>
      <c r="AJ320" s="1210"/>
      <c r="AK320" s="1210"/>
      <c r="AL320" s="1210"/>
      <c r="AM320" s="1210"/>
      <c r="AN320" s="1210"/>
    </row>
    <row r="321" spans="1:40" s="1179" customFormat="1">
      <c r="A321" s="1258"/>
      <c r="B321" s="1188"/>
      <c r="C321" s="1188"/>
      <c r="D321" s="1188"/>
      <c r="E321" s="1210"/>
      <c r="F321" s="1210"/>
      <c r="G321" s="1210"/>
      <c r="H321" s="1210"/>
      <c r="I321" s="1191"/>
      <c r="J321" s="1191"/>
      <c r="K321" s="1199"/>
      <c r="L321" s="1191"/>
      <c r="M321" s="1191"/>
      <c r="N321" s="1191"/>
      <c r="O321" s="1191"/>
      <c r="P321" s="1191"/>
      <c r="Q321" s="1191"/>
      <c r="R321" s="1199"/>
      <c r="S321" s="1191"/>
      <c r="T321" s="1191"/>
      <c r="U321" s="1191"/>
      <c r="V321" s="1191"/>
      <c r="W321" s="1191"/>
      <c r="X321" s="1191"/>
      <c r="Y321" s="1191"/>
      <c r="Z321" s="1191"/>
      <c r="AA321" s="1191"/>
      <c r="AB321" s="1191"/>
      <c r="AC321" s="1191"/>
      <c r="AD321" s="1210"/>
      <c r="AE321" s="1210"/>
      <c r="AF321" s="1210"/>
      <c r="AG321" s="1210"/>
      <c r="AH321" s="1210"/>
      <c r="AI321" s="1210"/>
      <c r="AJ321" s="1210"/>
      <c r="AK321" s="1210"/>
      <c r="AL321" s="1210"/>
      <c r="AM321" s="1210"/>
      <c r="AN321" s="1210"/>
    </row>
    <row r="322" spans="1:40" s="1179" customFormat="1">
      <c r="A322" s="1258"/>
      <c r="B322" s="1188"/>
      <c r="C322" s="1188"/>
      <c r="D322" s="1188"/>
      <c r="E322" s="1210"/>
      <c r="F322" s="1210"/>
      <c r="G322" s="1210"/>
      <c r="H322" s="1210"/>
      <c r="I322" s="1191"/>
      <c r="J322" s="1191"/>
      <c r="K322" s="1199"/>
      <c r="L322" s="1191"/>
      <c r="M322" s="1191"/>
      <c r="N322" s="1191"/>
      <c r="O322" s="1191"/>
      <c r="P322" s="1191"/>
      <c r="Q322" s="1191"/>
      <c r="R322" s="1199"/>
      <c r="S322" s="1191"/>
      <c r="T322" s="1191"/>
      <c r="U322" s="1191"/>
      <c r="V322" s="1191"/>
      <c r="W322" s="1191"/>
      <c r="X322" s="1191"/>
      <c r="Y322" s="1191"/>
      <c r="Z322" s="1191"/>
      <c r="AA322" s="1191"/>
      <c r="AB322" s="1191"/>
      <c r="AC322" s="1191"/>
      <c r="AD322" s="1210"/>
      <c r="AE322" s="1210"/>
      <c r="AF322" s="1210"/>
      <c r="AG322" s="1210"/>
      <c r="AH322" s="1210"/>
      <c r="AI322" s="1210"/>
      <c r="AJ322" s="1210"/>
      <c r="AK322" s="1210"/>
      <c r="AL322" s="1210"/>
      <c r="AM322" s="1210"/>
      <c r="AN322" s="1210"/>
    </row>
    <row r="323" spans="1:40" s="1179" customFormat="1">
      <c r="A323" s="1258"/>
      <c r="B323" s="1188"/>
      <c r="C323" s="1188"/>
      <c r="D323" s="1188"/>
      <c r="E323" s="1210"/>
      <c r="F323" s="1210"/>
      <c r="G323" s="1210"/>
      <c r="H323" s="1210"/>
      <c r="I323" s="1191"/>
      <c r="J323" s="1191"/>
      <c r="K323" s="1199"/>
      <c r="L323" s="1191"/>
      <c r="M323" s="1191"/>
      <c r="N323" s="1191"/>
      <c r="O323" s="1191"/>
      <c r="P323" s="1191"/>
      <c r="Q323" s="1191"/>
      <c r="R323" s="1199"/>
      <c r="S323" s="1191"/>
      <c r="T323" s="1191"/>
      <c r="U323" s="1191"/>
      <c r="V323" s="1191"/>
      <c r="W323" s="1191"/>
      <c r="X323" s="1191"/>
      <c r="Y323" s="1191"/>
      <c r="Z323" s="1191"/>
      <c r="AA323" s="1191"/>
      <c r="AB323" s="1191"/>
      <c r="AC323" s="1191"/>
      <c r="AD323" s="1210"/>
      <c r="AE323" s="1210"/>
      <c r="AF323" s="1210"/>
      <c r="AG323" s="1210"/>
      <c r="AH323" s="1210"/>
      <c r="AI323" s="1210"/>
      <c r="AJ323" s="1210"/>
      <c r="AK323" s="1210"/>
      <c r="AL323" s="1210"/>
      <c r="AM323" s="1210"/>
      <c r="AN323" s="1210"/>
    </row>
    <row r="324" spans="1:40" s="1179" customFormat="1">
      <c r="A324" s="1258"/>
      <c r="B324" s="1188"/>
      <c r="C324" s="1188"/>
      <c r="D324" s="1188"/>
      <c r="E324" s="1210"/>
      <c r="F324" s="1210"/>
      <c r="G324" s="1210"/>
      <c r="H324" s="1210"/>
      <c r="I324" s="1191"/>
      <c r="J324" s="1191"/>
      <c r="K324" s="1199"/>
      <c r="L324" s="1191"/>
      <c r="M324" s="1191"/>
      <c r="N324" s="1191"/>
      <c r="O324" s="1191"/>
      <c r="P324" s="1191"/>
      <c r="Q324" s="1191"/>
      <c r="R324" s="1199"/>
      <c r="S324" s="1191"/>
      <c r="T324" s="1191"/>
      <c r="U324" s="1191"/>
      <c r="V324" s="1191"/>
      <c r="W324" s="1191"/>
      <c r="X324" s="1191"/>
      <c r="Y324" s="1191"/>
      <c r="Z324" s="1191"/>
      <c r="AA324" s="1191"/>
      <c r="AB324" s="1191"/>
      <c r="AC324" s="1191"/>
      <c r="AD324" s="1210"/>
      <c r="AE324" s="1210"/>
      <c r="AF324" s="1210"/>
      <c r="AG324" s="1210"/>
      <c r="AH324" s="1210"/>
      <c r="AI324" s="1210"/>
      <c r="AJ324" s="1210"/>
      <c r="AK324" s="1210"/>
      <c r="AL324" s="1210"/>
      <c r="AM324" s="1210"/>
      <c r="AN324" s="1210"/>
    </row>
    <row r="325" spans="1:40" s="1179" customFormat="1">
      <c r="A325" s="1258"/>
      <c r="B325" s="1188"/>
      <c r="C325" s="1188"/>
      <c r="D325" s="1188"/>
      <c r="E325" s="1210"/>
      <c r="F325" s="1210"/>
      <c r="G325" s="1210"/>
      <c r="H325" s="1210"/>
      <c r="I325" s="1191"/>
      <c r="J325" s="1191"/>
      <c r="K325" s="1199"/>
      <c r="L325" s="1191"/>
      <c r="M325" s="1191"/>
      <c r="N325" s="1191"/>
      <c r="O325" s="1191"/>
      <c r="P325" s="1191"/>
      <c r="Q325" s="1191"/>
      <c r="R325" s="1199"/>
      <c r="S325" s="1191"/>
      <c r="T325" s="1191"/>
      <c r="U325" s="1191"/>
      <c r="V325" s="1191"/>
      <c r="W325" s="1191"/>
      <c r="X325" s="1191"/>
      <c r="Y325" s="1191"/>
      <c r="Z325" s="1191"/>
      <c r="AA325" s="1191"/>
      <c r="AB325" s="1191"/>
      <c r="AC325" s="1191"/>
      <c r="AD325" s="1210"/>
      <c r="AE325" s="1210"/>
      <c r="AF325" s="1210"/>
      <c r="AG325" s="1210"/>
      <c r="AH325" s="1210"/>
      <c r="AI325" s="1210"/>
      <c r="AJ325" s="1210"/>
      <c r="AK325" s="1210"/>
      <c r="AL325" s="1210"/>
      <c r="AM325" s="1210"/>
      <c r="AN325" s="1210"/>
    </row>
    <row r="326" spans="1:40" s="1179" customFormat="1">
      <c r="A326" s="1258"/>
      <c r="B326" s="1188"/>
      <c r="C326" s="1188"/>
      <c r="D326" s="1188"/>
      <c r="E326" s="1210"/>
      <c r="F326" s="1210"/>
      <c r="G326" s="1210"/>
      <c r="H326" s="1210"/>
      <c r="I326" s="1191"/>
      <c r="J326" s="1191"/>
      <c r="K326" s="1199"/>
      <c r="L326" s="1191"/>
      <c r="M326" s="1191"/>
      <c r="N326" s="1191"/>
      <c r="O326" s="1191"/>
      <c r="P326" s="1191"/>
      <c r="Q326" s="1191"/>
      <c r="R326" s="1199"/>
      <c r="S326" s="1191"/>
      <c r="T326" s="1191"/>
      <c r="U326" s="1191"/>
      <c r="V326" s="1191"/>
      <c r="W326" s="1191"/>
      <c r="X326" s="1191"/>
      <c r="Y326" s="1191"/>
      <c r="Z326" s="1191"/>
      <c r="AA326" s="1191"/>
      <c r="AB326" s="1191"/>
      <c r="AC326" s="1191"/>
      <c r="AD326" s="1210"/>
      <c r="AE326" s="1210"/>
      <c r="AF326" s="1210"/>
      <c r="AG326" s="1210"/>
      <c r="AH326" s="1210"/>
      <c r="AI326" s="1210"/>
      <c r="AJ326" s="1210"/>
      <c r="AK326" s="1210"/>
      <c r="AL326" s="1210"/>
      <c r="AM326" s="1210"/>
      <c r="AN326" s="1210"/>
    </row>
    <row r="327" spans="1:40" s="1179" customFormat="1">
      <c r="A327" s="1258"/>
      <c r="B327" s="1188"/>
      <c r="C327" s="1188"/>
      <c r="D327" s="1188"/>
      <c r="E327" s="1210"/>
      <c r="F327" s="1210"/>
      <c r="G327" s="1210"/>
      <c r="H327" s="1210"/>
      <c r="I327" s="1191"/>
      <c r="J327" s="1191"/>
      <c r="K327" s="1199"/>
      <c r="L327" s="1191"/>
      <c r="M327" s="1191"/>
      <c r="N327" s="1191"/>
      <c r="O327" s="1191"/>
      <c r="P327" s="1191"/>
      <c r="Q327" s="1191"/>
      <c r="R327" s="1199"/>
      <c r="S327" s="1191"/>
      <c r="T327" s="1191"/>
      <c r="U327" s="1191"/>
      <c r="V327" s="1191"/>
      <c r="W327" s="1191"/>
      <c r="X327" s="1191"/>
      <c r="Y327" s="1191"/>
      <c r="Z327" s="1191"/>
      <c r="AA327" s="1191"/>
      <c r="AB327" s="1191"/>
      <c r="AC327" s="1191"/>
      <c r="AD327" s="1210"/>
      <c r="AE327" s="1210"/>
      <c r="AF327" s="1210"/>
      <c r="AG327" s="1210"/>
      <c r="AH327" s="1210"/>
      <c r="AI327" s="1210"/>
      <c r="AJ327" s="1210"/>
      <c r="AK327" s="1210"/>
      <c r="AL327" s="1210"/>
      <c r="AM327" s="1210"/>
      <c r="AN327" s="1210"/>
    </row>
    <row r="328" spans="1:40" s="1179" customFormat="1">
      <c r="A328" s="1258"/>
      <c r="B328" s="1188"/>
      <c r="C328" s="1188"/>
      <c r="D328" s="1188"/>
      <c r="E328" s="1210"/>
      <c r="F328" s="1210"/>
      <c r="G328" s="1210"/>
      <c r="H328" s="1210"/>
      <c r="I328" s="1191"/>
      <c r="J328" s="1191"/>
      <c r="K328" s="1199"/>
      <c r="L328" s="1191"/>
      <c r="M328" s="1191"/>
      <c r="N328" s="1191"/>
      <c r="O328" s="1191"/>
      <c r="P328" s="1191"/>
      <c r="Q328" s="1191"/>
      <c r="R328" s="1199"/>
      <c r="S328" s="1191"/>
      <c r="T328" s="1191"/>
      <c r="U328" s="1191"/>
      <c r="V328" s="1191"/>
      <c r="W328" s="1191"/>
      <c r="X328" s="1191"/>
      <c r="Y328" s="1191"/>
      <c r="Z328" s="1191"/>
      <c r="AA328" s="1191"/>
      <c r="AB328" s="1191"/>
      <c r="AC328" s="1191"/>
      <c r="AD328" s="1210"/>
      <c r="AE328" s="1210"/>
      <c r="AF328" s="1210"/>
      <c r="AG328" s="1210"/>
      <c r="AH328" s="1210"/>
      <c r="AI328" s="1210"/>
      <c r="AJ328" s="1210"/>
      <c r="AK328" s="1210"/>
      <c r="AL328" s="1210"/>
      <c r="AM328" s="1210"/>
      <c r="AN328" s="1210"/>
    </row>
    <row r="329" spans="1:40" s="1179" customFormat="1">
      <c r="A329" s="1258"/>
      <c r="B329" s="1188"/>
      <c r="C329" s="1188"/>
      <c r="D329" s="1188"/>
      <c r="E329" s="1210"/>
      <c r="F329" s="1210"/>
      <c r="G329" s="1210"/>
      <c r="H329" s="1210"/>
      <c r="I329" s="1191"/>
      <c r="J329" s="1191"/>
      <c r="K329" s="1199"/>
      <c r="L329" s="1191"/>
      <c r="M329" s="1191"/>
      <c r="N329" s="1191"/>
      <c r="O329" s="1191"/>
      <c r="P329" s="1191"/>
      <c r="Q329" s="1191"/>
      <c r="R329" s="1199"/>
      <c r="S329" s="1191"/>
      <c r="T329" s="1191"/>
      <c r="U329" s="1191"/>
      <c r="V329" s="1191"/>
      <c r="W329" s="1191"/>
      <c r="X329" s="1191"/>
      <c r="Y329" s="1191"/>
      <c r="Z329" s="1191"/>
      <c r="AA329" s="1191"/>
      <c r="AB329" s="1191"/>
      <c r="AC329" s="1191"/>
      <c r="AD329" s="1210"/>
      <c r="AE329" s="1210"/>
      <c r="AF329" s="1210"/>
      <c r="AG329" s="1210"/>
      <c r="AH329" s="1210"/>
      <c r="AI329" s="1210"/>
      <c r="AJ329" s="1210"/>
      <c r="AK329" s="1210"/>
      <c r="AL329" s="1210"/>
      <c r="AM329" s="1210"/>
      <c r="AN329" s="1210"/>
    </row>
    <row r="330" spans="1:40" s="1179" customFormat="1">
      <c r="A330" s="1258"/>
      <c r="B330" s="1188"/>
      <c r="C330" s="1188"/>
      <c r="D330" s="1188"/>
      <c r="E330" s="1210"/>
      <c r="F330" s="1210"/>
      <c r="G330" s="1210"/>
      <c r="H330" s="1210"/>
      <c r="I330" s="1191"/>
      <c r="J330" s="1191"/>
      <c r="K330" s="1199"/>
      <c r="L330" s="1191"/>
      <c r="M330" s="1191"/>
      <c r="N330" s="1191"/>
      <c r="O330" s="1191"/>
      <c r="P330" s="1191"/>
      <c r="Q330" s="1191"/>
      <c r="R330" s="1199"/>
      <c r="S330" s="1191"/>
      <c r="T330" s="1191"/>
      <c r="U330" s="1191"/>
      <c r="V330" s="1191"/>
      <c r="W330" s="1191"/>
      <c r="X330" s="1191"/>
      <c r="Y330" s="1191"/>
      <c r="Z330" s="1191"/>
      <c r="AA330" s="1191"/>
      <c r="AB330" s="1191"/>
      <c r="AC330" s="1191"/>
      <c r="AD330" s="1210"/>
      <c r="AE330" s="1210"/>
      <c r="AF330" s="1210"/>
      <c r="AG330" s="1210"/>
      <c r="AH330" s="1210"/>
      <c r="AI330" s="1210"/>
      <c r="AJ330" s="1210"/>
      <c r="AK330" s="1210"/>
      <c r="AL330" s="1210"/>
      <c r="AM330" s="1210"/>
      <c r="AN330" s="1210"/>
    </row>
    <row r="331" spans="1:40" s="1179" customFormat="1">
      <c r="A331" s="1258"/>
      <c r="B331" s="1188"/>
      <c r="C331" s="1188"/>
      <c r="D331" s="1188"/>
      <c r="E331" s="1210"/>
      <c r="F331" s="1210"/>
      <c r="G331" s="1210"/>
      <c r="H331" s="1210"/>
      <c r="I331" s="1191"/>
      <c r="J331" s="1191"/>
      <c r="K331" s="1199"/>
      <c r="L331" s="1191"/>
      <c r="M331" s="1191"/>
      <c r="N331" s="1191"/>
      <c r="O331" s="1191"/>
      <c r="P331" s="1191"/>
      <c r="Q331" s="1191"/>
      <c r="R331" s="1199"/>
      <c r="S331" s="1191"/>
      <c r="T331" s="1191"/>
      <c r="U331" s="1191"/>
      <c r="V331" s="1191"/>
      <c r="W331" s="1191"/>
      <c r="X331" s="1191"/>
      <c r="Y331" s="1191"/>
      <c r="Z331" s="1191"/>
      <c r="AA331" s="1191"/>
      <c r="AB331" s="1191"/>
      <c r="AC331" s="1191"/>
      <c r="AD331" s="1210"/>
      <c r="AE331" s="1210"/>
      <c r="AF331" s="1210"/>
      <c r="AG331" s="1210"/>
      <c r="AH331" s="1210"/>
      <c r="AI331" s="1210"/>
      <c r="AJ331" s="1210"/>
      <c r="AK331" s="1210"/>
      <c r="AL331" s="1210"/>
      <c r="AM331" s="1210"/>
      <c r="AN331" s="1210"/>
    </row>
    <row r="332" spans="1:40" s="1179" customFormat="1">
      <c r="A332" s="1258"/>
      <c r="B332" s="1188"/>
      <c r="C332" s="1188"/>
      <c r="D332" s="1188"/>
      <c r="E332" s="1210"/>
      <c r="F332" s="1210"/>
      <c r="G332" s="1210"/>
      <c r="H332" s="1210"/>
      <c r="I332" s="1191"/>
      <c r="J332" s="1191"/>
      <c r="K332" s="1199"/>
      <c r="L332" s="1191"/>
      <c r="M332" s="1191"/>
      <c r="N332" s="1191"/>
      <c r="O332" s="1191"/>
      <c r="P332" s="1191"/>
      <c r="Q332" s="1191"/>
      <c r="R332" s="1199"/>
      <c r="S332" s="1191"/>
      <c r="T332" s="1191"/>
      <c r="U332" s="1191"/>
      <c r="V332" s="1191"/>
      <c r="W332" s="1191"/>
      <c r="X332" s="1191"/>
      <c r="Y332" s="1191"/>
      <c r="Z332" s="1191"/>
      <c r="AA332" s="1191"/>
      <c r="AB332" s="1191"/>
      <c r="AC332" s="1191"/>
      <c r="AD332" s="1210"/>
      <c r="AE332" s="1210"/>
      <c r="AF332" s="1210"/>
      <c r="AG332" s="1210"/>
      <c r="AH332" s="1210"/>
      <c r="AI332" s="1210"/>
      <c r="AJ332" s="1210"/>
      <c r="AK332" s="1210"/>
      <c r="AL332" s="1210"/>
      <c r="AM332" s="1210"/>
      <c r="AN332" s="1210"/>
    </row>
    <row r="333" spans="1:40" s="1179" customFormat="1">
      <c r="A333" s="1258"/>
      <c r="B333" s="1188"/>
      <c r="C333" s="1188"/>
      <c r="D333" s="1188"/>
      <c r="E333" s="1210"/>
      <c r="F333" s="1210"/>
      <c r="G333" s="1210"/>
      <c r="H333" s="1210"/>
      <c r="I333" s="1191"/>
      <c r="J333" s="1191"/>
      <c r="K333" s="1199"/>
      <c r="L333" s="1191"/>
      <c r="M333" s="1191"/>
      <c r="N333" s="1191"/>
      <c r="O333" s="1191"/>
      <c r="P333" s="1191"/>
      <c r="Q333" s="1191"/>
      <c r="R333" s="1199"/>
      <c r="S333" s="1191"/>
      <c r="T333" s="1191"/>
      <c r="U333" s="1191"/>
      <c r="V333" s="1191"/>
      <c r="W333" s="1191"/>
      <c r="X333" s="1191"/>
      <c r="Y333" s="1191"/>
      <c r="Z333" s="1191"/>
      <c r="AA333" s="1191"/>
      <c r="AB333" s="1191"/>
      <c r="AC333" s="1191"/>
      <c r="AD333" s="1210"/>
      <c r="AE333" s="1210"/>
      <c r="AF333" s="1210"/>
      <c r="AG333" s="1210"/>
      <c r="AH333" s="1210"/>
      <c r="AI333" s="1210"/>
      <c r="AJ333" s="1210"/>
      <c r="AK333" s="1210"/>
      <c r="AL333" s="1210"/>
      <c r="AM333" s="1210"/>
      <c r="AN333" s="1210"/>
    </row>
    <row r="334" spans="1:40" s="1179" customFormat="1">
      <c r="A334" s="1258"/>
      <c r="B334" s="1188"/>
      <c r="C334" s="1188"/>
      <c r="D334" s="1188"/>
      <c r="E334" s="1210"/>
      <c r="F334" s="1210"/>
      <c r="G334" s="1210"/>
      <c r="H334" s="1210"/>
      <c r="I334" s="1191"/>
      <c r="J334" s="1191"/>
      <c r="K334" s="1199"/>
      <c r="L334" s="1191"/>
      <c r="M334" s="1191"/>
      <c r="N334" s="1191"/>
      <c r="O334" s="1191"/>
      <c r="P334" s="1191"/>
      <c r="Q334" s="1191"/>
      <c r="R334" s="1199"/>
      <c r="S334" s="1191"/>
      <c r="T334" s="1191"/>
      <c r="U334" s="1191"/>
      <c r="V334" s="1191"/>
      <c r="W334" s="1191"/>
      <c r="X334" s="1191"/>
      <c r="Y334" s="1191"/>
      <c r="Z334" s="1191"/>
      <c r="AA334" s="1191"/>
      <c r="AB334" s="1191"/>
      <c r="AC334" s="1191"/>
      <c r="AD334" s="1210"/>
      <c r="AE334" s="1210"/>
      <c r="AF334" s="1210"/>
      <c r="AG334" s="1210"/>
      <c r="AH334" s="1210"/>
      <c r="AI334" s="1210"/>
      <c r="AJ334" s="1210"/>
      <c r="AK334" s="1210"/>
      <c r="AL334" s="1210"/>
      <c r="AM334" s="1210"/>
      <c r="AN334" s="1210"/>
    </row>
    <row r="335" spans="1:40" s="1179" customFormat="1">
      <c r="A335" s="1258"/>
      <c r="B335" s="1188"/>
      <c r="C335" s="1188"/>
      <c r="D335" s="1188"/>
      <c r="E335" s="1210"/>
      <c r="F335" s="1210"/>
      <c r="G335" s="1210"/>
      <c r="H335" s="1210"/>
      <c r="I335" s="1191"/>
      <c r="J335" s="1191"/>
      <c r="K335" s="1199"/>
      <c r="L335" s="1191"/>
      <c r="M335" s="1191"/>
      <c r="N335" s="1191"/>
      <c r="O335" s="1191"/>
      <c r="P335" s="1191"/>
      <c r="Q335" s="1191"/>
      <c r="R335" s="1199"/>
      <c r="S335" s="1191"/>
      <c r="T335" s="1191"/>
      <c r="U335" s="1191"/>
      <c r="V335" s="1191"/>
      <c r="W335" s="1191"/>
      <c r="X335" s="1191"/>
      <c r="Y335" s="1191"/>
      <c r="Z335" s="1191"/>
      <c r="AA335" s="1191"/>
      <c r="AB335" s="1191"/>
      <c r="AC335" s="1191"/>
      <c r="AD335" s="1210"/>
      <c r="AE335" s="1210"/>
      <c r="AF335" s="1210"/>
      <c r="AG335" s="1210"/>
      <c r="AH335" s="1210"/>
      <c r="AI335" s="1210"/>
      <c r="AJ335" s="1210"/>
      <c r="AK335" s="1210"/>
      <c r="AL335" s="1210"/>
      <c r="AM335" s="1210"/>
      <c r="AN335" s="1210"/>
    </row>
    <row r="336" spans="1:40" s="1179" customFormat="1">
      <c r="A336" s="1258"/>
      <c r="B336" s="1188"/>
      <c r="C336" s="1188"/>
      <c r="D336" s="1188"/>
      <c r="E336" s="1210"/>
      <c r="F336" s="1210"/>
      <c r="G336" s="1210"/>
      <c r="H336" s="1210"/>
      <c r="I336" s="1191"/>
      <c r="J336" s="1191"/>
      <c r="K336" s="1199"/>
      <c r="L336" s="1191"/>
      <c r="M336" s="1191"/>
      <c r="N336" s="1191"/>
      <c r="O336" s="1191"/>
      <c r="P336" s="1191"/>
      <c r="Q336" s="1191"/>
      <c r="R336" s="1199"/>
      <c r="S336" s="1191"/>
      <c r="T336" s="1191"/>
      <c r="U336" s="1191"/>
      <c r="V336" s="1191"/>
      <c r="W336" s="1191"/>
      <c r="X336" s="1191"/>
      <c r="Y336" s="1191"/>
      <c r="Z336" s="1191"/>
      <c r="AA336" s="1191"/>
      <c r="AB336" s="1191"/>
      <c r="AC336" s="1191"/>
      <c r="AD336" s="1210"/>
      <c r="AE336" s="1210"/>
      <c r="AF336" s="1210"/>
      <c r="AG336" s="1210"/>
      <c r="AH336" s="1210"/>
      <c r="AI336" s="1210"/>
      <c r="AJ336" s="1210"/>
      <c r="AK336" s="1210"/>
      <c r="AL336" s="1210"/>
      <c r="AM336" s="1210"/>
      <c r="AN336" s="1210"/>
    </row>
    <row r="337" spans="1:40" s="1179" customFormat="1">
      <c r="A337" s="1258"/>
      <c r="B337" s="1188"/>
      <c r="C337" s="1188"/>
      <c r="D337" s="1188"/>
      <c r="E337" s="1210"/>
      <c r="F337" s="1210"/>
      <c r="G337" s="1210"/>
      <c r="H337" s="1210"/>
      <c r="I337" s="1191"/>
      <c r="J337" s="1191"/>
      <c r="K337" s="1199"/>
      <c r="L337" s="1191"/>
      <c r="M337" s="1191"/>
      <c r="N337" s="1191"/>
      <c r="O337" s="1191"/>
      <c r="P337" s="1191"/>
      <c r="Q337" s="1191"/>
      <c r="R337" s="1199"/>
      <c r="S337" s="1191"/>
      <c r="T337" s="1191"/>
      <c r="U337" s="1191"/>
      <c r="V337" s="1191"/>
      <c r="W337" s="1191"/>
      <c r="X337" s="1191"/>
      <c r="Y337" s="1191"/>
      <c r="Z337" s="1191"/>
      <c r="AA337" s="1191"/>
      <c r="AB337" s="1191"/>
      <c r="AC337" s="1191"/>
      <c r="AD337" s="1210"/>
      <c r="AE337" s="1210"/>
      <c r="AF337" s="1210"/>
      <c r="AG337" s="1210"/>
      <c r="AH337" s="1210"/>
      <c r="AI337" s="1210"/>
      <c r="AJ337" s="1210"/>
      <c r="AK337" s="1210"/>
      <c r="AL337" s="1210"/>
      <c r="AM337" s="1210"/>
      <c r="AN337" s="1210"/>
    </row>
    <row r="338" spans="1:40" s="1179" customFormat="1">
      <c r="A338" s="1258"/>
      <c r="B338" s="1188"/>
      <c r="C338" s="1188"/>
      <c r="D338" s="1188"/>
      <c r="E338" s="1210"/>
      <c r="F338" s="1210"/>
      <c r="G338" s="1210"/>
      <c r="H338" s="1210"/>
      <c r="I338" s="1191"/>
      <c r="J338" s="1191"/>
      <c r="K338" s="1199"/>
      <c r="L338" s="1191"/>
      <c r="M338" s="1191"/>
      <c r="N338" s="1191"/>
      <c r="O338" s="1191"/>
      <c r="P338" s="1191"/>
      <c r="Q338" s="1191"/>
      <c r="R338" s="1199"/>
      <c r="S338" s="1191"/>
      <c r="T338" s="1191"/>
      <c r="U338" s="1191"/>
      <c r="V338" s="1191"/>
      <c r="W338" s="1191"/>
      <c r="X338" s="1191"/>
      <c r="Y338" s="1191"/>
      <c r="Z338" s="1191"/>
      <c r="AA338" s="1191"/>
      <c r="AB338" s="1191"/>
      <c r="AC338" s="1191"/>
      <c r="AD338" s="1210"/>
      <c r="AE338" s="1210"/>
      <c r="AF338" s="1210"/>
      <c r="AG338" s="1210"/>
      <c r="AH338" s="1210"/>
      <c r="AI338" s="1210"/>
      <c r="AJ338" s="1210"/>
      <c r="AK338" s="1210"/>
      <c r="AL338" s="1210"/>
      <c r="AM338" s="1210"/>
      <c r="AN338" s="1210"/>
    </row>
    <row r="339" spans="1:40" s="1179" customFormat="1">
      <c r="A339" s="1258"/>
      <c r="B339" s="1188"/>
      <c r="C339" s="1188"/>
      <c r="D339" s="1188"/>
      <c r="E339" s="1210"/>
      <c r="F339" s="1210"/>
      <c r="G339" s="1210"/>
      <c r="H339" s="1210"/>
      <c r="I339" s="1191"/>
      <c r="J339" s="1191"/>
      <c r="K339" s="1199"/>
      <c r="L339" s="1191"/>
      <c r="M339" s="1191"/>
      <c r="N339" s="1191"/>
      <c r="O339" s="1191"/>
      <c r="P339" s="1191"/>
      <c r="Q339" s="1191"/>
      <c r="R339" s="1199"/>
      <c r="S339" s="1191"/>
      <c r="T339" s="1191"/>
      <c r="U339" s="1191"/>
      <c r="V339" s="1191"/>
      <c r="W339" s="1191"/>
      <c r="X339" s="1191"/>
      <c r="Y339" s="1191"/>
      <c r="Z339" s="1191"/>
      <c r="AA339" s="1191"/>
      <c r="AB339" s="1191"/>
      <c r="AC339" s="1191"/>
      <c r="AD339" s="1210"/>
      <c r="AE339" s="1210"/>
      <c r="AF339" s="1210"/>
      <c r="AG339" s="1210"/>
      <c r="AH339" s="1210"/>
      <c r="AI339" s="1210"/>
      <c r="AJ339" s="1210"/>
      <c r="AK339" s="1210"/>
      <c r="AL339" s="1210"/>
      <c r="AM339" s="1210"/>
      <c r="AN339" s="1210"/>
    </row>
    <row r="340" spans="1:40" s="1179" customFormat="1">
      <c r="A340" s="1258"/>
      <c r="B340" s="1188"/>
      <c r="C340" s="1188"/>
      <c r="D340" s="1188"/>
      <c r="E340" s="1210"/>
      <c r="F340" s="1210"/>
      <c r="G340" s="1210"/>
      <c r="H340" s="1210"/>
      <c r="I340" s="1191"/>
      <c r="J340" s="1191"/>
      <c r="K340" s="1199"/>
      <c r="L340" s="1191"/>
      <c r="M340" s="1191"/>
      <c r="N340" s="1191"/>
      <c r="O340" s="1191"/>
      <c r="P340" s="1191"/>
      <c r="Q340" s="1191"/>
      <c r="R340" s="1199"/>
      <c r="S340" s="1191"/>
      <c r="T340" s="1191"/>
      <c r="U340" s="1191"/>
      <c r="V340" s="1191"/>
      <c r="W340" s="1191"/>
      <c r="X340" s="1191"/>
      <c r="Y340" s="1191"/>
      <c r="Z340" s="1191"/>
      <c r="AA340" s="1191"/>
      <c r="AB340" s="1191"/>
      <c r="AC340" s="1191"/>
      <c r="AD340" s="1210"/>
      <c r="AE340" s="1210"/>
      <c r="AF340" s="1210"/>
      <c r="AG340" s="1210"/>
      <c r="AH340" s="1210"/>
      <c r="AI340" s="1210"/>
      <c r="AJ340" s="1210"/>
      <c r="AK340" s="1210"/>
      <c r="AL340" s="1210"/>
      <c r="AM340" s="1210"/>
      <c r="AN340" s="1210"/>
    </row>
    <row r="341" spans="1:40" s="1179" customFormat="1">
      <c r="A341" s="1258"/>
      <c r="B341" s="1188"/>
      <c r="C341" s="1188"/>
      <c r="D341" s="1188"/>
      <c r="E341" s="1210"/>
      <c r="F341" s="1210"/>
      <c r="G341" s="1210"/>
      <c r="H341" s="1210"/>
      <c r="I341" s="1191"/>
      <c r="J341" s="1191"/>
      <c r="K341" s="1199"/>
      <c r="L341" s="1191"/>
      <c r="M341" s="1191"/>
      <c r="N341" s="1191"/>
      <c r="O341" s="1191"/>
      <c r="P341" s="1191"/>
      <c r="Q341" s="1191"/>
      <c r="R341" s="1199"/>
      <c r="S341" s="1191"/>
      <c r="T341" s="1191"/>
      <c r="U341" s="1191"/>
      <c r="V341" s="1191"/>
      <c r="W341" s="1191"/>
      <c r="X341" s="1191"/>
      <c r="Y341" s="1191"/>
      <c r="Z341" s="1191"/>
      <c r="AA341" s="1191"/>
      <c r="AB341" s="1191"/>
      <c r="AC341" s="1191"/>
      <c r="AD341" s="1210"/>
      <c r="AE341" s="1210"/>
      <c r="AF341" s="1210"/>
      <c r="AG341" s="1210"/>
      <c r="AH341" s="1210"/>
      <c r="AI341" s="1210"/>
      <c r="AJ341" s="1210"/>
      <c r="AK341" s="1210"/>
      <c r="AL341" s="1210"/>
      <c r="AM341" s="1210"/>
      <c r="AN341" s="1210"/>
    </row>
    <row r="342" spans="1:40" s="1179" customFormat="1">
      <c r="A342" s="1258"/>
      <c r="B342" s="1188"/>
      <c r="C342" s="1188"/>
      <c r="D342" s="1188"/>
      <c r="E342" s="1210"/>
      <c r="F342" s="1210"/>
      <c r="G342" s="1210"/>
      <c r="H342" s="1210"/>
      <c r="I342" s="1191"/>
      <c r="J342" s="1191"/>
      <c r="K342" s="1199"/>
      <c r="L342" s="1191"/>
      <c r="M342" s="1191"/>
      <c r="N342" s="1191"/>
      <c r="O342" s="1191"/>
      <c r="P342" s="1191"/>
      <c r="Q342" s="1191"/>
      <c r="R342" s="1199"/>
      <c r="S342" s="1191"/>
      <c r="T342" s="1191"/>
      <c r="U342" s="1191"/>
      <c r="V342" s="1191"/>
      <c r="W342" s="1191"/>
      <c r="X342" s="1191"/>
      <c r="Y342" s="1191"/>
      <c r="Z342" s="1191"/>
      <c r="AA342" s="1191"/>
      <c r="AB342" s="1191"/>
      <c r="AC342" s="1191"/>
      <c r="AD342" s="1210"/>
      <c r="AE342" s="1210"/>
      <c r="AF342" s="1210"/>
      <c r="AG342" s="1210"/>
      <c r="AH342" s="1210"/>
      <c r="AI342" s="1210"/>
      <c r="AJ342" s="1210"/>
      <c r="AK342" s="1210"/>
      <c r="AL342" s="1210"/>
      <c r="AM342" s="1210"/>
      <c r="AN342" s="1210"/>
    </row>
    <row r="343" spans="1:40" s="1179" customFormat="1">
      <c r="A343" s="1258"/>
      <c r="B343" s="1188"/>
      <c r="C343" s="1188"/>
      <c r="D343" s="1188"/>
      <c r="E343" s="1210"/>
      <c r="F343" s="1210"/>
      <c r="G343" s="1210"/>
      <c r="H343" s="1210"/>
      <c r="I343" s="1191"/>
      <c r="J343" s="1191"/>
      <c r="K343" s="1199"/>
      <c r="L343" s="1191"/>
      <c r="M343" s="1191"/>
      <c r="N343" s="1191"/>
      <c r="O343" s="1191"/>
      <c r="P343" s="1191"/>
      <c r="Q343" s="1191"/>
      <c r="R343" s="1199"/>
      <c r="S343" s="1191"/>
      <c r="T343" s="1191"/>
      <c r="U343" s="1191"/>
      <c r="V343" s="1191"/>
      <c r="W343" s="1191"/>
      <c r="X343" s="1191"/>
      <c r="Y343" s="1191"/>
      <c r="Z343" s="1191"/>
      <c r="AA343" s="1191"/>
      <c r="AB343" s="1191"/>
      <c r="AC343" s="1191"/>
      <c r="AD343" s="1210"/>
      <c r="AE343" s="1210"/>
      <c r="AF343" s="1210"/>
      <c r="AG343" s="1210"/>
      <c r="AH343" s="1210"/>
      <c r="AI343" s="1210"/>
      <c r="AJ343" s="1210"/>
      <c r="AK343" s="1210"/>
      <c r="AL343" s="1210"/>
      <c r="AM343" s="1210"/>
      <c r="AN343" s="1210"/>
    </row>
    <row r="344" spans="1:40" s="1179" customFormat="1">
      <c r="A344" s="1258"/>
      <c r="B344" s="1188"/>
      <c r="C344" s="1188"/>
      <c r="D344" s="1188"/>
      <c r="E344" s="1210"/>
      <c r="F344" s="1210"/>
      <c r="G344" s="1210"/>
      <c r="H344" s="1210"/>
      <c r="I344" s="1191"/>
      <c r="J344" s="1191"/>
      <c r="K344" s="1199"/>
      <c r="L344" s="1191"/>
      <c r="M344" s="1191"/>
      <c r="N344" s="1191"/>
      <c r="O344" s="1191"/>
      <c r="P344" s="1191"/>
      <c r="Q344" s="1191"/>
      <c r="R344" s="1199"/>
      <c r="S344" s="1191"/>
      <c r="T344" s="1191"/>
      <c r="U344" s="1191"/>
      <c r="V344" s="1191"/>
      <c r="W344" s="1191"/>
      <c r="X344" s="1191"/>
      <c r="Y344" s="1191"/>
      <c r="Z344" s="1191"/>
      <c r="AA344" s="1191"/>
      <c r="AB344" s="1191"/>
      <c r="AC344" s="1191"/>
      <c r="AD344" s="1210"/>
      <c r="AE344" s="1210"/>
      <c r="AF344" s="1210"/>
      <c r="AG344" s="1210"/>
      <c r="AH344" s="1210"/>
      <c r="AI344" s="1210"/>
      <c r="AJ344" s="1210"/>
      <c r="AK344" s="1210"/>
      <c r="AL344" s="1210"/>
      <c r="AM344" s="1210"/>
      <c r="AN344" s="1210"/>
    </row>
    <row r="345" spans="1:40" s="1179" customFormat="1">
      <c r="A345" s="1258"/>
      <c r="B345" s="1188"/>
      <c r="C345" s="1188"/>
      <c r="D345" s="1188"/>
      <c r="E345" s="1210"/>
      <c r="F345" s="1210"/>
      <c r="G345" s="1210"/>
      <c r="H345" s="1210"/>
      <c r="I345" s="1191"/>
      <c r="J345" s="1191"/>
      <c r="K345" s="1199"/>
      <c r="L345" s="1191"/>
      <c r="M345" s="1191"/>
      <c r="N345" s="1191"/>
      <c r="O345" s="1191"/>
      <c r="P345" s="1191"/>
      <c r="Q345" s="1191"/>
      <c r="R345" s="1199"/>
      <c r="S345" s="1191"/>
      <c r="T345" s="1191"/>
      <c r="U345" s="1191"/>
      <c r="V345" s="1191"/>
      <c r="W345" s="1191"/>
      <c r="X345" s="1191"/>
      <c r="Y345" s="1191"/>
      <c r="Z345" s="1191"/>
      <c r="AA345" s="1191"/>
      <c r="AB345" s="1191"/>
      <c r="AC345" s="1191"/>
      <c r="AD345" s="1210"/>
      <c r="AE345" s="1210"/>
      <c r="AF345" s="1210"/>
      <c r="AG345" s="1210"/>
      <c r="AH345" s="1210"/>
      <c r="AI345" s="1210"/>
      <c r="AJ345" s="1210"/>
      <c r="AK345" s="1210"/>
      <c r="AL345" s="1210"/>
      <c r="AM345" s="1210"/>
      <c r="AN345" s="1210"/>
    </row>
    <row r="346" spans="1:40" s="1179" customFormat="1">
      <c r="A346" s="1258"/>
      <c r="B346" s="1188"/>
      <c r="C346" s="1188"/>
      <c r="D346" s="1188"/>
      <c r="E346" s="1210"/>
      <c r="F346" s="1210"/>
      <c r="G346" s="1210"/>
      <c r="H346" s="1210"/>
      <c r="I346" s="1191"/>
      <c r="J346" s="1191"/>
      <c r="K346" s="1199"/>
      <c r="L346" s="1191"/>
      <c r="M346" s="1191"/>
      <c r="N346" s="1191"/>
      <c r="O346" s="1191"/>
      <c r="P346" s="1191"/>
      <c r="Q346" s="1191"/>
      <c r="R346" s="1199"/>
      <c r="S346" s="1191"/>
      <c r="T346" s="1191"/>
      <c r="U346" s="1191"/>
      <c r="V346" s="1191"/>
      <c r="W346" s="1191"/>
      <c r="X346" s="1191"/>
      <c r="Y346" s="1191"/>
      <c r="Z346" s="1191"/>
      <c r="AA346" s="1191"/>
      <c r="AB346" s="1191"/>
      <c r="AC346" s="1191"/>
      <c r="AD346" s="1210"/>
      <c r="AE346" s="1210"/>
      <c r="AF346" s="1210"/>
      <c r="AG346" s="1210"/>
      <c r="AH346" s="1210"/>
      <c r="AI346" s="1210"/>
      <c r="AJ346" s="1210"/>
      <c r="AK346" s="1210"/>
      <c r="AL346" s="1210"/>
      <c r="AM346" s="1210"/>
      <c r="AN346" s="1210"/>
    </row>
    <row r="347" spans="1:40" s="1179" customFormat="1">
      <c r="A347" s="1258"/>
      <c r="B347" s="1188"/>
      <c r="C347" s="1188"/>
      <c r="D347" s="1188"/>
      <c r="E347" s="1210"/>
      <c r="F347" s="1210"/>
      <c r="G347" s="1210"/>
      <c r="H347" s="1210"/>
      <c r="I347" s="1191"/>
      <c r="J347" s="1191"/>
      <c r="K347" s="1199"/>
      <c r="L347" s="1191"/>
      <c r="M347" s="1191"/>
      <c r="N347" s="1191"/>
      <c r="O347" s="1191"/>
      <c r="P347" s="1191"/>
      <c r="Q347" s="1191"/>
      <c r="R347" s="1199"/>
      <c r="S347" s="1191"/>
      <c r="T347" s="1191"/>
      <c r="U347" s="1191"/>
      <c r="V347" s="1191"/>
      <c r="W347" s="1191"/>
      <c r="X347" s="1191"/>
      <c r="Y347" s="1191"/>
      <c r="Z347" s="1191"/>
      <c r="AA347" s="1191"/>
      <c r="AB347" s="1191"/>
      <c r="AC347" s="1191"/>
      <c r="AD347" s="1210"/>
      <c r="AE347" s="1210"/>
      <c r="AF347" s="1210"/>
      <c r="AG347" s="1210"/>
      <c r="AH347" s="1210"/>
      <c r="AI347" s="1210"/>
      <c r="AJ347" s="1210"/>
      <c r="AK347" s="1210"/>
      <c r="AL347" s="1210"/>
      <c r="AM347" s="1210"/>
      <c r="AN347" s="1210"/>
    </row>
    <row r="348" spans="1:40" s="1179" customFormat="1">
      <c r="A348" s="1258"/>
      <c r="B348" s="1188"/>
      <c r="C348" s="1188"/>
      <c r="D348" s="1188"/>
      <c r="E348" s="1210"/>
      <c r="F348" s="1210"/>
      <c r="G348" s="1210"/>
      <c r="H348" s="1210"/>
      <c r="I348" s="1191"/>
      <c r="J348" s="1191"/>
      <c r="K348" s="1199"/>
      <c r="L348" s="1191"/>
      <c r="M348" s="1191"/>
      <c r="N348" s="1191"/>
      <c r="O348" s="1191"/>
      <c r="P348" s="1191"/>
      <c r="Q348" s="1191"/>
      <c r="R348" s="1199"/>
      <c r="S348" s="1191"/>
      <c r="T348" s="1191"/>
      <c r="U348" s="1191"/>
      <c r="V348" s="1191"/>
      <c r="W348" s="1191"/>
      <c r="X348" s="1191"/>
      <c r="Y348" s="1191"/>
      <c r="Z348" s="1191"/>
      <c r="AA348" s="1191"/>
      <c r="AB348" s="1191"/>
      <c r="AC348" s="1191"/>
      <c r="AD348" s="1210"/>
      <c r="AE348" s="1210"/>
      <c r="AF348" s="1210"/>
      <c r="AG348" s="1210"/>
      <c r="AH348" s="1210"/>
      <c r="AI348" s="1210"/>
      <c r="AJ348" s="1210"/>
      <c r="AK348" s="1210"/>
      <c r="AL348" s="1210"/>
      <c r="AM348" s="1210"/>
      <c r="AN348" s="1210"/>
    </row>
    <row r="349" spans="1:40" s="1179" customFormat="1">
      <c r="A349" s="1258"/>
      <c r="B349" s="1188"/>
      <c r="C349" s="1188"/>
      <c r="D349" s="1188"/>
      <c r="E349" s="1210"/>
      <c r="F349" s="1210"/>
      <c r="G349" s="1210"/>
      <c r="H349" s="1210"/>
      <c r="I349" s="1191"/>
      <c r="J349" s="1191"/>
      <c r="K349" s="1199"/>
      <c r="L349" s="1191"/>
      <c r="M349" s="1191"/>
      <c r="N349" s="1191"/>
      <c r="O349" s="1191"/>
      <c r="P349" s="1191"/>
      <c r="Q349" s="1191"/>
      <c r="R349" s="1199"/>
      <c r="S349" s="1191"/>
      <c r="T349" s="1191"/>
      <c r="U349" s="1191"/>
      <c r="V349" s="1191"/>
      <c r="W349" s="1191"/>
      <c r="X349" s="1191"/>
      <c r="Y349" s="1191"/>
      <c r="Z349" s="1191"/>
      <c r="AA349" s="1191"/>
      <c r="AB349" s="1191"/>
      <c r="AC349" s="1191"/>
      <c r="AD349" s="1210"/>
      <c r="AE349" s="1210"/>
      <c r="AF349" s="1210"/>
      <c r="AG349" s="1210"/>
      <c r="AH349" s="1210"/>
      <c r="AI349" s="1210"/>
      <c r="AJ349" s="1210"/>
      <c r="AK349" s="1210"/>
      <c r="AL349" s="1210"/>
      <c r="AM349" s="1210"/>
      <c r="AN349" s="1210"/>
    </row>
    <row r="350" spans="1:40" s="1179" customFormat="1">
      <c r="A350" s="1258"/>
      <c r="B350" s="1188"/>
      <c r="C350" s="1188"/>
      <c r="D350" s="1188"/>
      <c r="E350" s="1210"/>
      <c r="F350" s="1210"/>
      <c r="G350" s="1210"/>
      <c r="H350" s="1210"/>
      <c r="I350" s="1191"/>
      <c r="J350" s="1191"/>
      <c r="K350" s="1199"/>
      <c r="L350" s="1191"/>
      <c r="M350" s="1191"/>
      <c r="N350" s="1191"/>
      <c r="O350" s="1191"/>
      <c r="P350" s="1191"/>
      <c r="Q350" s="1191"/>
      <c r="R350" s="1199"/>
      <c r="S350" s="1191"/>
      <c r="T350" s="1191"/>
      <c r="U350" s="1191"/>
      <c r="V350" s="1191"/>
      <c r="W350" s="1191"/>
      <c r="X350" s="1191"/>
      <c r="Y350" s="1191"/>
      <c r="Z350" s="1191"/>
      <c r="AA350" s="1191"/>
      <c r="AB350" s="1191"/>
      <c r="AC350" s="1191"/>
      <c r="AD350" s="1210"/>
      <c r="AE350" s="1210"/>
      <c r="AF350" s="1210"/>
      <c r="AG350" s="1210"/>
      <c r="AH350" s="1210"/>
      <c r="AI350" s="1210"/>
      <c r="AJ350" s="1210"/>
      <c r="AK350" s="1210"/>
      <c r="AL350" s="1210"/>
      <c r="AM350" s="1210"/>
      <c r="AN350" s="1210"/>
    </row>
    <row r="351" spans="1:40" s="1179" customFormat="1">
      <c r="A351" s="1258"/>
      <c r="B351" s="1188"/>
      <c r="C351" s="1188"/>
      <c r="D351" s="1188"/>
      <c r="E351" s="1210"/>
      <c r="F351" s="1210"/>
      <c r="G351" s="1210"/>
      <c r="H351" s="1210"/>
      <c r="I351" s="1191"/>
      <c r="J351" s="1191"/>
      <c r="K351" s="1199"/>
      <c r="L351" s="1191"/>
      <c r="M351" s="1191"/>
      <c r="N351" s="1191"/>
      <c r="O351" s="1191"/>
      <c r="P351" s="1191"/>
      <c r="Q351" s="1191"/>
      <c r="R351" s="1199"/>
      <c r="S351" s="1191"/>
      <c r="T351" s="1191"/>
      <c r="U351" s="1191"/>
      <c r="V351" s="1191"/>
      <c r="W351" s="1191"/>
      <c r="X351" s="1191"/>
      <c r="Y351" s="1191"/>
      <c r="Z351" s="1191"/>
      <c r="AA351" s="1191"/>
      <c r="AB351" s="1191"/>
      <c r="AC351" s="1191"/>
      <c r="AD351" s="1210"/>
      <c r="AE351" s="1210"/>
      <c r="AF351" s="1210"/>
      <c r="AG351" s="1210"/>
      <c r="AH351" s="1210"/>
      <c r="AI351" s="1210"/>
      <c r="AJ351" s="1210"/>
      <c r="AK351" s="1210"/>
      <c r="AL351" s="1210"/>
      <c r="AM351" s="1210"/>
      <c r="AN351" s="1210"/>
    </row>
    <row r="352" spans="1:40" s="1179" customFormat="1">
      <c r="A352" s="1258"/>
      <c r="B352" s="1188"/>
      <c r="C352" s="1188"/>
      <c r="D352" s="1188"/>
      <c r="E352" s="1210"/>
      <c r="F352" s="1210"/>
      <c r="G352" s="1210"/>
      <c r="H352" s="1210"/>
      <c r="I352" s="1191"/>
      <c r="J352" s="1191"/>
      <c r="K352" s="1199"/>
      <c r="L352" s="1191"/>
      <c r="M352" s="1191"/>
      <c r="N352" s="1191"/>
      <c r="O352" s="1191"/>
      <c r="P352" s="1191"/>
      <c r="Q352" s="1191"/>
      <c r="R352" s="1199"/>
      <c r="S352" s="1191"/>
      <c r="T352" s="1191"/>
      <c r="U352" s="1191"/>
      <c r="V352" s="1191"/>
      <c r="W352" s="1191"/>
      <c r="X352" s="1191"/>
      <c r="Y352" s="1191"/>
      <c r="Z352" s="1191"/>
      <c r="AA352" s="1191"/>
      <c r="AB352" s="1191"/>
      <c r="AC352" s="1191"/>
      <c r="AD352" s="1210"/>
      <c r="AE352" s="1210"/>
      <c r="AF352" s="1210"/>
      <c r="AG352" s="1210"/>
      <c r="AH352" s="1210"/>
      <c r="AI352" s="1210"/>
      <c r="AJ352" s="1210"/>
      <c r="AK352" s="1210"/>
      <c r="AL352" s="1210"/>
      <c r="AM352" s="1210"/>
      <c r="AN352" s="1210"/>
    </row>
    <row r="353" spans="1:40" s="1179" customFormat="1">
      <c r="A353" s="1258"/>
      <c r="B353" s="1188"/>
      <c r="C353" s="1188"/>
      <c r="D353" s="1188"/>
      <c r="E353" s="1210"/>
      <c r="F353" s="1210"/>
      <c r="G353" s="1210"/>
      <c r="H353" s="1210"/>
      <c r="I353" s="1191"/>
      <c r="J353" s="1191"/>
      <c r="K353" s="1199"/>
      <c r="L353" s="1191"/>
      <c r="M353" s="1191"/>
      <c r="N353" s="1191"/>
      <c r="O353" s="1191"/>
      <c r="P353" s="1191"/>
      <c r="Q353" s="1191"/>
      <c r="R353" s="1199"/>
      <c r="S353" s="1191"/>
      <c r="T353" s="1191"/>
      <c r="U353" s="1191"/>
      <c r="V353" s="1191"/>
      <c r="W353" s="1191"/>
      <c r="X353" s="1191"/>
      <c r="Y353" s="1191"/>
      <c r="Z353" s="1191"/>
      <c r="AA353" s="1191"/>
      <c r="AB353" s="1191"/>
      <c r="AC353" s="1191"/>
      <c r="AD353" s="1210"/>
      <c r="AE353" s="1210"/>
      <c r="AF353" s="1210"/>
      <c r="AG353" s="1210"/>
      <c r="AH353" s="1210"/>
      <c r="AI353" s="1210"/>
      <c r="AJ353" s="1210"/>
      <c r="AK353" s="1210"/>
      <c r="AL353" s="1210"/>
      <c r="AM353" s="1210"/>
      <c r="AN353" s="1210"/>
    </row>
    <row r="354" spans="1:40" s="1179" customFormat="1">
      <c r="A354" s="1258"/>
      <c r="B354" s="1188"/>
      <c r="C354" s="1188"/>
      <c r="D354" s="1188"/>
      <c r="E354" s="1210"/>
      <c r="F354" s="1210"/>
      <c r="G354" s="1210"/>
      <c r="H354" s="1210"/>
      <c r="I354" s="1191"/>
      <c r="J354" s="1191"/>
      <c r="K354" s="1199"/>
      <c r="L354" s="1191"/>
      <c r="M354" s="1191"/>
      <c r="N354" s="1191"/>
      <c r="O354" s="1191"/>
      <c r="P354" s="1191"/>
      <c r="Q354" s="1191"/>
      <c r="R354" s="1199"/>
      <c r="S354" s="1191"/>
      <c r="T354" s="1191"/>
      <c r="U354" s="1191"/>
      <c r="V354" s="1191"/>
      <c r="W354" s="1191"/>
      <c r="X354" s="1191"/>
      <c r="Y354" s="1191"/>
      <c r="Z354" s="1191"/>
      <c r="AA354" s="1191"/>
      <c r="AB354" s="1191"/>
      <c r="AC354" s="1191"/>
      <c r="AD354" s="1210"/>
      <c r="AE354" s="1210"/>
      <c r="AF354" s="1210"/>
      <c r="AG354" s="1210"/>
      <c r="AH354" s="1210"/>
      <c r="AI354" s="1210"/>
      <c r="AJ354" s="1210"/>
      <c r="AK354" s="1210"/>
      <c r="AL354" s="1210"/>
      <c r="AM354" s="1210"/>
      <c r="AN354" s="1210"/>
    </row>
    <row r="355" spans="1:40" s="1179" customFormat="1">
      <c r="A355" s="1258"/>
      <c r="B355" s="1188"/>
      <c r="C355" s="1188"/>
      <c r="D355" s="1188"/>
      <c r="E355" s="1210"/>
      <c r="F355" s="1210"/>
      <c r="G355" s="1210"/>
      <c r="H355" s="1210"/>
      <c r="I355" s="1191"/>
      <c r="J355" s="1191"/>
      <c r="K355" s="1199"/>
      <c r="L355" s="1191"/>
      <c r="M355" s="1191"/>
      <c r="N355" s="1191"/>
      <c r="O355" s="1191"/>
      <c r="P355" s="1191"/>
      <c r="Q355" s="1191"/>
      <c r="R355" s="1199"/>
      <c r="S355" s="1191"/>
      <c r="T355" s="1191"/>
      <c r="U355" s="1191"/>
      <c r="V355" s="1191"/>
      <c r="W355" s="1191"/>
      <c r="X355" s="1191"/>
      <c r="Y355" s="1191"/>
      <c r="Z355" s="1191"/>
      <c r="AA355" s="1191"/>
      <c r="AB355" s="1191"/>
      <c r="AC355" s="1191"/>
      <c r="AD355" s="1210"/>
      <c r="AE355" s="1210"/>
      <c r="AF355" s="1210"/>
      <c r="AG355" s="1210"/>
      <c r="AH355" s="1210"/>
      <c r="AI355" s="1210"/>
      <c r="AJ355" s="1210"/>
      <c r="AK355" s="1210"/>
      <c r="AL355" s="1210"/>
      <c r="AM355" s="1210"/>
      <c r="AN355" s="1210"/>
    </row>
    <row r="356" spans="1:40" s="1179" customFormat="1">
      <c r="A356" s="1258"/>
      <c r="B356" s="1188"/>
      <c r="C356" s="1188"/>
      <c r="D356" s="1188"/>
      <c r="E356" s="1210"/>
      <c r="F356" s="1210"/>
      <c r="G356" s="1210"/>
      <c r="H356" s="1210"/>
      <c r="I356" s="1191"/>
      <c r="J356" s="1191"/>
      <c r="K356" s="1199"/>
      <c r="L356" s="1191"/>
      <c r="M356" s="1191"/>
      <c r="N356" s="1191"/>
      <c r="O356" s="1191"/>
      <c r="P356" s="1191"/>
      <c r="Q356" s="1191"/>
      <c r="R356" s="1199"/>
      <c r="S356" s="1191"/>
      <c r="T356" s="1191"/>
      <c r="U356" s="1191"/>
      <c r="V356" s="1191"/>
      <c r="W356" s="1191"/>
      <c r="X356" s="1191"/>
      <c r="Y356" s="1191"/>
      <c r="Z356" s="1191"/>
      <c r="AA356" s="1191"/>
      <c r="AB356" s="1191"/>
      <c r="AC356" s="1191"/>
      <c r="AD356" s="1210"/>
      <c r="AE356" s="1210"/>
      <c r="AF356" s="1210"/>
      <c r="AG356" s="1210"/>
      <c r="AH356" s="1210"/>
      <c r="AI356" s="1210"/>
      <c r="AJ356" s="1210"/>
      <c r="AK356" s="1210"/>
      <c r="AL356" s="1210"/>
      <c r="AM356" s="1210"/>
      <c r="AN356" s="1210"/>
    </row>
    <row r="357" spans="1:40" s="1179" customFormat="1">
      <c r="A357" s="1258"/>
      <c r="B357" s="1188"/>
      <c r="C357" s="1188"/>
      <c r="D357" s="1188"/>
      <c r="E357" s="1210"/>
      <c r="F357" s="1210"/>
      <c r="G357" s="1210"/>
      <c r="H357" s="1210"/>
      <c r="I357" s="1191"/>
      <c r="J357" s="1191"/>
      <c r="K357" s="1199"/>
      <c r="L357" s="1191"/>
      <c r="M357" s="1191"/>
      <c r="N357" s="1191"/>
      <c r="O357" s="1191"/>
      <c r="P357" s="1191"/>
      <c r="Q357" s="1191"/>
      <c r="R357" s="1199"/>
      <c r="S357" s="1191"/>
      <c r="T357" s="1191"/>
      <c r="U357" s="1191"/>
      <c r="V357" s="1191"/>
      <c r="W357" s="1191"/>
      <c r="X357" s="1191"/>
      <c r="Y357" s="1191"/>
      <c r="Z357" s="1191"/>
      <c r="AA357" s="1191"/>
      <c r="AB357" s="1191"/>
      <c r="AC357" s="1191"/>
      <c r="AD357" s="1210"/>
      <c r="AE357" s="1210"/>
      <c r="AF357" s="1210"/>
      <c r="AG357" s="1210"/>
      <c r="AH357" s="1210"/>
      <c r="AI357" s="1210"/>
      <c r="AJ357" s="1210"/>
      <c r="AK357" s="1210"/>
      <c r="AL357" s="1210"/>
      <c r="AM357" s="1210"/>
      <c r="AN357" s="1210"/>
    </row>
    <row r="358" spans="1:40" s="1179" customFormat="1">
      <c r="A358" s="1258"/>
      <c r="B358" s="1188"/>
      <c r="C358" s="1188"/>
      <c r="D358" s="1188"/>
      <c r="E358" s="1210"/>
      <c r="F358" s="1210"/>
      <c r="G358" s="1210"/>
      <c r="H358" s="1210"/>
      <c r="I358" s="1191"/>
      <c r="J358" s="1191"/>
      <c r="K358" s="1199"/>
      <c r="L358" s="1191"/>
      <c r="M358" s="1191"/>
      <c r="N358" s="1191"/>
      <c r="O358" s="1191"/>
      <c r="P358" s="1191"/>
      <c r="Q358" s="1191"/>
      <c r="R358" s="1199"/>
      <c r="S358" s="1191"/>
      <c r="T358" s="1191"/>
      <c r="U358" s="1191"/>
      <c r="V358" s="1191"/>
      <c r="W358" s="1191"/>
      <c r="X358" s="1191"/>
      <c r="Y358" s="1191"/>
      <c r="Z358" s="1191"/>
      <c r="AA358" s="1191"/>
      <c r="AB358" s="1191"/>
      <c r="AC358" s="1191"/>
      <c r="AD358" s="1210"/>
      <c r="AE358" s="1210"/>
      <c r="AF358" s="1210"/>
      <c r="AG358" s="1210"/>
      <c r="AH358" s="1210"/>
      <c r="AI358" s="1210"/>
      <c r="AJ358" s="1210"/>
      <c r="AK358" s="1210"/>
      <c r="AL358" s="1210"/>
      <c r="AM358" s="1210"/>
      <c r="AN358" s="1210"/>
    </row>
    <row r="359" spans="1:40" s="1179" customFormat="1">
      <c r="A359" s="1258"/>
      <c r="B359" s="1188"/>
      <c r="C359" s="1188"/>
      <c r="D359" s="1188"/>
      <c r="E359" s="1210"/>
      <c r="F359" s="1210"/>
      <c r="G359" s="1210"/>
      <c r="H359" s="1210"/>
      <c r="I359" s="1191"/>
      <c r="J359" s="1191"/>
      <c r="K359" s="1199"/>
      <c r="L359" s="1191"/>
      <c r="M359" s="1191"/>
      <c r="N359" s="1191"/>
      <c r="O359" s="1191"/>
      <c r="P359" s="1191"/>
      <c r="Q359" s="1191"/>
      <c r="R359" s="1199"/>
      <c r="S359" s="1191"/>
      <c r="T359" s="1191"/>
      <c r="U359" s="1191"/>
      <c r="V359" s="1191"/>
      <c r="W359" s="1191"/>
      <c r="X359" s="1191"/>
      <c r="Y359" s="1191"/>
      <c r="Z359" s="1191"/>
      <c r="AA359" s="1191"/>
      <c r="AB359" s="1191"/>
      <c r="AC359" s="1191"/>
      <c r="AD359" s="1210"/>
      <c r="AE359" s="1210"/>
      <c r="AF359" s="1210"/>
      <c r="AG359" s="1210"/>
      <c r="AH359" s="1210"/>
      <c r="AI359" s="1210"/>
      <c r="AJ359" s="1210"/>
      <c r="AK359" s="1210"/>
      <c r="AL359" s="1210"/>
      <c r="AM359" s="1210"/>
      <c r="AN359" s="1210"/>
    </row>
    <row r="360" spans="1:40" s="1179" customFormat="1">
      <c r="A360" s="1258"/>
      <c r="B360" s="1188"/>
      <c r="C360" s="1188"/>
      <c r="D360" s="1188"/>
      <c r="E360" s="1210"/>
      <c r="F360" s="1210"/>
      <c r="G360" s="1210"/>
      <c r="H360" s="1210"/>
      <c r="I360" s="1191"/>
      <c r="J360" s="1191"/>
      <c r="K360" s="1199"/>
      <c r="L360" s="1191"/>
      <c r="M360" s="1191"/>
      <c r="N360" s="1191"/>
      <c r="O360" s="1191"/>
      <c r="P360" s="1191"/>
      <c r="Q360" s="1191"/>
      <c r="R360" s="1199"/>
      <c r="S360" s="1191"/>
      <c r="T360" s="1191"/>
      <c r="U360" s="1191"/>
      <c r="V360" s="1191"/>
      <c r="W360" s="1191"/>
      <c r="X360" s="1191"/>
      <c r="Y360" s="1191"/>
      <c r="Z360" s="1191"/>
      <c r="AA360" s="1191"/>
      <c r="AB360" s="1191"/>
      <c r="AC360" s="1191"/>
      <c r="AD360" s="1210"/>
      <c r="AE360" s="1210"/>
      <c r="AF360" s="1210"/>
      <c r="AG360" s="1210"/>
      <c r="AH360" s="1210"/>
      <c r="AI360" s="1210"/>
      <c r="AJ360" s="1210"/>
      <c r="AK360" s="1210"/>
      <c r="AL360" s="1210"/>
      <c r="AM360" s="1210"/>
      <c r="AN360" s="1210"/>
    </row>
    <row r="361" spans="1:40" s="1179" customFormat="1">
      <c r="A361" s="1258"/>
      <c r="B361" s="1188"/>
      <c r="C361" s="1188"/>
      <c r="D361" s="1188"/>
      <c r="E361" s="1210"/>
      <c r="F361" s="1210"/>
      <c r="G361" s="1210"/>
      <c r="H361" s="1210"/>
      <c r="I361" s="1191"/>
      <c r="J361" s="1191"/>
      <c r="K361" s="1199"/>
      <c r="L361" s="1191"/>
      <c r="M361" s="1191"/>
      <c r="N361" s="1191"/>
      <c r="O361" s="1191"/>
      <c r="P361" s="1191"/>
      <c r="Q361" s="1191"/>
      <c r="R361" s="1199"/>
      <c r="S361" s="1191"/>
      <c r="T361" s="1191"/>
      <c r="U361" s="1191"/>
      <c r="V361" s="1191"/>
      <c r="W361" s="1191"/>
      <c r="X361" s="1191"/>
      <c r="Y361" s="1191"/>
      <c r="Z361" s="1191"/>
      <c r="AA361" s="1191"/>
      <c r="AB361" s="1191"/>
      <c r="AC361" s="1191"/>
      <c r="AD361" s="1210"/>
      <c r="AE361" s="1210"/>
      <c r="AF361" s="1210"/>
      <c r="AG361" s="1210"/>
      <c r="AH361" s="1210"/>
      <c r="AI361" s="1210"/>
      <c r="AJ361" s="1210"/>
      <c r="AK361" s="1210"/>
      <c r="AL361" s="1210"/>
      <c r="AM361" s="1210"/>
      <c r="AN361" s="1210"/>
    </row>
    <row r="362" spans="1:40" s="1179" customFormat="1">
      <c r="A362" s="1258"/>
      <c r="B362" s="1188"/>
      <c r="C362" s="1188"/>
      <c r="D362" s="1188"/>
      <c r="E362" s="1210"/>
      <c r="F362" s="1210"/>
      <c r="G362" s="1210"/>
      <c r="H362" s="1210"/>
      <c r="I362" s="1191"/>
      <c r="J362" s="1191"/>
      <c r="K362" s="1199"/>
      <c r="L362" s="1191"/>
      <c r="M362" s="1191"/>
      <c r="N362" s="1191"/>
      <c r="O362" s="1191"/>
      <c r="P362" s="1191"/>
      <c r="Q362" s="1191"/>
      <c r="R362" s="1199"/>
      <c r="S362" s="1191"/>
      <c r="T362" s="1191"/>
      <c r="U362" s="1191"/>
      <c r="V362" s="1191"/>
      <c r="W362" s="1191"/>
      <c r="X362" s="1191"/>
      <c r="Y362" s="1191"/>
      <c r="Z362" s="1191"/>
      <c r="AA362" s="1191"/>
      <c r="AB362" s="1191"/>
      <c r="AC362" s="1191"/>
      <c r="AD362" s="1210"/>
      <c r="AE362" s="1210"/>
      <c r="AF362" s="1210"/>
      <c r="AG362" s="1210"/>
      <c r="AH362" s="1210"/>
      <c r="AI362" s="1210"/>
      <c r="AJ362" s="1210"/>
      <c r="AK362" s="1210"/>
      <c r="AL362" s="1210"/>
      <c r="AM362" s="1210"/>
      <c r="AN362" s="1210"/>
    </row>
    <row r="363" spans="1:40" s="1179" customFormat="1">
      <c r="A363" s="1258"/>
      <c r="B363" s="1188"/>
      <c r="C363" s="1188"/>
      <c r="D363" s="1188"/>
      <c r="E363" s="1210"/>
      <c r="F363" s="1210"/>
      <c r="G363" s="1210"/>
      <c r="H363" s="1210"/>
      <c r="I363" s="1191"/>
      <c r="J363" s="1191"/>
      <c r="K363" s="1199"/>
      <c r="L363" s="1191"/>
      <c r="M363" s="1191"/>
      <c r="N363" s="1191"/>
      <c r="O363" s="1191"/>
      <c r="P363" s="1191"/>
      <c r="Q363" s="1191"/>
      <c r="R363" s="1199"/>
      <c r="S363" s="1191"/>
      <c r="T363" s="1191"/>
      <c r="U363" s="1191"/>
      <c r="V363" s="1191"/>
      <c r="W363" s="1191"/>
      <c r="X363" s="1191"/>
      <c r="Y363" s="1191"/>
      <c r="Z363" s="1191"/>
      <c r="AA363" s="1191"/>
      <c r="AB363" s="1191"/>
      <c r="AC363" s="1191"/>
      <c r="AD363" s="1210"/>
      <c r="AE363" s="1210"/>
      <c r="AF363" s="1210"/>
      <c r="AG363" s="1210"/>
      <c r="AH363" s="1210"/>
      <c r="AI363" s="1210"/>
      <c r="AJ363" s="1210"/>
      <c r="AK363" s="1210"/>
      <c r="AL363" s="1210"/>
      <c r="AM363" s="1210"/>
      <c r="AN363" s="1210"/>
    </row>
    <row r="364" spans="1:40" s="1179" customFormat="1">
      <c r="A364" s="1258"/>
      <c r="B364" s="1188"/>
      <c r="C364" s="1188"/>
      <c r="D364" s="1188"/>
      <c r="E364" s="1210"/>
      <c r="F364" s="1210"/>
      <c r="G364" s="1210"/>
      <c r="H364" s="1210"/>
      <c r="I364" s="1191"/>
      <c r="J364" s="1191"/>
      <c r="K364" s="1199"/>
      <c r="L364" s="1191"/>
      <c r="M364" s="1191"/>
      <c r="N364" s="1191"/>
      <c r="O364" s="1191"/>
      <c r="P364" s="1191"/>
      <c r="Q364" s="1191"/>
      <c r="R364" s="1199"/>
      <c r="S364" s="1191"/>
      <c r="T364" s="1191"/>
      <c r="U364" s="1191"/>
      <c r="V364" s="1191"/>
      <c r="W364" s="1191"/>
      <c r="X364" s="1191"/>
      <c r="Y364" s="1191"/>
      <c r="Z364" s="1191"/>
      <c r="AA364" s="1191"/>
      <c r="AB364" s="1191"/>
      <c r="AC364" s="1191"/>
      <c r="AD364" s="1210"/>
      <c r="AE364" s="1210"/>
      <c r="AF364" s="1210"/>
      <c r="AG364" s="1210"/>
      <c r="AH364" s="1210"/>
      <c r="AI364" s="1210"/>
      <c r="AJ364" s="1210"/>
      <c r="AK364" s="1210"/>
      <c r="AL364" s="1210"/>
      <c r="AM364" s="1210"/>
      <c r="AN364" s="1210"/>
    </row>
    <row r="365" spans="1:40" s="1179" customFormat="1">
      <c r="A365" s="1258"/>
      <c r="B365" s="1188"/>
      <c r="C365" s="1188"/>
      <c r="D365" s="1188"/>
      <c r="E365" s="1210"/>
      <c r="F365" s="1210"/>
      <c r="G365" s="1210"/>
      <c r="H365" s="1210"/>
      <c r="I365" s="1191"/>
      <c r="J365" s="1191"/>
      <c r="K365" s="1199"/>
      <c r="L365" s="1191"/>
      <c r="M365" s="1191"/>
      <c r="N365" s="1191"/>
      <c r="O365" s="1191"/>
      <c r="P365" s="1191"/>
      <c r="Q365" s="1191"/>
      <c r="R365" s="1199"/>
      <c r="S365" s="1191"/>
      <c r="T365" s="1191"/>
      <c r="U365" s="1191"/>
      <c r="V365" s="1191"/>
      <c r="W365" s="1191"/>
      <c r="X365" s="1191"/>
      <c r="Y365" s="1191"/>
      <c r="Z365" s="1191"/>
      <c r="AA365" s="1191"/>
      <c r="AB365" s="1191"/>
      <c r="AC365" s="1191"/>
      <c r="AD365" s="1210"/>
      <c r="AE365" s="1210"/>
      <c r="AF365" s="1210"/>
      <c r="AG365" s="1210"/>
      <c r="AH365" s="1210"/>
      <c r="AI365" s="1210"/>
      <c r="AJ365" s="1210"/>
      <c r="AK365" s="1210"/>
      <c r="AL365" s="1210"/>
      <c r="AM365" s="1210"/>
      <c r="AN365" s="1210"/>
    </row>
    <row r="366" spans="1:40" s="1179" customFormat="1">
      <c r="A366" s="1258"/>
      <c r="B366" s="1188"/>
      <c r="C366" s="1188"/>
      <c r="D366" s="1188"/>
      <c r="E366" s="1210"/>
      <c r="F366" s="1210"/>
      <c r="G366" s="1210"/>
      <c r="H366" s="1210"/>
      <c r="I366" s="1191"/>
      <c r="J366" s="1191"/>
      <c r="K366" s="1199"/>
      <c r="L366" s="1191"/>
      <c r="M366" s="1191"/>
      <c r="N366" s="1191"/>
      <c r="O366" s="1191"/>
      <c r="P366" s="1191"/>
      <c r="Q366" s="1191"/>
      <c r="R366" s="1199"/>
      <c r="S366" s="1191"/>
      <c r="T366" s="1191"/>
      <c r="U366" s="1191"/>
      <c r="V366" s="1191"/>
      <c r="W366" s="1191"/>
      <c r="X366" s="1191"/>
      <c r="Y366" s="1191"/>
      <c r="Z366" s="1191"/>
      <c r="AA366" s="1191"/>
      <c r="AB366" s="1191"/>
      <c r="AC366" s="1191"/>
      <c r="AD366" s="1210"/>
      <c r="AE366" s="1210"/>
      <c r="AF366" s="1210"/>
      <c r="AG366" s="1210"/>
      <c r="AH366" s="1210"/>
      <c r="AI366" s="1210"/>
      <c r="AJ366" s="1210"/>
      <c r="AK366" s="1210"/>
      <c r="AL366" s="1210"/>
      <c r="AM366" s="1210"/>
      <c r="AN366" s="1210"/>
    </row>
    <row r="367" spans="1:40" s="1179" customFormat="1">
      <c r="A367" s="1258"/>
      <c r="B367" s="1188"/>
      <c r="C367" s="1188"/>
      <c r="D367" s="1188"/>
      <c r="E367" s="1210"/>
      <c r="F367" s="1210"/>
      <c r="G367" s="1210"/>
      <c r="H367" s="1210"/>
      <c r="I367" s="1191"/>
      <c r="J367" s="1191"/>
      <c r="K367" s="1199"/>
      <c r="L367" s="1191"/>
      <c r="M367" s="1191"/>
      <c r="N367" s="1191"/>
      <c r="O367" s="1191"/>
      <c r="P367" s="1191"/>
      <c r="Q367" s="1191"/>
      <c r="R367" s="1199"/>
      <c r="S367" s="1191"/>
      <c r="T367" s="1191"/>
      <c r="U367" s="1191"/>
      <c r="V367" s="1191"/>
      <c r="W367" s="1191"/>
      <c r="X367" s="1191"/>
      <c r="Y367" s="1191"/>
      <c r="Z367" s="1191"/>
      <c r="AA367" s="1191"/>
      <c r="AB367" s="1191"/>
      <c r="AC367" s="1191"/>
      <c r="AD367" s="1210"/>
      <c r="AE367" s="1210"/>
      <c r="AF367" s="1210"/>
      <c r="AG367" s="1210"/>
      <c r="AH367" s="1210"/>
      <c r="AI367" s="1210"/>
      <c r="AJ367" s="1210"/>
      <c r="AK367" s="1210"/>
      <c r="AL367" s="1210"/>
      <c r="AM367" s="1210"/>
      <c r="AN367" s="1210"/>
    </row>
    <row r="368" spans="1:40" s="1179" customFormat="1">
      <c r="A368" s="1258"/>
      <c r="B368" s="1188"/>
      <c r="C368" s="1188"/>
      <c r="D368" s="1188"/>
      <c r="E368" s="1210"/>
      <c r="F368" s="1210"/>
      <c r="G368" s="1210"/>
      <c r="H368" s="1210"/>
      <c r="I368" s="1191"/>
      <c r="J368" s="1191"/>
      <c r="K368" s="1199"/>
      <c r="L368" s="1191"/>
      <c r="M368" s="1191"/>
      <c r="N368" s="1191"/>
      <c r="O368" s="1191"/>
      <c r="P368" s="1191"/>
      <c r="Q368" s="1191"/>
      <c r="R368" s="1199"/>
      <c r="S368" s="1191"/>
      <c r="T368" s="1191"/>
      <c r="U368" s="1191"/>
      <c r="V368" s="1191"/>
      <c r="W368" s="1191"/>
      <c r="X368" s="1191"/>
      <c r="Y368" s="1191"/>
      <c r="Z368" s="1191"/>
      <c r="AA368" s="1191"/>
      <c r="AB368" s="1191"/>
      <c r="AC368" s="1191"/>
      <c r="AD368" s="1210"/>
      <c r="AE368" s="1210"/>
      <c r="AF368" s="1210"/>
      <c r="AG368" s="1210"/>
      <c r="AH368" s="1210"/>
      <c r="AI368" s="1210"/>
      <c r="AJ368" s="1210"/>
      <c r="AK368" s="1210"/>
      <c r="AL368" s="1210"/>
      <c r="AM368" s="1210"/>
      <c r="AN368" s="1210"/>
    </row>
    <row r="369" spans="1:40" s="1179" customFormat="1">
      <c r="A369" s="1258"/>
      <c r="B369" s="1188"/>
      <c r="C369" s="1188"/>
      <c r="D369" s="1188"/>
      <c r="E369" s="1210"/>
      <c r="F369" s="1210"/>
      <c r="G369" s="1210"/>
      <c r="H369" s="1210"/>
      <c r="I369" s="1191"/>
      <c r="J369" s="1191"/>
      <c r="K369" s="1199"/>
      <c r="L369" s="1191"/>
      <c r="M369" s="1191"/>
      <c r="N369" s="1191"/>
      <c r="O369" s="1191"/>
      <c r="P369" s="1191"/>
      <c r="Q369" s="1191"/>
      <c r="R369" s="1199"/>
      <c r="S369" s="1191"/>
      <c r="T369" s="1191"/>
      <c r="U369" s="1191"/>
      <c r="V369" s="1191"/>
      <c r="W369" s="1191"/>
      <c r="X369" s="1191"/>
      <c r="Y369" s="1191"/>
      <c r="Z369" s="1191"/>
      <c r="AA369" s="1191"/>
      <c r="AB369" s="1191"/>
      <c r="AC369" s="1191"/>
      <c r="AD369" s="1210"/>
      <c r="AE369" s="1210"/>
      <c r="AF369" s="1210"/>
      <c r="AG369" s="1210"/>
      <c r="AH369" s="1210"/>
      <c r="AI369" s="1210"/>
      <c r="AJ369" s="1210"/>
      <c r="AK369" s="1210"/>
      <c r="AL369" s="1210"/>
      <c r="AM369" s="1210"/>
      <c r="AN369" s="1210"/>
    </row>
    <row r="370" spans="1:40" s="1179" customFormat="1">
      <c r="A370" s="1258"/>
      <c r="B370" s="1188"/>
      <c r="C370" s="1188"/>
      <c r="D370" s="1188"/>
      <c r="E370" s="1210"/>
      <c r="F370" s="1210"/>
      <c r="G370" s="1210"/>
      <c r="H370" s="1210"/>
      <c r="I370" s="1191"/>
      <c r="J370" s="1191"/>
      <c r="K370" s="1199"/>
      <c r="L370" s="1191"/>
      <c r="M370" s="1191"/>
      <c r="N370" s="1191"/>
      <c r="O370" s="1191"/>
      <c r="P370" s="1191"/>
      <c r="Q370" s="1191"/>
      <c r="R370" s="1199"/>
      <c r="S370" s="1191"/>
      <c r="T370" s="1191"/>
      <c r="U370" s="1191"/>
      <c r="V370" s="1191"/>
      <c r="W370" s="1191"/>
      <c r="X370" s="1191"/>
      <c r="Y370" s="1191"/>
      <c r="Z370" s="1191"/>
      <c r="AA370" s="1191"/>
      <c r="AB370" s="1191"/>
      <c r="AC370" s="1191"/>
      <c r="AD370" s="1210"/>
      <c r="AE370" s="1210"/>
      <c r="AF370" s="1210"/>
      <c r="AG370" s="1210"/>
      <c r="AH370" s="1210"/>
      <c r="AI370" s="1210"/>
      <c r="AJ370" s="1210"/>
      <c r="AK370" s="1210"/>
      <c r="AL370" s="1210"/>
      <c r="AM370" s="1210"/>
      <c r="AN370" s="1210"/>
    </row>
    <row r="371" spans="1:40" s="1179" customFormat="1">
      <c r="A371" s="1258"/>
      <c r="B371" s="1188"/>
      <c r="C371" s="1188"/>
      <c r="D371" s="1188"/>
      <c r="E371" s="1210"/>
      <c r="F371" s="1210"/>
      <c r="G371" s="1210"/>
      <c r="H371" s="1210"/>
      <c r="I371" s="1191"/>
      <c r="J371" s="1191"/>
      <c r="K371" s="1199"/>
      <c r="L371" s="1191"/>
      <c r="M371" s="1191"/>
      <c r="N371" s="1191"/>
      <c r="O371" s="1191"/>
      <c r="P371" s="1191"/>
      <c r="Q371" s="1191"/>
      <c r="R371" s="1199"/>
      <c r="S371" s="1191"/>
      <c r="T371" s="1191"/>
      <c r="U371" s="1191"/>
      <c r="V371" s="1191"/>
      <c r="W371" s="1191"/>
      <c r="X371" s="1191"/>
      <c r="Y371" s="1191"/>
      <c r="Z371" s="1191"/>
      <c r="AA371" s="1191"/>
      <c r="AB371" s="1191"/>
      <c r="AC371" s="1191"/>
      <c r="AD371" s="1210"/>
      <c r="AE371" s="1210"/>
      <c r="AF371" s="1210"/>
      <c r="AG371" s="1210"/>
      <c r="AH371" s="1210"/>
      <c r="AI371" s="1210"/>
      <c r="AJ371" s="1210"/>
      <c r="AK371" s="1210"/>
      <c r="AL371" s="1210"/>
      <c r="AM371" s="1210"/>
      <c r="AN371" s="1210"/>
    </row>
    <row r="372" spans="1:40" s="1179" customFormat="1">
      <c r="A372" s="1258"/>
      <c r="B372" s="1188"/>
      <c r="C372" s="1188"/>
      <c r="D372" s="1188"/>
      <c r="E372" s="1210"/>
      <c r="F372" s="1210"/>
      <c r="G372" s="1210"/>
      <c r="H372" s="1210"/>
      <c r="I372" s="1191"/>
      <c r="J372" s="1191"/>
      <c r="K372" s="1199"/>
      <c r="L372" s="1191"/>
      <c r="M372" s="1191"/>
      <c r="N372" s="1191"/>
      <c r="O372" s="1191"/>
      <c r="P372" s="1191"/>
      <c r="Q372" s="1191"/>
      <c r="R372" s="1199"/>
      <c r="S372" s="1191"/>
      <c r="T372" s="1191"/>
      <c r="U372" s="1191"/>
      <c r="V372" s="1191"/>
      <c r="W372" s="1191"/>
      <c r="X372" s="1191"/>
      <c r="Y372" s="1191"/>
      <c r="Z372" s="1191"/>
      <c r="AA372" s="1191"/>
      <c r="AB372" s="1191"/>
      <c r="AC372" s="1191"/>
      <c r="AD372" s="1210"/>
      <c r="AE372" s="1210"/>
      <c r="AF372" s="1210"/>
      <c r="AG372" s="1210"/>
      <c r="AH372" s="1210"/>
      <c r="AI372" s="1210"/>
      <c r="AJ372" s="1210"/>
      <c r="AK372" s="1210"/>
      <c r="AL372" s="1210"/>
      <c r="AM372" s="1210"/>
      <c r="AN372" s="1210"/>
    </row>
    <row r="373" spans="1:40" s="1179" customFormat="1">
      <c r="A373" s="1258"/>
      <c r="B373" s="1188"/>
      <c r="C373" s="1188"/>
      <c r="D373" s="1188"/>
      <c r="E373" s="1210"/>
      <c r="F373" s="1210"/>
      <c r="G373" s="1210"/>
      <c r="H373" s="1210"/>
      <c r="I373" s="1191"/>
      <c r="J373" s="1191"/>
      <c r="K373" s="1199"/>
      <c r="L373" s="1191"/>
      <c r="M373" s="1191"/>
      <c r="N373" s="1191"/>
      <c r="O373" s="1191"/>
      <c r="P373" s="1191"/>
      <c r="Q373" s="1191"/>
      <c r="R373" s="1199"/>
      <c r="S373" s="1191"/>
      <c r="T373" s="1191"/>
      <c r="U373" s="1191"/>
      <c r="V373" s="1191"/>
      <c r="W373" s="1191"/>
      <c r="X373" s="1191"/>
      <c r="Y373" s="1191"/>
      <c r="Z373" s="1191"/>
      <c r="AA373" s="1191"/>
      <c r="AB373" s="1191"/>
      <c r="AC373" s="1191"/>
      <c r="AD373" s="1210"/>
      <c r="AE373" s="1210"/>
      <c r="AF373" s="1210"/>
      <c r="AG373" s="1210"/>
      <c r="AH373" s="1210"/>
      <c r="AI373" s="1210"/>
      <c r="AJ373" s="1210"/>
      <c r="AK373" s="1210"/>
      <c r="AL373" s="1210"/>
      <c r="AM373" s="1210"/>
      <c r="AN373" s="1210"/>
    </row>
    <row r="374" spans="1:40" s="1179" customFormat="1">
      <c r="A374" s="1258"/>
      <c r="B374" s="1188"/>
      <c r="C374" s="1188"/>
      <c r="D374" s="1188"/>
      <c r="E374" s="1210"/>
      <c r="F374" s="1210"/>
      <c r="G374" s="1210"/>
      <c r="H374" s="1210"/>
      <c r="I374" s="1191"/>
      <c r="J374" s="1191"/>
      <c r="K374" s="1199"/>
      <c r="L374" s="1191"/>
      <c r="M374" s="1191"/>
      <c r="N374" s="1191"/>
      <c r="O374" s="1191"/>
      <c r="P374" s="1191"/>
      <c r="Q374" s="1191"/>
      <c r="R374" s="1199"/>
      <c r="S374" s="1191"/>
      <c r="T374" s="1191"/>
      <c r="U374" s="1191"/>
      <c r="V374" s="1191"/>
      <c r="W374" s="1191"/>
      <c r="X374" s="1191"/>
      <c r="Y374" s="1191"/>
      <c r="Z374" s="1191"/>
      <c r="AA374" s="1191"/>
      <c r="AB374" s="1191"/>
      <c r="AC374" s="1191"/>
      <c r="AD374" s="1210"/>
      <c r="AE374" s="1210"/>
      <c r="AF374" s="1210"/>
      <c r="AG374" s="1210"/>
      <c r="AH374" s="1210"/>
      <c r="AI374" s="1210"/>
      <c r="AJ374" s="1210"/>
      <c r="AK374" s="1210"/>
      <c r="AL374" s="1210"/>
      <c r="AM374" s="1210"/>
      <c r="AN374" s="1210"/>
    </row>
    <row r="375" spans="1:40" s="1179" customFormat="1">
      <c r="A375" s="1258"/>
      <c r="B375" s="1188"/>
      <c r="C375" s="1188"/>
      <c r="D375" s="1188"/>
      <c r="E375" s="1210"/>
      <c r="F375" s="1210"/>
      <c r="G375" s="1210"/>
      <c r="H375" s="1210"/>
      <c r="I375" s="1191"/>
      <c r="J375" s="1191"/>
      <c r="K375" s="1199"/>
      <c r="L375" s="1191"/>
      <c r="M375" s="1191"/>
      <c r="N375" s="1191"/>
      <c r="O375" s="1191"/>
      <c r="P375" s="1191"/>
      <c r="Q375" s="1191"/>
      <c r="R375" s="1199"/>
      <c r="S375" s="1191"/>
      <c r="T375" s="1191"/>
      <c r="U375" s="1191"/>
      <c r="V375" s="1191"/>
      <c r="W375" s="1191"/>
      <c r="X375" s="1191"/>
      <c r="Y375" s="1191"/>
      <c r="Z375" s="1191"/>
      <c r="AA375" s="1191"/>
      <c r="AB375" s="1191"/>
      <c r="AC375" s="1191"/>
      <c r="AD375" s="1210"/>
      <c r="AE375" s="1210"/>
      <c r="AF375" s="1210"/>
      <c r="AG375" s="1210"/>
      <c r="AH375" s="1210"/>
      <c r="AI375" s="1210"/>
      <c r="AJ375" s="1210"/>
      <c r="AK375" s="1210"/>
      <c r="AL375" s="1210"/>
      <c r="AM375" s="1210"/>
      <c r="AN375" s="1210"/>
    </row>
    <row r="376" spans="1:40" s="1179" customFormat="1">
      <c r="A376" s="1258"/>
      <c r="B376" s="1188"/>
      <c r="C376" s="1188"/>
      <c r="D376" s="1188"/>
      <c r="E376" s="1210"/>
      <c r="F376" s="1210"/>
      <c r="G376" s="1210"/>
      <c r="H376" s="1210"/>
      <c r="I376" s="1191"/>
      <c r="J376" s="1191"/>
      <c r="K376" s="1199"/>
      <c r="L376" s="1191"/>
      <c r="M376" s="1191"/>
      <c r="N376" s="1191"/>
      <c r="O376" s="1191"/>
      <c r="P376" s="1191"/>
      <c r="Q376" s="1191"/>
      <c r="R376" s="1199"/>
      <c r="S376" s="1191"/>
      <c r="T376" s="1191"/>
      <c r="U376" s="1191"/>
      <c r="V376" s="1191"/>
      <c r="W376" s="1191"/>
      <c r="X376" s="1191"/>
      <c r="Y376" s="1191"/>
      <c r="Z376" s="1191"/>
      <c r="AA376" s="1191"/>
      <c r="AB376" s="1191"/>
      <c r="AC376" s="1191"/>
      <c r="AD376" s="1210"/>
      <c r="AE376" s="1210"/>
      <c r="AF376" s="1210"/>
      <c r="AG376" s="1210"/>
      <c r="AH376" s="1210"/>
      <c r="AI376" s="1210"/>
      <c r="AJ376" s="1210"/>
      <c r="AK376" s="1210"/>
      <c r="AL376" s="1210"/>
      <c r="AM376" s="1210"/>
      <c r="AN376" s="1210"/>
    </row>
    <row r="377" spans="1:40" s="1179" customFormat="1">
      <c r="A377" s="1258"/>
      <c r="B377" s="1188"/>
      <c r="C377" s="1188"/>
      <c r="D377" s="1188"/>
      <c r="E377" s="1210"/>
      <c r="F377" s="1210"/>
      <c r="G377" s="1210"/>
      <c r="H377" s="1210"/>
      <c r="I377" s="1191"/>
      <c r="J377" s="1191"/>
      <c r="K377" s="1199"/>
      <c r="L377" s="1191"/>
      <c r="M377" s="1191"/>
      <c r="N377" s="1191"/>
      <c r="O377" s="1191"/>
      <c r="P377" s="1191"/>
      <c r="Q377" s="1191"/>
      <c r="R377" s="1199"/>
      <c r="S377" s="1191"/>
      <c r="T377" s="1191"/>
      <c r="U377" s="1191"/>
      <c r="V377" s="1191"/>
      <c r="W377" s="1191"/>
      <c r="X377" s="1191"/>
      <c r="Y377" s="1191"/>
      <c r="Z377" s="1191"/>
      <c r="AA377" s="1191"/>
      <c r="AB377" s="1191"/>
      <c r="AC377" s="1191"/>
      <c r="AD377" s="1210"/>
      <c r="AE377" s="1210"/>
      <c r="AF377" s="1210"/>
      <c r="AG377" s="1210"/>
      <c r="AH377" s="1210"/>
      <c r="AI377" s="1210"/>
      <c r="AJ377" s="1210"/>
      <c r="AK377" s="1210"/>
      <c r="AL377" s="1210"/>
      <c r="AM377" s="1210"/>
      <c r="AN377" s="1210"/>
    </row>
    <row r="378" spans="1:40" s="1179" customFormat="1">
      <c r="A378" s="1258"/>
      <c r="B378" s="1188"/>
      <c r="C378" s="1188"/>
      <c r="D378" s="1188"/>
      <c r="E378" s="1210"/>
      <c r="F378" s="1210"/>
      <c r="G378" s="1210"/>
      <c r="H378" s="1210"/>
      <c r="I378" s="1191"/>
      <c r="J378" s="1191"/>
      <c r="K378" s="1199"/>
      <c r="L378" s="1191"/>
      <c r="M378" s="1191"/>
      <c r="N378" s="1191"/>
      <c r="O378" s="1191"/>
      <c r="P378" s="1191"/>
      <c r="Q378" s="1191"/>
      <c r="R378" s="1199"/>
      <c r="S378" s="1191"/>
      <c r="T378" s="1191"/>
      <c r="U378" s="1191"/>
      <c r="V378" s="1191"/>
      <c r="W378" s="1191"/>
      <c r="X378" s="1191"/>
      <c r="Y378" s="1191"/>
      <c r="Z378" s="1191"/>
      <c r="AA378" s="1191"/>
      <c r="AB378" s="1191"/>
      <c r="AC378" s="1191"/>
      <c r="AD378" s="1210"/>
      <c r="AE378" s="1210"/>
      <c r="AF378" s="1210"/>
      <c r="AG378" s="1210"/>
      <c r="AH378" s="1210"/>
      <c r="AI378" s="1210"/>
      <c r="AJ378" s="1210"/>
      <c r="AK378" s="1210"/>
      <c r="AL378" s="1210"/>
      <c r="AM378" s="1210"/>
      <c r="AN378" s="1210"/>
    </row>
    <row r="379" spans="1:40" s="1179" customFormat="1">
      <c r="A379" s="1258"/>
      <c r="B379" s="1188"/>
      <c r="C379" s="1188"/>
      <c r="D379" s="1188"/>
      <c r="E379" s="1210"/>
      <c r="F379" s="1210"/>
      <c r="G379" s="1210"/>
      <c r="H379" s="1210"/>
      <c r="I379" s="1191"/>
      <c r="J379" s="1191"/>
      <c r="K379" s="1199"/>
      <c r="L379" s="1191"/>
      <c r="M379" s="1191"/>
      <c r="N379" s="1191"/>
      <c r="O379" s="1191"/>
      <c r="P379" s="1191"/>
      <c r="Q379" s="1191"/>
      <c r="R379" s="1199"/>
      <c r="S379" s="1191"/>
      <c r="T379" s="1191"/>
      <c r="U379" s="1191"/>
      <c r="V379" s="1191"/>
      <c r="W379" s="1191"/>
      <c r="X379" s="1191"/>
      <c r="Y379" s="1191"/>
      <c r="Z379" s="1191"/>
      <c r="AA379" s="1191"/>
      <c r="AB379" s="1191"/>
      <c r="AC379" s="1191"/>
      <c r="AD379" s="1210"/>
      <c r="AE379" s="1210"/>
      <c r="AF379" s="1210"/>
      <c r="AG379" s="1210"/>
      <c r="AH379" s="1210"/>
      <c r="AI379" s="1210"/>
      <c r="AJ379" s="1210"/>
      <c r="AK379" s="1210"/>
      <c r="AL379" s="1210"/>
      <c r="AM379" s="1210"/>
      <c r="AN379" s="1210"/>
    </row>
    <row r="380" spans="1:40" s="1179" customFormat="1">
      <c r="A380" s="1258"/>
      <c r="B380" s="1188"/>
      <c r="C380" s="1188"/>
      <c r="D380" s="1188"/>
      <c r="E380" s="1210"/>
      <c r="F380" s="1210"/>
      <c r="G380" s="1210"/>
      <c r="H380" s="1210"/>
      <c r="I380" s="1191"/>
      <c r="J380" s="1191"/>
      <c r="K380" s="1199"/>
      <c r="L380" s="1191"/>
      <c r="M380" s="1191"/>
      <c r="N380" s="1191"/>
      <c r="O380" s="1191"/>
      <c r="P380" s="1191"/>
      <c r="Q380" s="1191"/>
      <c r="R380" s="1199"/>
      <c r="S380" s="1191"/>
      <c r="T380" s="1191"/>
      <c r="U380" s="1191"/>
      <c r="V380" s="1191"/>
      <c r="W380" s="1191"/>
      <c r="X380" s="1191"/>
      <c r="Y380" s="1191"/>
      <c r="Z380" s="1191"/>
      <c r="AA380" s="1191"/>
      <c r="AB380" s="1191"/>
      <c r="AC380" s="1191"/>
      <c r="AD380" s="1210"/>
      <c r="AE380" s="1210"/>
      <c r="AF380" s="1210"/>
      <c r="AG380" s="1210"/>
      <c r="AH380" s="1210"/>
      <c r="AI380" s="1210"/>
      <c r="AJ380" s="1210"/>
      <c r="AK380" s="1210"/>
      <c r="AL380" s="1210"/>
      <c r="AM380" s="1210"/>
      <c r="AN380" s="1210"/>
    </row>
    <row r="381" spans="1:40" s="1179" customFormat="1">
      <c r="A381" s="1258"/>
      <c r="B381" s="1188"/>
      <c r="C381" s="1188"/>
      <c r="D381" s="1188"/>
      <c r="E381" s="1210"/>
      <c r="F381" s="1210"/>
      <c r="G381" s="1210"/>
      <c r="H381" s="1210"/>
      <c r="I381" s="1191"/>
      <c r="J381" s="1191"/>
      <c r="K381" s="1199"/>
      <c r="L381" s="1191"/>
      <c r="M381" s="1191"/>
      <c r="N381" s="1191"/>
      <c r="O381" s="1191"/>
      <c r="P381" s="1191"/>
      <c r="Q381" s="1191"/>
      <c r="R381" s="1199"/>
      <c r="S381" s="1191"/>
      <c r="T381" s="1191"/>
      <c r="U381" s="1191"/>
      <c r="V381" s="1191"/>
      <c r="W381" s="1191"/>
      <c r="X381" s="1191"/>
      <c r="Y381" s="1191"/>
      <c r="Z381" s="1191"/>
      <c r="AA381" s="1191"/>
      <c r="AB381" s="1191"/>
      <c r="AC381" s="1191"/>
      <c r="AD381" s="1210"/>
      <c r="AE381" s="1210"/>
      <c r="AF381" s="1210"/>
      <c r="AG381" s="1210"/>
      <c r="AH381" s="1210"/>
      <c r="AI381" s="1210"/>
      <c r="AJ381" s="1210"/>
      <c r="AK381" s="1210"/>
      <c r="AL381" s="1210"/>
      <c r="AM381" s="1210"/>
      <c r="AN381" s="1210"/>
    </row>
    <row r="382" spans="1:40" s="1179" customFormat="1">
      <c r="A382" s="1258"/>
      <c r="B382" s="1188"/>
      <c r="C382" s="1188"/>
      <c r="D382" s="1188"/>
      <c r="E382" s="1210"/>
      <c r="F382" s="1210"/>
      <c r="G382" s="1210"/>
      <c r="H382" s="1210"/>
      <c r="I382" s="1191"/>
      <c r="J382" s="1191"/>
      <c r="K382" s="1199"/>
      <c r="L382" s="1191"/>
      <c r="M382" s="1191"/>
      <c r="N382" s="1191"/>
      <c r="O382" s="1191"/>
      <c r="P382" s="1191"/>
      <c r="Q382" s="1191"/>
      <c r="R382" s="1199"/>
      <c r="S382" s="1191"/>
      <c r="T382" s="1191"/>
      <c r="U382" s="1191"/>
      <c r="V382" s="1191"/>
      <c r="W382" s="1191"/>
      <c r="X382" s="1191"/>
      <c r="Y382" s="1191"/>
      <c r="Z382" s="1191"/>
      <c r="AA382" s="1191"/>
      <c r="AB382" s="1191"/>
      <c r="AC382" s="1191"/>
      <c r="AD382" s="1210"/>
      <c r="AE382" s="1210"/>
      <c r="AF382" s="1210"/>
      <c r="AG382" s="1210"/>
      <c r="AH382" s="1210"/>
      <c r="AI382" s="1210"/>
      <c r="AJ382" s="1210"/>
      <c r="AK382" s="1210"/>
      <c r="AL382" s="1210"/>
      <c r="AM382" s="1210"/>
      <c r="AN382" s="1210"/>
    </row>
    <row r="383" spans="1:40" s="1179" customFormat="1">
      <c r="A383" s="1258"/>
      <c r="B383" s="1188"/>
      <c r="C383" s="1188"/>
      <c r="D383" s="1188"/>
      <c r="E383" s="1210"/>
      <c r="F383" s="1210"/>
      <c r="G383" s="1210"/>
      <c r="H383" s="1210"/>
      <c r="I383" s="1191"/>
      <c r="J383" s="1191"/>
      <c r="K383" s="1199"/>
      <c r="L383" s="1191"/>
      <c r="M383" s="1191"/>
      <c r="N383" s="1191"/>
      <c r="O383" s="1191"/>
      <c r="P383" s="1191"/>
      <c r="Q383" s="1191"/>
      <c r="R383" s="1199"/>
      <c r="S383" s="1191"/>
      <c r="T383" s="1191"/>
      <c r="U383" s="1191"/>
      <c r="V383" s="1191"/>
      <c r="W383" s="1191"/>
      <c r="X383" s="1191"/>
      <c r="Y383" s="1191"/>
      <c r="Z383" s="1191"/>
      <c r="AA383" s="1191"/>
      <c r="AB383" s="1191"/>
      <c r="AC383" s="1191"/>
      <c r="AD383" s="1210"/>
      <c r="AE383" s="1210"/>
      <c r="AF383" s="1210"/>
      <c r="AG383" s="1210"/>
      <c r="AH383" s="1210"/>
      <c r="AI383" s="1210"/>
      <c r="AJ383" s="1210"/>
      <c r="AK383" s="1210"/>
      <c r="AL383" s="1210"/>
      <c r="AM383" s="1210"/>
      <c r="AN383" s="1210"/>
    </row>
    <row r="384" spans="1:40" s="1179" customFormat="1">
      <c r="A384" s="1258"/>
      <c r="B384" s="1188"/>
      <c r="C384" s="1188"/>
      <c r="D384" s="1188"/>
      <c r="E384" s="1210"/>
      <c r="F384" s="1210"/>
      <c r="G384" s="1210"/>
      <c r="H384" s="1210"/>
      <c r="I384" s="1191"/>
      <c r="J384" s="1191"/>
      <c r="K384" s="1199"/>
      <c r="L384" s="1191"/>
      <c r="M384" s="1191"/>
      <c r="N384" s="1191"/>
      <c r="O384" s="1191"/>
      <c r="P384" s="1191"/>
      <c r="Q384" s="1191"/>
      <c r="R384" s="1199"/>
      <c r="S384" s="1191"/>
      <c r="T384" s="1191"/>
      <c r="U384" s="1191"/>
      <c r="V384" s="1191"/>
      <c r="W384" s="1191"/>
      <c r="X384" s="1191"/>
      <c r="Y384" s="1191"/>
      <c r="Z384" s="1191"/>
      <c r="AA384" s="1191"/>
      <c r="AB384" s="1191"/>
      <c r="AC384" s="1191"/>
      <c r="AD384" s="1210"/>
      <c r="AE384" s="1210"/>
      <c r="AF384" s="1210"/>
      <c r="AG384" s="1210"/>
      <c r="AH384" s="1210"/>
      <c r="AI384" s="1210"/>
      <c r="AJ384" s="1210"/>
      <c r="AK384" s="1210"/>
      <c r="AL384" s="1210"/>
      <c r="AM384" s="1210"/>
      <c r="AN384" s="1210"/>
    </row>
    <row r="385" spans="1:40" s="1179" customFormat="1">
      <c r="A385" s="1258"/>
      <c r="B385" s="1188"/>
      <c r="C385" s="1188"/>
      <c r="D385" s="1188"/>
      <c r="E385" s="1210"/>
      <c r="F385" s="1210"/>
      <c r="G385" s="1210"/>
      <c r="H385" s="1210"/>
      <c r="I385" s="1191"/>
      <c r="J385" s="1191"/>
      <c r="K385" s="1199"/>
      <c r="L385" s="1191"/>
      <c r="M385" s="1191"/>
      <c r="N385" s="1191"/>
      <c r="O385" s="1191"/>
      <c r="P385" s="1191"/>
      <c r="Q385" s="1191"/>
      <c r="R385" s="1199"/>
      <c r="S385" s="1191"/>
      <c r="T385" s="1191"/>
      <c r="U385" s="1191"/>
      <c r="V385" s="1191"/>
      <c r="W385" s="1191"/>
      <c r="X385" s="1191"/>
      <c r="Y385" s="1191"/>
      <c r="Z385" s="1191"/>
      <c r="AA385" s="1191"/>
      <c r="AB385" s="1191"/>
      <c r="AC385" s="1191"/>
      <c r="AD385" s="1210"/>
      <c r="AE385" s="1210"/>
      <c r="AF385" s="1210"/>
      <c r="AG385" s="1210"/>
      <c r="AH385" s="1210"/>
      <c r="AI385" s="1210"/>
      <c r="AJ385" s="1210"/>
      <c r="AK385" s="1210"/>
      <c r="AL385" s="1210"/>
      <c r="AM385" s="1210"/>
      <c r="AN385" s="1210"/>
    </row>
    <row r="386" spans="1:40" s="1179" customFormat="1">
      <c r="A386" s="1258"/>
      <c r="B386" s="1188"/>
      <c r="C386" s="1188"/>
      <c r="D386" s="1188"/>
      <c r="E386" s="1210"/>
      <c r="F386" s="1210"/>
      <c r="G386" s="1210"/>
      <c r="H386" s="1210"/>
      <c r="I386" s="1191"/>
      <c r="J386" s="1191"/>
      <c r="K386" s="1199"/>
      <c r="L386" s="1191"/>
      <c r="M386" s="1191"/>
      <c r="N386" s="1191"/>
      <c r="O386" s="1191"/>
      <c r="P386" s="1191"/>
      <c r="Q386" s="1191"/>
      <c r="R386" s="1199"/>
      <c r="S386" s="1191"/>
      <c r="T386" s="1191"/>
      <c r="U386" s="1191"/>
      <c r="V386" s="1191"/>
      <c r="W386" s="1191"/>
      <c r="X386" s="1191"/>
      <c r="Y386" s="1191"/>
      <c r="Z386" s="1191"/>
      <c r="AA386" s="1191"/>
      <c r="AB386" s="1191"/>
      <c r="AC386" s="1191"/>
      <c r="AD386" s="1210"/>
      <c r="AE386" s="1210"/>
      <c r="AF386" s="1210"/>
      <c r="AG386" s="1210"/>
      <c r="AH386" s="1210"/>
      <c r="AI386" s="1210"/>
      <c r="AJ386" s="1210"/>
      <c r="AK386" s="1210"/>
      <c r="AL386" s="1210"/>
      <c r="AM386" s="1210"/>
      <c r="AN386" s="1210"/>
    </row>
    <row r="387" spans="1:40" s="1179" customFormat="1">
      <c r="A387" s="1258"/>
      <c r="B387" s="1188"/>
      <c r="C387" s="1188"/>
      <c r="D387" s="1188"/>
      <c r="E387" s="1210"/>
      <c r="F387" s="1210"/>
      <c r="G387" s="1210"/>
      <c r="H387" s="1210"/>
      <c r="I387" s="1191"/>
      <c r="J387" s="1191"/>
      <c r="K387" s="1199"/>
      <c r="L387" s="1191"/>
      <c r="M387" s="1191"/>
      <c r="N387" s="1191"/>
      <c r="O387" s="1191"/>
      <c r="P387" s="1191"/>
      <c r="Q387" s="1191"/>
      <c r="R387" s="1199"/>
      <c r="S387" s="1191"/>
      <c r="T387" s="1191"/>
      <c r="U387" s="1191"/>
      <c r="V387" s="1191"/>
      <c r="W387" s="1191"/>
      <c r="X387" s="1191"/>
      <c r="Y387" s="1191"/>
      <c r="Z387" s="1191"/>
      <c r="AA387" s="1191"/>
      <c r="AB387" s="1191"/>
      <c r="AC387" s="1191"/>
      <c r="AD387" s="1210"/>
      <c r="AE387" s="1210"/>
      <c r="AF387" s="1210"/>
      <c r="AG387" s="1210"/>
      <c r="AH387" s="1210"/>
      <c r="AI387" s="1210"/>
      <c r="AJ387" s="1210"/>
      <c r="AK387" s="1210"/>
      <c r="AL387" s="1210"/>
      <c r="AM387" s="1210"/>
      <c r="AN387" s="1210"/>
    </row>
    <row r="388" spans="1:40" s="1179" customFormat="1">
      <c r="A388" s="1258"/>
      <c r="B388" s="1188"/>
      <c r="C388" s="1188"/>
      <c r="D388" s="1188"/>
      <c r="E388" s="1210"/>
      <c r="F388" s="1210"/>
      <c r="G388" s="1210"/>
      <c r="H388" s="1210"/>
      <c r="I388" s="1191"/>
      <c r="J388" s="1191"/>
      <c r="K388" s="1199"/>
      <c r="L388" s="1191"/>
      <c r="M388" s="1191"/>
      <c r="N388" s="1191"/>
      <c r="O388" s="1191"/>
      <c r="P388" s="1191"/>
      <c r="Q388" s="1191"/>
      <c r="R388" s="1199"/>
      <c r="S388" s="1191"/>
      <c r="T388" s="1191"/>
      <c r="U388" s="1191"/>
      <c r="V388" s="1191"/>
      <c r="W388" s="1191"/>
      <c r="X388" s="1191"/>
      <c r="Y388" s="1191"/>
      <c r="Z388" s="1191"/>
      <c r="AA388" s="1191"/>
      <c r="AB388" s="1191"/>
      <c r="AC388" s="1191"/>
      <c r="AD388" s="1210"/>
      <c r="AE388" s="1210"/>
      <c r="AF388" s="1210"/>
      <c r="AG388" s="1210"/>
      <c r="AH388" s="1210"/>
      <c r="AI388" s="1210"/>
      <c r="AJ388" s="1210"/>
      <c r="AK388" s="1210"/>
      <c r="AL388" s="1210"/>
      <c r="AM388" s="1210"/>
      <c r="AN388" s="1210"/>
    </row>
    <row r="389" spans="1:40" s="1179" customFormat="1">
      <c r="A389" s="1258"/>
      <c r="B389" s="1188"/>
      <c r="C389" s="1188"/>
      <c r="D389" s="1188"/>
      <c r="E389" s="1210"/>
      <c r="F389" s="1210"/>
      <c r="G389" s="1210"/>
      <c r="H389" s="1210"/>
      <c r="I389" s="1191"/>
      <c r="J389" s="1191"/>
      <c r="K389" s="1199"/>
      <c r="L389" s="1191"/>
      <c r="M389" s="1191"/>
      <c r="N389" s="1191"/>
      <c r="O389" s="1191"/>
      <c r="P389" s="1191"/>
      <c r="Q389" s="1191"/>
      <c r="R389" s="1199"/>
      <c r="S389" s="1191"/>
      <c r="T389" s="1191"/>
      <c r="U389" s="1191"/>
      <c r="V389" s="1191"/>
      <c r="W389" s="1191"/>
      <c r="X389" s="1191"/>
      <c r="Y389" s="1191"/>
      <c r="Z389" s="1191"/>
      <c r="AA389" s="1191"/>
      <c r="AB389" s="1191"/>
      <c r="AC389" s="1191"/>
      <c r="AD389" s="1210"/>
      <c r="AE389" s="1210"/>
      <c r="AF389" s="1210"/>
      <c r="AG389" s="1210"/>
      <c r="AH389" s="1210"/>
      <c r="AI389" s="1210"/>
      <c r="AJ389" s="1210"/>
      <c r="AK389" s="1210"/>
      <c r="AL389" s="1210"/>
      <c r="AM389" s="1210"/>
      <c r="AN389" s="1210"/>
    </row>
    <row r="390" spans="1:40" s="1179" customFormat="1">
      <c r="A390" s="1258"/>
      <c r="B390" s="1188"/>
      <c r="C390" s="1188"/>
      <c r="D390" s="1188"/>
      <c r="E390" s="1210"/>
      <c r="F390" s="1210"/>
      <c r="G390" s="1210"/>
      <c r="H390" s="1210"/>
      <c r="I390" s="1191"/>
      <c r="J390" s="1191"/>
      <c r="K390" s="1199"/>
      <c r="L390" s="1191"/>
      <c r="M390" s="1191"/>
      <c r="N390" s="1191"/>
      <c r="O390" s="1191"/>
      <c r="P390" s="1191"/>
      <c r="Q390" s="1191"/>
      <c r="R390" s="1199"/>
      <c r="S390" s="1191"/>
      <c r="T390" s="1191"/>
      <c r="U390" s="1191"/>
      <c r="V390" s="1191"/>
      <c r="W390" s="1191"/>
      <c r="X390" s="1191"/>
      <c r="Y390" s="1191"/>
      <c r="Z390" s="1191"/>
      <c r="AA390" s="1191"/>
      <c r="AB390" s="1191"/>
      <c r="AC390" s="1191"/>
      <c r="AD390" s="1210"/>
      <c r="AE390" s="1210"/>
      <c r="AF390" s="1210"/>
      <c r="AG390" s="1210"/>
      <c r="AH390" s="1210"/>
      <c r="AI390" s="1210"/>
      <c r="AJ390" s="1210"/>
      <c r="AK390" s="1210"/>
      <c r="AL390" s="1210"/>
      <c r="AM390" s="1210"/>
      <c r="AN390" s="1210"/>
    </row>
    <row r="391" spans="1:40" s="1179" customFormat="1">
      <c r="A391" s="1258"/>
      <c r="B391" s="1188"/>
      <c r="C391" s="1188"/>
      <c r="D391" s="1188"/>
      <c r="E391" s="1210"/>
      <c r="F391" s="1210"/>
      <c r="G391" s="1210"/>
      <c r="H391" s="1210"/>
      <c r="I391" s="1191"/>
      <c r="J391" s="1191"/>
      <c r="K391" s="1199"/>
      <c r="L391" s="1191"/>
      <c r="M391" s="1191"/>
      <c r="N391" s="1191"/>
      <c r="O391" s="1191"/>
      <c r="P391" s="1191"/>
      <c r="Q391" s="1191"/>
      <c r="R391" s="1199"/>
      <c r="S391" s="1191"/>
      <c r="T391" s="1191"/>
      <c r="U391" s="1191"/>
      <c r="V391" s="1191"/>
      <c r="W391" s="1191"/>
      <c r="X391" s="1191"/>
      <c r="Y391" s="1191"/>
      <c r="Z391" s="1191"/>
      <c r="AA391" s="1191"/>
      <c r="AB391" s="1191"/>
      <c r="AC391" s="1191"/>
      <c r="AD391" s="1210"/>
      <c r="AE391" s="1210"/>
      <c r="AF391" s="1210"/>
      <c r="AG391" s="1210"/>
      <c r="AH391" s="1210"/>
      <c r="AI391" s="1210"/>
      <c r="AJ391" s="1210"/>
      <c r="AK391" s="1210"/>
      <c r="AL391" s="1210"/>
      <c r="AM391" s="1210"/>
      <c r="AN391" s="1210"/>
    </row>
    <row r="392" spans="1:40" s="1179" customFormat="1">
      <c r="A392" s="1258"/>
      <c r="B392" s="1188"/>
      <c r="C392" s="1188"/>
      <c r="D392" s="1188"/>
      <c r="E392" s="1210"/>
      <c r="F392" s="1210"/>
      <c r="G392" s="1210"/>
      <c r="H392" s="1210"/>
      <c r="I392" s="1191"/>
      <c r="J392" s="1191"/>
      <c r="K392" s="1199"/>
      <c r="L392" s="1191"/>
      <c r="M392" s="1191"/>
      <c r="N392" s="1191"/>
      <c r="O392" s="1191"/>
      <c r="P392" s="1191"/>
      <c r="Q392" s="1191"/>
      <c r="R392" s="1199"/>
      <c r="S392" s="1191"/>
      <c r="T392" s="1191"/>
      <c r="U392" s="1191"/>
      <c r="V392" s="1191"/>
      <c r="W392" s="1191"/>
      <c r="X392" s="1191"/>
      <c r="Y392" s="1191"/>
      <c r="Z392" s="1191"/>
      <c r="AA392" s="1191"/>
      <c r="AB392" s="1191"/>
      <c r="AC392" s="1191"/>
      <c r="AD392" s="1210"/>
      <c r="AE392" s="1210"/>
      <c r="AF392" s="1210"/>
      <c r="AG392" s="1210"/>
      <c r="AH392" s="1210"/>
      <c r="AI392" s="1210"/>
      <c r="AJ392" s="1210"/>
      <c r="AK392" s="1210"/>
      <c r="AL392" s="1210"/>
      <c r="AM392" s="1210"/>
      <c r="AN392" s="1210"/>
    </row>
    <row r="393" spans="1:40" s="1179" customFormat="1">
      <c r="A393" s="1258"/>
      <c r="B393" s="1188"/>
      <c r="C393" s="1188"/>
      <c r="D393" s="1188"/>
      <c r="E393" s="1210"/>
      <c r="F393" s="1210"/>
      <c r="G393" s="1210"/>
      <c r="H393" s="1210"/>
      <c r="I393" s="1191"/>
      <c r="J393" s="1191"/>
      <c r="K393" s="1199"/>
      <c r="L393" s="1191"/>
      <c r="M393" s="1191"/>
      <c r="N393" s="1191"/>
      <c r="O393" s="1191"/>
      <c r="P393" s="1191"/>
      <c r="Q393" s="1191"/>
      <c r="R393" s="1199"/>
      <c r="S393" s="1191"/>
      <c r="T393" s="1191"/>
      <c r="U393" s="1191"/>
      <c r="V393" s="1191"/>
      <c r="W393" s="1191"/>
      <c r="X393" s="1191"/>
      <c r="Y393" s="1191"/>
      <c r="Z393" s="1191"/>
      <c r="AA393" s="1191"/>
      <c r="AB393" s="1191"/>
      <c r="AC393" s="1191"/>
      <c r="AD393" s="1210"/>
      <c r="AE393" s="1210"/>
      <c r="AF393" s="1210"/>
      <c r="AG393" s="1210"/>
      <c r="AH393" s="1210"/>
      <c r="AI393" s="1210"/>
      <c r="AJ393" s="1210"/>
      <c r="AK393" s="1210"/>
      <c r="AL393" s="1210"/>
      <c r="AM393" s="1210"/>
      <c r="AN393" s="1210"/>
    </row>
    <row r="394" spans="1:40" s="1179" customFormat="1">
      <c r="A394" s="1258"/>
      <c r="B394" s="1188"/>
      <c r="C394" s="1188"/>
      <c r="D394" s="1188"/>
      <c r="E394" s="1210"/>
      <c r="F394" s="1210"/>
      <c r="G394" s="1210"/>
      <c r="H394" s="1210"/>
      <c r="I394" s="1191"/>
      <c r="J394" s="1191"/>
      <c r="K394" s="1199"/>
      <c r="L394" s="1191"/>
      <c r="M394" s="1191"/>
      <c r="N394" s="1191"/>
      <c r="O394" s="1191"/>
      <c r="P394" s="1191"/>
      <c r="Q394" s="1191"/>
      <c r="R394" s="1199"/>
      <c r="S394" s="1191"/>
      <c r="T394" s="1191"/>
      <c r="U394" s="1191"/>
      <c r="V394" s="1191"/>
      <c r="W394" s="1191"/>
      <c r="X394" s="1191"/>
      <c r="Y394" s="1191"/>
      <c r="Z394" s="1191"/>
      <c r="AA394" s="1191"/>
      <c r="AB394" s="1191"/>
      <c r="AC394" s="1191"/>
      <c r="AD394" s="1210"/>
      <c r="AE394" s="1210"/>
      <c r="AF394" s="1210"/>
      <c r="AG394" s="1210"/>
      <c r="AH394" s="1210"/>
      <c r="AI394" s="1210"/>
      <c r="AJ394" s="1210"/>
      <c r="AK394" s="1210"/>
      <c r="AL394" s="1210"/>
      <c r="AM394" s="1210"/>
      <c r="AN394" s="1210"/>
    </row>
    <row r="395" spans="1:40" s="1179" customFormat="1">
      <c r="A395" s="1258"/>
      <c r="B395" s="1188"/>
      <c r="C395" s="1188"/>
      <c r="D395" s="1188"/>
      <c r="E395" s="1210"/>
      <c r="F395" s="1210"/>
      <c r="G395" s="1210"/>
      <c r="H395" s="1210"/>
      <c r="I395" s="1191"/>
      <c r="J395" s="1191"/>
      <c r="K395" s="1199"/>
      <c r="L395" s="1191"/>
      <c r="M395" s="1191"/>
      <c r="N395" s="1191"/>
      <c r="O395" s="1191"/>
      <c r="P395" s="1191"/>
      <c r="Q395" s="1191"/>
      <c r="R395" s="1199"/>
      <c r="S395" s="1191"/>
      <c r="T395" s="1191"/>
      <c r="U395" s="1191"/>
      <c r="V395" s="1191"/>
      <c r="W395" s="1191"/>
      <c r="X395" s="1191"/>
      <c r="Y395" s="1191"/>
      <c r="Z395" s="1191"/>
      <c r="AA395" s="1191"/>
      <c r="AB395" s="1191"/>
      <c r="AC395" s="1191"/>
      <c r="AD395" s="1210"/>
      <c r="AE395" s="1210"/>
      <c r="AF395" s="1210"/>
      <c r="AG395" s="1210"/>
      <c r="AH395" s="1210"/>
      <c r="AI395" s="1210"/>
      <c r="AJ395" s="1210"/>
      <c r="AK395" s="1210"/>
      <c r="AL395" s="1210"/>
      <c r="AM395" s="1210"/>
      <c r="AN395" s="1210"/>
    </row>
    <row r="396" spans="1:40" s="1179" customFormat="1">
      <c r="A396" s="1258"/>
      <c r="B396" s="1188"/>
      <c r="C396" s="1188"/>
      <c r="D396" s="1188"/>
      <c r="E396" s="1210"/>
      <c r="F396" s="1210"/>
      <c r="G396" s="1210"/>
      <c r="H396" s="1210"/>
      <c r="I396" s="1191"/>
      <c r="J396" s="1191"/>
      <c r="K396" s="1199"/>
      <c r="L396" s="1191"/>
      <c r="M396" s="1191"/>
      <c r="N396" s="1191"/>
      <c r="O396" s="1191"/>
      <c r="P396" s="1191"/>
      <c r="Q396" s="1191"/>
      <c r="R396" s="1199"/>
      <c r="S396" s="1191"/>
      <c r="T396" s="1191"/>
      <c r="U396" s="1191"/>
      <c r="V396" s="1191"/>
      <c r="W396" s="1191"/>
      <c r="X396" s="1191"/>
      <c r="Y396" s="1191"/>
      <c r="Z396" s="1191"/>
      <c r="AA396" s="1191"/>
      <c r="AB396" s="1191"/>
      <c r="AC396" s="1191"/>
      <c r="AD396" s="1210"/>
      <c r="AE396" s="1210"/>
      <c r="AF396" s="1210"/>
      <c r="AG396" s="1210"/>
      <c r="AH396" s="1210"/>
      <c r="AI396" s="1210"/>
      <c r="AJ396" s="1210"/>
      <c r="AK396" s="1210"/>
      <c r="AL396" s="1210"/>
      <c r="AM396" s="1210"/>
      <c r="AN396" s="1210"/>
    </row>
    <row r="397" spans="1:40" s="1179" customFormat="1">
      <c r="A397" s="1258"/>
      <c r="B397" s="1188"/>
      <c r="C397" s="1188"/>
      <c r="D397" s="1188"/>
      <c r="E397" s="1210"/>
      <c r="F397" s="1210"/>
      <c r="G397" s="1210"/>
      <c r="H397" s="1210"/>
      <c r="I397" s="1191"/>
      <c r="J397" s="1191"/>
      <c r="K397" s="1199"/>
      <c r="L397" s="1191"/>
      <c r="M397" s="1191"/>
      <c r="N397" s="1191"/>
      <c r="O397" s="1191"/>
      <c r="P397" s="1191"/>
      <c r="Q397" s="1191"/>
      <c r="R397" s="1199"/>
      <c r="S397" s="1191"/>
      <c r="T397" s="1191"/>
      <c r="U397" s="1191"/>
      <c r="V397" s="1191"/>
      <c r="W397" s="1191"/>
      <c r="X397" s="1191"/>
      <c r="Y397" s="1191"/>
      <c r="Z397" s="1191"/>
      <c r="AA397" s="1191"/>
      <c r="AB397" s="1191"/>
      <c r="AC397" s="1191"/>
      <c r="AD397" s="1210"/>
      <c r="AE397" s="1210"/>
      <c r="AF397" s="1210"/>
      <c r="AG397" s="1210"/>
      <c r="AH397" s="1210"/>
      <c r="AI397" s="1210"/>
      <c r="AJ397" s="1210"/>
      <c r="AK397" s="1210"/>
      <c r="AL397" s="1210"/>
      <c r="AM397" s="1210"/>
      <c r="AN397" s="1210"/>
    </row>
    <row r="398" spans="1:40" s="1179" customFormat="1">
      <c r="A398" s="1258"/>
      <c r="B398" s="1188"/>
      <c r="C398" s="1188"/>
      <c r="D398" s="1188"/>
      <c r="E398" s="1210"/>
      <c r="F398" s="1210"/>
      <c r="G398" s="1210"/>
      <c r="H398" s="1210"/>
      <c r="I398" s="1191"/>
      <c r="J398" s="1191"/>
      <c r="K398" s="1199"/>
      <c r="L398" s="1191"/>
      <c r="M398" s="1191"/>
      <c r="N398" s="1191"/>
      <c r="O398" s="1191"/>
      <c r="P398" s="1191"/>
      <c r="Q398" s="1191"/>
      <c r="R398" s="1199"/>
      <c r="S398" s="1191"/>
      <c r="T398" s="1191"/>
      <c r="U398" s="1191"/>
      <c r="V398" s="1191"/>
      <c r="W398" s="1191"/>
      <c r="X398" s="1191"/>
      <c r="Y398" s="1191"/>
      <c r="Z398" s="1191"/>
      <c r="AA398" s="1191"/>
      <c r="AB398" s="1191"/>
      <c r="AC398" s="1191"/>
      <c r="AD398" s="1210"/>
      <c r="AE398" s="1210"/>
      <c r="AF398" s="1210"/>
      <c r="AG398" s="1210"/>
      <c r="AH398" s="1210"/>
      <c r="AI398" s="1210"/>
      <c r="AJ398" s="1210"/>
      <c r="AK398" s="1210"/>
      <c r="AL398" s="1210"/>
      <c r="AM398" s="1210"/>
      <c r="AN398" s="1210"/>
    </row>
    <row r="399" spans="1:40" s="1179" customFormat="1">
      <c r="A399" s="1258"/>
      <c r="B399" s="1188"/>
      <c r="C399" s="1188"/>
      <c r="D399" s="1188"/>
      <c r="E399" s="1210"/>
      <c r="F399" s="1210"/>
      <c r="G399" s="1210"/>
      <c r="H399" s="1210"/>
      <c r="I399" s="1191"/>
      <c r="J399" s="1191"/>
      <c r="K399" s="1199"/>
      <c r="L399" s="1191"/>
      <c r="M399" s="1191"/>
      <c r="N399" s="1191"/>
      <c r="O399" s="1191"/>
      <c r="P399" s="1191"/>
      <c r="Q399" s="1191"/>
      <c r="R399" s="1199"/>
      <c r="S399" s="1191"/>
      <c r="T399" s="1191"/>
      <c r="U399" s="1191"/>
      <c r="V399" s="1191"/>
      <c r="W399" s="1191"/>
      <c r="X399" s="1191"/>
      <c r="Y399" s="1191"/>
      <c r="Z399" s="1191"/>
      <c r="AA399" s="1191"/>
      <c r="AB399" s="1191"/>
      <c r="AC399" s="1191"/>
      <c r="AD399" s="1210"/>
      <c r="AE399" s="1210"/>
      <c r="AF399" s="1210"/>
      <c r="AG399" s="1210"/>
      <c r="AH399" s="1210"/>
      <c r="AI399" s="1210"/>
      <c r="AJ399" s="1210"/>
      <c r="AK399" s="1210"/>
      <c r="AL399" s="1210"/>
      <c r="AM399" s="1210"/>
      <c r="AN399" s="1210"/>
    </row>
    <row r="400" spans="1:40" s="1179" customFormat="1">
      <c r="A400" s="1258"/>
      <c r="B400" s="1188"/>
      <c r="C400" s="1188"/>
      <c r="D400" s="1188"/>
      <c r="E400" s="1210"/>
      <c r="F400" s="1210"/>
      <c r="G400" s="1210"/>
      <c r="H400" s="1210"/>
      <c r="I400" s="1191"/>
      <c r="J400" s="1191"/>
      <c r="K400" s="1199"/>
      <c r="L400" s="1191"/>
      <c r="M400" s="1191"/>
      <c r="N400" s="1191"/>
      <c r="O400" s="1191"/>
      <c r="P400" s="1191"/>
      <c r="Q400" s="1191"/>
      <c r="R400" s="1199"/>
      <c r="S400" s="1191"/>
      <c r="T400" s="1191"/>
      <c r="U400" s="1191"/>
      <c r="V400" s="1191"/>
      <c r="W400" s="1191"/>
      <c r="X400" s="1191"/>
      <c r="Y400" s="1191"/>
      <c r="Z400" s="1191"/>
      <c r="AA400" s="1191"/>
      <c r="AB400" s="1191"/>
      <c r="AC400" s="1191"/>
      <c r="AD400" s="1210"/>
      <c r="AE400" s="1210"/>
      <c r="AF400" s="1210"/>
      <c r="AG400" s="1210"/>
      <c r="AH400" s="1210"/>
      <c r="AI400" s="1210"/>
      <c r="AJ400" s="1210"/>
      <c r="AK400" s="1210"/>
      <c r="AL400" s="1210"/>
      <c r="AM400" s="1210"/>
      <c r="AN400" s="1210"/>
    </row>
    <row r="401" spans="1:40" s="1179" customFormat="1">
      <c r="A401" s="1258"/>
      <c r="B401" s="1188"/>
      <c r="C401" s="1188"/>
      <c r="D401" s="1188"/>
      <c r="E401" s="1210"/>
      <c r="F401" s="1210"/>
      <c r="G401" s="1210"/>
      <c r="H401" s="1210"/>
      <c r="I401" s="1191"/>
      <c r="J401" s="1191"/>
      <c r="K401" s="1199"/>
      <c r="L401" s="1191"/>
      <c r="M401" s="1191"/>
      <c r="N401" s="1191"/>
      <c r="O401" s="1191"/>
      <c r="P401" s="1191"/>
      <c r="Q401" s="1191"/>
      <c r="R401" s="1199"/>
      <c r="S401" s="1191"/>
      <c r="T401" s="1191"/>
      <c r="U401" s="1191"/>
      <c r="V401" s="1191"/>
      <c r="W401" s="1191"/>
      <c r="X401" s="1191"/>
      <c r="Y401" s="1191"/>
      <c r="Z401" s="1191"/>
      <c r="AA401" s="1191"/>
      <c r="AB401" s="1191"/>
      <c r="AC401" s="1191"/>
      <c r="AD401" s="1210"/>
      <c r="AE401" s="1210"/>
      <c r="AF401" s="1210"/>
      <c r="AG401" s="1210"/>
      <c r="AH401" s="1210"/>
      <c r="AI401" s="1210"/>
      <c r="AJ401" s="1210"/>
      <c r="AK401" s="1210"/>
      <c r="AL401" s="1210"/>
      <c r="AM401" s="1210"/>
      <c r="AN401" s="1210"/>
    </row>
    <row r="402" spans="1:40" s="1179" customFormat="1">
      <c r="A402" s="1258"/>
      <c r="B402" s="1188"/>
      <c r="C402" s="1188"/>
      <c r="D402" s="1188"/>
      <c r="E402" s="1210"/>
      <c r="F402" s="1210"/>
      <c r="G402" s="1210"/>
      <c r="H402" s="1210"/>
      <c r="I402" s="1191"/>
      <c r="J402" s="1191"/>
      <c r="K402" s="1199"/>
      <c r="L402" s="1191"/>
      <c r="M402" s="1191"/>
      <c r="N402" s="1191"/>
      <c r="O402" s="1191"/>
      <c r="P402" s="1191"/>
      <c r="Q402" s="1191"/>
      <c r="R402" s="1199"/>
      <c r="S402" s="1191"/>
      <c r="T402" s="1191"/>
      <c r="U402" s="1191"/>
      <c r="V402" s="1191"/>
      <c r="W402" s="1191"/>
      <c r="X402" s="1191"/>
      <c r="Y402" s="1191"/>
      <c r="Z402" s="1191"/>
      <c r="AA402" s="1191"/>
      <c r="AB402" s="1191"/>
      <c r="AC402" s="1191"/>
      <c r="AD402" s="1210"/>
      <c r="AE402" s="1210"/>
      <c r="AF402" s="1210"/>
      <c r="AG402" s="1210"/>
      <c r="AH402" s="1210"/>
      <c r="AI402" s="1210"/>
      <c r="AJ402" s="1210"/>
      <c r="AK402" s="1210"/>
      <c r="AL402" s="1210"/>
      <c r="AM402" s="1210"/>
      <c r="AN402" s="1210"/>
    </row>
    <row r="403" spans="1:40" s="1179" customFormat="1">
      <c r="A403" s="1258"/>
      <c r="B403" s="1188"/>
      <c r="C403" s="1188"/>
      <c r="D403" s="1188"/>
      <c r="E403" s="1210"/>
      <c r="F403" s="1210"/>
      <c r="G403" s="1210"/>
      <c r="H403" s="1210"/>
      <c r="I403" s="1191"/>
      <c r="J403" s="1191"/>
      <c r="K403" s="1199"/>
      <c r="L403" s="1191"/>
      <c r="M403" s="1191"/>
      <c r="N403" s="1191"/>
      <c r="O403" s="1191"/>
      <c r="P403" s="1191"/>
      <c r="Q403" s="1191"/>
      <c r="R403" s="1199"/>
      <c r="S403" s="1191"/>
      <c r="T403" s="1191"/>
      <c r="U403" s="1191"/>
      <c r="V403" s="1191"/>
      <c r="W403" s="1191"/>
      <c r="X403" s="1191"/>
      <c r="Y403" s="1191"/>
      <c r="Z403" s="1191"/>
      <c r="AA403" s="1191"/>
      <c r="AB403" s="1191"/>
      <c r="AC403" s="1191"/>
      <c r="AD403" s="1210"/>
      <c r="AE403" s="1210"/>
      <c r="AF403" s="1210"/>
      <c r="AG403" s="1210"/>
      <c r="AH403" s="1210"/>
      <c r="AI403" s="1210"/>
      <c r="AJ403" s="1210"/>
      <c r="AK403" s="1210"/>
      <c r="AL403" s="1210"/>
      <c r="AM403" s="1210"/>
      <c r="AN403" s="1210"/>
    </row>
    <row r="404" spans="1:40" s="1179" customFormat="1">
      <c r="A404" s="1258"/>
      <c r="B404" s="1188"/>
      <c r="C404" s="1188"/>
      <c r="D404" s="1188"/>
      <c r="E404" s="1210"/>
      <c r="F404" s="1210"/>
      <c r="G404" s="1210"/>
      <c r="H404" s="1210"/>
      <c r="I404" s="1191"/>
      <c r="J404" s="1191"/>
      <c r="K404" s="1199"/>
      <c r="L404" s="1191"/>
      <c r="M404" s="1191"/>
      <c r="N404" s="1191"/>
      <c r="O404" s="1191"/>
      <c r="P404" s="1191"/>
      <c r="Q404" s="1191"/>
      <c r="R404" s="1199"/>
      <c r="S404" s="1191"/>
      <c r="T404" s="1191"/>
      <c r="U404" s="1191"/>
      <c r="V404" s="1191"/>
      <c r="W404" s="1191"/>
      <c r="X404" s="1191"/>
      <c r="Y404" s="1191"/>
      <c r="Z404" s="1191"/>
      <c r="AA404" s="1191"/>
      <c r="AB404" s="1191"/>
      <c r="AC404" s="1191"/>
      <c r="AD404" s="1210"/>
      <c r="AE404" s="1210"/>
      <c r="AF404" s="1210"/>
      <c r="AG404" s="1210"/>
      <c r="AH404" s="1210"/>
      <c r="AI404" s="1210"/>
      <c r="AJ404" s="1210"/>
      <c r="AK404" s="1210"/>
      <c r="AL404" s="1210"/>
      <c r="AM404" s="1210"/>
      <c r="AN404" s="1210"/>
    </row>
    <row r="405" spans="1:40" s="1179" customFormat="1">
      <c r="A405" s="1258"/>
      <c r="B405" s="1188"/>
      <c r="C405" s="1188"/>
      <c r="D405" s="1188"/>
      <c r="E405" s="1210"/>
      <c r="F405" s="1210"/>
      <c r="G405" s="1210"/>
      <c r="H405" s="1210"/>
      <c r="I405" s="1191"/>
      <c r="J405" s="1191"/>
      <c r="K405" s="1199"/>
      <c r="L405" s="1191"/>
      <c r="M405" s="1191"/>
      <c r="N405" s="1191"/>
      <c r="O405" s="1191"/>
      <c r="P405" s="1191"/>
      <c r="Q405" s="1191"/>
      <c r="R405" s="1199"/>
      <c r="S405" s="1191"/>
      <c r="T405" s="1191"/>
      <c r="U405" s="1191"/>
      <c r="V405" s="1191"/>
      <c r="W405" s="1191"/>
      <c r="X405" s="1191"/>
      <c r="Y405" s="1191"/>
      <c r="Z405" s="1191"/>
      <c r="AA405" s="1191"/>
      <c r="AB405" s="1191"/>
      <c r="AC405" s="1191"/>
      <c r="AD405" s="1210"/>
      <c r="AE405" s="1210"/>
      <c r="AF405" s="1210"/>
      <c r="AG405" s="1210"/>
      <c r="AH405" s="1210"/>
      <c r="AI405" s="1210"/>
      <c r="AJ405" s="1210"/>
      <c r="AK405" s="1210"/>
      <c r="AL405" s="1210"/>
      <c r="AM405" s="1210"/>
      <c r="AN405" s="1210"/>
    </row>
    <row r="406" spans="1:40" s="1179" customFormat="1">
      <c r="A406" s="1258"/>
      <c r="B406" s="1188"/>
      <c r="C406" s="1188"/>
      <c r="D406" s="1188"/>
      <c r="E406" s="1210"/>
      <c r="F406" s="1210"/>
      <c r="G406" s="1210"/>
      <c r="H406" s="1210"/>
      <c r="I406" s="1191"/>
      <c r="J406" s="1191"/>
      <c r="K406" s="1199"/>
      <c r="L406" s="1191"/>
      <c r="M406" s="1191"/>
      <c r="N406" s="1191"/>
      <c r="O406" s="1191"/>
      <c r="P406" s="1191"/>
      <c r="Q406" s="1191"/>
      <c r="R406" s="1199"/>
      <c r="S406" s="1191"/>
      <c r="T406" s="1191"/>
      <c r="U406" s="1191"/>
      <c r="V406" s="1191"/>
      <c r="W406" s="1191"/>
      <c r="X406" s="1191"/>
      <c r="Y406" s="1191"/>
      <c r="Z406" s="1191"/>
      <c r="AA406" s="1191"/>
      <c r="AB406" s="1191"/>
      <c r="AC406" s="1191"/>
      <c r="AD406" s="1210"/>
      <c r="AE406" s="1210"/>
      <c r="AF406" s="1210"/>
      <c r="AG406" s="1210"/>
      <c r="AH406" s="1210"/>
      <c r="AI406" s="1210"/>
      <c r="AJ406" s="1210"/>
      <c r="AK406" s="1210"/>
      <c r="AL406" s="1210"/>
      <c r="AM406" s="1210"/>
      <c r="AN406" s="1210"/>
    </row>
    <row r="407" spans="1:40" s="1179" customFormat="1">
      <c r="A407" s="1258"/>
      <c r="B407" s="1188"/>
      <c r="C407" s="1188"/>
      <c r="D407" s="1188"/>
      <c r="E407" s="1210"/>
      <c r="F407" s="1210"/>
      <c r="G407" s="1210"/>
      <c r="H407" s="1210"/>
      <c r="I407" s="1191"/>
      <c r="J407" s="1191"/>
      <c r="K407" s="1199"/>
      <c r="L407" s="1191"/>
      <c r="M407" s="1191"/>
      <c r="N407" s="1191"/>
      <c r="O407" s="1191"/>
      <c r="P407" s="1191"/>
      <c r="Q407" s="1191"/>
      <c r="R407" s="1199"/>
      <c r="S407" s="1191"/>
      <c r="T407" s="1191"/>
      <c r="U407" s="1191"/>
      <c r="V407" s="1191"/>
      <c r="W407" s="1191"/>
      <c r="X407" s="1191"/>
      <c r="Y407" s="1191"/>
      <c r="Z407" s="1191"/>
      <c r="AA407" s="1191"/>
      <c r="AB407" s="1191"/>
      <c r="AC407" s="1191"/>
      <c r="AD407" s="1210"/>
      <c r="AE407" s="1210"/>
      <c r="AF407" s="1210"/>
      <c r="AG407" s="1210"/>
      <c r="AH407" s="1210"/>
      <c r="AI407" s="1210"/>
      <c r="AJ407" s="1210"/>
      <c r="AK407" s="1210"/>
      <c r="AL407" s="1210"/>
      <c r="AM407" s="1210"/>
      <c r="AN407" s="1210"/>
    </row>
    <row r="408" spans="1:40" s="1179" customFormat="1">
      <c r="A408" s="1258"/>
      <c r="B408" s="1188"/>
      <c r="C408" s="1188"/>
      <c r="D408" s="1188"/>
      <c r="E408" s="1210"/>
      <c r="F408" s="1210"/>
      <c r="G408" s="1210"/>
      <c r="H408" s="1210"/>
      <c r="I408" s="1191"/>
      <c r="J408" s="1191"/>
      <c r="K408" s="1199"/>
      <c r="L408" s="1191"/>
      <c r="M408" s="1191"/>
      <c r="N408" s="1191"/>
      <c r="O408" s="1191"/>
      <c r="P408" s="1191"/>
      <c r="Q408" s="1191"/>
      <c r="R408" s="1199"/>
      <c r="S408" s="1191"/>
      <c r="T408" s="1191"/>
      <c r="U408" s="1191"/>
      <c r="V408" s="1191"/>
      <c r="W408" s="1191"/>
      <c r="X408" s="1191"/>
      <c r="Y408" s="1191"/>
      <c r="Z408" s="1191"/>
      <c r="AA408" s="1191"/>
      <c r="AB408" s="1191"/>
      <c r="AC408" s="1191"/>
      <c r="AD408" s="1210"/>
      <c r="AE408" s="1210"/>
      <c r="AF408" s="1210"/>
      <c r="AG408" s="1210"/>
      <c r="AH408" s="1210"/>
      <c r="AI408" s="1210"/>
      <c r="AJ408" s="1210"/>
      <c r="AK408" s="1210"/>
      <c r="AL408" s="1210"/>
      <c r="AM408" s="1210"/>
      <c r="AN408" s="1210"/>
    </row>
    <row r="409" spans="1:40" s="1179" customFormat="1">
      <c r="A409" s="1258"/>
      <c r="B409" s="1188"/>
      <c r="C409" s="1188"/>
      <c r="D409" s="1188"/>
      <c r="E409" s="1210"/>
      <c r="F409" s="1210"/>
      <c r="G409" s="1210"/>
      <c r="H409" s="1210"/>
      <c r="I409" s="1191"/>
      <c r="J409" s="1191"/>
      <c r="K409" s="1199"/>
      <c r="L409" s="1191"/>
      <c r="M409" s="1191"/>
      <c r="N409" s="1191"/>
      <c r="O409" s="1191"/>
      <c r="P409" s="1191"/>
      <c r="Q409" s="1191"/>
      <c r="R409" s="1199"/>
      <c r="S409" s="1191"/>
      <c r="T409" s="1191"/>
      <c r="U409" s="1191"/>
      <c r="V409" s="1191"/>
      <c r="W409" s="1191"/>
      <c r="X409" s="1191"/>
      <c r="Y409" s="1191"/>
      <c r="Z409" s="1191"/>
      <c r="AA409" s="1191"/>
      <c r="AB409" s="1191"/>
      <c r="AC409" s="1191"/>
      <c r="AD409" s="1210"/>
      <c r="AE409" s="1210"/>
      <c r="AF409" s="1210"/>
      <c r="AG409" s="1210"/>
      <c r="AH409" s="1210"/>
      <c r="AI409" s="1210"/>
      <c r="AJ409" s="1210"/>
      <c r="AK409" s="1210"/>
      <c r="AL409" s="1210"/>
      <c r="AM409" s="1210"/>
      <c r="AN409" s="1210"/>
    </row>
    <row r="410" spans="1:40" s="1179" customFormat="1">
      <c r="A410" s="1258"/>
      <c r="B410" s="1188"/>
      <c r="C410" s="1188"/>
      <c r="D410" s="1188"/>
      <c r="E410" s="1210"/>
      <c r="F410" s="1210"/>
      <c r="G410" s="1210"/>
      <c r="H410" s="1210"/>
      <c r="I410" s="1191"/>
      <c r="J410" s="1191"/>
      <c r="K410" s="1199"/>
      <c r="L410" s="1191"/>
      <c r="M410" s="1191"/>
      <c r="N410" s="1191"/>
      <c r="O410" s="1191"/>
      <c r="P410" s="1191"/>
      <c r="Q410" s="1191"/>
      <c r="R410" s="1199"/>
      <c r="S410" s="1191"/>
      <c r="T410" s="1191"/>
      <c r="U410" s="1191"/>
      <c r="V410" s="1191"/>
      <c r="W410" s="1191"/>
      <c r="X410" s="1191"/>
      <c r="Y410" s="1191"/>
      <c r="Z410" s="1191"/>
      <c r="AA410" s="1191"/>
      <c r="AB410" s="1191"/>
      <c r="AC410" s="1191"/>
      <c r="AD410" s="1210"/>
      <c r="AE410" s="1210"/>
      <c r="AF410" s="1210"/>
      <c r="AG410" s="1210"/>
      <c r="AH410" s="1210"/>
      <c r="AI410" s="1210"/>
      <c r="AJ410" s="1210"/>
      <c r="AK410" s="1210"/>
      <c r="AL410" s="1210"/>
      <c r="AM410" s="1210"/>
      <c r="AN410" s="1210"/>
    </row>
    <row r="411" spans="1:40" s="1179" customFormat="1">
      <c r="A411" s="1258"/>
      <c r="B411" s="1188"/>
      <c r="C411" s="1188"/>
      <c r="D411" s="1188"/>
      <c r="E411" s="1210"/>
      <c r="F411" s="1210"/>
      <c r="G411" s="1210"/>
      <c r="H411" s="1210"/>
      <c r="I411" s="1191"/>
      <c r="J411" s="1191"/>
      <c r="K411" s="1199"/>
      <c r="L411" s="1191"/>
      <c r="M411" s="1191"/>
      <c r="N411" s="1191"/>
      <c r="O411" s="1191"/>
      <c r="P411" s="1191"/>
      <c r="Q411" s="1191"/>
      <c r="R411" s="1199"/>
      <c r="S411" s="1191"/>
      <c r="T411" s="1191"/>
      <c r="U411" s="1191"/>
      <c r="V411" s="1191"/>
      <c r="W411" s="1191"/>
      <c r="X411" s="1191"/>
      <c r="Y411" s="1191"/>
      <c r="Z411" s="1191"/>
      <c r="AA411" s="1191"/>
      <c r="AB411" s="1191"/>
      <c r="AC411" s="1191"/>
      <c r="AD411" s="1210"/>
      <c r="AE411" s="1210"/>
      <c r="AF411" s="1210"/>
      <c r="AG411" s="1210"/>
      <c r="AH411" s="1210"/>
      <c r="AI411" s="1210"/>
      <c r="AJ411" s="1210"/>
      <c r="AK411" s="1210"/>
      <c r="AL411" s="1210"/>
      <c r="AM411" s="1210"/>
      <c r="AN411" s="1210"/>
    </row>
    <row r="412" spans="1:40" s="1179" customFormat="1">
      <c r="A412" s="1258"/>
      <c r="B412" s="1188"/>
      <c r="C412" s="1188"/>
      <c r="D412" s="1188"/>
      <c r="E412" s="1210"/>
      <c r="F412" s="1210"/>
      <c r="G412" s="1210"/>
      <c r="H412" s="1210"/>
      <c r="I412" s="1191"/>
      <c r="J412" s="1191"/>
      <c r="K412" s="1199"/>
      <c r="L412" s="1191"/>
      <c r="M412" s="1191"/>
      <c r="N412" s="1191"/>
      <c r="O412" s="1191"/>
      <c r="P412" s="1191"/>
      <c r="Q412" s="1191"/>
      <c r="R412" s="1199"/>
      <c r="S412" s="1191"/>
      <c r="T412" s="1191"/>
      <c r="U412" s="1191"/>
      <c r="V412" s="1191"/>
      <c r="W412" s="1191"/>
      <c r="X412" s="1191"/>
      <c r="Y412" s="1191"/>
      <c r="Z412" s="1191"/>
      <c r="AA412" s="1191"/>
      <c r="AB412" s="1191"/>
      <c r="AC412" s="1191"/>
      <c r="AD412" s="1210"/>
      <c r="AE412" s="1210"/>
      <c r="AF412" s="1210"/>
      <c r="AG412" s="1210"/>
      <c r="AH412" s="1210"/>
      <c r="AI412" s="1210"/>
      <c r="AJ412" s="1210"/>
      <c r="AK412" s="1210"/>
      <c r="AL412" s="1210"/>
      <c r="AM412" s="1210"/>
      <c r="AN412" s="1210"/>
    </row>
    <row r="413" spans="1:40" s="1179" customFormat="1">
      <c r="A413" s="1258"/>
      <c r="B413" s="1188"/>
      <c r="C413" s="1188"/>
      <c r="D413" s="1188"/>
      <c r="E413" s="1210"/>
      <c r="F413" s="1210"/>
      <c r="G413" s="1210"/>
      <c r="H413" s="1210"/>
      <c r="I413" s="1191"/>
      <c r="J413" s="1191"/>
      <c r="K413" s="1199"/>
      <c r="L413" s="1191"/>
      <c r="M413" s="1191"/>
      <c r="N413" s="1191"/>
      <c r="O413" s="1191"/>
      <c r="P413" s="1191"/>
      <c r="Q413" s="1191"/>
      <c r="R413" s="1199"/>
      <c r="S413" s="1191"/>
      <c r="T413" s="1191"/>
      <c r="U413" s="1191"/>
      <c r="V413" s="1191"/>
      <c r="W413" s="1191"/>
      <c r="X413" s="1191"/>
      <c r="Y413" s="1191"/>
      <c r="Z413" s="1191"/>
      <c r="AA413" s="1191"/>
      <c r="AB413" s="1191"/>
      <c r="AC413" s="1191"/>
      <c r="AD413" s="1210"/>
      <c r="AE413" s="1210"/>
      <c r="AF413" s="1210"/>
      <c r="AG413" s="1210"/>
      <c r="AH413" s="1210"/>
      <c r="AI413" s="1210"/>
      <c r="AJ413" s="1210"/>
      <c r="AK413" s="1210"/>
      <c r="AL413" s="1210"/>
      <c r="AM413" s="1210"/>
      <c r="AN413" s="1210"/>
    </row>
    <row r="414" spans="1:40" s="1179" customFormat="1">
      <c r="A414" s="1258"/>
      <c r="B414" s="1188"/>
      <c r="C414" s="1188"/>
      <c r="D414" s="1188"/>
      <c r="E414" s="1210"/>
      <c r="F414" s="1210"/>
      <c r="G414" s="1210"/>
      <c r="H414" s="1210"/>
      <c r="I414" s="1191"/>
      <c r="J414" s="1191"/>
      <c r="K414" s="1199"/>
      <c r="L414" s="1191"/>
      <c r="M414" s="1191"/>
      <c r="N414" s="1191"/>
      <c r="O414" s="1191"/>
      <c r="P414" s="1191"/>
      <c r="Q414" s="1191"/>
      <c r="R414" s="1199"/>
      <c r="S414" s="1191"/>
      <c r="T414" s="1191"/>
      <c r="U414" s="1191"/>
      <c r="V414" s="1191"/>
      <c r="W414" s="1191"/>
      <c r="X414" s="1191"/>
      <c r="Y414" s="1191"/>
      <c r="Z414" s="1191"/>
      <c r="AA414" s="1191"/>
      <c r="AB414" s="1191"/>
      <c r="AC414" s="1191"/>
      <c r="AD414" s="1210"/>
      <c r="AE414" s="1210"/>
      <c r="AF414" s="1210"/>
      <c r="AG414" s="1210"/>
      <c r="AH414" s="1210"/>
      <c r="AI414" s="1210"/>
      <c r="AJ414" s="1210"/>
      <c r="AK414" s="1210"/>
      <c r="AL414" s="1210"/>
      <c r="AM414" s="1210"/>
      <c r="AN414" s="1210"/>
    </row>
    <row r="415" spans="1:40" s="1179" customFormat="1">
      <c r="A415" s="1258"/>
      <c r="B415" s="1188"/>
      <c r="C415" s="1188"/>
      <c r="D415" s="1188"/>
      <c r="E415" s="1210"/>
      <c r="F415" s="1210"/>
      <c r="G415" s="1210"/>
      <c r="H415" s="1210"/>
      <c r="I415" s="1191"/>
      <c r="J415" s="1191"/>
      <c r="K415" s="1199"/>
      <c r="L415" s="1191"/>
      <c r="M415" s="1191"/>
      <c r="N415" s="1191"/>
      <c r="O415" s="1191"/>
      <c r="P415" s="1191"/>
      <c r="Q415" s="1191"/>
      <c r="R415" s="1199"/>
      <c r="S415" s="1191"/>
      <c r="T415" s="1191"/>
      <c r="U415" s="1191"/>
      <c r="V415" s="1191"/>
      <c r="W415" s="1191"/>
      <c r="X415" s="1191"/>
      <c r="Y415" s="1191"/>
      <c r="Z415" s="1191"/>
      <c r="AA415" s="1191"/>
      <c r="AB415" s="1191"/>
      <c r="AC415" s="1191"/>
      <c r="AD415" s="1210"/>
      <c r="AE415" s="1210"/>
      <c r="AF415" s="1210"/>
      <c r="AG415" s="1210"/>
      <c r="AH415" s="1210"/>
      <c r="AI415" s="1210"/>
      <c r="AJ415" s="1210"/>
      <c r="AK415" s="1210"/>
      <c r="AL415" s="1210"/>
      <c r="AM415" s="1210"/>
      <c r="AN415" s="1210"/>
    </row>
    <row r="416" spans="1:40" s="1179" customFormat="1">
      <c r="A416" s="1258"/>
      <c r="B416" s="1188"/>
      <c r="C416" s="1188"/>
      <c r="D416" s="1188"/>
      <c r="E416" s="1210"/>
      <c r="F416" s="1210"/>
      <c r="G416" s="1210"/>
      <c r="H416" s="1210"/>
      <c r="I416" s="1191"/>
      <c r="J416" s="1191"/>
      <c r="K416" s="1199"/>
      <c r="L416" s="1191"/>
      <c r="M416" s="1191"/>
      <c r="N416" s="1191"/>
      <c r="O416" s="1191"/>
      <c r="P416" s="1191"/>
      <c r="Q416" s="1191"/>
      <c r="R416" s="1199"/>
      <c r="S416" s="1191"/>
      <c r="T416" s="1191"/>
      <c r="U416" s="1191"/>
      <c r="V416" s="1191"/>
      <c r="W416" s="1191"/>
      <c r="X416" s="1191"/>
      <c r="Y416" s="1191"/>
      <c r="Z416" s="1191"/>
      <c r="AA416" s="1191"/>
      <c r="AB416" s="1191"/>
      <c r="AC416" s="1191"/>
      <c r="AD416" s="1210"/>
      <c r="AE416" s="1210"/>
      <c r="AF416" s="1210"/>
      <c r="AG416" s="1210"/>
      <c r="AH416" s="1210"/>
      <c r="AI416" s="1210"/>
      <c r="AJ416" s="1210"/>
      <c r="AK416" s="1210"/>
      <c r="AL416" s="1210"/>
      <c r="AM416" s="1210"/>
      <c r="AN416" s="1210"/>
    </row>
    <row r="417" spans="1:40" s="1179" customFormat="1">
      <c r="A417" s="1258"/>
      <c r="B417" s="1188"/>
      <c r="C417" s="1188"/>
      <c r="D417" s="1188"/>
      <c r="E417" s="1210"/>
      <c r="F417" s="1210"/>
      <c r="G417" s="1210"/>
      <c r="H417" s="1210"/>
      <c r="I417" s="1191"/>
      <c r="J417" s="1191"/>
      <c r="K417" s="1199"/>
      <c r="L417" s="1191"/>
      <c r="M417" s="1191"/>
      <c r="N417" s="1191"/>
      <c r="O417" s="1191"/>
      <c r="P417" s="1191"/>
      <c r="Q417" s="1191"/>
      <c r="R417" s="1199"/>
      <c r="S417" s="1191"/>
      <c r="T417" s="1191"/>
      <c r="U417" s="1191"/>
      <c r="V417" s="1191"/>
      <c r="W417" s="1191"/>
      <c r="X417" s="1191"/>
      <c r="Y417" s="1191"/>
      <c r="Z417" s="1191"/>
      <c r="AA417" s="1191"/>
      <c r="AB417" s="1191"/>
      <c r="AC417" s="1191"/>
      <c r="AD417" s="1210"/>
      <c r="AE417" s="1210"/>
      <c r="AF417" s="1210"/>
      <c r="AG417" s="1210"/>
      <c r="AH417" s="1210"/>
      <c r="AI417" s="1210"/>
      <c r="AJ417" s="1210"/>
      <c r="AK417" s="1210"/>
      <c r="AL417" s="1210"/>
      <c r="AM417" s="1210"/>
      <c r="AN417" s="1210"/>
    </row>
    <row r="418" spans="1:40" s="1179" customFormat="1">
      <c r="A418" s="1258"/>
      <c r="B418" s="1188"/>
      <c r="C418" s="1188"/>
      <c r="D418" s="1188"/>
      <c r="E418" s="1210"/>
      <c r="F418" s="1210"/>
      <c r="G418" s="1210"/>
      <c r="H418" s="1210"/>
      <c r="I418" s="1191"/>
      <c r="J418" s="1191"/>
      <c r="K418" s="1199"/>
      <c r="L418" s="1191"/>
      <c r="M418" s="1191"/>
      <c r="N418" s="1191"/>
      <c r="O418" s="1191"/>
      <c r="P418" s="1191"/>
      <c r="Q418" s="1191"/>
      <c r="R418" s="1199"/>
      <c r="S418" s="1191"/>
      <c r="T418" s="1191"/>
      <c r="U418" s="1191"/>
      <c r="V418" s="1191"/>
      <c r="W418" s="1191"/>
      <c r="X418" s="1191"/>
      <c r="Y418" s="1191"/>
      <c r="Z418" s="1191"/>
      <c r="AA418" s="1191"/>
      <c r="AB418" s="1191"/>
      <c r="AC418" s="1191"/>
      <c r="AD418" s="1210"/>
      <c r="AE418" s="1210"/>
      <c r="AF418" s="1210"/>
      <c r="AG418" s="1210"/>
      <c r="AH418" s="1210"/>
      <c r="AI418" s="1210"/>
      <c r="AJ418" s="1210"/>
      <c r="AK418" s="1210"/>
      <c r="AL418" s="1210"/>
      <c r="AM418" s="1210"/>
      <c r="AN418" s="1210"/>
    </row>
    <row r="419" spans="1:40" s="1179" customFormat="1">
      <c r="A419" s="1258"/>
      <c r="B419" s="1188"/>
      <c r="C419" s="1188"/>
      <c r="D419" s="1188"/>
      <c r="E419" s="1210"/>
      <c r="F419" s="1210"/>
      <c r="G419" s="1210"/>
      <c r="H419" s="1210"/>
      <c r="I419" s="1191"/>
      <c r="J419" s="1191"/>
      <c r="K419" s="1199"/>
      <c r="L419" s="1191"/>
      <c r="M419" s="1191"/>
      <c r="N419" s="1191"/>
      <c r="O419" s="1191"/>
      <c r="P419" s="1191"/>
      <c r="Q419" s="1191"/>
      <c r="R419" s="1199"/>
      <c r="S419" s="1191"/>
      <c r="T419" s="1191"/>
      <c r="U419" s="1191"/>
      <c r="V419" s="1191"/>
      <c r="W419" s="1191"/>
      <c r="X419" s="1191"/>
      <c r="Y419" s="1191"/>
      <c r="Z419" s="1191"/>
      <c r="AA419" s="1191"/>
      <c r="AB419" s="1191"/>
      <c r="AC419" s="1191"/>
      <c r="AD419" s="1210"/>
      <c r="AE419" s="1210"/>
      <c r="AF419" s="1210"/>
      <c r="AG419" s="1210"/>
      <c r="AH419" s="1210"/>
      <c r="AI419" s="1210"/>
      <c r="AJ419" s="1210"/>
      <c r="AK419" s="1210"/>
      <c r="AL419" s="1210"/>
      <c r="AM419" s="1210"/>
      <c r="AN419" s="1210"/>
    </row>
    <row r="420" spans="1:40" s="1179" customFormat="1">
      <c r="A420" s="1258"/>
      <c r="B420" s="1188"/>
      <c r="C420" s="1188"/>
      <c r="D420" s="1188"/>
      <c r="E420" s="1210"/>
      <c r="F420" s="1210"/>
      <c r="G420" s="1210"/>
      <c r="H420" s="1210"/>
      <c r="I420" s="1191"/>
      <c r="J420" s="1191"/>
      <c r="K420" s="1199"/>
      <c r="L420" s="1191"/>
      <c r="M420" s="1191"/>
      <c r="N420" s="1191"/>
      <c r="O420" s="1191"/>
      <c r="P420" s="1191"/>
      <c r="Q420" s="1191"/>
      <c r="R420" s="1199"/>
      <c r="S420" s="1191"/>
      <c r="T420" s="1191"/>
      <c r="U420" s="1191"/>
      <c r="V420" s="1191"/>
      <c r="W420" s="1191"/>
      <c r="X420" s="1191"/>
      <c r="Y420" s="1191"/>
      <c r="Z420" s="1191"/>
      <c r="AA420" s="1191"/>
      <c r="AB420" s="1191"/>
      <c r="AC420" s="1191"/>
      <c r="AD420" s="1210"/>
      <c r="AE420" s="1210"/>
      <c r="AF420" s="1210"/>
      <c r="AG420" s="1210"/>
      <c r="AH420" s="1210"/>
      <c r="AI420" s="1210"/>
      <c r="AJ420" s="1210"/>
      <c r="AK420" s="1210"/>
      <c r="AL420" s="1210"/>
      <c r="AM420" s="1210"/>
      <c r="AN420" s="1210"/>
    </row>
    <row r="421" spans="1:40" s="1179" customFormat="1">
      <c r="A421" s="1258"/>
      <c r="B421" s="1188"/>
      <c r="C421" s="1188"/>
      <c r="D421" s="1188"/>
      <c r="E421" s="1210"/>
      <c r="F421" s="1210"/>
      <c r="G421" s="1210"/>
      <c r="H421" s="1210"/>
      <c r="I421" s="1191"/>
      <c r="J421" s="1191"/>
      <c r="K421" s="1199"/>
      <c r="L421" s="1191"/>
      <c r="M421" s="1191"/>
      <c r="N421" s="1191"/>
      <c r="O421" s="1191"/>
      <c r="P421" s="1191"/>
      <c r="Q421" s="1191"/>
      <c r="R421" s="1199"/>
      <c r="S421" s="1191"/>
      <c r="T421" s="1191"/>
      <c r="U421" s="1191"/>
      <c r="V421" s="1191"/>
      <c r="W421" s="1191"/>
      <c r="X421" s="1191"/>
      <c r="Y421" s="1191"/>
      <c r="Z421" s="1191"/>
      <c r="AA421" s="1191"/>
      <c r="AB421" s="1191"/>
      <c r="AC421" s="1191"/>
      <c r="AD421" s="1210"/>
      <c r="AE421" s="1210"/>
      <c r="AF421" s="1210"/>
      <c r="AG421" s="1210"/>
      <c r="AH421" s="1210"/>
      <c r="AI421" s="1210"/>
      <c r="AJ421" s="1210"/>
      <c r="AK421" s="1210"/>
      <c r="AL421" s="1210"/>
      <c r="AM421" s="1210"/>
      <c r="AN421" s="1210"/>
    </row>
    <row r="422" spans="1:40" s="1179" customFormat="1">
      <c r="A422" s="1258"/>
      <c r="B422" s="1188"/>
      <c r="C422" s="1188"/>
      <c r="D422" s="1188"/>
      <c r="E422" s="1210"/>
      <c r="F422" s="1210"/>
      <c r="G422" s="1210"/>
      <c r="H422" s="1210"/>
      <c r="I422" s="1191"/>
      <c r="J422" s="1191"/>
      <c r="K422" s="1199"/>
      <c r="L422" s="1191"/>
      <c r="M422" s="1191"/>
      <c r="N422" s="1191"/>
      <c r="O422" s="1191"/>
      <c r="P422" s="1191"/>
      <c r="Q422" s="1191"/>
      <c r="R422" s="1199"/>
      <c r="S422" s="1191"/>
      <c r="T422" s="1191"/>
      <c r="U422" s="1191"/>
      <c r="V422" s="1191"/>
      <c r="W422" s="1191"/>
      <c r="X422" s="1191"/>
      <c r="Y422" s="1191"/>
      <c r="Z422" s="1191"/>
      <c r="AA422" s="1191"/>
      <c r="AB422" s="1191"/>
      <c r="AC422" s="1191"/>
      <c r="AD422" s="1210"/>
      <c r="AE422" s="1210"/>
      <c r="AF422" s="1210"/>
      <c r="AG422" s="1210"/>
      <c r="AH422" s="1210"/>
      <c r="AI422" s="1210"/>
      <c r="AJ422" s="1210"/>
      <c r="AK422" s="1210"/>
      <c r="AL422" s="1210"/>
      <c r="AM422" s="1210"/>
      <c r="AN422" s="1210"/>
    </row>
    <row r="423" spans="1:40" s="1179" customFormat="1">
      <c r="A423" s="1258"/>
      <c r="B423" s="1188"/>
      <c r="C423" s="1188"/>
      <c r="D423" s="1188"/>
      <c r="E423" s="1210"/>
      <c r="F423" s="1210"/>
      <c r="G423" s="1210"/>
      <c r="H423" s="1210"/>
      <c r="I423" s="1191"/>
      <c r="J423" s="1191"/>
      <c r="K423" s="1199"/>
      <c r="L423" s="1191"/>
      <c r="M423" s="1191"/>
      <c r="N423" s="1191"/>
      <c r="O423" s="1191"/>
      <c r="P423" s="1191"/>
      <c r="Q423" s="1191"/>
      <c r="R423" s="1199"/>
      <c r="S423" s="1191"/>
      <c r="T423" s="1191"/>
      <c r="U423" s="1191"/>
      <c r="V423" s="1191"/>
      <c r="W423" s="1191"/>
      <c r="X423" s="1191"/>
      <c r="Y423" s="1191"/>
      <c r="Z423" s="1191"/>
      <c r="AA423" s="1191"/>
      <c r="AB423" s="1191"/>
      <c r="AC423" s="1191"/>
      <c r="AD423" s="1210"/>
      <c r="AE423" s="1210"/>
      <c r="AF423" s="1210"/>
      <c r="AG423" s="1210"/>
      <c r="AH423" s="1210"/>
      <c r="AI423" s="1210"/>
      <c r="AJ423" s="1210"/>
      <c r="AK423" s="1210"/>
      <c r="AL423" s="1210"/>
      <c r="AM423" s="1210"/>
      <c r="AN423" s="1210"/>
    </row>
    <row r="424" spans="1:40" s="1179" customFormat="1">
      <c r="A424" s="1258"/>
      <c r="B424" s="1188"/>
      <c r="C424" s="1188"/>
      <c r="D424" s="1188"/>
      <c r="E424" s="1210"/>
      <c r="F424" s="1210"/>
      <c r="G424" s="1210"/>
      <c r="H424" s="1210"/>
      <c r="I424" s="1191"/>
      <c r="J424" s="1191"/>
      <c r="K424" s="1199"/>
      <c r="L424" s="1191"/>
      <c r="M424" s="1191"/>
      <c r="N424" s="1191"/>
      <c r="O424" s="1191"/>
      <c r="P424" s="1191"/>
      <c r="Q424" s="1191"/>
      <c r="R424" s="1199"/>
      <c r="S424" s="1191"/>
      <c r="T424" s="1191"/>
      <c r="U424" s="1191"/>
      <c r="V424" s="1191"/>
      <c r="W424" s="1191"/>
      <c r="X424" s="1191"/>
      <c r="Y424" s="1191"/>
      <c r="Z424" s="1191"/>
      <c r="AA424" s="1191"/>
      <c r="AB424" s="1191"/>
      <c r="AC424" s="1191"/>
      <c r="AD424" s="1210"/>
      <c r="AE424" s="1210"/>
      <c r="AF424" s="1210"/>
      <c r="AG424" s="1210"/>
      <c r="AH424" s="1210"/>
      <c r="AI424" s="1210"/>
      <c r="AJ424" s="1210"/>
      <c r="AK424" s="1210"/>
      <c r="AL424" s="1210"/>
      <c r="AM424" s="1210"/>
      <c r="AN424" s="1210"/>
    </row>
    <row r="425" spans="1:40" s="1179" customFormat="1">
      <c r="A425" s="1258"/>
      <c r="B425" s="1188"/>
      <c r="C425" s="1188"/>
      <c r="D425" s="1188"/>
      <c r="E425" s="1210"/>
      <c r="F425" s="1210"/>
      <c r="G425" s="1210"/>
      <c r="H425" s="1210"/>
      <c r="I425" s="1191"/>
      <c r="J425" s="1191"/>
      <c r="K425" s="1199"/>
      <c r="L425" s="1191"/>
      <c r="M425" s="1191"/>
      <c r="N425" s="1191"/>
      <c r="O425" s="1191"/>
      <c r="P425" s="1191"/>
      <c r="Q425" s="1191"/>
      <c r="R425" s="1199"/>
      <c r="S425" s="1191"/>
      <c r="T425" s="1191"/>
      <c r="U425" s="1191"/>
      <c r="V425" s="1191"/>
      <c r="W425" s="1191"/>
      <c r="X425" s="1191"/>
      <c r="Y425" s="1191"/>
      <c r="Z425" s="1191"/>
      <c r="AA425" s="1191"/>
      <c r="AB425" s="1191"/>
      <c r="AC425" s="1191"/>
      <c r="AD425" s="1210"/>
      <c r="AE425" s="1210"/>
      <c r="AF425" s="1210"/>
      <c r="AG425" s="1210"/>
      <c r="AH425" s="1210"/>
      <c r="AI425" s="1210"/>
      <c r="AJ425" s="1210"/>
      <c r="AK425" s="1210"/>
      <c r="AL425" s="1210"/>
      <c r="AM425" s="1210"/>
      <c r="AN425" s="1210"/>
    </row>
    <row r="426" spans="1:40" s="1179" customFormat="1">
      <c r="A426" s="1258"/>
      <c r="B426" s="1188"/>
      <c r="C426" s="1188"/>
      <c r="D426" s="1188"/>
      <c r="E426" s="1210"/>
      <c r="F426" s="1210"/>
      <c r="G426" s="1210"/>
      <c r="H426" s="1210"/>
      <c r="I426" s="1191"/>
      <c r="J426" s="1191"/>
      <c r="K426" s="1199"/>
      <c r="L426" s="1191"/>
      <c r="M426" s="1191"/>
      <c r="N426" s="1191"/>
      <c r="O426" s="1191"/>
      <c r="P426" s="1191"/>
      <c r="Q426" s="1191"/>
      <c r="R426" s="1199"/>
      <c r="S426" s="1191"/>
      <c r="T426" s="1191"/>
      <c r="U426" s="1191"/>
      <c r="V426" s="1191"/>
      <c r="W426" s="1191"/>
      <c r="X426" s="1191"/>
      <c r="Y426" s="1191"/>
      <c r="Z426" s="1191"/>
      <c r="AA426" s="1191"/>
      <c r="AB426" s="1191"/>
      <c r="AC426" s="1191"/>
      <c r="AD426" s="1210"/>
      <c r="AE426" s="1210"/>
      <c r="AF426" s="1210"/>
      <c r="AG426" s="1210"/>
      <c r="AH426" s="1210"/>
      <c r="AI426" s="1210"/>
      <c r="AJ426" s="1210"/>
      <c r="AK426" s="1210"/>
      <c r="AL426" s="1210"/>
      <c r="AM426" s="1210"/>
      <c r="AN426" s="1210"/>
    </row>
    <row r="427" spans="1:40" s="1179" customFormat="1">
      <c r="A427" s="1258"/>
      <c r="B427" s="1188"/>
      <c r="C427" s="1188"/>
      <c r="D427" s="1188"/>
      <c r="E427" s="1210"/>
      <c r="F427" s="1210"/>
      <c r="G427" s="1210"/>
      <c r="H427" s="1210"/>
      <c r="I427" s="1191"/>
      <c r="J427" s="1191"/>
      <c r="K427" s="1199"/>
      <c r="L427" s="1191"/>
      <c r="M427" s="1191"/>
      <c r="N427" s="1191"/>
      <c r="O427" s="1191"/>
      <c r="P427" s="1191"/>
      <c r="Q427" s="1191"/>
      <c r="R427" s="1199"/>
      <c r="S427" s="1191"/>
      <c r="T427" s="1191"/>
      <c r="U427" s="1191"/>
      <c r="V427" s="1191"/>
      <c r="W427" s="1191"/>
      <c r="X427" s="1191"/>
      <c r="Y427" s="1191"/>
      <c r="Z427" s="1191"/>
      <c r="AA427" s="1191"/>
      <c r="AB427" s="1191"/>
      <c r="AC427" s="1191"/>
      <c r="AD427" s="1210"/>
      <c r="AE427" s="1210"/>
      <c r="AF427" s="1210"/>
      <c r="AG427" s="1210"/>
      <c r="AH427" s="1210"/>
      <c r="AI427" s="1210"/>
      <c r="AJ427" s="1210"/>
      <c r="AK427" s="1210"/>
      <c r="AL427" s="1210"/>
      <c r="AM427" s="1210"/>
      <c r="AN427" s="1210"/>
    </row>
    <row r="428" spans="1:40" s="1179" customFormat="1">
      <c r="A428" s="1258"/>
      <c r="B428" s="1188"/>
      <c r="C428" s="1188"/>
      <c r="D428" s="1188"/>
      <c r="E428" s="1210"/>
      <c r="F428" s="1210"/>
      <c r="G428" s="1210"/>
      <c r="H428" s="1210"/>
      <c r="I428" s="1191"/>
      <c r="J428" s="1191"/>
      <c r="K428" s="1199"/>
      <c r="L428" s="1191"/>
      <c r="M428" s="1191"/>
      <c r="N428" s="1191"/>
      <c r="O428" s="1191"/>
      <c r="P428" s="1191"/>
      <c r="Q428" s="1191"/>
      <c r="R428" s="1199"/>
      <c r="S428" s="1191"/>
      <c r="T428" s="1191"/>
      <c r="U428" s="1191"/>
      <c r="V428" s="1191"/>
      <c r="W428" s="1191"/>
      <c r="X428" s="1191"/>
      <c r="Y428" s="1191"/>
      <c r="Z428" s="1191"/>
      <c r="AA428" s="1191"/>
      <c r="AB428" s="1191"/>
      <c r="AC428" s="1191"/>
      <c r="AD428" s="1210"/>
      <c r="AE428" s="1210"/>
      <c r="AF428" s="1210"/>
      <c r="AG428" s="1210"/>
      <c r="AH428" s="1210"/>
      <c r="AI428" s="1210"/>
      <c r="AJ428" s="1210"/>
      <c r="AK428" s="1210"/>
      <c r="AL428" s="1210"/>
      <c r="AM428" s="1210"/>
      <c r="AN428" s="1210"/>
    </row>
    <row r="429" spans="1:40" s="1179" customFormat="1">
      <c r="A429" s="1258"/>
      <c r="B429" s="1188"/>
      <c r="C429" s="1188"/>
      <c r="D429" s="1188"/>
      <c r="E429" s="1210"/>
      <c r="F429" s="1210"/>
      <c r="G429" s="1210"/>
      <c r="H429" s="1210"/>
      <c r="I429" s="1191"/>
      <c r="J429" s="1191"/>
      <c r="K429" s="1199"/>
      <c r="L429" s="1191"/>
      <c r="M429" s="1191"/>
      <c r="N429" s="1191"/>
      <c r="O429" s="1191"/>
      <c r="P429" s="1191"/>
      <c r="Q429" s="1191"/>
      <c r="R429" s="1199"/>
      <c r="S429" s="1191"/>
      <c r="T429" s="1191"/>
      <c r="U429" s="1191"/>
      <c r="V429" s="1191"/>
      <c r="W429" s="1191"/>
      <c r="X429" s="1191"/>
      <c r="Y429" s="1191"/>
      <c r="Z429" s="1191"/>
      <c r="AA429" s="1191"/>
      <c r="AB429" s="1191"/>
      <c r="AC429" s="1191"/>
      <c r="AD429" s="1210"/>
      <c r="AE429" s="1210"/>
      <c r="AF429" s="1210"/>
      <c r="AG429" s="1210"/>
      <c r="AH429" s="1210"/>
      <c r="AI429" s="1210"/>
      <c r="AJ429" s="1210"/>
      <c r="AK429" s="1210"/>
      <c r="AL429" s="1210"/>
      <c r="AM429" s="1210"/>
      <c r="AN429" s="1210"/>
    </row>
    <row r="430" spans="1:40" s="1179" customFormat="1">
      <c r="A430" s="1258"/>
      <c r="B430" s="1188"/>
      <c r="C430" s="1188"/>
      <c r="D430" s="1188"/>
      <c r="E430" s="1210"/>
      <c r="F430" s="1210"/>
      <c r="G430" s="1210"/>
      <c r="H430" s="1210"/>
      <c r="I430" s="1191"/>
      <c r="J430" s="1191"/>
      <c r="K430" s="1199"/>
      <c r="L430" s="1191"/>
      <c r="M430" s="1191"/>
      <c r="N430" s="1191"/>
      <c r="O430" s="1191"/>
      <c r="P430" s="1191"/>
      <c r="Q430" s="1191"/>
      <c r="R430" s="1199"/>
      <c r="S430" s="1191"/>
      <c r="T430" s="1191"/>
      <c r="U430" s="1191"/>
      <c r="V430" s="1191"/>
      <c r="W430" s="1191"/>
      <c r="X430" s="1191"/>
      <c r="Y430" s="1191"/>
      <c r="Z430" s="1191"/>
      <c r="AA430" s="1191"/>
      <c r="AB430" s="1191"/>
      <c r="AC430" s="1191"/>
      <c r="AD430" s="1210"/>
      <c r="AE430" s="1210"/>
      <c r="AF430" s="1210"/>
      <c r="AG430" s="1210"/>
      <c r="AH430" s="1210"/>
      <c r="AI430" s="1210"/>
      <c r="AJ430" s="1210"/>
      <c r="AK430" s="1210"/>
      <c r="AL430" s="1210"/>
      <c r="AM430" s="1210"/>
      <c r="AN430" s="1210"/>
    </row>
    <row r="431" spans="1:40" s="1179" customFormat="1">
      <c r="A431" s="1258"/>
      <c r="B431" s="1188"/>
      <c r="C431" s="1188"/>
      <c r="D431" s="1188"/>
      <c r="E431" s="1210"/>
      <c r="F431" s="1210"/>
      <c r="G431" s="1210"/>
      <c r="H431" s="1210"/>
      <c r="I431" s="1191"/>
      <c r="J431" s="1191"/>
      <c r="K431" s="1199"/>
      <c r="L431" s="1191"/>
      <c r="M431" s="1191"/>
      <c r="N431" s="1191"/>
      <c r="O431" s="1191"/>
      <c r="P431" s="1191"/>
      <c r="Q431" s="1191"/>
      <c r="R431" s="1199"/>
      <c r="S431" s="1191"/>
      <c r="T431" s="1191"/>
      <c r="U431" s="1191"/>
      <c r="V431" s="1191"/>
      <c r="W431" s="1191"/>
      <c r="X431" s="1191"/>
      <c r="Y431" s="1191"/>
      <c r="Z431" s="1191"/>
      <c r="AA431" s="1191"/>
      <c r="AB431" s="1191"/>
      <c r="AC431" s="1191"/>
      <c r="AD431" s="1210"/>
      <c r="AE431" s="1210"/>
      <c r="AF431" s="1210"/>
      <c r="AG431" s="1210"/>
      <c r="AH431" s="1210"/>
      <c r="AI431" s="1210"/>
      <c r="AJ431" s="1210"/>
      <c r="AK431" s="1210"/>
      <c r="AL431" s="1210"/>
      <c r="AM431" s="1210"/>
      <c r="AN431" s="1210"/>
    </row>
    <row r="432" spans="1:40" s="1179" customFormat="1">
      <c r="A432" s="1258"/>
      <c r="B432" s="1188"/>
      <c r="C432" s="1188"/>
      <c r="D432" s="1188"/>
      <c r="E432" s="1210"/>
      <c r="F432" s="1210"/>
      <c r="G432" s="1210"/>
      <c r="H432" s="1210"/>
      <c r="I432" s="1191"/>
      <c r="J432" s="1191"/>
      <c r="K432" s="1199"/>
      <c r="L432" s="1191"/>
      <c r="M432" s="1191"/>
      <c r="N432" s="1191"/>
      <c r="O432" s="1191"/>
      <c r="P432" s="1191"/>
      <c r="Q432" s="1191"/>
      <c r="R432" s="1199"/>
      <c r="S432" s="1191"/>
      <c r="T432" s="1191"/>
      <c r="U432" s="1191"/>
      <c r="V432" s="1191"/>
      <c r="W432" s="1191"/>
      <c r="X432" s="1191"/>
      <c r="Y432" s="1191"/>
      <c r="Z432" s="1191"/>
      <c r="AA432" s="1191"/>
      <c r="AB432" s="1191"/>
      <c r="AC432" s="1191"/>
      <c r="AD432" s="1210"/>
      <c r="AE432" s="1210"/>
      <c r="AF432" s="1210"/>
      <c r="AG432" s="1210"/>
      <c r="AH432" s="1210"/>
      <c r="AI432" s="1210"/>
      <c r="AJ432" s="1210"/>
      <c r="AK432" s="1210"/>
      <c r="AL432" s="1210"/>
      <c r="AM432" s="1210"/>
      <c r="AN432" s="1210"/>
    </row>
    <row r="433" spans="1:40" s="1179" customFormat="1">
      <c r="A433" s="1258"/>
      <c r="B433" s="1188"/>
      <c r="C433" s="1188"/>
      <c r="D433" s="1188"/>
      <c r="E433" s="1210"/>
      <c r="F433" s="1210"/>
      <c r="G433" s="1210"/>
      <c r="H433" s="1210"/>
      <c r="I433" s="1191"/>
      <c r="J433" s="1191"/>
      <c r="K433" s="1199"/>
      <c r="L433" s="1191"/>
      <c r="M433" s="1191"/>
      <c r="N433" s="1191"/>
      <c r="O433" s="1191"/>
      <c r="P433" s="1191"/>
      <c r="Q433" s="1191"/>
      <c r="R433" s="1199"/>
      <c r="S433" s="1191"/>
      <c r="T433" s="1191"/>
      <c r="U433" s="1191"/>
      <c r="V433" s="1191"/>
      <c r="W433" s="1191"/>
      <c r="X433" s="1191"/>
      <c r="Y433" s="1191"/>
      <c r="Z433" s="1191"/>
      <c r="AA433" s="1191"/>
      <c r="AB433" s="1191"/>
      <c r="AC433" s="1191"/>
      <c r="AD433" s="1210"/>
      <c r="AE433" s="1210"/>
      <c r="AF433" s="1210"/>
      <c r="AG433" s="1210"/>
      <c r="AH433" s="1210"/>
      <c r="AI433" s="1210"/>
      <c r="AJ433" s="1210"/>
      <c r="AK433" s="1210"/>
      <c r="AL433" s="1210"/>
      <c r="AM433" s="1210"/>
      <c r="AN433" s="1210"/>
    </row>
    <row r="434" spans="1:40" s="1179" customFormat="1">
      <c r="A434" s="1258"/>
      <c r="B434" s="1188"/>
      <c r="C434" s="1188"/>
      <c r="D434" s="1188"/>
      <c r="E434" s="1210"/>
      <c r="F434" s="1210"/>
      <c r="G434" s="1210"/>
      <c r="H434" s="1210"/>
      <c r="I434" s="1191"/>
      <c r="J434" s="1191"/>
      <c r="K434" s="1199"/>
      <c r="L434" s="1191"/>
      <c r="M434" s="1191"/>
      <c r="N434" s="1191"/>
      <c r="O434" s="1191"/>
      <c r="P434" s="1191"/>
      <c r="Q434" s="1191"/>
      <c r="R434" s="1199"/>
      <c r="S434" s="1191"/>
      <c r="T434" s="1191"/>
      <c r="U434" s="1191"/>
      <c r="V434" s="1191"/>
      <c r="W434" s="1191"/>
      <c r="X434" s="1191"/>
      <c r="Y434" s="1191"/>
      <c r="Z434" s="1191"/>
      <c r="AA434" s="1191"/>
      <c r="AB434" s="1191"/>
      <c r="AC434" s="1191"/>
      <c r="AD434" s="1210"/>
      <c r="AE434" s="1210"/>
      <c r="AF434" s="1210"/>
      <c r="AG434" s="1210"/>
      <c r="AH434" s="1210"/>
      <c r="AI434" s="1210"/>
      <c r="AJ434" s="1210"/>
      <c r="AK434" s="1210"/>
      <c r="AL434" s="1210"/>
      <c r="AM434" s="1210"/>
      <c r="AN434" s="1210"/>
    </row>
    <row r="435" spans="1:40" s="1179" customFormat="1">
      <c r="A435" s="1258"/>
      <c r="B435" s="1188"/>
      <c r="C435" s="1188"/>
      <c r="D435" s="1188"/>
      <c r="E435" s="1210"/>
      <c r="F435" s="1210"/>
      <c r="G435" s="1210"/>
      <c r="H435" s="1210"/>
      <c r="I435" s="1191"/>
      <c r="J435" s="1191"/>
      <c r="K435" s="1199"/>
      <c r="L435" s="1191"/>
      <c r="M435" s="1191"/>
      <c r="N435" s="1191"/>
      <c r="O435" s="1191"/>
      <c r="P435" s="1191"/>
      <c r="Q435" s="1191"/>
      <c r="R435" s="1199"/>
      <c r="S435" s="1191"/>
      <c r="T435" s="1191"/>
      <c r="U435" s="1191"/>
      <c r="V435" s="1191"/>
      <c r="W435" s="1191"/>
      <c r="X435" s="1191"/>
      <c r="Y435" s="1191"/>
      <c r="Z435" s="1191"/>
      <c r="AA435" s="1191"/>
      <c r="AB435" s="1191"/>
      <c r="AC435" s="1191"/>
      <c r="AD435" s="1210"/>
      <c r="AE435" s="1210"/>
      <c r="AF435" s="1210"/>
      <c r="AG435" s="1210"/>
      <c r="AH435" s="1210"/>
      <c r="AI435" s="1210"/>
      <c r="AJ435" s="1210"/>
      <c r="AK435" s="1210"/>
      <c r="AL435" s="1210"/>
      <c r="AM435" s="1210"/>
      <c r="AN435" s="1210"/>
    </row>
    <row r="436" spans="1:40" s="1179" customFormat="1">
      <c r="A436" s="1258"/>
      <c r="B436" s="1188"/>
      <c r="C436" s="1188"/>
      <c r="D436" s="1188"/>
      <c r="E436" s="1210"/>
      <c r="F436" s="1210"/>
      <c r="G436" s="1210"/>
      <c r="H436" s="1210"/>
      <c r="I436" s="1191"/>
      <c r="J436" s="1191"/>
      <c r="K436" s="1199"/>
      <c r="L436" s="1191"/>
      <c r="M436" s="1191"/>
      <c r="N436" s="1191"/>
      <c r="O436" s="1191"/>
      <c r="P436" s="1191"/>
      <c r="Q436" s="1191"/>
      <c r="R436" s="1199"/>
      <c r="S436" s="1191"/>
      <c r="T436" s="1191"/>
      <c r="U436" s="1191"/>
      <c r="V436" s="1191"/>
      <c r="W436" s="1191"/>
      <c r="X436" s="1191"/>
      <c r="Y436" s="1191"/>
      <c r="Z436" s="1191"/>
      <c r="AA436" s="1191"/>
      <c r="AB436" s="1191"/>
      <c r="AC436" s="1191"/>
      <c r="AD436" s="1210"/>
      <c r="AE436" s="1210"/>
      <c r="AF436" s="1210"/>
      <c r="AG436" s="1210"/>
      <c r="AH436" s="1210"/>
      <c r="AI436" s="1210"/>
      <c r="AJ436" s="1210"/>
      <c r="AK436" s="1210"/>
      <c r="AL436" s="1210"/>
      <c r="AM436" s="1210"/>
      <c r="AN436" s="1210"/>
    </row>
    <row r="437" spans="1:40" s="1179" customFormat="1">
      <c r="A437" s="1258"/>
      <c r="B437" s="1188"/>
      <c r="C437" s="1188"/>
      <c r="D437" s="1188"/>
      <c r="E437" s="1210"/>
      <c r="F437" s="1210"/>
      <c r="G437" s="1210"/>
      <c r="H437" s="1210"/>
      <c r="I437" s="1191"/>
      <c r="J437" s="1191"/>
      <c r="K437" s="1199"/>
      <c r="L437" s="1191"/>
      <c r="M437" s="1191"/>
      <c r="N437" s="1191"/>
      <c r="O437" s="1191"/>
      <c r="P437" s="1191"/>
      <c r="Q437" s="1191"/>
      <c r="R437" s="1199"/>
      <c r="S437" s="1191"/>
      <c r="T437" s="1191"/>
      <c r="U437" s="1191"/>
      <c r="V437" s="1191"/>
      <c r="W437" s="1191"/>
      <c r="X437" s="1191"/>
      <c r="Y437" s="1191"/>
      <c r="Z437" s="1191"/>
      <c r="AA437" s="1191"/>
      <c r="AB437" s="1191"/>
      <c r="AC437" s="1191"/>
      <c r="AD437" s="1210"/>
      <c r="AE437" s="1210"/>
      <c r="AF437" s="1210"/>
      <c r="AG437" s="1210"/>
      <c r="AH437" s="1210"/>
      <c r="AI437" s="1210"/>
      <c r="AJ437" s="1210"/>
      <c r="AK437" s="1210"/>
      <c r="AL437" s="1210"/>
      <c r="AM437" s="1210"/>
      <c r="AN437" s="1210"/>
    </row>
    <row r="438" spans="1:40" s="1179" customFormat="1">
      <c r="A438" s="1258"/>
      <c r="B438" s="1188"/>
      <c r="C438" s="1188"/>
      <c r="D438" s="1188"/>
      <c r="E438" s="1210"/>
      <c r="F438" s="1210"/>
      <c r="G438" s="1210"/>
      <c r="H438" s="1210"/>
      <c r="I438" s="1191"/>
      <c r="J438" s="1191"/>
      <c r="K438" s="1199"/>
      <c r="L438" s="1191"/>
      <c r="M438" s="1191"/>
      <c r="N438" s="1191"/>
      <c r="O438" s="1191"/>
      <c r="P438" s="1191"/>
      <c r="Q438" s="1191"/>
      <c r="R438" s="1199"/>
      <c r="S438" s="1191"/>
      <c r="T438" s="1191"/>
      <c r="U438" s="1191"/>
      <c r="V438" s="1191"/>
      <c r="W438" s="1191"/>
      <c r="X438" s="1191"/>
      <c r="Y438" s="1191"/>
      <c r="Z438" s="1191"/>
      <c r="AA438" s="1191"/>
      <c r="AB438" s="1191"/>
      <c r="AC438" s="1191"/>
      <c r="AD438" s="1210"/>
      <c r="AE438" s="1210"/>
      <c r="AF438" s="1210"/>
      <c r="AG438" s="1210"/>
      <c r="AH438" s="1210"/>
      <c r="AI438" s="1210"/>
      <c r="AJ438" s="1210"/>
      <c r="AK438" s="1210"/>
      <c r="AL438" s="1210"/>
      <c r="AM438" s="1210"/>
      <c r="AN438" s="1210"/>
    </row>
    <row r="439" spans="1:40" s="1179" customFormat="1">
      <c r="A439" s="1258"/>
      <c r="B439" s="1188"/>
      <c r="C439" s="1188"/>
      <c r="D439" s="1188"/>
      <c r="E439" s="1210"/>
      <c r="F439" s="1210"/>
      <c r="G439" s="1210"/>
      <c r="H439" s="1210"/>
      <c r="I439" s="1191"/>
      <c r="J439" s="1191"/>
      <c r="K439" s="1199"/>
      <c r="L439" s="1191"/>
      <c r="M439" s="1191"/>
      <c r="N439" s="1191"/>
      <c r="O439" s="1191"/>
      <c r="P439" s="1191"/>
      <c r="Q439" s="1191"/>
      <c r="R439" s="1199"/>
      <c r="S439" s="1191"/>
      <c r="T439" s="1191"/>
      <c r="U439" s="1191"/>
      <c r="V439" s="1191"/>
      <c r="W439" s="1191"/>
      <c r="X439" s="1191"/>
      <c r="Y439" s="1191"/>
      <c r="Z439" s="1191"/>
      <c r="AA439" s="1191"/>
      <c r="AB439" s="1191"/>
      <c r="AC439" s="1191"/>
      <c r="AD439" s="1210"/>
      <c r="AE439" s="1210"/>
      <c r="AF439" s="1210"/>
      <c r="AG439" s="1210"/>
      <c r="AH439" s="1210"/>
      <c r="AI439" s="1210"/>
      <c r="AJ439" s="1210"/>
      <c r="AK439" s="1210"/>
      <c r="AL439" s="1210"/>
      <c r="AM439" s="1210"/>
      <c r="AN439" s="1210"/>
    </row>
    <row r="440" spans="1:40" s="1179" customFormat="1">
      <c r="A440" s="1258"/>
      <c r="B440" s="1188"/>
      <c r="C440" s="1188"/>
      <c r="D440" s="1188"/>
      <c r="E440" s="1210"/>
      <c r="F440" s="1210"/>
      <c r="G440" s="1210"/>
      <c r="H440" s="1210"/>
      <c r="I440" s="1191"/>
      <c r="J440" s="1191"/>
      <c r="K440" s="1199"/>
      <c r="L440" s="1191"/>
      <c r="M440" s="1191"/>
      <c r="N440" s="1191"/>
      <c r="O440" s="1191"/>
      <c r="P440" s="1191"/>
      <c r="Q440" s="1191"/>
      <c r="R440" s="1199"/>
      <c r="S440" s="1191"/>
      <c r="T440" s="1191"/>
      <c r="U440" s="1191"/>
      <c r="V440" s="1191"/>
      <c r="W440" s="1191"/>
      <c r="X440" s="1191"/>
      <c r="Y440" s="1191"/>
      <c r="Z440" s="1191"/>
      <c r="AA440" s="1191"/>
      <c r="AB440" s="1191"/>
      <c r="AC440" s="1191"/>
      <c r="AD440" s="1210"/>
      <c r="AE440" s="1210"/>
      <c r="AF440" s="1210"/>
      <c r="AG440" s="1210"/>
      <c r="AH440" s="1210"/>
      <c r="AI440" s="1210"/>
      <c r="AJ440" s="1210"/>
      <c r="AK440" s="1210"/>
      <c r="AL440" s="1210"/>
      <c r="AM440" s="1210"/>
      <c r="AN440" s="1210"/>
    </row>
    <row r="441" spans="1:40" s="1179" customFormat="1">
      <c r="A441" s="1258"/>
      <c r="B441" s="1188"/>
      <c r="C441" s="1188"/>
      <c r="D441" s="1188"/>
      <c r="E441" s="1210"/>
      <c r="F441" s="1210"/>
      <c r="G441" s="1210"/>
      <c r="H441" s="1210"/>
      <c r="I441" s="1191"/>
      <c r="J441" s="1191"/>
      <c r="K441" s="1199"/>
      <c r="L441" s="1191"/>
      <c r="M441" s="1191"/>
      <c r="N441" s="1191"/>
      <c r="O441" s="1191"/>
      <c r="P441" s="1191"/>
      <c r="Q441" s="1191"/>
      <c r="R441" s="1199"/>
      <c r="S441" s="1191"/>
      <c r="T441" s="1191"/>
      <c r="U441" s="1191"/>
      <c r="V441" s="1191"/>
      <c r="W441" s="1191"/>
      <c r="X441" s="1191"/>
      <c r="Y441" s="1191"/>
      <c r="Z441" s="1191"/>
      <c r="AA441" s="1191"/>
      <c r="AB441" s="1191"/>
      <c r="AC441" s="1191"/>
      <c r="AD441" s="1210"/>
      <c r="AE441" s="1210"/>
      <c r="AF441" s="1210"/>
      <c r="AG441" s="1210"/>
      <c r="AH441" s="1210"/>
      <c r="AI441" s="1210"/>
      <c r="AJ441" s="1210"/>
      <c r="AK441" s="1210"/>
      <c r="AL441" s="1210"/>
      <c r="AM441" s="1210"/>
      <c r="AN441" s="1210"/>
    </row>
    <row r="442" spans="1:40" s="1179" customFormat="1">
      <c r="A442" s="1258"/>
      <c r="B442" s="1188"/>
      <c r="C442" s="1188"/>
      <c r="D442" s="1188"/>
      <c r="E442" s="1210"/>
      <c r="F442" s="1210"/>
      <c r="G442" s="1210"/>
      <c r="H442" s="1210"/>
      <c r="I442" s="1191"/>
      <c r="J442" s="1191"/>
      <c r="K442" s="1199"/>
      <c r="L442" s="1191"/>
      <c r="M442" s="1191"/>
      <c r="N442" s="1191"/>
      <c r="O442" s="1191"/>
      <c r="P442" s="1191"/>
      <c r="Q442" s="1191"/>
      <c r="R442" s="1199"/>
      <c r="S442" s="1191"/>
      <c r="T442" s="1191"/>
      <c r="U442" s="1191"/>
      <c r="V442" s="1191"/>
      <c r="W442" s="1191"/>
      <c r="X442" s="1191"/>
      <c r="Y442" s="1191"/>
      <c r="Z442" s="1191"/>
      <c r="AA442" s="1191"/>
      <c r="AB442" s="1191"/>
      <c r="AC442" s="1191"/>
      <c r="AD442" s="1210"/>
      <c r="AE442" s="1210"/>
      <c r="AF442" s="1210"/>
      <c r="AG442" s="1210"/>
      <c r="AH442" s="1210"/>
      <c r="AI442" s="1210"/>
      <c r="AJ442" s="1210"/>
      <c r="AK442" s="1210"/>
      <c r="AL442" s="1210"/>
      <c r="AM442" s="1210"/>
      <c r="AN442" s="1210"/>
    </row>
    <row r="443" spans="1:40" s="1179" customFormat="1">
      <c r="A443" s="1258"/>
      <c r="B443" s="1188"/>
      <c r="C443" s="1188"/>
      <c r="D443" s="1188"/>
      <c r="E443" s="1210"/>
      <c r="F443" s="1210"/>
      <c r="G443" s="1210"/>
      <c r="H443" s="1210"/>
      <c r="I443" s="1191"/>
      <c r="J443" s="1191"/>
      <c r="K443" s="1199"/>
      <c r="L443" s="1191"/>
      <c r="M443" s="1191"/>
      <c r="N443" s="1191"/>
      <c r="O443" s="1191"/>
      <c r="P443" s="1191"/>
      <c r="Q443" s="1191"/>
      <c r="R443" s="1199"/>
      <c r="S443" s="1191"/>
      <c r="T443" s="1191"/>
      <c r="U443" s="1191"/>
      <c r="V443" s="1191"/>
      <c r="W443" s="1191"/>
      <c r="X443" s="1191"/>
      <c r="Y443" s="1191"/>
      <c r="Z443" s="1191"/>
      <c r="AA443" s="1191"/>
      <c r="AB443" s="1191"/>
      <c r="AC443" s="1191"/>
      <c r="AD443" s="1210"/>
      <c r="AE443" s="1210"/>
      <c r="AF443" s="1210"/>
      <c r="AG443" s="1210"/>
      <c r="AH443" s="1210"/>
      <c r="AI443" s="1210"/>
      <c r="AJ443" s="1210"/>
      <c r="AK443" s="1210"/>
      <c r="AL443" s="1210"/>
      <c r="AM443" s="1210"/>
      <c r="AN443" s="1210"/>
    </row>
    <row r="444" spans="1:40" s="1179" customFormat="1">
      <c r="A444" s="1258"/>
      <c r="B444" s="1188"/>
      <c r="C444" s="1188"/>
      <c r="D444" s="1188"/>
      <c r="E444" s="1210"/>
      <c r="F444" s="1210"/>
      <c r="G444" s="1210"/>
      <c r="H444" s="1210"/>
      <c r="I444" s="1191"/>
      <c r="J444" s="1191"/>
      <c r="K444" s="1199"/>
      <c r="L444" s="1191"/>
      <c r="M444" s="1191"/>
      <c r="N444" s="1191"/>
      <c r="O444" s="1191"/>
      <c r="P444" s="1191"/>
      <c r="Q444" s="1191"/>
      <c r="R444" s="1199"/>
      <c r="S444" s="1191"/>
      <c r="T444" s="1191"/>
      <c r="U444" s="1191"/>
      <c r="V444" s="1191"/>
      <c r="W444" s="1191"/>
      <c r="X444" s="1191"/>
      <c r="Y444" s="1191"/>
      <c r="Z444" s="1191"/>
      <c r="AA444" s="1191"/>
      <c r="AB444" s="1191"/>
      <c r="AC444" s="1191"/>
      <c r="AD444" s="1210"/>
      <c r="AE444" s="1210"/>
      <c r="AF444" s="1210"/>
      <c r="AG444" s="1210"/>
      <c r="AH444" s="1210"/>
      <c r="AI444" s="1210"/>
      <c r="AJ444" s="1210"/>
      <c r="AK444" s="1210"/>
      <c r="AL444" s="1210"/>
      <c r="AM444" s="1210"/>
      <c r="AN444" s="1210"/>
    </row>
    <row r="445" spans="1:40" s="1179" customFormat="1">
      <c r="A445" s="1258"/>
      <c r="B445" s="1188"/>
      <c r="C445" s="1188"/>
      <c r="D445" s="1188"/>
      <c r="E445" s="1210"/>
      <c r="F445" s="1210"/>
      <c r="G445" s="1210"/>
      <c r="H445" s="1210"/>
      <c r="I445" s="1191"/>
      <c r="J445" s="1191"/>
      <c r="K445" s="1199"/>
      <c r="L445" s="1191"/>
      <c r="M445" s="1191"/>
      <c r="N445" s="1191"/>
      <c r="O445" s="1191"/>
      <c r="P445" s="1191"/>
      <c r="Q445" s="1191"/>
      <c r="R445" s="1199"/>
      <c r="S445" s="1191"/>
      <c r="T445" s="1191"/>
      <c r="U445" s="1191"/>
      <c r="V445" s="1191"/>
      <c r="W445" s="1191"/>
      <c r="X445" s="1191"/>
      <c r="Y445" s="1191"/>
      <c r="Z445" s="1191"/>
      <c r="AA445" s="1191"/>
      <c r="AB445" s="1191"/>
      <c r="AC445" s="1191"/>
      <c r="AD445" s="1210"/>
      <c r="AE445" s="1210"/>
      <c r="AF445" s="1210"/>
      <c r="AG445" s="1210"/>
      <c r="AH445" s="1210"/>
      <c r="AI445" s="1210"/>
      <c r="AJ445" s="1210"/>
      <c r="AK445" s="1210"/>
      <c r="AL445" s="1210"/>
      <c r="AM445" s="1210"/>
      <c r="AN445" s="1210"/>
    </row>
    <row r="446" spans="1:40" s="1179" customFormat="1">
      <c r="A446" s="1258"/>
      <c r="B446" s="1188"/>
      <c r="C446" s="1188"/>
      <c r="D446" s="1188"/>
      <c r="E446" s="1210"/>
      <c r="F446" s="1210"/>
      <c r="G446" s="1210"/>
      <c r="H446" s="1210"/>
      <c r="I446" s="1191"/>
      <c r="J446" s="1191"/>
      <c r="K446" s="1199"/>
      <c r="L446" s="1191"/>
      <c r="M446" s="1191"/>
      <c r="N446" s="1191"/>
      <c r="O446" s="1191"/>
      <c r="P446" s="1191"/>
      <c r="Q446" s="1191"/>
      <c r="R446" s="1199"/>
      <c r="S446" s="1191"/>
      <c r="T446" s="1191"/>
      <c r="U446" s="1191"/>
      <c r="V446" s="1191"/>
      <c r="W446" s="1191"/>
      <c r="X446" s="1191"/>
      <c r="Y446" s="1191"/>
      <c r="Z446" s="1191"/>
      <c r="AA446" s="1191"/>
      <c r="AB446" s="1191"/>
      <c r="AC446" s="1191"/>
      <c r="AD446" s="1210"/>
      <c r="AE446" s="1210"/>
      <c r="AF446" s="1210"/>
      <c r="AG446" s="1210"/>
      <c r="AH446" s="1210"/>
      <c r="AI446" s="1210"/>
      <c r="AJ446" s="1210"/>
      <c r="AK446" s="1210"/>
      <c r="AL446" s="1210"/>
      <c r="AM446" s="1210"/>
      <c r="AN446" s="1210"/>
    </row>
    <row r="447" spans="1:40" s="1179" customFormat="1">
      <c r="A447" s="1258"/>
      <c r="B447" s="1188"/>
      <c r="C447" s="1188"/>
      <c r="D447" s="1188"/>
      <c r="E447" s="1210"/>
      <c r="F447" s="1210"/>
      <c r="G447" s="1210"/>
      <c r="H447" s="1210"/>
      <c r="I447" s="1191"/>
      <c r="J447" s="1191"/>
      <c r="K447" s="1199"/>
      <c r="L447" s="1191"/>
      <c r="M447" s="1191"/>
      <c r="N447" s="1191"/>
      <c r="O447" s="1191"/>
      <c r="P447" s="1191"/>
      <c r="Q447" s="1191"/>
      <c r="R447" s="1199"/>
      <c r="S447" s="1191"/>
      <c r="T447" s="1191"/>
      <c r="U447" s="1191"/>
      <c r="V447" s="1191"/>
      <c r="W447" s="1191"/>
      <c r="X447" s="1191"/>
      <c r="Y447" s="1191"/>
      <c r="Z447" s="1191"/>
      <c r="AA447" s="1191"/>
      <c r="AB447" s="1191"/>
      <c r="AC447" s="1191"/>
      <c r="AD447" s="1210"/>
      <c r="AE447" s="1210"/>
      <c r="AF447" s="1210"/>
      <c r="AG447" s="1210"/>
      <c r="AH447" s="1210"/>
      <c r="AI447" s="1210"/>
      <c r="AJ447" s="1210"/>
      <c r="AK447" s="1210"/>
      <c r="AL447" s="1210"/>
      <c r="AM447" s="1210"/>
      <c r="AN447" s="1210"/>
    </row>
    <row r="448" spans="1:40" s="1179" customFormat="1">
      <c r="A448" s="1258"/>
      <c r="B448" s="1188"/>
      <c r="C448" s="1188"/>
      <c r="D448" s="1188"/>
      <c r="E448" s="1210"/>
      <c r="F448" s="1210"/>
      <c r="G448" s="1210"/>
      <c r="H448" s="1210"/>
      <c r="I448" s="1191"/>
      <c r="J448" s="1191"/>
      <c r="K448" s="1199"/>
      <c r="L448" s="1191"/>
      <c r="M448" s="1191"/>
      <c r="N448" s="1191"/>
      <c r="O448" s="1191"/>
      <c r="P448" s="1191"/>
      <c r="Q448" s="1191"/>
      <c r="R448" s="1199"/>
      <c r="S448" s="1191"/>
      <c r="T448" s="1191"/>
      <c r="U448" s="1191"/>
      <c r="V448" s="1191"/>
      <c r="W448" s="1191"/>
      <c r="X448" s="1191"/>
      <c r="Y448" s="1191"/>
      <c r="Z448" s="1191"/>
      <c r="AA448" s="1191"/>
      <c r="AB448" s="1191"/>
      <c r="AC448" s="1191"/>
      <c r="AD448" s="1210"/>
      <c r="AE448" s="1210"/>
      <c r="AF448" s="1210"/>
      <c r="AG448" s="1210"/>
      <c r="AH448" s="1210"/>
      <c r="AI448" s="1210"/>
      <c r="AJ448" s="1210"/>
      <c r="AK448" s="1210"/>
      <c r="AL448" s="1210"/>
      <c r="AM448" s="1210"/>
      <c r="AN448" s="1210"/>
    </row>
    <row r="449" spans="1:40" s="1179" customFormat="1">
      <c r="A449" s="1258"/>
      <c r="B449" s="1188"/>
      <c r="C449" s="1188"/>
      <c r="D449" s="1188"/>
      <c r="E449" s="1210"/>
      <c r="F449" s="1210"/>
      <c r="G449" s="1210"/>
      <c r="H449" s="1210"/>
      <c r="I449" s="1191"/>
      <c r="J449" s="1191"/>
      <c r="K449" s="1199"/>
      <c r="L449" s="1191"/>
      <c r="M449" s="1191"/>
      <c r="N449" s="1191"/>
      <c r="O449" s="1191"/>
      <c r="P449" s="1191"/>
      <c r="Q449" s="1191"/>
      <c r="R449" s="1199"/>
      <c r="S449" s="1191"/>
      <c r="T449" s="1191"/>
      <c r="U449" s="1191"/>
      <c r="V449" s="1191"/>
      <c r="W449" s="1191"/>
      <c r="X449" s="1191"/>
      <c r="Y449" s="1191"/>
      <c r="Z449" s="1191"/>
      <c r="AA449" s="1191"/>
      <c r="AB449" s="1191"/>
      <c r="AC449" s="1191"/>
      <c r="AD449" s="1210"/>
      <c r="AE449" s="1210"/>
      <c r="AF449" s="1210"/>
      <c r="AG449" s="1210"/>
      <c r="AH449" s="1210"/>
      <c r="AI449" s="1210"/>
      <c r="AJ449" s="1210"/>
      <c r="AK449" s="1210"/>
      <c r="AL449" s="1210"/>
      <c r="AM449" s="1210"/>
      <c r="AN449" s="1210"/>
    </row>
    <row r="450" spans="1:40" s="1179" customFormat="1">
      <c r="A450" s="1258"/>
      <c r="B450" s="1188"/>
      <c r="C450" s="1188"/>
      <c r="D450" s="1188"/>
      <c r="E450" s="1210"/>
      <c r="F450" s="1210"/>
      <c r="G450" s="1210"/>
      <c r="H450" s="1210"/>
      <c r="I450" s="1191"/>
      <c r="J450" s="1191"/>
      <c r="K450" s="1199"/>
      <c r="L450" s="1191"/>
      <c r="M450" s="1191"/>
      <c r="N450" s="1191"/>
      <c r="O450" s="1191"/>
      <c r="P450" s="1191"/>
      <c r="Q450" s="1191"/>
      <c r="R450" s="1199"/>
      <c r="S450" s="1191"/>
      <c r="T450" s="1191"/>
      <c r="U450" s="1191"/>
      <c r="V450" s="1191"/>
      <c r="W450" s="1191"/>
      <c r="X450" s="1191"/>
      <c r="Y450" s="1191"/>
      <c r="Z450" s="1191"/>
      <c r="AA450" s="1191"/>
      <c r="AB450" s="1191"/>
      <c r="AC450" s="1191"/>
      <c r="AD450" s="1210"/>
      <c r="AE450" s="1210"/>
      <c r="AF450" s="1210"/>
      <c r="AG450" s="1210"/>
      <c r="AH450" s="1210"/>
      <c r="AI450" s="1210"/>
      <c r="AJ450" s="1210"/>
      <c r="AK450" s="1210"/>
      <c r="AL450" s="1210"/>
      <c r="AM450" s="1210"/>
      <c r="AN450" s="1210"/>
    </row>
    <row r="451" spans="1:40" s="1179" customFormat="1">
      <c r="A451" s="1258"/>
      <c r="B451" s="1188"/>
      <c r="C451" s="1188"/>
      <c r="D451" s="1188"/>
      <c r="E451" s="1210"/>
      <c r="F451" s="1210"/>
      <c r="G451" s="1210"/>
      <c r="H451" s="1210"/>
      <c r="I451" s="1191"/>
      <c r="J451" s="1191"/>
      <c r="K451" s="1199"/>
      <c r="L451" s="1191"/>
      <c r="M451" s="1191"/>
      <c r="N451" s="1191"/>
      <c r="O451" s="1191"/>
      <c r="P451" s="1191"/>
      <c r="Q451" s="1191"/>
      <c r="R451" s="1199"/>
      <c r="S451" s="1191"/>
      <c r="T451" s="1191"/>
      <c r="U451" s="1191"/>
      <c r="V451" s="1191"/>
      <c r="W451" s="1191"/>
      <c r="X451" s="1191"/>
      <c r="Y451" s="1191"/>
      <c r="Z451" s="1191"/>
      <c r="AA451" s="1191"/>
      <c r="AB451" s="1191"/>
      <c r="AC451" s="1191"/>
      <c r="AD451" s="1210"/>
      <c r="AE451" s="1210"/>
      <c r="AF451" s="1210"/>
      <c r="AG451" s="1210"/>
      <c r="AH451" s="1210"/>
      <c r="AI451" s="1210"/>
      <c r="AJ451" s="1210"/>
      <c r="AK451" s="1210"/>
      <c r="AL451" s="1210"/>
      <c r="AM451" s="1210"/>
      <c r="AN451" s="1210"/>
    </row>
    <row r="452" spans="1:40" s="1179" customFormat="1">
      <c r="A452" s="1258"/>
      <c r="B452" s="1188"/>
      <c r="C452" s="1188"/>
      <c r="D452" s="1188"/>
      <c r="E452" s="1210"/>
      <c r="F452" s="1210"/>
      <c r="G452" s="1210"/>
      <c r="H452" s="1210"/>
      <c r="I452" s="1191"/>
      <c r="J452" s="1191"/>
      <c r="K452" s="1199"/>
      <c r="L452" s="1191"/>
      <c r="M452" s="1191"/>
      <c r="N452" s="1191"/>
      <c r="O452" s="1191"/>
      <c r="P452" s="1191"/>
      <c r="Q452" s="1191"/>
      <c r="R452" s="1199"/>
      <c r="S452" s="1191"/>
      <c r="T452" s="1191"/>
      <c r="U452" s="1191"/>
      <c r="V452" s="1191"/>
      <c r="W452" s="1191"/>
      <c r="X452" s="1191"/>
      <c r="Y452" s="1191"/>
      <c r="Z452" s="1191"/>
      <c r="AA452" s="1191"/>
      <c r="AB452" s="1191"/>
      <c r="AC452" s="1191"/>
      <c r="AD452" s="1210"/>
      <c r="AE452" s="1210"/>
      <c r="AF452" s="1210"/>
      <c r="AG452" s="1210"/>
      <c r="AH452" s="1210"/>
      <c r="AI452" s="1210"/>
      <c r="AJ452" s="1210"/>
      <c r="AK452" s="1210"/>
      <c r="AL452" s="1210"/>
      <c r="AM452" s="1210"/>
      <c r="AN452" s="1210"/>
    </row>
    <row r="453" spans="1:40" s="1179" customFormat="1">
      <c r="A453" s="1258"/>
      <c r="B453" s="1188"/>
      <c r="C453" s="1188"/>
      <c r="D453" s="1188"/>
      <c r="E453" s="1210"/>
      <c r="F453" s="1210"/>
      <c r="G453" s="1210"/>
      <c r="H453" s="1210"/>
      <c r="I453" s="1191"/>
      <c r="J453" s="1191"/>
      <c r="K453" s="1199"/>
      <c r="L453" s="1191"/>
      <c r="M453" s="1191"/>
      <c r="N453" s="1191"/>
      <c r="O453" s="1191"/>
      <c r="P453" s="1191"/>
      <c r="Q453" s="1191"/>
      <c r="R453" s="1199"/>
      <c r="S453" s="1191"/>
      <c r="T453" s="1191"/>
      <c r="U453" s="1191"/>
      <c r="V453" s="1191"/>
      <c r="W453" s="1191"/>
      <c r="X453" s="1191"/>
      <c r="Y453" s="1191"/>
      <c r="Z453" s="1191"/>
      <c r="AA453" s="1191"/>
      <c r="AB453" s="1191"/>
      <c r="AC453" s="1191"/>
      <c r="AD453" s="1210"/>
      <c r="AE453" s="1210"/>
      <c r="AF453" s="1210"/>
      <c r="AG453" s="1210"/>
      <c r="AH453" s="1210"/>
      <c r="AI453" s="1210"/>
      <c r="AJ453" s="1210"/>
      <c r="AK453" s="1210"/>
      <c r="AL453" s="1210"/>
      <c r="AM453" s="1210"/>
      <c r="AN453" s="1210"/>
    </row>
    <row r="454" spans="1:40" s="1179" customFormat="1">
      <c r="A454" s="1258"/>
      <c r="B454" s="1188"/>
      <c r="C454" s="1188"/>
      <c r="D454" s="1188"/>
      <c r="E454" s="1210"/>
      <c r="F454" s="1210"/>
      <c r="G454" s="1210"/>
      <c r="H454" s="1210"/>
      <c r="I454" s="1191"/>
      <c r="J454" s="1191"/>
      <c r="K454" s="1199"/>
      <c r="L454" s="1191"/>
      <c r="M454" s="1191"/>
      <c r="N454" s="1191"/>
      <c r="O454" s="1191"/>
      <c r="P454" s="1191"/>
      <c r="Q454" s="1191"/>
      <c r="R454" s="1199"/>
      <c r="S454" s="1191"/>
      <c r="T454" s="1191"/>
      <c r="U454" s="1191"/>
      <c r="V454" s="1191"/>
      <c r="W454" s="1191"/>
      <c r="X454" s="1191"/>
      <c r="Y454" s="1191"/>
      <c r="Z454" s="1191"/>
      <c r="AA454" s="1191"/>
      <c r="AB454" s="1191"/>
      <c r="AC454" s="1191"/>
      <c r="AD454" s="1210"/>
      <c r="AE454" s="1210"/>
      <c r="AF454" s="1210"/>
      <c r="AG454" s="1210"/>
      <c r="AH454" s="1210"/>
      <c r="AI454" s="1210"/>
      <c r="AJ454" s="1210"/>
      <c r="AK454" s="1210"/>
      <c r="AL454" s="1210"/>
      <c r="AM454" s="1210"/>
      <c r="AN454" s="1210"/>
    </row>
    <row r="455" spans="1:40" s="1179" customFormat="1">
      <c r="A455" s="1258"/>
      <c r="B455" s="1188"/>
      <c r="C455" s="1188"/>
      <c r="D455" s="1188"/>
      <c r="E455" s="1210"/>
      <c r="F455" s="1210"/>
      <c r="G455" s="1210"/>
      <c r="H455" s="1210"/>
      <c r="I455" s="1191"/>
      <c r="J455" s="1191"/>
      <c r="K455" s="1199"/>
      <c r="L455" s="1191"/>
      <c r="M455" s="1191"/>
      <c r="N455" s="1191"/>
      <c r="O455" s="1191"/>
      <c r="P455" s="1191"/>
      <c r="Q455" s="1191"/>
      <c r="R455" s="1199"/>
      <c r="S455" s="1191"/>
      <c r="T455" s="1191"/>
      <c r="U455" s="1191"/>
      <c r="V455" s="1191"/>
      <c r="W455" s="1191"/>
      <c r="X455" s="1191"/>
      <c r="Y455" s="1191"/>
      <c r="Z455" s="1191"/>
      <c r="AA455" s="1191"/>
      <c r="AB455" s="1191"/>
      <c r="AC455" s="1191"/>
      <c r="AD455" s="1210"/>
      <c r="AE455" s="1210"/>
      <c r="AF455" s="1210"/>
      <c r="AG455" s="1210"/>
      <c r="AH455" s="1210"/>
      <c r="AI455" s="1210"/>
      <c r="AJ455" s="1210"/>
      <c r="AK455" s="1210"/>
      <c r="AL455" s="1210"/>
      <c r="AM455" s="1210"/>
      <c r="AN455" s="1210"/>
    </row>
    <row r="456" spans="1:40" s="1179" customFormat="1">
      <c r="A456" s="1258"/>
      <c r="B456" s="1188"/>
      <c r="C456" s="1188"/>
      <c r="D456" s="1188"/>
      <c r="E456" s="1210"/>
      <c r="F456" s="1210"/>
      <c r="G456" s="1210"/>
      <c r="H456" s="1210"/>
      <c r="I456" s="1191"/>
      <c r="J456" s="1191"/>
      <c r="K456" s="1199"/>
      <c r="L456" s="1191"/>
      <c r="M456" s="1191"/>
      <c r="N456" s="1191"/>
      <c r="O456" s="1191"/>
      <c r="P456" s="1191"/>
      <c r="Q456" s="1191"/>
      <c r="R456" s="1199"/>
      <c r="S456" s="1191"/>
      <c r="T456" s="1191"/>
      <c r="U456" s="1191"/>
      <c r="V456" s="1191"/>
      <c r="W456" s="1191"/>
      <c r="X456" s="1191"/>
      <c r="Y456" s="1191"/>
      <c r="Z456" s="1191"/>
      <c r="AA456" s="1191"/>
      <c r="AB456" s="1191"/>
      <c r="AC456" s="1191"/>
      <c r="AD456" s="1210"/>
      <c r="AE456" s="1210"/>
      <c r="AF456" s="1210"/>
      <c r="AG456" s="1210"/>
      <c r="AH456" s="1210"/>
      <c r="AI456" s="1210"/>
      <c r="AJ456" s="1210"/>
      <c r="AK456" s="1210"/>
      <c r="AL456" s="1210"/>
      <c r="AM456" s="1210"/>
      <c r="AN456" s="1210"/>
    </row>
    <row r="457" spans="1:40" s="1179" customFormat="1">
      <c r="A457" s="1258"/>
      <c r="B457" s="1188"/>
      <c r="C457" s="1188"/>
      <c r="D457" s="1188"/>
      <c r="E457" s="1210"/>
      <c r="F457" s="1210"/>
      <c r="G457" s="1210"/>
      <c r="H457" s="1210"/>
      <c r="I457" s="1191"/>
      <c r="J457" s="1191"/>
      <c r="K457" s="1199"/>
      <c r="L457" s="1191"/>
      <c r="M457" s="1191"/>
      <c r="N457" s="1191"/>
      <c r="O457" s="1191"/>
      <c r="P457" s="1191"/>
      <c r="Q457" s="1191"/>
      <c r="R457" s="1199"/>
      <c r="S457" s="1191"/>
      <c r="T457" s="1191"/>
      <c r="U457" s="1191"/>
      <c r="V457" s="1191"/>
      <c r="W457" s="1191"/>
      <c r="X457" s="1191"/>
      <c r="Y457" s="1191"/>
      <c r="Z457" s="1191"/>
      <c r="AA457" s="1191"/>
      <c r="AB457" s="1191"/>
      <c r="AC457" s="1191"/>
      <c r="AD457" s="1210"/>
      <c r="AE457" s="1210"/>
      <c r="AF457" s="1210"/>
      <c r="AG457" s="1210"/>
      <c r="AH457" s="1210"/>
      <c r="AI457" s="1210"/>
      <c r="AJ457" s="1210"/>
      <c r="AK457" s="1210"/>
      <c r="AL457" s="1210"/>
      <c r="AM457" s="1210"/>
      <c r="AN457" s="1210"/>
    </row>
    <row r="458" spans="1:40" s="1179" customFormat="1">
      <c r="A458" s="1258"/>
      <c r="B458" s="1188"/>
      <c r="C458" s="1188"/>
      <c r="D458" s="1188"/>
      <c r="E458" s="1210"/>
      <c r="F458" s="1210"/>
      <c r="G458" s="1210"/>
      <c r="H458" s="1210"/>
      <c r="I458" s="1191"/>
      <c r="J458" s="1191"/>
      <c r="K458" s="1199"/>
      <c r="L458" s="1191"/>
      <c r="M458" s="1191"/>
      <c r="N458" s="1191"/>
      <c r="O458" s="1191"/>
      <c r="P458" s="1191"/>
      <c r="Q458" s="1191"/>
      <c r="R458" s="1199"/>
      <c r="S458" s="1191"/>
      <c r="T458" s="1191"/>
      <c r="U458" s="1191"/>
      <c r="V458" s="1191"/>
      <c r="W458" s="1191"/>
      <c r="X458" s="1191"/>
      <c r="Y458" s="1191"/>
      <c r="Z458" s="1191"/>
      <c r="AA458" s="1191"/>
      <c r="AB458" s="1191"/>
      <c r="AC458" s="1191"/>
      <c r="AD458" s="1210"/>
      <c r="AE458" s="1210"/>
      <c r="AF458" s="1210"/>
      <c r="AG458" s="1210"/>
      <c r="AH458" s="1210"/>
      <c r="AI458" s="1210"/>
      <c r="AJ458" s="1210"/>
      <c r="AK458" s="1210"/>
      <c r="AL458" s="1210"/>
      <c r="AM458" s="1210"/>
      <c r="AN458" s="1210"/>
    </row>
    <row r="459" spans="1:40" s="1179" customFormat="1">
      <c r="A459" s="1258"/>
      <c r="B459" s="1188"/>
      <c r="C459" s="1188"/>
      <c r="D459" s="1188"/>
      <c r="E459" s="1210"/>
      <c r="F459" s="1210"/>
      <c r="G459" s="1210"/>
      <c r="H459" s="1210"/>
      <c r="I459" s="1191"/>
      <c r="J459" s="1191"/>
      <c r="K459" s="1199"/>
      <c r="L459" s="1191"/>
      <c r="M459" s="1191"/>
      <c r="N459" s="1191"/>
      <c r="O459" s="1191"/>
      <c r="P459" s="1191"/>
      <c r="Q459" s="1191"/>
      <c r="R459" s="1199"/>
      <c r="S459" s="1191"/>
      <c r="T459" s="1191"/>
      <c r="U459" s="1191"/>
      <c r="V459" s="1191"/>
      <c r="W459" s="1191"/>
      <c r="X459" s="1191"/>
      <c r="Y459" s="1191"/>
      <c r="Z459" s="1191"/>
      <c r="AA459" s="1191"/>
      <c r="AB459" s="1191"/>
      <c r="AC459" s="1191"/>
      <c r="AD459" s="1210"/>
      <c r="AE459" s="1210"/>
      <c r="AF459" s="1210"/>
      <c r="AG459" s="1210"/>
      <c r="AH459" s="1210"/>
      <c r="AI459" s="1210"/>
      <c r="AJ459" s="1210"/>
      <c r="AK459" s="1210"/>
      <c r="AL459" s="1210"/>
      <c r="AM459" s="1210"/>
      <c r="AN459" s="1210"/>
    </row>
    <row r="460" spans="1:40" s="1179" customFormat="1">
      <c r="A460" s="1258"/>
      <c r="B460" s="1188"/>
      <c r="C460" s="1188"/>
      <c r="D460" s="1188"/>
      <c r="E460" s="1210"/>
      <c r="F460" s="1210"/>
      <c r="G460" s="1210"/>
      <c r="H460" s="1210"/>
      <c r="I460" s="1191"/>
      <c r="J460" s="1191"/>
      <c r="K460" s="1199"/>
      <c r="L460" s="1191"/>
      <c r="M460" s="1191"/>
      <c r="N460" s="1191"/>
      <c r="O460" s="1191"/>
      <c r="P460" s="1191"/>
      <c r="Q460" s="1191"/>
      <c r="R460" s="1199"/>
      <c r="S460" s="1191"/>
      <c r="T460" s="1191"/>
      <c r="U460" s="1191"/>
      <c r="V460" s="1191"/>
      <c r="W460" s="1191"/>
      <c r="X460" s="1191"/>
      <c r="Y460" s="1191"/>
      <c r="Z460" s="1191"/>
      <c r="AA460" s="1191"/>
      <c r="AB460" s="1191"/>
      <c r="AC460" s="1191"/>
      <c r="AD460" s="1210"/>
      <c r="AE460" s="1210"/>
      <c r="AF460" s="1210"/>
      <c r="AG460" s="1210"/>
      <c r="AH460" s="1210"/>
      <c r="AI460" s="1210"/>
      <c r="AJ460" s="1210"/>
      <c r="AK460" s="1210"/>
      <c r="AL460" s="1210"/>
      <c r="AM460" s="1210"/>
      <c r="AN460" s="1210"/>
    </row>
    <row r="461" spans="1:40" s="1179" customFormat="1">
      <c r="A461" s="1258"/>
      <c r="B461" s="1188"/>
      <c r="C461" s="1188"/>
      <c r="D461" s="1188"/>
      <c r="E461" s="1210"/>
      <c r="F461" s="1210"/>
      <c r="G461" s="1210"/>
      <c r="H461" s="1210"/>
      <c r="I461" s="1191"/>
      <c r="J461" s="1191"/>
      <c r="K461" s="1199"/>
      <c r="L461" s="1191"/>
      <c r="M461" s="1191"/>
      <c r="N461" s="1191"/>
      <c r="O461" s="1191"/>
      <c r="P461" s="1191"/>
      <c r="Q461" s="1191"/>
      <c r="R461" s="1199"/>
      <c r="S461" s="1191"/>
      <c r="T461" s="1191"/>
      <c r="U461" s="1191"/>
      <c r="V461" s="1191"/>
      <c r="W461" s="1191"/>
      <c r="X461" s="1191"/>
      <c r="Y461" s="1191"/>
      <c r="Z461" s="1191"/>
      <c r="AA461" s="1191"/>
      <c r="AB461" s="1191"/>
      <c r="AC461" s="1191"/>
      <c r="AD461" s="1210"/>
      <c r="AE461" s="1210"/>
      <c r="AF461" s="1210"/>
      <c r="AG461" s="1210"/>
      <c r="AH461" s="1210"/>
      <c r="AI461" s="1210"/>
      <c r="AJ461" s="1210"/>
      <c r="AK461" s="1210"/>
      <c r="AL461" s="1210"/>
      <c r="AM461" s="1210"/>
      <c r="AN461" s="1210"/>
    </row>
    <row r="462" spans="1:40" s="1179" customFormat="1">
      <c r="A462" s="1258"/>
      <c r="B462" s="1188"/>
      <c r="C462" s="1188"/>
      <c r="D462" s="1188"/>
      <c r="E462" s="1210"/>
      <c r="F462" s="1210"/>
      <c r="G462" s="1210"/>
      <c r="H462" s="1210"/>
      <c r="I462" s="1191"/>
      <c r="J462" s="1191"/>
      <c r="K462" s="1199"/>
      <c r="L462" s="1191"/>
      <c r="M462" s="1191"/>
      <c r="N462" s="1191"/>
      <c r="O462" s="1191"/>
      <c r="P462" s="1191"/>
      <c r="Q462" s="1191"/>
      <c r="R462" s="1199"/>
      <c r="S462" s="1191"/>
      <c r="T462" s="1191"/>
      <c r="U462" s="1191"/>
      <c r="V462" s="1191"/>
      <c r="W462" s="1191"/>
      <c r="X462" s="1191"/>
      <c r="Y462" s="1191"/>
      <c r="Z462" s="1191"/>
      <c r="AA462" s="1191"/>
      <c r="AB462" s="1191"/>
      <c r="AC462" s="1191"/>
      <c r="AD462" s="1210"/>
      <c r="AE462" s="1210"/>
      <c r="AF462" s="1210"/>
      <c r="AG462" s="1210"/>
      <c r="AH462" s="1210"/>
      <c r="AI462" s="1210"/>
      <c r="AJ462" s="1210"/>
      <c r="AK462" s="1210"/>
      <c r="AL462" s="1210"/>
      <c r="AM462" s="1210"/>
      <c r="AN462" s="1210"/>
    </row>
    <row r="463" spans="1:40" s="1179" customFormat="1">
      <c r="A463" s="1258"/>
      <c r="B463" s="1188"/>
      <c r="C463" s="1188"/>
      <c r="D463" s="1188"/>
      <c r="E463" s="1210"/>
      <c r="F463" s="1210"/>
      <c r="G463" s="1210"/>
      <c r="H463" s="1210"/>
      <c r="I463" s="1191"/>
      <c r="J463" s="1191"/>
      <c r="K463" s="1199"/>
      <c r="L463" s="1191"/>
      <c r="M463" s="1191"/>
      <c r="N463" s="1191"/>
      <c r="O463" s="1191"/>
      <c r="P463" s="1191"/>
      <c r="Q463" s="1191"/>
      <c r="R463" s="1199"/>
      <c r="S463" s="1191"/>
      <c r="T463" s="1191"/>
      <c r="U463" s="1191"/>
      <c r="V463" s="1191"/>
      <c r="W463" s="1191"/>
      <c r="X463" s="1191"/>
      <c r="Y463" s="1191"/>
      <c r="Z463" s="1191"/>
      <c r="AA463" s="1191"/>
      <c r="AB463" s="1191"/>
      <c r="AC463" s="1191"/>
      <c r="AD463" s="1210"/>
      <c r="AE463" s="1210"/>
      <c r="AF463" s="1210"/>
      <c r="AG463" s="1210"/>
      <c r="AH463" s="1210"/>
      <c r="AI463" s="1210"/>
      <c r="AJ463" s="1210"/>
      <c r="AK463" s="1210"/>
      <c r="AL463" s="1210"/>
      <c r="AM463" s="1210"/>
      <c r="AN463" s="1210"/>
    </row>
    <row r="464" spans="1:40" s="1179" customFormat="1">
      <c r="A464" s="1258"/>
      <c r="B464" s="1188"/>
      <c r="C464" s="1188"/>
      <c r="D464" s="1188"/>
      <c r="E464" s="1210"/>
      <c r="F464" s="1210"/>
      <c r="G464" s="1210"/>
      <c r="H464" s="1210"/>
      <c r="I464" s="1191"/>
      <c r="J464" s="1191"/>
      <c r="K464" s="1199"/>
      <c r="L464" s="1191"/>
      <c r="M464" s="1191"/>
      <c r="N464" s="1191"/>
      <c r="O464" s="1191"/>
      <c r="P464" s="1191"/>
      <c r="Q464" s="1191"/>
      <c r="R464" s="1199"/>
      <c r="S464" s="1191"/>
      <c r="T464" s="1191"/>
      <c r="U464" s="1191"/>
      <c r="V464" s="1191"/>
      <c r="W464" s="1191"/>
      <c r="X464" s="1191"/>
      <c r="Y464" s="1191"/>
      <c r="Z464" s="1191"/>
      <c r="AA464" s="1191"/>
      <c r="AB464" s="1191"/>
      <c r="AC464" s="1191"/>
      <c r="AD464" s="1210"/>
      <c r="AE464" s="1210"/>
      <c r="AF464" s="1210"/>
      <c r="AG464" s="1210"/>
      <c r="AH464" s="1210"/>
      <c r="AI464" s="1210"/>
      <c r="AJ464" s="1210"/>
      <c r="AK464" s="1210"/>
      <c r="AL464" s="1210"/>
      <c r="AM464" s="1210"/>
      <c r="AN464" s="1210"/>
    </row>
    <row r="465" spans="1:40" s="1179" customFormat="1">
      <c r="A465" s="1258"/>
      <c r="B465" s="1188"/>
      <c r="C465" s="1188"/>
      <c r="D465" s="1188"/>
      <c r="E465" s="1210"/>
      <c r="F465" s="1210"/>
      <c r="G465" s="1210"/>
      <c r="H465" s="1210"/>
      <c r="I465" s="1191"/>
      <c r="J465" s="1191"/>
      <c r="K465" s="1199"/>
      <c r="L465" s="1191"/>
      <c r="M465" s="1191"/>
      <c r="N465" s="1191"/>
      <c r="O465" s="1191"/>
      <c r="P465" s="1191"/>
      <c r="Q465" s="1191"/>
      <c r="R465" s="1199"/>
      <c r="S465" s="1191"/>
      <c r="T465" s="1191"/>
      <c r="U465" s="1191"/>
      <c r="V465" s="1191"/>
      <c r="W465" s="1191"/>
      <c r="X465" s="1191"/>
      <c r="Y465" s="1191"/>
      <c r="Z465" s="1191"/>
      <c r="AA465" s="1191"/>
      <c r="AB465" s="1191"/>
      <c r="AC465" s="1191"/>
      <c r="AD465" s="1210"/>
      <c r="AE465" s="1210"/>
      <c r="AF465" s="1210"/>
      <c r="AG465" s="1210"/>
      <c r="AH465" s="1210"/>
      <c r="AI465" s="1210"/>
      <c r="AJ465" s="1210"/>
      <c r="AK465" s="1210"/>
      <c r="AL465" s="1210"/>
      <c r="AM465" s="1210"/>
      <c r="AN465" s="1210"/>
    </row>
    <row r="466" spans="1:40" s="1179" customFormat="1">
      <c r="A466" s="1258"/>
      <c r="B466" s="1188"/>
      <c r="C466" s="1188"/>
      <c r="D466" s="1188"/>
      <c r="E466" s="1210"/>
      <c r="F466" s="1210"/>
      <c r="G466" s="1210"/>
      <c r="H466" s="1210"/>
      <c r="I466" s="1191"/>
      <c r="J466" s="1191"/>
      <c r="K466" s="1199"/>
      <c r="L466" s="1191"/>
      <c r="M466" s="1191"/>
      <c r="N466" s="1191"/>
      <c r="O466" s="1191"/>
      <c r="P466" s="1191"/>
      <c r="Q466" s="1191"/>
      <c r="R466" s="1199"/>
      <c r="S466" s="1191"/>
      <c r="T466" s="1191"/>
      <c r="U466" s="1191"/>
      <c r="V466" s="1191"/>
      <c r="W466" s="1191"/>
      <c r="X466" s="1191"/>
      <c r="Y466" s="1191"/>
      <c r="Z466" s="1191"/>
      <c r="AA466" s="1191"/>
      <c r="AB466" s="1191"/>
      <c r="AC466" s="1191"/>
      <c r="AD466" s="1210"/>
      <c r="AE466" s="1210"/>
      <c r="AF466" s="1210"/>
      <c r="AG466" s="1210"/>
      <c r="AH466" s="1210"/>
      <c r="AI466" s="1210"/>
      <c r="AJ466" s="1210"/>
      <c r="AK466" s="1210"/>
      <c r="AL466" s="1210"/>
      <c r="AM466" s="1210"/>
      <c r="AN466" s="1210"/>
    </row>
    <row r="467" spans="1:40" s="1179" customFormat="1">
      <c r="A467" s="1258"/>
      <c r="B467" s="1188"/>
      <c r="C467" s="1188"/>
      <c r="D467" s="1188"/>
      <c r="E467" s="1210"/>
      <c r="F467" s="1210"/>
      <c r="G467" s="1210"/>
      <c r="H467" s="1210"/>
      <c r="I467" s="1191"/>
      <c r="J467" s="1191"/>
      <c r="K467" s="1199"/>
      <c r="L467" s="1191"/>
      <c r="M467" s="1191"/>
      <c r="N467" s="1191"/>
      <c r="O467" s="1191"/>
      <c r="P467" s="1191"/>
      <c r="Q467" s="1191"/>
      <c r="R467" s="1199"/>
      <c r="S467" s="1191"/>
      <c r="T467" s="1191"/>
      <c r="U467" s="1191"/>
      <c r="V467" s="1191"/>
      <c r="W467" s="1191"/>
      <c r="X467" s="1191"/>
      <c r="Y467" s="1191"/>
      <c r="Z467" s="1191"/>
      <c r="AA467" s="1191"/>
      <c r="AB467" s="1191"/>
      <c r="AC467" s="1191"/>
      <c r="AD467" s="1210"/>
      <c r="AE467" s="1210"/>
      <c r="AF467" s="1210"/>
      <c r="AG467" s="1210"/>
      <c r="AH467" s="1210"/>
      <c r="AI467" s="1210"/>
      <c r="AJ467" s="1210"/>
      <c r="AK467" s="1210"/>
      <c r="AL467" s="1210"/>
      <c r="AM467" s="1210"/>
      <c r="AN467" s="1210"/>
    </row>
    <row r="468" spans="1:40" s="1179" customFormat="1">
      <c r="A468" s="1258"/>
      <c r="B468" s="1188"/>
      <c r="C468" s="1188"/>
      <c r="D468" s="1188"/>
      <c r="E468" s="1210"/>
      <c r="F468" s="1210"/>
      <c r="G468" s="1210"/>
      <c r="H468" s="1210"/>
      <c r="I468" s="1191"/>
      <c r="J468" s="1191"/>
      <c r="K468" s="1199"/>
      <c r="L468" s="1191"/>
      <c r="M468" s="1191"/>
      <c r="N468" s="1191"/>
      <c r="O468" s="1191"/>
      <c r="P468" s="1191"/>
      <c r="Q468" s="1191"/>
      <c r="R468" s="1199"/>
      <c r="S468" s="1191"/>
      <c r="T468" s="1191"/>
      <c r="U468" s="1191"/>
      <c r="V468" s="1191"/>
      <c r="W468" s="1191"/>
      <c r="X468" s="1191"/>
      <c r="Y468" s="1191"/>
      <c r="Z468" s="1191"/>
      <c r="AA468" s="1191"/>
      <c r="AB468" s="1191"/>
      <c r="AC468" s="1191"/>
      <c r="AD468" s="1210"/>
      <c r="AE468" s="1210"/>
      <c r="AF468" s="1210"/>
      <c r="AG468" s="1210"/>
      <c r="AH468" s="1210"/>
      <c r="AI468" s="1210"/>
      <c r="AJ468" s="1210"/>
      <c r="AK468" s="1210"/>
      <c r="AL468" s="1210"/>
      <c r="AM468" s="1210"/>
      <c r="AN468" s="1210"/>
    </row>
    <row r="469" spans="1:40" s="1179" customFormat="1">
      <c r="A469" s="1258"/>
      <c r="B469" s="1188"/>
      <c r="C469" s="1188"/>
      <c r="D469" s="1188"/>
      <c r="E469" s="1210"/>
      <c r="F469" s="1210"/>
      <c r="G469" s="1210"/>
      <c r="H469" s="1210"/>
      <c r="I469" s="1191"/>
      <c r="J469" s="1191"/>
      <c r="K469" s="1199"/>
      <c r="L469" s="1191"/>
      <c r="M469" s="1191"/>
      <c r="N469" s="1191"/>
      <c r="O469" s="1191"/>
      <c r="P469" s="1191"/>
      <c r="Q469" s="1191"/>
      <c r="R469" s="1199"/>
      <c r="S469" s="1191"/>
      <c r="T469" s="1191"/>
      <c r="U469" s="1191"/>
      <c r="V469" s="1191"/>
      <c r="W469" s="1191"/>
      <c r="X469" s="1191"/>
      <c r="Y469" s="1191"/>
      <c r="Z469" s="1191"/>
      <c r="AA469" s="1191"/>
      <c r="AB469" s="1191"/>
      <c r="AC469" s="1191"/>
      <c r="AD469" s="1210"/>
      <c r="AE469" s="1210"/>
      <c r="AF469" s="1210"/>
      <c r="AG469" s="1210"/>
      <c r="AH469" s="1210"/>
      <c r="AI469" s="1210"/>
      <c r="AJ469" s="1210"/>
      <c r="AK469" s="1210"/>
      <c r="AL469" s="1210"/>
      <c r="AM469" s="1210"/>
      <c r="AN469" s="1210"/>
    </row>
    <row r="470" spans="1:40" s="1179" customFormat="1">
      <c r="A470" s="1258"/>
      <c r="B470" s="1188"/>
      <c r="C470" s="1188"/>
      <c r="D470" s="1188"/>
      <c r="E470" s="1210"/>
      <c r="F470" s="1210"/>
      <c r="G470" s="1210"/>
      <c r="H470" s="1210"/>
      <c r="I470" s="1191"/>
      <c r="J470" s="1191"/>
      <c r="K470" s="1199"/>
      <c r="L470" s="1191"/>
      <c r="M470" s="1191"/>
      <c r="N470" s="1191"/>
      <c r="O470" s="1191"/>
      <c r="P470" s="1191"/>
      <c r="Q470" s="1191"/>
      <c r="R470" s="1199"/>
      <c r="S470" s="1191"/>
      <c r="T470" s="1191"/>
      <c r="U470" s="1191"/>
      <c r="V470" s="1191"/>
      <c r="W470" s="1191"/>
      <c r="X470" s="1191"/>
      <c r="Y470" s="1191"/>
      <c r="Z470" s="1191"/>
      <c r="AA470" s="1191"/>
      <c r="AB470" s="1191"/>
      <c r="AC470" s="1191"/>
      <c r="AD470" s="1210"/>
      <c r="AE470" s="1210"/>
      <c r="AF470" s="1210"/>
      <c r="AG470" s="1210"/>
      <c r="AH470" s="1210"/>
      <c r="AI470" s="1210"/>
      <c r="AJ470" s="1210"/>
      <c r="AK470" s="1210"/>
      <c r="AL470" s="1210"/>
      <c r="AM470" s="1210"/>
      <c r="AN470" s="1210"/>
    </row>
    <row r="471" spans="1:40" s="1179" customFormat="1">
      <c r="A471" s="1258"/>
      <c r="B471" s="1188"/>
      <c r="C471" s="1188"/>
      <c r="D471" s="1188"/>
      <c r="E471" s="1210"/>
      <c r="F471" s="1210"/>
      <c r="G471" s="1210"/>
      <c r="H471" s="1210"/>
      <c r="I471" s="1191"/>
      <c r="J471" s="1191"/>
      <c r="K471" s="1199"/>
      <c r="L471" s="1191"/>
      <c r="M471" s="1191"/>
      <c r="N471" s="1191"/>
      <c r="O471" s="1191"/>
      <c r="P471" s="1191"/>
      <c r="Q471" s="1191"/>
      <c r="R471" s="1199"/>
      <c r="S471" s="1191"/>
      <c r="T471" s="1191"/>
      <c r="U471" s="1191"/>
      <c r="V471" s="1191"/>
      <c r="W471" s="1191"/>
      <c r="X471" s="1191"/>
      <c r="Y471" s="1191"/>
      <c r="Z471" s="1191"/>
      <c r="AA471" s="1191"/>
      <c r="AB471" s="1191"/>
      <c r="AC471" s="1191"/>
      <c r="AD471" s="1210"/>
      <c r="AE471" s="1210"/>
      <c r="AF471" s="1210"/>
      <c r="AG471" s="1210"/>
      <c r="AH471" s="1210"/>
      <c r="AI471" s="1210"/>
      <c r="AJ471" s="1210"/>
      <c r="AK471" s="1210"/>
      <c r="AL471" s="1210"/>
      <c r="AM471" s="1210"/>
      <c r="AN471" s="1210"/>
    </row>
    <row r="472" spans="1:40" s="1179" customFormat="1">
      <c r="A472" s="1258"/>
      <c r="B472" s="1188"/>
      <c r="C472" s="1188"/>
      <c r="D472" s="1188"/>
      <c r="E472" s="1210"/>
      <c r="F472" s="1210"/>
      <c r="G472" s="1210"/>
      <c r="H472" s="1210"/>
      <c r="I472" s="1191"/>
      <c r="J472" s="1191"/>
      <c r="K472" s="1199"/>
      <c r="L472" s="1191"/>
      <c r="M472" s="1191"/>
      <c r="N472" s="1191"/>
      <c r="O472" s="1191"/>
      <c r="P472" s="1191"/>
      <c r="Q472" s="1191"/>
      <c r="R472" s="1199"/>
      <c r="S472" s="1191"/>
      <c r="T472" s="1191"/>
      <c r="U472" s="1191"/>
      <c r="V472" s="1191"/>
      <c r="W472" s="1191"/>
      <c r="X472" s="1191"/>
      <c r="Y472" s="1191"/>
      <c r="Z472" s="1191"/>
      <c r="AA472" s="1191"/>
      <c r="AB472" s="1191"/>
      <c r="AC472" s="1191"/>
      <c r="AD472" s="1210"/>
      <c r="AE472" s="1210"/>
      <c r="AF472" s="1210"/>
      <c r="AG472" s="1210"/>
      <c r="AH472" s="1210"/>
      <c r="AI472" s="1210"/>
      <c r="AJ472" s="1210"/>
      <c r="AK472" s="1210"/>
      <c r="AL472" s="1210"/>
      <c r="AM472" s="1210"/>
      <c r="AN472" s="1210"/>
    </row>
    <row r="473" spans="1:40" s="1179" customFormat="1">
      <c r="A473" s="1258"/>
      <c r="B473" s="1188"/>
      <c r="C473" s="1188"/>
      <c r="D473" s="1188"/>
      <c r="E473" s="1210"/>
      <c r="F473" s="1210"/>
      <c r="G473" s="1210"/>
      <c r="H473" s="1210"/>
      <c r="I473" s="1191"/>
      <c r="J473" s="1191"/>
      <c r="K473" s="1199"/>
      <c r="L473" s="1191"/>
      <c r="M473" s="1191"/>
      <c r="N473" s="1191"/>
      <c r="O473" s="1191"/>
      <c r="P473" s="1191"/>
      <c r="Q473" s="1191"/>
      <c r="R473" s="1199"/>
      <c r="S473" s="1191"/>
      <c r="T473" s="1191"/>
      <c r="U473" s="1191"/>
      <c r="V473" s="1191"/>
      <c r="W473" s="1191"/>
      <c r="X473" s="1191"/>
      <c r="Y473" s="1191"/>
      <c r="Z473" s="1191"/>
      <c r="AA473" s="1191"/>
      <c r="AB473" s="1191"/>
      <c r="AC473" s="1191"/>
      <c r="AD473" s="1210"/>
      <c r="AE473" s="1210"/>
      <c r="AF473" s="1210"/>
      <c r="AG473" s="1210"/>
      <c r="AH473" s="1210"/>
      <c r="AI473" s="1210"/>
      <c r="AJ473" s="1210"/>
      <c r="AK473" s="1210"/>
      <c r="AL473" s="1210"/>
      <c r="AM473" s="1210"/>
      <c r="AN473" s="1210"/>
    </row>
    <row r="474" spans="1:40" s="1179" customFormat="1">
      <c r="A474" s="1258"/>
      <c r="B474" s="1188"/>
      <c r="C474" s="1188"/>
      <c r="D474" s="1188"/>
      <c r="E474" s="1210"/>
      <c r="F474" s="1210"/>
      <c r="G474" s="1210"/>
      <c r="H474" s="1210"/>
      <c r="I474" s="1191"/>
      <c r="J474" s="1191"/>
      <c r="K474" s="1199"/>
      <c r="L474" s="1191"/>
      <c r="M474" s="1191"/>
      <c r="N474" s="1191"/>
      <c r="O474" s="1191"/>
      <c r="P474" s="1191"/>
      <c r="Q474" s="1191"/>
      <c r="R474" s="1199"/>
      <c r="S474" s="1191"/>
      <c r="T474" s="1191"/>
      <c r="U474" s="1191"/>
      <c r="V474" s="1191"/>
      <c r="W474" s="1191"/>
      <c r="X474" s="1191"/>
      <c r="Y474" s="1191"/>
      <c r="Z474" s="1191"/>
      <c r="AA474" s="1191"/>
      <c r="AB474" s="1191"/>
      <c r="AC474" s="1191"/>
      <c r="AD474" s="1210"/>
      <c r="AE474" s="1210"/>
      <c r="AF474" s="1210"/>
      <c r="AG474" s="1210"/>
      <c r="AH474" s="1210"/>
      <c r="AI474" s="1210"/>
      <c r="AJ474" s="1210"/>
      <c r="AK474" s="1210"/>
      <c r="AL474" s="1210"/>
      <c r="AM474" s="1210"/>
      <c r="AN474" s="1210"/>
    </row>
    <row r="475" spans="1:40" s="1179" customFormat="1">
      <c r="A475" s="1258"/>
      <c r="B475" s="1188"/>
      <c r="C475" s="1188"/>
      <c r="D475" s="1188"/>
      <c r="E475" s="1210"/>
      <c r="F475" s="1210"/>
      <c r="G475" s="1210"/>
      <c r="H475" s="1210"/>
      <c r="I475" s="1191"/>
      <c r="J475" s="1191"/>
      <c r="K475" s="1199"/>
      <c r="L475" s="1191"/>
      <c r="M475" s="1191"/>
      <c r="N475" s="1191"/>
      <c r="O475" s="1191"/>
      <c r="P475" s="1191"/>
      <c r="Q475" s="1191"/>
      <c r="R475" s="1199"/>
      <c r="S475" s="1191"/>
      <c r="T475" s="1191"/>
      <c r="U475" s="1191"/>
      <c r="V475" s="1191"/>
      <c r="W475" s="1191"/>
      <c r="X475" s="1191"/>
      <c r="Y475" s="1191"/>
      <c r="Z475" s="1191"/>
      <c r="AA475" s="1191"/>
      <c r="AB475" s="1191"/>
      <c r="AC475" s="1191"/>
      <c r="AD475" s="1210"/>
      <c r="AE475" s="1210"/>
      <c r="AF475" s="1210"/>
      <c r="AG475" s="1210"/>
      <c r="AH475" s="1210"/>
      <c r="AI475" s="1210"/>
      <c r="AJ475" s="1210"/>
      <c r="AK475" s="1210"/>
      <c r="AL475" s="1210"/>
      <c r="AM475" s="1210"/>
      <c r="AN475" s="1210"/>
    </row>
    <row r="476" spans="1:40" s="1179" customFormat="1">
      <c r="A476" s="1258"/>
      <c r="B476" s="1188"/>
      <c r="C476" s="1188"/>
      <c r="D476" s="1188"/>
      <c r="E476" s="1210"/>
      <c r="F476" s="1210"/>
      <c r="G476" s="1210"/>
      <c r="H476" s="1210"/>
      <c r="I476" s="1191"/>
      <c r="J476" s="1191"/>
      <c r="K476" s="1199"/>
      <c r="L476" s="1191"/>
      <c r="M476" s="1191"/>
      <c r="N476" s="1191"/>
      <c r="O476" s="1191"/>
      <c r="P476" s="1191"/>
      <c r="Q476" s="1191"/>
      <c r="R476" s="1199"/>
      <c r="S476" s="1191"/>
      <c r="T476" s="1191"/>
      <c r="U476" s="1191"/>
      <c r="V476" s="1191"/>
      <c r="W476" s="1191"/>
      <c r="X476" s="1191"/>
      <c r="Y476" s="1191"/>
      <c r="Z476" s="1191"/>
      <c r="AA476" s="1191"/>
      <c r="AB476" s="1191"/>
      <c r="AC476" s="1191"/>
      <c r="AD476" s="1210"/>
      <c r="AE476" s="1210"/>
      <c r="AF476" s="1210"/>
      <c r="AG476" s="1210"/>
      <c r="AH476" s="1210"/>
      <c r="AI476" s="1210"/>
      <c r="AJ476" s="1210"/>
      <c r="AK476" s="1210"/>
      <c r="AL476" s="1210"/>
      <c r="AM476" s="1210"/>
      <c r="AN476" s="1210"/>
    </row>
    <row r="477" spans="1:40" s="1179" customFormat="1">
      <c r="A477" s="1258"/>
      <c r="B477" s="1188"/>
      <c r="C477" s="1188"/>
      <c r="D477" s="1188"/>
      <c r="E477" s="1210"/>
      <c r="F477" s="1210"/>
      <c r="G477" s="1210"/>
      <c r="H477" s="1210"/>
      <c r="I477" s="1191"/>
      <c r="J477" s="1191"/>
      <c r="K477" s="1199"/>
      <c r="L477" s="1191"/>
      <c r="M477" s="1191"/>
      <c r="N477" s="1191"/>
      <c r="O477" s="1191"/>
      <c r="P477" s="1191"/>
      <c r="Q477" s="1191"/>
      <c r="R477" s="1199"/>
      <c r="S477" s="1191"/>
      <c r="T477" s="1191"/>
      <c r="U477" s="1191"/>
      <c r="V477" s="1191"/>
      <c r="W477" s="1191"/>
      <c r="X477" s="1191"/>
      <c r="Y477" s="1191"/>
      <c r="Z477" s="1191"/>
      <c r="AA477" s="1191"/>
      <c r="AB477" s="1191"/>
      <c r="AC477" s="1191"/>
      <c r="AD477" s="1210"/>
      <c r="AE477" s="1210"/>
      <c r="AF477" s="1210"/>
      <c r="AG477" s="1210"/>
      <c r="AH477" s="1210"/>
      <c r="AI477" s="1210"/>
      <c r="AJ477" s="1210"/>
      <c r="AK477" s="1210"/>
      <c r="AL477" s="1210"/>
      <c r="AM477" s="1210"/>
      <c r="AN477" s="1210"/>
    </row>
    <row r="478" spans="1:40" s="1179" customFormat="1">
      <c r="A478" s="1258"/>
      <c r="B478" s="1188"/>
      <c r="C478" s="1188"/>
      <c r="D478" s="1188"/>
      <c r="E478" s="1210"/>
      <c r="F478" s="1210"/>
      <c r="G478" s="1210"/>
      <c r="H478" s="1210"/>
      <c r="I478" s="1191"/>
      <c r="J478" s="1191"/>
      <c r="K478" s="1199"/>
      <c r="L478" s="1191"/>
      <c r="M478" s="1191"/>
      <c r="N478" s="1191"/>
      <c r="O478" s="1191"/>
      <c r="P478" s="1191"/>
      <c r="Q478" s="1191"/>
      <c r="R478" s="1199"/>
      <c r="S478" s="1191"/>
      <c r="T478" s="1191"/>
      <c r="U478" s="1191"/>
      <c r="V478" s="1191"/>
      <c r="W478" s="1191"/>
      <c r="X478" s="1191"/>
      <c r="Y478" s="1191"/>
      <c r="Z478" s="1191"/>
      <c r="AA478" s="1191"/>
      <c r="AB478" s="1191"/>
      <c r="AC478" s="1191"/>
      <c r="AD478" s="1210"/>
      <c r="AE478" s="1210"/>
      <c r="AF478" s="1210"/>
      <c r="AG478" s="1210"/>
      <c r="AH478" s="1210"/>
      <c r="AI478" s="1210"/>
      <c r="AJ478" s="1210"/>
      <c r="AK478" s="1210"/>
      <c r="AL478" s="1210"/>
      <c r="AM478" s="1210"/>
      <c r="AN478" s="1210"/>
    </row>
    <row r="479" spans="1:40" s="1179" customFormat="1">
      <c r="A479" s="1258"/>
      <c r="B479" s="1188"/>
      <c r="C479" s="1188"/>
      <c r="D479" s="1188"/>
      <c r="E479" s="1210"/>
      <c r="F479" s="1210"/>
      <c r="G479" s="1210"/>
      <c r="H479" s="1210"/>
      <c r="I479" s="1191"/>
      <c r="J479" s="1191"/>
      <c r="K479" s="1199"/>
      <c r="L479" s="1191"/>
      <c r="M479" s="1191"/>
      <c r="N479" s="1191"/>
      <c r="O479" s="1191"/>
      <c r="P479" s="1191"/>
      <c r="Q479" s="1191"/>
      <c r="R479" s="1199"/>
      <c r="S479" s="1191"/>
      <c r="T479" s="1191"/>
      <c r="U479" s="1191"/>
      <c r="V479" s="1191"/>
      <c r="W479" s="1191"/>
      <c r="X479" s="1191"/>
      <c r="Y479" s="1191"/>
      <c r="Z479" s="1191"/>
      <c r="AA479" s="1191"/>
      <c r="AB479" s="1191"/>
      <c r="AC479" s="1191"/>
      <c r="AD479" s="1210"/>
      <c r="AE479" s="1210"/>
      <c r="AF479" s="1210"/>
      <c r="AG479" s="1210"/>
      <c r="AH479" s="1210"/>
      <c r="AI479" s="1210"/>
      <c r="AJ479" s="1210"/>
      <c r="AK479" s="1210"/>
      <c r="AL479" s="1210"/>
      <c r="AM479" s="1210"/>
      <c r="AN479" s="1210"/>
    </row>
    <row r="480" spans="1:40" s="1179" customFormat="1">
      <c r="A480" s="1258"/>
      <c r="B480" s="1188"/>
      <c r="C480" s="1188"/>
      <c r="D480" s="1188"/>
      <c r="E480" s="1210"/>
      <c r="F480" s="1210"/>
      <c r="G480" s="1210"/>
      <c r="H480" s="1210"/>
      <c r="I480" s="1191"/>
      <c r="J480" s="1191"/>
      <c r="K480" s="1199"/>
      <c r="L480" s="1191"/>
      <c r="M480" s="1191"/>
      <c r="N480" s="1191"/>
      <c r="O480" s="1191"/>
      <c r="P480" s="1191"/>
      <c r="Q480" s="1191"/>
      <c r="R480" s="1199"/>
      <c r="S480" s="1191"/>
      <c r="T480" s="1191"/>
      <c r="U480" s="1191"/>
      <c r="V480" s="1191"/>
      <c r="W480" s="1191"/>
      <c r="X480" s="1191"/>
      <c r="Y480" s="1191"/>
      <c r="Z480" s="1191"/>
      <c r="AA480" s="1191"/>
      <c r="AB480" s="1191"/>
      <c r="AC480" s="1191"/>
      <c r="AD480" s="1210"/>
      <c r="AE480" s="1210"/>
      <c r="AF480" s="1210"/>
      <c r="AG480" s="1210"/>
      <c r="AH480" s="1210"/>
      <c r="AI480" s="1210"/>
      <c r="AJ480" s="1210"/>
      <c r="AK480" s="1210"/>
      <c r="AL480" s="1210"/>
      <c r="AM480" s="1210"/>
      <c r="AN480" s="1210"/>
    </row>
  </sheetData>
  <autoFilter ref="A11:AV90"/>
  <mergeCells count="87">
    <mergeCell ref="A7:AN7"/>
    <mergeCell ref="A8:AN8"/>
    <mergeCell ref="F9:AJ9"/>
    <mergeCell ref="A1:AN1"/>
    <mergeCell ref="A2:AN2"/>
    <mergeCell ref="A3:AN3"/>
    <mergeCell ref="A4:P4"/>
    <mergeCell ref="A5:P5"/>
    <mergeCell ref="AK9:AK10"/>
    <mergeCell ref="AL9:AL10"/>
    <mergeCell ref="AM9:AM10"/>
    <mergeCell ref="AN9:AN10"/>
    <mergeCell ref="A9:B10"/>
    <mergeCell ref="AH97:AK97"/>
    <mergeCell ref="AL97:AM97"/>
    <mergeCell ref="AL94:AM94"/>
    <mergeCell ref="D95:E95"/>
    <mergeCell ref="F95:L95"/>
    <mergeCell ref="M95:P95"/>
    <mergeCell ref="Q95:S95"/>
    <mergeCell ref="T95:Z95"/>
    <mergeCell ref="AA95:AG95"/>
    <mergeCell ref="AH95:AK95"/>
    <mergeCell ref="AL95:AM95"/>
    <mergeCell ref="M94:P94"/>
    <mergeCell ref="F94:L94"/>
    <mergeCell ref="D94:E94"/>
    <mergeCell ref="AH99:AK99"/>
    <mergeCell ref="AL99:AM99"/>
    <mergeCell ref="D96:E96"/>
    <mergeCell ref="F96:L96"/>
    <mergeCell ref="M96:P96"/>
    <mergeCell ref="Q96:S96"/>
    <mergeCell ref="T96:Z96"/>
    <mergeCell ref="AA96:AG96"/>
    <mergeCell ref="AH96:AK96"/>
    <mergeCell ref="AL96:AM96"/>
    <mergeCell ref="D97:E97"/>
    <mergeCell ref="F97:L97"/>
    <mergeCell ref="M97:P97"/>
    <mergeCell ref="Q97:S97"/>
    <mergeCell ref="T97:Z97"/>
    <mergeCell ref="AA97:AG97"/>
    <mergeCell ref="AH100:AK100"/>
    <mergeCell ref="AL100:AM100"/>
    <mergeCell ref="D98:E98"/>
    <mergeCell ref="F98:L98"/>
    <mergeCell ref="M98:P98"/>
    <mergeCell ref="Q98:S98"/>
    <mergeCell ref="T98:Z98"/>
    <mergeCell ref="AA98:AG98"/>
    <mergeCell ref="AH98:AK98"/>
    <mergeCell ref="AL98:AM98"/>
    <mergeCell ref="D99:E99"/>
    <mergeCell ref="F99:L99"/>
    <mergeCell ref="M99:P99"/>
    <mergeCell ref="Q99:S99"/>
    <mergeCell ref="T99:Z99"/>
    <mergeCell ref="AA99:AG99"/>
    <mergeCell ref="AL92:AM93"/>
    <mergeCell ref="F92:L93"/>
    <mergeCell ref="AH94:AK94"/>
    <mergeCell ref="AA94:AG94"/>
    <mergeCell ref="T94:Z94"/>
    <mergeCell ref="Q94:S94"/>
    <mergeCell ref="M92:S92"/>
    <mergeCell ref="T92:AK92"/>
    <mergeCell ref="M93:P93"/>
    <mergeCell ref="Q93:S93"/>
    <mergeCell ref="T93:Z93"/>
    <mergeCell ref="AA93:AG93"/>
    <mergeCell ref="AH93:AK93"/>
    <mergeCell ref="A103:D103"/>
    <mergeCell ref="F103:L103"/>
    <mergeCell ref="O103:T103"/>
    <mergeCell ref="W103:AC103"/>
    <mergeCell ref="C9:C10"/>
    <mergeCell ref="D9:D10"/>
    <mergeCell ref="E9:E10"/>
    <mergeCell ref="D92:E93"/>
    <mergeCell ref="D100:E100"/>
    <mergeCell ref="F100:L100"/>
    <mergeCell ref="M100:P100"/>
    <mergeCell ref="Q100:S100"/>
    <mergeCell ref="T100:Z100"/>
    <mergeCell ref="AA100:AG100"/>
    <mergeCell ref="A90:D90"/>
  </mergeCells>
  <pageMargins left="0" right="0" top="0" bottom="0.39370078740157499" header="0" footer="0"/>
  <pageSetup paperSize="9" scale="79" fitToHeight="0" orientation="landscape" r:id="rId1"/>
  <headerFooter>
    <oddFooter>&amp;RPage &amp;P/6</oddFooter>
  </headerFooter>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39988402966399123"/>
  </sheetPr>
  <dimension ref="A1:AU469"/>
  <sheetViews>
    <sheetView topLeftCell="A71" zoomScale="85" zoomScaleNormal="85" zoomScaleSheetLayoutView="140" workbookViewId="0">
      <selection activeCell="A6" sqref="A6"/>
    </sheetView>
  </sheetViews>
  <sheetFormatPr defaultColWidth="5.7109375" defaultRowHeight="12.75" outlineLevelRow="1"/>
  <cols>
    <col min="1" max="1" width="5" style="335" customWidth="1"/>
    <col min="2" max="2" width="4.140625" style="335" customWidth="1"/>
    <col min="3" max="3" width="6.85546875" style="335" customWidth="1"/>
    <col min="4" max="4" width="12.140625" style="335" customWidth="1"/>
    <col min="5" max="5" width="10.85546875" style="335" customWidth="1"/>
    <col min="6" max="36" width="3.7109375" style="335" customWidth="1"/>
    <col min="37" max="37" width="6.28515625" style="335" customWidth="1"/>
    <col min="38" max="38" width="4.5703125" style="335" customWidth="1"/>
    <col min="39" max="39" width="5.5703125" style="335" customWidth="1"/>
    <col min="40" max="40" width="5.5703125" style="335" hidden="1" customWidth="1"/>
    <col min="41" max="41" width="11.42578125" style="335" hidden="1" customWidth="1"/>
    <col min="42" max="42" width="6" style="335" customWidth="1"/>
    <col min="43" max="43" width="5.7109375" style="335"/>
    <col min="44" max="44" width="8" style="335" customWidth="1"/>
    <col min="45" max="45" width="9.28515625" style="335"/>
    <col min="46" max="16384" width="5.7109375" style="335"/>
  </cols>
  <sheetData>
    <row r="1" spans="1:45" ht="16.5">
      <c r="A1" s="2299" t="s">
        <v>1928</v>
      </c>
      <c r="B1" s="2299"/>
      <c r="C1" s="2299"/>
      <c r="D1" s="2299"/>
      <c r="E1" s="2299"/>
      <c r="F1" s="2299"/>
      <c r="G1" s="2299"/>
      <c r="H1" s="2299"/>
      <c r="I1" s="2299"/>
      <c r="J1" s="2299"/>
      <c r="K1" s="2299"/>
      <c r="L1" s="2299"/>
      <c r="M1" s="2299"/>
      <c r="N1" s="2299"/>
      <c r="O1" s="2299"/>
      <c r="P1" s="2299"/>
      <c r="Q1" s="2299"/>
      <c r="R1" s="2299"/>
      <c r="S1" s="2299"/>
      <c r="T1" s="2299"/>
      <c r="U1" s="2299"/>
      <c r="V1" s="2299"/>
      <c r="W1" s="2299"/>
      <c r="X1" s="2299"/>
      <c r="Y1" s="2299"/>
      <c r="Z1" s="2299"/>
      <c r="AA1" s="2299"/>
      <c r="AB1" s="2299"/>
      <c r="AC1" s="2299"/>
      <c r="AD1" s="2299"/>
      <c r="AE1" s="2299"/>
      <c r="AF1" s="2299"/>
      <c r="AG1" s="2299"/>
      <c r="AH1" s="2299"/>
      <c r="AI1" s="2299"/>
      <c r="AJ1" s="2299"/>
      <c r="AK1" s="2299"/>
      <c r="AL1" s="2299"/>
      <c r="AM1" s="2299"/>
      <c r="AN1" s="2299"/>
      <c r="AO1" s="2299"/>
      <c r="AP1" s="2299"/>
    </row>
    <row r="2" spans="1:45" ht="16.5">
      <c r="A2" s="2299" t="s">
        <v>1968</v>
      </c>
      <c r="B2" s="2299"/>
      <c r="C2" s="2299"/>
      <c r="D2" s="2299"/>
      <c r="E2" s="2299"/>
      <c r="F2" s="2299"/>
      <c r="G2" s="2299"/>
      <c r="H2" s="2299"/>
      <c r="I2" s="2299"/>
      <c r="J2" s="2299"/>
      <c r="K2" s="2299"/>
      <c r="L2" s="2299"/>
      <c r="M2" s="2299"/>
      <c r="N2" s="2299"/>
      <c r="O2" s="2299"/>
      <c r="P2" s="2299"/>
      <c r="Q2" s="2299"/>
      <c r="R2" s="2299"/>
      <c r="S2" s="2299"/>
      <c r="T2" s="2299"/>
      <c r="U2" s="2299"/>
      <c r="V2" s="2299"/>
      <c r="W2" s="2299"/>
      <c r="X2" s="2299"/>
      <c r="Y2" s="2299"/>
      <c r="Z2" s="2299"/>
      <c r="AA2" s="2299"/>
      <c r="AB2" s="2299"/>
      <c r="AC2" s="2299"/>
      <c r="AD2" s="2299"/>
      <c r="AE2" s="2299"/>
      <c r="AF2" s="2299"/>
      <c r="AG2" s="2299"/>
      <c r="AH2" s="2299"/>
      <c r="AI2" s="2299"/>
      <c r="AJ2" s="2299"/>
      <c r="AK2" s="2299"/>
      <c r="AL2" s="2299"/>
      <c r="AM2" s="2299"/>
      <c r="AN2" s="2299"/>
      <c r="AO2" s="2299"/>
      <c r="AP2" s="2299"/>
    </row>
    <row r="3" spans="1:45" ht="14.25" customHeight="1">
      <c r="A3" s="2623" t="s">
        <v>619</v>
      </c>
      <c r="B3" s="2624"/>
      <c r="C3" s="2624"/>
      <c r="D3" s="2624"/>
      <c r="E3" s="2624"/>
      <c r="F3" s="2624"/>
      <c r="G3" s="2624"/>
      <c r="H3" s="2624"/>
      <c r="I3" s="2624"/>
      <c r="J3" s="2624"/>
      <c r="K3" s="2624"/>
      <c r="L3" s="2624"/>
      <c r="M3" s="2624"/>
      <c r="N3" s="2624"/>
      <c r="O3" s="2624"/>
      <c r="P3" s="2624"/>
      <c r="Q3" s="2624"/>
      <c r="R3" s="2624"/>
      <c r="S3" s="2624"/>
      <c r="T3" s="2624"/>
      <c r="U3" s="2624"/>
      <c r="V3" s="2624"/>
      <c r="W3" s="2624"/>
      <c r="X3" s="2624"/>
      <c r="Y3" s="2624"/>
      <c r="Z3" s="2624"/>
      <c r="AA3" s="2624"/>
      <c r="AB3" s="2624"/>
      <c r="AC3" s="2624"/>
      <c r="AD3" s="2624"/>
      <c r="AE3" s="2624"/>
      <c r="AF3" s="2624"/>
      <c r="AG3" s="2624"/>
      <c r="AH3" s="2624"/>
      <c r="AI3" s="2624"/>
      <c r="AJ3" s="2624"/>
      <c r="AK3" s="2624"/>
      <c r="AL3" s="2624"/>
      <c r="AM3" s="2624"/>
      <c r="AN3" s="2624"/>
      <c r="AO3" s="2624"/>
      <c r="AP3" s="2624"/>
    </row>
    <row r="4" spans="1:45" ht="17.25" customHeight="1">
      <c r="A4" s="2625" t="s">
        <v>2526</v>
      </c>
      <c r="B4" s="2625"/>
      <c r="C4" s="2625"/>
      <c r="D4" s="2625"/>
      <c r="E4" s="2625"/>
      <c r="F4" s="2625"/>
      <c r="G4" s="2625"/>
      <c r="H4" s="2625"/>
      <c r="I4" s="2625"/>
      <c r="J4" s="2625"/>
      <c r="K4" s="2625"/>
      <c r="L4" s="2625"/>
      <c r="M4" s="2625"/>
      <c r="N4" s="1188"/>
      <c r="O4" s="1188"/>
      <c r="P4" s="1188"/>
      <c r="Q4" s="1188"/>
      <c r="R4" s="1188"/>
      <c r="S4" s="1188"/>
      <c r="T4" s="1207"/>
      <c r="U4" s="1207"/>
      <c r="V4" s="1207"/>
      <c r="W4" s="1207"/>
      <c r="X4" s="1207"/>
      <c r="Y4" s="1207"/>
      <c r="Z4" s="1207"/>
      <c r="AA4" s="1207"/>
      <c r="AB4" s="1207"/>
      <c r="AC4" s="1207"/>
      <c r="AD4" s="1207"/>
      <c r="AE4" s="1207"/>
      <c r="AF4" s="1207"/>
      <c r="AG4" s="1207"/>
      <c r="AH4" s="1207"/>
      <c r="AI4" s="1207"/>
      <c r="AJ4" s="1207"/>
      <c r="AK4" s="1207"/>
      <c r="AL4" s="1207"/>
      <c r="AM4" s="1207"/>
      <c r="AN4" s="1207"/>
      <c r="AO4" s="1207"/>
      <c r="AP4" s="1188"/>
    </row>
    <row r="5" spans="1:45" ht="17.25" customHeight="1">
      <c r="A5" s="2551" t="s">
        <v>3172</v>
      </c>
      <c r="B5" s="2551"/>
      <c r="C5" s="2551"/>
      <c r="D5" s="2551"/>
      <c r="E5" s="2551"/>
      <c r="F5" s="2551"/>
      <c r="G5" s="2551"/>
      <c r="H5" s="2551"/>
      <c r="I5" s="2551"/>
      <c r="J5" s="2551"/>
      <c r="K5" s="2551"/>
      <c r="L5" s="2551"/>
      <c r="M5" s="2551"/>
      <c r="N5" s="1188"/>
      <c r="O5" s="1188"/>
      <c r="P5" s="1188"/>
      <c r="Q5" s="1188"/>
      <c r="R5" s="1188"/>
      <c r="S5" s="1188"/>
      <c r="T5" s="1207"/>
      <c r="U5" s="1207"/>
      <c r="V5" s="1207"/>
      <c r="W5" s="1207"/>
      <c r="X5" s="1207"/>
      <c r="Y5" s="1207"/>
      <c r="Z5" s="1207"/>
      <c r="AA5" s="1207"/>
      <c r="AB5" s="1207"/>
      <c r="AC5" s="1207"/>
      <c r="AD5" s="1207"/>
      <c r="AE5" s="1207"/>
      <c r="AF5" s="1207"/>
      <c r="AG5" s="1207"/>
      <c r="AH5" s="1207"/>
      <c r="AI5" s="1207"/>
      <c r="AJ5" s="1207"/>
      <c r="AK5" s="1207"/>
      <c r="AL5" s="1207"/>
      <c r="AM5" s="1207"/>
      <c r="AN5" s="1207"/>
      <c r="AO5" s="1207"/>
      <c r="AP5" s="1188"/>
    </row>
    <row r="6" spans="1:45" ht="18" customHeight="1">
      <c r="A6" s="1214"/>
      <c r="B6" s="1214"/>
      <c r="C6" s="1214"/>
      <c r="D6" s="1214"/>
      <c r="E6" s="1188"/>
      <c r="F6" s="1214"/>
      <c r="G6" s="1214"/>
      <c r="H6" s="1214"/>
      <c r="I6" s="1214"/>
      <c r="J6" s="1214"/>
      <c r="K6" s="1214"/>
      <c r="L6" s="1214"/>
      <c r="M6" s="1214"/>
      <c r="N6" s="1188"/>
      <c r="O6" s="1188"/>
      <c r="P6" s="1188"/>
      <c r="Q6" s="1188"/>
      <c r="R6" s="1188"/>
      <c r="S6" s="1188"/>
      <c r="T6" s="1207"/>
      <c r="U6" s="1207"/>
      <c r="V6" s="1207"/>
      <c r="W6" s="1207"/>
      <c r="X6" s="1207"/>
      <c r="Y6" s="1207"/>
      <c r="Z6" s="1207"/>
      <c r="AA6" s="1207"/>
      <c r="AB6" s="1207"/>
      <c r="AC6" s="1207"/>
      <c r="AD6" s="1207"/>
      <c r="AE6" s="1207"/>
      <c r="AF6" s="1207"/>
      <c r="AG6" s="1207"/>
      <c r="AH6" s="1207"/>
      <c r="AI6" s="1207"/>
      <c r="AJ6" s="1207"/>
      <c r="AK6" s="1207"/>
      <c r="AL6" s="1207"/>
      <c r="AM6" s="1207"/>
      <c r="AN6" s="1207"/>
      <c r="AO6" s="1207"/>
      <c r="AP6" s="1188"/>
    </row>
    <row r="7" spans="1:45" ht="27.75" customHeight="1">
      <c r="A7" s="2300" t="s">
        <v>2547</v>
      </c>
      <c r="B7" s="2300"/>
      <c r="C7" s="2300"/>
      <c r="D7" s="2300"/>
      <c r="E7" s="2300"/>
      <c r="F7" s="2300"/>
      <c r="G7" s="2300"/>
      <c r="H7" s="2300"/>
      <c r="I7" s="2300"/>
      <c r="J7" s="2300"/>
      <c r="K7" s="2300"/>
      <c r="L7" s="2300"/>
      <c r="M7" s="2300"/>
      <c r="N7" s="2300"/>
      <c r="O7" s="2300"/>
      <c r="P7" s="2300"/>
      <c r="Q7" s="2300"/>
      <c r="R7" s="2300"/>
      <c r="S7" s="2300"/>
      <c r="T7" s="2300"/>
      <c r="U7" s="2300"/>
      <c r="V7" s="2300"/>
      <c r="W7" s="2300"/>
      <c r="X7" s="2300"/>
      <c r="Y7" s="2300"/>
      <c r="Z7" s="2300"/>
      <c r="AA7" s="2300"/>
      <c r="AB7" s="2300"/>
      <c r="AC7" s="2300"/>
      <c r="AD7" s="2300"/>
      <c r="AE7" s="2300"/>
      <c r="AF7" s="2300"/>
      <c r="AG7" s="2300"/>
      <c r="AH7" s="2300"/>
      <c r="AI7" s="2300"/>
      <c r="AJ7" s="2300"/>
      <c r="AK7" s="2300"/>
      <c r="AL7" s="2300"/>
      <c r="AM7" s="2300"/>
      <c r="AN7" s="2300"/>
      <c r="AO7" s="2300"/>
      <c r="AP7" s="2300"/>
    </row>
    <row r="8" spans="1:45" ht="18.75" customHeight="1">
      <c r="A8" s="2620" t="s">
        <v>2528</v>
      </c>
      <c r="B8" s="2620"/>
      <c r="C8" s="2620"/>
      <c r="D8" s="2620"/>
      <c r="E8" s="2620"/>
      <c r="F8" s="2620"/>
      <c r="G8" s="2620"/>
      <c r="H8" s="2620"/>
      <c r="I8" s="2620"/>
      <c r="J8" s="2620"/>
      <c r="K8" s="2620"/>
      <c r="L8" s="2620"/>
      <c r="M8" s="2620"/>
      <c r="N8" s="2620"/>
      <c r="O8" s="2620"/>
      <c r="P8" s="2620"/>
      <c r="Q8" s="2620"/>
      <c r="R8" s="2620"/>
      <c r="S8" s="2620"/>
      <c r="T8" s="2620"/>
      <c r="U8" s="2620"/>
      <c r="V8" s="2620"/>
      <c r="W8" s="2620"/>
      <c r="X8" s="2620"/>
      <c r="Y8" s="2620"/>
      <c r="Z8" s="2620"/>
      <c r="AA8" s="2620"/>
      <c r="AB8" s="2620"/>
      <c r="AC8" s="2620"/>
      <c r="AD8" s="2620"/>
      <c r="AE8" s="2620"/>
      <c r="AF8" s="2620"/>
      <c r="AG8" s="2620"/>
      <c r="AH8" s="2620"/>
      <c r="AI8" s="2620"/>
      <c r="AJ8" s="2620"/>
      <c r="AK8" s="2620"/>
      <c r="AL8" s="2620"/>
      <c r="AM8" s="2620"/>
      <c r="AN8" s="2620"/>
      <c r="AO8" s="2620"/>
      <c r="AP8" s="2620"/>
    </row>
    <row r="9" spans="1:45" ht="18.75" customHeight="1">
      <c r="A9" s="1215"/>
      <c r="B9" s="1215"/>
      <c r="C9" s="1215"/>
      <c r="D9" s="1215"/>
      <c r="E9" s="1215"/>
      <c r="F9" s="1215"/>
      <c r="G9" s="1215"/>
      <c r="H9" s="1215"/>
      <c r="I9" s="1215"/>
      <c r="J9" s="1215"/>
      <c r="K9" s="1215"/>
      <c r="L9" s="1215"/>
      <c r="M9" s="1215"/>
      <c r="N9" s="1215"/>
      <c r="O9" s="1215"/>
      <c r="P9" s="1215"/>
      <c r="Q9" s="1215"/>
      <c r="R9" s="1215"/>
      <c r="S9" s="1215"/>
      <c r="T9" s="1215"/>
      <c r="U9" s="1215"/>
      <c r="V9" s="1215"/>
      <c r="W9" s="1215"/>
      <c r="X9" s="1215"/>
      <c r="Y9" s="1215"/>
      <c r="Z9" s="1215"/>
      <c r="AA9" s="1215"/>
      <c r="AB9" s="1215"/>
      <c r="AC9" s="1215"/>
      <c r="AD9" s="1215"/>
      <c r="AE9" s="1215"/>
      <c r="AF9" s="1215"/>
      <c r="AG9" s="1215"/>
      <c r="AH9" s="1215"/>
      <c r="AI9" s="1215"/>
      <c r="AJ9" s="1215"/>
      <c r="AK9" s="1215"/>
      <c r="AL9" s="1215"/>
      <c r="AM9" s="1215"/>
      <c r="AN9" s="1215"/>
      <c r="AO9" s="1215"/>
      <c r="AP9" s="1215"/>
    </row>
    <row r="10" spans="1:45" ht="27" customHeight="1">
      <c r="A10" s="2610" t="s">
        <v>623</v>
      </c>
      <c r="B10" s="2611"/>
      <c r="C10" s="2553" t="s">
        <v>1932</v>
      </c>
      <c r="D10" s="2553" t="s">
        <v>356</v>
      </c>
      <c r="E10" s="2615" t="s">
        <v>627</v>
      </c>
      <c r="F10" s="2553" t="s">
        <v>529</v>
      </c>
      <c r="G10" s="2553"/>
      <c r="H10" s="2553"/>
      <c r="I10" s="2553"/>
      <c r="J10" s="2553"/>
      <c r="K10" s="2553"/>
      <c r="L10" s="2553"/>
      <c r="M10" s="2553"/>
      <c r="N10" s="2553"/>
      <c r="O10" s="2553"/>
      <c r="P10" s="2553"/>
      <c r="Q10" s="2553"/>
      <c r="R10" s="2553"/>
      <c r="S10" s="2553"/>
      <c r="T10" s="2553"/>
      <c r="U10" s="2553"/>
      <c r="V10" s="2553"/>
      <c r="W10" s="2553"/>
      <c r="X10" s="2553"/>
      <c r="Y10" s="2553"/>
      <c r="Z10" s="2553"/>
      <c r="AA10" s="2553"/>
      <c r="AB10" s="2553"/>
      <c r="AC10" s="2553"/>
      <c r="AD10" s="2553"/>
      <c r="AE10" s="2553"/>
      <c r="AF10" s="2553"/>
      <c r="AG10" s="2553"/>
      <c r="AH10" s="2553"/>
      <c r="AI10" s="2553"/>
      <c r="AJ10" s="2553"/>
      <c r="AK10" s="2616" t="s">
        <v>2548</v>
      </c>
      <c r="AL10" s="2616" t="s">
        <v>2549</v>
      </c>
      <c r="AM10" s="2622" t="s">
        <v>3321</v>
      </c>
      <c r="AN10" s="2616" t="s">
        <v>2550</v>
      </c>
      <c r="AO10" s="2616" t="s">
        <v>2551</v>
      </c>
      <c r="AP10" s="2615" t="s">
        <v>525</v>
      </c>
      <c r="AR10" s="600">
        <v>672.57</v>
      </c>
    </row>
    <row r="11" spans="1:45" ht="36" customHeight="1">
      <c r="A11" s="2612"/>
      <c r="B11" s="2613"/>
      <c r="C11" s="2553"/>
      <c r="D11" s="2553"/>
      <c r="E11" s="2615"/>
      <c r="F11" s="1216">
        <v>1</v>
      </c>
      <c r="G11" s="1216">
        <v>2</v>
      </c>
      <c r="H11" s="1216">
        <v>3</v>
      </c>
      <c r="I11" s="1216">
        <v>4</v>
      </c>
      <c r="J11" s="1216">
        <v>5</v>
      </c>
      <c r="K11" s="1216">
        <v>6</v>
      </c>
      <c r="L11" s="1216">
        <v>7</v>
      </c>
      <c r="M11" s="1216">
        <v>8</v>
      </c>
      <c r="N11" s="1216">
        <v>9</v>
      </c>
      <c r="O11" s="1216">
        <v>10</v>
      </c>
      <c r="P11" s="1216">
        <v>11</v>
      </c>
      <c r="Q11" s="1216">
        <v>12</v>
      </c>
      <c r="R11" s="1216">
        <v>13</v>
      </c>
      <c r="S11" s="1216">
        <v>14</v>
      </c>
      <c r="T11" s="1216">
        <v>15</v>
      </c>
      <c r="U11" s="1216">
        <v>16</v>
      </c>
      <c r="V11" s="1216">
        <v>17</v>
      </c>
      <c r="W11" s="1216">
        <v>18</v>
      </c>
      <c r="X11" s="1216">
        <v>19</v>
      </c>
      <c r="Y11" s="1216">
        <v>20</v>
      </c>
      <c r="Z11" s="1216">
        <v>21</v>
      </c>
      <c r="AA11" s="1216">
        <v>22</v>
      </c>
      <c r="AB11" s="1216">
        <v>23</v>
      </c>
      <c r="AC11" s="1216">
        <v>24</v>
      </c>
      <c r="AD11" s="1216">
        <v>25</v>
      </c>
      <c r="AE11" s="1216">
        <v>26</v>
      </c>
      <c r="AF11" s="1216">
        <v>27</v>
      </c>
      <c r="AG11" s="1216">
        <v>28</v>
      </c>
      <c r="AH11" s="1216">
        <v>29</v>
      </c>
      <c r="AI11" s="1216">
        <v>30</v>
      </c>
      <c r="AJ11" s="1216">
        <v>31</v>
      </c>
      <c r="AK11" s="2616"/>
      <c r="AL11" s="2616"/>
      <c r="AM11" s="2616"/>
      <c r="AN11" s="2616"/>
      <c r="AO11" s="2616"/>
      <c r="AP11" s="2615"/>
      <c r="AR11" s="335">
        <v>46.1</v>
      </c>
    </row>
    <row r="12" spans="1:45" ht="16.149999999999999" customHeight="1" outlineLevel="1">
      <c r="A12" s="1219">
        <v>1</v>
      </c>
      <c r="B12" s="1219"/>
      <c r="C12" s="1639" t="s">
        <v>3288</v>
      </c>
      <c r="D12" s="1220" t="s">
        <v>3173</v>
      </c>
      <c r="E12" s="1221"/>
      <c r="F12" s="1219"/>
      <c r="G12" s="1219" t="s">
        <v>2553</v>
      </c>
      <c r="H12" s="1219" t="s">
        <v>2553</v>
      </c>
      <c r="I12" s="1219" t="s">
        <v>2553</v>
      </c>
      <c r="J12" s="1219" t="s">
        <v>2553</v>
      </c>
      <c r="K12" s="1219" t="s">
        <v>2553</v>
      </c>
      <c r="L12" s="1219" t="s">
        <v>2553</v>
      </c>
      <c r="M12" s="1219" t="s">
        <v>2552</v>
      </c>
      <c r="N12" s="1219" t="s">
        <v>2553</v>
      </c>
      <c r="O12" s="1219" t="s">
        <v>2553</v>
      </c>
      <c r="P12" s="1219" t="s">
        <v>2553</v>
      </c>
      <c r="Q12" s="1219"/>
      <c r="R12" s="1219" t="s">
        <v>2553</v>
      </c>
      <c r="S12" s="1219"/>
      <c r="T12" s="1219" t="s">
        <v>2552</v>
      </c>
      <c r="U12" s="1219" t="s">
        <v>2553</v>
      </c>
      <c r="V12" s="1219" t="s">
        <v>2553</v>
      </c>
      <c r="W12" s="1219" t="s">
        <v>2553</v>
      </c>
      <c r="X12" s="1219" t="s">
        <v>2553</v>
      </c>
      <c r="Y12" s="1219" t="s">
        <v>2553</v>
      </c>
      <c r="Z12" s="1219" t="s">
        <v>2553</v>
      </c>
      <c r="AA12" s="1219" t="s">
        <v>2552</v>
      </c>
      <c r="AB12" s="1219" t="s">
        <v>2553</v>
      </c>
      <c r="AC12" s="1219"/>
      <c r="AD12" s="1219" t="s">
        <v>2553</v>
      </c>
      <c r="AE12" s="1219" t="s">
        <v>2553</v>
      </c>
      <c r="AF12" s="1219" t="s">
        <v>2553</v>
      </c>
      <c r="AG12" s="1219" t="s">
        <v>2553</v>
      </c>
      <c r="AH12" s="1219" t="s">
        <v>2552</v>
      </c>
      <c r="AI12" s="1219" t="s">
        <v>2553</v>
      </c>
      <c r="AJ12" s="1219"/>
      <c r="AK12" s="1222">
        <f>COUNTIF(F12:AJ12,"X")</f>
        <v>22</v>
      </c>
      <c r="AL12" s="1222">
        <f>COUNTIF(F12:AJ12,"CN")</f>
        <v>4</v>
      </c>
      <c r="AM12" s="1222">
        <f>COUNTIF(F12:AJ12,"Đc")</f>
        <v>0</v>
      </c>
      <c r="AN12" s="1222">
        <f>COUNTIF(F12:AJ12,"GT")</f>
        <v>0</v>
      </c>
      <c r="AO12" s="1222">
        <f>COUNTIF(F12:AJ12,"CT")</f>
        <v>0</v>
      </c>
      <c r="AP12" s="1221">
        <f>SUM(AK12:AM12)</f>
        <v>26</v>
      </c>
      <c r="AQ12" s="1223"/>
    </row>
    <row r="13" spans="1:45" ht="16.149999999999999" customHeight="1" outlineLevel="1">
      <c r="A13" s="1219">
        <v>2</v>
      </c>
      <c r="B13" s="1219"/>
      <c r="C13" s="1639" t="s">
        <v>3293</v>
      </c>
      <c r="D13" s="1220" t="s">
        <v>936</v>
      </c>
      <c r="E13" s="1221"/>
      <c r="F13" s="1219" t="s">
        <v>2552</v>
      </c>
      <c r="G13" s="1219" t="s">
        <v>2553</v>
      </c>
      <c r="H13" s="1219" t="s">
        <v>2553</v>
      </c>
      <c r="I13" s="1219" t="s">
        <v>2553</v>
      </c>
      <c r="J13" s="1219" t="s">
        <v>2553</v>
      </c>
      <c r="K13" s="1219" t="s">
        <v>2553</v>
      </c>
      <c r="L13" s="1219" t="s">
        <v>2553</v>
      </c>
      <c r="M13" s="1219" t="s">
        <v>2552</v>
      </c>
      <c r="N13" s="1219" t="s">
        <v>2553</v>
      </c>
      <c r="O13" s="1219" t="s">
        <v>2553</v>
      </c>
      <c r="P13" s="1219" t="s">
        <v>2553</v>
      </c>
      <c r="Q13" s="1219"/>
      <c r="R13" s="1219" t="s">
        <v>2553</v>
      </c>
      <c r="S13" s="1219" t="s">
        <v>2553</v>
      </c>
      <c r="T13" s="1219" t="s">
        <v>2552</v>
      </c>
      <c r="U13" s="1219" t="s">
        <v>2553</v>
      </c>
      <c r="V13" s="1219" t="s">
        <v>2553</v>
      </c>
      <c r="W13" s="1219" t="s">
        <v>2553</v>
      </c>
      <c r="X13" s="1219" t="s">
        <v>2553</v>
      </c>
      <c r="Y13" s="1219" t="s">
        <v>2553</v>
      </c>
      <c r="Z13" s="1219" t="s">
        <v>2553</v>
      </c>
      <c r="AA13" s="1219" t="s">
        <v>2552</v>
      </c>
      <c r="AB13" s="1219" t="s">
        <v>2553</v>
      </c>
      <c r="AC13" s="1219" t="s">
        <v>2553</v>
      </c>
      <c r="AD13" s="1219" t="s">
        <v>2553</v>
      </c>
      <c r="AE13" s="1219" t="s">
        <v>2553</v>
      </c>
      <c r="AF13" s="1219" t="s">
        <v>2553</v>
      </c>
      <c r="AG13" s="1219" t="s">
        <v>2553</v>
      </c>
      <c r="AH13" s="1219" t="s">
        <v>2552</v>
      </c>
      <c r="AI13" s="1219" t="s">
        <v>2553</v>
      </c>
      <c r="AJ13" s="1219"/>
      <c r="AK13" s="1222">
        <f t="shared" ref="AK13:AK76" si="0">COUNTIF(F13:AJ13,"X")</f>
        <v>24</v>
      </c>
      <c r="AL13" s="1222">
        <f t="shared" ref="AL13:AL76" si="1">COUNTIF(F13:AJ13,"CN")</f>
        <v>5</v>
      </c>
      <c r="AM13" s="1222">
        <f t="shared" ref="AM13:AM76" si="2">COUNTIF(F13:AJ13,"Đc")</f>
        <v>0</v>
      </c>
      <c r="AN13" s="1222">
        <f t="shared" ref="AN13:AN35" si="3">COUNTIF(F13:AJ13,"GT")</f>
        <v>0</v>
      </c>
      <c r="AO13" s="1222">
        <f t="shared" ref="AO13:AO35" si="4">COUNTIF(F13:AJ13,"CT")</f>
        <v>0</v>
      </c>
      <c r="AP13" s="1221">
        <f t="shared" ref="AP13:AP76" si="5">SUM(AK13:AM13)</f>
        <v>29</v>
      </c>
      <c r="AQ13" s="1223"/>
    </row>
    <row r="14" spans="1:45" ht="16.149999999999999" customHeight="1" outlineLevel="1">
      <c r="A14" s="1219">
        <v>3</v>
      </c>
      <c r="B14" s="1219"/>
      <c r="C14" s="1639"/>
      <c r="D14" s="1220" t="s">
        <v>3174</v>
      </c>
      <c r="E14" s="1221"/>
      <c r="F14" s="1219"/>
      <c r="G14" s="1219" t="s">
        <v>2553</v>
      </c>
      <c r="H14" s="1219" t="s">
        <v>2553</v>
      </c>
      <c r="I14" s="1219" t="s">
        <v>2553</v>
      </c>
      <c r="J14" s="1219" t="s">
        <v>2553</v>
      </c>
      <c r="K14" s="1219" t="s">
        <v>2553</v>
      </c>
      <c r="L14" s="1219" t="s">
        <v>2553</v>
      </c>
      <c r="M14" s="1219"/>
      <c r="N14" s="1219" t="s">
        <v>2553</v>
      </c>
      <c r="O14" s="1219"/>
      <c r="P14" s="1219" t="s">
        <v>2553</v>
      </c>
      <c r="Q14" s="1219"/>
      <c r="R14" s="1219" t="s">
        <v>2553</v>
      </c>
      <c r="S14" s="1219" t="s">
        <v>2553</v>
      </c>
      <c r="T14" s="1219" t="s">
        <v>2552</v>
      </c>
      <c r="U14" s="1219" t="s">
        <v>2553</v>
      </c>
      <c r="V14" s="1219" t="s">
        <v>2553</v>
      </c>
      <c r="W14" s="1219" t="s">
        <v>2553</v>
      </c>
      <c r="X14" s="1219" t="s">
        <v>2553</v>
      </c>
      <c r="Y14" s="1219" t="s">
        <v>2553</v>
      </c>
      <c r="Z14" s="1219" t="s">
        <v>2553</v>
      </c>
      <c r="AA14" s="1219" t="s">
        <v>2552</v>
      </c>
      <c r="AB14" s="1219" t="s">
        <v>2553</v>
      </c>
      <c r="AC14" s="1219" t="s">
        <v>2553</v>
      </c>
      <c r="AD14" s="1219" t="s">
        <v>2553</v>
      </c>
      <c r="AE14" s="1219" t="s">
        <v>2553</v>
      </c>
      <c r="AF14" s="1219" t="s">
        <v>2553</v>
      </c>
      <c r="AG14" s="1219"/>
      <c r="AH14" s="1219" t="s">
        <v>2552</v>
      </c>
      <c r="AI14" s="1219" t="s">
        <v>2553</v>
      </c>
      <c r="AJ14" s="1219"/>
      <c r="AK14" s="1222">
        <f t="shared" si="0"/>
        <v>22</v>
      </c>
      <c r="AL14" s="1222">
        <f t="shared" si="1"/>
        <v>3</v>
      </c>
      <c r="AM14" s="1222">
        <f t="shared" si="2"/>
        <v>0</v>
      </c>
      <c r="AN14" s="1222">
        <f t="shared" si="3"/>
        <v>0</v>
      </c>
      <c r="AO14" s="1222">
        <f t="shared" si="4"/>
        <v>0</v>
      </c>
      <c r="AP14" s="1221">
        <f t="shared" si="5"/>
        <v>25</v>
      </c>
      <c r="AQ14" s="1223"/>
      <c r="AR14" s="1224" t="e">
        <f>#REF!*AR11*AR10+#REF!*#REF!*AR10+#REF!*20000</f>
        <v>#REF!</v>
      </c>
    </row>
    <row r="15" spans="1:45" ht="16.149999999999999" customHeight="1" outlineLevel="1">
      <c r="A15" s="1219">
        <v>4</v>
      </c>
      <c r="B15" s="1219"/>
      <c r="C15" s="1219"/>
      <c r="D15" s="1220" t="s">
        <v>3175</v>
      </c>
      <c r="E15" s="1221"/>
      <c r="F15" s="1219" t="s">
        <v>2552</v>
      </c>
      <c r="G15" s="1219" t="s">
        <v>2553</v>
      </c>
      <c r="H15" s="1219" t="s">
        <v>2553</v>
      </c>
      <c r="I15" s="1219" t="s">
        <v>2553</v>
      </c>
      <c r="J15" s="1219" t="s">
        <v>2553</v>
      </c>
      <c r="K15" s="1219" t="s">
        <v>2553</v>
      </c>
      <c r="L15" s="1219" t="s">
        <v>2553</v>
      </c>
      <c r="M15" s="1219" t="s">
        <v>2552</v>
      </c>
      <c r="N15" s="1219" t="s">
        <v>2553</v>
      </c>
      <c r="O15" s="1219" t="s">
        <v>2553</v>
      </c>
      <c r="P15" s="1219" t="s">
        <v>2553</v>
      </c>
      <c r="Q15" s="1219"/>
      <c r="R15" s="1219" t="s">
        <v>2553</v>
      </c>
      <c r="S15" s="1219" t="s">
        <v>2553</v>
      </c>
      <c r="T15" s="1219" t="s">
        <v>2552</v>
      </c>
      <c r="U15" s="1219" t="s">
        <v>2553</v>
      </c>
      <c r="V15" s="1219" t="s">
        <v>2553</v>
      </c>
      <c r="W15" s="1219" t="s">
        <v>2553</v>
      </c>
      <c r="X15" s="1219" t="s">
        <v>2553</v>
      </c>
      <c r="Y15" s="1219" t="s">
        <v>2553</v>
      </c>
      <c r="Z15" s="1219" t="s">
        <v>2553</v>
      </c>
      <c r="AA15" s="1219" t="s">
        <v>2552</v>
      </c>
      <c r="AB15" s="1219" t="s">
        <v>2553</v>
      </c>
      <c r="AC15" s="1219" t="s">
        <v>2553</v>
      </c>
      <c r="AD15" s="1219" t="s">
        <v>2553</v>
      </c>
      <c r="AE15" s="1219" t="s">
        <v>2553</v>
      </c>
      <c r="AF15" s="1219" t="s">
        <v>2553</v>
      </c>
      <c r="AG15" s="1219" t="s">
        <v>2553</v>
      </c>
      <c r="AH15" s="1219" t="s">
        <v>2552</v>
      </c>
      <c r="AI15" s="1219" t="s">
        <v>2553</v>
      </c>
      <c r="AJ15" s="1219"/>
      <c r="AK15" s="1222">
        <f t="shared" si="0"/>
        <v>24</v>
      </c>
      <c r="AL15" s="1222">
        <f t="shared" si="1"/>
        <v>5</v>
      </c>
      <c r="AM15" s="1222">
        <f t="shared" si="2"/>
        <v>0</v>
      </c>
      <c r="AN15" s="1222">
        <f t="shared" si="3"/>
        <v>0</v>
      </c>
      <c r="AO15" s="1222">
        <f t="shared" si="4"/>
        <v>0</v>
      </c>
      <c r="AP15" s="1221">
        <f t="shared" si="5"/>
        <v>29</v>
      </c>
      <c r="AQ15" s="1223"/>
      <c r="AS15" s="1224"/>
    </row>
    <row r="16" spans="1:45" ht="16.149999999999999" customHeight="1" outlineLevel="1">
      <c r="A16" s="1219">
        <v>5</v>
      </c>
      <c r="B16" s="1219"/>
      <c r="C16" s="1219" t="s">
        <v>3291</v>
      </c>
      <c r="D16" s="1220" t="s">
        <v>1386</v>
      </c>
      <c r="E16" s="1221"/>
      <c r="F16" s="1219" t="s">
        <v>2552</v>
      </c>
      <c r="G16" s="1219" t="s">
        <v>2553</v>
      </c>
      <c r="H16" s="1219" t="s">
        <v>2553</v>
      </c>
      <c r="I16" s="1219" t="s">
        <v>2553</v>
      </c>
      <c r="J16" s="1219" t="s">
        <v>2553</v>
      </c>
      <c r="K16" s="1219" t="s">
        <v>2553</v>
      </c>
      <c r="L16" s="1219"/>
      <c r="M16" s="1219" t="s">
        <v>2552</v>
      </c>
      <c r="N16" s="1219" t="s">
        <v>2553</v>
      </c>
      <c r="O16" s="1219" t="s">
        <v>2553</v>
      </c>
      <c r="P16" s="1219" t="s">
        <v>2553</v>
      </c>
      <c r="Q16" s="1219"/>
      <c r="R16" s="1219" t="s">
        <v>2553</v>
      </c>
      <c r="S16" s="1219"/>
      <c r="T16" s="1219" t="s">
        <v>2552</v>
      </c>
      <c r="U16" s="1219" t="s">
        <v>2553</v>
      </c>
      <c r="V16" s="1219" t="s">
        <v>2553</v>
      </c>
      <c r="W16" s="1219" t="s">
        <v>2553</v>
      </c>
      <c r="X16" s="1219" t="s">
        <v>2553</v>
      </c>
      <c r="Y16" s="1219" t="s">
        <v>2553</v>
      </c>
      <c r="Z16" s="1219" t="s">
        <v>2553</v>
      </c>
      <c r="AA16" s="1219" t="s">
        <v>2552</v>
      </c>
      <c r="AB16" s="1219" t="s">
        <v>2553</v>
      </c>
      <c r="AC16" s="1219" t="s">
        <v>2553</v>
      </c>
      <c r="AD16" s="1219" t="s">
        <v>2553</v>
      </c>
      <c r="AE16" s="1219" t="s">
        <v>2553</v>
      </c>
      <c r="AF16" s="1219" t="s">
        <v>2553</v>
      </c>
      <c r="AG16" s="1219" t="s">
        <v>2553</v>
      </c>
      <c r="AH16" s="1219" t="s">
        <v>2552</v>
      </c>
      <c r="AI16" s="1219" t="s">
        <v>2553</v>
      </c>
      <c r="AJ16" s="1219"/>
      <c r="AK16" s="1222">
        <f t="shared" si="0"/>
        <v>22</v>
      </c>
      <c r="AL16" s="1222">
        <f t="shared" si="1"/>
        <v>5</v>
      </c>
      <c r="AM16" s="1222">
        <f t="shared" si="2"/>
        <v>0</v>
      </c>
      <c r="AN16" s="1222">
        <f t="shared" si="3"/>
        <v>0</v>
      </c>
      <c r="AO16" s="1222">
        <f t="shared" si="4"/>
        <v>0</v>
      </c>
      <c r="AP16" s="1221">
        <f t="shared" si="5"/>
        <v>27</v>
      </c>
      <c r="AQ16" s="1223"/>
    </row>
    <row r="17" spans="1:43" ht="16.149999999999999" customHeight="1" outlineLevel="1">
      <c r="A17" s="1219">
        <v>6</v>
      </c>
      <c r="B17" s="1219"/>
      <c r="C17" s="1219" t="s">
        <v>3295</v>
      </c>
      <c r="D17" s="1220" t="s">
        <v>3176</v>
      </c>
      <c r="E17" s="1221"/>
      <c r="F17" s="1219" t="s">
        <v>2552</v>
      </c>
      <c r="G17" s="1219" t="s">
        <v>2553</v>
      </c>
      <c r="H17" s="1219" t="s">
        <v>2553</v>
      </c>
      <c r="I17" s="1219" t="s">
        <v>2553</v>
      </c>
      <c r="J17" s="1219" t="s">
        <v>2553</v>
      </c>
      <c r="K17" s="1219" t="s">
        <v>2553</v>
      </c>
      <c r="L17" s="1219" t="s">
        <v>2553</v>
      </c>
      <c r="M17" s="1219" t="s">
        <v>2552</v>
      </c>
      <c r="N17" s="1219" t="s">
        <v>2553</v>
      </c>
      <c r="O17" s="1219" t="s">
        <v>2553</v>
      </c>
      <c r="P17" s="1219"/>
      <c r="Q17" s="1219"/>
      <c r="R17" s="1219" t="s">
        <v>2553</v>
      </c>
      <c r="S17" s="1219" t="s">
        <v>2553</v>
      </c>
      <c r="T17" s="1219" t="s">
        <v>2552</v>
      </c>
      <c r="U17" s="1219" t="s">
        <v>2553</v>
      </c>
      <c r="V17" s="1219" t="s">
        <v>2553</v>
      </c>
      <c r="W17" s="1219" t="s">
        <v>2553</v>
      </c>
      <c r="X17" s="1219" t="s">
        <v>2553</v>
      </c>
      <c r="Y17" s="1219" t="s">
        <v>2553</v>
      </c>
      <c r="Z17" s="1219" t="s">
        <v>2553</v>
      </c>
      <c r="AA17" s="1219" t="s">
        <v>2552</v>
      </c>
      <c r="AB17" s="1219" t="s">
        <v>2553</v>
      </c>
      <c r="AC17" s="1219" t="s">
        <v>2553</v>
      </c>
      <c r="AD17" s="1219" t="s">
        <v>2553</v>
      </c>
      <c r="AE17" s="1219" t="s">
        <v>2553</v>
      </c>
      <c r="AF17" s="1219" t="s">
        <v>2553</v>
      </c>
      <c r="AG17" s="1219" t="s">
        <v>2553</v>
      </c>
      <c r="AH17" s="1219" t="s">
        <v>2552</v>
      </c>
      <c r="AI17" s="1219" t="s">
        <v>2553</v>
      </c>
      <c r="AJ17" s="1219"/>
      <c r="AK17" s="1222">
        <f t="shared" si="0"/>
        <v>23</v>
      </c>
      <c r="AL17" s="1222">
        <f t="shared" si="1"/>
        <v>5</v>
      </c>
      <c r="AM17" s="1222">
        <f t="shared" si="2"/>
        <v>0</v>
      </c>
      <c r="AN17" s="1222">
        <f t="shared" si="3"/>
        <v>0</v>
      </c>
      <c r="AO17" s="1222">
        <f t="shared" si="4"/>
        <v>0</v>
      </c>
      <c r="AP17" s="1221">
        <f t="shared" si="5"/>
        <v>28</v>
      </c>
      <c r="AQ17" s="1223"/>
    </row>
    <row r="18" spans="1:43" ht="16.149999999999999" customHeight="1" outlineLevel="1">
      <c r="A18" s="1219">
        <v>7</v>
      </c>
      <c r="B18" s="1219"/>
      <c r="C18" s="1639" t="s">
        <v>3296</v>
      </c>
      <c r="D18" s="1220" t="s">
        <v>3177</v>
      </c>
      <c r="E18" s="1221"/>
      <c r="F18" s="1219" t="s">
        <v>2552</v>
      </c>
      <c r="G18" s="1219" t="s">
        <v>2553</v>
      </c>
      <c r="H18" s="1219" t="s">
        <v>2553</v>
      </c>
      <c r="I18" s="1219" t="s">
        <v>2553</v>
      </c>
      <c r="J18" s="1219" t="s">
        <v>2553</v>
      </c>
      <c r="K18" s="1219" t="s">
        <v>2553</v>
      </c>
      <c r="L18" s="1219" t="s">
        <v>2553</v>
      </c>
      <c r="M18" s="1219" t="s">
        <v>2552</v>
      </c>
      <c r="N18" s="1219" t="s">
        <v>2553</v>
      </c>
      <c r="O18" s="1219" t="s">
        <v>2553</v>
      </c>
      <c r="P18" s="1219" t="s">
        <v>2553</v>
      </c>
      <c r="Q18" s="1219"/>
      <c r="R18" s="1219" t="s">
        <v>2553</v>
      </c>
      <c r="S18" s="1219" t="s">
        <v>2553</v>
      </c>
      <c r="T18" s="1219" t="s">
        <v>2552</v>
      </c>
      <c r="U18" s="1219" t="s">
        <v>2553</v>
      </c>
      <c r="V18" s="1219" t="s">
        <v>2553</v>
      </c>
      <c r="W18" s="1219" t="s">
        <v>2553</v>
      </c>
      <c r="X18" s="1219" t="s">
        <v>2553</v>
      </c>
      <c r="Y18" s="1219" t="s">
        <v>2553</v>
      </c>
      <c r="Z18" s="1219" t="s">
        <v>2553</v>
      </c>
      <c r="AA18" s="1219" t="s">
        <v>2552</v>
      </c>
      <c r="AB18" s="1219" t="s">
        <v>2553</v>
      </c>
      <c r="AC18" s="1219" t="s">
        <v>2553</v>
      </c>
      <c r="AD18" s="1219" t="s">
        <v>2553</v>
      </c>
      <c r="AE18" s="1219" t="s">
        <v>2553</v>
      </c>
      <c r="AF18" s="1219" t="s">
        <v>2553</v>
      </c>
      <c r="AG18" s="1219" t="s">
        <v>2553</v>
      </c>
      <c r="AH18" s="1219" t="s">
        <v>2552</v>
      </c>
      <c r="AI18" s="1219" t="s">
        <v>2553</v>
      </c>
      <c r="AJ18" s="1219"/>
      <c r="AK18" s="1222">
        <f t="shared" si="0"/>
        <v>24</v>
      </c>
      <c r="AL18" s="1222">
        <f t="shared" si="1"/>
        <v>5</v>
      </c>
      <c r="AM18" s="1222">
        <f t="shared" si="2"/>
        <v>0</v>
      </c>
      <c r="AN18" s="1222">
        <f t="shared" si="3"/>
        <v>0</v>
      </c>
      <c r="AO18" s="1222">
        <f t="shared" si="4"/>
        <v>0</v>
      </c>
      <c r="AP18" s="1221">
        <f t="shared" si="5"/>
        <v>29</v>
      </c>
      <c r="AQ18" s="1223"/>
    </row>
    <row r="19" spans="1:43" ht="16.149999999999999" customHeight="1" outlineLevel="1">
      <c r="A19" s="1219">
        <v>8</v>
      </c>
      <c r="B19" s="1219"/>
      <c r="C19" s="1639"/>
      <c r="D19" s="1220" t="s">
        <v>3178</v>
      </c>
      <c r="E19" s="1221"/>
      <c r="F19" s="1219" t="s">
        <v>2552</v>
      </c>
      <c r="G19" s="1219" t="s">
        <v>2553</v>
      </c>
      <c r="H19" s="1219" t="s">
        <v>2553</v>
      </c>
      <c r="I19" s="1219" t="s">
        <v>2553</v>
      </c>
      <c r="J19" s="1219" t="s">
        <v>2553</v>
      </c>
      <c r="K19" s="1219" t="s">
        <v>2553</v>
      </c>
      <c r="L19" s="1219" t="s">
        <v>2553</v>
      </c>
      <c r="M19" s="1219"/>
      <c r="N19" s="1219"/>
      <c r="O19" s="1219"/>
      <c r="P19" s="1219" t="s">
        <v>2553</v>
      </c>
      <c r="Q19" s="1219"/>
      <c r="R19" s="1219"/>
      <c r="S19" s="1219"/>
      <c r="T19" s="1219"/>
      <c r="U19" s="1219"/>
      <c r="V19" s="1219" t="s">
        <v>2553</v>
      </c>
      <c r="W19" s="1219" t="s">
        <v>2553</v>
      </c>
      <c r="X19" s="1219" t="s">
        <v>2553</v>
      </c>
      <c r="Y19" s="1219" t="s">
        <v>2553</v>
      </c>
      <c r="Z19" s="1219" t="s">
        <v>2553</v>
      </c>
      <c r="AA19" s="1219" t="s">
        <v>2552</v>
      </c>
      <c r="AB19" s="1219" t="s">
        <v>2553</v>
      </c>
      <c r="AC19" s="1219" t="s">
        <v>2553</v>
      </c>
      <c r="AD19" s="1219" t="s">
        <v>2553</v>
      </c>
      <c r="AE19" s="1219" t="s">
        <v>2553</v>
      </c>
      <c r="AF19" s="1219" t="s">
        <v>2553</v>
      </c>
      <c r="AG19" s="1219" t="s">
        <v>2553</v>
      </c>
      <c r="AH19" s="1219" t="s">
        <v>2552</v>
      </c>
      <c r="AI19" s="1219" t="s">
        <v>2553</v>
      </c>
      <c r="AJ19" s="1219"/>
      <c r="AK19" s="1222">
        <f t="shared" si="0"/>
        <v>19</v>
      </c>
      <c r="AL19" s="1222">
        <f t="shared" si="1"/>
        <v>3</v>
      </c>
      <c r="AM19" s="1222">
        <f t="shared" si="2"/>
        <v>0</v>
      </c>
      <c r="AN19" s="1222">
        <f t="shared" si="3"/>
        <v>0</v>
      </c>
      <c r="AO19" s="1222">
        <f t="shared" si="4"/>
        <v>0</v>
      </c>
      <c r="AP19" s="1221">
        <f t="shared" si="5"/>
        <v>22</v>
      </c>
      <c r="AQ19" s="1223"/>
    </row>
    <row r="20" spans="1:43" ht="16.149999999999999" customHeight="1" outlineLevel="1">
      <c r="A20" s="1219">
        <v>9</v>
      </c>
      <c r="B20" s="1219"/>
      <c r="C20" s="1639"/>
      <c r="D20" s="1220" t="s">
        <v>3179</v>
      </c>
      <c r="E20" s="1221"/>
      <c r="F20" s="1219" t="s">
        <v>2552</v>
      </c>
      <c r="G20" s="1219" t="s">
        <v>2553</v>
      </c>
      <c r="H20" s="1219" t="s">
        <v>2553</v>
      </c>
      <c r="I20" s="1219" t="s">
        <v>2553</v>
      </c>
      <c r="J20" s="1219" t="s">
        <v>2553</v>
      </c>
      <c r="K20" s="1219" t="s">
        <v>2553</v>
      </c>
      <c r="L20" s="1219" t="s">
        <v>2553</v>
      </c>
      <c r="M20" s="1219" t="s">
        <v>2552</v>
      </c>
      <c r="N20" s="1219" t="s">
        <v>2553</v>
      </c>
      <c r="O20" s="1219" t="s">
        <v>2553</v>
      </c>
      <c r="P20" s="1219" t="s">
        <v>2553</v>
      </c>
      <c r="Q20" s="1219" t="s">
        <v>2553</v>
      </c>
      <c r="R20" s="1219"/>
      <c r="S20" s="1219" t="s">
        <v>2553</v>
      </c>
      <c r="T20" s="1219" t="s">
        <v>2552</v>
      </c>
      <c r="U20" s="1219" t="s">
        <v>2553</v>
      </c>
      <c r="V20" s="1219" t="s">
        <v>2553</v>
      </c>
      <c r="W20" s="1219" t="s">
        <v>2553</v>
      </c>
      <c r="X20" s="1219" t="s">
        <v>2553</v>
      </c>
      <c r="Y20" s="1219" t="s">
        <v>2553</v>
      </c>
      <c r="Z20" s="1219" t="s">
        <v>2553</v>
      </c>
      <c r="AA20" s="1219" t="s">
        <v>2552</v>
      </c>
      <c r="AB20" s="1219" t="s">
        <v>2553</v>
      </c>
      <c r="AC20" s="1219" t="s">
        <v>2553</v>
      </c>
      <c r="AD20" s="1219" t="s">
        <v>2553</v>
      </c>
      <c r="AE20" s="1219" t="s">
        <v>2553</v>
      </c>
      <c r="AF20" s="1219" t="s">
        <v>2553</v>
      </c>
      <c r="AG20" s="1219" t="s">
        <v>2553</v>
      </c>
      <c r="AH20" s="1219" t="s">
        <v>2552</v>
      </c>
      <c r="AI20" s="1219" t="s">
        <v>2553</v>
      </c>
      <c r="AJ20" s="1219"/>
      <c r="AK20" s="1222">
        <f t="shared" si="0"/>
        <v>24</v>
      </c>
      <c r="AL20" s="1222">
        <f t="shared" si="1"/>
        <v>5</v>
      </c>
      <c r="AM20" s="1222">
        <f t="shared" si="2"/>
        <v>0</v>
      </c>
      <c r="AN20" s="1222">
        <f t="shared" si="3"/>
        <v>0</v>
      </c>
      <c r="AO20" s="1222">
        <f t="shared" si="4"/>
        <v>0</v>
      </c>
      <c r="AP20" s="1221">
        <f t="shared" si="5"/>
        <v>29</v>
      </c>
      <c r="AQ20" s="1223"/>
    </row>
    <row r="21" spans="1:43" ht="16.149999999999999" customHeight="1" outlineLevel="1">
      <c r="A21" s="1219">
        <v>10</v>
      </c>
      <c r="B21" s="1219"/>
      <c r="C21" s="1219" t="s">
        <v>3297</v>
      </c>
      <c r="D21" s="1220" t="s">
        <v>3180</v>
      </c>
      <c r="E21" s="1221"/>
      <c r="F21" s="1219" t="s">
        <v>2552</v>
      </c>
      <c r="G21" s="1219" t="s">
        <v>2553</v>
      </c>
      <c r="H21" s="1219" t="s">
        <v>2553</v>
      </c>
      <c r="I21" s="1219" t="s">
        <v>2553</v>
      </c>
      <c r="J21" s="1219" t="s">
        <v>2553</v>
      </c>
      <c r="K21" s="1219" t="s">
        <v>2553</v>
      </c>
      <c r="L21" s="1219" t="s">
        <v>2553</v>
      </c>
      <c r="M21" s="1219" t="s">
        <v>2552</v>
      </c>
      <c r="N21" s="1219" t="s">
        <v>2553</v>
      </c>
      <c r="O21" s="1219" t="s">
        <v>2553</v>
      </c>
      <c r="P21" s="1219" t="s">
        <v>2553</v>
      </c>
      <c r="Q21" s="1219"/>
      <c r="R21" s="1219" t="s">
        <v>2553</v>
      </c>
      <c r="S21" s="1219" t="s">
        <v>2553</v>
      </c>
      <c r="T21" s="1219" t="s">
        <v>2552</v>
      </c>
      <c r="U21" s="1219" t="s">
        <v>2553</v>
      </c>
      <c r="V21" s="1219" t="s">
        <v>2553</v>
      </c>
      <c r="W21" s="1219" t="s">
        <v>2553</v>
      </c>
      <c r="X21" s="1219"/>
      <c r="Y21" s="1219" t="s">
        <v>2553</v>
      </c>
      <c r="Z21" s="1219" t="s">
        <v>2553</v>
      </c>
      <c r="AA21" s="1219" t="s">
        <v>2552</v>
      </c>
      <c r="AB21" s="1219" t="s">
        <v>2553</v>
      </c>
      <c r="AC21" s="1219" t="s">
        <v>2553</v>
      </c>
      <c r="AD21" s="1219" t="s">
        <v>2553</v>
      </c>
      <c r="AE21" s="1219" t="s">
        <v>2553</v>
      </c>
      <c r="AF21" s="1219" t="s">
        <v>2553</v>
      </c>
      <c r="AG21" s="1219" t="s">
        <v>2553</v>
      </c>
      <c r="AH21" s="1219" t="s">
        <v>2552</v>
      </c>
      <c r="AI21" s="1219" t="s">
        <v>2553</v>
      </c>
      <c r="AJ21" s="1219"/>
      <c r="AK21" s="1222">
        <f t="shared" si="0"/>
        <v>23</v>
      </c>
      <c r="AL21" s="1222">
        <f t="shared" si="1"/>
        <v>5</v>
      </c>
      <c r="AM21" s="1222">
        <f t="shared" si="2"/>
        <v>0</v>
      </c>
      <c r="AN21" s="1222">
        <f t="shared" si="3"/>
        <v>0</v>
      </c>
      <c r="AO21" s="1222">
        <f t="shared" si="4"/>
        <v>0</v>
      </c>
      <c r="AP21" s="1221">
        <f t="shared" si="5"/>
        <v>28</v>
      </c>
      <c r="AQ21" s="1223"/>
    </row>
    <row r="22" spans="1:43" ht="16.149999999999999" customHeight="1" outlineLevel="1">
      <c r="A22" s="1219">
        <v>11</v>
      </c>
      <c r="B22" s="1219"/>
      <c r="C22" s="1219" t="s">
        <v>3289</v>
      </c>
      <c r="D22" s="1220" t="s">
        <v>3181</v>
      </c>
      <c r="E22" s="1221"/>
      <c r="F22" s="1219" t="s">
        <v>2552</v>
      </c>
      <c r="G22" s="1219" t="s">
        <v>2553</v>
      </c>
      <c r="H22" s="1219" t="s">
        <v>2553</v>
      </c>
      <c r="I22" s="1219" t="s">
        <v>2553</v>
      </c>
      <c r="J22" s="1219" t="s">
        <v>2553</v>
      </c>
      <c r="K22" s="1219" t="s">
        <v>2553</v>
      </c>
      <c r="L22" s="1219" t="s">
        <v>2553</v>
      </c>
      <c r="M22" s="1219" t="s">
        <v>2552</v>
      </c>
      <c r="N22" s="1219" t="s">
        <v>2553</v>
      </c>
      <c r="O22" s="1219" t="s">
        <v>2553</v>
      </c>
      <c r="P22" s="1219" t="s">
        <v>2553</v>
      </c>
      <c r="Q22" s="1219"/>
      <c r="R22" s="1219" t="s">
        <v>2553</v>
      </c>
      <c r="S22" s="1219" t="s">
        <v>2553</v>
      </c>
      <c r="T22" s="1219" t="s">
        <v>2552</v>
      </c>
      <c r="U22" s="1219" t="s">
        <v>2553</v>
      </c>
      <c r="V22" s="1219" t="s">
        <v>2553</v>
      </c>
      <c r="W22" s="1219" t="s">
        <v>2553</v>
      </c>
      <c r="X22" s="1219"/>
      <c r="Y22" s="1219" t="s">
        <v>2553</v>
      </c>
      <c r="Z22" s="1219" t="s">
        <v>2553</v>
      </c>
      <c r="AA22" s="1219" t="s">
        <v>2552</v>
      </c>
      <c r="AB22" s="1219" t="s">
        <v>2553</v>
      </c>
      <c r="AC22" s="1219" t="s">
        <v>2553</v>
      </c>
      <c r="AD22" s="1219" t="s">
        <v>2553</v>
      </c>
      <c r="AE22" s="1219" t="s">
        <v>2553</v>
      </c>
      <c r="AF22" s="1219" t="s">
        <v>2553</v>
      </c>
      <c r="AG22" s="1219" t="s">
        <v>2553</v>
      </c>
      <c r="AH22" s="1219" t="s">
        <v>2552</v>
      </c>
      <c r="AI22" s="1219" t="s">
        <v>2553</v>
      </c>
      <c r="AJ22" s="1219"/>
      <c r="AK22" s="1222">
        <f t="shared" si="0"/>
        <v>23</v>
      </c>
      <c r="AL22" s="1222">
        <f t="shared" si="1"/>
        <v>5</v>
      </c>
      <c r="AM22" s="1222">
        <f t="shared" si="2"/>
        <v>0</v>
      </c>
      <c r="AN22" s="1222">
        <f t="shared" si="3"/>
        <v>0</v>
      </c>
      <c r="AO22" s="1222">
        <f t="shared" si="4"/>
        <v>0</v>
      </c>
      <c r="AP22" s="1221">
        <f t="shared" si="5"/>
        <v>28</v>
      </c>
      <c r="AQ22" s="1223"/>
    </row>
    <row r="23" spans="1:43" ht="16.149999999999999" customHeight="1" outlineLevel="1">
      <c r="A23" s="1219">
        <v>12</v>
      </c>
      <c r="B23" s="1219"/>
      <c r="C23" s="1219" t="s">
        <v>3298</v>
      </c>
      <c r="D23" s="1220" t="s">
        <v>3182</v>
      </c>
      <c r="E23" s="1221"/>
      <c r="F23" s="1219" t="s">
        <v>2552</v>
      </c>
      <c r="G23" s="1219" t="s">
        <v>2553</v>
      </c>
      <c r="H23" s="1219" t="s">
        <v>2553</v>
      </c>
      <c r="I23" s="1219" t="s">
        <v>2553</v>
      </c>
      <c r="J23" s="1219" t="s">
        <v>2553</v>
      </c>
      <c r="K23" s="1219" t="s">
        <v>2553</v>
      </c>
      <c r="L23" s="1219" t="s">
        <v>2553</v>
      </c>
      <c r="M23" s="1219" t="s">
        <v>2552</v>
      </c>
      <c r="N23" s="1219" t="s">
        <v>2553</v>
      </c>
      <c r="O23" s="1219" t="s">
        <v>2553</v>
      </c>
      <c r="P23" s="1219" t="s">
        <v>2553</v>
      </c>
      <c r="Q23" s="1219" t="s">
        <v>2553</v>
      </c>
      <c r="R23" s="1219" t="s">
        <v>2553</v>
      </c>
      <c r="S23" s="1219" t="s">
        <v>2553</v>
      </c>
      <c r="T23" s="1219" t="s">
        <v>2552</v>
      </c>
      <c r="U23" s="1219" t="s">
        <v>2553</v>
      </c>
      <c r="V23" s="1219" t="s">
        <v>2553</v>
      </c>
      <c r="W23" s="1219" t="s">
        <v>2553</v>
      </c>
      <c r="X23" s="1219" t="s">
        <v>2553</v>
      </c>
      <c r="Y23" s="1219" t="s">
        <v>2553</v>
      </c>
      <c r="Z23" s="1219" t="s">
        <v>2553</v>
      </c>
      <c r="AA23" s="1219" t="s">
        <v>2552</v>
      </c>
      <c r="AB23" s="1219" t="s">
        <v>2553</v>
      </c>
      <c r="AC23" s="1219" t="s">
        <v>2553</v>
      </c>
      <c r="AD23" s="1219" t="s">
        <v>2553</v>
      </c>
      <c r="AE23" s="1219" t="s">
        <v>2553</v>
      </c>
      <c r="AF23" s="1219" t="s">
        <v>2553</v>
      </c>
      <c r="AG23" s="1219" t="s">
        <v>2553</v>
      </c>
      <c r="AH23" s="1219" t="s">
        <v>2552</v>
      </c>
      <c r="AI23" s="1219" t="s">
        <v>2553</v>
      </c>
      <c r="AJ23" s="1219"/>
      <c r="AK23" s="1222">
        <f t="shared" si="0"/>
        <v>25</v>
      </c>
      <c r="AL23" s="1222">
        <f t="shared" si="1"/>
        <v>5</v>
      </c>
      <c r="AM23" s="1222">
        <f t="shared" si="2"/>
        <v>0</v>
      </c>
      <c r="AN23" s="1222">
        <f t="shared" si="3"/>
        <v>0</v>
      </c>
      <c r="AO23" s="1222">
        <f t="shared" si="4"/>
        <v>0</v>
      </c>
      <c r="AP23" s="1221">
        <f t="shared" si="5"/>
        <v>30</v>
      </c>
      <c r="AQ23" s="1223"/>
    </row>
    <row r="24" spans="1:43" ht="16.149999999999999" customHeight="1" outlineLevel="1">
      <c r="A24" s="1219">
        <v>13</v>
      </c>
      <c r="B24" s="1219"/>
      <c r="C24" s="1219" t="s">
        <v>3299</v>
      </c>
      <c r="D24" s="1220" t="s">
        <v>3183</v>
      </c>
      <c r="E24" s="1221"/>
      <c r="F24" s="1219" t="s">
        <v>2552</v>
      </c>
      <c r="G24" s="1219" t="s">
        <v>2553</v>
      </c>
      <c r="H24" s="1219" t="s">
        <v>2553</v>
      </c>
      <c r="I24" s="1219" t="s">
        <v>2553</v>
      </c>
      <c r="J24" s="1219" t="s">
        <v>2553</v>
      </c>
      <c r="K24" s="1219" t="s">
        <v>2553</v>
      </c>
      <c r="L24" s="1219" t="s">
        <v>2553</v>
      </c>
      <c r="M24" s="1219" t="s">
        <v>2552</v>
      </c>
      <c r="N24" s="1219" t="s">
        <v>2553</v>
      </c>
      <c r="O24" s="1219" t="s">
        <v>2553</v>
      </c>
      <c r="P24" s="1219" t="s">
        <v>2553</v>
      </c>
      <c r="Q24" s="1219"/>
      <c r="R24" s="1219" t="s">
        <v>2553</v>
      </c>
      <c r="S24" s="1219" t="s">
        <v>2553</v>
      </c>
      <c r="T24" s="1219" t="s">
        <v>2552</v>
      </c>
      <c r="U24" s="1219" t="s">
        <v>2553</v>
      </c>
      <c r="V24" s="1219" t="s">
        <v>2553</v>
      </c>
      <c r="W24" s="1219" t="s">
        <v>2553</v>
      </c>
      <c r="X24" s="1219" t="s">
        <v>2553</v>
      </c>
      <c r="Y24" s="1219" t="s">
        <v>2553</v>
      </c>
      <c r="Z24" s="1219" t="s">
        <v>2553</v>
      </c>
      <c r="AA24" s="1219" t="s">
        <v>2552</v>
      </c>
      <c r="AB24" s="1219" t="s">
        <v>2553</v>
      </c>
      <c r="AC24" s="1219" t="s">
        <v>2553</v>
      </c>
      <c r="AD24" s="1219" t="s">
        <v>2553</v>
      </c>
      <c r="AE24" s="1219" t="s">
        <v>2553</v>
      </c>
      <c r="AF24" s="1219" t="s">
        <v>2553</v>
      </c>
      <c r="AG24" s="1219" t="s">
        <v>2553</v>
      </c>
      <c r="AH24" s="1219" t="s">
        <v>2552</v>
      </c>
      <c r="AI24" s="1219" t="s">
        <v>2553</v>
      </c>
      <c r="AJ24" s="1219"/>
      <c r="AK24" s="1222">
        <f t="shared" si="0"/>
        <v>24</v>
      </c>
      <c r="AL24" s="1222">
        <f t="shared" si="1"/>
        <v>5</v>
      </c>
      <c r="AM24" s="1222">
        <f t="shared" si="2"/>
        <v>0</v>
      </c>
      <c r="AN24" s="1222">
        <f t="shared" si="3"/>
        <v>0</v>
      </c>
      <c r="AO24" s="1222">
        <f t="shared" si="4"/>
        <v>0</v>
      </c>
      <c r="AP24" s="1221">
        <f t="shared" si="5"/>
        <v>29</v>
      </c>
      <c r="AQ24" s="1223"/>
    </row>
    <row r="25" spans="1:43" ht="16.149999999999999" customHeight="1" outlineLevel="1">
      <c r="A25" s="1219">
        <v>14</v>
      </c>
      <c r="B25" s="1219"/>
      <c r="C25" s="1639" t="s">
        <v>3300</v>
      </c>
      <c r="D25" s="1220" t="s">
        <v>882</v>
      </c>
      <c r="E25" s="1221"/>
      <c r="F25" s="1219" t="s">
        <v>2552</v>
      </c>
      <c r="G25" s="1219" t="s">
        <v>2553</v>
      </c>
      <c r="H25" s="1219" t="s">
        <v>2553</v>
      </c>
      <c r="I25" s="1219" t="s">
        <v>2553</v>
      </c>
      <c r="J25" s="1219" t="s">
        <v>2553</v>
      </c>
      <c r="K25" s="1219" t="s">
        <v>2553</v>
      </c>
      <c r="L25" s="1219" t="s">
        <v>2553</v>
      </c>
      <c r="M25" s="1219" t="s">
        <v>2552</v>
      </c>
      <c r="N25" s="1219" t="s">
        <v>2553</v>
      </c>
      <c r="O25" s="1219" t="s">
        <v>2553</v>
      </c>
      <c r="P25" s="1219" t="s">
        <v>2553</v>
      </c>
      <c r="Q25" s="1219"/>
      <c r="R25" s="1219" t="s">
        <v>2553</v>
      </c>
      <c r="S25" s="1219" t="s">
        <v>2553</v>
      </c>
      <c r="T25" s="1219" t="s">
        <v>2552</v>
      </c>
      <c r="U25" s="1219" t="s">
        <v>2553</v>
      </c>
      <c r="V25" s="1219" t="s">
        <v>2553</v>
      </c>
      <c r="W25" s="1219" t="s">
        <v>2553</v>
      </c>
      <c r="X25" s="1219" t="s">
        <v>2553</v>
      </c>
      <c r="Y25" s="1219" t="s">
        <v>2553</v>
      </c>
      <c r="Z25" s="1219" t="s">
        <v>2553</v>
      </c>
      <c r="AA25" s="1219" t="s">
        <v>2552</v>
      </c>
      <c r="AB25" s="1219" t="s">
        <v>2553</v>
      </c>
      <c r="AC25" s="1219" t="s">
        <v>2553</v>
      </c>
      <c r="AD25" s="1219" t="s">
        <v>2553</v>
      </c>
      <c r="AE25" s="1219" t="s">
        <v>2553</v>
      </c>
      <c r="AF25" s="1219" t="s">
        <v>2553</v>
      </c>
      <c r="AG25" s="1219" t="s">
        <v>2553</v>
      </c>
      <c r="AH25" s="1219" t="s">
        <v>2552</v>
      </c>
      <c r="AI25" s="1219" t="s">
        <v>2553</v>
      </c>
      <c r="AJ25" s="1219"/>
      <c r="AK25" s="1222">
        <f t="shared" si="0"/>
        <v>24</v>
      </c>
      <c r="AL25" s="1222">
        <f t="shared" si="1"/>
        <v>5</v>
      </c>
      <c r="AM25" s="1222">
        <f t="shared" si="2"/>
        <v>0</v>
      </c>
      <c r="AN25" s="1222">
        <f t="shared" si="3"/>
        <v>0</v>
      </c>
      <c r="AO25" s="1222">
        <f t="shared" si="4"/>
        <v>0</v>
      </c>
      <c r="AP25" s="1221">
        <f t="shared" si="5"/>
        <v>29</v>
      </c>
      <c r="AQ25" s="1223"/>
    </row>
    <row r="26" spans="1:43" ht="16.149999999999999" customHeight="1" outlineLevel="1">
      <c r="A26" s="1219">
        <v>15</v>
      </c>
      <c r="B26" s="1219"/>
      <c r="C26" s="1219" t="s">
        <v>3290</v>
      </c>
      <c r="D26" s="1220" t="s">
        <v>3184</v>
      </c>
      <c r="E26" s="1221"/>
      <c r="F26" s="1219" t="s">
        <v>2552</v>
      </c>
      <c r="G26" s="1219" t="s">
        <v>2553</v>
      </c>
      <c r="H26" s="1219" t="s">
        <v>2553</v>
      </c>
      <c r="I26" s="1219" t="s">
        <v>2553</v>
      </c>
      <c r="J26" s="1219" t="s">
        <v>2553</v>
      </c>
      <c r="K26" s="1219" t="s">
        <v>2553</v>
      </c>
      <c r="L26" s="1219" t="s">
        <v>2553</v>
      </c>
      <c r="M26" s="1219" t="s">
        <v>2552</v>
      </c>
      <c r="N26" s="1219" t="s">
        <v>2553</v>
      </c>
      <c r="O26" s="1219" t="s">
        <v>2553</v>
      </c>
      <c r="P26" s="1219" t="s">
        <v>2553</v>
      </c>
      <c r="Q26" s="1219" t="s">
        <v>2553</v>
      </c>
      <c r="R26" s="1219" t="s">
        <v>2553</v>
      </c>
      <c r="S26" s="1219" t="s">
        <v>2553</v>
      </c>
      <c r="T26" s="1219" t="s">
        <v>2552</v>
      </c>
      <c r="U26" s="1219" t="s">
        <v>2553</v>
      </c>
      <c r="V26" s="1219" t="s">
        <v>2553</v>
      </c>
      <c r="W26" s="1219" t="s">
        <v>2553</v>
      </c>
      <c r="X26" s="1219" t="s">
        <v>2553</v>
      </c>
      <c r="Y26" s="1219" t="s">
        <v>2553</v>
      </c>
      <c r="Z26" s="1219" t="s">
        <v>2553</v>
      </c>
      <c r="AA26" s="1219" t="s">
        <v>2552</v>
      </c>
      <c r="AB26" s="1219" t="s">
        <v>2553</v>
      </c>
      <c r="AC26" s="1219" t="s">
        <v>2553</v>
      </c>
      <c r="AD26" s="1219" t="s">
        <v>2553</v>
      </c>
      <c r="AE26" s="1219" t="s">
        <v>2553</v>
      </c>
      <c r="AF26" s="1219" t="s">
        <v>2553</v>
      </c>
      <c r="AG26" s="1219" t="s">
        <v>2553</v>
      </c>
      <c r="AH26" s="1219" t="s">
        <v>2552</v>
      </c>
      <c r="AI26" s="1219" t="s">
        <v>2553</v>
      </c>
      <c r="AJ26" s="1219"/>
      <c r="AK26" s="1222">
        <f t="shared" si="0"/>
        <v>25</v>
      </c>
      <c r="AL26" s="1222">
        <f t="shared" si="1"/>
        <v>5</v>
      </c>
      <c r="AM26" s="1222">
        <f t="shared" si="2"/>
        <v>0</v>
      </c>
      <c r="AN26" s="1222">
        <f t="shared" si="3"/>
        <v>0</v>
      </c>
      <c r="AO26" s="1222">
        <f t="shared" si="4"/>
        <v>0</v>
      </c>
      <c r="AP26" s="1221">
        <f t="shared" si="5"/>
        <v>30</v>
      </c>
      <c r="AQ26" s="1223"/>
    </row>
    <row r="27" spans="1:43" ht="16.149999999999999" customHeight="1" outlineLevel="1">
      <c r="A27" s="1219">
        <v>16</v>
      </c>
      <c r="B27" s="1219"/>
      <c r="C27" s="1639" t="s">
        <v>3301</v>
      </c>
      <c r="D27" s="1220" t="s">
        <v>3185</v>
      </c>
      <c r="E27" s="1221"/>
      <c r="F27" s="1219" t="s">
        <v>2552</v>
      </c>
      <c r="G27" s="1219" t="s">
        <v>2553</v>
      </c>
      <c r="H27" s="1219" t="s">
        <v>2553</v>
      </c>
      <c r="I27" s="1219" t="s">
        <v>2553</v>
      </c>
      <c r="J27" s="1219" t="s">
        <v>2553</v>
      </c>
      <c r="K27" s="1219" t="s">
        <v>2553</v>
      </c>
      <c r="L27" s="1219" t="s">
        <v>2553</v>
      </c>
      <c r="M27" s="1219" t="s">
        <v>2552</v>
      </c>
      <c r="N27" s="1219" t="s">
        <v>2553</v>
      </c>
      <c r="O27" s="1219" t="s">
        <v>2553</v>
      </c>
      <c r="P27" s="1219" t="s">
        <v>2553</v>
      </c>
      <c r="Q27" s="1219" t="s">
        <v>2553</v>
      </c>
      <c r="R27" s="1219" t="s">
        <v>2553</v>
      </c>
      <c r="S27" s="1219" t="s">
        <v>2553</v>
      </c>
      <c r="T27" s="1219" t="s">
        <v>2552</v>
      </c>
      <c r="U27" s="1219" t="s">
        <v>2553</v>
      </c>
      <c r="V27" s="1219" t="s">
        <v>2553</v>
      </c>
      <c r="W27" s="1219" t="s">
        <v>2553</v>
      </c>
      <c r="X27" s="1219" t="s">
        <v>2553</v>
      </c>
      <c r="Y27" s="1219" t="s">
        <v>2553</v>
      </c>
      <c r="Z27" s="1219" t="s">
        <v>2553</v>
      </c>
      <c r="AA27" s="1219" t="s">
        <v>2552</v>
      </c>
      <c r="AB27" s="1219" t="s">
        <v>2553</v>
      </c>
      <c r="AC27" s="1219" t="s">
        <v>2553</v>
      </c>
      <c r="AD27" s="1219" t="s">
        <v>2553</v>
      </c>
      <c r="AE27" s="1219" t="s">
        <v>2553</v>
      </c>
      <c r="AF27" s="1219" t="s">
        <v>2553</v>
      </c>
      <c r="AG27" s="1219" t="s">
        <v>2553</v>
      </c>
      <c r="AH27" s="1219" t="s">
        <v>2552</v>
      </c>
      <c r="AI27" s="1219" t="s">
        <v>2553</v>
      </c>
      <c r="AJ27" s="1219"/>
      <c r="AK27" s="1222">
        <f t="shared" si="0"/>
        <v>25</v>
      </c>
      <c r="AL27" s="1222">
        <f t="shared" si="1"/>
        <v>5</v>
      </c>
      <c r="AM27" s="1222">
        <f t="shared" si="2"/>
        <v>0</v>
      </c>
      <c r="AN27" s="1222">
        <f t="shared" si="3"/>
        <v>0</v>
      </c>
      <c r="AO27" s="1222">
        <f t="shared" si="4"/>
        <v>0</v>
      </c>
      <c r="AP27" s="1221">
        <f t="shared" si="5"/>
        <v>30</v>
      </c>
      <c r="AQ27" s="1223"/>
    </row>
    <row r="28" spans="1:43" ht="16.149999999999999" customHeight="1" outlineLevel="1">
      <c r="A28" s="1219">
        <v>17</v>
      </c>
      <c r="B28" s="1219"/>
      <c r="C28" s="1639" t="s">
        <v>3302</v>
      </c>
      <c r="D28" s="1220" t="s">
        <v>3186</v>
      </c>
      <c r="E28" s="1221"/>
      <c r="F28" s="1219" t="s">
        <v>2552</v>
      </c>
      <c r="G28" s="1219" t="s">
        <v>2553</v>
      </c>
      <c r="H28" s="1219" t="s">
        <v>2553</v>
      </c>
      <c r="I28" s="1219" t="s">
        <v>2553</v>
      </c>
      <c r="J28" s="1219" t="s">
        <v>2553</v>
      </c>
      <c r="K28" s="1219"/>
      <c r="L28" s="1219" t="s">
        <v>2553</v>
      </c>
      <c r="M28" s="1219" t="s">
        <v>2552</v>
      </c>
      <c r="N28" s="1219" t="s">
        <v>2553</v>
      </c>
      <c r="O28" s="1219" t="s">
        <v>2553</v>
      </c>
      <c r="P28" s="1219" t="s">
        <v>2553</v>
      </c>
      <c r="Q28" s="1219"/>
      <c r="R28" s="1219" t="s">
        <v>2553</v>
      </c>
      <c r="S28" s="1219" t="s">
        <v>2553</v>
      </c>
      <c r="T28" s="1219" t="s">
        <v>2552</v>
      </c>
      <c r="U28" s="1219" t="s">
        <v>2553</v>
      </c>
      <c r="V28" s="1219" t="s">
        <v>2553</v>
      </c>
      <c r="W28" s="1219" t="s">
        <v>2553</v>
      </c>
      <c r="X28" s="1219" t="s">
        <v>2553</v>
      </c>
      <c r="Y28" s="1219" t="s">
        <v>2553</v>
      </c>
      <c r="Z28" s="1219" t="s">
        <v>2553</v>
      </c>
      <c r="AA28" s="1219" t="s">
        <v>2552</v>
      </c>
      <c r="AB28" s="1219" t="s">
        <v>2553</v>
      </c>
      <c r="AC28" s="1219" t="s">
        <v>2553</v>
      </c>
      <c r="AD28" s="1219" t="s">
        <v>2553</v>
      </c>
      <c r="AE28" s="1219" t="s">
        <v>2553</v>
      </c>
      <c r="AF28" s="1219" t="s">
        <v>2553</v>
      </c>
      <c r="AG28" s="1219" t="s">
        <v>2553</v>
      </c>
      <c r="AH28" s="1219" t="s">
        <v>2552</v>
      </c>
      <c r="AI28" s="1219" t="s">
        <v>2553</v>
      </c>
      <c r="AJ28" s="1219"/>
      <c r="AK28" s="1222">
        <f t="shared" si="0"/>
        <v>23</v>
      </c>
      <c r="AL28" s="1222">
        <f t="shared" si="1"/>
        <v>5</v>
      </c>
      <c r="AM28" s="1222">
        <f t="shared" si="2"/>
        <v>0</v>
      </c>
      <c r="AN28" s="1222">
        <f t="shared" si="3"/>
        <v>0</v>
      </c>
      <c r="AO28" s="1222">
        <f t="shared" si="4"/>
        <v>0</v>
      </c>
      <c r="AP28" s="1221">
        <f t="shared" si="5"/>
        <v>28</v>
      </c>
      <c r="AQ28" s="1223"/>
    </row>
    <row r="29" spans="1:43" ht="16.149999999999999" customHeight="1" outlineLevel="1">
      <c r="A29" s="1219">
        <v>18</v>
      </c>
      <c r="B29" s="1219"/>
      <c r="C29" s="1219" t="s">
        <v>3311</v>
      </c>
      <c r="D29" s="1220" t="s">
        <v>3187</v>
      </c>
      <c r="E29" s="1221"/>
      <c r="F29" s="1219" t="s">
        <v>2552</v>
      </c>
      <c r="G29" s="1219" t="s">
        <v>2553</v>
      </c>
      <c r="H29" s="1219" t="s">
        <v>2553</v>
      </c>
      <c r="I29" s="1219" t="s">
        <v>2553</v>
      </c>
      <c r="J29" s="1219" t="s">
        <v>2553</v>
      </c>
      <c r="K29" s="1219" t="s">
        <v>2553</v>
      </c>
      <c r="L29" s="1219" t="s">
        <v>2553</v>
      </c>
      <c r="M29" s="1219" t="s">
        <v>2552</v>
      </c>
      <c r="N29" s="1219" t="s">
        <v>2553</v>
      </c>
      <c r="O29" s="1219" t="s">
        <v>2553</v>
      </c>
      <c r="P29" s="1219" t="s">
        <v>2553</v>
      </c>
      <c r="Q29" s="1219"/>
      <c r="R29" s="1219" t="s">
        <v>2553</v>
      </c>
      <c r="S29" s="1219" t="s">
        <v>2553</v>
      </c>
      <c r="T29" s="1219" t="s">
        <v>2552</v>
      </c>
      <c r="U29" s="1219" t="s">
        <v>2553</v>
      </c>
      <c r="V29" s="1219" t="s">
        <v>2553</v>
      </c>
      <c r="W29" s="1219" t="s">
        <v>2553</v>
      </c>
      <c r="X29" s="1219" t="s">
        <v>2553</v>
      </c>
      <c r="Y29" s="1219" t="s">
        <v>2553</v>
      </c>
      <c r="Z29" s="1219" t="s">
        <v>2553</v>
      </c>
      <c r="AA29" s="1219" t="s">
        <v>2552</v>
      </c>
      <c r="AB29" s="1219" t="s">
        <v>2553</v>
      </c>
      <c r="AC29" s="1219" t="s">
        <v>2553</v>
      </c>
      <c r="AD29" s="1219" t="s">
        <v>2553</v>
      </c>
      <c r="AE29" s="1219" t="s">
        <v>2553</v>
      </c>
      <c r="AF29" s="1219" t="s">
        <v>2553</v>
      </c>
      <c r="AG29" s="1219" t="s">
        <v>2553</v>
      </c>
      <c r="AH29" s="1219" t="s">
        <v>2552</v>
      </c>
      <c r="AI29" s="1219" t="s">
        <v>2553</v>
      </c>
      <c r="AJ29" s="1219"/>
      <c r="AK29" s="1222">
        <f t="shared" si="0"/>
        <v>24</v>
      </c>
      <c r="AL29" s="1222">
        <f t="shared" si="1"/>
        <v>5</v>
      </c>
      <c r="AM29" s="1222">
        <f t="shared" si="2"/>
        <v>0</v>
      </c>
      <c r="AN29" s="1222">
        <f t="shared" si="3"/>
        <v>0</v>
      </c>
      <c r="AO29" s="1222">
        <f t="shared" si="4"/>
        <v>0</v>
      </c>
      <c r="AP29" s="1221">
        <f t="shared" si="5"/>
        <v>29</v>
      </c>
      <c r="AQ29" s="1223"/>
    </row>
    <row r="30" spans="1:43" ht="16.149999999999999" customHeight="1" outlineLevel="1">
      <c r="A30" s="1219">
        <v>19</v>
      </c>
      <c r="B30" s="1219"/>
      <c r="C30" s="1219" t="s">
        <v>3303</v>
      </c>
      <c r="D30" s="1220" t="s">
        <v>3188</v>
      </c>
      <c r="E30" s="1221"/>
      <c r="F30" s="1219" t="s">
        <v>2552</v>
      </c>
      <c r="G30" s="1219" t="s">
        <v>2553</v>
      </c>
      <c r="H30" s="1219" t="s">
        <v>2553</v>
      </c>
      <c r="I30" s="1219" t="s">
        <v>2553</v>
      </c>
      <c r="J30" s="1219" t="s">
        <v>2553</v>
      </c>
      <c r="K30" s="1219" t="s">
        <v>2553</v>
      </c>
      <c r="L30" s="1219" t="s">
        <v>2553</v>
      </c>
      <c r="M30" s="1219" t="s">
        <v>2552</v>
      </c>
      <c r="N30" s="1219" t="s">
        <v>2553</v>
      </c>
      <c r="O30" s="1219" t="s">
        <v>2553</v>
      </c>
      <c r="P30" s="1219" t="s">
        <v>2553</v>
      </c>
      <c r="Q30" s="1219" t="s">
        <v>2553</v>
      </c>
      <c r="R30" s="1219"/>
      <c r="S30" s="1219" t="s">
        <v>2553</v>
      </c>
      <c r="T30" s="1219" t="s">
        <v>2552</v>
      </c>
      <c r="U30" s="1219" t="s">
        <v>2553</v>
      </c>
      <c r="V30" s="1219"/>
      <c r="W30" s="1219"/>
      <c r="X30" s="1219" t="s">
        <v>2553</v>
      </c>
      <c r="Y30" s="1219" t="s">
        <v>2553</v>
      </c>
      <c r="Z30" s="1219" t="s">
        <v>2553</v>
      </c>
      <c r="AA30" s="1219" t="s">
        <v>2552</v>
      </c>
      <c r="AB30" s="1219" t="s">
        <v>2553</v>
      </c>
      <c r="AC30" s="1219" t="s">
        <v>2553</v>
      </c>
      <c r="AD30" s="1219" t="s">
        <v>2553</v>
      </c>
      <c r="AE30" s="1219" t="s">
        <v>2553</v>
      </c>
      <c r="AF30" s="1219" t="s">
        <v>2553</v>
      </c>
      <c r="AG30" s="1219" t="s">
        <v>2553</v>
      </c>
      <c r="AH30" s="1219" t="s">
        <v>2552</v>
      </c>
      <c r="AI30" s="1219" t="s">
        <v>2553</v>
      </c>
      <c r="AJ30" s="1219"/>
      <c r="AK30" s="1222">
        <f t="shared" si="0"/>
        <v>22</v>
      </c>
      <c r="AL30" s="1222">
        <f t="shared" si="1"/>
        <v>5</v>
      </c>
      <c r="AM30" s="1222">
        <f t="shared" si="2"/>
        <v>0</v>
      </c>
      <c r="AN30" s="1222">
        <f t="shared" si="3"/>
        <v>0</v>
      </c>
      <c r="AO30" s="1222">
        <f t="shared" si="4"/>
        <v>0</v>
      </c>
      <c r="AP30" s="1221">
        <f t="shared" si="5"/>
        <v>27</v>
      </c>
      <c r="AQ30" s="1223"/>
    </row>
    <row r="31" spans="1:43" ht="16.149999999999999" customHeight="1" outlineLevel="1">
      <c r="A31" s="1219">
        <v>20</v>
      </c>
      <c r="B31" s="1219"/>
      <c r="C31" s="1639" t="s">
        <v>3304</v>
      </c>
      <c r="D31" s="1220" t="s">
        <v>3189</v>
      </c>
      <c r="E31" s="1221"/>
      <c r="F31" s="1219" t="s">
        <v>2552</v>
      </c>
      <c r="G31" s="1219" t="s">
        <v>2553</v>
      </c>
      <c r="H31" s="1219" t="s">
        <v>2553</v>
      </c>
      <c r="I31" s="1219" t="s">
        <v>2553</v>
      </c>
      <c r="J31" s="1219" t="s">
        <v>2553</v>
      </c>
      <c r="K31" s="1219" t="s">
        <v>2553</v>
      </c>
      <c r="L31" s="1219" t="s">
        <v>2553</v>
      </c>
      <c r="M31" s="1219" t="s">
        <v>2552</v>
      </c>
      <c r="N31" s="1219" t="s">
        <v>2553</v>
      </c>
      <c r="O31" s="1219" t="s">
        <v>2553</v>
      </c>
      <c r="P31" s="1219" t="s">
        <v>2553</v>
      </c>
      <c r="Q31" s="1219"/>
      <c r="R31" s="1219" t="s">
        <v>2553</v>
      </c>
      <c r="S31" s="1219" t="s">
        <v>2553</v>
      </c>
      <c r="T31" s="1219" t="s">
        <v>2552</v>
      </c>
      <c r="U31" s="1219" t="s">
        <v>2553</v>
      </c>
      <c r="V31" s="1219" t="s">
        <v>2553</v>
      </c>
      <c r="W31" s="1219" t="s">
        <v>2553</v>
      </c>
      <c r="X31" s="1219" t="s">
        <v>2553</v>
      </c>
      <c r="Y31" s="1219" t="s">
        <v>2553</v>
      </c>
      <c r="Z31" s="1219" t="s">
        <v>2553</v>
      </c>
      <c r="AA31" s="1219" t="s">
        <v>2552</v>
      </c>
      <c r="AB31" s="1219" t="s">
        <v>2553</v>
      </c>
      <c r="AC31" s="1219" t="s">
        <v>2553</v>
      </c>
      <c r="AD31" s="1219" t="s">
        <v>2553</v>
      </c>
      <c r="AE31" s="1219" t="s">
        <v>2553</v>
      </c>
      <c r="AF31" s="1219" t="s">
        <v>2553</v>
      </c>
      <c r="AG31" s="1219" t="s">
        <v>2553</v>
      </c>
      <c r="AH31" s="1219" t="s">
        <v>2552</v>
      </c>
      <c r="AI31" s="1219" t="s">
        <v>2553</v>
      </c>
      <c r="AJ31" s="1219"/>
      <c r="AK31" s="1222">
        <f t="shared" si="0"/>
        <v>24</v>
      </c>
      <c r="AL31" s="1222">
        <f t="shared" si="1"/>
        <v>5</v>
      </c>
      <c r="AM31" s="1222">
        <f t="shared" si="2"/>
        <v>0</v>
      </c>
      <c r="AN31" s="1222">
        <f t="shared" si="3"/>
        <v>0</v>
      </c>
      <c r="AO31" s="1222">
        <f t="shared" si="4"/>
        <v>0</v>
      </c>
      <c r="AP31" s="1221">
        <f t="shared" si="5"/>
        <v>29</v>
      </c>
      <c r="AQ31" s="1223"/>
    </row>
    <row r="32" spans="1:43" ht="16.149999999999999" customHeight="1" outlineLevel="1">
      <c r="A32" s="1219">
        <v>21</v>
      </c>
      <c r="B32" s="1219"/>
      <c r="C32" s="1219"/>
      <c r="D32" s="1220" t="s">
        <v>3190</v>
      </c>
      <c r="E32" s="1221"/>
      <c r="F32" s="1219" t="s">
        <v>2552</v>
      </c>
      <c r="G32" s="1219" t="s">
        <v>2553</v>
      </c>
      <c r="H32" s="1219" t="s">
        <v>2553</v>
      </c>
      <c r="I32" s="1219" t="s">
        <v>2553</v>
      </c>
      <c r="J32" s="1219" t="s">
        <v>2553</v>
      </c>
      <c r="K32" s="1219" t="s">
        <v>2553</v>
      </c>
      <c r="L32" s="1219" t="s">
        <v>2553</v>
      </c>
      <c r="M32" s="1219" t="s">
        <v>2552</v>
      </c>
      <c r="N32" s="1219" t="s">
        <v>2553</v>
      </c>
      <c r="O32" s="1219" t="s">
        <v>2553</v>
      </c>
      <c r="P32" s="1219" t="s">
        <v>2553</v>
      </c>
      <c r="Q32" s="1219"/>
      <c r="R32" s="1219" t="s">
        <v>2553</v>
      </c>
      <c r="S32" s="1219" t="s">
        <v>2553</v>
      </c>
      <c r="T32" s="1219" t="s">
        <v>2552</v>
      </c>
      <c r="U32" s="1219" t="s">
        <v>2553</v>
      </c>
      <c r="V32" s="1219" t="s">
        <v>2553</v>
      </c>
      <c r="W32" s="1219" t="s">
        <v>2553</v>
      </c>
      <c r="X32" s="1219" t="s">
        <v>2553</v>
      </c>
      <c r="Y32" s="1219" t="s">
        <v>2553</v>
      </c>
      <c r="Z32" s="1219" t="s">
        <v>2553</v>
      </c>
      <c r="AA32" s="1219" t="s">
        <v>2552</v>
      </c>
      <c r="AB32" s="1219" t="s">
        <v>2553</v>
      </c>
      <c r="AC32" s="1219" t="s">
        <v>2553</v>
      </c>
      <c r="AD32" s="1219" t="s">
        <v>2553</v>
      </c>
      <c r="AE32" s="1219" t="s">
        <v>2553</v>
      </c>
      <c r="AF32" s="1219"/>
      <c r="AG32" s="1219" t="s">
        <v>2553</v>
      </c>
      <c r="AH32" s="1219" t="s">
        <v>2552</v>
      </c>
      <c r="AI32" s="1219" t="s">
        <v>2553</v>
      </c>
      <c r="AJ32" s="1219"/>
      <c r="AK32" s="1222">
        <f t="shared" si="0"/>
        <v>23</v>
      </c>
      <c r="AL32" s="1222">
        <f t="shared" si="1"/>
        <v>5</v>
      </c>
      <c r="AM32" s="1222">
        <f t="shared" si="2"/>
        <v>0</v>
      </c>
      <c r="AN32" s="1222">
        <f t="shared" si="3"/>
        <v>0</v>
      </c>
      <c r="AO32" s="1222">
        <f t="shared" si="4"/>
        <v>0</v>
      </c>
      <c r="AP32" s="1221">
        <f t="shared" si="5"/>
        <v>28</v>
      </c>
      <c r="AQ32" s="1223"/>
    </row>
    <row r="33" spans="1:44" ht="16.149999999999999" customHeight="1" outlineLevel="1">
      <c r="A33" s="1219">
        <v>22</v>
      </c>
      <c r="B33" s="1219"/>
      <c r="C33" s="1639" t="s">
        <v>3305</v>
      </c>
      <c r="D33" s="1220" t="s">
        <v>3191</v>
      </c>
      <c r="E33" s="1221"/>
      <c r="F33" s="1219" t="s">
        <v>2552</v>
      </c>
      <c r="G33" s="1219" t="s">
        <v>2553</v>
      </c>
      <c r="H33" s="1219" t="s">
        <v>2553</v>
      </c>
      <c r="I33" s="1219" t="s">
        <v>2553</v>
      </c>
      <c r="J33" s="1219" t="s">
        <v>2553</v>
      </c>
      <c r="K33" s="1219" t="s">
        <v>2553</v>
      </c>
      <c r="L33" s="1219" t="s">
        <v>2553</v>
      </c>
      <c r="M33" s="1219" t="s">
        <v>2552</v>
      </c>
      <c r="N33" s="1219" t="s">
        <v>2553</v>
      </c>
      <c r="O33" s="1219" t="s">
        <v>2553</v>
      </c>
      <c r="P33" s="1219" t="s">
        <v>2553</v>
      </c>
      <c r="Q33" s="1219"/>
      <c r="R33" s="1219" t="s">
        <v>2553</v>
      </c>
      <c r="S33" s="1219" t="s">
        <v>2553</v>
      </c>
      <c r="T33" s="1219" t="s">
        <v>2552</v>
      </c>
      <c r="U33" s="1219" t="s">
        <v>2553</v>
      </c>
      <c r="V33" s="1219" t="s">
        <v>2553</v>
      </c>
      <c r="W33" s="1219" t="s">
        <v>2553</v>
      </c>
      <c r="X33" s="1219" t="s">
        <v>2553</v>
      </c>
      <c r="Y33" s="1219" t="s">
        <v>2553</v>
      </c>
      <c r="Z33" s="1219" t="s">
        <v>2553</v>
      </c>
      <c r="AA33" s="1219" t="s">
        <v>2552</v>
      </c>
      <c r="AB33" s="1219" t="s">
        <v>2553</v>
      </c>
      <c r="AC33" s="1219" t="s">
        <v>2553</v>
      </c>
      <c r="AD33" s="1219" t="s">
        <v>2553</v>
      </c>
      <c r="AE33" s="1219" t="s">
        <v>2553</v>
      </c>
      <c r="AF33" s="1219" t="s">
        <v>2553</v>
      </c>
      <c r="AG33" s="1219" t="s">
        <v>2553</v>
      </c>
      <c r="AH33" s="1219" t="s">
        <v>2552</v>
      </c>
      <c r="AI33" s="1219" t="s">
        <v>2553</v>
      </c>
      <c r="AJ33" s="1219"/>
      <c r="AK33" s="1222">
        <f t="shared" si="0"/>
        <v>24</v>
      </c>
      <c r="AL33" s="1222">
        <f t="shared" si="1"/>
        <v>5</v>
      </c>
      <c r="AM33" s="1222">
        <f t="shared" si="2"/>
        <v>0</v>
      </c>
      <c r="AN33" s="1222">
        <f t="shared" si="3"/>
        <v>0</v>
      </c>
      <c r="AO33" s="1222">
        <f t="shared" si="4"/>
        <v>0</v>
      </c>
      <c r="AP33" s="1221">
        <f t="shared" si="5"/>
        <v>29</v>
      </c>
      <c r="AQ33" s="1223"/>
    </row>
    <row r="34" spans="1:44" ht="16.149999999999999" customHeight="1" outlineLevel="1">
      <c r="A34" s="1219">
        <v>23</v>
      </c>
      <c r="B34" s="1219"/>
      <c r="C34" s="1219" t="s">
        <v>3306</v>
      </c>
      <c r="D34" s="1220" t="s">
        <v>3192</v>
      </c>
      <c r="E34" s="1221"/>
      <c r="F34" s="1219" t="s">
        <v>2552</v>
      </c>
      <c r="G34" s="1219" t="s">
        <v>2553</v>
      </c>
      <c r="H34" s="1219" t="s">
        <v>2553</v>
      </c>
      <c r="I34" s="1219" t="s">
        <v>2553</v>
      </c>
      <c r="J34" s="1219" t="s">
        <v>2553</v>
      </c>
      <c r="K34" s="1219" t="s">
        <v>2553</v>
      </c>
      <c r="L34" s="1219" t="s">
        <v>2553</v>
      </c>
      <c r="M34" s="1219" t="s">
        <v>2552</v>
      </c>
      <c r="N34" s="1219" t="s">
        <v>2553</v>
      </c>
      <c r="O34" s="1219" t="s">
        <v>2553</v>
      </c>
      <c r="P34" s="1219" t="s">
        <v>2553</v>
      </c>
      <c r="Q34" s="1219"/>
      <c r="R34" s="1219" t="s">
        <v>2553</v>
      </c>
      <c r="S34" s="1219"/>
      <c r="T34" s="1219"/>
      <c r="U34" s="1219" t="s">
        <v>2553</v>
      </c>
      <c r="V34" s="1219" t="s">
        <v>2553</v>
      </c>
      <c r="W34" s="1219" t="s">
        <v>2553</v>
      </c>
      <c r="X34" s="1219" t="s">
        <v>2553</v>
      </c>
      <c r="Y34" s="1219" t="s">
        <v>2553</v>
      </c>
      <c r="Z34" s="1219" t="s">
        <v>2553</v>
      </c>
      <c r="AA34" s="1219" t="s">
        <v>2552</v>
      </c>
      <c r="AB34" s="1219" t="s">
        <v>2553</v>
      </c>
      <c r="AC34" s="1219" t="s">
        <v>2553</v>
      </c>
      <c r="AD34" s="1219" t="s">
        <v>2553</v>
      </c>
      <c r="AE34" s="1219" t="s">
        <v>2553</v>
      </c>
      <c r="AF34" s="1219" t="s">
        <v>2553</v>
      </c>
      <c r="AG34" s="1219" t="s">
        <v>2553</v>
      </c>
      <c r="AH34" s="1219" t="s">
        <v>2552</v>
      </c>
      <c r="AI34" s="1219" t="s">
        <v>2553</v>
      </c>
      <c r="AJ34" s="1219"/>
      <c r="AK34" s="1222">
        <f t="shared" si="0"/>
        <v>23</v>
      </c>
      <c r="AL34" s="1222">
        <f t="shared" si="1"/>
        <v>4</v>
      </c>
      <c r="AM34" s="1222">
        <f t="shared" si="2"/>
        <v>0</v>
      </c>
      <c r="AN34" s="1222">
        <f t="shared" si="3"/>
        <v>0</v>
      </c>
      <c r="AO34" s="1222">
        <f t="shared" si="4"/>
        <v>0</v>
      </c>
      <c r="AP34" s="1221">
        <f t="shared" si="5"/>
        <v>27</v>
      </c>
      <c r="AQ34" s="1223"/>
    </row>
    <row r="35" spans="1:44" ht="16.149999999999999" customHeight="1" outlineLevel="1">
      <c r="A35" s="1219">
        <v>24</v>
      </c>
      <c r="B35" s="1219"/>
      <c r="C35" s="1639"/>
      <c r="D35" s="1220" t="s">
        <v>3193</v>
      </c>
      <c r="E35" s="1221"/>
      <c r="F35" s="1219" t="s">
        <v>2552</v>
      </c>
      <c r="G35" s="1219" t="s">
        <v>2553</v>
      </c>
      <c r="H35" s="1219" t="s">
        <v>2553</v>
      </c>
      <c r="I35" s="1219" t="s">
        <v>2553</v>
      </c>
      <c r="J35" s="1219" t="s">
        <v>2553</v>
      </c>
      <c r="K35" s="1219" t="s">
        <v>2553</v>
      </c>
      <c r="L35" s="1219" t="s">
        <v>2553</v>
      </c>
      <c r="M35" s="1219"/>
      <c r="N35" s="1219"/>
      <c r="O35" s="1219" t="s">
        <v>2553</v>
      </c>
      <c r="P35" s="1219" t="s">
        <v>2553</v>
      </c>
      <c r="Q35" s="1219"/>
      <c r="R35" s="1219" t="s">
        <v>2553</v>
      </c>
      <c r="S35" s="1219" t="s">
        <v>2553</v>
      </c>
      <c r="T35" s="1219" t="s">
        <v>2552</v>
      </c>
      <c r="U35" s="1219"/>
      <c r="V35" s="1219"/>
      <c r="W35" s="1219" t="s">
        <v>2553</v>
      </c>
      <c r="X35" s="1219"/>
      <c r="Y35" s="1219"/>
      <c r="Z35" s="1219" t="s">
        <v>2553</v>
      </c>
      <c r="AA35" s="1219" t="s">
        <v>2552</v>
      </c>
      <c r="AB35" s="1219"/>
      <c r="AC35" s="1219" t="s">
        <v>2553</v>
      </c>
      <c r="AD35" s="1219" t="s">
        <v>2553</v>
      </c>
      <c r="AE35" s="1219" t="s">
        <v>2553</v>
      </c>
      <c r="AF35" s="1219" t="s">
        <v>2553</v>
      </c>
      <c r="AG35" s="1219" t="s">
        <v>2553</v>
      </c>
      <c r="AH35" s="1219" t="s">
        <v>2552</v>
      </c>
      <c r="AI35" s="1219" t="s">
        <v>2553</v>
      </c>
      <c r="AJ35" s="1219"/>
      <c r="AK35" s="1222">
        <f t="shared" si="0"/>
        <v>18</v>
      </c>
      <c r="AL35" s="1222">
        <f t="shared" si="1"/>
        <v>4</v>
      </c>
      <c r="AM35" s="1222">
        <f t="shared" si="2"/>
        <v>0</v>
      </c>
      <c r="AN35" s="1222">
        <f t="shared" si="3"/>
        <v>0</v>
      </c>
      <c r="AO35" s="1222">
        <f t="shared" si="4"/>
        <v>0</v>
      </c>
      <c r="AP35" s="1221">
        <f t="shared" si="5"/>
        <v>22</v>
      </c>
      <c r="AQ35" s="1223"/>
    </row>
    <row r="36" spans="1:44" ht="16.149999999999999" customHeight="1" outlineLevel="1">
      <c r="A36" s="1219">
        <v>25</v>
      </c>
      <c r="B36" s="1219"/>
      <c r="C36" s="1639"/>
      <c r="D36" s="1220" t="s">
        <v>3194</v>
      </c>
      <c r="E36" s="1221"/>
      <c r="F36" s="1219" t="s">
        <v>2552</v>
      </c>
      <c r="G36" s="1219" t="s">
        <v>2553</v>
      </c>
      <c r="H36" s="1219" t="s">
        <v>2553</v>
      </c>
      <c r="I36" s="1219" t="s">
        <v>2553</v>
      </c>
      <c r="J36" s="1219" t="s">
        <v>2553</v>
      </c>
      <c r="K36" s="1219" t="s">
        <v>2553</v>
      </c>
      <c r="L36" s="1219" t="s">
        <v>2553</v>
      </c>
      <c r="M36" s="1219" t="s">
        <v>2552</v>
      </c>
      <c r="N36" s="1219" t="s">
        <v>2553</v>
      </c>
      <c r="O36" s="1219" t="s">
        <v>2553</v>
      </c>
      <c r="P36" s="1219" t="s">
        <v>2553</v>
      </c>
      <c r="Q36" s="1219"/>
      <c r="R36" s="1219"/>
      <c r="S36" s="1219"/>
      <c r="T36" s="1219"/>
      <c r="U36" s="1219"/>
      <c r="V36" s="1219"/>
      <c r="W36" s="1219"/>
      <c r="X36" s="1219" t="s">
        <v>2553</v>
      </c>
      <c r="Y36" s="1219" t="s">
        <v>2553</v>
      </c>
      <c r="Z36" s="1219" t="s">
        <v>2553</v>
      </c>
      <c r="AA36" s="1219" t="s">
        <v>2552</v>
      </c>
      <c r="AB36" s="1219" t="s">
        <v>2553</v>
      </c>
      <c r="AC36" s="1219" t="s">
        <v>2553</v>
      </c>
      <c r="AD36" s="1219" t="s">
        <v>2553</v>
      </c>
      <c r="AE36" s="1219" t="s">
        <v>2553</v>
      </c>
      <c r="AF36" s="1219" t="s">
        <v>2553</v>
      </c>
      <c r="AG36" s="1219" t="s">
        <v>2553</v>
      </c>
      <c r="AH36" s="1219" t="s">
        <v>2552</v>
      </c>
      <c r="AI36" s="1219" t="s">
        <v>2553</v>
      </c>
      <c r="AJ36" s="1219"/>
      <c r="AK36" s="1222">
        <f t="shared" si="0"/>
        <v>19</v>
      </c>
      <c r="AL36" s="1222">
        <f t="shared" si="1"/>
        <v>4</v>
      </c>
      <c r="AM36" s="1222">
        <f t="shared" si="2"/>
        <v>0</v>
      </c>
      <c r="AN36" s="1222">
        <f t="shared" ref="AN36:AN89" si="6">COUNTIF(F36:AJ36,"GT")</f>
        <v>0</v>
      </c>
      <c r="AO36" s="1222">
        <f t="shared" ref="AO36:AO89" si="7">COUNTIF(F36:AJ36,"CT")</f>
        <v>0</v>
      </c>
      <c r="AP36" s="1221">
        <f t="shared" si="5"/>
        <v>23</v>
      </c>
      <c r="AQ36" s="1223"/>
      <c r="AR36" s="335">
        <v>46.1</v>
      </c>
    </row>
    <row r="37" spans="1:44" ht="16.149999999999999" customHeight="1" outlineLevel="1">
      <c r="A37" s="1219">
        <v>26</v>
      </c>
      <c r="B37" s="1219"/>
      <c r="C37" s="1639"/>
      <c r="D37" s="1220" t="s">
        <v>3195</v>
      </c>
      <c r="E37" s="1221"/>
      <c r="F37" s="1219" t="s">
        <v>2552</v>
      </c>
      <c r="G37" s="1219" t="s">
        <v>2553</v>
      </c>
      <c r="H37" s="1219" t="s">
        <v>2553</v>
      </c>
      <c r="I37" s="1219" t="s">
        <v>2553</v>
      </c>
      <c r="J37" s="1219" t="s">
        <v>2553</v>
      </c>
      <c r="K37" s="1219" t="s">
        <v>2553</v>
      </c>
      <c r="L37" s="1219" t="s">
        <v>2553</v>
      </c>
      <c r="M37" s="1219"/>
      <c r="N37" s="1219"/>
      <c r="O37" s="1219"/>
      <c r="P37" s="1219" t="s">
        <v>2553</v>
      </c>
      <c r="Q37" s="1219"/>
      <c r="R37" s="1219"/>
      <c r="S37" s="1219"/>
      <c r="T37" s="1219"/>
      <c r="U37" s="1219"/>
      <c r="V37" s="1219"/>
      <c r="W37" s="1219"/>
      <c r="X37" s="1219" t="s">
        <v>2553</v>
      </c>
      <c r="Y37" s="1219" t="s">
        <v>2553</v>
      </c>
      <c r="Z37" s="1219" t="s">
        <v>2553</v>
      </c>
      <c r="AA37" s="1219" t="s">
        <v>2552</v>
      </c>
      <c r="AB37" s="1219" t="s">
        <v>2553</v>
      </c>
      <c r="AC37" s="1219" t="s">
        <v>2553</v>
      </c>
      <c r="AD37" s="1219" t="s">
        <v>2553</v>
      </c>
      <c r="AE37" s="1219" t="s">
        <v>2553</v>
      </c>
      <c r="AF37" s="1219" t="s">
        <v>2553</v>
      </c>
      <c r="AG37" s="1219" t="s">
        <v>2553</v>
      </c>
      <c r="AH37" s="1219" t="s">
        <v>2552</v>
      </c>
      <c r="AI37" s="1219" t="s">
        <v>2553</v>
      </c>
      <c r="AJ37" s="1219"/>
      <c r="AK37" s="1222">
        <f t="shared" si="0"/>
        <v>17</v>
      </c>
      <c r="AL37" s="1222">
        <f t="shared" si="1"/>
        <v>3</v>
      </c>
      <c r="AM37" s="1222">
        <f t="shared" si="2"/>
        <v>0</v>
      </c>
      <c r="AN37" s="1222">
        <f t="shared" si="6"/>
        <v>0</v>
      </c>
      <c r="AO37" s="1222">
        <f t="shared" si="7"/>
        <v>0</v>
      </c>
      <c r="AP37" s="1221">
        <f t="shared" si="5"/>
        <v>20</v>
      </c>
      <c r="AQ37" s="1223"/>
      <c r="AR37" s="335">
        <v>76.900000000000006</v>
      </c>
    </row>
    <row r="38" spans="1:44" ht="16.149999999999999" customHeight="1" outlineLevel="1">
      <c r="A38" s="1219">
        <v>27</v>
      </c>
      <c r="B38" s="1219"/>
      <c r="C38" s="1639" t="s">
        <v>3294</v>
      </c>
      <c r="D38" s="1220" t="s">
        <v>3196</v>
      </c>
      <c r="E38" s="1221"/>
      <c r="F38" s="1219" t="s">
        <v>2552</v>
      </c>
      <c r="G38" s="1219" t="s">
        <v>2553</v>
      </c>
      <c r="H38" s="1219" t="s">
        <v>2553</v>
      </c>
      <c r="I38" s="1219" t="s">
        <v>2553</v>
      </c>
      <c r="J38" s="1219" t="s">
        <v>2553</v>
      </c>
      <c r="K38" s="1219" t="s">
        <v>2553</v>
      </c>
      <c r="L38" s="1219"/>
      <c r="M38" s="1219" t="s">
        <v>2552</v>
      </c>
      <c r="N38" s="1219" t="s">
        <v>2553</v>
      </c>
      <c r="O38" s="1219" t="s">
        <v>2553</v>
      </c>
      <c r="P38" s="1219" t="s">
        <v>2553</v>
      </c>
      <c r="Q38" s="1219"/>
      <c r="R38" s="1219" t="s">
        <v>2553</v>
      </c>
      <c r="S38" s="1219" t="s">
        <v>2553</v>
      </c>
      <c r="T38" s="1219" t="s">
        <v>2552</v>
      </c>
      <c r="U38" s="1219" t="s">
        <v>2553</v>
      </c>
      <c r="V38" s="1219" t="s">
        <v>2553</v>
      </c>
      <c r="W38" s="1219" t="s">
        <v>2553</v>
      </c>
      <c r="X38" s="1219" t="s">
        <v>2553</v>
      </c>
      <c r="Y38" s="1219" t="s">
        <v>2553</v>
      </c>
      <c r="Z38" s="1219" t="s">
        <v>2553</v>
      </c>
      <c r="AA38" s="1219" t="s">
        <v>2552</v>
      </c>
      <c r="AB38" s="1219" t="s">
        <v>2553</v>
      </c>
      <c r="AC38" s="1219" t="s">
        <v>2553</v>
      </c>
      <c r="AD38" s="1219" t="s">
        <v>2553</v>
      </c>
      <c r="AE38" s="1219" t="s">
        <v>2553</v>
      </c>
      <c r="AF38" s="1219" t="s">
        <v>2553</v>
      </c>
      <c r="AG38" s="1219" t="s">
        <v>2553</v>
      </c>
      <c r="AH38" s="1219" t="s">
        <v>2552</v>
      </c>
      <c r="AI38" s="1219" t="s">
        <v>2553</v>
      </c>
      <c r="AJ38" s="1219"/>
      <c r="AK38" s="1222">
        <f t="shared" si="0"/>
        <v>23</v>
      </c>
      <c r="AL38" s="1222">
        <f t="shared" si="1"/>
        <v>5</v>
      </c>
      <c r="AM38" s="1222">
        <f t="shared" si="2"/>
        <v>0</v>
      </c>
      <c r="AN38" s="1222">
        <f t="shared" si="6"/>
        <v>0</v>
      </c>
      <c r="AO38" s="1222">
        <f t="shared" si="7"/>
        <v>0</v>
      </c>
      <c r="AP38" s="1221">
        <f t="shared" si="5"/>
        <v>28</v>
      </c>
      <c r="AQ38" s="1223"/>
    </row>
    <row r="39" spans="1:44" ht="16.149999999999999" customHeight="1" outlineLevel="1">
      <c r="A39" s="1219">
        <v>28</v>
      </c>
      <c r="B39" s="1219"/>
      <c r="C39" s="1639" t="s">
        <v>3307</v>
      </c>
      <c r="D39" s="1220" t="s">
        <v>3197</v>
      </c>
      <c r="E39" s="1221"/>
      <c r="F39" s="1219" t="s">
        <v>2552</v>
      </c>
      <c r="G39" s="1219" t="s">
        <v>2553</v>
      </c>
      <c r="H39" s="1219" t="s">
        <v>2553</v>
      </c>
      <c r="I39" s="1219" t="s">
        <v>2553</v>
      </c>
      <c r="J39" s="1219" t="s">
        <v>2553</v>
      </c>
      <c r="K39" s="1219" t="s">
        <v>2553</v>
      </c>
      <c r="L39" s="1219" t="s">
        <v>2553</v>
      </c>
      <c r="M39" s="1219" t="s">
        <v>2552</v>
      </c>
      <c r="N39" s="1219" t="s">
        <v>2553</v>
      </c>
      <c r="O39" s="1219" t="s">
        <v>2553</v>
      </c>
      <c r="P39" s="1219" t="s">
        <v>2553</v>
      </c>
      <c r="Q39" s="1219"/>
      <c r="R39" s="1219" t="s">
        <v>2553</v>
      </c>
      <c r="S39" s="1219" t="s">
        <v>2553</v>
      </c>
      <c r="T39" s="1219" t="s">
        <v>2552</v>
      </c>
      <c r="U39" s="1219" t="s">
        <v>2553</v>
      </c>
      <c r="V39" s="1219" t="s">
        <v>2553</v>
      </c>
      <c r="W39" s="1219" t="s">
        <v>2553</v>
      </c>
      <c r="X39" s="1219" t="s">
        <v>2553</v>
      </c>
      <c r="Y39" s="1219" t="s">
        <v>2553</v>
      </c>
      <c r="Z39" s="1219" t="s">
        <v>2553</v>
      </c>
      <c r="AA39" s="1219" t="s">
        <v>2552</v>
      </c>
      <c r="AB39" s="1219" t="s">
        <v>2553</v>
      </c>
      <c r="AC39" s="1219" t="s">
        <v>2553</v>
      </c>
      <c r="AD39" s="1219" t="s">
        <v>2553</v>
      </c>
      <c r="AE39" s="1219" t="s">
        <v>2553</v>
      </c>
      <c r="AF39" s="1219" t="s">
        <v>2553</v>
      </c>
      <c r="AG39" s="1219" t="s">
        <v>2553</v>
      </c>
      <c r="AH39" s="1219" t="s">
        <v>2552</v>
      </c>
      <c r="AI39" s="1219" t="s">
        <v>2553</v>
      </c>
      <c r="AJ39" s="1219"/>
      <c r="AK39" s="1222">
        <f t="shared" si="0"/>
        <v>24</v>
      </c>
      <c r="AL39" s="1222">
        <f t="shared" si="1"/>
        <v>5</v>
      </c>
      <c r="AM39" s="1222">
        <f t="shared" si="2"/>
        <v>0</v>
      </c>
      <c r="AN39" s="1222">
        <f t="shared" si="6"/>
        <v>0</v>
      </c>
      <c r="AO39" s="1222">
        <f t="shared" si="7"/>
        <v>0</v>
      </c>
      <c r="AP39" s="1221">
        <f t="shared" si="5"/>
        <v>29</v>
      </c>
      <c r="AQ39" s="1223"/>
    </row>
    <row r="40" spans="1:44" ht="16.149999999999999" customHeight="1" outlineLevel="1">
      <c r="A40" s="1219">
        <v>29</v>
      </c>
      <c r="B40" s="1219"/>
      <c r="C40" s="1639" t="s">
        <v>3308</v>
      </c>
      <c r="D40" s="1220" t="s">
        <v>3198</v>
      </c>
      <c r="E40" s="1221"/>
      <c r="F40" s="1219" t="s">
        <v>2552</v>
      </c>
      <c r="G40" s="1219" t="s">
        <v>2553</v>
      </c>
      <c r="H40" s="1219" t="s">
        <v>2553</v>
      </c>
      <c r="I40" s="1219" t="s">
        <v>2553</v>
      </c>
      <c r="J40" s="1219" t="s">
        <v>2553</v>
      </c>
      <c r="K40" s="1219" t="s">
        <v>2553</v>
      </c>
      <c r="L40" s="1219" t="s">
        <v>2553</v>
      </c>
      <c r="M40" s="1219" t="s">
        <v>2552</v>
      </c>
      <c r="N40" s="1219" t="s">
        <v>2553</v>
      </c>
      <c r="O40" s="1219" t="s">
        <v>2553</v>
      </c>
      <c r="P40" s="1219" t="s">
        <v>2553</v>
      </c>
      <c r="Q40" s="1219"/>
      <c r="R40" s="1219" t="s">
        <v>2553</v>
      </c>
      <c r="S40" s="1219" t="s">
        <v>2553</v>
      </c>
      <c r="T40" s="1219" t="s">
        <v>2552</v>
      </c>
      <c r="U40" s="1219" t="s">
        <v>2553</v>
      </c>
      <c r="V40" s="1219" t="s">
        <v>2553</v>
      </c>
      <c r="W40" s="1219"/>
      <c r="X40" s="1219" t="s">
        <v>2553</v>
      </c>
      <c r="Y40" s="1219" t="s">
        <v>2553</v>
      </c>
      <c r="Z40" s="1219" t="s">
        <v>2553</v>
      </c>
      <c r="AA40" s="1219" t="s">
        <v>2552</v>
      </c>
      <c r="AB40" s="1219" t="s">
        <v>2553</v>
      </c>
      <c r="AC40" s="1219" t="s">
        <v>2553</v>
      </c>
      <c r="AD40" s="1219" t="s">
        <v>2553</v>
      </c>
      <c r="AE40" s="1219" t="s">
        <v>2553</v>
      </c>
      <c r="AF40" s="1219" t="s">
        <v>2553</v>
      </c>
      <c r="AG40" s="1219" t="s">
        <v>2553</v>
      </c>
      <c r="AH40" s="1219" t="s">
        <v>2552</v>
      </c>
      <c r="AI40" s="1219" t="s">
        <v>2553</v>
      </c>
      <c r="AJ40" s="1219"/>
      <c r="AK40" s="1222">
        <f t="shared" si="0"/>
        <v>23</v>
      </c>
      <c r="AL40" s="1222">
        <f t="shared" si="1"/>
        <v>5</v>
      </c>
      <c r="AM40" s="1222">
        <f t="shared" si="2"/>
        <v>0</v>
      </c>
      <c r="AN40" s="1222">
        <f t="shared" si="6"/>
        <v>0</v>
      </c>
      <c r="AO40" s="1222">
        <f t="shared" si="7"/>
        <v>0</v>
      </c>
      <c r="AP40" s="1221">
        <f t="shared" si="5"/>
        <v>28</v>
      </c>
      <c r="AQ40" s="1223"/>
      <c r="AR40" s="1224" t="e">
        <f>#REF!*AR36*#REF!+#REF!*AR37*#REF!+#REF!*20000</f>
        <v>#REF!</v>
      </c>
    </row>
    <row r="41" spans="1:44" ht="16.149999999999999" customHeight="1" outlineLevel="1">
      <c r="A41" s="1219">
        <v>30</v>
      </c>
      <c r="B41" s="1219"/>
      <c r="C41" s="1639" t="s">
        <v>3309</v>
      </c>
      <c r="D41" s="1220" t="s">
        <v>3199</v>
      </c>
      <c r="E41" s="1221"/>
      <c r="F41" s="1219" t="s">
        <v>2552</v>
      </c>
      <c r="G41" s="1219" t="s">
        <v>2553</v>
      </c>
      <c r="H41" s="1219" t="s">
        <v>2553</v>
      </c>
      <c r="I41" s="1219" t="s">
        <v>2553</v>
      </c>
      <c r="J41" s="1219" t="s">
        <v>2553</v>
      </c>
      <c r="K41" s="1219" t="s">
        <v>2553</v>
      </c>
      <c r="L41" s="1219" t="s">
        <v>2553</v>
      </c>
      <c r="M41" s="1219" t="s">
        <v>2552</v>
      </c>
      <c r="N41" s="1219" t="s">
        <v>2553</v>
      </c>
      <c r="O41" s="1219" t="s">
        <v>2553</v>
      </c>
      <c r="P41" s="1219" t="s">
        <v>2553</v>
      </c>
      <c r="Q41" s="1219" t="s">
        <v>2553</v>
      </c>
      <c r="R41" s="1219"/>
      <c r="S41" s="1219" t="s">
        <v>2553</v>
      </c>
      <c r="T41" s="1219" t="s">
        <v>2552</v>
      </c>
      <c r="U41" s="1219" t="s">
        <v>2553</v>
      </c>
      <c r="V41" s="1219" t="s">
        <v>2553</v>
      </c>
      <c r="W41" s="1219" t="s">
        <v>2553</v>
      </c>
      <c r="X41" s="1219" t="s">
        <v>2553</v>
      </c>
      <c r="Y41" s="1219" t="s">
        <v>2553</v>
      </c>
      <c r="Z41" s="1219" t="s">
        <v>2553</v>
      </c>
      <c r="AA41" s="1219" t="s">
        <v>2552</v>
      </c>
      <c r="AB41" s="1219" t="s">
        <v>2553</v>
      </c>
      <c r="AC41" s="1219" t="s">
        <v>2553</v>
      </c>
      <c r="AD41" s="1219" t="s">
        <v>2553</v>
      </c>
      <c r="AE41" s="1219" t="s">
        <v>2553</v>
      </c>
      <c r="AF41" s="1219" t="s">
        <v>2553</v>
      </c>
      <c r="AG41" s="1219" t="s">
        <v>2553</v>
      </c>
      <c r="AH41" s="1219" t="s">
        <v>2552</v>
      </c>
      <c r="AI41" s="1219" t="s">
        <v>2553</v>
      </c>
      <c r="AJ41" s="1219"/>
      <c r="AK41" s="1222">
        <f t="shared" si="0"/>
        <v>24</v>
      </c>
      <c r="AL41" s="1222">
        <f t="shared" si="1"/>
        <v>5</v>
      </c>
      <c r="AM41" s="1222">
        <f t="shared" si="2"/>
        <v>0</v>
      </c>
      <c r="AN41" s="1222">
        <f t="shared" si="6"/>
        <v>0</v>
      </c>
      <c r="AO41" s="1222">
        <f t="shared" si="7"/>
        <v>0</v>
      </c>
      <c r="AP41" s="1221">
        <f t="shared" si="5"/>
        <v>29</v>
      </c>
      <c r="AQ41" s="1223"/>
    </row>
    <row r="42" spans="1:44" ht="16.149999999999999" customHeight="1" outlineLevel="1">
      <c r="A42" s="1219">
        <v>31</v>
      </c>
      <c r="B42" s="1219"/>
      <c r="C42" s="1639" t="s">
        <v>3310</v>
      </c>
      <c r="D42" s="1220" t="s">
        <v>3200</v>
      </c>
      <c r="E42" s="1221"/>
      <c r="F42" s="1219" t="s">
        <v>2552</v>
      </c>
      <c r="G42" s="1219" t="s">
        <v>2553</v>
      </c>
      <c r="H42" s="1219" t="s">
        <v>2553</v>
      </c>
      <c r="I42" s="1219" t="s">
        <v>2553</v>
      </c>
      <c r="J42" s="1219" t="s">
        <v>2553</v>
      </c>
      <c r="K42" s="1219" t="s">
        <v>2553</v>
      </c>
      <c r="L42" s="1219" t="s">
        <v>2553</v>
      </c>
      <c r="M42" s="1219" t="s">
        <v>2552</v>
      </c>
      <c r="N42" s="1219" t="s">
        <v>2553</v>
      </c>
      <c r="O42" s="1219" t="s">
        <v>2553</v>
      </c>
      <c r="P42" s="1219" t="s">
        <v>2553</v>
      </c>
      <c r="Q42" s="1219" t="s">
        <v>2553</v>
      </c>
      <c r="R42" s="1219"/>
      <c r="S42" s="1219" t="s">
        <v>2553</v>
      </c>
      <c r="T42" s="1219" t="s">
        <v>2552</v>
      </c>
      <c r="U42" s="1219" t="s">
        <v>2553</v>
      </c>
      <c r="V42" s="1219" t="s">
        <v>2553</v>
      </c>
      <c r="W42" s="1219" t="s">
        <v>2553</v>
      </c>
      <c r="X42" s="1219" t="s">
        <v>2553</v>
      </c>
      <c r="Y42" s="1219" t="s">
        <v>2553</v>
      </c>
      <c r="Z42" s="1219" t="s">
        <v>2553</v>
      </c>
      <c r="AA42" s="1219" t="s">
        <v>2552</v>
      </c>
      <c r="AB42" s="1219" t="s">
        <v>2553</v>
      </c>
      <c r="AC42" s="1219" t="s">
        <v>2553</v>
      </c>
      <c r="AD42" s="1219" t="s">
        <v>2553</v>
      </c>
      <c r="AE42" s="1219" t="s">
        <v>2553</v>
      </c>
      <c r="AF42" s="1219" t="s">
        <v>2553</v>
      </c>
      <c r="AG42" s="1219" t="s">
        <v>2553</v>
      </c>
      <c r="AH42" s="1219" t="s">
        <v>2552</v>
      </c>
      <c r="AI42" s="1219" t="s">
        <v>2553</v>
      </c>
      <c r="AJ42" s="1219"/>
      <c r="AK42" s="1222">
        <f t="shared" si="0"/>
        <v>24</v>
      </c>
      <c r="AL42" s="1222">
        <f t="shared" si="1"/>
        <v>5</v>
      </c>
      <c r="AM42" s="1222">
        <f t="shared" si="2"/>
        <v>0</v>
      </c>
      <c r="AN42" s="1222">
        <f t="shared" si="6"/>
        <v>0</v>
      </c>
      <c r="AO42" s="1222">
        <f t="shared" si="7"/>
        <v>0</v>
      </c>
      <c r="AP42" s="1221">
        <f t="shared" si="5"/>
        <v>29</v>
      </c>
      <c r="AQ42" s="1223"/>
    </row>
    <row r="43" spans="1:44" ht="16.149999999999999" customHeight="1" outlineLevel="1">
      <c r="A43" s="1219">
        <v>32</v>
      </c>
      <c r="B43" s="1219"/>
      <c r="C43" s="1639"/>
      <c r="D43" s="1220" t="s">
        <v>3201</v>
      </c>
      <c r="E43" s="1221"/>
      <c r="F43" s="1219" t="s">
        <v>2552</v>
      </c>
      <c r="G43" s="1219" t="s">
        <v>2553</v>
      </c>
      <c r="H43" s="1219" t="s">
        <v>2553</v>
      </c>
      <c r="I43" s="1219" t="s">
        <v>2553</v>
      </c>
      <c r="J43" s="1219" t="s">
        <v>2553</v>
      </c>
      <c r="K43" s="1219" t="s">
        <v>2553</v>
      </c>
      <c r="L43" s="1219" t="s">
        <v>2553</v>
      </c>
      <c r="M43" s="1219"/>
      <c r="N43" s="1219"/>
      <c r="O43" s="1219"/>
      <c r="P43" s="1219"/>
      <c r="Q43" s="1219"/>
      <c r="R43" s="1219"/>
      <c r="S43" s="1219"/>
      <c r="T43" s="1219"/>
      <c r="U43" s="1219"/>
      <c r="V43" s="1219"/>
      <c r="W43" s="1219"/>
      <c r="X43" s="1219" t="s">
        <v>2553</v>
      </c>
      <c r="Y43" s="1219" t="s">
        <v>2553</v>
      </c>
      <c r="Z43" s="1219" t="s">
        <v>2553</v>
      </c>
      <c r="AA43" s="1219" t="s">
        <v>2552</v>
      </c>
      <c r="AB43" s="1219" t="s">
        <v>2553</v>
      </c>
      <c r="AC43" s="1219" t="s">
        <v>2553</v>
      </c>
      <c r="AD43" s="1219" t="s">
        <v>2553</v>
      </c>
      <c r="AE43" s="1219" t="s">
        <v>2553</v>
      </c>
      <c r="AF43" s="1219" t="s">
        <v>2553</v>
      </c>
      <c r="AG43" s="1219" t="s">
        <v>2553</v>
      </c>
      <c r="AH43" s="1219" t="s">
        <v>2552</v>
      </c>
      <c r="AI43" s="1219" t="s">
        <v>2553</v>
      </c>
      <c r="AJ43" s="1219"/>
      <c r="AK43" s="1222">
        <f t="shared" si="0"/>
        <v>16</v>
      </c>
      <c r="AL43" s="1222">
        <f t="shared" si="1"/>
        <v>3</v>
      </c>
      <c r="AM43" s="1222">
        <f t="shared" si="2"/>
        <v>0</v>
      </c>
      <c r="AN43" s="1222">
        <f t="shared" si="6"/>
        <v>0</v>
      </c>
      <c r="AO43" s="1222">
        <f t="shared" si="7"/>
        <v>0</v>
      </c>
      <c r="AP43" s="1221">
        <f t="shared" si="5"/>
        <v>19</v>
      </c>
      <c r="AQ43" s="1223"/>
    </row>
    <row r="44" spans="1:44" ht="16.149999999999999" customHeight="1" outlineLevel="1">
      <c r="A44" s="1219">
        <v>33</v>
      </c>
      <c r="B44" s="1219"/>
      <c r="C44" s="1639" t="s">
        <v>3292</v>
      </c>
      <c r="D44" s="1220" t="s">
        <v>3202</v>
      </c>
      <c r="E44" s="1221"/>
      <c r="F44" s="1219"/>
      <c r="G44" s="1219"/>
      <c r="H44" s="1219"/>
      <c r="I44" s="1219"/>
      <c r="J44" s="1219"/>
      <c r="K44" s="1219" t="s">
        <v>2553</v>
      </c>
      <c r="L44" s="1219" t="s">
        <v>2553</v>
      </c>
      <c r="M44" s="1219" t="s">
        <v>2552</v>
      </c>
      <c r="N44" s="1219" t="s">
        <v>2553</v>
      </c>
      <c r="O44" s="1219" t="s">
        <v>2553</v>
      </c>
      <c r="P44" s="1219" t="s">
        <v>2553</v>
      </c>
      <c r="Q44" s="1219"/>
      <c r="R44" s="1219" t="s">
        <v>2553</v>
      </c>
      <c r="S44" s="1219"/>
      <c r="T44" s="1219"/>
      <c r="U44" s="1219"/>
      <c r="V44" s="1219"/>
      <c r="W44" s="1219"/>
      <c r="X44" s="1219" t="s">
        <v>2553</v>
      </c>
      <c r="Y44" s="1219" t="s">
        <v>2553</v>
      </c>
      <c r="Z44" s="1219" t="s">
        <v>2553</v>
      </c>
      <c r="AA44" s="1219" t="s">
        <v>2552</v>
      </c>
      <c r="AB44" s="1219" t="s">
        <v>2553</v>
      </c>
      <c r="AC44" s="1219" t="s">
        <v>2553</v>
      </c>
      <c r="AD44" s="1219" t="s">
        <v>2553</v>
      </c>
      <c r="AE44" s="1219" t="s">
        <v>2553</v>
      </c>
      <c r="AF44" s="1219" t="s">
        <v>2553</v>
      </c>
      <c r="AG44" s="1219" t="s">
        <v>2553</v>
      </c>
      <c r="AH44" s="1219" t="s">
        <v>2552</v>
      </c>
      <c r="AI44" s="1219" t="s">
        <v>2553</v>
      </c>
      <c r="AJ44" s="1219"/>
      <c r="AK44" s="1222">
        <f t="shared" si="0"/>
        <v>16</v>
      </c>
      <c r="AL44" s="1222">
        <f t="shared" si="1"/>
        <v>3</v>
      </c>
      <c r="AM44" s="1222">
        <f t="shared" si="2"/>
        <v>0</v>
      </c>
      <c r="AN44" s="1222">
        <f t="shared" si="6"/>
        <v>0</v>
      </c>
      <c r="AO44" s="1222">
        <f t="shared" si="7"/>
        <v>0</v>
      </c>
      <c r="AP44" s="1221">
        <f t="shared" si="5"/>
        <v>19</v>
      </c>
      <c r="AQ44" s="1223"/>
    </row>
    <row r="45" spans="1:44" ht="16.149999999999999" customHeight="1" outlineLevel="1">
      <c r="A45" s="1219">
        <v>34</v>
      </c>
      <c r="B45" s="1219"/>
      <c r="C45" s="1639" t="s">
        <v>3312</v>
      </c>
      <c r="D45" s="1220" t="s">
        <v>3203</v>
      </c>
      <c r="E45" s="1221"/>
      <c r="F45" s="1219" t="s">
        <v>2552</v>
      </c>
      <c r="G45" s="1219" t="s">
        <v>2553</v>
      </c>
      <c r="H45" s="1219" t="s">
        <v>2553</v>
      </c>
      <c r="I45" s="1219" t="s">
        <v>2553</v>
      </c>
      <c r="J45" s="1219" t="s">
        <v>2553</v>
      </c>
      <c r="K45" s="1219" t="s">
        <v>2553</v>
      </c>
      <c r="L45" s="1219" t="s">
        <v>2553</v>
      </c>
      <c r="M45" s="1219" t="s">
        <v>2552</v>
      </c>
      <c r="N45" s="1219" t="s">
        <v>2553</v>
      </c>
      <c r="O45" s="1219" t="s">
        <v>2553</v>
      </c>
      <c r="P45" s="1219" t="s">
        <v>2553</v>
      </c>
      <c r="Q45" s="1219"/>
      <c r="R45" s="1219" t="s">
        <v>2553</v>
      </c>
      <c r="S45" s="1219" t="s">
        <v>2553</v>
      </c>
      <c r="T45" s="1219" t="s">
        <v>2552</v>
      </c>
      <c r="U45" s="1219" t="s">
        <v>2553</v>
      </c>
      <c r="V45" s="1219"/>
      <c r="W45" s="1219" t="s">
        <v>2553</v>
      </c>
      <c r="X45" s="1219" t="s">
        <v>2553</v>
      </c>
      <c r="Y45" s="1219" t="s">
        <v>2553</v>
      </c>
      <c r="Z45" s="1219" t="s">
        <v>2553</v>
      </c>
      <c r="AA45" s="1219" t="s">
        <v>2552</v>
      </c>
      <c r="AB45" s="1219" t="s">
        <v>2553</v>
      </c>
      <c r="AC45" s="1219" t="s">
        <v>2553</v>
      </c>
      <c r="AD45" s="1219" t="s">
        <v>2553</v>
      </c>
      <c r="AE45" s="1219" t="s">
        <v>2553</v>
      </c>
      <c r="AF45" s="1219" t="s">
        <v>2553</v>
      </c>
      <c r="AG45" s="1219" t="s">
        <v>2553</v>
      </c>
      <c r="AH45" s="1219" t="s">
        <v>2552</v>
      </c>
      <c r="AI45" s="1219" t="s">
        <v>2553</v>
      </c>
      <c r="AJ45" s="1219"/>
      <c r="AK45" s="1222">
        <f t="shared" si="0"/>
        <v>23</v>
      </c>
      <c r="AL45" s="1222">
        <f t="shared" si="1"/>
        <v>5</v>
      </c>
      <c r="AM45" s="1222">
        <f t="shared" si="2"/>
        <v>0</v>
      </c>
      <c r="AN45" s="1222">
        <f t="shared" si="6"/>
        <v>0</v>
      </c>
      <c r="AO45" s="1222">
        <f t="shared" si="7"/>
        <v>0</v>
      </c>
      <c r="AP45" s="1221">
        <f t="shared" si="5"/>
        <v>28</v>
      </c>
      <c r="AQ45" s="1223"/>
    </row>
    <row r="46" spans="1:44" ht="16.149999999999999" customHeight="1" outlineLevel="1">
      <c r="A46" s="1219">
        <v>35</v>
      </c>
      <c r="B46" s="1219"/>
      <c r="C46" s="1639"/>
      <c r="D46" s="1220" t="s">
        <v>3204</v>
      </c>
      <c r="E46" s="1221"/>
      <c r="F46" s="1219"/>
      <c r="G46" s="1219"/>
      <c r="H46" s="1219"/>
      <c r="I46" s="1219"/>
      <c r="J46" s="1219"/>
      <c r="K46" s="1219"/>
      <c r="L46" s="1219" t="s">
        <v>2553</v>
      </c>
      <c r="M46" s="1219"/>
      <c r="N46" s="1219"/>
      <c r="O46" s="1219" t="s">
        <v>2553</v>
      </c>
      <c r="P46" s="1219" t="s">
        <v>2553</v>
      </c>
      <c r="Q46" s="1219"/>
      <c r="R46" s="1219" t="s">
        <v>2553</v>
      </c>
      <c r="S46" s="1219" t="s">
        <v>2553</v>
      </c>
      <c r="T46" s="1219" t="s">
        <v>2552</v>
      </c>
      <c r="U46" s="1219" t="s">
        <v>2553</v>
      </c>
      <c r="V46" s="1219"/>
      <c r="W46" s="1219" t="s">
        <v>2553</v>
      </c>
      <c r="X46" s="1219" t="s">
        <v>2553</v>
      </c>
      <c r="Y46" s="1219" t="s">
        <v>2553</v>
      </c>
      <c r="Z46" s="1219"/>
      <c r="AA46" s="1219"/>
      <c r="AB46" s="1219" t="s">
        <v>2553</v>
      </c>
      <c r="AC46" s="1219" t="s">
        <v>2553</v>
      </c>
      <c r="AD46" s="1219"/>
      <c r="AE46" s="1219"/>
      <c r="AF46" s="1219" t="s">
        <v>2553</v>
      </c>
      <c r="AG46" s="1219" t="s">
        <v>2553</v>
      </c>
      <c r="AH46" s="1219"/>
      <c r="AI46" s="1219"/>
      <c r="AJ46" s="1219"/>
      <c r="AK46" s="1222">
        <f t="shared" si="0"/>
        <v>13</v>
      </c>
      <c r="AL46" s="1222">
        <f t="shared" si="1"/>
        <v>1</v>
      </c>
      <c r="AM46" s="1222">
        <f t="shared" si="2"/>
        <v>0</v>
      </c>
      <c r="AN46" s="1222">
        <f t="shared" si="6"/>
        <v>0</v>
      </c>
      <c r="AO46" s="1222">
        <f t="shared" si="7"/>
        <v>0</v>
      </c>
      <c r="AP46" s="1221">
        <f t="shared" si="5"/>
        <v>14</v>
      </c>
      <c r="AQ46" s="1223"/>
    </row>
    <row r="47" spans="1:44" ht="16.149999999999999" customHeight="1" outlineLevel="1">
      <c r="A47" s="1219">
        <v>36</v>
      </c>
      <c r="B47" s="1219">
        <v>1</v>
      </c>
      <c r="C47" s="1639" t="s">
        <v>3245</v>
      </c>
      <c r="D47" s="1220" t="s">
        <v>3205</v>
      </c>
      <c r="E47" s="1221"/>
      <c r="F47" s="1219" t="s">
        <v>2552</v>
      </c>
      <c r="G47" s="1219" t="s">
        <v>2553</v>
      </c>
      <c r="H47" s="1219" t="s">
        <v>2553</v>
      </c>
      <c r="I47" s="1219" t="s">
        <v>2553</v>
      </c>
      <c r="J47" s="1219" t="s">
        <v>2553</v>
      </c>
      <c r="K47" s="1219" t="s">
        <v>2553</v>
      </c>
      <c r="L47" s="1219" t="s">
        <v>2553</v>
      </c>
      <c r="M47" s="1219" t="s">
        <v>2552</v>
      </c>
      <c r="N47" s="1219" t="s">
        <v>2553</v>
      </c>
      <c r="O47" s="1219" t="s">
        <v>2553</v>
      </c>
      <c r="P47" s="1219" t="s">
        <v>2553</v>
      </c>
      <c r="Q47" s="1219"/>
      <c r="R47" s="1219" t="s">
        <v>2553</v>
      </c>
      <c r="S47" s="1219" t="s">
        <v>2553</v>
      </c>
      <c r="T47" s="1219" t="s">
        <v>2552</v>
      </c>
      <c r="U47" s="1219" t="s">
        <v>2553</v>
      </c>
      <c r="V47" s="1219" t="s">
        <v>2553</v>
      </c>
      <c r="W47" s="1219" t="s">
        <v>2553</v>
      </c>
      <c r="X47" s="1219" t="s">
        <v>2553</v>
      </c>
      <c r="Y47" s="1219" t="s">
        <v>2553</v>
      </c>
      <c r="Z47" s="1219" t="s">
        <v>2553</v>
      </c>
      <c r="AA47" s="1219" t="s">
        <v>2552</v>
      </c>
      <c r="AB47" s="1219" t="s">
        <v>2553</v>
      </c>
      <c r="AC47" s="1219" t="s">
        <v>2553</v>
      </c>
      <c r="AD47" s="1219" t="s">
        <v>2553</v>
      </c>
      <c r="AE47" s="1219" t="s">
        <v>2553</v>
      </c>
      <c r="AF47" s="1219" t="s">
        <v>2553</v>
      </c>
      <c r="AG47" s="1219" t="s">
        <v>2553</v>
      </c>
      <c r="AH47" s="1219" t="s">
        <v>3320</v>
      </c>
      <c r="AI47" s="1219" t="s">
        <v>2553</v>
      </c>
      <c r="AJ47" s="1219"/>
      <c r="AK47" s="1222">
        <f t="shared" si="0"/>
        <v>24</v>
      </c>
      <c r="AL47" s="1222">
        <f t="shared" si="1"/>
        <v>4</v>
      </c>
      <c r="AM47" s="1222">
        <f t="shared" si="2"/>
        <v>1</v>
      </c>
      <c r="AN47" s="1222">
        <f t="shared" si="6"/>
        <v>0</v>
      </c>
      <c r="AO47" s="1222">
        <f t="shared" si="7"/>
        <v>0</v>
      </c>
      <c r="AP47" s="1221">
        <f t="shared" si="5"/>
        <v>29</v>
      </c>
      <c r="AQ47" s="1223"/>
    </row>
    <row r="48" spans="1:44" ht="16.149999999999999" customHeight="1" outlineLevel="1">
      <c r="A48" s="1219">
        <v>37</v>
      </c>
      <c r="B48" s="1219">
        <v>2</v>
      </c>
      <c r="C48" s="1639" t="s">
        <v>3246</v>
      </c>
      <c r="D48" s="1220" t="s">
        <v>3206</v>
      </c>
      <c r="E48" s="1221"/>
      <c r="F48" s="1219" t="s">
        <v>2552</v>
      </c>
      <c r="G48" s="1219" t="s">
        <v>2553</v>
      </c>
      <c r="H48" s="1219" t="s">
        <v>2553</v>
      </c>
      <c r="I48" s="1219" t="s">
        <v>2553</v>
      </c>
      <c r="J48" s="1219" t="s">
        <v>2553</v>
      </c>
      <c r="K48" s="1219" t="s">
        <v>2553</v>
      </c>
      <c r="L48" s="1219" t="s">
        <v>2553</v>
      </c>
      <c r="M48" s="1219" t="s">
        <v>2552</v>
      </c>
      <c r="N48" s="1219" t="s">
        <v>2553</v>
      </c>
      <c r="O48" s="1219" t="s">
        <v>2553</v>
      </c>
      <c r="P48" s="1219" t="s">
        <v>2553</v>
      </c>
      <c r="Q48" s="1219"/>
      <c r="R48" s="1219" t="s">
        <v>2553</v>
      </c>
      <c r="S48" s="1219" t="s">
        <v>2553</v>
      </c>
      <c r="T48" s="1219" t="s">
        <v>2552</v>
      </c>
      <c r="U48" s="1219" t="s">
        <v>2553</v>
      </c>
      <c r="V48" s="1219" t="s">
        <v>2553</v>
      </c>
      <c r="W48" s="1219" t="s">
        <v>2553</v>
      </c>
      <c r="X48" s="1219" t="s">
        <v>2553</v>
      </c>
      <c r="Y48" s="1219" t="s">
        <v>2553</v>
      </c>
      <c r="Z48" s="1219" t="s">
        <v>2553</v>
      </c>
      <c r="AA48" s="1219" t="s">
        <v>2552</v>
      </c>
      <c r="AB48" s="1219" t="s">
        <v>2553</v>
      </c>
      <c r="AC48" s="1219" t="s">
        <v>2553</v>
      </c>
      <c r="AD48" s="1219" t="s">
        <v>2553</v>
      </c>
      <c r="AE48" s="1219" t="s">
        <v>2553</v>
      </c>
      <c r="AF48" s="1219" t="s">
        <v>2553</v>
      </c>
      <c r="AG48" s="1219" t="s">
        <v>2553</v>
      </c>
      <c r="AH48" s="1219" t="s">
        <v>3320</v>
      </c>
      <c r="AI48" s="1219" t="s">
        <v>2553</v>
      </c>
      <c r="AJ48" s="1219"/>
      <c r="AK48" s="1222">
        <f t="shared" si="0"/>
        <v>24</v>
      </c>
      <c r="AL48" s="1222">
        <f t="shared" si="1"/>
        <v>4</v>
      </c>
      <c r="AM48" s="1222">
        <f t="shared" si="2"/>
        <v>1</v>
      </c>
      <c r="AN48" s="1222">
        <f t="shared" si="6"/>
        <v>0</v>
      </c>
      <c r="AO48" s="1222">
        <f t="shared" si="7"/>
        <v>0</v>
      </c>
      <c r="AP48" s="1221">
        <f t="shared" si="5"/>
        <v>29</v>
      </c>
      <c r="AQ48" s="1223"/>
    </row>
    <row r="49" spans="1:43" ht="16.149999999999999" customHeight="1" outlineLevel="1">
      <c r="A49" s="1219">
        <v>38</v>
      </c>
      <c r="B49" s="1219">
        <v>3</v>
      </c>
      <c r="C49" s="1639" t="s">
        <v>3247</v>
      </c>
      <c r="D49" s="1220" t="s">
        <v>3207</v>
      </c>
      <c r="E49" s="1221"/>
      <c r="F49" s="1219" t="s">
        <v>2552</v>
      </c>
      <c r="G49" s="1219" t="s">
        <v>2553</v>
      </c>
      <c r="H49" s="1219" t="s">
        <v>2553</v>
      </c>
      <c r="I49" s="1219" t="s">
        <v>2553</v>
      </c>
      <c r="J49" s="1219" t="s">
        <v>2553</v>
      </c>
      <c r="K49" s="1219" t="s">
        <v>2553</v>
      </c>
      <c r="L49" s="1219" t="s">
        <v>2553</v>
      </c>
      <c r="M49" s="1219" t="s">
        <v>2552</v>
      </c>
      <c r="N49" s="1219" t="s">
        <v>2553</v>
      </c>
      <c r="O49" s="1219" t="s">
        <v>2553</v>
      </c>
      <c r="P49" s="1219" t="s">
        <v>2553</v>
      </c>
      <c r="Q49" s="1219"/>
      <c r="R49" s="1219" t="s">
        <v>2553</v>
      </c>
      <c r="S49" s="1219" t="s">
        <v>2553</v>
      </c>
      <c r="T49" s="1219" t="s">
        <v>2552</v>
      </c>
      <c r="U49" s="1219" t="s">
        <v>2553</v>
      </c>
      <c r="V49" s="1219" t="s">
        <v>2553</v>
      </c>
      <c r="W49" s="1219" t="s">
        <v>2553</v>
      </c>
      <c r="X49" s="1219" t="s">
        <v>2553</v>
      </c>
      <c r="Y49" s="1219" t="s">
        <v>2553</v>
      </c>
      <c r="Z49" s="1219" t="s">
        <v>2553</v>
      </c>
      <c r="AA49" s="1219" t="s">
        <v>2552</v>
      </c>
      <c r="AB49" s="1219" t="s">
        <v>2553</v>
      </c>
      <c r="AC49" s="1219" t="s">
        <v>2553</v>
      </c>
      <c r="AD49" s="1219" t="s">
        <v>2553</v>
      </c>
      <c r="AE49" s="1219" t="s">
        <v>2553</v>
      </c>
      <c r="AF49" s="1219" t="s">
        <v>2553</v>
      </c>
      <c r="AG49" s="1219" t="s">
        <v>2553</v>
      </c>
      <c r="AH49" s="1219" t="s">
        <v>3320</v>
      </c>
      <c r="AI49" s="1219" t="s">
        <v>2553</v>
      </c>
      <c r="AJ49" s="1219"/>
      <c r="AK49" s="1222">
        <f t="shared" si="0"/>
        <v>24</v>
      </c>
      <c r="AL49" s="1222">
        <f t="shared" si="1"/>
        <v>4</v>
      </c>
      <c r="AM49" s="1222">
        <f t="shared" si="2"/>
        <v>1</v>
      </c>
      <c r="AN49" s="1222">
        <f t="shared" si="6"/>
        <v>0</v>
      </c>
      <c r="AO49" s="1222">
        <f t="shared" si="7"/>
        <v>0</v>
      </c>
      <c r="AP49" s="1221">
        <f t="shared" si="5"/>
        <v>29</v>
      </c>
      <c r="AQ49" s="1223"/>
    </row>
    <row r="50" spans="1:43" ht="16.149999999999999" customHeight="1" outlineLevel="1">
      <c r="A50" s="1219">
        <v>39</v>
      </c>
      <c r="B50" s="1219">
        <v>4</v>
      </c>
      <c r="C50" s="1639" t="s">
        <v>3248</v>
      </c>
      <c r="D50" s="1220" t="s">
        <v>3208</v>
      </c>
      <c r="E50" s="1221"/>
      <c r="F50" s="1219" t="s">
        <v>2552</v>
      </c>
      <c r="G50" s="1219" t="s">
        <v>2553</v>
      </c>
      <c r="H50" s="1219" t="s">
        <v>2553</v>
      </c>
      <c r="I50" s="1219" t="s">
        <v>2553</v>
      </c>
      <c r="J50" s="1219" t="s">
        <v>2553</v>
      </c>
      <c r="K50" s="1219" t="s">
        <v>2553</v>
      </c>
      <c r="L50" s="1219" t="s">
        <v>2553</v>
      </c>
      <c r="M50" s="1219" t="s">
        <v>2552</v>
      </c>
      <c r="N50" s="1219" t="s">
        <v>2553</v>
      </c>
      <c r="O50" s="1219" t="s">
        <v>2553</v>
      </c>
      <c r="P50" s="1219" t="s">
        <v>2553</v>
      </c>
      <c r="Q50" s="1219"/>
      <c r="R50" s="1219" t="s">
        <v>2553</v>
      </c>
      <c r="S50" s="1219" t="s">
        <v>2553</v>
      </c>
      <c r="T50" s="1219" t="s">
        <v>2552</v>
      </c>
      <c r="U50" s="1219" t="s">
        <v>2553</v>
      </c>
      <c r="V50" s="1219" t="s">
        <v>2553</v>
      </c>
      <c r="W50" s="1219" t="s">
        <v>2553</v>
      </c>
      <c r="X50" s="1219" t="s">
        <v>2553</v>
      </c>
      <c r="Y50" s="1219" t="s">
        <v>2553</v>
      </c>
      <c r="Z50" s="1219" t="s">
        <v>2553</v>
      </c>
      <c r="AA50" s="1219" t="s">
        <v>2552</v>
      </c>
      <c r="AB50" s="1219" t="s">
        <v>2553</v>
      </c>
      <c r="AC50" s="1219" t="s">
        <v>2553</v>
      </c>
      <c r="AD50" s="1219" t="s">
        <v>2553</v>
      </c>
      <c r="AE50" s="1219" t="s">
        <v>2553</v>
      </c>
      <c r="AF50" s="1219" t="s">
        <v>2553</v>
      </c>
      <c r="AG50" s="1219" t="s">
        <v>2553</v>
      </c>
      <c r="AH50" s="1219" t="s">
        <v>3320</v>
      </c>
      <c r="AI50" s="1219" t="s">
        <v>2553</v>
      </c>
      <c r="AJ50" s="1219"/>
      <c r="AK50" s="1222">
        <f t="shared" si="0"/>
        <v>24</v>
      </c>
      <c r="AL50" s="1222">
        <f t="shared" si="1"/>
        <v>4</v>
      </c>
      <c r="AM50" s="1222">
        <f t="shared" si="2"/>
        <v>1</v>
      </c>
      <c r="AN50" s="1222">
        <f t="shared" si="6"/>
        <v>0</v>
      </c>
      <c r="AO50" s="1222">
        <f t="shared" si="7"/>
        <v>0</v>
      </c>
      <c r="AP50" s="1221">
        <f t="shared" si="5"/>
        <v>29</v>
      </c>
      <c r="AQ50" s="1223"/>
    </row>
    <row r="51" spans="1:43" ht="16.149999999999999" customHeight="1" outlineLevel="1">
      <c r="A51" s="1219">
        <v>40</v>
      </c>
      <c r="B51" s="1219">
        <v>5</v>
      </c>
      <c r="C51" s="1639" t="s">
        <v>3249</v>
      </c>
      <c r="D51" s="1220" t="s">
        <v>3209</v>
      </c>
      <c r="E51" s="1221"/>
      <c r="F51" s="1219" t="s">
        <v>2552</v>
      </c>
      <c r="G51" s="1219" t="s">
        <v>2553</v>
      </c>
      <c r="H51" s="1219" t="s">
        <v>2553</v>
      </c>
      <c r="I51" s="1219" t="s">
        <v>2553</v>
      </c>
      <c r="J51" s="1219" t="s">
        <v>2553</v>
      </c>
      <c r="K51" s="1219" t="s">
        <v>2553</v>
      </c>
      <c r="L51" s="1219" t="s">
        <v>2553</v>
      </c>
      <c r="M51" s="1219" t="s">
        <v>2552</v>
      </c>
      <c r="N51" s="1219" t="s">
        <v>2553</v>
      </c>
      <c r="O51" s="1219" t="s">
        <v>2553</v>
      </c>
      <c r="P51" s="1219" t="s">
        <v>2553</v>
      </c>
      <c r="Q51" s="1219"/>
      <c r="R51" s="1219" t="s">
        <v>2553</v>
      </c>
      <c r="S51" s="1219" t="s">
        <v>2553</v>
      </c>
      <c r="T51" s="1219" t="s">
        <v>2552</v>
      </c>
      <c r="U51" s="1219" t="s">
        <v>2553</v>
      </c>
      <c r="V51" s="1219" t="s">
        <v>2553</v>
      </c>
      <c r="W51" s="1219" t="s">
        <v>2553</v>
      </c>
      <c r="X51" s="1219" t="s">
        <v>2553</v>
      </c>
      <c r="Y51" s="1219" t="s">
        <v>2553</v>
      </c>
      <c r="Z51" s="1219" t="s">
        <v>2553</v>
      </c>
      <c r="AA51" s="1219" t="s">
        <v>2552</v>
      </c>
      <c r="AB51" s="1219" t="s">
        <v>2553</v>
      </c>
      <c r="AC51" s="1219" t="s">
        <v>2553</v>
      </c>
      <c r="AD51" s="1219" t="s">
        <v>2553</v>
      </c>
      <c r="AE51" s="1219" t="s">
        <v>2553</v>
      </c>
      <c r="AF51" s="1219" t="s">
        <v>2553</v>
      </c>
      <c r="AG51" s="1219" t="s">
        <v>2553</v>
      </c>
      <c r="AH51" s="1219" t="s">
        <v>3320</v>
      </c>
      <c r="AI51" s="1219" t="s">
        <v>2553</v>
      </c>
      <c r="AJ51" s="1219"/>
      <c r="AK51" s="1222">
        <f t="shared" si="0"/>
        <v>24</v>
      </c>
      <c r="AL51" s="1222">
        <f t="shared" si="1"/>
        <v>4</v>
      </c>
      <c r="AM51" s="1222">
        <f t="shared" si="2"/>
        <v>1</v>
      </c>
      <c r="AN51" s="1222">
        <f t="shared" si="6"/>
        <v>0</v>
      </c>
      <c r="AO51" s="1222">
        <f t="shared" si="7"/>
        <v>0</v>
      </c>
      <c r="AP51" s="1221">
        <f t="shared" si="5"/>
        <v>29</v>
      </c>
      <c r="AQ51" s="1223"/>
    </row>
    <row r="52" spans="1:43" ht="16.149999999999999" customHeight="1" outlineLevel="1">
      <c r="A52" s="1219">
        <v>41</v>
      </c>
      <c r="B52" s="1219">
        <v>6</v>
      </c>
      <c r="C52" s="1639" t="s">
        <v>3250</v>
      </c>
      <c r="D52" s="1220" t="s">
        <v>3210</v>
      </c>
      <c r="E52" s="1221"/>
      <c r="F52" s="1219" t="s">
        <v>2552</v>
      </c>
      <c r="G52" s="1219" t="s">
        <v>2553</v>
      </c>
      <c r="H52" s="1219" t="s">
        <v>2553</v>
      </c>
      <c r="I52" s="1219" t="s">
        <v>2553</v>
      </c>
      <c r="J52" s="1219" t="s">
        <v>2553</v>
      </c>
      <c r="K52" s="1219" t="s">
        <v>2553</v>
      </c>
      <c r="L52" s="1219" t="s">
        <v>2553</v>
      </c>
      <c r="M52" s="1219" t="s">
        <v>2552</v>
      </c>
      <c r="N52" s="1219" t="s">
        <v>2553</v>
      </c>
      <c r="O52" s="1219" t="s">
        <v>2553</v>
      </c>
      <c r="P52" s="1219" t="s">
        <v>2553</v>
      </c>
      <c r="Q52" s="1219"/>
      <c r="R52" s="1219" t="s">
        <v>2553</v>
      </c>
      <c r="S52" s="1219" t="s">
        <v>2553</v>
      </c>
      <c r="T52" s="1219" t="s">
        <v>2552</v>
      </c>
      <c r="U52" s="1219" t="s">
        <v>2553</v>
      </c>
      <c r="V52" s="1219" t="s">
        <v>2553</v>
      </c>
      <c r="W52" s="1219" t="s">
        <v>2553</v>
      </c>
      <c r="X52" s="1219" t="s">
        <v>2553</v>
      </c>
      <c r="Y52" s="1219" t="s">
        <v>2553</v>
      </c>
      <c r="Z52" s="1219" t="s">
        <v>2553</v>
      </c>
      <c r="AA52" s="1219" t="s">
        <v>2552</v>
      </c>
      <c r="AB52" s="1219" t="s">
        <v>2553</v>
      </c>
      <c r="AC52" s="1219" t="s">
        <v>2553</v>
      </c>
      <c r="AD52" s="1219" t="s">
        <v>2553</v>
      </c>
      <c r="AE52" s="1219" t="s">
        <v>2553</v>
      </c>
      <c r="AF52" s="1219" t="s">
        <v>2553</v>
      </c>
      <c r="AG52" s="1219" t="s">
        <v>2553</v>
      </c>
      <c r="AH52" s="1219" t="s">
        <v>3320</v>
      </c>
      <c r="AI52" s="1219" t="s">
        <v>2553</v>
      </c>
      <c r="AJ52" s="1219"/>
      <c r="AK52" s="1222">
        <f t="shared" si="0"/>
        <v>24</v>
      </c>
      <c r="AL52" s="1222">
        <f t="shared" si="1"/>
        <v>4</v>
      </c>
      <c r="AM52" s="1222">
        <f t="shared" si="2"/>
        <v>1</v>
      </c>
      <c r="AN52" s="1222">
        <f t="shared" si="6"/>
        <v>0</v>
      </c>
      <c r="AO52" s="1222">
        <f t="shared" si="7"/>
        <v>0</v>
      </c>
      <c r="AP52" s="1221">
        <f t="shared" si="5"/>
        <v>29</v>
      </c>
      <c r="AQ52" s="1223"/>
    </row>
    <row r="53" spans="1:43" ht="16.149999999999999" customHeight="1" outlineLevel="1">
      <c r="A53" s="1219">
        <v>42</v>
      </c>
      <c r="B53" s="1219">
        <v>7</v>
      </c>
      <c r="C53" s="1639" t="s">
        <v>3251</v>
      </c>
      <c r="D53" s="1220" t="s">
        <v>3211</v>
      </c>
      <c r="E53" s="1221"/>
      <c r="F53" s="1219" t="s">
        <v>2552</v>
      </c>
      <c r="G53" s="1219" t="s">
        <v>2553</v>
      </c>
      <c r="H53" s="1219" t="s">
        <v>2553</v>
      </c>
      <c r="I53" s="1219" t="s">
        <v>2553</v>
      </c>
      <c r="J53" s="1219" t="s">
        <v>2553</v>
      </c>
      <c r="K53" s="1219" t="s">
        <v>2553</v>
      </c>
      <c r="L53" s="1219" t="s">
        <v>2553</v>
      </c>
      <c r="M53" s="1219" t="s">
        <v>2552</v>
      </c>
      <c r="N53" s="1219" t="s">
        <v>2553</v>
      </c>
      <c r="O53" s="1219" t="s">
        <v>2553</v>
      </c>
      <c r="P53" s="1219" t="s">
        <v>2553</v>
      </c>
      <c r="Q53" s="1219"/>
      <c r="R53" s="1219" t="s">
        <v>2553</v>
      </c>
      <c r="S53" s="1219" t="s">
        <v>2553</v>
      </c>
      <c r="T53" s="1219" t="s">
        <v>2552</v>
      </c>
      <c r="U53" s="1219" t="s">
        <v>2553</v>
      </c>
      <c r="V53" s="1219" t="s">
        <v>2553</v>
      </c>
      <c r="W53" s="1219" t="s">
        <v>2553</v>
      </c>
      <c r="X53" s="1219" t="s">
        <v>2553</v>
      </c>
      <c r="Y53" s="1219" t="s">
        <v>2553</v>
      </c>
      <c r="Z53" s="1219" t="s">
        <v>2553</v>
      </c>
      <c r="AA53" s="1219" t="s">
        <v>2552</v>
      </c>
      <c r="AB53" s="1219" t="s">
        <v>2553</v>
      </c>
      <c r="AC53" s="1219" t="s">
        <v>2553</v>
      </c>
      <c r="AD53" s="1219" t="s">
        <v>2553</v>
      </c>
      <c r="AE53" s="1219" t="s">
        <v>2553</v>
      </c>
      <c r="AF53" s="1219" t="s">
        <v>2553</v>
      </c>
      <c r="AG53" s="1219" t="s">
        <v>2553</v>
      </c>
      <c r="AH53" s="1219" t="s">
        <v>3320</v>
      </c>
      <c r="AI53" s="1219" t="s">
        <v>2553</v>
      </c>
      <c r="AJ53" s="1219"/>
      <c r="AK53" s="1222">
        <f t="shared" si="0"/>
        <v>24</v>
      </c>
      <c r="AL53" s="1222">
        <f t="shared" si="1"/>
        <v>4</v>
      </c>
      <c r="AM53" s="1222">
        <f t="shared" si="2"/>
        <v>1</v>
      </c>
      <c r="AN53" s="1222">
        <f t="shared" si="6"/>
        <v>0</v>
      </c>
      <c r="AO53" s="1222">
        <f t="shared" si="7"/>
        <v>0</v>
      </c>
      <c r="AP53" s="1221">
        <f t="shared" si="5"/>
        <v>29</v>
      </c>
      <c r="AQ53" s="1223"/>
    </row>
    <row r="54" spans="1:43" ht="16.149999999999999" customHeight="1" outlineLevel="1">
      <c r="A54" s="1219">
        <v>43</v>
      </c>
      <c r="B54" s="1219">
        <v>8</v>
      </c>
      <c r="C54" s="1639" t="s">
        <v>3252</v>
      </c>
      <c r="D54" s="1220" t="s">
        <v>3212</v>
      </c>
      <c r="E54" s="1221"/>
      <c r="F54" s="1219" t="s">
        <v>2552</v>
      </c>
      <c r="G54" s="1219" t="s">
        <v>2553</v>
      </c>
      <c r="H54" s="1219" t="s">
        <v>2553</v>
      </c>
      <c r="I54" s="1219" t="s">
        <v>2553</v>
      </c>
      <c r="J54" s="1219" t="s">
        <v>2553</v>
      </c>
      <c r="K54" s="1219" t="s">
        <v>2553</v>
      </c>
      <c r="L54" s="1219" t="s">
        <v>2553</v>
      </c>
      <c r="M54" s="1219" t="s">
        <v>2552</v>
      </c>
      <c r="N54" s="1219" t="s">
        <v>2553</v>
      </c>
      <c r="O54" s="1219" t="s">
        <v>2553</v>
      </c>
      <c r="P54" s="1219" t="s">
        <v>2553</v>
      </c>
      <c r="Q54" s="1219"/>
      <c r="R54" s="1219" t="s">
        <v>2553</v>
      </c>
      <c r="S54" s="1219" t="s">
        <v>2553</v>
      </c>
      <c r="T54" s="1219" t="s">
        <v>2552</v>
      </c>
      <c r="U54" s="1219" t="s">
        <v>2553</v>
      </c>
      <c r="V54" s="1219" t="s">
        <v>2553</v>
      </c>
      <c r="W54" s="1219" t="s">
        <v>2553</v>
      </c>
      <c r="X54" s="1219" t="s">
        <v>2553</v>
      </c>
      <c r="Y54" s="1219" t="s">
        <v>2553</v>
      </c>
      <c r="Z54" s="1219" t="s">
        <v>2553</v>
      </c>
      <c r="AA54" s="1219" t="s">
        <v>2552</v>
      </c>
      <c r="AB54" s="1219" t="s">
        <v>2553</v>
      </c>
      <c r="AC54" s="1219" t="s">
        <v>2553</v>
      </c>
      <c r="AD54" s="1219" t="s">
        <v>2553</v>
      </c>
      <c r="AE54" s="1219" t="s">
        <v>2553</v>
      </c>
      <c r="AF54" s="1219" t="s">
        <v>2553</v>
      </c>
      <c r="AG54" s="1219" t="s">
        <v>2553</v>
      </c>
      <c r="AH54" s="1219" t="s">
        <v>3320</v>
      </c>
      <c r="AI54" s="1219" t="s">
        <v>2553</v>
      </c>
      <c r="AJ54" s="1219"/>
      <c r="AK54" s="1222">
        <f t="shared" si="0"/>
        <v>24</v>
      </c>
      <c r="AL54" s="1222">
        <f t="shared" si="1"/>
        <v>4</v>
      </c>
      <c r="AM54" s="1222">
        <f t="shared" si="2"/>
        <v>1</v>
      </c>
      <c r="AN54" s="1222"/>
      <c r="AO54" s="1222"/>
      <c r="AP54" s="1221">
        <f t="shared" si="5"/>
        <v>29</v>
      </c>
      <c r="AQ54" s="1223"/>
    </row>
    <row r="55" spans="1:43" ht="16.149999999999999" customHeight="1" outlineLevel="1">
      <c r="A55" s="1219">
        <v>44</v>
      </c>
      <c r="B55" s="1219">
        <v>9</v>
      </c>
      <c r="C55" s="1639" t="s">
        <v>3253</v>
      </c>
      <c r="D55" s="1220" t="s">
        <v>3213</v>
      </c>
      <c r="E55" s="1221"/>
      <c r="F55" s="1219" t="s">
        <v>2552</v>
      </c>
      <c r="G55" s="1219" t="s">
        <v>2553</v>
      </c>
      <c r="H55" s="1219" t="s">
        <v>2553</v>
      </c>
      <c r="I55" s="1219" t="s">
        <v>2553</v>
      </c>
      <c r="J55" s="1219" t="s">
        <v>2553</v>
      </c>
      <c r="K55" s="1219" t="s">
        <v>2553</v>
      </c>
      <c r="L55" s="1219" t="s">
        <v>2553</v>
      </c>
      <c r="M55" s="1219" t="s">
        <v>2552</v>
      </c>
      <c r="N55" s="1219" t="s">
        <v>2553</v>
      </c>
      <c r="O55" s="1219" t="s">
        <v>2553</v>
      </c>
      <c r="P55" s="1219" t="s">
        <v>2553</v>
      </c>
      <c r="Q55" s="1219"/>
      <c r="R55" s="1219" t="s">
        <v>2553</v>
      </c>
      <c r="S55" s="1219" t="s">
        <v>2553</v>
      </c>
      <c r="T55" s="1219" t="s">
        <v>2552</v>
      </c>
      <c r="U55" s="1219" t="s">
        <v>2553</v>
      </c>
      <c r="V55" s="1219" t="s">
        <v>2553</v>
      </c>
      <c r="W55" s="1219" t="s">
        <v>2553</v>
      </c>
      <c r="X55" s="1219" t="s">
        <v>2553</v>
      </c>
      <c r="Y55" s="1219" t="s">
        <v>2553</v>
      </c>
      <c r="Z55" s="1219" t="s">
        <v>2553</v>
      </c>
      <c r="AA55" s="1219" t="s">
        <v>2552</v>
      </c>
      <c r="AB55" s="1219" t="s">
        <v>2553</v>
      </c>
      <c r="AC55" s="1219" t="s">
        <v>2553</v>
      </c>
      <c r="AD55" s="1219" t="s">
        <v>2553</v>
      </c>
      <c r="AE55" s="1219" t="s">
        <v>2553</v>
      </c>
      <c r="AF55" s="1219" t="s">
        <v>2553</v>
      </c>
      <c r="AG55" s="1219" t="s">
        <v>2553</v>
      </c>
      <c r="AH55" s="1219" t="s">
        <v>3320</v>
      </c>
      <c r="AI55" s="1219" t="s">
        <v>2553</v>
      </c>
      <c r="AJ55" s="1219"/>
      <c r="AK55" s="1222">
        <f t="shared" si="0"/>
        <v>24</v>
      </c>
      <c r="AL55" s="1222">
        <f t="shared" si="1"/>
        <v>4</v>
      </c>
      <c r="AM55" s="1222">
        <f t="shared" si="2"/>
        <v>1</v>
      </c>
      <c r="AN55" s="1222"/>
      <c r="AO55" s="1222"/>
      <c r="AP55" s="1221">
        <f t="shared" si="5"/>
        <v>29</v>
      </c>
      <c r="AQ55" s="1223"/>
    </row>
    <row r="56" spans="1:43" ht="16.149999999999999" customHeight="1" outlineLevel="1">
      <c r="A56" s="1219">
        <v>45</v>
      </c>
      <c r="B56" s="1219">
        <v>10</v>
      </c>
      <c r="C56" s="1639" t="s">
        <v>3254</v>
      </c>
      <c r="D56" s="1220" t="s">
        <v>3214</v>
      </c>
      <c r="E56" s="1221"/>
      <c r="F56" s="1219" t="s">
        <v>2552</v>
      </c>
      <c r="G56" s="1219" t="s">
        <v>2553</v>
      </c>
      <c r="H56" s="1219" t="s">
        <v>2553</v>
      </c>
      <c r="I56" s="1219" t="s">
        <v>2553</v>
      </c>
      <c r="J56" s="1219" t="s">
        <v>2553</v>
      </c>
      <c r="K56" s="1219" t="s">
        <v>2553</v>
      </c>
      <c r="L56" s="1219" t="s">
        <v>2553</v>
      </c>
      <c r="M56" s="1219" t="s">
        <v>2552</v>
      </c>
      <c r="N56" s="1219" t="s">
        <v>2553</v>
      </c>
      <c r="O56" s="1219" t="s">
        <v>2553</v>
      </c>
      <c r="P56" s="1219" t="s">
        <v>2553</v>
      </c>
      <c r="Q56" s="1219"/>
      <c r="R56" s="1219" t="s">
        <v>2553</v>
      </c>
      <c r="S56" s="1219" t="s">
        <v>2553</v>
      </c>
      <c r="T56" s="1219" t="s">
        <v>2552</v>
      </c>
      <c r="U56" s="1219" t="s">
        <v>2553</v>
      </c>
      <c r="V56" s="1219" t="s">
        <v>2553</v>
      </c>
      <c r="W56" s="1219" t="s">
        <v>2553</v>
      </c>
      <c r="X56" s="1219" t="s">
        <v>2553</v>
      </c>
      <c r="Y56" s="1219" t="s">
        <v>2553</v>
      </c>
      <c r="Z56" s="1219" t="s">
        <v>2553</v>
      </c>
      <c r="AA56" s="1219" t="s">
        <v>2552</v>
      </c>
      <c r="AB56" s="1219" t="s">
        <v>2553</v>
      </c>
      <c r="AC56" s="1219" t="s">
        <v>2553</v>
      </c>
      <c r="AD56" s="1219" t="s">
        <v>2553</v>
      </c>
      <c r="AE56" s="1219" t="s">
        <v>2553</v>
      </c>
      <c r="AF56" s="1219" t="s">
        <v>2553</v>
      </c>
      <c r="AG56" s="1219" t="s">
        <v>2553</v>
      </c>
      <c r="AH56" s="1219" t="s">
        <v>3320</v>
      </c>
      <c r="AI56" s="1219" t="s">
        <v>2553</v>
      </c>
      <c r="AJ56" s="1219"/>
      <c r="AK56" s="1222">
        <f t="shared" si="0"/>
        <v>24</v>
      </c>
      <c r="AL56" s="1222">
        <f t="shared" si="1"/>
        <v>4</v>
      </c>
      <c r="AM56" s="1222">
        <f t="shared" si="2"/>
        <v>1</v>
      </c>
      <c r="AN56" s="1222"/>
      <c r="AO56" s="1222"/>
      <c r="AP56" s="1221">
        <f t="shared" si="5"/>
        <v>29</v>
      </c>
      <c r="AQ56" s="1223"/>
    </row>
    <row r="57" spans="1:43" ht="16.149999999999999" customHeight="1" outlineLevel="1">
      <c r="A57" s="1219">
        <v>46</v>
      </c>
      <c r="B57" s="1219">
        <v>11</v>
      </c>
      <c r="C57" s="1639" t="s">
        <v>3255</v>
      </c>
      <c r="D57" s="1220" t="s">
        <v>3215</v>
      </c>
      <c r="E57" s="1221"/>
      <c r="F57" s="1219" t="s">
        <v>2552</v>
      </c>
      <c r="G57" s="1219" t="s">
        <v>2553</v>
      </c>
      <c r="H57" s="1219" t="s">
        <v>2553</v>
      </c>
      <c r="I57" s="1219" t="s">
        <v>2553</v>
      </c>
      <c r="J57" s="1219" t="s">
        <v>2553</v>
      </c>
      <c r="K57" s="1219" t="s">
        <v>2553</v>
      </c>
      <c r="L57" s="1219" t="s">
        <v>2553</v>
      </c>
      <c r="M57" s="1219" t="s">
        <v>2552</v>
      </c>
      <c r="N57" s="1219" t="s">
        <v>2553</v>
      </c>
      <c r="O57" s="1219" t="s">
        <v>2553</v>
      </c>
      <c r="P57" s="1219" t="s">
        <v>2553</v>
      </c>
      <c r="Q57" s="1219"/>
      <c r="R57" s="1219" t="s">
        <v>2553</v>
      </c>
      <c r="S57" s="1219" t="s">
        <v>2553</v>
      </c>
      <c r="T57" s="1219" t="s">
        <v>2552</v>
      </c>
      <c r="U57" s="1219" t="s">
        <v>2553</v>
      </c>
      <c r="V57" s="1219" t="s">
        <v>2553</v>
      </c>
      <c r="W57" s="1219" t="s">
        <v>2553</v>
      </c>
      <c r="X57" s="1219" t="s">
        <v>2553</v>
      </c>
      <c r="Y57" s="1219" t="s">
        <v>2553</v>
      </c>
      <c r="Z57" s="1219" t="s">
        <v>2553</v>
      </c>
      <c r="AA57" s="1219" t="s">
        <v>2552</v>
      </c>
      <c r="AB57" s="1219" t="s">
        <v>2553</v>
      </c>
      <c r="AC57" s="1219" t="s">
        <v>2553</v>
      </c>
      <c r="AD57" s="1219" t="s">
        <v>2553</v>
      </c>
      <c r="AE57" s="1219" t="s">
        <v>2553</v>
      </c>
      <c r="AF57" s="1219" t="s">
        <v>2553</v>
      </c>
      <c r="AG57" s="1219" t="s">
        <v>2553</v>
      </c>
      <c r="AH57" s="1219" t="s">
        <v>3320</v>
      </c>
      <c r="AI57" s="1219" t="s">
        <v>2553</v>
      </c>
      <c r="AJ57" s="1219"/>
      <c r="AK57" s="1222">
        <f t="shared" si="0"/>
        <v>24</v>
      </c>
      <c r="AL57" s="1222">
        <f t="shared" si="1"/>
        <v>4</v>
      </c>
      <c r="AM57" s="1222">
        <f t="shared" si="2"/>
        <v>1</v>
      </c>
      <c r="AN57" s="1222"/>
      <c r="AO57" s="1222"/>
      <c r="AP57" s="1221">
        <f t="shared" si="5"/>
        <v>29</v>
      </c>
      <c r="AQ57" s="1223"/>
    </row>
    <row r="58" spans="1:43" ht="16.149999999999999" customHeight="1" outlineLevel="1">
      <c r="A58" s="1219">
        <v>47</v>
      </c>
      <c r="B58" s="1219">
        <v>12</v>
      </c>
      <c r="C58" s="1639" t="s">
        <v>3256</v>
      </c>
      <c r="D58" s="1220" t="s">
        <v>3216</v>
      </c>
      <c r="E58" s="1221"/>
      <c r="F58" s="1219" t="s">
        <v>2552</v>
      </c>
      <c r="G58" s="1219" t="s">
        <v>2553</v>
      </c>
      <c r="H58" s="1219" t="s">
        <v>2553</v>
      </c>
      <c r="I58" s="1219" t="s">
        <v>2553</v>
      </c>
      <c r="J58" s="1219" t="s">
        <v>2553</v>
      </c>
      <c r="K58" s="1219" t="s">
        <v>2553</v>
      </c>
      <c r="L58" s="1219" t="s">
        <v>2553</v>
      </c>
      <c r="M58" s="1219" t="s">
        <v>2552</v>
      </c>
      <c r="N58" s="1219" t="s">
        <v>2553</v>
      </c>
      <c r="O58" s="1219" t="s">
        <v>2553</v>
      </c>
      <c r="P58" s="1219" t="s">
        <v>2553</v>
      </c>
      <c r="Q58" s="1219"/>
      <c r="R58" s="1219" t="s">
        <v>2553</v>
      </c>
      <c r="S58" s="1219" t="s">
        <v>2553</v>
      </c>
      <c r="T58" s="1219" t="s">
        <v>2552</v>
      </c>
      <c r="U58" s="1219" t="s">
        <v>2553</v>
      </c>
      <c r="V58" s="1219" t="s">
        <v>2553</v>
      </c>
      <c r="W58" s="1219" t="s">
        <v>2553</v>
      </c>
      <c r="X58" s="1219" t="s">
        <v>2553</v>
      </c>
      <c r="Y58" s="1219" t="s">
        <v>2553</v>
      </c>
      <c r="Z58" s="1219" t="s">
        <v>2553</v>
      </c>
      <c r="AA58" s="1219" t="s">
        <v>2552</v>
      </c>
      <c r="AB58" s="1219" t="s">
        <v>2553</v>
      </c>
      <c r="AC58" s="1219" t="s">
        <v>2553</v>
      </c>
      <c r="AD58" s="1219" t="s">
        <v>2553</v>
      </c>
      <c r="AE58" s="1219" t="s">
        <v>2553</v>
      </c>
      <c r="AF58" s="1219" t="s">
        <v>2553</v>
      </c>
      <c r="AG58" s="1219" t="s">
        <v>2553</v>
      </c>
      <c r="AH58" s="1219" t="s">
        <v>3320</v>
      </c>
      <c r="AI58" s="1219" t="s">
        <v>2553</v>
      </c>
      <c r="AJ58" s="1219"/>
      <c r="AK58" s="1222">
        <f t="shared" si="0"/>
        <v>24</v>
      </c>
      <c r="AL58" s="1222">
        <f t="shared" si="1"/>
        <v>4</v>
      </c>
      <c r="AM58" s="1222">
        <f t="shared" si="2"/>
        <v>1</v>
      </c>
      <c r="AN58" s="1222"/>
      <c r="AO58" s="1222"/>
      <c r="AP58" s="1221">
        <f t="shared" si="5"/>
        <v>29</v>
      </c>
      <c r="AQ58" s="1223"/>
    </row>
    <row r="59" spans="1:43" ht="16.149999999999999" customHeight="1" outlineLevel="1">
      <c r="A59" s="1219">
        <v>48</v>
      </c>
      <c r="B59" s="1219">
        <v>13</v>
      </c>
      <c r="C59" s="1639" t="s">
        <v>3257</v>
      </c>
      <c r="D59" s="1220" t="s">
        <v>3217</v>
      </c>
      <c r="E59" s="1221"/>
      <c r="F59" s="1219" t="s">
        <v>2552</v>
      </c>
      <c r="G59" s="1219" t="s">
        <v>2553</v>
      </c>
      <c r="H59" s="1219" t="s">
        <v>2553</v>
      </c>
      <c r="I59" s="1219" t="s">
        <v>2553</v>
      </c>
      <c r="J59" s="1219" t="s">
        <v>2553</v>
      </c>
      <c r="K59" s="1219" t="s">
        <v>2553</v>
      </c>
      <c r="L59" s="1219" t="s">
        <v>2553</v>
      </c>
      <c r="M59" s="1219" t="s">
        <v>2552</v>
      </c>
      <c r="N59" s="1219" t="s">
        <v>2553</v>
      </c>
      <c r="O59" s="1219" t="s">
        <v>2553</v>
      </c>
      <c r="P59" s="1219" t="s">
        <v>2553</v>
      </c>
      <c r="Q59" s="1219"/>
      <c r="R59" s="1219" t="s">
        <v>2553</v>
      </c>
      <c r="S59" s="1219" t="s">
        <v>2553</v>
      </c>
      <c r="T59" s="1219" t="s">
        <v>2552</v>
      </c>
      <c r="U59" s="1219" t="s">
        <v>2553</v>
      </c>
      <c r="V59" s="1219" t="s">
        <v>2553</v>
      </c>
      <c r="W59" s="1219" t="s">
        <v>2553</v>
      </c>
      <c r="X59" s="1219" t="s">
        <v>2553</v>
      </c>
      <c r="Y59" s="1219" t="s">
        <v>2553</v>
      </c>
      <c r="Z59" s="1219" t="s">
        <v>2553</v>
      </c>
      <c r="AA59" s="1219" t="s">
        <v>2552</v>
      </c>
      <c r="AB59" s="1219" t="s">
        <v>2553</v>
      </c>
      <c r="AC59" s="1219" t="s">
        <v>2553</v>
      </c>
      <c r="AD59" s="1219" t="s">
        <v>2553</v>
      </c>
      <c r="AE59" s="1219" t="s">
        <v>2553</v>
      </c>
      <c r="AF59" s="1219" t="s">
        <v>2553</v>
      </c>
      <c r="AG59" s="1219" t="s">
        <v>2553</v>
      </c>
      <c r="AH59" s="1219" t="s">
        <v>3320</v>
      </c>
      <c r="AI59" s="1219" t="s">
        <v>2553</v>
      </c>
      <c r="AJ59" s="1219"/>
      <c r="AK59" s="1222">
        <f t="shared" si="0"/>
        <v>24</v>
      </c>
      <c r="AL59" s="1222">
        <f t="shared" si="1"/>
        <v>4</v>
      </c>
      <c r="AM59" s="1222">
        <f t="shared" si="2"/>
        <v>1</v>
      </c>
      <c r="AN59" s="1222"/>
      <c r="AO59" s="1222"/>
      <c r="AP59" s="1221">
        <f t="shared" si="5"/>
        <v>29</v>
      </c>
      <c r="AQ59" s="1223"/>
    </row>
    <row r="60" spans="1:43" ht="16.149999999999999" customHeight="1" outlineLevel="1">
      <c r="A60" s="1219">
        <v>49</v>
      </c>
      <c r="B60" s="1219">
        <v>14</v>
      </c>
      <c r="C60" s="1639" t="s">
        <v>3258</v>
      </c>
      <c r="D60" s="1220" t="s">
        <v>3218</v>
      </c>
      <c r="E60" s="1221"/>
      <c r="F60" s="1219" t="s">
        <v>2552</v>
      </c>
      <c r="G60" s="1219" t="s">
        <v>2553</v>
      </c>
      <c r="H60" s="1219" t="s">
        <v>2553</v>
      </c>
      <c r="I60" s="1219" t="s">
        <v>2553</v>
      </c>
      <c r="J60" s="1219" t="s">
        <v>2553</v>
      </c>
      <c r="K60" s="1219" t="s">
        <v>2553</v>
      </c>
      <c r="L60" s="1219" t="s">
        <v>2553</v>
      </c>
      <c r="M60" s="1219" t="s">
        <v>2552</v>
      </c>
      <c r="N60" s="1219" t="s">
        <v>2553</v>
      </c>
      <c r="O60" s="1219" t="s">
        <v>2553</v>
      </c>
      <c r="P60" s="1219" t="s">
        <v>2553</v>
      </c>
      <c r="Q60" s="1219"/>
      <c r="R60" s="1219" t="s">
        <v>2553</v>
      </c>
      <c r="S60" s="1219" t="s">
        <v>2553</v>
      </c>
      <c r="T60" s="1219" t="s">
        <v>2552</v>
      </c>
      <c r="U60" s="1219" t="s">
        <v>2553</v>
      </c>
      <c r="V60" s="1219" t="s">
        <v>2553</v>
      </c>
      <c r="W60" s="1219" t="s">
        <v>2553</v>
      </c>
      <c r="X60" s="1219" t="s">
        <v>2553</v>
      </c>
      <c r="Y60" s="1219" t="s">
        <v>2553</v>
      </c>
      <c r="Z60" s="1219" t="s">
        <v>2553</v>
      </c>
      <c r="AA60" s="1219" t="s">
        <v>2552</v>
      </c>
      <c r="AB60" s="1219" t="s">
        <v>2553</v>
      </c>
      <c r="AC60" s="1219" t="s">
        <v>2553</v>
      </c>
      <c r="AD60" s="1219" t="s">
        <v>2553</v>
      </c>
      <c r="AE60" s="1219" t="s">
        <v>2553</v>
      </c>
      <c r="AF60" s="1219" t="s">
        <v>2553</v>
      </c>
      <c r="AG60" s="1219" t="s">
        <v>2553</v>
      </c>
      <c r="AH60" s="1219" t="s">
        <v>3320</v>
      </c>
      <c r="AI60" s="1219" t="s">
        <v>2553</v>
      </c>
      <c r="AJ60" s="1219"/>
      <c r="AK60" s="1222">
        <f t="shared" si="0"/>
        <v>24</v>
      </c>
      <c r="AL60" s="1222">
        <f t="shared" si="1"/>
        <v>4</v>
      </c>
      <c r="AM60" s="1222">
        <f t="shared" si="2"/>
        <v>1</v>
      </c>
      <c r="AN60" s="1222"/>
      <c r="AO60" s="1222"/>
      <c r="AP60" s="1221">
        <f t="shared" si="5"/>
        <v>29</v>
      </c>
      <c r="AQ60" s="1223"/>
    </row>
    <row r="61" spans="1:43" ht="16.149999999999999" customHeight="1" outlineLevel="1">
      <c r="A61" s="1219">
        <v>50</v>
      </c>
      <c r="B61" s="1219">
        <v>15</v>
      </c>
      <c r="C61" s="1639" t="s">
        <v>3259</v>
      </c>
      <c r="D61" s="1220" t="s">
        <v>3219</v>
      </c>
      <c r="E61" s="1221"/>
      <c r="F61" s="1219" t="s">
        <v>2552</v>
      </c>
      <c r="G61" s="1219" t="s">
        <v>2553</v>
      </c>
      <c r="H61" s="1219" t="s">
        <v>2553</v>
      </c>
      <c r="I61" s="1219" t="s">
        <v>2553</v>
      </c>
      <c r="J61" s="1219" t="s">
        <v>2553</v>
      </c>
      <c r="K61" s="1219" t="s">
        <v>2553</v>
      </c>
      <c r="L61" s="1219" t="s">
        <v>2553</v>
      </c>
      <c r="M61" s="1219" t="s">
        <v>2552</v>
      </c>
      <c r="N61" s="1219" t="s">
        <v>2553</v>
      </c>
      <c r="O61" s="1219" t="s">
        <v>2553</v>
      </c>
      <c r="P61" s="1219" t="s">
        <v>2553</v>
      </c>
      <c r="Q61" s="1219"/>
      <c r="R61" s="1219" t="s">
        <v>2553</v>
      </c>
      <c r="S61" s="1219" t="s">
        <v>2553</v>
      </c>
      <c r="T61" s="1219" t="s">
        <v>2552</v>
      </c>
      <c r="U61" s="1219" t="s">
        <v>2553</v>
      </c>
      <c r="V61" s="1219" t="s">
        <v>2553</v>
      </c>
      <c r="W61" s="1219" t="s">
        <v>2553</v>
      </c>
      <c r="X61" s="1219" t="s">
        <v>2553</v>
      </c>
      <c r="Y61" s="1219" t="s">
        <v>2553</v>
      </c>
      <c r="Z61" s="1219" t="s">
        <v>2553</v>
      </c>
      <c r="AA61" s="1219" t="s">
        <v>2552</v>
      </c>
      <c r="AB61" s="1219" t="s">
        <v>2553</v>
      </c>
      <c r="AC61" s="1219" t="s">
        <v>2553</v>
      </c>
      <c r="AD61" s="1219" t="s">
        <v>2553</v>
      </c>
      <c r="AE61" s="1219" t="s">
        <v>2553</v>
      </c>
      <c r="AF61" s="1219" t="s">
        <v>2553</v>
      </c>
      <c r="AG61" s="1219" t="s">
        <v>2553</v>
      </c>
      <c r="AH61" s="1219" t="s">
        <v>3320</v>
      </c>
      <c r="AI61" s="1219" t="s">
        <v>2553</v>
      </c>
      <c r="AJ61" s="1219"/>
      <c r="AK61" s="1222">
        <f t="shared" si="0"/>
        <v>24</v>
      </c>
      <c r="AL61" s="1222">
        <f t="shared" si="1"/>
        <v>4</v>
      </c>
      <c r="AM61" s="1222">
        <f t="shared" si="2"/>
        <v>1</v>
      </c>
      <c r="AN61" s="1222"/>
      <c r="AO61" s="1222"/>
      <c r="AP61" s="1221">
        <f t="shared" si="5"/>
        <v>29</v>
      </c>
      <c r="AQ61" s="1223"/>
    </row>
    <row r="62" spans="1:43" ht="16.149999999999999" customHeight="1" outlineLevel="1">
      <c r="A62" s="1219">
        <v>51</v>
      </c>
      <c r="B62" s="1219">
        <v>16</v>
      </c>
      <c r="C62" s="1639" t="s">
        <v>3260</v>
      </c>
      <c r="D62" s="1220" t="s">
        <v>3220</v>
      </c>
      <c r="E62" s="1221"/>
      <c r="F62" s="1219" t="s">
        <v>2552</v>
      </c>
      <c r="G62" s="1219" t="s">
        <v>2553</v>
      </c>
      <c r="H62" s="1219" t="s">
        <v>2553</v>
      </c>
      <c r="I62" s="1219" t="s">
        <v>2553</v>
      </c>
      <c r="J62" s="1219" t="s">
        <v>2553</v>
      </c>
      <c r="K62" s="1219" t="s">
        <v>2553</v>
      </c>
      <c r="L62" s="1219" t="s">
        <v>2553</v>
      </c>
      <c r="M62" s="1219" t="s">
        <v>2552</v>
      </c>
      <c r="N62" s="1219" t="s">
        <v>2553</v>
      </c>
      <c r="O62" s="1219" t="s">
        <v>2553</v>
      </c>
      <c r="P62" s="1219" t="s">
        <v>2553</v>
      </c>
      <c r="Q62" s="1219"/>
      <c r="R62" s="1219" t="s">
        <v>2553</v>
      </c>
      <c r="S62" s="1219" t="s">
        <v>2553</v>
      </c>
      <c r="T62" s="1219" t="s">
        <v>2552</v>
      </c>
      <c r="U62" s="1219" t="s">
        <v>2553</v>
      </c>
      <c r="V62" s="1219" t="s">
        <v>2553</v>
      </c>
      <c r="W62" s="1219" t="s">
        <v>2553</v>
      </c>
      <c r="X62" s="1219" t="s">
        <v>2553</v>
      </c>
      <c r="Y62" s="1219" t="s">
        <v>2553</v>
      </c>
      <c r="Z62" s="1219" t="s">
        <v>2553</v>
      </c>
      <c r="AA62" s="1219" t="s">
        <v>2552</v>
      </c>
      <c r="AB62" s="1219" t="s">
        <v>2553</v>
      </c>
      <c r="AC62" s="1219" t="s">
        <v>2553</v>
      </c>
      <c r="AD62" s="1219" t="s">
        <v>2553</v>
      </c>
      <c r="AE62" s="1219" t="s">
        <v>2553</v>
      </c>
      <c r="AF62" s="1219" t="s">
        <v>2553</v>
      </c>
      <c r="AG62" s="1219" t="s">
        <v>2553</v>
      </c>
      <c r="AH62" s="1219" t="s">
        <v>3320</v>
      </c>
      <c r="AI62" s="1219" t="s">
        <v>2553</v>
      </c>
      <c r="AJ62" s="1219"/>
      <c r="AK62" s="1222">
        <f t="shared" si="0"/>
        <v>24</v>
      </c>
      <c r="AL62" s="1222">
        <f t="shared" si="1"/>
        <v>4</v>
      </c>
      <c r="AM62" s="1222">
        <f t="shared" si="2"/>
        <v>1</v>
      </c>
      <c r="AN62" s="1222"/>
      <c r="AO62" s="1222"/>
      <c r="AP62" s="1221">
        <f t="shared" si="5"/>
        <v>29</v>
      </c>
      <c r="AQ62" s="1223"/>
    </row>
    <row r="63" spans="1:43" ht="16.149999999999999" customHeight="1" outlineLevel="1">
      <c r="A63" s="1219">
        <v>52</v>
      </c>
      <c r="B63" s="1219">
        <v>17</v>
      </c>
      <c r="C63" s="1639" t="s">
        <v>3261</v>
      </c>
      <c r="D63" s="1220" t="s">
        <v>3221</v>
      </c>
      <c r="E63" s="1221"/>
      <c r="F63" s="1219" t="s">
        <v>2552</v>
      </c>
      <c r="G63" s="1219" t="s">
        <v>2553</v>
      </c>
      <c r="H63" s="1219" t="s">
        <v>2553</v>
      </c>
      <c r="I63" s="1219" t="s">
        <v>2553</v>
      </c>
      <c r="J63" s="1219" t="s">
        <v>2553</v>
      </c>
      <c r="K63" s="1219" t="s">
        <v>2553</v>
      </c>
      <c r="L63" s="1219" t="s">
        <v>2553</v>
      </c>
      <c r="M63" s="1219" t="s">
        <v>2552</v>
      </c>
      <c r="N63" s="1219" t="s">
        <v>2553</v>
      </c>
      <c r="O63" s="1219" t="s">
        <v>2553</v>
      </c>
      <c r="P63" s="1219" t="s">
        <v>2553</v>
      </c>
      <c r="Q63" s="1219"/>
      <c r="R63" s="1219" t="s">
        <v>2553</v>
      </c>
      <c r="S63" s="1219" t="s">
        <v>2553</v>
      </c>
      <c r="T63" s="1219" t="s">
        <v>2552</v>
      </c>
      <c r="U63" s="1219" t="s">
        <v>2553</v>
      </c>
      <c r="V63" s="1219" t="s">
        <v>2553</v>
      </c>
      <c r="W63" s="1219" t="s">
        <v>2553</v>
      </c>
      <c r="X63" s="1219" t="s">
        <v>2553</v>
      </c>
      <c r="Y63" s="1219" t="s">
        <v>2553</v>
      </c>
      <c r="Z63" s="1219" t="s">
        <v>2553</v>
      </c>
      <c r="AA63" s="1219" t="s">
        <v>2552</v>
      </c>
      <c r="AB63" s="1219" t="s">
        <v>2553</v>
      </c>
      <c r="AC63" s="1219" t="s">
        <v>2553</v>
      </c>
      <c r="AD63" s="1219" t="s">
        <v>2553</v>
      </c>
      <c r="AE63" s="1219" t="s">
        <v>2553</v>
      </c>
      <c r="AF63" s="1219" t="s">
        <v>2553</v>
      </c>
      <c r="AG63" s="1219" t="s">
        <v>2553</v>
      </c>
      <c r="AH63" s="1219" t="s">
        <v>3320</v>
      </c>
      <c r="AI63" s="1219" t="s">
        <v>2553</v>
      </c>
      <c r="AJ63" s="1219"/>
      <c r="AK63" s="1222">
        <f t="shared" si="0"/>
        <v>24</v>
      </c>
      <c r="AL63" s="1222">
        <f t="shared" si="1"/>
        <v>4</v>
      </c>
      <c r="AM63" s="1222">
        <f t="shared" si="2"/>
        <v>1</v>
      </c>
      <c r="AN63" s="1222"/>
      <c r="AO63" s="1222"/>
      <c r="AP63" s="1221">
        <f t="shared" si="5"/>
        <v>29</v>
      </c>
      <c r="AQ63" s="1223"/>
    </row>
    <row r="64" spans="1:43" ht="16.149999999999999" customHeight="1" outlineLevel="1">
      <c r="A64" s="1219">
        <v>53</v>
      </c>
      <c r="B64" s="1219">
        <v>18</v>
      </c>
      <c r="C64" s="1639" t="s">
        <v>3262</v>
      </c>
      <c r="D64" s="1220" t="s">
        <v>3222</v>
      </c>
      <c r="E64" s="1221"/>
      <c r="F64" s="1219" t="s">
        <v>2552</v>
      </c>
      <c r="G64" s="1219" t="s">
        <v>2553</v>
      </c>
      <c r="H64" s="1219" t="s">
        <v>2553</v>
      </c>
      <c r="I64" s="1219" t="s">
        <v>2553</v>
      </c>
      <c r="J64" s="1219" t="s">
        <v>2553</v>
      </c>
      <c r="K64" s="1219" t="s">
        <v>2553</v>
      </c>
      <c r="L64" s="1219" t="s">
        <v>2553</v>
      </c>
      <c r="M64" s="1219" t="s">
        <v>2552</v>
      </c>
      <c r="N64" s="1219" t="s">
        <v>2553</v>
      </c>
      <c r="O64" s="1219" t="s">
        <v>2553</v>
      </c>
      <c r="P64" s="1219" t="s">
        <v>2553</v>
      </c>
      <c r="Q64" s="1219"/>
      <c r="R64" s="1219" t="s">
        <v>2553</v>
      </c>
      <c r="S64" s="1219" t="s">
        <v>2553</v>
      </c>
      <c r="T64" s="1219" t="s">
        <v>2552</v>
      </c>
      <c r="U64" s="1219" t="s">
        <v>2553</v>
      </c>
      <c r="V64" s="1219" t="s">
        <v>2553</v>
      </c>
      <c r="W64" s="1219" t="s">
        <v>2553</v>
      </c>
      <c r="X64" s="1219" t="s">
        <v>2553</v>
      </c>
      <c r="Y64" s="1219" t="s">
        <v>2553</v>
      </c>
      <c r="Z64" s="1219" t="s">
        <v>2553</v>
      </c>
      <c r="AA64" s="1219" t="s">
        <v>2552</v>
      </c>
      <c r="AB64" s="1219" t="s">
        <v>2553</v>
      </c>
      <c r="AC64" s="1219" t="s">
        <v>2553</v>
      </c>
      <c r="AD64" s="1219" t="s">
        <v>2553</v>
      </c>
      <c r="AE64" s="1219" t="s">
        <v>2553</v>
      </c>
      <c r="AF64" s="1219" t="s">
        <v>2553</v>
      </c>
      <c r="AG64" s="1219" t="s">
        <v>2553</v>
      </c>
      <c r="AH64" s="1219" t="s">
        <v>3320</v>
      </c>
      <c r="AI64" s="1219" t="s">
        <v>2553</v>
      </c>
      <c r="AJ64" s="1219"/>
      <c r="AK64" s="1222">
        <f t="shared" si="0"/>
        <v>24</v>
      </c>
      <c r="AL64" s="1222">
        <f t="shared" si="1"/>
        <v>4</v>
      </c>
      <c r="AM64" s="1222">
        <f t="shared" si="2"/>
        <v>1</v>
      </c>
      <c r="AN64" s="1222"/>
      <c r="AO64" s="1222"/>
      <c r="AP64" s="1221">
        <f t="shared" si="5"/>
        <v>29</v>
      </c>
      <c r="AQ64" s="1223"/>
    </row>
    <row r="65" spans="1:43" ht="16.149999999999999" customHeight="1" outlineLevel="1">
      <c r="A65" s="1219">
        <v>54</v>
      </c>
      <c r="B65" s="1219">
        <v>19</v>
      </c>
      <c r="C65" s="1639" t="s">
        <v>3263</v>
      </c>
      <c r="D65" s="1220" t="s">
        <v>3223</v>
      </c>
      <c r="E65" s="1221"/>
      <c r="F65" s="1219" t="s">
        <v>2552</v>
      </c>
      <c r="G65" s="1219" t="s">
        <v>2553</v>
      </c>
      <c r="H65" s="1219" t="s">
        <v>2553</v>
      </c>
      <c r="I65" s="1219" t="s">
        <v>2553</v>
      </c>
      <c r="J65" s="1219" t="s">
        <v>2553</v>
      </c>
      <c r="K65" s="1219" t="s">
        <v>2553</v>
      </c>
      <c r="L65" s="1219" t="s">
        <v>2553</v>
      </c>
      <c r="M65" s="1219" t="s">
        <v>2552</v>
      </c>
      <c r="N65" s="1219" t="s">
        <v>2553</v>
      </c>
      <c r="O65" s="1219" t="s">
        <v>2553</v>
      </c>
      <c r="P65" s="1219" t="s">
        <v>2553</v>
      </c>
      <c r="Q65" s="1219"/>
      <c r="R65" s="1219" t="s">
        <v>2553</v>
      </c>
      <c r="S65" s="1219" t="s">
        <v>2553</v>
      </c>
      <c r="T65" s="1219" t="s">
        <v>2552</v>
      </c>
      <c r="U65" s="1219" t="s">
        <v>2553</v>
      </c>
      <c r="V65" s="1219" t="s">
        <v>2553</v>
      </c>
      <c r="W65" s="1219" t="s">
        <v>2553</v>
      </c>
      <c r="X65" s="1219" t="s">
        <v>2553</v>
      </c>
      <c r="Y65" s="1219" t="s">
        <v>2553</v>
      </c>
      <c r="Z65" s="1219" t="s">
        <v>2553</v>
      </c>
      <c r="AA65" s="1219" t="s">
        <v>2552</v>
      </c>
      <c r="AB65" s="1219" t="s">
        <v>2553</v>
      </c>
      <c r="AC65" s="1219" t="s">
        <v>2553</v>
      </c>
      <c r="AD65" s="1219" t="s">
        <v>2553</v>
      </c>
      <c r="AE65" s="1219" t="s">
        <v>2553</v>
      </c>
      <c r="AF65" s="1219" t="s">
        <v>2553</v>
      </c>
      <c r="AG65" s="1219" t="s">
        <v>2553</v>
      </c>
      <c r="AH65" s="1219" t="s">
        <v>3320</v>
      </c>
      <c r="AI65" s="1219" t="s">
        <v>2553</v>
      </c>
      <c r="AJ65" s="1219"/>
      <c r="AK65" s="1222">
        <f t="shared" si="0"/>
        <v>24</v>
      </c>
      <c r="AL65" s="1222">
        <f t="shared" si="1"/>
        <v>4</v>
      </c>
      <c r="AM65" s="1222">
        <f t="shared" si="2"/>
        <v>1</v>
      </c>
      <c r="AN65" s="1222"/>
      <c r="AO65" s="1222"/>
      <c r="AP65" s="1221">
        <f t="shared" si="5"/>
        <v>29</v>
      </c>
      <c r="AQ65" s="1223"/>
    </row>
    <row r="66" spans="1:43" ht="16.149999999999999" customHeight="1" outlineLevel="1">
      <c r="A66" s="1219">
        <v>55</v>
      </c>
      <c r="B66" s="1219">
        <v>20</v>
      </c>
      <c r="C66" s="1639" t="s">
        <v>3264</v>
      </c>
      <c r="D66" s="1220" t="s">
        <v>3224</v>
      </c>
      <c r="E66" s="1221"/>
      <c r="F66" s="1219" t="s">
        <v>2552</v>
      </c>
      <c r="G66" s="1219" t="s">
        <v>2553</v>
      </c>
      <c r="H66" s="1219" t="s">
        <v>2553</v>
      </c>
      <c r="I66" s="1219" t="s">
        <v>2553</v>
      </c>
      <c r="J66" s="1219" t="s">
        <v>2553</v>
      </c>
      <c r="K66" s="1219" t="s">
        <v>2553</v>
      </c>
      <c r="L66" s="1219" t="s">
        <v>2553</v>
      </c>
      <c r="M66" s="1219" t="s">
        <v>2552</v>
      </c>
      <c r="N66" s="1219" t="s">
        <v>2553</v>
      </c>
      <c r="O66" s="1219" t="s">
        <v>2553</v>
      </c>
      <c r="P66" s="1219" t="s">
        <v>2553</v>
      </c>
      <c r="Q66" s="1219"/>
      <c r="R66" s="1219" t="s">
        <v>2553</v>
      </c>
      <c r="S66" s="1219" t="s">
        <v>2553</v>
      </c>
      <c r="T66" s="1219" t="s">
        <v>2552</v>
      </c>
      <c r="U66" s="1219" t="s">
        <v>2553</v>
      </c>
      <c r="V66" s="1219" t="s">
        <v>2553</v>
      </c>
      <c r="W66" s="1219" t="s">
        <v>2553</v>
      </c>
      <c r="X66" s="1219" t="s">
        <v>2553</v>
      </c>
      <c r="Y66" s="1219" t="s">
        <v>2553</v>
      </c>
      <c r="Z66" s="1219" t="s">
        <v>2553</v>
      </c>
      <c r="AA66" s="1219" t="s">
        <v>2552</v>
      </c>
      <c r="AB66" s="1219" t="s">
        <v>2553</v>
      </c>
      <c r="AC66" s="1219" t="s">
        <v>2553</v>
      </c>
      <c r="AD66" s="1219" t="s">
        <v>2553</v>
      </c>
      <c r="AE66" s="1219" t="s">
        <v>2553</v>
      </c>
      <c r="AF66" s="1219" t="s">
        <v>2553</v>
      </c>
      <c r="AG66" s="1219" t="s">
        <v>2553</v>
      </c>
      <c r="AH66" s="1219" t="s">
        <v>3320</v>
      </c>
      <c r="AI66" s="1219" t="s">
        <v>2553</v>
      </c>
      <c r="AJ66" s="1219"/>
      <c r="AK66" s="1222">
        <f t="shared" si="0"/>
        <v>24</v>
      </c>
      <c r="AL66" s="1222">
        <f t="shared" si="1"/>
        <v>4</v>
      </c>
      <c r="AM66" s="1222">
        <f t="shared" si="2"/>
        <v>1</v>
      </c>
      <c r="AN66" s="1222"/>
      <c r="AO66" s="1222"/>
      <c r="AP66" s="1221">
        <f t="shared" si="5"/>
        <v>29</v>
      </c>
      <c r="AQ66" s="1223"/>
    </row>
    <row r="67" spans="1:43" ht="16.149999999999999" customHeight="1" outlineLevel="1">
      <c r="A67" s="1219">
        <v>56</v>
      </c>
      <c r="B67" s="1219">
        <v>21</v>
      </c>
      <c r="C67" s="1639" t="s">
        <v>3265</v>
      </c>
      <c r="D67" s="1220" t="s">
        <v>3225</v>
      </c>
      <c r="E67" s="1221"/>
      <c r="F67" s="1219" t="s">
        <v>2552</v>
      </c>
      <c r="G67" s="1219" t="s">
        <v>2553</v>
      </c>
      <c r="H67" s="1219" t="s">
        <v>2553</v>
      </c>
      <c r="I67" s="1219" t="s">
        <v>2553</v>
      </c>
      <c r="J67" s="1219" t="s">
        <v>2553</v>
      </c>
      <c r="K67" s="1219" t="s">
        <v>2553</v>
      </c>
      <c r="L67" s="1219" t="s">
        <v>2553</v>
      </c>
      <c r="M67" s="1219" t="s">
        <v>2552</v>
      </c>
      <c r="N67" s="1219" t="s">
        <v>2553</v>
      </c>
      <c r="O67" s="1219" t="s">
        <v>2553</v>
      </c>
      <c r="P67" s="1219" t="s">
        <v>2553</v>
      </c>
      <c r="Q67" s="1219"/>
      <c r="R67" s="1219" t="s">
        <v>2553</v>
      </c>
      <c r="S67" s="1219" t="s">
        <v>2553</v>
      </c>
      <c r="T67" s="1219" t="s">
        <v>2552</v>
      </c>
      <c r="U67" s="1219" t="s">
        <v>2553</v>
      </c>
      <c r="V67" s="1219" t="s">
        <v>2553</v>
      </c>
      <c r="W67" s="1219" t="s">
        <v>2553</v>
      </c>
      <c r="X67" s="1219" t="s">
        <v>2553</v>
      </c>
      <c r="Y67" s="1219" t="s">
        <v>2553</v>
      </c>
      <c r="Z67" s="1219" t="s">
        <v>2553</v>
      </c>
      <c r="AA67" s="1219" t="s">
        <v>2552</v>
      </c>
      <c r="AB67" s="1219" t="s">
        <v>2553</v>
      </c>
      <c r="AC67" s="1219" t="s">
        <v>2553</v>
      </c>
      <c r="AD67" s="1219" t="s">
        <v>2553</v>
      </c>
      <c r="AE67" s="1219" t="s">
        <v>2553</v>
      </c>
      <c r="AF67" s="1219" t="s">
        <v>2553</v>
      </c>
      <c r="AG67" s="1219" t="s">
        <v>2553</v>
      </c>
      <c r="AH67" s="1219" t="s">
        <v>3320</v>
      </c>
      <c r="AI67" s="1219" t="s">
        <v>2553</v>
      </c>
      <c r="AJ67" s="1219"/>
      <c r="AK67" s="1222">
        <f t="shared" si="0"/>
        <v>24</v>
      </c>
      <c r="AL67" s="1222">
        <f t="shared" si="1"/>
        <v>4</v>
      </c>
      <c r="AM67" s="1222">
        <f t="shared" si="2"/>
        <v>1</v>
      </c>
      <c r="AN67" s="1222"/>
      <c r="AO67" s="1222"/>
      <c r="AP67" s="1221">
        <f t="shared" si="5"/>
        <v>29</v>
      </c>
      <c r="AQ67" s="1223"/>
    </row>
    <row r="68" spans="1:43" ht="16.149999999999999" customHeight="1" outlineLevel="1">
      <c r="A68" s="1219">
        <v>57</v>
      </c>
      <c r="B68" s="1219">
        <v>22</v>
      </c>
      <c r="C68" s="1639" t="s">
        <v>3266</v>
      </c>
      <c r="D68" s="1220" t="s">
        <v>3226</v>
      </c>
      <c r="E68" s="1221"/>
      <c r="F68" s="1219" t="s">
        <v>2552</v>
      </c>
      <c r="G68" s="1219" t="s">
        <v>2553</v>
      </c>
      <c r="H68" s="1219" t="s">
        <v>2553</v>
      </c>
      <c r="I68" s="1219" t="s">
        <v>2553</v>
      </c>
      <c r="J68" s="1219" t="s">
        <v>2553</v>
      </c>
      <c r="K68" s="1219" t="s">
        <v>2553</v>
      </c>
      <c r="L68" s="1219" t="s">
        <v>2553</v>
      </c>
      <c r="M68" s="1219" t="s">
        <v>2552</v>
      </c>
      <c r="N68" s="1219" t="s">
        <v>2553</v>
      </c>
      <c r="O68" s="1219" t="s">
        <v>2553</v>
      </c>
      <c r="P68" s="1219" t="s">
        <v>2553</v>
      </c>
      <c r="Q68" s="1219"/>
      <c r="R68" s="1219" t="s">
        <v>2553</v>
      </c>
      <c r="S68" s="1219" t="s">
        <v>2553</v>
      </c>
      <c r="T68" s="1219" t="s">
        <v>2552</v>
      </c>
      <c r="U68" s="1219" t="s">
        <v>2553</v>
      </c>
      <c r="V68" s="1219" t="s">
        <v>2553</v>
      </c>
      <c r="W68" s="1219" t="s">
        <v>2553</v>
      </c>
      <c r="X68" s="1219" t="s">
        <v>2553</v>
      </c>
      <c r="Y68" s="1219" t="s">
        <v>2553</v>
      </c>
      <c r="Z68" s="1219" t="s">
        <v>2553</v>
      </c>
      <c r="AA68" s="1219" t="s">
        <v>2552</v>
      </c>
      <c r="AB68" s="1219" t="s">
        <v>2553</v>
      </c>
      <c r="AC68" s="1219" t="s">
        <v>2553</v>
      </c>
      <c r="AD68" s="1219" t="s">
        <v>2553</v>
      </c>
      <c r="AE68" s="1219" t="s">
        <v>2553</v>
      </c>
      <c r="AF68" s="1219" t="s">
        <v>2553</v>
      </c>
      <c r="AG68" s="1219" t="s">
        <v>2553</v>
      </c>
      <c r="AH68" s="1219" t="s">
        <v>3320</v>
      </c>
      <c r="AI68" s="1219" t="s">
        <v>2553</v>
      </c>
      <c r="AJ68" s="1219"/>
      <c r="AK68" s="1222">
        <f t="shared" si="0"/>
        <v>24</v>
      </c>
      <c r="AL68" s="1222">
        <f t="shared" si="1"/>
        <v>4</v>
      </c>
      <c r="AM68" s="1222">
        <f t="shared" si="2"/>
        <v>1</v>
      </c>
      <c r="AN68" s="1222"/>
      <c r="AO68" s="1222"/>
      <c r="AP68" s="1221">
        <f t="shared" si="5"/>
        <v>29</v>
      </c>
      <c r="AQ68" s="1223"/>
    </row>
    <row r="69" spans="1:43" ht="16.149999999999999" customHeight="1" outlineLevel="1">
      <c r="A69" s="1219">
        <v>58</v>
      </c>
      <c r="B69" s="1219">
        <v>23</v>
      </c>
      <c r="C69" s="1639" t="s">
        <v>3267</v>
      </c>
      <c r="D69" s="1220" t="s">
        <v>3227</v>
      </c>
      <c r="E69" s="1221"/>
      <c r="F69" s="1219" t="s">
        <v>2552</v>
      </c>
      <c r="G69" s="1219" t="s">
        <v>2553</v>
      </c>
      <c r="H69" s="1219" t="s">
        <v>2553</v>
      </c>
      <c r="I69" s="1219" t="s">
        <v>2553</v>
      </c>
      <c r="J69" s="1219" t="s">
        <v>2553</v>
      </c>
      <c r="K69" s="1219" t="s">
        <v>2553</v>
      </c>
      <c r="L69" s="1219" t="s">
        <v>2553</v>
      </c>
      <c r="M69" s="1219" t="s">
        <v>2552</v>
      </c>
      <c r="N69" s="1219" t="s">
        <v>2553</v>
      </c>
      <c r="O69" s="1219" t="s">
        <v>2553</v>
      </c>
      <c r="P69" s="1219" t="s">
        <v>2553</v>
      </c>
      <c r="Q69" s="1219"/>
      <c r="R69" s="1219" t="s">
        <v>2553</v>
      </c>
      <c r="S69" s="1219" t="s">
        <v>2553</v>
      </c>
      <c r="T69" s="1219" t="s">
        <v>2552</v>
      </c>
      <c r="U69" s="1219" t="s">
        <v>2553</v>
      </c>
      <c r="V69" s="1219" t="s">
        <v>2553</v>
      </c>
      <c r="W69" s="1219" t="s">
        <v>2553</v>
      </c>
      <c r="X69" s="1219" t="s">
        <v>2553</v>
      </c>
      <c r="Y69" s="1219" t="s">
        <v>2553</v>
      </c>
      <c r="Z69" s="1219" t="s">
        <v>2553</v>
      </c>
      <c r="AA69" s="1219" t="s">
        <v>2552</v>
      </c>
      <c r="AB69" s="1219" t="s">
        <v>2553</v>
      </c>
      <c r="AC69" s="1219" t="s">
        <v>2553</v>
      </c>
      <c r="AD69" s="1219" t="s">
        <v>2553</v>
      </c>
      <c r="AE69" s="1219" t="s">
        <v>2553</v>
      </c>
      <c r="AF69" s="1219" t="s">
        <v>2553</v>
      </c>
      <c r="AG69" s="1219" t="s">
        <v>2553</v>
      </c>
      <c r="AH69" s="1219" t="s">
        <v>3320</v>
      </c>
      <c r="AI69" s="1219" t="s">
        <v>2553</v>
      </c>
      <c r="AJ69" s="1219"/>
      <c r="AK69" s="1222">
        <f t="shared" si="0"/>
        <v>24</v>
      </c>
      <c r="AL69" s="1222">
        <f t="shared" si="1"/>
        <v>4</v>
      </c>
      <c r="AM69" s="1222">
        <f t="shared" si="2"/>
        <v>1</v>
      </c>
      <c r="AN69" s="1222"/>
      <c r="AO69" s="1222"/>
      <c r="AP69" s="1221">
        <f t="shared" si="5"/>
        <v>29</v>
      </c>
      <c r="AQ69" s="1223"/>
    </row>
    <row r="70" spans="1:43" ht="16.149999999999999" customHeight="1" outlineLevel="1">
      <c r="A70" s="1219">
        <v>59</v>
      </c>
      <c r="B70" s="1219">
        <v>24</v>
      </c>
      <c r="C70" s="1639" t="s">
        <v>3268</v>
      </c>
      <c r="D70" s="1220" t="s">
        <v>1245</v>
      </c>
      <c r="E70" s="1221"/>
      <c r="F70" s="1219" t="s">
        <v>2552</v>
      </c>
      <c r="G70" s="1219" t="s">
        <v>2553</v>
      </c>
      <c r="H70" s="1219" t="s">
        <v>2553</v>
      </c>
      <c r="I70" s="1219" t="s">
        <v>2553</v>
      </c>
      <c r="J70" s="1219" t="s">
        <v>2553</v>
      </c>
      <c r="K70" s="1219" t="s">
        <v>2553</v>
      </c>
      <c r="L70" s="1219" t="s">
        <v>2553</v>
      </c>
      <c r="M70" s="1219" t="s">
        <v>2552</v>
      </c>
      <c r="N70" s="1219" t="s">
        <v>2553</v>
      </c>
      <c r="O70" s="1219" t="s">
        <v>2553</v>
      </c>
      <c r="P70" s="1219" t="s">
        <v>2553</v>
      </c>
      <c r="Q70" s="1219"/>
      <c r="R70" s="1219" t="s">
        <v>2553</v>
      </c>
      <c r="S70" s="1219" t="s">
        <v>2553</v>
      </c>
      <c r="T70" s="1219" t="s">
        <v>2552</v>
      </c>
      <c r="U70" s="1219" t="s">
        <v>2553</v>
      </c>
      <c r="V70" s="1219" t="s">
        <v>2553</v>
      </c>
      <c r="W70" s="1219" t="s">
        <v>2553</v>
      </c>
      <c r="X70" s="1219" t="s">
        <v>2553</v>
      </c>
      <c r="Y70" s="1219" t="s">
        <v>2553</v>
      </c>
      <c r="Z70" s="1219" t="s">
        <v>2553</v>
      </c>
      <c r="AA70" s="1219" t="s">
        <v>2552</v>
      </c>
      <c r="AB70" s="1219" t="s">
        <v>2553</v>
      </c>
      <c r="AC70" s="1219" t="s">
        <v>2553</v>
      </c>
      <c r="AD70" s="1219" t="s">
        <v>2553</v>
      </c>
      <c r="AE70" s="1219" t="s">
        <v>2553</v>
      </c>
      <c r="AF70" s="1219" t="s">
        <v>2553</v>
      </c>
      <c r="AG70" s="1219" t="s">
        <v>2553</v>
      </c>
      <c r="AH70" s="1219" t="s">
        <v>3320</v>
      </c>
      <c r="AI70" s="1219" t="s">
        <v>2553</v>
      </c>
      <c r="AJ70" s="1219"/>
      <c r="AK70" s="1222">
        <f t="shared" si="0"/>
        <v>24</v>
      </c>
      <c r="AL70" s="1222">
        <f t="shared" si="1"/>
        <v>4</v>
      </c>
      <c r="AM70" s="1222">
        <f t="shared" si="2"/>
        <v>1</v>
      </c>
      <c r="AN70" s="1222"/>
      <c r="AO70" s="1222"/>
      <c r="AP70" s="1221">
        <f t="shared" si="5"/>
        <v>29</v>
      </c>
      <c r="AQ70" s="1223"/>
    </row>
    <row r="71" spans="1:43" ht="16.149999999999999" customHeight="1" outlineLevel="1">
      <c r="A71" s="1219">
        <v>60</v>
      </c>
      <c r="B71" s="1219">
        <v>25</v>
      </c>
      <c r="C71" s="1639" t="s">
        <v>3269</v>
      </c>
      <c r="D71" s="1220" t="s">
        <v>3228</v>
      </c>
      <c r="E71" s="1221"/>
      <c r="F71" s="1219" t="s">
        <v>2552</v>
      </c>
      <c r="G71" s="1219" t="s">
        <v>2553</v>
      </c>
      <c r="H71" s="1219" t="s">
        <v>2553</v>
      </c>
      <c r="I71" s="1219" t="s">
        <v>2553</v>
      </c>
      <c r="J71" s="1219" t="s">
        <v>2553</v>
      </c>
      <c r="K71" s="1219" t="s">
        <v>2553</v>
      </c>
      <c r="L71" s="1219" t="s">
        <v>2553</v>
      </c>
      <c r="M71" s="1219" t="s">
        <v>2552</v>
      </c>
      <c r="N71" s="1219" t="s">
        <v>2553</v>
      </c>
      <c r="O71" s="1219" t="s">
        <v>2553</v>
      </c>
      <c r="P71" s="1219" t="s">
        <v>2553</v>
      </c>
      <c r="Q71" s="1219"/>
      <c r="R71" s="1219" t="s">
        <v>2553</v>
      </c>
      <c r="S71" s="1219" t="s">
        <v>2553</v>
      </c>
      <c r="T71" s="1219" t="s">
        <v>2552</v>
      </c>
      <c r="U71" s="1219" t="s">
        <v>2553</v>
      </c>
      <c r="V71" s="1219" t="s">
        <v>2553</v>
      </c>
      <c r="W71" s="1219" t="s">
        <v>2553</v>
      </c>
      <c r="X71" s="1219" t="s">
        <v>2553</v>
      </c>
      <c r="Y71" s="1219" t="s">
        <v>2553</v>
      </c>
      <c r="Z71" s="1219" t="s">
        <v>2553</v>
      </c>
      <c r="AA71" s="1219" t="s">
        <v>2552</v>
      </c>
      <c r="AB71" s="1219" t="s">
        <v>2553</v>
      </c>
      <c r="AC71" s="1219" t="s">
        <v>2553</v>
      </c>
      <c r="AD71" s="1219" t="s">
        <v>2553</v>
      </c>
      <c r="AE71" s="1219" t="s">
        <v>2553</v>
      </c>
      <c r="AF71" s="1219" t="s">
        <v>2553</v>
      </c>
      <c r="AG71" s="1219" t="s">
        <v>2553</v>
      </c>
      <c r="AH71" s="1219" t="s">
        <v>3320</v>
      </c>
      <c r="AI71" s="1219" t="s">
        <v>2553</v>
      </c>
      <c r="AJ71" s="1219"/>
      <c r="AK71" s="1222">
        <f t="shared" si="0"/>
        <v>24</v>
      </c>
      <c r="AL71" s="1222">
        <f t="shared" si="1"/>
        <v>4</v>
      </c>
      <c r="AM71" s="1222">
        <f t="shared" si="2"/>
        <v>1</v>
      </c>
      <c r="AN71" s="1222"/>
      <c r="AO71" s="1222"/>
      <c r="AP71" s="1221">
        <f t="shared" si="5"/>
        <v>29</v>
      </c>
      <c r="AQ71" s="1223"/>
    </row>
    <row r="72" spans="1:43" ht="16.149999999999999" customHeight="1" outlineLevel="1">
      <c r="A72" s="1219">
        <v>61</v>
      </c>
      <c r="B72" s="1219">
        <v>26</v>
      </c>
      <c r="C72" s="1639" t="s">
        <v>3270</v>
      </c>
      <c r="D72" s="1220" t="s">
        <v>3229</v>
      </c>
      <c r="E72" s="1221"/>
      <c r="F72" s="1219" t="s">
        <v>2552</v>
      </c>
      <c r="G72" s="1219" t="s">
        <v>2553</v>
      </c>
      <c r="H72" s="1219" t="s">
        <v>2553</v>
      </c>
      <c r="I72" s="1219" t="s">
        <v>2553</v>
      </c>
      <c r="J72" s="1219" t="s">
        <v>2553</v>
      </c>
      <c r="K72" s="1219" t="s">
        <v>2553</v>
      </c>
      <c r="L72" s="1219" t="s">
        <v>2553</v>
      </c>
      <c r="M72" s="1219" t="s">
        <v>2552</v>
      </c>
      <c r="N72" s="1219" t="s">
        <v>2553</v>
      </c>
      <c r="O72" s="1219" t="s">
        <v>2553</v>
      </c>
      <c r="P72" s="1219" t="s">
        <v>2553</v>
      </c>
      <c r="Q72" s="1219"/>
      <c r="R72" s="1219" t="s">
        <v>2553</v>
      </c>
      <c r="S72" s="1219" t="s">
        <v>2553</v>
      </c>
      <c r="T72" s="1219" t="s">
        <v>2552</v>
      </c>
      <c r="U72" s="1219" t="s">
        <v>2553</v>
      </c>
      <c r="V72" s="1219" t="s">
        <v>2553</v>
      </c>
      <c r="W72" s="1219" t="s">
        <v>2553</v>
      </c>
      <c r="X72" s="1219" t="s">
        <v>2553</v>
      </c>
      <c r="Y72" s="1219" t="s">
        <v>2553</v>
      </c>
      <c r="Z72" s="1219" t="s">
        <v>2553</v>
      </c>
      <c r="AA72" s="1219" t="s">
        <v>2552</v>
      </c>
      <c r="AB72" s="1219" t="s">
        <v>2553</v>
      </c>
      <c r="AC72" s="1219" t="s">
        <v>2553</v>
      </c>
      <c r="AD72" s="1219" t="s">
        <v>2553</v>
      </c>
      <c r="AE72" s="1219" t="s">
        <v>2553</v>
      </c>
      <c r="AF72" s="1219" t="s">
        <v>2553</v>
      </c>
      <c r="AG72" s="1219" t="s">
        <v>2553</v>
      </c>
      <c r="AH72" s="1219" t="s">
        <v>3320</v>
      </c>
      <c r="AI72" s="1219" t="s">
        <v>2553</v>
      </c>
      <c r="AJ72" s="1219"/>
      <c r="AK72" s="1222">
        <f t="shared" si="0"/>
        <v>24</v>
      </c>
      <c r="AL72" s="1222">
        <f t="shared" si="1"/>
        <v>4</v>
      </c>
      <c r="AM72" s="1222">
        <f t="shared" si="2"/>
        <v>1</v>
      </c>
      <c r="AN72" s="1222"/>
      <c r="AO72" s="1222"/>
      <c r="AP72" s="1221">
        <f t="shared" si="5"/>
        <v>29</v>
      </c>
      <c r="AQ72" s="1223"/>
    </row>
    <row r="73" spans="1:43" ht="16.149999999999999" customHeight="1" outlineLevel="1">
      <c r="A73" s="1219">
        <v>62</v>
      </c>
      <c r="B73" s="1219">
        <v>27</v>
      </c>
      <c r="C73" s="1639" t="s">
        <v>3271</v>
      </c>
      <c r="D73" s="1220" t="s">
        <v>3230</v>
      </c>
      <c r="E73" s="1221"/>
      <c r="F73" s="1219" t="s">
        <v>2552</v>
      </c>
      <c r="G73" s="1219" t="s">
        <v>2553</v>
      </c>
      <c r="H73" s="1219" t="s">
        <v>2553</v>
      </c>
      <c r="I73" s="1219" t="s">
        <v>2553</v>
      </c>
      <c r="J73" s="1219" t="s">
        <v>2553</v>
      </c>
      <c r="K73" s="1219" t="s">
        <v>2553</v>
      </c>
      <c r="L73" s="1219" t="s">
        <v>2553</v>
      </c>
      <c r="M73" s="1219" t="s">
        <v>2552</v>
      </c>
      <c r="N73" s="1219" t="s">
        <v>2553</v>
      </c>
      <c r="O73" s="1219" t="s">
        <v>2553</v>
      </c>
      <c r="P73" s="1219" t="s">
        <v>2553</v>
      </c>
      <c r="Q73" s="1219"/>
      <c r="R73" s="1219" t="s">
        <v>2553</v>
      </c>
      <c r="S73" s="1219" t="s">
        <v>2553</v>
      </c>
      <c r="T73" s="1219" t="s">
        <v>2552</v>
      </c>
      <c r="U73" s="1219" t="s">
        <v>2553</v>
      </c>
      <c r="V73" s="1219" t="s">
        <v>2553</v>
      </c>
      <c r="W73" s="1219" t="s">
        <v>2553</v>
      </c>
      <c r="X73" s="1219" t="s">
        <v>2553</v>
      </c>
      <c r="Y73" s="1219" t="s">
        <v>2553</v>
      </c>
      <c r="Z73" s="1219" t="s">
        <v>2553</v>
      </c>
      <c r="AA73" s="1219" t="s">
        <v>2552</v>
      </c>
      <c r="AB73" s="1219" t="s">
        <v>2553</v>
      </c>
      <c r="AC73" s="1219" t="s">
        <v>2553</v>
      </c>
      <c r="AD73" s="1219" t="s">
        <v>2553</v>
      </c>
      <c r="AE73" s="1219" t="s">
        <v>2553</v>
      </c>
      <c r="AF73" s="1219" t="s">
        <v>2553</v>
      </c>
      <c r="AG73" s="1219" t="s">
        <v>2553</v>
      </c>
      <c r="AH73" s="1219" t="s">
        <v>3320</v>
      </c>
      <c r="AI73" s="1219" t="s">
        <v>2553</v>
      </c>
      <c r="AJ73" s="1219"/>
      <c r="AK73" s="1222">
        <f t="shared" si="0"/>
        <v>24</v>
      </c>
      <c r="AL73" s="1222">
        <f t="shared" si="1"/>
        <v>4</v>
      </c>
      <c r="AM73" s="1222">
        <f t="shared" si="2"/>
        <v>1</v>
      </c>
      <c r="AN73" s="1222"/>
      <c r="AO73" s="1222"/>
      <c r="AP73" s="1221">
        <f t="shared" si="5"/>
        <v>29</v>
      </c>
      <c r="AQ73" s="1223"/>
    </row>
    <row r="74" spans="1:43" ht="16.149999999999999" customHeight="1" outlineLevel="1">
      <c r="A74" s="1219">
        <v>63</v>
      </c>
      <c r="B74" s="1219">
        <v>28</v>
      </c>
      <c r="C74" s="1639" t="s">
        <v>3272</v>
      </c>
      <c r="D74" s="1220" t="s">
        <v>408</v>
      </c>
      <c r="E74" s="1221"/>
      <c r="F74" s="1219" t="s">
        <v>2552</v>
      </c>
      <c r="G74" s="1219" t="s">
        <v>2553</v>
      </c>
      <c r="H74" s="1219" t="s">
        <v>2553</v>
      </c>
      <c r="I74" s="1219" t="s">
        <v>2553</v>
      </c>
      <c r="J74" s="1219" t="s">
        <v>2553</v>
      </c>
      <c r="K74" s="1219" t="s">
        <v>2553</v>
      </c>
      <c r="L74" s="1219" t="s">
        <v>2553</v>
      </c>
      <c r="M74" s="1219" t="s">
        <v>2552</v>
      </c>
      <c r="N74" s="1219" t="s">
        <v>2553</v>
      </c>
      <c r="O74" s="1219" t="s">
        <v>2553</v>
      </c>
      <c r="P74" s="1219" t="s">
        <v>2553</v>
      </c>
      <c r="Q74" s="1219"/>
      <c r="R74" s="1219" t="s">
        <v>2553</v>
      </c>
      <c r="S74" s="1219" t="s">
        <v>2553</v>
      </c>
      <c r="T74" s="1219" t="s">
        <v>2552</v>
      </c>
      <c r="U74" s="1219" t="s">
        <v>2553</v>
      </c>
      <c r="V74" s="1219" t="s">
        <v>2553</v>
      </c>
      <c r="W74" s="1219" t="s">
        <v>2553</v>
      </c>
      <c r="X74" s="1219" t="s">
        <v>2553</v>
      </c>
      <c r="Y74" s="1219" t="s">
        <v>2553</v>
      </c>
      <c r="Z74" s="1219" t="s">
        <v>2553</v>
      </c>
      <c r="AA74" s="1219" t="s">
        <v>2552</v>
      </c>
      <c r="AB74" s="1219" t="s">
        <v>2553</v>
      </c>
      <c r="AC74" s="1219" t="s">
        <v>2553</v>
      </c>
      <c r="AD74" s="1219" t="s">
        <v>2553</v>
      </c>
      <c r="AE74" s="1219" t="s">
        <v>2553</v>
      </c>
      <c r="AF74" s="1219" t="s">
        <v>2553</v>
      </c>
      <c r="AG74" s="1219" t="s">
        <v>2553</v>
      </c>
      <c r="AH74" s="1219" t="s">
        <v>3320</v>
      </c>
      <c r="AI74" s="1219" t="s">
        <v>2553</v>
      </c>
      <c r="AJ74" s="1219"/>
      <c r="AK74" s="1222">
        <f t="shared" si="0"/>
        <v>24</v>
      </c>
      <c r="AL74" s="1222">
        <f t="shared" si="1"/>
        <v>4</v>
      </c>
      <c r="AM74" s="1222">
        <f t="shared" si="2"/>
        <v>1</v>
      </c>
      <c r="AN74" s="1222"/>
      <c r="AO74" s="1222"/>
      <c r="AP74" s="1221">
        <f t="shared" si="5"/>
        <v>29</v>
      </c>
      <c r="AQ74" s="1223"/>
    </row>
    <row r="75" spans="1:43" ht="16.149999999999999" customHeight="1" outlineLevel="1">
      <c r="A75" s="1219">
        <v>64</v>
      </c>
      <c r="B75" s="1219">
        <v>29</v>
      </c>
      <c r="C75" s="1639" t="s">
        <v>3273</v>
      </c>
      <c r="D75" s="1220" t="s">
        <v>3231</v>
      </c>
      <c r="E75" s="1221"/>
      <c r="F75" s="1219" t="s">
        <v>2552</v>
      </c>
      <c r="G75" s="1219" t="s">
        <v>2553</v>
      </c>
      <c r="H75" s="1219" t="s">
        <v>2553</v>
      </c>
      <c r="I75" s="1219" t="s">
        <v>2553</v>
      </c>
      <c r="J75" s="1219" t="s">
        <v>2553</v>
      </c>
      <c r="K75" s="1219" t="s">
        <v>2553</v>
      </c>
      <c r="L75" s="1219" t="s">
        <v>2553</v>
      </c>
      <c r="M75" s="1219" t="s">
        <v>2552</v>
      </c>
      <c r="N75" s="1219" t="s">
        <v>2553</v>
      </c>
      <c r="O75" s="1219" t="s">
        <v>2553</v>
      </c>
      <c r="P75" s="1219" t="s">
        <v>2553</v>
      </c>
      <c r="Q75" s="1219"/>
      <c r="R75" s="1219" t="s">
        <v>2553</v>
      </c>
      <c r="S75" s="1219" t="s">
        <v>2553</v>
      </c>
      <c r="T75" s="1219" t="s">
        <v>2552</v>
      </c>
      <c r="U75" s="1219" t="s">
        <v>2553</v>
      </c>
      <c r="V75" s="1219" t="s">
        <v>2553</v>
      </c>
      <c r="W75" s="1219" t="s">
        <v>2553</v>
      </c>
      <c r="X75" s="1219" t="s">
        <v>2553</v>
      </c>
      <c r="Y75" s="1219" t="s">
        <v>2553</v>
      </c>
      <c r="Z75" s="1219" t="s">
        <v>2553</v>
      </c>
      <c r="AA75" s="1219" t="s">
        <v>2552</v>
      </c>
      <c r="AB75" s="1219" t="s">
        <v>2553</v>
      </c>
      <c r="AC75" s="1219" t="s">
        <v>2553</v>
      </c>
      <c r="AD75" s="1219" t="s">
        <v>2553</v>
      </c>
      <c r="AE75" s="1219" t="s">
        <v>2553</v>
      </c>
      <c r="AF75" s="1219" t="s">
        <v>2553</v>
      </c>
      <c r="AG75" s="1219" t="s">
        <v>2553</v>
      </c>
      <c r="AH75" s="1219" t="s">
        <v>3320</v>
      </c>
      <c r="AI75" s="1219" t="s">
        <v>2553</v>
      </c>
      <c r="AJ75" s="1219"/>
      <c r="AK75" s="1222">
        <f t="shared" si="0"/>
        <v>24</v>
      </c>
      <c r="AL75" s="1222">
        <f t="shared" si="1"/>
        <v>4</v>
      </c>
      <c r="AM75" s="1222">
        <f t="shared" si="2"/>
        <v>1</v>
      </c>
      <c r="AN75" s="1222"/>
      <c r="AO75" s="1222"/>
      <c r="AP75" s="1221">
        <f t="shared" si="5"/>
        <v>29</v>
      </c>
      <c r="AQ75" s="1223"/>
    </row>
    <row r="76" spans="1:43" ht="16.149999999999999" customHeight="1" outlineLevel="1">
      <c r="A76" s="1219">
        <v>65</v>
      </c>
      <c r="B76" s="1219">
        <v>30</v>
      </c>
      <c r="C76" s="1639" t="s">
        <v>3274</v>
      </c>
      <c r="D76" s="1220" t="s">
        <v>3232</v>
      </c>
      <c r="E76" s="1221"/>
      <c r="F76" s="1219" t="s">
        <v>2552</v>
      </c>
      <c r="G76" s="1219" t="s">
        <v>2553</v>
      </c>
      <c r="H76" s="1219" t="s">
        <v>2553</v>
      </c>
      <c r="I76" s="1219" t="s">
        <v>2553</v>
      </c>
      <c r="J76" s="1219" t="s">
        <v>2553</v>
      </c>
      <c r="K76" s="1219" t="s">
        <v>2553</v>
      </c>
      <c r="L76" s="1219" t="s">
        <v>2553</v>
      </c>
      <c r="M76" s="1219" t="s">
        <v>2552</v>
      </c>
      <c r="N76" s="1219" t="s">
        <v>2553</v>
      </c>
      <c r="O76" s="1219" t="s">
        <v>2553</v>
      </c>
      <c r="P76" s="1219" t="s">
        <v>2553</v>
      </c>
      <c r="Q76" s="1219"/>
      <c r="R76" s="1219" t="s">
        <v>2553</v>
      </c>
      <c r="S76" s="1219" t="s">
        <v>2553</v>
      </c>
      <c r="T76" s="1219" t="s">
        <v>2552</v>
      </c>
      <c r="U76" s="1219" t="s">
        <v>2553</v>
      </c>
      <c r="V76" s="1219" t="s">
        <v>2553</v>
      </c>
      <c r="W76" s="1219" t="s">
        <v>2553</v>
      </c>
      <c r="X76" s="1219" t="s">
        <v>2553</v>
      </c>
      <c r="Y76" s="1219" t="s">
        <v>2553</v>
      </c>
      <c r="Z76" s="1219" t="s">
        <v>2553</v>
      </c>
      <c r="AA76" s="1219" t="s">
        <v>2552</v>
      </c>
      <c r="AB76" s="1219" t="s">
        <v>2553</v>
      </c>
      <c r="AC76" s="1219" t="s">
        <v>2553</v>
      </c>
      <c r="AD76" s="1219" t="s">
        <v>2553</v>
      </c>
      <c r="AE76" s="1219" t="s">
        <v>2553</v>
      </c>
      <c r="AF76" s="1219" t="s">
        <v>2553</v>
      </c>
      <c r="AG76" s="1219" t="s">
        <v>2553</v>
      </c>
      <c r="AH76" s="1219" t="s">
        <v>3320</v>
      </c>
      <c r="AI76" s="1219" t="s">
        <v>2553</v>
      </c>
      <c r="AJ76" s="1219"/>
      <c r="AK76" s="1222">
        <f t="shared" si="0"/>
        <v>24</v>
      </c>
      <c r="AL76" s="1222">
        <f t="shared" si="1"/>
        <v>4</v>
      </c>
      <c r="AM76" s="1222">
        <f t="shared" si="2"/>
        <v>1</v>
      </c>
      <c r="AN76" s="1222"/>
      <c r="AO76" s="1222"/>
      <c r="AP76" s="1221">
        <f t="shared" si="5"/>
        <v>29</v>
      </c>
      <c r="AQ76" s="1223"/>
    </row>
    <row r="77" spans="1:43" ht="16.149999999999999" customHeight="1" outlineLevel="1">
      <c r="A77" s="1219">
        <v>66</v>
      </c>
      <c r="B77" s="1219">
        <v>31</v>
      </c>
      <c r="C77" s="1639" t="s">
        <v>3275</v>
      </c>
      <c r="D77" s="1220" t="s">
        <v>395</v>
      </c>
      <c r="E77" s="1221"/>
      <c r="F77" s="1219" t="s">
        <v>2552</v>
      </c>
      <c r="G77" s="1219" t="s">
        <v>2553</v>
      </c>
      <c r="H77" s="1219" t="s">
        <v>2553</v>
      </c>
      <c r="I77" s="1219" t="s">
        <v>2553</v>
      </c>
      <c r="J77" s="1219" t="s">
        <v>2553</v>
      </c>
      <c r="K77" s="1219" t="s">
        <v>2553</v>
      </c>
      <c r="L77" s="1219" t="s">
        <v>2553</v>
      </c>
      <c r="M77" s="1219" t="s">
        <v>2552</v>
      </c>
      <c r="N77" s="1219" t="s">
        <v>2553</v>
      </c>
      <c r="O77" s="1219" t="s">
        <v>2553</v>
      </c>
      <c r="P77" s="1219" t="s">
        <v>2553</v>
      </c>
      <c r="Q77" s="1219"/>
      <c r="R77" s="1219" t="s">
        <v>2553</v>
      </c>
      <c r="S77" s="1219" t="s">
        <v>2553</v>
      </c>
      <c r="T77" s="1219" t="s">
        <v>2552</v>
      </c>
      <c r="U77" s="1219" t="s">
        <v>2553</v>
      </c>
      <c r="V77" s="1219" t="s">
        <v>2553</v>
      </c>
      <c r="W77" s="1219" t="s">
        <v>2553</v>
      </c>
      <c r="X77" s="1219" t="s">
        <v>2553</v>
      </c>
      <c r="Y77" s="1219" t="s">
        <v>2553</v>
      </c>
      <c r="Z77" s="1219" t="s">
        <v>2553</v>
      </c>
      <c r="AA77" s="1219" t="s">
        <v>2552</v>
      </c>
      <c r="AB77" s="1219" t="s">
        <v>2553</v>
      </c>
      <c r="AC77" s="1219" t="s">
        <v>2553</v>
      </c>
      <c r="AD77" s="1219" t="s">
        <v>2553</v>
      </c>
      <c r="AE77" s="1219" t="s">
        <v>2553</v>
      </c>
      <c r="AF77" s="1219" t="s">
        <v>2553</v>
      </c>
      <c r="AG77" s="1219" t="s">
        <v>2553</v>
      </c>
      <c r="AH77" s="1219" t="s">
        <v>3320</v>
      </c>
      <c r="AI77" s="1219" t="s">
        <v>2553</v>
      </c>
      <c r="AJ77" s="1219"/>
      <c r="AK77" s="1222">
        <f t="shared" ref="AK77:AK89" si="8">COUNTIF(F77:AJ77,"X")</f>
        <v>24</v>
      </c>
      <c r="AL77" s="1222">
        <f t="shared" ref="AL77:AL89" si="9">COUNTIF(F77:AJ77,"CN")</f>
        <v>4</v>
      </c>
      <c r="AM77" s="1222">
        <f t="shared" ref="AM77:AM89" si="10">COUNTIF(F77:AJ77,"Đc")</f>
        <v>1</v>
      </c>
      <c r="AN77" s="1222"/>
      <c r="AO77" s="1222"/>
      <c r="AP77" s="1221">
        <f t="shared" ref="AP77:AP89" si="11">SUM(AK77:AM77)</f>
        <v>29</v>
      </c>
      <c r="AQ77" s="1223"/>
    </row>
    <row r="78" spans="1:43" ht="16.149999999999999" customHeight="1" outlineLevel="1">
      <c r="A78" s="1219">
        <v>67</v>
      </c>
      <c r="B78" s="1219">
        <v>32</v>
      </c>
      <c r="C78" s="1639" t="s">
        <v>3276</v>
      </c>
      <c r="D78" s="1220" t="s">
        <v>3233</v>
      </c>
      <c r="E78" s="1221"/>
      <c r="F78" s="1219" t="s">
        <v>2552</v>
      </c>
      <c r="G78" s="1219" t="s">
        <v>2553</v>
      </c>
      <c r="H78" s="1219" t="s">
        <v>2553</v>
      </c>
      <c r="I78" s="1219" t="s">
        <v>2553</v>
      </c>
      <c r="J78" s="1219" t="s">
        <v>2553</v>
      </c>
      <c r="K78" s="1219" t="s">
        <v>2553</v>
      </c>
      <c r="L78" s="1219" t="s">
        <v>2553</v>
      </c>
      <c r="M78" s="1219" t="s">
        <v>2552</v>
      </c>
      <c r="N78" s="1219" t="s">
        <v>2553</v>
      </c>
      <c r="O78" s="1219" t="s">
        <v>2553</v>
      </c>
      <c r="P78" s="1219" t="s">
        <v>2553</v>
      </c>
      <c r="Q78" s="1219"/>
      <c r="R78" s="1219" t="s">
        <v>2553</v>
      </c>
      <c r="S78" s="1219" t="s">
        <v>2553</v>
      </c>
      <c r="T78" s="1219" t="s">
        <v>2552</v>
      </c>
      <c r="U78" s="1219" t="s">
        <v>2553</v>
      </c>
      <c r="V78" s="1219" t="s">
        <v>2553</v>
      </c>
      <c r="W78" s="1219" t="s">
        <v>2553</v>
      </c>
      <c r="X78" s="1219" t="s">
        <v>2553</v>
      </c>
      <c r="Y78" s="1219" t="s">
        <v>2553</v>
      </c>
      <c r="Z78" s="1219" t="s">
        <v>2553</v>
      </c>
      <c r="AA78" s="1219" t="s">
        <v>2552</v>
      </c>
      <c r="AB78" s="1219" t="s">
        <v>2553</v>
      </c>
      <c r="AC78" s="1219" t="s">
        <v>2553</v>
      </c>
      <c r="AD78" s="1219" t="s">
        <v>2553</v>
      </c>
      <c r="AE78" s="1219" t="s">
        <v>2553</v>
      </c>
      <c r="AF78" s="1219" t="s">
        <v>2553</v>
      </c>
      <c r="AG78" s="1219" t="s">
        <v>2553</v>
      </c>
      <c r="AH78" s="1219" t="s">
        <v>3320</v>
      </c>
      <c r="AI78" s="1219" t="s">
        <v>2553</v>
      </c>
      <c r="AJ78" s="1219"/>
      <c r="AK78" s="1222">
        <f t="shared" si="8"/>
        <v>24</v>
      </c>
      <c r="AL78" s="1222">
        <f t="shared" si="9"/>
        <v>4</v>
      </c>
      <c r="AM78" s="1222">
        <f t="shared" si="10"/>
        <v>1</v>
      </c>
      <c r="AN78" s="1222">
        <f t="shared" si="6"/>
        <v>0</v>
      </c>
      <c r="AO78" s="1222">
        <f t="shared" si="7"/>
        <v>0</v>
      </c>
      <c r="AP78" s="1221">
        <f t="shared" si="11"/>
        <v>29</v>
      </c>
      <c r="AQ78" s="1223"/>
    </row>
    <row r="79" spans="1:43" ht="16.149999999999999" customHeight="1" outlineLevel="1">
      <c r="A79" s="1219">
        <v>68</v>
      </c>
      <c r="B79" s="1219">
        <v>33</v>
      </c>
      <c r="C79" s="1639" t="s">
        <v>3277</v>
      </c>
      <c r="D79" s="1220" t="s">
        <v>3234</v>
      </c>
      <c r="E79" s="1221"/>
      <c r="F79" s="1219" t="s">
        <v>2552</v>
      </c>
      <c r="G79" s="1219" t="s">
        <v>2553</v>
      </c>
      <c r="H79" s="1219" t="s">
        <v>2553</v>
      </c>
      <c r="I79" s="1219" t="s">
        <v>2553</v>
      </c>
      <c r="J79" s="1219" t="s">
        <v>2553</v>
      </c>
      <c r="K79" s="1219" t="s">
        <v>2553</v>
      </c>
      <c r="L79" s="1219" t="s">
        <v>2553</v>
      </c>
      <c r="M79" s="1219" t="s">
        <v>2552</v>
      </c>
      <c r="N79" s="1219" t="s">
        <v>2553</v>
      </c>
      <c r="O79" s="1219" t="s">
        <v>2553</v>
      </c>
      <c r="P79" s="1219" t="s">
        <v>2553</v>
      </c>
      <c r="Q79" s="1219"/>
      <c r="R79" s="1219" t="s">
        <v>2553</v>
      </c>
      <c r="S79" s="1219" t="s">
        <v>2553</v>
      </c>
      <c r="T79" s="1219" t="s">
        <v>2552</v>
      </c>
      <c r="U79" s="1219" t="s">
        <v>2553</v>
      </c>
      <c r="V79" s="1219" t="s">
        <v>2553</v>
      </c>
      <c r="W79" s="1219" t="s">
        <v>2553</v>
      </c>
      <c r="X79" s="1219" t="s">
        <v>2553</v>
      </c>
      <c r="Y79" s="1219" t="s">
        <v>2553</v>
      </c>
      <c r="Z79" s="1219" t="s">
        <v>2553</v>
      </c>
      <c r="AA79" s="1219" t="s">
        <v>2552</v>
      </c>
      <c r="AB79" s="1219" t="s">
        <v>2553</v>
      </c>
      <c r="AC79" s="1219" t="s">
        <v>2553</v>
      </c>
      <c r="AD79" s="1219" t="s">
        <v>2553</v>
      </c>
      <c r="AE79" s="1219" t="s">
        <v>2553</v>
      </c>
      <c r="AF79" s="1219" t="s">
        <v>2553</v>
      </c>
      <c r="AG79" s="1219" t="s">
        <v>2553</v>
      </c>
      <c r="AH79" s="1219" t="s">
        <v>3320</v>
      </c>
      <c r="AI79" s="1219" t="s">
        <v>2553</v>
      </c>
      <c r="AJ79" s="1219"/>
      <c r="AK79" s="1222">
        <f t="shared" si="8"/>
        <v>24</v>
      </c>
      <c r="AL79" s="1222">
        <f t="shared" si="9"/>
        <v>4</v>
      </c>
      <c r="AM79" s="1222">
        <f t="shared" si="10"/>
        <v>1</v>
      </c>
      <c r="AN79" s="1222">
        <f t="shared" si="6"/>
        <v>0</v>
      </c>
      <c r="AO79" s="1222">
        <f t="shared" si="7"/>
        <v>0</v>
      </c>
      <c r="AP79" s="1221">
        <f t="shared" si="11"/>
        <v>29</v>
      </c>
      <c r="AQ79" s="1223"/>
    </row>
    <row r="80" spans="1:43" ht="16.149999999999999" customHeight="1" outlineLevel="1">
      <c r="A80" s="1219">
        <v>69</v>
      </c>
      <c r="B80" s="1219">
        <v>34</v>
      </c>
      <c r="C80" s="1639" t="s">
        <v>3278</v>
      </c>
      <c r="D80" s="1220" t="s">
        <v>3235</v>
      </c>
      <c r="E80" s="1221"/>
      <c r="F80" s="1219" t="s">
        <v>2552</v>
      </c>
      <c r="G80" s="1219" t="s">
        <v>2553</v>
      </c>
      <c r="H80" s="1219" t="s">
        <v>2553</v>
      </c>
      <c r="I80" s="1219" t="s">
        <v>2553</v>
      </c>
      <c r="J80" s="1219" t="s">
        <v>2553</v>
      </c>
      <c r="K80" s="1219" t="s">
        <v>2553</v>
      </c>
      <c r="L80" s="1219" t="s">
        <v>2553</v>
      </c>
      <c r="M80" s="1219" t="s">
        <v>2552</v>
      </c>
      <c r="N80" s="1219" t="s">
        <v>2553</v>
      </c>
      <c r="O80" s="1219" t="s">
        <v>2553</v>
      </c>
      <c r="P80" s="1219" t="s">
        <v>2553</v>
      </c>
      <c r="Q80" s="1219"/>
      <c r="R80" s="1219" t="s">
        <v>2553</v>
      </c>
      <c r="S80" s="1219" t="s">
        <v>2553</v>
      </c>
      <c r="T80" s="1219" t="s">
        <v>2552</v>
      </c>
      <c r="U80" s="1219" t="s">
        <v>2553</v>
      </c>
      <c r="V80" s="1219" t="s">
        <v>2553</v>
      </c>
      <c r="W80" s="1219" t="s">
        <v>2553</v>
      </c>
      <c r="X80" s="1219" t="s">
        <v>2553</v>
      </c>
      <c r="Y80" s="1219" t="s">
        <v>2553</v>
      </c>
      <c r="Z80" s="1219" t="s">
        <v>2553</v>
      </c>
      <c r="AA80" s="1219" t="s">
        <v>2552</v>
      </c>
      <c r="AB80" s="1219" t="s">
        <v>2553</v>
      </c>
      <c r="AC80" s="1219" t="s">
        <v>2553</v>
      </c>
      <c r="AD80" s="1219" t="s">
        <v>2553</v>
      </c>
      <c r="AE80" s="1219" t="s">
        <v>2553</v>
      </c>
      <c r="AF80" s="1219" t="s">
        <v>2553</v>
      </c>
      <c r="AG80" s="1219" t="s">
        <v>2553</v>
      </c>
      <c r="AH80" s="1219" t="s">
        <v>3320</v>
      </c>
      <c r="AI80" s="1219" t="s">
        <v>2553</v>
      </c>
      <c r="AJ80" s="1219"/>
      <c r="AK80" s="1222">
        <f t="shared" si="8"/>
        <v>24</v>
      </c>
      <c r="AL80" s="1222">
        <f t="shared" si="9"/>
        <v>4</v>
      </c>
      <c r="AM80" s="1222">
        <f t="shared" si="10"/>
        <v>1</v>
      </c>
      <c r="AN80" s="1222">
        <f t="shared" si="6"/>
        <v>0</v>
      </c>
      <c r="AO80" s="1222">
        <f t="shared" si="7"/>
        <v>0</v>
      </c>
      <c r="AP80" s="1221">
        <f t="shared" si="11"/>
        <v>29</v>
      </c>
      <c r="AQ80" s="1223"/>
    </row>
    <row r="81" spans="1:47" ht="16.149999999999999" customHeight="1" outlineLevel="1">
      <c r="A81" s="1219">
        <v>70</v>
      </c>
      <c r="B81" s="1219">
        <v>35</v>
      </c>
      <c r="C81" s="1639" t="s">
        <v>3279</v>
      </c>
      <c r="D81" s="1220" t="s">
        <v>3236</v>
      </c>
      <c r="E81" s="1221"/>
      <c r="F81" s="1219" t="s">
        <v>2552</v>
      </c>
      <c r="G81" s="1219" t="s">
        <v>2553</v>
      </c>
      <c r="H81" s="1219" t="s">
        <v>2553</v>
      </c>
      <c r="I81" s="1219" t="s">
        <v>2553</v>
      </c>
      <c r="J81" s="1219" t="s">
        <v>2553</v>
      </c>
      <c r="K81" s="1219" t="s">
        <v>2553</v>
      </c>
      <c r="L81" s="1219" t="s">
        <v>2553</v>
      </c>
      <c r="M81" s="1219" t="s">
        <v>2552</v>
      </c>
      <c r="N81" s="1219" t="s">
        <v>2553</v>
      </c>
      <c r="O81" s="1219" t="s">
        <v>2553</v>
      </c>
      <c r="P81" s="1219" t="s">
        <v>2553</v>
      </c>
      <c r="Q81" s="1219"/>
      <c r="R81" s="1219" t="s">
        <v>2553</v>
      </c>
      <c r="S81" s="1219" t="s">
        <v>2553</v>
      </c>
      <c r="T81" s="1219" t="s">
        <v>2552</v>
      </c>
      <c r="U81" s="1219" t="s">
        <v>2553</v>
      </c>
      <c r="V81" s="1219" t="s">
        <v>2553</v>
      </c>
      <c r="W81" s="1219" t="s">
        <v>2553</v>
      </c>
      <c r="X81" s="1219" t="s">
        <v>2553</v>
      </c>
      <c r="Y81" s="1219" t="s">
        <v>2553</v>
      </c>
      <c r="Z81" s="1219" t="s">
        <v>2553</v>
      </c>
      <c r="AA81" s="1219" t="s">
        <v>2552</v>
      </c>
      <c r="AB81" s="1219" t="s">
        <v>2553</v>
      </c>
      <c r="AC81" s="1219" t="s">
        <v>2553</v>
      </c>
      <c r="AD81" s="1219" t="s">
        <v>2553</v>
      </c>
      <c r="AE81" s="1219" t="s">
        <v>2553</v>
      </c>
      <c r="AF81" s="1219" t="s">
        <v>2553</v>
      </c>
      <c r="AG81" s="1219" t="s">
        <v>2553</v>
      </c>
      <c r="AH81" s="1219" t="s">
        <v>3320</v>
      </c>
      <c r="AI81" s="1219" t="s">
        <v>2553</v>
      </c>
      <c r="AJ81" s="1219"/>
      <c r="AK81" s="1222">
        <f t="shared" si="8"/>
        <v>24</v>
      </c>
      <c r="AL81" s="1222">
        <f t="shared" si="9"/>
        <v>4</v>
      </c>
      <c r="AM81" s="1222">
        <f t="shared" si="10"/>
        <v>1</v>
      </c>
      <c r="AN81" s="1222">
        <f t="shared" si="6"/>
        <v>0</v>
      </c>
      <c r="AO81" s="1222">
        <f t="shared" si="7"/>
        <v>0</v>
      </c>
      <c r="AP81" s="1221">
        <f t="shared" si="11"/>
        <v>29</v>
      </c>
      <c r="AQ81" s="1223"/>
    </row>
    <row r="82" spans="1:47" ht="16.149999999999999" customHeight="1" outlineLevel="1">
      <c r="A82" s="1219">
        <v>71</v>
      </c>
      <c r="B82" s="1219">
        <v>36</v>
      </c>
      <c r="C82" s="1639" t="s">
        <v>3280</v>
      </c>
      <c r="D82" s="1220" t="s">
        <v>3237</v>
      </c>
      <c r="E82" s="1221"/>
      <c r="F82" s="1219" t="s">
        <v>2552</v>
      </c>
      <c r="G82" s="1219" t="s">
        <v>2553</v>
      </c>
      <c r="H82" s="1219" t="s">
        <v>2553</v>
      </c>
      <c r="I82" s="1219" t="s">
        <v>2553</v>
      </c>
      <c r="J82" s="1219" t="s">
        <v>2553</v>
      </c>
      <c r="K82" s="1219" t="s">
        <v>2553</v>
      </c>
      <c r="L82" s="1219" t="s">
        <v>2553</v>
      </c>
      <c r="M82" s="1219" t="s">
        <v>2552</v>
      </c>
      <c r="N82" s="1219" t="s">
        <v>2553</v>
      </c>
      <c r="O82" s="1219" t="s">
        <v>2553</v>
      </c>
      <c r="P82" s="1219" t="s">
        <v>2553</v>
      </c>
      <c r="Q82" s="1219"/>
      <c r="R82" s="1219" t="s">
        <v>2553</v>
      </c>
      <c r="S82" s="1219" t="s">
        <v>2553</v>
      </c>
      <c r="T82" s="1219" t="s">
        <v>2552</v>
      </c>
      <c r="U82" s="1219" t="s">
        <v>2553</v>
      </c>
      <c r="V82" s="1219" t="s">
        <v>2553</v>
      </c>
      <c r="W82" s="1219" t="s">
        <v>2553</v>
      </c>
      <c r="X82" s="1219" t="s">
        <v>2553</v>
      </c>
      <c r="Y82" s="1219" t="s">
        <v>2553</v>
      </c>
      <c r="Z82" s="1219" t="s">
        <v>2553</v>
      </c>
      <c r="AA82" s="1219" t="s">
        <v>2552</v>
      </c>
      <c r="AB82" s="1219" t="s">
        <v>2553</v>
      </c>
      <c r="AC82" s="1219" t="s">
        <v>2553</v>
      </c>
      <c r="AD82" s="1219" t="s">
        <v>2553</v>
      </c>
      <c r="AE82" s="1219" t="s">
        <v>2553</v>
      </c>
      <c r="AF82" s="1219" t="s">
        <v>2553</v>
      </c>
      <c r="AG82" s="1219" t="s">
        <v>2553</v>
      </c>
      <c r="AH82" s="1219" t="s">
        <v>3320</v>
      </c>
      <c r="AI82" s="1219" t="s">
        <v>2553</v>
      </c>
      <c r="AJ82" s="1219"/>
      <c r="AK82" s="1222">
        <f t="shared" si="8"/>
        <v>24</v>
      </c>
      <c r="AL82" s="1222">
        <f t="shared" si="9"/>
        <v>4</v>
      </c>
      <c r="AM82" s="1222">
        <f t="shared" si="10"/>
        <v>1</v>
      </c>
      <c r="AN82" s="1222">
        <f t="shared" si="6"/>
        <v>0</v>
      </c>
      <c r="AO82" s="1222">
        <f t="shared" si="7"/>
        <v>0</v>
      </c>
      <c r="AP82" s="1221">
        <f t="shared" si="11"/>
        <v>29</v>
      </c>
      <c r="AQ82" s="1223"/>
    </row>
    <row r="83" spans="1:47" ht="16.149999999999999" customHeight="1" outlineLevel="1">
      <c r="A83" s="1219">
        <v>72</v>
      </c>
      <c r="B83" s="1219">
        <v>37</v>
      </c>
      <c r="C83" s="1639" t="s">
        <v>3281</v>
      </c>
      <c r="D83" s="1220" t="s">
        <v>3238</v>
      </c>
      <c r="E83" s="1221"/>
      <c r="F83" s="1219" t="s">
        <v>2552</v>
      </c>
      <c r="G83" s="1219" t="s">
        <v>2553</v>
      </c>
      <c r="H83" s="1219" t="s">
        <v>2553</v>
      </c>
      <c r="I83" s="1219" t="s">
        <v>2553</v>
      </c>
      <c r="J83" s="1219" t="s">
        <v>2553</v>
      </c>
      <c r="K83" s="1219" t="s">
        <v>2553</v>
      </c>
      <c r="L83" s="1219" t="s">
        <v>2553</v>
      </c>
      <c r="M83" s="1219" t="s">
        <v>2552</v>
      </c>
      <c r="N83" s="1219" t="s">
        <v>2553</v>
      </c>
      <c r="O83" s="1219" t="s">
        <v>2553</v>
      </c>
      <c r="P83" s="1219" t="s">
        <v>2553</v>
      </c>
      <c r="Q83" s="1219"/>
      <c r="R83" s="1219" t="s">
        <v>2553</v>
      </c>
      <c r="S83" s="1219" t="s">
        <v>2553</v>
      </c>
      <c r="T83" s="1219" t="s">
        <v>2552</v>
      </c>
      <c r="U83" s="1219" t="s">
        <v>2553</v>
      </c>
      <c r="V83" s="1219" t="s">
        <v>2553</v>
      </c>
      <c r="W83" s="1219" t="s">
        <v>2553</v>
      </c>
      <c r="X83" s="1219" t="s">
        <v>2553</v>
      </c>
      <c r="Y83" s="1219" t="s">
        <v>2553</v>
      </c>
      <c r="Z83" s="1219" t="s">
        <v>2553</v>
      </c>
      <c r="AA83" s="1219" t="s">
        <v>2552</v>
      </c>
      <c r="AB83" s="1219" t="s">
        <v>2553</v>
      </c>
      <c r="AC83" s="1219" t="s">
        <v>2553</v>
      </c>
      <c r="AD83" s="1219" t="s">
        <v>2553</v>
      </c>
      <c r="AE83" s="1219" t="s">
        <v>2553</v>
      </c>
      <c r="AF83" s="1219" t="s">
        <v>2553</v>
      </c>
      <c r="AG83" s="1219" t="s">
        <v>2553</v>
      </c>
      <c r="AH83" s="1219" t="s">
        <v>3320</v>
      </c>
      <c r="AI83" s="1219" t="s">
        <v>2553</v>
      </c>
      <c r="AJ83" s="1219"/>
      <c r="AK83" s="1222">
        <f t="shared" si="8"/>
        <v>24</v>
      </c>
      <c r="AL83" s="1222">
        <f t="shared" si="9"/>
        <v>4</v>
      </c>
      <c r="AM83" s="1222">
        <f t="shared" si="10"/>
        <v>1</v>
      </c>
      <c r="AN83" s="1222">
        <f t="shared" si="6"/>
        <v>0</v>
      </c>
      <c r="AO83" s="1222">
        <f t="shared" si="7"/>
        <v>0</v>
      </c>
      <c r="AP83" s="1221">
        <f t="shared" si="11"/>
        <v>29</v>
      </c>
      <c r="AQ83" s="1223"/>
    </row>
    <row r="84" spans="1:47" ht="16.149999999999999" customHeight="1" outlineLevel="1">
      <c r="A84" s="1219">
        <v>73</v>
      </c>
      <c r="B84" s="1219">
        <v>38</v>
      </c>
      <c r="C84" s="1639" t="s">
        <v>3282</v>
      </c>
      <c r="D84" s="1220" t="s">
        <v>3239</v>
      </c>
      <c r="E84" s="1221"/>
      <c r="F84" s="1219" t="s">
        <v>2552</v>
      </c>
      <c r="G84" s="1219" t="s">
        <v>2553</v>
      </c>
      <c r="H84" s="1219" t="s">
        <v>2553</v>
      </c>
      <c r="I84" s="1219" t="s">
        <v>2553</v>
      </c>
      <c r="J84" s="1219" t="s">
        <v>2553</v>
      </c>
      <c r="K84" s="1219" t="s">
        <v>2553</v>
      </c>
      <c r="L84" s="1219" t="s">
        <v>2553</v>
      </c>
      <c r="M84" s="1219" t="s">
        <v>2552</v>
      </c>
      <c r="N84" s="1219" t="s">
        <v>2553</v>
      </c>
      <c r="O84" s="1219" t="s">
        <v>2553</v>
      </c>
      <c r="P84" s="1219" t="s">
        <v>2553</v>
      </c>
      <c r="Q84" s="1219"/>
      <c r="R84" s="1219" t="s">
        <v>2553</v>
      </c>
      <c r="S84" s="1219" t="s">
        <v>2553</v>
      </c>
      <c r="T84" s="1219" t="s">
        <v>2552</v>
      </c>
      <c r="U84" s="1219" t="s">
        <v>2553</v>
      </c>
      <c r="V84" s="1219" t="s">
        <v>2553</v>
      </c>
      <c r="W84" s="1219" t="s">
        <v>2553</v>
      </c>
      <c r="X84" s="1219" t="s">
        <v>2553</v>
      </c>
      <c r="Y84" s="1219" t="s">
        <v>2553</v>
      </c>
      <c r="Z84" s="1219" t="s">
        <v>2553</v>
      </c>
      <c r="AA84" s="1219" t="s">
        <v>2552</v>
      </c>
      <c r="AB84" s="1219" t="s">
        <v>2553</v>
      </c>
      <c r="AC84" s="1219" t="s">
        <v>2553</v>
      </c>
      <c r="AD84" s="1219" t="s">
        <v>2553</v>
      </c>
      <c r="AE84" s="1219" t="s">
        <v>2553</v>
      </c>
      <c r="AF84" s="1219" t="s">
        <v>2553</v>
      </c>
      <c r="AG84" s="1219" t="s">
        <v>2553</v>
      </c>
      <c r="AH84" s="1219" t="s">
        <v>3320</v>
      </c>
      <c r="AI84" s="1219" t="s">
        <v>2553</v>
      </c>
      <c r="AJ84" s="1219"/>
      <c r="AK84" s="1222">
        <f t="shared" si="8"/>
        <v>24</v>
      </c>
      <c r="AL84" s="1222">
        <f t="shared" si="9"/>
        <v>4</v>
      </c>
      <c r="AM84" s="1222">
        <f t="shared" si="10"/>
        <v>1</v>
      </c>
      <c r="AN84" s="1222">
        <f t="shared" si="6"/>
        <v>0</v>
      </c>
      <c r="AO84" s="1222">
        <f t="shared" si="7"/>
        <v>0</v>
      </c>
      <c r="AP84" s="1221">
        <f t="shared" si="11"/>
        <v>29</v>
      </c>
      <c r="AQ84" s="1223"/>
    </row>
    <row r="85" spans="1:47" ht="16.149999999999999" customHeight="1" outlineLevel="1">
      <c r="A85" s="1219">
        <v>74</v>
      </c>
      <c r="B85" s="1219">
        <v>39</v>
      </c>
      <c r="C85" s="1219" t="s">
        <v>3283</v>
      </c>
      <c r="D85" s="1220" t="s">
        <v>3240</v>
      </c>
      <c r="E85" s="1221"/>
      <c r="F85" s="1219" t="s">
        <v>2552</v>
      </c>
      <c r="G85" s="1219" t="s">
        <v>2553</v>
      </c>
      <c r="H85" s="1219" t="s">
        <v>2553</v>
      </c>
      <c r="I85" s="1219" t="s">
        <v>2553</v>
      </c>
      <c r="J85" s="1219" t="s">
        <v>2553</v>
      </c>
      <c r="K85" s="1219" t="s">
        <v>2553</v>
      </c>
      <c r="L85" s="1219" t="s">
        <v>2553</v>
      </c>
      <c r="M85" s="1219" t="s">
        <v>2552</v>
      </c>
      <c r="N85" s="1219" t="s">
        <v>2553</v>
      </c>
      <c r="O85" s="1219" t="s">
        <v>2553</v>
      </c>
      <c r="P85" s="1219" t="s">
        <v>2553</v>
      </c>
      <c r="Q85" s="1219"/>
      <c r="R85" s="1219" t="s">
        <v>2553</v>
      </c>
      <c r="S85" s="1219" t="s">
        <v>2553</v>
      </c>
      <c r="T85" s="1219" t="s">
        <v>2552</v>
      </c>
      <c r="U85" s="1219" t="s">
        <v>2553</v>
      </c>
      <c r="V85" s="1219" t="s">
        <v>2553</v>
      </c>
      <c r="W85" s="1219" t="s">
        <v>2553</v>
      </c>
      <c r="X85" s="1219" t="s">
        <v>2553</v>
      </c>
      <c r="Y85" s="1219" t="s">
        <v>2553</v>
      </c>
      <c r="Z85" s="1219" t="s">
        <v>2553</v>
      </c>
      <c r="AA85" s="1219" t="s">
        <v>2552</v>
      </c>
      <c r="AB85" s="1219" t="s">
        <v>2553</v>
      </c>
      <c r="AC85" s="1219" t="s">
        <v>2553</v>
      </c>
      <c r="AD85" s="1219" t="s">
        <v>2553</v>
      </c>
      <c r="AE85" s="1219" t="s">
        <v>2553</v>
      </c>
      <c r="AF85" s="1219" t="s">
        <v>2553</v>
      </c>
      <c r="AG85" s="1219" t="s">
        <v>2553</v>
      </c>
      <c r="AH85" s="1219" t="s">
        <v>3320</v>
      </c>
      <c r="AI85" s="1219" t="s">
        <v>2553</v>
      </c>
      <c r="AJ85" s="1219"/>
      <c r="AK85" s="1222">
        <f t="shared" si="8"/>
        <v>24</v>
      </c>
      <c r="AL85" s="1222">
        <f t="shared" si="9"/>
        <v>4</v>
      </c>
      <c r="AM85" s="1222">
        <f t="shared" si="10"/>
        <v>1</v>
      </c>
      <c r="AN85" s="1222">
        <f t="shared" si="6"/>
        <v>0</v>
      </c>
      <c r="AO85" s="1222">
        <f t="shared" si="7"/>
        <v>0</v>
      </c>
      <c r="AP85" s="1221">
        <f t="shared" si="11"/>
        <v>29</v>
      </c>
      <c r="AQ85" s="1223"/>
    </row>
    <row r="86" spans="1:47" ht="16.149999999999999" customHeight="1" outlineLevel="1">
      <c r="A86" s="1219">
        <v>75</v>
      </c>
      <c r="B86" s="1219">
        <v>40</v>
      </c>
      <c r="C86" s="1639" t="s">
        <v>3284</v>
      </c>
      <c r="D86" s="1220" t="s">
        <v>3241</v>
      </c>
      <c r="E86" s="1221"/>
      <c r="F86" s="1219" t="s">
        <v>2552</v>
      </c>
      <c r="G86" s="1219" t="s">
        <v>2553</v>
      </c>
      <c r="H86" s="1219" t="s">
        <v>2553</v>
      </c>
      <c r="I86" s="1219" t="s">
        <v>2553</v>
      </c>
      <c r="J86" s="1219" t="s">
        <v>2553</v>
      </c>
      <c r="K86" s="1219" t="s">
        <v>2553</v>
      </c>
      <c r="L86" s="1219" t="s">
        <v>2553</v>
      </c>
      <c r="M86" s="1219" t="s">
        <v>2552</v>
      </c>
      <c r="N86" s="1219" t="s">
        <v>2553</v>
      </c>
      <c r="O86" s="1219" t="s">
        <v>2553</v>
      </c>
      <c r="P86" s="1219" t="s">
        <v>2553</v>
      </c>
      <c r="Q86" s="1219"/>
      <c r="R86" s="1219" t="s">
        <v>2553</v>
      </c>
      <c r="S86" s="1219" t="s">
        <v>2553</v>
      </c>
      <c r="T86" s="1219" t="s">
        <v>2552</v>
      </c>
      <c r="U86" s="1219" t="s">
        <v>2553</v>
      </c>
      <c r="V86" s="1219" t="s">
        <v>2553</v>
      </c>
      <c r="W86" s="1219" t="s">
        <v>2553</v>
      </c>
      <c r="X86" s="1219" t="s">
        <v>2553</v>
      </c>
      <c r="Y86" s="1219" t="s">
        <v>2553</v>
      </c>
      <c r="Z86" s="1219" t="s">
        <v>2553</v>
      </c>
      <c r="AA86" s="1219" t="s">
        <v>2552</v>
      </c>
      <c r="AB86" s="1219" t="s">
        <v>2553</v>
      </c>
      <c r="AC86" s="1219" t="s">
        <v>2553</v>
      </c>
      <c r="AD86" s="1219" t="s">
        <v>2553</v>
      </c>
      <c r="AE86" s="1219" t="s">
        <v>2553</v>
      </c>
      <c r="AF86" s="1219" t="s">
        <v>2553</v>
      </c>
      <c r="AG86" s="1219" t="s">
        <v>2553</v>
      </c>
      <c r="AH86" s="1219" t="s">
        <v>3320</v>
      </c>
      <c r="AI86" s="1219" t="s">
        <v>2553</v>
      </c>
      <c r="AJ86" s="1219"/>
      <c r="AK86" s="1222">
        <f t="shared" si="8"/>
        <v>24</v>
      </c>
      <c r="AL86" s="1222">
        <f t="shared" si="9"/>
        <v>4</v>
      </c>
      <c r="AM86" s="1222">
        <f t="shared" si="10"/>
        <v>1</v>
      </c>
      <c r="AN86" s="1222">
        <f t="shared" si="6"/>
        <v>0</v>
      </c>
      <c r="AO86" s="1222">
        <f t="shared" si="7"/>
        <v>0</v>
      </c>
      <c r="AP86" s="1221">
        <f t="shared" si="11"/>
        <v>29</v>
      </c>
      <c r="AQ86" s="1223"/>
      <c r="AS86" s="335">
        <v>46.1</v>
      </c>
    </row>
    <row r="87" spans="1:47" ht="16.149999999999999" customHeight="1" outlineLevel="1">
      <c r="A87" s="1219">
        <v>76</v>
      </c>
      <c r="B87" s="1219">
        <v>41</v>
      </c>
      <c r="C87" s="1219" t="s">
        <v>3285</v>
      </c>
      <c r="D87" s="1220" t="s">
        <v>3242</v>
      </c>
      <c r="E87" s="1221"/>
      <c r="F87" s="1219" t="s">
        <v>2552</v>
      </c>
      <c r="G87" s="1219" t="s">
        <v>2553</v>
      </c>
      <c r="H87" s="1219" t="s">
        <v>2553</v>
      </c>
      <c r="I87" s="1219" t="s">
        <v>2553</v>
      </c>
      <c r="J87" s="1219" t="s">
        <v>2553</v>
      </c>
      <c r="K87" s="1219" t="s">
        <v>2553</v>
      </c>
      <c r="L87" s="1219" t="s">
        <v>2553</v>
      </c>
      <c r="M87" s="1219" t="s">
        <v>2552</v>
      </c>
      <c r="N87" s="1219" t="s">
        <v>2553</v>
      </c>
      <c r="O87" s="1219" t="s">
        <v>2553</v>
      </c>
      <c r="P87" s="1219" t="s">
        <v>2553</v>
      </c>
      <c r="Q87" s="1219"/>
      <c r="R87" s="1219" t="s">
        <v>2553</v>
      </c>
      <c r="S87" s="1219" t="s">
        <v>2553</v>
      </c>
      <c r="T87" s="1219" t="s">
        <v>2552</v>
      </c>
      <c r="U87" s="1219" t="s">
        <v>2553</v>
      </c>
      <c r="V87" s="1219" t="s">
        <v>2553</v>
      </c>
      <c r="W87" s="1219" t="s">
        <v>2553</v>
      </c>
      <c r="X87" s="1219" t="s">
        <v>2553</v>
      </c>
      <c r="Y87" s="1219" t="s">
        <v>2553</v>
      </c>
      <c r="Z87" s="1219" t="s">
        <v>2553</v>
      </c>
      <c r="AA87" s="1219" t="s">
        <v>2552</v>
      </c>
      <c r="AB87" s="1219" t="s">
        <v>2553</v>
      </c>
      <c r="AC87" s="1219" t="s">
        <v>2553</v>
      </c>
      <c r="AD87" s="1219" t="s">
        <v>2553</v>
      </c>
      <c r="AE87" s="1219" t="s">
        <v>2553</v>
      </c>
      <c r="AF87" s="1219" t="s">
        <v>2553</v>
      </c>
      <c r="AG87" s="1219" t="s">
        <v>2553</v>
      </c>
      <c r="AH87" s="1219" t="s">
        <v>3320</v>
      </c>
      <c r="AI87" s="1219" t="s">
        <v>2553</v>
      </c>
      <c r="AJ87" s="1219"/>
      <c r="AK87" s="1222">
        <f t="shared" si="8"/>
        <v>24</v>
      </c>
      <c r="AL87" s="1222">
        <f t="shared" si="9"/>
        <v>4</v>
      </c>
      <c r="AM87" s="1222">
        <f t="shared" si="10"/>
        <v>1</v>
      </c>
      <c r="AN87" s="1222">
        <f t="shared" si="6"/>
        <v>0</v>
      </c>
      <c r="AO87" s="1222">
        <f t="shared" si="7"/>
        <v>0</v>
      </c>
      <c r="AP87" s="1221">
        <f t="shared" si="11"/>
        <v>29</v>
      </c>
      <c r="AQ87" s="1223"/>
      <c r="AS87" s="335">
        <v>76.900000000000006</v>
      </c>
    </row>
    <row r="88" spans="1:47" ht="16.149999999999999" customHeight="1" outlineLevel="1">
      <c r="A88" s="1219">
        <v>77</v>
      </c>
      <c r="B88" s="1219">
        <v>42</v>
      </c>
      <c r="C88" s="1219" t="s">
        <v>3286</v>
      </c>
      <c r="D88" s="1220" t="s">
        <v>3243</v>
      </c>
      <c r="E88" s="1221"/>
      <c r="F88" s="1219" t="s">
        <v>2552</v>
      </c>
      <c r="G88" s="1219" t="s">
        <v>2553</v>
      </c>
      <c r="H88" s="1219" t="s">
        <v>2553</v>
      </c>
      <c r="I88" s="1219" t="s">
        <v>2553</v>
      </c>
      <c r="J88" s="1219" t="s">
        <v>2553</v>
      </c>
      <c r="K88" s="1219" t="s">
        <v>2553</v>
      </c>
      <c r="L88" s="1219" t="s">
        <v>2553</v>
      </c>
      <c r="M88" s="1219" t="s">
        <v>2552</v>
      </c>
      <c r="N88" s="1219" t="s">
        <v>2553</v>
      </c>
      <c r="O88" s="1219" t="s">
        <v>2553</v>
      </c>
      <c r="P88" s="1219" t="s">
        <v>2553</v>
      </c>
      <c r="Q88" s="1219"/>
      <c r="R88" s="1219" t="s">
        <v>2553</v>
      </c>
      <c r="S88" s="1219" t="s">
        <v>2553</v>
      </c>
      <c r="T88" s="1219" t="s">
        <v>2552</v>
      </c>
      <c r="U88" s="1219" t="s">
        <v>2553</v>
      </c>
      <c r="V88" s="1219" t="s">
        <v>2553</v>
      </c>
      <c r="W88" s="1219" t="s">
        <v>2553</v>
      </c>
      <c r="X88" s="1219" t="s">
        <v>2553</v>
      </c>
      <c r="Y88" s="1219" t="s">
        <v>2553</v>
      </c>
      <c r="Z88" s="1219" t="s">
        <v>2553</v>
      </c>
      <c r="AA88" s="1219" t="s">
        <v>2552</v>
      </c>
      <c r="AB88" s="1219" t="s">
        <v>2553</v>
      </c>
      <c r="AC88" s="1219" t="s">
        <v>2553</v>
      </c>
      <c r="AD88" s="1219" t="s">
        <v>2553</v>
      </c>
      <c r="AE88" s="1219" t="s">
        <v>2553</v>
      </c>
      <c r="AF88" s="1219" t="s">
        <v>2553</v>
      </c>
      <c r="AG88" s="1219" t="s">
        <v>2553</v>
      </c>
      <c r="AH88" s="1219" t="s">
        <v>3320</v>
      </c>
      <c r="AI88" s="1219" t="s">
        <v>2553</v>
      </c>
      <c r="AJ88" s="1219"/>
      <c r="AK88" s="1222">
        <f t="shared" si="8"/>
        <v>24</v>
      </c>
      <c r="AL88" s="1222">
        <f t="shared" si="9"/>
        <v>4</v>
      </c>
      <c r="AM88" s="1222">
        <f t="shared" si="10"/>
        <v>1</v>
      </c>
      <c r="AN88" s="1222">
        <f t="shared" si="6"/>
        <v>0</v>
      </c>
      <c r="AO88" s="1222">
        <f t="shared" si="7"/>
        <v>0</v>
      </c>
      <c r="AP88" s="1221">
        <f>SUM(AK88:AM88)</f>
        <v>29</v>
      </c>
      <c r="AQ88" s="1223"/>
    </row>
    <row r="89" spans="1:47" ht="16.149999999999999" customHeight="1" outlineLevel="1">
      <c r="A89" s="1219">
        <v>78</v>
      </c>
      <c r="B89" s="1219">
        <v>43</v>
      </c>
      <c r="C89" s="1219" t="s">
        <v>3287</v>
      </c>
      <c r="D89" s="1220" t="s">
        <v>3244</v>
      </c>
      <c r="E89" s="1221"/>
      <c r="F89" s="1219" t="s">
        <v>2552</v>
      </c>
      <c r="G89" s="1219" t="s">
        <v>2553</v>
      </c>
      <c r="H89" s="1219" t="s">
        <v>2553</v>
      </c>
      <c r="I89" s="1219" t="s">
        <v>2553</v>
      </c>
      <c r="J89" s="1219" t="s">
        <v>2553</v>
      </c>
      <c r="K89" s="1219" t="s">
        <v>2553</v>
      </c>
      <c r="L89" s="1219" t="s">
        <v>2553</v>
      </c>
      <c r="M89" s="1219" t="s">
        <v>2552</v>
      </c>
      <c r="N89" s="1219" t="s">
        <v>2553</v>
      </c>
      <c r="O89" s="1219" t="s">
        <v>2553</v>
      </c>
      <c r="P89" s="1219" t="s">
        <v>2553</v>
      </c>
      <c r="Q89" s="1219"/>
      <c r="R89" s="1219" t="s">
        <v>2553</v>
      </c>
      <c r="S89" s="1219" t="s">
        <v>2553</v>
      </c>
      <c r="T89" s="1219" t="s">
        <v>2552</v>
      </c>
      <c r="U89" s="1219" t="s">
        <v>2553</v>
      </c>
      <c r="V89" s="1219" t="s">
        <v>2553</v>
      </c>
      <c r="W89" s="1219" t="s">
        <v>2553</v>
      </c>
      <c r="X89" s="1219" t="s">
        <v>2553</v>
      </c>
      <c r="Y89" s="1219" t="s">
        <v>2553</v>
      </c>
      <c r="Z89" s="1219" t="s">
        <v>2553</v>
      </c>
      <c r="AA89" s="1219" t="s">
        <v>2552</v>
      </c>
      <c r="AB89" s="1219" t="s">
        <v>2553</v>
      </c>
      <c r="AC89" s="1219" t="s">
        <v>2553</v>
      </c>
      <c r="AD89" s="1219" t="s">
        <v>2553</v>
      </c>
      <c r="AE89" s="1219" t="s">
        <v>2553</v>
      </c>
      <c r="AF89" s="1219" t="s">
        <v>2553</v>
      </c>
      <c r="AG89" s="1219" t="s">
        <v>2553</v>
      </c>
      <c r="AH89" s="1219" t="s">
        <v>3320</v>
      </c>
      <c r="AI89" s="1219" t="s">
        <v>2553</v>
      </c>
      <c r="AJ89" s="1219"/>
      <c r="AK89" s="1222">
        <f t="shared" si="8"/>
        <v>24</v>
      </c>
      <c r="AL89" s="1222">
        <f t="shared" si="9"/>
        <v>4</v>
      </c>
      <c r="AM89" s="1222">
        <f t="shared" si="10"/>
        <v>1</v>
      </c>
      <c r="AN89" s="1222">
        <f t="shared" si="6"/>
        <v>0</v>
      </c>
      <c r="AO89" s="1222">
        <f t="shared" si="7"/>
        <v>0</v>
      </c>
      <c r="AP89" s="1221">
        <f t="shared" si="11"/>
        <v>29</v>
      </c>
      <c r="AQ89" s="1223"/>
    </row>
    <row r="90" spans="1:47" s="600" customFormat="1" ht="15" customHeight="1">
      <c r="A90" s="2570" t="s">
        <v>525</v>
      </c>
      <c r="B90" s="2570"/>
      <c r="C90" s="2570"/>
      <c r="D90" s="2570"/>
      <c r="E90" s="1225"/>
      <c r="F90" s="1225" t="e">
        <f>SUM(#REF!,#REF!)</f>
        <v>#REF!</v>
      </c>
      <c r="G90" s="1225" t="e">
        <f>SUM(#REF!,#REF!)</f>
        <v>#REF!</v>
      </c>
      <c r="H90" s="1225" t="e">
        <f>SUM(#REF!,#REF!)</f>
        <v>#REF!</v>
      </c>
      <c r="I90" s="1225" t="e">
        <f>SUM(#REF!,#REF!)</f>
        <v>#REF!</v>
      </c>
      <c r="J90" s="1225" t="e">
        <f>SUM(#REF!,#REF!)</f>
        <v>#REF!</v>
      </c>
      <c r="K90" s="1225" t="e">
        <f>SUM(#REF!,#REF!)</f>
        <v>#REF!</v>
      </c>
      <c r="L90" s="1225" t="e">
        <f>SUM(#REF!,#REF!)</f>
        <v>#REF!</v>
      </c>
      <c r="M90" s="1225" t="e">
        <f>SUM(#REF!,#REF!)</f>
        <v>#REF!</v>
      </c>
      <c r="N90" s="1225" t="e">
        <f>SUM(#REF!,#REF!)</f>
        <v>#REF!</v>
      </c>
      <c r="O90" s="1225" t="e">
        <f>SUM(#REF!,#REF!)</f>
        <v>#REF!</v>
      </c>
      <c r="P90" s="1225" t="e">
        <f>SUM(#REF!,#REF!)</f>
        <v>#REF!</v>
      </c>
      <c r="Q90" s="1225" t="e">
        <f>SUM(#REF!,#REF!)</f>
        <v>#REF!</v>
      </c>
      <c r="R90" s="1225" t="e">
        <f>SUM(#REF!,#REF!)</f>
        <v>#REF!</v>
      </c>
      <c r="S90" s="1225" t="e">
        <f>SUM(#REF!,#REF!)</f>
        <v>#REF!</v>
      </c>
      <c r="T90" s="1225" t="e">
        <f>SUM(#REF!,#REF!)</f>
        <v>#REF!</v>
      </c>
      <c r="U90" s="1225" t="e">
        <f>SUM(#REF!,#REF!)</f>
        <v>#REF!</v>
      </c>
      <c r="V90" s="1225" t="e">
        <f>SUM(#REF!,#REF!)</f>
        <v>#REF!</v>
      </c>
      <c r="W90" s="1225" t="e">
        <f>SUM(#REF!,#REF!)</f>
        <v>#REF!</v>
      </c>
      <c r="X90" s="1225" t="e">
        <f>SUM(#REF!,#REF!)</f>
        <v>#REF!</v>
      </c>
      <c r="Y90" s="1225" t="e">
        <f>SUM(#REF!,#REF!)</f>
        <v>#REF!</v>
      </c>
      <c r="Z90" s="1225" t="e">
        <f>SUM(#REF!,#REF!)</f>
        <v>#REF!</v>
      </c>
      <c r="AA90" s="1225" t="e">
        <f>SUM(#REF!,#REF!)</f>
        <v>#REF!</v>
      </c>
      <c r="AB90" s="1225" t="e">
        <f>SUM(#REF!,#REF!)</f>
        <v>#REF!</v>
      </c>
      <c r="AC90" s="1225" t="e">
        <f>SUM(#REF!,#REF!)</f>
        <v>#REF!</v>
      </c>
      <c r="AD90" s="1225" t="e">
        <f>SUM(#REF!,#REF!)</f>
        <v>#REF!</v>
      </c>
      <c r="AE90" s="1225" t="e">
        <f>SUM(#REF!,#REF!)</f>
        <v>#REF!</v>
      </c>
      <c r="AF90" s="1225" t="e">
        <f>SUM(#REF!,#REF!)</f>
        <v>#REF!</v>
      </c>
      <c r="AG90" s="1225" t="e">
        <f>SUM(#REF!,#REF!)</f>
        <v>#REF!</v>
      </c>
      <c r="AH90" s="1225" t="e">
        <f>SUM(#REF!,#REF!)</f>
        <v>#REF!</v>
      </c>
      <c r="AI90" s="1225" t="e">
        <f>SUM(#REF!,#REF!)</f>
        <v>#REF!</v>
      </c>
      <c r="AJ90" s="1225" t="e">
        <f>SUM(#REF!,#REF!)</f>
        <v>#REF!</v>
      </c>
      <c r="AK90" s="1225">
        <f>SUM(AK12:AK89)</f>
        <v>1808</v>
      </c>
      <c r="AL90" s="1225">
        <f t="shared" ref="AL90:AO90" si="12">SUM(AL12:AL89)</f>
        <v>329</v>
      </c>
      <c r="AM90" s="1225">
        <f t="shared" si="12"/>
        <v>43</v>
      </c>
      <c r="AN90" s="1225">
        <f t="shared" si="12"/>
        <v>0</v>
      </c>
      <c r="AO90" s="1225">
        <f t="shared" si="12"/>
        <v>0</v>
      </c>
      <c r="AP90" s="1225">
        <f>SUM(AP12:AP89)</f>
        <v>2180</v>
      </c>
      <c r="AQ90" s="1231"/>
      <c r="AR90" s="1231">
        <f>AP90+AM90</f>
        <v>2223</v>
      </c>
      <c r="AS90" s="600">
        <v>672.57</v>
      </c>
    </row>
    <row r="91" spans="1:47">
      <c r="A91" s="1188"/>
      <c r="B91" s="1188"/>
      <c r="C91" s="1188"/>
      <c r="D91" s="1226"/>
      <c r="E91" s="1226"/>
      <c r="F91" s="1191"/>
      <c r="G91" s="1191"/>
      <c r="H91" s="1191"/>
      <c r="I91" s="1191"/>
      <c r="J91" s="1191"/>
      <c r="K91" s="1191"/>
      <c r="L91" s="1191"/>
      <c r="M91" s="1191"/>
      <c r="N91" s="1191"/>
      <c r="O91" s="1227"/>
      <c r="P91" s="1227"/>
      <c r="Q91" s="1227"/>
      <c r="R91" s="1227"/>
      <c r="S91" s="1191"/>
      <c r="T91" s="1191"/>
      <c r="U91" s="1191"/>
      <c r="V91" s="1191"/>
      <c r="W91" s="1191"/>
      <c r="X91" s="1229"/>
      <c r="Y91" s="1229"/>
      <c r="Z91" s="2621"/>
      <c r="AA91" s="2621"/>
      <c r="AB91" s="2621"/>
      <c r="AC91" s="2621"/>
      <c r="AD91" s="2621"/>
      <c r="AE91" s="2621"/>
      <c r="AF91" s="2621"/>
      <c r="AG91" s="2621"/>
      <c r="AH91" s="2621"/>
      <c r="AI91" s="2621"/>
      <c r="AJ91" s="2621"/>
      <c r="AK91" s="2621"/>
      <c r="AL91" s="2621"/>
      <c r="AM91" s="2621"/>
      <c r="AN91" s="2621"/>
      <c r="AO91" s="2621"/>
      <c r="AP91" s="2621"/>
      <c r="AS91" s="1224">
        <f>AK90*AS86*AS90+AL90*AS87*AS90+AP90*20000+AM90*2*AS86*AS90</f>
        <v>119340461.69500001</v>
      </c>
    </row>
    <row r="92" spans="1:47" ht="15" customHeight="1">
      <c r="A92" s="2617" t="s">
        <v>2554</v>
      </c>
      <c r="B92" s="2617"/>
      <c r="C92" s="2617"/>
      <c r="D92" s="1188"/>
      <c r="E92" s="334"/>
      <c r="F92" s="1188"/>
      <c r="G92" s="1188"/>
      <c r="J92" s="334"/>
      <c r="R92" s="1192"/>
      <c r="S92" s="1192"/>
      <c r="T92" s="1192"/>
      <c r="U92" s="1192"/>
      <c r="V92" s="1192"/>
      <c r="W92" s="1192"/>
      <c r="X92" s="1192"/>
      <c r="Y92" s="1192"/>
      <c r="Z92" s="1192"/>
      <c r="AA92" s="1192"/>
      <c r="AB92" s="1192"/>
      <c r="AC92" s="1192"/>
      <c r="AG92" s="2618"/>
      <c r="AH92" s="2618"/>
      <c r="AI92" s="2618"/>
      <c r="AJ92" s="2618"/>
      <c r="AK92" s="2618"/>
      <c r="AL92" s="2618"/>
      <c r="AM92" s="171"/>
      <c r="AN92" s="171"/>
      <c r="AO92" s="171"/>
      <c r="AP92" s="334"/>
      <c r="AS92" s="1224"/>
    </row>
    <row r="93" spans="1:47">
      <c r="A93" s="1188" t="s">
        <v>2555</v>
      </c>
      <c r="B93" s="1188"/>
      <c r="C93" s="1188"/>
      <c r="D93" s="1188"/>
      <c r="E93" s="1188"/>
      <c r="F93" s="1188"/>
      <c r="G93" s="1188"/>
      <c r="H93" s="1188"/>
      <c r="I93" s="1188"/>
      <c r="J93" s="1188"/>
      <c r="K93" s="1188"/>
      <c r="L93" s="1191"/>
      <c r="M93" s="1191"/>
      <c r="N93" s="1191"/>
      <c r="O93" s="1191"/>
      <c r="P93" s="1191"/>
      <c r="Q93" s="1191"/>
      <c r="R93" s="1191"/>
      <c r="S93" s="1191"/>
      <c r="T93" s="1191"/>
      <c r="U93" s="1191"/>
      <c r="V93" s="1191"/>
      <c r="W93" s="1191"/>
      <c r="X93" s="1191"/>
      <c r="Y93" s="1191"/>
      <c r="Z93" s="1191"/>
      <c r="AA93" s="1191"/>
      <c r="AB93" s="1191"/>
      <c r="AC93" s="1191"/>
      <c r="AD93" s="1191"/>
      <c r="AE93" s="1191"/>
      <c r="AF93" s="1191"/>
      <c r="AG93" s="1191"/>
      <c r="AH93" s="1191"/>
      <c r="AI93" s="1191"/>
      <c r="AJ93" s="1191"/>
      <c r="AL93" s="1191"/>
      <c r="AM93" s="1191"/>
      <c r="AN93" s="1191"/>
      <c r="AO93" s="1191"/>
      <c r="AP93" s="1188"/>
    </row>
    <row r="94" spans="1:47">
      <c r="A94" s="1188" t="s">
        <v>2556</v>
      </c>
      <c r="B94" s="1188"/>
      <c r="C94" s="1188"/>
      <c r="D94" s="1188"/>
      <c r="E94" s="1188"/>
      <c r="F94" s="1188"/>
      <c r="G94" s="1188"/>
      <c r="H94" s="1188"/>
      <c r="I94" s="1188"/>
      <c r="J94" s="1188"/>
      <c r="K94" s="1188"/>
      <c r="L94" s="1191"/>
      <c r="M94" s="1191"/>
      <c r="N94" s="1227"/>
      <c r="O94" s="1191"/>
      <c r="P94" s="1191"/>
      <c r="Q94" s="1191"/>
      <c r="R94" s="1191"/>
      <c r="S94" s="1191"/>
      <c r="T94" s="1191"/>
      <c r="U94" s="1191"/>
      <c r="V94" s="1191"/>
      <c r="W94" s="1191"/>
      <c r="X94" s="1191"/>
      <c r="Y94" s="1191"/>
      <c r="Z94" s="1191"/>
      <c r="AA94" s="1191"/>
      <c r="AB94" s="1191"/>
      <c r="AC94" s="1191"/>
      <c r="AD94" s="1191"/>
      <c r="AE94" s="1191"/>
      <c r="AF94" s="1191"/>
      <c r="AG94" s="1191"/>
      <c r="AH94" s="1191"/>
      <c r="AI94" s="1191"/>
      <c r="AJ94" s="1191"/>
      <c r="AK94" s="1191"/>
      <c r="AL94" s="1191"/>
      <c r="AM94" s="1191"/>
      <c r="AN94" s="1191"/>
      <c r="AO94" s="1191"/>
      <c r="AP94" s="1188"/>
    </row>
    <row r="95" spans="1:47">
      <c r="A95" s="1188" t="s">
        <v>2557</v>
      </c>
      <c r="B95" s="1188"/>
      <c r="C95" s="1188"/>
      <c r="D95" s="1188"/>
      <c r="E95" s="1188"/>
      <c r="F95" s="1188"/>
      <c r="G95" s="1188"/>
      <c r="H95" s="1188"/>
      <c r="I95" s="1188"/>
      <c r="J95" s="1188"/>
      <c r="K95" s="1188"/>
      <c r="L95" s="1191"/>
      <c r="M95" s="1191"/>
      <c r="N95" s="1227"/>
      <c r="O95" s="1191"/>
      <c r="P95" s="1191"/>
      <c r="Q95" s="1191"/>
      <c r="R95" s="1191"/>
      <c r="S95" s="1191"/>
      <c r="T95" s="1191"/>
      <c r="U95" s="1191"/>
      <c r="V95" s="1191"/>
      <c r="W95" s="1191"/>
      <c r="X95" s="1191"/>
      <c r="Y95" s="1191"/>
      <c r="Z95" s="1191"/>
      <c r="AA95" s="1191"/>
      <c r="AB95" s="1191"/>
      <c r="AC95" s="1191"/>
      <c r="AD95" s="1191"/>
      <c r="AE95" s="1191"/>
      <c r="AF95" s="1191"/>
      <c r="AG95" s="1191"/>
      <c r="AH95" s="1191"/>
      <c r="AI95" s="1191"/>
      <c r="AJ95" s="1191"/>
      <c r="AK95" s="1191"/>
      <c r="AL95" s="1191"/>
      <c r="AM95" s="1191"/>
      <c r="AN95" s="1191"/>
      <c r="AO95" s="1191"/>
      <c r="AP95" s="1188"/>
    </row>
    <row r="96" spans="1:47" ht="16.5">
      <c r="A96" s="1188"/>
      <c r="B96" s="1188"/>
      <c r="C96" s="1188"/>
      <c r="D96" s="1226"/>
      <c r="E96" s="1226"/>
      <c r="F96" s="1191"/>
      <c r="G96" s="1191"/>
      <c r="H96" s="1191"/>
      <c r="I96" s="1191"/>
      <c r="J96" s="1191"/>
      <c r="K96" s="1191"/>
      <c r="L96" s="1191"/>
      <c r="M96" s="1191"/>
      <c r="N96" s="1191"/>
      <c r="O96" s="1227"/>
      <c r="P96" s="1227"/>
      <c r="Q96" s="1227"/>
      <c r="R96" s="1227"/>
      <c r="S96" s="1191"/>
      <c r="T96" s="1191"/>
      <c r="U96" s="1191"/>
      <c r="V96" s="1191"/>
      <c r="W96" s="1191"/>
      <c r="X96" s="1229"/>
      <c r="Y96" s="1229"/>
      <c r="AA96" s="1229"/>
      <c r="AB96" s="1229"/>
      <c r="AC96" s="1229"/>
      <c r="AD96" s="2619" t="s">
        <v>2544</v>
      </c>
      <c r="AE96" s="2619"/>
      <c r="AF96" s="2619"/>
      <c r="AG96" s="2619"/>
      <c r="AH96" s="2619"/>
      <c r="AI96" s="2619"/>
      <c r="AJ96" s="2619"/>
      <c r="AK96" s="2619"/>
      <c r="AL96" s="2619"/>
      <c r="AM96" s="2619"/>
      <c r="AN96" s="2619"/>
      <c r="AO96" s="2619"/>
      <c r="AP96" s="2619"/>
      <c r="AQ96" s="1229"/>
      <c r="AR96" s="1229"/>
      <c r="AS96" s="1229"/>
      <c r="AU96" s="1223"/>
    </row>
    <row r="97" spans="1:42" s="176" customFormat="1" ht="17.25" customHeight="1">
      <c r="A97" s="2551" t="s">
        <v>614</v>
      </c>
      <c r="B97" s="2551"/>
      <c r="C97" s="2551"/>
      <c r="D97" s="2551"/>
      <c r="E97" s="2552" t="s">
        <v>1945</v>
      </c>
      <c r="F97" s="2552"/>
      <c r="G97" s="2552"/>
      <c r="H97" s="2552"/>
      <c r="I97" s="2552"/>
      <c r="J97" s="2552"/>
      <c r="L97" s="1228" t="s">
        <v>616</v>
      </c>
      <c r="N97" s="1228"/>
      <c r="O97" s="1228"/>
      <c r="P97" s="1228"/>
      <c r="Q97" s="1228"/>
      <c r="R97" s="1228"/>
      <c r="T97" s="1228" t="s">
        <v>2545</v>
      </c>
      <c r="V97" s="1228"/>
      <c r="W97" s="1228"/>
      <c r="X97" s="1228"/>
      <c r="Y97" s="1228"/>
      <c r="Z97" s="1228"/>
      <c r="AA97" s="1228"/>
      <c r="AB97" s="1228"/>
      <c r="AC97" s="1228" t="s">
        <v>2478</v>
      </c>
      <c r="AD97" s="1228"/>
      <c r="AE97" s="1228"/>
      <c r="AF97" s="1228"/>
      <c r="AG97" s="1228"/>
      <c r="AH97" s="1228"/>
      <c r="AI97" s="1228"/>
      <c r="AJ97" s="2552" t="s">
        <v>612</v>
      </c>
      <c r="AK97" s="2552"/>
      <c r="AL97" s="2552"/>
      <c r="AM97" s="2552"/>
      <c r="AN97" s="2552"/>
      <c r="AO97" s="2552"/>
      <c r="AP97" s="2552"/>
    </row>
    <row r="98" spans="1:42">
      <c r="A98" s="1188"/>
      <c r="B98" s="1188"/>
      <c r="C98" s="1188"/>
      <c r="D98" s="1188"/>
      <c r="E98" s="1188"/>
      <c r="F98" s="1191"/>
      <c r="G98" s="1191"/>
      <c r="H98" s="1191"/>
      <c r="I98" s="1191"/>
      <c r="J98" s="1191"/>
      <c r="K98" s="1191"/>
      <c r="L98" s="1191"/>
      <c r="M98" s="1191"/>
      <c r="N98" s="1191"/>
      <c r="O98" s="1191"/>
      <c r="P98" s="1191"/>
      <c r="Q98" s="1191"/>
      <c r="R98" s="1191"/>
      <c r="S98" s="1191"/>
      <c r="T98" s="1191"/>
      <c r="U98" s="1191"/>
      <c r="V98" s="1191"/>
      <c r="W98" s="1191"/>
      <c r="X98" s="1191"/>
      <c r="Y98" s="1191"/>
      <c r="Z98" s="1191"/>
      <c r="AA98" s="1191"/>
      <c r="AB98" s="1191"/>
      <c r="AC98" s="1191"/>
      <c r="AD98" s="1191"/>
      <c r="AE98" s="1191"/>
      <c r="AF98" s="1191"/>
      <c r="AH98" s="1191"/>
      <c r="AI98" s="1191"/>
      <c r="AJ98" s="1191"/>
      <c r="AK98" s="1191"/>
      <c r="AL98" s="1191"/>
      <c r="AM98" s="1191"/>
      <c r="AN98" s="1191"/>
      <c r="AO98" s="1191"/>
      <c r="AP98" s="1188"/>
    </row>
    <row r="99" spans="1:42">
      <c r="A99" s="1188"/>
      <c r="B99" s="1188"/>
      <c r="C99" s="1188"/>
      <c r="D99" s="1188"/>
      <c r="E99" s="1188"/>
      <c r="F99" s="1191"/>
      <c r="G99" s="1191"/>
      <c r="H99" s="1191"/>
      <c r="I99" s="1191"/>
      <c r="J99" s="1191"/>
      <c r="K99" s="1191"/>
      <c r="L99" s="1191"/>
      <c r="M99" s="1191"/>
      <c r="N99" s="1191"/>
      <c r="O99" s="1191"/>
      <c r="P99" s="1191"/>
      <c r="Q99" s="1191"/>
      <c r="R99" s="1191"/>
      <c r="S99" s="1191"/>
      <c r="T99" s="1191"/>
      <c r="U99" s="1191"/>
      <c r="V99" s="1191"/>
      <c r="W99" s="1191"/>
      <c r="X99" s="1191"/>
      <c r="Y99" s="1191"/>
      <c r="Z99" s="1191"/>
      <c r="AA99" s="1191"/>
      <c r="AB99" s="1191"/>
      <c r="AC99" s="1191"/>
      <c r="AD99" s="1191"/>
      <c r="AE99" s="1191"/>
      <c r="AF99" s="1191"/>
      <c r="AG99" s="1191"/>
      <c r="AH99" s="1191"/>
      <c r="AI99" s="1191"/>
      <c r="AJ99" s="1191"/>
      <c r="AK99" s="1191"/>
      <c r="AL99" s="1191"/>
      <c r="AM99" s="1191"/>
      <c r="AN99" s="1191"/>
      <c r="AO99" s="1191"/>
      <c r="AP99" s="1188"/>
    </row>
    <row r="100" spans="1:42">
      <c r="A100" s="1188"/>
      <c r="B100" s="1188"/>
      <c r="C100" s="1188"/>
      <c r="D100" s="1188"/>
      <c r="E100" s="1188"/>
      <c r="F100" s="1191"/>
      <c r="G100" s="1191"/>
      <c r="H100" s="1191"/>
      <c r="I100" s="1191"/>
      <c r="J100" s="1191"/>
      <c r="K100" s="1191"/>
      <c r="L100" s="1191"/>
      <c r="M100" s="1191"/>
      <c r="N100" s="1191"/>
      <c r="O100" s="1191"/>
      <c r="P100" s="1191"/>
      <c r="Q100" s="1191"/>
      <c r="R100" s="1191"/>
      <c r="S100" s="1191"/>
      <c r="T100" s="1191"/>
      <c r="U100" s="1191"/>
      <c r="V100" s="1191"/>
      <c r="W100" s="1191"/>
      <c r="X100" s="1191"/>
      <c r="Y100" s="1191"/>
      <c r="Z100" s="1191"/>
      <c r="AA100" s="1191"/>
      <c r="AB100" s="1191"/>
      <c r="AC100" s="1191"/>
      <c r="AD100" s="1191"/>
      <c r="AE100" s="1191"/>
      <c r="AF100" s="1191"/>
      <c r="AG100" s="1191"/>
      <c r="AH100" s="1191"/>
      <c r="AI100" s="1191"/>
      <c r="AJ100" s="1191"/>
      <c r="AK100" s="1191"/>
      <c r="AL100" s="1191"/>
      <c r="AM100" s="1191"/>
      <c r="AN100" s="1191"/>
      <c r="AO100" s="1191"/>
      <c r="AP100" s="1188"/>
    </row>
    <row r="101" spans="1:42">
      <c r="A101" s="1188"/>
      <c r="B101" s="1188"/>
      <c r="C101" s="1188"/>
      <c r="D101" s="1188"/>
      <c r="E101" s="1188"/>
      <c r="F101" s="1191"/>
      <c r="G101" s="1191"/>
      <c r="H101" s="1191"/>
      <c r="I101" s="1191"/>
      <c r="J101" s="1191"/>
      <c r="K101" s="1191"/>
      <c r="L101" s="1191"/>
      <c r="M101" s="1191"/>
      <c r="N101" s="1191"/>
      <c r="O101" s="1191"/>
      <c r="P101" s="1191"/>
      <c r="Q101" s="1191"/>
      <c r="R101" s="1191"/>
      <c r="S101" s="1191"/>
      <c r="T101" s="1191"/>
      <c r="U101" s="1191"/>
      <c r="V101" s="1191"/>
      <c r="W101" s="1191"/>
      <c r="X101" s="1191"/>
      <c r="Y101" s="1191"/>
      <c r="Z101" s="1191"/>
      <c r="AA101" s="1191"/>
      <c r="AB101" s="1191"/>
      <c r="AC101" s="1191"/>
      <c r="AD101" s="1191"/>
      <c r="AE101" s="1191"/>
      <c r="AF101" s="1191"/>
      <c r="AG101" s="1191"/>
      <c r="AH101" s="1191"/>
      <c r="AI101" s="1191"/>
      <c r="AJ101" s="1191"/>
      <c r="AK101" s="1191"/>
      <c r="AL101" s="1191"/>
      <c r="AM101" s="1191"/>
      <c r="AN101" s="1191"/>
      <c r="AO101" s="1191"/>
      <c r="AP101" s="1188"/>
    </row>
    <row r="102" spans="1:42">
      <c r="A102" s="1188"/>
      <c r="B102" s="1188"/>
      <c r="C102" s="1188"/>
      <c r="D102" s="1188"/>
      <c r="E102" s="1188"/>
      <c r="F102" s="1191"/>
      <c r="G102" s="1191"/>
      <c r="H102" s="1191"/>
      <c r="I102" s="1191"/>
      <c r="J102" s="1191"/>
      <c r="K102" s="1191"/>
      <c r="L102" s="1191"/>
      <c r="M102" s="1191"/>
      <c r="N102" s="1191"/>
      <c r="O102" s="1191"/>
      <c r="P102" s="1191"/>
      <c r="Q102" s="1191"/>
      <c r="R102" s="1191"/>
      <c r="S102" s="1191"/>
      <c r="T102" s="1191"/>
      <c r="U102" s="1191"/>
      <c r="V102" s="1191"/>
      <c r="W102" s="1191"/>
      <c r="X102" s="1191"/>
      <c r="Y102" s="1191"/>
      <c r="Z102" s="1191"/>
      <c r="AA102" s="1191"/>
      <c r="AB102" s="1191"/>
      <c r="AC102" s="1191"/>
      <c r="AD102" s="1191"/>
      <c r="AE102" s="1191"/>
      <c r="AF102" s="1191"/>
      <c r="AG102" s="1191"/>
      <c r="AH102" s="1191"/>
      <c r="AI102" s="1191"/>
      <c r="AJ102" s="1191"/>
      <c r="AK102" s="1191"/>
      <c r="AL102" s="1191"/>
      <c r="AM102" s="1191"/>
      <c r="AN102" s="1191"/>
      <c r="AO102" s="1191"/>
      <c r="AP102" s="1188"/>
    </row>
    <row r="103" spans="1:42">
      <c r="A103" s="1188"/>
      <c r="B103" s="1188"/>
      <c r="C103" s="1188"/>
      <c r="D103" s="1188"/>
      <c r="E103" s="1188"/>
      <c r="F103" s="1191"/>
      <c r="G103" s="1191"/>
      <c r="H103" s="1191"/>
      <c r="I103" s="1191"/>
      <c r="J103" s="1191"/>
      <c r="K103" s="1191"/>
      <c r="L103" s="1191"/>
      <c r="M103" s="1191"/>
      <c r="N103" s="1191"/>
      <c r="O103" s="1191"/>
      <c r="P103" s="1191"/>
      <c r="Q103" s="1191"/>
      <c r="R103" s="1191"/>
      <c r="S103" s="1191"/>
      <c r="T103" s="1191"/>
      <c r="U103" s="1191"/>
      <c r="V103" s="1191"/>
      <c r="W103" s="1191"/>
      <c r="X103" s="1191"/>
      <c r="Y103" s="1191"/>
      <c r="Z103" s="1191"/>
      <c r="AA103" s="1191"/>
      <c r="AB103" s="1191"/>
      <c r="AC103" s="1191"/>
      <c r="AD103" s="1191"/>
      <c r="AE103" s="1191"/>
      <c r="AF103" s="1191"/>
      <c r="AG103" s="1191"/>
      <c r="AH103" s="1191"/>
      <c r="AI103" s="1191"/>
      <c r="AJ103" s="1191"/>
      <c r="AK103" s="1191"/>
      <c r="AL103" s="1191"/>
      <c r="AM103" s="1191"/>
      <c r="AN103" s="1191"/>
      <c r="AO103" s="1191"/>
      <c r="AP103" s="1188"/>
    </row>
    <row r="104" spans="1:42">
      <c r="A104" s="1188"/>
      <c r="B104" s="1188"/>
      <c r="C104" s="1188"/>
      <c r="D104" s="1188"/>
      <c r="E104" s="1188"/>
      <c r="F104" s="1191"/>
      <c r="G104" s="1191"/>
      <c r="H104" s="1191"/>
      <c r="I104" s="1191"/>
      <c r="J104" s="1191"/>
      <c r="K104" s="1191"/>
      <c r="L104" s="1191"/>
      <c r="M104" s="1191"/>
      <c r="N104" s="1191"/>
      <c r="O104" s="1191"/>
      <c r="P104" s="1191"/>
      <c r="Q104" s="1191"/>
      <c r="R104" s="1191"/>
      <c r="S104" s="1191"/>
      <c r="T104" s="1191"/>
      <c r="U104" s="1191"/>
      <c r="V104" s="1191"/>
      <c r="W104" s="1191"/>
      <c r="X104" s="1191"/>
      <c r="Y104" s="1191"/>
      <c r="Z104" s="1191"/>
      <c r="AA104" s="1191"/>
      <c r="AB104" s="1191"/>
      <c r="AC104" s="1191"/>
      <c r="AD104" s="1191"/>
      <c r="AE104" s="1191"/>
      <c r="AF104" s="1191"/>
      <c r="AG104" s="1191"/>
      <c r="AH104" s="1191"/>
      <c r="AI104" s="1191"/>
      <c r="AJ104" s="1191"/>
      <c r="AK104" s="1191"/>
      <c r="AL104" s="1191"/>
      <c r="AM104" s="1191"/>
      <c r="AN104" s="1191"/>
      <c r="AO104" s="1191"/>
      <c r="AP104" s="1188"/>
    </row>
    <row r="105" spans="1:42">
      <c r="A105" s="1188"/>
      <c r="B105" s="1188"/>
      <c r="C105" s="1188"/>
      <c r="D105" s="1188"/>
      <c r="E105" s="1188"/>
      <c r="F105" s="1191"/>
      <c r="G105" s="1191"/>
      <c r="H105" s="1191"/>
      <c r="I105" s="1191"/>
      <c r="J105" s="1191"/>
      <c r="K105" s="1191"/>
      <c r="L105" s="1191"/>
      <c r="M105" s="1191"/>
      <c r="N105" s="1191"/>
      <c r="O105" s="1191"/>
      <c r="P105" s="1191"/>
      <c r="Q105" s="1191"/>
      <c r="R105" s="1191"/>
      <c r="S105" s="1191"/>
      <c r="T105" s="1191"/>
      <c r="U105" s="1191"/>
      <c r="V105" s="1191"/>
      <c r="W105" s="1191"/>
      <c r="X105" s="1191"/>
      <c r="Y105" s="1191"/>
      <c r="Z105" s="1191"/>
      <c r="AA105" s="1191"/>
      <c r="AB105" s="1191"/>
      <c r="AC105" s="1191"/>
      <c r="AD105" s="1191"/>
      <c r="AE105" s="1191"/>
      <c r="AF105" s="1191"/>
      <c r="AG105" s="1191"/>
      <c r="AH105" s="1191"/>
      <c r="AI105" s="1191"/>
      <c r="AJ105" s="1191"/>
      <c r="AK105" s="1191"/>
      <c r="AL105" s="1191"/>
      <c r="AM105" s="1191"/>
      <c r="AN105" s="1191"/>
      <c r="AO105" s="1191"/>
      <c r="AP105" s="1188"/>
    </row>
    <row r="106" spans="1:42" ht="16.5">
      <c r="A106" s="1188"/>
      <c r="B106" s="1188"/>
      <c r="C106" s="1188"/>
      <c r="D106" s="1188"/>
      <c r="E106" s="1188"/>
      <c r="F106" s="1191"/>
      <c r="G106" s="1191"/>
      <c r="H106" s="1191"/>
      <c r="I106" s="1191"/>
      <c r="J106" s="1191"/>
      <c r="K106" s="1191"/>
      <c r="L106" s="1191"/>
      <c r="M106" s="1191"/>
      <c r="N106" s="1191"/>
      <c r="O106" s="1191"/>
      <c r="P106" s="1191"/>
      <c r="Q106" s="1191"/>
      <c r="R106" s="1191"/>
      <c r="S106" s="1191"/>
      <c r="T106" s="2614" t="s">
        <v>2480</v>
      </c>
      <c r="U106" s="2614"/>
      <c r="V106" s="2614"/>
      <c r="W106" s="2614"/>
      <c r="X106" s="2614"/>
      <c r="Y106" s="2614"/>
      <c r="Z106" s="2614"/>
      <c r="AA106" s="1230"/>
      <c r="AB106" s="1230"/>
      <c r="AC106" s="1230" t="s">
        <v>2546</v>
      </c>
      <c r="AD106" s="1230"/>
      <c r="AE106" s="1230"/>
      <c r="AF106" s="1230"/>
      <c r="AG106" s="1191"/>
      <c r="AH106" s="1191"/>
      <c r="AI106" s="1191"/>
      <c r="AJ106" s="1191"/>
      <c r="AK106" s="1191"/>
      <c r="AL106" s="1191"/>
      <c r="AM106" s="1191"/>
      <c r="AN106" s="1191"/>
      <c r="AO106" s="1191"/>
      <c r="AP106" s="1188"/>
    </row>
    <row r="107" spans="1:42">
      <c r="A107" s="1188"/>
      <c r="B107" s="1188"/>
      <c r="C107" s="1188"/>
      <c r="D107" s="1188"/>
      <c r="E107" s="1188"/>
      <c r="F107" s="1191"/>
      <c r="G107" s="1191"/>
      <c r="H107" s="1191"/>
      <c r="I107" s="1191"/>
      <c r="J107" s="1191"/>
      <c r="K107" s="1191"/>
      <c r="L107" s="1191"/>
      <c r="M107" s="1191"/>
      <c r="N107" s="1191"/>
      <c r="O107" s="1191"/>
      <c r="P107" s="1191"/>
      <c r="Q107" s="1191"/>
      <c r="R107" s="1191"/>
      <c r="S107" s="1191"/>
      <c r="T107" s="1191"/>
      <c r="U107" s="1191"/>
      <c r="V107" s="1191"/>
      <c r="W107" s="1191"/>
      <c r="X107" s="1191"/>
      <c r="Y107" s="1191"/>
      <c r="Z107" s="1191"/>
      <c r="AA107" s="1191"/>
      <c r="AB107" s="1191"/>
      <c r="AC107" s="1191"/>
      <c r="AD107" s="1191"/>
      <c r="AE107" s="1191"/>
      <c r="AF107" s="1191"/>
      <c r="AG107" s="1191"/>
      <c r="AH107" s="1191"/>
      <c r="AI107" s="1191"/>
      <c r="AJ107" s="1191"/>
      <c r="AK107" s="1191"/>
      <c r="AL107" s="1191"/>
      <c r="AM107" s="1191"/>
      <c r="AN107" s="1191"/>
      <c r="AO107" s="1191"/>
      <c r="AP107" s="1188"/>
    </row>
    <row r="108" spans="1:42">
      <c r="A108" s="1188"/>
      <c r="B108" s="1188"/>
      <c r="C108" s="1188"/>
      <c r="D108" s="1188"/>
      <c r="E108" s="1188"/>
      <c r="F108" s="1188"/>
      <c r="G108" s="1188"/>
      <c r="H108" s="1188"/>
      <c r="I108" s="1191"/>
      <c r="J108" s="1191"/>
      <c r="K108" s="1191"/>
      <c r="L108" s="1191"/>
      <c r="M108" s="1191"/>
      <c r="N108" s="1191"/>
      <c r="O108" s="1191"/>
      <c r="P108" s="1191"/>
      <c r="Q108" s="1191"/>
      <c r="R108" s="1191"/>
      <c r="S108" s="1191"/>
      <c r="T108" s="1191"/>
      <c r="U108" s="1191"/>
      <c r="V108" s="1191"/>
      <c r="W108" s="1191"/>
      <c r="X108" s="1191"/>
      <c r="Y108" s="1191"/>
      <c r="Z108" s="1191"/>
      <c r="AA108" s="1191"/>
      <c r="AB108" s="1191"/>
      <c r="AC108" s="1191"/>
      <c r="AD108" s="1191"/>
      <c r="AE108" s="1191"/>
      <c r="AF108" s="1191"/>
      <c r="AG108" s="1191"/>
      <c r="AH108" s="1191"/>
      <c r="AI108" s="1191"/>
      <c r="AJ108" s="1191"/>
      <c r="AK108" s="1191"/>
      <c r="AL108" s="1191"/>
      <c r="AM108" s="1191"/>
      <c r="AN108" s="1191"/>
      <c r="AO108" s="1191"/>
      <c r="AP108" s="1188"/>
    </row>
    <row r="109" spans="1:42">
      <c r="A109" s="1188"/>
      <c r="B109" s="1188"/>
      <c r="C109" s="1188"/>
      <c r="D109" s="1188"/>
      <c r="E109" s="1188"/>
      <c r="F109" s="1188"/>
      <c r="G109" s="1188"/>
      <c r="H109" s="1188"/>
      <c r="I109" s="1191"/>
      <c r="J109" s="1191"/>
      <c r="K109" s="1191"/>
      <c r="L109" s="1191"/>
      <c r="M109" s="1191"/>
      <c r="N109" s="1191"/>
      <c r="O109" s="1191"/>
      <c r="P109" s="1191"/>
      <c r="Q109" s="1191"/>
      <c r="R109" s="1191"/>
      <c r="S109" s="1191"/>
      <c r="T109" s="1191"/>
      <c r="U109" s="1191"/>
      <c r="V109" s="1191"/>
      <c r="W109" s="1191"/>
      <c r="X109" s="1191"/>
      <c r="Y109" s="1191"/>
      <c r="Z109" s="1191"/>
      <c r="AA109" s="1191"/>
      <c r="AB109" s="1191"/>
      <c r="AC109" s="1191"/>
      <c r="AD109" s="1191"/>
      <c r="AE109" s="1191"/>
      <c r="AF109" s="1191"/>
      <c r="AG109" s="1191"/>
      <c r="AH109" s="1191"/>
      <c r="AI109" s="1191"/>
      <c r="AJ109" s="1191"/>
      <c r="AK109" s="1191"/>
      <c r="AL109" s="1191"/>
      <c r="AM109" s="1191"/>
      <c r="AN109" s="1191"/>
      <c r="AO109" s="1191"/>
      <c r="AP109" s="1188"/>
    </row>
    <row r="110" spans="1:42">
      <c r="A110" s="1188"/>
      <c r="B110" s="1188"/>
      <c r="C110" s="1188"/>
      <c r="D110" s="1188"/>
      <c r="E110" s="1188"/>
      <c r="F110" s="1188"/>
      <c r="G110" s="1188"/>
      <c r="H110" s="1188"/>
      <c r="I110" s="1191"/>
      <c r="J110" s="1191"/>
      <c r="K110" s="1191"/>
      <c r="L110" s="1191"/>
      <c r="M110" s="1191"/>
      <c r="N110" s="1191"/>
      <c r="O110" s="1191"/>
      <c r="P110" s="1191"/>
      <c r="Q110" s="1191"/>
      <c r="R110" s="1191"/>
      <c r="S110" s="1191"/>
      <c r="T110" s="1191"/>
      <c r="U110" s="1191"/>
      <c r="V110" s="1191"/>
      <c r="W110" s="1191"/>
      <c r="X110" s="1191"/>
      <c r="Y110" s="1191"/>
      <c r="Z110" s="1191"/>
      <c r="AA110" s="1191"/>
      <c r="AB110" s="1191"/>
      <c r="AC110" s="1191"/>
      <c r="AD110" s="1191"/>
      <c r="AE110" s="1191"/>
      <c r="AF110" s="1191"/>
      <c r="AG110" s="1191"/>
      <c r="AH110" s="1191"/>
      <c r="AI110" s="1191"/>
      <c r="AJ110" s="1191"/>
      <c r="AK110" s="1191"/>
      <c r="AL110" s="1191"/>
      <c r="AM110" s="1191"/>
      <c r="AN110" s="1191"/>
      <c r="AO110" s="1191"/>
      <c r="AP110" s="1188"/>
    </row>
    <row r="111" spans="1:42">
      <c r="A111" s="1188"/>
      <c r="B111" s="1188"/>
      <c r="C111" s="1188"/>
      <c r="D111" s="1188"/>
      <c r="E111" s="1188"/>
      <c r="F111" s="1188"/>
      <c r="G111" s="1188"/>
      <c r="H111" s="1188"/>
      <c r="I111" s="1191"/>
      <c r="J111" s="1191"/>
      <c r="K111" s="1191"/>
      <c r="L111" s="1191"/>
      <c r="M111" s="1191"/>
      <c r="N111" s="1191"/>
      <c r="O111" s="1191"/>
      <c r="P111" s="1191"/>
      <c r="Q111" s="1191"/>
      <c r="R111" s="1191"/>
      <c r="S111" s="1191"/>
      <c r="T111" s="1191"/>
      <c r="U111" s="1191"/>
      <c r="V111" s="1191"/>
      <c r="W111" s="1191"/>
      <c r="X111" s="1191"/>
      <c r="Y111" s="1191"/>
      <c r="Z111" s="1191"/>
      <c r="AA111" s="1191"/>
      <c r="AB111" s="1191"/>
      <c r="AC111" s="1191"/>
      <c r="AD111" s="1191"/>
      <c r="AE111" s="1191"/>
      <c r="AF111" s="1191"/>
      <c r="AG111" s="1191"/>
      <c r="AH111" s="1191"/>
      <c r="AI111" s="1191"/>
      <c r="AJ111" s="1191"/>
      <c r="AK111" s="1191"/>
      <c r="AL111" s="1191"/>
      <c r="AM111" s="1191"/>
      <c r="AN111" s="1191"/>
      <c r="AO111" s="1191"/>
      <c r="AP111" s="1188"/>
    </row>
    <row r="112" spans="1:42">
      <c r="A112" s="1188"/>
      <c r="B112" s="1188"/>
      <c r="C112" s="1188"/>
      <c r="D112" s="1188"/>
      <c r="E112" s="1188"/>
      <c r="F112" s="1188"/>
      <c r="G112" s="1188"/>
      <c r="H112" s="1188"/>
      <c r="I112" s="1191"/>
      <c r="J112" s="1191"/>
      <c r="K112" s="1191"/>
      <c r="L112" s="1191"/>
      <c r="M112" s="1191"/>
      <c r="N112" s="1191"/>
      <c r="O112" s="1191"/>
      <c r="P112" s="1191"/>
      <c r="Q112" s="1191"/>
      <c r="R112" s="1191"/>
      <c r="S112" s="1191"/>
      <c r="T112" s="1191"/>
      <c r="U112" s="1191"/>
      <c r="V112" s="1191"/>
      <c r="W112" s="1191"/>
      <c r="X112" s="1191"/>
      <c r="Y112" s="1191"/>
      <c r="Z112" s="1191"/>
      <c r="AA112" s="1191"/>
      <c r="AB112" s="1191"/>
      <c r="AC112" s="1191"/>
      <c r="AD112" s="1191"/>
      <c r="AE112" s="1191"/>
      <c r="AF112" s="1191"/>
      <c r="AG112" s="1191"/>
      <c r="AH112" s="1191"/>
      <c r="AI112" s="1191"/>
      <c r="AJ112" s="1191"/>
      <c r="AK112" s="1191"/>
      <c r="AL112" s="1191"/>
      <c r="AM112" s="1191"/>
      <c r="AN112" s="1191"/>
      <c r="AO112" s="1191"/>
      <c r="AP112" s="1188"/>
    </row>
    <row r="113" spans="1:42">
      <c r="A113" s="1188"/>
      <c r="B113" s="1188"/>
      <c r="C113" s="1188"/>
      <c r="D113" s="1188"/>
      <c r="E113" s="1188"/>
      <c r="F113" s="1188"/>
      <c r="G113" s="1188"/>
      <c r="H113" s="1188"/>
      <c r="I113" s="1191"/>
      <c r="J113" s="1191"/>
      <c r="K113" s="1191"/>
      <c r="L113" s="1191"/>
      <c r="M113" s="1191"/>
      <c r="N113" s="1191"/>
      <c r="O113" s="1191"/>
      <c r="P113" s="1191"/>
      <c r="Q113" s="1191"/>
      <c r="R113" s="1191"/>
      <c r="S113" s="1191"/>
      <c r="T113" s="1191"/>
      <c r="U113" s="1191"/>
      <c r="V113" s="1191"/>
      <c r="W113" s="1191"/>
      <c r="X113" s="1191"/>
      <c r="Y113" s="1191"/>
      <c r="Z113" s="1191"/>
      <c r="AA113" s="1191"/>
      <c r="AB113" s="1191"/>
      <c r="AC113" s="1191"/>
      <c r="AD113" s="1191"/>
      <c r="AE113" s="1191"/>
      <c r="AF113" s="1191"/>
      <c r="AG113" s="1191"/>
      <c r="AH113" s="1191"/>
      <c r="AI113" s="1191"/>
      <c r="AJ113" s="1191"/>
      <c r="AK113" s="1191"/>
      <c r="AL113" s="1191"/>
      <c r="AM113" s="1191"/>
      <c r="AN113" s="1191"/>
      <c r="AO113" s="1191"/>
      <c r="AP113" s="1188"/>
    </row>
    <row r="114" spans="1:42">
      <c r="A114" s="1188"/>
      <c r="B114" s="1188"/>
      <c r="C114" s="1188"/>
      <c r="D114" s="1188"/>
      <c r="E114" s="1188"/>
      <c r="F114" s="1188"/>
      <c r="G114" s="1188"/>
      <c r="H114" s="1188"/>
      <c r="I114" s="1191"/>
      <c r="J114" s="1191"/>
      <c r="K114" s="1191"/>
      <c r="L114" s="1191"/>
      <c r="M114" s="1191"/>
      <c r="N114" s="1191"/>
      <c r="O114" s="1191"/>
      <c r="P114" s="1191"/>
      <c r="Q114" s="1191"/>
      <c r="R114" s="1191"/>
      <c r="S114" s="1191"/>
      <c r="T114" s="1191"/>
      <c r="U114" s="1191"/>
      <c r="V114" s="1191"/>
      <c r="W114" s="1191"/>
      <c r="X114" s="1191"/>
      <c r="Y114" s="1191"/>
      <c r="Z114" s="1191"/>
      <c r="AA114" s="1191"/>
      <c r="AB114" s="1191"/>
      <c r="AC114" s="1191"/>
      <c r="AD114" s="1191"/>
      <c r="AE114" s="1191"/>
      <c r="AF114" s="1191"/>
      <c r="AG114" s="1191"/>
      <c r="AH114" s="1191"/>
      <c r="AI114" s="1191"/>
      <c r="AJ114" s="1191"/>
      <c r="AK114" s="1191"/>
      <c r="AL114" s="1191"/>
      <c r="AM114" s="1191"/>
      <c r="AN114" s="1191"/>
      <c r="AO114" s="1191"/>
      <c r="AP114" s="1188"/>
    </row>
    <row r="115" spans="1:42">
      <c r="A115" s="1188"/>
      <c r="B115" s="1188"/>
      <c r="C115" s="1188"/>
      <c r="D115" s="1188"/>
      <c r="E115" s="1188"/>
      <c r="F115" s="1188"/>
      <c r="G115" s="1188"/>
      <c r="H115" s="1188"/>
      <c r="I115" s="1191"/>
      <c r="J115" s="1191"/>
      <c r="K115" s="1191"/>
      <c r="L115" s="1191"/>
      <c r="M115" s="1191"/>
      <c r="N115" s="1191"/>
      <c r="O115" s="1191"/>
      <c r="P115" s="1191"/>
      <c r="Q115" s="1191"/>
      <c r="R115" s="1191"/>
      <c r="S115" s="1191"/>
      <c r="T115" s="1191"/>
      <c r="U115" s="1191"/>
      <c r="V115" s="1191"/>
      <c r="W115" s="1191"/>
      <c r="X115" s="1191"/>
      <c r="Y115" s="1191"/>
      <c r="Z115" s="1191"/>
      <c r="AA115" s="1191"/>
      <c r="AB115" s="1191"/>
      <c r="AC115" s="1191"/>
      <c r="AD115" s="1191"/>
      <c r="AE115" s="1191"/>
      <c r="AF115" s="1191"/>
      <c r="AG115" s="1191"/>
      <c r="AH115" s="1191"/>
      <c r="AI115" s="1191"/>
      <c r="AJ115" s="1191"/>
      <c r="AK115" s="1191"/>
      <c r="AL115" s="1191"/>
      <c r="AM115" s="1191"/>
      <c r="AN115" s="1191"/>
      <c r="AO115" s="1191"/>
      <c r="AP115" s="1188"/>
    </row>
    <row r="116" spans="1:42">
      <c r="A116" s="1188"/>
      <c r="B116" s="1188"/>
      <c r="C116" s="1188"/>
      <c r="D116" s="1188"/>
      <c r="E116" s="1188"/>
      <c r="F116" s="1188"/>
      <c r="G116" s="1188"/>
      <c r="H116" s="1188"/>
      <c r="I116" s="1191"/>
      <c r="J116" s="1191"/>
      <c r="K116" s="1191"/>
      <c r="L116" s="1191"/>
      <c r="M116" s="1191"/>
      <c r="N116" s="1191"/>
      <c r="O116" s="1191"/>
      <c r="P116" s="1191"/>
      <c r="Q116" s="1191"/>
      <c r="R116" s="1191"/>
      <c r="S116" s="1191"/>
      <c r="T116" s="1191"/>
      <c r="U116" s="1191"/>
      <c r="V116" s="1191"/>
      <c r="W116" s="1191"/>
      <c r="X116" s="1191"/>
      <c r="Y116" s="1191"/>
      <c r="Z116" s="1191"/>
      <c r="AA116" s="1191"/>
      <c r="AB116" s="1191"/>
      <c r="AC116" s="1191"/>
      <c r="AD116" s="1191"/>
      <c r="AE116" s="1191"/>
      <c r="AF116" s="1191"/>
      <c r="AG116" s="1191"/>
      <c r="AH116" s="1191"/>
      <c r="AI116" s="1191"/>
      <c r="AJ116" s="1191"/>
      <c r="AK116" s="1191"/>
      <c r="AL116" s="1191"/>
      <c r="AM116" s="1191"/>
      <c r="AN116" s="1191"/>
      <c r="AO116" s="1191"/>
      <c r="AP116" s="1188"/>
    </row>
    <row r="117" spans="1:42">
      <c r="A117" s="1188"/>
      <c r="B117" s="1188"/>
      <c r="C117" s="1188"/>
      <c r="D117" s="1188"/>
      <c r="E117" s="1188"/>
      <c r="F117" s="1188"/>
      <c r="G117" s="1188"/>
      <c r="H117" s="1188"/>
      <c r="I117" s="1191"/>
      <c r="J117" s="1191"/>
      <c r="K117" s="1191"/>
      <c r="L117" s="1191"/>
      <c r="M117" s="1191"/>
      <c r="N117" s="1191"/>
      <c r="O117" s="1191"/>
      <c r="P117" s="1191"/>
      <c r="Q117" s="1191"/>
      <c r="R117" s="1191"/>
      <c r="S117" s="1191"/>
      <c r="T117" s="1191"/>
      <c r="U117" s="1191"/>
      <c r="V117" s="1191"/>
      <c r="W117" s="1191"/>
      <c r="X117" s="1191"/>
      <c r="Y117" s="1191"/>
      <c r="Z117" s="1191"/>
      <c r="AA117" s="1191"/>
      <c r="AB117" s="1191"/>
      <c r="AC117" s="1191"/>
      <c r="AD117" s="1191"/>
      <c r="AE117" s="1191"/>
      <c r="AF117" s="1191"/>
      <c r="AG117" s="1191"/>
      <c r="AH117" s="1191"/>
      <c r="AI117" s="1191"/>
      <c r="AJ117" s="1191"/>
      <c r="AK117" s="1191"/>
      <c r="AL117" s="1191"/>
      <c r="AM117" s="1191"/>
      <c r="AN117" s="1191"/>
      <c r="AO117" s="1191"/>
      <c r="AP117" s="1188"/>
    </row>
    <row r="118" spans="1:42">
      <c r="A118" s="1188"/>
      <c r="B118" s="1188"/>
      <c r="C118" s="1188"/>
      <c r="D118" s="1188"/>
      <c r="E118" s="1188"/>
      <c r="F118" s="1188"/>
      <c r="G118" s="1188"/>
      <c r="H118" s="1188"/>
      <c r="I118" s="1191"/>
      <c r="J118" s="1191"/>
      <c r="K118" s="1191"/>
      <c r="L118" s="1191"/>
      <c r="M118" s="1191"/>
      <c r="N118" s="1191"/>
      <c r="O118" s="1191"/>
      <c r="P118" s="1191"/>
      <c r="Q118" s="1191"/>
      <c r="R118" s="1191"/>
      <c r="S118" s="1191"/>
      <c r="T118" s="1191"/>
      <c r="U118" s="1191"/>
      <c r="V118" s="1191"/>
      <c r="W118" s="1191"/>
      <c r="X118" s="1191"/>
      <c r="Y118" s="1191"/>
      <c r="Z118" s="1191"/>
      <c r="AA118" s="1191"/>
      <c r="AB118" s="1191"/>
      <c r="AC118" s="1191"/>
      <c r="AD118" s="1191"/>
      <c r="AE118" s="1191"/>
      <c r="AF118" s="1191"/>
      <c r="AG118" s="1191"/>
      <c r="AH118" s="1191"/>
      <c r="AI118" s="1191"/>
      <c r="AJ118" s="1191"/>
      <c r="AK118" s="1191"/>
      <c r="AL118" s="1191"/>
      <c r="AM118" s="1191"/>
      <c r="AN118" s="1191"/>
      <c r="AO118" s="1191"/>
      <c r="AP118" s="1188"/>
    </row>
    <row r="119" spans="1:42">
      <c r="A119" s="1188"/>
      <c r="B119" s="1188"/>
      <c r="C119" s="1188"/>
      <c r="D119" s="1188"/>
      <c r="E119" s="1188"/>
      <c r="F119" s="1188"/>
      <c r="G119" s="1188"/>
      <c r="H119" s="1188"/>
      <c r="I119" s="1191"/>
      <c r="J119" s="1191"/>
      <c r="K119" s="1191"/>
      <c r="L119" s="1191"/>
      <c r="M119" s="1191"/>
      <c r="N119" s="1191"/>
      <c r="O119" s="1191"/>
      <c r="P119" s="1191"/>
      <c r="Q119" s="1191"/>
      <c r="R119" s="1191"/>
      <c r="S119" s="1191"/>
      <c r="T119" s="1191"/>
      <c r="U119" s="1191"/>
      <c r="V119" s="1191"/>
      <c r="W119" s="1191"/>
      <c r="X119" s="1191"/>
      <c r="Y119" s="1191"/>
      <c r="Z119" s="1191"/>
      <c r="AA119" s="1191"/>
      <c r="AB119" s="1191"/>
      <c r="AC119" s="1191"/>
      <c r="AD119" s="1191"/>
      <c r="AE119" s="1191"/>
      <c r="AF119" s="1191"/>
      <c r="AG119" s="1191"/>
      <c r="AH119" s="1191"/>
      <c r="AI119" s="1191"/>
      <c r="AJ119" s="1191"/>
      <c r="AK119" s="1191"/>
      <c r="AL119" s="1191"/>
      <c r="AM119" s="1191"/>
      <c r="AN119" s="1191"/>
      <c r="AO119" s="1191"/>
      <c r="AP119" s="1188"/>
    </row>
    <row r="120" spans="1:42">
      <c r="A120" s="1188"/>
      <c r="B120" s="1188"/>
      <c r="C120" s="1188"/>
      <c r="D120" s="1188"/>
      <c r="E120" s="1188"/>
      <c r="F120" s="1188"/>
      <c r="G120" s="1188"/>
      <c r="H120" s="1188"/>
      <c r="I120" s="1191"/>
      <c r="J120" s="1191"/>
      <c r="K120" s="1191"/>
      <c r="L120" s="1191"/>
      <c r="M120" s="1191"/>
      <c r="N120" s="1191"/>
      <c r="O120" s="1191"/>
      <c r="P120" s="1191"/>
      <c r="Q120" s="1191"/>
      <c r="R120" s="1191"/>
      <c r="S120" s="1191"/>
      <c r="T120" s="1191"/>
      <c r="U120" s="1191"/>
      <c r="V120" s="1191"/>
      <c r="W120" s="1191"/>
      <c r="X120" s="1191"/>
      <c r="Y120" s="1191"/>
      <c r="Z120" s="1191"/>
      <c r="AA120" s="1191"/>
      <c r="AB120" s="1191"/>
      <c r="AC120" s="1191"/>
      <c r="AD120" s="1191"/>
      <c r="AE120" s="1191"/>
      <c r="AF120" s="1191"/>
      <c r="AG120" s="1191"/>
      <c r="AH120" s="1191"/>
      <c r="AI120" s="1191"/>
      <c r="AJ120" s="1191"/>
      <c r="AK120" s="1191"/>
      <c r="AL120" s="1191"/>
      <c r="AM120" s="1191"/>
      <c r="AN120" s="1191"/>
      <c r="AO120" s="1191"/>
      <c r="AP120" s="1188"/>
    </row>
    <row r="121" spans="1:42">
      <c r="A121" s="1188"/>
      <c r="B121" s="1188"/>
      <c r="C121" s="1188"/>
      <c r="D121" s="1188"/>
      <c r="E121" s="1188"/>
      <c r="F121" s="1188"/>
      <c r="G121" s="1188"/>
      <c r="H121" s="1188"/>
      <c r="I121" s="1191"/>
      <c r="J121" s="1191"/>
      <c r="K121" s="1191"/>
      <c r="L121" s="1191"/>
      <c r="M121" s="1191"/>
      <c r="N121" s="1191"/>
      <c r="O121" s="1191"/>
      <c r="P121" s="1191"/>
      <c r="Q121" s="1191"/>
      <c r="R121" s="1191"/>
      <c r="S121" s="1191"/>
      <c r="T121" s="1191"/>
      <c r="U121" s="1191"/>
      <c r="V121" s="1191"/>
      <c r="W121" s="1191"/>
      <c r="X121" s="1191"/>
      <c r="Y121" s="1191"/>
      <c r="Z121" s="1191"/>
      <c r="AA121" s="1191"/>
      <c r="AB121" s="1191"/>
      <c r="AC121" s="1191"/>
      <c r="AD121" s="1191"/>
      <c r="AE121" s="1191"/>
      <c r="AF121" s="1191"/>
      <c r="AG121" s="1191"/>
      <c r="AH121" s="1191"/>
      <c r="AI121" s="1191"/>
      <c r="AJ121" s="1191"/>
      <c r="AK121" s="1191"/>
      <c r="AL121" s="1191"/>
      <c r="AM121" s="1191"/>
      <c r="AN121" s="1191"/>
      <c r="AO121" s="1191"/>
      <c r="AP121" s="1188"/>
    </row>
    <row r="122" spans="1:42">
      <c r="A122" s="1188"/>
      <c r="B122" s="1188"/>
      <c r="C122" s="1188"/>
      <c r="D122" s="1188"/>
      <c r="E122" s="1188"/>
      <c r="F122" s="1188"/>
      <c r="G122" s="1188"/>
      <c r="H122" s="1188"/>
      <c r="I122" s="1191"/>
      <c r="J122" s="1191"/>
      <c r="K122" s="1191"/>
      <c r="L122" s="1191"/>
      <c r="M122" s="1191"/>
      <c r="N122" s="1191"/>
      <c r="O122" s="1191"/>
      <c r="P122" s="1191"/>
      <c r="Q122" s="1191"/>
      <c r="R122" s="1191"/>
      <c r="S122" s="1191"/>
      <c r="T122" s="1191"/>
      <c r="U122" s="1191"/>
      <c r="V122" s="1191"/>
      <c r="W122" s="1191"/>
      <c r="X122" s="1191"/>
      <c r="Y122" s="1191"/>
      <c r="Z122" s="1191"/>
      <c r="AA122" s="1191"/>
      <c r="AB122" s="1191"/>
      <c r="AC122" s="1191"/>
      <c r="AD122" s="1191"/>
      <c r="AE122" s="1191"/>
      <c r="AF122" s="1191"/>
      <c r="AG122" s="1191"/>
      <c r="AH122" s="1191"/>
      <c r="AI122" s="1191"/>
      <c r="AJ122" s="1191"/>
      <c r="AK122" s="1191"/>
      <c r="AL122" s="1191"/>
      <c r="AM122" s="1191"/>
      <c r="AN122" s="1191"/>
      <c r="AO122" s="1191"/>
      <c r="AP122" s="1188"/>
    </row>
    <row r="123" spans="1:42">
      <c r="A123" s="1188"/>
      <c r="B123" s="1188"/>
      <c r="C123" s="1188"/>
      <c r="D123" s="1188"/>
      <c r="E123" s="1188"/>
      <c r="F123" s="1188"/>
      <c r="G123" s="1188"/>
      <c r="H123" s="1188"/>
      <c r="I123" s="1191"/>
      <c r="J123" s="1191"/>
      <c r="K123" s="1191"/>
      <c r="L123" s="1191"/>
      <c r="M123" s="1191"/>
      <c r="N123" s="1191"/>
      <c r="O123" s="1191"/>
      <c r="P123" s="1191"/>
      <c r="Q123" s="1191"/>
      <c r="R123" s="1191"/>
      <c r="S123" s="1191"/>
      <c r="T123" s="1191"/>
      <c r="U123" s="1191"/>
      <c r="V123" s="1191"/>
      <c r="W123" s="1191"/>
      <c r="X123" s="1191"/>
      <c r="Y123" s="1191"/>
      <c r="Z123" s="1191"/>
      <c r="AA123" s="1191"/>
      <c r="AB123" s="1191"/>
      <c r="AC123" s="1191"/>
      <c r="AD123" s="1191"/>
      <c r="AE123" s="1191"/>
      <c r="AF123" s="1191"/>
      <c r="AG123" s="1191"/>
      <c r="AH123" s="1191"/>
      <c r="AI123" s="1191"/>
      <c r="AJ123" s="1191"/>
      <c r="AK123" s="1191"/>
      <c r="AL123" s="1191"/>
      <c r="AM123" s="1191"/>
      <c r="AN123" s="1191"/>
      <c r="AO123" s="1191"/>
      <c r="AP123" s="1188"/>
    </row>
    <row r="124" spans="1:42">
      <c r="A124" s="1188"/>
      <c r="B124" s="1188"/>
      <c r="C124" s="1188"/>
      <c r="D124" s="1188"/>
      <c r="E124" s="1188"/>
      <c r="F124" s="1188"/>
      <c r="G124" s="1188"/>
      <c r="H124" s="1188"/>
      <c r="I124" s="1191"/>
      <c r="J124" s="1191"/>
      <c r="K124" s="1191"/>
      <c r="L124" s="1191"/>
      <c r="M124" s="1191"/>
      <c r="N124" s="1191"/>
      <c r="O124" s="1191"/>
      <c r="P124" s="1191"/>
      <c r="Q124" s="1191"/>
      <c r="R124" s="1191"/>
      <c r="S124" s="1191"/>
      <c r="T124" s="1191"/>
      <c r="U124" s="1191"/>
      <c r="V124" s="1191"/>
      <c r="W124" s="1191"/>
      <c r="X124" s="1191"/>
      <c r="Y124" s="1191"/>
      <c r="Z124" s="1191"/>
      <c r="AA124" s="1191"/>
      <c r="AB124" s="1191"/>
      <c r="AC124" s="1191"/>
      <c r="AD124" s="1191"/>
      <c r="AE124" s="1191"/>
      <c r="AF124" s="1191"/>
      <c r="AG124" s="1191"/>
      <c r="AH124" s="1191"/>
      <c r="AI124" s="1191"/>
      <c r="AJ124" s="1191"/>
      <c r="AK124" s="1191"/>
      <c r="AL124" s="1191"/>
      <c r="AM124" s="1191"/>
      <c r="AN124" s="1191"/>
      <c r="AO124" s="1191"/>
      <c r="AP124" s="1188"/>
    </row>
    <row r="125" spans="1:42">
      <c r="A125" s="1188"/>
      <c r="B125" s="1188"/>
      <c r="C125" s="1188"/>
      <c r="D125" s="1188"/>
      <c r="E125" s="1188"/>
      <c r="F125" s="1188"/>
      <c r="G125" s="1188"/>
      <c r="H125" s="1188"/>
      <c r="I125" s="1191"/>
      <c r="J125" s="1191"/>
      <c r="K125" s="1191"/>
      <c r="L125" s="1191"/>
      <c r="M125" s="1191"/>
      <c r="N125" s="1191"/>
      <c r="O125" s="1191"/>
      <c r="P125" s="1191"/>
      <c r="Q125" s="1191"/>
      <c r="R125" s="1191"/>
      <c r="S125" s="1191"/>
      <c r="T125" s="1191"/>
      <c r="U125" s="1191"/>
      <c r="V125" s="1191"/>
      <c r="W125" s="1191"/>
      <c r="X125" s="1191"/>
      <c r="Y125" s="1191"/>
      <c r="Z125" s="1191"/>
      <c r="AA125" s="1191"/>
      <c r="AB125" s="1191"/>
      <c r="AC125" s="1191"/>
      <c r="AD125" s="1191"/>
      <c r="AE125" s="1191"/>
      <c r="AF125" s="1191"/>
      <c r="AG125" s="1191"/>
      <c r="AH125" s="1191"/>
      <c r="AI125" s="1191"/>
      <c r="AJ125" s="1191"/>
      <c r="AK125" s="1191"/>
      <c r="AL125" s="1191"/>
      <c r="AM125" s="1191"/>
      <c r="AN125" s="1191"/>
      <c r="AO125" s="1191"/>
      <c r="AP125" s="1188"/>
    </row>
    <row r="126" spans="1:42">
      <c r="A126" s="1188"/>
      <c r="B126" s="1188"/>
      <c r="C126" s="1188"/>
      <c r="D126" s="1188"/>
      <c r="E126" s="1188"/>
      <c r="F126" s="1188"/>
      <c r="G126" s="1188"/>
      <c r="H126" s="1188"/>
      <c r="I126" s="1191"/>
      <c r="J126" s="1191"/>
      <c r="K126" s="1191"/>
      <c r="L126" s="1191"/>
      <c r="M126" s="1191"/>
      <c r="N126" s="1191"/>
      <c r="O126" s="1191"/>
      <c r="P126" s="1191"/>
      <c r="Q126" s="1191"/>
      <c r="R126" s="1191"/>
      <c r="S126" s="1191"/>
      <c r="T126" s="1191"/>
      <c r="U126" s="1191"/>
      <c r="V126" s="1191"/>
      <c r="W126" s="1191"/>
      <c r="X126" s="1191"/>
      <c r="Y126" s="1191"/>
      <c r="Z126" s="1191"/>
      <c r="AA126" s="1191"/>
      <c r="AB126" s="1191"/>
      <c r="AC126" s="1191"/>
      <c r="AD126" s="1191"/>
      <c r="AE126" s="1191"/>
      <c r="AF126" s="1191"/>
      <c r="AG126" s="1191"/>
      <c r="AH126" s="1191"/>
      <c r="AI126" s="1191"/>
      <c r="AJ126" s="1191"/>
      <c r="AK126" s="1191"/>
      <c r="AL126" s="1191"/>
      <c r="AM126" s="1191"/>
      <c r="AN126" s="1191"/>
      <c r="AO126" s="1191"/>
      <c r="AP126" s="1188"/>
    </row>
    <row r="127" spans="1:42">
      <c r="A127" s="1188"/>
      <c r="B127" s="1188"/>
      <c r="C127" s="1188"/>
      <c r="D127" s="1188"/>
      <c r="E127" s="1188"/>
      <c r="F127" s="1188"/>
      <c r="G127" s="1188"/>
      <c r="H127" s="1188"/>
      <c r="I127" s="1191"/>
      <c r="J127" s="1191"/>
      <c r="K127" s="1191"/>
      <c r="L127" s="1191"/>
      <c r="M127" s="1191"/>
      <c r="N127" s="1191"/>
      <c r="O127" s="1191"/>
      <c r="P127" s="1191"/>
      <c r="Q127" s="1191"/>
      <c r="R127" s="1191"/>
      <c r="S127" s="1191"/>
      <c r="T127" s="1191"/>
      <c r="U127" s="1191"/>
      <c r="V127" s="1191"/>
      <c r="W127" s="1191"/>
      <c r="X127" s="1191"/>
      <c r="Y127" s="1191"/>
      <c r="Z127" s="1191"/>
      <c r="AA127" s="1191"/>
      <c r="AB127" s="1191"/>
      <c r="AC127" s="1191"/>
      <c r="AD127" s="1191"/>
      <c r="AE127" s="1191"/>
      <c r="AF127" s="1191"/>
      <c r="AG127" s="1191"/>
      <c r="AH127" s="1191"/>
      <c r="AI127" s="1191"/>
      <c r="AJ127" s="1191"/>
      <c r="AK127" s="1191"/>
      <c r="AL127" s="1191"/>
      <c r="AM127" s="1191"/>
      <c r="AN127" s="1191"/>
      <c r="AO127" s="1191"/>
      <c r="AP127" s="1188"/>
    </row>
    <row r="128" spans="1:42">
      <c r="A128" s="1188"/>
      <c r="B128" s="1188"/>
      <c r="C128" s="1188"/>
      <c r="D128" s="1188"/>
      <c r="E128" s="1188"/>
      <c r="F128" s="1188"/>
      <c r="G128" s="1188"/>
      <c r="H128" s="1188"/>
      <c r="I128" s="1191"/>
      <c r="J128" s="1191"/>
      <c r="K128" s="1191"/>
      <c r="L128" s="1191"/>
      <c r="M128" s="1191"/>
      <c r="N128" s="1191"/>
      <c r="O128" s="1191"/>
      <c r="P128" s="1191"/>
      <c r="Q128" s="1191"/>
      <c r="R128" s="1191"/>
      <c r="S128" s="1191"/>
      <c r="T128" s="1191"/>
      <c r="U128" s="1191"/>
      <c r="V128" s="1191"/>
      <c r="W128" s="1191"/>
      <c r="X128" s="1191"/>
      <c r="Y128" s="1191"/>
      <c r="Z128" s="1191"/>
      <c r="AA128" s="1191"/>
      <c r="AB128" s="1191"/>
      <c r="AC128" s="1191"/>
      <c r="AD128" s="1191"/>
      <c r="AE128" s="1191"/>
      <c r="AF128" s="1191"/>
      <c r="AG128" s="1191"/>
      <c r="AH128" s="1191"/>
      <c r="AI128" s="1191"/>
      <c r="AJ128" s="1191"/>
      <c r="AK128" s="1191"/>
      <c r="AL128" s="1191"/>
      <c r="AM128" s="1191"/>
      <c r="AN128" s="1191"/>
      <c r="AO128" s="1191"/>
      <c r="AP128" s="1188"/>
    </row>
    <row r="129" spans="1:42">
      <c r="A129" s="1188"/>
      <c r="B129" s="1188"/>
      <c r="C129" s="1188"/>
      <c r="D129" s="1188"/>
      <c r="E129" s="1188"/>
      <c r="F129" s="1188"/>
      <c r="G129" s="1188"/>
      <c r="H129" s="1188"/>
      <c r="I129" s="1191"/>
      <c r="J129" s="1191"/>
      <c r="K129" s="1191"/>
      <c r="L129" s="1191"/>
      <c r="M129" s="1191"/>
      <c r="N129" s="1191"/>
      <c r="O129" s="1191"/>
      <c r="P129" s="1191"/>
      <c r="Q129" s="1191"/>
      <c r="R129" s="1191"/>
      <c r="S129" s="1191"/>
      <c r="T129" s="1191"/>
      <c r="U129" s="1191"/>
      <c r="V129" s="1191"/>
      <c r="W129" s="1191"/>
      <c r="X129" s="1191"/>
      <c r="Y129" s="1191"/>
      <c r="Z129" s="1191"/>
      <c r="AA129" s="1191"/>
      <c r="AB129" s="1191"/>
      <c r="AC129" s="1191"/>
      <c r="AD129" s="1191"/>
      <c r="AE129" s="1191"/>
      <c r="AF129" s="1191"/>
      <c r="AG129" s="1191"/>
      <c r="AH129" s="1191"/>
      <c r="AI129" s="1191"/>
      <c r="AJ129" s="1191"/>
      <c r="AK129" s="1191"/>
      <c r="AL129" s="1191"/>
      <c r="AM129" s="1191"/>
      <c r="AN129" s="1191"/>
      <c r="AO129" s="1191"/>
      <c r="AP129" s="1188"/>
    </row>
    <row r="130" spans="1:42">
      <c r="A130" s="1188"/>
      <c r="B130" s="1188"/>
      <c r="C130" s="1188"/>
      <c r="D130" s="1188"/>
      <c r="E130" s="1188"/>
      <c r="F130" s="1188"/>
      <c r="G130" s="1188"/>
      <c r="H130" s="1188"/>
      <c r="I130" s="1191"/>
      <c r="J130" s="1191"/>
      <c r="K130" s="1191"/>
      <c r="L130" s="1191"/>
      <c r="M130" s="1191"/>
      <c r="N130" s="1191"/>
      <c r="O130" s="1191"/>
      <c r="P130" s="1191"/>
      <c r="Q130" s="1191"/>
      <c r="R130" s="1191"/>
      <c r="S130" s="1191"/>
      <c r="T130" s="1191"/>
      <c r="U130" s="1191"/>
      <c r="V130" s="1191"/>
      <c r="W130" s="1191"/>
      <c r="X130" s="1191"/>
      <c r="Y130" s="1191"/>
      <c r="Z130" s="1191"/>
      <c r="AA130" s="1191"/>
      <c r="AB130" s="1191"/>
      <c r="AC130" s="1191"/>
      <c r="AD130" s="1191"/>
      <c r="AE130" s="1191"/>
      <c r="AF130" s="1191"/>
      <c r="AG130" s="1191"/>
      <c r="AH130" s="1191"/>
      <c r="AI130" s="1191"/>
      <c r="AJ130" s="1191"/>
      <c r="AK130" s="1191"/>
      <c r="AL130" s="1191"/>
      <c r="AM130" s="1191"/>
      <c r="AN130" s="1191"/>
      <c r="AO130" s="1191"/>
      <c r="AP130" s="1188"/>
    </row>
    <row r="131" spans="1:42">
      <c r="A131" s="1188"/>
      <c r="B131" s="1188"/>
      <c r="C131" s="1188"/>
      <c r="D131" s="1188"/>
      <c r="E131" s="1188"/>
      <c r="F131" s="1188"/>
      <c r="G131" s="1188"/>
      <c r="H131" s="1188"/>
      <c r="I131" s="1191"/>
      <c r="J131" s="1191"/>
      <c r="K131" s="1191"/>
      <c r="L131" s="1191"/>
      <c r="M131" s="1191"/>
      <c r="N131" s="1191"/>
      <c r="O131" s="1191"/>
      <c r="P131" s="1191"/>
      <c r="Q131" s="1191"/>
      <c r="R131" s="1191"/>
      <c r="S131" s="1191"/>
      <c r="T131" s="1191"/>
      <c r="U131" s="1191"/>
      <c r="V131" s="1191"/>
      <c r="W131" s="1191"/>
      <c r="X131" s="1191"/>
      <c r="Y131" s="1191"/>
      <c r="Z131" s="1191"/>
      <c r="AA131" s="1191"/>
      <c r="AB131" s="1191"/>
      <c r="AC131" s="1191"/>
      <c r="AD131" s="1191"/>
      <c r="AE131" s="1191"/>
      <c r="AF131" s="1191"/>
      <c r="AG131" s="1191"/>
      <c r="AH131" s="1191"/>
      <c r="AI131" s="1191"/>
      <c r="AJ131" s="1191"/>
      <c r="AK131" s="1191"/>
      <c r="AL131" s="1191"/>
      <c r="AM131" s="1191"/>
      <c r="AN131" s="1191"/>
      <c r="AO131" s="1191"/>
      <c r="AP131" s="1188"/>
    </row>
    <row r="132" spans="1:42">
      <c r="A132" s="1188"/>
      <c r="B132" s="1188"/>
      <c r="C132" s="1188"/>
      <c r="D132" s="1188"/>
      <c r="E132" s="1188"/>
      <c r="F132" s="1188"/>
      <c r="G132" s="1188"/>
      <c r="H132" s="1188"/>
      <c r="I132" s="1191"/>
      <c r="J132" s="1191"/>
      <c r="K132" s="1191"/>
      <c r="L132" s="1191"/>
      <c r="M132" s="1191"/>
      <c r="N132" s="1191"/>
      <c r="O132" s="1191"/>
      <c r="P132" s="1191"/>
      <c r="Q132" s="1191"/>
      <c r="R132" s="1191"/>
      <c r="S132" s="1191"/>
      <c r="T132" s="1191"/>
      <c r="U132" s="1191"/>
      <c r="V132" s="1191"/>
      <c r="W132" s="1191"/>
      <c r="X132" s="1191"/>
      <c r="Y132" s="1191"/>
      <c r="Z132" s="1191"/>
      <c r="AA132" s="1191"/>
      <c r="AB132" s="1191"/>
      <c r="AC132" s="1191"/>
      <c r="AD132" s="1191"/>
      <c r="AE132" s="1191"/>
      <c r="AF132" s="1191"/>
      <c r="AG132" s="1191"/>
      <c r="AH132" s="1191"/>
      <c r="AI132" s="1191"/>
      <c r="AJ132" s="1191"/>
      <c r="AK132" s="1191"/>
      <c r="AL132" s="1191"/>
      <c r="AM132" s="1191"/>
      <c r="AN132" s="1191"/>
      <c r="AO132" s="1191"/>
      <c r="AP132" s="1188"/>
    </row>
    <row r="133" spans="1:42">
      <c r="A133" s="1188"/>
      <c r="B133" s="1188"/>
      <c r="C133" s="1188"/>
      <c r="D133" s="1188"/>
      <c r="E133" s="1188"/>
      <c r="F133" s="1188"/>
      <c r="G133" s="1188"/>
      <c r="H133" s="1188"/>
      <c r="I133" s="1191"/>
      <c r="J133" s="1191"/>
      <c r="K133" s="1191"/>
      <c r="L133" s="1191"/>
      <c r="M133" s="1191"/>
      <c r="N133" s="1191"/>
      <c r="O133" s="1191"/>
      <c r="P133" s="1191"/>
      <c r="Q133" s="1191"/>
      <c r="R133" s="1191"/>
      <c r="S133" s="1191"/>
      <c r="T133" s="1191"/>
      <c r="U133" s="1191"/>
      <c r="V133" s="1191"/>
      <c r="W133" s="1191"/>
      <c r="X133" s="1191"/>
      <c r="Y133" s="1191"/>
      <c r="Z133" s="1191"/>
      <c r="AA133" s="1191"/>
      <c r="AB133" s="1191"/>
      <c r="AC133" s="1191"/>
      <c r="AD133" s="1191"/>
      <c r="AE133" s="1191"/>
      <c r="AF133" s="1191"/>
      <c r="AG133" s="1191"/>
      <c r="AH133" s="1191"/>
      <c r="AI133" s="1191"/>
      <c r="AJ133" s="1191"/>
      <c r="AK133" s="1191"/>
      <c r="AL133" s="1191"/>
      <c r="AM133" s="1191"/>
      <c r="AN133" s="1191"/>
      <c r="AO133" s="1191"/>
      <c r="AP133" s="1188"/>
    </row>
    <row r="134" spans="1:42">
      <c r="A134" s="1188"/>
      <c r="B134" s="1188"/>
      <c r="C134" s="1188"/>
      <c r="D134" s="1188"/>
      <c r="E134" s="1188"/>
      <c r="F134" s="1188"/>
      <c r="G134" s="1188"/>
      <c r="H134" s="1188"/>
      <c r="I134" s="1191"/>
      <c r="J134" s="1191"/>
      <c r="K134" s="1191"/>
      <c r="L134" s="1191"/>
      <c r="M134" s="1191"/>
      <c r="N134" s="1191"/>
      <c r="O134" s="1191"/>
      <c r="P134" s="1191"/>
      <c r="Q134" s="1191"/>
      <c r="R134" s="1191"/>
      <c r="S134" s="1191"/>
      <c r="T134" s="1191"/>
      <c r="U134" s="1191"/>
      <c r="V134" s="1191"/>
      <c r="W134" s="1191"/>
      <c r="X134" s="1191"/>
      <c r="Y134" s="1191"/>
      <c r="Z134" s="1191"/>
      <c r="AA134" s="1191"/>
      <c r="AB134" s="1191"/>
      <c r="AC134" s="1191"/>
      <c r="AD134" s="1188"/>
      <c r="AE134" s="1188"/>
      <c r="AF134" s="1188"/>
      <c r="AG134" s="1188"/>
      <c r="AH134" s="1188"/>
      <c r="AI134" s="1188"/>
      <c r="AJ134" s="1188"/>
      <c r="AK134" s="1188"/>
      <c r="AL134" s="1188"/>
      <c r="AM134" s="1188"/>
      <c r="AN134" s="1188"/>
      <c r="AO134" s="1188"/>
      <c r="AP134" s="1188"/>
    </row>
    <row r="135" spans="1:42">
      <c r="A135" s="1188"/>
      <c r="B135" s="1188"/>
      <c r="C135" s="1188"/>
      <c r="D135" s="1188"/>
      <c r="E135" s="1188"/>
      <c r="F135" s="1188"/>
      <c r="G135" s="1188"/>
      <c r="H135" s="1188"/>
      <c r="I135" s="1191"/>
      <c r="J135" s="1191"/>
      <c r="K135" s="1191"/>
      <c r="L135" s="1191"/>
      <c r="M135" s="1191"/>
      <c r="N135" s="1191"/>
      <c r="O135" s="1191"/>
      <c r="P135" s="1191"/>
      <c r="Q135" s="1191"/>
      <c r="R135" s="1191"/>
      <c r="S135" s="1191"/>
      <c r="T135" s="1191"/>
      <c r="U135" s="1191"/>
      <c r="V135" s="1191"/>
      <c r="W135" s="1191"/>
      <c r="X135" s="1191"/>
      <c r="Y135" s="1191"/>
      <c r="Z135" s="1191"/>
      <c r="AA135" s="1191"/>
      <c r="AB135" s="1191"/>
      <c r="AC135" s="1191"/>
      <c r="AD135" s="1188"/>
      <c r="AE135" s="1188"/>
      <c r="AF135" s="1188"/>
      <c r="AG135" s="1188"/>
      <c r="AH135" s="1188"/>
      <c r="AI135" s="1188"/>
      <c r="AJ135" s="1188"/>
      <c r="AK135" s="1188"/>
      <c r="AL135" s="1188"/>
      <c r="AM135" s="1188"/>
      <c r="AN135" s="1188"/>
      <c r="AO135" s="1188"/>
      <c r="AP135" s="1188"/>
    </row>
    <row r="136" spans="1:42">
      <c r="A136" s="1188"/>
      <c r="B136" s="1188"/>
      <c r="C136" s="1188"/>
      <c r="D136" s="1188"/>
      <c r="E136" s="1188"/>
      <c r="F136" s="1188"/>
      <c r="G136" s="1188"/>
      <c r="H136" s="1188"/>
      <c r="I136" s="1191"/>
      <c r="J136" s="1191"/>
      <c r="K136" s="1191"/>
      <c r="L136" s="1191"/>
      <c r="M136" s="1191"/>
      <c r="N136" s="1191"/>
      <c r="O136" s="1191"/>
      <c r="P136" s="1191"/>
      <c r="Q136" s="1191"/>
      <c r="R136" s="1191"/>
      <c r="S136" s="1191"/>
      <c r="T136" s="1191"/>
      <c r="U136" s="1191"/>
      <c r="V136" s="1191"/>
      <c r="W136" s="1191"/>
      <c r="X136" s="1191"/>
      <c r="Y136" s="1191"/>
      <c r="Z136" s="1191"/>
      <c r="AA136" s="1191"/>
      <c r="AB136" s="1191"/>
      <c r="AC136" s="1191"/>
      <c r="AD136" s="1188"/>
      <c r="AE136" s="1188"/>
      <c r="AF136" s="1188"/>
      <c r="AG136" s="1188"/>
      <c r="AH136" s="1188"/>
      <c r="AI136" s="1188"/>
      <c r="AJ136" s="1188"/>
      <c r="AK136" s="1188"/>
      <c r="AL136" s="1188"/>
      <c r="AM136" s="1188"/>
      <c r="AN136" s="1188"/>
      <c r="AO136" s="1188"/>
      <c r="AP136" s="1188"/>
    </row>
    <row r="137" spans="1:42">
      <c r="A137" s="1188"/>
      <c r="B137" s="1188"/>
      <c r="C137" s="1188"/>
      <c r="D137" s="1188"/>
      <c r="E137" s="1188"/>
      <c r="F137" s="1188"/>
      <c r="G137" s="1188"/>
      <c r="H137" s="1188"/>
      <c r="I137" s="1191"/>
      <c r="J137" s="1191"/>
      <c r="K137" s="1191"/>
      <c r="L137" s="1191"/>
      <c r="M137" s="1191"/>
      <c r="N137" s="1191"/>
      <c r="O137" s="1191"/>
      <c r="P137" s="1191"/>
      <c r="Q137" s="1191"/>
      <c r="R137" s="1191"/>
      <c r="S137" s="1191"/>
      <c r="T137" s="1191"/>
      <c r="U137" s="1191"/>
      <c r="V137" s="1191"/>
      <c r="W137" s="1191"/>
      <c r="X137" s="1191"/>
      <c r="Y137" s="1191"/>
      <c r="Z137" s="1191"/>
      <c r="AA137" s="1191"/>
      <c r="AB137" s="1191"/>
      <c r="AC137" s="1191"/>
      <c r="AD137" s="1188"/>
      <c r="AE137" s="1188"/>
      <c r="AF137" s="1188"/>
      <c r="AG137" s="1188"/>
      <c r="AH137" s="1188"/>
      <c r="AI137" s="1188"/>
      <c r="AJ137" s="1188"/>
      <c r="AK137" s="1188"/>
      <c r="AL137" s="1188"/>
      <c r="AM137" s="1188"/>
      <c r="AN137" s="1188"/>
      <c r="AO137" s="1188"/>
      <c r="AP137" s="1188"/>
    </row>
    <row r="138" spans="1:42">
      <c r="A138" s="1188"/>
      <c r="B138" s="1188"/>
      <c r="C138" s="1188"/>
      <c r="D138" s="1188"/>
      <c r="E138" s="1188"/>
      <c r="F138" s="1188"/>
      <c r="G138" s="1188"/>
      <c r="H138" s="1188"/>
      <c r="I138" s="1191"/>
      <c r="J138" s="1191"/>
      <c r="K138" s="1191"/>
      <c r="L138" s="1191"/>
      <c r="M138" s="1191"/>
      <c r="N138" s="1191"/>
      <c r="O138" s="1191"/>
      <c r="P138" s="1191"/>
      <c r="Q138" s="1191"/>
      <c r="R138" s="1191"/>
      <c r="S138" s="1191"/>
      <c r="T138" s="1191"/>
      <c r="U138" s="1191"/>
      <c r="V138" s="1191"/>
      <c r="W138" s="1191"/>
      <c r="X138" s="1191"/>
      <c r="Y138" s="1191"/>
      <c r="Z138" s="1191"/>
      <c r="AA138" s="1191"/>
      <c r="AB138" s="1191"/>
      <c r="AC138" s="1191"/>
      <c r="AD138" s="1188"/>
      <c r="AE138" s="1188"/>
      <c r="AF138" s="1188"/>
      <c r="AG138" s="1188"/>
      <c r="AH138" s="1188"/>
      <c r="AI138" s="1188"/>
      <c r="AJ138" s="1188"/>
      <c r="AK138" s="1188"/>
      <c r="AL138" s="1188"/>
      <c r="AM138" s="1188"/>
      <c r="AN138" s="1188"/>
      <c r="AO138" s="1188"/>
      <c r="AP138" s="1188"/>
    </row>
    <row r="139" spans="1:42">
      <c r="A139" s="1188"/>
      <c r="B139" s="1188"/>
      <c r="C139" s="1188"/>
      <c r="D139" s="1188"/>
      <c r="E139" s="1188"/>
      <c r="F139" s="1188"/>
      <c r="G139" s="1188"/>
      <c r="H139" s="1188"/>
      <c r="I139" s="1191"/>
      <c r="J139" s="1191"/>
      <c r="K139" s="1191"/>
      <c r="L139" s="1191"/>
      <c r="M139" s="1191"/>
      <c r="N139" s="1191"/>
      <c r="O139" s="1191"/>
      <c r="P139" s="1191"/>
      <c r="Q139" s="1191"/>
      <c r="R139" s="1191"/>
      <c r="S139" s="1191"/>
      <c r="T139" s="1191"/>
      <c r="U139" s="1191"/>
      <c r="V139" s="1191"/>
      <c r="W139" s="1191"/>
      <c r="X139" s="1191"/>
      <c r="Y139" s="1191"/>
      <c r="Z139" s="1191"/>
      <c r="AA139" s="1191"/>
      <c r="AB139" s="1191"/>
      <c r="AC139" s="1191"/>
      <c r="AD139" s="1188"/>
      <c r="AE139" s="1188"/>
      <c r="AF139" s="1188"/>
      <c r="AG139" s="1188"/>
      <c r="AH139" s="1188"/>
      <c r="AI139" s="1188"/>
      <c r="AJ139" s="1188"/>
      <c r="AK139" s="1188"/>
      <c r="AL139" s="1188"/>
      <c r="AM139" s="1188"/>
      <c r="AN139" s="1188"/>
      <c r="AO139" s="1188"/>
      <c r="AP139" s="1188"/>
    </row>
    <row r="140" spans="1:42">
      <c r="A140" s="1188"/>
      <c r="B140" s="1188"/>
      <c r="C140" s="1188"/>
      <c r="D140" s="1188"/>
      <c r="E140" s="1188"/>
      <c r="F140" s="1188"/>
      <c r="G140" s="1188"/>
      <c r="H140" s="1188"/>
      <c r="I140" s="1191"/>
      <c r="J140" s="1191"/>
      <c r="K140" s="1191"/>
      <c r="L140" s="1191"/>
      <c r="M140" s="1191"/>
      <c r="N140" s="1191"/>
      <c r="O140" s="1191"/>
      <c r="P140" s="1191"/>
      <c r="Q140" s="1191"/>
      <c r="R140" s="1191"/>
      <c r="S140" s="1191"/>
      <c r="T140" s="1191"/>
      <c r="U140" s="1191"/>
      <c r="V140" s="1191"/>
      <c r="W140" s="1191"/>
      <c r="X140" s="1191"/>
      <c r="Y140" s="1191"/>
      <c r="Z140" s="1191"/>
      <c r="AA140" s="1191"/>
      <c r="AB140" s="1191"/>
      <c r="AC140" s="1191"/>
      <c r="AD140" s="1188"/>
      <c r="AE140" s="1188"/>
      <c r="AF140" s="1188"/>
      <c r="AG140" s="1188"/>
      <c r="AH140" s="1188"/>
      <c r="AI140" s="1188"/>
      <c r="AJ140" s="1188"/>
      <c r="AK140" s="1188"/>
      <c r="AL140" s="1188"/>
      <c r="AM140" s="1188"/>
      <c r="AN140" s="1188"/>
      <c r="AO140" s="1188"/>
      <c r="AP140" s="1188"/>
    </row>
    <row r="141" spans="1:42">
      <c r="A141" s="1188"/>
      <c r="B141" s="1188"/>
      <c r="C141" s="1188"/>
      <c r="D141" s="1188"/>
      <c r="E141" s="1188"/>
      <c r="F141" s="1188"/>
      <c r="G141" s="1188"/>
      <c r="H141" s="1188"/>
      <c r="I141" s="1191"/>
      <c r="J141" s="1191"/>
      <c r="K141" s="1191"/>
      <c r="L141" s="1191"/>
      <c r="M141" s="1191"/>
      <c r="N141" s="1191"/>
      <c r="O141" s="1191"/>
      <c r="P141" s="1191"/>
      <c r="Q141" s="1191"/>
      <c r="R141" s="1191"/>
      <c r="S141" s="1191"/>
      <c r="T141" s="1191"/>
      <c r="U141" s="1191"/>
      <c r="V141" s="1191"/>
      <c r="W141" s="1191"/>
      <c r="X141" s="1191"/>
      <c r="Y141" s="1191"/>
      <c r="Z141" s="1191"/>
      <c r="AA141" s="1191"/>
      <c r="AB141" s="1191"/>
      <c r="AC141" s="1191"/>
      <c r="AD141" s="1188"/>
      <c r="AE141" s="1188"/>
      <c r="AF141" s="1188"/>
      <c r="AG141" s="1188"/>
      <c r="AH141" s="1188"/>
      <c r="AI141" s="1188"/>
      <c r="AJ141" s="1188"/>
      <c r="AK141" s="1188"/>
      <c r="AL141" s="1188"/>
      <c r="AM141" s="1188"/>
      <c r="AN141" s="1188"/>
      <c r="AO141" s="1188"/>
      <c r="AP141" s="1188"/>
    </row>
    <row r="142" spans="1:42">
      <c r="A142" s="1188"/>
      <c r="B142" s="1188"/>
      <c r="C142" s="1188"/>
      <c r="D142" s="1188"/>
      <c r="E142" s="1188"/>
      <c r="F142" s="1188"/>
      <c r="G142" s="1188"/>
      <c r="H142" s="1188"/>
      <c r="I142" s="1191"/>
      <c r="J142" s="1191"/>
      <c r="K142" s="1191"/>
      <c r="L142" s="1191"/>
      <c r="M142" s="1191"/>
      <c r="N142" s="1191"/>
      <c r="O142" s="1191"/>
      <c r="P142" s="1191"/>
      <c r="Q142" s="1191"/>
      <c r="R142" s="1191"/>
      <c r="S142" s="1191"/>
      <c r="T142" s="1191"/>
      <c r="U142" s="1191"/>
      <c r="V142" s="1191"/>
      <c r="W142" s="1191"/>
      <c r="X142" s="1191"/>
      <c r="Y142" s="1191"/>
      <c r="Z142" s="1191"/>
      <c r="AA142" s="1191"/>
      <c r="AB142" s="1191"/>
      <c r="AC142" s="1191"/>
      <c r="AD142" s="1188"/>
      <c r="AE142" s="1188"/>
      <c r="AF142" s="1188"/>
      <c r="AG142" s="1188"/>
      <c r="AH142" s="1188"/>
      <c r="AI142" s="1188"/>
      <c r="AJ142" s="1188"/>
      <c r="AK142" s="1188"/>
      <c r="AL142" s="1188"/>
      <c r="AM142" s="1188"/>
      <c r="AN142" s="1188"/>
      <c r="AO142" s="1188"/>
      <c r="AP142" s="1188"/>
    </row>
    <row r="143" spans="1:42">
      <c r="A143" s="1188"/>
      <c r="B143" s="1188"/>
      <c r="C143" s="1188"/>
      <c r="D143" s="1188"/>
      <c r="E143" s="1188"/>
      <c r="F143" s="1188"/>
      <c r="G143" s="1188"/>
      <c r="H143" s="1188"/>
      <c r="I143" s="1191"/>
      <c r="J143" s="1191"/>
      <c r="K143" s="1191"/>
      <c r="L143" s="1191"/>
      <c r="M143" s="1191"/>
      <c r="N143" s="1191"/>
      <c r="O143" s="1191"/>
      <c r="P143" s="1191"/>
      <c r="Q143" s="1191"/>
      <c r="R143" s="1191"/>
      <c r="S143" s="1191"/>
      <c r="T143" s="1191"/>
      <c r="U143" s="1191"/>
      <c r="V143" s="1191"/>
      <c r="W143" s="1191"/>
      <c r="X143" s="1191"/>
      <c r="Y143" s="1191"/>
      <c r="Z143" s="1191"/>
      <c r="AA143" s="1191"/>
      <c r="AB143" s="1191"/>
      <c r="AC143" s="1191"/>
      <c r="AD143" s="1188"/>
      <c r="AE143" s="1188"/>
      <c r="AF143" s="1188"/>
      <c r="AG143" s="1188"/>
      <c r="AH143" s="1188"/>
      <c r="AI143" s="1188"/>
      <c r="AJ143" s="1188"/>
      <c r="AK143" s="1188"/>
      <c r="AL143" s="1188"/>
      <c r="AM143" s="1188"/>
      <c r="AN143" s="1188"/>
      <c r="AO143" s="1188"/>
      <c r="AP143" s="1188"/>
    </row>
    <row r="144" spans="1:42">
      <c r="A144" s="1188"/>
      <c r="B144" s="1188"/>
      <c r="C144" s="1188"/>
      <c r="D144" s="1188"/>
      <c r="E144" s="1188"/>
      <c r="F144" s="1188"/>
      <c r="G144" s="1188"/>
      <c r="H144" s="1188"/>
      <c r="I144" s="1191"/>
      <c r="J144" s="1191"/>
      <c r="K144" s="1191"/>
      <c r="L144" s="1191"/>
      <c r="M144" s="1191"/>
      <c r="N144" s="1191"/>
      <c r="O144" s="1191"/>
      <c r="P144" s="1191"/>
      <c r="Q144" s="1191"/>
      <c r="R144" s="1191"/>
      <c r="S144" s="1191"/>
      <c r="T144" s="1191"/>
      <c r="U144" s="1191"/>
      <c r="V144" s="1191"/>
      <c r="W144" s="1191"/>
      <c r="X144" s="1191"/>
      <c r="Y144" s="1191"/>
      <c r="Z144" s="1191"/>
      <c r="AA144" s="1191"/>
      <c r="AB144" s="1191"/>
      <c r="AC144" s="1191"/>
      <c r="AD144" s="1188"/>
      <c r="AE144" s="1188"/>
      <c r="AF144" s="1188"/>
      <c r="AG144" s="1188"/>
      <c r="AH144" s="1188"/>
      <c r="AI144" s="1188"/>
      <c r="AJ144" s="1188"/>
      <c r="AK144" s="1188"/>
      <c r="AL144" s="1188"/>
      <c r="AM144" s="1188"/>
      <c r="AN144" s="1188"/>
      <c r="AO144" s="1188"/>
      <c r="AP144" s="1188"/>
    </row>
    <row r="145" spans="1:42">
      <c r="A145" s="1188"/>
      <c r="B145" s="1188"/>
      <c r="C145" s="1188"/>
      <c r="D145" s="1188"/>
      <c r="E145" s="1188"/>
      <c r="F145" s="1188"/>
      <c r="G145" s="1188"/>
      <c r="H145" s="1188"/>
      <c r="I145" s="1191"/>
      <c r="J145" s="1191"/>
      <c r="K145" s="1191"/>
      <c r="L145" s="1191"/>
      <c r="M145" s="1191"/>
      <c r="N145" s="1191"/>
      <c r="O145" s="1191"/>
      <c r="P145" s="1191"/>
      <c r="Q145" s="1191"/>
      <c r="R145" s="1191"/>
      <c r="S145" s="1191"/>
      <c r="T145" s="1191"/>
      <c r="U145" s="1191"/>
      <c r="V145" s="1191"/>
      <c r="W145" s="1191"/>
      <c r="X145" s="1191"/>
      <c r="Y145" s="1191"/>
      <c r="Z145" s="1191"/>
      <c r="AA145" s="1191"/>
      <c r="AB145" s="1191"/>
      <c r="AC145" s="1191"/>
      <c r="AD145" s="1188"/>
      <c r="AE145" s="1188"/>
      <c r="AF145" s="1188"/>
      <c r="AG145" s="1188"/>
      <c r="AH145" s="1188"/>
      <c r="AI145" s="1188"/>
      <c r="AJ145" s="1188"/>
      <c r="AK145" s="1188"/>
      <c r="AL145" s="1188"/>
      <c r="AM145" s="1188"/>
      <c r="AN145" s="1188"/>
      <c r="AO145" s="1188"/>
      <c r="AP145" s="1188"/>
    </row>
    <row r="146" spans="1:42">
      <c r="A146" s="1188"/>
      <c r="B146" s="1188"/>
      <c r="C146" s="1188"/>
      <c r="D146" s="1188"/>
      <c r="E146" s="1188"/>
      <c r="F146" s="1188"/>
      <c r="G146" s="1188"/>
      <c r="H146" s="1188"/>
      <c r="I146" s="1191"/>
      <c r="J146" s="1191"/>
      <c r="K146" s="1191"/>
      <c r="L146" s="1191"/>
      <c r="M146" s="1191"/>
      <c r="N146" s="1191"/>
      <c r="O146" s="1191"/>
      <c r="P146" s="1191"/>
      <c r="Q146" s="1191"/>
      <c r="R146" s="1191"/>
      <c r="S146" s="1191"/>
      <c r="T146" s="1191"/>
      <c r="U146" s="1191"/>
      <c r="V146" s="1191"/>
      <c r="W146" s="1191"/>
      <c r="X146" s="1191"/>
      <c r="Y146" s="1191"/>
      <c r="Z146" s="1191"/>
      <c r="AA146" s="1191"/>
      <c r="AB146" s="1191"/>
      <c r="AC146" s="1191"/>
      <c r="AD146" s="1188"/>
      <c r="AE146" s="1188"/>
      <c r="AF146" s="1188"/>
      <c r="AG146" s="1188"/>
      <c r="AH146" s="1188"/>
      <c r="AI146" s="1188"/>
      <c r="AJ146" s="1188"/>
      <c r="AK146" s="1188"/>
      <c r="AL146" s="1188"/>
      <c r="AM146" s="1188"/>
      <c r="AN146" s="1188"/>
      <c r="AO146" s="1188"/>
      <c r="AP146" s="1188"/>
    </row>
    <row r="147" spans="1:42">
      <c r="A147" s="1188"/>
      <c r="B147" s="1188"/>
      <c r="C147" s="1188"/>
      <c r="D147" s="1188"/>
      <c r="E147" s="1188"/>
      <c r="F147" s="1188"/>
      <c r="G147" s="1188"/>
      <c r="H147" s="1188"/>
      <c r="I147" s="1191"/>
      <c r="J147" s="1191"/>
      <c r="K147" s="1191"/>
      <c r="L147" s="1191"/>
      <c r="M147" s="1191"/>
      <c r="N147" s="1191"/>
      <c r="O147" s="1191"/>
      <c r="P147" s="1191"/>
      <c r="Q147" s="1191"/>
      <c r="R147" s="1191"/>
      <c r="S147" s="1191"/>
      <c r="T147" s="1191"/>
      <c r="U147" s="1191"/>
      <c r="V147" s="1191"/>
      <c r="W147" s="1191"/>
      <c r="X147" s="1191"/>
      <c r="Y147" s="1191"/>
      <c r="Z147" s="1191"/>
      <c r="AA147" s="1191"/>
      <c r="AB147" s="1191"/>
      <c r="AC147" s="1191"/>
      <c r="AD147" s="1188"/>
      <c r="AE147" s="1188"/>
      <c r="AF147" s="1188"/>
      <c r="AG147" s="1188"/>
      <c r="AH147" s="1188"/>
      <c r="AI147" s="1188"/>
      <c r="AJ147" s="1188"/>
      <c r="AK147" s="1188"/>
      <c r="AL147" s="1188"/>
      <c r="AM147" s="1188"/>
      <c r="AN147" s="1188"/>
      <c r="AO147" s="1188"/>
      <c r="AP147" s="1188"/>
    </row>
    <row r="148" spans="1:42">
      <c r="A148" s="1188"/>
      <c r="B148" s="1188"/>
      <c r="C148" s="1188"/>
      <c r="D148" s="1188"/>
      <c r="E148" s="1188"/>
      <c r="F148" s="1188"/>
      <c r="G148" s="1188"/>
      <c r="H148" s="1188"/>
      <c r="I148" s="1191"/>
      <c r="J148" s="1191"/>
      <c r="K148" s="1191"/>
      <c r="L148" s="1191"/>
      <c r="M148" s="1191"/>
      <c r="N148" s="1191"/>
      <c r="O148" s="1191"/>
      <c r="P148" s="1191"/>
      <c r="Q148" s="1191"/>
      <c r="R148" s="1191"/>
      <c r="S148" s="1191"/>
      <c r="T148" s="1191"/>
      <c r="U148" s="1191"/>
      <c r="V148" s="1191"/>
      <c r="W148" s="1191"/>
      <c r="X148" s="1191"/>
      <c r="Y148" s="1191"/>
      <c r="Z148" s="1191"/>
      <c r="AA148" s="1191"/>
      <c r="AB148" s="1191"/>
      <c r="AC148" s="1191"/>
      <c r="AD148" s="1188"/>
      <c r="AE148" s="1188"/>
      <c r="AF148" s="1188"/>
      <c r="AG148" s="1188"/>
      <c r="AH148" s="1188"/>
      <c r="AI148" s="1188"/>
      <c r="AJ148" s="1188"/>
      <c r="AK148" s="1188"/>
      <c r="AL148" s="1188"/>
      <c r="AM148" s="1188"/>
      <c r="AN148" s="1188"/>
      <c r="AO148" s="1188"/>
      <c r="AP148" s="1188"/>
    </row>
    <row r="149" spans="1:42">
      <c r="A149" s="1188"/>
      <c r="B149" s="1188"/>
      <c r="C149" s="1188"/>
      <c r="D149" s="1188"/>
      <c r="E149" s="1188"/>
      <c r="F149" s="1188"/>
      <c r="G149" s="1188"/>
      <c r="H149" s="1188"/>
      <c r="I149" s="1191"/>
      <c r="J149" s="1191"/>
      <c r="K149" s="1191"/>
      <c r="L149" s="1191"/>
      <c r="M149" s="1191"/>
      <c r="N149" s="1191"/>
      <c r="O149" s="1191"/>
      <c r="P149" s="1191"/>
      <c r="Q149" s="1191"/>
      <c r="R149" s="1191"/>
      <c r="S149" s="1191"/>
      <c r="T149" s="1191"/>
      <c r="U149" s="1191"/>
      <c r="V149" s="1191"/>
      <c r="W149" s="1191"/>
      <c r="X149" s="1191"/>
      <c r="Y149" s="1191"/>
      <c r="Z149" s="1191"/>
      <c r="AA149" s="1191"/>
      <c r="AB149" s="1191"/>
      <c r="AC149" s="1191"/>
      <c r="AD149" s="1188"/>
      <c r="AE149" s="1188"/>
      <c r="AF149" s="1188"/>
      <c r="AG149" s="1188"/>
      <c r="AH149" s="1188"/>
      <c r="AI149" s="1188"/>
      <c r="AJ149" s="1188"/>
      <c r="AK149" s="1188"/>
      <c r="AL149" s="1188"/>
      <c r="AM149" s="1188"/>
      <c r="AN149" s="1188"/>
      <c r="AO149" s="1188"/>
      <c r="AP149" s="1188"/>
    </row>
    <row r="150" spans="1:42">
      <c r="A150" s="1188"/>
      <c r="B150" s="1188"/>
      <c r="C150" s="1188"/>
      <c r="D150" s="1188"/>
      <c r="E150" s="1188"/>
      <c r="F150" s="1188"/>
      <c r="G150" s="1188"/>
      <c r="H150" s="1188"/>
      <c r="I150" s="1191"/>
      <c r="J150" s="1191"/>
      <c r="K150" s="1191"/>
      <c r="L150" s="1191"/>
      <c r="M150" s="1191"/>
      <c r="N150" s="1191"/>
      <c r="O150" s="1191"/>
      <c r="P150" s="1191"/>
      <c r="Q150" s="1191"/>
      <c r="R150" s="1191"/>
      <c r="S150" s="1191"/>
      <c r="T150" s="1191"/>
      <c r="U150" s="1191"/>
      <c r="V150" s="1191"/>
      <c r="W150" s="1191"/>
      <c r="X150" s="1191"/>
      <c r="Y150" s="1191"/>
      <c r="Z150" s="1191"/>
      <c r="AA150" s="1191"/>
      <c r="AB150" s="1191"/>
      <c r="AC150" s="1191"/>
      <c r="AD150" s="1188"/>
      <c r="AE150" s="1188"/>
      <c r="AF150" s="1188"/>
      <c r="AG150" s="1188"/>
      <c r="AH150" s="1188"/>
      <c r="AI150" s="1188"/>
      <c r="AJ150" s="1188"/>
      <c r="AK150" s="1188"/>
      <c r="AL150" s="1188"/>
      <c r="AM150" s="1188"/>
      <c r="AN150" s="1188"/>
      <c r="AO150" s="1188"/>
      <c r="AP150" s="1188"/>
    </row>
    <row r="151" spans="1:42">
      <c r="A151" s="1188"/>
      <c r="B151" s="1188"/>
      <c r="C151" s="1188"/>
      <c r="D151" s="1188"/>
      <c r="E151" s="1188"/>
      <c r="F151" s="1188"/>
      <c r="G151" s="1188"/>
      <c r="H151" s="1188"/>
      <c r="I151" s="1191"/>
      <c r="J151" s="1191"/>
      <c r="K151" s="1191"/>
      <c r="L151" s="1191"/>
      <c r="M151" s="1191"/>
      <c r="N151" s="1191"/>
      <c r="O151" s="1191"/>
      <c r="P151" s="1191"/>
      <c r="Q151" s="1191"/>
      <c r="R151" s="1191"/>
      <c r="S151" s="1191"/>
      <c r="T151" s="1191"/>
      <c r="U151" s="1191"/>
      <c r="V151" s="1191"/>
      <c r="W151" s="1191"/>
      <c r="X151" s="1191"/>
      <c r="Y151" s="1191"/>
      <c r="Z151" s="1191"/>
      <c r="AA151" s="1191"/>
      <c r="AB151" s="1191"/>
      <c r="AC151" s="1191"/>
      <c r="AD151" s="1188"/>
      <c r="AE151" s="1188"/>
      <c r="AF151" s="1188"/>
      <c r="AG151" s="1188"/>
      <c r="AH151" s="1188"/>
      <c r="AI151" s="1188"/>
      <c r="AJ151" s="1188"/>
      <c r="AK151" s="1188"/>
      <c r="AL151" s="1188"/>
      <c r="AM151" s="1188"/>
      <c r="AN151" s="1188"/>
      <c r="AO151" s="1188"/>
      <c r="AP151" s="1188"/>
    </row>
    <row r="152" spans="1:42">
      <c r="A152" s="1188"/>
      <c r="B152" s="1188"/>
      <c r="C152" s="1188"/>
      <c r="D152" s="1188"/>
      <c r="E152" s="1188"/>
      <c r="F152" s="1188"/>
      <c r="G152" s="1188"/>
      <c r="H152" s="1188"/>
      <c r="I152" s="1191"/>
      <c r="J152" s="1191"/>
      <c r="K152" s="1191"/>
      <c r="L152" s="1191"/>
      <c r="M152" s="1191"/>
      <c r="N152" s="1191"/>
      <c r="O152" s="1191"/>
      <c r="P152" s="1191"/>
      <c r="Q152" s="1191"/>
      <c r="R152" s="1191"/>
      <c r="S152" s="1191"/>
      <c r="T152" s="1191"/>
      <c r="U152" s="1191"/>
      <c r="V152" s="1191"/>
      <c r="W152" s="1191"/>
      <c r="X152" s="1191"/>
      <c r="Y152" s="1191"/>
      <c r="Z152" s="1191"/>
      <c r="AA152" s="1191"/>
      <c r="AB152" s="1191"/>
      <c r="AC152" s="1191"/>
      <c r="AD152" s="1188"/>
      <c r="AE152" s="1188"/>
      <c r="AF152" s="1188"/>
      <c r="AG152" s="1188"/>
      <c r="AH152" s="1188"/>
      <c r="AI152" s="1188"/>
      <c r="AJ152" s="1188"/>
      <c r="AK152" s="1188"/>
      <c r="AL152" s="1188"/>
      <c r="AM152" s="1188"/>
      <c r="AN152" s="1188"/>
      <c r="AO152" s="1188"/>
      <c r="AP152" s="1188"/>
    </row>
    <row r="153" spans="1:42">
      <c r="A153" s="1188"/>
      <c r="B153" s="1188"/>
      <c r="C153" s="1188"/>
      <c r="D153" s="1188"/>
      <c r="E153" s="1188"/>
      <c r="F153" s="1188"/>
      <c r="G153" s="1188"/>
      <c r="H153" s="1188"/>
      <c r="I153" s="1191"/>
      <c r="J153" s="1191"/>
      <c r="K153" s="1191"/>
      <c r="L153" s="1191"/>
      <c r="M153" s="1191"/>
      <c r="N153" s="1191"/>
      <c r="O153" s="1191"/>
      <c r="P153" s="1191"/>
      <c r="Q153" s="1191"/>
      <c r="R153" s="1191"/>
      <c r="S153" s="1191"/>
      <c r="T153" s="1191"/>
      <c r="U153" s="1191"/>
      <c r="V153" s="1191"/>
      <c r="W153" s="1191"/>
      <c r="X153" s="1191"/>
      <c r="Y153" s="1191"/>
      <c r="Z153" s="1191"/>
      <c r="AA153" s="1191"/>
      <c r="AB153" s="1191"/>
      <c r="AC153" s="1191"/>
      <c r="AD153" s="1188"/>
      <c r="AE153" s="1188"/>
      <c r="AF153" s="1188"/>
      <c r="AG153" s="1188"/>
      <c r="AH153" s="1188"/>
      <c r="AI153" s="1188"/>
      <c r="AJ153" s="1188"/>
      <c r="AK153" s="1188"/>
      <c r="AL153" s="1188"/>
      <c r="AM153" s="1188"/>
      <c r="AN153" s="1188"/>
      <c r="AO153" s="1188"/>
      <c r="AP153" s="1188"/>
    </row>
    <row r="154" spans="1:42">
      <c r="A154" s="1188"/>
      <c r="B154" s="1188"/>
      <c r="C154" s="1188"/>
      <c r="D154" s="1188"/>
      <c r="E154" s="1188"/>
      <c r="F154" s="1188"/>
      <c r="G154" s="1188"/>
      <c r="H154" s="1188"/>
      <c r="I154" s="1191"/>
      <c r="J154" s="1191"/>
      <c r="K154" s="1191"/>
      <c r="L154" s="1191"/>
      <c r="M154" s="1191"/>
      <c r="N154" s="1191"/>
      <c r="O154" s="1191"/>
      <c r="P154" s="1191"/>
      <c r="Q154" s="1191"/>
      <c r="R154" s="1191"/>
      <c r="S154" s="1191"/>
      <c r="T154" s="1191"/>
      <c r="U154" s="1191"/>
      <c r="V154" s="1191"/>
      <c r="W154" s="1191"/>
      <c r="X154" s="1191"/>
      <c r="Y154" s="1191"/>
      <c r="Z154" s="1191"/>
      <c r="AA154" s="1191"/>
      <c r="AB154" s="1191"/>
      <c r="AC154" s="1191"/>
      <c r="AD154" s="1188"/>
      <c r="AE154" s="1188"/>
      <c r="AF154" s="1188"/>
      <c r="AG154" s="1188"/>
      <c r="AH154" s="1188"/>
      <c r="AI154" s="1188"/>
      <c r="AJ154" s="1188"/>
      <c r="AK154" s="1188"/>
      <c r="AL154" s="1188"/>
      <c r="AM154" s="1188"/>
      <c r="AN154" s="1188"/>
      <c r="AO154" s="1188"/>
      <c r="AP154" s="1188"/>
    </row>
    <row r="155" spans="1:42">
      <c r="A155" s="1188"/>
      <c r="B155" s="1188"/>
      <c r="C155" s="1188"/>
      <c r="D155" s="1188"/>
      <c r="E155" s="1188"/>
      <c r="F155" s="1188"/>
      <c r="G155" s="1188"/>
      <c r="H155" s="1188"/>
      <c r="I155" s="1191"/>
      <c r="J155" s="1191"/>
      <c r="K155" s="1191"/>
      <c r="L155" s="1191"/>
      <c r="M155" s="1191"/>
      <c r="N155" s="1191"/>
      <c r="O155" s="1191"/>
      <c r="P155" s="1191"/>
      <c r="Q155" s="1191"/>
      <c r="R155" s="1191"/>
      <c r="S155" s="1191"/>
      <c r="T155" s="1191"/>
      <c r="U155" s="1191"/>
      <c r="V155" s="1191"/>
      <c r="W155" s="1191"/>
      <c r="X155" s="1191"/>
      <c r="Y155" s="1191"/>
      <c r="Z155" s="1191"/>
      <c r="AA155" s="1191"/>
      <c r="AB155" s="1191"/>
      <c r="AC155" s="1191"/>
      <c r="AD155" s="1188"/>
      <c r="AE155" s="1188"/>
      <c r="AF155" s="1188"/>
      <c r="AG155" s="1188"/>
      <c r="AH155" s="1188"/>
      <c r="AI155" s="1188"/>
      <c r="AJ155" s="1188"/>
      <c r="AK155" s="1188"/>
      <c r="AL155" s="1188"/>
      <c r="AM155" s="1188"/>
      <c r="AN155" s="1188"/>
      <c r="AO155" s="1188"/>
      <c r="AP155" s="1188"/>
    </row>
    <row r="156" spans="1:42">
      <c r="A156" s="1188"/>
      <c r="B156" s="1188"/>
      <c r="C156" s="1188"/>
      <c r="D156" s="1188"/>
      <c r="E156" s="1188"/>
      <c r="F156" s="1188"/>
      <c r="G156" s="1188"/>
      <c r="H156" s="1188"/>
      <c r="I156" s="1191"/>
      <c r="J156" s="1191"/>
      <c r="K156" s="1191"/>
      <c r="L156" s="1191"/>
      <c r="M156" s="1191"/>
      <c r="N156" s="1191"/>
      <c r="O156" s="1191"/>
      <c r="P156" s="1191"/>
      <c r="Q156" s="1191"/>
      <c r="R156" s="1191"/>
      <c r="S156" s="1191"/>
      <c r="T156" s="1191"/>
      <c r="U156" s="1191"/>
      <c r="V156" s="1191"/>
      <c r="W156" s="1191"/>
      <c r="X156" s="1191"/>
      <c r="Y156" s="1191"/>
      <c r="Z156" s="1191"/>
      <c r="AA156" s="1191"/>
      <c r="AB156" s="1191"/>
      <c r="AC156" s="1191"/>
      <c r="AD156" s="1188"/>
      <c r="AE156" s="1188"/>
      <c r="AF156" s="1188"/>
      <c r="AG156" s="1188"/>
      <c r="AH156" s="1188"/>
      <c r="AI156" s="1188"/>
      <c r="AJ156" s="1188"/>
      <c r="AK156" s="1188"/>
      <c r="AL156" s="1188"/>
      <c r="AM156" s="1188"/>
      <c r="AN156" s="1188"/>
      <c r="AO156" s="1188"/>
      <c r="AP156" s="1188"/>
    </row>
    <row r="157" spans="1:42">
      <c r="A157" s="1188"/>
      <c r="B157" s="1188"/>
      <c r="C157" s="1188"/>
      <c r="D157" s="1188"/>
      <c r="E157" s="1188"/>
      <c r="F157" s="1188"/>
      <c r="G157" s="1188"/>
      <c r="H157" s="1188"/>
      <c r="I157" s="1191"/>
      <c r="J157" s="1191"/>
      <c r="K157" s="1191"/>
      <c r="L157" s="1191"/>
      <c r="M157" s="1191"/>
      <c r="N157" s="1191"/>
      <c r="O157" s="1191"/>
      <c r="P157" s="1191"/>
      <c r="Q157" s="1191"/>
      <c r="R157" s="1191"/>
      <c r="S157" s="1191"/>
      <c r="T157" s="1191"/>
      <c r="U157" s="1191"/>
      <c r="V157" s="1191"/>
      <c r="W157" s="1191"/>
      <c r="X157" s="1191"/>
      <c r="Y157" s="1191"/>
      <c r="Z157" s="1191"/>
      <c r="AA157" s="1191"/>
      <c r="AB157" s="1191"/>
      <c r="AC157" s="1191"/>
      <c r="AD157" s="1188"/>
      <c r="AE157" s="1188"/>
      <c r="AF157" s="1188"/>
      <c r="AG157" s="1188"/>
      <c r="AH157" s="1188"/>
      <c r="AI157" s="1188"/>
      <c r="AJ157" s="1188"/>
      <c r="AK157" s="1188"/>
      <c r="AL157" s="1188"/>
      <c r="AM157" s="1188"/>
      <c r="AN157" s="1188"/>
      <c r="AO157" s="1188"/>
      <c r="AP157" s="1188"/>
    </row>
    <row r="158" spans="1:42">
      <c r="A158" s="1188"/>
      <c r="B158" s="1188"/>
      <c r="C158" s="1188"/>
      <c r="D158" s="1188"/>
      <c r="E158" s="1188"/>
      <c r="F158" s="1188"/>
      <c r="G158" s="1188"/>
      <c r="H158" s="1188"/>
      <c r="I158" s="1191"/>
      <c r="J158" s="1191"/>
      <c r="K158" s="1191"/>
      <c r="L158" s="1191"/>
      <c r="M158" s="1191"/>
      <c r="N158" s="1191"/>
      <c r="O158" s="1191"/>
      <c r="P158" s="1191"/>
      <c r="Q158" s="1191"/>
      <c r="R158" s="1191"/>
      <c r="S158" s="1191"/>
      <c r="T158" s="1191"/>
      <c r="U158" s="1191"/>
      <c r="V158" s="1191"/>
      <c r="W158" s="1191"/>
      <c r="X158" s="1191"/>
      <c r="Y158" s="1191"/>
      <c r="Z158" s="1191"/>
      <c r="AA158" s="1191"/>
      <c r="AB158" s="1191"/>
      <c r="AC158" s="1191"/>
      <c r="AD158" s="1188"/>
      <c r="AE158" s="1188"/>
      <c r="AF158" s="1188"/>
      <c r="AG158" s="1188"/>
      <c r="AH158" s="1188"/>
      <c r="AI158" s="1188"/>
      <c r="AJ158" s="1188"/>
      <c r="AK158" s="1188"/>
      <c r="AL158" s="1188"/>
      <c r="AM158" s="1188"/>
      <c r="AN158" s="1188"/>
      <c r="AO158" s="1188"/>
      <c r="AP158" s="1188"/>
    </row>
    <row r="159" spans="1:42">
      <c r="A159" s="1188"/>
      <c r="B159" s="1188"/>
      <c r="C159" s="1188"/>
      <c r="D159" s="1188"/>
      <c r="E159" s="1188"/>
      <c r="F159" s="1188"/>
      <c r="G159" s="1188"/>
      <c r="H159" s="1188"/>
      <c r="I159" s="1191"/>
      <c r="J159" s="1191"/>
      <c r="K159" s="1191"/>
      <c r="L159" s="1191"/>
      <c r="M159" s="1191"/>
      <c r="N159" s="1191"/>
      <c r="O159" s="1191"/>
      <c r="P159" s="1191"/>
      <c r="Q159" s="1191"/>
      <c r="R159" s="1191"/>
      <c r="S159" s="1191"/>
      <c r="T159" s="1191"/>
      <c r="U159" s="1191"/>
      <c r="V159" s="1191"/>
      <c r="W159" s="1191"/>
      <c r="X159" s="1191"/>
      <c r="Y159" s="1191"/>
      <c r="Z159" s="1191"/>
      <c r="AA159" s="1191"/>
      <c r="AB159" s="1191"/>
      <c r="AC159" s="1191"/>
      <c r="AD159" s="1188"/>
      <c r="AE159" s="1188"/>
      <c r="AF159" s="1188"/>
      <c r="AG159" s="1188"/>
      <c r="AH159" s="1188"/>
      <c r="AI159" s="1188"/>
      <c r="AJ159" s="1188"/>
      <c r="AK159" s="1188"/>
      <c r="AL159" s="1188"/>
      <c r="AM159" s="1188"/>
      <c r="AN159" s="1188"/>
      <c r="AO159" s="1188"/>
      <c r="AP159" s="1188"/>
    </row>
    <row r="160" spans="1:42">
      <c r="A160" s="1188"/>
      <c r="B160" s="1188"/>
      <c r="C160" s="1188"/>
      <c r="D160" s="1188"/>
      <c r="E160" s="1188"/>
      <c r="F160" s="1188"/>
      <c r="G160" s="1188"/>
      <c r="H160" s="1188"/>
      <c r="I160" s="1191"/>
      <c r="J160" s="1191"/>
      <c r="K160" s="1191"/>
      <c r="L160" s="1191"/>
      <c r="M160" s="1191"/>
      <c r="N160" s="1191"/>
      <c r="O160" s="1191"/>
      <c r="P160" s="1191"/>
      <c r="Q160" s="1191"/>
      <c r="R160" s="1191"/>
      <c r="S160" s="1191"/>
      <c r="T160" s="1191"/>
      <c r="U160" s="1191"/>
      <c r="V160" s="1191"/>
      <c r="W160" s="1191"/>
      <c r="X160" s="1191"/>
      <c r="Y160" s="1191"/>
      <c r="Z160" s="1191"/>
      <c r="AA160" s="1191"/>
      <c r="AB160" s="1191"/>
      <c r="AC160" s="1191"/>
      <c r="AD160" s="1188"/>
      <c r="AE160" s="1188"/>
      <c r="AF160" s="1188"/>
      <c r="AG160" s="1188"/>
      <c r="AH160" s="1188"/>
      <c r="AI160" s="1188"/>
      <c r="AJ160" s="1188"/>
      <c r="AK160" s="1188"/>
      <c r="AL160" s="1188"/>
      <c r="AM160" s="1188"/>
      <c r="AN160" s="1188"/>
      <c r="AO160" s="1188"/>
      <c r="AP160" s="1188"/>
    </row>
    <row r="161" spans="1:42">
      <c r="A161" s="1188"/>
      <c r="B161" s="1188"/>
      <c r="C161" s="1188"/>
      <c r="D161" s="1188"/>
      <c r="E161" s="1188"/>
      <c r="F161" s="1188"/>
      <c r="G161" s="1188"/>
      <c r="H161" s="1188"/>
      <c r="I161" s="1191"/>
      <c r="J161" s="1191"/>
      <c r="K161" s="1191"/>
      <c r="L161" s="1191"/>
      <c r="M161" s="1191"/>
      <c r="N161" s="1191"/>
      <c r="O161" s="1191"/>
      <c r="P161" s="1191"/>
      <c r="Q161" s="1191"/>
      <c r="R161" s="1191"/>
      <c r="S161" s="1191"/>
      <c r="T161" s="1191"/>
      <c r="U161" s="1191"/>
      <c r="V161" s="1191"/>
      <c r="W161" s="1191"/>
      <c r="X161" s="1191"/>
      <c r="Y161" s="1191"/>
      <c r="Z161" s="1191"/>
      <c r="AA161" s="1191"/>
      <c r="AB161" s="1191"/>
      <c r="AC161" s="1191"/>
      <c r="AD161" s="1188"/>
      <c r="AE161" s="1188"/>
      <c r="AF161" s="1188"/>
      <c r="AG161" s="1188"/>
      <c r="AH161" s="1188"/>
      <c r="AI161" s="1188"/>
      <c r="AJ161" s="1188"/>
      <c r="AK161" s="1188"/>
      <c r="AL161" s="1188"/>
      <c r="AM161" s="1188"/>
      <c r="AN161" s="1188"/>
      <c r="AO161" s="1188"/>
      <c r="AP161" s="1188"/>
    </row>
    <row r="162" spans="1:42">
      <c r="A162" s="1188"/>
      <c r="B162" s="1188"/>
      <c r="C162" s="1188"/>
      <c r="D162" s="1188"/>
      <c r="E162" s="1188"/>
      <c r="F162" s="1188"/>
      <c r="G162" s="1188"/>
      <c r="H162" s="1188"/>
      <c r="I162" s="1191"/>
      <c r="J162" s="1191"/>
      <c r="K162" s="1191"/>
      <c r="L162" s="1191"/>
      <c r="M162" s="1191"/>
      <c r="N162" s="1191"/>
      <c r="O162" s="1191"/>
      <c r="P162" s="1191"/>
      <c r="Q162" s="1191"/>
      <c r="R162" s="1191"/>
      <c r="S162" s="1191"/>
      <c r="T162" s="1191"/>
      <c r="U162" s="1191"/>
      <c r="V162" s="1191"/>
      <c r="W162" s="1191"/>
      <c r="X162" s="1191"/>
      <c r="Y162" s="1191"/>
      <c r="Z162" s="1191"/>
      <c r="AA162" s="1191"/>
      <c r="AB162" s="1191"/>
      <c r="AC162" s="1191"/>
      <c r="AD162" s="1188"/>
      <c r="AE162" s="1188"/>
      <c r="AF162" s="1188"/>
      <c r="AG162" s="1188"/>
      <c r="AH162" s="1188"/>
      <c r="AI162" s="1188"/>
      <c r="AJ162" s="1188"/>
      <c r="AK162" s="1188"/>
      <c r="AL162" s="1188"/>
      <c r="AM162" s="1188"/>
      <c r="AN162" s="1188"/>
      <c r="AO162" s="1188"/>
      <c r="AP162" s="1188"/>
    </row>
    <row r="163" spans="1:42">
      <c r="A163" s="1188"/>
      <c r="B163" s="1188"/>
      <c r="C163" s="1188"/>
      <c r="D163" s="1188"/>
      <c r="E163" s="1188"/>
      <c r="F163" s="1188"/>
      <c r="G163" s="1188"/>
      <c r="H163" s="1188"/>
      <c r="I163" s="1191"/>
      <c r="J163" s="1191"/>
      <c r="K163" s="1191"/>
      <c r="L163" s="1191"/>
      <c r="M163" s="1191"/>
      <c r="N163" s="1191"/>
      <c r="O163" s="1191"/>
      <c r="P163" s="1191"/>
      <c r="Q163" s="1191"/>
      <c r="R163" s="1191"/>
      <c r="S163" s="1191"/>
      <c r="T163" s="1191"/>
      <c r="U163" s="1191"/>
      <c r="V163" s="1191"/>
      <c r="W163" s="1191"/>
      <c r="X163" s="1191"/>
      <c r="Y163" s="1191"/>
      <c r="Z163" s="1191"/>
      <c r="AA163" s="1191"/>
      <c r="AB163" s="1191"/>
      <c r="AC163" s="1191"/>
      <c r="AD163" s="1188"/>
      <c r="AE163" s="1188"/>
      <c r="AF163" s="1188"/>
      <c r="AG163" s="1188"/>
      <c r="AH163" s="1188"/>
      <c r="AI163" s="1188"/>
      <c r="AJ163" s="1188"/>
      <c r="AK163" s="1188"/>
      <c r="AL163" s="1188"/>
      <c r="AM163" s="1188"/>
      <c r="AN163" s="1188"/>
      <c r="AO163" s="1188"/>
      <c r="AP163" s="1188"/>
    </row>
    <row r="164" spans="1:42">
      <c r="A164" s="1188"/>
      <c r="B164" s="1188"/>
      <c r="C164" s="1188"/>
      <c r="D164" s="1188"/>
      <c r="E164" s="1188"/>
      <c r="F164" s="1188"/>
      <c r="G164" s="1188"/>
      <c r="H164" s="1188"/>
      <c r="I164" s="1191"/>
      <c r="J164" s="1191"/>
      <c r="K164" s="1191"/>
      <c r="L164" s="1191"/>
      <c r="M164" s="1191"/>
      <c r="N164" s="1191"/>
      <c r="O164" s="1191"/>
      <c r="P164" s="1191"/>
      <c r="Q164" s="1191"/>
      <c r="R164" s="1191"/>
      <c r="S164" s="1191"/>
      <c r="T164" s="1191"/>
      <c r="U164" s="1191"/>
      <c r="V164" s="1191"/>
      <c r="W164" s="1191"/>
      <c r="X164" s="1191"/>
      <c r="Y164" s="1191"/>
      <c r="Z164" s="1191"/>
      <c r="AA164" s="1191"/>
      <c r="AB164" s="1191"/>
      <c r="AC164" s="1191"/>
      <c r="AD164" s="1188"/>
      <c r="AE164" s="1188"/>
      <c r="AF164" s="1188"/>
      <c r="AG164" s="1188"/>
      <c r="AH164" s="1188"/>
      <c r="AI164" s="1188"/>
      <c r="AJ164" s="1188"/>
      <c r="AK164" s="1188"/>
      <c r="AL164" s="1188"/>
      <c r="AM164" s="1188"/>
      <c r="AN164" s="1188"/>
      <c r="AO164" s="1188"/>
      <c r="AP164" s="1188"/>
    </row>
    <row r="165" spans="1:42">
      <c r="A165" s="1188"/>
      <c r="B165" s="1188"/>
      <c r="C165" s="1188"/>
      <c r="D165" s="1188"/>
      <c r="E165" s="1188"/>
      <c r="F165" s="1188"/>
      <c r="G165" s="1188"/>
      <c r="H165" s="1188"/>
      <c r="I165" s="1191"/>
      <c r="J165" s="1191"/>
      <c r="K165" s="1191"/>
      <c r="L165" s="1191"/>
      <c r="M165" s="1191"/>
      <c r="N165" s="1191"/>
      <c r="O165" s="1191"/>
      <c r="P165" s="1191"/>
      <c r="Q165" s="1191"/>
      <c r="R165" s="1191"/>
      <c r="S165" s="1191"/>
      <c r="T165" s="1191"/>
      <c r="U165" s="1191"/>
      <c r="V165" s="1191"/>
      <c r="W165" s="1191"/>
      <c r="X165" s="1191"/>
      <c r="Y165" s="1191"/>
      <c r="Z165" s="1191"/>
      <c r="AA165" s="1191"/>
      <c r="AB165" s="1191"/>
      <c r="AC165" s="1191"/>
      <c r="AD165" s="1188"/>
      <c r="AE165" s="1188"/>
      <c r="AF165" s="1188"/>
      <c r="AG165" s="1188"/>
      <c r="AH165" s="1188"/>
      <c r="AI165" s="1188"/>
      <c r="AJ165" s="1188"/>
      <c r="AK165" s="1188"/>
      <c r="AL165" s="1188"/>
      <c r="AM165" s="1188"/>
      <c r="AN165" s="1188"/>
      <c r="AO165" s="1188"/>
      <c r="AP165" s="1188"/>
    </row>
    <row r="166" spans="1:42">
      <c r="A166" s="1188"/>
      <c r="B166" s="1188"/>
      <c r="C166" s="1188"/>
      <c r="D166" s="1188"/>
      <c r="E166" s="1188"/>
      <c r="F166" s="1188"/>
      <c r="G166" s="1188"/>
      <c r="H166" s="1188"/>
      <c r="I166" s="1191"/>
      <c r="J166" s="1191"/>
      <c r="K166" s="1191"/>
      <c r="L166" s="1191"/>
      <c r="M166" s="1191"/>
      <c r="N166" s="1191"/>
      <c r="O166" s="1191"/>
      <c r="P166" s="1191"/>
      <c r="Q166" s="1191"/>
      <c r="R166" s="1191"/>
      <c r="S166" s="1191"/>
      <c r="T166" s="1191"/>
      <c r="U166" s="1191"/>
      <c r="V166" s="1191"/>
      <c r="W166" s="1191"/>
      <c r="X166" s="1191"/>
      <c r="Y166" s="1191"/>
      <c r="Z166" s="1191"/>
      <c r="AA166" s="1191"/>
      <c r="AB166" s="1191"/>
      <c r="AC166" s="1191"/>
      <c r="AD166" s="1188"/>
      <c r="AE166" s="1188"/>
      <c r="AF166" s="1188"/>
      <c r="AG166" s="1188"/>
      <c r="AH166" s="1188"/>
      <c r="AI166" s="1188"/>
      <c r="AJ166" s="1188"/>
      <c r="AK166" s="1188"/>
      <c r="AL166" s="1188"/>
      <c r="AM166" s="1188"/>
      <c r="AN166" s="1188"/>
      <c r="AO166" s="1188"/>
      <c r="AP166" s="1188"/>
    </row>
    <row r="167" spans="1:42">
      <c r="A167" s="1188"/>
      <c r="B167" s="1188"/>
      <c r="C167" s="1188"/>
      <c r="D167" s="1188"/>
      <c r="E167" s="1188"/>
      <c r="F167" s="1188"/>
      <c r="G167" s="1188"/>
      <c r="H167" s="1188"/>
      <c r="I167" s="1191"/>
      <c r="J167" s="1191"/>
      <c r="K167" s="1191"/>
      <c r="L167" s="1191"/>
      <c r="M167" s="1191"/>
      <c r="N167" s="1191"/>
      <c r="O167" s="1191"/>
      <c r="P167" s="1191"/>
      <c r="Q167" s="1191"/>
      <c r="R167" s="1191"/>
      <c r="S167" s="1191"/>
      <c r="T167" s="1191"/>
      <c r="U167" s="1191"/>
      <c r="V167" s="1191"/>
      <c r="W167" s="1191"/>
      <c r="X167" s="1191"/>
      <c r="Y167" s="1191"/>
      <c r="Z167" s="1191"/>
      <c r="AA167" s="1191"/>
      <c r="AB167" s="1191"/>
      <c r="AC167" s="1191"/>
      <c r="AD167" s="1188"/>
      <c r="AE167" s="1188"/>
      <c r="AF167" s="1188"/>
      <c r="AG167" s="1188"/>
      <c r="AH167" s="1188"/>
      <c r="AI167" s="1188"/>
      <c r="AJ167" s="1188"/>
      <c r="AK167" s="1188"/>
      <c r="AL167" s="1188"/>
      <c r="AM167" s="1188"/>
      <c r="AN167" s="1188"/>
      <c r="AO167" s="1188"/>
      <c r="AP167" s="1188"/>
    </row>
    <row r="168" spans="1:42">
      <c r="A168" s="1188"/>
      <c r="B168" s="1188"/>
      <c r="C168" s="1188"/>
      <c r="D168" s="1188"/>
      <c r="E168" s="1188"/>
      <c r="F168" s="1188"/>
      <c r="G168" s="1188"/>
      <c r="H168" s="1188"/>
      <c r="I168" s="1191"/>
      <c r="J168" s="1191"/>
      <c r="K168" s="1191"/>
      <c r="L168" s="1191"/>
      <c r="M168" s="1191"/>
      <c r="N168" s="1191"/>
      <c r="O168" s="1191"/>
      <c r="P168" s="1191"/>
      <c r="Q168" s="1191"/>
      <c r="R168" s="1191"/>
      <c r="S168" s="1191"/>
      <c r="T168" s="1191"/>
      <c r="U168" s="1191"/>
      <c r="V168" s="1191"/>
      <c r="W168" s="1191"/>
      <c r="X168" s="1191"/>
      <c r="Y168" s="1191"/>
      <c r="Z168" s="1191"/>
      <c r="AA168" s="1191"/>
      <c r="AB168" s="1191"/>
      <c r="AC168" s="1191"/>
      <c r="AD168" s="1188"/>
      <c r="AE168" s="1188"/>
      <c r="AF168" s="1188"/>
      <c r="AG168" s="1188"/>
      <c r="AH168" s="1188"/>
      <c r="AI168" s="1188"/>
      <c r="AJ168" s="1188"/>
      <c r="AK168" s="1188"/>
      <c r="AL168" s="1188"/>
      <c r="AM168" s="1188"/>
      <c r="AN168" s="1188"/>
      <c r="AO168" s="1188"/>
      <c r="AP168" s="1188"/>
    </row>
    <row r="169" spans="1:42">
      <c r="A169" s="1188"/>
      <c r="B169" s="1188"/>
      <c r="C169" s="1188"/>
      <c r="D169" s="1188"/>
      <c r="E169" s="1188"/>
      <c r="F169" s="1188"/>
      <c r="G169" s="1188"/>
      <c r="H169" s="1188"/>
      <c r="I169" s="1191"/>
      <c r="J169" s="1191"/>
      <c r="K169" s="1191"/>
      <c r="L169" s="1191"/>
      <c r="M169" s="1191"/>
      <c r="N169" s="1191"/>
      <c r="O169" s="1191"/>
      <c r="P169" s="1191"/>
      <c r="Q169" s="1191"/>
      <c r="R169" s="1191"/>
      <c r="S169" s="1191"/>
      <c r="T169" s="1191"/>
      <c r="U169" s="1191"/>
      <c r="V169" s="1191"/>
      <c r="W169" s="1191"/>
      <c r="X169" s="1191"/>
      <c r="Y169" s="1191"/>
      <c r="Z169" s="1191"/>
      <c r="AA169" s="1191"/>
      <c r="AB169" s="1191"/>
      <c r="AC169" s="1191"/>
      <c r="AD169" s="1188"/>
      <c r="AE169" s="1188"/>
      <c r="AF169" s="1188"/>
      <c r="AG169" s="1188"/>
      <c r="AH169" s="1188"/>
      <c r="AI169" s="1188"/>
      <c r="AJ169" s="1188"/>
      <c r="AK169" s="1188"/>
      <c r="AL169" s="1188"/>
      <c r="AM169" s="1188"/>
      <c r="AN169" s="1188"/>
      <c r="AO169" s="1188"/>
      <c r="AP169" s="1188"/>
    </row>
    <row r="170" spans="1:42">
      <c r="A170" s="1188"/>
      <c r="B170" s="1188"/>
      <c r="C170" s="1188"/>
      <c r="D170" s="1188"/>
      <c r="E170" s="1188"/>
      <c r="F170" s="1188"/>
      <c r="G170" s="1188"/>
      <c r="H170" s="1188"/>
      <c r="I170" s="1191"/>
      <c r="J170" s="1191"/>
      <c r="K170" s="1191"/>
      <c r="L170" s="1191"/>
      <c r="M170" s="1191"/>
      <c r="N170" s="1191"/>
      <c r="O170" s="1191"/>
      <c r="P170" s="1191"/>
      <c r="Q170" s="1191"/>
      <c r="R170" s="1191"/>
      <c r="S170" s="1191"/>
      <c r="T170" s="1191"/>
      <c r="U170" s="1191"/>
      <c r="V170" s="1191"/>
      <c r="W170" s="1191"/>
      <c r="X170" s="1191"/>
      <c r="Y170" s="1191"/>
      <c r="Z170" s="1191"/>
      <c r="AA170" s="1191"/>
      <c r="AB170" s="1191"/>
      <c r="AC170" s="1191"/>
      <c r="AD170" s="1188"/>
      <c r="AE170" s="1188"/>
      <c r="AF170" s="1188"/>
      <c r="AG170" s="1188"/>
      <c r="AH170" s="1188"/>
      <c r="AI170" s="1188"/>
      <c r="AJ170" s="1188"/>
      <c r="AK170" s="1188"/>
      <c r="AL170" s="1188"/>
      <c r="AM170" s="1188"/>
      <c r="AN170" s="1188"/>
      <c r="AO170" s="1188"/>
      <c r="AP170" s="1188"/>
    </row>
    <row r="171" spans="1:42">
      <c r="A171" s="1188"/>
      <c r="B171" s="1188"/>
      <c r="C171" s="1188"/>
      <c r="D171" s="1188"/>
      <c r="E171" s="1188"/>
      <c r="F171" s="1188"/>
      <c r="G171" s="1188"/>
      <c r="H171" s="1188"/>
      <c r="I171" s="1191"/>
      <c r="J171" s="1191"/>
      <c r="K171" s="1191"/>
      <c r="L171" s="1191"/>
      <c r="M171" s="1191"/>
      <c r="N171" s="1191"/>
      <c r="O171" s="1191"/>
      <c r="P171" s="1191"/>
      <c r="Q171" s="1191"/>
      <c r="R171" s="1191"/>
      <c r="S171" s="1191"/>
      <c r="T171" s="1191"/>
      <c r="U171" s="1191"/>
      <c r="V171" s="1191"/>
      <c r="W171" s="1191"/>
      <c r="X171" s="1191"/>
      <c r="Y171" s="1191"/>
      <c r="Z171" s="1191"/>
      <c r="AA171" s="1191"/>
      <c r="AB171" s="1191"/>
      <c r="AC171" s="1191"/>
      <c r="AD171" s="1188"/>
      <c r="AE171" s="1188"/>
      <c r="AF171" s="1188"/>
      <c r="AG171" s="1188"/>
      <c r="AH171" s="1188"/>
      <c r="AI171" s="1188"/>
      <c r="AJ171" s="1188"/>
      <c r="AK171" s="1188"/>
      <c r="AL171" s="1188"/>
      <c r="AM171" s="1188"/>
      <c r="AN171" s="1188"/>
      <c r="AO171" s="1188"/>
      <c r="AP171" s="1188"/>
    </row>
    <row r="172" spans="1:42">
      <c r="A172" s="1188"/>
      <c r="B172" s="1188"/>
      <c r="C172" s="1188"/>
      <c r="D172" s="1188"/>
      <c r="E172" s="1188"/>
      <c r="F172" s="1188"/>
      <c r="G172" s="1188"/>
      <c r="H172" s="1188"/>
      <c r="I172" s="1191"/>
      <c r="J172" s="1191"/>
      <c r="K172" s="1191"/>
      <c r="L172" s="1191"/>
      <c r="M172" s="1191"/>
      <c r="N172" s="1191"/>
      <c r="O172" s="1191"/>
      <c r="P172" s="1191"/>
      <c r="Q172" s="1191"/>
      <c r="R172" s="1191"/>
      <c r="S172" s="1191"/>
      <c r="T172" s="1191"/>
      <c r="U172" s="1191"/>
      <c r="V172" s="1191"/>
      <c r="W172" s="1191"/>
      <c r="X172" s="1191"/>
      <c r="Y172" s="1191"/>
      <c r="Z172" s="1191"/>
      <c r="AA172" s="1191"/>
      <c r="AB172" s="1191"/>
      <c r="AC172" s="1191"/>
      <c r="AD172" s="1188"/>
      <c r="AE172" s="1188"/>
      <c r="AF172" s="1188"/>
      <c r="AG172" s="1188"/>
      <c r="AH172" s="1188"/>
      <c r="AI172" s="1188"/>
      <c r="AJ172" s="1188"/>
      <c r="AK172" s="1188"/>
      <c r="AL172" s="1188"/>
      <c r="AM172" s="1188"/>
      <c r="AN172" s="1188"/>
      <c r="AO172" s="1188"/>
      <c r="AP172" s="1188"/>
    </row>
    <row r="173" spans="1:42">
      <c r="A173" s="1188"/>
      <c r="B173" s="1188"/>
      <c r="C173" s="1188"/>
      <c r="D173" s="1188"/>
      <c r="E173" s="1188"/>
      <c r="F173" s="1188"/>
      <c r="G173" s="1188"/>
      <c r="H173" s="1188"/>
      <c r="I173" s="1191"/>
      <c r="J173" s="1191"/>
      <c r="K173" s="1191"/>
      <c r="L173" s="1191"/>
      <c r="M173" s="1191"/>
      <c r="N173" s="1191"/>
      <c r="O173" s="1191"/>
      <c r="P173" s="1191"/>
      <c r="Q173" s="1191"/>
      <c r="R173" s="1191"/>
      <c r="S173" s="1191"/>
      <c r="T173" s="1191"/>
      <c r="U173" s="1191"/>
      <c r="V173" s="1191"/>
      <c r="W173" s="1191"/>
      <c r="X173" s="1191"/>
      <c r="Y173" s="1191"/>
      <c r="Z173" s="1191"/>
      <c r="AA173" s="1191"/>
      <c r="AB173" s="1191"/>
      <c r="AC173" s="1191"/>
      <c r="AD173" s="1188"/>
      <c r="AE173" s="1188"/>
      <c r="AF173" s="1188"/>
      <c r="AG173" s="1188"/>
      <c r="AH173" s="1188"/>
      <c r="AI173" s="1188"/>
      <c r="AJ173" s="1188"/>
      <c r="AK173" s="1188"/>
      <c r="AL173" s="1188"/>
      <c r="AM173" s="1188"/>
      <c r="AN173" s="1188"/>
      <c r="AO173" s="1188"/>
      <c r="AP173" s="1188"/>
    </row>
    <row r="174" spans="1:42">
      <c r="A174" s="1188"/>
      <c r="B174" s="1188"/>
      <c r="C174" s="1188"/>
      <c r="D174" s="1188"/>
      <c r="E174" s="1188"/>
      <c r="F174" s="1188"/>
      <c r="G174" s="1188"/>
      <c r="H174" s="1188"/>
      <c r="I174" s="1191"/>
      <c r="J174" s="1191"/>
      <c r="K174" s="1191"/>
      <c r="L174" s="1191"/>
      <c r="M174" s="1191"/>
      <c r="N174" s="1191"/>
      <c r="O174" s="1191"/>
      <c r="P174" s="1191"/>
      <c r="Q174" s="1191"/>
      <c r="R174" s="1191"/>
      <c r="S174" s="1191"/>
      <c r="T174" s="1191"/>
      <c r="U174" s="1191"/>
      <c r="V174" s="1191"/>
      <c r="W174" s="1191"/>
      <c r="X174" s="1191"/>
      <c r="Y174" s="1191"/>
      <c r="Z174" s="1191"/>
      <c r="AA174" s="1191"/>
      <c r="AB174" s="1191"/>
      <c r="AC174" s="1191"/>
      <c r="AD174" s="1188"/>
      <c r="AE174" s="1188"/>
      <c r="AF174" s="1188"/>
      <c r="AG174" s="1188"/>
      <c r="AH174" s="1188"/>
      <c r="AI174" s="1188"/>
      <c r="AJ174" s="1188"/>
      <c r="AK174" s="1188"/>
      <c r="AL174" s="1188"/>
      <c r="AM174" s="1188"/>
      <c r="AN174" s="1188"/>
      <c r="AO174" s="1188"/>
      <c r="AP174" s="1188"/>
    </row>
    <row r="175" spans="1:42">
      <c r="A175" s="1188"/>
      <c r="B175" s="1188"/>
      <c r="C175" s="1188"/>
      <c r="D175" s="1188"/>
      <c r="E175" s="1188"/>
      <c r="F175" s="1188"/>
      <c r="G175" s="1188"/>
      <c r="H175" s="1188"/>
      <c r="I175" s="1191"/>
      <c r="J175" s="1191"/>
      <c r="K175" s="1191"/>
      <c r="L175" s="1191"/>
      <c r="M175" s="1191"/>
      <c r="N175" s="1191"/>
      <c r="O175" s="1191"/>
      <c r="P175" s="1191"/>
      <c r="Q175" s="1191"/>
      <c r="R175" s="1191"/>
      <c r="S175" s="1191"/>
      <c r="T175" s="1191"/>
      <c r="U175" s="1191"/>
      <c r="V175" s="1191"/>
      <c r="W175" s="1191"/>
      <c r="X175" s="1191"/>
      <c r="Y175" s="1191"/>
      <c r="Z175" s="1191"/>
      <c r="AA175" s="1191"/>
      <c r="AB175" s="1191"/>
      <c r="AC175" s="1191"/>
      <c r="AD175" s="1188"/>
      <c r="AE175" s="1188"/>
      <c r="AF175" s="1188"/>
      <c r="AG175" s="1188"/>
      <c r="AH175" s="1188"/>
      <c r="AI175" s="1188"/>
      <c r="AJ175" s="1188"/>
      <c r="AK175" s="1188"/>
      <c r="AL175" s="1188"/>
      <c r="AM175" s="1188"/>
      <c r="AN175" s="1188"/>
      <c r="AO175" s="1188"/>
      <c r="AP175" s="1188"/>
    </row>
    <row r="176" spans="1:42">
      <c r="A176" s="1188"/>
      <c r="B176" s="1188"/>
      <c r="C176" s="1188"/>
      <c r="D176" s="1188"/>
      <c r="E176" s="1188"/>
      <c r="F176" s="1188"/>
      <c r="G176" s="1188"/>
      <c r="H176" s="1188"/>
      <c r="I176" s="1191"/>
      <c r="J176" s="1191"/>
      <c r="K176" s="1191"/>
      <c r="L176" s="1191"/>
      <c r="M176" s="1191"/>
      <c r="N176" s="1191"/>
      <c r="O176" s="1191"/>
      <c r="P176" s="1191"/>
      <c r="Q176" s="1191"/>
      <c r="R176" s="1191"/>
      <c r="S176" s="1191"/>
      <c r="T176" s="1191"/>
      <c r="U176" s="1191"/>
      <c r="V176" s="1191"/>
      <c r="W176" s="1191"/>
      <c r="X176" s="1191"/>
      <c r="Y176" s="1191"/>
      <c r="Z176" s="1191"/>
      <c r="AA176" s="1191"/>
      <c r="AB176" s="1191"/>
      <c r="AC176" s="1191"/>
      <c r="AD176" s="1188"/>
      <c r="AE176" s="1188"/>
      <c r="AF176" s="1188"/>
      <c r="AG176" s="1188"/>
      <c r="AH176" s="1188"/>
      <c r="AI176" s="1188"/>
      <c r="AJ176" s="1188"/>
      <c r="AK176" s="1188"/>
      <c r="AL176" s="1188"/>
      <c r="AM176" s="1188"/>
      <c r="AN176" s="1188"/>
      <c r="AO176" s="1188"/>
      <c r="AP176" s="1188"/>
    </row>
    <row r="177" spans="1:42">
      <c r="A177" s="1188"/>
      <c r="B177" s="1188"/>
      <c r="C177" s="1188"/>
      <c r="D177" s="1188"/>
      <c r="E177" s="1188"/>
      <c r="F177" s="1188"/>
      <c r="G177" s="1188"/>
      <c r="H177" s="1188"/>
      <c r="I177" s="1191"/>
      <c r="J177" s="1191"/>
      <c r="K177" s="1191"/>
      <c r="L177" s="1191"/>
      <c r="M177" s="1191"/>
      <c r="N177" s="1191"/>
      <c r="O177" s="1191"/>
      <c r="P177" s="1191"/>
      <c r="Q177" s="1191"/>
      <c r="R177" s="1191"/>
      <c r="S177" s="1191"/>
      <c r="T177" s="1191"/>
      <c r="U177" s="1191"/>
      <c r="V177" s="1191"/>
      <c r="W177" s="1191"/>
      <c r="X177" s="1191"/>
      <c r="Y177" s="1191"/>
      <c r="Z177" s="1191"/>
      <c r="AA177" s="1191"/>
      <c r="AB177" s="1191"/>
      <c r="AC177" s="1191"/>
      <c r="AD177" s="1188"/>
      <c r="AE177" s="1188"/>
      <c r="AF177" s="1188"/>
      <c r="AG177" s="1188"/>
      <c r="AH177" s="1188"/>
      <c r="AI177" s="1188"/>
      <c r="AJ177" s="1188"/>
      <c r="AK177" s="1188"/>
      <c r="AL177" s="1188"/>
      <c r="AM177" s="1188"/>
      <c r="AN177" s="1188"/>
      <c r="AO177" s="1188"/>
      <c r="AP177" s="1188"/>
    </row>
    <row r="178" spans="1:42">
      <c r="A178" s="1188"/>
      <c r="B178" s="1188"/>
      <c r="C178" s="1188"/>
      <c r="D178" s="1188"/>
      <c r="E178" s="1188"/>
      <c r="F178" s="1188"/>
      <c r="G178" s="1188"/>
      <c r="H178" s="1188"/>
      <c r="I178" s="1191"/>
      <c r="J178" s="1191"/>
      <c r="K178" s="1191"/>
      <c r="L178" s="1191"/>
      <c r="M178" s="1191"/>
      <c r="N178" s="1191"/>
      <c r="O178" s="1191"/>
      <c r="P178" s="1191"/>
      <c r="Q178" s="1191"/>
      <c r="R178" s="1191"/>
      <c r="S178" s="1191"/>
      <c r="T178" s="1191"/>
      <c r="U178" s="1191"/>
      <c r="V178" s="1191"/>
      <c r="W178" s="1191"/>
      <c r="X178" s="1191"/>
      <c r="Y178" s="1191"/>
      <c r="Z178" s="1191"/>
      <c r="AA178" s="1191"/>
      <c r="AB178" s="1191"/>
      <c r="AC178" s="1191"/>
      <c r="AD178" s="1188"/>
      <c r="AE178" s="1188"/>
      <c r="AF178" s="1188"/>
      <c r="AG178" s="1188"/>
      <c r="AH178" s="1188"/>
      <c r="AI178" s="1188"/>
      <c r="AJ178" s="1188"/>
      <c r="AK178" s="1188"/>
      <c r="AL178" s="1188"/>
      <c r="AM178" s="1188"/>
      <c r="AN178" s="1188"/>
      <c r="AO178" s="1188"/>
      <c r="AP178" s="1188"/>
    </row>
    <row r="179" spans="1:42">
      <c r="A179" s="1188"/>
      <c r="B179" s="1188"/>
      <c r="C179" s="1188"/>
      <c r="D179" s="1188"/>
      <c r="E179" s="1188"/>
      <c r="F179" s="1188"/>
      <c r="G179" s="1188"/>
      <c r="H179" s="1188"/>
      <c r="I179" s="1191"/>
      <c r="J179" s="1191"/>
      <c r="K179" s="1191"/>
      <c r="L179" s="1191"/>
      <c r="M179" s="1191"/>
      <c r="N179" s="1191"/>
      <c r="O179" s="1191"/>
      <c r="P179" s="1191"/>
      <c r="Q179" s="1191"/>
      <c r="R179" s="1191"/>
      <c r="S179" s="1191"/>
      <c r="T179" s="1191"/>
      <c r="U179" s="1191"/>
      <c r="V179" s="1191"/>
      <c r="W179" s="1191"/>
      <c r="X179" s="1191"/>
      <c r="Y179" s="1191"/>
      <c r="Z179" s="1191"/>
      <c r="AA179" s="1191"/>
      <c r="AB179" s="1191"/>
      <c r="AC179" s="1191"/>
      <c r="AD179" s="1188"/>
      <c r="AE179" s="1188"/>
      <c r="AF179" s="1188"/>
      <c r="AG179" s="1188"/>
      <c r="AH179" s="1188"/>
      <c r="AI179" s="1188"/>
      <c r="AJ179" s="1188"/>
      <c r="AK179" s="1188"/>
      <c r="AL179" s="1188"/>
      <c r="AM179" s="1188"/>
      <c r="AN179" s="1188"/>
      <c r="AO179" s="1188"/>
      <c r="AP179" s="1188"/>
    </row>
    <row r="180" spans="1:42">
      <c r="A180" s="1188"/>
      <c r="B180" s="1188"/>
      <c r="C180" s="1188"/>
      <c r="D180" s="1188"/>
      <c r="E180" s="1188"/>
      <c r="F180" s="1188"/>
      <c r="G180" s="1188"/>
      <c r="H180" s="1188"/>
      <c r="I180" s="1191"/>
      <c r="J180" s="1191"/>
      <c r="K180" s="1191"/>
      <c r="L180" s="1191"/>
      <c r="M180" s="1191"/>
      <c r="N180" s="1191"/>
      <c r="O180" s="1191"/>
      <c r="P180" s="1191"/>
      <c r="Q180" s="1191"/>
      <c r="R180" s="1191"/>
      <c r="S180" s="1191"/>
      <c r="T180" s="1191"/>
      <c r="U180" s="1191"/>
      <c r="V180" s="1191"/>
      <c r="W180" s="1191"/>
      <c r="X180" s="1191"/>
      <c r="Y180" s="1191"/>
      <c r="Z180" s="1191"/>
      <c r="AA180" s="1191"/>
      <c r="AB180" s="1191"/>
      <c r="AC180" s="1191"/>
      <c r="AD180" s="1188"/>
      <c r="AE180" s="1188"/>
      <c r="AF180" s="1188"/>
      <c r="AG180" s="1188"/>
      <c r="AH180" s="1188"/>
      <c r="AI180" s="1188"/>
      <c r="AJ180" s="1188"/>
      <c r="AK180" s="1188"/>
      <c r="AL180" s="1188"/>
      <c r="AM180" s="1188"/>
      <c r="AN180" s="1188"/>
      <c r="AO180" s="1188"/>
      <c r="AP180" s="1188"/>
    </row>
    <row r="181" spans="1:42">
      <c r="A181" s="1188"/>
      <c r="B181" s="1188"/>
      <c r="C181" s="1188"/>
      <c r="D181" s="1188"/>
      <c r="E181" s="1188"/>
      <c r="F181" s="1188"/>
      <c r="G181" s="1188"/>
      <c r="H181" s="1188"/>
      <c r="I181" s="1191"/>
      <c r="J181" s="1191"/>
      <c r="K181" s="1191"/>
      <c r="L181" s="1191"/>
      <c r="M181" s="1191"/>
      <c r="N181" s="1191"/>
      <c r="O181" s="1191"/>
      <c r="P181" s="1191"/>
      <c r="Q181" s="1191"/>
      <c r="R181" s="1191"/>
      <c r="S181" s="1191"/>
      <c r="T181" s="1191"/>
      <c r="U181" s="1191"/>
      <c r="V181" s="1191"/>
      <c r="W181" s="1191"/>
      <c r="X181" s="1191"/>
      <c r="Y181" s="1191"/>
      <c r="Z181" s="1191"/>
      <c r="AA181" s="1191"/>
      <c r="AB181" s="1191"/>
      <c r="AC181" s="1191"/>
      <c r="AD181" s="1188"/>
      <c r="AE181" s="1188"/>
      <c r="AF181" s="1188"/>
      <c r="AG181" s="1188"/>
      <c r="AH181" s="1188"/>
      <c r="AI181" s="1188"/>
      <c r="AJ181" s="1188"/>
      <c r="AK181" s="1188"/>
      <c r="AL181" s="1188"/>
      <c r="AM181" s="1188"/>
      <c r="AN181" s="1188"/>
      <c r="AO181" s="1188"/>
      <c r="AP181" s="1188"/>
    </row>
    <row r="182" spans="1:42">
      <c r="A182" s="1188"/>
      <c r="B182" s="1188"/>
      <c r="C182" s="1188"/>
      <c r="D182" s="1188"/>
      <c r="E182" s="1188"/>
      <c r="F182" s="1188"/>
      <c r="G182" s="1188"/>
      <c r="H182" s="1188"/>
      <c r="I182" s="1191"/>
      <c r="J182" s="1191"/>
      <c r="K182" s="1191"/>
      <c r="L182" s="1191"/>
      <c r="M182" s="1191"/>
      <c r="N182" s="1191"/>
      <c r="O182" s="1191"/>
      <c r="P182" s="1191"/>
      <c r="Q182" s="1191"/>
      <c r="R182" s="1191"/>
      <c r="S182" s="1191"/>
      <c r="T182" s="1191"/>
      <c r="U182" s="1191"/>
      <c r="V182" s="1191"/>
      <c r="W182" s="1191"/>
      <c r="X182" s="1191"/>
      <c r="Y182" s="1191"/>
      <c r="Z182" s="1191"/>
      <c r="AA182" s="1191"/>
      <c r="AB182" s="1191"/>
      <c r="AC182" s="1191"/>
      <c r="AD182" s="1188"/>
      <c r="AE182" s="1188"/>
      <c r="AF182" s="1188"/>
      <c r="AG182" s="1188"/>
      <c r="AH182" s="1188"/>
      <c r="AI182" s="1188"/>
      <c r="AJ182" s="1188"/>
      <c r="AK182" s="1188"/>
      <c r="AL182" s="1188"/>
      <c r="AM182" s="1188"/>
      <c r="AN182" s="1188"/>
      <c r="AO182" s="1188"/>
      <c r="AP182" s="1188"/>
    </row>
    <row r="183" spans="1:42">
      <c r="A183" s="1188"/>
      <c r="B183" s="1188"/>
      <c r="C183" s="1188"/>
      <c r="D183" s="1188"/>
      <c r="E183" s="1188"/>
      <c r="F183" s="1188"/>
      <c r="G183" s="1188"/>
      <c r="H183" s="1188"/>
      <c r="I183" s="1191"/>
      <c r="J183" s="1191"/>
      <c r="K183" s="1191"/>
      <c r="L183" s="1191"/>
      <c r="M183" s="1191"/>
      <c r="N183" s="1191"/>
      <c r="O183" s="1191"/>
      <c r="P183" s="1191"/>
      <c r="Q183" s="1191"/>
      <c r="R183" s="1191"/>
      <c r="S183" s="1191"/>
      <c r="T183" s="1191"/>
      <c r="U183" s="1191"/>
      <c r="V183" s="1191"/>
      <c r="W183" s="1191"/>
      <c r="X183" s="1191"/>
      <c r="Y183" s="1191"/>
      <c r="Z183" s="1191"/>
      <c r="AA183" s="1191"/>
      <c r="AB183" s="1191"/>
      <c r="AC183" s="1191"/>
      <c r="AD183" s="1188"/>
      <c r="AE183" s="1188"/>
      <c r="AF183" s="1188"/>
      <c r="AG183" s="1188"/>
      <c r="AH183" s="1188"/>
      <c r="AI183" s="1188"/>
      <c r="AJ183" s="1188"/>
      <c r="AK183" s="1188"/>
      <c r="AL183" s="1188"/>
      <c r="AM183" s="1188"/>
      <c r="AN183" s="1188"/>
      <c r="AO183" s="1188"/>
      <c r="AP183" s="1188"/>
    </row>
    <row r="184" spans="1:42">
      <c r="A184" s="1188"/>
      <c r="B184" s="1188"/>
      <c r="C184" s="1188"/>
      <c r="D184" s="1188"/>
      <c r="E184" s="1188"/>
      <c r="F184" s="1188"/>
      <c r="G184" s="1188"/>
      <c r="H184" s="1188"/>
      <c r="I184" s="1191"/>
      <c r="J184" s="1191"/>
      <c r="K184" s="1191"/>
      <c r="L184" s="1191"/>
      <c r="M184" s="1191"/>
      <c r="N184" s="1191"/>
      <c r="O184" s="1191"/>
      <c r="P184" s="1191"/>
      <c r="Q184" s="1191"/>
      <c r="R184" s="1191"/>
      <c r="S184" s="1191"/>
      <c r="T184" s="1191"/>
      <c r="U184" s="1191"/>
      <c r="V184" s="1191"/>
      <c r="W184" s="1191"/>
      <c r="X184" s="1191"/>
      <c r="Y184" s="1191"/>
      <c r="Z184" s="1191"/>
      <c r="AA184" s="1191"/>
      <c r="AB184" s="1191"/>
      <c r="AC184" s="1191"/>
      <c r="AD184" s="1188"/>
      <c r="AE184" s="1188"/>
      <c r="AF184" s="1188"/>
      <c r="AG184" s="1188"/>
      <c r="AH184" s="1188"/>
      <c r="AI184" s="1188"/>
      <c r="AJ184" s="1188"/>
      <c r="AK184" s="1188"/>
      <c r="AL184" s="1188"/>
      <c r="AM184" s="1188"/>
      <c r="AN184" s="1188"/>
      <c r="AO184" s="1188"/>
      <c r="AP184" s="1188"/>
    </row>
    <row r="185" spans="1:42">
      <c r="A185" s="1188"/>
      <c r="B185" s="1188"/>
      <c r="C185" s="1188"/>
      <c r="D185" s="1188"/>
      <c r="E185" s="1188"/>
      <c r="F185" s="1188"/>
      <c r="G185" s="1188"/>
      <c r="H185" s="1188"/>
      <c r="I185" s="1191"/>
      <c r="J185" s="1191"/>
      <c r="K185" s="1191"/>
      <c r="L185" s="1191"/>
      <c r="M185" s="1191"/>
      <c r="N185" s="1191"/>
      <c r="O185" s="1191"/>
      <c r="P185" s="1191"/>
      <c r="Q185" s="1191"/>
      <c r="R185" s="1191"/>
      <c r="S185" s="1191"/>
      <c r="T185" s="1191"/>
      <c r="U185" s="1191"/>
      <c r="V185" s="1191"/>
      <c r="W185" s="1191"/>
      <c r="X185" s="1191"/>
      <c r="Y185" s="1191"/>
      <c r="Z185" s="1191"/>
      <c r="AA185" s="1191"/>
      <c r="AB185" s="1191"/>
      <c r="AC185" s="1191"/>
      <c r="AD185" s="1188"/>
      <c r="AE185" s="1188"/>
      <c r="AF185" s="1188"/>
      <c r="AG185" s="1188"/>
      <c r="AH185" s="1188"/>
      <c r="AI185" s="1188"/>
      <c r="AJ185" s="1188"/>
      <c r="AK185" s="1188"/>
      <c r="AL185" s="1188"/>
      <c r="AM185" s="1188"/>
      <c r="AN185" s="1188"/>
      <c r="AO185" s="1188"/>
      <c r="AP185" s="1188"/>
    </row>
    <row r="186" spans="1:42">
      <c r="A186" s="1188"/>
      <c r="B186" s="1188"/>
      <c r="C186" s="1188"/>
      <c r="D186" s="1188"/>
      <c r="E186" s="1188"/>
      <c r="F186" s="1188"/>
      <c r="G186" s="1188"/>
      <c r="H186" s="1188"/>
      <c r="I186" s="1191"/>
      <c r="J186" s="1191"/>
      <c r="K186" s="1191"/>
      <c r="L186" s="1191"/>
      <c r="M186" s="1191"/>
      <c r="N186" s="1191"/>
      <c r="O186" s="1191"/>
      <c r="P186" s="1191"/>
      <c r="Q186" s="1191"/>
      <c r="R186" s="1191"/>
      <c r="S186" s="1191"/>
      <c r="T186" s="1191"/>
      <c r="U186" s="1191"/>
      <c r="V186" s="1191"/>
      <c r="W186" s="1191"/>
      <c r="X186" s="1191"/>
      <c r="Y186" s="1191"/>
      <c r="Z186" s="1191"/>
      <c r="AA186" s="1191"/>
      <c r="AB186" s="1191"/>
      <c r="AC186" s="1191"/>
      <c r="AD186" s="1188"/>
      <c r="AE186" s="1188"/>
      <c r="AF186" s="1188"/>
      <c r="AG186" s="1188"/>
      <c r="AH186" s="1188"/>
      <c r="AI186" s="1188"/>
      <c r="AJ186" s="1188"/>
      <c r="AK186" s="1188"/>
      <c r="AL186" s="1188"/>
      <c r="AM186" s="1188"/>
      <c r="AN186" s="1188"/>
      <c r="AO186" s="1188"/>
      <c r="AP186" s="1188"/>
    </row>
    <row r="187" spans="1:42">
      <c r="A187" s="1188"/>
      <c r="B187" s="1188"/>
      <c r="C187" s="1188"/>
      <c r="D187" s="1188"/>
      <c r="E187" s="1188"/>
      <c r="F187" s="1188"/>
      <c r="G187" s="1188"/>
      <c r="H187" s="1188"/>
      <c r="I187" s="1191"/>
      <c r="J187" s="1191"/>
      <c r="K187" s="1191"/>
      <c r="L187" s="1191"/>
      <c r="M187" s="1191"/>
      <c r="N187" s="1191"/>
      <c r="O187" s="1191"/>
      <c r="P187" s="1191"/>
      <c r="Q187" s="1191"/>
      <c r="R187" s="1191"/>
      <c r="S187" s="1191"/>
      <c r="T187" s="1191"/>
      <c r="U187" s="1191"/>
      <c r="V187" s="1191"/>
      <c r="W187" s="1191"/>
      <c r="X187" s="1191"/>
      <c r="Y187" s="1191"/>
      <c r="Z187" s="1191"/>
      <c r="AA187" s="1191"/>
      <c r="AB187" s="1191"/>
      <c r="AC187" s="1191"/>
      <c r="AD187" s="1188"/>
      <c r="AE187" s="1188"/>
      <c r="AF187" s="1188"/>
      <c r="AG187" s="1188"/>
      <c r="AH187" s="1188"/>
      <c r="AI187" s="1188"/>
      <c r="AJ187" s="1188"/>
      <c r="AK187" s="1188"/>
      <c r="AL187" s="1188"/>
      <c r="AM187" s="1188"/>
      <c r="AN187" s="1188"/>
      <c r="AO187" s="1188"/>
      <c r="AP187" s="1188"/>
    </row>
    <row r="188" spans="1:42">
      <c r="A188" s="1188"/>
      <c r="B188" s="1188"/>
      <c r="C188" s="1188"/>
      <c r="D188" s="1188"/>
      <c r="E188" s="1188"/>
      <c r="F188" s="1188"/>
      <c r="G188" s="1188"/>
      <c r="H188" s="1188"/>
      <c r="I188" s="1191"/>
      <c r="J188" s="1191"/>
      <c r="K188" s="1191"/>
      <c r="L188" s="1191"/>
      <c r="M188" s="1191"/>
      <c r="N188" s="1191"/>
      <c r="O188" s="1191"/>
      <c r="P188" s="1191"/>
      <c r="Q188" s="1191"/>
      <c r="R188" s="1191"/>
      <c r="S188" s="1191"/>
      <c r="T188" s="1191"/>
      <c r="U188" s="1191"/>
      <c r="V188" s="1191"/>
      <c r="W188" s="1191"/>
      <c r="X188" s="1191"/>
      <c r="Y188" s="1191"/>
      <c r="Z188" s="1191"/>
      <c r="AA188" s="1191"/>
      <c r="AB188" s="1191"/>
      <c r="AC188" s="1191"/>
      <c r="AD188" s="1188"/>
      <c r="AE188" s="1188"/>
      <c r="AF188" s="1188"/>
      <c r="AG188" s="1188"/>
      <c r="AH188" s="1188"/>
      <c r="AI188" s="1188"/>
      <c r="AJ188" s="1188"/>
      <c r="AK188" s="1188"/>
      <c r="AL188" s="1188"/>
      <c r="AM188" s="1188"/>
      <c r="AN188" s="1188"/>
      <c r="AO188" s="1188"/>
      <c r="AP188" s="1188"/>
    </row>
    <row r="189" spans="1:42">
      <c r="A189" s="1188"/>
      <c r="B189" s="1188"/>
      <c r="C189" s="1188"/>
      <c r="D189" s="1188"/>
      <c r="E189" s="1188"/>
      <c r="F189" s="1188"/>
      <c r="G189" s="1188"/>
      <c r="H189" s="1188"/>
      <c r="I189" s="1191"/>
      <c r="J189" s="1191"/>
      <c r="K189" s="1191"/>
      <c r="L189" s="1191"/>
      <c r="M189" s="1191"/>
      <c r="N189" s="1191"/>
      <c r="O189" s="1191"/>
      <c r="P189" s="1191"/>
      <c r="Q189" s="1191"/>
      <c r="R189" s="1191"/>
      <c r="S189" s="1191"/>
      <c r="T189" s="1191"/>
      <c r="U189" s="1191"/>
      <c r="V189" s="1191"/>
      <c r="W189" s="1191"/>
      <c r="X189" s="1191"/>
      <c r="Y189" s="1191"/>
      <c r="Z189" s="1191"/>
      <c r="AA189" s="1191"/>
      <c r="AB189" s="1191"/>
      <c r="AC189" s="1191"/>
      <c r="AD189" s="1188"/>
      <c r="AE189" s="1188"/>
      <c r="AF189" s="1188"/>
      <c r="AG189" s="1188"/>
      <c r="AH189" s="1188"/>
      <c r="AI189" s="1188"/>
      <c r="AJ189" s="1188"/>
      <c r="AK189" s="1188"/>
      <c r="AL189" s="1188"/>
      <c r="AM189" s="1188"/>
      <c r="AN189" s="1188"/>
      <c r="AO189" s="1188"/>
      <c r="AP189" s="1188"/>
    </row>
    <row r="190" spans="1:42">
      <c r="A190" s="1188"/>
      <c r="B190" s="1188"/>
      <c r="C190" s="1188"/>
      <c r="D190" s="1188"/>
      <c r="E190" s="1188"/>
      <c r="F190" s="1188"/>
      <c r="G190" s="1188"/>
      <c r="H190" s="1188"/>
      <c r="I190" s="1191"/>
      <c r="J190" s="1191"/>
      <c r="K190" s="1191"/>
      <c r="L190" s="1191"/>
      <c r="M190" s="1191"/>
      <c r="N190" s="1191"/>
      <c r="O190" s="1191"/>
      <c r="P190" s="1191"/>
      <c r="Q190" s="1191"/>
      <c r="R190" s="1191"/>
      <c r="S190" s="1191"/>
      <c r="T190" s="1191"/>
      <c r="U190" s="1191"/>
      <c r="V190" s="1191"/>
      <c r="W190" s="1191"/>
      <c r="X190" s="1191"/>
      <c r="Y190" s="1191"/>
      <c r="Z190" s="1191"/>
      <c r="AA190" s="1191"/>
      <c r="AB190" s="1191"/>
      <c r="AC190" s="1191"/>
      <c r="AD190" s="1188"/>
      <c r="AE190" s="1188"/>
      <c r="AF190" s="1188"/>
      <c r="AG190" s="1188"/>
      <c r="AH190" s="1188"/>
      <c r="AI190" s="1188"/>
      <c r="AJ190" s="1188"/>
      <c r="AK190" s="1188"/>
      <c r="AL190" s="1188"/>
      <c r="AM190" s="1188"/>
      <c r="AN190" s="1188"/>
      <c r="AO190" s="1188"/>
      <c r="AP190" s="1188"/>
    </row>
    <row r="191" spans="1:42">
      <c r="A191" s="1188"/>
      <c r="B191" s="1188"/>
      <c r="C191" s="1188"/>
      <c r="D191" s="1188"/>
      <c r="E191" s="1188"/>
      <c r="F191" s="1188"/>
      <c r="G191" s="1188"/>
      <c r="H191" s="1188"/>
      <c r="I191" s="1191"/>
      <c r="J191" s="1191"/>
      <c r="K191" s="1191"/>
      <c r="L191" s="1191"/>
      <c r="M191" s="1191"/>
      <c r="N191" s="1191"/>
      <c r="O191" s="1191"/>
      <c r="P191" s="1191"/>
      <c r="Q191" s="1191"/>
      <c r="R191" s="1191"/>
      <c r="S191" s="1191"/>
      <c r="T191" s="1191"/>
      <c r="U191" s="1191"/>
      <c r="V191" s="1191"/>
      <c r="W191" s="1191"/>
      <c r="X191" s="1191"/>
      <c r="Y191" s="1191"/>
      <c r="Z191" s="1191"/>
      <c r="AA191" s="1191"/>
      <c r="AB191" s="1191"/>
      <c r="AC191" s="1191"/>
      <c r="AD191" s="1188"/>
      <c r="AE191" s="1188"/>
      <c r="AF191" s="1188"/>
      <c r="AG191" s="1188"/>
      <c r="AH191" s="1188"/>
      <c r="AI191" s="1188"/>
      <c r="AJ191" s="1188"/>
      <c r="AK191" s="1188"/>
      <c r="AL191" s="1188"/>
      <c r="AM191" s="1188"/>
      <c r="AN191" s="1188"/>
      <c r="AO191" s="1188"/>
      <c r="AP191" s="1188"/>
    </row>
    <row r="192" spans="1:42">
      <c r="A192" s="1188"/>
      <c r="B192" s="1188"/>
      <c r="C192" s="1188"/>
      <c r="D192" s="1188"/>
      <c r="E192" s="1188"/>
      <c r="F192" s="1188"/>
      <c r="G192" s="1188"/>
      <c r="H192" s="1188"/>
      <c r="I192" s="1191"/>
      <c r="J192" s="1191"/>
      <c r="K192" s="1191"/>
      <c r="L192" s="1191"/>
      <c r="M192" s="1191"/>
      <c r="N192" s="1191"/>
      <c r="O192" s="1191"/>
      <c r="P192" s="1191"/>
      <c r="Q192" s="1191"/>
      <c r="R192" s="1191"/>
      <c r="S192" s="1191"/>
      <c r="T192" s="1191"/>
      <c r="U192" s="1191"/>
      <c r="V192" s="1191"/>
      <c r="W192" s="1191"/>
      <c r="X192" s="1191"/>
      <c r="Y192" s="1191"/>
      <c r="Z192" s="1191"/>
      <c r="AA192" s="1191"/>
      <c r="AB192" s="1191"/>
      <c r="AC192" s="1191"/>
      <c r="AD192" s="1188"/>
      <c r="AE192" s="1188"/>
      <c r="AF192" s="1188"/>
      <c r="AG192" s="1188"/>
      <c r="AH192" s="1188"/>
      <c r="AI192" s="1188"/>
      <c r="AJ192" s="1188"/>
      <c r="AK192" s="1188"/>
      <c r="AL192" s="1188"/>
      <c r="AM192" s="1188"/>
      <c r="AN192" s="1188"/>
      <c r="AO192" s="1188"/>
      <c r="AP192" s="1188"/>
    </row>
    <row r="193" spans="1:42">
      <c r="A193" s="1188"/>
      <c r="B193" s="1188"/>
      <c r="C193" s="1188"/>
      <c r="D193" s="1188"/>
      <c r="E193" s="1188"/>
      <c r="F193" s="1188"/>
      <c r="G193" s="1188"/>
      <c r="H193" s="1188"/>
      <c r="I193" s="1191"/>
      <c r="J193" s="1191"/>
      <c r="K193" s="1191"/>
      <c r="L193" s="1191"/>
      <c r="M193" s="1191"/>
      <c r="N193" s="1191"/>
      <c r="O193" s="1191"/>
      <c r="P193" s="1191"/>
      <c r="Q193" s="1191"/>
      <c r="R193" s="1191"/>
      <c r="S193" s="1191"/>
      <c r="T193" s="1191"/>
      <c r="U193" s="1191"/>
      <c r="V193" s="1191"/>
      <c r="W193" s="1191"/>
      <c r="X193" s="1191"/>
      <c r="Y193" s="1191"/>
      <c r="Z193" s="1191"/>
      <c r="AA193" s="1191"/>
      <c r="AB193" s="1191"/>
      <c r="AC193" s="1191"/>
      <c r="AD193" s="1188"/>
      <c r="AE193" s="1188"/>
      <c r="AF193" s="1188"/>
      <c r="AG193" s="1188"/>
      <c r="AH193" s="1188"/>
      <c r="AI193" s="1188"/>
      <c r="AJ193" s="1188"/>
      <c r="AK193" s="1188"/>
      <c r="AL193" s="1188"/>
      <c r="AM193" s="1188"/>
      <c r="AN193" s="1188"/>
      <c r="AO193" s="1188"/>
      <c r="AP193" s="1188"/>
    </row>
    <row r="194" spans="1:42">
      <c r="A194" s="1188"/>
      <c r="B194" s="1188"/>
      <c r="C194" s="1188"/>
      <c r="D194" s="1188"/>
      <c r="E194" s="1188"/>
      <c r="F194" s="1188"/>
      <c r="G194" s="1188"/>
      <c r="H194" s="1188"/>
      <c r="I194" s="1191"/>
      <c r="J194" s="1191"/>
      <c r="K194" s="1191"/>
      <c r="L194" s="1191"/>
      <c r="M194" s="1191"/>
      <c r="N194" s="1191"/>
      <c r="O194" s="1191"/>
      <c r="P194" s="1191"/>
      <c r="Q194" s="1191"/>
      <c r="R194" s="1191"/>
      <c r="S194" s="1191"/>
      <c r="T194" s="1191"/>
      <c r="U194" s="1191"/>
      <c r="V194" s="1191"/>
      <c r="W194" s="1191"/>
      <c r="X194" s="1191"/>
      <c r="Y194" s="1191"/>
      <c r="Z194" s="1191"/>
      <c r="AA194" s="1191"/>
      <c r="AB194" s="1191"/>
      <c r="AC194" s="1191"/>
      <c r="AD194" s="1188"/>
      <c r="AE194" s="1188"/>
      <c r="AF194" s="1188"/>
      <c r="AG194" s="1188"/>
      <c r="AH194" s="1188"/>
      <c r="AI194" s="1188"/>
      <c r="AJ194" s="1188"/>
      <c r="AK194" s="1188"/>
      <c r="AL194" s="1188"/>
      <c r="AM194" s="1188"/>
      <c r="AN194" s="1188"/>
      <c r="AO194" s="1188"/>
      <c r="AP194" s="1188"/>
    </row>
    <row r="195" spans="1:42">
      <c r="A195" s="1188"/>
      <c r="B195" s="1188"/>
      <c r="C195" s="1188"/>
      <c r="D195" s="1188"/>
      <c r="E195" s="1188"/>
      <c r="F195" s="1188"/>
      <c r="G195" s="1188"/>
      <c r="H195" s="1188"/>
      <c r="I195" s="1191"/>
      <c r="J195" s="1191"/>
      <c r="K195" s="1191"/>
      <c r="L195" s="1191"/>
      <c r="M195" s="1191"/>
      <c r="N195" s="1191"/>
      <c r="O195" s="1191"/>
      <c r="P195" s="1191"/>
      <c r="Q195" s="1191"/>
      <c r="R195" s="1191"/>
      <c r="S195" s="1191"/>
      <c r="T195" s="1191"/>
      <c r="U195" s="1191"/>
      <c r="V195" s="1191"/>
      <c r="W195" s="1191"/>
      <c r="X195" s="1191"/>
      <c r="Y195" s="1191"/>
      <c r="Z195" s="1191"/>
      <c r="AA195" s="1191"/>
      <c r="AB195" s="1191"/>
      <c r="AC195" s="1191"/>
      <c r="AD195" s="1188"/>
      <c r="AE195" s="1188"/>
      <c r="AF195" s="1188"/>
      <c r="AG195" s="1188"/>
      <c r="AH195" s="1188"/>
      <c r="AI195" s="1188"/>
      <c r="AJ195" s="1188"/>
      <c r="AK195" s="1188"/>
      <c r="AL195" s="1188"/>
      <c r="AM195" s="1188"/>
      <c r="AN195" s="1188"/>
      <c r="AO195" s="1188"/>
      <c r="AP195" s="1188"/>
    </row>
    <row r="196" spans="1:42">
      <c r="A196" s="1188"/>
      <c r="B196" s="1188"/>
      <c r="C196" s="1188"/>
      <c r="D196" s="1188"/>
      <c r="E196" s="1188"/>
      <c r="F196" s="1188"/>
      <c r="G196" s="1188"/>
      <c r="H196" s="1188"/>
      <c r="I196" s="1191"/>
      <c r="J196" s="1191"/>
      <c r="K196" s="1191"/>
      <c r="L196" s="1191"/>
      <c r="M196" s="1191"/>
      <c r="N196" s="1191"/>
      <c r="O196" s="1191"/>
      <c r="P196" s="1191"/>
      <c r="Q196" s="1191"/>
      <c r="R196" s="1191"/>
      <c r="S196" s="1191"/>
      <c r="T196" s="1191"/>
      <c r="U196" s="1191"/>
      <c r="V196" s="1191"/>
      <c r="W196" s="1191"/>
      <c r="X196" s="1191"/>
      <c r="Y196" s="1191"/>
      <c r="Z196" s="1191"/>
      <c r="AA196" s="1191"/>
      <c r="AB196" s="1191"/>
      <c r="AC196" s="1191"/>
      <c r="AD196" s="1188"/>
      <c r="AE196" s="1188"/>
      <c r="AF196" s="1188"/>
      <c r="AG196" s="1188"/>
      <c r="AH196" s="1188"/>
      <c r="AI196" s="1188"/>
      <c r="AJ196" s="1188"/>
      <c r="AK196" s="1188"/>
      <c r="AL196" s="1188"/>
      <c r="AM196" s="1188"/>
      <c r="AN196" s="1188"/>
      <c r="AO196" s="1188"/>
      <c r="AP196" s="1188"/>
    </row>
    <row r="197" spans="1:42">
      <c r="A197" s="1188"/>
      <c r="B197" s="1188"/>
      <c r="C197" s="1188"/>
      <c r="D197" s="1188"/>
      <c r="E197" s="1188"/>
      <c r="F197" s="1188"/>
      <c r="G197" s="1188"/>
      <c r="H197" s="1188"/>
      <c r="I197" s="1191"/>
      <c r="J197" s="1191"/>
      <c r="K197" s="1191"/>
      <c r="L197" s="1191"/>
      <c r="M197" s="1191"/>
      <c r="N197" s="1191"/>
      <c r="O197" s="1191"/>
      <c r="P197" s="1191"/>
      <c r="Q197" s="1191"/>
      <c r="R197" s="1191"/>
      <c r="S197" s="1191"/>
      <c r="T197" s="1191"/>
      <c r="U197" s="1191"/>
      <c r="V197" s="1191"/>
      <c r="W197" s="1191"/>
      <c r="X197" s="1191"/>
      <c r="Y197" s="1191"/>
      <c r="Z197" s="1191"/>
      <c r="AA197" s="1191"/>
      <c r="AB197" s="1191"/>
      <c r="AC197" s="1191"/>
      <c r="AD197" s="1188"/>
      <c r="AE197" s="1188"/>
      <c r="AF197" s="1188"/>
      <c r="AG197" s="1188"/>
      <c r="AH197" s="1188"/>
      <c r="AI197" s="1188"/>
      <c r="AJ197" s="1188"/>
      <c r="AK197" s="1188"/>
      <c r="AL197" s="1188"/>
      <c r="AM197" s="1188"/>
      <c r="AN197" s="1188"/>
      <c r="AO197" s="1188"/>
      <c r="AP197" s="1188"/>
    </row>
    <row r="198" spans="1:42">
      <c r="A198" s="1188"/>
      <c r="B198" s="1188"/>
      <c r="C198" s="1188"/>
      <c r="D198" s="1188"/>
      <c r="E198" s="1188"/>
      <c r="F198" s="1188"/>
      <c r="G198" s="1188"/>
      <c r="H198" s="1188"/>
      <c r="I198" s="1191"/>
      <c r="J198" s="1191"/>
      <c r="K198" s="1191"/>
      <c r="L198" s="1191"/>
      <c r="M198" s="1191"/>
      <c r="N198" s="1191"/>
      <c r="O198" s="1191"/>
      <c r="P198" s="1191"/>
      <c r="Q198" s="1191"/>
      <c r="R198" s="1191"/>
      <c r="S198" s="1191"/>
      <c r="T198" s="1191"/>
      <c r="U198" s="1191"/>
      <c r="V198" s="1191"/>
      <c r="W198" s="1191"/>
      <c r="X198" s="1191"/>
      <c r="Y198" s="1191"/>
      <c r="Z198" s="1191"/>
      <c r="AA198" s="1191"/>
      <c r="AB198" s="1191"/>
      <c r="AC198" s="1191"/>
      <c r="AD198" s="1188"/>
      <c r="AE198" s="1188"/>
      <c r="AF198" s="1188"/>
      <c r="AG198" s="1188"/>
      <c r="AH198" s="1188"/>
      <c r="AI198" s="1188"/>
      <c r="AJ198" s="1188"/>
      <c r="AK198" s="1188"/>
      <c r="AL198" s="1188"/>
      <c r="AM198" s="1188"/>
      <c r="AN198" s="1188"/>
      <c r="AO198" s="1188"/>
      <c r="AP198" s="1188"/>
    </row>
    <row r="199" spans="1:42">
      <c r="A199" s="1188"/>
      <c r="B199" s="1188"/>
      <c r="C199" s="1188"/>
      <c r="D199" s="1188"/>
      <c r="E199" s="1188"/>
      <c r="F199" s="1188"/>
      <c r="G199" s="1188"/>
      <c r="H199" s="1188"/>
      <c r="I199" s="1191"/>
      <c r="J199" s="1191"/>
      <c r="K199" s="1191"/>
      <c r="L199" s="1191"/>
      <c r="M199" s="1191"/>
      <c r="N199" s="1191"/>
      <c r="O199" s="1191"/>
      <c r="P199" s="1191"/>
      <c r="Q199" s="1191"/>
      <c r="R199" s="1191"/>
      <c r="S199" s="1191"/>
      <c r="T199" s="1191"/>
      <c r="U199" s="1191"/>
      <c r="V199" s="1191"/>
      <c r="W199" s="1191"/>
      <c r="X199" s="1191"/>
      <c r="Y199" s="1191"/>
      <c r="Z199" s="1191"/>
      <c r="AA199" s="1191"/>
      <c r="AB199" s="1191"/>
      <c r="AC199" s="1191"/>
      <c r="AD199" s="1188"/>
      <c r="AE199" s="1188"/>
      <c r="AF199" s="1188"/>
      <c r="AG199" s="1188"/>
      <c r="AH199" s="1188"/>
      <c r="AI199" s="1188"/>
      <c r="AJ199" s="1188"/>
      <c r="AK199" s="1188"/>
      <c r="AL199" s="1188"/>
      <c r="AM199" s="1188"/>
      <c r="AN199" s="1188"/>
      <c r="AO199" s="1188"/>
      <c r="AP199" s="1188"/>
    </row>
    <row r="200" spans="1:42">
      <c r="A200" s="1188"/>
      <c r="B200" s="1188"/>
      <c r="C200" s="1188"/>
      <c r="D200" s="1188"/>
      <c r="E200" s="1188"/>
      <c r="F200" s="1188"/>
      <c r="G200" s="1188"/>
      <c r="H200" s="1188"/>
      <c r="I200" s="1191"/>
      <c r="J200" s="1191"/>
      <c r="K200" s="1191"/>
      <c r="L200" s="1191"/>
      <c r="M200" s="1191"/>
      <c r="N200" s="1191"/>
      <c r="O200" s="1191"/>
      <c r="P200" s="1191"/>
      <c r="Q200" s="1191"/>
      <c r="R200" s="1191"/>
      <c r="S200" s="1191"/>
      <c r="T200" s="1191"/>
      <c r="U200" s="1191"/>
      <c r="V200" s="1191"/>
      <c r="W200" s="1191"/>
      <c r="X200" s="1191"/>
      <c r="Y200" s="1191"/>
      <c r="Z200" s="1191"/>
      <c r="AA200" s="1191"/>
      <c r="AB200" s="1191"/>
      <c r="AC200" s="1191"/>
      <c r="AD200" s="1188"/>
      <c r="AE200" s="1188"/>
      <c r="AF200" s="1188"/>
      <c r="AG200" s="1188"/>
      <c r="AH200" s="1188"/>
      <c r="AI200" s="1188"/>
      <c r="AJ200" s="1188"/>
      <c r="AK200" s="1188"/>
      <c r="AL200" s="1188"/>
      <c r="AM200" s="1188"/>
      <c r="AN200" s="1188"/>
      <c r="AO200" s="1188"/>
      <c r="AP200" s="1188"/>
    </row>
    <row r="201" spans="1:42">
      <c r="A201" s="1188"/>
      <c r="B201" s="1188"/>
      <c r="C201" s="1188"/>
      <c r="D201" s="1188"/>
      <c r="E201" s="1188"/>
      <c r="F201" s="1188"/>
      <c r="G201" s="1188"/>
      <c r="H201" s="1188"/>
      <c r="I201" s="1191"/>
      <c r="J201" s="1191"/>
      <c r="K201" s="1191"/>
      <c r="L201" s="1191"/>
      <c r="M201" s="1191"/>
      <c r="N201" s="1191"/>
      <c r="O201" s="1191"/>
      <c r="P201" s="1191"/>
      <c r="Q201" s="1191"/>
      <c r="R201" s="1191"/>
      <c r="S201" s="1191"/>
      <c r="T201" s="1191"/>
      <c r="U201" s="1191"/>
      <c r="V201" s="1191"/>
      <c r="W201" s="1191"/>
      <c r="X201" s="1191"/>
      <c r="Y201" s="1191"/>
      <c r="Z201" s="1191"/>
      <c r="AA201" s="1191"/>
      <c r="AB201" s="1191"/>
      <c r="AC201" s="1191"/>
      <c r="AD201" s="1188"/>
      <c r="AE201" s="1188"/>
      <c r="AF201" s="1188"/>
      <c r="AG201" s="1188"/>
      <c r="AH201" s="1188"/>
      <c r="AI201" s="1188"/>
      <c r="AJ201" s="1188"/>
      <c r="AK201" s="1188"/>
      <c r="AL201" s="1188"/>
      <c r="AM201" s="1188"/>
      <c r="AN201" s="1188"/>
      <c r="AO201" s="1188"/>
      <c r="AP201" s="1188"/>
    </row>
    <row r="202" spans="1:42">
      <c r="A202" s="1188"/>
      <c r="B202" s="1188"/>
      <c r="C202" s="1188"/>
      <c r="D202" s="1188"/>
      <c r="E202" s="1188"/>
      <c r="F202" s="1188"/>
      <c r="G202" s="1188"/>
      <c r="H202" s="1188"/>
      <c r="I202" s="1191"/>
      <c r="J202" s="1191"/>
      <c r="K202" s="1191"/>
      <c r="L202" s="1191"/>
      <c r="M202" s="1191"/>
      <c r="N202" s="1191"/>
      <c r="O202" s="1191"/>
      <c r="P202" s="1191"/>
      <c r="Q202" s="1191"/>
      <c r="R202" s="1191"/>
      <c r="S202" s="1191"/>
      <c r="T202" s="1191"/>
      <c r="U202" s="1191"/>
      <c r="V202" s="1191"/>
      <c r="W202" s="1191"/>
      <c r="X202" s="1191"/>
      <c r="Y202" s="1191"/>
      <c r="Z202" s="1191"/>
      <c r="AA202" s="1191"/>
      <c r="AB202" s="1191"/>
      <c r="AC202" s="1191"/>
      <c r="AD202" s="1188"/>
      <c r="AE202" s="1188"/>
      <c r="AF202" s="1188"/>
      <c r="AG202" s="1188"/>
      <c r="AH202" s="1188"/>
      <c r="AI202" s="1188"/>
      <c r="AJ202" s="1188"/>
      <c r="AK202" s="1188"/>
      <c r="AL202" s="1188"/>
      <c r="AM202" s="1188"/>
      <c r="AN202" s="1188"/>
      <c r="AO202" s="1188"/>
      <c r="AP202" s="1188"/>
    </row>
    <row r="203" spans="1:42">
      <c r="A203" s="1188"/>
      <c r="B203" s="1188"/>
      <c r="C203" s="1188"/>
      <c r="D203" s="1188"/>
      <c r="E203" s="1188"/>
      <c r="F203" s="1188"/>
      <c r="G203" s="1188"/>
      <c r="H203" s="1188"/>
      <c r="I203" s="1191"/>
      <c r="J203" s="1191"/>
      <c r="K203" s="1191"/>
      <c r="L203" s="1191"/>
      <c r="M203" s="1191"/>
      <c r="N203" s="1191"/>
      <c r="O203" s="1191"/>
      <c r="P203" s="1191"/>
      <c r="Q203" s="1191"/>
      <c r="R203" s="1191"/>
      <c r="S203" s="1191"/>
      <c r="T203" s="1191"/>
      <c r="U203" s="1191"/>
      <c r="V203" s="1191"/>
      <c r="W203" s="1191"/>
      <c r="X203" s="1191"/>
      <c r="Y203" s="1191"/>
      <c r="Z203" s="1191"/>
      <c r="AA203" s="1191"/>
      <c r="AB203" s="1191"/>
      <c r="AC203" s="1191"/>
      <c r="AD203" s="1188"/>
      <c r="AE203" s="1188"/>
      <c r="AF203" s="1188"/>
      <c r="AG203" s="1188"/>
      <c r="AH203" s="1188"/>
      <c r="AI203" s="1188"/>
      <c r="AJ203" s="1188"/>
      <c r="AK203" s="1188"/>
      <c r="AL203" s="1188"/>
      <c r="AM203" s="1188"/>
      <c r="AN203" s="1188"/>
      <c r="AO203" s="1188"/>
      <c r="AP203" s="1188"/>
    </row>
    <row r="204" spans="1:42">
      <c r="A204" s="1188"/>
      <c r="B204" s="1188"/>
      <c r="C204" s="1188"/>
      <c r="D204" s="1188"/>
      <c r="E204" s="1188"/>
      <c r="F204" s="1188"/>
      <c r="G204" s="1188"/>
      <c r="H204" s="1188"/>
      <c r="I204" s="1191"/>
      <c r="J204" s="1191"/>
      <c r="K204" s="1191"/>
      <c r="L204" s="1191"/>
      <c r="M204" s="1191"/>
      <c r="N204" s="1191"/>
      <c r="O204" s="1191"/>
      <c r="P204" s="1191"/>
      <c r="Q204" s="1191"/>
      <c r="R204" s="1191"/>
      <c r="S204" s="1191"/>
      <c r="T204" s="1191"/>
      <c r="U204" s="1191"/>
      <c r="V204" s="1191"/>
      <c r="W204" s="1191"/>
      <c r="X204" s="1191"/>
      <c r="Y204" s="1191"/>
      <c r="Z204" s="1191"/>
      <c r="AA204" s="1191"/>
      <c r="AB204" s="1191"/>
      <c r="AC204" s="1191"/>
      <c r="AD204" s="1188"/>
      <c r="AE204" s="1188"/>
      <c r="AF204" s="1188"/>
      <c r="AG204" s="1188"/>
      <c r="AH204" s="1188"/>
      <c r="AI204" s="1188"/>
      <c r="AJ204" s="1188"/>
      <c r="AK204" s="1188"/>
      <c r="AL204" s="1188"/>
      <c r="AM204" s="1188"/>
      <c r="AN204" s="1188"/>
      <c r="AO204" s="1188"/>
      <c r="AP204" s="1188"/>
    </row>
    <row r="205" spans="1:42">
      <c r="A205" s="1188"/>
      <c r="B205" s="1188"/>
      <c r="C205" s="1188"/>
      <c r="D205" s="1188"/>
      <c r="E205" s="1188"/>
      <c r="F205" s="1188"/>
      <c r="G205" s="1188"/>
      <c r="H205" s="1188"/>
      <c r="I205" s="1191"/>
      <c r="J205" s="1191"/>
      <c r="K205" s="1191"/>
      <c r="L205" s="1191"/>
      <c r="M205" s="1191"/>
      <c r="N205" s="1191"/>
      <c r="O205" s="1191"/>
      <c r="P205" s="1191"/>
      <c r="Q205" s="1191"/>
      <c r="R205" s="1191"/>
      <c r="S205" s="1191"/>
      <c r="T205" s="1191"/>
      <c r="U205" s="1191"/>
      <c r="V205" s="1191"/>
      <c r="W205" s="1191"/>
      <c r="X205" s="1191"/>
      <c r="Y205" s="1191"/>
      <c r="Z205" s="1191"/>
      <c r="AA205" s="1191"/>
      <c r="AB205" s="1191"/>
      <c r="AC205" s="1191"/>
      <c r="AD205" s="1188"/>
      <c r="AE205" s="1188"/>
      <c r="AF205" s="1188"/>
      <c r="AG205" s="1188"/>
      <c r="AH205" s="1188"/>
      <c r="AI205" s="1188"/>
      <c r="AJ205" s="1188"/>
      <c r="AK205" s="1188"/>
      <c r="AL205" s="1188"/>
      <c r="AM205" s="1188"/>
      <c r="AN205" s="1188"/>
      <c r="AO205" s="1188"/>
      <c r="AP205" s="1188"/>
    </row>
    <row r="206" spans="1:42">
      <c r="A206" s="1188"/>
      <c r="B206" s="1188"/>
      <c r="C206" s="1188"/>
      <c r="D206" s="1188"/>
      <c r="E206" s="1188"/>
      <c r="F206" s="1188"/>
      <c r="G206" s="1188"/>
      <c r="H206" s="1188"/>
      <c r="I206" s="1191"/>
      <c r="J206" s="1191"/>
      <c r="K206" s="1191"/>
      <c r="L206" s="1191"/>
      <c r="M206" s="1191"/>
      <c r="N206" s="1191"/>
      <c r="O206" s="1191"/>
      <c r="P206" s="1191"/>
      <c r="Q206" s="1191"/>
      <c r="R206" s="1191"/>
      <c r="S206" s="1191"/>
      <c r="T206" s="1191"/>
      <c r="U206" s="1191"/>
      <c r="V206" s="1191"/>
      <c r="W206" s="1191"/>
      <c r="X206" s="1191"/>
      <c r="Y206" s="1191"/>
      <c r="Z206" s="1191"/>
      <c r="AA206" s="1191"/>
      <c r="AB206" s="1191"/>
      <c r="AC206" s="1191"/>
      <c r="AD206" s="1188"/>
      <c r="AE206" s="1188"/>
      <c r="AF206" s="1188"/>
      <c r="AG206" s="1188"/>
      <c r="AH206" s="1188"/>
      <c r="AI206" s="1188"/>
      <c r="AJ206" s="1188"/>
      <c r="AK206" s="1188"/>
      <c r="AL206" s="1188"/>
      <c r="AM206" s="1188"/>
      <c r="AN206" s="1188"/>
      <c r="AO206" s="1188"/>
      <c r="AP206" s="1188"/>
    </row>
    <row r="207" spans="1:42">
      <c r="A207" s="1188"/>
      <c r="B207" s="1188"/>
      <c r="C207" s="1188"/>
      <c r="D207" s="1188"/>
      <c r="E207" s="1188"/>
      <c r="F207" s="1188"/>
      <c r="G207" s="1188"/>
      <c r="H207" s="1188"/>
      <c r="I207" s="1191"/>
      <c r="J207" s="1191"/>
      <c r="K207" s="1191"/>
      <c r="L207" s="1191"/>
      <c r="M207" s="1191"/>
      <c r="N207" s="1191"/>
      <c r="O207" s="1191"/>
      <c r="P207" s="1191"/>
      <c r="Q207" s="1191"/>
      <c r="R207" s="1191"/>
      <c r="S207" s="1191"/>
      <c r="T207" s="1191"/>
      <c r="U207" s="1191"/>
      <c r="V207" s="1191"/>
      <c r="W207" s="1191"/>
      <c r="X207" s="1191"/>
      <c r="Y207" s="1191"/>
      <c r="Z207" s="1191"/>
      <c r="AA207" s="1191"/>
      <c r="AB207" s="1191"/>
      <c r="AC207" s="1191"/>
      <c r="AD207" s="1188"/>
      <c r="AE207" s="1188"/>
      <c r="AF207" s="1188"/>
      <c r="AG207" s="1188"/>
      <c r="AH207" s="1188"/>
      <c r="AI207" s="1188"/>
      <c r="AJ207" s="1188"/>
      <c r="AK207" s="1188"/>
      <c r="AL207" s="1188"/>
      <c r="AM207" s="1188"/>
      <c r="AN207" s="1188"/>
      <c r="AO207" s="1188"/>
      <c r="AP207" s="1188"/>
    </row>
    <row r="208" spans="1:42">
      <c r="A208" s="1188"/>
      <c r="B208" s="1188"/>
      <c r="C208" s="1188"/>
      <c r="D208" s="1188"/>
      <c r="E208" s="1188"/>
      <c r="F208" s="1188"/>
      <c r="G208" s="1188"/>
      <c r="H208" s="1188"/>
      <c r="I208" s="1191"/>
      <c r="J208" s="1191"/>
      <c r="K208" s="1191"/>
      <c r="L208" s="1191"/>
      <c r="M208" s="1191"/>
      <c r="N208" s="1191"/>
      <c r="O208" s="1191"/>
      <c r="P208" s="1191"/>
      <c r="Q208" s="1191"/>
      <c r="R208" s="1191"/>
      <c r="S208" s="1191"/>
      <c r="T208" s="1191"/>
      <c r="U208" s="1191"/>
      <c r="V208" s="1191"/>
      <c r="W208" s="1191"/>
      <c r="X208" s="1191"/>
      <c r="Y208" s="1191"/>
      <c r="Z208" s="1191"/>
      <c r="AA208" s="1191"/>
      <c r="AB208" s="1191"/>
      <c r="AC208" s="1191"/>
      <c r="AD208" s="1188"/>
      <c r="AE208" s="1188"/>
      <c r="AF208" s="1188"/>
      <c r="AG208" s="1188"/>
      <c r="AH208" s="1188"/>
      <c r="AI208" s="1188"/>
      <c r="AJ208" s="1188"/>
      <c r="AK208" s="1188"/>
      <c r="AL208" s="1188"/>
      <c r="AM208" s="1188"/>
      <c r="AN208" s="1188"/>
      <c r="AO208" s="1188"/>
      <c r="AP208" s="1188"/>
    </row>
    <row r="209" spans="1:42">
      <c r="A209" s="1188"/>
      <c r="B209" s="1188"/>
      <c r="C209" s="1188"/>
      <c r="D209" s="1188"/>
      <c r="E209" s="1188"/>
      <c r="F209" s="1188"/>
      <c r="G209" s="1188"/>
      <c r="H209" s="1188"/>
      <c r="I209" s="1191"/>
      <c r="J209" s="1191"/>
      <c r="K209" s="1191"/>
      <c r="L209" s="1191"/>
      <c r="M209" s="1191"/>
      <c r="N209" s="1191"/>
      <c r="O209" s="1191"/>
      <c r="P209" s="1191"/>
      <c r="Q209" s="1191"/>
      <c r="R209" s="1191"/>
      <c r="S209" s="1191"/>
      <c r="T209" s="1191"/>
      <c r="U209" s="1191"/>
      <c r="V209" s="1191"/>
      <c r="W209" s="1191"/>
      <c r="X209" s="1191"/>
      <c r="Y209" s="1191"/>
      <c r="Z209" s="1191"/>
      <c r="AA209" s="1191"/>
      <c r="AB209" s="1191"/>
      <c r="AC209" s="1191"/>
      <c r="AD209" s="1188"/>
      <c r="AE209" s="1188"/>
      <c r="AF209" s="1188"/>
      <c r="AG209" s="1188"/>
      <c r="AH209" s="1188"/>
      <c r="AI209" s="1188"/>
      <c r="AJ209" s="1188"/>
      <c r="AK209" s="1188"/>
      <c r="AL209" s="1188"/>
      <c r="AM209" s="1188"/>
      <c r="AN209" s="1188"/>
      <c r="AO209" s="1188"/>
      <c r="AP209" s="1188"/>
    </row>
    <row r="210" spans="1:42">
      <c r="A210" s="1188"/>
      <c r="B210" s="1188"/>
      <c r="C210" s="1188"/>
      <c r="D210" s="1188"/>
      <c r="E210" s="1188"/>
      <c r="F210" s="1188"/>
      <c r="G210" s="1188"/>
      <c r="H210" s="1188"/>
      <c r="I210" s="1191"/>
      <c r="J210" s="1191"/>
      <c r="K210" s="1191"/>
      <c r="L210" s="1191"/>
      <c r="M210" s="1191"/>
      <c r="N210" s="1191"/>
      <c r="O210" s="1191"/>
      <c r="P210" s="1191"/>
      <c r="Q210" s="1191"/>
      <c r="R210" s="1191"/>
      <c r="S210" s="1191"/>
      <c r="T210" s="1191"/>
      <c r="U210" s="1191"/>
      <c r="V210" s="1191"/>
      <c r="W210" s="1191"/>
      <c r="X210" s="1191"/>
      <c r="Y210" s="1191"/>
      <c r="Z210" s="1191"/>
      <c r="AA210" s="1191"/>
      <c r="AB210" s="1191"/>
      <c r="AC210" s="1191"/>
      <c r="AD210" s="1188"/>
      <c r="AE210" s="1188"/>
      <c r="AF210" s="1188"/>
      <c r="AG210" s="1188"/>
      <c r="AH210" s="1188"/>
      <c r="AI210" s="1188"/>
      <c r="AJ210" s="1188"/>
      <c r="AK210" s="1188"/>
      <c r="AL210" s="1188"/>
      <c r="AM210" s="1188"/>
      <c r="AN210" s="1188"/>
      <c r="AO210" s="1188"/>
      <c r="AP210" s="1188"/>
    </row>
    <row r="211" spans="1:42">
      <c r="A211" s="1188"/>
      <c r="B211" s="1188"/>
      <c r="C211" s="1188"/>
      <c r="D211" s="1188"/>
      <c r="E211" s="1188"/>
      <c r="F211" s="1188"/>
      <c r="G211" s="1188"/>
      <c r="H211" s="1188"/>
      <c r="I211" s="1191"/>
      <c r="J211" s="1191"/>
      <c r="K211" s="1191"/>
      <c r="L211" s="1191"/>
      <c r="M211" s="1191"/>
      <c r="N211" s="1191"/>
      <c r="O211" s="1191"/>
      <c r="P211" s="1191"/>
      <c r="Q211" s="1191"/>
      <c r="R211" s="1191"/>
      <c r="S211" s="1191"/>
      <c r="T211" s="1191"/>
      <c r="U211" s="1191"/>
      <c r="V211" s="1191"/>
      <c r="W211" s="1191"/>
      <c r="X211" s="1191"/>
      <c r="Y211" s="1191"/>
      <c r="Z211" s="1191"/>
      <c r="AA211" s="1191"/>
      <c r="AB211" s="1191"/>
      <c r="AC211" s="1191"/>
      <c r="AD211" s="1188"/>
      <c r="AE211" s="1188"/>
      <c r="AF211" s="1188"/>
      <c r="AG211" s="1188"/>
      <c r="AH211" s="1188"/>
      <c r="AI211" s="1188"/>
      <c r="AJ211" s="1188"/>
      <c r="AK211" s="1188"/>
      <c r="AL211" s="1188"/>
      <c r="AM211" s="1188"/>
      <c r="AN211" s="1188"/>
      <c r="AO211" s="1188"/>
      <c r="AP211" s="1188"/>
    </row>
    <row r="212" spans="1:42">
      <c r="A212" s="1188"/>
      <c r="B212" s="1188"/>
      <c r="C212" s="1188"/>
      <c r="D212" s="1188"/>
      <c r="E212" s="1188"/>
      <c r="F212" s="1188"/>
      <c r="G212" s="1188"/>
      <c r="H212" s="1188"/>
      <c r="I212" s="1191"/>
      <c r="J212" s="1191"/>
      <c r="K212" s="1191"/>
      <c r="L212" s="1191"/>
      <c r="M212" s="1191"/>
      <c r="N212" s="1191"/>
      <c r="O212" s="1191"/>
      <c r="P212" s="1191"/>
      <c r="Q212" s="1191"/>
      <c r="R212" s="1191"/>
      <c r="S212" s="1191"/>
      <c r="T212" s="1191"/>
      <c r="U212" s="1191"/>
      <c r="V212" s="1191"/>
      <c r="W212" s="1191"/>
      <c r="X212" s="1191"/>
      <c r="Y212" s="1191"/>
      <c r="Z212" s="1191"/>
      <c r="AA212" s="1191"/>
      <c r="AB212" s="1191"/>
      <c r="AC212" s="1191"/>
      <c r="AD212" s="1188"/>
      <c r="AE212" s="1188"/>
      <c r="AF212" s="1188"/>
      <c r="AG212" s="1188"/>
      <c r="AH212" s="1188"/>
      <c r="AI212" s="1188"/>
      <c r="AJ212" s="1188"/>
      <c r="AK212" s="1188"/>
      <c r="AL212" s="1188"/>
      <c r="AM212" s="1188"/>
      <c r="AN212" s="1188"/>
      <c r="AO212" s="1188"/>
      <c r="AP212" s="1188"/>
    </row>
    <row r="213" spans="1:42">
      <c r="A213" s="1188"/>
      <c r="B213" s="1188"/>
      <c r="C213" s="1188"/>
      <c r="D213" s="1188"/>
      <c r="E213" s="1188"/>
      <c r="F213" s="1188"/>
      <c r="G213" s="1188"/>
      <c r="H213" s="1188"/>
      <c r="I213" s="1191"/>
      <c r="J213" s="1191"/>
      <c r="K213" s="1191"/>
      <c r="L213" s="1191"/>
      <c r="M213" s="1191"/>
      <c r="N213" s="1191"/>
      <c r="O213" s="1191"/>
      <c r="P213" s="1191"/>
      <c r="Q213" s="1191"/>
      <c r="R213" s="1191"/>
      <c r="S213" s="1191"/>
      <c r="T213" s="1191"/>
      <c r="U213" s="1191"/>
      <c r="V213" s="1191"/>
      <c r="W213" s="1191"/>
      <c r="X213" s="1191"/>
      <c r="Y213" s="1191"/>
      <c r="Z213" s="1191"/>
      <c r="AA213" s="1191"/>
      <c r="AB213" s="1191"/>
      <c r="AC213" s="1191"/>
      <c r="AD213" s="1188"/>
      <c r="AE213" s="1188"/>
      <c r="AF213" s="1188"/>
      <c r="AG213" s="1188"/>
      <c r="AH213" s="1188"/>
      <c r="AI213" s="1188"/>
      <c r="AJ213" s="1188"/>
      <c r="AK213" s="1188"/>
      <c r="AL213" s="1188"/>
      <c r="AM213" s="1188"/>
      <c r="AN213" s="1188"/>
      <c r="AO213" s="1188"/>
      <c r="AP213" s="1188"/>
    </row>
    <row r="214" spans="1:42">
      <c r="A214" s="1188"/>
      <c r="B214" s="1188"/>
      <c r="C214" s="1188"/>
      <c r="D214" s="1188"/>
      <c r="E214" s="1188"/>
      <c r="F214" s="1188"/>
      <c r="G214" s="1188"/>
      <c r="H214" s="1188"/>
      <c r="I214" s="1191"/>
      <c r="J214" s="1191"/>
      <c r="K214" s="1191"/>
      <c r="L214" s="1191"/>
      <c r="M214" s="1191"/>
      <c r="N214" s="1191"/>
      <c r="O214" s="1191"/>
      <c r="P214" s="1191"/>
      <c r="Q214" s="1191"/>
      <c r="R214" s="1191"/>
      <c r="S214" s="1191"/>
      <c r="T214" s="1191"/>
      <c r="U214" s="1191"/>
      <c r="V214" s="1191"/>
      <c r="W214" s="1191"/>
      <c r="X214" s="1191"/>
      <c r="Y214" s="1191"/>
      <c r="Z214" s="1191"/>
      <c r="AA214" s="1191"/>
      <c r="AB214" s="1191"/>
      <c r="AC214" s="1191"/>
      <c r="AD214" s="1188"/>
      <c r="AE214" s="1188"/>
      <c r="AF214" s="1188"/>
      <c r="AG214" s="1188"/>
      <c r="AH214" s="1188"/>
      <c r="AI214" s="1188"/>
      <c r="AJ214" s="1188"/>
      <c r="AK214" s="1188"/>
      <c r="AL214" s="1188"/>
      <c r="AM214" s="1188"/>
      <c r="AN214" s="1188"/>
      <c r="AO214" s="1188"/>
      <c r="AP214" s="1188"/>
    </row>
    <row r="215" spans="1:42">
      <c r="A215" s="1188"/>
      <c r="B215" s="1188"/>
      <c r="C215" s="1188"/>
      <c r="D215" s="1188"/>
      <c r="E215" s="1188"/>
      <c r="F215" s="1188"/>
      <c r="G215" s="1188"/>
      <c r="H215" s="1188"/>
      <c r="I215" s="1191"/>
      <c r="J215" s="1191"/>
      <c r="K215" s="1191"/>
      <c r="L215" s="1191"/>
      <c r="M215" s="1191"/>
      <c r="N215" s="1191"/>
      <c r="O215" s="1191"/>
      <c r="P215" s="1191"/>
      <c r="Q215" s="1191"/>
      <c r="R215" s="1191"/>
      <c r="S215" s="1191"/>
      <c r="T215" s="1191"/>
      <c r="U215" s="1191"/>
      <c r="V215" s="1191"/>
      <c r="W215" s="1191"/>
      <c r="X215" s="1191"/>
      <c r="Y215" s="1191"/>
      <c r="Z215" s="1191"/>
      <c r="AA215" s="1191"/>
      <c r="AB215" s="1191"/>
      <c r="AC215" s="1191"/>
      <c r="AD215" s="1188"/>
      <c r="AE215" s="1188"/>
      <c r="AF215" s="1188"/>
      <c r="AG215" s="1188"/>
      <c r="AH215" s="1188"/>
      <c r="AI215" s="1188"/>
      <c r="AJ215" s="1188"/>
      <c r="AK215" s="1188"/>
      <c r="AL215" s="1188"/>
      <c r="AM215" s="1188"/>
      <c r="AN215" s="1188"/>
      <c r="AO215" s="1188"/>
      <c r="AP215" s="1188"/>
    </row>
    <row r="216" spans="1:42">
      <c r="A216" s="1188"/>
      <c r="B216" s="1188"/>
      <c r="C216" s="1188"/>
      <c r="D216" s="1188"/>
      <c r="E216" s="1188"/>
      <c r="F216" s="1188"/>
      <c r="G216" s="1188"/>
      <c r="H216" s="1188"/>
      <c r="I216" s="1191"/>
      <c r="J216" s="1191"/>
      <c r="K216" s="1191"/>
      <c r="L216" s="1191"/>
      <c r="M216" s="1191"/>
      <c r="N216" s="1191"/>
      <c r="O216" s="1191"/>
      <c r="P216" s="1191"/>
      <c r="Q216" s="1191"/>
      <c r="R216" s="1191"/>
      <c r="S216" s="1191"/>
      <c r="T216" s="1191"/>
      <c r="U216" s="1191"/>
      <c r="V216" s="1191"/>
      <c r="W216" s="1191"/>
      <c r="X216" s="1191"/>
      <c r="Y216" s="1191"/>
      <c r="Z216" s="1191"/>
      <c r="AA216" s="1191"/>
      <c r="AB216" s="1191"/>
      <c r="AC216" s="1191"/>
      <c r="AD216" s="1188"/>
      <c r="AE216" s="1188"/>
      <c r="AF216" s="1188"/>
      <c r="AG216" s="1188"/>
      <c r="AH216" s="1188"/>
      <c r="AI216" s="1188"/>
      <c r="AJ216" s="1188"/>
      <c r="AK216" s="1188"/>
      <c r="AL216" s="1188"/>
      <c r="AM216" s="1188"/>
      <c r="AN216" s="1188"/>
      <c r="AO216" s="1188"/>
      <c r="AP216" s="1188"/>
    </row>
    <row r="217" spans="1:42">
      <c r="A217" s="1188"/>
      <c r="B217" s="1188"/>
      <c r="C217" s="1188"/>
      <c r="D217" s="1188"/>
      <c r="E217" s="1188"/>
      <c r="F217" s="1188"/>
      <c r="G217" s="1188"/>
      <c r="H217" s="1188"/>
      <c r="I217" s="1191"/>
      <c r="J217" s="1191"/>
      <c r="K217" s="1191"/>
      <c r="L217" s="1191"/>
      <c r="M217" s="1191"/>
      <c r="N217" s="1191"/>
      <c r="O217" s="1191"/>
      <c r="P217" s="1191"/>
      <c r="Q217" s="1191"/>
      <c r="R217" s="1191"/>
      <c r="S217" s="1191"/>
      <c r="T217" s="1191"/>
      <c r="U217" s="1191"/>
      <c r="V217" s="1191"/>
      <c r="W217" s="1191"/>
      <c r="X217" s="1191"/>
      <c r="Y217" s="1191"/>
      <c r="Z217" s="1191"/>
      <c r="AA217" s="1191"/>
      <c r="AB217" s="1191"/>
      <c r="AC217" s="1191"/>
      <c r="AD217" s="1188"/>
      <c r="AE217" s="1188"/>
      <c r="AF217" s="1188"/>
      <c r="AG217" s="1188"/>
      <c r="AH217" s="1188"/>
      <c r="AI217" s="1188"/>
      <c r="AJ217" s="1188"/>
      <c r="AK217" s="1188"/>
      <c r="AL217" s="1188"/>
      <c r="AM217" s="1188"/>
      <c r="AN217" s="1188"/>
      <c r="AO217" s="1188"/>
      <c r="AP217" s="1188"/>
    </row>
    <row r="218" spans="1:42">
      <c r="A218" s="1188"/>
      <c r="B218" s="1188"/>
      <c r="C218" s="1188"/>
      <c r="D218" s="1188"/>
      <c r="E218" s="1188"/>
      <c r="F218" s="1188"/>
      <c r="G218" s="1188"/>
      <c r="H218" s="1188"/>
      <c r="I218" s="1191"/>
      <c r="J218" s="1191"/>
      <c r="K218" s="1191"/>
      <c r="L218" s="1191"/>
      <c r="M218" s="1191"/>
      <c r="N218" s="1191"/>
      <c r="O218" s="1191"/>
      <c r="P218" s="1191"/>
      <c r="Q218" s="1191"/>
      <c r="R218" s="1191"/>
      <c r="S218" s="1191"/>
      <c r="T218" s="1191"/>
      <c r="U218" s="1191"/>
      <c r="V218" s="1191"/>
      <c r="W218" s="1191"/>
      <c r="X218" s="1191"/>
      <c r="Y218" s="1191"/>
      <c r="Z218" s="1191"/>
      <c r="AA218" s="1191"/>
      <c r="AB218" s="1191"/>
      <c r="AC218" s="1191"/>
      <c r="AD218" s="1188"/>
      <c r="AE218" s="1188"/>
      <c r="AF218" s="1188"/>
      <c r="AG218" s="1188"/>
      <c r="AH218" s="1188"/>
      <c r="AI218" s="1188"/>
      <c r="AJ218" s="1188"/>
      <c r="AK218" s="1188"/>
      <c r="AL218" s="1188"/>
      <c r="AM218" s="1188"/>
      <c r="AN218" s="1188"/>
      <c r="AO218" s="1188"/>
      <c r="AP218" s="1188"/>
    </row>
    <row r="219" spans="1:42">
      <c r="A219" s="1188"/>
      <c r="B219" s="1188"/>
      <c r="C219" s="1188"/>
      <c r="D219" s="1188"/>
      <c r="E219" s="1188"/>
      <c r="F219" s="1188"/>
      <c r="G219" s="1188"/>
      <c r="H219" s="1188"/>
      <c r="I219" s="1191"/>
      <c r="J219" s="1191"/>
      <c r="K219" s="1191"/>
      <c r="L219" s="1191"/>
      <c r="M219" s="1191"/>
      <c r="N219" s="1191"/>
      <c r="O219" s="1191"/>
      <c r="P219" s="1191"/>
      <c r="Q219" s="1191"/>
      <c r="R219" s="1191"/>
      <c r="S219" s="1191"/>
      <c r="T219" s="1191"/>
      <c r="U219" s="1191"/>
      <c r="V219" s="1191"/>
      <c r="W219" s="1191"/>
      <c r="X219" s="1191"/>
      <c r="Y219" s="1191"/>
      <c r="Z219" s="1191"/>
      <c r="AA219" s="1191"/>
      <c r="AB219" s="1191"/>
      <c r="AC219" s="1191"/>
      <c r="AD219" s="1188"/>
      <c r="AE219" s="1188"/>
      <c r="AF219" s="1188"/>
      <c r="AG219" s="1188"/>
      <c r="AH219" s="1188"/>
      <c r="AI219" s="1188"/>
      <c r="AJ219" s="1188"/>
      <c r="AK219" s="1188"/>
      <c r="AL219" s="1188"/>
      <c r="AM219" s="1188"/>
      <c r="AN219" s="1188"/>
      <c r="AO219" s="1188"/>
      <c r="AP219" s="1188"/>
    </row>
    <row r="220" spans="1:42">
      <c r="A220" s="1188"/>
      <c r="B220" s="1188"/>
      <c r="C220" s="1188"/>
      <c r="D220" s="1188"/>
      <c r="E220" s="1188"/>
      <c r="F220" s="1188"/>
      <c r="G220" s="1188"/>
      <c r="H220" s="1188"/>
      <c r="I220" s="1191"/>
      <c r="J220" s="1191"/>
      <c r="K220" s="1191"/>
      <c r="L220" s="1191"/>
      <c r="M220" s="1191"/>
      <c r="N220" s="1191"/>
      <c r="O220" s="1191"/>
      <c r="P220" s="1191"/>
      <c r="Q220" s="1191"/>
      <c r="R220" s="1191"/>
      <c r="S220" s="1191"/>
      <c r="T220" s="1191"/>
      <c r="U220" s="1191"/>
      <c r="V220" s="1191"/>
      <c r="W220" s="1191"/>
      <c r="X220" s="1191"/>
      <c r="Y220" s="1191"/>
      <c r="Z220" s="1191"/>
      <c r="AA220" s="1191"/>
      <c r="AB220" s="1191"/>
      <c r="AC220" s="1191"/>
      <c r="AD220" s="1188"/>
      <c r="AE220" s="1188"/>
      <c r="AF220" s="1188"/>
      <c r="AG220" s="1188"/>
      <c r="AH220" s="1188"/>
      <c r="AI220" s="1188"/>
      <c r="AJ220" s="1188"/>
      <c r="AK220" s="1188"/>
      <c r="AL220" s="1188"/>
      <c r="AM220" s="1188"/>
      <c r="AN220" s="1188"/>
      <c r="AO220" s="1188"/>
      <c r="AP220" s="1188"/>
    </row>
    <row r="221" spans="1:42">
      <c r="A221" s="1188"/>
      <c r="B221" s="1188"/>
      <c r="C221" s="1188"/>
      <c r="D221" s="1188"/>
      <c r="E221" s="1188"/>
      <c r="F221" s="1188"/>
      <c r="G221" s="1188"/>
      <c r="H221" s="1188"/>
      <c r="I221" s="1191"/>
      <c r="J221" s="1191"/>
      <c r="K221" s="1191"/>
      <c r="L221" s="1191"/>
      <c r="M221" s="1191"/>
      <c r="N221" s="1191"/>
      <c r="O221" s="1191"/>
      <c r="P221" s="1191"/>
      <c r="Q221" s="1191"/>
      <c r="R221" s="1191"/>
      <c r="S221" s="1191"/>
      <c r="T221" s="1191"/>
      <c r="U221" s="1191"/>
      <c r="V221" s="1191"/>
      <c r="W221" s="1191"/>
      <c r="X221" s="1191"/>
      <c r="Y221" s="1191"/>
      <c r="Z221" s="1191"/>
      <c r="AA221" s="1191"/>
      <c r="AB221" s="1191"/>
      <c r="AC221" s="1191"/>
      <c r="AD221" s="1188"/>
      <c r="AE221" s="1188"/>
      <c r="AF221" s="1188"/>
      <c r="AG221" s="1188"/>
      <c r="AH221" s="1188"/>
      <c r="AI221" s="1188"/>
      <c r="AJ221" s="1188"/>
      <c r="AK221" s="1188"/>
      <c r="AL221" s="1188"/>
      <c r="AM221" s="1188"/>
      <c r="AN221" s="1188"/>
      <c r="AO221" s="1188"/>
      <c r="AP221" s="1188"/>
    </row>
    <row r="222" spans="1:42">
      <c r="A222" s="1188"/>
      <c r="B222" s="1188"/>
      <c r="C222" s="1188"/>
      <c r="D222" s="1188"/>
      <c r="E222" s="1188"/>
      <c r="F222" s="1188"/>
      <c r="G222" s="1188"/>
      <c r="H222" s="1188"/>
      <c r="I222" s="1191"/>
      <c r="J222" s="1191"/>
      <c r="K222" s="1191"/>
      <c r="L222" s="1191"/>
      <c r="M222" s="1191"/>
      <c r="N222" s="1191"/>
      <c r="O222" s="1191"/>
      <c r="P222" s="1191"/>
      <c r="Q222" s="1191"/>
      <c r="R222" s="1191"/>
      <c r="S222" s="1191"/>
      <c r="T222" s="1191"/>
      <c r="U222" s="1191"/>
      <c r="V222" s="1191"/>
      <c r="W222" s="1191"/>
      <c r="X222" s="1191"/>
      <c r="Y222" s="1191"/>
      <c r="Z222" s="1191"/>
      <c r="AA222" s="1191"/>
      <c r="AB222" s="1191"/>
      <c r="AC222" s="1191"/>
      <c r="AD222" s="1188"/>
      <c r="AE222" s="1188"/>
      <c r="AF222" s="1188"/>
      <c r="AG222" s="1188"/>
      <c r="AH222" s="1188"/>
      <c r="AI222" s="1188"/>
      <c r="AJ222" s="1188"/>
      <c r="AK222" s="1188"/>
      <c r="AL222" s="1188"/>
      <c r="AM222" s="1188"/>
      <c r="AN222" s="1188"/>
      <c r="AO222" s="1188"/>
      <c r="AP222" s="1188"/>
    </row>
    <row r="223" spans="1:42">
      <c r="A223" s="1188"/>
      <c r="B223" s="1188"/>
      <c r="C223" s="1188"/>
      <c r="D223" s="1188"/>
      <c r="E223" s="1188"/>
      <c r="F223" s="1188"/>
      <c r="G223" s="1188"/>
      <c r="H223" s="1188"/>
      <c r="I223" s="1191"/>
      <c r="J223" s="1191"/>
      <c r="K223" s="1191"/>
      <c r="L223" s="1191"/>
      <c r="M223" s="1191"/>
      <c r="N223" s="1191"/>
      <c r="O223" s="1191"/>
      <c r="P223" s="1191"/>
      <c r="Q223" s="1191"/>
      <c r="R223" s="1191"/>
      <c r="S223" s="1191"/>
      <c r="T223" s="1191"/>
      <c r="U223" s="1191"/>
      <c r="V223" s="1191"/>
      <c r="W223" s="1191"/>
      <c r="X223" s="1191"/>
      <c r="Y223" s="1191"/>
      <c r="Z223" s="1191"/>
      <c r="AA223" s="1191"/>
      <c r="AB223" s="1191"/>
      <c r="AC223" s="1191"/>
      <c r="AD223" s="1188"/>
      <c r="AE223" s="1188"/>
      <c r="AF223" s="1188"/>
      <c r="AG223" s="1188"/>
      <c r="AH223" s="1188"/>
      <c r="AI223" s="1188"/>
      <c r="AJ223" s="1188"/>
      <c r="AK223" s="1188"/>
      <c r="AL223" s="1188"/>
      <c r="AM223" s="1188"/>
      <c r="AN223" s="1188"/>
      <c r="AO223" s="1188"/>
      <c r="AP223" s="1188"/>
    </row>
    <row r="224" spans="1:42">
      <c r="A224" s="1188"/>
      <c r="B224" s="1188"/>
      <c r="C224" s="1188"/>
      <c r="D224" s="1188"/>
      <c r="E224" s="1188"/>
      <c r="F224" s="1188"/>
      <c r="G224" s="1188"/>
      <c r="H224" s="1188"/>
      <c r="I224" s="1191"/>
      <c r="J224" s="1191"/>
      <c r="K224" s="1191"/>
      <c r="L224" s="1191"/>
      <c r="M224" s="1191"/>
      <c r="N224" s="1191"/>
      <c r="O224" s="1191"/>
      <c r="P224" s="1191"/>
      <c r="Q224" s="1191"/>
      <c r="R224" s="1191"/>
      <c r="S224" s="1191"/>
      <c r="T224" s="1191"/>
      <c r="U224" s="1191"/>
      <c r="V224" s="1191"/>
      <c r="W224" s="1191"/>
      <c r="X224" s="1191"/>
      <c r="Y224" s="1191"/>
      <c r="Z224" s="1191"/>
      <c r="AA224" s="1191"/>
      <c r="AB224" s="1191"/>
      <c r="AC224" s="1191"/>
      <c r="AD224" s="1188"/>
      <c r="AE224" s="1188"/>
      <c r="AF224" s="1188"/>
      <c r="AG224" s="1188"/>
      <c r="AH224" s="1188"/>
      <c r="AI224" s="1188"/>
      <c r="AJ224" s="1188"/>
      <c r="AK224" s="1188"/>
      <c r="AL224" s="1188"/>
      <c r="AM224" s="1188"/>
      <c r="AN224" s="1188"/>
      <c r="AO224" s="1188"/>
      <c r="AP224" s="1188"/>
    </row>
    <row r="225" spans="1:42">
      <c r="A225" s="1188"/>
      <c r="B225" s="1188"/>
      <c r="C225" s="1188"/>
      <c r="D225" s="1188"/>
      <c r="E225" s="1188"/>
      <c r="F225" s="1188"/>
      <c r="G225" s="1188"/>
      <c r="H225" s="1188"/>
      <c r="I225" s="1191"/>
      <c r="J225" s="1191"/>
      <c r="K225" s="1191"/>
      <c r="L225" s="1191"/>
      <c r="M225" s="1191"/>
      <c r="N225" s="1191"/>
      <c r="O225" s="1191"/>
      <c r="P225" s="1191"/>
      <c r="Q225" s="1191"/>
      <c r="R225" s="1191"/>
      <c r="S225" s="1191"/>
      <c r="T225" s="1191"/>
      <c r="U225" s="1191"/>
      <c r="V225" s="1191"/>
      <c r="W225" s="1191"/>
      <c r="X225" s="1191"/>
      <c r="Y225" s="1191"/>
      <c r="Z225" s="1191"/>
      <c r="AA225" s="1191"/>
      <c r="AB225" s="1191"/>
      <c r="AC225" s="1191"/>
      <c r="AD225" s="1188"/>
      <c r="AE225" s="1188"/>
      <c r="AF225" s="1188"/>
      <c r="AG225" s="1188"/>
      <c r="AH225" s="1188"/>
      <c r="AI225" s="1188"/>
      <c r="AJ225" s="1188"/>
      <c r="AK225" s="1188"/>
      <c r="AL225" s="1188"/>
      <c r="AM225" s="1188"/>
      <c r="AN225" s="1188"/>
      <c r="AO225" s="1188"/>
      <c r="AP225" s="1188"/>
    </row>
    <row r="226" spans="1:42">
      <c r="A226" s="1188"/>
      <c r="B226" s="1188"/>
      <c r="C226" s="1188"/>
      <c r="D226" s="1188"/>
      <c r="E226" s="1188"/>
      <c r="F226" s="1188"/>
      <c r="G226" s="1188"/>
      <c r="H226" s="1188"/>
      <c r="I226" s="1191"/>
      <c r="J226" s="1191"/>
      <c r="K226" s="1191"/>
      <c r="L226" s="1191"/>
      <c r="M226" s="1191"/>
      <c r="N226" s="1191"/>
      <c r="O226" s="1191"/>
      <c r="P226" s="1191"/>
      <c r="Q226" s="1191"/>
      <c r="R226" s="1191"/>
      <c r="S226" s="1191"/>
      <c r="T226" s="1191"/>
      <c r="U226" s="1191"/>
      <c r="V226" s="1191"/>
      <c r="W226" s="1191"/>
      <c r="X226" s="1191"/>
      <c r="Y226" s="1191"/>
      <c r="Z226" s="1191"/>
      <c r="AA226" s="1191"/>
      <c r="AB226" s="1191"/>
      <c r="AC226" s="1191"/>
      <c r="AD226" s="1188"/>
      <c r="AE226" s="1188"/>
      <c r="AF226" s="1188"/>
      <c r="AG226" s="1188"/>
      <c r="AH226" s="1188"/>
      <c r="AI226" s="1188"/>
      <c r="AJ226" s="1188"/>
      <c r="AK226" s="1188"/>
      <c r="AL226" s="1188"/>
      <c r="AM226" s="1188"/>
      <c r="AN226" s="1188"/>
      <c r="AO226" s="1188"/>
      <c r="AP226" s="1188"/>
    </row>
    <row r="227" spans="1:42">
      <c r="A227" s="1188"/>
      <c r="B227" s="1188"/>
      <c r="C227" s="1188"/>
      <c r="D227" s="1188"/>
      <c r="E227" s="1188"/>
      <c r="F227" s="1188"/>
      <c r="G227" s="1188"/>
      <c r="H227" s="1188"/>
      <c r="I227" s="1191"/>
      <c r="J227" s="1191"/>
      <c r="K227" s="1191"/>
      <c r="L227" s="1191"/>
      <c r="M227" s="1191"/>
      <c r="N227" s="1191"/>
      <c r="O227" s="1191"/>
      <c r="P227" s="1191"/>
      <c r="Q227" s="1191"/>
      <c r="R227" s="1191"/>
      <c r="S227" s="1191"/>
      <c r="T227" s="1191"/>
      <c r="U227" s="1191"/>
      <c r="V227" s="1191"/>
      <c r="W227" s="1191"/>
      <c r="X227" s="1191"/>
      <c r="Y227" s="1191"/>
      <c r="Z227" s="1191"/>
      <c r="AA227" s="1191"/>
      <c r="AB227" s="1191"/>
      <c r="AC227" s="1191"/>
      <c r="AD227" s="1188"/>
      <c r="AE227" s="1188"/>
      <c r="AF227" s="1188"/>
      <c r="AG227" s="1188"/>
      <c r="AH227" s="1188"/>
      <c r="AI227" s="1188"/>
      <c r="AJ227" s="1188"/>
      <c r="AK227" s="1188"/>
      <c r="AL227" s="1188"/>
      <c r="AM227" s="1188"/>
      <c r="AN227" s="1188"/>
      <c r="AO227" s="1188"/>
      <c r="AP227" s="1188"/>
    </row>
    <row r="228" spans="1:42">
      <c r="A228" s="1188"/>
      <c r="B228" s="1188"/>
      <c r="C228" s="1188"/>
      <c r="D228" s="1188"/>
      <c r="E228" s="1188"/>
      <c r="F228" s="1188"/>
      <c r="G228" s="1188"/>
      <c r="H228" s="1188"/>
      <c r="I228" s="1191"/>
      <c r="J228" s="1191"/>
      <c r="K228" s="1191"/>
      <c r="L228" s="1191"/>
      <c r="M228" s="1191"/>
      <c r="N228" s="1191"/>
      <c r="O228" s="1191"/>
      <c r="P228" s="1191"/>
      <c r="Q228" s="1191"/>
      <c r="R228" s="1191"/>
      <c r="S228" s="1191"/>
      <c r="T228" s="1191"/>
      <c r="U228" s="1191"/>
      <c r="V228" s="1191"/>
      <c r="W228" s="1191"/>
      <c r="X228" s="1191"/>
      <c r="Y228" s="1191"/>
      <c r="Z228" s="1191"/>
      <c r="AA228" s="1191"/>
      <c r="AB228" s="1191"/>
      <c r="AC228" s="1191"/>
      <c r="AD228" s="1188"/>
      <c r="AE228" s="1188"/>
      <c r="AF228" s="1188"/>
      <c r="AG228" s="1188"/>
      <c r="AH228" s="1188"/>
      <c r="AI228" s="1188"/>
      <c r="AJ228" s="1188"/>
      <c r="AK228" s="1188"/>
      <c r="AL228" s="1188"/>
      <c r="AM228" s="1188"/>
      <c r="AN228" s="1188"/>
      <c r="AO228" s="1188"/>
      <c r="AP228" s="1188"/>
    </row>
    <row r="229" spans="1:42">
      <c r="A229" s="1188"/>
      <c r="B229" s="1188"/>
      <c r="C229" s="1188"/>
      <c r="D229" s="1188"/>
      <c r="E229" s="1188"/>
      <c r="F229" s="1188"/>
      <c r="G229" s="1188"/>
      <c r="H229" s="1188"/>
      <c r="I229" s="1191"/>
      <c r="J229" s="1191"/>
      <c r="K229" s="1191"/>
      <c r="L229" s="1191"/>
      <c r="M229" s="1191"/>
      <c r="N229" s="1191"/>
      <c r="O229" s="1191"/>
      <c r="P229" s="1191"/>
      <c r="Q229" s="1191"/>
      <c r="R229" s="1191"/>
      <c r="S229" s="1191"/>
      <c r="T229" s="1191"/>
      <c r="U229" s="1191"/>
      <c r="V229" s="1191"/>
      <c r="W229" s="1191"/>
      <c r="X229" s="1191"/>
      <c r="Y229" s="1191"/>
      <c r="Z229" s="1191"/>
      <c r="AA229" s="1191"/>
      <c r="AB229" s="1191"/>
      <c r="AC229" s="1191"/>
      <c r="AD229" s="1188"/>
      <c r="AE229" s="1188"/>
      <c r="AF229" s="1188"/>
      <c r="AG229" s="1188"/>
      <c r="AH229" s="1188"/>
      <c r="AI229" s="1188"/>
      <c r="AJ229" s="1188"/>
      <c r="AK229" s="1188"/>
      <c r="AL229" s="1188"/>
      <c r="AM229" s="1188"/>
      <c r="AN229" s="1188"/>
      <c r="AO229" s="1188"/>
      <c r="AP229" s="1188"/>
    </row>
    <row r="230" spans="1:42">
      <c r="A230" s="1188"/>
      <c r="B230" s="1188"/>
      <c r="C230" s="1188"/>
      <c r="D230" s="1188"/>
      <c r="E230" s="1188"/>
      <c r="F230" s="1188"/>
      <c r="G230" s="1188"/>
      <c r="H230" s="1188"/>
      <c r="I230" s="1191"/>
      <c r="J230" s="1191"/>
      <c r="K230" s="1191"/>
      <c r="L230" s="1191"/>
      <c r="M230" s="1191"/>
      <c r="N230" s="1191"/>
      <c r="O230" s="1191"/>
      <c r="P230" s="1191"/>
      <c r="Q230" s="1191"/>
      <c r="R230" s="1191"/>
      <c r="S230" s="1191"/>
      <c r="T230" s="1191"/>
      <c r="U230" s="1191"/>
      <c r="V230" s="1191"/>
      <c r="W230" s="1191"/>
      <c r="X230" s="1191"/>
      <c r="Y230" s="1191"/>
      <c r="Z230" s="1191"/>
      <c r="AA230" s="1191"/>
      <c r="AB230" s="1191"/>
      <c r="AC230" s="1191"/>
      <c r="AD230" s="1188"/>
      <c r="AE230" s="1188"/>
      <c r="AF230" s="1188"/>
      <c r="AG230" s="1188"/>
      <c r="AH230" s="1188"/>
      <c r="AI230" s="1188"/>
      <c r="AJ230" s="1188"/>
      <c r="AK230" s="1188"/>
      <c r="AL230" s="1188"/>
      <c r="AM230" s="1188"/>
      <c r="AN230" s="1188"/>
      <c r="AO230" s="1188"/>
      <c r="AP230" s="1188"/>
    </row>
    <row r="231" spans="1:42">
      <c r="A231" s="1188"/>
      <c r="B231" s="1188"/>
      <c r="C231" s="1188"/>
      <c r="D231" s="1188"/>
      <c r="E231" s="1188"/>
      <c r="F231" s="1188"/>
      <c r="G231" s="1188"/>
      <c r="H231" s="1188"/>
      <c r="I231" s="1191"/>
      <c r="J231" s="1191"/>
      <c r="K231" s="1191"/>
      <c r="L231" s="1191"/>
      <c r="M231" s="1191"/>
      <c r="N231" s="1191"/>
      <c r="O231" s="1191"/>
      <c r="P231" s="1191"/>
      <c r="Q231" s="1191"/>
      <c r="R231" s="1191"/>
      <c r="S231" s="1191"/>
      <c r="T231" s="1191"/>
      <c r="U231" s="1191"/>
      <c r="V231" s="1191"/>
      <c r="W231" s="1191"/>
      <c r="X231" s="1191"/>
      <c r="Y231" s="1191"/>
      <c r="Z231" s="1191"/>
      <c r="AA231" s="1191"/>
      <c r="AB231" s="1191"/>
      <c r="AC231" s="1191"/>
      <c r="AD231" s="1188"/>
      <c r="AE231" s="1188"/>
      <c r="AF231" s="1188"/>
      <c r="AG231" s="1188"/>
      <c r="AH231" s="1188"/>
      <c r="AI231" s="1188"/>
      <c r="AJ231" s="1188"/>
      <c r="AK231" s="1188"/>
      <c r="AL231" s="1188"/>
      <c r="AM231" s="1188"/>
      <c r="AN231" s="1188"/>
      <c r="AO231" s="1188"/>
      <c r="AP231" s="1188"/>
    </row>
    <row r="232" spans="1:42">
      <c r="A232" s="1188"/>
      <c r="B232" s="1188"/>
      <c r="C232" s="1188"/>
      <c r="D232" s="1188"/>
      <c r="E232" s="1188"/>
      <c r="F232" s="1188"/>
      <c r="G232" s="1188"/>
      <c r="H232" s="1188"/>
      <c r="I232" s="1191"/>
      <c r="J232" s="1191"/>
      <c r="K232" s="1191"/>
      <c r="L232" s="1191"/>
      <c r="M232" s="1191"/>
      <c r="N232" s="1191"/>
      <c r="O232" s="1191"/>
      <c r="P232" s="1191"/>
      <c r="Q232" s="1191"/>
      <c r="R232" s="1191"/>
      <c r="S232" s="1191"/>
      <c r="T232" s="1191"/>
      <c r="U232" s="1191"/>
      <c r="V232" s="1191"/>
      <c r="W232" s="1191"/>
      <c r="X232" s="1191"/>
      <c r="Y232" s="1191"/>
      <c r="Z232" s="1191"/>
      <c r="AA232" s="1191"/>
      <c r="AB232" s="1191"/>
      <c r="AC232" s="1191"/>
      <c r="AD232" s="1188"/>
      <c r="AE232" s="1188"/>
      <c r="AF232" s="1188"/>
      <c r="AG232" s="1188"/>
      <c r="AH232" s="1188"/>
      <c r="AI232" s="1188"/>
      <c r="AJ232" s="1188"/>
      <c r="AK232" s="1188"/>
      <c r="AL232" s="1188"/>
      <c r="AM232" s="1188"/>
      <c r="AN232" s="1188"/>
      <c r="AO232" s="1188"/>
      <c r="AP232" s="1188"/>
    </row>
    <row r="233" spans="1:42">
      <c r="A233" s="1188"/>
      <c r="B233" s="1188"/>
      <c r="C233" s="1188"/>
      <c r="D233" s="1188"/>
      <c r="E233" s="1188"/>
      <c r="F233" s="1188"/>
      <c r="G233" s="1188"/>
      <c r="H233" s="1188"/>
      <c r="I233" s="1191"/>
      <c r="J233" s="1191"/>
      <c r="K233" s="1191"/>
      <c r="L233" s="1191"/>
      <c r="M233" s="1191"/>
      <c r="N233" s="1191"/>
      <c r="O233" s="1191"/>
      <c r="P233" s="1191"/>
      <c r="Q233" s="1191"/>
      <c r="R233" s="1191"/>
      <c r="S233" s="1191"/>
      <c r="T233" s="1191"/>
      <c r="U233" s="1191"/>
      <c r="V233" s="1191"/>
      <c r="W233" s="1191"/>
      <c r="X233" s="1191"/>
      <c r="Y233" s="1191"/>
      <c r="Z233" s="1191"/>
      <c r="AA233" s="1191"/>
      <c r="AB233" s="1191"/>
      <c r="AC233" s="1191"/>
      <c r="AD233" s="1188"/>
      <c r="AE233" s="1188"/>
      <c r="AF233" s="1188"/>
      <c r="AG233" s="1188"/>
      <c r="AH233" s="1188"/>
      <c r="AI233" s="1188"/>
      <c r="AJ233" s="1188"/>
      <c r="AK233" s="1188"/>
      <c r="AL233" s="1188"/>
      <c r="AM233" s="1188"/>
      <c r="AN233" s="1188"/>
      <c r="AO233" s="1188"/>
      <c r="AP233" s="1188"/>
    </row>
    <row r="234" spans="1:42">
      <c r="A234" s="1188"/>
      <c r="B234" s="1188"/>
      <c r="C234" s="1188"/>
      <c r="D234" s="1188"/>
      <c r="E234" s="1188"/>
      <c r="F234" s="1188"/>
      <c r="G234" s="1188"/>
      <c r="H234" s="1188"/>
      <c r="I234" s="1191"/>
      <c r="J234" s="1191"/>
      <c r="K234" s="1191"/>
      <c r="L234" s="1191"/>
      <c r="M234" s="1191"/>
      <c r="N234" s="1191"/>
      <c r="O234" s="1191"/>
      <c r="P234" s="1191"/>
      <c r="Q234" s="1191"/>
      <c r="R234" s="1191"/>
      <c r="S234" s="1191"/>
      <c r="T234" s="1191"/>
      <c r="U234" s="1191"/>
      <c r="V234" s="1191"/>
      <c r="W234" s="1191"/>
      <c r="X234" s="1191"/>
      <c r="Y234" s="1191"/>
      <c r="Z234" s="1191"/>
      <c r="AA234" s="1191"/>
      <c r="AB234" s="1191"/>
      <c r="AC234" s="1191"/>
      <c r="AD234" s="1188"/>
      <c r="AE234" s="1188"/>
      <c r="AF234" s="1188"/>
      <c r="AG234" s="1188"/>
      <c r="AH234" s="1188"/>
      <c r="AI234" s="1188"/>
      <c r="AJ234" s="1188"/>
      <c r="AK234" s="1188"/>
      <c r="AL234" s="1188"/>
      <c r="AM234" s="1188"/>
      <c r="AN234" s="1188"/>
      <c r="AO234" s="1188"/>
      <c r="AP234" s="1188"/>
    </row>
    <row r="235" spans="1:42">
      <c r="A235" s="1188"/>
      <c r="B235" s="1188"/>
      <c r="C235" s="1188"/>
      <c r="D235" s="1188"/>
      <c r="E235" s="1188"/>
      <c r="F235" s="1188"/>
      <c r="G235" s="1188"/>
      <c r="H235" s="1188"/>
      <c r="I235" s="1191"/>
      <c r="J235" s="1191"/>
      <c r="K235" s="1191"/>
      <c r="L235" s="1191"/>
      <c r="M235" s="1191"/>
      <c r="N235" s="1191"/>
      <c r="O235" s="1191"/>
      <c r="P235" s="1191"/>
      <c r="Q235" s="1191"/>
      <c r="R235" s="1191"/>
      <c r="S235" s="1191"/>
      <c r="T235" s="1191"/>
      <c r="U235" s="1191"/>
      <c r="V235" s="1191"/>
      <c r="W235" s="1191"/>
      <c r="X235" s="1191"/>
      <c r="Y235" s="1191"/>
      <c r="Z235" s="1191"/>
      <c r="AA235" s="1191"/>
      <c r="AB235" s="1191"/>
      <c r="AC235" s="1191"/>
      <c r="AD235" s="1188"/>
      <c r="AE235" s="1188"/>
      <c r="AF235" s="1188"/>
      <c r="AG235" s="1188"/>
      <c r="AH235" s="1188"/>
      <c r="AI235" s="1188"/>
      <c r="AJ235" s="1188"/>
      <c r="AK235" s="1188"/>
      <c r="AL235" s="1188"/>
      <c r="AM235" s="1188"/>
      <c r="AN235" s="1188"/>
      <c r="AO235" s="1188"/>
      <c r="AP235" s="1188"/>
    </row>
    <row r="236" spans="1:42">
      <c r="A236" s="1188"/>
      <c r="B236" s="1188"/>
      <c r="C236" s="1188"/>
      <c r="D236" s="1188"/>
      <c r="E236" s="1188"/>
      <c r="F236" s="1188"/>
      <c r="G236" s="1188"/>
      <c r="H236" s="1188"/>
      <c r="I236" s="1191"/>
      <c r="J236" s="1191"/>
      <c r="K236" s="1191"/>
      <c r="L236" s="1191"/>
      <c r="M236" s="1191"/>
      <c r="N236" s="1191"/>
      <c r="O236" s="1191"/>
      <c r="P236" s="1191"/>
      <c r="Q236" s="1191"/>
      <c r="R236" s="1191"/>
      <c r="S236" s="1191"/>
      <c r="T236" s="1191"/>
      <c r="U236" s="1191"/>
      <c r="V236" s="1191"/>
      <c r="W236" s="1191"/>
      <c r="X236" s="1191"/>
      <c r="Y236" s="1191"/>
      <c r="Z236" s="1191"/>
      <c r="AA236" s="1191"/>
      <c r="AB236" s="1191"/>
      <c r="AC236" s="1191"/>
      <c r="AD236" s="1188"/>
      <c r="AE236" s="1188"/>
      <c r="AF236" s="1188"/>
      <c r="AG236" s="1188"/>
      <c r="AH236" s="1188"/>
      <c r="AI236" s="1188"/>
      <c r="AJ236" s="1188"/>
      <c r="AK236" s="1188"/>
      <c r="AL236" s="1188"/>
      <c r="AM236" s="1188"/>
      <c r="AN236" s="1188"/>
      <c r="AO236" s="1188"/>
      <c r="AP236" s="1188"/>
    </row>
    <row r="237" spans="1:42">
      <c r="A237" s="1188"/>
      <c r="B237" s="1188"/>
      <c r="C237" s="1188"/>
      <c r="D237" s="1188"/>
      <c r="E237" s="1188"/>
      <c r="F237" s="1188"/>
      <c r="G237" s="1188"/>
      <c r="H237" s="1188"/>
      <c r="I237" s="1191"/>
      <c r="J237" s="1191"/>
      <c r="K237" s="1191"/>
      <c r="L237" s="1191"/>
      <c r="M237" s="1191"/>
      <c r="N237" s="1191"/>
      <c r="O237" s="1191"/>
      <c r="P237" s="1191"/>
      <c r="Q237" s="1191"/>
      <c r="R237" s="1191"/>
      <c r="S237" s="1191"/>
      <c r="T237" s="1191"/>
      <c r="U237" s="1191"/>
      <c r="V237" s="1191"/>
      <c r="W237" s="1191"/>
      <c r="X237" s="1191"/>
      <c r="Y237" s="1191"/>
      <c r="Z237" s="1191"/>
      <c r="AA237" s="1191"/>
      <c r="AB237" s="1191"/>
      <c r="AC237" s="1191"/>
      <c r="AD237" s="1188"/>
      <c r="AE237" s="1188"/>
      <c r="AF237" s="1188"/>
      <c r="AG237" s="1188"/>
      <c r="AH237" s="1188"/>
      <c r="AI237" s="1188"/>
      <c r="AJ237" s="1188"/>
      <c r="AK237" s="1188"/>
      <c r="AL237" s="1188"/>
      <c r="AM237" s="1188"/>
      <c r="AN237" s="1188"/>
      <c r="AO237" s="1188"/>
      <c r="AP237" s="1188"/>
    </row>
    <row r="238" spans="1:42">
      <c r="A238" s="1188"/>
      <c r="B238" s="1188"/>
      <c r="C238" s="1188"/>
      <c r="D238" s="1188"/>
      <c r="E238" s="1188"/>
      <c r="F238" s="1188"/>
      <c r="G238" s="1188"/>
      <c r="H238" s="1188"/>
      <c r="I238" s="1191"/>
      <c r="J238" s="1191"/>
      <c r="K238" s="1191"/>
      <c r="L238" s="1191"/>
      <c r="M238" s="1191"/>
      <c r="N238" s="1191"/>
      <c r="O238" s="1191"/>
      <c r="P238" s="1191"/>
      <c r="Q238" s="1191"/>
      <c r="R238" s="1191"/>
      <c r="S238" s="1191"/>
      <c r="T238" s="1191"/>
      <c r="U238" s="1191"/>
      <c r="V238" s="1191"/>
      <c r="W238" s="1191"/>
      <c r="X238" s="1191"/>
      <c r="Y238" s="1191"/>
      <c r="Z238" s="1191"/>
      <c r="AA238" s="1191"/>
      <c r="AB238" s="1191"/>
      <c r="AC238" s="1191"/>
      <c r="AD238" s="1188"/>
      <c r="AE238" s="1188"/>
      <c r="AF238" s="1188"/>
      <c r="AG238" s="1188"/>
      <c r="AH238" s="1188"/>
      <c r="AI238" s="1188"/>
      <c r="AJ238" s="1188"/>
      <c r="AK238" s="1188"/>
      <c r="AL238" s="1188"/>
      <c r="AM238" s="1188"/>
      <c r="AN238" s="1188"/>
      <c r="AO238" s="1188"/>
      <c r="AP238" s="1188"/>
    </row>
    <row r="239" spans="1:42">
      <c r="A239" s="1188"/>
      <c r="B239" s="1188"/>
      <c r="C239" s="1188"/>
      <c r="D239" s="1188"/>
      <c r="E239" s="1188"/>
      <c r="F239" s="1188"/>
      <c r="G239" s="1188"/>
      <c r="H239" s="1188"/>
      <c r="I239" s="1191"/>
      <c r="J239" s="1191"/>
      <c r="K239" s="1191"/>
      <c r="L239" s="1191"/>
      <c r="M239" s="1191"/>
      <c r="N239" s="1191"/>
      <c r="O239" s="1191"/>
      <c r="P239" s="1191"/>
      <c r="Q239" s="1191"/>
      <c r="R239" s="1191"/>
      <c r="S239" s="1191"/>
      <c r="T239" s="1191"/>
      <c r="U239" s="1191"/>
      <c r="V239" s="1191"/>
      <c r="W239" s="1191"/>
      <c r="X239" s="1191"/>
      <c r="Y239" s="1191"/>
      <c r="Z239" s="1191"/>
      <c r="AA239" s="1191"/>
      <c r="AB239" s="1191"/>
      <c r="AC239" s="1191"/>
      <c r="AD239" s="1188"/>
      <c r="AE239" s="1188"/>
      <c r="AF239" s="1188"/>
      <c r="AG239" s="1188"/>
      <c r="AH239" s="1188"/>
      <c r="AI239" s="1188"/>
      <c r="AJ239" s="1188"/>
      <c r="AK239" s="1188"/>
      <c r="AL239" s="1188"/>
      <c r="AM239" s="1188"/>
      <c r="AN239" s="1188"/>
      <c r="AO239" s="1188"/>
      <c r="AP239" s="1188"/>
    </row>
    <row r="240" spans="1:42">
      <c r="A240" s="1188"/>
      <c r="B240" s="1188"/>
      <c r="C240" s="1188"/>
      <c r="D240" s="1188"/>
      <c r="E240" s="1188"/>
      <c r="F240" s="1188"/>
      <c r="G240" s="1188"/>
      <c r="H240" s="1188"/>
      <c r="I240" s="1191"/>
      <c r="J240" s="1191"/>
      <c r="K240" s="1191"/>
      <c r="L240" s="1191"/>
      <c r="M240" s="1191"/>
      <c r="N240" s="1191"/>
      <c r="O240" s="1191"/>
      <c r="P240" s="1191"/>
      <c r="Q240" s="1191"/>
      <c r="R240" s="1191"/>
      <c r="S240" s="1191"/>
      <c r="T240" s="1191"/>
      <c r="U240" s="1191"/>
      <c r="V240" s="1191"/>
      <c r="W240" s="1191"/>
      <c r="X240" s="1191"/>
      <c r="Y240" s="1191"/>
      <c r="Z240" s="1191"/>
      <c r="AA240" s="1191"/>
      <c r="AB240" s="1191"/>
      <c r="AC240" s="1191"/>
      <c r="AD240" s="1188"/>
      <c r="AE240" s="1188"/>
      <c r="AF240" s="1188"/>
      <c r="AG240" s="1188"/>
      <c r="AH240" s="1188"/>
      <c r="AI240" s="1188"/>
      <c r="AJ240" s="1188"/>
      <c r="AK240" s="1188"/>
      <c r="AL240" s="1188"/>
      <c r="AM240" s="1188"/>
      <c r="AN240" s="1188"/>
      <c r="AO240" s="1188"/>
      <c r="AP240" s="1188"/>
    </row>
    <row r="241" spans="1:42">
      <c r="A241" s="1188"/>
      <c r="B241" s="1188"/>
      <c r="C241" s="1188"/>
      <c r="D241" s="1188"/>
      <c r="E241" s="1188"/>
      <c r="F241" s="1188"/>
      <c r="G241" s="1188"/>
      <c r="H241" s="1188"/>
      <c r="I241" s="1191"/>
      <c r="J241" s="1191"/>
      <c r="K241" s="1191"/>
      <c r="L241" s="1191"/>
      <c r="M241" s="1191"/>
      <c r="N241" s="1191"/>
      <c r="O241" s="1191"/>
      <c r="P241" s="1191"/>
      <c r="Q241" s="1191"/>
      <c r="R241" s="1191"/>
      <c r="S241" s="1191"/>
      <c r="T241" s="1191"/>
      <c r="U241" s="1191"/>
      <c r="V241" s="1191"/>
      <c r="W241" s="1191"/>
      <c r="X241" s="1191"/>
      <c r="Y241" s="1191"/>
      <c r="Z241" s="1191"/>
      <c r="AA241" s="1191"/>
      <c r="AB241" s="1191"/>
      <c r="AC241" s="1191"/>
      <c r="AD241" s="1188"/>
      <c r="AE241" s="1188"/>
      <c r="AF241" s="1188"/>
      <c r="AG241" s="1188"/>
      <c r="AH241" s="1188"/>
      <c r="AI241" s="1188"/>
      <c r="AJ241" s="1188"/>
      <c r="AK241" s="1188"/>
      <c r="AL241" s="1188"/>
      <c r="AM241" s="1188"/>
      <c r="AN241" s="1188"/>
      <c r="AO241" s="1188"/>
      <c r="AP241" s="1188"/>
    </row>
    <row r="242" spans="1:42">
      <c r="A242" s="1188"/>
      <c r="B242" s="1188"/>
      <c r="C242" s="1188"/>
      <c r="D242" s="1188"/>
      <c r="E242" s="1188"/>
      <c r="F242" s="1188"/>
      <c r="G242" s="1188"/>
      <c r="H242" s="1188"/>
      <c r="I242" s="1191"/>
      <c r="J242" s="1191"/>
      <c r="K242" s="1191"/>
      <c r="L242" s="1191"/>
      <c r="M242" s="1191"/>
      <c r="N242" s="1191"/>
      <c r="O242" s="1191"/>
      <c r="P242" s="1191"/>
      <c r="Q242" s="1191"/>
      <c r="R242" s="1191"/>
      <c r="S242" s="1191"/>
      <c r="T242" s="1191"/>
      <c r="U242" s="1191"/>
      <c r="V242" s="1191"/>
      <c r="W242" s="1191"/>
      <c r="X242" s="1191"/>
      <c r="Y242" s="1191"/>
      <c r="Z242" s="1191"/>
      <c r="AA242" s="1191"/>
      <c r="AB242" s="1191"/>
      <c r="AC242" s="1191"/>
      <c r="AD242" s="1188"/>
      <c r="AE242" s="1188"/>
      <c r="AF242" s="1188"/>
      <c r="AG242" s="1188"/>
      <c r="AH242" s="1188"/>
      <c r="AI242" s="1188"/>
      <c r="AJ242" s="1188"/>
      <c r="AK242" s="1188"/>
      <c r="AL242" s="1188"/>
      <c r="AM242" s="1188"/>
      <c r="AN242" s="1188"/>
      <c r="AO242" s="1188"/>
      <c r="AP242" s="1188"/>
    </row>
    <row r="243" spans="1:42">
      <c r="A243" s="1188"/>
      <c r="B243" s="1188"/>
      <c r="C243" s="1188"/>
      <c r="D243" s="1188"/>
      <c r="E243" s="1188"/>
      <c r="F243" s="1188"/>
      <c r="G243" s="1188"/>
      <c r="H243" s="1188"/>
      <c r="I243" s="1191"/>
      <c r="J243" s="1191"/>
      <c r="K243" s="1191"/>
      <c r="L243" s="1191"/>
      <c r="M243" s="1191"/>
      <c r="N243" s="1191"/>
      <c r="O243" s="1191"/>
      <c r="P243" s="1191"/>
      <c r="Q243" s="1191"/>
      <c r="R243" s="1191"/>
      <c r="S243" s="1191"/>
      <c r="T243" s="1191"/>
      <c r="U243" s="1191"/>
      <c r="V243" s="1191"/>
      <c r="W243" s="1191"/>
      <c r="X243" s="1191"/>
      <c r="Y243" s="1191"/>
      <c r="Z243" s="1191"/>
      <c r="AA243" s="1191"/>
      <c r="AB243" s="1191"/>
      <c r="AC243" s="1191"/>
      <c r="AD243" s="1188"/>
      <c r="AE243" s="1188"/>
      <c r="AF243" s="1188"/>
      <c r="AG243" s="1188"/>
      <c r="AH243" s="1188"/>
      <c r="AI243" s="1188"/>
      <c r="AJ243" s="1188"/>
      <c r="AK243" s="1188"/>
      <c r="AL243" s="1188"/>
      <c r="AM243" s="1188"/>
      <c r="AN243" s="1188"/>
      <c r="AO243" s="1188"/>
      <c r="AP243" s="1188"/>
    </row>
    <row r="244" spans="1:42">
      <c r="A244" s="1188"/>
      <c r="B244" s="1188"/>
      <c r="C244" s="1188"/>
      <c r="D244" s="1188"/>
      <c r="E244" s="1188"/>
      <c r="F244" s="1188"/>
      <c r="G244" s="1188"/>
      <c r="H244" s="1188"/>
      <c r="I244" s="1191"/>
      <c r="J244" s="1191"/>
      <c r="K244" s="1191"/>
      <c r="L244" s="1191"/>
      <c r="M244" s="1191"/>
      <c r="N244" s="1191"/>
      <c r="O244" s="1191"/>
      <c r="P244" s="1191"/>
      <c r="Q244" s="1191"/>
      <c r="R244" s="1191"/>
      <c r="S244" s="1191"/>
      <c r="T244" s="1191"/>
      <c r="U244" s="1191"/>
      <c r="V244" s="1191"/>
      <c r="W244" s="1191"/>
      <c r="X244" s="1191"/>
      <c r="Y244" s="1191"/>
      <c r="Z244" s="1191"/>
      <c r="AA244" s="1191"/>
      <c r="AB244" s="1191"/>
      <c r="AC244" s="1191"/>
      <c r="AD244" s="1188"/>
      <c r="AE244" s="1188"/>
      <c r="AF244" s="1188"/>
      <c r="AG244" s="1188"/>
      <c r="AH244" s="1188"/>
      <c r="AI244" s="1188"/>
      <c r="AJ244" s="1188"/>
      <c r="AK244" s="1188"/>
      <c r="AL244" s="1188"/>
      <c r="AM244" s="1188"/>
      <c r="AN244" s="1188"/>
      <c r="AO244" s="1188"/>
      <c r="AP244" s="1188"/>
    </row>
    <row r="245" spans="1:42">
      <c r="A245" s="1188"/>
      <c r="B245" s="1188"/>
      <c r="C245" s="1188"/>
      <c r="D245" s="1188"/>
      <c r="E245" s="1188"/>
      <c r="F245" s="1188"/>
      <c r="G245" s="1188"/>
      <c r="H245" s="1188"/>
      <c r="I245" s="1191"/>
      <c r="J245" s="1191"/>
      <c r="K245" s="1191"/>
      <c r="L245" s="1191"/>
      <c r="M245" s="1191"/>
      <c r="N245" s="1191"/>
      <c r="O245" s="1191"/>
      <c r="P245" s="1191"/>
      <c r="Q245" s="1191"/>
      <c r="R245" s="1191"/>
      <c r="S245" s="1191"/>
      <c r="T245" s="1191"/>
      <c r="U245" s="1191"/>
      <c r="V245" s="1191"/>
      <c r="W245" s="1191"/>
      <c r="X245" s="1191"/>
      <c r="Y245" s="1191"/>
      <c r="Z245" s="1191"/>
      <c r="AA245" s="1191"/>
      <c r="AB245" s="1191"/>
      <c r="AC245" s="1191"/>
      <c r="AD245" s="1188"/>
      <c r="AE245" s="1188"/>
      <c r="AF245" s="1188"/>
      <c r="AG245" s="1188"/>
      <c r="AH245" s="1188"/>
      <c r="AI245" s="1188"/>
      <c r="AJ245" s="1188"/>
      <c r="AK245" s="1188"/>
      <c r="AL245" s="1188"/>
      <c r="AM245" s="1188"/>
      <c r="AN245" s="1188"/>
      <c r="AO245" s="1188"/>
      <c r="AP245" s="1188"/>
    </row>
    <row r="246" spans="1:42">
      <c r="A246" s="1188"/>
      <c r="B246" s="1188"/>
      <c r="C246" s="1188"/>
      <c r="D246" s="1188"/>
      <c r="E246" s="1188"/>
      <c r="F246" s="1188"/>
      <c r="G246" s="1188"/>
      <c r="H246" s="1188"/>
      <c r="I246" s="1191"/>
      <c r="J246" s="1191"/>
      <c r="K246" s="1191"/>
      <c r="L246" s="1191"/>
      <c r="M246" s="1191"/>
      <c r="N246" s="1191"/>
      <c r="O246" s="1191"/>
      <c r="P246" s="1191"/>
      <c r="Q246" s="1191"/>
      <c r="R246" s="1191"/>
      <c r="S246" s="1191"/>
      <c r="T246" s="1191"/>
      <c r="U246" s="1191"/>
      <c r="V246" s="1191"/>
      <c r="W246" s="1191"/>
      <c r="X246" s="1191"/>
      <c r="Y246" s="1191"/>
      <c r="Z246" s="1191"/>
      <c r="AA246" s="1191"/>
      <c r="AB246" s="1191"/>
      <c r="AC246" s="1191"/>
      <c r="AD246" s="1188"/>
      <c r="AE246" s="1188"/>
      <c r="AF246" s="1188"/>
      <c r="AG246" s="1188"/>
      <c r="AH246" s="1188"/>
      <c r="AI246" s="1188"/>
      <c r="AJ246" s="1188"/>
      <c r="AK246" s="1188"/>
      <c r="AL246" s="1188"/>
      <c r="AM246" s="1188"/>
      <c r="AN246" s="1188"/>
      <c r="AO246" s="1188"/>
      <c r="AP246" s="1188"/>
    </row>
    <row r="247" spans="1:42">
      <c r="A247" s="1188"/>
      <c r="B247" s="1188"/>
      <c r="C247" s="1188"/>
      <c r="D247" s="1188"/>
      <c r="E247" s="1188"/>
      <c r="F247" s="1188"/>
      <c r="G247" s="1188"/>
      <c r="H247" s="1188"/>
      <c r="I247" s="1191"/>
      <c r="J247" s="1191"/>
      <c r="K247" s="1191"/>
      <c r="L247" s="1191"/>
      <c r="M247" s="1191"/>
      <c r="N247" s="1191"/>
      <c r="O247" s="1191"/>
      <c r="P247" s="1191"/>
      <c r="Q247" s="1191"/>
      <c r="R247" s="1191"/>
      <c r="S247" s="1191"/>
      <c r="T247" s="1191"/>
      <c r="U247" s="1191"/>
      <c r="V247" s="1191"/>
      <c r="W247" s="1191"/>
      <c r="X247" s="1191"/>
      <c r="Y247" s="1191"/>
      <c r="Z247" s="1191"/>
      <c r="AA247" s="1191"/>
      <c r="AB247" s="1191"/>
      <c r="AC247" s="1191"/>
      <c r="AD247" s="1188"/>
      <c r="AE247" s="1188"/>
      <c r="AF247" s="1188"/>
      <c r="AG247" s="1188"/>
      <c r="AH247" s="1188"/>
      <c r="AI247" s="1188"/>
      <c r="AJ247" s="1188"/>
      <c r="AK247" s="1188"/>
      <c r="AL247" s="1188"/>
      <c r="AM247" s="1188"/>
      <c r="AN247" s="1188"/>
      <c r="AO247" s="1188"/>
      <c r="AP247" s="1188"/>
    </row>
    <row r="248" spans="1:42">
      <c r="A248" s="1188"/>
      <c r="B248" s="1188"/>
      <c r="C248" s="1188"/>
      <c r="D248" s="1188"/>
      <c r="E248" s="1188"/>
      <c r="F248" s="1188"/>
      <c r="G248" s="1188"/>
      <c r="H248" s="1188"/>
      <c r="I248" s="1191"/>
      <c r="J248" s="1191"/>
      <c r="K248" s="1191"/>
      <c r="L248" s="1191"/>
      <c r="M248" s="1191"/>
      <c r="N248" s="1191"/>
      <c r="O248" s="1191"/>
      <c r="P248" s="1191"/>
      <c r="Q248" s="1191"/>
      <c r="R248" s="1191"/>
      <c r="S248" s="1191"/>
      <c r="T248" s="1191"/>
      <c r="U248" s="1191"/>
      <c r="V248" s="1191"/>
      <c r="W248" s="1191"/>
      <c r="X248" s="1191"/>
      <c r="Y248" s="1191"/>
      <c r="Z248" s="1191"/>
      <c r="AA248" s="1191"/>
      <c r="AB248" s="1191"/>
      <c r="AC248" s="1191"/>
      <c r="AD248" s="1188"/>
      <c r="AE248" s="1188"/>
      <c r="AF248" s="1188"/>
      <c r="AG248" s="1188"/>
      <c r="AH248" s="1188"/>
      <c r="AI248" s="1188"/>
      <c r="AJ248" s="1188"/>
      <c r="AK248" s="1188"/>
      <c r="AL248" s="1188"/>
      <c r="AM248" s="1188"/>
      <c r="AN248" s="1188"/>
      <c r="AO248" s="1188"/>
      <c r="AP248" s="1188"/>
    </row>
    <row r="249" spans="1:42">
      <c r="A249" s="1188"/>
      <c r="B249" s="1188"/>
      <c r="C249" s="1188"/>
      <c r="D249" s="1188"/>
      <c r="E249" s="1188"/>
      <c r="F249" s="1188"/>
      <c r="G249" s="1188"/>
      <c r="H249" s="1188"/>
      <c r="I249" s="1191"/>
      <c r="J249" s="1191"/>
      <c r="K249" s="1191"/>
      <c r="L249" s="1191"/>
      <c r="M249" s="1191"/>
      <c r="N249" s="1191"/>
      <c r="O249" s="1191"/>
      <c r="P249" s="1191"/>
      <c r="Q249" s="1191"/>
      <c r="R249" s="1191"/>
      <c r="S249" s="1191"/>
      <c r="T249" s="1191"/>
      <c r="U249" s="1191"/>
      <c r="V249" s="1191"/>
      <c r="W249" s="1191"/>
      <c r="X249" s="1191"/>
      <c r="Y249" s="1191"/>
      <c r="Z249" s="1191"/>
      <c r="AA249" s="1191"/>
      <c r="AB249" s="1191"/>
      <c r="AC249" s="1191"/>
      <c r="AD249" s="1188"/>
      <c r="AE249" s="1188"/>
      <c r="AF249" s="1188"/>
      <c r="AG249" s="1188"/>
      <c r="AH249" s="1188"/>
      <c r="AI249" s="1188"/>
      <c r="AJ249" s="1188"/>
      <c r="AK249" s="1188"/>
      <c r="AL249" s="1188"/>
      <c r="AM249" s="1188"/>
      <c r="AN249" s="1188"/>
      <c r="AO249" s="1188"/>
      <c r="AP249" s="1188"/>
    </row>
    <row r="250" spans="1:42">
      <c r="A250" s="1188"/>
      <c r="B250" s="1188"/>
      <c r="C250" s="1188"/>
      <c r="D250" s="1188"/>
      <c r="E250" s="1188"/>
      <c r="F250" s="1188"/>
      <c r="G250" s="1188"/>
      <c r="H250" s="1188"/>
      <c r="I250" s="1191"/>
      <c r="J250" s="1191"/>
      <c r="K250" s="1191"/>
      <c r="L250" s="1191"/>
      <c r="M250" s="1191"/>
      <c r="N250" s="1191"/>
      <c r="O250" s="1191"/>
      <c r="P250" s="1191"/>
      <c r="Q250" s="1191"/>
      <c r="R250" s="1191"/>
      <c r="S250" s="1191"/>
      <c r="T250" s="1191"/>
      <c r="U250" s="1191"/>
      <c r="V250" s="1191"/>
      <c r="W250" s="1191"/>
      <c r="X250" s="1191"/>
      <c r="Y250" s="1191"/>
      <c r="Z250" s="1191"/>
      <c r="AA250" s="1191"/>
      <c r="AB250" s="1191"/>
      <c r="AC250" s="1191"/>
      <c r="AD250" s="1188"/>
      <c r="AE250" s="1188"/>
      <c r="AF250" s="1188"/>
      <c r="AG250" s="1188"/>
      <c r="AH250" s="1188"/>
      <c r="AI250" s="1188"/>
      <c r="AJ250" s="1188"/>
      <c r="AK250" s="1188"/>
      <c r="AL250" s="1188"/>
      <c r="AM250" s="1188"/>
      <c r="AN250" s="1188"/>
      <c r="AO250" s="1188"/>
      <c r="AP250" s="1188"/>
    </row>
    <row r="251" spans="1:42">
      <c r="A251" s="1188"/>
      <c r="B251" s="1188"/>
      <c r="C251" s="1188"/>
      <c r="D251" s="1188"/>
      <c r="E251" s="1188"/>
      <c r="F251" s="1188"/>
      <c r="G251" s="1188"/>
      <c r="H251" s="1188"/>
      <c r="I251" s="1191"/>
      <c r="J251" s="1191"/>
      <c r="K251" s="1191"/>
      <c r="L251" s="1191"/>
      <c r="M251" s="1191"/>
      <c r="N251" s="1191"/>
      <c r="O251" s="1191"/>
      <c r="P251" s="1191"/>
      <c r="Q251" s="1191"/>
      <c r="R251" s="1191"/>
      <c r="S251" s="1191"/>
      <c r="T251" s="1191"/>
      <c r="U251" s="1191"/>
      <c r="V251" s="1191"/>
      <c r="W251" s="1191"/>
      <c r="X251" s="1191"/>
      <c r="Y251" s="1191"/>
      <c r="Z251" s="1191"/>
      <c r="AA251" s="1191"/>
      <c r="AB251" s="1191"/>
      <c r="AC251" s="1191"/>
      <c r="AD251" s="1188"/>
      <c r="AE251" s="1188"/>
      <c r="AF251" s="1188"/>
      <c r="AG251" s="1188"/>
      <c r="AH251" s="1188"/>
      <c r="AI251" s="1188"/>
      <c r="AJ251" s="1188"/>
      <c r="AK251" s="1188"/>
      <c r="AL251" s="1188"/>
      <c r="AM251" s="1188"/>
      <c r="AN251" s="1188"/>
      <c r="AO251" s="1188"/>
      <c r="AP251" s="1188"/>
    </row>
    <row r="252" spans="1:42">
      <c r="A252" s="1188"/>
      <c r="B252" s="1188"/>
      <c r="C252" s="1188"/>
      <c r="D252" s="1188"/>
      <c r="E252" s="1188"/>
      <c r="F252" s="1188"/>
      <c r="G252" s="1188"/>
      <c r="H252" s="1188"/>
      <c r="I252" s="1191"/>
      <c r="J252" s="1191"/>
      <c r="K252" s="1191"/>
      <c r="L252" s="1191"/>
      <c r="M252" s="1191"/>
      <c r="N252" s="1191"/>
      <c r="O252" s="1191"/>
      <c r="P252" s="1191"/>
      <c r="Q252" s="1191"/>
      <c r="R252" s="1191"/>
      <c r="S252" s="1191"/>
      <c r="T252" s="1191"/>
      <c r="U252" s="1191"/>
      <c r="V252" s="1191"/>
      <c r="W252" s="1191"/>
      <c r="X252" s="1191"/>
      <c r="Y252" s="1191"/>
      <c r="Z252" s="1191"/>
      <c r="AA252" s="1191"/>
      <c r="AB252" s="1191"/>
      <c r="AC252" s="1191"/>
      <c r="AD252" s="1188"/>
      <c r="AE252" s="1188"/>
      <c r="AF252" s="1188"/>
      <c r="AG252" s="1188"/>
      <c r="AH252" s="1188"/>
      <c r="AI252" s="1188"/>
      <c r="AJ252" s="1188"/>
      <c r="AK252" s="1188"/>
      <c r="AL252" s="1188"/>
      <c r="AM252" s="1188"/>
      <c r="AN252" s="1188"/>
      <c r="AO252" s="1188"/>
      <c r="AP252" s="1188"/>
    </row>
    <row r="253" spans="1:42">
      <c r="A253" s="1188"/>
      <c r="B253" s="1188"/>
      <c r="C253" s="1188"/>
      <c r="D253" s="1188"/>
      <c r="E253" s="1188"/>
      <c r="F253" s="1188"/>
      <c r="G253" s="1188"/>
      <c r="H253" s="1188"/>
      <c r="I253" s="1191"/>
      <c r="J253" s="1191"/>
      <c r="K253" s="1191"/>
      <c r="L253" s="1191"/>
      <c r="M253" s="1191"/>
      <c r="N253" s="1191"/>
      <c r="O253" s="1191"/>
      <c r="P253" s="1191"/>
      <c r="Q253" s="1191"/>
      <c r="R253" s="1191"/>
      <c r="S253" s="1191"/>
      <c r="T253" s="1191"/>
      <c r="U253" s="1191"/>
      <c r="V253" s="1191"/>
      <c r="W253" s="1191"/>
      <c r="X253" s="1191"/>
      <c r="Y253" s="1191"/>
      <c r="Z253" s="1191"/>
      <c r="AA253" s="1191"/>
      <c r="AB253" s="1191"/>
      <c r="AC253" s="1191"/>
      <c r="AD253" s="1188"/>
      <c r="AE253" s="1188"/>
      <c r="AF253" s="1188"/>
      <c r="AG253" s="1188"/>
      <c r="AH253" s="1188"/>
      <c r="AI253" s="1188"/>
      <c r="AJ253" s="1188"/>
      <c r="AK253" s="1188"/>
      <c r="AL253" s="1188"/>
      <c r="AM253" s="1188"/>
      <c r="AN253" s="1188"/>
      <c r="AO253" s="1188"/>
      <c r="AP253" s="1188"/>
    </row>
    <row r="254" spans="1:42">
      <c r="A254" s="1188"/>
      <c r="B254" s="1188"/>
      <c r="C254" s="1188"/>
      <c r="D254" s="1188"/>
      <c r="E254" s="1188"/>
      <c r="F254" s="1188"/>
      <c r="G254" s="1188"/>
      <c r="H254" s="1188"/>
      <c r="I254" s="1191"/>
      <c r="J254" s="1191"/>
      <c r="K254" s="1191"/>
      <c r="L254" s="1191"/>
      <c r="M254" s="1191"/>
      <c r="N254" s="1191"/>
      <c r="O254" s="1191"/>
      <c r="P254" s="1191"/>
      <c r="Q254" s="1191"/>
      <c r="R254" s="1191"/>
      <c r="S254" s="1191"/>
      <c r="T254" s="1191"/>
      <c r="U254" s="1191"/>
      <c r="V254" s="1191"/>
      <c r="W254" s="1191"/>
      <c r="X254" s="1191"/>
      <c r="Y254" s="1191"/>
      <c r="Z254" s="1191"/>
      <c r="AA254" s="1191"/>
      <c r="AB254" s="1191"/>
      <c r="AC254" s="1191"/>
      <c r="AD254" s="1188"/>
      <c r="AE254" s="1188"/>
      <c r="AF254" s="1188"/>
      <c r="AG254" s="1188"/>
      <c r="AH254" s="1188"/>
      <c r="AI254" s="1188"/>
      <c r="AJ254" s="1188"/>
      <c r="AK254" s="1188"/>
      <c r="AL254" s="1188"/>
      <c r="AM254" s="1188"/>
      <c r="AN254" s="1188"/>
      <c r="AO254" s="1188"/>
      <c r="AP254" s="1188"/>
    </row>
    <row r="255" spans="1:42">
      <c r="A255" s="1188"/>
      <c r="B255" s="1188"/>
      <c r="C255" s="1188"/>
      <c r="D255" s="1188"/>
      <c r="E255" s="1188"/>
      <c r="F255" s="1188"/>
      <c r="G255" s="1188"/>
      <c r="H255" s="1188"/>
      <c r="I255" s="1191"/>
      <c r="J255" s="1191"/>
      <c r="K255" s="1191"/>
      <c r="L255" s="1191"/>
      <c r="M255" s="1191"/>
      <c r="N255" s="1191"/>
      <c r="O255" s="1191"/>
      <c r="P255" s="1191"/>
      <c r="Q255" s="1191"/>
      <c r="R255" s="1191"/>
      <c r="S255" s="1191"/>
      <c r="T255" s="1191"/>
      <c r="U255" s="1191"/>
      <c r="V255" s="1191"/>
      <c r="W255" s="1191"/>
      <c r="X255" s="1191"/>
      <c r="Y255" s="1191"/>
      <c r="Z255" s="1191"/>
      <c r="AA255" s="1191"/>
      <c r="AB255" s="1191"/>
      <c r="AC255" s="1191"/>
      <c r="AD255" s="1188"/>
      <c r="AE255" s="1188"/>
      <c r="AF255" s="1188"/>
      <c r="AG255" s="1188"/>
      <c r="AH255" s="1188"/>
      <c r="AI255" s="1188"/>
      <c r="AJ255" s="1188"/>
      <c r="AK255" s="1188"/>
      <c r="AL255" s="1188"/>
      <c r="AM255" s="1188"/>
      <c r="AN255" s="1188"/>
      <c r="AO255" s="1188"/>
      <c r="AP255" s="1188"/>
    </row>
    <row r="256" spans="1:42">
      <c r="A256" s="1188"/>
      <c r="B256" s="1188"/>
      <c r="C256" s="1188"/>
      <c r="D256" s="1188"/>
      <c r="E256" s="1188"/>
      <c r="F256" s="1188"/>
      <c r="G256" s="1188"/>
      <c r="H256" s="1188"/>
      <c r="I256" s="1191"/>
      <c r="J256" s="1191"/>
      <c r="K256" s="1191"/>
      <c r="L256" s="1191"/>
      <c r="M256" s="1191"/>
      <c r="N256" s="1191"/>
      <c r="O256" s="1191"/>
      <c r="P256" s="1191"/>
      <c r="Q256" s="1191"/>
      <c r="R256" s="1191"/>
      <c r="S256" s="1191"/>
      <c r="T256" s="1191"/>
      <c r="U256" s="1191"/>
      <c r="V256" s="1191"/>
      <c r="W256" s="1191"/>
      <c r="X256" s="1191"/>
      <c r="Y256" s="1191"/>
      <c r="Z256" s="1191"/>
      <c r="AA256" s="1191"/>
      <c r="AB256" s="1191"/>
      <c r="AC256" s="1191"/>
      <c r="AD256" s="1188"/>
      <c r="AE256" s="1188"/>
      <c r="AF256" s="1188"/>
      <c r="AG256" s="1188"/>
      <c r="AH256" s="1188"/>
      <c r="AI256" s="1188"/>
      <c r="AJ256" s="1188"/>
      <c r="AK256" s="1188"/>
      <c r="AL256" s="1188"/>
      <c r="AM256" s="1188"/>
      <c r="AN256" s="1188"/>
      <c r="AO256" s="1188"/>
      <c r="AP256" s="1188"/>
    </row>
    <row r="257" spans="1:42">
      <c r="A257" s="1188"/>
      <c r="B257" s="1188"/>
      <c r="C257" s="1188"/>
      <c r="D257" s="1188"/>
      <c r="E257" s="1188"/>
      <c r="F257" s="1188"/>
      <c r="G257" s="1188"/>
      <c r="H257" s="1188"/>
      <c r="I257" s="1191"/>
      <c r="J257" s="1191"/>
      <c r="K257" s="1191"/>
      <c r="L257" s="1191"/>
      <c r="M257" s="1191"/>
      <c r="N257" s="1191"/>
      <c r="O257" s="1191"/>
      <c r="P257" s="1191"/>
      <c r="Q257" s="1191"/>
      <c r="R257" s="1191"/>
      <c r="S257" s="1191"/>
      <c r="T257" s="1191"/>
      <c r="U257" s="1191"/>
      <c r="V257" s="1191"/>
      <c r="W257" s="1191"/>
      <c r="X257" s="1191"/>
      <c r="Y257" s="1191"/>
      <c r="Z257" s="1191"/>
      <c r="AA257" s="1191"/>
      <c r="AB257" s="1191"/>
      <c r="AC257" s="1191"/>
      <c r="AD257" s="1188"/>
      <c r="AE257" s="1188"/>
      <c r="AF257" s="1188"/>
      <c r="AG257" s="1188"/>
      <c r="AH257" s="1188"/>
      <c r="AI257" s="1188"/>
      <c r="AJ257" s="1188"/>
      <c r="AK257" s="1188"/>
      <c r="AL257" s="1188"/>
      <c r="AM257" s="1188"/>
      <c r="AN257" s="1188"/>
      <c r="AO257" s="1188"/>
      <c r="AP257" s="1188"/>
    </row>
    <row r="258" spans="1:42">
      <c r="A258" s="1188"/>
      <c r="B258" s="1188"/>
      <c r="C258" s="1188"/>
      <c r="D258" s="1188"/>
      <c r="E258" s="1188"/>
      <c r="F258" s="1188"/>
      <c r="G258" s="1188"/>
      <c r="H258" s="1188"/>
      <c r="I258" s="1191"/>
      <c r="J258" s="1191"/>
      <c r="K258" s="1191"/>
      <c r="L258" s="1191"/>
      <c r="M258" s="1191"/>
      <c r="N258" s="1191"/>
      <c r="O258" s="1191"/>
      <c r="P258" s="1191"/>
      <c r="Q258" s="1191"/>
      <c r="R258" s="1191"/>
      <c r="S258" s="1191"/>
      <c r="T258" s="1191"/>
      <c r="U258" s="1191"/>
      <c r="V258" s="1191"/>
      <c r="W258" s="1191"/>
      <c r="X258" s="1191"/>
      <c r="Y258" s="1191"/>
      <c r="Z258" s="1191"/>
      <c r="AA258" s="1191"/>
      <c r="AB258" s="1191"/>
      <c r="AC258" s="1191"/>
      <c r="AD258" s="1188"/>
      <c r="AE258" s="1188"/>
      <c r="AF258" s="1188"/>
      <c r="AG258" s="1188"/>
      <c r="AH258" s="1188"/>
      <c r="AI258" s="1188"/>
      <c r="AJ258" s="1188"/>
      <c r="AK258" s="1188"/>
      <c r="AL258" s="1188"/>
      <c r="AM258" s="1188"/>
      <c r="AN258" s="1188"/>
      <c r="AO258" s="1188"/>
      <c r="AP258" s="1188"/>
    </row>
    <row r="259" spans="1:42">
      <c r="A259" s="1188"/>
      <c r="B259" s="1188"/>
      <c r="C259" s="1188"/>
      <c r="D259" s="1188"/>
      <c r="E259" s="1188"/>
      <c r="F259" s="1188"/>
      <c r="G259" s="1188"/>
      <c r="H259" s="1188"/>
      <c r="I259" s="1191"/>
      <c r="J259" s="1191"/>
      <c r="K259" s="1191"/>
      <c r="L259" s="1191"/>
      <c r="M259" s="1191"/>
      <c r="N259" s="1191"/>
      <c r="O259" s="1191"/>
      <c r="P259" s="1191"/>
      <c r="Q259" s="1191"/>
      <c r="R259" s="1191"/>
      <c r="S259" s="1191"/>
      <c r="T259" s="1191"/>
      <c r="U259" s="1191"/>
      <c r="V259" s="1191"/>
      <c r="W259" s="1191"/>
      <c r="X259" s="1191"/>
      <c r="Y259" s="1191"/>
      <c r="Z259" s="1191"/>
      <c r="AA259" s="1191"/>
      <c r="AB259" s="1191"/>
      <c r="AC259" s="1191"/>
      <c r="AD259" s="1188"/>
      <c r="AE259" s="1188"/>
      <c r="AF259" s="1188"/>
      <c r="AG259" s="1188"/>
      <c r="AH259" s="1188"/>
      <c r="AI259" s="1188"/>
      <c r="AJ259" s="1188"/>
      <c r="AK259" s="1188"/>
      <c r="AL259" s="1188"/>
      <c r="AM259" s="1188"/>
      <c r="AN259" s="1188"/>
      <c r="AO259" s="1188"/>
      <c r="AP259" s="1188"/>
    </row>
    <row r="260" spans="1:42">
      <c r="A260" s="1188"/>
      <c r="B260" s="1188"/>
      <c r="C260" s="1188"/>
      <c r="D260" s="1188"/>
      <c r="E260" s="1188"/>
      <c r="F260" s="1188"/>
      <c r="G260" s="1188"/>
      <c r="H260" s="1188"/>
      <c r="I260" s="1191"/>
      <c r="J260" s="1191"/>
      <c r="K260" s="1191"/>
      <c r="L260" s="1191"/>
      <c r="M260" s="1191"/>
      <c r="N260" s="1191"/>
      <c r="O260" s="1191"/>
      <c r="P260" s="1191"/>
      <c r="Q260" s="1191"/>
      <c r="R260" s="1191"/>
      <c r="S260" s="1191"/>
      <c r="T260" s="1191"/>
      <c r="U260" s="1191"/>
      <c r="V260" s="1191"/>
      <c r="W260" s="1191"/>
      <c r="X260" s="1191"/>
      <c r="Y260" s="1191"/>
      <c r="Z260" s="1191"/>
      <c r="AA260" s="1191"/>
      <c r="AB260" s="1191"/>
      <c r="AC260" s="1191"/>
      <c r="AD260" s="1188"/>
      <c r="AE260" s="1188"/>
      <c r="AF260" s="1188"/>
      <c r="AG260" s="1188"/>
      <c r="AH260" s="1188"/>
      <c r="AI260" s="1188"/>
      <c r="AJ260" s="1188"/>
      <c r="AK260" s="1188"/>
      <c r="AL260" s="1188"/>
      <c r="AM260" s="1188"/>
      <c r="AN260" s="1188"/>
      <c r="AO260" s="1188"/>
      <c r="AP260" s="1188"/>
    </row>
    <row r="261" spans="1:42">
      <c r="A261" s="1188"/>
      <c r="B261" s="1188"/>
      <c r="C261" s="1188"/>
      <c r="D261" s="1188"/>
      <c r="E261" s="1188"/>
      <c r="F261" s="1188"/>
      <c r="G261" s="1188"/>
      <c r="H261" s="1188"/>
      <c r="I261" s="1191"/>
      <c r="J261" s="1191"/>
      <c r="K261" s="1191"/>
      <c r="L261" s="1191"/>
      <c r="M261" s="1191"/>
      <c r="N261" s="1191"/>
      <c r="O261" s="1191"/>
      <c r="P261" s="1191"/>
      <c r="Q261" s="1191"/>
      <c r="R261" s="1191"/>
      <c r="S261" s="1191"/>
      <c r="T261" s="1191"/>
      <c r="U261" s="1191"/>
      <c r="V261" s="1191"/>
      <c r="W261" s="1191"/>
      <c r="X261" s="1191"/>
      <c r="Y261" s="1191"/>
      <c r="Z261" s="1191"/>
      <c r="AA261" s="1191"/>
      <c r="AB261" s="1191"/>
      <c r="AC261" s="1191"/>
      <c r="AD261" s="1188"/>
      <c r="AE261" s="1188"/>
      <c r="AF261" s="1188"/>
      <c r="AG261" s="1188"/>
      <c r="AH261" s="1188"/>
      <c r="AI261" s="1188"/>
      <c r="AJ261" s="1188"/>
      <c r="AK261" s="1188"/>
      <c r="AL261" s="1188"/>
      <c r="AM261" s="1188"/>
      <c r="AN261" s="1188"/>
      <c r="AO261" s="1188"/>
      <c r="AP261" s="1188"/>
    </row>
    <row r="262" spans="1:42">
      <c r="A262" s="1188"/>
      <c r="B262" s="1188"/>
      <c r="C262" s="1188"/>
      <c r="D262" s="1188"/>
      <c r="E262" s="1188"/>
      <c r="F262" s="1188"/>
      <c r="G262" s="1188"/>
      <c r="H262" s="1188"/>
      <c r="I262" s="1191"/>
      <c r="J262" s="1191"/>
      <c r="K262" s="1191"/>
      <c r="L262" s="1191"/>
      <c r="M262" s="1191"/>
      <c r="N262" s="1191"/>
      <c r="O262" s="1191"/>
      <c r="P262" s="1191"/>
      <c r="Q262" s="1191"/>
      <c r="R262" s="1191"/>
      <c r="S262" s="1191"/>
      <c r="T262" s="1191"/>
      <c r="U262" s="1191"/>
      <c r="V262" s="1191"/>
      <c r="W262" s="1191"/>
      <c r="X262" s="1191"/>
      <c r="Y262" s="1191"/>
      <c r="Z262" s="1191"/>
      <c r="AA262" s="1191"/>
      <c r="AB262" s="1191"/>
      <c r="AC262" s="1191"/>
      <c r="AD262" s="1188"/>
      <c r="AE262" s="1188"/>
      <c r="AF262" s="1188"/>
      <c r="AG262" s="1188"/>
      <c r="AH262" s="1188"/>
      <c r="AI262" s="1188"/>
      <c r="AJ262" s="1188"/>
      <c r="AK262" s="1188"/>
      <c r="AL262" s="1188"/>
      <c r="AM262" s="1188"/>
      <c r="AN262" s="1188"/>
      <c r="AO262" s="1188"/>
      <c r="AP262" s="1188"/>
    </row>
    <row r="263" spans="1:42">
      <c r="A263" s="1188"/>
      <c r="B263" s="1188"/>
      <c r="C263" s="1188"/>
      <c r="D263" s="1188"/>
      <c r="E263" s="1188"/>
      <c r="F263" s="1188"/>
      <c r="G263" s="1188"/>
      <c r="H263" s="1188"/>
      <c r="I263" s="1191"/>
      <c r="J263" s="1191"/>
      <c r="K263" s="1191"/>
      <c r="L263" s="1191"/>
      <c r="M263" s="1191"/>
      <c r="N263" s="1191"/>
      <c r="O263" s="1191"/>
      <c r="P263" s="1191"/>
      <c r="Q263" s="1191"/>
      <c r="R263" s="1191"/>
      <c r="S263" s="1191"/>
      <c r="T263" s="1191"/>
      <c r="U263" s="1191"/>
      <c r="V263" s="1191"/>
      <c r="W263" s="1191"/>
      <c r="X263" s="1191"/>
      <c r="Y263" s="1191"/>
      <c r="Z263" s="1191"/>
      <c r="AA263" s="1191"/>
      <c r="AB263" s="1191"/>
      <c r="AC263" s="1191"/>
      <c r="AD263" s="1188"/>
      <c r="AE263" s="1188"/>
      <c r="AF263" s="1188"/>
      <c r="AG263" s="1188"/>
      <c r="AH263" s="1188"/>
      <c r="AI263" s="1188"/>
      <c r="AJ263" s="1188"/>
      <c r="AK263" s="1188"/>
      <c r="AL263" s="1188"/>
      <c r="AM263" s="1188"/>
      <c r="AN263" s="1188"/>
      <c r="AO263" s="1188"/>
      <c r="AP263" s="1188"/>
    </row>
    <row r="264" spans="1:42">
      <c r="A264" s="1188"/>
      <c r="B264" s="1188"/>
      <c r="C264" s="1188"/>
      <c r="D264" s="1188"/>
      <c r="E264" s="1188"/>
      <c r="F264" s="1188"/>
      <c r="G264" s="1188"/>
      <c r="H264" s="1188"/>
      <c r="I264" s="1191"/>
      <c r="J264" s="1191"/>
      <c r="K264" s="1191"/>
      <c r="L264" s="1191"/>
      <c r="M264" s="1191"/>
      <c r="N264" s="1191"/>
      <c r="O264" s="1191"/>
      <c r="P264" s="1191"/>
      <c r="Q264" s="1191"/>
      <c r="R264" s="1191"/>
      <c r="S264" s="1191"/>
      <c r="T264" s="1191"/>
      <c r="U264" s="1191"/>
      <c r="V264" s="1191"/>
      <c r="W264" s="1191"/>
      <c r="X264" s="1191"/>
      <c r="Y264" s="1191"/>
      <c r="Z264" s="1191"/>
      <c r="AA264" s="1191"/>
      <c r="AB264" s="1191"/>
      <c r="AC264" s="1191"/>
      <c r="AD264" s="1188"/>
      <c r="AE264" s="1188"/>
      <c r="AF264" s="1188"/>
      <c r="AG264" s="1188"/>
      <c r="AH264" s="1188"/>
      <c r="AI264" s="1188"/>
      <c r="AJ264" s="1188"/>
      <c r="AK264" s="1188"/>
      <c r="AL264" s="1188"/>
      <c r="AM264" s="1188"/>
      <c r="AN264" s="1188"/>
      <c r="AO264" s="1188"/>
      <c r="AP264" s="1188"/>
    </row>
    <row r="265" spans="1:42">
      <c r="A265" s="1188"/>
      <c r="B265" s="1188"/>
      <c r="C265" s="1188"/>
      <c r="D265" s="1188"/>
      <c r="E265" s="1188"/>
      <c r="F265" s="1188"/>
      <c r="G265" s="1188"/>
      <c r="H265" s="1188"/>
      <c r="I265" s="1191"/>
      <c r="J265" s="1191"/>
      <c r="K265" s="1191"/>
      <c r="L265" s="1191"/>
      <c r="M265" s="1191"/>
      <c r="N265" s="1191"/>
      <c r="O265" s="1191"/>
      <c r="P265" s="1191"/>
      <c r="Q265" s="1191"/>
      <c r="R265" s="1191"/>
      <c r="S265" s="1191"/>
      <c r="T265" s="1191"/>
      <c r="U265" s="1191"/>
      <c r="V265" s="1191"/>
      <c r="W265" s="1191"/>
      <c r="X265" s="1191"/>
      <c r="Y265" s="1191"/>
      <c r="Z265" s="1191"/>
      <c r="AA265" s="1191"/>
      <c r="AB265" s="1191"/>
      <c r="AC265" s="1191"/>
      <c r="AD265" s="1188"/>
      <c r="AE265" s="1188"/>
      <c r="AF265" s="1188"/>
      <c r="AG265" s="1188"/>
      <c r="AH265" s="1188"/>
      <c r="AI265" s="1188"/>
      <c r="AJ265" s="1188"/>
      <c r="AK265" s="1188"/>
      <c r="AL265" s="1188"/>
      <c r="AM265" s="1188"/>
      <c r="AN265" s="1188"/>
      <c r="AO265" s="1188"/>
      <c r="AP265" s="1188"/>
    </row>
    <row r="266" spans="1:42">
      <c r="A266" s="1188"/>
      <c r="B266" s="1188"/>
      <c r="C266" s="1188"/>
      <c r="D266" s="1188"/>
      <c r="E266" s="1188"/>
      <c r="F266" s="1188"/>
      <c r="G266" s="1188"/>
      <c r="H266" s="1188"/>
      <c r="I266" s="1191"/>
      <c r="J266" s="1191"/>
      <c r="K266" s="1191"/>
      <c r="L266" s="1191"/>
      <c r="M266" s="1191"/>
      <c r="N266" s="1191"/>
      <c r="O266" s="1191"/>
      <c r="P266" s="1191"/>
      <c r="Q266" s="1191"/>
      <c r="R266" s="1191"/>
      <c r="S266" s="1191"/>
      <c r="T266" s="1191"/>
      <c r="U266" s="1191"/>
      <c r="V266" s="1191"/>
      <c r="W266" s="1191"/>
      <c r="X266" s="1191"/>
      <c r="Y266" s="1191"/>
      <c r="Z266" s="1191"/>
      <c r="AA266" s="1191"/>
      <c r="AB266" s="1191"/>
      <c r="AC266" s="1191"/>
      <c r="AD266" s="1188"/>
      <c r="AE266" s="1188"/>
      <c r="AF266" s="1188"/>
      <c r="AG266" s="1188"/>
      <c r="AH266" s="1188"/>
      <c r="AI266" s="1188"/>
      <c r="AJ266" s="1188"/>
      <c r="AK266" s="1188"/>
      <c r="AL266" s="1188"/>
      <c r="AM266" s="1188"/>
      <c r="AN266" s="1188"/>
      <c r="AO266" s="1188"/>
      <c r="AP266" s="1188"/>
    </row>
    <row r="267" spans="1:42">
      <c r="A267" s="1188"/>
      <c r="B267" s="1188"/>
      <c r="C267" s="1188"/>
      <c r="D267" s="1188"/>
      <c r="E267" s="1188"/>
      <c r="F267" s="1188"/>
      <c r="G267" s="1188"/>
      <c r="H267" s="1188"/>
      <c r="I267" s="1191"/>
      <c r="J267" s="1191"/>
      <c r="K267" s="1191"/>
      <c r="L267" s="1191"/>
      <c r="M267" s="1191"/>
      <c r="N267" s="1191"/>
      <c r="O267" s="1191"/>
      <c r="P267" s="1191"/>
      <c r="Q267" s="1191"/>
      <c r="R267" s="1191"/>
      <c r="S267" s="1191"/>
      <c r="T267" s="1191"/>
      <c r="U267" s="1191"/>
      <c r="V267" s="1191"/>
      <c r="W267" s="1191"/>
      <c r="X267" s="1191"/>
      <c r="Y267" s="1191"/>
      <c r="Z267" s="1191"/>
      <c r="AA267" s="1191"/>
      <c r="AB267" s="1191"/>
      <c r="AC267" s="1191"/>
      <c r="AD267" s="1188"/>
      <c r="AE267" s="1188"/>
      <c r="AF267" s="1188"/>
      <c r="AG267" s="1188"/>
      <c r="AH267" s="1188"/>
      <c r="AI267" s="1188"/>
      <c r="AJ267" s="1188"/>
      <c r="AK267" s="1188"/>
      <c r="AL267" s="1188"/>
      <c r="AM267" s="1188"/>
      <c r="AN267" s="1188"/>
      <c r="AO267" s="1188"/>
      <c r="AP267" s="1188"/>
    </row>
    <row r="268" spans="1:42">
      <c r="A268" s="1188"/>
      <c r="B268" s="1188"/>
      <c r="C268" s="1188"/>
      <c r="D268" s="1188"/>
      <c r="E268" s="1188"/>
      <c r="F268" s="1188"/>
      <c r="G268" s="1188"/>
      <c r="H268" s="1188"/>
      <c r="I268" s="1191"/>
      <c r="J268" s="1191"/>
      <c r="K268" s="1191"/>
      <c r="L268" s="1191"/>
      <c r="M268" s="1191"/>
      <c r="N268" s="1191"/>
      <c r="O268" s="1191"/>
      <c r="P268" s="1191"/>
      <c r="Q268" s="1191"/>
      <c r="R268" s="1191"/>
      <c r="S268" s="1191"/>
      <c r="T268" s="1191"/>
      <c r="U268" s="1191"/>
      <c r="V268" s="1191"/>
      <c r="W268" s="1191"/>
      <c r="X268" s="1191"/>
      <c r="Y268" s="1191"/>
      <c r="Z268" s="1191"/>
      <c r="AA268" s="1191"/>
      <c r="AB268" s="1191"/>
      <c r="AC268" s="1191"/>
      <c r="AD268" s="1188"/>
      <c r="AE268" s="1188"/>
      <c r="AF268" s="1188"/>
      <c r="AG268" s="1188"/>
      <c r="AH268" s="1188"/>
      <c r="AI268" s="1188"/>
      <c r="AJ268" s="1188"/>
      <c r="AK268" s="1188"/>
      <c r="AL268" s="1188"/>
      <c r="AM268" s="1188"/>
      <c r="AN268" s="1188"/>
      <c r="AO268" s="1188"/>
      <c r="AP268" s="1188"/>
    </row>
    <row r="269" spans="1:42">
      <c r="A269" s="1188"/>
      <c r="B269" s="1188"/>
      <c r="C269" s="1188"/>
      <c r="D269" s="1188"/>
      <c r="E269" s="1188"/>
      <c r="F269" s="1188"/>
      <c r="G269" s="1188"/>
      <c r="H269" s="1188"/>
      <c r="I269" s="1191"/>
      <c r="J269" s="1191"/>
      <c r="K269" s="1191"/>
      <c r="L269" s="1191"/>
      <c r="M269" s="1191"/>
      <c r="N269" s="1191"/>
      <c r="O269" s="1191"/>
      <c r="P269" s="1191"/>
      <c r="Q269" s="1191"/>
      <c r="R269" s="1191"/>
      <c r="S269" s="1191"/>
      <c r="T269" s="1191"/>
      <c r="U269" s="1191"/>
      <c r="V269" s="1191"/>
      <c r="W269" s="1191"/>
      <c r="X269" s="1191"/>
      <c r="Y269" s="1191"/>
      <c r="Z269" s="1191"/>
      <c r="AA269" s="1191"/>
      <c r="AB269" s="1191"/>
      <c r="AC269" s="1191"/>
      <c r="AD269" s="1188"/>
      <c r="AE269" s="1188"/>
      <c r="AF269" s="1188"/>
      <c r="AG269" s="1188"/>
      <c r="AH269" s="1188"/>
      <c r="AI269" s="1188"/>
      <c r="AJ269" s="1188"/>
      <c r="AK269" s="1188"/>
      <c r="AL269" s="1188"/>
      <c r="AM269" s="1188"/>
      <c r="AN269" s="1188"/>
      <c r="AO269" s="1188"/>
      <c r="AP269" s="1188"/>
    </row>
    <row r="270" spans="1:42">
      <c r="A270" s="1188"/>
      <c r="B270" s="1188"/>
      <c r="C270" s="1188"/>
      <c r="D270" s="1188"/>
      <c r="E270" s="1188"/>
      <c r="F270" s="1188"/>
      <c r="G270" s="1188"/>
      <c r="H270" s="1188"/>
      <c r="I270" s="1191"/>
      <c r="J270" s="1191"/>
      <c r="K270" s="1191"/>
      <c r="L270" s="1191"/>
      <c r="M270" s="1191"/>
      <c r="N270" s="1191"/>
      <c r="O270" s="1191"/>
      <c r="P270" s="1191"/>
      <c r="Q270" s="1191"/>
      <c r="R270" s="1191"/>
      <c r="S270" s="1191"/>
      <c r="T270" s="1191"/>
      <c r="U270" s="1191"/>
      <c r="V270" s="1191"/>
      <c r="W270" s="1191"/>
      <c r="X270" s="1191"/>
      <c r="Y270" s="1191"/>
      <c r="Z270" s="1191"/>
      <c r="AA270" s="1191"/>
      <c r="AB270" s="1191"/>
      <c r="AC270" s="1191"/>
      <c r="AD270" s="1188"/>
      <c r="AE270" s="1188"/>
      <c r="AF270" s="1188"/>
      <c r="AG270" s="1188"/>
      <c r="AH270" s="1188"/>
      <c r="AI270" s="1188"/>
      <c r="AJ270" s="1188"/>
      <c r="AK270" s="1188"/>
      <c r="AL270" s="1188"/>
      <c r="AM270" s="1188"/>
      <c r="AN270" s="1188"/>
      <c r="AO270" s="1188"/>
      <c r="AP270" s="1188"/>
    </row>
    <row r="271" spans="1:42">
      <c r="A271" s="1188"/>
      <c r="B271" s="1188"/>
      <c r="C271" s="1188"/>
      <c r="D271" s="1188"/>
      <c r="E271" s="1188"/>
      <c r="F271" s="1188"/>
      <c r="G271" s="1188"/>
      <c r="H271" s="1188"/>
      <c r="I271" s="1191"/>
      <c r="J271" s="1191"/>
      <c r="K271" s="1191"/>
      <c r="L271" s="1191"/>
      <c r="M271" s="1191"/>
      <c r="N271" s="1191"/>
      <c r="O271" s="1191"/>
      <c r="P271" s="1191"/>
      <c r="Q271" s="1191"/>
      <c r="R271" s="1191"/>
      <c r="S271" s="1191"/>
      <c r="T271" s="1191"/>
      <c r="U271" s="1191"/>
      <c r="V271" s="1191"/>
      <c r="W271" s="1191"/>
      <c r="X271" s="1191"/>
      <c r="Y271" s="1191"/>
      <c r="Z271" s="1191"/>
      <c r="AA271" s="1191"/>
      <c r="AB271" s="1191"/>
      <c r="AC271" s="1191"/>
      <c r="AD271" s="1188"/>
      <c r="AE271" s="1188"/>
      <c r="AF271" s="1188"/>
      <c r="AG271" s="1188"/>
      <c r="AH271" s="1188"/>
      <c r="AI271" s="1188"/>
      <c r="AJ271" s="1188"/>
      <c r="AK271" s="1188"/>
      <c r="AL271" s="1188"/>
      <c r="AM271" s="1188"/>
      <c r="AN271" s="1188"/>
      <c r="AO271" s="1188"/>
      <c r="AP271" s="1188"/>
    </row>
    <row r="272" spans="1:42">
      <c r="A272" s="1188"/>
      <c r="B272" s="1188"/>
      <c r="C272" s="1188"/>
      <c r="D272" s="1188"/>
      <c r="E272" s="1188"/>
      <c r="F272" s="1188"/>
      <c r="G272" s="1188"/>
      <c r="H272" s="1188"/>
      <c r="I272" s="1191"/>
      <c r="J272" s="1191"/>
      <c r="K272" s="1191"/>
      <c r="L272" s="1191"/>
      <c r="M272" s="1191"/>
      <c r="N272" s="1191"/>
      <c r="O272" s="1191"/>
      <c r="P272" s="1191"/>
      <c r="Q272" s="1191"/>
      <c r="R272" s="1191"/>
      <c r="S272" s="1191"/>
      <c r="T272" s="1191"/>
      <c r="U272" s="1191"/>
      <c r="V272" s="1191"/>
      <c r="W272" s="1191"/>
      <c r="X272" s="1191"/>
      <c r="Y272" s="1191"/>
      <c r="Z272" s="1191"/>
      <c r="AA272" s="1191"/>
      <c r="AB272" s="1191"/>
      <c r="AC272" s="1191"/>
      <c r="AD272" s="1188"/>
      <c r="AE272" s="1188"/>
      <c r="AF272" s="1188"/>
      <c r="AG272" s="1188"/>
      <c r="AH272" s="1188"/>
      <c r="AI272" s="1188"/>
      <c r="AJ272" s="1188"/>
      <c r="AK272" s="1188"/>
      <c r="AL272" s="1188"/>
      <c r="AM272" s="1188"/>
      <c r="AN272" s="1188"/>
      <c r="AO272" s="1188"/>
      <c r="AP272" s="1188"/>
    </row>
    <row r="273" spans="1:42">
      <c r="A273" s="1188"/>
      <c r="B273" s="1188"/>
      <c r="C273" s="1188"/>
      <c r="D273" s="1188"/>
      <c r="E273" s="1188"/>
      <c r="F273" s="1188"/>
      <c r="G273" s="1188"/>
      <c r="H273" s="1188"/>
      <c r="I273" s="1191"/>
      <c r="J273" s="1191"/>
      <c r="K273" s="1191"/>
      <c r="L273" s="1191"/>
      <c r="M273" s="1191"/>
      <c r="N273" s="1191"/>
      <c r="O273" s="1191"/>
      <c r="P273" s="1191"/>
      <c r="Q273" s="1191"/>
      <c r="R273" s="1191"/>
      <c r="S273" s="1191"/>
      <c r="T273" s="1191"/>
      <c r="U273" s="1191"/>
      <c r="V273" s="1191"/>
      <c r="W273" s="1191"/>
      <c r="X273" s="1191"/>
      <c r="Y273" s="1191"/>
      <c r="Z273" s="1191"/>
      <c r="AA273" s="1191"/>
      <c r="AB273" s="1191"/>
      <c r="AC273" s="1191"/>
      <c r="AD273" s="1188"/>
      <c r="AE273" s="1188"/>
      <c r="AF273" s="1188"/>
      <c r="AG273" s="1188"/>
      <c r="AH273" s="1188"/>
      <c r="AI273" s="1188"/>
      <c r="AJ273" s="1188"/>
      <c r="AK273" s="1188"/>
      <c r="AL273" s="1188"/>
      <c r="AM273" s="1188"/>
      <c r="AN273" s="1188"/>
      <c r="AO273" s="1188"/>
      <c r="AP273" s="1188"/>
    </row>
    <row r="274" spans="1:42">
      <c r="A274" s="1188"/>
      <c r="B274" s="1188"/>
      <c r="C274" s="1188"/>
      <c r="D274" s="1188"/>
      <c r="E274" s="1188"/>
      <c r="F274" s="1188"/>
      <c r="G274" s="1188"/>
      <c r="H274" s="1188"/>
      <c r="I274" s="1191"/>
      <c r="J274" s="1191"/>
      <c r="K274" s="1191"/>
      <c r="L274" s="1191"/>
      <c r="M274" s="1191"/>
      <c r="N274" s="1191"/>
      <c r="O274" s="1191"/>
      <c r="P274" s="1191"/>
      <c r="Q274" s="1191"/>
      <c r="R274" s="1191"/>
      <c r="S274" s="1191"/>
      <c r="T274" s="1191"/>
      <c r="U274" s="1191"/>
      <c r="V274" s="1191"/>
      <c r="W274" s="1191"/>
      <c r="X274" s="1191"/>
      <c r="Y274" s="1191"/>
      <c r="Z274" s="1191"/>
      <c r="AA274" s="1191"/>
      <c r="AB274" s="1191"/>
      <c r="AC274" s="1191"/>
      <c r="AD274" s="1188"/>
      <c r="AE274" s="1188"/>
      <c r="AF274" s="1188"/>
      <c r="AG274" s="1188"/>
      <c r="AH274" s="1188"/>
      <c r="AI274" s="1188"/>
      <c r="AJ274" s="1188"/>
      <c r="AK274" s="1188"/>
      <c r="AL274" s="1188"/>
      <c r="AM274" s="1188"/>
      <c r="AN274" s="1188"/>
      <c r="AO274" s="1188"/>
      <c r="AP274" s="1188"/>
    </row>
    <row r="275" spans="1:42">
      <c r="A275" s="1188"/>
      <c r="B275" s="1188"/>
      <c r="C275" s="1188"/>
      <c r="D275" s="1188"/>
      <c r="E275" s="1188"/>
      <c r="F275" s="1188"/>
      <c r="G275" s="1188"/>
      <c r="H275" s="1188"/>
      <c r="I275" s="1191"/>
      <c r="J275" s="1191"/>
      <c r="K275" s="1191"/>
      <c r="L275" s="1191"/>
      <c r="M275" s="1191"/>
      <c r="N275" s="1191"/>
      <c r="O275" s="1191"/>
      <c r="P275" s="1191"/>
      <c r="Q275" s="1191"/>
      <c r="R275" s="1191"/>
      <c r="S275" s="1191"/>
      <c r="T275" s="1191"/>
      <c r="U275" s="1191"/>
      <c r="V275" s="1191"/>
      <c r="W275" s="1191"/>
      <c r="X275" s="1191"/>
      <c r="Y275" s="1191"/>
      <c r="Z275" s="1191"/>
      <c r="AA275" s="1191"/>
      <c r="AB275" s="1191"/>
      <c r="AC275" s="1191"/>
      <c r="AD275" s="1188"/>
      <c r="AE275" s="1188"/>
      <c r="AF275" s="1188"/>
      <c r="AG275" s="1188"/>
      <c r="AH275" s="1188"/>
      <c r="AI275" s="1188"/>
      <c r="AJ275" s="1188"/>
      <c r="AK275" s="1188"/>
      <c r="AL275" s="1188"/>
      <c r="AM275" s="1188"/>
      <c r="AN275" s="1188"/>
      <c r="AO275" s="1188"/>
      <c r="AP275" s="1188"/>
    </row>
    <row r="276" spans="1:42">
      <c r="A276" s="1188"/>
      <c r="B276" s="1188"/>
      <c r="C276" s="1188"/>
      <c r="D276" s="1188"/>
      <c r="E276" s="1188"/>
      <c r="F276" s="1188"/>
      <c r="G276" s="1188"/>
      <c r="H276" s="1188"/>
      <c r="I276" s="1191"/>
      <c r="J276" s="1191"/>
      <c r="K276" s="1191"/>
      <c r="L276" s="1191"/>
      <c r="M276" s="1191"/>
      <c r="N276" s="1191"/>
      <c r="O276" s="1191"/>
      <c r="P276" s="1191"/>
      <c r="Q276" s="1191"/>
      <c r="R276" s="1191"/>
      <c r="S276" s="1191"/>
      <c r="T276" s="1191"/>
      <c r="U276" s="1191"/>
      <c r="V276" s="1191"/>
      <c r="W276" s="1191"/>
      <c r="X276" s="1191"/>
      <c r="Y276" s="1191"/>
      <c r="Z276" s="1191"/>
      <c r="AA276" s="1191"/>
      <c r="AB276" s="1191"/>
      <c r="AC276" s="1191"/>
      <c r="AD276" s="1188"/>
      <c r="AE276" s="1188"/>
      <c r="AF276" s="1188"/>
      <c r="AG276" s="1188"/>
      <c r="AH276" s="1188"/>
      <c r="AI276" s="1188"/>
      <c r="AJ276" s="1188"/>
      <c r="AK276" s="1188"/>
      <c r="AL276" s="1188"/>
      <c r="AM276" s="1188"/>
      <c r="AN276" s="1188"/>
      <c r="AO276" s="1188"/>
      <c r="AP276" s="1188"/>
    </row>
    <row r="277" spans="1:42">
      <c r="A277" s="1188"/>
      <c r="B277" s="1188"/>
      <c r="C277" s="1188"/>
      <c r="D277" s="1188"/>
      <c r="E277" s="1188"/>
      <c r="F277" s="1188"/>
      <c r="G277" s="1188"/>
      <c r="H277" s="1188"/>
      <c r="I277" s="1191"/>
      <c r="J277" s="1191"/>
      <c r="K277" s="1191"/>
      <c r="L277" s="1191"/>
      <c r="M277" s="1191"/>
      <c r="N277" s="1191"/>
      <c r="O277" s="1191"/>
      <c r="P277" s="1191"/>
      <c r="Q277" s="1191"/>
      <c r="R277" s="1191"/>
      <c r="S277" s="1191"/>
      <c r="T277" s="1191"/>
      <c r="U277" s="1191"/>
      <c r="V277" s="1191"/>
      <c r="W277" s="1191"/>
      <c r="X277" s="1191"/>
      <c r="Y277" s="1191"/>
      <c r="Z277" s="1191"/>
      <c r="AA277" s="1191"/>
      <c r="AB277" s="1191"/>
      <c r="AC277" s="1191"/>
      <c r="AD277" s="1188"/>
      <c r="AE277" s="1188"/>
      <c r="AF277" s="1188"/>
      <c r="AG277" s="1188"/>
      <c r="AH277" s="1188"/>
      <c r="AI277" s="1188"/>
      <c r="AJ277" s="1188"/>
      <c r="AK277" s="1188"/>
      <c r="AL277" s="1188"/>
      <c r="AM277" s="1188"/>
      <c r="AN277" s="1188"/>
      <c r="AO277" s="1188"/>
      <c r="AP277" s="1188"/>
    </row>
    <row r="278" spans="1:42">
      <c r="A278" s="1188"/>
      <c r="B278" s="1188"/>
      <c r="C278" s="1188"/>
      <c r="D278" s="1188"/>
      <c r="E278" s="1188"/>
      <c r="F278" s="1188"/>
      <c r="G278" s="1188"/>
      <c r="H278" s="1188"/>
      <c r="I278" s="1191"/>
      <c r="J278" s="1191"/>
      <c r="K278" s="1191"/>
      <c r="L278" s="1191"/>
      <c r="M278" s="1191"/>
      <c r="N278" s="1191"/>
      <c r="O278" s="1191"/>
      <c r="P278" s="1191"/>
      <c r="Q278" s="1191"/>
      <c r="R278" s="1191"/>
      <c r="S278" s="1191"/>
      <c r="T278" s="1191"/>
      <c r="U278" s="1191"/>
      <c r="V278" s="1191"/>
      <c r="W278" s="1191"/>
      <c r="X278" s="1191"/>
      <c r="Y278" s="1191"/>
      <c r="Z278" s="1191"/>
      <c r="AA278" s="1191"/>
      <c r="AB278" s="1191"/>
      <c r="AC278" s="1191"/>
      <c r="AD278" s="1188"/>
      <c r="AE278" s="1188"/>
      <c r="AF278" s="1188"/>
      <c r="AG278" s="1188"/>
      <c r="AH278" s="1188"/>
      <c r="AI278" s="1188"/>
      <c r="AJ278" s="1188"/>
      <c r="AK278" s="1188"/>
      <c r="AL278" s="1188"/>
      <c r="AM278" s="1188"/>
      <c r="AN278" s="1188"/>
      <c r="AO278" s="1188"/>
      <c r="AP278" s="1188"/>
    </row>
    <row r="279" spans="1:42">
      <c r="A279" s="1188"/>
      <c r="B279" s="1188"/>
      <c r="C279" s="1188"/>
      <c r="D279" s="1188"/>
      <c r="E279" s="1188"/>
      <c r="F279" s="1188"/>
      <c r="G279" s="1188"/>
      <c r="H279" s="1188"/>
      <c r="I279" s="1191"/>
      <c r="J279" s="1191"/>
      <c r="K279" s="1191"/>
      <c r="L279" s="1191"/>
      <c r="M279" s="1191"/>
      <c r="N279" s="1191"/>
      <c r="O279" s="1191"/>
      <c r="P279" s="1191"/>
      <c r="Q279" s="1191"/>
      <c r="R279" s="1191"/>
      <c r="S279" s="1191"/>
      <c r="T279" s="1191"/>
      <c r="U279" s="1191"/>
      <c r="V279" s="1191"/>
      <c r="W279" s="1191"/>
      <c r="X279" s="1191"/>
      <c r="Y279" s="1191"/>
      <c r="Z279" s="1191"/>
      <c r="AA279" s="1191"/>
      <c r="AB279" s="1191"/>
      <c r="AC279" s="1191"/>
      <c r="AD279" s="1188"/>
      <c r="AE279" s="1188"/>
      <c r="AF279" s="1188"/>
      <c r="AG279" s="1188"/>
      <c r="AH279" s="1188"/>
      <c r="AI279" s="1188"/>
      <c r="AJ279" s="1188"/>
      <c r="AK279" s="1188"/>
      <c r="AL279" s="1188"/>
      <c r="AM279" s="1188"/>
      <c r="AN279" s="1188"/>
      <c r="AO279" s="1188"/>
      <c r="AP279" s="1188"/>
    </row>
    <row r="280" spans="1:42">
      <c r="A280" s="1188"/>
      <c r="B280" s="1188"/>
      <c r="C280" s="1188"/>
      <c r="D280" s="1188"/>
      <c r="E280" s="1188"/>
      <c r="F280" s="1188"/>
      <c r="G280" s="1188"/>
      <c r="H280" s="1188"/>
      <c r="I280" s="1191"/>
      <c r="J280" s="1191"/>
      <c r="K280" s="1191"/>
      <c r="L280" s="1191"/>
      <c r="M280" s="1191"/>
      <c r="N280" s="1191"/>
      <c r="O280" s="1191"/>
      <c r="P280" s="1191"/>
      <c r="Q280" s="1191"/>
      <c r="R280" s="1191"/>
      <c r="S280" s="1191"/>
      <c r="T280" s="1191"/>
      <c r="U280" s="1191"/>
      <c r="V280" s="1191"/>
      <c r="W280" s="1191"/>
      <c r="X280" s="1191"/>
      <c r="Y280" s="1191"/>
      <c r="Z280" s="1191"/>
      <c r="AA280" s="1191"/>
      <c r="AB280" s="1191"/>
      <c r="AC280" s="1191"/>
      <c r="AD280" s="1188"/>
      <c r="AE280" s="1188"/>
      <c r="AF280" s="1188"/>
      <c r="AG280" s="1188"/>
      <c r="AH280" s="1188"/>
      <c r="AI280" s="1188"/>
      <c r="AJ280" s="1188"/>
      <c r="AK280" s="1188"/>
      <c r="AL280" s="1188"/>
      <c r="AM280" s="1188"/>
      <c r="AN280" s="1188"/>
      <c r="AO280" s="1188"/>
      <c r="AP280" s="1188"/>
    </row>
    <row r="281" spans="1:42">
      <c r="A281" s="1188"/>
      <c r="B281" s="1188"/>
      <c r="C281" s="1188"/>
      <c r="D281" s="1188"/>
      <c r="E281" s="1188"/>
      <c r="F281" s="1188"/>
      <c r="G281" s="1188"/>
      <c r="H281" s="1188"/>
      <c r="I281" s="1191"/>
      <c r="J281" s="1191"/>
      <c r="K281" s="1191"/>
      <c r="L281" s="1191"/>
      <c r="M281" s="1191"/>
      <c r="N281" s="1191"/>
      <c r="O281" s="1191"/>
      <c r="P281" s="1191"/>
      <c r="Q281" s="1191"/>
      <c r="R281" s="1191"/>
      <c r="S281" s="1191"/>
      <c r="T281" s="1191"/>
      <c r="U281" s="1191"/>
      <c r="V281" s="1191"/>
      <c r="W281" s="1191"/>
      <c r="X281" s="1191"/>
      <c r="Y281" s="1191"/>
      <c r="Z281" s="1191"/>
      <c r="AA281" s="1191"/>
      <c r="AB281" s="1191"/>
      <c r="AC281" s="1191"/>
      <c r="AD281" s="1188"/>
      <c r="AE281" s="1188"/>
      <c r="AF281" s="1188"/>
      <c r="AG281" s="1188"/>
      <c r="AH281" s="1188"/>
      <c r="AI281" s="1188"/>
      <c r="AJ281" s="1188"/>
      <c r="AK281" s="1188"/>
      <c r="AL281" s="1188"/>
      <c r="AM281" s="1188"/>
      <c r="AN281" s="1188"/>
      <c r="AO281" s="1188"/>
      <c r="AP281" s="1188"/>
    </row>
    <row r="282" spans="1:42">
      <c r="A282" s="1188"/>
      <c r="B282" s="1188"/>
      <c r="C282" s="1188"/>
      <c r="D282" s="1188"/>
      <c r="E282" s="1188"/>
      <c r="F282" s="1188"/>
      <c r="G282" s="1188"/>
      <c r="H282" s="1188"/>
      <c r="I282" s="1191"/>
      <c r="J282" s="1191"/>
      <c r="K282" s="1191"/>
      <c r="L282" s="1191"/>
      <c r="M282" s="1191"/>
      <c r="N282" s="1191"/>
      <c r="O282" s="1191"/>
      <c r="P282" s="1191"/>
      <c r="Q282" s="1191"/>
      <c r="R282" s="1191"/>
      <c r="S282" s="1191"/>
      <c r="T282" s="1191"/>
      <c r="U282" s="1191"/>
      <c r="V282" s="1191"/>
      <c r="W282" s="1191"/>
      <c r="X282" s="1191"/>
      <c r="Y282" s="1191"/>
      <c r="Z282" s="1191"/>
      <c r="AA282" s="1191"/>
      <c r="AB282" s="1191"/>
      <c r="AC282" s="1191"/>
      <c r="AD282" s="1188"/>
      <c r="AE282" s="1188"/>
      <c r="AF282" s="1188"/>
      <c r="AG282" s="1188"/>
      <c r="AH282" s="1188"/>
      <c r="AI282" s="1188"/>
      <c r="AJ282" s="1188"/>
      <c r="AK282" s="1188"/>
      <c r="AL282" s="1188"/>
      <c r="AM282" s="1188"/>
      <c r="AN282" s="1188"/>
      <c r="AO282" s="1188"/>
      <c r="AP282" s="1188"/>
    </row>
    <row r="283" spans="1:42">
      <c r="A283" s="1188"/>
      <c r="B283" s="1188"/>
      <c r="C283" s="1188"/>
      <c r="D283" s="1188"/>
      <c r="E283" s="1188"/>
      <c r="F283" s="1188"/>
      <c r="G283" s="1188"/>
      <c r="H283" s="1188"/>
      <c r="I283" s="1191"/>
      <c r="J283" s="1191"/>
      <c r="K283" s="1191"/>
      <c r="L283" s="1191"/>
      <c r="M283" s="1191"/>
      <c r="N283" s="1191"/>
      <c r="O283" s="1191"/>
      <c r="P283" s="1191"/>
      <c r="Q283" s="1191"/>
      <c r="R283" s="1191"/>
      <c r="S283" s="1191"/>
      <c r="T283" s="1191"/>
      <c r="U283" s="1191"/>
      <c r="V283" s="1191"/>
      <c r="W283" s="1191"/>
      <c r="X283" s="1191"/>
      <c r="Y283" s="1191"/>
      <c r="Z283" s="1191"/>
      <c r="AA283" s="1191"/>
      <c r="AB283" s="1191"/>
      <c r="AC283" s="1191"/>
      <c r="AD283" s="1188"/>
      <c r="AE283" s="1188"/>
      <c r="AF283" s="1188"/>
      <c r="AG283" s="1188"/>
      <c r="AH283" s="1188"/>
      <c r="AI283" s="1188"/>
      <c r="AJ283" s="1188"/>
      <c r="AK283" s="1188"/>
      <c r="AL283" s="1188"/>
      <c r="AM283" s="1188"/>
      <c r="AN283" s="1188"/>
      <c r="AO283" s="1188"/>
      <c r="AP283" s="1188"/>
    </row>
    <row r="284" spans="1:42">
      <c r="A284" s="1188"/>
      <c r="B284" s="1188"/>
      <c r="C284" s="1188"/>
      <c r="D284" s="1188"/>
      <c r="E284" s="1188"/>
      <c r="F284" s="1188"/>
      <c r="G284" s="1188"/>
      <c r="H284" s="1188"/>
      <c r="I284" s="1191"/>
      <c r="J284" s="1191"/>
      <c r="K284" s="1191"/>
      <c r="L284" s="1191"/>
      <c r="M284" s="1191"/>
      <c r="N284" s="1191"/>
      <c r="O284" s="1191"/>
      <c r="P284" s="1191"/>
      <c r="Q284" s="1191"/>
      <c r="R284" s="1191"/>
      <c r="S284" s="1191"/>
      <c r="T284" s="1191"/>
      <c r="U284" s="1191"/>
      <c r="V284" s="1191"/>
      <c r="W284" s="1191"/>
      <c r="X284" s="1191"/>
      <c r="Y284" s="1191"/>
      <c r="Z284" s="1191"/>
      <c r="AA284" s="1191"/>
      <c r="AB284" s="1191"/>
      <c r="AC284" s="1191"/>
      <c r="AD284" s="1188"/>
      <c r="AE284" s="1188"/>
      <c r="AF284" s="1188"/>
      <c r="AG284" s="1188"/>
      <c r="AH284" s="1188"/>
      <c r="AI284" s="1188"/>
      <c r="AJ284" s="1188"/>
      <c r="AK284" s="1188"/>
      <c r="AL284" s="1188"/>
      <c r="AM284" s="1188"/>
      <c r="AN284" s="1188"/>
      <c r="AO284" s="1188"/>
      <c r="AP284" s="1188"/>
    </row>
    <row r="285" spans="1:42">
      <c r="A285" s="1188"/>
      <c r="B285" s="1188"/>
      <c r="C285" s="1188"/>
      <c r="D285" s="1188"/>
      <c r="E285" s="1188"/>
      <c r="F285" s="1188"/>
      <c r="G285" s="1188"/>
      <c r="H285" s="1188"/>
      <c r="I285" s="1191"/>
      <c r="J285" s="1191"/>
      <c r="K285" s="1191"/>
      <c r="L285" s="1191"/>
      <c r="M285" s="1191"/>
      <c r="N285" s="1191"/>
      <c r="O285" s="1191"/>
      <c r="P285" s="1191"/>
      <c r="Q285" s="1191"/>
      <c r="R285" s="1191"/>
      <c r="S285" s="1191"/>
      <c r="T285" s="1191"/>
      <c r="U285" s="1191"/>
      <c r="V285" s="1191"/>
      <c r="W285" s="1191"/>
      <c r="X285" s="1191"/>
      <c r="Y285" s="1191"/>
      <c r="Z285" s="1191"/>
      <c r="AA285" s="1191"/>
      <c r="AB285" s="1191"/>
      <c r="AC285" s="1191"/>
      <c r="AD285" s="1188"/>
      <c r="AE285" s="1188"/>
      <c r="AF285" s="1188"/>
      <c r="AG285" s="1188"/>
      <c r="AH285" s="1188"/>
      <c r="AI285" s="1188"/>
      <c r="AJ285" s="1188"/>
      <c r="AK285" s="1188"/>
      <c r="AL285" s="1188"/>
      <c r="AM285" s="1188"/>
      <c r="AN285" s="1188"/>
      <c r="AO285" s="1188"/>
      <c r="AP285" s="1188"/>
    </row>
    <row r="286" spans="1:42">
      <c r="A286" s="1188"/>
      <c r="B286" s="1188"/>
      <c r="C286" s="1188"/>
      <c r="D286" s="1188"/>
      <c r="E286" s="1188"/>
      <c r="F286" s="1188"/>
      <c r="G286" s="1188"/>
      <c r="H286" s="1188"/>
      <c r="I286" s="1191"/>
      <c r="J286" s="1191"/>
      <c r="K286" s="1191"/>
      <c r="L286" s="1191"/>
      <c r="M286" s="1191"/>
      <c r="N286" s="1191"/>
      <c r="O286" s="1191"/>
      <c r="P286" s="1191"/>
      <c r="Q286" s="1191"/>
      <c r="R286" s="1191"/>
      <c r="S286" s="1191"/>
      <c r="T286" s="1191"/>
      <c r="U286" s="1191"/>
      <c r="V286" s="1191"/>
      <c r="W286" s="1191"/>
      <c r="X286" s="1191"/>
      <c r="Y286" s="1191"/>
      <c r="Z286" s="1191"/>
      <c r="AA286" s="1191"/>
      <c r="AB286" s="1191"/>
      <c r="AC286" s="1191"/>
      <c r="AD286" s="1188"/>
      <c r="AE286" s="1188"/>
      <c r="AF286" s="1188"/>
      <c r="AG286" s="1188"/>
      <c r="AH286" s="1188"/>
      <c r="AI286" s="1188"/>
      <c r="AJ286" s="1188"/>
      <c r="AK286" s="1188"/>
      <c r="AL286" s="1188"/>
      <c r="AM286" s="1188"/>
      <c r="AN286" s="1188"/>
      <c r="AO286" s="1188"/>
      <c r="AP286" s="1188"/>
    </row>
    <row r="287" spans="1:42">
      <c r="A287" s="1188"/>
      <c r="B287" s="1188"/>
      <c r="C287" s="1188"/>
      <c r="D287" s="1188"/>
      <c r="E287" s="1188"/>
      <c r="F287" s="1188"/>
      <c r="G287" s="1188"/>
      <c r="H287" s="1188"/>
      <c r="I287" s="1191"/>
      <c r="J287" s="1191"/>
      <c r="K287" s="1191"/>
      <c r="L287" s="1191"/>
      <c r="M287" s="1191"/>
      <c r="N287" s="1191"/>
      <c r="O287" s="1191"/>
      <c r="P287" s="1191"/>
      <c r="Q287" s="1191"/>
      <c r="R287" s="1191"/>
      <c r="S287" s="1191"/>
      <c r="T287" s="1191"/>
      <c r="U287" s="1191"/>
      <c r="V287" s="1191"/>
      <c r="W287" s="1191"/>
      <c r="X287" s="1191"/>
      <c r="Y287" s="1191"/>
      <c r="Z287" s="1191"/>
      <c r="AA287" s="1191"/>
      <c r="AB287" s="1191"/>
      <c r="AC287" s="1191"/>
      <c r="AD287" s="1188"/>
      <c r="AE287" s="1188"/>
      <c r="AF287" s="1188"/>
      <c r="AG287" s="1188"/>
      <c r="AH287" s="1188"/>
      <c r="AI287" s="1188"/>
      <c r="AJ287" s="1188"/>
      <c r="AK287" s="1188"/>
      <c r="AL287" s="1188"/>
      <c r="AM287" s="1188"/>
      <c r="AN287" s="1188"/>
      <c r="AO287" s="1188"/>
      <c r="AP287" s="1188"/>
    </row>
    <row r="288" spans="1:42">
      <c r="A288" s="1188"/>
      <c r="B288" s="1188"/>
      <c r="C288" s="1188"/>
      <c r="D288" s="1188"/>
      <c r="E288" s="1188"/>
      <c r="F288" s="1188"/>
      <c r="G288" s="1188"/>
      <c r="H288" s="1188"/>
      <c r="I288" s="1191"/>
      <c r="J288" s="1191"/>
      <c r="K288" s="1191"/>
      <c r="L288" s="1191"/>
      <c r="M288" s="1191"/>
      <c r="N288" s="1191"/>
      <c r="O288" s="1191"/>
      <c r="P288" s="1191"/>
      <c r="Q288" s="1191"/>
      <c r="R288" s="1191"/>
      <c r="S288" s="1191"/>
      <c r="T288" s="1191"/>
      <c r="U288" s="1191"/>
      <c r="V288" s="1191"/>
      <c r="W288" s="1191"/>
      <c r="X288" s="1191"/>
      <c r="Y288" s="1191"/>
      <c r="Z288" s="1191"/>
      <c r="AA288" s="1191"/>
      <c r="AB288" s="1191"/>
      <c r="AC288" s="1191"/>
      <c r="AD288" s="1188"/>
      <c r="AE288" s="1188"/>
      <c r="AF288" s="1188"/>
      <c r="AG288" s="1188"/>
      <c r="AH288" s="1188"/>
      <c r="AI288" s="1188"/>
      <c r="AJ288" s="1188"/>
      <c r="AK288" s="1188"/>
      <c r="AL288" s="1188"/>
      <c r="AM288" s="1188"/>
      <c r="AN288" s="1188"/>
      <c r="AO288" s="1188"/>
      <c r="AP288" s="1188"/>
    </row>
    <row r="289" spans="1:42">
      <c r="A289" s="1188"/>
      <c r="B289" s="1188"/>
      <c r="C289" s="1188"/>
      <c r="D289" s="1188"/>
      <c r="E289" s="1188"/>
      <c r="F289" s="1188"/>
      <c r="G289" s="1188"/>
      <c r="H289" s="1188"/>
      <c r="I289" s="1191"/>
      <c r="J289" s="1191"/>
      <c r="K289" s="1191"/>
      <c r="L289" s="1191"/>
      <c r="M289" s="1191"/>
      <c r="N289" s="1191"/>
      <c r="O289" s="1191"/>
      <c r="P289" s="1191"/>
      <c r="Q289" s="1191"/>
      <c r="R289" s="1191"/>
      <c r="S289" s="1191"/>
      <c r="T289" s="1191"/>
      <c r="U289" s="1191"/>
      <c r="V289" s="1191"/>
      <c r="W289" s="1191"/>
      <c r="X289" s="1191"/>
      <c r="Y289" s="1191"/>
      <c r="Z289" s="1191"/>
      <c r="AA289" s="1191"/>
      <c r="AB289" s="1191"/>
      <c r="AC289" s="1191"/>
      <c r="AD289" s="1188"/>
      <c r="AE289" s="1188"/>
      <c r="AF289" s="1188"/>
      <c r="AG289" s="1188"/>
      <c r="AH289" s="1188"/>
      <c r="AI289" s="1188"/>
      <c r="AJ289" s="1188"/>
      <c r="AK289" s="1188"/>
      <c r="AL289" s="1188"/>
      <c r="AM289" s="1188"/>
      <c r="AN289" s="1188"/>
      <c r="AO289" s="1188"/>
      <c r="AP289" s="1188"/>
    </row>
    <row r="290" spans="1:42">
      <c r="A290" s="1188"/>
      <c r="B290" s="1188"/>
      <c r="C290" s="1188"/>
      <c r="D290" s="1188"/>
      <c r="E290" s="1188"/>
      <c r="F290" s="1188"/>
      <c r="G290" s="1188"/>
      <c r="H290" s="1188"/>
      <c r="I290" s="1191"/>
      <c r="J290" s="1191"/>
      <c r="K290" s="1191"/>
      <c r="L290" s="1191"/>
      <c r="M290" s="1191"/>
      <c r="N290" s="1191"/>
      <c r="O290" s="1191"/>
      <c r="P290" s="1191"/>
      <c r="Q290" s="1191"/>
      <c r="R290" s="1191"/>
      <c r="S290" s="1191"/>
      <c r="T290" s="1191"/>
      <c r="U290" s="1191"/>
      <c r="V290" s="1191"/>
      <c r="W290" s="1191"/>
      <c r="X290" s="1191"/>
      <c r="Y290" s="1191"/>
      <c r="Z290" s="1191"/>
      <c r="AA290" s="1191"/>
      <c r="AB290" s="1191"/>
      <c r="AC290" s="1191"/>
      <c r="AD290" s="1188"/>
      <c r="AE290" s="1188"/>
      <c r="AF290" s="1188"/>
      <c r="AG290" s="1188"/>
      <c r="AH290" s="1188"/>
      <c r="AI290" s="1188"/>
      <c r="AJ290" s="1188"/>
      <c r="AK290" s="1188"/>
      <c r="AL290" s="1188"/>
      <c r="AM290" s="1188"/>
      <c r="AN290" s="1188"/>
      <c r="AO290" s="1188"/>
      <c r="AP290" s="1188"/>
    </row>
    <row r="291" spans="1:42">
      <c r="A291" s="1188"/>
      <c r="B291" s="1188"/>
      <c r="C291" s="1188"/>
      <c r="D291" s="1188"/>
      <c r="E291" s="1188"/>
      <c r="F291" s="1188"/>
      <c r="G291" s="1188"/>
      <c r="H291" s="1188"/>
      <c r="I291" s="1191"/>
      <c r="J291" s="1191"/>
      <c r="K291" s="1191"/>
      <c r="L291" s="1191"/>
      <c r="M291" s="1191"/>
      <c r="N291" s="1191"/>
      <c r="O291" s="1191"/>
      <c r="P291" s="1191"/>
      <c r="Q291" s="1191"/>
      <c r="R291" s="1191"/>
      <c r="S291" s="1191"/>
      <c r="T291" s="1191"/>
      <c r="U291" s="1191"/>
      <c r="V291" s="1191"/>
      <c r="W291" s="1191"/>
      <c r="X291" s="1191"/>
      <c r="Y291" s="1191"/>
      <c r="Z291" s="1191"/>
      <c r="AA291" s="1191"/>
      <c r="AB291" s="1191"/>
      <c r="AC291" s="1191"/>
      <c r="AD291" s="1188"/>
      <c r="AE291" s="1188"/>
      <c r="AF291" s="1188"/>
      <c r="AG291" s="1188"/>
      <c r="AH291" s="1188"/>
      <c r="AI291" s="1188"/>
      <c r="AJ291" s="1188"/>
      <c r="AK291" s="1188"/>
      <c r="AL291" s="1188"/>
      <c r="AM291" s="1188"/>
      <c r="AN291" s="1188"/>
      <c r="AO291" s="1188"/>
      <c r="AP291" s="1188"/>
    </row>
    <row r="292" spans="1:42">
      <c r="A292" s="1188"/>
      <c r="B292" s="1188"/>
      <c r="C292" s="1188"/>
      <c r="D292" s="1188"/>
      <c r="E292" s="1188"/>
      <c r="F292" s="1188"/>
      <c r="G292" s="1188"/>
      <c r="H292" s="1188"/>
      <c r="I292" s="1191"/>
      <c r="J292" s="1191"/>
      <c r="K292" s="1191"/>
      <c r="L292" s="1191"/>
      <c r="M292" s="1191"/>
      <c r="N292" s="1191"/>
      <c r="O292" s="1191"/>
      <c r="P292" s="1191"/>
      <c r="Q292" s="1191"/>
      <c r="R292" s="1191"/>
      <c r="S292" s="1191"/>
      <c r="T292" s="1191"/>
      <c r="U292" s="1191"/>
      <c r="V292" s="1191"/>
      <c r="W292" s="1191"/>
      <c r="X292" s="1191"/>
      <c r="Y292" s="1191"/>
      <c r="Z292" s="1191"/>
      <c r="AA292" s="1191"/>
      <c r="AB292" s="1191"/>
      <c r="AC292" s="1191"/>
      <c r="AD292" s="1188"/>
      <c r="AE292" s="1188"/>
      <c r="AF292" s="1188"/>
      <c r="AG292" s="1188"/>
      <c r="AH292" s="1188"/>
      <c r="AI292" s="1188"/>
      <c r="AJ292" s="1188"/>
      <c r="AK292" s="1188"/>
      <c r="AL292" s="1188"/>
      <c r="AM292" s="1188"/>
      <c r="AN292" s="1188"/>
      <c r="AO292" s="1188"/>
      <c r="AP292" s="1188"/>
    </row>
    <row r="293" spans="1:42">
      <c r="A293" s="1188"/>
      <c r="B293" s="1188"/>
      <c r="C293" s="1188"/>
      <c r="D293" s="1188"/>
      <c r="E293" s="1188"/>
      <c r="F293" s="1188"/>
      <c r="G293" s="1188"/>
      <c r="H293" s="1188"/>
      <c r="I293" s="1191"/>
      <c r="J293" s="1191"/>
      <c r="K293" s="1191"/>
      <c r="L293" s="1191"/>
      <c r="M293" s="1191"/>
      <c r="N293" s="1191"/>
      <c r="O293" s="1191"/>
      <c r="P293" s="1191"/>
      <c r="Q293" s="1191"/>
      <c r="R293" s="1191"/>
      <c r="S293" s="1191"/>
      <c r="T293" s="1191"/>
      <c r="U293" s="1191"/>
      <c r="V293" s="1191"/>
      <c r="W293" s="1191"/>
      <c r="X293" s="1191"/>
      <c r="Y293" s="1191"/>
      <c r="Z293" s="1191"/>
      <c r="AA293" s="1191"/>
      <c r="AB293" s="1191"/>
      <c r="AC293" s="1191"/>
      <c r="AD293" s="1188"/>
      <c r="AE293" s="1188"/>
      <c r="AF293" s="1188"/>
      <c r="AG293" s="1188"/>
      <c r="AH293" s="1188"/>
      <c r="AI293" s="1188"/>
      <c r="AJ293" s="1188"/>
      <c r="AK293" s="1188"/>
      <c r="AL293" s="1188"/>
      <c r="AM293" s="1188"/>
      <c r="AN293" s="1188"/>
      <c r="AO293" s="1188"/>
      <c r="AP293" s="1188"/>
    </row>
    <row r="294" spans="1:42">
      <c r="A294" s="1188"/>
      <c r="B294" s="1188"/>
      <c r="C294" s="1188"/>
      <c r="D294" s="1188"/>
      <c r="E294" s="1188"/>
      <c r="F294" s="1188"/>
      <c r="G294" s="1188"/>
      <c r="H294" s="1188"/>
      <c r="I294" s="1191"/>
      <c r="J294" s="1191"/>
      <c r="K294" s="1191"/>
      <c r="L294" s="1191"/>
      <c r="M294" s="1191"/>
      <c r="N294" s="1191"/>
      <c r="O294" s="1191"/>
      <c r="P294" s="1191"/>
      <c r="Q294" s="1191"/>
      <c r="R294" s="1191"/>
      <c r="S294" s="1191"/>
      <c r="T294" s="1191"/>
      <c r="U294" s="1191"/>
      <c r="V294" s="1191"/>
      <c r="W294" s="1191"/>
      <c r="X294" s="1191"/>
      <c r="Y294" s="1191"/>
      <c r="Z294" s="1191"/>
      <c r="AA294" s="1191"/>
      <c r="AB294" s="1191"/>
      <c r="AC294" s="1191"/>
      <c r="AD294" s="1188"/>
      <c r="AE294" s="1188"/>
      <c r="AF294" s="1188"/>
      <c r="AG294" s="1188"/>
      <c r="AH294" s="1188"/>
      <c r="AI294" s="1188"/>
      <c r="AJ294" s="1188"/>
      <c r="AK294" s="1188"/>
      <c r="AL294" s="1188"/>
      <c r="AM294" s="1188"/>
      <c r="AN294" s="1188"/>
      <c r="AO294" s="1188"/>
      <c r="AP294" s="1188"/>
    </row>
    <row r="295" spans="1:42">
      <c r="A295" s="1188"/>
      <c r="B295" s="1188"/>
      <c r="C295" s="1188"/>
      <c r="D295" s="1188"/>
      <c r="E295" s="1188"/>
      <c r="F295" s="1188"/>
      <c r="G295" s="1188"/>
      <c r="H295" s="1188"/>
      <c r="I295" s="1191"/>
      <c r="J295" s="1191"/>
      <c r="K295" s="1191"/>
      <c r="L295" s="1191"/>
      <c r="M295" s="1191"/>
      <c r="N295" s="1191"/>
      <c r="O295" s="1191"/>
      <c r="P295" s="1191"/>
      <c r="Q295" s="1191"/>
      <c r="R295" s="1191"/>
      <c r="S295" s="1191"/>
      <c r="T295" s="1191"/>
      <c r="U295" s="1191"/>
      <c r="V295" s="1191"/>
      <c r="W295" s="1191"/>
      <c r="X295" s="1191"/>
      <c r="Y295" s="1191"/>
      <c r="Z295" s="1191"/>
      <c r="AA295" s="1191"/>
      <c r="AB295" s="1191"/>
      <c r="AC295" s="1191"/>
      <c r="AD295" s="1188"/>
      <c r="AE295" s="1188"/>
      <c r="AF295" s="1188"/>
      <c r="AG295" s="1188"/>
      <c r="AH295" s="1188"/>
      <c r="AI295" s="1188"/>
      <c r="AJ295" s="1188"/>
      <c r="AK295" s="1188"/>
      <c r="AL295" s="1188"/>
      <c r="AM295" s="1188"/>
      <c r="AN295" s="1188"/>
      <c r="AO295" s="1188"/>
      <c r="AP295" s="1188"/>
    </row>
    <row r="296" spans="1:42">
      <c r="A296" s="1188"/>
      <c r="B296" s="1188"/>
      <c r="C296" s="1188"/>
      <c r="D296" s="1188"/>
      <c r="E296" s="1188"/>
      <c r="F296" s="1188"/>
      <c r="G296" s="1188"/>
      <c r="H296" s="1188"/>
      <c r="I296" s="1191"/>
      <c r="J296" s="1191"/>
      <c r="K296" s="1191"/>
      <c r="L296" s="1191"/>
      <c r="M296" s="1191"/>
      <c r="N296" s="1191"/>
      <c r="O296" s="1191"/>
      <c r="P296" s="1191"/>
      <c r="Q296" s="1191"/>
      <c r="R296" s="1191"/>
      <c r="S296" s="1191"/>
      <c r="T296" s="1191"/>
      <c r="U296" s="1191"/>
      <c r="V296" s="1191"/>
      <c r="W296" s="1191"/>
      <c r="X296" s="1191"/>
      <c r="Y296" s="1191"/>
      <c r="Z296" s="1191"/>
      <c r="AA296" s="1191"/>
      <c r="AB296" s="1191"/>
      <c r="AC296" s="1191"/>
      <c r="AD296" s="1188"/>
      <c r="AE296" s="1188"/>
      <c r="AF296" s="1188"/>
      <c r="AG296" s="1188"/>
      <c r="AH296" s="1188"/>
      <c r="AI296" s="1188"/>
      <c r="AJ296" s="1188"/>
      <c r="AK296" s="1188"/>
      <c r="AL296" s="1188"/>
      <c r="AM296" s="1188"/>
      <c r="AN296" s="1188"/>
      <c r="AO296" s="1188"/>
      <c r="AP296" s="1188"/>
    </row>
    <row r="297" spans="1:42">
      <c r="A297" s="1188"/>
      <c r="B297" s="1188"/>
      <c r="C297" s="1188"/>
      <c r="D297" s="1188"/>
      <c r="E297" s="1188"/>
      <c r="F297" s="1188"/>
      <c r="G297" s="1188"/>
      <c r="H297" s="1188"/>
      <c r="I297" s="1191"/>
      <c r="J297" s="1191"/>
      <c r="K297" s="1191"/>
      <c r="L297" s="1191"/>
      <c r="M297" s="1191"/>
      <c r="N297" s="1191"/>
      <c r="O297" s="1191"/>
      <c r="P297" s="1191"/>
      <c r="Q297" s="1191"/>
      <c r="R297" s="1191"/>
      <c r="S297" s="1191"/>
      <c r="T297" s="1191"/>
      <c r="U297" s="1191"/>
      <c r="V297" s="1191"/>
      <c r="W297" s="1191"/>
      <c r="X297" s="1191"/>
      <c r="Y297" s="1191"/>
      <c r="Z297" s="1191"/>
      <c r="AA297" s="1191"/>
      <c r="AB297" s="1191"/>
      <c r="AC297" s="1191"/>
      <c r="AD297" s="1188"/>
      <c r="AE297" s="1188"/>
      <c r="AF297" s="1188"/>
      <c r="AG297" s="1188"/>
      <c r="AH297" s="1188"/>
      <c r="AI297" s="1188"/>
      <c r="AJ297" s="1188"/>
      <c r="AK297" s="1188"/>
      <c r="AL297" s="1188"/>
      <c r="AM297" s="1188"/>
      <c r="AN297" s="1188"/>
      <c r="AO297" s="1188"/>
      <c r="AP297" s="1188"/>
    </row>
    <row r="298" spans="1:42">
      <c r="A298" s="1188"/>
      <c r="B298" s="1188"/>
      <c r="C298" s="1188"/>
      <c r="D298" s="1188"/>
      <c r="E298" s="1188"/>
      <c r="F298" s="1188"/>
      <c r="G298" s="1188"/>
      <c r="H298" s="1188"/>
      <c r="I298" s="1191"/>
      <c r="J298" s="1191"/>
      <c r="K298" s="1191"/>
      <c r="L298" s="1191"/>
      <c r="M298" s="1191"/>
      <c r="N298" s="1191"/>
      <c r="O298" s="1191"/>
      <c r="P298" s="1191"/>
      <c r="Q298" s="1191"/>
      <c r="R298" s="1191"/>
      <c r="S298" s="1191"/>
      <c r="T298" s="1191"/>
      <c r="U298" s="1191"/>
      <c r="V298" s="1191"/>
      <c r="W298" s="1191"/>
      <c r="X298" s="1191"/>
      <c r="Y298" s="1191"/>
      <c r="Z298" s="1191"/>
      <c r="AA298" s="1191"/>
      <c r="AB298" s="1191"/>
      <c r="AC298" s="1191"/>
      <c r="AD298" s="1188"/>
      <c r="AE298" s="1188"/>
      <c r="AF298" s="1188"/>
      <c r="AG298" s="1188"/>
      <c r="AH298" s="1188"/>
      <c r="AI298" s="1188"/>
      <c r="AJ298" s="1188"/>
      <c r="AK298" s="1188"/>
      <c r="AL298" s="1188"/>
      <c r="AM298" s="1188"/>
      <c r="AN298" s="1188"/>
      <c r="AO298" s="1188"/>
      <c r="AP298" s="1188"/>
    </row>
    <row r="299" spans="1:42">
      <c r="A299" s="1188"/>
      <c r="B299" s="1188"/>
      <c r="C299" s="1188"/>
      <c r="D299" s="1188"/>
      <c r="E299" s="1188"/>
      <c r="F299" s="1188"/>
      <c r="G299" s="1188"/>
      <c r="H299" s="1188"/>
      <c r="I299" s="1191"/>
      <c r="J299" s="1191"/>
      <c r="K299" s="1191"/>
      <c r="L299" s="1191"/>
      <c r="M299" s="1191"/>
      <c r="N299" s="1191"/>
      <c r="O299" s="1191"/>
      <c r="P299" s="1191"/>
      <c r="Q299" s="1191"/>
      <c r="R299" s="1191"/>
      <c r="S299" s="1191"/>
      <c r="T299" s="1191"/>
      <c r="U299" s="1191"/>
      <c r="V299" s="1191"/>
      <c r="W299" s="1191"/>
      <c r="X299" s="1191"/>
      <c r="Y299" s="1191"/>
      <c r="Z299" s="1191"/>
      <c r="AA299" s="1191"/>
      <c r="AB299" s="1191"/>
      <c r="AC299" s="1191"/>
      <c r="AD299" s="1188"/>
      <c r="AE299" s="1188"/>
      <c r="AF299" s="1188"/>
      <c r="AG299" s="1188"/>
      <c r="AH299" s="1188"/>
      <c r="AI299" s="1188"/>
      <c r="AJ299" s="1188"/>
      <c r="AK299" s="1188"/>
      <c r="AL299" s="1188"/>
      <c r="AM299" s="1188"/>
      <c r="AN299" s="1188"/>
      <c r="AO299" s="1188"/>
      <c r="AP299" s="1188"/>
    </row>
    <row r="300" spans="1:42">
      <c r="A300" s="1188"/>
      <c r="B300" s="1188"/>
      <c r="C300" s="1188"/>
      <c r="D300" s="1188"/>
      <c r="E300" s="1188"/>
      <c r="F300" s="1188"/>
      <c r="G300" s="1188"/>
      <c r="H300" s="1188"/>
      <c r="I300" s="1191"/>
      <c r="J300" s="1191"/>
      <c r="K300" s="1191"/>
      <c r="L300" s="1191"/>
      <c r="M300" s="1191"/>
      <c r="N300" s="1191"/>
      <c r="O300" s="1191"/>
      <c r="P300" s="1191"/>
      <c r="Q300" s="1191"/>
      <c r="R300" s="1191"/>
      <c r="S300" s="1191"/>
      <c r="T300" s="1191"/>
      <c r="U300" s="1191"/>
      <c r="V300" s="1191"/>
      <c r="W300" s="1191"/>
      <c r="X300" s="1191"/>
      <c r="Y300" s="1191"/>
      <c r="Z300" s="1191"/>
      <c r="AA300" s="1191"/>
      <c r="AB300" s="1191"/>
      <c r="AC300" s="1191"/>
      <c r="AD300" s="1188"/>
      <c r="AE300" s="1188"/>
      <c r="AF300" s="1188"/>
      <c r="AG300" s="1188"/>
      <c r="AH300" s="1188"/>
      <c r="AI300" s="1188"/>
      <c r="AJ300" s="1188"/>
      <c r="AK300" s="1188"/>
      <c r="AL300" s="1188"/>
      <c r="AM300" s="1188"/>
      <c r="AN300" s="1188"/>
      <c r="AO300" s="1188"/>
      <c r="AP300" s="1188"/>
    </row>
    <row r="301" spans="1:42">
      <c r="A301" s="1188"/>
      <c r="B301" s="1188"/>
      <c r="C301" s="1188"/>
      <c r="D301" s="1188"/>
      <c r="E301" s="1188"/>
      <c r="F301" s="1188"/>
      <c r="G301" s="1188"/>
      <c r="H301" s="1188"/>
      <c r="I301" s="1191"/>
      <c r="J301" s="1191"/>
      <c r="K301" s="1191"/>
      <c r="L301" s="1191"/>
      <c r="M301" s="1191"/>
      <c r="N301" s="1191"/>
      <c r="O301" s="1191"/>
      <c r="P301" s="1191"/>
      <c r="Q301" s="1191"/>
      <c r="R301" s="1191"/>
      <c r="S301" s="1191"/>
      <c r="T301" s="1191"/>
      <c r="U301" s="1191"/>
      <c r="V301" s="1191"/>
      <c r="W301" s="1191"/>
      <c r="X301" s="1191"/>
      <c r="Y301" s="1191"/>
      <c r="Z301" s="1191"/>
      <c r="AA301" s="1191"/>
      <c r="AB301" s="1191"/>
      <c r="AC301" s="1191"/>
      <c r="AD301" s="1188"/>
      <c r="AE301" s="1188"/>
      <c r="AF301" s="1188"/>
      <c r="AG301" s="1188"/>
      <c r="AH301" s="1188"/>
      <c r="AI301" s="1188"/>
      <c r="AJ301" s="1188"/>
      <c r="AK301" s="1188"/>
      <c r="AL301" s="1188"/>
      <c r="AM301" s="1188"/>
      <c r="AN301" s="1188"/>
      <c r="AO301" s="1188"/>
      <c r="AP301" s="1188"/>
    </row>
    <row r="302" spans="1:42">
      <c r="A302" s="1188"/>
      <c r="B302" s="1188"/>
      <c r="C302" s="1188"/>
      <c r="D302" s="1188"/>
      <c r="E302" s="1188"/>
      <c r="F302" s="1188"/>
      <c r="G302" s="1188"/>
      <c r="H302" s="1188"/>
      <c r="I302" s="1191"/>
      <c r="J302" s="1191"/>
      <c r="K302" s="1191"/>
      <c r="L302" s="1191"/>
      <c r="M302" s="1191"/>
      <c r="N302" s="1191"/>
      <c r="O302" s="1191"/>
      <c r="P302" s="1191"/>
      <c r="Q302" s="1191"/>
      <c r="R302" s="1191"/>
      <c r="S302" s="1191"/>
      <c r="T302" s="1191"/>
      <c r="U302" s="1191"/>
      <c r="V302" s="1191"/>
      <c r="W302" s="1191"/>
      <c r="X302" s="1191"/>
      <c r="Y302" s="1191"/>
      <c r="Z302" s="1191"/>
      <c r="AA302" s="1191"/>
      <c r="AB302" s="1191"/>
      <c r="AC302" s="1191"/>
      <c r="AD302" s="1188"/>
      <c r="AE302" s="1188"/>
      <c r="AF302" s="1188"/>
      <c r="AG302" s="1188"/>
      <c r="AH302" s="1188"/>
      <c r="AI302" s="1188"/>
      <c r="AJ302" s="1188"/>
      <c r="AK302" s="1188"/>
      <c r="AL302" s="1188"/>
      <c r="AM302" s="1188"/>
      <c r="AN302" s="1188"/>
      <c r="AO302" s="1188"/>
      <c r="AP302" s="1188"/>
    </row>
    <row r="303" spans="1:42">
      <c r="A303" s="1188"/>
      <c r="B303" s="1188"/>
      <c r="C303" s="1188"/>
      <c r="D303" s="1188"/>
      <c r="E303" s="1188"/>
      <c r="F303" s="1188"/>
      <c r="G303" s="1188"/>
      <c r="H303" s="1188"/>
      <c r="I303" s="1191"/>
      <c r="J303" s="1191"/>
      <c r="K303" s="1191"/>
      <c r="L303" s="1191"/>
      <c r="M303" s="1191"/>
      <c r="N303" s="1191"/>
      <c r="O303" s="1191"/>
      <c r="P303" s="1191"/>
      <c r="Q303" s="1191"/>
      <c r="R303" s="1191"/>
      <c r="S303" s="1191"/>
      <c r="T303" s="1191"/>
      <c r="U303" s="1191"/>
      <c r="V303" s="1191"/>
      <c r="W303" s="1191"/>
      <c r="X303" s="1191"/>
      <c r="Y303" s="1191"/>
      <c r="Z303" s="1191"/>
      <c r="AA303" s="1191"/>
      <c r="AB303" s="1191"/>
      <c r="AC303" s="1191"/>
      <c r="AD303" s="1188"/>
      <c r="AE303" s="1188"/>
      <c r="AF303" s="1188"/>
      <c r="AG303" s="1188"/>
      <c r="AH303" s="1188"/>
      <c r="AI303" s="1188"/>
      <c r="AJ303" s="1188"/>
      <c r="AK303" s="1188"/>
      <c r="AL303" s="1188"/>
      <c r="AM303" s="1188"/>
      <c r="AN303" s="1188"/>
      <c r="AO303" s="1188"/>
      <c r="AP303" s="1188"/>
    </row>
    <row r="304" spans="1:42">
      <c r="A304" s="1188"/>
      <c r="B304" s="1188"/>
      <c r="C304" s="1188"/>
      <c r="D304" s="1188"/>
      <c r="E304" s="1188"/>
      <c r="F304" s="1188"/>
      <c r="G304" s="1188"/>
      <c r="H304" s="1188"/>
      <c r="I304" s="1191"/>
      <c r="J304" s="1191"/>
      <c r="K304" s="1191"/>
      <c r="L304" s="1191"/>
      <c r="M304" s="1191"/>
      <c r="N304" s="1191"/>
      <c r="O304" s="1191"/>
      <c r="P304" s="1191"/>
      <c r="Q304" s="1191"/>
      <c r="R304" s="1191"/>
      <c r="S304" s="1191"/>
      <c r="T304" s="1191"/>
      <c r="U304" s="1191"/>
      <c r="V304" s="1191"/>
      <c r="W304" s="1191"/>
      <c r="X304" s="1191"/>
      <c r="Y304" s="1191"/>
      <c r="Z304" s="1191"/>
      <c r="AA304" s="1191"/>
      <c r="AB304" s="1191"/>
      <c r="AC304" s="1191"/>
      <c r="AD304" s="1188"/>
      <c r="AE304" s="1188"/>
      <c r="AF304" s="1188"/>
      <c r="AG304" s="1188"/>
      <c r="AH304" s="1188"/>
      <c r="AI304" s="1188"/>
      <c r="AJ304" s="1188"/>
      <c r="AK304" s="1188"/>
      <c r="AL304" s="1188"/>
      <c r="AM304" s="1188"/>
      <c r="AN304" s="1188"/>
      <c r="AO304" s="1188"/>
      <c r="AP304" s="1188"/>
    </row>
    <row r="305" spans="1:42">
      <c r="A305" s="1188"/>
      <c r="B305" s="1188"/>
      <c r="C305" s="1188"/>
      <c r="D305" s="1188"/>
      <c r="E305" s="1188"/>
      <c r="F305" s="1188"/>
      <c r="G305" s="1188"/>
      <c r="H305" s="1188"/>
      <c r="I305" s="1191"/>
      <c r="J305" s="1191"/>
      <c r="K305" s="1191"/>
      <c r="L305" s="1191"/>
      <c r="M305" s="1191"/>
      <c r="N305" s="1191"/>
      <c r="O305" s="1191"/>
      <c r="P305" s="1191"/>
      <c r="Q305" s="1191"/>
      <c r="R305" s="1191"/>
      <c r="S305" s="1191"/>
      <c r="T305" s="1191"/>
      <c r="U305" s="1191"/>
      <c r="V305" s="1191"/>
      <c r="W305" s="1191"/>
      <c r="X305" s="1191"/>
      <c r="Y305" s="1191"/>
      <c r="Z305" s="1191"/>
      <c r="AA305" s="1191"/>
      <c r="AB305" s="1191"/>
      <c r="AC305" s="1191"/>
      <c r="AD305" s="1188"/>
      <c r="AE305" s="1188"/>
      <c r="AF305" s="1188"/>
      <c r="AG305" s="1188"/>
      <c r="AH305" s="1188"/>
      <c r="AI305" s="1188"/>
      <c r="AJ305" s="1188"/>
      <c r="AK305" s="1188"/>
      <c r="AL305" s="1188"/>
      <c r="AM305" s="1188"/>
      <c r="AN305" s="1188"/>
      <c r="AO305" s="1188"/>
      <c r="AP305" s="1188"/>
    </row>
    <row r="306" spans="1:42">
      <c r="A306" s="1188"/>
      <c r="B306" s="1188"/>
      <c r="C306" s="1188"/>
      <c r="D306" s="1188"/>
      <c r="E306" s="1188"/>
      <c r="F306" s="1188"/>
      <c r="G306" s="1188"/>
      <c r="H306" s="1188"/>
      <c r="I306" s="1191"/>
      <c r="J306" s="1191"/>
      <c r="K306" s="1191"/>
      <c r="L306" s="1191"/>
      <c r="M306" s="1191"/>
      <c r="N306" s="1191"/>
      <c r="O306" s="1191"/>
      <c r="P306" s="1191"/>
      <c r="Q306" s="1191"/>
      <c r="R306" s="1191"/>
      <c r="S306" s="1191"/>
      <c r="T306" s="1191"/>
      <c r="U306" s="1191"/>
      <c r="V306" s="1191"/>
      <c r="W306" s="1191"/>
      <c r="X306" s="1191"/>
      <c r="Y306" s="1191"/>
      <c r="Z306" s="1191"/>
      <c r="AA306" s="1191"/>
      <c r="AB306" s="1191"/>
      <c r="AC306" s="1191"/>
      <c r="AD306" s="1188"/>
      <c r="AE306" s="1188"/>
      <c r="AF306" s="1188"/>
      <c r="AG306" s="1188"/>
      <c r="AH306" s="1188"/>
      <c r="AI306" s="1188"/>
      <c r="AJ306" s="1188"/>
      <c r="AK306" s="1188"/>
      <c r="AL306" s="1188"/>
      <c r="AM306" s="1188"/>
      <c r="AN306" s="1188"/>
      <c r="AO306" s="1188"/>
      <c r="AP306" s="1188"/>
    </row>
    <row r="307" spans="1:42">
      <c r="A307" s="1188"/>
      <c r="B307" s="1188"/>
      <c r="C307" s="1188"/>
      <c r="D307" s="1188"/>
      <c r="E307" s="1188"/>
      <c r="F307" s="1188"/>
      <c r="G307" s="1188"/>
      <c r="H307" s="1188"/>
      <c r="I307" s="1191"/>
      <c r="J307" s="1191"/>
      <c r="K307" s="1191"/>
      <c r="L307" s="1191"/>
      <c r="M307" s="1191"/>
      <c r="N307" s="1191"/>
      <c r="O307" s="1191"/>
      <c r="P307" s="1191"/>
      <c r="Q307" s="1191"/>
      <c r="R307" s="1191"/>
      <c r="S307" s="1191"/>
      <c r="T307" s="1191"/>
      <c r="U307" s="1191"/>
      <c r="V307" s="1191"/>
      <c r="W307" s="1191"/>
      <c r="X307" s="1191"/>
      <c r="Y307" s="1191"/>
      <c r="Z307" s="1191"/>
      <c r="AA307" s="1191"/>
      <c r="AB307" s="1191"/>
      <c r="AC307" s="1191"/>
      <c r="AD307" s="1188"/>
      <c r="AE307" s="1188"/>
      <c r="AF307" s="1188"/>
      <c r="AG307" s="1188"/>
      <c r="AH307" s="1188"/>
      <c r="AI307" s="1188"/>
      <c r="AJ307" s="1188"/>
      <c r="AK307" s="1188"/>
      <c r="AL307" s="1188"/>
      <c r="AM307" s="1188"/>
      <c r="AN307" s="1188"/>
      <c r="AO307" s="1188"/>
      <c r="AP307" s="1188"/>
    </row>
    <row r="308" spans="1:42">
      <c r="A308" s="1188"/>
      <c r="B308" s="1188"/>
      <c r="C308" s="1188"/>
      <c r="D308" s="1188"/>
      <c r="E308" s="1188"/>
      <c r="F308" s="1188"/>
      <c r="G308" s="1188"/>
      <c r="H308" s="1188"/>
      <c r="I308" s="1191"/>
      <c r="J308" s="1191"/>
      <c r="K308" s="1191"/>
      <c r="L308" s="1191"/>
      <c r="M308" s="1191"/>
      <c r="N308" s="1191"/>
      <c r="O308" s="1191"/>
      <c r="P308" s="1191"/>
      <c r="Q308" s="1191"/>
      <c r="R308" s="1191"/>
      <c r="S308" s="1191"/>
      <c r="T308" s="1191"/>
      <c r="U308" s="1191"/>
      <c r="V308" s="1191"/>
      <c r="W308" s="1191"/>
      <c r="X308" s="1191"/>
      <c r="Y308" s="1191"/>
      <c r="Z308" s="1191"/>
      <c r="AA308" s="1191"/>
      <c r="AB308" s="1191"/>
      <c r="AC308" s="1191"/>
      <c r="AD308" s="1188"/>
      <c r="AE308" s="1188"/>
      <c r="AF308" s="1188"/>
      <c r="AG308" s="1188"/>
      <c r="AH308" s="1188"/>
      <c r="AI308" s="1188"/>
      <c r="AJ308" s="1188"/>
      <c r="AK308" s="1188"/>
      <c r="AL308" s="1188"/>
      <c r="AM308" s="1188"/>
      <c r="AN308" s="1188"/>
      <c r="AO308" s="1188"/>
      <c r="AP308" s="1188"/>
    </row>
    <row r="309" spans="1:42">
      <c r="A309" s="1188"/>
      <c r="B309" s="1188"/>
      <c r="C309" s="1188"/>
      <c r="D309" s="1188"/>
      <c r="E309" s="1188"/>
      <c r="F309" s="1188"/>
      <c r="G309" s="1188"/>
      <c r="H309" s="1188"/>
      <c r="I309" s="1191"/>
      <c r="J309" s="1191"/>
      <c r="K309" s="1191"/>
      <c r="L309" s="1191"/>
      <c r="M309" s="1191"/>
      <c r="N309" s="1191"/>
      <c r="O309" s="1191"/>
      <c r="P309" s="1191"/>
      <c r="Q309" s="1191"/>
      <c r="R309" s="1191"/>
      <c r="S309" s="1191"/>
      <c r="T309" s="1191"/>
      <c r="U309" s="1191"/>
      <c r="V309" s="1191"/>
      <c r="W309" s="1191"/>
      <c r="X309" s="1191"/>
      <c r="Y309" s="1191"/>
      <c r="Z309" s="1191"/>
      <c r="AA309" s="1191"/>
      <c r="AB309" s="1191"/>
      <c r="AC309" s="1191"/>
      <c r="AD309" s="1188"/>
      <c r="AE309" s="1188"/>
      <c r="AF309" s="1188"/>
      <c r="AG309" s="1188"/>
      <c r="AH309" s="1188"/>
      <c r="AI309" s="1188"/>
      <c r="AJ309" s="1188"/>
      <c r="AK309" s="1188"/>
      <c r="AL309" s="1188"/>
      <c r="AM309" s="1188"/>
      <c r="AN309" s="1188"/>
      <c r="AO309" s="1188"/>
      <c r="AP309" s="1188"/>
    </row>
    <row r="310" spans="1:42">
      <c r="A310" s="1188"/>
      <c r="B310" s="1188"/>
      <c r="C310" s="1188"/>
      <c r="D310" s="1188"/>
      <c r="E310" s="1188"/>
      <c r="F310" s="1188"/>
      <c r="G310" s="1188"/>
      <c r="H310" s="1188"/>
      <c r="I310" s="1191"/>
      <c r="J310" s="1191"/>
      <c r="K310" s="1191"/>
      <c r="L310" s="1191"/>
      <c r="M310" s="1191"/>
      <c r="N310" s="1191"/>
      <c r="O310" s="1191"/>
      <c r="P310" s="1191"/>
      <c r="Q310" s="1191"/>
      <c r="R310" s="1191"/>
      <c r="S310" s="1191"/>
      <c r="T310" s="1191"/>
      <c r="U310" s="1191"/>
      <c r="V310" s="1191"/>
      <c r="W310" s="1191"/>
      <c r="X310" s="1191"/>
      <c r="Y310" s="1191"/>
      <c r="Z310" s="1191"/>
      <c r="AA310" s="1191"/>
      <c r="AB310" s="1191"/>
      <c r="AC310" s="1191"/>
      <c r="AD310" s="1188"/>
      <c r="AE310" s="1188"/>
      <c r="AF310" s="1188"/>
      <c r="AG310" s="1188"/>
      <c r="AH310" s="1188"/>
      <c r="AI310" s="1188"/>
      <c r="AJ310" s="1188"/>
      <c r="AK310" s="1188"/>
      <c r="AL310" s="1188"/>
      <c r="AM310" s="1188"/>
      <c r="AN310" s="1188"/>
      <c r="AO310" s="1188"/>
      <c r="AP310" s="1188"/>
    </row>
    <row r="311" spans="1:42">
      <c r="A311" s="1188"/>
      <c r="B311" s="1188"/>
      <c r="C311" s="1188"/>
      <c r="D311" s="1188"/>
      <c r="E311" s="1188"/>
      <c r="F311" s="1188"/>
      <c r="G311" s="1188"/>
      <c r="H311" s="1188"/>
      <c r="I311" s="1191"/>
      <c r="J311" s="1191"/>
      <c r="K311" s="1191"/>
      <c r="L311" s="1191"/>
      <c r="M311" s="1191"/>
      <c r="N311" s="1191"/>
      <c r="O311" s="1191"/>
      <c r="P311" s="1191"/>
      <c r="Q311" s="1191"/>
      <c r="R311" s="1191"/>
      <c r="S311" s="1191"/>
      <c r="T311" s="1191"/>
      <c r="U311" s="1191"/>
      <c r="V311" s="1191"/>
      <c r="W311" s="1191"/>
      <c r="X311" s="1191"/>
      <c r="Y311" s="1191"/>
      <c r="Z311" s="1191"/>
      <c r="AA311" s="1191"/>
      <c r="AB311" s="1191"/>
      <c r="AC311" s="1191"/>
      <c r="AD311" s="1188"/>
      <c r="AE311" s="1188"/>
      <c r="AF311" s="1188"/>
      <c r="AG311" s="1188"/>
      <c r="AH311" s="1188"/>
      <c r="AI311" s="1188"/>
      <c r="AJ311" s="1188"/>
      <c r="AK311" s="1188"/>
      <c r="AL311" s="1188"/>
      <c r="AM311" s="1188"/>
      <c r="AN311" s="1188"/>
      <c r="AO311" s="1188"/>
      <c r="AP311" s="1188"/>
    </row>
    <row r="312" spans="1:42">
      <c r="A312" s="1188"/>
      <c r="B312" s="1188"/>
      <c r="C312" s="1188"/>
      <c r="D312" s="1188"/>
      <c r="E312" s="1188"/>
      <c r="F312" s="1188"/>
      <c r="G312" s="1188"/>
      <c r="H312" s="1188"/>
      <c r="I312" s="1191"/>
      <c r="J312" s="1191"/>
      <c r="K312" s="1191"/>
      <c r="L312" s="1191"/>
      <c r="M312" s="1191"/>
      <c r="N312" s="1191"/>
      <c r="O312" s="1191"/>
      <c r="P312" s="1191"/>
      <c r="Q312" s="1191"/>
      <c r="R312" s="1191"/>
      <c r="S312" s="1191"/>
      <c r="T312" s="1191"/>
      <c r="U312" s="1191"/>
      <c r="V312" s="1191"/>
      <c r="W312" s="1191"/>
      <c r="X312" s="1191"/>
      <c r="Y312" s="1191"/>
      <c r="Z312" s="1191"/>
      <c r="AA312" s="1191"/>
      <c r="AB312" s="1191"/>
      <c r="AC312" s="1191"/>
      <c r="AD312" s="1188"/>
      <c r="AE312" s="1188"/>
      <c r="AF312" s="1188"/>
      <c r="AG312" s="1188"/>
      <c r="AH312" s="1188"/>
      <c r="AI312" s="1188"/>
      <c r="AJ312" s="1188"/>
      <c r="AK312" s="1188"/>
      <c r="AL312" s="1188"/>
      <c r="AM312" s="1188"/>
      <c r="AN312" s="1188"/>
      <c r="AO312" s="1188"/>
      <c r="AP312" s="1188"/>
    </row>
    <row r="313" spans="1:42">
      <c r="A313" s="1188"/>
      <c r="B313" s="1188"/>
      <c r="C313" s="1188"/>
      <c r="D313" s="1188"/>
      <c r="E313" s="1188"/>
      <c r="F313" s="1188"/>
      <c r="G313" s="1188"/>
      <c r="H313" s="1188"/>
      <c r="I313" s="1191"/>
      <c r="J313" s="1191"/>
      <c r="K313" s="1191"/>
      <c r="L313" s="1191"/>
      <c r="M313" s="1191"/>
      <c r="N313" s="1191"/>
      <c r="O313" s="1191"/>
      <c r="P313" s="1191"/>
      <c r="Q313" s="1191"/>
      <c r="R313" s="1191"/>
      <c r="S313" s="1191"/>
      <c r="T313" s="1191"/>
      <c r="U313" s="1191"/>
      <c r="V313" s="1191"/>
      <c r="W313" s="1191"/>
      <c r="X313" s="1191"/>
      <c r="Y313" s="1191"/>
      <c r="Z313" s="1191"/>
      <c r="AA313" s="1191"/>
      <c r="AB313" s="1191"/>
      <c r="AC313" s="1191"/>
      <c r="AD313" s="1188"/>
      <c r="AE313" s="1188"/>
      <c r="AF313" s="1188"/>
      <c r="AG313" s="1188"/>
      <c r="AH313" s="1188"/>
      <c r="AI313" s="1188"/>
      <c r="AJ313" s="1188"/>
      <c r="AK313" s="1188"/>
      <c r="AL313" s="1188"/>
      <c r="AM313" s="1188"/>
      <c r="AN313" s="1188"/>
      <c r="AO313" s="1188"/>
      <c r="AP313" s="1188"/>
    </row>
    <row r="314" spans="1:42">
      <c r="A314" s="1188"/>
      <c r="B314" s="1188"/>
      <c r="C314" s="1188"/>
      <c r="D314" s="1188"/>
      <c r="E314" s="1188"/>
      <c r="F314" s="1188"/>
      <c r="G314" s="1188"/>
      <c r="H314" s="1188"/>
      <c r="I314" s="1191"/>
      <c r="J314" s="1191"/>
      <c r="K314" s="1191"/>
      <c r="L314" s="1191"/>
      <c r="M314" s="1191"/>
      <c r="N314" s="1191"/>
      <c r="O314" s="1191"/>
      <c r="P314" s="1191"/>
      <c r="Q314" s="1191"/>
      <c r="R314" s="1191"/>
      <c r="S314" s="1191"/>
      <c r="T314" s="1191"/>
      <c r="U314" s="1191"/>
      <c r="V314" s="1191"/>
      <c r="W314" s="1191"/>
      <c r="X314" s="1191"/>
      <c r="Y314" s="1191"/>
      <c r="Z314" s="1191"/>
      <c r="AA314" s="1191"/>
      <c r="AB314" s="1191"/>
      <c r="AC314" s="1191"/>
      <c r="AD314" s="1188"/>
      <c r="AE314" s="1188"/>
      <c r="AF314" s="1188"/>
      <c r="AG314" s="1188"/>
      <c r="AH314" s="1188"/>
      <c r="AI314" s="1188"/>
      <c r="AJ314" s="1188"/>
      <c r="AK314" s="1188"/>
      <c r="AL314" s="1188"/>
      <c r="AM314" s="1188"/>
      <c r="AN314" s="1188"/>
      <c r="AO314" s="1188"/>
      <c r="AP314" s="1188"/>
    </row>
    <row r="315" spans="1:42">
      <c r="A315" s="1188"/>
      <c r="B315" s="1188"/>
      <c r="C315" s="1188"/>
      <c r="D315" s="1188"/>
      <c r="E315" s="1188"/>
      <c r="F315" s="1188"/>
      <c r="G315" s="1188"/>
      <c r="H315" s="1188"/>
      <c r="I315" s="1191"/>
      <c r="J315" s="1191"/>
      <c r="K315" s="1191"/>
      <c r="L315" s="1191"/>
      <c r="M315" s="1191"/>
      <c r="N315" s="1191"/>
      <c r="O315" s="1191"/>
      <c r="P315" s="1191"/>
      <c r="Q315" s="1191"/>
      <c r="R315" s="1191"/>
      <c r="S315" s="1191"/>
      <c r="T315" s="1191"/>
      <c r="U315" s="1191"/>
      <c r="V315" s="1191"/>
      <c r="W315" s="1191"/>
      <c r="X315" s="1191"/>
      <c r="Y315" s="1191"/>
      <c r="Z315" s="1191"/>
      <c r="AA315" s="1191"/>
      <c r="AB315" s="1191"/>
      <c r="AC315" s="1191"/>
      <c r="AD315" s="1188"/>
      <c r="AE315" s="1188"/>
      <c r="AF315" s="1188"/>
      <c r="AG315" s="1188"/>
      <c r="AH315" s="1188"/>
      <c r="AI315" s="1188"/>
      <c r="AJ315" s="1188"/>
      <c r="AK315" s="1188"/>
      <c r="AL315" s="1188"/>
      <c r="AM315" s="1188"/>
      <c r="AN315" s="1188"/>
      <c r="AO315" s="1188"/>
      <c r="AP315" s="1188"/>
    </row>
    <row r="316" spans="1:42">
      <c r="A316" s="1188"/>
      <c r="B316" s="1188"/>
      <c r="C316" s="1188"/>
      <c r="D316" s="1188"/>
      <c r="E316" s="1188"/>
      <c r="F316" s="1188"/>
      <c r="G316" s="1188"/>
      <c r="H316" s="1188"/>
      <c r="I316" s="1191"/>
      <c r="J316" s="1191"/>
      <c r="K316" s="1191"/>
      <c r="L316" s="1191"/>
      <c r="M316" s="1191"/>
      <c r="N316" s="1191"/>
      <c r="O316" s="1191"/>
      <c r="P316" s="1191"/>
      <c r="Q316" s="1191"/>
      <c r="R316" s="1191"/>
      <c r="S316" s="1191"/>
      <c r="T316" s="1191"/>
      <c r="U316" s="1191"/>
      <c r="V316" s="1191"/>
      <c r="W316" s="1191"/>
      <c r="X316" s="1191"/>
      <c r="Y316" s="1191"/>
      <c r="Z316" s="1191"/>
      <c r="AA316" s="1191"/>
      <c r="AB316" s="1191"/>
      <c r="AC316" s="1191"/>
      <c r="AD316" s="1188"/>
      <c r="AE316" s="1188"/>
      <c r="AF316" s="1188"/>
      <c r="AG316" s="1188"/>
      <c r="AH316" s="1188"/>
      <c r="AI316" s="1188"/>
      <c r="AJ316" s="1188"/>
      <c r="AK316" s="1188"/>
      <c r="AL316" s="1188"/>
      <c r="AM316" s="1188"/>
      <c r="AN316" s="1188"/>
      <c r="AO316" s="1188"/>
      <c r="AP316" s="1188"/>
    </row>
    <row r="317" spans="1:42">
      <c r="A317" s="1188"/>
      <c r="B317" s="1188"/>
      <c r="C317" s="1188"/>
      <c r="D317" s="1188"/>
      <c r="E317" s="1188"/>
      <c r="F317" s="1188"/>
      <c r="G317" s="1188"/>
      <c r="H317" s="1188"/>
      <c r="I317" s="1191"/>
      <c r="J317" s="1191"/>
      <c r="K317" s="1191"/>
      <c r="L317" s="1191"/>
      <c r="M317" s="1191"/>
      <c r="N317" s="1191"/>
      <c r="O317" s="1191"/>
      <c r="P317" s="1191"/>
      <c r="Q317" s="1191"/>
      <c r="R317" s="1191"/>
      <c r="S317" s="1191"/>
      <c r="T317" s="1191"/>
      <c r="U317" s="1191"/>
      <c r="V317" s="1191"/>
      <c r="W317" s="1191"/>
      <c r="X317" s="1191"/>
      <c r="Y317" s="1191"/>
      <c r="Z317" s="1191"/>
      <c r="AA317" s="1191"/>
      <c r="AB317" s="1191"/>
      <c r="AC317" s="1191"/>
      <c r="AD317" s="1188"/>
      <c r="AE317" s="1188"/>
      <c r="AF317" s="1188"/>
      <c r="AG317" s="1188"/>
      <c r="AH317" s="1188"/>
      <c r="AI317" s="1188"/>
      <c r="AJ317" s="1188"/>
      <c r="AK317" s="1188"/>
      <c r="AL317" s="1188"/>
      <c r="AM317" s="1188"/>
      <c r="AN317" s="1188"/>
      <c r="AO317" s="1188"/>
      <c r="AP317" s="1188"/>
    </row>
    <row r="318" spans="1:42">
      <c r="A318" s="1188"/>
      <c r="B318" s="1188"/>
      <c r="C318" s="1188"/>
      <c r="D318" s="1188"/>
      <c r="E318" s="1188"/>
      <c r="F318" s="1188"/>
      <c r="G318" s="1188"/>
      <c r="H318" s="1188"/>
      <c r="I318" s="1191"/>
      <c r="J318" s="1191"/>
      <c r="K318" s="1191"/>
      <c r="L318" s="1191"/>
      <c r="M318" s="1191"/>
      <c r="N318" s="1191"/>
      <c r="O318" s="1191"/>
      <c r="P318" s="1191"/>
      <c r="Q318" s="1191"/>
      <c r="R318" s="1191"/>
      <c r="S318" s="1191"/>
      <c r="T318" s="1191"/>
      <c r="U318" s="1191"/>
      <c r="V318" s="1191"/>
      <c r="W318" s="1191"/>
      <c r="X318" s="1191"/>
      <c r="Y318" s="1191"/>
      <c r="Z318" s="1191"/>
      <c r="AA318" s="1191"/>
      <c r="AB318" s="1191"/>
      <c r="AC318" s="1191"/>
      <c r="AD318" s="1188"/>
      <c r="AE318" s="1188"/>
      <c r="AF318" s="1188"/>
      <c r="AG318" s="1188"/>
      <c r="AH318" s="1188"/>
      <c r="AI318" s="1188"/>
      <c r="AJ318" s="1188"/>
      <c r="AK318" s="1188"/>
      <c r="AL318" s="1188"/>
      <c r="AM318" s="1188"/>
      <c r="AN318" s="1188"/>
      <c r="AO318" s="1188"/>
      <c r="AP318" s="1188"/>
    </row>
    <row r="319" spans="1:42">
      <c r="A319" s="1188"/>
      <c r="B319" s="1188"/>
      <c r="C319" s="1188"/>
      <c r="D319" s="1188"/>
      <c r="E319" s="1188"/>
      <c r="F319" s="1188"/>
      <c r="G319" s="1188"/>
      <c r="H319" s="1188"/>
      <c r="I319" s="1191"/>
      <c r="J319" s="1191"/>
      <c r="K319" s="1191"/>
      <c r="L319" s="1191"/>
      <c r="M319" s="1191"/>
      <c r="N319" s="1191"/>
      <c r="O319" s="1191"/>
      <c r="P319" s="1191"/>
      <c r="Q319" s="1191"/>
      <c r="R319" s="1191"/>
      <c r="S319" s="1191"/>
      <c r="T319" s="1191"/>
      <c r="U319" s="1191"/>
      <c r="V319" s="1191"/>
      <c r="W319" s="1191"/>
      <c r="X319" s="1191"/>
      <c r="Y319" s="1191"/>
      <c r="Z319" s="1191"/>
      <c r="AA319" s="1191"/>
      <c r="AB319" s="1191"/>
      <c r="AC319" s="1191"/>
      <c r="AD319" s="1188"/>
      <c r="AE319" s="1188"/>
      <c r="AF319" s="1188"/>
      <c r="AG319" s="1188"/>
      <c r="AH319" s="1188"/>
      <c r="AI319" s="1188"/>
      <c r="AJ319" s="1188"/>
      <c r="AK319" s="1188"/>
      <c r="AL319" s="1188"/>
      <c r="AM319" s="1188"/>
      <c r="AN319" s="1188"/>
      <c r="AO319" s="1188"/>
      <c r="AP319" s="1188"/>
    </row>
    <row r="320" spans="1:42">
      <c r="A320" s="1188"/>
      <c r="B320" s="1188"/>
      <c r="C320" s="1188"/>
      <c r="D320" s="1188"/>
      <c r="E320" s="1188"/>
      <c r="F320" s="1188"/>
      <c r="G320" s="1188"/>
      <c r="H320" s="1188"/>
      <c r="I320" s="1191"/>
      <c r="J320" s="1191"/>
      <c r="K320" s="1191"/>
      <c r="L320" s="1191"/>
      <c r="M320" s="1191"/>
      <c r="N320" s="1191"/>
      <c r="O320" s="1191"/>
      <c r="P320" s="1191"/>
      <c r="Q320" s="1191"/>
      <c r="R320" s="1191"/>
      <c r="S320" s="1191"/>
      <c r="T320" s="1191"/>
      <c r="U320" s="1191"/>
      <c r="V320" s="1191"/>
      <c r="W320" s="1191"/>
      <c r="X320" s="1191"/>
      <c r="Y320" s="1191"/>
      <c r="Z320" s="1191"/>
      <c r="AA320" s="1191"/>
      <c r="AB320" s="1191"/>
      <c r="AC320" s="1191"/>
      <c r="AD320" s="1188"/>
      <c r="AE320" s="1188"/>
      <c r="AF320" s="1188"/>
      <c r="AG320" s="1188"/>
      <c r="AH320" s="1188"/>
      <c r="AI320" s="1188"/>
      <c r="AJ320" s="1188"/>
      <c r="AK320" s="1188"/>
      <c r="AL320" s="1188"/>
      <c r="AM320" s="1188"/>
      <c r="AN320" s="1188"/>
      <c r="AO320" s="1188"/>
      <c r="AP320" s="1188"/>
    </row>
    <row r="321" spans="1:42">
      <c r="A321" s="1188"/>
      <c r="B321" s="1188"/>
      <c r="C321" s="1188"/>
      <c r="D321" s="1188"/>
      <c r="E321" s="1188"/>
      <c r="F321" s="1188"/>
      <c r="G321" s="1188"/>
      <c r="H321" s="1188"/>
      <c r="I321" s="1191"/>
      <c r="J321" s="1191"/>
      <c r="K321" s="1191"/>
      <c r="L321" s="1191"/>
      <c r="M321" s="1191"/>
      <c r="N321" s="1191"/>
      <c r="O321" s="1191"/>
      <c r="P321" s="1191"/>
      <c r="Q321" s="1191"/>
      <c r="R321" s="1191"/>
      <c r="S321" s="1191"/>
      <c r="T321" s="1191"/>
      <c r="U321" s="1191"/>
      <c r="V321" s="1191"/>
      <c r="W321" s="1191"/>
      <c r="X321" s="1191"/>
      <c r="Y321" s="1191"/>
      <c r="Z321" s="1191"/>
      <c r="AA321" s="1191"/>
      <c r="AB321" s="1191"/>
      <c r="AC321" s="1191"/>
      <c r="AD321" s="1188"/>
      <c r="AE321" s="1188"/>
      <c r="AF321" s="1188"/>
      <c r="AG321" s="1188"/>
      <c r="AH321" s="1188"/>
      <c r="AI321" s="1188"/>
      <c r="AJ321" s="1188"/>
      <c r="AK321" s="1188"/>
      <c r="AL321" s="1188"/>
      <c r="AM321" s="1188"/>
      <c r="AN321" s="1188"/>
      <c r="AO321" s="1188"/>
      <c r="AP321" s="1188"/>
    </row>
    <row r="322" spans="1:42">
      <c r="A322" s="1188"/>
      <c r="B322" s="1188"/>
      <c r="C322" s="1188"/>
      <c r="D322" s="1188"/>
      <c r="E322" s="1188"/>
      <c r="F322" s="1188"/>
      <c r="G322" s="1188"/>
      <c r="H322" s="1188"/>
      <c r="I322" s="1191"/>
      <c r="J322" s="1191"/>
      <c r="K322" s="1191"/>
      <c r="L322" s="1191"/>
      <c r="M322" s="1191"/>
      <c r="N322" s="1191"/>
      <c r="O322" s="1191"/>
      <c r="P322" s="1191"/>
      <c r="Q322" s="1191"/>
      <c r="R322" s="1191"/>
      <c r="S322" s="1191"/>
      <c r="T322" s="1191"/>
      <c r="U322" s="1191"/>
      <c r="V322" s="1191"/>
      <c r="W322" s="1191"/>
      <c r="X322" s="1191"/>
      <c r="Y322" s="1191"/>
      <c r="Z322" s="1191"/>
      <c r="AA322" s="1191"/>
      <c r="AB322" s="1191"/>
      <c r="AC322" s="1191"/>
      <c r="AD322" s="1188"/>
      <c r="AE322" s="1188"/>
      <c r="AF322" s="1188"/>
      <c r="AG322" s="1188"/>
      <c r="AH322" s="1188"/>
      <c r="AI322" s="1188"/>
      <c r="AJ322" s="1188"/>
      <c r="AK322" s="1188"/>
      <c r="AL322" s="1188"/>
      <c r="AM322" s="1188"/>
      <c r="AN322" s="1188"/>
      <c r="AO322" s="1188"/>
      <c r="AP322" s="1188"/>
    </row>
    <row r="323" spans="1:42">
      <c r="A323" s="1188"/>
      <c r="B323" s="1188"/>
      <c r="C323" s="1188"/>
      <c r="D323" s="1188"/>
      <c r="E323" s="1188"/>
      <c r="F323" s="1188"/>
      <c r="G323" s="1188"/>
      <c r="H323" s="1188"/>
      <c r="I323" s="1191"/>
      <c r="J323" s="1191"/>
      <c r="K323" s="1191"/>
      <c r="L323" s="1191"/>
      <c r="M323" s="1191"/>
      <c r="N323" s="1191"/>
      <c r="O323" s="1191"/>
      <c r="P323" s="1191"/>
      <c r="Q323" s="1191"/>
      <c r="R323" s="1191"/>
      <c r="S323" s="1191"/>
      <c r="T323" s="1191"/>
      <c r="U323" s="1191"/>
      <c r="V323" s="1191"/>
      <c r="W323" s="1191"/>
      <c r="X323" s="1191"/>
      <c r="Y323" s="1191"/>
      <c r="Z323" s="1191"/>
      <c r="AA323" s="1191"/>
      <c r="AB323" s="1191"/>
      <c r="AC323" s="1191"/>
      <c r="AD323" s="1188"/>
      <c r="AE323" s="1188"/>
      <c r="AF323" s="1188"/>
      <c r="AG323" s="1188"/>
      <c r="AH323" s="1188"/>
      <c r="AI323" s="1188"/>
      <c r="AJ323" s="1188"/>
      <c r="AK323" s="1188"/>
      <c r="AL323" s="1188"/>
      <c r="AM323" s="1188"/>
      <c r="AN323" s="1188"/>
      <c r="AO323" s="1188"/>
      <c r="AP323" s="1188"/>
    </row>
    <row r="324" spans="1:42">
      <c r="A324" s="1188"/>
      <c r="B324" s="1188"/>
      <c r="C324" s="1188"/>
      <c r="D324" s="1188"/>
      <c r="E324" s="1188"/>
      <c r="F324" s="1188"/>
      <c r="G324" s="1188"/>
      <c r="H324" s="1188"/>
      <c r="I324" s="1191"/>
      <c r="J324" s="1191"/>
      <c r="K324" s="1191"/>
      <c r="L324" s="1191"/>
      <c r="M324" s="1191"/>
      <c r="N324" s="1191"/>
      <c r="O324" s="1191"/>
      <c r="P324" s="1191"/>
      <c r="Q324" s="1191"/>
      <c r="R324" s="1191"/>
      <c r="S324" s="1191"/>
      <c r="T324" s="1191"/>
      <c r="U324" s="1191"/>
      <c r="V324" s="1191"/>
      <c r="W324" s="1191"/>
      <c r="X324" s="1191"/>
      <c r="Y324" s="1191"/>
      <c r="Z324" s="1191"/>
      <c r="AA324" s="1191"/>
      <c r="AB324" s="1191"/>
      <c r="AC324" s="1191"/>
      <c r="AD324" s="1188"/>
      <c r="AE324" s="1188"/>
      <c r="AF324" s="1188"/>
      <c r="AG324" s="1188"/>
      <c r="AH324" s="1188"/>
      <c r="AI324" s="1188"/>
      <c r="AJ324" s="1188"/>
      <c r="AK324" s="1188"/>
      <c r="AL324" s="1188"/>
      <c r="AM324" s="1188"/>
      <c r="AN324" s="1188"/>
      <c r="AO324" s="1188"/>
      <c r="AP324" s="1188"/>
    </row>
    <row r="325" spans="1:42">
      <c r="A325" s="1188"/>
      <c r="B325" s="1188"/>
      <c r="C325" s="1188"/>
      <c r="D325" s="1188"/>
      <c r="E325" s="1188"/>
      <c r="F325" s="1188"/>
      <c r="G325" s="1188"/>
      <c r="H325" s="1188"/>
      <c r="I325" s="1191"/>
      <c r="J325" s="1191"/>
      <c r="K325" s="1191"/>
      <c r="L325" s="1191"/>
      <c r="M325" s="1191"/>
      <c r="N325" s="1191"/>
      <c r="O325" s="1191"/>
      <c r="P325" s="1191"/>
      <c r="Q325" s="1191"/>
      <c r="R325" s="1191"/>
      <c r="S325" s="1191"/>
      <c r="T325" s="1191"/>
      <c r="U325" s="1191"/>
      <c r="V325" s="1191"/>
      <c r="W325" s="1191"/>
      <c r="X325" s="1191"/>
      <c r="Y325" s="1191"/>
      <c r="Z325" s="1191"/>
      <c r="AA325" s="1191"/>
      <c r="AB325" s="1191"/>
      <c r="AC325" s="1191"/>
      <c r="AD325" s="1188"/>
      <c r="AE325" s="1188"/>
      <c r="AF325" s="1188"/>
      <c r="AG325" s="1188"/>
      <c r="AH325" s="1188"/>
      <c r="AI325" s="1188"/>
      <c r="AJ325" s="1188"/>
      <c r="AK325" s="1188"/>
      <c r="AL325" s="1188"/>
      <c r="AM325" s="1188"/>
      <c r="AN325" s="1188"/>
      <c r="AO325" s="1188"/>
      <c r="AP325" s="1188"/>
    </row>
    <row r="326" spans="1:42">
      <c r="A326" s="1188"/>
      <c r="B326" s="1188"/>
      <c r="C326" s="1188"/>
      <c r="D326" s="1188"/>
      <c r="E326" s="1188"/>
      <c r="F326" s="1188"/>
      <c r="G326" s="1188"/>
      <c r="H326" s="1188"/>
      <c r="I326" s="1191"/>
      <c r="J326" s="1191"/>
      <c r="K326" s="1191"/>
      <c r="L326" s="1191"/>
      <c r="M326" s="1191"/>
      <c r="N326" s="1191"/>
      <c r="O326" s="1191"/>
      <c r="P326" s="1191"/>
      <c r="Q326" s="1191"/>
      <c r="R326" s="1191"/>
      <c r="S326" s="1191"/>
      <c r="T326" s="1191"/>
      <c r="U326" s="1191"/>
      <c r="V326" s="1191"/>
      <c r="W326" s="1191"/>
      <c r="X326" s="1191"/>
      <c r="Y326" s="1191"/>
      <c r="Z326" s="1191"/>
      <c r="AA326" s="1191"/>
      <c r="AB326" s="1191"/>
      <c r="AC326" s="1191"/>
      <c r="AD326" s="1188"/>
      <c r="AE326" s="1188"/>
      <c r="AF326" s="1188"/>
      <c r="AG326" s="1188"/>
      <c r="AH326" s="1188"/>
      <c r="AI326" s="1188"/>
      <c r="AJ326" s="1188"/>
      <c r="AK326" s="1188"/>
      <c r="AL326" s="1188"/>
      <c r="AM326" s="1188"/>
      <c r="AN326" s="1188"/>
      <c r="AO326" s="1188"/>
      <c r="AP326" s="1188"/>
    </row>
    <row r="327" spans="1:42">
      <c r="A327" s="1188"/>
      <c r="B327" s="1188"/>
      <c r="C327" s="1188"/>
      <c r="D327" s="1188"/>
      <c r="E327" s="1188"/>
      <c r="F327" s="1188"/>
      <c r="G327" s="1188"/>
      <c r="H327" s="1188"/>
      <c r="I327" s="1191"/>
      <c r="J327" s="1191"/>
      <c r="K327" s="1191"/>
      <c r="L327" s="1191"/>
      <c r="M327" s="1191"/>
      <c r="N327" s="1191"/>
      <c r="O327" s="1191"/>
      <c r="P327" s="1191"/>
      <c r="Q327" s="1191"/>
      <c r="R327" s="1191"/>
      <c r="S327" s="1191"/>
      <c r="T327" s="1191"/>
      <c r="U327" s="1191"/>
      <c r="V327" s="1191"/>
      <c r="W327" s="1191"/>
      <c r="X327" s="1191"/>
      <c r="Y327" s="1191"/>
      <c r="Z327" s="1191"/>
      <c r="AA327" s="1191"/>
      <c r="AB327" s="1191"/>
      <c r="AC327" s="1191"/>
      <c r="AD327" s="1188"/>
      <c r="AE327" s="1188"/>
      <c r="AF327" s="1188"/>
      <c r="AG327" s="1188"/>
      <c r="AH327" s="1188"/>
      <c r="AI327" s="1188"/>
      <c r="AJ327" s="1188"/>
      <c r="AK327" s="1188"/>
      <c r="AL327" s="1188"/>
      <c r="AM327" s="1188"/>
      <c r="AN327" s="1188"/>
      <c r="AO327" s="1188"/>
      <c r="AP327" s="1188"/>
    </row>
    <row r="328" spans="1:42">
      <c r="A328" s="1188"/>
      <c r="B328" s="1188"/>
      <c r="C328" s="1188"/>
      <c r="D328" s="1188"/>
      <c r="E328" s="1188"/>
      <c r="F328" s="1188"/>
      <c r="G328" s="1188"/>
      <c r="H328" s="1188"/>
      <c r="I328" s="1191"/>
      <c r="J328" s="1191"/>
      <c r="K328" s="1191"/>
      <c r="L328" s="1191"/>
      <c r="M328" s="1191"/>
      <c r="N328" s="1191"/>
      <c r="O328" s="1191"/>
      <c r="P328" s="1191"/>
      <c r="Q328" s="1191"/>
      <c r="R328" s="1191"/>
      <c r="S328" s="1191"/>
      <c r="T328" s="1191"/>
      <c r="U328" s="1191"/>
      <c r="V328" s="1191"/>
      <c r="W328" s="1191"/>
      <c r="X328" s="1191"/>
      <c r="Y328" s="1191"/>
      <c r="Z328" s="1191"/>
      <c r="AA328" s="1191"/>
      <c r="AB328" s="1191"/>
      <c r="AC328" s="1191"/>
      <c r="AD328" s="1188"/>
      <c r="AE328" s="1188"/>
      <c r="AF328" s="1188"/>
      <c r="AG328" s="1188"/>
      <c r="AH328" s="1188"/>
      <c r="AI328" s="1188"/>
      <c r="AJ328" s="1188"/>
      <c r="AK328" s="1188"/>
      <c r="AL328" s="1188"/>
      <c r="AM328" s="1188"/>
      <c r="AN328" s="1188"/>
      <c r="AO328" s="1188"/>
      <c r="AP328" s="1188"/>
    </row>
    <row r="329" spans="1:42">
      <c r="A329" s="1188"/>
      <c r="B329" s="1188"/>
      <c r="C329" s="1188"/>
      <c r="D329" s="1188"/>
      <c r="E329" s="1188"/>
      <c r="F329" s="1188"/>
      <c r="G329" s="1188"/>
      <c r="H329" s="1188"/>
      <c r="I329" s="1191"/>
      <c r="J329" s="1191"/>
      <c r="K329" s="1191"/>
      <c r="L329" s="1191"/>
      <c r="M329" s="1191"/>
      <c r="N329" s="1191"/>
      <c r="O329" s="1191"/>
      <c r="P329" s="1191"/>
      <c r="Q329" s="1191"/>
      <c r="R329" s="1191"/>
      <c r="S329" s="1191"/>
      <c r="T329" s="1191"/>
      <c r="U329" s="1191"/>
      <c r="V329" s="1191"/>
      <c r="W329" s="1191"/>
      <c r="X329" s="1191"/>
      <c r="Y329" s="1191"/>
      <c r="Z329" s="1191"/>
      <c r="AA329" s="1191"/>
      <c r="AB329" s="1191"/>
      <c r="AC329" s="1191"/>
      <c r="AD329" s="1188"/>
      <c r="AE329" s="1188"/>
      <c r="AF329" s="1188"/>
      <c r="AG329" s="1188"/>
      <c r="AH329" s="1188"/>
      <c r="AI329" s="1188"/>
      <c r="AJ329" s="1188"/>
      <c r="AK329" s="1188"/>
      <c r="AL329" s="1188"/>
      <c r="AM329" s="1188"/>
      <c r="AN329" s="1188"/>
      <c r="AO329" s="1188"/>
      <c r="AP329" s="1188"/>
    </row>
    <row r="330" spans="1:42">
      <c r="A330" s="1188"/>
      <c r="B330" s="1188"/>
      <c r="C330" s="1188"/>
      <c r="D330" s="1188"/>
      <c r="E330" s="1188"/>
      <c r="F330" s="1188"/>
      <c r="G330" s="1188"/>
      <c r="H330" s="1188"/>
      <c r="I330" s="1191"/>
      <c r="J330" s="1191"/>
      <c r="K330" s="1191"/>
      <c r="L330" s="1191"/>
      <c r="M330" s="1191"/>
      <c r="N330" s="1191"/>
      <c r="O330" s="1191"/>
      <c r="P330" s="1191"/>
      <c r="Q330" s="1191"/>
      <c r="R330" s="1191"/>
      <c r="S330" s="1191"/>
      <c r="T330" s="1191"/>
      <c r="U330" s="1191"/>
      <c r="V330" s="1191"/>
      <c r="W330" s="1191"/>
      <c r="X330" s="1191"/>
      <c r="Y330" s="1191"/>
      <c r="Z330" s="1191"/>
      <c r="AA330" s="1191"/>
      <c r="AB330" s="1191"/>
      <c r="AC330" s="1191"/>
      <c r="AD330" s="1188"/>
      <c r="AE330" s="1188"/>
      <c r="AF330" s="1188"/>
      <c r="AG330" s="1188"/>
      <c r="AH330" s="1188"/>
      <c r="AI330" s="1188"/>
      <c r="AJ330" s="1188"/>
      <c r="AK330" s="1188"/>
      <c r="AL330" s="1188"/>
      <c r="AM330" s="1188"/>
      <c r="AN330" s="1188"/>
      <c r="AO330" s="1188"/>
      <c r="AP330" s="1188"/>
    </row>
    <row r="331" spans="1:42">
      <c r="A331" s="1188"/>
      <c r="B331" s="1188"/>
      <c r="C331" s="1188"/>
      <c r="D331" s="1188"/>
      <c r="E331" s="1188"/>
      <c r="F331" s="1188"/>
      <c r="G331" s="1188"/>
      <c r="H331" s="1188"/>
      <c r="I331" s="1191"/>
      <c r="J331" s="1191"/>
      <c r="K331" s="1191"/>
      <c r="L331" s="1191"/>
      <c r="M331" s="1191"/>
      <c r="N331" s="1191"/>
      <c r="O331" s="1191"/>
      <c r="P331" s="1191"/>
      <c r="Q331" s="1191"/>
      <c r="R331" s="1191"/>
      <c r="S331" s="1191"/>
      <c r="T331" s="1191"/>
      <c r="U331" s="1191"/>
      <c r="V331" s="1191"/>
      <c r="W331" s="1191"/>
      <c r="X331" s="1191"/>
      <c r="Y331" s="1191"/>
      <c r="Z331" s="1191"/>
      <c r="AA331" s="1191"/>
      <c r="AB331" s="1191"/>
      <c r="AC331" s="1191"/>
      <c r="AD331" s="1188"/>
      <c r="AE331" s="1188"/>
      <c r="AF331" s="1188"/>
      <c r="AG331" s="1188"/>
      <c r="AH331" s="1188"/>
      <c r="AI331" s="1188"/>
      <c r="AJ331" s="1188"/>
      <c r="AK331" s="1188"/>
      <c r="AL331" s="1188"/>
      <c r="AM331" s="1188"/>
      <c r="AN331" s="1188"/>
      <c r="AO331" s="1188"/>
      <c r="AP331" s="1188"/>
    </row>
    <row r="332" spans="1:42">
      <c r="A332" s="1188"/>
      <c r="B332" s="1188"/>
      <c r="C332" s="1188"/>
      <c r="D332" s="1188"/>
      <c r="E332" s="1188"/>
      <c r="F332" s="1188"/>
      <c r="G332" s="1188"/>
      <c r="H332" s="1188"/>
      <c r="I332" s="1191"/>
      <c r="J332" s="1191"/>
      <c r="K332" s="1191"/>
      <c r="L332" s="1191"/>
      <c r="M332" s="1191"/>
      <c r="N332" s="1191"/>
      <c r="O332" s="1191"/>
      <c r="P332" s="1191"/>
      <c r="Q332" s="1191"/>
      <c r="R332" s="1191"/>
      <c r="S332" s="1191"/>
      <c r="T332" s="1191"/>
      <c r="U332" s="1191"/>
      <c r="V332" s="1191"/>
      <c r="W332" s="1191"/>
      <c r="X332" s="1191"/>
      <c r="Y332" s="1191"/>
      <c r="Z332" s="1191"/>
      <c r="AA332" s="1191"/>
      <c r="AB332" s="1191"/>
      <c r="AC332" s="1191"/>
      <c r="AD332" s="1188"/>
      <c r="AE332" s="1188"/>
      <c r="AF332" s="1188"/>
      <c r="AG332" s="1188"/>
      <c r="AH332" s="1188"/>
      <c r="AI332" s="1188"/>
      <c r="AJ332" s="1188"/>
      <c r="AK332" s="1188"/>
      <c r="AL332" s="1188"/>
      <c r="AM332" s="1188"/>
      <c r="AN332" s="1188"/>
      <c r="AO332" s="1188"/>
      <c r="AP332" s="1188"/>
    </row>
    <row r="333" spans="1:42">
      <c r="A333" s="1188"/>
      <c r="B333" s="1188"/>
      <c r="C333" s="1188"/>
      <c r="D333" s="1188"/>
      <c r="E333" s="1188"/>
      <c r="F333" s="1188"/>
      <c r="G333" s="1188"/>
      <c r="H333" s="1188"/>
      <c r="I333" s="1191"/>
      <c r="J333" s="1191"/>
      <c r="K333" s="1191"/>
      <c r="L333" s="1191"/>
      <c r="M333" s="1191"/>
      <c r="N333" s="1191"/>
      <c r="O333" s="1191"/>
      <c r="P333" s="1191"/>
      <c r="Q333" s="1191"/>
      <c r="R333" s="1191"/>
      <c r="S333" s="1191"/>
      <c r="T333" s="1191"/>
      <c r="U333" s="1191"/>
      <c r="V333" s="1191"/>
      <c r="W333" s="1191"/>
      <c r="X333" s="1191"/>
      <c r="Y333" s="1191"/>
      <c r="Z333" s="1191"/>
      <c r="AA333" s="1191"/>
      <c r="AB333" s="1191"/>
      <c r="AC333" s="1191"/>
      <c r="AD333" s="1188"/>
      <c r="AE333" s="1188"/>
      <c r="AF333" s="1188"/>
      <c r="AG333" s="1188"/>
      <c r="AH333" s="1188"/>
      <c r="AI333" s="1188"/>
      <c r="AJ333" s="1188"/>
      <c r="AK333" s="1188"/>
      <c r="AL333" s="1188"/>
      <c r="AM333" s="1188"/>
      <c r="AN333" s="1188"/>
      <c r="AO333" s="1188"/>
      <c r="AP333" s="1188"/>
    </row>
    <row r="334" spans="1:42">
      <c r="A334" s="1188"/>
      <c r="B334" s="1188"/>
      <c r="C334" s="1188"/>
      <c r="D334" s="1188"/>
      <c r="E334" s="1188"/>
      <c r="F334" s="1188"/>
      <c r="G334" s="1188"/>
      <c r="H334" s="1188"/>
      <c r="I334" s="1191"/>
      <c r="J334" s="1191"/>
      <c r="K334" s="1191"/>
      <c r="L334" s="1191"/>
      <c r="M334" s="1191"/>
      <c r="N334" s="1191"/>
      <c r="O334" s="1191"/>
      <c r="P334" s="1191"/>
      <c r="Q334" s="1191"/>
      <c r="R334" s="1191"/>
      <c r="S334" s="1191"/>
      <c r="T334" s="1191"/>
      <c r="U334" s="1191"/>
      <c r="V334" s="1191"/>
      <c r="W334" s="1191"/>
      <c r="X334" s="1191"/>
      <c r="Y334" s="1191"/>
      <c r="Z334" s="1191"/>
      <c r="AA334" s="1191"/>
      <c r="AB334" s="1191"/>
      <c r="AC334" s="1191"/>
      <c r="AD334" s="1188"/>
      <c r="AE334" s="1188"/>
      <c r="AF334" s="1188"/>
      <c r="AG334" s="1188"/>
      <c r="AH334" s="1188"/>
      <c r="AI334" s="1188"/>
      <c r="AJ334" s="1188"/>
      <c r="AK334" s="1188"/>
      <c r="AL334" s="1188"/>
      <c r="AM334" s="1188"/>
      <c r="AN334" s="1188"/>
      <c r="AO334" s="1188"/>
      <c r="AP334" s="1188"/>
    </row>
    <row r="335" spans="1:42">
      <c r="A335" s="1188"/>
      <c r="B335" s="1188"/>
      <c r="C335" s="1188"/>
      <c r="D335" s="1188"/>
      <c r="E335" s="1188"/>
      <c r="F335" s="1188"/>
      <c r="G335" s="1188"/>
      <c r="H335" s="1188"/>
      <c r="I335" s="1191"/>
      <c r="J335" s="1191"/>
      <c r="K335" s="1191"/>
      <c r="L335" s="1191"/>
      <c r="M335" s="1191"/>
      <c r="N335" s="1191"/>
      <c r="O335" s="1191"/>
      <c r="P335" s="1191"/>
      <c r="Q335" s="1191"/>
      <c r="R335" s="1191"/>
      <c r="S335" s="1191"/>
      <c r="T335" s="1191"/>
      <c r="U335" s="1191"/>
      <c r="V335" s="1191"/>
      <c r="W335" s="1191"/>
      <c r="X335" s="1191"/>
      <c r="Y335" s="1191"/>
      <c r="Z335" s="1191"/>
      <c r="AA335" s="1191"/>
      <c r="AB335" s="1191"/>
      <c r="AC335" s="1191"/>
      <c r="AD335" s="1188"/>
      <c r="AE335" s="1188"/>
      <c r="AF335" s="1188"/>
      <c r="AG335" s="1188"/>
      <c r="AH335" s="1188"/>
      <c r="AI335" s="1188"/>
      <c r="AJ335" s="1188"/>
      <c r="AK335" s="1188"/>
      <c r="AL335" s="1188"/>
      <c r="AM335" s="1188"/>
      <c r="AN335" s="1188"/>
      <c r="AO335" s="1188"/>
      <c r="AP335" s="1188"/>
    </row>
    <row r="336" spans="1:42">
      <c r="A336" s="1188"/>
      <c r="B336" s="1188"/>
      <c r="C336" s="1188"/>
      <c r="D336" s="1188"/>
      <c r="E336" s="1188"/>
      <c r="F336" s="1188"/>
      <c r="G336" s="1188"/>
      <c r="H336" s="1188"/>
      <c r="I336" s="1191"/>
      <c r="J336" s="1191"/>
      <c r="K336" s="1191"/>
      <c r="L336" s="1191"/>
      <c r="M336" s="1191"/>
      <c r="N336" s="1191"/>
      <c r="O336" s="1191"/>
      <c r="P336" s="1191"/>
      <c r="Q336" s="1191"/>
      <c r="R336" s="1191"/>
      <c r="S336" s="1191"/>
      <c r="T336" s="1191"/>
      <c r="U336" s="1191"/>
      <c r="V336" s="1191"/>
      <c r="W336" s="1191"/>
      <c r="X336" s="1191"/>
      <c r="Y336" s="1191"/>
      <c r="Z336" s="1191"/>
      <c r="AA336" s="1191"/>
      <c r="AB336" s="1191"/>
      <c r="AC336" s="1191"/>
      <c r="AD336" s="1188"/>
      <c r="AE336" s="1188"/>
      <c r="AF336" s="1188"/>
      <c r="AG336" s="1188"/>
      <c r="AH336" s="1188"/>
      <c r="AI336" s="1188"/>
      <c r="AJ336" s="1188"/>
      <c r="AK336" s="1188"/>
      <c r="AL336" s="1188"/>
      <c r="AM336" s="1188"/>
      <c r="AN336" s="1188"/>
      <c r="AO336" s="1188"/>
      <c r="AP336" s="1188"/>
    </row>
    <row r="337" spans="1:42">
      <c r="A337" s="1188"/>
      <c r="B337" s="1188"/>
      <c r="C337" s="1188"/>
      <c r="D337" s="1188"/>
      <c r="E337" s="1188"/>
      <c r="F337" s="1188"/>
      <c r="G337" s="1188"/>
      <c r="H337" s="1188"/>
      <c r="I337" s="1191"/>
      <c r="J337" s="1191"/>
      <c r="K337" s="1191"/>
      <c r="L337" s="1191"/>
      <c r="M337" s="1191"/>
      <c r="N337" s="1191"/>
      <c r="O337" s="1191"/>
      <c r="P337" s="1191"/>
      <c r="Q337" s="1191"/>
      <c r="R337" s="1191"/>
      <c r="S337" s="1191"/>
      <c r="T337" s="1191"/>
      <c r="U337" s="1191"/>
      <c r="V337" s="1191"/>
      <c r="W337" s="1191"/>
      <c r="X337" s="1191"/>
      <c r="Y337" s="1191"/>
      <c r="Z337" s="1191"/>
      <c r="AA337" s="1191"/>
      <c r="AB337" s="1191"/>
      <c r="AC337" s="1191"/>
      <c r="AD337" s="1188"/>
      <c r="AE337" s="1188"/>
      <c r="AF337" s="1188"/>
      <c r="AG337" s="1188"/>
      <c r="AH337" s="1188"/>
      <c r="AI337" s="1188"/>
      <c r="AJ337" s="1188"/>
      <c r="AK337" s="1188"/>
      <c r="AL337" s="1188"/>
      <c r="AM337" s="1188"/>
      <c r="AN337" s="1188"/>
      <c r="AO337" s="1188"/>
      <c r="AP337" s="1188"/>
    </row>
    <row r="338" spans="1:42">
      <c r="A338" s="1188"/>
      <c r="B338" s="1188"/>
      <c r="C338" s="1188"/>
      <c r="D338" s="1188"/>
      <c r="E338" s="1188"/>
      <c r="F338" s="1188"/>
      <c r="G338" s="1188"/>
      <c r="H338" s="1188"/>
      <c r="I338" s="1191"/>
      <c r="J338" s="1191"/>
      <c r="K338" s="1191"/>
      <c r="L338" s="1191"/>
      <c r="M338" s="1191"/>
      <c r="N338" s="1191"/>
      <c r="O338" s="1191"/>
      <c r="P338" s="1191"/>
      <c r="Q338" s="1191"/>
      <c r="R338" s="1191"/>
      <c r="S338" s="1191"/>
      <c r="T338" s="1191"/>
      <c r="U338" s="1191"/>
      <c r="V338" s="1191"/>
      <c r="W338" s="1191"/>
      <c r="X338" s="1191"/>
      <c r="Y338" s="1191"/>
      <c r="Z338" s="1191"/>
      <c r="AA338" s="1191"/>
      <c r="AB338" s="1191"/>
      <c r="AC338" s="1191"/>
      <c r="AD338" s="1188"/>
      <c r="AE338" s="1188"/>
      <c r="AF338" s="1188"/>
      <c r="AG338" s="1188"/>
      <c r="AH338" s="1188"/>
      <c r="AI338" s="1188"/>
      <c r="AJ338" s="1188"/>
      <c r="AK338" s="1188"/>
      <c r="AL338" s="1188"/>
      <c r="AM338" s="1188"/>
      <c r="AN338" s="1188"/>
      <c r="AO338" s="1188"/>
      <c r="AP338" s="1188"/>
    </row>
    <row r="339" spans="1:42">
      <c r="A339" s="1188"/>
      <c r="B339" s="1188"/>
      <c r="C339" s="1188"/>
      <c r="D339" s="1188"/>
      <c r="E339" s="1188"/>
      <c r="F339" s="1188"/>
      <c r="G339" s="1188"/>
      <c r="H339" s="1188"/>
      <c r="I339" s="1191"/>
      <c r="J339" s="1191"/>
      <c r="K339" s="1191"/>
      <c r="L339" s="1191"/>
      <c r="M339" s="1191"/>
      <c r="N339" s="1191"/>
      <c r="O339" s="1191"/>
      <c r="P339" s="1191"/>
      <c r="Q339" s="1191"/>
      <c r="R339" s="1191"/>
      <c r="S339" s="1191"/>
      <c r="T339" s="1191"/>
      <c r="U339" s="1191"/>
      <c r="V339" s="1191"/>
      <c r="W339" s="1191"/>
      <c r="X339" s="1191"/>
      <c r="Y339" s="1191"/>
      <c r="Z339" s="1191"/>
      <c r="AA339" s="1191"/>
      <c r="AB339" s="1191"/>
      <c r="AC339" s="1191"/>
      <c r="AD339" s="1188"/>
      <c r="AE339" s="1188"/>
      <c r="AF339" s="1188"/>
      <c r="AG339" s="1188"/>
      <c r="AH339" s="1188"/>
      <c r="AI339" s="1188"/>
      <c r="AJ339" s="1188"/>
      <c r="AK339" s="1188"/>
      <c r="AL339" s="1188"/>
      <c r="AM339" s="1188"/>
      <c r="AN339" s="1188"/>
      <c r="AO339" s="1188"/>
      <c r="AP339" s="1188"/>
    </row>
    <row r="340" spans="1:42">
      <c r="A340" s="1188"/>
      <c r="B340" s="1188"/>
      <c r="C340" s="1188"/>
      <c r="D340" s="1188"/>
      <c r="E340" s="1188"/>
      <c r="F340" s="1188"/>
      <c r="G340" s="1188"/>
      <c r="H340" s="1188"/>
      <c r="I340" s="1191"/>
      <c r="J340" s="1191"/>
      <c r="K340" s="1191"/>
      <c r="L340" s="1191"/>
      <c r="M340" s="1191"/>
      <c r="N340" s="1191"/>
      <c r="O340" s="1191"/>
      <c r="P340" s="1191"/>
      <c r="Q340" s="1191"/>
      <c r="R340" s="1191"/>
      <c r="S340" s="1191"/>
      <c r="T340" s="1191"/>
      <c r="U340" s="1191"/>
      <c r="V340" s="1191"/>
      <c r="W340" s="1191"/>
      <c r="X340" s="1191"/>
      <c r="Y340" s="1191"/>
      <c r="Z340" s="1191"/>
      <c r="AA340" s="1191"/>
      <c r="AB340" s="1191"/>
      <c r="AC340" s="1191"/>
      <c r="AD340" s="1188"/>
      <c r="AE340" s="1188"/>
      <c r="AF340" s="1188"/>
      <c r="AG340" s="1188"/>
      <c r="AH340" s="1188"/>
      <c r="AI340" s="1188"/>
      <c r="AJ340" s="1188"/>
      <c r="AK340" s="1188"/>
      <c r="AL340" s="1188"/>
      <c r="AM340" s="1188"/>
      <c r="AN340" s="1188"/>
      <c r="AO340" s="1188"/>
      <c r="AP340" s="1188"/>
    </row>
    <row r="341" spans="1:42">
      <c r="A341" s="1188"/>
      <c r="B341" s="1188"/>
      <c r="C341" s="1188"/>
      <c r="D341" s="1188"/>
      <c r="E341" s="1188"/>
      <c r="F341" s="1188"/>
      <c r="G341" s="1188"/>
      <c r="H341" s="1188"/>
      <c r="I341" s="1191"/>
      <c r="J341" s="1191"/>
      <c r="K341" s="1191"/>
      <c r="L341" s="1191"/>
      <c r="M341" s="1191"/>
      <c r="N341" s="1191"/>
      <c r="O341" s="1191"/>
      <c r="P341" s="1191"/>
      <c r="Q341" s="1191"/>
      <c r="R341" s="1191"/>
      <c r="S341" s="1191"/>
      <c r="T341" s="1191"/>
      <c r="U341" s="1191"/>
      <c r="V341" s="1191"/>
      <c r="W341" s="1191"/>
      <c r="X341" s="1191"/>
      <c r="Y341" s="1191"/>
      <c r="Z341" s="1191"/>
      <c r="AA341" s="1191"/>
      <c r="AB341" s="1191"/>
      <c r="AC341" s="1191"/>
      <c r="AD341" s="1188"/>
      <c r="AE341" s="1188"/>
      <c r="AF341" s="1188"/>
      <c r="AG341" s="1188"/>
      <c r="AH341" s="1188"/>
      <c r="AI341" s="1188"/>
      <c r="AJ341" s="1188"/>
      <c r="AK341" s="1188"/>
      <c r="AL341" s="1188"/>
      <c r="AM341" s="1188"/>
      <c r="AN341" s="1188"/>
      <c r="AO341" s="1188"/>
      <c r="AP341" s="1188"/>
    </row>
    <row r="342" spans="1:42">
      <c r="A342" s="1188"/>
      <c r="B342" s="1188"/>
      <c r="C342" s="1188"/>
      <c r="D342" s="1188"/>
      <c r="E342" s="1188"/>
      <c r="F342" s="1188"/>
      <c r="G342" s="1188"/>
      <c r="H342" s="1188"/>
      <c r="I342" s="1191"/>
      <c r="J342" s="1191"/>
      <c r="K342" s="1191"/>
      <c r="L342" s="1191"/>
      <c r="M342" s="1191"/>
      <c r="N342" s="1191"/>
      <c r="O342" s="1191"/>
      <c r="P342" s="1191"/>
      <c r="Q342" s="1191"/>
      <c r="R342" s="1191"/>
      <c r="S342" s="1191"/>
      <c r="T342" s="1191"/>
      <c r="U342" s="1191"/>
      <c r="V342" s="1191"/>
      <c r="W342" s="1191"/>
      <c r="X342" s="1191"/>
      <c r="Y342" s="1191"/>
      <c r="Z342" s="1191"/>
      <c r="AA342" s="1191"/>
      <c r="AB342" s="1191"/>
      <c r="AC342" s="1191"/>
      <c r="AD342" s="1188"/>
      <c r="AE342" s="1188"/>
      <c r="AF342" s="1188"/>
      <c r="AG342" s="1188"/>
      <c r="AH342" s="1188"/>
      <c r="AI342" s="1188"/>
      <c r="AJ342" s="1188"/>
      <c r="AK342" s="1188"/>
      <c r="AL342" s="1188"/>
      <c r="AM342" s="1188"/>
      <c r="AN342" s="1188"/>
      <c r="AO342" s="1188"/>
      <c r="AP342" s="1188"/>
    </row>
    <row r="343" spans="1:42">
      <c r="A343" s="1188"/>
      <c r="B343" s="1188"/>
      <c r="C343" s="1188"/>
      <c r="D343" s="1188"/>
      <c r="E343" s="1188"/>
      <c r="F343" s="1188"/>
      <c r="G343" s="1188"/>
      <c r="H343" s="1188"/>
      <c r="I343" s="1191"/>
      <c r="J343" s="1191"/>
      <c r="K343" s="1191"/>
      <c r="L343" s="1191"/>
      <c r="M343" s="1191"/>
      <c r="N343" s="1191"/>
      <c r="O343" s="1191"/>
      <c r="P343" s="1191"/>
      <c r="Q343" s="1191"/>
      <c r="R343" s="1191"/>
      <c r="S343" s="1191"/>
      <c r="T343" s="1191"/>
      <c r="U343" s="1191"/>
      <c r="V343" s="1191"/>
      <c r="W343" s="1191"/>
      <c r="X343" s="1191"/>
      <c r="Y343" s="1191"/>
      <c r="Z343" s="1191"/>
      <c r="AA343" s="1191"/>
      <c r="AB343" s="1191"/>
      <c r="AC343" s="1191"/>
      <c r="AD343" s="1188"/>
      <c r="AE343" s="1188"/>
      <c r="AF343" s="1188"/>
      <c r="AG343" s="1188"/>
      <c r="AH343" s="1188"/>
      <c r="AI343" s="1188"/>
      <c r="AJ343" s="1188"/>
      <c r="AK343" s="1188"/>
      <c r="AL343" s="1188"/>
      <c r="AM343" s="1188"/>
      <c r="AN343" s="1188"/>
      <c r="AO343" s="1188"/>
      <c r="AP343" s="1188"/>
    </row>
    <row r="344" spans="1:42">
      <c r="A344" s="1188"/>
      <c r="B344" s="1188"/>
      <c r="C344" s="1188"/>
      <c r="D344" s="1188"/>
      <c r="E344" s="1188"/>
      <c r="F344" s="1188"/>
      <c r="G344" s="1188"/>
      <c r="H344" s="1188"/>
      <c r="I344" s="1191"/>
      <c r="J344" s="1191"/>
      <c r="K344" s="1191"/>
      <c r="L344" s="1191"/>
      <c r="M344" s="1191"/>
      <c r="N344" s="1191"/>
      <c r="O344" s="1191"/>
      <c r="P344" s="1191"/>
      <c r="Q344" s="1191"/>
      <c r="R344" s="1191"/>
      <c r="S344" s="1191"/>
      <c r="T344" s="1191"/>
      <c r="U344" s="1191"/>
      <c r="V344" s="1191"/>
      <c r="W344" s="1191"/>
      <c r="X344" s="1191"/>
      <c r="Y344" s="1191"/>
      <c r="Z344" s="1191"/>
      <c r="AA344" s="1191"/>
      <c r="AB344" s="1191"/>
      <c r="AC344" s="1191"/>
      <c r="AD344" s="1188"/>
      <c r="AE344" s="1188"/>
      <c r="AF344" s="1188"/>
      <c r="AG344" s="1188"/>
      <c r="AH344" s="1188"/>
      <c r="AI344" s="1188"/>
      <c r="AJ344" s="1188"/>
      <c r="AK344" s="1188"/>
      <c r="AL344" s="1188"/>
      <c r="AM344" s="1188"/>
      <c r="AN344" s="1188"/>
      <c r="AO344" s="1188"/>
      <c r="AP344" s="1188"/>
    </row>
    <row r="345" spans="1:42">
      <c r="A345" s="1188"/>
      <c r="B345" s="1188"/>
      <c r="C345" s="1188"/>
      <c r="D345" s="1188"/>
      <c r="E345" s="1188"/>
      <c r="F345" s="1188"/>
      <c r="G345" s="1188"/>
      <c r="H345" s="1188"/>
      <c r="I345" s="1191"/>
      <c r="J345" s="1191"/>
      <c r="K345" s="1191"/>
      <c r="L345" s="1191"/>
      <c r="M345" s="1191"/>
      <c r="N345" s="1191"/>
      <c r="O345" s="1191"/>
      <c r="P345" s="1191"/>
      <c r="Q345" s="1191"/>
      <c r="R345" s="1191"/>
      <c r="S345" s="1191"/>
      <c r="T345" s="1191"/>
      <c r="U345" s="1191"/>
      <c r="V345" s="1191"/>
      <c r="W345" s="1191"/>
      <c r="X345" s="1191"/>
      <c r="Y345" s="1191"/>
      <c r="Z345" s="1191"/>
      <c r="AA345" s="1191"/>
      <c r="AB345" s="1191"/>
      <c r="AC345" s="1191"/>
      <c r="AD345" s="1188"/>
      <c r="AE345" s="1188"/>
      <c r="AF345" s="1188"/>
      <c r="AG345" s="1188"/>
      <c r="AH345" s="1188"/>
      <c r="AI345" s="1188"/>
      <c r="AJ345" s="1188"/>
      <c r="AK345" s="1188"/>
      <c r="AL345" s="1188"/>
      <c r="AM345" s="1188"/>
      <c r="AN345" s="1188"/>
      <c r="AO345" s="1188"/>
      <c r="AP345" s="1188"/>
    </row>
    <row r="346" spans="1:42">
      <c r="A346" s="1188"/>
      <c r="B346" s="1188"/>
      <c r="C346" s="1188"/>
      <c r="D346" s="1188"/>
      <c r="E346" s="1188"/>
      <c r="F346" s="1188"/>
      <c r="G346" s="1188"/>
      <c r="H346" s="1188"/>
      <c r="I346" s="1191"/>
      <c r="J346" s="1191"/>
      <c r="K346" s="1191"/>
      <c r="L346" s="1191"/>
      <c r="M346" s="1191"/>
      <c r="N346" s="1191"/>
      <c r="O346" s="1191"/>
      <c r="P346" s="1191"/>
      <c r="Q346" s="1191"/>
      <c r="R346" s="1191"/>
      <c r="S346" s="1191"/>
      <c r="T346" s="1191"/>
      <c r="U346" s="1191"/>
      <c r="V346" s="1191"/>
      <c r="W346" s="1191"/>
      <c r="X346" s="1191"/>
      <c r="Y346" s="1191"/>
      <c r="Z346" s="1191"/>
      <c r="AA346" s="1191"/>
      <c r="AB346" s="1191"/>
      <c r="AC346" s="1191"/>
      <c r="AD346" s="1188"/>
      <c r="AE346" s="1188"/>
      <c r="AF346" s="1188"/>
      <c r="AG346" s="1188"/>
      <c r="AH346" s="1188"/>
      <c r="AI346" s="1188"/>
      <c r="AJ346" s="1188"/>
      <c r="AK346" s="1188"/>
      <c r="AL346" s="1188"/>
      <c r="AM346" s="1188"/>
      <c r="AN346" s="1188"/>
      <c r="AO346" s="1188"/>
      <c r="AP346" s="1188"/>
    </row>
    <row r="347" spans="1:42">
      <c r="A347" s="1188"/>
      <c r="B347" s="1188"/>
      <c r="C347" s="1188"/>
      <c r="D347" s="1188"/>
      <c r="E347" s="1188"/>
      <c r="F347" s="1188"/>
      <c r="G347" s="1188"/>
      <c r="H347" s="1188"/>
      <c r="I347" s="1191"/>
      <c r="J347" s="1191"/>
      <c r="K347" s="1191"/>
      <c r="L347" s="1191"/>
      <c r="M347" s="1191"/>
      <c r="N347" s="1191"/>
      <c r="O347" s="1191"/>
      <c r="P347" s="1191"/>
      <c r="Q347" s="1191"/>
      <c r="R347" s="1191"/>
      <c r="S347" s="1191"/>
      <c r="T347" s="1191"/>
      <c r="U347" s="1191"/>
      <c r="V347" s="1191"/>
      <c r="W347" s="1191"/>
      <c r="X347" s="1191"/>
      <c r="Y347" s="1191"/>
      <c r="Z347" s="1191"/>
      <c r="AA347" s="1191"/>
      <c r="AB347" s="1191"/>
      <c r="AC347" s="1191"/>
      <c r="AD347" s="1188"/>
      <c r="AE347" s="1188"/>
      <c r="AF347" s="1188"/>
      <c r="AG347" s="1188"/>
      <c r="AH347" s="1188"/>
      <c r="AI347" s="1188"/>
      <c r="AJ347" s="1188"/>
      <c r="AK347" s="1188"/>
      <c r="AL347" s="1188"/>
      <c r="AM347" s="1188"/>
      <c r="AN347" s="1188"/>
      <c r="AO347" s="1188"/>
      <c r="AP347" s="1188"/>
    </row>
    <row r="348" spans="1:42">
      <c r="A348" s="1188"/>
      <c r="B348" s="1188"/>
      <c r="C348" s="1188"/>
      <c r="D348" s="1188"/>
      <c r="E348" s="1188"/>
      <c r="F348" s="1188"/>
      <c r="G348" s="1188"/>
      <c r="H348" s="1188"/>
      <c r="I348" s="1191"/>
      <c r="J348" s="1191"/>
      <c r="K348" s="1191"/>
      <c r="L348" s="1191"/>
      <c r="M348" s="1191"/>
      <c r="N348" s="1191"/>
      <c r="O348" s="1191"/>
      <c r="P348" s="1191"/>
      <c r="Q348" s="1191"/>
      <c r="R348" s="1191"/>
      <c r="S348" s="1191"/>
      <c r="T348" s="1191"/>
      <c r="U348" s="1191"/>
      <c r="V348" s="1191"/>
      <c r="W348" s="1191"/>
      <c r="X348" s="1191"/>
      <c r="Y348" s="1191"/>
      <c r="Z348" s="1191"/>
      <c r="AA348" s="1191"/>
      <c r="AB348" s="1191"/>
      <c r="AC348" s="1191"/>
      <c r="AD348" s="1188"/>
      <c r="AE348" s="1188"/>
      <c r="AF348" s="1188"/>
      <c r="AG348" s="1188"/>
      <c r="AH348" s="1188"/>
      <c r="AI348" s="1188"/>
      <c r="AJ348" s="1188"/>
      <c r="AK348" s="1188"/>
      <c r="AL348" s="1188"/>
      <c r="AM348" s="1188"/>
      <c r="AN348" s="1188"/>
      <c r="AO348" s="1188"/>
      <c r="AP348" s="1188"/>
    </row>
    <row r="349" spans="1:42">
      <c r="A349" s="1188"/>
      <c r="B349" s="1188"/>
      <c r="C349" s="1188"/>
      <c r="D349" s="1188"/>
      <c r="E349" s="1188"/>
      <c r="F349" s="1188"/>
      <c r="G349" s="1188"/>
      <c r="H349" s="1188"/>
      <c r="I349" s="1191"/>
      <c r="J349" s="1191"/>
      <c r="K349" s="1191"/>
      <c r="L349" s="1191"/>
      <c r="M349" s="1191"/>
      <c r="N349" s="1191"/>
      <c r="O349" s="1191"/>
      <c r="P349" s="1191"/>
      <c r="Q349" s="1191"/>
      <c r="R349" s="1191"/>
      <c r="S349" s="1191"/>
      <c r="T349" s="1191"/>
      <c r="U349" s="1191"/>
      <c r="V349" s="1191"/>
      <c r="W349" s="1191"/>
      <c r="X349" s="1191"/>
      <c r="Y349" s="1191"/>
      <c r="Z349" s="1191"/>
      <c r="AA349" s="1191"/>
      <c r="AB349" s="1191"/>
      <c r="AC349" s="1191"/>
      <c r="AD349" s="1188"/>
      <c r="AE349" s="1188"/>
      <c r="AF349" s="1188"/>
      <c r="AG349" s="1188"/>
      <c r="AH349" s="1188"/>
      <c r="AI349" s="1188"/>
      <c r="AJ349" s="1188"/>
      <c r="AK349" s="1188"/>
      <c r="AL349" s="1188"/>
      <c r="AM349" s="1188"/>
      <c r="AN349" s="1188"/>
      <c r="AO349" s="1188"/>
      <c r="AP349" s="1188"/>
    </row>
    <row r="350" spans="1:42">
      <c r="A350" s="1188"/>
      <c r="B350" s="1188"/>
      <c r="C350" s="1188"/>
      <c r="D350" s="1188"/>
      <c r="E350" s="1188"/>
      <c r="F350" s="1188"/>
      <c r="G350" s="1188"/>
      <c r="H350" s="1188"/>
      <c r="I350" s="1191"/>
      <c r="J350" s="1191"/>
      <c r="K350" s="1191"/>
      <c r="L350" s="1191"/>
      <c r="M350" s="1191"/>
      <c r="N350" s="1191"/>
      <c r="O350" s="1191"/>
      <c r="P350" s="1191"/>
      <c r="Q350" s="1191"/>
      <c r="R350" s="1191"/>
      <c r="S350" s="1191"/>
      <c r="T350" s="1191"/>
      <c r="U350" s="1191"/>
      <c r="V350" s="1191"/>
      <c r="W350" s="1191"/>
      <c r="X350" s="1191"/>
      <c r="Y350" s="1191"/>
      <c r="Z350" s="1191"/>
      <c r="AA350" s="1191"/>
      <c r="AB350" s="1191"/>
      <c r="AC350" s="1191"/>
      <c r="AD350" s="1188"/>
      <c r="AE350" s="1188"/>
      <c r="AF350" s="1188"/>
      <c r="AG350" s="1188"/>
      <c r="AH350" s="1188"/>
      <c r="AI350" s="1188"/>
      <c r="AJ350" s="1188"/>
      <c r="AK350" s="1188"/>
      <c r="AL350" s="1188"/>
      <c r="AM350" s="1188"/>
      <c r="AN350" s="1188"/>
      <c r="AO350" s="1188"/>
      <c r="AP350" s="1188"/>
    </row>
    <row r="351" spans="1:42">
      <c r="A351" s="1188"/>
      <c r="B351" s="1188"/>
      <c r="C351" s="1188"/>
      <c r="D351" s="1188"/>
      <c r="E351" s="1188"/>
      <c r="F351" s="1188"/>
      <c r="G351" s="1188"/>
      <c r="H351" s="1188"/>
      <c r="I351" s="1191"/>
      <c r="J351" s="1191"/>
      <c r="K351" s="1191"/>
      <c r="L351" s="1191"/>
      <c r="M351" s="1191"/>
      <c r="N351" s="1191"/>
      <c r="O351" s="1191"/>
      <c r="P351" s="1191"/>
      <c r="Q351" s="1191"/>
      <c r="R351" s="1191"/>
      <c r="S351" s="1191"/>
      <c r="T351" s="1191"/>
      <c r="U351" s="1191"/>
      <c r="V351" s="1191"/>
      <c r="W351" s="1191"/>
      <c r="X351" s="1191"/>
      <c r="Y351" s="1191"/>
      <c r="Z351" s="1191"/>
      <c r="AA351" s="1191"/>
      <c r="AB351" s="1191"/>
      <c r="AC351" s="1191"/>
      <c r="AD351" s="1188"/>
      <c r="AE351" s="1188"/>
      <c r="AF351" s="1188"/>
      <c r="AG351" s="1188"/>
      <c r="AH351" s="1188"/>
      <c r="AI351" s="1188"/>
      <c r="AJ351" s="1188"/>
      <c r="AK351" s="1188"/>
      <c r="AL351" s="1188"/>
      <c r="AM351" s="1188"/>
      <c r="AN351" s="1188"/>
      <c r="AO351" s="1188"/>
      <c r="AP351" s="1188"/>
    </row>
    <row r="352" spans="1:42">
      <c r="A352" s="1188"/>
      <c r="B352" s="1188"/>
      <c r="C352" s="1188"/>
      <c r="D352" s="1188"/>
      <c r="E352" s="1188"/>
      <c r="F352" s="1188"/>
      <c r="G352" s="1188"/>
      <c r="H352" s="1188"/>
      <c r="I352" s="1191"/>
      <c r="J352" s="1191"/>
      <c r="K352" s="1191"/>
      <c r="L352" s="1191"/>
      <c r="M352" s="1191"/>
      <c r="N352" s="1191"/>
      <c r="O352" s="1191"/>
      <c r="P352" s="1191"/>
      <c r="Q352" s="1191"/>
      <c r="R352" s="1191"/>
      <c r="S352" s="1191"/>
      <c r="T352" s="1191"/>
      <c r="U352" s="1191"/>
      <c r="V352" s="1191"/>
      <c r="W352" s="1191"/>
      <c r="X352" s="1191"/>
      <c r="Y352" s="1191"/>
      <c r="Z352" s="1191"/>
      <c r="AA352" s="1191"/>
      <c r="AB352" s="1191"/>
      <c r="AC352" s="1191"/>
      <c r="AD352" s="1188"/>
      <c r="AE352" s="1188"/>
      <c r="AF352" s="1188"/>
      <c r="AG352" s="1188"/>
      <c r="AH352" s="1188"/>
      <c r="AI352" s="1188"/>
      <c r="AJ352" s="1188"/>
      <c r="AK352" s="1188"/>
      <c r="AL352" s="1188"/>
      <c r="AM352" s="1188"/>
      <c r="AN352" s="1188"/>
      <c r="AO352" s="1188"/>
      <c r="AP352" s="1188"/>
    </row>
    <row r="353" spans="1:42">
      <c r="A353" s="1188"/>
      <c r="B353" s="1188"/>
      <c r="C353" s="1188"/>
      <c r="D353" s="1188"/>
      <c r="E353" s="1188"/>
      <c r="F353" s="1188"/>
      <c r="G353" s="1188"/>
      <c r="H353" s="1188"/>
      <c r="I353" s="1191"/>
      <c r="J353" s="1191"/>
      <c r="K353" s="1191"/>
      <c r="L353" s="1191"/>
      <c r="M353" s="1191"/>
      <c r="N353" s="1191"/>
      <c r="O353" s="1191"/>
      <c r="P353" s="1191"/>
      <c r="Q353" s="1191"/>
      <c r="R353" s="1191"/>
      <c r="S353" s="1191"/>
      <c r="T353" s="1191"/>
      <c r="U353" s="1191"/>
      <c r="V353" s="1191"/>
      <c r="W353" s="1191"/>
      <c r="X353" s="1191"/>
      <c r="Y353" s="1191"/>
      <c r="Z353" s="1191"/>
      <c r="AA353" s="1191"/>
      <c r="AB353" s="1191"/>
      <c r="AC353" s="1191"/>
      <c r="AD353" s="1188"/>
      <c r="AE353" s="1188"/>
      <c r="AF353" s="1188"/>
      <c r="AG353" s="1188"/>
      <c r="AH353" s="1188"/>
      <c r="AI353" s="1188"/>
      <c r="AJ353" s="1188"/>
      <c r="AK353" s="1188"/>
      <c r="AL353" s="1188"/>
      <c r="AM353" s="1188"/>
      <c r="AN353" s="1188"/>
      <c r="AO353" s="1188"/>
      <c r="AP353" s="1188"/>
    </row>
    <row r="354" spans="1:42">
      <c r="A354" s="1188"/>
      <c r="B354" s="1188"/>
      <c r="C354" s="1188"/>
      <c r="D354" s="1188"/>
      <c r="E354" s="1188"/>
      <c r="F354" s="1188"/>
      <c r="G354" s="1188"/>
      <c r="H354" s="1188"/>
      <c r="I354" s="1191"/>
      <c r="J354" s="1191"/>
      <c r="K354" s="1191"/>
      <c r="L354" s="1191"/>
      <c r="M354" s="1191"/>
      <c r="N354" s="1191"/>
      <c r="O354" s="1191"/>
      <c r="P354" s="1191"/>
      <c r="Q354" s="1191"/>
      <c r="R354" s="1191"/>
      <c r="S354" s="1191"/>
      <c r="T354" s="1191"/>
      <c r="U354" s="1191"/>
      <c r="V354" s="1191"/>
      <c r="W354" s="1191"/>
      <c r="X354" s="1191"/>
      <c r="Y354" s="1191"/>
      <c r="Z354" s="1191"/>
      <c r="AA354" s="1191"/>
      <c r="AB354" s="1191"/>
      <c r="AC354" s="1191"/>
      <c r="AD354" s="1188"/>
      <c r="AE354" s="1188"/>
      <c r="AF354" s="1188"/>
      <c r="AG354" s="1188"/>
      <c r="AH354" s="1188"/>
      <c r="AI354" s="1188"/>
      <c r="AJ354" s="1188"/>
      <c r="AK354" s="1188"/>
      <c r="AL354" s="1188"/>
      <c r="AM354" s="1188"/>
      <c r="AN354" s="1188"/>
      <c r="AO354" s="1188"/>
      <c r="AP354" s="1188"/>
    </row>
    <row r="355" spans="1:42">
      <c r="A355" s="1188"/>
      <c r="B355" s="1188"/>
      <c r="C355" s="1188"/>
      <c r="D355" s="1188"/>
      <c r="E355" s="1188"/>
      <c r="F355" s="1188"/>
      <c r="G355" s="1188"/>
      <c r="H355" s="1188"/>
      <c r="I355" s="1191"/>
      <c r="J355" s="1191"/>
      <c r="K355" s="1191"/>
      <c r="L355" s="1191"/>
      <c r="M355" s="1191"/>
      <c r="N355" s="1191"/>
      <c r="O355" s="1191"/>
      <c r="P355" s="1191"/>
      <c r="Q355" s="1191"/>
      <c r="R355" s="1191"/>
      <c r="S355" s="1191"/>
      <c r="T355" s="1191"/>
      <c r="U355" s="1191"/>
      <c r="V355" s="1191"/>
      <c r="W355" s="1191"/>
      <c r="X355" s="1191"/>
      <c r="Y355" s="1191"/>
      <c r="Z355" s="1191"/>
      <c r="AA355" s="1191"/>
      <c r="AB355" s="1191"/>
      <c r="AC355" s="1191"/>
      <c r="AD355" s="1188"/>
      <c r="AE355" s="1188"/>
      <c r="AF355" s="1188"/>
      <c r="AG355" s="1188"/>
      <c r="AH355" s="1188"/>
      <c r="AI355" s="1188"/>
      <c r="AJ355" s="1188"/>
      <c r="AK355" s="1188"/>
      <c r="AL355" s="1188"/>
      <c r="AM355" s="1188"/>
      <c r="AN355" s="1188"/>
      <c r="AO355" s="1188"/>
      <c r="AP355" s="1188"/>
    </row>
    <row r="356" spans="1:42">
      <c r="A356" s="1188"/>
      <c r="B356" s="1188"/>
      <c r="C356" s="1188"/>
      <c r="D356" s="1188"/>
      <c r="E356" s="1188"/>
      <c r="F356" s="1188"/>
      <c r="G356" s="1188"/>
      <c r="H356" s="1188"/>
      <c r="I356" s="1191"/>
      <c r="J356" s="1191"/>
      <c r="K356" s="1191"/>
      <c r="L356" s="1191"/>
      <c r="M356" s="1191"/>
      <c r="N356" s="1191"/>
      <c r="O356" s="1191"/>
      <c r="P356" s="1191"/>
      <c r="Q356" s="1191"/>
      <c r="R356" s="1191"/>
      <c r="S356" s="1191"/>
      <c r="T356" s="1191"/>
      <c r="U356" s="1191"/>
      <c r="V356" s="1191"/>
      <c r="W356" s="1191"/>
      <c r="X356" s="1191"/>
      <c r="Y356" s="1191"/>
      <c r="Z356" s="1191"/>
      <c r="AA356" s="1191"/>
      <c r="AB356" s="1191"/>
      <c r="AC356" s="1191"/>
      <c r="AD356" s="1188"/>
      <c r="AE356" s="1188"/>
      <c r="AF356" s="1188"/>
      <c r="AG356" s="1188"/>
      <c r="AH356" s="1188"/>
      <c r="AI356" s="1188"/>
      <c r="AJ356" s="1188"/>
      <c r="AK356" s="1188"/>
      <c r="AL356" s="1188"/>
      <c r="AM356" s="1188"/>
      <c r="AN356" s="1188"/>
      <c r="AO356" s="1188"/>
      <c r="AP356" s="1188"/>
    </row>
    <row r="357" spans="1:42">
      <c r="A357" s="1188"/>
      <c r="B357" s="1188"/>
      <c r="C357" s="1188"/>
      <c r="D357" s="1188"/>
      <c r="E357" s="1188"/>
      <c r="F357" s="1188"/>
      <c r="G357" s="1188"/>
      <c r="H357" s="1188"/>
      <c r="I357" s="1191"/>
      <c r="J357" s="1191"/>
      <c r="K357" s="1191"/>
      <c r="L357" s="1191"/>
      <c r="M357" s="1191"/>
      <c r="N357" s="1191"/>
      <c r="O357" s="1191"/>
      <c r="P357" s="1191"/>
      <c r="Q357" s="1191"/>
      <c r="R357" s="1191"/>
      <c r="S357" s="1191"/>
      <c r="T357" s="1191"/>
      <c r="U357" s="1191"/>
      <c r="V357" s="1191"/>
      <c r="W357" s="1191"/>
      <c r="X357" s="1191"/>
      <c r="Y357" s="1191"/>
      <c r="Z357" s="1191"/>
      <c r="AA357" s="1191"/>
      <c r="AB357" s="1191"/>
      <c r="AC357" s="1191"/>
      <c r="AD357" s="1188"/>
      <c r="AE357" s="1188"/>
      <c r="AF357" s="1188"/>
      <c r="AG357" s="1188"/>
      <c r="AH357" s="1188"/>
      <c r="AI357" s="1188"/>
      <c r="AJ357" s="1188"/>
      <c r="AK357" s="1188"/>
      <c r="AL357" s="1188"/>
      <c r="AM357" s="1188"/>
      <c r="AN357" s="1188"/>
      <c r="AO357" s="1188"/>
      <c r="AP357" s="1188"/>
    </row>
    <row r="358" spans="1:42">
      <c r="A358" s="1188"/>
      <c r="B358" s="1188"/>
      <c r="C358" s="1188"/>
      <c r="D358" s="1188"/>
      <c r="E358" s="1188"/>
      <c r="F358" s="1188"/>
      <c r="G358" s="1188"/>
      <c r="H358" s="1188"/>
      <c r="I358" s="1191"/>
      <c r="J358" s="1191"/>
      <c r="K358" s="1191"/>
      <c r="L358" s="1191"/>
      <c r="M358" s="1191"/>
      <c r="N358" s="1191"/>
      <c r="O358" s="1191"/>
      <c r="P358" s="1191"/>
      <c r="Q358" s="1191"/>
      <c r="R358" s="1191"/>
      <c r="S358" s="1191"/>
      <c r="T358" s="1191"/>
      <c r="U358" s="1191"/>
      <c r="V358" s="1191"/>
      <c r="W358" s="1191"/>
      <c r="X358" s="1191"/>
      <c r="Y358" s="1191"/>
      <c r="Z358" s="1191"/>
      <c r="AA358" s="1191"/>
      <c r="AB358" s="1191"/>
      <c r="AC358" s="1191"/>
      <c r="AD358" s="1188"/>
      <c r="AE358" s="1188"/>
      <c r="AF358" s="1188"/>
      <c r="AG358" s="1188"/>
      <c r="AH358" s="1188"/>
      <c r="AI358" s="1188"/>
      <c r="AJ358" s="1188"/>
      <c r="AK358" s="1188"/>
      <c r="AL358" s="1188"/>
      <c r="AM358" s="1188"/>
      <c r="AN358" s="1188"/>
      <c r="AO358" s="1188"/>
      <c r="AP358" s="1188"/>
    </row>
    <row r="359" spans="1:42">
      <c r="A359" s="1188"/>
      <c r="B359" s="1188"/>
      <c r="C359" s="1188"/>
      <c r="D359" s="1188"/>
      <c r="E359" s="1188"/>
      <c r="F359" s="1188"/>
      <c r="G359" s="1188"/>
      <c r="H359" s="1188"/>
      <c r="I359" s="1191"/>
      <c r="J359" s="1191"/>
      <c r="K359" s="1191"/>
      <c r="L359" s="1191"/>
      <c r="M359" s="1191"/>
      <c r="N359" s="1191"/>
      <c r="O359" s="1191"/>
      <c r="P359" s="1191"/>
      <c r="Q359" s="1191"/>
      <c r="R359" s="1191"/>
      <c r="S359" s="1191"/>
      <c r="T359" s="1191"/>
      <c r="U359" s="1191"/>
      <c r="V359" s="1191"/>
      <c r="W359" s="1191"/>
      <c r="X359" s="1191"/>
      <c r="Y359" s="1191"/>
      <c r="Z359" s="1191"/>
      <c r="AA359" s="1191"/>
      <c r="AB359" s="1191"/>
      <c r="AC359" s="1191"/>
      <c r="AD359" s="1188"/>
      <c r="AE359" s="1188"/>
      <c r="AF359" s="1188"/>
      <c r="AG359" s="1188"/>
      <c r="AH359" s="1188"/>
      <c r="AI359" s="1188"/>
      <c r="AJ359" s="1188"/>
      <c r="AK359" s="1188"/>
      <c r="AL359" s="1188"/>
      <c r="AM359" s="1188"/>
      <c r="AN359" s="1188"/>
      <c r="AO359" s="1188"/>
      <c r="AP359" s="1188"/>
    </row>
    <row r="360" spans="1:42">
      <c r="A360" s="1188"/>
      <c r="B360" s="1188"/>
      <c r="C360" s="1188"/>
      <c r="D360" s="1188"/>
      <c r="E360" s="1188"/>
      <c r="F360" s="1188"/>
      <c r="G360" s="1188"/>
      <c r="H360" s="1188"/>
      <c r="I360" s="1191"/>
      <c r="J360" s="1191"/>
      <c r="K360" s="1191"/>
      <c r="L360" s="1191"/>
      <c r="M360" s="1191"/>
      <c r="N360" s="1191"/>
      <c r="O360" s="1191"/>
      <c r="P360" s="1191"/>
      <c r="Q360" s="1191"/>
      <c r="R360" s="1191"/>
      <c r="S360" s="1191"/>
      <c r="T360" s="1191"/>
      <c r="U360" s="1191"/>
      <c r="V360" s="1191"/>
      <c r="W360" s="1191"/>
      <c r="X360" s="1191"/>
      <c r="Y360" s="1191"/>
      <c r="Z360" s="1191"/>
      <c r="AA360" s="1191"/>
      <c r="AB360" s="1191"/>
      <c r="AC360" s="1191"/>
      <c r="AD360" s="1188"/>
      <c r="AE360" s="1188"/>
      <c r="AF360" s="1188"/>
      <c r="AG360" s="1188"/>
      <c r="AH360" s="1188"/>
      <c r="AI360" s="1188"/>
      <c r="AJ360" s="1188"/>
      <c r="AK360" s="1188"/>
      <c r="AL360" s="1188"/>
      <c r="AM360" s="1188"/>
      <c r="AN360" s="1188"/>
      <c r="AO360" s="1188"/>
      <c r="AP360" s="1188"/>
    </row>
    <row r="361" spans="1:42">
      <c r="A361" s="1188"/>
      <c r="B361" s="1188"/>
      <c r="C361" s="1188"/>
      <c r="D361" s="1188"/>
      <c r="E361" s="1188"/>
      <c r="F361" s="1188"/>
      <c r="G361" s="1188"/>
      <c r="H361" s="1188"/>
      <c r="I361" s="1191"/>
      <c r="J361" s="1191"/>
      <c r="K361" s="1191"/>
      <c r="L361" s="1191"/>
      <c r="M361" s="1191"/>
      <c r="N361" s="1191"/>
      <c r="O361" s="1191"/>
      <c r="P361" s="1191"/>
      <c r="Q361" s="1191"/>
      <c r="R361" s="1191"/>
      <c r="S361" s="1191"/>
      <c r="T361" s="1191"/>
      <c r="U361" s="1191"/>
      <c r="V361" s="1191"/>
      <c r="W361" s="1191"/>
      <c r="X361" s="1191"/>
      <c r="Y361" s="1191"/>
      <c r="Z361" s="1191"/>
      <c r="AA361" s="1191"/>
      <c r="AB361" s="1191"/>
      <c r="AC361" s="1191"/>
      <c r="AD361" s="1188"/>
      <c r="AE361" s="1188"/>
      <c r="AF361" s="1188"/>
      <c r="AG361" s="1188"/>
      <c r="AH361" s="1188"/>
      <c r="AI361" s="1188"/>
      <c r="AJ361" s="1188"/>
      <c r="AK361" s="1188"/>
      <c r="AL361" s="1188"/>
      <c r="AM361" s="1188"/>
      <c r="AN361" s="1188"/>
      <c r="AO361" s="1188"/>
      <c r="AP361" s="1188"/>
    </row>
    <row r="362" spans="1:42">
      <c r="A362" s="1188"/>
      <c r="B362" s="1188"/>
      <c r="C362" s="1188"/>
      <c r="D362" s="1188"/>
      <c r="E362" s="1188"/>
      <c r="F362" s="1188"/>
      <c r="G362" s="1188"/>
      <c r="H362" s="1188"/>
      <c r="I362" s="1191"/>
      <c r="J362" s="1191"/>
      <c r="K362" s="1191"/>
      <c r="L362" s="1191"/>
      <c r="M362" s="1191"/>
      <c r="N362" s="1191"/>
      <c r="O362" s="1191"/>
      <c r="P362" s="1191"/>
      <c r="Q362" s="1191"/>
      <c r="R362" s="1191"/>
      <c r="S362" s="1191"/>
      <c r="T362" s="1191"/>
      <c r="U362" s="1191"/>
      <c r="V362" s="1191"/>
      <c r="W362" s="1191"/>
      <c r="X362" s="1191"/>
      <c r="Y362" s="1191"/>
      <c r="Z362" s="1191"/>
      <c r="AA362" s="1191"/>
      <c r="AB362" s="1191"/>
      <c r="AC362" s="1191"/>
      <c r="AD362" s="1188"/>
      <c r="AE362" s="1188"/>
      <c r="AF362" s="1188"/>
      <c r="AG362" s="1188"/>
      <c r="AH362" s="1188"/>
      <c r="AI362" s="1188"/>
      <c r="AJ362" s="1188"/>
      <c r="AK362" s="1188"/>
      <c r="AL362" s="1188"/>
      <c r="AM362" s="1188"/>
      <c r="AN362" s="1188"/>
      <c r="AO362" s="1188"/>
      <c r="AP362" s="1188"/>
    </row>
    <row r="363" spans="1:42">
      <c r="A363" s="1188"/>
      <c r="B363" s="1188"/>
      <c r="C363" s="1188"/>
      <c r="D363" s="1188"/>
      <c r="E363" s="1188"/>
      <c r="F363" s="1188"/>
      <c r="G363" s="1188"/>
      <c r="H363" s="1188"/>
      <c r="I363" s="1191"/>
      <c r="J363" s="1191"/>
      <c r="K363" s="1191"/>
      <c r="L363" s="1191"/>
      <c r="M363" s="1191"/>
      <c r="N363" s="1191"/>
      <c r="O363" s="1191"/>
      <c r="P363" s="1191"/>
      <c r="Q363" s="1191"/>
      <c r="R363" s="1191"/>
      <c r="S363" s="1191"/>
      <c r="T363" s="1191"/>
      <c r="U363" s="1191"/>
      <c r="V363" s="1191"/>
      <c r="W363" s="1191"/>
      <c r="X363" s="1191"/>
      <c r="Y363" s="1191"/>
      <c r="Z363" s="1191"/>
      <c r="AA363" s="1191"/>
      <c r="AB363" s="1191"/>
      <c r="AC363" s="1191"/>
      <c r="AD363" s="1188"/>
      <c r="AE363" s="1188"/>
      <c r="AF363" s="1188"/>
      <c r="AG363" s="1188"/>
      <c r="AH363" s="1188"/>
      <c r="AI363" s="1188"/>
      <c r="AJ363" s="1188"/>
      <c r="AK363" s="1188"/>
      <c r="AL363" s="1188"/>
      <c r="AM363" s="1188"/>
      <c r="AN363" s="1188"/>
      <c r="AO363" s="1188"/>
      <c r="AP363" s="1188"/>
    </row>
    <row r="364" spans="1:42">
      <c r="A364" s="1188"/>
      <c r="B364" s="1188"/>
      <c r="C364" s="1188"/>
      <c r="D364" s="1188"/>
      <c r="E364" s="1188"/>
      <c r="F364" s="1188"/>
      <c r="G364" s="1188"/>
      <c r="H364" s="1188"/>
      <c r="I364" s="1191"/>
      <c r="J364" s="1191"/>
      <c r="K364" s="1191"/>
      <c r="L364" s="1191"/>
      <c r="M364" s="1191"/>
      <c r="N364" s="1191"/>
      <c r="O364" s="1191"/>
      <c r="P364" s="1191"/>
      <c r="Q364" s="1191"/>
      <c r="R364" s="1191"/>
      <c r="S364" s="1191"/>
      <c r="T364" s="1191"/>
      <c r="U364" s="1191"/>
      <c r="V364" s="1191"/>
      <c r="W364" s="1191"/>
      <c r="X364" s="1191"/>
      <c r="Y364" s="1191"/>
      <c r="Z364" s="1191"/>
      <c r="AA364" s="1191"/>
      <c r="AB364" s="1191"/>
      <c r="AC364" s="1191"/>
      <c r="AD364" s="1188"/>
      <c r="AE364" s="1188"/>
      <c r="AF364" s="1188"/>
      <c r="AG364" s="1188"/>
      <c r="AH364" s="1188"/>
      <c r="AI364" s="1188"/>
      <c r="AJ364" s="1188"/>
      <c r="AK364" s="1188"/>
      <c r="AL364" s="1188"/>
      <c r="AM364" s="1188"/>
      <c r="AN364" s="1188"/>
      <c r="AO364" s="1188"/>
      <c r="AP364" s="1188"/>
    </row>
    <row r="365" spans="1:42">
      <c r="A365" s="1188"/>
      <c r="B365" s="1188"/>
      <c r="C365" s="1188"/>
      <c r="D365" s="1188"/>
      <c r="E365" s="1188"/>
      <c r="F365" s="1188"/>
      <c r="G365" s="1188"/>
      <c r="H365" s="1188"/>
      <c r="I365" s="1191"/>
      <c r="J365" s="1191"/>
      <c r="K365" s="1191"/>
      <c r="L365" s="1191"/>
      <c r="M365" s="1191"/>
      <c r="N365" s="1191"/>
      <c r="O365" s="1191"/>
      <c r="P365" s="1191"/>
      <c r="Q365" s="1191"/>
      <c r="R365" s="1191"/>
      <c r="S365" s="1191"/>
      <c r="T365" s="1191"/>
      <c r="U365" s="1191"/>
      <c r="V365" s="1191"/>
      <c r="W365" s="1191"/>
      <c r="X365" s="1191"/>
      <c r="Y365" s="1191"/>
      <c r="Z365" s="1191"/>
      <c r="AA365" s="1191"/>
      <c r="AB365" s="1191"/>
      <c r="AC365" s="1191"/>
      <c r="AD365" s="1188"/>
      <c r="AE365" s="1188"/>
      <c r="AF365" s="1188"/>
      <c r="AG365" s="1188"/>
      <c r="AH365" s="1188"/>
      <c r="AI365" s="1188"/>
      <c r="AJ365" s="1188"/>
      <c r="AK365" s="1188"/>
      <c r="AL365" s="1188"/>
      <c r="AM365" s="1188"/>
      <c r="AN365" s="1188"/>
      <c r="AO365" s="1188"/>
      <c r="AP365" s="1188"/>
    </row>
    <row r="366" spans="1:42">
      <c r="A366" s="1188"/>
      <c r="B366" s="1188"/>
      <c r="C366" s="1188"/>
      <c r="D366" s="1188"/>
      <c r="E366" s="1188"/>
      <c r="F366" s="1188"/>
      <c r="G366" s="1188"/>
      <c r="H366" s="1188"/>
      <c r="I366" s="1191"/>
      <c r="J366" s="1191"/>
      <c r="K366" s="1191"/>
      <c r="L366" s="1191"/>
      <c r="M366" s="1191"/>
      <c r="N366" s="1191"/>
      <c r="O366" s="1191"/>
      <c r="P366" s="1191"/>
      <c r="Q366" s="1191"/>
      <c r="R366" s="1191"/>
      <c r="S366" s="1191"/>
      <c r="T366" s="1191"/>
      <c r="U366" s="1191"/>
      <c r="V366" s="1191"/>
      <c r="W366" s="1191"/>
      <c r="X366" s="1191"/>
      <c r="Y366" s="1191"/>
      <c r="Z366" s="1191"/>
      <c r="AA366" s="1191"/>
      <c r="AB366" s="1191"/>
      <c r="AC366" s="1191"/>
      <c r="AD366" s="1188"/>
      <c r="AE366" s="1188"/>
      <c r="AF366" s="1188"/>
      <c r="AG366" s="1188"/>
      <c r="AH366" s="1188"/>
      <c r="AI366" s="1188"/>
      <c r="AJ366" s="1188"/>
      <c r="AK366" s="1188"/>
      <c r="AL366" s="1188"/>
      <c r="AM366" s="1188"/>
      <c r="AN366" s="1188"/>
      <c r="AO366" s="1188"/>
      <c r="AP366" s="1188"/>
    </row>
    <row r="367" spans="1:42">
      <c r="A367" s="1188"/>
      <c r="B367" s="1188"/>
      <c r="C367" s="1188"/>
      <c r="D367" s="1188"/>
      <c r="E367" s="1188"/>
      <c r="F367" s="1188"/>
      <c r="G367" s="1188"/>
      <c r="H367" s="1188"/>
      <c r="I367" s="1191"/>
      <c r="J367" s="1191"/>
      <c r="K367" s="1191"/>
      <c r="L367" s="1191"/>
      <c r="M367" s="1191"/>
      <c r="N367" s="1191"/>
      <c r="O367" s="1191"/>
      <c r="P367" s="1191"/>
      <c r="Q367" s="1191"/>
      <c r="R367" s="1191"/>
      <c r="S367" s="1191"/>
      <c r="T367" s="1191"/>
      <c r="U367" s="1191"/>
      <c r="V367" s="1191"/>
      <c r="W367" s="1191"/>
      <c r="X367" s="1191"/>
      <c r="Y367" s="1191"/>
      <c r="Z367" s="1191"/>
      <c r="AA367" s="1191"/>
      <c r="AB367" s="1191"/>
      <c r="AC367" s="1191"/>
      <c r="AD367" s="1188"/>
      <c r="AE367" s="1188"/>
      <c r="AF367" s="1188"/>
      <c r="AG367" s="1188"/>
      <c r="AH367" s="1188"/>
      <c r="AI367" s="1188"/>
      <c r="AJ367" s="1188"/>
      <c r="AK367" s="1188"/>
      <c r="AL367" s="1188"/>
      <c r="AM367" s="1188"/>
      <c r="AN367" s="1188"/>
      <c r="AO367" s="1188"/>
      <c r="AP367" s="1188"/>
    </row>
    <row r="368" spans="1:42">
      <c r="A368" s="1188"/>
      <c r="B368" s="1188"/>
      <c r="C368" s="1188"/>
      <c r="D368" s="1188"/>
      <c r="E368" s="1188"/>
      <c r="F368" s="1188"/>
      <c r="G368" s="1188"/>
      <c r="H368" s="1188"/>
      <c r="I368" s="1191"/>
      <c r="J368" s="1191"/>
      <c r="K368" s="1191"/>
      <c r="L368" s="1191"/>
      <c r="M368" s="1191"/>
      <c r="N368" s="1191"/>
      <c r="O368" s="1191"/>
      <c r="P368" s="1191"/>
      <c r="Q368" s="1191"/>
      <c r="R368" s="1191"/>
      <c r="S368" s="1191"/>
      <c r="T368" s="1191"/>
      <c r="U368" s="1191"/>
      <c r="V368" s="1191"/>
      <c r="W368" s="1191"/>
      <c r="X368" s="1191"/>
      <c r="Y368" s="1191"/>
      <c r="Z368" s="1191"/>
      <c r="AA368" s="1191"/>
      <c r="AB368" s="1191"/>
      <c r="AC368" s="1191"/>
      <c r="AD368" s="1188"/>
      <c r="AE368" s="1188"/>
      <c r="AF368" s="1188"/>
      <c r="AG368" s="1188"/>
      <c r="AH368" s="1188"/>
      <c r="AI368" s="1188"/>
      <c r="AJ368" s="1188"/>
      <c r="AK368" s="1188"/>
      <c r="AL368" s="1188"/>
      <c r="AM368" s="1188"/>
      <c r="AN368" s="1188"/>
      <c r="AO368" s="1188"/>
      <c r="AP368" s="1188"/>
    </row>
    <row r="369" spans="1:42">
      <c r="A369" s="1188"/>
      <c r="B369" s="1188"/>
      <c r="C369" s="1188"/>
      <c r="D369" s="1188"/>
      <c r="E369" s="1188"/>
      <c r="F369" s="1188"/>
      <c r="G369" s="1188"/>
      <c r="H369" s="1188"/>
      <c r="I369" s="1191"/>
      <c r="J369" s="1191"/>
      <c r="K369" s="1191"/>
      <c r="L369" s="1191"/>
      <c r="M369" s="1191"/>
      <c r="N369" s="1191"/>
      <c r="O369" s="1191"/>
      <c r="P369" s="1191"/>
      <c r="Q369" s="1191"/>
      <c r="R369" s="1191"/>
      <c r="S369" s="1191"/>
      <c r="T369" s="1191"/>
      <c r="U369" s="1191"/>
      <c r="V369" s="1191"/>
      <c r="W369" s="1191"/>
      <c r="X369" s="1191"/>
      <c r="Y369" s="1191"/>
      <c r="Z369" s="1191"/>
      <c r="AA369" s="1191"/>
      <c r="AB369" s="1191"/>
      <c r="AC369" s="1191"/>
      <c r="AD369" s="1188"/>
      <c r="AE369" s="1188"/>
      <c r="AF369" s="1188"/>
      <c r="AG369" s="1188"/>
      <c r="AH369" s="1188"/>
      <c r="AI369" s="1188"/>
      <c r="AJ369" s="1188"/>
      <c r="AK369" s="1188"/>
      <c r="AL369" s="1188"/>
      <c r="AM369" s="1188"/>
      <c r="AN369" s="1188"/>
      <c r="AO369" s="1188"/>
      <c r="AP369" s="1188"/>
    </row>
    <row r="370" spans="1:42">
      <c r="A370" s="1188"/>
      <c r="B370" s="1188"/>
      <c r="C370" s="1188"/>
      <c r="D370" s="1188"/>
      <c r="E370" s="1188"/>
      <c r="F370" s="1188"/>
      <c r="G370" s="1188"/>
      <c r="H370" s="1188"/>
      <c r="I370" s="1191"/>
      <c r="J370" s="1191"/>
      <c r="K370" s="1191"/>
      <c r="L370" s="1191"/>
      <c r="M370" s="1191"/>
      <c r="N370" s="1191"/>
      <c r="O370" s="1191"/>
      <c r="P370" s="1191"/>
      <c r="Q370" s="1191"/>
      <c r="R370" s="1191"/>
      <c r="S370" s="1191"/>
      <c r="T370" s="1191"/>
      <c r="U370" s="1191"/>
      <c r="V370" s="1191"/>
      <c r="W370" s="1191"/>
      <c r="X370" s="1191"/>
      <c r="Y370" s="1191"/>
      <c r="Z370" s="1191"/>
      <c r="AA370" s="1191"/>
      <c r="AB370" s="1191"/>
      <c r="AC370" s="1191"/>
      <c r="AD370" s="1188"/>
      <c r="AE370" s="1188"/>
      <c r="AF370" s="1188"/>
      <c r="AG370" s="1188"/>
      <c r="AH370" s="1188"/>
      <c r="AI370" s="1188"/>
      <c r="AJ370" s="1188"/>
      <c r="AK370" s="1188"/>
      <c r="AL370" s="1188"/>
      <c r="AM370" s="1188"/>
      <c r="AN370" s="1188"/>
      <c r="AO370" s="1188"/>
      <c r="AP370" s="1188"/>
    </row>
    <row r="371" spans="1:42">
      <c r="A371" s="1188"/>
      <c r="B371" s="1188"/>
      <c r="C371" s="1188"/>
      <c r="D371" s="1188"/>
      <c r="E371" s="1188"/>
      <c r="F371" s="1188"/>
      <c r="G371" s="1188"/>
      <c r="H371" s="1188"/>
      <c r="I371" s="1191"/>
      <c r="J371" s="1191"/>
      <c r="K371" s="1191"/>
      <c r="L371" s="1191"/>
      <c r="M371" s="1191"/>
      <c r="N371" s="1191"/>
      <c r="O371" s="1191"/>
      <c r="P371" s="1191"/>
      <c r="Q371" s="1191"/>
      <c r="R371" s="1191"/>
      <c r="S371" s="1191"/>
      <c r="T371" s="1191"/>
      <c r="U371" s="1191"/>
      <c r="V371" s="1191"/>
      <c r="W371" s="1191"/>
      <c r="X371" s="1191"/>
      <c r="Y371" s="1191"/>
      <c r="Z371" s="1191"/>
      <c r="AA371" s="1191"/>
      <c r="AB371" s="1191"/>
      <c r="AC371" s="1191"/>
      <c r="AD371" s="1188"/>
      <c r="AE371" s="1188"/>
      <c r="AF371" s="1188"/>
      <c r="AG371" s="1188"/>
      <c r="AH371" s="1188"/>
      <c r="AI371" s="1188"/>
      <c r="AJ371" s="1188"/>
      <c r="AK371" s="1188"/>
      <c r="AL371" s="1188"/>
      <c r="AM371" s="1188"/>
      <c r="AN371" s="1188"/>
      <c r="AO371" s="1188"/>
      <c r="AP371" s="1188"/>
    </row>
    <row r="372" spans="1:42">
      <c r="A372" s="1188"/>
      <c r="B372" s="1188"/>
      <c r="C372" s="1188"/>
      <c r="D372" s="1188"/>
      <c r="E372" s="1188"/>
      <c r="F372" s="1188"/>
      <c r="G372" s="1188"/>
      <c r="H372" s="1188"/>
      <c r="I372" s="1191"/>
      <c r="J372" s="1191"/>
      <c r="K372" s="1191"/>
      <c r="L372" s="1191"/>
      <c r="M372" s="1191"/>
      <c r="N372" s="1191"/>
      <c r="O372" s="1191"/>
      <c r="P372" s="1191"/>
      <c r="Q372" s="1191"/>
      <c r="R372" s="1191"/>
      <c r="S372" s="1191"/>
      <c r="T372" s="1191"/>
      <c r="U372" s="1191"/>
      <c r="V372" s="1191"/>
      <c r="W372" s="1191"/>
      <c r="X372" s="1191"/>
      <c r="Y372" s="1191"/>
      <c r="Z372" s="1191"/>
      <c r="AA372" s="1191"/>
      <c r="AB372" s="1191"/>
      <c r="AC372" s="1191"/>
      <c r="AD372" s="1188"/>
      <c r="AE372" s="1188"/>
      <c r="AF372" s="1188"/>
      <c r="AG372" s="1188"/>
      <c r="AH372" s="1188"/>
      <c r="AI372" s="1188"/>
      <c r="AJ372" s="1188"/>
      <c r="AK372" s="1188"/>
      <c r="AL372" s="1188"/>
      <c r="AM372" s="1188"/>
      <c r="AN372" s="1188"/>
      <c r="AO372" s="1188"/>
      <c r="AP372" s="1188"/>
    </row>
    <row r="373" spans="1:42">
      <c r="A373" s="1188"/>
      <c r="B373" s="1188"/>
      <c r="C373" s="1188"/>
      <c r="D373" s="1188"/>
      <c r="E373" s="1188"/>
      <c r="F373" s="1188"/>
      <c r="G373" s="1188"/>
      <c r="H373" s="1188"/>
      <c r="I373" s="1191"/>
      <c r="J373" s="1191"/>
      <c r="K373" s="1191"/>
      <c r="L373" s="1191"/>
      <c r="M373" s="1191"/>
      <c r="N373" s="1191"/>
      <c r="O373" s="1191"/>
      <c r="P373" s="1191"/>
      <c r="Q373" s="1191"/>
      <c r="R373" s="1191"/>
      <c r="S373" s="1191"/>
      <c r="T373" s="1191"/>
      <c r="U373" s="1191"/>
      <c r="V373" s="1191"/>
      <c r="W373" s="1191"/>
      <c r="X373" s="1191"/>
      <c r="Y373" s="1191"/>
      <c r="Z373" s="1191"/>
      <c r="AA373" s="1191"/>
      <c r="AB373" s="1191"/>
      <c r="AC373" s="1191"/>
      <c r="AD373" s="1188"/>
      <c r="AE373" s="1188"/>
      <c r="AF373" s="1188"/>
      <c r="AG373" s="1188"/>
      <c r="AH373" s="1188"/>
      <c r="AI373" s="1188"/>
      <c r="AJ373" s="1188"/>
      <c r="AK373" s="1188"/>
      <c r="AL373" s="1188"/>
      <c r="AM373" s="1188"/>
      <c r="AN373" s="1188"/>
      <c r="AO373" s="1188"/>
      <c r="AP373" s="1188"/>
    </row>
    <row r="374" spans="1:42">
      <c r="A374" s="1188"/>
      <c r="B374" s="1188"/>
      <c r="C374" s="1188"/>
      <c r="D374" s="1188"/>
      <c r="E374" s="1188"/>
      <c r="F374" s="1188"/>
      <c r="G374" s="1188"/>
      <c r="H374" s="1188"/>
      <c r="I374" s="1191"/>
      <c r="J374" s="1191"/>
      <c r="K374" s="1191"/>
      <c r="L374" s="1191"/>
      <c r="M374" s="1191"/>
      <c r="N374" s="1191"/>
      <c r="O374" s="1191"/>
      <c r="P374" s="1191"/>
      <c r="Q374" s="1191"/>
      <c r="R374" s="1191"/>
      <c r="S374" s="1191"/>
      <c r="T374" s="1191"/>
      <c r="U374" s="1191"/>
      <c r="V374" s="1191"/>
      <c r="W374" s="1191"/>
      <c r="X374" s="1191"/>
      <c r="Y374" s="1191"/>
      <c r="Z374" s="1191"/>
      <c r="AA374" s="1191"/>
      <c r="AB374" s="1191"/>
      <c r="AC374" s="1191"/>
      <c r="AD374" s="1188"/>
      <c r="AE374" s="1188"/>
      <c r="AF374" s="1188"/>
      <c r="AG374" s="1188"/>
      <c r="AH374" s="1188"/>
      <c r="AI374" s="1188"/>
      <c r="AJ374" s="1188"/>
      <c r="AK374" s="1188"/>
      <c r="AL374" s="1188"/>
      <c r="AM374" s="1188"/>
      <c r="AN374" s="1188"/>
      <c r="AO374" s="1188"/>
      <c r="AP374" s="1188"/>
    </row>
    <row r="375" spans="1:42">
      <c r="A375" s="1188"/>
      <c r="B375" s="1188"/>
      <c r="C375" s="1188"/>
      <c r="D375" s="1188"/>
      <c r="E375" s="1188"/>
      <c r="F375" s="1188"/>
      <c r="G375" s="1188"/>
      <c r="H375" s="1188"/>
      <c r="I375" s="1191"/>
      <c r="J375" s="1191"/>
      <c r="K375" s="1191"/>
      <c r="L375" s="1191"/>
      <c r="M375" s="1191"/>
      <c r="N375" s="1191"/>
      <c r="O375" s="1191"/>
      <c r="P375" s="1191"/>
      <c r="Q375" s="1191"/>
      <c r="R375" s="1191"/>
      <c r="S375" s="1191"/>
      <c r="T375" s="1191"/>
      <c r="U375" s="1191"/>
      <c r="V375" s="1191"/>
      <c r="W375" s="1191"/>
      <c r="X375" s="1191"/>
      <c r="Y375" s="1191"/>
      <c r="Z375" s="1191"/>
      <c r="AA375" s="1191"/>
      <c r="AB375" s="1191"/>
      <c r="AC375" s="1191"/>
      <c r="AD375" s="1188"/>
      <c r="AE375" s="1188"/>
      <c r="AF375" s="1188"/>
      <c r="AG375" s="1188"/>
      <c r="AH375" s="1188"/>
      <c r="AI375" s="1188"/>
      <c r="AJ375" s="1188"/>
      <c r="AK375" s="1188"/>
      <c r="AL375" s="1188"/>
      <c r="AM375" s="1188"/>
      <c r="AN375" s="1188"/>
      <c r="AO375" s="1188"/>
      <c r="AP375" s="1188"/>
    </row>
    <row r="376" spans="1:42">
      <c r="A376" s="1188"/>
      <c r="B376" s="1188"/>
      <c r="C376" s="1188"/>
      <c r="D376" s="1188"/>
      <c r="E376" s="1188"/>
      <c r="F376" s="1188"/>
      <c r="G376" s="1188"/>
      <c r="H376" s="1188"/>
      <c r="I376" s="1191"/>
      <c r="J376" s="1191"/>
      <c r="K376" s="1191"/>
      <c r="L376" s="1191"/>
      <c r="M376" s="1191"/>
      <c r="N376" s="1191"/>
      <c r="O376" s="1191"/>
      <c r="P376" s="1191"/>
      <c r="Q376" s="1191"/>
      <c r="R376" s="1191"/>
      <c r="S376" s="1191"/>
      <c r="T376" s="1191"/>
      <c r="U376" s="1191"/>
      <c r="V376" s="1191"/>
      <c r="W376" s="1191"/>
      <c r="X376" s="1191"/>
      <c r="Y376" s="1191"/>
      <c r="Z376" s="1191"/>
      <c r="AA376" s="1191"/>
      <c r="AB376" s="1191"/>
      <c r="AC376" s="1191"/>
      <c r="AD376" s="1188"/>
      <c r="AE376" s="1188"/>
      <c r="AF376" s="1188"/>
      <c r="AG376" s="1188"/>
      <c r="AH376" s="1188"/>
      <c r="AI376" s="1188"/>
      <c r="AJ376" s="1188"/>
      <c r="AK376" s="1188"/>
      <c r="AL376" s="1188"/>
      <c r="AM376" s="1188"/>
      <c r="AN376" s="1188"/>
      <c r="AO376" s="1188"/>
      <c r="AP376" s="1188"/>
    </row>
    <row r="377" spans="1:42">
      <c r="A377" s="1188"/>
      <c r="B377" s="1188"/>
      <c r="C377" s="1188"/>
      <c r="D377" s="1188"/>
      <c r="E377" s="1188"/>
      <c r="F377" s="1188"/>
      <c r="G377" s="1188"/>
      <c r="H377" s="1188"/>
      <c r="I377" s="1191"/>
      <c r="J377" s="1191"/>
      <c r="K377" s="1191"/>
      <c r="L377" s="1191"/>
      <c r="M377" s="1191"/>
      <c r="N377" s="1191"/>
      <c r="O377" s="1191"/>
      <c r="P377" s="1191"/>
      <c r="Q377" s="1191"/>
      <c r="R377" s="1191"/>
      <c r="S377" s="1191"/>
      <c r="T377" s="1191"/>
      <c r="U377" s="1191"/>
      <c r="V377" s="1191"/>
      <c r="W377" s="1191"/>
      <c r="X377" s="1191"/>
      <c r="Y377" s="1191"/>
      <c r="Z377" s="1191"/>
      <c r="AA377" s="1191"/>
      <c r="AB377" s="1191"/>
      <c r="AC377" s="1191"/>
      <c r="AD377" s="1188"/>
      <c r="AE377" s="1188"/>
      <c r="AF377" s="1188"/>
      <c r="AG377" s="1188"/>
      <c r="AH377" s="1188"/>
      <c r="AI377" s="1188"/>
      <c r="AJ377" s="1188"/>
      <c r="AK377" s="1188"/>
      <c r="AL377" s="1188"/>
      <c r="AM377" s="1188"/>
      <c r="AN377" s="1188"/>
      <c r="AO377" s="1188"/>
      <c r="AP377" s="1188"/>
    </row>
    <row r="378" spans="1:42">
      <c r="A378" s="1188"/>
      <c r="B378" s="1188"/>
      <c r="C378" s="1188"/>
      <c r="D378" s="1188"/>
      <c r="E378" s="1188"/>
      <c r="F378" s="1188"/>
      <c r="G378" s="1188"/>
      <c r="H378" s="1188"/>
      <c r="I378" s="1191"/>
      <c r="J378" s="1191"/>
      <c r="K378" s="1191"/>
      <c r="L378" s="1191"/>
      <c r="M378" s="1191"/>
      <c r="N378" s="1191"/>
      <c r="O378" s="1191"/>
      <c r="P378" s="1191"/>
      <c r="Q378" s="1191"/>
      <c r="R378" s="1191"/>
      <c r="S378" s="1191"/>
      <c r="T378" s="1191"/>
      <c r="U378" s="1191"/>
      <c r="V378" s="1191"/>
      <c r="W378" s="1191"/>
      <c r="X378" s="1191"/>
      <c r="Y378" s="1191"/>
      <c r="Z378" s="1191"/>
      <c r="AA378" s="1191"/>
      <c r="AB378" s="1191"/>
      <c r="AC378" s="1191"/>
      <c r="AD378" s="1188"/>
      <c r="AE378" s="1188"/>
      <c r="AF378" s="1188"/>
      <c r="AG378" s="1188"/>
      <c r="AH378" s="1188"/>
      <c r="AI378" s="1188"/>
      <c r="AJ378" s="1188"/>
      <c r="AK378" s="1188"/>
      <c r="AL378" s="1188"/>
      <c r="AM378" s="1188"/>
      <c r="AN378" s="1188"/>
      <c r="AO378" s="1188"/>
      <c r="AP378" s="1188"/>
    </row>
    <row r="379" spans="1:42">
      <c r="A379" s="1188"/>
      <c r="B379" s="1188"/>
      <c r="C379" s="1188"/>
      <c r="D379" s="1188"/>
      <c r="E379" s="1188"/>
      <c r="F379" s="1188"/>
      <c r="G379" s="1188"/>
      <c r="H379" s="1188"/>
      <c r="I379" s="1191"/>
      <c r="J379" s="1191"/>
      <c r="K379" s="1191"/>
      <c r="L379" s="1191"/>
      <c r="M379" s="1191"/>
      <c r="N379" s="1191"/>
      <c r="O379" s="1191"/>
      <c r="P379" s="1191"/>
      <c r="Q379" s="1191"/>
      <c r="R379" s="1191"/>
      <c r="S379" s="1191"/>
      <c r="T379" s="1191"/>
      <c r="U379" s="1191"/>
      <c r="V379" s="1191"/>
      <c r="W379" s="1191"/>
      <c r="X379" s="1191"/>
      <c r="Y379" s="1191"/>
      <c r="Z379" s="1191"/>
      <c r="AA379" s="1191"/>
      <c r="AB379" s="1191"/>
      <c r="AC379" s="1191"/>
      <c r="AD379" s="1188"/>
      <c r="AE379" s="1188"/>
      <c r="AF379" s="1188"/>
      <c r="AG379" s="1188"/>
      <c r="AH379" s="1188"/>
      <c r="AI379" s="1188"/>
      <c r="AJ379" s="1188"/>
      <c r="AK379" s="1188"/>
      <c r="AL379" s="1188"/>
      <c r="AM379" s="1188"/>
      <c r="AN379" s="1188"/>
      <c r="AO379" s="1188"/>
      <c r="AP379" s="1188"/>
    </row>
    <row r="380" spans="1:42">
      <c r="A380" s="1188"/>
      <c r="B380" s="1188"/>
      <c r="C380" s="1188"/>
      <c r="D380" s="1188"/>
      <c r="E380" s="1188"/>
      <c r="F380" s="1188"/>
      <c r="G380" s="1188"/>
      <c r="H380" s="1188"/>
      <c r="I380" s="1191"/>
      <c r="J380" s="1191"/>
      <c r="K380" s="1191"/>
      <c r="L380" s="1191"/>
      <c r="M380" s="1191"/>
      <c r="N380" s="1191"/>
      <c r="O380" s="1191"/>
      <c r="P380" s="1191"/>
      <c r="Q380" s="1191"/>
      <c r="R380" s="1191"/>
      <c r="S380" s="1191"/>
      <c r="T380" s="1191"/>
      <c r="U380" s="1191"/>
      <c r="V380" s="1191"/>
      <c r="W380" s="1191"/>
      <c r="X380" s="1191"/>
      <c r="Y380" s="1191"/>
      <c r="Z380" s="1191"/>
      <c r="AA380" s="1191"/>
      <c r="AB380" s="1191"/>
      <c r="AC380" s="1191"/>
      <c r="AD380" s="1188"/>
      <c r="AE380" s="1188"/>
      <c r="AF380" s="1188"/>
      <c r="AG380" s="1188"/>
      <c r="AH380" s="1188"/>
      <c r="AI380" s="1188"/>
      <c r="AJ380" s="1188"/>
      <c r="AK380" s="1188"/>
      <c r="AL380" s="1188"/>
      <c r="AM380" s="1188"/>
      <c r="AN380" s="1188"/>
      <c r="AO380" s="1188"/>
      <c r="AP380" s="1188"/>
    </row>
    <row r="381" spans="1:42">
      <c r="A381" s="1188"/>
      <c r="B381" s="1188"/>
      <c r="C381" s="1188"/>
      <c r="D381" s="1188"/>
      <c r="E381" s="1188"/>
      <c r="F381" s="1188"/>
      <c r="G381" s="1188"/>
      <c r="H381" s="1188"/>
      <c r="I381" s="1191"/>
      <c r="J381" s="1191"/>
      <c r="K381" s="1191"/>
      <c r="L381" s="1191"/>
      <c r="M381" s="1191"/>
      <c r="N381" s="1191"/>
      <c r="O381" s="1191"/>
      <c r="P381" s="1191"/>
      <c r="Q381" s="1191"/>
      <c r="R381" s="1191"/>
      <c r="S381" s="1191"/>
      <c r="T381" s="1191"/>
      <c r="U381" s="1191"/>
      <c r="V381" s="1191"/>
      <c r="W381" s="1191"/>
      <c r="X381" s="1191"/>
      <c r="Y381" s="1191"/>
      <c r="Z381" s="1191"/>
      <c r="AA381" s="1191"/>
      <c r="AB381" s="1191"/>
      <c r="AC381" s="1191"/>
      <c r="AD381" s="1188"/>
      <c r="AE381" s="1188"/>
      <c r="AF381" s="1188"/>
      <c r="AG381" s="1188"/>
      <c r="AH381" s="1188"/>
      <c r="AI381" s="1188"/>
      <c r="AJ381" s="1188"/>
      <c r="AK381" s="1188"/>
      <c r="AL381" s="1188"/>
      <c r="AM381" s="1188"/>
      <c r="AN381" s="1188"/>
      <c r="AO381" s="1188"/>
      <c r="AP381" s="1188"/>
    </row>
    <row r="382" spans="1:42">
      <c r="A382" s="1188"/>
      <c r="B382" s="1188"/>
      <c r="C382" s="1188"/>
      <c r="D382" s="1188"/>
      <c r="E382" s="1188"/>
      <c r="F382" s="1188"/>
      <c r="G382" s="1188"/>
      <c r="H382" s="1188"/>
      <c r="I382" s="1191"/>
      <c r="J382" s="1191"/>
      <c r="K382" s="1191"/>
      <c r="L382" s="1191"/>
      <c r="M382" s="1191"/>
      <c r="N382" s="1191"/>
      <c r="O382" s="1191"/>
      <c r="P382" s="1191"/>
      <c r="Q382" s="1191"/>
      <c r="R382" s="1191"/>
      <c r="S382" s="1191"/>
      <c r="T382" s="1191"/>
      <c r="U382" s="1191"/>
      <c r="V382" s="1191"/>
      <c r="W382" s="1191"/>
      <c r="X382" s="1191"/>
      <c r="Y382" s="1191"/>
      <c r="Z382" s="1191"/>
      <c r="AA382" s="1191"/>
      <c r="AB382" s="1191"/>
      <c r="AC382" s="1191"/>
      <c r="AD382" s="1188"/>
      <c r="AE382" s="1188"/>
      <c r="AF382" s="1188"/>
      <c r="AG382" s="1188"/>
      <c r="AH382" s="1188"/>
      <c r="AI382" s="1188"/>
      <c r="AJ382" s="1188"/>
      <c r="AK382" s="1188"/>
      <c r="AL382" s="1188"/>
      <c r="AM382" s="1188"/>
      <c r="AN382" s="1188"/>
      <c r="AO382" s="1188"/>
      <c r="AP382" s="1188"/>
    </row>
    <row r="383" spans="1:42">
      <c r="A383" s="1188"/>
      <c r="B383" s="1188"/>
      <c r="C383" s="1188"/>
      <c r="D383" s="1188"/>
      <c r="E383" s="1188"/>
      <c r="F383" s="1188"/>
      <c r="G383" s="1188"/>
      <c r="H383" s="1188"/>
      <c r="I383" s="1191"/>
      <c r="J383" s="1191"/>
      <c r="K383" s="1191"/>
      <c r="L383" s="1191"/>
      <c r="M383" s="1191"/>
      <c r="N383" s="1191"/>
      <c r="O383" s="1191"/>
      <c r="P383" s="1191"/>
      <c r="Q383" s="1191"/>
      <c r="R383" s="1191"/>
      <c r="S383" s="1191"/>
      <c r="T383" s="1191"/>
      <c r="U383" s="1191"/>
      <c r="V383" s="1191"/>
      <c r="W383" s="1191"/>
      <c r="X383" s="1191"/>
      <c r="Y383" s="1191"/>
      <c r="Z383" s="1191"/>
      <c r="AA383" s="1191"/>
      <c r="AB383" s="1191"/>
      <c r="AC383" s="1191"/>
      <c r="AD383" s="1188"/>
      <c r="AE383" s="1188"/>
      <c r="AF383" s="1188"/>
      <c r="AG383" s="1188"/>
      <c r="AH383" s="1188"/>
      <c r="AI383" s="1188"/>
      <c r="AJ383" s="1188"/>
      <c r="AK383" s="1188"/>
      <c r="AL383" s="1188"/>
      <c r="AM383" s="1188"/>
      <c r="AN383" s="1188"/>
      <c r="AO383" s="1188"/>
      <c r="AP383" s="1188"/>
    </row>
    <row r="384" spans="1:42">
      <c r="A384" s="1188"/>
      <c r="B384" s="1188"/>
      <c r="C384" s="1188"/>
      <c r="D384" s="1188"/>
      <c r="E384" s="1188"/>
      <c r="F384" s="1188"/>
      <c r="G384" s="1188"/>
      <c r="H384" s="1188"/>
      <c r="I384" s="1191"/>
      <c r="J384" s="1191"/>
      <c r="K384" s="1191"/>
      <c r="L384" s="1191"/>
      <c r="M384" s="1191"/>
      <c r="N384" s="1191"/>
      <c r="O384" s="1191"/>
      <c r="P384" s="1191"/>
      <c r="Q384" s="1191"/>
      <c r="R384" s="1191"/>
      <c r="S384" s="1191"/>
      <c r="T384" s="1191"/>
      <c r="U384" s="1191"/>
      <c r="V384" s="1191"/>
      <c r="W384" s="1191"/>
      <c r="X384" s="1191"/>
      <c r="Y384" s="1191"/>
      <c r="Z384" s="1191"/>
      <c r="AA384" s="1191"/>
      <c r="AB384" s="1191"/>
      <c r="AC384" s="1191"/>
      <c r="AD384" s="1188"/>
      <c r="AE384" s="1188"/>
      <c r="AF384" s="1188"/>
      <c r="AG384" s="1188"/>
      <c r="AH384" s="1188"/>
      <c r="AI384" s="1188"/>
      <c r="AJ384" s="1188"/>
      <c r="AK384" s="1188"/>
      <c r="AL384" s="1188"/>
      <c r="AM384" s="1188"/>
      <c r="AN384" s="1188"/>
      <c r="AO384" s="1188"/>
      <c r="AP384" s="1188"/>
    </row>
    <row r="385" spans="1:42">
      <c r="A385" s="1188"/>
      <c r="B385" s="1188"/>
      <c r="C385" s="1188"/>
      <c r="D385" s="1188"/>
      <c r="E385" s="1188"/>
      <c r="F385" s="1188"/>
      <c r="G385" s="1188"/>
      <c r="H385" s="1188"/>
      <c r="I385" s="1191"/>
      <c r="J385" s="1191"/>
      <c r="K385" s="1191"/>
      <c r="L385" s="1191"/>
      <c r="M385" s="1191"/>
      <c r="N385" s="1191"/>
      <c r="O385" s="1191"/>
      <c r="P385" s="1191"/>
      <c r="Q385" s="1191"/>
      <c r="R385" s="1191"/>
      <c r="S385" s="1191"/>
      <c r="T385" s="1191"/>
      <c r="U385" s="1191"/>
      <c r="V385" s="1191"/>
      <c r="W385" s="1191"/>
      <c r="X385" s="1191"/>
      <c r="Y385" s="1191"/>
      <c r="Z385" s="1191"/>
      <c r="AA385" s="1191"/>
      <c r="AB385" s="1191"/>
      <c r="AC385" s="1191"/>
      <c r="AD385" s="1188"/>
      <c r="AE385" s="1188"/>
      <c r="AF385" s="1188"/>
      <c r="AG385" s="1188"/>
      <c r="AH385" s="1188"/>
      <c r="AI385" s="1188"/>
      <c r="AJ385" s="1188"/>
      <c r="AK385" s="1188"/>
      <c r="AL385" s="1188"/>
      <c r="AM385" s="1188"/>
      <c r="AN385" s="1188"/>
      <c r="AO385" s="1188"/>
      <c r="AP385" s="1188"/>
    </row>
    <row r="386" spans="1:42">
      <c r="A386" s="1188"/>
      <c r="B386" s="1188"/>
      <c r="C386" s="1188"/>
      <c r="D386" s="1188"/>
      <c r="E386" s="1188"/>
      <c r="F386" s="1188"/>
      <c r="G386" s="1188"/>
      <c r="H386" s="1188"/>
      <c r="I386" s="1191"/>
      <c r="J386" s="1191"/>
      <c r="K386" s="1191"/>
      <c r="L386" s="1191"/>
      <c r="M386" s="1191"/>
      <c r="N386" s="1191"/>
      <c r="O386" s="1191"/>
      <c r="P386" s="1191"/>
      <c r="Q386" s="1191"/>
      <c r="R386" s="1191"/>
      <c r="S386" s="1191"/>
      <c r="T386" s="1191"/>
      <c r="U386" s="1191"/>
      <c r="V386" s="1191"/>
      <c r="W386" s="1191"/>
      <c r="X386" s="1191"/>
      <c r="Y386" s="1191"/>
      <c r="Z386" s="1191"/>
      <c r="AA386" s="1191"/>
      <c r="AB386" s="1191"/>
      <c r="AC386" s="1191"/>
      <c r="AD386" s="1188"/>
      <c r="AE386" s="1188"/>
      <c r="AF386" s="1188"/>
      <c r="AG386" s="1188"/>
      <c r="AH386" s="1188"/>
      <c r="AI386" s="1188"/>
      <c r="AJ386" s="1188"/>
      <c r="AK386" s="1188"/>
      <c r="AL386" s="1188"/>
      <c r="AM386" s="1188"/>
      <c r="AN386" s="1188"/>
      <c r="AO386" s="1188"/>
      <c r="AP386" s="1188"/>
    </row>
    <row r="387" spans="1:42">
      <c r="A387" s="1188"/>
      <c r="B387" s="1188"/>
      <c r="C387" s="1188"/>
      <c r="D387" s="1188"/>
      <c r="E387" s="1188"/>
      <c r="F387" s="1188"/>
      <c r="G387" s="1188"/>
      <c r="H387" s="1188"/>
      <c r="I387" s="1191"/>
      <c r="J387" s="1191"/>
      <c r="K387" s="1191"/>
      <c r="L387" s="1191"/>
      <c r="M387" s="1191"/>
      <c r="N387" s="1191"/>
      <c r="O387" s="1191"/>
      <c r="P387" s="1191"/>
      <c r="Q387" s="1191"/>
      <c r="R387" s="1191"/>
      <c r="S387" s="1191"/>
      <c r="T387" s="1191"/>
      <c r="U387" s="1191"/>
      <c r="V387" s="1191"/>
      <c r="W387" s="1191"/>
      <c r="X387" s="1191"/>
      <c r="Y387" s="1191"/>
      <c r="Z387" s="1191"/>
      <c r="AA387" s="1191"/>
      <c r="AB387" s="1191"/>
      <c r="AC387" s="1191"/>
      <c r="AD387" s="1188"/>
      <c r="AE387" s="1188"/>
      <c r="AF387" s="1188"/>
      <c r="AG387" s="1188"/>
      <c r="AH387" s="1188"/>
      <c r="AI387" s="1188"/>
      <c r="AJ387" s="1188"/>
      <c r="AK387" s="1188"/>
      <c r="AL387" s="1188"/>
      <c r="AM387" s="1188"/>
      <c r="AN387" s="1188"/>
      <c r="AO387" s="1188"/>
      <c r="AP387" s="1188"/>
    </row>
    <row r="388" spans="1:42">
      <c r="A388" s="1188"/>
      <c r="B388" s="1188"/>
      <c r="C388" s="1188"/>
      <c r="D388" s="1188"/>
      <c r="E388" s="1188"/>
      <c r="F388" s="1188"/>
      <c r="G388" s="1188"/>
      <c r="H388" s="1188"/>
      <c r="I388" s="1191"/>
      <c r="J388" s="1191"/>
      <c r="K388" s="1191"/>
      <c r="L388" s="1191"/>
      <c r="M388" s="1191"/>
      <c r="N388" s="1191"/>
      <c r="O388" s="1191"/>
      <c r="P388" s="1191"/>
      <c r="Q388" s="1191"/>
      <c r="R388" s="1191"/>
      <c r="S388" s="1191"/>
      <c r="T388" s="1191"/>
      <c r="U388" s="1191"/>
      <c r="V388" s="1191"/>
      <c r="W388" s="1191"/>
      <c r="X388" s="1191"/>
      <c r="Y388" s="1191"/>
      <c r="Z388" s="1191"/>
      <c r="AA388" s="1191"/>
      <c r="AB388" s="1191"/>
      <c r="AC388" s="1191"/>
      <c r="AD388" s="1188"/>
      <c r="AE388" s="1188"/>
      <c r="AF388" s="1188"/>
      <c r="AG388" s="1188"/>
      <c r="AH388" s="1188"/>
      <c r="AI388" s="1188"/>
      <c r="AJ388" s="1188"/>
      <c r="AK388" s="1188"/>
      <c r="AL388" s="1188"/>
      <c r="AM388" s="1188"/>
      <c r="AN388" s="1188"/>
      <c r="AO388" s="1188"/>
      <c r="AP388" s="1188"/>
    </row>
    <row r="389" spans="1:42">
      <c r="A389" s="1188"/>
      <c r="B389" s="1188"/>
      <c r="C389" s="1188"/>
      <c r="D389" s="1188"/>
      <c r="E389" s="1188"/>
      <c r="F389" s="1188"/>
      <c r="G389" s="1188"/>
      <c r="H389" s="1188"/>
      <c r="I389" s="1191"/>
      <c r="J389" s="1191"/>
      <c r="K389" s="1191"/>
      <c r="L389" s="1191"/>
      <c r="M389" s="1191"/>
      <c r="N389" s="1191"/>
      <c r="O389" s="1191"/>
      <c r="P389" s="1191"/>
      <c r="Q389" s="1191"/>
      <c r="R389" s="1191"/>
      <c r="S389" s="1191"/>
      <c r="T389" s="1191"/>
      <c r="U389" s="1191"/>
      <c r="V389" s="1191"/>
      <c r="W389" s="1191"/>
      <c r="X389" s="1191"/>
      <c r="Y389" s="1191"/>
      <c r="Z389" s="1191"/>
      <c r="AA389" s="1191"/>
      <c r="AB389" s="1191"/>
      <c r="AC389" s="1191"/>
      <c r="AD389" s="1188"/>
      <c r="AE389" s="1188"/>
      <c r="AF389" s="1188"/>
      <c r="AG389" s="1188"/>
      <c r="AH389" s="1188"/>
      <c r="AI389" s="1188"/>
      <c r="AJ389" s="1188"/>
      <c r="AK389" s="1188"/>
      <c r="AL389" s="1188"/>
      <c r="AM389" s="1188"/>
      <c r="AN389" s="1188"/>
      <c r="AO389" s="1188"/>
      <c r="AP389" s="1188"/>
    </row>
    <row r="390" spans="1:42">
      <c r="A390" s="1188"/>
      <c r="B390" s="1188"/>
      <c r="C390" s="1188"/>
      <c r="D390" s="1188"/>
      <c r="E390" s="1188"/>
      <c r="F390" s="1188"/>
      <c r="G390" s="1188"/>
      <c r="H390" s="1188"/>
      <c r="I390" s="1191"/>
      <c r="J390" s="1191"/>
      <c r="K390" s="1191"/>
      <c r="L390" s="1191"/>
      <c r="M390" s="1191"/>
      <c r="N390" s="1191"/>
      <c r="O390" s="1191"/>
      <c r="P390" s="1191"/>
      <c r="Q390" s="1191"/>
      <c r="R390" s="1191"/>
      <c r="S390" s="1191"/>
      <c r="T390" s="1191"/>
      <c r="U390" s="1191"/>
      <c r="V390" s="1191"/>
      <c r="W390" s="1191"/>
      <c r="X390" s="1191"/>
      <c r="Y390" s="1191"/>
      <c r="Z390" s="1191"/>
      <c r="AA390" s="1191"/>
      <c r="AB390" s="1191"/>
      <c r="AC390" s="1191"/>
      <c r="AD390" s="1188"/>
      <c r="AE390" s="1188"/>
      <c r="AF390" s="1188"/>
      <c r="AG390" s="1188"/>
      <c r="AH390" s="1188"/>
      <c r="AI390" s="1188"/>
      <c r="AJ390" s="1188"/>
      <c r="AK390" s="1188"/>
      <c r="AL390" s="1188"/>
      <c r="AM390" s="1188"/>
      <c r="AN390" s="1188"/>
      <c r="AO390" s="1188"/>
      <c r="AP390" s="1188"/>
    </row>
    <row r="391" spans="1:42">
      <c r="A391" s="1188"/>
      <c r="B391" s="1188"/>
      <c r="C391" s="1188"/>
      <c r="D391" s="1188"/>
      <c r="E391" s="1188"/>
      <c r="F391" s="1188"/>
      <c r="G391" s="1188"/>
      <c r="H391" s="1188"/>
      <c r="I391" s="1191"/>
      <c r="J391" s="1191"/>
      <c r="K391" s="1191"/>
      <c r="L391" s="1191"/>
      <c r="M391" s="1191"/>
      <c r="N391" s="1191"/>
      <c r="O391" s="1191"/>
      <c r="P391" s="1191"/>
      <c r="Q391" s="1191"/>
      <c r="R391" s="1191"/>
      <c r="S391" s="1191"/>
      <c r="T391" s="1191"/>
      <c r="U391" s="1191"/>
      <c r="V391" s="1191"/>
      <c r="W391" s="1191"/>
      <c r="X391" s="1191"/>
      <c r="Y391" s="1191"/>
      <c r="Z391" s="1191"/>
      <c r="AA391" s="1191"/>
      <c r="AB391" s="1191"/>
      <c r="AC391" s="1191"/>
      <c r="AD391" s="1188"/>
      <c r="AE391" s="1188"/>
      <c r="AF391" s="1188"/>
      <c r="AG391" s="1188"/>
      <c r="AH391" s="1188"/>
      <c r="AI391" s="1188"/>
      <c r="AJ391" s="1188"/>
      <c r="AK391" s="1188"/>
      <c r="AL391" s="1188"/>
      <c r="AM391" s="1188"/>
      <c r="AN391" s="1188"/>
      <c r="AO391" s="1188"/>
      <c r="AP391" s="1188"/>
    </row>
    <row r="392" spans="1:42">
      <c r="A392" s="1188"/>
      <c r="B392" s="1188"/>
      <c r="C392" s="1188"/>
      <c r="D392" s="1188"/>
      <c r="E392" s="1188"/>
      <c r="F392" s="1188"/>
      <c r="G392" s="1188"/>
      <c r="H392" s="1188"/>
      <c r="I392" s="1191"/>
      <c r="J392" s="1191"/>
      <c r="K392" s="1191"/>
      <c r="L392" s="1191"/>
      <c r="M392" s="1191"/>
      <c r="N392" s="1191"/>
      <c r="O392" s="1191"/>
      <c r="P392" s="1191"/>
      <c r="Q392" s="1191"/>
      <c r="R392" s="1191"/>
      <c r="S392" s="1191"/>
      <c r="T392" s="1191"/>
      <c r="U392" s="1191"/>
      <c r="V392" s="1191"/>
      <c r="W392" s="1191"/>
      <c r="X392" s="1191"/>
      <c r="Y392" s="1191"/>
      <c r="Z392" s="1191"/>
      <c r="AA392" s="1191"/>
      <c r="AB392" s="1191"/>
      <c r="AC392" s="1191"/>
      <c r="AD392" s="1188"/>
      <c r="AE392" s="1188"/>
      <c r="AF392" s="1188"/>
      <c r="AG392" s="1188"/>
      <c r="AH392" s="1188"/>
      <c r="AI392" s="1188"/>
      <c r="AJ392" s="1188"/>
      <c r="AK392" s="1188"/>
      <c r="AL392" s="1188"/>
      <c r="AM392" s="1188"/>
      <c r="AN392" s="1188"/>
      <c r="AO392" s="1188"/>
      <c r="AP392" s="1188"/>
    </row>
    <row r="393" spans="1:42">
      <c r="A393" s="1188"/>
      <c r="B393" s="1188"/>
      <c r="C393" s="1188"/>
      <c r="D393" s="1188"/>
      <c r="E393" s="1188"/>
      <c r="F393" s="1188"/>
      <c r="G393" s="1188"/>
      <c r="H393" s="1188"/>
      <c r="I393" s="1191"/>
      <c r="J393" s="1191"/>
      <c r="K393" s="1191"/>
      <c r="L393" s="1191"/>
      <c r="M393" s="1191"/>
      <c r="N393" s="1191"/>
      <c r="O393" s="1191"/>
      <c r="P393" s="1191"/>
      <c r="Q393" s="1191"/>
      <c r="R393" s="1191"/>
      <c r="S393" s="1191"/>
      <c r="T393" s="1191"/>
      <c r="U393" s="1191"/>
      <c r="V393" s="1191"/>
      <c r="W393" s="1191"/>
      <c r="X393" s="1191"/>
      <c r="Y393" s="1191"/>
      <c r="Z393" s="1191"/>
      <c r="AA393" s="1191"/>
      <c r="AB393" s="1191"/>
      <c r="AC393" s="1191"/>
      <c r="AD393" s="1188"/>
      <c r="AE393" s="1188"/>
      <c r="AF393" s="1188"/>
      <c r="AG393" s="1188"/>
      <c r="AH393" s="1188"/>
      <c r="AI393" s="1188"/>
      <c r="AJ393" s="1188"/>
      <c r="AK393" s="1188"/>
      <c r="AL393" s="1188"/>
      <c r="AM393" s="1188"/>
      <c r="AN393" s="1188"/>
      <c r="AO393" s="1188"/>
      <c r="AP393" s="1188"/>
    </row>
    <row r="394" spans="1:42">
      <c r="A394" s="1188"/>
      <c r="B394" s="1188"/>
      <c r="C394" s="1188"/>
      <c r="D394" s="1188"/>
      <c r="E394" s="1188"/>
      <c r="F394" s="1188"/>
      <c r="G394" s="1188"/>
      <c r="H394" s="1188"/>
      <c r="I394" s="1191"/>
      <c r="J394" s="1191"/>
      <c r="K394" s="1191"/>
      <c r="L394" s="1191"/>
      <c r="M394" s="1191"/>
      <c r="N394" s="1191"/>
      <c r="O394" s="1191"/>
      <c r="P394" s="1191"/>
      <c r="Q394" s="1191"/>
      <c r="R394" s="1191"/>
      <c r="S394" s="1191"/>
      <c r="T394" s="1191"/>
      <c r="U394" s="1191"/>
      <c r="V394" s="1191"/>
      <c r="W394" s="1191"/>
      <c r="X394" s="1191"/>
      <c r="Y394" s="1191"/>
      <c r="Z394" s="1191"/>
      <c r="AA394" s="1191"/>
      <c r="AB394" s="1191"/>
      <c r="AC394" s="1191"/>
      <c r="AD394" s="1188"/>
      <c r="AE394" s="1188"/>
      <c r="AF394" s="1188"/>
      <c r="AG394" s="1188"/>
      <c r="AH394" s="1188"/>
      <c r="AI394" s="1188"/>
      <c r="AJ394" s="1188"/>
      <c r="AK394" s="1188"/>
      <c r="AL394" s="1188"/>
      <c r="AM394" s="1188"/>
      <c r="AN394" s="1188"/>
      <c r="AO394" s="1188"/>
      <c r="AP394" s="1188"/>
    </row>
    <row r="395" spans="1:42">
      <c r="A395" s="1188"/>
      <c r="B395" s="1188"/>
      <c r="C395" s="1188"/>
      <c r="D395" s="1188"/>
      <c r="E395" s="1188"/>
      <c r="F395" s="1188"/>
      <c r="G395" s="1188"/>
      <c r="H395" s="1188"/>
      <c r="I395" s="1191"/>
      <c r="J395" s="1191"/>
      <c r="K395" s="1191"/>
      <c r="L395" s="1191"/>
      <c r="M395" s="1191"/>
      <c r="N395" s="1191"/>
      <c r="O395" s="1191"/>
      <c r="P395" s="1191"/>
      <c r="Q395" s="1191"/>
      <c r="R395" s="1191"/>
      <c r="S395" s="1191"/>
      <c r="T395" s="1191"/>
      <c r="U395" s="1191"/>
      <c r="V395" s="1191"/>
      <c r="W395" s="1191"/>
      <c r="X395" s="1191"/>
      <c r="Y395" s="1191"/>
      <c r="Z395" s="1191"/>
      <c r="AA395" s="1191"/>
      <c r="AB395" s="1191"/>
      <c r="AC395" s="1191"/>
      <c r="AD395" s="1188"/>
      <c r="AE395" s="1188"/>
      <c r="AF395" s="1188"/>
      <c r="AG395" s="1188"/>
      <c r="AH395" s="1188"/>
      <c r="AI395" s="1188"/>
      <c r="AJ395" s="1188"/>
      <c r="AK395" s="1188"/>
      <c r="AL395" s="1188"/>
      <c r="AM395" s="1188"/>
      <c r="AN395" s="1188"/>
      <c r="AO395" s="1188"/>
      <c r="AP395" s="1188"/>
    </row>
    <row r="396" spans="1:42">
      <c r="A396" s="1188"/>
      <c r="B396" s="1188"/>
      <c r="C396" s="1188"/>
      <c r="D396" s="1188"/>
      <c r="E396" s="1188"/>
      <c r="F396" s="1188"/>
      <c r="G396" s="1188"/>
      <c r="H396" s="1188"/>
      <c r="I396" s="1191"/>
      <c r="J396" s="1191"/>
      <c r="K396" s="1191"/>
      <c r="L396" s="1191"/>
      <c r="M396" s="1191"/>
      <c r="N396" s="1191"/>
      <c r="O396" s="1191"/>
      <c r="P396" s="1191"/>
      <c r="Q396" s="1191"/>
      <c r="R396" s="1191"/>
      <c r="S396" s="1191"/>
      <c r="T396" s="1191"/>
      <c r="U396" s="1191"/>
      <c r="V396" s="1191"/>
      <c r="W396" s="1191"/>
      <c r="X396" s="1191"/>
      <c r="Y396" s="1191"/>
      <c r="Z396" s="1191"/>
      <c r="AA396" s="1191"/>
      <c r="AB396" s="1191"/>
      <c r="AC396" s="1191"/>
      <c r="AD396" s="1188"/>
      <c r="AE396" s="1188"/>
      <c r="AF396" s="1188"/>
      <c r="AG396" s="1188"/>
      <c r="AH396" s="1188"/>
      <c r="AI396" s="1188"/>
      <c r="AJ396" s="1188"/>
      <c r="AK396" s="1188"/>
      <c r="AL396" s="1188"/>
      <c r="AM396" s="1188"/>
      <c r="AN396" s="1188"/>
      <c r="AO396" s="1188"/>
      <c r="AP396" s="1188"/>
    </row>
    <row r="397" spans="1:42">
      <c r="A397" s="1188"/>
      <c r="B397" s="1188"/>
      <c r="C397" s="1188"/>
      <c r="D397" s="1188"/>
      <c r="E397" s="1188"/>
      <c r="F397" s="1188"/>
      <c r="G397" s="1188"/>
      <c r="H397" s="1188"/>
      <c r="I397" s="1191"/>
      <c r="J397" s="1191"/>
      <c r="K397" s="1191"/>
      <c r="L397" s="1191"/>
      <c r="M397" s="1191"/>
      <c r="N397" s="1191"/>
      <c r="O397" s="1191"/>
      <c r="P397" s="1191"/>
      <c r="Q397" s="1191"/>
      <c r="R397" s="1191"/>
      <c r="S397" s="1191"/>
      <c r="T397" s="1191"/>
      <c r="U397" s="1191"/>
      <c r="V397" s="1191"/>
      <c r="W397" s="1191"/>
      <c r="X397" s="1191"/>
      <c r="Y397" s="1191"/>
      <c r="Z397" s="1191"/>
      <c r="AA397" s="1191"/>
      <c r="AB397" s="1191"/>
      <c r="AC397" s="1191"/>
      <c r="AD397" s="1188"/>
      <c r="AE397" s="1188"/>
      <c r="AF397" s="1188"/>
      <c r="AG397" s="1188"/>
      <c r="AH397" s="1188"/>
      <c r="AI397" s="1188"/>
      <c r="AJ397" s="1188"/>
      <c r="AK397" s="1188"/>
      <c r="AL397" s="1188"/>
      <c r="AM397" s="1188"/>
      <c r="AN397" s="1188"/>
      <c r="AO397" s="1188"/>
      <c r="AP397" s="1188"/>
    </row>
    <row r="398" spans="1:42">
      <c r="A398" s="1188"/>
      <c r="B398" s="1188"/>
      <c r="C398" s="1188"/>
      <c r="D398" s="1188"/>
      <c r="E398" s="1188"/>
      <c r="F398" s="1188"/>
      <c r="G398" s="1188"/>
      <c r="H398" s="1188"/>
      <c r="I398" s="1191"/>
      <c r="J398" s="1191"/>
      <c r="K398" s="1191"/>
      <c r="L398" s="1191"/>
      <c r="M398" s="1191"/>
      <c r="N398" s="1191"/>
      <c r="O398" s="1191"/>
      <c r="P398" s="1191"/>
      <c r="Q398" s="1191"/>
      <c r="R398" s="1191"/>
      <c r="S398" s="1191"/>
      <c r="T398" s="1191"/>
      <c r="U398" s="1191"/>
      <c r="V398" s="1191"/>
      <c r="W398" s="1191"/>
      <c r="X398" s="1191"/>
      <c r="Y398" s="1191"/>
      <c r="Z398" s="1191"/>
      <c r="AA398" s="1191"/>
      <c r="AB398" s="1191"/>
      <c r="AC398" s="1191"/>
      <c r="AD398" s="1188"/>
      <c r="AE398" s="1188"/>
      <c r="AF398" s="1188"/>
      <c r="AG398" s="1188"/>
      <c r="AH398" s="1188"/>
      <c r="AI398" s="1188"/>
      <c r="AJ398" s="1188"/>
      <c r="AK398" s="1188"/>
      <c r="AL398" s="1188"/>
      <c r="AM398" s="1188"/>
      <c r="AN398" s="1188"/>
      <c r="AO398" s="1188"/>
      <c r="AP398" s="1188"/>
    </row>
    <row r="399" spans="1:42">
      <c r="A399" s="1188"/>
      <c r="B399" s="1188"/>
      <c r="C399" s="1188"/>
      <c r="D399" s="1188"/>
      <c r="E399" s="1188"/>
      <c r="F399" s="1188"/>
      <c r="G399" s="1188"/>
      <c r="H399" s="1188"/>
      <c r="I399" s="1191"/>
      <c r="J399" s="1191"/>
      <c r="K399" s="1191"/>
      <c r="L399" s="1191"/>
      <c r="M399" s="1191"/>
      <c r="N399" s="1191"/>
      <c r="O399" s="1191"/>
      <c r="P399" s="1191"/>
      <c r="Q399" s="1191"/>
      <c r="R399" s="1191"/>
      <c r="S399" s="1191"/>
      <c r="T399" s="1191"/>
      <c r="U399" s="1191"/>
      <c r="V399" s="1191"/>
      <c r="W399" s="1191"/>
      <c r="X399" s="1191"/>
      <c r="Y399" s="1191"/>
      <c r="Z399" s="1191"/>
      <c r="AA399" s="1191"/>
      <c r="AB399" s="1191"/>
      <c r="AC399" s="1191"/>
      <c r="AD399" s="1188"/>
      <c r="AE399" s="1188"/>
      <c r="AF399" s="1188"/>
      <c r="AG399" s="1188"/>
      <c r="AH399" s="1188"/>
      <c r="AI399" s="1188"/>
      <c r="AJ399" s="1188"/>
      <c r="AK399" s="1188"/>
      <c r="AL399" s="1188"/>
      <c r="AM399" s="1188"/>
      <c r="AN399" s="1188"/>
      <c r="AO399" s="1188"/>
      <c r="AP399" s="1188"/>
    </row>
    <row r="400" spans="1:42">
      <c r="A400" s="1188"/>
      <c r="B400" s="1188"/>
      <c r="C400" s="1188"/>
      <c r="D400" s="1188"/>
      <c r="E400" s="1188"/>
      <c r="F400" s="1188"/>
      <c r="G400" s="1188"/>
      <c r="H400" s="1188"/>
      <c r="I400" s="1191"/>
      <c r="J400" s="1191"/>
      <c r="K400" s="1191"/>
      <c r="L400" s="1191"/>
      <c r="M400" s="1191"/>
      <c r="N400" s="1191"/>
      <c r="O400" s="1191"/>
      <c r="P400" s="1191"/>
      <c r="Q400" s="1191"/>
      <c r="R400" s="1191"/>
      <c r="S400" s="1191"/>
      <c r="T400" s="1191"/>
      <c r="U400" s="1191"/>
      <c r="V400" s="1191"/>
      <c r="W400" s="1191"/>
      <c r="X400" s="1191"/>
      <c r="Y400" s="1191"/>
      <c r="Z400" s="1191"/>
      <c r="AA400" s="1191"/>
      <c r="AB400" s="1191"/>
      <c r="AC400" s="1191"/>
      <c r="AD400" s="1188"/>
      <c r="AE400" s="1188"/>
      <c r="AF400" s="1188"/>
      <c r="AG400" s="1188"/>
      <c r="AH400" s="1188"/>
      <c r="AI400" s="1188"/>
      <c r="AJ400" s="1188"/>
      <c r="AK400" s="1188"/>
      <c r="AL400" s="1188"/>
      <c r="AM400" s="1188"/>
      <c r="AN400" s="1188"/>
      <c r="AO400" s="1188"/>
      <c r="AP400" s="1188"/>
    </row>
    <row r="401" spans="1:42">
      <c r="A401" s="1188"/>
      <c r="B401" s="1188"/>
      <c r="C401" s="1188"/>
      <c r="D401" s="1188"/>
      <c r="E401" s="1188"/>
      <c r="F401" s="1188"/>
      <c r="G401" s="1188"/>
      <c r="H401" s="1188"/>
      <c r="I401" s="1191"/>
      <c r="J401" s="1191"/>
      <c r="K401" s="1191"/>
      <c r="L401" s="1191"/>
      <c r="M401" s="1191"/>
      <c r="N401" s="1191"/>
      <c r="O401" s="1191"/>
      <c r="P401" s="1191"/>
      <c r="Q401" s="1191"/>
      <c r="R401" s="1191"/>
      <c r="S401" s="1191"/>
      <c r="T401" s="1191"/>
      <c r="U401" s="1191"/>
      <c r="V401" s="1191"/>
      <c r="W401" s="1191"/>
      <c r="X401" s="1191"/>
      <c r="Y401" s="1191"/>
      <c r="Z401" s="1191"/>
      <c r="AA401" s="1191"/>
      <c r="AB401" s="1191"/>
      <c r="AC401" s="1191"/>
      <c r="AD401" s="1188"/>
      <c r="AE401" s="1188"/>
      <c r="AF401" s="1188"/>
      <c r="AG401" s="1188"/>
      <c r="AH401" s="1188"/>
      <c r="AI401" s="1188"/>
      <c r="AJ401" s="1188"/>
      <c r="AK401" s="1188"/>
      <c r="AL401" s="1188"/>
      <c r="AM401" s="1188"/>
      <c r="AN401" s="1188"/>
      <c r="AO401" s="1188"/>
      <c r="AP401" s="1188"/>
    </row>
    <row r="402" spans="1:42">
      <c r="A402" s="1188"/>
      <c r="B402" s="1188"/>
      <c r="C402" s="1188"/>
      <c r="D402" s="1188"/>
      <c r="E402" s="1188"/>
      <c r="F402" s="1188"/>
      <c r="G402" s="1188"/>
      <c r="H402" s="1188"/>
      <c r="I402" s="1191"/>
      <c r="J402" s="1191"/>
      <c r="K402" s="1191"/>
      <c r="L402" s="1191"/>
      <c r="M402" s="1191"/>
      <c r="N402" s="1191"/>
      <c r="O402" s="1191"/>
      <c r="P402" s="1191"/>
      <c r="Q402" s="1191"/>
      <c r="R402" s="1191"/>
      <c r="S402" s="1191"/>
      <c r="T402" s="1191"/>
      <c r="U402" s="1191"/>
      <c r="V402" s="1191"/>
      <c r="W402" s="1191"/>
      <c r="X402" s="1191"/>
      <c r="Y402" s="1191"/>
      <c r="Z402" s="1191"/>
      <c r="AA402" s="1191"/>
      <c r="AB402" s="1191"/>
      <c r="AC402" s="1191"/>
      <c r="AD402" s="1188"/>
      <c r="AE402" s="1188"/>
      <c r="AF402" s="1188"/>
      <c r="AG402" s="1188"/>
      <c r="AH402" s="1188"/>
      <c r="AI402" s="1188"/>
      <c r="AJ402" s="1188"/>
      <c r="AK402" s="1188"/>
      <c r="AL402" s="1188"/>
      <c r="AM402" s="1188"/>
      <c r="AN402" s="1188"/>
      <c r="AO402" s="1188"/>
      <c r="AP402" s="1188"/>
    </row>
    <row r="403" spans="1:42">
      <c r="A403" s="1188"/>
      <c r="B403" s="1188"/>
      <c r="C403" s="1188"/>
      <c r="D403" s="1188"/>
      <c r="E403" s="1188"/>
      <c r="F403" s="1188"/>
      <c r="G403" s="1188"/>
      <c r="H403" s="1188"/>
      <c r="I403" s="1191"/>
      <c r="J403" s="1191"/>
      <c r="K403" s="1191"/>
      <c r="L403" s="1191"/>
      <c r="M403" s="1191"/>
      <c r="N403" s="1191"/>
      <c r="O403" s="1191"/>
      <c r="P403" s="1191"/>
      <c r="Q403" s="1191"/>
      <c r="R403" s="1191"/>
      <c r="S403" s="1191"/>
      <c r="T403" s="1191"/>
      <c r="U403" s="1191"/>
      <c r="V403" s="1191"/>
      <c r="W403" s="1191"/>
      <c r="X403" s="1191"/>
      <c r="Y403" s="1191"/>
      <c r="Z403" s="1191"/>
      <c r="AA403" s="1191"/>
      <c r="AB403" s="1191"/>
      <c r="AC403" s="1191"/>
      <c r="AD403" s="1188"/>
      <c r="AE403" s="1188"/>
      <c r="AF403" s="1188"/>
      <c r="AG403" s="1188"/>
      <c r="AH403" s="1188"/>
      <c r="AI403" s="1188"/>
      <c r="AJ403" s="1188"/>
      <c r="AK403" s="1188"/>
      <c r="AL403" s="1188"/>
      <c r="AM403" s="1188"/>
      <c r="AN403" s="1188"/>
      <c r="AO403" s="1188"/>
      <c r="AP403" s="1188"/>
    </row>
    <row r="404" spans="1:42">
      <c r="A404" s="1188"/>
      <c r="B404" s="1188"/>
      <c r="C404" s="1188"/>
      <c r="D404" s="1188"/>
      <c r="E404" s="1188"/>
      <c r="F404" s="1188"/>
      <c r="G404" s="1188"/>
      <c r="H404" s="1188"/>
      <c r="I404" s="1191"/>
      <c r="J404" s="1191"/>
      <c r="K404" s="1191"/>
      <c r="L404" s="1191"/>
      <c r="M404" s="1191"/>
      <c r="N404" s="1191"/>
      <c r="O404" s="1191"/>
      <c r="P404" s="1191"/>
      <c r="Q404" s="1191"/>
      <c r="R404" s="1191"/>
      <c r="S404" s="1191"/>
      <c r="T404" s="1191"/>
      <c r="U404" s="1191"/>
      <c r="V404" s="1191"/>
      <c r="W404" s="1191"/>
      <c r="X404" s="1191"/>
      <c r="Y404" s="1191"/>
      <c r="Z404" s="1191"/>
      <c r="AA404" s="1191"/>
      <c r="AB404" s="1191"/>
      <c r="AC404" s="1191"/>
      <c r="AD404" s="1188"/>
      <c r="AE404" s="1188"/>
      <c r="AF404" s="1188"/>
      <c r="AG404" s="1188"/>
      <c r="AH404" s="1188"/>
      <c r="AI404" s="1188"/>
      <c r="AJ404" s="1188"/>
      <c r="AK404" s="1188"/>
      <c r="AL404" s="1188"/>
      <c r="AM404" s="1188"/>
      <c r="AN404" s="1188"/>
      <c r="AO404" s="1188"/>
      <c r="AP404" s="1188"/>
    </row>
    <row r="405" spans="1:42">
      <c r="A405" s="1188"/>
      <c r="B405" s="1188"/>
      <c r="C405" s="1188"/>
      <c r="D405" s="1188"/>
      <c r="E405" s="1188"/>
      <c r="F405" s="1188"/>
      <c r="G405" s="1188"/>
      <c r="H405" s="1188"/>
      <c r="I405" s="1191"/>
      <c r="J405" s="1191"/>
      <c r="K405" s="1191"/>
      <c r="L405" s="1191"/>
      <c r="M405" s="1191"/>
      <c r="N405" s="1191"/>
      <c r="O405" s="1191"/>
      <c r="P405" s="1191"/>
      <c r="Q405" s="1191"/>
      <c r="R405" s="1191"/>
      <c r="S405" s="1191"/>
      <c r="T405" s="1191"/>
      <c r="U405" s="1191"/>
      <c r="V405" s="1191"/>
      <c r="W405" s="1191"/>
      <c r="X405" s="1191"/>
      <c r="Y405" s="1191"/>
      <c r="Z405" s="1191"/>
      <c r="AA405" s="1191"/>
      <c r="AB405" s="1191"/>
      <c r="AC405" s="1191"/>
      <c r="AD405" s="1188"/>
      <c r="AE405" s="1188"/>
      <c r="AF405" s="1188"/>
      <c r="AG405" s="1188"/>
      <c r="AH405" s="1188"/>
      <c r="AI405" s="1188"/>
      <c r="AJ405" s="1188"/>
      <c r="AK405" s="1188"/>
      <c r="AL405" s="1188"/>
      <c r="AM405" s="1188"/>
      <c r="AN405" s="1188"/>
      <c r="AO405" s="1188"/>
      <c r="AP405" s="1188"/>
    </row>
    <row r="406" spans="1:42">
      <c r="A406" s="1188"/>
      <c r="B406" s="1188"/>
      <c r="C406" s="1188"/>
      <c r="D406" s="1188"/>
      <c r="E406" s="1188"/>
      <c r="F406" s="1188"/>
      <c r="G406" s="1188"/>
      <c r="H406" s="1188"/>
      <c r="I406" s="1191"/>
      <c r="J406" s="1191"/>
      <c r="K406" s="1191"/>
      <c r="L406" s="1191"/>
      <c r="M406" s="1191"/>
      <c r="N406" s="1191"/>
      <c r="O406" s="1191"/>
      <c r="P406" s="1191"/>
      <c r="Q406" s="1191"/>
      <c r="R406" s="1191"/>
      <c r="S406" s="1191"/>
      <c r="T406" s="1191"/>
      <c r="U406" s="1191"/>
      <c r="V406" s="1191"/>
      <c r="W406" s="1191"/>
      <c r="X406" s="1191"/>
      <c r="Y406" s="1191"/>
      <c r="Z406" s="1191"/>
      <c r="AA406" s="1191"/>
      <c r="AB406" s="1191"/>
      <c r="AC406" s="1191"/>
      <c r="AD406" s="1188"/>
      <c r="AE406" s="1188"/>
      <c r="AF406" s="1188"/>
      <c r="AG406" s="1188"/>
      <c r="AH406" s="1188"/>
      <c r="AI406" s="1188"/>
      <c r="AJ406" s="1188"/>
      <c r="AK406" s="1188"/>
      <c r="AL406" s="1188"/>
      <c r="AM406" s="1188"/>
      <c r="AN406" s="1188"/>
      <c r="AO406" s="1188"/>
      <c r="AP406" s="1188"/>
    </row>
    <row r="407" spans="1:42">
      <c r="A407" s="1188"/>
      <c r="B407" s="1188"/>
      <c r="C407" s="1188"/>
      <c r="D407" s="1188"/>
      <c r="E407" s="1188"/>
      <c r="F407" s="1188"/>
      <c r="G407" s="1188"/>
      <c r="H407" s="1188"/>
      <c r="I407" s="1191"/>
      <c r="J407" s="1191"/>
      <c r="K407" s="1191"/>
      <c r="L407" s="1191"/>
      <c r="M407" s="1191"/>
      <c r="N407" s="1191"/>
      <c r="O407" s="1191"/>
      <c r="P407" s="1191"/>
      <c r="Q407" s="1191"/>
      <c r="R407" s="1191"/>
      <c r="S407" s="1191"/>
      <c r="T407" s="1191"/>
      <c r="U407" s="1191"/>
      <c r="V407" s="1191"/>
      <c r="W407" s="1191"/>
      <c r="X407" s="1191"/>
      <c r="Y407" s="1191"/>
      <c r="Z407" s="1191"/>
      <c r="AA407" s="1191"/>
      <c r="AB407" s="1191"/>
      <c r="AC407" s="1191"/>
      <c r="AD407" s="1188"/>
      <c r="AE407" s="1188"/>
      <c r="AF407" s="1188"/>
      <c r="AG407" s="1188"/>
      <c r="AH407" s="1188"/>
      <c r="AI407" s="1188"/>
      <c r="AJ407" s="1188"/>
      <c r="AK407" s="1188"/>
      <c r="AL407" s="1188"/>
      <c r="AM407" s="1188"/>
      <c r="AN407" s="1188"/>
      <c r="AO407" s="1188"/>
      <c r="AP407" s="1188"/>
    </row>
    <row r="408" spans="1:42">
      <c r="A408" s="1188"/>
      <c r="B408" s="1188"/>
      <c r="C408" s="1188"/>
      <c r="D408" s="1188"/>
      <c r="E408" s="1188"/>
      <c r="F408" s="1188"/>
      <c r="G408" s="1188"/>
      <c r="H408" s="1188"/>
      <c r="I408" s="1191"/>
      <c r="J408" s="1191"/>
      <c r="K408" s="1191"/>
      <c r="L408" s="1191"/>
      <c r="M408" s="1191"/>
      <c r="N408" s="1191"/>
      <c r="O408" s="1191"/>
      <c r="P408" s="1191"/>
      <c r="Q408" s="1191"/>
      <c r="R408" s="1191"/>
      <c r="S408" s="1191"/>
      <c r="T408" s="1191"/>
      <c r="U408" s="1191"/>
      <c r="V408" s="1191"/>
      <c r="W408" s="1191"/>
      <c r="X408" s="1191"/>
      <c r="Y408" s="1191"/>
      <c r="Z408" s="1191"/>
      <c r="AA408" s="1191"/>
      <c r="AB408" s="1191"/>
      <c r="AC408" s="1191"/>
      <c r="AD408" s="1188"/>
      <c r="AE408" s="1188"/>
      <c r="AF408" s="1188"/>
      <c r="AG408" s="1188"/>
      <c r="AH408" s="1188"/>
      <c r="AI408" s="1188"/>
      <c r="AJ408" s="1188"/>
      <c r="AK408" s="1188"/>
      <c r="AL408" s="1188"/>
      <c r="AM408" s="1188"/>
      <c r="AN408" s="1188"/>
      <c r="AO408" s="1188"/>
      <c r="AP408" s="1188"/>
    </row>
    <row r="409" spans="1:42">
      <c r="A409" s="1188"/>
      <c r="B409" s="1188"/>
      <c r="C409" s="1188"/>
      <c r="D409" s="1188"/>
      <c r="E409" s="1188"/>
      <c r="F409" s="1188"/>
      <c r="G409" s="1188"/>
      <c r="H409" s="1188"/>
      <c r="I409" s="1191"/>
      <c r="J409" s="1191"/>
      <c r="K409" s="1191"/>
      <c r="L409" s="1191"/>
      <c r="M409" s="1191"/>
      <c r="N409" s="1191"/>
      <c r="O409" s="1191"/>
      <c r="P409" s="1191"/>
      <c r="Q409" s="1191"/>
      <c r="R409" s="1191"/>
      <c r="S409" s="1191"/>
      <c r="T409" s="1191"/>
      <c r="U409" s="1191"/>
      <c r="V409" s="1191"/>
      <c r="W409" s="1191"/>
      <c r="X409" s="1191"/>
      <c r="Y409" s="1191"/>
      <c r="Z409" s="1191"/>
      <c r="AA409" s="1191"/>
      <c r="AB409" s="1191"/>
      <c r="AC409" s="1191"/>
      <c r="AD409" s="1188"/>
      <c r="AE409" s="1188"/>
      <c r="AF409" s="1188"/>
      <c r="AG409" s="1188"/>
      <c r="AH409" s="1188"/>
      <c r="AI409" s="1188"/>
      <c r="AJ409" s="1188"/>
      <c r="AK409" s="1188"/>
      <c r="AL409" s="1188"/>
      <c r="AM409" s="1188"/>
      <c r="AN409" s="1188"/>
      <c r="AO409" s="1188"/>
      <c r="AP409" s="1188"/>
    </row>
    <row r="410" spans="1:42">
      <c r="A410" s="1188"/>
      <c r="B410" s="1188"/>
      <c r="C410" s="1188"/>
      <c r="D410" s="1188"/>
      <c r="E410" s="1188"/>
      <c r="F410" s="1188"/>
      <c r="G410" s="1188"/>
      <c r="H410" s="1188"/>
      <c r="I410" s="1191"/>
      <c r="J410" s="1191"/>
      <c r="K410" s="1191"/>
      <c r="L410" s="1191"/>
      <c r="M410" s="1191"/>
      <c r="N410" s="1191"/>
      <c r="O410" s="1191"/>
      <c r="P410" s="1191"/>
      <c r="Q410" s="1191"/>
      <c r="R410" s="1191"/>
      <c r="S410" s="1191"/>
      <c r="T410" s="1191"/>
      <c r="U410" s="1191"/>
      <c r="V410" s="1191"/>
      <c r="W410" s="1191"/>
      <c r="X410" s="1191"/>
      <c r="Y410" s="1191"/>
      <c r="Z410" s="1191"/>
      <c r="AA410" s="1191"/>
      <c r="AB410" s="1191"/>
      <c r="AC410" s="1191"/>
      <c r="AD410" s="1188"/>
      <c r="AE410" s="1188"/>
      <c r="AF410" s="1188"/>
      <c r="AG410" s="1188"/>
      <c r="AH410" s="1188"/>
      <c r="AI410" s="1188"/>
      <c r="AJ410" s="1188"/>
      <c r="AK410" s="1188"/>
      <c r="AL410" s="1188"/>
      <c r="AM410" s="1188"/>
      <c r="AN410" s="1188"/>
      <c r="AO410" s="1188"/>
      <c r="AP410" s="1188"/>
    </row>
    <row r="411" spans="1:42">
      <c r="A411" s="1188"/>
      <c r="B411" s="1188"/>
      <c r="C411" s="1188"/>
      <c r="D411" s="1188"/>
      <c r="E411" s="1188"/>
      <c r="F411" s="1188"/>
      <c r="G411" s="1188"/>
      <c r="H411" s="1188"/>
      <c r="I411" s="1191"/>
      <c r="J411" s="1191"/>
      <c r="K411" s="1191"/>
      <c r="L411" s="1191"/>
      <c r="M411" s="1191"/>
      <c r="N411" s="1191"/>
      <c r="O411" s="1191"/>
      <c r="P411" s="1191"/>
      <c r="Q411" s="1191"/>
      <c r="R411" s="1191"/>
      <c r="S411" s="1191"/>
      <c r="T411" s="1191"/>
      <c r="U411" s="1191"/>
      <c r="V411" s="1191"/>
      <c r="W411" s="1191"/>
      <c r="X411" s="1191"/>
      <c r="Y411" s="1191"/>
      <c r="Z411" s="1191"/>
      <c r="AA411" s="1191"/>
      <c r="AB411" s="1191"/>
      <c r="AC411" s="1191"/>
      <c r="AD411" s="1188"/>
      <c r="AE411" s="1188"/>
      <c r="AF411" s="1188"/>
      <c r="AG411" s="1188"/>
      <c r="AH411" s="1188"/>
      <c r="AI411" s="1188"/>
      <c r="AJ411" s="1188"/>
      <c r="AK411" s="1188"/>
      <c r="AL411" s="1188"/>
      <c r="AM411" s="1188"/>
      <c r="AN411" s="1188"/>
      <c r="AO411" s="1188"/>
      <c r="AP411" s="1188"/>
    </row>
    <row r="412" spans="1:42">
      <c r="A412" s="1188"/>
      <c r="B412" s="1188"/>
      <c r="C412" s="1188"/>
      <c r="D412" s="1188"/>
      <c r="E412" s="1188"/>
      <c r="F412" s="1188"/>
      <c r="G412" s="1188"/>
      <c r="H412" s="1188"/>
      <c r="I412" s="1191"/>
      <c r="J412" s="1191"/>
      <c r="K412" s="1191"/>
      <c r="L412" s="1191"/>
      <c r="M412" s="1191"/>
      <c r="N412" s="1191"/>
      <c r="O412" s="1191"/>
      <c r="P412" s="1191"/>
      <c r="Q412" s="1191"/>
      <c r="R412" s="1191"/>
      <c r="S412" s="1191"/>
      <c r="T412" s="1191"/>
      <c r="U412" s="1191"/>
      <c r="V412" s="1191"/>
      <c r="W412" s="1191"/>
      <c r="X412" s="1191"/>
      <c r="Y412" s="1191"/>
      <c r="Z412" s="1191"/>
      <c r="AA412" s="1191"/>
      <c r="AB412" s="1191"/>
      <c r="AC412" s="1191"/>
      <c r="AD412" s="1188"/>
      <c r="AE412" s="1188"/>
      <c r="AF412" s="1188"/>
      <c r="AG412" s="1188"/>
      <c r="AH412" s="1188"/>
      <c r="AI412" s="1188"/>
      <c r="AJ412" s="1188"/>
      <c r="AK412" s="1188"/>
      <c r="AL412" s="1188"/>
      <c r="AM412" s="1188"/>
      <c r="AN412" s="1188"/>
      <c r="AO412" s="1188"/>
      <c r="AP412" s="1188"/>
    </row>
    <row r="413" spans="1:42">
      <c r="A413" s="1188"/>
      <c r="B413" s="1188"/>
      <c r="C413" s="1188"/>
      <c r="D413" s="1188"/>
      <c r="E413" s="1188"/>
      <c r="F413" s="1188"/>
      <c r="G413" s="1188"/>
      <c r="H413" s="1188"/>
      <c r="I413" s="1191"/>
      <c r="J413" s="1191"/>
      <c r="K413" s="1191"/>
      <c r="L413" s="1191"/>
      <c r="M413" s="1191"/>
      <c r="N413" s="1191"/>
      <c r="O413" s="1191"/>
      <c r="P413" s="1191"/>
      <c r="Q413" s="1191"/>
      <c r="R413" s="1191"/>
      <c r="S413" s="1191"/>
      <c r="T413" s="1191"/>
      <c r="U413" s="1191"/>
      <c r="V413" s="1191"/>
      <c r="W413" s="1191"/>
      <c r="X413" s="1191"/>
      <c r="Y413" s="1191"/>
      <c r="Z413" s="1191"/>
      <c r="AA413" s="1191"/>
      <c r="AB413" s="1191"/>
      <c r="AC413" s="1191"/>
      <c r="AD413" s="1188"/>
      <c r="AE413" s="1188"/>
      <c r="AF413" s="1188"/>
      <c r="AG413" s="1188"/>
      <c r="AH413" s="1188"/>
      <c r="AI413" s="1188"/>
      <c r="AJ413" s="1188"/>
      <c r="AK413" s="1188"/>
      <c r="AL413" s="1188"/>
      <c r="AM413" s="1188"/>
      <c r="AN413" s="1188"/>
      <c r="AO413" s="1188"/>
      <c r="AP413" s="1188"/>
    </row>
    <row r="414" spans="1:42">
      <c r="A414" s="1188"/>
      <c r="B414" s="1188"/>
      <c r="C414" s="1188"/>
      <c r="D414" s="1188"/>
      <c r="E414" s="1188"/>
      <c r="F414" s="1188"/>
      <c r="G414" s="1188"/>
      <c r="H414" s="1188"/>
      <c r="I414" s="1191"/>
      <c r="J414" s="1191"/>
      <c r="K414" s="1191"/>
      <c r="L414" s="1191"/>
      <c r="M414" s="1191"/>
      <c r="N414" s="1191"/>
      <c r="O414" s="1191"/>
      <c r="P414" s="1191"/>
      <c r="Q414" s="1191"/>
      <c r="R414" s="1191"/>
      <c r="S414" s="1191"/>
      <c r="T414" s="1191"/>
      <c r="U414" s="1191"/>
      <c r="V414" s="1191"/>
      <c r="W414" s="1191"/>
      <c r="X414" s="1191"/>
      <c r="Y414" s="1191"/>
      <c r="Z414" s="1191"/>
      <c r="AA414" s="1191"/>
      <c r="AB414" s="1191"/>
      <c r="AC414" s="1191"/>
      <c r="AD414" s="1188"/>
      <c r="AE414" s="1188"/>
      <c r="AF414" s="1188"/>
      <c r="AG414" s="1188"/>
      <c r="AH414" s="1188"/>
      <c r="AI414" s="1188"/>
      <c r="AJ414" s="1188"/>
      <c r="AK414" s="1188"/>
      <c r="AL414" s="1188"/>
      <c r="AM414" s="1188"/>
      <c r="AN414" s="1188"/>
      <c r="AO414" s="1188"/>
      <c r="AP414" s="1188"/>
    </row>
    <row r="415" spans="1:42">
      <c r="A415" s="1188"/>
      <c r="B415" s="1188"/>
      <c r="C415" s="1188"/>
      <c r="D415" s="1188"/>
      <c r="E415" s="1188"/>
      <c r="F415" s="1188"/>
      <c r="G415" s="1188"/>
      <c r="H415" s="1188"/>
      <c r="I415" s="1191"/>
      <c r="J415" s="1191"/>
      <c r="K415" s="1191"/>
      <c r="L415" s="1191"/>
      <c r="M415" s="1191"/>
      <c r="N415" s="1191"/>
      <c r="O415" s="1191"/>
      <c r="P415" s="1191"/>
      <c r="Q415" s="1191"/>
      <c r="R415" s="1191"/>
      <c r="S415" s="1191"/>
      <c r="T415" s="1191"/>
      <c r="U415" s="1191"/>
      <c r="V415" s="1191"/>
      <c r="W415" s="1191"/>
      <c r="X415" s="1191"/>
      <c r="Y415" s="1191"/>
      <c r="Z415" s="1191"/>
      <c r="AA415" s="1191"/>
      <c r="AB415" s="1191"/>
      <c r="AC415" s="1191"/>
      <c r="AD415" s="1188"/>
      <c r="AE415" s="1188"/>
      <c r="AF415" s="1188"/>
      <c r="AG415" s="1188"/>
      <c r="AH415" s="1188"/>
      <c r="AI415" s="1188"/>
      <c r="AJ415" s="1188"/>
      <c r="AK415" s="1188"/>
      <c r="AL415" s="1188"/>
      <c r="AM415" s="1188"/>
      <c r="AN415" s="1188"/>
      <c r="AO415" s="1188"/>
      <c r="AP415" s="1188"/>
    </row>
    <row r="416" spans="1:42">
      <c r="A416" s="1188"/>
      <c r="B416" s="1188"/>
      <c r="C416" s="1188"/>
      <c r="D416" s="1188"/>
      <c r="E416" s="1188"/>
      <c r="F416" s="1188"/>
      <c r="G416" s="1188"/>
      <c r="H416" s="1188"/>
      <c r="I416" s="1191"/>
      <c r="J416" s="1191"/>
      <c r="K416" s="1191"/>
      <c r="L416" s="1191"/>
      <c r="M416" s="1191"/>
      <c r="N416" s="1191"/>
      <c r="O416" s="1191"/>
      <c r="P416" s="1191"/>
      <c r="Q416" s="1191"/>
      <c r="R416" s="1191"/>
      <c r="S416" s="1191"/>
      <c r="T416" s="1191"/>
      <c r="U416" s="1191"/>
      <c r="V416" s="1191"/>
      <c r="W416" s="1191"/>
      <c r="X416" s="1191"/>
      <c r="Y416" s="1191"/>
      <c r="Z416" s="1191"/>
      <c r="AA416" s="1191"/>
      <c r="AB416" s="1191"/>
      <c r="AC416" s="1191"/>
      <c r="AD416" s="1188"/>
      <c r="AE416" s="1188"/>
      <c r="AF416" s="1188"/>
      <c r="AG416" s="1188"/>
      <c r="AH416" s="1188"/>
      <c r="AI416" s="1188"/>
      <c r="AJ416" s="1188"/>
      <c r="AK416" s="1188"/>
      <c r="AL416" s="1188"/>
      <c r="AM416" s="1188"/>
      <c r="AN416" s="1188"/>
      <c r="AO416" s="1188"/>
      <c r="AP416" s="1188"/>
    </row>
    <row r="417" spans="1:42">
      <c r="A417" s="1188"/>
      <c r="B417" s="1188"/>
      <c r="C417" s="1188"/>
      <c r="D417" s="1188"/>
      <c r="E417" s="1188"/>
      <c r="F417" s="1188"/>
      <c r="G417" s="1188"/>
      <c r="H417" s="1188"/>
      <c r="I417" s="1191"/>
      <c r="J417" s="1191"/>
      <c r="K417" s="1191"/>
      <c r="L417" s="1191"/>
      <c r="M417" s="1191"/>
      <c r="N417" s="1191"/>
      <c r="O417" s="1191"/>
      <c r="P417" s="1191"/>
      <c r="Q417" s="1191"/>
      <c r="R417" s="1191"/>
      <c r="S417" s="1191"/>
      <c r="T417" s="1191"/>
      <c r="U417" s="1191"/>
      <c r="V417" s="1191"/>
      <c r="W417" s="1191"/>
      <c r="X417" s="1191"/>
      <c r="Y417" s="1191"/>
      <c r="Z417" s="1191"/>
      <c r="AA417" s="1191"/>
      <c r="AB417" s="1191"/>
      <c r="AC417" s="1191"/>
      <c r="AD417" s="1188"/>
      <c r="AE417" s="1188"/>
      <c r="AF417" s="1188"/>
      <c r="AG417" s="1188"/>
      <c r="AH417" s="1188"/>
      <c r="AI417" s="1188"/>
      <c r="AJ417" s="1188"/>
      <c r="AK417" s="1188"/>
      <c r="AL417" s="1188"/>
      <c r="AM417" s="1188"/>
      <c r="AN417" s="1188"/>
      <c r="AO417" s="1188"/>
      <c r="AP417" s="1188"/>
    </row>
    <row r="418" spans="1:42">
      <c r="A418" s="1188"/>
      <c r="B418" s="1188"/>
      <c r="C418" s="1188"/>
      <c r="D418" s="1188"/>
      <c r="E418" s="1188"/>
      <c r="F418" s="1188"/>
      <c r="G418" s="1188"/>
      <c r="H418" s="1188"/>
      <c r="I418" s="1191"/>
      <c r="J418" s="1191"/>
      <c r="K418" s="1191"/>
      <c r="L418" s="1191"/>
      <c r="M418" s="1191"/>
      <c r="N418" s="1191"/>
      <c r="O418" s="1191"/>
      <c r="P418" s="1191"/>
      <c r="Q418" s="1191"/>
      <c r="R418" s="1191"/>
      <c r="S418" s="1191"/>
      <c r="T418" s="1191"/>
      <c r="U418" s="1191"/>
      <c r="V418" s="1191"/>
      <c r="W418" s="1191"/>
      <c r="X418" s="1191"/>
      <c r="Y418" s="1191"/>
      <c r="Z418" s="1191"/>
      <c r="AA418" s="1191"/>
      <c r="AB418" s="1191"/>
      <c r="AC418" s="1191"/>
      <c r="AD418" s="1188"/>
      <c r="AE418" s="1188"/>
      <c r="AF418" s="1188"/>
      <c r="AG418" s="1188"/>
      <c r="AH418" s="1188"/>
      <c r="AI418" s="1188"/>
      <c r="AJ418" s="1188"/>
      <c r="AK418" s="1188"/>
      <c r="AL418" s="1188"/>
      <c r="AM418" s="1188"/>
      <c r="AN418" s="1188"/>
      <c r="AO418" s="1188"/>
      <c r="AP418" s="1188"/>
    </row>
    <row r="419" spans="1:42">
      <c r="A419" s="1188"/>
      <c r="B419" s="1188"/>
      <c r="C419" s="1188"/>
      <c r="D419" s="1188"/>
      <c r="E419" s="1188"/>
      <c r="F419" s="1188"/>
      <c r="G419" s="1188"/>
      <c r="H419" s="1188"/>
      <c r="I419" s="1191"/>
      <c r="J419" s="1191"/>
      <c r="K419" s="1191"/>
      <c r="L419" s="1191"/>
      <c r="M419" s="1191"/>
      <c r="N419" s="1191"/>
      <c r="O419" s="1191"/>
      <c r="P419" s="1191"/>
      <c r="Q419" s="1191"/>
      <c r="R419" s="1191"/>
      <c r="S419" s="1191"/>
      <c r="T419" s="1191"/>
      <c r="U419" s="1191"/>
      <c r="V419" s="1191"/>
      <c r="W419" s="1191"/>
      <c r="X419" s="1191"/>
      <c r="Y419" s="1191"/>
      <c r="Z419" s="1191"/>
      <c r="AA419" s="1191"/>
      <c r="AB419" s="1191"/>
      <c r="AC419" s="1191"/>
      <c r="AD419" s="1188"/>
      <c r="AE419" s="1188"/>
      <c r="AF419" s="1188"/>
      <c r="AG419" s="1188"/>
      <c r="AH419" s="1188"/>
      <c r="AI419" s="1188"/>
      <c r="AJ419" s="1188"/>
      <c r="AK419" s="1188"/>
      <c r="AL419" s="1188"/>
      <c r="AM419" s="1188"/>
      <c r="AN419" s="1188"/>
      <c r="AO419" s="1188"/>
      <c r="AP419" s="1188"/>
    </row>
    <row r="420" spans="1:42">
      <c r="A420" s="1188"/>
      <c r="B420" s="1188"/>
      <c r="C420" s="1188"/>
      <c r="D420" s="1188"/>
      <c r="E420" s="1188"/>
      <c r="F420" s="1188"/>
      <c r="G420" s="1188"/>
      <c r="H420" s="1188"/>
      <c r="I420" s="1191"/>
      <c r="J420" s="1191"/>
      <c r="K420" s="1191"/>
      <c r="L420" s="1191"/>
      <c r="M420" s="1191"/>
      <c r="N420" s="1191"/>
      <c r="O420" s="1191"/>
      <c r="P420" s="1191"/>
      <c r="Q420" s="1191"/>
      <c r="R420" s="1191"/>
      <c r="S420" s="1191"/>
      <c r="T420" s="1191"/>
      <c r="U420" s="1191"/>
      <c r="V420" s="1191"/>
      <c r="W420" s="1191"/>
      <c r="X420" s="1191"/>
      <c r="Y420" s="1191"/>
      <c r="Z420" s="1191"/>
      <c r="AA420" s="1191"/>
      <c r="AB420" s="1191"/>
      <c r="AC420" s="1191"/>
      <c r="AD420" s="1188"/>
      <c r="AE420" s="1188"/>
      <c r="AF420" s="1188"/>
      <c r="AG420" s="1188"/>
      <c r="AH420" s="1188"/>
      <c r="AI420" s="1188"/>
      <c r="AJ420" s="1188"/>
      <c r="AK420" s="1188"/>
      <c r="AL420" s="1188"/>
      <c r="AM420" s="1188"/>
      <c r="AN420" s="1188"/>
      <c r="AO420" s="1188"/>
      <c r="AP420" s="1188"/>
    </row>
    <row r="421" spans="1:42">
      <c r="A421" s="1188"/>
      <c r="B421" s="1188"/>
      <c r="C421" s="1188"/>
      <c r="D421" s="1188"/>
      <c r="E421" s="1188"/>
      <c r="F421" s="1188"/>
      <c r="G421" s="1188"/>
      <c r="H421" s="1188"/>
      <c r="I421" s="1191"/>
      <c r="J421" s="1191"/>
      <c r="K421" s="1191"/>
      <c r="L421" s="1191"/>
      <c r="M421" s="1191"/>
      <c r="N421" s="1191"/>
      <c r="O421" s="1191"/>
      <c r="P421" s="1191"/>
      <c r="Q421" s="1191"/>
      <c r="R421" s="1191"/>
      <c r="S421" s="1191"/>
      <c r="T421" s="1191"/>
      <c r="U421" s="1191"/>
      <c r="V421" s="1191"/>
      <c r="W421" s="1191"/>
      <c r="X421" s="1191"/>
      <c r="Y421" s="1191"/>
      <c r="Z421" s="1191"/>
      <c r="AA421" s="1191"/>
      <c r="AB421" s="1191"/>
      <c r="AC421" s="1191"/>
      <c r="AD421" s="1188"/>
      <c r="AE421" s="1188"/>
      <c r="AF421" s="1188"/>
      <c r="AG421" s="1188"/>
      <c r="AH421" s="1188"/>
      <c r="AI421" s="1188"/>
      <c r="AJ421" s="1188"/>
      <c r="AK421" s="1188"/>
      <c r="AL421" s="1188"/>
      <c r="AM421" s="1188"/>
      <c r="AN421" s="1188"/>
      <c r="AO421" s="1188"/>
      <c r="AP421" s="1188"/>
    </row>
    <row r="422" spans="1:42">
      <c r="A422" s="1188"/>
      <c r="B422" s="1188"/>
      <c r="C422" s="1188"/>
      <c r="D422" s="1188"/>
      <c r="E422" s="1188"/>
      <c r="F422" s="1188"/>
      <c r="G422" s="1188"/>
      <c r="H422" s="1188"/>
      <c r="I422" s="1191"/>
      <c r="J422" s="1191"/>
      <c r="K422" s="1191"/>
      <c r="L422" s="1191"/>
      <c r="M422" s="1191"/>
      <c r="N422" s="1191"/>
      <c r="O422" s="1191"/>
      <c r="P422" s="1191"/>
      <c r="Q422" s="1191"/>
      <c r="R422" s="1191"/>
      <c r="S422" s="1191"/>
      <c r="T422" s="1191"/>
      <c r="U422" s="1191"/>
      <c r="V422" s="1191"/>
      <c r="W422" s="1191"/>
      <c r="X422" s="1191"/>
      <c r="Y422" s="1191"/>
      <c r="Z422" s="1191"/>
      <c r="AA422" s="1191"/>
      <c r="AB422" s="1191"/>
      <c r="AC422" s="1191"/>
      <c r="AD422" s="1188"/>
      <c r="AE422" s="1188"/>
      <c r="AF422" s="1188"/>
      <c r="AG422" s="1188"/>
      <c r="AH422" s="1188"/>
      <c r="AI422" s="1188"/>
      <c r="AJ422" s="1188"/>
      <c r="AK422" s="1188"/>
      <c r="AL422" s="1188"/>
      <c r="AM422" s="1188"/>
      <c r="AN422" s="1188"/>
      <c r="AO422" s="1188"/>
      <c r="AP422" s="1188"/>
    </row>
    <row r="423" spans="1:42">
      <c r="A423" s="1188"/>
      <c r="B423" s="1188"/>
      <c r="C423" s="1188"/>
      <c r="D423" s="1188"/>
      <c r="E423" s="1188"/>
      <c r="F423" s="1188"/>
      <c r="G423" s="1188"/>
      <c r="H423" s="1188"/>
      <c r="I423" s="1191"/>
      <c r="J423" s="1191"/>
      <c r="K423" s="1191"/>
      <c r="L423" s="1191"/>
      <c r="M423" s="1191"/>
      <c r="N423" s="1191"/>
      <c r="O423" s="1191"/>
      <c r="P423" s="1191"/>
      <c r="Q423" s="1191"/>
      <c r="R423" s="1191"/>
      <c r="S423" s="1191"/>
      <c r="T423" s="1191"/>
      <c r="U423" s="1191"/>
      <c r="V423" s="1191"/>
      <c r="W423" s="1191"/>
      <c r="X423" s="1191"/>
      <c r="Y423" s="1191"/>
      <c r="Z423" s="1191"/>
      <c r="AA423" s="1191"/>
      <c r="AB423" s="1191"/>
      <c r="AC423" s="1191"/>
      <c r="AD423" s="1188"/>
      <c r="AE423" s="1188"/>
      <c r="AF423" s="1188"/>
      <c r="AG423" s="1188"/>
      <c r="AH423" s="1188"/>
      <c r="AI423" s="1188"/>
      <c r="AJ423" s="1188"/>
      <c r="AK423" s="1188"/>
      <c r="AL423" s="1188"/>
      <c r="AM423" s="1188"/>
      <c r="AN423" s="1188"/>
      <c r="AO423" s="1188"/>
      <c r="AP423" s="1188"/>
    </row>
    <row r="424" spans="1:42">
      <c r="A424" s="1188"/>
      <c r="B424" s="1188"/>
      <c r="C424" s="1188"/>
      <c r="D424" s="1188"/>
      <c r="E424" s="1188"/>
      <c r="F424" s="1188"/>
      <c r="G424" s="1188"/>
      <c r="H424" s="1188"/>
      <c r="I424" s="1191"/>
      <c r="J424" s="1191"/>
      <c r="K424" s="1191"/>
      <c r="L424" s="1191"/>
      <c r="M424" s="1191"/>
      <c r="N424" s="1191"/>
      <c r="O424" s="1191"/>
      <c r="P424" s="1191"/>
      <c r="Q424" s="1191"/>
      <c r="R424" s="1191"/>
      <c r="S424" s="1191"/>
      <c r="T424" s="1191"/>
      <c r="U424" s="1191"/>
      <c r="V424" s="1191"/>
      <c r="W424" s="1191"/>
      <c r="X424" s="1191"/>
      <c r="Y424" s="1191"/>
      <c r="Z424" s="1191"/>
      <c r="AA424" s="1191"/>
      <c r="AB424" s="1191"/>
      <c r="AC424" s="1191"/>
      <c r="AD424" s="1188"/>
      <c r="AE424" s="1188"/>
      <c r="AF424" s="1188"/>
      <c r="AG424" s="1188"/>
      <c r="AH424" s="1188"/>
      <c r="AI424" s="1188"/>
      <c r="AJ424" s="1188"/>
      <c r="AK424" s="1188"/>
      <c r="AL424" s="1188"/>
      <c r="AM424" s="1188"/>
      <c r="AN424" s="1188"/>
      <c r="AO424" s="1188"/>
      <c r="AP424" s="1188"/>
    </row>
    <row r="425" spans="1:42">
      <c r="A425" s="1188"/>
      <c r="B425" s="1188"/>
      <c r="C425" s="1188"/>
      <c r="D425" s="1188"/>
      <c r="E425" s="1188"/>
      <c r="F425" s="1188"/>
      <c r="G425" s="1188"/>
      <c r="H425" s="1188"/>
      <c r="I425" s="1191"/>
      <c r="J425" s="1191"/>
      <c r="K425" s="1191"/>
      <c r="L425" s="1191"/>
      <c r="M425" s="1191"/>
      <c r="N425" s="1191"/>
      <c r="O425" s="1191"/>
      <c r="P425" s="1191"/>
      <c r="Q425" s="1191"/>
      <c r="R425" s="1191"/>
      <c r="S425" s="1191"/>
      <c r="T425" s="1191"/>
      <c r="U425" s="1191"/>
      <c r="V425" s="1191"/>
      <c r="W425" s="1191"/>
      <c r="X425" s="1191"/>
      <c r="Y425" s="1191"/>
      <c r="Z425" s="1191"/>
      <c r="AA425" s="1191"/>
      <c r="AB425" s="1191"/>
      <c r="AC425" s="1191"/>
      <c r="AD425" s="1188"/>
      <c r="AE425" s="1188"/>
      <c r="AF425" s="1188"/>
      <c r="AG425" s="1188"/>
      <c r="AH425" s="1188"/>
      <c r="AI425" s="1188"/>
      <c r="AJ425" s="1188"/>
      <c r="AK425" s="1188"/>
      <c r="AL425" s="1188"/>
      <c r="AM425" s="1188"/>
      <c r="AN425" s="1188"/>
      <c r="AO425" s="1188"/>
      <c r="AP425" s="1188"/>
    </row>
    <row r="426" spans="1:42">
      <c r="A426" s="1188"/>
      <c r="B426" s="1188"/>
      <c r="C426" s="1188"/>
      <c r="D426" s="1188"/>
      <c r="E426" s="1188"/>
      <c r="F426" s="1188"/>
      <c r="G426" s="1188"/>
      <c r="H426" s="1188"/>
      <c r="I426" s="1191"/>
      <c r="J426" s="1191"/>
      <c r="K426" s="1191"/>
      <c r="L426" s="1191"/>
      <c r="M426" s="1191"/>
      <c r="N426" s="1191"/>
      <c r="O426" s="1191"/>
      <c r="P426" s="1191"/>
      <c r="Q426" s="1191"/>
      <c r="R426" s="1191"/>
      <c r="S426" s="1191"/>
      <c r="T426" s="1191"/>
      <c r="U426" s="1191"/>
      <c r="V426" s="1191"/>
      <c r="W426" s="1191"/>
      <c r="X426" s="1191"/>
      <c r="Y426" s="1191"/>
      <c r="Z426" s="1191"/>
      <c r="AA426" s="1191"/>
      <c r="AB426" s="1191"/>
      <c r="AC426" s="1191"/>
      <c r="AD426" s="1188"/>
      <c r="AE426" s="1188"/>
      <c r="AF426" s="1188"/>
      <c r="AG426" s="1188"/>
      <c r="AH426" s="1188"/>
      <c r="AI426" s="1188"/>
      <c r="AJ426" s="1188"/>
      <c r="AK426" s="1188"/>
      <c r="AL426" s="1188"/>
      <c r="AM426" s="1188"/>
      <c r="AN426" s="1188"/>
      <c r="AO426" s="1188"/>
      <c r="AP426" s="1188"/>
    </row>
    <row r="427" spans="1:42">
      <c r="A427" s="1188"/>
      <c r="B427" s="1188"/>
      <c r="C427" s="1188"/>
      <c r="D427" s="1188"/>
      <c r="E427" s="1188"/>
      <c r="F427" s="1188"/>
      <c r="G427" s="1188"/>
      <c r="H427" s="1188"/>
      <c r="I427" s="1191"/>
      <c r="J427" s="1191"/>
      <c r="K427" s="1191"/>
      <c r="L427" s="1191"/>
      <c r="M427" s="1191"/>
      <c r="N427" s="1191"/>
      <c r="O427" s="1191"/>
      <c r="P427" s="1191"/>
      <c r="Q427" s="1191"/>
      <c r="R427" s="1191"/>
      <c r="S427" s="1191"/>
      <c r="T427" s="1191"/>
      <c r="U427" s="1191"/>
      <c r="V427" s="1191"/>
      <c r="W427" s="1191"/>
      <c r="X427" s="1191"/>
      <c r="Y427" s="1191"/>
      <c r="Z427" s="1191"/>
      <c r="AA427" s="1191"/>
      <c r="AB427" s="1191"/>
      <c r="AC427" s="1191"/>
      <c r="AD427" s="1188"/>
      <c r="AE427" s="1188"/>
      <c r="AF427" s="1188"/>
      <c r="AG427" s="1188"/>
      <c r="AH427" s="1188"/>
      <c r="AI427" s="1188"/>
      <c r="AJ427" s="1188"/>
      <c r="AK427" s="1188"/>
      <c r="AL427" s="1188"/>
      <c r="AM427" s="1188"/>
      <c r="AN427" s="1188"/>
      <c r="AO427" s="1188"/>
      <c r="AP427" s="1188"/>
    </row>
    <row r="428" spans="1:42">
      <c r="A428" s="1188"/>
      <c r="B428" s="1188"/>
      <c r="C428" s="1188"/>
      <c r="D428" s="1188"/>
      <c r="E428" s="1188"/>
      <c r="F428" s="1188"/>
      <c r="G428" s="1188"/>
      <c r="H428" s="1188"/>
      <c r="I428" s="1191"/>
      <c r="J428" s="1191"/>
      <c r="K428" s="1191"/>
      <c r="L428" s="1191"/>
      <c r="M428" s="1191"/>
      <c r="N428" s="1191"/>
      <c r="O428" s="1191"/>
      <c r="P428" s="1191"/>
      <c r="Q428" s="1191"/>
      <c r="R428" s="1191"/>
      <c r="S428" s="1191"/>
      <c r="T428" s="1191"/>
      <c r="U428" s="1191"/>
      <c r="V428" s="1191"/>
      <c r="W428" s="1191"/>
      <c r="X428" s="1191"/>
      <c r="Y428" s="1191"/>
      <c r="Z428" s="1191"/>
      <c r="AA428" s="1191"/>
      <c r="AB428" s="1191"/>
      <c r="AC428" s="1191"/>
      <c r="AD428" s="1188"/>
      <c r="AE428" s="1188"/>
      <c r="AF428" s="1188"/>
      <c r="AG428" s="1188"/>
      <c r="AH428" s="1188"/>
      <c r="AI428" s="1188"/>
      <c r="AJ428" s="1188"/>
      <c r="AK428" s="1188"/>
      <c r="AL428" s="1188"/>
      <c r="AM428" s="1188"/>
      <c r="AN428" s="1188"/>
      <c r="AO428" s="1188"/>
      <c r="AP428" s="1188"/>
    </row>
    <row r="429" spans="1:42">
      <c r="A429" s="1188"/>
      <c r="B429" s="1188"/>
      <c r="C429" s="1188"/>
      <c r="D429" s="1188"/>
      <c r="E429" s="1188"/>
      <c r="F429" s="1188"/>
      <c r="G429" s="1188"/>
      <c r="H429" s="1188"/>
      <c r="I429" s="1191"/>
      <c r="J429" s="1191"/>
      <c r="K429" s="1191"/>
      <c r="L429" s="1191"/>
      <c r="M429" s="1191"/>
      <c r="N429" s="1191"/>
      <c r="O429" s="1191"/>
      <c r="P429" s="1191"/>
      <c r="Q429" s="1191"/>
      <c r="R429" s="1191"/>
      <c r="S429" s="1191"/>
      <c r="T429" s="1191"/>
      <c r="U429" s="1191"/>
      <c r="V429" s="1191"/>
      <c r="W429" s="1191"/>
      <c r="X429" s="1191"/>
      <c r="Y429" s="1191"/>
      <c r="Z429" s="1191"/>
      <c r="AA429" s="1191"/>
      <c r="AB429" s="1191"/>
      <c r="AC429" s="1191"/>
      <c r="AD429" s="1188"/>
      <c r="AE429" s="1188"/>
      <c r="AF429" s="1188"/>
      <c r="AG429" s="1188"/>
      <c r="AH429" s="1188"/>
      <c r="AI429" s="1188"/>
      <c r="AJ429" s="1188"/>
      <c r="AK429" s="1188"/>
      <c r="AL429" s="1188"/>
      <c r="AM429" s="1188"/>
      <c r="AN429" s="1188"/>
      <c r="AO429" s="1188"/>
      <c r="AP429" s="1188"/>
    </row>
    <row r="430" spans="1:42">
      <c r="A430" s="1188"/>
      <c r="B430" s="1188"/>
      <c r="C430" s="1188"/>
      <c r="D430" s="1188"/>
      <c r="E430" s="1188"/>
      <c r="F430" s="1188"/>
      <c r="G430" s="1188"/>
      <c r="H430" s="1188"/>
      <c r="I430" s="1191"/>
      <c r="J430" s="1191"/>
      <c r="K430" s="1191"/>
      <c r="L430" s="1191"/>
      <c r="M430" s="1191"/>
      <c r="N430" s="1191"/>
      <c r="O430" s="1191"/>
      <c r="P430" s="1191"/>
      <c r="Q430" s="1191"/>
      <c r="R430" s="1191"/>
      <c r="S430" s="1191"/>
      <c r="T430" s="1191"/>
      <c r="U430" s="1191"/>
      <c r="V430" s="1191"/>
      <c r="W430" s="1191"/>
      <c r="X430" s="1191"/>
      <c r="Y430" s="1191"/>
      <c r="Z430" s="1191"/>
      <c r="AA430" s="1191"/>
      <c r="AB430" s="1191"/>
      <c r="AC430" s="1191"/>
      <c r="AD430" s="1188"/>
      <c r="AE430" s="1188"/>
      <c r="AF430" s="1188"/>
      <c r="AG430" s="1188"/>
      <c r="AH430" s="1188"/>
      <c r="AI430" s="1188"/>
      <c r="AJ430" s="1188"/>
      <c r="AK430" s="1188"/>
      <c r="AL430" s="1188"/>
      <c r="AM430" s="1188"/>
      <c r="AN430" s="1188"/>
      <c r="AO430" s="1188"/>
      <c r="AP430" s="1188"/>
    </row>
    <row r="431" spans="1:42">
      <c r="A431" s="1188"/>
      <c r="B431" s="1188"/>
      <c r="C431" s="1188"/>
      <c r="D431" s="1188"/>
      <c r="E431" s="1188"/>
      <c r="F431" s="1188"/>
      <c r="G431" s="1188"/>
      <c r="H431" s="1188"/>
      <c r="I431" s="1191"/>
      <c r="J431" s="1191"/>
      <c r="K431" s="1191"/>
      <c r="L431" s="1191"/>
      <c r="M431" s="1191"/>
      <c r="N431" s="1191"/>
      <c r="O431" s="1191"/>
      <c r="P431" s="1191"/>
      <c r="Q431" s="1191"/>
      <c r="R431" s="1191"/>
      <c r="S431" s="1191"/>
      <c r="T431" s="1191"/>
      <c r="U431" s="1191"/>
      <c r="V431" s="1191"/>
      <c r="W431" s="1191"/>
      <c r="X431" s="1191"/>
      <c r="Y431" s="1191"/>
      <c r="Z431" s="1191"/>
      <c r="AA431" s="1191"/>
      <c r="AB431" s="1191"/>
      <c r="AC431" s="1191"/>
      <c r="AD431" s="1188"/>
      <c r="AE431" s="1188"/>
      <c r="AF431" s="1188"/>
      <c r="AG431" s="1188"/>
      <c r="AH431" s="1188"/>
      <c r="AI431" s="1188"/>
      <c r="AJ431" s="1188"/>
      <c r="AK431" s="1188"/>
      <c r="AL431" s="1188"/>
      <c r="AM431" s="1188"/>
      <c r="AN431" s="1188"/>
      <c r="AO431" s="1188"/>
      <c r="AP431" s="1188"/>
    </row>
    <row r="432" spans="1:42">
      <c r="A432" s="1188"/>
      <c r="B432" s="1188"/>
      <c r="C432" s="1188"/>
      <c r="D432" s="1188"/>
      <c r="E432" s="1188"/>
      <c r="F432" s="1188"/>
      <c r="G432" s="1188"/>
      <c r="H432" s="1188"/>
      <c r="I432" s="1191"/>
      <c r="J432" s="1191"/>
      <c r="K432" s="1191"/>
      <c r="L432" s="1191"/>
      <c r="M432" s="1191"/>
      <c r="N432" s="1191"/>
      <c r="O432" s="1191"/>
      <c r="P432" s="1191"/>
      <c r="Q432" s="1191"/>
      <c r="R432" s="1191"/>
      <c r="S432" s="1191"/>
      <c r="T432" s="1191"/>
      <c r="U432" s="1191"/>
      <c r="V432" s="1191"/>
      <c r="W432" s="1191"/>
      <c r="X432" s="1191"/>
      <c r="Y432" s="1191"/>
      <c r="Z432" s="1191"/>
      <c r="AA432" s="1191"/>
      <c r="AB432" s="1191"/>
      <c r="AC432" s="1191"/>
      <c r="AD432" s="1188"/>
      <c r="AE432" s="1188"/>
      <c r="AF432" s="1188"/>
      <c r="AG432" s="1188"/>
      <c r="AH432" s="1188"/>
      <c r="AI432" s="1188"/>
      <c r="AJ432" s="1188"/>
      <c r="AK432" s="1188"/>
      <c r="AL432" s="1188"/>
      <c r="AM432" s="1188"/>
      <c r="AN432" s="1188"/>
      <c r="AO432" s="1188"/>
      <c r="AP432" s="1188"/>
    </row>
    <row r="433" spans="1:42">
      <c r="A433" s="1188"/>
      <c r="B433" s="1188"/>
      <c r="C433" s="1188"/>
      <c r="D433" s="1188"/>
      <c r="E433" s="1188"/>
      <c r="F433" s="1188"/>
      <c r="G433" s="1188"/>
      <c r="H433" s="1188"/>
      <c r="I433" s="1191"/>
      <c r="J433" s="1191"/>
      <c r="K433" s="1191"/>
      <c r="L433" s="1191"/>
      <c r="M433" s="1191"/>
      <c r="N433" s="1191"/>
      <c r="O433" s="1191"/>
      <c r="P433" s="1191"/>
      <c r="Q433" s="1191"/>
      <c r="R433" s="1191"/>
      <c r="S433" s="1191"/>
      <c r="T433" s="1191"/>
      <c r="U433" s="1191"/>
      <c r="V433" s="1191"/>
      <c r="W433" s="1191"/>
      <c r="X433" s="1191"/>
      <c r="Y433" s="1191"/>
      <c r="Z433" s="1191"/>
      <c r="AA433" s="1191"/>
      <c r="AB433" s="1191"/>
      <c r="AC433" s="1191"/>
      <c r="AD433" s="1188"/>
      <c r="AE433" s="1188"/>
      <c r="AF433" s="1188"/>
      <c r="AG433" s="1188"/>
      <c r="AH433" s="1188"/>
      <c r="AI433" s="1188"/>
      <c r="AJ433" s="1188"/>
      <c r="AK433" s="1188"/>
      <c r="AL433" s="1188"/>
      <c r="AM433" s="1188"/>
      <c r="AN433" s="1188"/>
      <c r="AO433" s="1188"/>
      <c r="AP433" s="1188"/>
    </row>
    <row r="434" spans="1:42">
      <c r="A434" s="1188"/>
      <c r="B434" s="1188"/>
      <c r="C434" s="1188"/>
      <c r="D434" s="1188"/>
      <c r="E434" s="1188"/>
      <c r="F434" s="1188"/>
      <c r="G434" s="1188"/>
      <c r="H434" s="1188"/>
      <c r="I434" s="1191"/>
      <c r="J434" s="1191"/>
      <c r="K434" s="1191"/>
      <c r="L434" s="1191"/>
      <c r="M434" s="1191"/>
      <c r="N434" s="1191"/>
      <c r="O434" s="1191"/>
      <c r="P434" s="1191"/>
      <c r="Q434" s="1191"/>
      <c r="R434" s="1191"/>
      <c r="S434" s="1191"/>
      <c r="T434" s="1191"/>
      <c r="U434" s="1191"/>
      <c r="V434" s="1191"/>
      <c r="W434" s="1191"/>
      <c r="X434" s="1191"/>
      <c r="Y434" s="1191"/>
      <c r="Z434" s="1191"/>
      <c r="AA434" s="1191"/>
      <c r="AB434" s="1191"/>
      <c r="AC434" s="1191"/>
      <c r="AD434" s="1188"/>
      <c r="AE434" s="1188"/>
      <c r="AF434" s="1188"/>
      <c r="AG434" s="1188"/>
      <c r="AH434" s="1188"/>
      <c r="AI434" s="1188"/>
      <c r="AJ434" s="1188"/>
      <c r="AK434" s="1188"/>
      <c r="AL434" s="1188"/>
      <c r="AM434" s="1188"/>
      <c r="AN434" s="1188"/>
      <c r="AO434" s="1188"/>
      <c r="AP434" s="1188"/>
    </row>
    <row r="435" spans="1:42">
      <c r="A435" s="1188"/>
      <c r="B435" s="1188"/>
      <c r="C435" s="1188"/>
      <c r="D435" s="1188"/>
      <c r="E435" s="1188"/>
      <c r="F435" s="1188"/>
      <c r="G435" s="1188"/>
      <c r="H435" s="1188"/>
      <c r="I435" s="1191"/>
      <c r="J435" s="1191"/>
      <c r="K435" s="1191"/>
      <c r="L435" s="1191"/>
      <c r="M435" s="1191"/>
      <c r="N435" s="1191"/>
      <c r="O435" s="1191"/>
      <c r="P435" s="1191"/>
      <c r="Q435" s="1191"/>
      <c r="R435" s="1191"/>
      <c r="S435" s="1191"/>
      <c r="T435" s="1191"/>
      <c r="U435" s="1191"/>
      <c r="V435" s="1191"/>
      <c r="W435" s="1191"/>
      <c r="X435" s="1191"/>
      <c r="Y435" s="1191"/>
      <c r="Z435" s="1191"/>
      <c r="AA435" s="1191"/>
      <c r="AB435" s="1191"/>
      <c r="AC435" s="1191"/>
      <c r="AD435" s="1188"/>
      <c r="AE435" s="1188"/>
      <c r="AF435" s="1188"/>
      <c r="AG435" s="1188"/>
      <c r="AH435" s="1188"/>
      <c r="AI435" s="1188"/>
      <c r="AJ435" s="1188"/>
      <c r="AK435" s="1188"/>
      <c r="AL435" s="1188"/>
      <c r="AM435" s="1188"/>
      <c r="AN435" s="1188"/>
      <c r="AO435" s="1188"/>
      <c r="AP435" s="1188"/>
    </row>
    <row r="436" spans="1:42">
      <c r="A436" s="1188"/>
      <c r="B436" s="1188"/>
      <c r="C436" s="1188"/>
      <c r="D436" s="1188"/>
      <c r="E436" s="1188"/>
      <c r="F436" s="1188"/>
      <c r="G436" s="1188"/>
      <c r="H436" s="1188"/>
      <c r="I436" s="1191"/>
      <c r="J436" s="1191"/>
      <c r="K436" s="1191"/>
      <c r="L436" s="1191"/>
      <c r="M436" s="1191"/>
      <c r="N436" s="1191"/>
      <c r="O436" s="1191"/>
      <c r="P436" s="1191"/>
      <c r="Q436" s="1191"/>
      <c r="R436" s="1191"/>
      <c r="S436" s="1191"/>
      <c r="T436" s="1191"/>
      <c r="U436" s="1191"/>
      <c r="V436" s="1191"/>
      <c r="W436" s="1191"/>
      <c r="X436" s="1191"/>
      <c r="Y436" s="1191"/>
      <c r="Z436" s="1191"/>
      <c r="AA436" s="1191"/>
      <c r="AB436" s="1191"/>
      <c r="AC436" s="1191"/>
      <c r="AD436" s="1188"/>
      <c r="AE436" s="1188"/>
      <c r="AF436" s="1188"/>
      <c r="AG436" s="1188"/>
      <c r="AH436" s="1188"/>
      <c r="AI436" s="1188"/>
      <c r="AJ436" s="1188"/>
      <c r="AK436" s="1188"/>
      <c r="AL436" s="1188"/>
      <c r="AM436" s="1188"/>
      <c r="AN436" s="1188"/>
      <c r="AO436" s="1188"/>
      <c r="AP436" s="1188"/>
    </row>
    <row r="437" spans="1:42">
      <c r="A437" s="1188"/>
      <c r="B437" s="1188"/>
      <c r="C437" s="1188"/>
      <c r="D437" s="1188"/>
      <c r="E437" s="1188"/>
      <c r="F437" s="1188"/>
      <c r="G437" s="1188"/>
      <c r="H437" s="1188"/>
      <c r="I437" s="1191"/>
      <c r="J437" s="1191"/>
      <c r="K437" s="1191"/>
      <c r="L437" s="1191"/>
      <c r="M437" s="1191"/>
      <c r="N437" s="1191"/>
      <c r="O437" s="1191"/>
      <c r="P437" s="1191"/>
      <c r="Q437" s="1191"/>
      <c r="R437" s="1191"/>
      <c r="S437" s="1191"/>
      <c r="T437" s="1191"/>
      <c r="U437" s="1191"/>
      <c r="V437" s="1191"/>
      <c r="W437" s="1191"/>
      <c r="X437" s="1191"/>
      <c r="Y437" s="1191"/>
      <c r="Z437" s="1191"/>
      <c r="AA437" s="1191"/>
      <c r="AB437" s="1191"/>
      <c r="AC437" s="1191"/>
      <c r="AD437" s="1188"/>
      <c r="AE437" s="1188"/>
      <c r="AF437" s="1188"/>
      <c r="AG437" s="1188"/>
      <c r="AH437" s="1188"/>
      <c r="AI437" s="1188"/>
      <c r="AJ437" s="1188"/>
      <c r="AK437" s="1188"/>
      <c r="AL437" s="1188"/>
      <c r="AM437" s="1188"/>
      <c r="AN437" s="1188"/>
      <c r="AO437" s="1188"/>
      <c r="AP437" s="1188"/>
    </row>
    <row r="438" spans="1:42">
      <c r="A438" s="1188"/>
      <c r="B438" s="1188"/>
      <c r="C438" s="1188"/>
      <c r="D438" s="1188"/>
      <c r="E438" s="1188"/>
      <c r="F438" s="1188"/>
      <c r="G438" s="1188"/>
      <c r="H438" s="1188"/>
      <c r="I438" s="1191"/>
      <c r="J438" s="1191"/>
      <c r="K438" s="1191"/>
      <c r="L438" s="1191"/>
      <c r="M438" s="1191"/>
      <c r="N438" s="1191"/>
      <c r="O438" s="1191"/>
      <c r="P438" s="1191"/>
      <c r="Q438" s="1191"/>
      <c r="R438" s="1191"/>
      <c r="S438" s="1191"/>
      <c r="T438" s="1191"/>
      <c r="U438" s="1191"/>
      <c r="V438" s="1191"/>
      <c r="W438" s="1191"/>
      <c r="X438" s="1191"/>
      <c r="Y438" s="1191"/>
      <c r="Z438" s="1191"/>
      <c r="AA438" s="1191"/>
      <c r="AB438" s="1191"/>
      <c r="AC438" s="1191"/>
      <c r="AD438" s="1188"/>
      <c r="AE438" s="1188"/>
      <c r="AF438" s="1188"/>
      <c r="AG438" s="1188"/>
      <c r="AH438" s="1188"/>
      <c r="AI438" s="1188"/>
      <c r="AJ438" s="1188"/>
      <c r="AK438" s="1188"/>
      <c r="AL438" s="1188"/>
      <c r="AM438" s="1188"/>
      <c r="AN438" s="1188"/>
      <c r="AO438" s="1188"/>
      <c r="AP438" s="1188"/>
    </row>
    <row r="439" spans="1:42">
      <c r="A439" s="1188"/>
      <c r="B439" s="1188"/>
      <c r="C439" s="1188"/>
      <c r="D439" s="1188"/>
      <c r="E439" s="1188"/>
      <c r="F439" s="1188"/>
      <c r="G439" s="1188"/>
      <c r="H439" s="1188"/>
      <c r="I439" s="1191"/>
      <c r="J439" s="1191"/>
      <c r="K439" s="1191"/>
      <c r="L439" s="1191"/>
      <c r="M439" s="1191"/>
      <c r="N439" s="1191"/>
      <c r="O439" s="1191"/>
      <c r="P439" s="1191"/>
      <c r="Q439" s="1191"/>
      <c r="R439" s="1191"/>
      <c r="S439" s="1191"/>
      <c r="T439" s="1191"/>
      <c r="U439" s="1191"/>
      <c r="V439" s="1191"/>
      <c r="W439" s="1191"/>
      <c r="X439" s="1191"/>
      <c r="Y439" s="1191"/>
      <c r="Z439" s="1191"/>
      <c r="AA439" s="1191"/>
      <c r="AB439" s="1191"/>
      <c r="AC439" s="1191"/>
      <c r="AD439" s="1188"/>
      <c r="AE439" s="1188"/>
      <c r="AF439" s="1188"/>
      <c r="AG439" s="1188"/>
      <c r="AH439" s="1188"/>
      <c r="AI439" s="1188"/>
      <c r="AJ439" s="1188"/>
      <c r="AK439" s="1188"/>
      <c r="AL439" s="1188"/>
      <c r="AM439" s="1188"/>
      <c r="AN439" s="1188"/>
      <c r="AO439" s="1188"/>
      <c r="AP439" s="1188"/>
    </row>
    <row r="440" spans="1:42">
      <c r="A440" s="1188"/>
      <c r="B440" s="1188"/>
      <c r="C440" s="1188"/>
      <c r="D440" s="1188"/>
      <c r="E440" s="1188"/>
      <c r="F440" s="1188"/>
      <c r="G440" s="1188"/>
      <c r="H440" s="1188"/>
      <c r="I440" s="1191"/>
      <c r="J440" s="1191"/>
      <c r="K440" s="1191"/>
      <c r="L440" s="1191"/>
      <c r="M440" s="1191"/>
      <c r="N440" s="1191"/>
      <c r="O440" s="1191"/>
      <c r="P440" s="1191"/>
      <c r="Q440" s="1191"/>
      <c r="R440" s="1191"/>
      <c r="S440" s="1191"/>
      <c r="T440" s="1191"/>
      <c r="U440" s="1191"/>
      <c r="V440" s="1191"/>
      <c r="W440" s="1191"/>
      <c r="X440" s="1191"/>
      <c r="Y440" s="1191"/>
      <c r="Z440" s="1191"/>
      <c r="AA440" s="1191"/>
      <c r="AB440" s="1191"/>
      <c r="AC440" s="1191"/>
      <c r="AD440" s="1188"/>
      <c r="AE440" s="1188"/>
      <c r="AF440" s="1188"/>
      <c r="AG440" s="1188"/>
      <c r="AH440" s="1188"/>
      <c r="AI440" s="1188"/>
      <c r="AJ440" s="1188"/>
      <c r="AK440" s="1188"/>
      <c r="AL440" s="1188"/>
      <c r="AM440" s="1188"/>
      <c r="AN440" s="1188"/>
      <c r="AO440" s="1188"/>
      <c r="AP440" s="1188"/>
    </row>
    <row r="441" spans="1:42">
      <c r="A441" s="1188"/>
      <c r="B441" s="1188"/>
      <c r="C441" s="1188"/>
      <c r="D441" s="1188"/>
      <c r="E441" s="1188"/>
      <c r="F441" s="1188"/>
      <c r="G441" s="1188"/>
      <c r="H441" s="1188"/>
      <c r="I441" s="1191"/>
      <c r="J441" s="1191"/>
      <c r="K441" s="1191"/>
      <c r="L441" s="1191"/>
      <c r="M441" s="1191"/>
      <c r="N441" s="1191"/>
      <c r="O441" s="1191"/>
      <c r="P441" s="1191"/>
      <c r="Q441" s="1191"/>
      <c r="R441" s="1191"/>
      <c r="S441" s="1191"/>
      <c r="T441" s="1191"/>
      <c r="U441" s="1191"/>
      <c r="V441" s="1191"/>
      <c r="W441" s="1191"/>
      <c r="X441" s="1191"/>
      <c r="Y441" s="1191"/>
      <c r="Z441" s="1191"/>
      <c r="AA441" s="1191"/>
      <c r="AB441" s="1191"/>
      <c r="AC441" s="1191"/>
      <c r="AD441" s="1188"/>
      <c r="AE441" s="1188"/>
      <c r="AF441" s="1188"/>
      <c r="AG441" s="1188"/>
      <c r="AH441" s="1188"/>
      <c r="AI441" s="1188"/>
      <c r="AJ441" s="1188"/>
      <c r="AK441" s="1188"/>
      <c r="AL441" s="1188"/>
      <c r="AM441" s="1188"/>
      <c r="AN441" s="1188"/>
      <c r="AO441" s="1188"/>
      <c r="AP441" s="1188"/>
    </row>
    <row r="442" spans="1:42">
      <c r="A442" s="1188"/>
      <c r="B442" s="1188"/>
      <c r="C442" s="1188"/>
      <c r="D442" s="1188"/>
      <c r="E442" s="1188"/>
      <c r="F442" s="1188"/>
      <c r="G442" s="1188"/>
      <c r="H442" s="1188"/>
      <c r="I442" s="1191"/>
      <c r="J442" s="1191"/>
      <c r="K442" s="1191"/>
      <c r="L442" s="1191"/>
      <c r="M442" s="1191"/>
      <c r="N442" s="1191"/>
      <c r="O442" s="1191"/>
      <c r="P442" s="1191"/>
      <c r="Q442" s="1191"/>
      <c r="R442" s="1191"/>
      <c r="S442" s="1191"/>
      <c r="T442" s="1191"/>
      <c r="U442" s="1191"/>
      <c r="V442" s="1191"/>
      <c r="W442" s="1191"/>
      <c r="X442" s="1191"/>
      <c r="Y442" s="1191"/>
      <c r="Z442" s="1191"/>
      <c r="AA442" s="1191"/>
      <c r="AB442" s="1191"/>
      <c r="AC442" s="1191"/>
      <c r="AD442" s="1188"/>
      <c r="AE442" s="1188"/>
      <c r="AF442" s="1188"/>
      <c r="AG442" s="1188"/>
      <c r="AH442" s="1188"/>
      <c r="AI442" s="1188"/>
      <c r="AJ442" s="1188"/>
      <c r="AK442" s="1188"/>
      <c r="AL442" s="1188"/>
      <c r="AM442" s="1188"/>
      <c r="AN442" s="1188"/>
      <c r="AO442" s="1188"/>
      <c r="AP442" s="1188"/>
    </row>
    <row r="443" spans="1:42">
      <c r="A443" s="1188"/>
      <c r="B443" s="1188"/>
      <c r="C443" s="1188"/>
      <c r="D443" s="1188"/>
      <c r="E443" s="1188"/>
      <c r="F443" s="1188"/>
      <c r="G443" s="1188"/>
      <c r="H443" s="1188"/>
      <c r="I443" s="1191"/>
      <c r="J443" s="1191"/>
      <c r="K443" s="1191"/>
      <c r="L443" s="1191"/>
      <c r="M443" s="1191"/>
      <c r="N443" s="1191"/>
      <c r="O443" s="1191"/>
      <c r="P443" s="1191"/>
      <c r="Q443" s="1191"/>
      <c r="R443" s="1191"/>
      <c r="S443" s="1191"/>
      <c r="T443" s="1191"/>
      <c r="U443" s="1191"/>
      <c r="V443" s="1191"/>
      <c r="W443" s="1191"/>
      <c r="X443" s="1191"/>
      <c r="Y443" s="1191"/>
      <c r="Z443" s="1191"/>
      <c r="AA443" s="1191"/>
      <c r="AB443" s="1191"/>
      <c r="AC443" s="1191"/>
      <c r="AD443" s="1188"/>
      <c r="AE443" s="1188"/>
      <c r="AF443" s="1188"/>
      <c r="AG443" s="1188"/>
      <c r="AH443" s="1188"/>
      <c r="AI443" s="1188"/>
      <c r="AJ443" s="1188"/>
      <c r="AK443" s="1188"/>
      <c r="AL443" s="1188"/>
      <c r="AM443" s="1188"/>
      <c r="AN443" s="1188"/>
      <c r="AO443" s="1188"/>
      <c r="AP443" s="1188"/>
    </row>
    <row r="444" spans="1:42">
      <c r="A444" s="1188"/>
      <c r="B444" s="1188"/>
      <c r="C444" s="1188"/>
      <c r="D444" s="1188"/>
      <c r="E444" s="1188"/>
      <c r="F444" s="1188"/>
      <c r="G444" s="1188"/>
      <c r="H444" s="1188"/>
      <c r="I444" s="1191"/>
      <c r="J444" s="1191"/>
      <c r="K444" s="1191"/>
      <c r="L444" s="1191"/>
      <c r="M444" s="1191"/>
      <c r="N444" s="1191"/>
      <c r="O444" s="1191"/>
      <c r="P444" s="1191"/>
      <c r="Q444" s="1191"/>
      <c r="R444" s="1191"/>
      <c r="S444" s="1191"/>
      <c r="T444" s="1191"/>
      <c r="U444" s="1191"/>
      <c r="V444" s="1191"/>
      <c r="W444" s="1191"/>
      <c r="X444" s="1191"/>
      <c r="Y444" s="1191"/>
      <c r="Z444" s="1191"/>
      <c r="AA444" s="1191"/>
      <c r="AB444" s="1191"/>
      <c r="AC444" s="1191"/>
      <c r="AD444" s="1188"/>
      <c r="AE444" s="1188"/>
      <c r="AF444" s="1188"/>
      <c r="AG444" s="1188"/>
      <c r="AH444" s="1188"/>
      <c r="AI444" s="1188"/>
      <c r="AJ444" s="1188"/>
      <c r="AK444" s="1188"/>
      <c r="AL444" s="1188"/>
      <c r="AM444" s="1188"/>
      <c r="AN444" s="1188"/>
      <c r="AO444" s="1188"/>
      <c r="AP444" s="1188"/>
    </row>
    <row r="445" spans="1:42">
      <c r="A445" s="1188"/>
      <c r="B445" s="1188"/>
      <c r="C445" s="1188"/>
      <c r="D445" s="1188"/>
      <c r="E445" s="1188"/>
      <c r="F445" s="1188"/>
      <c r="G445" s="1188"/>
      <c r="H445" s="1188"/>
      <c r="I445" s="1191"/>
      <c r="J445" s="1191"/>
      <c r="K445" s="1191"/>
      <c r="L445" s="1191"/>
      <c r="M445" s="1191"/>
      <c r="N445" s="1191"/>
      <c r="O445" s="1191"/>
      <c r="P445" s="1191"/>
      <c r="Q445" s="1191"/>
      <c r="R445" s="1191"/>
      <c r="S445" s="1191"/>
      <c r="T445" s="1191"/>
      <c r="U445" s="1191"/>
      <c r="V445" s="1191"/>
      <c r="W445" s="1191"/>
      <c r="X445" s="1191"/>
      <c r="Y445" s="1191"/>
      <c r="Z445" s="1191"/>
      <c r="AA445" s="1191"/>
      <c r="AB445" s="1191"/>
      <c r="AC445" s="1191"/>
      <c r="AD445" s="1188"/>
      <c r="AE445" s="1188"/>
      <c r="AF445" s="1188"/>
      <c r="AG445" s="1188"/>
      <c r="AH445" s="1188"/>
      <c r="AI445" s="1188"/>
      <c r="AJ445" s="1188"/>
      <c r="AK445" s="1188"/>
      <c r="AL445" s="1188"/>
      <c r="AM445" s="1188"/>
      <c r="AN445" s="1188"/>
      <c r="AO445" s="1188"/>
      <c r="AP445" s="1188"/>
    </row>
    <row r="446" spans="1:42">
      <c r="A446" s="1188"/>
      <c r="B446" s="1188"/>
      <c r="C446" s="1188"/>
      <c r="D446" s="1188"/>
      <c r="E446" s="1188"/>
      <c r="F446" s="1188"/>
      <c r="G446" s="1188"/>
      <c r="H446" s="1188"/>
      <c r="I446" s="1191"/>
      <c r="J446" s="1191"/>
      <c r="K446" s="1191"/>
      <c r="L446" s="1191"/>
      <c r="M446" s="1191"/>
      <c r="N446" s="1191"/>
      <c r="O446" s="1191"/>
      <c r="P446" s="1191"/>
      <c r="Q446" s="1191"/>
      <c r="R446" s="1191"/>
      <c r="S446" s="1191"/>
      <c r="T446" s="1191"/>
      <c r="U446" s="1191"/>
      <c r="V446" s="1191"/>
      <c r="W446" s="1191"/>
      <c r="X446" s="1191"/>
      <c r="Y446" s="1191"/>
      <c r="Z446" s="1191"/>
      <c r="AA446" s="1191"/>
      <c r="AB446" s="1191"/>
      <c r="AC446" s="1191"/>
      <c r="AD446" s="1188"/>
      <c r="AE446" s="1188"/>
      <c r="AF446" s="1188"/>
      <c r="AG446" s="1188"/>
      <c r="AH446" s="1188"/>
      <c r="AI446" s="1188"/>
      <c r="AJ446" s="1188"/>
      <c r="AK446" s="1188"/>
      <c r="AL446" s="1188"/>
      <c r="AM446" s="1188"/>
      <c r="AN446" s="1188"/>
      <c r="AO446" s="1188"/>
      <c r="AP446" s="1188"/>
    </row>
    <row r="447" spans="1:42">
      <c r="A447" s="1188"/>
      <c r="B447" s="1188"/>
      <c r="C447" s="1188"/>
      <c r="D447" s="1188"/>
      <c r="E447" s="1188"/>
      <c r="F447" s="1188"/>
      <c r="G447" s="1188"/>
      <c r="H447" s="1188"/>
      <c r="I447" s="1191"/>
      <c r="J447" s="1191"/>
      <c r="K447" s="1191"/>
      <c r="L447" s="1191"/>
      <c r="M447" s="1191"/>
      <c r="N447" s="1191"/>
      <c r="O447" s="1191"/>
      <c r="P447" s="1191"/>
      <c r="Q447" s="1191"/>
      <c r="R447" s="1191"/>
      <c r="S447" s="1191"/>
      <c r="T447" s="1191"/>
      <c r="U447" s="1191"/>
      <c r="V447" s="1191"/>
      <c r="W447" s="1191"/>
      <c r="X447" s="1191"/>
      <c r="Y447" s="1191"/>
      <c r="Z447" s="1191"/>
      <c r="AA447" s="1191"/>
      <c r="AB447" s="1191"/>
      <c r="AC447" s="1191"/>
      <c r="AD447" s="1188"/>
      <c r="AE447" s="1188"/>
      <c r="AF447" s="1188"/>
      <c r="AG447" s="1188"/>
      <c r="AH447" s="1188"/>
      <c r="AI447" s="1188"/>
      <c r="AJ447" s="1188"/>
      <c r="AK447" s="1188"/>
      <c r="AL447" s="1188"/>
      <c r="AM447" s="1188"/>
      <c r="AN447" s="1188"/>
      <c r="AO447" s="1188"/>
      <c r="AP447" s="1188"/>
    </row>
    <row r="448" spans="1:42">
      <c r="A448" s="1188"/>
      <c r="B448" s="1188"/>
      <c r="C448" s="1188"/>
      <c r="D448" s="1188"/>
      <c r="E448" s="1188"/>
      <c r="F448" s="1188"/>
      <c r="G448" s="1188"/>
      <c r="H448" s="1188"/>
      <c r="I448" s="1191"/>
      <c r="J448" s="1191"/>
      <c r="K448" s="1191"/>
      <c r="L448" s="1191"/>
      <c r="M448" s="1191"/>
      <c r="N448" s="1191"/>
      <c r="O448" s="1191"/>
      <c r="P448" s="1191"/>
      <c r="Q448" s="1191"/>
      <c r="R448" s="1191"/>
      <c r="S448" s="1191"/>
      <c r="T448" s="1191"/>
      <c r="U448" s="1191"/>
      <c r="V448" s="1191"/>
      <c r="W448" s="1191"/>
      <c r="X448" s="1191"/>
      <c r="Y448" s="1191"/>
      <c r="Z448" s="1191"/>
      <c r="AA448" s="1191"/>
      <c r="AB448" s="1191"/>
      <c r="AC448" s="1191"/>
      <c r="AD448" s="1188"/>
      <c r="AE448" s="1188"/>
      <c r="AF448" s="1188"/>
      <c r="AG448" s="1188"/>
      <c r="AH448" s="1188"/>
      <c r="AI448" s="1188"/>
      <c r="AJ448" s="1188"/>
      <c r="AK448" s="1188"/>
      <c r="AL448" s="1188"/>
      <c r="AM448" s="1188"/>
      <c r="AN448" s="1188"/>
      <c r="AO448" s="1188"/>
      <c r="AP448" s="1188"/>
    </row>
    <row r="449" spans="1:42">
      <c r="A449" s="1188"/>
      <c r="B449" s="1188"/>
      <c r="C449" s="1188"/>
      <c r="D449" s="1188"/>
      <c r="E449" s="1188"/>
      <c r="F449" s="1188"/>
      <c r="G449" s="1188"/>
      <c r="H449" s="1188"/>
      <c r="I449" s="1191"/>
      <c r="J449" s="1191"/>
      <c r="K449" s="1191"/>
      <c r="L449" s="1191"/>
      <c r="M449" s="1191"/>
      <c r="N449" s="1191"/>
      <c r="O449" s="1191"/>
      <c r="P449" s="1191"/>
      <c r="Q449" s="1191"/>
      <c r="R449" s="1191"/>
      <c r="S449" s="1191"/>
      <c r="T449" s="1191"/>
      <c r="U449" s="1191"/>
      <c r="V449" s="1191"/>
      <c r="W449" s="1191"/>
      <c r="X449" s="1191"/>
      <c r="Y449" s="1191"/>
      <c r="Z449" s="1191"/>
      <c r="AA449" s="1191"/>
      <c r="AB449" s="1191"/>
      <c r="AC449" s="1191"/>
      <c r="AD449" s="1188"/>
      <c r="AE449" s="1188"/>
      <c r="AF449" s="1188"/>
      <c r="AG449" s="1188"/>
      <c r="AH449" s="1188"/>
      <c r="AI449" s="1188"/>
      <c r="AJ449" s="1188"/>
      <c r="AK449" s="1188"/>
      <c r="AL449" s="1188"/>
      <c r="AM449" s="1188"/>
      <c r="AN449" s="1188"/>
      <c r="AO449" s="1188"/>
      <c r="AP449" s="1188"/>
    </row>
    <row r="450" spans="1:42">
      <c r="A450" s="1188"/>
      <c r="B450" s="1188"/>
      <c r="C450" s="1188"/>
      <c r="D450" s="1188"/>
      <c r="E450" s="1188"/>
      <c r="F450" s="1188"/>
      <c r="G450" s="1188"/>
      <c r="H450" s="1188"/>
      <c r="I450" s="1191"/>
      <c r="J450" s="1191"/>
      <c r="K450" s="1191"/>
      <c r="L450" s="1191"/>
      <c r="M450" s="1191"/>
      <c r="N450" s="1191"/>
      <c r="O450" s="1191"/>
      <c r="P450" s="1191"/>
      <c r="Q450" s="1191"/>
      <c r="R450" s="1191"/>
      <c r="S450" s="1191"/>
      <c r="T450" s="1191"/>
      <c r="U450" s="1191"/>
      <c r="V450" s="1191"/>
      <c r="W450" s="1191"/>
      <c r="X450" s="1191"/>
      <c r="Y450" s="1191"/>
      <c r="Z450" s="1191"/>
      <c r="AA450" s="1191"/>
      <c r="AB450" s="1191"/>
      <c r="AC450" s="1191"/>
      <c r="AD450" s="1188"/>
      <c r="AE450" s="1188"/>
      <c r="AF450" s="1188"/>
      <c r="AG450" s="1188"/>
      <c r="AH450" s="1188"/>
      <c r="AI450" s="1188"/>
      <c r="AJ450" s="1188"/>
      <c r="AK450" s="1188"/>
      <c r="AL450" s="1188"/>
      <c r="AM450" s="1188"/>
      <c r="AN450" s="1188"/>
      <c r="AO450" s="1188"/>
      <c r="AP450" s="1188"/>
    </row>
    <row r="451" spans="1:42">
      <c r="A451" s="1188"/>
      <c r="B451" s="1188"/>
      <c r="C451" s="1188"/>
      <c r="D451" s="1188"/>
      <c r="E451" s="1188"/>
      <c r="F451" s="1188"/>
      <c r="G451" s="1188"/>
      <c r="H451" s="1188"/>
      <c r="I451" s="1191"/>
      <c r="J451" s="1191"/>
      <c r="K451" s="1191"/>
      <c r="L451" s="1191"/>
      <c r="M451" s="1191"/>
      <c r="N451" s="1191"/>
      <c r="O451" s="1191"/>
      <c r="P451" s="1191"/>
      <c r="Q451" s="1191"/>
      <c r="R451" s="1191"/>
      <c r="S451" s="1191"/>
      <c r="T451" s="1191"/>
      <c r="U451" s="1191"/>
      <c r="V451" s="1191"/>
      <c r="W451" s="1191"/>
      <c r="X451" s="1191"/>
      <c r="Y451" s="1191"/>
      <c r="Z451" s="1191"/>
      <c r="AA451" s="1191"/>
      <c r="AB451" s="1191"/>
      <c r="AC451" s="1191"/>
      <c r="AD451" s="1188"/>
      <c r="AE451" s="1188"/>
      <c r="AF451" s="1188"/>
      <c r="AG451" s="1188"/>
      <c r="AH451" s="1188"/>
      <c r="AI451" s="1188"/>
      <c r="AJ451" s="1188"/>
      <c r="AK451" s="1188"/>
      <c r="AL451" s="1188"/>
      <c r="AM451" s="1188"/>
      <c r="AN451" s="1188"/>
      <c r="AO451" s="1188"/>
      <c r="AP451" s="1188"/>
    </row>
    <row r="452" spans="1:42">
      <c r="A452" s="1188"/>
      <c r="B452" s="1188"/>
      <c r="C452" s="1188"/>
      <c r="D452" s="1188"/>
      <c r="E452" s="1188"/>
      <c r="F452" s="1188"/>
      <c r="G452" s="1188"/>
      <c r="H452" s="1188"/>
      <c r="I452" s="1191"/>
      <c r="J452" s="1191"/>
      <c r="K452" s="1191"/>
      <c r="L452" s="1191"/>
      <c r="M452" s="1191"/>
      <c r="N452" s="1191"/>
      <c r="O452" s="1191"/>
      <c r="P452" s="1191"/>
      <c r="Q452" s="1191"/>
      <c r="R452" s="1191"/>
      <c r="S452" s="1191"/>
      <c r="T452" s="1191"/>
      <c r="U452" s="1191"/>
      <c r="V452" s="1191"/>
      <c r="W452" s="1191"/>
      <c r="X452" s="1191"/>
      <c r="Y452" s="1191"/>
      <c r="Z452" s="1191"/>
      <c r="AA452" s="1191"/>
      <c r="AB452" s="1191"/>
      <c r="AC452" s="1191"/>
      <c r="AD452" s="1188"/>
      <c r="AE452" s="1188"/>
      <c r="AF452" s="1188"/>
      <c r="AG452" s="1188"/>
      <c r="AH452" s="1188"/>
      <c r="AI452" s="1188"/>
      <c r="AJ452" s="1188"/>
      <c r="AK452" s="1188"/>
      <c r="AL452" s="1188"/>
      <c r="AM452" s="1188"/>
      <c r="AN452" s="1188"/>
      <c r="AO452" s="1188"/>
      <c r="AP452" s="1188"/>
    </row>
    <row r="453" spans="1:42">
      <c r="A453" s="1188"/>
      <c r="B453" s="1188"/>
      <c r="C453" s="1188"/>
      <c r="D453" s="1188"/>
      <c r="E453" s="1188"/>
      <c r="F453" s="1188"/>
      <c r="G453" s="1188"/>
      <c r="H453" s="1188"/>
      <c r="I453" s="1191"/>
      <c r="J453" s="1191"/>
      <c r="K453" s="1191"/>
      <c r="L453" s="1191"/>
      <c r="M453" s="1191"/>
      <c r="N453" s="1191"/>
      <c r="O453" s="1191"/>
      <c r="P453" s="1191"/>
      <c r="Q453" s="1191"/>
      <c r="R453" s="1191"/>
      <c r="S453" s="1191"/>
      <c r="T453" s="1191"/>
      <c r="U453" s="1191"/>
      <c r="V453" s="1191"/>
      <c r="W453" s="1191"/>
      <c r="X453" s="1191"/>
      <c r="Y453" s="1191"/>
      <c r="Z453" s="1191"/>
      <c r="AA453" s="1191"/>
      <c r="AB453" s="1191"/>
      <c r="AC453" s="1191"/>
      <c r="AD453" s="1188"/>
      <c r="AE453" s="1188"/>
      <c r="AF453" s="1188"/>
      <c r="AG453" s="1188"/>
      <c r="AH453" s="1188"/>
      <c r="AI453" s="1188"/>
      <c r="AJ453" s="1188"/>
      <c r="AK453" s="1188"/>
      <c r="AL453" s="1188"/>
      <c r="AM453" s="1188"/>
      <c r="AN453" s="1188"/>
      <c r="AO453" s="1188"/>
      <c r="AP453" s="1188"/>
    </row>
    <row r="454" spans="1:42">
      <c r="A454" s="1188"/>
      <c r="B454" s="1188"/>
      <c r="C454" s="1188"/>
      <c r="D454" s="1188"/>
      <c r="E454" s="1188"/>
      <c r="F454" s="1188"/>
      <c r="G454" s="1188"/>
      <c r="H454" s="1188"/>
      <c r="I454" s="1191"/>
      <c r="J454" s="1191"/>
      <c r="K454" s="1191"/>
      <c r="L454" s="1191"/>
      <c r="M454" s="1191"/>
      <c r="N454" s="1191"/>
      <c r="O454" s="1191"/>
      <c r="P454" s="1191"/>
      <c r="Q454" s="1191"/>
      <c r="R454" s="1191"/>
      <c r="S454" s="1191"/>
      <c r="T454" s="1191"/>
      <c r="U454" s="1191"/>
      <c r="V454" s="1191"/>
      <c r="W454" s="1191"/>
      <c r="X454" s="1191"/>
      <c r="Y454" s="1191"/>
      <c r="Z454" s="1191"/>
      <c r="AA454" s="1191"/>
      <c r="AB454" s="1191"/>
      <c r="AC454" s="1191"/>
      <c r="AD454" s="1188"/>
      <c r="AE454" s="1188"/>
      <c r="AF454" s="1188"/>
      <c r="AG454" s="1188"/>
      <c r="AH454" s="1188"/>
      <c r="AI454" s="1188"/>
      <c r="AJ454" s="1188"/>
      <c r="AK454" s="1188"/>
      <c r="AL454" s="1188"/>
      <c r="AM454" s="1188"/>
      <c r="AN454" s="1188"/>
      <c r="AO454" s="1188"/>
      <c r="AP454" s="1188"/>
    </row>
    <row r="455" spans="1:42">
      <c r="A455" s="1188"/>
      <c r="B455" s="1188"/>
      <c r="C455" s="1188"/>
      <c r="D455" s="1188"/>
      <c r="E455" s="1188"/>
      <c r="F455" s="1188"/>
      <c r="G455" s="1188"/>
      <c r="H455" s="1188"/>
      <c r="I455" s="1191"/>
      <c r="J455" s="1191"/>
      <c r="K455" s="1191"/>
      <c r="L455" s="1191"/>
      <c r="M455" s="1191"/>
      <c r="N455" s="1191"/>
      <c r="O455" s="1191"/>
      <c r="P455" s="1191"/>
      <c r="Q455" s="1191"/>
      <c r="R455" s="1191"/>
      <c r="S455" s="1191"/>
      <c r="T455" s="1191"/>
      <c r="U455" s="1191"/>
      <c r="V455" s="1191"/>
      <c r="W455" s="1191"/>
      <c r="X455" s="1191"/>
      <c r="Y455" s="1191"/>
      <c r="Z455" s="1191"/>
      <c r="AA455" s="1191"/>
      <c r="AB455" s="1191"/>
      <c r="AC455" s="1191"/>
      <c r="AD455" s="1188"/>
      <c r="AE455" s="1188"/>
      <c r="AF455" s="1188"/>
      <c r="AG455" s="1188"/>
      <c r="AH455" s="1188"/>
      <c r="AI455" s="1188"/>
      <c r="AJ455" s="1188"/>
      <c r="AK455" s="1188"/>
      <c r="AL455" s="1188"/>
      <c r="AM455" s="1188"/>
      <c r="AN455" s="1188"/>
      <c r="AO455" s="1188"/>
      <c r="AP455" s="1188"/>
    </row>
    <row r="456" spans="1:42">
      <c r="A456" s="1188"/>
      <c r="B456" s="1188"/>
      <c r="C456" s="1188"/>
      <c r="D456" s="1188"/>
      <c r="E456" s="1188"/>
      <c r="F456" s="1188"/>
      <c r="G456" s="1188"/>
      <c r="H456" s="1188"/>
      <c r="I456" s="1191"/>
      <c r="J456" s="1191"/>
      <c r="K456" s="1191"/>
      <c r="L456" s="1191"/>
      <c r="M456" s="1191"/>
      <c r="N456" s="1191"/>
      <c r="O456" s="1191"/>
      <c r="P456" s="1191"/>
      <c r="Q456" s="1191"/>
      <c r="R456" s="1191"/>
      <c r="S456" s="1191"/>
      <c r="T456" s="1191"/>
      <c r="U456" s="1191"/>
      <c r="V456" s="1191"/>
      <c r="W456" s="1191"/>
      <c r="X456" s="1191"/>
      <c r="Y456" s="1191"/>
      <c r="Z456" s="1191"/>
      <c r="AA456" s="1191"/>
      <c r="AB456" s="1191"/>
      <c r="AC456" s="1191"/>
      <c r="AD456" s="1188"/>
      <c r="AE456" s="1188"/>
      <c r="AF456" s="1188"/>
      <c r="AG456" s="1188"/>
      <c r="AH456" s="1188"/>
      <c r="AI456" s="1188"/>
      <c r="AJ456" s="1188"/>
      <c r="AK456" s="1188"/>
      <c r="AL456" s="1188"/>
      <c r="AM456" s="1188"/>
      <c r="AN456" s="1188"/>
      <c r="AO456" s="1188"/>
      <c r="AP456" s="1188"/>
    </row>
    <row r="457" spans="1:42">
      <c r="A457" s="1188"/>
      <c r="B457" s="1188"/>
      <c r="C457" s="1188"/>
      <c r="D457" s="1188"/>
      <c r="E457" s="1188"/>
      <c r="F457" s="1188"/>
      <c r="G457" s="1188"/>
      <c r="H457" s="1188"/>
      <c r="I457" s="1191"/>
      <c r="J457" s="1191"/>
      <c r="K457" s="1191"/>
      <c r="L457" s="1191"/>
      <c r="M457" s="1191"/>
      <c r="N457" s="1191"/>
      <c r="O457" s="1191"/>
      <c r="P457" s="1191"/>
      <c r="Q457" s="1191"/>
      <c r="R457" s="1191"/>
      <c r="S457" s="1191"/>
      <c r="T457" s="1191"/>
      <c r="U457" s="1191"/>
      <c r="V457" s="1191"/>
      <c r="W457" s="1191"/>
      <c r="X457" s="1191"/>
      <c r="Y457" s="1191"/>
      <c r="Z457" s="1191"/>
      <c r="AA457" s="1191"/>
      <c r="AB457" s="1191"/>
      <c r="AC457" s="1191"/>
      <c r="AD457" s="1188"/>
      <c r="AE457" s="1188"/>
      <c r="AF457" s="1188"/>
      <c r="AG457" s="1188"/>
      <c r="AH457" s="1188"/>
      <c r="AI457" s="1188"/>
      <c r="AJ457" s="1188"/>
      <c r="AK457" s="1188"/>
      <c r="AL457" s="1188"/>
      <c r="AM457" s="1188"/>
      <c r="AN457" s="1188"/>
      <c r="AO457" s="1188"/>
      <c r="AP457" s="1188"/>
    </row>
    <row r="458" spans="1:42">
      <c r="A458" s="1188"/>
      <c r="B458" s="1188"/>
      <c r="C458" s="1188"/>
      <c r="D458" s="1188"/>
      <c r="E458" s="1188"/>
      <c r="F458" s="1188"/>
      <c r="G458" s="1188"/>
      <c r="H458" s="1188"/>
      <c r="I458" s="1191"/>
      <c r="J458" s="1191"/>
      <c r="K458" s="1191"/>
      <c r="L458" s="1191"/>
      <c r="M458" s="1191"/>
      <c r="N458" s="1191"/>
      <c r="O458" s="1191"/>
      <c r="P458" s="1191"/>
      <c r="Q458" s="1191"/>
      <c r="R458" s="1191"/>
      <c r="S458" s="1191"/>
      <c r="T458" s="1191"/>
      <c r="U458" s="1191"/>
      <c r="V458" s="1191"/>
      <c r="W458" s="1191"/>
      <c r="X458" s="1191"/>
      <c r="Y458" s="1191"/>
      <c r="Z458" s="1191"/>
      <c r="AA458" s="1191"/>
      <c r="AB458" s="1191"/>
      <c r="AC458" s="1191"/>
      <c r="AD458" s="1188"/>
      <c r="AE458" s="1188"/>
      <c r="AF458" s="1188"/>
      <c r="AG458" s="1188"/>
      <c r="AH458" s="1188"/>
      <c r="AI458" s="1188"/>
      <c r="AJ458" s="1188"/>
      <c r="AK458" s="1188"/>
      <c r="AL458" s="1188"/>
      <c r="AM458" s="1188"/>
      <c r="AN458" s="1188"/>
      <c r="AO458" s="1188"/>
      <c r="AP458" s="1188"/>
    </row>
    <row r="459" spans="1:42">
      <c r="A459" s="1188"/>
      <c r="B459" s="1188"/>
      <c r="C459" s="1188"/>
      <c r="D459" s="1188"/>
      <c r="E459" s="1188"/>
      <c r="F459" s="1188"/>
      <c r="G459" s="1188"/>
      <c r="H459" s="1188"/>
      <c r="I459" s="1191"/>
      <c r="J459" s="1191"/>
      <c r="K459" s="1191"/>
      <c r="L459" s="1191"/>
      <c r="M459" s="1191"/>
      <c r="N459" s="1191"/>
      <c r="O459" s="1191"/>
      <c r="P459" s="1191"/>
      <c r="Q459" s="1191"/>
      <c r="R459" s="1191"/>
      <c r="S459" s="1191"/>
      <c r="T459" s="1191"/>
      <c r="U459" s="1191"/>
      <c r="V459" s="1191"/>
      <c r="W459" s="1191"/>
      <c r="X459" s="1191"/>
      <c r="Y459" s="1191"/>
      <c r="Z459" s="1191"/>
      <c r="AA459" s="1191"/>
      <c r="AB459" s="1191"/>
      <c r="AC459" s="1191"/>
      <c r="AD459" s="1188"/>
      <c r="AE459" s="1188"/>
      <c r="AF459" s="1188"/>
      <c r="AG459" s="1188"/>
      <c r="AH459" s="1188"/>
      <c r="AI459" s="1188"/>
      <c r="AJ459" s="1188"/>
      <c r="AK459" s="1188"/>
      <c r="AL459" s="1188"/>
      <c r="AM459" s="1188"/>
      <c r="AN459" s="1188"/>
      <c r="AO459" s="1188"/>
      <c r="AP459" s="1188"/>
    </row>
    <row r="460" spans="1:42">
      <c r="A460" s="1188"/>
      <c r="B460" s="1188"/>
      <c r="C460" s="1188"/>
      <c r="D460" s="1188"/>
      <c r="E460" s="1188"/>
      <c r="F460" s="1188"/>
      <c r="G460" s="1188"/>
      <c r="H460" s="1188"/>
      <c r="I460" s="1191"/>
      <c r="J460" s="1191"/>
      <c r="K460" s="1191"/>
      <c r="L460" s="1191"/>
      <c r="M460" s="1191"/>
      <c r="N460" s="1191"/>
      <c r="O460" s="1191"/>
      <c r="P460" s="1191"/>
      <c r="Q460" s="1191"/>
      <c r="R460" s="1191"/>
      <c r="S460" s="1191"/>
      <c r="T460" s="1191"/>
      <c r="U460" s="1191"/>
      <c r="V460" s="1191"/>
      <c r="W460" s="1191"/>
      <c r="X460" s="1191"/>
      <c r="Y460" s="1191"/>
      <c r="Z460" s="1191"/>
      <c r="AA460" s="1191"/>
      <c r="AB460" s="1191"/>
      <c r="AC460" s="1191"/>
      <c r="AD460" s="1188"/>
      <c r="AE460" s="1188"/>
      <c r="AF460" s="1188"/>
      <c r="AG460" s="1188"/>
      <c r="AH460" s="1188"/>
      <c r="AI460" s="1188"/>
      <c r="AJ460" s="1188"/>
      <c r="AK460" s="1188"/>
      <c r="AL460" s="1188"/>
      <c r="AM460" s="1188"/>
      <c r="AN460" s="1188"/>
      <c r="AO460" s="1188"/>
      <c r="AP460" s="1188"/>
    </row>
    <row r="461" spans="1:42">
      <c r="A461" s="1188"/>
      <c r="B461" s="1188"/>
      <c r="C461" s="1188"/>
      <c r="D461" s="1188"/>
      <c r="E461" s="1188"/>
      <c r="F461" s="1188"/>
      <c r="G461" s="1188"/>
      <c r="H461" s="1188"/>
      <c r="I461" s="1191"/>
      <c r="J461" s="1191"/>
      <c r="K461" s="1191"/>
      <c r="L461" s="1191"/>
      <c r="M461" s="1191"/>
      <c r="N461" s="1191"/>
      <c r="O461" s="1191"/>
      <c r="P461" s="1191"/>
      <c r="Q461" s="1191"/>
      <c r="R461" s="1191"/>
      <c r="S461" s="1191"/>
      <c r="T461" s="1191"/>
      <c r="U461" s="1191"/>
      <c r="V461" s="1191"/>
      <c r="W461" s="1191"/>
      <c r="X461" s="1191"/>
      <c r="Y461" s="1191"/>
      <c r="Z461" s="1191"/>
      <c r="AA461" s="1191"/>
      <c r="AB461" s="1191"/>
      <c r="AC461" s="1191"/>
      <c r="AD461" s="1188"/>
      <c r="AE461" s="1188"/>
      <c r="AF461" s="1188"/>
      <c r="AG461" s="1188"/>
      <c r="AH461" s="1188"/>
      <c r="AI461" s="1188"/>
      <c r="AJ461" s="1188"/>
      <c r="AK461" s="1188"/>
      <c r="AL461" s="1188"/>
      <c r="AM461" s="1188"/>
      <c r="AN461" s="1188"/>
      <c r="AO461" s="1188"/>
      <c r="AP461" s="1188"/>
    </row>
    <row r="462" spans="1:42">
      <c r="A462" s="1188"/>
      <c r="B462" s="1188"/>
      <c r="C462" s="1188"/>
      <c r="D462" s="1188"/>
      <c r="E462" s="1188"/>
      <c r="F462" s="1188"/>
      <c r="G462" s="1188"/>
      <c r="H462" s="1188"/>
      <c r="I462" s="1191"/>
      <c r="J462" s="1191"/>
      <c r="K462" s="1191"/>
      <c r="L462" s="1191"/>
      <c r="M462" s="1191"/>
      <c r="N462" s="1191"/>
      <c r="O462" s="1191"/>
      <c r="P462" s="1191"/>
      <c r="Q462" s="1191"/>
      <c r="R462" s="1191"/>
      <c r="S462" s="1191"/>
      <c r="T462" s="1191"/>
      <c r="U462" s="1191"/>
      <c r="V462" s="1191"/>
      <c r="W462" s="1191"/>
      <c r="X462" s="1191"/>
      <c r="Y462" s="1191"/>
      <c r="Z462" s="1191"/>
      <c r="AA462" s="1191"/>
      <c r="AB462" s="1191"/>
      <c r="AC462" s="1191"/>
      <c r="AD462" s="1188"/>
      <c r="AE462" s="1188"/>
      <c r="AF462" s="1188"/>
      <c r="AG462" s="1188"/>
      <c r="AH462" s="1188"/>
      <c r="AI462" s="1188"/>
      <c r="AJ462" s="1188"/>
      <c r="AK462" s="1188"/>
      <c r="AL462" s="1188"/>
      <c r="AM462" s="1188"/>
      <c r="AN462" s="1188"/>
      <c r="AO462" s="1188"/>
      <c r="AP462" s="1188"/>
    </row>
    <row r="463" spans="1:42">
      <c r="A463" s="1188"/>
      <c r="B463" s="1188"/>
      <c r="C463" s="1188"/>
      <c r="D463" s="1188"/>
      <c r="E463" s="1188"/>
      <c r="F463" s="1188"/>
      <c r="G463" s="1188"/>
      <c r="H463" s="1188"/>
      <c r="I463" s="1191"/>
      <c r="J463" s="1191"/>
      <c r="K463" s="1191"/>
      <c r="L463" s="1191"/>
      <c r="M463" s="1191"/>
      <c r="N463" s="1191"/>
      <c r="O463" s="1191"/>
      <c r="P463" s="1191"/>
      <c r="Q463" s="1191"/>
      <c r="R463" s="1191"/>
      <c r="S463" s="1191"/>
      <c r="T463" s="1191"/>
      <c r="U463" s="1191"/>
      <c r="V463" s="1191"/>
      <c r="W463" s="1191"/>
      <c r="X463" s="1191"/>
      <c r="Y463" s="1191"/>
      <c r="Z463" s="1191"/>
      <c r="AA463" s="1191"/>
      <c r="AB463" s="1191"/>
      <c r="AC463" s="1191"/>
      <c r="AD463" s="1188"/>
      <c r="AE463" s="1188"/>
      <c r="AF463" s="1188"/>
      <c r="AG463" s="1188"/>
      <c r="AH463" s="1188"/>
      <c r="AI463" s="1188"/>
      <c r="AJ463" s="1188"/>
      <c r="AK463" s="1188"/>
      <c r="AL463" s="1188"/>
      <c r="AM463" s="1188"/>
      <c r="AN463" s="1188"/>
      <c r="AO463" s="1188"/>
      <c r="AP463" s="1188"/>
    </row>
    <row r="464" spans="1:42">
      <c r="A464" s="1188"/>
      <c r="B464" s="1188"/>
      <c r="C464" s="1188"/>
      <c r="D464" s="1188"/>
      <c r="E464" s="1188"/>
      <c r="F464" s="1188"/>
      <c r="G464" s="1188"/>
      <c r="H464" s="1188"/>
      <c r="I464" s="1191"/>
      <c r="J464" s="1191"/>
      <c r="K464" s="1191"/>
      <c r="L464" s="1191"/>
      <c r="M464" s="1191"/>
      <c r="N464" s="1191"/>
      <c r="O464" s="1191"/>
      <c r="P464" s="1191"/>
      <c r="Q464" s="1191"/>
      <c r="R464" s="1191"/>
      <c r="S464" s="1191"/>
      <c r="T464" s="1191"/>
      <c r="U464" s="1191"/>
      <c r="V464" s="1191"/>
      <c r="W464" s="1191"/>
      <c r="X464" s="1191"/>
      <c r="Y464" s="1191"/>
      <c r="Z464" s="1191"/>
      <c r="AA464" s="1191"/>
      <c r="AB464" s="1191"/>
      <c r="AC464" s="1191"/>
      <c r="AD464" s="1188"/>
      <c r="AE464" s="1188"/>
      <c r="AF464" s="1188"/>
      <c r="AG464" s="1188"/>
      <c r="AH464" s="1188"/>
      <c r="AI464" s="1188"/>
      <c r="AJ464" s="1188"/>
      <c r="AK464" s="1188"/>
      <c r="AL464" s="1188"/>
      <c r="AM464" s="1188"/>
      <c r="AN464" s="1188"/>
      <c r="AO464" s="1188"/>
      <c r="AP464" s="1188"/>
    </row>
    <row r="465" spans="1:42">
      <c r="A465" s="1188"/>
      <c r="B465" s="1188"/>
      <c r="C465" s="1188"/>
      <c r="D465" s="1188"/>
      <c r="E465" s="1188"/>
      <c r="F465" s="1188"/>
      <c r="G465" s="1188"/>
      <c r="H465" s="1188"/>
      <c r="I465" s="1191"/>
      <c r="J465" s="1191"/>
      <c r="K465" s="1191"/>
      <c r="L465" s="1191"/>
      <c r="M465" s="1191"/>
      <c r="N465" s="1191"/>
      <c r="O465" s="1191"/>
      <c r="P465" s="1191"/>
      <c r="Q465" s="1191"/>
      <c r="R465" s="1191"/>
      <c r="S465" s="1191"/>
      <c r="T465" s="1191"/>
      <c r="U465" s="1191"/>
      <c r="V465" s="1191"/>
      <c r="W465" s="1191"/>
      <c r="X465" s="1191"/>
      <c r="Y465" s="1191"/>
      <c r="Z465" s="1191"/>
      <c r="AA465" s="1191"/>
      <c r="AB465" s="1191"/>
      <c r="AC465" s="1191"/>
      <c r="AD465" s="1188"/>
      <c r="AE465" s="1188"/>
      <c r="AF465" s="1188"/>
      <c r="AG465" s="1188"/>
      <c r="AH465" s="1188"/>
      <c r="AI465" s="1188"/>
      <c r="AJ465" s="1188"/>
      <c r="AK465" s="1188"/>
      <c r="AL465" s="1188"/>
      <c r="AM465" s="1188"/>
      <c r="AN465" s="1188"/>
      <c r="AO465" s="1188"/>
      <c r="AP465" s="1188"/>
    </row>
    <row r="466" spans="1:42">
      <c r="A466" s="1188"/>
      <c r="B466" s="1188"/>
      <c r="C466" s="1188"/>
      <c r="D466" s="1188"/>
      <c r="E466" s="1188"/>
      <c r="F466" s="1188"/>
      <c r="G466" s="1188"/>
      <c r="H466" s="1188"/>
      <c r="I466" s="1191"/>
      <c r="J466" s="1191"/>
      <c r="K466" s="1191"/>
      <c r="L466" s="1191"/>
      <c r="M466" s="1191"/>
      <c r="N466" s="1191"/>
      <c r="O466" s="1191"/>
      <c r="P466" s="1191"/>
      <c r="Q466" s="1191"/>
      <c r="R466" s="1191"/>
      <c r="S466" s="1191"/>
      <c r="T466" s="1191"/>
      <c r="U466" s="1191"/>
      <c r="V466" s="1191"/>
      <c r="W466" s="1191"/>
      <c r="X466" s="1191"/>
      <c r="Y466" s="1191"/>
      <c r="Z466" s="1191"/>
      <c r="AA466" s="1191"/>
      <c r="AB466" s="1191"/>
      <c r="AC466" s="1191"/>
      <c r="AD466" s="1188"/>
      <c r="AE466" s="1188"/>
      <c r="AF466" s="1188"/>
      <c r="AG466" s="1188"/>
      <c r="AH466" s="1188"/>
      <c r="AI466" s="1188"/>
      <c r="AJ466" s="1188"/>
      <c r="AK466" s="1188"/>
      <c r="AL466" s="1188"/>
      <c r="AM466" s="1188"/>
      <c r="AN466" s="1188"/>
      <c r="AO466" s="1188"/>
      <c r="AP466" s="1188"/>
    </row>
    <row r="467" spans="1:42">
      <c r="A467" s="1188"/>
      <c r="B467" s="1188"/>
      <c r="C467" s="1188"/>
      <c r="D467" s="1188"/>
      <c r="E467" s="1188"/>
      <c r="F467" s="1188"/>
      <c r="G467" s="1188"/>
      <c r="H467" s="1188"/>
      <c r="I467" s="1191"/>
      <c r="J467" s="1191"/>
      <c r="K467" s="1191"/>
      <c r="L467" s="1191"/>
      <c r="M467" s="1191"/>
      <c r="N467" s="1191"/>
      <c r="O467" s="1191"/>
      <c r="P467" s="1191"/>
      <c r="Q467" s="1191"/>
      <c r="R467" s="1191"/>
      <c r="S467" s="1191"/>
      <c r="T467" s="1191"/>
      <c r="U467" s="1191"/>
      <c r="V467" s="1191"/>
      <c r="W467" s="1191"/>
      <c r="X467" s="1191"/>
      <c r="Y467" s="1191"/>
      <c r="Z467" s="1191"/>
      <c r="AA467" s="1191"/>
      <c r="AB467" s="1191"/>
      <c r="AC467" s="1191"/>
      <c r="AD467" s="1188"/>
      <c r="AE467" s="1188"/>
      <c r="AF467" s="1188"/>
      <c r="AG467" s="1188"/>
      <c r="AH467" s="1188"/>
      <c r="AI467" s="1188"/>
      <c r="AJ467" s="1188"/>
      <c r="AK467" s="1188"/>
      <c r="AL467" s="1188"/>
      <c r="AM467" s="1188"/>
      <c r="AN467" s="1188"/>
      <c r="AO467" s="1188"/>
      <c r="AP467" s="1188"/>
    </row>
    <row r="468" spans="1:42">
      <c r="A468" s="1188"/>
      <c r="B468" s="1188"/>
      <c r="C468" s="1188"/>
      <c r="D468" s="1188"/>
      <c r="E468" s="1188"/>
      <c r="F468" s="1188"/>
      <c r="G468" s="1188"/>
      <c r="H468" s="1188"/>
      <c r="I468" s="1191"/>
      <c r="J468" s="1191"/>
      <c r="K468" s="1191"/>
      <c r="L468" s="1191"/>
      <c r="M468" s="1191"/>
      <c r="N468" s="1191"/>
      <c r="O468" s="1191"/>
      <c r="P468" s="1191"/>
      <c r="Q468" s="1191"/>
      <c r="R468" s="1191"/>
      <c r="S468" s="1191"/>
      <c r="T468" s="1191"/>
      <c r="U468" s="1191"/>
      <c r="V468" s="1191"/>
      <c r="W468" s="1191"/>
      <c r="X468" s="1191"/>
      <c r="Y468" s="1191"/>
      <c r="Z468" s="1191"/>
      <c r="AA468" s="1191"/>
      <c r="AB468" s="1191"/>
      <c r="AC468" s="1191"/>
      <c r="AD468" s="1188"/>
      <c r="AE468" s="1188"/>
      <c r="AF468" s="1188"/>
      <c r="AG468" s="1188"/>
      <c r="AH468" s="1188"/>
      <c r="AI468" s="1188"/>
      <c r="AJ468" s="1188"/>
      <c r="AK468" s="1188"/>
      <c r="AL468" s="1188"/>
      <c r="AM468" s="1188"/>
      <c r="AN468" s="1188"/>
      <c r="AO468" s="1188"/>
      <c r="AP468" s="1188"/>
    </row>
    <row r="469" spans="1:42">
      <c r="A469" s="1188"/>
      <c r="B469" s="1188"/>
      <c r="C469" s="1188"/>
      <c r="D469" s="1188"/>
      <c r="E469" s="1188"/>
      <c r="F469" s="1188"/>
      <c r="G469" s="1188"/>
      <c r="H469" s="1188"/>
      <c r="I469" s="1191"/>
      <c r="J469" s="1191"/>
      <c r="K469" s="1191"/>
      <c r="L469" s="1191"/>
      <c r="M469" s="1191"/>
      <c r="N469" s="1191"/>
      <c r="O469" s="1191"/>
      <c r="P469" s="1191"/>
      <c r="Q469" s="1191"/>
      <c r="R469" s="1191"/>
      <c r="S469" s="1191"/>
      <c r="T469" s="1191"/>
      <c r="U469" s="1191"/>
      <c r="V469" s="1191"/>
      <c r="W469" s="1191"/>
      <c r="X469" s="1191"/>
      <c r="Y469" s="1191"/>
      <c r="Z469" s="1191"/>
      <c r="AA469" s="1191"/>
      <c r="AB469" s="1191"/>
      <c r="AC469" s="1191"/>
      <c r="AD469" s="1188"/>
      <c r="AE469" s="1188"/>
      <c r="AF469" s="1188"/>
      <c r="AG469" s="1188"/>
      <c r="AH469" s="1188"/>
      <c r="AI469" s="1188"/>
      <c r="AJ469" s="1188"/>
      <c r="AK469" s="1188"/>
      <c r="AL469" s="1188"/>
      <c r="AM469" s="1188"/>
      <c r="AN469" s="1188"/>
      <c r="AO469" s="1188"/>
      <c r="AP469" s="1188"/>
    </row>
  </sheetData>
  <mergeCells count="27">
    <mergeCell ref="A1:AP1"/>
    <mergeCell ref="A2:AP2"/>
    <mergeCell ref="A3:AP3"/>
    <mergeCell ref="A4:M4"/>
    <mergeCell ref="A5:M5"/>
    <mergeCell ref="A7:AP7"/>
    <mergeCell ref="A8:AP8"/>
    <mergeCell ref="F10:AJ10"/>
    <mergeCell ref="A90:D90"/>
    <mergeCell ref="Z91:AP91"/>
    <mergeCell ref="AL10:AL11"/>
    <mergeCell ref="AM10:AM11"/>
    <mergeCell ref="AN10:AN11"/>
    <mergeCell ref="AO10:AO11"/>
    <mergeCell ref="AP10:AP11"/>
    <mergeCell ref="A10:B11"/>
    <mergeCell ref="T106:Z106"/>
    <mergeCell ref="C10:C11"/>
    <mergeCell ref="D10:D11"/>
    <mergeCell ref="E10:E11"/>
    <mergeCell ref="AK10:AK11"/>
    <mergeCell ref="A92:C92"/>
    <mergeCell ref="AG92:AL92"/>
    <mergeCell ref="AD96:AP96"/>
    <mergeCell ref="A97:D97"/>
    <mergeCell ref="E97:J97"/>
    <mergeCell ref="AJ97:AP97"/>
  </mergeCells>
  <pageMargins left="0" right="0" top="0.39370078740157499" bottom="0.39370078740157499" header="0" footer="0"/>
  <pageSetup paperSize="9" scale="80" orientation="landscape" r:id="rId1"/>
  <headerFooter>
    <oddFooter>&amp;RPage &amp;P/5</oddFooter>
  </headerFooter>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39988402966399123"/>
  </sheetPr>
  <dimension ref="A1:AM408"/>
  <sheetViews>
    <sheetView topLeftCell="A2" zoomScale="110" zoomScaleNormal="110" zoomScaleSheetLayoutView="140" workbookViewId="0">
      <selection activeCell="D13" sqref="D13:AG14"/>
    </sheetView>
  </sheetViews>
  <sheetFormatPr defaultColWidth="9" defaultRowHeight="15" outlineLevelRow="1"/>
  <cols>
    <col min="1" max="1" width="3.42578125" style="335" customWidth="1"/>
    <col min="2" max="2" width="10.42578125" style="335" customWidth="1"/>
    <col min="3" max="3" width="13.42578125" style="335" customWidth="1"/>
    <col min="4" max="14" width="3.42578125" style="158" customWidth="1"/>
    <col min="15" max="15" width="4" style="158" customWidth="1"/>
    <col min="16" max="29" width="3.42578125" style="158" customWidth="1"/>
    <col min="30" max="30" width="3.7109375" style="158" customWidth="1"/>
    <col min="31" max="34" width="3.42578125" style="158" customWidth="1"/>
    <col min="35" max="35" width="7.28515625" style="157" customWidth="1"/>
    <col min="36" max="36" width="6.5703125" style="157" customWidth="1"/>
    <col min="37" max="37" width="7.7109375" style="157" customWidth="1"/>
    <col min="38" max="38" width="9.140625" style="158" customWidth="1"/>
    <col min="39" max="16384" width="9" style="158"/>
  </cols>
  <sheetData>
    <row r="1" spans="1:39" ht="18.75">
      <c r="A1" s="2299" t="s">
        <v>1927</v>
      </c>
      <c r="B1" s="2299"/>
      <c r="C1" s="2299"/>
      <c r="D1" s="2299"/>
      <c r="E1" s="2299"/>
      <c r="F1" s="2299"/>
      <c r="G1" s="2299"/>
      <c r="H1" s="2299"/>
      <c r="I1" s="2299"/>
      <c r="J1" s="2299"/>
      <c r="K1" s="2299"/>
      <c r="L1" s="1196"/>
      <c r="M1" s="1197"/>
      <c r="N1" s="1197"/>
      <c r="O1" s="1197"/>
      <c r="P1" s="1198"/>
      <c r="Q1" s="1197"/>
      <c r="R1" s="2300" t="s">
        <v>1928</v>
      </c>
      <c r="S1" s="2300"/>
      <c r="T1" s="2300"/>
      <c r="U1" s="2300"/>
      <c r="V1" s="2300"/>
      <c r="W1" s="2300"/>
      <c r="X1" s="2300"/>
      <c r="Y1" s="2300"/>
      <c r="Z1" s="2300"/>
      <c r="AA1" s="2300"/>
      <c r="AB1" s="2300"/>
      <c r="AC1" s="2300"/>
      <c r="AD1" s="2300"/>
      <c r="AE1" s="2300"/>
      <c r="AF1" s="2300"/>
      <c r="AG1" s="2300"/>
      <c r="AH1" s="2300"/>
      <c r="AI1" s="2300"/>
      <c r="AJ1" s="2300"/>
      <c r="AK1" s="2300"/>
    </row>
    <row r="2" spans="1:39" ht="18.75">
      <c r="A2" s="2299" t="s">
        <v>1929</v>
      </c>
      <c r="B2" s="2299"/>
      <c r="C2" s="2299"/>
      <c r="D2" s="2299"/>
      <c r="E2" s="2299"/>
      <c r="F2" s="2299"/>
      <c r="G2" s="2299"/>
      <c r="H2" s="2299"/>
      <c r="I2" s="2299"/>
      <c r="J2" s="2299"/>
      <c r="K2" s="2299"/>
      <c r="L2" s="1196"/>
      <c r="M2" s="1197"/>
      <c r="N2" s="1197"/>
      <c r="O2" s="1197"/>
      <c r="P2" s="1198"/>
      <c r="Q2" s="1197"/>
      <c r="R2" s="2300" t="s">
        <v>1</v>
      </c>
      <c r="S2" s="2300"/>
      <c r="T2" s="2300"/>
      <c r="U2" s="2300"/>
      <c r="V2" s="2300"/>
      <c r="W2" s="2300"/>
      <c r="X2" s="2300"/>
      <c r="Y2" s="2300"/>
      <c r="Z2" s="2300"/>
      <c r="AA2" s="2300"/>
      <c r="AB2" s="2300"/>
      <c r="AC2" s="2300"/>
      <c r="AD2" s="2300"/>
      <c r="AE2" s="2300"/>
      <c r="AF2" s="2300"/>
      <c r="AG2" s="2300"/>
      <c r="AH2" s="2300"/>
      <c r="AI2" s="2300"/>
      <c r="AJ2" s="2300"/>
      <c r="AK2" s="2300"/>
    </row>
    <row r="3" spans="1:39" ht="16.149999999999999" customHeight="1">
      <c r="A3" s="2301"/>
      <c r="B3" s="2301"/>
      <c r="C3" s="2301"/>
      <c r="D3" s="2301"/>
      <c r="E3" s="2301"/>
      <c r="F3" s="2301"/>
      <c r="G3" s="2301"/>
      <c r="H3" s="2301"/>
      <c r="I3" s="2301"/>
      <c r="J3" s="2301"/>
      <c r="K3" s="2301"/>
      <c r="L3" s="1196"/>
      <c r="M3" s="1197"/>
      <c r="N3" s="1197"/>
      <c r="O3" s="1197"/>
      <c r="P3" s="1198"/>
      <c r="Q3" s="1197"/>
      <c r="R3" s="2302" t="s">
        <v>619</v>
      </c>
      <c r="S3" s="2300"/>
      <c r="T3" s="2300"/>
      <c r="U3" s="2300"/>
      <c r="V3" s="2300"/>
      <c r="W3" s="2300"/>
      <c r="X3" s="2300"/>
      <c r="Y3" s="2300"/>
      <c r="Z3" s="2300"/>
      <c r="AA3" s="2300"/>
      <c r="AB3" s="2300"/>
      <c r="AC3" s="2300"/>
      <c r="AD3" s="2300"/>
      <c r="AE3" s="2300"/>
      <c r="AF3" s="2300"/>
      <c r="AG3" s="2300"/>
      <c r="AH3" s="2300"/>
      <c r="AI3" s="2300"/>
      <c r="AJ3" s="2300"/>
      <c r="AK3" s="2300"/>
    </row>
    <row r="4" spans="1:39" ht="27.75" customHeight="1">
      <c r="A4" s="2319" t="s">
        <v>2558</v>
      </c>
      <c r="B4" s="2319"/>
      <c r="C4" s="2319"/>
      <c r="D4" s="2319"/>
      <c r="E4" s="2319"/>
      <c r="F4" s="2319"/>
      <c r="G4" s="2319"/>
      <c r="H4" s="2319"/>
      <c r="I4" s="2319"/>
      <c r="J4" s="2319"/>
      <c r="K4" s="2319"/>
      <c r="L4" s="2319"/>
      <c r="M4" s="2319"/>
      <c r="N4" s="2319"/>
      <c r="O4" s="2319"/>
      <c r="P4" s="2319"/>
      <c r="Q4" s="2319"/>
      <c r="R4" s="2319"/>
      <c r="S4" s="2319"/>
      <c r="T4" s="2319"/>
      <c r="U4" s="2319"/>
      <c r="V4" s="2319"/>
      <c r="W4" s="2319"/>
      <c r="X4" s="2319"/>
      <c r="Y4" s="2319"/>
      <c r="Z4" s="2319"/>
      <c r="AA4" s="2319"/>
      <c r="AB4" s="2319"/>
      <c r="AC4" s="2319"/>
      <c r="AD4" s="2319"/>
      <c r="AE4" s="2319"/>
      <c r="AF4" s="2319"/>
      <c r="AG4" s="2319"/>
      <c r="AH4" s="2319"/>
      <c r="AI4" s="2319"/>
      <c r="AJ4" s="1192"/>
      <c r="AK4" s="1192"/>
    </row>
    <row r="5" spans="1:39" ht="18.75" customHeight="1">
      <c r="A5" s="2296" t="s">
        <v>1951</v>
      </c>
      <c r="B5" s="2296"/>
      <c r="C5" s="2296"/>
      <c r="D5" s="2296"/>
      <c r="E5" s="2296"/>
      <c r="F5" s="2296"/>
      <c r="G5" s="2296"/>
      <c r="H5" s="2296"/>
      <c r="I5" s="2296"/>
      <c r="J5" s="2296"/>
      <c r="K5" s="2296"/>
      <c r="L5" s="2296"/>
      <c r="M5" s="2296"/>
      <c r="N5" s="2296"/>
      <c r="O5" s="2296"/>
      <c r="P5" s="2296"/>
      <c r="Q5" s="2296"/>
      <c r="R5" s="2296"/>
      <c r="S5" s="2296"/>
      <c r="T5" s="2296"/>
      <c r="U5" s="2296"/>
      <c r="V5" s="2296"/>
      <c r="W5" s="2296"/>
      <c r="X5" s="2296"/>
      <c r="Y5" s="2296"/>
      <c r="Z5" s="2296"/>
      <c r="AA5" s="2296"/>
      <c r="AB5" s="2296"/>
      <c r="AC5" s="2296"/>
      <c r="AD5" s="2296"/>
      <c r="AE5" s="2296"/>
      <c r="AF5" s="2296"/>
      <c r="AG5" s="2296"/>
      <c r="AH5" s="2296"/>
      <c r="AI5" s="2296"/>
      <c r="AJ5" s="1192"/>
      <c r="AK5" s="1192"/>
    </row>
    <row r="6" spans="1:39" s="156" customFormat="1" ht="15.75" customHeight="1">
      <c r="A6" s="2291" t="s">
        <v>623</v>
      </c>
      <c r="B6" s="2291" t="s">
        <v>1932</v>
      </c>
      <c r="C6" s="2291" t="s">
        <v>356</v>
      </c>
      <c r="D6" s="2291" t="s">
        <v>529</v>
      </c>
      <c r="E6" s="2291"/>
      <c r="F6" s="2291"/>
      <c r="G6" s="2291"/>
      <c r="H6" s="2291"/>
      <c r="I6" s="2291"/>
      <c r="J6" s="2291"/>
      <c r="K6" s="2291"/>
      <c r="L6" s="2291"/>
      <c r="M6" s="2291"/>
      <c r="N6" s="2291"/>
      <c r="O6" s="2291"/>
      <c r="P6" s="2291"/>
      <c r="Q6" s="2291"/>
      <c r="R6" s="2291"/>
      <c r="S6" s="2291"/>
      <c r="T6" s="2291"/>
      <c r="U6" s="2291"/>
      <c r="V6" s="2291"/>
      <c r="W6" s="2291"/>
      <c r="X6" s="2291"/>
      <c r="Y6" s="2291"/>
      <c r="Z6" s="2291"/>
      <c r="AA6" s="2291"/>
      <c r="AB6" s="2291"/>
      <c r="AC6" s="2291"/>
      <c r="AD6" s="2291"/>
      <c r="AE6" s="2291"/>
      <c r="AF6" s="2291"/>
      <c r="AG6" s="2291"/>
      <c r="AH6" s="2291"/>
      <c r="AI6" s="2627" t="s">
        <v>2559</v>
      </c>
      <c r="AJ6" s="2626" t="s">
        <v>525</v>
      </c>
      <c r="AK6" s="2626" t="s">
        <v>1934</v>
      </c>
    </row>
    <row r="7" spans="1:39" s="156" customFormat="1" ht="22.15" customHeight="1">
      <c r="A7" s="2291"/>
      <c r="B7" s="2291"/>
      <c r="C7" s="2291"/>
      <c r="D7" s="2291">
        <v>1</v>
      </c>
      <c r="E7" s="2291">
        <v>2</v>
      </c>
      <c r="F7" s="2291">
        <v>3</v>
      </c>
      <c r="G7" s="2291">
        <v>4</v>
      </c>
      <c r="H7" s="2291">
        <v>5</v>
      </c>
      <c r="I7" s="2291">
        <v>6</v>
      </c>
      <c r="J7" s="2291">
        <v>7</v>
      </c>
      <c r="K7" s="2291">
        <v>8</v>
      </c>
      <c r="L7" s="2291">
        <v>9</v>
      </c>
      <c r="M7" s="2291">
        <v>10</v>
      </c>
      <c r="N7" s="2291">
        <v>11</v>
      </c>
      <c r="O7" s="2291">
        <v>12</v>
      </c>
      <c r="P7" s="2291">
        <v>13</v>
      </c>
      <c r="Q7" s="2291">
        <v>14</v>
      </c>
      <c r="R7" s="2291">
        <v>15</v>
      </c>
      <c r="S7" s="2291">
        <v>16</v>
      </c>
      <c r="T7" s="2291">
        <v>17</v>
      </c>
      <c r="U7" s="2291">
        <v>18</v>
      </c>
      <c r="V7" s="2291">
        <v>19</v>
      </c>
      <c r="W7" s="2291">
        <v>20</v>
      </c>
      <c r="X7" s="2291">
        <v>21</v>
      </c>
      <c r="Y7" s="2291">
        <v>22</v>
      </c>
      <c r="Z7" s="2291">
        <v>23</v>
      </c>
      <c r="AA7" s="2291">
        <v>24</v>
      </c>
      <c r="AB7" s="2291">
        <v>25</v>
      </c>
      <c r="AC7" s="2291">
        <v>26</v>
      </c>
      <c r="AD7" s="2291">
        <v>27</v>
      </c>
      <c r="AE7" s="2291">
        <v>28</v>
      </c>
      <c r="AF7" s="2291">
        <v>29</v>
      </c>
      <c r="AG7" s="2291">
        <v>30</v>
      </c>
      <c r="AH7" s="2291">
        <v>31</v>
      </c>
      <c r="AI7" s="2627"/>
      <c r="AJ7" s="2626"/>
      <c r="AK7" s="2626"/>
    </row>
    <row r="8" spans="1:39" s="156" customFormat="1" ht="10.15" customHeight="1">
      <c r="A8" s="2291"/>
      <c r="B8" s="2291"/>
      <c r="C8" s="1182" t="s">
        <v>1935</v>
      </c>
      <c r="D8" s="2291"/>
      <c r="E8" s="2291"/>
      <c r="F8" s="2291"/>
      <c r="G8" s="2291"/>
      <c r="H8" s="2291"/>
      <c r="I8" s="2291"/>
      <c r="J8" s="2291"/>
      <c r="K8" s="2291"/>
      <c r="L8" s="2291"/>
      <c r="M8" s="2291"/>
      <c r="N8" s="2291"/>
      <c r="O8" s="2291"/>
      <c r="P8" s="2291"/>
      <c r="Q8" s="2291"/>
      <c r="R8" s="2291"/>
      <c r="S8" s="2291"/>
      <c r="T8" s="2291"/>
      <c r="U8" s="2291"/>
      <c r="V8" s="2291"/>
      <c r="W8" s="2291"/>
      <c r="X8" s="2291"/>
      <c r="Y8" s="2291"/>
      <c r="Z8" s="2291"/>
      <c r="AA8" s="2291"/>
      <c r="AB8" s="2291"/>
      <c r="AC8" s="2291"/>
      <c r="AD8" s="2291"/>
      <c r="AE8" s="2291"/>
      <c r="AF8" s="2291"/>
      <c r="AG8" s="2291"/>
      <c r="AH8" s="2291"/>
      <c r="AI8" s="2627"/>
      <c r="AJ8" s="2626"/>
      <c r="AK8" s="2626"/>
    </row>
    <row r="9" spans="1:39" s="156" customFormat="1" ht="16.149999999999999" customHeight="1" outlineLevel="1">
      <c r="A9" s="1183" t="s">
        <v>285</v>
      </c>
      <c r="B9" s="1183"/>
      <c r="C9" s="1183"/>
      <c r="D9" s="1184">
        <f>COUNTIF(D10:D28,"X")+COUNTIF(D10:D28,"CN")+COUNTIF(D10:D28,"ĐB")+COUNTIF(D10:D28,"CĐ")</f>
        <v>0</v>
      </c>
      <c r="E9" s="1184">
        <f>COUNTIF(E10:E28,"X")+COUNTIF(E10:E28,"CN")+COUNTIF(E10:E28,"ĐB")+COUNTIF(E10:E28,"CĐ")</f>
        <v>0</v>
      </c>
      <c r="F9" s="1184">
        <f>COUNTIF(F10:F28,"X")+COUNTIF(F10:F28,"CN")+COUNTIF(F10:F28,"ĐB")+COUNTIF(F10:F28,"CĐ")</f>
        <v>0</v>
      </c>
      <c r="G9" s="1184">
        <f>COUNTIF(G10:G28,"X")+COUNTIF(G10:G28,"CN")+COUNTIF(G10:G28,"ĐB")+COUNTIF(G10:G28,"CĐ")</f>
        <v>0</v>
      </c>
      <c r="H9" s="1184">
        <f>COUNTIF(H10:H28,"X")+COUNTIF(H10:H28,"CN")+COUNTIF(H10:H28,"ĐB")+COUNTIF(H10:H28,"ĐCN")</f>
        <v>1</v>
      </c>
      <c r="I9" s="1184">
        <f t="shared" ref="I9:N9" si="0">COUNTIF(I10:I28,"X")+COUNTIF(I10:I28,"CN")+COUNTIF(I10:I28,"ĐB")+COUNTIF(I10:I28,"CĐ")</f>
        <v>1</v>
      </c>
      <c r="J9" s="1184">
        <f t="shared" si="0"/>
        <v>3</v>
      </c>
      <c r="K9" s="1184">
        <f t="shared" si="0"/>
        <v>3</v>
      </c>
      <c r="L9" s="1184">
        <f t="shared" si="0"/>
        <v>2</v>
      </c>
      <c r="M9" s="1184">
        <f t="shared" si="0"/>
        <v>0</v>
      </c>
      <c r="N9" s="1184">
        <f t="shared" si="0"/>
        <v>0</v>
      </c>
      <c r="O9" s="1184">
        <f>COUNTIF(O10:O28,"X")+COUNTIF(O10:O28,"CN")+COUNTIF(O10:O28,"ĐB")+COUNTIF(O10:O28,"ĐCN")</f>
        <v>0</v>
      </c>
      <c r="P9" s="1184">
        <f t="shared" ref="P9:AH9" si="1">COUNTIF(P10:P28,"X")+COUNTIF(P10:P28,"CN")+COUNTIF(P10:P28,"ĐB")+COUNTIF(P10:P28,"CĐ")</f>
        <v>0</v>
      </c>
      <c r="Q9" s="1184">
        <f t="shared" si="1"/>
        <v>0</v>
      </c>
      <c r="R9" s="1184">
        <f t="shared" si="1"/>
        <v>0</v>
      </c>
      <c r="S9" s="1184">
        <f t="shared" si="1"/>
        <v>0</v>
      </c>
      <c r="T9" s="1184">
        <f t="shared" si="1"/>
        <v>0</v>
      </c>
      <c r="U9" s="1184">
        <f t="shared" si="1"/>
        <v>0</v>
      </c>
      <c r="V9" s="1184">
        <f t="shared" si="1"/>
        <v>5</v>
      </c>
      <c r="W9" s="1184">
        <f t="shared" si="1"/>
        <v>3</v>
      </c>
      <c r="X9" s="1184">
        <f t="shared" si="1"/>
        <v>5</v>
      </c>
      <c r="Y9" s="1184">
        <f t="shared" si="1"/>
        <v>4</v>
      </c>
      <c r="Z9" s="1184">
        <f t="shared" si="1"/>
        <v>4</v>
      </c>
      <c r="AA9" s="1184">
        <f t="shared" si="1"/>
        <v>3</v>
      </c>
      <c r="AB9" s="1184">
        <f t="shared" si="1"/>
        <v>5</v>
      </c>
      <c r="AC9" s="1184">
        <f t="shared" si="1"/>
        <v>4</v>
      </c>
      <c r="AD9" s="1184">
        <f t="shared" si="1"/>
        <v>6</v>
      </c>
      <c r="AE9" s="1184">
        <f t="shared" si="1"/>
        <v>4</v>
      </c>
      <c r="AF9" s="1184">
        <f t="shared" si="1"/>
        <v>5</v>
      </c>
      <c r="AG9" s="1184">
        <f t="shared" si="1"/>
        <v>4</v>
      </c>
      <c r="AH9" s="1184">
        <f t="shared" si="1"/>
        <v>0</v>
      </c>
      <c r="AI9" s="1204">
        <f>SUM(AI10:AI28)</f>
        <v>62</v>
      </c>
      <c r="AJ9" s="1204">
        <f>SUM(AJ10:AJ28)</f>
        <v>62</v>
      </c>
      <c r="AK9" s="1204"/>
      <c r="AL9" s="615"/>
    </row>
    <row r="10" spans="1:39" s="156" customFormat="1" ht="16.149999999999999" customHeight="1">
      <c r="A10" s="1182">
        <v>1</v>
      </c>
      <c r="B10" s="1182" t="e">
        <f>VLOOKUP(C10,'DS CN MOI UP'!$B$10:$C$347,2,0)</f>
        <v>#N/A</v>
      </c>
      <c r="C10" s="1185" t="s">
        <v>400</v>
      </c>
      <c r="D10" s="1186"/>
      <c r="E10" s="1186"/>
      <c r="F10" s="1186"/>
      <c r="G10" s="1186"/>
      <c r="H10" s="1186"/>
      <c r="I10" s="1186"/>
      <c r="J10" s="1186" t="s">
        <v>536</v>
      </c>
      <c r="K10" s="1186"/>
      <c r="L10" s="1186"/>
      <c r="M10" s="1186"/>
      <c r="N10" s="1186"/>
      <c r="O10" s="1186"/>
      <c r="P10" s="1186"/>
      <c r="Q10" s="1186"/>
      <c r="R10" s="1186"/>
      <c r="S10" s="1186"/>
      <c r="T10" s="1186"/>
      <c r="U10" s="1186"/>
      <c r="V10" s="1186"/>
      <c r="W10" s="1186"/>
      <c r="X10" s="1186"/>
      <c r="Y10" s="1186"/>
      <c r="Z10" s="1186"/>
      <c r="AA10" s="1186"/>
      <c r="AB10" s="1186"/>
      <c r="AC10" s="1186"/>
      <c r="AD10" s="1186" t="s">
        <v>536</v>
      </c>
      <c r="AE10" s="1186"/>
      <c r="AF10" s="1186"/>
      <c r="AG10" s="1186"/>
      <c r="AH10" s="1186"/>
      <c r="AI10" s="1204">
        <f t="shared" ref="AI10:AI11" si="2">COUNTIF(D10:AH10,"X")</f>
        <v>2</v>
      </c>
      <c r="AJ10" s="1205">
        <f t="shared" ref="AJ10" si="3">SUM(AI10:AI10)</f>
        <v>2</v>
      </c>
      <c r="AK10" s="1205"/>
      <c r="AL10" s="615">
        <v>30</v>
      </c>
      <c r="AM10" s="615">
        <f>+AJ10-AL10</f>
        <v>-28</v>
      </c>
    </row>
    <row r="11" spans="1:39" s="156" customFormat="1" ht="16.149999999999999" customHeight="1" outlineLevel="1">
      <c r="A11" s="1182">
        <v>2</v>
      </c>
      <c r="B11" s="1182" t="e">
        <f>VLOOKUP(C11,'DS CN MOI UP'!$B$10:$C$347,2,0)</f>
        <v>#N/A</v>
      </c>
      <c r="C11" s="1185" t="s">
        <v>2560</v>
      </c>
      <c r="D11" s="1186"/>
      <c r="E11" s="1186"/>
      <c r="F11" s="1186"/>
      <c r="G11" s="1186"/>
      <c r="H11" s="1186"/>
      <c r="I11" s="1186"/>
      <c r="J11" s="1186"/>
      <c r="K11" s="1186" t="s">
        <v>536</v>
      </c>
      <c r="L11" s="1186"/>
      <c r="M11" s="1186"/>
      <c r="N11" s="1186"/>
      <c r="O11" s="1186"/>
      <c r="P11" s="1186"/>
      <c r="Q11" s="1186"/>
      <c r="R11" s="1186"/>
      <c r="S11" s="1186"/>
      <c r="T11" s="1186"/>
      <c r="U11" s="1186"/>
      <c r="V11" s="1186" t="s">
        <v>536</v>
      </c>
      <c r="W11" s="1186" t="s">
        <v>536</v>
      </c>
      <c r="X11" s="1186" t="s">
        <v>536</v>
      </c>
      <c r="Y11" s="1186" t="s">
        <v>536</v>
      </c>
      <c r="Z11" s="1186" t="s">
        <v>536</v>
      </c>
      <c r="AA11" s="1186" t="s">
        <v>536</v>
      </c>
      <c r="AB11" s="1186" t="s">
        <v>536</v>
      </c>
      <c r="AC11" s="1186" t="s">
        <v>536</v>
      </c>
      <c r="AD11" s="1186" t="s">
        <v>536</v>
      </c>
      <c r="AE11" s="1186" t="s">
        <v>536</v>
      </c>
      <c r="AF11" s="1186" t="s">
        <v>536</v>
      </c>
      <c r="AG11" s="1186" t="s">
        <v>536</v>
      </c>
      <c r="AH11" s="1186"/>
      <c r="AI11" s="1204">
        <f t="shared" si="2"/>
        <v>13</v>
      </c>
      <c r="AJ11" s="1205">
        <f t="shared" ref="AJ11:AJ28" si="4">SUM(AI11:AI11)</f>
        <v>13</v>
      </c>
      <c r="AK11" s="1205"/>
      <c r="AL11" s="615">
        <v>29</v>
      </c>
      <c r="AM11" s="615">
        <f t="shared" ref="AM11:AM28" si="5">+AJ11-AL11</f>
        <v>-16</v>
      </c>
    </row>
    <row r="12" spans="1:39" s="156" customFormat="1" ht="16.149999999999999" customHeight="1" outlineLevel="1">
      <c r="A12" s="1182">
        <v>3</v>
      </c>
      <c r="B12" s="1182" t="e">
        <f>VLOOKUP(C12,'DS CN MOI UP'!$B$10:$C$347,2,0)</f>
        <v>#N/A</v>
      </c>
      <c r="C12" s="1185" t="s">
        <v>2561</v>
      </c>
      <c r="D12" s="1186"/>
      <c r="E12" s="1186"/>
      <c r="F12" s="1186"/>
      <c r="G12" s="1186"/>
      <c r="H12" s="1186"/>
      <c r="I12" s="1186"/>
      <c r="J12" s="1186"/>
      <c r="K12" s="1186" t="s">
        <v>536</v>
      </c>
      <c r="L12" s="1186"/>
      <c r="M12" s="1186"/>
      <c r="N12" s="1186"/>
      <c r="O12" s="1186"/>
      <c r="P12" s="1186"/>
      <c r="Q12" s="1186"/>
      <c r="R12" s="1186"/>
      <c r="S12" s="1186"/>
      <c r="T12" s="1186"/>
      <c r="U12" s="1186"/>
      <c r="V12" s="1186" t="s">
        <v>536</v>
      </c>
      <c r="W12" s="1186" t="s">
        <v>536</v>
      </c>
      <c r="X12" s="1186" t="s">
        <v>536</v>
      </c>
      <c r="Y12" s="1186" t="s">
        <v>536</v>
      </c>
      <c r="Z12" s="1186" t="s">
        <v>536</v>
      </c>
      <c r="AA12" s="1186" t="s">
        <v>536</v>
      </c>
      <c r="AB12" s="1186" t="s">
        <v>536</v>
      </c>
      <c r="AC12" s="1186" t="s">
        <v>536</v>
      </c>
      <c r="AD12" s="1186" t="s">
        <v>536</v>
      </c>
      <c r="AE12" s="1186" t="s">
        <v>536</v>
      </c>
      <c r="AF12" s="1186" t="s">
        <v>536</v>
      </c>
      <c r="AG12" s="1186" t="s">
        <v>536</v>
      </c>
      <c r="AH12" s="1186"/>
      <c r="AI12" s="1204">
        <f t="shared" ref="AI12:AI28" si="6">COUNTIF(D12:AH12,"X")</f>
        <v>13</v>
      </c>
      <c r="AJ12" s="1205">
        <f t="shared" si="4"/>
        <v>13</v>
      </c>
      <c r="AK12" s="1205"/>
      <c r="AL12" s="615">
        <v>31</v>
      </c>
      <c r="AM12" s="615">
        <f t="shared" si="5"/>
        <v>-18</v>
      </c>
    </row>
    <row r="13" spans="1:39" s="156" customFormat="1" ht="16.149999999999999" customHeight="1" outlineLevel="1">
      <c r="A13" s="1182">
        <v>4</v>
      </c>
      <c r="B13" s="1182" t="e">
        <f>VLOOKUP(C13,'DS CN MOI UP'!$B$10:$C$347,2,0)</f>
        <v>#N/A</v>
      </c>
      <c r="C13" s="1185" t="s">
        <v>275</v>
      </c>
      <c r="D13" s="1186"/>
      <c r="E13" s="1186"/>
      <c r="F13" s="1186"/>
      <c r="G13" s="1186"/>
      <c r="H13" s="1186"/>
      <c r="I13" s="1186"/>
      <c r="J13" s="1186" t="s">
        <v>536</v>
      </c>
      <c r="K13" s="1186"/>
      <c r="L13" s="1186" t="s">
        <v>536</v>
      </c>
      <c r="M13" s="1186"/>
      <c r="N13" s="1186"/>
      <c r="O13" s="1186"/>
      <c r="P13" s="1186"/>
      <c r="Q13" s="1186"/>
      <c r="R13" s="1186"/>
      <c r="S13" s="1186"/>
      <c r="T13" s="1186"/>
      <c r="U13" s="1186"/>
      <c r="V13" s="1186" t="s">
        <v>536</v>
      </c>
      <c r="W13" s="1186"/>
      <c r="X13" s="1186" t="s">
        <v>536</v>
      </c>
      <c r="Y13" s="1186" t="s">
        <v>536</v>
      </c>
      <c r="Z13" s="1186" t="s">
        <v>536</v>
      </c>
      <c r="AA13" s="1186" t="s">
        <v>536</v>
      </c>
      <c r="AB13" s="1186" t="s">
        <v>536</v>
      </c>
      <c r="AC13" s="1186" t="s">
        <v>536</v>
      </c>
      <c r="AD13" s="1186" t="s">
        <v>536</v>
      </c>
      <c r="AE13" s="1186" t="s">
        <v>536</v>
      </c>
      <c r="AF13" s="1186" t="s">
        <v>536</v>
      </c>
      <c r="AG13" s="1186" t="s">
        <v>536</v>
      </c>
      <c r="AH13" s="1186"/>
      <c r="AI13" s="1204">
        <f t="shared" si="6"/>
        <v>13</v>
      </c>
      <c r="AJ13" s="1205">
        <f t="shared" si="4"/>
        <v>13</v>
      </c>
      <c r="AK13" s="1205"/>
      <c r="AL13" s="615">
        <v>30</v>
      </c>
      <c r="AM13" s="615">
        <f t="shared" si="5"/>
        <v>-17</v>
      </c>
    </row>
    <row r="14" spans="1:39" s="156" customFormat="1" ht="16.149999999999999" customHeight="1" outlineLevel="1">
      <c r="A14" s="1182">
        <v>5</v>
      </c>
      <c r="B14" s="1182" t="e">
        <f>VLOOKUP(C14,'DS CN MOI UP'!$B$10:$C$347,2,0)</f>
        <v>#N/A</v>
      </c>
      <c r="C14" s="1185" t="s">
        <v>276</v>
      </c>
      <c r="D14" s="1186"/>
      <c r="E14" s="1186"/>
      <c r="F14" s="1186"/>
      <c r="G14" s="1186"/>
      <c r="H14" s="1186" t="s">
        <v>536</v>
      </c>
      <c r="I14" s="1186"/>
      <c r="J14" s="1186" t="s">
        <v>536</v>
      </c>
      <c r="K14" s="1186"/>
      <c r="L14" s="1186" t="s">
        <v>536</v>
      </c>
      <c r="M14" s="1186"/>
      <c r="N14" s="1186"/>
      <c r="O14" s="1186"/>
      <c r="P14" s="1186"/>
      <c r="Q14" s="1186"/>
      <c r="R14" s="1186"/>
      <c r="S14" s="1186"/>
      <c r="T14" s="1186"/>
      <c r="U14" s="1186"/>
      <c r="V14" s="1186" t="s">
        <v>536</v>
      </c>
      <c r="W14" s="1186" t="s">
        <v>536</v>
      </c>
      <c r="X14" s="1186" t="s">
        <v>536</v>
      </c>
      <c r="Y14" s="1186" t="s">
        <v>536</v>
      </c>
      <c r="Z14" s="1186"/>
      <c r="AA14" s="1186"/>
      <c r="AB14" s="1186" t="s">
        <v>536</v>
      </c>
      <c r="AC14" s="1186" t="s">
        <v>536</v>
      </c>
      <c r="AD14" s="1186" t="s">
        <v>536</v>
      </c>
      <c r="AE14" s="1186" t="s">
        <v>536</v>
      </c>
      <c r="AF14" s="1186" t="s">
        <v>536</v>
      </c>
      <c r="AG14" s="1186" t="s">
        <v>536</v>
      </c>
      <c r="AH14" s="1186"/>
      <c r="AI14" s="1204">
        <f t="shared" si="6"/>
        <v>13</v>
      </c>
      <c r="AJ14" s="1205">
        <f t="shared" si="4"/>
        <v>13</v>
      </c>
      <c r="AK14" s="1205"/>
      <c r="AL14" s="615">
        <v>30</v>
      </c>
      <c r="AM14" s="615">
        <f t="shared" si="5"/>
        <v>-17</v>
      </c>
    </row>
    <row r="15" spans="1:39" s="156" customFormat="1" ht="16.149999999999999" customHeight="1" outlineLevel="1">
      <c r="A15" s="1182">
        <v>6</v>
      </c>
      <c r="B15" s="1182" t="e">
        <f>VLOOKUP(C15,'DS CN MOI UP'!$B$10:$C$347,2,0)</f>
        <v>#N/A</v>
      </c>
      <c r="C15" s="1185" t="s">
        <v>330</v>
      </c>
      <c r="D15" s="1186"/>
      <c r="E15" s="1186"/>
      <c r="F15" s="1186"/>
      <c r="G15" s="1186"/>
      <c r="H15" s="1186"/>
      <c r="I15" s="1186" t="s">
        <v>536</v>
      </c>
      <c r="J15" s="1186"/>
      <c r="K15" s="1186" t="s">
        <v>536</v>
      </c>
      <c r="L15" s="1186"/>
      <c r="M15" s="1186"/>
      <c r="N15" s="1186"/>
      <c r="O15" s="1186"/>
      <c r="P15" s="1186"/>
      <c r="Q15" s="1186"/>
      <c r="R15" s="1186"/>
      <c r="S15" s="1186"/>
      <c r="T15" s="1186"/>
      <c r="U15" s="1186"/>
      <c r="V15" s="1186" t="s">
        <v>536</v>
      </c>
      <c r="W15" s="1186"/>
      <c r="X15" s="1186" t="s">
        <v>536</v>
      </c>
      <c r="Y15" s="1186"/>
      <c r="Z15" s="1186" t="s">
        <v>536</v>
      </c>
      <c r="AA15" s="1186"/>
      <c r="AB15" s="1186" t="s">
        <v>536</v>
      </c>
      <c r="AC15" s="1186"/>
      <c r="AD15" s="1186" t="s">
        <v>536</v>
      </c>
      <c r="AE15" s="1186"/>
      <c r="AF15" s="1186" t="s">
        <v>536</v>
      </c>
      <c r="AG15" s="1186"/>
      <c r="AH15" s="1186"/>
      <c r="AI15" s="1204">
        <f t="shared" ref="AI15" si="7">COUNTIF(D15:AH15,"X")</f>
        <v>8</v>
      </c>
      <c r="AJ15" s="1205">
        <f t="shared" ref="AJ15" si="8">SUM(AI15:AI15)</f>
        <v>8</v>
      </c>
      <c r="AK15" s="1205"/>
      <c r="AL15" s="615">
        <v>31</v>
      </c>
      <c r="AM15" s="615">
        <f t="shared" si="5"/>
        <v>-23</v>
      </c>
    </row>
    <row r="16" spans="1:39" s="156" customFormat="1" ht="16.149999999999999" customHeight="1" outlineLevel="1">
      <c r="A16" s="1182">
        <v>7</v>
      </c>
      <c r="B16" s="1182"/>
      <c r="C16" s="1185"/>
      <c r="D16" s="1186"/>
      <c r="E16" s="1186"/>
      <c r="F16" s="1186"/>
      <c r="G16" s="1186"/>
      <c r="H16" s="1186"/>
      <c r="I16" s="1186"/>
      <c r="J16" s="1186"/>
      <c r="K16" s="1186"/>
      <c r="L16" s="1186"/>
      <c r="M16" s="1186"/>
      <c r="N16" s="1186"/>
      <c r="O16" s="1186"/>
      <c r="P16" s="1186"/>
      <c r="Q16" s="1186"/>
      <c r="R16" s="1186"/>
      <c r="S16" s="1186"/>
      <c r="T16" s="1186"/>
      <c r="U16" s="1186"/>
      <c r="V16" s="1186"/>
      <c r="W16" s="1186"/>
      <c r="X16" s="1186"/>
      <c r="Y16" s="1186"/>
      <c r="Z16" s="1186"/>
      <c r="AA16" s="1186"/>
      <c r="AB16" s="1186"/>
      <c r="AC16" s="1186"/>
      <c r="AD16" s="1186"/>
      <c r="AE16" s="1186"/>
      <c r="AF16" s="1186"/>
      <c r="AG16" s="1186"/>
      <c r="AH16" s="1186"/>
      <c r="AI16" s="1204">
        <f t="shared" si="6"/>
        <v>0</v>
      </c>
      <c r="AJ16" s="1205">
        <f t="shared" si="4"/>
        <v>0</v>
      </c>
      <c r="AK16" s="1205"/>
      <c r="AL16" s="615">
        <v>29</v>
      </c>
      <c r="AM16" s="615">
        <f t="shared" si="5"/>
        <v>-29</v>
      </c>
    </row>
    <row r="17" spans="1:39" s="156" customFormat="1" ht="16.149999999999999" customHeight="1" outlineLevel="1">
      <c r="A17" s="1182">
        <v>8</v>
      </c>
      <c r="B17" s="1182"/>
      <c r="C17" s="1185"/>
      <c r="D17" s="1186"/>
      <c r="E17" s="1186"/>
      <c r="F17" s="1186"/>
      <c r="G17" s="1186"/>
      <c r="H17" s="1186"/>
      <c r="I17" s="1186"/>
      <c r="J17" s="1186"/>
      <c r="K17" s="1186"/>
      <c r="L17" s="1186"/>
      <c r="M17" s="1186"/>
      <c r="N17" s="1186"/>
      <c r="O17" s="1186"/>
      <c r="P17" s="1186"/>
      <c r="Q17" s="1186"/>
      <c r="R17" s="1186"/>
      <c r="S17" s="1186"/>
      <c r="T17" s="1186"/>
      <c r="U17" s="1186"/>
      <c r="V17" s="1186"/>
      <c r="W17" s="1186"/>
      <c r="X17" s="1186"/>
      <c r="Y17" s="1186"/>
      <c r="Z17" s="1186"/>
      <c r="AA17" s="1186"/>
      <c r="AB17" s="1186"/>
      <c r="AC17" s="1186"/>
      <c r="AD17" s="1186"/>
      <c r="AE17" s="1186"/>
      <c r="AF17" s="1186"/>
      <c r="AG17" s="1186"/>
      <c r="AH17" s="1186"/>
      <c r="AI17" s="1204">
        <f t="shared" si="6"/>
        <v>0</v>
      </c>
      <c r="AJ17" s="1205">
        <f t="shared" si="4"/>
        <v>0</v>
      </c>
      <c r="AK17" s="1205"/>
      <c r="AL17" s="615">
        <v>27</v>
      </c>
      <c r="AM17" s="615">
        <f t="shared" si="5"/>
        <v>-27</v>
      </c>
    </row>
    <row r="18" spans="1:39" s="156" customFormat="1" ht="16.149999999999999" customHeight="1" outlineLevel="1">
      <c r="A18" s="1182">
        <v>9</v>
      </c>
      <c r="B18" s="1182"/>
      <c r="C18" s="1185"/>
      <c r="D18" s="1186"/>
      <c r="E18" s="1186"/>
      <c r="F18" s="1186"/>
      <c r="G18" s="1186"/>
      <c r="H18" s="1186"/>
      <c r="I18" s="1186"/>
      <c r="J18" s="1186"/>
      <c r="K18" s="1186"/>
      <c r="L18" s="1186"/>
      <c r="M18" s="1186"/>
      <c r="N18" s="1186"/>
      <c r="O18" s="1186"/>
      <c r="P18" s="1186"/>
      <c r="Q18" s="1186"/>
      <c r="R18" s="1186"/>
      <c r="S18" s="1186"/>
      <c r="T18" s="1186"/>
      <c r="U18" s="1186"/>
      <c r="V18" s="1186"/>
      <c r="W18" s="1186"/>
      <c r="X18" s="1186"/>
      <c r="Y18" s="1186"/>
      <c r="Z18" s="1186"/>
      <c r="AA18" s="1186"/>
      <c r="AB18" s="1186"/>
      <c r="AC18" s="1186"/>
      <c r="AD18" s="1186"/>
      <c r="AE18" s="1186"/>
      <c r="AF18" s="1186"/>
      <c r="AG18" s="1186"/>
      <c r="AH18" s="1186"/>
      <c r="AI18" s="1204">
        <f t="shared" si="6"/>
        <v>0</v>
      </c>
      <c r="AJ18" s="1205">
        <f t="shared" si="4"/>
        <v>0</v>
      </c>
      <c r="AK18" s="1205"/>
      <c r="AL18" s="615">
        <v>31</v>
      </c>
      <c r="AM18" s="615">
        <f t="shared" si="5"/>
        <v>-31</v>
      </c>
    </row>
    <row r="19" spans="1:39" s="156" customFormat="1" ht="16.149999999999999" customHeight="1" outlineLevel="1">
      <c r="A19" s="1182">
        <v>10</v>
      </c>
      <c r="B19" s="1182"/>
      <c r="C19" s="1185"/>
      <c r="D19" s="1186"/>
      <c r="E19" s="1186"/>
      <c r="F19" s="1186"/>
      <c r="G19" s="1186"/>
      <c r="H19" s="1186"/>
      <c r="I19" s="1186"/>
      <c r="J19" s="1186"/>
      <c r="K19" s="1186"/>
      <c r="L19" s="1186"/>
      <c r="M19" s="1186"/>
      <c r="N19" s="1186"/>
      <c r="O19" s="1186"/>
      <c r="P19" s="1186"/>
      <c r="Q19" s="1186"/>
      <c r="R19" s="1186"/>
      <c r="S19" s="1186"/>
      <c r="T19" s="1186"/>
      <c r="U19" s="1186"/>
      <c r="V19" s="1186"/>
      <c r="W19" s="1186"/>
      <c r="X19" s="1186"/>
      <c r="Y19" s="1186"/>
      <c r="Z19" s="1186"/>
      <c r="AA19" s="1186"/>
      <c r="AB19" s="1186"/>
      <c r="AC19" s="1186"/>
      <c r="AD19" s="1186"/>
      <c r="AE19" s="1186"/>
      <c r="AF19" s="1186"/>
      <c r="AG19" s="1186"/>
      <c r="AH19" s="1186"/>
      <c r="AI19" s="1204">
        <f t="shared" si="6"/>
        <v>0</v>
      </c>
      <c r="AJ19" s="1205">
        <f t="shared" si="4"/>
        <v>0</v>
      </c>
      <c r="AK19" s="1205"/>
      <c r="AL19" s="615">
        <v>29</v>
      </c>
      <c r="AM19" s="615">
        <f t="shared" si="5"/>
        <v>-29</v>
      </c>
    </row>
    <row r="20" spans="1:39" s="156" customFormat="1" ht="16.149999999999999" customHeight="1" outlineLevel="1">
      <c r="A20" s="1182">
        <v>11</v>
      </c>
      <c r="B20" s="1182"/>
      <c r="C20" s="1185"/>
      <c r="D20" s="1186"/>
      <c r="E20" s="1186"/>
      <c r="F20" s="1186"/>
      <c r="G20" s="1186"/>
      <c r="H20" s="1186"/>
      <c r="I20" s="1186"/>
      <c r="J20" s="1186"/>
      <c r="K20" s="1186"/>
      <c r="L20" s="1186"/>
      <c r="M20" s="1186"/>
      <c r="N20" s="1186"/>
      <c r="O20" s="1186"/>
      <c r="P20" s="1186"/>
      <c r="Q20" s="1186"/>
      <c r="R20" s="1186"/>
      <c r="S20" s="1186"/>
      <c r="T20" s="1186"/>
      <c r="U20" s="1186"/>
      <c r="V20" s="1186"/>
      <c r="W20" s="1186"/>
      <c r="X20" s="1186"/>
      <c r="Y20" s="1186"/>
      <c r="Z20" s="1186"/>
      <c r="AA20" s="1186"/>
      <c r="AB20" s="1186"/>
      <c r="AC20" s="1186"/>
      <c r="AD20" s="1186"/>
      <c r="AE20" s="1186"/>
      <c r="AF20" s="1186"/>
      <c r="AG20" s="1186"/>
      <c r="AH20" s="1186"/>
      <c r="AI20" s="1204">
        <f t="shared" si="6"/>
        <v>0</v>
      </c>
      <c r="AJ20" s="1205">
        <f t="shared" si="4"/>
        <v>0</v>
      </c>
      <c r="AK20" s="1205"/>
      <c r="AL20" s="615">
        <v>29</v>
      </c>
      <c r="AM20" s="615">
        <f t="shared" si="5"/>
        <v>-29</v>
      </c>
    </row>
    <row r="21" spans="1:39" s="156" customFormat="1" ht="16.149999999999999" customHeight="1" outlineLevel="1">
      <c r="A21" s="1182">
        <v>12</v>
      </c>
      <c r="B21" s="1182"/>
      <c r="C21" s="1185"/>
      <c r="D21" s="1186"/>
      <c r="E21" s="1186"/>
      <c r="F21" s="1186"/>
      <c r="G21" s="1186"/>
      <c r="H21" s="1186"/>
      <c r="I21" s="1186"/>
      <c r="J21" s="1186"/>
      <c r="K21" s="1186"/>
      <c r="L21" s="1186"/>
      <c r="M21" s="1186"/>
      <c r="N21" s="1186"/>
      <c r="O21" s="1186"/>
      <c r="P21" s="1186"/>
      <c r="Q21" s="1186"/>
      <c r="R21" s="1186"/>
      <c r="S21" s="1186"/>
      <c r="T21" s="1186"/>
      <c r="U21" s="1186"/>
      <c r="V21" s="1186"/>
      <c r="W21" s="1186"/>
      <c r="X21" s="1186"/>
      <c r="Y21" s="1186"/>
      <c r="Z21" s="1186"/>
      <c r="AA21" s="1186"/>
      <c r="AB21" s="1186"/>
      <c r="AC21" s="1186"/>
      <c r="AD21" s="1186"/>
      <c r="AE21" s="1186"/>
      <c r="AF21" s="1186"/>
      <c r="AG21" s="1186"/>
      <c r="AH21" s="1186"/>
      <c r="AI21" s="1204">
        <f t="shared" si="6"/>
        <v>0</v>
      </c>
      <c r="AJ21" s="1205">
        <f t="shared" si="4"/>
        <v>0</v>
      </c>
      <c r="AK21" s="1205"/>
      <c r="AL21" s="615">
        <v>31</v>
      </c>
      <c r="AM21" s="615">
        <f t="shared" si="5"/>
        <v>-31</v>
      </c>
    </row>
    <row r="22" spans="1:39" s="156" customFormat="1" ht="16.149999999999999" customHeight="1" outlineLevel="1">
      <c r="A22" s="1182">
        <v>13</v>
      </c>
      <c r="B22" s="1182"/>
      <c r="C22" s="1185"/>
      <c r="D22" s="1186"/>
      <c r="E22" s="1186"/>
      <c r="F22" s="1186"/>
      <c r="G22" s="1186"/>
      <c r="H22" s="1186"/>
      <c r="I22" s="1186"/>
      <c r="J22" s="1186"/>
      <c r="K22" s="1186"/>
      <c r="L22" s="1186"/>
      <c r="M22" s="1186"/>
      <c r="N22" s="1186"/>
      <c r="O22" s="1186"/>
      <c r="P22" s="1186"/>
      <c r="Q22" s="1186"/>
      <c r="R22" s="1186"/>
      <c r="S22" s="1186"/>
      <c r="T22" s="1186"/>
      <c r="U22" s="1186"/>
      <c r="V22" s="1186"/>
      <c r="W22" s="1186"/>
      <c r="X22" s="1186"/>
      <c r="Y22" s="1186"/>
      <c r="Z22" s="1186"/>
      <c r="AA22" s="1186"/>
      <c r="AB22" s="1186"/>
      <c r="AC22" s="1186"/>
      <c r="AD22" s="1186"/>
      <c r="AE22" s="1186"/>
      <c r="AF22" s="1186"/>
      <c r="AG22" s="1186"/>
      <c r="AH22" s="1186"/>
      <c r="AI22" s="1204">
        <f t="shared" si="6"/>
        <v>0</v>
      </c>
      <c r="AJ22" s="1205">
        <f t="shared" si="4"/>
        <v>0</v>
      </c>
      <c r="AK22" s="1205"/>
      <c r="AL22" s="615">
        <v>27</v>
      </c>
      <c r="AM22" s="615">
        <f t="shared" si="5"/>
        <v>-27</v>
      </c>
    </row>
    <row r="23" spans="1:39" s="156" customFormat="1" ht="16.149999999999999" customHeight="1" outlineLevel="1">
      <c r="A23" s="1182">
        <v>14</v>
      </c>
      <c r="B23" s="1182"/>
      <c r="C23" s="1185"/>
      <c r="D23" s="1186"/>
      <c r="E23" s="1186"/>
      <c r="F23" s="1186"/>
      <c r="G23" s="1186"/>
      <c r="H23" s="1186"/>
      <c r="I23" s="1186"/>
      <c r="J23" s="1186"/>
      <c r="K23" s="1186"/>
      <c r="L23" s="1186"/>
      <c r="M23" s="1186"/>
      <c r="N23" s="1186"/>
      <c r="O23" s="1186"/>
      <c r="P23" s="1186"/>
      <c r="Q23" s="1186"/>
      <c r="R23" s="1186"/>
      <c r="S23" s="1186"/>
      <c r="T23" s="1186"/>
      <c r="U23" s="1186"/>
      <c r="V23" s="1186"/>
      <c r="W23" s="1186"/>
      <c r="X23" s="1186"/>
      <c r="Y23" s="1186"/>
      <c r="Z23" s="1186"/>
      <c r="AA23" s="1186"/>
      <c r="AB23" s="1186"/>
      <c r="AC23" s="1186"/>
      <c r="AD23" s="1186"/>
      <c r="AE23" s="1186"/>
      <c r="AF23" s="1186"/>
      <c r="AG23" s="1186"/>
      <c r="AH23" s="1186"/>
      <c r="AI23" s="1204">
        <f t="shared" si="6"/>
        <v>0</v>
      </c>
      <c r="AJ23" s="1205">
        <f t="shared" si="4"/>
        <v>0</v>
      </c>
      <c r="AK23" s="1205"/>
      <c r="AL23" s="615">
        <v>30</v>
      </c>
      <c r="AM23" s="615">
        <f t="shared" si="5"/>
        <v>-30</v>
      </c>
    </row>
    <row r="24" spans="1:39" s="156" customFormat="1" ht="16.149999999999999" customHeight="1" outlineLevel="1">
      <c r="A24" s="1182">
        <v>15</v>
      </c>
      <c r="B24" s="1182"/>
      <c r="C24" s="1185"/>
      <c r="D24" s="1186"/>
      <c r="E24" s="1186"/>
      <c r="F24" s="1186"/>
      <c r="G24" s="1186"/>
      <c r="H24" s="1186"/>
      <c r="I24" s="1186"/>
      <c r="J24" s="1186"/>
      <c r="K24" s="1186"/>
      <c r="L24" s="1186"/>
      <c r="M24" s="1186"/>
      <c r="N24" s="1186"/>
      <c r="O24" s="1186"/>
      <c r="P24" s="1186"/>
      <c r="Q24" s="1186"/>
      <c r="R24" s="1186"/>
      <c r="S24" s="1186"/>
      <c r="T24" s="1186"/>
      <c r="U24" s="1186"/>
      <c r="V24" s="1186"/>
      <c r="W24" s="1186"/>
      <c r="X24" s="1186"/>
      <c r="Y24" s="1186"/>
      <c r="Z24" s="1186"/>
      <c r="AA24" s="1186"/>
      <c r="AB24" s="1186"/>
      <c r="AC24" s="1186"/>
      <c r="AD24" s="1186"/>
      <c r="AE24" s="1186"/>
      <c r="AF24" s="1186"/>
      <c r="AG24" s="1186"/>
      <c r="AH24" s="1186"/>
      <c r="AI24" s="1204">
        <f t="shared" ref="AI24:AI27" si="9">COUNTIF(D24:AH24,"X")</f>
        <v>0</v>
      </c>
      <c r="AJ24" s="1205">
        <f t="shared" ref="AJ24:AJ27" si="10">SUM(AI24:AI24)</f>
        <v>0</v>
      </c>
      <c r="AK24" s="1205"/>
      <c r="AL24" s="615">
        <v>29</v>
      </c>
      <c r="AM24" s="615">
        <f t="shared" si="5"/>
        <v>-29</v>
      </c>
    </row>
    <row r="25" spans="1:39" s="156" customFormat="1" ht="16.149999999999999" customHeight="1" outlineLevel="1">
      <c r="A25" s="1182">
        <v>15</v>
      </c>
      <c r="B25" s="1182"/>
      <c r="C25" s="1185"/>
      <c r="D25" s="1186"/>
      <c r="E25" s="1186"/>
      <c r="F25" s="1186"/>
      <c r="G25" s="1186"/>
      <c r="H25" s="1186"/>
      <c r="I25" s="1186"/>
      <c r="J25" s="1186"/>
      <c r="K25" s="1186"/>
      <c r="L25" s="1186"/>
      <c r="M25" s="1186"/>
      <c r="N25" s="1186"/>
      <c r="O25" s="1186"/>
      <c r="P25" s="1186"/>
      <c r="Q25" s="1186"/>
      <c r="R25" s="1186"/>
      <c r="S25" s="1186"/>
      <c r="T25" s="1186"/>
      <c r="U25" s="1186"/>
      <c r="V25" s="1186"/>
      <c r="W25" s="1186"/>
      <c r="X25" s="1186"/>
      <c r="Y25" s="1186"/>
      <c r="Z25" s="1186"/>
      <c r="AA25" s="1186"/>
      <c r="AB25" s="1186"/>
      <c r="AC25" s="1186"/>
      <c r="AD25" s="1186"/>
      <c r="AE25" s="1186"/>
      <c r="AF25" s="1186"/>
      <c r="AG25" s="1186"/>
      <c r="AH25" s="1186"/>
      <c r="AI25" s="1204">
        <f t="shared" si="9"/>
        <v>0</v>
      </c>
      <c r="AJ25" s="1205">
        <f t="shared" si="10"/>
        <v>0</v>
      </c>
      <c r="AK25" s="1205"/>
      <c r="AL25" s="615">
        <v>30</v>
      </c>
      <c r="AM25" s="615">
        <f t="shared" ref="AM25:AM27" si="11">+AJ25-AL25</f>
        <v>-30</v>
      </c>
    </row>
    <row r="26" spans="1:39" s="156" customFormat="1" ht="16.149999999999999" customHeight="1" outlineLevel="1">
      <c r="A26" s="1182">
        <v>15</v>
      </c>
      <c r="B26" s="1182"/>
      <c r="C26" s="1185"/>
      <c r="D26" s="1186"/>
      <c r="E26" s="1186"/>
      <c r="F26" s="1186"/>
      <c r="G26" s="1186"/>
      <c r="H26" s="1186"/>
      <c r="I26" s="1186"/>
      <c r="J26" s="1186"/>
      <c r="K26" s="1186"/>
      <c r="L26" s="1186"/>
      <c r="M26" s="1186"/>
      <c r="N26" s="1186"/>
      <c r="O26" s="1186"/>
      <c r="P26" s="1186"/>
      <c r="Q26" s="1186"/>
      <c r="R26" s="1186"/>
      <c r="S26" s="1186"/>
      <c r="T26" s="1186"/>
      <c r="U26" s="1186"/>
      <c r="V26" s="1186"/>
      <c r="W26" s="1186"/>
      <c r="X26" s="1186"/>
      <c r="Y26" s="1186"/>
      <c r="Z26" s="1186"/>
      <c r="AA26" s="1186"/>
      <c r="AB26" s="1186"/>
      <c r="AC26" s="1186"/>
      <c r="AD26" s="1186"/>
      <c r="AE26" s="1186"/>
      <c r="AF26" s="1186"/>
      <c r="AG26" s="1186"/>
      <c r="AH26" s="1186"/>
      <c r="AI26" s="1204">
        <f t="shared" si="9"/>
        <v>0</v>
      </c>
      <c r="AJ26" s="1205">
        <f t="shared" si="10"/>
        <v>0</v>
      </c>
      <c r="AK26" s="1205"/>
      <c r="AL26" s="615">
        <v>30</v>
      </c>
      <c r="AM26" s="615">
        <f t="shared" si="11"/>
        <v>-30</v>
      </c>
    </row>
    <row r="27" spans="1:39" s="156" customFormat="1" ht="16.149999999999999" customHeight="1" outlineLevel="1">
      <c r="A27" s="1182">
        <v>15</v>
      </c>
      <c r="B27" s="1182"/>
      <c r="C27" s="1185"/>
      <c r="D27" s="1186"/>
      <c r="E27" s="1186"/>
      <c r="F27" s="1186"/>
      <c r="G27" s="1186"/>
      <c r="H27" s="1186"/>
      <c r="I27" s="1186"/>
      <c r="J27" s="1186"/>
      <c r="K27" s="1186"/>
      <c r="L27" s="1186"/>
      <c r="M27" s="1186"/>
      <c r="N27" s="1186"/>
      <c r="O27" s="1186"/>
      <c r="P27" s="1186"/>
      <c r="Q27" s="1186"/>
      <c r="R27" s="1186"/>
      <c r="S27" s="1186"/>
      <c r="T27" s="1186"/>
      <c r="U27" s="1186"/>
      <c r="V27" s="1186"/>
      <c r="W27" s="1186"/>
      <c r="X27" s="1186"/>
      <c r="Y27" s="1186"/>
      <c r="Z27" s="1186"/>
      <c r="AA27" s="1186"/>
      <c r="AB27" s="1186"/>
      <c r="AC27" s="1186"/>
      <c r="AD27" s="1186"/>
      <c r="AE27" s="1186"/>
      <c r="AF27" s="1186"/>
      <c r="AG27" s="1186"/>
      <c r="AH27" s="1186"/>
      <c r="AI27" s="1204">
        <f t="shared" si="9"/>
        <v>0</v>
      </c>
      <c r="AJ27" s="1205">
        <f t="shared" si="10"/>
        <v>0</v>
      </c>
      <c r="AK27" s="1205"/>
      <c r="AL27" s="615">
        <v>30</v>
      </c>
      <c r="AM27" s="615">
        <f t="shared" si="11"/>
        <v>-30</v>
      </c>
    </row>
    <row r="28" spans="1:39" s="156" customFormat="1" ht="16.149999999999999" customHeight="1" outlineLevel="1">
      <c r="A28" s="1182">
        <v>15</v>
      </c>
      <c r="B28" s="1182"/>
      <c r="C28" s="1185"/>
      <c r="D28" s="1186"/>
      <c r="E28" s="1186"/>
      <c r="F28" s="1186"/>
      <c r="G28" s="1186"/>
      <c r="H28" s="1186"/>
      <c r="I28" s="1186"/>
      <c r="J28" s="1186"/>
      <c r="K28" s="1186"/>
      <c r="L28" s="1186"/>
      <c r="M28" s="1186"/>
      <c r="N28" s="1186"/>
      <c r="O28" s="1186"/>
      <c r="P28" s="1186"/>
      <c r="Q28" s="1186"/>
      <c r="R28" s="1186"/>
      <c r="S28" s="1186"/>
      <c r="T28" s="1186"/>
      <c r="U28" s="1186"/>
      <c r="V28" s="1186"/>
      <c r="W28" s="1186"/>
      <c r="X28" s="1186"/>
      <c r="Y28" s="1186"/>
      <c r="Z28" s="1186"/>
      <c r="AA28" s="1186"/>
      <c r="AB28" s="1186"/>
      <c r="AC28" s="1186"/>
      <c r="AD28" s="1186"/>
      <c r="AE28" s="1186"/>
      <c r="AF28" s="1186"/>
      <c r="AG28" s="1186"/>
      <c r="AH28" s="1186"/>
      <c r="AI28" s="1204">
        <f t="shared" si="6"/>
        <v>0</v>
      </c>
      <c r="AJ28" s="1205">
        <f t="shared" si="4"/>
        <v>0</v>
      </c>
      <c r="AK28" s="1205"/>
      <c r="AL28" s="615">
        <v>30</v>
      </c>
      <c r="AM28" s="615">
        <f t="shared" si="5"/>
        <v>-30</v>
      </c>
    </row>
    <row r="29" spans="1:39" s="156" customFormat="1" ht="11.25">
      <c r="A29" s="2298" t="s">
        <v>525</v>
      </c>
      <c r="B29" s="2298"/>
      <c r="C29" s="2298"/>
      <c r="D29" s="1187">
        <f>D9</f>
        <v>0</v>
      </c>
      <c r="E29" s="1187">
        <f t="shared" ref="E29:AJ29" si="12">E9</f>
        <v>0</v>
      </c>
      <c r="F29" s="1187">
        <f t="shared" si="12"/>
        <v>0</v>
      </c>
      <c r="G29" s="1187">
        <f t="shared" si="12"/>
        <v>0</v>
      </c>
      <c r="H29" s="1187">
        <f t="shared" si="12"/>
        <v>1</v>
      </c>
      <c r="I29" s="1187">
        <f t="shared" si="12"/>
        <v>1</v>
      </c>
      <c r="J29" s="1187">
        <f t="shared" si="12"/>
        <v>3</v>
      </c>
      <c r="K29" s="1187">
        <f t="shared" si="12"/>
        <v>3</v>
      </c>
      <c r="L29" s="1187">
        <f t="shared" si="12"/>
        <v>2</v>
      </c>
      <c r="M29" s="1187">
        <f t="shared" si="12"/>
        <v>0</v>
      </c>
      <c r="N29" s="1187">
        <f t="shared" si="12"/>
        <v>0</v>
      </c>
      <c r="O29" s="1187">
        <f t="shared" si="12"/>
        <v>0</v>
      </c>
      <c r="P29" s="1187">
        <f t="shared" si="12"/>
        <v>0</v>
      </c>
      <c r="Q29" s="1187">
        <f t="shared" si="12"/>
        <v>0</v>
      </c>
      <c r="R29" s="1187">
        <f t="shared" si="12"/>
        <v>0</v>
      </c>
      <c r="S29" s="1187">
        <f t="shared" si="12"/>
        <v>0</v>
      </c>
      <c r="T29" s="1187">
        <f t="shared" si="12"/>
        <v>0</v>
      </c>
      <c r="U29" s="1187">
        <f t="shared" si="12"/>
        <v>0</v>
      </c>
      <c r="V29" s="1187">
        <f t="shared" si="12"/>
        <v>5</v>
      </c>
      <c r="W29" s="1187">
        <f t="shared" si="12"/>
        <v>3</v>
      </c>
      <c r="X29" s="1187">
        <f t="shared" si="12"/>
        <v>5</v>
      </c>
      <c r="Y29" s="1187">
        <f t="shared" si="12"/>
        <v>4</v>
      </c>
      <c r="Z29" s="1187">
        <f t="shared" si="12"/>
        <v>4</v>
      </c>
      <c r="AA29" s="1187">
        <f t="shared" si="12"/>
        <v>3</v>
      </c>
      <c r="AB29" s="1187">
        <f t="shared" si="12"/>
        <v>5</v>
      </c>
      <c r="AC29" s="1187">
        <f t="shared" si="12"/>
        <v>4</v>
      </c>
      <c r="AD29" s="1187">
        <f t="shared" si="12"/>
        <v>6</v>
      </c>
      <c r="AE29" s="1187">
        <f t="shared" si="12"/>
        <v>4</v>
      </c>
      <c r="AF29" s="1187">
        <f t="shared" si="12"/>
        <v>5</v>
      </c>
      <c r="AG29" s="1187">
        <f t="shared" si="12"/>
        <v>4</v>
      </c>
      <c r="AH29" s="1187">
        <f t="shared" si="12"/>
        <v>0</v>
      </c>
      <c r="AI29" s="1187">
        <f t="shared" si="12"/>
        <v>62</v>
      </c>
      <c r="AJ29" s="1187">
        <f t="shared" si="12"/>
        <v>62</v>
      </c>
      <c r="AK29" s="1187"/>
    </row>
    <row r="30" spans="1:39" ht="15.75">
      <c r="A30" s="1188"/>
      <c r="B30" s="1188"/>
      <c r="C30" s="1189"/>
      <c r="D30" s="1190"/>
      <c r="E30" s="1190"/>
      <c r="F30" s="1191"/>
      <c r="G30" s="1191"/>
      <c r="H30" s="1191"/>
      <c r="I30" s="1199"/>
      <c r="J30" s="1191"/>
      <c r="K30" s="1191"/>
      <c r="L30" s="1191"/>
      <c r="M30" s="1200"/>
      <c r="N30" s="1200"/>
      <c r="O30" s="1200"/>
      <c r="P30" s="1200"/>
      <c r="Q30" s="1191"/>
      <c r="R30" s="1191"/>
      <c r="S30" s="1191"/>
      <c r="T30" s="1191"/>
      <c r="U30" s="1191"/>
      <c r="V30" s="1202"/>
      <c r="W30" s="1202"/>
      <c r="X30" s="2294"/>
      <c r="Y30" s="2294"/>
      <c r="Z30" s="2294"/>
      <c r="AA30" s="2294"/>
      <c r="AB30" s="2294"/>
      <c r="AC30" s="2294"/>
      <c r="AD30" s="2294"/>
      <c r="AE30" s="2294"/>
      <c r="AF30" s="2294"/>
      <c r="AG30" s="2294"/>
      <c r="AH30" s="2294"/>
      <c r="AI30" s="2294"/>
      <c r="AJ30" s="2294"/>
      <c r="AK30" s="2294"/>
    </row>
    <row r="31" spans="1:39" ht="22.9" customHeight="1">
      <c r="A31" s="1188"/>
      <c r="B31" s="1188"/>
      <c r="C31" s="1188"/>
      <c r="D31" s="1189"/>
      <c r="E31" s="1190"/>
      <c r="F31" s="1190"/>
      <c r="G31" s="1191"/>
      <c r="H31" s="1191"/>
      <c r="I31" s="1191"/>
      <c r="J31" s="1199"/>
      <c r="K31" s="1191"/>
      <c r="L31" s="1191"/>
      <c r="M31" s="1191"/>
      <c r="N31" s="1200"/>
      <c r="O31" s="1200"/>
      <c r="P31" s="1200"/>
      <c r="Q31" s="1200"/>
      <c r="R31" s="1191"/>
      <c r="S31" s="1191"/>
      <c r="T31" s="1191"/>
      <c r="U31" s="1191"/>
      <c r="V31" s="1191"/>
      <c r="W31" s="1202"/>
      <c r="X31" s="1202"/>
      <c r="Z31" s="1202"/>
      <c r="AA31" s="1202"/>
      <c r="AB31" s="1202"/>
      <c r="AD31" s="1202" t="s">
        <v>1944</v>
      </c>
      <c r="AI31" s="1202"/>
      <c r="AJ31" s="158"/>
      <c r="AK31" s="1202"/>
      <c r="AL31" s="1202"/>
    </row>
    <row r="32" spans="1:39" s="334" customFormat="1" ht="12.75">
      <c r="A32" s="1192" t="s">
        <v>614</v>
      </c>
      <c r="B32" s="1192"/>
      <c r="C32" s="1193"/>
      <c r="D32" s="1192"/>
      <c r="E32" s="1192"/>
      <c r="G32" s="334" t="s">
        <v>1945</v>
      </c>
      <c r="Q32" s="1192" t="s">
        <v>1946</v>
      </c>
      <c r="R32" s="1192"/>
      <c r="S32" s="1192"/>
      <c r="T32" s="1192"/>
      <c r="U32" s="1192"/>
      <c r="Z32" s="1192" t="s">
        <v>1947</v>
      </c>
      <c r="AA32" s="1192"/>
      <c r="AI32" s="334" t="s">
        <v>1948</v>
      </c>
    </row>
    <row r="33" spans="1:38" s="156" customFormat="1" ht="11.25">
      <c r="A33" s="1194"/>
      <c r="B33" s="1194"/>
      <c r="C33" s="1194"/>
      <c r="D33" s="1194"/>
      <c r="E33" s="1195"/>
      <c r="F33" s="1195"/>
      <c r="G33" s="1195"/>
      <c r="H33" s="1195"/>
      <c r="I33" s="1195"/>
      <c r="J33" s="1195"/>
      <c r="K33" s="1195"/>
      <c r="L33" s="1195"/>
      <c r="M33" s="1195"/>
      <c r="N33" s="1195"/>
      <c r="O33" s="1195"/>
      <c r="P33" s="1195"/>
      <c r="Q33" s="1195"/>
      <c r="R33" s="1195"/>
      <c r="S33" s="1195"/>
      <c r="T33" s="1195"/>
      <c r="U33" s="1195"/>
      <c r="V33" s="1195"/>
      <c r="W33" s="1195"/>
      <c r="X33" s="1195"/>
      <c r="Y33" s="1195"/>
      <c r="Z33" s="1195"/>
      <c r="AA33" s="1195"/>
      <c r="AB33" s="1195"/>
      <c r="AC33" s="1195"/>
      <c r="AD33" s="1195"/>
      <c r="AE33" s="1195"/>
      <c r="AF33" s="1195"/>
      <c r="AG33" s="1195"/>
      <c r="AH33" s="1195"/>
      <c r="AI33" s="1195"/>
      <c r="AJ33" s="1195"/>
      <c r="AK33" s="1195"/>
      <c r="AL33" s="1194"/>
    </row>
    <row r="34" spans="1:38">
      <c r="A34" s="1188"/>
      <c r="B34" s="1188"/>
      <c r="C34" s="1188"/>
      <c r="D34" s="1191"/>
      <c r="E34" s="1191"/>
      <c r="F34" s="1191"/>
      <c r="G34" s="1191"/>
      <c r="H34" s="1191"/>
      <c r="I34" s="1198"/>
      <c r="J34" s="1191"/>
      <c r="K34" s="1191"/>
      <c r="L34" s="1191"/>
      <c r="M34" s="1191"/>
      <c r="N34" s="1191"/>
      <c r="O34" s="1191"/>
      <c r="P34" s="1199"/>
      <c r="Q34" s="1191"/>
      <c r="R34" s="1191"/>
      <c r="S34" s="1191"/>
      <c r="T34" s="1191"/>
      <c r="U34" s="1191"/>
      <c r="V34" s="1191"/>
      <c r="W34" s="1191"/>
      <c r="X34" s="1191"/>
      <c r="Y34" s="1191"/>
      <c r="Z34" s="1191"/>
      <c r="AA34" s="1191"/>
      <c r="AB34" s="1191"/>
      <c r="AC34" s="1203"/>
      <c r="AD34" s="1203"/>
      <c r="AE34" s="1203"/>
      <c r="AF34" s="1203"/>
      <c r="AG34" s="1203"/>
      <c r="AH34" s="1203"/>
      <c r="AI34" s="1206"/>
      <c r="AJ34" s="1206"/>
      <c r="AK34" s="1206"/>
    </row>
    <row r="35" spans="1:38" ht="18" customHeight="1">
      <c r="A35" s="1188"/>
      <c r="B35" s="1188"/>
      <c r="C35" s="1188"/>
      <c r="D35" s="1191"/>
      <c r="E35" s="1191"/>
      <c r="F35" s="1191"/>
      <c r="G35" s="1191"/>
      <c r="H35" s="1191"/>
      <c r="I35" s="1198"/>
      <c r="J35" s="1191"/>
      <c r="K35" s="1191"/>
      <c r="L35" s="1191"/>
      <c r="M35" s="1191"/>
      <c r="N35" s="1191"/>
      <c r="O35" s="1191"/>
      <c r="P35" s="1199"/>
      <c r="Q35" s="1191"/>
      <c r="R35" s="1191"/>
      <c r="S35" s="1191"/>
      <c r="T35" s="1191"/>
      <c r="U35" s="1191"/>
      <c r="V35" s="1191"/>
      <c r="W35" s="1191"/>
      <c r="X35" s="1191"/>
      <c r="Y35" s="1191"/>
      <c r="Z35" s="1191"/>
      <c r="AA35" s="1191"/>
      <c r="AB35" s="1191"/>
      <c r="AC35" s="1203"/>
      <c r="AD35" s="1203"/>
      <c r="AE35" s="1203"/>
      <c r="AF35" s="1203"/>
      <c r="AG35" s="1203"/>
      <c r="AH35" s="1203"/>
      <c r="AI35" s="1206"/>
      <c r="AJ35" s="1206"/>
      <c r="AK35" s="1206"/>
    </row>
    <row r="36" spans="1:38" s="156" customFormat="1" ht="12.75">
      <c r="A36" s="1194"/>
      <c r="B36" s="1194"/>
      <c r="C36" s="1194"/>
      <c r="D36" s="1191"/>
      <c r="E36" s="1191"/>
      <c r="F36" s="1191"/>
      <c r="G36" s="1191"/>
      <c r="H36" s="1191"/>
      <c r="I36" s="1191"/>
      <c r="J36" s="1191"/>
      <c r="K36" s="1191"/>
      <c r="L36" s="1191"/>
      <c r="M36" s="1191"/>
      <c r="N36" s="1191"/>
      <c r="O36" s="1191"/>
      <c r="P36" s="1191"/>
      <c r="Q36" s="1191"/>
      <c r="R36" s="1191"/>
      <c r="S36" s="1191"/>
      <c r="T36" s="1191"/>
      <c r="U36" s="1191"/>
      <c r="V36" s="1191"/>
      <c r="W36" s="1191"/>
      <c r="X36" s="1191"/>
      <c r="Y36" s="1191"/>
      <c r="Z36" s="1191"/>
      <c r="AA36" s="1191"/>
      <c r="AB36" s="1191"/>
      <c r="AC36" s="1191"/>
      <c r="AD36" s="1191"/>
      <c r="AE36" s="1191"/>
      <c r="AF36" s="1191"/>
      <c r="AG36" s="1191"/>
      <c r="AH36" s="1191"/>
      <c r="AI36" s="1207"/>
      <c r="AJ36" s="1192"/>
      <c r="AK36" s="1192"/>
    </row>
    <row r="37" spans="1:38" s="156" customFormat="1" ht="11.25">
      <c r="A37" s="1194"/>
      <c r="B37" s="1194"/>
      <c r="C37" s="1194"/>
      <c r="D37" s="1195"/>
      <c r="E37" s="1195"/>
      <c r="F37" s="1195"/>
      <c r="G37" s="1195"/>
      <c r="H37" s="1195"/>
      <c r="I37" s="1195"/>
      <c r="J37" s="1195"/>
      <c r="K37" s="1195"/>
      <c r="L37" s="1195"/>
      <c r="M37" s="1195"/>
      <c r="N37" s="1195"/>
      <c r="O37" s="1195"/>
      <c r="P37" s="1195"/>
      <c r="Q37" s="1195"/>
      <c r="R37" s="1195"/>
      <c r="S37" s="1195"/>
      <c r="T37" s="1195"/>
      <c r="U37" s="1195"/>
      <c r="V37" s="1195"/>
      <c r="W37" s="1195"/>
      <c r="X37" s="1195"/>
      <c r="Y37" s="1195"/>
      <c r="Z37" s="1195"/>
      <c r="AA37" s="1195"/>
      <c r="AB37" s="1195"/>
      <c r="AC37" s="1195"/>
      <c r="AD37" s="1195"/>
      <c r="AE37" s="1195"/>
      <c r="AF37" s="1195"/>
      <c r="AG37" s="1195"/>
      <c r="AH37" s="1195"/>
      <c r="AI37" s="1208"/>
      <c r="AJ37" s="1209"/>
      <c r="AK37" s="1209"/>
    </row>
    <row r="38" spans="1:38" s="156" customFormat="1" ht="11.25">
      <c r="A38" s="1194"/>
      <c r="B38" s="1194"/>
      <c r="C38" s="1194"/>
      <c r="D38" s="1195"/>
      <c r="E38" s="1195"/>
      <c r="F38" s="1195"/>
      <c r="G38" s="1195"/>
      <c r="H38" s="1195"/>
      <c r="I38" s="1195"/>
      <c r="J38" s="1195"/>
      <c r="K38" s="1195"/>
      <c r="L38" s="1195"/>
      <c r="M38" s="1195"/>
      <c r="N38" s="1195"/>
      <c r="O38" s="1195"/>
      <c r="P38" s="1195"/>
      <c r="Q38" s="1195"/>
      <c r="R38" s="1195"/>
      <c r="S38" s="1195"/>
      <c r="T38" s="1195"/>
      <c r="U38" s="1195"/>
      <c r="V38" s="1195"/>
      <c r="W38" s="1195"/>
      <c r="X38" s="1195"/>
      <c r="Y38" s="1195"/>
      <c r="Z38" s="1195"/>
      <c r="AA38" s="1195"/>
      <c r="AB38" s="1195"/>
      <c r="AC38" s="1195"/>
      <c r="AD38" s="1195"/>
      <c r="AE38" s="1195"/>
      <c r="AF38" s="1195"/>
      <c r="AG38" s="1195"/>
      <c r="AH38" s="1195"/>
      <c r="AI38" s="1208"/>
      <c r="AJ38" s="1209"/>
      <c r="AK38" s="1209"/>
    </row>
    <row r="39" spans="1:38" s="156" customFormat="1" ht="11.25">
      <c r="A39" s="1194"/>
      <c r="B39" s="1194"/>
      <c r="C39" s="1194"/>
      <c r="D39" s="1195"/>
      <c r="E39" s="1195"/>
      <c r="F39" s="1195"/>
      <c r="G39" s="1195"/>
      <c r="H39" s="1195"/>
      <c r="I39" s="1195"/>
      <c r="J39" s="1195"/>
      <c r="K39" s="1195"/>
      <c r="L39" s="1195"/>
      <c r="M39" s="1195"/>
      <c r="N39" s="1195"/>
      <c r="O39" s="1195"/>
      <c r="P39" s="1195"/>
      <c r="Q39" s="1195"/>
      <c r="R39" s="1195"/>
      <c r="S39" s="1195"/>
      <c r="T39" s="1195"/>
      <c r="U39" s="1195"/>
      <c r="V39" s="1195"/>
      <c r="W39" s="1195"/>
      <c r="X39" s="1195"/>
      <c r="Y39" s="1195"/>
      <c r="Z39" s="1195"/>
      <c r="AA39" s="1195"/>
      <c r="AB39" s="1195"/>
      <c r="AC39" s="1195"/>
      <c r="AD39" s="1195"/>
      <c r="AE39" s="1195"/>
      <c r="AF39" s="1195"/>
      <c r="AG39" s="1195"/>
      <c r="AH39" s="1195"/>
      <c r="AI39" s="1208"/>
      <c r="AJ39" s="1209"/>
      <c r="AK39" s="1209"/>
    </row>
    <row r="40" spans="1:38" s="156" customFormat="1" ht="11.25">
      <c r="A40" s="1194"/>
      <c r="B40" s="1194"/>
      <c r="C40" s="1194"/>
      <c r="D40" s="1195"/>
      <c r="E40" s="1195"/>
      <c r="F40" s="1195"/>
      <c r="G40" s="1195"/>
      <c r="H40" s="1195"/>
      <c r="I40" s="1195"/>
      <c r="J40" s="1195"/>
      <c r="K40" s="1195"/>
      <c r="L40" s="1195"/>
      <c r="M40" s="1195"/>
      <c r="N40" s="1195"/>
      <c r="O40" s="1195"/>
      <c r="P40" s="1195"/>
      <c r="Q40" s="1195"/>
      <c r="R40" s="1195"/>
      <c r="S40" s="1195"/>
      <c r="T40" s="1195"/>
      <c r="U40" s="1195"/>
      <c r="V40" s="1195"/>
      <c r="W40" s="1195"/>
      <c r="X40" s="1195"/>
      <c r="Y40" s="1195"/>
      <c r="Z40" s="1195"/>
      <c r="AA40" s="1195"/>
      <c r="AB40" s="1195"/>
      <c r="AC40" s="1195"/>
      <c r="AD40" s="1195"/>
      <c r="AE40" s="1195"/>
      <c r="AF40" s="1195"/>
      <c r="AG40" s="1195"/>
      <c r="AH40" s="1195"/>
      <c r="AI40" s="1208"/>
      <c r="AJ40" s="1209"/>
      <c r="AK40" s="1209"/>
    </row>
    <row r="41" spans="1:38" s="156" customFormat="1" ht="11.25">
      <c r="A41" s="1194"/>
      <c r="B41" s="1194"/>
      <c r="C41" s="1194"/>
      <c r="D41" s="1195"/>
      <c r="E41" s="1195"/>
      <c r="F41" s="1195"/>
      <c r="G41" s="1195"/>
      <c r="H41" s="1195"/>
      <c r="I41" s="1195"/>
      <c r="J41" s="1195"/>
      <c r="K41" s="1195"/>
      <c r="L41" s="1195"/>
      <c r="M41" s="1195"/>
      <c r="N41" s="1195"/>
      <c r="O41" s="1195"/>
      <c r="P41" s="1195"/>
      <c r="Q41" s="1195"/>
      <c r="R41" s="1195"/>
      <c r="S41" s="1195"/>
      <c r="T41" s="1195"/>
      <c r="U41" s="1195"/>
      <c r="V41" s="1195"/>
      <c r="W41" s="1195"/>
      <c r="X41" s="1195"/>
      <c r="Y41" s="1195"/>
      <c r="Z41" s="1195"/>
      <c r="AA41" s="1195"/>
      <c r="AB41" s="1195"/>
      <c r="AC41" s="1195"/>
      <c r="AD41" s="1195"/>
      <c r="AE41" s="1195"/>
      <c r="AF41" s="1195"/>
      <c r="AG41" s="1195"/>
      <c r="AH41" s="1195"/>
      <c r="AI41" s="1208"/>
      <c r="AJ41" s="1209"/>
      <c r="AK41" s="1209"/>
    </row>
    <row r="42" spans="1:38" s="156" customFormat="1" ht="11.25">
      <c r="A42" s="1194"/>
      <c r="B42" s="1194"/>
      <c r="C42" s="1194"/>
      <c r="D42" s="1195"/>
      <c r="E42" s="1195"/>
      <c r="F42" s="1195"/>
      <c r="G42" s="1195"/>
      <c r="H42" s="1195"/>
      <c r="I42" s="1195"/>
      <c r="J42" s="1195"/>
      <c r="K42" s="1195"/>
      <c r="L42" s="1195"/>
      <c r="M42" s="1195"/>
      <c r="N42" s="1195"/>
      <c r="O42" s="1195"/>
      <c r="P42" s="1195"/>
      <c r="Q42" s="1195"/>
      <c r="R42" s="1195"/>
      <c r="S42" s="1195"/>
      <c r="T42" s="1195"/>
      <c r="U42" s="1195"/>
      <c r="V42" s="1195"/>
      <c r="W42" s="1195"/>
      <c r="X42" s="1195"/>
      <c r="Y42" s="1195"/>
      <c r="Z42" s="1195"/>
      <c r="AA42" s="1195"/>
      <c r="AB42" s="1195"/>
      <c r="AC42" s="1195"/>
      <c r="AD42" s="1195"/>
      <c r="AE42" s="1195"/>
      <c r="AF42" s="1195"/>
      <c r="AG42" s="1195"/>
      <c r="AH42" s="1195"/>
      <c r="AI42" s="1208"/>
      <c r="AJ42" s="1209"/>
      <c r="AK42" s="1209"/>
    </row>
    <row r="43" spans="1:38" s="156" customFormat="1" ht="11.25">
      <c r="A43" s="1194"/>
      <c r="B43" s="1194"/>
      <c r="C43" s="1194"/>
      <c r="D43" s="1195"/>
      <c r="E43" s="1195"/>
      <c r="F43" s="1195"/>
      <c r="G43" s="1195"/>
      <c r="H43" s="1195"/>
      <c r="I43" s="1195"/>
      <c r="J43" s="1195"/>
      <c r="K43" s="1195"/>
      <c r="L43" s="1195"/>
      <c r="M43" s="1195"/>
      <c r="N43" s="1195"/>
      <c r="O43" s="1195"/>
      <c r="P43" s="1195"/>
      <c r="Q43" s="1195"/>
      <c r="R43" s="1195"/>
      <c r="S43" s="1195"/>
      <c r="T43" s="1195"/>
      <c r="U43" s="1195"/>
      <c r="V43" s="1195"/>
      <c r="W43" s="1195"/>
      <c r="X43" s="1195"/>
      <c r="Y43" s="1195"/>
      <c r="Z43" s="1195"/>
      <c r="AA43" s="1195"/>
      <c r="AB43" s="1195"/>
      <c r="AC43" s="1195"/>
      <c r="AD43" s="1195"/>
      <c r="AE43" s="1195"/>
      <c r="AF43" s="1195"/>
      <c r="AG43" s="1195"/>
      <c r="AH43" s="1195"/>
      <c r="AI43" s="1208"/>
      <c r="AJ43" s="1209"/>
      <c r="AK43" s="1209"/>
    </row>
    <row r="44" spans="1:38" s="156" customFormat="1" ht="11.25">
      <c r="A44" s="1194"/>
      <c r="B44" s="1194"/>
      <c r="C44" s="1194"/>
      <c r="D44" s="1195"/>
      <c r="E44" s="1195"/>
      <c r="F44" s="1195"/>
      <c r="G44" s="1195"/>
      <c r="H44" s="1195"/>
      <c r="I44" s="1195"/>
      <c r="J44" s="1195"/>
      <c r="K44" s="1195"/>
      <c r="L44" s="1195"/>
      <c r="M44" s="1195"/>
      <c r="N44" s="1195"/>
      <c r="O44" s="1195"/>
      <c r="P44" s="1195"/>
      <c r="Q44" s="1195"/>
      <c r="R44" s="1195"/>
      <c r="S44" s="1195"/>
      <c r="T44" s="1195"/>
      <c r="U44" s="1195"/>
      <c r="V44" s="1195"/>
      <c r="W44" s="1195"/>
      <c r="X44" s="1195"/>
      <c r="Y44" s="1195"/>
      <c r="Z44" s="1195"/>
      <c r="AA44" s="1195"/>
      <c r="AB44" s="1195"/>
      <c r="AC44" s="1195"/>
      <c r="AD44" s="1195"/>
      <c r="AE44" s="1195"/>
      <c r="AF44" s="1195"/>
      <c r="AG44" s="1195"/>
      <c r="AH44" s="1195"/>
      <c r="AI44" s="1208"/>
      <c r="AJ44" s="1209"/>
      <c r="AK44" s="1209"/>
    </row>
    <row r="45" spans="1:38" s="156" customFormat="1" ht="11.25">
      <c r="A45" s="1194"/>
      <c r="B45" s="1194"/>
      <c r="C45" s="1194"/>
      <c r="D45" s="1195"/>
      <c r="E45" s="1195"/>
      <c r="F45" s="1195"/>
      <c r="G45" s="1195"/>
      <c r="H45" s="1195"/>
      <c r="I45" s="1195"/>
      <c r="J45" s="1195"/>
      <c r="K45" s="1195"/>
      <c r="L45" s="1195"/>
      <c r="M45" s="1195"/>
      <c r="N45" s="1195"/>
      <c r="O45" s="1195"/>
      <c r="P45" s="1195"/>
      <c r="Q45" s="1195"/>
      <c r="R45" s="1195"/>
      <c r="S45" s="1195"/>
      <c r="T45" s="1195"/>
      <c r="U45" s="1195"/>
      <c r="V45" s="1195"/>
      <c r="W45" s="1195"/>
      <c r="X45" s="1195"/>
      <c r="Y45" s="1195"/>
      <c r="Z45" s="1195"/>
      <c r="AA45" s="1195"/>
      <c r="AB45" s="1195"/>
      <c r="AC45" s="1195"/>
      <c r="AD45" s="1195"/>
      <c r="AE45" s="1195"/>
      <c r="AF45" s="1195"/>
      <c r="AG45" s="1195"/>
      <c r="AH45" s="1195"/>
      <c r="AI45" s="1208"/>
      <c r="AJ45" s="1209"/>
      <c r="AK45" s="1209"/>
    </row>
    <row r="46" spans="1:38" s="156" customFormat="1" ht="11.25">
      <c r="A46" s="1194"/>
      <c r="B46" s="1194"/>
      <c r="C46" s="1194"/>
      <c r="D46" s="1195"/>
      <c r="E46" s="1195"/>
      <c r="F46" s="1195"/>
      <c r="G46" s="1195"/>
      <c r="H46" s="1195"/>
      <c r="I46" s="1195"/>
      <c r="J46" s="1195"/>
      <c r="K46" s="1195"/>
      <c r="L46" s="1195"/>
      <c r="M46" s="1195"/>
      <c r="N46" s="1195"/>
      <c r="O46" s="1195"/>
      <c r="P46" s="1195"/>
      <c r="Q46" s="1195"/>
      <c r="R46" s="1195"/>
      <c r="S46" s="1195"/>
      <c r="T46" s="1195"/>
      <c r="U46" s="1195"/>
      <c r="V46" s="1195"/>
      <c r="W46" s="1195"/>
      <c r="X46" s="1195"/>
      <c r="Y46" s="1195"/>
      <c r="Z46" s="1195"/>
      <c r="AA46" s="1195"/>
      <c r="AB46" s="1195"/>
      <c r="AC46" s="1195"/>
      <c r="AD46" s="1195"/>
      <c r="AE46" s="1195"/>
      <c r="AF46" s="1195"/>
      <c r="AG46" s="1195"/>
      <c r="AH46" s="1195"/>
      <c r="AI46" s="1208"/>
      <c r="AJ46" s="1209"/>
      <c r="AK46" s="1209"/>
    </row>
    <row r="47" spans="1:38" s="156" customFormat="1" ht="11.25">
      <c r="A47" s="1194"/>
      <c r="B47" s="1194"/>
      <c r="C47" s="1194"/>
      <c r="D47" s="1194"/>
      <c r="E47" s="1194"/>
      <c r="F47" s="1194"/>
      <c r="G47" s="1195"/>
      <c r="H47" s="1195"/>
      <c r="I47" s="1195"/>
      <c r="J47" s="1195"/>
      <c r="K47" s="1195"/>
      <c r="L47" s="1195"/>
      <c r="M47" s="1195"/>
      <c r="N47" s="1195"/>
      <c r="O47" s="1195"/>
      <c r="P47" s="1195"/>
      <c r="Q47" s="1195"/>
      <c r="R47" s="1195"/>
      <c r="S47" s="1195"/>
      <c r="T47" s="1195"/>
      <c r="U47" s="1195"/>
      <c r="V47" s="1195"/>
      <c r="W47" s="1195"/>
      <c r="X47" s="1195"/>
      <c r="Y47" s="1195"/>
      <c r="Z47" s="1195"/>
      <c r="AA47" s="1195"/>
      <c r="AB47" s="1195"/>
      <c r="AC47" s="1195"/>
      <c r="AD47" s="1195"/>
      <c r="AE47" s="1195"/>
      <c r="AF47" s="1195"/>
      <c r="AG47" s="1195"/>
      <c r="AH47" s="1195"/>
      <c r="AI47" s="1208"/>
      <c r="AJ47" s="1209"/>
      <c r="AK47" s="1209"/>
    </row>
    <row r="48" spans="1:38" s="156" customFormat="1" ht="11.25">
      <c r="A48" s="1194"/>
      <c r="B48" s="1194"/>
      <c r="C48" s="1194"/>
      <c r="D48" s="1194"/>
      <c r="E48" s="1194"/>
      <c r="F48" s="1194"/>
      <c r="G48" s="1195"/>
      <c r="H48" s="1195"/>
      <c r="I48" s="1195"/>
      <c r="J48" s="1195"/>
      <c r="K48" s="1195"/>
      <c r="L48" s="1195"/>
      <c r="M48" s="1195"/>
      <c r="N48" s="1195"/>
      <c r="O48" s="1195"/>
      <c r="P48" s="1195"/>
      <c r="Q48" s="1195"/>
      <c r="R48" s="1195"/>
      <c r="S48" s="1195"/>
      <c r="T48" s="1195"/>
      <c r="U48" s="1195"/>
      <c r="V48" s="1195"/>
      <c r="W48" s="1195"/>
      <c r="X48" s="1195"/>
      <c r="Y48" s="1195"/>
      <c r="Z48" s="1195"/>
      <c r="AA48" s="1195"/>
      <c r="AB48" s="1195"/>
      <c r="AC48" s="1195"/>
      <c r="AD48" s="1195"/>
      <c r="AE48" s="1195"/>
      <c r="AF48" s="1195"/>
      <c r="AG48" s="1195"/>
      <c r="AH48" s="1195"/>
      <c r="AI48" s="1208"/>
      <c r="AJ48" s="1209"/>
      <c r="AK48" s="1209"/>
    </row>
    <row r="49" spans="1:37" s="156" customFormat="1" ht="11.25">
      <c r="A49" s="1194"/>
      <c r="B49" s="1194"/>
      <c r="C49" s="1194"/>
      <c r="D49" s="1194"/>
      <c r="E49" s="1194"/>
      <c r="F49" s="1194"/>
      <c r="G49" s="1195"/>
      <c r="H49" s="1195"/>
      <c r="I49" s="1195"/>
      <c r="J49" s="1195"/>
      <c r="K49" s="1195"/>
      <c r="L49" s="1195"/>
      <c r="M49" s="1195"/>
      <c r="N49" s="1195"/>
      <c r="O49" s="1195"/>
      <c r="P49" s="1195"/>
      <c r="Q49" s="1195"/>
      <c r="R49" s="1195"/>
      <c r="S49" s="1195"/>
      <c r="T49" s="1195"/>
      <c r="U49" s="1195"/>
      <c r="V49" s="1195"/>
      <c r="W49" s="1195"/>
      <c r="X49" s="1195"/>
      <c r="Y49" s="1195"/>
      <c r="Z49" s="1195"/>
      <c r="AA49" s="1195"/>
      <c r="AB49" s="1195"/>
      <c r="AC49" s="1195"/>
      <c r="AD49" s="1195"/>
      <c r="AE49" s="1195"/>
      <c r="AF49" s="1195"/>
      <c r="AG49" s="1195"/>
      <c r="AH49" s="1195"/>
      <c r="AI49" s="1208"/>
      <c r="AJ49" s="1209"/>
      <c r="AK49" s="1209"/>
    </row>
    <row r="50" spans="1:37" s="156" customFormat="1" ht="11.25">
      <c r="A50" s="1194"/>
      <c r="B50" s="1194"/>
      <c r="C50" s="1194"/>
      <c r="D50" s="1194"/>
      <c r="E50" s="1194"/>
      <c r="F50" s="1194"/>
      <c r="G50" s="1195"/>
      <c r="H50" s="1195"/>
      <c r="I50" s="1195"/>
      <c r="J50" s="1195"/>
      <c r="K50" s="1195"/>
      <c r="L50" s="1195"/>
      <c r="M50" s="1195"/>
      <c r="N50" s="1195"/>
      <c r="O50" s="1195"/>
      <c r="P50" s="1195"/>
      <c r="Q50" s="1195"/>
      <c r="R50" s="1195"/>
      <c r="S50" s="1195"/>
      <c r="T50" s="1195"/>
      <c r="U50" s="1195"/>
      <c r="V50" s="1195"/>
      <c r="W50" s="1195"/>
      <c r="X50" s="1195"/>
      <c r="Y50" s="1195"/>
      <c r="Z50" s="1195"/>
      <c r="AA50" s="1195"/>
      <c r="AB50" s="1195"/>
      <c r="AC50" s="1195"/>
      <c r="AD50" s="1195"/>
      <c r="AE50" s="1195"/>
      <c r="AF50" s="1195"/>
      <c r="AG50" s="1195"/>
      <c r="AH50" s="1195"/>
      <c r="AI50" s="1208"/>
      <c r="AJ50" s="1209"/>
      <c r="AK50" s="1209"/>
    </row>
    <row r="51" spans="1:37" s="156" customFormat="1" ht="11.25">
      <c r="A51" s="1194"/>
      <c r="B51" s="1194"/>
      <c r="C51" s="1194"/>
      <c r="D51" s="1194"/>
      <c r="E51" s="1194"/>
      <c r="F51" s="1194"/>
      <c r="G51" s="1195"/>
      <c r="H51" s="1195"/>
      <c r="I51" s="1195"/>
      <c r="J51" s="1195"/>
      <c r="K51" s="1195"/>
      <c r="L51" s="1195"/>
      <c r="M51" s="1195"/>
      <c r="N51" s="1195"/>
      <c r="O51" s="1195"/>
      <c r="P51" s="1195"/>
      <c r="Q51" s="1195"/>
      <c r="R51" s="1195"/>
      <c r="S51" s="1195"/>
      <c r="T51" s="1195"/>
      <c r="U51" s="1195"/>
      <c r="V51" s="1195"/>
      <c r="W51" s="1195"/>
      <c r="X51" s="1195"/>
      <c r="Y51" s="1195"/>
      <c r="Z51" s="1195"/>
      <c r="AA51" s="1195"/>
      <c r="AB51" s="1195"/>
      <c r="AC51" s="1195"/>
      <c r="AD51" s="1195"/>
      <c r="AE51" s="1195"/>
      <c r="AF51" s="1195"/>
      <c r="AG51" s="1195"/>
      <c r="AH51" s="1195"/>
      <c r="AI51" s="1208"/>
      <c r="AJ51" s="1209"/>
      <c r="AK51" s="1209"/>
    </row>
    <row r="52" spans="1:37" s="156" customFormat="1" ht="11.25">
      <c r="A52" s="1194"/>
      <c r="B52" s="1194"/>
      <c r="C52" s="1194"/>
      <c r="D52" s="1194"/>
      <c r="E52" s="1194"/>
      <c r="F52" s="1194"/>
      <c r="G52" s="1195"/>
      <c r="H52" s="1195"/>
      <c r="I52" s="1195"/>
      <c r="J52" s="1195"/>
      <c r="K52" s="1195"/>
      <c r="L52" s="1195"/>
      <c r="M52" s="1195"/>
      <c r="N52" s="1195"/>
      <c r="O52" s="1195"/>
      <c r="P52" s="1195"/>
      <c r="Q52" s="1195"/>
      <c r="R52" s="1195"/>
      <c r="S52" s="1195"/>
      <c r="T52" s="1195"/>
      <c r="U52" s="1195"/>
      <c r="V52" s="1195"/>
      <c r="W52" s="1195"/>
      <c r="X52" s="1195"/>
      <c r="Y52" s="1195"/>
      <c r="Z52" s="1195"/>
      <c r="AA52" s="1195"/>
      <c r="AB52" s="1195"/>
      <c r="AC52" s="1195"/>
      <c r="AD52" s="1195"/>
      <c r="AE52" s="1195"/>
      <c r="AF52" s="1195"/>
      <c r="AG52" s="1195"/>
      <c r="AH52" s="1195"/>
      <c r="AI52" s="1208"/>
      <c r="AJ52" s="1209"/>
      <c r="AK52" s="1209"/>
    </row>
    <row r="53" spans="1:37" s="156" customFormat="1" ht="11.25">
      <c r="A53" s="1194"/>
      <c r="B53" s="1194"/>
      <c r="C53" s="1194"/>
      <c r="D53" s="1194"/>
      <c r="E53" s="1194"/>
      <c r="F53" s="1194"/>
      <c r="G53" s="1195"/>
      <c r="H53" s="1195"/>
      <c r="I53" s="1195"/>
      <c r="J53" s="1195"/>
      <c r="K53" s="1195"/>
      <c r="L53" s="1195"/>
      <c r="M53" s="1195"/>
      <c r="N53" s="1195"/>
      <c r="O53" s="1195"/>
      <c r="P53" s="1195"/>
      <c r="Q53" s="1195"/>
      <c r="R53" s="1195"/>
      <c r="S53" s="1195"/>
      <c r="T53" s="1195"/>
      <c r="U53" s="1195"/>
      <c r="V53" s="1195"/>
      <c r="W53" s="1195"/>
      <c r="X53" s="1195"/>
      <c r="Y53" s="1195"/>
      <c r="Z53" s="1195"/>
      <c r="AA53" s="1195"/>
      <c r="AB53" s="1195"/>
      <c r="AC53" s="1195"/>
      <c r="AD53" s="1195"/>
      <c r="AE53" s="1195"/>
      <c r="AF53" s="1195"/>
      <c r="AG53" s="1195"/>
      <c r="AH53" s="1195"/>
      <c r="AI53" s="1208"/>
      <c r="AJ53" s="1209"/>
      <c r="AK53" s="1209"/>
    </row>
    <row r="54" spans="1:37" s="156" customFormat="1" ht="11.25">
      <c r="A54" s="1194"/>
      <c r="B54" s="1194"/>
      <c r="C54" s="1194"/>
      <c r="D54" s="1194"/>
      <c r="E54" s="1194"/>
      <c r="F54" s="1194"/>
      <c r="G54" s="1195"/>
      <c r="H54" s="1195"/>
      <c r="I54" s="1195"/>
      <c r="J54" s="1195"/>
      <c r="K54" s="1195"/>
      <c r="L54" s="1195"/>
      <c r="M54" s="1195"/>
      <c r="N54" s="1195"/>
      <c r="O54" s="1195"/>
      <c r="P54" s="1195"/>
      <c r="Q54" s="1195"/>
      <c r="R54" s="1195"/>
      <c r="S54" s="1195"/>
      <c r="T54" s="1195"/>
      <c r="U54" s="1195"/>
      <c r="V54" s="1195"/>
      <c r="W54" s="1195"/>
      <c r="X54" s="1195"/>
      <c r="Y54" s="1195"/>
      <c r="Z54" s="1195"/>
      <c r="AA54" s="1195"/>
      <c r="AB54" s="1195"/>
      <c r="AC54" s="1195"/>
      <c r="AD54" s="1195"/>
      <c r="AE54" s="1195"/>
      <c r="AF54" s="1195"/>
      <c r="AG54" s="1195"/>
      <c r="AH54" s="1195"/>
      <c r="AI54" s="1208"/>
      <c r="AJ54" s="1209"/>
      <c r="AK54" s="1209"/>
    </row>
    <row r="55" spans="1:37" s="156" customFormat="1" ht="11.25">
      <c r="A55" s="1194"/>
      <c r="B55" s="1194"/>
      <c r="C55" s="1194"/>
      <c r="D55" s="1194"/>
      <c r="E55" s="1194"/>
      <c r="F55" s="1194"/>
      <c r="G55" s="1195"/>
      <c r="H55" s="1195"/>
      <c r="I55" s="1195"/>
      <c r="J55" s="1195"/>
      <c r="K55" s="1195"/>
      <c r="L55" s="1195"/>
      <c r="M55" s="1195"/>
      <c r="N55" s="1195"/>
      <c r="O55" s="1195"/>
      <c r="P55" s="1195"/>
      <c r="Q55" s="1195"/>
      <c r="R55" s="1195"/>
      <c r="S55" s="1195"/>
      <c r="T55" s="1195"/>
      <c r="U55" s="1195"/>
      <c r="V55" s="1195"/>
      <c r="W55" s="1195"/>
      <c r="X55" s="1195"/>
      <c r="Y55" s="1195"/>
      <c r="Z55" s="1195"/>
      <c r="AA55" s="1195"/>
      <c r="AB55" s="1195"/>
      <c r="AC55" s="1195"/>
      <c r="AD55" s="1195"/>
      <c r="AE55" s="1195"/>
      <c r="AF55" s="1195"/>
      <c r="AG55" s="1195"/>
      <c r="AH55" s="1195"/>
      <c r="AI55" s="1208"/>
      <c r="AJ55" s="1209"/>
      <c r="AK55" s="1209"/>
    </row>
    <row r="56" spans="1:37" s="156" customFormat="1" ht="11.25">
      <c r="A56" s="1194"/>
      <c r="B56" s="1194"/>
      <c r="C56" s="1194"/>
      <c r="D56" s="1194"/>
      <c r="E56" s="1194"/>
      <c r="F56" s="1194"/>
      <c r="G56" s="1195"/>
      <c r="H56" s="1195"/>
      <c r="I56" s="1195"/>
      <c r="J56" s="1195"/>
      <c r="K56" s="1195"/>
      <c r="L56" s="1195"/>
      <c r="M56" s="1195"/>
      <c r="N56" s="1195"/>
      <c r="O56" s="1195"/>
      <c r="P56" s="1195"/>
      <c r="Q56" s="1195"/>
      <c r="R56" s="1195"/>
      <c r="S56" s="1195"/>
      <c r="T56" s="1195"/>
      <c r="U56" s="1195"/>
      <c r="V56" s="1195"/>
      <c r="W56" s="1195"/>
      <c r="X56" s="1195"/>
      <c r="Y56" s="1195"/>
      <c r="Z56" s="1195"/>
      <c r="AA56" s="1195"/>
      <c r="AB56" s="1195"/>
      <c r="AC56" s="1195"/>
      <c r="AD56" s="1195"/>
      <c r="AE56" s="1195"/>
      <c r="AF56" s="1195"/>
      <c r="AG56" s="1195"/>
      <c r="AH56" s="1195"/>
      <c r="AI56" s="1208"/>
      <c r="AJ56" s="1209"/>
      <c r="AK56" s="1209"/>
    </row>
    <row r="57" spans="1:37" s="156" customFormat="1" ht="11.25">
      <c r="A57" s="1194"/>
      <c r="B57" s="1194"/>
      <c r="C57" s="1194"/>
      <c r="D57" s="1194"/>
      <c r="E57" s="1194"/>
      <c r="F57" s="1194"/>
      <c r="G57" s="1195"/>
      <c r="H57" s="1195"/>
      <c r="I57" s="1195"/>
      <c r="J57" s="1195"/>
      <c r="K57" s="1195"/>
      <c r="L57" s="1195"/>
      <c r="M57" s="1195"/>
      <c r="N57" s="1195"/>
      <c r="O57" s="1195"/>
      <c r="P57" s="1195"/>
      <c r="Q57" s="1195"/>
      <c r="R57" s="1195"/>
      <c r="S57" s="1195"/>
      <c r="T57" s="1195"/>
      <c r="U57" s="1195"/>
      <c r="V57" s="1195"/>
      <c r="W57" s="1195"/>
      <c r="X57" s="1195"/>
      <c r="Y57" s="1195"/>
      <c r="Z57" s="1195"/>
      <c r="AA57" s="1195"/>
      <c r="AB57" s="1195"/>
      <c r="AC57" s="1195"/>
      <c r="AD57" s="1195"/>
      <c r="AE57" s="1195"/>
      <c r="AF57" s="1195"/>
      <c r="AG57" s="1195"/>
      <c r="AH57" s="1195"/>
      <c r="AI57" s="1208"/>
      <c r="AJ57" s="1209"/>
      <c r="AK57" s="1209"/>
    </row>
    <row r="58" spans="1:37" s="156" customFormat="1" ht="11.25">
      <c r="A58" s="1194"/>
      <c r="B58" s="1194"/>
      <c r="C58" s="1194"/>
      <c r="D58" s="1194"/>
      <c r="E58" s="1194"/>
      <c r="F58" s="1194"/>
      <c r="G58" s="1195"/>
      <c r="H58" s="1195"/>
      <c r="I58" s="1195"/>
      <c r="J58" s="1195"/>
      <c r="K58" s="1195"/>
      <c r="L58" s="1195"/>
      <c r="M58" s="1195"/>
      <c r="N58" s="1195"/>
      <c r="O58" s="1195"/>
      <c r="P58" s="1195"/>
      <c r="Q58" s="1195"/>
      <c r="R58" s="1195"/>
      <c r="S58" s="1195"/>
      <c r="T58" s="1195"/>
      <c r="U58" s="1195"/>
      <c r="V58" s="1195"/>
      <c r="W58" s="1195"/>
      <c r="X58" s="1195"/>
      <c r="Y58" s="1195"/>
      <c r="Z58" s="1195"/>
      <c r="AA58" s="1195"/>
      <c r="AB58" s="1195"/>
      <c r="AC58" s="1195"/>
      <c r="AD58" s="1195"/>
      <c r="AE58" s="1195"/>
      <c r="AF58" s="1195"/>
      <c r="AG58" s="1195"/>
      <c r="AH58" s="1195"/>
      <c r="AI58" s="1208"/>
      <c r="AJ58" s="1209"/>
      <c r="AK58" s="1209"/>
    </row>
    <row r="59" spans="1:37" s="156" customFormat="1" ht="11.25">
      <c r="A59" s="1194"/>
      <c r="B59" s="1194"/>
      <c r="C59" s="1194"/>
      <c r="D59" s="1194"/>
      <c r="E59" s="1194"/>
      <c r="F59" s="1194"/>
      <c r="G59" s="1195"/>
      <c r="H59" s="1195"/>
      <c r="I59" s="1195"/>
      <c r="J59" s="1195"/>
      <c r="K59" s="1195"/>
      <c r="L59" s="1195"/>
      <c r="M59" s="1195"/>
      <c r="N59" s="1195"/>
      <c r="O59" s="1195"/>
      <c r="P59" s="1195"/>
      <c r="Q59" s="1195"/>
      <c r="R59" s="1195"/>
      <c r="S59" s="1195"/>
      <c r="T59" s="1195"/>
      <c r="U59" s="1195"/>
      <c r="V59" s="1195"/>
      <c r="W59" s="1195"/>
      <c r="X59" s="1195"/>
      <c r="Y59" s="1195"/>
      <c r="Z59" s="1195"/>
      <c r="AA59" s="1195"/>
      <c r="AB59" s="1195"/>
      <c r="AC59" s="1195"/>
      <c r="AD59" s="1195"/>
      <c r="AE59" s="1195"/>
      <c r="AF59" s="1195"/>
      <c r="AG59" s="1195"/>
      <c r="AH59" s="1195"/>
      <c r="AI59" s="1208"/>
      <c r="AJ59" s="1209"/>
      <c r="AK59" s="1209"/>
    </row>
    <row r="60" spans="1:37" s="156" customFormat="1" ht="11.25">
      <c r="A60" s="1194"/>
      <c r="B60" s="1194"/>
      <c r="C60" s="1194"/>
      <c r="D60" s="1194"/>
      <c r="E60" s="1194"/>
      <c r="F60" s="1194"/>
      <c r="G60" s="1195"/>
      <c r="H60" s="1195"/>
      <c r="I60" s="1195"/>
      <c r="J60" s="1195"/>
      <c r="K60" s="1195"/>
      <c r="L60" s="1195"/>
      <c r="M60" s="1195"/>
      <c r="N60" s="1195"/>
      <c r="O60" s="1195"/>
      <c r="P60" s="1195"/>
      <c r="Q60" s="1195"/>
      <c r="R60" s="1195"/>
      <c r="S60" s="1195"/>
      <c r="T60" s="1195"/>
      <c r="U60" s="1195"/>
      <c r="V60" s="1195"/>
      <c r="W60" s="1195"/>
      <c r="X60" s="1195"/>
      <c r="Y60" s="1195"/>
      <c r="Z60" s="1195"/>
      <c r="AA60" s="1195"/>
      <c r="AB60" s="1195"/>
      <c r="AC60" s="1195"/>
      <c r="AD60" s="1195"/>
      <c r="AE60" s="1195"/>
      <c r="AF60" s="1195"/>
      <c r="AG60" s="1195"/>
      <c r="AH60" s="1195"/>
      <c r="AI60" s="1208"/>
      <c r="AJ60" s="1209"/>
      <c r="AK60" s="1209"/>
    </row>
    <row r="61" spans="1:37" s="156" customFormat="1" ht="11.25">
      <c r="A61" s="1194"/>
      <c r="B61" s="1194"/>
      <c r="C61" s="1194"/>
      <c r="D61" s="1194"/>
      <c r="E61" s="1194"/>
      <c r="F61" s="1194"/>
      <c r="G61" s="1195"/>
      <c r="H61" s="1195"/>
      <c r="I61" s="1195"/>
      <c r="J61" s="1195"/>
      <c r="K61" s="1195"/>
      <c r="L61" s="1195"/>
      <c r="M61" s="1195"/>
      <c r="N61" s="1195"/>
      <c r="O61" s="1195"/>
      <c r="P61" s="1195"/>
      <c r="Q61" s="1195"/>
      <c r="R61" s="1195"/>
      <c r="S61" s="1195"/>
      <c r="T61" s="1195"/>
      <c r="U61" s="1195"/>
      <c r="V61" s="1195"/>
      <c r="W61" s="1195"/>
      <c r="X61" s="1195"/>
      <c r="Y61" s="1195"/>
      <c r="Z61" s="1195"/>
      <c r="AA61" s="1195"/>
      <c r="AB61" s="1195"/>
      <c r="AC61" s="1195"/>
      <c r="AD61" s="1195"/>
      <c r="AE61" s="1195"/>
      <c r="AF61" s="1195"/>
      <c r="AG61" s="1195"/>
      <c r="AH61" s="1195"/>
      <c r="AI61" s="1208"/>
      <c r="AJ61" s="1209"/>
      <c r="AK61" s="1209"/>
    </row>
    <row r="62" spans="1:37" s="156" customFormat="1" ht="11.25">
      <c r="A62" s="1194"/>
      <c r="B62" s="1194"/>
      <c r="C62" s="1194"/>
      <c r="D62" s="1194"/>
      <c r="E62" s="1194"/>
      <c r="F62" s="1194"/>
      <c r="G62" s="1195"/>
      <c r="H62" s="1195"/>
      <c r="I62" s="1195"/>
      <c r="J62" s="1195"/>
      <c r="K62" s="1195"/>
      <c r="L62" s="1195"/>
      <c r="M62" s="1195"/>
      <c r="N62" s="1195"/>
      <c r="O62" s="1195"/>
      <c r="P62" s="1195"/>
      <c r="Q62" s="1195"/>
      <c r="R62" s="1195"/>
      <c r="S62" s="1195"/>
      <c r="T62" s="1195"/>
      <c r="U62" s="1195"/>
      <c r="V62" s="1195"/>
      <c r="W62" s="1195"/>
      <c r="X62" s="1195"/>
      <c r="Y62" s="1195"/>
      <c r="Z62" s="1195"/>
      <c r="AA62" s="1195"/>
      <c r="AB62" s="1195"/>
      <c r="AC62" s="1195"/>
      <c r="AD62" s="1195"/>
      <c r="AE62" s="1195"/>
      <c r="AF62" s="1195"/>
      <c r="AG62" s="1195"/>
      <c r="AH62" s="1195"/>
      <c r="AI62" s="1208"/>
      <c r="AJ62" s="1209"/>
      <c r="AK62" s="1209"/>
    </row>
    <row r="63" spans="1:37" s="156" customFormat="1" ht="11.25">
      <c r="A63" s="1194"/>
      <c r="B63" s="1194"/>
      <c r="C63" s="1194"/>
      <c r="D63" s="1194"/>
      <c r="E63" s="1194"/>
      <c r="F63" s="1194"/>
      <c r="G63" s="1195"/>
      <c r="H63" s="1195"/>
      <c r="I63" s="1195"/>
      <c r="J63" s="1195"/>
      <c r="K63" s="1195"/>
      <c r="L63" s="1195"/>
      <c r="M63" s="1195"/>
      <c r="N63" s="1195"/>
      <c r="O63" s="1195"/>
      <c r="P63" s="1195"/>
      <c r="Q63" s="1195"/>
      <c r="R63" s="1195"/>
      <c r="S63" s="1195"/>
      <c r="T63" s="1195"/>
      <c r="U63" s="1195"/>
      <c r="V63" s="1195"/>
      <c r="W63" s="1195"/>
      <c r="X63" s="1195"/>
      <c r="Y63" s="1195"/>
      <c r="Z63" s="1195"/>
      <c r="AA63" s="1195"/>
      <c r="AB63" s="1195"/>
      <c r="AC63" s="1195"/>
      <c r="AD63" s="1195"/>
      <c r="AE63" s="1195"/>
      <c r="AF63" s="1195"/>
      <c r="AG63" s="1195"/>
      <c r="AH63" s="1195"/>
      <c r="AI63" s="1208"/>
      <c r="AJ63" s="1209"/>
      <c r="AK63" s="1209"/>
    </row>
    <row r="64" spans="1:37" s="156" customFormat="1" ht="11.25">
      <c r="A64" s="1194"/>
      <c r="B64" s="1194"/>
      <c r="C64" s="1194"/>
      <c r="D64" s="1194"/>
      <c r="E64" s="1194"/>
      <c r="F64" s="1194"/>
      <c r="G64" s="1195"/>
      <c r="H64" s="1195"/>
      <c r="I64" s="1195"/>
      <c r="J64" s="1195"/>
      <c r="K64" s="1195"/>
      <c r="L64" s="1195"/>
      <c r="M64" s="1195"/>
      <c r="N64" s="1195"/>
      <c r="O64" s="1195"/>
      <c r="P64" s="1195"/>
      <c r="Q64" s="1195"/>
      <c r="R64" s="1195"/>
      <c r="S64" s="1195"/>
      <c r="T64" s="1195"/>
      <c r="U64" s="1195"/>
      <c r="V64" s="1195"/>
      <c r="W64" s="1195"/>
      <c r="X64" s="1195"/>
      <c r="Y64" s="1195"/>
      <c r="Z64" s="1195"/>
      <c r="AA64" s="1195"/>
      <c r="AB64" s="1195"/>
      <c r="AC64" s="1195"/>
      <c r="AD64" s="1195"/>
      <c r="AE64" s="1195"/>
      <c r="AF64" s="1195"/>
      <c r="AG64" s="1195"/>
      <c r="AH64" s="1195"/>
      <c r="AI64" s="1208"/>
      <c r="AJ64" s="1209"/>
      <c r="AK64" s="1209"/>
    </row>
    <row r="65" spans="1:37" s="156" customFormat="1" ht="11.25">
      <c r="A65" s="1194"/>
      <c r="B65" s="1194"/>
      <c r="C65" s="1194"/>
      <c r="D65" s="1194"/>
      <c r="E65" s="1194"/>
      <c r="F65" s="1194"/>
      <c r="G65" s="1195"/>
      <c r="H65" s="1195"/>
      <c r="I65" s="1195"/>
      <c r="J65" s="1195"/>
      <c r="K65" s="1195"/>
      <c r="L65" s="1195"/>
      <c r="M65" s="1195"/>
      <c r="N65" s="1195"/>
      <c r="O65" s="1195"/>
      <c r="P65" s="1195"/>
      <c r="Q65" s="1195"/>
      <c r="R65" s="1195"/>
      <c r="S65" s="1195"/>
      <c r="T65" s="1195"/>
      <c r="U65" s="1195"/>
      <c r="V65" s="1195"/>
      <c r="W65" s="1195"/>
      <c r="X65" s="1195"/>
      <c r="Y65" s="1195"/>
      <c r="Z65" s="1195"/>
      <c r="AA65" s="1195"/>
      <c r="AB65" s="1195"/>
      <c r="AC65" s="1195"/>
      <c r="AD65" s="1195"/>
      <c r="AE65" s="1195"/>
      <c r="AF65" s="1195"/>
      <c r="AG65" s="1195"/>
      <c r="AH65" s="1195"/>
      <c r="AI65" s="1208"/>
      <c r="AJ65" s="1209"/>
      <c r="AK65" s="1209"/>
    </row>
    <row r="66" spans="1:37" s="156" customFormat="1" ht="11.25">
      <c r="A66" s="1194"/>
      <c r="B66" s="1194"/>
      <c r="C66" s="1194"/>
      <c r="D66" s="1194"/>
      <c r="E66" s="1194"/>
      <c r="F66" s="1194"/>
      <c r="G66" s="1195"/>
      <c r="H66" s="1195"/>
      <c r="I66" s="1195"/>
      <c r="J66" s="1195"/>
      <c r="K66" s="1195"/>
      <c r="L66" s="1195"/>
      <c r="M66" s="1195"/>
      <c r="N66" s="1195"/>
      <c r="O66" s="1195"/>
      <c r="P66" s="1195"/>
      <c r="Q66" s="1195"/>
      <c r="R66" s="1195"/>
      <c r="S66" s="1195"/>
      <c r="T66" s="1195"/>
      <c r="U66" s="1195"/>
      <c r="V66" s="1195"/>
      <c r="W66" s="1195"/>
      <c r="X66" s="1195"/>
      <c r="Y66" s="1195"/>
      <c r="Z66" s="1195"/>
      <c r="AA66" s="1195"/>
      <c r="AB66" s="1195"/>
      <c r="AC66" s="1195"/>
      <c r="AD66" s="1195"/>
      <c r="AE66" s="1195"/>
      <c r="AF66" s="1195"/>
      <c r="AG66" s="1195"/>
      <c r="AH66" s="1195"/>
      <c r="AI66" s="1208"/>
      <c r="AJ66" s="1209"/>
      <c r="AK66" s="1209"/>
    </row>
    <row r="67" spans="1:37" s="156" customFormat="1" ht="11.25">
      <c r="A67" s="1194"/>
      <c r="B67" s="1194"/>
      <c r="C67" s="1194"/>
      <c r="D67" s="1194"/>
      <c r="E67" s="1194"/>
      <c r="F67" s="1194"/>
      <c r="G67" s="1195"/>
      <c r="H67" s="1195"/>
      <c r="I67" s="1195"/>
      <c r="J67" s="1195"/>
      <c r="K67" s="1195"/>
      <c r="L67" s="1195"/>
      <c r="M67" s="1195"/>
      <c r="N67" s="1195"/>
      <c r="O67" s="1195"/>
      <c r="P67" s="1195"/>
      <c r="Q67" s="1195"/>
      <c r="R67" s="1195"/>
      <c r="S67" s="1195"/>
      <c r="T67" s="1195"/>
      <c r="U67" s="1195"/>
      <c r="V67" s="1195"/>
      <c r="W67" s="1195"/>
      <c r="X67" s="1195"/>
      <c r="Y67" s="1195"/>
      <c r="Z67" s="1195"/>
      <c r="AA67" s="1195"/>
      <c r="AB67" s="1195"/>
      <c r="AC67" s="1195"/>
      <c r="AD67" s="1195"/>
      <c r="AE67" s="1195"/>
      <c r="AF67" s="1195"/>
      <c r="AG67" s="1195"/>
      <c r="AH67" s="1195"/>
      <c r="AI67" s="1208"/>
      <c r="AJ67" s="1209"/>
      <c r="AK67" s="1209"/>
    </row>
    <row r="68" spans="1:37" s="156" customFormat="1" ht="11.25">
      <c r="A68" s="1194"/>
      <c r="B68" s="1194"/>
      <c r="C68" s="1194"/>
      <c r="D68" s="1194"/>
      <c r="E68" s="1194"/>
      <c r="F68" s="1194"/>
      <c r="G68" s="1195"/>
      <c r="H68" s="1195"/>
      <c r="I68" s="1195"/>
      <c r="J68" s="1195"/>
      <c r="K68" s="1195"/>
      <c r="L68" s="1195"/>
      <c r="M68" s="1195"/>
      <c r="N68" s="1195"/>
      <c r="O68" s="1195"/>
      <c r="P68" s="1195"/>
      <c r="Q68" s="1195"/>
      <c r="R68" s="1195"/>
      <c r="S68" s="1195"/>
      <c r="T68" s="1195"/>
      <c r="U68" s="1195"/>
      <c r="V68" s="1195"/>
      <c r="W68" s="1195"/>
      <c r="X68" s="1195"/>
      <c r="Y68" s="1195"/>
      <c r="Z68" s="1195"/>
      <c r="AA68" s="1195"/>
      <c r="AB68" s="1195"/>
      <c r="AC68" s="1195"/>
      <c r="AD68" s="1195"/>
      <c r="AE68" s="1195"/>
      <c r="AF68" s="1195"/>
      <c r="AG68" s="1195"/>
      <c r="AH68" s="1195"/>
      <c r="AI68" s="1208"/>
      <c r="AJ68" s="1209"/>
      <c r="AK68" s="1209"/>
    </row>
    <row r="69" spans="1:37" s="156" customFormat="1" ht="11.25">
      <c r="A69" s="1194"/>
      <c r="B69" s="1194"/>
      <c r="C69" s="1194"/>
      <c r="D69" s="1194"/>
      <c r="E69" s="1194"/>
      <c r="F69" s="1194"/>
      <c r="G69" s="1195"/>
      <c r="H69" s="1195"/>
      <c r="I69" s="1195"/>
      <c r="J69" s="1195"/>
      <c r="K69" s="1195"/>
      <c r="L69" s="1195"/>
      <c r="M69" s="1195"/>
      <c r="N69" s="1195"/>
      <c r="O69" s="1195"/>
      <c r="P69" s="1195"/>
      <c r="Q69" s="1195"/>
      <c r="R69" s="1195"/>
      <c r="S69" s="1195"/>
      <c r="T69" s="1195"/>
      <c r="U69" s="1195"/>
      <c r="V69" s="1195"/>
      <c r="W69" s="1195"/>
      <c r="X69" s="1195"/>
      <c r="Y69" s="1195"/>
      <c r="Z69" s="1195"/>
      <c r="AA69" s="1195"/>
      <c r="AB69" s="1195"/>
      <c r="AC69" s="1195"/>
      <c r="AD69" s="1195"/>
      <c r="AE69" s="1195"/>
      <c r="AF69" s="1195"/>
      <c r="AG69" s="1195"/>
      <c r="AH69" s="1195"/>
      <c r="AI69" s="1208"/>
      <c r="AJ69" s="1209"/>
      <c r="AK69" s="1209"/>
    </row>
    <row r="70" spans="1:37" s="156" customFormat="1" ht="11.25">
      <c r="A70" s="1194"/>
      <c r="B70" s="1194"/>
      <c r="C70" s="1194"/>
      <c r="D70" s="1194"/>
      <c r="E70" s="1194"/>
      <c r="F70" s="1194"/>
      <c r="G70" s="1195"/>
      <c r="H70" s="1195"/>
      <c r="I70" s="1195"/>
      <c r="J70" s="1195"/>
      <c r="K70" s="1195"/>
      <c r="L70" s="1195"/>
      <c r="M70" s="1195"/>
      <c r="N70" s="1195"/>
      <c r="O70" s="1195"/>
      <c r="P70" s="1195"/>
      <c r="Q70" s="1195"/>
      <c r="R70" s="1195"/>
      <c r="S70" s="1195"/>
      <c r="T70" s="1195"/>
      <c r="U70" s="1195"/>
      <c r="V70" s="1195"/>
      <c r="W70" s="1195"/>
      <c r="X70" s="1195"/>
      <c r="Y70" s="1195"/>
      <c r="Z70" s="1195"/>
      <c r="AA70" s="1195"/>
      <c r="AB70" s="1195"/>
      <c r="AC70" s="1195"/>
      <c r="AD70" s="1195"/>
      <c r="AE70" s="1195"/>
      <c r="AF70" s="1195"/>
      <c r="AG70" s="1195"/>
      <c r="AH70" s="1195"/>
      <c r="AI70" s="1208"/>
      <c r="AJ70" s="1209"/>
      <c r="AK70" s="1209"/>
    </row>
    <row r="71" spans="1:37" s="156" customFormat="1" ht="11.25">
      <c r="A71" s="1194"/>
      <c r="B71" s="1194"/>
      <c r="C71" s="1194"/>
      <c r="D71" s="1194"/>
      <c r="E71" s="1194"/>
      <c r="F71" s="1194"/>
      <c r="G71" s="1195"/>
      <c r="H71" s="1195"/>
      <c r="I71" s="1195"/>
      <c r="J71" s="1195"/>
      <c r="K71" s="1195"/>
      <c r="L71" s="1195"/>
      <c r="M71" s="1195"/>
      <c r="N71" s="1195"/>
      <c r="O71" s="1195"/>
      <c r="P71" s="1195"/>
      <c r="Q71" s="1195"/>
      <c r="R71" s="1195"/>
      <c r="S71" s="1195"/>
      <c r="T71" s="1195"/>
      <c r="U71" s="1195"/>
      <c r="V71" s="1195"/>
      <c r="W71" s="1195"/>
      <c r="X71" s="1195"/>
      <c r="Y71" s="1195"/>
      <c r="Z71" s="1195"/>
      <c r="AA71" s="1195"/>
      <c r="AB71" s="1195"/>
      <c r="AC71" s="1195"/>
      <c r="AD71" s="1195"/>
      <c r="AE71" s="1195"/>
      <c r="AF71" s="1195"/>
      <c r="AG71" s="1195"/>
      <c r="AH71" s="1195"/>
      <c r="AI71" s="1208"/>
      <c r="AJ71" s="1209"/>
      <c r="AK71" s="1209"/>
    </row>
    <row r="72" spans="1:37" s="156" customFormat="1" ht="11.25">
      <c r="A72" s="1194"/>
      <c r="B72" s="1194"/>
      <c r="C72" s="1194"/>
      <c r="D72" s="1194"/>
      <c r="E72" s="1194"/>
      <c r="F72" s="1194"/>
      <c r="G72" s="1195"/>
      <c r="H72" s="1195"/>
      <c r="I72" s="1195"/>
      <c r="J72" s="1195"/>
      <c r="K72" s="1195"/>
      <c r="L72" s="1195"/>
      <c r="M72" s="1195"/>
      <c r="N72" s="1195"/>
      <c r="O72" s="1195"/>
      <c r="P72" s="1195"/>
      <c r="Q72" s="1195"/>
      <c r="R72" s="1195"/>
      <c r="S72" s="1195"/>
      <c r="T72" s="1195"/>
      <c r="U72" s="1195"/>
      <c r="V72" s="1195"/>
      <c r="W72" s="1195"/>
      <c r="X72" s="1195"/>
      <c r="Y72" s="1195"/>
      <c r="Z72" s="1195"/>
      <c r="AA72" s="1195"/>
      <c r="AB72" s="1195"/>
      <c r="AC72" s="1195"/>
      <c r="AD72" s="1195"/>
      <c r="AE72" s="1195"/>
      <c r="AF72" s="1195"/>
      <c r="AG72" s="1195"/>
      <c r="AH72" s="1195"/>
      <c r="AI72" s="1208"/>
      <c r="AJ72" s="1209"/>
      <c r="AK72" s="1209"/>
    </row>
    <row r="73" spans="1:37" s="156" customFormat="1" ht="11.25">
      <c r="A73" s="1194"/>
      <c r="B73" s="1194"/>
      <c r="C73" s="1194"/>
      <c r="D73" s="1194"/>
      <c r="E73" s="1194"/>
      <c r="F73" s="1194"/>
      <c r="G73" s="1195"/>
      <c r="H73" s="1195"/>
      <c r="I73" s="1195"/>
      <c r="J73" s="1195"/>
      <c r="K73" s="1195"/>
      <c r="L73" s="1195"/>
      <c r="M73" s="1195"/>
      <c r="N73" s="1195"/>
      <c r="O73" s="1195"/>
      <c r="P73" s="1195"/>
      <c r="Q73" s="1195"/>
      <c r="R73" s="1195"/>
      <c r="S73" s="1195"/>
      <c r="T73" s="1195"/>
      <c r="U73" s="1195"/>
      <c r="V73" s="1195"/>
      <c r="W73" s="1195"/>
      <c r="X73" s="1195"/>
      <c r="Y73" s="1195"/>
      <c r="Z73" s="1195"/>
      <c r="AA73" s="1195"/>
      <c r="AB73" s="1194"/>
      <c r="AC73" s="1194"/>
      <c r="AD73" s="1194"/>
      <c r="AE73" s="1194"/>
      <c r="AF73" s="1194"/>
      <c r="AG73" s="1194"/>
      <c r="AH73" s="1194"/>
      <c r="AI73" s="1209"/>
      <c r="AJ73" s="1209"/>
      <c r="AK73" s="1209"/>
    </row>
    <row r="74" spans="1:37" s="156" customFormat="1" ht="11.25">
      <c r="A74" s="1194"/>
      <c r="B74" s="1194"/>
      <c r="C74" s="1194"/>
      <c r="D74" s="1194"/>
      <c r="E74" s="1194"/>
      <c r="F74" s="1194"/>
      <c r="G74" s="1195"/>
      <c r="H74" s="1195"/>
      <c r="I74" s="1195"/>
      <c r="J74" s="1195"/>
      <c r="K74" s="1195"/>
      <c r="L74" s="1195"/>
      <c r="M74" s="1195"/>
      <c r="N74" s="1195"/>
      <c r="O74" s="1195"/>
      <c r="P74" s="1195"/>
      <c r="Q74" s="1195"/>
      <c r="R74" s="1195"/>
      <c r="S74" s="1195"/>
      <c r="T74" s="1195"/>
      <c r="U74" s="1195"/>
      <c r="V74" s="1195"/>
      <c r="W74" s="1195"/>
      <c r="X74" s="1195"/>
      <c r="Y74" s="1195"/>
      <c r="Z74" s="1195"/>
      <c r="AA74" s="1195"/>
      <c r="AB74" s="1194"/>
      <c r="AC74" s="1194"/>
      <c r="AD74" s="1194"/>
      <c r="AE74" s="1194"/>
      <c r="AF74" s="1194"/>
      <c r="AG74" s="1194"/>
      <c r="AH74" s="1194"/>
      <c r="AI74" s="1209"/>
      <c r="AJ74" s="1209"/>
      <c r="AK74" s="1209"/>
    </row>
    <row r="75" spans="1:37" s="156" customFormat="1" ht="11.25">
      <c r="A75" s="1194"/>
      <c r="B75" s="1194"/>
      <c r="C75" s="1194"/>
      <c r="D75" s="1194"/>
      <c r="E75" s="1194"/>
      <c r="F75" s="1194"/>
      <c r="G75" s="1195"/>
      <c r="H75" s="1195"/>
      <c r="I75" s="1195"/>
      <c r="J75" s="1195"/>
      <c r="K75" s="1195"/>
      <c r="L75" s="1195"/>
      <c r="M75" s="1195"/>
      <c r="N75" s="1195"/>
      <c r="O75" s="1195"/>
      <c r="P75" s="1195"/>
      <c r="Q75" s="1195"/>
      <c r="R75" s="1195"/>
      <c r="S75" s="1195"/>
      <c r="T75" s="1195"/>
      <c r="U75" s="1195"/>
      <c r="V75" s="1195"/>
      <c r="W75" s="1195"/>
      <c r="X75" s="1195"/>
      <c r="Y75" s="1195"/>
      <c r="Z75" s="1195"/>
      <c r="AA75" s="1195"/>
      <c r="AB75" s="1194"/>
      <c r="AC75" s="1194"/>
      <c r="AD75" s="1194"/>
      <c r="AE75" s="1194"/>
      <c r="AF75" s="1194"/>
      <c r="AG75" s="1194"/>
      <c r="AH75" s="1194"/>
      <c r="AI75" s="1209"/>
      <c r="AJ75" s="1209"/>
      <c r="AK75" s="1209"/>
    </row>
    <row r="76" spans="1:37" s="156" customFormat="1" ht="11.25">
      <c r="A76" s="1194"/>
      <c r="B76" s="1194"/>
      <c r="C76" s="1194"/>
      <c r="D76" s="1194"/>
      <c r="E76" s="1194"/>
      <c r="F76" s="1194"/>
      <c r="G76" s="1195"/>
      <c r="H76" s="1195"/>
      <c r="I76" s="1195"/>
      <c r="J76" s="1195"/>
      <c r="K76" s="1195"/>
      <c r="L76" s="1195"/>
      <c r="M76" s="1195"/>
      <c r="N76" s="1195"/>
      <c r="O76" s="1195"/>
      <c r="P76" s="1195"/>
      <c r="Q76" s="1195"/>
      <c r="R76" s="1195"/>
      <c r="S76" s="1195"/>
      <c r="T76" s="1195"/>
      <c r="U76" s="1195"/>
      <c r="V76" s="1195"/>
      <c r="W76" s="1195"/>
      <c r="X76" s="1195"/>
      <c r="Y76" s="1195"/>
      <c r="Z76" s="1195"/>
      <c r="AA76" s="1195"/>
      <c r="AB76" s="1194"/>
      <c r="AC76" s="1194"/>
      <c r="AD76" s="1194"/>
      <c r="AE76" s="1194"/>
      <c r="AF76" s="1194"/>
      <c r="AG76" s="1194"/>
      <c r="AH76" s="1194"/>
      <c r="AI76" s="1209"/>
      <c r="AJ76" s="1209"/>
      <c r="AK76" s="1209"/>
    </row>
    <row r="77" spans="1:37" s="156" customFormat="1" ht="11.25">
      <c r="A77" s="1194"/>
      <c r="B77" s="1194"/>
      <c r="C77" s="1194"/>
      <c r="D77" s="1194"/>
      <c r="E77" s="1194"/>
      <c r="F77" s="1194"/>
      <c r="G77" s="1195"/>
      <c r="H77" s="1195"/>
      <c r="I77" s="1195"/>
      <c r="J77" s="1195"/>
      <c r="K77" s="1195"/>
      <c r="L77" s="1195"/>
      <c r="M77" s="1195"/>
      <c r="N77" s="1195"/>
      <c r="O77" s="1195"/>
      <c r="P77" s="1195"/>
      <c r="Q77" s="1195"/>
      <c r="R77" s="1195"/>
      <c r="S77" s="1195"/>
      <c r="T77" s="1195"/>
      <c r="U77" s="1195"/>
      <c r="V77" s="1195"/>
      <c r="W77" s="1195"/>
      <c r="X77" s="1195"/>
      <c r="Y77" s="1195"/>
      <c r="Z77" s="1195"/>
      <c r="AA77" s="1195"/>
      <c r="AB77" s="1194"/>
      <c r="AC77" s="1194"/>
      <c r="AD77" s="1194"/>
      <c r="AE77" s="1194"/>
      <c r="AF77" s="1194"/>
      <c r="AG77" s="1194"/>
      <c r="AH77" s="1194"/>
      <c r="AI77" s="1209"/>
      <c r="AJ77" s="1209"/>
      <c r="AK77" s="1209"/>
    </row>
    <row r="78" spans="1:37" s="156" customFormat="1" ht="11.25">
      <c r="A78" s="1194"/>
      <c r="B78" s="1194"/>
      <c r="C78" s="1194"/>
      <c r="D78" s="1194"/>
      <c r="E78" s="1194"/>
      <c r="F78" s="1194"/>
      <c r="G78" s="1195"/>
      <c r="H78" s="1195"/>
      <c r="I78" s="1195"/>
      <c r="J78" s="1195"/>
      <c r="K78" s="1195"/>
      <c r="L78" s="1195"/>
      <c r="M78" s="1195"/>
      <c r="N78" s="1195"/>
      <c r="O78" s="1195"/>
      <c r="P78" s="1195"/>
      <c r="Q78" s="1195"/>
      <c r="R78" s="1195"/>
      <c r="S78" s="1195"/>
      <c r="T78" s="1195"/>
      <c r="U78" s="1195"/>
      <c r="V78" s="1195"/>
      <c r="W78" s="1195"/>
      <c r="X78" s="1195"/>
      <c r="Y78" s="1195"/>
      <c r="Z78" s="1195"/>
      <c r="AA78" s="1195"/>
      <c r="AB78" s="1194"/>
      <c r="AC78" s="1194"/>
      <c r="AD78" s="1194"/>
      <c r="AE78" s="1194"/>
      <c r="AF78" s="1194"/>
      <c r="AG78" s="1194"/>
      <c r="AH78" s="1194"/>
      <c r="AI78" s="1209"/>
      <c r="AJ78" s="1209"/>
      <c r="AK78" s="1209"/>
    </row>
    <row r="79" spans="1:37" s="156" customFormat="1" ht="11.25">
      <c r="A79" s="1194"/>
      <c r="B79" s="1194"/>
      <c r="C79" s="1194"/>
      <c r="D79" s="1194"/>
      <c r="E79" s="1194"/>
      <c r="F79" s="1194"/>
      <c r="G79" s="1195"/>
      <c r="H79" s="1195"/>
      <c r="I79" s="1195"/>
      <c r="J79" s="1195"/>
      <c r="K79" s="1195"/>
      <c r="L79" s="1195"/>
      <c r="M79" s="1195"/>
      <c r="N79" s="1195"/>
      <c r="O79" s="1195"/>
      <c r="P79" s="1195"/>
      <c r="Q79" s="1195"/>
      <c r="R79" s="1195"/>
      <c r="S79" s="1195"/>
      <c r="T79" s="1195"/>
      <c r="U79" s="1195"/>
      <c r="V79" s="1195"/>
      <c r="W79" s="1195"/>
      <c r="X79" s="1195"/>
      <c r="Y79" s="1195"/>
      <c r="Z79" s="1195"/>
      <c r="AA79" s="1195"/>
      <c r="AB79" s="1194"/>
      <c r="AC79" s="1194"/>
      <c r="AD79" s="1194"/>
      <c r="AE79" s="1194"/>
      <c r="AF79" s="1194"/>
      <c r="AG79" s="1194"/>
      <c r="AH79" s="1194"/>
      <c r="AI79" s="1209"/>
      <c r="AJ79" s="1209"/>
      <c r="AK79" s="1209"/>
    </row>
    <row r="80" spans="1:37" s="156" customFormat="1" ht="11.25">
      <c r="A80" s="1194"/>
      <c r="B80" s="1194"/>
      <c r="C80" s="1194"/>
      <c r="D80" s="1194"/>
      <c r="E80" s="1194"/>
      <c r="F80" s="1194"/>
      <c r="G80" s="1195"/>
      <c r="H80" s="1195"/>
      <c r="I80" s="1195"/>
      <c r="J80" s="1195"/>
      <c r="K80" s="1195"/>
      <c r="L80" s="1195"/>
      <c r="M80" s="1195"/>
      <c r="N80" s="1195"/>
      <c r="O80" s="1195"/>
      <c r="P80" s="1195"/>
      <c r="Q80" s="1195"/>
      <c r="R80" s="1195"/>
      <c r="S80" s="1195"/>
      <c r="T80" s="1195"/>
      <c r="U80" s="1195"/>
      <c r="V80" s="1195"/>
      <c r="W80" s="1195"/>
      <c r="X80" s="1195"/>
      <c r="Y80" s="1195"/>
      <c r="Z80" s="1195"/>
      <c r="AA80" s="1195"/>
      <c r="AB80" s="1194"/>
      <c r="AC80" s="1194"/>
      <c r="AD80" s="1194"/>
      <c r="AE80" s="1194"/>
      <c r="AF80" s="1194"/>
      <c r="AG80" s="1194"/>
      <c r="AH80" s="1194"/>
      <c r="AI80" s="1209"/>
      <c r="AJ80" s="1209"/>
      <c r="AK80" s="1209"/>
    </row>
    <row r="81" spans="1:37" s="156" customFormat="1" ht="11.25">
      <c r="A81" s="1194"/>
      <c r="B81" s="1194"/>
      <c r="C81" s="1194"/>
      <c r="D81" s="1194"/>
      <c r="E81" s="1194"/>
      <c r="F81" s="1194"/>
      <c r="G81" s="1195"/>
      <c r="H81" s="1195"/>
      <c r="I81" s="1195"/>
      <c r="J81" s="1195"/>
      <c r="K81" s="1195"/>
      <c r="L81" s="1195"/>
      <c r="M81" s="1195"/>
      <c r="N81" s="1195"/>
      <c r="O81" s="1195"/>
      <c r="P81" s="1195"/>
      <c r="Q81" s="1195"/>
      <c r="R81" s="1195"/>
      <c r="S81" s="1195"/>
      <c r="T81" s="1195"/>
      <c r="U81" s="1195"/>
      <c r="V81" s="1195"/>
      <c r="W81" s="1195"/>
      <c r="X81" s="1195"/>
      <c r="Y81" s="1195"/>
      <c r="Z81" s="1195"/>
      <c r="AA81" s="1195"/>
      <c r="AB81" s="1194"/>
      <c r="AC81" s="1194"/>
      <c r="AD81" s="1194"/>
      <c r="AE81" s="1194"/>
      <c r="AF81" s="1194"/>
      <c r="AG81" s="1194"/>
      <c r="AH81" s="1194"/>
      <c r="AI81" s="1209"/>
      <c r="AJ81" s="1209"/>
      <c r="AK81" s="1209"/>
    </row>
    <row r="82" spans="1:37" s="156" customFormat="1" ht="11.25">
      <c r="A82" s="1194"/>
      <c r="B82" s="1194"/>
      <c r="C82" s="1194"/>
      <c r="D82" s="1194"/>
      <c r="E82" s="1194"/>
      <c r="F82" s="1194"/>
      <c r="G82" s="1195"/>
      <c r="H82" s="1195"/>
      <c r="I82" s="1195"/>
      <c r="J82" s="1195"/>
      <c r="K82" s="1195"/>
      <c r="L82" s="1195"/>
      <c r="M82" s="1195"/>
      <c r="N82" s="1195"/>
      <c r="O82" s="1195"/>
      <c r="P82" s="1195"/>
      <c r="Q82" s="1195"/>
      <c r="R82" s="1195"/>
      <c r="S82" s="1195"/>
      <c r="T82" s="1195"/>
      <c r="U82" s="1195"/>
      <c r="V82" s="1195"/>
      <c r="W82" s="1195"/>
      <c r="X82" s="1195"/>
      <c r="Y82" s="1195"/>
      <c r="Z82" s="1195"/>
      <c r="AA82" s="1195"/>
      <c r="AB82" s="1194"/>
      <c r="AC82" s="1194"/>
      <c r="AD82" s="1194"/>
      <c r="AE82" s="1194"/>
      <c r="AF82" s="1194"/>
      <c r="AG82" s="1194"/>
      <c r="AH82" s="1194"/>
      <c r="AI82" s="1209"/>
      <c r="AJ82" s="1209"/>
      <c r="AK82" s="1209"/>
    </row>
    <row r="83" spans="1:37" s="156" customFormat="1" ht="11.25">
      <c r="A83" s="1194"/>
      <c r="B83" s="1194"/>
      <c r="C83" s="1194"/>
      <c r="D83" s="1194"/>
      <c r="E83" s="1194"/>
      <c r="F83" s="1194"/>
      <c r="G83" s="1195"/>
      <c r="H83" s="1195"/>
      <c r="I83" s="1195"/>
      <c r="J83" s="1195"/>
      <c r="K83" s="1195"/>
      <c r="L83" s="1195"/>
      <c r="M83" s="1195"/>
      <c r="N83" s="1195"/>
      <c r="O83" s="1195"/>
      <c r="P83" s="1195"/>
      <c r="Q83" s="1195"/>
      <c r="R83" s="1195"/>
      <c r="S83" s="1195"/>
      <c r="T83" s="1195"/>
      <c r="U83" s="1195"/>
      <c r="V83" s="1195"/>
      <c r="W83" s="1195"/>
      <c r="X83" s="1195"/>
      <c r="Y83" s="1195"/>
      <c r="Z83" s="1195"/>
      <c r="AA83" s="1195"/>
      <c r="AB83" s="1194"/>
      <c r="AC83" s="1194"/>
      <c r="AD83" s="1194"/>
      <c r="AE83" s="1194"/>
      <c r="AF83" s="1194"/>
      <c r="AG83" s="1194"/>
      <c r="AH83" s="1194"/>
      <c r="AI83" s="1209"/>
      <c r="AJ83" s="1209"/>
      <c r="AK83" s="1209"/>
    </row>
    <row r="84" spans="1:37" s="156" customFormat="1" ht="11.25">
      <c r="A84" s="1194"/>
      <c r="B84" s="1194"/>
      <c r="C84" s="1194"/>
      <c r="D84" s="1194"/>
      <c r="E84" s="1194"/>
      <c r="F84" s="1194"/>
      <c r="G84" s="1195"/>
      <c r="H84" s="1195"/>
      <c r="I84" s="1195"/>
      <c r="J84" s="1195"/>
      <c r="K84" s="1195"/>
      <c r="L84" s="1195"/>
      <c r="M84" s="1195"/>
      <c r="N84" s="1195"/>
      <c r="O84" s="1195"/>
      <c r="P84" s="1195"/>
      <c r="Q84" s="1195"/>
      <c r="R84" s="1195"/>
      <c r="S84" s="1195"/>
      <c r="T84" s="1195"/>
      <c r="U84" s="1195"/>
      <c r="V84" s="1195"/>
      <c r="W84" s="1195"/>
      <c r="X84" s="1195"/>
      <c r="Y84" s="1195"/>
      <c r="Z84" s="1195"/>
      <c r="AA84" s="1195"/>
      <c r="AB84" s="1194"/>
      <c r="AC84" s="1194"/>
      <c r="AD84" s="1194"/>
      <c r="AE84" s="1194"/>
      <c r="AF84" s="1194"/>
      <c r="AG84" s="1194"/>
      <c r="AH84" s="1194"/>
      <c r="AI84" s="1209"/>
      <c r="AJ84" s="1209"/>
      <c r="AK84" s="1209"/>
    </row>
    <row r="85" spans="1:37" s="156" customFormat="1" ht="11.25">
      <c r="A85" s="1194"/>
      <c r="B85" s="1194"/>
      <c r="C85" s="1194"/>
      <c r="D85" s="1194"/>
      <c r="E85" s="1194"/>
      <c r="F85" s="1194"/>
      <c r="G85" s="1195"/>
      <c r="H85" s="1195"/>
      <c r="I85" s="1195"/>
      <c r="J85" s="1195"/>
      <c r="K85" s="1195"/>
      <c r="L85" s="1195"/>
      <c r="M85" s="1195"/>
      <c r="N85" s="1195"/>
      <c r="O85" s="1195"/>
      <c r="P85" s="1195"/>
      <c r="Q85" s="1195"/>
      <c r="R85" s="1195"/>
      <c r="S85" s="1195"/>
      <c r="T85" s="1195"/>
      <c r="U85" s="1195"/>
      <c r="V85" s="1195"/>
      <c r="W85" s="1195"/>
      <c r="X85" s="1195"/>
      <c r="Y85" s="1195"/>
      <c r="Z85" s="1195"/>
      <c r="AA85" s="1195"/>
      <c r="AB85" s="1194"/>
      <c r="AC85" s="1194"/>
      <c r="AD85" s="1194"/>
      <c r="AE85" s="1194"/>
      <c r="AF85" s="1194"/>
      <c r="AG85" s="1194"/>
      <c r="AH85" s="1194"/>
      <c r="AI85" s="1209"/>
      <c r="AJ85" s="1209"/>
      <c r="AK85" s="1209"/>
    </row>
    <row r="86" spans="1:37" s="156" customFormat="1" ht="11.25">
      <c r="A86" s="1194"/>
      <c r="B86" s="1194"/>
      <c r="C86" s="1194"/>
      <c r="D86" s="1194"/>
      <c r="E86" s="1194"/>
      <c r="F86" s="1194"/>
      <c r="G86" s="1195"/>
      <c r="H86" s="1195"/>
      <c r="I86" s="1195"/>
      <c r="J86" s="1195"/>
      <c r="K86" s="1195"/>
      <c r="L86" s="1195"/>
      <c r="M86" s="1195"/>
      <c r="N86" s="1195"/>
      <c r="O86" s="1195"/>
      <c r="P86" s="1195"/>
      <c r="Q86" s="1195"/>
      <c r="R86" s="1195"/>
      <c r="S86" s="1195"/>
      <c r="T86" s="1195"/>
      <c r="U86" s="1195"/>
      <c r="V86" s="1195"/>
      <c r="W86" s="1195"/>
      <c r="X86" s="1195"/>
      <c r="Y86" s="1195"/>
      <c r="Z86" s="1195"/>
      <c r="AA86" s="1195"/>
      <c r="AB86" s="1194"/>
      <c r="AC86" s="1194"/>
      <c r="AD86" s="1194"/>
      <c r="AE86" s="1194"/>
      <c r="AF86" s="1194"/>
      <c r="AG86" s="1194"/>
      <c r="AH86" s="1194"/>
      <c r="AI86" s="1209"/>
      <c r="AJ86" s="1209"/>
      <c r="AK86" s="1209"/>
    </row>
    <row r="87" spans="1:37" s="156" customFormat="1" ht="11.25">
      <c r="A87" s="1194"/>
      <c r="B87" s="1194"/>
      <c r="C87" s="1194"/>
      <c r="D87" s="1194"/>
      <c r="E87" s="1194"/>
      <c r="F87" s="1194"/>
      <c r="G87" s="1195"/>
      <c r="H87" s="1195"/>
      <c r="I87" s="1195"/>
      <c r="J87" s="1195"/>
      <c r="K87" s="1195"/>
      <c r="L87" s="1195"/>
      <c r="M87" s="1195"/>
      <c r="N87" s="1195"/>
      <c r="O87" s="1195"/>
      <c r="P87" s="1195"/>
      <c r="Q87" s="1195"/>
      <c r="R87" s="1195"/>
      <c r="S87" s="1195"/>
      <c r="T87" s="1195"/>
      <c r="U87" s="1195"/>
      <c r="V87" s="1195"/>
      <c r="W87" s="1195"/>
      <c r="X87" s="1195"/>
      <c r="Y87" s="1195"/>
      <c r="Z87" s="1195"/>
      <c r="AA87" s="1195"/>
      <c r="AB87" s="1194"/>
      <c r="AC87" s="1194"/>
      <c r="AD87" s="1194"/>
      <c r="AE87" s="1194"/>
      <c r="AF87" s="1194"/>
      <c r="AG87" s="1194"/>
      <c r="AH87" s="1194"/>
      <c r="AI87" s="1209"/>
      <c r="AJ87" s="1209"/>
      <c r="AK87" s="1209"/>
    </row>
    <row r="88" spans="1:37" s="156" customFormat="1" ht="11.25">
      <c r="A88" s="1194"/>
      <c r="B88" s="1194"/>
      <c r="C88" s="1194"/>
      <c r="D88" s="1194"/>
      <c r="E88" s="1194"/>
      <c r="F88" s="1194"/>
      <c r="G88" s="1195"/>
      <c r="H88" s="1195"/>
      <c r="I88" s="1195"/>
      <c r="J88" s="1195"/>
      <c r="K88" s="1195"/>
      <c r="L88" s="1195"/>
      <c r="M88" s="1195"/>
      <c r="N88" s="1195"/>
      <c r="O88" s="1195"/>
      <c r="P88" s="1195"/>
      <c r="Q88" s="1195"/>
      <c r="R88" s="1195"/>
      <c r="S88" s="1195"/>
      <c r="T88" s="1195"/>
      <c r="U88" s="1195"/>
      <c r="V88" s="1195"/>
      <c r="W88" s="1195"/>
      <c r="X88" s="1195"/>
      <c r="Y88" s="1195"/>
      <c r="Z88" s="1195"/>
      <c r="AA88" s="1195"/>
      <c r="AB88" s="1194"/>
      <c r="AC88" s="1194"/>
      <c r="AD88" s="1194"/>
      <c r="AE88" s="1194"/>
      <c r="AF88" s="1194"/>
      <c r="AG88" s="1194"/>
      <c r="AH88" s="1194"/>
      <c r="AI88" s="1209"/>
      <c r="AJ88" s="1209"/>
      <c r="AK88" s="1209"/>
    </row>
    <row r="89" spans="1:37" s="156" customFormat="1" ht="11.25">
      <c r="A89" s="1194"/>
      <c r="B89" s="1194"/>
      <c r="C89" s="1194"/>
      <c r="D89" s="1194"/>
      <c r="E89" s="1194"/>
      <c r="F89" s="1194"/>
      <c r="G89" s="1195"/>
      <c r="H89" s="1195"/>
      <c r="I89" s="1195"/>
      <c r="J89" s="1195"/>
      <c r="K89" s="1195"/>
      <c r="L89" s="1195"/>
      <c r="M89" s="1195"/>
      <c r="N89" s="1195"/>
      <c r="O89" s="1195"/>
      <c r="P89" s="1195"/>
      <c r="Q89" s="1195"/>
      <c r="R89" s="1195"/>
      <c r="S89" s="1195"/>
      <c r="T89" s="1195"/>
      <c r="U89" s="1195"/>
      <c r="V89" s="1195"/>
      <c r="W89" s="1195"/>
      <c r="X89" s="1195"/>
      <c r="Y89" s="1195"/>
      <c r="Z89" s="1195"/>
      <c r="AA89" s="1195"/>
      <c r="AB89" s="1194"/>
      <c r="AC89" s="1194"/>
      <c r="AD89" s="1194"/>
      <c r="AE89" s="1194"/>
      <c r="AF89" s="1194"/>
      <c r="AG89" s="1194"/>
      <c r="AH89" s="1194"/>
      <c r="AI89" s="1209"/>
      <c r="AJ89" s="1209"/>
      <c r="AK89" s="1209"/>
    </row>
    <row r="90" spans="1:37" s="156" customFormat="1" ht="11.25">
      <c r="A90" s="1194"/>
      <c r="B90" s="1194"/>
      <c r="C90" s="1194"/>
      <c r="D90" s="1194"/>
      <c r="E90" s="1194"/>
      <c r="F90" s="1194"/>
      <c r="G90" s="1195"/>
      <c r="H90" s="1195"/>
      <c r="I90" s="1195"/>
      <c r="J90" s="1195"/>
      <c r="K90" s="1195"/>
      <c r="L90" s="1195"/>
      <c r="M90" s="1195"/>
      <c r="N90" s="1195"/>
      <c r="O90" s="1195"/>
      <c r="P90" s="1195"/>
      <c r="Q90" s="1195"/>
      <c r="R90" s="1195"/>
      <c r="S90" s="1195"/>
      <c r="T90" s="1195"/>
      <c r="U90" s="1195"/>
      <c r="V90" s="1195"/>
      <c r="W90" s="1195"/>
      <c r="X90" s="1195"/>
      <c r="Y90" s="1195"/>
      <c r="Z90" s="1195"/>
      <c r="AA90" s="1195"/>
      <c r="AB90" s="1194"/>
      <c r="AC90" s="1194"/>
      <c r="AD90" s="1194"/>
      <c r="AE90" s="1194"/>
      <c r="AF90" s="1194"/>
      <c r="AG90" s="1194"/>
      <c r="AH90" s="1194"/>
      <c r="AI90" s="1209"/>
      <c r="AJ90" s="1209"/>
      <c r="AK90" s="1209"/>
    </row>
    <row r="91" spans="1:37" s="156" customFormat="1" ht="11.25">
      <c r="A91" s="1194"/>
      <c r="B91" s="1194"/>
      <c r="C91" s="1194"/>
      <c r="D91" s="1194"/>
      <c r="E91" s="1194"/>
      <c r="F91" s="1194"/>
      <c r="G91" s="1195"/>
      <c r="H91" s="1195"/>
      <c r="I91" s="1195"/>
      <c r="J91" s="1195"/>
      <c r="K91" s="1195"/>
      <c r="L91" s="1195"/>
      <c r="M91" s="1195"/>
      <c r="N91" s="1195"/>
      <c r="O91" s="1195"/>
      <c r="P91" s="1195"/>
      <c r="Q91" s="1195"/>
      <c r="R91" s="1195"/>
      <c r="S91" s="1195"/>
      <c r="T91" s="1195"/>
      <c r="U91" s="1195"/>
      <c r="V91" s="1195"/>
      <c r="W91" s="1195"/>
      <c r="X91" s="1195"/>
      <c r="Y91" s="1195"/>
      <c r="Z91" s="1195"/>
      <c r="AA91" s="1195"/>
      <c r="AB91" s="1194"/>
      <c r="AC91" s="1194"/>
      <c r="AD91" s="1194"/>
      <c r="AE91" s="1194"/>
      <c r="AF91" s="1194"/>
      <c r="AG91" s="1194"/>
      <c r="AH91" s="1194"/>
      <c r="AI91" s="1209"/>
      <c r="AJ91" s="1209"/>
      <c r="AK91" s="1209"/>
    </row>
    <row r="92" spans="1:37" s="156" customFormat="1" ht="11.25">
      <c r="A92" s="1194"/>
      <c r="B92" s="1194"/>
      <c r="C92" s="1194"/>
      <c r="D92" s="1194"/>
      <c r="E92" s="1194"/>
      <c r="F92" s="1194"/>
      <c r="G92" s="1195"/>
      <c r="H92" s="1195"/>
      <c r="I92" s="1195"/>
      <c r="J92" s="1195"/>
      <c r="K92" s="1195"/>
      <c r="L92" s="1195"/>
      <c r="M92" s="1195"/>
      <c r="N92" s="1195"/>
      <c r="O92" s="1195"/>
      <c r="P92" s="1195"/>
      <c r="Q92" s="1195"/>
      <c r="R92" s="1195"/>
      <c r="S92" s="1195"/>
      <c r="T92" s="1195"/>
      <c r="U92" s="1195"/>
      <c r="V92" s="1195"/>
      <c r="W92" s="1195"/>
      <c r="X92" s="1195"/>
      <c r="Y92" s="1195"/>
      <c r="Z92" s="1195"/>
      <c r="AA92" s="1195"/>
      <c r="AB92" s="1194"/>
      <c r="AC92" s="1194"/>
      <c r="AD92" s="1194"/>
      <c r="AE92" s="1194"/>
      <c r="AF92" s="1194"/>
      <c r="AG92" s="1194"/>
      <c r="AH92" s="1194"/>
      <c r="AI92" s="1209"/>
      <c r="AJ92" s="1209"/>
      <c r="AK92" s="1209"/>
    </row>
    <row r="93" spans="1:37" s="156" customFormat="1" ht="11.25">
      <c r="A93" s="1194"/>
      <c r="B93" s="1194"/>
      <c r="C93" s="1194"/>
      <c r="D93" s="1194"/>
      <c r="E93" s="1194"/>
      <c r="F93" s="1194"/>
      <c r="G93" s="1195"/>
      <c r="H93" s="1195"/>
      <c r="I93" s="1195"/>
      <c r="J93" s="1195"/>
      <c r="K93" s="1195"/>
      <c r="L93" s="1195"/>
      <c r="M93" s="1195"/>
      <c r="N93" s="1195"/>
      <c r="O93" s="1195"/>
      <c r="P93" s="1195"/>
      <c r="Q93" s="1195"/>
      <c r="R93" s="1195"/>
      <c r="S93" s="1195"/>
      <c r="T93" s="1195"/>
      <c r="U93" s="1195"/>
      <c r="V93" s="1195"/>
      <c r="W93" s="1195"/>
      <c r="X93" s="1195"/>
      <c r="Y93" s="1195"/>
      <c r="Z93" s="1195"/>
      <c r="AA93" s="1195"/>
      <c r="AB93" s="1194"/>
      <c r="AC93" s="1194"/>
      <c r="AD93" s="1194"/>
      <c r="AE93" s="1194"/>
      <c r="AF93" s="1194"/>
      <c r="AG93" s="1194"/>
      <c r="AH93" s="1194"/>
      <c r="AI93" s="1209"/>
      <c r="AJ93" s="1209"/>
      <c r="AK93" s="1209"/>
    </row>
    <row r="94" spans="1:37" s="156" customFormat="1" ht="11.25">
      <c r="A94" s="1194"/>
      <c r="B94" s="1194"/>
      <c r="C94" s="1194"/>
      <c r="D94" s="1194"/>
      <c r="E94" s="1194"/>
      <c r="F94" s="1194"/>
      <c r="G94" s="1195"/>
      <c r="H94" s="1195"/>
      <c r="I94" s="1195"/>
      <c r="J94" s="1195"/>
      <c r="K94" s="1195"/>
      <c r="L94" s="1195"/>
      <c r="M94" s="1195"/>
      <c r="N94" s="1195"/>
      <c r="O94" s="1195"/>
      <c r="P94" s="1195"/>
      <c r="Q94" s="1195"/>
      <c r="R94" s="1195"/>
      <c r="S94" s="1195"/>
      <c r="T94" s="1195"/>
      <c r="U94" s="1195"/>
      <c r="V94" s="1195"/>
      <c r="W94" s="1195"/>
      <c r="X94" s="1195"/>
      <c r="Y94" s="1195"/>
      <c r="Z94" s="1195"/>
      <c r="AA94" s="1195"/>
      <c r="AB94" s="1194"/>
      <c r="AC94" s="1194"/>
      <c r="AD94" s="1194"/>
      <c r="AE94" s="1194"/>
      <c r="AF94" s="1194"/>
      <c r="AG94" s="1194"/>
      <c r="AH94" s="1194"/>
      <c r="AI94" s="1209"/>
      <c r="AJ94" s="1209"/>
      <c r="AK94" s="1209"/>
    </row>
    <row r="95" spans="1:37" s="156" customFormat="1" ht="11.25">
      <c r="A95" s="1194"/>
      <c r="B95" s="1194"/>
      <c r="C95" s="1194"/>
      <c r="D95" s="1194"/>
      <c r="E95" s="1194"/>
      <c r="F95" s="1194"/>
      <c r="G95" s="1195"/>
      <c r="H95" s="1195"/>
      <c r="I95" s="1195"/>
      <c r="J95" s="1195"/>
      <c r="K95" s="1195"/>
      <c r="L95" s="1195"/>
      <c r="M95" s="1195"/>
      <c r="N95" s="1195"/>
      <c r="O95" s="1195"/>
      <c r="P95" s="1195"/>
      <c r="Q95" s="1195"/>
      <c r="R95" s="1195"/>
      <c r="S95" s="1195"/>
      <c r="T95" s="1195"/>
      <c r="U95" s="1195"/>
      <c r="V95" s="1195"/>
      <c r="W95" s="1195"/>
      <c r="X95" s="1195"/>
      <c r="Y95" s="1195"/>
      <c r="Z95" s="1195"/>
      <c r="AA95" s="1195"/>
      <c r="AB95" s="1194"/>
      <c r="AC95" s="1194"/>
      <c r="AD95" s="1194"/>
      <c r="AE95" s="1194"/>
      <c r="AF95" s="1194"/>
      <c r="AG95" s="1194"/>
      <c r="AH95" s="1194"/>
      <c r="AI95" s="1209"/>
      <c r="AJ95" s="1209"/>
      <c r="AK95" s="1209"/>
    </row>
    <row r="96" spans="1:37" s="156" customFormat="1" ht="11.25">
      <c r="A96" s="1194"/>
      <c r="B96" s="1194"/>
      <c r="C96" s="1194"/>
      <c r="D96" s="1194"/>
      <c r="E96" s="1194"/>
      <c r="F96" s="1194"/>
      <c r="G96" s="1195"/>
      <c r="H96" s="1195"/>
      <c r="I96" s="1195"/>
      <c r="J96" s="1195"/>
      <c r="K96" s="1195"/>
      <c r="L96" s="1195"/>
      <c r="M96" s="1195"/>
      <c r="N96" s="1195"/>
      <c r="O96" s="1195"/>
      <c r="P96" s="1195"/>
      <c r="Q96" s="1195"/>
      <c r="R96" s="1195"/>
      <c r="S96" s="1195"/>
      <c r="T96" s="1195"/>
      <c r="U96" s="1195"/>
      <c r="V96" s="1195"/>
      <c r="W96" s="1195"/>
      <c r="X96" s="1195"/>
      <c r="Y96" s="1195"/>
      <c r="Z96" s="1195"/>
      <c r="AA96" s="1195"/>
      <c r="AB96" s="1194"/>
      <c r="AC96" s="1194"/>
      <c r="AD96" s="1194"/>
      <c r="AE96" s="1194"/>
      <c r="AF96" s="1194"/>
      <c r="AG96" s="1194"/>
      <c r="AH96" s="1194"/>
      <c r="AI96" s="1209"/>
      <c r="AJ96" s="1209"/>
      <c r="AK96" s="1209"/>
    </row>
    <row r="97" spans="1:37" s="156" customFormat="1" ht="11.25">
      <c r="A97" s="1194"/>
      <c r="B97" s="1194"/>
      <c r="C97" s="1194"/>
      <c r="D97" s="1194"/>
      <c r="E97" s="1194"/>
      <c r="F97" s="1194"/>
      <c r="G97" s="1195"/>
      <c r="H97" s="1195"/>
      <c r="I97" s="1195"/>
      <c r="J97" s="1195"/>
      <c r="K97" s="1195"/>
      <c r="L97" s="1195"/>
      <c r="M97" s="1195"/>
      <c r="N97" s="1195"/>
      <c r="O97" s="1195"/>
      <c r="P97" s="1195"/>
      <c r="Q97" s="1195"/>
      <c r="R97" s="1195"/>
      <c r="S97" s="1195"/>
      <c r="T97" s="1195"/>
      <c r="U97" s="1195"/>
      <c r="V97" s="1195"/>
      <c r="W97" s="1195"/>
      <c r="X97" s="1195"/>
      <c r="Y97" s="1195"/>
      <c r="Z97" s="1195"/>
      <c r="AA97" s="1195"/>
      <c r="AB97" s="1194"/>
      <c r="AC97" s="1194"/>
      <c r="AD97" s="1194"/>
      <c r="AE97" s="1194"/>
      <c r="AF97" s="1194"/>
      <c r="AG97" s="1194"/>
      <c r="AH97" s="1194"/>
      <c r="AI97" s="1209"/>
      <c r="AJ97" s="1209"/>
      <c r="AK97" s="1209"/>
    </row>
    <row r="98" spans="1:37" s="156" customFormat="1" ht="11.25">
      <c r="A98" s="1194"/>
      <c r="B98" s="1194"/>
      <c r="C98" s="1194"/>
      <c r="D98" s="1194"/>
      <c r="E98" s="1194"/>
      <c r="F98" s="1194"/>
      <c r="G98" s="1195"/>
      <c r="H98" s="1195"/>
      <c r="I98" s="1195"/>
      <c r="J98" s="1195"/>
      <c r="K98" s="1195"/>
      <c r="L98" s="1195"/>
      <c r="M98" s="1195"/>
      <c r="N98" s="1195"/>
      <c r="O98" s="1195"/>
      <c r="P98" s="1195"/>
      <c r="Q98" s="1195"/>
      <c r="R98" s="1195"/>
      <c r="S98" s="1195"/>
      <c r="T98" s="1195"/>
      <c r="U98" s="1195"/>
      <c r="V98" s="1195"/>
      <c r="W98" s="1195"/>
      <c r="X98" s="1195"/>
      <c r="Y98" s="1195"/>
      <c r="Z98" s="1195"/>
      <c r="AA98" s="1195"/>
      <c r="AB98" s="1194"/>
      <c r="AC98" s="1194"/>
      <c r="AD98" s="1194"/>
      <c r="AE98" s="1194"/>
      <c r="AF98" s="1194"/>
      <c r="AG98" s="1194"/>
      <c r="AH98" s="1194"/>
      <c r="AI98" s="1209"/>
      <c r="AJ98" s="1209"/>
      <c r="AK98" s="1209"/>
    </row>
    <row r="99" spans="1:37" s="156" customFormat="1" ht="11.25">
      <c r="A99" s="1194"/>
      <c r="B99" s="1194"/>
      <c r="C99" s="1194"/>
      <c r="D99" s="1194"/>
      <c r="E99" s="1194"/>
      <c r="F99" s="1194"/>
      <c r="G99" s="1195"/>
      <c r="H99" s="1195"/>
      <c r="I99" s="1195"/>
      <c r="J99" s="1195"/>
      <c r="K99" s="1195"/>
      <c r="L99" s="1195"/>
      <c r="M99" s="1195"/>
      <c r="N99" s="1195"/>
      <c r="O99" s="1195"/>
      <c r="P99" s="1195"/>
      <c r="Q99" s="1195"/>
      <c r="R99" s="1195"/>
      <c r="S99" s="1195"/>
      <c r="T99" s="1195"/>
      <c r="U99" s="1195"/>
      <c r="V99" s="1195"/>
      <c r="W99" s="1195"/>
      <c r="X99" s="1195"/>
      <c r="Y99" s="1195"/>
      <c r="Z99" s="1195"/>
      <c r="AA99" s="1195"/>
      <c r="AB99" s="1194"/>
      <c r="AC99" s="1194"/>
      <c r="AD99" s="1194"/>
      <c r="AE99" s="1194"/>
      <c r="AF99" s="1194"/>
      <c r="AG99" s="1194"/>
      <c r="AH99" s="1194"/>
      <c r="AI99" s="1209"/>
      <c r="AJ99" s="1209"/>
      <c r="AK99" s="1209"/>
    </row>
    <row r="100" spans="1:37" s="156" customFormat="1" ht="11.25">
      <c r="A100" s="1194"/>
      <c r="B100" s="1194"/>
      <c r="C100" s="1194"/>
      <c r="D100" s="1194"/>
      <c r="E100" s="1194"/>
      <c r="F100" s="1194"/>
      <c r="G100" s="1195"/>
      <c r="H100" s="1195"/>
      <c r="I100" s="1195"/>
      <c r="J100" s="1195"/>
      <c r="K100" s="1195"/>
      <c r="L100" s="1195"/>
      <c r="M100" s="1195"/>
      <c r="N100" s="1195"/>
      <c r="O100" s="1195"/>
      <c r="P100" s="1195"/>
      <c r="Q100" s="1195"/>
      <c r="R100" s="1195"/>
      <c r="S100" s="1195"/>
      <c r="T100" s="1195"/>
      <c r="U100" s="1195"/>
      <c r="V100" s="1195"/>
      <c r="W100" s="1195"/>
      <c r="X100" s="1195"/>
      <c r="Y100" s="1195"/>
      <c r="Z100" s="1195"/>
      <c r="AA100" s="1195"/>
      <c r="AB100" s="1194"/>
      <c r="AC100" s="1194"/>
      <c r="AD100" s="1194"/>
      <c r="AE100" s="1194"/>
      <c r="AF100" s="1194"/>
      <c r="AG100" s="1194"/>
      <c r="AH100" s="1194"/>
      <c r="AI100" s="1209"/>
      <c r="AJ100" s="1209"/>
      <c r="AK100" s="1209"/>
    </row>
    <row r="101" spans="1:37" s="156" customFormat="1" ht="11.25">
      <c r="A101" s="1194"/>
      <c r="B101" s="1194"/>
      <c r="C101" s="1194"/>
      <c r="D101" s="1194"/>
      <c r="E101" s="1194"/>
      <c r="F101" s="1194"/>
      <c r="G101" s="1195"/>
      <c r="H101" s="1195"/>
      <c r="I101" s="1195"/>
      <c r="J101" s="1195"/>
      <c r="K101" s="1195"/>
      <c r="L101" s="1195"/>
      <c r="M101" s="1195"/>
      <c r="N101" s="1195"/>
      <c r="O101" s="1195"/>
      <c r="P101" s="1195"/>
      <c r="Q101" s="1195"/>
      <c r="R101" s="1195"/>
      <c r="S101" s="1195"/>
      <c r="T101" s="1195"/>
      <c r="U101" s="1195"/>
      <c r="V101" s="1195"/>
      <c r="W101" s="1195"/>
      <c r="X101" s="1195"/>
      <c r="Y101" s="1195"/>
      <c r="Z101" s="1195"/>
      <c r="AA101" s="1195"/>
      <c r="AB101" s="1194"/>
      <c r="AC101" s="1194"/>
      <c r="AD101" s="1194"/>
      <c r="AE101" s="1194"/>
      <c r="AF101" s="1194"/>
      <c r="AG101" s="1194"/>
      <c r="AH101" s="1194"/>
      <c r="AI101" s="1209"/>
      <c r="AJ101" s="1209"/>
      <c r="AK101" s="1209"/>
    </row>
    <row r="102" spans="1:37" s="156" customFormat="1" ht="11.25">
      <c r="A102" s="1194"/>
      <c r="B102" s="1194"/>
      <c r="C102" s="1194"/>
      <c r="D102" s="1194"/>
      <c r="E102" s="1194"/>
      <c r="F102" s="1194"/>
      <c r="G102" s="1195"/>
      <c r="H102" s="1195"/>
      <c r="I102" s="1195"/>
      <c r="J102" s="1195"/>
      <c r="K102" s="1195"/>
      <c r="L102" s="1195"/>
      <c r="M102" s="1195"/>
      <c r="N102" s="1195"/>
      <c r="O102" s="1195"/>
      <c r="P102" s="1195"/>
      <c r="Q102" s="1195"/>
      <c r="R102" s="1195"/>
      <c r="S102" s="1195"/>
      <c r="T102" s="1195"/>
      <c r="U102" s="1195"/>
      <c r="V102" s="1195"/>
      <c r="W102" s="1195"/>
      <c r="X102" s="1195"/>
      <c r="Y102" s="1195"/>
      <c r="Z102" s="1195"/>
      <c r="AA102" s="1195"/>
      <c r="AB102" s="1194"/>
      <c r="AC102" s="1194"/>
      <c r="AD102" s="1194"/>
      <c r="AE102" s="1194"/>
      <c r="AF102" s="1194"/>
      <c r="AG102" s="1194"/>
      <c r="AH102" s="1194"/>
      <c r="AI102" s="1209"/>
      <c r="AJ102" s="1209"/>
      <c r="AK102" s="1209"/>
    </row>
    <row r="103" spans="1:37" s="156" customFormat="1" ht="11.25">
      <c r="A103" s="1194"/>
      <c r="B103" s="1194"/>
      <c r="C103" s="1194"/>
      <c r="D103" s="1194"/>
      <c r="E103" s="1194"/>
      <c r="F103" s="1194"/>
      <c r="G103" s="1195"/>
      <c r="H103" s="1195"/>
      <c r="I103" s="1195"/>
      <c r="J103" s="1195"/>
      <c r="K103" s="1195"/>
      <c r="L103" s="1195"/>
      <c r="M103" s="1195"/>
      <c r="N103" s="1195"/>
      <c r="O103" s="1195"/>
      <c r="P103" s="1195"/>
      <c r="Q103" s="1195"/>
      <c r="R103" s="1195"/>
      <c r="S103" s="1195"/>
      <c r="T103" s="1195"/>
      <c r="U103" s="1195"/>
      <c r="V103" s="1195"/>
      <c r="W103" s="1195"/>
      <c r="X103" s="1195"/>
      <c r="Y103" s="1195"/>
      <c r="Z103" s="1195"/>
      <c r="AA103" s="1195"/>
      <c r="AB103" s="1194"/>
      <c r="AC103" s="1194"/>
      <c r="AD103" s="1194"/>
      <c r="AE103" s="1194"/>
      <c r="AF103" s="1194"/>
      <c r="AG103" s="1194"/>
      <c r="AH103" s="1194"/>
      <c r="AI103" s="1209"/>
      <c r="AJ103" s="1209"/>
      <c r="AK103" s="1209"/>
    </row>
    <row r="104" spans="1:37" s="156" customFormat="1" ht="11.25">
      <c r="A104" s="1194"/>
      <c r="B104" s="1194"/>
      <c r="C104" s="1194"/>
      <c r="D104" s="1194"/>
      <c r="E104" s="1194"/>
      <c r="F104" s="1194"/>
      <c r="G104" s="1195"/>
      <c r="H104" s="1195"/>
      <c r="I104" s="1195"/>
      <c r="J104" s="1195"/>
      <c r="K104" s="1195"/>
      <c r="L104" s="1195"/>
      <c r="M104" s="1195"/>
      <c r="N104" s="1195"/>
      <c r="O104" s="1195"/>
      <c r="P104" s="1195"/>
      <c r="Q104" s="1195"/>
      <c r="R104" s="1195"/>
      <c r="S104" s="1195"/>
      <c r="T104" s="1195"/>
      <c r="U104" s="1195"/>
      <c r="V104" s="1195"/>
      <c r="W104" s="1195"/>
      <c r="X104" s="1195"/>
      <c r="Y104" s="1195"/>
      <c r="Z104" s="1195"/>
      <c r="AA104" s="1195"/>
      <c r="AB104" s="1194"/>
      <c r="AC104" s="1194"/>
      <c r="AD104" s="1194"/>
      <c r="AE104" s="1194"/>
      <c r="AF104" s="1194"/>
      <c r="AG104" s="1194"/>
      <c r="AH104" s="1194"/>
      <c r="AI104" s="1209"/>
      <c r="AJ104" s="1209"/>
      <c r="AK104" s="1209"/>
    </row>
    <row r="105" spans="1:37" s="156" customFormat="1" ht="11.25">
      <c r="A105" s="1194"/>
      <c r="B105" s="1194"/>
      <c r="C105" s="1194"/>
      <c r="D105" s="1194"/>
      <c r="E105" s="1194"/>
      <c r="F105" s="1194"/>
      <c r="G105" s="1195"/>
      <c r="H105" s="1195"/>
      <c r="I105" s="1195"/>
      <c r="J105" s="1195"/>
      <c r="K105" s="1195"/>
      <c r="L105" s="1195"/>
      <c r="M105" s="1195"/>
      <c r="N105" s="1195"/>
      <c r="O105" s="1195"/>
      <c r="P105" s="1195"/>
      <c r="Q105" s="1195"/>
      <c r="R105" s="1195"/>
      <c r="S105" s="1195"/>
      <c r="T105" s="1195"/>
      <c r="U105" s="1195"/>
      <c r="V105" s="1195"/>
      <c r="W105" s="1195"/>
      <c r="X105" s="1195"/>
      <c r="Y105" s="1195"/>
      <c r="Z105" s="1195"/>
      <c r="AA105" s="1195"/>
      <c r="AB105" s="1194"/>
      <c r="AC105" s="1194"/>
      <c r="AD105" s="1194"/>
      <c r="AE105" s="1194"/>
      <c r="AF105" s="1194"/>
      <c r="AG105" s="1194"/>
      <c r="AH105" s="1194"/>
      <c r="AI105" s="1209"/>
      <c r="AJ105" s="1209"/>
      <c r="AK105" s="1209"/>
    </row>
    <row r="106" spans="1:37" s="156" customFormat="1" ht="11.25">
      <c r="A106" s="1194"/>
      <c r="B106" s="1194"/>
      <c r="C106" s="1194"/>
      <c r="D106" s="1194"/>
      <c r="E106" s="1194"/>
      <c r="F106" s="1194"/>
      <c r="G106" s="1195"/>
      <c r="H106" s="1195"/>
      <c r="I106" s="1195"/>
      <c r="J106" s="1195"/>
      <c r="K106" s="1195"/>
      <c r="L106" s="1195"/>
      <c r="M106" s="1195"/>
      <c r="N106" s="1195"/>
      <c r="O106" s="1195"/>
      <c r="P106" s="1195"/>
      <c r="Q106" s="1195"/>
      <c r="R106" s="1195"/>
      <c r="S106" s="1195"/>
      <c r="T106" s="1195"/>
      <c r="U106" s="1195"/>
      <c r="V106" s="1195"/>
      <c r="W106" s="1195"/>
      <c r="X106" s="1195"/>
      <c r="Y106" s="1195"/>
      <c r="Z106" s="1195"/>
      <c r="AA106" s="1195"/>
      <c r="AB106" s="1194"/>
      <c r="AC106" s="1194"/>
      <c r="AD106" s="1194"/>
      <c r="AE106" s="1194"/>
      <c r="AF106" s="1194"/>
      <c r="AG106" s="1194"/>
      <c r="AH106" s="1194"/>
      <c r="AI106" s="1209"/>
      <c r="AJ106" s="1209"/>
      <c r="AK106" s="1209"/>
    </row>
    <row r="107" spans="1:37" s="156" customFormat="1" ht="11.25">
      <c r="A107" s="1194"/>
      <c r="B107" s="1194"/>
      <c r="C107" s="1194"/>
      <c r="D107" s="1194"/>
      <c r="E107" s="1194"/>
      <c r="F107" s="1194"/>
      <c r="G107" s="1195"/>
      <c r="H107" s="1195"/>
      <c r="I107" s="1195"/>
      <c r="J107" s="1195"/>
      <c r="K107" s="1195"/>
      <c r="L107" s="1195"/>
      <c r="M107" s="1195"/>
      <c r="N107" s="1195"/>
      <c r="O107" s="1195"/>
      <c r="P107" s="1195"/>
      <c r="Q107" s="1195"/>
      <c r="R107" s="1195"/>
      <c r="S107" s="1195"/>
      <c r="T107" s="1195"/>
      <c r="U107" s="1195"/>
      <c r="V107" s="1195"/>
      <c r="W107" s="1195"/>
      <c r="X107" s="1195"/>
      <c r="Y107" s="1195"/>
      <c r="Z107" s="1195"/>
      <c r="AA107" s="1195"/>
      <c r="AB107" s="1194"/>
      <c r="AC107" s="1194"/>
      <c r="AD107" s="1194"/>
      <c r="AE107" s="1194"/>
      <c r="AF107" s="1194"/>
      <c r="AG107" s="1194"/>
      <c r="AH107" s="1194"/>
      <c r="AI107" s="1209"/>
      <c r="AJ107" s="1209"/>
      <c r="AK107" s="1209"/>
    </row>
    <row r="108" spans="1:37" s="156" customFormat="1" ht="11.25">
      <c r="A108" s="1194"/>
      <c r="B108" s="1194"/>
      <c r="C108" s="1194"/>
      <c r="D108" s="1194"/>
      <c r="E108" s="1194"/>
      <c r="F108" s="1194"/>
      <c r="G108" s="1195"/>
      <c r="H108" s="1195"/>
      <c r="I108" s="1195"/>
      <c r="J108" s="1195"/>
      <c r="K108" s="1195"/>
      <c r="L108" s="1195"/>
      <c r="M108" s="1195"/>
      <c r="N108" s="1195"/>
      <c r="O108" s="1195"/>
      <c r="P108" s="1195"/>
      <c r="Q108" s="1195"/>
      <c r="R108" s="1195"/>
      <c r="S108" s="1195"/>
      <c r="T108" s="1195"/>
      <c r="U108" s="1195"/>
      <c r="V108" s="1195"/>
      <c r="W108" s="1195"/>
      <c r="X108" s="1195"/>
      <c r="Y108" s="1195"/>
      <c r="Z108" s="1195"/>
      <c r="AA108" s="1195"/>
      <c r="AB108" s="1194"/>
      <c r="AC108" s="1194"/>
      <c r="AD108" s="1194"/>
      <c r="AE108" s="1194"/>
      <c r="AF108" s="1194"/>
      <c r="AG108" s="1194"/>
      <c r="AH108" s="1194"/>
      <c r="AI108" s="1209"/>
      <c r="AJ108" s="1209"/>
      <c r="AK108" s="1209"/>
    </row>
    <row r="109" spans="1:37" s="156" customFormat="1" ht="11.25">
      <c r="A109" s="1194"/>
      <c r="B109" s="1194"/>
      <c r="C109" s="1194"/>
      <c r="D109" s="1194"/>
      <c r="E109" s="1194"/>
      <c r="F109" s="1194"/>
      <c r="G109" s="1195"/>
      <c r="H109" s="1195"/>
      <c r="I109" s="1195"/>
      <c r="J109" s="1195"/>
      <c r="K109" s="1195"/>
      <c r="L109" s="1195"/>
      <c r="M109" s="1195"/>
      <c r="N109" s="1195"/>
      <c r="O109" s="1195"/>
      <c r="P109" s="1195"/>
      <c r="Q109" s="1195"/>
      <c r="R109" s="1195"/>
      <c r="S109" s="1195"/>
      <c r="T109" s="1195"/>
      <c r="U109" s="1195"/>
      <c r="V109" s="1195"/>
      <c r="W109" s="1195"/>
      <c r="X109" s="1195"/>
      <c r="Y109" s="1195"/>
      <c r="Z109" s="1195"/>
      <c r="AA109" s="1195"/>
      <c r="AB109" s="1194"/>
      <c r="AC109" s="1194"/>
      <c r="AD109" s="1194"/>
      <c r="AE109" s="1194"/>
      <c r="AF109" s="1194"/>
      <c r="AG109" s="1194"/>
      <c r="AH109" s="1194"/>
      <c r="AI109" s="1209"/>
      <c r="AJ109" s="1209"/>
      <c r="AK109" s="1209"/>
    </row>
    <row r="110" spans="1:37" s="156" customFormat="1" ht="11.25">
      <c r="A110" s="1194"/>
      <c r="B110" s="1194"/>
      <c r="C110" s="1194"/>
      <c r="D110" s="1194"/>
      <c r="E110" s="1194"/>
      <c r="F110" s="1194"/>
      <c r="G110" s="1195"/>
      <c r="H110" s="1195"/>
      <c r="I110" s="1195"/>
      <c r="J110" s="1195"/>
      <c r="K110" s="1195"/>
      <c r="L110" s="1195"/>
      <c r="M110" s="1195"/>
      <c r="N110" s="1195"/>
      <c r="O110" s="1195"/>
      <c r="P110" s="1195"/>
      <c r="Q110" s="1195"/>
      <c r="R110" s="1195"/>
      <c r="S110" s="1195"/>
      <c r="T110" s="1195"/>
      <c r="U110" s="1195"/>
      <c r="V110" s="1195"/>
      <c r="W110" s="1195"/>
      <c r="X110" s="1195"/>
      <c r="Y110" s="1195"/>
      <c r="Z110" s="1195"/>
      <c r="AA110" s="1195"/>
      <c r="AB110" s="1194"/>
      <c r="AC110" s="1194"/>
      <c r="AD110" s="1194"/>
      <c r="AE110" s="1194"/>
      <c r="AF110" s="1194"/>
      <c r="AG110" s="1194"/>
      <c r="AH110" s="1194"/>
      <c r="AI110" s="1209"/>
      <c r="AJ110" s="1209"/>
      <c r="AK110" s="1209"/>
    </row>
    <row r="111" spans="1:37" s="156" customFormat="1" ht="11.25">
      <c r="A111" s="1194"/>
      <c r="B111" s="1194"/>
      <c r="C111" s="1194"/>
      <c r="D111" s="1194"/>
      <c r="E111" s="1194"/>
      <c r="F111" s="1194"/>
      <c r="G111" s="1195"/>
      <c r="H111" s="1195"/>
      <c r="I111" s="1195"/>
      <c r="J111" s="1195"/>
      <c r="K111" s="1195"/>
      <c r="L111" s="1195"/>
      <c r="M111" s="1195"/>
      <c r="N111" s="1195"/>
      <c r="O111" s="1195"/>
      <c r="P111" s="1195"/>
      <c r="Q111" s="1195"/>
      <c r="R111" s="1195"/>
      <c r="S111" s="1195"/>
      <c r="T111" s="1195"/>
      <c r="U111" s="1195"/>
      <c r="V111" s="1195"/>
      <c r="W111" s="1195"/>
      <c r="X111" s="1195"/>
      <c r="Y111" s="1195"/>
      <c r="Z111" s="1195"/>
      <c r="AA111" s="1195"/>
      <c r="AB111" s="1194"/>
      <c r="AC111" s="1194"/>
      <c r="AD111" s="1194"/>
      <c r="AE111" s="1194"/>
      <c r="AF111" s="1194"/>
      <c r="AG111" s="1194"/>
      <c r="AH111" s="1194"/>
      <c r="AI111" s="1209"/>
      <c r="AJ111" s="1209"/>
      <c r="AK111" s="1209"/>
    </row>
    <row r="112" spans="1:37" s="156" customFormat="1" ht="11.25">
      <c r="A112" s="1194"/>
      <c r="B112" s="1194"/>
      <c r="C112" s="1194"/>
      <c r="D112" s="1194"/>
      <c r="E112" s="1194"/>
      <c r="F112" s="1194"/>
      <c r="G112" s="1195"/>
      <c r="H112" s="1195"/>
      <c r="I112" s="1195"/>
      <c r="J112" s="1195"/>
      <c r="K112" s="1195"/>
      <c r="L112" s="1195"/>
      <c r="M112" s="1195"/>
      <c r="N112" s="1195"/>
      <c r="O112" s="1195"/>
      <c r="P112" s="1195"/>
      <c r="Q112" s="1195"/>
      <c r="R112" s="1195"/>
      <c r="S112" s="1195"/>
      <c r="T112" s="1195"/>
      <c r="U112" s="1195"/>
      <c r="V112" s="1195"/>
      <c r="W112" s="1195"/>
      <c r="X112" s="1195"/>
      <c r="Y112" s="1195"/>
      <c r="Z112" s="1195"/>
      <c r="AA112" s="1195"/>
      <c r="AB112" s="1194"/>
      <c r="AC112" s="1194"/>
      <c r="AD112" s="1194"/>
      <c r="AE112" s="1194"/>
      <c r="AF112" s="1194"/>
      <c r="AG112" s="1194"/>
      <c r="AH112" s="1194"/>
      <c r="AI112" s="1209"/>
      <c r="AJ112" s="1209"/>
      <c r="AK112" s="1209"/>
    </row>
    <row r="113" spans="1:37" s="156" customFormat="1" ht="11.25">
      <c r="A113" s="1194"/>
      <c r="B113" s="1194"/>
      <c r="C113" s="1194"/>
      <c r="D113" s="1194"/>
      <c r="E113" s="1194"/>
      <c r="F113" s="1194"/>
      <c r="G113" s="1195"/>
      <c r="H113" s="1195"/>
      <c r="I113" s="1195"/>
      <c r="J113" s="1195"/>
      <c r="K113" s="1195"/>
      <c r="L113" s="1195"/>
      <c r="M113" s="1195"/>
      <c r="N113" s="1195"/>
      <c r="O113" s="1195"/>
      <c r="P113" s="1195"/>
      <c r="Q113" s="1195"/>
      <c r="R113" s="1195"/>
      <c r="S113" s="1195"/>
      <c r="T113" s="1195"/>
      <c r="U113" s="1195"/>
      <c r="V113" s="1195"/>
      <c r="W113" s="1195"/>
      <c r="X113" s="1195"/>
      <c r="Y113" s="1195"/>
      <c r="Z113" s="1195"/>
      <c r="AA113" s="1195"/>
      <c r="AB113" s="1194"/>
      <c r="AC113" s="1194"/>
      <c r="AD113" s="1194"/>
      <c r="AE113" s="1194"/>
      <c r="AF113" s="1194"/>
      <c r="AG113" s="1194"/>
      <c r="AH113" s="1194"/>
      <c r="AI113" s="1209"/>
      <c r="AJ113" s="1209"/>
      <c r="AK113" s="1209"/>
    </row>
    <row r="114" spans="1:37" s="156" customFormat="1" ht="11.25">
      <c r="A114" s="1194"/>
      <c r="B114" s="1194"/>
      <c r="C114" s="1194"/>
      <c r="D114" s="1194"/>
      <c r="E114" s="1194"/>
      <c r="F114" s="1194"/>
      <c r="G114" s="1195"/>
      <c r="H114" s="1195"/>
      <c r="I114" s="1195"/>
      <c r="J114" s="1195"/>
      <c r="K114" s="1195"/>
      <c r="L114" s="1195"/>
      <c r="M114" s="1195"/>
      <c r="N114" s="1195"/>
      <c r="O114" s="1195"/>
      <c r="P114" s="1195"/>
      <c r="Q114" s="1195"/>
      <c r="R114" s="1195"/>
      <c r="S114" s="1195"/>
      <c r="T114" s="1195"/>
      <c r="U114" s="1195"/>
      <c r="V114" s="1195"/>
      <c r="W114" s="1195"/>
      <c r="X114" s="1195"/>
      <c r="Y114" s="1195"/>
      <c r="Z114" s="1195"/>
      <c r="AA114" s="1195"/>
      <c r="AB114" s="1194"/>
      <c r="AC114" s="1194"/>
      <c r="AD114" s="1194"/>
      <c r="AE114" s="1194"/>
      <c r="AF114" s="1194"/>
      <c r="AG114" s="1194"/>
      <c r="AH114" s="1194"/>
      <c r="AI114" s="1209"/>
      <c r="AJ114" s="1209"/>
      <c r="AK114" s="1209"/>
    </row>
    <row r="115" spans="1:37" s="156" customFormat="1" ht="11.25">
      <c r="A115" s="1194"/>
      <c r="B115" s="1194"/>
      <c r="C115" s="1194"/>
      <c r="D115" s="1194"/>
      <c r="E115" s="1194"/>
      <c r="F115" s="1194"/>
      <c r="G115" s="1195"/>
      <c r="H115" s="1195"/>
      <c r="I115" s="1195"/>
      <c r="J115" s="1195"/>
      <c r="K115" s="1195"/>
      <c r="L115" s="1195"/>
      <c r="M115" s="1195"/>
      <c r="N115" s="1195"/>
      <c r="O115" s="1195"/>
      <c r="P115" s="1195"/>
      <c r="Q115" s="1195"/>
      <c r="R115" s="1195"/>
      <c r="S115" s="1195"/>
      <c r="T115" s="1195"/>
      <c r="U115" s="1195"/>
      <c r="V115" s="1195"/>
      <c r="W115" s="1195"/>
      <c r="X115" s="1195"/>
      <c r="Y115" s="1195"/>
      <c r="Z115" s="1195"/>
      <c r="AA115" s="1195"/>
      <c r="AB115" s="1194"/>
      <c r="AC115" s="1194"/>
      <c r="AD115" s="1194"/>
      <c r="AE115" s="1194"/>
      <c r="AF115" s="1194"/>
      <c r="AG115" s="1194"/>
      <c r="AH115" s="1194"/>
      <c r="AI115" s="1209"/>
      <c r="AJ115" s="1209"/>
      <c r="AK115" s="1209"/>
    </row>
    <row r="116" spans="1:37" s="156" customFormat="1" ht="11.25">
      <c r="A116" s="1194"/>
      <c r="B116" s="1194"/>
      <c r="C116" s="1194"/>
      <c r="D116" s="1194"/>
      <c r="E116" s="1194"/>
      <c r="F116" s="1194"/>
      <c r="G116" s="1195"/>
      <c r="H116" s="1195"/>
      <c r="I116" s="1195"/>
      <c r="J116" s="1195"/>
      <c r="K116" s="1195"/>
      <c r="L116" s="1195"/>
      <c r="M116" s="1195"/>
      <c r="N116" s="1195"/>
      <c r="O116" s="1195"/>
      <c r="P116" s="1195"/>
      <c r="Q116" s="1195"/>
      <c r="R116" s="1195"/>
      <c r="S116" s="1195"/>
      <c r="T116" s="1195"/>
      <c r="U116" s="1195"/>
      <c r="V116" s="1195"/>
      <c r="W116" s="1195"/>
      <c r="X116" s="1195"/>
      <c r="Y116" s="1195"/>
      <c r="Z116" s="1195"/>
      <c r="AA116" s="1195"/>
      <c r="AB116" s="1194"/>
      <c r="AC116" s="1194"/>
      <c r="AD116" s="1194"/>
      <c r="AE116" s="1194"/>
      <c r="AF116" s="1194"/>
      <c r="AG116" s="1194"/>
      <c r="AH116" s="1194"/>
      <c r="AI116" s="1209"/>
      <c r="AJ116" s="1209"/>
      <c r="AK116" s="1209"/>
    </row>
    <row r="117" spans="1:37" s="156" customFormat="1" ht="11.25">
      <c r="A117" s="1194"/>
      <c r="B117" s="1194"/>
      <c r="C117" s="1194"/>
      <c r="D117" s="1194"/>
      <c r="E117" s="1194"/>
      <c r="F117" s="1194"/>
      <c r="G117" s="1195"/>
      <c r="H117" s="1195"/>
      <c r="I117" s="1195"/>
      <c r="J117" s="1195"/>
      <c r="K117" s="1195"/>
      <c r="L117" s="1195"/>
      <c r="M117" s="1195"/>
      <c r="N117" s="1195"/>
      <c r="O117" s="1195"/>
      <c r="P117" s="1195"/>
      <c r="Q117" s="1195"/>
      <c r="R117" s="1195"/>
      <c r="S117" s="1195"/>
      <c r="T117" s="1195"/>
      <c r="U117" s="1195"/>
      <c r="V117" s="1195"/>
      <c r="W117" s="1195"/>
      <c r="X117" s="1195"/>
      <c r="Y117" s="1195"/>
      <c r="Z117" s="1195"/>
      <c r="AA117" s="1195"/>
      <c r="AB117" s="1194"/>
      <c r="AC117" s="1194"/>
      <c r="AD117" s="1194"/>
      <c r="AE117" s="1194"/>
      <c r="AF117" s="1194"/>
      <c r="AG117" s="1194"/>
      <c r="AH117" s="1194"/>
      <c r="AI117" s="1209"/>
      <c r="AJ117" s="1209"/>
      <c r="AK117" s="1209"/>
    </row>
    <row r="118" spans="1:37" s="156" customFormat="1" ht="11.25">
      <c r="A118" s="1194"/>
      <c r="B118" s="1194"/>
      <c r="C118" s="1194"/>
      <c r="D118" s="1194"/>
      <c r="E118" s="1194"/>
      <c r="F118" s="1194"/>
      <c r="G118" s="1195"/>
      <c r="H118" s="1195"/>
      <c r="I118" s="1195"/>
      <c r="J118" s="1195"/>
      <c r="K118" s="1195"/>
      <c r="L118" s="1195"/>
      <c r="M118" s="1195"/>
      <c r="N118" s="1195"/>
      <c r="O118" s="1195"/>
      <c r="P118" s="1195"/>
      <c r="Q118" s="1195"/>
      <c r="R118" s="1195"/>
      <c r="S118" s="1195"/>
      <c r="T118" s="1195"/>
      <c r="U118" s="1195"/>
      <c r="V118" s="1195"/>
      <c r="W118" s="1195"/>
      <c r="X118" s="1195"/>
      <c r="Y118" s="1195"/>
      <c r="Z118" s="1195"/>
      <c r="AA118" s="1195"/>
      <c r="AB118" s="1194"/>
      <c r="AC118" s="1194"/>
      <c r="AD118" s="1194"/>
      <c r="AE118" s="1194"/>
      <c r="AF118" s="1194"/>
      <c r="AG118" s="1194"/>
      <c r="AH118" s="1194"/>
      <c r="AI118" s="1209"/>
      <c r="AJ118" s="1209"/>
      <c r="AK118" s="1209"/>
    </row>
    <row r="119" spans="1:37" s="156" customFormat="1" ht="11.25">
      <c r="A119" s="1194"/>
      <c r="B119" s="1194"/>
      <c r="C119" s="1194"/>
      <c r="D119" s="1194"/>
      <c r="E119" s="1194"/>
      <c r="F119" s="1194"/>
      <c r="G119" s="1195"/>
      <c r="H119" s="1195"/>
      <c r="I119" s="1195"/>
      <c r="J119" s="1195"/>
      <c r="K119" s="1195"/>
      <c r="L119" s="1195"/>
      <c r="M119" s="1195"/>
      <c r="N119" s="1195"/>
      <c r="O119" s="1195"/>
      <c r="P119" s="1195"/>
      <c r="Q119" s="1195"/>
      <c r="R119" s="1195"/>
      <c r="S119" s="1195"/>
      <c r="T119" s="1195"/>
      <c r="U119" s="1195"/>
      <c r="V119" s="1195"/>
      <c r="W119" s="1195"/>
      <c r="X119" s="1195"/>
      <c r="Y119" s="1195"/>
      <c r="Z119" s="1195"/>
      <c r="AA119" s="1195"/>
      <c r="AB119" s="1194"/>
      <c r="AC119" s="1194"/>
      <c r="AD119" s="1194"/>
      <c r="AE119" s="1194"/>
      <c r="AF119" s="1194"/>
      <c r="AG119" s="1194"/>
      <c r="AH119" s="1194"/>
      <c r="AI119" s="1209"/>
      <c r="AJ119" s="1209"/>
      <c r="AK119" s="1209"/>
    </row>
    <row r="120" spans="1:37" s="156" customFormat="1" ht="11.25">
      <c r="A120" s="1194"/>
      <c r="B120" s="1194"/>
      <c r="C120" s="1194"/>
      <c r="D120" s="1194"/>
      <c r="E120" s="1194"/>
      <c r="F120" s="1194"/>
      <c r="G120" s="1195"/>
      <c r="H120" s="1195"/>
      <c r="I120" s="1195"/>
      <c r="J120" s="1195"/>
      <c r="K120" s="1195"/>
      <c r="L120" s="1195"/>
      <c r="M120" s="1195"/>
      <c r="N120" s="1195"/>
      <c r="O120" s="1195"/>
      <c r="P120" s="1195"/>
      <c r="Q120" s="1195"/>
      <c r="R120" s="1195"/>
      <c r="S120" s="1195"/>
      <c r="T120" s="1195"/>
      <c r="U120" s="1195"/>
      <c r="V120" s="1195"/>
      <c r="W120" s="1195"/>
      <c r="X120" s="1195"/>
      <c r="Y120" s="1195"/>
      <c r="Z120" s="1195"/>
      <c r="AA120" s="1195"/>
      <c r="AB120" s="1194"/>
      <c r="AC120" s="1194"/>
      <c r="AD120" s="1194"/>
      <c r="AE120" s="1194"/>
      <c r="AF120" s="1194"/>
      <c r="AG120" s="1194"/>
      <c r="AH120" s="1194"/>
      <c r="AI120" s="1209"/>
      <c r="AJ120" s="1209"/>
      <c r="AK120" s="1209"/>
    </row>
    <row r="121" spans="1:37" s="156" customFormat="1" ht="11.25">
      <c r="A121" s="1194"/>
      <c r="B121" s="1194"/>
      <c r="C121" s="1194"/>
      <c r="D121" s="1194"/>
      <c r="E121" s="1194"/>
      <c r="F121" s="1194"/>
      <c r="G121" s="1195"/>
      <c r="H121" s="1195"/>
      <c r="I121" s="1195"/>
      <c r="J121" s="1195"/>
      <c r="K121" s="1195"/>
      <c r="L121" s="1195"/>
      <c r="M121" s="1195"/>
      <c r="N121" s="1195"/>
      <c r="O121" s="1195"/>
      <c r="P121" s="1195"/>
      <c r="Q121" s="1195"/>
      <c r="R121" s="1195"/>
      <c r="S121" s="1195"/>
      <c r="T121" s="1195"/>
      <c r="U121" s="1195"/>
      <c r="V121" s="1195"/>
      <c r="W121" s="1195"/>
      <c r="X121" s="1195"/>
      <c r="Y121" s="1195"/>
      <c r="Z121" s="1195"/>
      <c r="AA121" s="1195"/>
      <c r="AB121" s="1194"/>
      <c r="AC121" s="1194"/>
      <c r="AD121" s="1194"/>
      <c r="AE121" s="1194"/>
      <c r="AF121" s="1194"/>
      <c r="AG121" s="1194"/>
      <c r="AH121" s="1194"/>
      <c r="AI121" s="1209"/>
      <c r="AJ121" s="1209"/>
      <c r="AK121" s="1209"/>
    </row>
    <row r="122" spans="1:37" s="156" customFormat="1" ht="11.25">
      <c r="A122" s="1194"/>
      <c r="B122" s="1194"/>
      <c r="C122" s="1194"/>
      <c r="D122" s="1194"/>
      <c r="E122" s="1194"/>
      <c r="F122" s="1194"/>
      <c r="G122" s="1195"/>
      <c r="H122" s="1195"/>
      <c r="I122" s="1195"/>
      <c r="J122" s="1195"/>
      <c r="K122" s="1195"/>
      <c r="L122" s="1195"/>
      <c r="M122" s="1195"/>
      <c r="N122" s="1195"/>
      <c r="O122" s="1195"/>
      <c r="P122" s="1195"/>
      <c r="Q122" s="1195"/>
      <c r="R122" s="1195"/>
      <c r="S122" s="1195"/>
      <c r="T122" s="1195"/>
      <c r="U122" s="1195"/>
      <c r="V122" s="1195"/>
      <c r="W122" s="1195"/>
      <c r="X122" s="1195"/>
      <c r="Y122" s="1195"/>
      <c r="Z122" s="1195"/>
      <c r="AA122" s="1195"/>
      <c r="AB122" s="1194"/>
      <c r="AC122" s="1194"/>
      <c r="AD122" s="1194"/>
      <c r="AE122" s="1194"/>
      <c r="AF122" s="1194"/>
      <c r="AG122" s="1194"/>
      <c r="AH122" s="1194"/>
      <c r="AI122" s="1209"/>
      <c r="AJ122" s="1209"/>
      <c r="AK122" s="1209"/>
    </row>
    <row r="123" spans="1:37" s="156" customFormat="1" ht="11.25">
      <c r="A123" s="1194"/>
      <c r="B123" s="1194"/>
      <c r="C123" s="1194"/>
      <c r="D123" s="1194"/>
      <c r="E123" s="1194"/>
      <c r="F123" s="1194"/>
      <c r="G123" s="1195"/>
      <c r="H123" s="1195"/>
      <c r="I123" s="1195"/>
      <c r="J123" s="1195"/>
      <c r="K123" s="1195"/>
      <c r="L123" s="1195"/>
      <c r="M123" s="1195"/>
      <c r="N123" s="1195"/>
      <c r="O123" s="1195"/>
      <c r="P123" s="1195"/>
      <c r="Q123" s="1195"/>
      <c r="R123" s="1195"/>
      <c r="S123" s="1195"/>
      <c r="T123" s="1195"/>
      <c r="U123" s="1195"/>
      <c r="V123" s="1195"/>
      <c r="W123" s="1195"/>
      <c r="X123" s="1195"/>
      <c r="Y123" s="1195"/>
      <c r="Z123" s="1195"/>
      <c r="AA123" s="1195"/>
      <c r="AB123" s="1194"/>
      <c r="AC123" s="1194"/>
      <c r="AD123" s="1194"/>
      <c r="AE123" s="1194"/>
      <c r="AF123" s="1194"/>
      <c r="AG123" s="1194"/>
      <c r="AH123" s="1194"/>
      <c r="AI123" s="1209"/>
      <c r="AJ123" s="1209"/>
      <c r="AK123" s="1209"/>
    </row>
    <row r="124" spans="1:37" s="156" customFormat="1" ht="11.25">
      <c r="A124" s="1194"/>
      <c r="B124" s="1194"/>
      <c r="C124" s="1194"/>
      <c r="D124" s="1194"/>
      <c r="E124" s="1194"/>
      <c r="F124" s="1194"/>
      <c r="G124" s="1195"/>
      <c r="H124" s="1195"/>
      <c r="I124" s="1195"/>
      <c r="J124" s="1195"/>
      <c r="K124" s="1195"/>
      <c r="L124" s="1195"/>
      <c r="M124" s="1195"/>
      <c r="N124" s="1195"/>
      <c r="O124" s="1195"/>
      <c r="P124" s="1195"/>
      <c r="Q124" s="1195"/>
      <c r="R124" s="1195"/>
      <c r="S124" s="1195"/>
      <c r="T124" s="1195"/>
      <c r="U124" s="1195"/>
      <c r="V124" s="1195"/>
      <c r="W124" s="1195"/>
      <c r="X124" s="1195"/>
      <c r="Y124" s="1195"/>
      <c r="Z124" s="1195"/>
      <c r="AA124" s="1195"/>
      <c r="AB124" s="1194"/>
      <c r="AC124" s="1194"/>
      <c r="AD124" s="1194"/>
      <c r="AE124" s="1194"/>
      <c r="AF124" s="1194"/>
      <c r="AG124" s="1194"/>
      <c r="AH124" s="1194"/>
      <c r="AI124" s="1209"/>
      <c r="AJ124" s="1209"/>
      <c r="AK124" s="1209"/>
    </row>
    <row r="125" spans="1:37" s="156" customFormat="1" ht="11.25">
      <c r="A125" s="1194"/>
      <c r="B125" s="1194"/>
      <c r="C125" s="1194"/>
      <c r="D125" s="1194"/>
      <c r="E125" s="1194"/>
      <c r="F125" s="1194"/>
      <c r="G125" s="1195"/>
      <c r="H125" s="1195"/>
      <c r="I125" s="1195"/>
      <c r="J125" s="1195"/>
      <c r="K125" s="1195"/>
      <c r="L125" s="1195"/>
      <c r="M125" s="1195"/>
      <c r="N125" s="1195"/>
      <c r="O125" s="1195"/>
      <c r="P125" s="1195"/>
      <c r="Q125" s="1195"/>
      <c r="R125" s="1195"/>
      <c r="S125" s="1195"/>
      <c r="T125" s="1195"/>
      <c r="U125" s="1195"/>
      <c r="V125" s="1195"/>
      <c r="W125" s="1195"/>
      <c r="X125" s="1195"/>
      <c r="Y125" s="1195"/>
      <c r="Z125" s="1195"/>
      <c r="AA125" s="1195"/>
      <c r="AB125" s="1194"/>
      <c r="AC125" s="1194"/>
      <c r="AD125" s="1194"/>
      <c r="AE125" s="1194"/>
      <c r="AF125" s="1194"/>
      <c r="AG125" s="1194"/>
      <c r="AH125" s="1194"/>
      <c r="AI125" s="1209"/>
      <c r="AJ125" s="1209"/>
      <c r="AK125" s="1209"/>
    </row>
    <row r="126" spans="1:37" s="156" customFormat="1" ht="11.25">
      <c r="A126" s="1194"/>
      <c r="B126" s="1194"/>
      <c r="C126" s="1194"/>
      <c r="D126" s="1194"/>
      <c r="E126" s="1194"/>
      <c r="F126" s="1194"/>
      <c r="G126" s="1195"/>
      <c r="H126" s="1195"/>
      <c r="I126" s="1195"/>
      <c r="J126" s="1195"/>
      <c r="K126" s="1195"/>
      <c r="L126" s="1195"/>
      <c r="M126" s="1195"/>
      <c r="N126" s="1195"/>
      <c r="O126" s="1195"/>
      <c r="P126" s="1195"/>
      <c r="Q126" s="1195"/>
      <c r="R126" s="1195"/>
      <c r="S126" s="1195"/>
      <c r="T126" s="1195"/>
      <c r="U126" s="1195"/>
      <c r="V126" s="1195"/>
      <c r="W126" s="1195"/>
      <c r="X126" s="1195"/>
      <c r="Y126" s="1195"/>
      <c r="Z126" s="1195"/>
      <c r="AA126" s="1195"/>
      <c r="AB126" s="1194"/>
      <c r="AC126" s="1194"/>
      <c r="AD126" s="1194"/>
      <c r="AE126" s="1194"/>
      <c r="AF126" s="1194"/>
      <c r="AG126" s="1194"/>
      <c r="AH126" s="1194"/>
      <c r="AI126" s="1209"/>
      <c r="AJ126" s="1209"/>
      <c r="AK126" s="1209"/>
    </row>
    <row r="127" spans="1:37" s="156" customFormat="1" ht="11.25">
      <c r="A127" s="1194"/>
      <c r="B127" s="1194"/>
      <c r="C127" s="1194"/>
      <c r="D127" s="1194"/>
      <c r="E127" s="1194"/>
      <c r="F127" s="1194"/>
      <c r="G127" s="1195"/>
      <c r="H127" s="1195"/>
      <c r="I127" s="1195"/>
      <c r="J127" s="1195"/>
      <c r="K127" s="1195"/>
      <c r="L127" s="1195"/>
      <c r="M127" s="1195"/>
      <c r="N127" s="1195"/>
      <c r="O127" s="1195"/>
      <c r="P127" s="1195"/>
      <c r="Q127" s="1195"/>
      <c r="R127" s="1195"/>
      <c r="S127" s="1195"/>
      <c r="T127" s="1195"/>
      <c r="U127" s="1195"/>
      <c r="V127" s="1195"/>
      <c r="W127" s="1195"/>
      <c r="X127" s="1195"/>
      <c r="Y127" s="1195"/>
      <c r="Z127" s="1195"/>
      <c r="AA127" s="1195"/>
      <c r="AB127" s="1194"/>
      <c r="AC127" s="1194"/>
      <c r="AD127" s="1194"/>
      <c r="AE127" s="1194"/>
      <c r="AF127" s="1194"/>
      <c r="AG127" s="1194"/>
      <c r="AH127" s="1194"/>
      <c r="AI127" s="1209"/>
      <c r="AJ127" s="1209"/>
      <c r="AK127" s="1209"/>
    </row>
    <row r="128" spans="1:37" s="156" customFormat="1" ht="11.25">
      <c r="A128" s="1194"/>
      <c r="B128" s="1194"/>
      <c r="C128" s="1194"/>
      <c r="D128" s="1194"/>
      <c r="E128" s="1194"/>
      <c r="F128" s="1194"/>
      <c r="G128" s="1195"/>
      <c r="H128" s="1195"/>
      <c r="I128" s="1195"/>
      <c r="J128" s="1195"/>
      <c r="K128" s="1195"/>
      <c r="L128" s="1195"/>
      <c r="M128" s="1195"/>
      <c r="N128" s="1195"/>
      <c r="O128" s="1195"/>
      <c r="P128" s="1195"/>
      <c r="Q128" s="1195"/>
      <c r="R128" s="1195"/>
      <c r="S128" s="1195"/>
      <c r="T128" s="1195"/>
      <c r="U128" s="1195"/>
      <c r="V128" s="1195"/>
      <c r="W128" s="1195"/>
      <c r="X128" s="1195"/>
      <c r="Y128" s="1195"/>
      <c r="Z128" s="1195"/>
      <c r="AA128" s="1195"/>
      <c r="AB128" s="1194"/>
      <c r="AC128" s="1194"/>
      <c r="AD128" s="1194"/>
      <c r="AE128" s="1194"/>
      <c r="AF128" s="1194"/>
      <c r="AG128" s="1194"/>
      <c r="AH128" s="1194"/>
      <c r="AI128" s="1209"/>
      <c r="AJ128" s="1209"/>
      <c r="AK128" s="1209"/>
    </row>
    <row r="129" spans="1:37" s="156" customFormat="1" ht="11.25">
      <c r="A129" s="1194"/>
      <c r="B129" s="1194"/>
      <c r="C129" s="1194"/>
      <c r="D129" s="1194"/>
      <c r="E129" s="1194"/>
      <c r="F129" s="1194"/>
      <c r="G129" s="1195"/>
      <c r="H129" s="1195"/>
      <c r="I129" s="1195"/>
      <c r="J129" s="1195"/>
      <c r="K129" s="1195"/>
      <c r="L129" s="1195"/>
      <c r="M129" s="1195"/>
      <c r="N129" s="1195"/>
      <c r="O129" s="1195"/>
      <c r="P129" s="1195"/>
      <c r="Q129" s="1195"/>
      <c r="R129" s="1195"/>
      <c r="S129" s="1195"/>
      <c r="T129" s="1195"/>
      <c r="U129" s="1195"/>
      <c r="V129" s="1195"/>
      <c r="W129" s="1195"/>
      <c r="X129" s="1195"/>
      <c r="Y129" s="1195"/>
      <c r="Z129" s="1195"/>
      <c r="AA129" s="1195"/>
      <c r="AB129" s="1194"/>
      <c r="AC129" s="1194"/>
      <c r="AD129" s="1194"/>
      <c r="AE129" s="1194"/>
      <c r="AF129" s="1194"/>
      <c r="AG129" s="1194"/>
      <c r="AH129" s="1194"/>
      <c r="AI129" s="1209"/>
      <c r="AJ129" s="1209"/>
      <c r="AK129" s="1209"/>
    </row>
    <row r="130" spans="1:37" s="156" customFormat="1" ht="11.25">
      <c r="A130" s="1194"/>
      <c r="B130" s="1194"/>
      <c r="C130" s="1194"/>
      <c r="D130" s="1194"/>
      <c r="E130" s="1194"/>
      <c r="F130" s="1194"/>
      <c r="G130" s="1195"/>
      <c r="H130" s="1195"/>
      <c r="I130" s="1195"/>
      <c r="J130" s="1195"/>
      <c r="K130" s="1195"/>
      <c r="L130" s="1195"/>
      <c r="M130" s="1195"/>
      <c r="N130" s="1195"/>
      <c r="O130" s="1195"/>
      <c r="P130" s="1195"/>
      <c r="Q130" s="1195"/>
      <c r="R130" s="1195"/>
      <c r="S130" s="1195"/>
      <c r="T130" s="1195"/>
      <c r="U130" s="1195"/>
      <c r="V130" s="1195"/>
      <c r="W130" s="1195"/>
      <c r="X130" s="1195"/>
      <c r="Y130" s="1195"/>
      <c r="Z130" s="1195"/>
      <c r="AA130" s="1195"/>
      <c r="AB130" s="1194"/>
      <c r="AC130" s="1194"/>
      <c r="AD130" s="1194"/>
      <c r="AE130" s="1194"/>
      <c r="AF130" s="1194"/>
      <c r="AG130" s="1194"/>
      <c r="AH130" s="1194"/>
      <c r="AI130" s="1209"/>
      <c r="AJ130" s="1209"/>
      <c r="AK130" s="1209"/>
    </row>
    <row r="131" spans="1:37" s="156" customFormat="1" ht="11.25">
      <c r="A131" s="1194"/>
      <c r="B131" s="1194"/>
      <c r="C131" s="1194"/>
      <c r="D131" s="1194"/>
      <c r="E131" s="1194"/>
      <c r="F131" s="1194"/>
      <c r="G131" s="1195"/>
      <c r="H131" s="1195"/>
      <c r="I131" s="1195"/>
      <c r="J131" s="1195"/>
      <c r="K131" s="1195"/>
      <c r="L131" s="1195"/>
      <c r="M131" s="1195"/>
      <c r="N131" s="1195"/>
      <c r="O131" s="1195"/>
      <c r="P131" s="1195"/>
      <c r="Q131" s="1195"/>
      <c r="R131" s="1195"/>
      <c r="S131" s="1195"/>
      <c r="T131" s="1195"/>
      <c r="U131" s="1195"/>
      <c r="V131" s="1195"/>
      <c r="W131" s="1195"/>
      <c r="X131" s="1195"/>
      <c r="Y131" s="1195"/>
      <c r="Z131" s="1195"/>
      <c r="AA131" s="1195"/>
      <c r="AB131" s="1194"/>
      <c r="AC131" s="1194"/>
      <c r="AD131" s="1194"/>
      <c r="AE131" s="1194"/>
      <c r="AF131" s="1194"/>
      <c r="AG131" s="1194"/>
      <c r="AH131" s="1194"/>
      <c r="AI131" s="1209"/>
      <c r="AJ131" s="1209"/>
      <c r="AK131" s="1209"/>
    </row>
    <row r="132" spans="1:37" s="156" customFormat="1" ht="11.25">
      <c r="A132" s="1194"/>
      <c r="B132" s="1194"/>
      <c r="C132" s="1194"/>
      <c r="D132" s="1194"/>
      <c r="E132" s="1194"/>
      <c r="F132" s="1194"/>
      <c r="G132" s="1195"/>
      <c r="H132" s="1195"/>
      <c r="I132" s="1195"/>
      <c r="J132" s="1195"/>
      <c r="K132" s="1195"/>
      <c r="L132" s="1195"/>
      <c r="M132" s="1195"/>
      <c r="N132" s="1195"/>
      <c r="O132" s="1195"/>
      <c r="P132" s="1195"/>
      <c r="Q132" s="1195"/>
      <c r="R132" s="1195"/>
      <c r="S132" s="1195"/>
      <c r="T132" s="1195"/>
      <c r="U132" s="1195"/>
      <c r="V132" s="1195"/>
      <c r="W132" s="1195"/>
      <c r="X132" s="1195"/>
      <c r="Y132" s="1195"/>
      <c r="Z132" s="1195"/>
      <c r="AA132" s="1195"/>
      <c r="AB132" s="1194"/>
      <c r="AC132" s="1194"/>
      <c r="AD132" s="1194"/>
      <c r="AE132" s="1194"/>
      <c r="AF132" s="1194"/>
      <c r="AG132" s="1194"/>
      <c r="AH132" s="1194"/>
      <c r="AI132" s="1209"/>
      <c r="AJ132" s="1209"/>
      <c r="AK132" s="1209"/>
    </row>
    <row r="133" spans="1:37" s="156" customFormat="1" ht="11.25">
      <c r="A133" s="1194"/>
      <c r="B133" s="1194"/>
      <c r="C133" s="1194"/>
      <c r="D133" s="1194"/>
      <c r="E133" s="1194"/>
      <c r="F133" s="1194"/>
      <c r="G133" s="1195"/>
      <c r="H133" s="1195"/>
      <c r="I133" s="1195"/>
      <c r="J133" s="1195"/>
      <c r="K133" s="1195"/>
      <c r="L133" s="1195"/>
      <c r="M133" s="1195"/>
      <c r="N133" s="1195"/>
      <c r="O133" s="1195"/>
      <c r="P133" s="1195"/>
      <c r="Q133" s="1195"/>
      <c r="R133" s="1195"/>
      <c r="S133" s="1195"/>
      <c r="T133" s="1195"/>
      <c r="U133" s="1195"/>
      <c r="V133" s="1195"/>
      <c r="W133" s="1195"/>
      <c r="X133" s="1195"/>
      <c r="Y133" s="1195"/>
      <c r="Z133" s="1195"/>
      <c r="AA133" s="1195"/>
      <c r="AB133" s="1194"/>
      <c r="AC133" s="1194"/>
      <c r="AD133" s="1194"/>
      <c r="AE133" s="1194"/>
      <c r="AF133" s="1194"/>
      <c r="AG133" s="1194"/>
      <c r="AH133" s="1194"/>
      <c r="AI133" s="1209"/>
      <c r="AJ133" s="1209"/>
      <c r="AK133" s="1209"/>
    </row>
    <row r="134" spans="1:37" s="156" customFormat="1" ht="11.25">
      <c r="A134" s="1194"/>
      <c r="B134" s="1194"/>
      <c r="C134" s="1194"/>
      <c r="D134" s="1194"/>
      <c r="E134" s="1194"/>
      <c r="F134" s="1194"/>
      <c r="G134" s="1195"/>
      <c r="H134" s="1195"/>
      <c r="I134" s="1195"/>
      <c r="J134" s="1195"/>
      <c r="K134" s="1195"/>
      <c r="L134" s="1195"/>
      <c r="M134" s="1195"/>
      <c r="N134" s="1195"/>
      <c r="O134" s="1195"/>
      <c r="P134" s="1195"/>
      <c r="Q134" s="1195"/>
      <c r="R134" s="1195"/>
      <c r="S134" s="1195"/>
      <c r="T134" s="1195"/>
      <c r="U134" s="1195"/>
      <c r="V134" s="1195"/>
      <c r="W134" s="1195"/>
      <c r="X134" s="1195"/>
      <c r="Y134" s="1195"/>
      <c r="Z134" s="1195"/>
      <c r="AA134" s="1195"/>
      <c r="AB134" s="1194"/>
      <c r="AC134" s="1194"/>
      <c r="AD134" s="1194"/>
      <c r="AE134" s="1194"/>
      <c r="AF134" s="1194"/>
      <c r="AG134" s="1194"/>
      <c r="AH134" s="1194"/>
      <c r="AI134" s="1209"/>
      <c r="AJ134" s="1209"/>
      <c r="AK134" s="1209"/>
    </row>
    <row r="135" spans="1:37" s="156" customFormat="1" ht="11.25">
      <c r="A135" s="1194"/>
      <c r="B135" s="1194"/>
      <c r="C135" s="1194"/>
      <c r="D135" s="1194"/>
      <c r="E135" s="1194"/>
      <c r="F135" s="1194"/>
      <c r="G135" s="1195"/>
      <c r="H135" s="1195"/>
      <c r="I135" s="1195"/>
      <c r="J135" s="1195"/>
      <c r="K135" s="1195"/>
      <c r="L135" s="1195"/>
      <c r="M135" s="1195"/>
      <c r="N135" s="1195"/>
      <c r="O135" s="1195"/>
      <c r="P135" s="1195"/>
      <c r="Q135" s="1195"/>
      <c r="R135" s="1195"/>
      <c r="S135" s="1195"/>
      <c r="T135" s="1195"/>
      <c r="U135" s="1195"/>
      <c r="V135" s="1195"/>
      <c r="W135" s="1195"/>
      <c r="X135" s="1195"/>
      <c r="Y135" s="1195"/>
      <c r="Z135" s="1195"/>
      <c r="AA135" s="1195"/>
      <c r="AB135" s="1194"/>
      <c r="AC135" s="1194"/>
      <c r="AD135" s="1194"/>
      <c r="AE135" s="1194"/>
      <c r="AF135" s="1194"/>
      <c r="AG135" s="1194"/>
      <c r="AH135" s="1194"/>
      <c r="AI135" s="1209"/>
      <c r="AJ135" s="1209"/>
      <c r="AK135" s="1209"/>
    </row>
    <row r="136" spans="1:37" s="156" customFormat="1" ht="11.25">
      <c r="A136" s="1194"/>
      <c r="B136" s="1194"/>
      <c r="C136" s="1194"/>
      <c r="D136" s="1194"/>
      <c r="E136" s="1194"/>
      <c r="F136" s="1194"/>
      <c r="G136" s="1195"/>
      <c r="H136" s="1195"/>
      <c r="I136" s="1195"/>
      <c r="J136" s="1195"/>
      <c r="K136" s="1195"/>
      <c r="L136" s="1195"/>
      <c r="M136" s="1195"/>
      <c r="N136" s="1195"/>
      <c r="O136" s="1195"/>
      <c r="P136" s="1195"/>
      <c r="Q136" s="1195"/>
      <c r="R136" s="1195"/>
      <c r="S136" s="1195"/>
      <c r="T136" s="1195"/>
      <c r="U136" s="1195"/>
      <c r="V136" s="1195"/>
      <c r="W136" s="1195"/>
      <c r="X136" s="1195"/>
      <c r="Y136" s="1195"/>
      <c r="Z136" s="1195"/>
      <c r="AA136" s="1195"/>
      <c r="AB136" s="1194"/>
      <c r="AC136" s="1194"/>
      <c r="AD136" s="1194"/>
      <c r="AE136" s="1194"/>
      <c r="AF136" s="1194"/>
      <c r="AG136" s="1194"/>
      <c r="AH136" s="1194"/>
      <c r="AI136" s="1209"/>
      <c r="AJ136" s="1209"/>
      <c r="AK136" s="1209"/>
    </row>
    <row r="137" spans="1:37" s="156" customFormat="1" ht="11.25">
      <c r="A137" s="1194"/>
      <c r="B137" s="1194"/>
      <c r="C137" s="1194"/>
      <c r="D137" s="1194"/>
      <c r="E137" s="1194"/>
      <c r="F137" s="1194"/>
      <c r="G137" s="1195"/>
      <c r="H137" s="1195"/>
      <c r="I137" s="1195"/>
      <c r="J137" s="1195"/>
      <c r="K137" s="1195"/>
      <c r="L137" s="1195"/>
      <c r="M137" s="1195"/>
      <c r="N137" s="1195"/>
      <c r="O137" s="1195"/>
      <c r="P137" s="1195"/>
      <c r="Q137" s="1195"/>
      <c r="R137" s="1195"/>
      <c r="S137" s="1195"/>
      <c r="T137" s="1195"/>
      <c r="U137" s="1195"/>
      <c r="V137" s="1195"/>
      <c r="W137" s="1195"/>
      <c r="X137" s="1195"/>
      <c r="Y137" s="1195"/>
      <c r="Z137" s="1195"/>
      <c r="AA137" s="1195"/>
      <c r="AB137" s="1194"/>
      <c r="AC137" s="1194"/>
      <c r="AD137" s="1194"/>
      <c r="AE137" s="1194"/>
      <c r="AF137" s="1194"/>
      <c r="AG137" s="1194"/>
      <c r="AH137" s="1194"/>
      <c r="AI137" s="1209"/>
      <c r="AJ137" s="1209"/>
      <c r="AK137" s="1209"/>
    </row>
    <row r="138" spans="1:37">
      <c r="A138" s="1194"/>
      <c r="B138" s="1194"/>
      <c r="C138" s="1194"/>
      <c r="D138" s="1194"/>
      <c r="E138" s="1194"/>
      <c r="F138" s="1194"/>
      <c r="G138" s="1195"/>
      <c r="H138" s="1195"/>
      <c r="I138" s="1195"/>
      <c r="J138" s="1195"/>
      <c r="K138" s="1195"/>
      <c r="L138" s="1195"/>
      <c r="M138" s="1195"/>
      <c r="N138" s="1195"/>
      <c r="O138" s="1195"/>
      <c r="P138" s="1195"/>
      <c r="Q138" s="1195"/>
      <c r="R138" s="1195"/>
      <c r="S138" s="1195"/>
      <c r="T138" s="1195"/>
      <c r="U138" s="1195"/>
      <c r="V138" s="1195"/>
      <c r="W138" s="1195"/>
      <c r="X138" s="1195"/>
      <c r="Y138" s="1195"/>
      <c r="Z138" s="1195"/>
      <c r="AA138" s="1195"/>
      <c r="AB138" s="1194"/>
      <c r="AC138" s="1194"/>
      <c r="AD138" s="1194"/>
      <c r="AE138" s="1194"/>
      <c r="AF138" s="1194"/>
      <c r="AG138" s="1194"/>
      <c r="AH138" s="1194"/>
      <c r="AI138" s="1209"/>
      <c r="AJ138" s="1209"/>
      <c r="AK138" s="1209"/>
    </row>
    <row r="139" spans="1:37">
      <c r="A139" s="1194"/>
      <c r="B139" s="1194"/>
      <c r="C139" s="1194"/>
      <c r="D139" s="1194"/>
      <c r="E139" s="1194"/>
      <c r="F139" s="1194"/>
      <c r="G139" s="1195"/>
      <c r="H139" s="1195"/>
      <c r="I139" s="1195"/>
      <c r="J139" s="1195"/>
      <c r="K139" s="1195"/>
      <c r="L139" s="1195"/>
      <c r="M139" s="1195"/>
      <c r="N139" s="1195"/>
      <c r="O139" s="1195"/>
      <c r="P139" s="1195"/>
      <c r="Q139" s="1195"/>
      <c r="R139" s="1195"/>
      <c r="S139" s="1195"/>
      <c r="T139" s="1195"/>
      <c r="U139" s="1195"/>
      <c r="V139" s="1195"/>
      <c r="W139" s="1195"/>
      <c r="X139" s="1195"/>
      <c r="Y139" s="1195"/>
      <c r="Z139" s="1195"/>
      <c r="AA139" s="1195"/>
      <c r="AB139" s="1194"/>
      <c r="AC139" s="1194"/>
      <c r="AD139" s="1194"/>
      <c r="AE139" s="1194"/>
      <c r="AF139" s="1194"/>
      <c r="AG139" s="1194"/>
      <c r="AH139" s="1194"/>
      <c r="AI139" s="1209"/>
      <c r="AJ139" s="1209"/>
      <c r="AK139" s="1209"/>
    </row>
    <row r="140" spans="1:37">
      <c r="A140" s="1194"/>
      <c r="B140" s="1194"/>
      <c r="C140" s="1194"/>
      <c r="D140" s="1194"/>
      <c r="E140" s="1194"/>
      <c r="F140" s="1194"/>
      <c r="G140" s="1195"/>
      <c r="H140" s="1195"/>
      <c r="I140" s="1195"/>
      <c r="J140" s="1195"/>
      <c r="K140" s="1195"/>
      <c r="L140" s="1195"/>
      <c r="M140" s="1195"/>
      <c r="N140" s="1195"/>
      <c r="O140" s="1195"/>
      <c r="P140" s="1195"/>
      <c r="Q140" s="1195"/>
      <c r="R140" s="1195"/>
      <c r="S140" s="1195"/>
      <c r="T140" s="1195"/>
      <c r="U140" s="1195"/>
      <c r="V140" s="1195"/>
      <c r="W140" s="1195"/>
      <c r="X140" s="1195"/>
      <c r="Y140" s="1195"/>
      <c r="Z140" s="1195"/>
      <c r="AA140" s="1195"/>
      <c r="AB140" s="1194"/>
      <c r="AC140" s="1194"/>
      <c r="AD140" s="1194"/>
      <c r="AE140" s="1194"/>
      <c r="AF140" s="1194"/>
      <c r="AG140" s="1194"/>
      <c r="AH140" s="1194"/>
      <c r="AI140" s="1209"/>
      <c r="AJ140" s="1209"/>
      <c r="AK140" s="1209"/>
    </row>
    <row r="141" spans="1:37">
      <c r="A141" s="1188"/>
      <c r="B141" s="1188"/>
      <c r="C141" s="1188"/>
      <c r="D141" s="1210"/>
      <c r="E141" s="1210"/>
      <c r="F141" s="1210"/>
      <c r="G141" s="1191"/>
      <c r="H141" s="1191"/>
      <c r="I141" s="1199"/>
      <c r="J141" s="1191"/>
      <c r="K141" s="1191"/>
      <c r="L141" s="1191"/>
      <c r="M141" s="1191"/>
      <c r="N141" s="1191"/>
      <c r="O141" s="1191"/>
      <c r="P141" s="1199"/>
      <c r="Q141" s="1191"/>
      <c r="R141" s="1191"/>
      <c r="S141" s="1191"/>
      <c r="T141" s="1191"/>
      <c r="U141" s="1191"/>
      <c r="V141" s="1191"/>
      <c r="W141" s="1191"/>
      <c r="X141" s="1191"/>
      <c r="Y141" s="1191"/>
      <c r="Z141" s="1191"/>
      <c r="AA141" s="1191"/>
      <c r="AB141" s="1210"/>
      <c r="AC141" s="1210"/>
      <c r="AD141" s="1210"/>
      <c r="AE141" s="1210"/>
      <c r="AF141" s="1210"/>
      <c r="AG141" s="1210"/>
      <c r="AH141" s="1210"/>
      <c r="AI141" s="1211"/>
      <c r="AJ141" s="1211"/>
      <c r="AK141" s="1211"/>
    </row>
    <row r="142" spans="1:37">
      <c r="A142" s="1188"/>
      <c r="B142" s="1188"/>
      <c r="C142" s="1188"/>
      <c r="D142" s="1210"/>
      <c r="E142" s="1210"/>
      <c r="F142" s="1210"/>
      <c r="G142" s="1191"/>
      <c r="H142" s="1191"/>
      <c r="I142" s="1199"/>
      <c r="J142" s="1191"/>
      <c r="K142" s="1191"/>
      <c r="L142" s="1191"/>
      <c r="M142" s="1191"/>
      <c r="N142" s="1191"/>
      <c r="O142" s="1191"/>
      <c r="P142" s="1199"/>
      <c r="Q142" s="1191"/>
      <c r="R142" s="1191"/>
      <c r="S142" s="1191"/>
      <c r="T142" s="1191"/>
      <c r="U142" s="1191"/>
      <c r="V142" s="1191"/>
      <c r="W142" s="1191"/>
      <c r="X142" s="1191"/>
      <c r="Y142" s="1191"/>
      <c r="Z142" s="1191"/>
      <c r="AA142" s="1191"/>
      <c r="AB142" s="1210"/>
      <c r="AC142" s="1210"/>
      <c r="AD142" s="1210"/>
      <c r="AE142" s="1210"/>
      <c r="AF142" s="1210"/>
      <c r="AG142" s="1210"/>
      <c r="AH142" s="1210"/>
      <c r="AI142" s="1211"/>
      <c r="AJ142" s="1211"/>
      <c r="AK142" s="1211"/>
    </row>
    <row r="143" spans="1:37">
      <c r="A143" s="1188"/>
      <c r="B143" s="1188"/>
      <c r="C143" s="1188"/>
      <c r="D143" s="1210"/>
      <c r="E143" s="1210"/>
      <c r="F143" s="1210"/>
      <c r="G143" s="1191"/>
      <c r="H143" s="1191"/>
      <c r="I143" s="1199"/>
      <c r="J143" s="1191"/>
      <c r="K143" s="1191"/>
      <c r="L143" s="1191"/>
      <c r="M143" s="1191"/>
      <c r="N143" s="1191"/>
      <c r="O143" s="1191"/>
      <c r="P143" s="1199"/>
      <c r="Q143" s="1191"/>
      <c r="R143" s="1191"/>
      <c r="S143" s="1191"/>
      <c r="T143" s="1191"/>
      <c r="U143" s="1191"/>
      <c r="V143" s="1191"/>
      <c r="W143" s="1191"/>
      <c r="X143" s="1191"/>
      <c r="Y143" s="1191"/>
      <c r="Z143" s="1191"/>
      <c r="AA143" s="1191"/>
      <c r="AB143" s="1210"/>
      <c r="AC143" s="1210"/>
      <c r="AD143" s="1210"/>
      <c r="AE143" s="1210"/>
      <c r="AF143" s="1210"/>
      <c r="AG143" s="1210"/>
      <c r="AH143" s="1210"/>
      <c r="AI143" s="1211"/>
      <c r="AJ143" s="1211"/>
      <c r="AK143" s="1211"/>
    </row>
    <row r="144" spans="1:37">
      <c r="A144" s="1188"/>
      <c r="B144" s="1188"/>
      <c r="C144" s="1188"/>
      <c r="D144" s="1210"/>
      <c r="E144" s="1210"/>
      <c r="F144" s="1210"/>
      <c r="G144" s="1191"/>
      <c r="H144" s="1191"/>
      <c r="I144" s="1199"/>
      <c r="J144" s="1191"/>
      <c r="K144" s="1191"/>
      <c r="L144" s="1191"/>
      <c r="M144" s="1191"/>
      <c r="N144" s="1191"/>
      <c r="O144" s="1191"/>
      <c r="P144" s="1199"/>
      <c r="Q144" s="1191"/>
      <c r="R144" s="1191"/>
      <c r="S144" s="1191"/>
      <c r="T144" s="1191"/>
      <c r="U144" s="1191"/>
      <c r="V144" s="1191"/>
      <c r="W144" s="1191"/>
      <c r="X144" s="1191"/>
      <c r="Y144" s="1191"/>
      <c r="Z144" s="1191"/>
      <c r="AA144" s="1191"/>
      <c r="AB144" s="1210"/>
      <c r="AC144" s="1210"/>
      <c r="AD144" s="1210"/>
      <c r="AE144" s="1210"/>
      <c r="AF144" s="1210"/>
      <c r="AG144" s="1210"/>
      <c r="AH144" s="1210"/>
      <c r="AI144" s="1211"/>
      <c r="AJ144" s="1211"/>
      <c r="AK144" s="1211"/>
    </row>
    <row r="145" spans="1:37">
      <c r="A145" s="1188"/>
      <c r="B145" s="1188"/>
      <c r="C145" s="1188"/>
      <c r="D145" s="1210"/>
      <c r="E145" s="1210"/>
      <c r="F145" s="1210"/>
      <c r="G145" s="1191"/>
      <c r="H145" s="1191"/>
      <c r="I145" s="1199"/>
      <c r="J145" s="1191"/>
      <c r="K145" s="1191"/>
      <c r="L145" s="1191"/>
      <c r="M145" s="1191"/>
      <c r="N145" s="1191"/>
      <c r="O145" s="1191"/>
      <c r="P145" s="1199"/>
      <c r="Q145" s="1191"/>
      <c r="R145" s="1191"/>
      <c r="S145" s="1191"/>
      <c r="T145" s="1191"/>
      <c r="U145" s="1191"/>
      <c r="V145" s="1191"/>
      <c r="W145" s="1191"/>
      <c r="X145" s="1191"/>
      <c r="Y145" s="1191"/>
      <c r="Z145" s="1191"/>
      <c r="AA145" s="1191"/>
      <c r="AB145" s="1210"/>
      <c r="AC145" s="1210"/>
      <c r="AD145" s="1210"/>
      <c r="AE145" s="1210"/>
      <c r="AF145" s="1210"/>
      <c r="AG145" s="1210"/>
      <c r="AH145" s="1210"/>
      <c r="AI145" s="1211"/>
      <c r="AJ145" s="1211"/>
      <c r="AK145" s="1211"/>
    </row>
    <row r="146" spans="1:37">
      <c r="A146" s="1188"/>
      <c r="B146" s="1188"/>
      <c r="C146" s="1188"/>
      <c r="D146" s="1210"/>
      <c r="E146" s="1210"/>
      <c r="F146" s="1210"/>
      <c r="G146" s="1191"/>
      <c r="H146" s="1191"/>
      <c r="I146" s="1199"/>
      <c r="J146" s="1191"/>
      <c r="K146" s="1191"/>
      <c r="L146" s="1191"/>
      <c r="M146" s="1191"/>
      <c r="N146" s="1191"/>
      <c r="O146" s="1191"/>
      <c r="P146" s="1199"/>
      <c r="Q146" s="1191"/>
      <c r="R146" s="1191"/>
      <c r="S146" s="1191"/>
      <c r="T146" s="1191"/>
      <c r="U146" s="1191"/>
      <c r="V146" s="1191"/>
      <c r="W146" s="1191"/>
      <c r="X146" s="1191"/>
      <c r="Y146" s="1191"/>
      <c r="Z146" s="1191"/>
      <c r="AA146" s="1191"/>
      <c r="AB146" s="1210"/>
      <c r="AC146" s="1210"/>
      <c r="AD146" s="1210"/>
      <c r="AE146" s="1210"/>
      <c r="AF146" s="1210"/>
      <c r="AG146" s="1210"/>
      <c r="AH146" s="1210"/>
      <c r="AI146" s="1211"/>
      <c r="AJ146" s="1211"/>
      <c r="AK146" s="1211"/>
    </row>
    <row r="147" spans="1:37">
      <c r="A147" s="1188"/>
      <c r="B147" s="1188"/>
      <c r="C147" s="1188"/>
      <c r="D147" s="1210"/>
      <c r="E147" s="1210"/>
      <c r="F147" s="1210"/>
      <c r="G147" s="1191"/>
      <c r="H147" s="1191"/>
      <c r="I147" s="1199"/>
      <c r="J147" s="1191"/>
      <c r="K147" s="1191"/>
      <c r="L147" s="1191"/>
      <c r="M147" s="1191"/>
      <c r="N147" s="1191"/>
      <c r="O147" s="1191"/>
      <c r="P147" s="1199"/>
      <c r="Q147" s="1191"/>
      <c r="R147" s="1191"/>
      <c r="S147" s="1191"/>
      <c r="T147" s="1191"/>
      <c r="U147" s="1191"/>
      <c r="V147" s="1191"/>
      <c r="W147" s="1191"/>
      <c r="X147" s="1191"/>
      <c r="Y147" s="1191"/>
      <c r="Z147" s="1191"/>
      <c r="AA147" s="1191"/>
      <c r="AB147" s="1210"/>
      <c r="AC147" s="1210"/>
      <c r="AD147" s="1210"/>
      <c r="AE147" s="1210"/>
      <c r="AF147" s="1210"/>
      <c r="AG147" s="1210"/>
      <c r="AH147" s="1210"/>
      <c r="AI147" s="1211"/>
      <c r="AJ147" s="1211"/>
      <c r="AK147" s="1211"/>
    </row>
    <row r="148" spans="1:37">
      <c r="A148" s="1188"/>
      <c r="B148" s="1188"/>
      <c r="C148" s="1188"/>
      <c r="D148" s="1210"/>
      <c r="E148" s="1210"/>
      <c r="F148" s="1210"/>
      <c r="G148" s="1191"/>
      <c r="H148" s="1191"/>
      <c r="I148" s="1199"/>
      <c r="J148" s="1191"/>
      <c r="K148" s="1191"/>
      <c r="L148" s="1191"/>
      <c r="M148" s="1191"/>
      <c r="N148" s="1191"/>
      <c r="O148" s="1191"/>
      <c r="P148" s="1199"/>
      <c r="Q148" s="1191"/>
      <c r="R148" s="1191"/>
      <c r="S148" s="1191"/>
      <c r="T148" s="1191"/>
      <c r="U148" s="1191"/>
      <c r="V148" s="1191"/>
      <c r="W148" s="1191"/>
      <c r="X148" s="1191"/>
      <c r="Y148" s="1191"/>
      <c r="Z148" s="1191"/>
      <c r="AA148" s="1191"/>
      <c r="AB148" s="1210"/>
      <c r="AC148" s="1210"/>
      <c r="AD148" s="1210"/>
      <c r="AE148" s="1210"/>
      <c r="AF148" s="1210"/>
      <c r="AG148" s="1210"/>
      <c r="AH148" s="1210"/>
      <c r="AI148" s="1211"/>
      <c r="AJ148" s="1211"/>
      <c r="AK148" s="1211"/>
    </row>
    <row r="149" spans="1:37">
      <c r="A149" s="1188"/>
      <c r="B149" s="1188"/>
      <c r="C149" s="1188"/>
      <c r="D149" s="1210"/>
      <c r="E149" s="1210"/>
      <c r="F149" s="1210"/>
      <c r="G149" s="1191"/>
      <c r="H149" s="1191"/>
      <c r="I149" s="1199"/>
      <c r="J149" s="1191"/>
      <c r="K149" s="1191"/>
      <c r="L149" s="1191"/>
      <c r="M149" s="1191"/>
      <c r="N149" s="1191"/>
      <c r="O149" s="1191"/>
      <c r="P149" s="1199"/>
      <c r="Q149" s="1191"/>
      <c r="R149" s="1191"/>
      <c r="S149" s="1191"/>
      <c r="T149" s="1191"/>
      <c r="U149" s="1191"/>
      <c r="V149" s="1191"/>
      <c r="W149" s="1191"/>
      <c r="X149" s="1191"/>
      <c r="Y149" s="1191"/>
      <c r="Z149" s="1191"/>
      <c r="AA149" s="1191"/>
      <c r="AB149" s="1210"/>
      <c r="AC149" s="1210"/>
      <c r="AD149" s="1210"/>
      <c r="AE149" s="1210"/>
      <c r="AF149" s="1210"/>
      <c r="AG149" s="1210"/>
      <c r="AH149" s="1210"/>
      <c r="AI149" s="1211"/>
      <c r="AJ149" s="1211"/>
      <c r="AK149" s="1211"/>
    </row>
    <row r="150" spans="1:37">
      <c r="A150" s="1188"/>
      <c r="B150" s="1188"/>
      <c r="C150" s="1188"/>
      <c r="D150" s="1210"/>
      <c r="E150" s="1210"/>
      <c r="F150" s="1210"/>
      <c r="G150" s="1191"/>
      <c r="H150" s="1191"/>
      <c r="I150" s="1199"/>
      <c r="J150" s="1191"/>
      <c r="K150" s="1191"/>
      <c r="L150" s="1191"/>
      <c r="M150" s="1191"/>
      <c r="N150" s="1191"/>
      <c r="O150" s="1191"/>
      <c r="P150" s="1199"/>
      <c r="Q150" s="1191"/>
      <c r="R150" s="1191"/>
      <c r="S150" s="1191"/>
      <c r="T150" s="1191"/>
      <c r="U150" s="1191"/>
      <c r="V150" s="1191"/>
      <c r="W150" s="1191"/>
      <c r="X150" s="1191"/>
      <c r="Y150" s="1191"/>
      <c r="Z150" s="1191"/>
      <c r="AA150" s="1191"/>
      <c r="AB150" s="1210"/>
      <c r="AC150" s="1210"/>
      <c r="AD150" s="1210"/>
      <c r="AE150" s="1210"/>
      <c r="AF150" s="1210"/>
      <c r="AG150" s="1210"/>
      <c r="AH150" s="1210"/>
      <c r="AI150" s="1211"/>
      <c r="AJ150" s="1211"/>
      <c r="AK150" s="1211"/>
    </row>
    <row r="151" spans="1:37">
      <c r="A151" s="1188"/>
      <c r="B151" s="1188"/>
      <c r="C151" s="1188"/>
      <c r="D151" s="1210"/>
      <c r="E151" s="1210"/>
      <c r="F151" s="1210"/>
      <c r="G151" s="1191"/>
      <c r="H151" s="1191"/>
      <c r="I151" s="1199"/>
      <c r="J151" s="1191"/>
      <c r="K151" s="1191"/>
      <c r="L151" s="1191"/>
      <c r="M151" s="1191"/>
      <c r="N151" s="1191"/>
      <c r="O151" s="1191"/>
      <c r="P151" s="1199"/>
      <c r="Q151" s="1191"/>
      <c r="R151" s="1191"/>
      <c r="S151" s="1191"/>
      <c r="T151" s="1191"/>
      <c r="U151" s="1191"/>
      <c r="V151" s="1191"/>
      <c r="W151" s="1191"/>
      <c r="X151" s="1191"/>
      <c r="Y151" s="1191"/>
      <c r="Z151" s="1191"/>
      <c r="AA151" s="1191"/>
      <c r="AB151" s="1210"/>
      <c r="AC151" s="1210"/>
      <c r="AD151" s="1210"/>
      <c r="AE151" s="1210"/>
      <c r="AF151" s="1210"/>
      <c r="AG151" s="1210"/>
      <c r="AH151" s="1210"/>
      <c r="AI151" s="1211"/>
      <c r="AJ151" s="1211"/>
      <c r="AK151" s="1211"/>
    </row>
    <row r="152" spans="1:37">
      <c r="A152" s="1188"/>
      <c r="B152" s="1188"/>
      <c r="C152" s="1188"/>
      <c r="D152" s="1210"/>
      <c r="E152" s="1210"/>
      <c r="F152" s="1210"/>
      <c r="G152" s="1191"/>
      <c r="H152" s="1191"/>
      <c r="I152" s="1199"/>
      <c r="J152" s="1191"/>
      <c r="K152" s="1191"/>
      <c r="L152" s="1191"/>
      <c r="M152" s="1191"/>
      <c r="N152" s="1191"/>
      <c r="O152" s="1191"/>
      <c r="P152" s="1199"/>
      <c r="Q152" s="1191"/>
      <c r="R152" s="1191"/>
      <c r="S152" s="1191"/>
      <c r="T152" s="1191"/>
      <c r="U152" s="1191"/>
      <c r="V152" s="1191"/>
      <c r="W152" s="1191"/>
      <c r="X152" s="1191"/>
      <c r="Y152" s="1191"/>
      <c r="Z152" s="1191"/>
      <c r="AA152" s="1191"/>
      <c r="AB152" s="1210"/>
      <c r="AC152" s="1210"/>
      <c r="AD152" s="1210"/>
      <c r="AE152" s="1210"/>
      <c r="AF152" s="1210"/>
      <c r="AG152" s="1210"/>
      <c r="AH152" s="1210"/>
      <c r="AI152" s="1211"/>
      <c r="AJ152" s="1211"/>
      <c r="AK152" s="1211"/>
    </row>
    <row r="153" spans="1:37">
      <c r="A153" s="1188"/>
      <c r="B153" s="1188"/>
      <c r="C153" s="1188"/>
      <c r="D153" s="1210"/>
      <c r="E153" s="1210"/>
      <c r="F153" s="1210"/>
      <c r="G153" s="1191"/>
      <c r="H153" s="1191"/>
      <c r="I153" s="1199"/>
      <c r="J153" s="1191"/>
      <c r="K153" s="1191"/>
      <c r="L153" s="1191"/>
      <c r="M153" s="1191"/>
      <c r="N153" s="1191"/>
      <c r="O153" s="1191"/>
      <c r="P153" s="1199"/>
      <c r="Q153" s="1191"/>
      <c r="R153" s="1191"/>
      <c r="S153" s="1191"/>
      <c r="T153" s="1191"/>
      <c r="U153" s="1191"/>
      <c r="V153" s="1191"/>
      <c r="W153" s="1191"/>
      <c r="X153" s="1191"/>
      <c r="Y153" s="1191"/>
      <c r="Z153" s="1191"/>
      <c r="AA153" s="1191"/>
      <c r="AB153" s="1210"/>
      <c r="AC153" s="1210"/>
      <c r="AD153" s="1210"/>
      <c r="AE153" s="1210"/>
      <c r="AF153" s="1210"/>
      <c r="AG153" s="1210"/>
      <c r="AH153" s="1210"/>
      <c r="AI153" s="1211"/>
      <c r="AJ153" s="1211"/>
      <c r="AK153" s="1211"/>
    </row>
    <row r="154" spans="1:37">
      <c r="A154" s="1188"/>
      <c r="B154" s="1188"/>
      <c r="C154" s="1188"/>
      <c r="D154" s="1210"/>
      <c r="E154" s="1210"/>
      <c r="F154" s="1210"/>
      <c r="G154" s="1191"/>
      <c r="H154" s="1191"/>
      <c r="I154" s="1199"/>
      <c r="J154" s="1191"/>
      <c r="K154" s="1191"/>
      <c r="L154" s="1191"/>
      <c r="M154" s="1191"/>
      <c r="N154" s="1191"/>
      <c r="O154" s="1191"/>
      <c r="P154" s="1199"/>
      <c r="Q154" s="1191"/>
      <c r="R154" s="1191"/>
      <c r="S154" s="1191"/>
      <c r="T154" s="1191"/>
      <c r="U154" s="1191"/>
      <c r="V154" s="1191"/>
      <c r="W154" s="1191"/>
      <c r="X154" s="1191"/>
      <c r="Y154" s="1191"/>
      <c r="Z154" s="1191"/>
      <c r="AA154" s="1191"/>
      <c r="AB154" s="1210"/>
      <c r="AC154" s="1210"/>
      <c r="AD154" s="1210"/>
      <c r="AE154" s="1210"/>
      <c r="AF154" s="1210"/>
      <c r="AG154" s="1210"/>
      <c r="AH154" s="1210"/>
      <c r="AI154" s="1211"/>
      <c r="AJ154" s="1211"/>
      <c r="AK154" s="1211"/>
    </row>
    <row r="155" spans="1:37">
      <c r="A155" s="1188"/>
      <c r="B155" s="1188"/>
      <c r="C155" s="1188"/>
      <c r="D155" s="1210"/>
      <c r="E155" s="1210"/>
      <c r="F155" s="1210"/>
      <c r="G155" s="1191"/>
      <c r="H155" s="1191"/>
      <c r="I155" s="1199"/>
      <c r="J155" s="1191"/>
      <c r="K155" s="1191"/>
      <c r="L155" s="1191"/>
      <c r="M155" s="1191"/>
      <c r="N155" s="1191"/>
      <c r="O155" s="1191"/>
      <c r="P155" s="1199"/>
      <c r="Q155" s="1191"/>
      <c r="R155" s="1191"/>
      <c r="S155" s="1191"/>
      <c r="T155" s="1191"/>
      <c r="U155" s="1191"/>
      <c r="V155" s="1191"/>
      <c r="W155" s="1191"/>
      <c r="X155" s="1191"/>
      <c r="Y155" s="1191"/>
      <c r="Z155" s="1191"/>
      <c r="AA155" s="1191"/>
      <c r="AB155" s="1210"/>
      <c r="AC155" s="1210"/>
      <c r="AD155" s="1210"/>
      <c r="AE155" s="1210"/>
      <c r="AF155" s="1210"/>
      <c r="AG155" s="1210"/>
      <c r="AH155" s="1210"/>
      <c r="AI155" s="1211"/>
      <c r="AJ155" s="1211"/>
      <c r="AK155" s="1211"/>
    </row>
    <row r="156" spans="1:37" s="1179" customFormat="1">
      <c r="A156" s="1188"/>
      <c r="B156" s="1188"/>
      <c r="C156" s="1188"/>
      <c r="D156" s="1210"/>
      <c r="E156" s="1210"/>
      <c r="F156" s="1210"/>
      <c r="G156" s="1191"/>
      <c r="H156" s="1191"/>
      <c r="I156" s="1199"/>
      <c r="J156" s="1191"/>
      <c r="K156" s="1191"/>
      <c r="L156" s="1191"/>
      <c r="M156" s="1191"/>
      <c r="N156" s="1191"/>
      <c r="O156" s="1191"/>
      <c r="P156" s="1199"/>
      <c r="Q156" s="1191"/>
      <c r="R156" s="1191"/>
      <c r="S156" s="1191"/>
      <c r="T156" s="1191"/>
      <c r="U156" s="1191"/>
      <c r="V156" s="1191"/>
      <c r="W156" s="1191"/>
      <c r="X156" s="1191"/>
      <c r="Y156" s="1191"/>
      <c r="Z156" s="1191"/>
      <c r="AA156" s="1191"/>
      <c r="AB156" s="1210"/>
      <c r="AC156" s="1210"/>
      <c r="AD156" s="1210"/>
      <c r="AE156" s="1210"/>
      <c r="AF156" s="1210"/>
      <c r="AG156" s="1210"/>
      <c r="AH156" s="1210"/>
      <c r="AI156" s="1211"/>
      <c r="AJ156" s="1211"/>
      <c r="AK156" s="1211"/>
    </row>
    <row r="157" spans="1:37" s="1179" customFormat="1">
      <c r="A157" s="1188"/>
      <c r="B157" s="1188"/>
      <c r="C157" s="1188"/>
      <c r="D157" s="1210"/>
      <c r="E157" s="1210"/>
      <c r="F157" s="1210"/>
      <c r="G157" s="1191"/>
      <c r="H157" s="1191"/>
      <c r="I157" s="1199"/>
      <c r="J157" s="1191"/>
      <c r="K157" s="1191"/>
      <c r="L157" s="1191"/>
      <c r="M157" s="1191"/>
      <c r="N157" s="1191"/>
      <c r="O157" s="1191"/>
      <c r="P157" s="1199"/>
      <c r="Q157" s="1191"/>
      <c r="R157" s="1191"/>
      <c r="S157" s="1191"/>
      <c r="T157" s="1191"/>
      <c r="U157" s="1191"/>
      <c r="V157" s="1191"/>
      <c r="W157" s="1191"/>
      <c r="X157" s="1191"/>
      <c r="Y157" s="1191"/>
      <c r="Z157" s="1191"/>
      <c r="AA157" s="1191"/>
      <c r="AB157" s="1210"/>
      <c r="AC157" s="1210"/>
      <c r="AD157" s="1210"/>
      <c r="AE157" s="1210"/>
      <c r="AF157" s="1210"/>
      <c r="AG157" s="1210"/>
      <c r="AH157" s="1210"/>
      <c r="AI157" s="1211"/>
      <c r="AJ157" s="1211"/>
      <c r="AK157" s="1211"/>
    </row>
    <row r="158" spans="1:37" s="1179" customFormat="1">
      <c r="A158" s="1188"/>
      <c r="B158" s="1188"/>
      <c r="C158" s="1188"/>
      <c r="D158" s="1210"/>
      <c r="E158" s="1210"/>
      <c r="F158" s="1210"/>
      <c r="G158" s="1191"/>
      <c r="H158" s="1191"/>
      <c r="I158" s="1199"/>
      <c r="J158" s="1191"/>
      <c r="K158" s="1191"/>
      <c r="L158" s="1191"/>
      <c r="M158" s="1191"/>
      <c r="N158" s="1191"/>
      <c r="O158" s="1191"/>
      <c r="P158" s="1199"/>
      <c r="Q158" s="1191"/>
      <c r="R158" s="1191"/>
      <c r="S158" s="1191"/>
      <c r="T158" s="1191"/>
      <c r="U158" s="1191"/>
      <c r="V158" s="1191"/>
      <c r="W158" s="1191"/>
      <c r="X158" s="1191"/>
      <c r="Y158" s="1191"/>
      <c r="Z158" s="1191"/>
      <c r="AA158" s="1191"/>
      <c r="AB158" s="1210"/>
      <c r="AC158" s="1210"/>
      <c r="AD158" s="1210"/>
      <c r="AE158" s="1210"/>
      <c r="AF158" s="1210"/>
      <c r="AG158" s="1210"/>
      <c r="AH158" s="1210"/>
      <c r="AI158" s="1211"/>
      <c r="AJ158" s="1211"/>
      <c r="AK158" s="1211"/>
    </row>
    <row r="159" spans="1:37" s="1179" customFormat="1">
      <c r="A159" s="1188"/>
      <c r="B159" s="1188"/>
      <c r="C159" s="1188"/>
      <c r="D159" s="1210"/>
      <c r="E159" s="1210"/>
      <c r="F159" s="1210"/>
      <c r="G159" s="1191"/>
      <c r="H159" s="1191"/>
      <c r="I159" s="1199"/>
      <c r="J159" s="1191"/>
      <c r="K159" s="1191"/>
      <c r="L159" s="1191"/>
      <c r="M159" s="1191"/>
      <c r="N159" s="1191"/>
      <c r="O159" s="1191"/>
      <c r="P159" s="1199"/>
      <c r="Q159" s="1191"/>
      <c r="R159" s="1191"/>
      <c r="S159" s="1191"/>
      <c r="T159" s="1191"/>
      <c r="U159" s="1191"/>
      <c r="V159" s="1191"/>
      <c r="W159" s="1191"/>
      <c r="X159" s="1191"/>
      <c r="Y159" s="1191"/>
      <c r="Z159" s="1191"/>
      <c r="AA159" s="1191"/>
      <c r="AB159" s="1210"/>
      <c r="AC159" s="1210"/>
      <c r="AD159" s="1210"/>
      <c r="AE159" s="1210"/>
      <c r="AF159" s="1210"/>
      <c r="AG159" s="1210"/>
      <c r="AH159" s="1210"/>
      <c r="AI159" s="1211"/>
      <c r="AJ159" s="1211"/>
      <c r="AK159" s="1211"/>
    </row>
    <row r="160" spans="1:37" s="1179" customFormat="1">
      <c r="A160" s="1188"/>
      <c r="B160" s="1188"/>
      <c r="C160" s="1188"/>
      <c r="D160" s="1210"/>
      <c r="E160" s="1210"/>
      <c r="F160" s="1210"/>
      <c r="G160" s="1191"/>
      <c r="H160" s="1191"/>
      <c r="I160" s="1199"/>
      <c r="J160" s="1191"/>
      <c r="K160" s="1191"/>
      <c r="L160" s="1191"/>
      <c r="M160" s="1191"/>
      <c r="N160" s="1191"/>
      <c r="O160" s="1191"/>
      <c r="P160" s="1199"/>
      <c r="Q160" s="1191"/>
      <c r="R160" s="1191"/>
      <c r="S160" s="1191"/>
      <c r="T160" s="1191"/>
      <c r="U160" s="1191"/>
      <c r="V160" s="1191"/>
      <c r="W160" s="1191"/>
      <c r="X160" s="1191"/>
      <c r="Y160" s="1191"/>
      <c r="Z160" s="1191"/>
      <c r="AA160" s="1191"/>
      <c r="AB160" s="1210"/>
      <c r="AC160" s="1210"/>
      <c r="AD160" s="1210"/>
      <c r="AE160" s="1210"/>
      <c r="AF160" s="1210"/>
      <c r="AG160" s="1210"/>
      <c r="AH160" s="1210"/>
      <c r="AI160" s="1211"/>
      <c r="AJ160" s="1211"/>
      <c r="AK160" s="1211"/>
    </row>
    <row r="161" spans="1:37" s="1179" customFormat="1">
      <c r="A161" s="1188"/>
      <c r="B161" s="1188"/>
      <c r="C161" s="1188"/>
      <c r="D161" s="1210"/>
      <c r="E161" s="1210"/>
      <c r="F161" s="1210"/>
      <c r="G161" s="1191"/>
      <c r="H161" s="1191"/>
      <c r="I161" s="1199"/>
      <c r="J161" s="1191"/>
      <c r="K161" s="1191"/>
      <c r="L161" s="1191"/>
      <c r="M161" s="1191"/>
      <c r="N161" s="1191"/>
      <c r="O161" s="1191"/>
      <c r="P161" s="1199"/>
      <c r="Q161" s="1191"/>
      <c r="R161" s="1191"/>
      <c r="S161" s="1191"/>
      <c r="T161" s="1191"/>
      <c r="U161" s="1191"/>
      <c r="V161" s="1191"/>
      <c r="W161" s="1191"/>
      <c r="X161" s="1191"/>
      <c r="Y161" s="1191"/>
      <c r="Z161" s="1191"/>
      <c r="AA161" s="1191"/>
      <c r="AB161" s="1210"/>
      <c r="AC161" s="1210"/>
      <c r="AD161" s="1210"/>
      <c r="AE161" s="1210"/>
      <c r="AF161" s="1210"/>
      <c r="AG161" s="1210"/>
      <c r="AH161" s="1210"/>
      <c r="AI161" s="1211"/>
      <c r="AJ161" s="1211"/>
      <c r="AK161" s="1211"/>
    </row>
    <row r="162" spans="1:37" s="1179" customFormat="1">
      <c r="A162" s="1188"/>
      <c r="B162" s="1188"/>
      <c r="C162" s="1188"/>
      <c r="D162" s="1210"/>
      <c r="E162" s="1210"/>
      <c r="F162" s="1210"/>
      <c r="G162" s="1191"/>
      <c r="H162" s="1191"/>
      <c r="I162" s="1199"/>
      <c r="J162" s="1191"/>
      <c r="K162" s="1191"/>
      <c r="L162" s="1191"/>
      <c r="M162" s="1191"/>
      <c r="N162" s="1191"/>
      <c r="O162" s="1191"/>
      <c r="P162" s="1199"/>
      <c r="Q162" s="1191"/>
      <c r="R162" s="1191"/>
      <c r="S162" s="1191"/>
      <c r="T162" s="1191"/>
      <c r="U162" s="1191"/>
      <c r="V162" s="1191"/>
      <c r="W162" s="1191"/>
      <c r="X162" s="1191"/>
      <c r="Y162" s="1191"/>
      <c r="Z162" s="1191"/>
      <c r="AA162" s="1191"/>
      <c r="AB162" s="1210"/>
      <c r="AC162" s="1210"/>
      <c r="AD162" s="1210"/>
      <c r="AE162" s="1210"/>
      <c r="AF162" s="1210"/>
      <c r="AG162" s="1210"/>
      <c r="AH162" s="1210"/>
      <c r="AI162" s="1211"/>
      <c r="AJ162" s="1211"/>
      <c r="AK162" s="1211"/>
    </row>
    <row r="163" spans="1:37" s="1179" customFormat="1">
      <c r="A163" s="1188"/>
      <c r="B163" s="1188"/>
      <c r="C163" s="1188"/>
      <c r="D163" s="1210"/>
      <c r="E163" s="1210"/>
      <c r="F163" s="1210"/>
      <c r="G163" s="1191"/>
      <c r="H163" s="1191"/>
      <c r="I163" s="1199"/>
      <c r="J163" s="1191"/>
      <c r="K163" s="1191"/>
      <c r="L163" s="1191"/>
      <c r="M163" s="1191"/>
      <c r="N163" s="1191"/>
      <c r="O163" s="1191"/>
      <c r="P163" s="1199"/>
      <c r="Q163" s="1191"/>
      <c r="R163" s="1191"/>
      <c r="S163" s="1191"/>
      <c r="T163" s="1191"/>
      <c r="U163" s="1191"/>
      <c r="V163" s="1191"/>
      <c r="W163" s="1191"/>
      <c r="X163" s="1191"/>
      <c r="Y163" s="1191"/>
      <c r="Z163" s="1191"/>
      <c r="AA163" s="1191"/>
      <c r="AB163" s="1210"/>
      <c r="AC163" s="1210"/>
      <c r="AD163" s="1210"/>
      <c r="AE163" s="1210"/>
      <c r="AF163" s="1210"/>
      <c r="AG163" s="1210"/>
      <c r="AH163" s="1210"/>
      <c r="AI163" s="1211"/>
      <c r="AJ163" s="1211"/>
      <c r="AK163" s="1211"/>
    </row>
    <row r="164" spans="1:37" s="1179" customFormat="1">
      <c r="A164" s="1188"/>
      <c r="B164" s="1188"/>
      <c r="C164" s="1188"/>
      <c r="D164" s="1210"/>
      <c r="E164" s="1210"/>
      <c r="F164" s="1210"/>
      <c r="G164" s="1191"/>
      <c r="H164" s="1191"/>
      <c r="I164" s="1199"/>
      <c r="J164" s="1191"/>
      <c r="K164" s="1191"/>
      <c r="L164" s="1191"/>
      <c r="M164" s="1191"/>
      <c r="N164" s="1191"/>
      <c r="O164" s="1191"/>
      <c r="P164" s="1199"/>
      <c r="Q164" s="1191"/>
      <c r="R164" s="1191"/>
      <c r="S164" s="1191"/>
      <c r="T164" s="1191"/>
      <c r="U164" s="1191"/>
      <c r="V164" s="1191"/>
      <c r="W164" s="1191"/>
      <c r="X164" s="1191"/>
      <c r="Y164" s="1191"/>
      <c r="Z164" s="1191"/>
      <c r="AA164" s="1191"/>
      <c r="AB164" s="1210"/>
      <c r="AC164" s="1210"/>
      <c r="AD164" s="1210"/>
      <c r="AE164" s="1210"/>
      <c r="AF164" s="1210"/>
      <c r="AG164" s="1210"/>
      <c r="AH164" s="1210"/>
      <c r="AI164" s="1211"/>
      <c r="AJ164" s="1211"/>
      <c r="AK164" s="1211"/>
    </row>
    <row r="165" spans="1:37" s="1179" customFormat="1">
      <c r="A165" s="1188"/>
      <c r="B165" s="1188"/>
      <c r="C165" s="1188"/>
      <c r="D165" s="1210"/>
      <c r="E165" s="1210"/>
      <c r="F165" s="1210"/>
      <c r="G165" s="1191"/>
      <c r="H165" s="1191"/>
      <c r="I165" s="1199"/>
      <c r="J165" s="1191"/>
      <c r="K165" s="1191"/>
      <c r="L165" s="1191"/>
      <c r="M165" s="1191"/>
      <c r="N165" s="1191"/>
      <c r="O165" s="1191"/>
      <c r="P165" s="1199"/>
      <c r="Q165" s="1191"/>
      <c r="R165" s="1191"/>
      <c r="S165" s="1191"/>
      <c r="T165" s="1191"/>
      <c r="U165" s="1191"/>
      <c r="V165" s="1191"/>
      <c r="W165" s="1191"/>
      <c r="X165" s="1191"/>
      <c r="Y165" s="1191"/>
      <c r="Z165" s="1191"/>
      <c r="AA165" s="1191"/>
      <c r="AB165" s="1210"/>
      <c r="AC165" s="1210"/>
      <c r="AD165" s="1210"/>
      <c r="AE165" s="1210"/>
      <c r="AF165" s="1210"/>
      <c r="AG165" s="1210"/>
      <c r="AH165" s="1210"/>
      <c r="AI165" s="1211"/>
      <c r="AJ165" s="1211"/>
      <c r="AK165" s="1211"/>
    </row>
    <row r="166" spans="1:37" s="1179" customFormat="1">
      <c r="A166" s="1188"/>
      <c r="B166" s="1188"/>
      <c r="C166" s="1188"/>
      <c r="D166" s="1210"/>
      <c r="E166" s="1210"/>
      <c r="F166" s="1210"/>
      <c r="G166" s="1191"/>
      <c r="H166" s="1191"/>
      <c r="I166" s="1199"/>
      <c r="J166" s="1191"/>
      <c r="K166" s="1191"/>
      <c r="L166" s="1191"/>
      <c r="M166" s="1191"/>
      <c r="N166" s="1191"/>
      <c r="O166" s="1191"/>
      <c r="P166" s="1199"/>
      <c r="Q166" s="1191"/>
      <c r="R166" s="1191"/>
      <c r="S166" s="1191"/>
      <c r="T166" s="1191"/>
      <c r="U166" s="1191"/>
      <c r="V166" s="1191"/>
      <c r="W166" s="1191"/>
      <c r="X166" s="1191"/>
      <c r="Y166" s="1191"/>
      <c r="Z166" s="1191"/>
      <c r="AA166" s="1191"/>
      <c r="AB166" s="1210"/>
      <c r="AC166" s="1210"/>
      <c r="AD166" s="1210"/>
      <c r="AE166" s="1210"/>
      <c r="AF166" s="1210"/>
      <c r="AG166" s="1210"/>
      <c r="AH166" s="1210"/>
      <c r="AI166" s="1211"/>
      <c r="AJ166" s="1211"/>
      <c r="AK166" s="1211"/>
    </row>
    <row r="167" spans="1:37" s="1179" customFormat="1">
      <c r="A167" s="1188"/>
      <c r="B167" s="1188"/>
      <c r="C167" s="1188"/>
      <c r="D167" s="1210"/>
      <c r="E167" s="1210"/>
      <c r="F167" s="1210"/>
      <c r="G167" s="1191"/>
      <c r="H167" s="1191"/>
      <c r="I167" s="1199"/>
      <c r="J167" s="1191"/>
      <c r="K167" s="1191"/>
      <c r="L167" s="1191"/>
      <c r="M167" s="1191"/>
      <c r="N167" s="1191"/>
      <c r="O167" s="1191"/>
      <c r="P167" s="1199"/>
      <c r="Q167" s="1191"/>
      <c r="R167" s="1191"/>
      <c r="S167" s="1191"/>
      <c r="T167" s="1191"/>
      <c r="U167" s="1191"/>
      <c r="V167" s="1191"/>
      <c r="W167" s="1191"/>
      <c r="X167" s="1191"/>
      <c r="Y167" s="1191"/>
      <c r="Z167" s="1191"/>
      <c r="AA167" s="1191"/>
      <c r="AB167" s="1210"/>
      <c r="AC167" s="1210"/>
      <c r="AD167" s="1210"/>
      <c r="AE167" s="1210"/>
      <c r="AF167" s="1210"/>
      <c r="AG167" s="1210"/>
      <c r="AH167" s="1210"/>
      <c r="AI167" s="1211"/>
      <c r="AJ167" s="1211"/>
      <c r="AK167" s="1211"/>
    </row>
    <row r="168" spans="1:37" s="1179" customFormat="1">
      <c r="A168" s="1188"/>
      <c r="B168" s="1188"/>
      <c r="C168" s="1188"/>
      <c r="D168" s="1210"/>
      <c r="E168" s="1210"/>
      <c r="F168" s="1210"/>
      <c r="G168" s="1191"/>
      <c r="H168" s="1191"/>
      <c r="I168" s="1199"/>
      <c r="J168" s="1191"/>
      <c r="K168" s="1191"/>
      <c r="L168" s="1191"/>
      <c r="M168" s="1191"/>
      <c r="N168" s="1191"/>
      <c r="O168" s="1191"/>
      <c r="P168" s="1199"/>
      <c r="Q168" s="1191"/>
      <c r="R168" s="1191"/>
      <c r="S168" s="1191"/>
      <c r="T168" s="1191"/>
      <c r="U168" s="1191"/>
      <c r="V168" s="1191"/>
      <c r="W168" s="1191"/>
      <c r="X168" s="1191"/>
      <c r="Y168" s="1191"/>
      <c r="Z168" s="1191"/>
      <c r="AA168" s="1191"/>
      <c r="AB168" s="1210"/>
      <c r="AC168" s="1210"/>
      <c r="AD168" s="1210"/>
      <c r="AE168" s="1210"/>
      <c r="AF168" s="1210"/>
      <c r="AG168" s="1210"/>
      <c r="AH168" s="1210"/>
      <c r="AI168" s="1211"/>
      <c r="AJ168" s="1211"/>
      <c r="AK168" s="1211"/>
    </row>
    <row r="169" spans="1:37" s="1179" customFormat="1">
      <c r="A169" s="1188"/>
      <c r="B169" s="1188"/>
      <c r="C169" s="1188"/>
      <c r="D169" s="1210"/>
      <c r="E169" s="1210"/>
      <c r="F169" s="1210"/>
      <c r="G169" s="1191"/>
      <c r="H169" s="1191"/>
      <c r="I169" s="1199"/>
      <c r="J169" s="1191"/>
      <c r="K169" s="1191"/>
      <c r="L169" s="1191"/>
      <c r="M169" s="1191"/>
      <c r="N169" s="1191"/>
      <c r="O169" s="1191"/>
      <c r="P169" s="1199"/>
      <c r="Q169" s="1191"/>
      <c r="R169" s="1191"/>
      <c r="S169" s="1191"/>
      <c r="T169" s="1191"/>
      <c r="U169" s="1191"/>
      <c r="V169" s="1191"/>
      <c r="W169" s="1191"/>
      <c r="X169" s="1191"/>
      <c r="Y169" s="1191"/>
      <c r="Z169" s="1191"/>
      <c r="AA169" s="1191"/>
      <c r="AB169" s="1210"/>
      <c r="AC169" s="1210"/>
      <c r="AD169" s="1210"/>
      <c r="AE169" s="1210"/>
      <c r="AF169" s="1210"/>
      <c r="AG169" s="1210"/>
      <c r="AH169" s="1210"/>
      <c r="AI169" s="1211"/>
      <c r="AJ169" s="1211"/>
      <c r="AK169" s="1211"/>
    </row>
    <row r="170" spans="1:37" s="1179" customFormat="1">
      <c r="A170" s="1188"/>
      <c r="B170" s="1188"/>
      <c r="C170" s="1188"/>
      <c r="D170" s="1210"/>
      <c r="E170" s="1210"/>
      <c r="F170" s="1210"/>
      <c r="G170" s="1191"/>
      <c r="H170" s="1191"/>
      <c r="I170" s="1199"/>
      <c r="J170" s="1191"/>
      <c r="K170" s="1191"/>
      <c r="L170" s="1191"/>
      <c r="M170" s="1191"/>
      <c r="N170" s="1191"/>
      <c r="O170" s="1191"/>
      <c r="P170" s="1199"/>
      <c r="Q170" s="1191"/>
      <c r="R170" s="1191"/>
      <c r="S170" s="1191"/>
      <c r="T170" s="1191"/>
      <c r="U170" s="1191"/>
      <c r="V170" s="1191"/>
      <c r="W170" s="1191"/>
      <c r="X170" s="1191"/>
      <c r="Y170" s="1191"/>
      <c r="Z170" s="1191"/>
      <c r="AA170" s="1191"/>
      <c r="AB170" s="1210"/>
      <c r="AC170" s="1210"/>
      <c r="AD170" s="1210"/>
      <c r="AE170" s="1210"/>
      <c r="AF170" s="1210"/>
      <c r="AG170" s="1210"/>
      <c r="AH170" s="1210"/>
      <c r="AI170" s="1211"/>
      <c r="AJ170" s="1211"/>
      <c r="AK170" s="1211"/>
    </row>
    <row r="171" spans="1:37" s="1179" customFormat="1">
      <c r="A171" s="1188"/>
      <c r="B171" s="1188"/>
      <c r="C171" s="1188"/>
      <c r="D171" s="1210"/>
      <c r="E171" s="1210"/>
      <c r="F171" s="1210"/>
      <c r="G171" s="1191"/>
      <c r="H171" s="1191"/>
      <c r="I171" s="1199"/>
      <c r="J171" s="1191"/>
      <c r="K171" s="1191"/>
      <c r="L171" s="1191"/>
      <c r="M171" s="1191"/>
      <c r="N171" s="1191"/>
      <c r="O171" s="1191"/>
      <c r="P171" s="1199"/>
      <c r="Q171" s="1191"/>
      <c r="R171" s="1191"/>
      <c r="S171" s="1191"/>
      <c r="T171" s="1191"/>
      <c r="U171" s="1191"/>
      <c r="V171" s="1191"/>
      <c r="W171" s="1191"/>
      <c r="X171" s="1191"/>
      <c r="Y171" s="1191"/>
      <c r="Z171" s="1191"/>
      <c r="AA171" s="1191"/>
      <c r="AB171" s="1210"/>
      <c r="AC171" s="1210"/>
      <c r="AD171" s="1210"/>
      <c r="AE171" s="1210"/>
      <c r="AF171" s="1210"/>
      <c r="AG171" s="1210"/>
      <c r="AH171" s="1210"/>
      <c r="AI171" s="1211"/>
      <c r="AJ171" s="1211"/>
      <c r="AK171" s="1211"/>
    </row>
    <row r="172" spans="1:37" s="1179" customFormat="1">
      <c r="A172" s="1188"/>
      <c r="B172" s="1188"/>
      <c r="C172" s="1188"/>
      <c r="D172" s="1210"/>
      <c r="E172" s="1210"/>
      <c r="F172" s="1210"/>
      <c r="G172" s="1191"/>
      <c r="H172" s="1191"/>
      <c r="I172" s="1199"/>
      <c r="J172" s="1191"/>
      <c r="K172" s="1191"/>
      <c r="L172" s="1191"/>
      <c r="M172" s="1191"/>
      <c r="N172" s="1191"/>
      <c r="O172" s="1191"/>
      <c r="P172" s="1199"/>
      <c r="Q172" s="1191"/>
      <c r="R172" s="1191"/>
      <c r="S172" s="1191"/>
      <c r="T172" s="1191"/>
      <c r="U172" s="1191"/>
      <c r="V172" s="1191"/>
      <c r="W172" s="1191"/>
      <c r="X172" s="1191"/>
      <c r="Y172" s="1191"/>
      <c r="Z172" s="1191"/>
      <c r="AA172" s="1191"/>
      <c r="AB172" s="1210"/>
      <c r="AC172" s="1210"/>
      <c r="AD172" s="1210"/>
      <c r="AE172" s="1210"/>
      <c r="AF172" s="1210"/>
      <c r="AG172" s="1210"/>
      <c r="AH172" s="1210"/>
      <c r="AI172" s="1211"/>
      <c r="AJ172" s="1211"/>
      <c r="AK172" s="1211"/>
    </row>
    <row r="173" spans="1:37" s="1179" customFormat="1">
      <c r="A173" s="1188"/>
      <c r="B173" s="1188"/>
      <c r="C173" s="1188"/>
      <c r="D173" s="1210"/>
      <c r="E173" s="1210"/>
      <c r="F173" s="1210"/>
      <c r="G173" s="1191"/>
      <c r="H173" s="1191"/>
      <c r="I173" s="1199"/>
      <c r="J173" s="1191"/>
      <c r="K173" s="1191"/>
      <c r="L173" s="1191"/>
      <c r="M173" s="1191"/>
      <c r="N173" s="1191"/>
      <c r="O173" s="1191"/>
      <c r="P173" s="1199"/>
      <c r="Q173" s="1191"/>
      <c r="R173" s="1191"/>
      <c r="S173" s="1191"/>
      <c r="T173" s="1191"/>
      <c r="U173" s="1191"/>
      <c r="V173" s="1191"/>
      <c r="W173" s="1191"/>
      <c r="X173" s="1191"/>
      <c r="Y173" s="1191"/>
      <c r="Z173" s="1191"/>
      <c r="AA173" s="1191"/>
      <c r="AB173" s="1210"/>
      <c r="AC173" s="1210"/>
      <c r="AD173" s="1210"/>
      <c r="AE173" s="1210"/>
      <c r="AF173" s="1210"/>
      <c r="AG173" s="1210"/>
      <c r="AH173" s="1210"/>
      <c r="AI173" s="1211"/>
      <c r="AJ173" s="1211"/>
      <c r="AK173" s="1211"/>
    </row>
    <row r="174" spans="1:37" s="1179" customFormat="1">
      <c r="A174" s="1188"/>
      <c r="B174" s="1188"/>
      <c r="C174" s="1188"/>
      <c r="D174" s="1210"/>
      <c r="E174" s="1210"/>
      <c r="F174" s="1210"/>
      <c r="G174" s="1191"/>
      <c r="H174" s="1191"/>
      <c r="I174" s="1199"/>
      <c r="J174" s="1191"/>
      <c r="K174" s="1191"/>
      <c r="L174" s="1191"/>
      <c r="M174" s="1191"/>
      <c r="N174" s="1191"/>
      <c r="O174" s="1191"/>
      <c r="P174" s="1199"/>
      <c r="Q174" s="1191"/>
      <c r="R174" s="1191"/>
      <c r="S174" s="1191"/>
      <c r="T174" s="1191"/>
      <c r="U174" s="1191"/>
      <c r="V174" s="1191"/>
      <c r="W174" s="1191"/>
      <c r="X174" s="1191"/>
      <c r="Y174" s="1191"/>
      <c r="Z174" s="1191"/>
      <c r="AA174" s="1191"/>
      <c r="AB174" s="1210"/>
      <c r="AC174" s="1210"/>
      <c r="AD174" s="1210"/>
      <c r="AE174" s="1210"/>
      <c r="AF174" s="1210"/>
      <c r="AG174" s="1210"/>
      <c r="AH174" s="1210"/>
      <c r="AI174" s="1211"/>
      <c r="AJ174" s="1211"/>
      <c r="AK174" s="1211"/>
    </row>
    <row r="175" spans="1:37" s="1179" customFormat="1">
      <c r="A175" s="1188"/>
      <c r="B175" s="1188"/>
      <c r="C175" s="1188"/>
      <c r="D175" s="1210"/>
      <c r="E175" s="1210"/>
      <c r="F175" s="1210"/>
      <c r="G175" s="1191"/>
      <c r="H175" s="1191"/>
      <c r="I175" s="1199"/>
      <c r="J175" s="1191"/>
      <c r="K175" s="1191"/>
      <c r="L175" s="1191"/>
      <c r="M175" s="1191"/>
      <c r="N175" s="1191"/>
      <c r="O175" s="1191"/>
      <c r="P175" s="1199"/>
      <c r="Q175" s="1191"/>
      <c r="R175" s="1191"/>
      <c r="S175" s="1191"/>
      <c r="T175" s="1191"/>
      <c r="U175" s="1191"/>
      <c r="V175" s="1191"/>
      <c r="W175" s="1191"/>
      <c r="X175" s="1191"/>
      <c r="Y175" s="1191"/>
      <c r="Z175" s="1191"/>
      <c r="AA175" s="1191"/>
      <c r="AB175" s="1210"/>
      <c r="AC175" s="1210"/>
      <c r="AD175" s="1210"/>
      <c r="AE175" s="1210"/>
      <c r="AF175" s="1210"/>
      <c r="AG175" s="1210"/>
      <c r="AH175" s="1210"/>
      <c r="AI175" s="1211"/>
      <c r="AJ175" s="1211"/>
      <c r="AK175" s="1211"/>
    </row>
    <row r="176" spans="1:37" s="1179" customFormat="1">
      <c r="A176" s="1188"/>
      <c r="B176" s="1188"/>
      <c r="C176" s="1188"/>
      <c r="D176" s="1210"/>
      <c r="E176" s="1210"/>
      <c r="F176" s="1210"/>
      <c r="G176" s="1191"/>
      <c r="H176" s="1191"/>
      <c r="I176" s="1199"/>
      <c r="J176" s="1191"/>
      <c r="K176" s="1191"/>
      <c r="L176" s="1191"/>
      <c r="M176" s="1191"/>
      <c r="N176" s="1191"/>
      <c r="O176" s="1191"/>
      <c r="P176" s="1199"/>
      <c r="Q176" s="1191"/>
      <c r="R176" s="1191"/>
      <c r="S176" s="1191"/>
      <c r="T176" s="1191"/>
      <c r="U176" s="1191"/>
      <c r="V176" s="1191"/>
      <c r="W176" s="1191"/>
      <c r="X176" s="1191"/>
      <c r="Y176" s="1191"/>
      <c r="Z176" s="1191"/>
      <c r="AA176" s="1191"/>
      <c r="AB176" s="1210"/>
      <c r="AC176" s="1210"/>
      <c r="AD176" s="1210"/>
      <c r="AE176" s="1210"/>
      <c r="AF176" s="1210"/>
      <c r="AG176" s="1210"/>
      <c r="AH176" s="1210"/>
      <c r="AI176" s="1211"/>
      <c r="AJ176" s="1211"/>
      <c r="AK176" s="1211"/>
    </row>
    <row r="177" spans="1:37" s="1179" customFormat="1">
      <c r="A177" s="1188"/>
      <c r="B177" s="1188"/>
      <c r="C177" s="1188"/>
      <c r="D177" s="1210"/>
      <c r="E177" s="1210"/>
      <c r="F177" s="1210"/>
      <c r="G177" s="1191"/>
      <c r="H177" s="1191"/>
      <c r="I177" s="1199"/>
      <c r="J177" s="1191"/>
      <c r="K177" s="1191"/>
      <c r="L177" s="1191"/>
      <c r="M177" s="1191"/>
      <c r="N177" s="1191"/>
      <c r="O177" s="1191"/>
      <c r="P177" s="1199"/>
      <c r="Q177" s="1191"/>
      <c r="R177" s="1191"/>
      <c r="S177" s="1191"/>
      <c r="T177" s="1191"/>
      <c r="U177" s="1191"/>
      <c r="V177" s="1191"/>
      <c r="W177" s="1191"/>
      <c r="X177" s="1191"/>
      <c r="Y177" s="1191"/>
      <c r="Z177" s="1191"/>
      <c r="AA177" s="1191"/>
      <c r="AB177" s="1210"/>
      <c r="AC177" s="1210"/>
      <c r="AD177" s="1210"/>
      <c r="AE177" s="1210"/>
      <c r="AF177" s="1210"/>
      <c r="AG177" s="1210"/>
      <c r="AH177" s="1210"/>
      <c r="AI177" s="1211"/>
      <c r="AJ177" s="1211"/>
      <c r="AK177" s="1211"/>
    </row>
    <row r="178" spans="1:37" s="1179" customFormat="1">
      <c r="A178" s="1188"/>
      <c r="B178" s="1188"/>
      <c r="C178" s="1188"/>
      <c r="D178" s="1210"/>
      <c r="E178" s="1210"/>
      <c r="F178" s="1210"/>
      <c r="G178" s="1191"/>
      <c r="H178" s="1191"/>
      <c r="I178" s="1199"/>
      <c r="J178" s="1191"/>
      <c r="K178" s="1191"/>
      <c r="L178" s="1191"/>
      <c r="M178" s="1191"/>
      <c r="N178" s="1191"/>
      <c r="O178" s="1191"/>
      <c r="P178" s="1199"/>
      <c r="Q178" s="1191"/>
      <c r="R178" s="1191"/>
      <c r="S178" s="1191"/>
      <c r="T178" s="1191"/>
      <c r="U178" s="1191"/>
      <c r="V178" s="1191"/>
      <c r="W178" s="1191"/>
      <c r="X178" s="1191"/>
      <c r="Y178" s="1191"/>
      <c r="Z178" s="1191"/>
      <c r="AA178" s="1191"/>
      <c r="AB178" s="1210"/>
      <c r="AC178" s="1210"/>
      <c r="AD178" s="1210"/>
      <c r="AE178" s="1210"/>
      <c r="AF178" s="1210"/>
      <c r="AG178" s="1210"/>
      <c r="AH178" s="1210"/>
      <c r="AI178" s="1211"/>
      <c r="AJ178" s="1211"/>
      <c r="AK178" s="1211"/>
    </row>
    <row r="179" spans="1:37" s="1179" customFormat="1">
      <c r="A179" s="1188"/>
      <c r="B179" s="1188"/>
      <c r="C179" s="1188"/>
      <c r="D179" s="1210"/>
      <c r="E179" s="1210"/>
      <c r="F179" s="1210"/>
      <c r="G179" s="1191"/>
      <c r="H179" s="1191"/>
      <c r="I179" s="1199"/>
      <c r="J179" s="1191"/>
      <c r="K179" s="1191"/>
      <c r="L179" s="1191"/>
      <c r="M179" s="1191"/>
      <c r="N179" s="1191"/>
      <c r="O179" s="1191"/>
      <c r="P179" s="1199"/>
      <c r="Q179" s="1191"/>
      <c r="R179" s="1191"/>
      <c r="S179" s="1191"/>
      <c r="T179" s="1191"/>
      <c r="U179" s="1191"/>
      <c r="V179" s="1191"/>
      <c r="W179" s="1191"/>
      <c r="X179" s="1191"/>
      <c r="Y179" s="1191"/>
      <c r="Z179" s="1191"/>
      <c r="AA179" s="1191"/>
      <c r="AB179" s="1210"/>
      <c r="AC179" s="1210"/>
      <c r="AD179" s="1210"/>
      <c r="AE179" s="1210"/>
      <c r="AF179" s="1210"/>
      <c r="AG179" s="1210"/>
      <c r="AH179" s="1210"/>
      <c r="AI179" s="1211"/>
      <c r="AJ179" s="1211"/>
      <c r="AK179" s="1211"/>
    </row>
    <row r="180" spans="1:37" s="1179" customFormat="1">
      <c r="A180" s="1188"/>
      <c r="B180" s="1188"/>
      <c r="C180" s="1188"/>
      <c r="D180" s="1210"/>
      <c r="E180" s="1210"/>
      <c r="F180" s="1210"/>
      <c r="G180" s="1191"/>
      <c r="H180" s="1191"/>
      <c r="I180" s="1199"/>
      <c r="J180" s="1191"/>
      <c r="K180" s="1191"/>
      <c r="L180" s="1191"/>
      <c r="M180" s="1191"/>
      <c r="N180" s="1191"/>
      <c r="O180" s="1191"/>
      <c r="P180" s="1199"/>
      <c r="Q180" s="1191"/>
      <c r="R180" s="1191"/>
      <c r="S180" s="1191"/>
      <c r="T180" s="1191"/>
      <c r="U180" s="1191"/>
      <c r="V180" s="1191"/>
      <c r="W180" s="1191"/>
      <c r="X180" s="1191"/>
      <c r="Y180" s="1191"/>
      <c r="Z180" s="1191"/>
      <c r="AA180" s="1191"/>
      <c r="AB180" s="1210"/>
      <c r="AC180" s="1210"/>
      <c r="AD180" s="1210"/>
      <c r="AE180" s="1210"/>
      <c r="AF180" s="1210"/>
      <c r="AG180" s="1210"/>
      <c r="AH180" s="1210"/>
      <c r="AI180" s="1211"/>
      <c r="AJ180" s="1211"/>
      <c r="AK180" s="1211"/>
    </row>
    <row r="181" spans="1:37" s="1179" customFormat="1">
      <c r="A181" s="1188"/>
      <c r="B181" s="1188"/>
      <c r="C181" s="1188"/>
      <c r="D181" s="1210"/>
      <c r="E181" s="1210"/>
      <c r="F181" s="1210"/>
      <c r="G181" s="1191"/>
      <c r="H181" s="1191"/>
      <c r="I181" s="1199"/>
      <c r="J181" s="1191"/>
      <c r="K181" s="1191"/>
      <c r="L181" s="1191"/>
      <c r="M181" s="1191"/>
      <c r="N181" s="1191"/>
      <c r="O181" s="1191"/>
      <c r="P181" s="1199"/>
      <c r="Q181" s="1191"/>
      <c r="R181" s="1191"/>
      <c r="S181" s="1191"/>
      <c r="T181" s="1191"/>
      <c r="U181" s="1191"/>
      <c r="V181" s="1191"/>
      <c r="W181" s="1191"/>
      <c r="X181" s="1191"/>
      <c r="Y181" s="1191"/>
      <c r="Z181" s="1191"/>
      <c r="AA181" s="1191"/>
      <c r="AB181" s="1210"/>
      <c r="AC181" s="1210"/>
      <c r="AD181" s="1210"/>
      <c r="AE181" s="1210"/>
      <c r="AF181" s="1210"/>
      <c r="AG181" s="1210"/>
      <c r="AH181" s="1210"/>
      <c r="AI181" s="1211"/>
      <c r="AJ181" s="1211"/>
      <c r="AK181" s="1211"/>
    </row>
    <row r="182" spans="1:37" s="1179" customFormat="1">
      <c r="A182" s="1188"/>
      <c r="B182" s="1188"/>
      <c r="C182" s="1188"/>
      <c r="D182" s="1210"/>
      <c r="E182" s="1210"/>
      <c r="F182" s="1210"/>
      <c r="G182" s="1191"/>
      <c r="H182" s="1191"/>
      <c r="I182" s="1199"/>
      <c r="J182" s="1191"/>
      <c r="K182" s="1191"/>
      <c r="L182" s="1191"/>
      <c r="M182" s="1191"/>
      <c r="N182" s="1191"/>
      <c r="O182" s="1191"/>
      <c r="P182" s="1199"/>
      <c r="Q182" s="1191"/>
      <c r="R182" s="1191"/>
      <c r="S182" s="1191"/>
      <c r="T182" s="1191"/>
      <c r="U182" s="1191"/>
      <c r="V182" s="1191"/>
      <c r="W182" s="1191"/>
      <c r="X182" s="1191"/>
      <c r="Y182" s="1191"/>
      <c r="Z182" s="1191"/>
      <c r="AA182" s="1191"/>
      <c r="AB182" s="1210"/>
      <c r="AC182" s="1210"/>
      <c r="AD182" s="1210"/>
      <c r="AE182" s="1210"/>
      <c r="AF182" s="1210"/>
      <c r="AG182" s="1210"/>
      <c r="AH182" s="1210"/>
      <c r="AI182" s="1211"/>
      <c r="AJ182" s="1211"/>
      <c r="AK182" s="1211"/>
    </row>
    <row r="183" spans="1:37" s="1179" customFormat="1">
      <c r="A183" s="1188"/>
      <c r="B183" s="1188"/>
      <c r="C183" s="1188"/>
      <c r="D183" s="1210"/>
      <c r="E183" s="1210"/>
      <c r="F183" s="1210"/>
      <c r="G183" s="1191"/>
      <c r="H183" s="1191"/>
      <c r="I183" s="1199"/>
      <c r="J183" s="1191"/>
      <c r="K183" s="1191"/>
      <c r="L183" s="1191"/>
      <c r="M183" s="1191"/>
      <c r="N183" s="1191"/>
      <c r="O183" s="1191"/>
      <c r="P183" s="1199"/>
      <c r="Q183" s="1191"/>
      <c r="R183" s="1191"/>
      <c r="S183" s="1191"/>
      <c r="T183" s="1191"/>
      <c r="U183" s="1191"/>
      <c r="V183" s="1191"/>
      <c r="W183" s="1191"/>
      <c r="X183" s="1191"/>
      <c r="Y183" s="1191"/>
      <c r="Z183" s="1191"/>
      <c r="AA183" s="1191"/>
      <c r="AB183" s="1210"/>
      <c r="AC183" s="1210"/>
      <c r="AD183" s="1210"/>
      <c r="AE183" s="1210"/>
      <c r="AF183" s="1210"/>
      <c r="AG183" s="1210"/>
      <c r="AH183" s="1210"/>
      <c r="AI183" s="1211"/>
      <c r="AJ183" s="1211"/>
      <c r="AK183" s="1211"/>
    </row>
    <row r="184" spans="1:37" s="1179" customFormat="1">
      <c r="A184" s="1188"/>
      <c r="B184" s="1188"/>
      <c r="C184" s="1188"/>
      <c r="D184" s="1210"/>
      <c r="E184" s="1210"/>
      <c r="F184" s="1210"/>
      <c r="G184" s="1191"/>
      <c r="H184" s="1191"/>
      <c r="I184" s="1199"/>
      <c r="J184" s="1191"/>
      <c r="K184" s="1191"/>
      <c r="L184" s="1191"/>
      <c r="M184" s="1191"/>
      <c r="N184" s="1191"/>
      <c r="O184" s="1191"/>
      <c r="P184" s="1199"/>
      <c r="Q184" s="1191"/>
      <c r="R184" s="1191"/>
      <c r="S184" s="1191"/>
      <c r="T184" s="1191"/>
      <c r="U184" s="1191"/>
      <c r="V184" s="1191"/>
      <c r="W184" s="1191"/>
      <c r="X184" s="1191"/>
      <c r="Y184" s="1191"/>
      <c r="Z184" s="1191"/>
      <c r="AA184" s="1191"/>
      <c r="AB184" s="1210"/>
      <c r="AC184" s="1210"/>
      <c r="AD184" s="1210"/>
      <c r="AE184" s="1210"/>
      <c r="AF184" s="1210"/>
      <c r="AG184" s="1210"/>
      <c r="AH184" s="1210"/>
      <c r="AI184" s="1211"/>
      <c r="AJ184" s="1211"/>
      <c r="AK184" s="1211"/>
    </row>
    <row r="185" spans="1:37" s="1179" customFormat="1">
      <c r="A185" s="1188"/>
      <c r="B185" s="1188"/>
      <c r="C185" s="1188"/>
      <c r="D185" s="1210"/>
      <c r="E185" s="1210"/>
      <c r="F185" s="1210"/>
      <c r="G185" s="1191"/>
      <c r="H185" s="1191"/>
      <c r="I185" s="1199"/>
      <c r="J185" s="1191"/>
      <c r="K185" s="1191"/>
      <c r="L185" s="1191"/>
      <c r="M185" s="1191"/>
      <c r="N185" s="1191"/>
      <c r="O185" s="1191"/>
      <c r="P185" s="1199"/>
      <c r="Q185" s="1191"/>
      <c r="R185" s="1191"/>
      <c r="S185" s="1191"/>
      <c r="T185" s="1191"/>
      <c r="U185" s="1191"/>
      <c r="V185" s="1191"/>
      <c r="W185" s="1191"/>
      <c r="X185" s="1191"/>
      <c r="Y185" s="1191"/>
      <c r="Z185" s="1191"/>
      <c r="AA185" s="1191"/>
      <c r="AB185" s="1210"/>
      <c r="AC185" s="1210"/>
      <c r="AD185" s="1210"/>
      <c r="AE185" s="1210"/>
      <c r="AF185" s="1210"/>
      <c r="AG185" s="1210"/>
      <c r="AH185" s="1210"/>
      <c r="AI185" s="1211"/>
      <c r="AJ185" s="1211"/>
      <c r="AK185" s="1211"/>
    </row>
    <row r="186" spans="1:37" s="1179" customFormat="1">
      <c r="A186" s="1188"/>
      <c r="B186" s="1188"/>
      <c r="C186" s="1188"/>
      <c r="D186" s="1210"/>
      <c r="E186" s="1210"/>
      <c r="F186" s="1210"/>
      <c r="G186" s="1191"/>
      <c r="H186" s="1191"/>
      <c r="I186" s="1199"/>
      <c r="J186" s="1191"/>
      <c r="K186" s="1191"/>
      <c r="L186" s="1191"/>
      <c r="M186" s="1191"/>
      <c r="N186" s="1191"/>
      <c r="O186" s="1191"/>
      <c r="P186" s="1199"/>
      <c r="Q186" s="1191"/>
      <c r="R186" s="1191"/>
      <c r="S186" s="1191"/>
      <c r="T186" s="1191"/>
      <c r="U186" s="1191"/>
      <c r="V186" s="1191"/>
      <c r="W186" s="1191"/>
      <c r="X186" s="1191"/>
      <c r="Y186" s="1191"/>
      <c r="Z186" s="1191"/>
      <c r="AA186" s="1191"/>
      <c r="AB186" s="1210"/>
      <c r="AC186" s="1210"/>
      <c r="AD186" s="1210"/>
      <c r="AE186" s="1210"/>
      <c r="AF186" s="1210"/>
      <c r="AG186" s="1210"/>
      <c r="AH186" s="1210"/>
      <c r="AI186" s="1211"/>
      <c r="AJ186" s="1211"/>
      <c r="AK186" s="1211"/>
    </row>
    <row r="187" spans="1:37" s="1179" customFormat="1">
      <c r="A187" s="1188"/>
      <c r="B187" s="1188"/>
      <c r="C187" s="1188"/>
      <c r="D187" s="1210"/>
      <c r="E187" s="1210"/>
      <c r="F187" s="1210"/>
      <c r="G187" s="1191"/>
      <c r="H187" s="1191"/>
      <c r="I187" s="1199"/>
      <c r="J187" s="1191"/>
      <c r="K187" s="1191"/>
      <c r="L187" s="1191"/>
      <c r="M187" s="1191"/>
      <c r="N187" s="1191"/>
      <c r="O187" s="1191"/>
      <c r="P187" s="1199"/>
      <c r="Q187" s="1191"/>
      <c r="R187" s="1191"/>
      <c r="S187" s="1191"/>
      <c r="T187" s="1191"/>
      <c r="U187" s="1191"/>
      <c r="V187" s="1191"/>
      <c r="W187" s="1191"/>
      <c r="X187" s="1191"/>
      <c r="Y187" s="1191"/>
      <c r="Z187" s="1191"/>
      <c r="AA187" s="1191"/>
      <c r="AB187" s="1210"/>
      <c r="AC187" s="1210"/>
      <c r="AD187" s="1210"/>
      <c r="AE187" s="1210"/>
      <c r="AF187" s="1210"/>
      <c r="AG187" s="1210"/>
      <c r="AH187" s="1210"/>
      <c r="AI187" s="1211"/>
      <c r="AJ187" s="1211"/>
      <c r="AK187" s="1211"/>
    </row>
    <row r="188" spans="1:37" s="1179" customFormat="1">
      <c r="A188" s="1188"/>
      <c r="B188" s="1188"/>
      <c r="C188" s="1188"/>
      <c r="D188" s="1210"/>
      <c r="E188" s="1210"/>
      <c r="F188" s="1210"/>
      <c r="G188" s="1191"/>
      <c r="H188" s="1191"/>
      <c r="I188" s="1199"/>
      <c r="J188" s="1191"/>
      <c r="K188" s="1191"/>
      <c r="L188" s="1191"/>
      <c r="M188" s="1191"/>
      <c r="N188" s="1191"/>
      <c r="O188" s="1191"/>
      <c r="P188" s="1199"/>
      <c r="Q188" s="1191"/>
      <c r="R188" s="1191"/>
      <c r="S188" s="1191"/>
      <c r="T188" s="1191"/>
      <c r="U188" s="1191"/>
      <c r="V188" s="1191"/>
      <c r="W188" s="1191"/>
      <c r="X188" s="1191"/>
      <c r="Y188" s="1191"/>
      <c r="Z188" s="1191"/>
      <c r="AA188" s="1191"/>
      <c r="AB188" s="1210"/>
      <c r="AC188" s="1210"/>
      <c r="AD188" s="1210"/>
      <c r="AE188" s="1210"/>
      <c r="AF188" s="1210"/>
      <c r="AG188" s="1210"/>
      <c r="AH188" s="1210"/>
      <c r="AI188" s="1211"/>
      <c r="AJ188" s="1211"/>
      <c r="AK188" s="1211"/>
    </row>
    <row r="189" spans="1:37" s="1179" customFormat="1">
      <c r="A189" s="1188"/>
      <c r="B189" s="1188"/>
      <c r="C189" s="1188"/>
      <c r="D189" s="1210"/>
      <c r="E189" s="1210"/>
      <c r="F189" s="1210"/>
      <c r="G189" s="1191"/>
      <c r="H189" s="1191"/>
      <c r="I189" s="1199"/>
      <c r="J189" s="1191"/>
      <c r="K189" s="1191"/>
      <c r="L189" s="1191"/>
      <c r="M189" s="1191"/>
      <c r="N189" s="1191"/>
      <c r="O189" s="1191"/>
      <c r="P189" s="1199"/>
      <c r="Q189" s="1191"/>
      <c r="R189" s="1191"/>
      <c r="S189" s="1191"/>
      <c r="T189" s="1191"/>
      <c r="U189" s="1191"/>
      <c r="V189" s="1191"/>
      <c r="W189" s="1191"/>
      <c r="X189" s="1191"/>
      <c r="Y189" s="1191"/>
      <c r="Z189" s="1191"/>
      <c r="AA189" s="1191"/>
      <c r="AB189" s="1210"/>
      <c r="AC189" s="1210"/>
      <c r="AD189" s="1210"/>
      <c r="AE189" s="1210"/>
      <c r="AF189" s="1210"/>
      <c r="AG189" s="1210"/>
      <c r="AH189" s="1210"/>
      <c r="AI189" s="1211"/>
      <c r="AJ189" s="1211"/>
      <c r="AK189" s="1211"/>
    </row>
    <row r="190" spans="1:37" s="1179" customFormat="1">
      <c r="A190" s="1188"/>
      <c r="B190" s="1188"/>
      <c r="C190" s="1188"/>
      <c r="D190" s="1210"/>
      <c r="E190" s="1210"/>
      <c r="F190" s="1210"/>
      <c r="G190" s="1191"/>
      <c r="H190" s="1191"/>
      <c r="I190" s="1199"/>
      <c r="J190" s="1191"/>
      <c r="K190" s="1191"/>
      <c r="L190" s="1191"/>
      <c r="M190" s="1191"/>
      <c r="N190" s="1191"/>
      <c r="O190" s="1191"/>
      <c r="P190" s="1199"/>
      <c r="Q190" s="1191"/>
      <c r="R190" s="1191"/>
      <c r="S190" s="1191"/>
      <c r="T190" s="1191"/>
      <c r="U190" s="1191"/>
      <c r="V190" s="1191"/>
      <c r="W190" s="1191"/>
      <c r="X190" s="1191"/>
      <c r="Y190" s="1191"/>
      <c r="Z190" s="1191"/>
      <c r="AA190" s="1191"/>
      <c r="AB190" s="1210"/>
      <c r="AC190" s="1210"/>
      <c r="AD190" s="1210"/>
      <c r="AE190" s="1210"/>
      <c r="AF190" s="1210"/>
      <c r="AG190" s="1210"/>
      <c r="AH190" s="1210"/>
      <c r="AI190" s="1211"/>
      <c r="AJ190" s="1211"/>
      <c r="AK190" s="1211"/>
    </row>
    <row r="191" spans="1:37" s="1179" customFormat="1">
      <c r="A191" s="1188"/>
      <c r="B191" s="1188"/>
      <c r="C191" s="1188"/>
      <c r="D191" s="1210"/>
      <c r="E191" s="1210"/>
      <c r="F191" s="1210"/>
      <c r="G191" s="1191"/>
      <c r="H191" s="1191"/>
      <c r="I191" s="1199"/>
      <c r="J191" s="1191"/>
      <c r="K191" s="1191"/>
      <c r="L191" s="1191"/>
      <c r="M191" s="1191"/>
      <c r="N191" s="1191"/>
      <c r="O191" s="1191"/>
      <c r="P191" s="1199"/>
      <c r="Q191" s="1191"/>
      <c r="R191" s="1191"/>
      <c r="S191" s="1191"/>
      <c r="T191" s="1191"/>
      <c r="U191" s="1191"/>
      <c r="V191" s="1191"/>
      <c r="W191" s="1191"/>
      <c r="X191" s="1191"/>
      <c r="Y191" s="1191"/>
      <c r="Z191" s="1191"/>
      <c r="AA191" s="1191"/>
      <c r="AB191" s="1210"/>
      <c r="AC191" s="1210"/>
      <c r="AD191" s="1210"/>
      <c r="AE191" s="1210"/>
      <c r="AF191" s="1210"/>
      <c r="AG191" s="1210"/>
      <c r="AH191" s="1210"/>
      <c r="AI191" s="1211"/>
      <c r="AJ191" s="1211"/>
      <c r="AK191" s="1211"/>
    </row>
    <row r="192" spans="1:37" s="1179" customFormat="1">
      <c r="A192" s="1188"/>
      <c r="B192" s="1188"/>
      <c r="C192" s="1188"/>
      <c r="D192" s="1210"/>
      <c r="E192" s="1210"/>
      <c r="F192" s="1210"/>
      <c r="G192" s="1191"/>
      <c r="H192" s="1191"/>
      <c r="I192" s="1199"/>
      <c r="J192" s="1191"/>
      <c r="K192" s="1191"/>
      <c r="L192" s="1191"/>
      <c r="M192" s="1191"/>
      <c r="N192" s="1191"/>
      <c r="O192" s="1191"/>
      <c r="P192" s="1199"/>
      <c r="Q192" s="1191"/>
      <c r="R192" s="1191"/>
      <c r="S192" s="1191"/>
      <c r="T192" s="1191"/>
      <c r="U192" s="1191"/>
      <c r="V192" s="1191"/>
      <c r="W192" s="1191"/>
      <c r="X192" s="1191"/>
      <c r="Y192" s="1191"/>
      <c r="Z192" s="1191"/>
      <c r="AA192" s="1191"/>
      <c r="AB192" s="1210"/>
      <c r="AC192" s="1210"/>
      <c r="AD192" s="1210"/>
      <c r="AE192" s="1210"/>
      <c r="AF192" s="1210"/>
      <c r="AG192" s="1210"/>
      <c r="AH192" s="1210"/>
      <c r="AI192" s="1211"/>
      <c r="AJ192" s="1211"/>
      <c r="AK192" s="1211"/>
    </row>
    <row r="193" spans="1:37" s="1179" customFormat="1">
      <c r="A193" s="1188"/>
      <c r="B193" s="1188"/>
      <c r="C193" s="1188"/>
      <c r="D193" s="1210"/>
      <c r="E193" s="1210"/>
      <c r="F193" s="1210"/>
      <c r="G193" s="1191"/>
      <c r="H193" s="1191"/>
      <c r="I193" s="1199"/>
      <c r="J193" s="1191"/>
      <c r="K193" s="1191"/>
      <c r="L193" s="1191"/>
      <c r="M193" s="1191"/>
      <c r="N193" s="1191"/>
      <c r="O193" s="1191"/>
      <c r="P193" s="1199"/>
      <c r="Q193" s="1191"/>
      <c r="R193" s="1191"/>
      <c r="S193" s="1191"/>
      <c r="T193" s="1191"/>
      <c r="U193" s="1191"/>
      <c r="V193" s="1191"/>
      <c r="W193" s="1191"/>
      <c r="X193" s="1191"/>
      <c r="Y193" s="1191"/>
      <c r="Z193" s="1191"/>
      <c r="AA193" s="1191"/>
      <c r="AB193" s="1210"/>
      <c r="AC193" s="1210"/>
      <c r="AD193" s="1210"/>
      <c r="AE193" s="1210"/>
      <c r="AF193" s="1210"/>
      <c r="AG193" s="1210"/>
      <c r="AH193" s="1210"/>
      <c r="AI193" s="1211"/>
      <c r="AJ193" s="1211"/>
      <c r="AK193" s="1211"/>
    </row>
    <row r="194" spans="1:37" s="1179" customFormat="1">
      <c r="A194" s="1188"/>
      <c r="B194" s="1188"/>
      <c r="C194" s="1188"/>
      <c r="D194" s="1210"/>
      <c r="E194" s="1210"/>
      <c r="F194" s="1210"/>
      <c r="G194" s="1191"/>
      <c r="H194" s="1191"/>
      <c r="I194" s="1199"/>
      <c r="J194" s="1191"/>
      <c r="K194" s="1191"/>
      <c r="L194" s="1191"/>
      <c r="M194" s="1191"/>
      <c r="N194" s="1191"/>
      <c r="O194" s="1191"/>
      <c r="P194" s="1199"/>
      <c r="Q194" s="1191"/>
      <c r="R194" s="1191"/>
      <c r="S194" s="1191"/>
      <c r="T194" s="1191"/>
      <c r="U194" s="1191"/>
      <c r="V194" s="1191"/>
      <c r="W194" s="1191"/>
      <c r="X194" s="1191"/>
      <c r="Y194" s="1191"/>
      <c r="Z194" s="1191"/>
      <c r="AA194" s="1191"/>
      <c r="AB194" s="1210"/>
      <c r="AC194" s="1210"/>
      <c r="AD194" s="1210"/>
      <c r="AE194" s="1210"/>
      <c r="AF194" s="1210"/>
      <c r="AG194" s="1210"/>
      <c r="AH194" s="1210"/>
      <c r="AI194" s="1211"/>
      <c r="AJ194" s="1211"/>
      <c r="AK194" s="1211"/>
    </row>
    <row r="195" spans="1:37" s="1179" customFormat="1">
      <c r="A195" s="1188"/>
      <c r="B195" s="1188"/>
      <c r="C195" s="1188"/>
      <c r="D195" s="1210"/>
      <c r="E195" s="1210"/>
      <c r="F195" s="1210"/>
      <c r="G195" s="1191"/>
      <c r="H195" s="1191"/>
      <c r="I195" s="1199"/>
      <c r="J195" s="1191"/>
      <c r="K195" s="1191"/>
      <c r="L195" s="1191"/>
      <c r="M195" s="1191"/>
      <c r="N195" s="1191"/>
      <c r="O195" s="1191"/>
      <c r="P195" s="1199"/>
      <c r="Q195" s="1191"/>
      <c r="R195" s="1191"/>
      <c r="S195" s="1191"/>
      <c r="T195" s="1191"/>
      <c r="U195" s="1191"/>
      <c r="V195" s="1191"/>
      <c r="W195" s="1191"/>
      <c r="X195" s="1191"/>
      <c r="Y195" s="1191"/>
      <c r="Z195" s="1191"/>
      <c r="AA195" s="1191"/>
      <c r="AB195" s="1210"/>
      <c r="AC195" s="1210"/>
      <c r="AD195" s="1210"/>
      <c r="AE195" s="1210"/>
      <c r="AF195" s="1210"/>
      <c r="AG195" s="1210"/>
      <c r="AH195" s="1210"/>
      <c r="AI195" s="1211"/>
      <c r="AJ195" s="1211"/>
      <c r="AK195" s="1211"/>
    </row>
    <row r="196" spans="1:37" s="1179" customFormat="1">
      <c r="A196" s="1188"/>
      <c r="B196" s="1188"/>
      <c r="C196" s="1188"/>
      <c r="D196" s="1210"/>
      <c r="E196" s="1210"/>
      <c r="F196" s="1210"/>
      <c r="G196" s="1191"/>
      <c r="H196" s="1191"/>
      <c r="I196" s="1199"/>
      <c r="J196" s="1191"/>
      <c r="K196" s="1191"/>
      <c r="L196" s="1191"/>
      <c r="M196" s="1191"/>
      <c r="N196" s="1191"/>
      <c r="O196" s="1191"/>
      <c r="P196" s="1199"/>
      <c r="Q196" s="1191"/>
      <c r="R196" s="1191"/>
      <c r="S196" s="1191"/>
      <c r="T196" s="1191"/>
      <c r="U196" s="1191"/>
      <c r="V196" s="1191"/>
      <c r="W196" s="1191"/>
      <c r="X196" s="1191"/>
      <c r="Y196" s="1191"/>
      <c r="Z196" s="1191"/>
      <c r="AA196" s="1191"/>
      <c r="AB196" s="1210"/>
      <c r="AC196" s="1210"/>
      <c r="AD196" s="1210"/>
      <c r="AE196" s="1210"/>
      <c r="AF196" s="1210"/>
      <c r="AG196" s="1210"/>
      <c r="AH196" s="1210"/>
      <c r="AI196" s="1211"/>
      <c r="AJ196" s="1211"/>
      <c r="AK196" s="1211"/>
    </row>
    <row r="197" spans="1:37" s="1179" customFormat="1">
      <c r="A197" s="1188"/>
      <c r="B197" s="1188"/>
      <c r="C197" s="1188"/>
      <c r="D197" s="1210"/>
      <c r="E197" s="1210"/>
      <c r="F197" s="1210"/>
      <c r="G197" s="1191"/>
      <c r="H197" s="1191"/>
      <c r="I197" s="1199"/>
      <c r="J197" s="1191"/>
      <c r="K197" s="1191"/>
      <c r="L197" s="1191"/>
      <c r="M197" s="1191"/>
      <c r="N197" s="1191"/>
      <c r="O197" s="1191"/>
      <c r="P197" s="1199"/>
      <c r="Q197" s="1191"/>
      <c r="R197" s="1191"/>
      <c r="S197" s="1191"/>
      <c r="T197" s="1191"/>
      <c r="U197" s="1191"/>
      <c r="V197" s="1191"/>
      <c r="W197" s="1191"/>
      <c r="X197" s="1191"/>
      <c r="Y197" s="1191"/>
      <c r="Z197" s="1191"/>
      <c r="AA197" s="1191"/>
      <c r="AB197" s="1210"/>
      <c r="AC197" s="1210"/>
      <c r="AD197" s="1210"/>
      <c r="AE197" s="1210"/>
      <c r="AF197" s="1210"/>
      <c r="AG197" s="1210"/>
      <c r="AH197" s="1210"/>
      <c r="AI197" s="1211"/>
      <c r="AJ197" s="1211"/>
      <c r="AK197" s="1211"/>
    </row>
    <row r="198" spans="1:37" s="1179" customFormat="1">
      <c r="A198" s="1188"/>
      <c r="B198" s="1188"/>
      <c r="C198" s="1188"/>
      <c r="D198" s="1210"/>
      <c r="E198" s="1210"/>
      <c r="F198" s="1210"/>
      <c r="G198" s="1191"/>
      <c r="H198" s="1191"/>
      <c r="I198" s="1199"/>
      <c r="J198" s="1191"/>
      <c r="K198" s="1191"/>
      <c r="L198" s="1191"/>
      <c r="M198" s="1191"/>
      <c r="N198" s="1191"/>
      <c r="O198" s="1191"/>
      <c r="P198" s="1199"/>
      <c r="Q198" s="1191"/>
      <c r="R198" s="1191"/>
      <c r="S198" s="1191"/>
      <c r="T198" s="1191"/>
      <c r="U198" s="1191"/>
      <c r="V198" s="1191"/>
      <c r="W198" s="1191"/>
      <c r="X198" s="1191"/>
      <c r="Y198" s="1191"/>
      <c r="Z198" s="1191"/>
      <c r="AA198" s="1191"/>
      <c r="AB198" s="1210"/>
      <c r="AC198" s="1210"/>
      <c r="AD198" s="1210"/>
      <c r="AE198" s="1210"/>
      <c r="AF198" s="1210"/>
      <c r="AG198" s="1210"/>
      <c r="AH198" s="1210"/>
      <c r="AI198" s="1211"/>
      <c r="AJ198" s="1211"/>
      <c r="AK198" s="1211"/>
    </row>
    <row r="199" spans="1:37" s="1179" customFormat="1">
      <c r="A199" s="1188"/>
      <c r="B199" s="1188"/>
      <c r="C199" s="1188"/>
      <c r="D199" s="1210"/>
      <c r="E199" s="1210"/>
      <c r="F199" s="1210"/>
      <c r="G199" s="1191"/>
      <c r="H199" s="1191"/>
      <c r="I199" s="1199"/>
      <c r="J199" s="1191"/>
      <c r="K199" s="1191"/>
      <c r="L199" s="1191"/>
      <c r="M199" s="1191"/>
      <c r="N199" s="1191"/>
      <c r="O199" s="1191"/>
      <c r="P199" s="1199"/>
      <c r="Q199" s="1191"/>
      <c r="R199" s="1191"/>
      <c r="S199" s="1191"/>
      <c r="T199" s="1191"/>
      <c r="U199" s="1191"/>
      <c r="V199" s="1191"/>
      <c r="W199" s="1191"/>
      <c r="X199" s="1191"/>
      <c r="Y199" s="1191"/>
      <c r="Z199" s="1191"/>
      <c r="AA199" s="1191"/>
      <c r="AB199" s="1210"/>
      <c r="AC199" s="1210"/>
      <c r="AD199" s="1210"/>
      <c r="AE199" s="1210"/>
      <c r="AF199" s="1210"/>
      <c r="AG199" s="1210"/>
      <c r="AH199" s="1210"/>
      <c r="AI199" s="1211"/>
      <c r="AJ199" s="1211"/>
      <c r="AK199" s="1211"/>
    </row>
    <row r="200" spans="1:37" s="1179" customFormat="1">
      <c r="A200" s="1188"/>
      <c r="B200" s="1188"/>
      <c r="C200" s="1188"/>
      <c r="D200" s="1210"/>
      <c r="E200" s="1210"/>
      <c r="F200" s="1210"/>
      <c r="G200" s="1191"/>
      <c r="H200" s="1191"/>
      <c r="I200" s="1199"/>
      <c r="J200" s="1191"/>
      <c r="K200" s="1191"/>
      <c r="L200" s="1191"/>
      <c r="M200" s="1191"/>
      <c r="N200" s="1191"/>
      <c r="O200" s="1191"/>
      <c r="P200" s="1199"/>
      <c r="Q200" s="1191"/>
      <c r="R200" s="1191"/>
      <c r="S200" s="1191"/>
      <c r="T200" s="1191"/>
      <c r="U200" s="1191"/>
      <c r="V200" s="1191"/>
      <c r="W200" s="1191"/>
      <c r="X200" s="1191"/>
      <c r="Y200" s="1191"/>
      <c r="Z200" s="1191"/>
      <c r="AA200" s="1191"/>
      <c r="AB200" s="1210"/>
      <c r="AC200" s="1210"/>
      <c r="AD200" s="1210"/>
      <c r="AE200" s="1210"/>
      <c r="AF200" s="1210"/>
      <c r="AG200" s="1210"/>
      <c r="AH200" s="1210"/>
      <c r="AI200" s="1211"/>
      <c r="AJ200" s="1211"/>
      <c r="AK200" s="1211"/>
    </row>
    <row r="201" spans="1:37" s="1179" customFormat="1">
      <c r="A201" s="1188"/>
      <c r="B201" s="1188"/>
      <c r="C201" s="1188"/>
      <c r="D201" s="1210"/>
      <c r="E201" s="1210"/>
      <c r="F201" s="1210"/>
      <c r="G201" s="1191"/>
      <c r="H201" s="1191"/>
      <c r="I201" s="1199"/>
      <c r="J201" s="1191"/>
      <c r="K201" s="1191"/>
      <c r="L201" s="1191"/>
      <c r="M201" s="1191"/>
      <c r="N201" s="1191"/>
      <c r="O201" s="1191"/>
      <c r="P201" s="1199"/>
      <c r="Q201" s="1191"/>
      <c r="R201" s="1191"/>
      <c r="S201" s="1191"/>
      <c r="T201" s="1191"/>
      <c r="U201" s="1191"/>
      <c r="V201" s="1191"/>
      <c r="W201" s="1191"/>
      <c r="X201" s="1191"/>
      <c r="Y201" s="1191"/>
      <c r="Z201" s="1191"/>
      <c r="AA201" s="1191"/>
      <c r="AB201" s="1210"/>
      <c r="AC201" s="1210"/>
      <c r="AD201" s="1210"/>
      <c r="AE201" s="1210"/>
      <c r="AF201" s="1210"/>
      <c r="AG201" s="1210"/>
      <c r="AH201" s="1210"/>
      <c r="AI201" s="1211"/>
      <c r="AJ201" s="1211"/>
      <c r="AK201" s="1211"/>
    </row>
    <row r="202" spans="1:37" s="1179" customFormat="1">
      <c r="A202" s="1188"/>
      <c r="B202" s="1188"/>
      <c r="C202" s="1188"/>
      <c r="D202" s="1210"/>
      <c r="E202" s="1210"/>
      <c r="F202" s="1210"/>
      <c r="G202" s="1191"/>
      <c r="H202" s="1191"/>
      <c r="I202" s="1199"/>
      <c r="J202" s="1191"/>
      <c r="K202" s="1191"/>
      <c r="L202" s="1191"/>
      <c r="M202" s="1191"/>
      <c r="N202" s="1191"/>
      <c r="O202" s="1191"/>
      <c r="P202" s="1199"/>
      <c r="Q202" s="1191"/>
      <c r="R202" s="1191"/>
      <c r="S202" s="1191"/>
      <c r="T202" s="1191"/>
      <c r="U202" s="1191"/>
      <c r="V202" s="1191"/>
      <c r="W202" s="1191"/>
      <c r="X202" s="1191"/>
      <c r="Y202" s="1191"/>
      <c r="Z202" s="1191"/>
      <c r="AA202" s="1191"/>
      <c r="AB202" s="1210"/>
      <c r="AC202" s="1210"/>
      <c r="AD202" s="1210"/>
      <c r="AE202" s="1210"/>
      <c r="AF202" s="1210"/>
      <c r="AG202" s="1210"/>
      <c r="AH202" s="1210"/>
      <c r="AI202" s="1211"/>
      <c r="AJ202" s="1211"/>
      <c r="AK202" s="1211"/>
    </row>
    <row r="203" spans="1:37" s="1179" customFormat="1">
      <c r="A203" s="1188"/>
      <c r="B203" s="1188"/>
      <c r="C203" s="1188"/>
      <c r="D203" s="1210"/>
      <c r="E203" s="1210"/>
      <c r="F203" s="1210"/>
      <c r="G203" s="1191"/>
      <c r="H203" s="1191"/>
      <c r="I203" s="1199"/>
      <c r="J203" s="1191"/>
      <c r="K203" s="1191"/>
      <c r="L203" s="1191"/>
      <c r="M203" s="1191"/>
      <c r="N203" s="1191"/>
      <c r="O203" s="1191"/>
      <c r="P203" s="1199"/>
      <c r="Q203" s="1191"/>
      <c r="R203" s="1191"/>
      <c r="S203" s="1191"/>
      <c r="T203" s="1191"/>
      <c r="U203" s="1191"/>
      <c r="V203" s="1191"/>
      <c r="W203" s="1191"/>
      <c r="X203" s="1191"/>
      <c r="Y203" s="1191"/>
      <c r="Z203" s="1191"/>
      <c r="AA203" s="1191"/>
      <c r="AB203" s="1210"/>
      <c r="AC203" s="1210"/>
      <c r="AD203" s="1210"/>
      <c r="AE203" s="1210"/>
      <c r="AF203" s="1210"/>
      <c r="AG203" s="1210"/>
      <c r="AH203" s="1210"/>
      <c r="AI203" s="1211"/>
      <c r="AJ203" s="1211"/>
      <c r="AK203" s="1211"/>
    </row>
    <row r="204" spans="1:37" s="1179" customFormat="1">
      <c r="A204" s="1188"/>
      <c r="B204" s="1188"/>
      <c r="C204" s="1188"/>
      <c r="D204" s="1210"/>
      <c r="E204" s="1210"/>
      <c r="F204" s="1210"/>
      <c r="G204" s="1191"/>
      <c r="H204" s="1191"/>
      <c r="I204" s="1199"/>
      <c r="J204" s="1191"/>
      <c r="K204" s="1191"/>
      <c r="L204" s="1191"/>
      <c r="M204" s="1191"/>
      <c r="N204" s="1191"/>
      <c r="O204" s="1191"/>
      <c r="P204" s="1199"/>
      <c r="Q204" s="1191"/>
      <c r="R204" s="1191"/>
      <c r="S204" s="1191"/>
      <c r="T204" s="1191"/>
      <c r="U204" s="1191"/>
      <c r="V204" s="1191"/>
      <c r="W204" s="1191"/>
      <c r="X204" s="1191"/>
      <c r="Y204" s="1191"/>
      <c r="Z204" s="1191"/>
      <c r="AA204" s="1191"/>
      <c r="AB204" s="1210"/>
      <c r="AC204" s="1210"/>
      <c r="AD204" s="1210"/>
      <c r="AE204" s="1210"/>
      <c r="AF204" s="1210"/>
      <c r="AG204" s="1210"/>
      <c r="AH204" s="1210"/>
      <c r="AI204" s="1211"/>
      <c r="AJ204" s="1211"/>
      <c r="AK204" s="1211"/>
    </row>
    <row r="205" spans="1:37" s="1179" customFormat="1">
      <c r="A205" s="1188"/>
      <c r="B205" s="1188"/>
      <c r="C205" s="1188"/>
      <c r="D205" s="1210"/>
      <c r="E205" s="1210"/>
      <c r="F205" s="1210"/>
      <c r="G205" s="1191"/>
      <c r="H205" s="1191"/>
      <c r="I205" s="1199"/>
      <c r="J205" s="1191"/>
      <c r="K205" s="1191"/>
      <c r="L205" s="1191"/>
      <c r="M205" s="1191"/>
      <c r="N205" s="1191"/>
      <c r="O205" s="1191"/>
      <c r="P205" s="1199"/>
      <c r="Q205" s="1191"/>
      <c r="R205" s="1191"/>
      <c r="S205" s="1191"/>
      <c r="T205" s="1191"/>
      <c r="U205" s="1191"/>
      <c r="V205" s="1191"/>
      <c r="W205" s="1191"/>
      <c r="X205" s="1191"/>
      <c r="Y205" s="1191"/>
      <c r="Z205" s="1191"/>
      <c r="AA205" s="1191"/>
      <c r="AB205" s="1210"/>
      <c r="AC205" s="1210"/>
      <c r="AD205" s="1210"/>
      <c r="AE205" s="1210"/>
      <c r="AF205" s="1210"/>
      <c r="AG205" s="1210"/>
      <c r="AH205" s="1210"/>
      <c r="AI205" s="1211"/>
      <c r="AJ205" s="1211"/>
      <c r="AK205" s="1211"/>
    </row>
    <row r="206" spans="1:37" s="1179" customFormat="1">
      <c r="A206" s="1188"/>
      <c r="B206" s="1188"/>
      <c r="C206" s="1188"/>
      <c r="D206" s="1210"/>
      <c r="E206" s="1210"/>
      <c r="F206" s="1210"/>
      <c r="G206" s="1191"/>
      <c r="H206" s="1191"/>
      <c r="I206" s="1199"/>
      <c r="J206" s="1191"/>
      <c r="K206" s="1191"/>
      <c r="L206" s="1191"/>
      <c r="M206" s="1191"/>
      <c r="N206" s="1191"/>
      <c r="O206" s="1191"/>
      <c r="P206" s="1199"/>
      <c r="Q206" s="1191"/>
      <c r="R206" s="1191"/>
      <c r="S206" s="1191"/>
      <c r="T206" s="1191"/>
      <c r="U206" s="1191"/>
      <c r="V206" s="1191"/>
      <c r="W206" s="1191"/>
      <c r="X206" s="1191"/>
      <c r="Y206" s="1191"/>
      <c r="Z206" s="1191"/>
      <c r="AA206" s="1191"/>
      <c r="AB206" s="1210"/>
      <c r="AC206" s="1210"/>
      <c r="AD206" s="1210"/>
      <c r="AE206" s="1210"/>
      <c r="AF206" s="1210"/>
      <c r="AG206" s="1210"/>
      <c r="AH206" s="1210"/>
      <c r="AI206" s="1211"/>
      <c r="AJ206" s="1211"/>
      <c r="AK206" s="1211"/>
    </row>
    <row r="207" spans="1:37" s="1179" customFormat="1">
      <c r="A207" s="1188"/>
      <c r="B207" s="1188"/>
      <c r="C207" s="1188"/>
      <c r="D207" s="1210"/>
      <c r="E207" s="1210"/>
      <c r="F207" s="1210"/>
      <c r="G207" s="1191"/>
      <c r="H207" s="1191"/>
      <c r="I207" s="1199"/>
      <c r="J207" s="1191"/>
      <c r="K207" s="1191"/>
      <c r="L207" s="1191"/>
      <c r="M207" s="1191"/>
      <c r="N207" s="1191"/>
      <c r="O207" s="1191"/>
      <c r="P207" s="1199"/>
      <c r="Q207" s="1191"/>
      <c r="R207" s="1191"/>
      <c r="S207" s="1191"/>
      <c r="T207" s="1191"/>
      <c r="U207" s="1191"/>
      <c r="V207" s="1191"/>
      <c r="W207" s="1191"/>
      <c r="X207" s="1191"/>
      <c r="Y207" s="1191"/>
      <c r="Z207" s="1191"/>
      <c r="AA207" s="1191"/>
      <c r="AB207" s="1210"/>
      <c r="AC207" s="1210"/>
      <c r="AD207" s="1210"/>
      <c r="AE207" s="1210"/>
      <c r="AF207" s="1210"/>
      <c r="AG207" s="1210"/>
      <c r="AH207" s="1210"/>
      <c r="AI207" s="1211"/>
      <c r="AJ207" s="1211"/>
      <c r="AK207" s="1211"/>
    </row>
    <row r="208" spans="1:37" s="1179" customFormat="1">
      <c r="A208" s="1188"/>
      <c r="B208" s="1188"/>
      <c r="C208" s="1188"/>
      <c r="D208" s="1210"/>
      <c r="E208" s="1210"/>
      <c r="F208" s="1210"/>
      <c r="G208" s="1191"/>
      <c r="H208" s="1191"/>
      <c r="I208" s="1199"/>
      <c r="J208" s="1191"/>
      <c r="K208" s="1191"/>
      <c r="L208" s="1191"/>
      <c r="M208" s="1191"/>
      <c r="N208" s="1191"/>
      <c r="O208" s="1191"/>
      <c r="P208" s="1199"/>
      <c r="Q208" s="1191"/>
      <c r="R208" s="1191"/>
      <c r="S208" s="1191"/>
      <c r="T208" s="1191"/>
      <c r="U208" s="1191"/>
      <c r="V208" s="1191"/>
      <c r="W208" s="1191"/>
      <c r="X208" s="1191"/>
      <c r="Y208" s="1191"/>
      <c r="Z208" s="1191"/>
      <c r="AA208" s="1191"/>
      <c r="AB208" s="1210"/>
      <c r="AC208" s="1210"/>
      <c r="AD208" s="1210"/>
      <c r="AE208" s="1210"/>
      <c r="AF208" s="1210"/>
      <c r="AG208" s="1210"/>
      <c r="AH208" s="1210"/>
      <c r="AI208" s="1211"/>
      <c r="AJ208" s="1211"/>
      <c r="AK208" s="1211"/>
    </row>
    <row r="209" spans="1:37" s="1179" customFormat="1">
      <c r="A209" s="1188"/>
      <c r="B209" s="1188"/>
      <c r="C209" s="1188"/>
      <c r="D209" s="1210"/>
      <c r="E209" s="1210"/>
      <c r="F209" s="1210"/>
      <c r="G209" s="1191"/>
      <c r="H209" s="1191"/>
      <c r="I209" s="1199"/>
      <c r="J209" s="1191"/>
      <c r="K209" s="1191"/>
      <c r="L209" s="1191"/>
      <c r="M209" s="1191"/>
      <c r="N209" s="1191"/>
      <c r="O209" s="1191"/>
      <c r="P209" s="1199"/>
      <c r="Q209" s="1191"/>
      <c r="R209" s="1191"/>
      <c r="S209" s="1191"/>
      <c r="T209" s="1191"/>
      <c r="U209" s="1191"/>
      <c r="V209" s="1191"/>
      <c r="W209" s="1191"/>
      <c r="X209" s="1191"/>
      <c r="Y209" s="1191"/>
      <c r="Z209" s="1191"/>
      <c r="AA209" s="1191"/>
      <c r="AB209" s="1210"/>
      <c r="AC209" s="1210"/>
      <c r="AD209" s="1210"/>
      <c r="AE209" s="1210"/>
      <c r="AF209" s="1210"/>
      <c r="AG209" s="1210"/>
      <c r="AH209" s="1210"/>
      <c r="AI209" s="1211"/>
      <c r="AJ209" s="1211"/>
      <c r="AK209" s="1211"/>
    </row>
    <row r="210" spans="1:37" s="1179" customFormat="1">
      <c r="A210" s="1188"/>
      <c r="B210" s="1188"/>
      <c r="C210" s="1188"/>
      <c r="D210" s="1210"/>
      <c r="E210" s="1210"/>
      <c r="F210" s="1210"/>
      <c r="G210" s="1191"/>
      <c r="H210" s="1191"/>
      <c r="I210" s="1199"/>
      <c r="J210" s="1191"/>
      <c r="K210" s="1191"/>
      <c r="L210" s="1191"/>
      <c r="M210" s="1191"/>
      <c r="N210" s="1191"/>
      <c r="O210" s="1191"/>
      <c r="P210" s="1199"/>
      <c r="Q210" s="1191"/>
      <c r="R210" s="1191"/>
      <c r="S210" s="1191"/>
      <c r="T210" s="1191"/>
      <c r="U210" s="1191"/>
      <c r="V210" s="1191"/>
      <c r="W210" s="1191"/>
      <c r="X210" s="1191"/>
      <c r="Y210" s="1191"/>
      <c r="Z210" s="1191"/>
      <c r="AA210" s="1191"/>
      <c r="AB210" s="1210"/>
      <c r="AC210" s="1210"/>
      <c r="AD210" s="1210"/>
      <c r="AE210" s="1210"/>
      <c r="AF210" s="1210"/>
      <c r="AG210" s="1210"/>
      <c r="AH210" s="1210"/>
      <c r="AI210" s="1211"/>
      <c r="AJ210" s="1211"/>
      <c r="AK210" s="1211"/>
    </row>
    <row r="211" spans="1:37" s="1179" customFormat="1">
      <c r="A211" s="1188"/>
      <c r="B211" s="1188"/>
      <c r="C211" s="1188"/>
      <c r="D211" s="1210"/>
      <c r="E211" s="1210"/>
      <c r="F211" s="1210"/>
      <c r="G211" s="1191"/>
      <c r="H211" s="1191"/>
      <c r="I211" s="1199"/>
      <c r="J211" s="1191"/>
      <c r="K211" s="1191"/>
      <c r="L211" s="1191"/>
      <c r="M211" s="1191"/>
      <c r="N211" s="1191"/>
      <c r="O211" s="1191"/>
      <c r="P211" s="1199"/>
      <c r="Q211" s="1191"/>
      <c r="R211" s="1191"/>
      <c r="S211" s="1191"/>
      <c r="T211" s="1191"/>
      <c r="U211" s="1191"/>
      <c r="V211" s="1191"/>
      <c r="W211" s="1191"/>
      <c r="X211" s="1191"/>
      <c r="Y211" s="1191"/>
      <c r="Z211" s="1191"/>
      <c r="AA211" s="1191"/>
      <c r="AB211" s="1210"/>
      <c r="AC211" s="1210"/>
      <c r="AD211" s="1210"/>
      <c r="AE211" s="1210"/>
      <c r="AF211" s="1210"/>
      <c r="AG211" s="1210"/>
      <c r="AH211" s="1210"/>
      <c r="AI211" s="1211"/>
      <c r="AJ211" s="1211"/>
      <c r="AK211" s="1211"/>
    </row>
    <row r="212" spans="1:37" s="1179" customFormat="1">
      <c r="A212" s="1188"/>
      <c r="B212" s="1188"/>
      <c r="C212" s="1188"/>
      <c r="D212" s="1210"/>
      <c r="E212" s="1210"/>
      <c r="F212" s="1210"/>
      <c r="G212" s="1191"/>
      <c r="H212" s="1191"/>
      <c r="I212" s="1199"/>
      <c r="J212" s="1191"/>
      <c r="K212" s="1191"/>
      <c r="L212" s="1191"/>
      <c r="M212" s="1191"/>
      <c r="N212" s="1191"/>
      <c r="O212" s="1191"/>
      <c r="P212" s="1199"/>
      <c r="Q212" s="1191"/>
      <c r="R212" s="1191"/>
      <c r="S212" s="1191"/>
      <c r="T212" s="1191"/>
      <c r="U212" s="1191"/>
      <c r="V212" s="1191"/>
      <c r="W212" s="1191"/>
      <c r="X212" s="1191"/>
      <c r="Y212" s="1191"/>
      <c r="Z212" s="1191"/>
      <c r="AA212" s="1191"/>
      <c r="AB212" s="1210"/>
      <c r="AC212" s="1210"/>
      <c r="AD212" s="1210"/>
      <c r="AE212" s="1210"/>
      <c r="AF212" s="1210"/>
      <c r="AG212" s="1210"/>
      <c r="AH212" s="1210"/>
      <c r="AI212" s="1211"/>
      <c r="AJ212" s="1211"/>
      <c r="AK212" s="1211"/>
    </row>
    <row r="213" spans="1:37" s="1179" customFormat="1">
      <c r="A213" s="1188"/>
      <c r="B213" s="1188"/>
      <c r="C213" s="1188"/>
      <c r="D213" s="1210"/>
      <c r="E213" s="1210"/>
      <c r="F213" s="1210"/>
      <c r="G213" s="1191"/>
      <c r="H213" s="1191"/>
      <c r="I213" s="1199"/>
      <c r="J213" s="1191"/>
      <c r="K213" s="1191"/>
      <c r="L213" s="1191"/>
      <c r="M213" s="1191"/>
      <c r="N213" s="1191"/>
      <c r="O213" s="1191"/>
      <c r="P213" s="1199"/>
      <c r="Q213" s="1191"/>
      <c r="R213" s="1191"/>
      <c r="S213" s="1191"/>
      <c r="T213" s="1191"/>
      <c r="U213" s="1191"/>
      <c r="V213" s="1191"/>
      <c r="W213" s="1191"/>
      <c r="X213" s="1191"/>
      <c r="Y213" s="1191"/>
      <c r="Z213" s="1191"/>
      <c r="AA213" s="1191"/>
      <c r="AB213" s="1210"/>
      <c r="AC213" s="1210"/>
      <c r="AD213" s="1210"/>
      <c r="AE213" s="1210"/>
      <c r="AF213" s="1210"/>
      <c r="AG213" s="1210"/>
      <c r="AH213" s="1210"/>
      <c r="AI213" s="1211"/>
      <c r="AJ213" s="1211"/>
      <c r="AK213" s="1211"/>
    </row>
    <row r="214" spans="1:37" s="1179" customFormat="1">
      <c r="A214" s="1188"/>
      <c r="B214" s="1188"/>
      <c r="C214" s="1188"/>
      <c r="D214" s="1210"/>
      <c r="E214" s="1210"/>
      <c r="F214" s="1210"/>
      <c r="G214" s="1191"/>
      <c r="H214" s="1191"/>
      <c r="I214" s="1199"/>
      <c r="J214" s="1191"/>
      <c r="K214" s="1191"/>
      <c r="L214" s="1191"/>
      <c r="M214" s="1191"/>
      <c r="N214" s="1191"/>
      <c r="O214" s="1191"/>
      <c r="P214" s="1199"/>
      <c r="Q214" s="1191"/>
      <c r="R214" s="1191"/>
      <c r="S214" s="1191"/>
      <c r="T214" s="1191"/>
      <c r="U214" s="1191"/>
      <c r="V214" s="1191"/>
      <c r="W214" s="1191"/>
      <c r="X214" s="1191"/>
      <c r="Y214" s="1191"/>
      <c r="Z214" s="1191"/>
      <c r="AA214" s="1191"/>
      <c r="AB214" s="1210"/>
      <c r="AC214" s="1210"/>
      <c r="AD214" s="1210"/>
      <c r="AE214" s="1210"/>
      <c r="AF214" s="1210"/>
      <c r="AG214" s="1210"/>
      <c r="AH214" s="1210"/>
      <c r="AI214" s="1211"/>
      <c r="AJ214" s="1211"/>
      <c r="AK214" s="1211"/>
    </row>
    <row r="215" spans="1:37" s="1179" customFormat="1">
      <c r="A215" s="1188"/>
      <c r="B215" s="1188"/>
      <c r="C215" s="1188"/>
      <c r="D215" s="1210"/>
      <c r="E215" s="1210"/>
      <c r="F215" s="1210"/>
      <c r="G215" s="1191"/>
      <c r="H215" s="1191"/>
      <c r="I215" s="1199"/>
      <c r="J215" s="1191"/>
      <c r="K215" s="1191"/>
      <c r="L215" s="1191"/>
      <c r="M215" s="1191"/>
      <c r="N215" s="1191"/>
      <c r="O215" s="1191"/>
      <c r="P215" s="1199"/>
      <c r="Q215" s="1191"/>
      <c r="R215" s="1191"/>
      <c r="S215" s="1191"/>
      <c r="T215" s="1191"/>
      <c r="U215" s="1191"/>
      <c r="V215" s="1191"/>
      <c r="W215" s="1191"/>
      <c r="X215" s="1191"/>
      <c r="Y215" s="1191"/>
      <c r="Z215" s="1191"/>
      <c r="AA215" s="1191"/>
      <c r="AB215" s="1210"/>
      <c r="AC215" s="1210"/>
      <c r="AD215" s="1210"/>
      <c r="AE215" s="1210"/>
      <c r="AF215" s="1210"/>
      <c r="AG215" s="1210"/>
      <c r="AH215" s="1210"/>
      <c r="AI215" s="1211"/>
      <c r="AJ215" s="1211"/>
      <c r="AK215" s="1211"/>
    </row>
    <row r="216" spans="1:37" s="1179" customFormat="1">
      <c r="A216" s="1188"/>
      <c r="B216" s="1188"/>
      <c r="C216" s="1188"/>
      <c r="D216" s="1210"/>
      <c r="E216" s="1210"/>
      <c r="F216" s="1210"/>
      <c r="G216" s="1191"/>
      <c r="H216" s="1191"/>
      <c r="I216" s="1199"/>
      <c r="J216" s="1191"/>
      <c r="K216" s="1191"/>
      <c r="L216" s="1191"/>
      <c r="M216" s="1191"/>
      <c r="N216" s="1191"/>
      <c r="O216" s="1191"/>
      <c r="P216" s="1199"/>
      <c r="Q216" s="1191"/>
      <c r="R216" s="1191"/>
      <c r="S216" s="1191"/>
      <c r="T216" s="1191"/>
      <c r="U216" s="1191"/>
      <c r="V216" s="1191"/>
      <c r="W216" s="1191"/>
      <c r="X216" s="1191"/>
      <c r="Y216" s="1191"/>
      <c r="Z216" s="1191"/>
      <c r="AA216" s="1191"/>
      <c r="AB216" s="1210"/>
      <c r="AC216" s="1210"/>
      <c r="AD216" s="1210"/>
      <c r="AE216" s="1210"/>
      <c r="AF216" s="1210"/>
      <c r="AG216" s="1210"/>
      <c r="AH216" s="1210"/>
      <c r="AI216" s="1211"/>
      <c r="AJ216" s="1211"/>
      <c r="AK216" s="1211"/>
    </row>
    <row r="217" spans="1:37" s="1179" customFormat="1">
      <c r="A217" s="1188"/>
      <c r="B217" s="1188"/>
      <c r="C217" s="1188"/>
      <c r="D217" s="1210"/>
      <c r="E217" s="1210"/>
      <c r="F217" s="1210"/>
      <c r="G217" s="1191"/>
      <c r="H217" s="1191"/>
      <c r="I217" s="1199"/>
      <c r="J217" s="1191"/>
      <c r="K217" s="1191"/>
      <c r="L217" s="1191"/>
      <c r="M217" s="1191"/>
      <c r="N217" s="1191"/>
      <c r="O217" s="1191"/>
      <c r="P217" s="1199"/>
      <c r="Q217" s="1191"/>
      <c r="R217" s="1191"/>
      <c r="S217" s="1191"/>
      <c r="T217" s="1191"/>
      <c r="U217" s="1191"/>
      <c r="V217" s="1191"/>
      <c r="W217" s="1191"/>
      <c r="X217" s="1191"/>
      <c r="Y217" s="1191"/>
      <c r="Z217" s="1191"/>
      <c r="AA217" s="1191"/>
      <c r="AB217" s="1210"/>
      <c r="AC217" s="1210"/>
      <c r="AD217" s="1210"/>
      <c r="AE217" s="1210"/>
      <c r="AF217" s="1210"/>
      <c r="AG217" s="1210"/>
      <c r="AH217" s="1210"/>
      <c r="AI217" s="1211"/>
      <c r="AJ217" s="1211"/>
      <c r="AK217" s="1211"/>
    </row>
    <row r="218" spans="1:37" s="1179" customFormat="1">
      <c r="A218" s="1188"/>
      <c r="B218" s="1188"/>
      <c r="C218" s="1188"/>
      <c r="D218" s="1210"/>
      <c r="E218" s="1210"/>
      <c r="F218" s="1210"/>
      <c r="G218" s="1191"/>
      <c r="H218" s="1191"/>
      <c r="I218" s="1199"/>
      <c r="J218" s="1191"/>
      <c r="K218" s="1191"/>
      <c r="L218" s="1191"/>
      <c r="M218" s="1191"/>
      <c r="N218" s="1191"/>
      <c r="O218" s="1191"/>
      <c r="P218" s="1199"/>
      <c r="Q218" s="1191"/>
      <c r="R218" s="1191"/>
      <c r="S218" s="1191"/>
      <c r="T218" s="1191"/>
      <c r="U218" s="1191"/>
      <c r="V218" s="1191"/>
      <c r="W218" s="1191"/>
      <c r="X218" s="1191"/>
      <c r="Y218" s="1191"/>
      <c r="Z218" s="1191"/>
      <c r="AA218" s="1191"/>
      <c r="AB218" s="1210"/>
      <c r="AC218" s="1210"/>
      <c r="AD218" s="1210"/>
      <c r="AE218" s="1210"/>
      <c r="AF218" s="1210"/>
      <c r="AG218" s="1210"/>
      <c r="AH218" s="1210"/>
      <c r="AI218" s="1211"/>
      <c r="AJ218" s="1211"/>
      <c r="AK218" s="1211"/>
    </row>
    <row r="219" spans="1:37" s="1179" customFormat="1">
      <c r="A219" s="1188"/>
      <c r="B219" s="1188"/>
      <c r="C219" s="1188"/>
      <c r="D219" s="1210"/>
      <c r="E219" s="1210"/>
      <c r="F219" s="1210"/>
      <c r="G219" s="1191"/>
      <c r="H219" s="1191"/>
      <c r="I219" s="1199"/>
      <c r="J219" s="1191"/>
      <c r="K219" s="1191"/>
      <c r="L219" s="1191"/>
      <c r="M219" s="1191"/>
      <c r="N219" s="1191"/>
      <c r="O219" s="1191"/>
      <c r="P219" s="1199"/>
      <c r="Q219" s="1191"/>
      <c r="R219" s="1191"/>
      <c r="S219" s="1191"/>
      <c r="T219" s="1191"/>
      <c r="U219" s="1191"/>
      <c r="V219" s="1191"/>
      <c r="W219" s="1191"/>
      <c r="X219" s="1191"/>
      <c r="Y219" s="1191"/>
      <c r="Z219" s="1191"/>
      <c r="AA219" s="1191"/>
      <c r="AB219" s="1210"/>
      <c r="AC219" s="1210"/>
      <c r="AD219" s="1210"/>
      <c r="AE219" s="1210"/>
      <c r="AF219" s="1210"/>
      <c r="AG219" s="1210"/>
      <c r="AH219" s="1210"/>
      <c r="AI219" s="1211"/>
      <c r="AJ219" s="1211"/>
      <c r="AK219" s="1211"/>
    </row>
    <row r="220" spans="1:37" s="1179" customFormat="1">
      <c r="A220" s="1188"/>
      <c r="B220" s="1188"/>
      <c r="C220" s="1188"/>
      <c r="D220" s="1210"/>
      <c r="E220" s="1210"/>
      <c r="F220" s="1210"/>
      <c r="G220" s="1191"/>
      <c r="H220" s="1191"/>
      <c r="I220" s="1199"/>
      <c r="J220" s="1191"/>
      <c r="K220" s="1191"/>
      <c r="L220" s="1191"/>
      <c r="M220" s="1191"/>
      <c r="N220" s="1191"/>
      <c r="O220" s="1191"/>
      <c r="P220" s="1199"/>
      <c r="Q220" s="1191"/>
      <c r="R220" s="1191"/>
      <c r="S220" s="1191"/>
      <c r="T220" s="1191"/>
      <c r="U220" s="1191"/>
      <c r="V220" s="1191"/>
      <c r="W220" s="1191"/>
      <c r="X220" s="1191"/>
      <c r="Y220" s="1191"/>
      <c r="Z220" s="1191"/>
      <c r="AA220" s="1191"/>
      <c r="AB220" s="1210"/>
      <c r="AC220" s="1210"/>
      <c r="AD220" s="1210"/>
      <c r="AE220" s="1210"/>
      <c r="AF220" s="1210"/>
      <c r="AG220" s="1210"/>
      <c r="AH220" s="1210"/>
      <c r="AI220" s="1211"/>
      <c r="AJ220" s="1211"/>
      <c r="AK220" s="1211"/>
    </row>
    <row r="221" spans="1:37" s="1179" customFormat="1">
      <c r="A221" s="1188"/>
      <c r="B221" s="1188"/>
      <c r="C221" s="1188"/>
      <c r="D221" s="1210"/>
      <c r="E221" s="1210"/>
      <c r="F221" s="1210"/>
      <c r="G221" s="1191"/>
      <c r="H221" s="1191"/>
      <c r="I221" s="1199"/>
      <c r="J221" s="1191"/>
      <c r="K221" s="1191"/>
      <c r="L221" s="1191"/>
      <c r="M221" s="1191"/>
      <c r="N221" s="1191"/>
      <c r="O221" s="1191"/>
      <c r="P221" s="1199"/>
      <c r="Q221" s="1191"/>
      <c r="R221" s="1191"/>
      <c r="S221" s="1191"/>
      <c r="T221" s="1191"/>
      <c r="U221" s="1191"/>
      <c r="V221" s="1191"/>
      <c r="W221" s="1191"/>
      <c r="X221" s="1191"/>
      <c r="Y221" s="1191"/>
      <c r="Z221" s="1191"/>
      <c r="AA221" s="1191"/>
      <c r="AB221" s="1210"/>
      <c r="AC221" s="1210"/>
      <c r="AD221" s="1210"/>
      <c r="AE221" s="1210"/>
      <c r="AF221" s="1210"/>
      <c r="AG221" s="1210"/>
      <c r="AH221" s="1210"/>
      <c r="AI221" s="1211"/>
      <c r="AJ221" s="1211"/>
      <c r="AK221" s="1211"/>
    </row>
    <row r="222" spans="1:37" s="1179" customFormat="1">
      <c r="A222" s="1188"/>
      <c r="B222" s="1188"/>
      <c r="C222" s="1188"/>
      <c r="D222" s="1210"/>
      <c r="E222" s="1210"/>
      <c r="F222" s="1210"/>
      <c r="G222" s="1191"/>
      <c r="H222" s="1191"/>
      <c r="I222" s="1199"/>
      <c r="J222" s="1191"/>
      <c r="K222" s="1191"/>
      <c r="L222" s="1191"/>
      <c r="M222" s="1191"/>
      <c r="N222" s="1191"/>
      <c r="O222" s="1191"/>
      <c r="P222" s="1199"/>
      <c r="Q222" s="1191"/>
      <c r="R222" s="1191"/>
      <c r="S222" s="1191"/>
      <c r="T222" s="1191"/>
      <c r="U222" s="1191"/>
      <c r="V222" s="1191"/>
      <c r="W222" s="1191"/>
      <c r="X222" s="1191"/>
      <c r="Y222" s="1191"/>
      <c r="Z222" s="1191"/>
      <c r="AA222" s="1191"/>
      <c r="AB222" s="1210"/>
      <c r="AC222" s="1210"/>
      <c r="AD222" s="1210"/>
      <c r="AE222" s="1210"/>
      <c r="AF222" s="1210"/>
      <c r="AG222" s="1210"/>
      <c r="AH222" s="1210"/>
      <c r="AI222" s="1211"/>
      <c r="AJ222" s="1211"/>
      <c r="AK222" s="1211"/>
    </row>
    <row r="223" spans="1:37" s="1179" customFormat="1">
      <c r="A223" s="1188"/>
      <c r="B223" s="1188"/>
      <c r="C223" s="1188"/>
      <c r="D223" s="1210"/>
      <c r="E223" s="1210"/>
      <c r="F223" s="1210"/>
      <c r="G223" s="1191"/>
      <c r="H223" s="1191"/>
      <c r="I223" s="1199"/>
      <c r="J223" s="1191"/>
      <c r="K223" s="1191"/>
      <c r="L223" s="1191"/>
      <c r="M223" s="1191"/>
      <c r="N223" s="1191"/>
      <c r="O223" s="1191"/>
      <c r="P223" s="1199"/>
      <c r="Q223" s="1191"/>
      <c r="R223" s="1191"/>
      <c r="S223" s="1191"/>
      <c r="T223" s="1191"/>
      <c r="U223" s="1191"/>
      <c r="V223" s="1191"/>
      <c r="W223" s="1191"/>
      <c r="X223" s="1191"/>
      <c r="Y223" s="1191"/>
      <c r="Z223" s="1191"/>
      <c r="AA223" s="1191"/>
      <c r="AB223" s="1210"/>
      <c r="AC223" s="1210"/>
      <c r="AD223" s="1210"/>
      <c r="AE223" s="1210"/>
      <c r="AF223" s="1210"/>
      <c r="AG223" s="1210"/>
      <c r="AH223" s="1210"/>
      <c r="AI223" s="1211"/>
      <c r="AJ223" s="1211"/>
      <c r="AK223" s="1211"/>
    </row>
    <row r="224" spans="1:37" s="1179" customFormat="1">
      <c r="A224" s="1188"/>
      <c r="B224" s="1188"/>
      <c r="C224" s="1188"/>
      <c r="D224" s="1210"/>
      <c r="E224" s="1210"/>
      <c r="F224" s="1210"/>
      <c r="G224" s="1191"/>
      <c r="H224" s="1191"/>
      <c r="I224" s="1199"/>
      <c r="J224" s="1191"/>
      <c r="K224" s="1191"/>
      <c r="L224" s="1191"/>
      <c r="M224" s="1191"/>
      <c r="N224" s="1191"/>
      <c r="O224" s="1191"/>
      <c r="P224" s="1199"/>
      <c r="Q224" s="1191"/>
      <c r="R224" s="1191"/>
      <c r="S224" s="1191"/>
      <c r="T224" s="1191"/>
      <c r="U224" s="1191"/>
      <c r="V224" s="1191"/>
      <c r="W224" s="1191"/>
      <c r="X224" s="1191"/>
      <c r="Y224" s="1191"/>
      <c r="Z224" s="1191"/>
      <c r="AA224" s="1191"/>
      <c r="AB224" s="1210"/>
      <c r="AC224" s="1210"/>
      <c r="AD224" s="1210"/>
      <c r="AE224" s="1210"/>
      <c r="AF224" s="1210"/>
      <c r="AG224" s="1210"/>
      <c r="AH224" s="1210"/>
      <c r="AI224" s="1211"/>
      <c r="AJ224" s="1211"/>
      <c r="AK224" s="1211"/>
    </row>
    <row r="225" spans="1:37" s="1179" customFormat="1">
      <c r="A225" s="1188"/>
      <c r="B225" s="1188"/>
      <c r="C225" s="1188"/>
      <c r="D225" s="1210"/>
      <c r="E225" s="1210"/>
      <c r="F225" s="1210"/>
      <c r="G225" s="1191"/>
      <c r="H225" s="1191"/>
      <c r="I225" s="1199"/>
      <c r="J225" s="1191"/>
      <c r="K225" s="1191"/>
      <c r="L225" s="1191"/>
      <c r="M225" s="1191"/>
      <c r="N225" s="1191"/>
      <c r="O225" s="1191"/>
      <c r="P225" s="1199"/>
      <c r="Q225" s="1191"/>
      <c r="R225" s="1191"/>
      <c r="S225" s="1191"/>
      <c r="T225" s="1191"/>
      <c r="U225" s="1191"/>
      <c r="V225" s="1191"/>
      <c r="W225" s="1191"/>
      <c r="X225" s="1191"/>
      <c r="Y225" s="1191"/>
      <c r="Z225" s="1191"/>
      <c r="AA225" s="1191"/>
      <c r="AB225" s="1210"/>
      <c r="AC225" s="1210"/>
      <c r="AD225" s="1210"/>
      <c r="AE225" s="1210"/>
      <c r="AF225" s="1210"/>
      <c r="AG225" s="1210"/>
      <c r="AH225" s="1210"/>
      <c r="AI225" s="1211"/>
      <c r="AJ225" s="1211"/>
      <c r="AK225" s="1211"/>
    </row>
    <row r="226" spans="1:37" s="1179" customFormat="1">
      <c r="A226" s="1188"/>
      <c r="B226" s="1188"/>
      <c r="C226" s="1188"/>
      <c r="D226" s="1210"/>
      <c r="E226" s="1210"/>
      <c r="F226" s="1210"/>
      <c r="G226" s="1191"/>
      <c r="H226" s="1191"/>
      <c r="I226" s="1199"/>
      <c r="J226" s="1191"/>
      <c r="K226" s="1191"/>
      <c r="L226" s="1191"/>
      <c r="M226" s="1191"/>
      <c r="N226" s="1191"/>
      <c r="O226" s="1191"/>
      <c r="P226" s="1199"/>
      <c r="Q226" s="1191"/>
      <c r="R226" s="1191"/>
      <c r="S226" s="1191"/>
      <c r="T226" s="1191"/>
      <c r="U226" s="1191"/>
      <c r="V226" s="1191"/>
      <c r="W226" s="1191"/>
      <c r="X226" s="1191"/>
      <c r="Y226" s="1191"/>
      <c r="Z226" s="1191"/>
      <c r="AA226" s="1191"/>
      <c r="AB226" s="1210"/>
      <c r="AC226" s="1210"/>
      <c r="AD226" s="1210"/>
      <c r="AE226" s="1210"/>
      <c r="AF226" s="1210"/>
      <c r="AG226" s="1210"/>
      <c r="AH226" s="1210"/>
      <c r="AI226" s="1211"/>
      <c r="AJ226" s="1211"/>
      <c r="AK226" s="1211"/>
    </row>
    <row r="227" spans="1:37" s="1179" customFormat="1">
      <c r="A227" s="1188"/>
      <c r="B227" s="1188"/>
      <c r="C227" s="1188"/>
      <c r="D227" s="1210"/>
      <c r="E227" s="1210"/>
      <c r="F227" s="1210"/>
      <c r="G227" s="1191"/>
      <c r="H227" s="1191"/>
      <c r="I227" s="1199"/>
      <c r="J227" s="1191"/>
      <c r="K227" s="1191"/>
      <c r="L227" s="1191"/>
      <c r="M227" s="1191"/>
      <c r="N227" s="1191"/>
      <c r="O227" s="1191"/>
      <c r="P227" s="1199"/>
      <c r="Q227" s="1191"/>
      <c r="R227" s="1191"/>
      <c r="S227" s="1191"/>
      <c r="T227" s="1191"/>
      <c r="U227" s="1191"/>
      <c r="V227" s="1191"/>
      <c r="W227" s="1191"/>
      <c r="X227" s="1191"/>
      <c r="Y227" s="1191"/>
      <c r="Z227" s="1191"/>
      <c r="AA227" s="1191"/>
      <c r="AB227" s="1210"/>
      <c r="AC227" s="1210"/>
      <c r="AD227" s="1210"/>
      <c r="AE227" s="1210"/>
      <c r="AF227" s="1210"/>
      <c r="AG227" s="1210"/>
      <c r="AH227" s="1210"/>
      <c r="AI227" s="1211"/>
      <c r="AJ227" s="1211"/>
      <c r="AK227" s="1211"/>
    </row>
    <row r="228" spans="1:37" s="1179" customFormat="1">
      <c r="A228" s="1188"/>
      <c r="B228" s="1188"/>
      <c r="C228" s="1188"/>
      <c r="D228" s="1210"/>
      <c r="E228" s="1210"/>
      <c r="F228" s="1210"/>
      <c r="G228" s="1191"/>
      <c r="H228" s="1191"/>
      <c r="I228" s="1199"/>
      <c r="J228" s="1191"/>
      <c r="K228" s="1191"/>
      <c r="L228" s="1191"/>
      <c r="M228" s="1191"/>
      <c r="N228" s="1191"/>
      <c r="O228" s="1191"/>
      <c r="P228" s="1199"/>
      <c r="Q228" s="1191"/>
      <c r="R228" s="1191"/>
      <c r="S228" s="1191"/>
      <c r="T228" s="1191"/>
      <c r="U228" s="1191"/>
      <c r="V228" s="1191"/>
      <c r="W228" s="1191"/>
      <c r="X228" s="1191"/>
      <c r="Y228" s="1191"/>
      <c r="Z228" s="1191"/>
      <c r="AA228" s="1191"/>
      <c r="AB228" s="1210"/>
      <c r="AC228" s="1210"/>
      <c r="AD228" s="1210"/>
      <c r="AE228" s="1210"/>
      <c r="AF228" s="1210"/>
      <c r="AG228" s="1210"/>
      <c r="AH228" s="1210"/>
      <c r="AI228" s="1211"/>
      <c r="AJ228" s="1211"/>
      <c r="AK228" s="1211"/>
    </row>
    <row r="229" spans="1:37" s="1179" customFormat="1">
      <c r="A229" s="1188"/>
      <c r="B229" s="1188"/>
      <c r="C229" s="1188"/>
      <c r="D229" s="1210"/>
      <c r="E229" s="1210"/>
      <c r="F229" s="1210"/>
      <c r="G229" s="1191"/>
      <c r="H229" s="1191"/>
      <c r="I229" s="1199"/>
      <c r="J229" s="1191"/>
      <c r="K229" s="1191"/>
      <c r="L229" s="1191"/>
      <c r="M229" s="1191"/>
      <c r="N229" s="1191"/>
      <c r="O229" s="1191"/>
      <c r="P229" s="1199"/>
      <c r="Q229" s="1191"/>
      <c r="R229" s="1191"/>
      <c r="S229" s="1191"/>
      <c r="T229" s="1191"/>
      <c r="U229" s="1191"/>
      <c r="V229" s="1191"/>
      <c r="W229" s="1191"/>
      <c r="X229" s="1191"/>
      <c r="Y229" s="1191"/>
      <c r="Z229" s="1191"/>
      <c r="AA229" s="1191"/>
      <c r="AB229" s="1210"/>
      <c r="AC229" s="1210"/>
      <c r="AD229" s="1210"/>
      <c r="AE229" s="1210"/>
      <c r="AF229" s="1210"/>
      <c r="AG229" s="1210"/>
      <c r="AH229" s="1210"/>
      <c r="AI229" s="1211"/>
      <c r="AJ229" s="1211"/>
      <c r="AK229" s="1211"/>
    </row>
    <row r="230" spans="1:37" s="1179" customFormat="1">
      <c r="A230" s="1188"/>
      <c r="B230" s="1188"/>
      <c r="C230" s="1188"/>
      <c r="D230" s="1210"/>
      <c r="E230" s="1210"/>
      <c r="F230" s="1210"/>
      <c r="G230" s="1191"/>
      <c r="H230" s="1191"/>
      <c r="I230" s="1199"/>
      <c r="J230" s="1191"/>
      <c r="K230" s="1191"/>
      <c r="L230" s="1191"/>
      <c r="M230" s="1191"/>
      <c r="N230" s="1191"/>
      <c r="O230" s="1191"/>
      <c r="P230" s="1199"/>
      <c r="Q230" s="1191"/>
      <c r="R230" s="1191"/>
      <c r="S230" s="1191"/>
      <c r="T230" s="1191"/>
      <c r="U230" s="1191"/>
      <c r="V230" s="1191"/>
      <c r="W230" s="1191"/>
      <c r="X230" s="1191"/>
      <c r="Y230" s="1191"/>
      <c r="Z230" s="1191"/>
      <c r="AA230" s="1191"/>
      <c r="AB230" s="1210"/>
      <c r="AC230" s="1210"/>
      <c r="AD230" s="1210"/>
      <c r="AE230" s="1210"/>
      <c r="AF230" s="1210"/>
      <c r="AG230" s="1210"/>
      <c r="AH230" s="1210"/>
      <c r="AI230" s="1211"/>
      <c r="AJ230" s="1211"/>
      <c r="AK230" s="1211"/>
    </row>
    <row r="231" spans="1:37" s="1179" customFormat="1">
      <c r="A231" s="1188"/>
      <c r="B231" s="1188"/>
      <c r="C231" s="1188"/>
      <c r="D231" s="1210"/>
      <c r="E231" s="1210"/>
      <c r="F231" s="1210"/>
      <c r="G231" s="1191"/>
      <c r="H231" s="1191"/>
      <c r="I231" s="1199"/>
      <c r="J231" s="1191"/>
      <c r="K231" s="1191"/>
      <c r="L231" s="1191"/>
      <c r="M231" s="1191"/>
      <c r="N231" s="1191"/>
      <c r="O231" s="1191"/>
      <c r="P231" s="1199"/>
      <c r="Q231" s="1191"/>
      <c r="R231" s="1191"/>
      <c r="S231" s="1191"/>
      <c r="T231" s="1191"/>
      <c r="U231" s="1191"/>
      <c r="V231" s="1191"/>
      <c r="W231" s="1191"/>
      <c r="X231" s="1191"/>
      <c r="Y231" s="1191"/>
      <c r="Z231" s="1191"/>
      <c r="AA231" s="1191"/>
      <c r="AB231" s="1210"/>
      <c r="AC231" s="1210"/>
      <c r="AD231" s="1210"/>
      <c r="AE231" s="1210"/>
      <c r="AF231" s="1210"/>
      <c r="AG231" s="1210"/>
      <c r="AH231" s="1210"/>
      <c r="AI231" s="1211"/>
      <c r="AJ231" s="1211"/>
      <c r="AK231" s="1211"/>
    </row>
    <row r="232" spans="1:37" s="1179" customFormat="1">
      <c r="A232" s="1188"/>
      <c r="B232" s="1188"/>
      <c r="C232" s="1188"/>
      <c r="D232" s="1210"/>
      <c r="E232" s="1210"/>
      <c r="F232" s="1210"/>
      <c r="G232" s="1191"/>
      <c r="H232" s="1191"/>
      <c r="I232" s="1199"/>
      <c r="J232" s="1191"/>
      <c r="K232" s="1191"/>
      <c r="L232" s="1191"/>
      <c r="M232" s="1191"/>
      <c r="N232" s="1191"/>
      <c r="O232" s="1191"/>
      <c r="P232" s="1199"/>
      <c r="Q232" s="1191"/>
      <c r="R232" s="1191"/>
      <c r="S232" s="1191"/>
      <c r="T232" s="1191"/>
      <c r="U232" s="1191"/>
      <c r="V232" s="1191"/>
      <c r="W232" s="1191"/>
      <c r="X232" s="1191"/>
      <c r="Y232" s="1191"/>
      <c r="Z232" s="1191"/>
      <c r="AA232" s="1191"/>
      <c r="AB232" s="1210"/>
      <c r="AC232" s="1210"/>
      <c r="AD232" s="1210"/>
      <c r="AE232" s="1210"/>
      <c r="AF232" s="1210"/>
      <c r="AG232" s="1210"/>
      <c r="AH232" s="1210"/>
      <c r="AI232" s="1211"/>
      <c r="AJ232" s="1211"/>
      <c r="AK232" s="1211"/>
    </row>
    <row r="233" spans="1:37" s="1179" customFormat="1">
      <c r="A233" s="1188"/>
      <c r="B233" s="1188"/>
      <c r="C233" s="1188"/>
      <c r="D233" s="1210"/>
      <c r="E233" s="1210"/>
      <c r="F233" s="1210"/>
      <c r="G233" s="1191"/>
      <c r="H233" s="1191"/>
      <c r="I233" s="1199"/>
      <c r="J233" s="1191"/>
      <c r="K233" s="1191"/>
      <c r="L233" s="1191"/>
      <c r="M233" s="1191"/>
      <c r="N233" s="1191"/>
      <c r="O233" s="1191"/>
      <c r="P233" s="1199"/>
      <c r="Q233" s="1191"/>
      <c r="R233" s="1191"/>
      <c r="S233" s="1191"/>
      <c r="T233" s="1191"/>
      <c r="U233" s="1191"/>
      <c r="V233" s="1191"/>
      <c r="W233" s="1191"/>
      <c r="X233" s="1191"/>
      <c r="Y233" s="1191"/>
      <c r="Z233" s="1191"/>
      <c r="AA233" s="1191"/>
      <c r="AB233" s="1210"/>
      <c r="AC233" s="1210"/>
      <c r="AD233" s="1210"/>
      <c r="AE233" s="1210"/>
      <c r="AF233" s="1210"/>
      <c r="AG233" s="1210"/>
      <c r="AH233" s="1210"/>
      <c r="AI233" s="1211"/>
      <c r="AJ233" s="1211"/>
      <c r="AK233" s="1211"/>
    </row>
    <row r="234" spans="1:37" s="1179" customFormat="1">
      <c r="A234" s="1188"/>
      <c r="B234" s="1188"/>
      <c r="C234" s="1188"/>
      <c r="D234" s="1210"/>
      <c r="E234" s="1210"/>
      <c r="F234" s="1210"/>
      <c r="G234" s="1191"/>
      <c r="H234" s="1191"/>
      <c r="I234" s="1199"/>
      <c r="J234" s="1191"/>
      <c r="K234" s="1191"/>
      <c r="L234" s="1191"/>
      <c r="M234" s="1191"/>
      <c r="N234" s="1191"/>
      <c r="O234" s="1191"/>
      <c r="P234" s="1199"/>
      <c r="Q234" s="1191"/>
      <c r="R234" s="1191"/>
      <c r="S234" s="1191"/>
      <c r="T234" s="1191"/>
      <c r="U234" s="1191"/>
      <c r="V234" s="1191"/>
      <c r="W234" s="1191"/>
      <c r="X234" s="1191"/>
      <c r="Y234" s="1191"/>
      <c r="Z234" s="1191"/>
      <c r="AA234" s="1191"/>
      <c r="AB234" s="1210"/>
      <c r="AC234" s="1210"/>
      <c r="AD234" s="1210"/>
      <c r="AE234" s="1210"/>
      <c r="AF234" s="1210"/>
      <c r="AG234" s="1210"/>
      <c r="AH234" s="1210"/>
      <c r="AI234" s="1211"/>
      <c r="AJ234" s="1211"/>
      <c r="AK234" s="1211"/>
    </row>
    <row r="235" spans="1:37" s="1179" customFormat="1">
      <c r="A235" s="1188"/>
      <c r="B235" s="1188"/>
      <c r="C235" s="1188"/>
      <c r="D235" s="1210"/>
      <c r="E235" s="1210"/>
      <c r="F235" s="1210"/>
      <c r="G235" s="1191"/>
      <c r="H235" s="1191"/>
      <c r="I235" s="1199"/>
      <c r="J235" s="1191"/>
      <c r="K235" s="1191"/>
      <c r="L235" s="1191"/>
      <c r="M235" s="1191"/>
      <c r="N235" s="1191"/>
      <c r="O235" s="1191"/>
      <c r="P235" s="1199"/>
      <c r="Q235" s="1191"/>
      <c r="R235" s="1191"/>
      <c r="S235" s="1191"/>
      <c r="T235" s="1191"/>
      <c r="U235" s="1191"/>
      <c r="V235" s="1191"/>
      <c r="W235" s="1191"/>
      <c r="X235" s="1191"/>
      <c r="Y235" s="1191"/>
      <c r="Z235" s="1191"/>
      <c r="AA235" s="1191"/>
      <c r="AB235" s="1210"/>
      <c r="AC235" s="1210"/>
      <c r="AD235" s="1210"/>
      <c r="AE235" s="1210"/>
      <c r="AF235" s="1210"/>
      <c r="AG235" s="1210"/>
      <c r="AH235" s="1210"/>
      <c r="AI235" s="1211"/>
      <c r="AJ235" s="1211"/>
      <c r="AK235" s="1211"/>
    </row>
    <row r="236" spans="1:37" s="1179" customFormat="1">
      <c r="A236" s="1188"/>
      <c r="B236" s="1188"/>
      <c r="C236" s="1188"/>
      <c r="D236" s="1210"/>
      <c r="E236" s="1210"/>
      <c r="F236" s="1210"/>
      <c r="G236" s="1191"/>
      <c r="H236" s="1191"/>
      <c r="I236" s="1199"/>
      <c r="J236" s="1191"/>
      <c r="K236" s="1191"/>
      <c r="L236" s="1191"/>
      <c r="M236" s="1191"/>
      <c r="N236" s="1191"/>
      <c r="O236" s="1191"/>
      <c r="P236" s="1199"/>
      <c r="Q236" s="1191"/>
      <c r="R236" s="1191"/>
      <c r="S236" s="1191"/>
      <c r="T236" s="1191"/>
      <c r="U236" s="1191"/>
      <c r="V236" s="1191"/>
      <c r="W236" s="1191"/>
      <c r="X236" s="1191"/>
      <c r="Y236" s="1191"/>
      <c r="Z236" s="1191"/>
      <c r="AA236" s="1191"/>
      <c r="AB236" s="1210"/>
      <c r="AC236" s="1210"/>
      <c r="AD236" s="1210"/>
      <c r="AE236" s="1210"/>
      <c r="AF236" s="1210"/>
      <c r="AG236" s="1210"/>
      <c r="AH236" s="1210"/>
      <c r="AI236" s="1211"/>
      <c r="AJ236" s="1211"/>
      <c r="AK236" s="1211"/>
    </row>
    <row r="237" spans="1:37" s="1179" customFormat="1">
      <c r="A237" s="1188"/>
      <c r="B237" s="1188"/>
      <c r="C237" s="1188"/>
      <c r="D237" s="1210"/>
      <c r="E237" s="1210"/>
      <c r="F237" s="1210"/>
      <c r="G237" s="1191"/>
      <c r="H237" s="1191"/>
      <c r="I237" s="1199"/>
      <c r="J237" s="1191"/>
      <c r="K237" s="1191"/>
      <c r="L237" s="1191"/>
      <c r="M237" s="1191"/>
      <c r="N237" s="1191"/>
      <c r="O237" s="1191"/>
      <c r="P237" s="1199"/>
      <c r="Q237" s="1191"/>
      <c r="R237" s="1191"/>
      <c r="S237" s="1191"/>
      <c r="T237" s="1191"/>
      <c r="U237" s="1191"/>
      <c r="V237" s="1191"/>
      <c r="W237" s="1191"/>
      <c r="X237" s="1191"/>
      <c r="Y237" s="1191"/>
      <c r="Z237" s="1191"/>
      <c r="AA237" s="1191"/>
      <c r="AB237" s="1210"/>
      <c r="AC237" s="1210"/>
      <c r="AD237" s="1210"/>
      <c r="AE237" s="1210"/>
      <c r="AF237" s="1210"/>
      <c r="AG237" s="1210"/>
      <c r="AH237" s="1210"/>
      <c r="AI237" s="1211"/>
      <c r="AJ237" s="1211"/>
      <c r="AK237" s="1211"/>
    </row>
    <row r="238" spans="1:37" s="1179" customFormat="1">
      <c r="A238" s="1188"/>
      <c r="B238" s="1188"/>
      <c r="C238" s="1188"/>
      <c r="D238" s="1210"/>
      <c r="E238" s="1210"/>
      <c r="F238" s="1210"/>
      <c r="G238" s="1191"/>
      <c r="H238" s="1191"/>
      <c r="I238" s="1199"/>
      <c r="J238" s="1191"/>
      <c r="K238" s="1191"/>
      <c r="L238" s="1191"/>
      <c r="M238" s="1191"/>
      <c r="N238" s="1191"/>
      <c r="O238" s="1191"/>
      <c r="P238" s="1199"/>
      <c r="Q238" s="1191"/>
      <c r="R238" s="1191"/>
      <c r="S238" s="1191"/>
      <c r="T238" s="1191"/>
      <c r="U238" s="1191"/>
      <c r="V238" s="1191"/>
      <c r="W238" s="1191"/>
      <c r="X238" s="1191"/>
      <c r="Y238" s="1191"/>
      <c r="Z238" s="1191"/>
      <c r="AA238" s="1191"/>
      <c r="AB238" s="1210"/>
      <c r="AC238" s="1210"/>
      <c r="AD238" s="1210"/>
      <c r="AE238" s="1210"/>
      <c r="AF238" s="1210"/>
      <c r="AG238" s="1210"/>
      <c r="AH238" s="1210"/>
      <c r="AI238" s="1211"/>
      <c r="AJ238" s="1211"/>
      <c r="AK238" s="1211"/>
    </row>
    <row r="239" spans="1:37" s="1179" customFormat="1">
      <c r="A239" s="1188"/>
      <c r="B239" s="1188"/>
      <c r="C239" s="1188"/>
      <c r="D239" s="1210"/>
      <c r="E239" s="1210"/>
      <c r="F239" s="1210"/>
      <c r="G239" s="1191"/>
      <c r="H239" s="1191"/>
      <c r="I239" s="1199"/>
      <c r="J239" s="1191"/>
      <c r="K239" s="1191"/>
      <c r="L239" s="1191"/>
      <c r="M239" s="1191"/>
      <c r="N239" s="1191"/>
      <c r="O239" s="1191"/>
      <c r="P239" s="1199"/>
      <c r="Q239" s="1191"/>
      <c r="R239" s="1191"/>
      <c r="S239" s="1191"/>
      <c r="T239" s="1191"/>
      <c r="U239" s="1191"/>
      <c r="V239" s="1191"/>
      <c r="W239" s="1191"/>
      <c r="X239" s="1191"/>
      <c r="Y239" s="1191"/>
      <c r="Z239" s="1191"/>
      <c r="AA239" s="1191"/>
      <c r="AB239" s="1210"/>
      <c r="AC239" s="1210"/>
      <c r="AD239" s="1210"/>
      <c r="AE239" s="1210"/>
      <c r="AF239" s="1210"/>
      <c r="AG239" s="1210"/>
      <c r="AH239" s="1210"/>
      <c r="AI239" s="1211"/>
      <c r="AJ239" s="1211"/>
      <c r="AK239" s="1211"/>
    </row>
    <row r="240" spans="1:37" s="1179" customFormat="1">
      <c r="A240" s="1188"/>
      <c r="B240" s="1188"/>
      <c r="C240" s="1188"/>
      <c r="D240" s="1210"/>
      <c r="E240" s="1210"/>
      <c r="F240" s="1210"/>
      <c r="G240" s="1191"/>
      <c r="H240" s="1191"/>
      <c r="I240" s="1199"/>
      <c r="J240" s="1191"/>
      <c r="K240" s="1191"/>
      <c r="L240" s="1191"/>
      <c r="M240" s="1191"/>
      <c r="N240" s="1191"/>
      <c r="O240" s="1191"/>
      <c r="P240" s="1199"/>
      <c r="Q240" s="1191"/>
      <c r="R240" s="1191"/>
      <c r="S240" s="1191"/>
      <c r="T240" s="1191"/>
      <c r="U240" s="1191"/>
      <c r="V240" s="1191"/>
      <c r="W240" s="1191"/>
      <c r="X240" s="1191"/>
      <c r="Y240" s="1191"/>
      <c r="Z240" s="1191"/>
      <c r="AA240" s="1191"/>
      <c r="AB240" s="1210"/>
      <c r="AC240" s="1210"/>
      <c r="AD240" s="1210"/>
      <c r="AE240" s="1210"/>
      <c r="AF240" s="1210"/>
      <c r="AG240" s="1210"/>
      <c r="AH240" s="1210"/>
      <c r="AI240" s="1211"/>
      <c r="AJ240" s="1211"/>
      <c r="AK240" s="1211"/>
    </row>
    <row r="241" spans="1:37" s="1179" customFormat="1">
      <c r="A241" s="1188"/>
      <c r="B241" s="1188"/>
      <c r="C241" s="1188"/>
      <c r="D241" s="1210"/>
      <c r="E241" s="1210"/>
      <c r="F241" s="1210"/>
      <c r="G241" s="1191"/>
      <c r="H241" s="1191"/>
      <c r="I241" s="1199"/>
      <c r="J241" s="1191"/>
      <c r="K241" s="1191"/>
      <c r="L241" s="1191"/>
      <c r="M241" s="1191"/>
      <c r="N241" s="1191"/>
      <c r="O241" s="1191"/>
      <c r="P241" s="1199"/>
      <c r="Q241" s="1191"/>
      <c r="R241" s="1191"/>
      <c r="S241" s="1191"/>
      <c r="T241" s="1191"/>
      <c r="U241" s="1191"/>
      <c r="V241" s="1191"/>
      <c r="W241" s="1191"/>
      <c r="X241" s="1191"/>
      <c r="Y241" s="1191"/>
      <c r="Z241" s="1191"/>
      <c r="AA241" s="1191"/>
      <c r="AB241" s="1210"/>
      <c r="AC241" s="1210"/>
      <c r="AD241" s="1210"/>
      <c r="AE241" s="1210"/>
      <c r="AF241" s="1210"/>
      <c r="AG241" s="1210"/>
      <c r="AH241" s="1210"/>
      <c r="AI241" s="1211"/>
      <c r="AJ241" s="1211"/>
      <c r="AK241" s="1211"/>
    </row>
    <row r="242" spans="1:37" s="1179" customFormat="1">
      <c r="A242" s="1188"/>
      <c r="B242" s="1188"/>
      <c r="C242" s="1188"/>
      <c r="D242" s="1210"/>
      <c r="E242" s="1210"/>
      <c r="F242" s="1210"/>
      <c r="G242" s="1191"/>
      <c r="H242" s="1191"/>
      <c r="I242" s="1199"/>
      <c r="J242" s="1191"/>
      <c r="K242" s="1191"/>
      <c r="L242" s="1191"/>
      <c r="M242" s="1191"/>
      <c r="N242" s="1191"/>
      <c r="O242" s="1191"/>
      <c r="P242" s="1199"/>
      <c r="Q242" s="1191"/>
      <c r="R242" s="1191"/>
      <c r="S242" s="1191"/>
      <c r="T242" s="1191"/>
      <c r="U242" s="1191"/>
      <c r="V242" s="1191"/>
      <c r="W242" s="1191"/>
      <c r="X242" s="1191"/>
      <c r="Y242" s="1191"/>
      <c r="Z242" s="1191"/>
      <c r="AA242" s="1191"/>
      <c r="AB242" s="1210"/>
      <c r="AC242" s="1210"/>
      <c r="AD242" s="1210"/>
      <c r="AE242" s="1210"/>
      <c r="AF242" s="1210"/>
      <c r="AG242" s="1210"/>
      <c r="AH242" s="1210"/>
      <c r="AI242" s="1211"/>
      <c r="AJ242" s="1211"/>
      <c r="AK242" s="1211"/>
    </row>
    <row r="243" spans="1:37" s="1179" customFormat="1">
      <c r="A243" s="1188"/>
      <c r="B243" s="1188"/>
      <c r="C243" s="1188"/>
      <c r="D243" s="1210"/>
      <c r="E243" s="1210"/>
      <c r="F243" s="1210"/>
      <c r="G243" s="1191"/>
      <c r="H243" s="1191"/>
      <c r="I243" s="1199"/>
      <c r="J243" s="1191"/>
      <c r="K243" s="1191"/>
      <c r="L243" s="1191"/>
      <c r="M243" s="1191"/>
      <c r="N243" s="1191"/>
      <c r="O243" s="1191"/>
      <c r="P243" s="1199"/>
      <c r="Q243" s="1191"/>
      <c r="R243" s="1191"/>
      <c r="S243" s="1191"/>
      <c r="T243" s="1191"/>
      <c r="U243" s="1191"/>
      <c r="V243" s="1191"/>
      <c r="W243" s="1191"/>
      <c r="X243" s="1191"/>
      <c r="Y243" s="1191"/>
      <c r="Z243" s="1191"/>
      <c r="AA243" s="1191"/>
      <c r="AB243" s="1210"/>
      <c r="AC243" s="1210"/>
      <c r="AD243" s="1210"/>
      <c r="AE243" s="1210"/>
      <c r="AF243" s="1210"/>
      <c r="AG243" s="1210"/>
      <c r="AH243" s="1210"/>
      <c r="AI243" s="1211"/>
      <c r="AJ243" s="1211"/>
      <c r="AK243" s="1211"/>
    </row>
    <row r="244" spans="1:37" s="1179" customFormat="1">
      <c r="A244" s="1188"/>
      <c r="B244" s="1188"/>
      <c r="C244" s="1188"/>
      <c r="D244" s="1210"/>
      <c r="E244" s="1210"/>
      <c r="F244" s="1210"/>
      <c r="G244" s="1191"/>
      <c r="H244" s="1191"/>
      <c r="I244" s="1199"/>
      <c r="J244" s="1191"/>
      <c r="K244" s="1191"/>
      <c r="L244" s="1191"/>
      <c r="M244" s="1191"/>
      <c r="N244" s="1191"/>
      <c r="O244" s="1191"/>
      <c r="P244" s="1199"/>
      <c r="Q244" s="1191"/>
      <c r="R244" s="1191"/>
      <c r="S244" s="1191"/>
      <c r="T244" s="1191"/>
      <c r="U244" s="1191"/>
      <c r="V244" s="1191"/>
      <c r="W244" s="1191"/>
      <c r="X244" s="1191"/>
      <c r="Y244" s="1191"/>
      <c r="Z244" s="1191"/>
      <c r="AA244" s="1191"/>
      <c r="AB244" s="1210"/>
      <c r="AC244" s="1210"/>
      <c r="AD244" s="1210"/>
      <c r="AE244" s="1210"/>
      <c r="AF244" s="1210"/>
      <c r="AG244" s="1210"/>
      <c r="AH244" s="1210"/>
      <c r="AI244" s="1211"/>
      <c r="AJ244" s="1211"/>
      <c r="AK244" s="1211"/>
    </row>
    <row r="245" spans="1:37" s="1179" customFormat="1">
      <c r="A245" s="1188"/>
      <c r="B245" s="1188"/>
      <c r="C245" s="1188"/>
      <c r="D245" s="1210"/>
      <c r="E245" s="1210"/>
      <c r="F245" s="1210"/>
      <c r="G245" s="1191"/>
      <c r="H245" s="1191"/>
      <c r="I245" s="1199"/>
      <c r="J245" s="1191"/>
      <c r="K245" s="1191"/>
      <c r="L245" s="1191"/>
      <c r="M245" s="1191"/>
      <c r="N245" s="1191"/>
      <c r="O245" s="1191"/>
      <c r="P245" s="1199"/>
      <c r="Q245" s="1191"/>
      <c r="R245" s="1191"/>
      <c r="S245" s="1191"/>
      <c r="T245" s="1191"/>
      <c r="U245" s="1191"/>
      <c r="V245" s="1191"/>
      <c r="W245" s="1191"/>
      <c r="X245" s="1191"/>
      <c r="Y245" s="1191"/>
      <c r="Z245" s="1191"/>
      <c r="AA245" s="1191"/>
      <c r="AB245" s="1210"/>
      <c r="AC245" s="1210"/>
      <c r="AD245" s="1210"/>
      <c r="AE245" s="1210"/>
      <c r="AF245" s="1210"/>
      <c r="AG245" s="1210"/>
      <c r="AH245" s="1210"/>
      <c r="AI245" s="1211"/>
      <c r="AJ245" s="1211"/>
      <c r="AK245" s="1211"/>
    </row>
    <row r="246" spans="1:37" s="1179" customFormat="1">
      <c r="A246" s="1188"/>
      <c r="B246" s="1188"/>
      <c r="C246" s="1188"/>
      <c r="D246" s="1210"/>
      <c r="E246" s="1210"/>
      <c r="F246" s="1210"/>
      <c r="G246" s="1191"/>
      <c r="H246" s="1191"/>
      <c r="I246" s="1199"/>
      <c r="J246" s="1191"/>
      <c r="K246" s="1191"/>
      <c r="L246" s="1191"/>
      <c r="M246" s="1191"/>
      <c r="N246" s="1191"/>
      <c r="O246" s="1191"/>
      <c r="P246" s="1199"/>
      <c r="Q246" s="1191"/>
      <c r="R246" s="1191"/>
      <c r="S246" s="1191"/>
      <c r="T246" s="1191"/>
      <c r="U246" s="1191"/>
      <c r="V246" s="1191"/>
      <c r="W246" s="1191"/>
      <c r="X246" s="1191"/>
      <c r="Y246" s="1191"/>
      <c r="Z246" s="1191"/>
      <c r="AA246" s="1191"/>
      <c r="AB246" s="1210"/>
      <c r="AC246" s="1210"/>
      <c r="AD246" s="1210"/>
      <c r="AE246" s="1210"/>
      <c r="AF246" s="1210"/>
      <c r="AG246" s="1210"/>
      <c r="AH246" s="1210"/>
      <c r="AI246" s="1211"/>
      <c r="AJ246" s="1211"/>
      <c r="AK246" s="1211"/>
    </row>
    <row r="247" spans="1:37" s="1179" customFormat="1">
      <c r="A247" s="1188"/>
      <c r="B247" s="1188"/>
      <c r="C247" s="1188"/>
      <c r="D247" s="1210"/>
      <c r="E247" s="1210"/>
      <c r="F247" s="1210"/>
      <c r="G247" s="1191"/>
      <c r="H247" s="1191"/>
      <c r="I247" s="1199"/>
      <c r="J247" s="1191"/>
      <c r="K247" s="1191"/>
      <c r="L247" s="1191"/>
      <c r="M247" s="1191"/>
      <c r="N247" s="1191"/>
      <c r="O247" s="1191"/>
      <c r="P247" s="1199"/>
      <c r="Q247" s="1191"/>
      <c r="R247" s="1191"/>
      <c r="S247" s="1191"/>
      <c r="T247" s="1191"/>
      <c r="U247" s="1191"/>
      <c r="V247" s="1191"/>
      <c r="W247" s="1191"/>
      <c r="X247" s="1191"/>
      <c r="Y247" s="1191"/>
      <c r="Z247" s="1191"/>
      <c r="AA247" s="1191"/>
      <c r="AB247" s="1210"/>
      <c r="AC247" s="1210"/>
      <c r="AD247" s="1210"/>
      <c r="AE247" s="1210"/>
      <c r="AF247" s="1210"/>
      <c r="AG247" s="1210"/>
      <c r="AH247" s="1210"/>
      <c r="AI247" s="1211"/>
      <c r="AJ247" s="1211"/>
      <c r="AK247" s="1211"/>
    </row>
    <row r="248" spans="1:37" s="1179" customFormat="1">
      <c r="A248" s="1188"/>
      <c r="B248" s="1188"/>
      <c r="C248" s="1188"/>
      <c r="D248" s="1210"/>
      <c r="E248" s="1210"/>
      <c r="F248" s="1210"/>
      <c r="G248" s="1191"/>
      <c r="H248" s="1191"/>
      <c r="I248" s="1199"/>
      <c r="J248" s="1191"/>
      <c r="K248" s="1191"/>
      <c r="L248" s="1191"/>
      <c r="M248" s="1191"/>
      <c r="N248" s="1191"/>
      <c r="O248" s="1191"/>
      <c r="P248" s="1199"/>
      <c r="Q248" s="1191"/>
      <c r="R248" s="1191"/>
      <c r="S248" s="1191"/>
      <c r="T248" s="1191"/>
      <c r="U248" s="1191"/>
      <c r="V248" s="1191"/>
      <c r="W248" s="1191"/>
      <c r="X248" s="1191"/>
      <c r="Y248" s="1191"/>
      <c r="Z248" s="1191"/>
      <c r="AA248" s="1191"/>
      <c r="AB248" s="1210"/>
      <c r="AC248" s="1210"/>
      <c r="AD248" s="1210"/>
      <c r="AE248" s="1210"/>
      <c r="AF248" s="1210"/>
      <c r="AG248" s="1210"/>
      <c r="AH248" s="1210"/>
      <c r="AI248" s="1211"/>
      <c r="AJ248" s="1211"/>
      <c r="AK248" s="1211"/>
    </row>
    <row r="249" spans="1:37" s="1179" customFormat="1">
      <c r="A249" s="1188"/>
      <c r="B249" s="1188"/>
      <c r="C249" s="1188"/>
      <c r="D249" s="1210"/>
      <c r="E249" s="1210"/>
      <c r="F249" s="1210"/>
      <c r="G249" s="1191"/>
      <c r="H249" s="1191"/>
      <c r="I249" s="1199"/>
      <c r="J249" s="1191"/>
      <c r="K249" s="1191"/>
      <c r="L249" s="1191"/>
      <c r="M249" s="1191"/>
      <c r="N249" s="1191"/>
      <c r="O249" s="1191"/>
      <c r="P249" s="1199"/>
      <c r="Q249" s="1191"/>
      <c r="R249" s="1191"/>
      <c r="S249" s="1191"/>
      <c r="T249" s="1191"/>
      <c r="U249" s="1191"/>
      <c r="V249" s="1191"/>
      <c r="W249" s="1191"/>
      <c r="X249" s="1191"/>
      <c r="Y249" s="1191"/>
      <c r="Z249" s="1191"/>
      <c r="AA249" s="1191"/>
      <c r="AB249" s="1210"/>
      <c r="AC249" s="1210"/>
      <c r="AD249" s="1210"/>
      <c r="AE249" s="1210"/>
      <c r="AF249" s="1210"/>
      <c r="AG249" s="1210"/>
      <c r="AH249" s="1210"/>
      <c r="AI249" s="1211"/>
      <c r="AJ249" s="1211"/>
      <c r="AK249" s="1211"/>
    </row>
    <row r="250" spans="1:37" s="1179" customFormat="1">
      <c r="A250" s="1188"/>
      <c r="B250" s="1188"/>
      <c r="C250" s="1188"/>
      <c r="D250" s="1210"/>
      <c r="E250" s="1210"/>
      <c r="F250" s="1210"/>
      <c r="G250" s="1191"/>
      <c r="H250" s="1191"/>
      <c r="I250" s="1199"/>
      <c r="J250" s="1191"/>
      <c r="K250" s="1191"/>
      <c r="L250" s="1191"/>
      <c r="M250" s="1191"/>
      <c r="N250" s="1191"/>
      <c r="O250" s="1191"/>
      <c r="P250" s="1199"/>
      <c r="Q250" s="1191"/>
      <c r="R250" s="1191"/>
      <c r="S250" s="1191"/>
      <c r="T250" s="1191"/>
      <c r="U250" s="1191"/>
      <c r="V250" s="1191"/>
      <c r="W250" s="1191"/>
      <c r="X250" s="1191"/>
      <c r="Y250" s="1191"/>
      <c r="Z250" s="1191"/>
      <c r="AA250" s="1191"/>
      <c r="AB250" s="1210"/>
      <c r="AC250" s="1210"/>
      <c r="AD250" s="1210"/>
      <c r="AE250" s="1210"/>
      <c r="AF250" s="1210"/>
      <c r="AG250" s="1210"/>
      <c r="AH250" s="1210"/>
      <c r="AI250" s="1211"/>
      <c r="AJ250" s="1211"/>
      <c r="AK250" s="1211"/>
    </row>
    <row r="251" spans="1:37" s="1179" customFormat="1">
      <c r="A251" s="1188"/>
      <c r="B251" s="1188"/>
      <c r="C251" s="1188"/>
      <c r="D251" s="1210"/>
      <c r="E251" s="1210"/>
      <c r="F251" s="1210"/>
      <c r="G251" s="1191"/>
      <c r="H251" s="1191"/>
      <c r="I251" s="1199"/>
      <c r="J251" s="1191"/>
      <c r="K251" s="1191"/>
      <c r="L251" s="1191"/>
      <c r="M251" s="1191"/>
      <c r="N251" s="1191"/>
      <c r="O251" s="1191"/>
      <c r="P251" s="1199"/>
      <c r="Q251" s="1191"/>
      <c r="R251" s="1191"/>
      <c r="S251" s="1191"/>
      <c r="T251" s="1191"/>
      <c r="U251" s="1191"/>
      <c r="V251" s="1191"/>
      <c r="W251" s="1191"/>
      <c r="X251" s="1191"/>
      <c r="Y251" s="1191"/>
      <c r="Z251" s="1191"/>
      <c r="AA251" s="1191"/>
      <c r="AB251" s="1210"/>
      <c r="AC251" s="1210"/>
      <c r="AD251" s="1210"/>
      <c r="AE251" s="1210"/>
      <c r="AF251" s="1210"/>
      <c r="AG251" s="1210"/>
      <c r="AH251" s="1210"/>
      <c r="AI251" s="1211"/>
      <c r="AJ251" s="1211"/>
      <c r="AK251" s="1211"/>
    </row>
    <row r="252" spans="1:37" s="1179" customFormat="1">
      <c r="A252" s="1188"/>
      <c r="B252" s="1188"/>
      <c r="C252" s="1188"/>
      <c r="D252" s="1210"/>
      <c r="E252" s="1210"/>
      <c r="F252" s="1210"/>
      <c r="G252" s="1191"/>
      <c r="H252" s="1191"/>
      <c r="I252" s="1199"/>
      <c r="J252" s="1191"/>
      <c r="K252" s="1191"/>
      <c r="L252" s="1191"/>
      <c r="M252" s="1191"/>
      <c r="N252" s="1191"/>
      <c r="O252" s="1191"/>
      <c r="P252" s="1199"/>
      <c r="Q252" s="1191"/>
      <c r="R252" s="1191"/>
      <c r="S252" s="1191"/>
      <c r="T252" s="1191"/>
      <c r="U252" s="1191"/>
      <c r="V252" s="1191"/>
      <c r="W252" s="1191"/>
      <c r="X252" s="1191"/>
      <c r="Y252" s="1191"/>
      <c r="Z252" s="1191"/>
      <c r="AA252" s="1191"/>
      <c r="AB252" s="1210"/>
      <c r="AC252" s="1210"/>
      <c r="AD252" s="1210"/>
      <c r="AE252" s="1210"/>
      <c r="AF252" s="1210"/>
      <c r="AG252" s="1210"/>
      <c r="AH252" s="1210"/>
      <c r="AI252" s="1211"/>
      <c r="AJ252" s="1211"/>
      <c r="AK252" s="1211"/>
    </row>
    <row r="253" spans="1:37" s="1179" customFormat="1">
      <c r="A253" s="1188"/>
      <c r="B253" s="1188"/>
      <c r="C253" s="1188"/>
      <c r="D253" s="1210"/>
      <c r="E253" s="1210"/>
      <c r="F253" s="1210"/>
      <c r="G253" s="1191"/>
      <c r="H253" s="1191"/>
      <c r="I253" s="1199"/>
      <c r="J253" s="1191"/>
      <c r="K253" s="1191"/>
      <c r="L253" s="1191"/>
      <c r="M253" s="1191"/>
      <c r="N253" s="1191"/>
      <c r="O253" s="1191"/>
      <c r="P253" s="1199"/>
      <c r="Q253" s="1191"/>
      <c r="R253" s="1191"/>
      <c r="S253" s="1191"/>
      <c r="T253" s="1191"/>
      <c r="U253" s="1191"/>
      <c r="V253" s="1191"/>
      <c r="W253" s="1191"/>
      <c r="X253" s="1191"/>
      <c r="Y253" s="1191"/>
      <c r="Z253" s="1191"/>
      <c r="AA253" s="1191"/>
      <c r="AB253" s="1210"/>
      <c r="AC253" s="1210"/>
      <c r="AD253" s="1210"/>
      <c r="AE253" s="1210"/>
      <c r="AF253" s="1210"/>
      <c r="AG253" s="1210"/>
      <c r="AH253" s="1210"/>
      <c r="AI253" s="1211"/>
      <c r="AJ253" s="1211"/>
      <c r="AK253" s="1211"/>
    </row>
    <row r="254" spans="1:37" s="1179" customFormat="1">
      <c r="A254" s="1188"/>
      <c r="B254" s="1188"/>
      <c r="C254" s="1188"/>
      <c r="D254" s="1210"/>
      <c r="E254" s="1210"/>
      <c r="F254" s="1210"/>
      <c r="G254" s="1191"/>
      <c r="H254" s="1191"/>
      <c r="I254" s="1199"/>
      <c r="J254" s="1191"/>
      <c r="K254" s="1191"/>
      <c r="L254" s="1191"/>
      <c r="M254" s="1191"/>
      <c r="N254" s="1191"/>
      <c r="O254" s="1191"/>
      <c r="P254" s="1199"/>
      <c r="Q254" s="1191"/>
      <c r="R254" s="1191"/>
      <c r="S254" s="1191"/>
      <c r="T254" s="1191"/>
      <c r="U254" s="1191"/>
      <c r="V254" s="1191"/>
      <c r="W254" s="1191"/>
      <c r="X254" s="1191"/>
      <c r="Y254" s="1191"/>
      <c r="Z254" s="1191"/>
      <c r="AA254" s="1191"/>
      <c r="AB254" s="1210"/>
      <c r="AC254" s="1210"/>
      <c r="AD254" s="1210"/>
      <c r="AE254" s="1210"/>
      <c r="AF254" s="1210"/>
      <c r="AG254" s="1210"/>
      <c r="AH254" s="1210"/>
      <c r="AI254" s="1211"/>
      <c r="AJ254" s="1211"/>
      <c r="AK254" s="1211"/>
    </row>
    <row r="255" spans="1:37" s="1179" customFormat="1">
      <c r="A255" s="1188"/>
      <c r="B255" s="1188"/>
      <c r="C255" s="1188"/>
      <c r="D255" s="1210"/>
      <c r="E255" s="1210"/>
      <c r="F255" s="1210"/>
      <c r="G255" s="1191"/>
      <c r="H255" s="1191"/>
      <c r="I255" s="1199"/>
      <c r="J255" s="1191"/>
      <c r="K255" s="1191"/>
      <c r="L255" s="1191"/>
      <c r="M255" s="1191"/>
      <c r="N255" s="1191"/>
      <c r="O255" s="1191"/>
      <c r="P255" s="1199"/>
      <c r="Q255" s="1191"/>
      <c r="R255" s="1191"/>
      <c r="S255" s="1191"/>
      <c r="T255" s="1191"/>
      <c r="U255" s="1191"/>
      <c r="V255" s="1191"/>
      <c r="W255" s="1191"/>
      <c r="X255" s="1191"/>
      <c r="Y255" s="1191"/>
      <c r="Z255" s="1191"/>
      <c r="AA255" s="1191"/>
      <c r="AB255" s="1210"/>
      <c r="AC255" s="1210"/>
      <c r="AD255" s="1210"/>
      <c r="AE255" s="1210"/>
      <c r="AF255" s="1210"/>
      <c r="AG255" s="1210"/>
      <c r="AH255" s="1210"/>
      <c r="AI255" s="1211"/>
      <c r="AJ255" s="1211"/>
      <c r="AK255" s="1211"/>
    </row>
    <row r="256" spans="1:37" s="1179" customFormat="1">
      <c r="A256" s="1188"/>
      <c r="B256" s="1188"/>
      <c r="C256" s="1188"/>
      <c r="D256" s="1210"/>
      <c r="E256" s="1210"/>
      <c r="F256" s="1210"/>
      <c r="G256" s="1191"/>
      <c r="H256" s="1191"/>
      <c r="I256" s="1199"/>
      <c r="J256" s="1191"/>
      <c r="K256" s="1191"/>
      <c r="L256" s="1191"/>
      <c r="M256" s="1191"/>
      <c r="N256" s="1191"/>
      <c r="O256" s="1191"/>
      <c r="P256" s="1199"/>
      <c r="Q256" s="1191"/>
      <c r="R256" s="1191"/>
      <c r="S256" s="1191"/>
      <c r="T256" s="1191"/>
      <c r="U256" s="1191"/>
      <c r="V256" s="1191"/>
      <c r="W256" s="1191"/>
      <c r="X256" s="1191"/>
      <c r="Y256" s="1191"/>
      <c r="Z256" s="1191"/>
      <c r="AA256" s="1191"/>
      <c r="AB256" s="1210"/>
      <c r="AC256" s="1210"/>
      <c r="AD256" s="1210"/>
      <c r="AE256" s="1210"/>
      <c r="AF256" s="1210"/>
      <c r="AG256" s="1210"/>
      <c r="AH256" s="1210"/>
      <c r="AI256" s="1211"/>
      <c r="AJ256" s="1211"/>
      <c r="AK256" s="1211"/>
    </row>
    <row r="257" spans="1:37" s="1179" customFormat="1">
      <c r="A257" s="1188"/>
      <c r="B257" s="1188"/>
      <c r="C257" s="1188"/>
      <c r="D257" s="1210"/>
      <c r="E257" s="1210"/>
      <c r="F257" s="1210"/>
      <c r="G257" s="1191"/>
      <c r="H257" s="1191"/>
      <c r="I257" s="1199"/>
      <c r="J257" s="1191"/>
      <c r="K257" s="1191"/>
      <c r="L257" s="1191"/>
      <c r="M257" s="1191"/>
      <c r="N257" s="1191"/>
      <c r="O257" s="1191"/>
      <c r="P257" s="1199"/>
      <c r="Q257" s="1191"/>
      <c r="R257" s="1191"/>
      <c r="S257" s="1191"/>
      <c r="T257" s="1191"/>
      <c r="U257" s="1191"/>
      <c r="V257" s="1191"/>
      <c r="W257" s="1191"/>
      <c r="X257" s="1191"/>
      <c r="Y257" s="1191"/>
      <c r="Z257" s="1191"/>
      <c r="AA257" s="1191"/>
      <c r="AB257" s="1210"/>
      <c r="AC257" s="1210"/>
      <c r="AD257" s="1210"/>
      <c r="AE257" s="1210"/>
      <c r="AF257" s="1210"/>
      <c r="AG257" s="1210"/>
      <c r="AH257" s="1210"/>
      <c r="AI257" s="1211"/>
      <c r="AJ257" s="1211"/>
      <c r="AK257" s="1211"/>
    </row>
    <row r="258" spans="1:37" s="1179" customFormat="1">
      <c r="A258" s="1188"/>
      <c r="B258" s="1188"/>
      <c r="C258" s="1188"/>
      <c r="D258" s="1210"/>
      <c r="E258" s="1210"/>
      <c r="F258" s="1210"/>
      <c r="G258" s="1191"/>
      <c r="H258" s="1191"/>
      <c r="I258" s="1199"/>
      <c r="J258" s="1191"/>
      <c r="K258" s="1191"/>
      <c r="L258" s="1191"/>
      <c r="M258" s="1191"/>
      <c r="N258" s="1191"/>
      <c r="O258" s="1191"/>
      <c r="P258" s="1199"/>
      <c r="Q258" s="1191"/>
      <c r="R258" s="1191"/>
      <c r="S258" s="1191"/>
      <c r="T258" s="1191"/>
      <c r="U258" s="1191"/>
      <c r="V258" s="1191"/>
      <c r="W258" s="1191"/>
      <c r="X258" s="1191"/>
      <c r="Y258" s="1191"/>
      <c r="Z258" s="1191"/>
      <c r="AA258" s="1191"/>
      <c r="AB258" s="1210"/>
      <c r="AC258" s="1210"/>
      <c r="AD258" s="1210"/>
      <c r="AE258" s="1210"/>
      <c r="AF258" s="1210"/>
      <c r="AG258" s="1210"/>
      <c r="AH258" s="1210"/>
      <c r="AI258" s="1211"/>
      <c r="AJ258" s="1211"/>
      <c r="AK258" s="1211"/>
    </row>
    <row r="259" spans="1:37" s="1179" customFormat="1">
      <c r="A259" s="1188"/>
      <c r="B259" s="1188"/>
      <c r="C259" s="1188"/>
      <c r="D259" s="1210"/>
      <c r="E259" s="1210"/>
      <c r="F259" s="1210"/>
      <c r="G259" s="1191"/>
      <c r="H259" s="1191"/>
      <c r="I259" s="1199"/>
      <c r="J259" s="1191"/>
      <c r="K259" s="1191"/>
      <c r="L259" s="1191"/>
      <c r="M259" s="1191"/>
      <c r="N259" s="1191"/>
      <c r="O259" s="1191"/>
      <c r="P259" s="1199"/>
      <c r="Q259" s="1191"/>
      <c r="R259" s="1191"/>
      <c r="S259" s="1191"/>
      <c r="T259" s="1191"/>
      <c r="U259" s="1191"/>
      <c r="V259" s="1191"/>
      <c r="W259" s="1191"/>
      <c r="X259" s="1191"/>
      <c r="Y259" s="1191"/>
      <c r="Z259" s="1191"/>
      <c r="AA259" s="1191"/>
      <c r="AB259" s="1210"/>
      <c r="AC259" s="1210"/>
      <c r="AD259" s="1210"/>
      <c r="AE259" s="1210"/>
      <c r="AF259" s="1210"/>
      <c r="AG259" s="1210"/>
      <c r="AH259" s="1210"/>
      <c r="AI259" s="1211"/>
      <c r="AJ259" s="1211"/>
      <c r="AK259" s="1211"/>
    </row>
    <row r="260" spans="1:37" s="1179" customFormat="1">
      <c r="A260" s="1188"/>
      <c r="B260" s="1188"/>
      <c r="C260" s="1188"/>
      <c r="D260" s="1210"/>
      <c r="E260" s="1210"/>
      <c r="F260" s="1210"/>
      <c r="G260" s="1191"/>
      <c r="H260" s="1191"/>
      <c r="I260" s="1199"/>
      <c r="J260" s="1191"/>
      <c r="K260" s="1191"/>
      <c r="L260" s="1191"/>
      <c r="M260" s="1191"/>
      <c r="N260" s="1191"/>
      <c r="O260" s="1191"/>
      <c r="P260" s="1199"/>
      <c r="Q260" s="1191"/>
      <c r="R260" s="1191"/>
      <c r="S260" s="1191"/>
      <c r="T260" s="1191"/>
      <c r="U260" s="1191"/>
      <c r="V260" s="1191"/>
      <c r="W260" s="1191"/>
      <c r="X260" s="1191"/>
      <c r="Y260" s="1191"/>
      <c r="Z260" s="1191"/>
      <c r="AA260" s="1191"/>
      <c r="AB260" s="1210"/>
      <c r="AC260" s="1210"/>
      <c r="AD260" s="1210"/>
      <c r="AE260" s="1210"/>
      <c r="AF260" s="1210"/>
      <c r="AG260" s="1210"/>
      <c r="AH260" s="1210"/>
      <c r="AI260" s="1211"/>
      <c r="AJ260" s="1211"/>
      <c r="AK260" s="1211"/>
    </row>
    <row r="261" spans="1:37" s="1179" customFormat="1">
      <c r="A261" s="1188"/>
      <c r="B261" s="1188"/>
      <c r="C261" s="1188"/>
      <c r="D261" s="1210"/>
      <c r="E261" s="1210"/>
      <c r="F261" s="1210"/>
      <c r="G261" s="1191"/>
      <c r="H261" s="1191"/>
      <c r="I261" s="1199"/>
      <c r="J261" s="1191"/>
      <c r="K261" s="1191"/>
      <c r="L261" s="1191"/>
      <c r="M261" s="1191"/>
      <c r="N261" s="1191"/>
      <c r="O261" s="1191"/>
      <c r="P261" s="1199"/>
      <c r="Q261" s="1191"/>
      <c r="R261" s="1191"/>
      <c r="S261" s="1191"/>
      <c r="T261" s="1191"/>
      <c r="U261" s="1191"/>
      <c r="V261" s="1191"/>
      <c r="W261" s="1191"/>
      <c r="X261" s="1191"/>
      <c r="Y261" s="1191"/>
      <c r="Z261" s="1191"/>
      <c r="AA261" s="1191"/>
      <c r="AB261" s="1210"/>
      <c r="AC261" s="1210"/>
      <c r="AD261" s="1210"/>
      <c r="AE261" s="1210"/>
      <c r="AF261" s="1210"/>
      <c r="AG261" s="1210"/>
      <c r="AH261" s="1210"/>
      <c r="AI261" s="1211"/>
      <c r="AJ261" s="1211"/>
      <c r="AK261" s="1211"/>
    </row>
    <row r="262" spans="1:37" s="1179" customFormat="1">
      <c r="A262" s="1188"/>
      <c r="B262" s="1188"/>
      <c r="C262" s="1188"/>
      <c r="D262" s="1210"/>
      <c r="E262" s="1210"/>
      <c r="F262" s="1210"/>
      <c r="G262" s="1191"/>
      <c r="H262" s="1191"/>
      <c r="I262" s="1199"/>
      <c r="J262" s="1191"/>
      <c r="K262" s="1191"/>
      <c r="L262" s="1191"/>
      <c r="M262" s="1191"/>
      <c r="N262" s="1191"/>
      <c r="O262" s="1191"/>
      <c r="P262" s="1199"/>
      <c r="Q262" s="1191"/>
      <c r="R262" s="1191"/>
      <c r="S262" s="1191"/>
      <c r="T262" s="1191"/>
      <c r="U262" s="1191"/>
      <c r="V262" s="1191"/>
      <c r="W262" s="1191"/>
      <c r="X262" s="1191"/>
      <c r="Y262" s="1191"/>
      <c r="Z262" s="1191"/>
      <c r="AA262" s="1191"/>
      <c r="AB262" s="1210"/>
      <c r="AC262" s="1210"/>
      <c r="AD262" s="1210"/>
      <c r="AE262" s="1210"/>
      <c r="AF262" s="1210"/>
      <c r="AG262" s="1210"/>
      <c r="AH262" s="1210"/>
      <c r="AI262" s="1211"/>
      <c r="AJ262" s="1211"/>
      <c r="AK262" s="1211"/>
    </row>
    <row r="263" spans="1:37" s="1179" customFormat="1">
      <c r="A263" s="1188"/>
      <c r="B263" s="1188"/>
      <c r="C263" s="1188"/>
      <c r="D263" s="1210"/>
      <c r="E263" s="1210"/>
      <c r="F263" s="1210"/>
      <c r="G263" s="1191"/>
      <c r="H263" s="1191"/>
      <c r="I263" s="1199"/>
      <c r="J263" s="1191"/>
      <c r="K263" s="1191"/>
      <c r="L263" s="1191"/>
      <c r="M263" s="1191"/>
      <c r="N263" s="1191"/>
      <c r="O263" s="1191"/>
      <c r="P263" s="1199"/>
      <c r="Q263" s="1191"/>
      <c r="R263" s="1191"/>
      <c r="S263" s="1191"/>
      <c r="T263" s="1191"/>
      <c r="U263" s="1191"/>
      <c r="V263" s="1191"/>
      <c r="W263" s="1191"/>
      <c r="X263" s="1191"/>
      <c r="Y263" s="1191"/>
      <c r="Z263" s="1191"/>
      <c r="AA263" s="1191"/>
      <c r="AB263" s="1210"/>
      <c r="AC263" s="1210"/>
      <c r="AD263" s="1210"/>
      <c r="AE263" s="1210"/>
      <c r="AF263" s="1210"/>
      <c r="AG263" s="1210"/>
      <c r="AH263" s="1210"/>
      <c r="AI263" s="1211"/>
      <c r="AJ263" s="1211"/>
      <c r="AK263" s="1211"/>
    </row>
    <row r="264" spans="1:37" s="1179" customFormat="1">
      <c r="A264" s="1188"/>
      <c r="B264" s="1188"/>
      <c r="C264" s="1188"/>
      <c r="D264" s="1210"/>
      <c r="E264" s="1210"/>
      <c r="F264" s="1210"/>
      <c r="G264" s="1191"/>
      <c r="H264" s="1191"/>
      <c r="I264" s="1199"/>
      <c r="J264" s="1191"/>
      <c r="K264" s="1191"/>
      <c r="L264" s="1191"/>
      <c r="M264" s="1191"/>
      <c r="N264" s="1191"/>
      <c r="O264" s="1191"/>
      <c r="P264" s="1199"/>
      <c r="Q264" s="1191"/>
      <c r="R264" s="1191"/>
      <c r="S264" s="1191"/>
      <c r="T264" s="1191"/>
      <c r="U264" s="1191"/>
      <c r="V264" s="1191"/>
      <c r="W264" s="1191"/>
      <c r="X264" s="1191"/>
      <c r="Y264" s="1191"/>
      <c r="Z264" s="1191"/>
      <c r="AA264" s="1191"/>
      <c r="AB264" s="1210"/>
      <c r="AC264" s="1210"/>
      <c r="AD264" s="1210"/>
      <c r="AE264" s="1210"/>
      <c r="AF264" s="1210"/>
      <c r="AG264" s="1210"/>
      <c r="AH264" s="1210"/>
      <c r="AI264" s="1211"/>
      <c r="AJ264" s="1211"/>
      <c r="AK264" s="1211"/>
    </row>
    <row r="265" spans="1:37" s="1179" customFormat="1">
      <c r="A265" s="1188"/>
      <c r="B265" s="1188"/>
      <c r="C265" s="1188"/>
      <c r="D265" s="1210"/>
      <c r="E265" s="1210"/>
      <c r="F265" s="1210"/>
      <c r="G265" s="1191"/>
      <c r="H265" s="1191"/>
      <c r="I265" s="1199"/>
      <c r="J265" s="1191"/>
      <c r="K265" s="1191"/>
      <c r="L265" s="1191"/>
      <c r="M265" s="1191"/>
      <c r="N265" s="1191"/>
      <c r="O265" s="1191"/>
      <c r="P265" s="1199"/>
      <c r="Q265" s="1191"/>
      <c r="R265" s="1191"/>
      <c r="S265" s="1191"/>
      <c r="T265" s="1191"/>
      <c r="U265" s="1191"/>
      <c r="V265" s="1191"/>
      <c r="W265" s="1191"/>
      <c r="X265" s="1191"/>
      <c r="Y265" s="1191"/>
      <c r="Z265" s="1191"/>
      <c r="AA265" s="1191"/>
      <c r="AB265" s="1210"/>
      <c r="AC265" s="1210"/>
      <c r="AD265" s="1210"/>
      <c r="AE265" s="1210"/>
      <c r="AF265" s="1210"/>
      <c r="AG265" s="1210"/>
      <c r="AH265" s="1210"/>
      <c r="AI265" s="1211"/>
      <c r="AJ265" s="1211"/>
      <c r="AK265" s="1211"/>
    </row>
    <row r="266" spans="1:37" s="1179" customFormat="1">
      <c r="A266" s="1188"/>
      <c r="B266" s="1188"/>
      <c r="C266" s="1188"/>
      <c r="D266" s="1210"/>
      <c r="E266" s="1210"/>
      <c r="F266" s="1210"/>
      <c r="G266" s="1191"/>
      <c r="H266" s="1191"/>
      <c r="I266" s="1199"/>
      <c r="J266" s="1191"/>
      <c r="K266" s="1191"/>
      <c r="L266" s="1191"/>
      <c r="M266" s="1191"/>
      <c r="N266" s="1191"/>
      <c r="O266" s="1191"/>
      <c r="P266" s="1199"/>
      <c r="Q266" s="1191"/>
      <c r="R266" s="1191"/>
      <c r="S266" s="1191"/>
      <c r="T266" s="1191"/>
      <c r="U266" s="1191"/>
      <c r="V266" s="1191"/>
      <c r="W266" s="1191"/>
      <c r="X266" s="1191"/>
      <c r="Y266" s="1191"/>
      <c r="Z266" s="1191"/>
      <c r="AA266" s="1191"/>
      <c r="AB266" s="1210"/>
      <c r="AC266" s="1210"/>
      <c r="AD266" s="1210"/>
      <c r="AE266" s="1210"/>
      <c r="AF266" s="1210"/>
      <c r="AG266" s="1210"/>
      <c r="AH266" s="1210"/>
      <c r="AI266" s="1211"/>
      <c r="AJ266" s="1211"/>
      <c r="AK266" s="1211"/>
    </row>
    <row r="267" spans="1:37" s="1179" customFormat="1">
      <c r="A267" s="1188"/>
      <c r="B267" s="1188"/>
      <c r="C267" s="1188"/>
      <c r="D267" s="1210"/>
      <c r="E267" s="1210"/>
      <c r="F267" s="1210"/>
      <c r="G267" s="1191"/>
      <c r="H267" s="1191"/>
      <c r="I267" s="1199"/>
      <c r="J267" s="1191"/>
      <c r="K267" s="1191"/>
      <c r="L267" s="1191"/>
      <c r="M267" s="1191"/>
      <c r="N267" s="1191"/>
      <c r="O267" s="1191"/>
      <c r="P267" s="1199"/>
      <c r="Q267" s="1191"/>
      <c r="R267" s="1191"/>
      <c r="S267" s="1191"/>
      <c r="T267" s="1191"/>
      <c r="U267" s="1191"/>
      <c r="V267" s="1191"/>
      <c r="W267" s="1191"/>
      <c r="X267" s="1191"/>
      <c r="Y267" s="1191"/>
      <c r="Z267" s="1191"/>
      <c r="AA267" s="1191"/>
      <c r="AB267" s="1210"/>
      <c r="AC267" s="1210"/>
      <c r="AD267" s="1210"/>
      <c r="AE267" s="1210"/>
      <c r="AF267" s="1210"/>
      <c r="AG267" s="1210"/>
      <c r="AH267" s="1210"/>
      <c r="AI267" s="1211"/>
      <c r="AJ267" s="1211"/>
      <c r="AK267" s="1211"/>
    </row>
    <row r="268" spans="1:37" s="1179" customFormat="1">
      <c r="A268" s="1188"/>
      <c r="B268" s="1188"/>
      <c r="C268" s="1188"/>
      <c r="D268" s="1210"/>
      <c r="E268" s="1210"/>
      <c r="F268" s="1210"/>
      <c r="G268" s="1191"/>
      <c r="H268" s="1191"/>
      <c r="I268" s="1199"/>
      <c r="J268" s="1191"/>
      <c r="K268" s="1191"/>
      <c r="L268" s="1191"/>
      <c r="M268" s="1191"/>
      <c r="N268" s="1191"/>
      <c r="O268" s="1191"/>
      <c r="P268" s="1199"/>
      <c r="Q268" s="1191"/>
      <c r="R268" s="1191"/>
      <c r="S268" s="1191"/>
      <c r="T268" s="1191"/>
      <c r="U268" s="1191"/>
      <c r="V268" s="1191"/>
      <c r="W268" s="1191"/>
      <c r="X268" s="1191"/>
      <c r="Y268" s="1191"/>
      <c r="Z268" s="1191"/>
      <c r="AA268" s="1191"/>
      <c r="AB268" s="1210"/>
      <c r="AC268" s="1210"/>
      <c r="AD268" s="1210"/>
      <c r="AE268" s="1210"/>
      <c r="AF268" s="1210"/>
      <c r="AG268" s="1210"/>
      <c r="AH268" s="1210"/>
      <c r="AI268" s="1211"/>
      <c r="AJ268" s="1211"/>
      <c r="AK268" s="1211"/>
    </row>
    <row r="269" spans="1:37" s="1179" customFormat="1">
      <c r="A269" s="1188"/>
      <c r="B269" s="1188"/>
      <c r="C269" s="1188"/>
      <c r="D269" s="1210"/>
      <c r="E269" s="1210"/>
      <c r="F269" s="1210"/>
      <c r="G269" s="1191"/>
      <c r="H269" s="1191"/>
      <c r="I269" s="1199"/>
      <c r="J269" s="1191"/>
      <c r="K269" s="1191"/>
      <c r="L269" s="1191"/>
      <c r="M269" s="1191"/>
      <c r="N269" s="1191"/>
      <c r="O269" s="1191"/>
      <c r="P269" s="1199"/>
      <c r="Q269" s="1191"/>
      <c r="R269" s="1191"/>
      <c r="S269" s="1191"/>
      <c r="T269" s="1191"/>
      <c r="U269" s="1191"/>
      <c r="V269" s="1191"/>
      <c r="W269" s="1191"/>
      <c r="X269" s="1191"/>
      <c r="Y269" s="1191"/>
      <c r="Z269" s="1191"/>
      <c r="AA269" s="1191"/>
      <c r="AB269" s="1210"/>
      <c r="AC269" s="1210"/>
      <c r="AD269" s="1210"/>
      <c r="AE269" s="1210"/>
      <c r="AF269" s="1210"/>
      <c r="AG269" s="1210"/>
      <c r="AH269" s="1210"/>
      <c r="AI269" s="1211"/>
      <c r="AJ269" s="1211"/>
      <c r="AK269" s="1211"/>
    </row>
    <row r="270" spans="1:37" s="1179" customFormat="1">
      <c r="A270" s="1188"/>
      <c r="B270" s="1188"/>
      <c r="C270" s="1188"/>
      <c r="D270" s="1210"/>
      <c r="E270" s="1210"/>
      <c r="F270" s="1210"/>
      <c r="G270" s="1191"/>
      <c r="H270" s="1191"/>
      <c r="I270" s="1199"/>
      <c r="J270" s="1191"/>
      <c r="K270" s="1191"/>
      <c r="L270" s="1191"/>
      <c r="M270" s="1191"/>
      <c r="N270" s="1191"/>
      <c r="O270" s="1191"/>
      <c r="P270" s="1199"/>
      <c r="Q270" s="1191"/>
      <c r="R270" s="1191"/>
      <c r="S270" s="1191"/>
      <c r="T270" s="1191"/>
      <c r="U270" s="1191"/>
      <c r="V270" s="1191"/>
      <c r="W270" s="1191"/>
      <c r="X270" s="1191"/>
      <c r="Y270" s="1191"/>
      <c r="Z270" s="1191"/>
      <c r="AA270" s="1191"/>
      <c r="AB270" s="1210"/>
      <c r="AC270" s="1210"/>
      <c r="AD270" s="1210"/>
      <c r="AE270" s="1210"/>
      <c r="AF270" s="1210"/>
      <c r="AG270" s="1210"/>
      <c r="AH270" s="1210"/>
      <c r="AI270" s="1211"/>
      <c r="AJ270" s="1211"/>
      <c r="AK270" s="1211"/>
    </row>
    <row r="271" spans="1:37" s="1179" customFormat="1">
      <c r="A271" s="1188"/>
      <c r="B271" s="1188"/>
      <c r="C271" s="1188"/>
      <c r="D271" s="1210"/>
      <c r="E271" s="1210"/>
      <c r="F271" s="1210"/>
      <c r="G271" s="1191"/>
      <c r="H271" s="1191"/>
      <c r="I271" s="1199"/>
      <c r="J271" s="1191"/>
      <c r="K271" s="1191"/>
      <c r="L271" s="1191"/>
      <c r="M271" s="1191"/>
      <c r="N271" s="1191"/>
      <c r="O271" s="1191"/>
      <c r="P271" s="1199"/>
      <c r="Q271" s="1191"/>
      <c r="R271" s="1191"/>
      <c r="S271" s="1191"/>
      <c r="T271" s="1191"/>
      <c r="U271" s="1191"/>
      <c r="V271" s="1191"/>
      <c r="W271" s="1191"/>
      <c r="X271" s="1191"/>
      <c r="Y271" s="1191"/>
      <c r="Z271" s="1191"/>
      <c r="AA271" s="1191"/>
      <c r="AB271" s="1210"/>
      <c r="AC271" s="1210"/>
      <c r="AD271" s="1210"/>
      <c r="AE271" s="1210"/>
      <c r="AF271" s="1210"/>
      <c r="AG271" s="1210"/>
      <c r="AH271" s="1210"/>
      <c r="AI271" s="1211"/>
      <c r="AJ271" s="1211"/>
      <c r="AK271" s="1211"/>
    </row>
    <row r="272" spans="1:37" s="1179" customFormat="1">
      <c r="A272" s="1188"/>
      <c r="B272" s="1188"/>
      <c r="C272" s="1188"/>
      <c r="D272" s="1210"/>
      <c r="E272" s="1210"/>
      <c r="F272" s="1210"/>
      <c r="G272" s="1191"/>
      <c r="H272" s="1191"/>
      <c r="I272" s="1199"/>
      <c r="J272" s="1191"/>
      <c r="K272" s="1191"/>
      <c r="L272" s="1191"/>
      <c r="M272" s="1191"/>
      <c r="N272" s="1191"/>
      <c r="O272" s="1191"/>
      <c r="P272" s="1199"/>
      <c r="Q272" s="1191"/>
      <c r="R272" s="1191"/>
      <c r="S272" s="1191"/>
      <c r="T272" s="1191"/>
      <c r="U272" s="1191"/>
      <c r="V272" s="1191"/>
      <c r="W272" s="1191"/>
      <c r="X272" s="1191"/>
      <c r="Y272" s="1191"/>
      <c r="Z272" s="1191"/>
      <c r="AA272" s="1191"/>
      <c r="AB272" s="1210"/>
      <c r="AC272" s="1210"/>
      <c r="AD272" s="1210"/>
      <c r="AE272" s="1210"/>
      <c r="AF272" s="1210"/>
      <c r="AG272" s="1210"/>
      <c r="AH272" s="1210"/>
      <c r="AI272" s="1211"/>
      <c r="AJ272" s="1211"/>
      <c r="AK272" s="1211"/>
    </row>
    <row r="273" spans="1:37" s="1179" customFormat="1">
      <c r="A273" s="1188"/>
      <c r="B273" s="1188"/>
      <c r="C273" s="1188"/>
      <c r="D273" s="1210"/>
      <c r="E273" s="1210"/>
      <c r="F273" s="1210"/>
      <c r="G273" s="1191"/>
      <c r="H273" s="1191"/>
      <c r="I273" s="1199"/>
      <c r="J273" s="1191"/>
      <c r="K273" s="1191"/>
      <c r="L273" s="1191"/>
      <c r="M273" s="1191"/>
      <c r="N273" s="1191"/>
      <c r="O273" s="1191"/>
      <c r="P273" s="1199"/>
      <c r="Q273" s="1191"/>
      <c r="R273" s="1191"/>
      <c r="S273" s="1191"/>
      <c r="T273" s="1191"/>
      <c r="U273" s="1191"/>
      <c r="V273" s="1191"/>
      <c r="W273" s="1191"/>
      <c r="X273" s="1191"/>
      <c r="Y273" s="1191"/>
      <c r="Z273" s="1191"/>
      <c r="AA273" s="1191"/>
      <c r="AB273" s="1210"/>
      <c r="AC273" s="1210"/>
      <c r="AD273" s="1210"/>
      <c r="AE273" s="1210"/>
      <c r="AF273" s="1210"/>
      <c r="AG273" s="1210"/>
      <c r="AH273" s="1210"/>
      <c r="AI273" s="1211"/>
      <c r="AJ273" s="1211"/>
      <c r="AK273" s="1211"/>
    </row>
    <row r="274" spans="1:37" s="1179" customFormat="1">
      <c r="A274" s="1188"/>
      <c r="B274" s="1188"/>
      <c r="C274" s="1188"/>
      <c r="D274" s="1210"/>
      <c r="E274" s="1210"/>
      <c r="F274" s="1210"/>
      <c r="G274" s="1191"/>
      <c r="H274" s="1191"/>
      <c r="I274" s="1199"/>
      <c r="J274" s="1191"/>
      <c r="K274" s="1191"/>
      <c r="L274" s="1191"/>
      <c r="M274" s="1191"/>
      <c r="N274" s="1191"/>
      <c r="O274" s="1191"/>
      <c r="P274" s="1199"/>
      <c r="Q274" s="1191"/>
      <c r="R274" s="1191"/>
      <c r="S274" s="1191"/>
      <c r="T274" s="1191"/>
      <c r="U274" s="1191"/>
      <c r="V274" s="1191"/>
      <c r="W274" s="1191"/>
      <c r="X274" s="1191"/>
      <c r="Y274" s="1191"/>
      <c r="Z274" s="1191"/>
      <c r="AA274" s="1191"/>
      <c r="AB274" s="1210"/>
      <c r="AC274" s="1210"/>
      <c r="AD274" s="1210"/>
      <c r="AE274" s="1210"/>
      <c r="AF274" s="1210"/>
      <c r="AG274" s="1210"/>
      <c r="AH274" s="1210"/>
      <c r="AI274" s="1211"/>
      <c r="AJ274" s="1211"/>
      <c r="AK274" s="1211"/>
    </row>
    <row r="275" spans="1:37" s="1179" customFormat="1">
      <c r="A275" s="1188"/>
      <c r="B275" s="1188"/>
      <c r="C275" s="1188"/>
      <c r="D275" s="1210"/>
      <c r="E275" s="1210"/>
      <c r="F275" s="1210"/>
      <c r="G275" s="1191"/>
      <c r="H275" s="1191"/>
      <c r="I275" s="1199"/>
      <c r="J275" s="1191"/>
      <c r="K275" s="1191"/>
      <c r="L275" s="1191"/>
      <c r="M275" s="1191"/>
      <c r="N275" s="1191"/>
      <c r="O275" s="1191"/>
      <c r="P275" s="1199"/>
      <c r="Q275" s="1191"/>
      <c r="R275" s="1191"/>
      <c r="S275" s="1191"/>
      <c r="T275" s="1191"/>
      <c r="U275" s="1191"/>
      <c r="V275" s="1191"/>
      <c r="W275" s="1191"/>
      <c r="X275" s="1191"/>
      <c r="Y275" s="1191"/>
      <c r="Z275" s="1191"/>
      <c r="AA275" s="1191"/>
      <c r="AB275" s="1210"/>
      <c r="AC275" s="1210"/>
      <c r="AD275" s="1210"/>
      <c r="AE275" s="1210"/>
      <c r="AF275" s="1210"/>
      <c r="AG275" s="1210"/>
      <c r="AH275" s="1210"/>
      <c r="AI275" s="1211"/>
      <c r="AJ275" s="1211"/>
      <c r="AK275" s="1211"/>
    </row>
    <row r="276" spans="1:37" s="1179" customFormat="1">
      <c r="A276" s="1188"/>
      <c r="B276" s="1188"/>
      <c r="C276" s="1188"/>
      <c r="D276" s="1210"/>
      <c r="E276" s="1210"/>
      <c r="F276" s="1210"/>
      <c r="G276" s="1191"/>
      <c r="H276" s="1191"/>
      <c r="I276" s="1199"/>
      <c r="J276" s="1191"/>
      <c r="K276" s="1191"/>
      <c r="L276" s="1191"/>
      <c r="M276" s="1191"/>
      <c r="N276" s="1191"/>
      <c r="O276" s="1191"/>
      <c r="P276" s="1199"/>
      <c r="Q276" s="1191"/>
      <c r="R276" s="1191"/>
      <c r="S276" s="1191"/>
      <c r="T276" s="1191"/>
      <c r="U276" s="1191"/>
      <c r="V276" s="1191"/>
      <c r="W276" s="1191"/>
      <c r="X276" s="1191"/>
      <c r="Y276" s="1191"/>
      <c r="Z276" s="1191"/>
      <c r="AA276" s="1191"/>
      <c r="AB276" s="1210"/>
      <c r="AC276" s="1210"/>
      <c r="AD276" s="1210"/>
      <c r="AE276" s="1210"/>
      <c r="AF276" s="1210"/>
      <c r="AG276" s="1210"/>
      <c r="AH276" s="1210"/>
      <c r="AI276" s="1211"/>
      <c r="AJ276" s="1211"/>
      <c r="AK276" s="1211"/>
    </row>
    <row r="277" spans="1:37" s="1179" customFormat="1">
      <c r="A277" s="1188"/>
      <c r="B277" s="1188"/>
      <c r="C277" s="1188"/>
      <c r="D277" s="1210"/>
      <c r="E277" s="1210"/>
      <c r="F277" s="1210"/>
      <c r="G277" s="1191"/>
      <c r="H277" s="1191"/>
      <c r="I277" s="1199"/>
      <c r="J277" s="1191"/>
      <c r="K277" s="1191"/>
      <c r="L277" s="1191"/>
      <c r="M277" s="1191"/>
      <c r="N277" s="1191"/>
      <c r="O277" s="1191"/>
      <c r="P277" s="1199"/>
      <c r="Q277" s="1191"/>
      <c r="R277" s="1191"/>
      <c r="S277" s="1191"/>
      <c r="T277" s="1191"/>
      <c r="U277" s="1191"/>
      <c r="V277" s="1191"/>
      <c r="W277" s="1191"/>
      <c r="X277" s="1191"/>
      <c r="Y277" s="1191"/>
      <c r="Z277" s="1191"/>
      <c r="AA277" s="1191"/>
      <c r="AB277" s="1210"/>
      <c r="AC277" s="1210"/>
      <c r="AD277" s="1210"/>
      <c r="AE277" s="1210"/>
      <c r="AF277" s="1210"/>
      <c r="AG277" s="1210"/>
      <c r="AH277" s="1210"/>
      <c r="AI277" s="1211"/>
      <c r="AJ277" s="1211"/>
      <c r="AK277" s="1211"/>
    </row>
    <row r="278" spans="1:37" s="1179" customFormat="1">
      <c r="A278" s="1188"/>
      <c r="B278" s="1188"/>
      <c r="C278" s="1188"/>
      <c r="D278" s="1210"/>
      <c r="E278" s="1210"/>
      <c r="F278" s="1210"/>
      <c r="G278" s="1191"/>
      <c r="H278" s="1191"/>
      <c r="I278" s="1199"/>
      <c r="J278" s="1191"/>
      <c r="K278" s="1191"/>
      <c r="L278" s="1191"/>
      <c r="M278" s="1191"/>
      <c r="N278" s="1191"/>
      <c r="O278" s="1191"/>
      <c r="P278" s="1199"/>
      <c r="Q278" s="1191"/>
      <c r="R278" s="1191"/>
      <c r="S278" s="1191"/>
      <c r="T278" s="1191"/>
      <c r="U278" s="1191"/>
      <c r="V278" s="1191"/>
      <c r="W278" s="1191"/>
      <c r="X278" s="1191"/>
      <c r="Y278" s="1191"/>
      <c r="Z278" s="1191"/>
      <c r="AA278" s="1191"/>
      <c r="AB278" s="1210"/>
      <c r="AC278" s="1210"/>
      <c r="AD278" s="1210"/>
      <c r="AE278" s="1210"/>
      <c r="AF278" s="1210"/>
      <c r="AG278" s="1210"/>
      <c r="AH278" s="1210"/>
      <c r="AI278" s="1211"/>
      <c r="AJ278" s="1211"/>
      <c r="AK278" s="1211"/>
    </row>
    <row r="279" spans="1:37" s="1179" customFormat="1">
      <c r="A279" s="1188"/>
      <c r="B279" s="1188"/>
      <c r="C279" s="1188"/>
      <c r="D279" s="1210"/>
      <c r="E279" s="1210"/>
      <c r="F279" s="1210"/>
      <c r="G279" s="1191"/>
      <c r="H279" s="1191"/>
      <c r="I279" s="1199"/>
      <c r="J279" s="1191"/>
      <c r="K279" s="1191"/>
      <c r="L279" s="1191"/>
      <c r="M279" s="1191"/>
      <c r="N279" s="1191"/>
      <c r="O279" s="1191"/>
      <c r="P279" s="1199"/>
      <c r="Q279" s="1191"/>
      <c r="R279" s="1191"/>
      <c r="S279" s="1191"/>
      <c r="T279" s="1191"/>
      <c r="U279" s="1191"/>
      <c r="V279" s="1191"/>
      <c r="W279" s="1191"/>
      <c r="X279" s="1191"/>
      <c r="Y279" s="1191"/>
      <c r="Z279" s="1191"/>
      <c r="AA279" s="1191"/>
      <c r="AB279" s="1210"/>
      <c r="AC279" s="1210"/>
      <c r="AD279" s="1210"/>
      <c r="AE279" s="1210"/>
      <c r="AF279" s="1210"/>
      <c r="AG279" s="1210"/>
      <c r="AH279" s="1210"/>
      <c r="AI279" s="1211"/>
      <c r="AJ279" s="1211"/>
      <c r="AK279" s="1211"/>
    </row>
    <row r="280" spans="1:37" s="1179" customFormat="1">
      <c r="A280" s="1188"/>
      <c r="B280" s="1188"/>
      <c r="C280" s="1188"/>
      <c r="D280" s="1210"/>
      <c r="E280" s="1210"/>
      <c r="F280" s="1210"/>
      <c r="G280" s="1191"/>
      <c r="H280" s="1191"/>
      <c r="I280" s="1199"/>
      <c r="J280" s="1191"/>
      <c r="K280" s="1191"/>
      <c r="L280" s="1191"/>
      <c r="M280" s="1191"/>
      <c r="N280" s="1191"/>
      <c r="O280" s="1191"/>
      <c r="P280" s="1199"/>
      <c r="Q280" s="1191"/>
      <c r="R280" s="1191"/>
      <c r="S280" s="1191"/>
      <c r="T280" s="1191"/>
      <c r="U280" s="1191"/>
      <c r="V280" s="1191"/>
      <c r="W280" s="1191"/>
      <c r="X280" s="1191"/>
      <c r="Y280" s="1191"/>
      <c r="Z280" s="1191"/>
      <c r="AA280" s="1191"/>
      <c r="AB280" s="1210"/>
      <c r="AC280" s="1210"/>
      <c r="AD280" s="1210"/>
      <c r="AE280" s="1210"/>
      <c r="AF280" s="1210"/>
      <c r="AG280" s="1210"/>
      <c r="AH280" s="1210"/>
      <c r="AI280" s="1211"/>
      <c r="AJ280" s="1211"/>
      <c r="AK280" s="1211"/>
    </row>
    <row r="281" spans="1:37" s="1179" customFormat="1">
      <c r="A281" s="1188"/>
      <c r="B281" s="1188"/>
      <c r="C281" s="1188"/>
      <c r="D281" s="1210"/>
      <c r="E281" s="1210"/>
      <c r="F281" s="1210"/>
      <c r="G281" s="1191"/>
      <c r="H281" s="1191"/>
      <c r="I281" s="1199"/>
      <c r="J281" s="1191"/>
      <c r="K281" s="1191"/>
      <c r="L281" s="1191"/>
      <c r="M281" s="1191"/>
      <c r="N281" s="1191"/>
      <c r="O281" s="1191"/>
      <c r="P281" s="1199"/>
      <c r="Q281" s="1191"/>
      <c r="R281" s="1191"/>
      <c r="S281" s="1191"/>
      <c r="T281" s="1191"/>
      <c r="U281" s="1191"/>
      <c r="V281" s="1191"/>
      <c r="W281" s="1191"/>
      <c r="X281" s="1191"/>
      <c r="Y281" s="1191"/>
      <c r="Z281" s="1191"/>
      <c r="AA281" s="1191"/>
      <c r="AB281" s="1210"/>
      <c r="AC281" s="1210"/>
      <c r="AD281" s="1210"/>
      <c r="AE281" s="1210"/>
      <c r="AF281" s="1210"/>
      <c r="AG281" s="1210"/>
      <c r="AH281" s="1210"/>
      <c r="AI281" s="1211"/>
      <c r="AJ281" s="1211"/>
      <c r="AK281" s="1211"/>
    </row>
    <row r="282" spans="1:37" s="1179" customFormat="1">
      <c r="A282" s="1188"/>
      <c r="B282" s="1188"/>
      <c r="C282" s="1188"/>
      <c r="D282" s="1210"/>
      <c r="E282" s="1210"/>
      <c r="F282" s="1210"/>
      <c r="G282" s="1191"/>
      <c r="H282" s="1191"/>
      <c r="I282" s="1199"/>
      <c r="J282" s="1191"/>
      <c r="K282" s="1191"/>
      <c r="L282" s="1191"/>
      <c r="M282" s="1191"/>
      <c r="N282" s="1191"/>
      <c r="O282" s="1191"/>
      <c r="P282" s="1199"/>
      <c r="Q282" s="1191"/>
      <c r="R282" s="1191"/>
      <c r="S282" s="1191"/>
      <c r="T282" s="1191"/>
      <c r="U282" s="1191"/>
      <c r="V282" s="1191"/>
      <c r="W282" s="1191"/>
      <c r="X282" s="1191"/>
      <c r="Y282" s="1191"/>
      <c r="Z282" s="1191"/>
      <c r="AA282" s="1191"/>
      <c r="AB282" s="1210"/>
      <c r="AC282" s="1210"/>
      <c r="AD282" s="1210"/>
      <c r="AE282" s="1210"/>
      <c r="AF282" s="1210"/>
      <c r="AG282" s="1210"/>
      <c r="AH282" s="1210"/>
      <c r="AI282" s="1211"/>
      <c r="AJ282" s="1211"/>
      <c r="AK282" s="1211"/>
    </row>
    <row r="283" spans="1:37" s="1179" customFormat="1">
      <c r="A283" s="1188"/>
      <c r="B283" s="1188"/>
      <c r="C283" s="1188"/>
      <c r="D283" s="1210"/>
      <c r="E283" s="1210"/>
      <c r="F283" s="1210"/>
      <c r="G283" s="1191"/>
      <c r="H283" s="1191"/>
      <c r="I283" s="1199"/>
      <c r="J283" s="1191"/>
      <c r="K283" s="1191"/>
      <c r="L283" s="1191"/>
      <c r="M283" s="1191"/>
      <c r="N283" s="1191"/>
      <c r="O283" s="1191"/>
      <c r="P283" s="1199"/>
      <c r="Q283" s="1191"/>
      <c r="R283" s="1191"/>
      <c r="S283" s="1191"/>
      <c r="T283" s="1191"/>
      <c r="U283" s="1191"/>
      <c r="V283" s="1191"/>
      <c r="W283" s="1191"/>
      <c r="X283" s="1191"/>
      <c r="Y283" s="1191"/>
      <c r="Z283" s="1191"/>
      <c r="AA283" s="1191"/>
      <c r="AB283" s="1210"/>
      <c r="AC283" s="1210"/>
      <c r="AD283" s="1210"/>
      <c r="AE283" s="1210"/>
      <c r="AF283" s="1210"/>
      <c r="AG283" s="1210"/>
      <c r="AH283" s="1210"/>
      <c r="AI283" s="1211"/>
      <c r="AJ283" s="1211"/>
      <c r="AK283" s="1211"/>
    </row>
    <row r="284" spans="1:37" s="1179" customFormat="1">
      <c r="A284" s="1188"/>
      <c r="B284" s="1188"/>
      <c r="C284" s="1188"/>
      <c r="D284" s="1210"/>
      <c r="E284" s="1210"/>
      <c r="F284" s="1210"/>
      <c r="G284" s="1191"/>
      <c r="H284" s="1191"/>
      <c r="I284" s="1199"/>
      <c r="J284" s="1191"/>
      <c r="K284" s="1191"/>
      <c r="L284" s="1191"/>
      <c r="M284" s="1191"/>
      <c r="N284" s="1191"/>
      <c r="O284" s="1191"/>
      <c r="P284" s="1199"/>
      <c r="Q284" s="1191"/>
      <c r="R284" s="1191"/>
      <c r="S284" s="1191"/>
      <c r="T284" s="1191"/>
      <c r="U284" s="1191"/>
      <c r="V284" s="1191"/>
      <c r="W284" s="1191"/>
      <c r="X284" s="1191"/>
      <c r="Y284" s="1191"/>
      <c r="Z284" s="1191"/>
      <c r="AA284" s="1191"/>
      <c r="AB284" s="1210"/>
      <c r="AC284" s="1210"/>
      <c r="AD284" s="1210"/>
      <c r="AE284" s="1210"/>
      <c r="AF284" s="1210"/>
      <c r="AG284" s="1210"/>
      <c r="AH284" s="1210"/>
      <c r="AI284" s="1211"/>
      <c r="AJ284" s="1211"/>
      <c r="AK284" s="1211"/>
    </row>
    <row r="285" spans="1:37" s="1179" customFormat="1">
      <c r="A285" s="1188"/>
      <c r="B285" s="1188"/>
      <c r="C285" s="1188"/>
      <c r="D285" s="1210"/>
      <c r="E285" s="1210"/>
      <c r="F285" s="1210"/>
      <c r="G285" s="1191"/>
      <c r="H285" s="1191"/>
      <c r="I285" s="1199"/>
      <c r="J285" s="1191"/>
      <c r="K285" s="1191"/>
      <c r="L285" s="1191"/>
      <c r="M285" s="1191"/>
      <c r="N285" s="1191"/>
      <c r="O285" s="1191"/>
      <c r="P285" s="1199"/>
      <c r="Q285" s="1191"/>
      <c r="R285" s="1191"/>
      <c r="S285" s="1191"/>
      <c r="T285" s="1191"/>
      <c r="U285" s="1191"/>
      <c r="V285" s="1191"/>
      <c r="W285" s="1191"/>
      <c r="X285" s="1191"/>
      <c r="Y285" s="1191"/>
      <c r="Z285" s="1191"/>
      <c r="AA285" s="1191"/>
      <c r="AB285" s="1210"/>
      <c r="AC285" s="1210"/>
      <c r="AD285" s="1210"/>
      <c r="AE285" s="1210"/>
      <c r="AF285" s="1210"/>
      <c r="AG285" s="1210"/>
      <c r="AH285" s="1210"/>
      <c r="AI285" s="1211"/>
      <c r="AJ285" s="1211"/>
      <c r="AK285" s="1211"/>
    </row>
    <row r="286" spans="1:37" s="1179" customFormat="1">
      <c r="A286" s="1188"/>
      <c r="B286" s="1188"/>
      <c r="C286" s="1188"/>
      <c r="D286" s="1210"/>
      <c r="E286" s="1210"/>
      <c r="F286" s="1210"/>
      <c r="G286" s="1191"/>
      <c r="H286" s="1191"/>
      <c r="I286" s="1199"/>
      <c r="J286" s="1191"/>
      <c r="K286" s="1191"/>
      <c r="L286" s="1191"/>
      <c r="M286" s="1191"/>
      <c r="N286" s="1191"/>
      <c r="O286" s="1191"/>
      <c r="P286" s="1199"/>
      <c r="Q286" s="1191"/>
      <c r="R286" s="1191"/>
      <c r="S286" s="1191"/>
      <c r="T286" s="1191"/>
      <c r="U286" s="1191"/>
      <c r="V286" s="1191"/>
      <c r="W286" s="1191"/>
      <c r="X286" s="1191"/>
      <c r="Y286" s="1191"/>
      <c r="Z286" s="1191"/>
      <c r="AA286" s="1191"/>
      <c r="AB286" s="1210"/>
      <c r="AC286" s="1210"/>
      <c r="AD286" s="1210"/>
      <c r="AE286" s="1210"/>
      <c r="AF286" s="1210"/>
      <c r="AG286" s="1210"/>
      <c r="AH286" s="1210"/>
      <c r="AI286" s="1211"/>
      <c r="AJ286" s="1211"/>
      <c r="AK286" s="1211"/>
    </row>
    <row r="287" spans="1:37" s="1179" customFormat="1">
      <c r="A287" s="1188"/>
      <c r="B287" s="1188"/>
      <c r="C287" s="1188"/>
      <c r="D287" s="1210"/>
      <c r="E287" s="1210"/>
      <c r="F287" s="1210"/>
      <c r="G287" s="1191"/>
      <c r="H287" s="1191"/>
      <c r="I287" s="1199"/>
      <c r="J287" s="1191"/>
      <c r="K287" s="1191"/>
      <c r="L287" s="1191"/>
      <c r="M287" s="1191"/>
      <c r="N287" s="1191"/>
      <c r="O287" s="1191"/>
      <c r="P287" s="1199"/>
      <c r="Q287" s="1191"/>
      <c r="R287" s="1191"/>
      <c r="S287" s="1191"/>
      <c r="T287" s="1191"/>
      <c r="U287" s="1191"/>
      <c r="V287" s="1191"/>
      <c r="W287" s="1191"/>
      <c r="X287" s="1191"/>
      <c r="Y287" s="1191"/>
      <c r="Z287" s="1191"/>
      <c r="AA287" s="1191"/>
      <c r="AB287" s="1210"/>
      <c r="AC287" s="1210"/>
      <c r="AD287" s="1210"/>
      <c r="AE287" s="1210"/>
      <c r="AF287" s="1210"/>
      <c r="AG287" s="1210"/>
      <c r="AH287" s="1210"/>
      <c r="AI287" s="1211"/>
      <c r="AJ287" s="1211"/>
      <c r="AK287" s="1211"/>
    </row>
    <row r="288" spans="1:37" s="1179" customFormat="1">
      <c r="A288" s="1188"/>
      <c r="B288" s="1188"/>
      <c r="C288" s="1188"/>
      <c r="D288" s="1210"/>
      <c r="E288" s="1210"/>
      <c r="F288" s="1210"/>
      <c r="G288" s="1191"/>
      <c r="H288" s="1191"/>
      <c r="I288" s="1199"/>
      <c r="J288" s="1191"/>
      <c r="K288" s="1191"/>
      <c r="L288" s="1191"/>
      <c r="M288" s="1191"/>
      <c r="N288" s="1191"/>
      <c r="O288" s="1191"/>
      <c r="P288" s="1199"/>
      <c r="Q288" s="1191"/>
      <c r="R288" s="1191"/>
      <c r="S288" s="1191"/>
      <c r="T288" s="1191"/>
      <c r="U288" s="1191"/>
      <c r="V288" s="1191"/>
      <c r="W288" s="1191"/>
      <c r="X288" s="1191"/>
      <c r="Y288" s="1191"/>
      <c r="Z288" s="1191"/>
      <c r="AA288" s="1191"/>
      <c r="AB288" s="1210"/>
      <c r="AC288" s="1210"/>
      <c r="AD288" s="1210"/>
      <c r="AE288" s="1210"/>
      <c r="AF288" s="1210"/>
      <c r="AG288" s="1210"/>
      <c r="AH288" s="1210"/>
      <c r="AI288" s="1211"/>
      <c r="AJ288" s="1211"/>
      <c r="AK288" s="1211"/>
    </row>
    <row r="289" spans="1:37" s="1179" customFormat="1">
      <c r="A289" s="1188"/>
      <c r="B289" s="1188"/>
      <c r="C289" s="1188"/>
      <c r="D289" s="1210"/>
      <c r="E289" s="1210"/>
      <c r="F289" s="1210"/>
      <c r="G289" s="1191"/>
      <c r="H289" s="1191"/>
      <c r="I289" s="1199"/>
      <c r="J289" s="1191"/>
      <c r="K289" s="1191"/>
      <c r="L289" s="1191"/>
      <c r="M289" s="1191"/>
      <c r="N289" s="1191"/>
      <c r="O289" s="1191"/>
      <c r="P289" s="1199"/>
      <c r="Q289" s="1191"/>
      <c r="R289" s="1191"/>
      <c r="S289" s="1191"/>
      <c r="T289" s="1191"/>
      <c r="U289" s="1191"/>
      <c r="V289" s="1191"/>
      <c r="W289" s="1191"/>
      <c r="X289" s="1191"/>
      <c r="Y289" s="1191"/>
      <c r="Z289" s="1191"/>
      <c r="AA289" s="1191"/>
      <c r="AB289" s="1210"/>
      <c r="AC289" s="1210"/>
      <c r="AD289" s="1210"/>
      <c r="AE289" s="1210"/>
      <c r="AF289" s="1210"/>
      <c r="AG289" s="1210"/>
      <c r="AH289" s="1210"/>
      <c r="AI289" s="1211"/>
      <c r="AJ289" s="1211"/>
      <c r="AK289" s="1211"/>
    </row>
    <row r="290" spans="1:37" s="1179" customFormat="1">
      <c r="A290" s="1188"/>
      <c r="B290" s="1188"/>
      <c r="C290" s="1188"/>
      <c r="D290" s="1210"/>
      <c r="E290" s="1210"/>
      <c r="F290" s="1210"/>
      <c r="G290" s="1191"/>
      <c r="H290" s="1191"/>
      <c r="I290" s="1199"/>
      <c r="J290" s="1191"/>
      <c r="K290" s="1191"/>
      <c r="L290" s="1191"/>
      <c r="M290" s="1191"/>
      <c r="N290" s="1191"/>
      <c r="O290" s="1191"/>
      <c r="P290" s="1199"/>
      <c r="Q290" s="1191"/>
      <c r="R290" s="1191"/>
      <c r="S290" s="1191"/>
      <c r="T290" s="1191"/>
      <c r="U290" s="1191"/>
      <c r="V290" s="1191"/>
      <c r="W290" s="1191"/>
      <c r="X290" s="1191"/>
      <c r="Y290" s="1191"/>
      <c r="Z290" s="1191"/>
      <c r="AA290" s="1191"/>
      <c r="AB290" s="1210"/>
      <c r="AC290" s="1210"/>
      <c r="AD290" s="1210"/>
      <c r="AE290" s="1210"/>
      <c r="AF290" s="1210"/>
      <c r="AG290" s="1210"/>
      <c r="AH290" s="1210"/>
      <c r="AI290" s="1211"/>
      <c r="AJ290" s="1211"/>
      <c r="AK290" s="1211"/>
    </row>
    <row r="291" spans="1:37" s="1179" customFormat="1">
      <c r="A291" s="1188"/>
      <c r="B291" s="1188"/>
      <c r="C291" s="1188"/>
      <c r="D291" s="1210"/>
      <c r="E291" s="1210"/>
      <c r="F291" s="1210"/>
      <c r="G291" s="1191"/>
      <c r="H291" s="1191"/>
      <c r="I291" s="1199"/>
      <c r="J291" s="1191"/>
      <c r="K291" s="1191"/>
      <c r="L291" s="1191"/>
      <c r="M291" s="1191"/>
      <c r="N291" s="1191"/>
      <c r="O291" s="1191"/>
      <c r="P291" s="1199"/>
      <c r="Q291" s="1191"/>
      <c r="R291" s="1191"/>
      <c r="S291" s="1191"/>
      <c r="T291" s="1191"/>
      <c r="U291" s="1191"/>
      <c r="V291" s="1191"/>
      <c r="W291" s="1191"/>
      <c r="X291" s="1191"/>
      <c r="Y291" s="1191"/>
      <c r="Z291" s="1191"/>
      <c r="AA291" s="1191"/>
      <c r="AB291" s="1210"/>
      <c r="AC291" s="1210"/>
      <c r="AD291" s="1210"/>
      <c r="AE291" s="1210"/>
      <c r="AF291" s="1210"/>
      <c r="AG291" s="1210"/>
      <c r="AH291" s="1210"/>
      <c r="AI291" s="1211"/>
      <c r="AJ291" s="1211"/>
      <c r="AK291" s="1211"/>
    </row>
    <row r="292" spans="1:37" s="1179" customFormat="1">
      <c r="A292" s="1188"/>
      <c r="B292" s="1188"/>
      <c r="C292" s="1188"/>
      <c r="D292" s="1210"/>
      <c r="E292" s="1210"/>
      <c r="F292" s="1210"/>
      <c r="G292" s="1191"/>
      <c r="H292" s="1191"/>
      <c r="I292" s="1199"/>
      <c r="J292" s="1191"/>
      <c r="K292" s="1191"/>
      <c r="L292" s="1191"/>
      <c r="M292" s="1191"/>
      <c r="N292" s="1191"/>
      <c r="O292" s="1191"/>
      <c r="P292" s="1199"/>
      <c r="Q292" s="1191"/>
      <c r="R292" s="1191"/>
      <c r="S292" s="1191"/>
      <c r="T292" s="1191"/>
      <c r="U292" s="1191"/>
      <c r="V292" s="1191"/>
      <c r="W292" s="1191"/>
      <c r="X292" s="1191"/>
      <c r="Y292" s="1191"/>
      <c r="Z292" s="1191"/>
      <c r="AA292" s="1191"/>
      <c r="AB292" s="1210"/>
      <c r="AC292" s="1210"/>
      <c r="AD292" s="1210"/>
      <c r="AE292" s="1210"/>
      <c r="AF292" s="1210"/>
      <c r="AG292" s="1210"/>
      <c r="AH292" s="1210"/>
      <c r="AI292" s="1211"/>
      <c r="AJ292" s="1211"/>
      <c r="AK292" s="1211"/>
    </row>
    <row r="293" spans="1:37" s="1179" customFormat="1">
      <c r="A293" s="1188"/>
      <c r="B293" s="1188"/>
      <c r="C293" s="1188"/>
      <c r="D293" s="1210"/>
      <c r="E293" s="1210"/>
      <c r="F293" s="1210"/>
      <c r="G293" s="1191"/>
      <c r="H293" s="1191"/>
      <c r="I293" s="1199"/>
      <c r="J293" s="1191"/>
      <c r="K293" s="1191"/>
      <c r="L293" s="1191"/>
      <c r="M293" s="1191"/>
      <c r="N293" s="1191"/>
      <c r="O293" s="1191"/>
      <c r="P293" s="1199"/>
      <c r="Q293" s="1191"/>
      <c r="R293" s="1191"/>
      <c r="S293" s="1191"/>
      <c r="T293" s="1191"/>
      <c r="U293" s="1191"/>
      <c r="V293" s="1191"/>
      <c r="W293" s="1191"/>
      <c r="X293" s="1191"/>
      <c r="Y293" s="1191"/>
      <c r="Z293" s="1191"/>
      <c r="AA293" s="1191"/>
      <c r="AB293" s="1210"/>
      <c r="AC293" s="1210"/>
      <c r="AD293" s="1210"/>
      <c r="AE293" s="1210"/>
      <c r="AF293" s="1210"/>
      <c r="AG293" s="1210"/>
      <c r="AH293" s="1210"/>
      <c r="AI293" s="1211"/>
      <c r="AJ293" s="1211"/>
      <c r="AK293" s="1211"/>
    </row>
    <row r="294" spans="1:37" s="1179" customFormat="1">
      <c r="A294" s="1188"/>
      <c r="B294" s="1188"/>
      <c r="C294" s="1188"/>
      <c r="D294" s="1210"/>
      <c r="E294" s="1210"/>
      <c r="F294" s="1210"/>
      <c r="G294" s="1191"/>
      <c r="H294" s="1191"/>
      <c r="I294" s="1199"/>
      <c r="J294" s="1191"/>
      <c r="K294" s="1191"/>
      <c r="L294" s="1191"/>
      <c r="M294" s="1191"/>
      <c r="N294" s="1191"/>
      <c r="O294" s="1191"/>
      <c r="P294" s="1199"/>
      <c r="Q294" s="1191"/>
      <c r="R294" s="1191"/>
      <c r="S294" s="1191"/>
      <c r="T294" s="1191"/>
      <c r="U294" s="1191"/>
      <c r="V294" s="1191"/>
      <c r="W294" s="1191"/>
      <c r="X294" s="1191"/>
      <c r="Y294" s="1191"/>
      <c r="Z294" s="1191"/>
      <c r="AA294" s="1191"/>
      <c r="AB294" s="1210"/>
      <c r="AC294" s="1210"/>
      <c r="AD294" s="1210"/>
      <c r="AE294" s="1210"/>
      <c r="AF294" s="1210"/>
      <c r="AG294" s="1210"/>
      <c r="AH294" s="1210"/>
      <c r="AI294" s="1211"/>
      <c r="AJ294" s="1211"/>
      <c r="AK294" s="1211"/>
    </row>
    <row r="295" spans="1:37" s="1179" customFormat="1">
      <c r="A295" s="1188"/>
      <c r="B295" s="1188"/>
      <c r="C295" s="1188"/>
      <c r="D295" s="1210"/>
      <c r="E295" s="1210"/>
      <c r="F295" s="1210"/>
      <c r="G295" s="1191"/>
      <c r="H295" s="1191"/>
      <c r="I295" s="1199"/>
      <c r="J295" s="1191"/>
      <c r="K295" s="1191"/>
      <c r="L295" s="1191"/>
      <c r="M295" s="1191"/>
      <c r="N295" s="1191"/>
      <c r="O295" s="1191"/>
      <c r="P295" s="1199"/>
      <c r="Q295" s="1191"/>
      <c r="R295" s="1191"/>
      <c r="S295" s="1191"/>
      <c r="T295" s="1191"/>
      <c r="U295" s="1191"/>
      <c r="V295" s="1191"/>
      <c r="W295" s="1191"/>
      <c r="X295" s="1191"/>
      <c r="Y295" s="1191"/>
      <c r="Z295" s="1191"/>
      <c r="AA295" s="1191"/>
      <c r="AB295" s="1210"/>
      <c r="AC295" s="1210"/>
      <c r="AD295" s="1210"/>
      <c r="AE295" s="1210"/>
      <c r="AF295" s="1210"/>
      <c r="AG295" s="1210"/>
      <c r="AH295" s="1210"/>
      <c r="AI295" s="1211"/>
      <c r="AJ295" s="1211"/>
      <c r="AK295" s="1211"/>
    </row>
    <row r="296" spans="1:37" s="1179" customFormat="1">
      <c r="A296" s="1188"/>
      <c r="B296" s="1188"/>
      <c r="C296" s="1188"/>
      <c r="D296" s="1210"/>
      <c r="E296" s="1210"/>
      <c r="F296" s="1210"/>
      <c r="G296" s="1191"/>
      <c r="H296" s="1191"/>
      <c r="I296" s="1199"/>
      <c r="J296" s="1191"/>
      <c r="K296" s="1191"/>
      <c r="L296" s="1191"/>
      <c r="M296" s="1191"/>
      <c r="N296" s="1191"/>
      <c r="O296" s="1191"/>
      <c r="P296" s="1199"/>
      <c r="Q296" s="1191"/>
      <c r="R296" s="1191"/>
      <c r="S296" s="1191"/>
      <c r="T296" s="1191"/>
      <c r="U296" s="1191"/>
      <c r="V296" s="1191"/>
      <c r="W296" s="1191"/>
      <c r="X296" s="1191"/>
      <c r="Y296" s="1191"/>
      <c r="Z296" s="1191"/>
      <c r="AA296" s="1191"/>
      <c r="AB296" s="1210"/>
      <c r="AC296" s="1210"/>
      <c r="AD296" s="1210"/>
      <c r="AE296" s="1210"/>
      <c r="AF296" s="1210"/>
      <c r="AG296" s="1210"/>
      <c r="AH296" s="1210"/>
      <c r="AI296" s="1211"/>
      <c r="AJ296" s="1211"/>
      <c r="AK296" s="1211"/>
    </row>
    <row r="297" spans="1:37" s="1179" customFormat="1">
      <c r="A297" s="1188"/>
      <c r="B297" s="1188"/>
      <c r="C297" s="1188"/>
      <c r="D297" s="1210"/>
      <c r="E297" s="1210"/>
      <c r="F297" s="1210"/>
      <c r="G297" s="1191"/>
      <c r="H297" s="1191"/>
      <c r="I297" s="1199"/>
      <c r="J297" s="1191"/>
      <c r="K297" s="1191"/>
      <c r="L297" s="1191"/>
      <c r="M297" s="1191"/>
      <c r="N297" s="1191"/>
      <c r="O297" s="1191"/>
      <c r="P297" s="1199"/>
      <c r="Q297" s="1191"/>
      <c r="R297" s="1191"/>
      <c r="S297" s="1191"/>
      <c r="T297" s="1191"/>
      <c r="U297" s="1191"/>
      <c r="V297" s="1191"/>
      <c r="W297" s="1191"/>
      <c r="X297" s="1191"/>
      <c r="Y297" s="1191"/>
      <c r="Z297" s="1191"/>
      <c r="AA297" s="1191"/>
      <c r="AB297" s="1210"/>
      <c r="AC297" s="1210"/>
      <c r="AD297" s="1210"/>
      <c r="AE297" s="1210"/>
      <c r="AF297" s="1210"/>
      <c r="AG297" s="1210"/>
      <c r="AH297" s="1210"/>
      <c r="AI297" s="1211"/>
      <c r="AJ297" s="1211"/>
      <c r="AK297" s="1211"/>
    </row>
    <row r="298" spans="1:37" s="1179" customFormat="1">
      <c r="A298" s="1188"/>
      <c r="B298" s="1188"/>
      <c r="C298" s="1188"/>
      <c r="D298" s="1210"/>
      <c r="E298" s="1210"/>
      <c r="F298" s="1210"/>
      <c r="G298" s="1191"/>
      <c r="H298" s="1191"/>
      <c r="I298" s="1199"/>
      <c r="J298" s="1191"/>
      <c r="K298" s="1191"/>
      <c r="L298" s="1191"/>
      <c r="M298" s="1191"/>
      <c r="N298" s="1191"/>
      <c r="O298" s="1191"/>
      <c r="P298" s="1199"/>
      <c r="Q298" s="1191"/>
      <c r="R298" s="1191"/>
      <c r="S298" s="1191"/>
      <c r="T298" s="1191"/>
      <c r="U298" s="1191"/>
      <c r="V298" s="1191"/>
      <c r="W298" s="1191"/>
      <c r="X298" s="1191"/>
      <c r="Y298" s="1191"/>
      <c r="Z298" s="1191"/>
      <c r="AA298" s="1191"/>
      <c r="AB298" s="1210"/>
      <c r="AC298" s="1210"/>
      <c r="AD298" s="1210"/>
      <c r="AE298" s="1210"/>
      <c r="AF298" s="1210"/>
      <c r="AG298" s="1210"/>
      <c r="AH298" s="1210"/>
      <c r="AI298" s="1211"/>
      <c r="AJ298" s="1211"/>
      <c r="AK298" s="1211"/>
    </row>
    <row r="299" spans="1:37" s="1179" customFormat="1">
      <c r="A299" s="1188"/>
      <c r="B299" s="1188"/>
      <c r="C299" s="1188"/>
      <c r="D299" s="1210"/>
      <c r="E299" s="1210"/>
      <c r="F299" s="1210"/>
      <c r="G299" s="1191"/>
      <c r="H299" s="1191"/>
      <c r="I299" s="1199"/>
      <c r="J299" s="1191"/>
      <c r="K299" s="1191"/>
      <c r="L299" s="1191"/>
      <c r="M299" s="1191"/>
      <c r="N299" s="1191"/>
      <c r="O299" s="1191"/>
      <c r="P299" s="1199"/>
      <c r="Q299" s="1191"/>
      <c r="R299" s="1191"/>
      <c r="S299" s="1191"/>
      <c r="T299" s="1191"/>
      <c r="U299" s="1191"/>
      <c r="V299" s="1191"/>
      <c r="W299" s="1191"/>
      <c r="X299" s="1191"/>
      <c r="Y299" s="1191"/>
      <c r="Z299" s="1191"/>
      <c r="AA299" s="1191"/>
      <c r="AB299" s="1210"/>
      <c r="AC299" s="1210"/>
      <c r="AD299" s="1210"/>
      <c r="AE299" s="1210"/>
      <c r="AF299" s="1210"/>
      <c r="AG299" s="1210"/>
      <c r="AH299" s="1210"/>
      <c r="AI299" s="1211"/>
      <c r="AJ299" s="1211"/>
      <c r="AK299" s="1211"/>
    </row>
    <row r="300" spans="1:37" s="1179" customFormat="1">
      <c r="A300" s="1188"/>
      <c r="B300" s="1188"/>
      <c r="C300" s="1188"/>
      <c r="D300" s="1210"/>
      <c r="E300" s="1210"/>
      <c r="F300" s="1210"/>
      <c r="G300" s="1191"/>
      <c r="H300" s="1191"/>
      <c r="I300" s="1199"/>
      <c r="J300" s="1191"/>
      <c r="K300" s="1191"/>
      <c r="L300" s="1191"/>
      <c r="M300" s="1191"/>
      <c r="N300" s="1191"/>
      <c r="O300" s="1191"/>
      <c r="P300" s="1199"/>
      <c r="Q300" s="1191"/>
      <c r="R300" s="1191"/>
      <c r="S300" s="1191"/>
      <c r="T300" s="1191"/>
      <c r="U300" s="1191"/>
      <c r="V300" s="1191"/>
      <c r="W300" s="1191"/>
      <c r="X300" s="1191"/>
      <c r="Y300" s="1191"/>
      <c r="Z300" s="1191"/>
      <c r="AA300" s="1191"/>
      <c r="AB300" s="1210"/>
      <c r="AC300" s="1210"/>
      <c r="AD300" s="1210"/>
      <c r="AE300" s="1210"/>
      <c r="AF300" s="1210"/>
      <c r="AG300" s="1210"/>
      <c r="AH300" s="1210"/>
      <c r="AI300" s="1211"/>
      <c r="AJ300" s="1211"/>
      <c r="AK300" s="1211"/>
    </row>
    <row r="301" spans="1:37" s="1179" customFormat="1">
      <c r="A301" s="1188"/>
      <c r="B301" s="1188"/>
      <c r="C301" s="1188"/>
      <c r="D301" s="1210"/>
      <c r="E301" s="1210"/>
      <c r="F301" s="1210"/>
      <c r="G301" s="1191"/>
      <c r="H301" s="1191"/>
      <c r="I301" s="1199"/>
      <c r="J301" s="1191"/>
      <c r="K301" s="1191"/>
      <c r="L301" s="1191"/>
      <c r="M301" s="1191"/>
      <c r="N301" s="1191"/>
      <c r="O301" s="1191"/>
      <c r="P301" s="1199"/>
      <c r="Q301" s="1191"/>
      <c r="R301" s="1191"/>
      <c r="S301" s="1191"/>
      <c r="T301" s="1191"/>
      <c r="U301" s="1191"/>
      <c r="V301" s="1191"/>
      <c r="W301" s="1191"/>
      <c r="X301" s="1191"/>
      <c r="Y301" s="1191"/>
      <c r="Z301" s="1191"/>
      <c r="AA301" s="1191"/>
      <c r="AB301" s="1210"/>
      <c r="AC301" s="1210"/>
      <c r="AD301" s="1210"/>
      <c r="AE301" s="1210"/>
      <c r="AF301" s="1210"/>
      <c r="AG301" s="1210"/>
      <c r="AH301" s="1210"/>
      <c r="AI301" s="1211"/>
      <c r="AJ301" s="1211"/>
      <c r="AK301" s="1211"/>
    </row>
    <row r="302" spans="1:37" s="1179" customFormat="1">
      <c r="A302" s="1188"/>
      <c r="B302" s="1188"/>
      <c r="C302" s="1188"/>
      <c r="D302" s="1210"/>
      <c r="E302" s="1210"/>
      <c r="F302" s="1210"/>
      <c r="G302" s="1191"/>
      <c r="H302" s="1191"/>
      <c r="I302" s="1199"/>
      <c r="J302" s="1191"/>
      <c r="K302" s="1191"/>
      <c r="L302" s="1191"/>
      <c r="M302" s="1191"/>
      <c r="N302" s="1191"/>
      <c r="O302" s="1191"/>
      <c r="P302" s="1199"/>
      <c r="Q302" s="1191"/>
      <c r="R302" s="1191"/>
      <c r="S302" s="1191"/>
      <c r="T302" s="1191"/>
      <c r="U302" s="1191"/>
      <c r="V302" s="1191"/>
      <c r="W302" s="1191"/>
      <c r="X302" s="1191"/>
      <c r="Y302" s="1191"/>
      <c r="Z302" s="1191"/>
      <c r="AA302" s="1191"/>
      <c r="AB302" s="1210"/>
      <c r="AC302" s="1210"/>
      <c r="AD302" s="1210"/>
      <c r="AE302" s="1210"/>
      <c r="AF302" s="1210"/>
      <c r="AG302" s="1210"/>
      <c r="AH302" s="1210"/>
      <c r="AI302" s="1211"/>
      <c r="AJ302" s="1211"/>
      <c r="AK302" s="1211"/>
    </row>
    <row r="303" spans="1:37" s="1179" customFormat="1">
      <c r="A303" s="1188"/>
      <c r="B303" s="1188"/>
      <c r="C303" s="1188"/>
      <c r="D303" s="1210"/>
      <c r="E303" s="1210"/>
      <c r="F303" s="1210"/>
      <c r="G303" s="1191"/>
      <c r="H303" s="1191"/>
      <c r="I303" s="1199"/>
      <c r="J303" s="1191"/>
      <c r="K303" s="1191"/>
      <c r="L303" s="1191"/>
      <c r="M303" s="1191"/>
      <c r="N303" s="1191"/>
      <c r="O303" s="1191"/>
      <c r="P303" s="1199"/>
      <c r="Q303" s="1191"/>
      <c r="R303" s="1191"/>
      <c r="S303" s="1191"/>
      <c r="T303" s="1191"/>
      <c r="U303" s="1191"/>
      <c r="V303" s="1191"/>
      <c r="W303" s="1191"/>
      <c r="X303" s="1191"/>
      <c r="Y303" s="1191"/>
      <c r="Z303" s="1191"/>
      <c r="AA303" s="1191"/>
      <c r="AB303" s="1210"/>
      <c r="AC303" s="1210"/>
      <c r="AD303" s="1210"/>
      <c r="AE303" s="1210"/>
      <c r="AF303" s="1210"/>
      <c r="AG303" s="1210"/>
      <c r="AH303" s="1210"/>
      <c r="AI303" s="1211"/>
      <c r="AJ303" s="1211"/>
      <c r="AK303" s="1211"/>
    </row>
    <row r="304" spans="1:37" s="1179" customFormat="1">
      <c r="A304" s="1188"/>
      <c r="B304" s="1188"/>
      <c r="C304" s="1188"/>
      <c r="D304" s="1210"/>
      <c r="E304" s="1210"/>
      <c r="F304" s="1210"/>
      <c r="G304" s="1191"/>
      <c r="H304" s="1191"/>
      <c r="I304" s="1199"/>
      <c r="J304" s="1191"/>
      <c r="K304" s="1191"/>
      <c r="L304" s="1191"/>
      <c r="M304" s="1191"/>
      <c r="N304" s="1191"/>
      <c r="O304" s="1191"/>
      <c r="P304" s="1199"/>
      <c r="Q304" s="1191"/>
      <c r="R304" s="1191"/>
      <c r="S304" s="1191"/>
      <c r="T304" s="1191"/>
      <c r="U304" s="1191"/>
      <c r="V304" s="1191"/>
      <c r="W304" s="1191"/>
      <c r="X304" s="1191"/>
      <c r="Y304" s="1191"/>
      <c r="Z304" s="1191"/>
      <c r="AA304" s="1191"/>
      <c r="AB304" s="1210"/>
      <c r="AC304" s="1210"/>
      <c r="AD304" s="1210"/>
      <c r="AE304" s="1210"/>
      <c r="AF304" s="1210"/>
      <c r="AG304" s="1210"/>
      <c r="AH304" s="1210"/>
      <c r="AI304" s="1211"/>
      <c r="AJ304" s="1211"/>
      <c r="AK304" s="1211"/>
    </row>
    <row r="305" spans="1:37" s="1179" customFormat="1">
      <c r="A305" s="1188"/>
      <c r="B305" s="1188"/>
      <c r="C305" s="1188"/>
      <c r="D305" s="1210"/>
      <c r="E305" s="1210"/>
      <c r="F305" s="1210"/>
      <c r="G305" s="1191"/>
      <c r="H305" s="1191"/>
      <c r="I305" s="1199"/>
      <c r="J305" s="1191"/>
      <c r="K305" s="1191"/>
      <c r="L305" s="1191"/>
      <c r="M305" s="1191"/>
      <c r="N305" s="1191"/>
      <c r="O305" s="1191"/>
      <c r="P305" s="1199"/>
      <c r="Q305" s="1191"/>
      <c r="R305" s="1191"/>
      <c r="S305" s="1191"/>
      <c r="T305" s="1191"/>
      <c r="U305" s="1191"/>
      <c r="V305" s="1191"/>
      <c r="W305" s="1191"/>
      <c r="X305" s="1191"/>
      <c r="Y305" s="1191"/>
      <c r="Z305" s="1191"/>
      <c r="AA305" s="1191"/>
      <c r="AB305" s="1210"/>
      <c r="AC305" s="1210"/>
      <c r="AD305" s="1210"/>
      <c r="AE305" s="1210"/>
      <c r="AF305" s="1210"/>
      <c r="AG305" s="1210"/>
      <c r="AH305" s="1210"/>
      <c r="AI305" s="1211"/>
      <c r="AJ305" s="1211"/>
      <c r="AK305" s="1211"/>
    </row>
    <row r="306" spans="1:37" s="1179" customFormat="1">
      <c r="A306" s="1188"/>
      <c r="B306" s="1188"/>
      <c r="C306" s="1188"/>
      <c r="D306" s="1210"/>
      <c r="E306" s="1210"/>
      <c r="F306" s="1210"/>
      <c r="G306" s="1191"/>
      <c r="H306" s="1191"/>
      <c r="I306" s="1199"/>
      <c r="J306" s="1191"/>
      <c r="K306" s="1191"/>
      <c r="L306" s="1191"/>
      <c r="M306" s="1191"/>
      <c r="N306" s="1191"/>
      <c r="O306" s="1191"/>
      <c r="P306" s="1199"/>
      <c r="Q306" s="1191"/>
      <c r="R306" s="1191"/>
      <c r="S306" s="1191"/>
      <c r="T306" s="1191"/>
      <c r="U306" s="1191"/>
      <c r="V306" s="1191"/>
      <c r="W306" s="1191"/>
      <c r="X306" s="1191"/>
      <c r="Y306" s="1191"/>
      <c r="Z306" s="1191"/>
      <c r="AA306" s="1191"/>
      <c r="AB306" s="1210"/>
      <c r="AC306" s="1210"/>
      <c r="AD306" s="1210"/>
      <c r="AE306" s="1210"/>
      <c r="AF306" s="1210"/>
      <c r="AG306" s="1210"/>
      <c r="AH306" s="1210"/>
      <c r="AI306" s="1211"/>
      <c r="AJ306" s="1211"/>
      <c r="AK306" s="1211"/>
    </row>
    <row r="307" spans="1:37" s="1179" customFormat="1">
      <c r="A307" s="1188"/>
      <c r="B307" s="1188"/>
      <c r="C307" s="1188"/>
      <c r="D307" s="1210"/>
      <c r="E307" s="1210"/>
      <c r="F307" s="1210"/>
      <c r="G307" s="1191"/>
      <c r="H307" s="1191"/>
      <c r="I307" s="1199"/>
      <c r="J307" s="1191"/>
      <c r="K307" s="1191"/>
      <c r="L307" s="1191"/>
      <c r="M307" s="1191"/>
      <c r="N307" s="1191"/>
      <c r="O307" s="1191"/>
      <c r="P307" s="1199"/>
      <c r="Q307" s="1191"/>
      <c r="R307" s="1191"/>
      <c r="S307" s="1191"/>
      <c r="T307" s="1191"/>
      <c r="U307" s="1191"/>
      <c r="V307" s="1191"/>
      <c r="W307" s="1191"/>
      <c r="X307" s="1191"/>
      <c r="Y307" s="1191"/>
      <c r="Z307" s="1191"/>
      <c r="AA307" s="1191"/>
      <c r="AB307" s="1210"/>
      <c r="AC307" s="1210"/>
      <c r="AD307" s="1210"/>
      <c r="AE307" s="1210"/>
      <c r="AF307" s="1210"/>
      <c r="AG307" s="1210"/>
      <c r="AH307" s="1210"/>
      <c r="AI307" s="1211"/>
      <c r="AJ307" s="1211"/>
      <c r="AK307" s="1211"/>
    </row>
    <row r="308" spans="1:37" s="1179" customFormat="1">
      <c r="A308" s="1188"/>
      <c r="B308" s="1188"/>
      <c r="C308" s="1188"/>
      <c r="D308" s="1210"/>
      <c r="E308" s="1210"/>
      <c r="F308" s="1210"/>
      <c r="G308" s="1191"/>
      <c r="H308" s="1191"/>
      <c r="I308" s="1199"/>
      <c r="J308" s="1191"/>
      <c r="K308" s="1191"/>
      <c r="L308" s="1191"/>
      <c r="M308" s="1191"/>
      <c r="N308" s="1191"/>
      <c r="O308" s="1191"/>
      <c r="P308" s="1199"/>
      <c r="Q308" s="1191"/>
      <c r="R308" s="1191"/>
      <c r="S308" s="1191"/>
      <c r="T308" s="1191"/>
      <c r="U308" s="1191"/>
      <c r="V308" s="1191"/>
      <c r="W308" s="1191"/>
      <c r="X308" s="1191"/>
      <c r="Y308" s="1191"/>
      <c r="Z308" s="1191"/>
      <c r="AA308" s="1191"/>
      <c r="AB308" s="1210"/>
      <c r="AC308" s="1210"/>
      <c r="AD308" s="1210"/>
      <c r="AE308" s="1210"/>
      <c r="AF308" s="1210"/>
      <c r="AG308" s="1210"/>
      <c r="AH308" s="1210"/>
      <c r="AI308" s="1211"/>
      <c r="AJ308" s="1211"/>
      <c r="AK308" s="1211"/>
    </row>
    <row r="309" spans="1:37" s="1179" customFormat="1">
      <c r="A309" s="1188"/>
      <c r="B309" s="1188"/>
      <c r="C309" s="1188"/>
      <c r="D309" s="1210"/>
      <c r="E309" s="1210"/>
      <c r="F309" s="1210"/>
      <c r="G309" s="1191"/>
      <c r="H309" s="1191"/>
      <c r="I309" s="1199"/>
      <c r="J309" s="1191"/>
      <c r="K309" s="1191"/>
      <c r="L309" s="1191"/>
      <c r="M309" s="1191"/>
      <c r="N309" s="1191"/>
      <c r="O309" s="1191"/>
      <c r="P309" s="1199"/>
      <c r="Q309" s="1191"/>
      <c r="R309" s="1191"/>
      <c r="S309" s="1191"/>
      <c r="T309" s="1191"/>
      <c r="U309" s="1191"/>
      <c r="V309" s="1191"/>
      <c r="W309" s="1191"/>
      <c r="X309" s="1191"/>
      <c r="Y309" s="1191"/>
      <c r="Z309" s="1191"/>
      <c r="AA309" s="1191"/>
      <c r="AB309" s="1210"/>
      <c r="AC309" s="1210"/>
      <c r="AD309" s="1210"/>
      <c r="AE309" s="1210"/>
      <c r="AF309" s="1210"/>
      <c r="AG309" s="1210"/>
      <c r="AH309" s="1210"/>
      <c r="AI309" s="1211"/>
      <c r="AJ309" s="1211"/>
      <c r="AK309" s="1211"/>
    </row>
    <row r="310" spans="1:37" s="1179" customFormat="1">
      <c r="A310" s="1188"/>
      <c r="B310" s="1188"/>
      <c r="C310" s="1188"/>
      <c r="D310" s="1210"/>
      <c r="E310" s="1210"/>
      <c r="F310" s="1210"/>
      <c r="G310" s="1191"/>
      <c r="H310" s="1191"/>
      <c r="I310" s="1199"/>
      <c r="J310" s="1191"/>
      <c r="K310" s="1191"/>
      <c r="L310" s="1191"/>
      <c r="M310" s="1191"/>
      <c r="N310" s="1191"/>
      <c r="O310" s="1191"/>
      <c r="P310" s="1199"/>
      <c r="Q310" s="1191"/>
      <c r="R310" s="1191"/>
      <c r="S310" s="1191"/>
      <c r="T310" s="1191"/>
      <c r="U310" s="1191"/>
      <c r="V310" s="1191"/>
      <c r="W310" s="1191"/>
      <c r="X310" s="1191"/>
      <c r="Y310" s="1191"/>
      <c r="Z310" s="1191"/>
      <c r="AA310" s="1191"/>
      <c r="AB310" s="1210"/>
      <c r="AC310" s="1210"/>
      <c r="AD310" s="1210"/>
      <c r="AE310" s="1210"/>
      <c r="AF310" s="1210"/>
      <c r="AG310" s="1210"/>
      <c r="AH310" s="1210"/>
      <c r="AI310" s="1211"/>
      <c r="AJ310" s="1211"/>
      <c r="AK310" s="1211"/>
    </row>
    <row r="311" spans="1:37" s="1179" customFormat="1">
      <c r="A311" s="1188"/>
      <c r="B311" s="1188"/>
      <c r="C311" s="1188"/>
      <c r="D311" s="1210"/>
      <c r="E311" s="1210"/>
      <c r="F311" s="1210"/>
      <c r="G311" s="1191"/>
      <c r="H311" s="1191"/>
      <c r="I311" s="1199"/>
      <c r="J311" s="1191"/>
      <c r="K311" s="1191"/>
      <c r="L311" s="1191"/>
      <c r="M311" s="1191"/>
      <c r="N311" s="1191"/>
      <c r="O311" s="1191"/>
      <c r="P311" s="1199"/>
      <c r="Q311" s="1191"/>
      <c r="R311" s="1191"/>
      <c r="S311" s="1191"/>
      <c r="T311" s="1191"/>
      <c r="U311" s="1191"/>
      <c r="V311" s="1191"/>
      <c r="W311" s="1191"/>
      <c r="X311" s="1191"/>
      <c r="Y311" s="1191"/>
      <c r="Z311" s="1191"/>
      <c r="AA311" s="1191"/>
      <c r="AB311" s="1210"/>
      <c r="AC311" s="1210"/>
      <c r="AD311" s="1210"/>
      <c r="AE311" s="1210"/>
      <c r="AF311" s="1210"/>
      <c r="AG311" s="1210"/>
      <c r="AH311" s="1210"/>
      <c r="AI311" s="1211"/>
      <c r="AJ311" s="1211"/>
      <c r="AK311" s="1211"/>
    </row>
    <row r="312" spans="1:37" s="1179" customFormat="1">
      <c r="A312" s="1188"/>
      <c r="B312" s="1188"/>
      <c r="C312" s="1188"/>
      <c r="D312" s="1210"/>
      <c r="E312" s="1210"/>
      <c r="F312" s="1210"/>
      <c r="G312" s="1191"/>
      <c r="H312" s="1191"/>
      <c r="I312" s="1199"/>
      <c r="J312" s="1191"/>
      <c r="K312" s="1191"/>
      <c r="L312" s="1191"/>
      <c r="M312" s="1191"/>
      <c r="N312" s="1191"/>
      <c r="O312" s="1191"/>
      <c r="P312" s="1199"/>
      <c r="Q312" s="1191"/>
      <c r="R312" s="1191"/>
      <c r="S312" s="1191"/>
      <c r="T312" s="1191"/>
      <c r="U312" s="1191"/>
      <c r="V312" s="1191"/>
      <c r="W312" s="1191"/>
      <c r="X312" s="1191"/>
      <c r="Y312" s="1191"/>
      <c r="Z312" s="1191"/>
      <c r="AA312" s="1191"/>
      <c r="AB312" s="1210"/>
      <c r="AC312" s="1210"/>
      <c r="AD312" s="1210"/>
      <c r="AE312" s="1210"/>
      <c r="AF312" s="1210"/>
      <c r="AG312" s="1210"/>
      <c r="AH312" s="1210"/>
      <c r="AI312" s="1211"/>
      <c r="AJ312" s="1211"/>
      <c r="AK312" s="1211"/>
    </row>
    <row r="313" spans="1:37" s="1179" customFormat="1">
      <c r="A313" s="1188"/>
      <c r="B313" s="1188"/>
      <c r="C313" s="1188"/>
      <c r="D313" s="1210"/>
      <c r="E313" s="1210"/>
      <c r="F313" s="1210"/>
      <c r="G313" s="1191"/>
      <c r="H313" s="1191"/>
      <c r="I313" s="1199"/>
      <c r="J313" s="1191"/>
      <c r="K313" s="1191"/>
      <c r="L313" s="1191"/>
      <c r="M313" s="1191"/>
      <c r="N313" s="1191"/>
      <c r="O313" s="1191"/>
      <c r="P313" s="1199"/>
      <c r="Q313" s="1191"/>
      <c r="R313" s="1191"/>
      <c r="S313" s="1191"/>
      <c r="T313" s="1191"/>
      <c r="U313" s="1191"/>
      <c r="V313" s="1191"/>
      <c r="W313" s="1191"/>
      <c r="X313" s="1191"/>
      <c r="Y313" s="1191"/>
      <c r="Z313" s="1191"/>
      <c r="AA313" s="1191"/>
      <c r="AB313" s="1210"/>
      <c r="AC313" s="1210"/>
      <c r="AD313" s="1210"/>
      <c r="AE313" s="1210"/>
      <c r="AF313" s="1210"/>
      <c r="AG313" s="1210"/>
      <c r="AH313" s="1210"/>
      <c r="AI313" s="1211"/>
      <c r="AJ313" s="1211"/>
      <c r="AK313" s="1211"/>
    </row>
    <row r="314" spans="1:37" s="1179" customFormat="1">
      <c r="A314" s="1188"/>
      <c r="B314" s="1188"/>
      <c r="C314" s="1188"/>
      <c r="D314" s="1210"/>
      <c r="E314" s="1210"/>
      <c r="F314" s="1210"/>
      <c r="G314" s="1191"/>
      <c r="H314" s="1191"/>
      <c r="I314" s="1199"/>
      <c r="J314" s="1191"/>
      <c r="K314" s="1191"/>
      <c r="L314" s="1191"/>
      <c r="M314" s="1191"/>
      <c r="N314" s="1191"/>
      <c r="O314" s="1191"/>
      <c r="P314" s="1199"/>
      <c r="Q314" s="1191"/>
      <c r="R314" s="1191"/>
      <c r="S314" s="1191"/>
      <c r="T314" s="1191"/>
      <c r="U314" s="1191"/>
      <c r="V314" s="1191"/>
      <c r="W314" s="1191"/>
      <c r="X314" s="1191"/>
      <c r="Y314" s="1191"/>
      <c r="Z314" s="1191"/>
      <c r="AA314" s="1191"/>
      <c r="AB314" s="1210"/>
      <c r="AC314" s="1210"/>
      <c r="AD314" s="1210"/>
      <c r="AE314" s="1210"/>
      <c r="AF314" s="1210"/>
      <c r="AG314" s="1210"/>
      <c r="AH314" s="1210"/>
      <c r="AI314" s="1211"/>
      <c r="AJ314" s="1211"/>
      <c r="AK314" s="1211"/>
    </row>
    <row r="315" spans="1:37" s="1179" customFormat="1">
      <c r="A315" s="1188"/>
      <c r="B315" s="1188"/>
      <c r="C315" s="1188"/>
      <c r="D315" s="1210"/>
      <c r="E315" s="1210"/>
      <c r="F315" s="1210"/>
      <c r="G315" s="1191"/>
      <c r="H315" s="1191"/>
      <c r="I315" s="1199"/>
      <c r="J315" s="1191"/>
      <c r="K315" s="1191"/>
      <c r="L315" s="1191"/>
      <c r="M315" s="1191"/>
      <c r="N315" s="1191"/>
      <c r="O315" s="1191"/>
      <c r="P315" s="1199"/>
      <c r="Q315" s="1191"/>
      <c r="R315" s="1191"/>
      <c r="S315" s="1191"/>
      <c r="T315" s="1191"/>
      <c r="U315" s="1191"/>
      <c r="V315" s="1191"/>
      <c r="W315" s="1191"/>
      <c r="X315" s="1191"/>
      <c r="Y315" s="1191"/>
      <c r="Z315" s="1191"/>
      <c r="AA315" s="1191"/>
      <c r="AB315" s="1210"/>
      <c r="AC315" s="1210"/>
      <c r="AD315" s="1210"/>
      <c r="AE315" s="1210"/>
      <c r="AF315" s="1210"/>
      <c r="AG315" s="1210"/>
      <c r="AH315" s="1210"/>
      <c r="AI315" s="1211"/>
      <c r="AJ315" s="1211"/>
      <c r="AK315" s="1211"/>
    </row>
    <row r="316" spans="1:37" s="1179" customFormat="1">
      <c r="A316" s="1188"/>
      <c r="B316" s="1188"/>
      <c r="C316" s="1188"/>
      <c r="D316" s="1210"/>
      <c r="E316" s="1210"/>
      <c r="F316" s="1210"/>
      <c r="G316" s="1191"/>
      <c r="H316" s="1191"/>
      <c r="I316" s="1199"/>
      <c r="J316" s="1191"/>
      <c r="K316" s="1191"/>
      <c r="L316" s="1191"/>
      <c r="M316" s="1191"/>
      <c r="N316" s="1191"/>
      <c r="O316" s="1191"/>
      <c r="P316" s="1199"/>
      <c r="Q316" s="1191"/>
      <c r="R316" s="1191"/>
      <c r="S316" s="1191"/>
      <c r="T316" s="1191"/>
      <c r="U316" s="1191"/>
      <c r="V316" s="1191"/>
      <c r="W316" s="1191"/>
      <c r="X316" s="1191"/>
      <c r="Y316" s="1191"/>
      <c r="Z316" s="1191"/>
      <c r="AA316" s="1191"/>
      <c r="AB316" s="1210"/>
      <c r="AC316" s="1210"/>
      <c r="AD316" s="1210"/>
      <c r="AE316" s="1210"/>
      <c r="AF316" s="1210"/>
      <c r="AG316" s="1210"/>
      <c r="AH316" s="1210"/>
      <c r="AI316" s="1211"/>
      <c r="AJ316" s="1211"/>
      <c r="AK316" s="1211"/>
    </row>
    <row r="317" spans="1:37" s="1179" customFormat="1">
      <c r="A317" s="1188"/>
      <c r="B317" s="1188"/>
      <c r="C317" s="1188"/>
      <c r="D317" s="1210"/>
      <c r="E317" s="1210"/>
      <c r="F317" s="1210"/>
      <c r="G317" s="1191"/>
      <c r="H317" s="1191"/>
      <c r="I317" s="1199"/>
      <c r="J317" s="1191"/>
      <c r="K317" s="1191"/>
      <c r="L317" s="1191"/>
      <c r="M317" s="1191"/>
      <c r="N317" s="1191"/>
      <c r="O317" s="1191"/>
      <c r="P317" s="1199"/>
      <c r="Q317" s="1191"/>
      <c r="R317" s="1191"/>
      <c r="S317" s="1191"/>
      <c r="T317" s="1191"/>
      <c r="U317" s="1191"/>
      <c r="V317" s="1191"/>
      <c r="W317" s="1191"/>
      <c r="X317" s="1191"/>
      <c r="Y317" s="1191"/>
      <c r="Z317" s="1191"/>
      <c r="AA317" s="1191"/>
      <c r="AB317" s="1210"/>
      <c r="AC317" s="1210"/>
      <c r="AD317" s="1210"/>
      <c r="AE317" s="1210"/>
      <c r="AF317" s="1210"/>
      <c r="AG317" s="1210"/>
      <c r="AH317" s="1210"/>
      <c r="AI317" s="1211"/>
      <c r="AJ317" s="1211"/>
      <c r="AK317" s="1211"/>
    </row>
    <row r="318" spans="1:37" s="1179" customFormat="1">
      <c r="A318" s="1188"/>
      <c r="B318" s="1188"/>
      <c r="C318" s="1188"/>
      <c r="D318" s="1210"/>
      <c r="E318" s="1210"/>
      <c r="F318" s="1210"/>
      <c r="G318" s="1191"/>
      <c r="H318" s="1191"/>
      <c r="I318" s="1199"/>
      <c r="J318" s="1191"/>
      <c r="K318" s="1191"/>
      <c r="L318" s="1191"/>
      <c r="M318" s="1191"/>
      <c r="N318" s="1191"/>
      <c r="O318" s="1191"/>
      <c r="P318" s="1199"/>
      <c r="Q318" s="1191"/>
      <c r="R318" s="1191"/>
      <c r="S318" s="1191"/>
      <c r="T318" s="1191"/>
      <c r="U318" s="1191"/>
      <c r="V318" s="1191"/>
      <c r="W318" s="1191"/>
      <c r="X318" s="1191"/>
      <c r="Y318" s="1191"/>
      <c r="Z318" s="1191"/>
      <c r="AA318" s="1191"/>
      <c r="AB318" s="1210"/>
      <c r="AC318" s="1210"/>
      <c r="AD318" s="1210"/>
      <c r="AE318" s="1210"/>
      <c r="AF318" s="1210"/>
      <c r="AG318" s="1210"/>
      <c r="AH318" s="1210"/>
      <c r="AI318" s="1211"/>
      <c r="AJ318" s="1211"/>
      <c r="AK318" s="1211"/>
    </row>
    <row r="319" spans="1:37" s="1179" customFormat="1">
      <c r="A319" s="1188"/>
      <c r="B319" s="1188"/>
      <c r="C319" s="1188"/>
      <c r="D319" s="1210"/>
      <c r="E319" s="1210"/>
      <c r="F319" s="1210"/>
      <c r="G319" s="1191"/>
      <c r="H319" s="1191"/>
      <c r="I319" s="1199"/>
      <c r="J319" s="1191"/>
      <c r="K319" s="1191"/>
      <c r="L319" s="1191"/>
      <c r="M319" s="1191"/>
      <c r="N319" s="1191"/>
      <c r="O319" s="1191"/>
      <c r="P319" s="1199"/>
      <c r="Q319" s="1191"/>
      <c r="R319" s="1191"/>
      <c r="S319" s="1191"/>
      <c r="T319" s="1191"/>
      <c r="U319" s="1191"/>
      <c r="V319" s="1191"/>
      <c r="W319" s="1191"/>
      <c r="X319" s="1191"/>
      <c r="Y319" s="1191"/>
      <c r="Z319" s="1191"/>
      <c r="AA319" s="1191"/>
      <c r="AB319" s="1210"/>
      <c r="AC319" s="1210"/>
      <c r="AD319" s="1210"/>
      <c r="AE319" s="1210"/>
      <c r="AF319" s="1210"/>
      <c r="AG319" s="1210"/>
      <c r="AH319" s="1210"/>
      <c r="AI319" s="1211"/>
      <c r="AJ319" s="1211"/>
      <c r="AK319" s="1211"/>
    </row>
    <row r="320" spans="1:37" s="1179" customFormat="1">
      <c r="A320" s="1188"/>
      <c r="B320" s="1188"/>
      <c r="C320" s="1188"/>
      <c r="D320" s="1210"/>
      <c r="E320" s="1210"/>
      <c r="F320" s="1210"/>
      <c r="G320" s="1191"/>
      <c r="H320" s="1191"/>
      <c r="I320" s="1199"/>
      <c r="J320" s="1191"/>
      <c r="K320" s="1191"/>
      <c r="L320" s="1191"/>
      <c r="M320" s="1191"/>
      <c r="N320" s="1191"/>
      <c r="O320" s="1191"/>
      <c r="P320" s="1199"/>
      <c r="Q320" s="1191"/>
      <c r="R320" s="1191"/>
      <c r="S320" s="1191"/>
      <c r="T320" s="1191"/>
      <c r="U320" s="1191"/>
      <c r="V320" s="1191"/>
      <c r="W320" s="1191"/>
      <c r="X320" s="1191"/>
      <c r="Y320" s="1191"/>
      <c r="Z320" s="1191"/>
      <c r="AA320" s="1191"/>
      <c r="AB320" s="1210"/>
      <c r="AC320" s="1210"/>
      <c r="AD320" s="1210"/>
      <c r="AE320" s="1210"/>
      <c r="AF320" s="1210"/>
      <c r="AG320" s="1210"/>
      <c r="AH320" s="1210"/>
      <c r="AI320" s="1211"/>
      <c r="AJ320" s="1211"/>
      <c r="AK320" s="1211"/>
    </row>
    <row r="321" spans="1:37" s="1179" customFormat="1">
      <c r="A321" s="1188"/>
      <c r="B321" s="1188"/>
      <c r="C321" s="1188"/>
      <c r="D321" s="1210"/>
      <c r="E321" s="1210"/>
      <c r="F321" s="1210"/>
      <c r="G321" s="1191"/>
      <c r="H321" s="1191"/>
      <c r="I321" s="1199"/>
      <c r="J321" s="1191"/>
      <c r="K321" s="1191"/>
      <c r="L321" s="1191"/>
      <c r="M321" s="1191"/>
      <c r="N321" s="1191"/>
      <c r="O321" s="1191"/>
      <c r="P321" s="1199"/>
      <c r="Q321" s="1191"/>
      <c r="R321" s="1191"/>
      <c r="S321" s="1191"/>
      <c r="T321" s="1191"/>
      <c r="U321" s="1191"/>
      <c r="V321" s="1191"/>
      <c r="W321" s="1191"/>
      <c r="X321" s="1191"/>
      <c r="Y321" s="1191"/>
      <c r="Z321" s="1191"/>
      <c r="AA321" s="1191"/>
      <c r="AB321" s="1210"/>
      <c r="AC321" s="1210"/>
      <c r="AD321" s="1210"/>
      <c r="AE321" s="1210"/>
      <c r="AF321" s="1210"/>
      <c r="AG321" s="1210"/>
      <c r="AH321" s="1210"/>
      <c r="AI321" s="1211"/>
      <c r="AJ321" s="1211"/>
      <c r="AK321" s="1211"/>
    </row>
    <row r="322" spans="1:37" s="1179" customFormat="1">
      <c r="A322" s="1188"/>
      <c r="B322" s="1188"/>
      <c r="C322" s="1188"/>
      <c r="D322" s="1210"/>
      <c r="E322" s="1210"/>
      <c r="F322" s="1210"/>
      <c r="G322" s="1191"/>
      <c r="H322" s="1191"/>
      <c r="I322" s="1199"/>
      <c r="J322" s="1191"/>
      <c r="K322" s="1191"/>
      <c r="L322" s="1191"/>
      <c r="M322" s="1191"/>
      <c r="N322" s="1191"/>
      <c r="O322" s="1191"/>
      <c r="P322" s="1199"/>
      <c r="Q322" s="1191"/>
      <c r="R322" s="1191"/>
      <c r="S322" s="1191"/>
      <c r="T322" s="1191"/>
      <c r="U322" s="1191"/>
      <c r="V322" s="1191"/>
      <c r="W322" s="1191"/>
      <c r="X322" s="1191"/>
      <c r="Y322" s="1191"/>
      <c r="Z322" s="1191"/>
      <c r="AA322" s="1191"/>
      <c r="AB322" s="1210"/>
      <c r="AC322" s="1210"/>
      <c r="AD322" s="1210"/>
      <c r="AE322" s="1210"/>
      <c r="AF322" s="1210"/>
      <c r="AG322" s="1210"/>
      <c r="AH322" s="1210"/>
      <c r="AI322" s="1211"/>
      <c r="AJ322" s="1211"/>
      <c r="AK322" s="1211"/>
    </row>
    <row r="323" spans="1:37" s="1179" customFormat="1">
      <c r="A323" s="1188"/>
      <c r="B323" s="1188"/>
      <c r="C323" s="1188"/>
      <c r="D323" s="1210"/>
      <c r="E323" s="1210"/>
      <c r="F323" s="1210"/>
      <c r="G323" s="1191"/>
      <c r="H323" s="1191"/>
      <c r="I323" s="1199"/>
      <c r="J323" s="1191"/>
      <c r="K323" s="1191"/>
      <c r="L323" s="1191"/>
      <c r="M323" s="1191"/>
      <c r="N323" s="1191"/>
      <c r="O323" s="1191"/>
      <c r="P323" s="1199"/>
      <c r="Q323" s="1191"/>
      <c r="R323" s="1191"/>
      <c r="S323" s="1191"/>
      <c r="T323" s="1191"/>
      <c r="U323" s="1191"/>
      <c r="V323" s="1191"/>
      <c r="W323" s="1191"/>
      <c r="X323" s="1191"/>
      <c r="Y323" s="1191"/>
      <c r="Z323" s="1191"/>
      <c r="AA323" s="1191"/>
      <c r="AB323" s="1210"/>
      <c r="AC323" s="1210"/>
      <c r="AD323" s="1210"/>
      <c r="AE323" s="1210"/>
      <c r="AF323" s="1210"/>
      <c r="AG323" s="1210"/>
      <c r="AH323" s="1210"/>
      <c r="AI323" s="1211"/>
      <c r="AJ323" s="1211"/>
      <c r="AK323" s="1211"/>
    </row>
    <row r="324" spans="1:37" s="1179" customFormat="1">
      <c r="A324" s="1188"/>
      <c r="B324" s="1188"/>
      <c r="C324" s="1188"/>
      <c r="D324" s="1210"/>
      <c r="E324" s="1210"/>
      <c r="F324" s="1210"/>
      <c r="G324" s="1191"/>
      <c r="H324" s="1191"/>
      <c r="I324" s="1199"/>
      <c r="J324" s="1191"/>
      <c r="K324" s="1191"/>
      <c r="L324" s="1191"/>
      <c r="M324" s="1191"/>
      <c r="N324" s="1191"/>
      <c r="O324" s="1191"/>
      <c r="P324" s="1199"/>
      <c r="Q324" s="1191"/>
      <c r="R324" s="1191"/>
      <c r="S324" s="1191"/>
      <c r="T324" s="1191"/>
      <c r="U324" s="1191"/>
      <c r="V324" s="1191"/>
      <c r="W324" s="1191"/>
      <c r="X324" s="1191"/>
      <c r="Y324" s="1191"/>
      <c r="Z324" s="1191"/>
      <c r="AA324" s="1191"/>
      <c r="AB324" s="1210"/>
      <c r="AC324" s="1210"/>
      <c r="AD324" s="1210"/>
      <c r="AE324" s="1210"/>
      <c r="AF324" s="1210"/>
      <c r="AG324" s="1210"/>
      <c r="AH324" s="1210"/>
      <c r="AI324" s="1211"/>
      <c r="AJ324" s="1211"/>
      <c r="AK324" s="1211"/>
    </row>
    <row r="325" spans="1:37" s="1179" customFormat="1">
      <c r="A325" s="1188"/>
      <c r="B325" s="1188"/>
      <c r="C325" s="1188"/>
      <c r="D325" s="1210"/>
      <c r="E325" s="1210"/>
      <c r="F325" s="1210"/>
      <c r="G325" s="1191"/>
      <c r="H325" s="1191"/>
      <c r="I325" s="1199"/>
      <c r="J325" s="1191"/>
      <c r="K325" s="1191"/>
      <c r="L325" s="1191"/>
      <c r="M325" s="1191"/>
      <c r="N325" s="1191"/>
      <c r="O325" s="1191"/>
      <c r="P325" s="1199"/>
      <c r="Q325" s="1191"/>
      <c r="R325" s="1191"/>
      <c r="S325" s="1191"/>
      <c r="T325" s="1191"/>
      <c r="U325" s="1191"/>
      <c r="V325" s="1191"/>
      <c r="W325" s="1191"/>
      <c r="X325" s="1191"/>
      <c r="Y325" s="1191"/>
      <c r="Z325" s="1191"/>
      <c r="AA325" s="1191"/>
      <c r="AB325" s="1210"/>
      <c r="AC325" s="1210"/>
      <c r="AD325" s="1210"/>
      <c r="AE325" s="1210"/>
      <c r="AF325" s="1210"/>
      <c r="AG325" s="1210"/>
      <c r="AH325" s="1210"/>
      <c r="AI325" s="1211"/>
      <c r="AJ325" s="1211"/>
      <c r="AK325" s="1211"/>
    </row>
    <row r="326" spans="1:37" s="1179" customFormat="1">
      <c r="A326" s="1188"/>
      <c r="B326" s="1188"/>
      <c r="C326" s="1188"/>
      <c r="D326" s="1210"/>
      <c r="E326" s="1210"/>
      <c r="F326" s="1210"/>
      <c r="G326" s="1191"/>
      <c r="H326" s="1191"/>
      <c r="I326" s="1199"/>
      <c r="J326" s="1191"/>
      <c r="K326" s="1191"/>
      <c r="L326" s="1191"/>
      <c r="M326" s="1191"/>
      <c r="N326" s="1191"/>
      <c r="O326" s="1191"/>
      <c r="P326" s="1199"/>
      <c r="Q326" s="1191"/>
      <c r="R326" s="1191"/>
      <c r="S326" s="1191"/>
      <c r="T326" s="1191"/>
      <c r="U326" s="1191"/>
      <c r="V326" s="1191"/>
      <c r="W326" s="1191"/>
      <c r="X326" s="1191"/>
      <c r="Y326" s="1191"/>
      <c r="Z326" s="1191"/>
      <c r="AA326" s="1191"/>
      <c r="AB326" s="1210"/>
      <c r="AC326" s="1210"/>
      <c r="AD326" s="1210"/>
      <c r="AE326" s="1210"/>
      <c r="AF326" s="1210"/>
      <c r="AG326" s="1210"/>
      <c r="AH326" s="1210"/>
      <c r="AI326" s="1211"/>
      <c r="AJ326" s="1211"/>
      <c r="AK326" s="1211"/>
    </row>
    <row r="327" spans="1:37" s="1179" customFormat="1">
      <c r="A327" s="1188"/>
      <c r="B327" s="1188"/>
      <c r="C327" s="1188"/>
      <c r="D327" s="1210"/>
      <c r="E327" s="1210"/>
      <c r="F327" s="1210"/>
      <c r="G327" s="1191"/>
      <c r="H327" s="1191"/>
      <c r="I327" s="1199"/>
      <c r="J327" s="1191"/>
      <c r="K327" s="1191"/>
      <c r="L327" s="1191"/>
      <c r="M327" s="1191"/>
      <c r="N327" s="1191"/>
      <c r="O327" s="1191"/>
      <c r="P327" s="1199"/>
      <c r="Q327" s="1191"/>
      <c r="R327" s="1191"/>
      <c r="S327" s="1191"/>
      <c r="T327" s="1191"/>
      <c r="U327" s="1191"/>
      <c r="V327" s="1191"/>
      <c r="W327" s="1191"/>
      <c r="X327" s="1191"/>
      <c r="Y327" s="1191"/>
      <c r="Z327" s="1191"/>
      <c r="AA327" s="1191"/>
      <c r="AB327" s="1210"/>
      <c r="AC327" s="1210"/>
      <c r="AD327" s="1210"/>
      <c r="AE327" s="1210"/>
      <c r="AF327" s="1210"/>
      <c r="AG327" s="1210"/>
      <c r="AH327" s="1210"/>
      <c r="AI327" s="1211"/>
      <c r="AJ327" s="1211"/>
      <c r="AK327" s="1211"/>
    </row>
    <row r="328" spans="1:37" s="1179" customFormat="1">
      <c r="A328" s="1188"/>
      <c r="B328" s="1188"/>
      <c r="C328" s="1188"/>
      <c r="D328" s="1210"/>
      <c r="E328" s="1210"/>
      <c r="F328" s="1210"/>
      <c r="G328" s="1191"/>
      <c r="H328" s="1191"/>
      <c r="I328" s="1199"/>
      <c r="J328" s="1191"/>
      <c r="K328" s="1191"/>
      <c r="L328" s="1191"/>
      <c r="M328" s="1191"/>
      <c r="N328" s="1191"/>
      <c r="O328" s="1191"/>
      <c r="P328" s="1199"/>
      <c r="Q328" s="1191"/>
      <c r="R328" s="1191"/>
      <c r="S328" s="1191"/>
      <c r="T328" s="1191"/>
      <c r="U328" s="1191"/>
      <c r="V328" s="1191"/>
      <c r="W328" s="1191"/>
      <c r="X328" s="1191"/>
      <c r="Y328" s="1191"/>
      <c r="Z328" s="1191"/>
      <c r="AA328" s="1191"/>
      <c r="AB328" s="1210"/>
      <c r="AC328" s="1210"/>
      <c r="AD328" s="1210"/>
      <c r="AE328" s="1210"/>
      <c r="AF328" s="1210"/>
      <c r="AG328" s="1210"/>
      <c r="AH328" s="1210"/>
      <c r="AI328" s="1211"/>
      <c r="AJ328" s="1211"/>
      <c r="AK328" s="1211"/>
    </row>
    <row r="329" spans="1:37" s="1179" customFormat="1">
      <c r="A329" s="1188"/>
      <c r="B329" s="1188"/>
      <c r="C329" s="1188"/>
      <c r="D329" s="1210"/>
      <c r="E329" s="1210"/>
      <c r="F329" s="1210"/>
      <c r="G329" s="1191"/>
      <c r="H329" s="1191"/>
      <c r="I329" s="1199"/>
      <c r="J329" s="1191"/>
      <c r="K329" s="1191"/>
      <c r="L329" s="1191"/>
      <c r="M329" s="1191"/>
      <c r="N329" s="1191"/>
      <c r="O329" s="1191"/>
      <c r="P329" s="1199"/>
      <c r="Q329" s="1191"/>
      <c r="R329" s="1191"/>
      <c r="S329" s="1191"/>
      <c r="T329" s="1191"/>
      <c r="U329" s="1191"/>
      <c r="V329" s="1191"/>
      <c r="W329" s="1191"/>
      <c r="X329" s="1191"/>
      <c r="Y329" s="1191"/>
      <c r="Z329" s="1191"/>
      <c r="AA329" s="1191"/>
      <c r="AB329" s="1210"/>
      <c r="AC329" s="1210"/>
      <c r="AD329" s="1210"/>
      <c r="AE329" s="1210"/>
      <c r="AF329" s="1210"/>
      <c r="AG329" s="1210"/>
      <c r="AH329" s="1210"/>
      <c r="AI329" s="1211"/>
      <c r="AJ329" s="1211"/>
      <c r="AK329" s="1211"/>
    </row>
    <row r="330" spans="1:37" s="1179" customFormat="1">
      <c r="A330" s="1188"/>
      <c r="B330" s="1188"/>
      <c r="C330" s="1188"/>
      <c r="D330" s="1210"/>
      <c r="E330" s="1210"/>
      <c r="F330" s="1210"/>
      <c r="G330" s="1191"/>
      <c r="H330" s="1191"/>
      <c r="I330" s="1199"/>
      <c r="J330" s="1191"/>
      <c r="K330" s="1191"/>
      <c r="L330" s="1191"/>
      <c r="M330" s="1191"/>
      <c r="N330" s="1191"/>
      <c r="O330" s="1191"/>
      <c r="P330" s="1199"/>
      <c r="Q330" s="1191"/>
      <c r="R330" s="1191"/>
      <c r="S330" s="1191"/>
      <c r="T330" s="1191"/>
      <c r="U330" s="1191"/>
      <c r="V330" s="1191"/>
      <c r="W330" s="1191"/>
      <c r="X330" s="1191"/>
      <c r="Y330" s="1191"/>
      <c r="Z330" s="1191"/>
      <c r="AA330" s="1191"/>
      <c r="AB330" s="1210"/>
      <c r="AC330" s="1210"/>
      <c r="AD330" s="1210"/>
      <c r="AE330" s="1210"/>
      <c r="AF330" s="1210"/>
      <c r="AG330" s="1210"/>
      <c r="AH330" s="1210"/>
      <c r="AI330" s="1211"/>
      <c r="AJ330" s="1211"/>
      <c r="AK330" s="1211"/>
    </row>
    <row r="331" spans="1:37" s="1179" customFormat="1">
      <c r="A331" s="1188"/>
      <c r="B331" s="1188"/>
      <c r="C331" s="1188"/>
      <c r="D331" s="1210"/>
      <c r="E331" s="1210"/>
      <c r="F331" s="1210"/>
      <c r="G331" s="1191"/>
      <c r="H331" s="1191"/>
      <c r="I331" s="1199"/>
      <c r="J331" s="1191"/>
      <c r="K331" s="1191"/>
      <c r="L331" s="1191"/>
      <c r="M331" s="1191"/>
      <c r="N331" s="1191"/>
      <c r="O331" s="1191"/>
      <c r="P331" s="1199"/>
      <c r="Q331" s="1191"/>
      <c r="R331" s="1191"/>
      <c r="S331" s="1191"/>
      <c r="T331" s="1191"/>
      <c r="U331" s="1191"/>
      <c r="V331" s="1191"/>
      <c r="W331" s="1191"/>
      <c r="X331" s="1191"/>
      <c r="Y331" s="1191"/>
      <c r="Z331" s="1191"/>
      <c r="AA331" s="1191"/>
      <c r="AB331" s="1210"/>
      <c r="AC331" s="1210"/>
      <c r="AD331" s="1210"/>
      <c r="AE331" s="1210"/>
      <c r="AF331" s="1210"/>
      <c r="AG331" s="1210"/>
      <c r="AH331" s="1210"/>
      <c r="AI331" s="1211"/>
      <c r="AJ331" s="1211"/>
      <c r="AK331" s="1211"/>
    </row>
    <row r="332" spans="1:37" s="1179" customFormat="1">
      <c r="A332" s="1188"/>
      <c r="B332" s="1188"/>
      <c r="C332" s="1188"/>
      <c r="D332" s="1210"/>
      <c r="E332" s="1210"/>
      <c r="F332" s="1210"/>
      <c r="G332" s="1191"/>
      <c r="H332" s="1191"/>
      <c r="I332" s="1199"/>
      <c r="J332" s="1191"/>
      <c r="K332" s="1191"/>
      <c r="L332" s="1191"/>
      <c r="M332" s="1191"/>
      <c r="N332" s="1191"/>
      <c r="O332" s="1191"/>
      <c r="P332" s="1199"/>
      <c r="Q332" s="1191"/>
      <c r="R332" s="1191"/>
      <c r="S332" s="1191"/>
      <c r="T332" s="1191"/>
      <c r="U332" s="1191"/>
      <c r="V332" s="1191"/>
      <c r="W332" s="1191"/>
      <c r="X332" s="1191"/>
      <c r="Y332" s="1191"/>
      <c r="Z332" s="1191"/>
      <c r="AA332" s="1191"/>
      <c r="AB332" s="1210"/>
      <c r="AC332" s="1210"/>
      <c r="AD332" s="1210"/>
      <c r="AE332" s="1210"/>
      <c r="AF332" s="1210"/>
      <c r="AG332" s="1210"/>
      <c r="AH332" s="1210"/>
      <c r="AI332" s="1211"/>
      <c r="AJ332" s="1211"/>
      <c r="AK332" s="1211"/>
    </row>
    <row r="333" spans="1:37" s="1179" customFormat="1">
      <c r="A333" s="1188"/>
      <c r="B333" s="1188"/>
      <c r="C333" s="1188"/>
      <c r="D333" s="1210"/>
      <c r="E333" s="1210"/>
      <c r="F333" s="1210"/>
      <c r="G333" s="1191"/>
      <c r="H333" s="1191"/>
      <c r="I333" s="1199"/>
      <c r="J333" s="1191"/>
      <c r="K333" s="1191"/>
      <c r="L333" s="1191"/>
      <c r="M333" s="1191"/>
      <c r="N333" s="1191"/>
      <c r="O333" s="1191"/>
      <c r="P333" s="1199"/>
      <c r="Q333" s="1191"/>
      <c r="R333" s="1191"/>
      <c r="S333" s="1191"/>
      <c r="T333" s="1191"/>
      <c r="U333" s="1191"/>
      <c r="V333" s="1191"/>
      <c r="W333" s="1191"/>
      <c r="X333" s="1191"/>
      <c r="Y333" s="1191"/>
      <c r="Z333" s="1191"/>
      <c r="AA333" s="1191"/>
      <c r="AB333" s="1210"/>
      <c r="AC333" s="1210"/>
      <c r="AD333" s="1210"/>
      <c r="AE333" s="1210"/>
      <c r="AF333" s="1210"/>
      <c r="AG333" s="1210"/>
      <c r="AH333" s="1210"/>
      <c r="AI333" s="1211"/>
      <c r="AJ333" s="1211"/>
      <c r="AK333" s="1211"/>
    </row>
    <row r="334" spans="1:37" s="1179" customFormat="1">
      <c r="A334" s="1188"/>
      <c r="B334" s="1188"/>
      <c r="C334" s="1188"/>
      <c r="D334" s="1210"/>
      <c r="E334" s="1210"/>
      <c r="F334" s="1210"/>
      <c r="G334" s="1191"/>
      <c r="H334" s="1191"/>
      <c r="I334" s="1199"/>
      <c r="J334" s="1191"/>
      <c r="K334" s="1191"/>
      <c r="L334" s="1191"/>
      <c r="M334" s="1191"/>
      <c r="N334" s="1191"/>
      <c r="O334" s="1191"/>
      <c r="P334" s="1199"/>
      <c r="Q334" s="1191"/>
      <c r="R334" s="1191"/>
      <c r="S334" s="1191"/>
      <c r="T334" s="1191"/>
      <c r="U334" s="1191"/>
      <c r="V334" s="1191"/>
      <c r="W334" s="1191"/>
      <c r="X334" s="1191"/>
      <c r="Y334" s="1191"/>
      <c r="Z334" s="1191"/>
      <c r="AA334" s="1191"/>
      <c r="AB334" s="1210"/>
      <c r="AC334" s="1210"/>
      <c r="AD334" s="1210"/>
      <c r="AE334" s="1210"/>
      <c r="AF334" s="1210"/>
      <c r="AG334" s="1210"/>
      <c r="AH334" s="1210"/>
      <c r="AI334" s="1211"/>
      <c r="AJ334" s="1211"/>
      <c r="AK334" s="1211"/>
    </row>
    <row r="335" spans="1:37" s="1179" customFormat="1">
      <c r="A335" s="1188"/>
      <c r="B335" s="1188"/>
      <c r="C335" s="1188"/>
      <c r="D335" s="1210"/>
      <c r="E335" s="1210"/>
      <c r="F335" s="1210"/>
      <c r="G335" s="1191"/>
      <c r="H335" s="1191"/>
      <c r="I335" s="1199"/>
      <c r="J335" s="1191"/>
      <c r="K335" s="1191"/>
      <c r="L335" s="1191"/>
      <c r="M335" s="1191"/>
      <c r="N335" s="1191"/>
      <c r="O335" s="1191"/>
      <c r="P335" s="1199"/>
      <c r="Q335" s="1191"/>
      <c r="R335" s="1191"/>
      <c r="S335" s="1191"/>
      <c r="T335" s="1191"/>
      <c r="U335" s="1191"/>
      <c r="V335" s="1191"/>
      <c r="W335" s="1191"/>
      <c r="X335" s="1191"/>
      <c r="Y335" s="1191"/>
      <c r="Z335" s="1191"/>
      <c r="AA335" s="1191"/>
      <c r="AB335" s="1210"/>
      <c r="AC335" s="1210"/>
      <c r="AD335" s="1210"/>
      <c r="AE335" s="1210"/>
      <c r="AF335" s="1210"/>
      <c r="AG335" s="1210"/>
      <c r="AH335" s="1210"/>
      <c r="AI335" s="1211"/>
      <c r="AJ335" s="1211"/>
      <c r="AK335" s="1211"/>
    </row>
    <row r="336" spans="1:37" s="1179" customFormat="1">
      <c r="A336" s="1188"/>
      <c r="B336" s="1188"/>
      <c r="C336" s="1188"/>
      <c r="D336" s="1210"/>
      <c r="E336" s="1210"/>
      <c r="F336" s="1210"/>
      <c r="G336" s="1191"/>
      <c r="H336" s="1191"/>
      <c r="I336" s="1199"/>
      <c r="J336" s="1191"/>
      <c r="K336" s="1191"/>
      <c r="L336" s="1191"/>
      <c r="M336" s="1191"/>
      <c r="N336" s="1191"/>
      <c r="O336" s="1191"/>
      <c r="P336" s="1199"/>
      <c r="Q336" s="1191"/>
      <c r="R336" s="1191"/>
      <c r="S336" s="1191"/>
      <c r="T336" s="1191"/>
      <c r="U336" s="1191"/>
      <c r="V336" s="1191"/>
      <c r="W336" s="1191"/>
      <c r="X336" s="1191"/>
      <c r="Y336" s="1191"/>
      <c r="Z336" s="1191"/>
      <c r="AA336" s="1191"/>
      <c r="AB336" s="1210"/>
      <c r="AC336" s="1210"/>
      <c r="AD336" s="1210"/>
      <c r="AE336" s="1210"/>
      <c r="AF336" s="1210"/>
      <c r="AG336" s="1210"/>
      <c r="AH336" s="1210"/>
      <c r="AI336" s="1211"/>
      <c r="AJ336" s="1211"/>
      <c r="AK336" s="1211"/>
    </row>
    <row r="337" spans="1:37" s="1179" customFormat="1">
      <c r="A337" s="1188"/>
      <c r="B337" s="1188"/>
      <c r="C337" s="1188"/>
      <c r="D337" s="1210"/>
      <c r="E337" s="1210"/>
      <c r="F337" s="1210"/>
      <c r="G337" s="1191"/>
      <c r="H337" s="1191"/>
      <c r="I337" s="1199"/>
      <c r="J337" s="1191"/>
      <c r="K337" s="1191"/>
      <c r="L337" s="1191"/>
      <c r="M337" s="1191"/>
      <c r="N337" s="1191"/>
      <c r="O337" s="1191"/>
      <c r="P337" s="1199"/>
      <c r="Q337" s="1191"/>
      <c r="R337" s="1191"/>
      <c r="S337" s="1191"/>
      <c r="T337" s="1191"/>
      <c r="U337" s="1191"/>
      <c r="V337" s="1191"/>
      <c r="W337" s="1191"/>
      <c r="X337" s="1191"/>
      <c r="Y337" s="1191"/>
      <c r="Z337" s="1191"/>
      <c r="AA337" s="1191"/>
      <c r="AB337" s="1210"/>
      <c r="AC337" s="1210"/>
      <c r="AD337" s="1210"/>
      <c r="AE337" s="1210"/>
      <c r="AF337" s="1210"/>
      <c r="AG337" s="1210"/>
      <c r="AH337" s="1210"/>
      <c r="AI337" s="1211"/>
      <c r="AJ337" s="1211"/>
      <c r="AK337" s="1211"/>
    </row>
    <row r="338" spans="1:37" s="1179" customFormat="1">
      <c r="A338" s="1188"/>
      <c r="B338" s="1188"/>
      <c r="C338" s="1188"/>
      <c r="D338" s="1210"/>
      <c r="E338" s="1210"/>
      <c r="F338" s="1210"/>
      <c r="G338" s="1191"/>
      <c r="H338" s="1191"/>
      <c r="I338" s="1199"/>
      <c r="J338" s="1191"/>
      <c r="K338" s="1191"/>
      <c r="L338" s="1191"/>
      <c r="M338" s="1191"/>
      <c r="N338" s="1191"/>
      <c r="O338" s="1191"/>
      <c r="P338" s="1199"/>
      <c r="Q338" s="1191"/>
      <c r="R338" s="1191"/>
      <c r="S338" s="1191"/>
      <c r="T338" s="1191"/>
      <c r="U338" s="1191"/>
      <c r="V338" s="1191"/>
      <c r="W338" s="1191"/>
      <c r="X338" s="1191"/>
      <c r="Y338" s="1191"/>
      <c r="Z338" s="1191"/>
      <c r="AA338" s="1191"/>
      <c r="AB338" s="1210"/>
      <c r="AC338" s="1210"/>
      <c r="AD338" s="1210"/>
      <c r="AE338" s="1210"/>
      <c r="AF338" s="1210"/>
      <c r="AG338" s="1210"/>
      <c r="AH338" s="1210"/>
      <c r="AI338" s="1211"/>
      <c r="AJ338" s="1211"/>
      <c r="AK338" s="1211"/>
    </row>
    <row r="339" spans="1:37" s="1179" customFormat="1">
      <c r="A339" s="1188"/>
      <c r="B339" s="1188"/>
      <c r="C339" s="1188"/>
      <c r="D339" s="1210"/>
      <c r="E339" s="1210"/>
      <c r="F339" s="1210"/>
      <c r="G339" s="1191"/>
      <c r="H339" s="1191"/>
      <c r="I339" s="1199"/>
      <c r="J339" s="1191"/>
      <c r="K339" s="1191"/>
      <c r="L339" s="1191"/>
      <c r="M339" s="1191"/>
      <c r="N339" s="1191"/>
      <c r="O339" s="1191"/>
      <c r="P339" s="1199"/>
      <c r="Q339" s="1191"/>
      <c r="R339" s="1191"/>
      <c r="S339" s="1191"/>
      <c r="T339" s="1191"/>
      <c r="U339" s="1191"/>
      <c r="V339" s="1191"/>
      <c r="W339" s="1191"/>
      <c r="X339" s="1191"/>
      <c r="Y339" s="1191"/>
      <c r="Z339" s="1191"/>
      <c r="AA339" s="1191"/>
      <c r="AB339" s="1210"/>
      <c r="AC339" s="1210"/>
      <c r="AD339" s="1210"/>
      <c r="AE339" s="1210"/>
      <c r="AF339" s="1210"/>
      <c r="AG339" s="1210"/>
      <c r="AH339" s="1210"/>
      <c r="AI339" s="1211"/>
      <c r="AJ339" s="1211"/>
      <c r="AK339" s="1211"/>
    </row>
    <row r="340" spans="1:37" s="1179" customFormat="1">
      <c r="A340" s="1188"/>
      <c r="B340" s="1188"/>
      <c r="C340" s="1188"/>
      <c r="D340" s="1210"/>
      <c r="E340" s="1210"/>
      <c r="F340" s="1210"/>
      <c r="G340" s="1191"/>
      <c r="H340" s="1191"/>
      <c r="I340" s="1199"/>
      <c r="J340" s="1191"/>
      <c r="K340" s="1191"/>
      <c r="L340" s="1191"/>
      <c r="M340" s="1191"/>
      <c r="N340" s="1191"/>
      <c r="O340" s="1191"/>
      <c r="P340" s="1199"/>
      <c r="Q340" s="1191"/>
      <c r="R340" s="1191"/>
      <c r="S340" s="1191"/>
      <c r="T340" s="1191"/>
      <c r="U340" s="1191"/>
      <c r="V340" s="1191"/>
      <c r="W340" s="1191"/>
      <c r="X340" s="1191"/>
      <c r="Y340" s="1191"/>
      <c r="Z340" s="1191"/>
      <c r="AA340" s="1191"/>
      <c r="AB340" s="1210"/>
      <c r="AC340" s="1210"/>
      <c r="AD340" s="1210"/>
      <c r="AE340" s="1210"/>
      <c r="AF340" s="1210"/>
      <c r="AG340" s="1210"/>
      <c r="AH340" s="1210"/>
      <c r="AI340" s="1211"/>
      <c r="AJ340" s="1211"/>
      <c r="AK340" s="1211"/>
    </row>
    <row r="341" spans="1:37" s="1179" customFormat="1">
      <c r="A341" s="1188"/>
      <c r="B341" s="1188"/>
      <c r="C341" s="1188"/>
      <c r="D341" s="1210"/>
      <c r="E341" s="1210"/>
      <c r="F341" s="1210"/>
      <c r="G341" s="1191"/>
      <c r="H341" s="1191"/>
      <c r="I341" s="1199"/>
      <c r="J341" s="1191"/>
      <c r="K341" s="1191"/>
      <c r="L341" s="1191"/>
      <c r="M341" s="1191"/>
      <c r="N341" s="1191"/>
      <c r="O341" s="1191"/>
      <c r="P341" s="1199"/>
      <c r="Q341" s="1191"/>
      <c r="R341" s="1191"/>
      <c r="S341" s="1191"/>
      <c r="T341" s="1191"/>
      <c r="U341" s="1191"/>
      <c r="V341" s="1191"/>
      <c r="W341" s="1191"/>
      <c r="X341" s="1191"/>
      <c r="Y341" s="1191"/>
      <c r="Z341" s="1191"/>
      <c r="AA341" s="1191"/>
      <c r="AB341" s="1210"/>
      <c r="AC341" s="1210"/>
      <c r="AD341" s="1210"/>
      <c r="AE341" s="1210"/>
      <c r="AF341" s="1210"/>
      <c r="AG341" s="1210"/>
      <c r="AH341" s="1210"/>
      <c r="AI341" s="1211"/>
      <c r="AJ341" s="1211"/>
      <c r="AK341" s="1211"/>
    </row>
    <row r="342" spans="1:37" s="1179" customFormat="1">
      <c r="A342" s="1188"/>
      <c r="B342" s="1188"/>
      <c r="C342" s="1188"/>
      <c r="D342" s="1210"/>
      <c r="E342" s="1210"/>
      <c r="F342" s="1210"/>
      <c r="G342" s="1191"/>
      <c r="H342" s="1191"/>
      <c r="I342" s="1199"/>
      <c r="J342" s="1191"/>
      <c r="K342" s="1191"/>
      <c r="L342" s="1191"/>
      <c r="M342" s="1191"/>
      <c r="N342" s="1191"/>
      <c r="O342" s="1191"/>
      <c r="P342" s="1199"/>
      <c r="Q342" s="1191"/>
      <c r="R342" s="1191"/>
      <c r="S342" s="1191"/>
      <c r="T342" s="1191"/>
      <c r="U342" s="1191"/>
      <c r="V342" s="1191"/>
      <c r="W342" s="1191"/>
      <c r="X342" s="1191"/>
      <c r="Y342" s="1191"/>
      <c r="Z342" s="1191"/>
      <c r="AA342" s="1191"/>
      <c r="AB342" s="1210"/>
      <c r="AC342" s="1210"/>
      <c r="AD342" s="1210"/>
      <c r="AE342" s="1210"/>
      <c r="AF342" s="1210"/>
      <c r="AG342" s="1210"/>
      <c r="AH342" s="1210"/>
      <c r="AI342" s="1211"/>
      <c r="AJ342" s="1211"/>
      <c r="AK342" s="1211"/>
    </row>
    <row r="343" spans="1:37" s="1179" customFormat="1">
      <c r="A343" s="1188"/>
      <c r="B343" s="1188"/>
      <c r="C343" s="1188"/>
      <c r="D343" s="1210"/>
      <c r="E343" s="1210"/>
      <c r="F343" s="1210"/>
      <c r="G343" s="1191"/>
      <c r="H343" s="1191"/>
      <c r="I343" s="1199"/>
      <c r="J343" s="1191"/>
      <c r="K343" s="1191"/>
      <c r="L343" s="1191"/>
      <c r="M343" s="1191"/>
      <c r="N343" s="1191"/>
      <c r="O343" s="1191"/>
      <c r="P343" s="1199"/>
      <c r="Q343" s="1191"/>
      <c r="R343" s="1191"/>
      <c r="S343" s="1191"/>
      <c r="T343" s="1191"/>
      <c r="U343" s="1191"/>
      <c r="V343" s="1191"/>
      <c r="W343" s="1191"/>
      <c r="X343" s="1191"/>
      <c r="Y343" s="1191"/>
      <c r="Z343" s="1191"/>
      <c r="AA343" s="1191"/>
      <c r="AB343" s="1210"/>
      <c r="AC343" s="1210"/>
      <c r="AD343" s="1210"/>
      <c r="AE343" s="1210"/>
      <c r="AF343" s="1210"/>
      <c r="AG343" s="1210"/>
      <c r="AH343" s="1210"/>
      <c r="AI343" s="1211"/>
      <c r="AJ343" s="1211"/>
      <c r="AK343" s="1211"/>
    </row>
    <row r="344" spans="1:37" s="1179" customFormat="1">
      <c r="A344" s="1188"/>
      <c r="B344" s="1188"/>
      <c r="C344" s="1188"/>
      <c r="D344" s="1210"/>
      <c r="E344" s="1210"/>
      <c r="F344" s="1210"/>
      <c r="G344" s="1191"/>
      <c r="H344" s="1191"/>
      <c r="I344" s="1199"/>
      <c r="J344" s="1191"/>
      <c r="K344" s="1191"/>
      <c r="L344" s="1191"/>
      <c r="M344" s="1191"/>
      <c r="N344" s="1191"/>
      <c r="O344" s="1191"/>
      <c r="P344" s="1199"/>
      <c r="Q344" s="1191"/>
      <c r="R344" s="1191"/>
      <c r="S344" s="1191"/>
      <c r="T344" s="1191"/>
      <c r="U344" s="1191"/>
      <c r="V344" s="1191"/>
      <c r="W344" s="1191"/>
      <c r="X344" s="1191"/>
      <c r="Y344" s="1191"/>
      <c r="Z344" s="1191"/>
      <c r="AA344" s="1191"/>
      <c r="AB344" s="1210"/>
      <c r="AC344" s="1210"/>
      <c r="AD344" s="1210"/>
      <c r="AE344" s="1210"/>
      <c r="AF344" s="1210"/>
      <c r="AG344" s="1210"/>
      <c r="AH344" s="1210"/>
      <c r="AI344" s="1211"/>
      <c r="AJ344" s="1211"/>
      <c r="AK344" s="1211"/>
    </row>
    <row r="345" spans="1:37" s="1179" customFormat="1">
      <c r="A345" s="1188"/>
      <c r="B345" s="1188"/>
      <c r="C345" s="1188"/>
      <c r="D345" s="1210"/>
      <c r="E345" s="1210"/>
      <c r="F345" s="1210"/>
      <c r="G345" s="1191"/>
      <c r="H345" s="1191"/>
      <c r="I345" s="1199"/>
      <c r="J345" s="1191"/>
      <c r="K345" s="1191"/>
      <c r="L345" s="1191"/>
      <c r="M345" s="1191"/>
      <c r="N345" s="1191"/>
      <c r="O345" s="1191"/>
      <c r="P345" s="1199"/>
      <c r="Q345" s="1191"/>
      <c r="R345" s="1191"/>
      <c r="S345" s="1191"/>
      <c r="T345" s="1191"/>
      <c r="U345" s="1191"/>
      <c r="V345" s="1191"/>
      <c r="W345" s="1191"/>
      <c r="X345" s="1191"/>
      <c r="Y345" s="1191"/>
      <c r="Z345" s="1191"/>
      <c r="AA345" s="1191"/>
      <c r="AB345" s="1210"/>
      <c r="AC345" s="1210"/>
      <c r="AD345" s="1210"/>
      <c r="AE345" s="1210"/>
      <c r="AF345" s="1210"/>
      <c r="AG345" s="1210"/>
      <c r="AH345" s="1210"/>
      <c r="AI345" s="1211"/>
      <c r="AJ345" s="1211"/>
      <c r="AK345" s="1211"/>
    </row>
    <row r="346" spans="1:37" s="1179" customFormat="1">
      <c r="A346" s="1188"/>
      <c r="B346" s="1188"/>
      <c r="C346" s="1188"/>
      <c r="D346" s="1210"/>
      <c r="E346" s="1210"/>
      <c r="F346" s="1210"/>
      <c r="G346" s="1191"/>
      <c r="H346" s="1191"/>
      <c r="I346" s="1199"/>
      <c r="J346" s="1191"/>
      <c r="K346" s="1191"/>
      <c r="L346" s="1191"/>
      <c r="M346" s="1191"/>
      <c r="N346" s="1191"/>
      <c r="O346" s="1191"/>
      <c r="P346" s="1199"/>
      <c r="Q346" s="1191"/>
      <c r="R346" s="1191"/>
      <c r="S346" s="1191"/>
      <c r="T346" s="1191"/>
      <c r="U346" s="1191"/>
      <c r="V346" s="1191"/>
      <c r="W346" s="1191"/>
      <c r="X346" s="1191"/>
      <c r="Y346" s="1191"/>
      <c r="Z346" s="1191"/>
      <c r="AA346" s="1191"/>
      <c r="AB346" s="1210"/>
      <c r="AC346" s="1210"/>
      <c r="AD346" s="1210"/>
      <c r="AE346" s="1210"/>
      <c r="AF346" s="1210"/>
      <c r="AG346" s="1210"/>
      <c r="AH346" s="1210"/>
      <c r="AI346" s="1211"/>
      <c r="AJ346" s="1211"/>
      <c r="AK346" s="1211"/>
    </row>
    <row r="347" spans="1:37" s="1179" customFormat="1">
      <c r="A347" s="1188"/>
      <c r="B347" s="1188"/>
      <c r="C347" s="1188"/>
      <c r="D347" s="1210"/>
      <c r="E347" s="1210"/>
      <c r="F347" s="1210"/>
      <c r="G347" s="1191"/>
      <c r="H347" s="1191"/>
      <c r="I347" s="1199"/>
      <c r="J347" s="1191"/>
      <c r="K347" s="1191"/>
      <c r="L347" s="1191"/>
      <c r="M347" s="1191"/>
      <c r="N347" s="1191"/>
      <c r="O347" s="1191"/>
      <c r="P347" s="1199"/>
      <c r="Q347" s="1191"/>
      <c r="R347" s="1191"/>
      <c r="S347" s="1191"/>
      <c r="T347" s="1191"/>
      <c r="U347" s="1191"/>
      <c r="V347" s="1191"/>
      <c r="W347" s="1191"/>
      <c r="X347" s="1191"/>
      <c r="Y347" s="1191"/>
      <c r="Z347" s="1191"/>
      <c r="AA347" s="1191"/>
      <c r="AB347" s="1210"/>
      <c r="AC347" s="1210"/>
      <c r="AD347" s="1210"/>
      <c r="AE347" s="1210"/>
      <c r="AF347" s="1210"/>
      <c r="AG347" s="1210"/>
      <c r="AH347" s="1210"/>
      <c r="AI347" s="1211"/>
      <c r="AJ347" s="1211"/>
      <c r="AK347" s="1211"/>
    </row>
    <row r="348" spans="1:37" s="1179" customFormat="1">
      <c r="A348" s="1188"/>
      <c r="B348" s="1188"/>
      <c r="C348" s="1188"/>
      <c r="D348" s="1210"/>
      <c r="E348" s="1210"/>
      <c r="F348" s="1210"/>
      <c r="G348" s="1191"/>
      <c r="H348" s="1191"/>
      <c r="I348" s="1199"/>
      <c r="J348" s="1191"/>
      <c r="K348" s="1191"/>
      <c r="L348" s="1191"/>
      <c r="M348" s="1191"/>
      <c r="N348" s="1191"/>
      <c r="O348" s="1191"/>
      <c r="P348" s="1199"/>
      <c r="Q348" s="1191"/>
      <c r="R348" s="1191"/>
      <c r="S348" s="1191"/>
      <c r="T348" s="1191"/>
      <c r="U348" s="1191"/>
      <c r="V348" s="1191"/>
      <c r="W348" s="1191"/>
      <c r="X348" s="1191"/>
      <c r="Y348" s="1191"/>
      <c r="Z348" s="1191"/>
      <c r="AA348" s="1191"/>
      <c r="AB348" s="1210"/>
      <c r="AC348" s="1210"/>
      <c r="AD348" s="1210"/>
      <c r="AE348" s="1210"/>
      <c r="AF348" s="1210"/>
      <c r="AG348" s="1210"/>
      <c r="AH348" s="1210"/>
      <c r="AI348" s="1211"/>
      <c r="AJ348" s="1211"/>
      <c r="AK348" s="1211"/>
    </row>
    <row r="349" spans="1:37" s="1179" customFormat="1">
      <c r="A349" s="1188"/>
      <c r="B349" s="1188"/>
      <c r="C349" s="1188"/>
      <c r="D349" s="1210"/>
      <c r="E349" s="1210"/>
      <c r="F349" s="1210"/>
      <c r="G349" s="1191"/>
      <c r="H349" s="1191"/>
      <c r="I349" s="1199"/>
      <c r="J349" s="1191"/>
      <c r="K349" s="1191"/>
      <c r="L349" s="1191"/>
      <c r="M349" s="1191"/>
      <c r="N349" s="1191"/>
      <c r="O349" s="1191"/>
      <c r="P349" s="1199"/>
      <c r="Q349" s="1191"/>
      <c r="R349" s="1191"/>
      <c r="S349" s="1191"/>
      <c r="T349" s="1191"/>
      <c r="U349" s="1191"/>
      <c r="V349" s="1191"/>
      <c r="W349" s="1191"/>
      <c r="X349" s="1191"/>
      <c r="Y349" s="1191"/>
      <c r="Z349" s="1191"/>
      <c r="AA349" s="1191"/>
      <c r="AB349" s="1210"/>
      <c r="AC349" s="1210"/>
      <c r="AD349" s="1210"/>
      <c r="AE349" s="1210"/>
      <c r="AF349" s="1210"/>
      <c r="AG349" s="1210"/>
      <c r="AH349" s="1210"/>
      <c r="AI349" s="1211"/>
      <c r="AJ349" s="1211"/>
      <c r="AK349" s="1211"/>
    </row>
    <row r="350" spans="1:37" s="1179" customFormat="1">
      <c r="A350" s="1188"/>
      <c r="B350" s="1188"/>
      <c r="C350" s="1188"/>
      <c r="D350" s="1210"/>
      <c r="E350" s="1210"/>
      <c r="F350" s="1210"/>
      <c r="G350" s="1191"/>
      <c r="H350" s="1191"/>
      <c r="I350" s="1199"/>
      <c r="J350" s="1191"/>
      <c r="K350" s="1191"/>
      <c r="L350" s="1191"/>
      <c r="M350" s="1191"/>
      <c r="N350" s="1191"/>
      <c r="O350" s="1191"/>
      <c r="P350" s="1199"/>
      <c r="Q350" s="1191"/>
      <c r="R350" s="1191"/>
      <c r="S350" s="1191"/>
      <c r="T350" s="1191"/>
      <c r="U350" s="1191"/>
      <c r="V350" s="1191"/>
      <c r="W350" s="1191"/>
      <c r="X350" s="1191"/>
      <c r="Y350" s="1191"/>
      <c r="Z350" s="1191"/>
      <c r="AA350" s="1191"/>
      <c r="AB350" s="1210"/>
      <c r="AC350" s="1210"/>
      <c r="AD350" s="1210"/>
      <c r="AE350" s="1210"/>
      <c r="AF350" s="1210"/>
      <c r="AG350" s="1210"/>
      <c r="AH350" s="1210"/>
      <c r="AI350" s="1211"/>
      <c r="AJ350" s="1211"/>
      <c r="AK350" s="1211"/>
    </row>
    <row r="351" spans="1:37" s="1179" customFormat="1">
      <c r="A351" s="1188"/>
      <c r="B351" s="1188"/>
      <c r="C351" s="1188"/>
      <c r="D351" s="1210"/>
      <c r="E351" s="1210"/>
      <c r="F351" s="1210"/>
      <c r="G351" s="1191"/>
      <c r="H351" s="1191"/>
      <c r="I351" s="1199"/>
      <c r="J351" s="1191"/>
      <c r="K351" s="1191"/>
      <c r="L351" s="1191"/>
      <c r="M351" s="1191"/>
      <c r="N351" s="1191"/>
      <c r="O351" s="1191"/>
      <c r="P351" s="1199"/>
      <c r="Q351" s="1191"/>
      <c r="R351" s="1191"/>
      <c r="S351" s="1191"/>
      <c r="T351" s="1191"/>
      <c r="U351" s="1191"/>
      <c r="V351" s="1191"/>
      <c r="W351" s="1191"/>
      <c r="X351" s="1191"/>
      <c r="Y351" s="1191"/>
      <c r="Z351" s="1191"/>
      <c r="AA351" s="1191"/>
      <c r="AB351" s="1210"/>
      <c r="AC351" s="1210"/>
      <c r="AD351" s="1210"/>
      <c r="AE351" s="1210"/>
      <c r="AF351" s="1210"/>
      <c r="AG351" s="1210"/>
      <c r="AH351" s="1210"/>
      <c r="AI351" s="1211"/>
      <c r="AJ351" s="1211"/>
      <c r="AK351" s="1211"/>
    </row>
    <row r="352" spans="1:37" s="1179" customFormat="1">
      <c r="A352" s="1188"/>
      <c r="B352" s="1188"/>
      <c r="C352" s="1188"/>
      <c r="D352" s="1210"/>
      <c r="E352" s="1210"/>
      <c r="F352" s="1210"/>
      <c r="G352" s="1191"/>
      <c r="H352" s="1191"/>
      <c r="I352" s="1199"/>
      <c r="J352" s="1191"/>
      <c r="K352" s="1191"/>
      <c r="L352" s="1191"/>
      <c r="M352" s="1191"/>
      <c r="N352" s="1191"/>
      <c r="O352" s="1191"/>
      <c r="P352" s="1199"/>
      <c r="Q352" s="1191"/>
      <c r="R352" s="1191"/>
      <c r="S352" s="1191"/>
      <c r="T352" s="1191"/>
      <c r="U352" s="1191"/>
      <c r="V352" s="1191"/>
      <c r="W352" s="1191"/>
      <c r="X352" s="1191"/>
      <c r="Y352" s="1191"/>
      <c r="Z352" s="1191"/>
      <c r="AA352" s="1191"/>
      <c r="AB352" s="1210"/>
      <c r="AC352" s="1210"/>
      <c r="AD352" s="1210"/>
      <c r="AE352" s="1210"/>
      <c r="AF352" s="1210"/>
      <c r="AG352" s="1210"/>
      <c r="AH352" s="1210"/>
      <c r="AI352" s="1211"/>
      <c r="AJ352" s="1211"/>
      <c r="AK352" s="1211"/>
    </row>
    <row r="353" spans="1:37" s="1179" customFormat="1">
      <c r="A353" s="1188"/>
      <c r="B353" s="1188"/>
      <c r="C353" s="1188"/>
      <c r="D353" s="1210"/>
      <c r="E353" s="1210"/>
      <c r="F353" s="1210"/>
      <c r="G353" s="1191"/>
      <c r="H353" s="1191"/>
      <c r="I353" s="1199"/>
      <c r="J353" s="1191"/>
      <c r="K353" s="1191"/>
      <c r="L353" s="1191"/>
      <c r="M353" s="1191"/>
      <c r="N353" s="1191"/>
      <c r="O353" s="1191"/>
      <c r="P353" s="1199"/>
      <c r="Q353" s="1191"/>
      <c r="R353" s="1191"/>
      <c r="S353" s="1191"/>
      <c r="T353" s="1191"/>
      <c r="U353" s="1191"/>
      <c r="V353" s="1191"/>
      <c r="W353" s="1191"/>
      <c r="X353" s="1191"/>
      <c r="Y353" s="1191"/>
      <c r="Z353" s="1191"/>
      <c r="AA353" s="1191"/>
      <c r="AB353" s="1210"/>
      <c r="AC353" s="1210"/>
      <c r="AD353" s="1210"/>
      <c r="AE353" s="1210"/>
      <c r="AF353" s="1210"/>
      <c r="AG353" s="1210"/>
      <c r="AH353" s="1210"/>
      <c r="AI353" s="1211"/>
      <c r="AJ353" s="1211"/>
      <c r="AK353" s="1211"/>
    </row>
    <row r="354" spans="1:37" s="1179" customFormat="1">
      <c r="A354" s="1188"/>
      <c r="B354" s="1188"/>
      <c r="C354" s="1188"/>
      <c r="D354" s="1210"/>
      <c r="E354" s="1210"/>
      <c r="F354" s="1210"/>
      <c r="G354" s="1191"/>
      <c r="H354" s="1191"/>
      <c r="I354" s="1199"/>
      <c r="J354" s="1191"/>
      <c r="K354" s="1191"/>
      <c r="L354" s="1191"/>
      <c r="M354" s="1191"/>
      <c r="N354" s="1191"/>
      <c r="O354" s="1191"/>
      <c r="P354" s="1199"/>
      <c r="Q354" s="1191"/>
      <c r="R354" s="1191"/>
      <c r="S354" s="1191"/>
      <c r="T354" s="1191"/>
      <c r="U354" s="1191"/>
      <c r="V354" s="1191"/>
      <c r="W354" s="1191"/>
      <c r="X354" s="1191"/>
      <c r="Y354" s="1191"/>
      <c r="Z354" s="1191"/>
      <c r="AA354" s="1191"/>
      <c r="AB354" s="1210"/>
      <c r="AC354" s="1210"/>
      <c r="AD354" s="1210"/>
      <c r="AE354" s="1210"/>
      <c r="AF354" s="1210"/>
      <c r="AG354" s="1210"/>
      <c r="AH354" s="1210"/>
      <c r="AI354" s="1211"/>
      <c r="AJ354" s="1211"/>
      <c r="AK354" s="1211"/>
    </row>
    <row r="355" spans="1:37" s="1179" customFormat="1">
      <c r="A355" s="1188"/>
      <c r="B355" s="1188"/>
      <c r="C355" s="1188"/>
      <c r="D355" s="1210"/>
      <c r="E355" s="1210"/>
      <c r="F355" s="1210"/>
      <c r="G355" s="1191"/>
      <c r="H355" s="1191"/>
      <c r="I355" s="1199"/>
      <c r="J355" s="1191"/>
      <c r="K355" s="1191"/>
      <c r="L355" s="1191"/>
      <c r="M355" s="1191"/>
      <c r="N355" s="1191"/>
      <c r="O355" s="1191"/>
      <c r="P355" s="1199"/>
      <c r="Q355" s="1191"/>
      <c r="R355" s="1191"/>
      <c r="S355" s="1191"/>
      <c r="T355" s="1191"/>
      <c r="U355" s="1191"/>
      <c r="V355" s="1191"/>
      <c r="W355" s="1191"/>
      <c r="X355" s="1191"/>
      <c r="Y355" s="1191"/>
      <c r="Z355" s="1191"/>
      <c r="AA355" s="1191"/>
      <c r="AB355" s="1210"/>
      <c r="AC355" s="1210"/>
      <c r="AD355" s="1210"/>
      <c r="AE355" s="1210"/>
      <c r="AF355" s="1210"/>
      <c r="AG355" s="1210"/>
      <c r="AH355" s="1210"/>
      <c r="AI355" s="1211"/>
      <c r="AJ355" s="1211"/>
      <c r="AK355" s="1211"/>
    </row>
    <row r="356" spans="1:37" s="1179" customFormat="1">
      <c r="A356" s="1188"/>
      <c r="B356" s="1188"/>
      <c r="C356" s="1188"/>
      <c r="D356" s="1210"/>
      <c r="E356" s="1210"/>
      <c r="F356" s="1210"/>
      <c r="G356" s="1191"/>
      <c r="H356" s="1191"/>
      <c r="I356" s="1199"/>
      <c r="J356" s="1191"/>
      <c r="K356" s="1191"/>
      <c r="L356" s="1191"/>
      <c r="M356" s="1191"/>
      <c r="N356" s="1191"/>
      <c r="O356" s="1191"/>
      <c r="P356" s="1199"/>
      <c r="Q356" s="1191"/>
      <c r="R356" s="1191"/>
      <c r="S356" s="1191"/>
      <c r="T356" s="1191"/>
      <c r="U356" s="1191"/>
      <c r="V356" s="1191"/>
      <c r="W356" s="1191"/>
      <c r="X356" s="1191"/>
      <c r="Y356" s="1191"/>
      <c r="Z356" s="1191"/>
      <c r="AA356" s="1191"/>
      <c r="AB356" s="1210"/>
      <c r="AC356" s="1210"/>
      <c r="AD356" s="1210"/>
      <c r="AE356" s="1210"/>
      <c r="AF356" s="1210"/>
      <c r="AG356" s="1210"/>
      <c r="AH356" s="1210"/>
      <c r="AI356" s="1211"/>
      <c r="AJ356" s="1211"/>
      <c r="AK356" s="1211"/>
    </row>
    <row r="357" spans="1:37" s="1179" customFormat="1">
      <c r="A357" s="1188"/>
      <c r="B357" s="1188"/>
      <c r="C357" s="1188"/>
      <c r="D357" s="1210"/>
      <c r="E357" s="1210"/>
      <c r="F357" s="1210"/>
      <c r="G357" s="1191"/>
      <c r="H357" s="1191"/>
      <c r="I357" s="1199"/>
      <c r="J357" s="1191"/>
      <c r="K357" s="1191"/>
      <c r="L357" s="1191"/>
      <c r="M357" s="1191"/>
      <c r="N357" s="1191"/>
      <c r="O357" s="1191"/>
      <c r="P357" s="1199"/>
      <c r="Q357" s="1191"/>
      <c r="R357" s="1191"/>
      <c r="S357" s="1191"/>
      <c r="T357" s="1191"/>
      <c r="U357" s="1191"/>
      <c r="V357" s="1191"/>
      <c r="W357" s="1191"/>
      <c r="X357" s="1191"/>
      <c r="Y357" s="1191"/>
      <c r="Z357" s="1191"/>
      <c r="AA357" s="1191"/>
      <c r="AB357" s="1210"/>
      <c r="AC357" s="1210"/>
      <c r="AD357" s="1210"/>
      <c r="AE357" s="1210"/>
      <c r="AF357" s="1210"/>
      <c r="AG357" s="1210"/>
      <c r="AH357" s="1210"/>
      <c r="AI357" s="1211"/>
      <c r="AJ357" s="1211"/>
      <c r="AK357" s="1211"/>
    </row>
    <row r="358" spans="1:37" s="1179" customFormat="1">
      <c r="A358" s="1188"/>
      <c r="B358" s="1188"/>
      <c r="C358" s="1188"/>
      <c r="D358" s="1210"/>
      <c r="E358" s="1210"/>
      <c r="F358" s="1210"/>
      <c r="G358" s="1191"/>
      <c r="H358" s="1191"/>
      <c r="I358" s="1199"/>
      <c r="J358" s="1191"/>
      <c r="K358" s="1191"/>
      <c r="L358" s="1191"/>
      <c r="M358" s="1191"/>
      <c r="N358" s="1191"/>
      <c r="O358" s="1191"/>
      <c r="P358" s="1199"/>
      <c r="Q358" s="1191"/>
      <c r="R358" s="1191"/>
      <c r="S358" s="1191"/>
      <c r="T358" s="1191"/>
      <c r="U358" s="1191"/>
      <c r="V358" s="1191"/>
      <c r="W358" s="1191"/>
      <c r="X358" s="1191"/>
      <c r="Y358" s="1191"/>
      <c r="Z358" s="1191"/>
      <c r="AA358" s="1191"/>
      <c r="AB358" s="1210"/>
      <c r="AC358" s="1210"/>
      <c r="AD358" s="1210"/>
      <c r="AE358" s="1210"/>
      <c r="AF358" s="1210"/>
      <c r="AG358" s="1210"/>
      <c r="AH358" s="1210"/>
      <c r="AI358" s="1211"/>
      <c r="AJ358" s="1211"/>
      <c r="AK358" s="1211"/>
    </row>
    <row r="359" spans="1:37" s="1179" customFormat="1">
      <c r="A359" s="1188"/>
      <c r="B359" s="1188"/>
      <c r="C359" s="1188"/>
      <c r="D359" s="1210"/>
      <c r="E359" s="1210"/>
      <c r="F359" s="1210"/>
      <c r="G359" s="1191"/>
      <c r="H359" s="1191"/>
      <c r="I359" s="1199"/>
      <c r="J359" s="1191"/>
      <c r="K359" s="1191"/>
      <c r="L359" s="1191"/>
      <c r="M359" s="1191"/>
      <c r="N359" s="1191"/>
      <c r="O359" s="1191"/>
      <c r="P359" s="1199"/>
      <c r="Q359" s="1191"/>
      <c r="R359" s="1191"/>
      <c r="S359" s="1191"/>
      <c r="T359" s="1191"/>
      <c r="U359" s="1191"/>
      <c r="V359" s="1191"/>
      <c r="W359" s="1191"/>
      <c r="X359" s="1191"/>
      <c r="Y359" s="1191"/>
      <c r="Z359" s="1191"/>
      <c r="AA359" s="1191"/>
      <c r="AB359" s="1210"/>
      <c r="AC359" s="1210"/>
      <c r="AD359" s="1210"/>
      <c r="AE359" s="1210"/>
      <c r="AF359" s="1210"/>
      <c r="AG359" s="1210"/>
      <c r="AH359" s="1210"/>
      <c r="AI359" s="1211"/>
      <c r="AJ359" s="1211"/>
      <c r="AK359" s="1211"/>
    </row>
    <row r="360" spans="1:37" s="1179" customFormat="1">
      <c r="A360" s="1188"/>
      <c r="B360" s="1188"/>
      <c r="C360" s="1188"/>
      <c r="D360" s="1210"/>
      <c r="E360" s="1210"/>
      <c r="F360" s="1210"/>
      <c r="G360" s="1191"/>
      <c r="H360" s="1191"/>
      <c r="I360" s="1199"/>
      <c r="J360" s="1191"/>
      <c r="K360" s="1191"/>
      <c r="L360" s="1191"/>
      <c r="M360" s="1191"/>
      <c r="N360" s="1191"/>
      <c r="O360" s="1191"/>
      <c r="P360" s="1199"/>
      <c r="Q360" s="1191"/>
      <c r="R360" s="1191"/>
      <c r="S360" s="1191"/>
      <c r="T360" s="1191"/>
      <c r="U360" s="1191"/>
      <c r="V360" s="1191"/>
      <c r="W360" s="1191"/>
      <c r="X360" s="1191"/>
      <c r="Y360" s="1191"/>
      <c r="Z360" s="1191"/>
      <c r="AA360" s="1191"/>
      <c r="AB360" s="1210"/>
      <c r="AC360" s="1210"/>
      <c r="AD360" s="1210"/>
      <c r="AE360" s="1210"/>
      <c r="AF360" s="1210"/>
      <c r="AG360" s="1210"/>
      <c r="AH360" s="1210"/>
      <c r="AI360" s="1211"/>
      <c r="AJ360" s="1211"/>
      <c r="AK360" s="1211"/>
    </row>
    <row r="361" spans="1:37" s="1179" customFormat="1">
      <c r="A361" s="1188"/>
      <c r="B361" s="1188"/>
      <c r="C361" s="1188"/>
      <c r="D361" s="1210"/>
      <c r="E361" s="1210"/>
      <c r="F361" s="1210"/>
      <c r="G361" s="1191"/>
      <c r="H361" s="1191"/>
      <c r="I361" s="1199"/>
      <c r="J361" s="1191"/>
      <c r="K361" s="1191"/>
      <c r="L361" s="1191"/>
      <c r="M361" s="1191"/>
      <c r="N361" s="1191"/>
      <c r="O361" s="1191"/>
      <c r="P361" s="1199"/>
      <c r="Q361" s="1191"/>
      <c r="R361" s="1191"/>
      <c r="S361" s="1191"/>
      <c r="T361" s="1191"/>
      <c r="U361" s="1191"/>
      <c r="V361" s="1191"/>
      <c r="W361" s="1191"/>
      <c r="X361" s="1191"/>
      <c r="Y361" s="1191"/>
      <c r="Z361" s="1191"/>
      <c r="AA361" s="1191"/>
      <c r="AB361" s="1210"/>
      <c r="AC361" s="1210"/>
      <c r="AD361" s="1210"/>
      <c r="AE361" s="1210"/>
      <c r="AF361" s="1210"/>
      <c r="AG361" s="1210"/>
      <c r="AH361" s="1210"/>
      <c r="AI361" s="1211"/>
      <c r="AJ361" s="1211"/>
      <c r="AK361" s="1211"/>
    </row>
    <row r="362" spans="1:37" s="1179" customFormat="1">
      <c r="A362" s="1188"/>
      <c r="B362" s="1188"/>
      <c r="C362" s="1188"/>
      <c r="D362" s="1210"/>
      <c r="E362" s="1210"/>
      <c r="F362" s="1210"/>
      <c r="G362" s="1191"/>
      <c r="H362" s="1191"/>
      <c r="I362" s="1199"/>
      <c r="J362" s="1191"/>
      <c r="K362" s="1191"/>
      <c r="L362" s="1191"/>
      <c r="M362" s="1191"/>
      <c r="N362" s="1191"/>
      <c r="O362" s="1191"/>
      <c r="P362" s="1199"/>
      <c r="Q362" s="1191"/>
      <c r="R362" s="1191"/>
      <c r="S362" s="1191"/>
      <c r="T362" s="1191"/>
      <c r="U362" s="1191"/>
      <c r="V362" s="1191"/>
      <c r="W362" s="1191"/>
      <c r="X362" s="1191"/>
      <c r="Y362" s="1191"/>
      <c r="Z362" s="1191"/>
      <c r="AA362" s="1191"/>
      <c r="AB362" s="1210"/>
      <c r="AC362" s="1210"/>
      <c r="AD362" s="1210"/>
      <c r="AE362" s="1210"/>
      <c r="AF362" s="1210"/>
      <c r="AG362" s="1210"/>
      <c r="AH362" s="1210"/>
      <c r="AI362" s="1211"/>
      <c r="AJ362" s="1211"/>
      <c r="AK362" s="1211"/>
    </row>
    <row r="363" spans="1:37" s="1179" customFormat="1">
      <c r="A363" s="1188"/>
      <c r="B363" s="1188"/>
      <c r="C363" s="1188"/>
      <c r="D363" s="1210"/>
      <c r="E363" s="1210"/>
      <c r="F363" s="1210"/>
      <c r="G363" s="1191"/>
      <c r="H363" s="1191"/>
      <c r="I363" s="1199"/>
      <c r="J363" s="1191"/>
      <c r="K363" s="1191"/>
      <c r="L363" s="1191"/>
      <c r="M363" s="1191"/>
      <c r="N363" s="1191"/>
      <c r="O363" s="1191"/>
      <c r="P363" s="1199"/>
      <c r="Q363" s="1191"/>
      <c r="R363" s="1191"/>
      <c r="S363" s="1191"/>
      <c r="T363" s="1191"/>
      <c r="U363" s="1191"/>
      <c r="V363" s="1191"/>
      <c r="W363" s="1191"/>
      <c r="X363" s="1191"/>
      <c r="Y363" s="1191"/>
      <c r="Z363" s="1191"/>
      <c r="AA363" s="1191"/>
      <c r="AB363" s="1210"/>
      <c r="AC363" s="1210"/>
      <c r="AD363" s="1210"/>
      <c r="AE363" s="1210"/>
      <c r="AF363" s="1210"/>
      <c r="AG363" s="1210"/>
      <c r="AH363" s="1210"/>
      <c r="AI363" s="1211"/>
      <c r="AJ363" s="1211"/>
      <c r="AK363" s="1211"/>
    </row>
    <row r="364" spans="1:37" s="1179" customFormat="1">
      <c r="A364" s="1188"/>
      <c r="B364" s="1188"/>
      <c r="C364" s="1188"/>
      <c r="D364" s="1210"/>
      <c r="E364" s="1210"/>
      <c r="F364" s="1210"/>
      <c r="G364" s="1191"/>
      <c r="H364" s="1191"/>
      <c r="I364" s="1199"/>
      <c r="J364" s="1191"/>
      <c r="K364" s="1191"/>
      <c r="L364" s="1191"/>
      <c r="M364" s="1191"/>
      <c r="N364" s="1191"/>
      <c r="O364" s="1191"/>
      <c r="P364" s="1199"/>
      <c r="Q364" s="1191"/>
      <c r="R364" s="1191"/>
      <c r="S364" s="1191"/>
      <c r="T364" s="1191"/>
      <c r="U364" s="1191"/>
      <c r="V364" s="1191"/>
      <c r="W364" s="1191"/>
      <c r="X364" s="1191"/>
      <c r="Y364" s="1191"/>
      <c r="Z364" s="1191"/>
      <c r="AA364" s="1191"/>
      <c r="AB364" s="1210"/>
      <c r="AC364" s="1210"/>
      <c r="AD364" s="1210"/>
      <c r="AE364" s="1210"/>
      <c r="AF364" s="1210"/>
      <c r="AG364" s="1210"/>
      <c r="AH364" s="1210"/>
      <c r="AI364" s="1211"/>
      <c r="AJ364" s="1211"/>
      <c r="AK364" s="1211"/>
    </row>
    <row r="365" spans="1:37" s="1179" customFormat="1">
      <c r="A365" s="1188"/>
      <c r="B365" s="1188"/>
      <c r="C365" s="1188"/>
      <c r="D365" s="1210"/>
      <c r="E365" s="1210"/>
      <c r="F365" s="1210"/>
      <c r="G365" s="1191"/>
      <c r="H365" s="1191"/>
      <c r="I365" s="1199"/>
      <c r="J365" s="1191"/>
      <c r="K365" s="1191"/>
      <c r="L365" s="1191"/>
      <c r="M365" s="1191"/>
      <c r="N365" s="1191"/>
      <c r="O365" s="1191"/>
      <c r="P365" s="1199"/>
      <c r="Q365" s="1191"/>
      <c r="R365" s="1191"/>
      <c r="S365" s="1191"/>
      <c r="T365" s="1191"/>
      <c r="U365" s="1191"/>
      <c r="V365" s="1191"/>
      <c r="W365" s="1191"/>
      <c r="X365" s="1191"/>
      <c r="Y365" s="1191"/>
      <c r="Z365" s="1191"/>
      <c r="AA365" s="1191"/>
      <c r="AB365" s="1210"/>
      <c r="AC365" s="1210"/>
      <c r="AD365" s="1210"/>
      <c r="AE365" s="1210"/>
      <c r="AF365" s="1210"/>
      <c r="AG365" s="1210"/>
      <c r="AH365" s="1210"/>
      <c r="AI365" s="1211"/>
      <c r="AJ365" s="1211"/>
      <c r="AK365" s="1211"/>
    </row>
    <row r="366" spans="1:37" s="1179" customFormat="1">
      <c r="A366" s="1188"/>
      <c r="B366" s="1188"/>
      <c r="C366" s="1188"/>
      <c r="D366" s="1210"/>
      <c r="E366" s="1210"/>
      <c r="F366" s="1210"/>
      <c r="G366" s="1191"/>
      <c r="H366" s="1191"/>
      <c r="I366" s="1199"/>
      <c r="J366" s="1191"/>
      <c r="K366" s="1191"/>
      <c r="L366" s="1191"/>
      <c r="M366" s="1191"/>
      <c r="N366" s="1191"/>
      <c r="O366" s="1191"/>
      <c r="P366" s="1199"/>
      <c r="Q366" s="1191"/>
      <c r="R366" s="1191"/>
      <c r="S366" s="1191"/>
      <c r="T366" s="1191"/>
      <c r="U366" s="1191"/>
      <c r="V366" s="1191"/>
      <c r="W366" s="1191"/>
      <c r="X366" s="1191"/>
      <c r="Y366" s="1191"/>
      <c r="Z366" s="1191"/>
      <c r="AA366" s="1191"/>
      <c r="AB366" s="1210"/>
      <c r="AC366" s="1210"/>
      <c r="AD366" s="1210"/>
      <c r="AE366" s="1210"/>
      <c r="AF366" s="1210"/>
      <c r="AG366" s="1210"/>
      <c r="AH366" s="1210"/>
      <c r="AI366" s="1211"/>
      <c r="AJ366" s="1211"/>
      <c r="AK366" s="1211"/>
    </row>
    <row r="367" spans="1:37" s="1179" customFormat="1">
      <c r="A367" s="1188"/>
      <c r="B367" s="1188"/>
      <c r="C367" s="1188"/>
      <c r="D367" s="1210"/>
      <c r="E367" s="1210"/>
      <c r="F367" s="1210"/>
      <c r="G367" s="1191"/>
      <c r="H367" s="1191"/>
      <c r="I367" s="1199"/>
      <c r="J367" s="1191"/>
      <c r="K367" s="1191"/>
      <c r="L367" s="1191"/>
      <c r="M367" s="1191"/>
      <c r="N367" s="1191"/>
      <c r="O367" s="1191"/>
      <c r="P367" s="1199"/>
      <c r="Q367" s="1191"/>
      <c r="R367" s="1191"/>
      <c r="S367" s="1191"/>
      <c r="T367" s="1191"/>
      <c r="U367" s="1191"/>
      <c r="V367" s="1191"/>
      <c r="W367" s="1191"/>
      <c r="X367" s="1191"/>
      <c r="Y367" s="1191"/>
      <c r="Z367" s="1191"/>
      <c r="AA367" s="1191"/>
      <c r="AB367" s="1210"/>
      <c r="AC367" s="1210"/>
      <c r="AD367" s="1210"/>
      <c r="AE367" s="1210"/>
      <c r="AF367" s="1210"/>
      <c r="AG367" s="1210"/>
      <c r="AH367" s="1210"/>
      <c r="AI367" s="1211"/>
      <c r="AJ367" s="1211"/>
      <c r="AK367" s="1211"/>
    </row>
    <row r="368" spans="1:37" s="1179" customFormat="1">
      <c r="A368" s="1188"/>
      <c r="B368" s="1188"/>
      <c r="C368" s="1188"/>
      <c r="D368" s="1210"/>
      <c r="E368" s="1210"/>
      <c r="F368" s="1210"/>
      <c r="G368" s="1191"/>
      <c r="H368" s="1191"/>
      <c r="I368" s="1199"/>
      <c r="J368" s="1191"/>
      <c r="K368" s="1191"/>
      <c r="L368" s="1191"/>
      <c r="M368" s="1191"/>
      <c r="N368" s="1191"/>
      <c r="O368" s="1191"/>
      <c r="P368" s="1199"/>
      <c r="Q368" s="1191"/>
      <c r="R368" s="1191"/>
      <c r="S368" s="1191"/>
      <c r="T368" s="1191"/>
      <c r="U368" s="1191"/>
      <c r="V368" s="1191"/>
      <c r="W368" s="1191"/>
      <c r="X368" s="1191"/>
      <c r="Y368" s="1191"/>
      <c r="Z368" s="1191"/>
      <c r="AA368" s="1191"/>
      <c r="AB368" s="1210"/>
      <c r="AC368" s="1210"/>
      <c r="AD368" s="1210"/>
      <c r="AE368" s="1210"/>
      <c r="AF368" s="1210"/>
      <c r="AG368" s="1210"/>
      <c r="AH368" s="1210"/>
      <c r="AI368" s="1211"/>
      <c r="AJ368" s="1211"/>
      <c r="AK368" s="1211"/>
    </row>
    <row r="369" spans="1:37" s="1179" customFormat="1">
      <c r="A369" s="1188"/>
      <c r="B369" s="1188"/>
      <c r="C369" s="1188"/>
      <c r="D369" s="1210"/>
      <c r="E369" s="1210"/>
      <c r="F369" s="1210"/>
      <c r="G369" s="1191"/>
      <c r="H369" s="1191"/>
      <c r="I369" s="1199"/>
      <c r="J369" s="1191"/>
      <c r="K369" s="1191"/>
      <c r="L369" s="1191"/>
      <c r="M369" s="1191"/>
      <c r="N369" s="1191"/>
      <c r="O369" s="1191"/>
      <c r="P369" s="1199"/>
      <c r="Q369" s="1191"/>
      <c r="R369" s="1191"/>
      <c r="S369" s="1191"/>
      <c r="T369" s="1191"/>
      <c r="U369" s="1191"/>
      <c r="V369" s="1191"/>
      <c r="W369" s="1191"/>
      <c r="X369" s="1191"/>
      <c r="Y369" s="1191"/>
      <c r="Z369" s="1191"/>
      <c r="AA369" s="1191"/>
      <c r="AB369" s="1210"/>
      <c r="AC369" s="1210"/>
      <c r="AD369" s="1210"/>
      <c r="AE369" s="1210"/>
      <c r="AF369" s="1210"/>
      <c r="AG369" s="1210"/>
      <c r="AH369" s="1210"/>
      <c r="AI369" s="1211"/>
      <c r="AJ369" s="1211"/>
      <c r="AK369" s="1211"/>
    </row>
    <row r="370" spans="1:37" s="1179" customFormat="1">
      <c r="A370" s="1188"/>
      <c r="B370" s="1188"/>
      <c r="C370" s="1188"/>
      <c r="D370" s="1210"/>
      <c r="E370" s="1210"/>
      <c r="F370" s="1210"/>
      <c r="G370" s="1191"/>
      <c r="H370" s="1191"/>
      <c r="I370" s="1199"/>
      <c r="J370" s="1191"/>
      <c r="K370" s="1191"/>
      <c r="L370" s="1191"/>
      <c r="M370" s="1191"/>
      <c r="N370" s="1191"/>
      <c r="O370" s="1191"/>
      <c r="P370" s="1199"/>
      <c r="Q370" s="1191"/>
      <c r="R370" s="1191"/>
      <c r="S370" s="1191"/>
      <c r="T370" s="1191"/>
      <c r="U370" s="1191"/>
      <c r="V370" s="1191"/>
      <c r="W370" s="1191"/>
      <c r="X370" s="1191"/>
      <c r="Y370" s="1191"/>
      <c r="Z370" s="1191"/>
      <c r="AA370" s="1191"/>
      <c r="AB370" s="1210"/>
      <c r="AC370" s="1210"/>
      <c r="AD370" s="1210"/>
      <c r="AE370" s="1210"/>
      <c r="AF370" s="1210"/>
      <c r="AG370" s="1210"/>
      <c r="AH370" s="1210"/>
      <c r="AI370" s="1211"/>
      <c r="AJ370" s="1211"/>
      <c r="AK370" s="1211"/>
    </row>
    <row r="371" spans="1:37" s="1179" customFormat="1">
      <c r="A371" s="1188"/>
      <c r="B371" s="1188"/>
      <c r="C371" s="1188"/>
      <c r="D371" s="1210"/>
      <c r="E371" s="1210"/>
      <c r="F371" s="1210"/>
      <c r="G371" s="1191"/>
      <c r="H371" s="1191"/>
      <c r="I371" s="1199"/>
      <c r="J371" s="1191"/>
      <c r="K371" s="1191"/>
      <c r="L371" s="1191"/>
      <c r="M371" s="1191"/>
      <c r="N371" s="1191"/>
      <c r="O371" s="1191"/>
      <c r="P371" s="1199"/>
      <c r="Q371" s="1191"/>
      <c r="R371" s="1191"/>
      <c r="S371" s="1191"/>
      <c r="T371" s="1191"/>
      <c r="U371" s="1191"/>
      <c r="V371" s="1191"/>
      <c r="W371" s="1191"/>
      <c r="X371" s="1191"/>
      <c r="Y371" s="1191"/>
      <c r="Z371" s="1191"/>
      <c r="AA371" s="1191"/>
      <c r="AB371" s="1210"/>
      <c r="AC371" s="1210"/>
      <c r="AD371" s="1210"/>
      <c r="AE371" s="1210"/>
      <c r="AF371" s="1210"/>
      <c r="AG371" s="1210"/>
      <c r="AH371" s="1210"/>
      <c r="AI371" s="1211"/>
      <c r="AJ371" s="1211"/>
      <c r="AK371" s="1211"/>
    </row>
    <row r="372" spans="1:37" s="1179" customFormat="1">
      <c r="A372" s="1188"/>
      <c r="B372" s="1188"/>
      <c r="C372" s="1188"/>
      <c r="D372" s="1210"/>
      <c r="E372" s="1210"/>
      <c r="F372" s="1210"/>
      <c r="G372" s="1191"/>
      <c r="H372" s="1191"/>
      <c r="I372" s="1199"/>
      <c r="J372" s="1191"/>
      <c r="K372" s="1191"/>
      <c r="L372" s="1191"/>
      <c r="M372" s="1191"/>
      <c r="N372" s="1191"/>
      <c r="O372" s="1191"/>
      <c r="P372" s="1199"/>
      <c r="Q372" s="1191"/>
      <c r="R372" s="1191"/>
      <c r="S372" s="1191"/>
      <c r="T372" s="1191"/>
      <c r="U372" s="1191"/>
      <c r="V372" s="1191"/>
      <c r="W372" s="1191"/>
      <c r="X372" s="1191"/>
      <c r="Y372" s="1191"/>
      <c r="Z372" s="1191"/>
      <c r="AA372" s="1191"/>
      <c r="AB372" s="1210"/>
      <c r="AC372" s="1210"/>
      <c r="AD372" s="1210"/>
      <c r="AE372" s="1210"/>
      <c r="AF372" s="1210"/>
      <c r="AG372" s="1210"/>
      <c r="AH372" s="1210"/>
      <c r="AI372" s="1211"/>
      <c r="AJ372" s="1211"/>
      <c r="AK372" s="1211"/>
    </row>
    <row r="373" spans="1:37" s="1179" customFormat="1">
      <c r="A373" s="1188"/>
      <c r="B373" s="1188"/>
      <c r="C373" s="1188"/>
      <c r="D373" s="1210"/>
      <c r="E373" s="1210"/>
      <c r="F373" s="1210"/>
      <c r="G373" s="1191"/>
      <c r="H373" s="1191"/>
      <c r="I373" s="1199"/>
      <c r="J373" s="1191"/>
      <c r="K373" s="1191"/>
      <c r="L373" s="1191"/>
      <c r="M373" s="1191"/>
      <c r="N373" s="1191"/>
      <c r="O373" s="1191"/>
      <c r="P373" s="1199"/>
      <c r="Q373" s="1191"/>
      <c r="R373" s="1191"/>
      <c r="S373" s="1191"/>
      <c r="T373" s="1191"/>
      <c r="U373" s="1191"/>
      <c r="V373" s="1191"/>
      <c r="W373" s="1191"/>
      <c r="X373" s="1191"/>
      <c r="Y373" s="1191"/>
      <c r="Z373" s="1191"/>
      <c r="AA373" s="1191"/>
      <c r="AB373" s="1210"/>
      <c r="AC373" s="1210"/>
      <c r="AD373" s="1210"/>
      <c r="AE373" s="1210"/>
      <c r="AF373" s="1210"/>
      <c r="AG373" s="1210"/>
      <c r="AH373" s="1210"/>
      <c r="AI373" s="1211"/>
      <c r="AJ373" s="1211"/>
      <c r="AK373" s="1211"/>
    </row>
    <row r="374" spans="1:37" s="1179" customFormat="1">
      <c r="A374" s="1188"/>
      <c r="B374" s="1188"/>
      <c r="C374" s="1188"/>
      <c r="D374" s="1210"/>
      <c r="E374" s="1210"/>
      <c r="F374" s="1210"/>
      <c r="G374" s="1191"/>
      <c r="H374" s="1191"/>
      <c r="I374" s="1199"/>
      <c r="J374" s="1191"/>
      <c r="K374" s="1191"/>
      <c r="L374" s="1191"/>
      <c r="M374" s="1191"/>
      <c r="N374" s="1191"/>
      <c r="O374" s="1191"/>
      <c r="P374" s="1199"/>
      <c r="Q374" s="1191"/>
      <c r="R374" s="1191"/>
      <c r="S374" s="1191"/>
      <c r="T374" s="1191"/>
      <c r="U374" s="1191"/>
      <c r="V374" s="1191"/>
      <c r="W374" s="1191"/>
      <c r="X374" s="1191"/>
      <c r="Y374" s="1191"/>
      <c r="Z374" s="1191"/>
      <c r="AA374" s="1191"/>
      <c r="AB374" s="1210"/>
      <c r="AC374" s="1210"/>
      <c r="AD374" s="1210"/>
      <c r="AE374" s="1210"/>
      <c r="AF374" s="1210"/>
      <c r="AG374" s="1210"/>
      <c r="AH374" s="1210"/>
      <c r="AI374" s="1211"/>
      <c r="AJ374" s="1211"/>
      <c r="AK374" s="1211"/>
    </row>
    <row r="375" spans="1:37" s="1179" customFormat="1">
      <c r="A375" s="1188"/>
      <c r="B375" s="1188"/>
      <c r="C375" s="1188"/>
      <c r="D375" s="1210"/>
      <c r="E375" s="1210"/>
      <c r="F375" s="1210"/>
      <c r="G375" s="1191"/>
      <c r="H375" s="1191"/>
      <c r="I375" s="1199"/>
      <c r="J375" s="1191"/>
      <c r="K375" s="1191"/>
      <c r="L375" s="1191"/>
      <c r="M375" s="1191"/>
      <c r="N375" s="1191"/>
      <c r="O375" s="1191"/>
      <c r="P375" s="1199"/>
      <c r="Q375" s="1191"/>
      <c r="R375" s="1191"/>
      <c r="S375" s="1191"/>
      <c r="T375" s="1191"/>
      <c r="U375" s="1191"/>
      <c r="V375" s="1191"/>
      <c r="W375" s="1191"/>
      <c r="X375" s="1191"/>
      <c r="Y375" s="1191"/>
      <c r="Z375" s="1191"/>
      <c r="AA375" s="1191"/>
      <c r="AB375" s="1210"/>
      <c r="AC375" s="1210"/>
      <c r="AD375" s="1210"/>
      <c r="AE375" s="1210"/>
      <c r="AF375" s="1210"/>
      <c r="AG375" s="1210"/>
      <c r="AH375" s="1210"/>
      <c r="AI375" s="1211"/>
      <c r="AJ375" s="1211"/>
      <c r="AK375" s="1211"/>
    </row>
    <row r="376" spans="1:37" s="1179" customFormat="1">
      <c r="A376" s="1188"/>
      <c r="B376" s="1188"/>
      <c r="C376" s="1188"/>
      <c r="D376" s="1210"/>
      <c r="E376" s="1210"/>
      <c r="F376" s="1210"/>
      <c r="G376" s="1191"/>
      <c r="H376" s="1191"/>
      <c r="I376" s="1199"/>
      <c r="J376" s="1191"/>
      <c r="K376" s="1191"/>
      <c r="L376" s="1191"/>
      <c r="M376" s="1191"/>
      <c r="N376" s="1191"/>
      <c r="O376" s="1191"/>
      <c r="P376" s="1199"/>
      <c r="Q376" s="1191"/>
      <c r="R376" s="1191"/>
      <c r="S376" s="1191"/>
      <c r="T376" s="1191"/>
      <c r="U376" s="1191"/>
      <c r="V376" s="1191"/>
      <c r="W376" s="1191"/>
      <c r="X376" s="1191"/>
      <c r="Y376" s="1191"/>
      <c r="Z376" s="1191"/>
      <c r="AA376" s="1191"/>
      <c r="AB376" s="1210"/>
      <c r="AC376" s="1210"/>
      <c r="AD376" s="1210"/>
      <c r="AE376" s="1210"/>
      <c r="AF376" s="1210"/>
      <c r="AG376" s="1210"/>
      <c r="AH376" s="1210"/>
      <c r="AI376" s="1211"/>
      <c r="AJ376" s="1211"/>
      <c r="AK376" s="1211"/>
    </row>
    <row r="377" spans="1:37" s="1179" customFormat="1">
      <c r="A377" s="1188"/>
      <c r="B377" s="1188"/>
      <c r="C377" s="1188"/>
      <c r="D377" s="1210"/>
      <c r="E377" s="1210"/>
      <c r="F377" s="1210"/>
      <c r="G377" s="1191"/>
      <c r="H377" s="1191"/>
      <c r="I377" s="1199"/>
      <c r="J377" s="1191"/>
      <c r="K377" s="1191"/>
      <c r="L377" s="1191"/>
      <c r="M377" s="1191"/>
      <c r="N377" s="1191"/>
      <c r="O377" s="1191"/>
      <c r="P377" s="1199"/>
      <c r="Q377" s="1191"/>
      <c r="R377" s="1191"/>
      <c r="S377" s="1191"/>
      <c r="T377" s="1191"/>
      <c r="U377" s="1191"/>
      <c r="V377" s="1191"/>
      <c r="W377" s="1191"/>
      <c r="X377" s="1191"/>
      <c r="Y377" s="1191"/>
      <c r="Z377" s="1191"/>
      <c r="AA377" s="1191"/>
      <c r="AB377" s="1210"/>
      <c r="AC377" s="1210"/>
      <c r="AD377" s="1210"/>
      <c r="AE377" s="1210"/>
      <c r="AF377" s="1210"/>
      <c r="AG377" s="1210"/>
      <c r="AH377" s="1210"/>
      <c r="AI377" s="1211"/>
      <c r="AJ377" s="1211"/>
      <c r="AK377" s="1211"/>
    </row>
    <row r="378" spans="1:37" s="1179" customFormat="1">
      <c r="A378" s="1188"/>
      <c r="B378" s="1188"/>
      <c r="C378" s="1188"/>
      <c r="D378" s="1210"/>
      <c r="E378" s="1210"/>
      <c r="F378" s="1210"/>
      <c r="G378" s="1191"/>
      <c r="H378" s="1191"/>
      <c r="I378" s="1199"/>
      <c r="J378" s="1191"/>
      <c r="K378" s="1191"/>
      <c r="L378" s="1191"/>
      <c r="M378" s="1191"/>
      <c r="N378" s="1191"/>
      <c r="O378" s="1191"/>
      <c r="P378" s="1199"/>
      <c r="Q378" s="1191"/>
      <c r="R378" s="1191"/>
      <c r="S378" s="1191"/>
      <c r="T378" s="1191"/>
      <c r="U378" s="1191"/>
      <c r="V378" s="1191"/>
      <c r="W378" s="1191"/>
      <c r="X378" s="1191"/>
      <c r="Y378" s="1191"/>
      <c r="Z378" s="1191"/>
      <c r="AA378" s="1191"/>
      <c r="AB378" s="1210"/>
      <c r="AC378" s="1210"/>
      <c r="AD378" s="1210"/>
      <c r="AE378" s="1210"/>
      <c r="AF378" s="1210"/>
      <c r="AG378" s="1210"/>
      <c r="AH378" s="1210"/>
      <c r="AI378" s="1211"/>
      <c r="AJ378" s="1211"/>
      <c r="AK378" s="1211"/>
    </row>
    <row r="379" spans="1:37" s="1179" customFormat="1">
      <c r="A379" s="1188"/>
      <c r="B379" s="1188"/>
      <c r="C379" s="1188"/>
      <c r="D379" s="1210"/>
      <c r="E379" s="1210"/>
      <c r="F379" s="1210"/>
      <c r="G379" s="1191"/>
      <c r="H379" s="1191"/>
      <c r="I379" s="1199"/>
      <c r="J379" s="1191"/>
      <c r="K379" s="1191"/>
      <c r="L379" s="1191"/>
      <c r="M379" s="1191"/>
      <c r="N379" s="1191"/>
      <c r="O379" s="1191"/>
      <c r="P379" s="1199"/>
      <c r="Q379" s="1191"/>
      <c r="R379" s="1191"/>
      <c r="S379" s="1191"/>
      <c r="T379" s="1191"/>
      <c r="U379" s="1191"/>
      <c r="V379" s="1191"/>
      <c r="W379" s="1191"/>
      <c r="X379" s="1191"/>
      <c r="Y379" s="1191"/>
      <c r="Z379" s="1191"/>
      <c r="AA379" s="1191"/>
      <c r="AB379" s="1210"/>
      <c r="AC379" s="1210"/>
      <c r="AD379" s="1210"/>
      <c r="AE379" s="1210"/>
      <c r="AF379" s="1210"/>
      <c r="AG379" s="1210"/>
      <c r="AH379" s="1210"/>
      <c r="AI379" s="1211"/>
      <c r="AJ379" s="1211"/>
      <c r="AK379" s="1211"/>
    </row>
    <row r="380" spans="1:37" s="1179" customFormat="1">
      <c r="A380" s="1188"/>
      <c r="B380" s="1188"/>
      <c r="C380" s="1188"/>
      <c r="D380" s="1210"/>
      <c r="E380" s="1210"/>
      <c r="F380" s="1210"/>
      <c r="G380" s="1191"/>
      <c r="H380" s="1191"/>
      <c r="I380" s="1199"/>
      <c r="J380" s="1191"/>
      <c r="K380" s="1191"/>
      <c r="L380" s="1191"/>
      <c r="M380" s="1191"/>
      <c r="N380" s="1191"/>
      <c r="O380" s="1191"/>
      <c r="P380" s="1199"/>
      <c r="Q380" s="1191"/>
      <c r="R380" s="1191"/>
      <c r="S380" s="1191"/>
      <c r="T380" s="1191"/>
      <c r="U380" s="1191"/>
      <c r="V380" s="1191"/>
      <c r="W380" s="1191"/>
      <c r="X380" s="1191"/>
      <c r="Y380" s="1191"/>
      <c r="Z380" s="1191"/>
      <c r="AA380" s="1191"/>
      <c r="AB380" s="1210"/>
      <c r="AC380" s="1210"/>
      <c r="AD380" s="1210"/>
      <c r="AE380" s="1210"/>
      <c r="AF380" s="1210"/>
      <c r="AG380" s="1210"/>
      <c r="AH380" s="1210"/>
      <c r="AI380" s="1211"/>
      <c r="AJ380" s="1211"/>
      <c r="AK380" s="1211"/>
    </row>
    <row r="381" spans="1:37" s="1179" customFormat="1">
      <c r="A381" s="1188"/>
      <c r="B381" s="1188"/>
      <c r="C381" s="1188"/>
      <c r="D381" s="1210"/>
      <c r="E381" s="1210"/>
      <c r="F381" s="1210"/>
      <c r="G381" s="1191"/>
      <c r="H381" s="1191"/>
      <c r="I381" s="1199"/>
      <c r="J381" s="1191"/>
      <c r="K381" s="1191"/>
      <c r="L381" s="1191"/>
      <c r="M381" s="1191"/>
      <c r="N381" s="1191"/>
      <c r="O381" s="1191"/>
      <c r="P381" s="1199"/>
      <c r="Q381" s="1191"/>
      <c r="R381" s="1191"/>
      <c r="S381" s="1191"/>
      <c r="T381" s="1191"/>
      <c r="U381" s="1191"/>
      <c r="V381" s="1191"/>
      <c r="W381" s="1191"/>
      <c r="X381" s="1191"/>
      <c r="Y381" s="1191"/>
      <c r="Z381" s="1191"/>
      <c r="AA381" s="1191"/>
      <c r="AB381" s="1210"/>
      <c r="AC381" s="1210"/>
      <c r="AD381" s="1210"/>
      <c r="AE381" s="1210"/>
      <c r="AF381" s="1210"/>
      <c r="AG381" s="1210"/>
      <c r="AH381" s="1210"/>
      <c r="AI381" s="1211"/>
      <c r="AJ381" s="1211"/>
      <c r="AK381" s="1211"/>
    </row>
    <row r="382" spans="1:37" s="1179" customFormat="1">
      <c r="A382" s="1188"/>
      <c r="B382" s="1188"/>
      <c r="C382" s="1188"/>
      <c r="D382" s="1210"/>
      <c r="E382" s="1210"/>
      <c r="F382" s="1210"/>
      <c r="G382" s="1191"/>
      <c r="H382" s="1191"/>
      <c r="I382" s="1199"/>
      <c r="J382" s="1191"/>
      <c r="K382" s="1191"/>
      <c r="L382" s="1191"/>
      <c r="M382" s="1191"/>
      <c r="N382" s="1191"/>
      <c r="O382" s="1191"/>
      <c r="P382" s="1199"/>
      <c r="Q382" s="1191"/>
      <c r="R382" s="1191"/>
      <c r="S382" s="1191"/>
      <c r="T382" s="1191"/>
      <c r="U382" s="1191"/>
      <c r="V382" s="1191"/>
      <c r="W382" s="1191"/>
      <c r="X382" s="1191"/>
      <c r="Y382" s="1191"/>
      <c r="Z382" s="1191"/>
      <c r="AA382" s="1191"/>
      <c r="AB382" s="1210"/>
      <c r="AC382" s="1210"/>
      <c r="AD382" s="1210"/>
      <c r="AE382" s="1210"/>
      <c r="AF382" s="1210"/>
      <c r="AG382" s="1210"/>
      <c r="AH382" s="1210"/>
      <c r="AI382" s="1211"/>
      <c r="AJ382" s="1211"/>
      <c r="AK382" s="1211"/>
    </row>
    <row r="383" spans="1:37" s="1179" customFormat="1">
      <c r="A383" s="1188"/>
      <c r="B383" s="1188"/>
      <c r="C383" s="1188"/>
      <c r="D383" s="1210"/>
      <c r="E383" s="1210"/>
      <c r="F383" s="1210"/>
      <c r="G383" s="1191"/>
      <c r="H383" s="1191"/>
      <c r="I383" s="1199"/>
      <c r="J383" s="1191"/>
      <c r="K383" s="1191"/>
      <c r="L383" s="1191"/>
      <c r="M383" s="1191"/>
      <c r="N383" s="1191"/>
      <c r="O383" s="1191"/>
      <c r="P383" s="1199"/>
      <c r="Q383" s="1191"/>
      <c r="R383" s="1191"/>
      <c r="S383" s="1191"/>
      <c r="T383" s="1191"/>
      <c r="U383" s="1191"/>
      <c r="V383" s="1191"/>
      <c r="W383" s="1191"/>
      <c r="X383" s="1191"/>
      <c r="Y383" s="1191"/>
      <c r="Z383" s="1191"/>
      <c r="AA383" s="1191"/>
      <c r="AB383" s="1210"/>
      <c r="AC383" s="1210"/>
      <c r="AD383" s="1210"/>
      <c r="AE383" s="1210"/>
      <c r="AF383" s="1210"/>
      <c r="AG383" s="1210"/>
      <c r="AH383" s="1210"/>
      <c r="AI383" s="1211"/>
      <c r="AJ383" s="1211"/>
      <c r="AK383" s="1211"/>
    </row>
    <row r="384" spans="1:37" s="1179" customFormat="1">
      <c r="A384" s="1188"/>
      <c r="B384" s="1188"/>
      <c r="C384" s="1188"/>
      <c r="D384" s="1210"/>
      <c r="E384" s="1210"/>
      <c r="F384" s="1210"/>
      <c r="G384" s="1191"/>
      <c r="H384" s="1191"/>
      <c r="I384" s="1199"/>
      <c r="J384" s="1191"/>
      <c r="K384" s="1191"/>
      <c r="L384" s="1191"/>
      <c r="M384" s="1191"/>
      <c r="N384" s="1191"/>
      <c r="O384" s="1191"/>
      <c r="P384" s="1199"/>
      <c r="Q384" s="1191"/>
      <c r="R384" s="1191"/>
      <c r="S384" s="1191"/>
      <c r="T384" s="1191"/>
      <c r="U384" s="1191"/>
      <c r="V384" s="1191"/>
      <c r="W384" s="1191"/>
      <c r="X384" s="1191"/>
      <c r="Y384" s="1191"/>
      <c r="Z384" s="1191"/>
      <c r="AA384" s="1191"/>
      <c r="AB384" s="1210"/>
      <c r="AC384" s="1210"/>
      <c r="AD384" s="1210"/>
      <c r="AE384" s="1210"/>
      <c r="AF384" s="1210"/>
      <c r="AG384" s="1210"/>
      <c r="AH384" s="1210"/>
      <c r="AI384" s="1211"/>
      <c r="AJ384" s="1211"/>
      <c r="AK384" s="1211"/>
    </row>
    <row r="385" spans="1:37" s="1179" customFormat="1">
      <c r="A385" s="1188"/>
      <c r="B385" s="1188"/>
      <c r="C385" s="1188"/>
      <c r="D385" s="1210"/>
      <c r="E385" s="1210"/>
      <c r="F385" s="1210"/>
      <c r="G385" s="1191"/>
      <c r="H385" s="1191"/>
      <c r="I385" s="1199"/>
      <c r="J385" s="1191"/>
      <c r="K385" s="1191"/>
      <c r="L385" s="1191"/>
      <c r="M385" s="1191"/>
      <c r="N385" s="1191"/>
      <c r="O385" s="1191"/>
      <c r="P385" s="1199"/>
      <c r="Q385" s="1191"/>
      <c r="R385" s="1191"/>
      <c r="S385" s="1191"/>
      <c r="T385" s="1191"/>
      <c r="U385" s="1191"/>
      <c r="V385" s="1191"/>
      <c r="W385" s="1191"/>
      <c r="X385" s="1191"/>
      <c r="Y385" s="1191"/>
      <c r="Z385" s="1191"/>
      <c r="AA385" s="1191"/>
      <c r="AB385" s="1210"/>
      <c r="AC385" s="1210"/>
      <c r="AD385" s="1210"/>
      <c r="AE385" s="1210"/>
      <c r="AF385" s="1210"/>
      <c r="AG385" s="1210"/>
      <c r="AH385" s="1210"/>
      <c r="AI385" s="1211"/>
      <c r="AJ385" s="1211"/>
      <c r="AK385" s="1211"/>
    </row>
    <row r="386" spans="1:37" s="1179" customFormat="1">
      <c r="A386" s="1188"/>
      <c r="B386" s="1188"/>
      <c r="C386" s="1188"/>
      <c r="D386" s="1210"/>
      <c r="E386" s="1210"/>
      <c r="F386" s="1210"/>
      <c r="G386" s="1191"/>
      <c r="H386" s="1191"/>
      <c r="I386" s="1199"/>
      <c r="J386" s="1191"/>
      <c r="K386" s="1191"/>
      <c r="L386" s="1191"/>
      <c r="M386" s="1191"/>
      <c r="N386" s="1191"/>
      <c r="O386" s="1191"/>
      <c r="P386" s="1199"/>
      <c r="Q386" s="1191"/>
      <c r="R386" s="1191"/>
      <c r="S386" s="1191"/>
      <c r="T386" s="1191"/>
      <c r="U386" s="1191"/>
      <c r="V386" s="1191"/>
      <c r="W386" s="1191"/>
      <c r="X386" s="1191"/>
      <c r="Y386" s="1191"/>
      <c r="Z386" s="1191"/>
      <c r="AA386" s="1191"/>
      <c r="AB386" s="1210"/>
      <c r="AC386" s="1210"/>
      <c r="AD386" s="1210"/>
      <c r="AE386" s="1210"/>
      <c r="AF386" s="1210"/>
      <c r="AG386" s="1210"/>
      <c r="AH386" s="1210"/>
      <c r="AI386" s="1211"/>
      <c r="AJ386" s="1211"/>
      <c r="AK386" s="1211"/>
    </row>
    <row r="387" spans="1:37" s="1179" customFormat="1">
      <c r="A387" s="1188"/>
      <c r="B387" s="1188"/>
      <c r="C387" s="1188"/>
      <c r="D387" s="1210"/>
      <c r="E387" s="1210"/>
      <c r="F387" s="1210"/>
      <c r="G387" s="1191"/>
      <c r="H387" s="1191"/>
      <c r="I387" s="1199"/>
      <c r="J387" s="1191"/>
      <c r="K387" s="1191"/>
      <c r="L387" s="1191"/>
      <c r="M387" s="1191"/>
      <c r="N387" s="1191"/>
      <c r="O387" s="1191"/>
      <c r="P387" s="1199"/>
      <c r="Q387" s="1191"/>
      <c r="R387" s="1191"/>
      <c r="S387" s="1191"/>
      <c r="T387" s="1191"/>
      <c r="U387" s="1191"/>
      <c r="V387" s="1191"/>
      <c r="W387" s="1191"/>
      <c r="X387" s="1191"/>
      <c r="Y387" s="1191"/>
      <c r="Z387" s="1191"/>
      <c r="AA387" s="1191"/>
      <c r="AB387" s="1210"/>
      <c r="AC387" s="1210"/>
      <c r="AD387" s="1210"/>
      <c r="AE387" s="1210"/>
      <c r="AF387" s="1210"/>
      <c r="AG387" s="1210"/>
      <c r="AH387" s="1210"/>
      <c r="AI387" s="1211"/>
      <c r="AJ387" s="1211"/>
      <c r="AK387" s="1211"/>
    </row>
    <row r="388" spans="1:37" s="1179" customFormat="1">
      <c r="A388" s="1188"/>
      <c r="B388" s="1188"/>
      <c r="C388" s="1188"/>
      <c r="D388" s="1210"/>
      <c r="E388" s="1210"/>
      <c r="F388" s="1210"/>
      <c r="G388" s="1191"/>
      <c r="H388" s="1191"/>
      <c r="I388" s="1199"/>
      <c r="J388" s="1191"/>
      <c r="K388" s="1191"/>
      <c r="L388" s="1191"/>
      <c r="M388" s="1191"/>
      <c r="N388" s="1191"/>
      <c r="O388" s="1191"/>
      <c r="P388" s="1199"/>
      <c r="Q388" s="1191"/>
      <c r="R388" s="1191"/>
      <c r="S388" s="1191"/>
      <c r="T388" s="1191"/>
      <c r="U388" s="1191"/>
      <c r="V388" s="1191"/>
      <c r="W388" s="1191"/>
      <c r="X388" s="1191"/>
      <c r="Y388" s="1191"/>
      <c r="Z388" s="1191"/>
      <c r="AA388" s="1191"/>
      <c r="AB388" s="1210"/>
      <c r="AC388" s="1210"/>
      <c r="AD388" s="1210"/>
      <c r="AE388" s="1210"/>
      <c r="AF388" s="1210"/>
      <c r="AG388" s="1210"/>
      <c r="AH388" s="1210"/>
      <c r="AI388" s="1211"/>
      <c r="AJ388" s="1211"/>
      <c r="AK388" s="1211"/>
    </row>
    <row r="389" spans="1:37" s="1179" customFormat="1">
      <c r="A389" s="1188"/>
      <c r="B389" s="1188"/>
      <c r="C389" s="1188"/>
      <c r="D389" s="1210"/>
      <c r="E389" s="1210"/>
      <c r="F389" s="1210"/>
      <c r="G389" s="1191"/>
      <c r="H389" s="1191"/>
      <c r="I389" s="1199"/>
      <c r="J389" s="1191"/>
      <c r="K389" s="1191"/>
      <c r="L389" s="1191"/>
      <c r="M389" s="1191"/>
      <c r="N389" s="1191"/>
      <c r="O389" s="1191"/>
      <c r="P389" s="1199"/>
      <c r="Q389" s="1191"/>
      <c r="R389" s="1191"/>
      <c r="S389" s="1191"/>
      <c r="T389" s="1191"/>
      <c r="U389" s="1191"/>
      <c r="V389" s="1191"/>
      <c r="W389" s="1191"/>
      <c r="X389" s="1191"/>
      <c r="Y389" s="1191"/>
      <c r="Z389" s="1191"/>
      <c r="AA389" s="1191"/>
      <c r="AB389" s="1210"/>
      <c r="AC389" s="1210"/>
      <c r="AD389" s="1210"/>
      <c r="AE389" s="1210"/>
      <c r="AF389" s="1210"/>
      <c r="AG389" s="1210"/>
      <c r="AH389" s="1210"/>
      <c r="AI389" s="1211"/>
      <c r="AJ389" s="1211"/>
      <c r="AK389" s="1211"/>
    </row>
    <row r="390" spans="1:37" s="1179" customFormat="1">
      <c r="A390" s="1188"/>
      <c r="B390" s="1188"/>
      <c r="C390" s="1188"/>
      <c r="D390" s="1210"/>
      <c r="E390" s="1210"/>
      <c r="F390" s="1210"/>
      <c r="G390" s="1191"/>
      <c r="H390" s="1191"/>
      <c r="I390" s="1199"/>
      <c r="J390" s="1191"/>
      <c r="K390" s="1191"/>
      <c r="L390" s="1191"/>
      <c r="M390" s="1191"/>
      <c r="N390" s="1191"/>
      <c r="O390" s="1191"/>
      <c r="P390" s="1199"/>
      <c r="Q390" s="1191"/>
      <c r="R390" s="1191"/>
      <c r="S390" s="1191"/>
      <c r="T390" s="1191"/>
      <c r="U390" s="1191"/>
      <c r="V390" s="1191"/>
      <c r="W390" s="1191"/>
      <c r="X390" s="1191"/>
      <c r="Y390" s="1191"/>
      <c r="Z390" s="1191"/>
      <c r="AA390" s="1191"/>
      <c r="AB390" s="1210"/>
      <c r="AC390" s="1210"/>
      <c r="AD390" s="1210"/>
      <c r="AE390" s="1210"/>
      <c r="AF390" s="1210"/>
      <c r="AG390" s="1210"/>
      <c r="AH390" s="1210"/>
      <c r="AI390" s="1211"/>
      <c r="AJ390" s="1211"/>
      <c r="AK390" s="1211"/>
    </row>
    <row r="391" spans="1:37" s="1179" customFormat="1">
      <c r="A391" s="1188"/>
      <c r="B391" s="1188"/>
      <c r="C391" s="1188"/>
      <c r="D391" s="1210"/>
      <c r="E391" s="1210"/>
      <c r="F391" s="1210"/>
      <c r="G391" s="1191"/>
      <c r="H391" s="1191"/>
      <c r="I391" s="1199"/>
      <c r="J391" s="1191"/>
      <c r="K391" s="1191"/>
      <c r="L391" s="1191"/>
      <c r="M391" s="1191"/>
      <c r="N391" s="1191"/>
      <c r="O391" s="1191"/>
      <c r="P391" s="1199"/>
      <c r="Q391" s="1191"/>
      <c r="R391" s="1191"/>
      <c r="S391" s="1191"/>
      <c r="T391" s="1191"/>
      <c r="U391" s="1191"/>
      <c r="V391" s="1191"/>
      <c r="W391" s="1191"/>
      <c r="X391" s="1191"/>
      <c r="Y391" s="1191"/>
      <c r="Z391" s="1191"/>
      <c r="AA391" s="1191"/>
      <c r="AB391" s="1210"/>
      <c r="AC391" s="1210"/>
      <c r="AD391" s="1210"/>
      <c r="AE391" s="1210"/>
      <c r="AF391" s="1210"/>
      <c r="AG391" s="1210"/>
      <c r="AH391" s="1210"/>
      <c r="AI391" s="1211"/>
      <c r="AJ391" s="1211"/>
      <c r="AK391" s="1211"/>
    </row>
    <row r="392" spans="1:37" s="1179" customFormat="1">
      <c r="A392" s="1188"/>
      <c r="B392" s="1188"/>
      <c r="C392" s="1188"/>
      <c r="D392" s="1210"/>
      <c r="E392" s="1210"/>
      <c r="F392" s="1210"/>
      <c r="G392" s="1191"/>
      <c r="H392" s="1191"/>
      <c r="I392" s="1199"/>
      <c r="J392" s="1191"/>
      <c r="K392" s="1191"/>
      <c r="L392" s="1191"/>
      <c r="M392" s="1191"/>
      <c r="N392" s="1191"/>
      <c r="O392" s="1191"/>
      <c r="P392" s="1199"/>
      <c r="Q392" s="1191"/>
      <c r="R392" s="1191"/>
      <c r="S392" s="1191"/>
      <c r="T392" s="1191"/>
      <c r="U392" s="1191"/>
      <c r="V392" s="1191"/>
      <c r="W392" s="1191"/>
      <c r="X392" s="1191"/>
      <c r="Y392" s="1191"/>
      <c r="Z392" s="1191"/>
      <c r="AA392" s="1191"/>
      <c r="AB392" s="1210"/>
      <c r="AC392" s="1210"/>
      <c r="AD392" s="1210"/>
      <c r="AE392" s="1210"/>
      <c r="AF392" s="1210"/>
      <c r="AG392" s="1210"/>
      <c r="AH392" s="1210"/>
      <c r="AI392" s="1211"/>
      <c r="AJ392" s="1211"/>
      <c r="AK392" s="1211"/>
    </row>
    <row r="393" spans="1:37" s="1179" customFormat="1">
      <c r="A393" s="1188"/>
      <c r="B393" s="1188"/>
      <c r="C393" s="1188"/>
      <c r="D393" s="1210"/>
      <c r="E393" s="1210"/>
      <c r="F393" s="1210"/>
      <c r="G393" s="1191"/>
      <c r="H393" s="1191"/>
      <c r="I393" s="1199"/>
      <c r="J393" s="1191"/>
      <c r="K393" s="1191"/>
      <c r="L393" s="1191"/>
      <c r="M393" s="1191"/>
      <c r="N393" s="1191"/>
      <c r="O393" s="1191"/>
      <c r="P393" s="1199"/>
      <c r="Q393" s="1191"/>
      <c r="R393" s="1191"/>
      <c r="S393" s="1191"/>
      <c r="T393" s="1191"/>
      <c r="U393" s="1191"/>
      <c r="V393" s="1191"/>
      <c r="W393" s="1191"/>
      <c r="X393" s="1191"/>
      <c r="Y393" s="1191"/>
      <c r="Z393" s="1191"/>
      <c r="AA393" s="1191"/>
      <c r="AB393" s="1210"/>
      <c r="AC393" s="1210"/>
      <c r="AD393" s="1210"/>
      <c r="AE393" s="1210"/>
      <c r="AF393" s="1210"/>
      <c r="AG393" s="1210"/>
      <c r="AH393" s="1210"/>
      <c r="AI393" s="1211"/>
      <c r="AJ393" s="1211"/>
      <c r="AK393" s="1211"/>
    </row>
    <row r="394" spans="1:37" s="1179" customFormat="1">
      <c r="A394" s="1188"/>
      <c r="B394" s="1188"/>
      <c r="C394" s="1188"/>
      <c r="D394" s="1210"/>
      <c r="E394" s="1210"/>
      <c r="F394" s="1210"/>
      <c r="G394" s="1191"/>
      <c r="H394" s="1191"/>
      <c r="I394" s="1199"/>
      <c r="J394" s="1191"/>
      <c r="K394" s="1191"/>
      <c r="L394" s="1191"/>
      <c r="M394" s="1191"/>
      <c r="N394" s="1191"/>
      <c r="O394" s="1191"/>
      <c r="P394" s="1199"/>
      <c r="Q394" s="1191"/>
      <c r="R394" s="1191"/>
      <c r="S394" s="1191"/>
      <c r="T394" s="1191"/>
      <c r="U394" s="1191"/>
      <c r="V394" s="1191"/>
      <c r="W394" s="1191"/>
      <c r="X394" s="1191"/>
      <c r="Y394" s="1191"/>
      <c r="Z394" s="1191"/>
      <c r="AA394" s="1191"/>
      <c r="AB394" s="1210"/>
      <c r="AC394" s="1210"/>
      <c r="AD394" s="1210"/>
      <c r="AE394" s="1210"/>
      <c r="AF394" s="1210"/>
      <c r="AG394" s="1210"/>
      <c r="AH394" s="1210"/>
      <c r="AI394" s="1211"/>
      <c r="AJ394" s="1211"/>
      <c r="AK394" s="1211"/>
    </row>
    <row r="395" spans="1:37" s="1179" customFormat="1">
      <c r="A395" s="1188"/>
      <c r="B395" s="1188"/>
      <c r="C395" s="1188"/>
      <c r="D395" s="1210"/>
      <c r="E395" s="1210"/>
      <c r="F395" s="1210"/>
      <c r="G395" s="1191"/>
      <c r="H395" s="1191"/>
      <c r="I395" s="1199"/>
      <c r="J395" s="1191"/>
      <c r="K395" s="1191"/>
      <c r="L395" s="1191"/>
      <c r="M395" s="1191"/>
      <c r="N395" s="1191"/>
      <c r="O395" s="1191"/>
      <c r="P395" s="1199"/>
      <c r="Q395" s="1191"/>
      <c r="R395" s="1191"/>
      <c r="S395" s="1191"/>
      <c r="T395" s="1191"/>
      <c r="U395" s="1191"/>
      <c r="V395" s="1191"/>
      <c r="W395" s="1191"/>
      <c r="X395" s="1191"/>
      <c r="Y395" s="1191"/>
      <c r="Z395" s="1191"/>
      <c r="AA395" s="1191"/>
      <c r="AB395" s="1210"/>
      <c r="AC395" s="1210"/>
      <c r="AD395" s="1210"/>
      <c r="AE395" s="1210"/>
      <c r="AF395" s="1210"/>
      <c r="AG395" s="1210"/>
      <c r="AH395" s="1210"/>
      <c r="AI395" s="1211"/>
      <c r="AJ395" s="1211"/>
      <c r="AK395" s="1211"/>
    </row>
    <row r="396" spans="1:37" s="1179" customFormat="1">
      <c r="A396" s="1188"/>
      <c r="B396" s="1188"/>
      <c r="C396" s="1188"/>
      <c r="D396" s="1210"/>
      <c r="E396" s="1210"/>
      <c r="F396" s="1210"/>
      <c r="G396" s="1191"/>
      <c r="H396" s="1191"/>
      <c r="I396" s="1199"/>
      <c r="J396" s="1191"/>
      <c r="K396" s="1191"/>
      <c r="L396" s="1191"/>
      <c r="M396" s="1191"/>
      <c r="N396" s="1191"/>
      <c r="O396" s="1191"/>
      <c r="P396" s="1199"/>
      <c r="Q396" s="1191"/>
      <c r="R396" s="1191"/>
      <c r="S396" s="1191"/>
      <c r="T396" s="1191"/>
      <c r="U396" s="1191"/>
      <c r="V396" s="1191"/>
      <c r="W396" s="1191"/>
      <c r="X396" s="1191"/>
      <c r="Y396" s="1191"/>
      <c r="Z396" s="1191"/>
      <c r="AA396" s="1191"/>
      <c r="AB396" s="1210"/>
      <c r="AC396" s="1210"/>
      <c r="AD396" s="1210"/>
      <c r="AE396" s="1210"/>
      <c r="AF396" s="1210"/>
      <c r="AG396" s="1210"/>
      <c r="AH396" s="1210"/>
      <c r="AI396" s="1211"/>
      <c r="AJ396" s="1211"/>
      <c r="AK396" s="1211"/>
    </row>
    <row r="397" spans="1:37" s="1179" customFormat="1">
      <c r="A397" s="1188"/>
      <c r="B397" s="1188"/>
      <c r="C397" s="1188"/>
      <c r="D397" s="1210"/>
      <c r="E397" s="1210"/>
      <c r="F397" s="1210"/>
      <c r="G397" s="1191"/>
      <c r="H397" s="1191"/>
      <c r="I397" s="1199"/>
      <c r="J397" s="1191"/>
      <c r="K397" s="1191"/>
      <c r="L397" s="1191"/>
      <c r="M397" s="1191"/>
      <c r="N397" s="1191"/>
      <c r="O397" s="1191"/>
      <c r="P397" s="1199"/>
      <c r="Q397" s="1191"/>
      <c r="R397" s="1191"/>
      <c r="S397" s="1191"/>
      <c r="T397" s="1191"/>
      <c r="U397" s="1191"/>
      <c r="V397" s="1191"/>
      <c r="W397" s="1191"/>
      <c r="X397" s="1191"/>
      <c r="Y397" s="1191"/>
      <c r="Z397" s="1191"/>
      <c r="AA397" s="1191"/>
      <c r="AB397" s="1210"/>
      <c r="AC397" s="1210"/>
      <c r="AD397" s="1210"/>
      <c r="AE397" s="1210"/>
      <c r="AF397" s="1210"/>
      <c r="AG397" s="1210"/>
      <c r="AH397" s="1210"/>
      <c r="AI397" s="1211"/>
      <c r="AJ397" s="1211"/>
      <c r="AK397" s="1211"/>
    </row>
    <row r="398" spans="1:37" s="1179" customFormat="1">
      <c r="A398" s="1188"/>
      <c r="B398" s="1188"/>
      <c r="C398" s="1188"/>
      <c r="D398" s="1210"/>
      <c r="E398" s="1210"/>
      <c r="F398" s="1210"/>
      <c r="G398" s="1191"/>
      <c r="H398" s="1191"/>
      <c r="I398" s="1199"/>
      <c r="J398" s="1191"/>
      <c r="K398" s="1191"/>
      <c r="L398" s="1191"/>
      <c r="M398" s="1191"/>
      <c r="N398" s="1191"/>
      <c r="O398" s="1191"/>
      <c r="P398" s="1199"/>
      <c r="Q398" s="1191"/>
      <c r="R398" s="1191"/>
      <c r="S398" s="1191"/>
      <c r="T398" s="1191"/>
      <c r="U398" s="1191"/>
      <c r="V398" s="1191"/>
      <c r="W398" s="1191"/>
      <c r="X398" s="1191"/>
      <c r="Y398" s="1191"/>
      <c r="Z398" s="1191"/>
      <c r="AA398" s="1191"/>
      <c r="AB398" s="1210"/>
      <c r="AC398" s="1210"/>
      <c r="AD398" s="1210"/>
      <c r="AE398" s="1210"/>
      <c r="AF398" s="1210"/>
      <c r="AG398" s="1210"/>
      <c r="AH398" s="1210"/>
      <c r="AI398" s="1211"/>
      <c r="AJ398" s="1211"/>
      <c r="AK398" s="1211"/>
    </row>
    <row r="399" spans="1:37" s="1179" customFormat="1">
      <c r="A399" s="1188"/>
      <c r="B399" s="1188"/>
      <c r="C399" s="1188"/>
      <c r="D399" s="1210"/>
      <c r="E399" s="1210"/>
      <c r="F399" s="1210"/>
      <c r="G399" s="1191"/>
      <c r="H399" s="1191"/>
      <c r="I399" s="1199"/>
      <c r="J399" s="1191"/>
      <c r="K399" s="1191"/>
      <c r="L399" s="1191"/>
      <c r="M399" s="1191"/>
      <c r="N399" s="1191"/>
      <c r="O399" s="1191"/>
      <c r="P399" s="1199"/>
      <c r="Q399" s="1191"/>
      <c r="R399" s="1191"/>
      <c r="S399" s="1191"/>
      <c r="T399" s="1191"/>
      <c r="U399" s="1191"/>
      <c r="V399" s="1191"/>
      <c r="W399" s="1191"/>
      <c r="X399" s="1191"/>
      <c r="Y399" s="1191"/>
      <c r="Z399" s="1191"/>
      <c r="AA399" s="1191"/>
      <c r="AB399" s="1210"/>
      <c r="AC399" s="1210"/>
      <c r="AD399" s="1210"/>
      <c r="AE399" s="1210"/>
      <c r="AF399" s="1210"/>
      <c r="AG399" s="1210"/>
      <c r="AH399" s="1210"/>
      <c r="AI399" s="1211"/>
      <c r="AJ399" s="1211"/>
      <c r="AK399" s="1211"/>
    </row>
    <row r="400" spans="1:37" s="1179" customFormat="1">
      <c r="A400" s="1188"/>
      <c r="B400" s="1188"/>
      <c r="C400" s="1188"/>
      <c r="D400" s="1210"/>
      <c r="E400" s="1210"/>
      <c r="F400" s="1210"/>
      <c r="G400" s="1191"/>
      <c r="H400" s="1191"/>
      <c r="I400" s="1199"/>
      <c r="J400" s="1191"/>
      <c r="K400" s="1191"/>
      <c r="L400" s="1191"/>
      <c r="M400" s="1191"/>
      <c r="N400" s="1191"/>
      <c r="O400" s="1191"/>
      <c r="P400" s="1199"/>
      <c r="Q400" s="1191"/>
      <c r="R400" s="1191"/>
      <c r="S400" s="1191"/>
      <c r="T400" s="1191"/>
      <c r="U400" s="1191"/>
      <c r="V400" s="1191"/>
      <c r="W400" s="1191"/>
      <c r="X400" s="1191"/>
      <c r="Y400" s="1191"/>
      <c r="Z400" s="1191"/>
      <c r="AA400" s="1191"/>
      <c r="AB400" s="1210"/>
      <c r="AC400" s="1210"/>
      <c r="AD400" s="1210"/>
      <c r="AE400" s="1210"/>
      <c r="AF400" s="1210"/>
      <c r="AG400" s="1210"/>
      <c r="AH400" s="1210"/>
      <c r="AI400" s="1211"/>
      <c r="AJ400" s="1211"/>
      <c r="AK400" s="1211"/>
    </row>
    <row r="401" spans="1:37" s="1179" customFormat="1">
      <c r="A401" s="1188"/>
      <c r="B401" s="1188"/>
      <c r="C401" s="1188"/>
      <c r="D401" s="1210"/>
      <c r="E401" s="1210"/>
      <c r="F401" s="1210"/>
      <c r="G401" s="1191"/>
      <c r="H401" s="1191"/>
      <c r="I401" s="1199"/>
      <c r="J401" s="1191"/>
      <c r="K401" s="1191"/>
      <c r="L401" s="1191"/>
      <c r="M401" s="1191"/>
      <c r="N401" s="1191"/>
      <c r="O401" s="1191"/>
      <c r="P401" s="1199"/>
      <c r="Q401" s="1191"/>
      <c r="R401" s="1191"/>
      <c r="S401" s="1191"/>
      <c r="T401" s="1191"/>
      <c r="U401" s="1191"/>
      <c r="V401" s="1191"/>
      <c r="W401" s="1191"/>
      <c r="X401" s="1191"/>
      <c r="Y401" s="1191"/>
      <c r="Z401" s="1191"/>
      <c r="AA401" s="1191"/>
      <c r="AB401" s="1210"/>
      <c r="AC401" s="1210"/>
      <c r="AD401" s="1210"/>
      <c r="AE401" s="1210"/>
      <c r="AF401" s="1210"/>
      <c r="AG401" s="1210"/>
      <c r="AH401" s="1210"/>
      <c r="AI401" s="1211"/>
      <c r="AJ401" s="1211"/>
      <c r="AK401" s="1211"/>
    </row>
    <row r="402" spans="1:37" s="1179" customFormat="1">
      <c r="A402" s="1188"/>
      <c r="B402" s="1188"/>
      <c r="C402" s="1188"/>
      <c r="D402" s="1210"/>
      <c r="E402" s="1210"/>
      <c r="F402" s="1210"/>
      <c r="G402" s="1191"/>
      <c r="H402" s="1191"/>
      <c r="I402" s="1199"/>
      <c r="J402" s="1191"/>
      <c r="K402" s="1191"/>
      <c r="L402" s="1191"/>
      <c r="M402" s="1191"/>
      <c r="N402" s="1191"/>
      <c r="O402" s="1191"/>
      <c r="P402" s="1199"/>
      <c r="Q402" s="1191"/>
      <c r="R402" s="1191"/>
      <c r="S402" s="1191"/>
      <c r="T402" s="1191"/>
      <c r="U402" s="1191"/>
      <c r="V402" s="1191"/>
      <c r="W402" s="1191"/>
      <c r="X402" s="1191"/>
      <c r="Y402" s="1191"/>
      <c r="Z402" s="1191"/>
      <c r="AA402" s="1191"/>
      <c r="AB402" s="1210"/>
      <c r="AC402" s="1210"/>
      <c r="AD402" s="1210"/>
      <c r="AE402" s="1210"/>
      <c r="AF402" s="1210"/>
      <c r="AG402" s="1210"/>
      <c r="AH402" s="1210"/>
      <c r="AI402" s="1211"/>
      <c r="AJ402" s="1211"/>
      <c r="AK402" s="1211"/>
    </row>
    <row r="403" spans="1:37" s="1179" customFormat="1">
      <c r="A403" s="1188"/>
      <c r="B403" s="1188"/>
      <c r="C403" s="1188"/>
      <c r="D403" s="1210"/>
      <c r="E403" s="1210"/>
      <c r="F403" s="1210"/>
      <c r="G403" s="1191"/>
      <c r="H403" s="1191"/>
      <c r="I403" s="1199"/>
      <c r="J403" s="1191"/>
      <c r="K403" s="1191"/>
      <c r="L403" s="1191"/>
      <c r="M403" s="1191"/>
      <c r="N403" s="1191"/>
      <c r="O403" s="1191"/>
      <c r="P403" s="1199"/>
      <c r="Q403" s="1191"/>
      <c r="R403" s="1191"/>
      <c r="S403" s="1191"/>
      <c r="T403" s="1191"/>
      <c r="U403" s="1191"/>
      <c r="V403" s="1191"/>
      <c r="W403" s="1191"/>
      <c r="X403" s="1191"/>
      <c r="Y403" s="1191"/>
      <c r="Z403" s="1191"/>
      <c r="AA403" s="1191"/>
      <c r="AB403" s="1210"/>
      <c r="AC403" s="1210"/>
      <c r="AD403" s="1210"/>
      <c r="AE403" s="1210"/>
      <c r="AF403" s="1210"/>
      <c r="AG403" s="1210"/>
      <c r="AH403" s="1210"/>
      <c r="AI403" s="1211"/>
      <c r="AJ403" s="1211"/>
      <c r="AK403" s="1211"/>
    </row>
    <row r="404" spans="1:37" s="1179" customFormat="1">
      <c r="A404" s="1188"/>
      <c r="B404" s="1188"/>
      <c r="C404" s="1188"/>
      <c r="D404" s="1210"/>
      <c r="E404" s="1210"/>
      <c r="F404" s="1210"/>
      <c r="G404" s="1191"/>
      <c r="H404" s="1191"/>
      <c r="I404" s="1199"/>
      <c r="J404" s="1191"/>
      <c r="K404" s="1191"/>
      <c r="L404" s="1191"/>
      <c r="M404" s="1191"/>
      <c r="N404" s="1191"/>
      <c r="O404" s="1191"/>
      <c r="P404" s="1199"/>
      <c r="Q404" s="1191"/>
      <c r="R404" s="1191"/>
      <c r="S404" s="1191"/>
      <c r="T404" s="1191"/>
      <c r="U404" s="1191"/>
      <c r="V404" s="1191"/>
      <c r="W404" s="1191"/>
      <c r="X404" s="1191"/>
      <c r="Y404" s="1191"/>
      <c r="Z404" s="1191"/>
      <c r="AA404" s="1191"/>
      <c r="AB404" s="1210"/>
      <c r="AC404" s="1210"/>
      <c r="AD404" s="1210"/>
      <c r="AE404" s="1210"/>
      <c r="AF404" s="1210"/>
      <c r="AG404" s="1210"/>
      <c r="AH404" s="1210"/>
      <c r="AI404" s="1211"/>
      <c r="AJ404" s="1211"/>
      <c r="AK404" s="1211"/>
    </row>
    <row r="405" spans="1:37" s="1179" customFormat="1">
      <c r="A405" s="1188"/>
      <c r="B405" s="1188"/>
      <c r="C405" s="1188"/>
      <c r="D405" s="1210"/>
      <c r="E405" s="1210"/>
      <c r="F405" s="1210"/>
      <c r="G405" s="1191"/>
      <c r="H405" s="1191"/>
      <c r="I405" s="1199"/>
      <c r="J405" s="1191"/>
      <c r="K405" s="1191"/>
      <c r="L405" s="1191"/>
      <c r="M405" s="1191"/>
      <c r="N405" s="1191"/>
      <c r="O405" s="1191"/>
      <c r="P405" s="1199"/>
      <c r="Q405" s="1191"/>
      <c r="R405" s="1191"/>
      <c r="S405" s="1191"/>
      <c r="T405" s="1191"/>
      <c r="U405" s="1191"/>
      <c r="V405" s="1191"/>
      <c r="W405" s="1191"/>
      <c r="X405" s="1191"/>
      <c r="Y405" s="1191"/>
      <c r="Z405" s="1191"/>
      <c r="AA405" s="1191"/>
      <c r="AB405" s="1210"/>
      <c r="AC405" s="1210"/>
      <c r="AD405" s="1210"/>
      <c r="AE405" s="1210"/>
      <c r="AF405" s="1210"/>
      <c r="AG405" s="1210"/>
      <c r="AH405" s="1210"/>
      <c r="AI405" s="1211"/>
      <c r="AJ405" s="1211"/>
      <c r="AK405" s="1211"/>
    </row>
    <row r="406" spans="1:37" s="1179" customFormat="1">
      <c r="A406" s="1188"/>
      <c r="B406" s="1188"/>
      <c r="C406" s="1188"/>
      <c r="D406" s="1210"/>
      <c r="E406" s="1210"/>
      <c r="F406" s="1210"/>
      <c r="G406" s="1191"/>
      <c r="H406" s="1191"/>
      <c r="I406" s="1199"/>
      <c r="J406" s="1191"/>
      <c r="K406" s="1191"/>
      <c r="L406" s="1191"/>
      <c r="M406" s="1191"/>
      <c r="N406" s="1191"/>
      <c r="O406" s="1191"/>
      <c r="P406" s="1199"/>
      <c r="Q406" s="1191"/>
      <c r="R406" s="1191"/>
      <c r="S406" s="1191"/>
      <c r="T406" s="1191"/>
      <c r="U406" s="1191"/>
      <c r="V406" s="1191"/>
      <c r="W406" s="1191"/>
      <c r="X406" s="1191"/>
      <c r="Y406" s="1191"/>
      <c r="Z406" s="1191"/>
      <c r="AA406" s="1191"/>
      <c r="AB406" s="1210"/>
      <c r="AC406" s="1210"/>
      <c r="AD406" s="1210"/>
      <c r="AE406" s="1210"/>
      <c r="AF406" s="1210"/>
      <c r="AG406" s="1210"/>
      <c r="AH406" s="1210"/>
      <c r="AI406" s="1211"/>
      <c r="AJ406" s="1211"/>
      <c r="AK406" s="1211"/>
    </row>
    <row r="407" spans="1:37" s="1179" customFormat="1">
      <c r="A407" s="1188"/>
      <c r="B407" s="1188"/>
      <c r="C407" s="1188"/>
      <c r="D407" s="1210"/>
      <c r="E407" s="1210"/>
      <c r="F407" s="1210"/>
      <c r="G407" s="1191"/>
      <c r="H407" s="1191"/>
      <c r="I407" s="1199"/>
      <c r="J407" s="1191"/>
      <c r="K407" s="1191"/>
      <c r="L407" s="1191"/>
      <c r="M407" s="1191"/>
      <c r="N407" s="1191"/>
      <c r="O407" s="1191"/>
      <c r="P407" s="1199"/>
      <c r="Q407" s="1191"/>
      <c r="R407" s="1191"/>
      <c r="S407" s="1191"/>
      <c r="T407" s="1191"/>
      <c r="U407" s="1191"/>
      <c r="V407" s="1191"/>
      <c r="W407" s="1191"/>
      <c r="X407" s="1191"/>
      <c r="Y407" s="1191"/>
      <c r="Z407" s="1191"/>
      <c r="AA407" s="1191"/>
      <c r="AB407" s="1210"/>
      <c r="AC407" s="1210"/>
      <c r="AD407" s="1210"/>
      <c r="AE407" s="1210"/>
      <c r="AF407" s="1210"/>
      <c r="AG407" s="1210"/>
      <c r="AH407" s="1210"/>
      <c r="AI407" s="1211"/>
      <c r="AJ407" s="1211"/>
      <c r="AK407" s="1211"/>
    </row>
    <row r="408" spans="1:37" s="1179" customFormat="1">
      <c r="A408" s="1188"/>
      <c r="B408" s="1188"/>
      <c r="C408" s="1188"/>
      <c r="D408" s="1210"/>
      <c r="E408" s="1210"/>
      <c r="F408" s="1210"/>
      <c r="G408" s="1191"/>
      <c r="H408" s="1191"/>
      <c r="I408" s="1199"/>
      <c r="J408" s="1191"/>
      <c r="K408" s="1191"/>
      <c r="L408" s="1191"/>
      <c r="M408" s="1191"/>
      <c r="N408" s="1191"/>
      <c r="O408" s="1191"/>
      <c r="P408" s="1199"/>
      <c r="Q408" s="1191"/>
      <c r="R408" s="1191"/>
      <c r="S408" s="1191"/>
      <c r="T408" s="1191"/>
      <c r="U408" s="1191"/>
      <c r="V408" s="1191"/>
      <c r="W408" s="1191"/>
      <c r="X408" s="1191"/>
      <c r="Y408" s="1191"/>
      <c r="Z408" s="1191"/>
      <c r="AA408" s="1191"/>
      <c r="AB408" s="1210"/>
      <c r="AC408" s="1210"/>
      <c r="AD408" s="1210"/>
      <c r="AE408" s="1210"/>
      <c r="AF408" s="1210"/>
      <c r="AG408" s="1210"/>
      <c r="AH408" s="1210"/>
      <c r="AI408" s="1211"/>
      <c r="AJ408" s="1211"/>
      <c r="AK408" s="1211"/>
    </row>
  </sheetData>
  <mergeCells count="48">
    <mergeCell ref="A1:K1"/>
    <mergeCell ref="R1:AK1"/>
    <mergeCell ref="A2:K2"/>
    <mergeCell ref="R2:AK2"/>
    <mergeCell ref="A3:K3"/>
    <mergeCell ref="R3:AK3"/>
    <mergeCell ref="A4:AI4"/>
    <mergeCell ref="A5:AI5"/>
    <mergeCell ref="D6:AH6"/>
    <mergeCell ref="A29:C29"/>
    <mergeCell ref="X30:AK30"/>
    <mergeCell ref="A6:A8"/>
    <mergeCell ref="B6:B8"/>
    <mergeCell ref="C6:C7"/>
    <mergeCell ref="D7:D8"/>
    <mergeCell ref="E7:E8"/>
    <mergeCell ref="F7:F8"/>
    <mergeCell ref="G7:G8"/>
    <mergeCell ref="H7:H8"/>
    <mergeCell ref="I7:I8"/>
    <mergeCell ref="J7:J8"/>
    <mergeCell ref="K7:K8"/>
    <mergeCell ref="L7:L8"/>
    <mergeCell ref="M7:M8"/>
    <mergeCell ref="N7:N8"/>
    <mergeCell ref="O7:O8"/>
    <mergeCell ref="P7:P8"/>
    <mergeCell ref="Q7:Q8"/>
    <mergeCell ref="R7:R8"/>
    <mergeCell ref="S7:S8"/>
    <mergeCell ref="T7:T8"/>
    <mergeCell ref="U7:U8"/>
    <mergeCell ref="V7:V8"/>
    <mergeCell ref="W7:W8"/>
    <mergeCell ref="X7:X8"/>
    <mergeCell ref="Y7:Y8"/>
    <mergeCell ref="Z7:Z8"/>
    <mergeCell ref="AA7:AA8"/>
    <mergeCell ref="AB7:AB8"/>
    <mergeCell ref="AC7:AC8"/>
    <mergeCell ref="AD7:AD8"/>
    <mergeCell ref="AE7:AE8"/>
    <mergeCell ref="AK6:AK8"/>
    <mergeCell ref="AF7:AF8"/>
    <mergeCell ref="AG7:AG8"/>
    <mergeCell ref="AH7:AH8"/>
    <mergeCell ref="AI6:AI8"/>
    <mergeCell ref="AJ6:AJ8"/>
  </mergeCells>
  <pageMargins left="0.59055118110236204" right="0" top="0.39370078740157499" bottom="0.39370078740157499" header="0" footer="0"/>
  <pageSetup paperSize="9" scale="90" orientation="landscape"/>
  <headerFooter>
    <oddFooter>&amp;RPage &amp;P/1</oddFooter>
  </headerFooter>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AT506"/>
  <sheetViews>
    <sheetView topLeftCell="A7" zoomScale="115" zoomScaleNormal="115" workbookViewId="0">
      <pane xSplit="4" ySplit="6" topLeftCell="U118" activePane="bottomRight" state="frozen"/>
      <selection pane="topRight"/>
      <selection pane="bottomLeft"/>
      <selection pane="bottomRight" activeCell="W121" sqref="W121"/>
    </sheetView>
  </sheetViews>
  <sheetFormatPr defaultColWidth="10.140625" defaultRowHeight="12.75"/>
  <cols>
    <col min="1" max="1" width="9.140625" style="946" customWidth="1"/>
    <col min="2" max="2" width="10.140625" style="946"/>
    <col min="3" max="3" width="17.28515625" style="946" customWidth="1"/>
    <col min="4" max="4" width="10.140625" style="946" customWidth="1"/>
    <col min="5" max="7" width="10" style="946" customWidth="1"/>
    <col min="8" max="8" width="10" style="1105" customWidth="1"/>
    <col min="9" max="11" width="10" style="946" customWidth="1"/>
    <col min="12" max="12" width="12" style="946" customWidth="1"/>
    <col min="13" max="13" width="13.28515625" style="946" customWidth="1"/>
    <col min="14" max="14" width="12.5703125" style="946" customWidth="1"/>
    <col min="15" max="18" width="10.140625" style="946" customWidth="1"/>
    <col min="19" max="19" width="12.85546875" style="946" customWidth="1"/>
    <col min="20" max="22" width="11.85546875" style="946" customWidth="1"/>
    <col min="23" max="23" width="14.28515625" style="946" customWidth="1"/>
    <col min="24" max="25" width="10.28515625" style="946" customWidth="1"/>
    <col min="26" max="26" width="14.140625" style="946" customWidth="1"/>
    <col min="27" max="28" width="10.140625" style="946" customWidth="1"/>
    <col min="29" max="37" width="10.28515625" style="946" customWidth="1"/>
    <col min="38" max="38" width="10.140625" style="946" customWidth="1"/>
    <col min="39" max="40" width="16.42578125" style="946" customWidth="1"/>
    <col min="41" max="41" width="10.140625" style="946"/>
    <col min="42" max="44" width="10.140625" style="944"/>
    <col min="45" max="16384" width="10.140625" style="946"/>
  </cols>
  <sheetData>
    <row r="1" spans="1:46">
      <c r="A1" s="2637" t="s">
        <v>2562</v>
      </c>
      <c r="B1" s="2637"/>
      <c r="C1" s="2637"/>
      <c r="D1" s="2637"/>
      <c r="E1" s="2637"/>
      <c r="F1" s="2637"/>
      <c r="G1" s="2637"/>
      <c r="H1" s="2637"/>
      <c r="I1" s="2637"/>
      <c r="J1" s="2637"/>
      <c r="K1" s="2637"/>
      <c r="L1" s="2637"/>
      <c r="M1" s="2629" t="s">
        <v>0</v>
      </c>
      <c r="N1" s="2629"/>
      <c r="O1" s="2629"/>
      <c r="P1" s="2629"/>
      <c r="Q1" s="2629"/>
      <c r="R1" s="2629"/>
      <c r="S1" s="2629"/>
      <c r="T1" s="2629"/>
      <c r="U1" s="2629"/>
      <c r="V1" s="2629"/>
      <c r="W1" s="2629"/>
      <c r="X1" s="2629"/>
      <c r="Y1" s="2629"/>
      <c r="Z1" s="2629"/>
      <c r="AA1" s="2629"/>
      <c r="AB1" s="2629"/>
      <c r="AC1" s="2629"/>
      <c r="AD1" s="2629"/>
      <c r="AE1" s="2629"/>
      <c r="AF1" s="2629"/>
      <c r="AG1" s="2629"/>
      <c r="AH1" s="2629"/>
      <c r="AI1" s="2629"/>
      <c r="AJ1" s="2629"/>
      <c r="AK1" s="2629"/>
      <c r="AL1" s="2629"/>
    </row>
    <row r="2" spans="1:46">
      <c r="A2" s="2637" t="s">
        <v>2563</v>
      </c>
      <c r="B2" s="2637"/>
      <c r="C2" s="2637"/>
      <c r="D2" s="2637"/>
      <c r="E2" s="2637"/>
      <c r="F2" s="2637"/>
      <c r="G2" s="2637"/>
      <c r="H2" s="2637"/>
      <c r="I2" s="2637"/>
      <c r="J2" s="2637"/>
      <c r="K2" s="2637"/>
      <c r="L2" s="2637"/>
      <c r="M2" s="2629" t="s">
        <v>1968</v>
      </c>
      <c r="N2" s="2629"/>
      <c r="O2" s="2629"/>
      <c r="P2" s="2629"/>
      <c r="Q2" s="2629"/>
      <c r="R2" s="2629"/>
      <c r="S2" s="2629"/>
      <c r="T2" s="2629"/>
      <c r="U2" s="2629"/>
      <c r="V2" s="2629"/>
      <c r="W2" s="2629"/>
      <c r="X2" s="2629"/>
      <c r="Y2" s="2629"/>
      <c r="Z2" s="2629"/>
      <c r="AA2" s="2629"/>
      <c r="AB2" s="2629"/>
      <c r="AC2" s="2629"/>
      <c r="AD2" s="2629"/>
      <c r="AE2" s="2629"/>
      <c r="AF2" s="2629"/>
      <c r="AG2" s="2629"/>
      <c r="AH2" s="2629"/>
      <c r="AI2" s="2629"/>
      <c r="AJ2" s="2629"/>
      <c r="AK2" s="2629"/>
      <c r="AL2" s="2629"/>
    </row>
    <row r="3" spans="1:46">
      <c r="A3" s="948"/>
      <c r="B3" s="948"/>
      <c r="C3" s="948"/>
      <c r="D3" s="948"/>
      <c r="E3" s="948"/>
      <c r="F3" s="948"/>
      <c r="G3" s="948"/>
      <c r="H3" s="1106"/>
      <c r="I3" s="948"/>
      <c r="J3" s="948"/>
      <c r="K3" s="948"/>
      <c r="L3" s="948"/>
      <c r="M3" s="948"/>
      <c r="N3" s="948"/>
      <c r="O3" s="948"/>
      <c r="P3" s="948"/>
      <c r="Q3" s="948"/>
      <c r="R3" s="948"/>
      <c r="S3" s="973"/>
      <c r="T3" s="973"/>
      <c r="U3" s="973"/>
      <c r="V3" s="973"/>
      <c r="W3" s="974"/>
      <c r="X3" s="974"/>
      <c r="Y3" s="974"/>
      <c r="Z3" s="974"/>
      <c r="AA3" s="974"/>
      <c r="AB3" s="974"/>
      <c r="AC3" s="974"/>
      <c r="AD3" s="974"/>
      <c r="AE3" s="974"/>
      <c r="AF3" s="974"/>
      <c r="AG3" s="974"/>
      <c r="AH3" s="974"/>
      <c r="AI3" s="974"/>
      <c r="AJ3" s="974"/>
      <c r="AK3" s="974"/>
      <c r="AL3" s="973"/>
    </row>
    <row r="4" spans="1:46">
      <c r="A4" s="2629" t="s">
        <v>2564</v>
      </c>
      <c r="B4" s="2629"/>
      <c r="C4" s="2629"/>
      <c r="D4" s="2629"/>
      <c r="E4" s="2629"/>
      <c r="F4" s="2629"/>
      <c r="G4" s="2629"/>
      <c r="H4" s="2629"/>
      <c r="I4" s="2629"/>
      <c r="J4" s="2629"/>
      <c r="K4" s="2629"/>
      <c r="L4" s="2629"/>
      <c r="M4" s="2629"/>
      <c r="N4" s="2629"/>
      <c r="O4" s="2629"/>
      <c r="P4" s="2629"/>
      <c r="Q4" s="2629"/>
      <c r="R4" s="2629"/>
      <c r="S4" s="2629"/>
      <c r="T4" s="2629"/>
      <c r="U4" s="2629"/>
      <c r="V4" s="2629"/>
      <c r="W4" s="2629"/>
      <c r="X4" s="2629"/>
      <c r="Y4" s="2629"/>
      <c r="Z4" s="2629"/>
      <c r="AA4" s="2629"/>
      <c r="AB4" s="2629"/>
      <c r="AC4" s="2629"/>
      <c r="AD4" s="2629"/>
      <c r="AE4" s="2629"/>
      <c r="AF4" s="2629"/>
      <c r="AG4" s="2629"/>
      <c r="AH4" s="2629"/>
      <c r="AI4" s="2629"/>
      <c r="AJ4" s="2629"/>
      <c r="AK4" s="2629"/>
      <c r="AL4" s="2629"/>
    </row>
    <row r="5" spans="1:46">
      <c r="A5" s="2633" t="s">
        <v>2565</v>
      </c>
      <c r="B5" s="2633"/>
      <c r="C5" s="2633"/>
      <c r="D5" s="2633"/>
      <c r="E5" s="2633"/>
      <c r="F5" s="2633"/>
      <c r="G5" s="2633"/>
      <c r="H5" s="2633"/>
      <c r="I5" s="2633"/>
      <c r="J5" s="2633"/>
      <c r="K5" s="2633"/>
      <c r="L5" s="2633"/>
      <c r="M5" s="2633"/>
      <c r="N5" s="2633"/>
      <c r="O5" s="2633"/>
      <c r="P5" s="2633"/>
      <c r="Q5" s="2633"/>
      <c r="R5" s="2633"/>
      <c r="S5" s="2633"/>
      <c r="T5" s="2633"/>
      <c r="U5" s="2633"/>
      <c r="V5" s="2633"/>
      <c r="W5" s="2633"/>
      <c r="X5" s="2633"/>
      <c r="Y5" s="2633"/>
      <c r="Z5" s="2633"/>
      <c r="AA5" s="2633"/>
      <c r="AB5" s="2633"/>
      <c r="AC5" s="2633"/>
      <c r="AD5" s="2633"/>
      <c r="AE5" s="2633"/>
      <c r="AF5" s="2633"/>
      <c r="AG5" s="2633"/>
      <c r="AH5" s="2633"/>
      <c r="AI5" s="2633"/>
      <c r="AJ5" s="2633"/>
      <c r="AK5" s="2633"/>
      <c r="AL5" s="2633"/>
    </row>
    <row r="6" spans="1:46">
      <c r="A6" s="950" t="s">
        <v>2566</v>
      </c>
      <c r="B6" s="950" t="s">
        <v>1932</v>
      </c>
      <c r="C6" s="950"/>
      <c r="D6" s="950"/>
      <c r="E6" s="950"/>
      <c r="F6" s="950"/>
      <c r="G6" s="950"/>
      <c r="H6" s="1107"/>
      <c r="I6" s="950"/>
      <c r="J6" s="950"/>
      <c r="K6" s="950"/>
      <c r="L6" s="950"/>
      <c r="M6" s="950"/>
      <c r="N6" s="950"/>
      <c r="O6" s="950"/>
      <c r="P6" s="950"/>
      <c r="Q6" s="950"/>
      <c r="R6" s="950"/>
      <c r="S6" s="950"/>
      <c r="T6" s="950"/>
      <c r="U6" s="950"/>
      <c r="V6" s="950"/>
      <c r="W6" s="950"/>
      <c r="X6" s="950"/>
      <c r="Y6" s="950"/>
      <c r="Z6" s="950"/>
      <c r="AA6" s="950"/>
      <c r="AB6" s="2634" t="s">
        <v>2567</v>
      </c>
      <c r="AC6" s="2634"/>
      <c r="AD6" s="2634"/>
      <c r="AE6" s="2634"/>
      <c r="AF6" s="977"/>
      <c r="AG6" s="977"/>
      <c r="AH6" s="977"/>
      <c r="AI6" s="977"/>
      <c r="AJ6" s="977"/>
      <c r="AK6" s="977"/>
      <c r="AL6" s="950">
        <v>40</v>
      </c>
    </row>
    <row r="7" spans="1:46">
      <c r="A7" s="950"/>
      <c r="B7" s="950"/>
      <c r="C7" s="950"/>
      <c r="D7" s="950"/>
      <c r="E7" s="950"/>
      <c r="F7" s="950"/>
      <c r="G7" s="950"/>
      <c r="H7" s="1107"/>
      <c r="I7" s="950"/>
      <c r="J7" s="950"/>
      <c r="K7" s="950"/>
      <c r="L7" s="950"/>
      <c r="M7" s="950"/>
      <c r="N7" s="950"/>
      <c r="O7" s="950"/>
      <c r="P7" s="950"/>
      <c r="Q7" s="950"/>
      <c r="R7" s="950"/>
      <c r="S7" s="950"/>
      <c r="T7" s="950"/>
      <c r="U7" s="950"/>
      <c r="V7" s="950"/>
      <c r="W7" s="950"/>
      <c r="X7" s="950"/>
      <c r="Y7" s="950"/>
      <c r="Z7" s="950"/>
      <c r="AA7" s="950"/>
      <c r="AB7" s="2634" t="s">
        <v>2568</v>
      </c>
      <c r="AC7" s="2634"/>
      <c r="AD7" s="2634"/>
      <c r="AE7" s="2634"/>
      <c r="AF7" s="977"/>
      <c r="AG7" s="977"/>
      <c r="AH7" s="977"/>
      <c r="AI7" s="977"/>
      <c r="AJ7" s="977"/>
      <c r="AK7" s="977"/>
      <c r="AL7" s="950">
        <v>50</v>
      </c>
      <c r="AM7" s="1103"/>
      <c r="AN7" s="1124">
        <f>AN9/AN8</f>
        <v>0.42315993931490498</v>
      </c>
    </row>
    <row r="8" spans="1:46" ht="36" customHeight="1">
      <c r="A8" s="2632" t="s">
        <v>6</v>
      </c>
      <c r="B8" s="951"/>
      <c r="C8" s="2632" t="s">
        <v>2569</v>
      </c>
      <c r="D8" s="2632" t="s">
        <v>9</v>
      </c>
      <c r="E8" s="2635"/>
      <c r="F8" s="2635"/>
      <c r="G8" s="2635"/>
      <c r="H8" s="2635"/>
      <c r="I8" s="2635"/>
      <c r="J8" s="2635"/>
      <c r="K8" s="2635"/>
      <c r="L8" s="2635"/>
      <c r="M8" s="2635"/>
      <c r="N8" s="2635"/>
      <c r="O8" s="2635"/>
      <c r="P8" s="2635"/>
      <c r="Q8" s="2635"/>
      <c r="R8" s="2635"/>
      <c r="S8" s="2635"/>
      <c r="T8" s="2635"/>
      <c r="U8" s="2635"/>
      <c r="V8" s="2635"/>
      <c r="W8" s="2635"/>
      <c r="X8" s="2635"/>
      <c r="Y8" s="2635"/>
      <c r="Z8" s="2635"/>
      <c r="AA8" s="2635"/>
      <c r="AB8" s="2635"/>
      <c r="AC8" s="2635"/>
      <c r="AD8" s="2635"/>
      <c r="AE8" s="2635"/>
      <c r="AF8" s="2635"/>
      <c r="AG8" s="2635"/>
      <c r="AH8" s="2635"/>
      <c r="AI8" s="2635"/>
      <c r="AJ8" s="2635"/>
      <c r="AK8" s="2635"/>
      <c r="AL8" s="2635"/>
      <c r="AM8" s="917" t="s">
        <v>2570</v>
      </c>
      <c r="AN8" s="918">
        <v>562576</v>
      </c>
      <c r="AP8" s="944" t="s">
        <v>2571</v>
      </c>
      <c r="AR8" s="944" t="s">
        <v>2572</v>
      </c>
    </row>
    <row r="9" spans="1:46" s="943" customFormat="1" ht="51">
      <c r="A9" s="2632"/>
      <c r="B9" s="952" t="s">
        <v>1932</v>
      </c>
      <c r="C9" s="2632"/>
      <c r="D9" s="2632"/>
      <c r="E9" s="865" t="s">
        <v>2573</v>
      </c>
      <c r="F9" s="865" t="s">
        <v>2574</v>
      </c>
      <c r="G9" s="865" t="s">
        <v>2575</v>
      </c>
      <c r="H9" s="1108" t="s">
        <v>2576</v>
      </c>
      <c r="I9" s="865" t="s">
        <v>2577</v>
      </c>
      <c r="J9" s="865" t="s">
        <v>2578</v>
      </c>
      <c r="K9" s="865" t="s">
        <v>2579</v>
      </c>
      <c r="L9" s="865" t="s">
        <v>2452</v>
      </c>
      <c r="M9" s="865" t="s">
        <v>2580</v>
      </c>
      <c r="N9" s="865" t="s">
        <v>2581</v>
      </c>
      <c r="O9" s="865" t="s">
        <v>2582</v>
      </c>
      <c r="P9" s="865" t="s">
        <v>2583</v>
      </c>
      <c r="Q9" s="865" t="s">
        <v>2584</v>
      </c>
      <c r="R9" s="865">
        <f>35629.65-S10</f>
        <v>17877.374</v>
      </c>
      <c r="S9" s="865" t="s">
        <v>2585</v>
      </c>
      <c r="T9" s="865" t="s">
        <v>2586</v>
      </c>
      <c r="U9" s="865" t="s">
        <v>2587</v>
      </c>
      <c r="V9" s="865" t="s">
        <v>2588</v>
      </c>
      <c r="W9" s="865" t="s">
        <v>2589</v>
      </c>
      <c r="X9" s="865" t="s">
        <v>2590</v>
      </c>
      <c r="Y9" s="865" t="s">
        <v>2591</v>
      </c>
      <c r="Z9" s="865" t="s">
        <v>2592</v>
      </c>
      <c r="AA9" s="865" t="s">
        <v>2593</v>
      </c>
      <c r="AB9" s="865" t="s">
        <v>2594</v>
      </c>
      <c r="AC9" s="865" t="s">
        <v>2595</v>
      </c>
      <c r="AD9" s="865" t="s">
        <v>2596</v>
      </c>
      <c r="AE9" s="865" t="s">
        <v>2597</v>
      </c>
      <c r="AF9" s="865" t="s">
        <v>369</v>
      </c>
      <c r="AG9" s="865" t="s">
        <v>2598</v>
      </c>
      <c r="AH9" s="865" t="s">
        <v>2599</v>
      </c>
      <c r="AI9" s="865" t="s">
        <v>2600</v>
      </c>
      <c r="AJ9" s="865" t="s">
        <v>370</v>
      </c>
      <c r="AK9" s="865" t="s">
        <v>370</v>
      </c>
      <c r="AL9" s="952" t="s">
        <v>2601</v>
      </c>
      <c r="AM9" s="917" t="s">
        <v>2602</v>
      </c>
      <c r="AN9" s="919">
        <v>238059.626020022</v>
      </c>
      <c r="AP9" s="986"/>
      <c r="AQ9" s="986"/>
      <c r="AR9" s="986"/>
    </row>
    <row r="10" spans="1:46" ht="15.75">
      <c r="A10" s="2636" t="s">
        <v>2603</v>
      </c>
      <c r="B10" s="2636"/>
      <c r="C10" s="2636"/>
      <c r="D10" s="2636"/>
      <c r="E10" s="953">
        <f t="shared" ref="E10:AK10" si="0">+E396+E316+E229+E121+E57+E11+E209+E221</f>
        <v>10660</v>
      </c>
      <c r="F10" s="953">
        <f t="shared" si="0"/>
        <v>16</v>
      </c>
      <c r="G10" s="953">
        <f t="shared" si="0"/>
        <v>24</v>
      </c>
      <c r="H10" s="1109">
        <f t="shared" si="0"/>
        <v>6996.2759999999998</v>
      </c>
      <c r="I10" s="953">
        <f t="shared" si="0"/>
        <v>11</v>
      </c>
      <c r="J10" s="953">
        <f t="shared" si="0"/>
        <v>45</v>
      </c>
      <c r="K10" s="953">
        <f t="shared" si="0"/>
        <v>0</v>
      </c>
      <c r="L10" s="953">
        <f t="shared" si="0"/>
        <v>0</v>
      </c>
      <c r="M10" s="953">
        <f t="shared" si="0"/>
        <v>0</v>
      </c>
      <c r="N10" s="953">
        <f t="shared" si="0"/>
        <v>0</v>
      </c>
      <c r="O10" s="953">
        <f t="shared" si="0"/>
        <v>0</v>
      </c>
      <c r="P10" s="953">
        <f t="shared" si="0"/>
        <v>0</v>
      </c>
      <c r="Q10" s="953">
        <f t="shared" si="0"/>
        <v>0</v>
      </c>
      <c r="R10" s="953">
        <f t="shared" si="0"/>
        <v>0</v>
      </c>
      <c r="S10" s="953">
        <f t="shared" si="0"/>
        <v>17752.276000000002</v>
      </c>
      <c r="T10" s="953" t="e">
        <f t="shared" si="0"/>
        <v>#N/A</v>
      </c>
      <c r="U10" s="953" t="e">
        <f t="shared" si="0"/>
        <v>#N/A</v>
      </c>
      <c r="V10" s="953" t="e">
        <f t="shared" si="0"/>
        <v>#N/A</v>
      </c>
      <c r="W10" s="953" t="e">
        <f t="shared" si="0"/>
        <v>#N/A</v>
      </c>
      <c r="X10" s="953">
        <f t="shared" si="0"/>
        <v>0</v>
      </c>
      <c r="Y10" s="953">
        <f t="shared" si="0"/>
        <v>0</v>
      </c>
      <c r="Z10" s="1123" t="e">
        <f t="shared" si="0"/>
        <v>#N/A</v>
      </c>
      <c r="AA10" s="953" t="e">
        <f t="shared" si="0"/>
        <v>#N/A</v>
      </c>
      <c r="AB10" s="953" t="e">
        <f t="shared" si="0"/>
        <v>#N/A</v>
      </c>
      <c r="AC10" s="953" t="e">
        <f t="shared" si="0"/>
        <v>#N/A</v>
      </c>
      <c r="AD10" s="953">
        <f t="shared" si="0"/>
        <v>0</v>
      </c>
      <c r="AE10" s="953">
        <f t="shared" si="0"/>
        <v>62</v>
      </c>
      <c r="AF10" s="953">
        <f t="shared" si="0"/>
        <v>0</v>
      </c>
      <c r="AG10" s="953">
        <f t="shared" si="0"/>
        <v>0</v>
      </c>
      <c r="AH10" s="953">
        <f t="shared" si="0"/>
        <v>0</v>
      </c>
      <c r="AI10" s="953" t="e">
        <f t="shared" si="0"/>
        <v>#N/A</v>
      </c>
      <c r="AJ10" s="953">
        <f t="shared" si="0"/>
        <v>0</v>
      </c>
      <c r="AK10" s="953">
        <f t="shared" si="0"/>
        <v>0</v>
      </c>
      <c r="AL10" s="979"/>
      <c r="AM10" s="920" t="s">
        <v>373</v>
      </c>
      <c r="AN10" s="921">
        <v>0.5</v>
      </c>
    </row>
    <row r="11" spans="1:46" ht="15.75">
      <c r="A11" s="954" t="s">
        <v>427</v>
      </c>
      <c r="B11" s="955"/>
      <c r="C11" s="955"/>
      <c r="D11" s="956"/>
      <c r="E11" s="953">
        <f t="shared" ref="E11:AK11" si="1">SUM(E13:E56)</f>
        <v>1384</v>
      </c>
      <c r="F11" s="953">
        <f t="shared" si="1"/>
        <v>0</v>
      </c>
      <c r="G11" s="953">
        <f t="shared" si="1"/>
        <v>0</v>
      </c>
      <c r="H11" s="1109">
        <f t="shared" si="1"/>
        <v>0</v>
      </c>
      <c r="I11" s="953">
        <f t="shared" si="1"/>
        <v>11</v>
      </c>
      <c r="J11" s="953">
        <f t="shared" si="1"/>
        <v>45</v>
      </c>
      <c r="K11" s="953">
        <f t="shared" si="1"/>
        <v>0</v>
      </c>
      <c r="L11" s="953">
        <f t="shared" si="1"/>
        <v>0</v>
      </c>
      <c r="M11" s="953">
        <f t="shared" si="1"/>
        <v>0</v>
      </c>
      <c r="N11" s="953">
        <f t="shared" si="1"/>
        <v>0</v>
      </c>
      <c r="O11" s="953">
        <f t="shared" si="1"/>
        <v>0</v>
      </c>
      <c r="P11" s="953">
        <f t="shared" si="1"/>
        <v>0</v>
      </c>
      <c r="Q11" s="953">
        <f t="shared" si="1"/>
        <v>0</v>
      </c>
      <c r="R11" s="953">
        <f t="shared" si="1"/>
        <v>0</v>
      </c>
      <c r="S11" s="953">
        <f t="shared" si="1"/>
        <v>1440</v>
      </c>
      <c r="T11" s="953">
        <f t="shared" si="1"/>
        <v>0</v>
      </c>
      <c r="U11" s="953">
        <f t="shared" si="1"/>
        <v>0</v>
      </c>
      <c r="V11" s="953" t="e">
        <f t="shared" si="1"/>
        <v>#N/A</v>
      </c>
      <c r="W11" s="1119" t="e">
        <f t="shared" si="1"/>
        <v>#N/A</v>
      </c>
      <c r="X11" s="1119">
        <f t="shared" si="1"/>
        <v>0</v>
      </c>
      <c r="Y11" s="1119">
        <f t="shared" si="1"/>
        <v>0</v>
      </c>
      <c r="Z11" s="1119" t="e">
        <f t="shared" si="1"/>
        <v>#N/A</v>
      </c>
      <c r="AA11" s="1119" t="e">
        <f t="shared" si="1"/>
        <v>#N/A</v>
      </c>
      <c r="AB11" s="1119" t="e">
        <f t="shared" si="1"/>
        <v>#N/A</v>
      </c>
      <c r="AC11" s="953" t="e">
        <f t="shared" si="1"/>
        <v>#N/A</v>
      </c>
      <c r="AD11" s="953">
        <f t="shared" si="1"/>
        <v>0</v>
      </c>
      <c r="AE11" s="953">
        <f t="shared" si="1"/>
        <v>2</v>
      </c>
      <c r="AF11" s="953">
        <f t="shared" si="1"/>
        <v>0</v>
      </c>
      <c r="AG11" s="953">
        <f t="shared" si="1"/>
        <v>0</v>
      </c>
      <c r="AH11" s="953">
        <f t="shared" si="1"/>
        <v>0</v>
      </c>
      <c r="AI11" s="953">
        <f t="shared" si="1"/>
        <v>0</v>
      </c>
      <c r="AJ11" s="953">
        <f t="shared" si="1"/>
        <v>0</v>
      </c>
      <c r="AK11" s="953">
        <f t="shared" si="1"/>
        <v>0</v>
      </c>
      <c r="AL11" s="979"/>
      <c r="AM11" s="920" t="s">
        <v>2604</v>
      </c>
      <c r="AN11" s="921">
        <v>0.2</v>
      </c>
    </row>
    <row r="12" spans="1:46" ht="15.75">
      <c r="A12" s="954"/>
      <c r="B12" s="955"/>
      <c r="C12" s="955"/>
      <c r="D12" s="956"/>
      <c r="E12" s="953"/>
      <c r="F12" s="953"/>
      <c r="G12" s="953"/>
      <c r="H12" s="1109"/>
      <c r="I12" s="953"/>
      <c r="J12" s="953"/>
      <c r="K12" s="953"/>
      <c r="L12" s="953"/>
      <c r="M12" s="953"/>
      <c r="N12" s="953"/>
      <c r="O12" s="953"/>
      <c r="P12" s="953"/>
      <c r="Q12" s="953"/>
      <c r="R12" s="953"/>
      <c r="S12" s="953"/>
      <c r="T12" s="953"/>
      <c r="U12" s="953"/>
      <c r="V12" s="953"/>
      <c r="W12" s="1119"/>
      <c r="X12" s="1119"/>
      <c r="Y12" s="1119"/>
      <c r="Z12" s="1119"/>
      <c r="AA12" s="1119"/>
      <c r="AB12" s="1119"/>
      <c r="AC12" s="953"/>
      <c r="AD12" s="953"/>
      <c r="AE12" s="953"/>
      <c r="AF12" s="953"/>
      <c r="AG12" s="953"/>
      <c r="AH12" s="953"/>
      <c r="AI12" s="953"/>
      <c r="AJ12" s="953"/>
      <c r="AK12" s="953"/>
      <c r="AL12" s="979"/>
      <c r="AO12" s="507" t="s">
        <v>2605</v>
      </c>
      <c r="AP12" s="507" t="s">
        <v>2606</v>
      </c>
    </row>
    <row r="13" spans="1:46" ht="15.75">
      <c r="A13" s="957">
        <v>1</v>
      </c>
      <c r="B13" s="958" t="e">
        <f>VLOOKUP(C13,'DS CN MOI UP'!$B$10:$C$389,2,0)</f>
        <v>#N/A</v>
      </c>
      <c r="C13" s="959" t="s">
        <v>357</v>
      </c>
      <c r="D13" s="957" t="s">
        <v>15</v>
      </c>
      <c r="E13" s="960">
        <f>4*8</f>
        <v>32</v>
      </c>
      <c r="F13" s="960"/>
      <c r="G13" s="960"/>
      <c r="H13" s="1110"/>
      <c r="I13" s="960"/>
      <c r="J13" s="960"/>
      <c r="K13" s="960"/>
      <c r="L13" s="960"/>
      <c r="M13" s="960"/>
      <c r="N13" s="960"/>
      <c r="O13" s="960"/>
      <c r="P13" s="960"/>
      <c r="Q13" s="960"/>
      <c r="R13" s="960"/>
      <c r="S13" s="975">
        <f t="shared" ref="S13:S32" si="2">SUM(E13:N13)</f>
        <v>32</v>
      </c>
      <c r="T13" s="975"/>
      <c r="U13" s="975"/>
      <c r="V13" s="975" t="e">
        <f>VLOOKUP(C13,'sản lượng'!$D$12:$AK$89,36,0)</f>
        <v>#N/A</v>
      </c>
      <c r="W13" s="976" t="e">
        <f>SUM(T13:V13)</f>
        <v>#N/A</v>
      </c>
      <c r="X13" s="975"/>
      <c r="Y13" s="975"/>
      <c r="Z13" s="975" t="e">
        <f>W13*$AN$13+X13*$AN$10</f>
        <v>#N/A</v>
      </c>
      <c r="AA13" s="975" t="e">
        <f>VLOOKUP(C13,'CHẤM CÔNG '!$D$12:$AL$89,33,0)</f>
        <v>#N/A</v>
      </c>
      <c r="AB13" s="975" t="e">
        <f>VLOOKUP(C13,'CHẤM CÔNG '!$D$12:$AL$89,34,0)</f>
        <v>#N/A</v>
      </c>
      <c r="AC13" s="975"/>
      <c r="AD13" s="975"/>
      <c r="AE13" s="975"/>
      <c r="AF13" s="975"/>
      <c r="AG13" s="975"/>
      <c r="AH13" s="975"/>
      <c r="AI13" s="975"/>
      <c r="AJ13" s="975"/>
      <c r="AK13" s="981"/>
      <c r="AL13" s="982" t="e">
        <f>VLOOKUP(C13,'sản lượng'!$D$12:$AM$89,38,0)</f>
        <v>#N/A</v>
      </c>
      <c r="AM13" s="508" t="s">
        <v>2607</v>
      </c>
      <c r="AN13" s="509"/>
      <c r="AO13" s="510"/>
      <c r="AP13" s="510"/>
      <c r="AQ13"/>
      <c r="AR13" s="988"/>
      <c r="AS13" s="946" t="e">
        <f>+AP13/AO13*100</f>
        <v>#DIV/0!</v>
      </c>
      <c r="AT13" s="946" t="e">
        <f>+AQ13-AS13</f>
        <v>#DIV/0!</v>
      </c>
    </row>
    <row r="14" spans="1:46" ht="15.75">
      <c r="A14" s="957">
        <v>2</v>
      </c>
      <c r="B14" s="958" t="e">
        <f>VLOOKUP(C14,'DS CN MOI UP'!$B$10:$C$389,2,0)</f>
        <v>#N/A</v>
      </c>
      <c r="C14" s="961" t="s">
        <v>358</v>
      </c>
      <c r="D14" s="957" t="s">
        <v>15</v>
      </c>
      <c r="E14" s="960">
        <f t="shared" ref="E14:E55" si="3">4*8</f>
        <v>32</v>
      </c>
      <c r="F14" s="960"/>
      <c r="G14" s="960"/>
      <c r="H14" s="1110"/>
      <c r="I14" s="960"/>
      <c r="J14" s="960">
        <v>3</v>
      </c>
      <c r="K14" s="960"/>
      <c r="L14" s="960"/>
      <c r="M14" s="960"/>
      <c r="N14" s="960"/>
      <c r="O14" s="960"/>
      <c r="P14" s="960"/>
      <c r="Q14" s="960"/>
      <c r="R14" s="960"/>
      <c r="S14" s="975">
        <f t="shared" si="2"/>
        <v>35</v>
      </c>
      <c r="T14" s="975"/>
      <c r="U14" s="975"/>
      <c r="V14" s="975" t="e">
        <f>VLOOKUP(C14,'sản lượng'!$D$12:$AK$89,36,0)</f>
        <v>#N/A</v>
      </c>
      <c r="W14" s="976" t="e">
        <f t="shared" ref="W14:W54" si="4">SUM(T14:V14)</f>
        <v>#N/A</v>
      </c>
      <c r="X14" s="975"/>
      <c r="Y14" s="975"/>
      <c r="Z14" s="975" t="e">
        <f t="shared" ref="Z14:Z55" si="5">W14*$AN$13+X14*$AN$10</f>
        <v>#N/A</v>
      </c>
      <c r="AA14" s="975" t="e">
        <f>VLOOKUP(C14,'CHẤM CÔNG '!$D$12:$AL$89,33,0)</f>
        <v>#N/A</v>
      </c>
      <c r="AB14" s="975" t="e">
        <f>VLOOKUP(C14,'CHẤM CÔNG '!$D$12:$AL$89,34,0)</f>
        <v>#N/A</v>
      </c>
      <c r="AC14" s="975"/>
      <c r="AD14" s="975"/>
      <c r="AE14" s="975"/>
      <c r="AF14" s="975"/>
      <c r="AG14" s="975"/>
      <c r="AH14" s="975"/>
      <c r="AI14" s="975"/>
      <c r="AJ14" s="975"/>
      <c r="AK14" s="981"/>
      <c r="AL14" s="982" t="e">
        <f>VLOOKUP(C14,'sản lượng'!$D$12:$AM$89,38,0)</f>
        <v>#N/A</v>
      </c>
      <c r="AM14" s="508" t="s">
        <v>2608</v>
      </c>
      <c r="AN14" s="509">
        <f t="shared" ref="AN14:AN21" si="6">AP14/AO14</f>
        <v>0.49735663507109001</v>
      </c>
      <c r="AO14" s="510">
        <v>3376</v>
      </c>
      <c r="AP14" s="510">
        <v>1679.076</v>
      </c>
      <c r="AQ14">
        <v>49.735663507109003</v>
      </c>
      <c r="AR14" s="988"/>
      <c r="AS14" s="946">
        <f t="shared" ref="AS14:AS21" si="7">+AP14/AO14*100</f>
        <v>49.735663507109003</v>
      </c>
      <c r="AT14" s="946">
        <f t="shared" ref="AT14:AT21" si="8">+AQ14-AS14</f>
        <v>0</v>
      </c>
    </row>
    <row r="15" spans="1:46" ht="15.75">
      <c r="A15" s="957">
        <v>3</v>
      </c>
      <c r="B15" s="958" t="e">
        <f>VLOOKUP(C15,'DS CN MOI UP'!$B$10:$C$389,2,0)</f>
        <v>#N/A</v>
      </c>
      <c r="C15" s="962" t="s">
        <v>385</v>
      </c>
      <c r="D15" s="957" t="s">
        <v>15</v>
      </c>
      <c r="E15" s="960">
        <f t="shared" si="3"/>
        <v>32</v>
      </c>
      <c r="F15" s="960"/>
      <c r="G15" s="960"/>
      <c r="H15" s="1110"/>
      <c r="I15" s="960">
        <v>1</v>
      </c>
      <c r="J15" s="960">
        <v>3</v>
      </c>
      <c r="K15" s="960"/>
      <c r="L15" s="960"/>
      <c r="M15" s="960"/>
      <c r="N15" s="960"/>
      <c r="O15" s="960"/>
      <c r="P15" s="960"/>
      <c r="Q15" s="960"/>
      <c r="R15" s="960"/>
      <c r="S15" s="975">
        <f t="shared" si="2"/>
        <v>36</v>
      </c>
      <c r="T15" s="975"/>
      <c r="U15" s="975"/>
      <c r="V15" s="975" t="e">
        <f>VLOOKUP(C15,'sản lượng'!$D$12:$AK$89,36,0)</f>
        <v>#N/A</v>
      </c>
      <c r="W15" s="976" t="e">
        <f t="shared" si="4"/>
        <v>#N/A</v>
      </c>
      <c r="X15" s="975"/>
      <c r="Y15" s="975"/>
      <c r="Z15" s="975" t="e">
        <f t="shared" si="5"/>
        <v>#N/A</v>
      </c>
      <c r="AA15" s="975" t="e">
        <f>VLOOKUP(C15,'CHẤM CÔNG '!$D$12:$AL$89,33,0)</f>
        <v>#N/A</v>
      </c>
      <c r="AB15" s="975" t="e">
        <f>VLOOKUP(C15,'CHẤM CÔNG '!$D$12:$AL$89,34,0)</f>
        <v>#N/A</v>
      </c>
      <c r="AC15" s="975"/>
      <c r="AD15" s="975"/>
      <c r="AE15" s="975"/>
      <c r="AF15" s="975"/>
      <c r="AG15" s="975"/>
      <c r="AH15" s="975"/>
      <c r="AI15" s="975"/>
      <c r="AJ15" s="975"/>
      <c r="AK15" s="981"/>
      <c r="AL15" s="982" t="e">
        <f>VLOOKUP(C15,'sản lượng'!$D$12:$AM$89,38,0)</f>
        <v>#N/A</v>
      </c>
      <c r="AM15" s="508" t="s">
        <v>2609</v>
      </c>
      <c r="AN15" s="509">
        <f t="shared" si="6"/>
        <v>0.50833693372589595</v>
      </c>
      <c r="AO15" s="510">
        <v>9286</v>
      </c>
      <c r="AP15" s="510">
        <v>4720.4167665786699</v>
      </c>
      <c r="AQ15">
        <v>50.8336933725897</v>
      </c>
      <c r="AR15" s="988"/>
      <c r="AS15" s="946">
        <f t="shared" si="7"/>
        <v>50.8336933725896</v>
      </c>
      <c r="AT15" s="946">
        <f t="shared" si="8"/>
        <v>1.06581410364015E-13</v>
      </c>
    </row>
    <row r="16" spans="1:46" s="1103" customFormat="1" ht="15.75">
      <c r="A16" s="1111">
        <v>4</v>
      </c>
      <c r="B16" s="1112" t="e">
        <f>VLOOKUP(C16,'DS CN MOI UP'!$B$10:$C$389,2,0)</f>
        <v>#N/A</v>
      </c>
      <c r="C16" s="1113" t="s">
        <v>1936</v>
      </c>
      <c r="D16" s="1111" t="s">
        <v>15</v>
      </c>
      <c r="E16" s="960">
        <f t="shared" si="3"/>
        <v>32</v>
      </c>
      <c r="F16" s="1114"/>
      <c r="G16" s="1114"/>
      <c r="H16" s="1110"/>
      <c r="I16" s="1114"/>
      <c r="J16" s="1114">
        <v>6</v>
      </c>
      <c r="K16" s="1114"/>
      <c r="L16" s="1114"/>
      <c r="M16" s="1114"/>
      <c r="N16" s="1114"/>
      <c r="O16" s="1114"/>
      <c r="P16" s="1114"/>
      <c r="Q16" s="1114"/>
      <c r="R16" s="1114"/>
      <c r="S16" s="1120">
        <f t="shared" si="2"/>
        <v>38</v>
      </c>
      <c r="T16" s="1120"/>
      <c r="U16" s="1120"/>
      <c r="V16" s="1120" t="e">
        <f>VLOOKUP(C16,'sản lượng'!$D$12:$AK$89,36,0)</f>
        <v>#N/A</v>
      </c>
      <c r="W16" s="1121" t="e">
        <f t="shared" si="4"/>
        <v>#N/A</v>
      </c>
      <c r="X16" s="1120"/>
      <c r="Y16" s="1120"/>
      <c r="Z16" s="975" t="e">
        <f t="shared" si="5"/>
        <v>#N/A</v>
      </c>
      <c r="AA16" s="1120" t="e">
        <f>VLOOKUP(C16,'CHẤM CÔNG '!$D$12:$AL$89,33,0)</f>
        <v>#N/A</v>
      </c>
      <c r="AB16" s="1120" t="e">
        <f>VLOOKUP(C16,'CHẤM CÔNG '!$D$12:$AL$89,34,0)</f>
        <v>#N/A</v>
      </c>
      <c r="AC16" s="1120" t="e">
        <f>SUM(AA16:AB16,AF16)</f>
        <v>#N/A</v>
      </c>
      <c r="AD16" s="1120"/>
      <c r="AE16" s="975"/>
      <c r="AF16" s="975"/>
      <c r="AG16" s="975"/>
      <c r="AH16" s="975"/>
      <c r="AI16" s="975"/>
      <c r="AJ16" s="975"/>
      <c r="AK16" s="981"/>
      <c r="AL16" s="1125" t="e">
        <f>VLOOKUP(C16,'sản lượng'!$D$12:$AM$89,38,0)</f>
        <v>#N/A</v>
      </c>
      <c r="AM16" s="1126" t="s">
        <v>2610</v>
      </c>
      <c r="AN16" s="509">
        <f t="shared" si="6"/>
        <v>0.517978939824006</v>
      </c>
      <c r="AO16" s="1128">
        <v>2174</v>
      </c>
      <c r="AP16" s="1128">
        <v>1126.0862151773899</v>
      </c>
      <c r="AQ16">
        <v>51.7978939824009</v>
      </c>
      <c r="AR16" s="988"/>
      <c r="AS16" s="946">
        <f t="shared" si="7"/>
        <v>51.797893982400602</v>
      </c>
      <c r="AT16" s="946">
        <f t="shared" si="8"/>
        <v>2.5579538487363602E-13</v>
      </c>
    </row>
    <row r="17" spans="1:46" s="1103" customFormat="1" ht="15.75">
      <c r="A17" s="1111">
        <v>5</v>
      </c>
      <c r="B17" s="1112" t="e">
        <f>VLOOKUP(C17,'DS CN MOI UP'!$B$10:$C$389,2,0)</f>
        <v>#N/A</v>
      </c>
      <c r="C17" s="1115" t="s">
        <v>387</v>
      </c>
      <c r="D17" s="1111" t="s">
        <v>15</v>
      </c>
      <c r="E17" s="960">
        <f t="shared" si="3"/>
        <v>32</v>
      </c>
      <c r="F17" s="1114"/>
      <c r="G17" s="1114"/>
      <c r="H17" s="1110"/>
      <c r="I17" s="1114">
        <v>2</v>
      </c>
      <c r="J17" s="1114"/>
      <c r="K17" s="1114"/>
      <c r="L17" s="1114"/>
      <c r="M17" s="1114"/>
      <c r="N17" s="1114"/>
      <c r="O17" s="1114"/>
      <c r="P17" s="1114"/>
      <c r="Q17" s="1114"/>
      <c r="R17" s="1114"/>
      <c r="S17" s="1120">
        <f t="shared" si="2"/>
        <v>34</v>
      </c>
      <c r="T17" s="1120"/>
      <c r="U17" s="1120"/>
      <c r="V17" s="1120" t="e">
        <f>VLOOKUP(C17,'sản lượng'!$D$12:$AK$89,36,0)</f>
        <v>#N/A</v>
      </c>
      <c r="W17" s="1121" t="e">
        <f t="shared" si="4"/>
        <v>#N/A</v>
      </c>
      <c r="X17" s="1120"/>
      <c r="Y17" s="1120"/>
      <c r="Z17" s="975" t="e">
        <f t="shared" si="5"/>
        <v>#N/A</v>
      </c>
      <c r="AA17" s="1120" t="e">
        <f>VLOOKUP(C17,'CHẤM CÔNG '!$D$12:$AL$89,33,0)</f>
        <v>#N/A</v>
      </c>
      <c r="AB17" s="1120" t="e">
        <f>VLOOKUP(C17,'CHẤM CÔNG '!$D$12:$AL$89,34,0)</f>
        <v>#N/A</v>
      </c>
      <c r="AC17" s="1120" t="e">
        <f t="shared" ref="AC17" si="9">SUM(AA17:AB17,AF17)</f>
        <v>#N/A</v>
      </c>
      <c r="AD17" s="1120"/>
      <c r="AE17" s="975"/>
      <c r="AF17" s="975"/>
      <c r="AG17" s="975"/>
      <c r="AH17" s="975"/>
      <c r="AI17" s="975"/>
      <c r="AJ17" s="975"/>
      <c r="AK17" s="981"/>
      <c r="AL17" s="1125" t="e">
        <f>VLOOKUP(C17,'sản lượng'!$D$12:$AM$89,38,0)</f>
        <v>#N/A</v>
      </c>
      <c r="AM17" s="1126" t="s">
        <v>2611</v>
      </c>
      <c r="AN17" s="509">
        <f t="shared" si="6"/>
        <v>0.523186246010649</v>
      </c>
      <c r="AO17" s="1129">
        <v>3266</v>
      </c>
      <c r="AP17" s="1129">
        <v>1708.7262794707799</v>
      </c>
      <c r="AQ17">
        <v>52.318624601064798</v>
      </c>
      <c r="AR17" s="988"/>
      <c r="AS17" s="946">
        <f t="shared" si="7"/>
        <v>52.318624601064897</v>
      </c>
      <c r="AT17" s="946">
        <f t="shared" si="8"/>
        <v>-1.13686837721616E-13</v>
      </c>
    </row>
    <row r="18" spans="1:46" ht="15.75">
      <c r="A18" s="957">
        <v>6</v>
      </c>
      <c r="B18" s="958" t="e">
        <f>VLOOKUP(C18,'DS CN MOI UP'!$B$10:$C$389,2,0)</f>
        <v>#N/A</v>
      </c>
      <c r="C18" s="963" t="s">
        <v>388</v>
      </c>
      <c r="D18" s="957" t="s">
        <v>15</v>
      </c>
      <c r="E18" s="960">
        <f t="shared" si="3"/>
        <v>32</v>
      </c>
      <c r="F18" s="960"/>
      <c r="G18" s="960"/>
      <c r="H18" s="1110"/>
      <c r="I18" s="960"/>
      <c r="J18" s="960">
        <v>3</v>
      </c>
      <c r="K18" s="960"/>
      <c r="L18" s="960"/>
      <c r="M18" s="960"/>
      <c r="N18" s="960"/>
      <c r="O18" s="960"/>
      <c r="P18" s="960"/>
      <c r="Q18" s="960"/>
      <c r="R18" s="960"/>
      <c r="S18" s="975">
        <f t="shared" si="2"/>
        <v>35</v>
      </c>
      <c r="T18" s="975"/>
      <c r="U18" s="975"/>
      <c r="V18" s="975" t="e">
        <f>VLOOKUP(C18,'sản lượng'!$D$12:$AK$89,36,0)</f>
        <v>#N/A</v>
      </c>
      <c r="W18" s="976" t="e">
        <f t="shared" si="4"/>
        <v>#N/A</v>
      </c>
      <c r="X18" s="975"/>
      <c r="Y18" s="975"/>
      <c r="Z18" s="975" t="e">
        <f t="shared" si="5"/>
        <v>#N/A</v>
      </c>
      <c r="AA18" s="975" t="e">
        <f>VLOOKUP(C18,'CHẤM CÔNG '!$D$12:$AL$89,33,0)</f>
        <v>#N/A</v>
      </c>
      <c r="AB18" s="975" t="e">
        <f>VLOOKUP(C18,'CHẤM CÔNG '!$D$12:$AL$89,34,0)</f>
        <v>#N/A</v>
      </c>
      <c r="AC18" s="975"/>
      <c r="AD18" s="975"/>
      <c r="AE18" s="975"/>
      <c r="AF18" s="975"/>
      <c r="AG18" s="975"/>
      <c r="AH18" s="975"/>
      <c r="AI18" s="975"/>
      <c r="AJ18" s="975"/>
      <c r="AK18" s="981"/>
      <c r="AL18" s="982" t="e">
        <f>VLOOKUP(C18,'sản lượng'!$D$12:$AM$89,38,0)</f>
        <v>#N/A</v>
      </c>
      <c r="AM18" s="508" t="s">
        <v>2612</v>
      </c>
      <c r="AN18" s="509">
        <f t="shared" si="6"/>
        <v>0.48663043582446502</v>
      </c>
      <c r="AO18" s="1130">
        <v>9323</v>
      </c>
      <c r="AP18" s="1130">
        <v>4536.8555531914899</v>
      </c>
      <c r="AQ18">
        <v>48.663043582446498</v>
      </c>
      <c r="AR18" s="988"/>
      <c r="AS18" s="946">
        <f t="shared" si="7"/>
        <v>48.663043582446498</v>
      </c>
      <c r="AT18" s="946">
        <f t="shared" si="8"/>
        <v>0</v>
      </c>
    </row>
    <row r="19" spans="1:46" ht="15.75">
      <c r="A19" s="957">
        <v>7</v>
      </c>
      <c r="B19" s="958" t="e">
        <f>VLOOKUP(C19,'DS CN MOI UP'!$B$10:$C$389,2,0)</f>
        <v>#N/A</v>
      </c>
      <c r="C19" s="963" t="s">
        <v>389</v>
      </c>
      <c r="D19" s="957" t="s">
        <v>15</v>
      </c>
      <c r="E19" s="960">
        <f t="shared" si="3"/>
        <v>32</v>
      </c>
      <c r="F19" s="960"/>
      <c r="G19" s="960"/>
      <c r="H19" s="1110"/>
      <c r="I19" s="960"/>
      <c r="J19" s="960">
        <v>3</v>
      </c>
      <c r="K19" s="960"/>
      <c r="L19" s="960"/>
      <c r="M19" s="960"/>
      <c r="N19" s="960"/>
      <c r="O19" s="960"/>
      <c r="P19" s="960"/>
      <c r="Q19" s="960"/>
      <c r="R19" s="960"/>
      <c r="S19" s="975">
        <f t="shared" si="2"/>
        <v>35</v>
      </c>
      <c r="T19" s="975"/>
      <c r="U19" s="975"/>
      <c r="V19" s="975" t="e">
        <f>VLOOKUP(C19,'sản lượng'!$D$12:$AK$89,36,0)</f>
        <v>#N/A</v>
      </c>
      <c r="W19" s="976" t="e">
        <f t="shared" si="4"/>
        <v>#N/A</v>
      </c>
      <c r="X19" s="975"/>
      <c r="Y19" s="975"/>
      <c r="Z19" s="975" t="e">
        <f t="shared" si="5"/>
        <v>#N/A</v>
      </c>
      <c r="AA19" s="975" t="e">
        <f>VLOOKUP(C19,'CHẤM CÔNG '!$D$12:$AL$89,33,0)</f>
        <v>#N/A</v>
      </c>
      <c r="AB19" s="975" t="e">
        <f>VLOOKUP(C19,'CHẤM CÔNG '!$D$12:$AL$89,34,0)</f>
        <v>#N/A</v>
      </c>
      <c r="AC19" s="975"/>
      <c r="AD19" s="975"/>
      <c r="AE19" s="975"/>
      <c r="AF19" s="975"/>
      <c r="AG19" s="975"/>
      <c r="AH19" s="975"/>
      <c r="AI19" s="975"/>
      <c r="AJ19" s="975"/>
      <c r="AK19" s="981"/>
      <c r="AL19" s="982" t="e">
        <f>VLOOKUP(C19,'sản lượng'!$D$12:$AM$89,38,0)</f>
        <v>#N/A</v>
      </c>
      <c r="AM19" s="508" t="s">
        <v>2613</v>
      </c>
      <c r="AN19" s="509">
        <f t="shared" si="6"/>
        <v>0.46408510638297901</v>
      </c>
      <c r="AO19" s="1130">
        <v>385</v>
      </c>
      <c r="AP19" s="1130">
        <v>178.67276595744701</v>
      </c>
      <c r="AQ19">
        <v>46.408510638297898</v>
      </c>
      <c r="AR19" s="988"/>
      <c r="AS19" s="946">
        <f t="shared" si="7"/>
        <v>46.408510638297898</v>
      </c>
      <c r="AT19" s="946">
        <f t="shared" si="8"/>
        <v>0</v>
      </c>
    </row>
    <row r="20" spans="1:46" ht="15.75">
      <c r="A20" s="957">
        <v>8</v>
      </c>
      <c r="B20" s="958" t="e">
        <f>VLOOKUP(C20,'DS CN MOI UP'!$B$10:$C$389,2,0)</f>
        <v>#N/A</v>
      </c>
      <c r="C20" s="963" t="s">
        <v>1937</v>
      </c>
      <c r="D20" s="957" t="s">
        <v>15</v>
      </c>
      <c r="E20" s="960">
        <f t="shared" si="3"/>
        <v>32</v>
      </c>
      <c r="F20" s="960"/>
      <c r="G20" s="960"/>
      <c r="H20" s="1110"/>
      <c r="I20" s="960"/>
      <c r="J20" s="960">
        <v>3</v>
      </c>
      <c r="K20" s="960"/>
      <c r="L20" s="960"/>
      <c r="M20" s="960"/>
      <c r="N20" s="960"/>
      <c r="O20" s="960"/>
      <c r="P20" s="960"/>
      <c r="Q20" s="960"/>
      <c r="R20" s="960"/>
      <c r="S20" s="975">
        <f t="shared" si="2"/>
        <v>35</v>
      </c>
      <c r="T20" s="975"/>
      <c r="U20" s="975"/>
      <c r="V20" s="975" t="e">
        <f>VLOOKUP(C20,'sản lượng'!$D$12:$AK$89,36,0)</f>
        <v>#N/A</v>
      </c>
      <c r="W20" s="976" t="e">
        <f t="shared" si="4"/>
        <v>#N/A</v>
      </c>
      <c r="X20" s="975"/>
      <c r="Y20" s="975"/>
      <c r="Z20" s="975" t="e">
        <f t="shared" si="5"/>
        <v>#N/A</v>
      </c>
      <c r="AA20" s="975" t="e">
        <f>VLOOKUP(C20,'CHẤM CÔNG '!$D$12:$AL$89,33,0)</f>
        <v>#N/A</v>
      </c>
      <c r="AB20" s="975" t="e">
        <f>VLOOKUP(C20,'CHẤM CÔNG '!$D$12:$AL$89,34,0)</f>
        <v>#N/A</v>
      </c>
      <c r="AC20" s="975"/>
      <c r="AD20" s="975"/>
      <c r="AE20" s="975"/>
      <c r="AF20" s="975"/>
      <c r="AG20" s="975"/>
      <c r="AH20" s="975"/>
      <c r="AI20" s="975"/>
      <c r="AJ20" s="975"/>
      <c r="AK20" s="981"/>
      <c r="AL20" s="982" t="e">
        <f>VLOOKUP(C20,'sản lượng'!$D$12:$AM$89,38,0)</f>
        <v>#N/A</v>
      </c>
      <c r="AM20" s="508" t="s">
        <v>2614</v>
      </c>
      <c r="AN20" s="509"/>
      <c r="AO20" s="1131"/>
      <c r="AP20" s="1132"/>
      <c r="AQ20"/>
      <c r="AR20" s="988"/>
      <c r="AT20" s="946">
        <f t="shared" si="8"/>
        <v>0</v>
      </c>
    </row>
    <row r="21" spans="1:46" ht="15.75">
      <c r="A21" s="957">
        <v>9</v>
      </c>
      <c r="B21" s="958" t="e">
        <f>VLOOKUP(C21,'DS CN MOI UP'!$B$10:$C$389,2,0)</f>
        <v>#N/A</v>
      </c>
      <c r="C21" s="963" t="s">
        <v>391</v>
      </c>
      <c r="D21" s="957" t="s">
        <v>15</v>
      </c>
      <c r="E21" s="960">
        <f t="shared" si="3"/>
        <v>32</v>
      </c>
      <c r="F21" s="960"/>
      <c r="G21" s="960"/>
      <c r="H21" s="1110"/>
      <c r="I21" s="960"/>
      <c r="J21" s="960">
        <v>3</v>
      </c>
      <c r="K21" s="960"/>
      <c r="L21" s="960"/>
      <c r="M21" s="960"/>
      <c r="N21" s="960"/>
      <c r="O21" s="960"/>
      <c r="P21" s="960"/>
      <c r="Q21" s="960"/>
      <c r="R21" s="960"/>
      <c r="S21" s="975">
        <f t="shared" si="2"/>
        <v>35</v>
      </c>
      <c r="T21" s="975"/>
      <c r="U21" s="975"/>
      <c r="V21" s="975" t="e">
        <f>VLOOKUP(C21,'sản lượng'!$D$12:$AK$89,36,0)</f>
        <v>#N/A</v>
      </c>
      <c r="W21" s="976" t="e">
        <f t="shared" si="4"/>
        <v>#N/A</v>
      </c>
      <c r="X21" s="975"/>
      <c r="Y21" s="975"/>
      <c r="Z21" s="975" t="e">
        <f t="shared" si="5"/>
        <v>#N/A</v>
      </c>
      <c r="AA21" s="975" t="e">
        <f>VLOOKUP(C21,'CHẤM CÔNG '!$D$12:$AL$89,33,0)</f>
        <v>#N/A</v>
      </c>
      <c r="AB21" s="975" t="e">
        <f>VLOOKUP(C21,'CHẤM CÔNG '!$D$12:$AL$89,34,0)</f>
        <v>#N/A</v>
      </c>
      <c r="AC21" s="975"/>
      <c r="AD21" s="975"/>
      <c r="AE21" s="975"/>
      <c r="AF21" s="975"/>
      <c r="AG21" s="975"/>
      <c r="AH21" s="975"/>
      <c r="AI21" s="975"/>
      <c r="AJ21" s="975"/>
      <c r="AK21" s="981"/>
      <c r="AL21" s="982" t="e">
        <f>VLOOKUP(C21,'sản lượng'!$D$12:$AM$89,38,0)</f>
        <v>#N/A</v>
      </c>
      <c r="AM21" s="508" t="s">
        <v>2615</v>
      </c>
      <c r="AN21" s="509">
        <f t="shared" si="6"/>
        <v>0.47778288100208899</v>
      </c>
      <c r="AO21" s="1130">
        <v>2978</v>
      </c>
      <c r="AP21" s="1130">
        <v>1422.83741962422</v>
      </c>
      <c r="AQ21">
        <v>47.778288100208798</v>
      </c>
      <c r="AR21" s="988"/>
      <c r="AS21" s="946">
        <f t="shared" si="7"/>
        <v>47.778288100208897</v>
      </c>
      <c r="AT21" s="946">
        <f t="shared" si="8"/>
        <v>-7.1054273576010006E-14</v>
      </c>
    </row>
    <row r="22" spans="1:46" ht="15.75">
      <c r="A22" s="957">
        <v>10</v>
      </c>
      <c r="B22" s="958" t="e">
        <f>VLOOKUP(C22,'DS CN MOI UP'!$B$10:$C$389,2,0)</f>
        <v>#N/A</v>
      </c>
      <c r="C22" s="963" t="s">
        <v>392</v>
      </c>
      <c r="D22" s="957" t="s">
        <v>15</v>
      </c>
      <c r="E22" s="960">
        <f t="shared" si="3"/>
        <v>32</v>
      </c>
      <c r="F22" s="960"/>
      <c r="G22" s="960"/>
      <c r="H22" s="1110"/>
      <c r="I22" s="960">
        <v>1</v>
      </c>
      <c r="J22" s="960"/>
      <c r="K22" s="960"/>
      <c r="L22" s="960"/>
      <c r="M22" s="960"/>
      <c r="N22" s="960"/>
      <c r="O22" s="960"/>
      <c r="P22" s="960"/>
      <c r="Q22" s="960"/>
      <c r="R22" s="960"/>
      <c r="S22" s="975">
        <f t="shared" si="2"/>
        <v>33</v>
      </c>
      <c r="T22" s="975"/>
      <c r="U22" s="975"/>
      <c r="V22" s="975" t="e">
        <f>VLOOKUP(C22,'sản lượng'!$D$12:$AK$89,36,0)</f>
        <v>#N/A</v>
      </c>
      <c r="W22" s="976" t="e">
        <f t="shared" si="4"/>
        <v>#N/A</v>
      </c>
      <c r="X22" s="975"/>
      <c r="Y22" s="975"/>
      <c r="Z22" s="975" t="e">
        <f t="shared" si="5"/>
        <v>#N/A</v>
      </c>
      <c r="AA22" s="975" t="e">
        <f>VLOOKUP(C22,'CHẤM CÔNG '!$D$12:$AL$89,33,0)</f>
        <v>#N/A</v>
      </c>
      <c r="AB22" s="975" t="e">
        <f>VLOOKUP(C22,'CHẤM CÔNG '!$D$12:$AL$89,34,0)</f>
        <v>#N/A</v>
      </c>
      <c r="AC22" s="975"/>
      <c r="AD22" s="975"/>
      <c r="AE22" s="975"/>
      <c r="AF22" s="975"/>
      <c r="AG22" s="975"/>
      <c r="AH22" s="975"/>
      <c r="AI22" s="975"/>
      <c r="AJ22" s="975"/>
      <c r="AK22" s="981"/>
      <c r="AL22" s="982" t="e">
        <f>VLOOKUP(C22,'sản lượng'!$D$12:$AM$89,38,0)</f>
        <v>#N/A</v>
      </c>
      <c r="AM22" s="946" t="s">
        <v>2616</v>
      </c>
    </row>
    <row r="23" spans="1:46" s="1103" customFormat="1" ht="15.75">
      <c r="A23" s="1111">
        <v>11</v>
      </c>
      <c r="B23" s="1112" t="e">
        <f>VLOOKUP(C23,'DS CN MOI UP'!$B$10:$C$389,2,0)</f>
        <v>#N/A</v>
      </c>
      <c r="C23" s="1115" t="s">
        <v>393</v>
      </c>
      <c r="D23" s="1111" t="s">
        <v>15</v>
      </c>
      <c r="E23" s="960">
        <f t="shared" si="3"/>
        <v>32</v>
      </c>
      <c r="F23" s="1114"/>
      <c r="G23" s="1114"/>
      <c r="H23" s="1110"/>
      <c r="I23" s="1114"/>
      <c r="J23" s="1114">
        <v>3</v>
      </c>
      <c r="K23" s="1114"/>
      <c r="L23" s="1114"/>
      <c r="M23" s="1114"/>
      <c r="N23" s="1114"/>
      <c r="O23" s="1114"/>
      <c r="P23" s="1114"/>
      <c r="Q23" s="1114"/>
      <c r="R23" s="1114"/>
      <c r="S23" s="1120">
        <f t="shared" si="2"/>
        <v>35</v>
      </c>
      <c r="T23" s="1120"/>
      <c r="U23" s="1120"/>
      <c r="V23" s="1120" t="e">
        <f>VLOOKUP(C23,'sản lượng'!$D$12:$AK$89,36,0)</f>
        <v>#N/A</v>
      </c>
      <c r="W23" s="1121" t="e">
        <f t="shared" si="4"/>
        <v>#N/A</v>
      </c>
      <c r="X23" s="1120"/>
      <c r="Y23" s="1120"/>
      <c r="Z23" s="975" t="e">
        <f t="shared" si="5"/>
        <v>#N/A</v>
      </c>
      <c r="AA23" s="1120" t="e">
        <f>VLOOKUP(C23,'CHẤM CÔNG '!$D$12:$AL$89,33,0)</f>
        <v>#N/A</v>
      </c>
      <c r="AB23" s="1120" t="e">
        <f>VLOOKUP(C23,'CHẤM CÔNG '!$D$12:$AL$89,34,0)</f>
        <v>#N/A</v>
      </c>
      <c r="AC23" s="1120" t="e">
        <f>SUM(AA23:AB23,AF23)</f>
        <v>#N/A</v>
      </c>
      <c r="AD23" s="1120"/>
      <c r="AE23" s="975"/>
      <c r="AF23" s="975"/>
      <c r="AG23" s="975"/>
      <c r="AH23" s="975"/>
      <c r="AI23" s="975"/>
      <c r="AJ23" s="975"/>
      <c r="AK23" s="981"/>
      <c r="AL23" s="1125" t="e">
        <f>VLOOKUP(C23,'sản lượng'!$D$12:$AM$89,38,0)</f>
        <v>#N/A</v>
      </c>
      <c r="AM23" s="946" t="s">
        <v>2617</v>
      </c>
      <c r="AN23" s="1127">
        <v>0.49859999999999999</v>
      </c>
      <c r="AP23" s="1104"/>
      <c r="AQ23" s="1104"/>
      <c r="AR23" s="944"/>
    </row>
    <row r="24" spans="1:46" ht="15.75">
      <c r="A24" s="957">
        <v>12</v>
      </c>
      <c r="B24" s="958" t="e">
        <f>VLOOKUP(C24,'DS CN MOI UP'!$B$10:$C$389,2,0)</f>
        <v>#N/A</v>
      </c>
      <c r="C24" s="963" t="s">
        <v>394</v>
      </c>
      <c r="D24" s="957" t="s">
        <v>15</v>
      </c>
      <c r="E24" s="960">
        <f t="shared" si="3"/>
        <v>32</v>
      </c>
      <c r="F24" s="960"/>
      <c r="G24" s="960"/>
      <c r="H24" s="1110"/>
      <c r="I24" s="960">
        <v>1</v>
      </c>
      <c r="J24" s="960"/>
      <c r="K24" s="960"/>
      <c r="L24" s="960"/>
      <c r="M24" s="960"/>
      <c r="N24" s="960"/>
      <c r="O24" s="960"/>
      <c r="P24" s="960"/>
      <c r="Q24" s="960"/>
      <c r="R24" s="960"/>
      <c r="S24" s="975">
        <f t="shared" si="2"/>
        <v>33</v>
      </c>
      <c r="T24" s="975"/>
      <c r="U24" s="975"/>
      <c r="V24" s="975" t="e">
        <f>VLOOKUP(C24,'sản lượng'!$D$12:$AK$89,36,0)</f>
        <v>#N/A</v>
      </c>
      <c r="W24" s="976" t="e">
        <f t="shared" si="4"/>
        <v>#N/A</v>
      </c>
      <c r="X24" s="975"/>
      <c r="Y24" s="975"/>
      <c r="Z24" s="975" t="e">
        <f t="shared" si="5"/>
        <v>#N/A</v>
      </c>
      <c r="AA24" s="975" t="e">
        <f>VLOOKUP(C24,'CHẤM CÔNG '!$D$12:$AL$89,33,0)</f>
        <v>#N/A</v>
      </c>
      <c r="AB24" s="975" t="e">
        <f>VLOOKUP(C24,'CHẤM CÔNG '!$D$12:$AL$89,34,0)</f>
        <v>#N/A</v>
      </c>
      <c r="AC24" s="975"/>
      <c r="AD24" s="975"/>
      <c r="AE24" s="975"/>
      <c r="AF24" s="975"/>
      <c r="AG24" s="975"/>
      <c r="AH24" s="975"/>
      <c r="AI24" s="975"/>
      <c r="AJ24" s="975"/>
      <c r="AK24" s="981"/>
      <c r="AL24" s="982" t="e">
        <f>VLOOKUP(C24,'sản lượng'!$D$12:$AM$89,38,0)</f>
        <v>#N/A</v>
      </c>
      <c r="AM24" s="946" t="s">
        <v>1961</v>
      </c>
      <c r="AN24" s="1127"/>
      <c r="AP24" s="946"/>
    </row>
    <row r="25" spans="1:46" ht="15.75">
      <c r="A25" s="957">
        <v>13</v>
      </c>
      <c r="B25" s="958" t="e">
        <f>VLOOKUP(C25,'DS CN MOI UP'!$B$10:$C$389,2,0)</f>
        <v>#N/A</v>
      </c>
      <c r="C25" s="963" t="s">
        <v>537</v>
      </c>
      <c r="D25" s="957" t="s">
        <v>15</v>
      </c>
      <c r="E25" s="960">
        <f t="shared" si="3"/>
        <v>32</v>
      </c>
      <c r="F25" s="960"/>
      <c r="G25" s="960"/>
      <c r="H25" s="1110"/>
      <c r="I25" s="960"/>
      <c r="J25" s="960"/>
      <c r="K25" s="960"/>
      <c r="L25" s="960"/>
      <c r="M25" s="960"/>
      <c r="N25" s="960"/>
      <c r="O25" s="960"/>
      <c r="P25" s="960"/>
      <c r="Q25" s="960"/>
      <c r="R25" s="960"/>
      <c r="S25" s="975">
        <f t="shared" si="2"/>
        <v>32</v>
      </c>
      <c r="T25" s="975"/>
      <c r="U25" s="975"/>
      <c r="V25" s="975" t="e">
        <f>VLOOKUP(C25,'sản lượng'!$D$12:$AK$89,36,0)</f>
        <v>#REF!</v>
      </c>
      <c r="W25" s="976" t="e">
        <f t="shared" si="4"/>
        <v>#REF!</v>
      </c>
      <c r="X25" s="975"/>
      <c r="Y25" s="975"/>
      <c r="Z25" s="975" t="e">
        <f t="shared" si="5"/>
        <v>#REF!</v>
      </c>
      <c r="AA25" s="975">
        <f>VLOOKUP(C25,'CHẤM CÔNG '!$D$12:$AL$89,33,0)</f>
        <v>0</v>
      </c>
      <c r="AB25" s="975">
        <f>VLOOKUP(C25,'CHẤM CÔNG '!$D$12:$AL$89,34,0)</f>
        <v>24</v>
      </c>
      <c r="AC25" s="975"/>
      <c r="AD25" s="975"/>
      <c r="AE25" s="975"/>
      <c r="AF25" s="975"/>
      <c r="AG25" s="975"/>
      <c r="AH25" s="975"/>
      <c r="AI25" s="975"/>
      <c r="AJ25" s="975"/>
      <c r="AK25" s="981"/>
      <c r="AL25" s="982" t="e">
        <f>VLOOKUP(C25,'sản lượng'!$D$12:$AM$89,38,0)</f>
        <v>#REF!</v>
      </c>
      <c r="AM25" s="946" t="s">
        <v>1962</v>
      </c>
      <c r="AN25" s="1127"/>
      <c r="AP25" s="946"/>
    </row>
    <row r="26" spans="1:46" ht="15.75">
      <c r="A26" s="957">
        <v>14</v>
      </c>
      <c r="B26" s="958" t="e">
        <f>VLOOKUP(C26,'DS CN MOI UP'!$B$10:$C$389,2,0)</f>
        <v>#N/A</v>
      </c>
      <c r="C26" s="964" t="s">
        <v>2618</v>
      </c>
      <c r="D26" s="957" t="s">
        <v>15</v>
      </c>
      <c r="E26" s="960">
        <f t="shared" si="3"/>
        <v>32</v>
      </c>
      <c r="F26" s="960"/>
      <c r="G26" s="960"/>
      <c r="H26" s="1110"/>
      <c r="I26" s="960"/>
      <c r="J26" s="960"/>
      <c r="K26" s="960"/>
      <c r="L26" s="960"/>
      <c r="M26" s="960"/>
      <c r="N26" s="960"/>
      <c r="O26" s="960"/>
      <c r="P26" s="960"/>
      <c r="Q26" s="960"/>
      <c r="R26" s="960"/>
      <c r="S26" s="975">
        <f t="shared" si="2"/>
        <v>32</v>
      </c>
      <c r="T26" s="975"/>
      <c r="U26" s="975"/>
      <c r="V26" s="975" t="e">
        <f>VLOOKUP(C26,'sản lượng'!$D$12:$AK$89,36,0)</f>
        <v>#N/A</v>
      </c>
      <c r="W26" s="976" t="e">
        <f t="shared" si="4"/>
        <v>#N/A</v>
      </c>
      <c r="X26" s="975"/>
      <c r="Y26" s="975"/>
      <c r="Z26" s="975" t="e">
        <f t="shared" si="5"/>
        <v>#N/A</v>
      </c>
      <c r="AA26" s="975" t="e">
        <f>VLOOKUP(C26,'CHẤM CÔNG '!$D$12:$AL$89,33,0)</f>
        <v>#N/A</v>
      </c>
      <c r="AB26" s="975" t="e">
        <f>VLOOKUP(C26,'CHẤM CÔNG '!$D$12:$AL$89,34,0)</f>
        <v>#N/A</v>
      </c>
      <c r="AC26" s="975"/>
      <c r="AD26" s="975"/>
      <c r="AE26" s="975"/>
      <c r="AF26" s="975"/>
      <c r="AG26" s="975"/>
      <c r="AH26" s="975"/>
      <c r="AI26" s="975"/>
      <c r="AJ26" s="975"/>
      <c r="AK26" s="981"/>
      <c r="AL26" s="982" t="e">
        <f>VLOOKUP(C26,'sản lượng'!$D$12:$AM$89,38,0)</f>
        <v>#N/A</v>
      </c>
      <c r="AM26" s="946" t="s">
        <v>1963</v>
      </c>
      <c r="AN26" s="1127"/>
      <c r="AP26" s="946"/>
    </row>
    <row r="27" spans="1:46" ht="15.75">
      <c r="A27" s="957">
        <v>15</v>
      </c>
      <c r="B27" s="958" t="e">
        <f>VLOOKUP(C27,'DS CN MOI UP'!$B$10:$C$389,2,0)</f>
        <v>#N/A</v>
      </c>
      <c r="C27" s="963" t="s">
        <v>397</v>
      </c>
      <c r="D27" s="957" t="s">
        <v>15</v>
      </c>
      <c r="E27" s="960">
        <f t="shared" si="3"/>
        <v>32</v>
      </c>
      <c r="F27" s="960"/>
      <c r="G27" s="960"/>
      <c r="H27" s="1110"/>
      <c r="I27" s="960"/>
      <c r="J27" s="960"/>
      <c r="K27" s="960"/>
      <c r="L27" s="960"/>
      <c r="M27" s="960"/>
      <c r="N27" s="960"/>
      <c r="O27" s="960"/>
      <c r="P27" s="960"/>
      <c r="Q27" s="960"/>
      <c r="R27" s="960"/>
      <c r="S27" s="975">
        <f t="shared" si="2"/>
        <v>32</v>
      </c>
      <c r="T27" s="975"/>
      <c r="U27" s="975"/>
      <c r="V27" s="975" t="e">
        <f>VLOOKUP(C27,'sản lượng'!$D$12:$AK$89,36,0)</f>
        <v>#N/A</v>
      </c>
      <c r="W27" s="976" t="e">
        <f t="shared" si="4"/>
        <v>#N/A</v>
      </c>
      <c r="X27" s="975"/>
      <c r="Y27" s="975"/>
      <c r="Z27" s="975" t="e">
        <f t="shared" si="5"/>
        <v>#N/A</v>
      </c>
      <c r="AA27" s="975" t="e">
        <f>VLOOKUP(C27,'CHẤM CÔNG '!$D$12:$AL$89,33,0)</f>
        <v>#N/A</v>
      </c>
      <c r="AB27" s="975" t="e">
        <f>VLOOKUP(C27,'CHẤM CÔNG '!$D$12:$AL$89,34,0)</f>
        <v>#N/A</v>
      </c>
      <c r="AC27" s="975"/>
      <c r="AD27" s="975"/>
      <c r="AE27" s="975"/>
      <c r="AF27" s="975"/>
      <c r="AG27" s="975"/>
      <c r="AH27" s="975"/>
      <c r="AI27" s="975"/>
      <c r="AJ27" s="975"/>
      <c r="AK27" s="981"/>
      <c r="AL27" s="982" t="e">
        <f>VLOOKUP(C27,'sản lượng'!$D$12:$AM$89,38,0)</f>
        <v>#N/A</v>
      </c>
      <c r="AM27" s="946" t="s">
        <v>2619</v>
      </c>
    </row>
    <row r="28" spans="1:46" ht="15.75">
      <c r="A28" s="957">
        <v>16</v>
      </c>
      <c r="B28" s="958" t="e">
        <f>VLOOKUP(C28,'DS CN MOI UP'!$B$10:$C$389,2,0)</f>
        <v>#N/A</v>
      </c>
      <c r="C28" s="963" t="s">
        <v>1938</v>
      </c>
      <c r="D28" s="957" t="s">
        <v>15</v>
      </c>
      <c r="E28" s="960">
        <f t="shared" si="3"/>
        <v>32</v>
      </c>
      <c r="F28" s="960"/>
      <c r="G28" s="960"/>
      <c r="H28" s="1110"/>
      <c r="I28" s="960"/>
      <c r="J28" s="960"/>
      <c r="K28" s="960"/>
      <c r="L28" s="960"/>
      <c r="M28" s="960"/>
      <c r="N28" s="960"/>
      <c r="O28" s="960"/>
      <c r="P28" s="960"/>
      <c r="Q28" s="960"/>
      <c r="R28" s="960"/>
      <c r="S28" s="975">
        <f t="shared" si="2"/>
        <v>32</v>
      </c>
      <c r="T28" s="975"/>
      <c r="U28" s="975"/>
      <c r="V28" s="975" t="e">
        <f>VLOOKUP(C28,'sản lượng'!$D$12:$AK$89,36,0)</f>
        <v>#N/A</v>
      </c>
      <c r="W28" s="976" t="e">
        <f t="shared" si="4"/>
        <v>#N/A</v>
      </c>
      <c r="X28" s="975"/>
      <c r="Y28" s="975"/>
      <c r="Z28" s="975" t="e">
        <f t="shared" si="5"/>
        <v>#N/A</v>
      </c>
      <c r="AA28" s="975" t="e">
        <f>VLOOKUP(C28,'CHẤM CÔNG '!$D$12:$AL$89,33,0)</f>
        <v>#N/A</v>
      </c>
      <c r="AB28" s="975" t="e">
        <f>VLOOKUP(C28,'CHẤM CÔNG '!$D$12:$AL$89,34,0)</f>
        <v>#N/A</v>
      </c>
      <c r="AC28" s="975"/>
      <c r="AD28" s="975"/>
      <c r="AE28" s="975"/>
      <c r="AF28" s="975"/>
      <c r="AG28" s="975"/>
      <c r="AH28" s="975"/>
      <c r="AI28" s="975"/>
      <c r="AJ28" s="975"/>
      <c r="AK28" s="981"/>
      <c r="AL28" s="982" t="e">
        <f>VLOOKUP(C28,'sản lượng'!$D$12:$AM$89,38,0)</f>
        <v>#N/A</v>
      </c>
    </row>
    <row r="29" spans="1:46" ht="15.75">
      <c r="A29" s="957">
        <v>17</v>
      </c>
      <c r="B29" s="958" t="e">
        <f>VLOOKUP(C29,'DS CN MOI UP'!$B$10:$C$389,2,0)</f>
        <v>#N/A</v>
      </c>
      <c r="C29" s="963" t="s">
        <v>399</v>
      </c>
      <c r="D29" s="957" t="s">
        <v>15</v>
      </c>
      <c r="E29" s="960">
        <f t="shared" si="3"/>
        <v>32</v>
      </c>
      <c r="F29" s="960"/>
      <c r="G29" s="960"/>
      <c r="H29" s="1110"/>
      <c r="I29" s="960"/>
      <c r="J29" s="960"/>
      <c r="K29" s="960"/>
      <c r="L29" s="960"/>
      <c r="M29" s="960"/>
      <c r="N29" s="960"/>
      <c r="O29" s="960"/>
      <c r="P29" s="960"/>
      <c r="Q29" s="960"/>
      <c r="R29" s="960"/>
      <c r="S29" s="975">
        <f t="shared" si="2"/>
        <v>32</v>
      </c>
      <c r="T29" s="975"/>
      <c r="U29" s="975"/>
      <c r="V29" s="975" t="e">
        <f>VLOOKUP(C29,'sản lượng'!$D$12:$AK$89,36,0)</f>
        <v>#N/A</v>
      </c>
      <c r="W29" s="976" t="e">
        <f t="shared" si="4"/>
        <v>#N/A</v>
      </c>
      <c r="X29" s="975"/>
      <c r="Y29" s="975"/>
      <c r="Z29" s="975" t="e">
        <f t="shared" si="5"/>
        <v>#N/A</v>
      </c>
      <c r="AA29" s="975" t="e">
        <f>VLOOKUP(C29,'CHẤM CÔNG '!$D$12:$AL$89,33,0)</f>
        <v>#N/A</v>
      </c>
      <c r="AB29" s="975" t="e">
        <f>VLOOKUP(C29,'CHẤM CÔNG '!$D$12:$AL$89,34,0)</f>
        <v>#N/A</v>
      </c>
      <c r="AC29" s="975"/>
      <c r="AD29" s="975"/>
      <c r="AE29" s="975"/>
      <c r="AF29" s="975"/>
      <c r="AG29" s="975"/>
      <c r="AH29" s="975"/>
      <c r="AI29" s="975"/>
      <c r="AJ29" s="975"/>
      <c r="AK29" s="981"/>
      <c r="AL29" s="982" t="e">
        <f>VLOOKUP(C29,'sản lượng'!$D$12:$AM$89,38,0)</f>
        <v>#N/A</v>
      </c>
    </row>
    <row r="30" spans="1:46" ht="15.75">
      <c r="A30" s="957">
        <v>18</v>
      </c>
      <c r="B30" s="958" t="e">
        <f>VLOOKUP(C30,'DS CN MOI UP'!$B$10:$C$389,2,0)</f>
        <v>#N/A</v>
      </c>
      <c r="C30" s="964" t="s">
        <v>400</v>
      </c>
      <c r="D30" s="957" t="s">
        <v>15</v>
      </c>
      <c r="E30" s="960">
        <f>4*8+8</f>
        <v>40</v>
      </c>
      <c r="F30" s="960"/>
      <c r="G30" s="960"/>
      <c r="H30" s="1110"/>
      <c r="I30" s="960"/>
      <c r="J30" s="960"/>
      <c r="K30" s="960"/>
      <c r="L30" s="960"/>
      <c r="M30" s="960"/>
      <c r="N30" s="960"/>
      <c r="O30" s="960"/>
      <c r="P30" s="960"/>
      <c r="Q30" s="960"/>
      <c r="R30" s="960"/>
      <c r="S30" s="975">
        <f t="shared" si="2"/>
        <v>40</v>
      </c>
      <c r="T30" s="975"/>
      <c r="U30" s="975"/>
      <c r="V30" s="975" t="e">
        <f>VLOOKUP(C30,'sản lượng'!$D$12:$AK$89,36,0)</f>
        <v>#N/A</v>
      </c>
      <c r="W30" s="976" t="e">
        <f t="shared" si="4"/>
        <v>#N/A</v>
      </c>
      <c r="X30" s="975"/>
      <c r="Y30" s="975"/>
      <c r="Z30" s="975" t="e">
        <f t="shared" si="5"/>
        <v>#N/A</v>
      </c>
      <c r="AA30" s="975" t="e">
        <f>VLOOKUP(C30,'CHẤM CÔNG '!$D$12:$AL$89,33,0)</f>
        <v>#N/A</v>
      </c>
      <c r="AB30" s="975" t="e">
        <f>VLOOKUP(C30,'CHẤM CÔNG '!$D$12:$AL$89,34,0)</f>
        <v>#N/A</v>
      </c>
      <c r="AC30" s="975"/>
      <c r="AD30" s="975"/>
      <c r="AE30" s="975">
        <f>VLOOKUP(C30,'Công cây non'!$C$10:$AJ$28,34,0)</f>
        <v>2</v>
      </c>
      <c r="AF30" s="975"/>
      <c r="AG30" s="975"/>
      <c r="AH30" s="975"/>
      <c r="AI30" s="975"/>
      <c r="AJ30" s="975"/>
      <c r="AK30" s="981"/>
      <c r="AL30" s="982" t="e">
        <f>VLOOKUP(C30,'sản lượng'!$D$12:$AM$89,38,0)</f>
        <v>#N/A</v>
      </c>
    </row>
    <row r="31" spans="1:46" ht="15.75">
      <c r="A31" s="957">
        <v>19</v>
      </c>
      <c r="B31" s="958" t="e">
        <f>VLOOKUP(C31,'DS CN MOI UP'!$B$10:$C$389,2,0)</f>
        <v>#N/A</v>
      </c>
      <c r="C31" s="964" t="s">
        <v>401</v>
      </c>
      <c r="D31" s="957" t="s">
        <v>15</v>
      </c>
      <c r="E31" s="960">
        <f t="shared" si="3"/>
        <v>32</v>
      </c>
      <c r="F31" s="960"/>
      <c r="G31" s="960"/>
      <c r="H31" s="1110"/>
      <c r="I31" s="960"/>
      <c r="J31" s="960"/>
      <c r="K31" s="960"/>
      <c r="L31" s="960"/>
      <c r="M31" s="960"/>
      <c r="N31" s="960"/>
      <c r="O31" s="960"/>
      <c r="P31" s="960"/>
      <c r="Q31" s="960"/>
      <c r="R31" s="960"/>
      <c r="S31" s="975">
        <f t="shared" si="2"/>
        <v>32</v>
      </c>
      <c r="T31" s="975"/>
      <c r="U31" s="975"/>
      <c r="V31" s="975" t="e">
        <f>VLOOKUP(C31,'sản lượng'!$D$12:$AK$89,36,0)</f>
        <v>#N/A</v>
      </c>
      <c r="W31" s="976" t="e">
        <f t="shared" si="4"/>
        <v>#N/A</v>
      </c>
      <c r="X31" s="975"/>
      <c r="Y31" s="975"/>
      <c r="Z31" s="975" t="e">
        <f t="shared" si="5"/>
        <v>#N/A</v>
      </c>
      <c r="AA31" s="975" t="e">
        <f>VLOOKUP(C31,'CHẤM CÔNG '!$D$12:$AL$89,33,0)</f>
        <v>#N/A</v>
      </c>
      <c r="AB31" s="975" t="e">
        <f>VLOOKUP(C31,'CHẤM CÔNG '!$D$12:$AL$89,34,0)</f>
        <v>#N/A</v>
      </c>
      <c r="AC31" s="975"/>
      <c r="AD31" s="975"/>
      <c r="AE31" s="975"/>
      <c r="AF31" s="975"/>
      <c r="AG31" s="975"/>
      <c r="AH31" s="975"/>
      <c r="AI31" s="975"/>
      <c r="AJ31" s="975"/>
      <c r="AK31" s="981"/>
      <c r="AL31" s="982" t="e">
        <f>VLOOKUP(C31,'sản lượng'!$D$12:$AM$89,38,0)</f>
        <v>#N/A</v>
      </c>
    </row>
    <row r="32" spans="1:46" ht="15.75">
      <c r="A32" s="957">
        <v>20</v>
      </c>
      <c r="B32" s="958" t="e">
        <f>VLOOKUP(C32,'DS CN MOI UP'!$B$10:$C$389,2,0)</f>
        <v>#N/A</v>
      </c>
      <c r="C32" s="964" t="s">
        <v>402</v>
      </c>
      <c r="D32" s="957" t="s">
        <v>15</v>
      </c>
      <c r="E32" s="960">
        <f t="shared" si="3"/>
        <v>32</v>
      </c>
      <c r="F32" s="960"/>
      <c r="G32" s="960"/>
      <c r="H32" s="1110"/>
      <c r="I32" s="960"/>
      <c r="J32" s="960"/>
      <c r="K32" s="960"/>
      <c r="L32" s="960"/>
      <c r="M32" s="960"/>
      <c r="N32" s="960"/>
      <c r="O32" s="960"/>
      <c r="P32" s="960"/>
      <c r="Q32" s="960"/>
      <c r="R32" s="960"/>
      <c r="S32" s="975">
        <f t="shared" si="2"/>
        <v>32</v>
      </c>
      <c r="T32" s="975"/>
      <c r="U32" s="975"/>
      <c r="V32" s="975" t="e">
        <f>VLOOKUP(C32,'sản lượng'!$D$12:$AK$89,36,0)</f>
        <v>#N/A</v>
      </c>
      <c r="W32" s="976" t="e">
        <f t="shared" si="4"/>
        <v>#N/A</v>
      </c>
      <c r="X32" s="975"/>
      <c r="Y32" s="975"/>
      <c r="Z32" s="975" t="e">
        <f t="shared" si="5"/>
        <v>#N/A</v>
      </c>
      <c r="AA32" s="975" t="e">
        <f>VLOOKUP(C32,'CHẤM CÔNG '!$D$12:$AL$89,33,0)</f>
        <v>#N/A</v>
      </c>
      <c r="AB32" s="975" t="e">
        <f>VLOOKUP(C32,'CHẤM CÔNG '!$D$12:$AL$89,34,0)</f>
        <v>#N/A</v>
      </c>
      <c r="AC32" s="975"/>
      <c r="AD32" s="975"/>
      <c r="AE32" s="975"/>
      <c r="AF32" s="975"/>
      <c r="AG32" s="975"/>
      <c r="AH32" s="975"/>
      <c r="AI32" s="975"/>
      <c r="AJ32" s="975"/>
      <c r="AK32" s="981"/>
      <c r="AL32" s="982" t="e">
        <f>VLOOKUP(C32,'sản lượng'!$D$12:$AM$89,38,0)</f>
        <v>#N/A</v>
      </c>
    </row>
    <row r="33" spans="1:44" ht="15.75">
      <c r="A33" s="957">
        <v>21</v>
      </c>
      <c r="B33" s="958" t="e">
        <f>VLOOKUP(C33,'DS CN MOI UP'!$B$10:$C$389,2,0)</f>
        <v>#N/A</v>
      </c>
      <c r="C33" s="964" t="s">
        <v>2620</v>
      </c>
      <c r="D33" s="957" t="s">
        <v>15</v>
      </c>
      <c r="E33" s="960">
        <f t="shared" si="3"/>
        <v>32</v>
      </c>
      <c r="F33" s="960"/>
      <c r="G33" s="960"/>
      <c r="H33" s="1110"/>
      <c r="I33" s="960"/>
      <c r="J33" s="960"/>
      <c r="K33" s="960"/>
      <c r="L33" s="960"/>
      <c r="M33" s="960"/>
      <c r="N33" s="960"/>
      <c r="O33" s="960"/>
      <c r="P33" s="960"/>
      <c r="Q33" s="960"/>
      <c r="R33" s="960"/>
      <c r="S33" s="975">
        <f t="shared" ref="S33:S42" si="10">SUM(E33:N33)</f>
        <v>32</v>
      </c>
      <c r="T33" s="975"/>
      <c r="U33" s="975"/>
      <c r="V33" s="975" t="e">
        <f>VLOOKUP(C33,'sản lượng'!$D$12:$AK$89,36,0)</f>
        <v>#N/A</v>
      </c>
      <c r="W33" s="976" t="e">
        <f t="shared" si="4"/>
        <v>#N/A</v>
      </c>
      <c r="X33" s="975"/>
      <c r="Y33" s="975"/>
      <c r="Z33" s="975" t="e">
        <f t="shared" si="5"/>
        <v>#N/A</v>
      </c>
      <c r="AA33" s="975" t="e">
        <f>VLOOKUP(C33,'CHẤM CÔNG '!$D$12:$AL$89,33,0)</f>
        <v>#N/A</v>
      </c>
      <c r="AB33" s="975" t="e">
        <f>VLOOKUP(C33,'CHẤM CÔNG '!$D$12:$AL$89,34,0)</f>
        <v>#N/A</v>
      </c>
      <c r="AC33" s="975"/>
      <c r="AD33" s="975"/>
      <c r="AE33" s="975"/>
      <c r="AF33" s="975"/>
      <c r="AG33" s="975"/>
      <c r="AH33" s="975"/>
      <c r="AI33" s="975"/>
      <c r="AJ33" s="975"/>
      <c r="AK33" s="981"/>
      <c r="AL33" s="982" t="e">
        <f>VLOOKUP(C33,'sản lượng'!$D$12:$AM$89,38,0)</f>
        <v>#N/A</v>
      </c>
    </row>
    <row r="34" spans="1:44" ht="15.75">
      <c r="A34" s="957">
        <v>22</v>
      </c>
      <c r="B34" s="958" t="e">
        <f>VLOOKUP(C34,'DS CN MOI UP'!$B$10:$C$389,2,0)</f>
        <v>#N/A</v>
      </c>
      <c r="C34" s="964" t="s">
        <v>404</v>
      </c>
      <c r="D34" s="957" t="s">
        <v>15</v>
      </c>
      <c r="E34" s="960">
        <f t="shared" si="3"/>
        <v>32</v>
      </c>
      <c r="F34" s="960"/>
      <c r="G34" s="960"/>
      <c r="H34" s="1110"/>
      <c r="I34" s="960">
        <v>1</v>
      </c>
      <c r="J34" s="960"/>
      <c r="K34" s="960"/>
      <c r="L34" s="960"/>
      <c r="M34" s="960"/>
      <c r="N34" s="960"/>
      <c r="O34" s="960"/>
      <c r="P34" s="960"/>
      <c r="Q34" s="960"/>
      <c r="R34" s="960"/>
      <c r="S34" s="975">
        <f t="shared" si="10"/>
        <v>33</v>
      </c>
      <c r="T34" s="975"/>
      <c r="U34" s="975"/>
      <c r="V34" s="975" t="e">
        <f>VLOOKUP(C34,'sản lượng'!$D$12:$AK$89,36,0)</f>
        <v>#N/A</v>
      </c>
      <c r="W34" s="976" t="e">
        <f t="shared" si="4"/>
        <v>#N/A</v>
      </c>
      <c r="X34" s="975"/>
      <c r="Y34" s="975"/>
      <c r="Z34" s="975" t="e">
        <f t="shared" si="5"/>
        <v>#N/A</v>
      </c>
      <c r="AA34" s="975" t="e">
        <f>VLOOKUP(C34,'CHẤM CÔNG '!$D$12:$AL$89,33,0)</f>
        <v>#N/A</v>
      </c>
      <c r="AB34" s="975" t="e">
        <f>VLOOKUP(C34,'CHẤM CÔNG '!$D$12:$AL$89,34,0)</f>
        <v>#N/A</v>
      </c>
      <c r="AC34" s="975"/>
      <c r="AD34" s="975"/>
      <c r="AE34" s="975"/>
      <c r="AF34" s="975"/>
      <c r="AG34" s="975"/>
      <c r="AH34" s="975"/>
      <c r="AI34" s="975"/>
      <c r="AJ34" s="975"/>
      <c r="AK34" s="981"/>
      <c r="AL34" s="982" t="e">
        <f>VLOOKUP(C34,'sản lượng'!$D$12:$AM$89,38,0)</f>
        <v>#N/A</v>
      </c>
    </row>
    <row r="35" spans="1:44" s="1103" customFormat="1" ht="15.75">
      <c r="A35" s="1111">
        <v>23</v>
      </c>
      <c r="B35" s="1112" t="s">
        <v>2621</v>
      </c>
      <c r="C35" s="1116" t="s">
        <v>664</v>
      </c>
      <c r="D35" s="1111" t="s">
        <v>15</v>
      </c>
      <c r="E35" s="960">
        <f t="shared" si="3"/>
        <v>32</v>
      </c>
      <c r="F35" s="1114"/>
      <c r="G35" s="1114"/>
      <c r="H35" s="1110"/>
      <c r="I35" s="1114"/>
      <c r="J35" s="1114"/>
      <c r="K35" s="1114"/>
      <c r="L35" s="1114"/>
      <c r="M35" s="1114"/>
      <c r="N35" s="1114"/>
      <c r="O35" s="1114"/>
      <c r="P35" s="1114"/>
      <c r="Q35" s="1114"/>
      <c r="R35" s="1114"/>
      <c r="S35" s="1120">
        <f t="shared" si="10"/>
        <v>32</v>
      </c>
      <c r="T35" s="1120"/>
      <c r="U35" s="1120"/>
      <c r="V35" s="1120" t="e">
        <f>VLOOKUP(C35,'sản lượng'!$D$12:$AK$89,36,0)</f>
        <v>#N/A</v>
      </c>
      <c r="W35" s="1121" t="e">
        <f t="shared" si="4"/>
        <v>#N/A</v>
      </c>
      <c r="X35" s="1120"/>
      <c r="Y35" s="1120"/>
      <c r="Z35" s="975" t="e">
        <f t="shared" si="5"/>
        <v>#N/A</v>
      </c>
      <c r="AA35" s="1120" t="e">
        <f>VLOOKUP(C35,'CHẤM CÔNG '!$D$12:$AL$89,33,0)</f>
        <v>#N/A</v>
      </c>
      <c r="AB35" s="1120" t="e">
        <f>VLOOKUP(C35,'CHẤM CÔNG '!$D$12:$AL$89,34,0)</f>
        <v>#N/A</v>
      </c>
      <c r="AC35" s="1120" t="e">
        <f>SUM(AA35:AB35,AF35)</f>
        <v>#N/A</v>
      </c>
      <c r="AD35" s="1120"/>
      <c r="AE35" s="1120"/>
      <c r="AF35" s="975"/>
      <c r="AG35" s="975"/>
      <c r="AH35" s="975"/>
      <c r="AI35" s="975"/>
      <c r="AJ35" s="975"/>
      <c r="AK35" s="981"/>
      <c r="AL35" s="1125" t="e">
        <f>VLOOKUP(C35,'sản lượng'!$D$12:$AM$89,38,0)</f>
        <v>#N/A</v>
      </c>
      <c r="AP35" s="1104"/>
      <c r="AQ35" s="1104"/>
      <c r="AR35" s="1104"/>
    </row>
    <row r="36" spans="1:44" ht="15.75">
      <c r="A36" s="957">
        <v>24</v>
      </c>
      <c r="B36" s="958" t="e">
        <f>VLOOKUP(C36,'DS CN MOI UP'!$B$10:$C$389,2,0)</f>
        <v>#N/A</v>
      </c>
      <c r="C36" s="964" t="s">
        <v>406</v>
      </c>
      <c r="D36" s="957" t="s">
        <v>15</v>
      </c>
      <c r="E36" s="960">
        <f t="shared" si="3"/>
        <v>32</v>
      </c>
      <c r="F36" s="960"/>
      <c r="G36" s="960"/>
      <c r="H36" s="1110"/>
      <c r="I36" s="960"/>
      <c r="J36" s="960">
        <v>3</v>
      </c>
      <c r="K36" s="960"/>
      <c r="L36" s="960"/>
      <c r="M36" s="960"/>
      <c r="N36" s="960"/>
      <c r="O36" s="960"/>
      <c r="P36" s="960"/>
      <c r="Q36" s="960"/>
      <c r="R36" s="960"/>
      <c r="S36" s="975">
        <f t="shared" si="10"/>
        <v>35</v>
      </c>
      <c r="T36" s="975"/>
      <c r="U36" s="975"/>
      <c r="V36" s="975" t="e">
        <f>VLOOKUP(C36,'sản lượng'!$D$12:$AK$89,36,0)</f>
        <v>#N/A</v>
      </c>
      <c r="W36" s="976" t="e">
        <f t="shared" si="4"/>
        <v>#N/A</v>
      </c>
      <c r="X36" s="975"/>
      <c r="Y36" s="975"/>
      <c r="Z36" s="975" t="e">
        <f t="shared" si="5"/>
        <v>#N/A</v>
      </c>
      <c r="AA36" s="975" t="e">
        <f>VLOOKUP(C36,'CHẤM CÔNG '!$D$12:$AL$89,33,0)</f>
        <v>#N/A</v>
      </c>
      <c r="AB36" s="975" t="e">
        <f>VLOOKUP(C36,'CHẤM CÔNG '!$D$12:$AL$89,34,0)</f>
        <v>#N/A</v>
      </c>
      <c r="AC36" s="975"/>
      <c r="AD36" s="975"/>
      <c r="AE36" s="975"/>
      <c r="AF36" s="975"/>
      <c r="AG36" s="975"/>
      <c r="AH36" s="975"/>
      <c r="AI36" s="975"/>
      <c r="AJ36" s="975"/>
      <c r="AK36" s="981"/>
      <c r="AL36" s="982" t="e">
        <f>VLOOKUP(C36,'sản lượng'!$D$12:$AM$89,38,0)</f>
        <v>#N/A</v>
      </c>
    </row>
    <row r="37" spans="1:44" ht="15.75">
      <c r="A37" s="957">
        <v>25</v>
      </c>
      <c r="B37" s="958" t="e">
        <f>VLOOKUP(C37,'DS CN MOI UP'!$B$10:$C$389,2,0)</f>
        <v>#N/A</v>
      </c>
      <c r="C37" s="964" t="s">
        <v>407</v>
      </c>
      <c r="D37" s="957" t="s">
        <v>15</v>
      </c>
      <c r="E37" s="960">
        <f t="shared" si="3"/>
        <v>32</v>
      </c>
      <c r="F37" s="960"/>
      <c r="G37" s="960"/>
      <c r="H37" s="1110"/>
      <c r="I37" s="960">
        <v>1</v>
      </c>
      <c r="J37" s="960"/>
      <c r="K37" s="960"/>
      <c r="L37" s="960"/>
      <c r="M37" s="960"/>
      <c r="N37" s="960"/>
      <c r="O37" s="960"/>
      <c r="P37" s="960"/>
      <c r="Q37" s="960"/>
      <c r="R37" s="960"/>
      <c r="S37" s="975">
        <f t="shared" si="10"/>
        <v>33</v>
      </c>
      <c r="T37" s="975"/>
      <c r="U37" s="975"/>
      <c r="V37" s="975" t="e">
        <f>VLOOKUP(C37,'sản lượng'!$D$12:$AK$89,36,0)</f>
        <v>#N/A</v>
      </c>
      <c r="W37" s="976" t="e">
        <f t="shared" si="4"/>
        <v>#N/A</v>
      </c>
      <c r="X37" s="975"/>
      <c r="Y37" s="975"/>
      <c r="Z37" s="975" t="e">
        <f t="shared" si="5"/>
        <v>#N/A</v>
      </c>
      <c r="AA37" s="975" t="e">
        <f>VLOOKUP(C37,'CHẤM CÔNG '!$D$12:$AL$89,33,0)</f>
        <v>#N/A</v>
      </c>
      <c r="AB37" s="975" t="e">
        <f>VLOOKUP(C37,'CHẤM CÔNG '!$D$12:$AL$89,34,0)</f>
        <v>#N/A</v>
      </c>
      <c r="AC37" s="975"/>
      <c r="AD37" s="975"/>
      <c r="AE37" s="975"/>
      <c r="AF37" s="975"/>
      <c r="AG37" s="975"/>
      <c r="AH37" s="975"/>
      <c r="AI37" s="975"/>
      <c r="AJ37" s="975"/>
      <c r="AK37" s="981"/>
      <c r="AL37" s="982" t="e">
        <f>VLOOKUP(C37,'sản lượng'!$D$12:$AM$89,38,0)</f>
        <v>#N/A</v>
      </c>
    </row>
    <row r="38" spans="1:44" ht="15.75">
      <c r="A38" s="957">
        <v>26</v>
      </c>
      <c r="B38" s="958" t="e">
        <f>VLOOKUP(C38,'DS CN MOI UP'!$B$10:$C$389,2,0)</f>
        <v>#N/A</v>
      </c>
      <c r="C38" s="964" t="s">
        <v>408</v>
      </c>
      <c r="D38" s="957" t="s">
        <v>15</v>
      </c>
      <c r="E38" s="960">
        <f t="shared" si="3"/>
        <v>32</v>
      </c>
      <c r="F38" s="960"/>
      <c r="G38" s="960"/>
      <c r="H38" s="1110"/>
      <c r="I38" s="960"/>
      <c r="J38" s="960">
        <v>3</v>
      </c>
      <c r="K38" s="960"/>
      <c r="L38" s="960"/>
      <c r="M38" s="960"/>
      <c r="N38" s="960"/>
      <c r="O38" s="960"/>
      <c r="P38" s="960"/>
      <c r="Q38" s="960"/>
      <c r="R38" s="960"/>
      <c r="S38" s="975">
        <f t="shared" si="10"/>
        <v>35</v>
      </c>
      <c r="T38" s="975"/>
      <c r="U38" s="975"/>
      <c r="V38" s="975" t="e">
        <f>VLOOKUP(C38,'sản lượng'!$D$12:$AK$89,36,0)</f>
        <v>#REF!</v>
      </c>
      <c r="W38" s="976" t="e">
        <f t="shared" si="4"/>
        <v>#REF!</v>
      </c>
      <c r="X38" s="975"/>
      <c r="Y38" s="975"/>
      <c r="Z38" s="975" t="e">
        <f t="shared" si="5"/>
        <v>#REF!</v>
      </c>
      <c r="AA38" s="975">
        <f>VLOOKUP(C38,'CHẤM CÔNG '!$D$12:$AL$89,33,0)</f>
        <v>0</v>
      </c>
      <c r="AB38" s="975">
        <f>VLOOKUP(C38,'CHẤM CÔNG '!$D$12:$AL$89,34,0)</f>
        <v>24</v>
      </c>
      <c r="AC38" s="975"/>
      <c r="AD38" s="975"/>
      <c r="AE38" s="975"/>
      <c r="AF38" s="975"/>
      <c r="AG38" s="975"/>
      <c r="AH38" s="975"/>
      <c r="AI38" s="975"/>
      <c r="AJ38" s="975"/>
      <c r="AK38" s="981"/>
      <c r="AL38" s="982" t="e">
        <f>VLOOKUP(C38,'sản lượng'!$D$12:$AM$89,38,0)</f>
        <v>#REF!</v>
      </c>
    </row>
    <row r="39" spans="1:44" ht="15.75">
      <c r="A39" s="957">
        <v>27</v>
      </c>
      <c r="B39" s="958" t="e">
        <f>VLOOKUP(C39,'DS CN MOI UP'!$B$10:$C$389,2,0)</f>
        <v>#N/A</v>
      </c>
      <c r="C39" s="964" t="s">
        <v>1939</v>
      </c>
      <c r="D39" s="957" t="s">
        <v>15</v>
      </c>
      <c r="E39" s="960">
        <f t="shared" si="3"/>
        <v>32</v>
      </c>
      <c r="F39" s="960"/>
      <c r="G39" s="960"/>
      <c r="H39" s="1110"/>
      <c r="I39" s="960"/>
      <c r="J39" s="960">
        <v>3</v>
      </c>
      <c r="K39" s="960"/>
      <c r="L39" s="960"/>
      <c r="M39" s="960"/>
      <c r="N39" s="960"/>
      <c r="O39" s="960"/>
      <c r="P39" s="960"/>
      <c r="Q39" s="960"/>
      <c r="R39" s="960"/>
      <c r="S39" s="975">
        <f t="shared" si="10"/>
        <v>35</v>
      </c>
      <c r="T39" s="975"/>
      <c r="U39" s="975"/>
      <c r="V39" s="975" t="e">
        <f>VLOOKUP(C39,'sản lượng'!$D$12:$AK$89,36,0)</f>
        <v>#N/A</v>
      </c>
      <c r="W39" s="976" t="e">
        <f t="shared" si="4"/>
        <v>#N/A</v>
      </c>
      <c r="X39" s="975"/>
      <c r="Y39" s="975"/>
      <c r="Z39" s="975" t="e">
        <f t="shared" si="5"/>
        <v>#N/A</v>
      </c>
      <c r="AA39" s="975" t="e">
        <f>VLOOKUP(C39,'CHẤM CÔNG '!$D$12:$AL$89,33,0)</f>
        <v>#N/A</v>
      </c>
      <c r="AB39" s="975" t="e">
        <f>VLOOKUP(C39,'CHẤM CÔNG '!$D$12:$AL$89,34,0)</f>
        <v>#N/A</v>
      </c>
      <c r="AC39" s="975"/>
      <c r="AD39" s="975"/>
      <c r="AE39" s="975"/>
      <c r="AF39" s="975"/>
      <c r="AG39" s="975"/>
      <c r="AH39" s="975"/>
      <c r="AI39" s="975"/>
      <c r="AJ39" s="975"/>
      <c r="AK39" s="981"/>
      <c r="AL39" s="982" t="e">
        <f>VLOOKUP(C39,'sản lượng'!$D$12:$AM$89,38,0)</f>
        <v>#N/A</v>
      </c>
    </row>
    <row r="40" spans="1:44" ht="15.75">
      <c r="A40" s="957">
        <v>28</v>
      </c>
      <c r="B40" s="958" t="e">
        <f>VLOOKUP(C40,'DS CN MOI UP'!$B$10:$C$389,2,0)</f>
        <v>#N/A</v>
      </c>
      <c r="C40" s="964" t="s">
        <v>424</v>
      </c>
      <c r="D40" s="957" t="s">
        <v>15</v>
      </c>
      <c r="E40" s="960">
        <f t="shared" si="3"/>
        <v>32</v>
      </c>
      <c r="F40" s="960"/>
      <c r="G40" s="960"/>
      <c r="H40" s="1110"/>
      <c r="I40" s="960">
        <v>1</v>
      </c>
      <c r="J40" s="960"/>
      <c r="K40" s="960"/>
      <c r="L40" s="960"/>
      <c r="M40" s="960"/>
      <c r="N40" s="960"/>
      <c r="O40" s="960"/>
      <c r="P40" s="960"/>
      <c r="Q40" s="960"/>
      <c r="R40" s="960"/>
      <c r="S40" s="975">
        <f t="shared" si="10"/>
        <v>33</v>
      </c>
      <c r="T40" s="975"/>
      <c r="U40" s="975"/>
      <c r="V40" s="975" t="e">
        <f>VLOOKUP(C40,'sản lượng'!$D$12:$AK$89,36,0)</f>
        <v>#N/A</v>
      </c>
      <c r="W40" s="976" t="e">
        <f t="shared" si="4"/>
        <v>#N/A</v>
      </c>
      <c r="X40" s="975"/>
      <c r="Y40" s="975"/>
      <c r="Z40" s="975" t="e">
        <f t="shared" si="5"/>
        <v>#N/A</v>
      </c>
      <c r="AA40" s="975" t="e">
        <f>VLOOKUP(C40,'CHẤM CÔNG '!$D$12:$AL$89,33,0)</f>
        <v>#N/A</v>
      </c>
      <c r="AB40" s="975" t="e">
        <f>VLOOKUP(C40,'CHẤM CÔNG '!$D$12:$AL$89,34,0)</f>
        <v>#N/A</v>
      </c>
      <c r="AC40" s="975"/>
      <c r="AD40" s="975"/>
      <c r="AE40" s="975"/>
      <c r="AF40" s="975"/>
      <c r="AG40" s="975"/>
      <c r="AH40" s="975"/>
      <c r="AI40" s="975"/>
      <c r="AJ40" s="975"/>
      <c r="AK40" s="981"/>
      <c r="AL40" s="982" t="e">
        <f>VLOOKUP(C40,'sản lượng'!$D$12:$AM$89,38,0)</f>
        <v>#N/A</v>
      </c>
      <c r="AM40" s="985"/>
    </row>
    <row r="41" spans="1:44" ht="15.75">
      <c r="A41" s="957">
        <v>29</v>
      </c>
      <c r="B41" s="958" t="e">
        <f>VLOOKUP(C41,'DS CN MOI UP'!$B$10:$C$389,2,0)</f>
        <v>#N/A</v>
      </c>
      <c r="C41" s="964" t="s">
        <v>411</v>
      </c>
      <c r="D41" s="957" t="s">
        <v>15</v>
      </c>
      <c r="E41" s="960">
        <f t="shared" si="3"/>
        <v>32</v>
      </c>
      <c r="F41" s="960"/>
      <c r="G41" s="960"/>
      <c r="H41" s="1110"/>
      <c r="I41" s="960"/>
      <c r="J41" s="960">
        <v>3</v>
      </c>
      <c r="K41" s="960"/>
      <c r="L41" s="960"/>
      <c r="M41" s="960"/>
      <c r="N41" s="960"/>
      <c r="O41" s="960"/>
      <c r="P41" s="960"/>
      <c r="Q41" s="960"/>
      <c r="R41" s="960"/>
      <c r="S41" s="975">
        <f t="shared" si="10"/>
        <v>35</v>
      </c>
      <c r="T41" s="975"/>
      <c r="U41" s="975"/>
      <c r="V41" s="975" t="e">
        <f>VLOOKUP(C41,'sản lượng'!$D$12:$AK$89,36,0)</f>
        <v>#N/A</v>
      </c>
      <c r="W41" s="976" t="e">
        <f t="shared" si="4"/>
        <v>#N/A</v>
      </c>
      <c r="X41" s="975"/>
      <c r="Y41" s="975"/>
      <c r="Z41" s="975" t="e">
        <f t="shared" si="5"/>
        <v>#N/A</v>
      </c>
      <c r="AA41" s="975" t="e">
        <f>VLOOKUP(C41,'CHẤM CÔNG '!$D$12:$AL$89,33,0)</f>
        <v>#N/A</v>
      </c>
      <c r="AB41" s="975" t="e">
        <f>VLOOKUP(C41,'CHẤM CÔNG '!$D$12:$AL$89,34,0)</f>
        <v>#N/A</v>
      </c>
      <c r="AC41" s="975"/>
      <c r="AD41" s="975"/>
      <c r="AE41" s="975"/>
      <c r="AF41" s="975"/>
      <c r="AG41" s="975"/>
      <c r="AH41" s="975"/>
      <c r="AI41" s="975"/>
      <c r="AJ41" s="975"/>
      <c r="AK41" s="981"/>
      <c r="AL41" s="982" t="e">
        <f>VLOOKUP(C41,'sản lượng'!$D$12:$AM$89,38,0)</f>
        <v>#N/A</v>
      </c>
    </row>
    <row r="42" spans="1:44" ht="15.75">
      <c r="A42" s="957">
        <v>30</v>
      </c>
      <c r="B42" s="958" t="e">
        <f>VLOOKUP(C42,'DS CN MOI UP'!$B$10:$C$389,2,0)</f>
        <v>#N/A</v>
      </c>
      <c r="C42" s="964" t="s">
        <v>412</v>
      </c>
      <c r="D42" s="957" t="s">
        <v>15</v>
      </c>
      <c r="E42" s="960">
        <f t="shared" si="3"/>
        <v>32</v>
      </c>
      <c r="F42" s="960"/>
      <c r="G42" s="960"/>
      <c r="H42" s="1110"/>
      <c r="I42" s="960">
        <v>1</v>
      </c>
      <c r="J42" s="960"/>
      <c r="K42" s="960"/>
      <c r="L42" s="960"/>
      <c r="M42" s="960"/>
      <c r="N42" s="960"/>
      <c r="O42" s="960"/>
      <c r="P42" s="960"/>
      <c r="Q42" s="960"/>
      <c r="R42" s="960"/>
      <c r="S42" s="975">
        <f t="shared" si="10"/>
        <v>33</v>
      </c>
      <c r="T42" s="975"/>
      <c r="U42" s="975"/>
      <c r="V42" s="975" t="e">
        <f>VLOOKUP(C42,'sản lượng'!$D$12:$AK$89,36,0)</f>
        <v>#N/A</v>
      </c>
      <c r="W42" s="976" t="e">
        <f t="shared" si="4"/>
        <v>#N/A</v>
      </c>
      <c r="X42" s="975"/>
      <c r="Y42" s="975"/>
      <c r="Z42" s="975" t="e">
        <f t="shared" si="5"/>
        <v>#N/A</v>
      </c>
      <c r="AA42" s="975" t="e">
        <f>VLOOKUP(C42,'CHẤM CÔNG '!$D$12:$AL$89,33,0)</f>
        <v>#N/A</v>
      </c>
      <c r="AB42" s="975" t="e">
        <f>VLOOKUP(C42,'CHẤM CÔNG '!$D$12:$AL$89,34,0)</f>
        <v>#N/A</v>
      </c>
      <c r="AC42" s="975"/>
      <c r="AD42" s="975"/>
      <c r="AE42" s="975"/>
      <c r="AF42" s="975"/>
      <c r="AG42" s="975"/>
      <c r="AH42" s="975"/>
      <c r="AI42" s="975"/>
      <c r="AJ42" s="975"/>
      <c r="AK42" s="981"/>
      <c r="AL42" s="982" t="e">
        <f>VLOOKUP(C42,'sản lượng'!$D$12:$AM$89,38,0)</f>
        <v>#N/A</v>
      </c>
    </row>
    <row r="43" spans="1:44" ht="15.75">
      <c r="A43" s="957">
        <v>31</v>
      </c>
      <c r="B43" s="958" t="e">
        <f>VLOOKUP(C43,'DS CN MOI UP'!$B$10:$C$389,2,0)</f>
        <v>#N/A</v>
      </c>
      <c r="C43" s="964" t="s">
        <v>413</v>
      </c>
      <c r="D43" s="957" t="s">
        <v>15</v>
      </c>
      <c r="E43" s="960">
        <f t="shared" si="3"/>
        <v>32</v>
      </c>
      <c r="F43" s="960"/>
      <c r="G43" s="960"/>
      <c r="H43" s="1110"/>
      <c r="I43" s="960"/>
      <c r="J43" s="960">
        <v>3</v>
      </c>
      <c r="K43" s="960"/>
      <c r="L43" s="960"/>
      <c r="M43" s="960"/>
      <c r="N43" s="960"/>
      <c r="O43" s="960"/>
      <c r="P43" s="960"/>
      <c r="Q43" s="960"/>
      <c r="R43" s="960"/>
      <c r="S43" s="975">
        <f t="shared" ref="S43:S54" si="11">SUM(E43:N43)</f>
        <v>35</v>
      </c>
      <c r="T43" s="975"/>
      <c r="U43" s="975"/>
      <c r="V43" s="975" t="e">
        <f>VLOOKUP(C43,'sản lượng'!$D$12:$AK$89,36,0)</f>
        <v>#N/A</v>
      </c>
      <c r="W43" s="976" t="e">
        <f t="shared" si="4"/>
        <v>#N/A</v>
      </c>
      <c r="X43" s="975"/>
      <c r="Y43" s="975"/>
      <c r="Z43" s="975" t="e">
        <f t="shared" si="5"/>
        <v>#N/A</v>
      </c>
      <c r="AA43" s="975" t="e">
        <f>VLOOKUP(C43,'CHẤM CÔNG '!$D$12:$AL$89,33,0)</f>
        <v>#N/A</v>
      </c>
      <c r="AB43" s="975" t="e">
        <f>VLOOKUP(C43,'CHẤM CÔNG '!$D$12:$AL$89,34,0)</f>
        <v>#N/A</v>
      </c>
      <c r="AC43" s="975"/>
      <c r="AD43" s="975"/>
      <c r="AE43" s="975"/>
      <c r="AF43" s="975"/>
      <c r="AG43" s="975"/>
      <c r="AH43" s="975"/>
      <c r="AI43" s="975"/>
      <c r="AJ43" s="975"/>
      <c r="AK43" s="981"/>
      <c r="AL43" s="982" t="e">
        <f>VLOOKUP(C43,'sản lượng'!$D$12:$AM$89,38,0)</f>
        <v>#N/A</v>
      </c>
    </row>
    <row r="44" spans="1:44" s="1103" customFormat="1" ht="15.75">
      <c r="A44" s="1111">
        <v>32</v>
      </c>
      <c r="B44" s="1112" t="e">
        <f>VLOOKUP(C44,'DS CN MOI UP'!$B$10:$C$389,2,0)</f>
        <v>#N/A</v>
      </c>
      <c r="C44" s="1116" t="s">
        <v>414</v>
      </c>
      <c r="D44" s="1111" t="s">
        <v>15</v>
      </c>
      <c r="E44" s="960">
        <f t="shared" si="3"/>
        <v>32</v>
      </c>
      <c r="F44" s="1114"/>
      <c r="G44" s="1114"/>
      <c r="H44" s="1110"/>
      <c r="I44" s="1114">
        <v>1</v>
      </c>
      <c r="J44" s="1114"/>
      <c r="K44" s="1114"/>
      <c r="L44" s="1114"/>
      <c r="M44" s="1114"/>
      <c r="N44" s="1114"/>
      <c r="O44" s="1114"/>
      <c r="P44" s="1114"/>
      <c r="Q44" s="1114"/>
      <c r="R44" s="1114"/>
      <c r="S44" s="1120">
        <f t="shared" si="11"/>
        <v>33</v>
      </c>
      <c r="T44" s="1120"/>
      <c r="U44" s="1120"/>
      <c r="V44" s="1120" t="e">
        <f>VLOOKUP(C44,'sản lượng'!$D$12:$AK$89,36,0)</f>
        <v>#N/A</v>
      </c>
      <c r="W44" s="1121" t="e">
        <f t="shared" si="4"/>
        <v>#N/A</v>
      </c>
      <c r="X44" s="1120"/>
      <c r="Y44" s="1120"/>
      <c r="Z44" s="975" t="e">
        <f t="shared" si="5"/>
        <v>#N/A</v>
      </c>
      <c r="AA44" s="1120" t="e">
        <f>VLOOKUP(C44,'CHẤM CÔNG '!$D$12:$AL$89,33,0)</f>
        <v>#N/A</v>
      </c>
      <c r="AB44" s="1120" t="e">
        <f>VLOOKUP(C44,'CHẤM CÔNG '!$D$12:$AL$89,34,0)</f>
        <v>#N/A</v>
      </c>
      <c r="AC44" s="1120" t="e">
        <f>SUM(AA44:AB44,AF44)</f>
        <v>#N/A</v>
      </c>
      <c r="AD44" s="1120"/>
      <c r="AE44" s="1120"/>
      <c r="AF44" s="975"/>
      <c r="AG44" s="975"/>
      <c r="AH44" s="975"/>
      <c r="AI44" s="975"/>
      <c r="AJ44" s="975"/>
      <c r="AK44" s="981"/>
      <c r="AL44" s="1125" t="e">
        <f>VLOOKUP(C44,'sản lượng'!$D$12:$AM$89,38,0)</f>
        <v>#N/A</v>
      </c>
      <c r="AP44" s="1104"/>
      <c r="AQ44" s="1104"/>
      <c r="AR44" s="1104"/>
    </row>
    <row r="45" spans="1:44" ht="15.75">
      <c r="A45" s="957">
        <v>33</v>
      </c>
      <c r="B45" s="958" t="e">
        <f>VLOOKUP(C45,'DS CN MOI UP'!$B$10:$C$389,2,0)</f>
        <v>#N/A</v>
      </c>
      <c r="C45" s="964" t="s">
        <v>415</v>
      </c>
      <c r="D45" s="957" t="s">
        <v>15</v>
      </c>
      <c r="E45" s="960">
        <f t="shared" si="3"/>
        <v>32</v>
      </c>
      <c r="F45" s="960"/>
      <c r="G45" s="960"/>
      <c r="H45" s="1110"/>
      <c r="I45" s="960">
        <v>1</v>
      </c>
      <c r="J45" s="960"/>
      <c r="K45" s="960"/>
      <c r="L45" s="960"/>
      <c r="M45" s="960"/>
      <c r="N45" s="960"/>
      <c r="O45" s="960"/>
      <c r="P45" s="960"/>
      <c r="Q45" s="960"/>
      <c r="R45" s="960"/>
      <c r="S45" s="975">
        <f t="shared" si="11"/>
        <v>33</v>
      </c>
      <c r="T45" s="975"/>
      <c r="U45" s="975"/>
      <c r="V45" s="975" t="e">
        <f>VLOOKUP(C45,'sản lượng'!$D$12:$AK$89,36,0)</f>
        <v>#N/A</v>
      </c>
      <c r="W45" s="976" t="e">
        <f t="shared" si="4"/>
        <v>#N/A</v>
      </c>
      <c r="X45" s="975"/>
      <c r="Y45" s="975"/>
      <c r="Z45" s="975" t="e">
        <f t="shared" si="5"/>
        <v>#N/A</v>
      </c>
      <c r="AA45" s="975" t="e">
        <f>VLOOKUP(C45,'CHẤM CÔNG '!$D$12:$AL$89,33,0)</f>
        <v>#N/A</v>
      </c>
      <c r="AB45" s="975" t="e">
        <f>VLOOKUP(C45,'CHẤM CÔNG '!$D$12:$AL$89,34,0)</f>
        <v>#N/A</v>
      </c>
      <c r="AC45" s="975"/>
      <c r="AD45" s="975"/>
      <c r="AE45" s="975"/>
      <c r="AF45" s="975"/>
      <c r="AG45" s="975"/>
      <c r="AH45" s="975"/>
      <c r="AI45" s="975"/>
      <c r="AJ45" s="975"/>
      <c r="AK45" s="981"/>
      <c r="AL45" s="982" t="e">
        <f>VLOOKUP(C45,'sản lượng'!$D$12:$AM$89,38,0)</f>
        <v>#N/A</v>
      </c>
    </row>
    <row r="46" spans="1:44" ht="15.75">
      <c r="A46" s="957">
        <v>34</v>
      </c>
      <c r="B46" s="958" t="e">
        <f>VLOOKUP(C46,'DS CN MOI UP'!$B$10:$C$389,2,0)</f>
        <v>#N/A</v>
      </c>
      <c r="C46" s="964" t="s">
        <v>1940</v>
      </c>
      <c r="D46" s="957" t="s">
        <v>15</v>
      </c>
      <c r="E46" s="960">
        <f t="shared" si="3"/>
        <v>32</v>
      </c>
      <c r="F46" s="960"/>
      <c r="G46" s="960"/>
      <c r="H46" s="1110"/>
      <c r="I46" s="960"/>
      <c r="J46" s="960"/>
      <c r="K46" s="960"/>
      <c r="L46" s="960"/>
      <c r="M46" s="960"/>
      <c r="N46" s="960"/>
      <c r="O46" s="960"/>
      <c r="P46" s="960"/>
      <c r="Q46" s="960"/>
      <c r="R46" s="960"/>
      <c r="S46" s="975">
        <f t="shared" si="11"/>
        <v>32</v>
      </c>
      <c r="T46" s="975"/>
      <c r="U46" s="975"/>
      <c r="V46" s="975" t="e">
        <f>VLOOKUP(C46,'sản lượng'!$D$12:$AK$89,36,0)</f>
        <v>#N/A</v>
      </c>
      <c r="W46" s="976" t="e">
        <f t="shared" si="4"/>
        <v>#N/A</v>
      </c>
      <c r="X46" s="975"/>
      <c r="Y46" s="975"/>
      <c r="Z46" s="975" t="e">
        <f t="shared" si="5"/>
        <v>#N/A</v>
      </c>
      <c r="AA46" s="975" t="e">
        <f>VLOOKUP(C46,'CHẤM CÔNG '!$D$12:$AL$89,33,0)</f>
        <v>#N/A</v>
      </c>
      <c r="AB46" s="975" t="e">
        <f>VLOOKUP(C46,'CHẤM CÔNG '!$D$12:$AL$89,34,0)</f>
        <v>#N/A</v>
      </c>
      <c r="AC46" s="975"/>
      <c r="AD46" s="975"/>
      <c r="AE46" s="975"/>
      <c r="AF46" s="975"/>
      <c r="AG46" s="975"/>
      <c r="AH46" s="975"/>
      <c r="AI46" s="975"/>
      <c r="AJ46" s="975"/>
      <c r="AK46" s="981"/>
      <c r="AL46" s="982" t="e">
        <f>VLOOKUP(C46,'sản lượng'!$D$12:$AM$89,38,0)</f>
        <v>#N/A</v>
      </c>
    </row>
    <row r="47" spans="1:44" ht="15.75">
      <c r="A47" s="957">
        <v>35</v>
      </c>
      <c r="B47" s="958" t="e">
        <f>VLOOKUP(C47,'DS CN MOI UP'!$B$10:$C$389,2,0)</f>
        <v>#N/A</v>
      </c>
      <c r="C47" s="964" t="s">
        <v>417</v>
      </c>
      <c r="D47" s="957" t="s">
        <v>15</v>
      </c>
      <c r="E47" s="960">
        <f t="shared" si="3"/>
        <v>32</v>
      </c>
      <c r="F47" s="960"/>
      <c r="G47" s="960"/>
      <c r="H47" s="1110"/>
      <c r="I47" s="960"/>
      <c r="J47" s="960"/>
      <c r="K47" s="960"/>
      <c r="L47" s="960"/>
      <c r="M47" s="960"/>
      <c r="N47" s="960"/>
      <c r="O47" s="960"/>
      <c r="P47" s="960"/>
      <c r="Q47" s="960"/>
      <c r="R47" s="960"/>
      <c r="S47" s="975">
        <f t="shared" si="11"/>
        <v>32</v>
      </c>
      <c r="T47" s="975"/>
      <c r="U47" s="975"/>
      <c r="V47" s="975" t="e">
        <f>VLOOKUP(C47,'sản lượng'!$D$12:$AK$89,36,0)</f>
        <v>#N/A</v>
      </c>
      <c r="W47" s="976" t="e">
        <f t="shared" si="4"/>
        <v>#N/A</v>
      </c>
      <c r="X47" s="975"/>
      <c r="Y47" s="975"/>
      <c r="Z47" s="975" t="e">
        <f t="shared" si="5"/>
        <v>#N/A</v>
      </c>
      <c r="AA47" s="975" t="e">
        <f>VLOOKUP(C47,'CHẤM CÔNG '!$D$12:$AL$89,33,0)</f>
        <v>#N/A</v>
      </c>
      <c r="AB47" s="975" t="e">
        <f>VLOOKUP(C47,'CHẤM CÔNG '!$D$12:$AL$89,34,0)</f>
        <v>#N/A</v>
      </c>
      <c r="AC47" s="975"/>
      <c r="AD47" s="975"/>
      <c r="AE47" s="975"/>
      <c r="AF47" s="975"/>
      <c r="AG47" s="975"/>
      <c r="AH47" s="975"/>
      <c r="AI47" s="975"/>
      <c r="AJ47" s="975"/>
      <c r="AK47" s="981"/>
      <c r="AL47" s="982" t="e">
        <f>VLOOKUP(C47,'sản lượng'!$D$12:$AM$89,38,0)</f>
        <v>#N/A</v>
      </c>
    </row>
    <row r="48" spans="1:44" ht="15.75">
      <c r="A48" s="957">
        <v>36</v>
      </c>
      <c r="B48" s="958" t="e">
        <f>VLOOKUP(C48,'DS CN MOI UP'!$B$10:$C$389,2,0)</f>
        <v>#N/A</v>
      </c>
      <c r="C48" s="964" t="s">
        <v>418</v>
      </c>
      <c r="D48" s="957" t="s">
        <v>15</v>
      </c>
      <c r="E48" s="960">
        <f t="shared" si="3"/>
        <v>32</v>
      </c>
      <c r="F48" s="960"/>
      <c r="G48" s="960"/>
      <c r="H48" s="1110"/>
      <c r="I48" s="960"/>
      <c r="J48" s="960"/>
      <c r="K48" s="960"/>
      <c r="L48" s="960"/>
      <c r="M48" s="960"/>
      <c r="N48" s="960"/>
      <c r="O48" s="960"/>
      <c r="P48" s="960"/>
      <c r="Q48" s="960"/>
      <c r="R48" s="960"/>
      <c r="S48" s="975">
        <f t="shared" si="11"/>
        <v>32</v>
      </c>
      <c r="T48" s="975"/>
      <c r="U48" s="975"/>
      <c r="V48" s="975" t="e">
        <f>VLOOKUP(C48,'sản lượng'!$D$12:$AK$89,36,0)</f>
        <v>#N/A</v>
      </c>
      <c r="W48" s="976" t="e">
        <f t="shared" si="4"/>
        <v>#N/A</v>
      </c>
      <c r="X48" s="975"/>
      <c r="Y48" s="975"/>
      <c r="Z48" s="975" t="e">
        <f t="shared" si="5"/>
        <v>#N/A</v>
      </c>
      <c r="AA48" s="975" t="e">
        <f>VLOOKUP(C48,'CHẤM CÔNG '!$D$12:$AL$89,33,0)</f>
        <v>#N/A</v>
      </c>
      <c r="AB48" s="975" t="e">
        <f>VLOOKUP(C48,'CHẤM CÔNG '!$D$12:$AL$89,34,0)</f>
        <v>#N/A</v>
      </c>
      <c r="AC48" s="975"/>
      <c r="AD48" s="975"/>
      <c r="AE48" s="975"/>
      <c r="AF48" s="975"/>
      <c r="AG48" s="975"/>
      <c r="AH48" s="975"/>
      <c r="AI48" s="975"/>
      <c r="AJ48" s="975"/>
      <c r="AK48" s="981"/>
      <c r="AL48" s="982" t="e">
        <f>VLOOKUP(C48,'sản lượng'!$D$12:$AM$89,38,0)</f>
        <v>#N/A</v>
      </c>
    </row>
    <row r="49" spans="1:44" ht="15.75">
      <c r="A49" s="957">
        <v>37</v>
      </c>
      <c r="B49" s="958" t="e">
        <f>VLOOKUP(C49,'DS CN MOI UP'!$B$10:$C$389,2,0)</f>
        <v>#N/A</v>
      </c>
      <c r="C49" s="964" t="s">
        <v>419</v>
      </c>
      <c r="D49" s="957" t="s">
        <v>15</v>
      </c>
      <c r="E49" s="960">
        <f t="shared" si="3"/>
        <v>32</v>
      </c>
      <c r="F49" s="960"/>
      <c r="G49" s="960"/>
      <c r="H49" s="1110"/>
      <c r="I49" s="960"/>
      <c r="J49" s="960">
        <v>3</v>
      </c>
      <c r="K49" s="960"/>
      <c r="L49" s="960"/>
      <c r="M49" s="960"/>
      <c r="N49" s="960"/>
      <c r="O49" s="960"/>
      <c r="P49" s="960"/>
      <c r="Q49" s="960"/>
      <c r="R49" s="960"/>
      <c r="S49" s="975">
        <f t="shared" si="11"/>
        <v>35</v>
      </c>
      <c r="T49" s="975"/>
      <c r="U49" s="975"/>
      <c r="V49" s="975" t="e">
        <f>VLOOKUP(C49,'sản lượng'!$D$12:$AK$89,36,0)</f>
        <v>#N/A</v>
      </c>
      <c r="W49" s="976" t="e">
        <f t="shared" si="4"/>
        <v>#N/A</v>
      </c>
      <c r="X49" s="975"/>
      <c r="Y49" s="975"/>
      <c r="Z49" s="975" t="e">
        <f t="shared" si="5"/>
        <v>#N/A</v>
      </c>
      <c r="AA49" s="975" t="e">
        <f>VLOOKUP(C49,'CHẤM CÔNG '!$D$12:$AL$89,33,0)</f>
        <v>#N/A</v>
      </c>
      <c r="AB49" s="975" t="e">
        <f>VLOOKUP(C49,'CHẤM CÔNG '!$D$12:$AL$89,34,0)</f>
        <v>#N/A</v>
      </c>
      <c r="AC49" s="975"/>
      <c r="AD49" s="975"/>
      <c r="AE49" s="975"/>
      <c r="AF49" s="975"/>
      <c r="AG49" s="975"/>
      <c r="AH49" s="975"/>
      <c r="AI49" s="975"/>
      <c r="AJ49" s="975"/>
      <c r="AK49" s="981"/>
      <c r="AL49" s="982" t="e">
        <f>VLOOKUP(C49,'sản lượng'!$D$12:$AM$89,38,0)</f>
        <v>#N/A</v>
      </c>
    </row>
    <row r="50" spans="1:44" ht="15.75">
      <c r="A50" s="957">
        <v>38</v>
      </c>
      <c r="B50" s="958" t="e">
        <f>VLOOKUP(C50,'DS CN MOI UP'!$B$10:$C$389,2,0)</f>
        <v>#N/A</v>
      </c>
      <c r="C50" s="964" t="s">
        <v>420</v>
      </c>
      <c r="D50" s="957" t="s">
        <v>15</v>
      </c>
      <c r="E50" s="960">
        <f t="shared" si="3"/>
        <v>32</v>
      </c>
      <c r="F50" s="960"/>
      <c r="G50" s="960"/>
      <c r="H50" s="1110"/>
      <c r="I50" s="960"/>
      <c r="J50" s="960"/>
      <c r="K50" s="960"/>
      <c r="L50" s="960"/>
      <c r="M50" s="960"/>
      <c r="N50" s="960"/>
      <c r="O50" s="960"/>
      <c r="P50" s="960"/>
      <c r="Q50" s="960"/>
      <c r="R50" s="960"/>
      <c r="S50" s="975">
        <f t="shared" si="11"/>
        <v>32</v>
      </c>
      <c r="T50" s="975"/>
      <c r="U50" s="975"/>
      <c r="V50" s="975" t="e">
        <f>VLOOKUP(C50,'sản lượng'!$D$12:$AK$89,36,0)</f>
        <v>#N/A</v>
      </c>
      <c r="W50" s="976" t="e">
        <f t="shared" si="4"/>
        <v>#N/A</v>
      </c>
      <c r="X50" s="975"/>
      <c r="Y50" s="975"/>
      <c r="Z50" s="975" t="e">
        <f t="shared" si="5"/>
        <v>#N/A</v>
      </c>
      <c r="AA50" s="975" t="e">
        <f>VLOOKUP(C50,'CHẤM CÔNG '!$D$12:$AL$89,33,0)</f>
        <v>#N/A</v>
      </c>
      <c r="AB50" s="975" t="e">
        <f>VLOOKUP(C50,'CHẤM CÔNG '!$D$12:$AL$89,34,0)</f>
        <v>#N/A</v>
      </c>
      <c r="AC50" s="975"/>
      <c r="AD50" s="975"/>
      <c r="AE50" s="975"/>
      <c r="AF50" s="975"/>
      <c r="AG50" s="975"/>
      <c r="AH50" s="975"/>
      <c r="AI50" s="975"/>
      <c r="AJ50" s="975"/>
      <c r="AK50" s="981"/>
      <c r="AL50" s="982" t="e">
        <f>VLOOKUP(C50,'sản lượng'!$D$12:$AM$89,38,0)</f>
        <v>#N/A</v>
      </c>
    </row>
    <row r="51" spans="1:44" s="1103" customFormat="1" ht="15.75">
      <c r="A51" s="1111">
        <v>39</v>
      </c>
      <c r="B51" s="1112" t="e">
        <f>VLOOKUP(C51,'DS CN MOI UP'!$B$10:$C$389,2,0)</f>
        <v>#N/A</v>
      </c>
      <c r="C51" s="1116" t="s">
        <v>421</v>
      </c>
      <c r="D51" s="1111" t="s">
        <v>15</v>
      </c>
      <c r="E51" s="960">
        <f t="shared" si="3"/>
        <v>32</v>
      </c>
      <c r="F51" s="1114"/>
      <c r="G51" s="1114"/>
      <c r="H51" s="1110"/>
      <c r="I51" s="1114"/>
      <c r="J51" s="1114"/>
      <c r="K51" s="1114"/>
      <c r="L51" s="1114"/>
      <c r="M51" s="1114"/>
      <c r="N51" s="1114"/>
      <c r="O51" s="1114"/>
      <c r="P51" s="1114"/>
      <c r="Q51" s="1114"/>
      <c r="R51" s="1114"/>
      <c r="S51" s="1120">
        <f t="shared" si="11"/>
        <v>32</v>
      </c>
      <c r="T51" s="1120"/>
      <c r="U51" s="1120"/>
      <c r="V51" s="1120" t="e">
        <f>VLOOKUP(C51,'sản lượng'!$D$12:$AK$89,36,0)</f>
        <v>#N/A</v>
      </c>
      <c r="W51" s="1121" t="e">
        <f t="shared" si="4"/>
        <v>#N/A</v>
      </c>
      <c r="X51" s="1120"/>
      <c r="Y51" s="1120"/>
      <c r="Z51" s="975" t="e">
        <f t="shared" si="5"/>
        <v>#N/A</v>
      </c>
      <c r="AA51" s="1120" t="e">
        <f>VLOOKUP(C51,'CHẤM CÔNG '!$D$12:$AL$89,33,0)</f>
        <v>#N/A</v>
      </c>
      <c r="AB51" s="1120" t="e">
        <f>VLOOKUP(C51,'CHẤM CÔNG '!$D$12:$AL$89,34,0)</f>
        <v>#N/A</v>
      </c>
      <c r="AC51" s="1120" t="e">
        <f>SUM(AA51:AB51,AF51)</f>
        <v>#N/A</v>
      </c>
      <c r="AD51" s="1120"/>
      <c r="AE51" s="1120"/>
      <c r="AF51" s="975"/>
      <c r="AG51" s="975"/>
      <c r="AH51" s="975"/>
      <c r="AI51" s="975"/>
      <c r="AJ51" s="975"/>
      <c r="AK51" s="981"/>
      <c r="AL51" s="1125" t="e">
        <f>VLOOKUP(C51,'sản lượng'!$D$12:$AM$89,38,0)</f>
        <v>#N/A</v>
      </c>
      <c r="AP51" s="1104"/>
      <c r="AQ51" s="1104"/>
      <c r="AR51" s="1104"/>
    </row>
    <row r="52" spans="1:44" ht="15.75">
      <c r="A52" s="957">
        <v>40</v>
      </c>
      <c r="B52" s="958" t="e">
        <f>VLOOKUP(C52,'DS CN MOI UP'!$B$10:$C$389,2,0)</f>
        <v>#N/A</v>
      </c>
      <c r="C52" s="964" t="s">
        <v>422</v>
      </c>
      <c r="D52" s="957" t="s">
        <v>15</v>
      </c>
      <c r="E52" s="960">
        <f t="shared" si="3"/>
        <v>32</v>
      </c>
      <c r="F52" s="960"/>
      <c r="G52" s="960"/>
      <c r="H52" s="1110"/>
      <c r="I52" s="960"/>
      <c r="J52" s="960"/>
      <c r="K52" s="960"/>
      <c r="L52" s="960"/>
      <c r="M52" s="960"/>
      <c r="N52" s="960"/>
      <c r="O52" s="960"/>
      <c r="P52" s="960"/>
      <c r="Q52" s="960"/>
      <c r="R52" s="960"/>
      <c r="S52" s="975">
        <f t="shared" si="11"/>
        <v>32</v>
      </c>
      <c r="T52" s="975"/>
      <c r="U52" s="975"/>
      <c r="V52" s="975" t="e">
        <f>VLOOKUP(C52,'sản lượng'!$D$12:$AK$89,36,0)</f>
        <v>#N/A</v>
      </c>
      <c r="W52" s="976" t="e">
        <f t="shared" si="4"/>
        <v>#N/A</v>
      </c>
      <c r="X52" s="975"/>
      <c r="Y52" s="975"/>
      <c r="Z52" s="975" t="e">
        <f t="shared" si="5"/>
        <v>#N/A</v>
      </c>
      <c r="AA52" s="975" t="e">
        <f>VLOOKUP(C52,'CHẤM CÔNG '!$D$12:$AL$89,33,0)</f>
        <v>#N/A</v>
      </c>
      <c r="AB52" s="975" t="e">
        <f>VLOOKUP(C52,'CHẤM CÔNG '!$D$12:$AL$89,34,0)</f>
        <v>#N/A</v>
      </c>
      <c r="AC52" s="975"/>
      <c r="AD52" s="975"/>
      <c r="AE52" s="975"/>
      <c r="AF52" s="975"/>
      <c r="AG52" s="975"/>
      <c r="AH52" s="975"/>
      <c r="AI52" s="975"/>
      <c r="AJ52" s="975"/>
      <c r="AK52" s="981"/>
      <c r="AL52" s="982" t="e">
        <f>VLOOKUP(C52,'sản lượng'!$D$12:$AM$89,38,0)</f>
        <v>#N/A</v>
      </c>
    </row>
    <row r="53" spans="1:44" ht="15.75">
      <c r="A53" s="957">
        <v>41</v>
      </c>
      <c r="B53" s="958" t="e">
        <f>VLOOKUP(C53,'DS CN MOI UP'!$B$10:$C$389,2,0)</f>
        <v>#N/A</v>
      </c>
      <c r="C53" s="964" t="s">
        <v>423</v>
      </c>
      <c r="D53" s="957" t="s">
        <v>15</v>
      </c>
      <c r="E53" s="960">
        <f t="shared" si="3"/>
        <v>32</v>
      </c>
      <c r="F53" s="960"/>
      <c r="G53" s="960"/>
      <c r="H53" s="1110"/>
      <c r="I53" s="960"/>
      <c r="J53" s="960"/>
      <c r="K53" s="960"/>
      <c r="L53" s="960"/>
      <c r="M53" s="960"/>
      <c r="N53" s="960"/>
      <c r="O53" s="960"/>
      <c r="P53" s="960"/>
      <c r="Q53" s="960"/>
      <c r="R53" s="960"/>
      <c r="S53" s="975">
        <f t="shared" si="11"/>
        <v>32</v>
      </c>
      <c r="T53" s="975"/>
      <c r="U53" s="975"/>
      <c r="V53" s="975" t="e">
        <f>VLOOKUP(C53,'sản lượng'!$D$12:$AK$89,36,0)</f>
        <v>#N/A</v>
      </c>
      <c r="W53" s="976" t="e">
        <f t="shared" si="4"/>
        <v>#N/A</v>
      </c>
      <c r="X53" s="975"/>
      <c r="Y53" s="975"/>
      <c r="Z53" s="975" t="e">
        <f t="shared" si="5"/>
        <v>#N/A</v>
      </c>
      <c r="AA53" s="975" t="e">
        <f>VLOOKUP(C53,'CHẤM CÔNG '!$D$12:$AL$89,33,0)</f>
        <v>#N/A</v>
      </c>
      <c r="AB53" s="975" t="e">
        <f>VLOOKUP(C53,'CHẤM CÔNG '!$D$12:$AL$89,34,0)</f>
        <v>#N/A</v>
      </c>
      <c r="AC53" s="975"/>
      <c r="AD53" s="975"/>
      <c r="AE53" s="975"/>
      <c r="AF53" s="975"/>
      <c r="AG53" s="975"/>
      <c r="AH53" s="975"/>
      <c r="AI53" s="975"/>
      <c r="AJ53" s="975"/>
      <c r="AK53" s="981"/>
      <c r="AL53" s="982" t="e">
        <f>VLOOKUP(C53,'sản lượng'!$D$12:$AM$89,38,0)</f>
        <v>#N/A</v>
      </c>
    </row>
    <row r="54" spans="1:44" ht="15.75">
      <c r="A54" s="957">
        <v>42</v>
      </c>
      <c r="B54" s="958" t="e">
        <f>VLOOKUP(C54,'DS CN MOI UP'!$B$10:$C$389,2,0)</f>
        <v>#N/A</v>
      </c>
      <c r="C54" s="964" t="s">
        <v>2622</v>
      </c>
      <c r="D54" s="957" t="s">
        <v>15</v>
      </c>
      <c r="E54" s="960">
        <f t="shared" si="3"/>
        <v>32</v>
      </c>
      <c r="F54" s="960"/>
      <c r="G54" s="960"/>
      <c r="H54" s="1110"/>
      <c r="I54" s="960"/>
      <c r="J54" s="960"/>
      <c r="K54" s="960"/>
      <c r="L54" s="960"/>
      <c r="M54" s="960"/>
      <c r="N54" s="960"/>
      <c r="O54" s="960"/>
      <c r="P54" s="960"/>
      <c r="Q54" s="960"/>
      <c r="R54" s="960"/>
      <c r="S54" s="975">
        <f t="shared" si="11"/>
        <v>32</v>
      </c>
      <c r="T54" s="975"/>
      <c r="U54" s="975"/>
      <c r="V54" s="975" t="e">
        <f>VLOOKUP(C54,'sản lượng'!$D$12:$AK$89,36,0)</f>
        <v>#N/A</v>
      </c>
      <c r="W54" s="976" t="e">
        <f t="shared" si="4"/>
        <v>#N/A</v>
      </c>
      <c r="X54" s="975"/>
      <c r="Y54" s="975"/>
      <c r="Z54" s="975" t="e">
        <f t="shared" si="5"/>
        <v>#N/A</v>
      </c>
      <c r="AA54" s="975" t="e">
        <f>VLOOKUP(C54,'CHẤM CÔNG '!$D$12:$AL$89,33,0)</f>
        <v>#N/A</v>
      </c>
      <c r="AB54" s="975" t="e">
        <f>VLOOKUP(C54,'CHẤM CÔNG '!$D$12:$AL$89,34,0)</f>
        <v>#N/A</v>
      </c>
      <c r="AC54" s="975"/>
      <c r="AD54" s="975"/>
      <c r="AE54" s="975"/>
      <c r="AF54" s="975"/>
      <c r="AG54" s="975"/>
      <c r="AH54" s="975"/>
      <c r="AI54" s="975"/>
      <c r="AJ54" s="975"/>
      <c r="AK54" s="981"/>
      <c r="AL54" s="982" t="e">
        <f>VLOOKUP(C54,'sản lượng'!$D$12:$AM$89,38,0)</f>
        <v>#N/A</v>
      </c>
    </row>
    <row r="55" spans="1:44" s="1103" customFormat="1" ht="15.75">
      <c r="A55" s="957">
        <v>43</v>
      </c>
      <c r="B55" s="1112" t="e">
        <f>VLOOKUP(C55,'DS CN MOI UP'!$B$10:$C$389,2,0)</f>
        <v>#N/A</v>
      </c>
      <c r="C55" s="1116" t="s">
        <v>425</v>
      </c>
      <c r="D55" s="1111" t="s">
        <v>15</v>
      </c>
      <c r="E55" s="960">
        <f t="shared" si="3"/>
        <v>32</v>
      </c>
      <c r="F55" s="1114"/>
      <c r="G55" s="1114"/>
      <c r="H55" s="1110"/>
      <c r="I55" s="1114"/>
      <c r="J55" s="1114"/>
      <c r="K55" s="1114"/>
      <c r="L55" s="1114"/>
      <c r="M55" s="1114"/>
      <c r="N55" s="1114"/>
      <c r="O55" s="1114"/>
      <c r="P55" s="1114"/>
      <c r="Q55" s="1114"/>
      <c r="R55" s="1114"/>
      <c r="S55" s="1120">
        <f t="shared" ref="S55" si="12">SUM(E55:N55)</f>
        <v>32</v>
      </c>
      <c r="T55" s="1120"/>
      <c r="U55" s="1120"/>
      <c r="V55" s="1120" t="e">
        <f>VLOOKUP(C55,'sản lượng'!$D$12:$AK$89,36,0)</f>
        <v>#N/A</v>
      </c>
      <c r="W55" s="1121" t="e">
        <f t="shared" ref="W55" si="13">SUM(T55:V55)</f>
        <v>#N/A</v>
      </c>
      <c r="X55" s="1120"/>
      <c r="Y55" s="1120"/>
      <c r="Z55" s="975" t="e">
        <f t="shared" si="5"/>
        <v>#N/A</v>
      </c>
      <c r="AA55" s="1120" t="e">
        <f>VLOOKUP(C55,'CHẤM CÔNG '!$D$12:$AL$89,33,0)</f>
        <v>#N/A</v>
      </c>
      <c r="AB55" s="1120" t="e">
        <f>VLOOKUP(C55,'CHẤM CÔNG '!$D$12:$AL$89,34,0)</f>
        <v>#N/A</v>
      </c>
      <c r="AC55" s="1120" t="e">
        <f>SUM(AA55:AB55,AF55)</f>
        <v>#N/A</v>
      </c>
      <c r="AD55" s="1120"/>
      <c r="AE55" s="1120"/>
      <c r="AF55" s="975"/>
      <c r="AG55" s="975"/>
      <c r="AH55" s="975"/>
      <c r="AI55" s="975"/>
      <c r="AJ55" s="975"/>
      <c r="AK55" s="981"/>
      <c r="AL55" s="1125" t="e">
        <f>VLOOKUP(C55,'sản lượng'!$D$12:$AM$89,38,0)</f>
        <v>#N/A</v>
      </c>
      <c r="AP55" s="1104"/>
      <c r="AQ55" s="1104"/>
      <c r="AR55" s="1104"/>
    </row>
    <row r="56" spans="1:44" ht="15.75">
      <c r="A56" s="957">
        <v>44</v>
      </c>
      <c r="B56" s="958">
        <v>1</v>
      </c>
      <c r="C56" s="991" t="s">
        <v>1064</v>
      </c>
      <c r="D56" s="957" t="s">
        <v>1713</v>
      </c>
      <c r="E56" s="960"/>
      <c r="F56" s="960"/>
      <c r="G56" s="960"/>
      <c r="H56" s="1110"/>
      <c r="I56" s="960"/>
      <c r="J56" s="960"/>
      <c r="K56" s="960"/>
      <c r="L56" s="960"/>
      <c r="M56" s="960"/>
      <c r="N56" s="960"/>
      <c r="O56" s="960"/>
      <c r="P56" s="960"/>
      <c r="Q56" s="960"/>
      <c r="R56" s="960"/>
      <c r="S56" s="975">
        <f>SUM(E56:R56)</f>
        <v>0</v>
      </c>
      <c r="T56" s="975"/>
      <c r="U56" s="975"/>
      <c r="V56" s="975"/>
      <c r="W56" s="975"/>
      <c r="X56" s="975"/>
      <c r="Y56" s="975"/>
      <c r="Z56" s="975">
        <f>W56*$AN$9/$AN$8+X56*$AN$10+$AN$11*Y56</f>
        <v>0</v>
      </c>
      <c r="AA56" s="975"/>
      <c r="AB56" s="975"/>
      <c r="AC56" s="975"/>
      <c r="AD56" s="975"/>
      <c r="AE56" s="975"/>
      <c r="AF56" s="975"/>
      <c r="AG56" s="975"/>
      <c r="AH56" s="975"/>
      <c r="AI56" s="975"/>
      <c r="AJ56" s="975"/>
      <c r="AK56" s="981"/>
      <c r="AL56" s="982"/>
    </row>
    <row r="57" spans="1:44">
      <c r="A57" s="965" t="s">
        <v>520</v>
      </c>
      <c r="B57" s="958"/>
      <c r="C57" s="966"/>
      <c r="D57" s="967"/>
      <c r="E57" s="968">
        <f t="shared" ref="E57:W57" si="14">SUM(E58:E120)</f>
        <v>1368</v>
      </c>
      <c r="F57" s="968">
        <f t="shared" si="14"/>
        <v>0</v>
      </c>
      <c r="G57" s="968">
        <f t="shared" si="14"/>
        <v>0</v>
      </c>
      <c r="H57" s="1117">
        <f t="shared" si="14"/>
        <v>0</v>
      </c>
      <c r="I57" s="968">
        <f t="shared" si="14"/>
        <v>0</v>
      </c>
      <c r="J57" s="968">
        <f t="shared" si="14"/>
        <v>0</v>
      </c>
      <c r="K57" s="968">
        <f t="shared" si="14"/>
        <v>0</v>
      </c>
      <c r="L57" s="968">
        <f t="shared" si="14"/>
        <v>0</v>
      </c>
      <c r="M57" s="968">
        <f t="shared" si="14"/>
        <v>0</v>
      </c>
      <c r="N57" s="968">
        <f t="shared" si="14"/>
        <v>0</v>
      </c>
      <c r="O57" s="968">
        <f t="shared" si="14"/>
        <v>0</v>
      </c>
      <c r="P57" s="968">
        <f t="shared" si="14"/>
        <v>0</v>
      </c>
      <c r="Q57" s="968">
        <f t="shared" si="14"/>
        <v>0</v>
      </c>
      <c r="R57" s="968">
        <f t="shared" si="14"/>
        <v>0</v>
      </c>
      <c r="S57" s="968">
        <f t="shared" si="14"/>
        <v>1368</v>
      </c>
      <c r="T57" s="968" t="e">
        <f t="shared" si="14"/>
        <v>#N/A</v>
      </c>
      <c r="U57" s="968" t="e">
        <f t="shared" si="14"/>
        <v>#N/A</v>
      </c>
      <c r="V57" s="968" t="e">
        <f t="shared" si="14"/>
        <v>#N/A</v>
      </c>
      <c r="W57" s="1122" t="e">
        <f t="shared" si="14"/>
        <v>#N/A</v>
      </c>
      <c r="X57" s="968"/>
      <c r="Y57" s="968"/>
      <c r="Z57" s="968" t="e">
        <f>SUM(Z58:Z120)</f>
        <v>#N/A</v>
      </c>
      <c r="AA57" s="968" t="e">
        <f t="shared" ref="AA57:AC57" si="15">SUM(AA58:AA120)</f>
        <v>#N/A</v>
      </c>
      <c r="AB57" s="968" t="e">
        <f t="shared" si="15"/>
        <v>#N/A</v>
      </c>
      <c r="AC57" s="968">
        <f t="shared" si="15"/>
        <v>0</v>
      </c>
      <c r="AD57" s="968"/>
      <c r="AE57" s="968">
        <f>SUM(AE58:AE120)</f>
        <v>26</v>
      </c>
      <c r="AF57" s="968"/>
      <c r="AG57" s="968"/>
      <c r="AH57" s="968"/>
      <c r="AI57" s="968">
        <f>SUM(AI58:AI120)</f>
        <v>0</v>
      </c>
      <c r="AJ57" s="968">
        <f>SUM(AJ58:AJ120)</f>
        <v>0</v>
      </c>
      <c r="AK57" s="968">
        <f>SUM(AK58:AK120)</f>
        <v>0</v>
      </c>
      <c r="AL57" s="968" t="e">
        <f>SUM(AL58:AL120)</f>
        <v>#N/A</v>
      </c>
    </row>
    <row r="58" spans="1:44" ht="15.75">
      <c r="A58" s="969">
        <v>1</v>
      </c>
      <c r="B58" s="958" t="e">
        <f>VLOOKUP(C58,'DS CN MOI UP'!$B$10:$C$389,2,0)</f>
        <v>#N/A</v>
      </c>
      <c r="C58" s="970" t="s">
        <v>2623</v>
      </c>
      <c r="D58" s="971" t="s">
        <v>15</v>
      </c>
      <c r="E58" s="960">
        <f t="shared" ref="E58:E114" si="16">3*8</f>
        <v>24</v>
      </c>
      <c r="F58" s="960"/>
      <c r="G58" s="960"/>
      <c r="H58" s="1110"/>
      <c r="I58" s="960"/>
      <c r="J58" s="960"/>
      <c r="K58" s="960"/>
      <c r="L58" s="960"/>
      <c r="M58" s="960"/>
      <c r="N58" s="960"/>
      <c r="O58" s="960"/>
      <c r="P58" s="960"/>
      <c r="Q58" s="960"/>
      <c r="R58" s="960"/>
      <c r="S58" s="975">
        <f t="shared" ref="S58:S79" si="17">SUM(E58:P58)</f>
        <v>24</v>
      </c>
      <c r="T58" s="975" t="e">
        <f>VLOOKUP(C58,'sản lượng'!$D$12:$AK$89,33,0)</f>
        <v>#N/A</v>
      </c>
      <c r="U58" s="975" t="e">
        <f>VLOOKUP(C58,'sản lượng'!$D$12:$AK$89,34,0)</f>
        <v>#N/A</v>
      </c>
      <c r="V58" s="975" t="e">
        <f>VLOOKUP(C58,'sản lượng'!$D$12:$AK$89,35,0)</f>
        <v>#N/A</v>
      </c>
      <c r="W58" s="975" t="e">
        <f>SUM(T58:V58)</f>
        <v>#N/A</v>
      </c>
      <c r="X58" s="975"/>
      <c r="Y58" s="975"/>
      <c r="Z58" s="975" t="e">
        <f>W58*$AN$14+X58*$AN$10</f>
        <v>#N/A</v>
      </c>
      <c r="AA58" s="975" t="e">
        <f>VLOOKUP(C58,'CHẤM CÔNG '!$D$12:$AL$89,33,0)</f>
        <v>#N/A</v>
      </c>
      <c r="AB58" s="975" t="e">
        <f>VLOOKUP(C58,'CHẤM CÔNG '!$D$12:$AL$89,34,0)</f>
        <v>#N/A</v>
      </c>
      <c r="AC58" s="975"/>
      <c r="AD58" s="975"/>
      <c r="AE58" s="975"/>
      <c r="AF58" s="975"/>
      <c r="AG58" s="975"/>
      <c r="AH58" s="975"/>
      <c r="AI58" s="975"/>
      <c r="AJ58" s="975"/>
      <c r="AK58" s="981"/>
      <c r="AL58" s="982" t="e">
        <f>VLOOKUP(C58,'sản lượng'!$D$12:$AM$89,38,0)</f>
        <v>#N/A</v>
      </c>
    </row>
    <row r="59" spans="1:44" ht="15.75">
      <c r="A59" s="969">
        <v>2</v>
      </c>
      <c r="B59" s="958" t="e">
        <f>VLOOKUP(C59,'DS CN MOI UP'!$B$10:$C$389,2,0)</f>
        <v>#N/A</v>
      </c>
      <c r="C59" s="970" t="s">
        <v>1050</v>
      </c>
      <c r="D59" s="971" t="s">
        <v>15</v>
      </c>
      <c r="E59" s="960">
        <f t="shared" si="16"/>
        <v>24</v>
      </c>
      <c r="F59" s="960"/>
      <c r="G59" s="960"/>
      <c r="H59" s="1110"/>
      <c r="I59" s="960"/>
      <c r="J59" s="960"/>
      <c r="K59" s="960"/>
      <c r="L59" s="960"/>
      <c r="M59" s="960"/>
      <c r="N59" s="960"/>
      <c r="O59" s="960"/>
      <c r="P59" s="960"/>
      <c r="Q59" s="960"/>
      <c r="R59" s="960"/>
      <c r="S59" s="975">
        <f t="shared" si="17"/>
        <v>24</v>
      </c>
      <c r="T59" s="975" t="e">
        <f>VLOOKUP(C59,'sản lượng'!$D$12:$AK$89,33,0)</f>
        <v>#N/A</v>
      </c>
      <c r="U59" s="975" t="e">
        <f>VLOOKUP(C59,'sản lượng'!$D$12:$AK$89,34,0)</f>
        <v>#N/A</v>
      </c>
      <c r="V59" s="975" t="e">
        <f>VLOOKUP(C59,'sản lượng'!$D$12:$AK$89,35,0)</f>
        <v>#N/A</v>
      </c>
      <c r="W59" s="975" t="e">
        <f t="shared" ref="W59:W102" si="18">SUM(T59:V59)</f>
        <v>#N/A</v>
      </c>
      <c r="X59" s="975"/>
      <c r="Y59" s="975"/>
      <c r="Z59" s="975" t="e">
        <f t="shared" ref="Z59:Z102" si="19">W59*$AN$14+X59*$AN$10</f>
        <v>#N/A</v>
      </c>
      <c r="AA59" s="975" t="e">
        <f>VLOOKUP(C59,'CHẤM CÔNG '!$D$12:$AL$89,33,0)</f>
        <v>#N/A</v>
      </c>
      <c r="AB59" s="975" t="e">
        <f>VLOOKUP(C59,'CHẤM CÔNG '!$D$12:$AL$89,34,0)</f>
        <v>#N/A</v>
      </c>
      <c r="AC59" s="975"/>
      <c r="AD59" s="975"/>
      <c r="AE59" s="975"/>
      <c r="AF59" s="975"/>
      <c r="AG59" s="975"/>
      <c r="AH59" s="975"/>
      <c r="AI59" s="975"/>
      <c r="AJ59" s="975"/>
      <c r="AK59" s="981"/>
      <c r="AL59" s="982" t="e">
        <f>VLOOKUP(C59,'sản lượng'!$D$12:$AM$89,38,0)</f>
        <v>#N/A</v>
      </c>
    </row>
    <row r="60" spans="1:44" ht="15.75">
      <c r="A60" s="969">
        <v>3</v>
      </c>
      <c r="B60" s="958" t="e">
        <f>VLOOKUP(C60,'DS CN MOI UP'!$B$10:$C$389,2,0)</f>
        <v>#N/A</v>
      </c>
      <c r="C60" s="970" t="s">
        <v>432</v>
      </c>
      <c r="D60" s="971" t="s">
        <v>15</v>
      </c>
      <c r="E60" s="960">
        <f t="shared" si="16"/>
        <v>24</v>
      </c>
      <c r="F60" s="1118"/>
      <c r="G60" s="960"/>
      <c r="H60" s="1110"/>
      <c r="I60" s="960"/>
      <c r="J60" s="960"/>
      <c r="K60" s="960"/>
      <c r="L60" s="960"/>
      <c r="M60" s="960"/>
      <c r="N60" s="960"/>
      <c r="O60" s="960"/>
      <c r="P60" s="960"/>
      <c r="Q60" s="960"/>
      <c r="R60" s="960"/>
      <c r="S60" s="975">
        <f t="shared" si="17"/>
        <v>24</v>
      </c>
      <c r="T60" s="975" t="e">
        <f>VLOOKUP(C60,'sản lượng'!$D$12:$AK$89,33,0)</f>
        <v>#N/A</v>
      </c>
      <c r="U60" s="975" t="e">
        <f>VLOOKUP(C60,'sản lượng'!$D$12:$AK$89,34,0)</f>
        <v>#N/A</v>
      </c>
      <c r="V60" s="975" t="e">
        <f>VLOOKUP(C60,'sản lượng'!$D$12:$AK$89,35,0)</f>
        <v>#N/A</v>
      </c>
      <c r="W60" s="975" t="e">
        <f t="shared" si="18"/>
        <v>#N/A</v>
      </c>
      <c r="X60" s="975"/>
      <c r="Y60" s="975"/>
      <c r="Z60" s="975" t="e">
        <f t="shared" si="19"/>
        <v>#N/A</v>
      </c>
      <c r="AA60" s="975" t="e">
        <f>VLOOKUP(C60,'CHẤM CÔNG '!$D$12:$AL$89,33,0)</f>
        <v>#N/A</v>
      </c>
      <c r="AB60" s="975" t="e">
        <f>VLOOKUP(C60,'CHẤM CÔNG '!$D$12:$AL$89,34,0)</f>
        <v>#N/A</v>
      </c>
      <c r="AC60" s="975"/>
      <c r="AD60" s="975"/>
      <c r="AE60" s="975"/>
      <c r="AF60" s="975"/>
      <c r="AG60" s="975"/>
      <c r="AH60" s="975"/>
      <c r="AI60" s="975"/>
      <c r="AJ60" s="975"/>
      <c r="AK60" s="981"/>
      <c r="AL60" s="982" t="e">
        <f>VLOOKUP(C60,'sản lượng'!$D$12:$AM$89,38,0)</f>
        <v>#N/A</v>
      </c>
    </row>
    <row r="61" spans="1:44" ht="15.75">
      <c r="A61" s="969">
        <v>4</v>
      </c>
      <c r="B61" s="958" t="e">
        <f>VLOOKUP(C61,'DS CN MOI UP'!$B$10:$C$389,2,0)</f>
        <v>#N/A</v>
      </c>
      <c r="C61" s="970" t="s">
        <v>433</v>
      </c>
      <c r="D61" s="971" t="s">
        <v>15</v>
      </c>
      <c r="E61" s="960">
        <f t="shared" si="16"/>
        <v>24</v>
      </c>
      <c r="F61" s="960"/>
      <c r="G61" s="960"/>
      <c r="H61" s="1110"/>
      <c r="I61" s="960"/>
      <c r="J61" s="960"/>
      <c r="K61" s="960"/>
      <c r="L61" s="960"/>
      <c r="M61" s="960"/>
      <c r="N61" s="960"/>
      <c r="O61" s="960"/>
      <c r="P61" s="960"/>
      <c r="Q61" s="960"/>
      <c r="R61" s="960"/>
      <c r="S61" s="975">
        <f t="shared" si="17"/>
        <v>24</v>
      </c>
      <c r="T61" s="975" t="e">
        <f>VLOOKUP(C61,'sản lượng'!$D$12:$AK$89,33,0)</f>
        <v>#N/A</v>
      </c>
      <c r="U61" s="975" t="e">
        <f>VLOOKUP(C61,'sản lượng'!$D$12:$AK$89,34,0)</f>
        <v>#N/A</v>
      </c>
      <c r="V61" s="975" t="e">
        <f>VLOOKUP(C61,'sản lượng'!$D$12:$AK$89,35,0)</f>
        <v>#N/A</v>
      </c>
      <c r="W61" s="975" t="e">
        <f t="shared" si="18"/>
        <v>#N/A</v>
      </c>
      <c r="X61" s="975"/>
      <c r="Y61" s="975"/>
      <c r="Z61" s="975" t="e">
        <f t="shared" si="19"/>
        <v>#N/A</v>
      </c>
      <c r="AA61" s="975" t="e">
        <f>VLOOKUP(C61,'CHẤM CÔNG '!$D$12:$AL$89,33,0)</f>
        <v>#N/A</v>
      </c>
      <c r="AB61" s="975" t="e">
        <f>VLOOKUP(C61,'CHẤM CÔNG '!$D$12:$AL$89,34,0)</f>
        <v>#N/A</v>
      </c>
      <c r="AC61" s="975"/>
      <c r="AD61" s="975"/>
      <c r="AE61" s="975"/>
      <c r="AF61" s="975"/>
      <c r="AG61" s="975"/>
      <c r="AH61" s="975"/>
      <c r="AI61" s="975"/>
      <c r="AJ61" s="975"/>
      <c r="AK61" s="981"/>
      <c r="AL61" s="982" t="e">
        <f>VLOOKUP(C61,'sản lượng'!$D$12:$AM$89,38,0)</f>
        <v>#N/A</v>
      </c>
    </row>
    <row r="62" spans="1:44" ht="15.75">
      <c r="A62" s="969">
        <v>5</v>
      </c>
      <c r="B62" s="958" t="e">
        <f>VLOOKUP(C62,'DS CN MOI UP'!$B$10:$C$389,2,0)</f>
        <v>#N/A</v>
      </c>
      <c r="C62" s="970" t="s">
        <v>434</v>
      </c>
      <c r="D62" s="971" t="s">
        <v>15</v>
      </c>
      <c r="E62" s="960">
        <f t="shared" si="16"/>
        <v>24</v>
      </c>
      <c r="F62" s="960"/>
      <c r="G62" s="960"/>
      <c r="H62" s="1110"/>
      <c r="I62" s="960"/>
      <c r="J62" s="960"/>
      <c r="K62" s="960"/>
      <c r="L62" s="960"/>
      <c r="M62" s="960"/>
      <c r="N62" s="960"/>
      <c r="O62" s="960"/>
      <c r="P62" s="960"/>
      <c r="Q62" s="960"/>
      <c r="R62" s="960"/>
      <c r="S62" s="975">
        <f t="shared" si="17"/>
        <v>24</v>
      </c>
      <c r="T62" s="975" t="e">
        <f>VLOOKUP(C62,'sản lượng'!$D$12:$AK$89,33,0)</f>
        <v>#N/A</v>
      </c>
      <c r="U62" s="975" t="e">
        <f>VLOOKUP(C62,'sản lượng'!$D$12:$AK$89,34,0)</f>
        <v>#N/A</v>
      </c>
      <c r="V62" s="975" t="e">
        <f>VLOOKUP(C62,'sản lượng'!$D$12:$AK$89,35,0)</f>
        <v>#N/A</v>
      </c>
      <c r="W62" s="975" t="e">
        <f t="shared" si="18"/>
        <v>#N/A</v>
      </c>
      <c r="X62" s="975"/>
      <c r="Y62" s="975"/>
      <c r="Z62" s="975" t="e">
        <f t="shared" si="19"/>
        <v>#N/A</v>
      </c>
      <c r="AA62" s="975" t="e">
        <f>VLOOKUP(C62,'CHẤM CÔNG '!$D$12:$AL$89,33,0)</f>
        <v>#N/A</v>
      </c>
      <c r="AB62" s="975" t="e">
        <f>VLOOKUP(C62,'CHẤM CÔNG '!$D$12:$AL$89,34,0)</f>
        <v>#N/A</v>
      </c>
      <c r="AC62" s="975"/>
      <c r="AD62" s="975"/>
      <c r="AE62" s="975"/>
      <c r="AF62" s="975"/>
      <c r="AG62" s="975"/>
      <c r="AH62" s="975"/>
      <c r="AI62" s="975"/>
      <c r="AJ62" s="975"/>
      <c r="AK62" s="981"/>
      <c r="AL62" s="982" t="e">
        <f>VLOOKUP(C62,'sản lượng'!$D$12:$AM$89,38,0)</f>
        <v>#N/A</v>
      </c>
    </row>
    <row r="63" spans="1:44" ht="15.75">
      <c r="A63" s="969">
        <v>6</v>
      </c>
      <c r="B63" s="958" t="e">
        <f>VLOOKUP(C63,'DS CN MOI UP'!$B$10:$C$389,2,0)</f>
        <v>#N/A</v>
      </c>
      <c r="C63" s="970" t="s">
        <v>435</v>
      </c>
      <c r="D63" s="971" t="s">
        <v>15</v>
      </c>
      <c r="E63" s="960">
        <f t="shared" si="16"/>
        <v>24</v>
      </c>
      <c r="F63" s="960"/>
      <c r="G63" s="960"/>
      <c r="H63" s="1110"/>
      <c r="I63" s="960"/>
      <c r="J63" s="960"/>
      <c r="K63" s="960"/>
      <c r="L63" s="960"/>
      <c r="M63" s="960"/>
      <c r="N63" s="960"/>
      <c r="O63" s="960"/>
      <c r="P63" s="960"/>
      <c r="Q63" s="960"/>
      <c r="R63" s="960"/>
      <c r="S63" s="975">
        <f t="shared" si="17"/>
        <v>24</v>
      </c>
      <c r="T63" s="975" t="e">
        <f>VLOOKUP(C63,'sản lượng'!$D$12:$AK$89,33,0)</f>
        <v>#N/A</v>
      </c>
      <c r="U63" s="975" t="e">
        <f>VLOOKUP(C63,'sản lượng'!$D$12:$AK$89,34,0)</f>
        <v>#N/A</v>
      </c>
      <c r="V63" s="975" t="e">
        <f>VLOOKUP(C63,'sản lượng'!$D$12:$AK$89,35,0)</f>
        <v>#N/A</v>
      </c>
      <c r="W63" s="975" t="e">
        <f t="shared" si="18"/>
        <v>#N/A</v>
      </c>
      <c r="X63" s="975"/>
      <c r="Y63" s="975"/>
      <c r="Z63" s="975" t="e">
        <f t="shared" si="19"/>
        <v>#N/A</v>
      </c>
      <c r="AA63" s="975" t="e">
        <f>VLOOKUP(C63,'CHẤM CÔNG '!$D$12:$AL$89,33,0)</f>
        <v>#N/A</v>
      </c>
      <c r="AB63" s="975" t="e">
        <f>VLOOKUP(C63,'CHẤM CÔNG '!$D$12:$AL$89,34,0)</f>
        <v>#N/A</v>
      </c>
      <c r="AC63" s="975"/>
      <c r="AD63" s="975"/>
      <c r="AE63" s="975"/>
      <c r="AF63" s="975"/>
      <c r="AG63" s="975"/>
      <c r="AH63" s="975"/>
      <c r="AI63" s="975"/>
      <c r="AJ63" s="975"/>
      <c r="AK63" s="981"/>
      <c r="AL63" s="982" t="e">
        <f>VLOOKUP(C63,'sản lượng'!$D$12:$AM$89,38,0)</f>
        <v>#N/A</v>
      </c>
    </row>
    <row r="64" spans="1:44" ht="15.75">
      <c r="A64" s="969">
        <v>7</v>
      </c>
      <c r="B64" s="958" t="e">
        <f>VLOOKUP(C64,'DS CN MOI UP'!$B$10:$C$389,2,0)</f>
        <v>#N/A</v>
      </c>
      <c r="C64" s="970" t="s">
        <v>436</v>
      </c>
      <c r="D64" s="971" t="s">
        <v>15</v>
      </c>
      <c r="E64" s="960">
        <f t="shared" si="16"/>
        <v>24</v>
      </c>
      <c r="F64" s="960"/>
      <c r="G64" s="960"/>
      <c r="H64" s="1110"/>
      <c r="I64" s="960"/>
      <c r="J64" s="960"/>
      <c r="K64" s="960"/>
      <c r="L64" s="960"/>
      <c r="M64" s="960"/>
      <c r="N64" s="960"/>
      <c r="O64" s="960"/>
      <c r="P64" s="960"/>
      <c r="Q64" s="960"/>
      <c r="R64" s="960"/>
      <c r="S64" s="975">
        <f t="shared" si="17"/>
        <v>24</v>
      </c>
      <c r="T64" s="975" t="e">
        <f>VLOOKUP(C64,'sản lượng'!$D$12:$AK$89,33,0)</f>
        <v>#N/A</v>
      </c>
      <c r="U64" s="975" t="e">
        <f>VLOOKUP(C64,'sản lượng'!$D$12:$AK$89,34,0)</f>
        <v>#N/A</v>
      </c>
      <c r="V64" s="975" t="e">
        <f>VLOOKUP(C64,'sản lượng'!$D$12:$AK$89,35,0)</f>
        <v>#N/A</v>
      </c>
      <c r="W64" s="975" t="e">
        <f t="shared" si="18"/>
        <v>#N/A</v>
      </c>
      <c r="X64" s="975"/>
      <c r="Y64" s="975"/>
      <c r="Z64" s="975" t="e">
        <f t="shared" si="19"/>
        <v>#N/A</v>
      </c>
      <c r="AA64" s="975" t="e">
        <f>VLOOKUP(C64,'CHẤM CÔNG '!$D$12:$AL$89,33,0)</f>
        <v>#N/A</v>
      </c>
      <c r="AB64" s="975" t="e">
        <f>VLOOKUP(C64,'CHẤM CÔNG '!$D$12:$AL$89,34,0)</f>
        <v>#N/A</v>
      </c>
      <c r="AC64" s="975"/>
      <c r="AD64" s="975"/>
      <c r="AE64" s="975"/>
      <c r="AF64" s="975"/>
      <c r="AG64" s="975"/>
      <c r="AH64" s="975"/>
      <c r="AI64" s="975"/>
      <c r="AJ64" s="975"/>
      <c r="AK64" s="981"/>
      <c r="AL64" s="982" t="e">
        <f>VLOOKUP(C64,'sản lượng'!$D$12:$AM$89,38,0)</f>
        <v>#N/A</v>
      </c>
    </row>
    <row r="65" spans="1:38" ht="15.75">
      <c r="A65" s="969">
        <v>8</v>
      </c>
      <c r="B65" s="958" t="e">
        <f>VLOOKUP(C65,'DS CN MOI UP'!$B$10:$C$389,2,0)</f>
        <v>#N/A</v>
      </c>
      <c r="C65" s="970" t="s">
        <v>437</v>
      </c>
      <c r="D65" s="971" t="s">
        <v>15</v>
      </c>
      <c r="E65" s="960">
        <f t="shared" si="16"/>
        <v>24</v>
      </c>
      <c r="F65" s="960"/>
      <c r="G65" s="960"/>
      <c r="H65" s="1110"/>
      <c r="I65" s="960"/>
      <c r="J65" s="960"/>
      <c r="K65" s="960"/>
      <c r="L65" s="960"/>
      <c r="M65" s="960"/>
      <c r="N65" s="960"/>
      <c r="O65" s="960"/>
      <c r="P65" s="960"/>
      <c r="Q65" s="960"/>
      <c r="R65" s="960"/>
      <c r="S65" s="975">
        <f t="shared" si="17"/>
        <v>24</v>
      </c>
      <c r="T65" s="975" t="e">
        <f>VLOOKUP(C65,'sản lượng'!$D$12:$AK$89,33,0)</f>
        <v>#N/A</v>
      </c>
      <c r="U65" s="975" t="e">
        <f>VLOOKUP(C65,'sản lượng'!$D$12:$AK$89,34,0)</f>
        <v>#N/A</v>
      </c>
      <c r="V65" s="975" t="e">
        <f>VLOOKUP(C65,'sản lượng'!$D$12:$AK$89,35,0)</f>
        <v>#N/A</v>
      </c>
      <c r="W65" s="975" t="e">
        <f t="shared" si="18"/>
        <v>#N/A</v>
      </c>
      <c r="X65" s="975"/>
      <c r="Y65" s="975"/>
      <c r="Z65" s="975" t="e">
        <f t="shared" si="19"/>
        <v>#N/A</v>
      </c>
      <c r="AA65" s="975" t="e">
        <f>VLOOKUP(C65,'CHẤM CÔNG '!$D$12:$AL$89,33,0)</f>
        <v>#N/A</v>
      </c>
      <c r="AB65" s="975" t="e">
        <f>VLOOKUP(C65,'CHẤM CÔNG '!$D$12:$AL$89,34,0)</f>
        <v>#N/A</v>
      </c>
      <c r="AC65" s="975"/>
      <c r="AD65" s="975"/>
      <c r="AE65" s="975"/>
      <c r="AF65" s="975"/>
      <c r="AG65" s="975"/>
      <c r="AH65" s="975"/>
      <c r="AI65" s="975"/>
      <c r="AJ65" s="975"/>
      <c r="AK65" s="981"/>
      <c r="AL65" s="982" t="e">
        <f>VLOOKUP(C65,'sản lượng'!$D$12:$AM$89,38,0)</f>
        <v>#N/A</v>
      </c>
    </row>
    <row r="66" spans="1:38" ht="15.75">
      <c r="A66" s="969">
        <v>9</v>
      </c>
      <c r="B66" s="1640" t="str">
        <f>VLOOKUP(C66,'DS CN MOI UP'!$B$10:$C$389,2,0)</f>
        <v>07014</v>
      </c>
      <c r="C66" s="970" t="s">
        <v>2382</v>
      </c>
      <c r="D66" s="971" t="s">
        <v>15</v>
      </c>
      <c r="E66" s="960">
        <f t="shared" si="16"/>
        <v>24</v>
      </c>
      <c r="F66" s="960"/>
      <c r="G66" s="960"/>
      <c r="H66" s="1110"/>
      <c r="I66" s="960"/>
      <c r="J66" s="960"/>
      <c r="K66" s="960"/>
      <c r="L66" s="960"/>
      <c r="M66" s="960"/>
      <c r="N66" s="960"/>
      <c r="O66" s="960"/>
      <c r="P66" s="960"/>
      <c r="Q66" s="960"/>
      <c r="R66" s="960"/>
      <c r="S66" s="975">
        <f t="shared" si="17"/>
        <v>24</v>
      </c>
      <c r="T66" s="975" t="e">
        <f>VLOOKUP(C66,'sản lượng'!$D$12:$AK$89,33,0)</f>
        <v>#N/A</v>
      </c>
      <c r="U66" s="975" t="e">
        <f>VLOOKUP(C66,'sản lượng'!$D$12:$AK$89,34,0)</f>
        <v>#N/A</v>
      </c>
      <c r="V66" s="975" t="e">
        <f>VLOOKUP(C66,'sản lượng'!$D$12:$AK$89,35,0)</f>
        <v>#N/A</v>
      </c>
      <c r="W66" s="975" t="e">
        <f t="shared" si="18"/>
        <v>#N/A</v>
      </c>
      <c r="X66" s="975"/>
      <c r="Y66" s="975"/>
      <c r="Z66" s="975" t="e">
        <f t="shared" si="19"/>
        <v>#N/A</v>
      </c>
      <c r="AA66" s="975" t="e">
        <f>VLOOKUP(C66,'CHẤM CÔNG '!$D$12:$AL$89,33,0)</f>
        <v>#N/A</v>
      </c>
      <c r="AB66" s="975" t="e">
        <f>VLOOKUP(C66,'CHẤM CÔNG '!$D$12:$AL$89,34,0)</f>
        <v>#N/A</v>
      </c>
      <c r="AC66" s="975"/>
      <c r="AD66" s="975"/>
      <c r="AE66" s="975"/>
      <c r="AF66" s="975"/>
      <c r="AG66" s="975"/>
      <c r="AH66" s="975"/>
      <c r="AI66" s="975"/>
      <c r="AJ66" s="975"/>
      <c r="AK66" s="981"/>
      <c r="AL66" s="982" t="e">
        <f>VLOOKUP(C66,'sản lượng'!$D$12:$AM$89,38,0)</f>
        <v>#N/A</v>
      </c>
    </row>
    <row r="67" spans="1:38" ht="15.75">
      <c r="A67" s="969">
        <v>10</v>
      </c>
      <c r="B67" s="958" t="e">
        <f>VLOOKUP(C67,'DS CN MOI UP'!$B$10:$C$389,2,0)</f>
        <v>#N/A</v>
      </c>
      <c r="C67" s="970" t="s">
        <v>439</v>
      </c>
      <c r="D67" s="971" t="s">
        <v>15</v>
      </c>
      <c r="E67" s="960">
        <f t="shared" si="16"/>
        <v>24</v>
      </c>
      <c r="F67" s="960"/>
      <c r="G67" s="960"/>
      <c r="H67" s="1110"/>
      <c r="I67" s="960"/>
      <c r="J67" s="960"/>
      <c r="K67" s="960"/>
      <c r="L67" s="960"/>
      <c r="M67" s="960"/>
      <c r="N67" s="960"/>
      <c r="O67" s="960"/>
      <c r="P67" s="960"/>
      <c r="Q67" s="960"/>
      <c r="R67" s="960"/>
      <c r="S67" s="975">
        <f t="shared" si="17"/>
        <v>24</v>
      </c>
      <c r="T67" s="975" t="e">
        <f>VLOOKUP(C67,'sản lượng'!$D$12:$AK$89,33,0)</f>
        <v>#N/A</v>
      </c>
      <c r="U67" s="975" t="e">
        <f>VLOOKUP(C67,'sản lượng'!$D$12:$AK$89,34,0)</f>
        <v>#N/A</v>
      </c>
      <c r="V67" s="975" t="e">
        <f>VLOOKUP(C67,'sản lượng'!$D$12:$AK$89,35,0)</f>
        <v>#N/A</v>
      </c>
      <c r="W67" s="975" t="e">
        <f t="shared" si="18"/>
        <v>#N/A</v>
      </c>
      <c r="X67" s="975"/>
      <c r="Y67" s="975"/>
      <c r="Z67" s="975" t="e">
        <f t="shared" si="19"/>
        <v>#N/A</v>
      </c>
      <c r="AA67" s="975" t="e">
        <f>VLOOKUP(C67,'CHẤM CÔNG '!$D$12:$AL$89,33,0)</f>
        <v>#N/A</v>
      </c>
      <c r="AB67" s="975" t="e">
        <f>VLOOKUP(C67,'CHẤM CÔNG '!$D$12:$AL$89,34,0)</f>
        <v>#N/A</v>
      </c>
      <c r="AC67" s="975"/>
      <c r="AD67" s="975"/>
      <c r="AE67" s="975"/>
      <c r="AF67" s="975"/>
      <c r="AG67" s="975"/>
      <c r="AH67" s="975"/>
      <c r="AI67" s="975"/>
      <c r="AJ67" s="975"/>
      <c r="AK67" s="981"/>
      <c r="AL67" s="982" t="e">
        <f>VLOOKUP(C67,'sản lượng'!$D$12:$AM$89,38,0)</f>
        <v>#N/A</v>
      </c>
    </row>
    <row r="68" spans="1:38" ht="15.75">
      <c r="A68" s="969">
        <v>11</v>
      </c>
      <c r="B68" s="958" t="e">
        <f>VLOOKUP(C68,'DS CN MOI UP'!$B$10:$C$389,2,0)</f>
        <v>#N/A</v>
      </c>
      <c r="C68" s="970" t="s">
        <v>440</v>
      </c>
      <c r="D68" s="971" t="s">
        <v>15</v>
      </c>
      <c r="E68" s="960">
        <f t="shared" si="16"/>
        <v>24</v>
      </c>
      <c r="F68" s="960"/>
      <c r="G68" s="960"/>
      <c r="H68" s="1110"/>
      <c r="I68" s="960"/>
      <c r="J68" s="960"/>
      <c r="K68" s="960"/>
      <c r="L68" s="960"/>
      <c r="M68" s="960"/>
      <c r="N68" s="960"/>
      <c r="O68" s="960"/>
      <c r="P68" s="960"/>
      <c r="Q68" s="960"/>
      <c r="R68" s="960"/>
      <c r="S68" s="975">
        <f t="shared" si="17"/>
        <v>24</v>
      </c>
      <c r="T68" s="975" t="e">
        <f>VLOOKUP(C68,'sản lượng'!$D$12:$AK$89,33,0)</f>
        <v>#N/A</v>
      </c>
      <c r="U68" s="975" t="e">
        <f>VLOOKUP(C68,'sản lượng'!$D$12:$AK$89,34,0)</f>
        <v>#N/A</v>
      </c>
      <c r="V68" s="975" t="e">
        <f>VLOOKUP(C68,'sản lượng'!$D$12:$AK$89,35,0)</f>
        <v>#N/A</v>
      </c>
      <c r="W68" s="975" t="e">
        <f t="shared" si="18"/>
        <v>#N/A</v>
      </c>
      <c r="X68" s="975"/>
      <c r="Y68" s="975"/>
      <c r="Z68" s="975" t="e">
        <f t="shared" si="19"/>
        <v>#N/A</v>
      </c>
      <c r="AA68" s="975" t="e">
        <f>VLOOKUP(C68,'CHẤM CÔNG '!$D$12:$AL$89,33,0)</f>
        <v>#N/A</v>
      </c>
      <c r="AB68" s="975" t="e">
        <f>VLOOKUP(C68,'CHẤM CÔNG '!$D$12:$AL$89,34,0)</f>
        <v>#N/A</v>
      </c>
      <c r="AC68" s="975"/>
      <c r="AD68" s="975"/>
      <c r="AE68" s="975"/>
      <c r="AF68" s="975"/>
      <c r="AG68" s="975"/>
      <c r="AH68" s="975"/>
      <c r="AI68" s="975"/>
      <c r="AJ68" s="975"/>
      <c r="AK68" s="981"/>
      <c r="AL68" s="982" t="e">
        <f>VLOOKUP(C68,'sản lượng'!$D$12:$AM$89,38,0)</f>
        <v>#N/A</v>
      </c>
    </row>
    <row r="69" spans="1:38" ht="15.75">
      <c r="A69" s="969">
        <v>12</v>
      </c>
      <c r="B69" s="958" t="e">
        <f>VLOOKUP(C69,'DS CN MOI UP'!$B$10:$C$389,2,0)</f>
        <v>#N/A</v>
      </c>
      <c r="C69" s="970" t="s">
        <v>441</v>
      </c>
      <c r="D69" s="971" t="s">
        <v>15</v>
      </c>
      <c r="E69" s="960">
        <f t="shared" si="16"/>
        <v>24</v>
      </c>
      <c r="F69" s="960"/>
      <c r="G69" s="960"/>
      <c r="H69" s="1110"/>
      <c r="I69" s="960"/>
      <c r="J69" s="960"/>
      <c r="K69" s="960"/>
      <c r="L69" s="960"/>
      <c r="M69" s="960"/>
      <c r="N69" s="960"/>
      <c r="O69" s="960"/>
      <c r="P69" s="960"/>
      <c r="Q69" s="960"/>
      <c r="R69" s="960"/>
      <c r="S69" s="975">
        <f t="shared" si="17"/>
        <v>24</v>
      </c>
      <c r="T69" s="975" t="e">
        <f>VLOOKUP(C69,'sản lượng'!$D$12:$AK$89,33,0)</f>
        <v>#N/A</v>
      </c>
      <c r="U69" s="975" t="e">
        <f>VLOOKUP(C69,'sản lượng'!$D$12:$AK$89,34,0)</f>
        <v>#N/A</v>
      </c>
      <c r="V69" s="975" t="e">
        <f>VLOOKUP(C69,'sản lượng'!$D$12:$AK$89,35,0)</f>
        <v>#N/A</v>
      </c>
      <c r="W69" s="975" t="e">
        <f t="shared" si="18"/>
        <v>#N/A</v>
      </c>
      <c r="X69" s="975"/>
      <c r="Y69" s="975"/>
      <c r="Z69" s="975" t="e">
        <f t="shared" si="19"/>
        <v>#N/A</v>
      </c>
      <c r="AA69" s="975" t="e">
        <f>VLOOKUP(C69,'CHẤM CÔNG '!$D$12:$AL$89,33,0)</f>
        <v>#N/A</v>
      </c>
      <c r="AB69" s="975" t="e">
        <f>VLOOKUP(C69,'CHẤM CÔNG '!$D$12:$AL$89,34,0)</f>
        <v>#N/A</v>
      </c>
      <c r="AC69" s="975"/>
      <c r="AD69" s="975"/>
      <c r="AE69" s="975"/>
      <c r="AF69" s="975"/>
      <c r="AG69" s="975"/>
      <c r="AH69" s="975"/>
      <c r="AI69" s="975"/>
      <c r="AJ69" s="975"/>
      <c r="AK69" s="981"/>
      <c r="AL69" s="982" t="e">
        <f>VLOOKUP(C69,'sản lượng'!$D$12:$AM$89,38,0)</f>
        <v>#N/A</v>
      </c>
    </row>
    <row r="70" spans="1:38" ht="15.75">
      <c r="A70" s="969">
        <v>13</v>
      </c>
      <c r="B70" s="958" t="e">
        <f>VLOOKUP(C70,'DS CN MOI UP'!$B$10:$C$389,2,0)</f>
        <v>#N/A</v>
      </c>
      <c r="C70" s="970" t="s">
        <v>442</v>
      </c>
      <c r="D70" s="971" t="s">
        <v>15</v>
      </c>
      <c r="E70" s="960">
        <f t="shared" si="16"/>
        <v>24</v>
      </c>
      <c r="F70" s="960"/>
      <c r="G70" s="960"/>
      <c r="H70" s="1110"/>
      <c r="I70" s="960"/>
      <c r="J70" s="960"/>
      <c r="K70" s="960"/>
      <c r="L70" s="960"/>
      <c r="M70" s="960"/>
      <c r="N70" s="960"/>
      <c r="O70" s="960"/>
      <c r="P70" s="960"/>
      <c r="Q70" s="960"/>
      <c r="R70" s="960"/>
      <c r="S70" s="975">
        <f t="shared" si="17"/>
        <v>24</v>
      </c>
      <c r="T70" s="975" t="e">
        <f>VLOOKUP(C70,'sản lượng'!$D$12:$AK$89,33,0)</f>
        <v>#N/A</v>
      </c>
      <c r="U70" s="975" t="e">
        <f>VLOOKUP(C70,'sản lượng'!$D$12:$AK$89,34,0)</f>
        <v>#N/A</v>
      </c>
      <c r="V70" s="975" t="e">
        <f>VLOOKUP(C70,'sản lượng'!$D$12:$AK$89,35,0)</f>
        <v>#N/A</v>
      </c>
      <c r="W70" s="975" t="e">
        <f t="shared" si="18"/>
        <v>#N/A</v>
      </c>
      <c r="X70" s="975"/>
      <c r="Y70" s="975"/>
      <c r="Z70" s="975" t="e">
        <f t="shared" si="19"/>
        <v>#N/A</v>
      </c>
      <c r="AA70" s="975" t="e">
        <f>VLOOKUP(C70,'CHẤM CÔNG '!$D$12:$AL$89,33,0)</f>
        <v>#N/A</v>
      </c>
      <c r="AB70" s="975" t="e">
        <f>VLOOKUP(C70,'CHẤM CÔNG '!$D$12:$AL$89,34,0)</f>
        <v>#N/A</v>
      </c>
      <c r="AC70" s="975"/>
      <c r="AD70" s="975"/>
      <c r="AE70" s="975"/>
      <c r="AF70" s="975"/>
      <c r="AG70" s="975"/>
      <c r="AH70" s="975"/>
      <c r="AI70" s="975"/>
      <c r="AJ70" s="975"/>
      <c r="AK70" s="981"/>
      <c r="AL70" s="982" t="e">
        <f>VLOOKUP(C70,'sản lượng'!$D$12:$AM$89,38,0)</f>
        <v>#N/A</v>
      </c>
    </row>
    <row r="71" spans="1:38" ht="15.75">
      <c r="A71" s="969">
        <v>14</v>
      </c>
      <c r="B71" s="958" t="e">
        <f>VLOOKUP(C71,'DS CN MOI UP'!$B$10:$C$389,2,0)</f>
        <v>#N/A</v>
      </c>
      <c r="C71" s="970" t="s">
        <v>443</v>
      </c>
      <c r="D71" s="971" t="s">
        <v>15</v>
      </c>
      <c r="E71" s="960">
        <f t="shared" si="16"/>
        <v>24</v>
      </c>
      <c r="F71" s="960"/>
      <c r="G71" s="960"/>
      <c r="H71" s="1110"/>
      <c r="I71" s="960"/>
      <c r="J71" s="960"/>
      <c r="K71" s="960"/>
      <c r="L71" s="960"/>
      <c r="M71" s="960"/>
      <c r="N71" s="960"/>
      <c r="O71" s="960"/>
      <c r="P71" s="960"/>
      <c r="Q71" s="960"/>
      <c r="R71" s="960"/>
      <c r="S71" s="975">
        <f t="shared" si="17"/>
        <v>24</v>
      </c>
      <c r="T71" s="975" t="e">
        <f>VLOOKUP(C71,'sản lượng'!$D$12:$AK$89,33,0)</f>
        <v>#N/A</v>
      </c>
      <c r="U71" s="975" t="e">
        <f>VLOOKUP(C71,'sản lượng'!$D$12:$AK$89,34,0)</f>
        <v>#N/A</v>
      </c>
      <c r="V71" s="975" t="e">
        <f>VLOOKUP(C71,'sản lượng'!$D$12:$AK$89,35,0)</f>
        <v>#N/A</v>
      </c>
      <c r="W71" s="975" t="e">
        <f t="shared" si="18"/>
        <v>#N/A</v>
      </c>
      <c r="X71" s="975"/>
      <c r="Y71" s="975"/>
      <c r="Z71" s="975" t="e">
        <f t="shared" si="19"/>
        <v>#N/A</v>
      </c>
      <c r="AA71" s="975" t="e">
        <f>VLOOKUP(C71,'CHẤM CÔNG '!$D$12:$AL$89,33,0)</f>
        <v>#N/A</v>
      </c>
      <c r="AB71" s="975" t="e">
        <f>VLOOKUP(C71,'CHẤM CÔNG '!$D$12:$AL$89,34,0)</f>
        <v>#N/A</v>
      </c>
      <c r="AC71" s="975"/>
      <c r="AD71" s="975"/>
      <c r="AE71" s="975"/>
      <c r="AF71" s="975"/>
      <c r="AG71" s="975"/>
      <c r="AH71" s="975"/>
      <c r="AI71" s="975"/>
      <c r="AJ71" s="975"/>
      <c r="AK71" s="981"/>
      <c r="AL71" s="982" t="e">
        <f>VLOOKUP(C71,'sản lượng'!$D$12:$AM$89,38,0)</f>
        <v>#N/A</v>
      </c>
    </row>
    <row r="72" spans="1:38" ht="15.75">
      <c r="A72" s="969">
        <v>15</v>
      </c>
      <c r="B72" s="958" t="e">
        <f>VLOOKUP(C72,'DS CN MOI UP'!$B$10:$C$389,2,0)</f>
        <v>#N/A</v>
      </c>
      <c r="C72" s="970" t="s">
        <v>2624</v>
      </c>
      <c r="D72" s="971" t="s">
        <v>15</v>
      </c>
      <c r="E72" s="960">
        <f t="shared" si="16"/>
        <v>24</v>
      </c>
      <c r="F72" s="960"/>
      <c r="G72" s="960"/>
      <c r="H72" s="1110"/>
      <c r="I72" s="960"/>
      <c r="J72" s="960"/>
      <c r="K72" s="960"/>
      <c r="L72" s="960"/>
      <c r="M72" s="960"/>
      <c r="N72" s="960"/>
      <c r="O72" s="960"/>
      <c r="P72" s="960"/>
      <c r="Q72" s="960"/>
      <c r="R72" s="960"/>
      <c r="S72" s="975">
        <f t="shared" si="17"/>
        <v>24</v>
      </c>
      <c r="T72" s="975" t="e">
        <f>VLOOKUP(C72,'sản lượng'!$D$12:$AK$89,33,0)</f>
        <v>#N/A</v>
      </c>
      <c r="U72" s="975" t="e">
        <f>VLOOKUP(C72,'sản lượng'!$D$12:$AK$89,34,0)</f>
        <v>#N/A</v>
      </c>
      <c r="V72" s="975" t="e">
        <f>VLOOKUP(C72,'sản lượng'!$D$12:$AK$89,35,0)</f>
        <v>#N/A</v>
      </c>
      <c r="W72" s="975" t="e">
        <f t="shared" si="18"/>
        <v>#N/A</v>
      </c>
      <c r="X72" s="975"/>
      <c r="Y72" s="975"/>
      <c r="Z72" s="975" t="e">
        <f t="shared" si="19"/>
        <v>#N/A</v>
      </c>
      <c r="AA72" s="975" t="e">
        <f>VLOOKUP(C72,'CHẤM CÔNG '!$D$12:$AL$89,33,0)</f>
        <v>#N/A</v>
      </c>
      <c r="AB72" s="975" t="e">
        <f>VLOOKUP(C72,'CHẤM CÔNG '!$D$12:$AL$89,34,0)</f>
        <v>#N/A</v>
      </c>
      <c r="AC72" s="975"/>
      <c r="AD72" s="975"/>
      <c r="AE72" s="975"/>
      <c r="AF72" s="975"/>
      <c r="AG72" s="975"/>
      <c r="AH72" s="975"/>
      <c r="AI72" s="975"/>
      <c r="AJ72" s="975"/>
      <c r="AK72" s="981"/>
      <c r="AL72" s="982" t="e">
        <f>VLOOKUP(C72,'sản lượng'!$D$12:$AM$89,38,0)</f>
        <v>#N/A</v>
      </c>
    </row>
    <row r="73" spans="1:38" ht="15.75">
      <c r="A73" s="969">
        <v>16</v>
      </c>
      <c r="B73" s="958" t="e">
        <f>VLOOKUP(C73,'DS CN MOI UP'!$B$10:$C$389,2,0)</f>
        <v>#N/A</v>
      </c>
      <c r="C73" s="970" t="s">
        <v>445</v>
      </c>
      <c r="D73" s="971" t="s">
        <v>15</v>
      </c>
      <c r="E73" s="960">
        <f t="shared" si="16"/>
        <v>24</v>
      </c>
      <c r="F73" s="960"/>
      <c r="G73" s="960"/>
      <c r="H73" s="1110"/>
      <c r="I73" s="960"/>
      <c r="J73" s="960"/>
      <c r="K73" s="960"/>
      <c r="L73" s="960"/>
      <c r="M73" s="960"/>
      <c r="N73" s="960"/>
      <c r="O73" s="960"/>
      <c r="P73" s="960"/>
      <c r="Q73" s="960"/>
      <c r="R73" s="960"/>
      <c r="S73" s="975">
        <f t="shared" si="17"/>
        <v>24</v>
      </c>
      <c r="T73" s="975" t="e">
        <f>VLOOKUP(C73,'sản lượng'!$D$12:$AK$89,33,0)</f>
        <v>#N/A</v>
      </c>
      <c r="U73" s="975" t="e">
        <f>VLOOKUP(C73,'sản lượng'!$D$12:$AK$89,34,0)</f>
        <v>#N/A</v>
      </c>
      <c r="V73" s="975" t="e">
        <f>VLOOKUP(C73,'sản lượng'!$D$12:$AK$89,35,0)</f>
        <v>#N/A</v>
      </c>
      <c r="W73" s="975" t="e">
        <f t="shared" si="18"/>
        <v>#N/A</v>
      </c>
      <c r="X73" s="975"/>
      <c r="Y73" s="975"/>
      <c r="Z73" s="975" t="e">
        <f t="shared" si="19"/>
        <v>#N/A</v>
      </c>
      <c r="AA73" s="975" t="e">
        <f>VLOOKUP(C73,'CHẤM CÔNG '!$D$12:$AL$89,33,0)</f>
        <v>#N/A</v>
      </c>
      <c r="AB73" s="975" t="e">
        <f>VLOOKUP(C73,'CHẤM CÔNG '!$D$12:$AL$89,34,0)</f>
        <v>#N/A</v>
      </c>
      <c r="AC73" s="975"/>
      <c r="AD73" s="975"/>
      <c r="AE73" s="975"/>
      <c r="AF73" s="975"/>
      <c r="AG73" s="975"/>
      <c r="AH73" s="975"/>
      <c r="AI73" s="975"/>
      <c r="AJ73" s="975"/>
      <c r="AK73" s="981"/>
      <c r="AL73" s="982" t="e">
        <f>VLOOKUP(C73,'sản lượng'!$D$12:$AM$89,38,0)</f>
        <v>#N/A</v>
      </c>
    </row>
    <row r="74" spans="1:38" ht="15.75">
      <c r="A74" s="969">
        <v>17</v>
      </c>
      <c r="B74" s="958" t="e">
        <f>VLOOKUP(C74,'DS CN MOI UP'!$B$10:$C$389,2,0)</f>
        <v>#N/A</v>
      </c>
      <c r="C74" s="970" t="s">
        <v>2625</v>
      </c>
      <c r="D74" s="971" t="s">
        <v>15</v>
      </c>
      <c r="E74" s="960">
        <f t="shared" si="16"/>
        <v>24</v>
      </c>
      <c r="F74" s="960"/>
      <c r="G74" s="960"/>
      <c r="H74" s="1110"/>
      <c r="I74" s="960"/>
      <c r="J74" s="960"/>
      <c r="K74" s="960"/>
      <c r="L74" s="960"/>
      <c r="M74" s="960"/>
      <c r="N74" s="960"/>
      <c r="O74" s="960"/>
      <c r="P74" s="960"/>
      <c r="Q74" s="960"/>
      <c r="R74" s="960"/>
      <c r="S74" s="975">
        <f t="shared" si="17"/>
        <v>24</v>
      </c>
      <c r="T74" s="975" t="e">
        <f>VLOOKUP(C74,'sản lượng'!$D$12:$AK$89,33,0)</f>
        <v>#N/A</v>
      </c>
      <c r="U74" s="975" t="e">
        <f>VLOOKUP(C74,'sản lượng'!$D$12:$AK$89,34,0)</f>
        <v>#N/A</v>
      </c>
      <c r="V74" s="975" t="e">
        <f>VLOOKUP(C74,'sản lượng'!$D$12:$AK$89,35,0)</f>
        <v>#N/A</v>
      </c>
      <c r="W74" s="975" t="e">
        <f t="shared" si="18"/>
        <v>#N/A</v>
      </c>
      <c r="X74" s="975"/>
      <c r="Y74" s="975"/>
      <c r="Z74" s="975" t="e">
        <f t="shared" si="19"/>
        <v>#N/A</v>
      </c>
      <c r="AA74" s="975" t="e">
        <f>VLOOKUP(C74,'CHẤM CÔNG '!$D$12:$AL$89,33,0)</f>
        <v>#N/A</v>
      </c>
      <c r="AB74" s="975" t="e">
        <f>VLOOKUP(C74,'CHẤM CÔNG '!$D$12:$AL$89,34,0)</f>
        <v>#N/A</v>
      </c>
      <c r="AC74" s="975"/>
      <c r="AD74" s="975"/>
      <c r="AE74" s="975"/>
      <c r="AF74" s="975"/>
      <c r="AG74" s="975"/>
      <c r="AH74" s="975"/>
      <c r="AI74" s="975"/>
      <c r="AJ74" s="975"/>
      <c r="AK74" s="981"/>
      <c r="AL74" s="982" t="e">
        <f>VLOOKUP(C74,'sản lượng'!$D$12:$AM$89,38,0)</f>
        <v>#N/A</v>
      </c>
    </row>
    <row r="75" spans="1:38" ht="15.75">
      <c r="A75" s="969">
        <v>18</v>
      </c>
      <c r="B75" s="958" t="e">
        <f>VLOOKUP(C75,'DS CN MOI UP'!$B$10:$C$389,2,0)</f>
        <v>#N/A</v>
      </c>
      <c r="C75" s="970" t="s">
        <v>2626</v>
      </c>
      <c r="D75" s="971" t="s">
        <v>15</v>
      </c>
      <c r="E75" s="960">
        <f t="shared" si="16"/>
        <v>24</v>
      </c>
      <c r="F75" s="960"/>
      <c r="G75" s="960"/>
      <c r="H75" s="1110"/>
      <c r="I75" s="960"/>
      <c r="J75" s="960"/>
      <c r="K75" s="960"/>
      <c r="L75" s="960"/>
      <c r="M75" s="960"/>
      <c r="N75" s="960"/>
      <c r="O75" s="960"/>
      <c r="P75" s="960"/>
      <c r="Q75" s="960"/>
      <c r="R75" s="960"/>
      <c r="S75" s="975">
        <f t="shared" si="17"/>
        <v>24</v>
      </c>
      <c r="T75" s="975" t="e">
        <f>VLOOKUP(C75,'sản lượng'!$D$12:$AK$89,33,0)</f>
        <v>#N/A</v>
      </c>
      <c r="U75" s="975" t="e">
        <f>VLOOKUP(C75,'sản lượng'!$D$12:$AK$89,34,0)</f>
        <v>#N/A</v>
      </c>
      <c r="V75" s="975" t="e">
        <f>VLOOKUP(C75,'sản lượng'!$D$12:$AK$89,35,0)</f>
        <v>#N/A</v>
      </c>
      <c r="W75" s="975" t="e">
        <f t="shared" si="18"/>
        <v>#N/A</v>
      </c>
      <c r="X75" s="975"/>
      <c r="Y75" s="975"/>
      <c r="Z75" s="975" t="e">
        <f t="shared" si="19"/>
        <v>#N/A</v>
      </c>
      <c r="AA75" s="975" t="e">
        <f>VLOOKUP(C75,'CHẤM CÔNG '!$D$12:$AL$89,33,0)</f>
        <v>#N/A</v>
      </c>
      <c r="AB75" s="975" t="e">
        <f>VLOOKUP(C75,'CHẤM CÔNG '!$D$12:$AL$89,34,0)</f>
        <v>#N/A</v>
      </c>
      <c r="AC75" s="975"/>
      <c r="AD75" s="975"/>
      <c r="AE75" s="975"/>
      <c r="AF75" s="975"/>
      <c r="AG75" s="975"/>
      <c r="AH75" s="975"/>
      <c r="AI75" s="975"/>
      <c r="AJ75" s="975"/>
      <c r="AK75" s="981"/>
      <c r="AL75" s="982" t="e">
        <f>VLOOKUP(C75,'sản lượng'!$D$12:$AM$89,38,0)</f>
        <v>#N/A</v>
      </c>
    </row>
    <row r="76" spans="1:38" ht="15.75">
      <c r="A76" s="969">
        <v>19</v>
      </c>
      <c r="B76" s="958" t="e">
        <f>VLOOKUP(C76,'DS CN MOI UP'!$B$10:$C$389,2,0)</f>
        <v>#N/A</v>
      </c>
      <c r="C76" s="970" t="s">
        <v>447</v>
      </c>
      <c r="D76" s="971" t="s">
        <v>15</v>
      </c>
      <c r="E76" s="960">
        <f t="shared" si="16"/>
        <v>24</v>
      </c>
      <c r="F76" s="960"/>
      <c r="G76" s="960"/>
      <c r="H76" s="1110"/>
      <c r="I76" s="960"/>
      <c r="J76" s="960"/>
      <c r="K76" s="960"/>
      <c r="L76" s="960"/>
      <c r="M76" s="960"/>
      <c r="N76" s="960"/>
      <c r="O76" s="960"/>
      <c r="P76" s="960"/>
      <c r="Q76" s="960"/>
      <c r="R76" s="960"/>
      <c r="S76" s="975">
        <f t="shared" si="17"/>
        <v>24</v>
      </c>
      <c r="T76" s="975" t="e">
        <f>VLOOKUP(C76,'sản lượng'!$D$12:$AK$89,33,0)</f>
        <v>#N/A</v>
      </c>
      <c r="U76" s="975" t="e">
        <f>VLOOKUP(C76,'sản lượng'!$D$12:$AK$89,34,0)</f>
        <v>#N/A</v>
      </c>
      <c r="V76" s="975" t="e">
        <f>VLOOKUP(C76,'sản lượng'!$D$12:$AK$89,35,0)</f>
        <v>#N/A</v>
      </c>
      <c r="W76" s="975" t="e">
        <f t="shared" si="18"/>
        <v>#N/A</v>
      </c>
      <c r="X76" s="975"/>
      <c r="Y76" s="975"/>
      <c r="Z76" s="975" t="e">
        <f t="shared" si="19"/>
        <v>#N/A</v>
      </c>
      <c r="AA76" s="975" t="e">
        <f>VLOOKUP(C76,'CHẤM CÔNG '!$D$12:$AL$89,33,0)</f>
        <v>#N/A</v>
      </c>
      <c r="AB76" s="975" t="e">
        <f>VLOOKUP(C76,'CHẤM CÔNG '!$D$12:$AL$89,34,0)</f>
        <v>#N/A</v>
      </c>
      <c r="AC76" s="975"/>
      <c r="AD76" s="975"/>
      <c r="AE76" s="975"/>
      <c r="AF76" s="975"/>
      <c r="AG76" s="975"/>
      <c r="AH76" s="975"/>
      <c r="AI76" s="975"/>
      <c r="AJ76" s="975"/>
      <c r="AK76" s="981"/>
      <c r="AL76" s="982" t="e">
        <f>VLOOKUP(C76,'sản lượng'!$D$12:$AM$89,38,0)</f>
        <v>#N/A</v>
      </c>
    </row>
    <row r="77" spans="1:38" ht="15.75">
      <c r="A77" s="969">
        <v>20</v>
      </c>
      <c r="B77" s="958" t="e">
        <f>VLOOKUP(C77,'DS CN MOI UP'!$B$10:$C$389,2,0)</f>
        <v>#N/A</v>
      </c>
      <c r="C77" s="970" t="s">
        <v>2627</v>
      </c>
      <c r="D77" s="971" t="s">
        <v>15</v>
      </c>
      <c r="E77" s="960">
        <f t="shared" si="16"/>
        <v>24</v>
      </c>
      <c r="F77" s="960"/>
      <c r="G77" s="960"/>
      <c r="H77" s="1110"/>
      <c r="I77" s="960"/>
      <c r="J77" s="960"/>
      <c r="K77" s="960"/>
      <c r="L77" s="960"/>
      <c r="M77" s="960"/>
      <c r="N77" s="960"/>
      <c r="O77" s="960"/>
      <c r="P77" s="960"/>
      <c r="Q77" s="960"/>
      <c r="R77" s="960"/>
      <c r="S77" s="975">
        <f t="shared" si="17"/>
        <v>24</v>
      </c>
      <c r="T77" s="975" t="e">
        <f>VLOOKUP(C77,'sản lượng'!$D$12:$AK$89,33,0)</f>
        <v>#N/A</v>
      </c>
      <c r="U77" s="975" t="e">
        <f>VLOOKUP(C77,'sản lượng'!$D$12:$AK$89,34,0)</f>
        <v>#N/A</v>
      </c>
      <c r="V77" s="975" t="e">
        <f>VLOOKUP(C77,'sản lượng'!$D$12:$AK$89,35,0)</f>
        <v>#N/A</v>
      </c>
      <c r="W77" s="975" t="e">
        <f t="shared" si="18"/>
        <v>#N/A</v>
      </c>
      <c r="X77" s="975"/>
      <c r="Y77" s="975"/>
      <c r="Z77" s="975" t="e">
        <f t="shared" si="19"/>
        <v>#N/A</v>
      </c>
      <c r="AA77" s="975" t="e">
        <f>VLOOKUP(C77,'CHẤM CÔNG '!$D$12:$AL$89,33,0)</f>
        <v>#N/A</v>
      </c>
      <c r="AB77" s="975" t="e">
        <f>VLOOKUP(C77,'CHẤM CÔNG '!$D$12:$AL$89,34,0)</f>
        <v>#N/A</v>
      </c>
      <c r="AC77" s="975"/>
      <c r="AD77" s="975"/>
      <c r="AE77" s="975"/>
      <c r="AF77" s="975"/>
      <c r="AG77" s="975"/>
      <c r="AH77" s="975"/>
      <c r="AI77" s="975"/>
      <c r="AJ77" s="975"/>
      <c r="AK77" s="981"/>
      <c r="AL77" s="982" t="e">
        <f>VLOOKUP(C77,'sản lượng'!$D$12:$AM$89,38,0)</f>
        <v>#N/A</v>
      </c>
    </row>
    <row r="78" spans="1:38" ht="15.75">
      <c r="A78" s="969">
        <v>21</v>
      </c>
      <c r="B78" s="958" t="e">
        <f>VLOOKUP(C78,'DS CN MOI UP'!$B$10:$C$389,2,0)</f>
        <v>#N/A</v>
      </c>
      <c r="C78" s="970" t="s">
        <v>470</v>
      </c>
      <c r="D78" s="971" t="s">
        <v>15</v>
      </c>
      <c r="E78" s="960">
        <f t="shared" si="16"/>
        <v>24</v>
      </c>
      <c r="F78" s="960"/>
      <c r="G78" s="960"/>
      <c r="H78" s="1110"/>
      <c r="I78" s="960"/>
      <c r="J78" s="960"/>
      <c r="K78" s="960"/>
      <c r="L78" s="960"/>
      <c r="M78" s="960"/>
      <c r="N78" s="960"/>
      <c r="O78" s="960"/>
      <c r="P78" s="960"/>
      <c r="Q78" s="960"/>
      <c r="R78" s="960"/>
      <c r="S78" s="975">
        <f t="shared" si="17"/>
        <v>24</v>
      </c>
      <c r="T78" s="975" t="e">
        <f>VLOOKUP(C78,'sản lượng'!$D$12:$AK$89,33,0)</f>
        <v>#N/A</v>
      </c>
      <c r="U78" s="975" t="e">
        <f>VLOOKUP(C78,'sản lượng'!$D$12:$AK$89,34,0)</f>
        <v>#N/A</v>
      </c>
      <c r="V78" s="975" t="e">
        <f>VLOOKUP(C78,'sản lượng'!$D$12:$AK$89,35,0)</f>
        <v>#N/A</v>
      </c>
      <c r="W78" s="975" t="e">
        <f t="shared" si="18"/>
        <v>#N/A</v>
      </c>
      <c r="X78" s="975"/>
      <c r="Y78" s="975"/>
      <c r="Z78" s="975" t="e">
        <f t="shared" si="19"/>
        <v>#N/A</v>
      </c>
      <c r="AA78" s="975" t="e">
        <f>VLOOKUP(C78,'CHẤM CÔNG '!$D$12:$AL$89,33,0)</f>
        <v>#N/A</v>
      </c>
      <c r="AB78" s="975" t="e">
        <f>VLOOKUP(C78,'CHẤM CÔNG '!$D$12:$AL$89,34,0)</f>
        <v>#N/A</v>
      </c>
      <c r="AC78" s="975"/>
      <c r="AD78" s="975"/>
      <c r="AE78" s="975"/>
      <c r="AF78" s="975"/>
      <c r="AG78" s="975"/>
      <c r="AH78" s="975"/>
      <c r="AI78" s="975"/>
      <c r="AJ78" s="975"/>
      <c r="AK78" s="981"/>
      <c r="AL78" s="982" t="e">
        <f>VLOOKUP(C78,'sản lượng'!$D$12:$AM$89,38,0)</f>
        <v>#N/A</v>
      </c>
    </row>
    <row r="79" spans="1:38" ht="15.75">
      <c r="A79" s="969">
        <v>22</v>
      </c>
      <c r="B79" s="958" t="e">
        <f>VLOOKUP(C79,'DS CN MOI UP'!$B$10:$C$389,2,0)</f>
        <v>#N/A</v>
      </c>
      <c r="C79" s="970" t="s">
        <v>2628</v>
      </c>
      <c r="D79" s="971" t="s">
        <v>15</v>
      </c>
      <c r="E79" s="960">
        <f t="shared" si="16"/>
        <v>24</v>
      </c>
      <c r="F79" s="960"/>
      <c r="G79" s="960"/>
      <c r="H79" s="1110"/>
      <c r="I79" s="960"/>
      <c r="J79" s="960"/>
      <c r="K79" s="960"/>
      <c r="L79" s="960"/>
      <c r="M79" s="960"/>
      <c r="N79" s="960"/>
      <c r="O79" s="960"/>
      <c r="P79" s="960"/>
      <c r="Q79" s="960"/>
      <c r="R79" s="960"/>
      <c r="S79" s="975">
        <f t="shared" si="17"/>
        <v>24</v>
      </c>
      <c r="T79" s="975" t="e">
        <f>VLOOKUP(C79,'sản lượng'!$D$12:$AK$89,33,0)</f>
        <v>#N/A</v>
      </c>
      <c r="U79" s="975" t="e">
        <f>VLOOKUP(C79,'sản lượng'!$D$12:$AK$89,34,0)</f>
        <v>#N/A</v>
      </c>
      <c r="V79" s="975" t="e">
        <f>VLOOKUP(C79,'sản lượng'!$D$12:$AK$89,35,0)</f>
        <v>#N/A</v>
      </c>
      <c r="W79" s="975" t="e">
        <f t="shared" si="18"/>
        <v>#N/A</v>
      </c>
      <c r="X79" s="975"/>
      <c r="Y79" s="975"/>
      <c r="Z79" s="975" t="e">
        <f t="shared" si="19"/>
        <v>#N/A</v>
      </c>
      <c r="AA79" s="975" t="e">
        <f>VLOOKUP(C79,'CHẤM CÔNG '!$D$12:$AL$89,33,0)</f>
        <v>#N/A</v>
      </c>
      <c r="AB79" s="975" t="e">
        <f>VLOOKUP(C79,'CHẤM CÔNG '!$D$12:$AL$89,34,0)</f>
        <v>#N/A</v>
      </c>
      <c r="AC79" s="975"/>
      <c r="AD79" s="975"/>
      <c r="AE79" s="975"/>
      <c r="AF79" s="975"/>
      <c r="AG79" s="975"/>
      <c r="AH79" s="975"/>
      <c r="AI79" s="975"/>
      <c r="AJ79" s="975"/>
      <c r="AK79" s="981"/>
      <c r="AL79" s="982" t="e">
        <f>VLOOKUP(C79,'sản lượng'!$D$12:$AM$89,38,0)</f>
        <v>#N/A</v>
      </c>
    </row>
    <row r="80" spans="1:38" ht="15.75">
      <c r="A80" s="969">
        <v>23</v>
      </c>
      <c r="B80" s="958" t="e">
        <f>VLOOKUP(C80,'DS CN MOI UP'!$B$10:$C$389,2,0)</f>
        <v>#N/A</v>
      </c>
      <c r="C80" s="970" t="s">
        <v>451</v>
      </c>
      <c r="D80" s="971" t="s">
        <v>15</v>
      </c>
      <c r="E80" s="960">
        <f t="shared" si="16"/>
        <v>24</v>
      </c>
      <c r="F80" s="960"/>
      <c r="G80" s="960"/>
      <c r="H80" s="1110"/>
      <c r="I80" s="960"/>
      <c r="J80" s="960"/>
      <c r="K80" s="960"/>
      <c r="L80" s="960"/>
      <c r="M80" s="960"/>
      <c r="N80" s="960"/>
      <c r="O80" s="960"/>
      <c r="P80" s="960"/>
      <c r="Q80" s="960"/>
      <c r="R80" s="960"/>
      <c r="S80" s="975">
        <f t="shared" ref="S80:S94" si="20">SUM(E80:P80)</f>
        <v>24</v>
      </c>
      <c r="T80" s="975" t="e">
        <f>VLOOKUP(C80,'sản lượng'!$D$12:$AK$89,33,0)</f>
        <v>#N/A</v>
      </c>
      <c r="U80" s="975" t="e">
        <f>VLOOKUP(C80,'sản lượng'!$D$12:$AK$89,34,0)</f>
        <v>#N/A</v>
      </c>
      <c r="V80" s="975" t="e">
        <f>VLOOKUP(C80,'sản lượng'!$D$12:$AK$89,35,0)</f>
        <v>#N/A</v>
      </c>
      <c r="W80" s="975" t="e">
        <f t="shared" si="18"/>
        <v>#N/A</v>
      </c>
      <c r="X80" s="975"/>
      <c r="Y80" s="975"/>
      <c r="Z80" s="975" t="e">
        <f t="shared" si="19"/>
        <v>#N/A</v>
      </c>
      <c r="AA80" s="975" t="e">
        <f>VLOOKUP(C80,'CHẤM CÔNG '!$D$12:$AL$89,33,0)</f>
        <v>#N/A</v>
      </c>
      <c r="AB80" s="975" t="e">
        <f>VLOOKUP(C80,'CHẤM CÔNG '!$D$12:$AL$89,34,0)</f>
        <v>#N/A</v>
      </c>
      <c r="AC80" s="975"/>
      <c r="AD80" s="975"/>
      <c r="AE80" s="975"/>
      <c r="AF80" s="975"/>
      <c r="AG80" s="975"/>
      <c r="AH80" s="975"/>
      <c r="AI80" s="975"/>
      <c r="AJ80" s="975"/>
      <c r="AK80" s="981"/>
      <c r="AL80" s="982" t="e">
        <f>VLOOKUP(C80,'sản lượng'!$D$12:$AM$89,38,0)</f>
        <v>#N/A</v>
      </c>
    </row>
    <row r="81" spans="1:38" ht="15.75">
      <c r="A81" s="969">
        <v>24</v>
      </c>
      <c r="B81" s="958" t="e">
        <f>VLOOKUP(C81,'DS CN MOI UP'!$B$10:$C$389,2,0)</f>
        <v>#N/A</v>
      </c>
      <c r="C81" s="970" t="s">
        <v>452</v>
      </c>
      <c r="D81" s="971" t="s">
        <v>15</v>
      </c>
      <c r="E81" s="960">
        <f t="shared" si="16"/>
        <v>24</v>
      </c>
      <c r="F81" s="960"/>
      <c r="G81" s="960"/>
      <c r="H81" s="1110"/>
      <c r="I81" s="960"/>
      <c r="J81" s="960"/>
      <c r="K81" s="960"/>
      <c r="L81" s="960"/>
      <c r="M81" s="960"/>
      <c r="N81" s="960"/>
      <c r="O81" s="960"/>
      <c r="P81" s="960"/>
      <c r="Q81" s="960"/>
      <c r="R81" s="960"/>
      <c r="S81" s="975">
        <f t="shared" si="20"/>
        <v>24</v>
      </c>
      <c r="T81" s="975" t="e">
        <f>VLOOKUP(C81,'sản lượng'!$D$12:$AK$89,33,0)</f>
        <v>#N/A</v>
      </c>
      <c r="U81" s="975" t="e">
        <f>VLOOKUP(C81,'sản lượng'!$D$12:$AK$89,34,0)</f>
        <v>#N/A</v>
      </c>
      <c r="V81" s="975" t="e">
        <f>VLOOKUP(C81,'sản lượng'!$D$12:$AK$89,35,0)</f>
        <v>#N/A</v>
      </c>
      <c r="W81" s="975" t="e">
        <f t="shared" si="18"/>
        <v>#N/A</v>
      </c>
      <c r="X81" s="975"/>
      <c r="Y81" s="975"/>
      <c r="Z81" s="975" t="e">
        <f t="shared" si="19"/>
        <v>#N/A</v>
      </c>
      <c r="AA81" s="975" t="e">
        <f>VLOOKUP(C81,'CHẤM CÔNG '!$D$12:$AL$89,33,0)</f>
        <v>#N/A</v>
      </c>
      <c r="AB81" s="975" t="e">
        <f>VLOOKUP(C81,'CHẤM CÔNG '!$D$12:$AL$89,34,0)</f>
        <v>#N/A</v>
      </c>
      <c r="AC81" s="975"/>
      <c r="AD81" s="975"/>
      <c r="AE81" s="975"/>
      <c r="AF81" s="975"/>
      <c r="AG81" s="975"/>
      <c r="AH81" s="975"/>
      <c r="AI81" s="975"/>
      <c r="AJ81" s="975"/>
      <c r="AK81" s="981"/>
      <c r="AL81" s="982" t="e">
        <f>VLOOKUP(C81,'sản lượng'!$D$12:$AM$89,38,0)</f>
        <v>#N/A</v>
      </c>
    </row>
    <row r="82" spans="1:38" ht="15.75">
      <c r="A82" s="969">
        <v>25</v>
      </c>
      <c r="B82" s="958" t="e">
        <f>VLOOKUP(C82,'DS CN MOI UP'!$B$10:$C$389,2,0)</f>
        <v>#N/A</v>
      </c>
      <c r="C82" s="970" t="s">
        <v>453</v>
      </c>
      <c r="D82" s="971" t="s">
        <v>15</v>
      </c>
      <c r="E82" s="960">
        <f t="shared" si="16"/>
        <v>24</v>
      </c>
      <c r="F82" s="960"/>
      <c r="G82" s="960"/>
      <c r="H82" s="1110"/>
      <c r="I82" s="960"/>
      <c r="J82" s="960"/>
      <c r="K82" s="960"/>
      <c r="L82" s="960"/>
      <c r="M82" s="960"/>
      <c r="N82" s="960"/>
      <c r="O82" s="960"/>
      <c r="P82" s="960"/>
      <c r="Q82" s="960"/>
      <c r="R82" s="960"/>
      <c r="S82" s="975">
        <f t="shared" si="20"/>
        <v>24</v>
      </c>
      <c r="T82" s="975" t="e">
        <f>VLOOKUP(C82,'sản lượng'!$D$12:$AK$89,33,0)</f>
        <v>#N/A</v>
      </c>
      <c r="U82" s="975" t="e">
        <f>VLOOKUP(C82,'sản lượng'!$D$12:$AK$89,34,0)</f>
        <v>#N/A</v>
      </c>
      <c r="V82" s="975" t="e">
        <f>VLOOKUP(C82,'sản lượng'!$D$12:$AK$89,35,0)</f>
        <v>#N/A</v>
      </c>
      <c r="W82" s="975" t="e">
        <f t="shared" si="18"/>
        <v>#N/A</v>
      </c>
      <c r="X82" s="975"/>
      <c r="Y82" s="975"/>
      <c r="Z82" s="975" t="e">
        <f t="shared" si="19"/>
        <v>#N/A</v>
      </c>
      <c r="AA82" s="975" t="e">
        <f>VLOOKUP(C82,'CHẤM CÔNG '!$D$12:$AL$89,33,0)</f>
        <v>#N/A</v>
      </c>
      <c r="AB82" s="975" t="e">
        <f>VLOOKUP(C82,'CHẤM CÔNG '!$D$12:$AL$89,34,0)</f>
        <v>#N/A</v>
      </c>
      <c r="AC82" s="975"/>
      <c r="AD82" s="975"/>
      <c r="AE82" s="975"/>
      <c r="AF82" s="975"/>
      <c r="AG82" s="975"/>
      <c r="AH82" s="975"/>
      <c r="AI82" s="975"/>
      <c r="AJ82" s="975"/>
      <c r="AK82" s="981"/>
      <c r="AL82" s="982" t="e">
        <f>VLOOKUP(C82,'sản lượng'!$D$12:$AM$89,38,0)</f>
        <v>#N/A</v>
      </c>
    </row>
    <row r="83" spans="1:38" ht="15.75">
      <c r="A83" s="969">
        <v>26</v>
      </c>
      <c r="B83" s="958" t="e">
        <f>VLOOKUP(C83,'DS CN MOI UP'!$B$10:$C$389,2,0)</f>
        <v>#N/A</v>
      </c>
      <c r="C83" s="970" t="s">
        <v>454</v>
      </c>
      <c r="D83" s="971" t="s">
        <v>15</v>
      </c>
      <c r="E83" s="960">
        <f t="shared" si="16"/>
        <v>24</v>
      </c>
      <c r="F83" s="960"/>
      <c r="G83" s="960"/>
      <c r="H83" s="1110"/>
      <c r="I83" s="960"/>
      <c r="J83" s="960"/>
      <c r="K83" s="960"/>
      <c r="L83" s="960"/>
      <c r="M83" s="960"/>
      <c r="N83" s="960"/>
      <c r="O83" s="960"/>
      <c r="P83" s="960"/>
      <c r="Q83" s="960"/>
      <c r="R83" s="960"/>
      <c r="S83" s="975">
        <f t="shared" si="20"/>
        <v>24</v>
      </c>
      <c r="T83" s="975" t="e">
        <f>VLOOKUP(C83,'sản lượng'!$D$12:$AK$89,33,0)</f>
        <v>#N/A</v>
      </c>
      <c r="U83" s="975" t="e">
        <f>VLOOKUP(C83,'sản lượng'!$D$12:$AK$89,34,0)</f>
        <v>#N/A</v>
      </c>
      <c r="V83" s="975" t="e">
        <f>VLOOKUP(C83,'sản lượng'!$D$12:$AK$89,35,0)</f>
        <v>#N/A</v>
      </c>
      <c r="W83" s="975" t="e">
        <f t="shared" si="18"/>
        <v>#N/A</v>
      </c>
      <c r="X83" s="975"/>
      <c r="Y83" s="975"/>
      <c r="Z83" s="975" t="e">
        <f t="shared" si="19"/>
        <v>#N/A</v>
      </c>
      <c r="AA83" s="975" t="e">
        <f>VLOOKUP(C83,'CHẤM CÔNG '!$D$12:$AL$89,33,0)</f>
        <v>#N/A</v>
      </c>
      <c r="AB83" s="975" t="e">
        <f>VLOOKUP(C83,'CHẤM CÔNG '!$D$12:$AL$89,34,0)</f>
        <v>#N/A</v>
      </c>
      <c r="AC83" s="975"/>
      <c r="AD83" s="975"/>
      <c r="AE83" s="975"/>
      <c r="AF83" s="975"/>
      <c r="AG83" s="975"/>
      <c r="AH83" s="975"/>
      <c r="AI83" s="975"/>
      <c r="AJ83" s="975"/>
      <c r="AK83" s="981"/>
      <c r="AL83" s="982" t="e">
        <f>VLOOKUP(C83,'sản lượng'!$D$12:$AM$89,38,0)</f>
        <v>#N/A</v>
      </c>
    </row>
    <row r="84" spans="1:38" ht="15.75">
      <c r="A84" s="969">
        <v>27</v>
      </c>
      <c r="B84" s="958" t="e">
        <f>VLOOKUP(C84,'DS CN MOI UP'!$B$10:$C$389,2,0)</f>
        <v>#N/A</v>
      </c>
      <c r="C84" s="970" t="s">
        <v>911</v>
      </c>
      <c r="D84" s="971" t="s">
        <v>15</v>
      </c>
      <c r="E84" s="960">
        <f t="shared" si="16"/>
        <v>24</v>
      </c>
      <c r="F84" s="960"/>
      <c r="G84" s="960"/>
      <c r="H84" s="1110"/>
      <c r="I84" s="960"/>
      <c r="J84" s="960"/>
      <c r="K84" s="960"/>
      <c r="L84" s="960"/>
      <c r="M84" s="960"/>
      <c r="N84" s="960"/>
      <c r="O84" s="960"/>
      <c r="P84" s="960"/>
      <c r="Q84" s="960"/>
      <c r="R84" s="960"/>
      <c r="S84" s="975">
        <f t="shared" si="20"/>
        <v>24</v>
      </c>
      <c r="T84" s="975" t="e">
        <f>VLOOKUP(C84,'sản lượng'!$D$12:$AK$89,33,0)</f>
        <v>#N/A</v>
      </c>
      <c r="U84" s="975" t="e">
        <f>VLOOKUP(C84,'sản lượng'!$D$12:$AK$89,34,0)</f>
        <v>#N/A</v>
      </c>
      <c r="V84" s="975" t="e">
        <f>VLOOKUP(C84,'sản lượng'!$D$12:$AK$89,35,0)</f>
        <v>#N/A</v>
      </c>
      <c r="W84" s="975" t="e">
        <f t="shared" si="18"/>
        <v>#N/A</v>
      </c>
      <c r="X84" s="975"/>
      <c r="Y84" s="975"/>
      <c r="Z84" s="975" t="e">
        <f t="shared" si="19"/>
        <v>#N/A</v>
      </c>
      <c r="AA84" s="975" t="e">
        <f>VLOOKUP(C84,'CHẤM CÔNG '!$D$12:$AL$89,33,0)</f>
        <v>#N/A</v>
      </c>
      <c r="AB84" s="975" t="e">
        <f>VLOOKUP(C84,'CHẤM CÔNG '!$D$12:$AL$89,34,0)</f>
        <v>#N/A</v>
      </c>
      <c r="AC84" s="975"/>
      <c r="AD84" s="975"/>
      <c r="AE84" s="975"/>
      <c r="AF84" s="975"/>
      <c r="AG84" s="975"/>
      <c r="AH84" s="975"/>
      <c r="AI84" s="975"/>
      <c r="AJ84" s="975"/>
      <c r="AK84" s="981"/>
      <c r="AL84" s="982" t="e">
        <f>VLOOKUP(C84,'sản lượng'!$D$12:$AM$89,38,0)</f>
        <v>#N/A</v>
      </c>
    </row>
    <row r="85" spans="1:38" ht="15.75">
      <c r="A85" s="969">
        <v>28</v>
      </c>
      <c r="B85" s="958" t="e">
        <f>VLOOKUP(C85,'DS CN MOI UP'!$B$10:$C$389,2,0)</f>
        <v>#N/A</v>
      </c>
      <c r="C85" s="970" t="s">
        <v>2629</v>
      </c>
      <c r="D85" s="971" t="s">
        <v>15</v>
      </c>
      <c r="E85" s="960">
        <f t="shared" si="16"/>
        <v>24</v>
      </c>
      <c r="F85" s="960"/>
      <c r="G85" s="960"/>
      <c r="H85" s="1110"/>
      <c r="I85" s="960"/>
      <c r="J85" s="960"/>
      <c r="K85" s="960"/>
      <c r="L85" s="960"/>
      <c r="M85" s="960"/>
      <c r="N85" s="960"/>
      <c r="O85" s="960"/>
      <c r="P85" s="960"/>
      <c r="Q85" s="960"/>
      <c r="R85" s="960"/>
      <c r="S85" s="975">
        <f t="shared" si="20"/>
        <v>24</v>
      </c>
      <c r="T85" s="975" t="e">
        <f>VLOOKUP(C85,'sản lượng'!$D$12:$AK$89,33,0)</f>
        <v>#N/A</v>
      </c>
      <c r="U85" s="975" t="e">
        <f>VLOOKUP(C85,'sản lượng'!$D$12:$AK$89,34,0)</f>
        <v>#N/A</v>
      </c>
      <c r="V85" s="975" t="e">
        <f>VLOOKUP(C85,'sản lượng'!$D$12:$AK$89,35,0)</f>
        <v>#N/A</v>
      </c>
      <c r="W85" s="975" t="e">
        <f t="shared" si="18"/>
        <v>#N/A</v>
      </c>
      <c r="X85" s="975"/>
      <c r="Y85" s="975"/>
      <c r="Z85" s="975" t="e">
        <f t="shared" si="19"/>
        <v>#N/A</v>
      </c>
      <c r="AA85" s="975" t="e">
        <f>VLOOKUP(C85,'CHẤM CÔNG '!$D$12:$AL$89,33,0)</f>
        <v>#N/A</v>
      </c>
      <c r="AB85" s="975" t="e">
        <f>VLOOKUP(C85,'CHẤM CÔNG '!$D$12:$AL$89,34,0)</f>
        <v>#N/A</v>
      </c>
      <c r="AC85" s="975"/>
      <c r="AD85" s="975"/>
      <c r="AE85" s="975"/>
      <c r="AF85" s="975"/>
      <c r="AG85" s="975"/>
      <c r="AH85" s="975"/>
      <c r="AI85" s="975"/>
      <c r="AJ85" s="975"/>
      <c r="AK85" s="981"/>
      <c r="AL85" s="982" t="e">
        <f>VLOOKUP(C85,'sản lượng'!$D$12:$AM$89,38,0)</f>
        <v>#N/A</v>
      </c>
    </row>
    <row r="86" spans="1:38" ht="15.75">
      <c r="A86" s="969">
        <v>29</v>
      </c>
      <c r="B86" s="958" t="e">
        <f>VLOOKUP(C86,'DS CN MOI UP'!$B$10:$C$389,2,0)</f>
        <v>#N/A</v>
      </c>
      <c r="C86" s="970" t="s">
        <v>457</v>
      </c>
      <c r="D86" s="971" t="s">
        <v>15</v>
      </c>
      <c r="E86" s="960">
        <f t="shared" si="16"/>
        <v>24</v>
      </c>
      <c r="F86" s="960"/>
      <c r="G86" s="960"/>
      <c r="H86" s="1110"/>
      <c r="I86" s="960"/>
      <c r="J86" s="960"/>
      <c r="K86" s="960"/>
      <c r="L86" s="960"/>
      <c r="M86" s="960"/>
      <c r="N86" s="960"/>
      <c r="O86" s="960"/>
      <c r="P86" s="960"/>
      <c r="Q86" s="960"/>
      <c r="R86" s="960"/>
      <c r="S86" s="975">
        <f t="shared" si="20"/>
        <v>24</v>
      </c>
      <c r="T86" s="975" t="e">
        <f>VLOOKUP(C86,'sản lượng'!$D$12:$AK$89,33,0)</f>
        <v>#N/A</v>
      </c>
      <c r="U86" s="975" t="e">
        <f>VLOOKUP(C86,'sản lượng'!$D$12:$AK$89,34,0)</f>
        <v>#N/A</v>
      </c>
      <c r="V86" s="975" t="e">
        <f>VLOOKUP(C86,'sản lượng'!$D$12:$AK$89,35,0)</f>
        <v>#N/A</v>
      </c>
      <c r="W86" s="975" t="e">
        <f t="shared" si="18"/>
        <v>#N/A</v>
      </c>
      <c r="X86" s="975"/>
      <c r="Y86" s="975"/>
      <c r="Z86" s="975" t="e">
        <f t="shared" si="19"/>
        <v>#N/A</v>
      </c>
      <c r="AA86" s="975" t="e">
        <f>VLOOKUP(C86,'CHẤM CÔNG '!$D$12:$AL$89,33,0)</f>
        <v>#N/A</v>
      </c>
      <c r="AB86" s="975" t="e">
        <f>VLOOKUP(C86,'CHẤM CÔNG '!$D$12:$AL$89,34,0)</f>
        <v>#N/A</v>
      </c>
      <c r="AC86" s="975"/>
      <c r="AD86" s="975"/>
      <c r="AE86" s="975"/>
      <c r="AF86" s="975"/>
      <c r="AG86" s="975"/>
      <c r="AH86" s="975"/>
      <c r="AI86" s="975"/>
      <c r="AJ86" s="975"/>
      <c r="AK86" s="981"/>
      <c r="AL86" s="982" t="e">
        <f>VLOOKUP(C86,'sản lượng'!$D$12:$AM$89,38,0)</f>
        <v>#N/A</v>
      </c>
    </row>
    <row r="87" spans="1:38" ht="15.75">
      <c r="A87" s="969">
        <v>30</v>
      </c>
      <c r="B87" s="958" t="e">
        <f>VLOOKUP(C87,'DS CN MOI UP'!$B$10:$C$389,2,0)</f>
        <v>#N/A</v>
      </c>
      <c r="C87" s="970" t="s">
        <v>467</v>
      </c>
      <c r="D87" s="971" t="s">
        <v>15</v>
      </c>
      <c r="E87" s="960">
        <f t="shared" si="16"/>
        <v>24</v>
      </c>
      <c r="F87" s="960"/>
      <c r="G87" s="960"/>
      <c r="H87" s="1110"/>
      <c r="I87" s="960"/>
      <c r="J87" s="960"/>
      <c r="K87" s="960"/>
      <c r="L87" s="960"/>
      <c r="M87" s="960"/>
      <c r="N87" s="960"/>
      <c r="O87" s="960"/>
      <c r="P87" s="960"/>
      <c r="Q87" s="960"/>
      <c r="R87" s="960"/>
      <c r="S87" s="975">
        <f t="shared" si="20"/>
        <v>24</v>
      </c>
      <c r="T87" s="975" t="e">
        <f>VLOOKUP(C87,'sản lượng'!$D$12:$AK$89,33,0)</f>
        <v>#N/A</v>
      </c>
      <c r="U87" s="975" t="e">
        <f>VLOOKUP(C87,'sản lượng'!$D$12:$AK$89,34,0)</f>
        <v>#N/A</v>
      </c>
      <c r="V87" s="975" t="e">
        <f>VLOOKUP(C87,'sản lượng'!$D$12:$AK$89,35,0)</f>
        <v>#N/A</v>
      </c>
      <c r="W87" s="975" t="e">
        <f t="shared" si="18"/>
        <v>#N/A</v>
      </c>
      <c r="X87" s="975"/>
      <c r="Y87" s="975"/>
      <c r="Z87" s="975" t="e">
        <f t="shared" si="19"/>
        <v>#N/A</v>
      </c>
      <c r="AA87" s="975" t="e">
        <f>VLOOKUP(C87,'CHẤM CÔNG '!$D$12:$AL$89,33,0)</f>
        <v>#N/A</v>
      </c>
      <c r="AB87" s="975" t="e">
        <f>VLOOKUP(C87,'CHẤM CÔNG '!$D$12:$AL$89,34,0)</f>
        <v>#N/A</v>
      </c>
      <c r="AC87" s="975"/>
      <c r="AD87" s="975"/>
      <c r="AE87" s="975"/>
      <c r="AF87" s="975"/>
      <c r="AG87" s="975"/>
      <c r="AH87" s="975"/>
      <c r="AI87" s="975"/>
      <c r="AJ87" s="975"/>
      <c r="AK87" s="981"/>
      <c r="AL87" s="982" t="e">
        <f>VLOOKUP(C87,'sản lượng'!$D$12:$AM$89,38,0)</f>
        <v>#N/A</v>
      </c>
    </row>
    <row r="88" spans="1:38" ht="15.75">
      <c r="A88" s="969">
        <v>31</v>
      </c>
      <c r="B88" s="958" t="e">
        <f>VLOOKUP(C88,'DS CN MOI UP'!$B$10:$C$389,2,0)</f>
        <v>#N/A</v>
      </c>
      <c r="C88" s="970" t="s">
        <v>459</v>
      </c>
      <c r="D88" s="971" t="s">
        <v>15</v>
      </c>
      <c r="E88" s="960">
        <f t="shared" si="16"/>
        <v>24</v>
      </c>
      <c r="F88" s="960"/>
      <c r="G88" s="960"/>
      <c r="H88" s="1110"/>
      <c r="I88" s="960"/>
      <c r="J88" s="960"/>
      <c r="K88" s="960"/>
      <c r="L88" s="960"/>
      <c r="M88" s="960"/>
      <c r="N88" s="960"/>
      <c r="O88" s="960"/>
      <c r="P88" s="960"/>
      <c r="Q88" s="960"/>
      <c r="R88" s="960"/>
      <c r="S88" s="975">
        <f t="shared" si="20"/>
        <v>24</v>
      </c>
      <c r="T88" s="975" t="e">
        <f>VLOOKUP(C88,'sản lượng'!$D$12:$AK$89,33,0)</f>
        <v>#N/A</v>
      </c>
      <c r="U88" s="975" t="e">
        <f>VLOOKUP(C88,'sản lượng'!$D$12:$AK$89,34,0)</f>
        <v>#N/A</v>
      </c>
      <c r="V88" s="975" t="e">
        <f>VLOOKUP(C88,'sản lượng'!$D$12:$AK$89,35,0)</f>
        <v>#N/A</v>
      </c>
      <c r="W88" s="975" t="e">
        <f t="shared" si="18"/>
        <v>#N/A</v>
      </c>
      <c r="X88" s="975"/>
      <c r="Y88" s="975"/>
      <c r="Z88" s="975" t="e">
        <f t="shared" si="19"/>
        <v>#N/A</v>
      </c>
      <c r="AA88" s="975" t="e">
        <f>VLOOKUP(C88,'CHẤM CÔNG '!$D$12:$AL$89,33,0)</f>
        <v>#N/A</v>
      </c>
      <c r="AB88" s="975" t="e">
        <f>VLOOKUP(C88,'CHẤM CÔNG '!$D$12:$AL$89,34,0)</f>
        <v>#N/A</v>
      </c>
      <c r="AC88" s="975"/>
      <c r="AD88" s="975"/>
      <c r="AE88" s="975"/>
      <c r="AF88" s="975"/>
      <c r="AG88" s="975"/>
      <c r="AH88" s="975"/>
      <c r="AI88" s="975"/>
      <c r="AJ88" s="975"/>
      <c r="AK88" s="981"/>
      <c r="AL88" s="982" t="e">
        <f>VLOOKUP(C88,'sản lượng'!$D$12:$AM$89,38,0)</f>
        <v>#N/A</v>
      </c>
    </row>
    <row r="89" spans="1:38" ht="15.75">
      <c r="A89" s="969">
        <v>32</v>
      </c>
      <c r="B89" s="958" t="e">
        <f>VLOOKUP(C89,'DS CN MOI UP'!$B$10:$C$389,2,0)</f>
        <v>#N/A</v>
      </c>
      <c r="C89" s="970" t="s">
        <v>460</v>
      </c>
      <c r="D89" s="971" t="s">
        <v>15</v>
      </c>
      <c r="E89" s="960">
        <f t="shared" si="16"/>
        <v>24</v>
      </c>
      <c r="F89" s="960"/>
      <c r="G89" s="960"/>
      <c r="H89" s="1110"/>
      <c r="I89" s="960"/>
      <c r="J89" s="960"/>
      <c r="K89" s="960"/>
      <c r="L89" s="960"/>
      <c r="M89" s="960"/>
      <c r="N89" s="960"/>
      <c r="O89" s="960"/>
      <c r="P89" s="960"/>
      <c r="Q89" s="960"/>
      <c r="R89" s="960"/>
      <c r="S89" s="975">
        <f t="shared" si="20"/>
        <v>24</v>
      </c>
      <c r="T89" s="975" t="e">
        <f>VLOOKUP(C89,'sản lượng'!$D$12:$AK$89,33,0)</f>
        <v>#N/A</v>
      </c>
      <c r="U89" s="975" t="e">
        <f>VLOOKUP(C89,'sản lượng'!$D$12:$AK$89,34,0)</f>
        <v>#N/A</v>
      </c>
      <c r="V89" s="975" t="e">
        <f>VLOOKUP(C89,'sản lượng'!$D$12:$AK$89,35,0)</f>
        <v>#N/A</v>
      </c>
      <c r="W89" s="975" t="e">
        <f t="shared" si="18"/>
        <v>#N/A</v>
      </c>
      <c r="X89" s="975"/>
      <c r="Y89" s="975"/>
      <c r="Z89" s="975" t="e">
        <f t="shared" si="19"/>
        <v>#N/A</v>
      </c>
      <c r="AA89" s="975" t="e">
        <f>VLOOKUP(C89,'CHẤM CÔNG '!$D$12:$AL$89,33,0)</f>
        <v>#N/A</v>
      </c>
      <c r="AB89" s="975" t="e">
        <f>VLOOKUP(C89,'CHẤM CÔNG '!$D$12:$AL$89,34,0)</f>
        <v>#N/A</v>
      </c>
      <c r="AC89" s="975"/>
      <c r="AD89" s="975"/>
      <c r="AE89" s="975"/>
      <c r="AF89" s="975"/>
      <c r="AG89" s="975"/>
      <c r="AH89" s="975"/>
      <c r="AI89" s="975"/>
      <c r="AJ89" s="975"/>
      <c r="AK89" s="981"/>
      <c r="AL89" s="982" t="e">
        <f>VLOOKUP(C89,'sản lượng'!$D$12:$AM$89,38,0)</f>
        <v>#N/A</v>
      </c>
    </row>
    <row r="90" spans="1:38" ht="15.75">
      <c r="A90" s="969">
        <v>33</v>
      </c>
      <c r="B90" s="958" t="e">
        <f>VLOOKUP(C90,'DS CN MOI UP'!$B$10:$C$389,2,0)</f>
        <v>#N/A</v>
      </c>
      <c r="C90" s="970" t="s">
        <v>461</v>
      </c>
      <c r="D90" s="971" t="s">
        <v>15</v>
      </c>
      <c r="E90" s="960">
        <f t="shared" si="16"/>
        <v>24</v>
      </c>
      <c r="F90" s="960"/>
      <c r="G90" s="960"/>
      <c r="H90" s="1110"/>
      <c r="I90" s="960"/>
      <c r="J90" s="960"/>
      <c r="K90" s="960"/>
      <c r="L90" s="960"/>
      <c r="M90" s="960"/>
      <c r="N90" s="960"/>
      <c r="O90" s="960"/>
      <c r="P90" s="960"/>
      <c r="Q90" s="960"/>
      <c r="R90" s="960"/>
      <c r="S90" s="975">
        <f t="shared" si="20"/>
        <v>24</v>
      </c>
      <c r="T90" s="975" t="e">
        <f>VLOOKUP(C90,'sản lượng'!$D$12:$AK$89,33,0)</f>
        <v>#N/A</v>
      </c>
      <c r="U90" s="975" t="e">
        <f>VLOOKUP(C90,'sản lượng'!$D$12:$AK$89,34,0)</f>
        <v>#N/A</v>
      </c>
      <c r="V90" s="975" t="e">
        <f>VLOOKUP(C90,'sản lượng'!$D$12:$AK$89,35,0)</f>
        <v>#N/A</v>
      </c>
      <c r="W90" s="975" t="e">
        <f t="shared" si="18"/>
        <v>#N/A</v>
      </c>
      <c r="X90" s="975"/>
      <c r="Y90" s="975"/>
      <c r="Z90" s="975" t="e">
        <f t="shared" si="19"/>
        <v>#N/A</v>
      </c>
      <c r="AA90" s="975" t="e">
        <f>VLOOKUP(C90,'CHẤM CÔNG '!$D$12:$AL$89,33,0)</f>
        <v>#N/A</v>
      </c>
      <c r="AB90" s="975" t="e">
        <f>VLOOKUP(C90,'CHẤM CÔNG '!$D$12:$AL$89,34,0)</f>
        <v>#N/A</v>
      </c>
      <c r="AC90" s="975"/>
      <c r="AD90" s="975"/>
      <c r="AE90" s="975"/>
      <c r="AF90" s="975"/>
      <c r="AG90" s="975"/>
      <c r="AH90" s="975"/>
      <c r="AI90" s="975"/>
      <c r="AJ90" s="975"/>
      <c r="AK90" s="981"/>
      <c r="AL90" s="982" t="e">
        <f>VLOOKUP(C90,'sản lượng'!$D$12:$AM$89,38,0)</f>
        <v>#N/A</v>
      </c>
    </row>
    <row r="91" spans="1:38" ht="15.75">
      <c r="A91" s="969">
        <v>34</v>
      </c>
      <c r="B91" s="958" t="e">
        <f>VLOOKUP(C91,'DS CN MOI UP'!$B$10:$C$389,2,0)</f>
        <v>#N/A</v>
      </c>
      <c r="C91" s="970" t="s">
        <v>2630</v>
      </c>
      <c r="D91" s="971" t="s">
        <v>15</v>
      </c>
      <c r="E91" s="960">
        <f t="shared" si="16"/>
        <v>24</v>
      </c>
      <c r="F91" s="960"/>
      <c r="G91" s="960"/>
      <c r="H91" s="1110"/>
      <c r="I91" s="960"/>
      <c r="J91" s="960"/>
      <c r="K91" s="960"/>
      <c r="L91" s="960"/>
      <c r="M91" s="960"/>
      <c r="N91" s="960"/>
      <c r="O91" s="960"/>
      <c r="P91" s="960"/>
      <c r="Q91" s="960"/>
      <c r="R91" s="960"/>
      <c r="S91" s="975">
        <f t="shared" si="20"/>
        <v>24</v>
      </c>
      <c r="T91" s="975" t="e">
        <f>VLOOKUP(C91,'sản lượng'!$D$12:$AK$89,33,0)</f>
        <v>#N/A</v>
      </c>
      <c r="U91" s="975" t="e">
        <f>VLOOKUP(C91,'sản lượng'!$D$12:$AK$89,34,0)</f>
        <v>#N/A</v>
      </c>
      <c r="V91" s="975" t="e">
        <f>VLOOKUP(C91,'sản lượng'!$D$12:$AK$89,35,0)</f>
        <v>#N/A</v>
      </c>
      <c r="W91" s="975" t="e">
        <f t="shared" si="18"/>
        <v>#N/A</v>
      </c>
      <c r="X91" s="975"/>
      <c r="Y91" s="975"/>
      <c r="Z91" s="975" t="e">
        <f t="shared" si="19"/>
        <v>#N/A</v>
      </c>
      <c r="AA91" s="975" t="e">
        <f>VLOOKUP(C91,'CHẤM CÔNG '!$D$12:$AL$89,33,0)</f>
        <v>#N/A</v>
      </c>
      <c r="AB91" s="975" t="e">
        <f>VLOOKUP(C91,'CHẤM CÔNG '!$D$12:$AL$89,34,0)</f>
        <v>#N/A</v>
      </c>
      <c r="AC91" s="975"/>
      <c r="AD91" s="975"/>
      <c r="AE91" s="975"/>
      <c r="AF91" s="975"/>
      <c r="AG91" s="975"/>
      <c r="AH91" s="975"/>
      <c r="AI91" s="975"/>
      <c r="AJ91" s="975"/>
      <c r="AK91" s="981"/>
      <c r="AL91" s="982" t="e">
        <f>VLOOKUP(C91,'sản lượng'!$D$12:$AM$89,38,0)</f>
        <v>#N/A</v>
      </c>
    </row>
    <row r="92" spans="1:38" ht="15.75">
      <c r="A92" s="969">
        <v>35</v>
      </c>
      <c r="B92" s="958" t="e">
        <f>VLOOKUP(C92,'DS CN MOI UP'!$B$10:$C$389,2,0)</f>
        <v>#N/A</v>
      </c>
      <c r="C92" s="970" t="s">
        <v>463</v>
      </c>
      <c r="D92" s="971" t="s">
        <v>15</v>
      </c>
      <c r="E92" s="960">
        <f t="shared" si="16"/>
        <v>24</v>
      </c>
      <c r="F92" s="960"/>
      <c r="G92" s="960"/>
      <c r="H92" s="1110"/>
      <c r="I92" s="960"/>
      <c r="J92" s="960"/>
      <c r="K92" s="960"/>
      <c r="L92" s="960"/>
      <c r="M92" s="960"/>
      <c r="N92" s="960"/>
      <c r="O92" s="960"/>
      <c r="P92" s="960"/>
      <c r="Q92" s="960"/>
      <c r="R92" s="960"/>
      <c r="S92" s="975">
        <f t="shared" si="20"/>
        <v>24</v>
      </c>
      <c r="T92" s="975" t="e">
        <f>VLOOKUP(C92,'sản lượng'!$D$12:$AK$89,33,0)</f>
        <v>#N/A</v>
      </c>
      <c r="U92" s="975" t="e">
        <f>VLOOKUP(C92,'sản lượng'!$D$12:$AK$89,34,0)</f>
        <v>#N/A</v>
      </c>
      <c r="V92" s="975" t="e">
        <f>VLOOKUP(C92,'sản lượng'!$D$12:$AK$89,35,0)</f>
        <v>#N/A</v>
      </c>
      <c r="W92" s="975" t="e">
        <f t="shared" si="18"/>
        <v>#N/A</v>
      </c>
      <c r="X92" s="975"/>
      <c r="Y92" s="975"/>
      <c r="Z92" s="975" t="e">
        <f t="shared" si="19"/>
        <v>#N/A</v>
      </c>
      <c r="AA92" s="975" t="e">
        <f>VLOOKUP(C92,'CHẤM CÔNG '!$D$12:$AL$89,33,0)</f>
        <v>#N/A</v>
      </c>
      <c r="AB92" s="975" t="e">
        <f>VLOOKUP(C92,'CHẤM CÔNG '!$D$12:$AL$89,34,0)</f>
        <v>#N/A</v>
      </c>
      <c r="AC92" s="975"/>
      <c r="AD92" s="975"/>
      <c r="AE92" s="975"/>
      <c r="AF92" s="975"/>
      <c r="AG92" s="975"/>
      <c r="AH92" s="975"/>
      <c r="AI92" s="975"/>
      <c r="AJ92" s="975"/>
      <c r="AK92" s="981"/>
      <c r="AL92" s="982" t="e">
        <f>VLOOKUP(C92,'sản lượng'!$D$12:$AM$89,38,0)</f>
        <v>#N/A</v>
      </c>
    </row>
    <row r="93" spans="1:38" ht="15.75">
      <c r="A93" s="969">
        <v>36</v>
      </c>
      <c r="B93" s="958" t="e">
        <f>VLOOKUP(C93,'DS CN MOI UP'!$B$10:$C$389,2,0)</f>
        <v>#N/A</v>
      </c>
      <c r="C93" s="970" t="s">
        <v>464</v>
      </c>
      <c r="D93" s="971" t="s">
        <v>15</v>
      </c>
      <c r="E93" s="960">
        <f t="shared" si="16"/>
        <v>24</v>
      </c>
      <c r="F93" s="960"/>
      <c r="G93" s="960"/>
      <c r="H93" s="1110"/>
      <c r="I93" s="960"/>
      <c r="J93" s="960"/>
      <c r="K93" s="960"/>
      <c r="L93" s="960"/>
      <c r="M93" s="960"/>
      <c r="N93" s="960"/>
      <c r="O93" s="960"/>
      <c r="P93" s="960"/>
      <c r="Q93" s="960"/>
      <c r="R93" s="960"/>
      <c r="S93" s="975">
        <f t="shared" si="20"/>
        <v>24</v>
      </c>
      <c r="T93" s="975" t="e">
        <f>VLOOKUP(C93,'sản lượng'!$D$12:$AK$89,33,0)</f>
        <v>#N/A</v>
      </c>
      <c r="U93" s="975" t="e">
        <f>VLOOKUP(C93,'sản lượng'!$D$12:$AK$89,34,0)</f>
        <v>#N/A</v>
      </c>
      <c r="V93" s="975" t="e">
        <f>VLOOKUP(C93,'sản lượng'!$D$12:$AK$89,35,0)</f>
        <v>#N/A</v>
      </c>
      <c r="W93" s="975" t="e">
        <f t="shared" si="18"/>
        <v>#N/A</v>
      </c>
      <c r="X93" s="975"/>
      <c r="Y93" s="975"/>
      <c r="Z93" s="975" t="e">
        <f t="shared" si="19"/>
        <v>#N/A</v>
      </c>
      <c r="AA93" s="975" t="e">
        <f>VLOOKUP(C93,'CHẤM CÔNG '!$D$12:$AL$89,33,0)</f>
        <v>#N/A</v>
      </c>
      <c r="AB93" s="975" t="e">
        <f>VLOOKUP(C93,'CHẤM CÔNG '!$D$12:$AL$89,34,0)</f>
        <v>#N/A</v>
      </c>
      <c r="AC93" s="975"/>
      <c r="AD93" s="975"/>
      <c r="AE93" s="975"/>
      <c r="AF93" s="975"/>
      <c r="AG93" s="975"/>
      <c r="AH93" s="975"/>
      <c r="AI93" s="975"/>
      <c r="AJ93" s="975"/>
      <c r="AK93" s="981"/>
      <c r="AL93" s="982" t="e">
        <f>VLOOKUP(C93,'sản lượng'!$D$12:$AM$89,38,0)</f>
        <v>#N/A</v>
      </c>
    </row>
    <row r="94" spans="1:38" ht="15.75">
      <c r="A94" s="969">
        <v>37</v>
      </c>
      <c r="B94" s="958" t="e">
        <f>VLOOKUP(C94,'DS CN MOI UP'!$B$10:$C$389,2,0)</f>
        <v>#N/A</v>
      </c>
      <c r="C94" s="970" t="s">
        <v>465</v>
      </c>
      <c r="D94" s="971" t="s">
        <v>15</v>
      </c>
      <c r="E94" s="960">
        <f t="shared" si="16"/>
        <v>24</v>
      </c>
      <c r="F94" s="960"/>
      <c r="G94" s="960"/>
      <c r="H94" s="1110"/>
      <c r="I94" s="960"/>
      <c r="J94" s="960"/>
      <c r="K94" s="960"/>
      <c r="L94" s="960"/>
      <c r="M94" s="960"/>
      <c r="N94" s="960"/>
      <c r="O94" s="960"/>
      <c r="P94" s="960"/>
      <c r="Q94" s="960"/>
      <c r="R94" s="960"/>
      <c r="S94" s="975">
        <f t="shared" si="20"/>
        <v>24</v>
      </c>
      <c r="T94" s="975" t="e">
        <f>VLOOKUP(C94,'sản lượng'!$D$12:$AK$89,33,0)</f>
        <v>#N/A</v>
      </c>
      <c r="U94" s="975" t="e">
        <f>VLOOKUP(C94,'sản lượng'!$D$12:$AK$89,34,0)</f>
        <v>#N/A</v>
      </c>
      <c r="V94" s="975" t="e">
        <f>VLOOKUP(C94,'sản lượng'!$D$12:$AK$89,35,0)</f>
        <v>#N/A</v>
      </c>
      <c r="W94" s="975" t="e">
        <f t="shared" si="18"/>
        <v>#N/A</v>
      </c>
      <c r="X94" s="975"/>
      <c r="Y94" s="975"/>
      <c r="Z94" s="975" t="e">
        <f t="shared" si="19"/>
        <v>#N/A</v>
      </c>
      <c r="AA94" s="975" t="e">
        <f>VLOOKUP(C94,'CHẤM CÔNG '!$D$12:$AL$89,33,0)</f>
        <v>#N/A</v>
      </c>
      <c r="AB94" s="975" t="e">
        <f>VLOOKUP(C94,'CHẤM CÔNG '!$D$12:$AL$89,34,0)</f>
        <v>#N/A</v>
      </c>
      <c r="AC94" s="975"/>
      <c r="AD94" s="975"/>
      <c r="AE94" s="975"/>
      <c r="AF94" s="975"/>
      <c r="AG94" s="975"/>
      <c r="AH94" s="975"/>
      <c r="AI94" s="975"/>
      <c r="AJ94" s="975"/>
      <c r="AK94" s="981"/>
      <c r="AL94" s="982" t="e">
        <f>VLOOKUP(C94,'sản lượng'!$D$12:$AM$89,38,0)</f>
        <v>#N/A</v>
      </c>
    </row>
    <row r="95" spans="1:38" ht="15.75">
      <c r="A95" s="969">
        <v>38</v>
      </c>
      <c r="B95" s="958" t="e">
        <f>VLOOKUP(C95,'DS CN MOI UP'!$B$10:$C$389,2,0)</f>
        <v>#N/A</v>
      </c>
      <c r="C95" s="991" t="s">
        <v>466</v>
      </c>
      <c r="D95" s="971" t="s">
        <v>15</v>
      </c>
      <c r="E95" s="960">
        <f t="shared" si="16"/>
        <v>24</v>
      </c>
      <c r="F95" s="960"/>
      <c r="G95" s="960"/>
      <c r="H95" s="1110"/>
      <c r="I95" s="960"/>
      <c r="J95" s="960"/>
      <c r="K95" s="960"/>
      <c r="L95" s="960"/>
      <c r="M95" s="960"/>
      <c r="N95" s="960"/>
      <c r="O95" s="960"/>
      <c r="P95" s="960"/>
      <c r="Q95" s="960"/>
      <c r="R95" s="960"/>
      <c r="S95" s="975">
        <f t="shared" ref="S95" si="21">SUM(E95:P95)</f>
        <v>24</v>
      </c>
      <c r="T95" s="975" t="e">
        <f>VLOOKUP(C95,'sản lượng'!$D$12:$AK$89,33,0)</f>
        <v>#N/A</v>
      </c>
      <c r="U95" s="975" t="e">
        <f>VLOOKUP(C95,'sản lượng'!$D$12:$AK$89,34,0)</f>
        <v>#N/A</v>
      </c>
      <c r="V95" s="975" t="e">
        <f>VLOOKUP(C95,'sản lượng'!$D$12:$AK$89,35,0)</f>
        <v>#N/A</v>
      </c>
      <c r="W95" s="975" t="e">
        <f t="shared" si="18"/>
        <v>#N/A</v>
      </c>
      <c r="X95" s="975"/>
      <c r="Y95" s="975"/>
      <c r="Z95" s="975" t="e">
        <f t="shared" si="19"/>
        <v>#N/A</v>
      </c>
      <c r="AA95" s="975" t="e">
        <f>VLOOKUP(C95,'CHẤM CÔNG '!$D$12:$AL$89,33,0)</f>
        <v>#N/A</v>
      </c>
      <c r="AB95" s="975" t="e">
        <f>VLOOKUP(C95,'CHẤM CÔNG '!$D$12:$AL$89,34,0)</f>
        <v>#N/A</v>
      </c>
      <c r="AC95" s="975"/>
      <c r="AD95" s="975"/>
      <c r="AE95" s="975"/>
      <c r="AF95" s="975"/>
      <c r="AG95" s="975"/>
      <c r="AH95" s="975"/>
      <c r="AI95" s="975"/>
      <c r="AJ95" s="975"/>
      <c r="AK95" s="981"/>
      <c r="AL95" s="982" t="e">
        <f>VLOOKUP(C95,'sản lượng'!$D$12:$AM$89,38,0)</f>
        <v>#N/A</v>
      </c>
    </row>
    <row r="96" spans="1:38" ht="15.75">
      <c r="A96" s="969">
        <v>39</v>
      </c>
      <c r="B96" s="958" t="e">
        <f>VLOOKUP(C96,'DS CN MOI UP'!$B$10:$C$389,2,0)</f>
        <v>#N/A</v>
      </c>
      <c r="C96" s="970" t="s">
        <v>2631</v>
      </c>
      <c r="D96" s="971" t="s">
        <v>15</v>
      </c>
      <c r="E96" s="960">
        <f t="shared" si="16"/>
        <v>24</v>
      </c>
      <c r="F96" s="960"/>
      <c r="G96" s="960"/>
      <c r="H96" s="1110"/>
      <c r="I96" s="960"/>
      <c r="J96" s="960"/>
      <c r="K96" s="960"/>
      <c r="L96" s="960"/>
      <c r="M96" s="960"/>
      <c r="N96" s="960"/>
      <c r="O96" s="960"/>
      <c r="P96" s="960"/>
      <c r="Q96" s="960"/>
      <c r="R96" s="960"/>
      <c r="S96" s="975">
        <f t="shared" ref="S96:S102" si="22">SUM(E96:P96)</f>
        <v>24</v>
      </c>
      <c r="T96" s="975" t="e">
        <f>VLOOKUP(C96,'sản lượng'!$D$12:$AK$89,33,0)</f>
        <v>#N/A</v>
      </c>
      <c r="U96" s="975" t="e">
        <f>VLOOKUP(C96,'sản lượng'!$D$12:$AK$89,34,0)</f>
        <v>#N/A</v>
      </c>
      <c r="V96" s="975" t="e">
        <f>VLOOKUP(C96,'sản lượng'!$D$12:$AK$89,35,0)</f>
        <v>#N/A</v>
      </c>
      <c r="W96" s="975" t="e">
        <f t="shared" si="18"/>
        <v>#N/A</v>
      </c>
      <c r="X96" s="975"/>
      <c r="Y96" s="975"/>
      <c r="Z96" s="975" t="e">
        <f t="shared" si="19"/>
        <v>#N/A</v>
      </c>
      <c r="AA96" s="975" t="e">
        <f>VLOOKUP(C96,'CHẤM CÔNG '!$D$12:$AL$89,33,0)</f>
        <v>#N/A</v>
      </c>
      <c r="AB96" s="975" t="e">
        <f>VLOOKUP(C96,'CHẤM CÔNG '!$D$12:$AL$89,34,0)</f>
        <v>#N/A</v>
      </c>
      <c r="AC96" s="975"/>
      <c r="AD96" s="975"/>
      <c r="AE96" s="975"/>
      <c r="AF96" s="975"/>
      <c r="AG96" s="975"/>
      <c r="AH96" s="975"/>
      <c r="AI96" s="975"/>
      <c r="AJ96" s="975"/>
      <c r="AK96" s="981"/>
      <c r="AL96" s="982" t="e">
        <f>VLOOKUP(C96,'sản lượng'!$D$12:$AM$89,38,0)</f>
        <v>#N/A</v>
      </c>
    </row>
    <row r="97" spans="1:38" ht="15.75">
      <c r="A97" s="969">
        <v>40</v>
      </c>
      <c r="B97" s="958" t="e">
        <f>VLOOKUP(C97,'DS CN MOI UP'!$B$10:$C$389,2,0)</f>
        <v>#N/A</v>
      </c>
      <c r="C97" s="970" t="s">
        <v>2632</v>
      </c>
      <c r="D97" s="971" t="s">
        <v>15</v>
      </c>
      <c r="E97" s="960">
        <f t="shared" si="16"/>
        <v>24</v>
      </c>
      <c r="F97" s="960"/>
      <c r="G97" s="960"/>
      <c r="H97" s="1110"/>
      <c r="I97" s="960"/>
      <c r="J97" s="960"/>
      <c r="K97" s="960"/>
      <c r="L97" s="960"/>
      <c r="M97" s="960"/>
      <c r="N97" s="960"/>
      <c r="O97" s="960"/>
      <c r="P97" s="960"/>
      <c r="Q97" s="960"/>
      <c r="R97" s="960"/>
      <c r="S97" s="975">
        <f t="shared" si="22"/>
        <v>24</v>
      </c>
      <c r="T97" s="975" t="e">
        <f>VLOOKUP(C97,'sản lượng'!$D$12:$AK$89,33,0)</f>
        <v>#N/A</v>
      </c>
      <c r="U97" s="975" t="e">
        <f>VLOOKUP(C97,'sản lượng'!$D$12:$AK$89,34,0)</f>
        <v>#N/A</v>
      </c>
      <c r="V97" s="975" t="e">
        <f>VLOOKUP(C97,'sản lượng'!$D$12:$AK$89,35,0)</f>
        <v>#N/A</v>
      </c>
      <c r="W97" s="975" t="e">
        <f t="shared" si="18"/>
        <v>#N/A</v>
      </c>
      <c r="X97" s="975"/>
      <c r="Y97" s="975"/>
      <c r="Z97" s="975" t="e">
        <f t="shared" si="19"/>
        <v>#N/A</v>
      </c>
      <c r="AA97" s="975" t="e">
        <f>VLOOKUP(C97,'CHẤM CÔNG '!$D$12:$AL$89,33,0)</f>
        <v>#N/A</v>
      </c>
      <c r="AB97" s="975" t="e">
        <f>VLOOKUP(C97,'CHẤM CÔNG '!$D$12:$AL$89,34,0)</f>
        <v>#N/A</v>
      </c>
      <c r="AC97" s="975"/>
      <c r="AD97" s="975"/>
      <c r="AE97" s="975"/>
      <c r="AF97" s="975"/>
      <c r="AG97" s="975"/>
      <c r="AH97" s="975"/>
      <c r="AI97" s="975"/>
      <c r="AJ97" s="975"/>
      <c r="AK97" s="981"/>
      <c r="AL97" s="982" t="e">
        <f>VLOOKUP(C97,'sản lượng'!$D$12:$AM$89,38,0)</f>
        <v>#N/A</v>
      </c>
    </row>
    <row r="98" spans="1:38" ht="15.75">
      <c r="A98" s="969">
        <v>41</v>
      </c>
      <c r="B98" s="958" t="e">
        <f>VLOOKUP(C98,'DS CN MOI UP'!$B$10:$C$389,2,0)</f>
        <v>#N/A</v>
      </c>
      <c r="C98" s="970" t="s">
        <v>895</v>
      </c>
      <c r="D98" s="971" t="s">
        <v>15</v>
      </c>
      <c r="E98" s="960">
        <f t="shared" si="16"/>
        <v>24</v>
      </c>
      <c r="F98" s="960"/>
      <c r="G98" s="960"/>
      <c r="H98" s="1110"/>
      <c r="I98" s="960"/>
      <c r="J98" s="960"/>
      <c r="K98" s="960"/>
      <c r="L98" s="960"/>
      <c r="M98" s="960"/>
      <c r="N98" s="960"/>
      <c r="O98" s="960"/>
      <c r="P98" s="960"/>
      <c r="Q98" s="960"/>
      <c r="R98" s="960"/>
      <c r="S98" s="975">
        <f t="shared" si="22"/>
        <v>24</v>
      </c>
      <c r="T98" s="975" t="e">
        <f>VLOOKUP(C98,'sản lượng'!$D$12:$AK$89,33,0)</f>
        <v>#N/A</v>
      </c>
      <c r="U98" s="975" t="e">
        <f>VLOOKUP(C98,'sản lượng'!$D$12:$AK$89,34,0)</f>
        <v>#N/A</v>
      </c>
      <c r="V98" s="975" t="e">
        <f>VLOOKUP(C98,'sản lượng'!$D$12:$AK$89,35,0)</f>
        <v>#N/A</v>
      </c>
      <c r="W98" s="975" t="e">
        <f t="shared" si="18"/>
        <v>#N/A</v>
      </c>
      <c r="X98" s="975"/>
      <c r="Y98" s="975"/>
      <c r="Z98" s="975" t="e">
        <f t="shared" si="19"/>
        <v>#N/A</v>
      </c>
      <c r="AA98" s="975" t="e">
        <f>VLOOKUP(C98,'CHẤM CÔNG '!$D$12:$AL$89,33,0)</f>
        <v>#N/A</v>
      </c>
      <c r="AB98" s="975" t="e">
        <f>VLOOKUP(C98,'CHẤM CÔNG '!$D$12:$AL$89,34,0)</f>
        <v>#N/A</v>
      </c>
      <c r="AC98" s="975"/>
      <c r="AD98" s="975"/>
      <c r="AE98" s="975"/>
      <c r="AF98" s="975"/>
      <c r="AG98" s="975"/>
      <c r="AH98" s="975"/>
      <c r="AI98" s="975"/>
      <c r="AJ98" s="975"/>
      <c r="AK98" s="981"/>
      <c r="AL98" s="982" t="e">
        <f>VLOOKUP(C98,'sản lượng'!$D$12:$AM$89,38,0)</f>
        <v>#N/A</v>
      </c>
    </row>
    <row r="99" spans="1:38" ht="15.75">
      <c r="A99" s="969">
        <v>42</v>
      </c>
      <c r="B99" s="958" t="e">
        <f>VLOOKUP(C99,'DS CN MOI UP'!$B$10:$C$389,2,0)</f>
        <v>#N/A</v>
      </c>
      <c r="C99" s="970" t="s">
        <v>2633</v>
      </c>
      <c r="D99" s="971" t="s">
        <v>15</v>
      </c>
      <c r="E99" s="960">
        <f t="shared" si="16"/>
        <v>24</v>
      </c>
      <c r="F99" s="960"/>
      <c r="G99" s="960"/>
      <c r="H99" s="1110"/>
      <c r="I99" s="960"/>
      <c r="J99" s="960"/>
      <c r="K99" s="960"/>
      <c r="L99" s="960"/>
      <c r="M99" s="960"/>
      <c r="N99" s="960"/>
      <c r="O99" s="960"/>
      <c r="P99" s="960"/>
      <c r="Q99" s="960"/>
      <c r="R99" s="960"/>
      <c r="S99" s="975">
        <f t="shared" si="22"/>
        <v>24</v>
      </c>
      <c r="T99" s="975" t="e">
        <f>VLOOKUP(C99,'sản lượng'!$D$12:$AK$89,33,0)</f>
        <v>#N/A</v>
      </c>
      <c r="U99" s="975" t="e">
        <f>VLOOKUP(C99,'sản lượng'!$D$12:$AK$89,34,0)</f>
        <v>#N/A</v>
      </c>
      <c r="V99" s="975" t="e">
        <f>VLOOKUP(C99,'sản lượng'!$D$12:$AK$89,35,0)</f>
        <v>#N/A</v>
      </c>
      <c r="W99" s="975" t="e">
        <f t="shared" si="18"/>
        <v>#N/A</v>
      </c>
      <c r="X99" s="975"/>
      <c r="Y99" s="975"/>
      <c r="Z99" s="975" t="e">
        <f t="shared" si="19"/>
        <v>#N/A</v>
      </c>
      <c r="AA99" s="975" t="e">
        <f>VLOOKUP(C99,'CHẤM CÔNG '!$D$12:$AL$89,33,0)</f>
        <v>#N/A</v>
      </c>
      <c r="AB99" s="975" t="e">
        <f>VLOOKUP(C99,'CHẤM CÔNG '!$D$12:$AL$89,34,0)</f>
        <v>#N/A</v>
      </c>
      <c r="AC99" s="975"/>
      <c r="AD99" s="975"/>
      <c r="AE99" s="975"/>
      <c r="AF99" s="975"/>
      <c r="AG99" s="975"/>
      <c r="AH99" s="975"/>
      <c r="AI99" s="975"/>
      <c r="AJ99" s="975"/>
      <c r="AK99" s="981"/>
      <c r="AL99" s="982" t="e">
        <f>VLOOKUP(C99,'sản lượng'!$D$12:$AM$89,38,0)</f>
        <v>#N/A</v>
      </c>
    </row>
    <row r="100" spans="1:38" ht="15.75">
      <c r="A100" s="969">
        <v>43</v>
      </c>
      <c r="B100" s="958" t="e">
        <f>VLOOKUP(C100,'DS CN MOI UP'!$B$10:$C$389,2,0)</f>
        <v>#N/A</v>
      </c>
      <c r="C100" s="970" t="s">
        <v>2634</v>
      </c>
      <c r="D100" s="971" t="s">
        <v>15</v>
      </c>
      <c r="E100" s="960">
        <f t="shared" si="16"/>
        <v>24</v>
      </c>
      <c r="F100" s="960"/>
      <c r="G100" s="960"/>
      <c r="H100" s="1110"/>
      <c r="I100" s="960"/>
      <c r="J100" s="960"/>
      <c r="K100" s="960"/>
      <c r="L100" s="960"/>
      <c r="M100" s="960"/>
      <c r="N100" s="960"/>
      <c r="O100" s="960"/>
      <c r="P100" s="960"/>
      <c r="Q100" s="960"/>
      <c r="R100" s="960"/>
      <c r="S100" s="975">
        <f t="shared" si="22"/>
        <v>24</v>
      </c>
      <c r="T100" s="975" t="e">
        <f>VLOOKUP(C100,'sản lượng'!$D$12:$AK$89,33,0)</f>
        <v>#N/A</v>
      </c>
      <c r="U100" s="975" t="e">
        <f>VLOOKUP(C100,'sản lượng'!$D$12:$AK$89,34,0)</f>
        <v>#N/A</v>
      </c>
      <c r="V100" s="975" t="e">
        <f>VLOOKUP(C100,'sản lượng'!$D$12:$AK$89,35,0)</f>
        <v>#N/A</v>
      </c>
      <c r="W100" s="975" t="e">
        <f t="shared" si="18"/>
        <v>#N/A</v>
      </c>
      <c r="X100" s="975"/>
      <c r="Y100" s="975"/>
      <c r="Z100" s="975" t="e">
        <f t="shared" si="19"/>
        <v>#N/A</v>
      </c>
      <c r="AA100" s="975" t="e">
        <f>VLOOKUP(C100,'CHẤM CÔNG '!$D$12:$AL$89,33,0)</f>
        <v>#N/A</v>
      </c>
      <c r="AB100" s="975" t="e">
        <f>VLOOKUP(C100,'CHẤM CÔNG '!$D$12:$AL$89,34,0)</f>
        <v>#N/A</v>
      </c>
      <c r="AC100" s="975"/>
      <c r="AD100" s="975"/>
      <c r="AE100" s="975"/>
      <c r="AF100" s="975"/>
      <c r="AG100" s="975"/>
      <c r="AH100" s="975"/>
      <c r="AI100" s="975"/>
      <c r="AJ100" s="975"/>
      <c r="AK100" s="981"/>
      <c r="AL100" s="982" t="e">
        <f>VLOOKUP(C100,'sản lượng'!$D$12:$AM$89,38,0)</f>
        <v>#N/A</v>
      </c>
    </row>
    <row r="101" spans="1:38" ht="15.75">
      <c r="A101" s="969">
        <v>44</v>
      </c>
      <c r="B101" s="958" t="e">
        <f>VLOOKUP(C101,'DS CN MOI UP'!$B$10:$C$389,2,0)</f>
        <v>#N/A</v>
      </c>
      <c r="C101" s="970" t="s">
        <v>472</v>
      </c>
      <c r="D101" s="971" t="s">
        <v>15</v>
      </c>
      <c r="E101" s="960">
        <f t="shared" si="16"/>
        <v>24</v>
      </c>
      <c r="F101" s="960"/>
      <c r="G101" s="960"/>
      <c r="H101" s="1110"/>
      <c r="I101" s="960"/>
      <c r="J101" s="960"/>
      <c r="K101" s="960"/>
      <c r="L101" s="960"/>
      <c r="M101" s="960"/>
      <c r="N101" s="960"/>
      <c r="O101" s="960"/>
      <c r="P101" s="960"/>
      <c r="Q101" s="960"/>
      <c r="R101" s="960"/>
      <c r="S101" s="975">
        <f t="shared" si="22"/>
        <v>24</v>
      </c>
      <c r="T101" s="975" t="e">
        <f>VLOOKUP(C101,'sản lượng'!$D$12:$AK$89,33,0)</f>
        <v>#N/A</v>
      </c>
      <c r="U101" s="975" t="e">
        <f>VLOOKUP(C101,'sản lượng'!$D$12:$AK$89,34,0)</f>
        <v>#N/A</v>
      </c>
      <c r="V101" s="975" t="e">
        <f>VLOOKUP(C101,'sản lượng'!$D$12:$AK$89,35,0)</f>
        <v>#N/A</v>
      </c>
      <c r="W101" s="975" t="e">
        <f t="shared" si="18"/>
        <v>#N/A</v>
      </c>
      <c r="X101" s="975"/>
      <c r="Y101" s="975"/>
      <c r="Z101" s="975" t="e">
        <f t="shared" si="19"/>
        <v>#N/A</v>
      </c>
      <c r="AA101" s="975" t="e">
        <f>VLOOKUP(C101,'CHẤM CÔNG '!$D$12:$AL$89,33,0)</f>
        <v>#N/A</v>
      </c>
      <c r="AB101" s="975" t="e">
        <f>VLOOKUP(C101,'CHẤM CÔNG '!$D$12:$AL$89,34,0)</f>
        <v>#N/A</v>
      </c>
      <c r="AC101" s="975"/>
      <c r="AD101" s="975"/>
      <c r="AE101" s="975"/>
      <c r="AF101" s="975"/>
      <c r="AG101" s="975"/>
      <c r="AH101" s="975"/>
      <c r="AI101" s="975"/>
      <c r="AJ101" s="975"/>
      <c r="AK101" s="981"/>
      <c r="AL101" s="982" t="e">
        <f>VLOOKUP(C101,'sản lượng'!$D$12:$AM$89,38,0)</f>
        <v>#N/A</v>
      </c>
    </row>
    <row r="102" spans="1:38" ht="15.75">
      <c r="A102" s="969">
        <v>45</v>
      </c>
      <c r="B102" s="958" t="e">
        <f>VLOOKUP(C102,'DS CN MOI UP'!$B$10:$C$389,2,0)</f>
        <v>#N/A</v>
      </c>
      <c r="C102" s="970" t="s">
        <v>473</v>
      </c>
      <c r="D102" s="971" t="s">
        <v>15</v>
      </c>
      <c r="E102" s="960">
        <f t="shared" si="16"/>
        <v>24</v>
      </c>
      <c r="F102" s="960"/>
      <c r="G102" s="960"/>
      <c r="H102" s="1110"/>
      <c r="I102" s="960"/>
      <c r="J102" s="960"/>
      <c r="K102" s="960"/>
      <c r="L102" s="960"/>
      <c r="M102" s="960"/>
      <c r="N102" s="960"/>
      <c r="O102" s="960"/>
      <c r="P102" s="960"/>
      <c r="Q102" s="960"/>
      <c r="R102" s="960"/>
      <c r="S102" s="975">
        <f t="shared" si="22"/>
        <v>24</v>
      </c>
      <c r="T102" s="975" t="e">
        <f>VLOOKUP(C102,'sản lượng'!$D$12:$AK$89,33,0)</f>
        <v>#N/A</v>
      </c>
      <c r="U102" s="975" t="e">
        <f>VLOOKUP(C102,'sản lượng'!$D$12:$AK$89,34,0)</f>
        <v>#N/A</v>
      </c>
      <c r="V102" s="975" t="e">
        <f>VLOOKUP(C102,'sản lượng'!$D$12:$AK$89,35,0)</f>
        <v>#N/A</v>
      </c>
      <c r="W102" s="975" t="e">
        <f t="shared" si="18"/>
        <v>#N/A</v>
      </c>
      <c r="X102" s="975"/>
      <c r="Y102" s="975"/>
      <c r="Z102" s="975" t="e">
        <f t="shared" si="19"/>
        <v>#N/A</v>
      </c>
      <c r="AA102" s="975" t="e">
        <f>VLOOKUP(C102,'CHẤM CÔNG '!$D$12:$AL$89,33,0)</f>
        <v>#N/A</v>
      </c>
      <c r="AB102" s="975" t="e">
        <f>VLOOKUP(C102,'CHẤM CÔNG '!$D$12:$AL$89,34,0)</f>
        <v>#N/A</v>
      </c>
      <c r="AC102" s="975"/>
      <c r="AD102" s="975"/>
      <c r="AE102" s="975"/>
      <c r="AF102" s="975"/>
      <c r="AG102" s="975"/>
      <c r="AH102" s="975"/>
      <c r="AI102" s="975"/>
      <c r="AJ102" s="975"/>
      <c r="AK102" s="981"/>
      <c r="AL102" s="982" t="e">
        <f>VLOOKUP(C102,'sản lượng'!$D$12:$AM$89,38,0)</f>
        <v>#N/A</v>
      </c>
    </row>
    <row r="103" spans="1:38" ht="15.75">
      <c r="A103" s="969">
        <v>46</v>
      </c>
      <c r="B103" s="958" t="e">
        <f>VLOOKUP(C103,'DS CN MOI UP'!$B$10:$C$389,2,0)</f>
        <v>#N/A</v>
      </c>
      <c r="C103" s="970" t="s">
        <v>2635</v>
      </c>
      <c r="D103" s="971" t="s">
        <v>15</v>
      </c>
      <c r="E103" s="960">
        <f t="shared" si="16"/>
        <v>24</v>
      </c>
      <c r="F103" s="960"/>
      <c r="G103" s="960"/>
      <c r="H103" s="1110"/>
      <c r="I103" s="960"/>
      <c r="J103" s="960"/>
      <c r="K103" s="960"/>
      <c r="L103" s="960"/>
      <c r="M103" s="960"/>
      <c r="N103" s="960"/>
      <c r="O103" s="960"/>
      <c r="P103" s="960"/>
      <c r="Q103" s="960"/>
      <c r="R103" s="960"/>
      <c r="S103" s="975">
        <f t="shared" ref="S103:S114" si="23">SUM(E103:P103)</f>
        <v>24</v>
      </c>
      <c r="T103" s="975" t="e">
        <f>VLOOKUP(C103,'sản lượng'!$D$12:$AK$89,33,0)</f>
        <v>#N/A</v>
      </c>
      <c r="U103" s="975" t="e">
        <f>VLOOKUP(C103,'sản lượng'!$D$12:$AK$89,34,0)</f>
        <v>#N/A</v>
      </c>
      <c r="V103" s="975" t="e">
        <f>VLOOKUP(C103,'sản lượng'!$D$12:$AK$89,35,0)</f>
        <v>#N/A</v>
      </c>
      <c r="W103" s="975" t="e">
        <f t="shared" ref="W103:W119" si="24">SUM(T103:V103)</f>
        <v>#N/A</v>
      </c>
      <c r="X103" s="975"/>
      <c r="Y103" s="975"/>
      <c r="Z103" s="975" t="e">
        <f t="shared" ref="Z103:Z113" si="25">W103*$AN$14+X103*$AN$10</f>
        <v>#N/A</v>
      </c>
      <c r="AA103" s="975" t="e">
        <f>VLOOKUP(C103,'CHẤM CÔNG '!$D$12:$AL$89,33,0)</f>
        <v>#N/A</v>
      </c>
      <c r="AB103" s="975" t="e">
        <f>VLOOKUP(C103,'CHẤM CÔNG '!$D$12:$AL$89,34,0)</f>
        <v>#N/A</v>
      </c>
      <c r="AC103" s="975"/>
      <c r="AD103" s="975"/>
      <c r="AE103" s="975"/>
      <c r="AF103" s="975"/>
      <c r="AG103" s="975"/>
      <c r="AH103" s="975"/>
      <c r="AI103" s="975"/>
      <c r="AJ103" s="975"/>
      <c r="AK103" s="981"/>
      <c r="AL103" s="982" t="e">
        <f>VLOOKUP(C103,'sản lượng'!$D$12:$AM$89,38,0)</f>
        <v>#N/A</v>
      </c>
    </row>
    <row r="104" spans="1:38" ht="15.75">
      <c r="A104" s="969">
        <v>47</v>
      </c>
      <c r="B104" s="958" t="e">
        <f>VLOOKUP(C104,'DS CN MOI UP'!$B$10:$C$389,2,0)</f>
        <v>#N/A</v>
      </c>
      <c r="C104" s="970" t="s">
        <v>475</v>
      </c>
      <c r="D104" s="971" t="s">
        <v>15</v>
      </c>
      <c r="E104" s="960">
        <f t="shared" si="16"/>
        <v>24</v>
      </c>
      <c r="F104" s="960"/>
      <c r="G104" s="960"/>
      <c r="H104" s="1110"/>
      <c r="I104" s="960"/>
      <c r="J104" s="960"/>
      <c r="K104" s="960"/>
      <c r="L104" s="960"/>
      <c r="M104" s="960"/>
      <c r="N104" s="960"/>
      <c r="O104" s="960"/>
      <c r="P104" s="960"/>
      <c r="Q104" s="960"/>
      <c r="R104" s="960"/>
      <c r="S104" s="975">
        <f t="shared" si="23"/>
        <v>24</v>
      </c>
      <c r="T104" s="975" t="e">
        <f>VLOOKUP(C104,'sản lượng'!$D$12:$AK$89,33,0)</f>
        <v>#N/A</v>
      </c>
      <c r="U104" s="975" t="e">
        <f>VLOOKUP(C104,'sản lượng'!$D$12:$AK$89,34,0)</f>
        <v>#N/A</v>
      </c>
      <c r="V104" s="975" t="e">
        <f>VLOOKUP(C104,'sản lượng'!$D$12:$AK$89,35,0)</f>
        <v>#N/A</v>
      </c>
      <c r="W104" s="975" t="e">
        <f t="shared" si="24"/>
        <v>#N/A</v>
      </c>
      <c r="X104" s="975"/>
      <c r="Y104" s="975"/>
      <c r="Z104" s="975" t="e">
        <f t="shared" si="25"/>
        <v>#N/A</v>
      </c>
      <c r="AA104" s="975" t="e">
        <f>VLOOKUP(C104,'CHẤM CÔNG '!$D$12:$AL$89,33,0)</f>
        <v>#N/A</v>
      </c>
      <c r="AB104" s="975" t="e">
        <f>VLOOKUP(C104,'CHẤM CÔNG '!$D$12:$AL$89,34,0)</f>
        <v>#N/A</v>
      </c>
      <c r="AC104" s="975"/>
      <c r="AD104" s="975"/>
      <c r="AE104" s="975"/>
      <c r="AF104" s="975"/>
      <c r="AG104" s="975"/>
      <c r="AH104" s="975"/>
      <c r="AI104" s="975"/>
      <c r="AJ104" s="975"/>
      <c r="AK104" s="981"/>
      <c r="AL104" s="982" t="e">
        <f>VLOOKUP(C104,'sản lượng'!$D$12:$AM$89,38,0)</f>
        <v>#N/A</v>
      </c>
    </row>
    <row r="105" spans="1:38" ht="15.75">
      <c r="A105" s="969">
        <v>48</v>
      </c>
      <c r="B105" s="958" t="e">
        <f>VLOOKUP(C105,'DS CN MOI UP'!$B$10:$C$389,2,0)</f>
        <v>#N/A</v>
      </c>
      <c r="C105" s="991" t="s">
        <v>476</v>
      </c>
      <c r="D105" s="971" t="s">
        <v>15</v>
      </c>
      <c r="E105" s="960">
        <f t="shared" si="16"/>
        <v>24</v>
      </c>
      <c r="F105" s="960"/>
      <c r="G105" s="960"/>
      <c r="H105" s="1110"/>
      <c r="I105" s="960"/>
      <c r="J105" s="960"/>
      <c r="K105" s="960"/>
      <c r="L105" s="960"/>
      <c r="M105" s="960"/>
      <c r="N105" s="960"/>
      <c r="O105" s="960"/>
      <c r="P105" s="960"/>
      <c r="Q105" s="960"/>
      <c r="R105" s="960"/>
      <c r="S105" s="975">
        <f t="shared" si="23"/>
        <v>24</v>
      </c>
      <c r="T105" s="975" t="e">
        <f>VLOOKUP(C105,'sản lượng'!$D$12:$AK$89,33,0)</f>
        <v>#N/A</v>
      </c>
      <c r="U105" s="975" t="e">
        <f>VLOOKUP(C105,'sản lượng'!$D$12:$AK$89,34,0)</f>
        <v>#N/A</v>
      </c>
      <c r="V105" s="975" t="e">
        <f>VLOOKUP(C105,'sản lượng'!$D$12:$AK$89,35,0)</f>
        <v>#N/A</v>
      </c>
      <c r="W105" s="975" t="e">
        <f t="shared" si="24"/>
        <v>#N/A</v>
      </c>
      <c r="X105" s="975"/>
      <c r="Y105" s="975"/>
      <c r="Z105" s="975" t="e">
        <f t="shared" si="25"/>
        <v>#N/A</v>
      </c>
      <c r="AA105" s="975" t="e">
        <f>VLOOKUP(C105,'CHẤM CÔNG '!$D$12:$AL$89,33,0)</f>
        <v>#N/A</v>
      </c>
      <c r="AB105" s="975" t="e">
        <f>VLOOKUP(C105,'CHẤM CÔNG '!$D$12:$AL$89,34,0)</f>
        <v>#N/A</v>
      </c>
      <c r="AC105" s="975"/>
      <c r="AD105" s="975"/>
      <c r="AE105" s="975"/>
      <c r="AF105" s="975"/>
      <c r="AG105" s="975"/>
      <c r="AH105" s="975"/>
      <c r="AI105" s="975"/>
      <c r="AJ105" s="975"/>
      <c r="AK105" s="981"/>
      <c r="AL105" s="982" t="e">
        <f>VLOOKUP(C105,'sản lượng'!$D$12:$AM$89,38,0)</f>
        <v>#N/A</v>
      </c>
    </row>
    <row r="106" spans="1:38" ht="15.75">
      <c r="A106" s="969">
        <v>49</v>
      </c>
      <c r="B106" s="958" t="e">
        <f>VLOOKUP(C106,'DS CN MOI UP'!$B$10:$C$389,2,0)</f>
        <v>#N/A</v>
      </c>
      <c r="C106" s="970" t="s">
        <v>2636</v>
      </c>
      <c r="D106" s="971" t="s">
        <v>15</v>
      </c>
      <c r="E106" s="960">
        <f t="shared" si="16"/>
        <v>24</v>
      </c>
      <c r="F106" s="960"/>
      <c r="G106" s="960"/>
      <c r="H106" s="1110"/>
      <c r="I106" s="960"/>
      <c r="J106" s="960"/>
      <c r="K106" s="960"/>
      <c r="L106" s="960"/>
      <c r="M106" s="960"/>
      <c r="N106" s="960"/>
      <c r="O106" s="960"/>
      <c r="P106" s="960"/>
      <c r="Q106" s="960"/>
      <c r="R106" s="960"/>
      <c r="S106" s="975">
        <f t="shared" si="23"/>
        <v>24</v>
      </c>
      <c r="T106" s="975" t="e">
        <f>VLOOKUP(C106,'sản lượng'!$D$12:$AK$89,33,0)</f>
        <v>#N/A</v>
      </c>
      <c r="U106" s="975" t="e">
        <f>VLOOKUP(C106,'sản lượng'!$D$12:$AK$89,34,0)</f>
        <v>#N/A</v>
      </c>
      <c r="V106" s="975" t="e">
        <f>VLOOKUP(C106,'sản lượng'!$D$12:$AK$89,35,0)</f>
        <v>#N/A</v>
      </c>
      <c r="W106" s="975" t="e">
        <f t="shared" si="24"/>
        <v>#N/A</v>
      </c>
      <c r="X106" s="975"/>
      <c r="Y106" s="975"/>
      <c r="Z106" s="975" t="e">
        <f t="shared" si="25"/>
        <v>#N/A</v>
      </c>
      <c r="AA106" s="975" t="e">
        <f>VLOOKUP(C106,'CHẤM CÔNG '!$D$12:$AL$89,33,0)</f>
        <v>#N/A</v>
      </c>
      <c r="AB106" s="975" t="e">
        <f>VLOOKUP(C106,'CHẤM CÔNG '!$D$12:$AL$89,34,0)</f>
        <v>#N/A</v>
      </c>
      <c r="AC106" s="975"/>
      <c r="AD106" s="975"/>
      <c r="AE106" s="975"/>
      <c r="AF106" s="975"/>
      <c r="AG106" s="975"/>
      <c r="AH106" s="975"/>
      <c r="AI106" s="975"/>
      <c r="AJ106" s="975"/>
      <c r="AK106" s="981"/>
      <c r="AL106" s="982" t="e">
        <f>VLOOKUP(C106,'sản lượng'!$D$12:$AM$89,38,0)</f>
        <v>#N/A</v>
      </c>
    </row>
    <row r="107" spans="1:38" ht="15.75">
      <c r="A107" s="969">
        <v>50</v>
      </c>
      <c r="B107" s="958" t="e">
        <f>VLOOKUP(C107,'DS CN MOI UP'!$B$10:$C$389,2,0)</f>
        <v>#N/A</v>
      </c>
      <c r="C107" s="970" t="s">
        <v>909</v>
      </c>
      <c r="D107" s="971" t="s">
        <v>15</v>
      </c>
      <c r="E107" s="960">
        <f t="shared" si="16"/>
        <v>24</v>
      </c>
      <c r="F107" s="960"/>
      <c r="G107" s="960"/>
      <c r="H107" s="1110"/>
      <c r="I107" s="960"/>
      <c r="J107" s="960"/>
      <c r="K107" s="960"/>
      <c r="L107" s="960"/>
      <c r="M107" s="960"/>
      <c r="N107" s="960"/>
      <c r="O107" s="960"/>
      <c r="P107" s="960"/>
      <c r="Q107" s="960"/>
      <c r="R107" s="960"/>
      <c r="S107" s="975">
        <f t="shared" si="23"/>
        <v>24</v>
      </c>
      <c r="T107" s="975" t="e">
        <f>VLOOKUP(C107,'sản lượng'!$D$12:$AK$89,33,0)</f>
        <v>#N/A</v>
      </c>
      <c r="U107" s="975" t="e">
        <f>VLOOKUP(C107,'sản lượng'!$D$12:$AK$89,34,0)</f>
        <v>#N/A</v>
      </c>
      <c r="V107" s="975" t="e">
        <f>VLOOKUP(C107,'sản lượng'!$D$12:$AK$89,35,0)</f>
        <v>#N/A</v>
      </c>
      <c r="W107" s="975" t="e">
        <f t="shared" si="24"/>
        <v>#N/A</v>
      </c>
      <c r="X107" s="975"/>
      <c r="Y107" s="975"/>
      <c r="Z107" s="975" t="e">
        <f t="shared" si="25"/>
        <v>#N/A</v>
      </c>
      <c r="AA107" s="975" t="e">
        <f>VLOOKUP(C107,'CHẤM CÔNG '!$D$12:$AL$89,33,0)</f>
        <v>#N/A</v>
      </c>
      <c r="AB107" s="975" t="e">
        <f>VLOOKUP(C107,'CHẤM CÔNG '!$D$12:$AL$89,34,0)</f>
        <v>#N/A</v>
      </c>
      <c r="AC107" s="975"/>
      <c r="AD107" s="975"/>
      <c r="AE107" s="975"/>
      <c r="AF107" s="975"/>
      <c r="AG107" s="975"/>
      <c r="AH107" s="975"/>
      <c r="AI107" s="975"/>
      <c r="AJ107" s="975"/>
      <c r="AK107" s="981"/>
      <c r="AL107" s="982" t="e">
        <f>VLOOKUP(C107,'sản lượng'!$D$12:$AM$89,38,0)</f>
        <v>#N/A</v>
      </c>
    </row>
    <row r="108" spans="1:38" ht="15.75">
      <c r="A108" s="969">
        <v>51</v>
      </c>
      <c r="B108" s="958" t="e">
        <f>VLOOKUP(C108,'DS CN MOI UP'!$B$10:$C$389,2,0)</f>
        <v>#N/A</v>
      </c>
      <c r="C108" s="970" t="s">
        <v>479</v>
      </c>
      <c r="D108" s="971" t="s">
        <v>15</v>
      </c>
      <c r="E108" s="960">
        <f t="shared" si="16"/>
        <v>24</v>
      </c>
      <c r="F108" s="960"/>
      <c r="G108" s="960"/>
      <c r="H108" s="1110"/>
      <c r="I108" s="960"/>
      <c r="J108" s="960"/>
      <c r="K108" s="960"/>
      <c r="L108" s="960"/>
      <c r="M108" s="960"/>
      <c r="N108" s="960"/>
      <c r="O108" s="960"/>
      <c r="P108" s="960"/>
      <c r="Q108" s="960"/>
      <c r="R108" s="960"/>
      <c r="S108" s="975">
        <f t="shared" si="23"/>
        <v>24</v>
      </c>
      <c r="T108" s="975" t="e">
        <f>VLOOKUP(C108,'sản lượng'!$D$12:$AK$89,33,0)</f>
        <v>#N/A</v>
      </c>
      <c r="U108" s="975" t="e">
        <f>VLOOKUP(C108,'sản lượng'!$D$12:$AK$89,34,0)</f>
        <v>#N/A</v>
      </c>
      <c r="V108" s="975" t="e">
        <f>VLOOKUP(C108,'sản lượng'!$D$12:$AK$89,35,0)</f>
        <v>#N/A</v>
      </c>
      <c r="W108" s="975" t="e">
        <f t="shared" si="24"/>
        <v>#N/A</v>
      </c>
      <c r="X108" s="975"/>
      <c r="Y108" s="975"/>
      <c r="Z108" s="975" t="e">
        <f t="shared" si="25"/>
        <v>#N/A</v>
      </c>
      <c r="AA108" s="975" t="e">
        <f>VLOOKUP(C108,'CHẤM CÔNG '!$D$12:$AL$89,33,0)</f>
        <v>#N/A</v>
      </c>
      <c r="AB108" s="975" t="e">
        <f>VLOOKUP(C108,'CHẤM CÔNG '!$D$12:$AL$89,34,0)</f>
        <v>#N/A</v>
      </c>
      <c r="AC108" s="975"/>
      <c r="AD108" s="975"/>
      <c r="AE108" s="975"/>
      <c r="AF108" s="975"/>
      <c r="AG108" s="975"/>
      <c r="AH108" s="975"/>
      <c r="AI108" s="975"/>
      <c r="AJ108" s="975"/>
      <c r="AK108" s="981"/>
      <c r="AL108" s="982" t="e">
        <f>VLOOKUP(C108,'sản lượng'!$D$12:$AM$89,38,0)</f>
        <v>#N/A</v>
      </c>
    </row>
    <row r="109" spans="1:38" ht="15.75">
      <c r="A109" s="969">
        <v>52</v>
      </c>
      <c r="B109" s="958" t="e">
        <f>VLOOKUP(C109,'DS CN MOI UP'!$B$10:$C$389,2,0)</f>
        <v>#N/A</v>
      </c>
      <c r="C109" s="970" t="s">
        <v>2637</v>
      </c>
      <c r="D109" s="971" t="s">
        <v>15</v>
      </c>
      <c r="E109" s="960">
        <f t="shared" si="16"/>
        <v>24</v>
      </c>
      <c r="F109" s="960"/>
      <c r="G109" s="960"/>
      <c r="H109" s="1110"/>
      <c r="I109" s="960"/>
      <c r="J109" s="960"/>
      <c r="K109" s="960"/>
      <c r="L109" s="960"/>
      <c r="M109" s="960"/>
      <c r="N109" s="960"/>
      <c r="O109" s="960"/>
      <c r="P109" s="960"/>
      <c r="Q109" s="960"/>
      <c r="R109" s="960"/>
      <c r="S109" s="975">
        <f t="shared" si="23"/>
        <v>24</v>
      </c>
      <c r="T109" s="975" t="e">
        <f>VLOOKUP(C109,'sản lượng'!$D$12:$AK$89,33,0)</f>
        <v>#N/A</v>
      </c>
      <c r="U109" s="975" t="e">
        <f>VLOOKUP(C109,'sản lượng'!$D$12:$AK$89,34,0)</f>
        <v>#N/A</v>
      </c>
      <c r="V109" s="975" t="e">
        <f>VLOOKUP(C109,'sản lượng'!$D$12:$AK$89,35,0)</f>
        <v>#N/A</v>
      </c>
      <c r="W109" s="975" t="e">
        <f t="shared" si="24"/>
        <v>#N/A</v>
      </c>
      <c r="X109" s="975"/>
      <c r="Y109" s="975"/>
      <c r="Z109" s="975" t="e">
        <f t="shared" si="25"/>
        <v>#N/A</v>
      </c>
      <c r="AA109" s="975" t="e">
        <f>VLOOKUP(C109,'CHẤM CÔNG '!$D$12:$AL$89,33,0)</f>
        <v>#N/A</v>
      </c>
      <c r="AB109" s="975" t="e">
        <f>VLOOKUP(C109,'CHẤM CÔNG '!$D$12:$AL$89,34,0)</f>
        <v>#N/A</v>
      </c>
      <c r="AC109" s="975"/>
      <c r="AD109" s="975"/>
      <c r="AE109" s="975"/>
      <c r="AF109" s="975"/>
      <c r="AG109" s="975"/>
      <c r="AH109" s="975"/>
      <c r="AI109" s="975"/>
      <c r="AJ109" s="975"/>
      <c r="AK109" s="981"/>
      <c r="AL109" s="982" t="e">
        <f>VLOOKUP(C109,'sản lượng'!$D$12:$AM$89,38,0)</f>
        <v>#N/A</v>
      </c>
    </row>
    <row r="110" spans="1:38" ht="15.75">
      <c r="A110" s="969">
        <v>53</v>
      </c>
      <c r="B110" s="958" t="e">
        <f>VLOOKUP(C110,'DS CN MOI UP'!$B$10:$C$389,2,0)</f>
        <v>#N/A</v>
      </c>
      <c r="C110" s="970" t="s">
        <v>2638</v>
      </c>
      <c r="D110" s="971" t="s">
        <v>15</v>
      </c>
      <c r="E110" s="960">
        <f t="shared" si="16"/>
        <v>24</v>
      </c>
      <c r="F110" s="960"/>
      <c r="G110" s="960"/>
      <c r="H110" s="1110"/>
      <c r="I110" s="960"/>
      <c r="J110" s="960"/>
      <c r="K110" s="960"/>
      <c r="L110" s="960"/>
      <c r="M110" s="960"/>
      <c r="N110" s="960"/>
      <c r="O110" s="960"/>
      <c r="P110" s="960"/>
      <c r="Q110" s="960"/>
      <c r="R110" s="960"/>
      <c r="S110" s="975">
        <f t="shared" si="23"/>
        <v>24</v>
      </c>
      <c r="T110" s="975" t="e">
        <f>VLOOKUP(C110,'sản lượng'!$D$12:$AK$89,33,0)</f>
        <v>#N/A</v>
      </c>
      <c r="U110" s="975" t="e">
        <f>VLOOKUP(C110,'sản lượng'!$D$12:$AK$89,34,0)</f>
        <v>#N/A</v>
      </c>
      <c r="V110" s="975" t="e">
        <f>VLOOKUP(C110,'sản lượng'!$D$12:$AK$89,35,0)</f>
        <v>#N/A</v>
      </c>
      <c r="W110" s="975" t="e">
        <f t="shared" si="24"/>
        <v>#N/A</v>
      </c>
      <c r="X110" s="975"/>
      <c r="Y110" s="975"/>
      <c r="Z110" s="975" t="e">
        <f t="shared" si="25"/>
        <v>#N/A</v>
      </c>
      <c r="AA110" s="975" t="e">
        <f>VLOOKUP(C110,'CHẤM CÔNG '!$D$12:$AL$89,33,0)</f>
        <v>#N/A</v>
      </c>
      <c r="AB110" s="975" t="e">
        <f>VLOOKUP(C110,'CHẤM CÔNG '!$D$12:$AL$89,34,0)</f>
        <v>#N/A</v>
      </c>
      <c r="AC110" s="975"/>
      <c r="AD110" s="975"/>
      <c r="AE110" s="975"/>
      <c r="AF110" s="975"/>
      <c r="AG110" s="975"/>
      <c r="AH110" s="975"/>
      <c r="AI110" s="975"/>
      <c r="AJ110" s="975"/>
      <c r="AK110" s="981"/>
      <c r="AL110" s="982" t="e">
        <f>VLOOKUP(C110,'sản lượng'!$D$12:$AM$89,38,0)</f>
        <v>#N/A</v>
      </c>
    </row>
    <row r="111" spans="1:38" ht="15.75">
      <c r="A111" s="969">
        <v>54</v>
      </c>
      <c r="B111" s="958" t="e">
        <f>VLOOKUP(C111,'DS CN MOI UP'!$B$10:$C$389,2,0)</f>
        <v>#N/A</v>
      </c>
      <c r="C111" s="970" t="s">
        <v>482</v>
      </c>
      <c r="D111" s="971" t="s">
        <v>15</v>
      </c>
      <c r="E111" s="960">
        <f t="shared" si="16"/>
        <v>24</v>
      </c>
      <c r="F111" s="960"/>
      <c r="G111" s="960"/>
      <c r="H111" s="1110"/>
      <c r="I111" s="960"/>
      <c r="J111" s="960"/>
      <c r="K111" s="960"/>
      <c r="L111" s="960"/>
      <c r="M111" s="960"/>
      <c r="N111" s="960"/>
      <c r="O111" s="960"/>
      <c r="P111" s="960"/>
      <c r="Q111" s="960"/>
      <c r="R111" s="960"/>
      <c r="S111" s="975">
        <f t="shared" si="23"/>
        <v>24</v>
      </c>
      <c r="T111" s="975" t="e">
        <f>VLOOKUP(C111,'sản lượng'!$D$12:$AK$89,33,0)</f>
        <v>#N/A</v>
      </c>
      <c r="U111" s="975" t="e">
        <f>VLOOKUP(C111,'sản lượng'!$D$12:$AK$89,34,0)</f>
        <v>#N/A</v>
      </c>
      <c r="V111" s="975" t="e">
        <f>VLOOKUP(C111,'sản lượng'!$D$12:$AK$89,35,0)</f>
        <v>#N/A</v>
      </c>
      <c r="W111" s="975" t="e">
        <f t="shared" si="24"/>
        <v>#N/A</v>
      </c>
      <c r="X111" s="975"/>
      <c r="Y111" s="975"/>
      <c r="Z111" s="975" t="e">
        <f t="shared" si="25"/>
        <v>#N/A</v>
      </c>
      <c r="AA111" s="975" t="e">
        <f>VLOOKUP(C111,'CHẤM CÔNG '!$D$12:$AL$89,33,0)</f>
        <v>#N/A</v>
      </c>
      <c r="AB111" s="975" t="e">
        <f>VLOOKUP(C111,'CHẤM CÔNG '!$D$12:$AL$89,34,0)</f>
        <v>#N/A</v>
      </c>
      <c r="AC111" s="975"/>
      <c r="AD111" s="975"/>
      <c r="AE111" s="975"/>
      <c r="AF111" s="975"/>
      <c r="AG111" s="975"/>
      <c r="AH111" s="975"/>
      <c r="AI111" s="975"/>
      <c r="AJ111" s="975"/>
      <c r="AK111" s="981"/>
      <c r="AL111" s="982" t="e">
        <f>VLOOKUP(C111,'sản lượng'!$D$12:$AM$89,38,0)</f>
        <v>#N/A</v>
      </c>
    </row>
    <row r="112" spans="1:38" ht="15.75">
      <c r="A112" s="969">
        <v>55</v>
      </c>
      <c r="B112" s="958" t="e">
        <f>VLOOKUP(C112,'DS CN MOI UP'!$B$10:$C$389,2,0)</f>
        <v>#N/A</v>
      </c>
      <c r="C112" s="970" t="s">
        <v>449</v>
      </c>
      <c r="D112" s="971" t="s">
        <v>15</v>
      </c>
      <c r="E112" s="960">
        <f t="shared" si="16"/>
        <v>24</v>
      </c>
      <c r="F112" s="960"/>
      <c r="G112" s="960"/>
      <c r="H112" s="1110"/>
      <c r="I112" s="960"/>
      <c r="J112" s="960"/>
      <c r="K112" s="960"/>
      <c r="L112" s="960"/>
      <c r="M112" s="960"/>
      <c r="N112" s="960"/>
      <c r="O112" s="960"/>
      <c r="P112" s="960"/>
      <c r="Q112" s="960"/>
      <c r="R112" s="960"/>
      <c r="S112" s="975">
        <f t="shared" si="23"/>
        <v>24</v>
      </c>
      <c r="T112" s="975" t="e">
        <f>VLOOKUP(C112,'sản lượng'!$D$12:$AK$89,33,0)</f>
        <v>#N/A</v>
      </c>
      <c r="U112" s="975" t="e">
        <f>VLOOKUP(C112,'sản lượng'!$D$12:$AK$89,34,0)</f>
        <v>#N/A</v>
      </c>
      <c r="V112" s="975" t="e">
        <f>VLOOKUP(C112,'sản lượng'!$D$12:$AK$89,35,0)</f>
        <v>#N/A</v>
      </c>
      <c r="W112" s="975" t="e">
        <f t="shared" si="24"/>
        <v>#N/A</v>
      </c>
      <c r="X112" s="975"/>
      <c r="Y112" s="975"/>
      <c r="Z112" s="975" t="e">
        <f t="shared" si="25"/>
        <v>#N/A</v>
      </c>
      <c r="AA112" s="975" t="e">
        <f>VLOOKUP(C112,'CHẤM CÔNG '!$D$12:$AL$89,33,0)</f>
        <v>#N/A</v>
      </c>
      <c r="AB112" s="975" t="e">
        <f>VLOOKUP(C112,'CHẤM CÔNG '!$D$12:$AL$89,34,0)</f>
        <v>#N/A</v>
      </c>
      <c r="AC112" s="975"/>
      <c r="AD112" s="975"/>
      <c r="AE112" s="975"/>
      <c r="AF112" s="975"/>
      <c r="AG112" s="975"/>
      <c r="AH112" s="975"/>
      <c r="AI112" s="975"/>
      <c r="AJ112" s="975"/>
      <c r="AK112" s="981"/>
      <c r="AL112" s="982" t="e">
        <f>VLOOKUP(C112,'sản lượng'!$D$12:$AM$89,38,0)</f>
        <v>#N/A</v>
      </c>
    </row>
    <row r="113" spans="1:44" ht="15.75">
      <c r="A113" s="969">
        <v>56</v>
      </c>
      <c r="B113" s="958" t="e">
        <f>VLOOKUP(C113,'DS CN MOI UP'!$B$10:$C$389,2,0)</f>
        <v>#N/A</v>
      </c>
      <c r="C113" s="970" t="s">
        <v>2560</v>
      </c>
      <c r="D113" s="971" t="s">
        <v>15</v>
      </c>
      <c r="E113" s="960">
        <f t="shared" si="16"/>
        <v>24</v>
      </c>
      <c r="F113" s="960"/>
      <c r="G113" s="960"/>
      <c r="H113" s="1110"/>
      <c r="I113" s="960"/>
      <c r="J113" s="960"/>
      <c r="K113" s="960"/>
      <c r="L113" s="960"/>
      <c r="M113" s="960"/>
      <c r="N113" s="960"/>
      <c r="O113" s="960"/>
      <c r="P113" s="960"/>
      <c r="Q113" s="960"/>
      <c r="R113" s="960"/>
      <c r="S113" s="975">
        <f t="shared" si="23"/>
        <v>24</v>
      </c>
      <c r="T113" s="975" t="e">
        <f>VLOOKUP(C113,'sản lượng'!$D$12:$AK$89,33,0)</f>
        <v>#N/A</v>
      </c>
      <c r="U113" s="975" t="e">
        <f>VLOOKUP(C113,'sản lượng'!$D$12:$AK$89,34,0)</f>
        <v>#N/A</v>
      </c>
      <c r="V113" s="975" t="e">
        <f>VLOOKUP(C113,'sản lượng'!$D$12:$AK$89,35,0)</f>
        <v>#N/A</v>
      </c>
      <c r="W113" s="975" t="e">
        <f t="shared" si="24"/>
        <v>#N/A</v>
      </c>
      <c r="X113" s="975"/>
      <c r="Y113" s="975"/>
      <c r="Z113" s="975" t="e">
        <f t="shared" si="25"/>
        <v>#N/A</v>
      </c>
      <c r="AA113" s="975" t="e">
        <f>VLOOKUP(C113,'CHẤM CÔNG '!$D$12:$AL$89,33,0)</f>
        <v>#N/A</v>
      </c>
      <c r="AB113" s="975" t="e">
        <f>VLOOKUP(C113,'CHẤM CÔNG '!$D$12:$AL$89,34,0)</f>
        <v>#N/A</v>
      </c>
      <c r="AC113" s="975"/>
      <c r="AD113" s="975"/>
      <c r="AE113" s="975">
        <f>VLOOKUP(C113,'Công cây non'!$C$10:$AJ$28,34,0)</f>
        <v>13</v>
      </c>
      <c r="AF113" s="975"/>
      <c r="AG113" s="975"/>
      <c r="AH113" s="975"/>
      <c r="AI113" s="975"/>
      <c r="AJ113" s="975"/>
      <c r="AK113" s="981"/>
      <c r="AL113" s="982" t="e">
        <f>VLOOKUP(C113,'sản lượng'!$D$12:$AM$89,38,0)</f>
        <v>#N/A</v>
      </c>
    </row>
    <row r="114" spans="1:44" ht="15.75">
      <c r="A114" s="969">
        <v>57</v>
      </c>
      <c r="B114" s="958" t="e">
        <f>VLOOKUP(C114,'DS CN MOI UP'!$B$10:$C$389,2,0)</f>
        <v>#N/A</v>
      </c>
      <c r="C114" s="970" t="s">
        <v>2561</v>
      </c>
      <c r="D114" s="971" t="s">
        <v>15</v>
      </c>
      <c r="E114" s="960">
        <f t="shared" si="16"/>
        <v>24</v>
      </c>
      <c r="F114" s="960"/>
      <c r="G114" s="960"/>
      <c r="H114" s="1110"/>
      <c r="I114" s="960"/>
      <c r="J114" s="960"/>
      <c r="K114" s="960"/>
      <c r="L114" s="960"/>
      <c r="M114" s="960"/>
      <c r="N114" s="960"/>
      <c r="O114" s="960"/>
      <c r="P114" s="960"/>
      <c r="Q114" s="960"/>
      <c r="R114" s="960"/>
      <c r="S114" s="975">
        <f t="shared" si="23"/>
        <v>24</v>
      </c>
      <c r="T114" s="975" t="e">
        <f>VLOOKUP(C114,'sản lượng'!$D$12:$AK$89,33,0)</f>
        <v>#N/A</v>
      </c>
      <c r="U114" s="975" t="e">
        <f>VLOOKUP(C114,'sản lượng'!$D$12:$AK$89,34,0)</f>
        <v>#N/A</v>
      </c>
      <c r="V114" s="975" t="e">
        <f>VLOOKUP(C114,'sản lượng'!$D$12:$AK$89,35,0)</f>
        <v>#N/A</v>
      </c>
      <c r="W114" s="975" t="e">
        <f t="shared" si="24"/>
        <v>#N/A</v>
      </c>
      <c r="X114" s="975"/>
      <c r="Y114" s="975"/>
      <c r="Z114" s="975" t="e">
        <f t="shared" ref="Z114" si="26">W114*$AN$14+X114*$AN$10+$AN$11*Y114</f>
        <v>#N/A</v>
      </c>
      <c r="AA114" s="975" t="e">
        <f>VLOOKUP(C114,'CHẤM CÔNG '!$D$12:$AL$89,33,0)</f>
        <v>#N/A</v>
      </c>
      <c r="AB114" s="975" t="e">
        <f>VLOOKUP(C114,'CHẤM CÔNG '!$D$12:$AL$89,34,0)</f>
        <v>#N/A</v>
      </c>
      <c r="AC114" s="975"/>
      <c r="AD114" s="975"/>
      <c r="AE114" s="975">
        <f>VLOOKUP(C114,'Công cây non'!$C$10:$AJ$28,34,0)</f>
        <v>13</v>
      </c>
      <c r="AF114" s="975"/>
      <c r="AG114" s="975"/>
      <c r="AH114" s="975"/>
      <c r="AI114" s="975"/>
      <c r="AJ114" s="975"/>
      <c r="AK114" s="981"/>
      <c r="AL114" s="982" t="e">
        <f>VLOOKUP(C114,'sản lượng'!$D$12:$AM$89,38,0)</f>
        <v>#N/A</v>
      </c>
    </row>
    <row r="115" spans="1:44" ht="15.75">
      <c r="A115" s="969">
        <v>57</v>
      </c>
      <c r="B115" s="958" t="e">
        <f>VLOOKUP(C115,'DS CN MOI UP'!$B$10:$C$389,2,0)</f>
        <v>#N/A</v>
      </c>
      <c r="C115" s="970" t="s">
        <v>2639</v>
      </c>
      <c r="D115" s="971" t="s">
        <v>15</v>
      </c>
      <c r="E115" s="960"/>
      <c r="F115" s="960"/>
      <c r="G115" s="960"/>
      <c r="H115" s="1110"/>
      <c r="I115" s="960"/>
      <c r="J115" s="960"/>
      <c r="K115" s="960"/>
      <c r="L115" s="960"/>
      <c r="M115" s="960"/>
      <c r="N115" s="960"/>
      <c r="O115" s="960"/>
      <c r="P115" s="960"/>
      <c r="Q115" s="960"/>
      <c r="R115" s="960"/>
      <c r="S115" s="975">
        <f t="shared" ref="S115:S119" si="27">SUM(E115:P115)</f>
        <v>0</v>
      </c>
      <c r="T115" s="975" t="e">
        <f>VLOOKUP(C115,'sản lượng'!$D$12:$AK$89,33,0)</f>
        <v>#N/A</v>
      </c>
      <c r="U115" s="975" t="e">
        <f>VLOOKUP(C115,'sản lượng'!$D$12:$AK$89,34,0)</f>
        <v>#N/A</v>
      </c>
      <c r="V115" s="975" t="e">
        <f>VLOOKUP(C115,'sản lượng'!$D$12:$AK$89,35,0)</f>
        <v>#N/A</v>
      </c>
      <c r="W115" s="975" t="e">
        <f t="shared" si="24"/>
        <v>#N/A</v>
      </c>
      <c r="X115" s="975"/>
      <c r="Y115" s="975"/>
      <c r="Z115" s="975" t="e">
        <f t="shared" ref="Z115:Z119" si="28">W115*$AN$14+X115*$AN$10+$AN$11*Y115</f>
        <v>#N/A</v>
      </c>
      <c r="AA115" s="975"/>
      <c r="AB115" s="975"/>
      <c r="AC115" s="975"/>
      <c r="AD115" s="975"/>
      <c r="AE115" s="975"/>
      <c r="AF115" s="975"/>
      <c r="AG115" s="975"/>
      <c r="AH115" s="975"/>
      <c r="AI115" s="975"/>
      <c r="AJ115" s="975"/>
      <c r="AK115" s="981"/>
      <c r="AL115" s="982" t="e">
        <f>VLOOKUP(C115,'sản lượng'!$D$12:$AM$89,38,0)</f>
        <v>#N/A</v>
      </c>
    </row>
    <row r="116" spans="1:44" ht="15.75">
      <c r="A116" s="969">
        <v>57</v>
      </c>
      <c r="B116" s="958" t="e">
        <f>VLOOKUP(C116,'DS CN MOI UP'!$B$10:$C$389,2,0)</f>
        <v>#N/A</v>
      </c>
      <c r="C116" s="970" t="s">
        <v>2640</v>
      </c>
      <c r="D116" s="971" t="s">
        <v>15</v>
      </c>
      <c r="E116" s="960"/>
      <c r="F116" s="960"/>
      <c r="G116" s="960"/>
      <c r="H116" s="1110"/>
      <c r="I116" s="960"/>
      <c r="J116" s="960"/>
      <c r="K116" s="960"/>
      <c r="L116" s="960"/>
      <c r="M116" s="960"/>
      <c r="N116" s="960"/>
      <c r="O116" s="960"/>
      <c r="P116" s="960"/>
      <c r="Q116" s="960"/>
      <c r="R116" s="960"/>
      <c r="S116" s="975">
        <f t="shared" ref="S116" si="29">SUM(E116:P116)</f>
        <v>0</v>
      </c>
      <c r="T116" s="975" t="e">
        <f>VLOOKUP(C116,'sản lượng'!$D$12:$AK$89,33,0)</f>
        <v>#N/A</v>
      </c>
      <c r="U116" s="975" t="e">
        <f>VLOOKUP(C116,'sản lượng'!$D$12:$AK$89,34,0)</f>
        <v>#N/A</v>
      </c>
      <c r="V116" s="975" t="e">
        <f>VLOOKUP(C116,'sản lượng'!$D$12:$AK$89,35,0)</f>
        <v>#N/A</v>
      </c>
      <c r="W116" s="975" t="e">
        <f t="shared" si="24"/>
        <v>#N/A</v>
      </c>
      <c r="X116" s="975"/>
      <c r="Y116" s="975"/>
      <c r="Z116" s="975" t="e">
        <f t="shared" ref="Z116" si="30">W116*$AN$14+X116*$AN$10+$AN$11*Y116</f>
        <v>#N/A</v>
      </c>
      <c r="AA116" s="975"/>
      <c r="AB116" s="975"/>
      <c r="AC116" s="975"/>
      <c r="AD116" s="975"/>
      <c r="AE116" s="975"/>
      <c r="AF116" s="975"/>
      <c r="AG116" s="975"/>
      <c r="AH116" s="975"/>
      <c r="AI116" s="975"/>
      <c r="AJ116" s="975"/>
      <c r="AK116" s="981"/>
      <c r="AL116" s="982" t="e">
        <f>VLOOKUP(C116,'sản lượng'!$D$12:$AM$89,38,0)</f>
        <v>#N/A</v>
      </c>
    </row>
    <row r="117" spans="1:44" ht="15.75">
      <c r="A117" s="969">
        <v>57</v>
      </c>
      <c r="B117" s="958" t="e">
        <f>VLOOKUP(C117,'DS CN MOI UP'!$B$10:$C$389,2,0)</f>
        <v>#N/A</v>
      </c>
      <c r="C117" s="970" t="s">
        <v>1814</v>
      </c>
      <c r="D117" s="971" t="s">
        <v>15</v>
      </c>
      <c r="E117" s="960"/>
      <c r="F117" s="960"/>
      <c r="G117" s="960"/>
      <c r="H117" s="1110"/>
      <c r="I117" s="960"/>
      <c r="J117" s="960"/>
      <c r="K117" s="960"/>
      <c r="L117" s="960"/>
      <c r="M117" s="960"/>
      <c r="N117" s="960"/>
      <c r="O117" s="960"/>
      <c r="P117" s="960"/>
      <c r="Q117" s="960"/>
      <c r="R117" s="960"/>
      <c r="S117" s="975">
        <f t="shared" si="27"/>
        <v>0</v>
      </c>
      <c r="T117" s="975" t="e">
        <f>VLOOKUP(C117,'sản lượng'!$D$12:$AK$89,33,0)</f>
        <v>#N/A</v>
      </c>
      <c r="U117" s="975" t="e">
        <f>VLOOKUP(C117,'sản lượng'!$D$12:$AK$89,34,0)</f>
        <v>#N/A</v>
      </c>
      <c r="V117" s="975" t="e">
        <f>VLOOKUP(C117,'sản lượng'!$D$12:$AK$89,35,0)</f>
        <v>#N/A</v>
      </c>
      <c r="W117" s="975" t="e">
        <f t="shared" si="24"/>
        <v>#N/A</v>
      </c>
      <c r="X117" s="975"/>
      <c r="Y117" s="975"/>
      <c r="Z117" s="975" t="e">
        <f t="shared" si="28"/>
        <v>#N/A</v>
      </c>
      <c r="AA117" s="975"/>
      <c r="AB117" s="975"/>
      <c r="AC117" s="975"/>
      <c r="AD117" s="975"/>
      <c r="AE117" s="975"/>
      <c r="AF117" s="975"/>
      <c r="AG117" s="975"/>
      <c r="AH117" s="975"/>
      <c r="AI117" s="975"/>
      <c r="AJ117" s="975"/>
      <c r="AK117" s="981"/>
      <c r="AL117" s="982" t="e">
        <f>VLOOKUP(C117,'sản lượng'!$D$12:$AM$89,38,0)</f>
        <v>#N/A</v>
      </c>
    </row>
    <row r="118" spans="1:44" ht="15.75">
      <c r="A118" s="969">
        <v>57</v>
      </c>
      <c r="B118" s="958" t="e">
        <f>VLOOKUP(C118,'DS CN MOI UP'!$B$10:$C$389,2,0)</f>
        <v>#N/A</v>
      </c>
      <c r="C118" s="970" t="s">
        <v>2641</v>
      </c>
      <c r="D118" s="971" t="s">
        <v>15</v>
      </c>
      <c r="E118" s="960"/>
      <c r="F118" s="960"/>
      <c r="G118" s="960"/>
      <c r="H118" s="1110"/>
      <c r="I118" s="960"/>
      <c r="J118" s="960"/>
      <c r="K118" s="960"/>
      <c r="L118" s="960"/>
      <c r="M118" s="960"/>
      <c r="N118" s="960"/>
      <c r="O118" s="960"/>
      <c r="P118" s="960"/>
      <c r="Q118" s="960"/>
      <c r="R118" s="960"/>
      <c r="S118" s="975">
        <f t="shared" si="27"/>
        <v>0</v>
      </c>
      <c r="T118" s="975" t="e">
        <f>VLOOKUP(C118,'sản lượng'!$D$12:$AK$89,33,0)</f>
        <v>#N/A</v>
      </c>
      <c r="U118" s="975" t="e">
        <f>VLOOKUP(C118,'sản lượng'!$D$12:$AK$89,34,0)</f>
        <v>#N/A</v>
      </c>
      <c r="V118" s="975" t="e">
        <f>VLOOKUP(C118,'sản lượng'!$D$12:$AK$89,35,0)</f>
        <v>#N/A</v>
      </c>
      <c r="W118" s="975" t="e">
        <f t="shared" si="24"/>
        <v>#N/A</v>
      </c>
      <c r="X118" s="975"/>
      <c r="Y118" s="975"/>
      <c r="Z118" s="975" t="e">
        <f t="shared" si="28"/>
        <v>#N/A</v>
      </c>
      <c r="AA118" s="975"/>
      <c r="AB118" s="975"/>
      <c r="AC118" s="975"/>
      <c r="AD118" s="975"/>
      <c r="AE118" s="975"/>
      <c r="AF118" s="975"/>
      <c r="AG118" s="975"/>
      <c r="AH118" s="975"/>
      <c r="AI118" s="975"/>
      <c r="AJ118" s="975"/>
      <c r="AK118" s="981"/>
      <c r="AL118" s="982" t="e">
        <f>VLOOKUP(C118,'sản lượng'!$D$12:$AM$89,38,0)</f>
        <v>#N/A</v>
      </c>
    </row>
    <row r="119" spans="1:44" ht="15.75">
      <c r="A119" s="969">
        <v>57</v>
      </c>
      <c r="B119" s="958" t="e">
        <f>VLOOKUP(C119,'DS CN MOI UP'!$B$10:$C$389,2,0)</f>
        <v>#N/A</v>
      </c>
      <c r="C119" s="970" t="s">
        <v>2642</v>
      </c>
      <c r="D119" s="971" t="s">
        <v>15</v>
      </c>
      <c r="E119" s="960"/>
      <c r="F119" s="960"/>
      <c r="G119" s="960"/>
      <c r="H119" s="1110"/>
      <c r="I119" s="960"/>
      <c r="J119" s="960"/>
      <c r="K119" s="960"/>
      <c r="L119" s="960"/>
      <c r="M119" s="960"/>
      <c r="N119" s="960"/>
      <c r="O119" s="960"/>
      <c r="P119" s="960"/>
      <c r="Q119" s="960"/>
      <c r="R119" s="960"/>
      <c r="S119" s="975">
        <f t="shared" si="27"/>
        <v>0</v>
      </c>
      <c r="T119" s="975" t="e">
        <f>VLOOKUP(C119,'sản lượng'!$D$12:$AK$89,33,0)</f>
        <v>#N/A</v>
      </c>
      <c r="U119" s="975" t="e">
        <f>VLOOKUP(C119,'sản lượng'!$D$12:$AK$89,34,0)</f>
        <v>#N/A</v>
      </c>
      <c r="V119" s="975" t="e">
        <f>VLOOKUP(C119,'sản lượng'!$D$12:$AK$89,35,0)</f>
        <v>#N/A</v>
      </c>
      <c r="W119" s="975" t="e">
        <f t="shared" si="24"/>
        <v>#N/A</v>
      </c>
      <c r="X119" s="975"/>
      <c r="Y119" s="975"/>
      <c r="Z119" s="975" t="e">
        <f t="shared" si="28"/>
        <v>#N/A</v>
      </c>
      <c r="AA119" s="975"/>
      <c r="AB119" s="975"/>
      <c r="AC119" s="975"/>
      <c r="AD119" s="975"/>
      <c r="AE119" s="975"/>
      <c r="AF119" s="975"/>
      <c r="AG119" s="975"/>
      <c r="AH119" s="975"/>
      <c r="AI119" s="975"/>
      <c r="AJ119" s="975"/>
      <c r="AK119" s="981"/>
      <c r="AL119" s="982" t="e">
        <f>VLOOKUP(C119,'sản lượng'!$D$12:$AM$89,38,0)</f>
        <v>#N/A</v>
      </c>
    </row>
    <row r="120" spans="1:44" ht="15.75">
      <c r="A120" s="969">
        <v>58</v>
      </c>
      <c r="B120" s="958">
        <v>2</v>
      </c>
      <c r="C120" s="991" t="s">
        <v>484</v>
      </c>
      <c r="D120" s="971" t="s">
        <v>1713</v>
      </c>
      <c r="E120" s="960"/>
      <c r="F120" s="960"/>
      <c r="G120" s="960"/>
      <c r="H120" s="1110"/>
      <c r="I120" s="960"/>
      <c r="J120" s="960"/>
      <c r="K120" s="960"/>
      <c r="L120" s="960"/>
      <c r="M120" s="960"/>
      <c r="N120" s="960"/>
      <c r="O120" s="960"/>
      <c r="P120" s="960"/>
      <c r="Q120" s="960"/>
      <c r="R120" s="960"/>
      <c r="S120" s="975">
        <f>SUM(E120:R120)</f>
        <v>0</v>
      </c>
      <c r="T120" s="975"/>
      <c r="U120" s="975"/>
      <c r="V120" s="975"/>
      <c r="W120" s="975"/>
      <c r="X120" s="975"/>
      <c r="Y120" s="975">
        <f>'MỦ XIRUM'!AJ12</f>
        <v>290</v>
      </c>
      <c r="Z120" s="975">
        <f>W120*$AN$9/$AN$8+X120*$AN$10+$AN$23*Y120</f>
        <v>144.59399999999999</v>
      </c>
      <c r="AA120" s="975"/>
      <c r="AB120" s="975"/>
      <c r="AC120" s="975"/>
      <c r="AD120" s="975"/>
      <c r="AE120" s="975"/>
      <c r="AF120" s="975"/>
      <c r="AG120" s="975"/>
      <c r="AH120" s="975"/>
      <c r="AI120" s="975"/>
      <c r="AJ120" s="975"/>
      <c r="AK120" s="981"/>
      <c r="AL120" s="982" t="e">
        <f>VLOOKUP(C120,'sản lượng'!$D$12:$AM$89,38,0)</f>
        <v>#N/A</v>
      </c>
    </row>
    <row r="121" spans="1:44">
      <c r="A121" s="965" t="s">
        <v>521</v>
      </c>
      <c r="B121" s="958"/>
      <c r="C121" s="966"/>
      <c r="D121" s="967"/>
      <c r="E121" s="968">
        <f t="shared" ref="E121:W121" si="31">SUM(E122:E208)</f>
        <v>2064</v>
      </c>
      <c r="F121" s="968">
        <f t="shared" si="31"/>
        <v>0</v>
      </c>
      <c r="G121" s="968">
        <f t="shared" si="31"/>
        <v>0</v>
      </c>
      <c r="H121" s="1117">
        <f t="shared" si="31"/>
        <v>0</v>
      </c>
      <c r="I121" s="968">
        <f t="shared" si="31"/>
        <v>0</v>
      </c>
      <c r="J121" s="968">
        <f t="shared" si="31"/>
        <v>0</v>
      </c>
      <c r="K121" s="968">
        <f t="shared" si="31"/>
        <v>0</v>
      </c>
      <c r="L121" s="968">
        <f t="shared" si="31"/>
        <v>0</v>
      </c>
      <c r="M121" s="968">
        <f t="shared" si="31"/>
        <v>0</v>
      </c>
      <c r="N121" s="968">
        <f t="shared" si="31"/>
        <v>0</v>
      </c>
      <c r="O121" s="968">
        <f t="shared" si="31"/>
        <v>0</v>
      </c>
      <c r="P121" s="968">
        <f t="shared" si="31"/>
        <v>0</v>
      </c>
      <c r="Q121" s="968">
        <f t="shared" si="31"/>
        <v>0</v>
      </c>
      <c r="R121" s="968">
        <f t="shared" si="31"/>
        <v>0</v>
      </c>
      <c r="S121" s="968">
        <f t="shared" si="31"/>
        <v>2064</v>
      </c>
      <c r="T121" s="968" t="e">
        <f t="shared" si="31"/>
        <v>#N/A</v>
      </c>
      <c r="U121" s="968">
        <f t="shared" si="31"/>
        <v>0</v>
      </c>
      <c r="V121" s="968">
        <f t="shared" si="31"/>
        <v>0</v>
      </c>
      <c r="W121" s="968" t="e">
        <f t="shared" si="31"/>
        <v>#N/A</v>
      </c>
      <c r="X121" s="968"/>
      <c r="Y121" s="968"/>
      <c r="Z121" s="1133" t="e">
        <f>SUM(Z122:Z208)</f>
        <v>#N/A</v>
      </c>
      <c r="AA121" s="968" t="e">
        <f>SUM(AA122:AA208)</f>
        <v>#N/A</v>
      </c>
      <c r="AB121" s="968" t="e">
        <f>SUM(AB122:AB208)</f>
        <v>#N/A</v>
      </c>
      <c r="AC121" s="968">
        <f>SUM(AC122:AC208)</f>
        <v>0</v>
      </c>
      <c r="AD121" s="968"/>
      <c r="AE121" s="968">
        <f>SUM(AE122:AE208)</f>
        <v>0</v>
      </c>
      <c r="AF121" s="968"/>
      <c r="AG121" s="968"/>
      <c r="AH121" s="968"/>
      <c r="AI121" s="968">
        <f>SUM(AI122:AI208)</f>
        <v>0</v>
      </c>
      <c r="AJ121" s="968">
        <f>SUM(AJ122:AJ208)</f>
        <v>0</v>
      </c>
      <c r="AK121" s="968">
        <f>SUM(AK122:AK208)</f>
        <v>0</v>
      </c>
      <c r="AL121" s="968" t="e">
        <f>SUM(AL122:AL208)</f>
        <v>#N/A</v>
      </c>
    </row>
    <row r="122" spans="1:44" ht="15.75">
      <c r="A122" s="957">
        <v>1</v>
      </c>
      <c r="B122" s="958" t="e">
        <f>VLOOKUP(C122,'DS CN MOI UP'!$B$10:$C$389,2,0)</f>
        <v>#N/A</v>
      </c>
      <c r="C122" s="991" t="s">
        <v>2643</v>
      </c>
      <c r="D122" s="957" t="s">
        <v>15</v>
      </c>
      <c r="E122" s="960">
        <f t="shared" ref="E122:E185" si="32">3*8</f>
        <v>24</v>
      </c>
      <c r="F122" s="960"/>
      <c r="G122" s="960"/>
      <c r="H122" s="1110"/>
      <c r="I122" s="960"/>
      <c r="J122" s="960"/>
      <c r="K122" s="960"/>
      <c r="L122" s="960"/>
      <c r="M122" s="960"/>
      <c r="N122" s="960"/>
      <c r="O122" s="960"/>
      <c r="P122" s="960"/>
      <c r="Q122" s="960"/>
      <c r="R122" s="960"/>
      <c r="S122" s="975">
        <f t="shared" ref="S122:S153" si="33">SUM(E122:N122)</f>
        <v>24</v>
      </c>
      <c r="T122" s="975" t="e">
        <f>VLOOKUP(C122,'sản lượng'!$D$12:$AK$89,36,0)</f>
        <v>#N/A</v>
      </c>
      <c r="U122" s="975"/>
      <c r="V122" s="975"/>
      <c r="W122" s="975" t="e">
        <f>VLOOKUP(C122,'sản lượng'!$D$12:$AK$89,36,0)</f>
        <v>#N/A</v>
      </c>
      <c r="X122" s="975"/>
      <c r="Y122" s="975"/>
      <c r="Z122" s="975" t="e">
        <f>W122*$AN$15+X122*$AN$10</f>
        <v>#N/A</v>
      </c>
      <c r="AA122" s="975" t="e">
        <f>VLOOKUP(C122,'CHẤM CÔNG '!$D$12:$AL$89,33,0)</f>
        <v>#N/A</v>
      </c>
      <c r="AB122" s="975" t="e">
        <f>VLOOKUP(C122,'CHẤM CÔNG '!$D$12:$AL$89,34,0)</f>
        <v>#N/A</v>
      </c>
      <c r="AC122" s="975"/>
      <c r="AD122" s="975"/>
      <c r="AE122" s="975"/>
      <c r="AF122" s="975"/>
      <c r="AG122" s="975"/>
      <c r="AH122" s="975"/>
      <c r="AI122" s="975"/>
      <c r="AJ122" s="975"/>
      <c r="AK122" s="981"/>
      <c r="AL122" s="982" t="e">
        <f>VLOOKUP(C122,'sản lượng'!$D$12:$AM$89,38,0)</f>
        <v>#N/A</v>
      </c>
      <c r="AP122" s="944">
        <v>1</v>
      </c>
      <c r="AR122" s="944">
        <v>2</v>
      </c>
    </row>
    <row r="123" spans="1:44" ht="15.75">
      <c r="A123" s="957">
        <v>2</v>
      </c>
      <c r="B123" s="1640" t="str">
        <f>VLOOKUP(C123,'DS CN MOI UP'!$B$10:$C$389,2,0)</f>
        <v>02510</v>
      </c>
      <c r="C123" s="991" t="s">
        <v>43</v>
      </c>
      <c r="D123" s="957" t="s">
        <v>15</v>
      </c>
      <c r="E123" s="960">
        <f t="shared" si="32"/>
        <v>24</v>
      </c>
      <c r="F123" s="960"/>
      <c r="G123" s="960"/>
      <c r="H123" s="1110"/>
      <c r="I123" s="960"/>
      <c r="J123" s="960"/>
      <c r="K123" s="960"/>
      <c r="L123" s="960"/>
      <c r="M123" s="960"/>
      <c r="N123" s="960"/>
      <c r="O123" s="960"/>
      <c r="P123" s="960"/>
      <c r="Q123" s="960"/>
      <c r="R123" s="960"/>
      <c r="S123" s="975">
        <f t="shared" si="33"/>
        <v>24</v>
      </c>
      <c r="T123" s="975" t="e">
        <f>VLOOKUP(C123,'sản lượng'!$D$12:$AK$89,36,0)</f>
        <v>#N/A</v>
      </c>
      <c r="U123" s="975"/>
      <c r="V123" s="975"/>
      <c r="W123" s="975" t="e">
        <f>VLOOKUP(C123,'sản lượng'!$D$12:$AK$89,36,0)</f>
        <v>#N/A</v>
      </c>
      <c r="X123" s="975"/>
      <c r="Y123" s="975"/>
      <c r="Z123" s="975" t="e">
        <f t="shared" ref="Z123:Z186" si="34">W123*$AN$15+X123*$AN$10</f>
        <v>#N/A</v>
      </c>
      <c r="AA123" s="975" t="e">
        <f>VLOOKUP(C123,'CHẤM CÔNG '!$D$12:$AL$89,33,0)</f>
        <v>#N/A</v>
      </c>
      <c r="AB123" s="975" t="e">
        <f>VLOOKUP(C123,'CHẤM CÔNG '!$D$12:$AL$89,34,0)</f>
        <v>#N/A</v>
      </c>
      <c r="AC123" s="975"/>
      <c r="AD123" s="975"/>
      <c r="AE123" s="975"/>
      <c r="AF123" s="975"/>
      <c r="AG123" s="975"/>
      <c r="AH123" s="975"/>
      <c r="AI123" s="975"/>
      <c r="AJ123" s="975"/>
      <c r="AK123" s="981"/>
      <c r="AL123" s="982" t="e">
        <f>VLOOKUP(C123,'sản lượng'!$D$12:$AM$89,38,0)</f>
        <v>#N/A</v>
      </c>
      <c r="AR123" s="944">
        <v>3</v>
      </c>
    </row>
    <row r="124" spans="1:44" ht="15.75">
      <c r="A124" s="957">
        <v>3</v>
      </c>
      <c r="B124" s="1640" t="str">
        <f>VLOOKUP(C124,'DS CN MOI UP'!$B$10:$C$389,2,0)</f>
        <v>02450</v>
      </c>
      <c r="C124" s="991" t="s">
        <v>70</v>
      </c>
      <c r="D124" s="957" t="s">
        <v>15</v>
      </c>
      <c r="E124" s="960">
        <f t="shared" si="32"/>
        <v>24</v>
      </c>
      <c r="F124" s="960"/>
      <c r="G124" s="960"/>
      <c r="H124" s="1110"/>
      <c r="I124" s="960"/>
      <c r="J124" s="960"/>
      <c r="K124" s="960"/>
      <c r="L124" s="960"/>
      <c r="M124" s="960"/>
      <c r="N124" s="960"/>
      <c r="O124" s="960"/>
      <c r="P124" s="960"/>
      <c r="Q124" s="960"/>
      <c r="R124" s="960"/>
      <c r="S124" s="975">
        <f t="shared" si="33"/>
        <v>24</v>
      </c>
      <c r="T124" s="975" t="e">
        <f>VLOOKUP(C124,'sản lượng'!$D$12:$AK$89,36,0)</f>
        <v>#N/A</v>
      </c>
      <c r="U124" s="975"/>
      <c r="V124" s="975"/>
      <c r="W124" s="975" t="e">
        <f>VLOOKUP(C124,'sản lượng'!$D$12:$AK$89,36,0)</f>
        <v>#N/A</v>
      </c>
      <c r="X124" s="975"/>
      <c r="Y124" s="975"/>
      <c r="Z124" s="975" t="e">
        <f t="shared" si="34"/>
        <v>#N/A</v>
      </c>
      <c r="AA124" s="975" t="e">
        <f>VLOOKUP(C124,'CHẤM CÔNG '!$D$12:$AL$89,33,0)</f>
        <v>#N/A</v>
      </c>
      <c r="AB124" s="975" t="e">
        <f>VLOOKUP(C124,'CHẤM CÔNG '!$D$12:$AL$89,34,0)</f>
        <v>#N/A</v>
      </c>
      <c r="AC124" s="975"/>
      <c r="AD124" s="975"/>
      <c r="AE124" s="975"/>
      <c r="AF124" s="975"/>
      <c r="AG124" s="975"/>
      <c r="AH124" s="975"/>
      <c r="AI124" s="975"/>
      <c r="AJ124" s="975"/>
      <c r="AK124" s="981"/>
      <c r="AL124" s="982" t="e">
        <f>VLOOKUP(C124,'sản lượng'!$D$12:$AM$89,38,0)</f>
        <v>#N/A</v>
      </c>
      <c r="AP124" s="944">
        <v>1</v>
      </c>
      <c r="AR124" s="944">
        <v>2</v>
      </c>
    </row>
    <row r="125" spans="1:44" ht="15.75">
      <c r="A125" s="957">
        <v>4</v>
      </c>
      <c r="B125" s="1640" t="str">
        <f>VLOOKUP(C125,'DS CN MOI UP'!$B$10:$C$389,2,0)</f>
        <v>02454</v>
      </c>
      <c r="C125" s="963" t="s">
        <v>71</v>
      </c>
      <c r="D125" s="957" t="s">
        <v>15</v>
      </c>
      <c r="E125" s="960">
        <f t="shared" si="32"/>
        <v>24</v>
      </c>
      <c r="F125" s="960"/>
      <c r="G125" s="960"/>
      <c r="H125" s="1110"/>
      <c r="I125" s="960"/>
      <c r="J125" s="960"/>
      <c r="K125" s="960"/>
      <c r="L125" s="960"/>
      <c r="M125" s="960"/>
      <c r="N125" s="960"/>
      <c r="O125" s="960"/>
      <c r="P125" s="960"/>
      <c r="Q125" s="960"/>
      <c r="R125" s="960"/>
      <c r="S125" s="975">
        <f t="shared" si="33"/>
        <v>24</v>
      </c>
      <c r="T125" s="975" t="e">
        <f>VLOOKUP(C125,'sản lượng'!$D$12:$AK$89,36,0)</f>
        <v>#N/A</v>
      </c>
      <c r="U125" s="975"/>
      <c r="V125" s="975"/>
      <c r="W125" s="975" t="e">
        <f>VLOOKUP(C125,'sản lượng'!$D$12:$AK$89,36,0)</f>
        <v>#N/A</v>
      </c>
      <c r="X125" s="975"/>
      <c r="Y125" s="975"/>
      <c r="Z125" s="975" t="e">
        <f t="shared" si="34"/>
        <v>#N/A</v>
      </c>
      <c r="AA125" s="975" t="e">
        <f>VLOOKUP(C125,'CHẤM CÔNG '!$D$12:$AL$89,33,0)</f>
        <v>#N/A</v>
      </c>
      <c r="AB125" s="975" t="e">
        <f>VLOOKUP(C125,'CHẤM CÔNG '!$D$12:$AL$89,34,0)</f>
        <v>#N/A</v>
      </c>
      <c r="AC125" s="975"/>
      <c r="AD125" s="975"/>
      <c r="AE125" s="975"/>
      <c r="AF125" s="975"/>
      <c r="AG125" s="975"/>
      <c r="AH125" s="975"/>
      <c r="AI125" s="975"/>
      <c r="AJ125" s="975"/>
      <c r="AK125" s="981"/>
      <c r="AL125" s="982" t="e">
        <f>VLOOKUP(C125,'sản lượng'!$D$12:$AM$89,38,0)</f>
        <v>#N/A</v>
      </c>
      <c r="AP125" s="944">
        <v>1</v>
      </c>
      <c r="AR125" s="944">
        <v>2</v>
      </c>
    </row>
    <row r="126" spans="1:44" ht="15.75">
      <c r="A126" s="957">
        <v>5</v>
      </c>
      <c r="B126" s="1640" t="str">
        <f>VLOOKUP(C126,'DS CN MOI UP'!$B$10:$C$389,2,0)</f>
        <v>03331</v>
      </c>
      <c r="C126" s="991" t="s">
        <v>486</v>
      </c>
      <c r="D126" s="957" t="s">
        <v>15</v>
      </c>
      <c r="E126" s="960">
        <f t="shared" si="32"/>
        <v>24</v>
      </c>
      <c r="F126" s="960"/>
      <c r="G126" s="960"/>
      <c r="H126" s="1110"/>
      <c r="I126" s="960"/>
      <c r="J126" s="960"/>
      <c r="K126" s="960"/>
      <c r="L126" s="960"/>
      <c r="M126" s="960"/>
      <c r="N126" s="960"/>
      <c r="O126" s="960"/>
      <c r="P126" s="960"/>
      <c r="Q126" s="960"/>
      <c r="R126" s="960"/>
      <c r="S126" s="975">
        <f t="shared" si="33"/>
        <v>24</v>
      </c>
      <c r="T126" s="975" t="e">
        <f>VLOOKUP(C126,'sản lượng'!$D$12:$AK$89,36,0)</f>
        <v>#N/A</v>
      </c>
      <c r="U126" s="975"/>
      <c r="V126" s="975"/>
      <c r="W126" s="975" t="e">
        <f>VLOOKUP(C126,'sản lượng'!$D$12:$AK$89,36,0)</f>
        <v>#N/A</v>
      </c>
      <c r="X126" s="975"/>
      <c r="Y126" s="975"/>
      <c r="Z126" s="975" t="e">
        <f t="shared" si="34"/>
        <v>#N/A</v>
      </c>
      <c r="AA126" s="975" t="e">
        <f>VLOOKUP(C126,'CHẤM CÔNG '!$D$12:$AL$89,33,0)</f>
        <v>#N/A</v>
      </c>
      <c r="AB126" s="975" t="e">
        <f>VLOOKUP(C126,'CHẤM CÔNG '!$D$12:$AL$89,34,0)</f>
        <v>#N/A</v>
      </c>
      <c r="AC126" s="975"/>
      <c r="AD126" s="975"/>
      <c r="AE126" s="975"/>
      <c r="AF126" s="975"/>
      <c r="AG126" s="975"/>
      <c r="AH126" s="975"/>
      <c r="AI126" s="975"/>
      <c r="AJ126" s="975"/>
      <c r="AK126" s="981"/>
      <c r="AL126" s="982" t="e">
        <f>VLOOKUP(C126,'sản lượng'!$D$12:$AM$89,38,0)</f>
        <v>#N/A</v>
      </c>
      <c r="AP126" s="944">
        <v>2</v>
      </c>
      <c r="AR126" s="944">
        <v>1</v>
      </c>
    </row>
    <row r="127" spans="1:44" ht="15.75">
      <c r="A127" s="957">
        <v>6</v>
      </c>
      <c r="B127" s="1640" t="str">
        <f>VLOOKUP(C127,'DS CN MOI UP'!$B$10:$C$389,2,0)</f>
        <v>02474</v>
      </c>
      <c r="C127" s="991" t="s">
        <v>57</v>
      </c>
      <c r="D127" s="957" t="s">
        <v>15</v>
      </c>
      <c r="E127" s="960">
        <f t="shared" si="32"/>
        <v>24</v>
      </c>
      <c r="F127" s="960"/>
      <c r="G127" s="960"/>
      <c r="H127" s="1110"/>
      <c r="I127" s="960"/>
      <c r="J127" s="960"/>
      <c r="K127" s="960"/>
      <c r="L127" s="960"/>
      <c r="M127" s="960"/>
      <c r="N127" s="960"/>
      <c r="O127" s="960"/>
      <c r="P127" s="960"/>
      <c r="Q127" s="960"/>
      <c r="R127" s="960"/>
      <c r="S127" s="975">
        <f t="shared" si="33"/>
        <v>24</v>
      </c>
      <c r="T127" s="975" t="e">
        <f>VLOOKUP(C127,'sản lượng'!$D$12:$AK$89,36,0)</f>
        <v>#N/A</v>
      </c>
      <c r="U127" s="975"/>
      <c r="V127" s="975"/>
      <c r="W127" s="975" t="e">
        <f>VLOOKUP(C127,'sản lượng'!$D$12:$AK$89,36,0)</f>
        <v>#N/A</v>
      </c>
      <c r="X127" s="975"/>
      <c r="Y127" s="975"/>
      <c r="Z127" s="975" t="e">
        <f t="shared" si="34"/>
        <v>#N/A</v>
      </c>
      <c r="AA127" s="975" t="e">
        <f>VLOOKUP(C127,'CHẤM CÔNG '!$D$12:$AL$89,33,0)</f>
        <v>#N/A</v>
      </c>
      <c r="AB127" s="975" t="e">
        <f>VLOOKUP(C127,'CHẤM CÔNG '!$D$12:$AL$89,34,0)</f>
        <v>#N/A</v>
      </c>
      <c r="AC127" s="975"/>
      <c r="AD127" s="975"/>
      <c r="AE127" s="975"/>
      <c r="AF127" s="975"/>
      <c r="AG127" s="975"/>
      <c r="AH127" s="975"/>
      <c r="AI127" s="975"/>
      <c r="AJ127" s="975"/>
      <c r="AK127" s="981"/>
      <c r="AL127" s="982" t="e">
        <f>VLOOKUP(C127,'sản lượng'!$D$12:$AM$89,38,0)</f>
        <v>#N/A</v>
      </c>
      <c r="AP127" s="944">
        <v>2</v>
      </c>
      <c r="AR127" s="944">
        <v>1</v>
      </c>
    </row>
    <row r="128" spans="1:44" ht="15.75">
      <c r="A128" s="957">
        <v>7</v>
      </c>
      <c r="B128" s="958" t="e">
        <f>VLOOKUP(C128,'DS CN MOI UP'!$B$10:$C$389,2,0)</f>
        <v>#N/A</v>
      </c>
      <c r="C128" s="991" t="s">
        <v>2644</v>
      </c>
      <c r="D128" s="957" t="s">
        <v>15</v>
      </c>
      <c r="E128" s="960">
        <f t="shared" si="32"/>
        <v>24</v>
      </c>
      <c r="F128" s="960"/>
      <c r="G128" s="960"/>
      <c r="H128" s="1110"/>
      <c r="I128" s="960"/>
      <c r="J128" s="960"/>
      <c r="K128" s="960"/>
      <c r="L128" s="960"/>
      <c r="M128" s="960"/>
      <c r="N128" s="960"/>
      <c r="O128" s="960"/>
      <c r="P128" s="960"/>
      <c r="Q128" s="960"/>
      <c r="R128" s="960"/>
      <c r="S128" s="975">
        <f t="shared" si="33"/>
        <v>24</v>
      </c>
      <c r="T128" s="975" t="e">
        <f>VLOOKUP(C128,'sản lượng'!$D$12:$AK$89,36,0)</f>
        <v>#N/A</v>
      </c>
      <c r="U128" s="975"/>
      <c r="V128" s="975"/>
      <c r="W128" s="975" t="e">
        <f>VLOOKUP(C128,'sản lượng'!$D$12:$AK$89,36,0)</f>
        <v>#N/A</v>
      </c>
      <c r="X128" s="975"/>
      <c r="Y128" s="975"/>
      <c r="Z128" s="975" t="e">
        <f t="shared" si="34"/>
        <v>#N/A</v>
      </c>
      <c r="AA128" s="975" t="e">
        <f>VLOOKUP(C128,'CHẤM CÔNG '!$D$12:$AL$89,33,0)</f>
        <v>#N/A</v>
      </c>
      <c r="AB128" s="975" t="e">
        <f>VLOOKUP(C128,'CHẤM CÔNG '!$D$12:$AL$89,34,0)</f>
        <v>#N/A</v>
      </c>
      <c r="AC128" s="975"/>
      <c r="AD128" s="975"/>
      <c r="AE128" s="975"/>
      <c r="AF128" s="975"/>
      <c r="AG128" s="975"/>
      <c r="AH128" s="975"/>
      <c r="AI128" s="975"/>
      <c r="AJ128" s="975"/>
      <c r="AK128" s="981"/>
      <c r="AL128" s="982" t="e">
        <f>VLOOKUP(C128,'sản lượng'!$D$12:$AM$89,38,0)</f>
        <v>#N/A</v>
      </c>
      <c r="AP128" s="944">
        <v>1</v>
      </c>
      <c r="AR128" s="944">
        <v>2</v>
      </c>
    </row>
    <row r="129" spans="1:44" ht="15.75">
      <c r="A129" s="957">
        <v>8</v>
      </c>
      <c r="B129" s="1640" t="str">
        <f>VLOOKUP(C129,'DS CN MOI UP'!$B$10:$C$389,2,0)</f>
        <v>02471</v>
      </c>
      <c r="C129" s="991" t="s">
        <v>18</v>
      </c>
      <c r="D129" s="957" t="s">
        <v>15</v>
      </c>
      <c r="E129" s="960">
        <f t="shared" si="32"/>
        <v>24</v>
      </c>
      <c r="F129" s="960"/>
      <c r="G129" s="960"/>
      <c r="H129" s="1110"/>
      <c r="I129" s="960"/>
      <c r="J129" s="960"/>
      <c r="K129" s="960"/>
      <c r="L129" s="960"/>
      <c r="M129" s="960"/>
      <c r="N129" s="960"/>
      <c r="O129" s="960"/>
      <c r="P129" s="960"/>
      <c r="Q129" s="960"/>
      <c r="R129" s="960"/>
      <c r="S129" s="975">
        <f t="shared" si="33"/>
        <v>24</v>
      </c>
      <c r="T129" s="975" t="e">
        <f>VLOOKUP(C129,'sản lượng'!$D$12:$AK$89,36,0)</f>
        <v>#N/A</v>
      </c>
      <c r="U129" s="975"/>
      <c r="V129" s="975"/>
      <c r="W129" s="975" t="e">
        <f>VLOOKUP(C129,'sản lượng'!$D$12:$AK$89,36,0)</f>
        <v>#N/A</v>
      </c>
      <c r="X129" s="975"/>
      <c r="Y129" s="975"/>
      <c r="Z129" s="975" t="e">
        <f t="shared" si="34"/>
        <v>#N/A</v>
      </c>
      <c r="AA129" s="975" t="e">
        <f>VLOOKUP(C129,'CHẤM CÔNG '!$D$12:$AL$89,33,0)</f>
        <v>#N/A</v>
      </c>
      <c r="AB129" s="975" t="e">
        <f>VLOOKUP(C129,'CHẤM CÔNG '!$D$12:$AL$89,34,0)</f>
        <v>#N/A</v>
      </c>
      <c r="AC129" s="975"/>
      <c r="AD129" s="975"/>
      <c r="AE129" s="975"/>
      <c r="AF129" s="975"/>
      <c r="AG129" s="975"/>
      <c r="AH129" s="975"/>
      <c r="AI129" s="975"/>
      <c r="AJ129" s="975"/>
      <c r="AK129" s="981"/>
      <c r="AL129" s="982" t="e">
        <f>VLOOKUP(C129,'sản lượng'!$D$12:$AM$89,38,0)</f>
        <v>#N/A</v>
      </c>
      <c r="AP129" s="944">
        <v>1</v>
      </c>
      <c r="AR129" s="944">
        <v>2</v>
      </c>
    </row>
    <row r="130" spans="1:44" ht="15.75">
      <c r="A130" s="957">
        <v>9</v>
      </c>
      <c r="B130" s="1640" t="str">
        <f>VLOOKUP(C130,'DS CN MOI UP'!$B$10:$C$389,2,0)</f>
        <v>02488</v>
      </c>
      <c r="C130" s="991" t="s">
        <v>35</v>
      </c>
      <c r="D130" s="957" t="s">
        <v>15</v>
      </c>
      <c r="E130" s="960">
        <f t="shared" si="32"/>
        <v>24</v>
      </c>
      <c r="F130" s="960"/>
      <c r="G130" s="960"/>
      <c r="H130" s="1110"/>
      <c r="I130" s="960"/>
      <c r="J130" s="960"/>
      <c r="K130" s="960"/>
      <c r="L130" s="960"/>
      <c r="M130" s="960"/>
      <c r="N130" s="960"/>
      <c r="O130" s="960"/>
      <c r="P130" s="960"/>
      <c r="Q130" s="960"/>
      <c r="R130" s="960"/>
      <c r="S130" s="975">
        <f t="shared" si="33"/>
        <v>24</v>
      </c>
      <c r="T130" s="975" t="e">
        <f>VLOOKUP(C130,'sản lượng'!$D$12:$AK$89,36,0)</f>
        <v>#N/A</v>
      </c>
      <c r="U130" s="975"/>
      <c r="V130" s="975"/>
      <c r="W130" s="975" t="e">
        <f>VLOOKUP(C130,'sản lượng'!$D$12:$AK$89,36,0)</f>
        <v>#N/A</v>
      </c>
      <c r="X130" s="975"/>
      <c r="Y130" s="975"/>
      <c r="Z130" s="975" t="e">
        <f t="shared" si="34"/>
        <v>#N/A</v>
      </c>
      <c r="AA130" s="975" t="e">
        <f>VLOOKUP(C130,'CHẤM CÔNG '!$D$12:$AL$89,33,0)</f>
        <v>#N/A</v>
      </c>
      <c r="AB130" s="975" t="e">
        <f>VLOOKUP(C130,'CHẤM CÔNG '!$D$12:$AL$89,34,0)</f>
        <v>#N/A</v>
      </c>
      <c r="AC130" s="975"/>
      <c r="AD130" s="975"/>
      <c r="AE130" s="975"/>
      <c r="AF130" s="975"/>
      <c r="AG130" s="975"/>
      <c r="AH130" s="975"/>
      <c r="AI130" s="975"/>
      <c r="AJ130" s="975"/>
      <c r="AK130" s="981"/>
      <c r="AL130" s="982" t="e">
        <f>VLOOKUP(C130,'sản lượng'!$D$12:$AM$89,38,0)</f>
        <v>#N/A</v>
      </c>
      <c r="AP130" s="944">
        <v>1</v>
      </c>
      <c r="AR130" s="944">
        <v>2</v>
      </c>
    </row>
    <row r="131" spans="1:44" ht="15.75">
      <c r="A131" s="957">
        <v>10</v>
      </c>
      <c r="B131" s="958" t="e">
        <f>VLOOKUP(C131,'DS CN MOI UP'!$B$10:$C$389,2,0)</f>
        <v>#N/A</v>
      </c>
      <c r="C131" s="991" t="s">
        <v>1336</v>
      </c>
      <c r="D131" s="957" t="s">
        <v>15</v>
      </c>
      <c r="E131" s="960">
        <f t="shared" si="32"/>
        <v>24</v>
      </c>
      <c r="F131" s="960"/>
      <c r="G131" s="960"/>
      <c r="H131" s="1110"/>
      <c r="I131" s="960"/>
      <c r="J131" s="960"/>
      <c r="K131" s="960"/>
      <c r="L131" s="960"/>
      <c r="M131" s="960"/>
      <c r="N131" s="960"/>
      <c r="O131" s="960"/>
      <c r="P131" s="960"/>
      <c r="Q131" s="960"/>
      <c r="R131" s="960"/>
      <c r="S131" s="975">
        <f t="shared" si="33"/>
        <v>24</v>
      </c>
      <c r="T131" s="975" t="e">
        <f>VLOOKUP(C131,'sản lượng'!$D$12:$AK$89,36,0)</f>
        <v>#N/A</v>
      </c>
      <c r="U131" s="975"/>
      <c r="V131" s="975"/>
      <c r="W131" s="975" t="e">
        <f>VLOOKUP(C131,'sản lượng'!$D$12:$AK$89,36,0)</f>
        <v>#N/A</v>
      </c>
      <c r="X131" s="975"/>
      <c r="Y131" s="975"/>
      <c r="Z131" s="975" t="e">
        <f t="shared" si="34"/>
        <v>#N/A</v>
      </c>
      <c r="AA131" s="975" t="e">
        <f>VLOOKUP(C131,'CHẤM CÔNG '!$D$12:$AL$89,33,0)</f>
        <v>#N/A</v>
      </c>
      <c r="AB131" s="975" t="e">
        <f>VLOOKUP(C131,'CHẤM CÔNG '!$D$12:$AL$89,34,0)</f>
        <v>#N/A</v>
      </c>
      <c r="AC131" s="975"/>
      <c r="AD131" s="975"/>
      <c r="AE131" s="975"/>
      <c r="AF131" s="975"/>
      <c r="AG131" s="975"/>
      <c r="AH131" s="975"/>
      <c r="AI131" s="975"/>
      <c r="AJ131" s="975"/>
      <c r="AK131" s="981"/>
      <c r="AL131" s="982" t="e">
        <f>VLOOKUP(C131,'sản lượng'!$D$12:$AM$89,38,0)</f>
        <v>#N/A</v>
      </c>
      <c r="AP131" s="944">
        <v>1</v>
      </c>
      <c r="AR131" s="944">
        <v>2</v>
      </c>
    </row>
    <row r="132" spans="1:44" ht="15.75">
      <c r="A132" s="957">
        <v>11</v>
      </c>
      <c r="B132" s="1640" t="str">
        <f>VLOOKUP(C132,'DS CN MOI UP'!$B$10:$C$389,2,0)</f>
        <v>03338</v>
      </c>
      <c r="C132" s="991" t="s">
        <v>85</v>
      </c>
      <c r="D132" s="957" t="s">
        <v>15</v>
      </c>
      <c r="E132" s="960">
        <f t="shared" si="32"/>
        <v>24</v>
      </c>
      <c r="F132" s="960"/>
      <c r="G132" s="960"/>
      <c r="H132" s="1110"/>
      <c r="I132" s="960"/>
      <c r="J132" s="960"/>
      <c r="K132" s="960"/>
      <c r="L132" s="960"/>
      <c r="M132" s="960"/>
      <c r="N132" s="960"/>
      <c r="O132" s="960"/>
      <c r="P132" s="960"/>
      <c r="Q132" s="960"/>
      <c r="R132" s="960"/>
      <c r="S132" s="975">
        <f t="shared" si="33"/>
        <v>24</v>
      </c>
      <c r="T132" s="975" t="e">
        <f>VLOOKUP(C132,'sản lượng'!$D$12:$AK$89,36,0)</f>
        <v>#N/A</v>
      </c>
      <c r="U132" s="975"/>
      <c r="V132" s="975"/>
      <c r="W132" s="975" t="e">
        <f>VLOOKUP(C132,'sản lượng'!$D$12:$AK$89,36,0)</f>
        <v>#N/A</v>
      </c>
      <c r="X132" s="975"/>
      <c r="Y132" s="975"/>
      <c r="Z132" s="975" t="e">
        <f t="shared" si="34"/>
        <v>#N/A</v>
      </c>
      <c r="AA132" s="975" t="e">
        <f>VLOOKUP(C132,'CHẤM CÔNG '!$D$12:$AL$89,33,0)</f>
        <v>#N/A</v>
      </c>
      <c r="AB132" s="975" t="e">
        <f>VLOOKUP(C132,'CHẤM CÔNG '!$D$12:$AL$89,34,0)</f>
        <v>#N/A</v>
      </c>
      <c r="AC132" s="975"/>
      <c r="AD132" s="975"/>
      <c r="AE132" s="975"/>
      <c r="AF132" s="975"/>
      <c r="AG132" s="975"/>
      <c r="AH132" s="975"/>
      <c r="AI132" s="975"/>
      <c r="AJ132" s="975"/>
      <c r="AK132" s="981"/>
      <c r="AL132" s="982" t="e">
        <f>VLOOKUP(C132,'sản lượng'!$D$12:$AM$89,38,0)</f>
        <v>#N/A</v>
      </c>
      <c r="AP132" s="944">
        <v>1</v>
      </c>
      <c r="AR132" s="944">
        <v>2</v>
      </c>
    </row>
    <row r="133" spans="1:44" ht="15.75">
      <c r="A133" s="957">
        <v>12</v>
      </c>
      <c r="B133" s="958" t="e">
        <f>VLOOKUP(C133,'DS CN MOI UP'!$B$10:$C$389,2,0)</f>
        <v>#N/A</v>
      </c>
      <c r="C133" s="991" t="s">
        <v>556</v>
      </c>
      <c r="D133" s="957" t="s">
        <v>15</v>
      </c>
      <c r="E133" s="960">
        <f t="shared" si="32"/>
        <v>24</v>
      </c>
      <c r="F133" s="960"/>
      <c r="G133" s="960"/>
      <c r="H133" s="1110"/>
      <c r="I133" s="960"/>
      <c r="J133" s="960"/>
      <c r="K133" s="960"/>
      <c r="L133" s="960"/>
      <c r="M133" s="960"/>
      <c r="N133" s="960"/>
      <c r="O133" s="960"/>
      <c r="P133" s="960"/>
      <c r="Q133" s="960"/>
      <c r="R133" s="960"/>
      <c r="S133" s="975">
        <f t="shared" si="33"/>
        <v>24</v>
      </c>
      <c r="T133" s="975" t="e">
        <f>VLOOKUP(C133,'sản lượng'!$D$12:$AK$89,36,0)</f>
        <v>#N/A</v>
      </c>
      <c r="U133" s="975"/>
      <c r="V133" s="975"/>
      <c r="W133" s="975" t="e">
        <f>VLOOKUP(C133,'sản lượng'!$D$12:$AK$89,36,0)</f>
        <v>#N/A</v>
      </c>
      <c r="X133" s="975"/>
      <c r="Y133" s="975"/>
      <c r="Z133" s="975" t="e">
        <f t="shared" si="34"/>
        <v>#N/A</v>
      </c>
      <c r="AA133" s="975" t="e">
        <f>VLOOKUP(C133,'CHẤM CÔNG '!$D$12:$AL$89,33,0)</f>
        <v>#N/A</v>
      </c>
      <c r="AB133" s="975" t="e">
        <f>VLOOKUP(C133,'CHẤM CÔNG '!$D$12:$AL$89,34,0)</f>
        <v>#N/A</v>
      </c>
      <c r="AC133" s="975"/>
      <c r="AD133" s="975"/>
      <c r="AE133" s="975"/>
      <c r="AF133" s="975"/>
      <c r="AG133" s="975"/>
      <c r="AH133" s="975"/>
      <c r="AI133" s="975"/>
      <c r="AJ133" s="975"/>
      <c r="AK133" s="981"/>
      <c r="AL133" s="982" t="e">
        <f>VLOOKUP(C133,'sản lượng'!$D$12:$AM$89,38,0)</f>
        <v>#N/A</v>
      </c>
      <c r="AP133" s="944">
        <v>1</v>
      </c>
      <c r="AR133" s="944">
        <v>2</v>
      </c>
    </row>
    <row r="134" spans="1:44" ht="15.75">
      <c r="A134" s="957">
        <v>13</v>
      </c>
      <c r="B134" s="958" t="e">
        <f>VLOOKUP(C134,'DS CN MOI UP'!$B$10:$C$389,2,0)</f>
        <v>#N/A</v>
      </c>
      <c r="C134" s="991" t="s">
        <v>2645</v>
      </c>
      <c r="D134" s="957" t="s">
        <v>15</v>
      </c>
      <c r="E134" s="960">
        <f t="shared" si="32"/>
        <v>24</v>
      </c>
      <c r="F134" s="960"/>
      <c r="G134" s="960"/>
      <c r="H134" s="1110"/>
      <c r="I134" s="960"/>
      <c r="J134" s="960"/>
      <c r="K134" s="960"/>
      <c r="L134" s="960"/>
      <c r="M134" s="960"/>
      <c r="N134" s="960"/>
      <c r="O134" s="960"/>
      <c r="P134" s="960"/>
      <c r="Q134" s="960"/>
      <c r="R134" s="960"/>
      <c r="S134" s="975">
        <f t="shared" si="33"/>
        <v>24</v>
      </c>
      <c r="T134" s="975" t="e">
        <f>VLOOKUP(C134,'sản lượng'!$D$12:$AK$89,36,0)</f>
        <v>#N/A</v>
      </c>
      <c r="U134" s="975"/>
      <c r="V134" s="975"/>
      <c r="W134" s="975" t="e">
        <f>VLOOKUP(C134,'sản lượng'!$D$12:$AK$89,36,0)</f>
        <v>#N/A</v>
      </c>
      <c r="X134" s="975"/>
      <c r="Y134" s="975"/>
      <c r="Z134" s="975" t="e">
        <f t="shared" si="34"/>
        <v>#N/A</v>
      </c>
      <c r="AA134" s="975" t="e">
        <f>VLOOKUP(C134,'CHẤM CÔNG '!$D$12:$AL$89,33,0)</f>
        <v>#N/A</v>
      </c>
      <c r="AB134" s="975" t="e">
        <f>VLOOKUP(C134,'CHẤM CÔNG '!$D$12:$AL$89,34,0)</f>
        <v>#N/A</v>
      </c>
      <c r="AC134" s="975"/>
      <c r="AD134" s="975"/>
      <c r="AE134" s="975"/>
      <c r="AF134" s="975"/>
      <c r="AG134" s="975"/>
      <c r="AH134" s="975"/>
      <c r="AI134" s="975"/>
      <c r="AJ134" s="975"/>
      <c r="AK134" s="981"/>
      <c r="AL134" s="982" t="e">
        <f>VLOOKUP(C134,'sản lượng'!$D$12:$AM$89,38,0)</f>
        <v>#N/A</v>
      </c>
      <c r="AP134" s="944">
        <v>1</v>
      </c>
      <c r="AR134" s="944">
        <v>2</v>
      </c>
    </row>
    <row r="135" spans="1:44" ht="15.75">
      <c r="A135" s="957">
        <v>14</v>
      </c>
      <c r="B135" s="1640" t="str">
        <f>VLOOKUP(C135,'DS CN MOI UP'!$B$10:$C$389,2,0)</f>
        <v>02500</v>
      </c>
      <c r="C135" s="991" t="s">
        <v>59</v>
      </c>
      <c r="D135" s="957" t="s">
        <v>15</v>
      </c>
      <c r="E135" s="960">
        <f t="shared" si="32"/>
        <v>24</v>
      </c>
      <c r="F135" s="960"/>
      <c r="G135" s="960"/>
      <c r="H135" s="1110"/>
      <c r="I135" s="960"/>
      <c r="J135" s="960"/>
      <c r="K135" s="960"/>
      <c r="L135" s="960"/>
      <c r="M135" s="960"/>
      <c r="N135" s="960"/>
      <c r="O135" s="960"/>
      <c r="P135" s="960"/>
      <c r="Q135" s="960"/>
      <c r="R135" s="960"/>
      <c r="S135" s="975">
        <f t="shared" si="33"/>
        <v>24</v>
      </c>
      <c r="T135" s="975" t="e">
        <f>VLOOKUP(C135,'sản lượng'!$D$12:$AK$89,36,0)</f>
        <v>#N/A</v>
      </c>
      <c r="U135" s="975"/>
      <c r="V135" s="975"/>
      <c r="W135" s="975" t="e">
        <f>VLOOKUP(C135,'sản lượng'!$D$12:$AK$89,36,0)</f>
        <v>#N/A</v>
      </c>
      <c r="X135" s="975"/>
      <c r="Y135" s="975"/>
      <c r="Z135" s="975" t="e">
        <f t="shared" si="34"/>
        <v>#N/A</v>
      </c>
      <c r="AA135" s="975" t="e">
        <f>VLOOKUP(C135,'CHẤM CÔNG '!$D$12:$AL$89,33,0)</f>
        <v>#N/A</v>
      </c>
      <c r="AB135" s="975" t="e">
        <f>VLOOKUP(C135,'CHẤM CÔNG '!$D$12:$AL$89,34,0)</f>
        <v>#N/A</v>
      </c>
      <c r="AC135" s="975"/>
      <c r="AD135" s="975"/>
      <c r="AE135" s="975"/>
      <c r="AF135" s="975"/>
      <c r="AG135" s="975"/>
      <c r="AH135" s="975"/>
      <c r="AI135" s="975"/>
      <c r="AJ135" s="975"/>
      <c r="AK135" s="981"/>
      <c r="AL135" s="982" t="e">
        <f>VLOOKUP(C135,'sản lượng'!$D$12:$AM$89,38,0)</f>
        <v>#N/A</v>
      </c>
      <c r="AP135" s="944">
        <v>1</v>
      </c>
      <c r="AR135" s="944">
        <v>2</v>
      </c>
    </row>
    <row r="136" spans="1:44" ht="15.75">
      <c r="A136" s="957">
        <v>15</v>
      </c>
      <c r="B136" s="1640" t="str">
        <f>VLOOKUP(C136,'DS CN MOI UP'!$B$10:$C$389,2,0)</f>
        <v>02466</v>
      </c>
      <c r="C136" s="991" t="s">
        <v>25</v>
      </c>
      <c r="D136" s="957" t="s">
        <v>15</v>
      </c>
      <c r="E136" s="960">
        <f t="shared" si="32"/>
        <v>24</v>
      </c>
      <c r="F136" s="960"/>
      <c r="G136" s="960"/>
      <c r="H136" s="1110"/>
      <c r="I136" s="960"/>
      <c r="J136" s="960"/>
      <c r="K136" s="960"/>
      <c r="L136" s="960"/>
      <c r="M136" s="960"/>
      <c r="N136" s="960"/>
      <c r="O136" s="960"/>
      <c r="P136" s="960"/>
      <c r="Q136" s="960"/>
      <c r="R136" s="960"/>
      <c r="S136" s="975">
        <f t="shared" si="33"/>
        <v>24</v>
      </c>
      <c r="T136" s="975" t="e">
        <f>VLOOKUP(C136,'sản lượng'!$D$12:$AK$89,36,0)</f>
        <v>#N/A</v>
      </c>
      <c r="U136" s="975"/>
      <c r="V136" s="975"/>
      <c r="W136" s="975" t="e">
        <f>VLOOKUP(C136,'sản lượng'!$D$12:$AK$89,36,0)</f>
        <v>#N/A</v>
      </c>
      <c r="X136" s="975"/>
      <c r="Y136" s="975"/>
      <c r="Z136" s="975" t="e">
        <f t="shared" si="34"/>
        <v>#N/A</v>
      </c>
      <c r="AA136" s="975" t="e">
        <f>VLOOKUP(C136,'CHẤM CÔNG '!$D$12:$AL$89,33,0)</f>
        <v>#N/A</v>
      </c>
      <c r="AB136" s="975" t="e">
        <f>VLOOKUP(C136,'CHẤM CÔNG '!$D$12:$AL$89,34,0)</f>
        <v>#N/A</v>
      </c>
      <c r="AC136" s="975"/>
      <c r="AD136" s="975"/>
      <c r="AE136" s="975"/>
      <c r="AF136" s="975"/>
      <c r="AG136" s="975"/>
      <c r="AH136" s="975"/>
      <c r="AI136" s="975"/>
      <c r="AJ136" s="975"/>
      <c r="AK136" s="981"/>
      <c r="AL136" s="982" t="e">
        <f>VLOOKUP(C136,'sản lượng'!$D$12:$AM$89,38,0)</f>
        <v>#N/A</v>
      </c>
      <c r="AR136" s="944">
        <v>3</v>
      </c>
    </row>
    <row r="137" spans="1:44" ht="15.75">
      <c r="A137" s="957">
        <v>16</v>
      </c>
      <c r="B137" s="1640" t="str">
        <f>VLOOKUP(C137,'DS CN MOI UP'!$B$10:$C$389,2,0)</f>
        <v>02451</v>
      </c>
      <c r="C137" s="991" t="s">
        <v>60</v>
      </c>
      <c r="D137" s="957" t="s">
        <v>15</v>
      </c>
      <c r="E137" s="960">
        <f t="shared" si="32"/>
        <v>24</v>
      </c>
      <c r="F137" s="960"/>
      <c r="G137" s="960"/>
      <c r="H137" s="1110"/>
      <c r="I137" s="960"/>
      <c r="J137" s="960"/>
      <c r="K137" s="960"/>
      <c r="L137" s="960"/>
      <c r="M137" s="960"/>
      <c r="N137" s="960"/>
      <c r="O137" s="960"/>
      <c r="P137" s="960"/>
      <c r="Q137" s="960"/>
      <c r="R137" s="960"/>
      <c r="S137" s="975">
        <f t="shared" si="33"/>
        <v>24</v>
      </c>
      <c r="T137" s="975" t="e">
        <f>VLOOKUP(C137,'sản lượng'!$D$12:$AK$89,36,0)</f>
        <v>#N/A</v>
      </c>
      <c r="U137" s="975"/>
      <c r="V137" s="975"/>
      <c r="W137" s="975" t="e">
        <f>VLOOKUP(C137,'sản lượng'!$D$12:$AK$89,36,0)</f>
        <v>#N/A</v>
      </c>
      <c r="X137" s="975"/>
      <c r="Y137" s="975"/>
      <c r="Z137" s="975" t="e">
        <f t="shared" si="34"/>
        <v>#N/A</v>
      </c>
      <c r="AA137" s="975" t="e">
        <f>VLOOKUP(C137,'CHẤM CÔNG '!$D$12:$AL$89,33,0)</f>
        <v>#N/A</v>
      </c>
      <c r="AB137" s="975" t="e">
        <f>VLOOKUP(C137,'CHẤM CÔNG '!$D$12:$AL$89,34,0)</f>
        <v>#N/A</v>
      </c>
      <c r="AC137" s="975"/>
      <c r="AD137" s="975"/>
      <c r="AE137" s="975"/>
      <c r="AF137" s="975"/>
      <c r="AG137" s="975"/>
      <c r="AH137" s="975"/>
      <c r="AI137" s="975"/>
      <c r="AJ137" s="975"/>
      <c r="AK137" s="981"/>
      <c r="AL137" s="982" t="e">
        <f>VLOOKUP(C137,'sản lượng'!$D$12:$AM$89,38,0)</f>
        <v>#N/A</v>
      </c>
      <c r="AP137" s="944">
        <v>2</v>
      </c>
      <c r="AR137" s="944">
        <v>1</v>
      </c>
    </row>
    <row r="138" spans="1:44" ht="15.75">
      <c r="A138" s="957">
        <v>17</v>
      </c>
      <c r="B138" s="1640" t="str">
        <f>VLOOKUP(C138,'DS CN MOI UP'!$B$10:$C$389,2,0)</f>
        <v>02462</v>
      </c>
      <c r="C138" s="991" t="s">
        <v>2024</v>
      </c>
      <c r="D138" s="957" t="s">
        <v>15</v>
      </c>
      <c r="E138" s="960">
        <f t="shared" si="32"/>
        <v>24</v>
      </c>
      <c r="F138" s="960"/>
      <c r="G138" s="960"/>
      <c r="H138" s="1110"/>
      <c r="I138" s="960"/>
      <c r="J138" s="960"/>
      <c r="K138" s="960"/>
      <c r="L138" s="960"/>
      <c r="M138" s="960"/>
      <c r="N138" s="960"/>
      <c r="O138" s="960"/>
      <c r="P138" s="960"/>
      <c r="Q138" s="960"/>
      <c r="R138" s="960"/>
      <c r="S138" s="975">
        <f t="shared" si="33"/>
        <v>24</v>
      </c>
      <c r="T138" s="975" t="e">
        <f>VLOOKUP(C138,'sản lượng'!$D$12:$AK$89,36,0)</f>
        <v>#N/A</v>
      </c>
      <c r="U138" s="975"/>
      <c r="V138" s="975"/>
      <c r="W138" s="975" t="e">
        <f>VLOOKUP(C138,'sản lượng'!$D$12:$AK$89,36,0)</f>
        <v>#N/A</v>
      </c>
      <c r="X138" s="975"/>
      <c r="Y138" s="975"/>
      <c r="Z138" s="975" t="e">
        <f t="shared" si="34"/>
        <v>#N/A</v>
      </c>
      <c r="AA138" s="975" t="e">
        <f>VLOOKUP(C138,'CHẤM CÔNG '!$D$12:$AL$89,33,0)</f>
        <v>#N/A</v>
      </c>
      <c r="AB138" s="975" t="e">
        <f>VLOOKUP(C138,'CHẤM CÔNG '!$D$12:$AL$89,34,0)</f>
        <v>#N/A</v>
      </c>
      <c r="AC138" s="975"/>
      <c r="AD138" s="975"/>
      <c r="AE138" s="975"/>
      <c r="AF138" s="975"/>
      <c r="AG138" s="975"/>
      <c r="AH138" s="975"/>
      <c r="AI138" s="975"/>
      <c r="AJ138" s="975"/>
      <c r="AK138" s="981"/>
      <c r="AL138" s="982" t="e">
        <f>VLOOKUP(C138,'sản lượng'!$D$12:$AM$89,38,0)</f>
        <v>#N/A</v>
      </c>
      <c r="AP138" s="944">
        <v>1</v>
      </c>
      <c r="AR138" s="944">
        <v>2</v>
      </c>
    </row>
    <row r="139" spans="1:44" ht="15.75">
      <c r="A139" s="957">
        <v>18</v>
      </c>
      <c r="B139" s="1640" t="str">
        <f>VLOOKUP(C139,'DS CN MOI UP'!$B$10:$C$389,2,0)</f>
        <v>02467</v>
      </c>
      <c r="C139" s="991" t="s">
        <v>52</v>
      </c>
      <c r="D139" s="957" t="s">
        <v>15</v>
      </c>
      <c r="E139" s="960">
        <f t="shared" si="32"/>
        <v>24</v>
      </c>
      <c r="F139" s="960"/>
      <c r="G139" s="960"/>
      <c r="H139" s="1110"/>
      <c r="I139" s="960"/>
      <c r="J139" s="960"/>
      <c r="K139" s="960"/>
      <c r="L139" s="960"/>
      <c r="M139" s="960"/>
      <c r="N139" s="960"/>
      <c r="O139" s="960"/>
      <c r="P139" s="960"/>
      <c r="Q139" s="960"/>
      <c r="R139" s="960"/>
      <c r="S139" s="975">
        <f t="shared" si="33"/>
        <v>24</v>
      </c>
      <c r="T139" s="975" t="e">
        <f>VLOOKUP(C139,'sản lượng'!$D$12:$AK$89,36,0)</f>
        <v>#N/A</v>
      </c>
      <c r="U139" s="975"/>
      <c r="V139" s="975"/>
      <c r="W139" s="975" t="e">
        <f>VLOOKUP(C139,'sản lượng'!$D$12:$AK$89,36,0)</f>
        <v>#N/A</v>
      </c>
      <c r="X139" s="975"/>
      <c r="Y139" s="975"/>
      <c r="Z139" s="975" t="e">
        <f t="shared" si="34"/>
        <v>#N/A</v>
      </c>
      <c r="AA139" s="975" t="e">
        <f>VLOOKUP(C139,'CHẤM CÔNG '!$D$12:$AL$89,33,0)</f>
        <v>#N/A</v>
      </c>
      <c r="AB139" s="975" t="e">
        <f>VLOOKUP(C139,'CHẤM CÔNG '!$D$12:$AL$89,34,0)</f>
        <v>#N/A</v>
      </c>
      <c r="AC139" s="975"/>
      <c r="AD139" s="975"/>
      <c r="AE139" s="975"/>
      <c r="AF139" s="975"/>
      <c r="AG139" s="975"/>
      <c r="AH139" s="975"/>
      <c r="AI139" s="975"/>
      <c r="AJ139" s="975"/>
      <c r="AK139" s="981"/>
      <c r="AL139" s="982" t="e">
        <f>VLOOKUP(C139,'sản lượng'!$D$12:$AM$89,38,0)</f>
        <v>#N/A</v>
      </c>
      <c r="AP139" s="944">
        <v>1</v>
      </c>
      <c r="AR139" s="944">
        <v>2</v>
      </c>
    </row>
    <row r="140" spans="1:44" ht="15.75">
      <c r="A140" s="957">
        <v>19</v>
      </c>
      <c r="B140" s="1640" t="str">
        <f>VLOOKUP(C140,'DS CN MOI UP'!$B$10:$C$389,2,0)</f>
        <v>02494</v>
      </c>
      <c r="C140" s="991" t="s">
        <v>96</v>
      </c>
      <c r="D140" s="957" t="s">
        <v>15</v>
      </c>
      <c r="E140" s="960">
        <f t="shared" si="32"/>
        <v>24</v>
      </c>
      <c r="F140" s="960"/>
      <c r="G140" s="960"/>
      <c r="H140" s="1110"/>
      <c r="I140" s="960"/>
      <c r="J140" s="960"/>
      <c r="K140" s="960"/>
      <c r="L140" s="960"/>
      <c r="M140" s="960"/>
      <c r="N140" s="960"/>
      <c r="O140" s="960"/>
      <c r="P140" s="960"/>
      <c r="Q140" s="960"/>
      <c r="R140" s="960"/>
      <c r="S140" s="975">
        <f t="shared" si="33"/>
        <v>24</v>
      </c>
      <c r="T140" s="975" t="e">
        <f>VLOOKUP(C140,'sản lượng'!$D$12:$AK$89,36,0)</f>
        <v>#N/A</v>
      </c>
      <c r="U140" s="975"/>
      <c r="V140" s="975"/>
      <c r="W140" s="975" t="e">
        <f>VLOOKUP(C140,'sản lượng'!$D$12:$AK$89,36,0)</f>
        <v>#N/A</v>
      </c>
      <c r="X140" s="975"/>
      <c r="Y140" s="975"/>
      <c r="Z140" s="975" t="e">
        <f t="shared" si="34"/>
        <v>#N/A</v>
      </c>
      <c r="AA140" s="975" t="e">
        <f>VLOOKUP(C140,'CHẤM CÔNG '!$D$12:$AL$89,33,0)</f>
        <v>#N/A</v>
      </c>
      <c r="AB140" s="975" t="e">
        <f>VLOOKUP(C140,'CHẤM CÔNG '!$D$12:$AL$89,34,0)</f>
        <v>#N/A</v>
      </c>
      <c r="AC140" s="975"/>
      <c r="AD140" s="975"/>
      <c r="AE140" s="975"/>
      <c r="AF140" s="975"/>
      <c r="AG140" s="975"/>
      <c r="AH140" s="975"/>
      <c r="AI140" s="975"/>
      <c r="AJ140" s="975"/>
      <c r="AK140" s="981"/>
      <c r="AL140" s="982" t="e">
        <f>VLOOKUP(C140,'sản lượng'!$D$12:$AM$89,38,0)</f>
        <v>#N/A</v>
      </c>
      <c r="AP140" s="944">
        <v>1</v>
      </c>
      <c r="AR140" s="944">
        <v>2</v>
      </c>
    </row>
    <row r="141" spans="1:44" ht="15.75">
      <c r="A141" s="957">
        <v>20</v>
      </c>
      <c r="B141" s="1640" t="str">
        <f>VLOOKUP(C141,'DS CN MOI UP'!$B$10:$C$389,2,0)</f>
        <v>02476</v>
      </c>
      <c r="C141" s="991" t="s">
        <v>97</v>
      </c>
      <c r="D141" s="957" t="s">
        <v>15</v>
      </c>
      <c r="E141" s="960">
        <f t="shared" si="32"/>
        <v>24</v>
      </c>
      <c r="F141" s="960"/>
      <c r="G141" s="960"/>
      <c r="H141" s="1110"/>
      <c r="I141" s="960"/>
      <c r="J141" s="960"/>
      <c r="K141" s="960"/>
      <c r="L141" s="960"/>
      <c r="M141" s="960"/>
      <c r="N141" s="960"/>
      <c r="O141" s="960"/>
      <c r="P141" s="960"/>
      <c r="Q141" s="960"/>
      <c r="R141" s="960"/>
      <c r="S141" s="975">
        <f t="shared" si="33"/>
        <v>24</v>
      </c>
      <c r="T141" s="975" t="e">
        <f>VLOOKUP(C141,'sản lượng'!$D$12:$AK$89,36,0)</f>
        <v>#N/A</v>
      </c>
      <c r="U141" s="975"/>
      <c r="V141" s="975"/>
      <c r="W141" s="975" t="e">
        <f>VLOOKUP(C141,'sản lượng'!$D$12:$AK$89,36,0)</f>
        <v>#N/A</v>
      </c>
      <c r="X141" s="975"/>
      <c r="Y141" s="975"/>
      <c r="Z141" s="975" t="e">
        <f t="shared" si="34"/>
        <v>#N/A</v>
      </c>
      <c r="AA141" s="975" t="e">
        <f>VLOOKUP(C141,'CHẤM CÔNG '!$D$12:$AL$89,33,0)</f>
        <v>#N/A</v>
      </c>
      <c r="AB141" s="975" t="e">
        <f>VLOOKUP(C141,'CHẤM CÔNG '!$D$12:$AL$89,34,0)</f>
        <v>#N/A</v>
      </c>
      <c r="AC141" s="975"/>
      <c r="AD141" s="975"/>
      <c r="AE141" s="975"/>
      <c r="AF141" s="975"/>
      <c r="AG141" s="975"/>
      <c r="AH141" s="975"/>
      <c r="AI141" s="975"/>
      <c r="AJ141" s="975"/>
      <c r="AK141" s="981"/>
      <c r="AL141" s="982" t="e">
        <f>VLOOKUP(C141,'sản lượng'!$D$12:$AM$89,38,0)</f>
        <v>#N/A</v>
      </c>
      <c r="AP141" s="944">
        <v>2</v>
      </c>
      <c r="AR141" s="944">
        <v>1</v>
      </c>
    </row>
    <row r="142" spans="1:44" ht="15.75">
      <c r="A142" s="957">
        <v>21</v>
      </c>
      <c r="B142" s="1640" t="str">
        <f>VLOOKUP(C142,'DS CN MOI UP'!$B$10:$C$389,2,0)</f>
        <v>02513</v>
      </c>
      <c r="C142" s="991" t="s">
        <v>42</v>
      </c>
      <c r="D142" s="957" t="s">
        <v>15</v>
      </c>
      <c r="E142" s="960">
        <f t="shared" si="32"/>
        <v>24</v>
      </c>
      <c r="F142" s="960"/>
      <c r="G142" s="960"/>
      <c r="H142" s="1110"/>
      <c r="I142" s="960"/>
      <c r="J142" s="960"/>
      <c r="K142" s="960"/>
      <c r="L142" s="960"/>
      <c r="M142" s="960"/>
      <c r="N142" s="960"/>
      <c r="O142" s="960"/>
      <c r="P142" s="960"/>
      <c r="Q142" s="960"/>
      <c r="R142" s="960"/>
      <c r="S142" s="975">
        <f t="shared" si="33"/>
        <v>24</v>
      </c>
      <c r="T142" s="975" t="e">
        <f>VLOOKUP(C142,'sản lượng'!$D$12:$AK$89,36,0)</f>
        <v>#N/A</v>
      </c>
      <c r="U142" s="975"/>
      <c r="V142" s="975"/>
      <c r="W142" s="975" t="e">
        <f>VLOOKUP(C142,'sản lượng'!$D$12:$AK$89,36,0)</f>
        <v>#N/A</v>
      </c>
      <c r="X142" s="975"/>
      <c r="Y142" s="975"/>
      <c r="Z142" s="975" t="e">
        <f t="shared" si="34"/>
        <v>#N/A</v>
      </c>
      <c r="AA142" s="975" t="e">
        <f>VLOOKUP(C142,'CHẤM CÔNG '!$D$12:$AL$89,33,0)</f>
        <v>#N/A</v>
      </c>
      <c r="AB142" s="975" t="e">
        <f>VLOOKUP(C142,'CHẤM CÔNG '!$D$12:$AL$89,34,0)</f>
        <v>#N/A</v>
      </c>
      <c r="AC142" s="975"/>
      <c r="AD142" s="975"/>
      <c r="AE142" s="975"/>
      <c r="AF142" s="975"/>
      <c r="AG142" s="975"/>
      <c r="AH142" s="975"/>
      <c r="AI142" s="975"/>
      <c r="AJ142" s="975"/>
      <c r="AK142" s="981"/>
      <c r="AL142" s="982" t="e">
        <f>VLOOKUP(C142,'sản lượng'!$D$12:$AM$89,38,0)</f>
        <v>#N/A</v>
      </c>
      <c r="AR142" s="944">
        <v>3</v>
      </c>
    </row>
    <row r="143" spans="1:44" ht="15.75">
      <c r="A143" s="957">
        <v>22</v>
      </c>
      <c r="B143" s="1640" t="str">
        <f>VLOOKUP(C143,'DS CN MOI UP'!$B$10:$C$389,2,0)</f>
        <v>02512</v>
      </c>
      <c r="C143" s="991" t="s">
        <v>54</v>
      </c>
      <c r="D143" s="957" t="s">
        <v>15</v>
      </c>
      <c r="E143" s="960">
        <f t="shared" si="32"/>
        <v>24</v>
      </c>
      <c r="F143" s="960"/>
      <c r="G143" s="960"/>
      <c r="H143" s="1110"/>
      <c r="I143" s="960"/>
      <c r="J143" s="960"/>
      <c r="K143" s="960"/>
      <c r="L143" s="960"/>
      <c r="M143" s="960"/>
      <c r="N143" s="960"/>
      <c r="O143" s="960"/>
      <c r="P143" s="960"/>
      <c r="Q143" s="960"/>
      <c r="R143" s="960"/>
      <c r="S143" s="975">
        <f t="shared" si="33"/>
        <v>24</v>
      </c>
      <c r="T143" s="975" t="e">
        <f>VLOOKUP(C143,'sản lượng'!$D$12:$AK$89,36,0)</f>
        <v>#N/A</v>
      </c>
      <c r="U143" s="975"/>
      <c r="V143" s="975"/>
      <c r="W143" s="975" t="e">
        <f>VLOOKUP(C143,'sản lượng'!$D$12:$AK$89,36,0)</f>
        <v>#N/A</v>
      </c>
      <c r="X143" s="975"/>
      <c r="Y143" s="975"/>
      <c r="Z143" s="975" t="e">
        <f t="shared" si="34"/>
        <v>#N/A</v>
      </c>
      <c r="AA143" s="975" t="e">
        <f>VLOOKUP(C143,'CHẤM CÔNG '!$D$12:$AL$89,33,0)</f>
        <v>#N/A</v>
      </c>
      <c r="AB143" s="975" t="e">
        <f>VLOOKUP(C143,'CHẤM CÔNG '!$D$12:$AL$89,34,0)</f>
        <v>#N/A</v>
      </c>
      <c r="AC143" s="975"/>
      <c r="AD143" s="975"/>
      <c r="AE143" s="975"/>
      <c r="AF143" s="975"/>
      <c r="AG143" s="975"/>
      <c r="AH143" s="975"/>
      <c r="AI143" s="975"/>
      <c r="AJ143" s="975"/>
      <c r="AK143" s="981"/>
      <c r="AL143" s="982" t="e">
        <f>VLOOKUP(C143,'sản lượng'!$D$12:$AM$89,38,0)</f>
        <v>#N/A</v>
      </c>
      <c r="AR143" s="944">
        <v>3</v>
      </c>
    </row>
    <row r="144" spans="1:44" ht="15.75">
      <c r="A144" s="957">
        <v>23</v>
      </c>
      <c r="B144" s="1640" t="str">
        <f>VLOOKUP(C144,'DS CN MOI UP'!$B$10:$C$389,2,0)</f>
        <v>03332</v>
      </c>
      <c r="C144" s="991" t="s">
        <v>2646</v>
      </c>
      <c r="D144" s="957" t="s">
        <v>15</v>
      </c>
      <c r="E144" s="960">
        <f t="shared" si="32"/>
        <v>24</v>
      </c>
      <c r="F144" s="960"/>
      <c r="G144" s="960"/>
      <c r="H144" s="1110"/>
      <c r="I144" s="960"/>
      <c r="J144" s="960"/>
      <c r="K144" s="960"/>
      <c r="L144" s="960"/>
      <c r="M144" s="960"/>
      <c r="N144" s="960"/>
      <c r="O144" s="960"/>
      <c r="P144" s="960"/>
      <c r="Q144" s="960"/>
      <c r="R144" s="960"/>
      <c r="S144" s="975">
        <f t="shared" si="33"/>
        <v>24</v>
      </c>
      <c r="T144" s="975" t="e">
        <f>VLOOKUP(C144,'sản lượng'!$D$12:$AK$89,36,0)</f>
        <v>#N/A</v>
      </c>
      <c r="U144" s="975"/>
      <c r="V144" s="975"/>
      <c r="W144" s="975" t="e">
        <f>VLOOKUP(C144,'sản lượng'!$D$12:$AK$89,36,0)</f>
        <v>#N/A</v>
      </c>
      <c r="X144" s="975"/>
      <c r="Y144" s="975"/>
      <c r="Z144" s="975" t="e">
        <f t="shared" si="34"/>
        <v>#N/A</v>
      </c>
      <c r="AA144" s="975" t="e">
        <f>VLOOKUP(C144,'CHẤM CÔNG '!$D$12:$AL$89,33,0)</f>
        <v>#N/A</v>
      </c>
      <c r="AB144" s="975" t="e">
        <f>VLOOKUP(C144,'CHẤM CÔNG '!$D$12:$AL$89,34,0)</f>
        <v>#N/A</v>
      </c>
      <c r="AC144" s="975"/>
      <c r="AD144" s="975"/>
      <c r="AE144" s="975"/>
      <c r="AF144" s="975"/>
      <c r="AG144" s="975"/>
      <c r="AH144" s="975"/>
      <c r="AI144" s="975"/>
      <c r="AJ144" s="975"/>
      <c r="AK144" s="981"/>
      <c r="AL144" s="982" t="e">
        <f>VLOOKUP(C144,'sản lượng'!$D$12:$AM$89,38,0)</f>
        <v>#N/A</v>
      </c>
      <c r="AP144" s="944">
        <v>2</v>
      </c>
      <c r="AR144" s="944">
        <v>1</v>
      </c>
    </row>
    <row r="145" spans="1:44" ht="15.75">
      <c r="A145" s="957">
        <v>24</v>
      </c>
      <c r="B145" s="1640" t="str">
        <f>VLOOKUP(C145,'DS CN MOI UP'!$B$10:$C$389,2,0)</f>
        <v>02509</v>
      </c>
      <c r="C145" s="991" t="s">
        <v>491</v>
      </c>
      <c r="D145" s="957" t="s">
        <v>15</v>
      </c>
      <c r="E145" s="960">
        <f t="shared" si="32"/>
        <v>24</v>
      </c>
      <c r="F145" s="960"/>
      <c r="G145" s="960"/>
      <c r="H145" s="1110"/>
      <c r="I145" s="960"/>
      <c r="J145" s="960"/>
      <c r="K145" s="960"/>
      <c r="L145" s="960"/>
      <c r="M145" s="960"/>
      <c r="N145" s="960"/>
      <c r="O145" s="960"/>
      <c r="P145" s="960"/>
      <c r="Q145" s="960"/>
      <c r="R145" s="960"/>
      <c r="S145" s="975">
        <f t="shared" si="33"/>
        <v>24</v>
      </c>
      <c r="T145" s="975" t="e">
        <f>VLOOKUP(C145,'sản lượng'!$D$12:$AK$89,36,0)</f>
        <v>#N/A</v>
      </c>
      <c r="U145" s="975"/>
      <c r="V145" s="975"/>
      <c r="W145" s="975" t="e">
        <f>VLOOKUP(C145,'sản lượng'!$D$12:$AK$89,36,0)</f>
        <v>#N/A</v>
      </c>
      <c r="X145" s="975"/>
      <c r="Y145" s="975"/>
      <c r="Z145" s="975" t="e">
        <f t="shared" si="34"/>
        <v>#N/A</v>
      </c>
      <c r="AA145" s="975" t="e">
        <f>VLOOKUP(C145,'CHẤM CÔNG '!$D$12:$AL$89,33,0)</f>
        <v>#N/A</v>
      </c>
      <c r="AB145" s="975" t="e">
        <f>VLOOKUP(C145,'CHẤM CÔNG '!$D$12:$AL$89,34,0)</f>
        <v>#N/A</v>
      </c>
      <c r="AC145" s="975"/>
      <c r="AD145" s="975"/>
      <c r="AE145" s="975"/>
      <c r="AF145" s="975"/>
      <c r="AG145" s="975"/>
      <c r="AH145" s="975"/>
      <c r="AI145" s="975"/>
      <c r="AJ145" s="975"/>
      <c r="AK145" s="981"/>
      <c r="AL145" s="982" t="e">
        <f>VLOOKUP(C145,'sản lượng'!$D$12:$AM$89,38,0)</f>
        <v>#N/A</v>
      </c>
      <c r="AP145" s="944">
        <v>2</v>
      </c>
      <c r="AR145" s="944">
        <v>1</v>
      </c>
    </row>
    <row r="146" spans="1:44" ht="15.75">
      <c r="A146" s="957">
        <v>25</v>
      </c>
      <c r="B146" s="1640" t="str">
        <f>VLOOKUP(C146,'DS CN MOI UP'!$B$10:$C$389,2,0)</f>
        <v>03323</v>
      </c>
      <c r="C146" s="991" t="s">
        <v>24</v>
      </c>
      <c r="D146" s="957" t="s">
        <v>15</v>
      </c>
      <c r="E146" s="960">
        <f t="shared" si="32"/>
        <v>24</v>
      </c>
      <c r="F146" s="960"/>
      <c r="G146" s="960"/>
      <c r="H146" s="1110"/>
      <c r="I146" s="960"/>
      <c r="J146" s="960"/>
      <c r="K146" s="960"/>
      <c r="L146" s="960"/>
      <c r="M146" s="960"/>
      <c r="N146" s="960"/>
      <c r="O146" s="960"/>
      <c r="P146" s="960"/>
      <c r="Q146" s="960"/>
      <c r="R146" s="960"/>
      <c r="S146" s="975">
        <f t="shared" si="33"/>
        <v>24</v>
      </c>
      <c r="T146" s="975" t="e">
        <f>VLOOKUP(C146,'sản lượng'!$D$12:$AK$89,36,0)</f>
        <v>#N/A</v>
      </c>
      <c r="U146" s="975"/>
      <c r="V146" s="975"/>
      <c r="W146" s="975" t="e">
        <f>VLOOKUP(C146,'sản lượng'!$D$12:$AK$89,36,0)</f>
        <v>#N/A</v>
      </c>
      <c r="X146" s="975"/>
      <c r="Y146" s="975"/>
      <c r="Z146" s="975" t="e">
        <f t="shared" si="34"/>
        <v>#N/A</v>
      </c>
      <c r="AA146" s="975" t="e">
        <f>VLOOKUP(C146,'CHẤM CÔNG '!$D$12:$AL$89,33,0)</f>
        <v>#N/A</v>
      </c>
      <c r="AB146" s="975" t="e">
        <f>VLOOKUP(C146,'CHẤM CÔNG '!$D$12:$AL$89,34,0)</f>
        <v>#N/A</v>
      </c>
      <c r="AC146" s="975"/>
      <c r="AD146" s="975"/>
      <c r="AE146" s="975"/>
      <c r="AF146" s="975"/>
      <c r="AG146" s="975"/>
      <c r="AH146" s="975"/>
      <c r="AI146" s="975"/>
      <c r="AJ146" s="975"/>
      <c r="AK146" s="981"/>
      <c r="AL146" s="982" t="e">
        <f>VLOOKUP(C146,'sản lượng'!$D$12:$AM$89,38,0)</f>
        <v>#N/A</v>
      </c>
      <c r="AP146" s="944">
        <v>2</v>
      </c>
      <c r="AR146" s="944">
        <v>1</v>
      </c>
    </row>
    <row r="147" spans="1:44" ht="15.75">
      <c r="A147" s="957">
        <v>26</v>
      </c>
      <c r="B147" s="1640" t="str">
        <f>VLOOKUP(C147,'DS CN MOI UP'!$B$10:$C$389,2,0)</f>
        <v>03337</v>
      </c>
      <c r="C147" s="991" t="s">
        <v>2647</v>
      </c>
      <c r="D147" s="957" t="s">
        <v>15</v>
      </c>
      <c r="E147" s="960">
        <f t="shared" si="32"/>
        <v>24</v>
      </c>
      <c r="F147" s="960"/>
      <c r="G147" s="960"/>
      <c r="H147" s="1110"/>
      <c r="I147" s="960"/>
      <c r="J147" s="960"/>
      <c r="K147" s="960"/>
      <c r="L147" s="960"/>
      <c r="M147" s="960"/>
      <c r="N147" s="960"/>
      <c r="O147" s="960"/>
      <c r="P147" s="960"/>
      <c r="Q147" s="960"/>
      <c r="R147" s="960"/>
      <c r="S147" s="975">
        <f t="shared" si="33"/>
        <v>24</v>
      </c>
      <c r="T147" s="975" t="e">
        <f>VLOOKUP(C147,'sản lượng'!$D$12:$AK$89,36,0)</f>
        <v>#N/A</v>
      </c>
      <c r="U147" s="975"/>
      <c r="V147" s="975"/>
      <c r="W147" s="975" t="e">
        <f>VLOOKUP(C147,'sản lượng'!$D$12:$AK$89,36,0)</f>
        <v>#N/A</v>
      </c>
      <c r="X147" s="975"/>
      <c r="Y147" s="975"/>
      <c r="Z147" s="975" t="e">
        <f t="shared" si="34"/>
        <v>#N/A</v>
      </c>
      <c r="AA147" s="975" t="e">
        <f>VLOOKUP(C147,'CHẤM CÔNG '!$D$12:$AL$89,33,0)</f>
        <v>#N/A</v>
      </c>
      <c r="AB147" s="975" t="e">
        <f>VLOOKUP(C147,'CHẤM CÔNG '!$D$12:$AL$89,34,0)</f>
        <v>#N/A</v>
      </c>
      <c r="AC147" s="975"/>
      <c r="AD147" s="975"/>
      <c r="AE147" s="975"/>
      <c r="AF147" s="975"/>
      <c r="AG147" s="975"/>
      <c r="AH147" s="975"/>
      <c r="AI147" s="975"/>
      <c r="AJ147" s="975"/>
      <c r="AK147" s="981"/>
      <c r="AL147" s="982" t="e">
        <f>VLOOKUP(C147,'sản lượng'!$D$12:$AM$89,38,0)</f>
        <v>#N/A</v>
      </c>
      <c r="AP147" s="944">
        <v>2</v>
      </c>
      <c r="AR147" s="944">
        <v>1</v>
      </c>
    </row>
    <row r="148" spans="1:44" ht="15.75">
      <c r="A148" s="957">
        <v>27</v>
      </c>
      <c r="B148" s="1640" t="str">
        <f>VLOOKUP(C148,'DS CN MOI UP'!$B$10:$C$389,2,0)</f>
        <v>02482</v>
      </c>
      <c r="C148" s="991" t="s">
        <v>83</v>
      </c>
      <c r="D148" s="957" t="s">
        <v>15</v>
      </c>
      <c r="E148" s="960">
        <f t="shared" si="32"/>
        <v>24</v>
      </c>
      <c r="F148" s="960"/>
      <c r="G148" s="960"/>
      <c r="H148" s="1110"/>
      <c r="I148" s="960"/>
      <c r="J148" s="960"/>
      <c r="K148" s="960"/>
      <c r="L148" s="960"/>
      <c r="M148" s="960"/>
      <c r="N148" s="960"/>
      <c r="O148" s="960"/>
      <c r="P148" s="960"/>
      <c r="Q148" s="960"/>
      <c r="R148" s="960"/>
      <c r="S148" s="975">
        <f t="shared" si="33"/>
        <v>24</v>
      </c>
      <c r="T148" s="975" t="e">
        <f>VLOOKUP(C148,'sản lượng'!$D$12:$AK$89,36,0)</f>
        <v>#N/A</v>
      </c>
      <c r="U148" s="975"/>
      <c r="V148" s="975"/>
      <c r="W148" s="975" t="e">
        <f>VLOOKUP(C148,'sản lượng'!$D$12:$AK$89,36,0)</f>
        <v>#N/A</v>
      </c>
      <c r="X148" s="975"/>
      <c r="Y148" s="975"/>
      <c r="Z148" s="975" t="e">
        <f t="shared" si="34"/>
        <v>#N/A</v>
      </c>
      <c r="AA148" s="975" t="e">
        <f>VLOOKUP(C148,'CHẤM CÔNG '!$D$12:$AL$89,33,0)</f>
        <v>#N/A</v>
      </c>
      <c r="AB148" s="975" t="e">
        <f>VLOOKUP(C148,'CHẤM CÔNG '!$D$12:$AL$89,34,0)</f>
        <v>#N/A</v>
      </c>
      <c r="AC148" s="975"/>
      <c r="AD148" s="975"/>
      <c r="AE148" s="975"/>
      <c r="AF148" s="975"/>
      <c r="AG148" s="975"/>
      <c r="AH148" s="975"/>
      <c r="AI148" s="975"/>
      <c r="AJ148" s="975"/>
      <c r="AK148" s="981"/>
      <c r="AL148" s="982" t="e">
        <f>VLOOKUP(C148,'sản lượng'!$D$12:$AM$89,38,0)</f>
        <v>#N/A</v>
      </c>
      <c r="AP148" s="944">
        <v>1</v>
      </c>
      <c r="AR148" s="944">
        <v>2</v>
      </c>
    </row>
    <row r="149" spans="1:44" ht="15.75">
      <c r="A149" s="957">
        <v>28</v>
      </c>
      <c r="B149" s="1640" t="str">
        <f>VLOOKUP(C149,'DS CN MOI UP'!$B$10:$C$389,2,0)</f>
        <v>03322</v>
      </c>
      <c r="C149" s="991" t="s">
        <v>21</v>
      </c>
      <c r="D149" s="957" t="s">
        <v>15</v>
      </c>
      <c r="E149" s="960">
        <f t="shared" si="32"/>
        <v>24</v>
      </c>
      <c r="F149" s="960"/>
      <c r="G149" s="960"/>
      <c r="H149" s="1110"/>
      <c r="I149" s="960"/>
      <c r="J149" s="960"/>
      <c r="K149" s="960"/>
      <c r="L149" s="960"/>
      <c r="M149" s="960"/>
      <c r="N149" s="960"/>
      <c r="O149" s="960"/>
      <c r="P149" s="960"/>
      <c r="Q149" s="960"/>
      <c r="R149" s="960"/>
      <c r="S149" s="975">
        <f t="shared" si="33"/>
        <v>24</v>
      </c>
      <c r="T149" s="975" t="e">
        <f>VLOOKUP(C149,'sản lượng'!$D$12:$AK$89,36,0)</f>
        <v>#N/A</v>
      </c>
      <c r="U149" s="975"/>
      <c r="V149" s="975"/>
      <c r="W149" s="975" t="e">
        <f>VLOOKUP(C149,'sản lượng'!$D$12:$AK$89,36,0)</f>
        <v>#N/A</v>
      </c>
      <c r="X149" s="975"/>
      <c r="Y149" s="975"/>
      <c r="Z149" s="975" t="e">
        <f t="shared" si="34"/>
        <v>#N/A</v>
      </c>
      <c r="AA149" s="975" t="e">
        <f>VLOOKUP(C149,'CHẤM CÔNG '!$D$12:$AL$89,33,0)</f>
        <v>#N/A</v>
      </c>
      <c r="AB149" s="975" t="e">
        <f>VLOOKUP(C149,'CHẤM CÔNG '!$D$12:$AL$89,34,0)</f>
        <v>#N/A</v>
      </c>
      <c r="AC149" s="975"/>
      <c r="AD149" s="975"/>
      <c r="AE149" s="975"/>
      <c r="AF149" s="975"/>
      <c r="AG149" s="975"/>
      <c r="AH149" s="975"/>
      <c r="AI149" s="975"/>
      <c r="AJ149" s="975"/>
      <c r="AK149" s="981"/>
      <c r="AL149" s="982" t="e">
        <f>VLOOKUP(C149,'sản lượng'!$D$12:$AM$89,38,0)</f>
        <v>#N/A</v>
      </c>
      <c r="AP149" s="944">
        <v>1</v>
      </c>
      <c r="AR149" s="944">
        <v>2</v>
      </c>
    </row>
    <row r="150" spans="1:44" ht="15.75">
      <c r="A150" s="957">
        <v>29</v>
      </c>
      <c r="B150" s="1640" t="str">
        <f>VLOOKUP(C150,'DS CN MOI UP'!$B$10:$C$389,2,0)</f>
        <v>02483</v>
      </c>
      <c r="C150" s="991" t="s">
        <v>53</v>
      </c>
      <c r="D150" s="957" t="s">
        <v>15</v>
      </c>
      <c r="E150" s="960">
        <f t="shared" si="32"/>
        <v>24</v>
      </c>
      <c r="F150" s="960"/>
      <c r="G150" s="960"/>
      <c r="H150" s="1110"/>
      <c r="I150" s="960"/>
      <c r="J150" s="960"/>
      <c r="K150" s="960"/>
      <c r="L150" s="960"/>
      <c r="M150" s="960"/>
      <c r="N150" s="960"/>
      <c r="O150" s="960"/>
      <c r="P150" s="960"/>
      <c r="Q150" s="960"/>
      <c r="R150" s="960"/>
      <c r="S150" s="975">
        <f t="shared" si="33"/>
        <v>24</v>
      </c>
      <c r="T150" s="975" t="e">
        <f>VLOOKUP(C150,'sản lượng'!$D$12:$AK$89,36,0)</f>
        <v>#N/A</v>
      </c>
      <c r="U150" s="975"/>
      <c r="V150" s="975"/>
      <c r="W150" s="975" t="e">
        <f>VLOOKUP(C150,'sản lượng'!$D$12:$AK$89,36,0)</f>
        <v>#N/A</v>
      </c>
      <c r="X150" s="975"/>
      <c r="Y150" s="975"/>
      <c r="Z150" s="975" t="e">
        <f t="shared" si="34"/>
        <v>#N/A</v>
      </c>
      <c r="AA150" s="975" t="e">
        <f>VLOOKUP(C150,'CHẤM CÔNG '!$D$12:$AL$89,33,0)</f>
        <v>#N/A</v>
      </c>
      <c r="AB150" s="975" t="e">
        <f>VLOOKUP(C150,'CHẤM CÔNG '!$D$12:$AL$89,34,0)</f>
        <v>#N/A</v>
      </c>
      <c r="AC150" s="975"/>
      <c r="AD150" s="975"/>
      <c r="AE150" s="975"/>
      <c r="AF150" s="975"/>
      <c r="AG150" s="975"/>
      <c r="AH150" s="975"/>
      <c r="AI150" s="975"/>
      <c r="AJ150" s="975"/>
      <c r="AK150" s="981"/>
      <c r="AL150" s="982" t="e">
        <f>VLOOKUP(C150,'sản lượng'!$D$12:$AM$89,38,0)</f>
        <v>#N/A</v>
      </c>
      <c r="AP150" s="944">
        <v>2</v>
      </c>
      <c r="AR150" s="944">
        <v>1</v>
      </c>
    </row>
    <row r="151" spans="1:44" ht="15.75">
      <c r="A151" s="957">
        <v>30</v>
      </c>
      <c r="B151" s="1640" t="str">
        <f>VLOOKUP(C151,'DS CN MOI UP'!$B$10:$C$389,2,0)</f>
        <v>02484</v>
      </c>
      <c r="C151" s="991" t="s">
        <v>490</v>
      </c>
      <c r="D151" s="957" t="s">
        <v>15</v>
      </c>
      <c r="E151" s="960">
        <f t="shared" si="32"/>
        <v>24</v>
      </c>
      <c r="F151" s="960"/>
      <c r="G151" s="960"/>
      <c r="H151" s="1110"/>
      <c r="I151" s="960"/>
      <c r="J151" s="960"/>
      <c r="K151" s="960"/>
      <c r="L151" s="960"/>
      <c r="M151" s="960"/>
      <c r="N151" s="960"/>
      <c r="O151" s="960"/>
      <c r="P151" s="960"/>
      <c r="Q151" s="960"/>
      <c r="R151" s="960"/>
      <c r="S151" s="975">
        <f t="shared" si="33"/>
        <v>24</v>
      </c>
      <c r="T151" s="975" t="e">
        <f>VLOOKUP(C151,'sản lượng'!$D$12:$AK$89,36,0)</f>
        <v>#N/A</v>
      </c>
      <c r="U151" s="975"/>
      <c r="V151" s="975"/>
      <c r="W151" s="975" t="e">
        <f>VLOOKUP(C151,'sản lượng'!$D$12:$AK$89,36,0)</f>
        <v>#N/A</v>
      </c>
      <c r="X151" s="975"/>
      <c r="Y151" s="975"/>
      <c r="Z151" s="975" t="e">
        <f t="shared" si="34"/>
        <v>#N/A</v>
      </c>
      <c r="AA151" s="975" t="e">
        <f>VLOOKUP(C151,'CHẤM CÔNG '!$D$12:$AL$89,33,0)</f>
        <v>#N/A</v>
      </c>
      <c r="AB151" s="975" t="e">
        <f>VLOOKUP(C151,'CHẤM CÔNG '!$D$12:$AL$89,34,0)</f>
        <v>#N/A</v>
      </c>
      <c r="AC151" s="975"/>
      <c r="AD151" s="975"/>
      <c r="AE151" s="975"/>
      <c r="AF151" s="975"/>
      <c r="AG151" s="975"/>
      <c r="AH151" s="975"/>
      <c r="AI151" s="975"/>
      <c r="AJ151" s="975"/>
      <c r="AK151" s="981"/>
      <c r="AL151" s="982" t="e">
        <f>VLOOKUP(C151,'sản lượng'!$D$12:$AM$89,38,0)</f>
        <v>#N/A</v>
      </c>
      <c r="AM151" s="946" t="e">
        <f>+W10*0.4+X10*0.5+Y10*0.25</f>
        <v>#N/A</v>
      </c>
      <c r="AP151" s="944">
        <v>1</v>
      </c>
      <c r="AR151" s="944">
        <v>2</v>
      </c>
    </row>
    <row r="152" spans="1:44" ht="15.75">
      <c r="A152" s="957">
        <v>31</v>
      </c>
      <c r="B152" s="1640" t="str">
        <f>VLOOKUP(C152,'DS CN MOI UP'!$B$10:$C$389,2,0)</f>
        <v>03341</v>
      </c>
      <c r="C152" s="991" t="s">
        <v>487</v>
      </c>
      <c r="D152" s="957" t="s">
        <v>15</v>
      </c>
      <c r="E152" s="960">
        <f t="shared" si="32"/>
        <v>24</v>
      </c>
      <c r="F152" s="960"/>
      <c r="G152" s="960"/>
      <c r="H152" s="1110"/>
      <c r="I152" s="960"/>
      <c r="J152" s="960"/>
      <c r="K152" s="960"/>
      <c r="L152" s="960"/>
      <c r="M152" s="960"/>
      <c r="N152" s="960"/>
      <c r="O152" s="960"/>
      <c r="P152" s="960"/>
      <c r="Q152" s="960"/>
      <c r="R152" s="960"/>
      <c r="S152" s="975">
        <f t="shared" si="33"/>
        <v>24</v>
      </c>
      <c r="T152" s="975" t="e">
        <f>VLOOKUP(C152,'sản lượng'!$D$12:$AK$89,36,0)</f>
        <v>#N/A</v>
      </c>
      <c r="U152" s="975"/>
      <c r="V152" s="975"/>
      <c r="W152" s="975" t="e">
        <f>VLOOKUP(C152,'sản lượng'!$D$12:$AK$89,36,0)</f>
        <v>#N/A</v>
      </c>
      <c r="X152" s="975"/>
      <c r="Y152" s="975"/>
      <c r="Z152" s="975" t="e">
        <f t="shared" si="34"/>
        <v>#N/A</v>
      </c>
      <c r="AA152" s="975" t="e">
        <f>VLOOKUP(C152,'CHẤM CÔNG '!$D$12:$AL$89,33,0)</f>
        <v>#N/A</v>
      </c>
      <c r="AB152" s="975" t="e">
        <f>VLOOKUP(C152,'CHẤM CÔNG '!$D$12:$AL$89,34,0)</f>
        <v>#N/A</v>
      </c>
      <c r="AC152" s="975"/>
      <c r="AD152" s="975"/>
      <c r="AE152" s="975"/>
      <c r="AF152" s="975"/>
      <c r="AG152" s="975"/>
      <c r="AH152" s="975"/>
      <c r="AI152" s="975"/>
      <c r="AJ152" s="975"/>
      <c r="AK152" s="981"/>
      <c r="AL152" s="982" t="e">
        <f>VLOOKUP(C152,'sản lượng'!$D$12:$AM$89,38,0)</f>
        <v>#N/A</v>
      </c>
      <c r="AP152" s="944">
        <v>2</v>
      </c>
      <c r="AR152" s="944">
        <v>1</v>
      </c>
    </row>
    <row r="153" spans="1:44" ht="15.75">
      <c r="A153" s="957">
        <v>32</v>
      </c>
      <c r="B153" s="1640" t="str">
        <f>VLOOKUP(C153,'DS CN MOI UP'!$B$10:$C$389,2,0)</f>
        <v>02485</v>
      </c>
      <c r="C153" s="991" t="s">
        <v>31</v>
      </c>
      <c r="D153" s="957" t="s">
        <v>15</v>
      </c>
      <c r="E153" s="960">
        <f t="shared" si="32"/>
        <v>24</v>
      </c>
      <c r="F153" s="960"/>
      <c r="G153" s="960"/>
      <c r="H153" s="1110"/>
      <c r="I153" s="960"/>
      <c r="J153" s="960"/>
      <c r="K153" s="960"/>
      <c r="L153" s="960"/>
      <c r="M153" s="960"/>
      <c r="N153" s="960"/>
      <c r="O153" s="960"/>
      <c r="P153" s="960"/>
      <c r="Q153" s="960"/>
      <c r="R153" s="960"/>
      <c r="S153" s="975">
        <f t="shared" si="33"/>
        <v>24</v>
      </c>
      <c r="T153" s="975" t="e">
        <f>VLOOKUP(C153,'sản lượng'!$D$12:$AK$89,36,0)</f>
        <v>#N/A</v>
      </c>
      <c r="U153" s="975"/>
      <c r="V153" s="975"/>
      <c r="W153" s="975" t="e">
        <f>VLOOKUP(C153,'sản lượng'!$D$12:$AK$89,36,0)</f>
        <v>#N/A</v>
      </c>
      <c r="X153" s="975"/>
      <c r="Y153" s="975"/>
      <c r="Z153" s="975" t="e">
        <f t="shared" si="34"/>
        <v>#N/A</v>
      </c>
      <c r="AA153" s="975" t="e">
        <f>VLOOKUP(C153,'CHẤM CÔNG '!$D$12:$AL$89,33,0)</f>
        <v>#N/A</v>
      </c>
      <c r="AB153" s="975" t="e">
        <f>VLOOKUP(C153,'CHẤM CÔNG '!$D$12:$AL$89,34,0)</f>
        <v>#N/A</v>
      </c>
      <c r="AC153" s="975"/>
      <c r="AD153" s="975"/>
      <c r="AE153" s="975"/>
      <c r="AF153" s="975"/>
      <c r="AG153" s="975"/>
      <c r="AH153" s="975"/>
      <c r="AI153" s="975"/>
      <c r="AJ153" s="975"/>
      <c r="AK153" s="981"/>
      <c r="AL153" s="982" t="e">
        <f>VLOOKUP(C153,'sản lượng'!$D$12:$AM$89,38,0)</f>
        <v>#N/A</v>
      </c>
      <c r="AP153" s="944">
        <v>1</v>
      </c>
      <c r="AR153" s="944">
        <v>2</v>
      </c>
    </row>
    <row r="154" spans="1:44" ht="15.75">
      <c r="A154" s="957">
        <v>33</v>
      </c>
      <c r="B154" s="1640" t="str">
        <f>VLOOKUP(C154,'DS CN MOI UP'!$B$10:$C$389,2,0)</f>
        <v>02487</v>
      </c>
      <c r="C154" s="991" t="s">
        <v>32</v>
      </c>
      <c r="D154" s="957" t="s">
        <v>15</v>
      </c>
      <c r="E154" s="960">
        <f t="shared" si="32"/>
        <v>24</v>
      </c>
      <c r="F154" s="960"/>
      <c r="G154" s="960"/>
      <c r="H154" s="1110"/>
      <c r="I154" s="960"/>
      <c r="J154" s="960"/>
      <c r="K154" s="960"/>
      <c r="L154" s="960"/>
      <c r="M154" s="960"/>
      <c r="N154" s="960"/>
      <c r="O154" s="960"/>
      <c r="P154" s="960"/>
      <c r="Q154" s="960"/>
      <c r="R154" s="960"/>
      <c r="S154" s="975">
        <f t="shared" ref="S154:S185" si="35">SUM(E154:N154)</f>
        <v>24</v>
      </c>
      <c r="T154" s="975" t="e">
        <f>VLOOKUP(C154,'sản lượng'!$D$12:$AK$89,36,0)</f>
        <v>#N/A</v>
      </c>
      <c r="U154" s="975"/>
      <c r="V154" s="975"/>
      <c r="W154" s="975" t="e">
        <f>VLOOKUP(C154,'sản lượng'!$D$12:$AK$89,36,0)</f>
        <v>#N/A</v>
      </c>
      <c r="X154" s="975"/>
      <c r="Y154" s="975"/>
      <c r="Z154" s="975" t="e">
        <f t="shared" si="34"/>
        <v>#N/A</v>
      </c>
      <c r="AA154" s="975" t="e">
        <f>VLOOKUP(C154,'CHẤM CÔNG '!$D$12:$AL$89,33,0)</f>
        <v>#N/A</v>
      </c>
      <c r="AB154" s="975" t="e">
        <f>VLOOKUP(C154,'CHẤM CÔNG '!$D$12:$AL$89,34,0)</f>
        <v>#N/A</v>
      </c>
      <c r="AC154" s="975"/>
      <c r="AD154" s="975"/>
      <c r="AE154" s="975"/>
      <c r="AF154" s="975"/>
      <c r="AG154" s="975"/>
      <c r="AH154" s="975"/>
      <c r="AI154" s="975"/>
      <c r="AJ154" s="975"/>
      <c r="AK154" s="981"/>
      <c r="AL154" s="982" t="e">
        <f>VLOOKUP(C154,'sản lượng'!$D$12:$AM$89,38,0)</f>
        <v>#N/A</v>
      </c>
      <c r="AP154" s="944">
        <v>1</v>
      </c>
      <c r="AR154" s="944">
        <v>2</v>
      </c>
    </row>
    <row r="155" spans="1:44" ht="15.75">
      <c r="A155" s="957">
        <v>34</v>
      </c>
      <c r="B155" s="1640" t="str">
        <f>VLOOKUP(C155,'DS CN MOI UP'!$B$10:$C$389,2,0)</f>
        <v>03319</v>
      </c>
      <c r="C155" s="991" t="s">
        <v>14</v>
      </c>
      <c r="D155" s="957" t="s">
        <v>15</v>
      </c>
      <c r="E155" s="960">
        <f t="shared" si="32"/>
        <v>24</v>
      </c>
      <c r="F155" s="960"/>
      <c r="G155" s="960"/>
      <c r="H155" s="1110"/>
      <c r="I155" s="960"/>
      <c r="J155" s="960"/>
      <c r="K155" s="960"/>
      <c r="L155" s="960"/>
      <c r="M155" s="960"/>
      <c r="N155" s="960"/>
      <c r="O155" s="960"/>
      <c r="P155" s="960"/>
      <c r="Q155" s="960"/>
      <c r="R155" s="960"/>
      <c r="S155" s="975">
        <f t="shared" si="35"/>
        <v>24</v>
      </c>
      <c r="T155" s="975" t="e">
        <f>VLOOKUP(C155,'sản lượng'!$D$12:$AK$89,36,0)</f>
        <v>#N/A</v>
      </c>
      <c r="U155" s="975"/>
      <c r="V155" s="975"/>
      <c r="W155" s="975" t="e">
        <f>VLOOKUP(C155,'sản lượng'!$D$12:$AK$89,36,0)</f>
        <v>#N/A</v>
      </c>
      <c r="X155" s="975"/>
      <c r="Y155" s="975"/>
      <c r="Z155" s="975" t="e">
        <f t="shared" si="34"/>
        <v>#N/A</v>
      </c>
      <c r="AA155" s="975" t="e">
        <f>VLOOKUP(C155,'CHẤM CÔNG '!$D$12:$AL$89,33,0)</f>
        <v>#N/A</v>
      </c>
      <c r="AB155" s="975" t="e">
        <f>VLOOKUP(C155,'CHẤM CÔNG '!$D$12:$AL$89,34,0)</f>
        <v>#N/A</v>
      </c>
      <c r="AC155" s="975"/>
      <c r="AD155" s="975"/>
      <c r="AE155" s="975"/>
      <c r="AF155" s="975"/>
      <c r="AG155" s="975"/>
      <c r="AH155" s="975"/>
      <c r="AI155" s="975"/>
      <c r="AJ155" s="975"/>
      <c r="AK155" s="981"/>
      <c r="AL155" s="982" t="e">
        <f>VLOOKUP(C155,'sản lượng'!$D$12:$AM$89,38,0)</f>
        <v>#N/A</v>
      </c>
      <c r="AP155" s="944">
        <v>2</v>
      </c>
      <c r="AR155" s="944">
        <v>1</v>
      </c>
    </row>
    <row r="156" spans="1:44" ht="15.75">
      <c r="A156" s="957">
        <v>35</v>
      </c>
      <c r="B156" s="1640" t="str">
        <f>VLOOKUP(C156,'DS CN MOI UP'!$B$10:$C$389,2,0)</f>
        <v>02452</v>
      </c>
      <c r="C156" s="991" t="s">
        <v>22</v>
      </c>
      <c r="D156" s="957" t="s">
        <v>15</v>
      </c>
      <c r="E156" s="960">
        <f t="shared" si="32"/>
        <v>24</v>
      </c>
      <c r="F156" s="960"/>
      <c r="G156" s="960"/>
      <c r="H156" s="1110"/>
      <c r="I156" s="960"/>
      <c r="J156" s="960"/>
      <c r="K156" s="960"/>
      <c r="L156" s="960"/>
      <c r="M156" s="960"/>
      <c r="N156" s="960"/>
      <c r="O156" s="960"/>
      <c r="P156" s="960"/>
      <c r="Q156" s="960"/>
      <c r="R156" s="960"/>
      <c r="S156" s="975">
        <f t="shared" si="35"/>
        <v>24</v>
      </c>
      <c r="T156" s="975" t="e">
        <f>VLOOKUP(C156,'sản lượng'!$D$12:$AK$89,36,0)</f>
        <v>#N/A</v>
      </c>
      <c r="U156" s="975"/>
      <c r="V156" s="975"/>
      <c r="W156" s="975" t="e">
        <f>VLOOKUP(C156,'sản lượng'!$D$12:$AK$89,36,0)</f>
        <v>#N/A</v>
      </c>
      <c r="X156" s="975"/>
      <c r="Y156" s="975"/>
      <c r="Z156" s="975" t="e">
        <f t="shared" si="34"/>
        <v>#N/A</v>
      </c>
      <c r="AA156" s="975" t="e">
        <f>VLOOKUP(C156,'CHẤM CÔNG '!$D$12:$AL$89,33,0)</f>
        <v>#N/A</v>
      </c>
      <c r="AB156" s="975" t="e">
        <f>VLOOKUP(C156,'CHẤM CÔNG '!$D$12:$AL$89,34,0)</f>
        <v>#N/A</v>
      </c>
      <c r="AC156" s="975"/>
      <c r="AD156" s="975"/>
      <c r="AE156" s="975"/>
      <c r="AF156" s="975"/>
      <c r="AG156" s="975"/>
      <c r="AH156" s="975"/>
      <c r="AI156" s="975"/>
      <c r="AJ156" s="975"/>
      <c r="AK156" s="981"/>
      <c r="AL156" s="982" t="e">
        <f>VLOOKUP(C156,'sản lượng'!$D$12:$AM$89,38,0)</f>
        <v>#N/A</v>
      </c>
      <c r="AP156" s="944">
        <v>2</v>
      </c>
      <c r="AR156" s="944">
        <v>1</v>
      </c>
    </row>
    <row r="157" spans="1:44" ht="15.75">
      <c r="A157" s="957">
        <v>36</v>
      </c>
      <c r="B157" s="1640" t="str">
        <f>VLOOKUP(C157,'DS CN MOI UP'!$B$10:$C$389,2,0)</f>
        <v>02508</v>
      </c>
      <c r="C157" s="991" t="s">
        <v>23</v>
      </c>
      <c r="D157" s="957" t="s">
        <v>15</v>
      </c>
      <c r="E157" s="960">
        <f t="shared" si="32"/>
        <v>24</v>
      </c>
      <c r="F157" s="960"/>
      <c r="G157" s="960"/>
      <c r="H157" s="1110"/>
      <c r="I157" s="960"/>
      <c r="J157" s="960"/>
      <c r="K157" s="960"/>
      <c r="L157" s="960"/>
      <c r="M157" s="960"/>
      <c r="N157" s="960"/>
      <c r="O157" s="960"/>
      <c r="P157" s="960"/>
      <c r="Q157" s="960"/>
      <c r="R157" s="960"/>
      <c r="S157" s="975">
        <f t="shared" si="35"/>
        <v>24</v>
      </c>
      <c r="T157" s="975" t="e">
        <f>VLOOKUP(C157,'sản lượng'!$D$12:$AK$89,36,0)</f>
        <v>#N/A</v>
      </c>
      <c r="U157" s="975"/>
      <c r="V157" s="975"/>
      <c r="W157" s="975" t="e">
        <f>VLOOKUP(C157,'sản lượng'!$D$12:$AK$89,36,0)</f>
        <v>#N/A</v>
      </c>
      <c r="X157" s="975"/>
      <c r="Y157" s="975"/>
      <c r="Z157" s="975" t="e">
        <f t="shared" si="34"/>
        <v>#N/A</v>
      </c>
      <c r="AA157" s="975" t="e">
        <f>VLOOKUP(C157,'CHẤM CÔNG '!$D$12:$AL$89,33,0)</f>
        <v>#N/A</v>
      </c>
      <c r="AB157" s="975" t="e">
        <f>VLOOKUP(C157,'CHẤM CÔNG '!$D$12:$AL$89,34,0)</f>
        <v>#N/A</v>
      </c>
      <c r="AC157" s="975"/>
      <c r="AD157" s="975"/>
      <c r="AE157" s="975"/>
      <c r="AF157" s="975"/>
      <c r="AG157" s="975"/>
      <c r="AH157" s="975"/>
      <c r="AI157" s="975"/>
      <c r="AJ157" s="975"/>
      <c r="AK157" s="981"/>
      <c r="AL157" s="982" t="e">
        <f>VLOOKUP(C157,'sản lượng'!$D$12:$AM$89,38,0)</f>
        <v>#N/A</v>
      </c>
      <c r="AP157" s="944">
        <v>2</v>
      </c>
      <c r="AR157" s="944">
        <v>1</v>
      </c>
    </row>
    <row r="158" spans="1:44" ht="15.75">
      <c r="A158" s="957">
        <v>37</v>
      </c>
      <c r="B158" s="1640" t="str">
        <f>VLOOKUP(C158,'DS CN MOI UP'!$B$10:$C$389,2,0)</f>
        <v>02679</v>
      </c>
      <c r="C158" s="991" t="s">
        <v>36</v>
      </c>
      <c r="D158" s="957" t="s">
        <v>15</v>
      </c>
      <c r="E158" s="960">
        <f t="shared" si="32"/>
        <v>24</v>
      </c>
      <c r="F158" s="960"/>
      <c r="G158" s="960"/>
      <c r="H158" s="1110"/>
      <c r="I158" s="960"/>
      <c r="J158" s="960"/>
      <c r="K158" s="960"/>
      <c r="L158" s="960"/>
      <c r="M158" s="960"/>
      <c r="N158" s="960"/>
      <c r="O158" s="960"/>
      <c r="P158" s="960"/>
      <c r="Q158" s="960"/>
      <c r="R158" s="960"/>
      <c r="S158" s="975">
        <f t="shared" si="35"/>
        <v>24</v>
      </c>
      <c r="T158" s="975" t="e">
        <f>VLOOKUP(C158,'sản lượng'!$D$12:$AK$89,36,0)</f>
        <v>#N/A</v>
      </c>
      <c r="U158" s="975"/>
      <c r="V158" s="975"/>
      <c r="W158" s="975" t="e">
        <f>VLOOKUP(C158,'sản lượng'!$D$12:$AK$89,36,0)</f>
        <v>#N/A</v>
      </c>
      <c r="X158" s="975"/>
      <c r="Y158" s="975"/>
      <c r="Z158" s="975" t="e">
        <f t="shared" si="34"/>
        <v>#N/A</v>
      </c>
      <c r="AA158" s="975" t="e">
        <f>VLOOKUP(C158,'CHẤM CÔNG '!$D$12:$AL$89,33,0)</f>
        <v>#N/A</v>
      </c>
      <c r="AB158" s="975" t="e">
        <f>VLOOKUP(C158,'CHẤM CÔNG '!$D$12:$AL$89,34,0)</f>
        <v>#N/A</v>
      </c>
      <c r="AC158" s="975"/>
      <c r="AD158" s="975"/>
      <c r="AE158" s="975"/>
      <c r="AF158" s="975"/>
      <c r="AG158" s="975"/>
      <c r="AH158" s="975"/>
      <c r="AI158" s="975"/>
      <c r="AJ158" s="975"/>
      <c r="AK158" s="981"/>
      <c r="AL158" s="982" t="e">
        <f>VLOOKUP(C158,'sản lượng'!$D$12:$AM$89,38,0)</f>
        <v>#N/A</v>
      </c>
      <c r="AR158" s="944">
        <v>3</v>
      </c>
    </row>
    <row r="159" spans="1:44" ht="15.75">
      <c r="A159" s="957">
        <v>38</v>
      </c>
      <c r="B159" s="1640" t="str">
        <f>VLOOKUP(C159,'DS CN MOI UP'!$B$10:$C$389,2,0)</f>
        <v>02457</v>
      </c>
      <c r="C159" s="991" t="s">
        <v>63</v>
      </c>
      <c r="D159" s="957" t="s">
        <v>15</v>
      </c>
      <c r="E159" s="960">
        <f t="shared" si="32"/>
        <v>24</v>
      </c>
      <c r="F159" s="960"/>
      <c r="G159" s="960"/>
      <c r="H159" s="1110"/>
      <c r="I159" s="960"/>
      <c r="J159" s="960"/>
      <c r="K159" s="960"/>
      <c r="L159" s="960"/>
      <c r="M159" s="960"/>
      <c r="N159" s="960"/>
      <c r="O159" s="960"/>
      <c r="P159" s="960"/>
      <c r="Q159" s="960"/>
      <c r="R159" s="960"/>
      <c r="S159" s="975">
        <f t="shared" si="35"/>
        <v>24</v>
      </c>
      <c r="T159" s="975" t="e">
        <f>VLOOKUP(C159,'sản lượng'!$D$12:$AK$89,36,0)</f>
        <v>#N/A</v>
      </c>
      <c r="U159" s="975"/>
      <c r="V159" s="975"/>
      <c r="W159" s="975" t="e">
        <f>VLOOKUP(C159,'sản lượng'!$D$12:$AK$89,36,0)</f>
        <v>#N/A</v>
      </c>
      <c r="X159" s="975"/>
      <c r="Y159" s="975"/>
      <c r="Z159" s="975" t="e">
        <f t="shared" si="34"/>
        <v>#N/A</v>
      </c>
      <c r="AA159" s="975" t="e">
        <f>VLOOKUP(C159,'CHẤM CÔNG '!$D$12:$AL$89,33,0)</f>
        <v>#N/A</v>
      </c>
      <c r="AB159" s="975" t="e">
        <f>VLOOKUP(C159,'CHẤM CÔNG '!$D$12:$AL$89,34,0)</f>
        <v>#N/A</v>
      </c>
      <c r="AC159" s="975"/>
      <c r="AD159" s="975"/>
      <c r="AE159" s="975"/>
      <c r="AF159" s="975"/>
      <c r="AG159" s="975"/>
      <c r="AH159" s="975"/>
      <c r="AI159" s="975"/>
      <c r="AJ159" s="975"/>
      <c r="AK159" s="981"/>
      <c r="AL159" s="982" t="e">
        <f>VLOOKUP(C159,'sản lượng'!$D$12:$AM$89,38,0)</f>
        <v>#N/A</v>
      </c>
      <c r="AP159" s="944">
        <v>1</v>
      </c>
      <c r="AR159" s="944">
        <v>2</v>
      </c>
    </row>
    <row r="160" spans="1:44" ht="15.75">
      <c r="A160" s="957">
        <v>39</v>
      </c>
      <c r="B160" s="958" t="e">
        <f>VLOOKUP(C160,'DS CN MOI UP'!$B$10:$C$389,2,0)</f>
        <v>#N/A</v>
      </c>
      <c r="C160" s="991" t="s">
        <v>2648</v>
      </c>
      <c r="D160" s="957" t="s">
        <v>15</v>
      </c>
      <c r="E160" s="960">
        <f t="shared" si="32"/>
        <v>24</v>
      </c>
      <c r="F160" s="960"/>
      <c r="G160" s="960"/>
      <c r="H160" s="1110"/>
      <c r="I160" s="960"/>
      <c r="J160" s="960"/>
      <c r="K160" s="960"/>
      <c r="L160" s="960"/>
      <c r="M160" s="960"/>
      <c r="N160" s="960"/>
      <c r="O160" s="960"/>
      <c r="P160" s="960"/>
      <c r="Q160" s="960"/>
      <c r="R160" s="960"/>
      <c r="S160" s="975">
        <f t="shared" si="35"/>
        <v>24</v>
      </c>
      <c r="T160" s="975" t="e">
        <f>VLOOKUP(C160,'sản lượng'!$D$12:$AK$89,36,0)</f>
        <v>#N/A</v>
      </c>
      <c r="U160" s="975"/>
      <c r="V160" s="975"/>
      <c r="W160" s="975" t="e">
        <f>VLOOKUP(C160,'sản lượng'!$D$12:$AK$89,36,0)</f>
        <v>#N/A</v>
      </c>
      <c r="X160" s="975"/>
      <c r="Y160" s="975"/>
      <c r="Z160" s="975" t="e">
        <f t="shared" si="34"/>
        <v>#N/A</v>
      </c>
      <c r="AA160" s="975" t="e">
        <f>VLOOKUP(C160,'CHẤM CÔNG '!$D$12:$AL$89,33,0)</f>
        <v>#N/A</v>
      </c>
      <c r="AB160" s="975" t="e">
        <f>VLOOKUP(C160,'CHẤM CÔNG '!$D$12:$AL$89,34,0)</f>
        <v>#N/A</v>
      </c>
      <c r="AC160" s="975"/>
      <c r="AD160" s="975"/>
      <c r="AE160" s="975"/>
      <c r="AF160" s="975"/>
      <c r="AG160" s="975"/>
      <c r="AH160" s="975"/>
      <c r="AI160" s="975"/>
      <c r="AJ160" s="975"/>
      <c r="AK160" s="981"/>
      <c r="AL160" s="982" t="e">
        <f>VLOOKUP(C160,'sản lượng'!$D$12:$AM$89,38,0)</f>
        <v>#N/A</v>
      </c>
      <c r="AP160" s="944">
        <v>1</v>
      </c>
      <c r="AR160" s="944">
        <v>2</v>
      </c>
    </row>
    <row r="161" spans="1:44" ht="15.75">
      <c r="A161" s="957">
        <v>40</v>
      </c>
      <c r="B161" s="1640" t="str">
        <f>VLOOKUP(C161,'DS CN MOI UP'!$B$10:$C$389,2,0)</f>
        <v>03336</v>
      </c>
      <c r="C161" s="991" t="s">
        <v>81</v>
      </c>
      <c r="D161" s="957" t="s">
        <v>15</v>
      </c>
      <c r="E161" s="960">
        <f t="shared" si="32"/>
        <v>24</v>
      </c>
      <c r="F161" s="960"/>
      <c r="G161" s="960"/>
      <c r="H161" s="1110"/>
      <c r="I161" s="960"/>
      <c r="J161" s="960"/>
      <c r="K161" s="960"/>
      <c r="L161" s="960"/>
      <c r="M161" s="960"/>
      <c r="N161" s="960"/>
      <c r="O161" s="960"/>
      <c r="P161" s="960"/>
      <c r="Q161" s="960"/>
      <c r="R161" s="960"/>
      <c r="S161" s="975">
        <f t="shared" si="35"/>
        <v>24</v>
      </c>
      <c r="T161" s="975" t="e">
        <f>VLOOKUP(C161,'sản lượng'!$D$12:$AK$89,36,0)</f>
        <v>#N/A</v>
      </c>
      <c r="U161" s="975"/>
      <c r="V161" s="975"/>
      <c r="W161" s="975" t="e">
        <f>VLOOKUP(C161,'sản lượng'!$D$12:$AK$89,36,0)</f>
        <v>#N/A</v>
      </c>
      <c r="X161" s="975"/>
      <c r="Y161" s="975"/>
      <c r="Z161" s="975" t="e">
        <f t="shared" si="34"/>
        <v>#N/A</v>
      </c>
      <c r="AA161" s="975" t="e">
        <f>VLOOKUP(C161,'CHẤM CÔNG '!$D$12:$AL$89,33,0)</f>
        <v>#N/A</v>
      </c>
      <c r="AB161" s="975" t="e">
        <f>VLOOKUP(C161,'CHẤM CÔNG '!$D$12:$AL$89,34,0)</f>
        <v>#N/A</v>
      </c>
      <c r="AC161" s="975"/>
      <c r="AD161" s="975"/>
      <c r="AE161" s="975"/>
      <c r="AF161" s="975"/>
      <c r="AG161" s="975"/>
      <c r="AH161" s="975"/>
      <c r="AI161" s="975"/>
      <c r="AJ161" s="975"/>
      <c r="AK161" s="981"/>
      <c r="AL161" s="982" t="e">
        <f>VLOOKUP(C161,'sản lượng'!$D$12:$AM$89,38,0)</f>
        <v>#N/A</v>
      </c>
      <c r="AP161" s="944">
        <v>1</v>
      </c>
      <c r="AR161" s="944">
        <v>2</v>
      </c>
    </row>
    <row r="162" spans="1:44" ht="15.75">
      <c r="A162" s="957">
        <v>41</v>
      </c>
      <c r="B162" s="1640" t="str">
        <f>VLOOKUP(C162,'DS CN MOI UP'!$B$10:$C$389,2,0)</f>
        <v>02682</v>
      </c>
      <c r="C162" s="991" t="s">
        <v>82</v>
      </c>
      <c r="D162" s="957" t="s">
        <v>15</v>
      </c>
      <c r="E162" s="960">
        <f t="shared" si="32"/>
        <v>24</v>
      </c>
      <c r="F162" s="960"/>
      <c r="G162" s="960"/>
      <c r="H162" s="1110"/>
      <c r="I162" s="960"/>
      <c r="J162" s="960"/>
      <c r="K162" s="960"/>
      <c r="L162" s="960"/>
      <c r="M162" s="960"/>
      <c r="N162" s="960"/>
      <c r="O162" s="960"/>
      <c r="P162" s="960"/>
      <c r="Q162" s="960"/>
      <c r="R162" s="960"/>
      <c r="S162" s="975">
        <f t="shared" si="35"/>
        <v>24</v>
      </c>
      <c r="T162" s="975" t="e">
        <f>VLOOKUP(C162,'sản lượng'!$D$12:$AK$89,36,0)</f>
        <v>#N/A</v>
      </c>
      <c r="U162" s="975"/>
      <c r="V162" s="975"/>
      <c r="W162" s="975" t="e">
        <f>VLOOKUP(C162,'sản lượng'!$D$12:$AK$89,36,0)</f>
        <v>#N/A</v>
      </c>
      <c r="X162" s="975"/>
      <c r="Y162" s="975"/>
      <c r="Z162" s="975" t="e">
        <f t="shared" si="34"/>
        <v>#N/A</v>
      </c>
      <c r="AA162" s="975" t="e">
        <f>VLOOKUP(C162,'CHẤM CÔNG '!$D$12:$AL$89,33,0)</f>
        <v>#N/A</v>
      </c>
      <c r="AB162" s="975" t="e">
        <f>VLOOKUP(C162,'CHẤM CÔNG '!$D$12:$AL$89,34,0)</f>
        <v>#N/A</v>
      </c>
      <c r="AC162" s="975"/>
      <c r="AD162" s="975"/>
      <c r="AE162" s="975"/>
      <c r="AF162" s="975"/>
      <c r="AG162" s="975"/>
      <c r="AH162" s="975"/>
      <c r="AI162" s="975"/>
      <c r="AJ162" s="975"/>
      <c r="AK162" s="981"/>
      <c r="AL162" s="982" t="e">
        <f>VLOOKUP(C162,'sản lượng'!$D$12:$AM$89,38,0)</f>
        <v>#N/A</v>
      </c>
      <c r="AP162" s="944">
        <v>2</v>
      </c>
      <c r="AR162" s="944">
        <v>1</v>
      </c>
    </row>
    <row r="163" spans="1:44" ht="15.75">
      <c r="A163" s="957">
        <v>42</v>
      </c>
      <c r="B163" s="1640" t="str">
        <f>VLOOKUP(C163,'DS CN MOI UP'!$B$10:$C$389,2,0)</f>
        <v>02506</v>
      </c>
      <c r="C163" s="991" t="s">
        <v>49</v>
      </c>
      <c r="D163" s="957" t="s">
        <v>15</v>
      </c>
      <c r="E163" s="960">
        <f t="shared" si="32"/>
        <v>24</v>
      </c>
      <c r="F163" s="960"/>
      <c r="G163" s="960"/>
      <c r="H163" s="1110"/>
      <c r="I163" s="960"/>
      <c r="J163" s="960"/>
      <c r="K163" s="960"/>
      <c r="L163" s="960"/>
      <c r="M163" s="960"/>
      <c r="N163" s="960"/>
      <c r="O163" s="960"/>
      <c r="P163" s="960"/>
      <c r="Q163" s="960"/>
      <c r="R163" s="960"/>
      <c r="S163" s="975">
        <f t="shared" si="35"/>
        <v>24</v>
      </c>
      <c r="T163" s="975" t="e">
        <f>VLOOKUP(C163,'sản lượng'!$D$12:$AK$89,36,0)</f>
        <v>#N/A</v>
      </c>
      <c r="U163" s="975"/>
      <c r="V163" s="975"/>
      <c r="W163" s="975" t="e">
        <f>VLOOKUP(C163,'sản lượng'!$D$12:$AK$89,36,0)</f>
        <v>#N/A</v>
      </c>
      <c r="X163" s="975"/>
      <c r="Y163" s="975"/>
      <c r="Z163" s="975" t="e">
        <f t="shared" si="34"/>
        <v>#N/A</v>
      </c>
      <c r="AA163" s="975" t="e">
        <f>VLOOKUP(C163,'CHẤM CÔNG '!$D$12:$AL$89,33,0)</f>
        <v>#N/A</v>
      </c>
      <c r="AB163" s="975" t="e">
        <f>VLOOKUP(C163,'CHẤM CÔNG '!$D$12:$AL$89,34,0)</f>
        <v>#N/A</v>
      </c>
      <c r="AC163" s="975"/>
      <c r="AD163" s="975"/>
      <c r="AE163" s="975"/>
      <c r="AF163" s="975"/>
      <c r="AG163" s="975"/>
      <c r="AH163" s="975"/>
      <c r="AI163" s="975"/>
      <c r="AJ163" s="975"/>
      <c r="AK163" s="981"/>
      <c r="AL163" s="982" t="e">
        <f>VLOOKUP(C163,'sản lượng'!$D$12:$AM$89,38,0)</f>
        <v>#N/A</v>
      </c>
      <c r="AP163" s="944">
        <v>2</v>
      </c>
      <c r="AR163" s="944">
        <v>1</v>
      </c>
    </row>
    <row r="164" spans="1:44" ht="15.75">
      <c r="A164" s="957">
        <v>43</v>
      </c>
      <c r="B164" s="1640" t="str">
        <f>VLOOKUP(C164,'DS CN MOI UP'!$B$10:$C$389,2,0)</f>
        <v>02507</v>
      </c>
      <c r="C164" s="991" t="s">
        <v>50</v>
      </c>
      <c r="D164" s="957" t="s">
        <v>15</v>
      </c>
      <c r="E164" s="960">
        <f t="shared" si="32"/>
        <v>24</v>
      </c>
      <c r="F164" s="960"/>
      <c r="G164" s="960"/>
      <c r="H164" s="1110"/>
      <c r="I164" s="960"/>
      <c r="J164" s="960"/>
      <c r="K164" s="960"/>
      <c r="L164" s="960"/>
      <c r="M164" s="960"/>
      <c r="N164" s="960"/>
      <c r="O164" s="960"/>
      <c r="P164" s="960"/>
      <c r="Q164" s="960"/>
      <c r="R164" s="960"/>
      <c r="S164" s="975">
        <f t="shared" si="35"/>
        <v>24</v>
      </c>
      <c r="T164" s="975" t="e">
        <f>VLOOKUP(C164,'sản lượng'!$D$12:$AK$89,36,0)</f>
        <v>#N/A</v>
      </c>
      <c r="U164" s="975"/>
      <c r="V164" s="975"/>
      <c r="W164" s="975" t="e">
        <f>VLOOKUP(C164,'sản lượng'!$D$12:$AK$89,36,0)</f>
        <v>#N/A</v>
      </c>
      <c r="X164" s="975"/>
      <c r="Y164" s="975"/>
      <c r="Z164" s="975" t="e">
        <f t="shared" si="34"/>
        <v>#N/A</v>
      </c>
      <c r="AA164" s="975" t="e">
        <f>VLOOKUP(C164,'CHẤM CÔNG '!$D$12:$AL$89,33,0)</f>
        <v>#N/A</v>
      </c>
      <c r="AB164" s="975" t="e">
        <f>VLOOKUP(C164,'CHẤM CÔNG '!$D$12:$AL$89,34,0)</f>
        <v>#N/A</v>
      </c>
      <c r="AC164" s="975"/>
      <c r="AD164" s="975"/>
      <c r="AE164" s="975"/>
      <c r="AF164" s="975"/>
      <c r="AG164" s="975"/>
      <c r="AH164" s="975"/>
      <c r="AI164" s="975"/>
      <c r="AJ164" s="975"/>
      <c r="AK164" s="981"/>
      <c r="AL164" s="982" t="e">
        <f>VLOOKUP(C164,'sản lượng'!$D$12:$AM$89,38,0)</f>
        <v>#N/A</v>
      </c>
      <c r="AR164" s="944">
        <v>3</v>
      </c>
    </row>
    <row r="165" spans="1:44" ht="15.75">
      <c r="A165" s="957">
        <v>44</v>
      </c>
      <c r="B165" s="1640" t="str">
        <f>VLOOKUP(C165,'DS CN MOI UP'!$B$10:$C$389,2,0)</f>
        <v>02498</v>
      </c>
      <c r="C165" s="991" t="s">
        <v>68</v>
      </c>
      <c r="D165" s="957" t="s">
        <v>15</v>
      </c>
      <c r="E165" s="960">
        <f t="shared" si="32"/>
        <v>24</v>
      </c>
      <c r="F165" s="960"/>
      <c r="G165" s="960"/>
      <c r="H165" s="1110"/>
      <c r="I165" s="960"/>
      <c r="J165" s="960"/>
      <c r="K165" s="960"/>
      <c r="L165" s="960"/>
      <c r="M165" s="960"/>
      <c r="N165" s="960"/>
      <c r="O165" s="960"/>
      <c r="P165" s="960"/>
      <c r="Q165" s="960"/>
      <c r="R165" s="960"/>
      <c r="S165" s="975">
        <f t="shared" si="35"/>
        <v>24</v>
      </c>
      <c r="T165" s="975" t="e">
        <f>VLOOKUP(C165,'sản lượng'!$D$12:$AK$89,36,0)</f>
        <v>#N/A</v>
      </c>
      <c r="U165" s="975"/>
      <c r="V165" s="975"/>
      <c r="W165" s="975" t="e">
        <f>VLOOKUP(C165,'sản lượng'!$D$12:$AK$89,36,0)</f>
        <v>#N/A</v>
      </c>
      <c r="X165" s="975"/>
      <c r="Y165" s="975"/>
      <c r="Z165" s="975" t="e">
        <f t="shared" si="34"/>
        <v>#N/A</v>
      </c>
      <c r="AA165" s="975" t="e">
        <f>VLOOKUP(C165,'CHẤM CÔNG '!$D$12:$AL$89,33,0)</f>
        <v>#N/A</v>
      </c>
      <c r="AB165" s="975" t="e">
        <f>VLOOKUP(C165,'CHẤM CÔNG '!$D$12:$AL$89,34,0)</f>
        <v>#N/A</v>
      </c>
      <c r="AC165" s="975"/>
      <c r="AD165" s="975"/>
      <c r="AE165" s="975"/>
      <c r="AF165" s="975"/>
      <c r="AG165" s="975"/>
      <c r="AH165" s="975"/>
      <c r="AI165" s="975"/>
      <c r="AJ165" s="975"/>
      <c r="AK165" s="981"/>
      <c r="AL165" s="982" t="e">
        <f>VLOOKUP(C165,'sản lượng'!$D$12:$AM$89,38,0)</f>
        <v>#N/A</v>
      </c>
      <c r="AP165" s="944">
        <v>2</v>
      </c>
      <c r="AR165" s="944">
        <v>1</v>
      </c>
    </row>
    <row r="166" spans="1:44" ht="15.75">
      <c r="A166" s="957">
        <v>45</v>
      </c>
      <c r="B166" s="1640" t="str">
        <f>VLOOKUP(C166,'DS CN MOI UP'!$B$10:$C$389,2,0)</f>
        <v>02685</v>
      </c>
      <c r="C166" s="991" t="s">
        <v>69</v>
      </c>
      <c r="D166" s="957" t="s">
        <v>15</v>
      </c>
      <c r="E166" s="960">
        <f t="shared" si="32"/>
        <v>24</v>
      </c>
      <c r="F166" s="960"/>
      <c r="G166" s="960"/>
      <c r="H166" s="1110"/>
      <c r="I166" s="960"/>
      <c r="J166" s="960"/>
      <c r="K166" s="960"/>
      <c r="L166" s="960"/>
      <c r="M166" s="960"/>
      <c r="N166" s="960"/>
      <c r="O166" s="960"/>
      <c r="P166" s="960"/>
      <c r="Q166" s="960"/>
      <c r="R166" s="960"/>
      <c r="S166" s="975">
        <f t="shared" si="35"/>
        <v>24</v>
      </c>
      <c r="T166" s="975" t="e">
        <f>VLOOKUP(C166,'sản lượng'!$D$12:$AK$89,36,0)</f>
        <v>#N/A</v>
      </c>
      <c r="U166" s="975"/>
      <c r="V166" s="975"/>
      <c r="W166" s="975" t="e">
        <f>VLOOKUP(C166,'sản lượng'!$D$12:$AK$89,36,0)</f>
        <v>#N/A</v>
      </c>
      <c r="X166" s="975"/>
      <c r="Y166" s="975"/>
      <c r="Z166" s="975" t="e">
        <f t="shared" si="34"/>
        <v>#N/A</v>
      </c>
      <c r="AA166" s="975" t="e">
        <f>VLOOKUP(C166,'CHẤM CÔNG '!$D$12:$AL$89,33,0)</f>
        <v>#N/A</v>
      </c>
      <c r="AB166" s="975" t="e">
        <f>VLOOKUP(C166,'CHẤM CÔNG '!$D$12:$AL$89,34,0)</f>
        <v>#N/A</v>
      </c>
      <c r="AC166" s="975"/>
      <c r="AD166" s="975"/>
      <c r="AE166" s="975"/>
      <c r="AF166" s="975"/>
      <c r="AG166" s="975"/>
      <c r="AH166" s="975"/>
      <c r="AI166" s="975"/>
      <c r="AJ166" s="975"/>
      <c r="AK166" s="981"/>
      <c r="AL166" s="982" t="e">
        <f>VLOOKUP(C166,'sản lượng'!$D$12:$AM$89,38,0)</f>
        <v>#N/A</v>
      </c>
      <c r="AP166" s="944">
        <v>2</v>
      </c>
      <c r="AR166" s="944">
        <v>1</v>
      </c>
    </row>
    <row r="167" spans="1:44" ht="15.75">
      <c r="A167" s="957">
        <v>46</v>
      </c>
      <c r="B167" s="1640" t="str">
        <f>VLOOKUP(C167,'DS CN MOI UP'!$B$10:$C$389,2,0)</f>
        <v>02468</v>
      </c>
      <c r="C167" s="991" t="s">
        <v>94</v>
      </c>
      <c r="D167" s="957" t="s">
        <v>15</v>
      </c>
      <c r="E167" s="960">
        <f t="shared" si="32"/>
        <v>24</v>
      </c>
      <c r="F167" s="960"/>
      <c r="G167" s="960"/>
      <c r="H167" s="1110"/>
      <c r="I167" s="960"/>
      <c r="J167" s="960"/>
      <c r="K167" s="960"/>
      <c r="L167" s="960"/>
      <c r="M167" s="960"/>
      <c r="N167" s="960"/>
      <c r="O167" s="960"/>
      <c r="P167" s="960"/>
      <c r="Q167" s="960"/>
      <c r="R167" s="960"/>
      <c r="S167" s="975">
        <f t="shared" si="35"/>
        <v>24</v>
      </c>
      <c r="T167" s="975" t="e">
        <f>VLOOKUP(C167,'sản lượng'!$D$12:$AK$89,36,0)</f>
        <v>#N/A</v>
      </c>
      <c r="U167" s="975"/>
      <c r="V167" s="975"/>
      <c r="W167" s="975" t="e">
        <f>VLOOKUP(C167,'sản lượng'!$D$12:$AK$89,36,0)</f>
        <v>#N/A</v>
      </c>
      <c r="X167" s="975"/>
      <c r="Y167" s="975"/>
      <c r="Z167" s="975" t="e">
        <f t="shared" si="34"/>
        <v>#N/A</v>
      </c>
      <c r="AA167" s="975" t="e">
        <f>VLOOKUP(C167,'CHẤM CÔNG '!$D$12:$AL$89,33,0)</f>
        <v>#N/A</v>
      </c>
      <c r="AB167" s="975" t="e">
        <f>VLOOKUP(C167,'CHẤM CÔNG '!$D$12:$AL$89,34,0)</f>
        <v>#N/A</v>
      </c>
      <c r="AC167" s="975"/>
      <c r="AD167" s="975"/>
      <c r="AE167" s="975"/>
      <c r="AF167" s="975"/>
      <c r="AG167" s="975"/>
      <c r="AH167" s="975"/>
      <c r="AI167" s="975"/>
      <c r="AJ167" s="975"/>
      <c r="AK167" s="981"/>
      <c r="AL167" s="982" t="e">
        <f>VLOOKUP(C167,'sản lượng'!$D$12:$AM$89,38,0)</f>
        <v>#N/A</v>
      </c>
      <c r="AP167" s="944">
        <v>2</v>
      </c>
      <c r="AR167" s="944">
        <v>1</v>
      </c>
    </row>
    <row r="168" spans="1:44" ht="15.75">
      <c r="A168" s="957">
        <v>47</v>
      </c>
      <c r="B168" s="1640" t="str">
        <f>VLOOKUP(C168,'DS CN MOI UP'!$B$10:$C$389,2,0)</f>
        <v>03339</v>
      </c>
      <c r="C168" s="991" t="s">
        <v>95</v>
      </c>
      <c r="D168" s="957" t="s">
        <v>15</v>
      </c>
      <c r="E168" s="960">
        <f t="shared" si="32"/>
        <v>24</v>
      </c>
      <c r="F168" s="960"/>
      <c r="G168" s="960"/>
      <c r="H168" s="1110"/>
      <c r="I168" s="960"/>
      <c r="J168" s="960"/>
      <c r="K168" s="960"/>
      <c r="L168" s="960"/>
      <c r="M168" s="960"/>
      <c r="N168" s="960"/>
      <c r="O168" s="960"/>
      <c r="P168" s="960"/>
      <c r="Q168" s="960"/>
      <c r="R168" s="960"/>
      <c r="S168" s="975">
        <f t="shared" si="35"/>
        <v>24</v>
      </c>
      <c r="T168" s="975" t="e">
        <f>VLOOKUP(C168,'sản lượng'!$D$12:$AK$89,36,0)</f>
        <v>#N/A</v>
      </c>
      <c r="U168" s="975"/>
      <c r="V168" s="975"/>
      <c r="W168" s="975" t="e">
        <f>VLOOKUP(C168,'sản lượng'!$D$12:$AK$89,36,0)</f>
        <v>#N/A</v>
      </c>
      <c r="X168" s="975"/>
      <c r="Y168" s="975"/>
      <c r="Z168" s="975" t="e">
        <f t="shared" si="34"/>
        <v>#N/A</v>
      </c>
      <c r="AA168" s="975" t="e">
        <f>VLOOKUP(C168,'CHẤM CÔNG '!$D$12:$AL$89,33,0)</f>
        <v>#N/A</v>
      </c>
      <c r="AB168" s="975" t="e">
        <f>VLOOKUP(C168,'CHẤM CÔNG '!$D$12:$AL$89,34,0)</f>
        <v>#N/A</v>
      </c>
      <c r="AC168" s="975"/>
      <c r="AD168" s="975"/>
      <c r="AE168" s="975"/>
      <c r="AF168" s="975"/>
      <c r="AG168" s="975"/>
      <c r="AH168" s="975"/>
      <c r="AI168" s="975"/>
      <c r="AJ168" s="975"/>
      <c r="AK168" s="981"/>
      <c r="AL168" s="982" t="e">
        <f>VLOOKUP(C168,'sản lượng'!$D$12:$AM$89,38,0)</f>
        <v>#N/A</v>
      </c>
      <c r="AP168" s="944">
        <v>1</v>
      </c>
      <c r="AR168" s="944">
        <v>2</v>
      </c>
    </row>
    <row r="169" spans="1:44" ht="15.75">
      <c r="A169" s="957">
        <v>48</v>
      </c>
      <c r="B169" s="1640" t="str">
        <f>VLOOKUP(C169,'DS CN MOI UP'!$B$10:$C$389,2,0)</f>
        <v>03320</v>
      </c>
      <c r="C169" s="991" t="s">
        <v>16</v>
      </c>
      <c r="D169" s="957" t="s">
        <v>15</v>
      </c>
      <c r="E169" s="960">
        <f t="shared" si="32"/>
        <v>24</v>
      </c>
      <c r="F169" s="960"/>
      <c r="G169" s="960"/>
      <c r="H169" s="1110"/>
      <c r="I169" s="960"/>
      <c r="J169" s="960"/>
      <c r="K169" s="960"/>
      <c r="L169" s="960"/>
      <c r="M169" s="960"/>
      <c r="N169" s="960"/>
      <c r="O169" s="960"/>
      <c r="P169" s="960"/>
      <c r="Q169" s="960"/>
      <c r="R169" s="960"/>
      <c r="S169" s="975">
        <f t="shared" si="35"/>
        <v>24</v>
      </c>
      <c r="T169" s="975" t="e">
        <f>VLOOKUP(C169,'sản lượng'!$D$12:$AK$89,36,0)</f>
        <v>#N/A</v>
      </c>
      <c r="U169" s="975"/>
      <c r="V169" s="975"/>
      <c r="W169" s="975" t="e">
        <f>VLOOKUP(C169,'sản lượng'!$D$12:$AK$89,36,0)</f>
        <v>#N/A</v>
      </c>
      <c r="X169" s="975"/>
      <c r="Y169" s="975"/>
      <c r="Z169" s="975" t="e">
        <f t="shared" si="34"/>
        <v>#N/A</v>
      </c>
      <c r="AA169" s="975" t="e">
        <f>VLOOKUP(C169,'CHẤM CÔNG '!$D$12:$AL$89,33,0)</f>
        <v>#N/A</v>
      </c>
      <c r="AB169" s="975" t="e">
        <f>VLOOKUP(C169,'CHẤM CÔNG '!$D$12:$AL$89,34,0)</f>
        <v>#N/A</v>
      </c>
      <c r="AC169" s="975"/>
      <c r="AD169" s="975"/>
      <c r="AE169" s="975"/>
      <c r="AF169" s="975"/>
      <c r="AG169" s="975"/>
      <c r="AH169" s="975"/>
      <c r="AI169" s="975"/>
      <c r="AJ169" s="975"/>
      <c r="AK169" s="981"/>
      <c r="AL169" s="982" t="e">
        <f>VLOOKUP(C169,'sản lượng'!$D$12:$AM$89,38,0)</f>
        <v>#N/A</v>
      </c>
      <c r="AP169" s="944">
        <v>1</v>
      </c>
      <c r="AR169" s="944">
        <v>2</v>
      </c>
    </row>
    <row r="170" spans="1:44" ht="15.75">
      <c r="A170" s="957">
        <v>49</v>
      </c>
      <c r="B170" s="1640" t="str">
        <f>VLOOKUP(C170,'DS CN MOI UP'!$B$10:$C$389,2,0)</f>
        <v>02455</v>
      </c>
      <c r="C170" s="991" t="s">
        <v>47</v>
      </c>
      <c r="D170" s="957" t="s">
        <v>15</v>
      </c>
      <c r="E170" s="960">
        <f t="shared" si="32"/>
        <v>24</v>
      </c>
      <c r="F170" s="960"/>
      <c r="G170" s="960"/>
      <c r="H170" s="1110"/>
      <c r="I170" s="960"/>
      <c r="J170" s="960"/>
      <c r="K170" s="960"/>
      <c r="L170" s="960"/>
      <c r="M170" s="960"/>
      <c r="N170" s="960"/>
      <c r="O170" s="960"/>
      <c r="P170" s="960"/>
      <c r="Q170" s="960"/>
      <c r="R170" s="960"/>
      <c r="S170" s="975">
        <f t="shared" si="35"/>
        <v>24</v>
      </c>
      <c r="T170" s="975" t="e">
        <f>VLOOKUP(C170,'sản lượng'!$D$12:$AK$89,36,0)</f>
        <v>#N/A</v>
      </c>
      <c r="U170" s="975"/>
      <c r="V170" s="975"/>
      <c r="W170" s="975" t="e">
        <f>VLOOKUP(C170,'sản lượng'!$D$12:$AK$89,36,0)</f>
        <v>#N/A</v>
      </c>
      <c r="X170" s="975"/>
      <c r="Y170" s="975"/>
      <c r="Z170" s="975" t="e">
        <f t="shared" si="34"/>
        <v>#N/A</v>
      </c>
      <c r="AA170" s="975" t="e">
        <f>VLOOKUP(C170,'CHẤM CÔNG '!$D$12:$AL$89,33,0)</f>
        <v>#N/A</v>
      </c>
      <c r="AB170" s="975" t="e">
        <f>VLOOKUP(C170,'CHẤM CÔNG '!$D$12:$AL$89,34,0)</f>
        <v>#N/A</v>
      </c>
      <c r="AC170" s="975"/>
      <c r="AD170" s="975"/>
      <c r="AE170" s="975"/>
      <c r="AF170" s="975"/>
      <c r="AG170" s="975"/>
      <c r="AH170" s="975"/>
      <c r="AI170" s="975"/>
      <c r="AJ170" s="975"/>
      <c r="AK170" s="981"/>
      <c r="AL170" s="982" t="e">
        <f>VLOOKUP(C170,'sản lượng'!$D$12:$AM$89,38,0)</f>
        <v>#N/A</v>
      </c>
      <c r="AR170" s="944">
        <v>3</v>
      </c>
    </row>
    <row r="171" spans="1:44" ht="15.75">
      <c r="A171" s="957">
        <v>50</v>
      </c>
      <c r="B171" s="1640" t="str">
        <f>VLOOKUP(C171,'DS CN MOI UP'!$B$10:$C$389,2,0)</f>
        <v>02463</v>
      </c>
      <c r="C171" s="991" t="s">
        <v>87</v>
      </c>
      <c r="D171" s="957" t="s">
        <v>15</v>
      </c>
      <c r="E171" s="960">
        <f t="shared" si="32"/>
        <v>24</v>
      </c>
      <c r="F171" s="960"/>
      <c r="G171" s="960"/>
      <c r="H171" s="1110"/>
      <c r="I171" s="960"/>
      <c r="J171" s="960"/>
      <c r="K171" s="960"/>
      <c r="L171" s="960"/>
      <c r="M171" s="960"/>
      <c r="N171" s="960"/>
      <c r="O171" s="960"/>
      <c r="P171" s="960"/>
      <c r="Q171" s="960"/>
      <c r="R171" s="960"/>
      <c r="S171" s="975">
        <f t="shared" si="35"/>
        <v>24</v>
      </c>
      <c r="T171" s="975" t="e">
        <f>VLOOKUP(C171,'sản lượng'!$D$12:$AK$89,36,0)</f>
        <v>#N/A</v>
      </c>
      <c r="U171" s="975"/>
      <c r="V171" s="975"/>
      <c r="W171" s="975" t="e">
        <f>VLOOKUP(C171,'sản lượng'!$D$12:$AK$89,36,0)</f>
        <v>#N/A</v>
      </c>
      <c r="X171" s="975"/>
      <c r="Y171" s="975"/>
      <c r="Z171" s="975" t="e">
        <f t="shared" si="34"/>
        <v>#N/A</v>
      </c>
      <c r="AA171" s="975" t="e">
        <f>VLOOKUP(C171,'CHẤM CÔNG '!$D$12:$AL$89,33,0)</f>
        <v>#N/A</v>
      </c>
      <c r="AB171" s="975" t="e">
        <f>VLOOKUP(C171,'CHẤM CÔNG '!$D$12:$AL$89,34,0)</f>
        <v>#N/A</v>
      </c>
      <c r="AC171" s="975"/>
      <c r="AD171" s="975"/>
      <c r="AE171" s="975"/>
      <c r="AF171" s="975"/>
      <c r="AG171" s="975"/>
      <c r="AH171" s="975"/>
      <c r="AI171" s="975"/>
      <c r="AJ171" s="975"/>
      <c r="AK171" s="981"/>
      <c r="AL171" s="982" t="e">
        <f>VLOOKUP(C171,'sản lượng'!$D$12:$AM$89,38,0)</f>
        <v>#N/A</v>
      </c>
      <c r="AP171" s="944">
        <v>1</v>
      </c>
      <c r="AR171" s="944">
        <v>2</v>
      </c>
    </row>
    <row r="172" spans="1:44" ht="15.75">
      <c r="A172" s="957">
        <v>51</v>
      </c>
      <c r="B172" s="1640" t="str">
        <f>VLOOKUP(C172,'DS CN MOI UP'!$B$10:$C$389,2,0)</f>
        <v>02491</v>
      </c>
      <c r="C172" s="991" t="s">
        <v>62</v>
      </c>
      <c r="D172" s="957" t="s">
        <v>15</v>
      </c>
      <c r="E172" s="960">
        <f t="shared" si="32"/>
        <v>24</v>
      </c>
      <c r="F172" s="960"/>
      <c r="G172" s="960"/>
      <c r="H172" s="1110"/>
      <c r="I172" s="960"/>
      <c r="J172" s="960"/>
      <c r="K172" s="960"/>
      <c r="L172" s="960"/>
      <c r="M172" s="960"/>
      <c r="N172" s="960"/>
      <c r="O172" s="960"/>
      <c r="P172" s="960"/>
      <c r="Q172" s="960"/>
      <c r="R172" s="960"/>
      <c r="S172" s="975">
        <f t="shared" si="35"/>
        <v>24</v>
      </c>
      <c r="T172" s="975" t="e">
        <f>VLOOKUP(C172,'sản lượng'!$D$12:$AK$89,36,0)</f>
        <v>#N/A</v>
      </c>
      <c r="U172" s="975"/>
      <c r="V172" s="975"/>
      <c r="W172" s="975" t="e">
        <f>VLOOKUP(C172,'sản lượng'!$D$12:$AK$89,36,0)</f>
        <v>#N/A</v>
      </c>
      <c r="X172" s="975"/>
      <c r="Y172" s="975"/>
      <c r="Z172" s="975" t="e">
        <f t="shared" si="34"/>
        <v>#N/A</v>
      </c>
      <c r="AA172" s="975" t="e">
        <f>VLOOKUP(C172,'CHẤM CÔNG '!$D$12:$AL$89,33,0)</f>
        <v>#N/A</v>
      </c>
      <c r="AB172" s="975" t="e">
        <f>VLOOKUP(C172,'CHẤM CÔNG '!$D$12:$AL$89,34,0)</f>
        <v>#N/A</v>
      </c>
      <c r="AC172" s="975"/>
      <c r="AD172" s="975"/>
      <c r="AE172" s="975"/>
      <c r="AF172" s="975"/>
      <c r="AG172" s="975"/>
      <c r="AH172" s="975"/>
      <c r="AI172" s="975"/>
      <c r="AJ172" s="975"/>
      <c r="AK172" s="981"/>
      <c r="AL172" s="982" t="e">
        <f>VLOOKUP(C172,'sản lượng'!$D$12:$AM$89,38,0)</f>
        <v>#N/A</v>
      </c>
      <c r="AP172" s="944">
        <v>1</v>
      </c>
      <c r="AR172" s="944">
        <v>2</v>
      </c>
    </row>
    <row r="173" spans="1:44" ht="15.75">
      <c r="A173" s="957">
        <v>52</v>
      </c>
      <c r="B173" s="1640" t="str">
        <f>VLOOKUP(C173,'DS CN MOI UP'!$B$10:$C$389,2,0)</f>
        <v>02478</v>
      </c>
      <c r="C173" s="963" t="s">
        <v>79</v>
      </c>
      <c r="D173" s="957" t="s">
        <v>15</v>
      </c>
      <c r="E173" s="960">
        <f t="shared" si="32"/>
        <v>24</v>
      </c>
      <c r="F173" s="960"/>
      <c r="G173" s="960"/>
      <c r="H173" s="1110"/>
      <c r="I173" s="960"/>
      <c r="J173" s="960"/>
      <c r="K173" s="960"/>
      <c r="L173" s="960"/>
      <c r="M173" s="960"/>
      <c r="N173" s="960"/>
      <c r="O173" s="960"/>
      <c r="P173" s="960"/>
      <c r="Q173" s="960"/>
      <c r="R173" s="960"/>
      <c r="S173" s="975">
        <f t="shared" si="35"/>
        <v>24</v>
      </c>
      <c r="T173" s="975" t="e">
        <f>VLOOKUP(C173,'sản lượng'!$D$12:$AK$89,36,0)</f>
        <v>#N/A</v>
      </c>
      <c r="U173" s="975"/>
      <c r="V173" s="975"/>
      <c r="W173" s="975" t="e">
        <f>VLOOKUP(C173,'sản lượng'!$D$12:$AK$89,36,0)</f>
        <v>#N/A</v>
      </c>
      <c r="X173" s="975"/>
      <c r="Y173" s="975"/>
      <c r="Z173" s="975" t="e">
        <f t="shared" si="34"/>
        <v>#N/A</v>
      </c>
      <c r="AA173" s="975" t="e">
        <f>VLOOKUP(C173,'CHẤM CÔNG '!$D$12:$AL$89,33,0)</f>
        <v>#N/A</v>
      </c>
      <c r="AB173" s="975" t="e">
        <f>VLOOKUP(C173,'CHẤM CÔNG '!$D$12:$AL$89,34,0)</f>
        <v>#N/A</v>
      </c>
      <c r="AC173" s="975"/>
      <c r="AD173" s="975"/>
      <c r="AE173" s="975"/>
      <c r="AF173" s="975"/>
      <c r="AG173" s="975"/>
      <c r="AH173" s="975"/>
      <c r="AI173" s="975"/>
      <c r="AJ173" s="975"/>
      <c r="AK173" s="981"/>
      <c r="AL173" s="982" t="e">
        <f>VLOOKUP(C173,'sản lượng'!$D$12:$AM$89,38,0)</f>
        <v>#N/A</v>
      </c>
      <c r="AP173" s="944">
        <v>1</v>
      </c>
      <c r="AR173" s="944">
        <v>2</v>
      </c>
    </row>
    <row r="174" spans="1:44" ht="15.75">
      <c r="A174" s="957">
        <v>53</v>
      </c>
      <c r="B174" s="1640" t="str">
        <f>VLOOKUP(C174,'DS CN MOI UP'!$B$10:$C$389,2,0)</f>
        <v>03324</v>
      </c>
      <c r="C174" s="963" t="s">
        <v>27</v>
      </c>
      <c r="D174" s="957" t="s">
        <v>15</v>
      </c>
      <c r="E174" s="960">
        <f t="shared" si="32"/>
        <v>24</v>
      </c>
      <c r="F174" s="960"/>
      <c r="G174" s="960"/>
      <c r="H174" s="1110"/>
      <c r="I174" s="960"/>
      <c r="J174" s="960"/>
      <c r="K174" s="960"/>
      <c r="L174" s="960"/>
      <c r="M174" s="960"/>
      <c r="N174" s="960"/>
      <c r="O174" s="960"/>
      <c r="P174" s="960"/>
      <c r="Q174" s="960"/>
      <c r="R174" s="960"/>
      <c r="S174" s="975">
        <f t="shared" si="35"/>
        <v>24</v>
      </c>
      <c r="T174" s="975" t="e">
        <f>VLOOKUP(C174,'sản lượng'!$D$12:$AK$89,36,0)</f>
        <v>#N/A</v>
      </c>
      <c r="U174" s="975"/>
      <c r="V174" s="975"/>
      <c r="W174" s="975" t="e">
        <f>VLOOKUP(C174,'sản lượng'!$D$12:$AK$89,36,0)</f>
        <v>#N/A</v>
      </c>
      <c r="X174" s="975"/>
      <c r="Y174" s="975"/>
      <c r="Z174" s="975" t="e">
        <f t="shared" si="34"/>
        <v>#N/A</v>
      </c>
      <c r="AA174" s="975" t="e">
        <f>VLOOKUP(C174,'CHẤM CÔNG '!$D$12:$AL$89,33,0)</f>
        <v>#N/A</v>
      </c>
      <c r="AB174" s="975" t="e">
        <f>VLOOKUP(C174,'CHẤM CÔNG '!$D$12:$AL$89,34,0)</f>
        <v>#N/A</v>
      </c>
      <c r="AC174" s="975"/>
      <c r="AD174" s="975"/>
      <c r="AE174" s="975"/>
      <c r="AF174" s="975"/>
      <c r="AG174" s="975"/>
      <c r="AH174" s="975"/>
      <c r="AI174" s="975"/>
      <c r="AJ174" s="975"/>
      <c r="AK174" s="981"/>
      <c r="AL174" s="982" t="e">
        <f>VLOOKUP(C174,'sản lượng'!$D$12:$AM$89,38,0)</f>
        <v>#N/A</v>
      </c>
      <c r="AP174" s="944">
        <v>1</v>
      </c>
      <c r="AR174" s="944">
        <v>2</v>
      </c>
    </row>
    <row r="175" spans="1:44" ht="15.75">
      <c r="A175" s="957">
        <v>54</v>
      </c>
      <c r="B175" s="1640" t="str">
        <f>VLOOKUP(C175,'DS CN MOI UP'!$B$10:$C$389,2,0)</f>
        <v>03325</v>
      </c>
      <c r="C175" s="963" t="s">
        <v>28</v>
      </c>
      <c r="D175" s="957" t="s">
        <v>15</v>
      </c>
      <c r="E175" s="960">
        <f t="shared" si="32"/>
        <v>24</v>
      </c>
      <c r="F175" s="960"/>
      <c r="G175" s="960"/>
      <c r="H175" s="1110"/>
      <c r="I175" s="960"/>
      <c r="J175" s="960"/>
      <c r="K175" s="960"/>
      <c r="L175" s="960"/>
      <c r="M175" s="960"/>
      <c r="N175" s="960"/>
      <c r="O175" s="960"/>
      <c r="P175" s="960"/>
      <c r="Q175" s="960"/>
      <c r="R175" s="960"/>
      <c r="S175" s="975">
        <f t="shared" si="35"/>
        <v>24</v>
      </c>
      <c r="T175" s="975" t="e">
        <f>VLOOKUP(C175,'sản lượng'!$D$12:$AK$89,36,0)</f>
        <v>#N/A</v>
      </c>
      <c r="U175" s="975"/>
      <c r="V175" s="975"/>
      <c r="W175" s="975" t="e">
        <f>VLOOKUP(C175,'sản lượng'!$D$12:$AK$89,36,0)</f>
        <v>#N/A</v>
      </c>
      <c r="X175" s="975"/>
      <c r="Y175" s="975"/>
      <c r="Z175" s="975" t="e">
        <f t="shared" si="34"/>
        <v>#N/A</v>
      </c>
      <c r="AA175" s="975" t="e">
        <f>VLOOKUP(C175,'CHẤM CÔNG '!$D$12:$AL$89,33,0)</f>
        <v>#N/A</v>
      </c>
      <c r="AB175" s="975" t="e">
        <f>VLOOKUP(C175,'CHẤM CÔNG '!$D$12:$AL$89,34,0)</f>
        <v>#N/A</v>
      </c>
      <c r="AC175" s="975"/>
      <c r="AD175" s="975"/>
      <c r="AE175" s="975"/>
      <c r="AF175" s="975"/>
      <c r="AG175" s="975"/>
      <c r="AH175" s="975"/>
      <c r="AI175" s="975"/>
      <c r="AJ175" s="975"/>
      <c r="AK175" s="981"/>
      <c r="AL175" s="982" t="e">
        <f>VLOOKUP(C175,'sản lượng'!$D$12:$AM$89,38,0)</f>
        <v>#N/A</v>
      </c>
      <c r="AP175" s="944">
        <v>1</v>
      </c>
      <c r="AR175" s="944">
        <v>2</v>
      </c>
    </row>
    <row r="176" spans="1:44" ht="15.75">
      <c r="A176" s="957">
        <v>55</v>
      </c>
      <c r="B176" s="1640" t="str">
        <f>VLOOKUP(C176,'DS CN MOI UP'!$B$10:$C$389,2,0)</f>
        <v>02510</v>
      </c>
      <c r="C176" s="963" t="s">
        <v>41</v>
      </c>
      <c r="D176" s="957" t="s">
        <v>15</v>
      </c>
      <c r="E176" s="960">
        <f t="shared" si="32"/>
        <v>24</v>
      </c>
      <c r="F176" s="960"/>
      <c r="G176" s="960"/>
      <c r="H176" s="1110"/>
      <c r="I176" s="960"/>
      <c r="J176" s="960"/>
      <c r="K176" s="960"/>
      <c r="L176" s="960"/>
      <c r="M176" s="960"/>
      <c r="N176" s="960"/>
      <c r="O176" s="960"/>
      <c r="P176" s="960"/>
      <c r="Q176" s="960"/>
      <c r="R176" s="960"/>
      <c r="S176" s="975">
        <f t="shared" si="35"/>
        <v>24</v>
      </c>
      <c r="T176" s="975" t="e">
        <f>VLOOKUP(C176,'sản lượng'!$D$12:$AK$89,36,0)</f>
        <v>#N/A</v>
      </c>
      <c r="U176" s="975"/>
      <c r="V176" s="975"/>
      <c r="W176" s="975" t="e">
        <f>VLOOKUP(C176,'sản lượng'!$D$12:$AK$89,36,0)</f>
        <v>#N/A</v>
      </c>
      <c r="X176" s="975"/>
      <c r="Y176" s="975"/>
      <c r="Z176" s="975" t="e">
        <f t="shared" si="34"/>
        <v>#N/A</v>
      </c>
      <c r="AA176" s="975" t="e">
        <f>VLOOKUP(C176,'CHẤM CÔNG '!$D$12:$AL$89,33,0)</f>
        <v>#N/A</v>
      </c>
      <c r="AB176" s="975" t="e">
        <f>VLOOKUP(C176,'CHẤM CÔNG '!$D$12:$AL$89,34,0)</f>
        <v>#N/A</v>
      </c>
      <c r="AC176" s="975"/>
      <c r="AD176" s="975"/>
      <c r="AE176" s="975"/>
      <c r="AF176" s="975"/>
      <c r="AG176" s="975"/>
      <c r="AH176" s="975"/>
      <c r="AI176" s="975"/>
      <c r="AJ176" s="975"/>
      <c r="AK176" s="981"/>
      <c r="AL176" s="982" t="e">
        <f>VLOOKUP(C176,'sản lượng'!$D$12:$AM$89,38,0)</f>
        <v>#N/A</v>
      </c>
      <c r="AP176" s="944">
        <v>1</v>
      </c>
      <c r="AR176" s="944">
        <v>2</v>
      </c>
    </row>
    <row r="177" spans="1:44" ht="15.75">
      <c r="A177" s="957">
        <v>56</v>
      </c>
      <c r="B177" s="1640" t="str">
        <f>VLOOKUP(C177,'DS CN MOI UP'!$B$10:$C$389,2,0)</f>
        <v>02469</v>
      </c>
      <c r="C177" s="963" t="s">
        <v>38</v>
      </c>
      <c r="D177" s="957" t="s">
        <v>15</v>
      </c>
      <c r="E177" s="960">
        <f t="shared" si="32"/>
        <v>24</v>
      </c>
      <c r="F177" s="960"/>
      <c r="G177" s="960"/>
      <c r="H177" s="1110"/>
      <c r="I177" s="960"/>
      <c r="J177" s="960"/>
      <c r="K177" s="960"/>
      <c r="L177" s="960"/>
      <c r="M177" s="960"/>
      <c r="N177" s="960"/>
      <c r="O177" s="960"/>
      <c r="P177" s="960"/>
      <c r="Q177" s="960"/>
      <c r="R177" s="960"/>
      <c r="S177" s="975">
        <f t="shared" si="35"/>
        <v>24</v>
      </c>
      <c r="T177" s="975" t="e">
        <f>VLOOKUP(C177,'sản lượng'!$D$12:$AK$89,36,0)</f>
        <v>#N/A</v>
      </c>
      <c r="U177" s="975"/>
      <c r="V177" s="975"/>
      <c r="W177" s="975" t="e">
        <f>VLOOKUP(C177,'sản lượng'!$D$12:$AK$89,36,0)</f>
        <v>#N/A</v>
      </c>
      <c r="X177" s="975"/>
      <c r="Y177" s="975"/>
      <c r="Z177" s="975" t="e">
        <f t="shared" si="34"/>
        <v>#N/A</v>
      </c>
      <c r="AA177" s="975" t="e">
        <f>VLOOKUP(C177,'CHẤM CÔNG '!$D$12:$AL$89,33,0)</f>
        <v>#N/A</v>
      </c>
      <c r="AB177" s="975" t="e">
        <f>VLOOKUP(C177,'CHẤM CÔNG '!$D$12:$AL$89,34,0)</f>
        <v>#N/A</v>
      </c>
      <c r="AC177" s="975"/>
      <c r="AD177" s="975"/>
      <c r="AE177" s="975"/>
      <c r="AF177" s="975"/>
      <c r="AG177" s="975"/>
      <c r="AH177" s="975"/>
      <c r="AI177" s="975"/>
      <c r="AJ177" s="975"/>
      <c r="AK177" s="981"/>
      <c r="AL177" s="982" t="e">
        <f>VLOOKUP(C177,'sản lượng'!$D$12:$AM$89,38,0)</f>
        <v>#N/A</v>
      </c>
      <c r="AP177" s="944">
        <v>1</v>
      </c>
      <c r="AR177" s="944">
        <v>2</v>
      </c>
    </row>
    <row r="178" spans="1:44" ht="15.75">
      <c r="A178" s="957">
        <v>57</v>
      </c>
      <c r="B178" s="1640" t="str">
        <f>VLOOKUP(C178,'DS CN MOI UP'!$B$10:$C$389,2,0)</f>
        <v>02475</v>
      </c>
      <c r="C178" s="992" t="s">
        <v>39</v>
      </c>
      <c r="D178" s="957" t="s">
        <v>15</v>
      </c>
      <c r="E178" s="960">
        <f t="shared" si="32"/>
        <v>24</v>
      </c>
      <c r="F178" s="960"/>
      <c r="G178" s="960"/>
      <c r="H178" s="1110"/>
      <c r="I178" s="960"/>
      <c r="J178" s="960"/>
      <c r="K178" s="960"/>
      <c r="L178" s="960"/>
      <c r="M178" s="960"/>
      <c r="N178" s="960"/>
      <c r="O178" s="960"/>
      <c r="P178" s="960"/>
      <c r="Q178" s="960"/>
      <c r="R178" s="960"/>
      <c r="S178" s="975">
        <f t="shared" si="35"/>
        <v>24</v>
      </c>
      <c r="T178" s="975" t="e">
        <f>VLOOKUP(C178,'sản lượng'!$D$12:$AK$89,36,0)</f>
        <v>#N/A</v>
      </c>
      <c r="U178" s="975"/>
      <c r="V178" s="975"/>
      <c r="W178" s="975" t="e">
        <f>VLOOKUP(C178,'sản lượng'!$D$12:$AK$89,36,0)</f>
        <v>#N/A</v>
      </c>
      <c r="X178" s="975"/>
      <c r="Y178" s="975"/>
      <c r="Z178" s="975" t="e">
        <f t="shared" si="34"/>
        <v>#N/A</v>
      </c>
      <c r="AA178" s="975" t="e">
        <f>VLOOKUP(C178,'CHẤM CÔNG '!$D$12:$AL$89,33,0)</f>
        <v>#N/A</v>
      </c>
      <c r="AB178" s="975" t="e">
        <f>VLOOKUP(C178,'CHẤM CÔNG '!$D$12:$AL$89,34,0)</f>
        <v>#N/A</v>
      </c>
      <c r="AC178" s="975"/>
      <c r="AD178" s="975"/>
      <c r="AE178" s="975"/>
      <c r="AF178" s="975"/>
      <c r="AG178" s="975"/>
      <c r="AH178" s="975"/>
      <c r="AI178" s="975"/>
      <c r="AJ178" s="975"/>
      <c r="AK178" s="981"/>
      <c r="AL178" s="982" t="e">
        <f>VLOOKUP(C178,'sản lượng'!$D$12:$AM$89,38,0)</f>
        <v>#N/A</v>
      </c>
      <c r="AP178" s="944">
        <v>1</v>
      </c>
      <c r="AR178" s="944">
        <v>2</v>
      </c>
    </row>
    <row r="179" spans="1:44" ht="15.75">
      <c r="A179" s="957">
        <v>58</v>
      </c>
      <c r="B179" s="1640" t="str">
        <f>VLOOKUP(C179,'DS CN MOI UP'!$B$10:$C$389,2,0)</f>
        <v>02496</v>
      </c>
      <c r="C179" s="992" t="s">
        <v>98</v>
      </c>
      <c r="D179" s="957" t="s">
        <v>15</v>
      </c>
      <c r="E179" s="960">
        <f t="shared" si="32"/>
        <v>24</v>
      </c>
      <c r="F179" s="960"/>
      <c r="G179" s="960"/>
      <c r="H179" s="1110"/>
      <c r="I179" s="960"/>
      <c r="J179" s="960"/>
      <c r="K179" s="960"/>
      <c r="L179" s="960"/>
      <c r="M179" s="960"/>
      <c r="N179" s="960"/>
      <c r="O179" s="960"/>
      <c r="P179" s="960"/>
      <c r="Q179" s="960"/>
      <c r="R179" s="960"/>
      <c r="S179" s="975">
        <f t="shared" si="35"/>
        <v>24</v>
      </c>
      <c r="T179" s="975" t="e">
        <f>VLOOKUP(C179,'sản lượng'!$D$12:$AK$89,36,0)</f>
        <v>#N/A</v>
      </c>
      <c r="U179" s="975"/>
      <c r="V179" s="975"/>
      <c r="W179" s="975" t="e">
        <f>VLOOKUP(C179,'sản lượng'!$D$12:$AK$89,36,0)</f>
        <v>#N/A</v>
      </c>
      <c r="X179" s="975"/>
      <c r="Y179" s="975"/>
      <c r="Z179" s="975" t="e">
        <f t="shared" si="34"/>
        <v>#N/A</v>
      </c>
      <c r="AA179" s="975" t="e">
        <f>VLOOKUP(C179,'CHẤM CÔNG '!$D$12:$AL$89,33,0)</f>
        <v>#N/A</v>
      </c>
      <c r="AB179" s="975" t="e">
        <f>VLOOKUP(C179,'CHẤM CÔNG '!$D$12:$AL$89,34,0)</f>
        <v>#N/A</v>
      </c>
      <c r="AC179" s="975"/>
      <c r="AD179" s="975"/>
      <c r="AE179" s="975"/>
      <c r="AF179" s="975"/>
      <c r="AG179" s="975"/>
      <c r="AH179" s="975"/>
      <c r="AI179" s="975"/>
      <c r="AJ179" s="975"/>
      <c r="AK179" s="981"/>
      <c r="AL179" s="982" t="e">
        <f>VLOOKUP(C179,'sản lượng'!$D$12:$AM$89,38,0)</f>
        <v>#N/A</v>
      </c>
      <c r="AP179" s="944">
        <v>1</v>
      </c>
      <c r="AR179" s="944">
        <v>2</v>
      </c>
    </row>
    <row r="180" spans="1:44" ht="15.75">
      <c r="A180" s="957">
        <v>59</v>
      </c>
      <c r="B180" s="958" t="e">
        <f>VLOOKUP(C180,'DS CN MOI UP'!$B$10:$C$389,2,0)</f>
        <v>#N/A</v>
      </c>
      <c r="C180" s="992" t="s">
        <v>2649</v>
      </c>
      <c r="D180" s="957" t="s">
        <v>15</v>
      </c>
      <c r="E180" s="960">
        <f t="shared" si="32"/>
        <v>24</v>
      </c>
      <c r="F180" s="960"/>
      <c r="G180" s="960"/>
      <c r="H180" s="1110"/>
      <c r="I180" s="960"/>
      <c r="J180" s="960"/>
      <c r="K180" s="960"/>
      <c r="L180" s="960"/>
      <c r="M180" s="960"/>
      <c r="N180" s="960"/>
      <c r="O180" s="960"/>
      <c r="P180" s="960"/>
      <c r="Q180" s="960"/>
      <c r="R180" s="960"/>
      <c r="S180" s="975">
        <f t="shared" si="35"/>
        <v>24</v>
      </c>
      <c r="T180" s="975" t="e">
        <f>VLOOKUP(C180,'sản lượng'!$D$12:$AK$89,36,0)</f>
        <v>#N/A</v>
      </c>
      <c r="U180" s="975"/>
      <c r="V180" s="975"/>
      <c r="W180" s="975" t="e">
        <f>VLOOKUP(C180,'sản lượng'!$D$12:$AK$89,36,0)</f>
        <v>#N/A</v>
      </c>
      <c r="X180" s="975"/>
      <c r="Y180" s="975"/>
      <c r="Z180" s="975" t="e">
        <f t="shared" si="34"/>
        <v>#N/A</v>
      </c>
      <c r="AA180" s="975" t="e">
        <f>VLOOKUP(C180,'CHẤM CÔNG '!$D$12:$AL$89,33,0)</f>
        <v>#N/A</v>
      </c>
      <c r="AB180" s="975" t="e">
        <f>VLOOKUP(C180,'CHẤM CÔNG '!$D$12:$AL$89,34,0)</f>
        <v>#N/A</v>
      </c>
      <c r="AC180" s="975"/>
      <c r="AD180" s="975"/>
      <c r="AE180" s="975"/>
      <c r="AF180" s="975"/>
      <c r="AG180" s="975"/>
      <c r="AH180" s="975"/>
      <c r="AI180" s="975"/>
      <c r="AJ180" s="975"/>
      <c r="AK180" s="981"/>
      <c r="AL180" s="982" t="e">
        <f>VLOOKUP(C180,'sản lượng'!$D$12:$AM$89,38,0)</f>
        <v>#N/A</v>
      </c>
      <c r="AP180" s="944">
        <v>1</v>
      </c>
      <c r="AR180" s="944">
        <v>2</v>
      </c>
    </row>
    <row r="181" spans="1:44" ht="15.75">
      <c r="A181" s="957">
        <v>60</v>
      </c>
      <c r="B181" s="1640" t="str">
        <f>VLOOKUP(C181,'DS CN MOI UP'!$B$10:$C$389,2,0)</f>
        <v>03326</v>
      </c>
      <c r="C181" s="992" t="s">
        <v>29</v>
      </c>
      <c r="D181" s="957" t="s">
        <v>15</v>
      </c>
      <c r="E181" s="960">
        <f t="shared" si="32"/>
        <v>24</v>
      </c>
      <c r="F181" s="960"/>
      <c r="G181" s="960"/>
      <c r="H181" s="1110"/>
      <c r="I181" s="960"/>
      <c r="J181" s="960"/>
      <c r="K181" s="960"/>
      <c r="L181" s="960"/>
      <c r="M181" s="960"/>
      <c r="N181" s="960"/>
      <c r="O181" s="960"/>
      <c r="P181" s="960"/>
      <c r="Q181" s="960"/>
      <c r="R181" s="960"/>
      <c r="S181" s="975">
        <f t="shared" si="35"/>
        <v>24</v>
      </c>
      <c r="T181" s="975" t="e">
        <f>VLOOKUP(C181,'sản lượng'!$D$12:$AK$89,36,0)</f>
        <v>#N/A</v>
      </c>
      <c r="U181" s="975"/>
      <c r="V181" s="975"/>
      <c r="W181" s="975" t="e">
        <f>VLOOKUP(C181,'sản lượng'!$D$12:$AK$89,36,0)</f>
        <v>#N/A</v>
      </c>
      <c r="X181" s="975"/>
      <c r="Y181" s="975"/>
      <c r="Z181" s="975" t="e">
        <f t="shared" si="34"/>
        <v>#N/A</v>
      </c>
      <c r="AA181" s="975" t="e">
        <f>VLOOKUP(C181,'CHẤM CÔNG '!$D$12:$AL$89,33,0)</f>
        <v>#N/A</v>
      </c>
      <c r="AB181" s="975" t="e">
        <f>VLOOKUP(C181,'CHẤM CÔNG '!$D$12:$AL$89,34,0)</f>
        <v>#N/A</v>
      </c>
      <c r="AC181" s="975"/>
      <c r="AD181" s="975"/>
      <c r="AE181" s="975"/>
      <c r="AF181" s="975"/>
      <c r="AG181" s="975"/>
      <c r="AH181" s="975"/>
      <c r="AI181" s="975"/>
      <c r="AJ181" s="975"/>
      <c r="AK181" s="981"/>
      <c r="AL181" s="982" t="e">
        <f>VLOOKUP(C181,'sản lượng'!$D$12:$AM$89,38,0)</f>
        <v>#N/A</v>
      </c>
      <c r="AP181" s="944">
        <v>1</v>
      </c>
      <c r="AR181" s="944">
        <v>2</v>
      </c>
    </row>
    <row r="182" spans="1:44" ht="15.75">
      <c r="A182" s="957">
        <v>61</v>
      </c>
      <c r="B182" s="1640" t="str">
        <f>VLOOKUP(C182,'DS CN MOI UP'!$B$10:$C$389,2,0)</f>
        <v>02502</v>
      </c>
      <c r="C182" s="992" t="s">
        <v>2064</v>
      </c>
      <c r="D182" s="957" t="s">
        <v>15</v>
      </c>
      <c r="E182" s="960">
        <f t="shared" si="32"/>
        <v>24</v>
      </c>
      <c r="F182" s="960"/>
      <c r="G182" s="960"/>
      <c r="H182" s="1110"/>
      <c r="I182" s="960"/>
      <c r="J182" s="960"/>
      <c r="K182" s="960"/>
      <c r="L182" s="960"/>
      <c r="M182" s="960"/>
      <c r="N182" s="960"/>
      <c r="O182" s="960"/>
      <c r="P182" s="960"/>
      <c r="Q182" s="960"/>
      <c r="R182" s="960"/>
      <c r="S182" s="975">
        <f t="shared" si="35"/>
        <v>24</v>
      </c>
      <c r="T182" s="975" t="e">
        <f>VLOOKUP(C182,'sản lượng'!$D$12:$AK$89,36,0)</f>
        <v>#N/A</v>
      </c>
      <c r="U182" s="975"/>
      <c r="V182" s="975"/>
      <c r="W182" s="975" t="e">
        <f>VLOOKUP(C182,'sản lượng'!$D$12:$AK$89,36,0)</f>
        <v>#N/A</v>
      </c>
      <c r="X182" s="975"/>
      <c r="Y182" s="975"/>
      <c r="Z182" s="975" t="e">
        <f t="shared" si="34"/>
        <v>#N/A</v>
      </c>
      <c r="AA182" s="975" t="e">
        <f>VLOOKUP(C182,'CHẤM CÔNG '!$D$12:$AL$89,33,0)</f>
        <v>#N/A</v>
      </c>
      <c r="AB182" s="975" t="e">
        <f>VLOOKUP(C182,'CHẤM CÔNG '!$D$12:$AL$89,34,0)</f>
        <v>#N/A</v>
      </c>
      <c r="AC182" s="975"/>
      <c r="AD182" s="975"/>
      <c r="AE182" s="975"/>
      <c r="AF182" s="975"/>
      <c r="AG182" s="975"/>
      <c r="AH182" s="975"/>
      <c r="AI182" s="975"/>
      <c r="AJ182" s="975"/>
      <c r="AK182" s="981"/>
      <c r="AL182" s="982" t="e">
        <f>VLOOKUP(C182,'sản lượng'!$D$12:$AM$89,38,0)</f>
        <v>#N/A</v>
      </c>
      <c r="AP182" s="944">
        <v>2</v>
      </c>
      <c r="AR182" s="944">
        <v>1</v>
      </c>
    </row>
    <row r="183" spans="1:44" ht="15.75">
      <c r="A183" s="957">
        <v>62</v>
      </c>
      <c r="B183" s="1640" t="str">
        <f>VLOOKUP(C183,'DS CN MOI UP'!$B$10:$C$389,2,0)</f>
        <v>02514</v>
      </c>
      <c r="C183" s="992" t="s">
        <v>100</v>
      </c>
      <c r="D183" s="957" t="s">
        <v>15</v>
      </c>
      <c r="E183" s="960">
        <f t="shared" si="32"/>
        <v>24</v>
      </c>
      <c r="F183" s="960"/>
      <c r="G183" s="960"/>
      <c r="H183" s="1110"/>
      <c r="I183" s="960"/>
      <c r="J183" s="960"/>
      <c r="K183" s="960"/>
      <c r="L183" s="960"/>
      <c r="M183" s="960"/>
      <c r="N183" s="960"/>
      <c r="O183" s="960"/>
      <c r="P183" s="960"/>
      <c r="Q183" s="960"/>
      <c r="R183" s="960"/>
      <c r="S183" s="975">
        <f t="shared" si="35"/>
        <v>24</v>
      </c>
      <c r="T183" s="975" t="e">
        <f>VLOOKUP(C183,'sản lượng'!$D$12:$AK$89,36,0)</f>
        <v>#N/A</v>
      </c>
      <c r="U183" s="975"/>
      <c r="V183" s="975"/>
      <c r="W183" s="975" t="e">
        <f>VLOOKUP(C183,'sản lượng'!$D$12:$AK$89,36,0)</f>
        <v>#N/A</v>
      </c>
      <c r="X183" s="975"/>
      <c r="Y183" s="975"/>
      <c r="Z183" s="975" t="e">
        <f t="shared" si="34"/>
        <v>#N/A</v>
      </c>
      <c r="AA183" s="975" t="e">
        <f>VLOOKUP(C183,'CHẤM CÔNG '!$D$12:$AL$89,33,0)</f>
        <v>#N/A</v>
      </c>
      <c r="AB183" s="975" t="e">
        <f>VLOOKUP(C183,'CHẤM CÔNG '!$D$12:$AL$89,34,0)</f>
        <v>#N/A</v>
      </c>
      <c r="AC183" s="975"/>
      <c r="AD183" s="975"/>
      <c r="AE183" s="975"/>
      <c r="AF183" s="975"/>
      <c r="AG183" s="975"/>
      <c r="AH183" s="975"/>
      <c r="AI183" s="975"/>
      <c r="AJ183" s="975"/>
      <c r="AK183" s="981"/>
      <c r="AL183" s="982" t="e">
        <f>VLOOKUP(C183,'sản lượng'!$D$12:$AM$89,38,0)</f>
        <v>#N/A</v>
      </c>
      <c r="AP183" s="944">
        <v>1</v>
      </c>
      <c r="AR183" s="944">
        <v>2</v>
      </c>
    </row>
    <row r="184" spans="1:44" ht="15.75">
      <c r="A184" s="957">
        <v>63</v>
      </c>
      <c r="B184" s="1640" t="str">
        <f>VLOOKUP(C184,'DS CN MOI UP'!$B$10:$C$389,2,0)</f>
        <v>02501</v>
      </c>
      <c r="C184" s="992" t="s">
        <v>92</v>
      </c>
      <c r="D184" s="957" t="s">
        <v>15</v>
      </c>
      <c r="E184" s="960">
        <f t="shared" si="32"/>
        <v>24</v>
      </c>
      <c r="F184" s="960"/>
      <c r="G184" s="960"/>
      <c r="H184" s="1110"/>
      <c r="I184" s="960"/>
      <c r="J184" s="960"/>
      <c r="K184" s="960"/>
      <c r="L184" s="960"/>
      <c r="M184" s="960"/>
      <c r="N184" s="960"/>
      <c r="O184" s="960"/>
      <c r="P184" s="960"/>
      <c r="Q184" s="960"/>
      <c r="R184" s="960"/>
      <c r="S184" s="975">
        <f t="shared" si="35"/>
        <v>24</v>
      </c>
      <c r="T184" s="975" t="e">
        <f>VLOOKUP(C184,'sản lượng'!$D$12:$AK$89,36,0)</f>
        <v>#N/A</v>
      </c>
      <c r="U184" s="975"/>
      <c r="V184" s="975"/>
      <c r="W184" s="975" t="e">
        <f>VLOOKUP(C184,'sản lượng'!$D$12:$AK$89,36,0)</f>
        <v>#N/A</v>
      </c>
      <c r="X184" s="975"/>
      <c r="Y184" s="975"/>
      <c r="Z184" s="975" t="e">
        <f t="shared" si="34"/>
        <v>#N/A</v>
      </c>
      <c r="AA184" s="975" t="e">
        <f>VLOOKUP(C184,'CHẤM CÔNG '!$D$12:$AL$89,33,0)</f>
        <v>#N/A</v>
      </c>
      <c r="AB184" s="975" t="e">
        <f>VLOOKUP(C184,'CHẤM CÔNG '!$D$12:$AL$89,34,0)</f>
        <v>#N/A</v>
      </c>
      <c r="AC184" s="975"/>
      <c r="AD184" s="975"/>
      <c r="AE184" s="975"/>
      <c r="AF184" s="975"/>
      <c r="AG184" s="975"/>
      <c r="AH184" s="975"/>
      <c r="AI184" s="975"/>
      <c r="AJ184" s="975"/>
      <c r="AK184" s="981"/>
      <c r="AL184" s="982" t="e">
        <f>VLOOKUP(C184,'sản lượng'!$D$12:$AM$89,38,0)</f>
        <v>#N/A</v>
      </c>
      <c r="AP184" s="944">
        <v>1</v>
      </c>
      <c r="AR184" s="944">
        <v>2</v>
      </c>
    </row>
    <row r="185" spans="1:44" ht="15.75">
      <c r="A185" s="957">
        <v>64</v>
      </c>
      <c r="B185" s="958" t="e">
        <f>VLOOKUP(C185,'DS CN MOI UP'!$B$10:$C$389,2,0)</f>
        <v>#N/A</v>
      </c>
      <c r="C185" s="992" t="s">
        <v>2650</v>
      </c>
      <c r="D185" s="957" t="s">
        <v>15</v>
      </c>
      <c r="E185" s="960">
        <f t="shared" si="32"/>
        <v>24</v>
      </c>
      <c r="F185" s="960"/>
      <c r="G185" s="960"/>
      <c r="H185" s="1110"/>
      <c r="I185" s="960"/>
      <c r="J185" s="960"/>
      <c r="K185" s="960"/>
      <c r="L185" s="960"/>
      <c r="M185" s="960"/>
      <c r="N185" s="960"/>
      <c r="O185" s="960"/>
      <c r="P185" s="960"/>
      <c r="Q185" s="960"/>
      <c r="R185" s="960"/>
      <c r="S185" s="975">
        <f t="shared" si="35"/>
        <v>24</v>
      </c>
      <c r="T185" s="975" t="e">
        <f>VLOOKUP(C185,'sản lượng'!$D$12:$AK$89,36,0)</f>
        <v>#N/A</v>
      </c>
      <c r="U185" s="975"/>
      <c r="V185" s="975"/>
      <c r="W185" s="975" t="e">
        <f>VLOOKUP(C185,'sản lượng'!$D$12:$AK$89,36,0)</f>
        <v>#N/A</v>
      </c>
      <c r="X185" s="975"/>
      <c r="Y185" s="975"/>
      <c r="Z185" s="975" t="e">
        <f t="shared" si="34"/>
        <v>#N/A</v>
      </c>
      <c r="AA185" s="975" t="e">
        <f>VLOOKUP(C185,'CHẤM CÔNG '!$D$12:$AL$89,33,0)</f>
        <v>#N/A</v>
      </c>
      <c r="AB185" s="975" t="e">
        <f>VLOOKUP(C185,'CHẤM CÔNG '!$D$12:$AL$89,34,0)</f>
        <v>#N/A</v>
      </c>
      <c r="AC185" s="975"/>
      <c r="AD185" s="975"/>
      <c r="AE185" s="975"/>
      <c r="AF185" s="975"/>
      <c r="AG185" s="975"/>
      <c r="AH185" s="975"/>
      <c r="AI185" s="975"/>
      <c r="AJ185" s="975"/>
      <c r="AK185" s="981"/>
      <c r="AL185" s="982" t="e">
        <f>VLOOKUP(C185,'sản lượng'!$D$12:$AM$89,38,0)</f>
        <v>#N/A</v>
      </c>
      <c r="AP185" s="944">
        <v>1</v>
      </c>
      <c r="AR185" s="944">
        <v>2</v>
      </c>
    </row>
    <row r="186" spans="1:44" ht="15.75">
      <c r="A186" s="957">
        <v>65</v>
      </c>
      <c r="B186" s="1640" t="str">
        <f>VLOOKUP(C186,'DS CN MOI UP'!$B$10:$C$389,2,0)</f>
        <v>02683</v>
      </c>
      <c r="C186" s="992" t="s">
        <v>75</v>
      </c>
      <c r="D186" s="957" t="s">
        <v>15</v>
      </c>
      <c r="E186" s="960">
        <f t="shared" ref="E186:E207" si="36">3*8</f>
        <v>24</v>
      </c>
      <c r="F186" s="960"/>
      <c r="G186" s="960"/>
      <c r="H186" s="1110"/>
      <c r="I186" s="960"/>
      <c r="J186" s="960"/>
      <c r="K186" s="960"/>
      <c r="L186" s="960"/>
      <c r="M186" s="960"/>
      <c r="N186" s="960"/>
      <c r="O186" s="960"/>
      <c r="P186" s="960"/>
      <c r="Q186" s="960"/>
      <c r="R186" s="960"/>
      <c r="S186" s="975">
        <f t="shared" ref="S186:S206" si="37">SUM(E186:N186)</f>
        <v>24</v>
      </c>
      <c r="T186" s="975" t="e">
        <f>VLOOKUP(C186,'sản lượng'!$D$12:$AK$89,36,0)</f>
        <v>#N/A</v>
      </c>
      <c r="U186" s="975"/>
      <c r="V186" s="975"/>
      <c r="W186" s="975" t="e">
        <f>VLOOKUP(C186,'sản lượng'!$D$12:$AK$89,36,0)</f>
        <v>#N/A</v>
      </c>
      <c r="X186" s="975"/>
      <c r="Y186" s="975"/>
      <c r="Z186" s="975" t="e">
        <f t="shared" si="34"/>
        <v>#N/A</v>
      </c>
      <c r="AA186" s="975" t="e">
        <f>VLOOKUP(C186,'CHẤM CÔNG '!$D$12:$AL$89,33,0)</f>
        <v>#N/A</v>
      </c>
      <c r="AB186" s="975" t="e">
        <f>VLOOKUP(C186,'CHẤM CÔNG '!$D$12:$AL$89,34,0)</f>
        <v>#N/A</v>
      </c>
      <c r="AC186" s="975"/>
      <c r="AD186" s="975"/>
      <c r="AE186" s="975"/>
      <c r="AF186" s="975"/>
      <c r="AG186" s="975"/>
      <c r="AH186" s="975"/>
      <c r="AI186" s="975"/>
      <c r="AJ186" s="975"/>
      <c r="AK186" s="981"/>
      <c r="AL186" s="982" t="e">
        <f>VLOOKUP(C186,'sản lượng'!$D$12:$AM$89,38,0)</f>
        <v>#N/A</v>
      </c>
      <c r="AP186" s="944">
        <v>1</v>
      </c>
      <c r="AR186" s="944">
        <v>2</v>
      </c>
    </row>
    <row r="187" spans="1:44" ht="15.75">
      <c r="A187" s="957">
        <v>66</v>
      </c>
      <c r="B187" s="958" t="e">
        <f>VLOOKUP(C187,'DS CN MOI UP'!$B$10:$C$389,2,0)</f>
        <v>#N/A</v>
      </c>
      <c r="C187" s="992" t="s">
        <v>1276</v>
      </c>
      <c r="D187" s="957" t="s">
        <v>15</v>
      </c>
      <c r="E187" s="960">
        <f t="shared" si="36"/>
        <v>24</v>
      </c>
      <c r="F187" s="960"/>
      <c r="G187" s="960"/>
      <c r="H187" s="1110"/>
      <c r="I187" s="960"/>
      <c r="J187" s="960"/>
      <c r="K187" s="960"/>
      <c r="L187" s="960"/>
      <c r="M187" s="960"/>
      <c r="N187" s="960"/>
      <c r="O187" s="960"/>
      <c r="P187" s="960"/>
      <c r="Q187" s="960"/>
      <c r="R187" s="960"/>
      <c r="S187" s="975">
        <f t="shared" si="37"/>
        <v>24</v>
      </c>
      <c r="T187" s="975" t="e">
        <f>VLOOKUP(C187,'sản lượng'!$D$12:$AK$89,36,0)</f>
        <v>#N/A</v>
      </c>
      <c r="U187" s="975"/>
      <c r="V187" s="975"/>
      <c r="W187" s="975" t="e">
        <f>VLOOKUP(C187,'sản lượng'!$D$12:$AK$89,36,0)</f>
        <v>#N/A</v>
      </c>
      <c r="X187" s="975"/>
      <c r="Y187" s="975"/>
      <c r="Z187" s="975" t="e">
        <f t="shared" ref="Z187:Z207" si="38">W187*$AN$15+X187*$AN$10</f>
        <v>#N/A</v>
      </c>
      <c r="AA187" s="975" t="e">
        <f>VLOOKUP(C187,'CHẤM CÔNG '!$D$12:$AL$89,33,0)</f>
        <v>#N/A</v>
      </c>
      <c r="AB187" s="975" t="e">
        <f>VLOOKUP(C187,'CHẤM CÔNG '!$D$12:$AL$89,34,0)</f>
        <v>#N/A</v>
      </c>
      <c r="AC187" s="975"/>
      <c r="AD187" s="975"/>
      <c r="AE187" s="975"/>
      <c r="AF187" s="975"/>
      <c r="AG187" s="975"/>
      <c r="AH187" s="975"/>
      <c r="AI187" s="975"/>
      <c r="AJ187" s="975"/>
      <c r="AK187" s="981"/>
      <c r="AL187" s="982" t="e">
        <f>VLOOKUP(C187,'sản lượng'!$D$12:$AM$89,38,0)</f>
        <v>#N/A</v>
      </c>
      <c r="AP187" s="944">
        <v>1</v>
      </c>
      <c r="AR187" s="944">
        <v>2</v>
      </c>
    </row>
    <row r="188" spans="1:44" ht="15.75">
      <c r="A188" s="957">
        <v>67</v>
      </c>
      <c r="B188" s="1640" t="str">
        <f>VLOOKUP(C188,'DS CN MOI UP'!$B$10:$C$389,2,0)</f>
        <v>03333</v>
      </c>
      <c r="C188" s="992" t="s">
        <v>56</v>
      </c>
      <c r="D188" s="957" t="s">
        <v>15</v>
      </c>
      <c r="E188" s="960">
        <f t="shared" si="36"/>
        <v>24</v>
      </c>
      <c r="F188" s="960"/>
      <c r="G188" s="960"/>
      <c r="H188" s="1110"/>
      <c r="I188" s="960"/>
      <c r="J188" s="960"/>
      <c r="K188" s="960"/>
      <c r="L188" s="960"/>
      <c r="M188" s="960"/>
      <c r="N188" s="960"/>
      <c r="O188" s="960"/>
      <c r="P188" s="960"/>
      <c r="Q188" s="960"/>
      <c r="R188" s="960"/>
      <c r="S188" s="975">
        <f t="shared" si="37"/>
        <v>24</v>
      </c>
      <c r="T188" s="975" t="e">
        <f>VLOOKUP(C188,'sản lượng'!$D$12:$AK$89,36,0)</f>
        <v>#N/A</v>
      </c>
      <c r="U188" s="975"/>
      <c r="V188" s="975"/>
      <c r="W188" s="975" t="e">
        <f>VLOOKUP(C188,'sản lượng'!$D$12:$AK$89,36,0)</f>
        <v>#N/A</v>
      </c>
      <c r="X188" s="975"/>
      <c r="Y188" s="975"/>
      <c r="Z188" s="975" t="e">
        <f t="shared" si="38"/>
        <v>#N/A</v>
      </c>
      <c r="AA188" s="975" t="e">
        <f>VLOOKUP(C188,'CHẤM CÔNG '!$D$12:$AL$89,33,0)</f>
        <v>#N/A</v>
      </c>
      <c r="AB188" s="975" t="e">
        <f>VLOOKUP(C188,'CHẤM CÔNG '!$D$12:$AL$89,34,0)</f>
        <v>#N/A</v>
      </c>
      <c r="AC188" s="975"/>
      <c r="AD188" s="975"/>
      <c r="AE188" s="975"/>
      <c r="AF188" s="975"/>
      <c r="AG188" s="975"/>
      <c r="AH188" s="975"/>
      <c r="AI188" s="975"/>
      <c r="AJ188" s="975"/>
      <c r="AK188" s="981"/>
      <c r="AL188" s="982" t="e">
        <f>VLOOKUP(C188,'sản lượng'!$D$12:$AM$89,38,0)</f>
        <v>#N/A</v>
      </c>
      <c r="AP188" s="944">
        <v>1</v>
      </c>
      <c r="AR188" s="944">
        <v>2</v>
      </c>
    </row>
    <row r="189" spans="1:44" ht="15.75">
      <c r="A189" s="957">
        <v>68</v>
      </c>
      <c r="B189" s="1640" t="str">
        <f>VLOOKUP(C189,'DS CN MOI UP'!$B$10:$C$389,2,0)</f>
        <v>02686</v>
      </c>
      <c r="C189" s="992" t="s">
        <v>78</v>
      </c>
      <c r="D189" s="957" t="s">
        <v>15</v>
      </c>
      <c r="E189" s="960">
        <f t="shared" si="36"/>
        <v>24</v>
      </c>
      <c r="F189" s="960"/>
      <c r="G189" s="960"/>
      <c r="H189" s="1110"/>
      <c r="I189" s="960"/>
      <c r="J189" s="960"/>
      <c r="K189" s="960"/>
      <c r="L189" s="960"/>
      <c r="M189" s="960"/>
      <c r="N189" s="960"/>
      <c r="O189" s="960"/>
      <c r="P189" s="960"/>
      <c r="Q189" s="960"/>
      <c r="R189" s="960"/>
      <c r="S189" s="975">
        <f t="shared" si="37"/>
        <v>24</v>
      </c>
      <c r="T189" s="975" t="e">
        <f>VLOOKUP(C189,'sản lượng'!$D$12:$AK$89,36,0)</f>
        <v>#N/A</v>
      </c>
      <c r="U189" s="975"/>
      <c r="V189" s="975"/>
      <c r="W189" s="975" t="e">
        <f>VLOOKUP(C189,'sản lượng'!$D$12:$AK$89,36,0)</f>
        <v>#N/A</v>
      </c>
      <c r="X189" s="975"/>
      <c r="Y189" s="975"/>
      <c r="Z189" s="975" t="e">
        <f t="shared" si="38"/>
        <v>#N/A</v>
      </c>
      <c r="AA189" s="975" t="e">
        <f>VLOOKUP(C189,'CHẤM CÔNG '!$D$12:$AL$89,33,0)</f>
        <v>#N/A</v>
      </c>
      <c r="AB189" s="975" t="e">
        <f>VLOOKUP(C189,'CHẤM CÔNG '!$D$12:$AL$89,34,0)</f>
        <v>#N/A</v>
      </c>
      <c r="AC189" s="975"/>
      <c r="AD189" s="975"/>
      <c r="AE189" s="975"/>
      <c r="AF189" s="975"/>
      <c r="AG189" s="975"/>
      <c r="AH189" s="975"/>
      <c r="AI189" s="975"/>
      <c r="AJ189" s="975"/>
      <c r="AK189" s="981"/>
      <c r="AL189" s="982" t="e">
        <f>VLOOKUP(C189,'sản lượng'!$D$12:$AM$89,38,0)</f>
        <v>#N/A</v>
      </c>
      <c r="AP189" s="944">
        <v>1</v>
      </c>
      <c r="AR189" s="944">
        <v>2</v>
      </c>
    </row>
    <row r="190" spans="1:44" ht="15.75">
      <c r="A190" s="957">
        <v>69</v>
      </c>
      <c r="B190" s="958" t="e">
        <f>VLOOKUP(C190,'DS CN MOI UP'!$B$10:$C$389,2,0)</f>
        <v>#N/A</v>
      </c>
      <c r="C190" s="992" t="s">
        <v>2651</v>
      </c>
      <c r="D190" s="957" t="s">
        <v>15</v>
      </c>
      <c r="E190" s="960">
        <f t="shared" si="36"/>
        <v>24</v>
      </c>
      <c r="F190" s="960"/>
      <c r="G190" s="960"/>
      <c r="H190" s="1110"/>
      <c r="I190" s="960"/>
      <c r="J190" s="960"/>
      <c r="K190" s="960"/>
      <c r="L190" s="960"/>
      <c r="M190" s="960"/>
      <c r="N190" s="960"/>
      <c r="O190" s="960"/>
      <c r="P190" s="960"/>
      <c r="Q190" s="960"/>
      <c r="R190" s="960"/>
      <c r="S190" s="975">
        <f t="shared" si="37"/>
        <v>24</v>
      </c>
      <c r="T190" s="975" t="e">
        <f>VLOOKUP(C190,'sản lượng'!$D$12:$AK$89,36,0)</f>
        <v>#N/A</v>
      </c>
      <c r="U190" s="975"/>
      <c r="V190" s="975"/>
      <c r="W190" s="975" t="e">
        <f>VLOOKUP(C190,'sản lượng'!$D$12:$AK$89,36,0)</f>
        <v>#N/A</v>
      </c>
      <c r="X190" s="975"/>
      <c r="Y190" s="975"/>
      <c r="Z190" s="975" t="e">
        <f t="shared" si="38"/>
        <v>#N/A</v>
      </c>
      <c r="AA190" s="975" t="e">
        <f>VLOOKUP(C190,'CHẤM CÔNG '!$D$12:$AL$89,33,0)</f>
        <v>#N/A</v>
      </c>
      <c r="AB190" s="975" t="e">
        <f>VLOOKUP(C190,'CHẤM CÔNG '!$D$12:$AL$89,34,0)</f>
        <v>#N/A</v>
      </c>
      <c r="AC190" s="975"/>
      <c r="AD190" s="975"/>
      <c r="AE190" s="975"/>
      <c r="AF190" s="975"/>
      <c r="AG190" s="975"/>
      <c r="AH190" s="975"/>
      <c r="AI190" s="975"/>
      <c r="AJ190" s="975"/>
      <c r="AK190" s="981"/>
      <c r="AL190" s="982" t="e">
        <f>VLOOKUP(C190,'sản lượng'!$D$12:$AM$89,38,0)</f>
        <v>#N/A</v>
      </c>
      <c r="AP190" s="944">
        <v>1</v>
      </c>
      <c r="AR190" s="944">
        <v>2</v>
      </c>
    </row>
    <row r="191" spans="1:44" ht="15.75">
      <c r="A191" s="957">
        <v>70</v>
      </c>
      <c r="B191" s="1640" t="str">
        <f>VLOOKUP(C191,'DS CN MOI UP'!$B$10:$C$389,2,0)</f>
        <v>02458</v>
      </c>
      <c r="C191" s="992" t="s">
        <v>492</v>
      </c>
      <c r="D191" s="957" t="s">
        <v>15</v>
      </c>
      <c r="E191" s="960">
        <f t="shared" si="36"/>
        <v>24</v>
      </c>
      <c r="F191" s="960"/>
      <c r="G191" s="960"/>
      <c r="H191" s="1110"/>
      <c r="I191" s="960"/>
      <c r="J191" s="960"/>
      <c r="K191" s="960"/>
      <c r="L191" s="960"/>
      <c r="M191" s="960"/>
      <c r="N191" s="960"/>
      <c r="O191" s="960"/>
      <c r="P191" s="960"/>
      <c r="Q191" s="960"/>
      <c r="R191" s="960"/>
      <c r="S191" s="975">
        <f t="shared" si="37"/>
        <v>24</v>
      </c>
      <c r="T191" s="975" t="e">
        <f>VLOOKUP(C191,'sản lượng'!$D$12:$AK$89,36,0)</f>
        <v>#N/A</v>
      </c>
      <c r="U191" s="975"/>
      <c r="V191" s="975"/>
      <c r="W191" s="975" t="e">
        <f>VLOOKUP(C191,'sản lượng'!$D$12:$AK$89,36,0)</f>
        <v>#N/A</v>
      </c>
      <c r="X191" s="975"/>
      <c r="Y191" s="975"/>
      <c r="Z191" s="975" t="e">
        <f t="shared" si="38"/>
        <v>#N/A</v>
      </c>
      <c r="AA191" s="975" t="e">
        <f>VLOOKUP(C191,'CHẤM CÔNG '!$D$12:$AL$89,33,0)</f>
        <v>#N/A</v>
      </c>
      <c r="AB191" s="975" t="e">
        <f>VLOOKUP(C191,'CHẤM CÔNG '!$D$12:$AL$89,34,0)</f>
        <v>#N/A</v>
      </c>
      <c r="AC191" s="975"/>
      <c r="AD191" s="975"/>
      <c r="AE191" s="975"/>
      <c r="AF191" s="975"/>
      <c r="AG191" s="975"/>
      <c r="AH191" s="975"/>
      <c r="AI191" s="975"/>
      <c r="AJ191" s="975"/>
      <c r="AK191" s="981"/>
      <c r="AL191" s="982" t="e">
        <f>VLOOKUP(C191,'sản lượng'!$D$12:$AM$89,38,0)</f>
        <v>#N/A</v>
      </c>
      <c r="AP191" s="944">
        <v>2</v>
      </c>
      <c r="AR191" s="944">
        <v>1</v>
      </c>
    </row>
    <row r="192" spans="1:44" ht="15.75">
      <c r="A192" s="957">
        <v>71</v>
      </c>
      <c r="B192" s="1640" t="str">
        <f>VLOOKUP(C192,'DS CN MOI UP'!$B$10:$C$389,2,0)</f>
        <v>02480</v>
      </c>
      <c r="C192" s="992" t="s">
        <v>493</v>
      </c>
      <c r="D192" s="957" t="s">
        <v>15</v>
      </c>
      <c r="E192" s="960">
        <f t="shared" si="36"/>
        <v>24</v>
      </c>
      <c r="F192" s="960"/>
      <c r="G192" s="960"/>
      <c r="H192" s="1110"/>
      <c r="I192" s="960"/>
      <c r="J192" s="960"/>
      <c r="K192" s="960"/>
      <c r="L192" s="960"/>
      <c r="M192" s="960"/>
      <c r="N192" s="960"/>
      <c r="O192" s="960"/>
      <c r="P192" s="960"/>
      <c r="Q192" s="960"/>
      <c r="R192" s="960"/>
      <c r="S192" s="975">
        <f t="shared" si="37"/>
        <v>24</v>
      </c>
      <c r="T192" s="975" t="e">
        <f>VLOOKUP(C192,'sản lượng'!$D$12:$AK$89,36,0)</f>
        <v>#N/A</v>
      </c>
      <c r="U192" s="975"/>
      <c r="V192" s="975"/>
      <c r="W192" s="975" t="e">
        <f>VLOOKUP(C192,'sản lượng'!$D$12:$AK$89,36,0)</f>
        <v>#N/A</v>
      </c>
      <c r="X192" s="975"/>
      <c r="Y192" s="975"/>
      <c r="Z192" s="975" t="e">
        <f t="shared" si="38"/>
        <v>#N/A</v>
      </c>
      <c r="AA192" s="975" t="e">
        <f>VLOOKUP(C192,'CHẤM CÔNG '!$D$12:$AL$89,33,0)</f>
        <v>#N/A</v>
      </c>
      <c r="AB192" s="975" t="e">
        <f>VLOOKUP(C192,'CHẤM CÔNG '!$D$12:$AL$89,34,0)</f>
        <v>#N/A</v>
      </c>
      <c r="AC192" s="975"/>
      <c r="AD192" s="975"/>
      <c r="AE192" s="975"/>
      <c r="AF192" s="975"/>
      <c r="AG192" s="975"/>
      <c r="AH192" s="975"/>
      <c r="AI192" s="975"/>
      <c r="AJ192" s="975"/>
      <c r="AK192" s="981"/>
      <c r="AL192" s="982" t="e">
        <f>VLOOKUP(C192,'sản lượng'!$D$12:$AM$89,38,0)</f>
        <v>#N/A</v>
      </c>
      <c r="AP192" s="944">
        <v>1</v>
      </c>
      <c r="AR192" s="944">
        <v>2</v>
      </c>
    </row>
    <row r="193" spans="1:44" ht="15.75">
      <c r="A193" s="957">
        <v>72</v>
      </c>
      <c r="B193" s="1640" t="str">
        <f>VLOOKUP(C193,'DS CN MOI UP'!$B$10:$C$389,2,0)</f>
        <v>02456</v>
      </c>
      <c r="C193" s="992" t="s">
        <v>89</v>
      </c>
      <c r="D193" s="957" t="s">
        <v>15</v>
      </c>
      <c r="E193" s="960">
        <f t="shared" si="36"/>
        <v>24</v>
      </c>
      <c r="F193" s="960"/>
      <c r="G193" s="960"/>
      <c r="H193" s="1110"/>
      <c r="I193" s="960"/>
      <c r="J193" s="960"/>
      <c r="K193" s="960"/>
      <c r="L193" s="960"/>
      <c r="M193" s="960"/>
      <c r="N193" s="960"/>
      <c r="O193" s="960"/>
      <c r="P193" s="960"/>
      <c r="Q193" s="960"/>
      <c r="R193" s="960"/>
      <c r="S193" s="975">
        <f t="shared" si="37"/>
        <v>24</v>
      </c>
      <c r="T193" s="975" t="e">
        <f>VLOOKUP(C193,'sản lượng'!$D$12:$AK$89,36,0)</f>
        <v>#N/A</v>
      </c>
      <c r="U193" s="975"/>
      <c r="V193" s="975"/>
      <c r="W193" s="975" t="e">
        <f>VLOOKUP(C193,'sản lượng'!$D$12:$AK$89,36,0)</f>
        <v>#N/A</v>
      </c>
      <c r="X193" s="975"/>
      <c r="Y193" s="975"/>
      <c r="Z193" s="975" t="e">
        <f t="shared" si="38"/>
        <v>#N/A</v>
      </c>
      <c r="AA193" s="975" t="e">
        <f>VLOOKUP(C193,'CHẤM CÔNG '!$D$12:$AL$89,33,0)</f>
        <v>#N/A</v>
      </c>
      <c r="AB193" s="975" t="e">
        <f>VLOOKUP(C193,'CHẤM CÔNG '!$D$12:$AL$89,34,0)</f>
        <v>#N/A</v>
      </c>
      <c r="AC193" s="975"/>
      <c r="AD193" s="975"/>
      <c r="AE193" s="975"/>
      <c r="AF193" s="975"/>
      <c r="AG193" s="975"/>
      <c r="AH193" s="975"/>
      <c r="AI193" s="975"/>
      <c r="AJ193" s="975"/>
      <c r="AK193" s="981"/>
      <c r="AL193" s="982" t="e">
        <f>VLOOKUP(C193,'sản lượng'!$D$12:$AM$89,38,0)</f>
        <v>#N/A</v>
      </c>
      <c r="AP193" s="944">
        <v>1</v>
      </c>
      <c r="AR193" s="944">
        <v>2</v>
      </c>
    </row>
    <row r="194" spans="1:44" ht="15.75">
      <c r="A194" s="957">
        <v>73</v>
      </c>
      <c r="B194" s="1640" t="str">
        <f>VLOOKUP(C194,'DS CN MOI UP'!$B$10:$C$389,2,0)</f>
        <v>02461</v>
      </c>
      <c r="C194" s="992" t="s">
        <v>90</v>
      </c>
      <c r="D194" s="957" t="s">
        <v>15</v>
      </c>
      <c r="E194" s="960">
        <f t="shared" si="36"/>
        <v>24</v>
      </c>
      <c r="F194" s="960"/>
      <c r="G194" s="960"/>
      <c r="H194" s="1110"/>
      <c r="I194" s="960"/>
      <c r="J194" s="960"/>
      <c r="K194" s="960"/>
      <c r="L194" s="960"/>
      <c r="M194" s="960"/>
      <c r="N194" s="960"/>
      <c r="O194" s="960"/>
      <c r="P194" s="960"/>
      <c r="Q194" s="960"/>
      <c r="R194" s="960"/>
      <c r="S194" s="975">
        <f t="shared" si="37"/>
        <v>24</v>
      </c>
      <c r="T194" s="975" t="e">
        <f>VLOOKUP(C194,'sản lượng'!$D$12:$AK$89,36,0)</f>
        <v>#N/A</v>
      </c>
      <c r="U194" s="975"/>
      <c r="V194" s="975"/>
      <c r="W194" s="975" t="e">
        <f>VLOOKUP(C194,'sản lượng'!$D$12:$AK$89,36,0)</f>
        <v>#N/A</v>
      </c>
      <c r="X194" s="975"/>
      <c r="Y194" s="975"/>
      <c r="Z194" s="975" t="e">
        <f t="shared" si="38"/>
        <v>#N/A</v>
      </c>
      <c r="AA194" s="975" t="e">
        <f>VLOOKUP(C194,'CHẤM CÔNG '!$D$12:$AL$89,33,0)</f>
        <v>#N/A</v>
      </c>
      <c r="AB194" s="975" t="e">
        <f>VLOOKUP(C194,'CHẤM CÔNG '!$D$12:$AL$89,34,0)</f>
        <v>#N/A</v>
      </c>
      <c r="AC194" s="975"/>
      <c r="AD194" s="975"/>
      <c r="AE194" s="975"/>
      <c r="AF194" s="975"/>
      <c r="AG194" s="975"/>
      <c r="AH194" s="975"/>
      <c r="AI194" s="975"/>
      <c r="AJ194" s="975"/>
      <c r="AK194" s="981"/>
      <c r="AL194" s="982" t="e">
        <f>VLOOKUP(C194,'sản lượng'!$D$12:$AM$89,38,0)</f>
        <v>#N/A</v>
      </c>
      <c r="AP194" s="944">
        <v>2</v>
      </c>
      <c r="AR194" s="944">
        <v>1</v>
      </c>
    </row>
    <row r="195" spans="1:44" ht="15.75">
      <c r="A195" s="957">
        <v>74</v>
      </c>
      <c r="B195" s="958" t="e">
        <f>VLOOKUP(C195,'DS CN MOI UP'!$B$10:$C$389,2,0)</f>
        <v>#N/A</v>
      </c>
      <c r="C195" s="992" t="s">
        <v>1671</v>
      </c>
      <c r="D195" s="957" t="s">
        <v>15</v>
      </c>
      <c r="E195" s="960">
        <f t="shared" si="36"/>
        <v>24</v>
      </c>
      <c r="F195" s="960"/>
      <c r="G195" s="960"/>
      <c r="H195" s="1110"/>
      <c r="I195" s="960"/>
      <c r="J195" s="960"/>
      <c r="K195" s="960"/>
      <c r="L195" s="960"/>
      <c r="M195" s="960"/>
      <c r="N195" s="960"/>
      <c r="O195" s="960"/>
      <c r="P195" s="960"/>
      <c r="Q195" s="960"/>
      <c r="R195" s="960"/>
      <c r="S195" s="975">
        <f t="shared" si="37"/>
        <v>24</v>
      </c>
      <c r="T195" s="975" t="e">
        <f>VLOOKUP(C195,'sản lượng'!$D$12:$AK$89,36,0)</f>
        <v>#N/A</v>
      </c>
      <c r="U195" s="975"/>
      <c r="V195" s="975"/>
      <c r="W195" s="975" t="e">
        <f>VLOOKUP(C195,'sản lượng'!$D$12:$AK$89,36,0)</f>
        <v>#N/A</v>
      </c>
      <c r="X195" s="975"/>
      <c r="Y195" s="975"/>
      <c r="Z195" s="975" t="e">
        <f t="shared" si="38"/>
        <v>#N/A</v>
      </c>
      <c r="AA195" s="975" t="e">
        <f>VLOOKUP(C195,'CHẤM CÔNG '!$D$12:$AL$89,33,0)</f>
        <v>#N/A</v>
      </c>
      <c r="AB195" s="975" t="e">
        <f>VLOOKUP(C195,'CHẤM CÔNG '!$D$12:$AL$89,34,0)</f>
        <v>#N/A</v>
      </c>
      <c r="AC195" s="975"/>
      <c r="AD195" s="975"/>
      <c r="AE195" s="975"/>
      <c r="AF195" s="975"/>
      <c r="AG195" s="975"/>
      <c r="AH195" s="975"/>
      <c r="AI195" s="975"/>
      <c r="AJ195" s="975"/>
      <c r="AK195" s="981"/>
      <c r="AL195" s="982" t="e">
        <f>VLOOKUP(C195,'sản lượng'!$D$12:$AM$89,38,0)</f>
        <v>#N/A</v>
      </c>
      <c r="AP195" s="944">
        <v>1</v>
      </c>
      <c r="AR195" s="944">
        <v>2</v>
      </c>
    </row>
    <row r="196" spans="1:44" ht="15.75">
      <c r="A196" s="957">
        <v>75</v>
      </c>
      <c r="B196" s="1640" t="str">
        <f>VLOOKUP(C196,'DS CN MOI UP'!$B$10:$C$389,2,0)</f>
        <v>03334</v>
      </c>
      <c r="C196" s="992" t="s">
        <v>64</v>
      </c>
      <c r="D196" s="957" t="s">
        <v>15</v>
      </c>
      <c r="E196" s="960">
        <f t="shared" si="36"/>
        <v>24</v>
      </c>
      <c r="F196" s="960"/>
      <c r="G196" s="960"/>
      <c r="H196" s="1110"/>
      <c r="I196" s="960"/>
      <c r="J196" s="960"/>
      <c r="K196" s="960"/>
      <c r="L196" s="960"/>
      <c r="M196" s="960"/>
      <c r="N196" s="960"/>
      <c r="O196" s="960"/>
      <c r="P196" s="960"/>
      <c r="Q196" s="960"/>
      <c r="R196" s="960"/>
      <c r="S196" s="975">
        <f t="shared" si="37"/>
        <v>24</v>
      </c>
      <c r="T196" s="975" t="e">
        <f>VLOOKUP(C196,'sản lượng'!$D$12:$AK$89,36,0)</f>
        <v>#N/A</v>
      </c>
      <c r="U196" s="975"/>
      <c r="V196" s="975"/>
      <c r="W196" s="975" t="e">
        <f>VLOOKUP(C196,'sản lượng'!$D$12:$AK$89,36,0)</f>
        <v>#N/A</v>
      </c>
      <c r="X196" s="975"/>
      <c r="Y196" s="975"/>
      <c r="Z196" s="975" t="e">
        <f t="shared" si="38"/>
        <v>#N/A</v>
      </c>
      <c r="AA196" s="975" t="e">
        <f>VLOOKUP(C196,'CHẤM CÔNG '!$D$12:$AL$89,33,0)</f>
        <v>#N/A</v>
      </c>
      <c r="AB196" s="975" t="e">
        <f>VLOOKUP(C196,'CHẤM CÔNG '!$D$12:$AL$89,34,0)</f>
        <v>#N/A</v>
      </c>
      <c r="AC196" s="975"/>
      <c r="AD196" s="975"/>
      <c r="AE196" s="975"/>
      <c r="AF196" s="975"/>
      <c r="AG196" s="975"/>
      <c r="AH196" s="975"/>
      <c r="AI196" s="975"/>
      <c r="AJ196" s="975"/>
      <c r="AK196" s="981"/>
      <c r="AL196" s="982" t="e">
        <f>VLOOKUP(C196,'sản lượng'!$D$12:$AM$89,38,0)</f>
        <v>#N/A</v>
      </c>
      <c r="AP196" s="944">
        <v>1</v>
      </c>
      <c r="AR196" s="944">
        <v>2</v>
      </c>
    </row>
    <row r="197" spans="1:44" ht="15.75">
      <c r="A197" s="957">
        <v>76</v>
      </c>
      <c r="B197" s="1640" t="str">
        <f>VLOOKUP(C197,'DS CN MOI UP'!$B$10:$C$389,2,0)</f>
        <v>02486</v>
      </c>
      <c r="C197" s="992" t="s">
        <v>65</v>
      </c>
      <c r="D197" s="957" t="s">
        <v>15</v>
      </c>
      <c r="E197" s="960">
        <f t="shared" si="36"/>
        <v>24</v>
      </c>
      <c r="F197" s="960"/>
      <c r="G197" s="960"/>
      <c r="H197" s="1110"/>
      <c r="I197" s="960"/>
      <c r="J197" s="960"/>
      <c r="K197" s="960"/>
      <c r="L197" s="960"/>
      <c r="M197" s="960"/>
      <c r="N197" s="960"/>
      <c r="O197" s="960"/>
      <c r="P197" s="960"/>
      <c r="Q197" s="960"/>
      <c r="R197" s="960"/>
      <c r="S197" s="975">
        <f t="shared" si="37"/>
        <v>24</v>
      </c>
      <c r="T197" s="975" t="e">
        <f>VLOOKUP(C197,'sản lượng'!$D$12:$AK$89,36,0)</f>
        <v>#N/A</v>
      </c>
      <c r="U197" s="975"/>
      <c r="V197" s="975"/>
      <c r="W197" s="975" t="e">
        <f>VLOOKUP(C197,'sản lượng'!$D$12:$AK$89,36,0)</f>
        <v>#N/A</v>
      </c>
      <c r="X197" s="975"/>
      <c r="Y197" s="975"/>
      <c r="Z197" s="975" t="e">
        <f t="shared" si="38"/>
        <v>#N/A</v>
      </c>
      <c r="AA197" s="975" t="e">
        <f>VLOOKUP(C197,'CHẤM CÔNG '!$D$12:$AL$89,33,0)</f>
        <v>#N/A</v>
      </c>
      <c r="AB197" s="975" t="e">
        <f>VLOOKUP(C197,'CHẤM CÔNG '!$D$12:$AL$89,34,0)</f>
        <v>#N/A</v>
      </c>
      <c r="AC197" s="975"/>
      <c r="AD197" s="975"/>
      <c r="AE197" s="975"/>
      <c r="AF197" s="975"/>
      <c r="AG197" s="975"/>
      <c r="AH197" s="975"/>
      <c r="AI197" s="975"/>
      <c r="AJ197" s="975"/>
      <c r="AK197" s="981"/>
      <c r="AL197" s="982" t="e">
        <f>VLOOKUP(C197,'sản lượng'!$D$12:$AM$89,38,0)</f>
        <v>#N/A</v>
      </c>
      <c r="AP197" s="944">
        <v>1</v>
      </c>
      <c r="AR197" s="944">
        <v>2</v>
      </c>
    </row>
    <row r="198" spans="1:44" ht="15.75">
      <c r="A198" s="957">
        <v>77</v>
      </c>
      <c r="B198" s="1640" t="str">
        <f>VLOOKUP(C198,'DS CN MOI UP'!$B$10:$C$389,2,0)</f>
        <v>02680</v>
      </c>
      <c r="C198" s="992" t="s">
        <v>91</v>
      </c>
      <c r="D198" s="957" t="s">
        <v>15</v>
      </c>
      <c r="E198" s="960">
        <f t="shared" si="36"/>
        <v>24</v>
      </c>
      <c r="F198" s="960"/>
      <c r="G198" s="960"/>
      <c r="H198" s="1110"/>
      <c r="I198" s="960"/>
      <c r="J198" s="960"/>
      <c r="K198" s="960"/>
      <c r="L198" s="960"/>
      <c r="M198" s="960"/>
      <c r="N198" s="960"/>
      <c r="O198" s="960"/>
      <c r="P198" s="960"/>
      <c r="Q198" s="960"/>
      <c r="R198" s="960"/>
      <c r="S198" s="975">
        <f t="shared" si="37"/>
        <v>24</v>
      </c>
      <c r="T198" s="975" t="e">
        <f>VLOOKUP(C198,'sản lượng'!$D$12:$AK$89,36,0)</f>
        <v>#N/A</v>
      </c>
      <c r="U198" s="975"/>
      <c r="V198" s="975"/>
      <c r="W198" s="975" t="e">
        <f>VLOOKUP(C198,'sản lượng'!$D$12:$AK$89,36,0)</f>
        <v>#N/A</v>
      </c>
      <c r="X198" s="975"/>
      <c r="Y198" s="975"/>
      <c r="Z198" s="975" t="e">
        <f t="shared" si="38"/>
        <v>#N/A</v>
      </c>
      <c r="AA198" s="975" t="e">
        <f>VLOOKUP(C198,'CHẤM CÔNG '!$D$12:$AL$89,33,0)</f>
        <v>#N/A</v>
      </c>
      <c r="AB198" s="975" t="e">
        <f>VLOOKUP(C198,'CHẤM CÔNG '!$D$12:$AL$89,34,0)</f>
        <v>#N/A</v>
      </c>
      <c r="AC198" s="975"/>
      <c r="AD198" s="975"/>
      <c r="AE198" s="975"/>
      <c r="AF198" s="975"/>
      <c r="AG198" s="975"/>
      <c r="AH198" s="975"/>
      <c r="AI198" s="975"/>
      <c r="AJ198" s="975"/>
      <c r="AK198" s="981"/>
      <c r="AL198" s="982" t="e">
        <f>VLOOKUP(C198,'sản lượng'!$D$12:$AM$89,38,0)</f>
        <v>#N/A</v>
      </c>
      <c r="AP198" s="944">
        <v>1</v>
      </c>
      <c r="AR198" s="944">
        <v>2</v>
      </c>
    </row>
    <row r="199" spans="1:44" ht="15.75">
      <c r="A199" s="957">
        <v>78</v>
      </c>
      <c r="B199" s="1640" t="str">
        <f>VLOOKUP(C199,'DS CN MOI UP'!$B$10:$C$389,2,0)</f>
        <v>02497</v>
      </c>
      <c r="C199" s="992" t="s">
        <v>102</v>
      </c>
      <c r="D199" s="957" t="s">
        <v>15</v>
      </c>
      <c r="E199" s="960">
        <f t="shared" si="36"/>
        <v>24</v>
      </c>
      <c r="F199" s="960"/>
      <c r="G199" s="960"/>
      <c r="H199" s="1110"/>
      <c r="I199" s="960"/>
      <c r="J199" s="960"/>
      <c r="K199" s="960"/>
      <c r="L199" s="960"/>
      <c r="M199" s="960"/>
      <c r="N199" s="960"/>
      <c r="O199" s="960"/>
      <c r="P199" s="960"/>
      <c r="Q199" s="960"/>
      <c r="R199" s="960"/>
      <c r="S199" s="975">
        <f t="shared" si="37"/>
        <v>24</v>
      </c>
      <c r="T199" s="975" t="e">
        <f>VLOOKUP(C199,'sản lượng'!$D$12:$AK$89,36,0)</f>
        <v>#N/A</v>
      </c>
      <c r="U199" s="975"/>
      <c r="V199" s="975"/>
      <c r="W199" s="975" t="e">
        <f>VLOOKUP(C199,'sản lượng'!$D$12:$AK$89,36,0)</f>
        <v>#N/A</v>
      </c>
      <c r="X199" s="975"/>
      <c r="Y199" s="975"/>
      <c r="Z199" s="975" t="e">
        <f t="shared" si="38"/>
        <v>#N/A</v>
      </c>
      <c r="AA199" s="975" t="e">
        <f>VLOOKUP(C199,'CHẤM CÔNG '!$D$12:$AL$89,33,0)</f>
        <v>#N/A</v>
      </c>
      <c r="AB199" s="975" t="e">
        <f>VLOOKUP(C199,'CHẤM CÔNG '!$D$12:$AL$89,34,0)</f>
        <v>#N/A</v>
      </c>
      <c r="AC199" s="975"/>
      <c r="AD199" s="975"/>
      <c r="AE199" s="975"/>
      <c r="AF199" s="975"/>
      <c r="AG199" s="975"/>
      <c r="AH199" s="975"/>
      <c r="AI199" s="975"/>
      <c r="AJ199" s="975"/>
      <c r="AK199" s="981"/>
      <c r="AL199" s="982" t="e">
        <f>VLOOKUP(C199,'sản lượng'!$D$12:$AM$89,38,0)</f>
        <v>#N/A</v>
      </c>
      <c r="AP199" s="944">
        <v>1</v>
      </c>
      <c r="AR199" s="944">
        <v>2</v>
      </c>
    </row>
    <row r="200" spans="1:44" ht="15.75">
      <c r="A200" s="957">
        <v>79</v>
      </c>
      <c r="B200" s="1640" t="str">
        <f>VLOOKUP(C200,'DS CN MOI UP'!$B$10:$C$389,2,0)</f>
        <v>02464</v>
      </c>
      <c r="C200" s="992" t="s">
        <v>88</v>
      </c>
      <c r="D200" s="957" t="s">
        <v>15</v>
      </c>
      <c r="E200" s="960">
        <f t="shared" si="36"/>
        <v>24</v>
      </c>
      <c r="F200" s="960"/>
      <c r="G200" s="960"/>
      <c r="H200" s="1110"/>
      <c r="I200" s="960"/>
      <c r="J200" s="960"/>
      <c r="K200" s="960"/>
      <c r="L200" s="960"/>
      <c r="M200" s="960"/>
      <c r="N200" s="960"/>
      <c r="O200" s="960"/>
      <c r="P200" s="960"/>
      <c r="Q200" s="960"/>
      <c r="R200" s="960"/>
      <c r="S200" s="975">
        <f t="shared" si="37"/>
        <v>24</v>
      </c>
      <c r="T200" s="975" t="e">
        <f>VLOOKUP(C200,'sản lượng'!$D$12:$AK$89,36,0)</f>
        <v>#N/A</v>
      </c>
      <c r="U200" s="975"/>
      <c r="V200" s="975"/>
      <c r="W200" s="975" t="e">
        <f>VLOOKUP(C200,'sản lượng'!$D$12:$AK$89,36,0)</f>
        <v>#N/A</v>
      </c>
      <c r="X200" s="975"/>
      <c r="Y200" s="975"/>
      <c r="Z200" s="975" t="e">
        <f t="shared" si="38"/>
        <v>#N/A</v>
      </c>
      <c r="AA200" s="975" t="e">
        <f>VLOOKUP(C200,'CHẤM CÔNG '!$D$12:$AL$89,33,0)</f>
        <v>#N/A</v>
      </c>
      <c r="AB200" s="975" t="e">
        <f>VLOOKUP(C200,'CHẤM CÔNG '!$D$12:$AL$89,34,0)</f>
        <v>#N/A</v>
      </c>
      <c r="AC200" s="975"/>
      <c r="AD200" s="975"/>
      <c r="AE200" s="975"/>
      <c r="AF200" s="975"/>
      <c r="AG200" s="975"/>
      <c r="AH200" s="975"/>
      <c r="AI200" s="975"/>
      <c r="AJ200" s="975"/>
      <c r="AK200" s="981"/>
      <c r="AL200" s="982" t="e">
        <f>VLOOKUP(C200,'sản lượng'!$D$12:$AM$89,38,0)</f>
        <v>#N/A</v>
      </c>
      <c r="AP200" s="944">
        <v>1</v>
      </c>
      <c r="AR200" s="944">
        <v>2</v>
      </c>
    </row>
    <row r="201" spans="1:44" ht="15.75">
      <c r="A201" s="957">
        <v>80</v>
      </c>
      <c r="B201" s="958" t="e">
        <f>VLOOKUP(C201,'DS CN MOI UP'!$B$10:$C$389,2,0)</f>
        <v>#N/A</v>
      </c>
      <c r="C201" s="992" t="s">
        <v>1292</v>
      </c>
      <c r="D201" s="957" t="s">
        <v>15</v>
      </c>
      <c r="E201" s="960">
        <f t="shared" si="36"/>
        <v>24</v>
      </c>
      <c r="F201" s="960"/>
      <c r="G201" s="960"/>
      <c r="H201" s="1110"/>
      <c r="I201" s="960"/>
      <c r="J201" s="960"/>
      <c r="K201" s="960"/>
      <c r="L201" s="960"/>
      <c r="M201" s="960"/>
      <c r="N201" s="960"/>
      <c r="O201" s="960"/>
      <c r="P201" s="960"/>
      <c r="Q201" s="960"/>
      <c r="R201" s="960"/>
      <c r="S201" s="975">
        <f t="shared" si="37"/>
        <v>24</v>
      </c>
      <c r="T201" s="975" t="e">
        <f>VLOOKUP(C201,'sản lượng'!$D$12:$AK$89,36,0)</f>
        <v>#N/A</v>
      </c>
      <c r="U201" s="975"/>
      <c r="V201" s="975"/>
      <c r="W201" s="975" t="e">
        <f>VLOOKUP(C201,'sản lượng'!$D$12:$AK$89,36,0)</f>
        <v>#N/A</v>
      </c>
      <c r="X201" s="975"/>
      <c r="Y201" s="975"/>
      <c r="Z201" s="975" t="e">
        <f t="shared" si="38"/>
        <v>#N/A</v>
      </c>
      <c r="AA201" s="975" t="e">
        <f>VLOOKUP(C201,'CHẤM CÔNG '!$D$12:$AL$89,33,0)</f>
        <v>#N/A</v>
      </c>
      <c r="AB201" s="975" t="e">
        <f>VLOOKUP(C201,'CHẤM CÔNG '!$D$12:$AL$89,34,0)</f>
        <v>#N/A</v>
      </c>
      <c r="AC201" s="975"/>
      <c r="AD201" s="975"/>
      <c r="AE201" s="975"/>
      <c r="AF201" s="975"/>
      <c r="AG201" s="975"/>
      <c r="AH201" s="975"/>
      <c r="AI201" s="975"/>
      <c r="AJ201" s="975"/>
      <c r="AK201" s="981"/>
      <c r="AL201" s="982" t="e">
        <f>VLOOKUP(C201,'sản lượng'!$D$12:$AM$89,38,0)</f>
        <v>#N/A</v>
      </c>
      <c r="AP201" s="944">
        <v>1</v>
      </c>
      <c r="AR201" s="944">
        <v>2</v>
      </c>
    </row>
    <row r="202" spans="1:44" ht="15.75">
      <c r="A202" s="957">
        <v>81</v>
      </c>
      <c r="B202" s="1640" t="str">
        <f>VLOOKUP(C202,'DS CN MOI UP'!$B$10:$C$389,2,0)</f>
        <v>02460</v>
      </c>
      <c r="C202" s="992" t="s">
        <v>74</v>
      </c>
      <c r="D202" s="957" t="s">
        <v>15</v>
      </c>
      <c r="E202" s="960">
        <f t="shared" si="36"/>
        <v>24</v>
      </c>
      <c r="F202" s="960"/>
      <c r="G202" s="960"/>
      <c r="H202" s="1110"/>
      <c r="I202" s="960"/>
      <c r="J202" s="960"/>
      <c r="K202" s="960"/>
      <c r="L202" s="960"/>
      <c r="M202" s="960"/>
      <c r="N202" s="960"/>
      <c r="O202" s="960"/>
      <c r="P202" s="960"/>
      <c r="Q202" s="960"/>
      <c r="R202" s="960"/>
      <c r="S202" s="975">
        <f t="shared" si="37"/>
        <v>24</v>
      </c>
      <c r="T202" s="975" t="e">
        <f>VLOOKUP(C202,'sản lượng'!$D$12:$AK$89,36,0)</f>
        <v>#N/A</v>
      </c>
      <c r="U202" s="975"/>
      <c r="V202" s="975"/>
      <c r="W202" s="975" t="e">
        <f>VLOOKUP(C202,'sản lượng'!$D$12:$AK$89,36,0)</f>
        <v>#N/A</v>
      </c>
      <c r="X202" s="975"/>
      <c r="Y202" s="975"/>
      <c r="Z202" s="975" t="e">
        <f t="shared" si="38"/>
        <v>#N/A</v>
      </c>
      <c r="AA202" s="975" t="e">
        <f>VLOOKUP(C202,'CHẤM CÔNG '!$D$12:$AL$89,33,0)</f>
        <v>#N/A</v>
      </c>
      <c r="AB202" s="975" t="e">
        <f>VLOOKUP(C202,'CHẤM CÔNG '!$D$12:$AL$89,34,0)</f>
        <v>#N/A</v>
      </c>
      <c r="AC202" s="975"/>
      <c r="AD202" s="975"/>
      <c r="AE202" s="975"/>
      <c r="AF202" s="975"/>
      <c r="AG202" s="975"/>
      <c r="AH202" s="975"/>
      <c r="AI202" s="975"/>
      <c r="AJ202" s="975"/>
      <c r="AK202" s="981"/>
      <c r="AL202" s="982" t="e">
        <f>VLOOKUP(C202,'sản lượng'!$D$12:$AM$89,38,0)</f>
        <v>#N/A</v>
      </c>
      <c r="AP202" s="944">
        <v>1</v>
      </c>
      <c r="AR202" s="944">
        <v>2</v>
      </c>
    </row>
    <row r="203" spans="1:44" ht="15.75">
      <c r="A203" s="957">
        <v>82</v>
      </c>
      <c r="B203" s="1640" t="str">
        <f>VLOOKUP(C203,'DS CN MOI UP'!$B$10:$C$389,2,0)</f>
        <v>02504</v>
      </c>
      <c r="C203" s="992" t="s">
        <v>77</v>
      </c>
      <c r="D203" s="957" t="s">
        <v>15</v>
      </c>
      <c r="E203" s="960">
        <f t="shared" si="36"/>
        <v>24</v>
      </c>
      <c r="F203" s="960"/>
      <c r="G203" s="960"/>
      <c r="H203" s="1110"/>
      <c r="I203" s="960"/>
      <c r="J203" s="960"/>
      <c r="K203" s="960"/>
      <c r="L203" s="960"/>
      <c r="M203" s="960"/>
      <c r="N203" s="960"/>
      <c r="O203" s="960"/>
      <c r="P203" s="960"/>
      <c r="Q203" s="960"/>
      <c r="R203" s="960"/>
      <c r="S203" s="975">
        <f t="shared" si="37"/>
        <v>24</v>
      </c>
      <c r="T203" s="975" t="e">
        <f>VLOOKUP(C203,'sản lượng'!$D$12:$AK$89,36,0)</f>
        <v>#N/A</v>
      </c>
      <c r="U203" s="975"/>
      <c r="V203" s="975"/>
      <c r="W203" s="975" t="e">
        <f>VLOOKUP(C203,'sản lượng'!$D$12:$AK$89,36,0)</f>
        <v>#N/A</v>
      </c>
      <c r="X203" s="975"/>
      <c r="Y203" s="975"/>
      <c r="Z203" s="975" t="e">
        <f t="shared" si="38"/>
        <v>#N/A</v>
      </c>
      <c r="AA203" s="975" t="e">
        <f>VLOOKUP(C203,'CHẤM CÔNG '!$D$12:$AL$89,33,0)</f>
        <v>#N/A</v>
      </c>
      <c r="AB203" s="975" t="e">
        <f>VLOOKUP(C203,'CHẤM CÔNG '!$D$12:$AL$89,34,0)</f>
        <v>#N/A</v>
      </c>
      <c r="AC203" s="975"/>
      <c r="AD203" s="975"/>
      <c r="AE203" s="975"/>
      <c r="AF203" s="975"/>
      <c r="AG203" s="975"/>
      <c r="AH203" s="975"/>
      <c r="AI203" s="975"/>
      <c r="AJ203" s="975"/>
      <c r="AK203" s="981"/>
      <c r="AL203" s="982" t="e">
        <f>VLOOKUP(C203,'sản lượng'!$D$12:$AM$89,38,0)</f>
        <v>#N/A</v>
      </c>
      <c r="AP203" s="944">
        <v>1</v>
      </c>
      <c r="AR203" s="944">
        <v>2</v>
      </c>
    </row>
    <row r="204" spans="1:44" ht="15.75">
      <c r="A204" s="957">
        <v>83</v>
      </c>
      <c r="B204" s="1640" t="str">
        <f>VLOOKUP(C204,'DS CN MOI UP'!$B$10:$C$389,2,0)</f>
        <v>02481</v>
      </c>
      <c r="C204" s="992" t="s">
        <v>86</v>
      </c>
      <c r="D204" s="957" t="s">
        <v>15</v>
      </c>
      <c r="E204" s="960">
        <f t="shared" si="36"/>
        <v>24</v>
      </c>
      <c r="F204" s="960"/>
      <c r="G204" s="960"/>
      <c r="H204" s="1110"/>
      <c r="I204" s="960"/>
      <c r="J204" s="960"/>
      <c r="K204" s="960"/>
      <c r="L204" s="960"/>
      <c r="M204" s="960"/>
      <c r="N204" s="960"/>
      <c r="O204" s="960"/>
      <c r="P204" s="960"/>
      <c r="Q204" s="960"/>
      <c r="R204" s="960"/>
      <c r="S204" s="975">
        <f t="shared" si="37"/>
        <v>24</v>
      </c>
      <c r="T204" s="975" t="e">
        <f>VLOOKUP(C204,'sản lượng'!$D$12:$AK$89,36,0)</f>
        <v>#N/A</v>
      </c>
      <c r="U204" s="975"/>
      <c r="V204" s="975"/>
      <c r="W204" s="975" t="e">
        <f>VLOOKUP(C204,'sản lượng'!$D$12:$AK$89,36,0)</f>
        <v>#N/A</v>
      </c>
      <c r="X204" s="975"/>
      <c r="Y204" s="975"/>
      <c r="Z204" s="975" t="e">
        <f t="shared" si="38"/>
        <v>#N/A</v>
      </c>
      <c r="AA204" s="975" t="e">
        <f>VLOOKUP(C204,'CHẤM CÔNG '!$D$12:$AL$89,33,0)</f>
        <v>#N/A</v>
      </c>
      <c r="AB204" s="975" t="e">
        <f>VLOOKUP(C204,'CHẤM CÔNG '!$D$12:$AL$89,34,0)</f>
        <v>#N/A</v>
      </c>
      <c r="AC204" s="975"/>
      <c r="AD204" s="975"/>
      <c r="AE204" s="975"/>
      <c r="AF204" s="975"/>
      <c r="AG204" s="975"/>
      <c r="AH204" s="975"/>
      <c r="AI204" s="975"/>
      <c r="AJ204" s="975"/>
      <c r="AK204" s="981"/>
      <c r="AL204" s="982" t="e">
        <f>VLOOKUP(C204,'sản lượng'!$D$12:$AM$89,38,0)</f>
        <v>#N/A</v>
      </c>
      <c r="AP204" s="944">
        <v>2</v>
      </c>
      <c r="AR204" s="944">
        <v>1</v>
      </c>
    </row>
    <row r="205" spans="1:44" ht="15.75">
      <c r="A205" s="957">
        <v>84</v>
      </c>
      <c r="B205" s="1640" t="str">
        <f>VLOOKUP(C205,'DS CN MOI UP'!$B$10:$C$389,2,0)</f>
        <v>02492</v>
      </c>
      <c r="C205" s="992" t="s">
        <v>30</v>
      </c>
      <c r="D205" s="957" t="s">
        <v>15</v>
      </c>
      <c r="E205" s="960">
        <f t="shared" si="36"/>
        <v>24</v>
      </c>
      <c r="F205" s="960"/>
      <c r="G205" s="960"/>
      <c r="H205" s="1110"/>
      <c r="I205" s="960"/>
      <c r="J205" s="960"/>
      <c r="K205" s="960"/>
      <c r="L205" s="960"/>
      <c r="M205" s="960"/>
      <c r="N205" s="960"/>
      <c r="O205" s="960"/>
      <c r="P205" s="960"/>
      <c r="Q205" s="960"/>
      <c r="R205" s="960"/>
      <c r="S205" s="975">
        <f t="shared" si="37"/>
        <v>24</v>
      </c>
      <c r="T205" s="975" t="e">
        <f>VLOOKUP(C205,'sản lượng'!$D$12:$AK$89,36,0)</f>
        <v>#N/A</v>
      </c>
      <c r="U205" s="975"/>
      <c r="V205" s="975"/>
      <c r="W205" s="975" t="e">
        <f>VLOOKUP(C205,'sản lượng'!$D$12:$AK$89,36,0)</f>
        <v>#N/A</v>
      </c>
      <c r="X205" s="975"/>
      <c r="Y205" s="975"/>
      <c r="Z205" s="975" t="e">
        <f t="shared" si="38"/>
        <v>#N/A</v>
      </c>
      <c r="AA205" s="975" t="e">
        <f>VLOOKUP(C205,'CHẤM CÔNG '!$D$12:$AL$89,33,0)</f>
        <v>#N/A</v>
      </c>
      <c r="AB205" s="975" t="e">
        <f>VLOOKUP(C205,'CHẤM CÔNG '!$D$12:$AL$89,34,0)</f>
        <v>#N/A</v>
      </c>
      <c r="AC205" s="975"/>
      <c r="AD205" s="975"/>
      <c r="AE205" s="975"/>
      <c r="AF205" s="975"/>
      <c r="AG205" s="975"/>
      <c r="AH205" s="975"/>
      <c r="AI205" s="975"/>
      <c r="AJ205" s="975"/>
      <c r="AK205" s="981"/>
      <c r="AL205" s="982" t="e">
        <f>VLOOKUP(C205,'sản lượng'!$D$12:$AM$89,38,0)</f>
        <v>#N/A</v>
      </c>
      <c r="AP205" s="944">
        <v>1</v>
      </c>
      <c r="AR205" s="944">
        <v>2</v>
      </c>
    </row>
    <row r="206" spans="1:44" ht="15.75">
      <c r="A206" s="957">
        <v>85</v>
      </c>
      <c r="B206" s="1640" t="str">
        <f>VLOOKUP(C206,'DS CN MOI UP'!$B$10:$C$389,2,0)</f>
        <v>02470</v>
      </c>
      <c r="C206" s="992" t="s">
        <v>44</v>
      </c>
      <c r="D206" s="957" t="s">
        <v>15</v>
      </c>
      <c r="E206" s="960">
        <f t="shared" si="36"/>
        <v>24</v>
      </c>
      <c r="F206" s="960"/>
      <c r="G206" s="960"/>
      <c r="H206" s="1110"/>
      <c r="I206" s="960"/>
      <c r="J206" s="960"/>
      <c r="K206" s="960"/>
      <c r="L206" s="960"/>
      <c r="M206" s="960"/>
      <c r="N206" s="960"/>
      <c r="O206" s="960"/>
      <c r="P206" s="960"/>
      <c r="Q206" s="960"/>
      <c r="R206" s="960"/>
      <c r="S206" s="975">
        <f t="shared" si="37"/>
        <v>24</v>
      </c>
      <c r="T206" s="975" t="e">
        <f>VLOOKUP(C206,'sản lượng'!$D$12:$AK$89,36,0)</f>
        <v>#N/A</v>
      </c>
      <c r="U206" s="975"/>
      <c r="V206" s="975"/>
      <c r="W206" s="975" t="e">
        <f>VLOOKUP(C206,'sản lượng'!$D$12:$AK$89,36,0)</f>
        <v>#N/A</v>
      </c>
      <c r="X206" s="975"/>
      <c r="Y206" s="975"/>
      <c r="Z206" s="975" t="e">
        <f t="shared" si="38"/>
        <v>#N/A</v>
      </c>
      <c r="AA206" s="975" t="e">
        <f>VLOOKUP(C206,'CHẤM CÔNG '!$D$12:$AL$89,33,0)</f>
        <v>#N/A</v>
      </c>
      <c r="AB206" s="975" t="e">
        <f>VLOOKUP(C206,'CHẤM CÔNG '!$D$12:$AL$89,34,0)</f>
        <v>#N/A</v>
      </c>
      <c r="AC206" s="975"/>
      <c r="AD206" s="975"/>
      <c r="AE206" s="975"/>
      <c r="AF206" s="975"/>
      <c r="AG206" s="975"/>
      <c r="AH206" s="975"/>
      <c r="AI206" s="975"/>
      <c r="AJ206" s="975"/>
      <c r="AK206" s="981"/>
      <c r="AL206" s="982" t="e">
        <f>VLOOKUP(C206,'sản lượng'!$D$12:$AM$89,38,0)</f>
        <v>#N/A</v>
      </c>
      <c r="AP206" s="944">
        <v>1</v>
      </c>
      <c r="AR206" s="944">
        <v>2</v>
      </c>
    </row>
    <row r="207" spans="1:44" ht="15.75">
      <c r="A207" s="957">
        <v>86</v>
      </c>
      <c r="B207" s="1640" t="str">
        <f>VLOOKUP(C207,'DS CN MOI UP'!$B$10:$C$389,2,0)</f>
        <v>03330</v>
      </c>
      <c r="C207" s="992" t="s">
        <v>46</v>
      </c>
      <c r="D207" s="957" t="s">
        <v>15</v>
      </c>
      <c r="E207" s="960">
        <f t="shared" si="36"/>
        <v>24</v>
      </c>
      <c r="F207" s="960"/>
      <c r="G207" s="960"/>
      <c r="H207" s="1110"/>
      <c r="I207" s="960"/>
      <c r="J207" s="960"/>
      <c r="K207" s="960"/>
      <c r="L207" s="960"/>
      <c r="M207" s="960"/>
      <c r="N207" s="960"/>
      <c r="O207" s="960"/>
      <c r="P207" s="960"/>
      <c r="Q207" s="960"/>
      <c r="R207" s="960"/>
      <c r="S207" s="975">
        <f t="shared" ref="S207:S228" si="39">SUM(E207:N207)</f>
        <v>24</v>
      </c>
      <c r="T207" s="975" t="e">
        <f>VLOOKUP(C207,'sản lượng'!$D$12:$AK$89,36,0)</f>
        <v>#N/A</v>
      </c>
      <c r="U207" s="975"/>
      <c r="V207" s="975"/>
      <c r="W207" s="975" t="e">
        <f>VLOOKUP(C207,'sản lượng'!$D$12:$AK$89,36,0)</f>
        <v>#N/A</v>
      </c>
      <c r="X207" s="975"/>
      <c r="Y207" s="975"/>
      <c r="Z207" s="975" t="e">
        <f t="shared" si="38"/>
        <v>#N/A</v>
      </c>
      <c r="AA207" s="975" t="e">
        <f>VLOOKUP(C207,'CHẤM CÔNG '!$D$12:$AL$89,33,0)</f>
        <v>#N/A</v>
      </c>
      <c r="AB207" s="975" t="e">
        <f>VLOOKUP(C207,'CHẤM CÔNG '!$D$12:$AL$89,34,0)</f>
        <v>#N/A</v>
      </c>
      <c r="AC207" s="975"/>
      <c r="AD207" s="975"/>
      <c r="AE207" s="975"/>
      <c r="AF207" s="975"/>
      <c r="AG207" s="975"/>
      <c r="AH207" s="975"/>
      <c r="AI207" s="975"/>
      <c r="AJ207" s="975"/>
      <c r="AK207" s="981"/>
      <c r="AL207" s="982" t="e">
        <f>VLOOKUP(C207,'sản lượng'!$D$12:$AM$89,38,0)</f>
        <v>#N/A</v>
      </c>
      <c r="AP207" s="944">
        <v>1</v>
      </c>
      <c r="AR207" s="944">
        <v>2</v>
      </c>
    </row>
    <row r="208" spans="1:44" ht="15.75">
      <c r="A208" s="957">
        <v>87</v>
      </c>
      <c r="B208" s="958">
        <v>3</v>
      </c>
      <c r="C208" s="992" t="s">
        <v>1245</v>
      </c>
      <c r="D208" s="957" t="s">
        <v>1713</v>
      </c>
      <c r="E208" s="960"/>
      <c r="F208" s="960"/>
      <c r="G208" s="960"/>
      <c r="H208" s="1110"/>
      <c r="I208" s="1139"/>
      <c r="J208" s="960"/>
      <c r="K208" s="960"/>
      <c r="L208" s="960"/>
      <c r="M208" s="960"/>
      <c r="N208" s="960"/>
      <c r="O208" s="960"/>
      <c r="P208" s="960"/>
      <c r="Q208" s="960"/>
      <c r="R208" s="960"/>
      <c r="S208" s="975">
        <f>SUM(E208:R208)</f>
        <v>0</v>
      </c>
      <c r="T208" s="975"/>
      <c r="U208" s="975"/>
      <c r="V208" s="975"/>
      <c r="W208" s="975"/>
      <c r="X208" s="975"/>
      <c r="Y208" s="975"/>
      <c r="Z208" s="975">
        <f>W208*$AN$9/$AN$8+X208*$AN$10+$AN$11*Y208</f>
        <v>0</v>
      </c>
      <c r="AA208" s="975"/>
      <c r="AB208" s="975"/>
      <c r="AC208" s="975"/>
      <c r="AD208" s="975"/>
      <c r="AE208" s="975"/>
      <c r="AF208" s="975"/>
      <c r="AG208" s="975"/>
      <c r="AH208" s="975"/>
      <c r="AI208" s="975"/>
      <c r="AJ208" s="975"/>
      <c r="AK208" s="981"/>
      <c r="AL208" s="982" t="e">
        <f>VLOOKUP(C208,'sản lượng'!$D$12:$AM$89,38,0)</f>
        <v>#REF!</v>
      </c>
    </row>
    <row r="209" spans="1:44" s="334" customFormat="1">
      <c r="A209" s="1134" t="s">
        <v>2652</v>
      </c>
      <c r="B209" s="958" t="e">
        <f>VLOOKUP(C209,'DS CN MOI UP'!$B$10:$C$389,2,0)</f>
        <v>#N/A</v>
      </c>
      <c r="C209" s="1135"/>
      <c r="D209" s="1136"/>
      <c r="E209" s="1137">
        <f t="shared" ref="E209:AE209" si="40">SUM(E210:E220)</f>
        <v>264</v>
      </c>
      <c r="F209" s="1137">
        <f t="shared" si="40"/>
        <v>0</v>
      </c>
      <c r="G209" s="1137">
        <f t="shared" si="40"/>
        <v>0</v>
      </c>
      <c r="H209" s="1138">
        <f t="shared" si="40"/>
        <v>0</v>
      </c>
      <c r="I209" s="1137">
        <f t="shared" si="40"/>
        <v>0</v>
      </c>
      <c r="J209" s="1137">
        <f t="shared" si="40"/>
        <v>0</v>
      </c>
      <c r="K209" s="1137">
        <f t="shared" si="40"/>
        <v>0</v>
      </c>
      <c r="L209" s="1137">
        <f t="shared" si="40"/>
        <v>0</v>
      </c>
      <c r="M209" s="1137">
        <f t="shared" si="40"/>
        <v>0</v>
      </c>
      <c r="N209" s="1137">
        <f t="shared" si="40"/>
        <v>0</v>
      </c>
      <c r="O209" s="1137">
        <f t="shared" si="40"/>
        <v>0</v>
      </c>
      <c r="P209" s="1137">
        <f t="shared" si="40"/>
        <v>0</v>
      </c>
      <c r="Q209" s="1137">
        <f t="shared" si="40"/>
        <v>0</v>
      </c>
      <c r="R209" s="1137">
        <f t="shared" si="40"/>
        <v>0</v>
      </c>
      <c r="S209" s="1137">
        <f t="shared" si="40"/>
        <v>264</v>
      </c>
      <c r="T209" s="1137" t="e">
        <f t="shared" si="40"/>
        <v>#N/A</v>
      </c>
      <c r="U209" s="1137">
        <f t="shared" si="40"/>
        <v>0</v>
      </c>
      <c r="V209" s="1137" t="e">
        <f t="shared" si="40"/>
        <v>#REF!</v>
      </c>
      <c r="W209" s="1137" t="e">
        <f t="shared" si="40"/>
        <v>#N/A</v>
      </c>
      <c r="X209" s="1137"/>
      <c r="Y209" s="1137"/>
      <c r="Z209" s="1137" t="e">
        <f t="shared" ref="Z209:AA209" si="41">SUM(Z210:Z220)</f>
        <v>#N/A</v>
      </c>
      <c r="AA209" s="1137" t="e">
        <f t="shared" si="41"/>
        <v>#N/A</v>
      </c>
      <c r="AB209" s="1137" t="e">
        <f t="shared" si="40"/>
        <v>#N/A</v>
      </c>
      <c r="AC209" s="1137">
        <f t="shared" si="40"/>
        <v>0</v>
      </c>
      <c r="AD209" s="1137"/>
      <c r="AE209" s="1137">
        <f t="shared" si="40"/>
        <v>0</v>
      </c>
      <c r="AF209" s="1137"/>
      <c r="AG209" s="1137"/>
      <c r="AH209" s="1137"/>
      <c r="AI209" s="1137">
        <f t="shared" ref="AI209" si="42">SUM(AI210:AI220)</f>
        <v>0</v>
      </c>
      <c r="AJ209" s="1137">
        <f t="shared" ref="AJ209:AL209" si="43">SUM(AJ210:AJ220)</f>
        <v>0</v>
      </c>
      <c r="AK209" s="1137">
        <f t="shared" si="43"/>
        <v>0</v>
      </c>
      <c r="AL209" s="1137" t="e">
        <f t="shared" si="43"/>
        <v>#N/A</v>
      </c>
      <c r="AP209" s="1140"/>
      <c r="AQ209" s="1140"/>
      <c r="AR209" s="1140"/>
    </row>
    <row r="210" spans="1:44" ht="15.75">
      <c r="A210" s="957">
        <v>1</v>
      </c>
      <c r="B210" s="958" t="e">
        <f>VLOOKUP(C210,'DS CN MOI UP'!$B$10:$C$389,2,0)</f>
        <v>#N/A</v>
      </c>
      <c r="C210" s="992" t="s">
        <v>104</v>
      </c>
      <c r="D210" s="957" t="s">
        <v>15</v>
      </c>
      <c r="E210" s="960">
        <f t="shared" ref="E210:E220" si="44">3*8</f>
        <v>24</v>
      </c>
      <c r="F210" s="960"/>
      <c r="G210" s="960"/>
      <c r="H210" s="1110"/>
      <c r="I210" s="960"/>
      <c r="J210" s="960"/>
      <c r="K210" s="960"/>
      <c r="L210" s="960"/>
      <c r="M210" s="960"/>
      <c r="N210" s="960"/>
      <c r="O210" s="960"/>
      <c r="P210" s="960"/>
      <c r="Q210" s="960"/>
      <c r="R210" s="960"/>
      <c r="S210" s="975">
        <f t="shared" si="39"/>
        <v>24</v>
      </c>
      <c r="T210" s="975" t="e">
        <f>VLOOKUP(C210,'sản lượng'!$D$12:$AK$89,36,0)</f>
        <v>#N/A</v>
      </c>
      <c r="U210" s="975"/>
      <c r="V210" s="975"/>
      <c r="W210" s="976" t="e">
        <f>SUM(T210:V210)</f>
        <v>#N/A</v>
      </c>
      <c r="X210" s="975"/>
      <c r="Y210" s="975"/>
      <c r="Z210" s="975" t="e">
        <f t="shared" ref="Z210:Z220" si="45">W210*$AN$20+X210*$AN$10+$AN$11*Y210</f>
        <v>#N/A</v>
      </c>
      <c r="AA210" s="975" t="e">
        <f>VLOOKUP(C210,'CHẤM CÔNG '!$D$12:$AL$89,33,0)</f>
        <v>#N/A</v>
      </c>
      <c r="AB210" s="975" t="e">
        <f>VLOOKUP(C210,'CHẤM CÔNG '!$D$12:$AL$89,34,0)</f>
        <v>#N/A</v>
      </c>
      <c r="AC210" s="975"/>
      <c r="AD210" s="975"/>
      <c r="AE210" s="975"/>
      <c r="AF210" s="975"/>
      <c r="AG210" s="975"/>
      <c r="AH210" s="975"/>
      <c r="AI210" s="975"/>
      <c r="AJ210" s="975"/>
      <c r="AK210" s="981"/>
      <c r="AL210" s="982" t="e">
        <f>VLOOKUP(C210,'sản lượng'!$D$12:$AM$89,38,0)</f>
        <v>#N/A</v>
      </c>
    </row>
    <row r="211" spans="1:44" ht="15.75">
      <c r="A211" s="957">
        <v>2</v>
      </c>
      <c r="B211" s="1640" t="str">
        <f>VLOOKUP(C211,'DS CN MOI UP'!$B$10:$C$389,2,0)</f>
        <v>02444</v>
      </c>
      <c r="C211" s="992" t="s">
        <v>105</v>
      </c>
      <c r="D211" s="957" t="s">
        <v>15</v>
      </c>
      <c r="E211" s="960">
        <f t="shared" si="44"/>
        <v>24</v>
      </c>
      <c r="F211" s="960"/>
      <c r="G211" s="960"/>
      <c r="H211" s="1110"/>
      <c r="I211" s="960"/>
      <c r="J211" s="960"/>
      <c r="K211" s="960"/>
      <c r="L211" s="960"/>
      <c r="M211" s="960"/>
      <c r="N211" s="960"/>
      <c r="O211" s="960"/>
      <c r="P211" s="960"/>
      <c r="Q211" s="960"/>
      <c r="R211" s="960"/>
      <c r="S211" s="975">
        <f t="shared" si="39"/>
        <v>24</v>
      </c>
      <c r="T211" s="975" t="e">
        <f>VLOOKUP(C211,'sản lượng'!$D$12:$AK$89,36,0)</f>
        <v>#N/A</v>
      </c>
      <c r="U211" s="975"/>
      <c r="V211" s="975"/>
      <c r="W211" s="976" t="e">
        <f t="shared" ref="W211:W220" si="46">SUM(T211:V211)</f>
        <v>#N/A</v>
      </c>
      <c r="X211" s="975"/>
      <c r="Y211" s="975"/>
      <c r="Z211" s="975" t="e">
        <f t="shared" si="45"/>
        <v>#N/A</v>
      </c>
      <c r="AA211" s="975" t="e">
        <f>VLOOKUP(C211,'CHẤM CÔNG '!$D$12:$AL$89,33,0)</f>
        <v>#N/A</v>
      </c>
      <c r="AB211" s="975" t="e">
        <f>VLOOKUP(C211,'CHẤM CÔNG '!$D$12:$AL$89,34,0)</f>
        <v>#N/A</v>
      </c>
      <c r="AC211" s="975"/>
      <c r="AD211" s="975"/>
      <c r="AE211" s="975"/>
      <c r="AF211" s="975"/>
      <c r="AG211" s="975"/>
      <c r="AH211" s="975"/>
      <c r="AI211" s="975"/>
      <c r="AJ211" s="975"/>
      <c r="AK211" s="981"/>
      <c r="AL211" s="982" t="e">
        <f>VLOOKUP(C211,'sản lượng'!$D$12:$AM$89,38,0)</f>
        <v>#N/A</v>
      </c>
    </row>
    <row r="212" spans="1:44" ht="15.75">
      <c r="A212" s="957">
        <v>3</v>
      </c>
      <c r="B212" s="958" t="e">
        <f>VLOOKUP(C212,'DS CN MOI UP'!$B$10:$C$389,2,0)</f>
        <v>#N/A</v>
      </c>
      <c r="C212" s="992" t="s">
        <v>106</v>
      </c>
      <c r="D212" s="957" t="s">
        <v>15</v>
      </c>
      <c r="E212" s="960">
        <f t="shared" si="44"/>
        <v>24</v>
      </c>
      <c r="F212" s="960"/>
      <c r="G212" s="960"/>
      <c r="H212" s="1110"/>
      <c r="I212" s="960"/>
      <c r="J212" s="960"/>
      <c r="K212" s="960"/>
      <c r="L212" s="960"/>
      <c r="M212" s="960"/>
      <c r="N212" s="960"/>
      <c r="O212" s="960"/>
      <c r="P212" s="960"/>
      <c r="Q212" s="960"/>
      <c r="R212" s="960"/>
      <c r="S212" s="975">
        <f t="shared" si="39"/>
        <v>24</v>
      </c>
      <c r="T212" s="975" t="e">
        <f>VLOOKUP(C212,'sản lượng'!$D$12:$AK$89,36,0)</f>
        <v>#N/A</v>
      </c>
      <c r="U212" s="975"/>
      <c r="V212" s="975"/>
      <c r="W212" s="976" t="e">
        <f t="shared" si="46"/>
        <v>#N/A</v>
      </c>
      <c r="X212" s="975"/>
      <c r="Y212" s="975"/>
      <c r="Z212" s="975" t="e">
        <f t="shared" si="45"/>
        <v>#N/A</v>
      </c>
      <c r="AA212" s="975" t="e">
        <f>VLOOKUP(C212,'CHẤM CÔNG '!$D$12:$AL$89,33,0)</f>
        <v>#N/A</v>
      </c>
      <c r="AB212" s="975" t="e">
        <f>VLOOKUP(C212,'CHẤM CÔNG '!$D$12:$AL$89,34,0)</f>
        <v>#N/A</v>
      </c>
      <c r="AC212" s="975"/>
      <c r="AD212" s="975"/>
      <c r="AE212" s="975"/>
      <c r="AF212" s="975"/>
      <c r="AG212" s="975"/>
      <c r="AH212" s="975"/>
      <c r="AI212" s="975"/>
      <c r="AJ212" s="975"/>
      <c r="AK212" s="981"/>
      <c r="AL212" s="982" t="e">
        <f>VLOOKUP(C212,'sản lượng'!$D$12:$AM$89,38,0)</f>
        <v>#N/A</v>
      </c>
    </row>
    <row r="213" spans="1:44" ht="15.75">
      <c r="A213" s="957">
        <v>4</v>
      </c>
      <c r="B213" s="958" t="e">
        <f>VLOOKUP(C213,'DS CN MOI UP'!$B$10:$C$389,2,0)</f>
        <v>#N/A</v>
      </c>
      <c r="C213" s="992" t="s">
        <v>107</v>
      </c>
      <c r="D213" s="957" t="s">
        <v>15</v>
      </c>
      <c r="E213" s="960">
        <f t="shared" si="44"/>
        <v>24</v>
      </c>
      <c r="F213" s="960"/>
      <c r="G213" s="960"/>
      <c r="H213" s="1110"/>
      <c r="I213" s="960"/>
      <c r="J213" s="960"/>
      <c r="K213" s="960"/>
      <c r="L213" s="960"/>
      <c r="M213" s="960"/>
      <c r="N213" s="960"/>
      <c r="O213" s="960"/>
      <c r="P213" s="960"/>
      <c r="Q213" s="960"/>
      <c r="R213" s="960"/>
      <c r="S213" s="975">
        <f t="shared" si="39"/>
        <v>24</v>
      </c>
      <c r="T213" s="975" t="e">
        <f>VLOOKUP(C213,'sản lượng'!$D$12:$AK$89,36,0)</f>
        <v>#N/A</v>
      </c>
      <c r="U213" s="975"/>
      <c r="V213" s="975"/>
      <c r="W213" s="976" t="e">
        <f t="shared" si="46"/>
        <v>#N/A</v>
      </c>
      <c r="X213" s="975"/>
      <c r="Y213" s="975"/>
      <c r="Z213" s="975" t="e">
        <f t="shared" si="45"/>
        <v>#N/A</v>
      </c>
      <c r="AA213" s="975" t="e">
        <f>VLOOKUP(C213,'CHẤM CÔNG '!$D$12:$AL$89,33,0)</f>
        <v>#N/A</v>
      </c>
      <c r="AB213" s="975" t="e">
        <f>VLOOKUP(C213,'CHẤM CÔNG '!$D$12:$AL$89,34,0)</f>
        <v>#N/A</v>
      </c>
      <c r="AC213" s="975"/>
      <c r="AD213" s="975"/>
      <c r="AE213" s="975"/>
      <c r="AF213" s="975"/>
      <c r="AG213" s="975"/>
      <c r="AH213" s="975"/>
      <c r="AI213" s="975"/>
      <c r="AJ213" s="975"/>
      <c r="AK213" s="981"/>
      <c r="AL213" s="982" t="e">
        <f>VLOOKUP(C213,'sản lượng'!$D$12:$AM$89,38,0)</f>
        <v>#N/A</v>
      </c>
    </row>
    <row r="214" spans="1:44" ht="15.75">
      <c r="A214" s="957">
        <v>5</v>
      </c>
      <c r="B214" s="1640" t="str">
        <f>VLOOKUP(C214,'DS CN MOI UP'!$B$10:$C$389,2,0)</f>
        <v>02449</v>
      </c>
      <c r="C214" s="992" t="s">
        <v>108</v>
      </c>
      <c r="D214" s="957" t="s">
        <v>15</v>
      </c>
      <c r="E214" s="960">
        <f t="shared" si="44"/>
        <v>24</v>
      </c>
      <c r="F214" s="960"/>
      <c r="G214" s="960"/>
      <c r="H214" s="1110"/>
      <c r="I214" s="960"/>
      <c r="J214" s="960"/>
      <c r="K214" s="960"/>
      <c r="L214" s="960"/>
      <c r="M214" s="960"/>
      <c r="N214" s="960"/>
      <c r="O214" s="960"/>
      <c r="P214" s="960"/>
      <c r="Q214" s="960"/>
      <c r="R214" s="960"/>
      <c r="S214" s="975">
        <f t="shared" si="39"/>
        <v>24</v>
      </c>
      <c r="T214" s="975" t="e">
        <f>VLOOKUP(C214,'sản lượng'!$D$12:$AK$89,36,0)</f>
        <v>#N/A</v>
      </c>
      <c r="U214" s="975"/>
      <c r="V214" s="975"/>
      <c r="W214" s="976" t="e">
        <f t="shared" si="46"/>
        <v>#N/A</v>
      </c>
      <c r="X214" s="975"/>
      <c r="Y214" s="975"/>
      <c r="Z214" s="975" t="e">
        <f t="shared" si="45"/>
        <v>#N/A</v>
      </c>
      <c r="AA214" s="975" t="e">
        <f>VLOOKUP(C214,'CHẤM CÔNG '!$D$12:$AL$89,33,0)</f>
        <v>#N/A</v>
      </c>
      <c r="AB214" s="975" t="e">
        <f>VLOOKUP(C214,'CHẤM CÔNG '!$D$12:$AL$89,34,0)</f>
        <v>#N/A</v>
      </c>
      <c r="AC214" s="975"/>
      <c r="AD214" s="975"/>
      <c r="AE214" s="975"/>
      <c r="AF214" s="975"/>
      <c r="AG214" s="975"/>
      <c r="AH214" s="975"/>
      <c r="AI214" s="975"/>
      <c r="AJ214" s="975"/>
      <c r="AK214" s="981"/>
      <c r="AL214" s="982" t="e">
        <f>VLOOKUP(C214,'sản lượng'!$D$12:$AM$89,38,0)</f>
        <v>#N/A</v>
      </c>
    </row>
    <row r="215" spans="1:44" ht="15.75">
      <c r="A215" s="957">
        <v>6</v>
      </c>
      <c r="B215" s="1640" t="str">
        <f>VLOOKUP(C215,'DS CN MOI UP'!$B$10:$C$389,2,0)</f>
        <v>02445</v>
      </c>
      <c r="C215" s="992" t="s">
        <v>109</v>
      </c>
      <c r="D215" s="957" t="s">
        <v>15</v>
      </c>
      <c r="E215" s="960">
        <f t="shared" si="44"/>
        <v>24</v>
      </c>
      <c r="F215" s="960"/>
      <c r="G215" s="960"/>
      <c r="H215" s="1110"/>
      <c r="I215" s="960"/>
      <c r="J215" s="960"/>
      <c r="K215" s="960"/>
      <c r="L215" s="960"/>
      <c r="M215" s="960"/>
      <c r="N215" s="960"/>
      <c r="O215" s="960"/>
      <c r="P215" s="960"/>
      <c r="Q215" s="960"/>
      <c r="R215" s="960"/>
      <c r="S215" s="975">
        <f t="shared" si="39"/>
        <v>24</v>
      </c>
      <c r="T215" s="975" t="e">
        <f>VLOOKUP(C215,'sản lượng'!$D$12:$AK$89,36,0)</f>
        <v>#N/A</v>
      </c>
      <c r="U215" s="975"/>
      <c r="V215" s="975"/>
      <c r="W215" s="976" t="e">
        <f t="shared" si="46"/>
        <v>#N/A</v>
      </c>
      <c r="X215" s="975"/>
      <c r="Y215" s="975"/>
      <c r="Z215" s="975" t="e">
        <f t="shared" si="45"/>
        <v>#N/A</v>
      </c>
      <c r="AA215" s="975" t="e">
        <f>VLOOKUP(C215,'CHẤM CÔNG '!$D$12:$AL$89,33,0)</f>
        <v>#N/A</v>
      </c>
      <c r="AB215" s="975" t="e">
        <f>VLOOKUP(C215,'CHẤM CÔNG '!$D$12:$AL$89,34,0)</f>
        <v>#N/A</v>
      </c>
      <c r="AC215" s="975"/>
      <c r="AD215" s="975"/>
      <c r="AE215" s="975"/>
      <c r="AF215" s="975"/>
      <c r="AG215" s="975"/>
      <c r="AH215" s="975"/>
      <c r="AI215" s="975"/>
      <c r="AJ215" s="975"/>
      <c r="AK215" s="981"/>
      <c r="AL215" s="982" t="e">
        <f>VLOOKUP(C215,'sản lượng'!$D$12:$AM$89,38,0)</f>
        <v>#N/A</v>
      </c>
    </row>
    <row r="216" spans="1:44" ht="15.75">
      <c r="A216" s="957">
        <v>7</v>
      </c>
      <c r="B216" s="1640" t="str">
        <f>VLOOKUP(C216,'DS CN MOI UP'!$B$10:$C$389,2,0)</f>
        <v>02446</v>
      </c>
      <c r="C216" s="992" t="s">
        <v>110</v>
      </c>
      <c r="D216" s="957" t="s">
        <v>15</v>
      </c>
      <c r="E216" s="960">
        <f t="shared" si="44"/>
        <v>24</v>
      </c>
      <c r="F216" s="960"/>
      <c r="G216" s="960"/>
      <c r="H216" s="1110"/>
      <c r="I216" s="960"/>
      <c r="J216" s="960"/>
      <c r="K216" s="960"/>
      <c r="L216" s="960"/>
      <c r="M216" s="960"/>
      <c r="N216" s="960"/>
      <c r="O216" s="960"/>
      <c r="P216" s="960"/>
      <c r="Q216" s="960"/>
      <c r="R216" s="960"/>
      <c r="S216" s="975">
        <f t="shared" si="39"/>
        <v>24</v>
      </c>
      <c r="T216" s="975" t="e">
        <f>VLOOKUP(C216,'sản lượng'!$D$12:$AK$89,36,0)</f>
        <v>#N/A</v>
      </c>
      <c r="U216" s="975"/>
      <c r="V216" s="975"/>
      <c r="W216" s="976" t="e">
        <f t="shared" si="46"/>
        <v>#N/A</v>
      </c>
      <c r="X216" s="975"/>
      <c r="Y216" s="975"/>
      <c r="Z216" s="975" t="e">
        <f t="shared" si="45"/>
        <v>#N/A</v>
      </c>
      <c r="AA216" s="975" t="e">
        <f>VLOOKUP(C216,'CHẤM CÔNG '!$D$12:$AL$89,33,0)</f>
        <v>#N/A</v>
      </c>
      <c r="AB216" s="975" t="e">
        <f>VLOOKUP(C216,'CHẤM CÔNG '!$D$12:$AL$89,34,0)</f>
        <v>#N/A</v>
      </c>
      <c r="AC216" s="975"/>
      <c r="AD216" s="975"/>
      <c r="AE216" s="975"/>
      <c r="AF216" s="975"/>
      <c r="AG216" s="975"/>
      <c r="AH216" s="975"/>
      <c r="AI216" s="975"/>
      <c r="AJ216" s="975"/>
      <c r="AK216" s="981"/>
      <c r="AL216" s="982" t="e">
        <f>VLOOKUP(C216,'sản lượng'!$D$12:$AM$89,38,0)</f>
        <v>#N/A</v>
      </c>
    </row>
    <row r="217" spans="1:44" ht="15.75">
      <c r="A217" s="957">
        <v>8</v>
      </c>
      <c r="B217" s="1640" t="str">
        <f>VLOOKUP(C217,'DS CN MOI UP'!$B$10:$C$389,2,0)</f>
        <v>03345</v>
      </c>
      <c r="C217" s="992" t="s">
        <v>111</v>
      </c>
      <c r="D217" s="957" t="s">
        <v>15</v>
      </c>
      <c r="E217" s="960">
        <f t="shared" si="44"/>
        <v>24</v>
      </c>
      <c r="F217" s="960"/>
      <c r="G217" s="960"/>
      <c r="H217" s="1110"/>
      <c r="I217" s="960"/>
      <c r="J217" s="960"/>
      <c r="K217" s="960"/>
      <c r="L217" s="960"/>
      <c r="M217" s="960"/>
      <c r="N217" s="960"/>
      <c r="O217" s="960"/>
      <c r="P217" s="960"/>
      <c r="Q217" s="960"/>
      <c r="R217" s="960"/>
      <c r="S217" s="975">
        <f t="shared" si="39"/>
        <v>24</v>
      </c>
      <c r="T217" s="975" t="e">
        <f>VLOOKUP(C217,'sản lượng'!$D$12:$AK$89,36,0)</f>
        <v>#N/A</v>
      </c>
      <c r="U217" s="975"/>
      <c r="V217" s="975"/>
      <c r="W217" s="976" t="e">
        <f t="shared" si="46"/>
        <v>#N/A</v>
      </c>
      <c r="X217" s="975"/>
      <c r="Y217" s="975"/>
      <c r="Z217" s="975" t="e">
        <f t="shared" si="45"/>
        <v>#N/A</v>
      </c>
      <c r="AA217" s="975" t="e">
        <f>VLOOKUP(C217,'CHẤM CÔNG '!$D$12:$AL$89,33,0)</f>
        <v>#N/A</v>
      </c>
      <c r="AB217" s="975" t="e">
        <f>VLOOKUP(C217,'CHẤM CÔNG '!$D$12:$AL$89,34,0)</f>
        <v>#N/A</v>
      </c>
      <c r="AC217" s="975"/>
      <c r="AD217" s="975"/>
      <c r="AE217" s="975"/>
      <c r="AF217" s="975"/>
      <c r="AG217" s="975"/>
      <c r="AH217" s="975"/>
      <c r="AI217" s="975"/>
      <c r="AJ217" s="975"/>
      <c r="AK217" s="981"/>
      <c r="AL217" s="982" t="e">
        <f>VLOOKUP(C217,'sản lượng'!$D$12:$AM$89,38,0)</f>
        <v>#N/A</v>
      </c>
    </row>
    <row r="218" spans="1:44" ht="15.75">
      <c r="A218" s="957">
        <v>9</v>
      </c>
      <c r="B218" s="1640" t="str">
        <f>VLOOKUP(C218,'DS CN MOI UP'!$B$10:$C$389,2,0)</f>
        <v>03854</v>
      </c>
      <c r="C218" s="992" t="s">
        <v>112</v>
      </c>
      <c r="D218" s="957" t="s">
        <v>15</v>
      </c>
      <c r="E218" s="960">
        <f t="shared" si="44"/>
        <v>24</v>
      </c>
      <c r="F218" s="960"/>
      <c r="G218" s="960"/>
      <c r="H218" s="1110"/>
      <c r="I218" s="960"/>
      <c r="J218" s="960"/>
      <c r="K218" s="960"/>
      <c r="L218" s="960"/>
      <c r="M218" s="960"/>
      <c r="N218" s="960"/>
      <c r="O218" s="960"/>
      <c r="P218" s="960"/>
      <c r="Q218" s="960"/>
      <c r="R218" s="960"/>
      <c r="S218" s="975">
        <f t="shared" si="39"/>
        <v>24</v>
      </c>
      <c r="T218" s="975" t="e">
        <f>VLOOKUP(C218,'sản lượng'!$D$12:$AK$89,36,0)</f>
        <v>#N/A</v>
      </c>
      <c r="U218" s="975"/>
      <c r="V218" s="975"/>
      <c r="W218" s="976" t="e">
        <f t="shared" si="46"/>
        <v>#N/A</v>
      </c>
      <c r="X218" s="975"/>
      <c r="Y218" s="975"/>
      <c r="Z218" s="975" t="e">
        <f t="shared" si="45"/>
        <v>#N/A</v>
      </c>
      <c r="AA218" s="975" t="e">
        <f>VLOOKUP(C218,'CHẤM CÔNG '!$D$12:$AL$89,33,0)</f>
        <v>#N/A</v>
      </c>
      <c r="AB218" s="975" t="e">
        <f>VLOOKUP(C218,'CHẤM CÔNG '!$D$12:$AL$89,34,0)</f>
        <v>#N/A</v>
      </c>
      <c r="AC218" s="975"/>
      <c r="AD218" s="975"/>
      <c r="AE218" s="975"/>
      <c r="AF218" s="975"/>
      <c r="AG218" s="975"/>
      <c r="AH218" s="975"/>
      <c r="AI218" s="975"/>
      <c r="AJ218" s="975"/>
      <c r="AK218" s="981"/>
      <c r="AL218" s="982" t="e">
        <f>VLOOKUP(C218,'sản lượng'!$D$12:$AM$89,38,0)</f>
        <v>#N/A</v>
      </c>
    </row>
    <row r="219" spans="1:44" ht="15.75">
      <c r="A219" s="957">
        <v>10</v>
      </c>
      <c r="B219" s="1640" t="str">
        <f>VLOOKUP(C219,'DS CN MOI UP'!$B$10:$C$389,2,0)</f>
        <v>03855</v>
      </c>
      <c r="C219" s="992" t="s">
        <v>113</v>
      </c>
      <c r="D219" s="957" t="s">
        <v>15</v>
      </c>
      <c r="E219" s="960">
        <f t="shared" si="44"/>
        <v>24</v>
      </c>
      <c r="F219" s="960"/>
      <c r="G219" s="960"/>
      <c r="H219" s="1110"/>
      <c r="I219" s="960"/>
      <c r="J219" s="960"/>
      <c r="K219" s="960"/>
      <c r="L219" s="960"/>
      <c r="M219" s="960"/>
      <c r="N219" s="960"/>
      <c r="O219" s="960"/>
      <c r="P219" s="960"/>
      <c r="Q219" s="960"/>
      <c r="R219" s="960"/>
      <c r="S219" s="975">
        <f t="shared" si="39"/>
        <v>24</v>
      </c>
      <c r="T219" s="975"/>
      <c r="U219" s="975"/>
      <c r="V219" s="975" t="e">
        <f>'sản lượng'!#REF!</f>
        <v>#REF!</v>
      </c>
      <c r="W219" s="976" t="e">
        <f t="shared" si="46"/>
        <v>#REF!</v>
      </c>
      <c r="X219" s="975"/>
      <c r="Y219" s="975"/>
      <c r="Z219" s="975" t="e">
        <f t="shared" si="45"/>
        <v>#REF!</v>
      </c>
      <c r="AA219" s="975" t="e">
        <f>VLOOKUP(C219,'CHẤM CÔNG '!$D$12:$AL$89,33,0)</f>
        <v>#N/A</v>
      </c>
      <c r="AB219" s="975" t="e">
        <f>VLOOKUP(C219,'CHẤM CÔNG '!$D$12:$AL$89,34,0)</f>
        <v>#N/A</v>
      </c>
      <c r="AC219" s="975"/>
      <c r="AD219" s="975"/>
      <c r="AE219" s="975"/>
      <c r="AF219" s="975"/>
      <c r="AG219" s="975"/>
      <c r="AH219" s="975"/>
      <c r="AI219" s="975"/>
      <c r="AJ219" s="975"/>
      <c r="AK219" s="981"/>
      <c r="AL219" s="982" t="e">
        <f>VLOOKUP(C219,'sản lượng'!$D$12:$AM$89,38,0)</f>
        <v>#N/A</v>
      </c>
    </row>
    <row r="220" spans="1:44" ht="15.75">
      <c r="A220" s="957">
        <v>11</v>
      </c>
      <c r="B220" s="958" t="e">
        <f>VLOOKUP(C220,'DS CN MOI UP'!$B$10:$C$389,2,0)</f>
        <v>#N/A</v>
      </c>
      <c r="C220" s="992" t="s">
        <v>114</v>
      </c>
      <c r="D220" s="957" t="s">
        <v>15</v>
      </c>
      <c r="E220" s="960">
        <f t="shared" si="44"/>
        <v>24</v>
      </c>
      <c r="F220" s="960"/>
      <c r="G220" s="960"/>
      <c r="H220" s="1110"/>
      <c r="I220" s="960"/>
      <c r="J220" s="960"/>
      <c r="K220" s="960"/>
      <c r="L220" s="960"/>
      <c r="M220" s="960"/>
      <c r="N220" s="960"/>
      <c r="O220" s="960"/>
      <c r="P220" s="960"/>
      <c r="Q220" s="960"/>
      <c r="R220" s="960"/>
      <c r="S220" s="975">
        <f t="shared" si="39"/>
        <v>24</v>
      </c>
      <c r="T220" s="975"/>
      <c r="U220" s="975"/>
      <c r="V220" s="975" t="e">
        <f>'sản lượng'!#REF!</f>
        <v>#REF!</v>
      </c>
      <c r="W220" s="976" t="e">
        <f t="shared" si="46"/>
        <v>#REF!</v>
      </c>
      <c r="X220" s="975"/>
      <c r="Y220" s="975"/>
      <c r="Z220" s="975" t="e">
        <f t="shared" si="45"/>
        <v>#REF!</v>
      </c>
      <c r="AA220" s="975" t="e">
        <f>VLOOKUP(C220,'CHẤM CÔNG '!$D$12:$AL$89,33,0)</f>
        <v>#N/A</v>
      </c>
      <c r="AB220" s="975" t="e">
        <f>VLOOKUP(C220,'CHẤM CÔNG '!$D$12:$AL$89,34,0)</f>
        <v>#N/A</v>
      </c>
      <c r="AC220" s="975"/>
      <c r="AD220" s="975"/>
      <c r="AE220" s="975"/>
      <c r="AF220" s="975"/>
      <c r="AG220" s="975"/>
      <c r="AH220" s="975"/>
      <c r="AI220" s="975"/>
      <c r="AJ220" s="975"/>
      <c r="AK220" s="981"/>
      <c r="AL220" s="982" t="e">
        <f>VLOOKUP(C220,'sản lượng'!$D$12:$AM$89,38,0)</f>
        <v>#N/A</v>
      </c>
    </row>
    <row r="221" spans="1:44" s="334" customFormat="1">
      <c r="A221" s="1134" t="s">
        <v>2653</v>
      </c>
      <c r="B221" s="958"/>
      <c r="C221" s="1135"/>
      <c r="D221" s="1136"/>
      <c r="E221" s="1137">
        <f>SUM(E222:E228)</f>
        <v>168</v>
      </c>
      <c r="F221" s="1137">
        <f>SUM(F222:F228)</f>
        <v>0</v>
      </c>
      <c r="G221" s="1137">
        <f t="shared" ref="G221:Z221" si="47">SUM(G222:G228)</f>
        <v>0</v>
      </c>
      <c r="H221" s="1138">
        <f t="shared" si="47"/>
        <v>0</v>
      </c>
      <c r="I221" s="1137">
        <f t="shared" si="47"/>
        <v>0</v>
      </c>
      <c r="J221" s="1137">
        <f t="shared" si="47"/>
        <v>0</v>
      </c>
      <c r="K221" s="1137">
        <f t="shared" si="47"/>
        <v>0</v>
      </c>
      <c r="L221" s="1137">
        <f t="shared" si="47"/>
        <v>0</v>
      </c>
      <c r="M221" s="1137">
        <f t="shared" si="47"/>
        <v>0</v>
      </c>
      <c r="N221" s="1137">
        <f t="shared" si="47"/>
        <v>0</v>
      </c>
      <c r="O221" s="1137">
        <f t="shared" si="47"/>
        <v>0</v>
      </c>
      <c r="P221" s="1137">
        <f t="shared" si="47"/>
        <v>0</v>
      </c>
      <c r="Q221" s="1137">
        <f t="shared" si="47"/>
        <v>0</v>
      </c>
      <c r="R221" s="1137">
        <f t="shared" si="47"/>
        <v>0</v>
      </c>
      <c r="S221" s="1137">
        <f t="shared" si="47"/>
        <v>168</v>
      </c>
      <c r="T221" s="1137" t="e">
        <f t="shared" si="47"/>
        <v>#N/A</v>
      </c>
      <c r="U221" s="1137">
        <f t="shared" si="47"/>
        <v>0</v>
      </c>
      <c r="V221" s="1137">
        <f t="shared" si="47"/>
        <v>0</v>
      </c>
      <c r="W221" s="1137" t="e">
        <f t="shared" si="47"/>
        <v>#N/A</v>
      </c>
      <c r="X221" s="1137"/>
      <c r="Y221" s="1137"/>
      <c r="Z221" s="1137" t="e">
        <f t="shared" si="47"/>
        <v>#N/A</v>
      </c>
      <c r="AA221" s="1137" t="e">
        <f t="shared" ref="AA221:AL221" si="48">SUM(AA222:AA228)</f>
        <v>#N/A</v>
      </c>
      <c r="AB221" s="1137" t="e">
        <f t="shared" si="48"/>
        <v>#N/A</v>
      </c>
      <c r="AC221" s="1137">
        <f t="shared" si="48"/>
        <v>0</v>
      </c>
      <c r="AD221" s="1137"/>
      <c r="AE221" s="1137">
        <f t="shared" si="48"/>
        <v>0</v>
      </c>
      <c r="AF221" s="1137"/>
      <c r="AG221" s="1137"/>
      <c r="AH221" s="1137"/>
      <c r="AI221" s="1137">
        <f t="shared" ref="AI221" si="49">SUM(AI222:AI228)</f>
        <v>0</v>
      </c>
      <c r="AJ221" s="1137">
        <f t="shared" si="48"/>
        <v>0</v>
      </c>
      <c r="AK221" s="1137">
        <f t="shared" si="48"/>
        <v>0</v>
      </c>
      <c r="AL221" s="1137" t="e">
        <f t="shared" si="48"/>
        <v>#N/A</v>
      </c>
      <c r="AP221" s="1140"/>
      <c r="AQ221" s="1140"/>
      <c r="AR221" s="1140"/>
    </row>
    <row r="222" spans="1:44" ht="15.75">
      <c r="A222" s="957">
        <v>1</v>
      </c>
      <c r="B222" s="958" t="e">
        <f>VLOOKUP(C222,'DS CN MOI UP'!$B$10:$C$389,2,0)</f>
        <v>#N/A</v>
      </c>
      <c r="C222" s="992" t="s">
        <v>116</v>
      </c>
      <c r="D222" s="957" t="s">
        <v>15</v>
      </c>
      <c r="E222" s="960">
        <f t="shared" ref="E222:E228" si="50">3*8</f>
        <v>24</v>
      </c>
      <c r="F222" s="960"/>
      <c r="G222" s="960"/>
      <c r="H222" s="1110"/>
      <c r="I222" s="960"/>
      <c r="J222" s="960"/>
      <c r="K222" s="960"/>
      <c r="L222" s="960"/>
      <c r="M222" s="960"/>
      <c r="N222" s="960"/>
      <c r="O222" s="960"/>
      <c r="P222" s="960"/>
      <c r="Q222" s="960"/>
      <c r="R222" s="960"/>
      <c r="S222" s="975">
        <f>SUM(E222:N222)</f>
        <v>24</v>
      </c>
      <c r="T222" s="975" t="e">
        <f>VLOOKUP(C222,'sản lượng'!$D$12:$AK$89,36,0)</f>
        <v>#N/A</v>
      </c>
      <c r="U222" s="975"/>
      <c r="V222" s="975"/>
      <c r="W222" s="976" t="e">
        <f>SUM(T222:V222)</f>
        <v>#N/A</v>
      </c>
      <c r="X222" s="975"/>
      <c r="Y222" s="975"/>
      <c r="Z222" s="975" t="e">
        <f t="shared" ref="Z222:Z228" si="51">W222*$AN$19+X222*$AN$10+$AN$11*Y222</f>
        <v>#N/A</v>
      </c>
      <c r="AA222" s="975" t="e">
        <f>VLOOKUP(C222,'CHẤM CÔNG '!$D$12:$AL$89,33,0)</f>
        <v>#N/A</v>
      </c>
      <c r="AB222" s="975" t="e">
        <f>VLOOKUP(C222,'CHẤM CÔNG '!$D$12:$AL$89,34,0)</f>
        <v>#N/A</v>
      </c>
      <c r="AC222" s="975"/>
      <c r="AD222" s="975"/>
      <c r="AE222" s="975"/>
      <c r="AF222" s="975"/>
      <c r="AG222" s="975"/>
      <c r="AH222" s="975"/>
      <c r="AI222" s="975"/>
      <c r="AJ222" s="975"/>
      <c r="AK222" s="981"/>
      <c r="AL222" s="982" t="e">
        <f>VLOOKUP(C222,'sản lượng'!$D$12:$AM$89,38,0)</f>
        <v>#N/A</v>
      </c>
    </row>
    <row r="223" spans="1:44" ht="15.75">
      <c r="A223" s="957">
        <v>2</v>
      </c>
      <c r="B223" s="1640" t="str">
        <f>VLOOKUP(C223,'DS CN MOI UP'!$B$10:$C$389,2,0)</f>
        <v>02505</v>
      </c>
      <c r="C223" s="992" t="s">
        <v>117</v>
      </c>
      <c r="D223" s="957" t="s">
        <v>15</v>
      </c>
      <c r="E223" s="960">
        <f t="shared" si="50"/>
        <v>24</v>
      </c>
      <c r="F223" s="960"/>
      <c r="G223" s="960"/>
      <c r="H223" s="1110"/>
      <c r="I223" s="960"/>
      <c r="J223" s="960"/>
      <c r="K223" s="960"/>
      <c r="L223" s="960"/>
      <c r="M223" s="960"/>
      <c r="N223" s="960"/>
      <c r="O223" s="960"/>
      <c r="P223" s="960"/>
      <c r="Q223" s="960"/>
      <c r="R223" s="960"/>
      <c r="S223" s="975">
        <f t="shared" si="39"/>
        <v>24</v>
      </c>
      <c r="T223" s="975" t="e">
        <f>VLOOKUP(C223,'sản lượng'!$D$12:$AK$89,36,0)</f>
        <v>#N/A</v>
      </c>
      <c r="U223" s="975"/>
      <c r="V223" s="975"/>
      <c r="W223" s="976" t="e">
        <f t="shared" ref="W223:W228" si="52">SUM(T223:V223)</f>
        <v>#N/A</v>
      </c>
      <c r="X223" s="975"/>
      <c r="Y223" s="975"/>
      <c r="Z223" s="975" t="e">
        <f t="shared" si="51"/>
        <v>#N/A</v>
      </c>
      <c r="AA223" s="975" t="e">
        <f>VLOOKUP(C223,'CHẤM CÔNG '!$D$12:$AL$89,33,0)</f>
        <v>#N/A</v>
      </c>
      <c r="AB223" s="975" t="e">
        <f>VLOOKUP(C223,'CHẤM CÔNG '!$D$12:$AL$89,34,0)</f>
        <v>#N/A</v>
      </c>
      <c r="AC223" s="975"/>
      <c r="AD223" s="975"/>
      <c r="AE223" s="975"/>
      <c r="AF223" s="975"/>
      <c r="AG223" s="975"/>
      <c r="AH223" s="975"/>
      <c r="AI223" s="975"/>
      <c r="AJ223" s="975"/>
      <c r="AK223" s="981"/>
      <c r="AL223" s="982" t="e">
        <f>VLOOKUP(C223,'sản lượng'!$D$12:$AM$89,38,0)</f>
        <v>#N/A</v>
      </c>
    </row>
    <row r="224" spans="1:44" ht="15.75">
      <c r="A224" s="957">
        <v>3</v>
      </c>
      <c r="B224" s="1640" t="str">
        <f>VLOOKUP(C224,'DS CN MOI UP'!$B$10:$C$389,2,0)</f>
        <v>02472</v>
      </c>
      <c r="C224" s="992" t="s">
        <v>118</v>
      </c>
      <c r="D224" s="957" t="s">
        <v>15</v>
      </c>
      <c r="E224" s="960">
        <f t="shared" si="50"/>
        <v>24</v>
      </c>
      <c r="F224" s="960"/>
      <c r="G224" s="960"/>
      <c r="H224" s="1110"/>
      <c r="I224" s="960"/>
      <c r="J224" s="960"/>
      <c r="K224" s="960"/>
      <c r="L224" s="960"/>
      <c r="M224" s="960"/>
      <c r="N224" s="960"/>
      <c r="O224" s="960"/>
      <c r="P224" s="960"/>
      <c r="Q224" s="960"/>
      <c r="R224" s="960"/>
      <c r="S224" s="975">
        <f t="shared" si="39"/>
        <v>24</v>
      </c>
      <c r="T224" s="975" t="e">
        <f>VLOOKUP(C224,'sản lượng'!$D$12:$AK$89,36,0)</f>
        <v>#N/A</v>
      </c>
      <c r="U224" s="975"/>
      <c r="V224" s="975"/>
      <c r="W224" s="976" t="e">
        <f t="shared" si="52"/>
        <v>#N/A</v>
      </c>
      <c r="X224" s="975"/>
      <c r="Y224" s="975"/>
      <c r="Z224" s="975" t="e">
        <f t="shared" si="51"/>
        <v>#N/A</v>
      </c>
      <c r="AA224" s="975" t="e">
        <f>VLOOKUP(C224,'CHẤM CÔNG '!$D$12:$AL$89,33,0)</f>
        <v>#N/A</v>
      </c>
      <c r="AB224" s="975" t="e">
        <f>VLOOKUP(C224,'CHẤM CÔNG '!$D$12:$AL$89,34,0)</f>
        <v>#N/A</v>
      </c>
      <c r="AC224" s="975"/>
      <c r="AD224" s="975"/>
      <c r="AE224" s="975"/>
      <c r="AF224" s="975"/>
      <c r="AG224" s="975"/>
      <c r="AH224" s="975"/>
      <c r="AI224" s="975"/>
      <c r="AJ224" s="975"/>
      <c r="AK224" s="981"/>
      <c r="AL224" s="982" t="e">
        <f>VLOOKUP(C224,'sản lượng'!$D$12:$AM$89,38,0)</f>
        <v>#N/A</v>
      </c>
    </row>
    <row r="225" spans="1:44" ht="15.75">
      <c r="A225" s="957">
        <v>4</v>
      </c>
      <c r="B225" s="1640" t="str">
        <f>VLOOKUP(C225,'DS CN MOI UP'!$B$10:$C$389,2,0)</f>
        <v>02477</v>
      </c>
      <c r="C225" s="992" t="s">
        <v>119</v>
      </c>
      <c r="D225" s="957" t="s">
        <v>15</v>
      </c>
      <c r="E225" s="960">
        <f t="shared" si="50"/>
        <v>24</v>
      </c>
      <c r="F225" s="960"/>
      <c r="G225" s="960"/>
      <c r="H225" s="1110"/>
      <c r="I225" s="960"/>
      <c r="J225" s="960"/>
      <c r="K225" s="960"/>
      <c r="L225" s="960"/>
      <c r="M225" s="960"/>
      <c r="N225" s="960"/>
      <c r="O225" s="960"/>
      <c r="P225" s="960"/>
      <c r="Q225" s="960"/>
      <c r="R225" s="960"/>
      <c r="S225" s="975">
        <f t="shared" si="39"/>
        <v>24</v>
      </c>
      <c r="T225" s="975" t="e">
        <f>VLOOKUP(C225,'sản lượng'!$D$12:$AK$89,36,0)</f>
        <v>#N/A</v>
      </c>
      <c r="U225" s="975"/>
      <c r="V225" s="975"/>
      <c r="W225" s="976" t="e">
        <f t="shared" si="52"/>
        <v>#N/A</v>
      </c>
      <c r="X225" s="975"/>
      <c r="Y225" s="975"/>
      <c r="Z225" s="975" t="e">
        <f t="shared" si="51"/>
        <v>#N/A</v>
      </c>
      <c r="AA225" s="975" t="e">
        <f>VLOOKUP(C225,'CHẤM CÔNG '!$D$12:$AL$89,33,0)</f>
        <v>#N/A</v>
      </c>
      <c r="AB225" s="975" t="e">
        <f>VLOOKUP(C225,'CHẤM CÔNG '!$D$12:$AL$89,34,0)</f>
        <v>#N/A</v>
      </c>
      <c r="AC225" s="975"/>
      <c r="AD225" s="975"/>
      <c r="AE225" s="975"/>
      <c r="AF225" s="975"/>
      <c r="AG225" s="975"/>
      <c r="AH225" s="975"/>
      <c r="AI225" s="975"/>
      <c r="AJ225" s="975"/>
      <c r="AK225" s="981"/>
      <c r="AL225" s="982" t="e">
        <f>VLOOKUP(C225,'sản lượng'!$D$12:$AM$89,38,0)</f>
        <v>#N/A</v>
      </c>
    </row>
    <row r="226" spans="1:44" ht="15.75">
      <c r="A226" s="957">
        <v>5</v>
      </c>
      <c r="B226" s="1640" t="str">
        <f>VLOOKUP(C226,'DS CN MOI UP'!$B$10:$C$389,2,0)</f>
        <v>02495</v>
      </c>
      <c r="C226" s="992" t="s">
        <v>120</v>
      </c>
      <c r="D226" s="957" t="s">
        <v>15</v>
      </c>
      <c r="E226" s="960">
        <f t="shared" si="50"/>
        <v>24</v>
      </c>
      <c r="F226" s="960"/>
      <c r="G226" s="960"/>
      <c r="H226" s="1110"/>
      <c r="I226" s="960"/>
      <c r="J226" s="960"/>
      <c r="K226" s="960"/>
      <c r="L226" s="960"/>
      <c r="M226" s="960"/>
      <c r="N226" s="960"/>
      <c r="O226" s="960"/>
      <c r="P226" s="960"/>
      <c r="Q226" s="960"/>
      <c r="R226" s="960"/>
      <c r="S226" s="975">
        <f t="shared" si="39"/>
        <v>24</v>
      </c>
      <c r="T226" s="975" t="e">
        <f>VLOOKUP(C226,'sản lượng'!$D$12:$AK$89,36,0)</f>
        <v>#N/A</v>
      </c>
      <c r="U226" s="975"/>
      <c r="V226" s="975"/>
      <c r="W226" s="976" t="e">
        <f t="shared" si="52"/>
        <v>#N/A</v>
      </c>
      <c r="X226" s="975"/>
      <c r="Y226" s="975"/>
      <c r="Z226" s="975" t="e">
        <f t="shared" si="51"/>
        <v>#N/A</v>
      </c>
      <c r="AA226" s="975" t="e">
        <f>VLOOKUP(C226,'CHẤM CÔNG '!$D$12:$AL$89,33,0)</f>
        <v>#N/A</v>
      </c>
      <c r="AB226" s="975" t="e">
        <f>VLOOKUP(C226,'CHẤM CÔNG '!$D$12:$AL$89,34,0)</f>
        <v>#N/A</v>
      </c>
      <c r="AC226" s="975"/>
      <c r="AD226" s="975"/>
      <c r="AE226" s="975"/>
      <c r="AF226" s="975"/>
      <c r="AG226" s="975"/>
      <c r="AH226" s="975"/>
      <c r="AI226" s="975"/>
      <c r="AJ226" s="975"/>
      <c r="AK226" s="981"/>
      <c r="AL226" s="982" t="e">
        <f>VLOOKUP(C226,'sản lượng'!$D$12:$AM$89,38,0)</f>
        <v>#N/A</v>
      </c>
    </row>
    <row r="227" spans="1:44" ht="15.75">
      <c r="A227" s="957">
        <v>6</v>
      </c>
      <c r="B227" s="1640" t="str">
        <f>VLOOKUP(C227,'DS CN MOI UP'!$B$10:$C$389,2,0)</f>
        <v>03347</v>
      </c>
      <c r="C227" s="992" t="s">
        <v>121</v>
      </c>
      <c r="D227" s="957" t="s">
        <v>15</v>
      </c>
      <c r="E227" s="960">
        <f t="shared" si="50"/>
        <v>24</v>
      </c>
      <c r="F227" s="960"/>
      <c r="G227" s="960"/>
      <c r="H227" s="1110"/>
      <c r="I227" s="960"/>
      <c r="J227" s="960"/>
      <c r="K227" s="960"/>
      <c r="L227" s="960"/>
      <c r="M227" s="960"/>
      <c r="N227" s="960"/>
      <c r="O227" s="960"/>
      <c r="P227" s="960"/>
      <c r="Q227" s="960"/>
      <c r="R227" s="960"/>
      <c r="S227" s="975">
        <f t="shared" si="39"/>
        <v>24</v>
      </c>
      <c r="T227" s="975" t="e">
        <f>VLOOKUP(C227,'sản lượng'!$D$12:$AK$89,36,0)</f>
        <v>#N/A</v>
      </c>
      <c r="U227" s="975"/>
      <c r="V227" s="975"/>
      <c r="W227" s="976" t="e">
        <f t="shared" si="52"/>
        <v>#N/A</v>
      </c>
      <c r="X227" s="975"/>
      <c r="Y227" s="975"/>
      <c r="Z227" s="975" t="e">
        <f t="shared" si="51"/>
        <v>#N/A</v>
      </c>
      <c r="AA227" s="975" t="e">
        <f>VLOOKUP(C227,'CHẤM CÔNG '!$D$12:$AL$89,33,0)</f>
        <v>#N/A</v>
      </c>
      <c r="AB227" s="975" t="e">
        <f>VLOOKUP(C227,'CHẤM CÔNG '!$D$12:$AL$89,34,0)</f>
        <v>#N/A</v>
      </c>
      <c r="AC227" s="975"/>
      <c r="AD227" s="975"/>
      <c r="AE227" s="975"/>
      <c r="AF227" s="975"/>
      <c r="AG227" s="975"/>
      <c r="AH227" s="975"/>
      <c r="AI227" s="975"/>
      <c r="AJ227" s="975"/>
      <c r="AK227" s="981"/>
      <c r="AL227" s="982" t="e">
        <f>VLOOKUP(C227,'sản lượng'!$D$12:$AM$89,38,0)</f>
        <v>#N/A</v>
      </c>
    </row>
    <row r="228" spans="1:44" ht="15.75">
      <c r="A228" s="957">
        <v>7</v>
      </c>
      <c r="B228" s="1640" t="str">
        <f>VLOOKUP(C228,'DS CN MOI UP'!$B$10:$C$389,2,0)</f>
        <v>02516</v>
      </c>
      <c r="C228" s="992" t="s">
        <v>122</v>
      </c>
      <c r="D228" s="957" t="s">
        <v>15</v>
      </c>
      <c r="E228" s="960">
        <f t="shared" si="50"/>
        <v>24</v>
      </c>
      <c r="F228" s="960"/>
      <c r="G228" s="960"/>
      <c r="H228" s="1110"/>
      <c r="I228" s="960"/>
      <c r="J228" s="960"/>
      <c r="K228" s="960"/>
      <c r="L228" s="960"/>
      <c r="M228" s="960"/>
      <c r="N228" s="960"/>
      <c r="O228" s="960"/>
      <c r="P228" s="960"/>
      <c r="Q228" s="960"/>
      <c r="R228" s="960"/>
      <c r="S228" s="975">
        <f t="shared" si="39"/>
        <v>24</v>
      </c>
      <c r="T228" s="975" t="e">
        <f>VLOOKUP(C228,'sản lượng'!$D$12:$AK$89,36,0)</f>
        <v>#N/A</v>
      </c>
      <c r="U228" s="975"/>
      <c r="V228" s="975"/>
      <c r="W228" s="976" t="e">
        <f t="shared" si="52"/>
        <v>#N/A</v>
      </c>
      <c r="X228" s="975"/>
      <c r="Y228" s="975"/>
      <c r="Z228" s="975" t="e">
        <f t="shared" si="51"/>
        <v>#N/A</v>
      </c>
      <c r="AA228" s="975" t="e">
        <f>VLOOKUP(C228,'CHẤM CÔNG '!$D$12:$AL$89,33,0)</f>
        <v>#N/A</v>
      </c>
      <c r="AB228" s="975" t="e">
        <f>VLOOKUP(C228,'CHẤM CÔNG '!$D$12:$AL$89,34,0)</f>
        <v>#N/A</v>
      </c>
      <c r="AC228" s="975"/>
      <c r="AD228" s="975"/>
      <c r="AE228" s="975"/>
      <c r="AF228" s="975"/>
      <c r="AG228" s="975"/>
      <c r="AH228" s="975"/>
      <c r="AI228" s="975"/>
      <c r="AJ228" s="975"/>
      <c r="AK228" s="981"/>
      <c r="AL228" s="982" t="e">
        <f>VLOOKUP(C228,'sản lượng'!$D$12:$AM$89,38,0)</f>
        <v>#N/A</v>
      </c>
    </row>
    <row r="229" spans="1:44">
      <c r="A229" s="993" t="s">
        <v>123</v>
      </c>
      <c r="B229" s="958"/>
      <c r="C229" s="994"/>
      <c r="D229" s="995"/>
      <c r="E229" s="968">
        <f t="shared" ref="E229:AR229" si="53">SUM(E230:E315)</f>
        <v>1968</v>
      </c>
      <c r="F229" s="968">
        <f t="shared" si="53"/>
        <v>0</v>
      </c>
      <c r="G229" s="968">
        <f t="shared" si="53"/>
        <v>0</v>
      </c>
      <c r="H229" s="1117">
        <f t="shared" si="53"/>
        <v>6996.2759999999998</v>
      </c>
      <c r="I229" s="968">
        <f t="shared" si="53"/>
        <v>0</v>
      </c>
      <c r="J229" s="968">
        <f t="shared" si="53"/>
        <v>0</v>
      </c>
      <c r="K229" s="968">
        <f t="shared" si="53"/>
        <v>0</v>
      </c>
      <c r="L229" s="968">
        <f t="shared" si="53"/>
        <v>0</v>
      </c>
      <c r="M229" s="968">
        <f t="shared" si="53"/>
        <v>0</v>
      </c>
      <c r="N229" s="968">
        <f t="shared" si="53"/>
        <v>0</v>
      </c>
      <c r="O229" s="968">
        <f t="shared" si="53"/>
        <v>0</v>
      </c>
      <c r="P229" s="968">
        <f t="shared" si="53"/>
        <v>0</v>
      </c>
      <c r="Q229" s="968">
        <f t="shared" si="53"/>
        <v>0</v>
      </c>
      <c r="R229" s="968">
        <f t="shared" si="53"/>
        <v>0</v>
      </c>
      <c r="S229" s="968">
        <f t="shared" si="53"/>
        <v>8964.2759999999998</v>
      </c>
      <c r="T229" s="968" t="e">
        <f t="shared" si="53"/>
        <v>#N/A</v>
      </c>
      <c r="U229" s="968">
        <f t="shared" si="53"/>
        <v>0</v>
      </c>
      <c r="V229" s="968">
        <f t="shared" si="53"/>
        <v>0</v>
      </c>
      <c r="W229" s="968" t="e">
        <f t="shared" si="53"/>
        <v>#N/A</v>
      </c>
      <c r="X229" s="968"/>
      <c r="Y229" s="968"/>
      <c r="Z229" s="968" t="e">
        <f t="shared" si="53"/>
        <v>#N/A</v>
      </c>
      <c r="AA229" s="968" t="e">
        <f t="shared" si="53"/>
        <v>#N/A</v>
      </c>
      <c r="AB229" s="968" t="e">
        <f t="shared" si="53"/>
        <v>#N/A</v>
      </c>
      <c r="AC229" s="968">
        <f t="shared" si="53"/>
        <v>0</v>
      </c>
      <c r="AD229" s="968"/>
      <c r="AE229" s="968">
        <f t="shared" si="53"/>
        <v>0</v>
      </c>
      <c r="AF229" s="968"/>
      <c r="AG229" s="968"/>
      <c r="AH229" s="968"/>
      <c r="AI229" s="968">
        <f t="shared" si="53"/>
        <v>0</v>
      </c>
      <c r="AJ229" s="968">
        <f t="shared" si="53"/>
        <v>0</v>
      </c>
      <c r="AK229" s="968">
        <f t="shared" si="53"/>
        <v>0</v>
      </c>
      <c r="AL229" s="968" t="e">
        <f t="shared" si="53"/>
        <v>#N/A</v>
      </c>
      <c r="AM229" s="968">
        <f t="shared" si="53"/>
        <v>128139</v>
      </c>
      <c r="AN229" s="968" t="e">
        <f t="shared" si="53"/>
        <v>#N/A</v>
      </c>
      <c r="AO229" s="968">
        <f t="shared" si="53"/>
        <v>0</v>
      </c>
      <c r="AP229" s="968">
        <f t="shared" si="53"/>
        <v>194</v>
      </c>
      <c r="AQ229" s="968">
        <f t="shared" si="53"/>
        <v>0</v>
      </c>
      <c r="AR229" s="968">
        <f t="shared" si="53"/>
        <v>52</v>
      </c>
    </row>
    <row r="230" spans="1:44" ht="15.75">
      <c r="A230" s="996">
        <v>1</v>
      </c>
      <c r="B230" s="1640" t="str">
        <f>VLOOKUP(C230,'DS CN MOI UP'!$B$10:$C$389,2,0)</f>
        <v>03348</v>
      </c>
      <c r="C230" s="963" t="s">
        <v>124</v>
      </c>
      <c r="D230" s="997" t="s">
        <v>15</v>
      </c>
      <c r="E230" s="960">
        <f t="shared" ref="E230:E293" si="54">3*8</f>
        <v>24</v>
      </c>
      <c r="F230" s="960"/>
      <c r="G230" s="960"/>
      <c r="H230" s="1110"/>
      <c r="I230" s="960"/>
      <c r="J230" s="960"/>
      <c r="K230" s="960"/>
      <c r="L230" s="960"/>
      <c r="M230" s="960"/>
      <c r="N230" s="960"/>
      <c r="O230" s="960"/>
      <c r="P230" s="960"/>
      <c r="Q230" s="960"/>
      <c r="R230" s="960"/>
      <c r="S230" s="975">
        <f t="shared" ref="S230:S261" si="55">SUM(E230:N230)</f>
        <v>24</v>
      </c>
      <c r="T230" s="975" t="e">
        <f>VLOOKUP(C230,'sản lượng'!$D$12:$AK$89,36,0)</f>
        <v>#N/A</v>
      </c>
      <c r="U230" s="975"/>
      <c r="V230" s="975"/>
      <c r="W230" s="975" t="e">
        <f>VLOOKUP(C230,'sản lượng'!$D$12:$AK$89,36,0)</f>
        <v>#N/A</v>
      </c>
      <c r="X230" s="975"/>
      <c r="Y230" s="975"/>
      <c r="Z230" s="975" t="e">
        <f t="shared" ref="Z230:Z261" si="56">W230*$AN$16+X230*$AN$10+$AN$11*Y230</f>
        <v>#N/A</v>
      </c>
      <c r="AA230" s="975" t="e">
        <f>VLOOKUP(C230,'CHẤM CÔNG '!$D$12:$AL$89,33,0)</f>
        <v>#N/A</v>
      </c>
      <c r="AB230" s="975" t="e">
        <f>VLOOKUP(C230,'CHẤM CÔNG '!$D$12:$AL$89,34,0)</f>
        <v>#N/A</v>
      </c>
      <c r="AC230" s="975"/>
      <c r="AD230" s="975"/>
      <c r="AE230" s="975"/>
      <c r="AF230" s="975"/>
      <c r="AG230" s="975"/>
      <c r="AH230" s="975"/>
      <c r="AI230" s="975"/>
      <c r="AJ230" s="975"/>
      <c r="AK230" s="981"/>
      <c r="AL230" s="982" t="e">
        <f>VLOOKUP(C230,'sản lượng'!$D$12:$AM$89,38,0)</f>
        <v>#N/A</v>
      </c>
      <c r="AM230" s="946">
        <v>1478</v>
      </c>
      <c r="AN230" s="976" t="e">
        <f t="shared" ref="AN230:AN261" si="57">+W230-AM230</f>
        <v>#N/A</v>
      </c>
      <c r="AP230" s="944">
        <f>3-AR230</f>
        <v>3</v>
      </c>
    </row>
    <row r="231" spans="1:44" ht="15.75">
      <c r="A231" s="996">
        <v>2</v>
      </c>
      <c r="B231" s="1640" t="str">
        <f>VLOOKUP(C231,'DS CN MOI UP'!$B$10:$C$389,2,0)</f>
        <v>03349</v>
      </c>
      <c r="C231" s="963" t="s">
        <v>125</v>
      </c>
      <c r="D231" s="997" t="s">
        <v>15</v>
      </c>
      <c r="E231" s="960">
        <f t="shared" si="54"/>
        <v>24</v>
      </c>
      <c r="F231" s="960"/>
      <c r="G231" s="960"/>
      <c r="H231" s="1110"/>
      <c r="I231" s="960"/>
      <c r="J231" s="960"/>
      <c r="K231" s="960"/>
      <c r="L231" s="960"/>
      <c r="M231" s="960"/>
      <c r="N231" s="960"/>
      <c r="O231" s="960"/>
      <c r="P231" s="960"/>
      <c r="Q231" s="960"/>
      <c r="R231" s="960"/>
      <c r="S231" s="975">
        <f t="shared" si="55"/>
        <v>24</v>
      </c>
      <c r="T231" s="975" t="e">
        <f>VLOOKUP(C231,'sản lượng'!$D$12:$AK$89,36,0)</f>
        <v>#N/A</v>
      </c>
      <c r="U231" s="975"/>
      <c r="V231" s="975"/>
      <c r="W231" s="975" t="e">
        <f>VLOOKUP(C231,'sản lượng'!$D$12:$AK$89,36,0)</f>
        <v>#N/A</v>
      </c>
      <c r="X231" s="975"/>
      <c r="Y231" s="975"/>
      <c r="Z231" s="975" t="e">
        <f t="shared" si="56"/>
        <v>#N/A</v>
      </c>
      <c r="AA231" s="975" t="e">
        <f>VLOOKUP(C231,'CHẤM CÔNG '!$D$12:$AL$89,33,0)</f>
        <v>#N/A</v>
      </c>
      <c r="AB231" s="975" t="e">
        <f>VLOOKUP(C231,'CHẤM CÔNG '!$D$12:$AL$89,34,0)</f>
        <v>#N/A</v>
      </c>
      <c r="AC231" s="975"/>
      <c r="AD231" s="975"/>
      <c r="AE231" s="975"/>
      <c r="AF231" s="975"/>
      <c r="AG231" s="975"/>
      <c r="AH231" s="975"/>
      <c r="AI231" s="975"/>
      <c r="AJ231" s="975"/>
      <c r="AK231" s="981"/>
      <c r="AL231" s="982" t="e">
        <f>VLOOKUP(C231,'sản lượng'!$D$12:$AM$89,38,0)</f>
        <v>#N/A</v>
      </c>
      <c r="AM231" s="946">
        <v>1129</v>
      </c>
      <c r="AN231" s="976" t="e">
        <f t="shared" si="57"/>
        <v>#N/A</v>
      </c>
      <c r="AP231" s="944">
        <f t="shared" ref="AP231:AP294" si="58">3-AR231</f>
        <v>3</v>
      </c>
    </row>
    <row r="232" spans="1:44" ht="15.75">
      <c r="A232" s="996">
        <v>3</v>
      </c>
      <c r="B232" s="1640" t="str">
        <f>VLOOKUP(C232,'DS CN MOI UP'!$B$10:$C$389,2,0)</f>
        <v>02545</v>
      </c>
      <c r="C232" s="963" t="s">
        <v>126</v>
      </c>
      <c r="D232" s="997" t="s">
        <v>15</v>
      </c>
      <c r="E232" s="960">
        <f t="shared" si="54"/>
        <v>24</v>
      </c>
      <c r="F232" s="960"/>
      <c r="G232" s="960"/>
      <c r="H232" s="1110"/>
      <c r="I232" s="960"/>
      <c r="J232" s="960"/>
      <c r="K232" s="960"/>
      <c r="L232" s="960"/>
      <c r="M232" s="960"/>
      <c r="N232" s="960"/>
      <c r="O232" s="960"/>
      <c r="P232" s="960"/>
      <c r="Q232" s="960"/>
      <c r="R232" s="960"/>
      <c r="S232" s="975">
        <f t="shared" si="55"/>
        <v>24</v>
      </c>
      <c r="T232" s="975" t="e">
        <f>VLOOKUP(C232,'sản lượng'!$D$12:$AK$89,36,0)</f>
        <v>#N/A</v>
      </c>
      <c r="U232" s="975"/>
      <c r="V232" s="975"/>
      <c r="W232" s="975" t="e">
        <f>VLOOKUP(C232,'sản lượng'!$D$12:$AK$89,36,0)</f>
        <v>#N/A</v>
      </c>
      <c r="X232" s="975"/>
      <c r="Y232" s="975"/>
      <c r="Z232" s="975" t="e">
        <f t="shared" si="56"/>
        <v>#N/A</v>
      </c>
      <c r="AA232" s="975" t="e">
        <f>VLOOKUP(C232,'CHẤM CÔNG '!$D$12:$AL$89,33,0)</f>
        <v>#N/A</v>
      </c>
      <c r="AB232" s="975" t="e">
        <f>VLOOKUP(C232,'CHẤM CÔNG '!$D$12:$AL$89,34,0)</f>
        <v>#N/A</v>
      </c>
      <c r="AC232" s="975"/>
      <c r="AD232" s="975"/>
      <c r="AE232" s="975"/>
      <c r="AF232" s="975"/>
      <c r="AG232" s="975"/>
      <c r="AH232" s="975"/>
      <c r="AI232" s="975"/>
      <c r="AJ232" s="975"/>
      <c r="AK232" s="981"/>
      <c r="AL232" s="982" t="e">
        <f>VLOOKUP(C232,'sản lượng'!$D$12:$AM$89,38,0)</f>
        <v>#N/A</v>
      </c>
      <c r="AM232" s="946">
        <v>1255</v>
      </c>
      <c r="AN232" s="976" t="e">
        <f t="shared" si="57"/>
        <v>#N/A</v>
      </c>
      <c r="AP232" s="944">
        <f t="shared" si="58"/>
        <v>3</v>
      </c>
    </row>
    <row r="233" spans="1:44" ht="15.75">
      <c r="A233" s="996">
        <v>4</v>
      </c>
      <c r="B233" s="1640" t="str">
        <f>VLOOKUP(C233,'DS CN MOI UP'!$B$10:$C$389,2,0)</f>
        <v>02693</v>
      </c>
      <c r="C233" s="963" t="s">
        <v>127</v>
      </c>
      <c r="D233" s="997" t="s">
        <v>15</v>
      </c>
      <c r="E233" s="960">
        <f t="shared" si="54"/>
        <v>24</v>
      </c>
      <c r="F233" s="960"/>
      <c r="G233" s="960"/>
      <c r="H233" s="1110"/>
      <c r="I233" s="960"/>
      <c r="J233" s="960"/>
      <c r="K233" s="960"/>
      <c r="L233" s="960"/>
      <c r="M233" s="960"/>
      <c r="N233" s="960"/>
      <c r="O233" s="960"/>
      <c r="P233" s="960"/>
      <c r="Q233" s="960"/>
      <c r="R233" s="960"/>
      <c r="S233" s="975">
        <f t="shared" si="55"/>
        <v>24</v>
      </c>
      <c r="T233" s="975" t="e">
        <f>VLOOKUP(C233,'sản lượng'!$D$12:$AK$89,36,0)</f>
        <v>#N/A</v>
      </c>
      <c r="U233" s="975"/>
      <c r="V233" s="975"/>
      <c r="W233" s="975" t="e">
        <f>VLOOKUP(C233,'sản lượng'!$D$12:$AK$89,36,0)</f>
        <v>#N/A</v>
      </c>
      <c r="X233" s="975"/>
      <c r="Y233" s="975"/>
      <c r="Z233" s="975" t="e">
        <f t="shared" si="56"/>
        <v>#N/A</v>
      </c>
      <c r="AA233" s="975" t="e">
        <f>VLOOKUP(C233,'CHẤM CÔNG '!$D$12:$AL$89,33,0)</f>
        <v>#N/A</v>
      </c>
      <c r="AB233" s="975" t="e">
        <f>VLOOKUP(C233,'CHẤM CÔNG '!$D$12:$AL$89,34,0)</f>
        <v>#N/A</v>
      </c>
      <c r="AC233" s="975"/>
      <c r="AD233" s="975"/>
      <c r="AE233" s="975"/>
      <c r="AF233" s="975"/>
      <c r="AG233" s="975"/>
      <c r="AH233" s="975"/>
      <c r="AI233" s="975"/>
      <c r="AJ233" s="975"/>
      <c r="AK233" s="981"/>
      <c r="AL233" s="982" t="e">
        <f>VLOOKUP(C233,'sản lượng'!$D$12:$AM$89,38,0)</f>
        <v>#N/A</v>
      </c>
      <c r="AM233" s="946">
        <v>1574</v>
      </c>
      <c r="AN233" s="976" t="e">
        <f t="shared" si="57"/>
        <v>#N/A</v>
      </c>
      <c r="AP233" s="944">
        <f t="shared" si="58"/>
        <v>3</v>
      </c>
    </row>
    <row r="234" spans="1:44" ht="15.75">
      <c r="A234" s="996">
        <v>5</v>
      </c>
      <c r="B234" s="1640" t="str">
        <f>VLOOKUP(C234,'DS CN MOI UP'!$B$10:$C$389,2,0)</f>
        <v>03350</v>
      </c>
      <c r="C234" s="963" t="s">
        <v>128</v>
      </c>
      <c r="D234" s="997" t="s">
        <v>15</v>
      </c>
      <c r="E234" s="960">
        <f t="shared" si="54"/>
        <v>24</v>
      </c>
      <c r="F234" s="960"/>
      <c r="G234" s="960"/>
      <c r="H234" s="1110"/>
      <c r="I234" s="960"/>
      <c r="J234" s="960"/>
      <c r="K234" s="960"/>
      <c r="L234" s="960"/>
      <c r="M234" s="960"/>
      <c r="N234" s="960"/>
      <c r="O234" s="960"/>
      <c r="P234" s="960"/>
      <c r="Q234" s="960"/>
      <c r="R234" s="960"/>
      <c r="S234" s="975">
        <f t="shared" si="55"/>
        <v>24</v>
      </c>
      <c r="T234" s="975" t="e">
        <f>VLOOKUP(C234,'sản lượng'!$D$12:$AK$89,36,0)</f>
        <v>#N/A</v>
      </c>
      <c r="U234" s="975"/>
      <c r="V234" s="975"/>
      <c r="W234" s="975" t="e">
        <f>VLOOKUP(C234,'sản lượng'!$D$12:$AK$89,36,0)</f>
        <v>#N/A</v>
      </c>
      <c r="X234" s="975"/>
      <c r="Y234" s="975"/>
      <c r="Z234" s="975" t="e">
        <f t="shared" si="56"/>
        <v>#N/A</v>
      </c>
      <c r="AA234" s="975" t="e">
        <f>VLOOKUP(C234,'CHẤM CÔNG '!$D$12:$AL$89,33,0)</f>
        <v>#N/A</v>
      </c>
      <c r="AB234" s="975" t="e">
        <f>VLOOKUP(C234,'CHẤM CÔNG '!$D$12:$AL$89,34,0)</f>
        <v>#N/A</v>
      </c>
      <c r="AC234" s="975"/>
      <c r="AD234" s="975"/>
      <c r="AE234" s="975"/>
      <c r="AF234" s="975"/>
      <c r="AG234" s="975"/>
      <c r="AH234" s="975"/>
      <c r="AI234" s="975"/>
      <c r="AJ234" s="975"/>
      <c r="AK234" s="981"/>
      <c r="AL234" s="982" t="e">
        <f>VLOOKUP(C234,'sản lượng'!$D$12:$AM$89,38,0)</f>
        <v>#N/A</v>
      </c>
      <c r="AM234" s="946">
        <v>1198</v>
      </c>
      <c r="AN234" s="976" t="e">
        <f t="shared" si="57"/>
        <v>#N/A</v>
      </c>
      <c r="AP234" s="944">
        <f t="shared" si="58"/>
        <v>3</v>
      </c>
    </row>
    <row r="235" spans="1:44" ht="15.75">
      <c r="A235" s="996">
        <v>6</v>
      </c>
      <c r="B235" s="1640" t="str">
        <f>VLOOKUP(C235,'DS CN MOI UP'!$B$10:$C$389,2,0)</f>
        <v>02526</v>
      </c>
      <c r="C235" s="963" t="s">
        <v>129</v>
      </c>
      <c r="D235" s="997" t="s">
        <v>15</v>
      </c>
      <c r="E235" s="960">
        <f t="shared" si="54"/>
        <v>24</v>
      </c>
      <c r="F235" s="960"/>
      <c r="G235" s="960"/>
      <c r="H235" s="1110"/>
      <c r="I235" s="960"/>
      <c r="J235" s="960"/>
      <c r="K235" s="960"/>
      <c r="L235" s="960"/>
      <c r="M235" s="960"/>
      <c r="N235" s="960"/>
      <c r="O235" s="960"/>
      <c r="P235" s="960"/>
      <c r="Q235" s="960"/>
      <c r="R235" s="960"/>
      <c r="S235" s="975">
        <f t="shared" si="55"/>
        <v>24</v>
      </c>
      <c r="T235" s="975" t="e">
        <f>VLOOKUP(C235,'sản lượng'!$D$12:$AK$89,36,0)</f>
        <v>#N/A</v>
      </c>
      <c r="U235" s="975"/>
      <c r="V235" s="975"/>
      <c r="W235" s="975" t="e">
        <f>VLOOKUP(C235,'sản lượng'!$D$12:$AK$89,36,0)</f>
        <v>#N/A</v>
      </c>
      <c r="X235" s="975"/>
      <c r="Y235" s="975"/>
      <c r="Z235" s="975" t="e">
        <f t="shared" si="56"/>
        <v>#N/A</v>
      </c>
      <c r="AA235" s="975" t="e">
        <f>VLOOKUP(C235,'CHẤM CÔNG '!$D$12:$AL$89,33,0)</f>
        <v>#N/A</v>
      </c>
      <c r="AB235" s="975" t="e">
        <f>VLOOKUP(C235,'CHẤM CÔNG '!$D$12:$AL$89,34,0)</f>
        <v>#N/A</v>
      </c>
      <c r="AC235" s="975"/>
      <c r="AD235" s="975"/>
      <c r="AE235" s="975"/>
      <c r="AF235" s="975"/>
      <c r="AG235" s="975"/>
      <c r="AH235" s="975"/>
      <c r="AI235" s="975"/>
      <c r="AJ235" s="975"/>
      <c r="AK235" s="981"/>
      <c r="AL235" s="982" t="e">
        <f>VLOOKUP(C235,'sản lượng'!$D$12:$AM$89,38,0)</f>
        <v>#N/A</v>
      </c>
      <c r="AM235" s="946">
        <v>1241</v>
      </c>
      <c r="AN235" s="976" t="e">
        <f t="shared" si="57"/>
        <v>#N/A</v>
      </c>
      <c r="AP235" s="944">
        <f t="shared" si="58"/>
        <v>2</v>
      </c>
      <c r="AR235" s="944">
        <v>1</v>
      </c>
    </row>
    <row r="236" spans="1:44" ht="15.75">
      <c r="A236" s="996">
        <v>7</v>
      </c>
      <c r="B236" s="1640" t="str">
        <f>VLOOKUP(C236,'DS CN MOI UP'!$B$10:$C$389,2,0)</f>
        <v>03351</v>
      </c>
      <c r="C236" s="963" t="s">
        <v>130</v>
      </c>
      <c r="D236" s="997" t="s">
        <v>15</v>
      </c>
      <c r="E236" s="960">
        <f t="shared" si="54"/>
        <v>24</v>
      </c>
      <c r="F236" s="960"/>
      <c r="G236" s="960"/>
      <c r="H236" s="1110"/>
      <c r="I236" s="960"/>
      <c r="J236" s="960"/>
      <c r="K236" s="960"/>
      <c r="L236" s="960"/>
      <c r="M236" s="960"/>
      <c r="N236" s="960"/>
      <c r="O236" s="960"/>
      <c r="P236" s="960"/>
      <c r="Q236" s="960"/>
      <c r="R236" s="960"/>
      <c r="S236" s="975">
        <f t="shared" si="55"/>
        <v>24</v>
      </c>
      <c r="T236" s="975" t="e">
        <f>VLOOKUP(C236,'sản lượng'!$D$12:$AK$89,36,0)</f>
        <v>#N/A</v>
      </c>
      <c r="U236" s="975"/>
      <c r="V236" s="975"/>
      <c r="W236" s="975" t="e">
        <f>VLOOKUP(C236,'sản lượng'!$D$12:$AK$89,36,0)</f>
        <v>#N/A</v>
      </c>
      <c r="X236" s="975"/>
      <c r="Y236" s="975"/>
      <c r="Z236" s="975" t="e">
        <f t="shared" si="56"/>
        <v>#N/A</v>
      </c>
      <c r="AA236" s="975" t="e">
        <f>VLOOKUP(C236,'CHẤM CÔNG '!$D$12:$AL$89,33,0)</f>
        <v>#N/A</v>
      </c>
      <c r="AB236" s="975" t="e">
        <f>VLOOKUP(C236,'CHẤM CÔNG '!$D$12:$AL$89,34,0)</f>
        <v>#N/A</v>
      </c>
      <c r="AC236" s="975"/>
      <c r="AD236" s="975"/>
      <c r="AE236" s="975"/>
      <c r="AF236" s="975"/>
      <c r="AG236" s="975"/>
      <c r="AH236" s="975"/>
      <c r="AI236" s="975"/>
      <c r="AJ236" s="975"/>
      <c r="AK236" s="981"/>
      <c r="AL236" s="982" t="e">
        <f>VLOOKUP(C236,'sản lượng'!$D$12:$AM$89,38,0)</f>
        <v>#N/A</v>
      </c>
      <c r="AM236" s="946">
        <v>2064</v>
      </c>
      <c r="AN236" s="976" t="e">
        <f t="shared" si="57"/>
        <v>#N/A</v>
      </c>
      <c r="AP236" s="944">
        <f t="shared" si="58"/>
        <v>2</v>
      </c>
      <c r="AR236" s="944">
        <v>1</v>
      </c>
    </row>
    <row r="237" spans="1:44" ht="15.75">
      <c r="A237" s="996">
        <v>8</v>
      </c>
      <c r="B237" s="1640" t="str">
        <f>VLOOKUP(C237,'DS CN MOI UP'!$B$10:$C$389,2,0)</f>
        <v>03352</v>
      </c>
      <c r="C237" s="963" t="s">
        <v>131</v>
      </c>
      <c r="D237" s="997" t="s">
        <v>15</v>
      </c>
      <c r="E237" s="960">
        <f t="shared" si="54"/>
        <v>24</v>
      </c>
      <c r="F237" s="960"/>
      <c r="G237" s="960"/>
      <c r="H237" s="1110"/>
      <c r="I237" s="960"/>
      <c r="J237" s="960"/>
      <c r="K237" s="960"/>
      <c r="L237" s="960"/>
      <c r="M237" s="960"/>
      <c r="N237" s="960"/>
      <c r="O237" s="960"/>
      <c r="P237" s="960"/>
      <c r="Q237" s="960"/>
      <c r="R237" s="960"/>
      <c r="S237" s="975">
        <f t="shared" si="55"/>
        <v>24</v>
      </c>
      <c r="T237" s="975" t="e">
        <f>VLOOKUP(C237,'sản lượng'!$D$12:$AK$89,36,0)</f>
        <v>#N/A</v>
      </c>
      <c r="U237" s="975"/>
      <c r="V237" s="975"/>
      <c r="W237" s="975" t="e">
        <f>VLOOKUP(C237,'sản lượng'!$D$12:$AK$89,36,0)</f>
        <v>#N/A</v>
      </c>
      <c r="X237" s="975"/>
      <c r="Y237" s="975"/>
      <c r="Z237" s="975" t="e">
        <f t="shared" si="56"/>
        <v>#N/A</v>
      </c>
      <c r="AA237" s="975" t="e">
        <f>VLOOKUP(C237,'CHẤM CÔNG '!$D$12:$AL$89,33,0)</f>
        <v>#N/A</v>
      </c>
      <c r="AB237" s="975" t="e">
        <f>VLOOKUP(C237,'CHẤM CÔNG '!$D$12:$AL$89,34,0)</f>
        <v>#N/A</v>
      </c>
      <c r="AC237" s="975"/>
      <c r="AD237" s="975"/>
      <c r="AE237" s="975"/>
      <c r="AF237" s="975"/>
      <c r="AG237" s="975"/>
      <c r="AH237" s="975"/>
      <c r="AI237" s="975"/>
      <c r="AJ237" s="975"/>
      <c r="AK237" s="981"/>
      <c r="AL237" s="982" t="e">
        <f>VLOOKUP(C237,'sản lượng'!$D$12:$AM$89,38,0)</f>
        <v>#N/A</v>
      </c>
      <c r="AM237" s="946">
        <v>2408</v>
      </c>
      <c r="AN237" s="976" t="e">
        <f t="shared" si="57"/>
        <v>#N/A</v>
      </c>
      <c r="AP237" s="944">
        <f t="shared" si="58"/>
        <v>2</v>
      </c>
      <c r="AR237" s="944">
        <v>1</v>
      </c>
    </row>
    <row r="238" spans="1:44" ht="15.75">
      <c r="A238" s="996">
        <v>9</v>
      </c>
      <c r="B238" s="1640" t="str">
        <f>VLOOKUP(C238,'DS CN MOI UP'!$B$10:$C$389,2,0)</f>
        <v>02567</v>
      </c>
      <c r="C238" s="963" t="s">
        <v>132</v>
      </c>
      <c r="D238" s="997" t="s">
        <v>15</v>
      </c>
      <c r="E238" s="960">
        <f t="shared" si="54"/>
        <v>24</v>
      </c>
      <c r="F238" s="960"/>
      <c r="G238" s="960"/>
      <c r="H238" s="1110"/>
      <c r="I238" s="960"/>
      <c r="J238" s="960"/>
      <c r="K238" s="960"/>
      <c r="L238" s="960"/>
      <c r="M238" s="960"/>
      <c r="N238" s="960"/>
      <c r="O238" s="960"/>
      <c r="P238" s="960"/>
      <c r="Q238" s="960"/>
      <c r="R238" s="960"/>
      <c r="S238" s="975">
        <f t="shared" si="55"/>
        <v>24</v>
      </c>
      <c r="T238" s="975" t="e">
        <f>VLOOKUP(C238,'sản lượng'!$D$12:$AK$89,36,0)</f>
        <v>#N/A</v>
      </c>
      <c r="U238" s="975"/>
      <c r="V238" s="975"/>
      <c r="W238" s="975" t="e">
        <f>VLOOKUP(C238,'sản lượng'!$D$12:$AK$89,36,0)</f>
        <v>#N/A</v>
      </c>
      <c r="X238" s="975"/>
      <c r="Y238" s="975"/>
      <c r="Z238" s="975" t="e">
        <f t="shared" si="56"/>
        <v>#N/A</v>
      </c>
      <c r="AA238" s="975" t="e">
        <f>VLOOKUP(C238,'CHẤM CÔNG '!$D$12:$AL$89,33,0)</f>
        <v>#N/A</v>
      </c>
      <c r="AB238" s="975" t="e">
        <f>VLOOKUP(C238,'CHẤM CÔNG '!$D$12:$AL$89,34,0)</f>
        <v>#N/A</v>
      </c>
      <c r="AC238" s="975"/>
      <c r="AD238" s="975"/>
      <c r="AE238" s="975"/>
      <c r="AF238" s="975"/>
      <c r="AG238" s="975"/>
      <c r="AH238" s="975"/>
      <c r="AI238" s="975"/>
      <c r="AJ238" s="975"/>
      <c r="AK238" s="981"/>
      <c r="AL238" s="982" t="e">
        <f>VLOOKUP(C238,'sản lượng'!$D$12:$AM$89,38,0)</f>
        <v>#N/A</v>
      </c>
      <c r="AM238" s="946">
        <v>1648</v>
      </c>
      <c r="AN238" s="976" t="e">
        <f t="shared" si="57"/>
        <v>#N/A</v>
      </c>
      <c r="AP238" s="944">
        <f t="shared" si="58"/>
        <v>2</v>
      </c>
      <c r="AR238" s="944">
        <v>1</v>
      </c>
    </row>
    <row r="239" spans="1:44" ht="15.75">
      <c r="A239" s="996">
        <v>10</v>
      </c>
      <c r="B239" s="1640" t="str">
        <f>VLOOKUP(C239,'DS CN MOI UP'!$B$10:$C$389,2,0)</f>
        <v>02564</v>
      </c>
      <c r="C239" s="963" t="s">
        <v>133</v>
      </c>
      <c r="D239" s="997" t="s">
        <v>15</v>
      </c>
      <c r="E239" s="960">
        <f t="shared" si="54"/>
        <v>24</v>
      </c>
      <c r="F239" s="960"/>
      <c r="G239" s="960"/>
      <c r="H239" s="1110"/>
      <c r="I239" s="960"/>
      <c r="J239" s="960"/>
      <c r="K239" s="960"/>
      <c r="L239" s="960"/>
      <c r="M239" s="960"/>
      <c r="N239" s="960"/>
      <c r="O239" s="960"/>
      <c r="P239" s="960"/>
      <c r="Q239" s="960"/>
      <c r="R239" s="960"/>
      <c r="S239" s="975">
        <f t="shared" si="55"/>
        <v>24</v>
      </c>
      <c r="T239" s="975" t="e">
        <f>VLOOKUP(C239,'sản lượng'!$D$12:$AK$89,36,0)</f>
        <v>#N/A</v>
      </c>
      <c r="U239" s="975"/>
      <c r="V239" s="975"/>
      <c r="W239" s="975" t="e">
        <f>VLOOKUP(C239,'sản lượng'!$D$12:$AK$89,36,0)</f>
        <v>#N/A</v>
      </c>
      <c r="X239" s="975"/>
      <c r="Y239" s="975"/>
      <c r="Z239" s="975" t="e">
        <f t="shared" si="56"/>
        <v>#N/A</v>
      </c>
      <c r="AA239" s="975" t="e">
        <f>VLOOKUP(C239,'CHẤM CÔNG '!$D$12:$AL$89,33,0)</f>
        <v>#N/A</v>
      </c>
      <c r="AB239" s="975" t="e">
        <f>VLOOKUP(C239,'CHẤM CÔNG '!$D$12:$AL$89,34,0)</f>
        <v>#N/A</v>
      </c>
      <c r="AC239" s="975"/>
      <c r="AD239" s="975"/>
      <c r="AE239" s="975"/>
      <c r="AF239" s="975"/>
      <c r="AG239" s="975"/>
      <c r="AH239" s="975"/>
      <c r="AI239" s="975"/>
      <c r="AJ239" s="975"/>
      <c r="AK239" s="981"/>
      <c r="AL239" s="982" t="e">
        <f>VLOOKUP(C239,'sản lượng'!$D$12:$AM$89,38,0)</f>
        <v>#N/A</v>
      </c>
      <c r="AM239" s="946">
        <v>1746</v>
      </c>
      <c r="AN239" s="976" t="e">
        <f t="shared" si="57"/>
        <v>#N/A</v>
      </c>
      <c r="AP239" s="944">
        <f t="shared" si="58"/>
        <v>2</v>
      </c>
      <c r="AR239" s="944">
        <v>1</v>
      </c>
    </row>
    <row r="240" spans="1:44" ht="15.75">
      <c r="A240" s="996">
        <v>11</v>
      </c>
      <c r="B240" s="1640" t="str">
        <f>VLOOKUP(C240,'DS CN MOI UP'!$B$10:$C$389,2,0)</f>
        <v>03353</v>
      </c>
      <c r="C240" s="963" t="s">
        <v>134</v>
      </c>
      <c r="D240" s="997" t="s">
        <v>15</v>
      </c>
      <c r="E240" s="960">
        <f t="shared" si="54"/>
        <v>24</v>
      </c>
      <c r="F240" s="960"/>
      <c r="G240" s="960"/>
      <c r="H240" s="1110"/>
      <c r="I240" s="960"/>
      <c r="J240" s="960"/>
      <c r="K240" s="960"/>
      <c r="L240" s="960"/>
      <c r="M240" s="960"/>
      <c r="N240" s="960"/>
      <c r="O240" s="960"/>
      <c r="P240" s="960"/>
      <c r="Q240" s="960"/>
      <c r="R240" s="960"/>
      <c r="S240" s="975">
        <f t="shared" si="55"/>
        <v>24</v>
      </c>
      <c r="T240" s="975" t="e">
        <f>VLOOKUP(C240,'sản lượng'!$D$12:$AK$89,36,0)</f>
        <v>#N/A</v>
      </c>
      <c r="U240" s="975"/>
      <c r="V240" s="975"/>
      <c r="W240" s="975" t="e">
        <f>VLOOKUP(C240,'sản lượng'!$D$12:$AK$89,36,0)</f>
        <v>#N/A</v>
      </c>
      <c r="X240" s="975"/>
      <c r="Y240" s="975"/>
      <c r="Z240" s="975" t="e">
        <f t="shared" si="56"/>
        <v>#N/A</v>
      </c>
      <c r="AA240" s="975" t="e">
        <f>VLOOKUP(C240,'CHẤM CÔNG '!$D$12:$AL$89,33,0)</f>
        <v>#N/A</v>
      </c>
      <c r="AB240" s="975" t="e">
        <f>VLOOKUP(C240,'CHẤM CÔNG '!$D$12:$AL$89,34,0)</f>
        <v>#N/A</v>
      </c>
      <c r="AC240" s="975"/>
      <c r="AD240" s="975"/>
      <c r="AE240" s="975"/>
      <c r="AF240" s="975"/>
      <c r="AG240" s="975"/>
      <c r="AH240" s="975"/>
      <c r="AI240" s="975"/>
      <c r="AJ240" s="975"/>
      <c r="AK240" s="981"/>
      <c r="AL240" s="982" t="e">
        <f>VLOOKUP(C240,'sản lượng'!$D$12:$AM$89,38,0)</f>
        <v>#N/A</v>
      </c>
      <c r="AM240" s="946">
        <v>1937</v>
      </c>
      <c r="AN240" s="976" t="e">
        <f t="shared" si="57"/>
        <v>#N/A</v>
      </c>
      <c r="AP240" s="944">
        <f t="shared" si="58"/>
        <v>2</v>
      </c>
      <c r="AR240" s="944">
        <v>1</v>
      </c>
    </row>
    <row r="241" spans="1:44" ht="15.75">
      <c r="A241" s="996">
        <v>12</v>
      </c>
      <c r="B241" s="1640" t="str">
        <f>VLOOKUP(C241,'DS CN MOI UP'!$B$10:$C$389,2,0)</f>
        <v>02518</v>
      </c>
      <c r="C241" s="963" t="s">
        <v>135</v>
      </c>
      <c r="D241" s="997" t="s">
        <v>15</v>
      </c>
      <c r="E241" s="960">
        <f t="shared" si="54"/>
        <v>24</v>
      </c>
      <c r="F241" s="960"/>
      <c r="G241" s="960"/>
      <c r="H241" s="1110"/>
      <c r="I241" s="960"/>
      <c r="J241" s="960"/>
      <c r="K241" s="960"/>
      <c r="L241" s="960"/>
      <c r="M241" s="960"/>
      <c r="N241" s="960"/>
      <c r="O241" s="960"/>
      <c r="P241" s="960"/>
      <c r="Q241" s="960"/>
      <c r="R241" s="960"/>
      <c r="S241" s="975">
        <f t="shared" si="55"/>
        <v>24</v>
      </c>
      <c r="T241" s="975" t="e">
        <f>VLOOKUP(C241,'sản lượng'!$D$12:$AK$89,36,0)</f>
        <v>#N/A</v>
      </c>
      <c r="U241" s="975"/>
      <c r="V241" s="975"/>
      <c r="W241" s="975" t="e">
        <f>VLOOKUP(C241,'sản lượng'!$D$12:$AK$89,36,0)</f>
        <v>#N/A</v>
      </c>
      <c r="X241" s="975"/>
      <c r="Y241" s="975"/>
      <c r="Z241" s="975" t="e">
        <f t="shared" si="56"/>
        <v>#N/A</v>
      </c>
      <c r="AA241" s="975" t="e">
        <f>VLOOKUP(C241,'CHẤM CÔNG '!$D$12:$AL$89,33,0)</f>
        <v>#N/A</v>
      </c>
      <c r="AB241" s="975" t="e">
        <f>VLOOKUP(C241,'CHẤM CÔNG '!$D$12:$AL$89,34,0)</f>
        <v>#N/A</v>
      </c>
      <c r="AC241" s="975"/>
      <c r="AD241" s="975"/>
      <c r="AE241" s="975"/>
      <c r="AF241" s="975"/>
      <c r="AG241" s="975"/>
      <c r="AH241" s="975"/>
      <c r="AI241" s="975"/>
      <c r="AJ241" s="975"/>
      <c r="AK241" s="981"/>
      <c r="AL241" s="982" t="e">
        <f>VLOOKUP(C241,'sản lượng'!$D$12:$AM$89,38,0)</f>
        <v>#N/A</v>
      </c>
      <c r="AM241" s="946">
        <v>1832</v>
      </c>
      <c r="AN241" s="976" t="e">
        <f t="shared" si="57"/>
        <v>#N/A</v>
      </c>
      <c r="AP241" s="944">
        <f t="shared" si="58"/>
        <v>2</v>
      </c>
      <c r="AR241" s="944">
        <v>1</v>
      </c>
    </row>
    <row r="242" spans="1:44" ht="15.75">
      <c r="A242" s="996">
        <v>13</v>
      </c>
      <c r="B242" s="1640" t="str">
        <f>VLOOKUP(C242,'DS CN MOI UP'!$B$10:$C$389,2,0)</f>
        <v>03355</v>
      </c>
      <c r="C242" s="963" t="s">
        <v>136</v>
      </c>
      <c r="D242" s="997" t="s">
        <v>15</v>
      </c>
      <c r="E242" s="960">
        <f t="shared" si="54"/>
        <v>24</v>
      </c>
      <c r="F242" s="960"/>
      <c r="G242" s="960"/>
      <c r="H242" s="1110"/>
      <c r="I242" s="960"/>
      <c r="J242" s="960"/>
      <c r="K242" s="960"/>
      <c r="L242" s="960"/>
      <c r="M242" s="960"/>
      <c r="N242" s="960"/>
      <c r="O242" s="960"/>
      <c r="P242" s="960"/>
      <c r="Q242" s="960"/>
      <c r="R242" s="960"/>
      <c r="S242" s="975">
        <f t="shared" si="55"/>
        <v>24</v>
      </c>
      <c r="T242" s="975" t="e">
        <f>VLOOKUP(C242,'sản lượng'!$D$12:$AK$89,36,0)</f>
        <v>#N/A</v>
      </c>
      <c r="U242" s="975"/>
      <c r="V242" s="975"/>
      <c r="W242" s="975" t="e">
        <f>VLOOKUP(C242,'sản lượng'!$D$12:$AK$89,36,0)</f>
        <v>#N/A</v>
      </c>
      <c r="X242" s="975"/>
      <c r="Y242" s="975"/>
      <c r="Z242" s="975" t="e">
        <f t="shared" si="56"/>
        <v>#N/A</v>
      </c>
      <c r="AA242" s="975" t="e">
        <f>VLOOKUP(C242,'CHẤM CÔNG '!$D$12:$AL$89,33,0)</f>
        <v>#N/A</v>
      </c>
      <c r="AB242" s="975" t="e">
        <f>VLOOKUP(C242,'CHẤM CÔNG '!$D$12:$AL$89,34,0)</f>
        <v>#N/A</v>
      </c>
      <c r="AC242" s="975"/>
      <c r="AD242" s="975"/>
      <c r="AE242" s="975"/>
      <c r="AF242" s="975"/>
      <c r="AG242" s="975"/>
      <c r="AH242" s="975"/>
      <c r="AI242" s="975"/>
      <c r="AJ242" s="975"/>
      <c r="AK242" s="981"/>
      <c r="AL242" s="982" t="e">
        <f>VLOOKUP(C242,'sản lượng'!$D$12:$AM$89,38,0)</f>
        <v>#N/A</v>
      </c>
      <c r="AM242" s="946">
        <v>1305</v>
      </c>
      <c r="AN242" s="976" t="e">
        <f t="shared" si="57"/>
        <v>#N/A</v>
      </c>
      <c r="AP242" s="944">
        <f t="shared" si="58"/>
        <v>2</v>
      </c>
      <c r="AR242" s="944">
        <v>1</v>
      </c>
    </row>
    <row r="243" spans="1:44" ht="15.75">
      <c r="A243" s="996">
        <v>14</v>
      </c>
      <c r="B243" s="1640" t="str">
        <f>VLOOKUP(C243,'DS CN MOI UP'!$B$10:$C$389,2,0)</f>
        <v>02521</v>
      </c>
      <c r="C243" s="963" t="s">
        <v>137</v>
      </c>
      <c r="D243" s="997" t="s">
        <v>15</v>
      </c>
      <c r="E243" s="960">
        <f t="shared" si="54"/>
        <v>24</v>
      </c>
      <c r="F243" s="960"/>
      <c r="G243" s="960"/>
      <c r="H243" s="1110"/>
      <c r="I243" s="960"/>
      <c r="J243" s="960"/>
      <c r="K243" s="960"/>
      <c r="L243" s="960"/>
      <c r="M243" s="960"/>
      <c r="N243" s="960"/>
      <c r="O243" s="960"/>
      <c r="P243" s="960"/>
      <c r="Q243" s="960"/>
      <c r="R243" s="960"/>
      <c r="S243" s="975">
        <f t="shared" si="55"/>
        <v>24</v>
      </c>
      <c r="T243" s="975" t="e">
        <f>VLOOKUP(C243,'sản lượng'!$D$12:$AK$89,36,0)</f>
        <v>#N/A</v>
      </c>
      <c r="U243" s="975"/>
      <c r="V243" s="975"/>
      <c r="W243" s="975" t="e">
        <f>VLOOKUP(C243,'sản lượng'!$D$12:$AK$89,36,0)</f>
        <v>#N/A</v>
      </c>
      <c r="X243" s="975"/>
      <c r="Y243" s="975"/>
      <c r="Z243" s="975" t="e">
        <f t="shared" si="56"/>
        <v>#N/A</v>
      </c>
      <c r="AA243" s="975" t="e">
        <f>VLOOKUP(C243,'CHẤM CÔNG '!$D$12:$AL$89,33,0)</f>
        <v>#N/A</v>
      </c>
      <c r="AB243" s="975" t="e">
        <f>VLOOKUP(C243,'CHẤM CÔNG '!$D$12:$AL$89,34,0)</f>
        <v>#N/A</v>
      </c>
      <c r="AC243" s="975"/>
      <c r="AD243" s="975"/>
      <c r="AE243" s="975"/>
      <c r="AF243" s="975"/>
      <c r="AG243" s="975"/>
      <c r="AH243" s="975"/>
      <c r="AI243" s="975"/>
      <c r="AJ243" s="975"/>
      <c r="AK243" s="981"/>
      <c r="AL243" s="982" t="e">
        <f>VLOOKUP(C243,'sản lượng'!$D$12:$AM$89,38,0)</f>
        <v>#N/A</v>
      </c>
      <c r="AM243" s="946">
        <v>1722</v>
      </c>
      <c r="AN243" s="976" t="e">
        <f t="shared" si="57"/>
        <v>#N/A</v>
      </c>
      <c r="AP243" s="944">
        <f t="shared" si="58"/>
        <v>2</v>
      </c>
      <c r="AR243" s="944">
        <v>1</v>
      </c>
    </row>
    <row r="244" spans="1:44" ht="15.75">
      <c r="A244" s="996">
        <v>15</v>
      </c>
      <c r="B244" s="1640" t="str">
        <f>VLOOKUP(C244,'DS CN MOI UP'!$B$10:$C$389,2,0)</f>
        <v>03356</v>
      </c>
      <c r="C244" s="963" t="s">
        <v>138</v>
      </c>
      <c r="D244" s="997" t="s">
        <v>15</v>
      </c>
      <c r="E244" s="960">
        <f t="shared" si="54"/>
        <v>24</v>
      </c>
      <c r="F244" s="960"/>
      <c r="G244" s="960"/>
      <c r="H244" s="1110"/>
      <c r="I244" s="960"/>
      <c r="J244" s="960"/>
      <c r="K244" s="960"/>
      <c r="L244" s="960"/>
      <c r="M244" s="960"/>
      <c r="N244" s="960"/>
      <c r="O244" s="960"/>
      <c r="P244" s="960"/>
      <c r="Q244" s="960"/>
      <c r="R244" s="960"/>
      <c r="S244" s="975">
        <f t="shared" si="55"/>
        <v>24</v>
      </c>
      <c r="T244" s="975" t="e">
        <f>VLOOKUP(C244,'sản lượng'!$D$12:$AK$89,36,0)</f>
        <v>#N/A</v>
      </c>
      <c r="U244" s="975"/>
      <c r="V244" s="975"/>
      <c r="W244" s="975" t="e">
        <f>VLOOKUP(C244,'sản lượng'!$D$12:$AK$89,36,0)</f>
        <v>#N/A</v>
      </c>
      <c r="X244" s="975"/>
      <c r="Y244" s="975"/>
      <c r="Z244" s="975" t="e">
        <f t="shared" si="56"/>
        <v>#N/A</v>
      </c>
      <c r="AA244" s="975" t="e">
        <f>VLOOKUP(C244,'CHẤM CÔNG '!$D$12:$AL$89,33,0)</f>
        <v>#N/A</v>
      </c>
      <c r="AB244" s="975" t="e">
        <f>VLOOKUP(C244,'CHẤM CÔNG '!$D$12:$AL$89,34,0)</f>
        <v>#N/A</v>
      </c>
      <c r="AC244" s="975"/>
      <c r="AD244" s="975"/>
      <c r="AE244" s="975"/>
      <c r="AF244" s="975"/>
      <c r="AG244" s="975"/>
      <c r="AH244" s="975"/>
      <c r="AI244" s="975"/>
      <c r="AJ244" s="975"/>
      <c r="AK244" s="981"/>
      <c r="AL244" s="982" t="e">
        <f>VLOOKUP(C244,'sản lượng'!$D$12:$AM$89,38,0)</f>
        <v>#N/A</v>
      </c>
      <c r="AM244" s="946">
        <v>1304</v>
      </c>
      <c r="AN244" s="976" t="e">
        <f t="shared" si="57"/>
        <v>#N/A</v>
      </c>
      <c r="AP244" s="944">
        <f t="shared" si="58"/>
        <v>2</v>
      </c>
      <c r="AR244" s="944">
        <v>1</v>
      </c>
    </row>
    <row r="245" spans="1:44" ht="15.75">
      <c r="A245" s="996">
        <v>16</v>
      </c>
      <c r="B245" s="1640" t="str">
        <f>VLOOKUP(C245,'DS CN MOI UP'!$B$10:$C$389,2,0)</f>
        <v>02524</v>
      </c>
      <c r="C245" s="963" t="s">
        <v>139</v>
      </c>
      <c r="D245" s="997" t="s">
        <v>15</v>
      </c>
      <c r="E245" s="960">
        <f t="shared" si="54"/>
        <v>24</v>
      </c>
      <c r="F245" s="960"/>
      <c r="G245" s="960"/>
      <c r="H245" s="1110"/>
      <c r="I245" s="960"/>
      <c r="J245" s="960"/>
      <c r="K245" s="960"/>
      <c r="L245" s="960"/>
      <c r="M245" s="960"/>
      <c r="N245" s="960"/>
      <c r="O245" s="960"/>
      <c r="P245" s="960"/>
      <c r="Q245" s="960"/>
      <c r="R245" s="960"/>
      <c r="S245" s="975">
        <f t="shared" si="55"/>
        <v>24</v>
      </c>
      <c r="T245" s="975" t="e">
        <f>VLOOKUP(C245,'sản lượng'!$D$12:$AK$89,36,0)</f>
        <v>#N/A</v>
      </c>
      <c r="U245" s="975"/>
      <c r="V245" s="975"/>
      <c r="W245" s="975" t="e">
        <f>VLOOKUP(C245,'sản lượng'!$D$12:$AK$89,36,0)</f>
        <v>#N/A</v>
      </c>
      <c r="X245" s="975"/>
      <c r="Y245" s="975"/>
      <c r="Z245" s="975" t="e">
        <f t="shared" si="56"/>
        <v>#N/A</v>
      </c>
      <c r="AA245" s="975" t="e">
        <f>VLOOKUP(C245,'CHẤM CÔNG '!$D$12:$AL$89,33,0)</f>
        <v>#N/A</v>
      </c>
      <c r="AB245" s="975" t="e">
        <f>VLOOKUP(C245,'CHẤM CÔNG '!$D$12:$AL$89,34,0)</f>
        <v>#N/A</v>
      </c>
      <c r="AC245" s="975"/>
      <c r="AD245" s="975"/>
      <c r="AE245" s="975"/>
      <c r="AF245" s="975"/>
      <c r="AG245" s="975"/>
      <c r="AH245" s="975"/>
      <c r="AI245" s="975"/>
      <c r="AJ245" s="975"/>
      <c r="AK245" s="981"/>
      <c r="AL245" s="982" t="e">
        <f>VLOOKUP(C245,'sản lượng'!$D$12:$AM$89,38,0)</f>
        <v>#N/A</v>
      </c>
      <c r="AM245" s="946">
        <v>2276</v>
      </c>
      <c r="AN245" s="976" t="e">
        <f t="shared" si="57"/>
        <v>#N/A</v>
      </c>
      <c r="AP245" s="944">
        <f t="shared" si="58"/>
        <v>2</v>
      </c>
      <c r="AR245" s="944">
        <v>1</v>
      </c>
    </row>
    <row r="246" spans="1:44" ht="15.75">
      <c r="A246" s="996">
        <v>17</v>
      </c>
      <c r="B246" s="1640" t="str">
        <f>VLOOKUP(C246,'DS CN MOI UP'!$B$10:$C$389,2,0)</f>
        <v>03357</v>
      </c>
      <c r="C246" s="963" t="s">
        <v>140</v>
      </c>
      <c r="D246" s="997" t="s">
        <v>15</v>
      </c>
      <c r="E246" s="960">
        <f t="shared" si="54"/>
        <v>24</v>
      </c>
      <c r="F246" s="960"/>
      <c r="G246" s="960"/>
      <c r="H246" s="1110"/>
      <c r="I246" s="960"/>
      <c r="J246" s="960"/>
      <c r="K246" s="960"/>
      <c r="L246" s="960"/>
      <c r="M246" s="960"/>
      <c r="N246" s="960"/>
      <c r="O246" s="960"/>
      <c r="P246" s="960"/>
      <c r="Q246" s="960"/>
      <c r="R246" s="960"/>
      <c r="S246" s="975">
        <f t="shared" si="55"/>
        <v>24</v>
      </c>
      <c r="T246" s="975" t="e">
        <f>VLOOKUP(C246,'sản lượng'!$D$12:$AK$89,36,0)</f>
        <v>#N/A</v>
      </c>
      <c r="U246" s="975"/>
      <c r="V246" s="975"/>
      <c r="W246" s="975" t="e">
        <f>VLOOKUP(C246,'sản lượng'!$D$12:$AK$89,36,0)</f>
        <v>#N/A</v>
      </c>
      <c r="X246" s="975"/>
      <c r="Y246" s="975"/>
      <c r="Z246" s="975" t="e">
        <f t="shared" si="56"/>
        <v>#N/A</v>
      </c>
      <c r="AA246" s="975" t="e">
        <f>VLOOKUP(C246,'CHẤM CÔNG '!$D$12:$AL$89,33,0)</f>
        <v>#N/A</v>
      </c>
      <c r="AB246" s="975" t="e">
        <f>VLOOKUP(C246,'CHẤM CÔNG '!$D$12:$AL$89,34,0)</f>
        <v>#N/A</v>
      </c>
      <c r="AC246" s="975"/>
      <c r="AD246" s="975"/>
      <c r="AE246" s="975"/>
      <c r="AF246" s="975"/>
      <c r="AG246" s="975"/>
      <c r="AH246" s="975"/>
      <c r="AI246" s="975"/>
      <c r="AJ246" s="975"/>
      <c r="AK246" s="981"/>
      <c r="AL246" s="982" t="e">
        <f>VLOOKUP(C246,'sản lượng'!$D$12:$AM$89,38,0)</f>
        <v>#N/A</v>
      </c>
      <c r="AM246" s="946">
        <v>2274</v>
      </c>
      <c r="AN246" s="976" t="e">
        <f t="shared" si="57"/>
        <v>#N/A</v>
      </c>
      <c r="AP246" s="944">
        <f t="shared" si="58"/>
        <v>2</v>
      </c>
      <c r="AR246" s="944">
        <v>1</v>
      </c>
    </row>
    <row r="247" spans="1:44" ht="15.75">
      <c r="A247" s="996">
        <v>18</v>
      </c>
      <c r="B247" s="1640" t="str">
        <f>VLOOKUP(C247,'DS CN MOI UP'!$B$10:$C$389,2,0)</f>
        <v>03358</v>
      </c>
      <c r="C247" s="963" t="s">
        <v>141</v>
      </c>
      <c r="D247" s="997" t="s">
        <v>15</v>
      </c>
      <c r="E247" s="960">
        <f t="shared" si="54"/>
        <v>24</v>
      </c>
      <c r="F247" s="960"/>
      <c r="G247" s="960"/>
      <c r="H247" s="1110"/>
      <c r="I247" s="960"/>
      <c r="J247" s="960"/>
      <c r="K247" s="960"/>
      <c r="L247" s="960"/>
      <c r="M247" s="960"/>
      <c r="N247" s="960"/>
      <c r="O247" s="960"/>
      <c r="P247" s="960"/>
      <c r="Q247" s="960"/>
      <c r="R247" s="960"/>
      <c r="S247" s="975">
        <f t="shared" si="55"/>
        <v>24</v>
      </c>
      <c r="T247" s="975" t="e">
        <f>VLOOKUP(C247,'sản lượng'!$D$12:$AK$89,36,0)</f>
        <v>#N/A</v>
      </c>
      <c r="U247" s="975"/>
      <c r="V247" s="975"/>
      <c r="W247" s="975" t="e">
        <f>VLOOKUP(C247,'sản lượng'!$D$12:$AK$89,36,0)</f>
        <v>#N/A</v>
      </c>
      <c r="X247" s="975"/>
      <c r="Y247" s="975"/>
      <c r="Z247" s="975" t="e">
        <f t="shared" si="56"/>
        <v>#N/A</v>
      </c>
      <c r="AA247" s="975" t="e">
        <f>VLOOKUP(C247,'CHẤM CÔNG '!$D$12:$AL$89,33,0)</f>
        <v>#N/A</v>
      </c>
      <c r="AB247" s="975" t="e">
        <f>VLOOKUP(C247,'CHẤM CÔNG '!$D$12:$AL$89,34,0)</f>
        <v>#N/A</v>
      </c>
      <c r="AC247" s="975"/>
      <c r="AD247" s="975"/>
      <c r="AE247" s="975"/>
      <c r="AF247" s="975"/>
      <c r="AG247" s="975"/>
      <c r="AH247" s="975"/>
      <c r="AI247" s="975"/>
      <c r="AJ247" s="975"/>
      <c r="AK247" s="981"/>
      <c r="AL247" s="982" t="e">
        <f>VLOOKUP(C247,'sản lượng'!$D$12:$AM$89,38,0)</f>
        <v>#N/A</v>
      </c>
      <c r="AM247" s="946">
        <v>1965</v>
      </c>
      <c r="AN247" s="976" t="e">
        <f t="shared" si="57"/>
        <v>#N/A</v>
      </c>
      <c r="AP247" s="944">
        <f t="shared" si="58"/>
        <v>3</v>
      </c>
    </row>
    <row r="248" spans="1:44" ht="15.75">
      <c r="A248" s="996">
        <v>19</v>
      </c>
      <c r="B248" s="1640" t="str">
        <f>VLOOKUP(C248,'DS CN MOI UP'!$B$10:$C$389,2,0)</f>
        <v>02556</v>
      </c>
      <c r="C248" s="963" t="s">
        <v>142</v>
      </c>
      <c r="D248" s="997" t="s">
        <v>15</v>
      </c>
      <c r="E248" s="960">
        <f t="shared" si="54"/>
        <v>24</v>
      </c>
      <c r="F248" s="960"/>
      <c r="G248" s="960"/>
      <c r="H248" s="1110"/>
      <c r="I248" s="960"/>
      <c r="J248" s="960"/>
      <c r="K248" s="960"/>
      <c r="L248" s="960"/>
      <c r="M248" s="960"/>
      <c r="N248" s="960"/>
      <c r="O248" s="960"/>
      <c r="P248" s="960"/>
      <c r="Q248" s="960"/>
      <c r="R248" s="960"/>
      <c r="S248" s="975">
        <f t="shared" si="55"/>
        <v>24</v>
      </c>
      <c r="T248" s="975" t="e">
        <f>VLOOKUP(C248,'sản lượng'!$D$12:$AK$89,36,0)</f>
        <v>#N/A</v>
      </c>
      <c r="U248" s="975"/>
      <c r="V248" s="975"/>
      <c r="W248" s="975" t="e">
        <f>VLOOKUP(C248,'sản lượng'!$D$12:$AK$89,36,0)</f>
        <v>#N/A</v>
      </c>
      <c r="X248" s="975"/>
      <c r="Y248" s="975"/>
      <c r="Z248" s="975" t="e">
        <f t="shared" si="56"/>
        <v>#N/A</v>
      </c>
      <c r="AA248" s="975" t="e">
        <f>VLOOKUP(C248,'CHẤM CÔNG '!$D$12:$AL$89,33,0)</f>
        <v>#N/A</v>
      </c>
      <c r="AB248" s="975" t="e">
        <f>VLOOKUP(C248,'CHẤM CÔNG '!$D$12:$AL$89,34,0)</f>
        <v>#N/A</v>
      </c>
      <c r="AC248" s="975"/>
      <c r="AD248" s="975"/>
      <c r="AE248" s="975"/>
      <c r="AF248" s="975"/>
      <c r="AG248" s="975"/>
      <c r="AH248" s="975"/>
      <c r="AI248" s="975"/>
      <c r="AJ248" s="975"/>
      <c r="AK248" s="981"/>
      <c r="AL248" s="982" t="e">
        <f>VLOOKUP(C248,'sản lượng'!$D$12:$AM$89,38,0)</f>
        <v>#N/A</v>
      </c>
      <c r="AM248" s="946">
        <v>797</v>
      </c>
      <c r="AN248" s="976" t="e">
        <f t="shared" si="57"/>
        <v>#N/A</v>
      </c>
      <c r="AP248" s="944">
        <f t="shared" si="58"/>
        <v>3</v>
      </c>
    </row>
    <row r="249" spans="1:44" ht="15.75">
      <c r="A249" s="996">
        <v>20</v>
      </c>
      <c r="B249" s="1640" t="str">
        <f>VLOOKUP(C249,'DS CN MOI UP'!$B$10:$C$389,2,0)</f>
        <v>02537</v>
      </c>
      <c r="C249" s="963" t="s">
        <v>143</v>
      </c>
      <c r="D249" s="997" t="s">
        <v>15</v>
      </c>
      <c r="E249" s="960">
        <f t="shared" si="54"/>
        <v>24</v>
      </c>
      <c r="F249" s="960"/>
      <c r="G249" s="960"/>
      <c r="H249" s="1110"/>
      <c r="I249" s="960"/>
      <c r="J249" s="960"/>
      <c r="K249" s="960"/>
      <c r="L249" s="960"/>
      <c r="M249" s="960"/>
      <c r="N249" s="960"/>
      <c r="O249" s="960"/>
      <c r="P249" s="960"/>
      <c r="Q249" s="960"/>
      <c r="R249" s="960"/>
      <c r="S249" s="975">
        <f t="shared" si="55"/>
        <v>24</v>
      </c>
      <c r="T249" s="975" t="e">
        <f>VLOOKUP(C249,'sản lượng'!$D$12:$AK$89,36,0)</f>
        <v>#N/A</v>
      </c>
      <c r="U249" s="975"/>
      <c r="V249" s="975"/>
      <c r="W249" s="975" t="e">
        <f>VLOOKUP(C249,'sản lượng'!$D$12:$AK$89,36,0)</f>
        <v>#N/A</v>
      </c>
      <c r="X249" s="975"/>
      <c r="Y249" s="975"/>
      <c r="Z249" s="975" t="e">
        <f t="shared" si="56"/>
        <v>#N/A</v>
      </c>
      <c r="AA249" s="975" t="e">
        <f>VLOOKUP(C249,'CHẤM CÔNG '!$D$12:$AL$89,33,0)</f>
        <v>#N/A</v>
      </c>
      <c r="AB249" s="975" t="e">
        <f>VLOOKUP(C249,'CHẤM CÔNG '!$D$12:$AL$89,34,0)</f>
        <v>#N/A</v>
      </c>
      <c r="AC249" s="975"/>
      <c r="AD249" s="975"/>
      <c r="AE249" s="975"/>
      <c r="AF249" s="975"/>
      <c r="AG249" s="975"/>
      <c r="AH249" s="975"/>
      <c r="AI249" s="975"/>
      <c r="AJ249" s="975"/>
      <c r="AK249" s="981"/>
      <c r="AL249" s="982" t="e">
        <f>VLOOKUP(C249,'sản lượng'!$D$12:$AM$89,38,0)</f>
        <v>#N/A</v>
      </c>
      <c r="AM249" s="946">
        <v>1518</v>
      </c>
      <c r="AN249" s="976" t="e">
        <f t="shared" si="57"/>
        <v>#N/A</v>
      </c>
      <c r="AP249" s="944">
        <f t="shared" si="58"/>
        <v>3</v>
      </c>
    </row>
    <row r="250" spans="1:44" ht="15.75">
      <c r="A250" s="996">
        <v>21</v>
      </c>
      <c r="B250" s="1640" t="str">
        <f>VLOOKUP(C250,'DS CN MOI UP'!$B$10:$C$389,2,0)</f>
        <v>03359</v>
      </c>
      <c r="C250" s="963" t="s">
        <v>144</v>
      </c>
      <c r="D250" s="997" t="s">
        <v>15</v>
      </c>
      <c r="E250" s="960">
        <f t="shared" si="54"/>
        <v>24</v>
      </c>
      <c r="F250" s="960"/>
      <c r="G250" s="960"/>
      <c r="H250" s="1110"/>
      <c r="I250" s="960"/>
      <c r="J250" s="960"/>
      <c r="K250" s="960"/>
      <c r="L250" s="960"/>
      <c r="M250" s="960"/>
      <c r="N250" s="960"/>
      <c r="O250" s="960"/>
      <c r="P250" s="960"/>
      <c r="Q250" s="960"/>
      <c r="R250" s="960"/>
      <c r="S250" s="975">
        <f t="shared" si="55"/>
        <v>24</v>
      </c>
      <c r="T250" s="975" t="e">
        <f>VLOOKUP(C250,'sản lượng'!$D$12:$AK$89,36,0)</f>
        <v>#N/A</v>
      </c>
      <c r="U250" s="975"/>
      <c r="V250" s="975"/>
      <c r="W250" s="975" t="e">
        <f>VLOOKUP(C250,'sản lượng'!$D$12:$AK$89,36,0)</f>
        <v>#N/A</v>
      </c>
      <c r="X250" s="975"/>
      <c r="Y250" s="975"/>
      <c r="Z250" s="975" t="e">
        <f t="shared" si="56"/>
        <v>#N/A</v>
      </c>
      <c r="AA250" s="975" t="e">
        <f>VLOOKUP(C250,'CHẤM CÔNG '!$D$12:$AL$89,33,0)</f>
        <v>#N/A</v>
      </c>
      <c r="AB250" s="975" t="e">
        <f>VLOOKUP(C250,'CHẤM CÔNG '!$D$12:$AL$89,34,0)</f>
        <v>#N/A</v>
      </c>
      <c r="AC250" s="975"/>
      <c r="AD250" s="975"/>
      <c r="AE250" s="975"/>
      <c r="AF250" s="975"/>
      <c r="AG250" s="975"/>
      <c r="AH250" s="975"/>
      <c r="AI250" s="975"/>
      <c r="AJ250" s="975"/>
      <c r="AK250" s="981"/>
      <c r="AL250" s="982" t="e">
        <f>VLOOKUP(C250,'sản lượng'!$D$12:$AM$89,38,0)</f>
        <v>#N/A</v>
      </c>
      <c r="AM250" s="946">
        <v>1263</v>
      </c>
      <c r="AN250" s="976" t="e">
        <f t="shared" si="57"/>
        <v>#N/A</v>
      </c>
      <c r="AP250" s="944">
        <f t="shared" si="58"/>
        <v>3</v>
      </c>
    </row>
    <row r="251" spans="1:44" ht="15.75">
      <c r="A251" s="996">
        <v>22</v>
      </c>
      <c r="B251" s="1640" t="str">
        <f>VLOOKUP(C251,'DS CN MOI UP'!$B$10:$C$389,2,0)</f>
        <v>03360</v>
      </c>
      <c r="C251" s="963" t="s">
        <v>145</v>
      </c>
      <c r="D251" s="997" t="s">
        <v>15</v>
      </c>
      <c r="E251" s="960">
        <f t="shared" si="54"/>
        <v>24</v>
      </c>
      <c r="F251" s="960"/>
      <c r="G251" s="960"/>
      <c r="H251" s="1110"/>
      <c r="I251" s="960"/>
      <c r="J251" s="960"/>
      <c r="K251" s="960"/>
      <c r="L251" s="960"/>
      <c r="M251" s="960"/>
      <c r="N251" s="960"/>
      <c r="O251" s="960"/>
      <c r="P251" s="960"/>
      <c r="Q251" s="960"/>
      <c r="R251" s="960"/>
      <c r="S251" s="975">
        <f t="shared" si="55"/>
        <v>24</v>
      </c>
      <c r="T251" s="975" t="e">
        <f>VLOOKUP(C251,'sản lượng'!$D$12:$AK$89,36,0)</f>
        <v>#N/A</v>
      </c>
      <c r="U251" s="975"/>
      <c r="V251" s="975"/>
      <c r="W251" s="975" t="e">
        <f>VLOOKUP(C251,'sản lượng'!$D$12:$AK$89,36,0)</f>
        <v>#N/A</v>
      </c>
      <c r="X251" s="975"/>
      <c r="Y251" s="975"/>
      <c r="Z251" s="975" t="e">
        <f t="shared" si="56"/>
        <v>#N/A</v>
      </c>
      <c r="AA251" s="975" t="e">
        <f>VLOOKUP(C251,'CHẤM CÔNG '!$D$12:$AL$89,33,0)</f>
        <v>#N/A</v>
      </c>
      <c r="AB251" s="975" t="e">
        <f>VLOOKUP(C251,'CHẤM CÔNG '!$D$12:$AL$89,34,0)</f>
        <v>#N/A</v>
      </c>
      <c r="AC251" s="975"/>
      <c r="AD251" s="975"/>
      <c r="AE251" s="975"/>
      <c r="AF251" s="975"/>
      <c r="AG251" s="975"/>
      <c r="AH251" s="975"/>
      <c r="AI251" s="975"/>
      <c r="AJ251" s="975"/>
      <c r="AK251" s="981"/>
      <c r="AL251" s="982" t="e">
        <f>VLOOKUP(C251,'sản lượng'!$D$12:$AM$89,38,0)</f>
        <v>#N/A</v>
      </c>
      <c r="AM251" s="946">
        <v>1497</v>
      </c>
      <c r="AN251" s="976" t="e">
        <f t="shared" si="57"/>
        <v>#N/A</v>
      </c>
      <c r="AP251" s="944">
        <f t="shared" si="58"/>
        <v>3</v>
      </c>
    </row>
    <row r="252" spans="1:44" ht="15.75">
      <c r="A252" s="996">
        <v>23</v>
      </c>
      <c r="B252" s="1640" t="str">
        <f>VLOOKUP(C252,'DS CN MOI UP'!$B$10:$C$389,2,0)</f>
        <v>03413</v>
      </c>
      <c r="C252" s="963" t="s">
        <v>146</v>
      </c>
      <c r="D252" s="997" t="s">
        <v>15</v>
      </c>
      <c r="E252" s="960">
        <f t="shared" si="54"/>
        <v>24</v>
      </c>
      <c r="F252" s="960"/>
      <c r="G252" s="960"/>
      <c r="H252" s="1110"/>
      <c r="I252" s="960"/>
      <c r="J252" s="960"/>
      <c r="K252" s="960"/>
      <c r="L252" s="960"/>
      <c r="M252" s="960"/>
      <c r="N252" s="960"/>
      <c r="O252" s="960"/>
      <c r="P252" s="960"/>
      <c r="Q252" s="960"/>
      <c r="R252" s="960"/>
      <c r="S252" s="975">
        <f t="shared" si="55"/>
        <v>24</v>
      </c>
      <c r="T252" s="975" t="e">
        <f>VLOOKUP(C252,'sản lượng'!$D$12:$AK$89,36,0)</f>
        <v>#N/A</v>
      </c>
      <c r="U252" s="975"/>
      <c r="V252" s="975"/>
      <c r="W252" s="975" t="e">
        <f>VLOOKUP(C252,'sản lượng'!$D$12:$AK$89,36,0)</f>
        <v>#N/A</v>
      </c>
      <c r="X252" s="975"/>
      <c r="Y252" s="975"/>
      <c r="Z252" s="975" t="e">
        <f t="shared" si="56"/>
        <v>#N/A</v>
      </c>
      <c r="AA252" s="975" t="e">
        <f>VLOOKUP(C252,'CHẤM CÔNG '!$D$12:$AL$89,33,0)</f>
        <v>#N/A</v>
      </c>
      <c r="AB252" s="975" t="e">
        <f>VLOOKUP(C252,'CHẤM CÔNG '!$D$12:$AL$89,34,0)</f>
        <v>#N/A</v>
      </c>
      <c r="AC252" s="975"/>
      <c r="AD252" s="975"/>
      <c r="AE252" s="975"/>
      <c r="AF252" s="975"/>
      <c r="AG252" s="975"/>
      <c r="AH252" s="975"/>
      <c r="AI252" s="975"/>
      <c r="AJ252" s="975"/>
      <c r="AK252" s="981"/>
      <c r="AL252" s="982" t="e">
        <f>VLOOKUP(C252,'sản lượng'!$D$12:$AM$89,38,0)</f>
        <v>#N/A</v>
      </c>
      <c r="AM252" s="946">
        <v>836</v>
      </c>
      <c r="AN252" s="976" t="e">
        <f t="shared" si="57"/>
        <v>#N/A</v>
      </c>
      <c r="AP252" s="944">
        <f t="shared" si="58"/>
        <v>3</v>
      </c>
    </row>
    <row r="253" spans="1:44" ht="15.75">
      <c r="A253" s="996">
        <v>24</v>
      </c>
      <c r="B253" s="1640" t="str">
        <f>VLOOKUP(C253,'DS CN MOI UP'!$B$10:$C$389,2,0)</f>
        <v>03361</v>
      </c>
      <c r="C253" s="963" t="s">
        <v>147</v>
      </c>
      <c r="D253" s="997" t="s">
        <v>15</v>
      </c>
      <c r="E253" s="960">
        <f t="shared" si="54"/>
        <v>24</v>
      </c>
      <c r="F253" s="960"/>
      <c r="G253" s="960"/>
      <c r="H253" s="1110"/>
      <c r="I253" s="960"/>
      <c r="J253" s="960"/>
      <c r="K253" s="960"/>
      <c r="L253" s="960"/>
      <c r="M253" s="960"/>
      <c r="N253" s="960"/>
      <c r="O253" s="960"/>
      <c r="P253" s="960"/>
      <c r="Q253" s="960"/>
      <c r="R253" s="960"/>
      <c r="S253" s="975">
        <f t="shared" si="55"/>
        <v>24</v>
      </c>
      <c r="T253" s="975" t="e">
        <f>VLOOKUP(C253,'sản lượng'!$D$12:$AK$89,36,0)</f>
        <v>#N/A</v>
      </c>
      <c r="U253" s="975"/>
      <c r="V253" s="975"/>
      <c r="W253" s="975" t="e">
        <f>VLOOKUP(C253,'sản lượng'!$D$12:$AK$89,36,0)</f>
        <v>#N/A</v>
      </c>
      <c r="X253" s="975"/>
      <c r="Y253" s="975"/>
      <c r="Z253" s="975" t="e">
        <f t="shared" si="56"/>
        <v>#N/A</v>
      </c>
      <c r="AA253" s="975" t="e">
        <f>VLOOKUP(C253,'CHẤM CÔNG '!$D$12:$AL$89,33,0)</f>
        <v>#N/A</v>
      </c>
      <c r="AB253" s="975" t="e">
        <f>VLOOKUP(C253,'CHẤM CÔNG '!$D$12:$AL$89,34,0)</f>
        <v>#N/A</v>
      </c>
      <c r="AC253" s="975"/>
      <c r="AD253" s="975"/>
      <c r="AE253" s="975"/>
      <c r="AF253" s="975"/>
      <c r="AG253" s="975"/>
      <c r="AH253" s="975"/>
      <c r="AI253" s="975"/>
      <c r="AJ253" s="975"/>
      <c r="AK253" s="981"/>
      <c r="AL253" s="982" t="e">
        <f>VLOOKUP(C253,'sản lượng'!$D$12:$AM$89,38,0)</f>
        <v>#N/A</v>
      </c>
      <c r="AM253" s="946">
        <v>2568</v>
      </c>
      <c r="AN253" s="976" t="e">
        <f t="shared" si="57"/>
        <v>#N/A</v>
      </c>
      <c r="AP253" s="944">
        <f t="shared" si="58"/>
        <v>3</v>
      </c>
    </row>
    <row r="254" spans="1:44" ht="15.75">
      <c r="A254" s="996">
        <v>25</v>
      </c>
      <c r="B254" s="1640" t="str">
        <f>VLOOKUP(C254,'DS CN MOI UP'!$B$10:$C$389,2,0)</f>
        <v>02554</v>
      </c>
      <c r="C254" s="963" t="s">
        <v>148</v>
      </c>
      <c r="D254" s="997" t="s">
        <v>15</v>
      </c>
      <c r="E254" s="960">
        <f t="shared" si="54"/>
        <v>24</v>
      </c>
      <c r="F254" s="960"/>
      <c r="G254" s="960"/>
      <c r="H254" s="1110"/>
      <c r="I254" s="960"/>
      <c r="J254" s="960"/>
      <c r="K254" s="960"/>
      <c r="L254" s="960"/>
      <c r="M254" s="960"/>
      <c r="N254" s="960"/>
      <c r="O254" s="960"/>
      <c r="P254" s="960"/>
      <c r="Q254" s="960"/>
      <c r="R254" s="960"/>
      <c r="S254" s="975">
        <f t="shared" si="55"/>
        <v>24</v>
      </c>
      <c r="T254" s="975" t="e">
        <f>VLOOKUP(C254,'sản lượng'!$D$12:$AK$89,36,0)</f>
        <v>#N/A</v>
      </c>
      <c r="U254" s="975"/>
      <c r="V254" s="975"/>
      <c r="W254" s="975" t="e">
        <f>VLOOKUP(C254,'sản lượng'!$D$12:$AK$89,36,0)</f>
        <v>#N/A</v>
      </c>
      <c r="X254" s="975"/>
      <c r="Y254" s="975"/>
      <c r="Z254" s="975" t="e">
        <f t="shared" si="56"/>
        <v>#N/A</v>
      </c>
      <c r="AA254" s="975" t="e">
        <f>VLOOKUP(C254,'CHẤM CÔNG '!$D$12:$AL$89,33,0)</f>
        <v>#N/A</v>
      </c>
      <c r="AB254" s="975" t="e">
        <f>VLOOKUP(C254,'CHẤM CÔNG '!$D$12:$AL$89,34,0)</f>
        <v>#N/A</v>
      </c>
      <c r="AC254" s="975"/>
      <c r="AD254" s="975"/>
      <c r="AE254" s="975"/>
      <c r="AF254" s="975"/>
      <c r="AG254" s="975"/>
      <c r="AH254" s="975"/>
      <c r="AI254" s="975"/>
      <c r="AJ254" s="975"/>
      <c r="AK254" s="981"/>
      <c r="AL254" s="982" t="e">
        <f>VLOOKUP(C254,'sản lượng'!$D$12:$AM$89,38,0)</f>
        <v>#N/A</v>
      </c>
      <c r="AM254" s="946">
        <v>1275</v>
      </c>
      <c r="AN254" s="976" t="e">
        <f t="shared" si="57"/>
        <v>#N/A</v>
      </c>
      <c r="AP254" s="944">
        <f t="shared" si="58"/>
        <v>3</v>
      </c>
    </row>
    <row r="255" spans="1:44" ht="15.75">
      <c r="A255" s="996">
        <v>26</v>
      </c>
      <c r="B255" s="1640" t="str">
        <f>VLOOKUP(C255,'DS CN MOI UP'!$B$10:$C$389,2,0)</f>
        <v>02534</v>
      </c>
      <c r="C255" s="963" t="s">
        <v>149</v>
      </c>
      <c r="D255" s="997" t="s">
        <v>15</v>
      </c>
      <c r="E255" s="960">
        <f t="shared" si="54"/>
        <v>24</v>
      </c>
      <c r="F255" s="960"/>
      <c r="G255" s="960"/>
      <c r="H255" s="1110"/>
      <c r="I255" s="960"/>
      <c r="J255" s="960"/>
      <c r="K255" s="960"/>
      <c r="L255" s="960"/>
      <c r="M255" s="960"/>
      <c r="N255" s="960"/>
      <c r="O255" s="960"/>
      <c r="P255" s="960"/>
      <c r="Q255" s="960"/>
      <c r="R255" s="960"/>
      <c r="S255" s="975">
        <f t="shared" si="55"/>
        <v>24</v>
      </c>
      <c r="T255" s="975" t="e">
        <f>VLOOKUP(C255,'sản lượng'!$D$12:$AK$89,36,0)</f>
        <v>#N/A</v>
      </c>
      <c r="U255" s="975"/>
      <c r="V255" s="975"/>
      <c r="W255" s="975" t="e">
        <f>VLOOKUP(C255,'sản lượng'!$D$12:$AK$89,36,0)</f>
        <v>#N/A</v>
      </c>
      <c r="X255" s="975"/>
      <c r="Y255" s="975"/>
      <c r="Z255" s="975" t="e">
        <f t="shared" si="56"/>
        <v>#N/A</v>
      </c>
      <c r="AA255" s="975" t="e">
        <f>VLOOKUP(C255,'CHẤM CÔNG '!$D$12:$AL$89,33,0)</f>
        <v>#N/A</v>
      </c>
      <c r="AB255" s="975" t="e">
        <f>VLOOKUP(C255,'CHẤM CÔNG '!$D$12:$AL$89,34,0)</f>
        <v>#N/A</v>
      </c>
      <c r="AC255" s="975"/>
      <c r="AD255" s="975"/>
      <c r="AE255" s="975"/>
      <c r="AF255" s="975"/>
      <c r="AG255" s="975"/>
      <c r="AH255" s="975"/>
      <c r="AI255" s="975"/>
      <c r="AJ255" s="975"/>
      <c r="AK255" s="981"/>
      <c r="AL255" s="982" t="e">
        <f>VLOOKUP(C255,'sản lượng'!$D$12:$AM$89,38,0)</f>
        <v>#N/A</v>
      </c>
      <c r="AM255" s="946">
        <v>2116</v>
      </c>
      <c r="AN255" s="976" t="e">
        <f t="shared" si="57"/>
        <v>#N/A</v>
      </c>
      <c r="AP255" s="944">
        <f t="shared" si="58"/>
        <v>3</v>
      </c>
    </row>
    <row r="256" spans="1:44" ht="15.75">
      <c r="A256" s="996">
        <v>27</v>
      </c>
      <c r="B256" s="1640" t="str">
        <f>VLOOKUP(C256,'DS CN MOI UP'!$B$10:$C$389,2,0)</f>
        <v>02538</v>
      </c>
      <c r="C256" s="963" t="s">
        <v>150</v>
      </c>
      <c r="D256" s="997" t="s">
        <v>15</v>
      </c>
      <c r="E256" s="960">
        <f t="shared" si="54"/>
        <v>24</v>
      </c>
      <c r="F256" s="960"/>
      <c r="G256" s="960"/>
      <c r="H256" s="1110"/>
      <c r="I256" s="960"/>
      <c r="J256" s="960"/>
      <c r="K256" s="960"/>
      <c r="L256" s="960"/>
      <c r="M256" s="960"/>
      <c r="N256" s="960"/>
      <c r="O256" s="960"/>
      <c r="P256" s="960"/>
      <c r="Q256" s="960"/>
      <c r="R256" s="960"/>
      <c r="S256" s="975">
        <f t="shared" si="55"/>
        <v>24</v>
      </c>
      <c r="T256" s="975" t="e">
        <f>VLOOKUP(C256,'sản lượng'!$D$12:$AK$89,36,0)</f>
        <v>#N/A</v>
      </c>
      <c r="U256" s="975"/>
      <c r="V256" s="975"/>
      <c r="W256" s="975" t="e">
        <f>VLOOKUP(C256,'sản lượng'!$D$12:$AK$89,36,0)</f>
        <v>#N/A</v>
      </c>
      <c r="X256" s="975"/>
      <c r="Y256" s="975"/>
      <c r="Z256" s="975" t="e">
        <f t="shared" si="56"/>
        <v>#N/A</v>
      </c>
      <c r="AA256" s="975" t="e">
        <f>VLOOKUP(C256,'CHẤM CÔNG '!$D$12:$AL$89,33,0)</f>
        <v>#N/A</v>
      </c>
      <c r="AB256" s="975" t="e">
        <f>VLOOKUP(C256,'CHẤM CÔNG '!$D$12:$AL$89,34,0)</f>
        <v>#N/A</v>
      </c>
      <c r="AC256" s="975"/>
      <c r="AD256" s="975"/>
      <c r="AE256" s="975"/>
      <c r="AF256" s="975"/>
      <c r="AG256" s="975"/>
      <c r="AH256" s="975"/>
      <c r="AI256" s="975"/>
      <c r="AJ256" s="975"/>
      <c r="AK256" s="981"/>
      <c r="AL256" s="982" t="e">
        <f>VLOOKUP(C256,'sản lượng'!$D$12:$AM$89,38,0)</f>
        <v>#N/A</v>
      </c>
      <c r="AM256" s="946">
        <v>1599</v>
      </c>
      <c r="AN256" s="976" t="e">
        <f t="shared" si="57"/>
        <v>#N/A</v>
      </c>
      <c r="AP256" s="944">
        <f t="shared" si="58"/>
        <v>3</v>
      </c>
    </row>
    <row r="257" spans="1:44" ht="15.75">
      <c r="A257" s="996">
        <v>28</v>
      </c>
      <c r="B257" s="1640" t="str">
        <f>VLOOKUP(C257,'DS CN MOI UP'!$B$10:$C$389,2,0)</f>
        <v>03362</v>
      </c>
      <c r="C257" s="963" t="s">
        <v>151</v>
      </c>
      <c r="D257" s="997" t="s">
        <v>15</v>
      </c>
      <c r="E257" s="960">
        <f t="shared" si="54"/>
        <v>24</v>
      </c>
      <c r="F257" s="960"/>
      <c r="G257" s="960"/>
      <c r="H257" s="1110"/>
      <c r="I257" s="960"/>
      <c r="J257" s="960"/>
      <c r="K257" s="960"/>
      <c r="L257" s="960"/>
      <c r="M257" s="960"/>
      <c r="N257" s="960"/>
      <c r="O257" s="960"/>
      <c r="P257" s="960"/>
      <c r="Q257" s="960"/>
      <c r="R257" s="960"/>
      <c r="S257" s="975">
        <f t="shared" si="55"/>
        <v>24</v>
      </c>
      <c r="T257" s="975" t="e">
        <f>VLOOKUP(C257,'sản lượng'!$D$12:$AK$89,36,0)</f>
        <v>#N/A</v>
      </c>
      <c r="U257" s="975"/>
      <c r="V257" s="975"/>
      <c r="W257" s="975" t="e">
        <f>VLOOKUP(C257,'sản lượng'!$D$12:$AK$89,36,0)</f>
        <v>#N/A</v>
      </c>
      <c r="X257" s="975"/>
      <c r="Y257" s="975"/>
      <c r="Z257" s="975" t="e">
        <f t="shared" si="56"/>
        <v>#N/A</v>
      </c>
      <c r="AA257" s="975" t="e">
        <f>VLOOKUP(C257,'CHẤM CÔNG '!$D$12:$AL$89,33,0)</f>
        <v>#N/A</v>
      </c>
      <c r="AB257" s="975" t="e">
        <f>VLOOKUP(C257,'CHẤM CÔNG '!$D$12:$AL$89,34,0)</f>
        <v>#N/A</v>
      </c>
      <c r="AC257" s="975"/>
      <c r="AD257" s="975"/>
      <c r="AE257" s="975"/>
      <c r="AF257" s="975"/>
      <c r="AG257" s="975"/>
      <c r="AH257" s="975"/>
      <c r="AI257" s="975"/>
      <c r="AJ257" s="975"/>
      <c r="AK257" s="981"/>
      <c r="AL257" s="982" t="e">
        <f>VLOOKUP(C257,'sản lượng'!$D$12:$AM$89,38,0)</f>
        <v>#N/A</v>
      </c>
      <c r="AM257" s="946">
        <v>1622</v>
      </c>
      <c r="AN257" s="976" t="e">
        <f t="shared" si="57"/>
        <v>#N/A</v>
      </c>
      <c r="AP257" s="944">
        <f t="shared" si="58"/>
        <v>3</v>
      </c>
    </row>
    <row r="258" spans="1:44" ht="15.75">
      <c r="A258" s="996">
        <v>29</v>
      </c>
      <c r="B258" s="1640" t="str">
        <f>VLOOKUP(C258,'DS CN MOI UP'!$B$10:$C$389,2,0)</f>
        <v>02530</v>
      </c>
      <c r="C258" s="963" t="s">
        <v>152</v>
      </c>
      <c r="D258" s="997" t="s">
        <v>15</v>
      </c>
      <c r="E258" s="960">
        <f t="shared" si="54"/>
        <v>24</v>
      </c>
      <c r="F258" s="960"/>
      <c r="G258" s="960"/>
      <c r="H258" s="1110"/>
      <c r="I258" s="960"/>
      <c r="J258" s="960"/>
      <c r="K258" s="960"/>
      <c r="L258" s="960"/>
      <c r="M258" s="960"/>
      <c r="N258" s="960"/>
      <c r="O258" s="960"/>
      <c r="P258" s="960"/>
      <c r="Q258" s="960"/>
      <c r="R258" s="960"/>
      <c r="S258" s="975">
        <f t="shared" si="55"/>
        <v>24</v>
      </c>
      <c r="T258" s="975" t="e">
        <f>VLOOKUP(C258,'sản lượng'!$D$12:$AK$89,36,0)</f>
        <v>#N/A</v>
      </c>
      <c r="U258" s="975"/>
      <c r="V258" s="975"/>
      <c r="W258" s="975" t="e">
        <f>VLOOKUP(C258,'sản lượng'!$D$12:$AK$89,36,0)</f>
        <v>#N/A</v>
      </c>
      <c r="X258" s="975"/>
      <c r="Y258" s="975"/>
      <c r="Z258" s="975" t="e">
        <f t="shared" si="56"/>
        <v>#N/A</v>
      </c>
      <c r="AA258" s="975" t="e">
        <f>VLOOKUP(C258,'CHẤM CÔNG '!$D$12:$AL$89,33,0)</f>
        <v>#N/A</v>
      </c>
      <c r="AB258" s="975" t="e">
        <f>VLOOKUP(C258,'CHẤM CÔNG '!$D$12:$AL$89,34,0)</f>
        <v>#N/A</v>
      </c>
      <c r="AC258" s="975"/>
      <c r="AD258" s="975"/>
      <c r="AE258" s="975"/>
      <c r="AF258" s="975"/>
      <c r="AG258" s="975"/>
      <c r="AH258" s="975"/>
      <c r="AI258" s="975"/>
      <c r="AJ258" s="975"/>
      <c r="AK258" s="981"/>
      <c r="AL258" s="982" t="e">
        <f>VLOOKUP(C258,'sản lượng'!$D$12:$AM$89,38,0)</f>
        <v>#N/A</v>
      </c>
      <c r="AM258" s="946">
        <v>1925</v>
      </c>
      <c r="AN258" s="976" t="e">
        <f t="shared" si="57"/>
        <v>#N/A</v>
      </c>
      <c r="AP258" s="944">
        <f t="shared" si="58"/>
        <v>3</v>
      </c>
    </row>
    <row r="259" spans="1:44" ht="15.75">
      <c r="A259" s="996">
        <v>30</v>
      </c>
      <c r="B259" s="1640" t="str">
        <f>VLOOKUP(C259,'DS CN MOI UP'!$B$10:$C$389,2,0)</f>
        <v>03363</v>
      </c>
      <c r="C259" s="963" t="s">
        <v>153</v>
      </c>
      <c r="D259" s="997" t="s">
        <v>15</v>
      </c>
      <c r="E259" s="960">
        <f t="shared" si="54"/>
        <v>24</v>
      </c>
      <c r="F259" s="960"/>
      <c r="G259" s="960"/>
      <c r="H259" s="1110"/>
      <c r="I259" s="960"/>
      <c r="J259" s="960"/>
      <c r="K259" s="960"/>
      <c r="L259" s="960"/>
      <c r="M259" s="960"/>
      <c r="N259" s="960"/>
      <c r="O259" s="960"/>
      <c r="P259" s="960"/>
      <c r="Q259" s="960"/>
      <c r="R259" s="960"/>
      <c r="S259" s="975">
        <f t="shared" si="55"/>
        <v>24</v>
      </c>
      <c r="T259" s="975" t="e">
        <f>VLOOKUP(C259,'sản lượng'!$D$12:$AK$89,36,0)</f>
        <v>#N/A</v>
      </c>
      <c r="U259" s="975"/>
      <c r="V259" s="975"/>
      <c r="W259" s="975" t="e">
        <f>VLOOKUP(C259,'sản lượng'!$D$12:$AK$89,36,0)</f>
        <v>#N/A</v>
      </c>
      <c r="X259" s="975"/>
      <c r="Y259" s="975"/>
      <c r="Z259" s="975" t="e">
        <f t="shared" si="56"/>
        <v>#N/A</v>
      </c>
      <c r="AA259" s="975" t="e">
        <f>VLOOKUP(C259,'CHẤM CÔNG '!$D$12:$AL$89,33,0)</f>
        <v>#N/A</v>
      </c>
      <c r="AB259" s="975" t="e">
        <f>VLOOKUP(C259,'CHẤM CÔNG '!$D$12:$AL$89,34,0)</f>
        <v>#N/A</v>
      </c>
      <c r="AC259" s="975"/>
      <c r="AD259" s="975"/>
      <c r="AE259" s="975"/>
      <c r="AF259" s="975"/>
      <c r="AG259" s="975"/>
      <c r="AH259" s="975"/>
      <c r="AI259" s="975"/>
      <c r="AJ259" s="975"/>
      <c r="AK259" s="981"/>
      <c r="AL259" s="982" t="e">
        <f>VLOOKUP(C259,'sản lượng'!$D$12:$AM$89,38,0)</f>
        <v>#N/A</v>
      </c>
      <c r="AM259" s="946">
        <v>991</v>
      </c>
      <c r="AN259" s="976" t="e">
        <f t="shared" si="57"/>
        <v>#N/A</v>
      </c>
      <c r="AP259" s="944">
        <f t="shared" si="58"/>
        <v>3</v>
      </c>
    </row>
    <row r="260" spans="1:44" ht="15.75">
      <c r="A260" s="996">
        <v>31</v>
      </c>
      <c r="B260" s="1640" t="str">
        <f>VLOOKUP(C260,'DS CN MOI UP'!$B$10:$C$389,2,0)</f>
        <v>03364</v>
      </c>
      <c r="C260" s="963" t="s">
        <v>154</v>
      </c>
      <c r="D260" s="997" t="s">
        <v>15</v>
      </c>
      <c r="E260" s="960">
        <f t="shared" si="54"/>
        <v>24</v>
      </c>
      <c r="F260" s="960"/>
      <c r="G260" s="960"/>
      <c r="H260" s="1110"/>
      <c r="I260" s="960"/>
      <c r="J260" s="960"/>
      <c r="K260" s="960"/>
      <c r="L260" s="960"/>
      <c r="M260" s="960"/>
      <c r="N260" s="960"/>
      <c r="O260" s="960"/>
      <c r="P260" s="960"/>
      <c r="Q260" s="960"/>
      <c r="R260" s="960"/>
      <c r="S260" s="975">
        <f t="shared" si="55"/>
        <v>24</v>
      </c>
      <c r="T260" s="975" t="e">
        <f>VLOOKUP(C260,'sản lượng'!$D$12:$AK$89,36,0)</f>
        <v>#N/A</v>
      </c>
      <c r="U260" s="975"/>
      <c r="V260" s="975"/>
      <c r="W260" s="975" t="e">
        <f>VLOOKUP(C260,'sản lượng'!$D$12:$AK$89,36,0)</f>
        <v>#N/A</v>
      </c>
      <c r="X260" s="975"/>
      <c r="Y260" s="975"/>
      <c r="Z260" s="975" t="e">
        <f t="shared" si="56"/>
        <v>#N/A</v>
      </c>
      <c r="AA260" s="975" t="e">
        <f>VLOOKUP(C260,'CHẤM CÔNG '!$D$12:$AL$89,33,0)</f>
        <v>#N/A</v>
      </c>
      <c r="AB260" s="975" t="e">
        <f>VLOOKUP(C260,'CHẤM CÔNG '!$D$12:$AL$89,34,0)</f>
        <v>#N/A</v>
      </c>
      <c r="AC260" s="975"/>
      <c r="AD260" s="975"/>
      <c r="AE260" s="975"/>
      <c r="AF260" s="975"/>
      <c r="AG260" s="975"/>
      <c r="AH260" s="975"/>
      <c r="AI260" s="975"/>
      <c r="AJ260" s="975"/>
      <c r="AK260" s="981"/>
      <c r="AL260" s="982" t="e">
        <f>VLOOKUP(C260,'sản lượng'!$D$12:$AM$89,38,0)</f>
        <v>#N/A</v>
      </c>
      <c r="AM260" s="946">
        <v>2524</v>
      </c>
      <c r="AN260" s="976" t="e">
        <f t="shared" si="57"/>
        <v>#N/A</v>
      </c>
      <c r="AP260" s="944">
        <f t="shared" si="58"/>
        <v>3</v>
      </c>
    </row>
    <row r="261" spans="1:44" ht="15.75">
      <c r="A261" s="996">
        <v>32</v>
      </c>
      <c r="B261" s="1640" t="str">
        <f>VLOOKUP(C261,'DS CN MOI UP'!$B$10:$C$389,2,0)</f>
        <v>02536</v>
      </c>
      <c r="C261" s="963" t="s">
        <v>155</v>
      </c>
      <c r="D261" s="997" t="s">
        <v>15</v>
      </c>
      <c r="E261" s="960">
        <f t="shared" si="54"/>
        <v>24</v>
      </c>
      <c r="F261" s="960"/>
      <c r="G261" s="960"/>
      <c r="H261" s="1110"/>
      <c r="I261" s="960"/>
      <c r="J261" s="960"/>
      <c r="K261" s="960"/>
      <c r="L261" s="960"/>
      <c r="M261" s="960"/>
      <c r="N261" s="960"/>
      <c r="O261" s="960"/>
      <c r="P261" s="960"/>
      <c r="Q261" s="960"/>
      <c r="R261" s="960"/>
      <c r="S261" s="975">
        <f t="shared" si="55"/>
        <v>24</v>
      </c>
      <c r="T261" s="975" t="e">
        <f>VLOOKUP(C261,'sản lượng'!$D$12:$AK$89,36,0)</f>
        <v>#N/A</v>
      </c>
      <c r="U261" s="975"/>
      <c r="V261" s="975"/>
      <c r="W261" s="975" t="e">
        <f>VLOOKUP(C261,'sản lượng'!$D$12:$AK$89,36,0)</f>
        <v>#N/A</v>
      </c>
      <c r="X261" s="975"/>
      <c r="Y261" s="975"/>
      <c r="Z261" s="975" t="e">
        <f t="shared" si="56"/>
        <v>#N/A</v>
      </c>
      <c r="AA261" s="975" t="e">
        <f>VLOOKUP(C261,'CHẤM CÔNG '!$D$12:$AL$89,33,0)</f>
        <v>#N/A</v>
      </c>
      <c r="AB261" s="975" t="e">
        <f>VLOOKUP(C261,'CHẤM CÔNG '!$D$12:$AL$89,34,0)</f>
        <v>#N/A</v>
      </c>
      <c r="AC261" s="975"/>
      <c r="AD261" s="975"/>
      <c r="AE261" s="975"/>
      <c r="AF261" s="975"/>
      <c r="AG261" s="975"/>
      <c r="AH261" s="975"/>
      <c r="AI261" s="975"/>
      <c r="AJ261" s="975"/>
      <c r="AK261" s="981"/>
      <c r="AL261" s="982" t="e">
        <f>VLOOKUP(C261,'sản lượng'!$D$12:$AM$89,38,0)</f>
        <v>#N/A</v>
      </c>
      <c r="AM261" s="946">
        <v>1610</v>
      </c>
      <c r="AN261" s="976" t="e">
        <f t="shared" si="57"/>
        <v>#N/A</v>
      </c>
      <c r="AP261" s="944">
        <f t="shared" si="58"/>
        <v>3</v>
      </c>
    </row>
    <row r="262" spans="1:44" ht="15.75">
      <c r="A262" s="996">
        <v>33</v>
      </c>
      <c r="B262" s="1640" t="str">
        <f>VLOOKUP(C262,'DS CN MOI UP'!$B$10:$C$389,2,0)</f>
        <v>02527</v>
      </c>
      <c r="C262" s="963" t="s">
        <v>156</v>
      </c>
      <c r="D262" s="997" t="s">
        <v>15</v>
      </c>
      <c r="E262" s="960">
        <f t="shared" si="54"/>
        <v>24</v>
      </c>
      <c r="F262" s="960"/>
      <c r="G262" s="960"/>
      <c r="H262" s="1110"/>
      <c r="I262" s="960"/>
      <c r="J262" s="960"/>
      <c r="K262" s="960"/>
      <c r="L262" s="960"/>
      <c r="M262" s="960"/>
      <c r="N262" s="960"/>
      <c r="O262" s="960"/>
      <c r="P262" s="960"/>
      <c r="Q262" s="960"/>
      <c r="R262" s="960"/>
      <c r="S262" s="975">
        <f t="shared" ref="S262:S288" si="59">SUM(E262:N262)</f>
        <v>24</v>
      </c>
      <c r="T262" s="975" t="e">
        <f>VLOOKUP(C262,'sản lượng'!$D$12:$AK$89,36,0)</f>
        <v>#N/A</v>
      </c>
      <c r="U262" s="975"/>
      <c r="V262" s="975"/>
      <c r="W262" s="975" t="e">
        <f>VLOOKUP(C262,'sản lượng'!$D$12:$AK$89,36,0)</f>
        <v>#N/A</v>
      </c>
      <c r="X262" s="975"/>
      <c r="Y262" s="975"/>
      <c r="Z262" s="975" t="e">
        <f t="shared" ref="Z262:Z293" si="60">W262*$AN$16+X262*$AN$10+$AN$11*Y262</f>
        <v>#N/A</v>
      </c>
      <c r="AA262" s="975" t="e">
        <f>VLOOKUP(C262,'CHẤM CÔNG '!$D$12:$AL$89,33,0)</f>
        <v>#N/A</v>
      </c>
      <c r="AB262" s="975" t="e">
        <f>VLOOKUP(C262,'CHẤM CÔNG '!$D$12:$AL$89,34,0)</f>
        <v>#N/A</v>
      </c>
      <c r="AC262" s="975"/>
      <c r="AD262" s="975"/>
      <c r="AE262" s="975"/>
      <c r="AF262" s="975"/>
      <c r="AG262" s="975"/>
      <c r="AH262" s="975"/>
      <c r="AI262" s="975"/>
      <c r="AJ262" s="975"/>
      <c r="AK262" s="981"/>
      <c r="AL262" s="982" t="e">
        <f>VLOOKUP(C262,'sản lượng'!$D$12:$AM$89,38,0)</f>
        <v>#N/A</v>
      </c>
      <c r="AM262" s="946">
        <v>1710</v>
      </c>
      <c r="AN262" s="976" t="e">
        <f t="shared" ref="AN262:AN293" si="61">+W262-AM262</f>
        <v>#N/A</v>
      </c>
      <c r="AP262" s="944">
        <f t="shared" si="58"/>
        <v>3</v>
      </c>
    </row>
    <row r="263" spans="1:44" ht="15.75">
      <c r="A263" s="996">
        <v>34</v>
      </c>
      <c r="B263" s="1640" t="str">
        <f>VLOOKUP(C263,'DS CN MOI UP'!$B$10:$C$389,2,0)</f>
        <v>03366</v>
      </c>
      <c r="C263" s="963" t="s">
        <v>157</v>
      </c>
      <c r="D263" s="997" t="s">
        <v>15</v>
      </c>
      <c r="E263" s="960">
        <f t="shared" si="54"/>
        <v>24</v>
      </c>
      <c r="F263" s="960"/>
      <c r="G263" s="960"/>
      <c r="H263" s="1110"/>
      <c r="I263" s="960"/>
      <c r="J263" s="960"/>
      <c r="K263" s="960"/>
      <c r="L263" s="960"/>
      <c r="M263" s="960"/>
      <c r="N263" s="960"/>
      <c r="O263" s="960"/>
      <c r="P263" s="960"/>
      <c r="Q263" s="960"/>
      <c r="R263" s="960"/>
      <c r="S263" s="975">
        <f t="shared" si="59"/>
        <v>24</v>
      </c>
      <c r="T263" s="975" t="e">
        <f>VLOOKUP(C263,'sản lượng'!$D$12:$AK$89,36,0)</f>
        <v>#N/A</v>
      </c>
      <c r="U263" s="975"/>
      <c r="V263" s="975"/>
      <c r="W263" s="975" t="e">
        <f>VLOOKUP(C263,'sản lượng'!$D$12:$AK$89,36,0)</f>
        <v>#N/A</v>
      </c>
      <c r="X263" s="975"/>
      <c r="Y263" s="975"/>
      <c r="Z263" s="975" t="e">
        <f t="shared" si="60"/>
        <v>#N/A</v>
      </c>
      <c r="AA263" s="975" t="e">
        <f>VLOOKUP(C263,'CHẤM CÔNG '!$D$12:$AL$89,33,0)</f>
        <v>#N/A</v>
      </c>
      <c r="AB263" s="975" t="e">
        <f>VLOOKUP(C263,'CHẤM CÔNG '!$D$12:$AL$89,34,0)</f>
        <v>#N/A</v>
      </c>
      <c r="AC263" s="975"/>
      <c r="AD263" s="975"/>
      <c r="AE263" s="975"/>
      <c r="AF263" s="975"/>
      <c r="AG263" s="975"/>
      <c r="AH263" s="975"/>
      <c r="AI263" s="975"/>
      <c r="AJ263" s="975"/>
      <c r="AK263" s="981"/>
      <c r="AL263" s="982" t="e">
        <f>VLOOKUP(C263,'sản lượng'!$D$12:$AM$89,38,0)</f>
        <v>#N/A</v>
      </c>
      <c r="AM263" s="946">
        <v>1050</v>
      </c>
      <c r="AN263" s="976" t="e">
        <f t="shared" si="61"/>
        <v>#N/A</v>
      </c>
      <c r="AP263" s="944">
        <f t="shared" si="58"/>
        <v>2</v>
      </c>
      <c r="AR263" s="944">
        <v>1</v>
      </c>
    </row>
    <row r="264" spans="1:44" ht="15.75">
      <c r="A264" s="996">
        <v>35</v>
      </c>
      <c r="B264" s="1640" t="str">
        <f>VLOOKUP(C264,'DS CN MOI UP'!$B$10:$C$389,2,0)</f>
        <v>02532</v>
      </c>
      <c r="C264" s="963" t="s">
        <v>158</v>
      </c>
      <c r="D264" s="997" t="s">
        <v>15</v>
      </c>
      <c r="E264" s="960">
        <f t="shared" si="54"/>
        <v>24</v>
      </c>
      <c r="F264" s="960"/>
      <c r="G264" s="960"/>
      <c r="H264" s="1110"/>
      <c r="I264" s="960"/>
      <c r="J264" s="960"/>
      <c r="K264" s="960"/>
      <c r="L264" s="960"/>
      <c r="M264" s="960"/>
      <c r="N264" s="960"/>
      <c r="O264" s="960"/>
      <c r="P264" s="960"/>
      <c r="Q264" s="960"/>
      <c r="R264" s="960"/>
      <c r="S264" s="975">
        <f t="shared" si="59"/>
        <v>24</v>
      </c>
      <c r="T264" s="975" t="e">
        <f>VLOOKUP(C264,'sản lượng'!$D$12:$AK$89,36,0)</f>
        <v>#N/A</v>
      </c>
      <c r="U264" s="975"/>
      <c r="V264" s="975"/>
      <c r="W264" s="975" t="e">
        <f>VLOOKUP(C264,'sản lượng'!$D$12:$AK$89,36,0)</f>
        <v>#N/A</v>
      </c>
      <c r="X264" s="975"/>
      <c r="Y264" s="975"/>
      <c r="Z264" s="975" t="e">
        <f t="shared" si="60"/>
        <v>#N/A</v>
      </c>
      <c r="AA264" s="975" t="e">
        <f>VLOOKUP(C264,'CHẤM CÔNG '!$D$12:$AL$89,33,0)</f>
        <v>#N/A</v>
      </c>
      <c r="AB264" s="975" t="e">
        <f>VLOOKUP(C264,'CHẤM CÔNG '!$D$12:$AL$89,34,0)</f>
        <v>#N/A</v>
      </c>
      <c r="AC264" s="975"/>
      <c r="AD264" s="975"/>
      <c r="AE264" s="975"/>
      <c r="AF264" s="975"/>
      <c r="AG264" s="975"/>
      <c r="AH264" s="975"/>
      <c r="AI264" s="975"/>
      <c r="AJ264" s="975"/>
      <c r="AK264" s="981"/>
      <c r="AL264" s="982" t="e">
        <f>VLOOKUP(C264,'sản lượng'!$D$12:$AM$89,38,0)</f>
        <v>#N/A</v>
      </c>
      <c r="AM264" s="946">
        <v>1529</v>
      </c>
      <c r="AN264" s="976" t="e">
        <f t="shared" si="61"/>
        <v>#N/A</v>
      </c>
      <c r="AP264" s="944">
        <f t="shared" si="58"/>
        <v>2</v>
      </c>
      <c r="AR264" s="944">
        <v>1</v>
      </c>
    </row>
    <row r="265" spans="1:44" ht="15.75">
      <c r="A265" s="996">
        <v>36</v>
      </c>
      <c r="B265" s="1640" t="str">
        <f>VLOOKUP(C265,'DS CN MOI UP'!$B$10:$C$389,2,0)</f>
        <v>02528</v>
      </c>
      <c r="C265" s="963" t="s">
        <v>159</v>
      </c>
      <c r="D265" s="997" t="s">
        <v>15</v>
      </c>
      <c r="E265" s="960">
        <f t="shared" si="54"/>
        <v>24</v>
      </c>
      <c r="F265" s="960"/>
      <c r="G265" s="960"/>
      <c r="H265" s="1110"/>
      <c r="I265" s="960"/>
      <c r="J265" s="960"/>
      <c r="K265" s="960"/>
      <c r="L265" s="960"/>
      <c r="M265" s="960"/>
      <c r="N265" s="960"/>
      <c r="O265" s="960"/>
      <c r="P265" s="960"/>
      <c r="Q265" s="960"/>
      <c r="R265" s="960"/>
      <c r="S265" s="975">
        <f t="shared" si="59"/>
        <v>24</v>
      </c>
      <c r="T265" s="975" t="e">
        <f>VLOOKUP(C265,'sản lượng'!$D$12:$AK$89,36,0)</f>
        <v>#N/A</v>
      </c>
      <c r="U265" s="975"/>
      <c r="V265" s="975"/>
      <c r="W265" s="975" t="e">
        <f>VLOOKUP(C265,'sản lượng'!$D$12:$AK$89,36,0)</f>
        <v>#N/A</v>
      </c>
      <c r="X265" s="975"/>
      <c r="Y265" s="975"/>
      <c r="Z265" s="975" t="e">
        <f t="shared" si="60"/>
        <v>#N/A</v>
      </c>
      <c r="AA265" s="975" t="e">
        <f>VLOOKUP(C265,'CHẤM CÔNG '!$D$12:$AL$89,33,0)</f>
        <v>#N/A</v>
      </c>
      <c r="AB265" s="975" t="e">
        <f>VLOOKUP(C265,'CHẤM CÔNG '!$D$12:$AL$89,34,0)</f>
        <v>#N/A</v>
      </c>
      <c r="AC265" s="975"/>
      <c r="AD265" s="975"/>
      <c r="AE265" s="975"/>
      <c r="AF265" s="975"/>
      <c r="AG265" s="975"/>
      <c r="AH265" s="975"/>
      <c r="AI265" s="975"/>
      <c r="AJ265" s="975"/>
      <c r="AK265" s="981"/>
      <c r="AL265" s="982" t="e">
        <f>VLOOKUP(C265,'sản lượng'!$D$12:$AM$89,38,0)</f>
        <v>#N/A</v>
      </c>
      <c r="AM265" s="946">
        <v>1261</v>
      </c>
      <c r="AN265" s="976" t="e">
        <f t="shared" si="61"/>
        <v>#N/A</v>
      </c>
      <c r="AP265" s="944">
        <f t="shared" si="58"/>
        <v>2</v>
      </c>
      <c r="AR265" s="944">
        <v>1</v>
      </c>
    </row>
    <row r="266" spans="1:44" ht="15.75">
      <c r="A266" s="996">
        <v>37</v>
      </c>
      <c r="B266" s="1640" t="str">
        <f>VLOOKUP(C266,'DS CN MOI UP'!$B$10:$C$389,2,0)</f>
        <v>03367</v>
      </c>
      <c r="C266" s="963" t="s">
        <v>160</v>
      </c>
      <c r="D266" s="997" t="s">
        <v>15</v>
      </c>
      <c r="E266" s="960">
        <f t="shared" si="54"/>
        <v>24</v>
      </c>
      <c r="F266" s="960"/>
      <c r="G266" s="960"/>
      <c r="H266" s="1110"/>
      <c r="I266" s="960"/>
      <c r="J266" s="960"/>
      <c r="K266" s="960"/>
      <c r="L266" s="960"/>
      <c r="M266" s="960"/>
      <c r="N266" s="960"/>
      <c r="O266" s="960"/>
      <c r="P266" s="960"/>
      <c r="Q266" s="960"/>
      <c r="R266" s="960"/>
      <c r="S266" s="975">
        <f t="shared" si="59"/>
        <v>24</v>
      </c>
      <c r="T266" s="975" t="e">
        <f>VLOOKUP(C266,'sản lượng'!$D$12:$AK$89,36,0)</f>
        <v>#N/A</v>
      </c>
      <c r="U266" s="975"/>
      <c r="V266" s="975"/>
      <c r="W266" s="975" t="e">
        <f>VLOOKUP(C266,'sản lượng'!$D$12:$AK$89,36,0)</f>
        <v>#N/A</v>
      </c>
      <c r="X266" s="975"/>
      <c r="Y266" s="975"/>
      <c r="Z266" s="975" t="e">
        <f t="shared" si="60"/>
        <v>#N/A</v>
      </c>
      <c r="AA266" s="975" t="e">
        <f>VLOOKUP(C266,'CHẤM CÔNG '!$D$12:$AL$89,33,0)</f>
        <v>#N/A</v>
      </c>
      <c r="AB266" s="975" t="e">
        <f>VLOOKUP(C266,'CHẤM CÔNG '!$D$12:$AL$89,34,0)</f>
        <v>#N/A</v>
      </c>
      <c r="AC266" s="975"/>
      <c r="AD266" s="975"/>
      <c r="AE266" s="975"/>
      <c r="AF266" s="975"/>
      <c r="AG266" s="975"/>
      <c r="AH266" s="975"/>
      <c r="AI266" s="975"/>
      <c r="AJ266" s="975"/>
      <c r="AK266" s="981"/>
      <c r="AL266" s="982" t="e">
        <f>VLOOKUP(C266,'sản lượng'!$D$12:$AM$89,38,0)</f>
        <v>#N/A</v>
      </c>
      <c r="AM266" s="946">
        <v>1995</v>
      </c>
      <c r="AN266" s="976" t="e">
        <f t="shared" si="61"/>
        <v>#N/A</v>
      </c>
      <c r="AP266" s="944">
        <f t="shared" si="58"/>
        <v>2</v>
      </c>
      <c r="AR266" s="944">
        <v>1</v>
      </c>
    </row>
    <row r="267" spans="1:44" ht="15.75">
      <c r="A267" s="996">
        <v>38</v>
      </c>
      <c r="B267" s="1640" t="str">
        <f>VLOOKUP(C267,'DS CN MOI UP'!$B$10:$C$389,2,0)</f>
        <v>02517</v>
      </c>
      <c r="C267" s="963" t="s">
        <v>161</v>
      </c>
      <c r="D267" s="997" t="s">
        <v>15</v>
      </c>
      <c r="E267" s="960">
        <f t="shared" si="54"/>
        <v>24</v>
      </c>
      <c r="F267" s="960"/>
      <c r="G267" s="960"/>
      <c r="H267" s="1110"/>
      <c r="I267" s="960"/>
      <c r="J267" s="960"/>
      <c r="K267" s="960"/>
      <c r="L267" s="960"/>
      <c r="M267" s="960"/>
      <c r="N267" s="960"/>
      <c r="O267" s="960"/>
      <c r="P267" s="960"/>
      <c r="Q267" s="960"/>
      <c r="R267" s="960"/>
      <c r="S267" s="975">
        <f t="shared" si="59"/>
        <v>24</v>
      </c>
      <c r="T267" s="975" t="e">
        <f>VLOOKUP(C267,'sản lượng'!$D$12:$AK$89,36,0)</f>
        <v>#N/A</v>
      </c>
      <c r="U267" s="975"/>
      <c r="V267" s="975"/>
      <c r="W267" s="975" t="e">
        <f>VLOOKUP(C267,'sản lượng'!$D$12:$AK$89,36,0)</f>
        <v>#N/A</v>
      </c>
      <c r="X267" s="975"/>
      <c r="Y267" s="975"/>
      <c r="Z267" s="975" t="e">
        <f t="shared" si="60"/>
        <v>#N/A</v>
      </c>
      <c r="AA267" s="975" t="e">
        <f>VLOOKUP(C267,'CHẤM CÔNG '!$D$12:$AL$89,33,0)</f>
        <v>#N/A</v>
      </c>
      <c r="AB267" s="975" t="e">
        <f>VLOOKUP(C267,'CHẤM CÔNG '!$D$12:$AL$89,34,0)</f>
        <v>#N/A</v>
      </c>
      <c r="AC267" s="975"/>
      <c r="AD267" s="975"/>
      <c r="AE267" s="975"/>
      <c r="AF267" s="975"/>
      <c r="AG267" s="975"/>
      <c r="AH267" s="975"/>
      <c r="AI267" s="975"/>
      <c r="AJ267" s="975"/>
      <c r="AK267" s="981"/>
      <c r="AL267" s="982" t="e">
        <f>VLOOKUP(C267,'sản lượng'!$D$12:$AM$89,38,0)</f>
        <v>#N/A</v>
      </c>
      <c r="AM267" s="946">
        <v>994</v>
      </c>
      <c r="AN267" s="976" t="e">
        <f t="shared" si="61"/>
        <v>#N/A</v>
      </c>
      <c r="AP267" s="944">
        <f t="shared" si="58"/>
        <v>2</v>
      </c>
      <c r="AR267" s="944">
        <v>1</v>
      </c>
    </row>
    <row r="268" spans="1:44" ht="15.75">
      <c r="A268" s="996">
        <v>39</v>
      </c>
      <c r="B268" s="1640" t="str">
        <f>VLOOKUP(C268,'DS CN MOI UP'!$B$10:$C$389,2,0)</f>
        <v>02522</v>
      </c>
      <c r="C268" s="963" t="s">
        <v>162</v>
      </c>
      <c r="D268" s="997" t="s">
        <v>15</v>
      </c>
      <c r="E268" s="960">
        <f t="shared" si="54"/>
        <v>24</v>
      </c>
      <c r="F268" s="960"/>
      <c r="G268" s="960"/>
      <c r="H268" s="1110"/>
      <c r="I268" s="960"/>
      <c r="J268" s="960"/>
      <c r="K268" s="960"/>
      <c r="L268" s="960"/>
      <c r="M268" s="960"/>
      <c r="N268" s="960"/>
      <c r="O268" s="960"/>
      <c r="P268" s="960"/>
      <c r="Q268" s="960"/>
      <c r="R268" s="960"/>
      <c r="S268" s="975">
        <f t="shared" si="59"/>
        <v>24</v>
      </c>
      <c r="T268" s="975" t="e">
        <f>VLOOKUP(C268,'sản lượng'!$D$12:$AK$89,36,0)</f>
        <v>#N/A</v>
      </c>
      <c r="U268" s="975"/>
      <c r="V268" s="975"/>
      <c r="W268" s="975" t="e">
        <f>VLOOKUP(C268,'sản lượng'!$D$12:$AK$89,36,0)</f>
        <v>#N/A</v>
      </c>
      <c r="X268" s="975"/>
      <c r="Y268" s="975"/>
      <c r="Z268" s="975" t="e">
        <f t="shared" si="60"/>
        <v>#N/A</v>
      </c>
      <c r="AA268" s="975" t="e">
        <f>VLOOKUP(C268,'CHẤM CÔNG '!$D$12:$AL$89,33,0)</f>
        <v>#N/A</v>
      </c>
      <c r="AB268" s="975" t="e">
        <f>VLOOKUP(C268,'CHẤM CÔNG '!$D$12:$AL$89,34,0)</f>
        <v>#N/A</v>
      </c>
      <c r="AC268" s="975"/>
      <c r="AD268" s="975"/>
      <c r="AE268" s="975"/>
      <c r="AF268" s="975"/>
      <c r="AG268" s="975"/>
      <c r="AH268" s="975"/>
      <c r="AI268" s="975"/>
      <c r="AJ268" s="975"/>
      <c r="AK268" s="981"/>
      <c r="AL268" s="982" t="e">
        <f>VLOOKUP(C268,'sản lượng'!$D$12:$AM$89,38,0)</f>
        <v>#N/A</v>
      </c>
      <c r="AM268" s="946">
        <v>1108</v>
      </c>
      <c r="AN268" s="976" t="e">
        <f t="shared" si="61"/>
        <v>#N/A</v>
      </c>
      <c r="AP268" s="944">
        <f t="shared" si="58"/>
        <v>2</v>
      </c>
      <c r="AR268" s="944">
        <v>1</v>
      </c>
    </row>
    <row r="269" spans="1:44" ht="15.75">
      <c r="A269" s="996">
        <v>40</v>
      </c>
      <c r="B269" s="1640" t="str">
        <f>VLOOKUP(C269,'DS CN MOI UP'!$B$10:$C$389,2,0)</f>
        <v>02565</v>
      </c>
      <c r="C269" s="963" t="s">
        <v>163</v>
      </c>
      <c r="D269" s="997" t="s">
        <v>15</v>
      </c>
      <c r="E269" s="960">
        <f t="shared" si="54"/>
        <v>24</v>
      </c>
      <c r="F269" s="960"/>
      <c r="G269" s="960"/>
      <c r="H269" s="1110"/>
      <c r="I269" s="960"/>
      <c r="J269" s="960"/>
      <c r="K269" s="960"/>
      <c r="L269" s="960"/>
      <c r="M269" s="960"/>
      <c r="N269" s="960"/>
      <c r="O269" s="960"/>
      <c r="P269" s="960"/>
      <c r="Q269" s="960"/>
      <c r="R269" s="960"/>
      <c r="S269" s="975">
        <f t="shared" si="59"/>
        <v>24</v>
      </c>
      <c r="T269" s="975" t="e">
        <f>VLOOKUP(C269,'sản lượng'!$D$12:$AK$89,36,0)</f>
        <v>#N/A</v>
      </c>
      <c r="U269" s="975"/>
      <c r="V269" s="975"/>
      <c r="W269" s="975" t="e">
        <f>VLOOKUP(C269,'sản lượng'!$D$12:$AK$89,36,0)</f>
        <v>#N/A</v>
      </c>
      <c r="X269" s="975"/>
      <c r="Y269" s="975"/>
      <c r="Z269" s="975" t="e">
        <f t="shared" si="60"/>
        <v>#N/A</v>
      </c>
      <c r="AA269" s="975" t="e">
        <f>VLOOKUP(C269,'CHẤM CÔNG '!$D$12:$AL$89,33,0)</f>
        <v>#N/A</v>
      </c>
      <c r="AB269" s="975" t="e">
        <f>VLOOKUP(C269,'CHẤM CÔNG '!$D$12:$AL$89,34,0)</f>
        <v>#N/A</v>
      </c>
      <c r="AC269" s="975"/>
      <c r="AD269" s="975"/>
      <c r="AE269" s="975"/>
      <c r="AF269" s="975"/>
      <c r="AG269" s="975"/>
      <c r="AH269" s="975"/>
      <c r="AI269" s="975"/>
      <c r="AJ269" s="975"/>
      <c r="AK269" s="981"/>
      <c r="AL269" s="982" t="e">
        <f>VLOOKUP(C269,'sản lượng'!$D$12:$AM$89,38,0)</f>
        <v>#N/A</v>
      </c>
      <c r="AM269" s="946">
        <v>1806</v>
      </c>
      <c r="AN269" s="976" t="e">
        <f t="shared" si="61"/>
        <v>#N/A</v>
      </c>
      <c r="AP269" s="944">
        <f t="shared" si="58"/>
        <v>2</v>
      </c>
      <c r="AR269" s="944">
        <v>1</v>
      </c>
    </row>
    <row r="270" spans="1:44" ht="15.75">
      <c r="A270" s="996">
        <v>41</v>
      </c>
      <c r="B270" s="1640" t="str">
        <f>VLOOKUP(C270,'DS CN MOI UP'!$B$10:$C$389,2,0)</f>
        <v>03368</v>
      </c>
      <c r="C270" s="963" t="s">
        <v>164</v>
      </c>
      <c r="D270" s="997" t="s">
        <v>15</v>
      </c>
      <c r="E270" s="960">
        <f t="shared" si="54"/>
        <v>24</v>
      </c>
      <c r="F270" s="960"/>
      <c r="G270" s="960"/>
      <c r="H270" s="1110"/>
      <c r="I270" s="960"/>
      <c r="J270" s="960"/>
      <c r="K270" s="960"/>
      <c r="L270" s="960"/>
      <c r="M270" s="960"/>
      <c r="N270" s="960"/>
      <c r="O270" s="960"/>
      <c r="P270" s="960"/>
      <c r="Q270" s="960"/>
      <c r="R270" s="960"/>
      <c r="S270" s="975">
        <f t="shared" si="59"/>
        <v>24</v>
      </c>
      <c r="T270" s="975" t="e">
        <f>VLOOKUP(C270,'sản lượng'!$D$12:$AK$89,36,0)</f>
        <v>#N/A</v>
      </c>
      <c r="U270" s="975"/>
      <c r="V270" s="975"/>
      <c r="W270" s="975" t="e">
        <f>VLOOKUP(C270,'sản lượng'!$D$12:$AK$89,36,0)</f>
        <v>#N/A</v>
      </c>
      <c r="X270" s="975"/>
      <c r="Y270" s="975"/>
      <c r="Z270" s="975" t="e">
        <f t="shared" si="60"/>
        <v>#N/A</v>
      </c>
      <c r="AA270" s="975" t="e">
        <f>VLOOKUP(C270,'CHẤM CÔNG '!$D$12:$AL$89,33,0)</f>
        <v>#N/A</v>
      </c>
      <c r="AB270" s="975" t="e">
        <f>VLOOKUP(C270,'CHẤM CÔNG '!$D$12:$AL$89,34,0)</f>
        <v>#N/A</v>
      </c>
      <c r="AC270" s="975"/>
      <c r="AD270" s="975"/>
      <c r="AE270" s="975"/>
      <c r="AF270" s="975"/>
      <c r="AG270" s="975"/>
      <c r="AH270" s="975"/>
      <c r="AI270" s="975"/>
      <c r="AJ270" s="975"/>
      <c r="AK270" s="981"/>
      <c r="AL270" s="982" t="e">
        <f>VLOOKUP(C270,'sản lượng'!$D$12:$AM$89,38,0)</f>
        <v>#N/A</v>
      </c>
      <c r="AM270" s="946">
        <v>2342</v>
      </c>
      <c r="AN270" s="976" t="e">
        <f t="shared" si="61"/>
        <v>#N/A</v>
      </c>
      <c r="AP270" s="944">
        <f t="shared" si="58"/>
        <v>2</v>
      </c>
      <c r="AR270" s="944">
        <v>1</v>
      </c>
    </row>
    <row r="271" spans="1:44" ht="15.75">
      <c r="A271" s="996">
        <v>42</v>
      </c>
      <c r="B271" s="1640" t="str">
        <f>VLOOKUP(C271,'DS CN MOI UP'!$B$10:$C$389,2,0)</f>
        <v>02535</v>
      </c>
      <c r="C271" s="963" t="s">
        <v>165</v>
      </c>
      <c r="D271" s="997" t="s">
        <v>15</v>
      </c>
      <c r="E271" s="960">
        <f t="shared" si="54"/>
        <v>24</v>
      </c>
      <c r="F271" s="960"/>
      <c r="G271" s="960"/>
      <c r="H271" s="1110"/>
      <c r="I271" s="960"/>
      <c r="J271" s="960"/>
      <c r="K271" s="960"/>
      <c r="L271" s="960"/>
      <c r="M271" s="960"/>
      <c r="N271" s="960"/>
      <c r="O271" s="960"/>
      <c r="P271" s="960"/>
      <c r="Q271" s="960"/>
      <c r="R271" s="960"/>
      <c r="S271" s="975">
        <f t="shared" si="59"/>
        <v>24</v>
      </c>
      <c r="T271" s="975" t="e">
        <f>VLOOKUP(C271,'sản lượng'!$D$12:$AK$89,36,0)</f>
        <v>#N/A</v>
      </c>
      <c r="U271" s="975"/>
      <c r="V271" s="975"/>
      <c r="W271" s="975" t="e">
        <f>VLOOKUP(C271,'sản lượng'!$D$12:$AK$89,36,0)</f>
        <v>#N/A</v>
      </c>
      <c r="X271" s="975"/>
      <c r="Y271" s="975"/>
      <c r="Z271" s="975" t="e">
        <f t="shared" si="60"/>
        <v>#N/A</v>
      </c>
      <c r="AA271" s="975" t="e">
        <f>VLOOKUP(C271,'CHẤM CÔNG '!$D$12:$AL$89,33,0)</f>
        <v>#N/A</v>
      </c>
      <c r="AB271" s="975" t="e">
        <f>VLOOKUP(C271,'CHẤM CÔNG '!$D$12:$AL$89,34,0)</f>
        <v>#N/A</v>
      </c>
      <c r="AC271" s="975"/>
      <c r="AD271" s="975"/>
      <c r="AE271" s="975"/>
      <c r="AF271" s="975"/>
      <c r="AG271" s="975"/>
      <c r="AH271" s="975"/>
      <c r="AI271" s="975"/>
      <c r="AJ271" s="975"/>
      <c r="AK271" s="981"/>
      <c r="AL271" s="982" t="e">
        <f>VLOOKUP(C271,'sản lượng'!$D$12:$AM$89,38,0)</f>
        <v>#N/A</v>
      </c>
      <c r="AM271" s="946">
        <v>1634</v>
      </c>
      <c r="AN271" s="976" t="e">
        <f t="shared" si="61"/>
        <v>#N/A</v>
      </c>
      <c r="AP271" s="944">
        <f t="shared" si="58"/>
        <v>2</v>
      </c>
      <c r="AR271" s="944">
        <v>1</v>
      </c>
    </row>
    <row r="272" spans="1:44" ht="15.75">
      <c r="A272" s="996">
        <v>43</v>
      </c>
      <c r="B272" s="1640" t="str">
        <f>VLOOKUP(C272,'DS CN MOI UP'!$B$10:$C$389,2,0)</f>
        <v>02563</v>
      </c>
      <c r="C272" s="991" t="s">
        <v>166</v>
      </c>
      <c r="D272" s="997" t="s">
        <v>15</v>
      </c>
      <c r="E272" s="960">
        <f t="shared" si="54"/>
        <v>24</v>
      </c>
      <c r="F272" s="960"/>
      <c r="G272" s="960"/>
      <c r="H272" s="1110"/>
      <c r="I272" s="960"/>
      <c r="J272" s="960"/>
      <c r="K272" s="960"/>
      <c r="L272" s="960"/>
      <c r="M272" s="960"/>
      <c r="N272" s="960"/>
      <c r="O272" s="960"/>
      <c r="P272" s="960"/>
      <c r="Q272" s="960"/>
      <c r="R272" s="960"/>
      <c r="S272" s="975">
        <f t="shared" si="59"/>
        <v>24</v>
      </c>
      <c r="T272" s="975" t="e">
        <f>VLOOKUP(C272,'sản lượng'!$D$12:$AK$89,36,0)</f>
        <v>#N/A</v>
      </c>
      <c r="U272" s="975"/>
      <c r="V272" s="975"/>
      <c r="W272" s="975" t="e">
        <f>VLOOKUP(C272,'sản lượng'!$D$12:$AK$89,36,0)</f>
        <v>#N/A</v>
      </c>
      <c r="X272" s="975"/>
      <c r="Y272" s="975"/>
      <c r="Z272" s="975" t="e">
        <f t="shared" si="60"/>
        <v>#N/A</v>
      </c>
      <c r="AA272" s="975" t="e">
        <f>VLOOKUP(C272,'CHẤM CÔNG '!$D$12:$AL$89,33,0)</f>
        <v>#N/A</v>
      </c>
      <c r="AB272" s="975" t="e">
        <f>VLOOKUP(C272,'CHẤM CÔNG '!$D$12:$AL$89,34,0)</f>
        <v>#N/A</v>
      </c>
      <c r="AC272" s="975"/>
      <c r="AD272" s="975"/>
      <c r="AE272" s="975"/>
      <c r="AF272" s="975"/>
      <c r="AG272" s="975"/>
      <c r="AH272" s="975"/>
      <c r="AI272" s="975"/>
      <c r="AJ272" s="975"/>
      <c r="AK272" s="981"/>
      <c r="AL272" s="982" t="e">
        <f>VLOOKUP(C272,'sản lượng'!$D$12:$AM$89,38,0)</f>
        <v>#N/A</v>
      </c>
      <c r="AM272" s="946">
        <v>1250</v>
      </c>
      <c r="AN272" s="976" t="e">
        <f t="shared" si="61"/>
        <v>#N/A</v>
      </c>
      <c r="AP272" s="944">
        <f t="shared" si="58"/>
        <v>2</v>
      </c>
      <c r="AR272" s="944">
        <v>1</v>
      </c>
    </row>
    <row r="273" spans="1:44" ht="15.75">
      <c r="A273" s="996">
        <v>44</v>
      </c>
      <c r="B273" s="1640" t="str">
        <f>VLOOKUP(C273,'DS CN MOI UP'!$B$10:$C$389,2,0)</f>
        <v>02688</v>
      </c>
      <c r="C273" s="991" t="s">
        <v>167</v>
      </c>
      <c r="D273" s="997" t="s">
        <v>15</v>
      </c>
      <c r="E273" s="960">
        <f t="shared" si="54"/>
        <v>24</v>
      </c>
      <c r="F273" s="960"/>
      <c r="G273" s="960"/>
      <c r="H273" s="1110"/>
      <c r="I273" s="960"/>
      <c r="J273" s="960"/>
      <c r="K273" s="960"/>
      <c r="L273" s="960"/>
      <c r="M273" s="960"/>
      <c r="N273" s="960"/>
      <c r="O273" s="960"/>
      <c r="P273" s="960"/>
      <c r="Q273" s="960"/>
      <c r="R273" s="960"/>
      <c r="S273" s="975">
        <f t="shared" si="59"/>
        <v>24</v>
      </c>
      <c r="T273" s="975" t="e">
        <f>VLOOKUP(C273,'sản lượng'!$D$12:$AK$89,36,0)</f>
        <v>#N/A</v>
      </c>
      <c r="U273" s="975"/>
      <c r="V273" s="975"/>
      <c r="W273" s="975" t="e">
        <f>VLOOKUP(C273,'sản lượng'!$D$12:$AK$89,36,0)</f>
        <v>#N/A</v>
      </c>
      <c r="X273" s="975"/>
      <c r="Y273" s="975"/>
      <c r="Z273" s="975" t="e">
        <f t="shared" si="60"/>
        <v>#N/A</v>
      </c>
      <c r="AA273" s="975" t="e">
        <f>VLOOKUP(C273,'CHẤM CÔNG '!$D$12:$AL$89,33,0)</f>
        <v>#N/A</v>
      </c>
      <c r="AB273" s="975" t="e">
        <f>VLOOKUP(C273,'CHẤM CÔNG '!$D$12:$AL$89,34,0)</f>
        <v>#N/A</v>
      </c>
      <c r="AC273" s="975"/>
      <c r="AD273" s="975"/>
      <c r="AE273" s="975"/>
      <c r="AF273" s="975"/>
      <c r="AG273" s="975"/>
      <c r="AH273" s="975"/>
      <c r="AI273" s="975"/>
      <c r="AJ273" s="975"/>
      <c r="AK273" s="981"/>
      <c r="AL273" s="982" t="e">
        <f>VLOOKUP(C273,'sản lượng'!$D$12:$AM$89,38,0)</f>
        <v>#N/A</v>
      </c>
      <c r="AM273" s="946">
        <v>915</v>
      </c>
      <c r="AN273" s="976" t="e">
        <f t="shared" si="61"/>
        <v>#N/A</v>
      </c>
      <c r="AP273" s="944">
        <f t="shared" si="58"/>
        <v>2</v>
      </c>
      <c r="AR273" s="944">
        <v>1</v>
      </c>
    </row>
    <row r="274" spans="1:44" ht="15.75">
      <c r="A274" s="996">
        <v>45</v>
      </c>
      <c r="B274" s="1640" t="str">
        <f>VLOOKUP(C274,'DS CN MOI UP'!$B$10:$C$389,2,0)</f>
        <v>02551</v>
      </c>
      <c r="C274" s="998" t="s">
        <v>168</v>
      </c>
      <c r="D274" s="997" t="s">
        <v>15</v>
      </c>
      <c r="E274" s="960">
        <f t="shared" si="54"/>
        <v>24</v>
      </c>
      <c r="F274" s="960"/>
      <c r="G274" s="960"/>
      <c r="H274" s="1110"/>
      <c r="I274" s="960"/>
      <c r="J274" s="960"/>
      <c r="K274" s="960"/>
      <c r="L274" s="960"/>
      <c r="M274" s="960"/>
      <c r="N274" s="960"/>
      <c r="O274" s="960"/>
      <c r="P274" s="960"/>
      <c r="Q274" s="960"/>
      <c r="R274" s="960"/>
      <c r="S274" s="975">
        <f t="shared" si="59"/>
        <v>24</v>
      </c>
      <c r="T274" s="975" t="e">
        <f>VLOOKUP(C274,'sản lượng'!$D$12:$AK$89,36,0)</f>
        <v>#N/A</v>
      </c>
      <c r="U274" s="975"/>
      <c r="V274" s="975"/>
      <c r="W274" s="975" t="e">
        <f>VLOOKUP(C274,'sản lượng'!$D$12:$AK$89,36,0)</f>
        <v>#N/A</v>
      </c>
      <c r="X274" s="975"/>
      <c r="Y274" s="975"/>
      <c r="Z274" s="975" t="e">
        <f t="shared" si="60"/>
        <v>#N/A</v>
      </c>
      <c r="AA274" s="975" t="e">
        <f>VLOOKUP(C274,'CHẤM CÔNG '!$D$12:$AL$89,33,0)</f>
        <v>#N/A</v>
      </c>
      <c r="AB274" s="975" t="e">
        <f>VLOOKUP(C274,'CHẤM CÔNG '!$D$12:$AL$89,34,0)</f>
        <v>#N/A</v>
      </c>
      <c r="AC274" s="975"/>
      <c r="AD274" s="975"/>
      <c r="AE274" s="975"/>
      <c r="AF274" s="975"/>
      <c r="AG274" s="975"/>
      <c r="AH274" s="975"/>
      <c r="AI274" s="975"/>
      <c r="AJ274" s="975"/>
      <c r="AK274" s="981"/>
      <c r="AL274" s="982" t="e">
        <f>VLOOKUP(C274,'sản lượng'!$D$12:$AM$89,38,0)</f>
        <v>#N/A</v>
      </c>
      <c r="AM274" s="946">
        <v>1376</v>
      </c>
      <c r="AN274" s="976" t="e">
        <f t="shared" si="61"/>
        <v>#N/A</v>
      </c>
      <c r="AP274" s="944">
        <f t="shared" si="58"/>
        <v>2</v>
      </c>
      <c r="AR274" s="944">
        <v>1</v>
      </c>
    </row>
    <row r="275" spans="1:44" ht="15.75">
      <c r="A275" s="996">
        <v>46</v>
      </c>
      <c r="B275" s="1640" t="str">
        <f>VLOOKUP(C275,'DS CN MOI UP'!$B$10:$C$389,2,0)</f>
        <v>02523</v>
      </c>
      <c r="C275" s="992" t="s">
        <v>169</v>
      </c>
      <c r="D275" s="997" t="s">
        <v>15</v>
      </c>
      <c r="E275" s="960">
        <f t="shared" si="54"/>
        <v>24</v>
      </c>
      <c r="F275" s="960"/>
      <c r="G275" s="960"/>
      <c r="H275" s="1110"/>
      <c r="I275" s="960"/>
      <c r="J275" s="960"/>
      <c r="K275" s="960"/>
      <c r="L275" s="960"/>
      <c r="M275" s="960"/>
      <c r="N275" s="960"/>
      <c r="O275" s="960"/>
      <c r="P275" s="960"/>
      <c r="Q275" s="960"/>
      <c r="R275" s="960"/>
      <c r="S275" s="975">
        <f t="shared" si="59"/>
        <v>24</v>
      </c>
      <c r="T275" s="975" t="e">
        <f>VLOOKUP(C275,'sản lượng'!$D$12:$AK$89,36,0)</f>
        <v>#N/A</v>
      </c>
      <c r="U275" s="975"/>
      <c r="V275" s="975"/>
      <c r="W275" s="975" t="e">
        <f>VLOOKUP(C275,'sản lượng'!$D$12:$AK$89,36,0)</f>
        <v>#N/A</v>
      </c>
      <c r="X275" s="975"/>
      <c r="Y275" s="975"/>
      <c r="Z275" s="975" t="e">
        <f t="shared" si="60"/>
        <v>#N/A</v>
      </c>
      <c r="AA275" s="975" t="e">
        <f>VLOOKUP(C275,'CHẤM CÔNG '!$D$12:$AL$89,33,0)</f>
        <v>#N/A</v>
      </c>
      <c r="AB275" s="975" t="e">
        <f>VLOOKUP(C275,'CHẤM CÔNG '!$D$12:$AL$89,34,0)</f>
        <v>#N/A</v>
      </c>
      <c r="AC275" s="975"/>
      <c r="AD275" s="975"/>
      <c r="AE275" s="975"/>
      <c r="AF275" s="975"/>
      <c r="AG275" s="975"/>
      <c r="AH275" s="975"/>
      <c r="AI275" s="975"/>
      <c r="AJ275" s="975"/>
      <c r="AK275" s="981"/>
      <c r="AL275" s="982" t="e">
        <f>VLOOKUP(C275,'sản lượng'!$D$12:$AM$89,38,0)</f>
        <v>#N/A</v>
      </c>
      <c r="AM275" s="946">
        <v>1452</v>
      </c>
      <c r="AN275" s="976" t="e">
        <f t="shared" si="61"/>
        <v>#N/A</v>
      </c>
      <c r="AP275" s="944">
        <f t="shared" si="58"/>
        <v>2</v>
      </c>
      <c r="AR275" s="944">
        <v>1</v>
      </c>
    </row>
    <row r="276" spans="1:44" ht="15.75">
      <c r="A276" s="996">
        <v>47</v>
      </c>
      <c r="B276" s="1640" t="str">
        <f>VLOOKUP(C276,'DS CN MOI UP'!$B$10:$C$389,2,0)</f>
        <v>03369</v>
      </c>
      <c r="C276" s="992" t="s">
        <v>170</v>
      </c>
      <c r="D276" s="997" t="s">
        <v>15</v>
      </c>
      <c r="E276" s="960">
        <f t="shared" si="54"/>
        <v>24</v>
      </c>
      <c r="F276" s="960"/>
      <c r="G276" s="960"/>
      <c r="H276" s="1110"/>
      <c r="I276" s="960"/>
      <c r="J276" s="960"/>
      <c r="K276" s="960"/>
      <c r="L276" s="960"/>
      <c r="M276" s="960"/>
      <c r="N276" s="960"/>
      <c r="O276" s="960"/>
      <c r="P276" s="960"/>
      <c r="Q276" s="960"/>
      <c r="R276" s="960"/>
      <c r="S276" s="975">
        <f t="shared" si="59"/>
        <v>24</v>
      </c>
      <c r="T276" s="975" t="e">
        <f>VLOOKUP(C276,'sản lượng'!$D$12:$AK$89,36,0)</f>
        <v>#N/A</v>
      </c>
      <c r="U276" s="975"/>
      <c r="V276" s="975"/>
      <c r="W276" s="975" t="e">
        <f>VLOOKUP(C276,'sản lượng'!$D$12:$AK$89,36,0)</f>
        <v>#N/A</v>
      </c>
      <c r="X276" s="975"/>
      <c r="Y276" s="975"/>
      <c r="Z276" s="975" t="e">
        <f t="shared" si="60"/>
        <v>#N/A</v>
      </c>
      <c r="AA276" s="975" t="e">
        <f>VLOOKUP(C276,'CHẤM CÔNG '!$D$12:$AL$89,33,0)</f>
        <v>#N/A</v>
      </c>
      <c r="AB276" s="975" t="e">
        <f>VLOOKUP(C276,'CHẤM CÔNG '!$D$12:$AL$89,34,0)</f>
        <v>#N/A</v>
      </c>
      <c r="AC276" s="975"/>
      <c r="AD276" s="975"/>
      <c r="AE276" s="975"/>
      <c r="AF276" s="975"/>
      <c r="AG276" s="975"/>
      <c r="AH276" s="975"/>
      <c r="AI276" s="975"/>
      <c r="AJ276" s="975"/>
      <c r="AK276" s="981"/>
      <c r="AL276" s="982" t="e">
        <f>VLOOKUP(C276,'sản lượng'!$D$12:$AM$89,38,0)</f>
        <v>#N/A</v>
      </c>
      <c r="AM276" s="946">
        <v>2448</v>
      </c>
      <c r="AN276" s="976" t="e">
        <f t="shared" si="61"/>
        <v>#N/A</v>
      </c>
      <c r="AP276" s="944">
        <f t="shared" si="58"/>
        <v>2</v>
      </c>
      <c r="AR276" s="944">
        <v>1</v>
      </c>
    </row>
    <row r="277" spans="1:44" ht="15.75">
      <c r="A277" s="996">
        <v>48</v>
      </c>
      <c r="B277" s="1640" t="str">
        <f>VLOOKUP(C277,'DS CN MOI UP'!$B$10:$C$389,2,0)</f>
        <v>03345</v>
      </c>
      <c r="C277" s="992" t="s">
        <v>171</v>
      </c>
      <c r="D277" s="997" t="s">
        <v>15</v>
      </c>
      <c r="E277" s="960">
        <f t="shared" si="54"/>
        <v>24</v>
      </c>
      <c r="F277" s="960"/>
      <c r="G277" s="960"/>
      <c r="H277" s="1110"/>
      <c r="I277" s="960"/>
      <c r="J277" s="960"/>
      <c r="K277" s="960"/>
      <c r="L277" s="960"/>
      <c r="M277" s="960"/>
      <c r="N277" s="960"/>
      <c r="O277" s="960"/>
      <c r="P277" s="960"/>
      <c r="Q277" s="960"/>
      <c r="R277" s="960"/>
      <c r="S277" s="975">
        <f t="shared" si="59"/>
        <v>24</v>
      </c>
      <c r="T277" s="975" t="e">
        <f>VLOOKUP(C277,'sản lượng'!$D$12:$AK$89,36,0)</f>
        <v>#N/A</v>
      </c>
      <c r="U277" s="975"/>
      <c r="V277" s="975"/>
      <c r="W277" s="975" t="e">
        <f>VLOOKUP(C277,'sản lượng'!$D$12:$AK$89,36,0)</f>
        <v>#N/A</v>
      </c>
      <c r="X277" s="975"/>
      <c r="Y277" s="975"/>
      <c r="Z277" s="975" t="e">
        <f t="shared" si="60"/>
        <v>#N/A</v>
      </c>
      <c r="AA277" s="975" t="e">
        <f>VLOOKUP(C277,'CHẤM CÔNG '!$D$12:$AL$89,33,0)</f>
        <v>#N/A</v>
      </c>
      <c r="AB277" s="975" t="e">
        <f>VLOOKUP(C277,'CHẤM CÔNG '!$D$12:$AL$89,34,0)</f>
        <v>#N/A</v>
      </c>
      <c r="AC277" s="975"/>
      <c r="AD277" s="975"/>
      <c r="AE277" s="975"/>
      <c r="AF277" s="975"/>
      <c r="AG277" s="975"/>
      <c r="AH277" s="975"/>
      <c r="AI277" s="975"/>
      <c r="AJ277" s="975"/>
      <c r="AK277" s="981"/>
      <c r="AL277" s="982" t="e">
        <f>VLOOKUP(C277,'sản lượng'!$D$12:$AM$89,38,0)</f>
        <v>#N/A</v>
      </c>
      <c r="AM277" s="946">
        <v>1884</v>
      </c>
      <c r="AN277" s="976" t="e">
        <f t="shared" si="61"/>
        <v>#N/A</v>
      </c>
      <c r="AP277" s="944">
        <f t="shared" si="58"/>
        <v>2</v>
      </c>
      <c r="AR277" s="944">
        <v>1</v>
      </c>
    </row>
    <row r="278" spans="1:44" ht="15.75">
      <c r="A278" s="996">
        <v>49</v>
      </c>
      <c r="B278" s="1640" t="str">
        <f>VLOOKUP(C278,'DS CN MOI UP'!$B$10:$C$389,2,0)</f>
        <v>03371</v>
      </c>
      <c r="C278" s="999" t="s">
        <v>172</v>
      </c>
      <c r="D278" s="997" t="s">
        <v>15</v>
      </c>
      <c r="E278" s="960">
        <f t="shared" si="54"/>
        <v>24</v>
      </c>
      <c r="F278" s="960"/>
      <c r="G278" s="960"/>
      <c r="H278" s="1110"/>
      <c r="I278" s="960"/>
      <c r="J278" s="960"/>
      <c r="K278" s="960"/>
      <c r="L278" s="960"/>
      <c r="M278" s="960"/>
      <c r="N278" s="960"/>
      <c r="O278" s="960"/>
      <c r="P278" s="960"/>
      <c r="Q278" s="960"/>
      <c r="R278" s="960"/>
      <c r="S278" s="975">
        <f t="shared" si="59"/>
        <v>24</v>
      </c>
      <c r="T278" s="975" t="e">
        <f>VLOOKUP(C278,'sản lượng'!$D$12:$AK$89,36,0)</f>
        <v>#N/A</v>
      </c>
      <c r="U278" s="975"/>
      <c r="V278" s="975"/>
      <c r="W278" s="975" t="e">
        <f>VLOOKUP(C278,'sản lượng'!$D$12:$AK$89,36,0)</f>
        <v>#N/A</v>
      </c>
      <c r="X278" s="975"/>
      <c r="Y278" s="975"/>
      <c r="Z278" s="975" t="e">
        <f t="shared" si="60"/>
        <v>#N/A</v>
      </c>
      <c r="AA278" s="975" t="e">
        <f>VLOOKUP(C278,'CHẤM CÔNG '!$D$12:$AL$89,33,0)</f>
        <v>#N/A</v>
      </c>
      <c r="AB278" s="975" t="e">
        <f>VLOOKUP(C278,'CHẤM CÔNG '!$D$12:$AL$89,34,0)</f>
        <v>#N/A</v>
      </c>
      <c r="AC278" s="975"/>
      <c r="AD278" s="975"/>
      <c r="AE278" s="975"/>
      <c r="AF278" s="975"/>
      <c r="AG278" s="975"/>
      <c r="AH278" s="975"/>
      <c r="AI278" s="975"/>
      <c r="AJ278" s="975"/>
      <c r="AK278" s="981"/>
      <c r="AL278" s="982" t="e">
        <f>VLOOKUP(C278,'sản lượng'!$D$12:$AM$89,38,0)</f>
        <v>#N/A</v>
      </c>
      <c r="AM278" s="946">
        <v>1797</v>
      </c>
      <c r="AN278" s="976" t="e">
        <f t="shared" si="61"/>
        <v>#N/A</v>
      </c>
      <c r="AP278" s="944">
        <f t="shared" si="58"/>
        <v>2</v>
      </c>
      <c r="AR278" s="944">
        <v>1</v>
      </c>
    </row>
    <row r="279" spans="1:44" ht="15.75">
      <c r="A279" s="996">
        <v>50</v>
      </c>
      <c r="B279" s="1640" t="str">
        <f>VLOOKUP(C279,'DS CN MOI UP'!$B$10:$C$389,2,0)</f>
        <v>02519</v>
      </c>
      <c r="C279" s="1000" t="s">
        <v>173</v>
      </c>
      <c r="D279" s="997" t="s">
        <v>15</v>
      </c>
      <c r="E279" s="960">
        <f t="shared" si="54"/>
        <v>24</v>
      </c>
      <c r="F279" s="960"/>
      <c r="G279" s="960"/>
      <c r="H279" s="1110"/>
      <c r="I279" s="960"/>
      <c r="J279" s="960"/>
      <c r="K279" s="960"/>
      <c r="L279" s="960"/>
      <c r="M279" s="960"/>
      <c r="N279" s="960"/>
      <c r="O279" s="960"/>
      <c r="P279" s="960"/>
      <c r="Q279" s="960"/>
      <c r="R279" s="960"/>
      <c r="S279" s="975">
        <f t="shared" si="59"/>
        <v>24</v>
      </c>
      <c r="T279" s="975" t="e">
        <f>VLOOKUP(C279,'sản lượng'!$D$12:$AK$89,36,0)</f>
        <v>#N/A</v>
      </c>
      <c r="U279" s="975"/>
      <c r="V279" s="975"/>
      <c r="W279" s="975" t="e">
        <f>VLOOKUP(C279,'sản lượng'!$D$12:$AK$89,36,0)</f>
        <v>#N/A</v>
      </c>
      <c r="X279" s="975"/>
      <c r="Y279" s="975"/>
      <c r="Z279" s="975" t="e">
        <f t="shared" si="60"/>
        <v>#N/A</v>
      </c>
      <c r="AA279" s="975" t="e">
        <f>VLOOKUP(C279,'CHẤM CÔNG '!$D$12:$AL$89,33,0)</f>
        <v>#N/A</v>
      </c>
      <c r="AB279" s="975" t="e">
        <f>VLOOKUP(C279,'CHẤM CÔNG '!$D$12:$AL$89,34,0)</f>
        <v>#N/A</v>
      </c>
      <c r="AC279" s="975"/>
      <c r="AD279" s="975"/>
      <c r="AE279" s="975"/>
      <c r="AF279" s="975"/>
      <c r="AG279" s="975"/>
      <c r="AH279" s="975"/>
      <c r="AI279" s="975"/>
      <c r="AJ279" s="975"/>
      <c r="AK279" s="981"/>
      <c r="AL279" s="982" t="e">
        <f>VLOOKUP(C279,'sản lượng'!$D$12:$AM$89,38,0)</f>
        <v>#N/A</v>
      </c>
      <c r="AM279" s="946">
        <v>2261</v>
      </c>
      <c r="AN279" s="976" t="e">
        <f t="shared" si="61"/>
        <v>#N/A</v>
      </c>
      <c r="AP279" s="944">
        <f t="shared" si="58"/>
        <v>2</v>
      </c>
      <c r="AR279" s="944">
        <v>1</v>
      </c>
    </row>
    <row r="280" spans="1:44" ht="15.75">
      <c r="A280" s="996">
        <v>51</v>
      </c>
      <c r="B280" s="1640" t="str">
        <f>VLOOKUP(C280,'DS CN MOI UP'!$B$10:$C$389,2,0)</f>
        <v>02692</v>
      </c>
      <c r="C280" s="970" t="s">
        <v>174</v>
      </c>
      <c r="D280" s="997" t="s">
        <v>15</v>
      </c>
      <c r="E280" s="960">
        <f t="shared" si="54"/>
        <v>24</v>
      </c>
      <c r="F280" s="960"/>
      <c r="G280" s="960"/>
      <c r="H280" s="1110"/>
      <c r="I280" s="960"/>
      <c r="J280" s="960"/>
      <c r="K280" s="960"/>
      <c r="L280" s="960"/>
      <c r="M280" s="960"/>
      <c r="N280" s="960"/>
      <c r="O280" s="960"/>
      <c r="P280" s="960"/>
      <c r="Q280" s="960"/>
      <c r="R280" s="960"/>
      <c r="S280" s="975">
        <f t="shared" si="59"/>
        <v>24</v>
      </c>
      <c r="T280" s="975" t="e">
        <f>VLOOKUP(C280,'sản lượng'!$D$12:$AK$89,36,0)</f>
        <v>#N/A</v>
      </c>
      <c r="U280" s="975"/>
      <c r="V280" s="975"/>
      <c r="W280" s="975" t="e">
        <f>VLOOKUP(C280,'sản lượng'!$D$12:$AK$89,36,0)</f>
        <v>#N/A</v>
      </c>
      <c r="X280" s="975"/>
      <c r="Y280" s="975"/>
      <c r="Z280" s="975" t="e">
        <f t="shared" si="60"/>
        <v>#N/A</v>
      </c>
      <c r="AA280" s="975" t="e">
        <f>VLOOKUP(C280,'CHẤM CÔNG '!$D$12:$AL$89,33,0)</f>
        <v>#N/A</v>
      </c>
      <c r="AB280" s="975" t="e">
        <f>VLOOKUP(C280,'CHẤM CÔNG '!$D$12:$AL$89,34,0)</f>
        <v>#N/A</v>
      </c>
      <c r="AC280" s="975"/>
      <c r="AD280" s="975"/>
      <c r="AE280" s="975"/>
      <c r="AF280" s="975"/>
      <c r="AG280" s="975"/>
      <c r="AH280" s="975"/>
      <c r="AI280" s="975"/>
      <c r="AJ280" s="975"/>
      <c r="AK280" s="981"/>
      <c r="AL280" s="982" t="e">
        <f>VLOOKUP(C280,'sản lượng'!$D$12:$AM$89,38,0)</f>
        <v>#N/A</v>
      </c>
      <c r="AM280" s="946">
        <v>1682</v>
      </c>
      <c r="AN280" s="976" t="e">
        <f t="shared" si="61"/>
        <v>#N/A</v>
      </c>
      <c r="AP280" s="944">
        <f t="shared" si="58"/>
        <v>2</v>
      </c>
      <c r="AR280" s="944">
        <v>1</v>
      </c>
    </row>
    <row r="281" spans="1:44" ht="15.75">
      <c r="A281" s="996">
        <v>52</v>
      </c>
      <c r="B281" s="1640" t="str">
        <f>VLOOKUP(C281,'DS CN MOI UP'!$B$10:$C$389,2,0)</f>
        <v>03372</v>
      </c>
      <c r="C281" s="970" t="s">
        <v>175</v>
      </c>
      <c r="D281" s="997" t="s">
        <v>15</v>
      </c>
      <c r="E281" s="960">
        <f t="shared" si="54"/>
        <v>24</v>
      </c>
      <c r="F281" s="960"/>
      <c r="G281" s="960"/>
      <c r="H281" s="1110"/>
      <c r="I281" s="960"/>
      <c r="J281" s="960"/>
      <c r="K281" s="960"/>
      <c r="L281" s="960"/>
      <c r="M281" s="960"/>
      <c r="N281" s="960"/>
      <c r="O281" s="960"/>
      <c r="P281" s="960"/>
      <c r="Q281" s="960"/>
      <c r="R281" s="960"/>
      <c r="S281" s="975">
        <f t="shared" si="59"/>
        <v>24</v>
      </c>
      <c r="T281" s="975" t="e">
        <f>VLOOKUP(C281,'sản lượng'!$D$12:$AK$89,36,0)</f>
        <v>#N/A</v>
      </c>
      <c r="U281" s="975"/>
      <c r="V281" s="975"/>
      <c r="W281" s="975" t="e">
        <f>VLOOKUP(C281,'sản lượng'!$D$12:$AK$89,36,0)</f>
        <v>#N/A</v>
      </c>
      <c r="X281" s="975"/>
      <c r="Y281" s="975"/>
      <c r="Z281" s="975" t="e">
        <f t="shared" si="60"/>
        <v>#N/A</v>
      </c>
      <c r="AA281" s="975" t="e">
        <f>VLOOKUP(C281,'CHẤM CÔNG '!$D$12:$AL$89,33,0)</f>
        <v>#N/A</v>
      </c>
      <c r="AB281" s="975" t="e">
        <f>VLOOKUP(C281,'CHẤM CÔNG '!$D$12:$AL$89,34,0)</f>
        <v>#N/A</v>
      </c>
      <c r="AC281" s="975"/>
      <c r="AD281" s="975"/>
      <c r="AE281" s="975"/>
      <c r="AF281" s="975"/>
      <c r="AG281" s="975"/>
      <c r="AH281" s="975"/>
      <c r="AI281" s="975"/>
      <c r="AJ281" s="975"/>
      <c r="AK281" s="981"/>
      <c r="AL281" s="982" t="e">
        <f>VLOOKUP(C281,'sản lượng'!$D$12:$AM$89,38,0)</f>
        <v>#N/A</v>
      </c>
      <c r="AM281" s="946">
        <v>1211</v>
      </c>
      <c r="AN281" s="976" t="e">
        <f t="shared" si="61"/>
        <v>#N/A</v>
      </c>
      <c r="AP281" s="944">
        <f t="shared" si="58"/>
        <v>2</v>
      </c>
      <c r="AR281" s="944">
        <v>1</v>
      </c>
    </row>
    <row r="282" spans="1:44" ht="15.75">
      <c r="A282" s="996">
        <v>53</v>
      </c>
      <c r="B282" s="1640" t="str">
        <f>VLOOKUP(C282,'DS CN MOI UP'!$B$10:$C$389,2,0)</f>
        <v>03365</v>
      </c>
      <c r="C282" s="970" t="s">
        <v>176</v>
      </c>
      <c r="D282" s="997" t="s">
        <v>15</v>
      </c>
      <c r="E282" s="960">
        <f t="shared" si="54"/>
        <v>24</v>
      </c>
      <c r="F282" s="960"/>
      <c r="G282" s="960"/>
      <c r="H282" s="1110"/>
      <c r="I282" s="960"/>
      <c r="J282" s="960"/>
      <c r="K282" s="960"/>
      <c r="L282" s="960"/>
      <c r="M282" s="960"/>
      <c r="N282" s="960"/>
      <c r="O282" s="960"/>
      <c r="P282" s="960"/>
      <c r="Q282" s="960"/>
      <c r="R282" s="960"/>
      <c r="S282" s="975">
        <f t="shared" si="59"/>
        <v>24</v>
      </c>
      <c r="T282" s="975" t="e">
        <f>VLOOKUP(C282,'sản lượng'!$D$12:$AK$89,36,0)</f>
        <v>#N/A</v>
      </c>
      <c r="U282" s="975"/>
      <c r="V282" s="975"/>
      <c r="W282" s="975" t="e">
        <f>VLOOKUP(C282,'sản lượng'!$D$12:$AK$89,36,0)</f>
        <v>#N/A</v>
      </c>
      <c r="X282" s="975"/>
      <c r="Y282" s="975"/>
      <c r="Z282" s="975" t="e">
        <f t="shared" si="60"/>
        <v>#N/A</v>
      </c>
      <c r="AA282" s="975" t="e">
        <f>VLOOKUP(C282,'CHẤM CÔNG '!$D$12:$AL$89,33,0)</f>
        <v>#N/A</v>
      </c>
      <c r="AB282" s="975" t="e">
        <f>VLOOKUP(C282,'CHẤM CÔNG '!$D$12:$AL$89,34,0)</f>
        <v>#N/A</v>
      </c>
      <c r="AC282" s="975"/>
      <c r="AD282" s="975"/>
      <c r="AE282" s="975"/>
      <c r="AF282" s="975"/>
      <c r="AG282" s="975"/>
      <c r="AH282" s="975"/>
      <c r="AI282" s="975"/>
      <c r="AJ282" s="975"/>
      <c r="AK282" s="981"/>
      <c r="AL282" s="982" t="e">
        <f>VLOOKUP(C282,'sản lượng'!$D$12:$AM$89,38,0)</f>
        <v>#N/A</v>
      </c>
      <c r="AM282" s="946">
        <v>1239</v>
      </c>
      <c r="AN282" s="976" t="e">
        <f t="shared" si="61"/>
        <v>#N/A</v>
      </c>
      <c r="AP282" s="944">
        <f t="shared" si="58"/>
        <v>2</v>
      </c>
      <c r="AR282" s="944">
        <v>1</v>
      </c>
    </row>
    <row r="283" spans="1:44" ht="15.75">
      <c r="A283" s="996">
        <v>54</v>
      </c>
      <c r="B283" s="1640" t="str">
        <f>VLOOKUP(C283,'DS CN MOI UP'!$B$10:$C$389,2,0)</f>
        <v>03373</v>
      </c>
      <c r="C283" s="970" t="s">
        <v>177</v>
      </c>
      <c r="D283" s="997" t="s">
        <v>15</v>
      </c>
      <c r="E283" s="960">
        <f t="shared" si="54"/>
        <v>24</v>
      </c>
      <c r="F283" s="960"/>
      <c r="G283" s="960"/>
      <c r="H283" s="1110"/>
      <c r="I283" s="960"/>
      <c r="J283" s="960"/>
      <c r="K283" s="960"/>
      <c r="L283" s="960"/>
      <c r="M283" s="960"/>
      <c r="N283" s="960"/>
      <c r="O283" s="960"/>
      <c r="P283" s="960"/>
      <c r="Q283" s="960"/>
      <c r="R283" s="960"/>
      <c r="S283" s="975">
        <f t="shared" si="59"/>
        <v>24</v>
      </c>
      <c r="T283" s="975" t="e">
        <f>VLOOKUP(C283,'sản lượng'!$D$12:$AK$89,36,0)</f>
        <v>#N/A</v>
      </c>
      <c r="U283" s="975"/>
      <c r="V283" s="975"/>
      <c r="W283" s="975" t="e">
        <f>VLOOKUP(C283,'sản lượng'!$D$12:$AK$89,36,0)</f>
        <v>#N/A</v>
      </c>
      <c r="X283" s="975"/>
      <c r="Y283" s="975"/>
      <c r="Z283" s="975" t="e">
        <f t="shared" si="60"/>
        <v>#N/A</v>
      </c>
      <c r="AA283" s="975" t="e">
        <f>VLOOKUP(C283,'CHẤM CÔNG '!$D$12:$AL$89,33,0)</f>
        <v>#N/A</v>
      </c>
      <c r="AB283" s="975" t="e">
        <f>VLOOKUP(C283,'CHẤM CÔNG '!$D$12:$AL$89,34,0)</f>
        <v>#N/A</v>
      </c>
      <c r="AC283" s="975"/>
      <c r="AD283" s="975"/>
      <c r="AE283" s="975"/>
      <c r="AF283" s="975"/>
      <c r="AG283" s="975"/>
      <c r="AH283" s="975"/>
      <c r="AI283" s="975"/>
      <c r="AJ283" s="975"/>
      <c r="AK283" s="981"/>
      <c r="AL283" s="982" t="e">
        <f>VLOOKUP(C283,'sản lượng'!$D$12:$AM$89,38,0)</f>
        <v>#N/A</v>
      </c>
      <c r="AM283" s="946">
        <v>1196</v>
      </c>
      <c r="AN283" s="976" t="e">
        <f t="shared" si="61"/>
        <v>#N/A</v>
      </c>
      <c r="AP283" s="944">
        <f t="shared" si="58"/>
        <v>2</v>
      </c>
      <c r="AR283" s="944">
        <v>1</v>
      </c>
    </row>
    <row r="284" spans="1:44" ht="15.75">
      <c r="A284" s="996">
        <v>55</v>
      </c>
      <c r="B284" s="1640" t="str">
        <f>VLOOKUP(C284,'DS CN MOI UP'!$B$10:$C$389,2,0)</f>
        <v>03374</v>
      </c>
      <c r="C284" s="970" t="s">
        <v>178</v>
      </c>
      <c r="D284" s="997" t="s">
        <v>15</v>
      </c>
      <c r="E284" s="960">
        <f t="shared" si="54"/>
        <v>24</v>
      </c>
      <c r="F284" s="960"/>
      <c r="G284" s="960"/>
      <c r="H284" s="1110"/>
      <c r="I284" s="960"/>
      <c r="J284" s="960"/>
      <c r="K284" s="960"/>
      <c r="L284" s="960"/>
      <c r="M284" s="960"/>
      <c r="N284" s="960"/>
      <c r="O284" s="960"/>
      <c r="P284" s="960"/>
      <c r="Q284" s="960"/>
      <c r="R284" s="960"/>
      <c r="S284" s="975">
        <f t="shared" si="59"/>
        <v>24</v>
      </c>
      <c r="T284" s="975" t="e">
        <f>VLOOKUP(C284,'sản lượng'!$D$12:$AK$89,36,0)</f>
        <v>#N/A</v>
      </c>
      <c r="U284" s="975"/>
      <c r="V284" s="975"/>
      <c r="W284" s="975" t="e">
        <f>VLOOKUP(C284,'sản lượng'!$D$12:$AK$89,36,0)</f>
        <v>#N/A</v>
      </c>
      <c r="X284" s="975"/>
      <c r="Y284" s="975"/>
      <c r="Z284" s="975" t="e">
        <f t="shared" si="60"/>
        <v>#N/A</v>
      </c>
      <c r="AA284" s="975" t="e">
        <f>VLOOKUP(C284,'CHẤM CÔNG '!$D$12:$AL$89,33,0)</f>
        <v>#N/A</v>
      </c>
      <c r="AB284" s="975" t="e">
        <f>VLOOKUP(C284,'CHẤM CÔNG '!$D$12:$AL$89,34,0)</f>
        <v>#N/A</v>
      </c>
      <c r="AC284" s="975"/>
      <c r="AD284" s="975"/>
      <c r="AE284" s="975"/>
      <c r="AF284" s="975"/>
      <c r="AG284" s="975"/>
      <c r="AH284" s="975"/>
      <c r="AI284" s="975"/>
      <c r="AJ284" s="975"/>
      <c r="AK284" s="981"/>
      <c r="AL284" s="982" t="e">
        <f>VLOOKUP(C284,'sản lượng'!$D$12:$AM$89,38,0)</f>
        <v>#N/A</v>
      </c>
      <c r="AM284" s="946">
        <v>1120</v>
      </c>
      <c r="AN284" s="976" t="e">
        <f t="shared" si="61"/>
        <v>#N/A</v>
      </c>
      <c r="AP284" s="944">
        <f t="shared" si="58"/>
        <v>2</v>
      </c>
      <c r="AR284" s="944">
        <v>1</v>
      </c>
    </row>
    <row r="285" spans="1:44" ht="15.75">
      <c r="A285" s="996">
        <v>56</v>
      </c>
      <c r="B285" s="1640" t="str">
        <f>VLOOKUP(C285,'DS CN MOI UP'!$B$10:$C$389,2,0)</f>
        <v>02557</v>
      </c>
      <c r="C285" s="970" t="s">
        <v>179</v>
      </c>
      <c r="D285" s="997" t="s">
        <v>15</v>
      </c>
      <c r="E285" s="960">
        <f t="shared" si="54"/>
        <v>24</v>
      </c>
      <c r="F285" s="960"/>
      <c r="G285" s="960"/>
      <c r="H285" s="1110"/>
      <c r="I285" s="960"/>
      <c r="J285" s="960"/>
      <c r="K285" s="960"/>
      <c r="L285" s="960"/>
      <c r="M285" s="960"/>
      <c r="N285" s="960"/>
      <c r="O285" s="960"/>
      <c r="P285" s="960"/>
      <c r="Q285" s="960"/>
      <c r="R285" s="960"/>
      <c r="S285" s="975">
        <f t="shared" si="59"/>
        <v>24</v>
      </c>
      <c r="T285" s="975" t="e">
        <f>VLOOKUP(C285,'sản lượng'!$D$12:$AK$89,36,0)</f>
        <v>#N/A</v>
      </c>
      <c r="U285" s="975"/>
      <c r="V285" s="975"/>
      <c r="W285" s="975" t="e">
        <f>VLOOKUP(C285,'sản lượng'!$D$12:$AK$89,36,0)</f>
        <v>#N/A</v>
      </c>
      <c r="X285" s="975"/>
      <c r="Y285" s="975"/>
      <c r="Z285" s="975" t="e">
        <f t="shared" si="60"/>
        <v>#N/A</v>
      </c>
      <c r="AA285" s="975" t="e">
        <f>VLOOKUP(C285,'CHẤM CÔNG '!$D$12:$AL$89,33,0)</f>
        <v>#N/A</v>
      </c>
      <c r="AB285" s="975" t="e">
        <f>VLOOKUP(C285,'CHẤM CÔNG '!$D$12:$AL$89,34,0)</f>
        <v>#N/A</v>
      </c>
      <c r="AC285" s="975"/>
      <c r="AD285" s="975"/>
      <c r="AE285" s="975"/>
      <c r="AF285" s="975"/>
      <c r="AG285" s="975"/>
      <c r="AH285" s="975"/>
      <c r="AI285" s="975"/>
      <c r="AJ285" s="975"/>
      <c r="AK285" s="981"/>
      <c r="AL285" s="982" t="e">
        <f>VLOOKUP(C285,'sản lượng'!$D$12:$AM$89,38,0)</f>
        <v>#N/A</v>
      </c>
      <c r="AM285" s="946">
        <v>1471</v>
      </c>
      <c r="AN285" s="976" t="e">
        <f t="shared" si="61"/>
        <v>#N/A</v>
      </c>
      <c r="AP285" s="944">
        <f t="shared" si="58"/>
        <v>2</v>
      </c>
      <c r="AR285" s="944">
        <v>1</v>
      </c>
    </row>
    <row r="286" spans="1:44" ht="15.75">
      <c r="A286" s="996">
        <v>57</v>
      </c>
      <c r="B286" s="1640" t="str">
        <f>VLOOKUP(C286,'DS CN MOI UP'!$B$10:$C$389,2,0)</f>
        <v>02525</v>
      </c>
      <c r="C286" s="970" t="s">
        <v>180</v>
      </c>
      <c r="D286" s="997" t="s">
        <v>15</v>
      </c>
      <c r="E286" s="960">
        <f t="shared" si="54"/>
        <v>24</v>
      </c>
      <c r="F286" s="960"/>
      <c r="G286" s="960"/>
      <c r="H286" s="1110"/>
      <c r="I286" s="960"/>
      <c r="J286" s="960"/>
      <c r="K286" s="960"/>
      <c r="L286" s="960"/>
      <c r="M286" s="960"/>
      <c r="N286" s="960"/>
      <c r="O286" s="960"/>
      <c r="P286" s="960"/>
      <c r="Q286" s="960"/>
      <c r="R286" s="960"/>
      <c r="S286" s="975">
        <f t="shared" si="59"/>
        <v>24</v>
      </c>
      <c r="T286" s="975" t="e">
        <f>VLOOKUP(C286,'sản lượng'!$D$12:$AK$89,36,0)</f>
        <v>#N/A</v>
      </c>
      <c r="U286" s="975"/>
      <c r="V286" s="975"/>
      <c r="W286" s="975" t="e">
        <f>VLOOKUP(C286,'sản lượng'!$D$12:$AK$89,36,0)</f>
        <v>#N/A</v>
      </c>
      <c r="X286" s="975"/>
      <c r="Y286" s="975"/>
      <c r="Z286" s="975" t="e">
        <f t="shared" si="60"/>
        <v>#N/A</v>
      </c>
      <c r="AA286" s="975" t="e">
        <f>VLOOKUP(C286,'CHẤM CÔNG '!$D$12:$AL$89,33,0)</f>
        <v>#N/A</v>
      </c>
      <c r="AB286" s="975" t="e">
        <f>VLOOKUP(C286,'CHẤM CÔNG '!$D$12:$AL$89,34,0)</f>
        <v>#N/A</v>
      </c>
      <c r="AC286" s="975"/>
      <c r="AD286" s="975"/>
      <c r="AE286" s="975"/>
      <c r="AF286" s="975"/>
      <c r="AG286" s="975"/>
      <c r="AH286" s="975"/>
      <c r="AI286" s="975"/>
      <c r="AJ286" s="975"/>
      <c r="AK286" s="981"/>
      <c r="AL286" s="982" t="e">
        <f>VLOOKUP(C286,'sản lượng'!$D$12:$AM$89,38,0)</f>
        <v>#N/A</v>
      </c>
      <c r="AM286" s="946">
        <v>2106</v>
      </c>
      <c r="AN286" s="976" t="e">
        <f t="shared" si="61"/>
        <v>#N/A</v>
      </c>
      <c r="AP286" s="944">
        <f t="shared" si="58"/>
        <v>2</v>
      </c>
      <c r="AR286" s="944">
        <v>1</v>
      </c>
    </row>
    <row r="287" spans="1:44" ht="15.75">
      <c r="A287" s="996">
        <v>58</v>
      </c>
      <c r="B287" s="1640" t="str">
        <f>VLOOKUP(C287,'DS CN MOI UP'!$B$10:$C$389,2,0)</f>
        <v>03375</v>
      </c>
      <c r="C287" s="970" t="s">
        <v>181</v>
      </c>
      <c r="D287" s="997" t="s">
        <v>2654</v>
      </c>
      <c r="E287" s="960">
        <f t="shared" si="54"/>
        <v>24</v>
      </c>
      <c r="F287" s="960"/>
      <c r="G287" s="960"/>
      <c r="H287" s="1110"/>
      <c r="I287" s="960"/>
      <c r="J287" s="960"/>
      <c r="K287" s="960"/>
      <c r="L287" s="960"/>
      <c r="M287" s="960"/>
      <c r="N287" s="960"/>
      <c r="O287" s="960"/>
      <c r="P287" s="960"/>
      <c r="Q287" s="960"/>
      <c r="R287" s="960"/>
      <c r="S287" s="975">
        <f t="shared" si="59"/>
        <v>24</v>
      </c>
      <c r="T287" s="975" t="e">
        <f>VLOOKUP(C287,'sản lượng'!$D$12:$AK$89,36,0)</f>
        <v>#N/A</v>
      </c>
      <c r="U287" s="975"/>
      <c r="V287" s="975"/>
      <c r="W287" s="975" t="e">
        <f>VLOOKUP(C287,'sản lượng'!$D$12:$AK$89,36,0)</f>
        <v>#N/A</v>
      </c>
      <c r="X287" s="975"/>
      <c r="Y287" s="975"/>
      <c r="Z287" s="975" t="e">
        <f t="shared" si="60"/>
        <v>#N/A</v>
      </c>
      <c r="AA287" s="975" t="e">
        <f>VLOOKUP(C287,'CHẤM CÔNG '!$D$12:$AL$89,33,0)</f>
        <v>#N/A</v>
      </c>
      <c r="AB287" s="975" t="e">
        <f>VLOOKUP(C287,'CHẤM CÔNG '!$D$12:$AL$89,34,0)</f>
        <v>#N/A</v>
      </c>
      <c r="AC287" s="975"/>
      <c r="AD287" s="975"/>
      <c r="AE287" s="975"/>
      <c r="AF287" s="975"/>
      <c r="AG287" s="975"/>
      <c r="AH287" s="975"/>
      <c r="AI287" s="975"/>
      <c r="AJ287" s="975"/>
      <c r="AK287" s="981"/>
      <c r="AL287" s="982" t="e">
        <f>VLOOKUP(C287,'sản lượng'!$D$12:$AM$89,38,0)</f>
        <v>#N/A</v>
      </c>
      <c r="AM287" s="946">
        <v>1647</v>
      </c>
      <c r="AN287" s="976" t="e">
        <f t="shared" si="61"/>
        <v>#N/A</v>
      </c>
      <c r="AP287" s="944">
        <f t="shared" si="58"/>
        <v>2</v>
      </c>
      <c r="AR287" s="944">
        <v>1</v>
      </c>
    </row>
    <row r="288" spans="1:44" ht="15.75">
      <c r="A288" s="996">
        <v>59</v>
      </c>
      <c r="B288" s="1640" t="str">
        <f>VLOOKUP(C288,'DS CN MOI UP'!$B$10:$C$389,2,0)</f>
        <v>02691</v>
      </c>
      <c r="C288" s="970" t="s">
        <v>182</v>
      </c>
      <c r="D288" s="997" t="s">
        <v>2654</v>
      </c>
      <c r="E288" s="960">
        <f t="shared" si="54"/>
        <v>24</v>
      </c>
      <c r="F288" s="960"/>
      <c r="G288" s="960"/>
      <c r="H288" s="1110"/>
      <c r="I288" s="960"/>
      <c r="J288" s="960"/>
      <c r="K288" s="960"/>
      <c r="L288" s="960"/>
      <c r="M288" s="960"/>
      <c r="N288" s="960"/>
      <c r="O288" s="960"/>
      <c r="P288" s="960"/>
      <c r="Q288" s="960"/>
      <c r="R288" s="960"/>
      <c r="S288" s="975">
        <f t="shared" si="59"/>
        <v>24</v>
      </c>
      <c r="T288" s="975" t="e">
        <f>VLOOKUP(C288,'sản lượng'!$D$12:$AK$89,36,0)</f>
        <v>#N/A</v>
      </c>
      <c r="U288" s="975"/>
      <c r="V288" s="975"/>
      <c r="W288" s="975" t="e">
        <f>VLOOKUP(C288,'sản lượng'!$D$12:$AK$89,36,0)</f>
        <v>#N/A</v>
      </c>
      <c r="X288" s="975"/>
      <c r="Y288" s="975"/>
      <c r="Z288" s="975" t="e">
        <f t="shared" si="60"/>
        <v>#N/A</v>
      </c>
      <c r="AA288" s="975" t="e">
        <f>VLOOKUP(C288,'CHẤM CÔNG '!$D$12:$AL$89,33,0)</f>
        <v>#N/A</v>
      </c>
      <c r="AB288" s="975" t="e">
        <f>VLOOKUP(C288,'CHẤM CÔNG '!$D$12:$AL$89,34,0)</f>
        <v>#N/A</v>
      </c>
      <c r="AC288" s="975"/>
      <c r="AD288" s="975"/>
      <c r="AE288" s="975"/>
      <c r="AF288" s="975"/>
      <c r="AG288" s="975"/>
      <c r="AH288" s="975"/>
      <c r="AI288" s="975"/>
      <c r="AJ288" s="975"/>
      <c r="AK288" s="981"/>
      <c r="AL288" s="982" t="e">
        <f>VLOOKUP(C288,'sản lượng'!$D$12:$AM$89,38,0)</f>
        <v>#N/A</v>
      </c>
      <c r="AM288" s="946">
        <v>2045</v>
      </c>
      <c r="AN288" s="976" t="e">
        <f t="shared" si="61"/>
        <v>#N/A</v>
      </c>
      <c r="AP288" s="944">
        <f t="shared" si="58"/>
        <v>2</v>
      </c>
      <c r="AR288" s="944">
        <v>1</v>
      </c>
    </row>
    <row r="289" spans="1:44" ht="15.75">
      <c r="A289" s="996">
        <v>60</v>
      </c>
      <c r="B289" s="1640" t="str">
        <f>VLOOKUP(C289,'DS CN MOI UP'!$B$10:$C$389,2,0)</f>
        <v>03376</v>
      </c>
      <c r="C289" s="970" t="s">
        <v>183</v>
      </c>
      <c r="D289" s="997" t="s">
        <v>15</v>
      </c>
      <c r="E289" s="960">
        <f t="shared" si="54"/>
        <v>24</v>
      </c>
      <c r="F289" s="960"/>
      <c r="G289" s="960"/>
      <c r="H289" s="1110"/>
      <c r="I289" s="960"/>
      <c r="J289" s="960"/>
      <c r="K289" s="960"/>
      <c r="L289" s="960"/>
      <c r="M289" s="960"/>
      <c r="N289" s="960"/>
      <c r="O289" s="960"/>
      <c r="P289" s="960"/>
      <c r="Q289" s="960"/>
      <c r="R289" s="960"/>
      <c r="S289" s="975">
        <f t="shared" ref="S289:S313" si="62">SUM(E289:N289)</f>
        <v>24</v>
      </c>
      <c r="T289" s="975" t="e">
        <f>VLOOKUP(C289,'sản lượng'!$D$12:$AK$89,36,0)</f>
        <v>#N/A</v>
      </c>
      <c r="U289" s="975"/>
      <c r="V289" s="975"/>
      <c r="W289" s="975" t="e">
        <f>VLOOKUP(C289,'sản lượng'!$D$12:$AK$89,36,0)</f>
        <v>#N/A</v>
      </c>
      <c r="X289" s="975"/>
      <c r="Y289" s="975"/>
      <c r="Z289" s="975" t="e">
        <f t="shared" si="60"/>
        <v>#N/A</v>
      </c>
      <c r="AA289" s="975" t="e">
        <f>VLOOKUP(C289,'CHẤM CÔNG '!$D$12:$AL$89,33,0)</f>
        <v>#N/A</v>
      </c>
      <c r="AB289" s="975" t="e">
        <f>VLOOKUP(C289,'CHẤM CÔNG '!$D$12:$AL$89,34,0)</f>
        <v>#N/A</v>
      </c>
      <c r="AC289" s="975"/>
      <c r="AD289" s="975"/>
      <c r="AE289" s="975"/>
      <c r="AF289" s="975"/>
      <c r="AG289" s="975"/>
      <c r="AH289" s="975"/>
      <c r="AI289" s="975"/>
      <c r="AJ289" s="975"/>
      <c r="AK289" s="981"/>
      <c r="AL289" s="982" t="e">
        <f>VLOOKUP(C289,'sản lượng'!$D$12:$AM$89,38,0)</f>
        <v>#N/A</v>
      </c>
      <c r="AM289" s="946">
        <v>1973</v>
      </c>
      <c r="AN289" s="976" t="e">
        <f t="shared" si="61"/>
        <v>#N/A</v>
      </c>
      <c r="AP289" s="944">
        <f t="shared" si="58"/>
        <v>2</v>
      </c>
      <c r="AR289" s="944">
        <v>1</v>
      </c>
    </row>
    <row r="290" spans="1:44" ht="15.75">
      <c r="A290" s="996">
        <v>61</v>
      </c>
      <c r="B290" s="1640" t="str">
        <f>VLOOKUP(C290,'DS CN MOI UP'!$B$10:$C$389,2,0)</f>
        <v>03377</v>
      </c>
      <c r="C290" s="970" t="s">
        <v>184</v>
      </c>
      <c r="D290" s="997" t="s">
        <v>15</v>
      </c>
      <c r="E290" s="960">
        <f t="shared" si="54"/>
        <v>24</v>
      </c>
      <c r="F290" s="960"/>
      <c r="G290" s="960"/>
      <c r="H290" s="1110"/>
      <c r="I290" s="960"/>
      <c r="J290" s="960"/>
      <c r="K290" s="960"/>
      <c r="L290" s="960"/>
      <c r="M290" s="960"/>
      <c r="N290" s="960"/>
      <c r="O290" s="960"/>
      <c r="P290" s="960"/>
      <c r="Q290" s="960"/>
      <c r="R290" s="960"/>
      <c r="S290" s="975">
        <f t="shared" si="62"/>
        <v>24</v>
      </c>
      <c r="T290" s="975" t="e">
        <f>VLOOKUP(C290,'sản lượng'!$D$12:$AK$89,36,0)</f>
        <v>#N/A</v>
      </c>
      <c r="U290" s="975"/>
      <c r="V290" s="975"/>
      <c r="W290" s="975" t="e">
        <f>VLOOKUP(C290,'sản lượng'!$D$12:$AK$89,36,0)</f>
        <v>#N/A</v>
      </c>
      <c r="X290" s="975"/>
      <c r="Y290" s="975"/>
      <c r="Z290" s="975" t="e">
        <f t="shared" si="60"/>
        <v>#N/A</v>
      </c>
      <c r="AA290" s="975" t="e">
        <f>VLOOKUP(C290,'CHẤM CÔNG '!$D$12:$AL$89,33,0)</f>
        <v>#N/A</v>
      </c>
      <c r="AB290" s="975" t="e">
        <f>VLOOKUP(C290,'CHẤM CÔNG '!$D$12:$AL$89,34,0)</f>
        <v>#N/A</v>
      </c>
      <c r="AC290" s="975"/>
      <c r="AD290" s="975"/>
      <c r="AE290" s="975"/>
      <c r="AF290" s="975"/>
      <c r="AG290" s="975"/>
      <c r="AH290" s="975"/>
      <c r="AI290" s="975"/>
      <c r="AJ290" s="975"/>
      <c r="AK290" s="981"/>
      <c r="AL290" s="982" t="e">
        <f>VLOOKUP(C290,'sản lượng'!$D$12:$AM$89,38,0)</f>
        <v>#N/A</v>
      </c>
      <c r="AM290" s="946">
        <v>1648</v>
      </c>
      <c r="AN290" s="976" t="e">
        <f t="shared" si="61"/>
        <v>#N/A</v>
      </c>
      <c r="AP290" s="944">
        <f t="shared" si="58"/>
        <v>2</v>
      </c>
      <c r="AR290" s="944">
        <v>1</v>
      </c>
    </row>
    <row r="291" spans="1:44" ht="15.75">
      <c r="A291" s="996">
        <v>62</v>
      </c>
      <c r="B291" s="1640" t="str">
        <f>VLOOKUP(C291,'DS CN MOI UP'!$B$10:$C$389,2,0)</f>
        <v>02541</v>
      </c>
      <c r="C291" s="970" t="s">
        <v>185</v>
      </c>
      <c r="D291" s="997" t="s">
        <v>15</v>
      </c>
      <c r="E291" s="960">
        <f t="shared" si="54"/>
        <v>24</v>
      </c>
      <c r="F291" s="960"/>
      <c r="G291" s="960"/>
      <c r="H291" s="1110"/>
      <c r="I291" s="960"/>
      <c r="J291" s="960"/>
      <c r="K291" s="960"/>
      <c r="L291" s="960"/>
      <c r="M291" s="960"/>
      <c r="N291" s="960"/>
      <c r="O291" s="960"/>
      <c r="P291" s="960"/>
      <c r="Q291" s="960"/>
      <c r="R291" s="960"/>
      <c r="S291" s="975">
        <f t="shared" si="62"/>
        <v>24</v>
      </c>
      <c r="T291" s="975" t="e">
        <f>VLOOKUP(C291,'sản lượng'!$D$12:$AK$89,36,0)</f>
        <v>#N/A</v>
      </c>
      <c r="U291" s="975"/>
      <c r="V291" s="975"/>
      <c r="W291" s="975" t="e">
        <f>VLOOKUP(C291,'sản lượng'!$D$12:$AK$89,36,0)</f>
        <v>#N/A</v>
      </c>
      <c r="X291" s="975"/>
      <c r="Y291" s="975"/>
      <c r="Z291" s="975" t="e">
        <f t="shared" si="60"/>
        <v>#N/A</v>
      </c>
      <c r="AA291" s="975" t="e">
        <f>VLOOKUP(C291,'CHẤM CÔNG '!$D$12:$AL$89,33,0)</f>
        <v>#N/A</v>
      </c>
      <c r="AB291" s="975" t="e">
        <f>VLOOKUP(C291,'CHẤM CÔNG '!$D$12:$AL$89,34,0)</f>
        <v>#N/A</v>
      </c>
      <c r="AC291" s="975"/>
      <c r="AD291" s="975"/>
      <c r="AE291" s="975"/>
      <c r="AF291" s="975"/>
      <c r="AG291" s="975"/>
      <c r="AH291" s="975"/>
      <c r="AI291" s="975"/>
      <c r="AJ291" s="975"/>
      <c r="AK291" s="981"/>
      <c r="AL291" s="982" t="e">
        <f>VLOOKUP(C291,'sản lượng'!$D$12:$AM$89,38,0)</f>
        <v>#N/A</v>
      </c>
      <c r="AM291" s="946">
        <v>979</v>
      </c>
      <c r="AN291" s="976" t="e">
        <f t="shared" si="61"/>
        <v>#N/A</v>
      </c>
      <c r="AP291" s="944">
        <f t="shared" si="58"/>
        <v>2</v>
      </c>
      <c r="AR291" s="944">
        <v>1</v>
      </c>
    </row>
    <row r="292" spans="1:44" ht="15.75">
      <c r="A292" s="996">
        <v>63</v>
      </c>
      <c r="B292" s="1640" t="str">
        <f>VLOOKUP(C292,'DS CN MOI UP'!$B$10:$C$389,2,0)</f>
        <v>02690</v>
      </c>
      <c r="C292" s="970" t="s">
        <v>186</v>
      </c>
      <c r="D292" s="997" t="s">
        <v>15</v>
      </c>
      <c r="E292" s="960">
        <f t="shared" si="54"/>
        <v>24</v>
      </c>
      <c r="F292" s="960"/>
      <c r="G292" s="960"/>
      <c r="H292" s="1110"/>
      <c r="I292" s="960"/>
      <c r="J292" s="960"/>
      <c r="K292" s="960"/>
      <c r="L292" s="960"/>
      <c r="M292" s="960"/>
      <c r="N292" s="960"/>
      <c r="O292" s="960"/>
      <c r="P292" s="960"/>
      <c r="Q292" s="960"/>
      <c r="R292" s="960"/>
      <c r="S292" s="975">
        <f t="shared" si="62"/>
        <v>24</v>
      </c>
      <c r="T292" s="975" t="e">
        <f>VLOOKUP(C292,'sản lượng'!$D$12:$AK$89,36,0)</f>
        <v>#N/A</v>
      </c>
      <c r="U292" s="975"/>
      <c r="V292" s="975"/>
      <c r="W292" s="975" t="e">
        <f>VLOOKUP(C292,'sản lượng'!$D$12:$AK$89,36,0)</f>
        <v>#N/A</v>
      </c>
      <c r="X292" s="975"/>
      <c r="Y292" s="975"/>
      <c r="Z292" s="975" t="e">
        <f t="shared" si="60"/>
        <v>#N/A</v>
      </c>
      <c r="AA292" s="975" t="e">
        <f>VLOOKUP(C292,'CHẤM CÔNG '!$D$12:$AL$89,33,0)</f>
        <v>#N/A</v>
      </c>
      <c r="AB292" s="975" t="e">
        <f>VLOOKUP(C292,'CHẤM CÔNG '!$D$12:$AL$89,34,0)</f>
        <v>#N/A</v>
      </c>
      <c r="AC292" s="975"/>
      <c r="AD292" s="975"/>
      <c r="AE292" s="975"/>
      <c r="AF292" s="975"/>
      <c r="AG292" s="975"/>
      <c r="AH292" s="975"/>
      <c r="AI292" s="975"/>
      <c r="AJ292" s="975"/>
      <c r="AK292" s="981"/>
      <c r="AL292" s="982" t="e">
        <f>VLOOKUP(C292,'sản lượng'!$D$12:$AM$89,38,0)</f>
        <v>#N/A</v>
      </c>
      <c r="AM292" s="946">
        <v>1455</v>
      </c>
      <c r="AN292" s="976" t="e">
        <f t="shared" si="61"/>
        <v>#N/A</v>
      </c>
      <c r="AP292" s="944">
        <f t="shared" si="58"/>
        <v>2</v>
      </c>
      <c r="AR292" s="944">
        <v>1</v>
      </c>
    </row>
    <row r="293" spans="1:44" ht="15.75">
      <c r="A293" s="996">
        <v>64</v>
      </c>
      <c r="B293" s="1640" t="str">
        <f>VLOOKUP(C293,'DS CN MOI UP'!$B$10:$C$389,2,0)</f>
        <v>03378</v>
      </c>
      <c r="C293" s="970" t="s">
        <v>187</v>
      </c>
      <c r="D293" s="997" t="s">
        <v>15</v>
      </c>
      <c r="E293" s="960">
        <f t="shared" si="54"/>
        <v>24</v>
      </c>
      <c r="F293" s="960"/>
      <c r="G293" s="960"/>
      <c r="H293" s="1110"/>
      <c r="I293" s="960"/>
      <c r="J293" s="960"/>
      <c r="K293" s="960"/>
      <c r="L293" s="960"/>
      <c r="M293" s="960"/>
      <c r="N293" s="960"/>
      <c r="O293" s="960"/>
      <c r="P293" s="960"/>
      <c r="Q293" s="960"/>
      <c r="R293" s="960"/>
      <c r="S293" s="975">
        <f t="shared" si="62"/>
        <v>24</v>
      </c>
      <c r="T293" s="975" t="e">
        <f>VLOOKUP(C293,'sản lượng'!$D$12:$AK$89,36,0)</f>
        <v>#N/A</v>
      </c>
      <c r="U293" s="975"/>
      <c r="V293" s="975"/>
      <c r="W293" s="975" t="e">
        <f>VLOOKUP(C293,'sản lượng'!$D$12:$AK$89,36,0)</f>
        <v>#N/A</v>
      </c>
      <c r="X293" s="975"/>
      <c r="Y293" s="975"/>
      <c r="Z293" s="975" t="e">
        <f t="shared" si="60"/>
        <v>#N/A</v>
      </c>
      <c r="AA293" s="975" t="e">
        <f>VLOOKUP(C293,'CHẤM CÔNG '!$D$12:$AL$89,33,0)</f>
        <v>#N/A</v>
      </c>
      <c r="AB293" s="975" t="e">
        <f>VLOOKUP(C293,'CHẤM CÔNG '!$D$12:$AL$89,34,0)</f>
        <v>#N/A</v>
      </c>
      <c r="AC293" s="975"/>
      <c r="AD293" s="975"/>
      <c r="AE293" s="975"/>
      <c r="AF293" s="975"/>
      <c r="AG293" s="975"/>
      <c r="AH293" s="975"/>
      <c r="AI293" s="975"/>
      <c r="AJ293" s="975"/>
      <c r="AK293" s="981"/>
      <c r="AL293" s="982" t="e">
        <f>VLOOKUP(C293,'sản lượng'!$D$12:$AM$89,38,0)</f>
        <v>#N/A</v>
      </c>
      <c r="AM293" s="946">
        <v>1428</v>
      </c>
      <c r="AN293" s="976" t="e">
        <f t="shared" si="61"/>
        <v>#N/A</v>
      </c>
      <c r="AP293" s="944">
        <f t="shared" si="58"/>
        <v>2</v>
      </c>
      <c r="AR293" s="944">
        <v>1</v>
      </c>
    </row>
    <row r="294" spans="1:44" ht="15.75">
      <c r="A294" s="996">
        <v>65</v>
      </c>
      <c r="B294" s="1640" t="str">
        <f>VLOOKUP(C294,'DS CN MOI UP'!$B$10:$C$389,2,0)</f>
        <v>02520</v>
      </c>
      <c r="C294" s="970" t="s">
        <v>188</v>
      </c>
      <c r="D294" s="997" t="s">
        <v>15</v>
      </c>
      <c r="E294" s="960">
        <f t="shared" ref="E294:E311" si="63">3*8</f>
        <v>24</v>
      </c>
      <c r="F294" s="960"/>
      <c r="G294" s="960"/>
      <c r="H294" s="1110"/>
      <c r="I294" s="960"/>
      <c r="J294" s="960"/>
      <c r="K294" s="960"/>
      <c r="L294" s="960"/>
      <c r="M294" s="960"/>
      <c r="N294" s="960"/>
      <c r="O294" s="960"/>
      <c r="P294" s="960"/>
      <c r="Q294" s="960"/>
      <c r="R294" s="960"/>
      <c r="S294" s="975">
        <f t="shared" ref="S294:S307" si="64">SUM(E294:N294)</f>
        <v>24</v>
      </c>
      <c r="T294" s="975" t="e">
        <f>VLOOKUP(C294,'sản lượng'!$D$12:$AK$89,36,0)</f>
        <v>#N/A</v>
      </c>
      <c r="U294" s="975"/>
      <c r="V294" s="975"/>
      <c r="W294" s="975" t="e">
        <f>VLOOKUP(C294,'sản lượng'!$D$12:$AK$89,36,0)</f>
        <v>#N/A</v>
      </c>
      <c r="X294" s="975"/>
      <c r="Y294" s="975"/>
      <c r="Z294" s="975" t="e">
        <f t="shared" ref="Z294:Z313" si="65">W294*$AN$16+X294*$AN$10+$AN$11*Y294</f>
        <v>#N/A</v>
      </c>
      <c r="AA294" s="975" t="e">
        <f>VLOOKUP(C294,'CHẤM CÔNG '!$D$12:$AL$89,33,0)</f>
        <v>#N/A</v>
      </c>
      <c r="AB294" s="975" t="e">
        <f>VLOOKUP(C294,'CHẤM CÔNG '!$D$12:$AL$89,34,0)</f>
        <v>#N/A</v>
      </c>
      <c r="AC294" s="975"/>
      <c r="AD294" s="975"/>
      <c r="AE294" s="975"/>
      <c r="AF294" s="975"/>
      <c r="AG294" s="975"/>
      <c r="AH294" s="975"/>
      <c r="AI294" s="975"/>
      <c r="AJ294" s="975"/>
      <c r="AK294" s="981"/>
      <c r="AL294" s="982" t="e">
        <f>VLOOKUP(C294,'sản lượng'!$D$12:$AM$89,38,0)</f>
        <v>#N/A</v>
      </c>
      <c r="AM294" s="946">
        <v>1508</v>
      </c>
      <c r="AN294" s="976" t="e">
        <f t="shared" ref="AN294:AN315" si="66">+W294-AM294</f>
        <v>#N/A</v>
      </c>
      <c r="AP294" s="944">
        <f t="shared" si="58"/>
        <v>2</v>
      </c>
      <c r="AR294" s="944">
        <v>1</v>
      </c>
    </row>
    <row r="295" spans="1:44" ht="15.75">
      <c r="A295" s="996">
        <v>66</v>
      </c>
      <c r="B295" s="1640" t="str">
        <f>VLOOKUP(C295,'DS CN MOI UP'!$B$10:$C$389,2,0)</f>
        <v>02543</v>
      </c>
      <c r="C295" s="970" t="s">
        <v>189</v>
      </c>
      <c r="D295" s="997" t="s">
        <v>15</v>
      </c>
      <c r="E295" s="960">
        <f t="shared" si="63"/>
        <v>24</v>
      </c>
      <c r="F295" s="960"/>
      <c r="G295" s="960"/>
      <c r="H295" s="1110"/>
      <c r="I295" s="960"/>
      <c r="J295" s="960"/>
      <c r="K295" s="960"/>
      <c r="L295" s="960"/>
      <c r="M295" s="960"/>
      <c r="N295" s="960"/>
      <c r="O295" s="960"/>
      <c r="P295" s="960"/>
      <c r="Q295" s="960"/>
      <c r="R295" s="960"/>
      <c r="S295" s="975">
        <f t="shared" si="64"/>
        <v>24</v>
      </c>
      <c r="T295" s="975" t="e">
        <f>VLOOKUP(C295,'sản lượng'!$D$12:$AK$89,36,0)</f>
        <v>#N/A</v>
      </c>
      <c r="U295" s="975"/>
      <c r="V295" s="975"/>
      <c r="W295" s="975" t="e">
        <f>VLOOKUP(C295,'sản lượng'!$D$12:$AK$89,36,0)</f>
        <v>#N/A</v>
      </c>
      <c r="X295" s="975"/>
      <c r="Y295" s="975"/>
      <c r="Z295" s="975" t="e">
        <f t="shared" si="65"/>
        <v>#N/A</v>
      </c>
      <c r="AA295" s="975" t="e">
        <f>VLOOKUP(C295,'CHẤM CÔNG '!$D$12:$AL$89,33,0)</f>
        <v>#N/A</v>
      </c>
      <c r="AB295" s="975" t="e">
        <f>VLOOKUP(C295,'CHẤM CÔNG '!$D$12:$AL$89,34,0)</f>
        <v>#N/A</v>
      </c>
      <c r="AC295" s="975"/>
      <c r="AD295" s="975"/>
      <c r="AE295" s="975"/>
      <c r="AF295" s="975"/>
      <c r="AG295" s="975"/>
      <c r="AH295" s="975"/>
      <c r="AI295" s="975"/>
      <c r="AJ295" s="975"/>
      <c r="AK295" s="981"/>
      <c r="AL295" s="982" t="e">
        <f>VLOOKUP(C295,'sản lượng'!$D$12:$AM$89,38,0)</f>
        <v>#N/A</v>
      </c>
      <c r="AM295" s="946">
        <v>1464</v>
      </c>
      <c r="AN295" s="976" t="e">
        <f t="shared" si="66"/>
        <v>#N/A</v>
      </c>
      <c r="AP295" s="944">
        <f t="shared" ref="AP295:AP311" si="67">3-AR295</f>
        <v>2</v>
      </c>
      <c r="AR295" s="944">
        <v>1</v>
      </c>
    </row>
    <row r="296" spans="1:44" ht="15.75">
      <c r="A296" s="996">
        <v>67</v>
      </c>
      <c r="B296" s="1640" t="str">
        <f>VLOOKUP(C296,'DS CN MOI UP'!$B$10:$C$389,2,0)</f>
        <v>03379</v>
      </c>
      <c r="C296" s="970" t="s">
        <v>190</v>
      </c>
      <c r="D296" s="997" t="s">
        <v>15</v>
      </c>
      <c r="E296" s="960">
        <f t="shared" si="63"/>
        <v>24</v>
      </c>
      <c r="F296" s="960"/>
      <c r="G296" s="960"/>
      <c r="H296" s="1110"/>
      <c r="I296" s="960"/>
      <c r="J296" s="960"/>
      <c r="K296" s="960"/>
      <c r="L296" s="960"/>
      <c r="M296" s="960"/>
      <c r="N296" s="960"/>
      <c r="O296" s="960"/>
      <c r="P296" s="960"/>
      <c r="Q296" s="960"/>
      <c r="R296" s="960"/>
      <c r="S296" s="975">
        <f t="shared" si="64"/>
        <v>24</v>
      </c>
      <c r="T296" s="975" t="e">
        <f>VLOOKUP(C296,'sản lượng'!$D$12:$AK$89,36,0)</f>
        <v>#N/A</v>
      </c>
      <c r="U296" s="975"/>
      <c r="V296" s="975"/>
      <c r="W296" s="975" t="e">
        <f>VLOOKUP(C296,'sản lượng'!$D$12:$AK$89,36,0)</f>
        <v>#N/A</v>
      </c>
      <c r="X296" s="975"/>
      <c r="Y296" s="975"/>
      <c r="Z296" s="975" t="e">
        <f t="shared" si="65"/>
        <v>#N/A</v>
      </c>
      <c r="AA296" s="975" t="e">
        <f>VLOOKUP(C296,'CHẤM CÔNG '!$D$12:$AL$89,33,0)</f>
        <v>#N/A</v>
      </c>
      <c r="AB296" s="975" t="e">
        <f>VLOOKUP(C296,'CHẤM CÔNG '!$D$12:$AL$89,34,0)</f>
        <v>#N/A</v>
      </c>
      <c r="AC296" s="975"/>
      <c r="AD296" s="975"/>
      <c r="AE296" s="975"/>
      <c r="AF296" s="975"/>
      <c r="AG296" s="975"/>
      <c r="AH296" s="975"/>
      <c r="AI296" s="975"/>
      <c r="AJ296" s="975"/>
      <c r="AK296" s="981"/>
      <c r="AL296" s="982" t="e">
        <f>VLOOKUP(C296,'sản lượng'!$D$12:$AM$89,38,0)</f>
        <v>#N/A</v>
      </c>
      <c r="AM296" s="946">
        <v>1416</v>
      </c>
      <c r="AN296" s="976" t="e">
        <f t="shared" si="66"/>
        <v>#N/A</v>
      </c>
      <c r="AP296" s="944">
        <f t="shared" si="67"/>
        <v>2</v>
      </c>
      <c r="AR296" s="944">
        <v>1</v>
      </c>
    </row>
    <row r="297" spans="1:44" ht="15.75">
      <c r="A297" s="996">
        <v>68</v>
      </c>
      <c r="B297" s="1640" t="str">
        <f>VLOOKUP(C297,'DS CN MOI UP'!$B$10:$C$389,2,0)</f>
        <v>03354</v>
      </c>
      <c r="C297" s="970" t="s">
        <v>191</v>
      </c>
      <c r="D297" s="997" t="s">
        <v>15</v>
      </c>
      <c r="E297" s="960">
        <f t="shared" si="63"/>
        <v>24</v>
      </c>
      <c r="F297" s="960"/>
      <c r="G297" s="960"/>
      <c r="H297" s="1110"/>
      <c r="I297" s="960"/>
      <c r="J297" s="960"/>
      <c r="K297" s="960"/>
      <c r="L297" s="960"/>
      <c r="M297" s="960"/>
      <c r="N297" s="960"/>
      <c r="O297" s="960"/>
      <c r="P297" s="960"/>
      <c r="Q297" s="960"/>
      <c r="R297" s="960"/>
      <c r="S297" s="975">
        <f t="shared" si="64"/>
        <v>24</v>
      </c>
      <c r="T297" s="975" t="e">
        <f>VLOOKUP(C297,'sản lượng'!$D$12:$AK$89,36,0)</f>
        <v>#N/A</v>
      </c>
      <c r="U297" s="975"/>
      <c r="V297" s="975"/>
      <c r="W297" s="975" t="e">
        <f>VLOOKUP(C297,'sản lượng'!$D$12:$AK$89,36,0)</f>
        <v>#N/A</v>
      </c>
      <c r="X297" s="975"/>
      <c r="Y297" s="975"/>
      <c r="Z297" s="975" t="e">
        <f t="shared" si="65"/>
        <v>#N/A</v>
      </c>
      <c r="AA297" s="975" t="e">
        <f>VLOOKUP(C297,'CHẤM CÔNG '!$D$12:$AL$89,33,0)</f>
        <v>#N/A</v>
      </c>
      <c r="AB297" s="975" t="e">
        <f>VLOOKUP(C297,'CHẤM CÔNG '!$D$12:$AL$89,34,0)</f>
        <v>#N/A</v>
      </c>
      <c r="AC297" s="975"/>
      <c r="AD297" s="975"/>
      <c r="AE297" s="975"/>
      <c r="AF297" s="975"/>
      <c r="AG297" s="975"/>
      <c r="AH297" s="975"/>
      <c r="AI297" s="975"/>
      <c r="AJ297" s="975"/>
      <c r="AK297" s="981"/>
      <c r="AL297" s="982" t="e">
        <f>VLOOKUP(C297,'sản lượng'!$D$12:$AM$89,38,0)</f>
        <v>#N/A</v>
      </c>
      <c r="AM297" s="946">
        <v>1417</v>
      </c>
      <c r="AN297" s="976" t="e">
        <f t="shared" si="66"/>
        <v>#N/A</v>
      </c>
      <c r="AP297" s="944">
        <f t="shared" si="67"/>
        <v>2</v>
      </c>
      <c r="AR297" s="944">
        <v>1</v>
      </c>
    </row>
    <row r="298" spans="1:44" ht="15.75">
      <c r="A298" s="996">
        <v>69</v>
      </c>
      <c r="B298" s="958" t="e">
        <f>VLOOKUP(C298,'DS CN MOI UP'!$B$10:$C$389,2,0)</f>
        <v>#N/A</v>
      </c>
      <c r="C298" s="970" t="s">
        <v>192</v>
      </c>
      <c r="D298" s="997" t="s">
        <v>15</v>
      </c>
      <c r="E298" s="960">
        <f t="shared" si="63"/>
        <v>24</v>
      </c>
      <c r="F298" s="960"/>
      <c r="G298" s="960"/>
      <c r="H298" s="1110"/>
      <c r="I298" s="960"/>
      <c r="J298" s="960"/>
      <c r="K298" s="960"/>
      <c r="L298" s="960"/>
      <c r="M298" s="960"/>
      <c r="N298" s="960"/>
      <c r="O298" s="960"/>
      <c r="P298" s="960"/>
      <c r="Q298" s="960"/>
      <c r="R298" s="960"/>
      <c r="S298" s="975">
        <f t="shared" si="64"/>
        <v>24</v>
      </c>
      <c r="T298" s="975" t="e">
        <f>VLOOKUP(C298,'sản lượng'!$D$12:$AK$89,36,0)</f>
        <v>#N/A</v>
      </c>
      <c r="U298" s="975"/>
      <c r="V298" s="975"/>
      <c r="W298" s="975" t="e">
        <f>VLOOKUP(C298,'sản lượng'!$D$12:$AK$89,36,0)</f>
        <v>#N/A</v>
      </c>
      <c r="X298" s="975"/>
      <c r="Y298" s="975"/>
      <c r="Z298" s="975" t="e">
        <f t="shared" si="65"/>
        <v>#N/A</v>
      </c>
      <c r="AA298" s="975" t="e">
        <f>VLOOKUP(C298,'CHẤM CÔNG '!$D$12:$AL$89,33,0)</f>
        <v>#N/A</v>
      </c>
      <c r="AB298" s="975" t="e">
        <f>VLOOKUP(C298,'CHẤM CÔNG '!$D$12:$AL$89,34,0)</f>
        <v>#N/A</v>
      </c>
      <c r="AC298" s="975"/>
      <c r="AD298" s="975"/>
      <c r="AE298" s="975"/>
      <c r="AF298" s="975"/>
      <c r="AG298" s="975"/>
      <c r="AH298" s="975"/>
      <c r="AI298" s="975"/>
      <c r="AJ298" s="975"/>
      <c r="AK298" s="981"/>
      <c r="AL298" s="982" t="e">
        <f>VLOOKUP(C298,'sản lượng'!$D$12:$AM$89,38,0)</f>
        <v>#N/A</v>
      </c>
      <c r="AM298" s="946">
        <v>1442</v>
      </c>
      <c r="AN298" s="976" t="e">
        <f t="shared" si="66"/>
        <v>#N/A</v>
      </c>
      <c r="AP298" s="944">
        <f t="shared" si="67"/>
        <v>2</v>
      </c>
      <c r="AR298" s="944">
        <v>1</v>
      </c>
    </row>
    <row r="299" spans="1:44" ht="15.75">
      <c r="A299" s="996">
        <v>70</v>
      </c>
      <c r="B299" s="1640" t="str">
        <f>VLOOKUP(C299,'DS CN MOI UP'!$B$10:$C$389,2,0)</f>
        <v>02529</v>
      </c>
      <c r="C299" s="970" t="s">
        <v>193</v>
      </c>
      <c r="D299" s="997" t="s">
        <v>15</v>
      </c>
      <c r="E299" s="960">
        <f t="shared" si="63"/>
        <v>24</v>
      </c>
      <c r="F299" s="960"/>
      <c r="G299" s="960"/>
      <c r="H299" s="1110"/>
      <c r="I299" s="960"/>
      <c r="J299" s="960"/>
      <c r="K299" s="960"/>
      <c r="L299" s="960"/>
      <c r="M299" s="960"/>
      <c r="N299" s="960"/>
      <c r="O299" s="960"/>
      <c r="P299" s="960"/>
      <c r="Q299" s="960"/>
      <c r="R299" s="960"/>
      <c r="S299" s="975">
        <f t="shared" si="64"/>
        <v>24</v>
      </c>
      <c r="T299" s="975" t="e">
        <f>VLOOKUP(C299,'sản lượng'!$D$12:$AK$89,36,0)</f>
        <v>#N/A</v>
      </c>
      <c r="U299" s="975"/>
      <c r="V299" s="975"/>
      <c r="W299" s="975" t="e">
        <f>VLOOKUP(C299,'sản lượng'!$D$12:$AK$89,36,0)</f>
        <v>#N/A</v>
      </c>
      <c r="X299" s="975"/>
      <c r="Y299" s="975"/>
      <c r="Z299" s="975" t="e">
        <f t="shared" si="65"/>
        <v>#N/A</v>
      </c>
      <c r="AA299" s="975" t="e">
        <f>VLOOKUP(C299,'CHẤM CÔNG '!$D$12:$AL$89,33,0)</f>
        <v>#N/A</v>
      </c>
      <c r="AB299" s="975" t="e">
        <f>VLOOKUP(C299,'CHẤM CÔNG '!$D$12:$AL$89,34,0)</f>
        <v>#N/A</v>
      </c>
      <c r="AC299" s="975"/>
      <c r="AD299" s="975"/>
      <c r="AE299" s="975"/>
      <c r="AF299" s="975"/>
      <c r="AG299" s="975"/>
      <c r="AH299" s="975"/>
      <c r="AI299" s="975"/>
      <c r="AJ299" s="975"/>
      <c r="AK299" s="981"/>
      <c r="AL299" s="982" t="e">
        <f>VLOOKUP(C299,'sản lượng'!$D$12:$AM$89,38,0)</f>
        <v>#N/A</v>
      </c>
      <c r="AM299" s="946">
        <v>1476</v>
      </c>
      <c r="AN299" s="976" t="e">
        <f t="shared" si="66"/>
        <v>#N/A</v>
      </c>
      <c r="AP299" s="944">
        <f t="shared" si="67"/>
        <v>2</v>
      </c>
      <c r="AR299" s="944">
        <v>1</v>
      </c>
    </row>
    <row r="300" spans="1:44" ht="15.75">
      <c r="A300" s="996">
        <v>71</v>
      </c>
      <c r="B300" s="1640" t="str">
        <f>VLOOKUP(C300,'DS CN MOI UP'!$B$10:$C$389,2,0)</f>
        <v>02531</v>
      </c>
      <c r="C300" s="970" t="s">
        <v>194</v>
      </c>
      <c r="D300" s="997" t="s">
        <v>15</v>
      </c>
      <c r="E300" s="960">
        <f t="shared" si="63"/>
        <v>24</v>
      </c>
      <c r="F300" s="960"/>
      <c r="G300" s="960"/>
      <c r="H300" s="1110"/>
      <c r="I300" s="960"/>
      <c r="J300" s="960"/>
      <c r="K300" s="960"/>
      <c r="L300" s="960"/>
      <c r="M300" s="960"/>
      <c r="N300" s="960"/>
      <c r="O300" s="960"/>
      <c r="P300" s="960"/>
      <c r="Q300" s="960"/>
      <c r="R300" s="960"/>
      <c r="S300" s="975">
        <f t="shared" si="64"/>
        <v>24</v>
      </c>
      <c r="T300" s="975" t="e">
        <f>VLOOKUP(C300,'sản lượng'!$D$12:$AK$89,36,0)</f>
        <v>#N/A</v>
      </c>
      <c r="U300" s="975"/>
      <c r="V300" s="975"/>
      <c r="W300" s="975" t="e">
        <f>VLOOKUP(C300,'sản lượng'!$D$12:$AK$89,36,0)</f>
        <v>#N/A</v>
      </c>
      <c r="X300" s="975"/>
      <c r="Y300" s="975"/>
      <c r="Z300" s="975" t="e">
        <f t="shared" si="65"/>
        <v>#N/A</v>
      </c>
      <c r="AA300" s="975" t="e">
        <f>VLOOKUP(C300,'CHẤM CÔNG '!$D$12:$AL$89,33,0)</f>
        <v>#N/A</v>
      </c>
      <c r="AB300" s="975" t="e">
        <f>VLOOKUP(C300,'CHẤM CÔNG '!$D$12:$AL$89,34,0)</f>
        <v>#N/A</v>
      </c>
      <c r="AC300" s="975"/>
      <c r="AD300" s="975"/>
      <c r="AE300" s="975"/>
      <c r="AF300" s="975"/>
      <c r="AG300" s="975"/>
      <c r="AH300" s="975"/>
      <c r="AI300" s="975"/>
      <c r="AJ300" s="975"/>
      <c r="AK300" s="981"/>
      <c r="AL300" s="982" t="e">
        <f>VLOOKUP(C300,'sản lượng'!$D$12:$AM$89,38,0)</f>
        <v>#N/A</v>
      </c>
      <c r="AM300" s="946">
        <v>1366</v>
      </c>
      <c r="AN300" s="976" t="e">
        <f t="shared" si="66"/>
        <v>#N/A</v>
      </c>
      <c r="AP300" s="944">
        <f t="shared" si="67"/>
        <v>2</v>
      </c>
      <c r="AR300" s="944">
        <v>1</v>
      </c>
    </row>
    <row r="301" spans="1:44" ht="15.75">
      <c r="A301" s="996">
        <v>72</v>
      </c>
      <c r="B301" s="1640" t="str">
        <f>VLOOKUP(C301,'DS CN MOI UP'!$B$10:$C$389,2,0)</f>
        <v>02539</v>
      </c>
      <c r="C301" s="970" t="s">
        <v>195</v>
      </c>
      <c r="D301" s="997" t="s">
        <v>15</v>
      </c>
      <c r="E301" s="960">
        <f t="shared" si="63"/>
        <v>24</v>
      </c>
      <c r="F301" s="960"/>
      <c r="G301" s="960"/>
      <c r="H301" s="1110"/>
      <c r="I301" s="960"/>
      <c r="J301" s="960"/>
      <c r="K301" s="960"/>
      <c r="L301" s="960"/>
      <c r="M301" s="960"/>
      <c r="N301" s="960"/>
      <c r="O301" s="960"/>
      <c r="P301" s="960"/>
      <c r="Q301" s="960"/>
      <c r="R301" s="960"/>
      <c r="S301" s="975">
        <f t="shared" si="64"/>
        <v>24</v>
      </c>
      <c r="T301" s="975" t="e">
        <f>VLOOKUP(C301,'sản lượng'!$D$12:$AK$89,36,0)</f>
        <v>#N/A</v>
      </c>
      <c r="U301" s="975"/>
      <c r="V301" s="975"/>
      <c r="W301" s="975" t="e">
        <f>VLOOKUP(C301,'sản lượng'!$D$12:$AK$89,36,0)</f>
        <v>#N/A</v>
      </c>
      <c r="X301" s="975"/>
      <c r="Y301" s="975"/>
      <c r="Z301" s="975" t="e">
        <f t="shared" si="65"/>
        <v>#N/A</v>
      </c>
      <c r="AA301" s="975" t="e">
        <f>VLOOKUP(C301,'CHẤM CÔNG '!$D$12:$AL$89,33,0)</f>
        <v>#N/A</v>
      </c>
      <c r="AB301" s="975" t="e">
        <f>VLOOKUP(C301,'CHẤM CÔNG '!$D$12:$AL$89,34,0)</f>
        <v>#N/A</v>
      </c>
      <c r="AC301" s="975"/>
      <c r="AD301" s="975"/>
      <c r="AE301" s="975"/>
      <c r="AF301" s="975"/>
      <c r="AG301" s="975"/>
      <c r="AH301" s="975"/>
      <c r="AI301" s="975"/>
      <c r="AJ301" s="975"/>
      <c r="AK301" s="981"/>
      <c r="AL301" s="982" t="e">
        <f>VLOOKUP(C301,'sản lượng'!$D$12:$AM$89,38,0)</f>
        <v>#N/A</v>
      </c>
      <c r="AM301" s="946">
        <v>1500</v>
      </c>
      <c r="AN301" s="976" t="e">
        <f t="shared" si="66"/>
        <v>#N/A</v>
      </c>
      <c r="AP301" s="944">
        <f t="shared" si="67"/>
        <v>2</v>
      </c>
      <c r="AR301" s="944">
        <v>1</v>
      </c>
    </row>
    <row r="302" spans="1:44" ht="15.75">
      <c r="A302" s="996">
        <v>73</v>
      </c>
      <c r="B302" s="1640" t="str">
        <f>VLOOKUP(C302,'DS CN MOI UP'!$B$10:$C$389,2,0)</f>
        <v>03380</v>
      </c>
      <c r="C302" s="970" t="s">
        <v>196</v>
      </c>
      <c r="D302" s="997" t="s">
        <v>15</v>
      </c>
      <c r="E302" s="960">
        <f t="shared" si="63"/>
        <v>24</v>
      </c>
      <c r="F302" s="960"/>
      <c r="G302" s="960"/>
      <c r="H302" s="1110"/>
      <c r="I302" s="960"/>
      <c r="J302" s="960"/>
      <c r="K302" s="960"/>
      <c r="L302" s="960"/>
      <c r="M302" s="960"/>
      <c r="N302" s="960"/>
      <c r="O302" s="960"/>
      <c r="P302" s="960"/>
      <c r="Q302" s="960"/>
      <c r="R302" s="960"/>
      <c r="S302" s="975">
        <f t="shared" si="64"/>
        <v>24</v>
      </c>
      <c r="T302" s="975" t="e">
        <f>VLOOKUP(C302,'sản lượng'!$D$12:$AK$89,36,0)</f>
        <v>#N/A</v>
      </c>
      <c r="U302" s="975"/>
      <c r="V302" s="975"/>
      <c r="W302" s="975" t="e">
        <f>VLOOKUP(C302,'sản lượng'!$D$12:$AK$89,36,0)</f>
        <v>#N/A</v>
      </c>
      <c r="X302" s="975"/>
      <c r="Y302" s="975"/>
      <c r="Z302" s="975" t="e">
        <f t="shared" si="65"/>
        <v>#N/A</v>
      </c>
      <c r="AA302" s="975" t="e">
        <f>VLOOKUP(C302,'CHẤM CÔNG '!$D$12:$AL$89,33,0)</f>
        <v>#N/A</v>
      </c>
      <c r="AB302" s="975" t="e">
        <f>VLOOKUP(C302,'CHẤM CÔNG '!$D$12:$AL$89,34,0)</f>
        <v>#N/A</v>
      </c>
      <c r="AC302" s="975"/>
      <c r="AD302" s="975"/>
      <c r="AE302" s="975"/>
      <c r="AF302" s="975"/>
      <c r="AG302" s="975"/>
      <c r="AH302" s="975"/>
      <c r="AI302" s="975"/>
      <c r="AJ302" s="975"/>
      <c r="AK302" s="981"/>
      <c r="AL302" s="982" t="e">
        <f>VLOOKUP(C302,'sản lượng'!$D$12:$AM$89,38,0)</f>
        <v>#N/A</v>
      </c>
      <c r="AM302" s="946">
        <v>914</v>
      </c>
      <c r="AN302" s="976" t="e">
        <f t="shared" si="66"/>
        <v>#N/A</v>
      </c>
      <c r="AP302" s="944">
        <f t="shared" si="67"/>
        <v>2</v>
      </c>
      <c r="AR302" s="944">
        <v>1</v>
      </c>
    </row>
    <row r="303" spans="1:44" ht="15.75">
      <c r="A303" s="996">
        <v>74</v>
      </c>
      <c r="B303" s="1640" t="str">
        <f>VLOOKUP(C303,'DS CN MOI UP'!$B$10:$C$389,2,0)</f>
        <v>02561</v>
      </c>
      <c r="C303" s="970" t="s">
        <v>197</v>
      </c>
      <c r="D303" s="997" t="s">
        <v>15</v>
      </c>
      <c r="E303" s="960">
        <f t="shared" si="63"/>
        <v>24</v>
      </c>
      <c r="F303" s="960"/>
      <c r="G303" s="960"/>
      <c r="H303" s="1110"/>
      <c r="I303" s="960"/>
      <c r="J303" s="960"/>
      <c r="K303" s="960"/>
      <c r="L303" s="960"/>
      <c r="M303" s="960"/>
      <c r="N303" s="960"/>
      <c r="O303" s="960"/>
      <c r="P303" s="960"/>
      <c r="Q303" s="960"/>
      <c r="R303" s="960"/>
      <c r="S303" s="975">
        <f t="shared" si="64"/>
        <v>24</v>
      </c>
      <c r="T303" s="975" t="e">
        <f>VLOOKUP(C303,'sản lượng'!$D$12:$AK$89,36,0)</f>
        <v>#N/A</v>
      </c>
      <c r="U303" s="975"/>
      <c r="V303" s="975"/>
      <c r="W303" s="975" t="e">
        <f>VLOOKUP(C303,'sản lượng'!$D$12:$AK$89,36,0)</f>
        <v>#N/A</v>
      </c>
      <c r="X303" s="975"/>
      <c r="Y303" s="975"/>
      <c r="Z303" s="975" t="e">
        <f t="shared" si="65"/>
        <v>#N/A</v>
      </c>
      <c r="AA303" s="975" t="e">
        <f>VLOOKUP(C303,'CHẤM CÔNG '!$D$12:$AL$89,33,0)</f>
        <v>#N/A</v>
      </c>
      <c r="AB303" s="975" t="e">
        <f>VLOOKUP(C303,'CHẤM CÔNG '!$D$12:$AL$89,34,0)</f>
        <v>#N/A</v>
      </c>
      <c r="AC303" s="975"/>
      <c r="AD303" s="975"/>
      <c r="AE303" s="975"/>
      <c r="AF303" s="975"/>
      <c r="AG303" s="975"/>
      <c r="AH303" s="975"/>
      <c r="AI303" s="975"/>
      <c r="AJ303" s="975"/>
      <c r="AK303" s="981"/>
      <c r="AL303" s="982" t="e">
        <f>VLOOKUP(C303,'sản lượng'!$D$12:$AM$89,38,0)</f>
        <v>#N/A</v>
      </c>
      <c r="AM303" s="946">
        <v>1563</v>
      </c>
      <c r="AN303" s="976" t="e">
        <f t="shared" si="66"/>
        <v>#N/A</v>
      </c>
      <c r="AP303" s="944">
        <f t="shared" si="67"/>
        <v>3</v>
      </c>
    </row>
    <row r="304" spans="1:44" ht="15.75">
      <c r="A304" s="996">
        <v>75</v>
      </c>
      <c r="B304" s="1640" t="str">
        <f>VLOOKUP(C304,'DS CN MOI UP'!$B$10:$C$389,2,0)</f>
        <v>02533</v>
      </c>
      <c r="C304" s="970" t="s">
        <v>198</v>
      </c>
      <c r="D304" s="997" t="s">
        <v>15</v>
      </c>
      <c r="E304" s="960">
        <f t="shared" si="63"/>
        <v>24</v>
      </c>
      <c r="F304" s="960"/>
      <c r="G304" s="960"/>
      <c r="H304" s="1110"/>
      <c r="I304" s="960"/>
      <c r="J304" s="960"/>
      <c r="K304" s="960"/>
      <c r="L304" s="960"/>
      <c r="M304" s="960"/>
      <c r="N304" s="960"/>
      <c r="O304" s="960"/>
      <c r="P304" s="960"/>
      <c r="Q304" s="960"/>
      <c r="R304" s="960"/>
      <c r="S304" s="975">
        <f t="shared" si="64"/>
        <v>24</v>
      </c>
      <c r="T304" s="975" t="e">
        <f>VLOOKUP(C304,'sản lượng'!$D$12:$AK$89,36,0)</f>
        <v>#N/A</v>
      </c>
      <c r="U304" s="975"/>
      <c r="V304" s="975"/>
      <c r="W304" s="975" t="e">
        <f>VLOOKUP(C304,'sản lượng'!$D$12:$AK$89,36,0)</f>
        <v>#N/A</v>
      </c>
      <c r="X304" s="975"/>
      <c r="Y304" s="975"/>
      <c r="Z304" s="975" t="e">
        <f t="shared" si="65"/>
        <v>#N/A</v>
      </c>
      <c r="AA304" s="975" t="e">
        <f>VLOOKUP(C304,'CHẤM CÔNG '!$D$12:$AL$89,33,0)</f>
        <v>#N/A</v>
      </c>
      <c r="AB304" s="975" t="e">
        <f>VLOOKUP(C304,'CHẤM CÔNG '!$D$12:$AL$89,34,0)</f>
        <v>#N/A</v>
      </c>
      <c r="AC304" s="975"/>
      <c r="AD304" s="975"/>
      <c r="AE304" s="975"/>
      <c r="AF304" s="975"/>
      <c r="AG304" s="975"/>
      <c r="AH304" s="975"/>
      <c r="AI304" s="975"/>
      <c r="AJ304" s="975"/>
      <c r="AK304" s="981"/>
      <c r="AL304" s="982" t="e">
        <f>VLOOKUP(C304,'sản lượng'!$D$12:$AM$89,38,0)</f>
        <v>#N/A</v>
      </c>
      <c r="AM304" s="946">
        <v>1431</v>
      </c>
      <c r="AN304" s="976" t="e">
        <f t="shared" si="66"/>
        <v>#N/A</v>
      </c>
      <c r="AP304" s="944">
        <f t="shared" si="67"/>
        <v>3</v>
      </c>
    </row>
    <row r="305" spans="1:44" ht="15.75">
      <c r="A305" s="996">
        <v>76</v>
      </c>
      <c r="B305" s="1640" t="str">
        <f>VLOOKUP(C305,'DS CN MOI UP'!$B$10:$C$389,2,0)</f>
        <v>02547</v>
      </c>
      <c r="C305" s="970" t="s">
        <v>199</v>
      </c>
      <c r="D305" s="997" t="s">
        <v>15</v>
      </c>
      <c r="E305" s="960">
        <f t="shared" si="63"/>
        <v>24</v>
      </c>
      <c r="F305" s="960"/>
      <c r="G305" s="960"/>
      <c r="H305" s="1110"/>
      <c r="I305" s="960"/>
      <c r="J305" s="960"/>
      <c r="K305" s="960"/>
      <c r="L305" s="960"/>
      <c r="M305" s="960"/>
      <c r="N305" s="960"/>
      <c r="O305" s="960"/>
      <c r="P305" s="960"/>
      <c r="Q305" s="960"/>
      <c r="R305" s="960"/>
      <c r="S305" s="975">
        <f t="shared" si="64"/>
        <v>24</v>
      </c>
      <c r="T305" s="975" t="e">
        <f>VLOOKUP(C305,'sản lượng'!$D$12:$AK$89,36,0)</f>
        <v>#N/A</v>
      </c>
      <c r="U305" s="975"/>
      <c r="V305" s="975"/>
      <c r="W305" s="975" t="e">
        <f>VLOOKUP(C305,'sản lượng'!$D$12:$AK$89,36,0)</f>
        <v>#N/A</v>
      </c>
      <c r="X305" s="975"/>
      <c r="Y305" s="975"/>
      <c r="Z305" s="975" t="e">
        <f t="shared" si="65"/>
        <v>#N/A</v>
      </c>
      <c r="AA305" s="975" t="e">
        <f>VLOOKUP(C305,'CHẤM CÔNG '!$D$12:$AL$89,33,0)</f>
        <v>#N/A</v>
      </c>
      <c r="AB305" s="975" t="e">
        <f>VLOOKUP(C305,'CHẤM CÔNG '!$D$12:$AL$89,34,0)</f>
        <v>#N/A</v>
      </c>
      <c r="AC305" s="975"/>
      <c r="AD305" s="975"/>
      <c r="AE305" s="975"/>
      <c r="AF305" s="975"/>
      <c r="AG305" s="975"/>
      <c r="AH305" s="975"/>
      <c r="AI305" s="975"/>
      <c r="AJ305" s="975"/>
      <c r="AK305" s="981"/>
      <c r="AL305" s="982" t="e">
        <f>VLOOKUP(C305,'sản lượng'!$D$12:$AM$89,38,0)</f>
        <v>#N/A</v>
      </c>
      <c r="AM305" s="946">
        <v>1355</v>
      </c>
      <c r="AN305" s="976" t="e">
        <f t="shared" si="66"/>
        <v>#N/A</v>
      </c>
      <c r="AP305" s="944">
        <f t="shared" si="67"/>
        <v>3</v>
      </c>
    </row>
    <row r="306" spans="1:44" ht="15.75">
      <c r="A306" s="996">
        <v>77</v>
      </c>
      <c r="B306" s="1640" t="str">
        <f>VLOOKUP(C306,'DS CN MOI UP'!$B$10:$C$389,2,0)</f>
        <v>02550</v>
      </c>
      <c r="C306" s="970" t="s">
        <v>200</v>
      </c>
      <c r="D306" s="997" t="s">
        <v>15</v>
      </c>
      <c r="E306" s="960">
        <f t="shared" si="63"/>
        <v>24</v>
      </c>
      <c r="F306" s="960"/>
      <c r="G306" s="960"/>
      <c r="H306" s="1110"/>
      <c r="I306" s="960"/>
      <c r="J306" s="960"/>
      <c r="K306" s="960"/>
      <c r="L306" s="960"/>
      <c r="M306" s="960"/>
      <c r="N306" s="960"/>
      <c r="O306" s="960"/>
      <c r="P306" s="960"/>
      <c r="Q306" s="960"/>
      <c r="R306" s="960"/>
      <c r="S306" s="975">
        <f t="shared" si="64"/>
        <v>24</v>
      </c>
      <c r="T306" s="975" t="e">
        <f>VLOOKUP(C306,'sản lượng'!$D$12:$AK$89,36,0)</f>
        <v>#N/A</v>
      </c>
      <c r="U306" s="975"/>
      <c r="V306" s="975"/>
      <c r="W306" s="975" t="e">
        <f>VLOOKUP(C306,'sản lượng'!$D$12:$AK$89,36,0)</f>
        <v>#N/A</v>
      </c>
      <c r="X306" s="975"/>
      <c r="Y306" s="975"/>
      <c r="Z306" s="975" t="e">
        <f t="shared" si="65"/>
        <v>#N/A</v>
      </c>
      <c r="AA306" s="975" t="e">
        <f>VLOOKUP(C306,'CHẤM CÔNG '!$D$12:$AL$89,33,0)</f>
        <v>#N/A</v>
      </c>
      <c r="AB306" s="975" t="e">
        <f>VLOOKUP(C306,'CHẤM CÔNG '!$D$12:$AL$89,34,0)</f>
        <v>#N/A</v>
      </c>
      <c r="AC306" s="975"/>
      <c r="AD306" s="975"/>
      <c r="AE306" s="975"/>
      <c r="AF306" s="975"/>
      <c r="AG306" s="975"/>
      <c r="AH306" s="975"/>
      <c r="AI306" s="975"/>
      <c r="AJ306" s="975"/>
      <c r="AK306" s="981"/>
      <c r="AL306" s="982" t="e">
        <f>VLOOKUP(C306,'sản lượng'!$D$12:$AM$89,38,0)</f>
        <v>#N/A</v>
      </c>
      <c r="AM306" s="946">
        <v>1915</v>
      </c>
      <c r="AN306" s="976" t="e">
        <f t="shared" si="66"/>
        <v>#N/A</v>
      </c>
      <c r="AP306" s="944">
        <f t="shared" si="67"/>
        <v>3</v>
      </c>
    </row>
    <row r="307" spans="1:44" ht="15.75">
      <c r="A307" s="996">
        <v>78</v>
      </c>
      <c r="B307" s="1640" t="str">
        <f>VLOOKUP(C307,'DS CN MOI UP'!$B$10:$C$389,2,0)</f>
        <v>02566</v>
      </c>
      <c r="C307" s="970" t="s">
        <v>201</v>
      </c>
      <c r="D307" s="997" t="s">
        <v>15</v>
      </c>
      <c r="E307" s="960">
        <f t="shared" si="63"/>
        <v>24</v>
      </c>
      <c r="F307" s="960"/>
      <c r="G307" s="960"/>
      <c r="H307" s="1110"/>
      <c r="I307" s="960"/>
      <c r="J307" s="960"/>
      <c r="K307" s="960"/>
      <c r="L307" s="960"/>
      <c r="M307" s="960"/>
      <c r="N307" s="960"/>
      <c r="O307" s="960"/>
      <c r="P307" s="960"/>
      <c r="Q307" s="960"/>
      <c r="R307" s="960"/>
      <c r="S307" s="975">
        <f t="shared" si="64"/>
        <v>24</v>
      </c>
      <c r="T307" s="975" t="e">
        <f>VLOOKUP(C307,'sản lượng'!$D$12:$AK$89,36,0)</f>
        <v>#N/A</v>
      </c>
      <c r="U307" s="975"/>
      <c r="V307" s="975"/>
      <c r="W307" s="975" t="e">
        <f>VLOOKUP(C307,'sản lượng'!$D$12:$AK$89,36,0)</f>
        <v>#N/A</v>
      </c>
      <c r="X307" s="975"/>
      <c r="Y307" s="975"/>
      <c r="Z307" s="975" t="e">
        <f t="shared" si="65"/>
        <v>#N/A</v>
      </c>
      <c r="AA307" s="975" t="e">
        <f>VLOOKUP(C307,'CHẤM CÔNG '!$D$12:$AL$89,33,0)</f>
        <v>#N/A</v>
      </c>
      <c r="AB307" s="975" t="e">
        <f>VLOOKUP(C307,'CHẤM CÔNG '!$D$12:$AL$89,34,0)</f>
        <v>#N/A</v>
      </c>
      <c r="AC307" s="975"/>
      <c r="AD307" s="975"/>
      <c r="AE307" s="975"/>
      <c r="AF307" s="975"/>
      <c r="AG307" s="975"/>
      <c r="AH307" s="975"/>
      <c r="AI307" s="975"/>
      <c r="AJ307" s="975"/>
      <c r="AK307" s="981"/>
      <c r="AL307" s="982" t="e">
        <f>VLOOKUP(C307,'sản lượng'!$D$12:$AM$89,38,0)</f>
        <v>#N/A</v>
      </c>
      <c r="AM307" s="946">
        <v>1006</v>
      </c>
      <c r="AN307" s="976" t="e">
        <f t="shared" si="66"/>
        <v>#N/A</v>
      </c>
      <c r="AP307" s="944">
        <f t="shared" si="67"/>
        <v>3</v>
      </c>
    </row>
    <row r="308" spans="1:44" ht="15.75">
      <c r="A308" s="996">
        <v>79</v>
      </c>
      <c r="B308" s="1640" t="str">
        <f>VLOOKUP(C308,'DS CN MOI UP'!$B$10:$C$389,2,0)</f>
        <v>03381</v>
      </c>
      <c r="C308" s="970" t="s">
        <v>202</v>
      </c>
      <c r="D308" s="997" t="s">
        <v>15</v>
      </c>
      <c r="E308" s="960">
        <f t="shared" si="63"/>
        <v>24</v>
      </c>
      <c r="F308" s="960"/>
      <c r="G308" s="960"/>
      <c r="H308" s="1110"/>
      <c r="I308" s="960"/>
      <c r="J308" s="960"/>
      <c r="K308" s="960"/>
      <c r="L308" s="960"/>
      <c r="M308" s="960"/>
      <c r="N308" s="960"/>
      <c r="O308" s="960"/>
      <c r="P308" s="960"/>
      <c r="Q308" s="960"/>
      <c r="R308" s="960"/>
      <c r="S308" s="975">
        <f t="shared" si="62"/>
        <v>24</v>
      </c>
      <c r="T308" s="975" t="e">
        <f>VLOOKUP(C308,'sản lượng'!$D$12:$AK$89,36,0)</f>
        <v>#N/A</v>
      </c>
      <c r="U308" s="975"/>
      <c r="V308" s="975"/>
      <c r="W308" s="975" t="e">
        <f>VLOOKUP(C308,'sản lượng'!$D$12:$AK$89,36,0)</f>
        <v>#N/A</v>
      </c>
      <c r="X308" s="975"/>
      <c r="Y308" s="975"/>
      <c r="Z308" s="975" t="e">
        <f t="shared" si="65"/>
        <v>#N/A</v>
      </c>
      <c r="AA308" s="975" t="e">
        <f>VLOOKUP(C308,'CHẤM CÔNG '!$D$12:$AL$89,33,0)</f>
        <v>#N/A</v>
      </c>
      <c r="AB308" s="975" t="e">
        <f>VLOOKUP(C308,'CHẤM CÔNG '!$D$12:$AL$89,34,0)</f>
        <v>#N/A</v>
      </c>
      <c r="AC308" s="975"/>
      <c r="AD308" s="975"/>
      <c r="AE308" s="975"/>
      <c r="AF308" s="975"/>
      <c r="AG308" s="975"/>
      <c r="AH308" s="975"/>
      <c r="AI308" s="975"/>
      <c r="AJ308" s="975"/>
      <c r="AK308" s="981"/>
      <c r="AL308" s="982" t="e">
        <f>VLOOKUP(C308,'sản lượng'!$D$12:$AM$89,38,0)</f>
        <v>#N/A</v>
      </c>
      <c r="AM308" s="946">
        <v>1099</v>
      </c>
      <c r="AN308" s="976" t="e">
        <f t="shared" si="66"/>
        <v>#N/A</v>
      </c>
      <c r="AP308" s="944">
        <f t="shared" si="67"/>
        <v>3</v>
      </c>
    </row>
    <row r="309" spans="1:44" ht="15.75">
      <c r="A309" s="996">
        <v>80</v>
      </c>
      <c r="B309" s="1640" t="str">
        <f>VLOOKUP(C309,'DS CN MOI UP'!$B$10:$C$389,2,0)</f>
        <v>02689</v>
      </c>
      <c r="C309" s="970" t="s">
        <v>203</v>
      </c>
      <c r="D309" s="997" t="s">
        <v>15</v>
      </c>
      <c r="E309" s="960">
        <f t="shared" si="63"/>
        <v>24</v>
      </c>
      <c r="F309" s="960"/>
      <c r="G309" s="960"/>
      <c r="H309" s="1110"/>
      <c r="I309" s="960"/>
      <c r="J309" s="960"/>
      <c r="K309" s="960"/>
      <c r="L309" s="960"/>
      <c r="M309" s="960"/>
      <c r="N309" s="960"/>
      <c r="O309" s="960"/>
      <c r="P309" s="960"/>
      <c r="Q309" s="960"/>
      <c r="R309" s="960"/>
      <c r="S309" s="975">
        <f t="shared" si="62"/>
        <v>24</v>
      </c>
      <c r="T309" s="975" t="e">
        <f>VLOOKUP(C309,'sản lượng'!$D$12:$AK$89,36,0)</f>
        <v>#N/A</v>
      </c>
      <c r="U309" s="975"/>
      <c r="V309" s="975"/>
      <c r="W309" s="975" t="e">
        <f>VLOOKUP(C309,'sản lượng'!$D$12:$AK$89,36,0)</f>
        <v>#N/A</v>
      </c>
      <c r="X309" s="975"/>
      <c r="Y309" s="975"/>
      <c r="Z309" s="975" t="e">
        <f t="shared" si="65"/>
        <v>#N/A</v>
      </c>
      <c r="AA309" s="975" t="e">
        <f>VLOOKUP(C309,'CHẤM CÔNG '!$D$12:$AL$89,33,0)</f>
        <v>#N/A</v>
      </c>
      <c r="AB309" s="975" t="e">
        <f>VLOOKUP(C309,'CHẤM CÔNG '!$D$12:$AL$89,34,0)</f>
        <v>#N/A</v>
      </c>
      <c r="AC309" s="975"/>
      <c r="AD309" s="975"/>
      <c r="AE309" s="975"/>
      <c r="AF309" s="975"/>
      <c r="AG309" s="975"/>
      <c r="AH309" s="975"/>
      <c r="AI309" s="975"/>
      <c r="AJ309" s="975"/>
      <c r="AK309" s="981"/>
      <c r="AL309" s="982" t="e">
        <f>VLOOKUP(C309,'sản lượng'!$D$12:$AM$89,38,0)</f>
        <v>#N/A</v>
      </c>
      <c r="AM309" s="946">
        <v>947</v>
      </c>
      <c r="AN309" s="976" t="e">
        <f t="shared" si="66"/>
        <v>#N/A</v>
      </c>
      <c r="AP309" s="944">
        <f t="shared" si="67"/>
        <v>3</v>
      </c>
    </row>
    <row r="310" spans="1:44" ht="15.75">
      <c r="A310" s="996">
        <v>81</v>
      </c>
      <c r="B310" s="1640" t="str">
        <f>VLOOKUP(C310,'DS CN MOI UP'!$B$10:$C$389,2,0)</f>
        <v>02546</v>
      </c>
      <c r="C310" s="970" t="s">
        <v>204</v>
      </c>
      <c r="D310" s="997" t="s">
        <v>15</v>
      </c>
      <c r="E310" s="960">
        <f t="shared" si="63"/>
        <v>24</v>
      </c>
      <c r="F310" s="960"/>
      <c r="G310" s="960"/>
      <c r="H310" s="1110"/>
      <c r="I310" s="960"/>
      <c r="J310" s="960"/>
      <c r="K310" s="960"/>
      <c r="L310" s="960"/>
      <c r="M310" s="960"/>
      <c r="N310" s="960"/>
      <c r="O310" s="960"/>
      <c r="P310" s="960"/>
      <c r="Q310" s="960"/>
      <c r="R310" s="960"/>
      <c r="S310" s="975">
        <f t="shared" si="62"/>
        <v>24</v>
      </c>
      <c r="T310" s="975" t="e">
        <f>VLOOKUP(C310,'sản lượng'!$D$12:$AK$89,36,0)</f>
        <v>#N/A</v>
      </c>
      <c r="U310" s="975"/>
      <c r="V310" s="975"/>
      <c r="W310" s="975" t="e">
        <f>VLOOKUP(C310,'sản lượng'!$D$12:$AK$89,36,0)</f>
        <v>#N/A</v>
      </c>
      <c r="X310" s="975"/>
      <c r="Y310" s="975"/>
      <c r="Z310" s="975" t="e">
        <f t="shared" si="65"/>
        <v>#N/A</v>
      </c>
      <c r="AA310" s="975" t="e">
        <f>VLOOKUP(C310,'CHẤM CÔNG '!$D$12:$AL$89,33,0)</f>
        <v>#N/A</v>
      </c>
      <c r="AB310" s="975" t="e">
        <f>VLOOKUP(C310,'CHẤM CÔNG '!$D$12:$AL$89,34,0)</f>
        <v>#N/A</v>
      </c>
      <c r="AC310" s="975"/>
      <c r="AD310" s="975"/>
      <c r="AE310" s="975"/>
      <c r="AF310" s="975"/>
      <c r="AG310" s="975"/>
      <c r="AH310" s="975"/>
      <c r="AI310" s="975"/>
      <c r="AJ310" s="975"/>
      <c r="AK310" s="981"/>
      <c r="AL310" s="982" t="e">
        <f>VLOOKUP(C310,'sản lượng'!$D$12:$AM$89,38,0)</f>
        <v>#N/A</v>
      </c>
      <c r="AM310" s="946">
        <v>1771</v>
      </c>
      <c r="AN310" s="976" t="e">
        <f t="shared" si="66"/>
        <v>#N/A</v>
      </c>
      <c r="AP310" s="944">
        <f t="shared" si="67"/>
        <v>3</v>
      </c>
    </row>
    <row r="311" spans="1:44" ht="15.75">
      <c r="A311" s="996">
        <v>82</v>
      </c>
      <c r="B311" s="1640" t="str">
        <f>VLOOKUP(C311,'DS CN MOI UP'!$B$10:$C$389,2,0)</f>
        <v>02559</v>
      </c>
      <c r="C311" s="970" t="s">
        <v>205</v>
      </c>
      <c r="D311" s="997" t="s">
        <v>15</v>
      </c>
      <c r="E311" s="960">
        <f t="shared" si="63"/>
        <v>24</v>
      </c>
      <c r="F311" s="960"/>
      <c r="G311" s="960"/>
      <c r="H311" s="1110"/>
      <c r="I311" s="960"/>
      <c r="J311" s="960"/>
      <c r="K311" s="960"/>
      <c r="L311" s="960"/>
      <c r="M311" s="960"/>
      <c r="N311" s="960"/>
      <c r="O311" s="960"/>
      <c r="P311" s="960"/>
      <c r="Q311" s="960"/>
      <c r="R311" s="960"/>
      <c r="S311" s="975">
        <f t="shared" si="62"/>
        <v>24</v>
      </c>
      <c r="T311" s="975" t="e">
        <f>VLOOKUP(C311,'sản lượng'!$D$12:$AK$89,36,0)</f>
        <v>#N/A</v>
      </c>
      <c r="U311" s="975"/>
      <c r="V311" s="975"/>
      <c r="W311" s="975" t="e">
        <f>VLOOKUP(C311,'sản lượng'!$D$12:$AK$89,36,0)</f>
        <v>#N/A</v>
      </c>
      <c r="X311" s="975"/>
      <c r="Y311" s="975"/>
      <c r="Z311" s="975" t="e">
        <f t="shared" si="65"/>
        <v>#N/A</v>
      </c>
      <c r="AA311" s="975" t="e">
        <f>VLOOKUP(C311,'CHẤM CÔNG '!$D$12:$AL$89,33,0)</f>
        <v>#N/A</v>
      </c>
      <c r="AB311" s="975" t="e">
        <f>VLOOKUP(C311,'CHẤM CÔNG '!$D$12:$AL$89,34,0)</f>
        <v>#N/A</v>
      </c>
      <c r="AC311" s="975"/>
      <c r="AD311" s="975"/>
      <c r="AE311" s="975"/>
      <c r="AF311" s="975"/>
      <c r="AG311" s="975"/>
      <c r="AH311" s="975"/>
      <c r="AI311" s="975"/>
      <c r="AJ311" s="975"/>
      <c r="AK311" s="981"/>
      <c r="AL311" s="982" t="e">
        <f>VLOOKUP(C311,'sản lượng'!$D$12:$AM$89,38,0)</f>
        <v>#N/A</v>
      </c>
      <c r="AM311" s="946">
        <v>1852</v>
      </c>
      <c r="AN311" s="976" t="e">
        <f t="shared" si="66"/>
        <v>#N/A</v>
      </c>
      <c r="AP311" s="944">
        <f t="shared" si="67"/>
        <v>3</v>
      </c>
    </row>
    <row r="312" spans="1:44" ht="15.75">
      <c r="A312" s="996">
        <v>83</v>
      </c>
      <c r="B312" s="958" t="e">
        <f>VLOOKUP(C312,'DS CN MOI UP'!$B$10:$C$389,2,0)</f>
        <v>#N/A</v>
      </c>
      <c r="C312" s="970" t="s">
        <v>505</v>
      </c>
      <c r="D312" s="997" t="s">
        <v>2654</v>
      </c>
      <c r="E312" s="960"/>
      <c r="F312" s="960"/>
      <c r="G312" s="960"/>
      <c r="H312" s="1110"/>
      <c r="I312" s="960"/>
      <c r="J312" s="960"/>
      <c r="K312" s="960"/>
      <c r="L312" s="960"/>
      <c r="M312" s="960"/>
      <c r="N312" s="960"/>
      <c r="O312" s="960"/>
      <c r="P312" s="960"/>
      <c r="Q312" s="960"/>
      <c r="R312" s="960"/>
      <c r="S312" s="975">
        <f t="shared" si="62"/>
        <v>0</v>
      </c>
      <c r="T312" s="975" t="e">
        <f>VLOOKUP(C312,'sản lượng'!$D$12:$AK$89,36,0)</f>
        <v>#N/A</v>
      </c>
      <c r="U312" s="975"/>
      <c r="V312" s="975"/>
      <c r="W312" s="975" t="e">
        <f>VLOOKUP(C312,'sản lượng'!$D$12:$AK$89,36,0)</f>
        <v>#N/A</v>
      </c>
      <c r="X312" s="975"/>
      <c r="Y312" s="975"/>
      <c r="Z312" s="975" t="e">
        <f t="shared" si="65"/>
        <v>#N/A</v>
      </c>
      <c r="AA312" s="975" t="e">
        <f>VLOOKUP(C312,'CHẤM CÔNG '!$D$12:$AL$89,33,0)</f>
        <v>#N/A</v>
      </c>
      <c r="AB312" s="975" t="e">
        <f>VLOOKUP(C312,'CHẤM CÔNG '!$D$12:$AL$89,34,0)</f>
        <v>#N/A</v>
      </c>
      <c r="AC312" s="975"/>
      <c r="AD312" s="975"/>
      <c r="AE312" s="975"/>
      <c r="AF312" s="975"/>
      <c r="AG312" s="975"/>
      <c r="AH312" s="975"/>
      <c r="AI312" s="975"/>
      <c r="AJ312" s="975"/>
      <c r="AK312" s="981"/>
      <c r="AL312" s="982" t="e">
        <f>VLOOKUP(C312,'sản lượng'!$D$12:$AM$89,38,0)</f>
        <v>#N/A</v>
      </c>
      <c r="AM312" s="946">
        <v>128</v>
      </c>
      <c r="AN312" s="976" t="e">
        <f t="shared" si="66"/>
        <v>#N/A</v>
      </c>
    </row>
    <row r="313" spans="1:44" ht="15.75">
      <c r="A313" s="996">
        <v>84</v>
      </c>
      <c r="B313" s="958" t="e">
        <f>VLOOKUP(C313,'DS CN MOI UP'!$B$10:$C$389,2,0)</f>
        <v>#N/A</v>
      </c>
      <c r="C313" s="970" t="s">
        <v>506</v>
      </c>
      <c r="D313" s="997" t="s">
        <v>2654</v>
      </c>
      <c r="E313" s="960"/>
      <c r="F313" s="960"/>
      <c r="G313" s="960"/>
      <c r="H313" s="1110"/>
      <c r="I313" s="960"/>
      <c r="J313" s="960"/>
      <c r="K313" s="960"/>
      <c r="L313" s="960"/>
      <c r="M313" s="960"/>
      <c r="N313" s="960"/>
      <c r="O313" s="960"/>
      <c r="P313" s="960"/>
      <c r="Q313" s="960"/>
      <c r="R313" s="960"/>
      <c r="S313" s="975">
        <f t="shared" si="62"/>
        <v>0</v>
      </c>
      <c r="T313" s="975" t="e">
        <f>VLOOKUP(C313,'sản lượng'!$D$12:$AK$89,36,0)</f>
        <v>#N/A</v>
      </c>
      <c r="U313" s="975"/>
      <c r="V313" s="975"/>
      <c r="W313" s="975" t="e">
        <f>VLOOKUP(C313,'sản lượng'!$D$12:$AK$89,36,0)</f>
        <v>#N/A</v>
      </c>
      <c r="X313" s="975"/>
      <c r="Y313" s="975"/>
      <c r="Z313" s="975" t="e">
        <f t="shared" si="65"/>
        <v>#N/A</v>
      </c>
      <c r="AA313" s="975" t="e">
        <f>VLOOKUP(C313,'CHẤM CÔNG '!$D$12:$AL$89,33,0)</f>
        <v>#N/A</v>
      </c>
      <c r="AB313" s="975" t="e">
        <f>VLOOKUP(C313,'CHẤM CÔNG '!$D$12:$AL$89,34,0)</f>
        <v>#N/A</v>
      </c>
      <c r="AC313" s="975"/>
      <c r="AD313" s="975"/>
      <c r="AE313" s="975"/>
      <c r="AF313" s="975"/>
      <c r="AG313" s="975"/>
      <c r="AH313" s="975"/>
      <c r="AI313" s="975"/>
      <c r="AJ313" s="975"/>
      <c r="AK313" s="981"/>
      <c r="AL313" s="982" t="e">
        <f>VLOOKUP(C313,'sản lượng'!$D$12:$AM$89,38,0)</f>
        <v>#N/A</v>
      </c>
      <c r="AM313" s="946">
        <v>60</v>
      </c>
      <c r="AN313" s="976" t="e">
        <f t="shared" si="66"/>
        <v>#N/A</v>
      </c>
    </row>
    <row r="314" spans="1:44" ht="15.75">
      <c r="A314" s="996">
        <v>85</v>
      </c>
      <c r="B314" s="958" t="e">
        <f>VLOOKUP(C314,'DS CN MOI UP'!$B$10:$C$389,2,0)</f>
        <v>#N/A</v>
      </c>
      <c r="C314" s="970" t="s">
        <v>507</v>
      </c>
      <c r="D314" s="997" t="s">
        <v>15</v>
      </c>
      <c r="E314" s="960"/>
      <c r="F314" s="960"/>
      <c r="G314" s="960"/>
      <c r="H314" s="1110"/>
      <c r="I314" s="960"/>
      <c r="J314" s="960"/>
      <c r="K314" s="960"/>
      <c r="L314" s="960"/>
      <c r="M314" s="960"/>
      <c r="N314" s="960"/>
      <c r="O314" s="960"/>
      <c r="P314" s="960"/>
      <c r="Q314" s="960"/>
      <c r="R314" s="960"/>
      <c r="S314" s="975">
        <f t="shared" ref="S314" si="68">SUM(E314:N314)</f>
        <v>0</v>
      </c>
      <c r="T314" s="975"/>
      <c r="U314" s="975"/>
      <c r="V314" s="975"/>
      <c r="W314" s="975"/>
      <c r="X314" s="975"/>
      <c r="Y314" s="975"/>
      <c r="Z314" s="975">
        <f>W314*$AN$16+X314*$AN$10+$AN$25*Y314</f>
        <v>0</v>
      </c>
      <c r="AA314" s="975"/>
      <c r="AB314" s="975"/>
      <c r="AC314" s="975"/>
      <c r="AD314" s="975"/>
      <c r="AE314" s="975"/>
      <c r="AF314" s="975"/>
      <c r="AG314" s="975"/>
      <c r="AH314" s="975"/>
      <c r="AI314" s="975"/>
      <c r="AJ314" s="975"/>
      <c r="AK314" s="981"/>
      <c r="AL314" s="982" t="e">
        <f>VLOOKUP(C314,'sản lượng'!$D$12:$AM$89,38,0)</f>
        <v>#N/A</v>
      </c>
      <c r="AN314" s="976">
        <f t="shared" si="66"/>
        <v>0</v>
      </c>
    </row>
    <row r="315" spans="1:44" ht="15.75">
      <c r="A315" s="996">
        <v>86</v>
      </c>
      <c r="B315" s="958">
        <v>4</v>
      </c>
      <c r="C315" s="970" t="s">
        <v>1232</v>
      </c>
      <c r="D315" s="1141" t="s">
        <v>1713</v>
      </c>
      <c r="E315" s="960"/>
      <c r="F315" s="960"/>
      <c r="G315" s="960"/>
      <c r="H315" s="1110">
        <v>6996.2759999999998</v>
      </c>
      <c r="I315" s="960"/>
      <c r="J315" s="960"/>
      <c r="K315" s="960"/>
      <c r="L315" s="960"/>
      <c r="M315" s="960"/>
      <c r="N315" s="960"/>
      <c r="O315" s="960"/>
      <c r="P315" s="960"/>
      <c r="Q315" s="960"/>
      <c r="R315" s="960"/>
      <c r="S315" s="975">
        <f>SUM(E315:R315)</f>
        <v>6996.2759999999998</v>
      </c>
      <c r="T315" s="975"/>
      <c r="U315" s="975"/>
      <c r="V315" s="975"/>
      <c r="W315" s="975"/>
      <c r="X315" s="975"/>
      <c r="Y315" s="975"/>
      <c r="Z315" s="975">
        <f>W315*$AN$9/$AN$8+X315*$AN$10+$AN$11*Y315</f>
        <v>0</v>
      </c>
      <c r="AA315" s="975"/>
      <c r="AB315" s="975"/>
      <c r="AC315" s="975"/>
      <c r="AD315" s="975"/>
      <c r="AE315" s="975"/>
      <c r="AF315" s="975"/>
      <c r="AG315" s="975"/>
      <c r="AH315" s="975"/>
      <c r="AI315" s="975"/>
      <c r="AJ315" s="975"/>
      <c r="AK315" s="981"/>
      <c r="AL315" s="982" t="e">
        <f>VLOOKUP(C315,'sản lượng'!$D$12:$AM$89,38,0)</f>
        <v>#N/A</v>
      </c>
      <c r="AN315" s="976">
        <f t="shared" si="66"/>
        <v>0</v>
      </c>
    </row>
    <row r="316" spans="1:44">
      <c r="A316" s="993" t="s">
        <v>522</v>
      </c>
      <c r="B316" s="958"/>
      <c r="C316" s="994"/>
      <c r="D316" s="995"/>
      <c r="E316" s="968">
        <f t="shared" ref="E316:W316" si="69">SUM(E317:E395)</f>
        <v>1928</v>
      </c>
      <c r="F316" s="968">
        <f t="shared" si="69"/>
        <v>0</v>
      </c>
      <c r="G316" s="968">
        <f t="shared" si="69"/>
        <v>0</v>
      </c>
      <c r="H316" s="1117">
        <f t="shared" si="69"/>
        <v>0</v>
      </c>
      <c r="I316" s="968">
        <f t="shared" si="69"/>
        <v>0</v>
      </c>
      <c r="J316" s="968">
        <f t="shared" si="69"/>
        <v>0</v>
      </c>
      <c r="K316" s="968">
        <f t="shared" si="69"/>
        <v>0</v>
      </c>
      <c r="L316" s="968">
        <f t="shared" si="69"/>
        <v>0</v>
      </c>
      <c r="M316" s="968">
        <f t="shared" si="69"/>
        <v>0</v>
      </c>
      <c r="N316" s="968">
        <f t="shared" si="69"/>
        <v>0</v>
      </c>
      <c r="O316" s="968">
        <f t="shared" si="69"/>
        <v>0</v>
      </c>
      <c r="P316" s="968">
        <f t="shared" si="69"/>
        <v>0</v>
      </c>
      <c r="Q316" s="968">
        <f t="shared" si="69"/>
        <v>0</v>
      </c>
      <c r="R316" s="968">
        <f t="shared" si="69"/>
        <v>0</v>
      </c>
      <c r="S316" s="968">
        <f t="shared" si="69"/>
        <v>1928</v>
      </c>
      <c r="T316" s="968" t="e">
        <f t="shared" si="69"/>
        <v>#N/A</v>
      </c>
      <c r="U316" s="968">
        <f t="shared" si="69"/>
        <v>0</v>
      </c>
      <c r="V316" s="968">
        <f t="shared" si="69"/>
        <v>0</v>
      </c>
      <c r="W316" s="968" t="e">
        <f t="shared" si="69"/>
        <v>#N/A</v>
      </c>
      <c r="X316" s="968"/>
      <c r="Y316" s="968"/>
      <c r="Z316" s="968" t="e">
        <f>SUM(Z317:Z395)</f>
        <v>#N/A</v>
      </c>
      <c r="AA316" s="968" t="e">
        <f>SUM(AA317:AA395)</f>
        <v>#N/A</v>
      </c>
      <c r="AB316" s="968" t="e">
        <f>SUM(AB317:AB395)</f>
        <v>#N/A</v>
      </c>
      <c r="AC316" s="975"/>
      <c r="AD316" s="968"/>
      <c r="AE316" s="968">
        <f>SUM(AE317:AE395)</f>
        <v>26</v>
      </c>
      <c r="AF316" s="968"/>
      <c r="AG316" s="968"/>
      <c r="AH316" s="968"/>
      <c r="AI316" s="968">
        <f t="shared" ref="AI316:AR316" si="70">SUM(AI317:AI395)</f>
        <v>0</v>
      </c>
      <c r="AJ316" s="968">
        <f t="shared" si="70"/>
        <v>0</v>
      </c>
      <c r="AK316" s="968">
        <f t="shared" si="70"/>
        <v>0</v>
      </c>
      <c r="AL316" s="982" t="e">
        <f>VLOOKUP(C316,'sản lượng'!$D$12:$AM$89,38,0)</f>
        <v>#N/A</v>
      </c>
      <c r="AM316" s="968" t="e">
        <f t="shared" si="70"/>
        <v>#N/A</v>
      </c>
      <c r="AN316" s="968">
        <f t="shared" si="70"/>
        <v>0</v>
      </c>
      <c r="AO316" s="968" t="e">
        <f t="shared" si="70"/>
        <v>#N/A</v>
      </c>
      <c r="AP316" s="968" t="e">
        <f t="shared" si="70"/>
        <v>#N/A</v>
      </c>
      <c r="AQ316" s="968" t="e">
        <f t="shared" si="70"/>
        <v>#N/A</v>
      </c>
      <c r="AR316" s="968">
        <f t="shared" si="70"/>
        <v>63</v>
      </c>
    </row>
    <row r="317" spans="1:44" ht="15.75">
      <c r="A317" s="996">
        <v>1</v>
      </c>
      <c r="B317" s="1640" t="str">
        <f>VLOOKUP(C317,'DS CN MOI UP'!$B$10:$C$389,2,0)</f>
        <v>02615</v>
      </c>
      <c r="C317" s="1001" t="s">
        <v>206</v>
      </c>
      <c r="D317" s="1002" t="s">
        <v>15</v>
      </c>
      <c r="E317" s="960">
        <f t="shared" ref="E317:E380" si="71">3*8</f>
        <v>24</v>
      </c>
      <c r="F317" s="960"/>
      <c r="G317" s="960"/>
      <c r="H317" s="1110"/>
      <c r="I317" s="960"/>
      <c r="J317" s="960"/>
      <c r="K317" s="960"/>
      <c r="L317" s="960"/>
      <c r="M317" s="960"/>
      <c r="N317" s="960"/>
      <c r="O317" s="960"/>
      <c r="P317" s="960"/>
      <c r="Q317" s="960"/>
      <c r="R317" s="960"/>
      <c r="S317" s="975">
        <f t="shared" ref="S317:S348" si="72">SUM(E317:R317)</f>
        <v>24</v>
      </c>
      <c r="T317" s="975" t="e">
        <f>VLOOKUP(C317,'sản lượng'!$D$12:$AK$89,36,0)</f>
        <v>#N/A</v>
      </c>
      <c r="U317" s="975"/>
      <c r="V317" s="975"/>
      <c r="W317" s="975" t="e">
        <f>VLOOKUP(C317,'sản lượng'!$D$12:$AK$89,36,0)</f>
        <v>#N/A</v>
      </c>
      <c r="X317" s="975"/>
      <c r="Y317" s="975"/>
      <c r="Z317" s="975" t="e">
        <f t="shared" ref="Z317:Z348" si="73">W317*$AN$17+X317*$AN$10+$AN$11*Y317</f>
        <v>#N/A</v>
      </c>
      <c r="AA317" s="975" t="e">
        <f>VLOOKUP(C317,'CHẤM CÔNG '!$D$12:$AL$89,33,0)</f>
        <v>#N/A</v>
      </c>
      <c r="AB317" s="975" t="e">
        <f>VLOOKUP(C317,'CHẤM CÔNG '!$D$12:$AL$89,34,0)</f>
        <v>#N/A</v>
      </c>
      <c r="AC317" s="975"/>
      <c r="AD317" s="975"/>
      <c r="AE317" s="975"/>
      <c r="AF317" s="975"/>
      <c r="AG317" s="975"/>
      <c r="AH317" s="975"/>
      <c r="AI317" s="975"/>
      <c r="AJ317" s="975"/>
      <c r="AK317" s="981"/>
      <c r="AL317" s="982" t="e">
        <f>VLOOKUP(C317,'sản lượng'!$D$12:$AM$89,38,0)</f>
        <v>#N/A</v>
      </c>
      <c r="AM317" s="976" t="e">
        <f>SUM(W317:W387)</f>
        <v>#N/A</v>
      </c>
      <c r="AN317" s="976">
        <f>SUM(X317:X387)</f>
        <v>0</v>
      </c>
      <c r="AO317" s="976" t="e">
        <f>SUM(Z317:Z387)</f>
        <v>#N/A</v>
      </c>
      <c r="AP317" s="976" t="e">
        <f>SUM(AA317:AA387)</f>
        <v>#N/A</v>
      </c>
      <c r="AQ317" s="976" t="e">
        <f>SUM(AB317:AB387)</f>
        <v>#N/A</v>
      </c>
      <c r="AR317" s="976">
        <f>SUM(AC317:AC387)</f>
        <v>0</v>
      </c>
    </row>
    <row r="318" spans="1:44" ht="15.75">
      <c r="A318" s="996">
        <v>2</v>
      </c>
      <c r="B318" s="1640" t="str">
        <f>VLOOKUP(C318,'DS CN MOI UP'!$B$10:$C$389,2,0)</f>
        <v>02594</v>
      </c>
      <c r="C318" s="1001" t="s">
        <v>207</v>
      </c>
      <c r="D318" s="1002" t="s">
        <v>15</v>
      </c>
      <c r="E318" s="960">
        <f t="shared" si="71"/>
        <v>24</v>
      </c>
      <c r="F318" s="960"/>
      <c r="G318" s="960"/>
      <c r="H318" s="1110"/>
      <c r="I318" s="960"/>
      <c r="J318" s="960"/>
      <c r="K318" s="960"/>
      <c r="L318" s="960"/>
      <c r="M318" s="960"/>
      <c r="N318" s="960"/>
      <c r="O318" s="960"/>
      <c r="P318" s="960"/>
      <c r="Q318" s="960"/>
      <c r="R318" s="960"/>
      <c r="S318" s="975">
        <f t="shared" si="72"/>
        <v>24</v>
      </c>
      <c r="T318" s="975" t="e">
        <f>VLOOKUP(C318,'sản lượng'!$D$12:$AK$89,36,0)</f>
        <v>#N/A</v>
      </c>
      <c r="U318" s="975"/>
      <c r="V318" s="975"/>
      <c r="W318" s="975" t="e">
        <f>VLOOKUP(C318,'sản lượng'!$D$12:$AK$89,36,0)</f>
        <v>#N/A</v>
      </c>
      <c r="X318" s="975"/>
      <c r="Y318" s="975"/>
      <c r="Z318" s="975" t="e">
        <f t="shared" si="73"/>
        <v>#N/A</v>
      </c>
      <c r="AA318" s="975" t="e">
        <f>VLOOKUP(C318,'CHẤM CÔNG '!$D$12:$AL$89,33,0)</f>
        <v>#N/A</v>
      </c>
      <c r="AB318" s="975" t="e">
        <f>VLOOKUP(C318,'CHẤM CÔNG '!$D$12:$AL$89,34,0)</f>
        <v>#N/A</v>
      </c>
      <c r="AC318" s="975"/>
      <c r="AD318" s="975"/>
      <c r="AE318" s="975"/>
      <c r="AF318" s="975"/>
      <c r="AG318" s="975"/>
      <c r="AH318" s="975"/>
      <c r="AI318" s="975"/>
      <c r="AJ318" s="975"/>
      <c r="AK318" s="981"/>
      <c r="AL318" s="982" t="e">
        <f>VLOOKUP(C318,'sản lượng'!$D$12:$AM$89,38,0)</f>
        <v>#N/A</v>
      </c>
      <c r="AM318" s="976" t="e">
        <f>+W316-AM317</f>
        <v>#N/A</v>
      </c>
      <c r="AN318" s="976">
        <f>+X316-AN317</f>
        <v>0</v>
      </c>
      <c r="AO318" s="976" t="e">
        <f>+Z316-AO317</f>
        <v>#N/A</v>
      </c>
      <c r="AP318" s="976" t="e">
        <f>+AA316-AP317</f>
        <v>#N/A</v>
      </c>
      <c r="AQ318" s="976" t="e">
        <f>+AB316-AQ317</f>
        <v>#N/A</v>
      </c>
    </row>
    <row r="319" spans="1:44" ht="15.75">
      <c r="A319" s="996">
        <v>3</v>
      </c>
      <c r="B319" s="1640" t="str">
        <f>VLOOKUP(C319,'DS CN MOI UP'!$B$10:$C$389,2,0)</f>
        <v>02596</v>
      </c>
      <c r="C319" s="1001" t="s">
        <v>208</v>
      </c>
      <c r="D319" s="1002" t="s">
        <v>15</v>
      </c>
      <c r="E319" s="960">
        <f t="shared" si="71"/>
        <v>24</v>
      </c>
      <c r="F319" s="960"/>
      <c r="G319" s="960"/>
      <c r="H319" s="1110"/>
      <c r="I319" s="960"/>
      <c r="J319" s="960"/>
      <c r="K319" s="960"/>
      <c r="L319" s="960"/>
      <c r="M319" s="960"/>
      <c r="N319" s="960"/>
      <c r="O319" s="960"/>
      <c r="P319" s="960"/>
      <c r="Q319" s="960"/>
      <c r="R319" s="960"/>
      <c r="S319" s="975">
        <f t="shared" si="72"/>
        <v>24</v>
      </c>
      <c r="T319" s="975" t="e">
        <f>VLOOKUP(C319,'sản lượng'!$D$12:$AK$89,36,0)</f>
        <v>#N/A</v>
      </c>
      <c r="U319" s="975"/>
      <c r="V319" s="975"/>
      <c r="W319" s="975" t="e">
        <f>VLOOKUP(C319,'sản lượng'!$D$12:$AK$89,36,0)</f>
        <v>#N/A</v>
      </c>
      <c r="X319" s="975"/>
      <c r="Y319" s="975"/>
      <c r="Z319" s="975" t="e">
        <f t="shared" si="73"/>
        <v>#N/A</v>
      </c>
      <c r="AA319" s="975" t="e">
        <f>VLOOKUP(C319,'CHẤM CÔNG '!$D$12:$AL$89,33,0)</f>
        <v>#N/A</v>
      </c>
      <c r="AB319" s="975" t="e">
        <f>VLOOKUP(C319,'CHẤM CÔNG '!$D$12:$AL$89,34,0)</f>
        <v>#N/A</v>
      </c>
      <c r="AC319" s="975"/>
      <c r="AD319" s="975"/>
      <c r="AE319" s="975"/>
      <c r="AF319" s="975"/>
      <c r="AG319" s="975"/>
      <c r="AH319" s="975"/>
      <c r="AI319" s="975"/>
      <c r="AJ319" s="975"/>
      <c r="AK319" s="981"/>
      <c r="AL319" s="982" t="e">
        <f>VLOOKUP(C319,'sản lượng'!$D$12:$AM$89,38,0)</f>
        <v>#N/A</v>
      </c>
      <c r="AP319" s="944">
        <f t="shared" ref="AP319:AP381" si="74">3-AR319</f>
        <v>3</v>
      </c>
    </row>
    <row r="320" spans="1:44" ht="15.75">
      <c r="A320" s="996">
        <v>4</v>
      </c>
      <c r="B320" s="1640" t="str">
        <f>VLOOKUP(C320,'DS CN MOI UP'!$B$10:$C$389,2,0)</f>
        <v>02601</v>
      </c>
      <c r="C320" s="1001" t="s">
        <v>209</v>
      </c>
      <c r="D320" s="1002" t="s">
        <v>15</v>
      </c>
      <c r="E320" s="960">
        <f t="shared" si="71"/>
        <v>24</v>
      </c>
      <c r="F320" s="960"/>
      <c r="G320" s="960"/>
      <c r="H320" s="1110"/>
      <c r="I320" s="960"/>
      <c r="J320" s="960"/>
      <c r="K320" s="960"/>
      <c r="L320" s="960"/>
      <c r="M320" s="960"/>
      <c r="N320" s="960"/>
      <c r="O320" s="960"/>
      <c r="P320" s="960"/>
      <c r="Q320" s="960"/>
      <c r="R320" s="960"/>
      <c r="S320" s="975">
        <f t="shared" si="72"/>
        <v>24</v>
      </c>
      <c r="T320" s="975" t="e">
        <f>VLOOKUP(C320,'sản lượng'!$D$12:$AK$89,36,0)</f>
        <v>#N/A</v>
      </c>
      <c r="U320" s="975"/>
      <c r="V320" s="975"/>
      <c r="W320" s="975" t="e">
        <f>VLOOKUP(C320,'sản lượng'!$D$12:$AK$89,36,0)</f>
        <v>#N/A</v>
      </c>
      <c r="X320" s="975"/>
      <c r="Y320" s="975"/>
      <c r="Z320" s="975" t="e">
        <f t="shared" si="73"/>
        <v>#N/A</v>
      </c>
      <c r="AA320" s="975" t="e">
        <f>VLOOKUP(C320,'CHẤM CÔNG '!$D$12:$AL$89,33,0)</f>
        <v>#N/A</v>
      </c>
      <c r="AB320" s="975" t="e">
        <f>VLOOKUP(C320,'CHẤM CÔNG '!$D$12:$AL$89,34,0)</f>
        <v>#N/A</v>
      </c>
      <c r="AC320" s="975"/>
      <c r="AD320" s="975"/>
      <c r="AE320" s="975"/>
      <c r="AF320" s="975"/>
      <c r="AG320" s="975"/>
      <c r="AH320" s="975"/>
      <c r="AI320" s="975"/>
      <c r="AJ320" s="975"/>
      <c r="AK320" s="981"/>
      <c r="AL320" s="982" t="e">
        <f>VLOOKUP(C320,'sản lượng'!$D$12:$AM$89,38,0)</f>
        <v>#N/A</v>
      </c>
      <c r="AP320" s="944">
        <f t="shared" si="74"/>
        <v>3</v>
      </c>
    </row>
    <row r="321" spans="1:44" ht="15.75">
      <c r="A321" s="996">
        <v>5</v>
      </c>
      <c r="B321" s="1640" t="str">
        <f>VLOOKUP(C321,'DS CN MOI UP'!$B$10:$C$389,2,0)</f>
        <v>02697</v>
      </c>
      <c r="C321" s="1001" t="s">
        <v>210</v>
      </c>
      <c r="D321" s="1002" t="s">
        <v>15</v>
      </c>
      <c r="E321" s="960">
        <f t="shared" si="71"/>
        <v>24</v>
      </c>
      <c r="F321" s="960"/>
      <c r="G321" s="960"/>
      <c r="H321" s="1110"/>
      <c r="I321" s="960"/>
      <c r="J321" s="960"/>
      <c r="K321" s="960"/>
      <c r="L321" s="960"/>
      <c r="M321" s="960"/>
      <c r="N321" s="960"/>
      <c r="O321" s="960"/>
      <c r="P321" s="960"/>
      <c r="Q321" s="960"/>
      <c r="R321" s="960"/>
      <c r="S321" s="975">
        <f t="shared" si="72"/>
        <v>24</v>
      </c>
      <c r="T321" s="975" t="e">
        <f>VLOOKUP(C321,'sản lượng'!$D$12:$AK$89,36,0)</f>
        <v>#N/A</v>
      </c>
      <c r="U321" s="975"/>
      <c r="V321" s="975"/>
      <c r="W321" s="975" t="e">
        <f>VLOOKUP(C321,'sản lượng'!$D$12:$AK$89,36,0)</f>
        <v>#N/A</v>
      </c>
      <c r="X321" s="975"/>
      <c r="Y321" s="975"/>
      <c r="Z321" s="975" t="e">
        <f t="shared" si="73"/>
        <v>#N/A</v>
      </c>
      <c r="AA321" s="975" t="e">
        <f>VLOOKUP(C321,'CHẤM CÔNG '!$D$12:$AL$89,33,0)</f>
        <v>#N/A</v>
      </c>
      <c r="AB321" s="975" t="e">
        <f>VLOOKUP(C321,'CHẤM CÔNG '!$D$12:$AL$89,34,0)</f>
        <v>#N/A</v>
      </c>
      <c r="AC321" s="975"/>
      <c r="AD321" s="975"/>
      <c r="AE321" s="975"/>
      <c r="AF321" s="975"/>
      <c r="AG321" s="975"/>
      <c r="AH321" s="975"/>
      <c r="AI321" s="975"/>
      <c r="AJ321" s="975"/>
      <c r="AK321" s="981"/>
      <c r="AL321" s="982" t="e">
        <f>VLOOKUP(C321,'sản lượng'!$D$12:$AM$89,38,0)</f>
        <v>#N/A</v>
      </c>
      <c r="AP321" s="944">
        <f t="shared" si="74"/>
        <v>3</v>
      </c>
    </row>
    <row r="322" spans="1:44" ht="15.75">
      <c r="A322" s="996">
        <v>6</v>
      </c>
      <c r="B322" s="1640" t="str">
        <f>VLOOKUP(C322,'DS CN MOI UP'!$B$10:$C$389,2,0)</f>
        <v>02610</v>
      </c>
      <c r="C322" s="1001" t="s">
        <v>211</v>
      </c>
      <c r="D322" s="1002" t="s">
        <v>15</v>
      </c>
      <c r="E322" s="960">
        <f t="shared" si="71"/>
        <v>24</v>
      </c>
      <c r="F322" s="960"/>
      <c r="G322" s="960"/>
      <c r="H322" s="1110"/>
      <c r="I322" s="960"/>
      <c r="J322" s="960"/>
      <c r="K322" s="960"/>
      <c r="L322" s="960"/>
      <c r="M322" s="960"/>
      <c r="N322" s="960"/>
      <c r="O322" s="960"/>
      <c r="P322" s="960"/>
      <c r="Q322" s="960"/>
      <c r="R322" s="960"/>
      <c r="S322" s="975">
        <f t="shared" si="72"/>
        <v>24</v>
      </c>
      <c r="T322" s="975" t="e">
        <f>VLOOKUP(C322,'sản lượng'!$D$12:$AK$89,36,0)</f>
        <v>#N/A</v>
      </c>
      <c r="U322" s="975"/>
      <c r="V322" s="975"/>
      <c r="W322" s="975" t="e">
        <f>VLOOKUP(C322,'sản lượng'!$D$12:$AK$89,36,0)</f>
        <v>#N/A</v>
      </c>
      <c r="X322" s="975"/>
      <c r="Y322" s="975"/>
      <c r="Z322" s="975" t="e">
        <f t="shared" si="73"/>
        <v>#N/A</v>
      </c>
      <c r="AA322" s="975" t="e">
        <f>VLOOKUP(C322,'CHẤM CÔNG '!$D$12:$AL$89,33,0)</f>
        <v>#N/A</v>
      </c>
      <c r="AB322" s="975" t="e">
        <f>VLOOKUP(C322,'CHẤM CÔNG '!$D$12:$AL$89,34,0)</f>
        <v>#N/A</v>
      </c>
      <c r="AC322" s="975"/>
      <c r="AD322" s="975"/>
      <c r="AE322" s="975"/>
      <c r="AF322" s="975"/>
      <c r="AG322" s="975"/>
      <c r="AH322" s="975"/>
      <c r="AI322" s="975"/>
      <c r="AJ322" s="975"/>
      <c r="AK322" s="981"/>
      <c r="AL322" s="982" t="e">
        <f>VLOOKUP(C322,'sản lượng'!$D$12:$AM$89,38,0)</f>
        <v>#N/A</v>
      </c>
      <c r="AP322" s="944">
        <f t="shared" si="74"/>
        <v>3</v>
      </c>
    </row>
    <row r="323" spans="1:44" ht="15.75">
      <c r="A323" s="996">
        <v>7</v>
      </c>
      <c r="B323" s="1640" t="str">
        <f>VLOOKUP(C323,'DS CN MOI UP'!$B$10:$C$389,2,0)</f>
        <v>02611</v>
      </c>
      <c r="C323" s="1001" t="s">
        <v>212</v>
      </c>
      <c r="D323" s="1002" t="s">
        <v>15</v>
      </c>
      <c r="E323" s="960">
        <f t="shared" si="71"/>
        <v>24</v>
      </c>
      <c r="F323" s="960"/>
      <c r="G323" s="960"/>
      <c r="H323" s="1110"/>
      <c r="I323" s="960"/>
      <c r="J323" s="960"/>
      <c r="K323" s="960"/>
      <c r="L323" s="960"/>
      <c r="M323" s="960"/>
      <c r="N323" s="960"/>
      <c r="O323" s="960"/>
      <c r="P323" s="960"/>
      <c r="Q323" s="960"/>
      <c r="R323" s="960"/>
      <c r="S323" s="975">
        <f t="shared" si="72"/>
        <v>24</v>
      </c>
      <c r="T323" s="975" t="e">
        <f>VLOOKUP(C323,'sản lượng'!$D$12:$AK$89,36,0)</f>
        <v>#N/A</v>
      </c>
      <c r="U323" s="975"/>
      <c r="V323" s="975"/>
      <c r="W323" s="975" t="e">
        <f>VLOOKUP(C323,'sản lượng'!$D$12:$AK$89,36,0)</f>
        <v>#N/A</v>
      </c>
      <c r="X323" s="975"/>
      <c r="Y323" s="975"/>
      <c r="Z323" s="975" t="e">
        <f t="shared" si="73"/>
        <v>#N/A</v>
      </c>
      <c r="AA323" s="975" t="e">
        <f>VLOOKUP(C323,'CHẤM CÔNG '!$D$12:$AL$89,33,0)</f>
        <v>#N/A</v>
      </c>
      <c r="AB323" s="975" t="e">
        <f>VLOOKUP(C323,'CHẤM CÔNG '!$D$12:$AL$89,34,0)</f>
        <v>#N/A</v>
      </c>
      <c r="AC323" s="975"/>
      <c r="AD323" s="975"/>
      <c r="AE323" s="975"/>
      <c r="AF323" s="975"/>
      <c r="AG323" s="975"/>
      <c r="AH323" s="975"/>
      <c r="AI323" s="975"/>
      <c r="AJ323" s="975"/>
      <c r="AK323" s="981"/>
      <c r="AL323" s="982" t="e">
        <f>VLOOKUP(C323,'sản lượng'!$D$12:$AM$89,38,0)</f>
        <v>#N/A</v>
      </c>
      <c r="AP323" s="944">
        <f t="shared" si="74"/>
        <v>2</v>
      </c>
      <c r="AR323" s="944">
        <v>1</v>
      </c>
    </row>
    <row r="324" spans="1:44" ht="15.75">
      <c r="A324" s="996">
        <v>8</v>
      </c>
      <c r="B324" s="1640" t="str">
        <f>VLOOKUP(C324,'DS CN MOI UP'!$B$10:$C$389,2,0)</f>
        <v>02602</v>
      </c>
      <c r="C324" s="1001" t="s">
        <v>213</v>
      </c>
      <c r="D324" s="1002" t="s">
        <v>15</v>
      </c>
      <c r="E324" s="960">
        <f t="shared" si="71"/>
        <v>24</v>
      </c>
      <c r="F324" s="960"/>
      <c r="G324" s="960"/>
      <c r="H324" s="1110"/>
      <c r="I324" s="960"/>
      <c r="J324" s="960"/>
      <c r="K324" s="960"/>
      <c r="L324" s="960"/>
      <c r="M324" s="960"/>
      <c r="N324" s="960"/>
      <c r="O324" s="960"/>
      <c r="P324" s="960"/>
      <c r="Q324" s="960"/>
      <c r="R324" s="960"/>
      <c r="S324" s="975">
        <f t="shared" si="72"/>
        <v>24</v>
      </c>
      <c r="T324" s="975" t="e">
        <f>VLOOKUP(C324,'sản lượng'!$D$12:$AK$89,36,0)</f>
        <v>#N/A</v>
      </c>
      <c r="U324" s="975"/>
      <c r="V324" s="975"/>
      <c r="W324" s="975" t="e">
        <f>VLOOKUP(C324,'sản lượng'!$D$12:$AK$89,36,0)</f>
        <v>#N/A</v>
      </c>
      <c r="X324" s="975"/>
      <c r="Y324" s="975"/>
      <c r="Z324" s="975" t="e">
        <f t="shared" si="73"/>
        <v>#N/A</v>
      </c>
      <c r="AA324" s="975" t="e">
        <f>VLOOKUP(C324,'CHẤM CÔNG '!$D$12:$AL$89,33,0)</f>
        <v>#N/A</v>
      </c>
      <c r="AB324" s="975" t="e">
        <f>VLOOKUP(C324,'CHẤM CÔNG '!$D$12:$AL$89,34,0)</f>
        <v>#N/A</v>
      </c>
      <c r="AC324" s="975"/>
      <c r="AD324" s="975"/>
      <c r="AE324" s="975"/>
      <c r="AF324" s="975"/>
      <c r="AG324" s="975"/>
      <c r="AH324" s="975"/>
      <c r="AI324" s="975"/>
      <c r="AJ324" s="975"/>
      <c r="AK324" s="981"/>
      <c r="AL324" s="982" t="e">
        <f>VLOOKUP(C324,'sản lượng'!$D$12:$AM$89,38,0)</f>
        <v>#N/A</v>
      </c>
      <c r="AP324" s="944">
        <f t="shared" si="74"/>
        <v>3</v>
      </c>
    </row>
    <row r="325" spans="1:44" ht="15.75">
      <c r="A325" s="996">
        <v>9</v>
      </c>
      <c r="B325" s="1640" t="str">
        <f>VLOOKUP(C325,'DS CN MOI UP'!$B$10:$C$389,2,0)</f>
        <v>02609</v>
      </c>
      <c r="C325" s="1001" t="s">
        <v>214</v>
      </c>
      <c r="D325" s="1002" t="s">
        <v>15</v>
      </c>
      <c r="E325" s="960">
        <f t="shared" si="71"/>
        <v>24</v>
      </c>
      <c r="F325" s="960"/>
      <c r="G325" s="960"/>
      <c r="H325" s="1110"/>
      <c r="I325" s="960"/>
      <c r="J325" s="960"/>
      <c r="K325" s="960"/>
      <c r="L325" s="960"/>
      <c r="M325" s="960"/>
      <c r="N325" s="960"/>
      <c r="O325" s="960"/>
      <c r="P325" s="960"/>
      <c r="Q325" s="960"/>
      <c r="R325" s="960"/>
      <c r="S325" s="975">
        <f t="shared" si="72"/>
        <v>24</v>
      </c>
      <c r="T325" s="975" t="e">
        <f>VLOOKUP(C325,'sản lượng'!$D$12:$AK$89,36,0)</f>
        <v>#N/A</v>
      </c>
      <c r="U325" s="975"/>
      <c r="V325" s="975"/>
      <c r="W325" s="975" t="e">
        <f>VLOOKUP(C325,'sản lượng'!$D$12:$AK$89,36,0)</f>
        <v>#N/A</v>
      </c>
      <c r="X325" s="975"/>
      <c r="Y325" s="975"/>
      <c r="Z325" s="975" t="e">
        <f t="shared" si="73"/>
        <v>#N/A</v>
      </c>
      <c r="AA325" s="975" t="e">
        <f>VLOOKUP(C325,'CHẤM CÔNG '!$D$12:$AL$89,33,0)</f>
        <v>#N/A</v>
      </c>
      <c r="AB325" s="975" t="e">
        <f>VLOOKUP(C325,'CHẤM CÔNG '!$D$12:$AL$89,34,0)</f>
        <v>#N/A</v>
      </c>
      <c r="AC325" s="975"/>
      <c r="AD325" s="975"/>
      <c r="AE325" s="975"/>
      <c r="AF325" s="975"/>
      <c r="AG325" s="975"/>
      <c r="AH325" s="975"/>
      <c r="AI325" s="975"/>
      <c r="AJ325" s="975"/>
      <c r="AK325" s="981"/>
      <c r="AL325" s="982" t="e">
        <f>VLOOKUP(C325,'sản lượng'!$D$12:$AM$89,38,0)</f>
        <v>#N/A</v>
      </c>
      <c r="AP325" s="944">
        <f t="shared" si="74"/>
        <v>3</v>
      </c>
    </row>
    <row r="326" spans="1:44" ht="15.75">
      <c r="A326" s="996">
        <v>10</v>
      </c>
      <c r="B326" s="1640" t="str">
        <f>VLOOKUP(C326,'DS CN MOI UP'!$B$10:$C$389,2,0)</f>
        <v>02569</v>
      </c>
      <c r="C326" s="1001" t="s">
        <v>215</v>
      </c>
      <c r="D326" s="1002" t="s">
        <v>15</v>
      </c>
      <c r="E326" s="960">
        <f t="shared" si="71"/>
        <v>24</v>
      </c>
      <c r="F326" s="960"/>
      <c r="G326" s="960"/>
      <c r="H326" s="1110"/>
      <c r="I326" s="960"/>
      <c r="J326" s="960"/>
      <c r="K326" s="960"/>
      <c r="L326" s="960"/>
      <c r="M326" s="960"/>
      <c r="N326" s="960"/>
      <c r="O326" s="960"/>
      <c r="P326" s="960"/>
      <c r="Q326" s="960"/>
      <c r="R326" s="960"/>
      <c r="S326" s="975">
        <f t="shared" si="72"/>
        <v>24</v>
      </c>
      <c r="T326" s="975" t="e">
        <f>VLOOKUP(C326,'sản lượng'!$D$12:$AK$89,36,0)</f>
        <v>#N/A</v>
      </c>
      <c r="U326" s="975"/>
      <c r="V326" s="975"/>
      <c r="W326" s="975" t="e">
        <f>VLOOKUP(C326,'sản lượng'!$D$12:$AK$89,36,0)</f>
        <v>#N/A</v>
      </c>
      <c r="X326" s="975"/>
      <c r="Y326" s="975"/>
      <c r="Z326" s="975" t="e">
        <f t="shared" si="73"/>
        <v>#N/A</v>
      </c>
      <c r="AA326" s="975" t="e">
        <f>VLOOKUP(C326,'CHẤM CÔNG '!$D$12:$AL$89,33,0)</f>
        <v>#N/A</v>
      </c>
      <c r="AB326" s="975" t="e">
        <f>VLOOKUP(C326,'CHẤM CÔNG '!$D$12:$AL$89,34,0)</f>
        <v>#N/A</v>
      </c>
      <c r="AC326" s="975"/>
      <c r="AD326" s="975"/>
      <c r="AE326" s="975"/>
      <c r="AF326" s="975"/>
      <c r="AG326" s="975"/>
      <c r="AH326" s="975"/>
      <c r="AI326" s="975"/>
      <c r="AJ326" s="975"/>
      <c r="AK326" s="981"/>
      <c r="AL326" s="982" t="e">
        <f>VLOOKUP(C326,'sản lượng'!$D$12:$AM$89,38,0)</f>
        <v>#N/A</v>
      </c>
      <c r="AP326" s="944">
        <f t="shared" si="74"/>
        <v>2</v>
      </c>
      <c r="AR326" s="944">
        <v>1</v>
      </c>
    </row>
    <row r="327" spans="1:44" ht="15.75">
      <c r="A327" s="996">
        <v>11</v>
      </c>
      <c r="B327" s="1640" t="str">
        <f>VLOOKUP(C327,'DS CN MOI UP'!$B$10:$C$389,2,0)</f>
        <v>02583</v>
      </c>
      <c r="C327" s="1001" t="s">
        <v>216</v>
      </c>
      <c r="D327" s="1002" t="s">
        <v>15</v>
      </c>
      <c r="E327" s="960">
        <f t="shared" si="71"/>
        <v>24</v>
      </c>
      <c r="F327" s="960"/>
      <c r="G327" s="960"/>
      <c r="H327" s="1110"/>
      <c r="I327" s="960"/>
      <c r="J327" s="960"/>
      <c r="K327" s="960"/>
      <c r="L327" s="960"/>
      <c r="M327" s="960"/>
      <c r="N327" s="960"/>
      <c r="O327" s="960"/>
      <c r="P327" s="960"/>
      <c r="Q327" s="960"/>
      <c r="R327" s="960"/>
      <c r="S327" s="975">
        <f t="shared" si="72"/>
        <v>24</v>
      </c>
      <c r="T327" s="975" t="e">
        <f>VLOOKUP(C327,'sản lượng'!$D$12:$AK$89,36,0)</f>
        <v>#N/A</v>
      </c>
      <c r="U327" s="975"/>
      <c r="V327" s="975"/>
      <c r="W327" s="975" t="e">
        <f>VLOOKUP(C327,'sản lượng'!$D$12:$AK$89,36,0)</f>
        <v>#N/A</v>
      </c>
      <c r="X327" s="975"/>
      <c r="Y327" s="975"/>
      <c r="Z327" s="975" t="e">
        <f t="shared" si="73"/>
        <v>#N/A</v>
      </c>
      <c r="AA327" s="975" t="e">
        <f>VLOOKUP(C327,'CHẤM CÔNG '!$D$12:$AL$89,33,0)</f>
        <v>#N/A</v>
      </c>
      <c r="AB327" s="975" t="e">
        <f>VLOOKUP(C327,'CHẤM CÔNG '!$D$12:$AL$89,34,0)</f>
        <v>#N/A</v>
      </c>
      <c r="AC327" s="975"/>
      <c r="AD327" s="975"/>
      <c r="AE327" s="975"/>
      <c r="AF327" s="975"/>
      <c r="AG327" s="975"/>
      <c r="AH327" s="975"/>
      <c r="AI327" s="975"/>
      <c r="AJ327" s="975"/>
      <c r="AK327" s="981"/>
      <c r="AL327" s="982" t="e">
        <f>VLOOKUP(C327,'sản lượng'!$D$12:$AM$89,38,0)</f>
        <v>#N/A</v>
      </c>
      <c r="AP327" s="944">
        <f t="shared" si="74"/>
        <v>2</v>
      </c>
      <c r="AR327" s="944">
        <v>1</v>
      </c>
    </row>
    <row r="328" spans="1:44" ht="15.75">
      <c r="A328" s="996">
        <v>12</v>
      </c>
      <c r="B328" s="1640" t="str">
        <f>VLOOKUP(C328,'DS CN MOI UP'!$B$10:$C$389,2,0)</f>
        <v>02604</v>
      </c>
      <c r="C328" s="1001" t="s">
        <v>217</v>
      </c>
      <c r="D328" s="1002" t="s">
        <v>15</v>
      </c>
      <c r="E328" s="960">
        <f t="shared" si="71"/>
        <v>24</v>
      </c>
      <c r="F328" s="960"/>
      <c r="G328" s="960"/>
      <c r="H328" s="1110"/>
      <c r="I328" s="960"/>
      <c r="J328" s="960"/>
      <c r="K328" s="960"/>
      <c r="L328" s="960"/>
      <c r="M328" s="960"/>
      <c r="N328" s="960"/>
      <c r="O328" s="960"/>
      <c r="P328" s="960"/>
      <c r="Q328" s="960"/>
      <c r="R328" s="960"/>
      <c r="S328" s="975">
        <f t="shared" si="72"/>
        <v>24</v>
      </c>
      <c r="T328" s="975" t="e">
        <f>VLOOKUP(C328,'sản lượng'!$D$12:$AK$89,36,0)</f>
        <v>#N/A</v>
      </c>
      <c r="U328" s="975"/>
      <c r="V328" s="975"/>
      <c r="W328" s="975" t="e">
        <f>VLOOKUP(C328,'sản lượng'!$D$12:$AK$89,36,0)</f>
        <v>#N/A</v>
      </c>
      <c r="X328" s="975"/>
      <c r="Y328" s="975"/>
      <c r="Z328" s="975" t="e">
        <f t="shared" si="73"/>
        <v>#N/A</v>
      </c>
      <c r="AA328" s="975" t="e">
        <f>VLOOKUP(C328,'CHẤM CÔNG '!$D$12:$AL$89,33,0)</f>
        <v>#N/A</v>
      </c>
      <c r="AB328" s="975" t="e">
        <f>VLOOKUP(C328,'CHẤM CÔNG '!$D$12:$AL$89,34,0)</f>
        <v>#N/A</v>
      </c>
      <c r="AC328" s="975"/>
      <c r="AD328" s="975"/>
      <c r="AE328" s="975"/>
      <c r="AF328" s="975"/>
      <c r="AG328" s="975"/>
      <c r="AH328" s="975"/>
      <c r="AI328" s="975"/>
      <c r="AJ328" s="975"/>
      <c r="AK328" s="981"/>
      <c r="AL328" s="982" t="e">
        <f>VLOOKUP(C328,'sản lượng'!$D$12:$AM$89,38,0)</f>
        <v>#N/A</v>
      </c>
      <c r="AP328" s="944">
        <f t="shared" si="74"/>
        <v>2</v>
      </c>
      <c r="AR328" s="944">
        <v>1</v>
      </c>
    </row>
    <row r="329" spans="1:44" ht="15.75">
      <c r="A329" s="996">
        <v>13</v>
      </c>
      <c r="B329" s="1640" t="str">
        <f>VLOOKUP(C329,'DS CN MOI UP'!$B$10:$C$389,2,0)</f>
        <v>02600</v>
      </c>
      <c r="C329" s="1001" t="s">
        <v>218</v>
      </c>
      <c r="D329" s="1002" t="s">
        <v>15</v>
      </c>
      <c r="E329" s="960">
        <f t="shared" si="71"/>
        <v>24</v>
      </c>
      <c r="F329" s="960"/>
      <c r="G329" s="960"/>
      <c r="H329" s="1110"/>
      <c r="I329" s="960"/>
      <c r="J329" s="960"/>
      <c r="K329" s="960"/>
      <c r="L329" s="960"/>
      <c r="M329" s="960"/>
      <c r="N329" s="960"/>
      <c r="O329" s="960"/>
      <c r="P329" s="960"/>
      <c r="Q329" s="960"/>
      <c r="R329" s="960"/>
      <c r="S329" s="975">
        <f t="shared" si="72"/>
        <v>24</v>
      </c>
      <c r="T329" s="975" t="e">
        <f>VLOOKUP(C329,'sản lượng'!$D$12:$AK$89,36,0)</f>
        <v>#N/A</v>
      </c>
      <c r="U329" s="975"/>
      <c r="V329" s="975"/>
      <c r="W329" s="975" t="e">
        <f>VLOOKUP(C329,'sản lượng'!$D$12:$AK$89,36,0)</f>
        <v>#N/A</v>
      </c>
      <c r="X329" s="975"/>
      <c r="Y329" s="975"/>
      <c r="Z329" s="975" t="e">
        <f t="shared" si="73"/>
        <v>#N/A</v>
      </c>
      <c r="AA329" s="975" t="e">
        <f>VLOOKUP(C329,'CHẤM CÔNG '!$D$12:$AL$89,33,0)</f>
        <v>#N/A</v>
      </c>
      <c r="AB329" s="975" t="e">
        <f>VLOOKUP(C329,'CHẤM CÔNG '!$D$12:$AL$89,34,0)</f>
        <v>#N/A</v>
      </c>
      <c r="AC329" s="975"/>
      <c r="AD329" s="975"/>
      <c r="AE329" s="975"/>
      <c r="AF329" s="975"/>
      <c r="AG329" s="975"/>
      <c r="AH329" s="975"/>
      <c r="AI329" s="975"/>
      <c r="AJ329" s="975"/>
      <c r="AK329" s="981"/>
      <c r="AL329" s="982" t="e">
        <f>VLOOKUP(C329,'sản lượng'!$D$12:$AM$89,38,0)</f>
        <v>#N/A</v>
      </c>
      <c r="AP329" s="944">
        <f t="shared" si="74"/>
        <v>2</v>
      </c>
      <c r="AR329" s="944">
        <v>1</v>
      </c>
    </row>
    <row r="330" spans="1:44" ht="15.75">
      <c r="A330" s="996">
        <v>14</v>
      </c>
      <c r="B330" s="1640" t="str">
        <f>VLOOKUP(C330,'DS CN MOI UP'!$B$10:$C$389,2,0)</f>
        <v>03382</v>
      </c>
      <c r="C330" s="1001" t="s">
        <v>219</v>
      </c>
      <c r="D330" s="1002" t="s">
        <v>15</v>
      </c>
      <c r="E330" s="960">
        <f t="shared" si="71"/>
        <v>24</v>
      </c>
      <c r="F330" s="960"/>
      <c r="G330" s="960"/>
      <c r="H330" s="1110"/>
      <c r="I330" s="960"/>
      <c r="J330" s="960"/>
      <c r="K330" s="960"/>
      <c r="L330" s="960"/>
      <c r="M330" s="960"/>
      <c r="N330" s="960"/>
      <c r="O330" s="960"/>
      <c r="P330" s="960"/>
      <c r="Q330" s="960"/>
      <c r="R330" s="960"/>
      <c r="S330" s="975">
        <f t="shared" si="72"/>
        <v>24</v>
      </c>
      <c r="T330" s="975" t="e">
        <f>VLOOKUP(C330,'sản lượng'!$D$12:$AK$89,36,0)</f>
        <v>#N/A</v>
      </c>
      <c r="U330" s="975"/>
      <c r="V330" s="975"/>
      <c r="W330" s="975" t="e">
        <f>VLOOKUP(C330,'sản lượng'!$D$12:$AK$89,36,0)</f>
        <v>#N/A</v>
      </c>
      <c r="X330" s="975"/>
      <c r="Y330" s="975"/>
      <c r="Z330" s="975" t="e">
        <f t="shared" si="73"/>
        <v>#N/A</v>
      </c>
      <c r="AA330" s="975" t="e">
        <f>VLOOKUP(C330,'CHẤM CÔNG '!$D$12:$AL$89,33,0)</f>
        <v>#N/A</v>
      </c>
      <c r="AB330" s="975" t="e">
        <f>VLOOKUP(C330,'CHẤM CÔNG '!$D$12:$AL$89,34,0)</f>
        <v>#N/A</v>
      </c>
      <c r="AC330" s="975"/>
      <c r="AD330" s="975"/>
      <c r="AE330" s="975"/>
      <c r="AF330" s="975"/>
      <c r="AG330" s="975"/>
      <c r="AH330" s="975"/>
      <c r="AI330" s="975"/>
      <c r="AJ330" s="975"/>
      <c r="AK330" s="981"/>
      <c r="AL330" s="982" t="e">
        <f>VLOOKUP(C330,'sản lượng'!$D$12:$AM$89,38,0)</f>
        <v>#N/A</v>
      </c>
      <c r="AP330" s="944">
        <f t="shared" si="74"/>
        <v>2</v>
      </c>
      <c r="AR330" s="944">
        <v>1</v>
      </c>
    </row>
    <row r="331" spans="1:44" ht="15.75">
      <c r="A331" s="996">
        <v>15</v>
      </c>
      <c r="B331" s="1640" t="str">
        <f>VLOOKUP(C331,'DS CN MOI UP'!$B$10:$C$389,2,0)</f>
        <v>02571</v>
      </c>
      <c r="C331" s="1001" t="s">
        <v>220</v>
      </c>
      <c r="D331" s="1002" t="s">
        <v>15</v>
      </c>
      <c r="E331" s="960">
        <f t="shared" si="71"/>
        <v>24</v>
      </c>
      <c r="F331" s="960"/>
      <c r="G331" s="960"/>
      <c r="H331" s="1110"/>
      <c r="I331" s="960"/>
      <c r="J331" s="960"/>
      <c r="K331" s="960"/>
      <c r="L331" s="960"/>
      <c r="M331" s="960"/>
      <c r="N331" s="960"/>
      <c r="O331" s="960"/>
      <c r="P331" s="960"/>
      <c r="Q331" s="960"/>
      <c r="R331" s="960"/>
      <c r="S331" s="975">
        <f t="shared" si="72"/>
        <v>24</v>
      </c>
      <c r="T331" s="975" t="e">
        <f>VLOOKUP(C331,'sản lượng'!$D$12:$AK$89,36,0)</f>
        <v>#N/A</v>
      </c>
      <c r="U331" s="975"/>
      <c r="V331" s="975"/>
      <c r="W331" s="975" t="e">
        <f>VLOOKUP(C331,'sản lượng'!$D$12:$AK$89,36,0)</f>
        <v>#N/A</v>
      </c>
      <c r="X331" s="975"/>
      <c r="Y331" s="975"/>
      <c r="Z331" s="975" t="e">
        <f t="shared" si="73"/>
        <v>#N/A</v>
      </c>
      <c r="AA331" s="975" t="e">
        <f>VLOOKUP(C331,'CHẤM CÔNG '!$D$12:$AL$89,33,0)</f>
        <v>#N/A</v>
      </c>
      <c r="AB331" s="975" t="e">
        <f>VLOOKUP(C331,'CHẤM CÔNG '!$D$12:$AL$89,34,0)</f>
        <v>#N/A</v>
      </c>
      <c r="AC331" s="975"/>
      <c r="AD331" s="975"/>
      <c r="AE331" s="975"/>
      <c r="AF331" s="975"/>
      <c r="AG331" s="975"/>
      <c r="AH331" s="975"/>
      <c r="AI331" s="975"/>
      <c r="AJ331" s="975"/>
      <c r="AK331" s="981"/>
      <c r="AL331" s="982" t="e">
        <f>VLOOKUP(C331,'sản lượng'!$D$12:$AM$89,38,0)</f>
        <v>#N/A</v>
      </c>
      <c r="AP331" s="944">
        <f t="shared" si="74"/>
        <v>2</v>
      </c>
      <c r="AR331" s="944">
        <v>1</v>
      </c>
    </row>
    <row r="332" spans="1:44" ht="15.75">
      <c r="A332" s="996">
        <v>16</v>
      </c>
      <c r="B332" s="1640" t="str">
        <f>VLOOKUP(C332,'DS CN MOI UP'!$B$10:$C$389,2,0)</f>
        <v>02570</v>
      </c>
      <c r="C332" s="1001" t="s">
        <v>221</v>
      </c>
      <c r="D332" s="1002" t="s">
        <v>15</v>
      </c>
      <c r="E332" s="960">
        <f t="shared" si="71"/>
        <v>24</v>
      </c>
      <c r="F332" s="960"/>
      <c r="G332" s="960"/>
      <c r="H332" s="1110"/>
      <c r="I332" s="960"/>
      <c r="J332" s="960"/>
      <c r="K332" s="960"/>
      <c r="L332" s="960"/>
      <c r="M332" s="960"/>
      <c r="N332" s="960"/>
      <c r="O332" s="960"/>
      <c r="P332" s="960"/>
      <c r="Q332" s="960"/>
      <c r="R332" s="960"/>
      <c r="S332" s="975">
        <f t="shared" si="72"/>
        <v>24</v>
      </c>
      <c r="T332" s="975" t="e">
        <f>VLOOKUP(C332,'sản lượng'!$D$12:$AK$89,36,0)</f>
        <v>#N/A</v>
      </c>
      <c r="U332" s="975"/>
      <c r="V332" s="975"/>
      <c r="W332" s="975" t="e">
        <f>VLOOKUP(C332,'sản lượng'!$D$12:$AK$89,36,0)</f>
        <v>#N/A</v>
      </c>
      <c r="X332" s="975"/>
      <c r="Y332" s="975"/>
      <c r="Z332" s="975" t="e">
        <f t="shared" si="73"/>
        <v>#N/A</v>
      </c>
      <c r="AA332" s="975" t="e">
        <f>VLOOKUP(C332,'CHẤM CÔNG '!$D$12:$AL$89,33,0)</f>
        <v>#N/A</v>
      </c>
      <c r="AB332" s="975" t="e">
        <f>VLOOKUP(C332,'CHẤM CÔNG '!$D$12:$AL$89,34,0)</f>
        <v>#N/A</v>
      </c>
      <c r="AC332" s="975"/>
      <c r="AD332" s="975"/>
      <c r="AE332" s="975"/>
      <c r="AF332" s="975"/>
      <c r="AG332" s="975"/>
      <c r="AH332" s="975"/>
      <c r="AI332" s="975"/>
      <c r="AJ332" s="975"/>
      <c r="AK332" s="981"/>
      <c r="AL332" s="982" t="e">
        <f>VLOOKUP(C332,'sản lượng'!$D$12:$AM$89,38,0)</f>
        <v>#N/A</v>
      </c>
      <c r="AP332" s="944">
        <f t="shared" si="74"/>
        <v>2</v>
      </c>
      <c r="AR332" s="944">
        <v>1</v>
      </c>
    </row>
    <row r="333" spans="1:44" ht="15.75">
      <c r="A333" s="996">
        <v>17</v>
      </c>
      <c r="B333" s="1640" t="str">
        <f>VLOOKUP(C333,'DS CN MOI UP'!$B$10:$C$389,2,0)</f>
        <v>02573</v>
      </c>
      <c r="C333" s="1001" t="s">
        <v>222</v>
      </c>
      <c r="D333" s="1002" t="s">
        <v>15</v>
      </c>
      <c r="E333" s="960">
        <f t="shared" si="71"/>
        <v>24</v>
      </c>
      <c r="F333" s="960"/>
      <c r="G333" s="960"/>
      <c r="H333" s="1110"/>
      <c r="I333" s="960"/>
      <c r="J333" s="960"/>
      <c r="K333" s="960"/>
      <c r="L333" s="960"/>
      <c r="M333" s="960"/>
      <c r="N333" s="960"/>
      <c r="O333" s="960"/>
      <c r="P333" s="960"/>
      <c r="Q333" s="960"/>
      <c r="R333" s="960"/>
      <c r="S333" s="975">
        <f t="shared" si="72"/>
        <v>24</v>
      </c>
      <c r="T333" s="975" t="e">
        <f>VLOOKUP(C333,'sản lượng'!$D$12:$AK$89,36,0)</f>
        <v>#N/A</v>
      </c>
      <c r="U333" s="975"/>
      <c r="V333" s="975"/>
      <c r="W333" s="975" t="e">
        <f>VLOOKUP(C333,'sản lượng'!$D$12:$AK$89,36,0)</f>
        <v>#N/A</v>
      </c>
      <c r="X333" s="975"/>
      <c r="Y333" s="975"/>
      <c r="Z333" s="975" t="e">
        <f t="shared" si="73"/>
        <v>#N/A</v>
      </c>
      <c r="AA333" s="975" t="e">
        <f>VLOOKUP(C333,'CHẤM CÔNG '!$D$12:$AL$89,33,0)</f>
        <v>#N/A</v>
      </c>
      <c r="AB333" s="975" t="e">
        <f>VLOOKUP(C333,'CHẤM CÔNG '!$D$12:$AL$89,34,0)</f>
        <v>#N/A</v>
      </c>
      <c r="AC333" s="975"/>
      <c r="AD333" s="975"/>
      <c r="AE333" s="975"/>
      <c r="AF333" s="975"/>
      <c r="AG333" s="975"/>
      <c r="AH333" s="975"/>
      <c r="AI333" s="975"/>
      <c r="AJ333" s="975"/>
      <c r="AK333" s="981"/>
      <c r="AL333" s="982" t="e">
        <f>VLOOKUP(C333,'sản lượng'!$D$12:$AM$89,38,0)</f>
        <v>#N/A</v>
      </c>
      <c r="AP333" s="944">
        <f t="shared" si="74"/>
        <v>2</v>
      </c>
      <c r="AR333" s="944">
        <v>1</v>
      </c>
    </row>
    <row r="334" spans="1:44" ht="15.75">
      <c r="A334" s="996">
        <v>18</v>
      </c>
      <c r="B334" s="1640" t="str">
        <f>VLOOKUP(C334,'DS CN MOI UP'!$B$10:$C$389,2,0)</f>
        <v>02695</v>
      </c>
      <c r="C334" s="1001" t="s">
        <v>223</v>
      </c>
      <c r="D334" s="1002" t="s">
        <v>15</v>
      </c>
      <c r="E334" s="960">
        <f t="shared" si="71"/>
        <v>24</v>
      </c>
      <c r="F334" s="960"/>
      <c r="G334" s="960"/>
      <c r="H334" s="1110"/>
      <c r="I334" s="960"/>
      <c r="J334" s="960"/>
      <c r="K334" s="960"/>
      <c r="L334" s="960"/>
      <c r="M334" s="960"/>
      <c r="N334" s="960"/>
      <c r="O334" s="960"/>
      <c r="P334" s="960"/>
      <c r="Q334" s="960"/>
      <c r="R334" s="960"/>
      <c r="S334" s="975">
        <f t="shared" si="72"/>
        <v>24</v>
      </c>
      <c r="T334" s="975" t="e">
        <f>VLOOKUP(C334,'sản lượng'!$D$12:$AK$89,36,0)</f>
        <v>#N/A</v>
      </c>
      <c r="U334" s="975"/>
      <c r="V334" s="975"/>
      <c r="W334" s="975" t="e">
        <f>VLOOKUP(C334,'sản lượng'!$D$12:$AK$89,36,0)</f>
        <v>#N/A</v>
      </c>
      <c r="X334" s="975"/>
      <c r="Y334" s="975"/>
      <c r="Z334" s="975" t="e">
        <f t="shared" si="73"/>
        <v>#N/A</v>
      </c>
      <c r="AA334" s="975" t="e">
        <f>VLOOKUP(C334,'CHẤM CÔNG '!$D$12:$AL$89,33,0)</f>
        <v>#N/A</v>
      </c>
      <c r="AB334" s="975" t="e">
        <f>VLOOKUP(C334,'CHẤM CÔNG '!$D$12:$AL$89,34,0)</f>
        <v>#N/A</v>
      </c>
      <c r="AC334" s="975"/>
      <c r="AD334" s="975"/>
      <c r="AE334" s="975"/>
      <c r="AF334" s="975"/>
      <c r="AG334" s="975"/>
      <c r="AH334" s="975"/>
      <c r="AI334" s="975"/>
      <c r="AJ334" s="975"/>
      <c r="AK334" s="981"/>
      <c r="AL334" s="982" t="e">
        <f>VLOOKUP(C334,'sản lượng'!$D$12:$AM$89,38,0)</f>
        <v>#N/A</v>
      </c>
      <c r="AP334" s="944">
        <f t="shared" si="74"/>
        <v>2</v>
      </c>
      <c r="AR334" s="944">
        <v>1</v>
      </c>
    </row>
    <row r="335" spans="1:44" ht="15.75">
      <c r="A335" s="996">
        <v>19</v>
      </c>
      <c r="B335" s="1640" t="str">
        <f>VLOOKUP(C335,'DS CN MOI UP'!$B$10:$C$389,2,0)</f>
        <v>02599</v>
      </c>
      <c r="C335" s="1001" t="s">
        <v>224</v>
      </c>
      <c r="D335" s="1002" t="s">
        <v>15</v>
      </c>
      <c r="E335" s="960">
        <f t="shared" si="71"/>
        <v>24</v>
      </c>
      <c r="F335" s="960"/>
      <c r="G335" s="960"/>
      <c r="H335" s="1110"/>
      <c r="I335" s="960"/>
      <c r="J335" s="960"/>
      <c r="K335" s="960"/>
      <c r="L335" s="960"/>
      <c r="M335" s="960"/>
      <c r="N335" s="960"/>
      <c r="O335" s="960"/>
      <c r="P335" s="960"/>
      <c r="Q335" s="960"/>
      <c r="R335" s="960"/>
      <c r="S335" s="975">
        <f t="shared" si="72"/>
        <v>24</v>
      </c>
      <c r="T335" s="975" t="e">
        <f>VLOOKUP(C335,'sản lượng'!$D$12:$AK$89,36,0)</f>
        <v>#N/A</v>
      </c>
      <c r="U335" s="975"/>
      <c r="V335" s="975"/>
      <c r="W335" s="975" t="e">
        <f>VLOOKUP(C335,'sản lượng'!$D$12:$AK$89,36,0)</f>
        <v>#N/A</v>
      </c>
      <c r="X335" s="975"/>
      <c r="Y335" s="975"/>
      <c r="Z335" s="975" t="e">
        <f t="shared" si="73"/>
        <v>#N/A</v>
      </c>
      <c r="AA335" s="975" t="e">
        <f>VLOOKUP(C335,'CHẤM CÔNG '!$D$12:$AL$89,33,0)</f>
        <v>#N/A</v>
      </c>
      <c r="AB335" s="975" t="e">
        <f>VLOOKUP(C335,'CHẤM CÔNG '!$D$12:$AL$89,34,0)</f>
        <v>#N/A</v>
      </c>
      <c r="AC335" s="975"/>
      <c r="AD335" s="975"/>
      <c r="AE335" s="975"/>
      <c r="AF335" s="975"/>
      <c r="AG335" s="975"/>
      <c r="AH335" s="975"/>
      <c r="AI335" s="975"/>
      <c r="AJ335" s="975"/>
      <c r="AK335" s="981"/>
      <c r="AL335" s="982" t="e">
        <f>VLOOKUP(C335,'sản lượng'!$D$12:$AM$89,38,0)</f>
        <v>#N/A</v>
      </c>
      <c r="AP335" s="944">
        <f t="shared" si="74"/>
        <v>2</v>
      </c>
      <c r="AR335" s="944">
        <v>1</v>
      </c>
    </row>
    <row r="336" spans="1:44" ht="15.75">
      <c r="A336" s="996">
        <v>20</v>
      </c>
      <c r="B336" s="1640" t="str">
        <f>VLOOKUP(C336,'DS CN MOI UP'!$B$10:$C$389,2,0)</f>
        <v>03383</v>
      </c>
      <c r="C336" s="1001" t="s">
        <v>225</v>
      </c>
      <c r="D336" s="1002" t="s">
        <v>15</v>
      </c>
      <c r="E336" s="960">
        <f t="shared" si="71"/>
        <v>24</v>
      </c>
      <c r="F336" s="960"/>
      <c r="G336" s="960"/>
      <c r="H336" s="1110"/>
      <c r="I336" s="960"/>
      <c r="J336" s="960"/>
      <c r="K336" s="960"/>
      <c r="L336" s="960"/>
      <c r="M336" s="960"/>
      <c r="N336" s="960"/>
      <c r="O336" s="960"/>
      <c r="P336" s="960"/>
      <c r="Q336" s="960"/>
      <c r="R336" s="960"/>
      <c r="S336" s="975">
        <f t="shared" si="72"/>
        <v>24</v>
      </c>
      <c r="T336" s="975" t="e">
        <f>VLOOKUP(C336,'sản lượng'!$D$12:$AK$89,36,0)</f>
        <v>#N/A</v>
      </c>
      <c r="U336" s="975"/>
      <c r="V336" s="975"/>
      <c r="W336" s="975" t="e">
        <f>VLOOKUP(C336,'sản lượng'!$D$12:$AK$89,36,0)</f>
        <v>#N/A</v>
      </c>
      <c r="X336" s="975"/>
      <c r="Y336" s="975"/>
      <c r="Z336" s="975" t="e">
        <f t="shared" si="73"/>
        <v>#N/A</v>
      </c>
      <c r="AA336" s="975" t="e">
        <f>VLOOKUP(C336,'CHẤM CÔNG '!$D$12:$AL$89,33,0)</f>
        <v>#N/A</v>
      </c>
      <c r="AB336" s="975" t="e">
        <f>VLOOKUP(C336,'CHẤM CÔNG '!$D$12:$AL$89,34,0)</f>
        <v>#N/A</v>
      </c>
      <c r="AC336" s="975"/>
      <c r="AD336" s="975"/>
      <c r="AE336" s="975"/>
      <c r="AF336" s="975"/>
      <c r="AG336" s="975"/>
      <c r="AH336" s="975"/>
      <c r="AI336" s="975"/>
      <c r="AJ336" s="975"/>
      <c r="AK336" s="981"/>
      <c r="AL336" s="982" t="e">
        <f>VLOOKUP(C336,'sản lượng'!$D$12:$AM$89,38,0)</f>
        <v>#N/A</v>
      </c>
      <c r="AP336" s="944">
        <f t="shared" si="74"/>
        <v>2</v>
      </c>
      <c r="AR336" s="944">
        <v>1</v>
      </c>
    </row>
    <row r="337" spans="1:44" ht="15.75">
      <c r="A337" s="996">
        <v>21</v>
      </c>
      <c r="B337" s="1640" t="str">
        <f>VLOOKUP(C337,'DS CN MOI UP'!$B$10:$C$389,2,0)</f>
        <v>03384</v>
      </c>
      <c r="C337" s="1001" t="s">
        <v>226</v>
      </c>
      <c r="D337" s="1002" t="s">
        <v>15</v>
      </c>
      <c r="E337" s="960">
        <f t="shared" si="71"/>
        <v>24</v>
      </c>
      <c r="F337" s="960"/>
      <c r="G337" s="960"/>
      <c r="H337" s="1110"/>
      <c r="I337" s="960"/>
      <c r="J337" s="960"/>
      <c r="K337" s="960"/>
      <c r="L337" s="960"/>
      <c r="M337" s="960"/>
      <c r="N337" s="960"/>
      <c r="O337" s="960"/>
      <c r="P337" s="960"/>
      <c r="Q337" s="960"/>
      <c r="R337" s="960"/>
      <c r="S337" s="975">
        <f t="shared" si="72"/>
        <v>24</v>
      </c>
      <c r="T337" s="975" t="e">
        <f>VLOOKUP(C337,'sản lượng'!$D$12:$AK$89,36,0)</f>
        <v>#N/A</v>
      </c>
      <c r="U337" s="975"/>
      <c r="V337" s="975"/>
      <c r="W337" s="975" t="e">
        <f>VLOOKUP(C337,'sản lượng'!$D$12:$AK$89,36,0)</f>
        <v>#N/A</v>
      </c>
      <c r="X337" s="975"/>
      <c r="Y337" s="975"/>
      <c r="Z337" s="975" t="e">
        <f t="shared" si="73"/>
        <v>#N/A</v>
      </c>
      <c r="AA337" s="975" t="e">
        <f>VLOOKUP(C337,'CHẤM CÔNG '!$D$12:$AL$89,33,0)</f>
        <v>#N/A</v>
      </c>
      <c r="AB337" s="975" t="e">
        <f>VLOOKUP(C337,'CHẤM CÔNG '!$D$12:$AL$89,34,0)</f>
        <v>#N/A</v>
      </c>
      <c r="AC337" s="975"/>
      <c r="AD337" s="975"/>
      <c r="AE337" s="975"/>
      <c r="AF337" s="975"/>
      <c r="AG337" s="975"/>
      <c r="AH337" s="975"/>
      <c r="AI337" s="975"/>
      <c r="AJ337" s="975"/>
      <c r="AK337" s="981"/>
      <c r="AL337" s="982" t="e">
        <f>VLOOKUP(C337,'sản lượng'!$D$12:$AM$89,38,0)</f>
        <v>#N/A</v>
      </c>
      <c r="AP337" s="944">
        <f t="shared" si="74"/>
        <v>2</v>
      </c>
      <c r="AR337" s="944">
        <v>1</v>
      </c>
    </row>
    <row r="338" spans="1:44" ht="15.75">
      <c r="A338" s="996">
        <v>22</v>
      </c>
      <c r="B338" s="1640" t="str">
        <f>VLOOKUP(C338,'DS CN MOI UP'!$B$10:$C$389,2,0)</f>
        <v>02608</v>
      </c>
      <c r="C338" s="1001" t="s">
        <v>227</v>
      </c>
      <c r="D338" s="1002" t="s">
        <v>15</v>
      </c>
      <c r="E338" s="960">
        <f t="shared" si="71"/>
        <v>24</v>
      </c>
      <c r="F338" s="960"/>
      <c r="G338" s="960"/>
      <c r="H338" s="1110"/>
      <c r="I338" s="960"/>
      <c r="J338" s="960"/>
      <c r="K338" s="960"/>
      <c r="L338" s="960"/>
      <c r="M338" s="960"/>
      <c r="N338" s="960"/>
      <c r="O338" s="960"/>
      <c r="P338" s="960"/>
      <c r="Q338" s="960"/>
      <c r="R338" s="960"/>
      <c r="S338" s="975">
        <f t="shared" si="72"/>
        <v>24</v>
      </c>
      <c r="T338" s="975" t="e">
        <f>VLOOKUP(C338,'sản lượng'!$D$12:$AK$89,36,0)</f>
        <v>#N/A</v>
      </c>
      <c r="U338" s="975"/>
      <c r="V338" s="975"/>
      <c r="W338" s="975" t="e">
        <f>VLOOKUP(C338,'sản lượng'!$D$12:$AK$89,36,0)</f>
        <v>#N/A</v>
      </c>
      <c r="X338" s="975"/>
      <c r="Y338" s="975"/>
      <c r="Z338" s="975" t="e">
        <f t="shared" si="73"/>
        <v>#N/A</v>
      </c>
      <c r="AA338" s="975" t="e">
        <f>VLOOKUP(C338,'CHẤM CÔNG '!$D$12:$AL$89,33,0)</f>
        <v>#N/A</v>
      </c>
      <c r="AB338" s="975" t="e">
        <f>VLOOKUP(C338,'CHẤM CÔNG '!$D$12:$AL$89,34,0)</f>
        <v>#N/A</v>
      </c>
      <c r="AC338" s="975"/>
      <c r="AD338" s="975"/>
      <c r="AE338" s="975"/>
      <c r="AF338" s="975"/>
      <c r="AG338" s="975"/>
      <c r="AH338" s="975"/>
      <c r="AI338" s="975"/>
      <c r="AJ338" s="975"/>
      <c r="AK338" s="981"/>
      <c r="AL338" s="982" t="e">
        <f>VLOOKUP(C338,'sản lượng'!$D$12:$AM$89,38,0)</f>
        <v>#N/A</v>
      </c>
      <c r="AP338" s="944">
        <f t="shared" si="74"/>
        <v>2</v>
      </c>
      <c r="AR338" s="944">
        <v>1</v>
      </c>
    </row>
    <row r="339" spans="1:44" ht="15.75">
      <c r="A339" s="996">
        <v>23</v>
      </c>
      <c r="B339" s="1640" t="str">
        <f>VLOOKUP(C339,'DS CN MOI UP'!$B$10:$C$389,2,0)</f>
        <v>02603</v>
      </c>
      <c r="C339" s="1001" t="s">
        <v>228</v>
      </c>
      <c r="D339" s="1002" t="s">
        <v>15</v>
      </c>
      <c r="E339" s="960">
        <f t="shared" si="71"/>
        <v>24</v>
      </c>
      <c r="F339" s="960"/>
      <c r="G339" s="960"/>
      <c r="H339" s="1110"/>
      <c r="I339" s="960"/>
      <c r="J339" s="960"/>
      <c r="K339" s="960"/>
      <c r="L339" s="960"/>
      <c r="M339" s="960"/>
      <c r="N339" s="960"/>
      <c r="O339" s="960"/>
      <c r="P339" s="960"/>
      <c r="Q339" s="960"/>
      <c r="R339" s="960"/>
      <c r="S339" s="975">
        <f t="shared" si="72"/>
        <v>24</v>
      </c>
      <c r="T339" s="975" t="e">
        <f>VLOOKUP(C339,'sản lượng'!$D$12:$AK$89,36,0)</f>
        <v>#N/A</v>
      </c>
      <c r="U339" s="975"/>
      <c r="V339" s="975"/>
      <c r="W339" s="975" t="e">
        <f>VLOOKUP(C339,'sản lượng'!$D$12:$AK$89,36,0)</f>
        <v>#N/A</v>
      </c>
      <c r="X339" s="975"/>
      <c r="Y339" s="975"/>
      <c r="Z339" s="975" t="e">
        <f t="shared" si="73"/>
        <v>#N/A</v>
      </c>
      <c r="AA339" s="975" t="e">
        <f>VLOOKUP(C339,'CHẤM CÔNG '!$D$12:$AL$89,33,0)</f>
        <v>#N/A</v>
      </c>
      <c r="AB339" s="975" t="e">
        <f>VLOOKUP(C339,'CHẤM CÔNG '!$D$12:$AL$89,34,0)</f>
        <v>#N/A</v>
      </c>
      <c r="AC339" s="975"/>
      <c r="AD339" s="975"/>
      <c r="AE339" s="975"/>
      <c r="AF339" s="975"/>
      <c r="AG339" s="975"/>
      <c r="AH339" s="975"/>
      <c r="AI339" s="975"/>
      <c r="AJ339" s="975"/>
      <c r="AK339" s="981"/>
      <c r="AL339" s="982" t="e">
        <f>VLOOKUP(C339,'sản lượng'!$D$12:$AM$89,38,0)</f>
        <v>#N/A</v>
      </c>
      <c r="AP339" s="944">
        <f t="shared" si="74"/>
        <v>2</v>
      </c>
      <c r="AR339" s="944">
        <v>1</v>
      </c>
    </row>
    <row r="340" spans="1:44" ht="15.75">
      <c r="A340" s="996">
        <v>24</v>
      </c>
      <c r="B340" s="1640" t="str">
        <f>VLOOKUP(C340,'DS CN MOI UP'!$B$10:$C$389,2,0)</f>
        <v>03385</v>
      </c>
      <c r="C340" s="1001" t="s">
        <v>229</v>
      </c>
      <c r="D340" s="1002" t="s">
        <v>15</v>
      </c>
      <c r="E340" s="960">
        <f t="shared" si="71"/>
        <v>24</v>
      </c>
      <c r="F340" s="960"/>
      <c r="G340" s="960"/>
      <c r="H340" s="1110"/>
      <c r="I340" s="960"/>
      <c r="J340" s="960"/>
      <c r="K340" s="960"/>
      <c r="L340" s="960"/>
      <c r="M340" s="960"/>
      <c r="N340" s="960"/>
      <c r="O340" s="960"/>
      <c r="P340" s="960"/>
      <c r="Q340" s="960"/>
      <c r="R340" s="960"/>
      <c r="S340" s="975">
        <f t="shared" si="72"/>
        <v>24</v>
      </c>
      <c r="T340" s="975" t="e">
        <f>VLOOKUP(C340,'sản lượng'!$D$12:$AK$89,36,0)</f>
        <v>#N/A</v>
      </c>
      <c r="U340" s="975"/>
      <c r="V340" s="975"/>
      <c r="W340" s="975" t="e">
        <f>VLOOKUP(C340,'sản lượng'!$D$12:$AK$89,36,0)</f>
        <v>#N/A</v>
      </c>
      <c r="X340" s="975"/>
      <c r="Y340" s="975"/>
      <c r="Z340" s="975" t="e">
        <f t="shared" si="73"/>
        <v>#N/A</v>
      </c>
      <c r="AA340" s="975" t="e">
        <f>VLOOKUP(C340,'CHẤM CÔNG '!$D$12:$AL$89,33,0)</f>
        <v>#N/A</v>
      </c>
      <c r="AB340" s="975" t="e">
        <f>VLOOKUP(C340,'CHẤM CÔNG '!$D$12:$AL$89,34,0)</f>
        <v>#N/A</v>
      </c>
      <c r="AC340" s="975"/>
      <c r="AD340" s="975"/>
      <c r="AE340" s="975"/>
      <c r="AF340" s="975"/>
      <c r="AG340" s="975"/>
      <c r="AH340" s="975"/>
      <c r="AI340" s="975"/>
      <c r="AJ340" s="975"/>
      <c r="AK340" s="981"/>
      <c r="AL340" s="982" t="e">
        <f>VLOOKUP(C340,'sản lượng'!$D$12:$AM$89,38,0)</f>
        <v>#N/A</v>
      </c>
      <c r="AP340" s="944">
        <f t="shared" si="74"/>
        <v>2</v>
      </c>
      <c r="AR340" s="944">
        <v>1</v>
      </c>
    </row>
    <row r="341" spans="1:44" ht="15.75">
      <c r="A341" s="996">
        <v>25</v>
      </c>
      <c r="B341" s="1640" t="str">
        <f>VLOOKUP(C341,'DS CN MOI UP'!$B$10:$C$389,2,0)</f>
        <v>02586</v>
      </c>
      <c r="C341" s="1001" t="s">
        <v>230</v>
      </c>
      <c r="D341" s="1002" t="s">
        <v>15</v>
      </c>
      <c r="E341" s="960">
        <f t="shared" si="71"/>
        <v>24</v>
      </c>
      <c r="F341" s="960"/>
      <c r="G341" s="960"/>
      <c r="H341" s="1110"/>
      <c r="I341" s="960"/>
      <c r="J341" s="960"/>
      <c r="K341" s="960"/>
      <c r="L341" s="960"/>
      <c r="M341" s="960"/>
      <c r="N341" s="960"/>
      <c r="O341" s="960"/>
      <c r="P341" s="960"/>
      <c r="Q341" s="960"/>
      <c r="R341" s="960"/>
      <c r="S341" s="975">
        <f t="shared" si="72"/>
        <v>24</v>
      </c>
      <c r="T341" s="975" t="e">
        <f>VLOOKUP(C341,'sản lượng'!$D$12:$AK$89,36,0)</f>
        <v>#N/A</v>
      </c>
      <c r="U341" s="975"/>
      <c r="V341" s="975"/>
      <c r="W341" s="975" t="e">
        <f>VLOOKUP(C341,'sản lượng'!$D$12:$AK$89,36,0)</f>
        <v>#N/A</v>
      </c>
      <c r="X341" s="975"/>
      <c r="Y341" s="975"/>
      <c r="Z341" s="975" t="e">
        <f t="shared" si="73"/>
        <v>#N/A</v>
      </c>
      <c r="AA341" s="975" t="e">
        <f>VLOOKUP(C341,'CHẤM CÔNG '!$D$12:$AL$89,33,0)</f>
        <v>#N/A</v>
      </c>
      <c r="AB341" s="975" t="e">
        <f>VLOOKUP(C341,'CHẤM CÔNG '!$D$12:$AL$89,34,0)</f>
        <v>#N/A</v>
      </c>
      <c r="AC341" s="975"/>
      <c r="AD341" s="975"/>
      <c r="AE341" s="975"/>
      <c r="AF341" s="975"/>
      <c r="AG341" s="975"/>
      <c r="AH341" s="975"/>
      <c r="AI341" s="975"/>
      <c r="AJ341" s="975"/>
      <c r="AK341" s="981"/>
      <c r="AL341" s="982" t="e">
        <f>VLOOKUP(C341,'sản lượng'!$D$12:$AM$89,38,0)</f>
        <v>#N/A</v>
      </c>
      <c r="AP341" s="944">
        <f t="shared" si="74"/>
        <v>2</v>
      </c>
      <c r="AR341" s="944">
        <v>1</v>
      </c>
    </row>
    <row r="342" spans="1:44" ht="15.75">
      <c r="A342" s="996">
        <v>26</v>
      </c>
      <c r="B342" s="1640" t="str">
        <f>VLOOKUP(C342,'DS CN MOI UP'!$B$10:$C$389,2,0)</f>
        <v>02614</v>
      </c>
      <c r="C342" s="1001" t="s">
        <v>231</v>
      </c>
      <c r="D342" s="1002" t="s">
        <v>15</v>
      </c>
      <c r="E342" s="960">
        <f t="shared" si="71"/>
        <v>24</v>
      </c>
      <c r="F342" s="960"/>
      <c r="G342" s="960"/>
      <c r="H342" s="1110"/>
      <c r="I342" s="960"/>
      <c r="J342" s="960"/>
      <c r="K342" s="960"/>
      <c r="L342" s="960"/>
      <c r="M342" s="960"/>
      <c r="N342" s="960"/>
      <c r="O342" s="960"/>
      <c r="P342" s="960"/>
      <c r="Q342" s="960"/>
      <c r="R342" s="960"/>
      <c r="S342" s="975">
        <f t="shared" si="72"/>
        <v>24</v>
      </c>
      <c r="T342" s="975" t="e">
        <f>VLOOKUP(C342,'sản lượng'!$D$12:$AK$89,36,0)</f>
        <v>#N/A</v>
      </c>
      <c r="U342" s="975"/>
      <c r="V342" s="975"/>
      <c r="W342" s="975" t="e">
        <f>VLOOKUP(C342,'sản lượng'!$D$12:$AK$89,36,0)</f>
        <v>#N/A</v>
      </c>
      <c r="X342" s="975"/>
      <c r="Y342" s="975"/>
      <c r="Z342" s="975" t="e">
        <f t="shared" si="73"/>
        <v>#N/A</v>
      </c>
      <c r="AA342" s="975" t="e">
        <f>VLOOKUP(C342,'CHẤM CÔNG '!$D$12:$AL$89,33,0)</f>
        <v>#N/A</v>
      </c>
      <c r="AB342" s="975" t="e">
        <f>VLOOKUP(C342,'CHẤM CÔNG '!$D$12:$AL$89,34,0)</f>
        <v>#N/A</v>
      </c>
      <c r="AC342" s="975"/>
      <c r="AD342" s="975"/>
      <c r="AE342" s="975"/>
      <c r="AF342" s="975"/>
      <c r="AG342" s="975"/>
      <c r="AH342" s="975"/>
      <c r="AI342" s="975"/>
      <c r="AJ342" s="975"/>
      <c r="AK342" s="981"/>
      <c r="AL342" s="982" t="e">
        <f>VLOOKUP(C342,'sản lượng'!$D$12:$AM$89,38,0)</f>
        <v>#N/A</v>
      </c>
      <c r="AP342" s="944">
        <f t="shared" si="74"/>
        <v>2</v>
      </c>
      <c r="AR342" s="944">
        <v>1</v>
      </c>
    </row>
    <row r="343" spans="1:44" ht="15.75">
      <c r="A343" s="996">
        <v>27</v>
      </c>
      <c r="B343" s="1640" t="str">
        <f>VLOOKUP(C343,'DS CN MOI UP'!$B$10:$C$389,2,0)</f>
        <v>02581</v>
      </c>
      <c r="C343" s="1001" t="s">
        <v>232</v>
      </c>
      <c r="D343" s="1002" t="s">
        <v>15</v>
      </c>
      <c r="E343" s="960">
        <f t="shared" si="71"/>
        <v>24</v>
      </c>
      <c r="F343" s="960"/>
      <c r="G343" s="960"/>
      <c r="H343" s="1110"/>
      <c r="I343" s="960"/>
      <c r="J343" s="960"/>
      <c r="K343" s="960"/>
      <c r="L343" s="960"/>
      <c r="M343" s="960"/>
      <c r="N343" s="960"/>
      <c r="O343" s="960"/>
      <c r="P343" s="960"/>
      <c r="Q343" s="960"/>
      <c r="R343" s="960"/>
      <c r="S343" s="975">
        <f t="shared" si="72"/>
        <v>24</v>
      </c>
      <c r="T343" s="975" t="e">
        <f>VLOOKUP(C343,'sản lượng'!$D$12:$AK$89,36,0)</f>
        <v>#N/A</v>
      </c>
      <c r="U343" s="975"/>
      <c r="V343" s="975"/>
      <c r="W343" s="975" t="e">
        <f>VLOOKUP(C343,'sản lượng'!$D$12:$AK$89,36,0)</f>
        <v>#N/A</v>
      </c>
      <c r="X343" s="975"/>
      <c r="Y343" s="975"/>
      <c r="Z343" s="975" t="e">
        <f t="shared" si="73"/>
        <v>#N/A</v>
      </c>
      <c r="AA343" s="975" t="e">
        <f>VLOOKUP(C343,'CHẤM CÔNG '!$D$12:$AL$89,33,0)</f>
        <v>#N/A</v>
      </c>
      <c r="AB343" s="975" t="e">
        <f>VLOOKUP(C343,'CHẤM CÔNG '!$D$12:$AL$89,34,0)</f>
        <v>#N/A</v>
      </c>
      <c r="AC343" s="975"/>
      <c r="AD343" s="975"/>
      <c r="AE343" s="975"/>
      <c r="AF343" s="975"/>
      <c r="AG343" s="975"/>
      <c r="AH343" s="975"/>
      <c r="AI343" s="975"/>
      <c r="AJ343" s="975"/>
      <c r="AK343" s="981"/>
      <c r="AL343" s="982" t="e">
        <f>VLOOKUP(C343,'sản lượng'!$D$12:$AM$89,38,0)</f>
        <v>#N/A</v>
      </c>
      <c r="AP343" s="944">
        <f t="shared" si="74"/>
        <v>2</v>
      </c>
      <c r="AR343" s="944">
        <v>1</v>
      </c>
    </row>
    <row r="344" spans="1:44" ht="15.75">
      <c r="A344" s="996">
        <v>28</v>
      </c>
      <c r="B344" s="1640" t="str">
        <f>VLOOKUP(C344,'DS CN MOI UP'!$B$10:$C$389,2,0)</f>
        <v>02613</v>
      </c>
      <c r="C344" s="1001" t="s">
        <v>233</v>
      </c>
      <c r="D344" s="1002" t="s">
        <v>15</v>
      </c>
      <c r="E344" s="960">
        <f t="shared" si="71"/>
        <v>24</v>
      </c>
      <c r="F344" s="960"/>
      <c r="G344" s="960"/>
      <c r="H344" s="1110"/>
      <c r="I344" s="960"/>
      <c r="J344" s="960"/>
      <c r="K344" s="960"/>
      <c r="L344" s="960"/>
      <c r="M344" s="960"/>
      <c r="N344" s="960"/>
      <c r="O344" s="960"/>
      <c r="P344" s="960"/>
      <c r="Q344" s="960"/>
      <c r="R344" s="960"/>
      <c r="S344" s="975">
        <f t="shared" si="72"/>
        <v>24</v>
      </c>
      <c r="T344" s="975" t="e">
        <f>VLOOKUP(C344,'sản lượng'!$D$12:$AK$89,36,0)</f>
        <v>#N/A</v>
      </c>
      <c r="U344" s="975"/>
      <c r="V344" s="975"/>
      <c r="W344" s="975" t="e">
        <f>VLOOKUP(C344,'sản lượng'!$D$12:$AK$89,36,0)</f>
        <v>#N/A</v>
      </c>
      <c r="X344" s="975"/>
      <c r="Y344" s="975"/>
      <c r="Z344" s="975" t="e">
        <f t="shared" si="73"/>
        <v>#N/A</v>
      </c>
      <c r="AA344" s="975" t="e">
        <f>VLOOKUP(C344,'CHẤM CÔNG '!$D$12:$AL$89,33,0)</f>
        <v>#N/A</v>
      </c>
      <c r="AB344" s="975" t="e">
        <f>VLOOKUP(C344,'CHẤM CÔNG '!$D$12:$AL$89,34,0)</f>
        <v>#N/A</v>
      </c>
      <c r="AC344" s="975"/>
      <c r="AD344" s="975"/>
      <c r="AE344" s="975"/>
      <c r="AF344" s="975"/>
      <c r="AG344" s="975"/>
      <c r="AH344" s="975"/>
      <c r="AI344" s="975"/>
      <c r="AJ344" s="975"/>
      <c r="AK344" s="981"/>
      <c r="AL344" s="982" t="e">
        <f>VLOOKUP(C344,'sản lượng'!$D$12:$AM$89,38,0)</f>
        <v>#N/A</v>
      </c>
      <c r="AP344" s="944">
        <f t="shared" si="74"/>
        <v>2</v>
      </c>
      <c r="AR344" s="944">
        <v>1</v>
      </c>
    </row>
    <row r="345" spans="1:44" ht="15.75">
      <c r="A345" s="996">
        <v>29</v>
      </c>
      <c r="B345" s="1640" t="str">
        <f>VLOOKUP(C345,'DS CN MOI UP'!$B$10:$C$389,2,0)</f>
        <v>03386</v>
      </c>
      <c r="C345" s="1001" t="s">
        <v>234</v>
      </c>
      <c r="D345" s="1002" t="s">
        <v>15</v>
      </c>
      <c r="E345" s="960">
        <f t="shared" si="71"/>
        <v>24</v>
      </c>
      <c r="F345" s="960"/>
      <c r="G345" s="960"/>
      <c r="H345" s="1110"/>
      <c r="I345" s="960"/>
      <c r="J345" s="960"/>
      <c r="K345" s="960"/>
      <c r="L345" s="960"/>
      <c r="M345" s="960"/>
      <c r="N345" s="960"/>
      <c r="O345" s="960"/>
      <c r="P345" s="960"/>
      <c r="Q345" s="960"/>
      <c r="R345" s="960"/>
      <c r="S345" s="975">
        <f t="shared" si="72"/>
        <v>24</v>
      </c>
      <c r="T345" s="975" t="e">
        <f>VLOOKUP(C345,'sản lượng'!$D$12:$AK$89,36,0)</f>
        <v>#N/A</v>
      </c>
      <c r="U345" s="975"/>
      <c r="V345" s="975"/>
      <c r="W345" s="975" t="e">
        <f>VLOOKUP(C345,'sản lượng'!$D$12:$AK$89,36,0)</f>
        <v>#N/A</v>
      </c>
      <c r="X345" s="975"/>
      <c r="Y345" s="975"/>
      <c r="Z345" s="975" t="e">
        <f t="shared" si="73"/>
        <v>#N/A</v>
      </c>
      <c r="AA345" s="975" t="e">
        <f>VLOOKUP(C345,'CHẤM CÔNG '!$D$12:$AL$89,33,0)</f>
        <v>#N/A</v>
      </c>
      <c r="AB345" s="975" t="e">
        <f>VLOOKUP(C345,'CHẤM CÔNG '!$D$12:$AL$89,34,0)</f>
        <v>#N/A</v>
      </c>
      <c r="AC345" s="975"/>
      <c r="AD345" s="975"/>
      <c r="AE345" s="975"/>
      <c r="AF345" s="975"/>
      <c r="AG345" s="975"/>
      <c r="AH345" s="975"/>
      <c r="AI345" s="975"/>
      <c r="AJ345" s="975"/>
      <c r="AK345" s="981"/>
      <c r="AL345" s="982" t="e">
        <f>VLOOKUP(C345,'sản lượng'!$D$12:$AM$89,38,0)</f>
        <v>#N/A</v>
      </c>
      <c r="AP345" s="944">
        <f t="shared" si="74"/>
        <v>2</v>
      </c>
      <c r="AR345" s="944">
        <v>1</v>
      </c>
    </row>
    <row r="346" spans="1:44" ht="15.75">
      <c r="A346" s="996">
        <v>30</v>
      </c>
      <c r="B346" s="1640" t="str">
        <f>VLOOKUP(C346,'DS CN MOI UP'!$B$10:$C$389,2,0)</f>
        <v>03387</v>
      </c>
      <c r="C346" s="1001" t="s">
        <v>235</v>
      </c>
      <c r="D346" s="1002" t="s">
        <v>15</v>
      </c>
      <c r="E346" s="960">
        <f t="shared" si="71"/>
        <v>24</v>
      </c>
      <c r="F346" s="960"/>
      <c r="G346" s="960"/>
      <c r="H346" s="1110"/>
      <c r="I346" s="960"/>
      <c r="J346" s="960"/>
      <c r="K346" s="960"/>
      <c r="L346" s="960"/>
      <c r="M346" s="960"/>
      <c r="N346" s="960"/>
      <c r="O346" s="960"/>
      <c r="P346" s="960"/>
      <c r="Q346" s="960"/>
      <c r="R346" s="960"/>
      <c r="S346" s="975">
        <f t="shared" si="72"/>
        <v>24</v>
      </c>
      <c r="T346" s="975" t="e">
        <f>VLOOKUP(C346,'sản lượng'!$D$12:$AK$89,36,0)</f>
        <v>#N/A</v>
      </c>
      <c r="U346" s="975"/>
      <c r="V346" s="975"/>
      <c r="W346" s="975" t="e">
        <f>VLOOKUP(C346,'sản lượng'!$D$12:$AK$89,36,0)</f>
        <v>#N/A</v>
      </c>
      <c r="X346" s="975"/>
      <c r="Y346" s="975"/>
      <c r="Z346" s="975" t="e">
        <f t="shared" si="73"/>
        <v>#N/A</v>
      </c>
      <c r="AA346" s="975" t="e">
        <f>VLOOKUP(C346,'CHẤM CÔNG '!$D$12:$AL$89,33,0)</f>
        <v>#N/A</v>
      </c>
      <c r="AB346" s="975" t="e">
        <f>VLOOKUP(C346,'CHẤM CÔNG '!$D$12:$AL$89,34,0)</f>
        <v>#N/A</v>
      </c>
      <c r="AC346" s="975"/>
      <c r="AD346" s="975"/>
      <c r="AE346" s="975"/>
      <c r="AF346" s="975"/>
      <c r="AG346" s="975"/>
      <c r="AH346" s="975"/>
      <c r="AI346" s="975"/>
      <c r="AJ346" s="975"/>
      <c r="AK346" s="981"/>
      <c r="AL346" s="982" t="e">
        <f>VLOOKUP(C346,'sản lượng'!$D$12:$AM$89,38,0)</f>
        <v>#N/A</v>
      </c>
      <c r="AP346" s="944">
        <f t="shared" si="74"/>
        <v>2</v>
      </c>
      <c r="AR346" s="944">
        <v>1</v>
      </c>
    </row>
    <row r="347" spans="1:44" ht="15.75">
      <c r="A347" s="996">
        <v>31</v>
      </c>
      <c r="B347" s="1640" t="str">
        <f>VLOOKUP(C347,'DS CN MOI UP'!$B$10:$C$389,2,0)</f>
        <v>03388</v>
      </c>
      <c r="C347" s="1001" t="s">
        <v>236</v>
      </c>
      <c r="D347" s="1002" t="s">
        <v>15</v>
      </c>
      <c r="E347" s="960">
        <f t="shared" si="71"/>
        <v>24</v>
      </c>
      <c r="F347" s="960"/>
      <c r="G347" s="960"/>
      <c r="H347" s="1110"/>
      <c r="I347" s="960"/>
      <c r="J347" s="960"/>
      <c r="K347" s="960"/>
      <c r="L347" s="960"/>
      <c r="M347" s="960"/>
      <c r="N347" s="960"/>
      <c r="O347" s="960"/>
      <c r="P347" s="960"/>
      <c r="Q347" s="960"/>
      <c r="R347" s="960"/>
      <c r="S347" s="975">
        <f t="shared" si="72"/>
        <v>24</v>
      </c>
      <c r="T347" s="975" t="e">
        <f>VLOOKUP(C347,'sản lượng'!$D$12:$AK$89,36,0)</f>
        <v>#N/A</v>
      </c>
      <c r="U347" s="975"/>
      <c r="V347" s="975"/>
      <c r="W347" s="975" t="e">
        <f>VLOOKUP(C347,'sản lượng'!$D$12:$AK$89,36,0)</f>
        <v>#N/A</v>
      </c>
      <c r="X347" s="975"/>
      <c r="Y347" s="975"/>
      <c r="Z347" s="975" t="e">
        <f t="shared" si="73"/>
        <v>#N/A</v>
      </c>
      <c r="AA347" s="975" t="e">
        <f>VLOOKUP(C347,'CHẤM CÔNG '!$D$12:$AL$89,33,0)</f>
        <v>#N/A</v>
      </c>
      <c r="AB347" s="975" t="e">
        <f>VLOOKUP(C347,'CHẤM CÔNG '!$D$12:$AL$89,34,0)</f>
        <v>#N/A</v>
      </c>
      <c r="AC347" s="975"/>
      <c r="AD347" s="975"/>
      <c r="AE347" s="975"/>
      <c r="AF347" s="975"/>
      <c r="AG347" s="975"/>
      <c r="AH347" s="975"/>
      <c r="AI347" s="975"/>
      <c r="AJ347" s="975"/>
      <c r="AK347" s="981"/>
      <c r="AL347" s="982" t="e">
        <f>VLOOKUP(C347,'sản lượng'!$D$12:$AM$89,38,0)</f>
        <v>#N/A</v>
      </c>
      <c r="AP347" s="944">
        <f t="shared" si="74"/>
        <v>2</v>
      </c>
      <c r="AR347" s="944">
        <v>1</v>
      </c>
    </row>
    <row r="348" spans="1:44" ht="15.75">
      <c r="A348" s="996">
        <v>32</v>
      </c>
      <c r="B348" s="1640" t="str">
        <f>VLOOKUP(C348,'DS CN MOI UP'!$B$10:$C$389,2,0)</f>
        <v>03389</v>
      </c>
      <c r="C348" s="1001" t="s">
        <v>237</v>
      </c>
      <c r="D348" s="1002" t="s">
        <v>15</v>
      </c>
      <c r="E348" s="960">
        <f t="shared" si="71"/>
        <v>24</v>
      </c>
      <c r="F348" s="960"/>
      <c r="G348" s="960"/>
      <c r="H348" s="1110"/>
      <c r="I348" s="960"/>
      <c r="J348" s="960"/>
      <c r="K348" s="960"/>
      <c r="L348" s="960"/>
      <c r="M348" s="960"/>
      <c r="N348" s="960"/>
      <c r="O348" s="960"/>
      <c r="P348" s="960"/>
      <c r="Q348" s="960"/>
      <c r="R348" s="960"/>
      <c r="S348" s="975">
        <f t="shared" si="72"/>
        <v>24</v>
      </c>
      <c r="T348" s="975" t="e">
        <f>VLOOKUP(C348,'sản lượng'!$D$12:$AK$89,36,0)</f>
        <v>#N/A</v>
      </c>
      <c r="U348" s="975"/>
      <c r="V348" s="975"/>
      <c r="W348" s="975" t="e">
        <f>VLOOKUP(C348,'sản lượng'!$D$12:$AK$89,36,0)</f>
        <v>#N/A</v>
      </c>
      <c r="X348" s="975"/>
      <c r="Y348" s="975"/>
      <c r="Z348" s="975" t="e">
        <f t="shared" si="73"/>
        <v>#N/A</v>
      </c>
      <c r="AA348" s="975" t="e">
        <f>VLOOKUP(C348,'CHẤM CÔNG '!$D$12:$AL$89,33,0)</f>
        <v>#N/A</v>
      </c>
      <c r="AB348" s="975" t="e">
        <f>VLOOKUP(C348,'CHẤM CÔNG '!$D$12:$AL$89,34,0)</f>
        <v>#N/A</v>
      </c>
      <c r="AC348" s="975"/>
      <c r="AD348" s="975"/>
      <c r="AE348" s="975"/>
      <c r="AF348" s="975"/>
      <c r="AG348" s="975"/>
      <c r="AH348" s="975"/>
      <c r="AI348" s="975"/>
      <c r="AJ348" s="975"/>
      <c r="AK348" s="981"/>
      <c r="AL348" s="982" t="e">
        <f>VLOOKUP(C348,'sản lượng'!$D$12:$AM$89,38,0)</f>
        <v>#N/A</v>
      </c>
      <c r="AP348" s="944">
        <f t="shared" si="74"/>
        <v>2</v>
      </c>
      <c r="AR348" s="944">
        <v>1</v>
      </c>
    </row>
    <row r="349" spans="1:44" ht="15.75">
      <c r="A349" s="996">
        <v>33</v>
      </c>
      <c r="B349" s="1640" t="str">
        <f>VLOOKUP(C349,'DS CN MOI UP'!$B$10:$C$389,2,0)</f>
        <v>03390</v>
      </c>
      <c r="C349" s="1001" t="s">
        <v>238</v>
      </c>
      <c r="D349" s="1002" t="s">
        <v>15</v>
      </c>
      <c r="E349" s="960">
        <f t="shared" si="71"/>
        <v>24</v>
      </c>
      <c r="F349" s="960"/>
      <c r="G349" s="960"/>
      <c r="H349" s="1110"/>
      <c r="I349" s="960"/>
      <c r="J349" s="960"/>
      <c r="K349" s="960"/>
      <c r="L349" s="960"/>
      <c r="M349" s="960"/>
      <c r="N349" s="960"/>
      <c r="O349" s="960"/>
      <c r="P349" s="960"/>
      <c r="Q349" s="960"/>
      <c r="R349" s="960"/>
      <c r="S349" s="975">
        <f t="shared" ref="S349:S395" si="75">SUM(E349:R349)</f>
        <v>24</v>
      </c>
      <c r="T349" s="975" t="e">
        <f>VLOOKUP(C349,'sản lượng'!$D$12:$AK$89,36,0)</f>
        <v>#N/A</v>
      </c>
      <c r="U349" s="975"/>
      <c r="V349" s="975"/>
      <c r="W349" s="975" t="e">
        <f>VLOOKUP(C349,'sản lượng'!$D$12:$AK$89,36,0)</f>
        <v>#N/A</v>
      </c>
      <c r="X349" s="975"/>
      <c r="Y349" s="975"/>
      <c r="Z349" s="975" t="e">
        <f t="shared" ref="Z349:Z387" si="76">W349*$AN$17+X349*$AN$10+$AN$11*Y349</f>
        <v>#N/A</v>
      </c>
      <c r="AA349" s="975" t="e">
        <f>VLOOKUP(C349,'CHẤM CÔNG '!$D$12:$AL$89,33,0)</f>
        <v>#N/A</v>
      </c>
      <c r="AB349" s="975" t="e">
        <f>VLOOKUP(C349,'CHẤM CÔNG '!$D$12:$AL$89,34,0)</f>
        <v>#N/A</v>
      </c>
      <c r="AC349" s="975"/>
      <c r="AD349" s="975"/>
      <c r="AE349" s="975"/>
      <c r="AF349" s="975"/>
      <c r="AG349" s="975"/>
      <c r="AH349" s="975"/>
      <c r="AI349" s="975"/>
      <c r="AJ349" s="975"/>
      <c r="AK349" s="981"/>
      <c r="AL349" s="982" t="e">
        <f>VLOOKUP(C349,'sản lượng'!$D$12:$AM$89,38,0)</f>
        <v>#N/A</v>
      </c>
      <c r="AP349" s="944">
        <f t="shared" si="74"/>
        <v>2</v>
      </c>
      <c r="AR349" s="944">
        <v>1</v>
      </c>
    </row>
    <row r="350" spans="1:44" ht="15.75">
      <c r="A350" s="996">
        <v>34</v>
      </c>
      <c r="B350" s="1640" t="str">
        <f>VLOOKUP(C350,'DS CN MOI UP'!$B$10:$C$389,2,0)</f>
        <v>03391</v>
      </c>
      <c r="C350" s="1001" t="s">
        <v>239</v>
      </c>
      <c r="D350" s="1002" t="s">
        <v>15</v>
      </c>
      <c r="E350" s="960">
        <f t="shared" si="71"/>
        <v>24</v>
      </c>
      <c r="F350" s="960"/>
      <c r="G350" s="960"/>
      <c r="H350" s="1110"/>
      <c r="I350" s="960"/>
      <c r="J350" s="960"/>
      <c r="K350" s="960"/>
      <c r="L350" s="960"/>
      <c r="M350" s="960"/>
      <c r="N350" s="960"/>
      <c r="O350" s="960"/>
      <c r="P350" s="960"/>
      <c r="Q350" s="960"/>
      <c r="R350" s="960"/>
      <c r="S350" s="975">
        <f t="shared" si="75"/>
        <v>24</v>
      </c>
      <c r="T350" s="975" t="e">
        <f>VLOOKUP(C350,'sản lượng'!$D$12:$AK$89,36,0)</f>
        <v>#N/A</v>
      </c>
      <c r="U350" s="975"/>
      <c r="V350" s="975"/>
      <c r="W350" s="975" t="e">
        <f>VLOOKUP(C350,'sản lượng'!$D$12:$AK$89,36,0)</f>
        <v>#N/A</v>
      </c>
      <c r="X350" s="975"/>
      <c r="Y350" s="975"/>
      <c r="Z350" s="975" t="e">
        <f t="shared" si="76"/>
        <v>#N/A</v>
      </c>
      <c r="AA350" s="975" t="e">
        <f>VLOOKUP(C350,'CHẤM CÔNG '!$D$12:$AL$89,33,0)</f>
        <v>#N/A</v>
      </c>
      <c r="AB350" s="975" t="e">
        <f>VLOOKUP(C350,'CHẤM CÔNG '!$D$12:$AL$89,34,0)</f>
        <v>#N/A</v>
      </c>
      <c r="AC350" s="975"/>
      <c r="AD350" s="975"/>
      <c r="AE350" s="975"/>
      <c r="AF350" s="975"/>
      <c r="AG350" s="975"/>
      <c r="AH350" s="975"/>
      <c r="AI350" s="975"/>
      <c r="AJ350" s="975"/>
      <c r="AK350" s="981"/>
      <c r="AL350" s="982" t="e">
        <f>VLOOKUP(C350,'sản lượng'!$D$12:$AM$89,38,0)</f>
        <v>#N/A</v>
      </c>
      <c r="AP350" s="944">
        <f t="shared" si="74"/>
        <v>2</v>
      </c>
      <c r="AR350" s="944">
        <v>1</v>
      </c>
    </row>
    <row r="351" spans="1:44" ht="15.75">
      <c r="A351" s="996">
        <v>35</v>
      </c>
      <c r="B351" s="1640" t="str">
        <f>VLOOKUP(C351,'DS CN MOI UP'!$B$10:$C$389,2,0)</f>
        <v>02589</v>
      </c>
      <c r="C351" s="1001" t="s">
        <v>240</v>
      </c>
      <c r="D351" s="1002" t="s">
        <v>15</v>
      </c>
      <c r="E351" s="960">
        <f t="shared" si="71"/>
        <v>24</v>
      </c>
      <c r="F351" s="960"/>
      <c r="G351" s="960"/>
      <c r="H351" s="1110"/>
      <c r="I351" s="960"/>
      <c r="J351" s="960"/>
      <c r="K351" s="960"/>
      <c r="L351" s="960"/>
      <c r="M351" s="960"/>
      <c r="N351" s="960"/>
      <c r="O351" s="960"/>
      <c r="P351" s="960"/>
      <c r="Q351" s="960"/>
      <c r="R351" s="960"/>
      <c r="S351" s="975">
        <f t="shared" si="75"/>
        <v>24</v>
      </c>
      <c r="T351" s="975" t="e">
        <f>VLOOKUP(C351,'sản lượng'!$D$12:$AK$89,36,0)</f>
        <v>#N/A</v>
      </c>
      <c r="U351" s="975"/>
      <c r="V351" s="975"/>
      <c r="W351" s="975" t="e">
        <f>VLOOKUP(C351,'sản lượng'!$D$12:$AK$89,36,0)</f>
        <v>#N/A</v>
      </c>
      <c r="X351" s="975"/>
      <c r="Y351" s="975"/>
      <c r="Z351" s="975" t="e">
        <f t="shared" si="76"/>
        <v>#N/A</v>
      </c>
      <c r="AA351" s="975" t="e">
        <f>VLOOKUP(C351,'CHẤM CÔNG '!$D$12:$AL$89,33,0)</f>
        <v>#N/A</v>
      </c>
      <c r="AB351" s="975" t="e">
        <f>VLOOKUP(C351,'CHẤM CÔNG '!$D$12:$AL$89,34,0)</f>
        <v>#N/A</v>
      </c>
      <c r="AC351" s="975"/>
      <c r="AD351" s="975"/>
      <c r="AE351" s="975"/>
      <c r="AF351" s="975"/>
      <c r="AG351" s="975"/>
      <c r="AH351" s="975"/>
      <c r="AI351" s="975"/>
      <c r="AJ351" s="975"/>
      <c r="AK351" s="981"/>
      <c r="AL351" s="982" t="e">
        <f>VLOOKUP(C351,'sản lượng'!$D$12:$AM$89,38,0)</f>
        <v>#N/A</v>
      </c>
      <c r="AP351" s="944">
        <f t="shared" si="74"/>
        <v>2</v>
      </c>
      <c r="AR351" s="944">
        <v>1</v>
      </c>
    </row>
    <row r="352" spans="1:44" ht="15.75">
      <c r="A352" s="996">
        <v>36</v>
      </c>
      <c r="B352" s="1640" t="str">
        <f>VLOOKUP(C352,'DS CN MOI UP'!$B$10:$C$389,2,0)</f>
        <v>03392</v>
      </c>
      <c r="C352" s="1001" t="s">
        <v>241</v>
      </c>
      <c r="D352" s="1002" t="s">
        <v>15</v>
      </c>
      <c r="E352" s="960">
        <f t="shared" si="71"/>
        <v>24</v>
      </c>
      <c r="F352" s="960"/>
      <c r="G352" s="960"/>
      <c r="H352" s="1110"/>
      <c r="I352" s="960"/>
      <c r="J352" s="960"/>
      <c r="K352" s="960"/>
      <c r="L352" s="960"/>
      <c r="M352" s="960"/>
      <c r="N352" s="960"/>
      <c r="O352" s="960"/>
      <c r="P352" s="960"/>
      <c r="Q352" s="960"/>
      <c r="R352" s="960"/>
      <c r="S352" s="975">
        <f t="shared" si="75"/>
        <v>24</v>
      </c>
      <c r="T352" s="975" t="e">
        <f>VLOOKUP(C352,'sản lượng'!$D$12:$AK$89,36,0)</f>
        <v>#N/A</v>
      </c>
      <c r="U352" s="975"/>
      <c r="V352" s="975"/>
      <c r="W352" s="975" t="e">
        <f>VLOOKUP(C352,'sản lượng'!$D$12:$AK$89,36,0)</f>
        <v>#N/A</v>
      </c>
      <c r="X352" s="975"/>
      <c r="Y352" s="975"/>
      <c r="Z352" s="975" t="e">
        <f t="shared" si="76"/>
        <v>#N/A</v>
      </c>
      <c r="AA352" s="975" t="e">
        <f>VLOOKUP(C352,'CHẤM CÔNG '!$D$12:$AL$89,33,0)</f>
        <v>#N/A</v>
      </c>
      <c r="AB352" s="975" t="e">
        <f>VLOOKUP(C352,'CHẤM CÔNG '!$D$12:$AL$89,34,0)</f>
        <v>#N/A</v>
      </c>
      <c r="AC352" s="975"/>
      <c r="AD352" s="975"/>
      <c r="AE352" s="975"/>
      <c r="AF352" s="975"/>
      <c r="AG352" s="975"/>
      <c r="AH352" s="975"/>
      <c r="AI352" s="975"/>
      <c r="AJ352" s="975"/>
      <c r="AK352" s="981"/>
      <c r="AL352" s="982" t="e">
        <f>VLOOKUP(C352,'sản lượng'!$D$12:$AM$89,38,0)</f>
        <v>#N/A</v>
      </c>
      <c r="AP352" s="944">
        <f t="shared" si="74"/>
        <v>2</v>
      </c>
      <c r="AR352" s="944">
        <v>1</v>
      </c>
    </row>
    <row r="353" spans="1:44" ht="15.75">
      <c r="A353" s="996">
        <v>37</v>
      </c>
      <c r="B353" s="1640" t="str">
        <f>VLOOKUP(C353,'DS CN MOI UP'!$B$10:$C$389,2,0)</f>
        <v>03393</v>
      </c>
      <c r="C353" s="1001" t="s">
        <v>242</v>
      </c>
      <c r="D353" s="1002" t="s">
        <v>15</v>
      </c>
      <c r="E353" s="960">
        <f t="shared" si="71"/>
        <v>24</v>
      </c>
      <c r="F353" s="960"/>
      <c r="G353" s="960"/>
      <c r="H353" s="1110"/>
      <c r="I353" s="960"/>
      <c r="J353" s="960"/>
      <c r="K353" s="960"/>
      <c r="L353" s="960"/>
      <c r="M353" s="960"/>
      <c r="N353" s="960"/>
      <c r="O353" s="960"/>
      <c r="P353" s="960"/>
      <c r="Q353" s="960"/>
      <c r="R353" s="960"/>
      <c r="S353" s="975">
        <f t="shared" si="75"/>
        <v>24</v>
      </c>
      <c r="T353" s="975" t="e">
        <f>VLOOKUP(C353,'sản lượng'!$D$12:$AK$89,36,0)</f>
        <v>#N/A</v>
      </c>
      <c r="U353" s="975"/>
      <c r="V353" s="975"/>
      <c r="W353" s="975" t="e">
        <f>VLOOKUP(C353,'sản lượng'!$D$12:$AK$89,36,0)</f>
        <v>#N/A</v>
      </c>
      <c r="X353" s="975"/>
      <c r="Y353" s="975"/>
      <c r="Z353" s="975" t="e">
        <f t="shared" si="76"/>
        <v>#N/A</v>
      </c>
      <c r="AA353" s="975" t="e">
        <f>VLOOKUP(C353,'CHẤM CÔNG '!$D$12:$AL$89,33,0)</f>
        <v>#N/A</v>
      </c>
      <c r="AB353" s="975" t="e">
        <f>VLOOKUP(C353,'CHẤM CÔNG '!$D$12:$AL$89,34,0)</f>
        <v>#N/A</v>
      </c>
      <c r="AC353" s="975"/>
      <c r="AD353" s="975"/>
      <c r="AE353" s="975"/>
      <c r="AF353" s="975"/>
      <c r="AG353" s="975"/>
      <c r="AH353" s="975"/>
      <c r="AI353" s="975"/>
      <c r="AJ353" s="975"/>
      <c r="AK353" s="981"/>
      <c r="AL353" s="982" t="e">
        <f>VLOOKUP(C353,'sản lượng'!$D$12:$AM$89,38,0)</f>
        <v>#N/A</v>
      </c>
      <c r="AP353" s="944">
        <f t="shared" si="74"/>
        <v>2</v>
      </c>
      <c r="AR353" s="944">
        <v>1</v>
      </c>
    </row>
    <row r="354" spans="1:44" ht="15.75">
      <c r="A354" s="996">
        <v>38</v>
      </c>
      <c r="B354" s="1640" t="str">
        <f>VLOOKUP(C354,'DS CN MOI UP'!$B$10:$C$389,2,0)</f>
        <v>03394</v>
      </c>
      <c r="C354" s="1001" t="s">
        <v>243</v>
      </c>
      <c r="D354" s="1002" t="s">
        <v>15</v>
      </c>
      <c r="E354" s="960">
        <f t="shared" si="71"/>
        <v>24</v>
      </c>
      <c r="F354" s="960"/>
      <c r="G354" s="960"/>
      <c r="H354" s="1110"/>
      <c r="I354" s="960"/>
      <c r="J354" s="960"/>
      <c r="K354" s="960"/>
      <c r="L354" s="960"/>
      <c r="M354" s="960"/>
      <c r="N354" s="960"/>
      <c r="O354" s="960"/>
      <c r="P354" s="960"/>
      <c r="Q354" s="960"/>
      <c r="R354" s="960"/>
      <c r="S354" s="975">
        <f t="shared" si="75"/>
        <v>24</v>
      </c>
      <c r="T354" s="975" t="e">
        <f>VLOOKUP(C354,'sản lượng'!$D$12:$AK$89,36,0)</f>
        <v>#N/A</v>
      </c>
      <c r="U354" s="975"/>
      <c r="V354" s="975"/>
      <c r="W354" s="975" t="e">
        <f>VLOOKUP(C354,'sản lượng'!$D$12:$AK$89,36,0)</f>
        <v>#N/A</v>
      </c>
      <c r="X354" s="975"/>
      <c r="Y354" s="975"/>
      <c r="Z354" s="975" t="e">
        <f t="shared" si="76"/>
        <v>#N/A</v>
      </c>
      <c r="AA354" s="975" t="e">
        <f>VLOOKUP(C354,'CHẤM CÔNG '!$D$12:$AL$89,33,0)</f>
        <v>#N/A</v>
      </c>
      <c r="AB354" s="975" t="e">
        <f>VLOOKUP(C354,'CHẤM CÔNG '!$D$12:$AL$89,34,0)</f>
        <v>#N/A</v>
      </c>
      <c r="AC354" s="975"/>
      <c r="AD354" s="975"/>
      <c r="AE354" s="975"/>
      <c r="AF354" s="975"/>
      <c r="AG354" s="975"/>
      <c r="AH354" s="975"/>
      <c r="AI354" s="975"/>
      <c r="AJ354" s="975"/>
      <c r="AK354" s="981"/>
      <c r="AL354" s="982" t="e">
        <f>VLOOKUP(C354,'sản lượng'!$D$12:$AM$89,38,0)</f>
        <v>#N/A</v>
      </c>
      <c r="AP354" s="944">
        <f t="shared" si="74"/>
        <v>2</v>
      </c>
      <c r="AR354" s="944">
        <v>1</v>
      </c>
    </row>
    <row r="355" spans="1:44" ht="15.75">
      <c r="A355" s="996">
        <v>39</v>
      </c>
      <c r="B355" s="1640" t="str">
        <f>VLOOKUP(C355,'DS CN MOI UP'!$B$10:$C$389,2,0)</f>
        <v>03395</v>
      </c>
      <c r="C355" s="1001" t="s">
        <v>244</v>
      </c>
      <c r="D355" s="1002" t="s">
        <v>15</v>
      </c>
      <c r="E355" s="960">
        <f t="shared" si="71"/>
        <v>24</v>
      </c>
      <c r="F355" s="960"/>
      <c r="G355" s="960"/>
      <c r="H355" s="1110"/>
      <c r="I355" s="960"/>
      <c r="J355" s="960"/>
      <c r="K355" s="960"/>
      <c r="L355" s="960"/>
      <c r="M355" s="960"/>
      <c r="N355" s="960"/>
      <c r="O355" s="960"/>
      <c r="P355" s="960"/>
      <c r="Q355" s="960"/>
      <c r="R355" s="960"/>
      <c r="S355" s="975">
        <f t="shared" si="75"/>
        <v>24</v>
      </c>
      <c r="T355" s="975" t="e">
        <f>VLOOKUP(C355,'sản lượng'!$D$12:$AK$89,36,0)</f>
        <v>#N/A</v>
      </c>
      <c r="U355" s="975"/>
      <c r="V355" s="975"/>
      <c r="W355" s="975" t="e">
        <f>VLOOKUP(C355,'sản lượng'!$D$12:$AK$89,36,0)</f>
        <v>#N/A</v>
      </c>
      <c r="X355" s="975"/>
      <c r="Y355" s="975"/>
      <c r="Z355" s="975" t="e">
        <f t="shared" si="76"/>
        <v>#N/A</v>
      </c>
      <c r="AA355" s="975" t="e">
        <f>VLOOKUP(C355,'CHẤM CÔNG '!$D$12:$AL$89,33,0)</f>
        <v>#N/A</v>
      </c>
      <c r="AB355" s="975" t="e">
        <f>VLOOKUP(C355,'CHẤM CÔNG '!$D$12:$AL$89,34,0)</f>
        <v>#N/A</v>
      </c>
      <c r="AC355" s="975"/>
      <c r="AD355" s="975"/>
      <c r="AE355" s="975"/>
      <c r="AF355" s="975"/>
      <c r="AG355" s="975"/>
      <c r="AH355" s="975"/>
      <c r="AI355" s="975"/>
      <c r="AJ355" s="975"/>
      <c r="AK355" s="981"/>
      <c r="AL355" s="982" t="e">
        <f>VLOOKUP(C355,'sản lượng'!$D$12:$AM$89,38,0)</f>
        <v>#N/A</v>
      </c>
      <c r="AP355" s="944">
        <f t="shared" si="74"/>
        <v>2</v>
      </c>
      <c r="AR355" s="944">
        <v>1</v>
      </c>
    </row>
    <row r="356" spans="1:44" ht="15.75">
      <c r="A356" s="996">
        <v>40</v>
      </c>
      <c r="B356" s="1640" t="str">
        <f>VLOOKUP(C356,'DS CN MOI UP'!$B$10:$C$389,2,0)</f>
        <v>03396</v>
      </c>
      <c r="C356" s="1001" t="s">
        <v>245</v>
      </c>
      <c r="D356" s="1002" t="s">
        <v>15</v>
      </c>
      <c r="E356" s="960">
        <f t="shared" si="71"/>
        <v>24</v>
      </c>
      <c r="F356" s="960"/>
      <c r="G356" s="960"/>
      <c r="H356" s="1110"/>
      <c r="I356" s="960"/>
      <c r="J356" s="960"/>
      <c r="K356" s="960"/>
      <c r="L356" s="960"/>
      <c r="M356" s="960"/>
      <c r="N356" s="960"/>
      <c r="O356" s="960"/>
      <c r="P356" s="960"/>
      <c r="Q356" s="960"/>
      <c r="R356" s="960"/>
      <c r="S356" s="975">
        <f t="shared" si="75"/>
        <v>24</v>
      </c>
      <c r="T356" s="975" t="e">
        <f>VLOOKUP(C356,'sản lượng'!$D$12:$AK$89,36,0)</f>
        <v>#N/A</v>
      </c>
      <c r="U356" s="975"/>
      <c r="V356" s="975"/>
      <c r="W356" s="975" t="e">
        <f>VLOOKUP(C356,'sản lượng'!$D$12:$AK$89,36,0)</f>
        <v>#N/A</v>
      </c>
      <c r="X356" s="975"/>
      <c r="Y356" s="975"/>
      <c r="Z356" s="975" t="e">
        <f t="shared" si="76"/>
        <v>#N/A</v>
      </c>
      <c r="AA356" s="975" t="e">
        <f>VLOOKUP(C356,'CHẤM CÔNG '!$D$12:$AL$89,33,0)</f>
        <v>#N/A</v>
      </c>
      <c r="AB356" s="975" t="e">
        <f>VLOOKUP(C356,'CHẤM CÔNG '!$D$12:$AL$89,34,0)</f>
        <v>#N/A</v>
      </c>
      <c r="AC356" s="975"/>
      <c r="AD356" s="975"/>
      <c r="AE356" s="975"/>
      <c r="AF356" s="975"/>
      <c r="AG356" s="975"/>
      <c r="AH356" s="975"/>
      <c r="AI356" s="975"/>
      <c r="AJ356" s="975"/>
      <c r="AK356" s="981"/>
      <c r="AL356" s="982" t="e">
        <f>VLOOKUP(C356,'sản lượng'!$D$12:$AM$89,38,0)</f>
        <v>#N/A</v>
      </c>
      <c r="AP356" s="944">
        <f t="shared" si="74"/>
        <v>2</v>
      </c>
      <c r="AR356" s="944">
        <v>1</v>
      </c>
    </row>
    <row r="357" spans="1:44" ht="15.75">
      <c r="A357" s="996">
        <v>41</v>
      </c>
      <c r="B357" s="1640" t="str">
        <f>VLOOKUP(C357,'DS CN MOI UP'!$B$10:$C$389,2,0)</f>
        <v>02593</v>
      </c>
      <c r="C357" s="1001" t="s">
        <v>246</v>
      </c>
      <c r="D357" s="1002" t="s">
        <v>15</v>
      </c>
      <c r="E357" s="960">
        <f t="shared" si="71"/>
        <v>24</v>
      </c>
      <c r="F357" s="960"/>
      <c r="G357" s="960"/>
      <c r="H357" s="1110"/>
      <c r="I357" s="960"/>
      <c r="J357" s="960"/>
      <c r="K357" s="960"/>
      <c r="L357" s="960"/>
      <c r="M357" s="960"/>
      <c r="N357" s="960"/>
      <c r="O357" s="960"/>
      <c r="P357" s="960"/>
      <c r="Q357" s="960"/>
      <c r="R357" s="960"/>
      <c r="S357" s="975">
        <f t="shared" si="75"/>
        <v>24</v>
      </c>
      <c r="T357" s="975" t="e">
        <f>VLOOKUP(C357,'sản lượng'!$D$12:$AK$89,36,0)</f>
        <v>#N/A</v>
      </c>
      <c r="U357" s="975"/>
      <c r="V357" s="975"/>
      <c r="W357" s="975" t="e">
        <f>VLOOKUP(C357,'sản lượng'!$D$12:$AK$89,36,0)</f>
        <v>#N/A</v>
      </c>
      <c r="X357" s="975"/>
      <c r="Y357" s="975"/>
      <c r="Z357" s="975" t="e">
        <f t="shared" si="76"/>
        <v>#N/A</v>
      </c>
      <c r="AA357" s="975" t="e">
        <f>VLOOKUP(C357,'CHẤM CÔNG '!$D$12:$AL$89,33,0)</f>
        <v>#N/A</v>
      </c>
      <c r="AB357" s="975" t="e">
        <f>VLOOKUP(C357,'CHẤM CÔNG '!$D$12:$AL$89,34,0)</f>
        <v>#N/A</v>
      </c>
      <c r="AC357" s="975"/>
      <c r="AD357" s="975"/>
      <c r="AE357" s="975"/>
      <c r="AF357" s="975"/>
      <c r="AG357" s="975"/>
      <c r="AH357" s="975"/>
      <c r="AI357" s="975"/>
      <c r="AJ357" s="975"/>
      <c r="AK357" s="981"/>
      <c r="AL357" s="982" t="e">
        <f>VLOOKUP(C357,'sản lượng'!$D$12:$AM$89,38,0)</f>
        <v>#N/A</v>
      </c>
      <c r="AP357" s="944">
        <f t="shared" si="74"/>
        <v>2</v>
      </c>
      <c r="AR357" s="944">
        <v>1</v>
      </c>
    </row>
    <row r="358" spans="1:44" ht="15.75">
      <c r="A358" s="996">
        <v>42</v>
      </c>
      <c r="B358" s="1640" t="str">
        <f>VLOOKUP(C358,'DS CN MOI UP'!$B$10:$C$389,2,0)</f>
        <v>02696</v>
      </c>
      <c r="C358" s="1001" t="s">
        <v>247</v>
      </c>
      <c r="D358" s="1002" t="s">
        <v>15</v>
      </c>
      <c r="E358" s="960">
        <f t="shared" si="71"/>
        <v>24</v>
      </c>
      <c r="F358" s="960"/>
      <c r="G358" s="960"/>
      <c r="H358" s="1110"/>
      <c r="I358" s="960"/>
      <c r="J358" s="960"/>
      <c r="K358" s="960"/>
      <c r="L358" s="960"/>
      <c r="M358" s="960"/>
      <c r="N358" s="960"/>
      <c r="O358" s="960"/>
      <c r="P358" s="960"/>
      <c r="Q358" s="960"/>
      <c r="R358" s="960"/>
      <c r="S358" s="975">
        <f t="shared" si="75"/>
        <v>24</v>
      </c>
      <c r="T358" s="975" t="e">
        <f>VLOOKUP(C358,'sản lượng'!$D$12:$AK$89,36,0)</f>
        <v>#N/A</v>
      </c>
      <c r="U358" s="975"/>
      <c r="V358" s="975"/>
      <c r="W358" s="975" t="e">
        <f>VLOOKUP(C358,'sản lượng'!$D$12:$AK$89,36,0)</f>
        <v>#N/A</v>
      </c>
      <c r="X358" s="975"/>
      <c r="Y358" s="975"/>
      <c r="Z358" s="975" t="e">
        <f t="shared" si="76"/>
        <v>#N/A</v>
      </c>
      <c r="AA358" s="975" t="e">
        <f>VLOOKUP(C358,'CHẤM CÔNG '!$D$12:$AL$89,33,0)</f>
        <v>#N/A</v>
      </c>
      <c r="AB358" s="975" t="e">
        <f>VLOOKUP(C358,'CHẤM CÔNG '!$D$12:$AL$89,34,0)</f>
        <v>#N/A</v>
      </c>
      <c r="AC358" s="975"/>
      <c r="AD358" s="975"/>
      <c r="AE358" s="975"/>
      <c r="AF358" s="975"/>
      <c r="AG358" s="975"/>
      <c r="AH358" s="975"/>
      <c r="AI358" s="975"/>
      <c r="AJ358" s="975"/>
      <c r="AK358" s="981"/>
      <c r="AL358" s="982" t="e">
        <f>VLOOKUP(C358,'sản lượng'!$D$12:$AM$89,38,0)</f>
        <v>#N/A</v>
      </c>
      <c r="AP358" s="944">
        <f t="shared" si="74"/>
        <v>2</v>
      </c>
      <c r="AR358" s="944">
        <v>1</v>
      </c>
    </row>
    <row r="359" spans="1:44" ht="15.75">
      <c r="A359" s="996">
        <v>43</v>
      </c>
      <c r="B359" s="1640" t="str">
        <f>VLOOKUP(C359,'DS CN MOI UP'!$B$10:$C$389,2,0)</f>
        <v>03397</v>
      </c>
      <c r="C359" s="1001" t="s">
        <v>248</v>
      </c>
      <c r="D359" s="1002" t="s">
        <v>15</v>
      </c>
      <c r="E359" s="960">
        <f t="shared" si="71"/>
        <v>24</v>
      </c>
      <c r="F359" s="960"/>
      <c r="G359" s="960"/>
      <c r="H359" s="1110"/>
      <c r="I359" s="960"/>
      <c r="J359" s="960"/>
      <c r="K359" s="960"/>
      <c r="L359" s="960"/>
      <c r="M359" s="960"/>
      <c r="N359" s="960"/>
      <c r="O359" s="960"/>
      <c r="P359" s="960"/>
      <c r="Q359" s="960"/>
      <c r="R359" s="960"/>
      <c r="S359" s="975">
        <f t="shared" si="75"/>
        <v>24</v>
      </c>
      <c r="T359" s="975" t="e">
        <f>VLOOKUP(C359,'sản lượng'!$D$12:$AK$89,36,0)</f>
        <v>#N/A</v>
      </c>
      <c r="U359" s="975"/>
      <c r="V359" s="975"/>
      <c r="W359" s="975" t="e">
        <f>VLOOKUP(C359,'sản lượng'!$D$12:$AK$89,36,0)</f>
        <v>#N/A</v>
      </c>
      <c r="X359" s="975"/>
      <c r="Y359" s="975"/>
      <c r="Z359" s="975" t="e">
        <f t="shared" si="76"/>
        <v>#N/A</v>
      </c>
      <c r="AA359" s="975" t="e">
        <f>VLOOKUP(C359,'CHẤM CÔNG '!$D$12:$AL$89,33,0)</f>
        <v>#N/A</v>
      </c>
      <c r="AB359" s="975" t="e">
        <f>VLOOKUP(C359,'CHẤM CÔNG '!$D$12:$AL$89,34,0)</f>
        <v>#N/A</v>
      </c>
      <c r="AC359" s="975"/>
      <c r="AD359" s="975"/>
      <c r="AE359" s="975"/>
      <c r="AF359" s="975"/>
      <c r="AG359" s="975"/>
      <c r="AH359" s="975"/>
      <c r="AI359" s="975"/>
      <c r="AJ359" s="975"/>
      <c r="AK359" s="981"/>
      <c r="AL359" s="982" t="e">
        <f>VLOOKUP(C359,'sản lượng'!$D$12:$AM$89,38,0)</f>
        <v>#N/A</v>
      </c>
      <c r="AP359" s="944">
        <f t="shared" si="74"/>
        <v>2</v>
      </c>
      <c r="AR359" s="944">
        <v>1</v>
      </c>
    </row>
    <row r="360" spans="1:44" ht="15.75">
      <c r="A360" s="996">
        <v>44</v>
      </c>
      <c r="B360" s="1640" t="str">
        <f>VLOOKUP(C360,'DS CN MOI UP'!$B$10:$C$389,2,0)</f>
        <v>03398</v>
      </c>
      <c r="C360" s="1001" t="s">
        <v>249</v>
      </c>
      <c r="D360" s="1002" t="s">
        <v>15</v>
      </c>
      <c r="E360" s="960">
        <f t="shared" si="71"/>
        <v>24</v>
      </c>
      <c r="F360" s="960"/>
      <c r="G360" s="960"/>
      <c r="H360" s="1110"/>
      <c r="I360" s="960"/>
      <c r="J360" s="960"/>
      <c r="K360" s="960"/>
      <c r="L360" s="960"/>
      <c r="M360" s="960"/>
      <c r="N360" s="960"/>
      <c r="O360" s="960"/>
      <c r="P360" s="960"/>
      <c r="Q360" s="960"/>
      <c r="R360" s="960"/>
      <c r="S360" s="975">
        <f t="shared" si="75"/>
        <v>24</v>
      </c>
      <c r="T360" s="975" t="e">
        <f>VLOOKUP(C360,'sản lượng'!$D$12:$AK$89,36,0)</f>
        <v>#N/A</v>
      </c>
      <c r="U360" s="975"/>
      <c r="V360" s="975"/>
      <c r="W360" s="975" t="e">
        <f>VLOOKUP(C360,'sản lượng'!$D$12:$AK$89,36,0)</f>
        <v>#N/A</v>
      </c>
      <c r="X360" s="975"/>
      <c r="Y360" s="975"/>
      <c r="Z360" s="975" t="e">
        <f t="shared" si="76"/>
        <v>#N/A</v>
      </c>
      <c r="AA360" s="975" t="e">
        <f>VLOOKUP(C360,'CHẤM CÔNG '!$D$12:$AL$89,33,0)</f>
        <v>#N/A</v>
      </c>
      <c r="AB360" s="975" t="e">
        <f>VLOOKUP(C360,'CHẤM CÔNG '!$D$12:$AL$89,34,0)</f>
        <v>#N/A</v>
      </c>
      <c r="AC360" s="975"/>
      <c r="AD360" s="975"/>
      <c r="AE360" s="975"/>
      <c r="AF360" s="975"/>
      <c r="AG360" s="975"/>
      <c r="AH360" s="975"/>
      <c r="AI360" s="975"/>
      <c r="AJ360" s="975"/>
      <c r="AK360" s="981"/>
      <c r="AL360" s="982" t="e">
        <f>VLOOKUP(C360,'sản lượng'!$D$12:$AM$89,38,0)</f>
        <v>#N/A</v>
      </c>
      <c r="AP360" s="944">
        <f t="shared" si="74"/>
        <v>2</v>
      </c>
      <c r="AR360" s="944">
        <v>1</v>
      </c>
    </row>
    <row r="361" spans="1:44" ht="15.75">
      <c r="A361" s="996">
        <v>45</v>
      </c>
      <c r="B361" s="1640" t="str">
        <f>VLOOKUP(C361,'DS CN MOI UP'!$B$10:$C$389,2,0)</f>
        <v>02592</v>
      </c>
      <c r="C361" s="1001" t="s">
        <v>250</v>
      </c>
      <c r="D361" s="1002" t="s">
        <v>15</v>
      </c>
      <c r="E361" s="960">
        <f t="shared" si="71"/>
        <v>24</v>
      </c>
      <c r="F361" s="960"/>
      <c r="G361" s="960"/>
      <c r="H361" s="1110"/>
      <c r="I361" s="960"/>
      <c r="J361" s="960"/>
      <c r="K361" s="960"/>
      <c r="L361" s="960"/>
      <c r="M361" s="960"/>
      <c r="N361" s="960"/>
      <c r="O361" s="960"/>
      <c r="P361" s="960"/>
      <c r="Q361" s="960"/>
      <c r="R361" s="960"/>
      <c r="S361" s="975">
        <f t="shared" si="75"/>
        <v>24</v>
      </c>
      <c r="T361" s="975" t="e">
        <f>VLOOKUP(C361,'sản lượng'!$D$12:$AK$89,36,0)</f>
        <v>#N/A</v>
      </c>
      <c r="U361" s="975"/>
      <c r="V361" s="975"/>
      <c r="W361" s="975" t="e">
        <f>VLOOKUP(C361,'sản lượng'!$D$12:$AK$89,36,0)</f>
        <v>#N/A</v>
      </c>
      <c r="X361" s="975"/>
      <c r="Y361" s="975"/>
      <c r="Z361" s="975" t="e">
        <f t="shared" si="76"/>
        <v>#N/A</v>
      </c>
      <c r="AA361" s="975" t="e">
        <f>VLOOKUP(C361,'CHẤM CÔNG '!$D$12:$AL$89,33,0)</f>
        <v>#N/A</v>
      </c>
      <c r="AB361" s="975" t="e">
        <f>VLOOKUP(C361,'CHẤM CÔNG '!$D$12:$AL$89,34,0)</f>
        <v>#N/A</v>
      </c>
      <c r="AC361" s="975"/>
      <c r="AD361" s="975"/>
      <c r="AE361" s="975"/>
      <c r="AF361" s="975"/>
      <c r="AG361" s="975"/>
      <c r="AH361" s="975"/>
      <c r="AI361" s="975"/>
      <c r="AJ361" s="975"/>
      <c r="AK361" s="981"/>
      <c r="AL361" s="982" t="e">
        <f>VLOOKUP(C361,'sản lượng'!$D$12:$AM$89,38,0)</f>
        <v>#N/A</v>
      </c>
      <c r="AP361" s="944">
        <f t="shared" si="74"/>
        <v>2</v>
      </c>
      <c r="AR361" s="944">
        <v>1</v>
      </c>
    </row>
    <row r="362" spans="1:44" ht="15.75">
      <c r="A362" s="996">
        <v>46</v>
      </c>
      <c r="B362" s="1640" t="str">
        <f>VLOOKUP(C362,'DS CN MOI UP'!$B$10:$C$389,2,0)</f>
        <v>02598</v>
      </c>
      <c r="C362" s="1001" t="s">
        <v>251</v>
      </c>
      <c r="D362" s="1002" t="s">
        <v>15</v>
      </c>
      <c r="E362" s="960">
        <f t="shared" si="71"/>
        <v>24</v>
      </c>
      <c r="F362" s="960"/>
      <c r="G362" s="960"/>
      <c r="H362" s="1110"/>
      <c r="I362" s="960"/>
      <c r="J362" s="960"/>
      <c r="K362" s="960"/>
      <c r="L362" s="960"/>
      <c r="M362" s="960"/>
      <c r="N362" s="960"/>
      <c r="O362" s="960"/>
      <c r="P362" s="960"/>
      <c r="Q362" s="960"/>
      <c r="R362" s="960"/>
      <c r="S362" s="975">
        <f t="shared" si="75"/>
        <v>24</v>
      </c>
      <c r="T362" s="975" t="e">
        <f>VLOOKUP(C362,'sản lượng'!$D$12:$AK$89,36,0)</f>
        <v>#N/A</v>
      </c>
      <c r="U362" s="975"/>
      <c r="V362" s="975"/>
      <c r="W362" s="975" t="e">
        <f>VLOOKUP(C362,'sản lượng'!$D$12:$AK$89,36,0)</f>
        <v>#N/A</v>
      </c>
      <c r="X362" s="975"/>
      <c r="Y362" s="975"/>
      <c r="Z362" s="975" t="e">
        <f t="shared" si="76"/>
        <v>#N/A</v>
      </c>
      <c r="AA362" s="975" t="e">
        <f>VLOOKUP(C362,'CHẤM CÔNG '!$D$12:$AL$89,33,0)</f>
        <v>#N/A</v>
      </c>
      <c r="AB362" s="975" t="e">
        <f>VLOOKUP(C362,'CHẤM CÔNG '!$D$12:$AL$89,34,0)</f>
        <v>#N/A</v>
      </c>
      <c r="AC362" s="975"/>
      <c r="AD362" s="975"/>
      <c r="AE362" s="975"/>
      <c r="AF362" s="975"/>
      <c r="AG362" s="975"/>
      <c r="AH362" s="975"/>
      <c r="AI362" s="975"/>
      <c r="AJ362" s="975"/>
      <c r="AK362" s="981"/>
      <c r="AL362" s="982" t="e">
        <f>VLOOKUP(C362,'sản lượng'!$D$12:$AM$89,38,0)</f>
        <v>#N/A</v>
      </c>
      <c r="AP362" s="944">
        <f t="shared" si="74"/>
        <v>2</v>
      </c>
      <c r="AR362" s="944">
        <v>1</v>
      </c>
    </row>
    <row r="363" spans="1:44" ht="15.75">
      <c r="A363" s="996">
        <v>47</v>
      </c>
      <c r="B363" s="1640" t="str">
        <f>VLOOKUP(C363,'DS CN MOI UP'!$B$10:$C$389,2,0)</f>
        <v>02575</v>
      </c>
      <c r="C363" s="1001" t="s">
        <v>252</v>
      </c>
      <c r="D363" s="1002" t="s">
        <v>15</v>
      </c>
      <c r="E363" s="960">
        <f t="shared" si="71"/>
        <v>24</v>
      </c>
      <c r="F363" s="960"/>
      <c r="G363" s="960"/>
      <c r="H363" s="1110"/>
      <c r="I363" s="960"/>
      <c r="J363" s="960"/>
      <c r="K363" s="960"/>
      <c r="L363" s="960"/>
      <c r="M363" s="960"/>
      <c r="N363" s="960"/>
      <c r="O363" s="960"/>
      <c r="P363" s="960"/>
      <c r="Q363" s="960"/>
      <c r="R363" s="960"/>
      <c r="S363" s="975">
        <f t="shared" si="75"/>
        <v>24</v>
      </c>
      <c r="T363" s="975" t="e">
        <f>VLOOKUP(C363,'sản lượng'!$D$12:$AK$89,36,0)</f>
        <v>#N/A</v>
      </c>
      <c r="U363" s="975"/>
      <c r="V363" s="975"/>
      <c r="W363" s="975" t="e">
        <f>VLOOKUP(C363,'sản lượng'!$D$12:$AK$89,36,0)</f>
        <v>#N/A</v>
      </c>
      <c r="X363" s="975"/>
      <c r="Y363" s="975"/>
      <c r="Z363" s="975" t="e">
        <f t="shared" si="76"/>
        <v>#N/A</v>
      </c>
      <c r="AA363" s="975" t="e">
        <f>VLOOKUP(C363,'CHẤM CÔNG '!$D$12:$AL$89,33,0)</f>
        <v>#N/A</v>
      </c>
      <c r="AB363" s="975" t="e">
        <f>VLOOKUP(C363,'CHẤM CÔNG '!$D$12:$AL$89,34,0)</f>
        <v>#N/A</v>
      </c>
      <c r="AC363" s="975"/>
      <c r="AD363" s="975"/>
      <c r="AE363" s="975"/>
      <c r="AF363" s="975"/>
      <c r="AG363" s="975"/>
      <c r="AH363" s="975"/>
      <c r="AI363" s="975"/>
      <c r="AJ363" s="975"/>
      <c r="AK363" s="981"/>
      <c r="AL363" s="982" t="e">
        <f>VLOOKUP(C363,'sản lượng'!$D$12:$AM$89,38,0)</f>
        <v>#N/A</v>
      </c>
      <c r="AP363" s="944">
        <f t="shared" si="74"/>
        <v>2</v>
      </c>
      <c r="AR363" s="944">
        <v>1</v>
      </c>
    </row>
    <row r="364" spans="1:44" ht="15.75">
      <c r="A364" s="996">
        <v>48</v>
      </c>
      <c r="B364" s="1640" t="str">
        <f>VLOOKUP(C364,'DS CN MOI UP'!$B$10:$C$389,2,0)</f>
        <v>02606</v>
      </c>
      <c r="C364" s="1001" t="s">
        <v>253</v>
      </c>
      <c r="D364" s="1002" t="s">
        <v>15</v>
      </c>
      <c r="E364" s="960">
        <f t="shared" si="71"/>
        <v>24</v>
      </c>
      <c r="F364" s="960"/>
      <c r="G364" s="960"/>
      <c r="H364" s="1110"/>
      <c r="I364" s="960"/>
      <c r="J364" s="960"/>
      <c r="K364" s="960"/>
      <c r="L364" s="960"/>
      <c r="M364" s="960"/>
      <c r="N364" s="960"/>
      <c r="O364" s="960"/>
      <c r="P364" s="960"/>
      <c r="Q364" s="960"/>
      <c r="R364" s="960"/>
      <c r="S364" s="975">
        <f t="shared" si="75"/>
        <v>24</v>
      </c>
      <c r="T364" s="975" t="e">
        <f>VLOOKUP(C364,'sản lượng'!$D$12:$AK$89,36,0)</f>
        <v>#N/A</v>
      </c>
      <c r="U364" s="975"/>
      <c r="V364" s="975"/>
      <c r="W364" s="975" t="e">
        <f>VLOOKUP(C364,'sản lượng'!$D$12:$AK$89,36,0)</f>
        <v>#N/A</v>
      </c>
      <c r="X364" s="975"/>
      <c r="Y364" s="975"/>
      <c r="Z364" s="975" t="e">
        <f t="shared" si="76"/>
        <v>#N/A</v>
      </c>
      <c r="AA364" s="975" t="e">
        <f>VLOOKUP(C364,'CHẤM CÔNG '!$D$12:$AL$89,33,0)</f>
        <v>#N/A</v>
      </c>
      <c r="AB364" s="975" t="e">
        <f>VLOOKUP(C364,'CHẤM CÔNG '!$D$12:$AL$89,34,0)</f>
        <v>#N/A</v>
      </c>
      <c r="AC364" s="975"/>
      <c r="AD364" s="975"/>
      <c r="AE364" s="975"/>
      <c r="AF364" s="975"/>
      <c r="AG364" s="975"/>
      <c r="AH364" s="975"/>
      <c r="AI364" s="975"/>
      <c r="AJ364" s="975"/>
      <c r="AK364" s="981"/>
      <c r="AL364" s="982" t="e">
        <f>VLOOKUP(C364,'sản lượng'!$D$12:$AM$89,38,0)</f>
        <v>#N/A</v>
      </c>
      <c r="AP364" s="944">
        <f t="shared" si="74"/>
        <v>2</v>
      </c>
      <c r="AR364" s="944">
        <v>1</v>
      </c>
    </row>
    <row r="365" spans="1:44" ht="15.75">
      <c r="A365" s="996">
        <v>49</v>
      </c>
      <c r="B365" s="1640" t="str">
        <f>VLOOKUP(C365,'DS CN MOI UP'!$B$10:$C$389,2,0)</f>
        <v>02607</v>
      </c>
      <c r="C365" s="1001" t="s">
        <v>254</v>
      </c>
      <c r="D365" s="1002" t="s">
        <v>15</v>
      </c>
      <c r="E365" s="960">
        <f t="shared" si="71"/>
        <v>24</v>
      </c>
      <c r="F365" s="960"/>
      <c r="G365" s="960"/>
      <c r="H365" s="1110"/>
      <c r="I365" s="960"/>
      <c r="J365" s="960"/>
      <c r="K365" s="960"/>
      <c r="L365" s="960"/>
      <c r="M365" s="960"/>
      <c r="N365" s="960"/>
      <c r="O365" s="960"/>
      <c r="P365" s="960"/>
      <c r="Q365" s="960"/>
      <c r="R365" s="960"/>
      <c r="S365" s="975">
        <f t="shared" si="75"/>
        <v>24</v>
      </c>
      <c r="T365" s="975" t="e">
        <f>VLOOKUP(C365,'sản lượng'!$D$12:$AK$89,36,0)</f>
        <v>#N/A</v>
      </c>
      <c r="U365" s="975"/>
      <c r="V365" s="975"/>
      <c r="W365" s="975" t="e">
        <f>VLOOKUP(C365,'sản lượng'!$D$12:$AK$89,36,0)</f>
        <v>#N/A</v>
      </c>
      <c r="X365" s="975"/>
      <c r="Y365" s="975"/>
      <c r="Z365" s="975" t="e">
        <f t="shared" si="76"/>
        <v>#N/A</v>
      </c>
      <c r="AA365" s="975" t="e">
        <f>VLOOKUP(C365,'CHẤM CÔNG '!$D$12:$AL$89,33,0)</f>
        <v>#N/A</v>
      </c>
      <c r="AB365" s="975" t="e">
        <f>VLOOKUP(C365,'CHẤM CÔNG '!$D$12:$AL$89,34,0)</f>
        <v>#N/A</v>
      </c>
      <c r="AC365" s="975"/>
      <c r="AD365" s="975"/>
      <c r="AE365" s="975"/>
      <c r="AF365" s="975"/>
      <c r="AG365" s="975"/>
      <c r="AH365" s="975"/>
      <c r="AI365" s="975"/>
      <c r="AJ365" s="975"/>
      <c r="AK365" s="981"/>
      <c r="AL365" s="982" t="e">
        <f>VLOOKUP(C365,'sản lượng'!$D$12:$AM$89,38,0)</f>
        <v>#N/A</v>
      </c>
      <c r="AP365" s="944">
        <f t="shared" si="74"/>
        <v>2</v>
      </c>
      <c r="AR365" s="944">
        <v>1</v>
      </c>
    </row>
    <row r="366" spans="1:44" ht="15.75">
      <c r="A366" s="996">
        <v>50</v>
      </c>
      <c r="B366" s="1640" t="str">
        <f>VLOOKUP(C366,'DS CN MOI UP'!$B$10:$C$389,2,0)</f>
        <v>02612</v>
      </c>
      <c r="C366" s="1001" t="s">
        <v>255</v>
      </c>
      <c r="D366" s="1002" t="s">
        <v>15</v>
      </c>
      <c r="E366" s="960">
        <f t="shared" si="71"/>
        <v>24</v>
      </c>
      <c r="F366" s="960"/>
      <c r="G366" s="960"/>
      <c r="H366" s="1110"/>
      <c r="I366" s="960"/>
      <c r="J366" s="960"/>
      <c r="K366" s="960"/>
      <c r="L366" s="960"/>
      <c r="M366" s="960"/>
      <c r="N366" s="960"/>
      <c r="O366" s="960"/>
      <c r="P366" s="960"/>
      <c r="Q366" s="960"/>
      <c r="R366" s="960"/>
      <c r="S366" s="975">
        <f t="shared" si="75"/>
        <v>24</v>
      </c>
      <c r="T366" s="975" t="e">
        <f>VLOOKUP(C366,'sản lượng'!$D$12:$AK$89,36,0)</f>
        <v>#N/A</v>
      </c>
      <c r="U366" s="975"/>
      <c r="V366" s="975"/>
      <c r="W366" s="975" t="e">
        <f>VLOOKUP(C366,'sản lượng'!$D$12:$AK$89,36,0)</f>
        <v>#N/A</v>
      </c>
      <c r="X366" s="975"/>
      <c r="Y366" s="975"/>
      <c r="Z366" s="975" t="e">
        <f t="shared" si="76"/>
        <v>#N/A</v>
      </c>
      <c r="AA366" s="975" t="e">
        <f>VLOOKUP(C366,'CHẤM CÔNG '!$D$12:$AL$89,33,0)</f>
        <v>#N/A</v>
      </c>
      <c r="AB366" s="975" t="e">
        <f>VLOOKUP(C366,'CHẤM CÔNG '!$D$12:$AL$89,34,0)</f>
        <v>#N/A</v>
      </c>
      <c r="AC366" s="975"/>
      <c r="AD366" s="975"/>
      <c r="AE366" s="975"/>
      <c r="AF366" s="975"/>
      <c r="AG366" s="975"/>
      <c r="AH366" s="975"/>
      <c r="AI366" s="975"/>
      <c r="AJ366" s="975"/>
      <c r="AK366" s="981"/>
      <c r="AL366" s="982" t="e">
        <f>VLOOKUP(C366,'sản lượng'!$D$12:$AM$89,38,0)</f>
        <v>#N/A</v>
      </c>
      <c r="AP366" s="944">
        <f t="shared" si="74"/>
        <v>2</v>
      </c>
      <c r="AR366" s="944">
        <v>1</v>
      </c>
    </row>
    <row r="367" spans="1:44" ht="15.75">
      <c r="A367" s="996">
        <v>51</v>
      </c>
      <c r="B367" s="1640" t="str">
        <f>VLOOKUP(C367,'DS CN MOI UP'!$B$10:$C$389,2,0)</f>
        <v>02574</v>
      </c>
      <c r="C367" s="1001" t="s">
        <v>256</v>
      </c>
      <c r="D367" s="1002" t="s">
        <v>15</v>
      </c>
      <c r="E367" s="960">
        <f t="shared" si="71"/>
        <v>24</v>
      </c>
      <c r="F367" s="960"/>
      <c r="G367" s="960"/>
      <c r="H367" s="1110"/>
      <c r="I367" s="960"/>
      <c r="J367" s="960"/>
      <c r="K367" s="960"/>
      <c r="L367" s="960"/>
      <c r="M367" s="960"/>
      <c r="N367" s="960"/>
      <c r="O367" s="960"/>
      <c r="P367" s="960"/>
      <c r="Q367" s="960"/>
      <c r="R367" s="960"/>
      <c r="S367" s="975">
        <f t="shared" si="75"/>
        <v>24</v>
      </c>
      <c r="T367" s="975" t="e">
        <f>VLOOKUP(C367,'sản lượng'!$D$12:$AK$89,36,0)</f>
        <v>#N/A</v>
      </c>
      <c r="U367" s="975"/>
      <c r="V367" s="975"/>
      <c r="W367" s="975" t="e">
        <f>VLOOKUP(C367,'sản lượng'!$D$12:$AK$89,36,0)</f>
        <v>#N/A</v>
      </c>
      <c r="X367" s="975"/>
      <c r="Y367" s="975"/>
      <c r="Z367" s="975" t="e">
        <f t="shared" si="76"/>
        <v>#N/A</v>
      </c>
      <c r="AA367" s="975" t="e">
        <f>VLOOKUP(C367,'CHẤM CÔNG '!$D$12:$AL$89,33,0)</f>
        <v>#N/A</v>
      </c>
      <c r="AB367" s="975" t="e">
        <f>VLOOKUP(C367,'CHẤM CÔNG '!$D$12:$AL$89,34,0)</f>
        <v>#N/A</v>
      </c>
      <c r="AC367" s="975"/>
      <c r="AD367" s="975"/>
      <c r="AE367" s="975"/>
      <c r="AF367" s="975"/>
      <c r="AG367" s="975"/>
      <c r="AH367" s="975"/>
      <c r="AI367" s="975"/>
      <c r="AJ367" s="975"/>
      <c r="AK367" s="981"/>
      <c r="AL367" s="982" t="e">
        <f>VLOOKUP(C367,'sản lượng'!$D$12:$AM$89,38,0)</f>
        <v>#N/A</v>
      </c>
      <c r="AP367" s="944">
        <f t="shared" si="74"/>
        <v>2</v>
      </c>
      <c r="AR367" s="944">
        <v>1</v>
      </c>
    </row>
    <row r="368" spans="1:44" ht="15.75">
      <c r="A368" s="996">
        <v>52</v>
      </c>
      <c r="B368" s="1640" t="str">
        <f>VLOOKUP(C368,'DS CN MOI UP'!$B$10:$C$389,2,0)</f>
        <v>02577</v>
      </c>
      <c r="C368" s="1001" t="s">
        <v>257</v>
      </c>
      <c r="D368" s="1002" t="s">
        <v>15</v>
      </c>
      <c r="E368" s="960">
        <f t="shared" si="71"/>
        <v>24</v>
      </c>
      <c r="F368" s="960"/>
      <c r="G368" s="960"/>
      <c r="H368" s="1110"/>
      <c r="I368" s="960"/>
      <c r="J368" s="960"/>
      <c r="K368" s="960"/>
      <c r="L368" s="960"/>
      <c r="M368" s="960"/>
      <c r="N368" s="960"/>
      <c r="O368" s="960"/>
      <c r="P368" s="960"/>
      <c r="Q368" s="960"/>
      <c r="R368" s="960"/>
      <c r="S368" s="975">
        <f t="shared" si="75"/>
        <v>24</v>
      </c>
      <c r="T368" s="975" t="e">
        <f>VLOOKUP(C368,'sản lượng'!$D$12:$AK$89,36,0)</f>
        <v>#N/A</v>
      </c>
      <c r="U368" s="975"/>
      <c r="V368" s="975"/>
      <c r="W368" s="975" t="e">
        <f>VLOOKUP(C368,'sản lượng'!$D$12:$AK$89,36,0)</f>
        <v>#N/A</v>
      </c>
      <c r="X368" s="975"/>
      <c r="Y368" s="975"/>
      <c r="Z368" s="975" t="e">
        <f t="shared" si="76"/>
        <v>#N/A</v>
      </c>
      <c r="AA368" s="975" t="e">
        <f>VLOOKUP(C368,'CHẤM CÔNG '!$D$12:$AL$89,33,0)</f>
        <v>#N/A</v>
      </c>
      <c r="AB368" s="975" t="e">
        <f>VLOOKUP(C368,'CHẤM CÔNG '!$D$12:$AL$89,34,0)</f>
        <v>#N/A</v>
      </c>
      <c r="AC368" s="975"/>
      <c r="AD368" s="975"/>
      <c r="AE368" s="975"/>
      <c r="AF368" s="975"/>
      <c r="AG368" s="975"/>
      <c r="AH368" s="975"/>
      <c r="AI368" s="975"/>
      <c r="AJ368" s="975"/>
      <c r="AK368" s="981"/>
      <c r="AL368" s="982" t="e">
        <f>VLOOKUP(C368,'sản lượng'!$D$12:$AM$89,38,0)</f>
        <v>#N/A</v>
      </c>
      <c r="AP368" s="944">
        <f t="shared" si="74"/>
        <v>2</v>
      </c>
      <c r="AR368" s="944">
        <v>1</v>
      </c>
    </row>
    <row r="369" spans="1:44" ht="15.75">
      <c r="A369" s="996">
        <v>53</v>
      </c>
      <c r="B369" s="1640" t="str">
        <f>VLOOKUP(C369,'DS CN MOI UP'!$B$10:$C$389,2,0)</f>
        <v>02605</v>
      </c>
      <c r="C369" s="1001" t="s">
        <v>258</v>
      </c>
      <c r="D369" s="1002" t="s">
        <v>15</v>
      </c>
      <c r="E369" s="960">
        <f t="shared" si="71"/>
        <v>24</v>
      </c>
      <c r="F369" s="960"/>
      <c r="G369" s="960"/>
      <c r="H369" s="1110"/>
      <c r="I369" s="960"/>
      <c r="J369" s="960"/>
      <c r="K369" s="960"/>
      <c r="L369" s="960"/>
      <c r="M369" s="960"/>
      <c r="N369" s="960"/>
      <c r="O369" s="960"/>
      <c r="P369" s="960"/>
      <c r="Q369" s="960"/>
      <c r="R369" s="960"/>
      <c r="S369" s="975">
        <f t="shared" si="75"/>
        <v>24</v>
      </c>
      <c r="T369" s="975" t="e">
        <f>VLOOKUP(C369,'sản lượng'!$D$12:$AK$89,36,0)</f>
        <v>#N/A</v>
      </c>
      <c r="U369" s="975"/>
      <c r="V369" s="975"/>
      <c r="W369" s="975" t="e">
        <f>VLOOKUP(C369,'sản lượng'!$D$12:$AK$89,36,0)</f>
        <v>#N/A</v>
      </c>
      <c r="X369" s="975"/>
      <c r="Y369" s="975"/>
      <c r="Z369" s="975" t="e">
        <f t="shared" si="76"/>
        <v>#N/A</v>
      </c>
      <c r="AA369" s="975" t="e">
        <f>VLOOKUP(C369,'CHẤM CÔNG '!$D$12:$AL$89,33,0)</f>
        <v>#N/A</v>
      </c>
      <c r="AB369" s="975" t="e">
        <f>VLOOKUP(C369,'CHẤM CÔNG '!$D$12:$AL$89,34,0)</f>
        <v>#N/A</v>
      </c>
      <c r="AC369" s="975"/>
      <c r="AD369" s="975"/>
      <c r="AE369" s="975"/>
      <c r="AF369" s="975"/>
      <c r="AG369" s="975"/>
      <c r="AH369" s="975"/>
      <c r="AI369" s="975"/>
      <c r="AJ369" s="975"/>
      <c r="AK369" s="981"/>
      <c r="AL369" s="982" t="e">
        <f>VLOOKUP(C369,'sản lượng'!$D$12:$AM$89,38,0)</f>
        <v>#N/A</v>
      </c>
      <c r="AP369" s="944">
        <f t="shared" si="74"/>
        <v>2</v>
      </c>
      <c r="AR369" s="944">
        <v>1</v>
      </c>
    </row>
    <row r="370" spans="1:44" ht="15.75">
      <c r="A370" s="996">
        <v>54</v>
      </c>
      <c r="B370" s="1640" t="str">
        <f>VLOOKUP(C370,'DS CN MOI UP'!$B$10:$C$389,2,0)</f>
        <v>02588</v>
      </c>
      <c r="C370" s="1001" t="s">
        <v>259</v>
      </c>
      <c r="D370" s="1002" t="s">
        <v>15</v>
      </c>
      <c r="E370" s="960">
        <f t="shared" si="71"/>
        <v>24</v>
      </c>
      <c r="F370" s="960"/>
      <c r="G370" s="960"/>
      <c r="H370" s="1110"/>
      <c r="I370" s="960"/>
      <c r="J370" s="960"/>
      <c r="K370" s="960"/>
      <c r="L370" s="960"/>
      <c r="M370" s="960"/>
      <c r="N370" s="960"/>
      <c r="O370" s="960"/>
      <c r="P370" s="960"/>
      <c r="Q370" s="960"/>
      <c r="R370" s="960"/>
      <c r="S370" s="975">
        <f t="shared" si="75"/>
        <v>24</v>
      </c>
      <c r="T370" s="975" t="e">
        <f>VLOOKUP(C370,'sản lượng'!$D$12:$AK$89,36,0)</f>
        <v>#N/A</v>
      </c>
      <c r="U370" s="975"/>
      <c r="V370" s="975"/>
      <c r="W370" s="975" t="e">
        <f>VLOOKUP(C370,'sản lượng'!$D$12:$AK$89,36,0)</f>
        <v>#N/A</v>
      </c>
      <c r="X370" s="975"/>
      <c r="Y370" s="975"/>
      <c r="Z370" s="975" t="e">
        <f t="shared" si="76"/>
        <v>#N/A</v>
      </c>
      <c r="AA370" s="975" t="e">
        <f>VLOOKUP(C370,'CHẤM CÔNG '!$D$12:$AL$89,33,0)</f>
        <v>#N/A</v>
      </c>
      <c r="AB370" s="975" t="e">
        <f>VLOOKUP(C370,'CHẤM CÔNG '!$D$12:$AL$89,34,0)</f>
        <v>#N/A</v>
      </c>
      <c r="AC370" s="975"/>
      <c r="AD370" s="975"/>
      <c r="AE370" s="975"/>
      <c r="AF370" s="975"/>
      <c r="AG370" s="975"/>
      <c r="AH370" s="975"/>
      <c r="AI370" s="975"/>
      <c r="AJ370" s="975"/>
      <c r="AK370" s="981"/>
      <c r="AL370" s="982" t="e">
        <f>VLOOKUP(C370,'sản lượng'!$D$12:$AM$89,38,0)</f>
        <v>#N/A</v>
      </c>
      <c r="AP370" s="944">
        <f t="shared" si="74"/>
        <v>2</v>
      </c>
      <c r="AR370" s="944">
        <v>1</v>
      </c>
    </row>
    <row r="371" spans="1:44" ht="15.75">
      <c r="A371" s="996">
        <v>55</v>
      </c>
      <c r="B371" s="1640" t="str">
        <f>VLOOKUP(C371,'DS CN MOI UP'!$B$10:$C$389,2,0)</f>
        <v>03857</v>
      </c>
      <c r="C371" s="1001" t="s">
        <v>260</v>
      </c>
      <c r="D371" s="1002" t="s">
        <v>15</v>
      </c>
      <c r="E371" s="960">
        <f t="shared" si="71"/>
        <v>24</v>
      </c>
      <c r="F371" s="960"/>
      <c r="G371" s="960"/>
      <c r="H371" s="1110"/>
      <c r="I371" s="960"/>
      <c r="J371" s="960"/>
      <c r="K371" s="960"/>
      <c r="L371" s="960"/>
      <c r="M371" s="960"/>
      <c r="N371" s="960"/>
      <c r="O371" s="960"/>
      <c r="P371" s="960"/>
      <c r="Q371" s="960"/>
      <c r="R371" s="960"/>
      <c r="S371" s="975">
        <f t="shared" ref="S371:S383" si="77">SUM(E371:R371)</f>
        <v>24</v>
      </c>
      <c r="T371" s="975" t="e">
        <f>VLOOKUP(C371,'sản lượng'!$D$12:$AK$89,36,0)</f>
        <v>#N/A</v>
      </c>
      <c r="U371" s="975"/>
      <c r="V371" s="975"/>
      <c r="W371" s="975" t="e">
        <f>VLOOKUP(C371,'sản lượng'!$D$12:$AK$89,36,0)</f>
        <v>#N/A</v>
      </c>
      <c r="X371" s="975"/>
      <c r="Y371" s="975"/>
      <c r="Z371" s="975" t="e">
        <f t="shared" si="76"/>
        <v>#N/A</v>
      </c>
      <c r="AA371" s="975" t="e">
        <f>VLOOKUP(C371,'CHẤM CÔNG '!$D$12:$AL$89,33,0)</f>
        <v>#N/A</v>
      </c>
      <c r="AB371" s="975" t="e">
        <f>VLOOKUP(C371,'CHẤM CÔNG '!$D$12:$AL$89,34,0)</f>
        <v>#N/A</v>
      </c>
      <c r="AC371" s="975"/>
      <c r="AD371" s="975"/>
      <c r="AE371" s="975"/>
      <c r="AF371" s="975"/>
      <c r="AG371" s="975"/>
      <c r="AH371" s="975"/>
      <c r="AI371" s="975"/>
      <c r="AJ371" s="975"/>
      <c r="AK371" s="981"/>
      <c r="AL371" s="982" t="e">
        <f>VLOOKUP(C371,'sản lượng'!$D$12:$AM$89,38,0)</f>
        <v>#N/A</v>
      </c>
      <c r="AP371" s="944">
        <f t="shared" si="74"/>
        <v>2</v>
      </c>
      <c r="AR371" s="944">
        <v>1</v>
      </c>
    </row>
    <row r="372" spans="1:44" ht="15.75">
      <c r="A372" s="996">
        <v>56</v>
      </c>
      <c r="B372" s="1640" t="str">
        <f>VLOOKUP(C372,'DS CN MOI UP'!$B$10:$C$389,2,0)</f>
        <v>02597</v>
      </c>
      <c r="C372" s="1001" t="s">
        <v>261</v>
      </c>
      <c r="D372" s="1002" t="s">
        <v>15</v>
      </c>
      <c r="E372" s="960">
        <f t="shared" si="71"/>
        <v>24</v>
      </c>
      <c r="F372" s="960"/>
      <c r="G372" s="960"/>
      <c r="H372" s="1110"/>
      <c r="I372" s="960"/>
      <c r="J372" s="960"/>
      <c r="K372" s="960"/>
      <c r="L372" s="960"/>
      <c r="M372" s="960"/>
      <c r="N372" s="960"/>
      <c r="O372" s="960"/>
      <c r="P372" s="960"/>
      <c r="Q372" s="960"/>
      <c r="R372" s="960"/>
      <c r="S372" s="975">
        <f t="shared" si="77"/>
        <v>24</v>
      </c>
      <c r="T372" s="975" t="e">
        <f>VLOOKUP(C372,'sản lượng'!$D$12:$AK$89,36,0)</f>
        <v>#N/A</v>
      </c>
      <c r="U372" s="975"/>
      <c r="V372" s="975"/>
      <c r="W372" s="975" t="e">
        <f>VLOOKUP(C372,'sản lượng'!$D$12:$AK$89,36,0)</f>
        <v>#N/A</v>
      </c>
      <c r="X372" s="975"/>
      <c r="Y372" s="975"/>
      <c r="Z372" s="975" t="e">
        <f t="shared" si="76"/>
        <v>#N/A</v>
      </c>
      <c r="AA372" s="975" t="e">
        <f>VLOOKUP(C372,'CHẤM CÔNG '!$D$12:$AL$89,33,0)</f>
        <v>#N/A</v>
      </c>
      <c r="AB372" s="975" t="e">
        <f>VLOOKUP(C372,'CHẤM CÔNG '!$D$12:$AL$89,34,0)</f>
        <v>#N/A</v>
      </c>
      <c r="AC372" s="975"/>
      <c r="AD372" s="975"/>
      <c r="AE372" s="975"/>
      <c r="AF372" s="975"/>
      <c r="AG372" s="975"/>
      <c r="AH372" s="975"/>
      <c r="AI372" s="975"/>
      <c r="AJ372" s="975"/>
      <c r="AK372" s="981"/>
      <c r="AL372" s="982" t="e">
        <f>VLOOKUP(C372,'sản lượng'!$D$12:$AM$89,38,0)</f>
        <v>#N/A</v>
      </c>
      <c r="AP372" s="944">
        <f t="shared" si="74"/>
        <v>2</v>
      </c>
      <c r="AR372" s="944">
        <v>1</v>
      </c>
    </row>
    <row r="373" spans="1:44" ht="15.75">
      <c r="A373" s="996">
        <v>57</v>
      </c>
      <c r="B373" s="1640" t="str">
        <f>VLOOKUP(C373,'DS CN MOI UP'!$B$10:$C$389,2,0)</f>
        <v>02590</v>
      </c>
      <c r="C373" s="1001" t="s">
        <v>262</v>
      </c>
      <c r="D373" s="1002" t="s">
        <v>15</v>
      </c>
      <c r="E373" s="960">
        <f t="shared" si="71"/>
        <v>24</v>
      </c>
      <c r="F373" s="960"/>
      <c r="G373" s="960"/>
      <c r="H373" s="1110"/>
      <c r="I373" s="960"/>
      <c r="J373" s="960"/>
      <c r="K373" s="960"/>
      <c r="L373" s="960"/>
      <c r="M373" s="960"/>
      <c r="N373" s="960"/>
      <c r="O373" s="960"/>
      <c r="P373" s="960"/>
      <c r="Q373" s="960"/>
      <c r="R373" s="960"/>
      <c r="S373" s="975">
        <f t="shared" si="77"/>
        <v>24</v>
      </c>
      <c r="T373" s="975" t="e">
        <f>VLOOKUP(C373,'sản lượng'!$D$12:$AK$89,36,0)</f>
        <v>#N/A</v>
      </c>
      <c r="U373" s="975"/>
      <c r="V373" s="975"/>
      <c r="W373" s="975" t="e">
        <f>VLOOKUP(C373,'sản lượng'!$D$12:$AK$89,36,0)</f>
        <v>#N/A</v>
      </c>
      <c r="X373" s="975"/>
      <c r="Y373" s="975"/>
      <c r="Z373" s="975" t="e">
        <f t="shared" si="76"/>
        <v>#N/A</v>
      </c>
      <c r="AA373" s="975" t="e">
        <f>VLOOKUP(C373,'CHẤM CÔNG '!$D$12:$AL$89,33,0)</f>
        <v>#N/A</v>
      </c>
      <c r="AB373" s="975" t="e">
        <f>VLOOKUP(C373,'CHẤM CÔNG '!$D$12:$AL$89,34,0)</f>
        <v>#N/A</v>
      </c>
      <c r="AC373" s="975"/>
      <c r="AD373" s="975"/>
      <c r="AE373" s="975"/>
      <c r="AF373" s="975"/>
      <c r="AG373" s="975"/>
      <c r="AH373" s="975"/>
      <c r="AI373" s="975"/>
      <c r="AJ373" s="975"/>
      <c r="AK373" s="981"/>
      <c r="AL373" s="982" t="e">
        <f>VLOOKUP(C373,'sản lượng'!$D$12:$AM$89,38,0)</f>
        <v>#N/A</v>
      </c>
      <c r="AP373" s="944">
        <f t="shared" si="74"/>
        <v>2</v>
      </c>
      <c r="AR373" s="944">
        <v>1</v>
      </c>
    </row>
    <row r="374" spans="1:44" ht="15.75">
      <c r="A374" s="996">
        <v>58</v>
      </c>
      <c r="B374" s="1640" t="str">
        <f>VLOOKUP(C374,'DS CN MOI UP'!$B$10:$C$389,2,0)</f>
        <v>02585</v>
      </c>
      <c r="C374" s="1001" t="s">
        <v>263</v>
      </c>
      <c r="D374" s="1002" t="s">
        <v>15</v>
      </c>
      <c r="E374" s="960">
        <f t="shared" si="71"/>
        <v>24</v>
      </c>
      <c r="F374" s="960"/>
      <c r="G374" s="960"/>
      <c r="H374" s="1110"/>
      <c r="I374" s="960"/>
      <c r="J374" s="960"/>
      <c r="K374" s="960"/>
      <c r="L374" s="960"/>
      <c r="M374" s="960"/>
      <c r="N374" s="960"/>
      <c r="O374" s="960"/>
      <c r="P374" s="960"/>
      <c r="Q374" s="960"/>
      <c r="R374" s="960"/>
      <c r="S374" s="975">
        <f t="shared" si="77"/>
        <v>24</v>
      </c>
      <c r="T374" s="975" t="e">
        <f>VLOOKUP(C374,'sản lượng'!$D$12:$AK$89,36,0)</f>
        <v>#N/A</v>
      </c>
      <c r="U374" s="975"/>
      <c r="V374" s="975"/>
      <c r="W374" s="975" t="e">
        <f>VLOOKUP(C374,'sản lượng'!$D$12:$AK$89,36,0)</f>
        <v>#N/A</v>
      </c>
      <c r="X374" s="975"/>
      <c r="Y374" s="975"/>
      <c r="Z374" s="975" t="e">
        <f t="shared" si="76"/>
        <v>#N/A</v>
      </c>
      <c r="AA374" s="975" t="e">
        <f>VLOOKUP(C374,'CHẤM CÔNG '!$D$12:$AL$89,33,0)</f>
        <v>#N/A</v>
      </c>
      <c r="AB374" s="975" t="e">
        <f>VLOOKUP(C374,'CHẤM CÔNG '!$D$12:$AL$89,34,0)</f>
        <v>#N/A</v>
      </c>
      <c r="AC374" s="975"/>
      <c r="AD374" s="975"/>
      <c r="AE374" s="975"/>
      <c r="AF374" s="975"/>
      <c r="AG374" s="975"/>
      <c r="AH374" s="975"/>
      <c r="AI374" s="975"/>
      <c r="AJ374" s="975"/>
      <c r="AK374" s="981"/>
      <c r="AL374" s="982" t="e">
        <f>VLOOKUP(C374,'sản lượng'!$D$12:$AM$89,38,0)</f>
        <v>#N/A</v>
      </c>
      <c r="AP374" s="944">
        <f t="shared" si="74"/>
        <v>2</v>
      </c>
      <c r="AR374" s="944">
        <v>1</v>
      </c>
    </row>
    <row r="375" spans="1:44" ht="15.75">
      <c r="A375" s="996">
        <v>59</v>
      </c>
      <c r="B375" s="1640" t="str">
        <f>VLOOKUP(C375,'DS CN MOI UP'!$B$10:$C$389,2,0)</f>
        <v>03399</v>
      </c>
      <c r="C375" s="1001" t="s">
        <v>264</v>
      </c>
      <c r="D375" s="1002" t="s">
        <v>15</v>
      </c>
      <c r="E375" s="960">
        <f t="shared" si="71"/>
        <v>24</v>
      </c>
      <c r="F375" s="960"/>
      <c r="G375" s="960"/>
      <c r="H375" s="1110"/>
      <c r="I375" s="960"/>
      <c r="J375" s="960"/>
      <c r="K375" s="960"/>
      <c r="L375" s="960"/>
      <c r="M375" s="960"/>
      <c r="N375" s="960"/>
      <c r="O375" s="960"/>
      <c r="P375" s="960"/>
      <c r="Q375" s="960"/>
      <c r="R375" s="960"/>
      <c r="S375" s="975">
        <f t="shared" si="77"/>
        <v>24</v>
      </c>
      <c r="T375" s="975" t="e">
        <f>VLOOKUP(C375,'sản lượng'!$D$12:$AK$89,36,0)</f>
        <v>#N/A</v>
      </c>
      <c r="U375" s="975"/>
      <c r="V375" s="975"/>
      <c r="W375" s="975" t="e">
        <f>VLOOKUP(C375,'sản lượng'!$D$12:$AK$89,36,0)</f>
        <v>#N/A</v>
      </c>
      <c r="X375" s="975"/>
      <c r="Y375" s="975"/>
      <c r="Z375" s="975" t="e">
        <f t="shared" si="76"/>
        <v>#N/A</v>
      </c>
      <c r="AA375" s="975" t="e">
        <f>VLOOKUP(C375,'CHẤM CÔNG '!$D$12:$AL$89,33,0)</f>
        <v>#N/A</v>
      </c>
      <c r="AB375" s="975" t="e">
        <f>VLOOKUP(C375,'CHẤM CÔNG '!$D$12:$AL$89,34,0)</f>
        <v>#N/A</v>
      </c>
      <c r="AC375" s="975"/>
      <c r="AD375" s="975"/>
      <c r="AE375" s="975"/>
      <c r="AF375" s="975"/>
      <c r="AG375" s="975"/>
      <c r="AH375" s="975"/>
      <c r="AI375" s="975"/>
      <c r="AJ375" s="975"/>
      <c r="AK375" s="981"/>
      <c r="AL375" s="982" t="e">
        <f>VLOOKUP(C375,'sản lượng'!$D$12:$AM$89,38,0)</f>
        <v>#N/A</v>
      </c>
      <c r="AP375" s="944">
        <f t="shared" si="74"/>
        <v>2</v>
      </c>
      <c r="AR375" s="944">
        <v>1</v>
      </c>
    </row>
    <row r="376" spans="1:44" ht="15.75">
      <c r="A376" s="996">
        <v>60</v>
      </c>
      <c r="B376" s="1640" t="str">
        <f>VLOOKUP(C376,'DS CN MOI UP'!$B$10:$C$389,2,0)</f>
        <v>02584</v>
      </c>
      <c r="C376" s="1001" t="s">
        <v>265</v>
      </c>
      <c r="D376" s="1002" t="s">
        <v>15</v>
      </c>
      <c r="E376" s="960">
        <f t="shared" si="71"/>
        <v>24</v>
      </c>
      <c r="F376" s="960"/>
      <c r="G376" s="960"/>
      <c r="H376" s="1110"/>
      <c r="I376" s="960"/>
      <c r="J376" s="960"/>
      <c r="K376" s="960"/>
      <c r="L376" s="960"/>
      <c r="M376" s="960"/>
      <c r="N376" s="960"/>
      <c r="O376" s="960"/>
      <c r="P376" s="960"/>
      <c r="Q376" s="960"/>
      <c r="R376" s="960"/>
      <c r="S376" s="975">
        <f t="shared" si="77"/>
        <v>24</v>
      </c>
      <c r="T376" s="975" t="e">
        <f>VLOOKUP(C376,'sản lượng'!$D$12:$AK$89,36,0)</f>
        <v>#N/A</v>
      </c>
      <c r="U376" s="975"/>
      <c r="V376" s="975"/>
      <c r="W376" s="975" t="e">
        <f>VLOOKUP(C376,'sản lượng'!$D$12:$AK$89,36,0)</f>
        <v>#N/A</v>
      </c>
      <c r="X376" s="975"/>
      <c r="Y376" s="975"/>
      <c r="Z376" s="975" t="e">
        <f t="shared" si="76"/>
        <v>#N/A</v>
      </c>
      <c r="AA376" s="975" t="e">
        <f>VLOOKUP(C376,'CHẤM CÔNG '!$D$12:$AL$89,33,0)</f>
        <v>#N/A</v>
      </c>
      <c r="AB376" s="975" t="e">
        <f>VLOOKUP(C376,'CHẤM CÔNG '!$D$12:$AL$89,34,0)</f>
        <v>#N/A</v>
      </c>
      <c r="AC376" s="975"/>
      <c r="AD376" s="975"/>
      <c r="AE376" s="975"/>
      <c r="AF376" s="975"/>
      <c r="AG376" s="975"/>
      <c r="AH376" s="975"/>
      <c r="AI376" s="975"/>
      <c r="AJ376" s="975"/>
      <c r="AK376" s="981"/>
      <c r="AL376" s="982" t="e">
        <f>VLOOKUP(C376,'sản lượng'!$D$12:$AM$89,38,0)</f>
        <v>#N/A</v>
      </c>
      <c r="AP376" s="944">
        <f t="shared" si="74"/>
        <v>2</v>
      </c>
      <c r="AR376" s="944">
        <v>1</v>
      </c>
    </row>
    <row r="377" spans="1:44" ht="15.75">
      <c r="A377" s="996">
        <v>61</v>
      </c>
      <c r="B377" s="1640" t="str">
        <f>VLOOKUP(C377,'DS CN MOI UP'!$B$10:$C$389,2,0)</f>
        <v>02698</v>
      </c>
      <c r="C377" s="1001" t="s">
        <v>266</v>
      </c>
      <c r="D377" s="1002" t="s">
        <v>15</v>
      </c>
      <c r="E377" s="960">
        <f t="shared" si="71"/>
        <v>24</v>
      </c>
      <c r="F377" s="960"/>
      <c r="G377" s="960"/>
      <c r="H377" s="1110"/>
      <c r="I377" s="960"/>
      <c r="J377" s="960"/>
      <c r="K377" s="960"/>
      <c r="L377" s="960"/>
      <c r="M377" s="960"/>
      <c r="N377" s="960"/>
      <c r="O377" s="960"/>
      <c r="P377" s="960"/>
      <c r="Q377" s="960"/>
      <c r="R377" s="960"/>
      <c r="S377" s="975">
        <f t="shared" si="77"/>
        <v>24</v>
      </c>
      <c r="T377" s="975" t="e">
        <f>VLOOKUP(C377,'sản lượng'!$D$12:$AK$89,36,0)</f>
        <v>#N/A</v>
      </c>
      <c r="U377" s="975"/>
      <c r="V377" s="975"/>
      <c r="W377" s="975" t="e">
        <f>VLOOKUP(C377,'sản lượng'!$D$12:$AK$89,36,0)</f>
        <v>#N/A</v>
      </c>
      <c r="X377" s="975"/>
      <c r="Y377" s="975"/>
      <c r="Z377" s="975" t="e">
        <f t="shared" si="76"/>
        <v>#N/A</v>
      </c>
      <c r="AA377" s="975" t="e">
        <f>VLOOKUP(C377,'CHẤM CÔNG '!$D$12:$AL$89,33,0)</f>
        <v>#N/A</v>
      </c>
      <c r="AB377" s="975" t="e">
        <f>VLOOKUP(C377,'CHẤM CÔNG '!$D$12:$AL$89,34,0)</f>
        <v>#N/A</v>
      </c>
      <c r="AC377" s="975"/>
      <c r="AD377" s="975"/>
      <c r="AE377" s="975"/>
      <c r="AF377" s="975"/>
      <c r="AG377" s="975"/>
      <c r="AH377" s="975"/>
      <c r="AI377" s="975"/>
      <c r="AJ377" s="975"/>
      <c r="AK377" s="981"/>
      <c r="AL377" s="982" t="e">
        <f>VLOOKUP(C377,'sản lượng'!$D$12:$AM$89,38,0)</f>
        <v>#N/A</v>
      </c>
      <c r="AP377" s="944">
        <f t="shared" si="74"/>
        <v>2</v>
      </c>
      <c r="AR377" s="944">
        <v>1</v>
      </c>
    </row>
    <row r="378" spans="1:44" ht="15.75">
      <c r="A378" s="996">
        <v>62</v>
      </c>
      <c r="B378" s="1640" t="str">
        <f>VLOOKUP(C378,'DS CN MOI UP'!$B$10:$C$389,2,0)</f>
        <v>03858</v>
      </c>
      <c r="C378" s="1001" t="s">
        <v>267</v>
      </c>
      <c r="D378" s="1002" t="s">
        <v>15</v>
      </c>
      <c r="E378" s="960">
        <f t="shared" si="71"/>
        <v>24</v>
      </c>
      <c r="F378" s="960"/>
      <c r="G378" s="960"/>
      <c r="H378" s="1110"/>
      <c r="I378" s="960"/>
      <c r="J378" s="960"/>
      <c r="K378" s="960"/>
      <c r="L378" s="960"/>
      <c r="M378" s="960"/>
      <c r="N378" s="960"/>
      <c r="O378" s="960"/>
      <c r="P378" s="960"/>
      <c r="Q378" s="960"/>
      <c r="R378" s="960"/>
      <c r="S378" s="975">
        <f t="shared" si="77"/>
        <v>24</v>
      </c>
      <c r="T378" s="975" t="e">
        <f>VLOOKUP(C378,'sản lượng'!$D$12:$AK$89,36,0)</f>
        <v>#N/A</v>
      </c>
      <c r="U378" s="975"/>
      <c r="V378" s="975"/>
      <c r="W378" s="975" t="e">
        <f>VLOOKUP(C378,'sản lượng'!$D$12:$AK$89,36,0)</f>
        <v>#N/A</v>
      </c>
      <c r="X378" s="975"/>
      <c r="Y378" s="975"/>
      <c r="Z378" s="975" t="e">
        <f t="shared" si="76"/>
        <v>#N/A</v>
      </c>
      <c r="AA378" s="975" t="e">
        <f>VLOOKUP(C378,'CHẤM CÔNG '!$D$12:$AL$89,33,0)</f>
        <v>#N/A</v>
      </c>
      <c r="AB378" s="975" t="e">
        <f>VLOOKUP(C378,'CHẤM CÔNG '!$D$12:$AL$89,34,0)</f>
        <v>#N/A</v>
      </c>
      <c r="AC378" s="975"/>
      <c r="AD378" s="975"/>
      <c r="AE378" s="975"/>
      <c r="AF378" s="975"/>
      <c r="AG378" s="975"/>
      <c r="AH378" s="975"/>
      <c r="AI378" s="975"/>
      <c r="AJ378" s="975"/>
      <c r="AK378" s="981"/>
      <c r="AL378" s="982" t="e">
        <f>VLOOKUP(C378,'sản lượng'!$D$12:$AM$89,38,0)</f>
        <v>#N/A</v>
      </c>
      <c r="AP378" s="944">
        <f t="shared" si="74"/>
        <v>2</v>
      </c>
      <c r="AR378" s="944">
        <v>1</v>
      </c>
    </row>
    <row r="379" spans="1:44" ht="15.75">
      <c r="A379" s="996">
        <v>63</v>
      </c>
      <c r="B379" s="1640" t="str">
        <f>VLOOKUP(C379,'DS CN MOI UP'!$B$10:$C$389,2,0)</f>
        <v>02591</v>
      </c>
      <c r="C379" s="1001" t="s">
        <v>268</v>
      </c>
      <c r="D379" s="1002" t="s">
        <v>15</v>
      </c>
      <c r="E379" s="960">
        <f t="shared" si="71"/>
        <v>24</v>
      </c>
      <c r="F379" s="960"/>
      <c r="G379" s="960"/>
      <c r="H379" s="1110"/>
      <c r="I379" s="960"/>
      <c r="J379" s="960"/>
      <c r="K379" s="960"/>
      <c r="L379" s="960"/>
      <c r="M379" s="960"/>
      <c r="N379" s="960"/>
      <c r="O379" s="960"/>
      <c r="P379" s="960"/>
      <c r="Q379" s="960"/>
      <c r="R379" s="960"/>
      <c r="S379" s="975">
        <f t="shared" si="77"/>
        <v>24</v>
      </c>
      <c r="T379" s="975" t="e">
        <f>VLOOKUP(C379,'sản lượng'!$D$12:$AK$89,36,0)</f>
        <v>#N/A</v>
      </c>
      <c r="U379" s="975"/>
      <c r="V379" s="975"/>
      <c r="W379" s="975" t="e">
        <f>VLOOKUP(C379,'sản lượng'!$D$12:$AK$89,36,0)</f>
        <v>#N/A</v>
      </c>
      <c r="X379" s="975"/>
      <c r="Y379" s="975"/>
      <c r="Z379" s="975" t="e">
        <f t="shared" si="76"/>
        <v>#N/A</v>
      </c>
      <c r="AA379" s="975" t="e">
        <f>VLOOKUP(C379,'CHẤM CÔNG '!$D$12:$AL$89,33,0)</f>
        <v>#N/A</v>
      </c>
      <c r="AB379" s="975" t="e">
        <f>VLOOKUP(C379,'CHẤM CÔNG '!$D$12:$AL$89,34,0)</f>
        <v>#N/A</v>
      </c>
      <c r="AC379" s="975"/>
      <c r="AD379" s="975"/>
      <c r="AE379" s="975"/>
      <c r="AF379" s="975"/>
      <c r="AG379" s="975"/>
      <c r="AH379" s="975"/>
      <c r="AI379" s="975"/>
      <c r="AJ379" s="975"/>
      <c r="AK379" s="981"/>
      <c r="AL379" s="982" t="e">
        <f>VLOOKUP(C379,'sản lượng'!$D$12:$AM$89,38,0)</f>
        <v>#N/A</v>
      </c>
      <c r="AP379" s="944">
        <f t="shared" si="74"/>
        <v>2</v>
      </c>
      <c r="AR379" s="944">
        <v>1</v>
      </c>
    </row>
    <row r="380" spans="1:44" ht="15.75">
      <c r="A380" s="996">
        <v>64</v>
      </c>
      <c r="B380" s="1640" t="str">
        <f>VLOOKUP(C380,'DS CN MOI UP'!$B$10:$C$389,2,0)</f>
        <v>02595</v>
      </c>
      <c r="C380" s="1001" t="s">
        <v>269</v>
      </c>
      <c r="D380" s="1002" t="s">
        <v>15</v>
      </c>
      <c r="E380" s="960">
        <f t="shared" si="71"/>
        <v>24</v>
      </c>
      <c r="F380" s="960"/>
      <c r="G380" s="960"/>
      <c r="H380" s="1110"/>
      <c r="I380" s="960"/>
      <c r="J380" s="960"/>
      <c r="K380" s="960"/>
      <c r="L380" s="960"/>
      <c r="M380" s="960"/>
      <c r="N380" s="960"/>
      <c r="O380" s="960"/>
      <c r="P380" s="960"/>
      <c r="Q380" s="960"/>
      <c r="R380" s="960"/>
      <c r="S380" s="975">
        <f t="shared" si="77"/>
        <v>24</v>
      </c>
      <c r="T380" s="975" t="e">
        <f>VLOOKUP(C380,'sản lượng'!$D$12:$AK$89,36,0)</f>
        <v>#N/A</v>
      </c>
      <c r="U380" s="975"/>
      <c r="V380" s="975"/>
      <c r="W380" s="975" t="e">
        <f>VLOOKUP(C380,'sản lượng'!$D$12:$AK$89,36,0)</f>
        <v>#N/A</v>
      </c>
      <c r="X380" s="975"/>
      <c r="Y380" s="975"/>
      <c r="Z380" s="975" t="e">
        <f t="shared" si="76"/>
        <v>#N/A</v>
      </c>
      <c r="AA380" s="975" t="e">
        <f>VLOOKUP(C380,'CHẤM CÔNG '!$D$12:$AL$89,33,0)</f>
        <v>#N/A</v>
      </c>
      <c r="AB380" s="975" t="e">
        <f>VLOOKUP(C380,'CHẤM CÔNG '!$D$12:$AL$89,34,0)</f>
        <v>#N/A</v>
      </c>
      <c r="AC380" s="975"/>
      <c r="AD380" s="975"/>
      <c r="AE380" s="975"/>
      <c r="AF380" s="975"/>
      <c r="AG380" s="975"/>
      <c r="AH380" s="975"/>
      <c r="AI380" s="975"/>
      <c r="AJ380" s="975"/>
      <c r="AK380" s="981"/>
      <c r="AL380" s="982" t="e">
        <f>VLOOKUP(C380,'sản lượng'!$D$12:$AM$89,38,0)</f>
        <v>#N/A</v>
      </c>
      <c r="AP380" s="944">
        <f t="shared" si="74"/>
        <v>2</v>
      </c>
      <c r="AR380" s="944">
        <v>1</v>
      </c>
    </row>
    <row r="381" spans="1:44" ht="15.75">
      <c r="A381" s="996">
        <v>65</v>
      </c>
      <c r="B381" s="1640" t="str">
        <f>VLOOKUP(C381,'DS CN MOI UP'!$B$10:$C$389,2,0)</f>
        <v>02582</v>
      </c>
      <c r="C381" s="1001" t="s">
        <v>270</v>
      </c>
      <c r="D381" s="1002" t="s">
        <v>15</v>
      </c>
      <c r="E381" s="960">
        <f t="shared" ref="E381:E387" si="78">3*8</f>
        <v>24</v>
      </c>
      <c r="F381" s="960"/>
      <c r="G381" s="960"/>
      <c r="H381" s="1110"/>
      <c r="I381" s="960"/>
      <c r="J381" s="960"/>
      <c r="K381" s="960"/>
      <c r="L381" s="960"/>
      <c r="M381" s="960"/>
      <c r="N381" s="960"/>
      <c r="O381" s="960"/>
      <c r="P381" s="960"/>
      <c r="Q381" s="960"/>
      <c r="R381" s="960"/>
      <c r="S381" s="975">
        <f t="shared" si="77"/>
        <v>24</v>
      </c>
      <c r="T381" s="975" t="e">
        <f>VLOOKUP(C381,'sản lượng'!$D$12:$AK$89,36,0)</f>
        <v>#N/A</v>
      </c>
      <c r="U381" s="975"/>
      <c r="V381" s="975"/>
      <c r="W381" s="975" t="e">
        <f>VLOOKUP(C381,'sản lượng'!$D$12:$AK$89,36,0)</f>
        <v>#N/A</v>
      </c>
      <c r="X381" s="975"/>
      <c r="Y381" s="975"/>
      <c r="Z381" s="975" t="e">
        <f t="shared" si="76"/>
        <v>#N/A</v>
      </c>
      <c r="AA381" s="975" t="e">
        <f>VLOOKUP(C381,'CHẤM CÔNG '!$D$12:$AL$89,33,0)</f>
        <v>#N/A</v>
      </c>
      <c r="AB381" s="975" t="e">
        <f>VLOOKUP(C381,'CHẤM CÔNG '!$D$12:$AL$89,34,0)</f>
        <v>#N/A</v>
      </c>
      <c r="AC381" s="975"/>
      <c r="AD381" s="975"/>
      <c r="AE381" s="975"/>
      <c r="AF381" s="975"/>
      <c r="AG381" s="975"/>
      <c r="AH381" s="975"/>
      <c r="AI381" s="975"/>
      <c r="AJ381" s="975"/>
      <c r="AK381" s="981"/>
      <c r="AL381" s="982" t="e">
        <f>VLOOKUP(C381,'sản lượng'!$D$12:$AM$89,38,0)</f>
        <v>#N/A</v>
      </c>
      <c r="AP381" s="944">
        <f t="shared" si="74"/>
        <v>2</v>
      </c>
      <c r="AR381" s="944">
        <v>1</v>
      </c>
    </row>
    <row r="382" spans="1:44" ht="15.75">
      <c r="A382" s="996">
        <v>66</v>
      </c>
      <c r="B382" s="1640" t="str">
        <f>VLOOKUP(C382,'DS CN MOI UP'!$B$10:$C$389,2,0)</f>
        <v>02572</v>
      </c>
      <c r="C382" s="1001" t="s">
        <v>271</v>
      </c>
      <c r="D382" s="1002" t="s">
        <v>15</v>
      </c>
      <c r="E382" s="960">
        <f t="shared" si="78"/>
        <v>24</v>
      </c>
      <c r="F382" s="960"/>
      <c r="G382" s="960"/>
      <c r="H382" s="1110"/>
      <c r="I382" s="960"/>
      <c r="J382" s="960"/>
      <c r="K382" s="960"/>
      <c r="L382" s="960"/>
      <c r="M382" s="960"/>
      <c r="N382" s="960"/>
      <c r="O382" s="960"/>
      <c r="P382" s="960"/>
      <c r="Q382" s="960"/>
      <c r="R382" s="960"/>
      <c r="S382" s="975">
        <f t="shared" si="77"/>
        <v>24</v>
      </c>
      <c r="T382" s="975" t="e">
        <f>VLOOKUP(C382,'sản lượng'!$D$12:$AK$89,36,0)</f>
        <v>#N/A</v>
      </c>
      <c r="U382" s="975"/>
      <c r="V382" s="975"/>
      <c r="W382" s="975" t="e">
        <f>VLOOKUP(C382,'sản lượng'!$D$12:$AK$89,36,0)</f>
        <v>#N/A</v>
      </c>
      <c r="X382" s="975"/>
      <c r="Y382" s="975"/>
      <c r="Z382" s="975" t="e">
        <f t="shared" si="76"/>
        <v>#N/A</v>
      </c>
      <c r="AA382" s="975" t="e">
        <f>VLOOKUP(C382,'CHẤM CÔNG '!$D$12:$AL$89,33,0)</f>
        <v>#N/A</v>
      </c>
      <c r="AB382" s="975" t="e">
        <f>VLOOKUP(C382,'CHẤM CÔNG '!$D$12:$AL$89,34,0)</f>
        <v>#N/A</v>
      </c>
      <c r="AC382" s="975"/>
      <c r="AD382" s="975"/>
      <c r="AE382" s="975"/>
      <c r="AF382" s="975"/>
      <c r="AG382" s="975"/>
      <c r="AH382" s="975"/>
      <c r="AI382" s="975"/>
      <c r="AJ382" s="975"/>
      <c r="AK382" s="981"/>
      <c r="AL382" s="982" t="e">
        <f>VLOOKUP(C382,'sản lượng'!$D$12:$AM$89,38,0)</f>
        <v>#N/A</v>
      </c>
      <c r="AP382" s="944">
        <f t="shared" ref="AP382:AP385" si="79">3-AR382</f>
        <v>2</v>
      </c>
      <c r="AR382" s="944">
        <v>1</v>
      </c>
    </row>
    <row r="383" spans="1:44" ht="15.75">
      <c r="A383" s="996">
        <v>67</v>
      </c>
      <c r="B383" s="1640" t="str">
        <f>VLOOKUP(C383,'DS CN MOI UP'!$B$10:$C$389,2,0)</f>
        <v>02694</v>
      </c>
      <c r="C383" s="1001" t="s">
        <v>272</v>
      </c>
      <c r="D383" s="1002" t="s">
        <v>15</v>
      </c>
      <c r="E383" s="960">
        <f t="shared" si="78"/>
        <v>24</v>
      </c>
      <c r="F383" s="960"/>
      <c r="G383" s="960"/>
      <c r="H383" s="1110"/>
      <c r="I383" s="960"/>
      <c r="J383" s="960"/>
      <c r="K383" s="960"/>
      <c r="L383" s="960"/>
      <c r="M383" s="960"/>
      <c r="N383" s="960"/>
      <c r="O383" s="960"/>
      <c r="P383" s="960"/>
      <c r="Q383" s="960"/>
      <c r="R383" s="960"/>
      <c r="S383" s="975">
        <f t="shared" si="77"/>
        <v>24</v>
      </c>
      <c r="T383" s="975" t="e">
        <f>VLOOKUP(C383,'sản lượng'!$D$12:$AK$89,36,0)</f>
        <v>#N/A</v>
      </c>
      <c r="U383" s="975"/>
      <c r="V383" s="975"/>
      <c r="W383" s="975" t="e">
        <f>VLOOKUP(C383,'sản lượng'!$D$12:$AK$89,36,0)</f>
        <v>#N/A</v>
      </c>
      <c r="X383" s="975"/>
      <c r="Y383" s="975"/>
      <c r="Z383" s="975" t="e">
        <f t="shared" si="76"/>
        <v>#N/A</v>
      </c>
      <c r="AA383" s="975" t="e">
        <f>VLOOKUP(C383,'CHẤM CÔNG '!$D$12:$AL$89,33,0)</f>
        <v>#N/A</v>
      </c>
      <c r="AB383" s="975" t="e">
        <f>VLOOKUP(C383,'CHẤM CÔNG '!$D$12:$AL$89,34,0)</f>
        <v>#N/A</v>
      </c>
      <c r="AC383" s="975"/>
      <c r="AD383" s="975"/>
      <c r="AE383" s="975"/>
      <c r="AF383" s="975"/>
      <c r="AG383" s="975"/>
      <c r="AH383" s="975"/>
      <c r="AI383" s="975"/>
      <c r="AJ383" s="975"/>
      <c r="AK383" s="981"/>
      <c r="AL383" s="982" t="e">
        <f>VLOOKUP(C383,'sản lượng'!$D$12:$AM$89,38,0)</f>
        <v>#N/A</v>
      </c>
      <c r="AP383" s="944">
        <f t="shared" si="79"/>
        <v>2</v>
      </c>
      <c r="AR383" s="944">
        <v>1</v>
      </c>
    </row>
    <row r="384" spans="1:44" ht="15.75">
      <c r="A384" s="996">
        <v>68</v>
      </c>
      <c r="B384" s="1640" t="str">
        <f>VLOOKUP(C384,'DS CN MOI UP'!$B$10:$C$389,2,0)</f>
        <v>02699</v>
      </c>
      <c r="C384" s="1001" t="s">
        <v>273</v>
      </c>
      <c r="D384" s="1002" t="s">
        <v>15</v>
      </c>
      <c r="E384" s="960">
        <f t="shared" si="78"/>
        <v>24</v>
      </c>
      <c r="F384" s="960"/>
      <c r="G384" s="960"/>
      <c r="H384" s="1110"/>
      <c r="I384" s="960"/>
      <c r="J384" s="960"/>
      <c r="K384" s="960"/>
      <c r="L384" s="960"/>
      <c r="M384" s="960"/>
      <c r="N384" s="960"/>
      <c r="O384" s="960"/>
      <c r="P384" s="960"/>
      <c r="Q384" s="960"/>
      <c r="R384" s="960"/>
      <c r="S384" s="975">
        <f t="shared" ref="S384:S385" si="80">SUM(E384:R384)</f>
        <v>24</v>
      </c>
      <c r="T384" s="975" t="e">
        <f>VLOOKUP(C384,'sản lượng'!$D$12:$AK$89,36,0)</f>
        <v>#N/A</v>
      </c>
      <c r="U384" s="975"/>
      <c r="V384" s="975"/>
      <c r="W384" s="975" t="e">
        <f>VLOOKUP(C384,'sản lượng'!$D$12:$AK$89,36,0)</f>
        <v>#N/A</v>
      </c>
      <c r="X384" s="975"/>
      <c r="Y384" s="975"/>
      <c r="Z384" s="975" t="e">
        <f t="shared" si="76"/>
        <v>#N/A</v>
      </c>
      <c r="AA384" s="975" t="e">
        <f>VLOOKUP(C384,'CHẤM CÔNG '!$D$12:$AL$89,33,0)</f>
        <v>#N/A</v>
      </c>
      <c r="AB384" s="975" t="e">
        <f>VLOOKUP(C384,'CHẤM CÔNG '!$D$12:$AL$89,34,0)</f>
        <v>#N/A</v>
      </c>
      <c r="AC384" s="975"/>
      <c r="AD384" s="975"/>
      <c r="AE384" s="975"/>
      <c r="AF384" s="975"/>
      <c r="AG384" s="975"/>
      <c r="AH384" s="975"/>
      <c r="AI384" s="975"/>
      <c r="AJ384" s="975"/>
      <c r="AK384" s="981"/>
      <c r="AL384" s="982" t="e">
        <f>VLOOKUP(C384,'sản lượng'!$D$12:$AM$89,38,0)</f>
        <v>#N/A</v>
      </c>
      <c r="AP384" s="944">
        <f t="shared" si="79"/>
        <v>2</v>
      </c>
      <c r="AR384" s="944">
        <v>1</v>
      </c>
    </row>
    <row r="385" spans="1:44" ht="15.75">
      <c r="A385" s="996">
        <v>69</v>
      </c>
      <c r="B385" s="1640" t="str">
        <f>VLOOKUP(C385,'DS CN MOI UP'!$B$10:$C$389,2,0)</f>
        <v>03400</v>
      </c>
      <c r="C385" s="1001" t="s">
        <v>274</v>
      </c>
      <c r="D385" s="1002" t="s">
        <v>15</v>
      </c>
      <c r="E385" s="960">
        <f t="shared" si="78"/>
        <v>24</v>
      </c>
      <c r="F385" s="960"/>
      <c r="G385" s="960"/>
      <c r="H385" s="1110"/>
      <c r="I385" s="960"/>
      <c r="J385" s="960"/>
      <c r="K385" s="960"/>
      <c r="L385" s="960"/>
      <c r="M385" s="960"/>
      <c r="N385" s="960"/>
      <c r="O385" s="960"/>
      <c r="P385" s="960"/>
      <c r="Q385" s="960"/>
      <c r="R385" s="960"/>
      <c r="S385" s="975">
        <f t="shared" si="80"/>
        <v>24</v>
      </c>
      <c r="T385" s="975" t="e">
        <f>VLOOKUP(C385,'sản lượng'!$D$12:$AK$89,36,0)</f>
        <v>#N/A</v>
      </c>
      <c r="U385" s="975"/>
      <c r="V385" s="975"/>
      <c r="W385" s="975" t="e">
        <f>VLOOKUP(C385,'sản lượng'!$D$12:$AK$89,36,0)</f>
        <v>#N/A</v>
      </c>
      <c r="X385" s="975"/>
      <c r="Y385" s="975"/>
      <c r="Z385" s="975" t="e">
        <f t="shared" si="76"/>
        <v>#N/A</v>
      </c>
      <c r="AA385" s="975" t="e">
        <f>VLOOKUP(C385,'CHẤM CÔNG '!$D$12:$AL$89,33,0)</f>
        <v>#N/A</v>
      </c>
      <c r="AB385" s="975" t="e">
        <f>VLOOKUP(C385,'CHẤM CÔNG '!$D$12:$AL$89,34,0)</f>
        <v>#N/A</v>
      </c>
      <c r="AC385" s="975"/>
      <c r="AD385" s="975"/>
      <c r="AE385" s="975"/>
      <c r="AF385" s="975"/>
      <c r="AG385" s="975"/>
      <c r="AH385" s="975"/>
      <c r="AI385" s="975"/>
      <c r="AJ385" s="975"/>
      <c r="AK385" s="981"/>
      <c r="AL385" s="982" t="e">
        <f>VLOOKUP(C385,'sản lượng'!$D$12:$AM$89,38,0)</f>
        <v>#N/A</v>
      </c>
      <c r="AP385" s="944">
        <f t="shared" si="79"/>
        <v>2</v>
      </c>
      <c r="AR385" s="944">
        <v>1</v>
      </c>
    </row>
    <row r="386" spans="1:44" ht="15.75">
      <c r="A386" s="996">
        <v>70</v>
      </c>
      <c r="B386" s="958" t="e">
        <f>VLOOKUP(C386,'DS CN MOI UP'!$B$10:$C$389,2,0)</f>
        <v>#N/A</v>
      </c>
      <c r="C386" s="1001" t="s">
        <v>275</v>
      </c>
      <c r="D386" s="1002" t="s">
        <v>2655</v>
      </c>
      <c r="E386" s="960">
        <f t="shared" si="78"/>
        <v>24</v>
      </c>
      <c r="F386" s="960"/>
      <c r="G386" s="960"/>
      <c r="H386" s="1110"/>
      <c r="I386" s="960"/>
      <c r="J386" s="960"/>
      <c r="K386" s="960"/>
      <c r="L386" s="960"/>
      <c r="M386" s="960"/>
      <c r="N386" s="960"/>
      <c r="O386" s="960"/>
      <c r="P386" s="960"/>
      <c r="Q386" s="960"/>
      <c r="R386" s="960"/>
      <c r="S386" s="975">
        <f t="shared" ref="S386:S387" si="81">SUM(E386:R386)</f>
        <v>24</v>
      </c>
      <c r="T386" s="975" t="e">
        <f>VLOOKUP(C386,'sản lượng'!$D$12:$AK$89,36,0)</f>
        <v>#N/A</v>
      </c>
      <c r="U386" s="975"/>
      <c r="V386" s="975"/>
      <c r="W386" s="975" t="e">
        <f>VLOOKUP(C386,'sản lượng'!$D$12:$AK$89,36,0)</f>
        <v>#N/A</v>
      </c>
      <c r="X386" s="975"/>
      <c r="Y386" s="975"/>
      <c r="Z386" s="975" t="e">
        <f t="shared" si="76"/>
        <v>#N/A</v>
      </c>
      <c r="AA386" s="975" t="e">
        <f>VLOOKUP(C386,'CHẤM CÔNG '!$D$12:$AL$89,33,0)</f>
        <v>#N/A</v>
      </c>
      <c r="AB386" s="975" t="e">
        <f>VLOOKUP(C386,'CHẤM CÔNG '!$D$12:$AL$89,34,0)</f>
        <v>#N/A</v>
      </c>
      <c r="AC386" s="975"/>
      <c r="AD386" s="975"/>
      <c r="AE386" s="975">
        <f>VLOOKUP(C386,'Công cây non'!$C$10:$AJ$28,34,0)</f>
        <v>13</v>
      </c>
      <c r="AF386" s="975"/>
      <c r="AG386" s="975"/>
      <c r="AH386" s="975"/>
      <c r="AI386" s="975"/>
      <c r="AJ386" s="975"/>
      <c r="AK386" s="981"/>
      <c r="AL386" s="982" t="e">
        <f>VLOOKUP(C386,'sản lượng'!$D$12:$AM$89,38,0)</f>
        <v>#N/A</v>
      </c>
      <c r="AP386" s="944">
        <f t="shared" ref="AP386:AP387" si="82">3-AR386</f>
        <v>2</v>
      </c>
      <c r="AR386" s="944">
        <v>1</v>
      </c>
    </row>
    <row r="387" spans="1:44" ht="15.75">
      <c r="A387" s="996">
        <v>71</v>
      </c>
      <c r="B387" s="958" t="e">
        <f>VLOOKUP(C387,'DS CN MOI UP'!$B$10:$C$389,2,0)</f>
        <v>#N/A</v>
      </c>
      <c r="C387" s="1001" t="s">
        <v>276</v>
      </c>
      <c r="D387" s="1002" t="s">
        <v>2655</v>
      </c>
      <c r="E387" s="960">
        <f t="shared" si="78"/>
        <v>24</v>
      </c>
      <c r="F387" s="960"/>
      <c r="G387" s="960"/>
      <c r="H387" s="1110"/>
      <c r="I387" s="960"/>
      <c r="J387" s="960"/>
      <c r="K387" s="960"/>
      <c r="L387" s="960"/>
      <c r="M387" s="960"/>
      <c r="N387" s="960"/>
      <c r="O387" s="960"/>
      <c r="P387" s="960"/>
      <c r="Q387" s="960"/>
      <c r="R387" s="960"/>
      <c r="S387" s="975">
        <f t="shared" si="81"/>
        <v>24</v>
      </c>
      <c r="T387" s="975" t="e">
        <f>VLOOKUP(C387,'sản lượng'!$D$12:$AK$89,36,0)</f>
        <v>#N/A</v>
      </c>
      <c r="U387" s="975"/>
      <c r="V387" s="975"/>
      <c r="W387" s="975" t="e">
        <f>VLOOKUP(C387,'sản lượng'!$D$12:$AK$89,36,0)</f>
        <v>#N/A</v>
      </c>
      <c r="X387" s="975"/>
      <c r="Y387" s="975"/>
      <c r="Z387" s="975" t="e">
        <f t="shared" si="76"/>
        <v>#N/A</v>
      </c>
      <c r="AA387" s="975" t="e">
        <f>VLOOKUP(C387,'CHẤM CÔNG '!$D$12:$AL$89,33,0)</f>
        <v>#N/A</v>
      </c>
      <c r="AB387" s="975" t="e">
        <f>VLOOKUP(C387,'CHẤM CÔNG '!$D$12:$AL$89,34,0)</f>
        <v>#N/A</v>
      </c>
      <c r="AC387" s="975"/>
      <c r="AD387" s="975"/>
      <c r="AE387" s="975">
        <f>VLOOKUP(C387,'Công cây non'!$C$10:$AJ$28,34,0)</f>
        <v>13</v>
      </c>
      <c r="AF387" s="975"/>
      <c r="AG387" s="975"/>
      <c r="AH387" s="975"/>
      <c r="AI387" s="975"/>
      <c r="AJ387" s="975"/>
      <c r="AK387" s="981"/>
      <c r="AL387" s="982" t="e">
        <f>VLOOKUP(C387,'sản lượng'!$D$12:$AM$89,38,0)</f>
        <v>#N/A</v>
      </c>
      <c r="AP387" s="944">
        <f t="shared" si="82"/>
        <v>2</v>
      </c>
      <c r="AR387" s="944">
        <v>1</v>
      </c>
    </row>
    <row r="388" spans="1:44" ht="15.75">
      <c r="A388" s="996">
        <v>72</v>
      </c>
      <c r="B388" s="1640" t="str">
        <f>VLOOKUP(C388,'DS CN MOI UP'!$B$10:$C$389,2,0)</f>
        <v>02658</v>
      </c>
      <c r="C388" s="992" t="s">
        <v>278</v>
      </c>
      <c r="D388" s="1002" t="s">
        <v>15</v>
      </c>
      <c r="E388" s="960">
        <f t="shared" ref="E388:E394" si="83">4*8</f>
        <v>32</v>
      </c>
      <c r="F388" s="960"/>
      <c r="G388" s="960"/>
      <c r="H388" s="1110"/>
      <c r="I388" s="960"/>
      <c r="J388" s="960"/>
      <c r="K388" s="960"/>
      <c r="L388" s="960"/>
      <c r="M388" s="960"/>
      <c r="N388" s="960"/>
      <c r="O388" s="960"/>
      <c r="P388" s="960"/>
      <c r="Q388" s="960"/>
      <c r="R388" s="960"/>
      <c r="S388" s="975">
        <f t="shared" si="75"/>
        <v>32</v>
      </c>
      <c r="T388" s="975" t="e">
        <f>VLOOKUP(C388,'sản lượng'!$D$12:$AK$89,36,0)</f>
        <v>#N/A</v>
      </c>
      <c r="U388" s="975"/>
      <c r="V388" s="975"/>
      <c r="W388" s="975" t="e">
        <f>VLOOKUP(C388,'sản lượng'!$D$12:$AK$89,36,0)</f>
        <v>#N/A</v>
      </c>
      <c r="X388" s="975"/>
      <c r="Y388" s="975"/>
      <c r="Z388" s="975" t="e">
        <f t="shared" ref="Z388:Z394" si="84">W388*$AN$21+X388*$AN$10+$AN$11*Y388</f>
        <v>#N/A</v>
      </c>
      <c r="AA388" s="975" t="e">
        <f>VLOOKUP(C388,'CHẤM CÔNG '!$D$12:$AL$89,33,0)</f>
        <v>#N/A</v>
      </c>
      <c r="AB388" s="975" t="e">
        <f>VLOOKUP(C388,'CHẤM CÔNG '!$D$12:$AL$89,34,0)</f>
        <v>#N/A</v>
      </c>
      <c r="AC388" s="975"/>
      <c r="AD388" s="975"/>
      <c r="AE388" s="975"/>
      <c r="AF388" s="975"/>
      <c r="AG388" s="975"/>
      <c r="AH388" s="975"/>
      <c r="AI388" s="975"/>
      <c r="AJ388" s="975"/>
      <c r="AK388" s="981"/>
      <c r="AL388" s="982" t="e">
        <f>VLOOKUP(C388,'sản lượng'!$D$12:$AM$89,38,0)</f>
        <v>#N/A</v>
      </c>
      <c r="AP388" s="944">
        <v>4</v>
      </c>
    </row>
    <row r="389" spans="1:44" ht="15.75">
      <c r="A389" s="996">
        <v>73</v>
      </c>
      <c r="B389" s="1640" t="str">
        <f>VLOOKUP(C389,'DS CN MOI UP'!$B$10:$C$389,2,0)</f>
        <v>02705</v>
      </c>
      <c r="C389" s="992" t="s">
        <v>279</v>
      </c>
      <c r="D389" s="1002" t="s">
        <v>15</v>
      </c>
      <c r="E389" s="960">
        <f t="shared" si="83"/>
        <v>32</v>
      </c>
      <c r="F389" s="960"/>
      <c r="G389" s="960"/>
      <c r="H389" s="1110"/>
      <c r="I389" s="960"/>
      <c r="J389" s="960"/>
      <c r="K389" s="960"/>
      <c r="L389" s="960"/>
      <c r="M389" s="960"/>
      <c r="N389" s="960"/>
      <c r="O389" s="960"/>
      <c r="P389" s="960"/>
      <c r="Q389" s="960"/>
      <c r="R389" s="960"/>
      <c r="S389" s="975">
        <f t="shared" si="75"/>
        <v>32</v>
      </c>
      <c r="T389" s="975" t="e">
        <f>VLOOKUP(C389,'sản lượng'!$D$12:$AK$89,36,0)</f>
        <v>#N/A</v>
      </c>
      <c r="U389" s="975"/>
      <c r="V389" s="975"/>
      <c r="W389" s="975" t="e">
        <f>VLOOKUP(C389,'sản lượng'!$D$12:$AK$89,36,0)</f>
        <v>#N/A</v>
      </c>
      <c r="X389" s="975"/>
      <c r="Y389" s="975"/>
      <c r="Z389" s="975" t="e">
        <f t="shared" si="84"/>
        <v>#N/A</v>
      </c>
      <c r="AA389" s="975" t="e">
        <f>VLOOKUP(C389,'CHẤM CÔNG '!$D$12:$AL$89,33,0)</f>
        <v>#N/A</v>
      </c>
      <c r="AB389" s="975" t="e">
        <f>VLOOKUP(C389,'CHẤM CÔNG '!$D$12:$AL$89,34,0)</f>
        <v>#N/A</v>
      </c>
      <c r="AC389" s="975"/>
      <c r="AD389" s="975"/>
      <c r="AE389" s="975"/>
      <c r="AF389" s="975"/>
      <c r="AG389" s="975"/>
      <c r="AH389" s="975"/>
      <c r="AI389" s="975"/>
      <c r="AJ389" s="975"/>
      <c r="AK389" s="981"/>
      <c r="AL389" s="982" t="e">
        <f>VLOOKUP(C389,'sản lượng'!$D$12:$AM$89,38,0)</f>
        <v>#N/A</v>
      </c>
      <c r="AP389" s="944">
        <v>4</v>
      </c>
    </row>
    <row r="390" spans="1:44" ht="15.75">
      <c r="A390" s="996">
        <v>74</v>
      </c>
      <c r="B390" s="1640" t="str">
        <f>VLOOKUP(C390,'DS CN MOI UP'!$B$10:$C$389,2,0)</f>
        <v>02659</v>
      </c>
      <c r="C390" s="992" t="s">
        <v>280</v>
      </c>
      <c r="D390" s="1002" t="s">
        <v>15</v>
      </c>
      <c r="E390" s="960">
        <f t="shared" si="83"/>
        <v>32</v>
      </c>
      <c r="F390" s="960"/>
      <c r="G390" s="960"/>
      <c r="H390" s="1110"/>
      <c r="I390" s="960"/>
      <c r="J390" s="960"/>
      <c r="K390" s="960"/>
      <c r="L390" s="960"/>
      <c r="M390" s="960"/>
      <c r="N390" s="960"/>
      <c r="O390" s="960"/>
      <c r="P390" s="960"/>
      <c r="Q390" s="960"/>
      <c r="R390" s="960"/>
      <c r="S390" s="975">
        <f t="shared" si="75"/>
        <v>32</v>
      </c>
      <c r="T390" s="975" t="e">
        <f>VLOOKUP(C390,'sản lượng'!$D$12:$AK$89,36,0)</f>
        <v>#N/A</v>
      </c>
      <c r="U390" s="975"/>
      <c r="V390" s="975"/>
      <c r="W390" s="975" t="e">
        <f>VLOOKUP(C390,'sản lượng'!$D$12:$AK$89,36,0)</f>
        <v>#N/A</v>
      </c>
      <c r="X390" s="975"/>
      <c r="Y390" s="975"/>
      <c r="Z390" s="975" t="e">
        <f t="shared" si="84"/>
        <v>#N/A</v>
      </c>
      <c r="AA390" s="975" t="e">
        <f>VLOOKUP(C390,'CHẤM CÔNG '!$D$12:$AL$89,33,0)</f>
        <v>#N/A</v>
      </c>
      <c r="AB390" s="975" t="e">
        <f>VLOOKUP(C390,'CHẤM CÔNG '!$D$12:$AL$89,34,0)</f>
        <v>#N/A</v>
      </c>
      <c r="AC390" s="975"/>
      <c r="AD390" s="975"/>
      <c r="AE390" s="975"/>
      <c r="AF390" s="975"/>
      <c r="AG390" s="975"/>
      <c r="AH390" s="975"/>
      <c r="AI390" s="975"/>
      <c r="AJ390" s="975"/>
      <c r="AK390" s="981"/>
      <c r="AL390" s="982" t="e">
        <f>VLOOKUP(C390,'sản lượng'!$D$12:$AM$89,38,0)</f>
        <v>#N/A</v>
      </c>
      <c r="AP390" s="944">
        <v>4</v>
      </c>
    </row>
    <row r="391" spans="1:44" ht="15.75">
      <c r="A391" s="996">
        <v>75</v>
      </c>
      <c r="B391" s="1640" t="str">
        <f>VLOOKUP(C391,'DS CN MOI UP'!$B$10:$C$389,2,0)</f>
        <v>02660</v>
      </c>
      <c r="C391" s="992" t="s">
        <v>281</v>
      </c>
      <c r="D391" s="1002" t="s">
        <v>15</v>
      </c>
      <c r="E391" s="960">
        <f t="shared" si="83"/>
        <v>32</v>
      </c>
      <c r="F391" s="960"/>
      <c r="G391" s="960"/>
      <c r="H391" s="1110"/>
      <c r="I391" s="960"/>
      <c r="J391" s="960"/>
      <c r="K391" s="960"/>
      <c r="L391" s="960"/>
      <c r="M391" s="960"/>
      <c r="N391" s="960"/>
      <c r="O391" s="960"/>
      <c r="P391" s="960"/>
      <c r="Q391" s="960"/>
      <c r="R391" s="960"/>
      <c r="S391" s="975">
        <f t="shared" si="75"/>
        <v>32</v>
      </c>
      <c r="T391" s="975" t="e">
        <f>VLOOKUP(C391,'sản lượng'!$D$12:$AK$89,36,0)</f>
        <v>#N/A</v>
      </c>
      <c r="U391" s="975"/>
      <c r="V391" s="975"/>
      <c r="W391" s="975" t="e">
        <f>VLOOKUP(C391,'sản lượng'!$D$12:$AK$89,36,0)</f>
        <v>#N/A</v>
      </c>
      <c r="X391" s="975"/>
      <c r="Y391" s="975"/>
      <c r="Z391" s="975" t="e">
        <f t="shared" si="84"/>
        <v>#N/A</v>
      </c>
      <c r="AA391" s="975" t="e">
        <f>VLOOKUP(C391,'CHẤM CÔNG '!$D$12:$AL$89,33,0)</f>
        <v>#N/A</v>
      </c>
      <c r="AB391" s="975" t="e">
        <f>VLOOKUP(C391,'CHẤM CÔNG '!$D$12:$AL$89,34,0)</f>
        <v>#N/A</v>
      </c>
      <c r="AC391" s="975"/>
      <c r="AD391" s="975"/>
      <c r="AE391" s="975"/>
      <c r="AF391" s="975"/>
      <c r="AG391" s="975"/>
      <c r="AH391" s="975"/>
      <c r="AI391" s="975"/>
      <c r="AJ391" s="975"/>
      <c r="AK391" s="981"/>
      <c r="AL391" s="982" t="e">
        <f>VLOOKUP(C391,'sản lượng'!$D$12:$AM$89,38,0)</f>
        <v>#N/A</v>
      </c>
      <c r="AP391" s="944">
        <v>4</v>
      </c>
    </row>
    <row r="392" spans="1:44" ht="15.75">
      <c r="A392" s="996">
        <v>76</v>
      </c>
      <c r="B392" s="1640" t="str">
        <f>VLOOKUP(C392,'DS CN MOI UP'!$B$10:$C$389,2,0)</f>
        <v>02662</v>
      </c>
      <c r="C392" s="992" t="s">
        <v>282</v>
      </c>
      <c r="D392" s="1002" t="s">
        <v>15</v>
      </c>
      <c r="E392" s="960">
        <f t="shared" si="83"/>
        <v>32</v>
      </c>
      <c r="F392" s="960"/>
      <c r="G392" s="960"/>
      <c r="H392" s="1110"/>
      <c r="I392" s="960"/>
      <c r="J392" s="960"/>
      <c r="K392" s="960"/>
      <c r="L392" s="960"/>
      <c r="M392" s="960"/>
      <c r="N392" s="960"/>
      <c r="O392" s="960"/>
      <c r="P392" s="960"/>
      <c r="Q392" s="960"/>
      <c r="R392" s="960"/>
      <c r="S392" s="975">
        <f t="shared" si="75"/>
        <v>32</v>
      </c>
      <c r="T392" s="975" t="e">
        <f>VLOOKUP(C392,'sản lượng'!$D$12:$AK$89,36,0)</f>
        <v>#N/A</v>
      </c>
      <c r="U392" s="975"/>
      <c r="V392" s="975"/>
      <c r="W392" s="975" t="e">
        <f>VLOOKUP(C392,'sản lượng'!$D$12:$AK$89,36,0)</f>
        <v>#N/A</v>
      </c>
      <c r="X392" s="975"/>
      <c r="Y392" s="975"/>
      <c r="Z392" s="975" t="e">
        <f t="shared" si="84"/>
        <v>#N/A</v>
      </c>
      <c r="AA392" s="975" t="e">
        <f>VLOOKUP(C392,'CHẤM CÔNG '!$D$12:$AL$89,33,0)</f>
        <v>#N/A</v>
      </c>
      <c r="AB392" s="975" t="e">
        <f>VLOOKUP(C392,'CHẤM CÔNG '!$D$12:$AL$89,34,0)</f>
        <v>#N/A</v>
      </c>
      <c r="AC392" s="975"/>
      <c r="AD392" s="975"/>
      <c r="AE392" s="975"/>
      <c r="AF392" s="975"/>
      <c r="AG392" s="975"/>
      <c r="AH392" s="975"/>
      <c r="AI392" s="975"/>
      <c r="AJ392" s="975"/>
      <c r="AK392" s="981"/>
      <c r="AL392" s="982" t="e">
        <f>VLOOKUP(C392,'sản lượng'!$D$12:$AM$89,38,0)</f>
        <v>#N/A</v>
      </c>
      <c r="AP392" s="944">
        <v>4</v>
      </c>
    </row>
    <row r="393" spans="1:44" ht="15.75">
      <c r="A393" s="996">
        <v>77</v>
      </c>
      <c r="B393" s="1640" t="str">
        <f>VLOOKUP(C393,'DS CN MOI UP'!$B$10:$C$389,2,0)</f>
        <v>02657</v>
      </c>
      <c r="C393" s="992" t="s">
        <v>283</v>
      </c>
      <c r="D393" s="1002" t="s">
        <v>15</v>
      </c>
      <c r="E393" s="960">
        <f t="shared" si="83"/>
        <v>32</v>
      </c>
      <c r="F393" s="960"/>
      <c r="G393" s="960"/>
      <c r="H393" s="1110"/>
      <c r="I393" s="960"/>
      <c r="J393" s="960"/>
      <c r="K393" s="960"/>
      <c r="L393" s="960"/>
      <c r="M393" s="960"/>
      <c r="N393" s="960"/>
      <c r="O393" s="960"/>
      <c r="P393" s="960"/>
      <c r="Q393" s="960"/>
      <c r="R393" s="960"/>
      <c r="S393" s="975">
        <f t="shared" si="75"/>
        <v>32</v>
      </c>
      <c r="T393" s="975" t="e">
        <f>VLOOKUP(C393,'sản lượng'!$D$12:$AK$89,36,0)</f>
        <v>#N/A</v>
      </c>
      <c r="U393" s="975"/>
      <c r="V393" s="975"/>
      <c r="W393" s="975" t="e">
        <f>VLOOKUP(C393,'sản lượng'!$D$12:$AK$89,36,0)</f>
        <v>#N/A</v>
      </c>
      <c r="X393" s="975"/>
      <c r="Y393" s="975"/>
      <c r="Z393" s="975" t="e">
        <f t="shared" si="84"/>
        <v>#N/A</v>
      </c>
      <c r="AA393" s="975" t="e">
        <f>VLOOKUP(C393,'CHẤM CÔNG '!$D$12:$AL$89,33,0)</f>
        <v>#N/A</v>
      </c>
      <c r="AB393" s="975" t="e">
        <f>VLOOKUP(C393,'CHẤM CÔNG '!$D$12:$AL$89,34,0)</f>
        <v>#N/A</v>
      </c>
      <c r="AC393" s="975"/>
      <c r="AD393" s="975"/>
      <c r="AE393" s="975"/>
      <c r="AF393" s="975"/>
      <c r="AG393" s="975"/>
      <c r="AH393" s="975"/>
      <c r="AI393" s="975"/>
      <c r="AJ393" s="975"/>
      <c r="AK393" s="981"/>
      <c r="AL393" s="982" t="e">
        <f>VLOOKUP(C393,'sản lượng'!$D$12:$AM$89,38,0)</f>
        <v>#N/A</v>
      </c>
      <c r="AP393" s="944">
        <v>4</v>
      </c>
    </row>
    <row r="394" spans="1:44" ht="15.75">
      <c r="A394" s="996">
        <v>78</v>
      </c>
      <c r="B394" s="1640" t="str">
        <f>VLOOKUP(C394,'DS CN MOI UP'!$B$10:$C$389,2,0)</f>
        <v>02661</v>
      </c>
      <c r="C394" s="992" t="s">
        <v>284</v>
      </c>
      <c r="D394" s="1002" t="s">
        <v>15</v>
      </c>
      <c r="E394" s="960">
        <f t="shared" si="83"/>
        <v>32</v>
      </c>
      <c r="F394" s="960"/>
      <c r="G394" s="960"/>
      <c r="H394" s="1110"/>
      <c r="I394" s="960"/>
      <c r="J394" s="960"/>
      <c r="K394" s="960"/>
      <c r="L394" s="960"/>
      <c r="M394" s="960"/>
      <c r="N394" s="960"/>
      <c r="O394" s="960"/>
      <c r="P394" s="960"/>
      <c r="Q394" s="960"/>
      <c r="R394" s="960"/>
      <c r="S394" s="975">
        <f t="shared" si="75"/>
        <v>32</v>
      </c>
      <c r="T394" s="975" t="e">
        <f>VLOOKUP(C394,'sản lượng'!$D$12:$AK$89,36,0)</f>
        <v>#N/A</v>
      </c>
      <c r="U394" s="975"/>
      <c r="V394" s="975"/>
      <c r="W394" s="975" t="e">
        <f>VLOOKUP(C394,'sản lượng'!$D$12:$AK$89,36,0)</f>
        <v>#N/A</v>
      </c>
      <c r="X394" s="975"/>
      <c r="Y394" s="975"/>
      <c r="Z394" s="975" t="e">
        <f t="shared" si="84"/>
        <v>#N/A</v>
      </c>
      <c r="AA394" s="975" t="e">
        <f>VLOOKUP(C394,'CHẤM CÔNG '!$D$12:$AL$89,33,0)</f>
        <v>#N/A</v>
      </c>
      <c r="AB394" s="975" t="e">
        <f>VLOOKUP(C394,'CHẤM CÔNG '!$D$12:$AL$89,34,0)</f>
        <v>#N/A</v>
      </c>
      <c r="AC394" s="975"/>
      <c r="AD394" s="975"/>
      <c r="AE394" s="975"/>
      <c r="AF394" s="975"/>
      <c r="AG394" s="975"/>
      <c r="AH394" s="975"/>
      <c r="AI394" s="975"/>
      <c r="AJ394" s="975"/>
      <c r="AK394" s="981"/>
      <c r="AL394" s="982" t="e">
        <f>VLOOKUP(C394,'sản lượng'!$D$12:$AM$89,38,0)</f>
        <v>#N/A</v>
      </c>
      <c r="AP394" s="944">
        <v>4</v>
      </c>
    </row>
    <row r="395" spans="1:44" ht="15.75">
      <c r="A395" s="996">
        <v>79</v>
      </c>
      <c r="B395" s="958">
        <v>5</v>
      </c>
      <c r="C395" s="992" t="s">
        <v>1352</v>
      </c>
      <c r="D395" s="1142" t="s">
        <v>1713</v>
      </c>
      <c r="E395" s="960"/>
      <c r="F395" s="960"/>
      <c r="G395" s="960"/>
      <c r="H395" s="1110"/>
      <c r="I395" s="960"/>
      <c r="J395" s="960"/>
      <c r="K395" s="960"/>
      <c r="L395" s="960"/>
      <c r="M395" s="960"/>
      <c r="N395" s="960"/>
      <c r="O395" s="960"/>
      <c r="P395" s="960"/>
      <c r="Q395" s="960"/>
      <c r="R395" s="960"/>
      <c r="S395" s="975">
        <f t="shared" si="75"/>
        <v>0</v>
      </c>
      <c r="T395" s="975"/>
      <c r="U395" s="975"/>
      <c r="V395" s="975"/>
      <c r="W395" s="975"/>
      <c r="X395" s="975"/>
      <c r="Y395" s="975"/>
      <c r="Z395" s="975">
        <f>W395*$AN$9/$AN$8+X395*$AN$10+$AN$11*Y395</f>
        <v>0</v>
      </c>
      <c r="AA395" s="975"/>
      <c r="AB395" s="975"/>
      <c r="AC395" s="975"/>
      <c r="AD395" s="975"/>
      <c r="AE395" s="975"/>
      <c r="AF395" s="975"/>
      <c r="AG395" s="975"/>
      <c r="AH395" s="975"/>
      <c r="AI395" s="975"/>
      <c r="AJ395" s="975"/>
      <c r="AK395" s="981"/>
      <c r="AL395" s="982" t="e">
        <f>VLOOKUP(C395,'sản lượng'!$D$12:$AM$89,38,0)</f>
        <v>#N/A</v>
      </c>
    </row>
    <row r="396" spans="1:44" s="943" customFormat="1">
      <c r="A396" s="954" t="s">
        <v>285</v>
      </c>
      <c r="B396" s="958"/>
      <c r="C396" s="955"/>
      <c r="D396" s="956"/>
      <c r="E396" s="1003">
        <f t="shared" ref="E396:L396" si="85">SUM(E397:E460)</f>
        <v>1516</v>
      </c>
      <c r="F396" s="1003">
        <f t="shared" si="85"/>
        <v>16</v>
      </c>
      <c r="G396" s="1003">
        <f t="shared" si="85"/>
        <v>24</v>
      </c>
      <c r="H396" s="1143">
        <f t="shared" si="85"/>
        <v>0</v>
      </c>
      <c r="I396" s="1003">
        <f t="shared" si="85"/>
        <v>0</v>
      </c>
      <c r="J396" s="1003">
        <f t="shared" si="85"/>
        <v>0</v>
      </c>
      <c r="K396" s="1003">
        <f t="shared" si="85"/>
        <v>0</v>
      </c>
      <c r="L396" s="1003">
        <f t="shared" si="85"/>
        <v>0</v>
      </c>
      <c r="M396" s="1003">
        <f>+SUM(M397:M460)</f>
        <v>0</v>
      </c>
      <c r="N396" s="1003">
        <f>SUM(N397:N460)</f>
        <v>0</v>
      </c>
      <c r="O396" s="1003">
        <f>SUM(O397:O460)</f>
        <v>0</v>
      </c>
      <c r="P396" s="1003">
        <f>SUM(P397:P460)</f>
        <v>0</v>
      </c>
      <c r="Q396" s="1003">
        <f>SUM(Q397:Q460)</f>
        <v>0</v>
      </c>
      <c r="R396" s="1003">
        <f>SUM(R397:R460)</f>
        <v>0</v>
      </c>
      <c r="S396" s="1003">
        <f>+SUM(S397:S460)</f>
        <v>1556</v>
      </c>
      <c r="T396" s="1003" t="e">
        <f>+SUM(T397:T460)</f>
        <v>#N/A</v>
      </c>
      <c r="U396" s="1003">
        <f>+SUM(U397:U460)</f>
        <v>0</v>
      </c>
      <c r="V396" s="1003">
        <f>+SUM(V397:V460)</f>
        <v>0</v>
      </c>
      <c r="W396" s="1003" t="e">
        <f>+SUM(W397:W460)</f>
        <v>#N/A</v>
      </c>
      <c r="X396" s="1003"/>
      <c r="Y396" s="1003"/>
      <c r="Z396" s="1003" t="e">
        <f>+SUM(Z397:Z460)</f>
        <v>#N/A</v>
      </c>
      <c r="AA396" s="1003" t="e">
        <f>+SUM(AA397:AA460)</f>
        <v>#N/A</v>
      </c>
      <c r="AB396" s="1003" t="e">
        <f>+SUM(AB397:AB460)</f>
        <v>#N/A</v>
      </c>
      <c r="AC396" s="1003">
        <f>+SUM(AC397:AC460)</f>
        <v>0</v>
      </c>
      <c r="AD396" s="1003"/>
      <c r="AE396" s="1003">
        <f>+SUM(AE397:AE460)</f>
        <v>8</v>
      </c>
      <c r="AF396" s="1003"/>
      <c r="AG396" s="1003"/>
      <c r="AH396" s="1003"/>
      <c r="AI396" s="1003" t="e">
        <f>+SUM(AI397:AI460)</f>
        <v>#N/A</v>
      </c>
      <c r="AJ396" s="1003">
        <f>+SUM(AJ397:AJ460)</f>
        <v>0</v>
      </c>
      <c r="AK396" s="1003">
        <f>+SUM(AK397:AK460)</f>
        <v>0</v>
      </c>
      <c r="AL396" s="982" t="e">
        <f>VLOOKUP(C396,'sản lượng'!$D$12:$AM$89,38,0)</f>
        <v>#N/A</v>
      </c>
      <c r="AP396" s="986"/>
      <c r="AQ396" s="986"/>
      <c r="AR396" s="986"/>
    </row>
    <row r="397" spans="1:44" ht="15.75">
      <c r="A397" s="957">
        <v>1</v>
      </c>
      <c r="B397" s="958" t="e">
        <f>VLOOKUP(C397,'DS CN MOI UP'!$B$10:$C$389,2,0)</f>
        <v>#N/A</v>
      </c>
      <c r="C397" s="992" t="s">
        <v>286</v>
      </c>
      <c r="D397" s="957" t="s">
        <v>15</v>
      </c>
      <c r="E397" s="960">
        <f>4*6</f>
        <v>24</v>
      </c>
      <c r="F397" s="960"/>
      <c r="G397" s="960"/>
      <c r="H397" s="1110"/>
      <c r="I397" s="960"/>
      <c r="J397" s="960"/>
      <c r="K397" s="960"/>
      <c r="L397" s="960"/>
      <c r="M397" s="960"/>
      <c r="N397" s="960"/>
      <c r="O397" s="960"/>
      <c r="P397" s="960"/>
      <c r="Q397" s="960"/>
      <c r="R397" s="960"/>
      <c r="S397" s="975">
        <f>SUM(E397:R397)</f>
        <v>24</v>
      </c>
      <c r="T397" s="975" t="e">
        <f>VLOOKUP(C397,'sản lượng'!$D$12:$AK$89,36,0)</f>
        <v>#N/A</v>
      </c>
      <c r="U397" s="975"/>
      <c r="V397" s="975"/>
      <c r="W397" s="976" t="e">
        <f t="shared" ref="W397:W457" si="86">SUM(T397:V397)</f>
        <v>#N/A</v>
      </c>
      <c r="X397" s="975"/>
      <c r="Y397" s="975"/>
      <c r="Z397" s="975" t="e">
        <f t="shared" ref="Z397:Z406" si="87">W397*$AN$18+X397*$AN$10+$AN$11*Y397</f>
        <v>#N/A</v>
      </c>
      <c r="AA397" s="975" t="e">
        <f>VLOOKUP(C397,'CHẤM CÔNG '!$D$12:$AL$89,33,0)</f>
        <v>#N/A</v>
      </c>
      <c r="AB397" s="975" t="e">
        <f>VLOOKUP(C397,'CHẤM CÔNG '!$D$12:$AL$89,34,0)</f>
        <v>#N/A</v>
      </c>
      <c r="AC397" s="975"/>
      <c r="AD397" s="975"/>
      <c r="AE397" s="975"/>
      <c r="AF397" s="975"/>
      <c r="AG397" s="975"/>
      <c r="AH397" s="975"/>
      <c r="AI397" s="975"/>
      <c r="AJ397" s="975"/>
      <c r="AK397" s="981"/>
      <c r="AL397" s="982" t="e">
        <f>VLOOKUP(C397,'sản lượng'!$D$12:$AM$89,38,0)</f>
        <v>#N/A</v>
      </c>
    </row>
    <row r="398" spans="1:44" ht="15.75">
      <c r="A398" s="957">
        <v>2</v>
      </c>
      <c r="B398" s="1640" t="str">
        <f>VLOOKUP(C398,'DS CN MOI UP'!$B$10:$C$389,2,0)</f>
        <v>02637</v>
      </c>
      <c r="C398" s="992" t="s">
        <v>287</v>
      </c>
      <c r="D398" s="957" t="s">
        <v>15</v>
      </c>
      <c r="E398" s="960">
        <f t="shared" ref="E398:E459" si="88">4*6</f>
        <v>24</v>
      </c>
      <c r="F398" s="960"/>
      <c r="G398" s="960"/>
      <c r="H398" s="1110"/>
      <c r="I398" s="960"/>
      <c r="J398" s="960"/>
      <c r="K398" s="960"/>
      <c r="L398" s="960"/>
      <c r="M398" s="960"/>
      <c r="N398" s="960"/>
      <c r="O398" s="960"/>
      <c r="P398" s="960"/>
      <c r="Q398" s="960"/>
      <c r="R398" s="960"/>
      <c r="S398" s="975">
        <f t="shared" ref="S398:S448" si="89">SUM(E398:R398)</f>
        <v>24</v>
      </c>
      <c r="T398" s="975" t="e">
        <f>VLOOKUP(C398,'sản lượng'!$D$12:$AK$89,36,0)</f>
        <v>#N/A</v>
      </c>
      <c r="U398" s="975"/>
      <c r="V398" s="975"/>
      <c r="W398" s="976" t="e">
        <f t="shared" si="86"/>
        <v>#N/A</v>
      </c>
      <c r="X398" s="975"/>
      <c r="Y398" s="975"/>
      <c r="Z398" s="975" t="e">
        <f t="shared" si="87"/>
        <v>#N/A</v>
      </c>
      <c r="AA398" s="975" t="e">
        <f>VLOOKUP(C398,'CHẤM CÔNG '!$D$12:$AL$89,33,0)</f>
        <v>#N/A</v>
      </c>
      <c r="AB398" s="975" t="e">
        <f>VLOOKUP(C398,'CHẤM CÔNG '!$D$12:$AL$89,34,0)</f>
        <v>#N/A</v>
      </c>
      <c r="AC398" s="975"/>
      <c r="AD398" s="975"/>
      <c r="AE398" s="975"/>
      <c r="AF398" s="975"/>
      <c r="AG398" s="975"/>
      <c r="AH398" s="975"/>
      <c r="AI398" s="975"/>
      <c r="AJ398" s="975"/>
      <c r="AK398" s="981"/>
      <c r="AL398" s="982" t="e">
        <f>VLOOKUP(C398,'sản lượng'!$D$12:$AM$89,38,0)</f>
        <v>#N/A</v>
      </c>
    </row>
    <row r="399" spans="1:44" ht="15.75">
      <c r="A399" s="957">
        <v>3</v>
      </c>
      <c r="B399" s="1640" t="str">
        <f>VLOOKUP(C399,'DS CN MOI UP'!$B$10:$C$389,2,0)</f>
        <v>02638</v>
      </c>
      <c r="C399" s="992" t="s">
        <v>288</v>
      </c>
      <c r="D399" s="957" t="s">
        <v>15</v>
      </c>
      <c r="E399" s="960">
        <f t="shared" si="88"/>
        <v>24</v>
      </c>
      <c r="F399" s="960"/>
      <c r="G399" s="960"/>
      <c r="H399" s="1110"/>
      <c r="I399" s="960"/>
      <c r="J399" s="960"/>
      <c r="K399" s="960"/>
      <c r="L399" s="960"/>
      <c r="M399" s="960"/>
      <c r="N399" s="960"/>
      <c r="O399" s="960"/>
      <c r="P399" s="960"/>
      <c r="Q399" s="960"/>
      <c r="R399" s="960"/>
      <c r="S399" s="975">
        <f t="shared" si="89"/>
        <v>24</v>
      </c>
      <c r="T399" s="975" t="e">
        <f>VLOOKUP(C399,'sản lượng'!$D$12:$AK$89,36,0)</f>
        <v>#N/A</v>
      </c>
      <c r="U399" s="975"/>
      <c r="V399" s="975"/>
      <c r="W399" s="976" t="e">
        <f t="shared" si="86"/>
        <v>#N/A</v>
      </c>
      <c r="X399" s="975"/>
      <c r="Y399" s="975"/>
      <c r="Z399" s="975" t="e">
        <f t="shared" si="87"/>
        <v>#N/A</v>
      </c>
      <c r="AA399" s="975" t="e">
        <f>VLOOKUP(C399,'CHẤM CÔNG '!$D$12:$AL$89,33,0)</f>
        <v>#N/A</v>
      </c>
      <c r="AB399" s="975" t="e">
        <f>VLOOKUP(C399,'CHẤM CÔNG '!$D$12:$AL$89,34,0)</f>
        <v>#N/A</v>
      </c>
      <c r="AC399" s="975"/>
      <c r="AD399" s="975"/>
      <c r="AE399" s="975"/>
      <c r="AF399" s="975"/>
      <c r="AG399" s="975"/>
      <c r="AH399" s="975"/>
      <c r="AI399" s="975"/>
      <c r="AJ399" s="975"/>
      <c r="AK399" s="981"/>
      <c r="AL399" s="982" t="e">
        <f>VLOOKUP(C399,'sản lượng'!$D$12:$AM$89,38,0)</f>
        <v>#N/A</v>
      </c>
    </row>
    <row r="400" spans="1:44" ht="15.75">
      <c r="A400" s="957">
        <v>4</v>
      </c>
      <c r="B400" s="1640" t="str">
        <f>VLOOKUP(C400,'DS CN MOI UP'!$B$10:$C$389,2,0)</f>
        <v>02639</v>
      </c>
      <c r="C400" s="992" t="s">
        <v>289</v>
      </c>
      <c r="D400" s="957" t="s">
        <v>15</v>
      </c>
      <c r="E400" s="960">
        <f t="shared" si="88"/>
        <v>24</v>
      </c>
      <c r="F400" s="960"/>
      <c r="G400" s="960"/>
      <c r="H400" s="1110"/>
      <c r="I400" s="960"/>
      <c r="J400" s="960"/>
      <c r="K400" s="960"/>
      <c r="L400" s="960"/>
      <c r="M400" s="960"/>
      <c r="N400" s="960"/>
      <c r="O400" s="960"/>
      <c r="P400" s="960"/>
      <c r="Q400" s="960"/>
      <c r="R400" s="960"/>
      <c r="S400" s="975">
        <f t="shared" si="89"/>
        <v>24</v>
      </c>
      <c r="T400" s="975" t="e">
        <f>VLOOKUP(C400,'sản lượng'!$D$12:$AK$89,36,0)</f>
        <v>#N/A</v>
      </c>
      <c r="U400" s="975"/>
      <c r="V400" s="975"/>
      <c r="W400" s="976" t="e">
        <f t="shared" si="86"/>
        <v>#N/A</v>
      </c>
      <c r="X400" s="975"/>
      <c r="Y400" s="975"/>
      <c r="Z400" s="975" t="e">
        <f t="shared" si="87"/>
        <v>#N/A</v>
      </c>
      <c r="AA400" s="975" t="e">
        <f>VLOOKUP(C400,'CHẤM CÔNG '!$D$12:$AL$89,33,0)</f>
        <v>#N/A</v>
      </c>
      <c r="AB400" s="975" t="e">
        <f>VLOOKUP(C400,'CHẤM CÔNG '!$D$12:$AL$89,34,0)</f>
        <v>#N/A</v>
      </c>
      <c r="AC400" s="975"/>
      <c r="AD400" s="975"/>
      <c r="AE400" s="975"/>
      <c r="AF400" s="975"/>
      <c r="AG400" s="975"/>
      <c r="AH400" s="975"/>
      <c r="AI400" s="975"/>
      <c r="AJ400" s="975"/>
      <c r="AK400" s="981"/>
      <c r="AL400" s="982" t="e">
        <f>VLOOKUP(C400,'sản lượng'!$D$12:$AM$89,38,0)</f>
        <v>#N/A</v>
      </c>
    </row>
    <row r="401" spans="1:38" ht="15.75">
      <c r="A401" s="957">
        <v>5</v>
      </c>
      <c r="B401" s="958" t="e">
        <f>VLOOKUP(C401,'DS CN MOI UP'!$B$10:$C$389,2,0)</f>
        <v>#N/A</v>
      </c>
      <c r="C401" s="992" t="s">
        <v>290</v>
      </c>
      <c r="D401" s="957" t="s">
        <v>15</v>
      </c>
      <c r="E401" s="960">
        <f t="shared" si="88"/>
        <v>24</v>
      </c>
      <c r="F401" s="960"/>
      <c r="G401" s="960"/>
      <c r="H401" s="1110"/>
      <c r="I401" s="960"/>
      <c r="J401" s="960"/>
      <c r="K401" s="960"/>
      <c r="L401" s="960"/>
      <c r="M401" s="960"/>
      <c r="N401" s="960"/>
      <c r="O401" s="960"/>
      <c r="P401" s="960"/>
      <c r="Q401" s="960"/>
      <c r="R401" s="960"/>
      <c r="S401" s="975">
        <f t="shared" si="89"/>
        <v>24</v>
      </c>
      <c r="T401" s="975" t="e">
        <f>VLOOKUP(C401,'sản lượng'!$D$12:$AK$89,36,0)</f>
        <v>#N/A</v>
      </c>
      <c r="U401" s="975"/>
      <c r="V401" s="975"/>
      <c r="W401" s="976" t="e">
        <f t="shared" si="86"/>
        <v>#N/A</v>
      </c>
      <c r="X401" s="975"/>
      <c r="Y401" s="975"/>
      <c r="Z401" s="975" t="e">
        <f t="shared" si="87"/>
        <v>#N/A</v>
      </c>
      <c r="AA401" s="975" t="e">
        <f>VLOOKUP(C401,'CHẤM CÔNG '!$D$12:$AL$89,33,0)</f>
        <v>#N/A</v>
      </c>
      <c r="AB401" s="975" t="e">
        <f>VLOOKUP(C401,'CHẤM CÔNG '!$D$12:$AL$89,34,0)</f>
        <v>#N/A</v>
      </c>
      <c r="AC401" s="975"/>
      <c r="AD401" s="975"/>
      <c r="AE401" s="975"/>
      <c r="AF401" s="975"/>
      <c r="AG401" s="975"/>
      <c r="AH401" s="975"/>
      <c r="AI401" s="975"/>
      <c r="AJ401" s="975"/>
      <c r="AK401" s="981"/>
      <c r="AL401" s="982" t="e">
        <f>VLOOKUP(C401,'sản lượng'!$D$12:$AM$89,38,0)</f>
        <v>#N/A</v>
      </c>
    </row>
    <row r="402" spans="1:38" ht="15.75">
      <c r="A402" s="957">
        <v>6</v>
      </c>
      <c r="B402" s="1640" t="str">
        <f>VLOOKUP(C402,'DS CN MOI UP'!$B$10:$C$389,2,0)</f>
        <v>02641</v>
      </c>
      <c r="C402" s="992" t="s">
        <v>291</v>
      </c>
      <c r="D402" s="957" t="s">
        <v>15</v>
      </c>
      <c r="E402" s="960">
        <f t="shared" si="88"/>
        <v>24</v>
      </c>
      <c r="F402" s="960"/>
      <c r="G402" s="960"/>
      <c r="H402" s="1110"/>
      <c r="I402" s="960"/>
      <c r="J402" s="960"/>
      <c r="K402" s="960"/>
      <c r="L402" s="960"/>
      <c r="M402" s="960"/>
      <c r="N402" s="960"/>
      <c r="O402" s="960"/>
      <c r="P402" s="960"/>
      <c r="Q402" s="960"/>
      <c r="R402" s="960"/>
      <c r="S402" s="975">
        <f t="shared" si="89"/>
        <v>24</v>
      </c>
      <c r="T402" s="975" t="e">
        <f>VLOOKUP(C402,'sản lượng'!$D$12:$AK$89,36,0)</f>
        <v>#N/A</v>
      </c>
      <c r="U402" s="975"/>
      <c r="V402" s="975"/>
      <c r="W402" s="976" t="e">
        <f t="shared" si="86"/>
        <v>#N/A</v>
      </c>
      <c r="X402" s="975"/>
      <c r="Y402" s="975"/>
      <c r="Z402" s="975" t="e">
        <f t="shared" si="87"/>
        <v>#N/A</v>
      </c>
      <c r="AA402" s="975" t="e">
        <f>VLOOKUP(C402,'CHẤM CÔNG '!$D$12:$AL$89,33,0)</f>
        <v>#N/A</v>
      </c>
      <c r="AB402" s="975" t="e">
        <f>VLOOKUP(C402,'CHẤM CÔNG '!$D$12:$AL$89,34,0)</f>
        <v>#N/A</v>
      </c>
      <c r="AC402" s="975"/>
      <c r="AD402" s="975"/>
      <c r="AE402" s="975"/>
      <c r="AF402" s="975"/>
      <c r="AG402" s="975"/>
      <c r="AH402" s="975"/>
      <c r="AI402" s="975"/>
      <c r="AJ402" s="975"/>
      <c r="AK402" s="981"/>
      <c r="AL402" s="982" t="e">
        <f>VLOOKUP(C402,'sản lượng'!$D$12:$AM$89,38,0)</f>
        <v>#N/A</v>
      </c>
    </row>
    <row r="403" spans="1:38" ht="15.75">
      <c r="A403" s="957">
        <v>7</v>
      </c>
      <c r="B403" s="1640" t="str">
        <f>VLOOKUP(C403,'DS CN MOI UP'!$B$10:$C$389,2,0)</f>
        <v>03406</v>
      </c>
      <c r="C403" s="992" t="s">
        <v>292</v>
      </c>
      <c r="D403" s="957" t="s">
        <v>15</v>
      </c>
      <c r="E403" s="960">
        <f t="shared" si="88"/>
        <v>24</v>
      </c>
      <c r="F403" s="960"/>
      <c r="G403" s="960"/>
      <c r="H403" s="1110"/>
      <c r="I403" s="960"/>
      <c r="J403" s="960"/>
      <c r="K403" s="960"/>
      <c r="L403" s="960"/>
      <c r="M403" s="960"/>
      <c r="N403" s="960"/>
      <c r="O403" s="960"/>
      <c r="P403" s="960"/>
      <c r="Q403" s="960"/>
      <c r="R403" s="960"/>
      <c r="S403" s="975">
        <f t="shared" si="89"/>
        <v>24</v>
      </c>
      <c r="T403" s="975" t="e">
        <f>VLOOKUP(C403,'sản lượng'!$D$12:$AK$89,36,0)</f>
        <v>#N/A</v>
      </c>
      <c r="U403" s="975"/>
      <c r="V403" s="975"/>
      <c r="W403" s="976" t="e">
        <f t="shared" si="86"/>
        <v>#N/A</v>
      </c>
      <c r="X403" s="975"/>
      <c r="Y403" s="975"/>
      <c r="Z403" s="975" t="e">
        <f t="shared" si="87"/>
        <v>#N/A</v>
      </c>
      <c r="AA403" s="975" t="e">
        <f>VLOOKUP(C403,'CHẤM CÔNG '!$D$12:$AL$89,33,0)</f>
        <v>#N/A</v>
      </c>
      <c r="AB403" s="975" t="e">
        <f>VLOOKUP(C403,'CHẤM CÔNG '!$D$12:$AL$89,34,0)</f>
        <v>#N/A</v>
      </c>
      <c r="AC403" s="975"/>
      <c r="AD403" s="975"/>
      <c r="AE403" s="975"/>
      <c r="AF403" s="975"/>
      <c r="AG403" s="975"/>
      <c r="AH403" s="975"/>
      <c r="AI403" s="975"/>
      <c r="AJ403" s="975"/>
      <c r="AK403" s="981"/>
      <c r="AL403" s="982" t="e">
        <f>VLOOKUP(C403,'sản lượng'!$D$12:$AM$89,38,0)</f>
        <v>#N/A</v>
      </c>
    </row>
    <row r="404" spans="1:38" ht="15.75">
      <c r="A404" s="957">
        <v>8</v>
      </c>
      <c r="B404" s="1640" t="str">
        <f>VLOOKUP(C404,'DS CN MOI UP'!$B$10:$C$389,2,0)</f>
        <v>02643</v>
      </c>
      <c r="C404" s="992" t="s">
        <v>293</v>
      </c>
      <c r="D404" s="957" t="s">
        <v>15</v>
      </c>
      <c r="E404" s="960">
        <f t="shared" si="88"/>
        <v>24</v>
      </c>
      <c r="F404" s="960"/>
      <c r="G404" s="960"/>
      <c r="H404" s="1110"/>
      <c r="I404" s="960"/>
      <c r="J404" s="960"/>
      <c r="K404" s="960"/>
      <c r="L404" s="960"/>
      <c r="M404" s="960"/>
      <c r="N404" s="960"/>
      <c r="O404" s="960"/>
      <c r="P404" s="960"/>
      <c r="Q404" s="960"/>
      <c r="R404" s="960"/>
      <c r="S404" s="975">
        <f t="shared" si="89"/>
        <v>24</v>
      </c>
      <c r="T404" s="975" t="e">
        <f>VLOOKUP(C404,'sản lượng'!$D$12:$AK$89,36,0)</f>
        <v>#N/A</v>
      </c>
      <c r="U404" s="975"/>
      <c r="V404" s="975"/>
      <c r="W404" s="976" t="e">
        <f t="shared" si="86"/>
        <v>#N/A</v>
      </c>
      <c r="X404" s="975"/>
      <c r="Y404" s="975"/>
      <c r="Z404" s="975" t="e">
        <f t="shared" si="87"/>
        <v>#N/A</v>
      </c>
      <c r="AA404" s="975" t="e">
        <f>VLOOKUP(C404,'CHẤM CÔNG '!$D$12:$AL$89,33,0)</f>
        <v>#N/A</v>
      </c>
      <c r="AB404" s="975" t="e">
        <f>VLOOKUP(C404,'CHẤM CÔNG '!$D$12:$AL$89,34,0)</f>
        <v>#N/A</v>
      </c>
      <c r="AC404" s="975"/>
      <c r="AD404" s="975"/>
      <c r="AE404" s="975"/>
      <c r="AF404" s="975"/>
      <c r="AG404" s="975"/>
      <c r="AH404" s="975"/>
      <c r="AI404" s="975"/>
      <c r="AJ404" s="975"/>
      <c r="AK404" s="981"/>
      <c r="AL404" s="982" t="e">
        <f>VLOOKUP(C404,'sản lượng'!$D$12:$AM$89,38,0)</f>
        <v>#N/A</v>
      </c>
    </row>
    <row r="405" spans="1:38" ht="15.75">
      <c r="A405" s="957">
        <v>9</v>
      </c>
      <c r="B405" s="1640" t="str">
        <f>VLOOKUP(C405,'DS CN MOI UP'!$B$10:$C$389,2,0)</f>
        <v>03407</v>
      </c>
      <c r="C405" s="992" t="s">
        <v>294</v>
      </c>
      <c r="D405" s="957" t="s">
        <v>15</v>
      </c>
      <c r="E405" s="960">
        <f t="shared" si="88"/>
        <v>24</v>
      </c>
      <c r="F405" s="960"/>
      <c r="G405" s="960"/>
      <c r="H405" s="1110"/>
      <c r="I405" s="960"/>
      <c r="J405" s="960"/>
      <c r="K405" s="960"/>
      <c r="L405" s="960"/>
      <c r="M405" s="960"/>
      <c r="N405" s="960"/>
      <c r="O405" s="960"/>
      <c r="P405" s="960"/>
      <c r="Q405" s="960"/>
      <c r="R405" s="960"/>
      <c r="S405" s="975">
        <f t="shared" si="89"/>
        <v>24</v>
      </c>
      <c r="T405" s="975" t="e">
        <f>VLOOKUP(C405,'sản lượng'!$D$12:$AK$89,36,0)</f>
        <v>#N/A</v>
      </c>
      <c r="U405" s="975"/>
      <c r="V405" s="975"/>
      <c r="W405" s="976" t="e">
        <f t="shared" si="86"/>
        <v>#N/A</v>
      </c>
      <c r="X405" s="975"/>
      <c r="Y405" s="975"/>
      <c r="Z405" s="975" t="e">
        <f t="shared" si="87"/>
        <v>#N/A</v>
      </c>
      <c r="AA405" s="975" t="e">
        <f>VLOOKUP(C405,'CHẤM CÔNG '!$D$12:$AL$89,33,0)</f>
        <v>#N/A</v>
      </c>
      <c r="AB405" s="975" t="e">
        <f>VLOOKUP(C405,'CHẤM CÔNG '!$D$12:$AL$89,34,0)</f>
        <v>#N/A</v>
      </c>
      <c r="AC405" s="975"/>
      <c r="AD405" s="975"/>
      <c r="AE405" s="975"/>
      <c r="AF405" s="975"/>
      <c r="AG405" s="975"/>
      <c r="AH405" s="975"/>
      <c r="AI405" s="975"/>
      <c r="AJ405" s="975"/>
      <c r="AK405" s="981"/>
      <c r="AL405" s="982" t="e">
        <f>VLOOKUP(C405,'sản lượng'!$D$12:$AM$89,38,0)</f>
        <v>#N/A</v>
      </c>
    </row>
    <row r="406" spans="1:38" ht="15.75">
      <c r="A406" s="957">
        <v>10</v>
      </c>
      <c r="B406" s="1640" t="str">
        <f>VLOOKUP(C406,'DS CN MOI UP'!$B$10:$C$389,2,0)</f>
        <v>03408</v>
      </c>
      <c r="C406" s="992" t="s">
        <v>295</v>
      </c>
      <c r="D406" s="957" t="s">
        <v>15</v>
      </c>
      <c r="E406" s="960">
        <f t="shared" si="88"/>
        <v>24</v>
      </c>
      <c r="F406" s="960"/>
      <c r="G406" s="960"/>
      <c r="H406" s="1110"/>
      <c r="I406" s="960"/>
      <c r="J406" s="960"/>
      <c r="K406" s="960"/>
      <c r="L406" s="960"/>
      <c r="M406" s="960"/>
      <c r="N406" s="960"/>
      <c r="O406" s="960"/>
      <c r="P406" s="960"/>
      <c r="Q406" s="960"/>
      <c r="R406" s="960"/>
      <c r="S406" s="975">
        <f t="shared" si="89"/>
        <v>24</v>
      </c>
      <c r="T406" s="975" t="e">
        <f>VLOOKUP(C406,'sản lượng'!$D$12:$AK$89,36,0)</f>
        <v>#N/A</v>
      </c>
      <c r="U406" s="975"/>
      <c r="V406" s="975"/>
      <c r="W406" s="976" t="e">
        <f t="shared" si="86"/>
        <v>#N/A</v>
      </c>
      <c r="X406" s="975"/>
      <c r="Y406" s="975"/>
      <c r="Z406" s="975" t="e">
        <f t="shared" si="87"/>
        <v>#N/A</v>
      </c>
      <c r="AA406" s="975" t="e">
        <f>VLOOKUP(C406,'CHẤM CÔNG '!$D$12:$AL$89,33,0)</f>
        <v>#N/A</v>
      </c>
      <c r="AB406" s="975" t="e">
        <f>VLOOKUP(C406,'CHẤM CÔNG '!$D$12:$AL$89,34,0)</f>
        <v>#N/A</v>
      </c>
      <c r="AC406" s="975"/>
      <c r="AD406" s="975"/>
      <c r="AE406" s="975"/>
      <c r="AF406" s="975"/>
      <c r="AG406" s="975"/>
      <c r="AH406" s="975"/>
      <c r="AI406" s="975"/>
      <c r="AJ406" s="975"/>
      <c r="AK406" s="981"/>
      <c r="AL406" s="982" t="e">
        <f>VLOOKUP(C406,'sản lượng'!$D$12:$AM$89,38,0)</f>
        <v>#N/A</v>
      </c>
    </row>
    <row r="407" spans="1:38" ht="15.75">
      <c r="A407" s="957">
        <v>11</v>
      </c>
      <c r="B407" s="1640" t="str">
        <f>VLOOKUP(C407,'DS CN MOI UP'!$B$10:$C$389,2,0)</f>
        <v>02646</v>
      </c>
      <c r="C407" s="992" t="s">
        <v>296</v>
      </c>
      <c r="D407" s="957" t="s">
        <v>15</v>
      </c>
      <c r="E407" s="960">
        <f t="shared" si="88"/>
        <v>24</v>
      </c>
      <c r="F407" s="960"/>
      <c r="G407" s="960"/>
      <c r="H407" s="1110"/>
      <c r="I407" s="960"/>
      <c r="J407" s="960"/>
      <c r="K407" s="960"/>
      <c r="L407" s="960"/>
      <c r="M407" s="960"/>
      <c r="N407" s="960"/>
      <c r="O407" s="960"/>
      <c r="P407" s="960"/>
      <c r="Q407" s="960"/>
      <c r="R407" s="960"/>
      <c r="S407" s="975">
        <f t="shared" si="89"/>
        <v>24</v>
      </c>
      <c r="T407" s="975" t="e">
        <f>VLOOKUP(C407,'sản lượng'!$D$12:$AK$89,36,0)</f>
        <v>#N/A</v>
      </c>
      <c r="U407" s="975"/>
      <c r="V407" s="975"/>
      <c r="W407" s="976" t="e">
        <f t="shared" si="86"/>
        <v>#N/A</v>
      </c>
      <c r="X407" s="975"/>
      <c r="Y407" s="975"/>
      <c r="Z407" s="975" t="e">
        <f t="shared" ref="Z407:Z457" si="90">W407*$AN$18+X407*$AN$10+$AN$11*Y407</f>
        <v>#N/A</v>
      </c>
      <c r="AA407" s="975" t="e">
        <f>VLOOKUP(C407,'CHẤM CÔNG '!$D$12:$AL$89,33,0)</f>
        <v>#N/A</v>
      </c>
      <c r="AB407" s="975" t="e">
        <f>VLOOKUP(C407,'CHẤM CÔNG '!$D$12:$AL$89,34,0)</f>
        <v>#N/A</v>
      </c>
      <c r="AC407" s="975"/>
      <c r="AD407" s="975"/>
      <c r="AE407" s="975"/>
      <c r="AF407" s="975"/>
      <c r="AG407" s="975"/>
      <c r="AH407" s="975"/>
      <c r="AI407" s="975"/>
      <c r="AJ407" s="975"/>
      <c r="AK407" s="981"/>
      <c r="AL407" s="982" t="e">
        <f>VLOOKUP(C407,'sản lượng'!$D$12:$AM$89,38,0)</f>
        <v>#N/A</v>
      </c>
    </row>
    <row r="408" spans="1:38" ht="15.75">
      <c r="A408" s="957">
        <v>12</v>
      </c>
      <c r="B408" s="1640" t="str">
        <f>VLOOKUP(C408,'DS CN MOI UP'!$B$10:$C$389,2,0)</f>
        <v>02647</v>
      </c>
      <c r="C408" s="992" t="s">
        <v>297</v>
      </c>
      <c r="D408" s="957" t="s">
        <v>15</v>
      </c>
      <c r="E408" s="960">
        <f t="shared" si="88"/>
        <v>24</v>
      </c>
      <c r="F408" s="960"/>
      <c r="G408" s="960"/>
      <c r="H408" s="1110"/>
      <c r="I408" s="960"/>
      <c r="J408" s="960"/>
      <c r="K408" s="960"/>
      <c r="L408" s="960"/>
      <c r="M408" s="960"/>
      <c r="N408" s="960"/>
      <c r="O408" s="960"/>
      <c r="P408" s="960"/>
      <c r="Q408" s="960"/>
      <c r="R408" s="960"/>
      <c r="S408" s="975">
        <f t="shared" si="89"/>
        <v>24</v>
      </c>
      <c r="T408" s="975" t="e">
        <f>VLOOKUP(C408,'sản lượng'!$D$12:$AK$89,36,0)</f>
        <v>#N/A</v>
      </c>
      <c r="U408" s="975"/>
      <c r="V408" s="975"/>
      <c r="W408" s="976" t="e">
        <f t="shared" si="86"/>
        <v>#N/A</v>
      </c>
      <c r="X408" s="975"/>
      <c r="Y408" s="975"/>
      <c r="Z408" s="975" t="e">
        <f t="shared" si="90"/>
        <v>#N/A</v>
      </c>
      <c r="AA408" s="975" t="e">
        <f>VLOOKUP(C408,'CHẤM CÔNG '!$D$12:$AL$89,33,0)</f>
        <v>#N/A</v>
      </c>
      <c r="AB408" s="975" t="e">
        <f>VLOOKUP(C408,'CHẤM CÔNG '!$D$12:$AL$89,34,0)</f>
        <v>#N/A</v>
      </c>
      <c r="AC408" s="975"/>
      <c r="AD408" s="975"/>
      <c r="AE408" s="975"/>
      <c r="AF408" s="975"/>
      <c r="AG408" s="975"/>
      <c r="AH408" s="975"/>
      <c r="AI408" s="975"/>
      <c r="AJ408" s="975"/>
      <c r="AK408" s="981"/>
      <c r="AL408" s="982" t="e">
        <f>VLOOKUP(C408,'sản lượng'!$D$12:$AM$89,38,0)</f>
        <v>#N/A</v>
      </c>
    </row>
    <row r="409" spans="1:38" ht="15.75">
      <c r="A409" s="957">
        <v>13</v>
      </c>
      <c r="B409" s="1640" t="str">
        <f>VLOOKUP(C409,'DS CN MOI UP'!$B$10:$C$389,2,0)</f>
        <v>02648</v>
      </c>
      <c r="C409" s="992" t="s">
        <v>298</v>
      </c>
      <c r="D409" s="957" t="s">
        <v>15</v>
      </c>
      <c r="E409" s="960">
        <f t="shared" si="88"/>
        <v>24</v>
      </c>
      <c r="F409" s="960"/>
      <c r="G409" s="960"/>
      <c r="H409" s="1110"/>
      <c r="I409" s="960"/>
      <c r="J409" s="960"/>
      <c r="K409" s="960"/>
      <c r="L409" s="960"/>
      <c r="M409" s="960"/>
      <c r="N409" s="960"/>
      <c r="O409" s="960"/>
      <c r="P409" s="960"/>
      <c r="Q409" s="960"/>
      <c r="R409" s="960"/>
      <c r="S409" s="975">
        <f t="shared" si="89"/>
        <v>24</v>
      </c>
      <c r="T409" s="975" t="e">
        <f>VLOOKUP(C409,'sản lượng'!$D$12:$AK$89,36,0)</f>
        <v>#N/A</v>
      </c>
      <c r="U409" s="975"/>
      <c r="V409" s="975"/>
      <c r="W409" s="976" t="e">
        <f t="shared" si="86"/>
        <v>#N/A</v>
      </c>
      <c r="X409" s="975"/>
      <c r="Y409" s="975"/>
      <c r="Z409" s="975" t="e">
        <f t="shared" si="90"/>
        <v>#N/A</v>
      </c>
      <c r="AA409" s="975" t="e">
        <f>VLOOKUP(C409,'CHẤM CÔNG '!$D$12:$AL$89,33,0)</f>
        <v>#N/A</v>
      </c>
      <c r="AB409" s="975" t="e">
        <f>VLOOKUP(C409,'CHẤM CÔNG '!$D$12:$AL$89,34,0)</f>
        <v>#N/A</v>
      </c>
      <c r="AC409" s="975"/>
      <c r="AD409" s="975"/>
      <c r="AE409" s="975"/>
      <c r="AF409" s="975"/>
      <c r="AG409" s="975"/>
      <c r="AH409" s="975"/>
      <c r="AI409" s="975"/>
      <c r="AJ409" s="975"/>
      <c r="AK409" s="981"/>
      <c r="AL409" s="982" t="e">
        <f>VLOOKUP(C409,'sản lượng'!$D$12:$AM$89,38,0)</f>
        <v>#N/A</v>
      </c>
    </row>
    <row r="410" spans="1:38" ht="15.75">
      <c r="A410" s="957">
        <v>14</v>
      </c>
      <c r="B410" s="1640" t="str">
        <f>VLOOKUP(C410,'DS CN MOI UP'!$B$10:$C$389,2,0)</f>
        <v>02649</v>
      </c>
      <c r="C410" s="992" t="s">
        <v>299</v>
      </c>
      <c r="D410" s="957" t="s">
        <v>15</v>
      </c>
      <c r="E410" s="960">
        <f t="shared" si="88"/>
        <v>24</v>
      </c>
      <c r="F410" s="960"/>
      <c r="G410" s="960"/>
      <c r="H410" s="1110"/>
      <c r="I410" s="960"/>
      <c r="J410" s="960"/>
      <c r="K410" s="960"/>
      <c r="L410" s="960"/>
      <c r="M410" s="960"/>
      <c r="N410" s="960"/>
      <c r="O410" s="960"/>
      <c r="P410" s="960"/>
      <c r="Q410" s="960"/>
      <c r="R410" s="960"/>
      <c r="S410" s="975">
        <f t="shared" si="89"/>
        <v>24</v>
      </c>
      <c r="T410" s="975" t="e">
        <f>VLOOKUP(C410,'sản lượng'!$D$12:$AK$89,36,0)</f>
        <v>#N/A</v>
      </c>
      <c r="U410" s="975"/>
      <c r="V410" s="975"/>
      <c r="W410" s="976" t="e">
        <f t="shared" si="86"/>
        <v>#N/A</v>
      </c>
      <c r="X410" s="975"/>
      <c r="Y410" s="975"/>
      <c r="Z410" s="975" t="e">
        <f t="shared" si="90"/>
        <v>#N/A</v>
      </c>
      <c r="AA410" s="975" t="e">
        <f>VLOOKUP(C410,'CHẤM CÔNG '!$D$12:$AL$89,33,0)</f>
        <v>#N/A</v>
      </c>
      <c r="AB410" s="975" t="e">
        <f>VLOOKUP(C410,'CHẤM CÔNG '!$D$12:$AL$89,34,0)</f>
        <v>#N/A</v>
      </c>
      <c r="AC410" s="975"/>
      <c r="AD410" s="975"/>
      <c r="AE410" s="975"/>
      <c r="AF410" s="975"/>
      <c r="AG410" s="975"/>
      <c r="AH410" s="975"/>
      <c r="AI410" s="975"/>
      <c r="AJ410" s="975"/>
      <c r="AK410" s="981"/>
      <c r="AL410" s="982" t="e">
        <f>VLOOKUP(C410,'sản lượng'!$D$12:$AM$89,38,0)</f>
        <v>#N/A</v>
      </c>
    </row>
    <row r="411" spans="1:38" ht="15.75">
      <c r="A411" s="957">
        <v>15</v>
      </c>
      <c r="B411" s="1640" t="str">
        <f>VLOOKUP(C411,'DS CN MOI UP'!$B$10:$C$389,2,0)</f>
        <v>02650</v>
      </c>
      <c r="C411" s="992" t="s">
        <v>300</v>
      </c>
      <c r="D411" s="957" t="s">
        <v>15</v>
      </c>
      <c r="E411" s="960">
        <f t="shared" si="88"/>
        <v>24</v>
      </c>
      <c r="F411" s="960"/>
      <c r="G411" s="960"/>
      <c r="H411" s="1110"/>
      <c r="I411" s="960"/>
      <c r="J411" s="960"/>
      <c r="K411" s="960"/>
      <c r="L411" s="960"/>
      <c r="M411" s="960"/>
      <c r="N411" s="960"/>
      <c r="O411" s="960"/>
      <c r="P411" s="960"/>
      <c r="Q411" s="960"/>
      <c r="R411" s="960"/>
      <c r="S411" s="975">
        <f t="shared" si="89"/>
        <v>24</v>
      </c>
      <c r="T411" s="975" t="e">
        <f>VLOOKUP(C411,'sản lượng'!$D$12:$AK$89,36,0)</f>
        <v>#N/A</v>
      </c>
      <c r="U411" s="975"/>
      <c r="V411" s="975"/>
      <c r="W411" s="976" t="e">
        <f t="shared" si="86"/>
        <v>#N/A</v>
      </c>
      <c r="X411" s="975"/>
      <c r="Y411" s="975"/>
      <c r="Z411" s="975" t="e">
        <f t="shared" si="90"/>
        <v>#N/A</v>
      </c>
      <c r="AA411" s="975" t="e">
        <f>VLOOKUP(C411,'CHẤM CÔNG '!$D$12:$AL$89,33,0)</f>
        <v>#N/A</v>
      </c>
      <c r="AB411" s="975" t="e">
        <f>VLOOKUP(C411,'CHẤM CÔNG '!$D$12:$AL$89,34,0)</f>
        <v>#N/A</v>
      </c>
      <c r="AC411" s="975"/>
      <c r="AD411" s="975"/>
      <c r="AE411" s="975"/>
      <c r="AF411" s="975"/>
      <c r="AG411" s="975"/>
      <c r="AH411" s="975"/>
      <c r="AI411" s="975"/>
      <c r="AJ411" s="975"/>
      <c r="AK411" s="981"/>
      <c r="AL411" s="982" t="e">
        <f>VLOOKUP(C411,'sản lượng'!$D$12:$AM$89,38,0)</f>
        <v>#N/A</v>
      </c>
    </row>
    <row r="412" spans="1:38" ht="15.75">
      <c r="A412" s="957">
        <v>16</v>
      </c>
      <c r="B412" s="1640" t="str">
        <f>VLOOKUP(C412,'DS CN MOI UP'!$B$10:$C$389,2,0)</f>
        <v>02651</v>
      </c>
      <c r="C412" s="992" t="s">
        <v>301</v>
      </c>
      <c r="D412" s="957" t="s">
        <v>15</v>
      </c>
      <c r="E412" s="960">
        <f t="shared" si="88"/>
        <v>24</v>
      </c>
      <c r="F412" s="960"/>
      <c r="G412" s="960"/>
      <c r="H412" s="1110"/>
      <c r="I412" s="960"/>
      <c r="J412" s="960"/>
      <c r="K412" s="960"/>
      <c r="L412" s="960"/>
      <c r="M412" s="960"/>
      <c r="N412" s="960"/>
      <c r="O412" s="960"/>
      <c r="P412" s="960"/>
      <c r="Q412" s="960"/>
      <c r="R412" s="960"/>
      <c r="S412" s="975">
        <f t="shared" si="89"/>
        <v>24</v>
      </c>
      <c r="T412" s="975" t="e">
        <f>VLOOKUP(C412,'sản lượng'!$D$12:$AK$89,36,0)</f>
        <v>#N/A</v>
      </c>
      <c r="U412" s="975"/>
      <c r="V412" s="975"/>
      <c r="W412" s="976" t="e">
        <f t="shared" si="86"/>
        <v>#N/A</v>
      </c>
      <c r="X412" s="975"/>
      <c r="Y412" s="975"/>
      <c r="Z412" s="975" t="e">
        <f t="shared" si="90"/>
        <v>#N/A</v>
      </c>
      <c r="AA412" s="975" t="e">
        <f>VLOOKUP(C412,'CHẤM CÔNG '!$D$12:$AL$89,33,0)</f>
        <v>#N/A</v>
      </c>
      <c r="AB412" s="975" t="e">
        <f>VLOOKUP(C412,'CHẤM CÔNG '!$D$12:$AL$89,34,0)</f>
        <v>#N/A</v>
      </c>
      <c r="AC412" s="975"/>
      <c r="AD412" s="975"/>
      <c r="AE412" s="975"/>
      <c r="AF412" s="975"/>
      <c r="AG412" s="975"/>
      <c r="AH412" s="975"/>
      <c r="AI412" s="975"/>
      <c r="AJ412" s="975"/>
      <c r="AK412" s="981"/>
      <c r="AL412" s="982" t="e">
        <f>VLOOKUP(C412,'sản lượng'!$D$12:$AM$89,38,0)</f>
        <v>#N/A</v>
      </c>
    </row>
    <row r="413" spans="1:38" ht="15.75">
      <c r="A413" s="957">
        <v>17</v>
      </c>
      <c r="B413" s="1640" t="str">
        <f>VLOOKUP(C413,'DS CN MOI UP'!$B$10:$C$389,2,0)</f>
        <v>02652</v>
      </c>
      <c r="C413" s="992" t="s">
        <v>302</v>
      </c>
      <c r="D413" s="957" t="s">
        <v>15</v>
      </c>
      <c r="E413" s="960">
        <f t="shared" si="88"/>
        <v>24</v>
      </c>
      <c r="F413" s="960"/>
      <c r="G413" s="960"/>
      <c r="H413" s="1110"/>
      <c r="I413" s="960"/>
      <c r="J413" s="960"/>
      <c r="K413" s="960"/>
      <c r="L413" s="960"/>
      <c r="M413" s="960"/>
      <c r="N413" s="960"/>
      <c r="O413" s="960"/>
      <c r="P413" s="960"/>
      <c r="Q413" s="960"/>
      <c r="R413" s="960"/>
      <c r="S413" s="975">
        <f t="shared" si="89"/>
        <v>24</v>
      </c>
      <c r="T413" s="975" t="e">
        <f>VLOOKUP(C413,'sản lượng'!$D$12:$AK$89,36,0)</f>
        <v>#N/A</v>
      </c>
      <c r="U413" s="975"/>
      <c r="V413" s="975"/>
      <c r="W413" s="976" t="e">
        <f t="shared" si="86"/>
        <v>#N/A</v>
      </c>
      <c r="X413" s="975"/>
      <c r="Y413" s="975"/>
      <c r="Z413" s="975" t="e">
        <f t="shared" si="90"/>
        <v>#N/A</v>
      </c>
      <c r="AA413" s="975" t="e">
        <f>VLOOKUP(C413,'CHẤM CÔNG '!$D$12:$AL$89,33,0)</f>
        <v>#N/A</v>
      </c>
      <c r="AB413" s="975" t="e">
        <f>VLOOKUP(C413,'CHẤM CÔNG '!$D$12:$AL$89,34,0)</f>
        <v>#N/A</v>
      </c>
      <c r="AC413" s="975"/>
      <c r="AD413" s="975"/>
      <c r="AE413" s="975"/>
      <c r="AF413" s="975"/>
      <c r="AG413" s="975"/>
      <c r="AH413" s="975"/>
      <c r="AI413" s="975"/>
      <c r="AJ413" s="975"/>
      <c r="AK413" s="981"/>
      <c r="AL413" s="982" t="e">
        <f>VLOOKUP(C413,'sản lượng'!$D$12:$AM$89,38,0)</f>
        <v>#N/A</v>
      </c>
    </row>
    <row r="414" spans="1:38" ht="15.75">
      <c r="A414" s="957">
        <v>18</v>
      </c>
      <c r="B414" s="958" t="e">
        <f>VLOOKUP(C414,'DS CN MOI UP'!$B$10:$C$389,2,0)</f>
        <v>#N/A</v>
      </c>
      <c r="C414" s="992" t="s">
        <v>303</v>
      </c>
      <c r="D414" s="957" t="s">
        <v>15</v>
      </c>
      <c r="E414" s="960">
        <f t="shared" si="88"/>
        <v>24</v>
      </c>
      <c r="F414" s="960"/>
      <c r="G414" s="960"/>
      <c r="H414" s="1110"/>
      <c r="I414" s="960"/>
      <c r="J414" s="960"/>
      <c r="K414" s="960"/>
      <c r="L414" s="960"/>
      <c r="M414" s="960"/>
      <c r="N414" s="960"/>
      <c r="O414" s="960"/>
      <c r="P414" s="960"/>
      <c r="Q414" s="960"/>
      <c r="R414" s="960"/>
      <c r="S414" s="975">
        <f t="shared" si="89"/>
        <v>24</v>
      </c>
      <c r="T414" s="975" t="e">
        <f>VLOOKUP(C414,'sản lượng'!$D$12:$AK$89,36,0)</f>
        <v>#N/A</v>
      </c>
      <c r="U414" s="975"/>
      <c r="V414" s="975"/>
      <c r="W414" s="976" t="e">
        <f t="shared" si="86"/>
        <v>#N/A</v>
      </c>
      <c r="X414" s="975"/>
      <c r="Y414" s="975"/>
      <c r="Z414" s="975" t="e">
        <f t="shared" si="90"/>
        <v>#N/A</v>
      </c>
      <c r="AA414" s="975" t="e">
        <f>VLOOKUP(C414,'CHẤM CÔNG '!$D$12:$AL$89,33,0)</f>
        <v>#N/A</v>
      </c>
      <c r="AB414" s="975" t="e">
        <f>VLOOKUP(C414,'CHẤM CÔNG '!$D$12:$AL$89,34,0)</f>
        <v>#N/A</v>
      </c>
      <c r="AC414" s="975"/>
      <c r="AD414" s="975"/>
      <c r="AE414" s="975"/>
      <c r="AF414" s="975"/>
      <c r="AG414" s="975"/>
      <c r="AH414" s="975"/>
      <c r="AI414" s="975"/>
      <c r="AJ414" s="975"/>
      <c r="AK414" s="981"/>
      <c r="AL414" s="982" t="e">
        <f>VLOOKUP(C414,'sản lượng'!$D$12:$AM$89,38,0)</f>
        <v>#N/A</v>
      </c>
    </row>
    <row r="415" spans="1:38" ht="15.75">
      <c r="A415" s="957">
        <v>19</v>
      </c>
      <c r="B415" s="1640" t="str">
        <f>VLOOKUP(C415,'DS CN MOI UP'!$B$10:$C$389,2,0)</f>
        <v>02654</v>
      </c>
      <c r="C415" s="992" t="s">
        <v>304</v>
      </c>
      <c r="D415" s="957" t="s">
        <v>15</v>
      </c>
      <c r="E415" s="960">
        <f t="shared" si="88"/>
        <v>24</v>
      </c>
      <c r="F415" s="960"/>
      <c r="G415" s="960"/>
      <c r="H415" s="1110"/>
      <c r="I415" s="960"/>
      <c r="J415" s="960"/>
      <c r="K415" s="960"/>
      <c r="L415" s="960"/>
      <c r="M415" s="960"/>
      <c r="N415" s="960"/>
      <c r="O415" s="960"/>
      <c r="P415" s="960"/>
      <c r="Q415" s="960"/>
      <c r="R415" s="960"/>
      <c r="S415" s="975">
        <f t="shared" si="89"/>
        <v>24</v>
      </c>
      <c r="T415" s="975" t="e">
        <f>VLOOKUP(C415,'sản lượng'!$D$12:$AK$89,36,0)</f>
        <v>#N/A</v>
      </c>
      <c r="U415" s="975"/>
      <c r="V415" s="975"/>
      <c r="W415" s="976" t="e">
        <f t="shared" si="86"/>
        <v>#N/A</v>
      </c>
      <c r="X415" s="975"/>
      <c r="Y415" s="975"/>
      <c r="Z415" s="975" t="e">
        <f t="shared" si="90"/>
        <v>#N/A</v>
      </c>
      <c r="AA415" s="975" t="e">
        <f>VLOOKUP(C415,'CHẤM CÔNG '!$D$12:$AL$89,33,0)</f>
        <v>#N/A</v>
      </c>
      <c r="AB415" s="975" t="e">
        <f>VLOOKUP(C415,'CHẤM CÔNG '!$D$12:$AL$89,34,0)</f>
        <v>#N/A</v>
      </c>
      <c r="AC415" s="975"/>
      <c r="AD415" s="975"/>
      <c r="AE415" s="975"/>
      <c r="AF415" s="975"/>
      <c r="AG415" s="975"/>
      <c r="AH415" s="975"/>
      <c r="AI415" s="975"/>
      <c r="AJ415" s="975"/>
      <c r="AK415" s="981"/>
      <c r="AL415" s="982" t="e">
        <f>VLOOKUP(C415,'sản lượng'!$D$12:$AM$89,38,0)</f>
        <v>#N/A</v>
      </c>
    </row>
    <row r="416" spans="1:38" ht="15.75">
      <c r="A416" s="957">
        <v>20</v>
      </c>
      <c r="B416" s="1640" t="str">
        <f>VLOOKUP(C416,'DS CN MOI UP'!$B$10:$C$389,2,0)</f>
        <v>03861</v>
      </c>
      <c r="C416" s="992" t="s">
        <v>305</v>
      </c>
      <c r="D416" s="957" t="s">
        <v>15</v>
      </c>
      <c r="E416" s="960">
        <f t="shared" si="88"/>
        <v>24</v>
      </c>
      <c r="F416" s="960"/>
      <c r="G416" s="960"/>
      <c r="H416" s="1110"/>
      <c r="I416" s="960"/>
      <c r="J416" s="960"/>
      <c r="K416" s="960"/>
      <c r="L416" s="960"/>
      <c r="M416" s="960"/>
      <c r="N416" s="960"/>
      <c r="O416" s="960"/>
      <c r="P416" s="960"/>
      <c r="Q416" s="960"/>
      <c r="R416" s="960"/>
      <c r="S416" s="975">
        <f t="shared" si="89"/>
        <v>24</v>
      </c>
      <c r="T416" s="975" t="e">
        <f>VLOOKUP(C416,'sản lượng'!$D$12:$AK$89,36,0)</f>
        <v>#N/A</v>
      </c>
      <c r="U416" s="975"/>
      <c r="V416" s="975"/>
      <c r="W416" s="976" t="e">
        <f t="shared" si="86"/>
        <v>#N/A</v>
      </c>
      <c r="X416" s="975"/>
      <c r="Y416" s="975"/>
      <c r="Z416" s="975" t="e">
        <f t="shared" si="90"/>
        <v>#N/A</v>
      </c>
      <c r="AA416" s="975" t="e">
        <f>VLOOKUP(C416,'CHẤM CÔNG '!$D$12:$AL$89,33,0)</f>
        <v>#N/A</v>
      </c>
      <c r="AB416" s="975" t="e">
        <f>VLOOKUP(C416,'CHẤM CÔNG '!$D$12:$AL$89,34,0)</f>
        <v>#N/A</v>
      </c>
      <c r="AC416" s="975"/>
      <c r="AD416" s="975"/>
      <c r="AE416" s="975"/>
      <c r="AF416" s="975"/>
      <c r="AG416" s="975"/>
      <c r="AH416" s="975"/>
      <c r="AI416" s="975"/>
      <c r="AJ416" s="975"/>
      <c r="AK416" s="981"/>
      <c r="AL416" s="982" t="e">
        <f>VLOOKUP(C416,'sản lượng'!$D$12:$AM$89,38,0)</f>
        <v>#N/A</v>
      </c>
    </row>
    <row r="417" spans="1:38" ht="15.75">
      <c r="A417" s="957">
        <v>21</v>
      </c>
      <c r="B417" s="958" t="e">
        <f>VLOOKUP(C417,'DS CN MOI UP'!$B$10:$C$389,2,0)</f>
        <v>#N/A</v>
      </c>
      <c r="C417" s="992" t="s">
        <v>306</v>
      </c>
      <c r="D417" s="957" t="s">
        <v>15</v>
      </c>
      <c r="E417" s="960">
        <f t="shared" si="88"/>
        <v>24</v>
      </c>
      <c r="F417" s="960"/>
      <c r="G417" s="960"/>
      <c r="H417" s="1110"/>
      <c r="I417" s="960"/>
      <c r="J417" s="960"/>
      <c r="K417" s="960"/>
      <c r="L417" s="960"/>
      <c r="M417" s="960"/>
      <c r="N417" s="960"/>
      <c r="O417" s="960"/>
      <c r="P417" s="960"/>
      <c r="Q417" s="960"/>
      <c r="R417" s="960"/>
      <c r="S417" s="975">
        <f t="shared" ref="S417:S438" si="91">SUM(E417:R417)</f>
        <v>24</v>
      </c>
      <c r="T417" s="975" t="e">
        <f>VLOOKUP(C417,'sản lượng'!$D$12:$AK$89,36,0)</f>
        <v>#N/A</v>
      </c>
      <c r="U417" s="975"/>
      <c r="V417" s="975"/>
      <c r="W417" s="976" t="e">
        <f t="shared" si="86"/>
        <v>#N/A</v>
      </c>
      <c r="X417" s="975"/>
      <c r="Y417" s="975"/>
      <c r="Z417" s="975" t="e">
        <f t="shared" si="90"/>
        <v>#N/A</v>
      </c>
      <c r="AA417" s="975" t="e">
        <f>VLOOKUP(C417,'CHẤM CÔNG '!$D$12:$AL$89,33,0)</f>
        <v>#N/A</v>
      </c>
      <c r="AB417" s="975" t="e">
        <f>VLOOKUP(C417,'CHẤM CÔNG '!$D$12:$AL$89,34,0)</f>
        <v>#N/A</v>
      </c>
      <c r="AC417" s="975"/>
      <c r="AD417" s="975"/>
      <c r="AE417" s="975"/>
      <c r="AF417" s="975"/>
      <c r="AG417" s="975"/>
      <c r="AH417" s="975"/>
      <c r="AI417" s="975"/>
      <c r="AJ417" s="975"/>
      <c r="AK417" s="981"/>
      <c r="AL417" s="982" t="e">
        <f>VLOOKUP(C417,'sản lượng'!$D$12:$AM$89,38,0)</f>
        <v>#N/A</v>
      </c>
    </row>
    <row r="418" spans="1:38" ht="15.75">
      <c r="A418" s="957">
        <v>22</v>
      </c>
      <c r="B418" s="958" t="e">
        <f>VLOOKUP(C418,'DS CN MOI UP'!$B$10:$C$389,2,0)</f>
        <v>#N/A</v>
      </c>
      <c r="C418" s="992" t="s">
        <v>307</v>
      </c>
      <c r="D418" s="957" t="s">
        <v>15</v>
      </c>
      <c r="E418" s="960">
        <f t="shared" si="88"/>
        <v>24</v>
      </c>
      <c r="F418" s="960">
        <f>4*4</f>
        <v>16</v>
      </c>
      <c r="G418" s="960">
        <f>4*6</f>
        <v>24</v>
      </c>
      <c r="H418" s="1110"/>
      <c r="I418" s="960"/>
      <c r="J418" s="960"/>
      <c r="K418" s="960"/>
      <c r="L418" s="960"/>
      <c r="M418" s="960"/>
      <c r="N418" s="960"/>
      <c r="O418" s="960"/>
      <c r="P418" s="960"/>
      <c r="Q418" s="960"/>
      <c r="R418" s="960"/>
      <c r="S418" s="975">
        <f t="shared" si="91"/>
        <v>64</v>
      </c>
      <c r="T418" s="975" t="e">
        <f>VLOOKUP(C418,'sản lượng'!$D$12:$AK$89,36,0)</f>
        <v>#N/A</v>
      </c>
      <c r="U418" s="975"/>
      <c r="V418" s="975"/>
      <c r="W418" s="976" t="e">
        <f t="shared" ref="W418:W438" si="92">SUM(T418:V418)</f>
        <v>#N/A</v>
      </c>
      <c r="X418" s="975"/>
      <c r="Y418" s="975"/>
      <c r="Z418" s="975" t="e">
        <f t="shared" si="90"/>
        <v>#N/A</v>
      </c>
      <c r="AA418" s="975" t="e">
        <f>VLOOKUP(C418,'CHẤM CÔNG '!$D$12:$AL$89,33,0)</f>
        <v>#N/A</v>
      </c>
      <c r="AB418" s="975" t="e">
        <f>VLOOKUP(C418,'CHẤM CÔNG '!$D$12:$AL$89,34,0)</f>
        <v>#N/A</v>
      </c>
      <c r="AC418" s="975"/>
      <c r="AD418" s="975"/>
      <c r="AE418" s="975"/>
      <c r="AF418" s="975"/>
      <c r="AG418" s="975"/>
      <c r="AH418" s="975"/>
      <c r="AI418" s="975"/>
      <c r="AJ418" s="975"/>
      <c r="AK418" s="981"/>
      <c r="AL418" s="982" t="e">
        <f>VLOOKUP(C418,'sản lượng'!$D$12:$AM$89,38,0)</f>
        <v>#N/A</v>
      </c>
    </row>
    <row r="419" spans="1:38" ht="15.75">
      <c r="A419" s="957">
        <v>23</v>
      </c>
      <c r="B419" s="1640" t="str">
        <f>VLOOKUP(C419,'DS CN MOI UP'!$B$10:$C$389,2,0)</f>
        <v>02616</v>
      </c>
      <c r="C419" s="992" t="s">
        <v>308</v>
      </c>
      <c r="D419" s="957" t="s">
        <v>15</v>
      </c>
      <c r="E419" s="960">
        <f t="shared" si="88"/>
        <v>24</v>
      </c>
      <c r="F419" s="960"/>
      <c r="G419" s="960"/>
      <c r="H419" s="1110"/>
      <c r="I419" s="960"/>
      <c r="J419" s="960"/>
      <c r="K419" s="960"/>
      <c r="L419" s="960"/>
      <c r="M419" s="960"/>
      <c r="N419" s="960"/>
      <c r="O419" s="960"/>
      <c r="P419" s="960"/>
      <c r="Q419" s="960"/>
      <c r="R419" s="960"/>
      <c r="S419" s="975">
        <f t="shared" si="91"/>
        <v>24</v>
      </c>
      <c r="T419" s="975" t="e">
        <f>VLOOKUP(C419,'sản lượng'!$D$12:$AK$89,36,0)</f>
        <v>#N/A</v>
      </c>
      <c r="U419" s="975"/>
      <c r="V419" s="975"/>
      <c r="W419" s="976" t="e">
        <f t="shared" si="92"/>
        <v>#N/A</v>
      </c>
      <c r="X419" s="975"/>
      <c r="Y419" s="975"/>
      <c r="Z419" s="975" t="e">
        <f t="shared" si="90"/>
        <v>#N/A</v>
      </c>
      <c r="AA419" s="975" t="e">
        <f>VLOOKUP(C419,'CHẤM CÔNG '!$D$12:$AL$89,33,0)</f>
        <v>#N/A</v>
      </c>
      <c r="AB419" s="975" t="e">
        <f>VLOOKUP(C419,'CHẤM CÔNG '!$D$12:$AL$89,34,0)</f>
        <v>#N/A</v>
      </c>
      <c r="AC419" s="975"/>
      <c r="AD419" s="975"/>
      <c r="AE419" s="975"/>
      <c r="AF419" s="975"/>
      <c r="AG419" s="975"/>
      <c r="AH419" s="975"/>
      <c r="AI419" s="975"/>
      <c r="AJ419" s="975"/>
      <c r="AK419" s="981"/>
      <c r="AL419" s="982" t="e">
        <f>VLOOKUP(C419,'sản lượng'!$D$12:$AM$89,38,0)</f>
        <v>#N/A</v>
      </c>
    </row>
    <row r="420" spans="1:38" ht="15.75">
      <c r="A420" s="957">
        <v>24</v>
      </c>
      <c r="B420" s="1640" t="str">
        <f>VLOOKUP(C420,'DS CN MOI UP'!$B$10:$C$389,2,0)</f>
        <v>02617</v>
      </c>
      <c r="C420" s="992" t="s">
        <v>309</v>
      </c>
      <c r="D420" s="957" t="s">
        <v>15</v>
      </c>
      <c r="E420" s="960">
        <f t="shared" si="88"/>
        <v>24</v>
      </c>
      <c r="F420" s="960"/>
      <c r="G420" s="960"/>
      <c r="H420" s="1110"/>
      <c r="I420" s="960"/>
      <c r="J420" s="960"/>
      <c r="K420" s="960"/>
      <c r="L420" s="960"/>
      <c r="M420" s="960"/>
      <c r="N420" s="960"/>
      <c r="O420" s="960"/>
      <c r="P420" s="960"/>
      <c r="Q420" s="960"/>
      <c r="R420" s="960"/>
      <c r="S420" s="975">
        <f t="shared" si="91"/>
        <v>24</v>
      </c>
      <c r="T420" s="975" t="e">
        <f>VLOOKUP(C420,'sản lượng'!$D$12:$AK$89,36,0)</f>
        <v>#N/A</v>
      </c>
      <c r="U420" s="975"/>
      <c r="V420" s="975"/>
      <c r="W420" s="976" t="e">
        <f t="shared" si="92"/>
        <v>#N/A</v>
      </c>
      <c r="X420" s="975"/>
      <c r="Y420" s="975"/>
      <c r="Z420" s="975" t="e">
        <f t="shared" si="90"/>
        <v>#N/A</v>
      </c>
      <c r="AA420" s="975" t="e">
        <f>VLOOKUP(C420,'CHẤM CÔNG '!$D$12:$AL$89,33,0)</f>
        <v>#N/A</v>
      </c>
      <c r="AB420" s="975" t="e">
        <f>VLOOKUP(C420,'CHẤM CÔNG '!$D$12:$AL$89,34,0)</f>
        <v>#N/A</v>
      </c>
      <c r="AC420" s="975"/>
      <c r="AD420" s="975"/>
      <c r="AE420" s="975"/>
      <c r="AF420" s="975"/>
      <c r="AG420" s="975"/>
      <c r="AH420" s="975"/>
      <c r="AI420" s="975"/>
      <c r="AJ420" s="975"/>
      <c r="AK420" s="981"/>
      <c r="AL420" s="982" t="e">
        <f>VLOOKUP(C420,'sản lượng'!$D$12:$AM$89,38,0)</f>
        <v>#N/A</v>
      </c>
    </row>
    <row r="421" spans="1:38" ht="15.75">
      <c r="A421" s="957">
        <v>25</v>
      </c>
      <c r="B421" s="1640" t="str">
        <f>VLOOKUP(C421,'DS CN MOI UP'!$B$10:$C$389,2,0)</f>
        <v>02618</v>
      </c>
      <c r="C421" s="992" t="s">
        <v>310</v>
      </c>
      <c r="D421" s="957" t="s">
        <v>15</v>
      </c>
      <c r="E421" s="960">
        <f t="shared" si="88"/>
        <v>24</v>
      </c>
      <c r="F421" s="960"/>
      <c r="G421" s="960"/>
      <c r="H421" s="1110"/>
      <c r="I421" s="960"/>
      <c r="J421" s="960"/>
      <c r="K421" s="960"/>
      <c r="L421" s="960"/>
      <c r="M421" s="960"/>
      <c r="N421" s="960"/>
      <c r="O421" s="960"/>
      <c r="P421" s="960"/>
      <c r="Q421" s="960"/>
      <c r="R421" s="960"/>
      <c r="S421" s="975">
        <f t="shared" si="91"/>
        <v>24</v>
      </c>
      <c r="T421" s="975" t="e">
        <f>VLOOKUP(C421,'sản lượng'!$D$12:$AK$89,36,0)</f>
        <v>#N/A</v>
      </c>
      <c r="U421" s="975"/>
      <c r="V421" s="975"/>
      <c r="W421" s="976" t="e">
        <f t="shared" si="92"/>
        <v>#N/A</v>
      </c>
      <c r="X421" s="975"/>
      <c r="Y421" s="975"/>
      <c r="Z421" s="975" t="e">
        <f t="shared" si="90"/>
        <v>#N/A</v>
      </c>
      <c r="AA421" s="975" t="e">
        <f>VLOOKUP(C421,'CHẤM CÔNG '!$D$12:$AL$89,33,0)</f>
        <v>#N/A</v>
      </c>
      <c r="AB421" s="975" t="e">
        <f>VLOOKUP(C421,'CHẤM CÔNG '!$D$12:$AL$89,34,0)</f>
        <v>#N/A</v>
      </c>
      <c r="AC421" s="975"/>
      <c r="AD421" s="975"/>
      <c r="AE421" s="975"/>
      <c r="AF421" s="975"/>
      <c r="AG421" s="975"/>
      <c r="AH421" s="975"/>
      <c r="AI421" s="975"/>
      <c r="AJ421" s="975"/>
      <c r="AK421" s="981"/>
      <c r="AL421" s="982" t="e">
        <f>VLOOKUP(C421,'sản lượng'!$D$12:$AM$89,38,0)</f>
        <v>#N/A</v>
      </c>
    </row>
    <row r="422" spans="1:38" ht="15.75">
      <c r="A422" s="957">
        <v>26</v>
      </c>
      <c r="B422" s="1640" t="str">
        <f>VLOOKUP(C422,'DS CN MOI UP'!$B$10:$C$389,2,0)</f>
        <v>03401</v>
      </c>
      <c r="C422" s="992" t="s">
        <v>311</v>
      </c>
      <c r="D422" s="957" t="s">
        <v>15</v>
      </c>
      <c r="E422" s="960">
        <f t="shared" si="88"/>
        <v>24</v>
      </c>
      <c r="F422" s="960"/>
      <c r="G422" s="960"/>
      <c r="H422" s="1110"/>
      <c r="I422" s="960"/>
      <c r="J422" s="960"/>
      <c r="K422" s="960"/>
      <c r="L422" s="960"/>
      <c r="M422" s="960"/>
      <c r="N422" s="960"/>
      <c r="O422" s="960"/>
      <c r="P422" s="960"/>
      <c r="Q422" s="960"/>
      <c r="R422" s="960"/>
      <c r="S422" s="975">
        <f t="shared" si="91"/>
        <v>24</v>
      </c>
      <c r="T422" s="975" t="e">
        <f>VLOOKUP(C422,'sản lượng'!$D$12:$AK$89,36,0)</f>
        <v>#N/A</v>
      </c>
      <c r="U422" s="975"/>
      <c r="V422" s="975"/>
      <c r="W422" s="976" t="e">
        <f t="shared" si="92"/>
        <v>#N/A</v>
      </c>
      <c r="X422" s="975"/>
      <c r="Y422" s="975"/>
      <c r="Z422" s="975" t="e">
        <f t="shared" si="90"/>
        <v>#N/A</v>
      </c>
      <c r="AA422" s="975" t="e">
        <f>VLOOKUP(C422,'CHẤM CÔNG '!$D$12:$AL$89,33,0)</f>
        <v>#N/A</v>
      </c>
      <c r="AB422" s="975" t="e">
        <f>VLOOKUP(C422,'CHẤM CÔNG '!$D$12:$AL$89,34,0)</f>
        <v>#N/A</v>
      </c>
      <c r="AC422" s="975"/>
      <c r="AD422" s="975"/>
      <c r="AE422" s="975"/>
      <c r="AF422" s="975"/>
      <c r="AG422" s="975"/>
      <c r="AH422" s="975"/>
      <c r="AI422" s="975"/>
      <c r="AJ422" s="975"/>
      <c r="AK422" s="981"/>
      <c r="AL422" s="982" t="e">
        <f>VLOOKUP(C422,'sản lượng'!$D$12:$AM$89,38,0)</f>
        <v>#N/A</v>
      </c>
    </row>
    <row r="423" spans="1:38" ht="15.75">
      <c r="A423" s="957">
        <v>27</v>
      </c>
      <c r="B423" s="1640" t="str">
        <f>VLOOKUP(C423,'DS CN MOI UP'!$B$10:$C$389,2,0)</f>
        <v>03402</v>
      </c>
      <c r="C423" s="992" t="s">
        <v>312</v>
      </c>
      <c r="D423" s="957" t="s">
        <v>15</v>
      </c>
      <c r="E423" s="960">
        <f t="shared" si="88"/>
        <v>24</v>
      </c>
      <c r="F423" s="960"/>
      <c r="G423" s="960"/>
      <c r="H423" s="1110"/>
      <c r="I423" s="960"/>
      <c r="J423" s="960"/>
      <c r="K423" s="960"/>
      <c r="L423" s="960"/>
      <c r="M423" s="960"/>
      <c r="N423" s="960"/>
      <c r="O423" s="960"/>
      <c r="P423" s="960"/>
      <c r="Q423" s="960"/>
      <c r="R423" s="960"/>
      <c r="S423" s="975">
        <f t="shared" si="91"/>
        <v>24</v>
      </c>
      <c r="T423" s="975" t="e">
        <f>VLOOKUP(C423,'sản lượng'!$D$12:$AK$89,36,0)</f>
        <v>#N/A</v>
      </c>
      <c r="U423" s="975"/>
      <c r="V423" s="975"/>
      <c r="W423" s="976" t="e">
        <f t="shared" si="92"/>
        <v>#N/A</v>
      </c>
      <c r="X423" s="975"/>
      <c r="Y423" s="975"/>
      <c r="Z423" s="975" t="e">
        <f t="shared" si="90"/>
        <v>#N/A</v>
      </c>
      <c r="AA423" s="975" t="e">
        <f>VLOOKUP(C423,'CHẤM CÔNG '!$D$12:$AL$89,33,0)</f>
        <v>#N/A</v>
      </c>
      <c r="AB423" s="975" t="e">
        <f>VLOOKUP(C423,'CHẤM CÔNG '!$D$12:$AL$89,34,0)</f>
        <v>#N/A</v>
      </c>
      <c r="AC423" s="975"/>
      <c r="AD423" s="975"/>
      <c r="AE423" s="975"/>
      <c r="AF423" s="975"/>
      <c r="AG423" s="975"/>
      <c r="AH423" s="975"/>
      <c r="AI423" s="975"/>
      <c r="AJ423" s="975"/>
      <c r="AK423" s="981"/>
      <c r="AL423" s="982" t="e">
        <f>VLOOKUP(C423,'sản lượng'!$D$12:$AM$89,38,0)</f>
        <v>#N/A</v>
      </c>
    </row>
    <row r="424" spans="1:38" ht="15.75">
      <c r="A424" s="957">
        <v>28</v>
      </c>
      <c r="B424" s="1640" t="str">
        <f>VLOOKUP(C424,'DS CN MOI UP'!$B$10:$C$389,2,0)</f>
        <v>02621</v>
      </c>
      <c r="C424" s="992" t="s">
        <v>313</v>
      </c>
      <c r="D424" s="957" t="s">
        <v>15</v>
      </c>
      <c r="E424" s="960">
        <f t="shared" si="88"/>
        <v>24</v>
      </c>
      <c r="F424" s="960"/>
      <c r="G424" s="960"/>
      <c r="H424" s="1110"/>
      <c r="I424" s="960"/>
      <c r="J424" s="960"/>
      <c r="K424" s="960"/>
      <c r="L424" s="960"/>
      <c r="M424" s="960"/>
      <c r="N424" s="960"/>
      <c r="O424" s="960"/>
      <c r="P424" s="960"/>
      <c r="Q424" s="960"/>
      <c r="R424" s="960"/>
      <c r="S424" s="975">
        <f t="shared" si="91"/>
        <v>24</v>
      </c>
      <c r="T424" s="975" t="e">
        <f>VLOOKUP(C424,'sản lượng'!$D$12:$AK$89,36,0)</f>
        <v>#N/A</v>
      </c>
      <c r="U424" s="975"/>
      <c r="V424" s="975"/>
      <c r="W424" s="976" t="e">
        <f t="shared" si="92"/>
        <v>#N/A</v>
      </c>
      <c r="X424" s="975"/>
      <c r="Y424" s="975"/>
      <c r="Z424" s="975" t="e">
        <f t="shared" si="90"/>
        <v>#N/A</v>
      </c>
      <c r="AA424" s="975" t="e">
        <f>VLOOKUP(C424,'CHẤM CÔNG '!$D$12:$AL$89,33,0)</f>
        <v>#N/A</v>
      </c>
      <c r="AB424" s="975" t="e">
        <f>VLOOKUP(C424,'CHẤM CÔNG '!$D$12:$AL$89,34,0)</f>
        <v>#N/A</v>
      </c>
      <c r="AC424" s="975"/>
      <c r="AD424" s="975"/>
      <c r="AE424" s="975"/>
      <c r="AF424" s="975"/>
      <c r="AG424" s="975"/>
      <c r="AH424" s="975"/>
      <c r="AI424" s="975"/>
      <c r="AJ424" s="975"/>
      <c r="AK424" s="981"/>
      <c r="AL424" s="982" t="e">
        <f>VLOOKUP(C424,'sản lượng'!$D$12:$AM$89,38,0)</f>
        <v>#N/A</v>
      </c>
    </row>
    <row r="425" spans="1:38" ht="15.75">
      <c r="A425" s="957">
        <v>29</v>
      </c>
      <c r="B425" s="1640" t="str">
        <f>VLOOKUP(C425,'DS CN MOI UP'!$B$10:$C$389,2,0)</f>
        <v>02622</v>
      </c>
      <c r="C425" s="992" t="s">
        <v>314</v>
      </c>
      <c r="D425" s="957" t="s">
        <v>15</v>
      </c>
      <c r="E425" s="960">
        <f t="shared" si="88"/>
        <v>24</v>
      </c>
      <c r="F425" s="960"/>
      <c r="G425" s="960"/>
      <c r="H425" s="1110"/>
      <c r="I425" s="960"/>
      <c r="J425" s="960"/>
      <c r="K425" s="960"/>
      <c r="L425" s="960"/>
      <c r="M425" s="960"/>
      <c r="N425" s="960"/>
      <c r="O425" s="960"/>
      <c r="P425" s="960"/>
      <c r="Q425" s="960"/>
      <c r="R425" s="960"/>
      <c r="S425" s="975">
        <f t="shared" si="91"/>
        <v>24</v>
      </c>
      <c r="T425" s="975" t="e">
        <f>VLOOKUP(C425,'sản lượng'!$D$12:$AK$89,36,0)</f>
        <v>#N/A</v>
      </c>
      <c r="U425" s="975"/>
      <c r="V425" s="975"/>
      <c r="W425" s="976" t="e">
        <f t="shared" si="92"/>
        <v>#N/A</v>
      </c>
      <c r="X425" s="975"/>
      <c r="Y425" s="975"/>
      <c r="Z425" s="975" t="e">
        <f t="shared" si="90"/>
        <v>#N/A</v>
      </c>
      <c r="AA425" s="975" t="e">
        <f>VLOOKUP(C425,'CHẤM CÔNG '!$D$12:$AL$89,33,0)</f>
        <v>#N/A</v>
      </c>
      <c r="AB425" s="975" t="e">
        <f>VLOOKUP(C425,'CHẤM CÔNG '!$D$12:$AL$89,34,0)</f>
        <v>#N/A</v>
      </c>
      <c r="AC425" s="975"/>
      <c r="AD425" s="975"/>
      <c r="AE425" s="975"/>
      <c r="AF425" s="975"/>
      <c r="AG425" s="975"/>
      <c r="AH425" s="975"/>
      <c r="AI425" s="975"/>
      <c r="AJ425" s="975"/>
      <c r="AK425" s="981"/>
      <c r="AL425" s="982" t="e">
        <f>VLOOKUP(C425,'sản lượng'!$D$12:$AM$89,38,0)</f>
        <v>#N/A</v>
      </c>
    </row>
    <row r="426" spans="1:38" ht="15.75">
      <c r="A426" s="957">
        <v>30</v>
      </c>
      <c r="B426" s="958" t="e">
        <f>VLOOKUP(C426,'DS CN MOI UP'!$B$10:$C$389,2,0)</f>
        <v>#N/A</v>
      </c>
      <c r="C426" s="992" t="s">
        <v>315</v>
      </c>
      <c r="D426" s="957" t="s">
        <v>15</v>
      </c>
      <c r="E426" s="960">
        <f t="shared" si="88"/>
        <v>24</v>
      </c>
      <c r="F426" s="960"/>
      <c r="G426" s="960"/>
      <c r="H426" s="1110"/>
      <c r="I426" s="960"/>
      <c r="J426" s="960"/>
      <c r="K426" s="960"/>
      <c r="L426" s="960"/>
      <c r="M426" s="960"/>
      <c r="N426" s="960"/>
      <c r="O426" s="960"/>
      <c r="P426" s="960"/>
      <c r="Q426" s="960"/>
      <c r="R426" s="960"/>
      <c r="S426" s="975">
        <f t="shared" si="91"/>
        <v>24</v>
      </c>
      <c r="T426" s="975" t="e">
        <f>VLOOKUP(C426,'sản lượng'!$D$12:$AK$89,36,0)</f>
        <v>#N/A</v>
      </c>
      <c r="U426" s="975"/>
      <c r="V426" s="975"/>
      <c r="W426" s="976" t="e">
        <f t="shared" si="92"/>
        <v>#N/A</v>
      </c>
      <c r="X426" s="975"/>
      <c r="Y426" s="975"/>
      <c r="Z426" s="975" t="e">
        <f t="shared" si="90"/>
        <v>#N/A</v>
      </c>
      <c r="AA426" s="975" t="e">
        <f>VLOOKUP(C426,'CHẤM CÔNG '!$D$12:$AL$89,33,0)</f>
        <v>#N/A</v>
      </c>
      <c r="AB426" s="975" t="e">
        <f>VLOOKUP(C426,'CHẤM CÔNG '!$D$12:$AL$89,34,0)</f>
        <v>#N/A</v>
      </c>
      <c r="AC426" s="975"/>
      <c r="AD426" s="975"/>
      <c r="AE426" s="975"/>
      <c r="AF426" s="975"/>
      <c r="AG426" s="975"/>
      <c r="AH426" s="975"/>
      <c r="AI426" s="975"/>
      <c r="AJ426" s="975"/>
      <c r="AK426" s="981"/>
      <c r="AL426" s="982" t="e">
        <f>VLOOKUP(C426,'sản lượng'!$D$12:$AM$89,38,0)</f>
        <v>#N/A</v>
      </c>
    </row>
    <row r="427" spans="1:38" ht="15.75">
      <c r="A427" s="957">
        <v>31</v>
      </c>
      <c r="B427" s="1640" t="str">
        <f>VLOOKUP(C427,'DS CN MOI UP'!$B$10:$C$389,2,0)</f>
        <v>02623</v>
      </c>
      <c r="C427" s="992" t="s">
        <v>316</v>
      </c>
      <c r="D427" s="957" t="s">
        <v>15</v>
      </c>
      <c r="E427" s="960">
        <f t="shared" si="88"/>
        <v>24</v>
      </c>
      <c r="F427" s="960"/>
      <c r="G427" s="960"/>
      <c r="H427" s="1110"/>
      <c r="I427" s="960"/>
      <c r="J427" s="960"/>
      <c r="K427" s="960"/>
      <c r="L427" s="960"/>
      <c r="M427" s="960"/>
      <c r="N427" s="960"/>
      <c r="O427" s="960"/>
      <c r="P427" s="960"/>
      <c r="Q427" s="960"/>
      <c r="R427" s="960"/>
      <c r="S427" s="975">
        <f t="shared" si="91"/>
        <v>24</v>
      </c>
      <c r="T427" s="975" t="e">
        <f>VLOOKUP(C427,'sản lượng'!$D$12:$AK$89,36,0)</f>
        <v>#N/A</v>
      </c>
      <c r="U427" s="975"/>
      <c r="V427" s="975"/>
      <c r="W427" s="976" t="e">
        <f t="shared" si="92"/>
        <v>#N/A</v>
      </c>
      <c r="X427" s="975"/>
      <c r="Y427" s="975"/>
      <c r="Z427" s="975" t="e">
        <f t="shared" si="90"/>
        <v>#N/A</v>
      </c>
      <c r="AA427" s="975" t="e">
        <f>VLOOKUP(C427,'CHẤM CÔNG '!$D$12:$AL$89,33,0)</f>
        <v>#N/A</v>
      </c>
      <c r="AB427" s="975" t="e">
        <f>VLOOKUP(C427,'CHẤM CÔNG '!$D$12:$AL$89,34,0)</f>
        <v>#N/A</v>
      </c>
      <c r="AC427" s="975"/>
      <c r="AD427" s="975"/>
      <c r="AE427" s="975"/>
      <c r="AF427" s="975"/>
      <c r="AG427" s="975"/>
      <c r="AH427" s="975"/>
      <c r="AI427" s="975"/>
      <c r="AJ427" s="975"/>
      <c r="AK427" s="981"/>
      <c r="AL427" s="982" t="e">
        <f>VLOOKUP(C427,'sản lượng'!$D$12:$AM$89,38,0)</f>
        <v>#N/A</v>
      </c>
    </row>
    <row r="428" spans="1:38" ht="15.75">
      <c r="A428" s="957">
        <v>32</v>
      </c>
      <c r="B428" s="1640" t="str">
        <f>VLOOKUP(C428,'DS CN MOI UP'!$B$10:$C$389,2,0)</f>
        <v>02624</v>
      </c>
      <c r="C428" s="992" t="s">
        <v>317</v>
      </c>
      <c r="D428" s="957" t="s">
        <v>15</v>
      </c>
      <c r="E428" s="960">
        <f t="shared" si="88"/>
        <v>24</v>
      </c>
      <c r="F428" s="960"/>
      <c r="G428" s="960"/>
      <c r="H428" s="1110"/>
      <c r="I428" s="960"/>
      <c r="J428" s="960"/>
      <c r="K428" s="960"/>
      <c r="L428" s="960"/>
      <c r="M428" s="960"/>
      <c r="N428" s="960"/>
      <c r="O428" s="960"/>
      <c r="P428" s="960"/>
      <c r="Q428" s="960"/>
      <c r="R428" s="960"/>
      <c r="S428" s="975">
        <f t="shared" si="91"/>
        <v>24</v>
      </c>
      <c r="T428" s="975" t="e">
        <f>VLOOKUP(C428,'sản lượng'!$D$12:$AK$89,36,0)</f>
        <v>#N/A</v>
      </c>
      <c r="U428" s="975"/>
      <c r="V428" s="975"/>
      <c r="W428" s="976" t="e">
        <f t="shared" si="92"/>
        <v>#N/A</v>
      </c>
      <c r="X428" s="975"/>
      <c r="Y428" s="975"/>
      <c r="Z428" s="975" t="e">
        <f t="shared" si="90"/>
        <v>#N/A</v>
      </c>
      <c r="AA428" s="975" t="e">
        <f>VLOOKUP(C428,'CHẤM CÔNG '!$D$12:$AL$89,33,0)</f>
        <v>#N/A</v>
      </c>
      <c r="AB428" s="975" t="e">
        <f>VLOOKUP(C428,'CHẤM CÔNG '!$D$12:$AL$89,34,0)</f>
        <v>#N/A</v>
      </c>
      <c r="AC428" s="975"/>
      <c r="AD428" s="975"/>
      <c r="AE428" s="975"/>
      <c r="AF428" s="975"/>
      <c r="AG428" s="975"/>
      <c r="AH428" s="975"/>
      <c r="AI428" s="975"/>
      <c r="AJ428" s="975"/>
      <c r="AK428" s="981"/>
      <c r="AL428" s="982" t="e">
        <f>VLOOKUP(C428,'sản lượng'!$D$12:$AM$89,38,0)</f>
        <v>#N/A</v>
      </c>
    </row>
    <row r="429" spans="1:38" ht="15.75">
      <c r="A429" s="957">
        <v>33</v>
      </c>
      <c r="B429" s="1640" t="str">
        <f>VLOOKUP(C429,'DS CN MOI UP'!$B$10:$C$389,2,0)</f>
        <v>03404</v>
      </c>
      <c r="C429" s="992" t="s">
        <v>318</v>
      </c>
      <c r="D429" s="957" t="s">
        <v>15</v>
      </c>
      <c r="E429" s="960">
        <f t="shared" si="88"/>
        <v>24</v>
      </c>
      <c r="F429" s="960"/>
      <c r="G429" s="960"/>
      <c r="H429" s="1110"/>
      <c r="I429" s="960"/>
      <c r="J429" s="960"/>
      <c r="K429" s="960"/>
      <c r="L429" s="960"/>
      <c r="M429" s="960"/>
      <c r="N429" s="960"/>
      <c r="O429" s="960"/>
      <c r="P429" s="960"/>
      <c r="Q429" s="960"/>
      <c r="R429" s="960"/>
      <c r="S429" s="975">
        <f t="shared" si="91"/>
        <v>24</v>
      </c>
      <c r="T429" s="975" t="e">
        <f>VLOOKUP(C429,'sản lượng'!$D$12:$AK$89,36,0)</f>
        <v>#N/A</v>
      </c>
      <c r="U429" s="975"/>
      <c r="V429" s="975"/>
      <c r="W429" s="976" t="e">
        <f t="shared" si="92"/>
        <v>#N/A</v>
      </c>
      <c r="X429" s="975"/>
      <c r="Y429" s="975"/>
      <c r="Z429" s="975" t="e">
        <f t="shared" si="90"/>
        <v>#N/A</v>
      </c>
      <c r="AA429" s="975" t="e">
        <f>VLOOKUP(C429,'CHẤM CÔNG '!$D$12:$AL$89,33,0)</f>
        <v>#N/A</v>
      </c>
      <c r="AB429" s="975" t="e">
        <f>VLOOKUP(C429,'CHẤM CÔNG '!$D$12:$AL$89,34,0)</f>
        <v>#N/A</v>
      </c>
      <c r="AC429" s="975"/>
      <c r="AD429" s="975"/>
      <c r="AE429" s="975"/>
      <c r="AF429" s="975"/>
      <c r="AG429" s="975"/>
      <c r="AH429" s="975"/>
      <c r="AI429" s="975"/>
      <c r="AJ429" s="975"/>
      <c r="AK429" s="981"/>
      <c r="AL429" s="982" t="e">
        <f>VLOOKUP(C429,'sản lượng'!$D$12:$AM$89,38,0)</f>
        <v>#N/A</v>
      </c>
    </row>
    <row r="430" spans="1:38" ht="15.75">
      <c r="A430" s="957">
        <v>34</v>
      </c>
      <c r="B430" s="1640" t="str">
        <f>VLOOKUP(C430,'DS CN MOI UP'!$B$10:$C$389,2,0)</f>
        <v>02626</v>
      </c>
      <c r="C430" s="992" t="s">
        <v>319</v>
      </c>
      <c r="D430" s="957" t="s">
        <v>15</v>
      </c>
      <c r="E430" s="960">
        <f t="shared" si="88"/>
        <v>24</v>
      </c>
      <c r="F430" s="960"/>
      <c r="G430" s="960"/>
      <c r="H430" s="1110"/>
      <c r="I430" s="960"/>
      <c r="J430" s="960"/>
      <c r="K430" s="960"/>
      <c r="L430" s="960"/>
      <c r="M430" s="960"/>
      <c r="N430" s="960"/>
      <c r="O430" s="960"/>
      <c r="P430" s="960"/>
      <c r="Q430" s="960"/>
      <c r="R430" s="960"/>
      <c r="S430" s="975">
        <f t="shared" si="91"/>
        <v>24</v>
      </c>
      <c r="T430" s="975" t="e">
        <f>VLOOKUP(C430,'sản lượng'!$D$12:$AK$89,36,0)</f>
        <v>#N/A</v>
      </c>
      <c r="U430" s="975"/>
      <c r="V430" s="975"/>
      <c r="W430" s="976" t="e">
        <f t="shared" si="92"/>
        <v>#N/A</v>
      </c>
      <c r="X430" s="975"/>
      <c r="Y430" s="975"/>
      <c r="Z430" s="975" t="e">
        <f t="shared" si="90"/>
        <v>#N/A</v>
      </c>
      <c r="AA430" s="975" t="e">
        <f>VLOOKUP(C430,'CHẤM CÔNG '!$D$12:$AL$89,33,0)</f>
        <v>#N/A</v>
      </c>
      <c r="AB430" s="975" t="e">
        <f>VLOOKUP(C430,'CHẤM CÔNG '!$D$12:$AL$89,34,0)</f>
        <v>#N/A</v>
      </c>
      <c r="AC430" s="975"/>
      <c r="AD430" s="975"/>
      <c r="AE430" s="975"/>
      <c r="AF430" s="975"/>
      <c r="AG430" s="975"/>
      <c r="AH430" s="975"/>
      <c r="AI430" s="975"/>
      <c r="AJ430" s="975"/>
      <c r="AK430" s="981"/>
      <c r="AL430" s="982" t="e">
        <f>VLOOKUP(C430,'sản lượng'!$D$12:$AM$89,38,0)</f>
        <v>#N/A</v>
      </c>
    </row>
    <row r="431" spans="1:38" ht="15.75">
      <c r="A431" s="957">
        <v>35</v>
      </c>
      <c r="B431" s="1640" t="str">
        <f>VLOOKUP(C431,'DS CN MOI UP'!$B$10:$C$389,2,0)</f>
        <v>02627</v>
      </c>
      <c r="C431" s="992" t="s">
        <v>320</v>
      </c>
      <c r="D431" s="957" t="s">
        <v>15</v>
      </c>
      <c r="E431" s="960">
        <f t="shared" si="88"/>
        <v>24</v>
      </c>
      <c r="F431" s="960"/>
      <c r="G431" s="960"/>
      <c r="H431" s="1110"/>
      <c r="I431" s="960"/>
      <c r="J431" s="960"/>
      <c r="K431" s="960"/>
      <c r="L431" s="960"/>
      <c r="M431" s="960"/>
      <c r="N431" s="960"/>
      <c r="O431" s="960"/>
      <c r="P431" s="960"/>
      <c r="Q431" s="960"/>
      <c r="R431" s="960"/>
      <c r="S431" s="975">
        <f t="shared" si="91"/>
        <v>24</v>
      </c>
      <c r="T431" s="975" t="e">
        <f>VLOOKUP(C431,'sản lượng'!$D$12:$AK$89,36,0)</f>
        <v>#N/A</v>
      </c>
      <c r="U431" s="975"/>
      <c r="V431" s="975"/>
      <c r="W431" s="976" t="e">
        <f t="shared" si="92"/>
        <v>#N/A</v>
      </c>
      <c r="X431" s="975"/>
      <c r="Y431" s="975"/>
      <c r="Z431" s="975" t="e">
        <f t="shared" si="90"/>
        <v>#N/A</v>
      </c>
      <c r="AA431" s="975" t="e">
        <f>VLOOKUP(C431,'CHẤM CÔNG '!$D$12:$AL$89,33,0)</f>
        <v>#N/A</v>
      </c>
      <c r="AB431" s="975" t="e">
        <f>VLOOKUP(C431,'CHẤM CÔNG '!$D$12:$AL$89,34,0)</f>
        <v>#N/A</v>
      </c>
      <c r="AC431" s="975"/>
      <c r="AD431" s="975"/>
      <c r="AE431" s="975"/>
      <c r="AF431" s="975"/>
      <c r="AG431" s="975"/>
      <c r="AH431" s="975"/>
      <c r="AI431" s="975"/>
      <c r="AJ431" s="975"/>
      <c r="AK431" s="981"/>
      <c r="AL431" s="982" t="e">
        <f>VLOOKUP(C431,'sản lượng'!$D$12:$AM$89,38,0)</f>
        <v>#N/A</v>
      </c>
    </row>
    <row r="432" spans="1:38" ht="15.75">
      <c r="A432" s="957">
        <v>36</v>
      </c>
      <c r="B432" s="1640" t="str">
        <f>VLOOKUP(C432,'DS CN MOI UP'!$B$10:$C$389,2,0)</f>
        <v>02628</v>
      </c>
      <c r="C432" s="992" t="s">
        <v>321</v>
      </c>
      <c r="D432" s="957" t="s">
        <v>15</v>
      </c>
      <c r="E432" s="960">
        <f t="shared" si="88"/>
        <v>24</v>
      </c>
      <c r="F432" s="960"/>
      <c r="G432" s="960"/>
      <c r="H432" s="1110"/>
      <c r="I432" s="960"/>
      <c r="J432" s="960"/>
      <c r="K432" s="960"/>
      <c r="L432" s="960"/>
      <c r="M432" s="960"/>
      <c r="N432" s="960"/>
      <c r="O432" s="960"/>
      <c r="P432" s="960"/>
      <c r="Q432" s="960"/>
      <c r="R432" s="960"/>
      <c r="S432" s="975">
        <f t="shared" si="91"/>
        <v>24</v>
      </c>
      <c r="T432" s="975" t="e">
        <f>VLOOKUP(C432,'sản lượng'!$D$12:$AK$89,36,0)</f>
        <v>#N/A</v>
      </c>
      <c r="U432" s="975"/>
      <c r="V432" s="975"/>
      <c r="W432" s="976" t="e">
        <f t="shared" si="92"/>
        <v>#N/A</v>
      </c>
      <c r="X432" s="975"/>
      <c r="Y432" s="975"/>
      <c r="Z432" s="975" t="e">
        <f t="shared" si="90"/>
        <v>#N/A</v>
      </c>
      <c r="AA432" s="975" t="e">
        <f>VLOOKUP(C432,'CHẤM CÔNG '!$D$12:$AL$89,33,0)</f>
        <v>#N/A</v>
      </c>
      <c r="AB432" s="975" t="e">
        <f>VLOOKUP(C432,'CHẤM CÔNG '!$D$12:$AL$89,34,0)</f>
        <v>#N/A</v>
      </c>
      <c r="AC432" s="975"/>
      <c r="AD432" s="975"/>
      <c r="AE432" s="975"/>
      <c r="AF432" s="975"/>
      <c r="AG432" s="975"/>
      <c r="AH432" s="975"/>
      <c r="AI432" s="975"/>
      <c r="AJ432" s="975"/>
      <c r="AK432" s="981"/>
      <c r="AL432" s="982" t="e">
        <f>VLOOKUP(C432,'sản lượng'!$D$12:$AM$89,38,0)</f>
        <v>#N/A</v>
      </c>
    </row>
    <row r="433" spans="1:44" ht="15.75">
      <c r="A433" s="957">
        <v>37</v>
      </c>
      <c r="B433" s="1640" t="str">
        <f>VLOOKUP(C433,'DS CN MOI UP'!$B$10:$C$389,2,0)</f>
        <v>03405</v>
      </c>
      <c r="C433" s="992" t="s">
        <v>322</v>
      </c>
      <c r="D433" s="957" t="s">
        <v>15</v>
      </c>
      <c r="E433" s="960">
        <f t="shared" si="88"/>
        <v>24</v>
      </c>
      <c r="F433" s="960"/>
      <c r="G433" s="960"/>
      <c r="H433" s="1110"/>
      <c r="I433" s="960"/>
      <c r="J433" s="960"/>
      <c r="K433" s="960"/>
      <c r="L433" s="960"/>
      <c r="M433" s="960"/>
      <c r="N433" s="960"/>
      <c r="O433" s="960"/>
      <c r="P433" s="960"/>
      <c r="Q433" s="960"/>
      <c r="R433" s="960"/>
      <c r="S433" s="975">
        <f t="shared" si="91"/>
        <v>24</v>
      </c>
      <c r="T433" s="975" t="e">
        <f>VLOOKUP(C433,'sản lượng'!$D$12:$AK$89,36,0)</f>
        <v>#N/A</v>
      </c>
      <c r="U433" s="975"/>
      <c r="V433" s="975"/>
      <c r="W433" s="976" t="e">
        <f t="shared" si="92"/>
        <v>#N/A</v>
      </c>
      <c r="X433" s="975"/>
      <c r="Y433" s="975"/>
      <c r="Z433" s="975" t="e">
        <f t="shared" si="90"/>
        <v>#N/A</v>
      </c>
      <c r="AA433" s="975" t="e">
        <f>VLOOKUP(C433,'CHẤM CÔNG '!$D$12:$AL$89,33,0)</f>
        <v>#N/A</v>
      </c>
      <c r="AB433" s="975" t="e">
        <f>VLOOKUP(C433,'CHẤM CÔNG '!$D$12:$AL$89,34,0)</f>
        <v>#N/A</v>
      </c>
      <c r="AC433" s="975"/>
      <c r="AD433" s="975"/>
      <c r="AE433" s="975"/>
      <c r="AF433" s="975"/>
      <c r="AG433" s="975"/>
      <c r="AH433" s="975"/>
      <c r="AI433" s="975"/>
      <c r="AJ433" s="975"/>
      <c r="AK433" s="981"/>
      <c r="AL433" s="982" t="e">
        <f>VLOOKUP(C433,'sản lượng'!$D$12:$AM$89,38,0)</f>
        <v>#N/A</v>
      </c>
    </row>
    <row r="434" spans="1:44" ht="15.75">
      <c r="A434" s="957">
        <v>38</v>
      </c>
      <c r="B434" s="1640" t="str">
        <f>VLOOKUP(C434,'DS CN MOI UP'!$B$10:$C$389,2,0)</f>
        <v>02629</v>
      </c>
      <c r="C434" s="992" t="s">
        <v>323</v>
      </c>
      <c r="D434" s="957" t="s">
        <v>15</v>
      </c>
      <c r="E434" s="960">
        <f t="shared" si="88"/>
        <v>24</v>
      </c>
      <c r="F434" s="960"/>
      <c r="G434" s="960"/>
      <c r="H434" s="1110"/>
      <c r="I434" s="960"/>
      <c r="J434" s="960"/>
      <c r="K434" s="960"/>
      <c r="L434" s="960"/>
      <c r="M434" s="960"/>
      <c r="N434" s="960"/>
      <c r="O434" s="960"/>
      <c r="P434" s="960"/>
      <c r="Q434" s="960"/>
      <c r="R434" s="960"/>
      <c r="S434" s="975">
        <f t="shared" si="91"/>
        <v>24</v>
      </c>
      <c r="T434" s="975" t="e">
        <f>VLOOKUP(C434,'sản lượng'!$D$12:$AK$89,36,0)</f>
        <v>#N/A</v>
      </c>
      <c r="U434" s="975"/>
      <c r="V434" s="975"/>
      <c r="W434" s="976" t="e">
        <f t="shared" si="92"/>
        <v>#N/A</v>
      </c>
      <c r="X434" s="975"/>
      <c r="Y434" s="975"/>
      <c r="Z434" s="975" t="e">
        <f t="shared" si="90"/>
        <v>#N/A</v>
      </c>
      <c r="AA434" s="975" t="e">
        <f>VLOOKUP(C434,'CHẤM CÔNG '!$D$12:$AL$89,33,0)</f>
        <v>#N/A</v>
      </c>
      <c r="AB434" s="975" t="e">
        <f>VLOOKUP(C434,'CHẤM CÔNG '!$D$12:$AL$89,34,0)</f>
        <v>#N/A</v>
      </c>
      <c r="AC434" s="975"/>
      <c r="AD434" s="975"/>
      <c r="AE434" s="975"/>
      <c r="AF434" s="975"/>
      <c r="AG434" s="975"/>
      <c r="AH434" s="975"/>
      <c r="AI434" s="975"/>
      <c r="AJ434" s="975"/>
      <c r="AK434" s="981"/>
      <c r="AL434" s="982" t="e">
        <f>VLOOKUP(C434,'sản lượng'!$D$12:$AM$89,38,0)</f>
        <v>#N/A</v>
      </c>
    </row>
    <row r="435" spans="1:44" ht="15.75">
      <c r="A435" s="957">
        <v>39</v>
      </c>
      <c r="B435" s="1640" t="str">
        <f>VLOOKUP(C435,'DS CN MOI UP'!$B$10:$C$389,2,0)</f>
        <v>02630</v>
      </c>
      <c r="C435" s="992" t="s">
        <v>324</v>
      </c>
      <c r="D435" s="957" t="s">
        <v>15</v>
      </c>
      <c r="E435" s="960">
        <f t="shared" si="88"/>
        <v>24</v>
      </c>
      <c r="F435" s="960"/>
      <c r="G435" s="960"/>
      <c r="H435" s="1110"/>
      <c r="I435" s="960"/>
      <c r="J435" s="960"/>
      <c r="K435" s="960"/>
      <c r="L435" s="960"/>
      <c r="M435" s="960"/>
      <c r="N435" s="960"/>
      <c r="O435" s="960"/>
      <c r="P435" s="960"/>
      <c r="Q435" s="960"/>
      <c r="R435" s="960"/>
      <c r="S435" s="975">
        <f t="shared" si="91"/>
        <v>24</v>
      </c>
      <c r="T435" s="975" t="e">
        <f>VLOOKUP(C435,'sản lượng'!$D$12:$AK$89,36,0)</f>
        <v>#N/A</v>
      </c>
      <c r="U435" s="975"/>
      <c r="V435" s="975"/>
      <c r="W435" s="976" t="e">
        <f t="shared" si="92"/>
        <v>#N/A</v>
      </c>
      <c r="X435" s="975"/>
      <c r="Y435" s="975"/>
      <c r="Z435" s="975" t="e">
        <f t="shared" si="90"/>
        <v>#N/A</v>
      </c>
      <c r="AA435" s="975" t="e">
        <f>VLOOKUP(C435,'CHẤM CÔNG '!$D$12:$AL$89,33,0)</f>
        <v>#N/A</v>
      </c>
      <c r="AB435" s="975" t="e">
        <f>VLOOKUP(C435,'CHẤM CÔNG '!$D$12:$AL$89,34,0)</f>
        <v>#N/A</v>
      </c>
      <c r="AC435" s="975"/>
      <c r="AD435" s="975"/>
      <c r="AE435" s="975"/>
      <c r="AF435" s="975"/>
      <c r="AG435" s="975"/>
      <c r="AH435" s="975"/>
      <c r="AI435" s="975"/>
      <c r="AJ435" s="975"/>
      <c r="AK435" s="981"/>
      <c r="AL435" s="982" t="e">
        <f>VLOOKUP(C435,'sản lượng'!$D$12:$AM$89,38,0)</f>
        <v>#N/A</v>
      </c>
    </row>
    <row r="436" spans="1:44" ht="15.75">
      <c r="A436" s="957">
        <v>40</v>
      </c>
      <c r="B436" s="1640" t="str">
        <f>VLOOKUP(C436,'DS CN MOI UP'!$B$10:$C$389,2,0)</f>
        <v>02631</v>
      </c>
      <c r="C436" s="992" t="s">
        <v>325</v>
      </c>
      <c r="D436" s="957" t="s">
        <v>15</v>
      </c>
      <c r="E436" s="960">
        <f t="shared" si="88"/>
        <v>24</v>
      </c>
      <c r="F436" s="960"/>
      <c r="G436" s="960"/>
      <c r="H436" s="1110"/>
      <c r="I436" s="960"/>
      <c r="J436" s="960"/>
      <c r="K436" s="960"/>
      <c r="L436" s="960"/>
      <c r="M436" s="960"/>
      <c r="N436" s="960"/>
      <c r="O436" s="960"/>
      <c r="P436" s="960"/>
      <c r="Q436" s="960"/>
      <c r="R436" s="960"/>
      <c r="S436" s="975">
        <f t="shared" si="91"/>
        <v>24</v>
      </c>
      <c r="T436" s="975" t="e">
        <f>VLOOKUP(C436,'sản lượng'!$D$12:$AK$89,36,0)</f>
        <v>#N/A</v>
      </c>
      <c r="U436" s="975"/>
      <c r="V436" s="975"/>
      <c r="W436" s="976" t="e">
        <f t="shared" si="92"/>
        <v>#N/A</v>
      </c>
      <c r="X436" s="975"/>
      <c r="Y436" s="975"/>
      <c r="Z436" s="975" t="e">
        <f t="shared" si="90"/>
        <v>#N/A</v>
      </c>
      <c r="AA436" s="975" t="e">
        <f>VLOOKUP(C436,'CHẤM CÔNG '!$D$12:$AL$89,33,0)</f>
        <v>#N/A</v>
      </c>
      <c r="AB436" s="975" t="e">
        <f>VLOOKUP(C436,'CHẤM CÔNG '!$D$12:$AL$89,34,0)</f>
        <v>#N/A</v>
      </c>
      <c r="AC436" s="975"/>
      <c r="AD436" s="975"/>
      <c r="AE436" s="975"/>
      <c r="AF436" s="975"/>
      <c r="AG436" s="975"/>
      <c r="AH436" s="975"/>
      <c r="AI436" s="975"/>
      <c r="AJ436" s="975"/>
      <c r="AK436" s="981"/>
      <c r="AL436" s="982" t="e">
        <f>VLOOKUP(C436,'sản lượng'!$D$12:$AM$89,38,0)</f>
        <v>#N/A</v>
      </c>
    </row>
    <row r="437" spans="1:44" ht="15.75">
      <c r="A437" s="957">
        <v>41</v>
      </c>
      <c r="B437" s="1640" t="str">
        <f>VLOOKUP(C437,'DS CN MOI UP'!$B$10:$C$389,2,0)</f>
        <v>02632</v>
      </c>
      <c r="C437" s="992" t="s">
        <v>326</v>
      </c>
      <c r="D437" s="957" t="s">
        <v>15</v>
      </c>
      <c r="E437" s="960">
        <f t="shared" si="88"/>
        <v>24</v>
      </c>
      <c r="F437" s="960"/>
      <c r="G437" s="960"/>
      <c r="H437" s="1110"/>
      <c r="I437" s="960"/>
      <c r="J437" s="960"/>
      <c r="K437" s="960"/>
      <c r="L437" s="960"/>
      <c r="M437" s="960"/>
      <c r="N437" s="960"/>
      <c r="O437" s="960"/>
      <c r="P437" s="960"/>
      <c r="Q437" s="960"/>
      <c r="R437" s="960"/>
      <c r="S437" s="975">
        <f t="shared" si="91"/>
        <v>24</v>
      </c>
      <c r="T437" s="975" t="e">
        <f>VLOOKUP(C437,'sản lượng'!$D$12:$AK$89,36,0)</f>
        <v>#N/A</v>
      </c>
      <c r="U437" s="975"/>
      <c r="V437" s="975"/>
      <c r="W437" s="976" t="e">
        <f t="shared" si="92"/>
        <v>#N/A</v>
      </c>
      <c r="X437" s="975"/>
      <c r="Y437" s="975"/>
      <c r="Z437" s="975" t="e">
        <f t="shared" si="90"/>
        <v>#N/A</v>
      </c>
      <c r="AA437" s="975" t="e">
        <f>VLOOKUP(C437,'CHẤM CÔNG '!$D$12:$AL$89,33,0)</f>
        <v>#N/A</v>
      </c>
      <c r="AB437" s="975" t="e">
        <f>VLOOKUP(C437,'CHẤM CÔNG '!$D$12:$AL$89,34,0)</f>
        <v>#N/A</v>
      </c>
      <c r="AC437" s="975"/>
      <c r="AD437" s="975"/>
      <c r="AE437" s="975"/>
      <c r="AF437" s="975"/>
      <c r="AG437" s="975"/>
      <c r="AH437" s="975"/>
      <c r="AI437" s="975"/>
      <c r="AJ437" s="975"/>
      <c r="AK437" s="981"/>
      <c r="AL437" s="982" t="e">
        <f>VLOOKUP(C437,'sản lượng'!$D$12:$AM$89,38,0)</f>
        <v>#N/A</v>
      </c>
    </row>
    <row r="438" spans="1:44" ht="15.75">
      <c r="A438" s="957">
        <v>42</v>
      </c>
      <c r="B438" s="1640" t="str">
        <f>VLOOKUP(C438,'DS CN MOI UP'!$B$10:$C$389,2,0)</f>
        <v>02633</v>
      </c>
      <c r="C438" s="992" t="s">
        <v>327</v>
      </c>
      <c r="D438" s="957" t="s">
        <v>15</v>
      </c>
      <c r="E438" s="960">
        <f t="shared" si="88"/>
        <v>24</v>
      </c>
      <c r="F438" s="960"/>
      <c r="G438" s="960"/>
      <c r="H438" s="1110"/>
      <c r="I438" s="960"/>
      <c r="J438" s="960"/>
      <c r="K438" s="960"/>
      <c r="L438" s="960"/>
      <c r="M438" s="960"/>
      <c r="N438" s="960"/>
      <c r="O438" s="960"/>
      <c r="P438" s="960"/>
      <c r="Q438" s="960"/>
      <c r="R438" s="960"/>
      <c r="S438" s="975">
        <f t="shared" si="91"/>
        <v>24</v>
      </c>
      <c r="T438" s="975" t="e">
        <f>VLOOKUP(C438,'sản lượng'!$D$12:$AK$89,36,0)</f>
        <v>#N/A</v>
      </c>
      <c r="U438" s="975"/>
      <c r="V438" s="975"/>
      <c r="W438" s="976" t="e">
        <f t="shared" si="92"/>
        <v>#N/A</v>
      </c>
      <c r="X438" s="975"/>
      <c r="Y438" s="975"/>
      <c r="Z438" s="975" t="e">
        <f t="shared" si="90"/>
        <v>#N/A</v>
      </c>
      <c r="AA438" s="975" t="e">
        <f>VLOOKUP(C438,'CHẤM CÔNG '!$D$12:$AL$89,33,0)</f>
        <v>#N/A</v>
      </c>
      <c r="AB438" s="975" t="e">
        <f>VLOOKUP(C438,'CHẤM CÔNG '!$D$12:$AL$89,34,0)</f>
        <v>#N/A</v>
      </c>
      <c r="AC438" s="975"/>
      <c r="AD438" s="975"/>
      <c r="AE438" s="975"/>
      <c r="AF438" s="975"/>
      <c r="AG438" s="975"/>
      <c r="AH438" s="975"/>
      <c r="AI438" s="975"/>
      <c r="AJ438" s="975"/>
      <c r="AK438" s="981"/>
      <c r="AL438" s="982" t="e">
        <f>VLOOKUP(C438,'sản lượng'!$D$12:$AM$89,38,0)</f>
        <v>#N/A</v>
      </c>
    </row>
    <row r="439" spans="1:44" ht="15.75">
      <c r="A439" s="957">
        <v>43</v>
      </c>
      <c r="B439" s="958">
        <f>VLOOKUP(C439,'DS CN MOI UP'!$B$10:$C$389,2,0)</f>
        <v>3863</v>
      </c>
      <c r="C439" s="992" t="s">
        <v>328</v>
      </c>
      <c r="D439" s="957" t="s">
        <v>15</v>
      </c>
      <c r="E439" s="960">
        <f t="shared" si="88"/>
        <v>24</v>
      </c>
      <c r="F439" s="960"/>
      <c r="G439" s="960"/>
      <c r="H439" s="1110"/>
      <c r="I439" s="960"/>
      <c r="J439" s="960"/>
      <c r="K439" s="960"/>
      <c r="L439" s="960"/>
      <c r="M439" s="960"/>
      <c r="N439" s="960"/>
      <c r="O439" s="960"/>
      <c r="P439" s="960"/>
      <c r="Q439" s="960"/>
      <c r="R439" s="960"/>
      <c r="S439" s="975">
        <f t="shared" si="89"/>
        <v>24</v>
      </c>
      <c r="T439" s="975" t="e">
        <f>VLOOKUP(C439,'sản lượng'!$D$12:$AK$89,36,0)</f>
        <v>#N/A</v>
      </c>
      <c r="U439" s="975"/>
      <c r="V439" s="975"/>
      <c r="W439" s="976" t="e">
        <f t="shared" si="86"/>
        <v>#N/A</v>
      </c>
      <c r="X439" s="975"/>
      <c r="Y439" s="975"/>
      <c r="Z439" s="975" t="e">
        <f t="shared" si="90"/>
        <v>#N/A</v>
      </c>
      <c r="AA439" s="975" t="e">
        <f>VLOOKUP(C439,'CHẤM CÔNG '!$D$12:$AL$89,33,0)</f>
        <v>#N/A</v>
      </c>
      <c r="AB439" s="975" t="e">
        <f>VLOOKUP(C439,'CHẤM CÔNG '!$D$12:$AL$89,34,0)</f>
        <v>#N/A</v>
      </c>
      <c r="AC439" s="975"/>
      <c r="AD439" s="975"/>
      <c r="AE439" s="975"/>
      <c r="AF439" s="975"/>
      <c r="AG439" s="975"/>
      <c r="AH439" s="975"/>
      <c r="AI439" s="975"/>
      <c r="AJ439" s="975"/>
      <c r="AK439" s="981"/>
      <c r="AL439" s="982" t="e">
        <f>VLOOKUP(C439,'sản lượng'!$D$12:$AM$89,38,0)</f>
        <v>#N/A</v>
      </c>
    </row>
    <row r="440" spans="1:44" ht="15.75">
      <c r="A440" s="957">
        <v>44</v>
      </c>
      <c r="B440" s="1640" t="str">
        <f>VLOOKUP(C440,'DS CN MOI UP'!$B$10:$C$389,2,0)</f>
        <v>02635</v>
      </c>
      <c r="C440" s="992" t="s">
        <v>329</v>
      </c>
      <c r="D440" s="957" t="s">
        <v>15</v>
      </c>
      <c r="E440" s="960">
        <f t="shared" si="88"/>
        <v>24</v>
      </c>
      <c r="F440" s="960"/>
      <c r="G440" s="960"/>
      <c r="H440" s="1110"/>
      <c r="I440" s="960"/>
      <c r="J440" s="960"/>
      <c r="K440" s="960"/>
      <c r="L440" s="960"/>
      <c r="M440" s="960"/>
      <c r="N440" s="960"/>
      <c r="O440" s="960"/>
      <c r="P440" s="960"/>
      <c r="Q440" s="960"/>
      <c r="R440" s="960"/>
      <c r="S440" s="975">
        <f t="shared" si="89"/>
        <v>24</v>
      </c>
      <c r="T440" s="975" t="e">
        <f>VLOOKUP(C440,'sản lượng'!$D$12:$AK$89,36,0)</f>
        <v>#N/A</v>
      </c>
      <c r="U440" s="975"/>
      <c r="V440" s="975"/>
      <c r="W440" s="976" t="e">
        <f t="shared" si="86"/>
        <v>#N/A</v>
      </c>
      <c r="X440" s="975"/>
      <c r="Y440" s="975"/>
      <c r="Z440" s="975" t="e">
        <f t="shared" si="90"/>
        <v>#N/A</v>
      </c>
      <c r="AA440" s="975" t="e">
        <f>VLOOKUP(C440,'CHẤM CÔNG '!$D$12:$AL$89,33,0)</f>
        <v>#N/A</v>
      </c>
      <c r="AB440" s="975" t="e">
        <f>VLOOKUP(C440,'CHẤM CÔNG '!$D$12:$AL$89,34,0)</f>
        <v>#N/A</v>
      </c>
      <c r="AC440" s="975"/>
      <c r="AD440" s="975"/>
      <c r="AE440" s="975"/>
      <c r="AF440" s="975"/>
      <c r="AG440" s="975"/>
      <c r="AH440" s="975"/>
      <c r="AI440" s="975"/>
      <c r="AJ440" s="975"/>
      <c r="AK440" s="981"/>
      <c r="AL440" s="982" t="e">
        <f>VLOOKUP(C440,'sản lượng'!$D$12:$AM$89,38,0)</f>
        <v>#N/A</v>
      </c>
    </row>
    <row r="441" spans="1:44" s="1103" customFormat="1" ht="15.75">
      <c r="A441" s="957">
        <v>45</v>
      </c>
      <c r="B441" s="1641" t="str">
        <f>VLOOKUP(C441,'DS CN MOI UP'!$B$10:$C$389,2,0)</f>
        <v>07002</v>
      </c>
      <c r="C441" s="1144" t="s">
        <v>330</v>
      </c>
      <c r="D441" s="1111" t="s">
        <v>15</v>
      </c>
      <c r="E441" s="960">
        <f>2*6+2*8</f>
        <v>28</v>
      </c>
      <c r="F441" s="1114"/>
      <c r="G441" s="960"/>
      <c r="H441" s="1110"/>
      <c r="I441" s="1114"/>
      <c r="J441" s="1114"/>
      <c r="K441" s="1114"/>
      <c r="L441" s="1114"/>
      <c r="M441" s="1114"/>
      <c r="N441" s="1114"/>
      <c r="O441" s="1114"/>
      <c r="P441" s="1114"/>
      <c r="Q441" s="1114"/>
      <c r="R441" s="1114"/>
      <c r="S441" s="1120">
        <f t="shared" si="89"/>
        <v>28</v>
      </c>
      <c r="T441" s="975" t="e">
        <f>VLOOKUP(C441,'sản lượng'!$D$12:$AK$89,36,0)</f>
        <v>#N/A</v>
      </c>
      <c r="U441" s="975"/>
      <c r="V441" s="975"/>
      <c r="W441" s="976" t="e">
        <f t="shared" si="86"/>
        <v>#N/A</v>
      </c>
      <c r="X441" s="1120"/>
      <c r="Y441" s="1120"/>
      <c r="Z441" s="975" t="e">
        <f t="shared" si="90"/>
        <v>#N/A</v>
      </c>
      <c r="AA441" s="1120" t="e">
        <f>VLOOKUP(C441,'CHẤM CÔNG '!$D$12:$AL$89,33,0)</f>
        <v>#N/A</v>
      </c>
      <c r="AB441" s="1120" t="e">
        <f>VLOOKUP(C441,'CHẤM CÔNG '!$D$12:$AL$89,34,0)</f>
        <v>#N/A</v>
      </c>
      <c r="AC441" s="1120"/>
      <c r="AD441" s="1120"/>
      <c r="AE441" s="975">
        <f>VLOOKUP(C441,'Công cây non'!$C$10:$AJ$28,34,0)</f>
        <v>8</v>
      </c>
      <c r="AF441" s="975"/>
      <c r="AG441" s="975"/>
      <c r="AH441" s="975"/>
      <c r="AI441" s="975"/>
      <c r="AJ441" s="975"/>
      <c r="AK441" s="981"/>
      <c r="AL441" s="982" t="e">
        <f>VLOOKUP(C441,'sản lượng'!$D$12:$AM$89,38,0)</f>
        <v>#N/A</v>
      </c>
      <c r="AP441" s="1104"/>
      <c r="AQ441" s="1104"/>
      <c r="AR441" s="1104"/>
    </row>
    <row r="442" spans="1:44" ht="15.75">
      <c r="A442" s="957">
        <v>46</v>
      </c>
      <c r="B442" s="1640" t="str">
        <f>VLOOKUP(C442,'DS CN MOI UP'!$B$10:$C$389,2,0)</f>
        <v>03859</v>
      </c>
      <c r="C442" s="992" t="s">
        <v>331</v>
      </c>
      <c r="D442" s="957" t="s">
        <v>15</v>
      </c>
      <c r="E442" s="960">
        <f t="shared" si="88"/>
        <v>24</v>
      </c>
      <c r="F442" s="960"/>
      <c r="G442" s="960"/>
      <c r="H442" s="1110"/>
      <c r="I442" s="960"/>
      <c r="J442" s="960"/>
      <c r="K442" s="960"/>
      <c r="L442" s="960"/>
      <c r="M442" s="960"/>
      <c r="N442" s="960"/>
      <c r="O442" s="960"/>
      <c r="P442" s="960"/>
      <c r="Q442" s="960"/>
      <c r="R442" s="960"/>
      <c r="S442" s="975">
        <f t="shared" si="89"/>
        <v>24</v>
      </c>
      <c r="T442" s="975" t="e">
        <f>VLOOKUP(C442,'sản lượng'!$D$12:$AK$89,36,0)</f>
        <v>#N/A</v>
      </c>
      <c r="U442" s="975"/>
      <c r="V442" s="975"/>
      <c r="W442" s="976" t="e">
        <f t="shared" si="86"/>
        <v>#N/A</v>
      </c>
      <c r="X442" s="975"/>
      <c r="Y442" s="975"/>
      <c r="Z442" s="975" t="e">
        <f t="shared" si="90"/>
        <v>#N/A</v>
      </c>
      <c r="AA442" s="975" t="e">
        <f>VLOOKUP(C442,'CHẤM CÔNG '!$D$12:$AL$89,33,0)</f>
        <v>#N/A</v>
      </c>
      <c r="AB442" s="975" t="e">
        <f>VLOOKUP(C442,'CHẤM CÔNG '!$D$12:$AL$89,34,0)</f>
        <v>#N/A</v>
      </c>
      <c r="AC442" s="975"/>
      <c r="AD442" s="975"/>
      <c r="AE442" s="975"/>
      <c r="AF442" s="975"/>
      <c r="AG442" s="975"/>
      <c r="AH442" s="975"/>
      <c r="AI442" s="975" t="e">
        <f>SUM(AA442:AB442)</f>
        <v>#N/A</v>
      </c>
      <c r="AJ442" s="975"/>
      <c r="AK442" s="981"/>
      <c r="AL442" s="982" t="e">
        <f>VLOOKUP(C442,'sản lượng'!$D$12:$AM$89,38,0)</f>
        <v>#N/A</v>
      </c>
    </row>
    <row r="443" spans="1:44" ht="15.75">
      <c r="A443" s="957">
        <v>47</v>
      </c>
      <c r="B443" s="1640" t="str">
        <f>VLOOKUP(C443,'DS CN MOI UP'!$B$10:$C$389,2,0)</f>
        <v>03411</v>
      </c>
      <c r="C443" s="992" t="s">
        <v>332</v>
      </c>
      <c r="D443" s="957" t="s">
        <v>15</v>
      </c>
      <c r="E443" s="960">
        <f t="shared" si="88"/>
        <v>24</v>
      </c>
      <c r="F443" s="960"/>
      <c r="G443" s="960"/>
      <c r="H443" s="1110"/>
      <c r="I443" s="960"/>
      <c r="J443" s="960"/>
      <c r="K443" s="960"/>
      <c r="L443" s="960"/>
      <c r="M443" s="960"/>
      <c r="N443" s="960"/>
      <c r="O443" s="960"/>
      <c r="P443" s="960"/>
      <c r="Q443" s="960"/>
      <c r="R443" s="960"/>
      <c r="S443" s="975">
        <f t="shared" si="89"/>
        <v>24</v>
      </c>
      <c r="T443" s="975" t="e">
        <f>VLOOKUP(C443,'sản lượng'!$D$12:$AK$89,36,0)</f>
        <v>#N/A</v>
      </c>
      <c r="U443" s="975"/>
      <c r="V443" s="975"/>
      <c r="W443" s="976" t="e">
        <f t="shared" si="86"/>
        <v>#N/A</v>
      </c>
      <c r="X443" s="975"/>
      <c r="Y443" s="975"/>
      <c r="Z443" s="975" t="e">
        <f t="shared" si="90"/>
        <v>#N/A</v>
      </c>
      <c r="AA443" s="975" t="e">
        <f>VLOOKUP(C443,'CHẤM CÔNG '!$D$12:$AL$89,33,0)</f>
        <v>#N/A</v>
      </c>
      <c r="AB443" s="975" t="e">
        <f>VLOOKUP(C443,'CHẤM CÔNG '!$D$12:$AL$89,34,0)</f>
        <v>#N/A</v>
      </c>
      <c r="AC443" s="975"/>
      <c r="AD443" s="975"/>
      <c r="AE443" s="975"/>
      <c r="AF443" s="975"/>
      <c r="AG443" s="975"/>
      <c r="AH443" s="975"/>
      <c r="AI443" s="975" t="e">
        <f t="shared" ref="AI443:AI459" si="93">SUM(AA443:AB443)</f>
        <v>#N/A</v>
      </c>
      <c r="AJ443" s="975"/>
      <c r="AK443" s="981"/>
      <c r="AL443" s="982" t="e">
        <f>VLOOKUP(C443,'sản lượng'!$D$12:$AM$89,38,0)</f>
        <v>#N/A</v>
      </c>
    </row>
    <row r="444" spans="1:44" ht="15.75">
      <c r="A444" s="957">
        <v>48</v>
      </c>
      <c r="B444" s="958" t="e">
        <f>VLOOKUP(C444,'DS CN MOI UP'!$B$10:$C$389,2,0)</f>
        <v>#N/A</v>
      </c>
      <c r="C444" s="992" t="s">
        <v>333</v>
      </c>
      <c r="D444" s="957" t="s">
        <v>15</v>
      </c>
      <c r="E444" s="960">
        <f t="shared" si="88"/>
        <v>24</v>
      </c>
      <c r="F444" s="960"/>
      <c r="G444" s="960"/>
      <c r="H444" s="1110"/>
      <c r="I444" s="960"/>
      <c r="J444" s="960"/>
      <c r="K444" s="960"/>
      <c r="L444" s="960"/>
      <c r="M444" s="960"/>
      <c r="N444" s="960"/>
      <c r="O444" s="960"/>
      <c r="P444" s="960"/>
      <c r="Q444" s="960"/>
      <c r="R444" s="960"/>
      <c r="S444" s="975">
        <f t="shared" si="89"/>
        <v>24</v>
      </c>
      <c r="T444" s="975" t="e">
        <f>VLOOKUP(C444,'sản lượng'!$D$12:$AK$89,36,0)</f>
        <v>#N/A</v>
      </c>
      <c r="U444" s="975"/>
      <c r="V444" s="975"/>
      <c r="W444" s="976" t="e">
        <f t="shared" si="86"/>
        <v>#N/A</v>
      </c>
      <c r="X444" s="975"/>
      <c r="Y444" s="975"/>
      <c r="Z444" s="975" t="e">
        <f t="shared" si="90"/>
        <v>#N/A</v>
      </c>
      <c r="AA444" s="975" t="e">
        <f>VLOOKUP(C444,'CHẤM CÔNG '!$D$12:$AL$89,33,0)</f>
        <v>#N/A</v>
      </c>
      <c r="AB444" s="975" t="e">
        <f>VLOOKUP(C444,'CHẤM CÔNG '!$D$12:$AL$89,34,0)</f>
        <v>#N/A</v>
      </c>
      <c r="AC444" s="975"/>
      <c r="AD444" s="975"/>
      <c r="AE444" s="975"/>
      <c r="AF444" s="975"/>
      <c r="AG444" s="975"/>
      <c r="AH444" s="975"/>
      <c r="AI444" s="975" t="e">
        <f t="shared" si="93"/>
        <v>#N/A</v>
      </c>
      <c r="AJ444" s="975"/>
      <c r="AK444" s="981"/>
      <c r="AL444" s="982" t="e">
        <f>VLOOKUP(C444,'sản lượng'!$D$12:$AM$89,38,0)</f>
        <v>#N/A</v>
      </c>
    </row>
    <row r="445" spans="1:44" ht="15.75">
      <c r="A445" s="957">
        <v>49</v>
      </c>
      <c r="B445" s="1640" t="str">
        <f>VLOOKUP(C445,'DS CN MOI UP'!$B$10:$C$389,2,0)</f>
        <v>02625</v>
      </c>
      <c r="C445" s="992" t="s">
        <v>334</v>
      </c>
      <c r="D445" s="957" t="s">
        <v>15</v>
      </c>
      <c r="E445" s="960">
        <f t="shared" si="88"/>
        <v>24</v>
      </c>
      <c r="F445" s="960"/>
      <c r="G445" s="960"/>
      <c r="H445" s="1110"/>
      <c r="I445" s="960"/>
      <c r="J445" s="960"/>
      <c r="K445" s="960"/>
      <c r="L445" s="960"/>
      <c r="M445" s="960"/>
      <c r="N445" s="960"/>
      <c r="O445" s="960"/>
      <c r="P445" s="960"/>
      <c r="Q445" s="960"/>
      <c r="R445" s="960"/>
      <c r="S445" s="975">
        <f t="shared" si="89"/>
        <v>24</v>
      </c>
      <c r="T445" s="975" t="e">
        <f>VLOOKUP(C445,'sản lượng'!$D$12:$AK$89,36,0)</f>
        <v>#N/A</v>
      </c>
      <c r="U445" s="975"/>
      <c r="V445" s="975"/>
      <c r="W445" s="976" t="e">
        <f t="shared" si="86"/>
        <v>#N/A</v>
      </c>
      <c r="X445" s="975"/>
      <c r="Y445" s="975"/>
      <c r="Z445" s="975" t="e">
        <f t="shared" si="90"/>
        <v>#N/A</v>
      </c>
      <c r="AA445" s="975" t="e">
        <f>VLOOKUP(C445,'CHẤM CÔNG '!$D$12:$AL$89,33,0)</f>
        <v>#N/A</v>
      </c>
      <c r="AB445" s="975" t="e">
        <f>VLOOKUP(C445,'CHẤM CÔNG '!$D$12:$AL$89,34,0)</f>
        <v>#N/A</v>
      </c>
      <c r="AC445" s="975"/>
      <c r="AD445" s="975"/>
      <c r="AE445" s="975"/>
      <c r="AF445" s="975"/>
      <c r="AG445" s="975"/>
      <c r="AH445" s="975"/>
      <c r="AI445" s="975" t="e">
        <f t="shared" si="93"/>
        <v>#N/A</v>
      </c>
      <c r="AJ445" s="975"/>
      <c r="AK445" s="981"/>
      <c r="AL445" s="982" t="e">
        <f>VLOOKUP(C445,'sản lượng'!$D$12:$AM$89,38,0)</f>
        <v>#N/A</v>
      </c>
    </row>
    <row r="446" spans="1:44" ht="15.75">
      <c r="A446" s="957">
        <v>50</v>
      </c>
      <c r="B446" s="1640" t="str">
        <f>VLOOKUP(C446,'DS CN MOI UP'!$B$10:$C$389,2,0)</f>
        <v>03862</v>
      </c>
      <c r="C446" s="992" t="s">
        <v>335</v>
      </c>
      <c r="D446" s="957" t="s">
        <v>15</v>
      </c>
      <c r="E446" s="960">
        <f t="shared" si="88"/>
        <v>24</v>
      </c>
      <c r="F446" s="960"/>
      <c r="G446" s="960"/>
      <c r="H446" s="1110"/>
      <c r="I446" s="960"/>
      <c r="J446" s="960"/>
      <c r="K446" s="960"/>
      <c r="L446" s="960"/>
      <c r="M446" s="960"/>
      <c r="N446" s="960"/>
      <c r="O446" s="960"/>
      <c r="P446" s="960"/>
      <c r="Q446" s="960"/>
      <c r="R446" s="960"/>
      <c r="S446" s="975">
        <f t="shared" si="89"/>
        <v>24</v>
      </c>
      <c r="T446" s="975" t="e">
        <f>VLOOKUP(C446,'sản lượng'!$D$12:$AK$89,36,0)</f>
        <v>#N/A</v>
      </c>
      <c r="U446" s="975"/>
      <c r="V446" s="975"/>
      <c r="W446" s="976" t="e">
        <f t="shared" si="86"/>
        <v>#N/A</v>
      </c>
      <c r="X446" s="975"/>
      <c r="Y446" s="975"/>
      <c r="Z446" s="975" t="e">
        <f t="shared" si="90"/>
        <v>#N/A</v>
      </c>
      <c r="AA446" s="975" t="e">
        <f>VLOOKUP(C446,'CHẤM CÔNG '!$D$12:$AL$89,33,0)</f>
        <v>#N/A</v>
      </c>
      <c r="AB446" s="975" t="e">
        <f>VLOOKUP(C446,'CHẤM CÔNG '!$D$12:$AL$89,34,0)</f>
        <v>#N/A</v>
      </c>
      <c r="AC446" s="975"/>
      <c r="AD446" s="975"/>
      <c r="AE446" s="975"/>
      <c r="AF446" s="975"/>
      <c r="AG446" s="975"/>
      <c r="AH446" s="975"/>
      <c r="AI446" s="975" t="e">
        <f t="shared" si="93"/>
        <v>#N/A</v>
      </c>
      <c r="AJ446" s="975"/>
      <c r="AK446" s="981"/>
      <c r="AL446" s="982" t="e">
        <f>VLOOKUP(C446,'sản lượng'!$D$12:$AM$89,38,0)</f>
        <v>#N/A</v>
      </c>
    </row>
    <row r="447" spans="1:44" ht="15.75">
      <c r="A447" s="957">
        <v>51</v>
      </c>
      <c r="B447" s="1640" t="str">
        <f>VLOOKUP(C447,'DS CN MOI UP'!$B$10:$C$389,2,0)</f>
        <v>03413</v>
      </c>
      <c r="C447" s="992" t="s">
        <v>336</v>
      </c>
      <c r="D447" s="957" t="s">
        <v>15</v>
      </c>
      <c r="E447" s="960">
        <f t="shared" si="88"/>
        <v>24</v>
      </c>
      <c r="F447" s="960"/>
      <c r="G447" s="960"/>
      <c r="H447" s="1110"/>
      <c r="I447" s="960"/>
      <c r="J447" s="960"/>
      <c r="K447" s="960"/>
      <c r="L447" s="960"/>
      <c r="M447" s="960"/>
      <c r="N447" s="960"/>
      <c r="O447" s="960"/>
      <c r="P447" s="960"/>
      <c r="Q447" s="960"/>
      <c r="R447" s="960"/>
      <c r="S447" s="975">
        <f t="shared" si="89"/>
        <v>24</v>
      </c>
      <c r="T447" s="975" t="e">
        <f>VLOOKUP(C447,'sản lượng'!$D$12:$AK$89,36,0)</f>
        <v>#N/A</v>
      </c>
      <c r="U447" s="975"/>
      <c r="V447" s="975"/>
      <c r="W447" s="976" t="e">
        <f t="shared" si="86"/>
        <v>#N/A</v>
      </c>
      <c r="X447" s="975"/>
      <c r="Y447" s="975"/>
      <c r="Z447" s="975" t="e">
        <f t="shared" si="90"/>
        <v>#N/A</v>
      </c>
      <c r="AA447" s="975" t="e">
        <f>VLOOKUP(C447,'CHẤM CÔNG '!$D$12:$AL$89,33,0)</f>
        <v>#N/A</v>
      </c>
      <c r="AB447" s="975" t="e">
        <f>VLOOKUP(C447,'CHẤM CÔNG '!$D$12:$AL$89,34,0)</f>
        <v>#N/A</v>
      </c>
      <c r="AC447" s="975"/>
      <c r="AD447" s="975"/>
      <c r="AE447" s="975"/>
      <c r="AF447" s="975"/>
      <c r="AG447" s="975"/>
      <c r="AH447" s="975"/>
      <c r="AI447" s="975" t="e">
        <f t="shared" si="93"/>
        <v>#N/A</v>
      </c>
      <c r="AJ447" s="975"/>
      <c r="AK447" s="981"/>
      <c r="AL447" s="982" t="e">
        <f>VLOOKUP(C447,'sản lượng'!$D$12:$AM$89,38,0)</f>
        <v>#N/A</v>
      </c>
    </row>
    <row r="448" spans="1:44" ht="15.75">
      <c r="A448" s="957">
        <v>52</v>
      </c>
      <c r="B448" s="1640" t="str">
        <f>VLOOKUP(C448,'DS CN MOI UP'!$B$10:$C$389,2,0)</f>
        <v>03414</v>
      </c>
      <c r="C448" s="992" t="s">
        <v>337</v>
      </c>
      <c r="D448" s="957" t="s">
        <v>15</v>
      </c>
      <c r="E448" s="960">
        <f t="shared" si="88"/>
        <v>24</v>
      </c>
      <c r="F448" s="960"/>
      <c r="G448" s="960"/>
      <c r="H448" s="1110"/>
      <c r="I448" s="960"/>
      <c r="J448" s="960"/>
      <c r="K448" s="960"/>
      <c r="L448" s="960"/>
      <c r="M448" s="960"/>
      <c r="N448" s="960"/>
      <c r="O448" s="960"/>
      <c r="P448" s="960"/>
      <c r="Q448" s="960"/>
      <c r="R448" s="960"/>
      <c r="S448" s="975">
        <f t="shared" si="89"/>
        <v>24</v>
      </c>
      <c r="T448" s="975" t="e">
        <f>VLOOKUP(C448,'sản lượng'!$D$12:$AK$89,36,0)</f>
        <v>#N/A</v>
      </c>
      <c r="U448" s="975"/>
      <c r="V448" s="975"/>
      <c r="W448" s="976" t="e">
        <f t="shared" si="86"/>
        <v>#N/A</v>
      </c>
      <c r="X448" s="975"/>
      <c r="Y448" s="975"/>
      <c r="Z448" s="975" t="e">
        <f t="shared" si="90"/>
        <v>#N/A</v>
      </c>
      <c r="AA448" s="975" t="e">
        <f>VLOOKUP(C448,'CHẤM CÔNG '!$D$12:$AL$89,33,0)</f>
        <v>#N/A</v>
      </c>
      <c r="AB448" s="975" t="e">
        <f>VLOOKUP(C448,'CHẤM CÔNG '!$D$12:$AL$89,34,0)</f>
        <v>#N/A</v>
      </c>
      <c r="AC448" s="975"/>
      <c r="AD448" s="975"/>
      <c r="AE448" s="975"/>
      <c r="AF448" s="975"/>
      <c r="AG448" s="975"/>
      <c r="AH448" s="975"/>
      <c r="AI448" s="975" t="e">
        <f t="shared" si="93"/>
        <v>#N/A</v>
      </c>
      <c r="AJ448" s="975"/>
      <c r="AK448" s="981"/>
      <c r="AL448" s="982" t="e">
        <f>VLOOKUP(C448,'sản lượng'!$D$12:$AM$89,38,0)</f>
        <v>#N/A</v>
      </c>
    </row>
    <row r="449" spans="1:44" ht="15.75">
      <c r="A449" s="957">
        <v>53</v>
      </c>
      <c r="B449" s="1640" t="str">
        <f>VLOOKUP(C449,'DS CN MOI UP'!$B$10:$C$389,2,0)</f>
        <v>03415</v>
      </c>
      <c r="C449" s="992" t="s">
        <v>338</v>
      </c>
      <c r="D449" s="957" t="s">
        <v>15</v>
      </c>
      <c r="E449" s="960">
        <f t="shared" si="88"/>
        <v>24</v>
      </c>
      <c r="F449" s="960"/>
      <c r="G449" s="960"/>
      <c r="H449" s="1110"/>
      <c r="I449" s="960"/>
      <c r="J449" s="960"/>
      <c r="K449" s="960"/>
      <c r="L449" s="960"/>
      <c r="M449" s="960"/>
      <c r="N449" s="960"/>
      <c r="O449" s="960"/>
      <c r="P449" s="960"/>
      <c r="Q449" s="960"/>
      <c r="R449" s="960"/>
      <c r="S449" s="975">
        <f t="shared" ref="S449:S456" si="94">SUM(E449:R449)</f>
        <v>24</v>
      </c>
      <c r="T449" s="975" t="e">
        <f>VLOOKUP(C449,'sản lượng'!$D$12:$AK$89,36,0)</f>
        <v>#N/A</v>
      </c>
      <c r="U449" s="975"/>
      <c r="V449" s="975"/>
      <c r="W449" s="976" t="e">
        <f t="shared" si="86"/>
        <v>#N/A</v>
      </c>
      <c r="X449" s="975"/>
      <c r="Y449" s="975"/>
      <c r="Z449" s="975" t="e">
        <f t="shared" si="90"/>
        <v>#N/A</v>
      </c>
      <c r="AA449" s="975" t="e">
        <f>VLOOKUP(C449,'CHẤM CÔNG '!$D$12:$AL$89,33,0)</f>
        <v>#N/A</v>
      </c>
      <c r="AB449" s="975" t="e">
        <f>VLOOKUP(C449,'CHẤM CÔNG '!$D$12:$AL$89,34,0)</f>
        <v>#N/A</v>
      </c>
      <c r="AC449" s="975"/>
      <c r="AD449" s="975"/>
      <c r="AE449" s="975"/>
      <c r="AF449" s="975"/>
      <c r="AG449" s="975"/>
      <c r="AH449" s="975"/>
      <c r="AI449" s="975" t="e">
        <f t="shared" si="93"/>
        <v>#N/A</v>
      </c>
      <c r="AJ449" s="975"/>
      <c r="AK449" s="981"/>
      <c r="AL449" s="982" t="e">
        <f>VLOOKUP(C449,'sản lượng'!$D$12:$AM$89,38,0)</f>
        <v>#N/A</v>
      </c>
    </row>
    <row r="450" spans="1:44" ht="15.75">
      <c r="A450" s="957">
        <v>54</v>
      </c>
      <c r="B450" s="958" t="e">
        <f>VLOOKUP(C450,'DS CN MOI UP'!$B$10:$C$389,2,0)</f>
        <v>#N/A</v>
      </c>
      <c r="C450" s="992" t="s">
        <v>339</v>
      </c>
      <c r="D450" s="957" t="s">
        <v>15</v>
      </c>
      <c r="E450" s="960">
        <f t="shared" si="88"/>
        <v>24</v>
      </c>
      <c r="F450" s="960"/>
      <c r="G450" s="960"/>
      <c r="H450" s="1110"/>
      <c r="I450" s="960"/>
      <c r="J450" s="960"/>
      <c r="K450" s="960"/>
      <c r="L450" s="960"/>
      <c r="M450" s="960"/>
      <c r="N450" s="960"/>
      <c r="O450" s="960"/>
      <c r="P450" s="960"/>
      <c r="Q450" s="960"/>
      <c r="R450" s="960"/>
      <c r="S450" s="975">
        <f t="shared" si="94"/>
        <v>24</v>
      </c>
      <c r="T450" s="975" t="e">
        <f>VLOOKUP(C450,'sản lượng'!$D$12:$AK$89,36,0)</f>
        <v>#N/A</v>
      </c>
      <c r="U450" s="975"/>
      <c r="V450" s="975"/>
      <c r="W450" s="976" t="e">
        <f t="shared" si="86"/>
        <v>#N/A</v>
      </c>
      <c r="X450" s="975"/>
      <c r="Y450" s="975"/>
      <c r="Z450" s="975" t="e">
        <f t="shared" si="90"/>
        <v>#N/A</v>
      </c>
      <c r="AA450" s="975" t="e">
        <f>VLOOKUP(C450,'CHẤM CÔNG '!$D$12:$AL$89,33,0)</f>
        <v>#N/A</v>
      </c>
      <c r="AB450" s="975" t="e">
        <f>VLOOKUP(C450,'CHẤM CÔNG '!$D$12:$AL$89,34,0)</f>
        <v>#N/A</v>
      </c>
      <c r="AC450" s="975"/>
      <c r="AD450" s="975"/>
      <c r="AE450" s="975"/>
      <c r="AF450" s="975"/>
      <c r="AG450" s="975"/>
      <c r="AH450" s="975"/>
      <c r="AI450" s="975" t="e">
        <f t="shared" si="93"/>
        <v>#N/A</v>
      </c>
      <c r="AJ450" s="975"/>
      <c r="AK450" s="981"/>
      <c r="AL450" s="982" t="e">
        <f>VLOOKUP(C450,'sản lượng'!$D$12:$AM$89,38,0)</f>
        <v>#N/A</v>
      </c>
    </row>
    <row r="451" spans="1:44" ht="15.75">
      <c r="A451" s="957">
        <v>55</v>
      </c>
      <c r="B451" s="1640" t="str">
        <f>VLOOKUP(C451,'DS CN MOI UP'!$B$10:$C$389,2,0)</f>
        <v>03417</v>
      </c>
      <c r="C451" s="992" t="s">
        <v>340</v>
      </c>
      <c r="D451" s="957" t="s">
        <v>15</v>
      </c>
      <c r="E451" s="960">
        <f t="shared" si="88"/>
        <v>24</v>
      </c>
      <c r="F451" s="960"/>
      <c r="G451" s="960"/>
      <c r="H451" s="1110"/>
      <c r="I451" s="960"/>
      <c r="J451" s="960"/>
      <c r="K451" s="960"/>
      <c r="L451" s="960"/>
      <c r="M451" s="960"/>
      <c r="N451" s="960"/>
      <c r="O451" s="960"/>
      <c r="P451" s="960"/>
      <c r="Q451" s="960"/>
      <c r="R451" s="960"/>
      <c r="S451" s="975">
        <f t="shared" si="94"/>
        <v>24</v>
      </c>
      <c r="T451" s="975" t="e">
        <f>VLOOKUP(C451,'sản lượng'!$D$12:$AK$89,36,0)</f>
        <v>#N/A</v>
      </c>
      <c r="U451" s="975"/>
      <c r="V451" s="975"/>
      <c r="W451" s="976" t="e">
        <f t="shared" si="86"/>
        <v>#N/A</v>
      </c>
      <c r="X451" s="975"/>
      <c r="Y451" s="975"/>
      <c r="Z451" s="975" t="e">
        <f t="shared" si="90"/>
        <v>#N/A</v>
      </c>
      <c r="AA451" s="975" t="e">
        <f>VLOOKUP(C451,'CHẤM CÔNG '!$D$12:$AL$89,33,0)</f>
        <v>#N/A</v>
      </c>
      <c r="AB451" s="975" t="e">
        <f>VLOOKUP(C451,'CHẤM CÔNG '!$D$12:$AL$89,34,0)</f>
        <v>#N/A</v>
      </c>
      <c r="AC451" s="975"/>
      <c r="AD451" s="975"/>
      <c r="AE451" s="975"/>
      <c r="AF451" s="975"/>
      <c r="AG451" s="975"/>
      <c r="AH451" s="975"/>
      <c r="AI451" s="975" t="e">
        <f t="shared" si="93"/>
        <v>#N/A</v>
      </c>
      <c r="AJ451" s="975"/>
      <c r="AK451" s="981"/>
      <c r="AL451" s="982" t="e">
        <f>VLOOKUP(C451,'sản lượng'!$D$12:$AM$89,38,0)</f>
        <v>#N/A</v>
      </c>
    </row>
    <row r="452" spans="1:44" ht="15.75">
      <c r="A452" s="957">
        <v>56</v>
      </c>
      <c r="B452" s="1640" t="str">
        <f>VLOOKUP(C452,'DS CN MOI UP'!$B$10:$C$389,2,0)</f>
        <v>03418</v>
      </c>
      <c r="C452" s="992" t="s">
        <v>341</v>
      </c>
      <c r="D452" s="957" t="s">
        <v>15</v>
      </c>
      <c r="E452" s="960">
        <f t="shared" si="88"/>
        <v>24</v>
      </c>
      <c r="F452" s="960"/>
      <c r="G452" s="960"/>
      <c r="H452" s="1110"/>
      <c r="I452" s="960"/>
      <c r="J452" s="960"/>
      <c r="K452" s="960"/>
      <c r="L452" s="960"/>
      <c r="M452" s="960"/>
      <c r="N452" s="960"/>
      <c r="O452" s="960"/>
      <c r="P452" s="960"/>
      <c r="Q452" s="960"/>
      <c r="R452" s="960"/>
      <c r="S452" s="975">
        <f t="shared" si="94"/>
        <v>24</v>
      </c>
      <c r="T452" s="975" t="e">
        <f>VLOOKUP(C452,'sản lượng'!$D$12:$AK$89,36,0)</f>
        <v>#N/A</v>
      </c>
      <c r="U452" s="975"/>
      <c r="V452" s="975"/>
      <c r="W452" s="976" t="e">
        <f t="shared" si="86"/>
        <v>#N/A</v>
      </c>
      <c r="X452" s="975"/>
      <c r="Y452" s="975"/>
      <c r="Z452" s="975" t="e">
        <f t="shared" si="90"/>
        <v>#N/A</v>
      </c>
      <c r="AA452" s="975" t="e">
        <f>VLOOKUP(C452,'CHẤM CÔNG '!$D$12:$AL$89,33,0)</f>
        <v>#N/A</v>
      </c>
      <c r="AB452" s="975" t="e">
        <f>VLOOKUP(C452,'CHẤM CÔNG '!$D$12:$AL$89,34,0)</f>
        <v>#N/A</v>
      </c>
      <c r="AC452" s="975"/>
      <c r="AD452" s="975"/>
      <c r="AE452" s="975"/>
      <c r="AF452" s="975"/>
      <c r="AG452" s="975"/>
      <c r="AH452" s="975"/>
      <c r="AI452" s="975" t="e">
        <f t="shared" si="93"/>
        <v>#N/A</v>
      </c>
      <c r="AJ452" s="975"/>
      <c r="AK452" s="981"/>
      <c r="AL452" s="982" t="e">
        <f>VLOOKUP(C452,'sản lượng'!$D$12:$AM$89,38,0)</f>
        <v>#N/A</v>
      </c>
    </row>
    <row r="453" spans="1:44" ht="15.75">
      <c r="A453" s="957">
        <v>57</v>
      </c>
      <c r="B453" s="1640" t="str">
        <f>VLOOKUP(C453,'DS CN MOI UP'!$B$10:$C$389,2,0)</f>
        <v>03419</v>
      </c>
      <c r="C453" s="992" t="s">
        <v>342</v>
      </c>
      <c r="D453" s="957" t="s">
        <v>15</v>
      </c>
      <c r="E453" s="960">
        <f t="shared" si="88"/>
        <v>24</v>
      </c>
      <c r="F453" s="960"/>
      <c r="G453" s="960"/>
      <c r="H453" s="1110"/>
      <c r="I453" s="960"/>
      <c r="J453" s="960"/>
      <c r="K453" s="960"/>
      <c r="L453" s="960"/>
      <c r="M453" s="960"/>
      <c r="N453" s="960"/>
      <c r="O453" s="960"/>
      <c r="P453" s="960"/>
      <c r="Q453" s="960"/>
      <c r="R453" s="960"/>
      <c r="S453" s="975">
        <f t="shared" si="94"/>
        <v>24</v>
      </c>
      <c r="T453" s="975" t="e">
        <f>VLOOKUP(C453,'sản lượng'!$D$12:$AK$89,36,0)</f>
        <v>#N/A</v>
      </c>
      <c r="U453" s="975"/>
      <c r="V453" s="975"/>
      <c r="W453" s="976" t="e">
        <f t="shared" ref="W453:W456" si="95">SUM(T453:V453)</f>
        <v>#N/A</v>
      </c>
      <c r="X453" s="975"/>
      <c r="Y453" s="975"/>
      <c r="Z453" s="975" t="e">
        <f t="shared" ref="Z453:Z456" si="96">W453*$AN$18+X453*$AN$10+$AN$11*Y453</f>
        <v>#N/A</v>
      </c>
      <c r="AA453" s="975" t="e">
        <f>VLOOKUP(C453,'CHẤM CÔNG '!$D$12:$AL$89,33,0)</f>
        <v>#N/A</v>
      </c>
      <c r="AB453" s="975" t="e">
        <f>VLOOKUP(C453,'CHẤM CÔNG '!$D$12:$AL$89,34,0)</f>
        <v>#N/A</v>
      </c>
      <c r="AC453" s="975"/>
      <c r="AD453" s="975"/>
      <c r="AE453" s="975"/>
      <c r="AF453" s="975"/>
      <c r="AG453" s="975"/>
      <c r="AH453" s="975"/>
      <c r="AI453" s="975" t="e">
        <f t="shared" si="93"/>
        <v>#N/A</v>
      </c>
      <c r="AJ453" s="975"/>
      <c r="AK453" s="981"/>
      <c r="AL453" s="982" t="e">
        <f>VLOOKUP(C453,'sản lượng'!$D$12:$AM$89,38,0)</f>
        <v>#N/A</v>
      </c>
    </row>
    <row r="454" spans="1:44" ht="15.75">
      <c r="A454" s="957">
        <v>58</v>
      </c>
      <c r="B454" s="1640" t="str">
        <f>VLOOKUP(C454,'DS CN MOI UP'!$B$10:$C$389,2,0)</f>
        <v>03420</v>
      </c>
      <c r="C454" s="992" t="s">
        <v>343</v>
      </c>
      <c r="D454" s="957" t="s">
        <v>15</v>
      </c>
      <c r="E454" s="960">
        <f t="shared" si="88"/>
        <v>24</v>
      </c>
      <c r="F454" s="960"/>
      <c r="G454" s="960"/>
      <c r="H454" s="1110"/>
      <c r="I454" s="960"/>
      <c r="J454" s="960"/>
      <c r="K454" s="960"/>
      <c r="L454" s="960"/>
      <c r="M454" s="960"/>
      <c r="N454" s="960"/>
      <c r="O454" s="960"/>
      <c r="P454" s="960"/>
      <c r="Q454" s="960"/>
      <c r="R454" s="960"/>
      <c r="S454" s="975">
        <f t="shared" si="94"/>
        <v>24</v>
      </c>
      <c r="T454" s="975" t="e">
        <f>VLOOKUP(C454,'sản lượng'!$D$12:$AK$89,36,0)</f>
        <v>#N/A</v>
      </c>
      <c r="U454" s="975"/>
      <c r="V454" s="975"/>
      <c r="W454" s="976" t="e">
        <f t="shared" si="95"/>
        <v>#N/A</v>
      </c>
      <c r="X454" s="975"/>
      <c r="Y454" s="975"/>
      <c r="Z454" s="975" t="e">
        <f t="shared" si="96"/>
        <v>#N/A</v>
      </c>
      <c r="AA454" s="975" t="e">
        <f>VLOOKUP(C454,'CHẤM CÔNG '!$D$12:$AL$89,33,0)</f>
        <v>#N/A</v>
      </c>
      <c r="AB454" s="975" t="e">
        <f>VLOOKUP(C454,'CHẤM CÔNG '!$D$12:$AL$89,34,0)</f>
        <v>#N/A</v>
      </c>
      <c r="AC454" s="975"/>
      <c r="AD454" s="975"/>
      <c r="AE454" s="975"/>
      <c r="AF454" s="975"/>
      <c r="AG454" s="975"/>
      <c r="AH454" s="975"/>
      <c r="AI454" s="975" t="e">
        <f t="shared" si="93"/>
        <v>#N/A</v>
      </c>
      <c r="AJ454" s="975"/>
      <c r="AK454" s="981"/>
      <c r="AL454" s="982" t="e">
        <f>VLOOKUP(C454,'sản lượng'!$D$12:$AM$89,38,0)</f>
        <v>#N/A</v>
      </c>
    </row>
    <row r="455" spans="1:44" ht="15.75">
      <c r="A455" s="957">
        <v>59</v>
      </c>
      <c r="B455" s="1640" t="str">
        <f>VLOOKUP(C455,'DS CN MOI UP'!$B$10:$C$389,2,0)</f>
        <v>03385</v>
      </c>
      <c r="C455" s="992" t="s">
        <v>344</v>
      </c>
      <c r="D455" s="957" t="s">
        <v>15</v>
      </c>
      <c r="E455" s="960">
        <f t="shared" si="88"/>
        <v>24</v>
      </c>
      <c r="F455" s="960"/>
      <c r="G455" s="960"/>
      <c r="H455" s="1110"/>
      <c r="I455" s="960"/>
      <c r="J455" s="960"/>
      <c r="K455" s="960"/>
      <c r="L455" s="960"/>
      <c r="M455" s="960"/>
      <c r="N455" s="960"/>
      <c r="O455" s="960"/>
      <c r="P455" s="960"/>
      <c r="Q455" s="960"/>
      <c r="R455" s="960"/>
      <c r="S455" s="975">
        <f t="shared" si="94"/>
        <v>24</v>
      </c>
      <c r="T455" s="975" t="e">
        <f>VLOOKUP(C455,'sản lượng'!$D$12:$AK$89,36,0)</f>
        <v>#N/A</v>
      </c>
      <c r="U455" s="975"/>
      <c r="V455" s="975"/>
      <c r="W455" s="976" t="e">
        <f t="shared" si="95"/>
        <v>#N/A</v>
      </c>
      <c r="X455" s="975"/>
      <c r="Y455" s="975"/>
      <c r="Z455" s="975" t="e">
        <f t="shared" si="96"/>
        <v>#N/A</v>
      </c>
      <c r="AA455" s="975" t="e">
        <f>VLOOKUP(C455,'CHẤM CÔNG '!$D$12:$AL$89,33,0)</f>
        <v>#N/A</v>
      </c>
      <c r="AB455" s="975" t="e">
        <f>VLOOKUP(C455,'CHẤM CÔNG '!$D$12:$AL$89,34,0)</f>
        <v>#N/A</v>
      </c>
      <c r="AC455" s="975"/>
      <c r="AD455" s="975"/>
      <c r="AE455" s="975"/>
      <c r="AF455" s="975"/>
      <c r="AG455" s="975"/>
      <c r="AH455" s="975"/>
      <c r="AI455" s="975" t="e">
        <f t="shared" si="93"/>
        <v>#N/A</v>
      </c>
      <c r="AJ455" s="975"/>
      <c r="AK455" s="981"/>
      <c r="AL455" s="982" t="e">
        <f>VLOOKUP(C455,'sản lượng'!$D$12:$AM$89,38,0)</f>
        <v>#N/A</v>
      </c>
    </row>
    <row r="456" spans="1:44" ht="15.75">
      <c r="A456" s="957">
        <v>60</v>
      </c>
      <c r="B456" s="1640" t="str">
        <f>VLOOKUP(C456,'DS CN MOI UP'!$B$10:$C$389,2,0)</f>
        <v>03422</v>
      </c>
      <c r="C456" s="992" t="s">
        <v>345</v>
      </c>
      <c r="D456" s="957" t="s">
        <v>15</v>
      </c>
      <c r="E456" s="960">
        <f t="shared" si="88"/>
        <v>24</v>
      </c>
      <c r="F456" s="960"/>
      <c r="G456" s="960"/>
      <c r="H456" s="1110"/>
      <c r="I456" s="960"/>
      <c r="J456" s="960"/>
      <c r="K456" s="960"/>
      <c r="L456" s="960"/>
      <c r="M456" s="960"/>
      <c r="N456" s="960"/>
      <c r="O456" s="960"/>
      <c r="P456" s="960"/>
      <c r="Q456" s="960"/>
      <c r="R456" s="960"/>
      <c r="S456" s="975">
        <f t="shared" si="94"/>
        <v>24</v>
      </c>
      <c r="T456" s="975" t="e">
        <f>VLOOKUP(C456,'sản lượng'!$D$12:$AK$89,36,0)</f>
        <v>#N/A</v>
      </c>
      <c r="U456" s="975"/>
      <c r="V456" s="975"/>
      <c r="W456" s="976" t="e">
        <f t="shared" si="95"/>
        <v>#N/A</v>
      </c>
      <c r="X456" s="975"/>
      <c r="Y456" s="975"/>
      <c r="Z456" s="975" t="e">
        <f t="shared" si="96"/>
        <v>#N/A</v>
      </c>
      <c r="AA456" s="975" t="e">
        <f>VLOOKUP(C456,'CHẤM CÔNG '!$D$12:$AL$89,33,0)</f>
        <v>#N/A</v>
      </c>
      <c r="AB456" s="975" t="e">
        <f>VLOOKUP(C456,'CHẤM CÔNG '!$D$12:$AL$89,34,0)</f>
        <v>#N/A</v>
      </c>
      <c r="AC456" s="975"/>
      <c r="AD456" s="975"/>
      <c r="AE456" s="975"/>
      <c r="AF456" s="975"/>
      <c r="AG456" s="975"/>
      <c r="AH456" s="975"/>
      <c r="AI456" s="975" t="e">
        <f t="shared" si="93"/>
        <v>#N/A</v>
      </c>
      <c r="AJ456" s="975"/>
      <c r="AK456" s="981"/>
      <c r="AL456" s="982" t="e">
        <f>VLOOKUP(C456,'sản lượng'!$D$12:$AM$89,38,0)</f>
        <v>#N/A</v>
      </c>
    </row>
    <row r="457" spans="1:44" ht="15.75">
      <c r="A457" s="957">
        <v>61</v>
      </c>
      <c r="B457" s="958" t="e">
        <f>VLOOKUP(C457,'DS CN MOI UP'!$B$10:$C$389,2,0)</f>
        <v>#N/A</v>
      </c>
      <c r="C457" s="992" t="s">
        <v>346</v>
      </c>
      <c r="D457" s="957" t="s">
        <v>15</v>
      </c>
      <c r="E457" s="960">
        <f t="shared" si="88"/>
        <v>24</v>
      </c>
      <c r="F457" s="960"/>
      <c r="G457" s="960"/>
      <c r="H457" s="1110"/>
      <c r="I457" s="960"/>
      <c r="J457" s="960"/>
      <c r="K457" s="960"/>
      <c r="L457" s="960"/>
      <c r="M457" s="960"/>
      <c r="N457" s="960"/>
      <c r="O457" s="960"/>
      <c r="P457" s="960"/>
      <c r="Q457" s="960"/>
      <c r="R457" s="960"/>
      <c r="S457" s="975">
        <f t="shared" ref="S457:S460" si="97">SUM(E457:R457)</f>
        <v>24</v>
      </c>
      <c r="T457" s="975" t="e">
        <f>VLOOKUP(C457,'sản lượng'!$D$12:$AK$89,36,0)</f>
        <v>#N/A</v>
      </c>
      <c r="U457" s="975"/>
      <c r="V457" s="975"/>
      <c r="W457" s="976" t="e">
        <f t="shared" si="86"/>
        <v>#N/A</v>
      </c>
      <c r="X457" s="975"/>
      <c r="Y457" s="975"/>
      <c r="Z457" s="975" t="e">
        <f t="shared" si="90"/>
        <v>#N/A</v>
      </c>
      <c r="AA457" s="975" t="e">
        <f>VLOOKUP(C457,'CHẤM CÔNG '!$D$12:$AL$89,33,0)</f>
        <v>#N/A</v>
      </c>
      <c r="AB457" s="975" t="e">
        <f>VLOOKUP(C457,'CHẤM CÔNG '!$D$12:$AL$89,34,0)</f>
        <v>#N/A</v>
      </c>
      <c r="AC457" s="975"/>
      <c r="AD457" s="975"/>
      <c r="AE457" s="975"/>
      <c r="AF457" s="975"/>
      <c r="AG457" s="975"/>
      <c r="AH457" s="975"/>
      <c r="AI457" s="975" t="e">
        <f t="shared" si="93"/>
        <v>#N/A</v>
      </c>
      <c r="AJ457" s="975"/>
      <c r="AK457" s="981"/>
      <c r="AL457" s="982" t="e">
        <f>VLOOKUP(C457,'sản lượng'!$D$12:$AM$89,38,0)</f>
        <v>#N/A</v>
      </c>
    </row>
    <row r="458" spans="1:44" ht="15.75">
      <c r="A458" s="957">
        <v>62</v>
      </c>
      <c r="B458" s="958" t="e">
        <f>VLOOKUP(C458,'DS CN MOI UP'!$B$10:$C$389,2,0)</f>
        <v>#N/A</v>
      </c>
      <c r="C458" s="992" t="s">
        <v>347</v>
      </c>
      <c r="D458" s="957" t="s">
        <v>15</v>
      </c>
      <c r="E458" s="960">
        <f t="shared" si="88"/>
        <v>24</v>
      </c>
      <c r="F458" s="960"/>
      <c r="G458" s="960"/>
      <c r="H458" s="1110"/>
      <c r="I458" s="960"/>
      <c r="J458" s="960"/>
      <c r="K458" s="960"/>
      <c r="L458" s="960"/>
      <c r="M458" s="960"/>
      <c r="N458" s="960"/>
      <c r="O458" s="960"/>
      <c r="P458" s="960"/>
      <c r="Q458" s="960"/>
      <c r="R458" s="960"/>
      <c r="S458" s="975">
        <f t="shared" ref="S458:S459" si="98">SUM(E458:R458)</f>
        <v>24</v>
      </c>
      <c r="T458" s="975" t="e">
        <f>VLOOKUP(C458,'sản lượng'!$D$12:$AK$89,36,0)</f>
        <v>#N/A</v>
      </c>
      <c r="U458" s="975"/>
      <c r="V458" s="975"/>
      <c r="W458" s="976" t="e">
        <f t="shared" ref="W458" si="99">SUM(T458:V458)</f>
        <v>#N/A</v>
      </c>
      <c r="X458" s="975"/>
      <c r="Y458" s="975"/>
      <c r="Z458" s="975" t="e">
        <f t="shared" ref="Z458" si="100">W458*$AN$18+X458*$AN$10+$AN$11*Y458</f>
        <v>#N/A</v>
      </c>
      <c r="AA458" s="975" t="e">
        <f>VLOOKUP(C458,'CHẤM CÔNG '!$D$12:$AL$89,33,0)</f>
        <v>#N/A</v>
      </c>
      <c r="AB458" s="975" t="e">
        <f>VLOOKUP(C458,'CHẤM CÔNG '!$D$12:$AL$89,34,0)</f>
        <v>#N/A</v>
      </c>
      <c r="AC458" s="975"/>
      <c r="AD458" s="975"/>
      <c r="AE458" s="975"/>
      <c r="AF458" s="975"/>
      <c r="AG458" s="975"/>
      <c r="AH458" s="975"/>
      <c r="AI458" s="975" t="e">
        <f t="shared" si="93"/>
        <v>#N/A</v>
      </c>
      <c r="AJ458" s="975"/>
      <c r="AK458" s="981"/>
      <c r="AL458" s="982" t="e">
        <f>VLOOKUP(C458,'sản lượng'!$D$12:$AM$89,38,0)</f>
        <v>#N/A</v>
      </c>
    </row>
    <row r="459" spans="1:44" ht="15.75">
      <c r="A459" s="957">
        <v>63</v>
      </c>
      <c r="B459" s="958" t="e">
        <f>VLOOKUP(C459,'DS CN MOI UP'!$B$10:$C$389,2,0)</f>
        <v>#N/A</v>
      </c>
      <c r="C459" s="992" t="s">
        <v>348</v>
      </c>
      <c r="D459" s="957" t="s">
        <v>15</v>
      </c>
      <c r="E459" s="960">
        <f t="shared" si="88"/>
        <v>24</v>
      </c>
      <c r="F459" s="960"/>
      <c r="G459" s="960"/>
      <c r="H459" s="1110"/>
      <c r="I459" s="960"/>
      <c r="J459" s="960"/>
      <c r="K459" s="960"/>
      <c r="L459" s="960"/>
      <c r="M459" s="960"/>
      <c r="N459" s="960"/>
      <c r="O459" s="960"/>
      <c r="P459" s="960"/>
      <c r="Q459" s="960"/>
      <c r="R459" s="960"/>
      <c r="S459" s="975">
        <f t="shared" si="98"/>
        <v>24</v>
      </c>
      <c r="T459" s="975" t="e">
        <f>VLOOKUP(C459,'sản lượng'!$D$12:$AK$89,36,0)</f>
        <v>#N/A</v>
      </c>
      <c r="U459" s="975"/>
      <c r="V459" s="975"/>
      <c r="W459" s="976" t="e">
        <f t="shared" ref="W459" si="101">SUM(T459:V459)</f>
        <v>#N/A</v>
      </c>
      <c r="X459" s="975"/>
      <c r="Y459" s="975"/>
      <c r="Z459" s="975" t="e">
        <f t="shared" ref="Z459" si="102">W459*$AN$18+X459*$AN$10+$AN$11*Y459</f>
        <v>#N/A</v>
      </c>
      <c r="AA459" s="975" t="e">
        <f>VLOOKUP(C459,'CHẤM CÔNG '!$D$12:$AL$89,33,0)</f>
        <v>#N/A</v>
      </c>
      <c r="AB459" s="975" t="e">
        <f>VLOOKUP(C459,'CHẤM CÔNG '!$D$12:$AL$89,34,0)</f>
        <v>#N/A</v>
      </c>
      <c r="AC459" s="975"/>
      <c r="AD459" s="975"/>
      <c r="AE459" s="975"/>
      <c r="AF459" s="975"/>
      <c r="AG459" s="975"/>
      <c r="AH459" s="975"/>
      <c r="AI459" s="975" t="e">
        <f t="shared" si="93"/>
        <v>#N/A</v>
      </c>
      <c r="AJ459" s="975"/>
      <c r="AK459" s="981"/>
      <c r="AL459" s="982" t="e">
        <f>VLOOKUP(C459,'sản lượng'!$D$12:$AM$89,38,0)</f>
        <v>#N/A</v>
      </c>
    </row>
    <row r="460" spans="1:44" ht="15.75">
      <c r="A460" s="957">
        <v>64</v>
      </c>
      <c r="B460" s="958">
        <v>6</v>
      </c>
      <c r="C460" s="992" t="s">
        <v>2656</v>
      </c>
      <c r="D460" s="957" t="s">
        <v>1713</v>
      </c>
      <c r="E460" s="960"/>
      <c r="F460" s="960"/>
      <c r="G460" s="960"/>
      <c r="H460" s="1110"/>
      <c r="I460" s="960"/>
      <c r="J460" s="960"/>
      <c r="K460" s="960"/>
      <c r="L460" s="960"/>
      <c r="M460" s="960"/>
      <c r="N460" s="960"/>
      <c r="O460" s="960"/>
      <c r="P460" s="960"/>
      <c r="Q460" s="960"/>
      <c r="R460" s="960"/>
      <c r="S460" s="975">
        <f t="shared" si="97"/>
        <v>0</v>
      </c>
      <c r="T460" s="975"/>
      <c r="U460" s="975"/>
      <c r="V460" s="975"/>
      <c r="W460" s="975"/>
      <c r="X460" s="975"/>
      <c r="Y460" s="975"/>
      <c r="Z460" s="975"/>
      <c r="AA460" s="975"/>
      <c r="AB460" s="975"/>
      <c r="AC460" s="975"/>
      <c r="AD460" s="975"/>
      <c r="AE460" s="975"/>
      <c r="AF460" s="975"/>
      <c r="AG460" s="975"/>
      <c r="AH460" s="975"/>
      <c r="AI460" s="975"/>
      <c r="AJ460" s="975"/>
      <c r="AK460" s="981"/>
      <c r="AL460" s="1174"/>
    </row>
    <row r="461" spans="1:44">
      <c r="A461" s="2628" t="s">
        <v>349</v>
      </c>
      <c r="B461" s="2628"/>
      <c r="C461" s="2628"/>
      <c r="D461" s="2628"/>
      <c r="E461" s="1005">
        <f t="shared" ref="E461:W461" si="103">+E10</f>
        <v>10660</v>
      </c>
      <c r="F461" s="1005">
        <f t="shared" si="103"/>
        <v>16</v>
      </c>
      <c r="G461" s="1005">
        <f t="shared" si="103"/>
        <v>24</v>
      </c>
      <c r="H461" s="1145">
        <f t="shared" si="103"/>
        <v>6996.2759999999998</v>
      </c>
      <c r="I461" s="1005">
        <f t="shared" si="103"/>
        <v>11</v>
      </c>
      <c r="J461" s="1005">
        <f t="shared" si="103"/>
        <v>45</v>
      </c>
      <c r="K461" s="1005">
        <f t="shared" si="103"/>
        <v>0</v>
      </c>
      <c r="L461" s="1005">
        <f t="shared" si="103"/>
        <v>0</v>
      </c>
      <c r="M461" s="1005">
        <f t="shared" si="103"/>
        <v>0</v>
      </c>
      <c r="N461" s="1005">
        <f t="shared" si="103"/>
        <v>0</v>
      </c>
      <c r="O461" s="1005">
        <f t="shared" si="103"/>
        <v>0</v>
      </c>
      <c r="P461" s="1005">
        <f t="shared" si="103"/>
        <v>0</v>
      </c>
      <c r="Q461" s="1005">
        <f t="shared" si="103"/>
        <v>0</v>
      </c>
      <c r="R461" s="1005">
        <f t="shared" si="103"/>
        <v>0</v>
      </c>
      <c r="S461" s="1005">
        <f t="shared" si="103"/>
        <v>17752.276000000002</v>
      </c>
      <c r="T461" s="1005" t="e">
        <f t="shared" si="103"/>
        <v>#N/A</v>
      </c>
      <c r="U461" s="1005" t="e">
        <f t="shared" si="103"/>
        <v>#N/A</v>
      </c>
      <c r="V461" s="1005" t="e">
        <f t="shared" si="103"/>
        <v>#N/A</v>
      </c>
      <c r="W461" s="1015" t="e">
        <f t="shared" si="103"/>
        <v>#N/A</v>
      </c>
      <c r="X461" s="1005"/>
      <c r="Y461" s="1005"/>
      <c r="Z461" s="1005" t="e">
        <f t="shared" ref="Z461:AE461" si="104">+Z10</f>
        <v>#N/A</v>
      </c>
      <c r="AA461" s="1005" t="e">
        <f t="shared" si="104"/>
        <v>#N/A</v>
      </c>
      <c r="AB461" s="1005" t="e">
        <f t="shared" si="104"/>
        <v>#N/A</v>
      </c>
      <c r="AC461" s="1005" t="e">
        <f t="shared" si="104"/>
        <v>#N/A</v>
      </c>
      <c r="AD461" s="1005">
        <f t="shared" si="104"/>
        <v>0</v>
      </c>
      <c r="AE461" s="1005">
        <f t="shared" si="104"/>
        <v>62</v>
      </c>
      <c r="AF461" s="1005">
        <f t="shared" ref="AF461:AK461" si="105">+AF10</f>
        <v>0</v>
      </c>
      <c r="AG461" s="1005">
        <f t="shared" si="105"/>
        <v>0</v>
      </c>
      <c r="AH461" s="1005">
        <f t="shared" ref="AH461:AI461" si="106">+AH10</f>
        <v>0</v>
      </c>
      <c r="AI461" s="1005" t="e">
        <f t="shared" si="106"/>
        <v>#N/A</v>
      </c>
      <c r="AJ461" s="1005">
        <f t="shared" si="105"/>
        <v>0</v>
      </c>
      <c r="AK461" s="1005">
        <f t="shared" si="105"/>
        <v>0</v>
      </c>
      <c r="AL461" s="1021"/>
      <c r="AM461" s="976" t="e">
        <f>SUM(#REF!,W386:W387,W312:W314,#REF!,#REF!)</f>
        <v>#REF!</v>
      </c>
      <c r="AN461" s="976" t="e">
        <f>SUM(#REF!,X386:X387,X312:X314,#REF!,#REF!)</f>
        <v>#REF!</v>
      </c>
    </row>
    <row r="462" spans="1:44">
      <c r="A462" s="949"/>
      <c r="B462" s="949"/>
      <c r="C462" s="949"/>
      <c r="D462" s="949"/>
      <c r="E462" s="1146"/>
      <c r="F462" s="1146"/>
      <c r="G462" s="1146"/>
      <c r="H462" s="1147"/>
      <c r="I462" s="1146"/>
      <c r="J462" s="1146"/>
      <c r="K462" s="1146"/>
      <c r="L462" s="1146"/>
      <c r="M462" s="1146"/>
      <c r="N462" s="1146"/>
      <c r="O462" s="1146"/>
      <c r="P462" s="1146"/>
      <c r="Q462" s="1146"/>
      <c r="R462" s="1146"/>
      <c r="S462" s="1146"/>
      <c r="T462" s="1146"/>
      <c r="U462" s="1146"/>
      <c r="V462" s="1146"/>
      <c r="W462" s="753"/>
      <c r="X462" s="1146"/>
      <c r="Y462" s="1146"/>
      <c r="Z462" s="1146"/>
      <c r="AA462" s="1146"/>
      <c r="AB462" s="1146"/>
      <c r="AC462" s="1146"/>
      <c r="AD462" s="1146"/>
      <c r="AE462" s="1146"/>
      <c r="AF462" s="1146"/>
      <c r="AG462" s="1146"/>
      <c r="AH462" s="1146"/>
      <c r="AI462" s="1146"/>
      <c r="AJ462" s="1146"/>
      <c r="AK462" s="1146"/>
      <c r="AL462" s="1175"/>
      <c r="AM462" s="976"/>
      <c r="AN462" s="976"/>
      <c r="AP462" s="1022"/>
      <c r="AQ462" s="1022"/>
      <c r="AR462" s="1022"/>
    </row>
    <row r="463" spans="1:44">
      <c r="A463" s="949"/>
      <c r="B463" s="949"/>
      <c r="C463" s="949"/>
      <c r="D463" s="949"/>
      <c r="E463" s="1146"/>
      <c r="F463" s="1146"/>
      <c r="G463" s="1146"/>
      <c r="H463" s="1147"/>
      <c r="I463" s="1146"/>
      <c r="J463" s="1146"/>
      <c r="K463" s="1146"/>
      <c r="L463" s="1146"/>
      <c r="M463" s="1146"/>
      <c r="N463" s="1146"/>
      <c r="O463" s="1146"/>
      <c r="P463" s="1146"/>
      <c r="Q463" s="1146"/>
      <c r="R463" s="1146"/>
      <c r="S463" s="1146"/>
      <c r="T463" s="1146"/>
      <c r="U463" s="1146"/>
      <c r="V463" s="1146"/>
      <c r="W463" s="753"/>
      <c r="X463" s="1146"/>
      <c r="Y463" s="1146"/>
      <c r="Z463" s="753" t="e">
        <f>#REF!</f>
        <v>#REF!</v>
      </c>
      <c r="AA463" s="753" t="e">
        <f>46.1*Z463</f>
        <v>#REF!</v>
      </c>
      <c r="AB463" s="753" t="e">
        <f>76.9*Z463</f>
        <v>#REF!</v>
      </c>
      <c r="AC463" s="753">
        <v>20000</v>
      </c>
      <c r="AD463" s="753"/>
      <c r="AE463" s="753" t="e">
        <f>30.7*Z463</f>
        <v>#REF!</v>
      </c>
      <c r="AF463" s="753"/>
      <c r="AG463" s="753"/>
      <c r="AH463" s="753"/>
      <c r="AI463" s="753">
        <v>20000</v>
      </c>
      <c r="AJ463" s="1146"/>
      <c r="AK463" s="1146"/>
      <c r="AL463" s="1175"/>
      <c r="AM463" s="976"/>
      <c r="AN463" s="976"/>
      <c r="AP463" s="1022"/>
      <c r="AQ463" s="1022"/>
      <c r="AR463" s="1022"/>
    </row>
    <row r="464" spans="1:44">
      <c r="A464" s="949"/>
      <c r="B464" s="949"/>
      <c r="C464" s="949"/>
      <c r="D464" s="949"/>
      <c r="E464" s="1146"/>
      <c r="F464" s="1146"/>
      <c r="G464" s="1146"/>
      <c r="H464" s="1147"/>
      <c r="I464" s="1146"/>
      <c r="J464" s="1146"/>
      <c r="K464" s="1146"/>
      <c r="L464" s="1146"/>
      <c r="M464" s="1146"/>
      <c r="N464" s="1146"/>
      <c r="O464" s="1146"/>
      <c r="P464" s="1146"/>
      <c r="Q464" s="1146"/>
      <c r="R464" s="1146"/>
      <c r="S464" s="1146"/>
      <c r="T464" s="1146"/>
      <c r="U464" s="1146"/>
      <c r="V464" s="1146"/>
      <c r="W464" s="753"/>
      <c r="X464" s="1146"/>
      <c r="Y464" s="1146"/>
      <c r="Z464" s="753"/>
      <c r="AA464" s="753" t="e">
        <f>+AA461*AA463</f>
        <v>#N/A</v>
      </c>
      <c r="AB464" s="753" t="e">
        <f t="shared" ref="AB464:AI464" si="107">+AB461*AB463</f>
        <v>#N/A</v>
      </c>
      <c r="AC464" s="753" t="e">
        <f t="shared" si="107"/>
        <v>#N/A</v>
      </c>
      <c r="AD464" s="753">
        <f t="shared" si="107"/>
        <v>0</v>
      </c>
      <c r="AE464" s="753" t="e">
        <f t="shared" si="107"/>
        <v>#REF!</v>
      </c>
      <c r="AF464" s="753">
        <f t="shared" si="107"/>
        <v>0</v>
      </c>
      <c r="AG464" s="753">
        <f t="shared" si="107"/>
        <v>0</v>
      </c>
      <c r="AH464" s="753">
        <f t="shared" si="107"/>
        <v>0</v>
      </c>
      <c r="AI464" s="753" t="e">
        <f t="shared" si="107"/>
        <v>#N/A</v>
      </c>
      <c r="AJ464" s="1146"/>
      <c r="AK464" s="1146"/>
      <c r="AL464" s="1175"/>
      <c r="AM464" s="976"/>
      <c r="AN464" s="976"/>
      <c r="AP464" s="1022"/>
      <c r="AQ464" s="1022"/>
      <c r="AR464" s="1022"/>
    </row>
    <row r="465" spans="1:44">
      <c r="A465" s="949"/>
      <c r="B465" s="949"/>
      <c r="C465" s="949"/>
      <c r="D465" s="949"/>
      <c r="E465" s="1146"/>
      <c r="F465" s="1146"/>
      <c r="G465" s="1146"/>
      <c r="H465" s="1147"/>
      <c r="I465" s="1146"/>
      <c r="J465" s="1146"/>
      <c r="K465" s="1146"/>
      <c r="L465" s="1146"/>
      <c r="M465" s="1146"/>
      <c r="N465" s="1146"/>
      <c r="O465" s="1146"/>
      <c r="P465" s="1146"/>
      <c r="Q465" s="1146"/>
      <c r="R465" s="1146"/>
      <c r="S465" s="1146"/>
      <c r="T465" s="1146"/>
      <c r="U465" s="1146"/>
      <c r="V465" s="1146"/>
      <c r="W465" s="753"/>
      <c r="X465" s="1146"/>
      <c r="Y465" s="1146"/>
      <c r="Z465" s="1146"/>
      <c r="AA465" s="1146" t="e">
        <f>AA461*30000</f>
        <v>#N/A</v>
      </c>
      <c r="AB465" s="1146"/>
      <c r="AC465" s="1146"/>
      <c r="AD465" s="1146"/>
      <c r="AE465" s="1146"/>
      <c r="AF465" s="1146"/>
      <c r="AG465" s="1146"/>
      <c r="AH465" s="1146"/>
      <c r="AI465" s="1146"/>
      <c r="AJ465" s="1146"/>
      <c r="AK465" s="1146"/>
      <c r="AL465" s="1175"/>
      <c r="AM465" s="976"/>
      <c r="AN465" s="976"/>
      <c r="AP465" s="1022"/>
      <c r="AQ465" s="1022"/>
      <c r="AR465" s="1022"/>
    </row>
    <row r="466" spans="1:44">
      <c r="E466" s="946">
        <v>10660</v>
      </c>
      <c r="G466" s="1006"/>
      <c r="H466" s="1105">
        <v>6996.2759999999998</v>
      </c>
      <c r="I466" s="1012"/>
      <c r="L466" s="1013"/>
      <c r="M466" s="1013"/>
      <c r="S466" s="1016"/>
      <c r="T466" s="1016"/>
      <c r="U466" s="1016"/>
      <c r="V466" s="1016"/>
      <c r="W466" s="1016" t="e">
        <f>+W461*0.4</f>
        <v>#N/A</v>
      </c>
      <c r="X466" s="1017">
        <f>+X461*0.5</f>
        <v>0</v>
      </c>
      <c r="Y466" s="1017">
        <f>+Y461*0.5</f>
        <v>0</v>
      </c>
      <c r="AA466" s="976" t="e">
        <f>+AA465-AA464</f>
        <v>#N/A</v>
      </c>
      <c r="AP466" s="1022"/>
      <c r="AQ466" s="1022"/>
      <c r="AR466" s="1022"/>
    </row>
    <row r="467" spans="1:44" s="1104" customFormat="1" ht="15" customHeight="1">
      <c r="A467" s="1148"/>
      <c r="B467" s="1148"/>
      <c r="C467" s="1149"/>
      <c r="D467" s="1149"/>
      <c r="E467" s="1150"/>
      <c r="F467" s="1150"/>
      <c r="G467" s="1151">
        <f>232/1.25</f>
        <v>185.6</v>
      </c>
      <c r="H467" s="1152">
        <f>249.6+51.2+70.4+753.6+745.6+342.4+64+96+93.6</f>
        <v>2466.4</v>
      </c>
      <c r="I467" s="1158"/>
      <c r="J467" s="1158"/>
      <c r="K467" s="1158">
        <v>2493.13</v>
      </c>
      <c r="L467" s="1006">
        <f>435.24+707.84+88.8+496.92+278.4+589.08+571.8+148.48+79.04+73.2</f>
        <v>3468.8</v>
      </c>
      <c r="M467" s="1006">
        <f>36.86+9.6+1537.82+200.26+232.51+36+212.02+330.62+380.06+180.82+130.61+69.12</f>
        <v>3356.3</v>
      </c>
      <c r="N467" s="946">
        <f>23.2+292.2+60.32+73.66+29.58+23.78</f>
        <v>502.74</v>
      </c>
      <c r="O467" s="1159"/>
      <c r="P467" s="1159"/>
      <c r="Q467" s="1159"/>
      <c r="R467" s="1159"/>
      <c r="S467" s="1159">
        <f>SUM(H467:P467)</f>
        <v>12287.37</v>
      </c>
      <c r="T467" s="1162"/>
      <c r="U467" s="1162"/>
      <c r="V467" s="1162"/>
      <c r="W467" s="1163" t="s">
        <v>2657</v>
      </c>
      <c r="X467" s="1163"/>
      <c r="Y467" s="1163"/>
      <c r="Z467" s="1163"/>
      <c r="AA467" s="1163"/>
      <c r="AB467" s="1163"/>
      <c r="AC467" s="1163"/>
      <c r="AD467" s="1163"/>
      <c r="AE467" s="1163"/>
      <c r="AF467" s="1163"/>
      <c r="AG467" s="1163"/>
      <c r="AH467" s="1163"/>
      <c r="AI467" s="1163"/>
      <c r="AJ467" s="1163"/>
      <c r="AK467" s="1163"/>
      <c r="AL467" s="1163"/>
    </row>
    <row r="468" spans="1:44">
      <c r="C468" s="943" t="s">
        <v>2391</v>
      </c>
      <c r="D468" s="943"/>
      <c r="E468" s="1020"/>
      <c r="F468" s="1020"/>
      <c r="G468" s="1020"/>
      <c r="H468" s="1153">
        <f>+H461-H467</f>
        <v>4529.8760000000002</v>
      </c>
      <c r="I468" s="1020"/>
      <c r="J468" s="1020"/>
      <c r="K468" s="1020"/>
      <c r="L468" s="1020"/>
      <c r="M468" s="1020">
        <f>+M467-M461</f>
        <v>3356.3</v>
      </c>
      <c r="N468" s="1020"/>
      <c r="O468" s="1020"/>
      <c r="P468" s="1020"/>
      <c r="Q468" s="1020"/>
      <c r="R468" s="1020"/>
      <c r="S468" s="1020">
        <f>11209.13-S461</f>
        <v>-6543.1459999999997</v>
      </c>
      <c r="T468" s="1020"/>
      <c r="U468" s="1020"/>
      <c r="V468" s="1020"/>
      <c r="W468" s="2629" t="s">
        <v>2658</v>
      </c>
      <c r="X468" s="2629"/>
      <c r="Y468" s="2629"/>
      <c r="Z468" s="2629"/>
      <c r="AA468" s="2629"/>
      <c r="AB468" s="2629"/>
      <c r="AC468" s="2629"/>
      <c r="AD468" s="2629"/>
      <c r="AE468" s="2629"/>
      <c r="AF468" s="2629"/>
      <c r="AG468" s="2629"/>
      <c r="AH468" s="2629"/>
      <c r="AI468" s="2629"/>
      <c r="AJ468" s="2629"/>
      <c r="AK468" s="2629"/>
      <c r="AL468" s="2629"/>
      <c r="AP468" s="1023"/>
      <c r="AQ468" s="1023"/>
      <c r="AR468" s="1023"/>
    </row>
    <row r="469" spans="1:44" ht="15" customHeight="1">
      <c r="E469" s="976">
        <f>+E466-E461</f>
        <v>0</v>
      </c>
      <c r="G469" s="1006"/>
      <c r="H469" s="1152">
        <f>+H461-H467</f>
        <v>4529.8760000000002</v>
      </c>
      <c r="I469" s="1006"/>
      <c r="J469" s="1006"/>
      <c r="K469" s="1006"/>
      <c r="L469" s="1006"/>
      <c r="M469" s="2630"/>
      <c r="N469" s="2630"/>
      <c r="O469" s="2630"/>
      <c r="P469" s="2630"/>
      <c r="Q469" s="2630"/>
      <c r="R469" s="2630"/>
      <c r="S469" s="2630"/>
      <c r="T469" s="1027" t="e">
        <f>T461*$AN$7</f>
        <v>#N/A</v>
      </c>
      <c r="U469" s="1027" t="e">
        <f>U461*$AN$7</f>
        <v>#N/A</v>
      </c>
      <c r="V469" s="1027" t="e">
        <f>V461*$AN$7</f>
        <v>#N/A</v>
      </c>
      <c r="W469" s="1028"/>
      <c r="X469" s="976"/>
      <c r="Y469" s="976"/>
      <c r="Z469" s="976"/>
      <c r="AE469" s="1039"/>
      <c r="AG469" s="1039"/>
      <c r="AH469" s="1039"/>
      <c r="AI469" s="1039"/>
      <c r="AJ469" s="1039"/>
      <c r="AK469" s="1039"/>
    </row>
    <row r="470" spans="1:44">
      <c r="G470" s="1154"/>
      <c r="H470" s="1152"/>
      <c r="I470" s="1160"/>
      <c r="L470" s="1006"/>
      <c r="M470" s="1006"/>
      <c r="S470" s="1027"/>
      <c r="T470" s="1027"/>
      <c r="U470" s="1027"/>
      <c r="V470" s="1027"/>
      <c r="W470" s="976">
        <f>+'sản lượng'!AK90</f>
        <v>133072</v>
      </c>
      <c r="X470" s="946">
        <f>+X461*0.5</f>
        <v>0</v>
      </c>
      <c r="Z470" s="1127"/>
      <c r="AA470" s="1029"/>
      <c r="AB470" s="1029"/>
      <c r="AC470" s="1029"/>
      <c r="AD470" s="1029"/>
      <c r="AE470" s="1029"/>
      <c r="AF470" s="1029"/>
      <c r="AG470" s="1029"/>
      <c r="AH470" s="1029"/>
      <c r="AI470" s="1029"/>
      <c r="AJ470" s="1029"/>
      <c r="AK470" s="1029"/>
    </row>
    <row r="471" spans="1:44">
      <c r="C471" s="1013"/>
      <c r="G471" s="976"/>
      <c r="H471" s="1155"/>
      <c r="I471" s="1161"/>
      <c r="L471" s="1006"/>
      <c r="M471" s="1006"/>
      <c r="S471" s="1027"/>
      <c r="T471" s="1027"/>
      <c r="U471" s="1027"/>
      <c r="V471" s="1027"/>
      <c r="W471" s="1029" t="e">
        <f>+W470-W461</f>
        <v>#N/A</v>
      </c>
      <c r="X471" s="976"/>
      <c r="Y471" s="976"/>
      <c r="AE471" s="946">
        <f>13046+487</f>
        <v>13533</v>
      </c>
    </row>
    <row r="472" spans="1:44">
      <c r="E472" s="1006"/>
      <c r="F472" s="1006"/>
      <c r="H472" s="1156"/>
      <c r="J472" s="1161"/>
      <c r="L472" s="1006"/>
      <c r="M472" s="1006"/>
      <c r="S472" s="1006"/>
      <c r="T472" s="1006"/>
      <c r="U472" s="1006"/>
      <c r="V472" s="1006"/>
      <c r="W472" s="1030"/>
      <c r="X472" s="976"/>
      <c r="Y472" s="976"/>
      <c r="Z472" s="1006"/>
    </row>
    <row r="473" spans="1:44" ht="15">
      <c r="G473" s="1013"/>
      <c r="I473" s="1013"/>
      <c r="J473" s="1013"/>
      <c r="K473" s="1013"/>
      <c r="L473" s="1006"/>
      <c r="M473" s="1006"/>
      <c r="N473" s="1006"/>
      <c r="O473" s="1006"/>
      <c r="P473" s="1006"/>
      <c r="Q473" s="1006"/>
      <c r="R473" s="1006"/>
      <c r="S473" s="1164">
        <f>17477.12-S10</f>
        <v>-275.15599999999898</v>
      </c>
      <c r="T473" s="1012"/>
      <c r="U473" s="1012"/>
      <c r="V473" s="1012"/>
      <c r="W473" s="1031"/>
      <c r="X473" s="1031"/>
      <c r="Y473" s="1031"/>
      <c r="Z473" s="201"/>
      <c r="AA473" s="1170">
        <v>4330</v>
      </c>
      <c r="AB473" s="1171">
        <v>779</v>
      </c>
      <c r="AC473" s="1171">
        <v>0</v>
      </c>
      <c r="AD473" s="1171">
        <v>0</v>
      </c>
      <c r="AE473" s="1171">
        <v>0</v>
      </c>
      <c r="AF473" s="1171">
        <v>0</v>
      </c>
      <c r="AG473" s="1171">
        <v>62</v>
      </c>
      <c r="AH473" s="1171">
        <v>42</v>
      </c>
      <c r="AI473" s="1171">
        <v>280</v>
      </c>
      <c r="AJ473" s="1171">
        <v>8540</v>
      </c>
      <c r="AK473" s="1176"/>
      <c r="AL473" s="889">
        <v>391380220</v>
      </c>
    </row>
    <row r="474" spans="1:44" ht="15">
      <c r="C474" s="555"/>
      <c r="D474" s="555"/>
      <c r="E474" s="555"/>
      <c r="F474" s="555"/>
      <c r="G474" s="555"/>
      <c r="H474" s="1157"/>
      <c r="I474" s="555"/>
      <c r="J474" s="555"/>
      <c r="L474" s="1037"/>
      <c r="M474" s="1037"/>
      <c r="N474" s="1037"/>
      <c r="O474" s="1037"/>
      <c r="P474" s="1037"/>
      <c r="Q474" s="1037"/>
      <c r="R474" s="1037"/>
      <c r="T474" s="1012"/>
      <c r="U474" s="1012"/>
      <c r="V474" s="1165" t="s">
        <v>2659</v>
      </c>
      <c r="W474" s="1166">
        <v>311</v>
      </c>
      <c r="X474" s="1167" t="e">
        <f>+Z461/1000/W474*100</f>
        <v>#N/A</v>
      </c>
      <c r="Y474" s="1037"/>
      <c r="Z474" s="1172">
        <v>655.8</v>
      </c>
      <c r="AA474" s="753">
        <f>46.1*Z474</f>
        <v>30232.38</v>
      </c>
      <c r="AB474" s="753">
        <f>76.9*Z474</f>
        <v>50431.02</v>
      </c>
      <c r="AC474" s="753">
        <v>20000</v>
      </c>
      <c r="AD474" s="753"/>
      <c r="AE474" s="753">
        <f>30.7*Z474</f>
        <v>20133.060000000001</v>
      </c>
      <c r="AF474" s="753"/>
      <c r="AG474" s="753">
        <f>30.7*Z474</f>
        <v>20133.060000000001</v>
      </c>
      <c r="AH474" s="753">
        <v>20000</v>
      </c>
      <c r="AI474" s="753">
        <v>20000</v>
      </c>
      <c r="AJ474" s="909">
        <v>25000</v>
      </c>
      <c r="AK474" s="909"/>
      <c r="AL474" s="759"/>
    </row>
    <row r="475" spans="1:44" ht="15">
      <c r="L475" s="1006"/>
      <c r="M475" s="1006"/>
      <c r="N475" s="1006"/>
      <c r="O475" s="1006"/>
      <c r="P475" s="1006"/>
      <c r="Q475" s="1006"/>
      <c r="R475" s="1006"/>
      <c r="S475" s="1006">
        <f>+S461/W475</f>
        <v>1.1967724320556401</v>
      </c>
      <c r="T475" s="1006"/>
      <c r="U475" s="1006"/>
      <c r="V475" s="1165" t="s">
        <v>2660</v>
      </c>
      <c r="W475" s="1168">
        <f>3091.67+11741.79</f>
        <v>14833.46</v>
      </c>
      <c r="X475" s="1169">
        <f>+S461/W475*100</f>
        <v>119.677243205564</v>
      </c>
      <c r="Y475" s="1041"/>
      <c r="Z475" s="201"/>
      <c r="AA475" s="1173">
        <f t="shared" ref="AA475:AK475" si="108">+AA473*AA474</f>
        <v>130906205.40000001</v>
      </c>
      <c r="AB475" s="1173">
        <f t="shared" si="108"/>
        <v>39285764.579999998</v>
      </c>
      <c r="AC475" s="1173">
        <f t="shared" si="108"/>
        <v>0</v>
      </c>
      <c r="AD475" s="1173">
        <f t="shared" si="108"/>
        <v>0</v>
      </c>
      <c r="AE475" s="1173">
        <f t="shared" si="108"/>
        <v>0</v>
      </c>
      <c r="AF475" s="1173">
        <f t="shared" si="108"/>
        <v>0</v>
      </c>
      <c r="AG475" s="1173">
        <f t="shared" si="108"/>
        <v>1248249.72</v>
      </c>
      <c r="AH475" s="1173">
        <f t="shared" si="108"/>
        <v>840000</v>
      </c>
      <c r="AI475" s="1173">
        <f t="shared" si="108"/>
        <v>5600000</v>
      </c>
      <c r="AJ475" s="1173">
        <f t="shared" si="108"/>
        <v>213500000</v>
      </c>
      <c r="AK475" s="1173">
        <f t="shared" si="108"/>
        <v>0</v>
      </c>
      <c r="AL475" s="1177">
        <f>SUM(AA475:AK475)</f>
        <v>391380219.69999999</v>
      </c>
    </row>
    <row r="476" spans="1:44" ht="15">
      <c r="L476" s="1006"/>
      <c r="M476" s="1006"/>
      <c r="N476" s="1006"/>
      <c r="O476" s="1006"/>
      <c r="P476" s="1006"/>
      <c r="Q476" s="1006"/>
      <c r="R476" s="1006"/>
      <c r="S476" s="1006"/>
      <c r="T476" s="1006"/>
      <c r="U476" s="1006"/>
      <c r="V476" s="1006"/>
      <c r="X476" s="1037"/>
      <c r="Y476" s="1037"/>
      <c r="Z476" s="201"/>
      <c r="AA476" s="201"/>
      <c r="AB476" s="158"/>
      <c r="AC476" s="158"/>
      <c r="AD476" s="158"/>
      <c r="AE476" s="158"/>
      <c r="AF476" s="158"/>
      <c r="AG476" s="158"/>
      <c r="AH476" s="158"/>
      <c r="AI476" s="158"/>
      <c r="AJ476" s="158"/>
      <c r="AK476" s="158"/>
      <c r="AL476" s="1178">
        <f>+AL475-AL473</f>
        <v>-0.30000001192092901</v>
      </c>
    </row>
    <row r="477" spans="1:44">
      <c r="L477" s="1006"/>
      <c r="M477" s="1006"/>
      <c r="N477" s="1006"/>
      <c r="O477" s="1006"/>
      <c r="P477" s="1006"/>
      <c r="Q477" s="1006"/>
      <c r="R477" s="1006"/>
      <c r="S477" s="1006">
        <f>+S460-'[7]BCSX T10'!$P$64</f>
        <v>-6669.9059999999999</v>
      </c>
      <c r="T477" s="1006"/>
      <c r="U477" s="1006"/>
      <c r="V477" s="1006"/>
      <c r="Y477" s="1037"/>
      <c r="AA477" s="946">
        <f>129+173+8</f>
        <v>310</v>
      </c>
    </row>
    <row r="478" spans="1:44">
      <c r="G478" s="1006"/>
      <c r="L478" s="1006"/>
      <c r="M478" s="1006"/>
      <c r="N478" s="1006"/>
      <c r="O478" s="1006"/>
      <c r="P478" s="1006"/>
      <c r="Q478" s="1006"/>
      <c r="R478" s="1006"/>
      <c r="S478" s="1006">
        <f>SUM('[7]BCSX T10'!$M$32:$M$49,'[7]BCSX T10'!$M$57,'[7]BCSX T10'!$M$60:$M$61,'[7]BCSX T10'!$M$66,'[7]BCSX T10'!$M$68,'[7]BCSX T10'!$M$70)</f>
        <v>6428.3459999999995</v>
      </c>
      <c r="T478" s="1006"/>
      <c r="U478" s="1006"/>
      <c r="V478" s="1006"/>
      <c r="X478" s="1037"/>
      <c r="Y478" s="1037"/>
      <c r="Z478" s="1006"/>
      <c r="AA478" s="946">
        <f>+AA477*9</f>
        <v>2790</v>
      </c>
    </row>
    <row r="479" spans="1:44">
      <c r="G479" s="2631"/>
      <c r="H479" s="2631"/>
      <c r="I479" s="1013"/>
      <c r="L479" s="1006"/>
      <c r="M479" s="1006"/>
      <c r="N479" s="1006"/>
      <c r="O479" s="1006"/>
      <c r="P479" s="1006"/>
      <c r="Q479" s="1006"/>
      <c r="R479" s="1006"/>
      <c r="S479" s="1006"/>
      <c r="T479" s="1006"/>
      <c r="U479" s="1006"/>
      <c r="V479" s="1006"/>
      <c r="X479" s="1006"/>
      <c r="Y479" s="1006"/>
    </row>
    <row r="480" spans="1:44">
      <c r="E480" s="976"/>
      <c r="F480" s="976"/>
      <c r="H480" s="1152"/>
      <c r="O480" s="976">
        <f>+E10+F10+H10+L10+O10</f>
        <v>17672.276000000002</v>
      </c>
    </row>
    <row r="481" spans="7:26">
      <c r="G481" s="1013"/>
      <c r="O481" s="976">
        <f>+O480-17477.12</f>
        <v>195.15599999999901</v>
      </c>
    </row>
    <row r="491" spans="7:26">
      <c r="Z491" s="992" t="s">
        <v>331</v>
      </c>
    </row>
    <row r="492" spans="7:26">
      <c r="Z492" s="992" t="s">
        <v>332</v>
      </c>
    </row>
    <row r="493" spans="7:26">
      <c r="Z493" s="992" t="s">
        <v>333</v>
      </c>
    </row>
    <row r="494" spans="7:26">
      <c r="Z494" s="992" t="s">
        <v>334</v>
      </c>
    </row>
    <row r="495" spans="7:26">
      <c r="Z495" s="992" t="s">
        <v>335</v>
      </c>
    </row>
    <row r="496" spans="7:26">
      <c r="Z496" s="992" t="s">
        <v>336</v>
      </c>
    </row>
    <row r="497" spans="23:26">
      <c r="Z497" s="992" t="s">
        <v>337</v>
      </c>
    </row>
    <row r="498" spans="23:26">
      <c r="Z498" s="992" t="s">
        <v>338</v>
      </c>
    </row>
    <row r="499" spans="23:26">
      <c r="Z499" s="992" t="s">
        <v>339</v>
      </c>
    </row>
    <row r="500" spans="23:26">
      <c r="Z500" s="992" t="s">
        <v>340</v>
      </c>
    </row>
    <row r="501" spans="23:26">
      <c r="Z501" s="992" t="s">
        <v>341</v>
      </c>
    </row>
    <row r="502" spans="23:26">
      <c r="W502" s="1013"/>
      <c r="Z502" s="992" t="s">
        <v>342</v>
      </c>
    </row>
    <row r="503" spans="23:26">
      <c r="Z503" s="992" t="s">
        <v>343</v>
      </c>
    </row>
    <row r="504" spans="23:26">
      <c r="Z504" s="992" t="s">
        <v>344</v>
      </c>
    </row>
    <row r="505" spans="23:26">
      <c r="Z505" s="992" t="s">
        <v>345</v>
      </c>
    </row>
    <row r="506" spans="23:26">
      <c r="Z506" s="946" t="s">
        <v>346</v>
      </c>
    </row>
  </sheetData>
  <autoFilter ref="A12:AR471"/>
  <mergeCells count="17">
    <mergeCell ref="A1:L1"/>
    <mergeCell ref="M1:AL1"/>
    <mergeCell ref="A2:L2"/>
    <mergeCell ref="M2:AL2"/>
    <mergeCell ref="A4:AL4"/>
    <mergeCell ref="A5:AL5"/>
    <mergeCell ref="AB6:AE6"/>
    <mergeCell ref="AB7:AE7"/>
    <mergeCell ref="E8:AL8"/>
    <mergeCell ref="A10:D10"/>
    <mergeCell ref="A461:D461"/>
    <mergeCell ref="W468:AL468"/>
    <mergeCell ref="M469:S469"/>
    <mergeCell ref="G479:H479"/>
    <mergeCell ref="A8:A9"/>
    <mergeCell ref="C8:C9"/>
    <mergeCell ref="D8:D9"/>
  </mergeCells>
  <printOptions horizontalCentered="1"/>
  <pageMargins left="0" right="0" top="0.196850393700787" bottom="0.39370078740157499" header="0.31496062992126" footer="0.31496062992126"/>
  <pageSetup paperSize="9" scale="120" orientation="portrait"/>
  <headerFooter>
    <oddFooter>&amp;R&amp;P</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P3849"/>
  <sheetViews>
    <sheetView view="pageBreakPreview" topLeftCell="A3693" zoomScale="130" zoomScaleNormal="100" workbookViewId="0">
      <selection activeCell="L3707" sqref="L3707"/>
    </sheetView>
  </sheetViews>
  <sheetFormatPr defaultColWidth="10.5703125" defaultRowHeight="12"/>
  <cols>
    <col min="1" max="1" width="17.140625" style="1045" customWidth="1"/>
    <col min="2" max="2" width="16.42578125" style="1045" customWidth="1"/>
    <col min="3" max="3" width="9.28515625" style="1046" customWidth="1"/>
    <col min="4" max="4" width="10.42578125" style="624" customWidth="1"/>
    <col min="5" max="5" width="3.28515625" style="1047" customWidth="1"/>
    <col min="6" max="6" width="3.28515625" style="1048" customWidth="1"/>
    <col min="7" max="7" width="17.140625" style="1045" customWidth="1"/>
    <col min="8" max="8" width="16.42578125" style="1045" customWidth="1"/>
    <col min="9" max="9" width="8" style="1046" customWidth="1"/>
    <col min="10" max="10" width="10.42578125" style="624" customWidth="1"/>
    <col min="11" max="11" width="19.5703125" style="1045" customWidth="1"/>
    <col min="12" max="12" width="19.42578125" style="1045" customWidth="1"/>
    <col min="13" max="13" width="14.5703125" style="1045" customWidth="1"/>
    <col min="14" max="15" width="13.7109375" style="1045" customWidth="1"/>
    <col min="16" max="16" width="10.7109375" style="1045" customWidth="1"/>
    <col min="17" max="17" width="9.5703125" style="1045" customWidth="1"/>
    <col min="18" max="18" width="8" style="1045" customWidth="1"/>
    <col min="19" max="19" width="5.42578125" style="1045" customWidth="1"/>
    <col min="20" max="16384" width="10.5703125" style="1045"/>
  </cols>
  <sheetData>
    <row r="1" spans="1:16" ht="12" customHeight="1">
      <c r="A1" s="2243" t="s">
        <v>354</v>
      </c>
      <c r="B1" s="2243"/>
      <c r="C1" s="2243"/>
      <c r="D1" s="2243"/>
      <c r="E1" s="2243"/>
      <c r="F1" s="2243"/>
      <c r="G1" s="2243"/>
      <c r="H1" s="2243"/>
      <c r="I1" s="2243"/>
      <c r="J1" s="2243"/>
    </row>
    <row r="2" spans="1:16" ht="15" customHeight="1">
      <c r="A2" s="2242" t="str">
        <f>$K$2</f>
        <v>THÁNG 04/2025</v>
      </c>
      <c r="B2" s="2242"/>
      <c r="C2" s="2242"/>
      <c r="D2" s="2242"/>
      <c r="E2" s="1050"/>
      <c r="F2" s="1051"/>
      <c r="G2" s="2242" t="str">
        <f>$K$2</f>
        <v>THÁNG 04/2025</v>
      </c>
      <c r="H2" s="2242"/>
      <c r="I2" s="2242"/>
      <c r="J2" s="2242"/>
      <c r="K2" s="624" t="s">
        <v>2661</v>
      </c>
    </row>
    <row r="3" spans="1:16" ht="15" customHeight="1">
      <c r="A3" s="1052" t="s">
        <v>356</v>
      </c>
      <c r="B3" s="1053" t="s">
        <v>357</v>
      </c>
      <c r="C3" s="869"/>
      <c r="D3" s="1049"/>
      <c r="E3" s="1054"/>
      <c r="F3" s="1055"/>
      <c r="G3" s="1052" t="s">
        <v>356</v>
      </c>
      <c r="H3" s="1053" t="s">
        <v>358</v>
      </c>
      <c r="I3" s="869"/>
      <c r="J3" s="1049"/>
      <c r="L3" s="1082">
        <f>'LƯƠNG KT'!F8</f>
        <v>668.84</v>
      </c>
      <c r="M3" s="1083"/>
      <c r="N3" s="1083"/>
      <c r="O3" s="1083"/>
    </row>
    <row r="4" spans="1:16" ht="15" customHeight="1">
      <c r="A4" s="1056" t="s">
        <v>359</v>
      </c>
      <c r="B4" s="1057" t="s">
        <v>2662</v>
      </c>
      <c r="C4" s="1058" t="e">
        <f>VLOOKUP(B3,'LƯƠNG KT'!$D$15:$R$94,4,0)</f>
        <v>#N/A</v>
      </c>
      <c r="D4" s="1059" t="e">
        <f>+C4*25000</f>
        <v>#N/A</v>
      </c>
      <c r="E4" s="1060"/>
      <c r="F4" s="1060"/>
      <c r="G4" s="1056" t="s">
        <v>359</v>
      </c>
      <c r="H4" s="1057" t="s">
        <v>2662</v>
      </c>
      <c r="I4" s="1058" t="e">
        <f>VLOOKUP(H3,'LƯƠNG KT'!$D$15:$R$94,4,0)</f>
        <v>#N/A</v>
      </c>
      <c r="J4" s="1059" t="e">
        <f>+I4*25000</f>
        <v>#N/A</v>
      </c>
      <c r="K4" s="1084" t="s">
        <v>361</v>
      </c>
      <c r="L4" s="1085">
        <f>46.1*L3</f>
        <v>30833.524000000001</v>
      </c>
      <c r="M4" s="1086" t="s">
        <v>2607</v>
      </c>
      <c r="N4" s="1087">
        <f>P4/O4</f>
        <v>0.40802589501656</v>
      </c>
      <c r="O4" s="1086">
        <v>46776</v>
      </c>
      <c r="P4" s="869">
        <v>19085.819265294602</v>
      </c>
    </row>
    <row r="5" spans="1:16" ht="15" customHeight="1">
      <c r="A5" s="1056" t="s">
        <v>361</v>
      </c>
      <c r="B5" s="1057" t="s">
        <v>2663</v>
      </c>
      <c r="C5" s="1058" t="e">
        <f>VLOOKUP(B3,'LƯƠNG KT'!$D$15:$R$94,15,0)</f>
        <v>#N/A</v>
      </c>
      <c r="D5" s="1059" t="e">
        <f>C5*$L$4</f>
        <v>#N/A</v>
      </c>
      <c r="E5" s="1061"/>
      <c r="F5" s="1061"/>
      <c r="G5" s="1056" t="s">
        <v>361</v>
      </c>
      <c r="H5" s="1057" t="s">
        <v>2663</v>
      </c>
      <c r="I5" s="1058" t="e">
        <f>VLOOKUP(H3,'LƯƠNG KT'!$D$15:$R$94,15,0)</f>
        <v>#N/A</v>
      </c>
      <c r="J5" s="1059" t="e">
        <f>I5*$L$4</f>
        <v>#N/A</v>
      </c>
      <c r="K5" s="1084" t="s">
        <v>363</v>
      </c>
      <c r="L5" s="1085">
        <f>76.9*L3</f>
        <v>51433.796000000009</v>
      </c>
      <c r="M5" s="1086" t="s">
        <v>2608</v>
      </c>
      <c r="N5" s="1087">
        <f t="shared" ref="N5:N12" si="0">P5/O5</f>
        <v>0.40706759165411599</v>
      </c>
      <c r="O5" s="1086">
        <v>60503</v>
      </c>
      <c r="P5" s="869">
        <v>24628.810497849001</v>
      </c>
    </row>
    <row r="6" spans="1:16" ht="15" customHeight="1">
      <c r="A6" s="1056" t="s">
        <v>364</v>
      </c>
      <c r="B6" s="1057" t="s">
        <v>2664</v>
      </c>
      <c r="C6" s="1058" t="e">
        <f>VLOOKUP(B3,'LƯƠNG KT'!$D$15:$R$94,16,0)</f>
        <v>#N/A</v>
      </c>
      <c r="D6" s="1059" t="e">
        <f>C6*$L$5</f>
        <v>#N/A</v>
      </c>
      <c r="E6" s="1061"/>
      <c r="F6" s="1061"/>
      <c r="G6" s="1056" t="s">
        <v>364</v>
      </c>
      <c r="H6" s="1057" t="s">
        <v>2664</v>
      </c>
      <c r="I6" s="1058" t="e">
        <f>VLOOKUP(H3,'LƯƠNG KT'!$D$15:$R$94,16,0)</f>
        <v>#N/A</v>
      </c>
      <c r="J6" s="1059" t="e">
        <f>I6*$L$5</f>
        <v>#N/A</v>
      </c>
      <c r="K6" s="1084" t="s">
        <v>370</v>
      </c>
      <c r="L6" s="1085">
        <v>30000</v>
      </c>
      <c r="M6" s="869" t="s">
        <v>2609</v>
      </c>
      <c r="N6" s="1087">
        <f t="shared" si="0"/>
        <v>0.41834962270139803</v>
      </c>
      <c r="O6" s="869">
        <v>138596</v>
      </c>
      <c r="P6" s="869">
        <v>57981.584307923004</v>
      </c>
    </row>
    <row r="7" spans="1:16" ht="15" customHeight="1">
      <c r="A7" s="1056" t="s">
        <v>370</v>
      </c>
      <c r="B7" s="1057" t="s">
        <v>2665</v>
      </c>
      <c r="C7" s="1058" t="e">
        <f>VLOOKUP(B3,'LƯƠNG KT'!$D$15:$R$94,24,0)</f>
        <v>#N/A</v>
      </c>
      <c r="D7" s="1059" t="e">
        <f>+C7*$L$6</f>
        <v>#N/A</v>
      </c>
      <c r="E7" s="1061"/>
      <c r="F7" s="1061"/>
      <c r="G7" s="1056" t="s">
        <v>370</v>
      </c>
      <c r="H7" s="1057" t="s">
        <v>2665</v>
      </c>
      <c r="I7" s="1058" t="e">
        <f>VLOOKUP(H3,'LƯƠNG KT'!$D$15:$R$94,24,0)</f>
        <v>#N/A</v>
      </c>
      <c r="J7" s="1059" t="e">
        <f>+I7*$L$6</f>
        <v>#N/A</v>
      </c>
      <c r="K7" s="1084" t="s">
        <v>368</v>
      </c>
      <c r="L7" s="1085">
        <f>30.7*L3</f>
        <v>20533.387999999999</v>
      </c>
      <c r="M7" s="1086" t="s">
        <v>2610</v>
      </c>
      <c r="N7" s="1087">
        <f t="shared" si="0"/>
        <v>0.404465654287615</v>
      </c>
      <c r="O7" s="1086">
        <v>146632</v>
      </c>
      <c r="P7" s="869">
        <v>59307.6078195015</v>
      </c>
    </row>
    <row r="8" spans="1:16" ht="15" customHeight="1">
      <c r="A8" s="1056" t="s">
        <v>2666</v>
      </c>
      <c r="B8" s="1057" t="s">
        <v>2667</v>
      </c>
      <c r="C8" s="1058" t="e">
        <f>VLOOKUP(B3,'LƯƠNG KT'!$D$15:$R$94,19,0)</f>
        <v>#N/A</v>
      </c>
      <c r="D8" s="1059" t="e">
        <f>+C8*$L$8</f>
        <v>#N/A</v>
      </c>
      <c r="E8" s="1061"/>
      <c r="F8" s="1061"/>
      <c r="G8" s="1056" t="s">
        <v>2666</v>
      </c>
      <c r="H8" s="1057" t="s">
        <v>2667</v>
      </c>
      <c r="I8" s="1058" t="e">
        <f>VLOOKUP(H3,'LƯƠNG KT'!$D$15:$R$94,19,0)</f>
        <v>#N/A</v>
      </c>
      <c r="J8" s="1059" t="e">
        <f>+I8*$L$8</f>
        <v>#N/A</v>
      </c>
      <c r="K8" s="1084" t="s">
        <v>2666</v>
      </c>
      <c r="L8" s="1085">
        <f>92.2*$L$3</f>
        <v>61667.048000000003</v>
      </c>
      <c r="M8" s="1086" t="s">
        <v>2611</v>
      </c>
      <c r="N8" s="1087">
        <f t="shared" si="0"/>
        <v>0.432836530035144</v>
      </c>
      <c r="O8" s="1086">
        <v>110687</v>
      </c>
      <c r="P8" s="869">
        <v>47909.377</v>
      </c>
    </row>
    <row r="9" spans="1:16" ht="15" customHeight="1">
      <c r="A9" s="1056" t="s">
        <v>2668</v>
      </c>
      <c r="B9" s="1062" t="s">
        <v>2669</v>
      </c>
      <c r="C9" s="1058" t="e">
        <f>VLOOKUP(B3,'LƯƠNG KT'!$D$15:$R$94,20,0)</f>
        <v>#N/A</v>
      </c>
      <c r="D9" s="1059" t="e">
        <f>+C9*$L$9</f>
        <v>#N/A</v>
      </c>
      <c r="E9" s="1061"/>
      <c r="F9" s="1061"/>
      <c r="G9" s="1056" t="s">
        <v>2668</v>
      </c>
      <c r="H9" s="1062" t="s">
        <v>2669</v>
      </c>
      <c r="I9" s="1058" t="e">
        <f>VLOOKUP(H3,'LƯƠNG KT'!$D$15:$R$94,20,0)</f>
        <v>#N/A</v>
      </c>
      <c r="J9" s="1059" t="e">
        <f>+I9*$L$9</f>
        <v>#N/A</v>
      </c>
      <c r="K9" s="1084" t="s">
        <v>2670</v>
      </c>
      <c r="L9" s="1085">
        <f>76.9*2*L3</f>
        <v>102867.59200000002</v>
      </c>
      <c r="M9" s="1086" t="s">
        <v>2612</v>
      </c>
      <c r="N9" s="1087">
        <f t="shared" si="0"/>
        <v>0.39774417626913999</v>
      </c>
      <c r="O9" s="1086">
        <v>144095</v>
      </c>
      <c r="P9" s="869">
        <v>57312.947079501799</v>
      </c>
    </row>
    <row r="10" spans="1:16" ht="15" customHeight="1">
      <c r="A10" s="1056" t="s">
        <v>2671</v>
      </c>
      <c r="B10" s="1057" t="s">
        <v>2672</v>
      </c>
      <c r="C10" s="1058" t="e">
        <f>VLOOKUP(B3,'LƯƠNG KT'!$D$15:$R$94,17,0)</f>
        <v>#N/A</v>
      </c>
      <c r="D10" s="1059" t="e">
        <f>+C10*$L$10</f>
        <v>#N/A</v>
      </c>
      <c r="E10" s="1061"/>
      <c r="F10" s="1061"/>
      <c r="G10" s="1056" t="s">
        <v>2671</v>
      </c>
      <c r="H10" s="1057" t="s">
        <v>2672</v>
      </c>
      <c r="I10" s="1058" t="e">
        <f>VLOOKUP(H3,'LƯƠNG KT'!$D$15:$R$94,17,0)</f>
        <v>#N/A</v>
      </c>
      <c r="J10" s="1059" t="e">
        <f>+I10*$L$10</f>
        <v>#N/A</v>
      </c>
      <c r="K10" s="1084" t="s">
        <v>2673</v>
      </c>
      <c r="L10" s="1085">
        <v>10000</v>
      </c>
      <c r="M10" s="1087" t="s">
        <v>2613</v>
      </c>
      <c r="N10" s="1087">
        <f t="shared" si="0"/>
        <v>0.407780847310101</v>
      </c>
      <c r="O10" s="1086">
        <v>9853</v>
      </c>
      <c r="P10" s="869">
        <v>4017.86468854642</v>
      </c>
    </row>
    <row r="11" spans="1:16" ht="15" customHeight="1">
      <c r="A11" s="1056" t="s">
        <v>374</v>
      </c>
      <c r="B11" s="1057" t="s">
        <v>2674</v>
      </c>
      <c r="C11" s="1058" t="e">
        <f>VLOOKUP(B3,'LƯƠNG KT'!$D$15:$R$94,12,0)</f>
        <v>#N/A</v>
      </c>
      <c r="D11" s="1059" t="e">
        <f>VLOOKUP(B3,'LƯƠNG KT'!$D$15:$R$94,14,0)</f>
        <v>#N/A</v>
      </c>
      <c r="E11" s="1063"/>
      <c r="F11" s="1061"/>
      <c r="G11" s="1056" t="s">
        <v>374</v>
      </c>
      <c r="H11" s="1057" t="s">
        <v>2674</v>
      </c>
      <c r="I11" s="1058" t="e">
        <f>VLOOKUP(H3,'LƯƠNG KT'!$D$15:$R$94,12,0)</f>
        <v>#N/A</v>
      </c>
      <c r="J11" s="1059" t="e">
        <f>VLOOKUP(H3,'LƯƠNG KT'!$D$15:$R$94,14,0)</f>
        <v>#N/A</v>
      </c>
      <c r="K11" s="1084" t="s">
        <v>376</v>
      </c>
      <c r="L11" s="1087">
        <v>0.45169613116931301</v>
      </c>
      <c r="M11" s="1087" t="s">
        <v>2614</v>
      </c>
      <c r="N11" s="1087">
        <f t="shared" si="0"/>
        <v>0.424529951002518</v>
      </c>
      <c r="O11" s="1086">
        <v>11207</v>
      </c>
      <c r="P11" s="869">
        <v>4757.7071608852202</v>
      </c>
    </row>
    <row r="12" spans="1:16" ht="15" customHeight="1">
      <c r="A12" s="1056" t="s">
        <v>2675</v>
      </c>
      <c r="B12" s="1057" t="s">
        <v>2676</v>
      </c>
      <c r="D12" s="1064" t="e">
        <f>VLOOKUP(B3,'LƯƠNG KT'!$D$15:$R$94,13,0)</f>
        <v>#N/A</v>
      </c>
      <c r="E12" s="1065"/>
      <c r="F12" s="1065"/>
      <c r="G12" s="1056" t="s">
        <v>2675</v>
      </c>
      <c r="H12" s="1057" t="s">
        <v>2676</v>
      </c>
      <c r="J12" s="1064" t="e">
        <f>VLOOKUP(H3,'LƯƠNG KT'!$D$15:$R$94,13,0)</f>
        <v>#N/A</v>
      </c>
      <c r="M12" s="869" t="s">
        <v>2615</v>
      </c>
      <c r="N12" s="1087">
        <f t="shared" si="0"/>
        <v>0.39038061195310297</v>
      </c>
      <c r="O12" s="869">
        <v>24479</v>
      </c>
      <c r="P12" s="869">
        <v>9556.1270000000004</v>
      </c>
    </row>
    <row r="13" spans="1:16" ht="15" customHeight="1">
      <c r="A13" s="1066"/>
      <c r="B13" s="869"/>
      <c r="C13" s="1058"/>
      <c r="D13" s="1059"/>
      <c r="E13" s="1063"/>
      <c r="F13" s="1065"/>
      <c r="G13" s="1066"/>
      <c r="H13" s="869"/>
      <c r="I13" s="1058"/>
      <c r="J13" s="1059"/>
    </row>
    <row r="14" spans="1:16" ht="15" customHeight="1">
      <c r="A14" s="1052"/>
      <c r="B14" s="869"/>
      <c r="C14" s="1058"/>
      <c r="D14" s="1059"/>
      <c r="E14" s="1067"/>
      <c r="F14" s="1051"/>
      <c r="G14" s="1052"/>
      <c r="H14" s="869"/>
      <c r="I14" s="1058"/>
      <c r="J14" s="1059"/>
      <c r="K14" s="1057" t="s">
        <v>2677</v>
      </c>
      <c r="L14" s="1057" t="s">
        <v>2678</v>
      </c>
    </row>
    <row r="15" spans="1:16" ht="15" customHeight="1">
      <c r="A15" s="1068" t="s">
        <v>383</v>
      </c>
      <c r="B15" s="1069" t="s">
        <v>384</v>
      </c>
      <c r="C15" s="1070"/>
      <c r="D15" s="1071" t="e">
        <f>SUM(D4:D11)-D14</f>
        <v>#N/A</v>
      </c>
      <c r="E15" s="1072"/>
      <c r="F15" s="1073"/>
      <c r="G15" s="1068" t="s">
        <v>383</v>
      </c>
      <c r="H15" s="1069" t="s">
        <v>384</v>
      </c>
      <c r="I15" s="1070"/>
      <c r="J15" s="1071" t="e">
        <f>SUM(J4:J11)-J14</f>
        <v>#N/A</v>
      </c>
      <c r="K15" s="1056" t="s">
        <v>356</v>
      </c>
      <c r="L15" s="1057" t="s">
        <v>2679</v>
      </c>
    </row>
    <row r="16" spans="1:16" ht="18" customHeight="1">
      <c r="A16" s="1074"/>
      <c r="B16" s="1075"/>
      <c r="C16" s="1076"/>
      <c r="D16" s="1077"/>
      <c r="E16" s="1077"/>
      <c r="F16" s="1078"/>
      <c r="G16" s="1074"/>
      <c r="H16" s="1075"/>
      <c r="I16" s="1076"/>
      <c r="J16" s="1077"/>
      <c r="K16" s="1056" t="s">
        <v>359</v>
      </c>
      <c r="L16" s="1057" t="s">
        <v>2662</v>
      </c>
      <c r="M16" s="1045" t="s">
        <v>370</v>
      </c>
    </row>
    <row r="17" spans="1:15" ht="18" customHeight="1">
      <c r="A17" s="1075"/>
      <c r="B17" s="1075"/>
      <c r="C17" s="1079"/>
      <c r="D17" s="1080"/>
      <c r="E17" s="1075"/>
      <c r="F17" s="1081"/>
      <c r="G17" s="1075"/>
      <c r="H17" s="1075"/>
      <c r="I17" s="1079"/>
      <c r="J17" s="1080"/>
      <c r="K17" s="1056" t="s">
        <v>361</v>
      </c>
      <c r="L17" s="1057" t="s">
        <v>2663</v>
      </c>
    </row>
    <row r="18" spans="1:15" ht="15" customHeight="1">
      <c r="A18" s="2242" t="str">
        <f>$K$2</f>
        <v>THÁNG 04/2025</v>
      </c>
      <c r="B18" s="2242"/>
      <c r="C18" s="2242"/>
      <c r="D18" s="2242"/>
      <c r="E18" s="1050"/>
      <c r="F18" s="1051"/>
      <c r="G18" s="2242" t="str">
        <f>$K$2</f>
        <v>THÁNG 04/2025</v>
      </c>
      <c r="H18" s="2242"/>
      <c r="I18" s="2242"/>
      <c r="J18" s="2242"/>
      <c r="K18" s="1056" t="s">
        <v>364</v>
      </c>
      <c r="L18" s="1057" t="s">
        <v>2664</v>
      </c>
    </row>
    <row r="19" spans="1:15" ht="15" customHeight="1">
      <c r="A19" s="1052" t="s">
        <v>356</v>
      </c>
      <c r="B19" s="1053" t="s">
        <v>385</v>
      </c>
      <c r="C19" s="869"/>
      <c r="D19" s="1049"/>
      <c r="E19" s="1054"/>
      <c r="F19" s="1055"/>
      <c r="G19" s="1052" t="s">
        <v>356</v>
      </c>
      <c r="H19" s="1053" t="s">
        <v>1936</v>
      </c>
      <c r="I19" s="869"/>
      <c r="J19" s="1049"/>
      <c r="K19" s="1056" t="s">
        <v>370</v>
      </c>
      <c r="L19" s="1057" t="s">
        <v>2665</v>
      </c>
      <c r="M19" s="1088"/>
      <c r="N19" s="1088"/>
      <c r="O19" s="1088"/>
    </row>
    <row r="20" spans="1:15" ht="15" customHeight="1">
      <c r="A20" s="1056" t="s">
        <v>359</v>
      </c>
      <c r="B20" s="1057" t="s">
        <v>2662</v>
      </c>
      <c r="C20" s="1058" t="e">
        <f>VLOOKUP(B19,'LƯƠNG KT'!$D$15:$R$94,4,0)</f>
        <v>#N/A</v>
      </c>
      <c r="D20" s="1059" t="e">
        <f>+C20*25000</f>
        <v>#N/A</v>
      </c>
      <c r="E20" s="1060"/>
      <c r="F20" s="1060"/>
      <c r="G20" s="1056" t="s">
        <v>359</v>
      </c>
      <c r="H20" s="1057" t="s">
        <v>2662</v>
      </c>
      <c r="I20" s="1058" t="e">
        <f>VLOOKUP(H19,'LƯƠNG KT'!$D$15:$R$94,4,0)</f>
        <v>#N/A</v>
      </c>
      <c r="J20" s="1059" t="e">
        <f>+I20*25000</f>
        <v>#N/A</v>
      </c>
      <c r="K20" s="1056" t="s">
        <v>2666</v>
      </c>
      <c r="L20" s="1057" t="s">
        <v>2667</v>
      </c>
      <c r="M20" s="1085"/>
      <c r="N20" s="1085"/>
      <c r="O20" s="1085"/>
    </row>
    <row r="21" spans="1:15" ht="15" customHeight="1">
      <c r="A21" s="1056" t="s">
        <v>361</v>
      </c>
      <c r="B21" s="1057" t="s">
        <v>2663</v>
      </c>
      <c r="C21" s="1058" t="e">
        <f>VLOOKUP(B19,'LƯƠNG KT'!$D$15:$R$94,15,0)</f>
        <v>#N/A</v>
      </c>
      <c r="D21" s="1059" t="e">
        <f>C21*$L$4</f>
        <v>#N/A</v>
      </c>
      <c r="E21" s="1061"/>
      <c r="F21" s="1061"/>
      <c r="G21" s="1056" t="s">
        <v>361</v>
      </c>
      <c r="H21" s="1057" t="s">
        <v>2663</v>
      </c>
      <c r="I21" s="1058" t="e">
        <f>VLOOKUP(H19,'LƯƠNG KT'!$D$15:$R$94,15,0)</f>
        <v>#N/A</v>
      </c>
      <c r="J21" s="1059" t="e">
        <f>I21*$L$4</f>
        <v>#N/A</v>
      </c>
      <c r="K21" s="1056" t="s">
        <v>2680</v>
      </c>
      <c r="L21" s="1057" t="s">
        <v>2669</v>
      </c>
      <c r="M21" s="1085"/>
      <c r="N21" s="1085"/>
      <c r="O21" s="1085"/>
    </row>
    <row r="22" spans="1:15" ht="15" customHeight="1">
      <c r="A22" s="1056" t="s">
        <v>364</v>
      </c>
      <c r="B22" s="1057" t="s">
        <v>2664</v>
      </c>
      <c r="C22" s="1058" t="e">
        <f>VLOOKUP(B19,'LƯƠNG KT'!$D$15:$R$94,16,0)</f>
        <v>#N/A</v>
      </c>
      <c r="D22" s="1059" t="e">
        <f>C22*$L$5</f>
        <v>#N/A</v>
      </c>
      <c r="E22" s="1061"/>
      <c r="F22" s="1061"/>
      <c r="G22" s="1056" t="s">
        <v>364</v>
      </c>
      <c r="H22" s="1057" t="s">
        <v>2664</v>
      </c>
      <c r="I22" s="1058" t="e">
        <f>VLOOKUP(H19,'LƯƠNG KT'!$D$15:$R$94,16,0)</f>
        <v>#N/A</v>
      </c>
      <c r="J22" s="1059" t="e">
        <f>I22*$L$5</f>
        <v>#N/A</v>
      </c>
      <c r="K22" s="1056" t="s">
        <v>2671</v>
      </c>
      <c r="L22" s="1057" t="s">
        <v>2672</v>
      </c>
      <c r="M22" s="1085"/>
      <c r="N22" s="1085"/>
      <c r="O22" s="1085"/>
    </row>
    <row r="23" spans="1:15" ht="15" customHeight="1">
      <c r="A23" s="1056" t="s">
        <v>370</v>
      </c>
      <c r="B23" s="1057" t="s">
        <v>2665</v>
      </c>
      <c r="C23" s="1058" t="e">
        <f>VLOOKUP(B19,'LƯƠNG KT'!$D$15:$R$94,24,0)</f>
        <v>#N/A</v>
      </c>
      <c r="D23" s="1059" t="e">
        <f>+C23*$L$6</f>
        <v>#N/A</v>
      </c>
      <c r="E23" s="1061"/>
      <c r="F23" s="1061"/>
      <c r="G23" s="1056" t="s">
        <v>370</v>
      </c>
      <c r="H23" s="1057" t="s">
        <v>2665</v>
      </c>
      <c r="I23" s="1058" t="e">
        <f>VLOOKUP(H19,'LƯƠNG KT'!$D$15:$R$94,24,0)</f>
        <v>#N/A</v>
      </c>
      <c r="J23" s="1059" t="e">
        <f>+I23*$L$6</f>
        <v>#N/A</v>
      </c>
      <c r="K23" s="1056" t="s">
        <v>2681</v>
      </c>
      <c r="L23" s="1057" t="s">
        <v>2682</v>
      </c>
      <c r="M23" s="1085">
        <f>425*50</f>
        <v>21250</v>
      </c>
      <c r="N23" s="1085"/>
      <c r="O23" s="1085"/>
    </row>
    <row r="24" spans="1:15" ht="15" customHeight="1">
      <c r="A24" s="1056" t="s">
        <v>2666</v>
      </c>
      <c r="B24" s="1057" t="s">
        <v>2667</v>
      </c>
      <c r="C24" s="1058" t="e">
        <f>VLOOKUP(B19,'LƯƠNG KT'!$D$15:$R$94,19,0)</f>
        <v>#N/A</v>
      </c>
      <c r="D24" s="1059" t="e">
        <f>+C24*$L$8</f>
        <v>#N/A</v>
      </c>
      <c r="E24" s="1061"/>
      <c r="F24" s="1061"/>
      <c r="G24" s="1056" t="s">
        <v>2666</v>
      </c>
      <c r="H24" s="1057" t="s">
        <v>2667</v>
      </c>
      <c r="I24" s="1058" t="e">
        <f>VLOOKUP(H19,'LƯƠNG KT'!$D$15:$R$94,19,0)</f>
        <v>#N/A</v>
      </c>
      <c r="J24" s="1059" t="e">
        <f>+I24*$L$8</f>
        <v>#N/A</v>
      </c>
      <c r="K24" s="1056" t="s">
        <v>2683</v>
      </c>
      <c r="L24" s="1057" t="s">
        <v>2684</v>
      </c>
      <c r="M24" s="1085">
        <f t="shared" ref="M24:M25" si="1">425*50</f>
        <v>21250</v>
      </c>
      <c r="N24" s="1085"/>
      <c r="O24" s="1085"/>
    </row>
    <row r="25" spans="1:15" ht="15" customHeight="1">
      <c r="A25" s="1056" t="s">
        <v>2668</v>
      </c>
      <c r="B25" s="1062" t="s">
        <v>2669</v>
      </c>
      <c r="C25" s="1058" t="e">
        <f>VLOOKUP(B19,'LƯƠNG KT'!$D$15:$R$94,20,0)</f>
        <v>#N/A</v>
      </c>
      <c r="D25" s="1059" t="e">
        <f>+C25*$L$9</f>
        <v>#N/A</v>
      </c>
      <c r="E25" s="1061"/>
      <c r="F25" s="1061"/>
      <c r="G25" s="1056" t="s">
        <v>2680</v>
      </c>
      <c r="H25" s="1057" t="s">
        <v>2669</v>
      </c>
      <c r="I25" s="1058" t="e">
        <f>VLOOKUP(H19,'LƯƠNG KT'!$D$15:$R$94,20,0)</f>
        <v>#N/A</v>
      </c>
      <c r="J25" s="1059" t="e">
        <f>+I25*$L$9</f>
        <v>#N/A</v>
      </c>
      <c r="K25" s="1056" t="s">
        <v>374</v>
      </c>
      <c r="L25" s="1057" t="s">
        <v>2674</v>
      </c>
      <c r="M25" s="1085">
        <f t="shared" si="1"/>
        <v>21250</v>
      </c>
      <c r="N25" s="1085"/>
      <c r="O25" s="1085"/>
    </row>
    <row r="26" spans="1:15" ht="15" customHeight="1">
      <c r="A26" s="1056" t="s">
        <v>2671</v>
      </c>
      <c r="B26" s="1057" t="s">
        <v>2672</v>
      </c>
      <c r="C26" s="1058" t="e">
        <f>VLOOKUP(B19,'LƯƠNG KT'!$D$15:$R$94,17,0)</f>
        <v>#N/A</v>
      </c>
      <c r="D26" s="1059" t="e">
        <f>+C26*$L$10</f>
        <v>#N/A</v>
      </c>
      <c r="E26" s="1061"/>
      <c r="F26" s="1061"/>
      <c r="G26" s="1056" t="s">
        <v>2671</v>
      </c>
      <c r="H26" s="1057" t="s">
        <v>2672</v>
      </c>
      <c r="I26" s="1058" t="e">
        <f>VLOOKUP(H19,'LƯƠNG KT'!$D$15:$R$94,17,0)</f>
        <v>#N/A</v>
      </c>
      <c r="J26" s="1059" t="e">
        <f>+I26*$L$10</f>
        <v>#N/A</v>
      </c>
      <c r="K26" s="1056" t="s">
        <v>2675</v>
      </c>
      <c r="L26" s="1057" t="s">
        <v>2676</v>
      </c>
      <c r="M26" s="1085"/>
      <c r="N26" s="1085"/>
      <c r="O26" s="1085"/>
    </row>
    <row r="27" spans="1:15" ht="15" customHeight="1">
      <c r="A27" s="1056" t="s">
        <v>374</v>
      </c>
      <c r="B27" s="1057" t="s">
        <v>2674</v>
      </c>
      <c r="C27" s="1058" t="e">
        <f>VLOOKUP(B19,'LƯƠNG KT'!$D$15:$R$94,12,0)</f>
        <v>#N/A</v>
      </c>
      <c r="D27" s="1059" t="e">
        <f>VLOOKUP(B19,'LƯƠNG KT'!$D$15:$R$94,14,0)</f>
        <v>#N/A</v>
      </c>
      <c r="E27" s="1063"/>
      <c r="F27" s="1061"/>
      <c r="G27" s="1052" t="s">
        <v>374</v>
      </c>
      <c r="H27" s="1057" t="s">
        <v>2674</v>
      </c>
      <c r="I27" s="1058" t="e">
        <f>VLOOKUP(H19,'LƯƠNG KT'!$D$15:$R$94,12,0)</f>
        <v>#N/A</v>
      </c>
      <c r="J27" s="1059" t="e">
        <f>VLOOKUP(H19,'LƯƠNG KT'!$D$15:$R$94,14,0)+(I21+I22+I24+I25)*20000</f>
        <v>#N/A</v>
      </c>
      <c r="K27" s="1085"/>
      <c r="L27" s="1085"/>
      <c r="M27" s="1085"/>
      <c r="N27" s="1085"/>
      <c r="O27" s="1085"/>
    </row>
    <row r="28" spans="1:15" ht="15" customHeight="1">
      <c r="A28" s="1056" t="s">
        <v>2675</v>
      </c>
      <c r="B28" s="1057" t="s">
        <v>2676</v>
      </c>
      <c r="D28" s="1064" t="e">
        <f>VLOOKUP(B19,'LƯƠNG KT'!$D$15:$R$94,13,0)</f>
        <v>#N/A</v>
      </c>
      <c r="E28" s="1065"/>
      <c r="F28" s="1065"/>
      <c r="G28" s="1056" t="s">
        <v>2675</v>
      </c>
      <c r="H28" s="1057" t="s">
        <v>2676</v>
      </c>
      <c r="J28" s="1064" t="e">
        <f>VLOOKUP(H19,'LƯƠNG KT'!$D$15:$R$94,13,0)</f>
        <v>#N/A</v>
      </c>
    </row>
    <row r="29" spans="1:15" ht="15" customHeight="1">
      <c r="A29" s="1066"/>
      <c r="B29" s="869"/>
      <c r="C29" s="1058"/>
      <c r="D29" s="1059"/>
      <c r="E29" s="1063"/>
      <c r="F29" s="1065"/>
      <c r="G29" s="1066"/>
      <c r="H29" s="869"/>
      <c r="I29" s="1058"/>
      <c r="J29" s="1059"/>
      <c r="M29" s="1045">
        <f>425+9</f>
        <v>434</v>
      </c>
      <c r="N29" s="1045">
        <f>+M29*20</f>
        <v>8680</v>
      </c>
    </row>
    <row r="30" spans="1:15" ht="15" customHeight="1">
      <c r="A30" s="1052"/>
      <c r="B30" s="869"/>
      <c r="C30" s="1058"/>
      <c r="D30" s="1059"/>
      <c r="E30" s="1067"/>
      <c r="F30" s="1051"/>
      <c r="G30" s="1052"/>
      <c r="H30" s="869"/>
      <c r="I30" s="1058"/>
      <c r="J30" s="1059"/>
      <c r="M30" s="1045">
        <f>+M29*50</f>
        <v>21700</v>
      </c>
    </row>
    <row r="31" spans="1:15" ht="15" customHeight="1">
      <c r="A31" s="1068" t="s">
        <v>383</v>
      </c>
      <c r="B31" s="1069" t="s">
        <v>384</v>
      </c>
      <c r="C31" s="1070"/>
      <c r="D31" s="1071" t="e">
        <f>SUM(D20:D27)-D30</f>
        <v>#N/A</v>
      </c>
      <c r="E31" s="1072"/>
      <c r="F31" s="1073"/>
      <c r="G31" s="1068" t="s">
        <v>383</v>
      </c>
      <c r="H31" s="1069" t="s">
        <v>384</v>
      </c>
      <c r="I31" s="1070"/>
      <c r="J31" s="1071" t="e">
        <f>SUM(J20:J27)-J30</f>
        <v>#N/A</v>
      </c>
    </row>
    <row r="32" spans="1:15" ht="18.75" customHeight="1">
      <c r="A32" s="1074"/>
      <c r="B32" s="1075"/>
      <c r="C32" s="1076"/>
      <c r="D32" s="1077"/>
      <c r="E32" s="1077"/>
      <c r="F32" s="1078"/>
      <c r="G32" s="1074"/>
      <c r="H32" s="1075"/>
      <c r="I32" s="1076"/>
      <c r="J32" s="1077"/>
    </row>
    <row r="33" spans="1:15" ht="18.75" customHeight="1">
      <c r="A33" s="1075"/>
      <c r="B33" s="1075"/>
      <c r="C33" s="1079"/>
      <c r="D33" s="1080"/>
      <c r="E33" s="1075"/>
      <c r="F33" s="1081"/>
      <c r="G33" s="1075"/>
      <c r="H33" s="1075"/>
      <c r="I33" s="1079"/>
      <c r="J33" s="1080"/>
    </row>
    <row r="34" spans="1:15" ht="15" customHeight="1">
      <c r="A34" s="2242" t="str">
        <f>$K$2</f>
        <v>THÁNG 04/2025</v>
      </c>
      <c r="B34" s="2242"/>
      <c r="C34" s="2242"/>
      <c r="D34" s="2242"/>
      <c r="E34" s="1050"/>
      <c r="F34" s="1051"/>
      <c r="G34" s="2242" t="str">
        <f>$K$2</f>
        <v>THÁNG 04/2025</v>
      </c>
      <c r="H34" s="2242"/>
      <c r="I34" s="2242"/>
      <c r="J34" s="2242"/>
      <c r="K34" s="624"/>
      <c r="M34" s="1045">
        <v>4250</v>
      </c>
    </row>
    <row r="35" spans="1:15" ht="15" customHeight="1">
      <c r="A35" s="1052" t="s">
        <v>356</v>
      </c>
      <c r="B35" s="1053" t="s">
        <v>387</v>
      </c>
      <c r="C35" s="869"/>
      <c r="D35" s="1049"/>
      <c r="E35" s="1054"/>
      <c r="F35" s="1055"/>
      <c r="G35" s="1052" t="s">
        <v>356</v>
      </c>
      <c r="H35" s="1053" t="s">
        <v>388</v>
      </c>
      <c r="I35" s="869"/>
      <c r="J35" s="1049"/>
      <c r="L35" s="1088"/>
      <c r="M35" s="1088">
        <f>+M34+8500</f>
        <v>12750</v>
      </c>
      <c r="N35" s="1088"/>
      <c r="O35" s="1088"/>
    </row>
    <row r="36" spans="1:15" ht="15" customHeight="1">
      <c r="A36" s="1056" t="s">
        <v>359</v>
      </c>
      <c r="B36" s="1057" t="s">
        <v>2662</v>
      </c>
      <c r="C36" s="1058" t="e">
        <f>VLOOKUP(B35,'LƯƠNG KT'!$D$15:$R$94,4,0)</f>
        <v>#N/A</v>
      </c>
      <c r="D36" s="1059" t="e">
        <f>+C36*25000</f>
        <v>#N/A</v>
      </c>
      <c r="E36" s="1060"/>
      <c r="F36" s="1060"/>
      <c r="G36" s="1056" t="s">
        <v>359</v>
      </c>
      <c r="H36" s="1057" t="s">
        <v>2662</v>
      </c>
      <c r="I36" s="1058" t="e">
        <f>VLOOKUP(H35,'LƯƠNG KT'!$D$15:$R$94,4,0)</f>
        <v>#N/A</v>
      </c>
      <c r="J36" s="1059" t="e">
        <f>+I36*25000</f>
        <v>#N/A</v>
      </c>
      <c r="K36" s="1085"/>
      <c r="L36" s="1085"/>
      <c r="M36" s="1085" t="s">
        <v>2685</v>
      </c>
      <c r="N36" s="1085"/>
      <c r="O36" s="1085"/>
    </row>
    <row r="37" spans="1:15" ht="15" customHeight="1">
      <c r="A37" s="1056" t="s">
        <v>361</v>
      </c>
      <c r="B37" s="1057" t="s">
        <v>2663</v>
      </c>
      <c r="C37" s="1058" t="e">
        <f>VLOOKUP(B35,'LƯƠNG KT'!$D$15:$R$94,15,0)</f>
        <v>#N/A</v>
      </c>
      <c r="D37" s="1059" t="e">
        <f>C37*$L$4</f>
        <v>#N/A</v>
      </c>
      <c r="E37" s="1061"/>
      <c r="F37" s="1061"/>
      <c r="G37" s="1056" t="s">
        <v>361</v>
      </c>
      <c r="H37" s="1057" t="s">
        <v>2663</v>
      </c>
      <c r="I37" s="1058" t="e">
        <f>VLOOKUP(H35,'LƯƠNG KT'!$D$15:$R$94,15,0)</f>
        <v>#N/A</v>
      </c>
      <c r="J37" s="1059" t="e">
        <f>I37*$L$4</f>
        <v>#N/A</v>
      </c>
      <c r="K37" s="1085"/>
      <c r="L37" s="1085"/>
      <c r="M37" s="1085"/>
      <c r="N37" s="1085"/>
      <c r="O37" s="1085"/>
    </row>
    <row r="38" spans="1:15" ht="15" customHeight="1">
      <c r="A38" s="1056" t="s">
        <v>364</v>
      </c>
      <c r="B38" s="1057" t="s">
        <v>2664</v>
      </c>
      <c r="C38" s="1058" t="e">
        <f>VLOOKUP(B35,'LƯƠNG KT'!$D$15:$R$94,16,0)</f>
        <v>#N/A</v>
      </c>
      <c r="D38" s="1059" t="e">
        <f>C38*$L$5</f>
        <v>#N/A</v>
      </c>
      <c r="E38" s="1061"/>
      <c r="F38" s="1061"/>
      <c r="G38" s="1056" t="s">
        <v>364</v>
      </c>
      <c r="H38" s="1057" t="s">
        <v>2664</v>
      </c>
      <c r="I38" s="1058" t="e">
        <f>VLOOKUP(H35,'LƯƠNG KT'!$D$15:$R$94,16,0)</f>
        <v>#N/A</v>
      </c>
      <c r="J38" s="1059" t="e">
        <f>I38*$L$5</f>
        <v>#N/A</v>
      </c>
      <c r="K38" s="1085"/>
      <c r="L38" s="1085"/>
      <c r="M38" s="1085"/>
      <c r="N38" s="1085"/>
      <c r="O38" s="1085"/>
    </row>
    <row r="39" spans="1:15" ht="15" customHeight="1">
      <c r="A39" s="1056" t="s">
        <v>370</v>
      </c>
      <c r="B39" s="1057" t="s">
        <v>2665</v>
      </c>
      <c r="C39" s="1058" t="e">
        <f>VLOOKUP(B35,'LƯƠNG KT'!$D$15:$R$94,24,0)</f>
        <v>#N/A</v>
      </c>
      <c r="D39" s="1059" t="e">
        <f>+C39*$L$6</f>
        <v>#N/A</v>
      </c>
      <c r="E39" s="1061"/>
      <c r="F39" s="1061"/>
      <c r="G39" s="1056" t="s">
        <v>370</v>
      </c>
      <c r="H39" s="1057" t="s">
        <v>2665</v>
      </c>
      <c r="I39" s="1058" t="e">
        <f>VLOOKUP(H35,'LƯƠNG KT'!$D$15:$R$94,24,0)</f>
        <v>#N/A</v>
      </c>
      <c r="J39" s="1059" t="e">
        <f>+I39*$L$6</f>
        <v>#N/A</v>
      </c>
      <c r="K39" s="1085"/>
      <c r="L39" s="1085"/>
      <c r="M39" s="1085"/>
      <c r="N39" s="1085"/>
      <c r="O39" s="1085"/>
    </row>
    <row r="40" spans="1:15" ht="15" customHeight="1">
      <c r="A40" s="1056" t="s">
        <v>2666</v>
      </c>
      <c r="B40" s="1057" t="s">
        <v>2667</v>
      </c>
      <c r="C40" s="1058" t="e">
        <f>VLOOKUP(B35,'LƯƠNG KT'!$D$15:$R$94,19,0)</f>
        <v>#N/A</v>
      </c>
      <c r="D40" s="1059" t="e">
        <f>+C40*$L$8</f>
        <v>#N/A</v>
      </c>
      <c r="E40" s="1061"/>
      <c r="F40" s="1061"/>
      <c r="G40" s="1056" t="s">
        <v>2666</v>
      </c>
      <c r="H40" s="1057" t="s">
        <v>2667</v>
      </c>
      <c r="I40" s="1058" t="e">
        <f>VLOOKUP(H35,'LƯƠNG KT'!$D$15:$R$94,19,0)</f>
        <v>#N/A</v>
      </c>
      <c r="J40" s="1059" t="e">
        <f>+I40*$L$8</f>
        <v>#N/A</v>
      </c>
      <c r="K40" s="1085"/>
      <c r="L40" s="1085"/>
      <c r="M40" s="1085"/>
      <c r="N40" s="1085"/>
      <c r="O40" s="1085"/>
    </row>
    <row r="41" spans="1:15" ht="15" customHeight="1">
      <c r="A41" s="1056" t="s">
        <v>2680</v>
      </c>
      <c r="B41" s="1057" t="s">
        <v>2669</v>
      </c>
      <c r="C41" s="1058" t="e">
        <f>VLOOKUP(B35,'LƯƠNG KT'!$D$15:$R$94,20,0)</f>
        <v>#N/A</v>
      </c>
      <c r="D41" s="1059" t="e">
        <f>+C41*$L$9</f>
        <v>#N/A</v>
      </c>
      <c r="E41" s="1061"/>
      <c r="F41" s="1061"/>
      <c r="G41" s="1056" t="s">
        <v>2668</v>
      </c>
      <c r="H41" s="1062" t="s">
        <v>2669</v>
      </c>
      <c r="I41" s="1058" t="e">
        <f>VLOOKUP(H35,'LƯƠNG KT'!$D$15:$R$94,20,0)</f>
        <v>#N/A</v>
      </c>
      <c r="J41" s="1059" t="e">
        <f>+I41*$L$9</f>
        <v>#N/A</v>
      </c>
      <c r="K41" s="1085"/>
      <c r="L41" s="1085"/>
      <c r="M41" s="1085"/>
      <c r="N41" s="1085"/>
      <c r="O41" s="1085"/>
    </row>
    <row r="42" spans="1:15" ht="15" customHeight="1">
      <c r="A42" s="1056" t="s">
        <v>2671</v>
      </c>
      <c r="B42" s="1057" t="s">
        <v>2672</v>
      </c>
      <c r="C42" s="1058" t="e">
        <f>VLOOKUP(B35,'LƯƠNG KT'!$D$15:$R$94,17,0)</f>
        <v>#N/A</v>
      </c>
      <c r="D42" s="1059" t="e">
        <f>+C42*$L$10</f>
        <v>#N/A</v>
      </c>
      <c r="E42" s="1061"/>
      <c r="F42" s="1061"/>
      <c r="G42" s="1056" t="s">
        <v>2671</v>
      </c>
      <c r="H42" s="1057" t="s">
        <v>2672</v>
      </c>
      <c r="I42" s="1058" t="e">
        <f>VLOOKUP(H35,'LƯƠNG KT'!$D$15:$R$94,17,0)</f>
        <v>#N/A</v>
      </c>
      <c r="J42" s="1059" t="e">
        <f>+I42*$L$10</f>
        <v>#N/A</v>
      </c>
      <c r="K42" s="1085"/>
      <c r="L42" s="1085"/>
      <c r="M42" s="1085"/>
      <c r="N42" s="1085"/>
      <c r="O42" s="1085"/>
    </row>
    <row r="43" spans="1:15" ht="15" customHeight="1">
      <c r="A43" s="1052" t="s">
        <v>374</v>
      </c>
      <c r="B43" s="1057" t="s">
        <v>2674</v>
      </c>
      <c r="C43" s="1058" t="e">
        <f>VLOOKUP(B35,'LƯƠNG KT'!$D$15:$R$94,12,0)</f>
        <v>#N/A</v>
      </c>
      <c r="D43" s="1059" t="e">
        <f>VLOOKUP(B35,'LƯƠNG KT'!$D$15:$R$94,14,0)+(C37+C38+C40+C41)*20000</f>
        <v>#N/A</v>
      </c>
      <c r="E43" s="1063"/>
      <c r="F43" s="1061"/>
      <c r="G43" s="1056" t="s">
        <v>374</v>
      </c>
      <c r="H43" s="1057" t="s">
        <v>2674</v>
      </c>
      <c r="I43" s="1058" t="e">
        <f>VLOOKUP(H35,'LƯƠNG KT'!$D$15:$R$94,12,0)</f>
        <v>#N/A</v>
      </c>
      <c r="J43" s="1059" t="e">
        <f>VLOOKUP(H35,'LƯƠNG KT'!$D$15:$R$94,14,0)</f>
        <v>#N/A</v>
      </c>
      <c r="K43" s="1085"/>
      <c r="L43" s="1085"/>
      <c r="M43" s="1085"/>
      <c r="N43" s="1085"/>
      <c r="O43" s="1085"/>
    </row>
    <row r="44" spans="1:15" ht="15" customHeight="1">
      <c r="A44" s="1056" t="s">
        <v>2675</v>
      </c>
      <c r="B44" s="1057" t="s">
        <v>2676</v>
      </c>
      <c r="D44" s="1064" t="e">
        <f>VLOOKUP(B35,'LƯƠNG KT'!$D$15:$R$94,13,0)</f>
        <v>#N/A</v>
      </c>
      <c r="E44" s="1065"/>
      <c r="F44" s="1065"/>
      <c r="G44" s="1056" t="s">
        <v>2675</v>
      </c>
      <c r="H44" s="1057" t="s">
        <v>2676</v>
      </c>
      <c r="J44" s="1064" t="e">
        <f>VLOOKUP(H35,'LƯƠNG KT'!$D$15:$R$94,13,0)</f>
        <v>#N/A</v>
      </c>
    </row>
    <row r="45" spans="1:15" ht="15" customHeight="1">
      <c r="A45" s="1066"/>
      <c r="B45" s="869"/>
      <c r="C45" s="1058"/>
      <c r="D45" s="1059"/>
      <c r="E45" s="1063"/>
      <c r="F45" s="1065"/>
      <c r="G45" s="1066"/>
      <c r="H45" s="869"/>
      <c r="I45" s="1058"/>
      <c r="J45" s="1059"/>
    </row>
    <row r="46" spans="1:15" ht="15" customHeight="1">
      <c r="A46" s="1052"/>
      <c r="B46" s="869"/>
      <c r="C46" s="1058"/>
      <c r="D46" s="1059"/>
      <c r="E46" s="1067"/>
      <c r="F46" s="1051"/>
      <c r="G46" s="1052"/>
      <c r="H46" s="869"/>
      <c r="I46" s="1058"/>
      <c r="J46" s="1059"/>
    </row>
    <row r="47" spans="1:15" ht="15" customHeight="1">
      <c r="A47" s="1068" t="s">
        <v>383</v>
      </c>
      <c r="B47" s="1069" t="s">
        <v>384</v>
      </c>
      <c r="C47" s="1070"/>
      <c r="D47" s="1071" t="e">
        <f>SUM(D36:D43)-D46</f>
        <v>#N/A</v>
      </c>
      <c r="E47" s="1072"/>
      <c r="F47" s="1073"/>
      <c r="G47" s="1068" t="s">
        <v>383</v>
      </c>
      <c r="H47" s="1069" t="s">
        <v>384</v>
      </c>
      <c r="I47" s="1070"/>
      <c r="J47" s="1071" t="e">
        <f>SUM(J36:J43)-J46</f>
        <v>#N/A</v>
      </c>
    </row>
    <row r="48" spans="1:15" ht="18.75" customHeight="1">
      <c r="A48" s="1074"/>
      <c r="B48" s="1075"/>
      <c r="C48" s="1076"/>
      <c r="D48" s="1077"/>
      <c r="E48" s="1077"/>
      <c r="F48" s="1078"/>
      <c r="G48" s="1074"/>
      <c r="H48" s="1075"/>
      <c r="I48" s="1076"/>
      <c r="J48" s="1077"/>
    </row>
    <row r="49" spans="1:15" ht="18.75" customHeight="1">
      <c r="A49" s="1074"/>
      <c r="B49" s="1075"/>
      <c r="C49" s="1076"/>
      <c r="D49" s="1077"/>
      <c r="E49" s="1077"/>
      <c r="F49" s="1078"/>
      <c r="G49" s="1074"/>
      <c r="H49" s="1075"/>
      <c r="I49" s="1076"/>
      <c r="J49" s="1077"/>
    </row>
    <row r="50" spans="1:15" ht="18.75" customHeight="1">
      <c r="A50" s="1074"/>
      <c r="B50" s="1075"/>
      <c r="C50" s="1076"/>
      <c r="D50" s="1077"/>
      <c r="E50" s="1077"/>
      <c r="F50" s="1078"/>
      <c r="G50" s="1074"/>
      <c r="H50" s="1075"/>
      <c r="I50" s="1076"/>
      <c r="J50" s="1077"/>
    </row>
    <row r="51" spans="1:15" ht="18.75" customHeight="1">
      <c r="A51" s="1074"/>
      <c r="B51" s="1075"/>
      <c r="C51" s="1076"/>
      <c r="D51" s="1077"/>
      <c r="E51" s="1077"/>
      <c r="F51" s="1078"/>
      <c r="G51" s="1074"/>
      <c r="H51" s="1075"/>
      <c r="I51" s="1076"/>
      <c r="J51" s="1077"/>
    </row>
    <row r="52" spans="1:15" ht="18.75" customHeight="1">
      <c r="A52" s="1074"/>
      <c r="B52" s="1075"/>
      <c r="C52" s="1076"/>
      <c r="D52" s="1077"/>
      <c r="E52" s="1077"/>
      <c r="F52" s="1078"/>
      <c r="G52" s="1074"/>
      <c r="H52" s="1075"/>
      <c r="I52" s="1076"/>
      <c r="J52" s="1077"/>
    </row>
    <row r="53" spans="1:15" ht="18.75" customHeight="1">
      <c r="A53" s="1074"/>
      <c r="B53" s="1075"/>
      <c r="C53" s="1076"/>
      <c r="D53" s="1077"/>
      <c r="E53" s="1077"/>
      <c r="F53" s="1078"/>
      <c r="G53" s="1074"/>
      <c r="H53" s="1075"/>
      <c r="I53" s="1076"/>
      <c r="J53" s="1077"/>
    </row>
    <row r="54" spans="1:15" ht="18.75" customHeight="1">
      <c r="A54" s="1074"/>
      <c r="B54" s="1075"/>
      <c r="C54" s="1076"/>
      <c r="D54" s="1077"/>
      <c r="E54" s="1077"/>
      <c r="F54" s="1078"/>
      <c r="G54" s="1074"/>
      <c r="H54" s="1075"/>
      <c r="I54" s="1076"/>
      <c r="J54" s="1077"/>
    </row>
    <row r="55" spans="1:15" ht="18.75" customHeight="1">
      <c r="A55" s="1074"/>
      <c r="B55" s="1075"/>
      <c r="C55" s="1076"/>
      <c r="D55" s="1077"/>
      <c r="E55" s="1077"/>
      <c r="F55" s="1078"/>
      <c r="G55" s="1074"/>
      <c r="H55" s="1075"/>
      <c r="I55" s="1076"/>
      <c r="J55" s="1077"/>
    </row>
    <row r="56" spans="1:15" ht="15" customHeight="1">
      <c r="A56" s="2242" t="str">
        <f>$K$2</f>
        <v>THÁNG 04/2025</v>
      </c>
      <c r="B56" s="2242"/>
      <c r="C56" s="2242"/>
      <c r="D56" s="2242"/>
      <c r="E56" s="1050"/>
      <c r="F56" s="1051"/>
      <c r="G56" s="2242" t="str">
        <f>$K$2</f>
        <v>THÁNG 04/2025</v>
      </c>
      <c r="H56" s="2242"/>
      <c r="I56" s="2242"/>
      <c r="J56" s="2242"/>
      <c r="K56" s="624"/>
    </row>
    <row r="57" spans="1:15" ht="15" customHeight="1">
      <c r="A57" s="1052" t="s">
        <v>356</v>
      </c>
      <c r="B57" s="1053" t="s">
        <v>389</v>
      </c>
      <c r="C57" s="869"/>
      <c r="D57" s="1049"/>
      <c r="E57" s="1054"/>
      <c r="F57" s="1055"/>
      <c r="G57" s="1052" t="s">
        <v>356</v>
      </c>
      <c r="H57" s="1053" t="s">
        <v>1937</v>
      </c>
      <c r="I57" s="869"/>
      <c r="J57" s="1049"/>
      <c r="L57" s="1088"/>
      <c r="M57" s="1088"/>
      <c r="N57" s="1088"/>
      <c r="O57" s="1088"/>
    </row>
    <row r="58" spans="1:15" ht="15" customHeight="1">
      <c r="A58" s="1056" t="s">
        <v>359</v>
      </c>
      <c r="B58" s="1057" t="s">
        <v>2662</v>
      </c>
      <c r="C58" s="1058" t="e">
        <f>VLOOKUP(B57,'LƯƠNG KT'!$D$15:$R$94,4,0)</f>
        <v>#N/A</v>
      </c>
      <c r="D58" s="1059" t="e">
        <f>+C58*25000</f>
        <v>#N/A</v>
      </c>
      <c r="E58" s="1060"/>
      <c r="F58" s="1060"/>
      <c r="G58" s="1056" t="s">
        <v>359</v>
      </c>
      <c r="H58" s="1057" t="s">
        <v>2662</v>
      </c>
      <c r="I58" s="1058" t="e">
        <f>VLOOKUP(H57,'LƯƠNG KT'!$D$15:$R$94,4,0)</f>
        <v>#N/A</v>
      </c>
      <c r="J58" s="1059" t="e">
        <f>+I58*25000</f>
        <v>#N/A</v>
      </c>
      <c r="K58" s="1085"/>
      <c r="L58" s="1085"/>
      <c r="M58" s="1085"/>
      <c r="N58" s="1085"/>
      <c r="O58" s="1085"/>
    </row>
    <row r="59" spans="1:15" ht="15" customHeight="1">
      <c r="A59" s="1056" t="s">
        <v>361</v>
      </c>
      <c r="B59" s="1057" t="s">
        <v>2663</v>
      </c>
      <c r="C59" s="1058" t="e">
        <f>VLOOKUP(B57,'LƯƠNG KT'!$D$15:$R$94,15,0)</f>
        <v>#N/A</v>
      </c>
      <c r="D59" s="1059" t="e">
        <f>C59*$L$4</f>
        <v>#N/A</v>
      </c>
      <c r="E59" s="1061"/>
      <c r="F59" s="1061"/>
      <c r="G59" s="1056" t="s">
        <v>361</v>
      </c>
      <c r="H59" s="1057" t="s">
        <v>2663</v>
      </c>
      <c r="I59" s="1058" t="e">
        <f>VLOOKUP(H57,'LƯƠNG KT'!$D$15:$R$94,15,0)</f>
        <v>#N/A</v>
      </c>
      <c r="J59" s="1059" t="e">
        <f>I59*$L$4</f>
        <v>#N/A</v>
      </c>
      <c r="K59" s="1085"/>
      <c r="L59" s="1085"/>
      <c r="M59" s="1085"/>
      <c r="N59" s="1085"/>
      <c r="O59" s="1085"/>
    </row>
    <row r="60" spans="1:15" ht="15" customHeight="1">
      <c r="A60" s="1056" t="s">
        <v>364</v>
      </c>
      <c r="B60" s="1057" t="s">
        <v>2664</v>
      </c>
      <c r="C60" s="1058" t="e">
        <f>VLOOKUP(B57,'LƯƠNG KT'!$D$15:$R$94,16,0)</f>
        <v>#N/A</v>
      </c>
      <c r="D60" s="1059" t="e">
        <f>C60*$L$5</f>
        <v>#N/A</v>
      </c>
      <c r="E60" s="1061"/>
      <c r="F60" s="1061"/>
      <c r="G60" s="1056" t="s">
        <v>364</v>
      </c>
      <c r="H60" s="1057" t="s">
        <v>2664</v>
      </c>
      <c r="I60" s="1058" t="e">
        <f>VLOOKUP(H57,'LƯƠNG KT'!$D$15:$R$94,16,0)</f>
        <v>#N/A</v>
      </c>
      <c r="J60" s="1059" t="e">
        <f>I60*$L$5</f>
        <v>#N/A</v>
      </c>
      <c r="K60" s="1085"/>
      <c r="L60" s="1085"/>
      <c r="M60" s="1085"/>
      <c r="N60" s="1085"/>
      <c r="O60" s="1085"/>
    </row>
    <row r="61" spans="1:15" ht="15" customHeight="1">
      <c r="A61" s="1056" t="s">
        <v>370</v>
      </c>
      <c r="B61" s="1057" t="s">
        <v>2665</v>
      </c>
      <c r="C61" s="1058" t="e">
        <f>VLOOKUP(B57,'LƯƠNG KT'!$D$15:$R$94,24,0)</f>
        <v>#N/A</v>
      </c>
      <c r="D61" s="1059" t="e">
        <f>+C61*$L$6</f>
        <v>#N/A</v>
      </c>
      <c r="E61" s="1061"/>
      <c r="F61" s="1061"/>
      <c r="G61" s="1056" t="s">
        <v>370</v>
      </c>
      <c r="H61" s="1057" t="s">
        <v>2665</v>
      </c>
      <c r="I61" s="1058" t="e">
        <f>VLOOKUP(H57,'LƯƠNG KT'!$D$15:$R$94,24,0)</f>
        <v>#N/A</v>
      </c>
      <c r="J61" s="1059" t="e">
        <f>+I61*$L$6</f>
        <v>#N/A</v>
      </c>
      <c r="K61" s="1085"/>
      <c r="L61" s="1085"/>
      <c r="M61" s="1085"/>
      <c r="N61" s="1085"/>
      <c r="O61" s="1085"/>
    </row>
    <row r="62" spans="1:15" ht="15" customHeight="1">
      <c r="A62" s="1056" t="s">
        <v>2666</v>
      </c>
      <c r="B62" s="1057" t="s">
        <v>2667</v>
      </c>
      <c r="C62" s="1058" t="e">
        <f>VLOOKUP(B57,'LƯƠNG KT'!$D$15:$R$94,19,0)</f>
        <v>#N/A</v>
      </c>
      <c r="D62" s="1059" t="e">
        <f>+C62*$L$8</f>
        <v>#N/A</v>
      </c>
      <c r="E62" s="1061"/>
      <c r="F62" s="1061"/>
      <c r="G62" s="1056" t="s">
        <v>2666</v>
      </c>
      <c r="H62" s="1057" t="s">
        <v>2667</v>
      </c>
      <c r="I62" s="1058" t="e">
        <f>VLOOKUP(H57,'LƯƠNG KT'!$D$15:$R$94,19,0)</f>
        <v>#N/A</v>
      </c>
      <c r="J62" s="1059" t="e">
        <f>+I62*$L$8</f>
        <v>#N/A</v>
      </c>
      <c r="K62" s="1085"/>
      <c r="L62" s="1085"/>
      <c r="M62" s="1085"/>
      <c r="N62" s="1085"/>
      <c r="O62" s="1085"/>
    </row>
    <row r="63" spans="1:15" ht="15" customHeight="1">
      <c r="A63" s="1056" t="s">
        <v>2668</v>
      </c>
      <c r="B63" s="1062" t="s">
        <v>2669</v>
      </c>
      <c r="C63" s="1058" t="e">
        <f>VLOOKUP(B57,'LƯƠNG KT'!$D$15:$R$94,20,0)</f>
        <v>#N/A</v>
      </c>
      <c r="D63" s="1059" t="e">
        <f>+C63*$L$9</f>
        <v>#N/A</v>
      </c>
      <c r="E63" s="1061"/>
      <c r="F63" s="1061"/>
      <c r="G63" s="1056" t="s">
        <v>2668</v>
      </c>
      <c r="H63" s="1062" t="s">
        <v>2669</v>
      </c>
      <c r="I63" s="1058" t="e">
        <f>VLOOKUP(H57,'LƯƠNG KT'!$D$15:$R$94,20,0)</f>
        <v>#N/A</v>
      </c>
      <c r="J63" s="1059" t="e">
        <f>+I63*$L$9</f>
        <v>#N/A</v>
      </c>
      <c r="K63" s="1085"/>
      <c r="L63" s="1085"/>
      <c r="M63" s="1085"/>
      <c r="N63" s="1085"/>
      <c r="O63" s="1085"/>
    </row>
    <row r="64" spans="1:15" ht="15" customHeight="1">
      <c r="A64" s="1056" t="s">
        <v>2671</v>
      </c>
      <c r="B64" s="1057" t="s">
        <v>2672</v>
      </c>
      <c r="C64" s="1058" t="e">
        <f>VLOOKUP(B57,'LƯƠNG KT'!$D$15:$R$94,17,0)</f>
        <v>#N/A</v>
      </c>
      <c r="D64" s="1059" t="e">
        <f>+C64*$L$10</f>
        <v>#N/A</v>
      </c>
      <c r="E64" s="1061"/>
      <c r="F64" s="1061"/>
      <c r="G64" s="1056" t="s">
        <v>2671</v>
      </c>
      <c r="H64" s="1057" t="s">
        <v>2672</v>
      </c>
      <c r="I64" s="1058" t="e">
        <f>VLOOKUP(H57,'LƯƠNG KT'!$D$15:$R$94,17,0)</f>
        <v>#N/A</v>
      </c>
      <c r="J64" s="1059" t="e">
        <f>+I64*$L$10</f>
        <v>#N/A</v>
      </c>
      <c r="K64" s="1085"/>
      <c r="L64" s="1085"/>
      <c r="M64" s="1085"/>
      <c r="N64" s="1085"/>
      <c r="O64" s="1085"/>
    </row>
    <row r="65" spans="1:15" ht="15" customHeight="1">
      <c r="A65" s="1056" t="s">
        <v>374</v>
      </c>
      <c r="B65" s="1057" t="s">
        <v>2674</v>
      </c>
      <c r="C65" s="1058" t="e">
        <f>VLOOKUP(B57,'LƯƠNG KT'!$D$15:$R$94,12,0)</f>
        <v>#N/A</v>
      </c>
      <c r="D65" s="1059" t="e">
        <f>VLOOKUP(B57,'LƯƠNG KT'!$D$15:$R$94,14,0)</f>
        <v>#N/A</v>
      </c>
      <c r="E65" s="1063"/>
      <c r="F65" s="1061"/>
      <c r="G65" s="1056" t="s">
        <v>374</v>
      </c>
      <c r="H65" s="1057" t="s">
        <v>2674</v>
      </c>
      <c r="I65" s="1058" t="e">
        <f>VLOOKUP(H57,'LƯƠNG KT'!$D$15:$R$94,12,0)</f>
        <v>#N/A</v>
      </c>
      <c r="J65" s="1059" t="e">
        <f>VLOOKUP(H57,'LƯƠNG KT'!$D$15:$R$94,14,0)</f>
        <v>#N/A</v>
      </c>
      <c r="K65" s="1085"/>
      <c r="L65" s="1085"/>
      <c r="M65" s="1085"/>
      <c r="N65" s="1085"/>
      <c r="O65" s="1085"/>
    </row>
    <row r="66" spans="1:15" ht="15" customHeight="1">
      <c r="A66" s="1056" t="s">
        <v>2675</v>
      </c>
      <c r="B66" s="1057" t="s">
        <v>2676</v>
      </c>
      <c r="D66" s="1064" t="e">
        <f>VLOOKUP(B57,'LƯƠNG KT'!$D$15:$R$94,13,0)</f>
        <v>#N/A</v>
      </c>
      <c r="E66" s="1065"/>
      <c r="F66" s="1065"/>
      <c r="G66" s="1056" t="s">
        <v>2675</v>
      </c>
      <c r="H66" s="1057" t="s">
        <v>2676</v>
      </c>
      <c r="J66" s="1064" t="e">
        <f>VLOOKUP(H57,'LƯƠNG KT'!$D$15:$R$94,13,0)</f>
        <v>#N/A</v>
      </c>
    </row>
    <row r="67" spans="1:15" ht="15" customHeight="1">
      <c r="A67" s="1066"/>
      <c r="B67" s="869"/>
      <c r="C67" s="1058"/>
      <c r="D67" s="1059"/>
      <c r="E67" s="1063"/>
      <c r="F67" s="1065"/>
      <c r="G67" s="1066"/>
      <c r="H67" s="869"/>
      <c r="I67" s="1058"/>
      <c r="J67" s="1059"/>
    </row>
    <row r="68" spans="1:15" ht="15" customHeight="1">
      <c r="A68" s="1052"/>
      <c r="B68" s="869"/>
      <c r="C68" s="1058"/>
      <c r="D68" s="1059"/>
      <c r="E68" s="1067"/>
      <c r="F68" s="1051"/>
      <c r="G68" s="1052"/>
      <c r="H68" s="869"/>
      <c r="I68" s="1058"/>
      <c r="J68" s="1059"/>
    </row>
    <row r="69" spans="1:15" ht="15" customHeight="1">
      <c r="A69" s="1068" t="s">
        <v>383</v>
      </c>
      <c r="B69" s="1069" t="s">
        <v>384</v>
      </c>
      <c r="C69" s="1070"/>
      <c r="D69" s="1071" t="e">
        <f>SUM(D58:D65)-D68</f>
        <v>#N/A</v>
      </c>
      <c r="E69" s="1072"/>
      <c r="F69" s="1073"/>
      <c r="G69" s="1068" t="s">
        <v>383</v>
      </c>
      <c r="H69" s="1069" t="s">
        <v>384</v>
      </c>
      <c r="I69" s="1070"/>
      <c r="J69" s="1071" t="e">
        <f>SUM(J58:J65)-J68</f>
        <v>#N/A</v>
      </c>
    </row>
    <row r="70" spans="1:15" ht="15.75" customHeight="1">
      <c r="A70" s="1074"/>
      <c r="B70" s="1075"/>
      <c r="C70" s="1076"/>
      <c r="D70" s="1077"/>
      <c r="E70" s="1077"/>
      <c r="F70" s="1078"/>
      <c r="G70" s="1074"/>
      <c r="H70" s="1075"/>
      <c r="I70" s="1076"/>
      <c r="J70" s="1077"/>
    </row>
    <row r="72" spans="1:15" ht="12" customHeight="1">
      <c r="A72" s="2243"/>
      <c r="B72" s="2243"/>
      <c r="C72" s="2243"/>
      <c r="D72" s="2243"/>
      <c r="E72" s="2243"/>
      <c r="F72" s="2243"/>
      <c r="G72" s="2243"/>
      <c r="H72" s="2243"/>
      <c r="I72" s="2243"/>
      <c r="J72" s="2243"/>
    </row>
    <row r="73" spans="1:15" ht="15" customHeight="1">
      <c r="A73" s="2242" t="str">
        <f>$K$2</f>
        <v>THÁNG 04/2025</v>
      </c>
      <c r="B73" s="2242"/>
      <c r="C73" s="2242"/>
      <c r="D73" s="2242"/>
      <c r="E73" s="1050"/>
      <c r="F73" s="1051"/>
      <c r="G73" s="2242" t="str">
        <f>$K$2</f>
        <v>THÁNG 04/2025</v>
      </c>
      <c r="H73" s="2242"/>
      <c r="I73" s="2242"/>
      <c r="J73" s="2242"/>
      <c r="K73" s="624"/>
    </row>
    <row r="74" spans="1:15" ht="15" customHeight="1">
      <c r="A74" s="1052" t="s">
        <v>356</v>
      </c>
      <c r="B74" s="1053" t="s">
        <v>391</v>
      </c>
      <c r="C74" s="869"/>
      <c r="D74" s="1049"/>
      <c r="E74" s="1054"/>
      <c r="F74" s="1055"/>
      <c r="G74" s="1052" t="s">
        <v>356</v>
      </c>
      <c r="H74" s="1053" t="s">
        <v>392</v>
      </c>
      <c r="I74" s="869"/>
      <c r="J74" s="1049"/>
      <c r="L74" s="1088"/>
      <c r="M74" s="1088"/>
      <c r="N74" s="1088"/>
      <c r="O74" s="1088"/>
    </row>
    <row r="75" spans="1:15" ht="15" customHeight="1">
      <c r="A75" s="1056" t="s">
        <v>359</v>
      </c>
      <c r="B75" s="1057" t="s">
        <v>2662</v>
      </c>
      <c r="C75" s="1058" t="e">
        <f>VLOOKUP(B74,'LƯƠNG KT'!$D$15:$R$94,4,0)</f>
        <v>#N/A</v>
      </c>
      <c r="D75" s="1059" t="e">
        <f>+C75*25000</f>
        <v>#N/A</v>
      </c>
      <c r="E75" s="1060"/>
      <c r="F75" s="1060"/>
      <c r="G75" s="1056" t="s">
        <v>359</v>
      </c>
      <c r="H75" s="1057" t="s">
        <v>2662</v>
      </c>
      <c r="I75" s="1058" t="e">
        <f>VLOOKUP(H74,'LƯƠNG KT'!$D$15:$R$94,4,0)</f>
        <v>#N/A</v>
      </c>
      <c r="J75" s="1059" t="e">
        <f>+I75*25000</f>
        <v>#N/A</v>
      </c>
      <c r="K75" s="1084"/>
      <c r="L75" s="1085"/>
      <c r="M75" s="1085"/>
      <c r="N75" s="1085"/>
      <c r="O75" s="1085"/>
    </row>
    <row r="76" spans="1:15" ht="15" customHeight="1">
      <c r="A76" s="1056" t="s">
        <v>361</v>
      </c>
      <c r="B76" s="1057" t="s">
        <v>2663</v>
      </c>
      <c r="C76" s="1058" t="e">
        <f>VLOOKUP(B74,'LƯƠNG KT'!$D$15:$R$94,15,0)</f>
        <v>#N/A</v>
      </c>
      <c r="D76" s="1059" t="e">
        <f>C76*$L$4</f>
        <v>#N/A</v>
      </c>
      <c r="E76" s="1061"/>
      <c r="F76" s="1061"/>
      <c r="G76" s="1056" t="s">
        <v>361</v>
      </c>
      <c r="H76" s="1057" t="s">
        <v>2663</v>
      </c>
      <c r="I76" s="1058" t="e">
        <f>VLOOKUP(H74,'LƯƠNG KT'!$D$15:$R$94,15,0)</f>
        <v>#N/A</v>
      </c>
      <c r="J76" s="1059" t="e">
        <f>I76*$L$4</f>
        <v>#N/A</v>
      </c>
      <c r="K76" s="1084"/>
      <c r="L76" s="1085"/>
      <c r="M76" s="1085"/>
      <c r="N76" s="1085"/>
      <c r="O76" s="1085"/>
    </row>
    <row r="77" spans="1:15" ht="15" customHeight="1">
      <c r="A77" s="1056" t="s">
        <v>364</v>
      </c>
      <c r="B77" s="1057" t="s">
        <v>2664</v>
      </c>
      <c r="C77" s="1058" t="e">
        <f>VLOOKUP(B74,'LƯƠNG KT'!$D$15:$R$94,16,0)</f>
        <v>#N/A</v>
      </c>
      <c r="D77" s="1059" t="e">
        <f>C77*$L$5</f>
        <v>#N/A</v>
      </c>
      <c r="E77" s="1061"/>
      <c r="F77" s="1061"/>
      <c r="G77" s="1056" t="s">
        <v>364</v>
      </c>
      <c r="H77" s="1057" t="s">
        <v>2664</v>
      </c>
      <c r="I77" s="1058" t="e">
        <f>VLOOKUP(H74,'LƯƠNG KT'!$D$15:$R$94,16,0)</f>
        <v>#N/A</v>
      </c>
      <c r="J77" s="1059" t="e">
        <f>I77*$L$5</f>
        <v>#N/A</v>
      </c>
      <c r="K77" s="1084"/>
      <c r="L77" s="1085"/>
      <c r="M77" s="1085"/>
      <c r="N77" s="1085"/>
      <c r="O77" s="1085"/>
    </row>
    <row r="78" spans="1:15" ht="15" customHeight="1">
      <c r="A78" s="1056" t="s">
        <v>370</v>
      </c>
      <c r="B78" s="1057" t="s">
        <v>2665</v>
      </c>
      <c r="C78" s="1058" t="e">
        <f>VLOOKUP(B74,'LƯƠNG KT'!$D$15:$R$94,24,0)</f>
        <v>#N/A</v>
      </c>
      <c r="D78" s="1059" t="e">
        <f>+C78*$L$6</f>
        <v>#N/A</v>
      </c>
      <c r="E78" s="1061"/>
      <c r="F78" s="1061"/>
      <c r="G78" s="1056" t="s">
        <v>370</v>
      </c>
      <c r="H78" s="1057" t="s">
        <v>2665</v>
      </c>
      <c r="I78" s="1058" t="e">
        <f>VLOOKUP(H74,'LƯƠNG KT'!$D$15:$R$94,24,0)</f>
        <v>#N/A</v>
      </c>
      <c r="J78" s="1059" t="e">
        <f>+I78*$L$6</f>
        <v>#N/A</v>
      </c>
      <c r="K78" s="1085"/>
      <c r="L78" s="1085"/>
      <c r="M78" s="1085"/>
      <c r="N78" s="1085"/>
      <c r="O78" s="1085"/>
    </row>
    <row r="79" spans="1:15" ht="15" customHeight="1">
      <c r="A79" s="1056" t="s">
        <v>2666</v>
      </c>
      <c r="B79" s="1057" t="s">
        <v>2667</v>
      </c>
      <c r="C79" s="1058" t="e">
        <f>VLOOKUP(B74,'LƯƠNG KT'!$D$15:$R$94,19,0)</f>
        <v>#N/A</v>
      </c>
      <c r="D79" s="1059" t="e">
        <f>+C79*$L$8</f>
        <v>#N/A</v>
      </c>
      <c r="E79" s="1061"/>
      <c r="F79" s="1061"/>
      <c r="G79" s="1056" t="s">
        <v>2666</v>
      </c>
      <c r="H79" s="1057" t="s">
        <v>2667</v>
      </c>
      <c r="I79" s="1058" t="e">
        <f>VLOOKUP(H74,'LƯƠNG KT'!$D$15:$R$94,19,0)</f>
        <v>#N/A</v>
      </c>
      <c r="J79" s="1059" t="e">
        <f>+I79*$L$8</f>
        <v>#N/A</v>
      </c>
      <c r="K79" s="1085"/>
      <c r="L79" s="1085"/>
      <c r="M79" s="1085"/>
      <c r="N79" s="1085"/>
      <c r="O79" s="1085"/>
    </row>
    <row r="80" spans="1:15" ht="15" customHeight="1">
      <c r="A80" s="1056" t="s">
        <v>2668</v>
      </c>
      <c r="B80" s="1062" t="s">
        <v>2669</v>
      </c>
      <c r="C80" s="1058" t="e">
        <f>VLOOKUP(B74,'LƯƠNG KT'!$D$15:$R$94,20,0)</f>
        <v>#N/A</v>
      </c>
      <c r="D80" s="1059" t="e">
        <f>+C80*$L$9</f>
        <v>#N/A</v>
      </c>
      <c r="E80" s="1061"/>
      <c r="F80" s="1061"/>
      <c r="G80" s="1056" t="s">
        <v>2668</v>
      </c>
      <c r="H80" s="1062" t="s">
        <v>2669</v>
      </c>
      <c r="I80" s="1058" t="e">
        <f>VLOOKUP(H74,'LƯƠNG KT'!$D$15:$R$94,20,0)</f>
        <v>#N/A</v>
      </c>
      <c r="J80" s="1059" t="e">
        <f>+I80*$L$9</f>
        <v>#N/A</v>
      </c>
      <c r="K80" s="1085"/>
      <c r="L80" s="1085"/>
      <c r="M80" s="1085"/>
      <c r="N80" s="1085"/>
      <c r="O80" s="1085"/>
    </row>
    <row r="81" spans="1:15" ht="15" customHeight="1">
      <c r="A81" s="1056" t="s">
        <v>2671</v>
      </c>
      <c r="B81" s="1057" t="s">
        <v>2672</v>
      </c>
      <c r="C81" s="1058" t="e">
        <f>VLOOKUP(B74,'LƯƠNG KT'!$D$15:$R$94,17,0)</f>
        <v>#N/A</v>
      </c>
      <c r="D81" s="1059" t="e">
        <f>+C81*$L$10</f>
        <v>#N/A</v>
      </c>
      <c r="E81" s="1061"/>
      <c r="F81" s="1061"/>
      <c r="G81" s="1056" t="s">
        <v>2671</v>
      </c>
      <c r="H81" s="1057" t="s">
        <v>2672</v>
      </c>
      <c r="I81" s="1058" t="e">
        <f>VLOOKUP(H74,'LƯƠNG KT'!$D$15:$R$94,17,0)</f>
        <v>#N/A</v>
      </c>
      <c r="J81" s="1059" t="e">
        <f>+I81*$L$10</f>
        <v>#N/A</v>
      </c>
      <c r="K81" s="1085"/>
      <c r="L81" s="1085"/>
      <c r="M81" s="1085"/>
      <c r="N81" s="1085"/>
      <c r="O81" s="1085"/>
    </row>
    <row r="82" spans="1:15" ht="15" customHeight="1">
      <c r="A82" s="1056" t="s">
        <v>374</v>
      </c>
      <c r="B82" s="1057" t="s">
        <v>2674</v>
      </c>
      <c r="C82" s="1058" t="e">
        <f>VLOOKUP(B74,'LƯƠNG KT'!$D$15:$R$94,12,0)</f>
        <v>#N/A</v>
      </c>
      <c r="D82" s="1059" t="e">
        <f>VLOOKUP(B74,'LƯƠNG KT'!$D$15:$R$94,14,0)</f>
        <v>#N/A</v>
      </c>
      <c r="E82" s="1063"/>
      <c r="F82" s="1061"/>
      <c r="G82" s="1056" t="s">
        <v>374</v>
      </c>
      <c r="H82" s="1057" t="s">
        <v>2674</v>
      </c>
      <c r="I82" s="1058" t="e">
        <f>VLOOKUP(H74,'LƯƠNG KT'!$D$15:$R$94,12,0)</f>
        <v>#N/A</v>
      </c>
      <c r="J82" s="1059" t="e">
        <f>VLOOKUP(H74,'LƯƠNG KT'!$D$15:$R$94,14,0)</f>
        <v>#N/A</v>
      </c>
      <c r="K82" s="1085"/>
      <c r="L82" s="1085"/>
      <c r="M82" s="1085"/>
      <c r="N82" s="1085"/>
      <c r="O82" s="1085"/>
    </row>
    <row r="83" spans="1:15" ht="15" customHeight="1">
      <c r="A83" s="1056" t="s">
        <v>2675</v>
      </c>
      <c r="B83" s="1057" t="s">
        <v>2676</v>
      </c>
      <c r="D83" s="1064" t="e">
        <f>VLOOKUP(B74,'LƯƠNG KT'!$D$15:$R$94,13,0)</f>
        <v>#N/A</v>
      </c>
      <c r="E83" s="1065"/>
      <c r="F83" s="1065"/>
      <c r="G83" s="1056" t="s">
        <v>2675</v>
      </c>
      <c r="H83" s="1057" t="s">
        <v>2676</v>
      </c>
      <c r="J83" s="1064" t="e">
        <f>VLOOKUP(H74,'LƯƠNG KT'!$D$15:$R$94,13,0)</f>
        <v>#N/A</v>
      </c>
    </row>
    <row r="84" spans="1:15" ht="15" customHeight="1">
      <c r="A84" s="1066"/>
      <c r="B84" s="869"/>
      <c r="C84" s="1058"/>
      <c r="D84" s="1059"/>
      <c r="E84" s="1063"/>
      <c r="F84" s="1065"/>
      <c r="G84" s="1066"/>
      <c r="H84" s="869"/>
      <c r="I84" s="1058"/>
      <c r="J84" s="1059"/>
    </row>
    <row r="85" spans="1:15" ht="15" customHeight="1">
      <c r="A85" s="1052"/>
      <c r="B85" s="869"/>
      <c r="C85" s="1058"/>
      <c r="D85" s="1059"/>
      <c r="E85" s="1067"/>
      <c r="F85" s="1051"/>
      <c r="G85" s="1052"/>
      <c r="H85" s="869"/>
      <c r="I85" s="1058"/>
      <c r="J85" s="1059"/>
    </row>
    <row r="86" spans="1:15" ht="15" customHeight="1">
      <c r="A86" s="1068" t="s">
        <v>383</v>
      </c>
      <c r="B86" s="1069" t="s">
        <v>384</v>
      </c>
      <c r="C86" s="1070"/>
      <c r="D86" s="1071" t="e">
        <f>SUM(D75:D82)-D85</f>
        <v>#N/A</v>
      </c>
      <c r="E86" s="1072"/>
      <c r="F86" s="1073"/>
      <c r="G86" s="1068" t="s">
        <v>383</v>
      </c>
      <c r="H86" s="1069" t="s">
        <v>384</v>
      </c>
      <c r="I86" s="1070"/>
      <c r="J86" s="1071" t="e">
        <f>SUM(J75:J82)-J85</f>
        <v>#N/A</v>
      </c>
    </row>
    <row r="87" spans="1:15" ht="12.6" customHeight="1">
      <c r="A87" s="1074"/>
      <c r="B87" s="1075"/>
      <c r="C87" s="1076"/>
      <c r="D87" s="1077"/>
      <c r="E87" s="1077"/>
      <c r="F87" s="1078"/>
      <c r="G87" s="1074"/>
      <c r="H87" s="1075"/>
      <c r="I87" s="1076"/>
      <c r="J87" s="1077"/>
    </row>
    <row r="88" spans="1:15" ht="12.6" customHeight="1">
      <c r="A88" s="1075"/>
      <c r="B88" s="1075"/>
      <c r="C88" s="1079"/>
      <c r="D88" s="1080"/>
      <c r="E88" s="1075"/>
      <c r="F88" s="1081"/>
      <c r="G88" s="1075"/>
      <c r="H88" s="1075"/>
      <c r="I88" s="1079"/>
      <c r="J88" s="1080"/>
    </row>
    <row r="89" spans="1:15" ht="15" customHeight="1">
      <c r="A89" s="2242" t="str">
        <f>$K$2</f>
        <v>THÁNG 04/2025</v>
      </c>
      <c r="B89" s="2242"/>
      <c r="C89" s="2242"/>
      <c r="D89" s="2242"/>
      <c r="E89" s="1050"/>
      <c r="F89" s="1051"/>
      <c r="G89" s="2242" t="str">
        <f>$K$2</f>
        <v>THÁNG 04/2025</v>
      </c>
      <c r="H89" s="2242"/>
      <c r="I89" s="2242"/>
      <c r="J89" s="2242"/>
      <c r="K89" s="624"/>
    </row>
    <row r="90" spans="1:15" ht="15" customHeight="1">
      <c r="A90" s="1052" t="s">
        <v>356</v>
      </c>
      <c r="B90" s="1053" t="s">
        <v>393</v>
      </c>
      <c r="C90" s="869"/>
      <c r="D90" s="1049"/>
      <c r="E90" s="1054"/>
      <c r="F90" s="1055"/>
      <c r="G90" s="1052" t="s">
        <v>356</v>
      </c>
      <c r="H90" s="1053" t="s">
        <v>394</v>
      </c>
      <c r="I90" s="869"/>
      <c r="J90" s="1049"/>
      <c r="L90" s="1088"/>
      <c r="M90" s="1088"/>
      <c r="N90" s="1088"/>
      <c r="O90" s="1088"/>
    </row>
    <row r="91" spans="1:15" ht="15" customHeight="1">
      <c r="A91" s="1056" t="s">
        <v>359</v>
      </c>
      <c r="B91" s="1057" t="s">
        <v>2662</v>
      </c>
      <c r="C91" s="1058" t="e">
        <f>VLOOKUP(B90,'LƯƠNG KT'!$D$15:$R$94,4,0)</f>
        <v>#N/A</v>
      </c>
      <c r="D91" s="1059" t="e">
        <f>+C91*25000</f>
        <v>#N/A</v>
      </c>
      <c r="E91" s="1060"/>
      <c r="F91" s="1060"/>
      <c r="G91" s="1056" t="s">
        <v>359</v>
      </c>
      <c r="H91" s="1057" t="s">
        <v>2662</v>
      </c>
      <c r="I91" s="1058" t="e">
        <f>VLOOKUP(H90,'LƯƠNG KT'!$D$15:$R$94,4,0)</f>
        <v>#N/A</v>
      </c>
      <c r="J91" s="1059" t="e">
        <f>+I91*25000</f>
        <v>#N/A</v>
      </c>
      <c r="K91" s="1085"/>
      <c r="L91" s="1085"/>
      <c r="M91" s="1085"/>
      <c r="N91" s="1085"/>
      <c r="O91" s="1085"/>
    </row>
    <row r="92" spans="1:15" ht="15" customHeight="1">
      <c r="A92" s="1056" t="s">
        <v>361</v>
      </c>
      <c r="B92" s="1057" t="s">
        <v>2663</v>
      </c>
      <c r="C92" s="1058" t="e">
        <f>VLOOKUP(B90,'LƯƠNG KT'!$D$15:$R$94,15,0)</f>
        <v>#N/A</v>
      </c>
      <c r="D92" s="1059" t="e">
        <f>C92*$L$4</f>
        <v>#N/A</v>
      </c>
      <c r="E92" s="1061"/>
      <c r="F92" s="1061"/>
      <c r="G92" s="1056" t="s">
        <v>361</v>
      </c>
      <c r="H92" s="1057" t="s">
        <v>2663</v>
      </c>
      <c r="I92" s="1058" t="e">
        <f>VLOOKUP(H90,'LƯƠNG KT'!$D$15:$R$94,15,0)</f>
        <v>#N/A</v>
      </c>
      <c r="J92" s="1059" t="e">
        <f>I92*$L$4</f>
        <v>#N/A</v>
      </c>
      <c r="K92" s="1085"/>
      <c r="L92" s="1085"/>
      <c r="M92" s="1085"/>
      <c r="N92" s="1085"/>
      <c r="O92" s="1085"/>
    </row>
    <row r="93" spans="1:15" ht="15" customHeight="1">
      <c r="A93" s="1056" t="s">
        <v>364</v>
      </c>
      <c r="B93" s="1057" t="s">
        <v>2664</v>
      </c>
      <c r="C93" s="1058" t="e">
        <f>VLOOKUP(B90,'LƯƠNG KT'!$D$15:$R$94,16,0)</f>
        <v>#N/A</v>
      </c>
      <c r="D93" s="1059" t="e">
        <f>C93*$L$5</f>
        <v>#N/A</v>
      </c>
      <c r="E93" s="1061"/>
      <c r="F93" s="1061"/>
      <c r="G93" s="1056" t="s">
        <v>364</v>
      </c>
      <c r="H93" s="1057" t="s">
        <v>2664</v>
      </c>
      <c r="I93" s="1058" t="e">
        <f>VLOOKUP(H90,'LƯƠNG KT'!$D$15:$R$94,16,0)</f>
        <v>#N/A</v>
      </c>
      <c r="J93" s="1059" t="e">
        <f>I93*$L$5</f>
        <v>#N/A</v>
      </c>
      <c r="K93" s="1085"/>
      <c r="L93" s="1085"/>
      <c r="M93" s="1085"/>
      <c r="N93" s="1085"/>
      <c r="O93" s="1085"/>
    </row>
    <row r="94" spans="1:15" ht="15" customHeight="1">
      <c r="A94" s="1056" t="s">
        <v>370</v>
      </c>
      <c r="B94" s="1057" t="s">
        <v>2665</v>
      </c>
      <c r="C94" s="1058" t="e">
        <f>VLOOKUP(B90,'LƯƠNG KT'!$D$15:$R$94,24,0)</f>
        <v>#N/A</v>
      </c>
      <c r="D94" s="1059" t="e">
        <f>+C94*$L$6</f>
        <v>#N/A</v>
      </c>
      <c r="E94" s="1061"/>
      <c r="F94" s="1061"/>
      <c r="G94" s="1056" t="s">
        <v>370</v>
      </c>
      <c r="H94" s="1057" t="s">
        <v>2665</v>
      </c>
      <c r="I94" s="1058" t="e">
        <f>VLOOKUP(H90,'LƯƠNG KT'!$D$15:$R$94,24,0)</f>
        <v>#N/A</v>
      </c>
      <c r="J94" s="1059" t="e">
        <f>+I94*$L$6</f>
        <v>#N/A</v>
      </c>
      <c r="K94" s="1085"/>
      <c r="L94" s="1085"/>
      <c r="M94" s="1085"/>
      <c r="N94" s="1085"/>
      <c r="O94" s="1085"/>
    </row>
    <row r="95" spans="1:15" ht="15" customHeight="1">
      <c r="A95" s="1056" t="s">
        <v>2666</v>
      </c>
      <c r="B95" s="1057" t="s">
        <v>2667</v>
      </c>
      <c r="C95" s="1058" t="e">
        <f>VLOOKUP(B90,'LƯƠNG KT'!$D$15:$R$94,19,0)</f>
        <v>#N/A</v>
      </c>
      <c r="D95" s="1059" t="e">
        <f>+C95*$L$8</f>
        <v>#N/A</v>
      </c>
      <c r="E95" s="1061"/>
      <c r="F95" s="1061"/>
      <c r="G95" s="1056" t="s">
        <v>2666</v>
      </c>
      <c r="H95" s="1057" t="s">
        <v>2667</v>
      </c>
      <c r="I95" s="1058" t="e">
        <f>VLOOKUP(H90,'LƯƠNG KT'!$D$15:$R$94,19,0)</f>
        <v>#N/A</v>
      </c>
      <c r="J95" s="1059" t="e">
        <f>+I95*$L$8</f>
        <v>#N/A</v>
      </c>
      <c r="K95" s="1085"/>
      <c r="L95" s="1085"/>
      <c r="M95" s="1085"/>
      <c r="N95" s="1085"/>
      <c r="O95" s="1085"/>
    </row>
    <row r="96" spans="1:15" ht="15" customHeight="1">
      <c r="A96" s="1056" t="s">
        <v>2668</v>
      </c>
      <c r="B96" s="1062" t="s">
        <v>2669</v>
      </c>
      <c r="C96" s="1058" t="e">
        <f>VLOOKUP(B90,'LƯƠNG KT'!$D$15:$R$94,20,0)</f>
        <v>#N/A</v>
      </c>
      <c r="D96" s="1059" t="e">
        <f>+C96*$L$9</f>
        <v>#N/A</v>
      </c>
      <c r="E96" s="1061"/>
      <c r="F96" s="1061"/>
      <c r="G96" s="1056" t="s">
        <v>2668</v>
      </c>
      <c r="H96" s="1062" t="s">
        <v>2669</v>
      </c>
      <c r="I96" s="1058" t="e">
        <f>VLOOKUP(H90,'LƯƠNG KT'!$D$15:$R$94,20,0)</f>
        <v>#N/A</v>
      </c>
      <c r="J96" s="1059" t="e">
        <f>+I96*$L$9</f>
        <v>#N/A</v>
      </c>
      <c r="K96" s="1085"/>
      <c r="L96" s="1085"/>
      <c r="M96" s="1085"/>
      <c r="N96" s="1085"/>
      <c r="O96" s="1085"/>
    </row>
    <row r="97" spans="1:15" ht="15" customHeight="1">
      <c r="A97" s="1056" t="s">
        <v>2671</v>
      </c>
      <c r="B97" s="1057" t="s">
        <v>2672</v>
      </c>
      <c r="C97" s="1058" t="e">
        <f>VLOOKUP(B90,'LƯƠNG KT'!$D$15:$R$94,17,0)</f>
        <v>#N/A</v>
      </c>
      <c r="D97" s="1059" t="e">
        <f>+C97*$L$10</f>
        <v>#N/A</v>
      </c>
      <c r="E97" s="1061"/>
      <c r="F97" s="1061"/>
      <c r="G97" s="1056" t="s">
        <v>2671</v>
      </c>
      <c r="H97" s="1057" t="s">
        <v>2672</v>
      </c>
      <c r="I97" s="1058" t="e">
        <f>VLOOKUP(H90,'LƯƠNG KT'!$D$15:$R$94,17,0)</f>
        <v>#N/A</v>
      </c>
      <c r="J97" s="1059" t="e">
        <f>+I97*$L$10</f>
        <v>#N/A</v>
      </c>
      <c r="K97" s="1085"/>
      <c r="L97" s="1085"/>
      <c r="M97" s="1085"/>
      <c r="N97" s="1085"/>
      <c r="O97" s="1085"/>
    </row>
    <row r="98" spans="1:15" ht="15" customHeight="1">
      <c r="A98" s="1056" t="s">
        <v>374</v>
      </c>
      <c r="B98" s="1057" t="s">
        <v>2674</v>
      </c>
      <c r="C98" s="1058" t="e">
        <f>VLOOKUP(B90,'LƯƠNG KT'!$D$15:$R$94,12,0)</f>
        <v>#N/A</v>
      </c>
      <c r="D98" s="1059" t="e">
        <f>VLOOKUP(B90,'LƯƠNG KT'!$D$15:$R$94,14,0)+(C92+C93+C95+C96)*20000</f>
        <v>#N/A</v>
      </c>
      <c r="E98" s="1063"/>
      <c r="F98" s="1061"/>
      <c r="G98" s="1056" t="s">
        <v>374</v>
      </c>
      <c r="H98" s="1057" t="s">
        <v>2674</v>
      </c>
      <c r="I98" s="1058" t="e">
        <f>VLOOKUP(H90,'LƯƠNG KT'!$D$15:$R$94,12,0)</f>
        <v>#N/A</v>
      </c>
      <c r="J98" s="1059" t="e">
        <f>VLOOKUP(H90,'LƯƠNG KT'!$D$15:$R$94,14,0)</f>
        <v>#N/A</v>
      </c>
      <c r="K98" s="1085"/>
      <c r="L98" s="1085"/>
      <c r="M98" s="1085"/>
      <c r="N98" s="1085"/>
      <c r="O98" s="1085"/>
    </row>
    <row r="99" spans="1:15" ht="15" customHeight="1">
      <c r="A99" s="1056" t="s">
        <v>2675</v>
      </c>
      <c r="B99" s="1057" t="s">
        <v>2676</v>
      </c>
      <c r="D99" s="1064" t="e">
        <f>VLOOKUP(B90,'LƯƠNG KT'!$D$15:$R$94,13,0)</f>
        <v>#N/A</v>
      </c>
      <c r="E99" s="1065"/>
      <c r="F99" s="1065"/>
      <c r="G99" s="1056" t="s">
        <v>2675</v>
      </c>
      <c r="H99" s="1057" t="s">
        <v>2676</v>
      </c>
      <c r="J99" s="1064" t="e">
        <f>VLOOKUP(H90,'LƯƠNG KT'!$D$15:$R$94,13,0)</f>
        <v>#N/A</v>
      </c>
    </row>
    <row r="100" spans="1:15" ht="15" customHeight="1">
      <c r="A100" s="1066"/>
      <c r="B100" s="869"/>
      <c r="C100" s="1058"/>
      <c r="D100" s="1059"/>
      <c r="E100" s="1063"/>
      <c r="F100" s="1065"/>
      <c r="G100" s="1066"/>
      <c r="H100" s="869"/>
      <c r="I100" s="1058"/>
      <c r="J100" s="1059"/>
    </row>
    <row r="101" spans="1:15" ht="15" customHeight="1">
      <c r="A101" s="1052"/>
      <c r="B101" s="869"/>
      <c r="C101" s="1058"/>
      <c r="D101" s="1059"/>
      <c r="E101" s="1067"/>
      <c r="F101" s="1051"/>
      <c r="G101" s="1052"/>
      <c r="H101" s="869"/>
      <c r="I101" s="1058"/>
      <c r="J101" s="1059"/>
    </row>
    <row r="102" spans="1:15" ht="15" customHeight="1">
      <c r="A102" s="1068" t="s">
        <v>383</v>
      </c>
      <c r="B102" s="1069" t="s">
        <v>384</v>
      </c>
      <c r="C102" s="1070"/>
      <c r="D102" s="1071" t="e">
        <f>SUM(D91:D98)-D101</f>
        <v>#N/A</v>
      </c>
      <c r="E102" s="1072"/>
      <c r="F102" s="1073"/>
      <c r="G102" s="1068" t="s">
        <v>383</v>
      </c>
      <c r="H102" s="1069" t="s">
        <v>384</v>
      </c>
      <c r="I102" s="1070"/>
      <c r="J102" s="1071" t="e">
        <f>SUM(J91:J98)-J101</f>
        <v>#N/A</v>
      </c>
    </row>
    <row r="103" spans="1:15" ht="18.75" customHeight="1">
      <c r="A103" s="1074"/>
      <c r="B103" s="1075"/>
      <c r="C103" s="1076"/>
      <c r="D103" s="1077"/>
      <c r="E103" s="1077"/>
      <c r="F103" s="1078"/>
      <c r="G103" s="1074"/>
      <c r="H103" s="1075"/>
      <c r="I103" s="1076"/>
      <c r="J103" s="1077"/>
    </row>
    <row r="104" spans="1:15" ht="18.75" customHeight="1">
      <c r="A104" s="1074"/>
      <c r="B104" s="1075"/>
      <c r="C104" s="1076"/>
      <c r="D104" s="1077"/>
      <c r="E104" s="1077"/>
      <c r="F104" s="1078"/>
      <c r="G104" s="1074"/>
      <c r="H104" s="1075"/>
      <c r="I104" s="1076"/>
      <c r="J104" s="1077"/>
    </row>
    <row r="105" spans="1:15" ht="18.75" customHeight="1">
      <c r="A105" s="1074"/>
      <c r="B105" s="1075"/>
      <c r="C105" s="1076"/>
      <c r="D105" s="1077"/>
      <c r="E105" s="1077"/>
      <c r="F105" s="1078"/>
      <c r="G105" s="1074"/>
      <c r="H105" s="1075"/>
      <c r="I105" s="1076"/>
      <c r="J105" s="1077"/>
    </row>
    <row r="106" spans="1:15" ht="18.75" customHeight="1">
      <c r="A106" s="1074"/>
      <c r="B106" s="1075"/>
      <c r="C106" s="1076"/>
      <c r="D106" s="1077"/>
      <c r="E106" s="1077"/>
      <c r="F106" s="1078"/>
      <c r="G106" s="1074"/>
      <c r="H106" s="1075"/>
      <c r="I106" s="1076"/>
      <c r="J106" s="1077"/>
    </row>
    <row r="107" spans="1:15" ht="18.75" customHeight="1">
      <c r="A107" s="1074"/>
      <c r="B107" s="1075"/>
      <c r="C107" s="1076"/>
      <c r="D107" s="1077"/>
      <c r="E107" s="1077"/>
      <c r="F107" s="1078"/>
      <c r="G107" s="1074"/>
      <c r="H107" s="1075"/>
      <c r="I107" s="1076"/>
      <c r="J107" s="1077"/>
    </row>
    <row r="108" spans="1:15" ht="18.75" customHeight="1">
      <c r="A108" s="1074"/>
      <c r="B108" s="1075"/>
      <c r="C108" s="1076"/>
      <c r="D108" s="1077"/>
      <c r="E108" s="1077"/>
      <c r="F108" s="1078"/>
      <c r="G108" s="1074"/>
      <c r="H108" s="1075"/>
      <c r="I108" s="1076"/>
      <c r="J108" s="1077"/>
    </row>
    <row r="109" spans="1:15" ht="18.75" customHeight="1">
      <c r="A109" s="1074"/>
      <c r="B109" s="1075"/>
      <c r="C109" s="1076"/>
      <c r="D109" s="1077"/>
      <c r="E109" s="1077"/>
      <c r="F109" s="1078"/>
      <c r="G109" s="1074"/>
      <c r="H109" s="1075"/>
      <c r="I109" s="1076"/>
      <c r="J109" s="1077"/>
    </row>
    <row r="110" spans="1:15" ht="18.75" customHeight="1">
      <c r="A110" s="1074"/>
      <c r="B110" s="1075"/>
      <c r="C110" s="1076"/>
      <c r="D110" s="1077"/>
      <c r="E110" s="1077"/>
      <c r="F110" s="1078"/>
      <c r="G110" s="1074"/>
      <c r="H110" s="1075"/>
      <c r="I110" s="1076"/>
      <c r="J110" s="1077"/>
    </row>
    <row r="111" spans="1:15" ht="18.75" customHeight="1">
      <c r="A111" s="1074"/>
      <c r="B111" s="1075"/>
      <c r="C111" s="1076"/>
      <c r="D111" s="1077"/>
      <c r="E111" s="1077"/>
      <c r="F111" s="1078"/>
      <c r="G111" s="1074"/>
      <c r="H111" s="1075"/>
      <c r="I111" s="1076"/>
      <c r="J111" s="1077"/>
    </row>
    <row r="112" spans="1:15" ht="15" customHeight="1">
      <c r="A112" s="2242" t="str">
        <f>$K$2</f>
        <v>THÁNG 04/2025</v>
      </c>
      <c r="B112" s="2242"/>
      <c r="C112" s="2242"/>
      <c r="D112" s="2242"/>
      <c r="E112" s="1050"/>
      <c r="F112" s="1051"/>
      <c r="G112" s="2242" t="str">
        <f>$K$2</f>
        <v>THÁNG 04/2025</v>
      </c>
      <c r="H112" s="2242"/>
      <c r="I112" s="2242"/>
      <c r="J112" s="2242"/>
      <c r="K112" s="624"/>
    </row>
    <row r="113" spans="1:15" ht="15" customHeight="1">
      <c r="A113" s="1052" t="s">
        <v>356</v>
      </c>
      <c r="B113" s="1053" t="s">
        <v>395</v>
      </c>
      <c r="C113" s="869"/>
      <c r="D113" s="1049"/>
      <c r="E113" s="1054"/>
      <c r="F113" s="1055"/>
      <c r="G113" s="1052" t="s">
        <v>356</v>
      </c>
      <c r="H113" s="1053" t="s">
        <v>2618</v>
      </c>
      <c r="I113" s="869"/>
      <c r="J113" s="1049"/>
      <c r="L113" s="1088"/>
      <c r="M113" s="1088"/>
      <c r="N113" s="1088"/>
      <c r="O113" s="1088"/>
    </row>
    <row r="114" spans="1:15" ht="15" customHeight="1">
      <c r="A114" s="1056" t="s">
        <v>359</v>
      </c>
      <c r="B114" s="1057" t="s">
        <v>2662</v>
      </c>
      <c r="C114" s="1058">
        <f>VLOOKUP(B113,'LƯƠNG KT'!$D$15:$R$94,4,0)</f>
        <v>0</v>
      </c>
      <c r="D114" s="1059">
        <f>+C114*25000</f>
        <v>0</v>
      </c>
      <c r="E114" s="1060"/>
      <c r="F114" s="1060"/>
      <c r="G114" s="1056" t="s">
        <v>359</v>
      </c>
      <c r="H114" s="1057" t="s">
        <v>2662</v>
      </c>
      <c r="I114" s="1058" t="e">
        <f>VLOOKUP(H113,'LƯƠNG KT'!$D$15:$R$94,4,0)</f>
        <v>#N/A</v>
      </c>
      <c r="J114" s="1059" t="e">
        <f>+I114*25000</f>
        <v>#N/A</v>
      </c>
      <c r="K114" s="1085"/>
      <c r="L114" s="1085"/>
      <c r="M114" s="1085"/>
      <c r="N114" s="1085"/>
      <c r="O114" s="1085"/>
    </row>
    <row r="115" spans="1:15" ht="15" customHeight="1">
      <c r="A115" s="1056" t="s">
        <v>361</v>
      </c>
      <c r="B115" s="1057" t="s">
        <v>2663</v>
      </c>
      <c r="C115" s="1058">
        <f>VLOOKUP(B113,'LƯƠNG KT'!$D$15:$R$94,15,0)</f>
        <v>1628607</v>
      </c>
      <c r="D115" s="1059">
        <f>C115*$L$4</f>
        <v>50215693021.068001</v>
      </c>
      <c r="E115" s="1061"/>
      <c r="F115" s="1061"/>
      <c r="G115" s="1056" t="s">
        <v>361</v>
      </c>
      <c r="H115" s="1057" t="s">
        <v>2663</v>
      </c>
      <c r="I115" s="1058" t="e">
        <f>VLOOKUP(H113,'LƯƠNG KT'!$D$15:$R$94,15,0)</f>
        <v>#N/A</v>
      </c>
      <c r="J115" s="1059" t="e">
        <f>I115*$L$4</f>
        <v>#N/A</v>
      </c>
      <c r="K115" s="1085"/>
      <c r="L115" s="1085"/>
      <c r="M115" s="1085"/>
      <c r="N115" s="1085"/>
      <c r="O115" s="1085"/>
    </row>
    <row r="116" spans="1:15" ht="15" customHeight="1">
      <c r="A116" s="1056" t="s">
        <v>364</v>
      </c>
      <c r="B116" s="1057" t="s">
        <v>2664</v>
      </c>
      <c r="C116" s="1058" t="e">
        <f>VLOOKUP(B113,'LƯƠNG KT'!$D$15:$R$94,16,0)</f>
        <v>#REF!</v>
      </c>
      <c r="D116" s="1059" t="e">
        <f>C116*$L$5</f>
        <v>#REF!</v>
      </c>
      <c r="E116" s="1061"/>
      <c r="F116" s="1061"/>
      <c r="G116" s="1056" t="s">
        <v>364</v>
      </c>
      <c r="H116" s="1057" t="s">
        <v>2664</v>
      </c>
      <c r="I116" s="1058" t="e">
        <f>VLOOKUP(H113,'LƯƠNG KT'!$D$15:$R$94,16,0)</f>
        <v>#N/A</v>
      </c>
      <c r="J116" s="1059" t="e">
        <f>I116*$L$5</f>
        <v>#N/A</v>
      </c>
      <c r="K116" s="1085"/>
      <c r="L116" s="1085"/>
      <c r="M116" s="1085"/>
      <c r="N116" s="1085"/>
      <c r="O116" s="1085"/>
    </row>
    <row r="117" spans="1:15" ht="15" customHeight="1">
      <c r="A117" s="1056" t="s">
        <v>370</v>
      </c>
      <c r="B117" s="1057" t="s">
        <v>2665</v>
      </c>
      <c r="C117" s="1058" t="e">
        <f>VLOOKUP(B113,'LƯƠNG KT'!$D$15:$R$94,24,0)</f>
        <v>#REF!</v>
      </c>
      <c r="D117" s="1059" t="e">
        <f>+C117*$L$6</f>
        <v>#REF!</v>
      </c>
      <c r="E117" s="1061"/>
      <c r="F117" s="1061"/>
      <c r="G117" s="1056" t="s">
        <v>370</v>
      </c>
      <c r="H117" s="1057" t="s">
        <v>2665</v>
      </c>
      <c r="I117" s="1058" t="e">
        <f>VLOOKUP(H113,'LƯƠNG KT'!$D$15:$R$94,24,0)</f>
        <v>#N/A</v>
      </c>
      <c r="J117" s="1059" t="e">
        <f>+I117*$L$6</f>
        <v>#N/A</v>
      </c>
      <c r="K117" s="1085"/>
      <c r="L117" s="1085"/>
      <c r="M117" s="1085"/>
      <c r="N117" s="1085"/>
      <c r="O117" s="1085"/>
    </row>
    <row r="118" spans="1:15" ht="15" customHeight="1">
      <c r="A118" s="1056" t="s">
        <v>2666</v>
      </c>
      <c r="B118" s="1057" t="s">
        <v>2667</v>
      </c>
      <c r="C118" s="1058" t="e">
        <f>VLOOKUP(B113,'LƯƠNG KT'!$D$15:$R$94,19,0)</f>
        <v>#REF!</v>
      </c>
      <c r="D118" s="1059" t="e">
        <f>+C118*$L$8</f>
        <v>#REF!</v>
      </c>
      <c r="E118" s="1061"/>
      <c r="F118" s="1061"/>
      <c r="G118" s="1056" t="s">
        <v>2666</v>
      </c>
      <c r="H118" s="1057" t="s">
        <v>2667</v>
      </c>
      <c r="I118" s="1058" t="e">
        <f>VLOOKUP(H113,'LƯƠNG KT'!$D$15:$R$94,19,0)</f>
        <v>#N/A</v>
      </c>
      <c r="J118" s="1059" t="e">
        <f>+I118*$L$8</f>
        <v>#N/A</v>
      </c>
      <c r="K118" s="1085"/>
      <c r="L118" s="1085"/>
      <c r="M118" s="1085"/>
      <c r="N118" s="1085"/>
      <c r="O118" s="1085"/>
    </row>
    <row r="119" spans="1:15" ht="15" customHeight="1">
      <c r="A119" s="1056" t="s">
        <v>2668</v>
      </c>
      <c r="B119" s="1062" t="s">
        <v>2669</v>
      </c>
      <c r="C119" s="1058" t="e">
        <f>VLOOKUP(B113,'LƯƠNG KT'!$D$15:$R$94,20,0)</f>
        <v>#REF!</v>
      </c>
      <c r="D119" s="1059" t="e">
        <f>+C119*$L$9</f>
        <v>#REF!</v>
      </c>
      <c r="E119" s="1061"/>
      <c r="F119" s="1061"/>
      <c r="G119" s="1056" t="s">
        <v>2668</v>
      </c>
      <c r="H119" s="1062" t="s">
        <v>2669</v>
      </c>
      <c r="I119" s="1058" t="e">
        <f>VLOOKUP(H113,'LƯƠNG KT'!$D$15:$R$94,20,0)</f>
        <v>#N/A</v>
      </c>
      <c r="J119" s="1059" t="e">
        <f>+I119*$L$9</f>
        <v>#N/A</v>
      </c>
      <c r="K119" s="1085"/>
      <c r="L119" s="1085"/>
      <c r="M119" s="1085"/>
      <c r="N119" s="1085"/>
      <c r="O119" s="1085"/>
    </row>
    <row r="120" spans="1:15" ht="15" customHeight="1">
      <c r="A120" s="1056" t="s">
        <v>2671</v>
      </c>
      <c r="B120" s="1057" t="s">
        <v>2672</v>
      </c>
      <c r="C120" s="1058" t="e">
        <f>VLOOKUP(B113,'LƯƠNG KT'!$D$15:$R$94,17,0)</f>
        <v>#REF!</v>
      </c>
      <c r="D120" s="1059" t="e">
        <f>+C120*$L$10</f>
        <v>#REF!</v>
      </c>
      <c r="E120" s="1061"/>
      <c r="F120" s="1061"/>
      <c r="G120" s="1056" t="s">
        <v>2671</v>
      </c>
      <c r="H120" s="1057" t="s">
        <v>2672</v>
      </c>
      <c r="I120" s="1058" t="e">
        <f>VLOOKUP(H113,'LƯƠNG KT'!$D$15:$R$94,17,0)</f>
        <v>#N/A</v>
      </c>
      <c r="J120" s="1059" t="e">
        <f>+I120*$L$10</f>
        <v>#N/A</v>
      </c>
      <c r="K120" s="1085"/>
      <c r="L120" s="1085"/>
      <c r="M120" s="1085"/>
      <c r="N120" s="1085"/>
      <c r="O120" s="1085"/>
    </row>
    <row r="121" spans="1:15" ht="15" customHeight="1">
      <c r="A121" s="1056" t="s">
        <v>374</v>
      </c>
      <c r="B121" s="1057" t="s">
        <v>2674</v>
      </c>
      <c r="C121" s="1058">
        <f>VLOOKUP(B113,'LƯƠNG KT'!$D$15:$R$94,12,0)</f>
        <v>1</v>
      </c>
      <c r="D121" s="1059">
        <f>VLOOKUP(B113,'LƯƠNG KT'!$D$15:$R$94,14,0)</f>
        <v>0</v>
      </c>
      <c r="E121" s="1063"/>
      <c r="F121" s="1061"/>
      <c r="G121" s="1056" t="s">
        <v>374</v>
      </c>
      <c r="H121" s="1057" t="s">
        <v>2674</v>
      </c>
      <c r="I121" s="1058" t="e">
        <f>VLOOKUP(H113,'LƯƠNG KT'!$D$15:$R$94,12,0)</f>
        <v>#N/A</v>
      </c>
      <c r="J121" s="1059" t="e">
        <f>VLOOKUP(H113,'LƯƠNG KT'!$D$15:$R$94,14,0)</f>
        <v>#N/A</v>
      </c>
      <c r="K121" s="1085"/>
      <c r="L121" s="1085"/>
      <c r="M121" s="1085"/>
      <c r="N121" s="1085"/>
      <c r="O121" s="1085"/>
    </row>
    <row r="122" spans="1:15" ht="15" customHeight="1">
      <c r="A122" s="1056" t="s">
        <v>2675</v>
      </c>
      <c r="B122" s="1057" t="s">
        <v>2676</v>
      </c>
      <c r="D122" s="1064">
        <f>VLOOKUP(B113,'LƯƠNG KT'!$D$15:$R$94,13,0)</f>
        <v>29</v>
      </c>
      <c r="E122" s="1065"/>
      <c r="F122" s="1065"/>
      <c r="G122" s="1056" t="s">
        <v>2675</v>
      </c>
      <c r="H122" s="1057" t="s">
        <v>2676</v>
      </c>
      <c r="J122" s="1064" t="e">
        <f>VLOOKUP(H113,'LƯƠNG KT'!$D$15:$R$94,13,0)</f>
        <v>#N/A</v>
      </c>
    </row>
    <row r="123" spans="1:15" ht="15" customHeight="1">
      <c r="A123" s="1066"/>
      <c r="B123" s="869"/>
      <c r="C123" s="1058"/>
      <c r="D123" s="1059"/>
      <c r="E123" s="1063"/>
      <c r="F123" s="1065"/>
      <c r="G123" s="1066"/>
      <c r="H123" s="869"/>
      <c r="I123" s="1058"/>
      <c r="J123" s="1059"/>
    </row>
    <row r="124" spans="1:15" ht="15" customHeight="1">
      <c r="A124" s="1052"/>
      <c r="B124" s="869"/>
      <c r="C124" s="1058"/>
      <c r="D124" s="1059"/>
      <c r="E124" s="1067"/>
      <c r="F124" s="1051"/>
      <c r="G124" s="1052"/>
      <c r="H124" s="869"/>
      <c r="I124" s="1058"/>
      <c r="J124" s="1059"/>
    </row>
    <row r="125" spans="1:15" ht="15" customHeight="1">
      <c r="A125" s="1068" t="s">
        <v>383</v>
      </c>
      <c r="B125" s="1069" t="s">
        <v>384</v>
      </c>
      <c r="C125" s="1070"/>
      <c r="D125" s="1071" t="e">
        <f>SUM(D114:D121)-D124</f>
        <v>#REF!</v>
      </c>
      <c r="E125" s="1072"/>
      <c r="F125" s="1073"/>
      <c r="G125" s="1068" t="s">
        <v>383</v>
      </c>
      <c r="H125" s="1069" t="s">
        <v>384</v>
      </c>
      <c r="I125" s="1070"/>
      <c r="J125" s="1071" t="e">
        <f>SUM(J114:J121)-J124</f>
        <v>#N/A</v>
      </c>
    </row>
    <row r="126" spans="1:15" ht="18.75" customHeight="1">
      <c r="A126" s="1074"/>
      <c r="B126" s="1075"/>
      <c r="C126" s="1076"/>
      <c r="D126" s="1077"/>
      <c r="E126" s="1077"/>
      <c r="F126" s="1078"/>
      <c r="G126" s="1074"/>
      <c r="H126" s="1075"/>
      <c r="I126" s="1076"/>
      <c r="J126" s="1077"/>
    </row>
    <row r="127" spans="1:15" ht="18.75" customHeight="1">
      <c r="A127" s="1075"/>
      <c r="B127" s="1075"/>
      <c r="C127" s="1079"/>
      <c r="D127" s="1080"/>
      <c r="E127" s="1075"/>
      <c r="F127" s="1081"/>
      <c r="G127" s="1075"/>
      <c r="H127" s="1075"/>
      <c r="I127" s="1079"/>
      <c r="J127" s="1080"/>
    </row>
    <row r="128" spans="1:15" ht="15" customHeight="1">
      <c r="A128" s="2242" t="str">
        <f>$K$2</f>
        <v>THÁNG 04/2025</v>
      </c>
      <c r="B128" s="2242"/>
      <c r="C128" s="2242"/>
      <c r="D128" s="2242"/>
      <c r="E128" s="1050"/>
      <c r="F128" s="1051"/>
      <c r="G128" s="2242" t="str">
        <f>$K$2</f>
        <v>THÁNG 04/2025</v>
      </c>
      <c r="H128" s="2242"/>
      <c r="I128" s="2242"/>
      <c r="J128" s="2242"/>
      <c r="K128" s="624"/>
    </row>
    <row r="129" spans="1:15" ht="15" customHeight="1">
      <c r="A129" s="1052" t="s">
        <v>356</v>
      </c>
      <c r="B129" s="1053" t="s">
        <v>397</v>
      </c>
      <c r="C129" s="869"/>
      <c r="D129" s="1049"/>
      <c r="E129" s="1054"/>
      <c r="F129" s="1055"/>
      <c r="G129" s="1052" t="s">
        <v>356</v>
      </c>
      <c r="H129" s="1053" t="s">
        <v>1938</v>
      </c>
      <c r="I129" s="869"/>
      <c r="J129" s="1049"/>
      <c r="L129" s="1088"/>
      <c r="M129" s="1088"/>
      <c r="N129" s="1088"/>
      <c r="O129" s="1088"/>
    </row>
    <row r="130" spans="1:15" ht="15" customHeight="1">
      <c r="A130" s="1056" t="s">
        <v>359</v>
      </c>
      <c r="B130" s="1057" t="s">
        <v>2662</v>
      </c>
      <c r="C130" s="1058" t="e">
        <f>VLOOKUP(B129,'LƯƠNG KT'!$D$15:$R$94,4,0)</f>
        <v>#N/A</v>
      </c>
      <c r="D130" s="1059" t="e">
        <f>+C130*25000</f>
        <v>#N/A</v>
      </c>
      <c r="E130" s="1060"/>
      <c r="F130" s="1060"/>
      <c r="G130" s="1056" t="s">
        <v>359</v>
      </c>
      <c r="H130" s="1057" t="s">
        <v>2662</v>
      </c>
      <c r="I130" s="1058" t="e">
        <f>VLOOKUP(H129,'LƯƠNG KT'!$D$15:$R$94,4,0)</f>
        <v>#N/A</v>
      </c>
      <c r="J130" s="1059" t="e">
        <f>+I130*25000</f>
        <v>#N/A</v>
      </c>
      <c r="K130" s="1085"/>
      <c r="L130" s="1085"/>
      <c r="M130" s="1085"/>
      <c r="N130" s="1085"/>
      <c r="O130" s="1085"/>
    </row>
    <row r="131" spans="1:15" ht="15" customHeight="1">
      <c r="A131" s="1056" t="s">
        <v>361</v>
      </c>
      <c r="B131" s="1057" t="s">
        <v>2663</v>
      </c>
      <c r="C131" s="1058" t="e">
        <f>VLOOKUP(B129,'LƯƠNG KT'!$D$15:$R$94,15,0)</f>
        <v>#N/A</v>
      </c>
      <c r="D131" s="1059" t="e">
        <f>C131*$L$4</f>
        <v>#N/A</v>
      </c>
      <c r="E131" s="1061"/>
      <c r="F131" s="1061"/>
      <c r="G131" s="1056" t="s">
        <v>361</v>
      </c>
      <c r="H131" s="1057" t="s">
        <v>2663</v>
      </c>
      <c r="I131" s="1058" t="e">
        <f>VLOOKUP(H129,'LƯƠNG KT'!$D$15:$R$94,15,0)</f>
        <v>#N/A</v>
      </c>
      <c r="J131" s="1059" t="e">
        <f>I131*$L$4</f>
        <v>#N/A</v>
      </c>
      <c r="K131" s="1085"/>
      <c r="L131" s="1085"/>
      <c r="M131" s="1085"/>
      <c r="N131" s="1085"/>
      <c r="O131" s="1085"/>
    </row>
    <row r="132" spans="1:15" ht="15" customHeight="1">
      <c r="A132" s="1056" t="s">
        <v>364</v>
      </c>
      <c r="B132" s="1057" t="s">
        <v>2664</v>
      </c>
      <c r="C132" s="1058" t="e">
        <f>VLOOKUP(B129,'LƯƠNG KT'!$D$15:$R$94,16,0)</f>
        <v>#N/A</v>
      </c>
      <c r="D132" s="1059" t="e">
        <f>C132*$L$5</f>
        <v>#N/A</v>
      </c>
      <c r="E132" s="1061"/>
      <c r="F132" s="1061"/>
      <c r="G132" s="1056" t="s">
        <v>364</v>
      </c>
      <c r="H132" s="1057" t="s">
        <v>2664</v>
      </c>
      <c r="I132" s="1058" t="e">
        <f>VLOOKUP(H129,'LƯƠNG KT'!$D$15:$R$94,16,0)</f>
        <v>#N/A</v>
      </c>
      <c r="J132" s="1059" t="e">
        <f>I132*$L$5</f>
        <v>#N/A</v>
      </c>
      <c r="K132" s="1085"/>
      <c r="L132" s="1085"/>
      <c r="M132" s="1085"/>
      <c r="N132" s="1085"/>
      <c r="O132" s="1085"/>
    </row>
    <row r="133" spans="1:15" ht="15" customHeight="1">
      <c r="A133" s="1056" t="s">
        <v>370</v>
      </c>
      <c r="B133" s="1057" t="s">
        <v>2665</v>
      </c>
      <c r="C133" s="1058" t="e">
        <f>VLOOKUP(B129,'LƯƠNG KT'!$D$15:$R$94,24,0)</f>
        <v>#N/A</v>
      </c>
      <c r="D133" s="1059" t="e">
        <f>+C133*$L$6</f>
        <v>#N/A</v>
      </c>
      <c r="E133" s="1061"/>
      <c r="F133" s="1061"/>
      <c r="G133" s="1056" t="s">
        <v>370</v>
      </c>
      <c r="H133" s="1057" t="s">
        <v>2665</v>
      </c>
      <c r="I133" s="1058" t="e">
        <f>VLOOKUP(H129,'LƯƠNG KT'!$D$15:$R$94,24,0)</f>
        <v>#N/A</v>
      </c>
      <c r="J133" s="1059" t="e">
        <f>+I133*$L$6</f>
        <v>#N/A</v>
      </c>
      <c r="K133" s="1085"/>
      <c r="L133" s="1085"/>
      <c r="M133" s="1085"/>
      <c r="N133" s="1085"/>
      <c r="O133" s="1085"/>
    </row>
    <row r="134" spans="1:15" ht="15" customHeight="1">
      <c r="A134" s="1056" t="s">
        <v>2666</v>
      </c>
      <c r="B134" s="1057" t="s">
        <v>2667</v>
      </c>
      <c r="C134" s="1058" t="e">
        <f>VLOOKUP(B129,'LƯƠNG KT'!$D$15:$R$94,19,0)</f>
        <v>#N/A</v>
      </c>
      <c r="D134" s="1059" t="e">
        <f>+C134*$L$8</f>
        <v>#N/A</v>
      </c>
      <c r="E134" s="1061"/>
      <c r="F134" s="1061"/>
      <c r="G134" s="1056" t="s">
        <v>2666</v>
      </c>
      <c r="H134" s="1057" t="s">
        <v>2667</v>
      </c>
      <c r="I134" s="1058" t="e">
        <f>VLOOKUP(H129,'LƯƠNG KT'!$D$15:$R$94,19,0)</f>
        <v>#N/A</v>
      </c>
      <c r="J134" s="1059" t="e">
        <f>+I134*$L$8</f>
        <v>#N/A</v>
      </c>
      <c r="K134" s="1085"/>
      <c r="L134" s="1085"/>
      <c r="M134" s="1085"/>
      <c r="N134" s="1085"/>
      <c r="O134" s="1085"/>
    </row>
    <row r="135" spans="1:15" ht="15" customHeight="1">
      <c r="A135" s="1056" t="s">
        <v>2668</v>
      </c>
      <c r="B135" s="1062" t="s">
        <v>2669</v>
      </c>
      <c r="C135" s="1058" t="e">
        <f>VLOOKUP(B129,'LƯƠNG KT'!$D$15:$R$94,20,0)</f>
        <v>#N/A</v>
      </c>
      <c r="D135" s="1059" t="e">
        <f>+C135*$L$9</f>
        <v>#N/A</v>
      </c>
      <c r="E135" s="1061"/>
      <c r="F135" s="1061"/>
      <c r="G135" s="1056" t="s">
        <v>2668</v>
      </c>
      <c r="H135" s="1062" t="s">
        <v>2669</v>
      </c>
      <c r="I135" s="1058" t="e">
        <f>VLOOKUP(H129,'LƯƠNG KT'!$D$15:$R$94,20,0)</f>
        <v>#N/A</v>
      </c>
      <c r="J135" s="1059" t="e">
        <f>+I135*$L$9</f>
        <v>#N/A</v>
      </c>
      <c r="K135" s="1085"/>
      <c r="L135" s="1085"/>
      <c r="M135" s="1085"/>
      <c r="N135" s="1085"/>
      <c r="O135" s="1085"/>
    </row>
    <row r="136" spans="1:15" ht="15" customHeight="1">
      <c r="A136" s="1056" t="s">
        <v>2671</v>
      </c>
      <c r="B136" s="1057" t="s">
        <v>2672</v>
      </c>
      <c r="C136" s="1058" t="e">
        <f>VLOOKUP(B129,'LƯƠNG KT'!$D$15:$R$94,17,0)</f>
        <v>#N/A</v>
      </c>
      <c r="D136" s="1059" t="e">
        <f>+C136*$L$10</f>
        <v>#N/A</v>
      </c>
      <c r="E136" s="1061"/>
      <c r="F136" s="1061"/>
      <c r="G136" s="1056" t="s">
        <v>2671</v>
      </c>
      <c r="H136" s="1057" t="s">
        <v>2672</v>
      </c>
      <c r="I136" s="1058" t="e">
        <f>VLOOKUP(H129,'LƯƠNG KT'!$D$15:$R$94,17,0)</f>
        <v>#N/A</v>
      </c>
      <c r="J136" s="1059" t="e">
        <f>+I136*$L$10</f>
        <v>#N/A</v>
      </c>
      <c r="K136" s="1085"/>
      <c r="L136" s="1085"/>
      <c r="M136" s="1085"/>
      <c r="N136" s="1085"/>
      <c r="O136" s="1085"/>
    </row>
    <row r="137" spans="1:15" ht="15" customHeight="1">
      <c r="A137" s="1056" t="s">
        <v>374</v>
      </c>
      <c r="B137" s="1057" t="s">
        <v>2674</v>
      </c>
      <c r="C137" s="1058" t="e">
        <f>VLOOKUP(B129,'LƯƠNG KT'!$D$15:$R$94,12,0)</f>
        <v>#N/A</v>
      </c>
      <c r="D137" s="1059" t="e">
        <f>VLOOKUP(B129,'LƯƠNG KT'!$D$15:$R$94,14,0)</f>
        <v>#N/A</v>
      </c>
      <c r="E137" s="1063"/>
      <c r="F137" s="1061"/>
      <c r="G137" s="1056" t="s">
        <v>374</v>
      </c>
      <c r="H137" s="1057" t="s">
        <v>2674</v>
      </c>
      <c r="I137" s="1058" t="e">
        <f>VLOOKUP(H129,'LƯƠNG KT'!$D$15:$R$94,12,0)</f>
        <v>#N/A</v>
      </c>
      <c r="J137" s="1059" t="e">
        <f>VLOOKUP(H129,'LƯƠNG KT'!$D$15:$R$94,14,0)</f>
        <v>#N/A</v>
      </c>
      <c r="K137" s="1085"/>
      <c r="L137" s="1085"/>
      <c r="M137" s="1085"/>
      <c r="N137" s="1085"/>
      <c r="O137" s="1085"/>
    </row>
    <row r="138" spans="1:15" ht="15" customHeight="1">
      <c r="A138" s="1056" t="s">
        <v>2675</v>
      </c>
      <c r="B138" s="1057" t="s">
        <v>2676</v>
      </c>
      <c r="D138" s="1064" t="e">
        <f>VLOOKUP(B129,'LƯƠNG KT'!$D$15:$R$94,13,0)</f>
        <v>#N/A</v>
      </c>
      <c r="E138" s="1065"/>
      <c r="F138" s="1065"/>
      <c r="G138" s="1056" t="s">
        <v>2675</v>
      </c>
      <c r="H138" s="1057" t="s">
        <v>2676</v>
      </c>
      <c r="J138" s="1064" t="e">
        <f>VLOOKUP(H129,'LƯƠNG KT'!$D$15:$R$94,13,0)</f>
        <v>#N/A</v>
      </c>
    </row>
    <row r="139" spans="1:15" ht="15" customHeight="1">
      <c r="A139" s="1066"/>
      <c r="B139" s="869"/>
      <c r="C139" s="1058"/>
      <c r="D139" s="1059"/>
      <c r="E139" s="1063"/>
      <c r="F139" s="1065"/>
      <c r="G139" s="1066"/>
      <c r="H139" s="869"/>
      <c r="I139" s="1058"/>
      <c r="J139" s="1059"/>
    </row>
    <row r="140" spans="1:15" ht="15" customHeight="1">
      <c r="A140" s="1052"/>
      <c r="B140" s="869"/>
      <c r="C140" s="1058"/>
      <c r="D140" s="1059"/>
      <c r="E140" s="1067"/>
      <c r="F140" s="1051"/>
      <c r="G140" s="1052"/>
      <c r="H140" s="869"/>
      <c r="I140" s="1058"/>
      <c r="J140" s="1059"/>
    </row>
    <row r="141" spans="1:15" ht="15" customHeight="1">
      <c r="A141" s="1068" t="s">
        <v>383</v>
      </c>
      <c r="B141" s="1069" t="s">
        <v>384</v>
      </c>
      <c r="C141" s="1070"/>
      <c r="D141" s="1071" t="e">
        <f>SUM(D130:D137)-D140</f>
        <v>#N/A</v>
      </c>
      <c r="E141" s="1072"/>
      <c r="F141" s="1073"/>
      <c r="G141" s="1068" t="s">
        <v>383</v>
      </c>
      <c r="H141" s="1069" t="s">
        <v>384</v>
      </c>
      <c r="I141" s="1070"/>
      <c r="J141" s="1071" t="e">
        <f>SUM(J130:J137)-J140</f>
        <v>#N/A</v>
      </c>
    </row>
    <row r="142" spans="1:15" ht="15.75" customHeight="1">
      <c r="A142" s="1074"/>
      <c r="B142" s="1075"/>
      <c r="C142" s="1076"/>
      <c r="D142" s="1077"/>
      <c r="E142" s="1077"/>
      <c r="F142" s="1078"/>
      <c r="G142" s="1074"/>
      <c r="H142" s="1075"/>
      <c r="I142" s="1076"/>
      <c r="J142" s="1077"/>
    </row>
    <row r="144" spans="1:15" ht="12" customHeight="1">
      <c r="A144" s="2243"/>
      <c r="B144" s="2243"/>
      <c r="C144" s="2243"/>
      <c r="D144" s="2243"/>
      <c r="E144" s="2243"/>
      <c r="F144" s="2243"/>
      <c r="G144" s="2243"/>
      <c r="H144" s="2243"/>
      <c r="I144" s="2243"/>
      <c r="J144" s="2243"/>
    </row>
    <row r="145" spans="1:15" ht="15" customHeight="1">
      <c r="A145" s="2242" t="str">
        <f>$K$2</f>
        <v>THÁNG 04/2025</v>
      </c>
      <c r="B145" s="2242"/>
      <c r="C145" s="2242"/>
      <c r="D145" s="2242"/>
      <c r="E145" s="1050"/>
      <c r="F145" s="1051"/>
      <c r="G145" s="2242" t="str">
        <f>$K$2</f>
        <v>THÁNG 04/2025</v>
      </c>
      <c r="H145" s="2242"/>
      <c r="I145" s="2242"/>
      <c r="J145" s="2242"/>
      <c r="K145" s="624"/>
    </row>
    <row r="146" spans="1:15" ht="15" customHeight="1">
      <c r="A146" s="1052" t="s">
        <v>356</v>
      </c>
      <c r="B146" s="1053" t="s">
        <v>399</v>
      </c>
      <c r="C146" s="869"/>
      <c r="D146" s="1049"/>
      <c r="E146" s="1054"/>
      <c r="F146" s="1055"/>
      <c r="G146" s="1052" t="s">
        <v>356</v>
      </c>
      <c r="H146" s="1053" t="s">
        <v>400</v>
      </c>
      <c r="I146" s="869"/>
      <c r="J146" s="1049"/>
      <c r="L146" s="1088"/>
      <c r="M146" s="1088"/>
      <c r="N146" s="1088"/>
      <c r="O146" s="1088"/>
    </row>
    <row r="147" spans="1:15" ht="15" customHeight="1">
      <c r="A147" s="1056" t="s">
        <v>359</v>
      </c>
      <c r="B147" s="1057" t="s">
        <v>2662</v>
      </c>
      <c r="C147" s="1058" t="e">
        <f>VLOOKUP(B146,'LƯƠNG KT'!$D$15:$R$94,4,0)</f>
        <v>#N/A</v>
      </c>
      <c r="D147" s="1059" t="e">
        <f>+C147*25000</f>
        <v>#N/A</v>
      </c>
      <c r="E147" s="1060"/>
      <c r="F147" s="1060"/>
      <c r="G147" s="1056" t="s">
        <v>359</v>
      </c>
      <c r="H147" s="1057" t="s">
        <v>2662</v>
      </c>
      <c r="I147" s="1058" t="e">
        <f>VLOOKUP(H146,'LƯƠNG KT'!$D$15:$R$94,4,0)</f>
        <v>#N/A</v>
      </c>
      <c r="J147" s="1059" t="e">
        <f>+I147*25000</f>
        <v>#N/A</v>
      </c>
      <c r="K147" s="1084"/>
      <c r="L147" s="1085"/>
      <c r="M147" s="1085"/>
      <c r="N147" s="1085"/>
      <c r="O147" s="1085"/>
    </row>
    <row r="148" spans="1:15" ht="15" customHeight="1">
      <c r="A148" s="1056" t="s">
        <v>361</v>
      </c>
      <c r="B148" s="1057" t="s">
        <v>2663</v>
      </c>
      <c r="C148" s="1058" t="e">
        <f>VLOOKUP(B146,'LƯƠNG KT'!$D$15:$R$94,15,0)</f>
        <v>#N/A</v>
      </c>
      <c r="D148" s="1059" t="e">
        <f>C148*$L$4</f>
        <v>#N/A</v>
      </c>
      <c r="E148" s="1061"/>
      <c r="F148" s="1061"/>
      <c r="G148" s="1056" t="s">
        <v>361</v>
      </c>
      <c r="H148" s="1057" t="s">
        <v>2663</v>
      </c>
      <c r="I148" s="1058" t="e">
        <f>VLOOKUP(H146,'LƯƠNG KT'!$D$15:$R$94,15,0)</f>
        <v>#N/A</v>
      </c>
      <c r="J148" s="1059" t="e">
        <f>I148*$L$4</f>
        <v>#N/A</v>
      </c>
      <c r="K148" s="1084"/>
      <c r="L148" s="1085"/>
      <c r="M148" s="1085"/>
      <c r="N148" s="1085"/>
      <c r="O148" s="1085"/>
    </row>
    <row r="149" spans="1:15" ht="15" customHeight="1">
      <c r="A149" s="1056" t="s">
        <v>364</v>
      </c>
      <c r="B149" s="1057" t="s">
        <v>2664</v>
      </c>
      <c r="C149" s="1058" t="e">
        <f>VLOOKUP(B146,'LƯƠNG KT'!$D$15:$R$94,16,0)</f>
        <v>#N/A</v>
      </c>
      <c r="D149" s="1059" t="e">
        <f>C149*$L$5</f>
        <v>#N/A</v>
      </c>
      <c r="E149" s="1061"/>
      <c r="F149" s="1061"/>
      <c r="G149" s="1056" t="s">
        <v>364</v>
      </c>
      <c r="H149" s="1057" t="s">
        <v>2664</v>
      </c>
      <c r="I149" s="1058" t="e">
        <f>VLOOKUP(H146,'LƯƠNG KT'!$D$15:$R$94,16,0)</f>
        <v>#N/A</v>
      </c>
      <c r="J149" s="1059" t="e">
        <f>I149*$L$5</f>
        <v>#N/A</v>
      </c>
      <c r="K149" s="1084"/>
      <c r="L149" s="1085"/>
      <c r="M149" s="1085"/>
      <c r="N149" s="1085"/>
      <c r="O149" s="1085"/>
    </row>
    <row r="150" spans="1:15" ht="15" customHeight="1">
      <c r="A150" s="1056" t="s">
        <v>370</v>
      </c>
      <c r="B150" s="1057" t="s">
        <v>2665</v>
      </c>
      <c r="C150" s="1058" t="e">
        <f>VLOOKUP(B146,'LƯƠNG KT'!$D$15:$R$94,24,0)</f>
        <v>#N/A</v>
      </c>
      <c r="D150" s="1059" t="e">
        <f>+C150*$L$6</f>
        <v>#N/A</v>
      </c>
      <c r="E150" s="1061"/>
      <c r="F150" s="1061"/>
      <c r="G150" s="1056" t="s">
        <v>370</v>
      </c>
      <c r="H150" s="1057" t="s">
        <v>2665</v>
      </c>
      <c r="I150" s="1058" t="e">
        <f>VLOOKUP(H146,'LƯƠNG KT'!$D$15:$R$94,24,0)</f>
        <v>#N/A</v>
      </c>
      <c r="J150" s="1059" t="e">
        <f>+I150*$L$6</f>
        <v>#N/A</v>
      </c>
      <c r="K150" s="1085"/>
      <c r="L150" s="1085"/>
      <c r="M150" s="1085"/>
      <c r="N150" s="1085"/>
      <c r="O150" s="1085"/>
    </row>
    <row r="151" spans="1:15" ht="15" customHeight="1">
      <c r="A151" s="1056" t="s">
        <v>2666</v>
      </c>
      <c r="B151" s="1057" t="s">
        <v>2667</v>
      </c>
      <c r="C151" s="1058" t="e">
        <f>VLOOKUP(B146,'LƯƠNG KT'!$D$15:$R$94,19,0)</f>
        <v>#N/A</v>
      </c>
      <c r="D151" s="1059" t="e">
        <f>+C151*$L$8</f>
        <v>#N/A</v>
      </c>
      <c r="E151" s="1061"/>
      <c r="F151" s="1061"/>
      <c r="G151" s="1056" t="s">
        <v>2666</v>
      </c>
      <c r="H151" s="1057" t="s">
        <v>2667</v>
      </c>
      <c r="I151" s="1058" t="e">
        <f>VLOOKUP(H146,'LƯƠNG KT'!$D$15:$R$94,19,0)</f>
        <v>#N/A</v>
      </c>
      <c r="J151" s="1059" t="e">
        <f>+I151*$L$8</f>
        <v>#N/A</v>
      </c>
      <c r="K151" s="1085"/>
      <c r="L151" s="1085"/>
      <c r="M151" s="1085"/>
      <c r="N151" s="1085"/>
      <c r="O151" s="1085"/>
    </row>
    <row r="152" spans="1:15" ht="15" customHeight="1">
      <c r="A152" s="1056" t="s">
        <v>2668</v>
      </c>
      <c r="B152" s="1062" t="s">
        <v>2669</v>
      </c>
      <c r="C152" s="1058" t="e">
        <f>VLOOKUP(B146,'LƯƠNG KT'!$D$15:$R$94,20,0)</f>
        <v>#N/A</v>
      </c>
      <c r="D152" s="1059" t="e">
        <f>+C152*$L$9</f>
        <v>#N/A</v>
      </c>
      <c r="E152" s="1061"/>
      <c r="F152" s="1061"/>
      <c r="G152" s="1056" t="s">
        <v>2668</v>
      </c>
      <c r="H152" s="1062" t="s">
        <v>2669</v>
      </c>
      <c r="I152" s="1058" t="e">
        <f>VLOOKUP(H146,'LƯƠNG KT'!$D$15:$R$94,20,0)</f>
        <v>#N/A</v>
      </c>
      <c r="J152" s="1059" t="e">
        <f>+I152*$L$9</f>
        <v>#N/A</v>
      </c>
      <c r="K152" s="1085"/>
      <c r="L152" s="1085"/>
      <c r="M152" s="1085"/>
      <c r="N152" s="1085"/>
      <c r="O152" s="1085"/>
    </row>
    <row r="153" spans="1:15" ht="15" customHeight="1">
      <c r="A153" s="1056" t="s">
        <v>2671</v>
      </c>
      <c r="B153" s="1057" t="s">
        <v>2672</v>
      </c>
      <c r="C153" s="1058" t="e">
        <f>VLOOKUP(B146,'LƯƠNG KT'!$D$15:$R$94,17,0)</f>
        <v>#N/A</v>
      </c>
      <c r="D153" s="1059" t="e">
        <f>+C153*$L$10</f>
        <v>#N/A</v>
      </c>
      <c r="E153" s="1061"/>
      <c r="F153" s="1061"/>
      <c r="G153" s="1056" t="s">
        <v>2671</v>
      </c>
      <c r="H153" s="1057" t="s">
        <v>2672</v>
      </c>
      <c r="I153" s="1058" t="e">
        <f>VLOOKUP(H146,'LƯƠNG KT'!$D$15:$R$94,17,0)</f>
        <v>#N/A</v>
      </c>
      <c r="J153" s="1059" t="e">
        <f>+I153*$L$10</f>
        <v>#N/A</v>
      </c>
      <c r="K153" s="1085"/>
      <c r="L153" s="1085"/>
      <c r="M153" s="1085"/>
      <c r="N153" s="1085"/>
      <c r="O153" s="1085"/>
    </row>
    <row r="154" spans="1:15" ht="15" customHeight="1">
      <c r="A154" s="1056" t="s">
        <v>374</v>
      </c>
      <c r="B154" s="1057" t="s">
        <v>2674</v>
      </c>
      <c r="C154" s="1058" t="e">
        <f>VLOOKUP(B146,'LƯƠNG KT'!$D$15:$R$94,12,0)</f>
        <v>#N/A</v>
      </c>
      <c r="D154" s="1059" t="e">
        <f>VLOOKUP(B146,'LƯƠNG KT'!$D$15:$R$94,14,0)</f>
        <v>#N/A</v>
      </c>
      <c r="E154" s="1063"/>
      <c r="F154" s="1061"/>
      <c r="G154" s="1056" t="s">
        <v>374</v>
      </c>
      <c r="H154" s="1057" t="s">
        <v>2674</v>
      </c>
      <c r="I154" s="1058" t="e">
        <f>VLOOKUP(H146,'LƯƠNG KT'!$D$15:$R$94,12,0)</f>
        <v>#N/A</v>
      </c>
      <c r="J154" s="1059" t="e">
        <f>VLOOKUP(H146,'LƯƠNG KT'!$D$15:$R$94,14,0)</f>
        <v>#N/A</v>
      </c>
      <c r="K154" s="1085"/>
      <c r="L154" s="1085"/>
      <c r="M154" s="1085"/>
      <c r="N154" s="1085"/>
      <c r="O154" s="1085"/>
    </row>
    <row r="155" spans="1:15" ht="15" customHeight="1">
      <c r="A155" s="1056" t="s">
        <v>2675</v>
      </c>
      <c r="B155" s="1057" t="s">
        <v>2676</v>
      </c>
      <c r="D155" s="1064" t="e">
        <f>VLOOKUP(B146,'LƯƠNG KT'!$D$15:$R$94,13,0)</f>
        <v>#N/A</v>
      </c>
      <c r="E155" s="1065"/>
      <c r="F155" s="1065"/>
      <c r="G155" s="1056" t="s">
        <v>2675</v>
      </c>
      <c r="H155" s="1057" t="s">
        <v>2676</v>
      </c>
      <c r="J155" s="1064" t="e">
        <f>VLOOKUP(H146,'LƯƠNG KT'!$D$15:$R$94,13,0)</f>
        <v>#N/A</v>
      </c>
    </row>
    <row r="156" spans="1:15" ht="15" customHeight="1">
      <c r="A156" s="1066"/>
      <c r="B156" s="869"/>
      <c r="C156" s="1058"/>
      <c r="D156" s="1059"/>
      <c r="E156" s="1063"/>
      <c r="F156" s="1065"/>
      <c r="G156" s="1066"/>
      <c r="H156" s="869"/>
      <c r="I156" s="1058"/>
      <c r="J156" s="1059"/>
    </row>
    <row r="157" spans="1:15" ht="15" customHeight="1">
      <c r="A157" s="1052"/>
      <c r="B157" s="869"/>
      <c r="C157" s="1058"/>
      <c r="D157" s="1059"/>
      <c r="E157" s="1067"/>
      <c r="F157" s="1051"/>
      <c r="G157" s="1052"/>
      <c r="H157" s="869"/>
      <c r="I157" s="1058"/>
      <c r="J157" s="1059"/>
    </row>
    <row r="158" spans="1:15" ht="15" customHeight="1">
      <c r="A158" s="1068" t="s">
        <v>383</v>
      </c>
      <c r="B158" s="1069" t="s">
        <v>384</v>
      </c>
      <c r="C158" s="1070"/>
      <c r="D158" s="1071" t="e">
        <f>SUM(D147:D154)-D157</f>
        <v>#N/A</v>
      </c>
      <c r="E158" s="1072"/>
      <c r="F158" s="1073"/>
      <c r="G158" s="1068" t="s">
        <v>383</v>
      </c>
      <c r="H158" s="1069" t="s">
        <v>384</v>
      </c>
      <c r="I158" s="1070"/>
      <c r="J158" s="1071" t="e">
        <f>SUM(J147:J154)-J157</f>
        <v>#N/A</v>
      </c>
    </row>
    <row r="159" spans="1:15" ht="12.6" customHeight="1">
      <c r="A159" s="1074"/>
      <c r="B159" s="1075"/>
      <c r="C159" s="1076"/>
      <c r="D159" s="1077"/>
      <c r="E159" s="1077"/>
      <c r="F159" s="1078"/>
      <c r="G159" s="1074"/>
      <c r="H159" s="1075"/>
      <c r="I159" s="1076"/>
      <c r="J159" s="1077"/>
    </row>
    <row r="160" spans="1:15" ht="12.6" customHeight="1">
      <c r="A160" s="1074"/>
      <c r="B160" s="1075"/>
      <c r="C160" s="1076"/>
      <c r="D160" s="1077"/>
      <c r="E160" s="1077"/>
      <c r="F160" s="1078"/>
      <c r="G160" s="1074"/>
      <c r="H160" s="1075"/>
      <c r="I160" s="1076"/>
      <c r="J160" s="1077"/>
    </row>
    <row r="161" spans="1:15" ht="12.6" customHeight="1">
      <c r="A161" s="1074"/>
      <c r="B161" s="1075"/>
      <c r="C161" s="1076"/>
      <c r="D161" s="1077"/>
      <c r="E161" s="1077"/>
      <c r="F161" s="1078"/>
      <c r="G161" s="1074"/>
      <c r="H161" s="1075"/>
      <c r="I161" s="1076"/>
      <c r="J161" s="1077"/>
    </row>
    <row r="162" spans="1:15" ht="12.6" customHeight="1">
      <c r="A162" s="1074"/>
      <c r="B162" s="1075"/>
      <c r="C162" s="1076"/>
      <c r="D162" s="1077"/>
      <c r="E162" s="1077"/>
      <c r="F162" s="1078"/>
      <c r="G162" s="1074"/>
      <c r="H162" s="1075"/>
      <c r="I162" s="1076"/>
      <c r="J162" s="1077"/>
    </row>
    <row r="163" spans="1:15" ht="12.6" customHeight="1">
      <c r="A163" s="1074"/>
      <c r="B163" s="1075"/>
      <c r="C163" s="1076"/>
      <c r="D163" s="1077"/>
      <c r="E163" s="1077"/>
      <c r="F163" s="1078"/>
      <c r="G163" s="1074"/>
      <c r="H163" s="1075"/>
      <c r="I163" s="1076"/>
      <c r="J163" s="1077"/>
    </row>
    <row r="164" spans="1:15" ht="12.6" customHeight="1">
      <c r="A164" s="1074"/>
      <c r="B164" s="1075"/>
      <c r="C164" s="1076"/>
      <c r="D164" s="1077"/>
      <c r="E164" s="1077"/>
      <c r="F164" s="1078"/>
      <c r="G164" s="1074"/>
      <c r="H164" s="1075"/>
      <c r="I164" s="1076"/>
      <c r="J164" s="1077"/>
    </row>
    <row r="165" spans="1:15" ht="12.6" customHeight="1">
      <c r="A165" s="1074"/>
      <c r="B165" s="1075"/>
      <c r="C165" s="1076"/>
      <c r="D165" s="1077"/>
      <c r="E165" s="1077"/>
      <c r="F165" s="1078"/>
      <c r="G165" s="1074"/>
      <c r="H165" s="1075"/>
      <c r="I165" s="1076"/>
      <c r="J165" s="1077"/>
    </row>
    <row r="166" spans="1:15" ht="12.6" customHeight="1">
      <c r="A166" s="1074"/>
      <c r="B166" s="1075"/>
      <c r="C166" s="1076"/>
      <c r="D166" s="1077"/>
      <c r="E166" s="1077"/>
      <c r="F166" s="1078"/>
      <c r="G166" s="1074"/>
      <c r="H166" s="1075"/>
      <c r="I166" s="1076"/>
      <c r="J166" s="1077"/>
    </row>
    <row r="167" spans="1:15" ht="12.6" customHeight="1">
      <c r="A167" s="1074"/>
      <c r="B167" s="1075"/>
      <c r="C167" s="1076"/>
      <c r="D167" s="1077"/>
      <c r="E167" s="1077"/>
      <c r="F167" s="1078"/>
      <c r="G167" s="1074"/>
      <c r="H167" s="1075"/>
      <c r="I167" s="1076"/>
      <c r="J167" s="1077"/>
    </row>
    <row r="168" spans="1:15" ht="12.6" customHeight="1">
      <c r="A168" s="1074"/>
      <c r="B168" s="1075"/>
      <c r="C168" s="1076"/>
      <c r="D168" s="1077"/>
      <c r="E168" s="1077"/>
      <c r="F168" s="1078"/>
      <c r="G168" s="1074"/>
      <c r="H168" s="1075"/>
      <c r="I168" s="1076"/>
      <c r="J168" s="1077"/>
    </row>
    <row r="169" spans="1:15" ht="12.6" customHeight="1">
      <c r="A169" s="1074"/>
      <c r="B169" s="1075"/>
      <c r="C169" s="1076"/>
      <c r="D169" s="1077"/>
      <c r="E169" s="1077"/>
      <c r="F169" s="1078"/>
      <c r="G169" s="1074"/>
      <c r="H169" s="1075"/>
      <c r="I169" s="1076"/>
      <c r="J169" s="1077"/>
    </row>
    <row r="170" spans="1:15" ht="12.6" customHeight="1">
      <c r="A170" s="1075"/>
      <c r="B170" s="1075"/>
      <c r="C170" s="1079"/>
      <c r="D170" s="1080"/>
      <c r="E170" s="1075"/>
      <c r="F170" s="1081"/>
      <c r="G170" s="1075"/>
      <c r="H170" s="1075"/>
      <c r="I170" s="1079"/>
      <c r="J170" s="1080"/>
    </row>
    <row r="171" spans="1:15" ht="15" customHeight="1">
      <c r="A171" s="2242" t="str">
        <f>$K$2</f>
        <v>THÁNG 04/2025</v>
      </c>
      <c r="B171" s="2242"/>
      <c r="C171" s="2242"/>
      <c r="D171" s="2242"/>
      <c r="E171" s="1050"/>
      <c r="F171" s="1051"/>
      <c r="G171" s="2242" t="str">
        <f>$K$2</f>
        <v>THÁNG 04/2025</v>
      </c>
      <c r="H171" s="2242"/>
      <c r="I171" s="2242"/>
      <c r="J171" s="2242"/>
      <c r="K171" s="624"/>
    </row>
    <row r="172" spans="1:15" ht="15" customHeight="1">
      <c r="A172" s="1052" t="s">
        <v>356</v>
      </c>
      <c r="B172" s="1053" t="s">
        <v>401</v>
      </c>
      <c r="C172" s="869"/>
      <c r="D172" s="1049"/>
      <c r="E172" s="1054"/>
      <c r="F172" s="1055"/>
      <c r="G172" s="1052" t="s">
        <v>356</v>
      </c>
      <c r="H172" s="1053" t="s">
        <v>402</v>
      </c>
      <c r="I172" s="869"/>
      <c r="J172" s="1049"/>
      <c r="L172" s="1088"/>
      <c r="M172" s="1088"/>
      <c r="N172" s="1088"/>
      <c r="O172" s="1088"/>
    </row>
    <row r="173" spans="1:15" ht="15" customHeight="1">
      <c r="A173" s="1056" t="s">
        <v>359</v>
      </c>
      <c r="B173" s="1057" t="s">
        <v>2662</v>
      </c>
      <c r="C173" s="1058" t="e">
        <f>VLOOKUP(B172,'LƯƠNG KT'!$D$15:$R$94,4,0)</f>
        <v>#N/A</v>
      </c>
      <c r="D173" s="1059" t="e">
        <f>+C173*25000</f>
        <v>#N/A</v>
      </c>
      <c r="E173" s="1060"/>
      <c r="F173" s="1060"/>
      <c r="G173" s="1056" t="s">
        <v>359</v>
      </c>
      <c r="H173" s="1057" t="s">
        <v>2662</v>
      </c>
      <c r="I173" s="1058" t="e">
        <f>VLOOKUP(H172,'LƯƠNG KT'!$D$15:$R$94,4,0)</f>
        <v>#N/A</v>
      </c>
      <c r="J173" s="1059" t="e">
        <f>+I173*25000</f>
        <v>#N/A</v>
      </c>
      <c r="K173" s="1085"/>
      <c r="L173" s="1085"/>
      <c r="M173" s="1085"/>
      <c r="N173" s="1085"/>
      <c r="O173" s="1085"/>
    </row>
    <row r="174" spans="1:15" ht="15" customHeight="1">
      <c r="A174" s="1056" t="s">
        <v>361</v>
      </c>
      <c r="B174" s="1057" t="s">
        <v>2663</v>
      </c>
      <c r="C174" s="1058" t="e">
        <f>VLOOKUP(B172,'LƯƠNG KT'!$D$15:$R$94,15,0)</f>
        <v>#N/A</v>
      </c>
      <c r="D174" s="1059" t="e">
        <f>C174*$L$4</f>
        <v>#N/A</v>
      </c>
      <c r="E174" s="1061"/>
      <c r="F174" s="1061"/>
      <c r="G174" s="1056" t="s">
        <v>361</v>
      </c>
      <c r="H174" s="1057" t="s">
        <v>2663</v>
      </c>
      <c r="I174" s="1058" t="e">
        <f>VLOOKUP(H172,'LƯƠNG KT'!$D$15:$R$94,15,0)</f>
        <v>#N/A</v>
      </c>
      <c r="J174" s="1059" t="e">
        <f>I174*$L$4</f>
        <v>#N/A</v>
      </c>
      <c r="K174" s="1085"/>
      <c r="L174" s="1085"/>
      <c r="M174" s="1085"/>
      <c r="N174" s="1085"/>
      <c r="O174" s="1085"/>
    </row>
    <row r="175" spans="1:15" ht="15" customHeight="1">
      <c r="A175" s="1056" t="s">
        <v>364</v>
      </c>
      <c r="B175" s="1057" t="s">
        <v>2664</v>
      </c>
      <c r="C175" s="1058" t="e">
        <f>VLOOKUP(B172,'LƯƠNG KT'!$D$15:$R$94,16,0)</f>
        <v>#N/A</v>
      </c>
      <c r="D175" s="1059" t="e">
        <f>C175*$L$5</f>
        <v>#N/A</v>
      </c>
      <c r="E175" s="1061"/>
      <c r="F175" s="1061"/>
      <c r="G175" s="1056" t="s">
        <v>364</v>
      </c>
      <c r="H175" s="1057" t="s">
        <v>2664</v>
      </c>
      <c r="I175" s="1058" t="e">
        <f>VLOOKUP(H172,'LƯƠNG KT'!$D$15:$R$94,16,0)</f>
        <v>#N/A</v>
      </c>
      <c r="J175" s="1059" t="e">
        <f>I175*$L$5</f>
        <v>#N/A</v>
      </c>
      <c r="K175" s="1085"/>
      <c r="L175" s="1085"/>
      <c r="M175" s="1085"/>
      <c r="N175" s="1085"/>
      <c r="O175" s="1085"/>
    </row>
    <row r="176" spans="1:15" ht="15" customHeight="1">
      <c r="A176" s="1056" t="s">
        <v>370</v>
      </c>
      <c r="B176" s="1057" t="s">
        <v>2665</v>
      </c>
      <c r="C176" s="1058" t="e">
        <f>VLOOKUP(B172,'LƯƠNG KT'!$D$15:$R$94,24,0)</f>
        <v>#N/A</v>
      </c>
      <c r="D176" s="1059" t="e">
        <f>+C176*$L$6</f>
        <v>#N/A</v>
      </c>
      <c r="E176" s="1061"/>
      <c r="F176" s="1061"/>
      <c r="G176" s="1056" t="s">
        <v>370</v>
      </c>
      <c r="H176" s="1057" t="s">
        <v>2665</v>
      </c>
      <c r="I176" s="1058" t="e">
        <f>VLOOKUP(H172,'LƯƠNG KT'!$D$15:$R$94,24,0)</f>
        <v>#N/A</v>
      </c>
      <c r="J176" s="1059" t="e">
        <f>+I176*$L$6</f>
        <v>#N/A</v>
      </c>
      <c r="K176" s="1085"/>
      <c r="L176" s="1085"/>
      <c r="M176" s="1085"/>
      <c r="N176" s="1085"/>
      <c r="O176" s="1085"/>
    </row>
    <row r="177" spans="1:15" ht="15" customHeight="1">
      <c r="A177" s="1056" t="s">
        <v>2666</v>
      </c>
      <c r="B177" s="1057" t="s">
        <v>2667</v>
      </c>
      <c r="C177" s="1058" t="e">
        <f>VLOOKUP(B172,'LƯƠNG KT'!$D$15:$R$94,19,0)</f>
        <v>#N/A</v>
      </c>
      <c r="D177" s="1059" t="e">
        <f>+C177*$L$8</f>
        <v>#N/A</v>
      </c>
      <c r="E177" s="1061"/>
      <c r="F177" s="1061"/>
      <c r="G177" s="1056" t="s">
        <v>2666</v>
      </c>
      <c r="H177" s="1057" t="s">
        <v>2667</v>
      </c>
      <c r="I177" s="1058" t="e">
        <f>VLOOKUP(H172,'LƯƠNG KT'!$D$15:$R$94,19,0)</f>
        <v>#N/A</v>
      </c>
      <c r="J177" s="1059" t="e">
        <f>+I177*$L$8</f>
        <v>#N/A</v>
      </c>
      <c r="K177" s="1085"/>
      <c r="L177" s="1085"/>
      <c r="M177" s="1085"/>
      <c r="N177" s="1085"/>
      <c r="O177" s="1085"/>
    </row>
    <row r="178" spans="1:15" ht="15" customHeight="1">
      <c r="A178" s="1056" t="s">
        <v>2668</v>
      </c>
      <c r="B178" s="1062" t="s">
        <v>2669</v>
      </c>
      <c r="C178" s="1058" t="e">
        <f>VLOOKUP(B172,'LƯƠNG KT'!$D$15:$R$94,20,0)</f>
        <v>#N/A</v>
      </c>
      <c r="D178" s="1059" t="e">
        <f>+C178*$L$9</f>
        <v>#N/A</v>
      </c>
      <c r="E178" s="1061"/>
      <c r="F178" s="1061"/>
      <c r="G178" s="1056" t="s">
        <v>2668</v>
      </c>
      <c r="H178" s="1062" t="s">
        <v>2669</v>
      </c>
      <c r="I178" s="1058" t="e">
        <f>VLOOKUP(H172,'LƯƠNG KT'!$D$15:$R$94,20,0)</f>
        <v>#N/A</v>
      </c>
      <c r="J178" s="1059" t="e">
        <f>+I178*$L$9</f>
        <v>#N/A</v>
      </c>
      <c r="K178" s="1085"/>
      <c r="L178" s="1085"/>
      <c r="M178" s="1085"/>
      <c r="N178" s="1085"/>
      <c r="O178" s="1085"/>
    </row>
    <row r="179" spans="1:15" ht="15" customHeight="1">
      <c r="A179" s="1056" t="s">
        <v>2671</v>
      </c>
      <c r="B179" s="1057" t="s">
        <v>2672</v>
      </c>
      <c r="C179" s="1058" t="e">
        <f>VLOOKUP(B172,'LƯƠNG KT'!$D$15:$R$94,17,0)</f>
        <v>#N/A</v>
      </c>
      <c r="D179" s="1059" t="e">
        <f>+C179*$L$10</f>
        <v>#N/A</v>
      </c>
      <c r="E179" s="1061"/>
      <c r="F179" s="1061"/>
      <c r="G179" s="1056" t="s">
        <v>2671</v>
      </c>
      <c r="H179" s="1057" t="s">
        <v>2672</v>
      </c>
      <c r="I179" s="1058" t="e">
        <f>VLOOKUP(H172,'LƯƠNG KT'!$D$15:$R$94,17,0)</f>
        <v>#N/A</v>
      </c>
      <c r="J179" s="1059" t="e">
        <f>+I179*$L$10</f>
        <v>#N/A</v>
      </c>
      <c r="K179" s="1085"/>
      <c r="L179" s="1085"/>
      <c r="M179" s="1085"/>
      <c r="N179" s="1085"/>
      <c r="O179" s="1085"/>
    </row>
    <row r="180" spans="1:15" ht="15" customHeight="1">
      <c r="A180" s="1056" t="s">
        <v>374</v>
      </c>
      <c r="B180" s="1057" t="s">
        <v>2674</v>
      </c>
      <c r="C180" s="1058" t="e">
        <f>VLOOKUP(B172,'LƯƠNG KT'!$D$15:$R$94,12,0)</f>
        <v>#N/A</v>
      </c>
      <c r="D180" s="1059" t="e">
        <f>VLOOKUP(B172,'LƯƠNG KT'!$D$15:$R$94,14,0)</f>
        <v>#N/A</v>
      </c>
      <c r="E180" s="1063"/>
      <c r="F180" s="1061"/>
      <c r="G180" s="1056" t="s">
        <v>374</v>
      </c>
      <c r="H180" s="1057" t="s">
        <v>2674</v>
      </c>
      <c r="I180" s="1058" t="e">
        <f>VLOOKUP(H172,'LƯƠNG KT'!$D$15:$R$94,12,0)</f>
        <v>#N/A</v>
      </c>
      <c r="J180" s="1059" t="e">
        <f>VLOOKUP(H172,'LƯƠNG KT'!$D$15:$R$94,14,0)</f>
        <v>#N/A</v>
      </c>
      <c r="K180" s="1085"/>
      <c r="L180" s="1085"/>
      <c r="M180" s="1085"/>
      <c r="N180" s="1085"/>
      <c r="O180" s="1085"/>
    </row>
    <row r="181" spans="1:15" ht="15" customHeight="1">
      <c r="A181" s="1056" t="s">
        <v>2675</v>
      </c>
      <c r="B181" s="1057" t="s">
        <v>2676</v>
      </c>
      <c r="D181" s="1064" t="e">
        <f>VLOOKUP(B172,'LƯƠNG KT'!$D$15:$R$94,13,0)</f>
        <v>#N/A</v>
      </c>
      <c r="E181" s="1065"/>
      <c r="F181" s="1065"/>
      <c r="G181" s="1056" t="s">
        <v>2675</v>
      </c>
      <c r="H181" s="1057" t="s">
        <v>2676</v>
      </c>
      <c r="J181" s="1064" t="e">
        <f>VLOOKUP(H172,'LƯƠNG KT'!$D$15:$R$94,13,0)</f>
        <v>#N/A</v>
      </c>
    </row>
    <row r="182" spans="1:15" ht="15" customHeight="1">
      <c r="A182" s="1066"/>
      <c r="B182" s="869"/>
      <c r="C182" s="1058"/>
      <c r="D182" s="1059"/>
      <c r="E182" s="1063"/>
      <c r="F182" s="1065"/>
      <c r="G182" s="1066"/>
      <c r="H182" s="869"/>
      <c r="I182" s="1058"/>
      <c r="J182" s="1059"/>
    </row>
    <row r="183" spans="1:15" ht="15" customHeight="1">
      <c r="A183" s="1052"/>
      <c r="B183" s="869"/>
      <c r="C183" s="1058"/>
      <c r="D183" s="1059"/>
      <c r="E183" s="1067"/>
      <c r="F183" s="1051"/>
      <c r="G183" s="1052"/>
      <c r="H183" s="869"/>
      <c r="I183" s="1058"/>
      <c r="J183" s="1059"/>
    </row>
    <row r="184" spans="1:15" ht="15" customHeight="1">
      <c r="A184" s="1068" t="s">
        <v>383</v>
      </c>
      <c r="B184" s="1069" t="s">
        <v>384</v>
      </c>
      <c r="C184" s="1070"/>
      <c r="D184" s="1071" t="e">
        <f>SUM(D173:D180)-D183</f>
        <v>#N/A</v>
      </c>
      <c r="E184" s="1072"/>
      <c r="F184" s="1073"/>
      <c r="G184" s="1068" t="s">
        <v>383</v>
      </c>
      <c r="H184" s="1069" t="s">
        <v>384</v>
      </c>
      <c r="I184" s="1070"/>
      <c r="J184" s="1071" t="e">
        <f>SUM(J173:J180)-J183</f>
        <v>#N/A</v>
      </c>
    </row>
    <row r="185" spans="1:15" ht="18.75" customHeight="1">
      <c r="A185" s="1074"/>
      <c r="B185" s="1075"/>
      <c r="C185" s="1076"/>
      <c r="D185" s="1077"/>
      <c r="E185" s="1077"/>
      <c r="F185" s="1078"/>
      <c r="G185" s="1074"/>
      <c r="H185" s="1075"/>
      <c r="I185" s="1076"/>
      <c r="J185" s="1077"/>
    </row>
    <row r="186" spans="1:15" ht="18.75" customHeight="1">
      <c r="A186" s="1075"/>
      <c r="B186" s="1075"/>
      <c r="C186" s="1079"/>
      <c r="D186" s="1080"/>
      <c r="E186" s="1075"/>
      <c r="F186" s="1081"/>
      <c r="G186" s="1075"/>
      <c r="H186" s="1075"/>
      <c r="I186" s="1079"/>
      <c r="J186" s="1080"/>
    </row>
    <row r="187" spans="1:15" ht="15" customHeight="1">
      <c r="A187" s="2242" t="str">
        <f>$K$2</f>
        <v>THÁNG 04/2025</v>
      </c>
      <c r="B187" s="2242"/>
      <c r="C187" s="2242"/>
      <c r="D187" s="2242"/>
      <c r="E187" s="1050"/>
      <c r="F187" s="1051"/>
      <c r="G187" s="2242" t="str">
        <f>$K$2</f>
        <v>THÁNG 04/2025</v>
      </c>
      <c r="H187" s="2242"/>
      <c r="I187" s="2242"/>
      <c r="J187" s="2242"/>
      <c r="K187" s="624"/>
    </row>
    <row r="188" spans="1:15" ht="15" customHeight="1">
      <c r="A188" s="1052" t="s">
        <v>356</v>
      </c>
      <c r="B188" s="1053" t="s">
        <v>2620</v>
      </c>
      <c r="C188" s="869"/>
      <c r="D188" s="1049"/>
      <c r="E188" s="1054"/>
      <c r="F188" s="1055"/>
      <c r="G188" s="1052" t="s">
        <v>356</v>
      </c>
      <c r="H188" s="1053" t="s">
        <v>404</v>
      </c>
      <c r="I188" s="869"/>
      <c r="J188" s="1049"/>
      <c r="L188" s="1088"/>
      <c r="M188" s="1088"/>
      <c r="N188" s="1088"/>
      <c r="O188" s="1088"/>
    </row>
    <row r="189" spans="1:15" ht="15" customHeight="1">
      <c r="A189" s="1056" t="s">
        <v>359</v>
      </c>
      <c r="B189" s="1057" t="s">
        <v>2662</v>
      </c>
      <c r="C189" s="1058" t="e">
        <f>VLOOKUP(B188,'LƯƠNG KT'!$D$15:$R$94,4,0)</f>
        <v>#N/A</v>
      </c>
      <c r="D189" s="1059" t="e">
        <f>+C189*25000</f>
        <v>#N/A</v>
      </c>
      <c r="E189" s="1060"/>
      <c r="F189" s="1060"/>
      <c r="G189" s="1056" t="s">
        <v>359</v>
      </c>
      <c r="H189" s="1057" t="s">
        <v>2662</v>
      </c>
      <c r="I189" s="1058" t="e">
        <f>VLOOKUP(H188,'LƯƠNG KT'!$D$15:$R$94,4,0)</f>
        <v>#N/A</v>
      </c>
      <c r="J189" s="1059" t="e">
        <f>+I189*25000</f>
        <v>#N/A</v>
      </c>
      <c r="K189" s="1085"/>
      <c r="L189" s="1085"/>
      <c r="M189" s="1085"/>
      <c r="N189" s="1085"/>
      <c r="O189" s="1085"/>
    </row>
    <row r="190" spans="1:15" ht="15" customHeight="1">
      <c r="A190" s="1056" t="s">
        <v>361</v>
      </c>
      <c r="B190" s="1057" t="s">
        <v>2663</v>
      </c>
      <c r="C190" s="1058" t="e">
        <f>VLOOKUP(B188,'LƯƠNG KT'!$D$15:$R$94,15,0)</f>
        <v>#N/A</v>
      </c>
      <c r="D190" s="1059" t="e">
        <f>C190*$L$4</f>
        <v>#N/A</v>
      </c>
      <c r="E190" s="1061"/>
      <c r="F190" s="1061"/>
      <c r="G190" s="1056" t="s">
        <v>361</v>
      </c>
      <c r="H190" s="1057" t="s">
        <v>2663</v>
      </c>
      <c r="I190" s="1058" t="e">
        <f>VLOOKUP(H188,'LƯƠNG KT'!$D$15:$R$94,15,0)</f>
        <v>#N/A</v>
      </c>
      <c r="J190" s="1059" t="e">
        <f>I190*$L$4</f>
        <v>#N/A</v>
      </c>
      <c r="K190" s="1085"/>
      <c r="L190" s="1085"/>
      <c r="M190" s="1085"/>
      <c r="N190" s="1085"/>
      <c r="O190" s="1085"/>
    </row>
    <row r="191" spans="1:15" ht="15" customHeight="1">
      <c r="A191" s="1056" t="s">
        <v>364</v>
      </c>
      <c r="B191" s="1057" t="s">
        <v>2664</v>
      </c>
      <c r="C191" s="1058" t="e">
        <f>VLOOKUP(B188,'LƯƠNG KT'!$D$15:$R$94,16,0)</f>
        <v>#N/A</v>
      </c>
      <c r="D191" s="1059" t="e">
        <f>C191*$L$5</f>
        <v>#N/A</v>
      </c>
      <c r="E191" s="1061"/>
      <c r="F191" s="1061"/>
      <c r="G191" s="1056" t="s">
        <v>364</v>
      </c>
      <c r="H191" s="1057" t="s">
        <v>2664</v>
      </c>
      <c r="I191" s="1058" t="e">
        <f>VLOOKUP(H188,'LƯƠNG KT'!$D$15:$R$94,16,0)</f>
        <v>#N/A</v>
      </c>
      <c r="J191" s="1059" t="e">
        <f>I191*$L$5</f>
        <v>#N/A</v>
      </c>
      <c r="K191" s="1085"/>
      <c r="L191" s="1085"/>
      <c r="M191" s="1085"/>
      <c r="N191" s="1085"/>
      <c r="O191" s="1085"/>
    </row>
    <row r="192" spans="1:15" ht="15" customHeight="1">
      <c r="A192" s="1056" t="s">
        <v>370</v>
      </c>
      <c r="B192" s="1057" t="s">
        <v>2665</v>
      </c>
      <c r="C192" s="1058" t="e">
        <f>VLOOKUP(B188,'LƯƠNG KT'!$D$15:$R$94,24,0)</f>
        <v>#N/A</v>
      </c>
      <c r="D192" s="1059" t="e">
        <f>+C192*$L$6</f>
        <v>#N/A</v>
      </c>
      <c r="E192" s="1061"/>
      <c r="F192" s="1061"/>
      <c r="G192" s="1056" t="s">
        <v>370</v>
      </c>
      <c r="H192" s="1057" t="s">
        <v>2665</v>
      </c>
      <c r="I192" s="1058" t="e">
        <f>VLOOKUP(H188,'LƯƠNG KT'!$D$15:$R$94,24,0)</f>
        <v>#N/A</v>
      </c>
      <c r="J192" s="1059" t="e">
        <f>+I192*$L$6</f>
        <v>#N/A</v>
      </c>
      <c r="K192" s="1085"/>
      <c r="L192" s="1085"/>
      <c r="M192" s="1085"/>
      <c r="N192" s="1085"/>
      <c r="O192" s="1085"/>
    </row>
    <row r="193" spans="1:15" ht="15" customHeight="1">
      <c r="A193" s="1056" t="s">
        <v>2666</v>
      </c>
      <c r="B193" s="1057" t="s">
        <v>2667</v>
      </c>
      <c r="C193" s="1058" t="e">
        <f>VLOOKUP(B188,'LƯƠNG KT'!$D$15:$R$94,19,0)</f>
        <v>#N/A</v>
      </c>
      <c r="D193" s="1059" t="e">
        <f>+C193*$L$8</f>
        <v>#N/A</v>
      </c>
      <c r="E193" s="1061"/>
      <c r="F193" s="1061"/>
      <c r="G193" s="1056" t="s">
        <v>2666</v>
      </c>
      <c r="H193" s="1057" t="s">
        <v>2667</v>
      </c>
      <c r="I193" s="1058" t="e">
        <f>VLOOKUP(H188,'LƯƠNG KT'!$D$15:$R$94,19,0)</f>
        <v>#N/A</v>
      </c>
      <c r="J193" s="1059" t="e">
        <f>+I193*$L$8</f>
        <v>#N/A</v>
      </c>
      <c r="K193" s="1085"/>
      <c r="L193" s="1085"/>
      <c r="M193" s="1085"/>
      <c r="N193" s="1085"/>
      <c r="O193" s="1085"/>
    </row>
    <row r="194" spans="1:15" ht="15" customHeight="1">
      <c r="A194" s="1056" t="s">
        <v>2668</v>
      </c>
      <c r="B194" s="1062" t="s">
        <v>2669</v>
      </c>
      <c r="C194" s="1058" t="e">
        <f>VLOOKUP(B188,'LƯƠNG KT'!$D$15:$R$94,20,0)</f>
        <v>#N/A</v>
      </c>
      <c r="D194" s="1059" t="e">
        <f>+C194*$L$9</f>
        <v>#N/A</v>
      </c>
      <c r="E194" s="1061"/>
      <c r="F194" s="1061"/>
      <c r="G194" s="1056" t="s">
        <v>2668</v>
      </c>
      <c r="H194" s="1062" t="s">
        <v>2669</v>
      </c>
      <c r="I194" s="1058" t="e">
        <f>VLOOKUP(H188,'LƯƠNG KT'!$D$15:$R$94,20,0)</f>
        <v>#N/A</v>
      </c>
      <c r="J194" s="1059" t="e">
        <f>+I194*$L$9</f>
        <v>#N/A</v>
      </c>
      <c r="K194" s="1085"/>
      <c r="L194" s="1085"/>
      <c r="M194" s="1085"/>
      <c r="N194" s="1085"/>
      <c r="O194" s="1085"/>
    </row>
    <row r="195" spans="1:15" ht="15" customHeight="1">
      <c r="A195" s="1056" t="s">
        <v>2671</v>
      </c>
      <c r="B195" s="1057" t="s">
        <v>2672</v>
      </c>
      <c r="C195" s="1058" t="e">
        <f>VLOOKUP(B188,'LƯƠNG KT'!$D$15:$R$94,17,0)</f>
        <v>#N/A</v>
      </c>
      <c r="D195" s="1059" t="e">
        <f>+C195*$L$10</f>
        <v>#N/A</v>
      </c>
      <c r="E195" s="1061"/>
      <c r="F195" s="1061"/>
      <c r="G195" s="1056" t="s">
        <v>2671</v>
      </c>
      <c r="H195" s="1057" t="s">
        <v>2672</v>
      </c>
      <c r="I195" s="1058" t="e">
        <f>VLOOKUP(H188,'LƯƠNG KT'!$D$15:$R$94,17,0)</f>
        <v>#N/A</v>
      </c>
      <c r="J195" s="1059" t="e">
        <f>+I195*$L$10</f>
        <v>#N/A</v>
      </c>
      <c r="K195" s="1085"/>
      <c r="L195" s="1085"/>
      <c r="M195" s="1085"/>
      <c r="N195" s="1085"/>
      <c r="O195" s="1085"/>
    </row>
    <row r="196" spans="1:15" ht="15" customHeight="1">
      <c r="A196" s="1056" t="s">
        <v>374</v>
      </c>
      <c r="B196" s="1057" t="s">
        <v>2674</v>
      </c>
      <c r="C196" s="1058" t="e">
        <f>VLOOKUP(B188,'LƯƠNG KT'!$D$15:$R$94,12,0)</f>
        <v>#N/A</v>
      </c>
      <c r="D196" s="1059" t="e">
        <f>VLOOKUP(B188,'LƯƠNG KT'!$D$15:$R$94,14,0)</f>
        <v>#N/A</v>
      </c>
      <c r="E196" s="1063"/>
      <c r="F196" s="1061"/>
      <c r="G196" s="1056" t="s">
        <v>374</v>
      </c>
      <c r="H196" s="1057" t="s">
        <v>2674</v>
      </c>
      <c r="I196" s="1058" t="e">
        <f>VLOOKUP(H188,'LƯƠNG KT'!$D$15:$R$94,12,0)</f>
        <v>#N/A</v>
      </c>
      <c r="J196" s="1059" t="e">
        <f>VLOOKUP(H188,'LƯƠNG KT'!$D$15:$R$94,14,0)</f>
        <v>#N/A</v>
      </c>
      <c r="K196" s="1085"/>
      <c r="L196" s="1085"/>
      <c r="M196" s="1085"/>
      <c r="N196" s="1085"/>
      <c r="O196" s="1085"/>
    </row>
    <row r="197" spans="1:15" ht="15" customHeight="1">
      <c r="A197" s="1056" t="s">
        <v>2675</v>
      </c>
      <c r="B197" s="1057" t="s">
        <v>2676</v>
      </c>
      <c r="D197" s="1064" t="e">
        <f>VLOOKUP(B188,'LƯƠNG KT'!$D$15:$R$94,13,0)</f>
        <v>#N/A</v>
      </c>
      <c r="E197" s="1065"/>
      <c r="F197" s="1065"/>
      <c r="G197" s="1056" t="s">
        <v>2675</v>
      </c>
      <c r="H197" s="1057" t="s">
        <v>2676</v>
      </c>
      <c r="J197" s="1064" t="e">
        <f>VLOOKUP(H188,'LƯƠNG KT'!$D$15:$R$94,13,0)</f>
        <v>#N/A</v>
      </c>
    </row>
    <row r="198" spans="1:15" ht="15" customHeight="1">
      <c r="A198" s="1066"/>
      <c r="B198" s="869"/>
      <c r="C198" s="1058"/>
      <c r="D198" s="1059"/>
      <c r="E198" s="1063"/>
      <c r="F198" s="1065"/>
      <c r="G198" s="1066"/>
      <c r="H198" s="869"/>
      <c r="I198" s="1058"/>
      <c r="J198" s="1059"/>
    </row>
    <row r="199" spans="1:15" ht="15" customHeight="1">
      <c r="A199" s="1052"/>
      <c r="B199" s="869"/>
      <c r="C199" s="1058"/>
      <c r="D199" s="1059"/>
      <c r="E199" s="1067"/>
      <c r="F199" s="1051"/>
      <c r="G199" s="1052"/>
      <c r="H199" s="869"/>
      <c r="I199" s="1058"/>
      <c r="J199" s="1059"/>
    </row>
    <row r="200" spans="1:15" ht="15" customHeight="1">
      <c r="A200" s="1068" t="s">
        <v>383</v>
      </c>
      <c r="B200" s="1069" t="s">
        <v>384</v>
      </c>
      <c r="C200" s="1070"/>
      <c r="D200" s="1071" t="e">
        <f>SUM(D189:D196)-D199</f>
        <v>#N/A</v>
      </c>
      <c r="E200" s="1072"/>
      <c r="F200" s="1073"/>
      <c r="G200" s="1068" t="s">
        <v>383</v>
      </c>
      <c r="H200" s="1069" t="s">
        <v>384</v>
      </c>
      <c r="I200" s="1070"/>
      <c r="J200" s="1071" t="e">
        <f>SUM(J189:J196)-J199</f>
        <v>#N/A</v>
      </c>
    </row>
    <row r="201" spans="1:15" ht="18.75" customHeight="1">
      <c r="A201" s="1074"/>
      <c r="B201" s="1075"/>
      <c r="C201" s="1076"/>
      <c r="D201" s="1077"/>
      <c r="E201" s="1077"/>
      <c r="F201" s="1078"/>
      <c r="G201" s="1074"/>
      <c r="H201" s="1075"/>
      <c r="I201" s="1076"/>
      <c r="J201" s="1077"/>
    </row>
    <row r="202" spans="1:15" ht="18.75" customHeight="1">
      <c r="A202" s="1075"/>
      <c r="B202" s="1075"/>
      <c r="C202" s="1079"/>
      <c r="D202" s="1080"/>
      <c r="E202" s="1075"/>
      <c r="F202" s="1081"/>
      <c r="G202" s="1075"/>
      <c r="H202" s="1075"/>
      <c r="I202" s="1079"/>
      <c r="J202" s="1080"/>
    </row>
    <row r="203" spans="1:15" ht="15" customHeight="1">
      <c r="A203" s="2242" t="str">
        <f>$K$2</f>
        <v>THÁNG 04/2025</v>
      </c>
      <c r="B203" s="2242"/>
      <c r="C203" s="2242"/>
      <c r="D203" s="2242"/>
      <c r="E203" s="1050"/>
      <c r="F203" s="1051"/>
      <c r="G203" s="2242" t="str">
        <f>$K$2</f>
        <v>THÁNG 04/2025</v>
      </c>
      <c r="H203" s="2242"/>
      <c r="I203" s="2242"/>
      <c r="J203" s="2242"/>
      <c r="K203" s="624"/>
    </row>
    <row r="204" spans="1:15" ht="15" customHeight="1">
      <c r="A204" s="1052" t="s">
        <v>356</v>
      </c>
      <c r="B204" s="1053" t="s">
        <v>664</v>
      </c>
      <c r="C204" s="869"/>
      <c r="D204" s="1049"/>
      <c r="E204" s="1054"/>
      <c r="F204" s="1055"/>
      <c r="G204" s="1052" t="s">
        <v>356</v>
      </c>
      <c r="H204" s="1053" t="s">
        <v>406</v>
      </c>
      <c r="I204" s="869"/>
      <c r="J204" s="1049"/>
      <c r="L204" s="1088"/>
      <c r="M204" s="1088"/>
      <c r="N204" s="1088"/>
      <c r="O204" s="1088"/>
    </row>
    <row r="205" spans="1:15" ht="15" customHeight="1">
      <c r="A205" s="1056" t="s">
        <v>359</v>
      </c>
      <c r="B205" s="1057" t="s">
        <v>2662</v>
      </c>
      <c r="C205" s="1058" t="e">
        <f>VLOOKUP(B204,'LƯƠNG KT'!$D$15:$R$94,4,0)</f>
        <v>#N/A</v>
      </c>
      <c r="D205" s="1059" t="e">
        <f>+C205*25000</f>
        <v>#N/A</v>
      </c>
      <c r="E205" s="1060"/>
      <c r="F205" s="1060"/>
      <c r="G205" s="1056" t="s">
        <v>359</v>
      </c>
      <c r="H205" s="1057" t="s">
        <v>2662</v>
      </c>
      <c r="I205" s="1058" t="e">
        <f>VLOOKUP(H204,'LƯƠNG KT'!$D$15:$R$94,4,0)</f>
        <v>#N/A</v>
      </c>
      <c r="J205" s="1059" t="e">
        <f>+I205*25000</f>
        <v>#N/A</v>
      </c>
      <c r="K205" s="1085"/>
      <c r="L205" s="1085"/>
      <c r="M205" s="1085"/>
      <c r="N205" s="1085"/>
      <c r="O205" s="1085"/>
    </row>
    <row r="206" spans="1:15" ht="15" customHeight="1">
      <c r="A206" s="1056" t="s">
        <v>361</v>
      </c>
      <c r="B206" s="1057" t="s">
        <v>2663</v>
      </c>
      <c r="C206" s="1058" t="e">
        <f>VLOOKUP(B204,'LƯƠNG KT'!$D$15:$R$94,15,0)</f>
        <v>#N/A</v>
      </c>
      <c r="D206" s="1059" t="e">
        <f>C206*$L$4</f>
        <v>#N/A</v>
      </c>
      <c r="E206" s="1061"/>
      <c r="F206" s="1061"/>
      <c r="G206" s="1056" t="s">
        <v>361</v>
      </c>
      <c r="H206" s="1057" t="s">
        <v>2663</v>
      </c>
      <c r="I206" s="1058" t="e">
        <f>VLOOKUP(H204,'LƯƠNG KT'!$D$15:$R$94,15,0)</f>
        <v>#N/A</v>
      </c>
      <c r="J206" s="1059" t="e">
        <f>I206*$L$4</f>
        <v>#N/A</v>
      </c>
      <c r="K206" s="1085"/>
      <c r="L206" s="1085"/>
      <c r="M206" s="1085"/>
      <c r="N206" s="1085"/>
      <c r="O206" s="1085"/>
    </row>
    <row r="207" spans="1:15" ht="15" customHeight="1">
      <c r="A207" s="1056" t="s">
        <v>364</v>
      </c>
      <c r="B207" s="1057" t="s">
        <v>2664</v>
      </c>
      <c r="C207" s="1058" t="e">
        <f>VLOOKUP(B204,'LƯƠNG KT'!$D$15:$R$94,16,0)</f>
        <v>#N/A</v>
      </c>
      <c r="D207" s="1059" t="e">
        <f>C207*$L$5</f>
        <v>#N/A</v>
      </c>
      <c r="E207" s="1061"/>
      <c r="F207" s="1061"/>
      <c r="G207" s="1056" t="s">
        <v>364</v>
      </c>
      <c r="H207" s="1057" t="s">
        <v>2664</v>
      </c>
      <c r="I207" s="1058" t="e">
        <f>VLOOKUP(H204,'LƯƠNG KT'!$D$15:$R$94,16,0)</f>
        <v>#N/A</v>
      </c>
      <c r="J207" s="1059" t="e">
        <f>I207*$L$5</f>
        <v>#N/A</v>
      </c>
      <c r="K207" s="1085"/>
      <c r="L207" s="1085"/>
      <c r="M207" s="1085"/>
      <c r="N207" s="1085"/>
      <c r="O207" s="1085"/>
    </row>
    <row r="208" spans="1:15" ht="15" customHeight="1">
      <c r="A208" s="1056" t="s">
        <v>370</v>
      </c>
      <c r="B208" s="1057" t="s">
        <v>2665</v>
      </c>
      <c r="C208" s="1058" t="e">
        <f>VLOOKUP(B204,'LƯƠNG KT'!$D$15:$R$94,24,0)</f>
        <v>#N/A</v>
      </c>
      <c r="D208" s="1059" t="e">
        <f>+C208*$L$6</f>
        <v>#N/A</v>
      </c>
      <c r="E208" s="1061"/>
      <c r="F208" s="1061"/>
      <c r="G208" s="1056" t="s">
        <v>370</v>
      </c>
      <c r="H208" s="1057" t="s">
        <v>2665</v>
      </c>
      <c r="I208" s="1058" t="e">
        <f>VLOOKUP(H204,'LƯƠNG KT'!$D$15:$R$94,24,0)</f>
        <v>#N/A</v>
      </c>
      <c r="J208" s="1059" t="e">
        <f>+I208*$L$6</f>
        <v>#N/A</v>
      </c>
      <c r="K208" s="1085"/>
      <c r="L208" s="1085"/>
      <c r="M208" s="1085"/>
      <c r="N208" s="1085"/>
      <c r="O208" s="1085"/>
    </row>
    <row r="209" spans="1:15" ht="15" customHeight="1">
      <c r="A209" s="1056" t="s">
        <v>2666</v>
      </c>
      <c r="B209" s="1057" t="s">
        <v>2667</v>
      </c>
      <c r="C209" s="1058" t="e">
        <f>VLOOKUP(B204,'LƯƠNG KT'!$D$15:$R$94,19,0)</f>
        <v>#N/A</v>
      </c>
      <c r="D209" s="1059" t="e">
        <f>+C209*$L$8</f>
        <v>#N/A</v>
      </c>
      <c r="E209" s="1061"/>
      <c r="F209" s="1061"/>
      <c r="G209" s="1056" t="s">
        <v>2666</v>
      </c>
      <c r="H209" s="1057" t="s">
        <v>2667</v>
      </c>
      <c r="I209" s="1058" t="e">
        <f>VLOOKUP(H204,'LƯƠNG KT'!$D$15:$R$94,19,0)</f>
        <v>#N/A</v>
      </c>
      <c r="J209" s="1059" t="e">
        <f>+I209*$L$8</f>
        <v>#N/A</v>
      </c>
      <c r="K209" s="1085"/>
      <c r="L209" s="1085"/>
      <c r="M209" s="1085"/>
      <c r="N209" s="1085"/>
      <c r="O209" s="1085"/>
    </row>
    <row r="210" spans="1:15" ht="15" customHeight="1">
      <c r="A210" s="1056" t="s">
        <v>2668</v>
      </c>
      <c r="B210" s="1062" t="s">
        <v>2669</v>
      </c>
      <c r="C210" s="1058" t="e">
        <f>VLOOKUP(B204,'LƯƠNG KT'!$D$15:$R$94,20,0)</f>
        <v>#N/A</v>
      </c>
      <c r="D210" s="1059" t="e">
        <f>+C210*$L$9</f>
        <v>#N/A</v>
      </c>
      <c r="E210" s="1061"/>
      <c r="F210" s="1061"/>
      <c r="G210" s="1056" t="s">
        <v>2668</v>
      </c>
      <c r="H210" s="1062" t="s">
        <v>2669</v>
      </c>
      <c r="I210" s="1058" t="e">
        <f>VLOOKUP(H204,'LƯƠNG KT'!$D$15:$R$94,20,0)</f>
        <v>#N/A</v>
      </c>
      <c r="J210" s="1059" t="e">
        <f>+I210*$L$9</f>
        <v>#N/A</v>
      </c>
      <c r="K210" s="1085"/>
      <c r="L210" s="1085"/>
      <c r="M210" s="1085"/>
      <c r="N210" s="1085"/>
      <c r="O210" s="1085"/>
    </row>
    <row r="211" spans="1:15" ht="15" customHeight="1">
      <c r="A211" s="1056" t="s">
        <v>2671</v>
      </c>
      <c r="B211" s="1057" t="s">
        <v>2672</v>
      </c>
      <c r="C211" s="1058" t="e">
        <f>VLOOKUP(B204,'LƯƠNG KT'!$D$15:$R$94,17,0)</f>
        <v>#N/A</v>
      </c>
      <c r="D211" s="1059" t="e">
        <f>+C211*$L$10</f>
        <v>#N/A</v>
      </c>
      <c r="E211" s="1061"/>
      <c r="F211" s="1061"/>
      <c r="G211" s="1056" t="s">
        <v>2671</v>
      </c>
      <c r="H211" s="1057" t="s">
        <v>2672</v>
      </c>
      <c r="I211" s="1058" t="e">
        <f>VLOOKUP(H204,'LƯƠNG KT'!$D$15:$R$94,17,0)</f>
        <v>#N/A</v>
      </c>
      <c r="J211" s="1059" t="e">
        <f>+I211*$L$10</f>
        <v>#N/A</v>
      </c>
      <c r="K211" s="1085"/>
      <c r="L211" s="1085"/>
      <c r="M211" s="1085"/>
      <c r="N211" s="1085"/>
      <c r="O211" s="1085"/>
    </row>
    <row r="212" spans="1:15" ht="15" customHeight="1">
      <c r="A212" s="1056" t="s">
        <v>374</v>
      </c>
      <c r="B212" s="1057" t="s">
        <v>2674</v>
      </c>
      <c r="C212" s="1058" t="e">
        <f>VLOOKUP(B204,'LƯƠNG KT'!$D$15:$R$94,12,0)</f>
        <v>#N/A</v>
      </c>
      <c r="D212" s="1059" t="e">
        <f>VLOOKUP(B204,'LƯƠNG KT'!$D$15:$R$94,14,0)+(C206+C207+C209+C210)*20000</f>
        <v>#N/A</v>
      </c>
      <c r="E212" s="1063"/>
      <c r="F212" s="1061"/>
      <c r="G212" s="1056" t="s">
        <v>374</v>
      </c>
      <c r="H212" s="1057" t="s">
        <v>2674</v>
      </c>
      <c r="I212" s="1058" t="e">
        <f>VLOOKUP(H204,'LƯƠNG KT'!$D$15:$R$94,12,0)</f>
        <v>#N/A</v>
      </c>
      <c r="J212" s="1059" t="e">
        <f>VLOOKUP(H204,'LƯƠNG KT'!$D$15:$R$94,14,0)</f>
        <v>#N/A</v>
      </c>
      <c r="K212" s="1085"/>
      <c r="L212" s="1085"/>
      <c r="M212" s="1085"/>
      <c r="N212" s="1085"/>
      <c r="O212" s="1085"/>
    </row>
    <row r="213" spans="1:15" ht="15" customHeight="1">
      <c r="A213" s="1056" t="s">
        <v>2675</v>
      </c>
      <c r="B213" s="1057" t="s">
        <v>2676</v>
      </c>
      <c r="D213" s="1064" t="e">
        <f>VLOOKUP(B204,'LƯƠNG KT'!$D$15:$R$94,13,0)</f>
        <v>#N/A</v>
      </c>
      <c r="E213" s="1065"/>
      <c r="F213" s="1065"/>
      <c r="G213" s="1056" t="s">
        <v>2675</v>
      </c>
      <c r="H213" s="1057" t="s">
        <v>2676</v>
      </c>
      <c r="J213" s="1064" t="e">
        <f>VLOOKUP(H204,'LƯƠNG KT'!$D$15:$R$94,13,0)</f>
        <v>#N/A</v>
      </c>
    </row>
    <row r="214" spans="1:15" ht="15" customHeight="1">
      <c r="A214" s="1066"/>
      <c r="B214" s="869"/>
      <c r="C214" s="1058"/>
      <c r="D214" s="1059"/>
      <c r="E214" s="1063"/>
      <c r="F214" s="1065"/>
      <c r="G214" s="1066"/>
      <c r="H214" s="869"/>
      <c r="I214" s="1058"/>
      <c r="J214" s="1059"/>
    </row>
    <row r="215" spans="1:15" ht="15" customHeight="1">
      <c r="A215" s="1052"/>
      <c r="B215" s="869"/>
      <c r="C215" s="1058"/>
      <c r="D215" s="1059"/>
      <c r="E215" s="1067"/>
      <c r="F215" s="1051"/>
      <c r="G215" s="1052"/>
      <c r="H215" s="869"/>
      <c r="I215" s="1058"/>
      <c r="J215" s="1059"/>
    </row>
    <row r="216" spans="1:15" ht="15" customHeight="1">
      <c r="A216" s="1068" t="s">
        <v>383</v>
      </c>
      <c r="B216" s="1069" t="s">
        <v>384</v>
      </c>
      <c r="C216" s="1070"/>
      <c r="D216" s="1071" t="e">
        <f>SUM(D205:D212)-D215</f>
        <v>#N/A</v>
      </c>
      <c r="E216" s="1072"/>
      <c r="F216" s="1073"/>
      <c r="G216" s="1068" t="s">
        <v>383</v>
      </c>
      <c r="H216" s="1069" t="s">
        <v>384</v>
      </c>
      <c r="I216" s="1070"/>
      <c r="J216" s="1071" t="e">
        <f>SUM(J205:J212)-J215</f>
        <v>#N/A</v>
      </c>
    </row>
    <row r="217" spans="1:15" ht="15.75" customHeight="1">
      <c r="A217" s="1074"/>
      <c r="B217" s="1075"/>
      <c r="C217" s="1076"/>
      <c r="D217" s="1077"/>
      <c r="E217" s="1077"/>
      <c r="F217" s="1078"/>
      <c r="G217" s="1074"/>
      <c r="H217" s="1075"/>
      <c r="I217" s="1076"/>
      <c r="J217" s="1077"/>
    </row>
    <row r="219" spans="1:15" ht="130.5" customHeight="1">
      <c r="A219" s="2243"/>
      <c r="B219" s="2243"/>
      <c r="C219" s="2243"/>
      <c r="D219" s="2243"/>
      <c r="E219" s="2243"/>
      <c r="F219" s="2243"/>
      <c r="G219" s="2243"/>
      <c r="H219" s="2243"/>
      <c r="I219" s="2243"/>
      <c r="J219" s="2243"/>
    </row>
    <row r="220" spans="1:15" ht="15" customHeight="1">
      <c r="A220" s="2242" t="str">
        <f>$K$2</f>
        <v>THÁNG 04/2025</v>
      </c>
      <c r="B220" s="2242"/>
      <c r="C220" s="2242"/>
      <c r="D220" s="2242"/>
      <c r="E220" s="1050"/>
      <c r="F220" s="1051"/>
      <c r="G220" s="2242" t="str">
        <f>$K$2</f>
        <v>THÁNG 04/2025</v>
      </c>
      <c r="H220" s="2242"/>
      <c r="I220" s="2242"/>
      <c r="J220" s="2242"/>
      <c r="K220" s="624"/>
    </row>
    <row r="221" spans="1:15" ht="15" customHeight="1">
      <c r="A221" s="1052" t="s">
        <v>356</v>
      </c>
      <c r="B221" s="1053" t="s">
        <v>407</v>
      </c>
      <c r="C221" s="869"/>
      <c r="D221" s="1049"/>
      <c r="E221" s="1054"/>
      <c r="F221" s="1055"/>
      <c r="G221" s="1052" t="s">
        <v>356</v>
      </c>
      <c r="H221" s="1053" t="s">
        <v>408</v>
      </c>
      <c r="I221" s="869"/>
      <c r="J221" s="1049"/>
      <c r="L221" s="1088"/>
      <c r="M221" s="1088"/>
      <c r="N221" s="1088"/>
      <c r="O221" s="1088"/>
    </row>
    <row r="222" spans="1:15" ht="15" customHeight="1">
      <c r="A222" s="1056" t="s">
        <v>359</v>
      </c>
      <c r="B222" s="1057" t="s">
        <v>2662</v>
      </c>
      <c r="C222" s="1058" t="e">
        <f>VLOOKUP(B221,'LƯƠNG KT'!$D$15:$R$94,4,0)</f>
        <v>#N/A</v>
      </c>
      <c r="D222" s="1059" t="e">
        <f>+C222*25000</f>
        <v>#N/A</v>
      </c>
      <c r="E222" s="1060"/>
      <c r="F222" s="1060"/>
      <c r="G222" s="1056" t="s">
        <v>359</v>
      </c>
      <c r="H222" s="1057" t="s">
        <v>2662</v>
      </c>
      <c r="I222" s="1058">
        <f>VLOOKUP(H221,'LƯƠNG KT'!$D$15:$R$94,4,0)</f>
        <v>0</v>
      </c>
      <c r="J222" s="1059">
        <f>+I222*25000</f>
        <v>0</v>
      </c>
      <c r="K222" s="1084"/>
      <c r="L222" s="1085"/>
      <c r="M222" s="1085"/>
      <c r="N222" s="1085"/>
      <c r="O222" s="1085"/>
    </row>
    <row r="223" spans="1:15" ht="15" customHeight="1">
      <c r="A223" s="1056" t="s">
        <v>361</v>
      </c>
      <c r="B223" s="1057" t="s">
        <v>2663</v>
      </c>
      <c r="C223" s="1058" t="e">
        <f>VLOOKUP(B221,'LƯƠNG KT'!$D$15:$R$94,15,0)</f>
        <v>#N/A</v>
      </c>
      <c r="D223" s="1059" t="e">
        <f>C223*$L$4</f>
        <v>#N/A</v>
      </c>
      <c r="E223" s="1061"/>
      <c r="F223" s="1061"/>
      <c r="G223" s="1056" t="s">
        <v>361</v>
      </c>
      <c r="H223" s="1057" t="s">
        <v>2663</v>
      </c>
      <c r="I223" s="1058">
        <f>VLOOKUP(H221,'LƯƠNG KT'!$D$15:$R$94,15,0)</f>
        <v>1628607</v>
      </c>
      <c r="J223" s="1059">
        <f>I223*$L$4</f>
        <v>50215693021.068001</v>
      </c>
      <c r="K223" s="1084"/>
      <c r="L223" s="1085"/>
      <c r="M223" s="1085"/>
      <c r="N223" s="1085"/>
      <c r="O223" s="1085"/>
    </row>
    <row r="224" spans="1:15" ht="15" customHeight="1">
      <c r="A224" s="1056" t="s">
        <v>364</v>
      </c>
      <c r="B224" s="1057" t="s">
        <v>2664</v>
      </c>
      <c r="C224" s="1058" t="e">
        <f>VLOOKUP(B221,'LƯƠNG KT'!$D$15:$R$94,16,0)</f>
        <v>#N/A</v>
      </c>
      <c r="D224" s="1059" t="e">
        <f>C224*$L$5</f>
        <v>#N/A</v>
      </c>
      <c r="E224" s="1061"/>
      <c r="F224" s="1061"/>
      <c r="G224" s="1056" t="s">
        <v>364</v>
      </c>
      <c r="H224" s="1057" t="s">
        <v>2664</v>
      </c>
      <c r="I224" s="1058" t="e">
        <f>VLOOKUP(H221,'LƯƠNG KT'!$D$15:$R$94,16,0)</f>
        <v>#REF!</v>
      </c>
      <c r="J224" s="1059" t="e">
        <f>I224*$L$5</f>
        <v>#REF!</v>
      </c>
      <c r="K224" s="1084"/>
      <c r="L224" s="1085"/>
      <c r="M224" s="1085"/>
      <c r="N224" s="1085"/>
      <c r="O224" s="1085"/>
    </row>
    <row r="225" spans="1:15" ht="15" customHeight="1">
      <c r="A225" s="1056" t="s">
        <v>370</v>
      </c>
      <c r="B225" s="1057" t="s">
        <v>2665</v>
      </c>
      <c r="C225" s="1058" t="e">
        <f>VLOOKUP(B221,'LƯƠNG KT'!$D$15:$R$94,24,0)</f>
        <v>#N/A</v>
      </c>
      <c r="D225" s="1059" t="e">
        <f>+C225*$L$6</f>
        <v>#N/A</v>
      </c>
      <c r="E225" s="1061"/>
      <c r="F225" s="1061"/>
      <c r="G225" s="1056" t="s">
        <v>370</v>
      </c>
      <c r="H225" s="1057" t="s">
        <v>2665</v>
      </c>
      <c r="I225" s="1058" t="e">
        <f>VLOOKUP(H221,'LƯƠNG KT'!$D$15:$R$94,24,0)</f>
        <v>#REF!</v>
      </c>
      <c r="J225" s="1059" t="e">
        <f>+I225*$L$6</f>
        <v>#REF!</v>
      </c>
      <c r="K225" s="1085"/>
      <c r="L225" s="1085"/>
      <c r="M225" s="1085"/>
      <c r="N225" s="1085"/>
      <c r="O225" s="1085"/>
    </row>
    <row r="226" spans="1:15" ht="15" customHeight="1">
      <c r="A226" s="1056" t="s">
        <v>2666</v>
      </c>
      <c r="B226" s="1057" t="s">
        <v>2667</v>
      </c>
      <c r="C226" s="1058" t="e">
        <f>VLOOKUP(B221,'LƯƠNG KT'!$D$15:$R$94,19,0)</f>
        <v>#N/A</v>
      </c>
      <c r="D226" s="1059" t="e">
        <f>+C226*$L$8</f>
        <v>#N/A</v>
      </c>
      <c r="E226" s="1061"/>
      <c r="F226" s="1061"/>
      <c r="G226" s="1056" t="s">
        <v>2666</v>
      </c>
      <c r="H226" s="1057" t="s">
        <v>2667</v>
      </c>
      <c r="I226" s="1058" t="e">
        <f>VLOOKUP(H221,'LƯƠNG KT'!$D$15:$R$94,19,0)</f>
        <v>#REF!</v>
      </c>
      <c r="J226" s="1059" t="e">
        <f>+I226*$L$8</f>
        <v>#REF!</v>
      </c>
      <c r="K226" s="1085"/>
      <c r="L226" s="1085"/>
      <c r="M226" s="1085"/>
      <c r="N226" s="1085"/>
      <c r="O226" s="1085"/>
    </row>
    <row r="227" spans="1:15" ht="15" customHeight="1">
      <c r="A227" s="1056" t="s">
        <v>2668</v>
      </c>
      <c r="B227" s="1062" t="s">
        <v>2669</v>
      </c>
      <c r="C227" s="1058" t="e">
        <f>VLOOKUP(B221,'LƯƠNG KT'!$D$15:$R$94,20,0)</f>
        <v>#N/A</v>
      </c>
      <c r="D227" s="1059" t="e">
        <f>+C227*$L$9</f>
        <v>#N/A</v>
      </c>
      <c r="E227" s="1061"/>
      <c r="F227" s="1061"/>
      <c r="G227" s="1056" t="s">
        <v>2668</v>
      </c>
      <c r="H227" s="1062" t="s">
        <v>2669</v>
      </c>
      <c r="I227" s="1058" t="e">
        <f>VLOOKUP(H221,'LƯƠNG KT'!$D$15:$R$94,20,0)</f>
        <v>#REF!</v>
      </c>
      <c r="J227" s="1059" t="e">
        <f>+I227*$L$9</f>
        <v>#REF!</v>
      </c>
      <c r="K227" s="1085"/>
      <c r="L227" s="1085"/>
      <c r="M227" s="1085"/>
      <c r="N227" s="1085"/>
      <c r="O227" s="1085"/>
    </row>
    <row r="228" spans="1:15" ht="15" customHeight="1">
      <c r="A228" s="1056" t="s">
        <v>2671</v>
      </c>
      <c r="B228" s="1057" t="s">
        <v>2672</v>
      </c>
      <c r="C228" s="1058" t="e">
        <f>VLOOKUP(B221,'LƯƠNG KT'!$D$15:$R$94,17,0)</f>
        <v>#N/A</v>
      </c>
      <c r="D228" s="1059" t="e">
        <f>+C228*$L$10</f>
        <v>#N/A</v>
      </c>
      <c r="E228" s="1061"/>
      <c r="F228" s="1061"/>
      <c r="G228" s="1056" t="s">
        <v>2671</v>
      </c>
      <c r="H228" s="1057" t="s">
        <v>2672</v>
      </c>
      <c r="I228" s="1058" t="e">
        <f>VLOOKUP(H221,'LƯƠNG KT'!$D$15:$R$94,17,0)</f>
        <v>#REF!</v>
      </c>
      <c r="J228" s="1059" t="e">
        <f>+I228*$L$10</f>
        <v>#REF!</v>
      </c>
      <c r="K228" s="1085"/>
      <c r="L228" s="1085"/>
      <c r="M228" s="1085"/>
      <c r="N228" s="1085"/>
      <c r="O228" s="1085"/>
    </row>
    <row r="229" spans="1:15" ht="15" customHeight="1">
      <c r="A229" s="1056" t="s">
        <v>374</v>
      </c>
      <c r="B229" s="1057" t="s">
        <v>2674</v>
      </c>
      <c r="C229" s="1058" t="e">
        <f>VLOOKUP(B221,'LƯƠNG KT'!$D$15:$R$94,12,0)</f>
        <v>#N/A</v>
      </c>
      <c r="D229" s="1059" t="e">
        <f>VLOOKUP(B221,'LƯƠNG KT'!$D$15:$R$94,14,0)</f>
        <v>#N/A</v>
      </c>
      <c r="E229" s="1063"/>
      <c r="F229" s="1061"/>
      <c r="G229" s="1056" t="s">
        <v>374</v>
      </c>
      <c r="H229" s="1057" t="s">
        <v>2674</v>
      </c>
      <c r="I229" s="1058">
        <f>VLOOKUP(H221,'LƯƠNG KT'!$D$15:$R$94,12,0)</f>
        <v>1</v>
      </c>
      <c r="J229" s="1059">
        <f>VLOOKUP(H221,'LƯƠNG KT'!$D$15:$R$94,14,0)</f>
        <v>0</v>
      </c>
      <c r="K229" s="1085"/>
      <c r="L229" s="1085"/>
      <c r="M229" s="1085"/>
      <c r="N229" s="1085"/>
      <c r="O229" s="1085"/>
    </row>
    <row r="230" spans="1:15" ht="15" customHeight="1">
      <c r="A230" s="1056" t="s">
        <v>2675</v>
      </c>
      <c r="B230" s="1057" t="s">
        <v>2676</v>
      </c>
      <c r="D230" s="1064" t="e">
        <f>VLOOKUP(B221,'LƯƠNG KT'!$D$15:$R$94,13,0)</f>
        <v>#N/A</v>
      </c>
      <c r="E230" s="1065"/>
      <c r="F230" s="1065"/>
      <c r="G230" s="1056" t="s">
        <v>2675</v>
      </c>
      <c r="H230" s="1057" t="s">
        <v>2676</v>
      </c>
      <c r="J230" s="1064">
        <f>VLOOKUP(H221,'LƯƠNG KT'!$D$15:$R$94,13,0)</f>
        <v>29</v>
      </c>
    </row>
    <row r="231" spans="1:15" ht="15" customHeight="1">
      <c r="A231" s="1066"/>
      <c r="B231" s="869"/>
      <c r="C231" s="1058"/>
      <c r="D231" s="1059"/>
      <c r="E231" s="1063"/>
      <c r="F231" s="1065"/>
      <c r="G231" s="1066"/>
      <c r="H231" s="869"/>
      <c r="I231" s="1058"/>
      <c r="J231" s="1059"/>
    </row>
    <row r="232" spans="1:15" ht="15" customHeight="1">
      <c r="A232" s="1052"/>
      <c r="B232" s="869"/>
      <c r="C232" s="1058"/>
      <c r="D232" s="1059"/>
      <c r="E232" s="1067"/>
      <c r="F232" s="1051"/>
      <c r="G232" s="1052"/>
      <c r="H232" s="869"/>
      <c r="I232" s="1058"/>
      <c r="J232" s="1059"/>
    </row>
    <row r="233" spans="1:15" ht="15" customHeight="1">
      <c r="A233" s="1068" t="s">
        <v>383</v>
      </c>
      <c r="B233" s="1069" t="s">
        <v>384</v>
      </c>
      <c r="C233" s="1070"/>
      <c r="D233" s="1071" t="e">
        <f>SUM(D222:D229)-D232</f>
        <v>#N/A</v>
      </c>
      <c r="E233" s="1072"/>
      <c r="F233" s="1073"/>
      <c r="G233" s="1068" t="s">
        <v>383</v>
      </c>
      <c r="H233" s="1069" t="s">
        <v>384</v>
      </c>
      <c r="I233" s="1070"/>
      <c r="J233" s="1071" t="e">
        <f>SUM(J222:J229)-J232</f>
        <v>#REF!</v>
      </c>
    </row>
    <row r="234" spans="1:15" ht="12.6" customHeight="1">
      <c r="A234" s="1074"/>
      <c r="B234" s="1075"/>
      <c r="C234" s="1076"/>
      <c r="D234" s="1077"/>
      <c r="E234" s="1077"/>
      <c r="F234" s="1078"/>
      <c r="G234" s="1074"/>
      <c r="H234" s="1075"/>
      <c r="I234" s="1076"/>
      <c r="J234" s="1077"/>
    </row>
    <row r="235" spans="1:15" ht="12.6" customHeight="1">
      <c r="A235" s="1075"/>
      <c r="B235" s="1075"/>
      <c r="C235" s="1079"/>
      <c r="D235" s="1080"/>
      <c r="E235" s="1075"/>
      <c r="F235" s="1081"/>
      <c r="G235" s="1075"/>
      <c r="H235" s="1075"/>
      <c r="I235" s="1079"/>
      <c r="J235" s="1080"/>
    </row>
    <row r="236" spans="1:15" ht="15" customHeight="1">
      <c r="A236" s="2242" t="str">
        <f>$K$2</f>
        <v>THÁNG 04/2025</v>
      </c>
      <c r="B236" s="2242"/>
      <c r="C236" s="2242"/>
      <c r="D236" s="2242"/>
      <c r="E236" s="1050"/>
      <c r="F236" s="1051"/>
      <c r="G236" s="2242" t="str">
        <f>$K$2</f>
        <v>THÁNG 04/2025</v>
      </c>
      <c r="H236" s="2242"/>
      <c r="I236" s="2242"/>
      <c r="J236" s="2242"/>
      <c r="K236" s="624"/>
    </row>
    <row r="237" spans="1:15" ht="15" customHeight="1">
      <c r="A237" s="1052" t="s">
        <v>356</v>
      </c>
      <c r="B237" s="1053" t="s">
        <v>1939</v>
      </c>
      <c r="C237" s="869"/>
      <c r="D237" s="1049"/>
      <c r="E237" s="1054"/>
      <c r="F237" s="1055"/>
      <c r="G237" s="1052" t="s">
        <v>356</v>
      </c>
      <c r="H237" s="1053" t="s">
        <v>424</v>
      </c>
      <c r="I237" s="869"/>
      <c r="J237" s="1049"/>
      <c r="L237" s="1088"/>
      <c r="M237" s="1088"/>
      <c r="N237" s="1088"/>
      <c r="O237" s="1088"/>
    </row>
    <row r="238" spans="1:15" ht="15" customHeight="1">
      <c r="A238" s="1056" t="s">
        <v>359</v>
      </c>
      <c r="B238" s="1057" t="s">
        <v>2662</v>
      </c>
      <c r="C238" s="1058" t="e">
        <f>VLOOKUP(B237,'LƯƠNG KT'!$D$15:$R$94,4,0)</f>
        <v>#N/A</v>
      </c>
      <c r="D238" s="1059" t="e">
        <f>+C238*25000</f>
        <v>#N/A</v>
      </c>
      <c r="E238" s="1060"/>
      <c r="F238" s="1060"/>
      <c r="G238" s="1056" t="s">
        <v>359</v>
      </c>
      <c r="H238" s="1057" t="s">
        <v>2662</v>
      </c>
      <c r="I238" s="1058" t="e">
        <f>VLOOKUP(H237,'LƯƠNG KT'!$D$15:$R$94,4,0)</f>
        <v>#N/A</v>
      </c>
      <c r="J238" s="1059" t="e">
        <f>+I238*25000</f>
        <v>#N/A</v>
      </c>
      <c r="K238" s="1085"/>
      <c r="L238" s="1085"/>
      <c r="M238" s="1085"/>
      <c r="N238" s="1085"/>
      <c r="O238" s="1085"/>
    </row>
    <row r="239" spans="1:15" ht="15" customHeight="1">
      <c r="A239" s="1056" t="s">
        <v>361</v>
      </c>
      <c r="B239" s="1057" t="s">
        <v>2663</v>
      </c>
      <c r="C239" s="1058" t="e">
        <f>VLOOKUP(B237,'LƯƠNG KT'!$D$15:$R$94,15,0)</f>
        <v>#N/A</v>
      </c>
      <c r="D239" s="1059" t="e">
        <f>C239*$L$4</f>
        <v>#N/A</v>
      </c>
      <c r="E239" s="1061"/>
      <c r="F239" s="1061"/>
      <c r="G239" s="1056" t="s">
        <v>361</v>
      </c>
      <c r="H239" s="1057" t="s">
        <v>2663</v>
      </c>
      <c r="I239" s="1058" t="e">
        <f>VLOOKUP(H237,'LƯƠNG KT'!$D$15:$R$94,15,0)</f>
        <v>#N/A</v>
      </c>
      <c r="J239" s="1059" t="e">
        <f>I239*$L$4</f>
        <v>#N/A</v>
      </c>
      <c r="K239" s="1085"/>
      <c r="L239" s="1085"/>
      <c r="M239" s="1085"/>
      <c r="N239" s="1085"/>
      <c r="O239" s="1085"/>
    </row>
    <row r="240" spans="1:15" ht="15" customHeight="1">
      <c r="A240" s="1056" t="s">
        <v>364</v>
      </c>
      <c r="B240" s="1057" t="s">
        <v>2664</v>
      </c>
      <c r="C240" s="1058" t="e">
        <f>VLOOKUP(B237,'LƯƠNG KT'!$D$15:$R$94,16,0)</f>
        <v>#N/A</v>
      </c>
      <c r="D240" s="1059" t="e">
        <f>C240*$L$5</f>
        <v>#N/A</v>
      </c>
      <c r="E240" s="1061"/>
      <c r="F240" s="1061"/>
      <c r="G240" s="1056" t="s">
        <v>364</v>
      </c>
      <c r="H240" s="1057" t="s">
        <v>2664</v>
      </c>
      <c r="I240" s="1058" t="e">
        <f>VLOOKUP(H237,'LƯƠNG KT'!$D$15:$R$94,16,0)</f>
        <v>#N/A</v>
      </c>
      <c r="J240" s="1059" t="e">
        <f>I240*$L$5</f>
        <v>#N/A</v>
      </c>
      <c r="K240" s="1085"/>
      <c r="L240" s="1085"/>
      <c r="M240" s="1085"/>
      <c r="N240" s="1085"/>
      <c r="O240" s="1085"/>
    </row>
    <row r="241" spans="1:15" ht="15" customHeight="1">
      <c r="A241" s="1056" t="s">
        <v>370</v>
      </c>
      <c r="B241" s="1057" t="s">
        <v>2665</v>
      </c>
      <c r="C241" s="1058" t="e">
        <f>VLOOKUP(B237,'LƯƠNG KT'!$D$15:$R$94,24,0)</f>
        <v>#N/A</v>
      </c>
      <c r="D241" s="1059" t="e">
        <f>+C241*$L$6</f>
        <v>#N/A</v>
      </c>
      <c r="E241" s="1061"/>
      <c r="F241" s="1061"/>
      <c r="G241" s="1056" t="s">
        <v>370</v>
      </c>
      <c r="H241" s="1057" t="s">
        <v>2665</v>
      </c>
      <c r="I241" s="1058" t="e">
        <f>VLOOKUP(H237,'LƯƠNG KT'!$D$15:$R$94,24,0)</f>
        <v>#N/A</v>
      </c>
      <c r="J241" s="1059" t="e">
        <f>+I241*$L$6</f>
        <v>#N/A</v>
      </c>
      <c r="K241" s="1085"/>
      <c r="L241" s="1085"/>
      <c r="M241" s="1085"/>
      <c r="N241" s="1085"/>
      <c r="O241" s="1085"/>
    </row>
    <row r="242" spans="1:15" ht="15" customHeight="1">
      <c r="A242" s="1056" t="s">
        <v>2666</v>
      </c>
      <c r="B242" s="1057" t="s">
        <v>2667</v>
      </c>
      <c r="C242" s="1058" t="e">
        <f>VLOOKUP(B237,'LƯƠNG KT'!$D$15:$R$94,19,0)</f>
        <v>#N/A</v>
      </c>
      <c r="D242" s="1059" t="e">
        <f>+C242*$L$8</f>
        <v>#N/A</v>
      </c>
      <c r="E242" s="1061"/>
      <c r="F242" s="1061"/>
      <c r="G242" s="1056" t="s">
        <v>2666</v>
      </c>
      <c r="H242" s="1057" t="s">
        <v>2667</v>
      </c>
      <c r="I242" s="1058" t="e">
        <f>VLOOKUP(H237,'LƯƠNG KT'!$D$15:$R$94,19,0)</f>
        <v>#N/A</v>
      </c>
      <c r="J242" s="1059" t="e">
        <f>+I242*$L$8</f>
        <v>#N/A</v>
      </c>
      <c r="K242" s="1085"/>
      <c r="L242" s="1085"/>
      <c r="M242" s="1085"/>
      <c r="N242" s="1085"/>
      <c r="O242" s="1085"/>
    </row>
    <row r="243" spans="1:15" ht="15" customHeight="1">
      <c r="A243" s="1056" t="s">
        <v>2668</v>
      </c>
      <c r="B243" s="1062" t="s">
        <v>2669</v>
      </c>
      <c r="C243" s="1058" t="e">
        <f>VLOOKUP(B237,'LƯƠNG KT'!$D$15:$R$94,20,0)</f>
        <v>#N/A</v>
      </c>
      <c r="D243" s="1059" t="e">
        <f>+C243*$L$9</f>
        <v>#N/A</v>
      </c>
      <c r="E243" s="1061"/>
      <c r="F243" s="1061"/>
      <c r="G243" s="1056" t="s">
        <v>2668</v>
      </c>
      <c r="H243" s="1062" t="s">
        <v>2669</v>
      </c>
      <c r="I243" s="1058" t="e">
        <f>VLOOKUP(H237,'LƯƠNG KT'!$D$15:$R$94,20,0)</f>
        <v>#N/A</v>
      </c>
      <c r="J243" s="1059" t="e">
        <f>+I243*$L$9</f>
        <v>#N/A</v>
      </c>
      <c r="K243" s="1085"/>
      <c r="L243" s="1085"/>
      <c r="M243" s="1085"/>
      <c r="N243" s="1085"/>
      <c r="O243" s="1085"/>
    </row>
    <row r="244" spans="1:15" ht="15" customHeight="1">
      <c r="A244" s="1056" t="s">
        <v>2671</v>
      </c>
      <c r="B244" s="1057" t="s">
        <v>2672</v>
      </c>
      <c r="C244" s="1058" t="e">
        <f>VLOOKUP(B237,'LƯƠNG KT'!$D$15:$R$94,17,0)</f>
        <v>#N/A</v>
      </c>
      <c r="D244" s="1059" t="e">
        <f>+C244*$L$10</f>
        <v>#N/A</v>
      </c>
      <c r="E244" s="1061"/>
      <c r="F244" s="1061"/>
      <c r="G244" s="1056" t="s">
        <v>2671</v>
      </c>
      <c r="H244" s="1057" t="s">
        <v>2672</v>
      </c>
      <c r="I244" s="1058" t="e">
        <f>VLOOKUP(H237,'LƯƠNG KT'!$D$15:$R$94,17,0)</f>
        <v>#N/A</v>
      </c>
      <c r="J244" s="1059" t="e">
        <f>+I244*$L$10</f>
        <v>#N/A</v>
      </c>
      <c r="K244" s="1085"/>
      <c r="L244" s="1085"/>
      <c r="M244" s="1085"/>
      <c r="N244" s="1085"/>
      <c r="O244" s="1085"/>
    </row>
    <row r="245" spans="1:15" ht="15" customHeight="1">
      <c r="A245" s="1056" t="s">
        <v>374</v>
      </c>
      <c r="B245" s="1057" t="s">
        <v>2674</v>
      </c>
      <c r="C245" s="1058" t="e">
        <f>VLOOKUP(B237,'LƯƠNG KT'!$D$15:$R$94,12,0)</f>
        <v>#N/A</v>
      </c>
      <c r="D245" s="1059" t="e">
        <f>VLOOKUP(B237,'LƯƠNG KT'!$D$15:$R$94,14,0)</f>
        <v>#N/A</v>
      </c>
      <c r="E245" s="1063"/>
      <c r="F245" s="1061"/>
      <c r="G245" s="1056" t="s">
        <v>374</v>
      </c>
      <c r="H245" s="1057" t="s">
        <v>2674</v>
      </c>
      <c r="I245" s="1058" t="e">
        <f>VLOOKUP(H237,'LƯƠNG KT'!$D$15:$R$94,12,0)</f>
        <v>#N/A</v>
      </c>
      <c r="J245" s="1059" t="e">
        <f>VLOOKUP(H237,'LƯƠNG KT'!$D$15:$R$94,14,0)</f>
        <v>#N/A</v>
      </c>
      <c r="K245" s="1085"/>
      <c r="L245" s="1085"/>
      <c r="M245" s="1085"/>
      <c r="N245" s="1085"/>
      <c r="O245" s="1085"/>
    </row>
    <row r="246" spans="1:15" ht="15" customHeight="1">
      <c r="A246" s="1056" t="s">
        <v>2675</v>
      </c>
      <c r="B246" s="1057" t="s">
        <v>2676</v>
      </c>
      <c r="D246" s="1064" t="e">
        <f>VLOOKUP(B237,'LƯƠNG KT'!$D$15:$R$94,13,0)</f>
        <v>#N/A</v>
      </c>
      <c r="E246" s="1065"/>
      <c r="F246" s="1065"/>
      <c r="G246" s="1056" t="s">
        <v>2675</v>
      </c>
      <c r="H246" s="1057" t="s">
        <v>2676</v>
      </c>
      <c r="J246" s="1064" t="e">
        <f>VLOOKUP(H237,'LƯƠNG KT'!$D$15:$R$94,13,0)</f>
        <v>#N/A</v>
      </c>
    </row>
    <row r="247" spans="1:15" ht="15" customHeight="1">
      <c r="A247" s="1066"/>
      <c r="B247" s="869"/>
      <c r="C247" s="1058"/>
      <c r="D247" s="1059"/>
      <c r="E247" s="1063"/>
      <c r="F247" s="1065"/>
      <c r="G247" s="1066"/>
      <c r="H247" s="869"/>
      <c r="I247" s="1058"/>
      <c r="J247" s="1059"/>
    </row>
    <row r="248" spans="1:15" ht="15" customHeight="1">
      <c r="A248" s="1052"/>
      <c r="B248" s="869"/>
      <c r="C248" s="1058"/>
      <c r="D248" s="1059"/>
      <c r="E248" s="1067"/>
      <c r="F248" s="1051"/>
      <c r="G248" s="1052"/>
      <c r="H248" s="869"/>
      <c r="I248" s="1058"/>
      <c r="J248" s="1059"/>
    </row>
    <row r="249" spans="1:15" ht="15" customHeight="1">
      <c r="A249" s="1068" t="s">
        <v>383</v>
      </c>
      <c r="B249" s="1069" t="s">
        <v>384</v>
      </c>
      <c r="C249" s="1070"/>
      <c r="D249" s="1071" t="e">
        <f>SUM(D238:D245)-D248</f>
        <v>#N/A</v>
      </c>
      <c r="E249" s="1072"/>
      <c r="F249" s="1073"/>
      <c r="G249" s="1068" t="s">
        <v>383</v>
      </c>
      <c r="H249" s="1069" t="s">
        <v>384</v>
      </c>
      <c r="I249" s="1070"/>
      <c r="J249" s="1071" t="e">
        <f>SUM(J238:J245)-J248</f>
        <v>#N/A</v>
      </c>
    </row>
    <row r="250" spans="1:15" ht="18.75" customHeight="1">
      <c r="A250" s="1074"/>
      <c r="B250" s="1075"/>
      <c r="C250" s="1076"/>
      <c r="D250" s="1077"/>
      <c r="E250" s="1077"/>
      <c r="F250" s="1078"/>
      <c r="G250" s="1074"/>
      <c r="H250" s="1075"/>
      <c r="I250" s="1076"/>
      <c r="J250" s="1077"/>
    </row>
    <row r="251" spans="1:15" ht="18.75" customHeight="1">
      <c r="A251" s="1075"/>
      <c r="B251" s="1075"/>
      <c r="C251" s="1079"/>
      <c r="D251" s="1080"/>
      <c r="E251" s="1075"/>
      <c r="F251" s="1081"/>
      <c r="G251" s="1075"/>
      <c r="H251" s="1075"/>
      <c r="I251" s="1079"/>
      <c r="J251" s="1080"/>
    </row>
    <row r="252" spans="1:15" ht="15" customHeight="1">
      <c r="A252" s="2242" t="str">
        <f>$K$2</f>
        <v>THÁNG 04/2025</v>
      </c>
      <c r="B252" s="2242"/>
      <c r="C252" s="2242"/>
      <c r="D252" s="2242"/>
      <c r="E252" s="1050"/>
      <c r="F252" s="1051"/>
      <c r="G252" s="2242" t="str">
        <f>$K$2</f>
        <v>THÁNG 04/2025</v>
      </c>
      <c r="H252" s="2242"/>
      <c r="I252" s="2242"/>
      <c r="J252" s="2242"/>
      <c r="K252" s="624"/>
    </row>
    <row r="253" spans="1:15" ht="15" customHeight="1">
      <c r="A253" s="1052" t="s">
        <v>356</v>
      </c>
      <c r="B253" s="1053" t="s">
        <v>411</v>
      </c>
      <c r="C253" s="869"/>
      <c r="D253" s="1049"/>
      <c r="E253" s="1054"/>
      <c r="F253" s="1055"/>
      <c r="G253" s="1052" t="s">
        <v>356</v>
      </c>
      <c r="H253" s="1053" t="s">
        <v>412</v>
      </c>
      <c r="I253" s="869"/>
      <c r="J253" s="1049"/>
      <c r="L253" s="1088"/>
      <c r="M253" s="1088"/>
      <c r="N253" s="1088"/>
      <c r="O253" s="1088"/>
    </row>
    <row r="254" spans="1:15" ht="15" customHeight="1">
      <c r="A254" s="1056" t="s">
        <v>359</v>
      </c>
      <c r="B254" s="1057" t="s">
        <v>2662</v>
      </c>
      <c r="C254" s="1058" t="e">
        <f>VLOOKUP(B253,'LƯƠNG KT'!$D$15:$R$94,4,0)</f>
        <v>#N/A</v>
      </c>
      <c r="D254" s="1059" t="e">
        <f>+C254*25000</f>
        <v>#N/A</v>
      </c>
      <c r="E254" s="1060"/>
      <c r="F254" s="1060"/>
      <c r="G254" s="1056" t="s">
        <v>359</v>
      </c>
      <c r="H254" s="1057" t="s">
        <v>2662</v>
      </c>
      <c r="I254" s="1058" t="e">
        <f>VLOOKUP(H253,'LƯƠNG KT'!$D$15:$R$94,4,0)</f>
        <v>#N/A</v>
      </c>
      <c r="J254" s="1059" t="e">
        <f>+I254*25000</f>
        <v>#N/A</v>
      </c>
      <c r="K254" s="1085"/>
      <c r="L254" s="1085"/>
      <c r="M254" s="1085"/>
      <c r="N254" s="1085"/>
      <c r="O254" s="1085"/>
    </row>
    <row r="255" spans="1:15" ht="15" customHeight="1">
      <c r="A255" s="1056" t="s">
        <v>361</v>
      </c>
      <c r="B255" s="1057" t="s">
        <v>2663</v>
      </c>
      <c r="C255" s="1058" t="e">
        <f>VLOOKUP(B253,'LƯƠNG KT'!$D$15:$R$94,15,0)</f>
        <v>#N/A</v>
      </c>
      <c r="D255" s="1059" t="e">
        <f>C255*$L$4</f>
        <v>#N/A</v>
      </c>
      <c r="E255" s="1061"/>
      <c r="F255" s="1061"/>
      <c r="G255" s="1056" t="s">
        <v>361</v>
      </c>
      <c r="H255" s="1057" t="s">
        <v>2663</v>
      </c>
      <c r="I255" s="1058" t="e">
        <f>VLOOKUP(H253,'LƯƠNG KT'!$D$15:$R$94,15,0)</f>
        <v>#N/A</v>
      </c>
      <c r="J255" s="1059" t="e">
        <f>I255*$L$4</f>
        <v>#N/A</v>
      </c>
      <c r="K255" s="1085"/>
      <c r="L255" s="1085"/>
      <c r="M255" s="1085"/>
      <c r="N255" s="1085"/>
      <c r="O255" s="1085"/>
    </row>
    <row r="256" spans="1:15" ht="15" customHeight="1">
      <c r="A256" s="1056" t="s">
        <v>364</v>
      </c>
      <c r="B256" s="1057" t="s">
        <v>2664</v>
      </c>
      <c r="C256" s="1058" t="e">
        <f>VLOOKUP(B253,'LƯƠNG KT'!$D$15:$R$94,16,0)</f>
        <v>#N/A</v>
      </c>
      <c r="D256" s="1059" t="e">
        <f>C256*$L$5</f>
        <v>#N/A</v>
      </c>
      <c r="E256" s="1061"/>
      <c r="F256" s="1061"/>
      <c r="G256" s="1056" t="s">
        <v>364</v>
      </c>
      <c r="H256" s="1057" t="s">
        <v>2664</v>
      </c>
      <c r="I256" s="1058" t="e">
        <f>VLOOKUP(H253,'LƯƠNG KT'!$D$15:$R$94,16,0)</f>
        <v>#N/A</v>
      </c>
      <c r="J256" s="1059" t="e">
        <f>I256*$L$5</f>
        <v>#N/A</v>
      </c>
      <c r="K256" s="1085"/>
      <c r="L256" s="1085"/>
      <c r="M256" s="1085"/>
      <c r="N256" s="1085"/>
      <c r="O256" s="1085"/>
    </row>
    <row r="257" spans="1:15" ht="15" customHeight="1">
      <c r="A257" s="1056" t="s">
        <v>370</v>
      </c>
      <c r="B257" s="1057" t="s">
        <v>2665</v>
      </c>
      <c r="C257" s="1058" t="e">
        <f>VLOOKUP(B253,'LƯƠNG KT'!$D$15:$R$94,24,0)</f>
        <v>#N/A</v>
      </c>
      <c r="D257" s="1059" t="e">
        <f>+C257*$L$6</f>
        <v>#N/A</v>
      </c>
      <c r="E257" s="1061"/>
      <c r="F257" s="1061"/>
      <c r="G257" s="1056" t="s">
        <v>370</v>
      </c>
      <c r="H257" s="1057" t="s">
        <v>2665</v>
      </c>
      <c r="I257" s="1058" t="e">
        <f>VLOOKUP(H253,'LƯƠNG KT'!$D$15:$R$94,24,0)</f>
        <v>#N/A</v>
      </c>
      <c r="J257" s="1059" t="e">
        <f>+I257*$L$6</f>
        <v>#N/A</v>
      </c>
      <c r="K257" s="1085"/>
      <c r="L257" s="1085"/>
      <c r="M257" s="1085"/>
      <c r="N257" s="1085"/>
      <c r="O257" s="1085"/>
    </row>
    <row r="258" spans="1:15" ht="15" customHeight="1">
      <c r="A258" s="1056" t="s">
        <v>2666</v>
      </c>
      <c r="B258" s="1057" t="s">
        <v>2667</v>
      </c>
      <c r="C258" s="1058" t="e">
        <f>VLOOKUP(B253,'LƯƠNG KT'!$D$15:$R$94,19,0)</f>
        <v>#N/A</v>
      </c>
      <c r="D258" s="1059" t="e">
        <f>+C258*$L$8</f>
        <v>#N/A</v>
      </c>
      <c r="E258" s="1061"/>
      <c r="F258" s="1061"/>
      <c r="G258" s="1056" t="s">
        <v>2666</v>
      </c>
      <c r="H258" s="1057" t="s">
        <v>2667</v>
      </c>
      <c r="I258" s="1058" t="e">
        <f>VLOOKUP(H253,'LƯƠNG KT'!$D$15:$R$94,19,0)</f>
        <v>#N/A</v>
      </c>
      <c r="J258" s="1059" t="e">
        <f>+I258*$L$8</f>
        <v>#N/A</v>
      </c>
      <c r="K258" s="1085"/>
      <c r="L258" s="1085"/>
      <c r="M258" s="1085"/>
      <c r="N258" s="1085"/>
      <c r="O258" s="1085"/>
    </row>
    <row r="259" spans="1:15" ht="15" customHeight="1">
      <c r="A259" s="1056" t="s">
        <v>2668</v>
      </c>
      <c r="B259" s="1062" t="s">
        <v>2669</v>
      </c>
      <c r="C259" s="1058" t="e">
        <f>VLOOKUP(B253,'LƯƠNG KT'!$D$15:$R$94,20,0)</f>
        <v>#N/A</v>
      </c>
      <c r="D259" s="1059" t="e">
        <f>+C259*$L$9</f>
        <v>#N/A</v>
      </c>
      <c r="E259" s="1061"/>
      <c r="F259" s="1061"/>
      <c r="G259" s="1056" t="s">
        <v>2668</v>
      </c>
      <c r="H259" s="1062" t="s">
        <v>2669</v>
      </c>
      <c r="I259" s="1058" t="e">
        <f>VLOOKUP(H253,'LƯƠNG KT'!$D$15:$R$94,20,0)</f>
        <v>#N/A</v>
      </c>
      <c r="J259" s="1059" t="e">
        <f>+I259*$L$9</f>
        <v>#N/A</v>
      </c>
      <c r="K259" s="1085"/>
      <c r="L259" s="1085"/>
      <c r="M259" s="1085"/>
      <c r="N259" s="1085"/>
      <c r="O259" s="1085"/>
    </row>
    <row r="260" spans="1:15" ht="15" customHeight="1">
      <c r="A260" s="1056" t="s">
        <v>2671</v>
      </c>
      <c r="B260" s="1057" t="s">
        <v>2672</v>
      </c>
      <c r="C260" s="1058" t="e">
        <f>VLOOKUP(B253,'LƯƠNG KT'!$D$15:$R$94,17,0)</f>
        <v>#N/A</v>
      </c>
      <c r="D260" s="1059" t="e">
        <f>+C260*$L$10</f>
        <v>#N/A</v>
      </c>
      <c r="E260" s="1061"/>
      <c r="F260" s="1061"/>
      <c r="G260" s="1056" t="s">
        <v>2671</v>
      </c>
      <c r="H260" s="1057" t="s">
        <v>2672</v>
      </c>
      <c r="I260" s="1058" t="e">
        <f>VLOOKUP(H253,'LƯƠNG KT'!$D$15:$R$94,17,0)</f>
        <v>#N/A</v>
      </c>
      <c r="J260" s="1059" t="e">
        <f>+I260*$L$10</f>
        <v>#N/A</v>
      </c>
      <c r="K260" s="1085"/>
      <c r="L260" s="1085"/>
      <c r="M260" s="1085"/>
      <c r="N260" s="1085"/>
      <c r="O260" s="1085"/>
    </row>
    <row r="261" spans="1:15" ht="15" customHeight="1">
      <c r="A261" s="1056" t="s">
        <v>374</v>
      </c>
      <c r="B261" s="1057" t="s">
        <v>2674</v>
      </c>
      <c r="C261" s="1058" t="e">
        <f>VLOOKUP(B253,'LƯƠNG KT'!$D$15:$R$94,12,0)</f>
        <v>#N/A</v>
      </c>
      <c r="D261" s="1059" t="e">
        <f>VLOOKUP(B253,'LƯƠNG KT'!$D$15:$R$94,14,0)</f>
        <v>#N/A</v>
      </c>
      <c r="E261" s="1063"/>
      <c r="F261" s="1061"/>
      <c r="G261" s="1056" t="s">
        <v>374</v>
      </c>
      <c r="H261" s="1057" t="s">
        <v>2674</v>
      </c>
      <c r="I261" s="1058" t="e">
        <f>VLOOKUP(H253,'LƯƠNG KT'!$D$15:$R$94,12,0)</f>
        <v>#N/A</v>
      </c>
      <c r="J261" s="1059" t="e">
        <f>VLOOKUP(H253,'LƯƠNG KT'!$D$15:$R$94,14,0)</f>
        <v>#N/A</v>
      </c>
      <c r="K261" s="1085"/>
      <c r="L261" s="1085"/>
      <c r="M261" s="1085"/>
      <c r="N261" s="1085"/>
      <c r="O261" s="1085"/>
    </row>
    <row r="262" spans="1:15" ht="15" customHeight="1">
      <c r="A262" s="1056" t="s">
        <v>2675</v>
      </c>
      <c r="B262" s="1057" t="s">
        <v>2676</v>
      </c>
      <c r="D262" s="1064" t="e">
        <f>VLOOKUP(B253,'LƯƠNG KT'!$D$15:$R$94,13,0)</f>
        <v>#N/A</v>
      </c>
      <c r="E262" s="1065"/>
      <c r="F262" s="1065"/>
      <c r="G262" s="1056" t="s">
        <v>2675</v>
      </c>
      <c r="H262" s="1057" t="s">
        <v>2676</v>
      </c>
      <c r="J262" s="1064" t="e">
        <f>VLOOKUP(H253,'LƯƠNG KT'!$D$15:$R$94,13,0)</f>
        <v>#N/A</v>
      </c>
    </row>
    <row r="263" spans="1:15" ht="15" customHeight="1">
      <c r="A263" s="1066"/>
      <c r="B263" s="869"/>
      <c r="C263" s="1058"/>
      <c r="D263" s="1059"/>
      <c r="E263" s="1063"/>
      <c r="F263" s="1065"/>
      <c r="G263" s="1066"/>
      <c r="H263" s="869"/>
      <c r="I263" s="1058"/>
      <c r="J263" s="1059"/>
    </row>
    <row r="264" spans="1:15" ht="15" customHeight="1">
      <c r="A264" s="1052"/>
      <c r="B264" s="869"/>
      <c r="C264" s="1058"/>
      <c r="D264" s="1059"/>
      <c r="E264" s="1067"/>
      <c r="F264" s="1051"/>
      <c r="G264" s="1052"/>
      <c r="H264" s="869"/>
      <c r="I264" s="1058"/>
      <c r="J264" s="1059"/>
    </row>
    <row r="265" spans="1:15" ht="15" customHeight="1">
      <c r="A265" s="1068" t="s">
        <v>383</v>
      </c>
      <c r="B265" s="1069" t="s">
        <v>384</v>
      </c>
      <c r="C265" s="1070"/>
      <c r="D265" s="1071" t="e">
        <f>SUM(D254:D261)-D264</f>
        <v>#N/A</v>
      </c>
      <c r="E265" s="1072"/>
      <c r="F265" s="1073"/>
      <c r="G265" s="1068" t="s">
        <v>383</v>
      </c>
      <c r="H265" s="1069" t="s">
        <v>384</v>
      </c>
      <c r="I265" s="1070"/>
      <c r="J265" s="1071" t="e">
        <f>SUM(J254:J261)-J264</f>
        <v>#N/A</v>
      </c>
    </row>
    <row r="266" spans="1:15" ht="18.75" customHeight="1">
      <c r="A266" s="1074"/>
      <c r="B266" s="1075"/>
      <c r="C266" s="1076"/>
      <c r="D266" s="1077"/>
      <c r="E266" s="1077"/>
      <c r="F266" s="1078"/>
      <c r="G266" s="1074"/>
      <c r="H266" s="1075"/>
      <c r="I266" s="1076"/>
      <c r="J266" s="1077"/>
    </row>
    <row r="267" spans="1:15" ht="156" customHeight="1">
      <c r="A267" s="1075"/>
      <c r="B267" s="1075"/>
      <c r="C267" s="1079"/>
      <c r="D267" s="1080"/>
      <c r="E267" s="1075"/>
      <c r="F267" s="1081"/>
      <c r="G267" s="1075"/>
      <c r="H267" s="1075"/>
      <c r="I267" s="1079"/>
      <c r="J267" s="1080"/>
    </row>
    <row r="268" spans="1:15" ht="15" customHeight="1">
      <c r="A268" s="2242" t="str">
        <f>$K$2</f>
        <v>THÁNG 04/2025</v>
      </c>
      <c r="B268" s="2242"/>
      <c r="C268" s="2242"/>
      <c r="D268" s="2242"/>
      <c r="E268" s="1050"/>
      <c r="F268" s="1051"/>
      <c r="G268" s="2242" t="str">
        <f>$K$2</f>
        <v>THÁNG 04/2025</v>
      </c>
      <c r="H268" s="2242"/>
      <c r="I268" s="2242"/>
      <c r="J268" s="2242"/>
      <c r="K268" s="624"/>
    </row>
    <row r="269" spans="1:15" ht="15" customHeight="1">
      <c r="A269" s="1052" t="s">
        <v>356</v>
      </c>
      <c r="B269" s="1053" t="s">
        <v>413</v>
      </c>
      <c r="C269" s="869"/>
      <c r="D269" s="1049"/>
      <c r="E269" s="1054"/>
      <c r="F269" s="1055"/>
      <c r="G269" s="1052" t="s">
        <v>356</v>
      </c>
      <c r="H269" s="1053" t="s">
        <v>414</v>
      </c>
      <c r="I269" s="869"/>
      <c r="J269" s="1049"/>
      <c r="L269" s="1088"/>
      <c r="M269" s="1088"/>
      <c r="N269" s="1088"/>
      <c r="O269" s="1088"/>
    </row>
    <row r="270" spans="1:15" ht="15" customHeight="1">
      <c r="A270" s="1056" t="s">
        <v>359</v>
      </c>
      <c r="B270" s="1057" t="s">
        <v>2662</v>
      </c>
      <c r="C270" s="1058" t="e">
        <f>VLOOKUP(B269,'LƯƠNG KT'!$D$15:$R$94,4,0)</f>
        <v>#N/A</v>
      </c>
      <c r="D270" s="1059" t="e">
        <f>+C270*25000</f>
        <v>#N/A</v>
      </c>
      <c r="E270" s="1060"/>
      <c r="F270" s="1060"/>
      <c r="G270" s="1056" t="s">
        <v>359</v>
      </c>
      <c r="H270" s="1057" t="s">
        <v>2662</v>
      </c>
      <c r="I270" s="1058" t="e">
        <f>VLOOKUP(H269,'LƯƠNG KT'!$D$15:$R$94,4,0)</f>
        <v>#N/A</v>
      </c>
      <c r="J270" s="1059" t="e">
        <f>+I270*25000</f>
        <v>#N/A</v>
      </c>
      <c r="K270" s="1085"/>
      <c r="L270" s="1085"/>
      <c r="M270" s="1085"/>
      <c r="N270" s="1085"/>
      <c r="O270" s="1085"/>
    </row>
    <row r="271" spans="1:15" ht="15" customHeight="1">
      <c r="A271" s="1056" t="s">
        <v>361</v>
      </c>
      <c r="B271" s="1057" t="s">
        <v>2663</v>
      </c>
      <c r="C271" s="1058" t="e">
        <f>VLOOKUP(B269,'LƯƠNG KT'!$D$15:$R$94,15,0)</f>
        <v>#N/A</v>
      </c>
      <c r="D271" s="1059" t="e">
        <f>C271*$L$4</f>
        <v>#N/A</v>
      </c>
      <c r="E271" s="1061"/>
      <c r="F271" s="1061"/>
      <c r="G271" s="1056" t="s">
        <v>361</v>
      </c>
      <c r="H271" s="1057" t="s">
        <v>2663</v>
      </c>
      <c r="I271" s="1058" t="e">
        <f>VLOOKUP(H269,'LƯƠNG KT'!$D$15:$R$94,15,0)</f>
        <v>#N/A</v>
      </c>
      <c r="J271" s="1059" t="e">
        <f>I271*$L$4</f>
        <v>#N/A</v>
      </c>
      <c r="K271" s="1085"/>
      <c r="L271" s="1085"/>
      <c r="M271" s="1085"/>
      <c r="N271" s="1085"/>
      <c r="O271" s="1085"/>
    </row>
    <row r="272" spans="1:15" ht="15" customHeight="1">
      <c r="A272" s="1056" t="s">
        <v>364</v>
      </c>
      <c r="B272" s="1057" t="s">
        <v>2664</v>
      </c>
      <c r="C272" s="1058" t="e">
        <f>VLOOKUP(B269,'LƯƠNG KT'!$D$15:$R$94,16,0)</f>
        <v>#N/A</v>
      </c>
      <c r="D272" s="1059" t="e">
        <f>C272*$L$5</f>
        <v>#N/A</v>
      </c>
      <c r="E272" s="1061"/>
      <c r="F272" s="1061"/>
      <c r="G272" s="1056" t="s">
        <v>364</v>
      </c>
      <c r="H272" s="1057" t="s">
        <v>2664</v>
      </c>
      <c r="I272" s="1058" t="e">
        <f>VLOOKUP(H269,'LƯƠNG KT'!$D$15:$R$94,16,0)</f>
        <v>#N/A</v>
      </c>
      <c r="J272" s="1059" t="e">
        <f>I272*$L$5</f>
        <v>#N/A</v>
      </c>
      <c r="K272" s="1085"/>
      <c r="L272" s="1085"/>
      <c r="M272" s="1085"/>
      <c r="N272" s="1085"/>
      <c r="O272" s="1085"/>
    </row>
    <row r="273" spans="1:15" ht="15" customHeight="1">
      <c r="A273" s="1056" t="s">
        <v>370</v>
      </c>
      <c r="B273" s="1057" t="s">
        <v>2665</v>
      </c>
      <c r="C273" s="1058" t="e">
        <f>VLOOKUP(B269,'LƯƠNG KT'!$D$15:$R$94,24,0)</f>
        <v>#N/A</v>
      </c>
      <c r="D273" s="1059" t="e">
        <f>+C273*$L$6</f>
        <v>#N/A</v>
      </c>
      <c r="E273" s="1061"/>
      <c r="F273" s="1061"/>
      <c r="G273" s="1056" t="s">
        <v>370</v>
      </c>
      <c r="H273" s="1057" t="s">
        <v>2665</v>
      </c>
      <c r="I273" s="1058" t="e">
        <f>VLOOKUP(H269,'LƯƠNG KT'!$D$15:$R$94,24,0)</f>
        <v>#N/A</v>
      </c>
      <c r="J273" s="1059" t="e">
        <f>+I273*$L$6</f>
        <v>#N/A</v>
      </c>
      <c r="K273" s="1085"/>
      <c r="L273" s="1085"/>
      <c r="M273" s="1085"/>
      <c r="N273" s="1085"/>
      <c r="O273" s="1085"/>
    </row>
    <row r="274" spans="1:15" ht="15" customHeight="1">
      <c r="A274" s="1056" t="s">
        <v>2666</v>
      </c>
      <c r="B274" s="1057" t="s">
        <v>2667</v>
      </c>
      <c r="C274" s="1058" t="e">
        <f>VLOOKUP(B269,'LƯƠNG KT'!$D$15:$R$94,19,0)</f>
        <v>#N/A</v>
      </c>
      <c r="D274" s="1059" t="e">
        <f>+C274*$L$8</f>
        <v>#N/A</v>
      </c>
      <c r="E274" s="1061"/>
      <c r="F274" s="1061"/>
      <c r="G274" s="1056" t="s">
        <v>2666</v>
      </c>
      <c r="H274" s="1057" t="s">
        <v>2667</v>
      </c>
      <c r="I274" s="1058" t="e">
        <f>VLOOKUP(H269,'LƯƠNG KT'!$D$15:$R$94,19,0)</f>
        <v>#N/A</v>
      </c>
      <c r="J274" s="1059" t="e">
        <f>+I274*$L$8</f>
        <v>#N/A</v>
      </c>
      <c r="K274" s="1085"/>
      <c r="L274" s="1085"/>
      <c r="M274" s="1085"/>
      <c r="N274" s="1085"/>
      <c r="O274" s="1085"/>
    </row>
    <row r="275" spans="1:15" ht="15" customHeight="1">
      <c r="A275" s="1056" t="s">
        <v>2668</v>
      </c>
      <c r="B275" s="1062" t="s">
        <v>2669</v>
      </c>
      <c r="C275" s="1058" t="e">
        <f>VLOOKUP(B269,'LƯƠNG KT'!$D$15:$R$94,20,0)</f>
        <v>#N/A</v>
      </c>
      <c r="D275" s="1059" t="e">
        <f>+C275*$L$9</f>
        <v>#N/A</v>
      </c>
      <c r="E275" s="1061"/>
      <c r="F275" s="1061"/>
      <c r="G275" s="1056" t="s">
        <v>2668</v>
      </c>
      <c r="H275" s="1062" t="s">
        <v>2669</v>
      </c>
      <c r="I275" s="1058" t="e">
        <f>VLOOKUP(H269,'LƯƠNG KT'!$D$15:$R$94,20,0)</f>
        <v>#N/A</v>
      </c>
      <c r="J275" s="1059" t="e">
        <f>+I275*$L$9</f>
        <v>#N/A</v>
      </c>
      <c r="K275" s="1085"/>
      <c r="L275" s="1085"/>
      <c r="M275" s="1085"/>
      <c r="N275" s="1085"/>
      <c r="O275" s="1085"/>
    </row>
    <row r="276" spans="1:15" ht="15" customHeight="1">
      <c r="A276" s="1056" t="s">
        <v>2671</v>
      </c>
      <c r="B276" s="1057" t="s">
        <v>2672</v>
      </c>
      <c r="C276" s="1058" t="e">
        <f>VLOOKUP(B269,'LƯƠNG KT'!$D$15:$R$94,17,0)</f>
        <v>#N/A</v>
      </c>
      <c r="D276" s="1059" t="e">
        <f>+C276*$L$10</f>
        <v>#N/A</v>
      </c>
      <c r="E276" s="1061"/>
      <c r="F276" s="1061"/>
      <c r="G276" s="1056" t="s">
        <v>2671</v>
      </c>
      <c r="H276" s="1057" t="s">
        <v>2672</v>
      </c>
      <c r="I276" s="1058" t="e">
        <f>VLOOKUP(H269,'LƯƠNG KT'!$D$15:$R$94,17,0)</f>
        <v>#N/A</v>
      </c>
      <c r="J276" s="1059" t="e">
        <f>+I276*$L$10</f>
        <v>#N/A</v>
      </c>
      <c r="K276" s="1085"/>
      <c r="L276" s="1085"/>
      <c r="M276" s="1085"/>
      <c r="N276" s="1085"/>
      <c r="O276" s="1085"/>
    </row>
    <row r="277" spans="1:15" ht="15" customHeight="1">
      <c r="A277" s="1056" t="s">
        <v>374</v>
      </c>
      <c r="B277" s="1057" t="s">
        <v>2674</v>
      </c>
      <c r="C277" s="1058" t="e">
        <f>VLOOKUP(B269,'LƯƠNG KT'!$D$15:$R$94,12,0)</f>
        <v>#N/A</v>
      </c>
      <c r="D277" s="1059" t="e">
        <f>VLOOKUP(B269,'LƯƠNG KT'!$D$15:$R$94,14,0)</f>
        <v>#N/A</v>
      </c>
      <c r="E277" s="1063"/>
      <c r="F277" s="1061"/>
      <c r="G277" s="1056" t="s">
        <v>374</v>
      </c>
      <c r="H277" s="1057" t="s">
        <v>2674</v>
      </c>
      <c r="I277" s="1058" t="e">
        <f>VLOOKUP(H269,'LƯƠNG KT'!$D$15:$R$94,12,0)</f>
        <v>#N/A</v>
      </c>
      <c r="J277" s="1059" t="e">
        <f>VLOOKUP(H269,'LƯƠNG KT'!$D$15:$R$94,14,0)+(I271+I272+I274+I275)*20000</f>
        <v>#N/A</v>
      </c>
      <c r="K277" s="1085"/>
      <c r="L277" s="1085"/>
      <c r="M277" s="1085"/>
      <c r="N277" s="1085"/>
      <c r="O277" s="1085"/>
    </row>
    <row r="278" spans="1:15" ht="15" customHeight="1">
      <c r="A278" s="1056" t="s">
        <v>2675</v>
      </c>
      <c r="B278" s="1057" t="s">
        <v>2676</v>
      </c>
      <c r="D278" s="1064" t="e">
        <f>VLOOKUP(B269,'LƯƠNG KT'!$D$15:$R$94,13,0)</f>
        <v>#N/A</v>
      </c>
      <c r="E278" s="1065"/>
      <c r="F278" s="1065"/>
      <c r="G278" s="1056" t="s">
        <v>2675</v>
      </c>
      <c r="H278" s="1057" t="s">
        <v>2676</v>
      </c>
      <c r="J278" s="1064" t="e">
        <f>VLOOKUP(H269,'LƯƠNG KT'!$D$15:$R$94,13,0)</f>
        <v>#N/A</v>
      </c>
    </row>
    <row r="279" spans="1:15" ht="15" customHeight="1">
      <c r="A279" s="1066"/>
      <c r="B279" s="869"/>
      <c r="C279" s="1058"/>
      <c r="D279" s="1059"/>
      <c r="E279" s="1063"/>
      <c r="F279" s="1065"/>
      <c r="G279" s="1066"/>
      <c r="H279" s="869"/>
      <c r="I279" s="1058"/>
      <c r="J279" s="1059"/>
    </row>
    <row r="280" spans="1:15" ht="15" customHeight="1">
      <c r="A280" s="1052"/>
      <c r="B280" s="869"/>
      <c r="C280" s="1058"/>
      <c r="D280" s="1059"/>
      <c r="E280" s="1067"/>
      <c r="F280" s="1051"/>
      <c r="G280" s="1052"/>
      <c r="H280" s="869"/>
      <c r="I280" s="1058"/>
      <c r="J280" s="1059"/>
    </row>
    <row r="281" spans="1:15" ht="15" customHeight="1">
      <c r="A281" s="1068" t="s">
        <v>383</v>
      </c>
      <c r="B281" s="1069" t="s">
        <v>384</v>
      </c>
      <c r="C281" s="1070"/>
      <c r="D281" s="1071" t="e">
        <f>SUM(D270:D277)-D280</f>
        <v>#N/A</v>
      </c>
      <c r="E281" s="1072"/>
      <c r="F281" s="1073"/>
      <c r="G281" s="1068" t="s">
        <v>383</v>
      </c>
      <c r="H281" s="1069" t="s">
        <v>384</v>
      </c>
      <c r="I281" s="1070"/>
      <c r="J281" s="1071" t="e">
        <f>SUM(J270:J277)-J280</f>
        <v>#N/A</v>
      </c>
    </row>
    <row r="282" spans="1:15" ht="15.75" customHeight="1">
      <c r="A282" s="1074"/>
      <c r="B282" s="1075"/>
      <c r="C282" s="1076"/>
      <c r="D282" s="1077"/>
      <c r="E282" s="1077"/>
      <c r="F282" s="1078"/>
      <c r="G282" s="1074"/>
      <c r="H282" s="1075"/>
      <c r="I282" s="1076"/>
      <c r="J282" s="1077"/>
    </row>
    <row r="284" spans="1:15" ht="12" customHeight="1">
      <c r="A284" s="2243"/>
      <c r="B284" s="2243"/>
      <c r="C284" s="2243"/>
      <c r="D284" s="2243"/>
      <c r="E284" s="2243"/>
      <c r="F284" s="2243"/>
      <c r="G284" s="2243"/>
      <c r="H284" s="2243"/>
      <c r="I284" s="2243"/>
      <c r="J284" s="2243"/>
    </row>
    <row r="285" spans="1:15" ht="15" customHeight="1">
      <c r="A285" s="2242" t="str">
        <f>$K$2</f>
        <v>THÁNG 04/2025</v>
      </c>
      <c r="B285" s="2242"/>
      <c r="C285" s="2242"/>
      <c r="D285" s="2242"/>
      <c r="E285" s="1050"/>
      <c r="F285" s="1051"/>
      <c r="G285" s="2242" t="str">
        <f>$K$2</f>
        <v>THÁNG 04/2025</v>
      </c>
      <c r="H285" s="2242"/>
      <c r="I285" s="2242"/>
      <c r="J285" s="2242"/>
      <c r="K285" s="624"/>
    </row>
    <row r="286" spans="1:15" ht="15" customHeight="1">
      <c r="A286" s="1052" t="s">
        <v>356</v>
      </c>
      <c r="B286" s="1053" t="s">
        <v>415</v>
      </c>
      <c r="C286" s="869"/>
      <c r="D286" s="1049"/>
      <c r="E286" s="1054"/>
      <c r="F286" s="1055"/>
      <c r="G286" s="1052" t="s">
        <v>356</v>
      </c>
      <c r="H286" s="1053" t="s">
        <v>1940</v>
      </c>
      <c r="I286" s="869"/>
      <c r="J286" s="1049"/>
      <c r="L286" s="1088"/>
      <c r="M286" s="1088"/>
      <c r="N286" s="1088"/>
      <c r="O286" s="1088"/>
    </row>
    <row r="287" spans="1:15" ht="15" customHeight="1">
      <c r="A287" s="1056" t="s">
        <v>359</v>
      </c>
      <c r="B287" s="1057" t="s">
        <v>2662</v>
      </c>
      <c r="C287" s="1058" t="e">
        <f>VLOOKUP(B286,'LƯƠNG KT'!$D$15:$R$94,4,0)</f>
        <v>#N/A</v>
      </c>
      <c r="D287" s="1059" t="e">
        <f>+C287*25000</f>
        <v>#N/A</v>
      </c>
      <c r="E287" s="1060"/>
      <c r="F287" s="1060"/>
      <c r="G287" s="1056" t="s">
        <v>359</v>
      </c>
      <c r="H287" s="1057" t="s">
        <v>2662</v>
      </c>
      <c r="I287" s="1058" t="e">
        <f>VLOOKUP(H286,'LƯƠNG KT'!$D$15:$R$94,4,0)</f>
        <v>#N/A</v>
      </c>
      <c r="J287" s="1059" t="e">
        <f>+I287*25000</f>
        <v>#N/A</v>
      </c>
      <c r="K287" s="1084"/>
      <c r="L287" s="1085"/>
      <c r="M287" s="1085"/>
      <c r="N287" s="1085"/>
      <c r="O287" s="1085"/>
    </row>
    <row r="288" spans="1:15" ht="15" customHeight="1">
      <c r="A288" s="1056" t="s">
        <v>361</v>
      </c>
      <c r="B288" s="1057" t="s">
        <v>2663</v>
      </c>
      <c r="C288" s="1058" t="e">
        <f>VLOOKUP(B286,'LƯƠNG KT'!$D$15:$R$94,15,0)</f>
        <v>#N/A</v>
      </c>
      <c r="D288" s="1059" t="e">
        <f>C288*$L$4</f>
        <v>#N/A</v>
      </c>
      <c r="E288" s="1061"/>
      <c r="F288" s="1061"/>
      <c r="G288" s="1056" t="s">
        <v>361</v>
      </c>
      <c r="H288" s="1057" t="s">
        <v>2663</v>
      </c>
      <c r="I288" s="1058" t="e">
        <f>VLOOKUP(H286,'LƯƠNG KT'!$D$15:$R$94,15,0)</f>
        <v>#N/A</v>
      </c>
      <c r="J288" s="1059" t="e">
        <f>I288*$L$4</f>
        <v>#N/A</v>
      </c>
      <c r="K288" s="1084"/>
      <c r="L288" s="1085"/>
      <c r="M288" s="1085"/>
      <c r="N288" s="1085"/>
      <c r="O288" s="1085"/>
    </row>
    <row r="289" spans="1:15" ht="15" customHeight="1">
      <c r="A289" s="1056" t="s">
        <v>364</v>
      </c>
      <c r="B289" s="1057" t="s">
        <v>2664</v>
      </c>
      <c r="C289" s="1058" t="e">
        <f>VLOOKUP(B286,'LƯƠNG KT'!$D$15:$R$94,16,0)</f>
        <v>#N/A</v>
      </c>
      <c r="D289" s="1059" t="e">
        <f>C289*$L$5</f>
        <v>#N/A</v>
      </c>
      <c r="E289" s="1061"/>
      <c r="F289" s="1061"/>
      <c r="G289" s="1056" t="s">
        <v>364</v>
      </c>
      <c r="H289" s="1057" t="s">
        <v>2664</v>
      </c>
      <c r="I289" s="1058" t="e">
        <f>VLOOKUP(H286,'LƯƠNG KT'!$D$15:$R$94,16,0)</f>
        <v>#N/A</v>
      </c>
      <c r="J289" s="1059" t="e">
        <f>I289*$L$5</f>
        <v>#N/A</v>
      </c>
      <c r="K289" s="1084"/>
      <c r="L289" s="1085"/>
      <c r="M289" s="1085"/>
      <c r="N289" s="1085"/>
      <c r="O289" s="1085"/>
    </row>
    <row r="290" spans="1:15" ht="15" customHeight="1">
      <c r="A290" s="1056" t="s">
        <v>370</v>
      </c>
      <c r="B290" s="1057" t="s">
        <v>2665</v>
      </c>
      <c r="C290" s="1058" t="e">
        <f>VLOOKUP(B286,'LƯƠNG KT'!$D$15:$R$94,24,0)</f>
        <v>#N/A</v>
      </c>
      <c r="D290" s="1059" t="e">
        <f>+C290*$L$6</f>
        <v>#N/A</v>
      </c>
      <c r="E290" s="1061"/>
      <c r="F290" s="1061"/>
      <c r="G290" s="1056" t="s">
        <v>370</v>
      </c>
      <c r="H290" s="1057" t="s">
        <v>2665</v>
      </c>
      <c r="I290" s="1058" t="e">
        <f>VLOOKUP(H286,'LƯƠNG KT'!$D$15:$R$94,24,0)</f>
        <v>#N/A</v>
      </c>
      <c r="J290" s="1059" t="e">
        <f>+I290*$L$6</f>
        <v>#N/A</v>
      </c>
      <c r="K290" s="1085"/>
      <c r="L290" s="1085"/>
      <c r="M290" s="1085"/>
      <c r="N290" s="1085"/>
      <c r="O290" s="1085"/>
    </row>
    <row r="291" spans="1:15" ht="15" customHeight="1">
      <c r="A291" s="1056" t="s">
        <v>2666</v>
      </c>
      <c r="B291" s="1057" t="s">
        <v>2667</v>
      </c>
      <c r="C291" s="1058" t="e">
        <f>VLOOKUP(B286,'LƯƠNG KT'!$D$15:$R$94,19,0)</f>
        <v>#N/A</v>
      </c>
      <c r="D291" s="1059" t="e">
        <f>+C291*$L$8</f>
        <v>#N/A</v>
      </c>
      <c r="E291" s="1061"/>
      <c r="F291" s="1061"/>
      <c r="G291" s="1056" t="s">
        <v>2666</v>
      </c>
      <c r="H291" s="1057" t="s">
        <v>2667</v>
      </c>
      <c r="I291" s="1058" t="e">
        <f>VLOOKUP(H286,'LƯƠNG KT'!$D$15:$R$94,19,0)</f>
        <v>#N/A</v>
      </c>
      <c r="J291" s="1059" t="e">
        <f>+I291*$L$8</f>
        <v>#N/A</v>
      </c>
      <c r="K291" s="1085"/>
      <c r="L291" s="1085"/>
      <c r="M291" s="1085"/>
      <c r="N291" s="1085"/>
      <c r="O291" s="1085"/>
    </row>
    <row r="292" spans="1:15" ht="15" customHeight="1">
      <c r="A292" s="1056" t="s">
        <v>2668</v>
      </c>
      <c r="B292" s="1062" t="s">
        <v>2669</v>
      </c>
      <c r="C292" s="1058" t="e">
        <f>VLOOKUP(B286,'LƯƠNG KT'!$D$15:$R$94,20,0)</f>
        <v>#N/A</v>
      </c>
      <c r="D292" s="1059" t="e">
        <f>+C292*$L$9</f>
        <v>#N/A</v>
      </c>
      <c r="E292" s="1061"/>
      <c r="F292" s="1061"/>
      <c r="G292" s="1056" t="s">
        <v>2668</v>
      </c>
      <c r="H292" s="1062" t="s">
        <v>2669</v>
      </c>
      <c r="I292" s="1058" t="e">
        <f>VLOOKUP(H286,'LƯƠNG KT'!$D$15:$R$94,20,0)</f>
        <v>#N/A</v>
      </c>
      <c r="J292" s="1059" t="e">
        <f>+I292*$L$9</f>
        <v>#N/A</v>
      </c>
      <c r="K292" s="1085"/>
      <c r="L292" s="1085"/>
      <c r="M292" s="1085"/>
      <c r="N292" s="1085"/>
      <c r="O292" s="1085"/>
    </row>
    <row r="293" spans="1:15" ht="15" customHeight="1">
      <c r="A293" s="1056" t="s">
        <v>2671</v>
      </c>
      <c r="B293" s="1057" t="s">
        <v>2672</v>
      </c>
      <c r="C293" s="1058" t="e">
        <f>VLOOKUP(B286,'LƯƠNG KT'!$D$15:$R$94,17,0)</f>
        <v>#N/A</v>
      </c>
      <c r="D293" s="1059" t="e">
        <f>+C293*$L$10</f>
        <v>#N/A</v>
      </c>
      <c r="E293" s="1061"/>
      <c r="F293" s="1061"/>
      <c r="G293" s="1056" t="s">
        <v>2671</v>
      </c>
      <c r="H293" s="1057" t="s">
        <v>2672</v>
      </c>
      <c r="I293" s="1058" t="e">
        <f>VLOOKUP(H286,'LƯƠNG KT'!$D$15:$R$94,17,0)</f>
        <v>#N/A</v>
      </c>
      <c r="J293" s="1059" t="e">
        <f>+I293*$L$10</f>
        <v>#N/A</v>
      </c>
      <c r="K293" s="1085"/>
      <c r="L293" s="1085"/>
      <c r="M293" s="1085"/>
      <c r="N293" s="1085"/>
      <c r="O293" s="1085"/>
    </row>
    <row r="294" spans="1:15" ht="15" customHeight="1">
      <c r="A294" s="1056" t="s">
        <v>374</v>
      </c>
      <c r="B294" s="1057" t="s">
        <v>2674</v>
      </c>
      <c r="C294" s="1058" t="e">
        <f>VLOOKUP(B286,'LƯƠNG KT'!$D$15:$R$94,12,0)</f>
        <v>#N/A</v>
      </c>
      <c r="D294" s="1059" t="e">
        <f>VLOOKUP(B286,'LƯƠNG KT'!$D$15:$R$94,14,0)</f>
        <v>#N/A</v>
      </c>
      <c r="E294" s="1063"/>
      <c r="F294" s="1061"/>
      <c r="G294" s="1056" t="s">
        <v>374</v>
      </c>
      <c r="H294" s="1057" t="s">
        <v>2674</v>
      </c>
      <c r="I294" s="1058" t="e">
        <f>VLOOKUP(H286,'LƯƠNG KT'!$D$15:$R$94,12,0)</f>
        <v>#N/A</v>
      </c>
      <c r="J294" s="1059" t="e">
        <f>VLOOKUP(H286,'LƯƠNG KT'!$D$15:$R$94,14,0)</f>
        <v>#N/A</v>
      </c>
      <c r="K294" s="1085"/>
      <c r="L294" s="1085"/>
      <c r="M294" s="1085"/>
      <c r="N294" s="1085"/>
      <c r="O294" s="1085"/>
    </row>
    <row r="295" spans="1:15" ht="15" customHeight="1">
      <c r="A295" s="1056" t="s">
        <v>2675</v>
      </c>
      <c r="B295" s="1057" t="s">
        <v>2676</v>
      </c>
      <c r="D295" s="1064" t="e">
        <f>VLOOKUP(B286,'LƯƠNG KT'!$D$15:$R$94,13,0)</f>
        <v>#N/A</v>
      </c>
      <c r="E295" s="1065"/>
      <c r="F295" s="1065"/>
      <c r="G295" s="1056" t="s">
        <v>2675</v>
      </c>
      <c r="H295" s="1057" t="s">
        <v>2676</v>
      </c>
      <c r="J295" s="1064" t="e">
        <f>VLOOKUP(H286,'LƯƠNG KT'!$D$15:$R$94,13,0)</f>
        <v>#N/A</v>
      </c>
    </row>
    <row r="296" spans="1:15" ht="15" customHeight="1">
      <c r="A296" s="1066"/>
      <c r="B296" s="869"/>
      <c r="C296" s="1058"/>
      <c r="D296" s="1059"/>
      <c r="E296" s="1063"/>
      <c r="F296" s="1065"/>
      <c r="G296" s="1066"/>
      <c r="H296" s="869"/>
      <c r="I296" s="1058"/>
      <c r="J296" s="1059"/>
    </row>
    <row r="297" spans="1:15" ht="15" customHeight="1">
      <c r="A297" s="1052"/>
      <c r="B297" s="869"/>
      <c r="C297" s="1058"/>
      <c r="D297" s="1059"/>
      <c r="E297" s="1067"/>
      <c r="F297" s="1051"/>
      <c r="G297" s="1052"/>
      <c r="H297" s="869"/>
      <c r="I297" s="1058"/>
      <c r="J297" s="1059"/>
    </row>
    <row r="298" spans="1:15" ht="15" customHeight="1">
      <c r="A298" s="1068" t="s">
        <v>383</v>
      </c>
      <c r="B298" s="1069" t="s">
        <v>384</v>
      </c>
      <c r="C298" s="1070"/>
      <c r="D298" s="1071" t="e">
        <f>SUM(D287:D294)-D297</f>
        <v>#N/A</v>
      </c>
      <c r="E298" s="1072"/>
      <c r="F298" s="1073"/>
      <c r="G298" s="1068" t="s">
        <v>383</v>
      </c>
      <c r="H298" s="1069" t="s">
        <v>384</v>
      </c>
      <c r="I298" s="1070"/>
      <c r="J298" s="1071" t="e">
        <f>SUM(J287:J294)-J297</f>
        <v>#N/A</v>
      </c>
    </row>
    <row r="299" spans="1:15" ht="12.6" customHeight="1">
      <c r="A299" s="1074"/>
      <c r="B299" s="1075"/>
      <c r="C299" s="1076"/>
      <c r="D299" s="1077"/>
      <c r="E299" s="1077"/>
      <c r="F299" s="1078"/>
      <c r="G299" s="1074"/>
      <c r="H299" s="1075"/>
      <c r="I299" s="1076"/>
      <c r="J299" s="1077"/>
    </row>
    <row r="300" spans="1:15" ht="12.6" customHeight="1">
      <c r="A300" s="1075"/>
      <c r="B300" s="1075"/>
      <c r="C300" s="1079"/>
      <c r="D300" s="1080"/>
      <c r="E300" s="1075"/>
      <c r="F300" s="1081"/>
      <c r="G300" s="1075"/>
      <c r="H300" s="1075"/>
      <c r="I300" s="1079"/>
      <c r="J300" s="1080"/>
    </row>
    <row r="301" spans="1:15" ht="15" customHeight="1">
      <c r="A301" s="2242" t="str">
        <f>$K$2</f>
        <v>THÁNG 04/2025</v>
      </c>
      <c r="B301" s="2242"/>
      <c r="C301" s="2242"/>
      <c r="D301" s="2242"/>
      <c r="E301" s="1050"/>
      <c r="F301" s="1051"/>
      <c r="G301" s="2242" t="str">
        <f>$K$2</f>
        <v>THÁNG 04/2025</v>
      </c>
      <c r="H301" s="2242"/>
      <c r="I301" s="2242"/>
      <c r="J301" s="2242"/>
      <c r="K301" s="624"/>
    </row>
    <row r="302" spans="1:15" ht="15" customHeight="1">
      <c r="A302" s="1052" t="s">
        <v>356</v>
      </c>
      <c r="B302" s="1053" t="s">
        <v>417</v>
      </c>
      <c r="C302" s="869"/>
      <c r="D302" s="1049"/>
      <c r="E302" s="1054"/>
      <c r="F302" s="1055"/>
      <c r="G302" s="1052" t="s">
        <v>356</v>
      </c>
      <c r="H302" s="1053" t="s">
        <v>418</v>
      </c>
      <c r="I302" s="869"/>
      <c r="J302" s="1049"/>
      <c r="L302" s="1088"/>
      <c r="M302" s="1088"/>
      <c r="N302" s="1088"/>
      <c r="O302" s="1088"/>
    </row>
    <row r="303" spans="1:15" ht="15" customHeight="1">
      <c r="A303" s="1056" t="s">
        <v>359</v>
      </c>
      <c r="B303" s="1057" t="s">
        <v>2662</v>
      </c>
      <c r="C303" s="1058" t="e">
        <f>VLOOKUP(B302,'LƯƠNG KT'!$D$15:$R$94,4,0)</f>
        <v>#N/A</v>
      </c>
      <c r="D303" s="1059" t="e">
        <f>+C303*25000</f>
        <v>#N/A</v>
      </c>
      <c r="E303" s="1060"/>
      <c r="F303" s="1060"/>
      <c r="G303" s="1056" t="s">
        <v>359</v>
      </c>
      <c r="H303" s="1057" t="s">
        <v>2662</v>
      </c>
      <c r="I303" s="1058" t="e">
        <f>VLOOKUP(H302,'LƯƠNG KT'!$D$15:$R$94,4,0)</f>
        <v>#N/A</v>
      </c>
      <c r="J303" s="1059" t="e">
        <f>+I303*25000</f>
        <v>#N/A</v>
      </c>
      <c r="K303" s="1085"/>
      <c r="L303" s="1085"/>
      <c r="M303" s="1085"/>
      <c r="N303" s="1085"/>
      <c r="O303" s="1085"/>
    </row>
    <row r="304" spans="1:15" ht="15" customHeight="1">
      <c r="A304" s="1056" t="s">
        <v>361</v>
      </c>
      <c r="B304" s="1057" t="s">
        <v>2663</v>
      </c>
      <c r="C304" s="1058" t="e">
        <f>VLOOKUP(B302,'LƯƠNG KT'!$D$15:$R$94,15,0)</f>
        <v>#N/A</v>
      </c>
      <c r="D304" s="1059" t="e">
        <f>C304*$L$4</f>
        <v>#N/A</v>
      </c>
      <c r="E304" s="1061"/>
      <c r="F304" s="1061"/>
      <c r="G304" s="1056" t="s">
        <v>361</v>
      </c>
      <c r="H304" s="1057" t="s">
        <v>2663</v>
      </c>
      <c r="I304" s="1058" t="e">
        <f>VLOOKUP(H302,'LƯƠNG KT'!$D$15:$R$94,15,0)</f>
        <v>#N/A</v>
      </c>
      <c r="J304" s="1059" t="e">
        <f>I304*$L$4</f>
        <v>#N/A</v>
      </c>
      <c r="K304" s="1085"/>
      <c r="L304" s="1085"/>
      <c r="M304" s="1085"/>
      <c r="N304" s="1085"/>
      <c r="O304" s="1085"/>
    </row>
    <row r="305" spans="1:15" ht="15" customHeight="1">
      <c r="A305" s="1056" t="s">
        <v>364</v>
      </c>
      <c r="B305" s="1057" t="s">
        <v>2664</v>
      </c>
      <c r="C305" s="1058" t="e">
        <f>VLOOKUP(B302,'LƯƠNG KT'!$D$15:$R$94,16,0)</f>
        <v>#N/A</v>
      </c>
      <c r="D305" s="1059" t="e">
        <f>C305*$L$5</f>
        <v>#N/A</v>
      </c>
      <c r="E305" s="1061"/>
      <c r="F305" s="1061"/>
      <c r="G305" s="1056" t="s">
        <v>364</v>
      </c>
      <c r="H305" s="1057" t="s">
        <v>2664</v>
      </c>
      <c r="I305" s="1058" t="e">
        <f>VLOOKUP(H302,'LƯƠNG KT'!$D$15:$R$94,16,0)</f>
        <v>#N/A</v>
      </c>
      <c r="J305" s="1059" t="e">
        <f>I305*$L$5</f>
        <v>#N/A</v>
      </c>
      <c r="K305" s="1085"/>
      <c r="L305" s="1085"/>
      <c r="M305" s="1085"/>
      <c r="N305" s="1085"/>
      <c r="O305" s="1085"/>
    </row>
    <row r="306" spans="1:15" ht="15" customHeight="1">
      <c r="A306" s="1056" t="s">
        <v>370</v>
      </c>
      <c r="B306" s="1057" t="s">
        <v>2665</v>
      </c>
      <c r="C306" s="1058" t="e">
        <f>VLOOKUP(B302,'LƯƠNG KT'!$D$15:$R$94,24,0)</f>
        <v>#N/A</v>
      </c>
      <c r="D306" s="1059" t="e">
        <f>+C306*$L$6</f>
        <v>#N/A</v>
      </c>
      <c r="E306" s="1061"/>
      <c r="F306" s="1061"/>
      <c r="G306" s="1056" t="s">
        <v>370</v>
      </c>
      <c r="H306" s="1057" t="s">
        <v>2665</v>
      </c>
      <c r="I306" s="1058" t="e">
        <f>VLOOKUP(H302,'LƯƠNG KT'!$D$15:$R$94,24,0)</f>
        <v>#N/A</v>
      </c>
      <c r="J306" s="1059" t="e">
        <f>+I306*$L$6</f>
        <v>#N/A</v>
      </c>
      <c r="K306" s="1085"/>
      <c r="L306" s="1085"/>
      <c r="M306" s="1085"/>
      <c r="N306" s="1085"/>
      <c r="O306" s="1085"/>
    </row>
    <row r="307" spans="1:15" ht="15" customHeight="1">
      <c r="A307" s="1056" t="s">
        <v>2666</v>
      </c>
      <c r="B307" s="1057" t="s">
        <v>2667</v>
      </c>
      <c r="C307" s="1058" t="e">
        <f>VLOOKUP(B302,'LƯƠNG KT'!$D$15:$R$94,19,0)</f>
        <v>#N/A</v>
      </c>
      <c r="D307" s="1059" t="e">
        <f>+C307*$L$8</f>
        <v>#N/A</v>
      </c>
      <c r="E307" s="1061"/>
      <c r="F307" s="1061"/>
      <c r="G307" s="1056" t="s">
        <v>2666</v>
      </c>
      <c r="H307" s="1057" t="s">
        <v>2667</v>
      </c>
      <c r="I307" s="1058" t="e">
        <f>VLOOKUP(H302,'LƯƠNG KT'!$D$15:$R$94,19,0)</f>
        <v>#N/A</v>
      </c>
      <c r="J307" s="1059" t="e">
        <f>+I307*$L$8</f>
        <v>#N/A</v>
      </c>
      <c r="K307" s="1085"/>
      <c r="L307" s="1085"/>
      <c r="M307" s="1085"/>
      <c r="N307" s="1085"/>
      <c r="O307" s="1085"/>
    </row>
    <row r="308" spans="1:15" ht="15" customHeight="1">
      <c r="A308" s="1056" t="s">
        <v>2668</v>
      </c>
      <c r="B308" s="1062" t="s">
        <v>2669</v>
      </c>
      <c r="C308" s="1058" t="e">
        <f>VLOOKUP(B302,'LƯƠNG KT'!$D$15:$R$94,20,0)</f>
        <v>#N/A</v>
      </c>
      <c r="D308" s="1059" t="e">
        <f>+C308*$L$9</f>
        <v>#N/A</v>
      </c>
      <c r="E308" s="1061"/>
      <c r="F308" s="1061"/>
      <c r="G308" s="1056" t="s">
        <v>2668</v>
      </c>
      <c r="H308" s="1062" t="s">
        <v>2669</v>
      </c>
      <c r="I308" s="1058" t="e">
        <f>VLOOKUP(H302,'LƯƠNG KT'!$D$15:$R$94,20,0)</f>
        <v>#N/A</v>
      </c>
      <c r="J308" s="1059" t="e">
        <f>+I308*$L$9</f>
        <v>#N/A</v>
      </c>
      <c r="K308" s="1085"/>
      <c r="L308" s="1085"/>
      <c r="M308" s="1085"/>
      <c r="N308" s="1085"/>
      <c r="O308" s="1085"/>
    </row>
    <row r="309" spans="1:15" ht="15" customHeight="1">
      <c r="A309" s="1056" t="s">
        <v>2671</v>
      </c>
      <c r="B309" s="1057" t="s">
        <v>2672</v>
      </c>
      <c r="C309" s="1058" t="e">
        <f>VLOOKUP(B302,'LƯƠNG KT'!$D$15:$R$94,17,0)</f>
        <v>#N/A</v>
      </c>
      <c r="D309" s="1059" t="e">
        <f>+C309*$L$10</f>
        <v>#N/A</v>
      </c>
      <c r="E309" s="1061"/>
      <c r="F309" s="1061"/>
      <c r="G309" s="1056" t="s">
        <v>2671</v>
      </c>
      <c r="H309" s="1057" t="s">
        <v>2672</v>
      </c>
      <c r="I309" s="1058" t="e">
        <f>VLOOKUP(H302,'LƯƠNG KT'!$D$15:$R$94,17,0)</f>
        <v>#N/A</v>
      </c>
      <c r="J309" s="1059" t="e">
        <f>+I309*$L$10</f>
        <v>#N/A</v>
      </c>
      <c r="K309" s="1085"/>
      <c r="L309" s="1085"/>
      <c r="M309" s="1085"/>
      <c r="N309" s="1085"/>
      <c r="O309" s="1085"/>
    </row>
    <row r="310" spans="1:15" ht="15" customHeight="1">
      <c r="A310" s="1056" t="s">
        <v>374</v>
      </c>
      <c r="B310" s="1057" t="s">
        <v>2674</v>
      </c>
      <c r="C310" s="1058" t="e">
        <f>VLOOKUP(B302,'LƯƠNG KT'!$D$15:$R$94,12,0)</f>
        <v>#N/A</v>
      </c>
      <c r="D310" s="1059" t="e">
        <f>VLOOKUP(B302,'LƯƠNG KT'!$D$15:$R$94,14,0)</f>
        <v>#N/A</v>
      </c>
      <c r="E310" s="1063"/>
      <c r="F310" s="1061"/>
      <c r="G310" s="1056" t="s">
        <v>374</v>
      </c>
      <c r="H310" s="1057" t="s">
        <v>2674</v>
      </c>
      <c r="I310" s="1058" t="e">
        <f>VLOOKUP(H302,'LƯƠNG KT'!$D$15:$R$94,12,0)</f>
        <v>#N/A</v>
      </c>
      <c r="J310" s="1059" t="e">
        <f>VLOOKUP(H302,'LƯƠNG KT'!$D$15:$R$94,14,0)</f>
        <v>#N/A</v>
      </c>
      <c r="K310" s="1085"/>
      <c r="L310" s="1085"/>
      <c r="M310" s="1085"/>
      <c r="N310" s="1085"/>
      <c r="O310" s="1085"/>
    </row>
    <row r="311" spans="1:15" ht="15" customHeight="1">
      <c r="A311" s="1056" t="s">
        <v>2675</v>
      </c>
      <c r="B311" s="1057" t="s">
        <v>2676</v>
      </c>
      <c r="D311" s="1064" t="e">
        <f>VLOOKUP(B302,'LƯƠNG KT'!$D$15:$R$94,13,0)</f>
        <v>#N/A</v>
      </c>
      <c r="E311" s="1065"/>
      <c r="F311" s="1065"/>
      <c r="G311" s="1056" t="s">
        <v>2675</v>
      </c>
      <c r="H311" s="1057" t="s">
        <v>2676</v>
      </c>
      <c r="J311" s="1064" t="e">
        <f>VLOOKUP(H302,'LƯƠNG KT'!$D$15:$R$94,13,0)</f>
        <v>#N/A</v>
      </c>
    </row>
    <row r="312" spans="1:15" ht="15" customHeight="1">
      <c r="A312" s="1066"/>
      <c r="B312" s="869"/>
      <c r="C312" s="1058"/>
      <c r="D312" s="1059"/>
      <c r="E312" s="1063"/>
      <c r="F312" s="1065"/>
      <c r="G312" s="1066"/>
      <c r="H312" s="869"/>
      <c r="I312" s="1058"/>
      <c r="J312" s="1059"/>
    </row>
    <row r="313" spans="1:15" ht="15" customHeight="1">
      <c r="A313" s="1052"/>
      <c r="B313" s="869"/>
      <c r="C313" s="1058"/>
      <c r="D313" s="1059"/>
      <c r="E313" s="1067"/>
      <c r="F313" s="1051"/>
      <c r="G313" s="1052"/>
      <c r="H313" s="869"/>
      <c r="I313" s="1058"/>
      <c r="J313" s="1059"/>
    </row>
    <row r="314" spans="1:15" ht="15" customHeight="1">
      <c r="A314" s="1068" t="s">
        <v>383</v>
      </c>
      <c r="B314" s="1069" t="s">
        <v>384</v>
      </c>
      <c r="C314" s="1070"/>
      <c r="D314" s="1071" t="e">
        <f>SUM(D303:D310)-D313</f>
        <v>#N/A</v>
      </c>
      <c r="E314" s="1072"/>
      <c r="F314" s="1073"/>
      <c r="G314" s="1068" t="s">
        <v>383</v>
      </c>
      <c r="H314" s="1069" t="s">
        <v>384</v>
      </c>
      <c r="I314" s="1070"/>
      <c r="J314" s="1071" t="e">
        <f>SUM(J303:J310)-J313</f>
        <v>#N/A</v>
      </c>
    </row>
    <row r="315" spans="1:15" ht="18.75" customHeight="1">
      <c r="A315" s="1074"/>
      <c r="B315" s="1075"/>
      <c r="C315" s="1076"/>
      <c r="D315" s="1077"/>
      <c r="E315" s="1077"/>
      <c r="F315" s="1078"/>
      <c r="G315" s="1074"/>
      <c r="H315" s="1075"/>
      <c r="I315" s="1076"/>
      <c r="J315" s="1077"/>
    </row>
    <row r="316" spans="1:15" ht="18.75" customHeight="1">
      <c r="A316" s="1075"/>
      <c r="B316" s="1075"/>
      <c r="C316" s="1079"/>
      <c r="D316" s="1080"/>
      <c r="E316" s="1075"/>
      <c r="F316" s="1081"/>
      <c r="G316" s="1075"/>
      <c r="H316" s="1075"/>
      <c r="I316" s="1079"/>
      <c r="J316" s="1080"/>
    </row>
    <row r="317" spans="1:15" ht="15" customHeight="1">
      <c r="A317" s="2242" t="str">
        <f>$K$2</f>
        <v>THÁNG 04/2025</v>
      </c>
      <c r="B317" s="2242"/>
      <c r="C317" s="2242"/>
      <c r="D317" s="2242"/>
      <c r="E317" s="1050"/>
      <c r="F317" s="1051"/>
      <c r="G317" s="2242" t="str">
        <f>$K$2</f>
        <v>THÁNG 04/2025</v>
      </c>
      <c r="H317" s="2242"/>
      <c r="I317" s="2242"/>
      <c r="J317" s="2242"/>
      <c r="K317" s="624"/>
    </row>
    <row r="318" spans="1:15" ht="15" customHeight="1">
      <c r="A318" s="1052" t="s">
        <v>356</v>
      </c>
      <c r="B318" s="1053" t="s">
        <v>419</v>
      </c>
      <c r="C318" s="869"/>
      <c r="D318" s="1049"/>
      <c r="E318" s="1054"/>
      <c r="F318" s="1055"/>
      <c r="G318" s="1052" t="s">
        <v>356</v>
      </c>
      <c r="H318" s="1053" t="s">
        <v>420</v>
      </c>
      <c r="I318" s="869"/>
      <c r="J318" s="1049"/>
      <c r="L318" s="1088"/>
      <c r="M318" s="1088"/>
      <c r="N318" s="1088"/>
      <c r="O318" s="1088"/>
    </row>
    <row r="319" spans="1:15" ht="15" customHeight="1">
      <c r="A319" s="1056" t="s">
        <v>359</v>
      </c>
      <c r="B319" s="1057" t="s">
        <v>2662</v>
      </c>
      <c r="C319" s="1058" t="e">
        <f>VLOOKUP(B318,'LƯƠNG KT'!$D$15:$R$94,4,0)</f>
        <v>#N/A</v>
      </c>
      <c r="D319" s="1059" t="e">
        <f>+C319*25000</f>
        <v>#N/A</v>
      </c>
      <c r="E319" s="1060"/>
      <c r="F319" s="1060"/>
      <c r="G319" s="1056" t="s">
        <v>359</v>
      </c>
      <c r="H319" s="1057" t="s">
        <v>2662</v>
      </c>
      <c r="I319" s="1058" t="e">
        <f>VLOOKUP(H318,'LƯƠNG KT'!$D$15:$R$94,4,0)</f>
        <v>#N/A</v>
      </c>
      <c r="J319" s="1059" t="e">
        <f>+I319*25000</f>
        <v>#N/A</v>
      </c>
      <c r="K319" s="1085"/>
      <c r="L319" s="1085"/>
      <c r="M319" s="1085"/>
      <c r="N319" s="1085"/>
      <c r="O319" s="1085"/>
    </row>
    <row r="320" spans="1:15" ht="15" customHeight="1">
      <c r="A320" s="1056" t="s">
        <v>361</v>
      </c>
      <c r="B320" s="1057" t="s">
        <v>2663</v>
      </c>
      <c r="C320" s="1058" t="e">
        <f>VLOOKUP(B318,'LƯƠNG KT'!$D$15:$R$94,15,0)</f>
        <v>#N/A</v>
      </c>
      <c r="D320" s="1059" t="e">
        <f>C320*$L$4</f>
        <v>#N/A</v>
      </c>
      <c r="E320" s="1061"/>
      <c r="F320" s="1061"/>
      <c r="G320" s="1056" t="s">
        <v>361</v>
      </c>
      <c r="H320" s="1057" t="s">
        <v>2663</v>
      </c>
      <c r="I320" s="1058" t="e">
        <f>VLOOKUP(H318,'LƯƠNG KT'!$D$15:$R$94,15,0)</f>
        <v>#N/A</v>
      </c>
      <c r="J320" s="1059" t="e">
        <f>I320*$L$4</f>
        <v>#N/A</v>
      </c>
      <c r="K320" s="1085"/>
      <c r="L320" s="1085"/>
      <c r="M320" s="1085"/>
      <c r="N320" s="1085"/>
      <c r="O320" s="1085"/>
    </row>
    <row r="321" spans="1:15" ht="15" customHeight="1">
      <c r="A321" s="1056" t="s">
        <v>364</v>
      </c>
      <c r="B321" s="1057" t="s">
        <v>2664</v>
      </c>
      <c r="C321" s="1058" t="e">
        <f>VLOOKUP(B318,'LƯƠNG KT'!$D$15:$R$94,16,0)</f>
        <v>#N/A</v>
      </c>
      <c r="D321" s="1059" t="e">
        <f>C321*$L$5</f>
        <v>#N/A</v>
      </c>
      <c r="E321" s="1061"/>
      <c r="F321" s="1061"/>
      <c r="G321" s="1056" t="s">
        <v>364</v>
      </c>
      <c r="H321" s="1057" t="s">
        <v>2664</v>
      </c>
      <c r="I321" s="1058" t="e">
        <f>VLOOKUP(H318,'LƯƠNG KT'!$D$15:$R$94,16,0)</f>
        <v>#N/A</v>
      </c>
      <c r="J321" s="1059" t="e">
        <f>I321*$L$5</f>
        <v>#N/A</v>
      </c>
      <c r="K321" s="1085"/>
      <c r="L321" s="1085"/>
      <c r="M321" s="1085"/>
      <c r="N321" s="1085"/>
      <c r="O321" s="1085"/>
    </row>
    <row r="322" spans="1:15" ht="15" customHeight="1">
      <c r="A322" s="1056" t="s">
        <v>370</v>
      </c>
      <c r="B322" s="1057" t="s">
        <v>2665</v>
      </c>
      <c r="C322" s="1058" t="e">
        <f>VLOOKUP(B318,'LƯƠNG KT'!$D$15:$R$94,24,0)</f>
        <v>#N/A</v>
      </c>
      <c r="D322" s="1059" t="e">
        <f>+C322*$L$6</f>
        <v>#N/A</v>
      </c>
      <c r="E322" s="1061"/>
      <c r="F322" s="1061"/>
      <c r="G322" s="1056" t="s">
        <v>370</v>
      </c>
      <c r="H322" s="1057" t="s">
        <v>2665</v>
      </c>
      <c r="I322" s="1058" t="e">
        <f>VLOOKUP(H318,'LƯƠNG KT'!$D$15:$R$94,24,0)</f>
        <v>#N/A</v>
      </c>
      <c r="J322" s="1059" t="e">
        <f>+I322*$L$6</f>
        <v>#N/A</v>
      </c>
      <c r="K322" s="1085"/>
      <c r="L322" s="1085"/>
      <c r="M322" s="1085"/>
      <c r="N322" s="1085"/>
      <c r="O322" s="1085"/>
    </row>
    <row r="323" spans="1:15" ht="15" customHeight="1">
      <c r="A323" s="1056" t="s">
        <v>2666</v>
      </c>
      <c r="B323" s="1057" t="s">
        <v>2667</v>
      </c>
      <c r="C323" s="1058" t="e">
        <f>VLOOKUP(B318,'LƯƠNG KT'!$D$15:$R$94,19,0)</f>
        <v>#N/A</v>
      </c>
      <c r="D323" s="1059" t="e">
        <f>+C323*$L$8</f>
        <v>#N/A</v>
      </c>
      <c r="E323" s="1061"/>
      <c r="F323" s="1061"/>
      <c r="G323" s="1056" t="s">
        <v>2666</v>
      </c>
      <c r="H323" s="1057" t="s">
        <v>2667</v>
      </c>
      <c r="I323" s="1058" t="e">
        <f>VLOOKUP(H318,'LƯƠNG KT'!$D$15:$R$94,19,0)</f>
        <v>#N/A</v>
      </c>
      <c r="J323" s="1059" t="e">
        <f>+I323*$L$8</f>
        <v>#N/A</v>
      </c>
      <c r="K323" s="1085"/>
      <c r="L323" s="1085"/>
      <c r="M323" s="1085"/>
      <c r="N323" s="1085"/>
      <c r="O323" s="1085"/>
    </row>
    <row r="324" spans="1:15" ht="15" customHeight="1">
      <c r="A324" s="1056" t="s">
        <v>2668</v>
      </c>
      <c r="B324" s="1062" t="s">
        <v>2669</v>
      </c>
      <c r="C324" s="1058" t="e">
        <f>VLOOKUP(B318,'LƯƠNG KT'!$D$15:$R$94,20,0)</f>
        <v>#N/A</v>
      </c>
      <c r="D324" s="1059" t="e">
        <f>+C324*$L$9</f>
        <v>#N/A</v>
      </c>
      <c r="E324" s="1061"/>
      <c r="F324" s="1061"/>
      <c r="G324" s="1056" t="s">
        <v>2668</v>
      </c>
      <c r="H324" s="1062" t="s">
        <v>2669</v>
      </c>
      <c r="I324" s="1058" t="e">
        <f>VLOOKUP(H318,'LƯƠNG KT'!$D$15:$R$94,20,0)</f>
        <v>#N/A</v>
      </c>
      <c r="J324" s="1059" t="e">
        <f>+I324*$L$9</f>
        <v>#N/A</v>
      </c>
      <c r="K324" s="1085"/>
      <c r="L324" s="1085"/>
      <c r="M324" s="1085"/>
      <c r="N324" s="1085"/>
      <c r="O324" s="1085"/>
    </row>
    <row r="325" spans="1:15" ht="15" customHeight="1">
      <c r="A325" s="1056" t="s">
        <v>2671</v>
      </c>
      <c r="B325" s="1057" t="s">
        <v>2672</v>
      </c>
      <c r="C325" s="1058" t="e">
        <f>VLOOKUP(B318,'LƯƠNG KT'!$D$15:$R$94,17,0)</f>
        <v>#N/A</v>
      </c>
      <c r="D325" s="1059" t="e">
        <f>+C325*$L$10</f>
        <v>#N/A</v>
      </c>
      <c r="E325" s="1061"/>
      <c r="F325" s="1061"/>
      <c r="G325" s="1056" t="s">
        <v>2671</v>
      </c>
      <c r="H325" s="1057" t="s">
        <v>2672</v>
      </c>
      <c r="I325" s="1058" t="e">
        <f>VLOOKUP(H318,'LƯƠNG KT'!$D$15:$R$94,17,0)</f>
        <v>#N/A</v>
      </c>
      <c r="J325" s="1059" t="e">
        <f>+I325*$L$10</f>
        <v>#N/A</v>
      </c>
      <c r="K325" s="1085"/>
      <c r="L325" s="1085"/>
      <c r="M325" s="1085"/>
      <c r="N325" s="1085"/>
      <c r="O325" s="1085"/>
    </row>
    <row r="326" spans="1:15" ht="15" customHeight="1">
      <c r="A326" s="1056" t="s">
        <v>374</v>
      </c>
      <c r="B326" s="1057" t="s">
        <v>2674</v>
      </c>
      <c r="C326" s="1058" t="e">
        <f>VLOOKUP(B318,'LƯƠNG KT'!$D$15:$R$94,12,0)</f>
        <v>#N/A</v>
      </c>
      <c r="D326" s="1059" t="e">
        <f>VLOOKUP(B318,'LƯƠNG KT'!$D$15:$R$94,14,0)</f>
        <v>#N/A</v>
      </c>
      <c r="E326" s="1063"/>
      <c r="F326" s="1061"/>
      <c r="G326" s="1056" t="s">
        <v>374</v>
      </c>
      <c r="H326" s="1057" t="s">
        <v>2674</v>
      </c>
      <c r="I326" s="1058" t="e">
        <f>VLOOKUP(H318,'LƯƠNG KT'!$D$15:$R$94,12,0)</f>
        <v>#N/A</v>
      </c>
      <c r="J326" s="1059" t="e">
        <f>VLOOKUP(H318,'LƯƠNG KT'!$D$15:$R$94,14,0)</f>
        <v>#N/A</v>
      </c>
      <c r="K326" s="1085"/>
      <c r="L326" s="1085"/>
      <c r="M326" s="1085"/>
      <c r="N326" s="1085"/>
      <c r="O326" s="1085"/>
    </row>
    <row r="327" spans="1:15" ht="15" customHeight="1">
      <c r="A327" s="1056" t="s">
        <v>2675</v>
      </c>
      <c r="B327" s="1057" t="s">
        <v>2676</v>
      </c>
      <c r="D327" s="1064" t="e">
        <f>VLOOKUP(B318,'LƯƠNG KT'!$D$15:$R$94,13,0)</f>
        <v>#N/A</v>
      </c>
      <c r="E327" s="1065"/>
      <c r="F327" s="1065"/>
      <c r="G327" s="1056" t="s">
        <v>2675</v>
      </c>
      <c r="H327" s="1057" t="s">
        <v>2676</v>
      </c>
      <c r="J327" s="1064" t="e">
        <f>VLOOKUP(H318,'LƯƠNG KT'!$D$15:$R$94,13,0)</f>
        <v>#N/A</v>
      </c>
    </row>
    <row r="328" spans="1:15" ht="15" customHeight="1">
      <c r="A328" s="1066"/>
      <c r="B328" s="869"/>
      <c r="C328" s="1058"/>
      <c r="D328" s="1059"/>
      <c r="E328" s="1063"/>
      <c r="F328" s="1065"/>
      <c r="G328" s="1066"/>
      <c r="H328" s="869"/>
      <c r="I328" s="1058"/>
      <c r="J328" s="1059"/>
    </row>
    <row r="329" spans="1:15" ht="15" customHeight="1">
      <c r="A329" s="1052"/>
      <c r="B329" s="869"/>
      <c r="C329" s="1058"/>
      <c r="D329" s="1059"/>
      <c r="E329" s="1067"/>
      <c r="F329" s="1051"/>
      <c r="G329" s="1052"/>
      <c r="H329" s="869"/>
      <c r="I329" s="1058"/>
      <c r="J329" s="1059"/>
    </row>
    <row r="330" spans="1:15" ht="15" customHeight="1">
      <c r="A330" s="1068" t="s">
        <v>383</v>
      </c>
      <c r="B330" s="1069" t="s">
        <v>384</v>
      </c>
      <c r="C330" s="1070"/>
      <c r="D330" s="1071" t="e">
        <f>SUM(D319:D326)-D329</f>
        <v>#N/A</v>
      </c>
      <c r="E330" s="1072"/>
      <c r="F330" s="1073"/>
      <c r="G330" s="1068" t="s">
        <v>383</v>
      </c>
      <c r="H330" s="1069" t="s">
        <v>384</v>
      </c>
      <c r="I330" s="1070"/>
      <c r="J330" s="1071" t="e">
        <f>SUM(J319:J326)-J329</f>
        <v>#N/A</v>
      </c>
    </row>
    <row r="331" spans="1:15" ht="18.75" customHeight="1">
      <c r="A331" s="1074"/>
      <c r="B331" s="1075"/>
      <c r="C331" s="1076"/>
      <c r="D331" s="1077"/>
      <c r="E331" s="1077"/>
      <c r="F331" s="1078"/>
      <c r="G331" s="1074"/>
      <c r="H331" s="1075"/>
      <c r="I331" s="1076"/>
      <c r="J331" s="1077"/>
    </row>
    <row r="332" spans="1:15" ht="18.75" customHeight="1">
      <c r="A332" s="1075"/>
      <c r="B332" s="1075"/>
      <c r="C332" s="1079"/>
      <c r="D332" s="1080"/>
      <c r="E332" s="1075"/>
      <c r="F332" s="1081"/>
      <c r="G332" s="1075"/>
      <c r="H332" s="1075"/>
      <c r="I332" s="1079"/>
      <c r="J332" s="1080"/>
    </row>
    <row r="333" spans="1:15" ht="15" customHeight="1">
      <c r="A333" s="2242" t="str">
        <f>$K$2</f>
        <v>THÁNG 04/2025</v>
      </c>
      <c r="B333" s="2242"/>
      <c r="C333" s="2242"/>
      <c r="D333" s="2242"/>
      <c r="E333" s="1050"/>
      <c r="F333" s="1051"/>
      <c r="G333" s="2242" t="str">
        <f>$K$2</f>
        <v>THÁNG 04/2025</v>
      </c>
      <c r="H333" s="2242"/>
      <c r="I333" s="2242"/>
      <c r="J333" s="2242"/>
      <c r="K333" s="624"/>
    </row>
    <row r="334" spans="1:15" ht="15" customHeight="1">
      <c r="A334" s="1052" t="s">
        <v>356</v>
      </c>
      <c r="B334" s="1053" t="s">
        <v>421</v>
      </c>
      <c r="C334" s="869"/>
      <c r="D334" s="1049"/>
      <c r="E334" s="1054"/>
      <c r="F334" s="1055"/>
      <c r="G334" s="1052" t="s">
        <v>356</v>
      </c>
      <c r="H334" s="1053" t="s">
        <v>422</v>
      </c>
      <c r="I334" s="869"/>
      <c r="J334" s="1049"/>
      <c r="L334" s="1088"/>
      <c r="M334" s="1088"/>
      <c r="N334" s="1088"/>
      <c r="O334" s="1088"/>
    </row>
    <row r="335" spans="1:15" ht="15" customHeight="1">
      <c r="A335" s="1056" t="s">
        <v>359</v>
      </c>
      <c r="B335" s="1057" t="s">
        <v>2662</v>
      </c>
      <c r="C335" s="1058" t="e">
        <f>VLOOKUP(B334,'LƯƠNG KT'!$D$15:$R$94,4,0)</f>
        <v>#N/A</v>
      </c>
      <c r="D335" s="1059" t="e">
        <f>+C335*25000</f>
        <v>#N/A</v>
      </c>
      <c r="E335" s="1060"/>
      <c r="F335" s="1060"/>
      <c r="G335" s="1056" t="s">
        <v>359</v>
      </c>
      <c r="H335" s="1057" t="s">
        <v>2662</v>
      </c>
      <c r="I335" s="1058" t="e">
        <f>VLOOKUP(H334,'LƯƠNG KT'!$D$15:$R$94,4,0)</f>
        <v>#N/A</v>
      </c>
      <c r="J335" s="1059" t="e">
        <f>+I335*25000</f>
        <v>#N/A</v>
      </c>
      <c r="K335" s="1085"/>
      <c r="L335" s="1085"/>
      <c r="M335" s="1085"/>
      <c r="N335" s="1085"/>
      <c r="O335" s="1085"/>
    </row>
    <row r="336" spans="1:15" ht="15" customHeight="1">
      <c r="A336" s="1056" t="s">
        <v>361</v>
      </c>
      <c r="B336" s="1057" t="s">
        <v>2663</v>
      </c>
      <c r="C336" s="1058" t="e">
        <f>VLOOKUP(B334,'LƯƠNG KT'!$D$15:$R$94,15,0)</f>
        <v>#N/A</v>
      </c>
      <c r="D336" s="1059" t="e">
        <f>C336*$L$4</f>
        <v>#N/A</v>
      </c>
      <c r="E336" s="1061"/>
      <c r="F336" s="1061"/>
      <c r="G336" s="1056" t="s">
        <v>361</v>
      </c>
      <c r="H336" s="1057" t="s">
        <v>2663</v>
      </c>
      <c r="I336" s="1058" t="e">
        <f>VLOOKUP(H334,'LƯƠNG KT'!$D$15:$R$94,15,0)</f>
        <v>#N/A</v>
      </c>
      <c r="J336" s="1059" t="e">
        <f>I336*$L$4</f>
        <v>#N/A</v>
      </c>
      <c r="K336" s="1085"/>
      <c r="L336" s="1085"/>
      <c r="M336" s="1085"/>
      <c r="N336" s="1085"/>
      <c r="O336" s="1085"/>
    </row>
    <row r="337" spans="1:15" ht="15" customHeight="1">
      <c r="A337" s="1056" t="s">
        <v>364</v>
      </c>
      <c r="B337" s="1057" t="s">
        <v>2664</v>
      </c>
      <c r="C337" s="1058" t="e">
        <f>VLOOKUP(B334,'LƯƠNG KT'!$D$15:$R$94,16,0)</f>
        <v>#N/A</v>
      </c>
      <c r="D337" s="1059" t="e">
        <f>C337*$L$5</f>
        <v>#N/A</v>
      </c>
      <c r="E337" s="1061"/>
      <c r="F337" s="1061"/>
      <c r="G337" s="1056" t="s">
        <v>364</v>
      </c>
      <c r="H337" s="1057" t="s">
        <v>2664</v>
      </c>
      <c r="I337" s="1058" t="e">
        <f>VLOOKUP(H334,'LƯƠNG KT'!$D$15:$R$94,16,0)</f>
        <v>#N/A</v>
      </c>
      <c r="J337" s="1059" t="e">
        <f>I337*$L$5</f>
        <v>#N/A</v>
      </c>
      <c r="K337" s="1085"/>
      <c r="L337" s="1085"/>
      <c r="M337" s="1085"/>
      <c r="N337" s="1085"/>
      <c r="O337" s="1085"/>
    </row>
    <row r="338" spans="1:15" ht="15" customHeight="1">
      <c r="A338" s="1056" t="s">
        <v>370</v>
      </c>
      <c r="B338" s="1057" t="s">
        <v>2665</v>
      </c>
      <c r="C338" s="1058" t="e">
        <f>VLOOKUP(B334,'LƯƠNG KT'!$D$15:$R$94,24,0)</f>
        <v>#N/A</v>
      </c>
      <c r="D338" s="1059" t="e">
        <f>+C338*$L$6</f>
        <v>#N/A</v>
      </c>
      <c r="E338" s="1061"/>
      <c r="F338" s="1061"/>
      <c r="G338" s="1056" t="s">
        <v>370</v>
      </c>
      <c r="H338" s="1057" t="s">
        <v>2665</v>
      </c>
      <c r="I338" s="1058" t="e">
        <f>VLOOKUP(H334,'LƯƠNG KT'!$D$15:$R$94,24,0)</f>
        <v>#N/A</v>
      </c>
      <c r="J338" s="1059" t="e">
        <f>+I338*$L$6</f>
        <v>#N/A</v>
      </c>
      <c r="K338" s="1085"/>
      <c r="L338" s="1085"/>
      <c r="M338" s="1085"/>
      <c r="N338" s="1085"/>
      <c r="O338" s="1085"/>
    </row>
    <row r="339" spans="1:15" ht="15" customHeight="1">
      <c r="A339" s="1056" t="s">
        <v>2666</v>
      </c>
      <c r="B339" s="1057" t="s">
        <v>2667</v>
      </c>
      <c r="C339" s="1058" t="e">
        <f>VLOOKUP(B334,'LƯƠNG KT'!$D$15:$R$94,19,0)</f>
        <v>#N/A</v>
      </c>
      <c r="D339" s="1059" t="e">
        <f>+C339*$L$8</f>
        <v>#N/A</v>
      </c>
      <c r="E339" s="1061"/>
      <c r="F339" s="1061"/>
      <c r="G339" s="1056" t="s">
        <v>2666</v>
      </c>
      <c r="H339" s="1057" t="s">
        <v>2667</v>
      </c>
      <c r="I339" s="1058" t="e">
        <f>VLOOKUP(H334,'LƯƠNG KT'!$D$15:$R$94,19,0)</f>
        <v>#N/A</v>
      </c>
      <c r="J339" s="1059" t="e">
        <f>+I339*$L$8</f>
        <v>#N/A</v>
      </c>
      <c r="K339" s="1085"/>
      <c r="L339" s="1085"/>
      <c r="M339" s="1085"/>
      <c r="N339" s="1085"/>
      <c r="O339" s="1085"/>
    </row>
    <row r="340" spans="1:15" ht="15" customHeight="1">
      <c r="A340" s="1056" t="s">
        <v>2668</v>
      </c>
      <c r="B340" s="1062" t="s">
        <v>2669</v>
      </c>
      <c r="C340" s="1058" t="e">
        <f>VLOOKUP(B334,'LƯƠNG KT'!$D$15:$R$94,20,0)</f>
        <v>#N/A</v>
      </c>
      <c r="D340" s="1059" t="e">
        <f>+C340*$L$9</f>
        <v>#N/A</v>
      </c>
      <c r="E340" s="1061"/>
      <c r="F340" s="1061"/>
      <c r="G340" s="1056" t="s">
        <v>2668</v>
      </c>
      <c r="H340" s="1062" t="s">
        <v>2669</v>
      </c>
      <c r="I340" s="1058" t="e">
        <f>VLOOKUP(H334,'LƯƠNG KT'!$D$15:$R$94,20,0)</f>
        <v>#N/A</v>
      </c>
      <c r="J340" s="1059" t="e">
        <f>+I340*$L$9</f>
        <v>#N/A</v>
      </c>
      <c r="K340" s="1085"/>
      <c r="L340" s="1085"/>
      <c r="M340" s="1085"/>
      <c r="N340" s="1085"/>
      <c r="O340" s="1085"/>
    </row>
    <row r="341" spans="1:15" ht="15" customHeight="1">
      <c r="A341" s="1056" t="s">
        <v>2671</v>
      </c>
      <c r="B341" s="1057" t="s">
        <v>2672</v>
      </c>
      <c r="C341" s="1058" t="e">
        <f>VLOOKUP(B334,'LƯƠNG KT'!$D$15:$R$94,17,0)</f>
        <v>#N/A</v>
      </c>
      <c r="D341" s="1059" t="e">
        <f>+C341*$L$10</f>
        <v>#N/A</v>
      </c>
      <c r="E341" s="1061"/>
      <c r="F341" s="1061"/>
      <c r="G341" s="1056" t="s">
        <v>2671</v>
      </c>
      <c r="H341" s="1057" t="s">
        <v>2672</v>
      </c>
      <c r="I341" s="1058" t="e">
        <f>VLOOKUP(H334,'LƯƠNG KT'!$D$15:$R$94,17,0)</f>
        <v>#N/A</v>
      </c>
      <c r="J341" s="1059" t="e">
        <f>+I341*$L$10</f>
        <v>#N/A</v>
      </c>
      <c r="K341" s="1085"/>
      <c r="L341" s="1085"/>
      <c r="M341" s="1085"/>
      <c r="N341" s="1085"/>
      <c r="O341" s="1085"/>
    </row>
    <row r="342" spans="1:15" ht="15" customHeight="1">
      <c r="A342" s="1056" t="s">
        <v>374</v>
      </c>
      <c r="B342" s="1057" t="s">
        <v>2674</v>
      </c>
      <c r="C342" s="1058" t="e">
        <f>VLOOKUP(B334,'LƯƠNG KT'!$D$15:$R$94,12,0)</f>
        <v>#N/A</v>
      </c>
      <c r="D342" s="1059" t="e">
        <f>VLOOKUP(B334,'LƯƠNG KT'!$D$15:$R$94,14,0)+(C336+C337+C339+C340)*20000</f>
        <v>#N/A</v>
      </c>
      <c r="E342" s="1063"/>
      <c r="F342" s="1061"/>
      <c r="G342" s="1056" t="s">
        <v>374</v>
      </c>
      <c r="H342" s="1057" t="s">
        <v>2674</v>
      </c>
      <c r="I342" s="1058" t="e">
        <f>VLOOKUP(H334,'LƯƠNG KT'!$D$15:$R$94,12,0)</f>
        <v>#N/A</v>
      </c>
      <c r="J342" s="1059" t="e">
        <f>VLOOKUP(H334,'LƯƠNG KT'!$D$15:$R$94,14,0)</f>
        <v>#N/A</v>
      </c>
      <c r="K342" s="1085"/>
      <c r="L342" s="1085"/>
      <c r="M342" s="1085"/>
      <c r="N342" s="1085"/>
      <c r="O342" s="1085"/>
    </row>
    <row r="343" spans="1:15" ht="15" customHeight="1">
      <c r="A343" s="1056" t="s">
        <v>2675</v>
      </c>
      <c r="B343" s="1057" t="s">
        <v>2676</v>
      </c>
      <c r="D343" s="1064" t="e">
        <f>VLOOKUP(B334,'LƯƠNG KT'!$D$15:$R$94,13,0)</f>
        <v>#N/A</v>
      </c>
      <c r="E343" s="1065"/>
      <c r="F343" s="1065"/>
      <c r="G343" s="1056" t="s">
        <v>2675</v>
      </c>
      <c r="H343" s="1057" t="s">
        <v>2676</v>
      </c>
      <c r="J343" s="1064" t="e">
        <f>VLOOKUP(H334,'LƯƠNG KT'!$D$15:$R$94,13,0)</f>
        <v>#N/A</v>
      </c>
    </row>
    <row r="344" spans="1:15" ht="15" customHeight="1">
      <c r="A344" s="1066"/>
      <c r="B344" s="869"/>
      <c r="C344" s="1058"/>
      <c r="D344" s="1059"/>
      <c r="E344" s="1063"/>
      <c r="F344" s="1065"/>
      <c r="G344" s="1066"/>
      <c r="H344" s="869"/>
      <c r="I344" s="1058"/>
      <c r="J344" s="1059"/>
    </row>
    <row r="345" spans="1:15" ht="15" customHeight="1">
      <c r="A345" s="1052"/>
      <c r="B345" s="869"/>
      <c r="C345" s="1058"/>
      <c r="D345" s="1059"/>
      <c r="E345" s="1067"/>
      <c r="F345" s="1051"/>
      <c r="G345" s="1052"/>
      <c r="H345" s="869"/>
      <c r="I345" s="1058"/>
      <c r="J345" s="1059"/>
    </row>
    <row r="346" spans="1:15" ht="15" customHeight="1">
      <c r="A346" s="1068" t="s">
        <v>383</v>
      </c>
      <c r="B346" s="1069" t="s">
        <v>384</v>
      </c>
      <c r="C346" s="1070"/>
      <c r="D346" s="1071" t="e">
        <f>SUM(D335:D342)-D345</f>
        <v>#N/A</v>
      </c>
      <c r="E346" s="1072"/>
      <c r="F346" s="1073"/>
      <c r="G346" s="1068" t="s">
        <v>383</v>
      </c>
      <c r="H346" s="1069" t="s">
        <v>384</v>
      </c>
      <c r="I346" s="1070"/>
      <c r="J346" s="1071" t="e">
        <f>SUM(J335:J342)-J345</f>
        <v>#N/A</v>
      </c>
    </row>
    <row r="347" spans="1:15" ht="15.75" customHeight="1">
      <c r="A347" s="1074"/>
      <c r="B347" s="1075"/>
      <c r="C347" s="1076"/>
      <c r="D347" s="1077"/>
      <c r="E347" s="1077"/>
      <c r="F347" s="1078"/>
      <c r="G347" s="1074"/>
      <c r="H347" s="1075"/>
      <c r="I347" s="1076"/>
      <c r="J347" s="1077"/>
    </row>
    <row r="349" spans="1:15" ht="12" customHeight="1">
      <c r="A349" s="2243"/>
      <c r="B349" s="2243"/>
      <c r="C349" s="2243"/>
      <c r="D349" s="2243"/>
      <c r="E349" s="2243"/>
      <c r="F349" s="2243"/>
      <c r="G349" s="2243"/>
      <c r="H349" s="2243"/>
      <c r="I349" s="2243"/>
      <c r="J349" s="2243"/>
    </row>
    <row r="350" spans="1:15" ht="15" customHeight="1">
      <c r="A350" s="2242" t="str">
        <f>$K$2</f>
        <v>THÁNG 04/2025</v>
      </c>
      <c r="B350" s="2242"/>
      <c r="C350" s="2242"/>
      <c r="D350" s="2242"/>
      <c r="E350" s="1050"/>
      <c r="F350" s="1051"/>
      <c r="G350" s="2242" t="str">
        <f>$K$2</f>
        <v>THÁNG 04/2025</v>
      </c>
      <c r="H350" s="2242"/>
      <c r="I350" s="2242"/>
      <c r="J350" s="2242"/>
      <c r="K350" s="624"/>
    </row>
    <row r="351" spans="1:15" ht="15" customHeight="1">
      <c r="A351" s="1052" t="s">
        <v>356</v>
      </c>
      <c r="B351" s="1053" t="s">
        <v>423</v>
      </c>
      <c r="C351" s="869"/>
      <c r="D351" s="1049"/>
      <c r="E351" s="1054"/>
      <c r="F351" s="1055"/>
      <c r="G351" s="1052" t="s">
        <v>356</v>
      </c>
      <c r="H351" s="1053" t="s">
        <v>2622</v>
      </c>
      <c r="I351" s="869"/>
      <c r="J351" s="1049"/>
      <c r="L351" s="1088"/>
      <c r="M351" s="1088"/>
      <c r="N351" s="1088"/>
      <c r="O351" s="1088"/>
    </row>
    <row r="352" spans="1:15" ht="15" customHeight="1">
      <c r="A352" s="1056" t="s">
        <v>359</v>
      </c>
      <c r="B352" s="1057" t="s">
        <v>2662</v>
      </c>
      <c r="C352" s="1058" t="e">
        <f>VLOOKUP(B351,'LƯƠNG KT'!$D$15:$R$94,4,0)</f>
        <v>#N/A</v>
      </c>
      <c r="D352" s="1059" t="e">
        <f>+C352*25000</f>
        <v>#N/A</v>
      </c>
      <c r="E352" s="1060"/>
      <c r="F352" s="1060"/>
      <c r="G352" s="1056" t="s">
        <v>359</v>
      </c>
      <c r="H352" s="1057" t="s">
        <v>2662</v>
      </c>
      <c r="I352" s="1058" t="e">
        <f>VLOOKUP(H351,'LƯƠNG KT'!$D$15:$R$94,4,0)</f>
        <v>#N/A</v>
      </c>
      <c r="J352" s="1059" t="e">
        <f>+I352*25000</f>
        <v>#N/A</v>
      </c>
      <c r="K352" s="1084"/>
      <c r="L352" s="1085"/>
      <c r="M352" s="1085"/>
      <c r="N352" s="1085"/>
      <c r="O352" s="1085"/>
    </row>
    <row r="353" spans="1:15" ht="15" customHeight="1">
      <c r="A353" s="1056" t="s">
        <v>361</v>
      </c>
      <c r="B353" s="1057" t="s">
        <v>2663</v>
      </c>
      <c r="C353" s="1058" t="e">
        <f>VLOOKUP(B351,'LƯƠNG KT'!$D$15:$R$94,15,0)</f>
        <v>#N/A</v>
      </c>
      <c r="D353" s="1059" t="e">
        <f>C353*$L$4</f>
        <v>#N/A</v>
      </c>
      <c r="E353" s="1061"/>
      <c r="F353" s="1061"/>
      <c r="G353" s="1056" t="s">
        <v>361</v>
      </c>
      <c r="H353" s="1057" t="s">
        <v>2663</v>
      </c>
      <c r="I353" s="1058" t="e">
        <f>VLOOKUP(H351,'LƯƠNG KT'!$D$15:$R$94,15,0)</f>
        <v>#N/A</v>
      </c>
      <c r="J353" s="1059" t="e">
        <f>I353*$L$4</f>
        <v>#N/A</v>
      </c>
      <c r="K353" s="1084"/>
      <c r="L353" s="1085"/>
      <c r="M353" s="1085"/>
      <c r="N353" s="1085"/>
      <c r="O353" s="1085"/>
    </row>
    <row r="354" spans="1:15" ht="15" customHeight="1">
      <c r="A354" s="1056" t="s">
        <v>364</v>
      </c>
      <c r="B354" s="1057" t="s">
        <v>2664</v>
      </c>
      <c r="C354" s="1058" t="e">
        <f>VLOOKUP(B351,'LƯƠNG KT'!$D$15:$R$94,16,0)</f>
        <v>#N/A</v>
      </c>
      <c r="D354" s="1059" t="e">
        <f>C354*$L$5</f>
        <v>#N/A</v>
      </c>
      <c r="E354" s="1061"/>
      <c r="F354" s="1061"/>
      <c r="G354" s="1056" t="s">
        <v>364</v>
      </c>
      <c r="H354" s="1057" t="s">
        <v>2664</v>
      </c>
      <c r="I354" s="1058" t="e">
        <f>VLOOKUP(H351,'LƯƠNG KT'!$D$15:$R$94,16,0)</f>
        <v>#N/A</v>
      </c>
      <c r="J354" s="1059" t="e">
        <f>I354*$L$5</f>
        <v>#N/A</v>
      </c>
      <c r="K354" s="1084"/>
      <c r="L354" s="1085"/>
      <c r="M354" s="1085"/>
      <c r="N354" s="1085"/>
      <c r="O354" s="1085"/>
    </row>
    <row r="355" spans="1:15" ht="15" customHeight="1">
      <c r="A355" s="1056" t="s">
        <v>370</v>
      </c>
      <c r="B355" s="1057" t="s">
        <v>2665</v>
      </c>
      <c r="C355" s="1058" t="e">
        <f>VLOOKUP(B351,'LƯƠNG KT'!$D$15:$R$94,24,0)</f>
        <v>#N/A</v>
      </c>
      <c r="D355" s="1059" t="e">
        <f>+C355*$L$6</f>
        <v>#N/A</v>
      </c>
      <c r="E355" s="1061"/>
      <c r="F355" s="1061"/>
      <c r="G355" s="1056" t="s">
        <v>370</v>
      </c>
      <c r="H355" s="1057" t="s">
        <v>2665</v>
      </c>
      <c r="I355" s="1058" t="e">
        <f>VLOOKUP(H351,'LƯƠNG KT'!$D$15:$R$94,24,0)</f>
        <v>#N/A</v>
      </c>
      <c r="J355" s="1059" t="e">
        <f>+I355*$L$6</f>
        <v>#N/A</v>
      </c>
      <c r="K355" s="1085"/>
      <c r="L355" s="1085"/>
      <c r="M355" s="1085"/>
      <c r="N355" s="1085"/>
      <c r="O355" s="1085"/>
    </row>
    <row r="356" spans="1:15" ht="15" customHeight="1">
      <c r="A356" s="1056" t="s">
        <v>2666</v>
      </c>
      <c r="B356" s="1057" t="s">
        <v>2667</v>
      </c>
      <c r="C356" s="1058" t="e">
        <f>VLOOKUP(B351,'LƯƠNG KT'!$D$15:$R$94,19,0)</f>
        <v>#N/A</v>
      </c>
      <c r="D356" s="1059" t="e">
        <f>+C356*$L$8</f>
        <v>#N/A</v>
      </c>
      <c r="E356" s="1061"/>
      <c r="F356" s="1061"/>
      <c r="G356" s="1056" t="s">
        <v>2666</v>
      </c>
      <c r="H356" s="1057" t="s">
        <v>2667</v>
      </c>
      <c r="I356" s="1058" t="e">
        <f>VLOOKUP(H351,'LƯƠNG KT'!$D$15:$R$94,19,0)</f>
        <v>#N/A</v>
      </c>
      <c r="J356" s="1059" t="e">
        <f>+I356*$L$8</f>
        <v>#N/A</v>
      </c>
      <c r="K356" s="1085"/>
      <c r="L356" s="1085"/>
      <c r="M356" s="1085"/>
      <c r="N356" s="1085"/>
      <c r="O356" s="1085"/>
    </row>
    <row r="357" spans="1:15" ht="15" customHeight="1">
      <c r="A357" s="1056" t="s">
        <v>2668</v>
      </c>
      <c r="B357" s="1062" t="s">
        <v>2669</v>
      </c>
      <c r="C357" s="1058" t="e">
        <f>VLOOKUP(B351,'LƯƠNG KT'!$D$15:$R$94,20,0)</f>
        <v>#N/A</v>
      </c>
      <c r="D357" s="1059" t="e">
        <f>+C357*$L$9</f>
        <v>#N/A</v>
      </c>
      <c r="E357" s="1061"/>
      <c r="F357" s="1061"/>
      <c r="G357" s="1056" t="s">
        <v>2668</v>
      </c>
      <c r="H357" s="1062" t="s">
        <v>2669</v>
      </c>
      <c r="I357" s="1058" t="e">
        <f>VLOOKUP(H351,'LƯƠNG KT'!$D$15:$R$94,20,0)</f>
        <v>#N/A</v>
      </c>
      <c r="J357" s="1059" t="e">
        <f>+I357*$L$9</f>
        <v>#N/A</v>
      </c>
      <c r="K357" s="1085"/>
      <c r="L357" s="1085"/>
      <c r="M357" s="1085"/>
      <c r="N357" s="1085"/>
      <c r="O357" s="1085"/>
    </row>
    <row r="358" spans="1:15" ht="15" customHeight="1">
      <c r="A358" s="1056" t="s">
        <v>2671</v>
      </c>
      <c r="B358" s="1057" t="s">
        <v>2672</v>
      </c>
      <c r="C358" s="1058" t="e">
        <f>VLOOKUP(B351,'LƯƠNG KT'!$D$15:$R$94,17,0)</f>
        <v>#N/A</v>
      </c>
      <c r="D358" s="1059" t="e">
        <f>+C358*$L$10</f>
        <v>#N/A</v>
      </c>
      <c r="E358" s="1061"/>
      <c r="F358" s="1061"/>
      <c r="G358" s="1056" t="s">
        <v>2671</v>
      </c>
      <c r="H358" s="1057" t="s">
        <v>2672</v>
      </c>
      <c r="I358" s="1058" t="e">
        <f>VLOOKUP(H351,'LƯƠNG KT'!$D$15:$R$94,17,0)</f>
        <v>#N/A</v>
      </c>
      <c r="J358" s="1059" t="e">
        <f>+I358*$L$10</f>
        <v>#N/A</v>
      </c>
      <c r="K358" s="1085"/>
      <c r="L358" s="1085"/>
      <c r="M358" s="1085"/>
      <c r="N358" s="1085"/>
      <c r="O358" s="1085"/>
    </row>
    <row r="359" spans="1:15" ht="15" customHeight="1">
      <c r="A359" s="1056" t="s">
        <v>374</v>
      </c>
      <c r="B359" s="1057" t="s">
        <v>2674</v>
      </c>
      <c r="C359" s="1058" t="e">
        <f>VLOOKUP(B351,'LƯƠNG KT'!$D$15:$R$94,12,0)</f>
        <v>#N/A</v>
      </c>
      <c r="D359" s="1059" t="e">
        <f>VLOOKUP(B351,'LƯƠNG KT'!$D$15:$R$94,14,0)</f>
        <v>#N/A</v>
      </c>
      <c r="E359" s="1063"/>
      <c r="F359" s="1061"/>
      <c r="G359" s="1056" t="s">
        <v>374</v>
      </c>
      <c r="H359" s="1057" t="s">
        <v>2674</v>
      </c>
      <c r="I359" s="1058" t="e">
        <f>VLOOKUP(H351,'LƯƠNG KT'!$D$15:$R$94,12,0)</f>
        <v>#N/A</v>
      </c>
      <c r="J359" s="1059" t="e">
        <f>VLOOKUP(H351,'LƯƠNG KT'!$D$15:$R$94,14,0)</f>
        <v>#N/A</v>
      </c>
      <c r="K359" s="1085"/>
      <c r="L359" s="1085"/>
      <c r="M359" s="1085"/>
      <c r="N359" s="1085"/>
      <c r="O359" s="1085"/>
    </row>
    <row r="360" spans="1:15" ht="15" customHeight="1">
      <c r="A360" s="1056" t="s">
        <v>2675</v>
      </c>
      <c r="B360" s="1057" t="s">
        <v>2676</v>
      </c>
      <c r="D360" s="1064" t="e">
        <f>VLOOKUP(B351,'LƯƠNG KT'!$D$15:$R$94,13,0)</f>
        <v>#N/A</v>
      </c>
      <c r="E360" s="1065"/>
      <c r="F360" s="1065"/>
      <c r="G360" s="1056" t="s">
        <v>2675</v>
      </c>
      <c r="H360" s="1057" t="s">
        <v>2676</v>
      </c>
      <c r="J360" s="1064" t="e">
        <f>VLOOKUP(H351,'LƯƠNG KT'!$D$15:$R$94,13,0)</f>
        <v>#N/A</v>
      </c>
    </row>
    <row r="361" spans="1:15" ht="15" customHeight="1">
      <c r="A361" s="1066"/>
      <c r="B361" s="869"/>
      <c r="C361" s="1058"/>
      <c r="D361" s="1059"/>
      <c r="E361" s="1063"/>
      <c r="F361" s="1065"/>
      <c r="G361" s="1066"/>
      <c r="H361" s="869"/>
      <c r="I361" s="1058"/>
      <c r="J361" s="1059"/>
    </row>
    <row r="362" spans="1:15" ht="15" customHeight="1">
      <c r="A362" s="1052"/>
      <c r="B362" s="869"/>
      <c r="C362" s="1058"/>
      <c r="D362" s="1059"/>
      <c r="E362" s="1067"/>
      <c r="F362" s="1051"/>
      <c r="G362" s="1052"/>
      <c r="H362" s="869"/>
      <c r="I362" s="1058"/>
      <c r="J362" s="1059"/>
    </row>
    <row r="363" spans="1:15" ht="15" customHeight="1">
      <c r="A363" s="1068" t="s">
        <v>383</v>
      </c>
      <c r="B363" s="1069" t="s">
        <v>384</v>
      </c>
      <c r="C363" s="1070"/>
      <c r="D363" s="1071" t="e">
        <f>SUM(D352:D359)-D362</f>
        <v>#N/A</v>
      </c>
      <c r="E363" s="1072"/>
      <c r="F363" s="1073"/>
      <c r="G363" s="1068" t="s">
        <v>383</v>
      </c>
      <c r="H363" s="1069" t="s">
        <v>384</v>
      </c>
      <c r="I363" s="1070"/>
      <c r="J363" s="1071" t="e">
        <f>SUM(J352:J359)-J362</f>
        <v>#N/A</v>
      </c>
    </row>
    <row r="364" spans="1:15" ht="12.6" customHeight="1">
      <c r="A364" s="1074"/>
      <c r="B364" s="1075"/>
      <c r="C364" s="1076"/>
      <c r="D364" s="1077"/>
      <c r="E364" s="1077"/>
      <c r="F364" s="1078"/>
      <c r="G364" s="1074"/>
      <c r="H364" s="1075"/>
      <c r="I364" s="1076"/>
      <c r="J364" s="1077"/>
    </row>
    <row r="365" spans="1:15" ht="99" customHeight="1">
      <c r="A365" s="1075"/>
      <c r="B365" s="1075"/>
      <c r="C365" s="1079"/>
      <c r="D365" s="1080"/>
      <c r="E365" s="1075"/>
      <c r="F365" s="1081"/>
      <c r="G365" s="1075"/>
      <c r="H365" s="1075"/>
      <c r="I365" s="1079"/>
      <c r="J365" s="1080"/>
    </row>
    <row r="366" spans="1:15" ht="15" customHeight="1">
      <c r="A366" s="2242" t="str">
        <f>$K$2</f>
        <v>THÁNG 04/2025</v>
      </c>
      <c r="B366" s="2242"/>
      <c r="C366" s="2242"/>
      <c r="D366" s="2242"/>
      <c r="E366" s="1050"/>
      <c r="F366" s="1051"/>
      <c r="G366" s="2242" t="str">
        <f>$K$2</f>
        <v>THÁNG 04/2025</v>
      </c>
      <c r="H366" s="2242"/>
      <c r="I366" s="2242"/>
      <c r="J366" s="2242"/>
      <c r="K366" s="624"/>
    </row>
    <row r="367" spans="1:15" ht="15" customHeight="1">
      <c r="A367" s="1052" t="s">
        <v>356</v>
      </c>
      <c r="B367" s="1053" t="s">
        <v>425</v>
      </c>
      <c r="C367" s="869"/>
      <c r="D367" s="1049"/>
      <c r="E367" s="1054"/>
      <c r="F367" s="1055"/>
      <c r="G367" s="1052" t="s">
        <v>356</v>
      </c>
      <c r="H367" s="1053" t="s">
        <v>1960</v>
      </c>
      <c r="I367" s="869"/>
      <c r="J367" s="1049"/>
      <c r="L367" s="1088"/>
      <c r="M367" s="1088"/>
      <c r="N367" s="1088"/>
      <c r="O367" s="1088"/>
    </row>
    <row r="368" spans="1:15" ht="15" customHeight="1">
      <c r="A368" s="1056" t="s">
        <v>359</v>
      </c>
      <c r="B368" s="1057" t="s">
        <v>2662</v>
      </c>
      <c r="C368" s="1058" t="e">
        <f>VLOOKUP(B367,'LƯƠNG KT'!$D$15:$R$94,4,0)</f>
        <v>#N/A</v>
      </c>
      <c r="D368" s="1059" t="e">
        <f>+C368*25000</f>
        <v>#N/A</v>
      </c>
      <c r="E368" s="1060"/>
      <c r="F368" s="1060"/>
      <c r="G368" s="1056" t="s">
        <v>359</v>
      </c>
      <c r="H368" s="1057" t="s">
        <v>2662</v>
      </c>
      <c r="I368" s="1058"/>
      <c r="J368" s="1059"/>
      <c r="K368" s="1085"/>
      <c r="L368" s="1085"/>
      <c r="M368" s="1085"/>
      <c r="N368" s="1085"/>
      <c r="O368" s="1085"/>
    </row>
    <row r="369" spans="1:15" ht="15" customHeight="1">
      <c r="A369" s="1056" t="s">
        <v>361</v>
      </c>
      <c r="B369" s="1057" t="s">
        <v>2663</v>
      </c>
      <c r="C369" s="1058" t="e">
        <f>VLOOKUP(B367,'LƯƠNG KT'!$D$15:$R$94,15,0)</f>
        <v>#N/A</v>
      </c>
      <c r="D369" s="1059" t="e">
        <f>C369*$L$4</f>
        <v>#N/A</v>
      </c>
      <c r="E369" s="1061"/>
      <c r="F369" s="1061"/>
      <c r="G369" s="1056" t="s">
        <v>361</v>
      </c>
      <c r="H369" s="1057" t="s">
        <v>2663</v>
      </c>
      <c r="I369" s="1058"/>
      <c r="J369" s="1059"/>
      <c r="K369" s="1085"/>
      <c r="L369" s="1085"/>
      <c r="M369" s="1085"/>
      <c r="N369" s="1085"/>
      <c r="O369" s="1085"/>
    </row>
    <row r="370" spans="1:15" ht="15" customHeight="1">
      <c r="A370" s="1056" t="s">
        <v>364</v>
      </c>
      <c r="B370" s="1057" t="s">
        <v>2664</v>
      </c>
      <c r="C370" s="1058" t="e">
        <f>VLOOKUP(B367,'LƯƠNG KT'!$D$15:$R$94,16,0)</f>
        <v>#N/A</v>
      </c>
      <c r="D370" s="1059" t="e">
        <f>C370*$L$5</f>
        <v>#N/A</v>
      </c>
      <c r="E370" s="1061"/>
      <c r="F370" s="1061"/>
      <c r="G370" s="1056" t="s">
        <v>364</v>
      </c>
      <c r="H370" s="1057" t="s">
        <v>2664</v>
      </c>
      <c r="I370" s="1058"/>
      <c r="J370" s="1059"/>
      <c r="K370" s="1085"/>
      <c r="L370" s="1085"/>
      <c r="M370" s="1085"/>
      <c r="N370" s="1085"/>
      <c r="O370" s="1085"/>
    </row>
    <row r="371" spans="1:15" ht="15" customHeight="1">
      <c r="A371" s="1056" t="s">
        <v>370</v>
      </c>
      <c r="B371" s="1057" t="s">
        <v>2665</v>
      </c>
      <c r="C371" s="1058" t="e">
        <f>VLOOKUP(B367,'LƯƠNG KT'!$D$15:$R$94,24,0)</f>
        <v>#N/A</v>
      </c>
      <c r="D371" s="1059" t="e">
        <f>+C371*$L$6</f>
        <v>#N/A</v>
      </c>
      <c r="E371" s="1061"/>
      <c r="F371" s="1061"/>
      <c r="G371" s="1056" t="s">
        <v>370</v>
      </c>
      <c r="H371" s="1057" t="s">
        <v>2665</v>
      </c>
      <c r="I371" s="1058"/>
      <c r="J371" s="1059"/>
      <c r="K371" s="1085"/>
      <c r="L371" s="1085"/>
      <c r="M371" s="1085"/>
      <c r="N371" s="1085"/>
      <c r="O371" s="1085"/>
    </row>
    <row r="372" spans="1:15" ht="15" customHeight="1">
      <c r="A372" s="1056" t="s">
        <v>2666</v>
      </c>
      <c r="B372" s="1057" t="s">
        <v>2667</v>
      </c>
      <c r="C372" s="1058" t="e">
        <f>VLOOKUP(B367,'LƯƠNG KT'!$D$15:$R$94,19,0)</f>
        <v>#N/A</v>
      </c>
      <c r="D372" s="1059" t="e">
        <f>+C372*$L$8</f>
        <v>#N/A</v>
      </c>
      <c r="E372" s="1061"/>
      <c r="F372" s="1061"/>
      <c r="G372" s="1056" t="s">
        <v>2666</v>
      </c>
      <c r="H372" s="1057" t="s">
        <v>2667</v>
      </c>
      <c r="I372" s="1058"/>
      <c r="J372" s="1059"/>
      <c r="K372" s="1085"/>
      <c r="L372" s="1085"/>
      <c r="M372" s="1085"/>
      <c r="N372" s="1085"/>
      <c r="O372" s="1085"/>
    </row>
    <row r="373" spans="1:15" ht="15" customHeight="1">
      <c r="A373" s="1056" t="s">
        <v>2668</v>
      </c>
      <c r="B373" s="1062" t="s">
        <v>2669</v>
      </c>
      <c r="C373" s="1058" t="e">
        <f>VLOOKUP(B367,'LƯƠNG KT'!$D$15:$R$94,20,0)</f>
        <v>#N/A</v>
      </c>
      <c r="D373" s="1059" t="e">
        <f>+C373*$L$9</f>
        <v>#N/A</v>
      </c>
      <c r="E373" s="1061"/>
      <c r="F373" s="1061"/>
      <c r="G373" s="1056" t="s">
        <v>2668</v>
      </c>
      <c r="H373" s="1062" t="s">
        <v>2669</v>
      </c>
      <c r="I373" s="1058"/>
      <c r="J373" s="1059"/>
      <c r="K373" s="1085"/>
      <c r="L373" s="1085"/>
      <c r="M373" s="1085"/>
      <c r="N373" s="1085"/>
      <c r="O373" s="1085"/>
    </row>
    <row r="374" spans="1:15" ht="15" customHeight="1">
      <c r="A374" s="1056" t="s">
        <v>2671</v>
      </c>
      <c r="B374" s="1057" t="s">
        <v>2672</v>
      </c>
      <c r="C374" s="1058" t="e">
        <f>VLOOKUP(B367,'LƯƠNG KT'!$D$15:$R$94,17,0)</f>
        <v>#N/A</v>
      </c>
      <c r="D374" s="1059" t="e">
        <f>+C374*$L$10</f>
        <v>#N/A</v>
      </c>
      <c r="E374" s="1061"/>
      <c r="F374" s="1061"/>
      <c r="G374" s="1056" t="s">
        <v>2671</v>
      </c>
      <c r="H374" s="1057" t="s">
        <v>2672</v>
      </c>
      <c r="I374" s="1058"/>
      <c r="J374" s="1059"/>
      <c r="K374" s="1085"/>
      <c r="L374" s="1085"/>
      <c r="M374" s="1085"/>
      <c r="N374" s="1085"/>
      <c r="O374" s="1085"/>
    </row>
    <row r="375" spans="1:15" ht="15" customHeight="1">
      <c r="A375" s="1056" t="s">
        <v>374</v>
      </c>
      <c r="B375" s="1057" t="s">
        <v>2674</v>
      </c>
      <c r="C375" s="1058" t="e">
        <f>VLOOKUP(B367,'LƯƠNG KT'!$D$15:$R$94,12,0)</f>
        <v>#N/A</v>
      </c>
      <c r="D375" s="1059" t="e">
        <f>VLOOKUP(B367,'LƯƠNG KT'!$D$15:$R$94,14,0)+(C369+C370+C372+C373)*20000</f>
        <v>#N/A</v>
      </c>
      <c r="E375" s="1063"/>
      <c r="F375" s="1061"/>
      <c r="G375" s="1056" t="s">
        <v>374</v>
      </c>
      <c r="H375" s="1057" t="s">
        <v>2674</v>
      </c>
      <c r="I375" s="1058"/>
      <c r="J375" s="1059"/>
      <c r="K375" s="1085"/>
      <c r="L375" s="1085"/>
      <c r="M375" s="1085"/>
      <c r="N375" s="1085"/>
      <c r="O375" s="1085"/>
    </row>
    <row r="376" spans="1:15" ht="15" customHeight="1">
      <c r="A376" s="1056" t="s">
        <v>2675</v>
      </c>
      <c r="B376" s="1057" t="s">
        <v>2676</v>
      </c>
      <c r="D376" s="1064" t="e">
        <f>VLOOKUP(B367,'LƯƠNG KT'!$D$15:$R$94,13,0)</f>
        <v>#N/A</v>
      </c>
      <c r="E376" s="1065"/>
      <c r="F376" s="1065"/>
      <c r="G376" s="1056" t="s">
        <v>2675</v>
      </c>
      <c r="H376" s="1057" t="s">
        <v>2676</v>
      </c>
      <c r="J376" s="1064"/>
    </row>
    <row r="377" spans="1:15" ht="15" customHeight="1">
      <c r="A377" s="1066"/>
      <c r="B377" s="869"/>
      <c r="C377" s="1058"/>
      <c r="D377" s="1059"/>
      <c r="E377" s="1063"/>
      <c r="F377" s="1065"/>
      <c r="G377" s="1066"/>
      <c r="H377" s="869"/>
      <c r="I377" s="1058"/>
      <c r="J377" s="1059"/>
    </row>
    <row r="378" spans="1:15" ht="15" customHeight="1">
      <c r="A378" s="1052"/>
      <c r="B378" s="869"/>
      <c r="C378" s="1058"/>
      <c r="D378" s="1059"/>
      <c r="E378" s="1067"/>
      <c r="F378" s="1051"/>
      <c r="G378" s="1052"/>
      <c r="H378" s="869"/>
      <c r="I378" s="1058"/>
      <c r="J378" s="1059"/>
    </row>
    <row r="379" spans="1:15" ht="15" customHeight="1">
      <c r="A379" s="1068" t="s">
        <v>383</v>
      </c>
      <c r="B379" s="1069" t="s">
        <v>384</v>
      </c>
      <c r="C379" s="1070"/>
      <c r="D379" s="1071" t="e">
        <f>SUM(D368:D375)-D378</f>
        <v>#N/A</v>
      </c>
      <c r="E379" s="1072"/>
      <c r="F379" s="1073"/>
      <c r="G379" s="1068" t="s">
        <v>383</v>
      </c>
      <c r="H379" s="1069" t="s">
        <v>384</v>
      </c>
      <c r="I379" s="1070"/>
      <c r="J379" s="1071">
        <f>SUM(J368:J375)-J378</f>
        <v>0</v>
      </c>
    </row>
    <row r="380" spans="1:15" ht="18.75" customHeight="1">
      <c r="A380" s="1074"/>
      <c r="B380" s="1075"/>
      <c r="C380" s="1076"/>
      <c r="D380" s="1077"/>
      <c r="E380" s="1077"/>
      <c r="F380" s="1078"/>
      <c r="G380" s="1074"/>
      <c r="H380" s="1075"/>
      <c r="I380" s="1076"/>
      <c r="J380" s="1077"/>
    </row>
    <row r="381" spans="1:15" ht="18.75" customHeight="1">
      <c r="A381" s="1075"/>
      <c r="B381" s="1075"/>
      <c r="C381" s="1079"/>
      <c r="D381" s="1080"/>
      <c r="E381" s="1075"/>
      <c r="F381" s="1081"/>
      <c r="G381" s="1075"/>
      <c r="H381" s="1075"/>
      <c r="I381" s="1079"/>
      <c r="J381" s="1080"/>
    </row>
    <row r="382" spans="1:15" ht="15" customHeight="1">
      <c r="A382" s="2242" t="str">
        <f>$K$2</f>
        <v>THÁNG 04/2025</v>
      </c>
      <c r="B382" s="2242"/>
      <c r="C382" s="2242"/>
      <c r="D382" s="2242"/>
      <c r="E382" s="1050"/>
      <c r="F382" s="1051"/>
      <c r="G382" s="2242" t="str">
        <f>$K$2</f>
        <v>THÁNG 04/2025</v>
      </c>
      <c r="H382" s="2242"/>
      <c r="I382" s="2242"/>
      <c r="J382" s="2242"/>
      <c r="K382" s="624"/>
    </row>
    <row r="383" spans="1:15" ht="15" customHeight="1">
      <c r="A383" s="1052" t="s">
        <v>356</v>
      </c>
      <c r="B383" s="1053" t="s">
        <v>426</v>
      </c>
      <c r="C383" s="869"/>
      <c r="D383" s="1049"/>
      <c r="E383" s="1054"/>
      <c r="F383" s="1055"/>
      <c r="G383" s="1052" t="s">
        <v>356</v>
      </c>
      <c r="H383" s="1053" t="s">
        <v>2686</v>
      </c>
      <c r="I383" s="869"/>
      <c r="J383" s="1049"/>
      <c r="L383" s="1088"/>
      <c r="M383" s="1088"/>
      <c r="N383" s="1088"/>
      <c r="O383" s="1088"/>
    </row>
    <row r="384" spans="1:15" ht="15" customHeight="1">
      <c r="A384" s="1052" t="s">
        <v>359</v>
      </c>
      <c r="B384" s="1089" t="s">
        <v>360</v>
      </c>
      <c r="C384" s="1058"/>
      <c r="D384" s="1059"/>
      <c r="E384" s="1060"/>
      <c r="F384" s="1060"/>
      <c r="G384" s="1056" t="s">
        <v>359</v>
      </c>
      <c r="H384" s="1057" t="s">
        <v>2662</v>
      </c>
      <c r="I384" s="1058"/>
      <c r="J384" s="1059"/>
      <c r="K384" s="1085"/>
      <c r="L384" s="1085"/>
      <c r="M384" s="1085"/>
      <c r="N384" s="1085"/>
      <c r="O384" s="1085"/>
    </row>
    <row r="385" spans="1:15" ht="15" customHeight="1">
      <c r="A385" s="1052" t="s">
        <v>361</v>
      </c>
      <c r="B385" s="869" t="s">
        <v>362</v>
      </c>
      <c r="C385" s="1058"/>
      <c r="D385" s="1059"/>
      <c r="E385" s="1061"/>
      <c r="F385" s="1061"/>
      <c r="G385" s="1056" t="s">
        <v>361</v>
      </c>
      <c r="H385" s="1057" t="s">
        <v>2663</v>
      </c>
      <c r="I385" s="1058"/>
      <c r="J385" s="1059"/>
      <c r="K385" s="1085"/>
      <c r="L385" s="1085"/>
      <c r="M385" s="1085"/>
      <c r="N385" s="1085"/>
      <c r="O385" s="1085"/>
    </row>
    <row r="386" spans="1:15" ht="15" customHeight="1">
      <c r="A386" s="1052" t="s">
        <v>364</v>
      </c>
      <c r="B386" s="869" t="s">
        <v>365</v>
      </c>
      <c r="C386" s="1058"/>
      <c r="D386" s="1059"/>
      <c r="E386" s="1061"/>
      <c r="F386" s="1061"/>
      <c r="G386" s="1056" t="s">
        <v>364</v>
      </c>
      <c r="H386" s="1057" t="s">
        <v>2664</v>
      </c>
      <c r="I386" s="1058"/>
      <c r="J386" s="1059"/>
      <c r="K386" s="1085"/>
      <c r="L386" s="1085"/>
      <c r="M386" s="1085"/>
      <c r="N386" s="1085"/>
      <c r="O386" s="1085"/>
    </row>
    <row r="387" spans="1:15" ht="15" customHeight="1">
      <c r="A387" s="1052" t="s">
        <v>367</v>
      </c>
      <c r="B387" s="869"/>
      <c r="C387" s="1058"/>
      <c r="D387" s="1059"/>
      <c r="E387" s="1061"/>
      <c r="F387" s="1061"/>
      <c r="G387" s="1056" t="s">
        <v>370</v>
      </c>
      <c r="H387" s="1057" t="s">
        <v>2665</v>
      </c>
      <c r="I387" s="1058"/>
      <c r="J387" s="1059"/>
      <c r="K387" s="1085"/>
      <c r="L387" s="1085"/>
      <c r="M387" s="1085"/>
      <c r="N387" s="1085"/>
      <c r="O387" s="1085"/>
    </row>
    <row r="388" spans="1:15" ht="15" customHeight="1">
      <c r="A388" s="1052" t="s">
        <v>371</v>
      </c>
      <c r="B388" s="869" t="s">
        <v>372</v>
      </c>
      <c r="C388" s="1058"/>
      <c r="D388" s="1059"/>
      <c r="E388" s="1061"/>
      <c r="F388" s="1061"/>
      <c r="G388" s="1056" t="s">
        <v>2666</v>
      </c>
      <c r="H388" s="1057" t="s">
        <v>2667</v>
      </c>
      <c r="I388" s="1058"/>
      <c r="J388" s="1059"/>
      <c r="K388" s="1085"/>
      <c r="L388" s="1085"/>
      <c r="M388" s="1085"/>
      <c r="N388" s="1085"/>
      <c r="O388" s="1085"/>
    </row>
    <row r="389" spans="1:15" ht="15" customHeight="1">
      <c r="A389" s="1052" t="s">
        <v>374</v>
      </c>
      <c r="B389" s="869" t="s">
        <v>375</v>
      </c>
      <c r="C389" s="1058"/>
      <c r="D389" s="1059"/>
      <c r="E389" s="1063"/>
      <c r="F389" s="1061"/>
      <c r="G389" s="1056" t="s">
        <v>2668</v>
      </c>
      <c r="H389" s="1062" t="s">
        <v>2669</v>
      </c>
      <c r="I389" s="1058"/>
      <c r="J389" s="1059"/>
      <c r="K389" s="1085"/>
      <c r="L389" s="1085"/>
      <c r="M389" s="1085"/>
      <c r="N389" s="1085"/>
      <c r="O389" s="1085"/>
    </row>
    <row r="390" spans="1:15" ht="15" customHeight="1">
      <c r="A390" s="1059" t="s">
        <v>377</v>
      </c>
      <c r="B390" s="869" t="s">
        <v>378</v>
      </c>
      <c r="C390" s="1058"/>
      <c r="D390" s="1059"/>
      <c r="E390" s="1065"/>
      <c r="F390" s="1065"/>
      <c r="G390" s="1056" t="s">
        <v>2671</v>
      </c>
      <c r="H390" s="1057" t="s">
        <v>2672</v>
      </c>
      <c r="I390" s="1058"/>
      <c r="J390" s="1059"/>
    </row>
    <row r="391" spans="1:15" ht="15" customHeight="1">
      <c r="A391" s="1066" t="s">
        <v>379</v>
      </c>
      <c r="B391" s="869" t="s">
        <v>380</v>
      </c>
      <c r="C391" s="1058"/>
      <c r="D391" s="1059"/>
      <c r="E391" s="1063"/>
      <c r="F391" s="1065"/>
      <c r="G391" s="1056" t="s">
        <v>374</v>
      </c>
      <c r="H391" s="1057" t="s">
        <v>2674</v>
      </c>
      <c r="I391" s="1058"/>
      <c r="J391" s="1059"/>
    </row>
    <row r="392" spans="1:15" ht="15" customHeight="1">
      <c r="A392" s="1052" t="s">
        <v>381</v>
      </c>
      <c r="B392" s="869" t="s">
        <v>382</v>
      </c>
      <c r="C392" s="1058"/>
      <c r="D392" s="1059"/>
      <c r="E392" s="1067"/>
      <c r="F392" s="1051"/>
      <c r="G392" s="1056" t="s">
        <v>2675</v>
      </c>
      <c r="H392" s="1057" t="s">
        <v>2676</v>
      </c>
      <c r="J392" s="1064"/>
    </row>
    <row r="393" spans="1:15" ht="15" customHeight="1">
      <c r="A393" s="1068" t="s">
        <v>383</v>
      </c>
      <c r="B393" s="1069" t="s">
        <v>384</v>
      </c>
      <c r="C393" s="1070"/>
      <c r="D393" s="1071"/>
      <c r="E393" s="1072"/>
      <c r="F393" s="1073"/>
      <c r="G393" s="1066"/>
      <c r="H393" s="869"/>
      <c r="I393" s="1058"/>
      <c r="J393" s="1059"/>
    </row>
    <row r="394" spans="1:15" ht="18.75" customHeight="1">
      <c r="A394" s="1074"/>
      <c r="B394" s="1075"/>
      <c r="C394" s="1076"/>
      <c r="D394" s="1077"/>
      <c r="E394" s="1077"/>
      <c r="F394" s="1078"/>
      <c r="G394" s="1052"/>
      <c r="H394" s="869"/>
      <c r="I394" s="1058"/>
      <c r="J394" s="1059"/>
    </row>
    <row r="395" spans="1:15" ht="18.75" customHeight="1">
      <c r="A395" s="1075"/>
      <c r="B395" s="1075"/>
      <c r="C395" s="1079"/>
      <c r="D395" s="1080"/>
      <c r="E395" s="1075"/>
      <c r="F395" s="1081"/>
      <c r="G395" s="1068" t="s">
        <v>383</v>
      </c>
      <c r="H395" s="1069" t="s">
        <v>384</v>
      </c>
      <c r="I395" s="1070"/>
      <c r="J395" s="1071">
        <f>SUM(J384:J391)-J394</f>
        <v>0</v>
      </c>
    </row>
    <row r="396" spans="1:15" ht="15" customHeight="1">
      <c r="A396" s="2639" t="str">
        <f>$K$2</f>
        <v>THÁNG 04/2025</v>
      </c>
      <c r="B396" s="2640"/>
      <c r="C396" s="2640"/>
      <c r="D396" s="2641"/>
      <c r="E396" s="1050"/>
      <c r="F396" s="1051"/>
      <c r="G396" s="2639" t="str">
        <f>$K$2</f>
        <v>THÁNG 04/2025</v>
      </c>
      <c r="H396" s="2640"/>
      <c r="I396" s="2640"/>
      <c r="J396" s="2641"/>
      <c r="K396" s="624"/>
    </row>
    <row r="397" spans="1:15" ht="15" customHeight="1">
      <c r="A397" s="1052" t="s">
        <v>356</v>
      </c>
      <c r="B397" s="1053"/>
      <c r="C397" s="869"/>
      <c r="D397" s="1049"/>
      <c r="E397" s="1054"/>
      <c r="F397" s="1055"/>
      <c r="G397" s="1052" t="s">
        <v>356</v>
      </c>
      <c r="H397" s="1053"/>
      <c r="I397" s="869"/>
      <c r="J397" s="1049"/>
      <c r="L397" s="1088"/>
      <c r="M397" s="1088"/>
      <c r="N397" s="1088"/>
      <c r="O397" s="1088"/>
    </row>
    <row r="398" spans="1:15" ht="15" customHeight="1">
      <c r="A398" s="1052" t="s">
        <v>359</v>
      </c>
      <c r="B398" s="1089"/>
      <c r="C398" s="1058"/>
      <c r="D398" s="1059"/>
      <c r="E398" s="1060"/>
      <c r="F398" s="1060"/>
      <c r="G398" s="1052" t="s">
        <v>359</v>
      </c>
      <c r="H398" s="1089"/>
      <c r="I398" s="1058"/>
      <c r="J398" s="1059"/>
      <c r="K398" s="1085"/>
      <c r="L398" s="1085"/>
      <c r="M398" s="1085"/>
      <c r="N398" s="1085"/>
      <c r="O398" s="1085"/>
    </row>
    <row r="399" spans="1:15" ht="15" customHeight="1">
      <c r="A399" s="1052" t="s">
        <v>361</v>
      </c>
      <c r="B399" s="869"/>
      <c r="C399" s="1058"/>
      <c r="D399" s="1059"/>
      <c r="E399" s="1061"/>
      <c r="F399" s="1061"/>
      <c r="G399" s="1052" t="s">
        <v>361</v>
      </c>
      <c r="H399" s="869"/>
      <c r="I399" s="1058"/>
      <c r="J399" s="1059"/>
      <c r="K399" s="1085"/>
      <c r="L399" s="1085"/>
      <c r="M399" s="1085"/>
      <c r="N399" s="1085"/>
      <c r="O399" s="1085"/>
    </row>
    <row r="400" spans="1:15" ht="15" customHeight="1">
      <c r="A400" s="1052" t="s">
        <v>364</v>
      </c>
      <c r="B400" s="869"/>
      <c r="C400" s="1058"/>
      <c r="D400" s="1059"/>
      <c r="E400" s="1061"/>
      <c r="F400" s="1061"/>
      <c r="G400" s="1052" t="s">
        <v>364</v>
      </c>
      <c r="H400" s="869"/>
      <c r="I400" s="1058"/>
      <c r="J400" s="1059"/>
      <c r="K400" s="1085"/>
      <c r="L400" s="1085"/>
      <c r="M400" s="1085"/>
      <c r="N400" s="1085"/>
      <c r="O400" s="1085"/>
    </row>
    <row r="401" spans="1:15" ht="15" customHeight="1">
      <c r="A401" s="1052" t="s">
        <v>367</v>
      </c>
      <c r="B401" s="869"/>
      <c r="C401" s="1058"/>
      <c r="D401" s="1059"/>
      <c r="E401" s="1061"/>
      <c r="F401" s="1061"/>
      <c r="G401" s="1052" t="s">
        <v>367</v>
      </c>
      <c r="H401" s="869"/>
      <c r="I401" s="1058"/>
      <c r="J401" s="1059"/>
      <c r="K401" s="1085"/>
      <c r="L401" s="1085"/>
      <c r="M401" s="1085"/>
      <c r="N401" s="1085"/>
      <c r="O401" s="1085"/>
    </row>
    <row r="402" spans="1:15" ht="15" customHeight="1">
      <c r="A402" s="1052" t="s">
        <v>371</v>
      </c>
      <c r="B402" s="869"/>
      <c r="C402" s="1058"/>
      <c r="D402" s="1059"/>
      <c r="E402" s="1061"/>
      <c r="F402" s="1061"/>
      <c r="G402" s="1052" t="s">
        <v>371</v>
      </c>
      <c r="H402" s="869"/>
      <c r="I402" s="1058"/>
      <c r="J402" s="1059"/>
      <c r="K402" s="1085"/>
      <c r="L402" s="1085"/>
      <c r="M402" s="1085"/>
      <c r="N402" s="1085"/>
      <c r="O402" s="1085"/>
    </row>
    <row r="403" spans="1:15" ht="15" customHeight="1">
      <c r="A403" s="1052" t="s">
        <v>374</v>
      </c>
      <c r="B403" s="869"/>
      <c r="C403" s="1058"/>
      <c r="D403" s="1059"/>
      <c r="E403" s="1063"/>
      <c r="F403" s="1061"/>
      <c r="G403" s="1052" t="s">
        <v>374</v>
      </c>
      <c r="H403" s="869"/>
      <c r="I403" s="1058"/>
      <c r="J403" s="1059"/>
      <c r="K403" s="1085"/>
      <c r="L403" s="1085"/>
      <c r="M403" s="1085"/>
      <c r="N403" s="1085"/>
      <c r="O403" s="1085"/>
    </row>
    <row r="404" spans="1:15" ht="15" customHeight="1">
      <c r="A404" s="1059" t="s">
        <v>377</v>
      </c>
      <c r="B404" s="869"/>
      <c r="C404" s="1058"/>
      <c r="D404" s="1059"/>
      <c r="E404" s="1065"/>
      <c r="F404" s="1065"/>
      <c r="G404" s="1059" t="s">
        <v>377</v>
      </c>
      <c r="H404" s="869"/>
      <c r="I404" s="1058"/>
      <c r="J404" s="1059"/>
    </row>
    <row r="405" spans="1:15" ht="15" customHeight="1">
      <c r="A405" s="1066" t="s">
        <v>379</v>
      </c>
      <c r="B405" s="869"/>
      <c r="C405" s="1058"/>
      <c r="D405" s="1059"/>
      <c r="E405" s="1063"/>
      <c r="F405" s="1065"/>
      <c r="G405" s="1066" t="s">
        <v>379</v>
      </c>
      <c r="H405" s="869"/>
      <c r="I405" s="1058"/>
      <c r="J405" s="1059"/>
    </row>
    <row r="406" spans="1:15" ht="15" customHeight="1">
      <c r="A406" s="1052" t="s">
        <v>381</v>
      </c>
      <c r="B406" s="869"/>
      <c r="C406" s="1058"/>
      <c r="D406" s="1059"/>
      <c r="E406" s="1067"/>
      <c r="F406" s="1051"/>
      <c r="G406" s="1052" t="s">
        <v>381</v>
      </c>
      <c r="H406" s="869"/>
      <c r="I406" s="1058"/>
      <c r="J406" s="1059"/>
    </row>
    <row r="407" spans="1:15" ht="15" customHeight="1">
      <c r="A407" s="1068" t="s">
        <v>383</v>
      </c>
      <c r="B407" s="1069"/>
      <c r="C407" s="1070"/>
      <c r="D407" s="1071"/>
      <c r="E407" s="1072"/>
      <c r="F407" s="1073"/>
      <c r="G407" s="1068" t="s">
        <v>383</v>
      </c>
      <c r="H407" s="1069"/>
      <c r="I407" s="1070"/>
      <c r="J407" s="1071"/>
    </row>
    <row r="408" spans="1:15" ht="15.75" customHeight="1">
      <c r="A408" s="1074"/>
      <c r="B408" s="1075"/>
      <c r="C408" s="1076"/>
      <c r="D408" s="1077"/>
      <c r="E408" s="1077"/>
      <c r="F408" s="1078"/>
      <c r="G408" s="1074"/>
      <c r="H408" s="1075"/>
      <c r="I408" s="1076"/>
      <c r="J408" s="1077"/>
    </row>
    <row r="410" spans="1:15" ht="12" customHeight="1">
      <c r="A410" s="2243"/>
      <c r="B410" s="2243"/>
      <c r="C410" s="2243"/>
      <c r="D410" s="2243"/>
      <c r="E410" s="2243"/>
      <c r="F410" s="2243"/>
      <c r="G410" s="2243"/>
      <c r="H410" s="2243"/>
      <c r="I410" s="2243"/>
      <c r="J410" s="2243"/>
    </row>
    <row r="411" spans="1:15" ht="15" customHeight="1">
      <c r="A411" s="2242" t="str">
        <f>$K$2</f>
        <v>THÁNG 04/2025</v>
      </c>
      <c r="B411" s="2242"/>
      <c r="C411" s="2242"/>
      <c r="D411" s="2242"/>
      <c r="E411" s="1050"/>
      <c r="F411" s="1051"/>
      <c r="G411" s="2242" t="str">
        <f>$K$2</f>
        <v>THÁNG 04/2025</v>
      </c>
      <c r="H411" s="2242"/>
      <c r="I411" s="2242"/>
      <c r="J411" s="2242"/>
      <c r="K411" s="624"/>
    </row>
    <row r="412" spans="1:15" ht="15" customHeight="1">
      <c r="A412" s="1052" t="s">
        <v>356</v>
      </c>
      <c r="B412" s="1053"/>
      <c r="C412" s="869"/>
      <c r="D412" s="1049"/>
      <c r="E412" s="1054"/>
      <c r="F412" s="1055"/>
      <c r="G412" s="1052" t="s">
        <v>356</v>
      </c>
      <c r="H412" s="1053"/>
      <c r="I412" s="869"/>
      <c r="J412" s="1049"/>
      <c r="L412" s="1088"/>
      <c r="M412" s="1088"/>
      <c r="N412" s="1088"/>
      <c r="O412" s="1088"/>
    </row>
    <row r="413" spans="1:15" ht="15" customHeight="1">
      <c r="A413" s="1052" t="s">
        <v>359</v>
      </c>
      <c r="B413" s="1089" t="s">
        <v>360</v>
      </c>
      <c r="C413" s="1058"/>
      <c r="D413" s="1059"/>
      <c r="E413" s="1060"/>
      <c r="F413" s="1060"/>
      <c r="G413" s="1052" t="s">
        <v>359</v>
      </c>
      <c r="H413" s="1089" t="s">
        <v>360</v>
      </c>
      <c r="I413" s="1058"/>
      <c r="J413" s="1059"/>
      <c r="K413" s="1084"/>
      <c r="L413" s="1085"/>
      <c r="M413" s="1085"/>
      <c r="N413" s="1085"/>
      <c r="O413" s="1085"/>
    </row>
    <row r="414" spans="1:15" ht="15" customHeight="1">
      <c r="A414" s="1052" t="s">
        <v>361</v>
      </c>
      <c r="B414" s="869" t="s">
        <v>362</v>
      </c>
      <c r="C414" s="1058"/>
      <c r="D414" s="1059"/>
      <c r="E414" s="1061"/>
      <c r="F414" s="1061"/>
      <c r="G414" s="1052" t="s">
        <v>361</v>
      </c>
      <c r="H414" s="869" t="s">
        <v>362</v>
      </c>
      <c r="I414" s="1058"/>
      <c r="J414" s="1059"/>
      <c r="K414" s="1084"/>
      <c r="L414" s="1085"/>
      <c r="M414" s="1085"/>
      <c r="N414" s="1085"/>
      <c r="O414" s="1085"/>
    </row>
    <row r="415" spans="1:15" ht="15" customHeight="1">
      <c r="A415" s="1052" t="s">
        <v>364</v>
      </c>
      <c r="B415" s="869" t="s">
        <v>365</v>
      </c>
      <c r="C415" s="1058"/>
      <c r="D415" s="1059"/>
      <c r="E415" s="1061"/>
      <c r="F415" s="1061"/>
      <c r="G415" s="1052" t="s">
        <v>364</v>
      </c>
      <c r="H415" s="869" t="s">
        <v>365</v>
      </c>
      <c r="I415" s="1058"/>
      <c r="J415" s="1059"/>
      <c r="K415" s="1084"/>
      <c r="L415" s="1085"/>
      <c r="M415" s="1085"/>
      <c r="N415" s="1085"/>
      <c r="O415" s="1085"/>
    </row>
    <row r="416" spans="1:15" ht="15" customHeight="1">
      <c r="A416" s="1052" t="s">
        <v>367</v>
      </c>
      <c r="B416" s="869"/>
      <c r="C416" s="1058"/>
      <c r="D416" s="1059"/>
      <c r="E416" s="1061"/>
      <c r="F416" s="1061"/>
      <c r="G416" s="1052" t="s">
        <v>367</v>
      </c>
      <c r="H416" s="869"/>
      <c r="I416" s="1058"/>
      <c r="J416" s="1059"/>
      <c r="K416" s="1085"/>
      <c r="L416" s="1085"/>
      <c r="M416" s="1085"/>
      <c r="N416" s="1085"/>
      <c r="O416" s="1085"/>
    </row>
    <row r="417" spans="1:15" ht="15" customHeight="1">
      <c r="A417" s="1052" t="s">
        <v>371</v>
      </c>
      <c r="B417" s="869" t="s">
        <v>372</v>
      </c>
      <c r="C417" s="1058"/>
      <c r="D417" s="1059"/>
      <c r="E417" s="1061"/>
      <c r="F417" s="1061"/>
      <c r="G417" s="1052" t="s">
        <v>371</v>
      </c>
      <c r="H417" s="869" t="s">
        <v>372</v>
      </c>
      <c r="I417" s="1058"/>
      <c r="J417" s="1059"/>
      <c r="K417" s="1085"/>
      <c r="L417" s="1085"/>
      <c r="M417" s="1085"/>
      <c r="N417" s="1085"/>
      <c r="O417" s="1085"/>
    </row>
    <row r="418" spans="1:15" ht="15" customHeight="1">
      <c r="A418" s="1052" t="s">
        <v>374</v>
      </c>
      <c r="B418" s="869" t="s">
        <v>375</v>
      </c>
      <c r="C418" s="1058"/>
      <c r="D418" s="1059"/>
      <c r="E418" s="1063"/>
      <c r="F418" s="1061"/>
      <c r="G418" s="1052" t="s">
        <v>374</v>
      </c>
      <c r="H418" s="869" t="s">
        <v>375</v>
      </c>
      <c r="I418" s="1058"/>
      <c r="J418" s="1059"/>
      <c r="K418" s="1085"/>
      <c r="L418" s="1085"/>
      <c r="M418" s="1085"/>
      <c r="N418" s="1085"/>
      <c r="O418" s="1085"/>
    </row>
    <row r="419" spans="1:15" ht="15" customHeight="1">
      <c r="A419" s="1059" t="s">
        <v>377</v>
      </c>
      <c r="B419" s="869" t="s">
        <v>378</v>
      </c>
      <c r="C419" s="1058"/>
      <c r="D419" s="1059"/>
      <c r="E419" s="1065"/>
      <c r="F419" s="1065"/>
      <c r="G419" s="1059" t="s">
        <v>377</v>
      </c>
      <c r="H419" s="869" t="s">
        <v>378</v>
      </c>
      <c r="I419" s="1058"/>
      <c r="J419" s="1059"/>
    </row>
    <row r="420" spans="1:15" ht="15" customHeight="1">
      <c r="A420" s="1066" t="s">
        <v>379</v>
      </c>
      <c r="B420" s="869" t="s">
        <v>380</v>
      </c>
      <c r="C420" s="1058"/>
      <c r="D420" s="1059"/>
      <c r="E420" s="1063"/>
      <c r="F420" s="1065"/>
      <c r="G420" s="1066" t="s">
        <v>379</v>
      </c>
      <c r="H420" s="869" t="s">
        <v>380</v>
      </c>
      <c r="I420" s="1058"/>
      <c r="J420" s="1059"/>
    </row>
    <row r="421" spans="1:15" ht="15" customHeight="1">
      <c r="A421" s="1052" t="s">
        <v>381</v>
      </c>
      <c r="B421" s="869" t="s">
        <v>382</v>
      </c>
      <c r="C421" s="1058"/>
      <c r="D421" s="1059"/>
      <c r="E421" s="1067"/>
      <c r="F421" s="1051"/>
      <c r="G421" s="1052" t="s">
        <v>381</v>
      </c>
      <c r="H421" s="869" t="s">
        <v>382</v>
      </c>
      <c r="I421" s="1058"/>
      <c r="J421" s="1059"/>
    </row>
    <row r="422" spans="1:15" ht="15" customHeight="1">
      <c r="A422" s="1068" t="s">
        <v>383</v>
      </c>
      <c r="B422" s="1069" t="s">
        <v>384</v>
      </c>
      <c r="C422" s="1070"/>
      <c r="D422" s="1071"/>
      <c r="E422" s="1072"/>
      <c r="F422" s="1073"/>
      <c r="G422" s="1068" t="s">
        <v>383</v>
      </c>
      <c r="H422" s="1069" t="s">
        <v>384</v>
      </c>
      <c r="I422" s="1070"/>
      <c r="J422" s="1071"/>
    </row>
    <row r="423" spans="1:15" ht="12.6" customHeight="1">
      <c r="A423" s="1074"/>
      <c r="B423" s="1075"/>
      <c r="C423" s="1076"/>
      <c r="D423" s="1077"/>
      <c r="E423" s="1077"/>
      <c r="F423" s="1078"/>
      <c r="G423" s="1074"/>
      <c r="H423" s="1075"/>
      <c r="I423" s="1076"/>
      <c r="J423" s="1077"/>
    </row>
    <row r="424" spans="1:15" ht="12.6" customHeight="1">
      <c r="A424" s="1075"/>
      <c r="B424" s="1075"/>
      <c r="C424" s="1079"/>
      <c r="D424" s="1080"/>
      <c r="E424" s="1075"/>
      <c r="F424" s="1081"/>
      <c r="G424" s="1075"/>
      <c r="H424" s="1075"/>
      <c r="I424" s="1079"/>
      <c r="J424" s="1080"/>
    </row>
    <row r="425" spans="1:15" ht="15" customHeight="1">
      <c r="A425" s="2242" t="str">
        <f>$K$2</f>
        <v>THÁNG 04/2025</v>
      </c>
      <c r="B425" s="2242"/>
      <c r="C425" s="2242"/>
      <c r="D425" s="2242"/>
      <c r="E425" s="1050"/>
      <c r="F425" s="1051"/>
      <c r="G425" s="2242" t="str">
        <f>$K$2</f>
        <v>THÁNG 04/2025</v>
      </c>
      <c r="H425" s="2242"/>
      <c r="I425" s="2242"/>
      <c r="J425" s="2242"/>
      <c r="K425" s="624"/>
    </row>
    <row r="426" spans="1:15" ht="15" customHeight="1">
      <c r="A426" s="1052" t="s">
        <v>356</v>
      </c>
      <c r="B426" s="1053"/>
      <c r="C426" s="869"/>
      <c r="D426" s="1049"/>
      <c r="E426" s="1054"/>
      <c r="F426" s="1055"/>
      <c r="G426" s="1052" t="s">
        <v>356</v>
      </c>
      <c r="H426" s="1053"/>
      <c r="I426" s="869"/>
      <c r="J426" s="1049"/>
      <c r="L426" s="1088"/>
      <c r="M426" s="1088"/>
      <c r="N426" s="1088"/>
      <c r="O426" s="1088"/>
    </row>
    <row r="427" spans="1:15" ht="15" customHeight="1">
      <c r="A427" s="1052" t="s">
        <v>359</v>
      </c>
      <c r="B427" s="1089" t="s">
        <v>360</v>
      </c>
      <c r="C427" s="1058" t="e">
        <f>VLOOKUP(B426,'LƯƠNG KT'!$D$15:$U$94,3,0)</f>
        <v>#N/A</v>
      </c>
      <c r="D427" s="1059" t="e">
        <f>+C427*25000</f>
        <v>#N/A</v>
      </c>
      <c r="E427" s="1060"/>
      <c r="F427" s="1060"/>
      <c r="G427" s="1052" t="s">
        <v>359</v>
      </c>
      <c r="H427" s="1089" t="s">
        <v>360</v>
      </c>
      <c r="I427" s="1058" t="e">
        <f>VLOOKUP(H426,'LƯƠNG KT'!$D$15:$U$94,3,0)</f>
        <v>#N/A</v>
      </c>
      <c r="J427" s="1059" t="e">
        <f>+I427*25000</f>
        <v>#N/A</v>
      </c>
      <c r="K427" s="1090" t="s">
        <v>427</v>
      </c>
      <c r="L427" s="1090" t="e">
        <f>D436+J436+J422+D422+D407+J407+J393+D393+D379+J379+J363+D363+D346+J346+J330+D330+D314+J314+J298+D298+J281+D281+J265+D265+J249+D249+J233+D233+J216+D216+J200+D200+J184+D184+J158+D158+J141+D141+J125+D125+J102+D102+J86+D86+J69+D69+J47+D47+J31+D31+J15+D15</f>
        <v>#N/A</v>
      </c>
      <c r="M427" s="1090"/>
      <c r="N427" s="1090"/>
      <c r="O427" s="1090"/>
    </row>
    <row r="428" spans="1:15" ht="15" customHeight="1">
      <c r="A428" s="1052" t="s">
        <v>361</v>
      </c>
      <c r="B428" s="869" t="s">
        <v>362</v>
      </c>
      <c r="C428" s="1058" t="e">
        <f>VLOOKUP(B426,'LƯƠNG KT'!$D$15:$U$94,14,0)</f>
        <v>#N/A</v>
      </c>
      <c r="D428" s="1059" t="e">
        <f>C428*$L$4</f>
        <v>#N/A</v>
      </c>
      <c r="E428" s="1061"/>
      <c r="F428" s="1061"/>
      <c r="G428" s="1052" t="s">
        <v>361</v>
      </c>
      <c r="H428" s="869" t="s">
        <v>362</v>
      </c>
      <c r="I428" s="1058" t="e">
        <f>VLOOKUP(H426,'LƯƠNG KT'!$D$15:$U$94,14,0)</f>
        <v>#N/A</v>
      </c>
      <c r="J428" s="1059" t="e">
        <f>I428*$L$4</f>
        <v>#N/A</v>
      </c>
      <c r="K428" s="1085"/>
      <c r="L428" s="1085" t="e">
        <f>#REF!-#REF!</f>
        <v>#REF!</v>
      </c>
      <c r="M428" s="1085"/>
      <c r="N428" s="1085"/>
      <c r="O428" s="1085"/>
    </row>
    <row r="429" spans="1:15" ht="15" customHeight="1">
      <c r="A429" s="1052" t="s">
        <v>364</v>
      </c>
      <c r="B429" s="869" t="s">
        <v>365</v>
      </c>
      <c r="C429" s="1058" t="e">
        <f>VLOOKUP(B426,'LƯƠNG KT'!$D$15:$U$94,15,0)</f>
        <v>#N/A</v>
      </c>
      <c r="D429" s="1059" t="e">
        <f>C429*$L$5</f>
        <v>#N/A</v>
      </c>
      <c r="E429" s="1061"/>
      <c r="F429" s="1061"/>
      <c r="G429" s="1052" t="s">
        <v>364</v>
      </c>
      <c r="H429" s="869" t="s">
        <v>365</v>
      </c>
      <c r="I429" s="1058" t="e">
        <f>VLOOKUP(H426,'LƯƠNG KT'!$D$15:$U$94,15,0)</f>
        <v>#N/A</v>
      </c>
      <c r="J429" s="1059" t="e">
        <f>I429*$L$5</f>
        <v>#N/A</v>
      </c>
      <c r="K429" s="1085"/>
      <c r="L429" s="1085" t="e">
        <f>+L428-L427</f>
        <v>#REF!</v>
      </c>
      <c r="M429" s="1085"/>
      <c r="N429" s="1085"/>
      <c r="O429" s="1085"/>
    </row>
    <row r="430" spans="1:15" ht="15" customHeight="1">
      <c r="A430" s="1052" t="s">
        <v>367</v>
      </c>
      <c r="B430" s="869"/>
      <c r="C430" s="1058" t="e">
        <f>VLOOKUP(B426,'LƯƠNG KT'!$D$15:$U$94,16,0)</f>
        <v>#N/A</v>
      </c>
      <c r="D430" s="1059" t="e">
        <f>+C430*$L$6</f>
        <v>#N/A</v>
      </c>
      <c r="E430" s="1061"/>
      <c r="F430" s="1061"/>
      <c r="G430" s="1052" t="s">
        <v>367</v>
      </c>
      <c r="H430" s="869"/>
      <c r="I430" s="1058" t="e">
        <f>VLOOKUP(H426,'LƯƠNG KT'!$D$15:$U$94,16,0)</f>
        <v>#N/A</v>
      </c>
      <c r="J430" s="1059" t="e">
        <f>+I430*$L$6</f>
        <v>#N/A</v>
      </c>
      <c r="K430" s="1085"/>
      <c r="L430" s="1085" t="e">
        <f>+L429/20</f>
        <v>#REF!</v>
      </c>
      <c r="M430" s="1085"/>
      <c r="N430" s="1085"/>
      <c r="O430" s="1085"/>
    </row>
    <row r="431" spans="1:15" ht="15" customHeight="1">
      <c r="A431" s="1052" t="s">
        <v>371</v>
      </c>
      <c r="B431" s="869" t="s">
        <v>372</v>
      </c>
      <c r="C431" s="1058" t="e">
        <f>VLOOKUP(B426,'LƯƠNG KT'!$D$15:$U$94,9,0)*$L$10</f>
        <v>#N/A</v>
      </c>
      <c r="D431" s="1059" t="e">
        <f>+C431*0.5*3000</f>
        <v>#N/A</v>
      </c>
      <c r="E431" s="1061"/>
      <c r="F431" s="1061"/>
      <c r="G431" s="1052" t="s">
        <v>371</v>
      </c>
      <c r="H431" s="869" t="s">
        <v>372</v>
      </c>
      <c r="I431" s="1058" t="e">
        <f>VLOOKUP(H426,'LƯƠNG KT'!$D$15:$U$94,9,0)*$L$10</f>
        <v>#N/A</v>
      </c>
      <c r="J431" s="1059" t="e">
        <f>+I431*0.5*3000</f>
        <v>#N/A</v>
      </c>
      <c r="K431" s="1085"/>
      <c r="L431" s="1085">
        <v>191066572.506852</v>
      </c>
      <c r="M431" s="1085"/>
      <c r="N431" s="1085"/>
      <c r="O431" s="1085"/>
    </row>
    <row r="432" spans="1:15" ht="15" customHeight="1">
      <c r="A432" s="1052" t="s">
        <v>374</v>
      </c>
      <c r="B432" s="869" t="s">
        <v>375</v>
      </c>
      <c r="C432" s="1058" t="e">
        <f>VLOOKUP(B426,'LƯƠNG KT'!$D$15:$U$94,8,0)*$L$11</f>
        <v>#N/A</v>
      </c>
      <c r="D432" s="1059" t="e">
        <f>VLOOKUP(B426,'LƯƠNG KT'!$D$15:$U$94,13,0)-D431</f>
        <v>#N/A</v>
      </c>
      <c r="E432" s="1063"/>
      <c r="F432" s="1061"/>
      <c r="G432" s="1052" t="s">
        <v>374</v>
      </c>
      <c r="H432" s="869" t="s">
        <v>375</v>
      </c>
      <c r="I432" s="1058" t="e">
        <f>VLOOKUP(H426,'LƯƠNG KT'!$D$15:$U$94,8,0)*$L$11</f>
        <v>#N/A</v>
      </c>
      <c r="J432" s="1059" t="e">
        <f>VLOOKUP(H426,'LƯƠNG KT'!$D$15:$U$94,13,0)-J431</f>
        <v>#N/A</v>
      </c>
      <c r="K432" s="1085"/>
      <c r="L432" s="1085"/>
      <c r="M432" s="1085"/>
      <c r="N432" s="1085"/>
      <c r="O432" s="1085"/>
    </row>
    <row r="433" spans="1:15" ht="15" customHeight="1">
      <c r="A433" s="1059" t="s">
        <v>377</v>
      </c>
      <c r="B433" s="869" t="s">
        <v>378</v>
      </c>
      <c r="C433" s="1058"/>
      <c r="D433" s="1059"/>
      <c r="E433" s="1065"/>
      <c r="F433" s="1065"/>
      <c r="G433" s="1059" t="s">
        <v>377</v>
      </c>
      <c r="H433" s="869"/>
      <c r="I433" s="1058"/>
      <c r="J433" s="1059"/>
    </row>
    <row r="434" spans="1:15" ht="15" customHeight="1">
      <c r="A434" s="1066" t="s">
        <v>379</v>
      </c>
      <c r="B434" s="869" t="s">
        <v>380</v>
      </c>
      <c r="C434" s="1058"/>
      <c r="D434" s="1059"/>
      <c r="E434" s="1063"/>
      <c r="F434" s="1065"/>
      <c r="G434" s="1066" t="s">
        <v>379</v>
      </c>
      <c r="H434" s="869"/>
      <c r="I434" s="1058"/>
      <c r="J434" s="1059"/>
    </row>
    <row r="435" spans="1:15" ht="15" customHeight="1">
      <c r="A435" s="1052" t="s">
        <v>381</v>
      </c>
      <c r="B435" s="869" t="s">
        <v>382</v>
      </c>
      <c r="C435" s="1058"/>
      <c r="D435" s="1059"/>
      <c r="E435" s="1067"/>
      <c r="F435" s="1051"/>
      <c r="G435" s="1052" t="s">
        <v>381</v>
      </c>
      <c r="H435" s="869"/>
      <c r="I435" s="1058"/>
      <c r="J435" s="1059"/>
    </row>
    <row r="436" spans="1:15" ht="15" customHeight="1">
      <c r="A436" s="1068" t="s">
        <v>383</v>
      </c>
      <c r="B436" s="1069" t="s">
        <v>384</v>
      </c>
      <c r="C436" s="1070"/>
      <c r="D436" s="1071"/>
      <c r="E436" s="1072"/>
      <c r="F436" s="1073"/>
      <c r="G436" s="1068" t="s">
        <v>383</v>
      </c>
      <c r="H436" s="1069"/>
      <c r="I436" s="1070"/>
      <c r="J436" s="1071"/>
    </row>
    <row r="437" spans="1:15" ht="18.75" customHeight="1">
      <c r="A437" s="1074"/>
      <c r="B437" s="1075"/>
      <c r="C437" s="1076"/>
      <c r="D437" s="1077"/>
      <c r="E437" s="1077"/>
      <c r="F437" s="1078"/>
      <c r="G437" s="1074"/>
      <c r="H437" s="1075"/>
      <c r="I437" s="1076"/>
      <c r="J437" s="1077"/>
    </row>
    <row r="438" spans="1:15" ht="12" customHeight="1">
      <c r="A438" s="2244" t="s">
        <v>429</v>
      </c>
      <c r="B438" s="2244"/>
      <c r="C438" s="2244"/>
      <c r="D438" s="2244"/>
      <c r="E438" s="2244"/>
      <c r="F438" s="2244"/>
      <c r="G438" s="2244"/>
      <c r="H438" s="2244"/>
      <c r="I438" s="2244"/>
      <c r="J438" s="2244"/>
    </row>
    <row r="439" spans="1:15" ht="15" customHeight="1">
      <c r="A439" s="2242" t="str">
        <f>$K$2</f>
        <v>THÁNG 04/2025</v>
      </c>
      <c r="B439" s="2242"/>
      <c r="C439" s="2242"/>
      <c r="D439" s="2242"/>
      <c r="E439" s="1050"/>
      <c r="F439" s="1051"/>
      <c r="G439" s="2242" t="str">
        <f>$K$2</f>
        <v>THÁNG 04/2025</v>
      </c>
      <c r="H439" s="2242"/>
      <c r="I439" s="2242"/>
      <c r="J439" s="2242"/>
      <c r="K439" s="624"/>
    </row>
    <row r="440" spans="1:15" ht="15" customHeight="1">
      <c r="A440" s="1052" t="s">
        <v>356</v>
      </c>
      <c r="B440" s="1053" t="s">
        <v>2561</v>
      </c>
      <c r="C440" s="869"/>
      <c r="D440" s="1049"/>
      <c r="E440" s="1054"/>
      <c r="F440" s="1055"/>
      <c r="G440" s="1052" t="s">
        <v>356</v>
      </c>
      <c r="H440" s="1053"/>
      <c r="I440" s="869"/>
      <c r="J440" s="1049"/>
      <c r="L440" s="1088"/>
      <c r="M440" s="1088"/>
      <c r="N440" s="1088"/>
      <c r="O440" s="1088"/>
    </row>
    <row r="441" spans="1:15" ht="15" customHeight="1">
      <c r="A441" s="1056" t="s">
        <v>359</v>
      </c>
      <c r="B441" s="1057" t="s">
        <v>2662</v>
      </c>
      <c r="C441" s="1058" t="e">
        <f>VLOOKUP(B440,'LƯƠNG KT'!$D$15:$R$94,4,0)</f>
        <v>#N/A</v>
      </c>
      <c r="D441" s="1059" t="e">
        <f>+C441*25000</f>
        <v>#N/A</v>
      </c>
      <c r="E441" s="1060"/>
      <c r="F441" s="1060"/>
      <c r="G441" s="1052" t="s">
        <v>359</v>
      </c>
      <c r="H441" s="1089"/>
      <c r="I441" s="1058"/>
      <c r="J441" s="1059"/>
      <c r="K441" s="1085"/>
      <c r="L441" s="1085"/>
      <c r="M441" s="1085"/>
      <c r="N441" s="1085"/>
      <c r="O441" s="1085"/>
    </row>
    <row r="442" spans="1:15" ht="15" customHeight="1">
      <c r="A442" s="1056" t="s">
        <v>361</v>
      </c>
      <c r="B442" s="1057" t="s">
        <v>2663</v>
      </c>
      <c r="C442" s="1058" t="e">
        <f>VLOOKUP(B440,'LƯƠNG KT'!$D$15:$R$94,15,0)</f>
        <v>#N/A</v>
      </c>
      <c r="D442" s="1059" t="e">
        <f>C442*$L$4</f>
        <v>#N/A</v>
      </c>
      <c r="E442" s="1061"/>
      <c r="F442" s="1061"/>
      <c r="G442" s="1052" t="s">
        <v>361</v>
      </c>
      <c r="H442" s="869"/>
      <c r="I442" s="1058"/>
      <c r="J442" s="1059"/>
      <c r="K442" s="1085"/>
      <c r="L442" s="1085"/>
      <c r="M442" s="1085"/>
      <c r="N442" s="1085"/>
      <c r="O442" s="1085"/>
    </row>
    <row r="443" spans="1:15" ht="15" customHeight="1">
      <c r="A443" s="1056" t="s">
        <v>364</v>
      </c>
      <c r="B443" s="1057" t="s">
        <v>2664</v>
      </c>
      <c r="C443" s="1058" t="e">
        <f>VLOOKUP(B440,'LƯƠNG KT'!$D$15:$R$94,16,0)</f>
        <v>#N/A</v>
      </c>
      <c r="D443" s="1059" t="e">
        <f>C443*$L$5</f>
        <v>#N/A</v>
      </c>
      <c r="E443" s="1061"/>
      <c r="F443" s="1061"/>
      <c r="G443" s="1052" t="s">
        <v>364</v>
      </c>
      <c r="H443" s="869"/>
      <c r="I443" s="1058"/>
      <c r="J443" s="1059"/>
      <c r="K443" s="1085"/>
      <c r="L443" s="1085"/>
      <c r="M443" s="1085"/>
      <c r="N443" s="1085"/>
      <c r="O443" s="1085"/>
    </row>
    <row r="444" spans="1:15" ht="15" customHeight="1">
      <c r="A444" s="1056" t="s">
        <v>370</v>
      </c>
      <c r="B444" s="1057" t="s">
        <v>2665</v>
      </c>
      <c r="C444" s="1058" t="e">
        <f>VLOOKUP(B440,'LƯƠNG KT'!$D$15:$R$94,24,0)</f>
        <v>#N/A</v>
      </c>
      <c r="D444" s="1059" t="e">
        <f>+C444*$L$6</f>
        <v>#N/A</v>
      </c>
      <c r="E444" s="1061"/>
      <c r="F444" s="1061"/>
      <c r="G444" s="1052"/>
      <c r="H444" s="869"/>
      <c r="I444" s="1058"/>
      <c r="J444" s="1059"/>
      <c r="K444" s="1085"/>
      <c r="L444" s="1085"/>
      <c r="M444" s="1085"/>
      <c r="N444" s="1085"/>
      <c r="O444" s="1085"/>
    </row>
    <row r="445" spans="1:15" ht="15" customHeight="1">
      <c r="A445" s="1056" t="s">
        <v>2666</v>
      </c>
      <c r="B445" s="1057" t="s">
        <v>2667</v>
      </c>
      <c r="C445" s="1058" t="e">
        <f>VLOOKUP(B440,'LƯƠNG KT'!$D$15:$R$94,19,0)</f>
        <v>#N/A</v>
      </c>
      <c r="D445" s="1059" t="e">
        <f>+C445*$L$8</f>
        <v>#N/A</v>
      </c>
      <c r="E445" s="1061"/>
      <c r="F445" s="1061"/>
      <c r="G445" s="1052"/>
      <c r="H445" s="869"/>
      <c r="I445" s="1058"/>
      <c r="J445" s="1059"/>
      <c r="K445" s="1085"/>
      <c r="L445" s="1085"/>
      <c r="M445" s="1085"/>
      <c r="N445" s="1085"/>
      <c r="O445" s="1085"/>
    </row>
    <row r="446" spans="1:15" ht="15" customHeight="1">
      <c r="A446" s="1056" t="s">
        <v>2668</v>
      </c>
      <c r="B446" s="1062" t="s">
        <v>2669</v>
      </c>
      <c r="C446" s="1058" t="e">
        <f>VLOOKUP(B440,'LƯƠNG KT'!$D$15:$R$94,20,0)</f>
        <v>#N/A</v>
      </c>
      <c r="D446" s="1059" t="e">
        <f>+C446*$L$9</f>
        <v>#N/A</v>
      </c>
      <c r="E446" s="1061"/>
      <c r="F446" s="1061"/>
      <c r="G446" s="1052"/>
      <c r="H446" s="869"/>
      <c r="I446" s="1058"/>
      <c r="J446" s="1059"/>
      <c r="K446" s="1085"/>
      <c r="L446" s="1085"/>
      <c r="M446" s="1085"/>
      <c r="N446" s="1085"/>
      <c r="O446" s="1085"/>
    </row>
    <row r="447" spans="1:15" ht="15" customHeight="1">
      <c r="A447" s="1056" t="s">
        <v>2671</v>
      </c>
      <c r="B447" s="1057" t="s">
        <v>2672</v>
      </c>
      <c r="C447" s="1058" t="e">
        <f>VLOOKUP(B440,'LƯƠNG KT'!$D$15:$R$94,17,0)</f>
        <v>#N/A</v>
      </c>
      <c r="D447" s="1059" t="e">
        <f>+C447*$L$10</f>
        <v>#N/A</v>
      </c>
      <c r="E447" s="1061"/>
      <c r="F447" s="1061"/>
      <c r="G447" s="1052"/>
      <c r="H447" s="869"/>
      <c r="I447" s="1058"/>
      <c r="J447" s="1059"/>
      <c r="K447" s="1085"/>
      <c r="L447" s="1085"/>
      <c r="M447" s="1085"/>
      <c r="N447" s="1085"/>
      <c r="O447" s="1085"/>
    </row>
    <row r="448" spans="1:15" ht="15" customHeight="1">
      <c r="A448" s="1056" t="s">
        <v>374</v>
      </c>
      <c r="B448" s="1057" t="s">
        <v>2674</v>
      </c>
      <c r="C448" s="1058" t="e">
        <f>VLOOKUP(B440,'LƯƠNG KT'!$D$15:$R$94,12,0)</f>
        <v>#N/A</v>
      </c>
      <c r="D448" s="1059" t="e">
        <f>VLOOKUP(B440,'LƯƠNG KT'!$D$15:$R$94,14,0)</f>
        <v>#N/A</v>
      </c>
      <c r="E448" s="1061"/>
      <c r="F448" s="1061"/>
      <c r="G448" s="1052" t="s">
        <v>367</v>
      </c>
      <c r="H448" s="869"/>
      <c r="I448" s="1058"/>
      <c r="J448" s="1059"/>
      <c r="K448" s="1085"/>
      <c r="L448" s="1085"/>
      <c r="M448" s="1085"/>
      <c r="N448" s="1085"/>
      <c r="O448" s="1085"/>
    </row>
    <row r="449" spans="1:15" ht="15" customHeight="1">
      <c r="A449" s="1056" t="s">
        <v>2675</v>
      </c>
      <c r="B449" s="1057" t="s">
        <v>2676</v>
      </c>
      <c r="D449" s="1064" t="e">
        <f>VLOOKUP(B440,'LƯƠNG KT'!$D$15:$R$94,13,0)</f>
        <v>#N/A</v>
      </c>
      <c r="E449" s="1061"/>
      <c r="F449" s="1061"/>
      <c r="G449" s="1052" t="s">
        <v>371</v>
      </c>
      <c r="H449" s="869"/>
      <c r="I449" s="1058"/>
      <c r="J449" s="1059"/>
      <c r="K449" s="1085"/>
      <c r="L449" s="1085"/>
      <c r="M449" s="1085"/>
      <c r="N449" s="1085"/>
      <c r="O449" s="1085"/>
    </row>
    <row r="450" spans="1:15" ht="15" customHeight="1">
      <c r="A450" s="1066"/>
      <c r="B450" s="869"/>
      <c r="C450" s="1058"/>
      <c r="D450" s="1059"/>
      <c r="E450" s="1063"/>
      <c r="F450" s="1061"/>
      <c r="G450" s="1052" t="s">
        <v>374</v>
      </c>
      <c r="H450" s="869"/>
      <c r="I450" s="1058"/>
      <c r="J450" s="1059"/>
      <c r="K450" s="1085"/>
      <c r="L450" s="1085"/>
      <c r="M450" s="1085"/>
      <c r="N450" s="1085"/>
      <c r="O450" s="1085"/>
    </row>
    <row r="451" spans="1:15" ht="15" customHeight="1">
      <c r="A451" s="1052"/>
      <c r="B451" s="869"/>
      <c r="C451" s="1058"/>
      <c r="D451" s="1059"/>
      <c r="E451" s="1065"/>
      <c r="F451" s="1065"/>
      <c r="G451" s="1059" t="s">
        <v>377</v>
      </c>
      <c r="H451" s="869"/>
      <c r="I451" s="1058"/>
      <c r="J451" s="1059"/>
    </row>
    <row r="452" spans="1:15" ht="15" customHeight="1">
      <c r="A452" s="1068" t="s">
        <v>383</v>
      </c>
      <c r="B452" s="1069" t="s">
        <v>384</v>
      </c>
      <c r="C452" s="1070"/>
      <c r="D452" s="1071" t="e">
        <f>SUM(D441:D448)-D451</f>
        <v>#N/A</v>
      </c>
      <c r="E452" s="1063"/>
      <c r="F452" s="1065"/>
      <c r="G452" s="1066" t="s">
        <v>379</v>
      </c>
      <c r="H452" s="869"/>
      <c r="I452" s="1058"/>
      <c r="J452" s="1059"/>
    </row>
    <row r="453" spans="1:15" ht="18.75" customHeight="1">
      <c r="A453" s="1075"/>
      <c r="B453" s="1075"/>
      <c r="C453" s="1079"/>
      <c r="D453" s="1080"/>
      <c r="E453" s="1075"/>
      <c r="F453" s="1081"/>
      <c r="G453" s="1075"/>
      <c r="H453" s="1075"/>
      <c r="I453" s="1079"/>
      <c r="J453" s="1080"/>
    </row>
    <row r="454" spans="1:15" ht="15" customHeight="1">
      <c r="A454" s="2242" t="str">
        <f>$K$2</f>
        <v>THÁNG 04/2025</v>
      </c>
      <c r="B454" s="2242"/>
      <c r="C454" s="2242"/>
      <c r="D454" s="2242"/>
      <c r="E454" s="1050"/>
      <c r="F454" s="1051"/>
      <c r="G454" s="2242" t="str">
        <f>$K$2</f>
        <v>THÁNG 04/2025</v>
      </c>
      <c r="H454" s="2242"/>
      <c r="I454" s="2242"/>
      <c r="J454" s="2242"/>
      <c r="K454" s="624"/>
    </row>
    <row r="455" spans="1:15" ht="15" customHeight="1">
      <c r="A455" s="1052"/>
      <c r="B455" s="1053"/>
      <c r="C455" s="869"/>
      <c r="D455" s="1049"/>
      <c r="E455" s="1054"/>
      <c r="F455" s="1055"/>
      <c r="G455" s="1052"/>
      <c r="H455" s="1053"/>
      <c r="I455" s="869"/>
      <c r="J455" s="1049"/>
      <c r="L455" s="1088"/>
      <c r="M455" s="1088"/>
      <c r="N455" s="1088"/>
      <c r="O455" s="1088"/>
    </row>
    <row r="456" spans="1:15" ht="15" customHeight="1">
      <c r="A456" s="1052"/>
      <c r="B456" s="1089"/>
      <c r="C456" s="1058"/>
      <c r="D456" s="1059"/>
      <c r="E456" s="1060"/>
      <c r="F456" s="1060"/>
      <c r="G456" s="1052"/>
      <c r="H456" s="1089"/>
      <c r="I456" s="1058"/>
      <c r="J456" s="1059"/>
      <c r="K456" s="1085"/>
      <c r="L456" s="1085"/>
      <c r="M456" s="1085"/>
      <c r="N456" s="1085"/>
      <c r="O456" s="1085"/>
    </row>
    <row r="457" spans="1:15" ht="15" customHeight="1">
      <c r="A457" s="1052"/>
      <c r="B457" s="869"/>
      <c r="C457" s="1058"/>
      <c r="D457" s="1059"/>
      <c r="E457" s="1061"/>
      <c r="F457" s="1061"/>
      <c r="G457" s="1052"/>
      <c r="H457" s="869"/>
      <c r="I457" s="1058"/>
      <c r="J457" s="1059"/>
      <c r="K457" s="1085"/>
      <c r="L457" s="1085"/>
      <c r="M457" s="1085"/>
      <c r="N457" s="1085"/>
      <c r="O457" s="1085"/>
    </row>
    <row r="458" spans="1:15" ht="15" customHeight="1">
      <c r="A458" s="1052"/>
      <c r="B458" s="869"/>
      <c r="C458" s="1058"/>
      <c r="D458" s="1059"/>
      <c r="E458" s="1061"/>
      <c r="F458" s="1061"/>
      <c r="G458" s="1052"/>
      <c r="H458" s="869"/>
      <c r="I458" s="1058"/>
      <c r="J458" s="1059"/>
      <c r="K458" s="1085"/>
      <c r="L458" s="1085"/>
      <c r="M458" s="1085"/>
      <c r="N458" s="1085"/>
      <c r="O458" s="1085"/>
    </row>
    <row r="459" spans="1:15" ht="15" customHeight="1">
      <c r="A459" s="1052"/>
      <c r="B459" s="869"/>
      <c r="C459" s="1058"/>
      <c r="D459" s="1059"/>
      <c r="E459" s="1061"/>
      <c r="F459" s="1061"/>
      <c r="G459" s="1052"/>
      <c r="H459" s="869"/>
      <c r="I459" s="1058"/>
      <c r="J459" s="1059"/>
      <c r="K459" s="1085"/>
      <c r="L459" s="1085"/>
      <c r="M459" s="1085"/>
      <c r="N459" s="1085"/>
      <c r="O459" s="1085"/>
    </row>
    <row r="460" spans="1:15" ht="15" customHeight="1">
      <c r="A460" s="1052"/>
      <c r="B460" s="869"/>
      <c r="C460" s="1058"/>
      <c r="D460" s="1059"/>
      <c r="E460" s="1061"/>
      <c r="F460" s="1061"/>
      <c r="G460" s="1052"/>
      <c r="H460" s="869"/>
      <c r="I460" s="1058"/>
      <c r="J460" s="1059"/>
      <c r="K460" s="1085"/>
      <c r="L460" s="1085"/>
      <c r="M460" s="1085"/>
      <c r="N460" s="1085"/>
      <c r="O460" s="1085"/>
    </row>
    <row r="461" spans="1:15" ht="15" customHeight="1">
      <c r="A461" s="1052"/>
      <c r="B461" s="869"/>
      <c r="C461" s="1058"/>
      <c r="D461" s="1059"/>
      <c r="E461" s="1063"/>
      <c r="F461" s="1061"/>
      <c r="G461" s="1052"/>
      <c r="H461" s="869"/>
      <c r="I461" s="1058"/>
      <c r="J461" s="1059"/>
      <c r="K461" s="1085"/>
      <c r="L461" s="1085"/>
      <c r="M461" s="1085"/>
      <c r="N461" s="1085"/>
      <c r="O461" s="1085"/>
    </row>
    <row r="462" spans="1:15" ht="15" customHeight="1">
      <c r="A462" s="1059"/>
      <c r="B462" s="869"/>
      <c r="C462" s="1058"/>
      <c r="D462" s="1059"/>
      <c r="E462" s="1065"/>
      <c r="F462" s="1065"/>
      <c r="G462" s="1059"/>
      <c r="H462" s="869"/>
      <c r="I462" s="1058"/>
      <c r="J462" s="1059"/>
    </row>
    <row r="463" spans="1:15" ht="15.75" customHeight="1">
      <c r="A463" s="1074"/>
      <c r="B463" s="1075"/>
      <c r="C463" s="1076"/>
      <c r="D463" s="1077"/>
      <c r="E463" s="1077"/>
      <c r="F463" s="1078"/>
      <c r="G463" s="1074"/>
      <c r="H463" s="1075"/>
      <c r="I463" s="1076"/>
      <c r="J463" s="1077"/>
    </row>
    <row r="465" spans="1:15" ht="12" customHeight="1">
      <c r="A465" s="2244" t="s">
        <v>429</v>
      </c>
      <c r="B465" s="2244"/>
      <c r="C465" s="2244"/>
      <c r="D465" s="2244"/>
      <c r="E465" s="2244"/>
      <c r="F465" s="2244"/>
      <c r="G465" s="2244"/>
      <c r="H465" s="2244"/>
      <c r="I465" s="2244"/>
      <c r="J465" s="2244"/>
    </row>
    <row r="466" spans="1:15" ht="15" customHeight="1">
      <c r="A466" s="2242" t="str">
        <f>$K$2</f>
        <v>THÁNG 04/2025</v>
      </c>
      <c r="B466" s="2242"/>
      <c r="C466" s="2242"/>
      <c r="D466" s="2242"/>
      <c r="E466" s="1050"/>
      <c r="F466" s="1051"/>
      <c r="G466" s="2242" t="str">
        <f>$K$2</f>
        <v>THÁNG 04/2025</v>
      </c>
      <c r="H466" s="2242"/>
      <c r="I466" s="2242"/>
      <c r="J466" s="2242"/>
      <c r="K466" s="624"/>
    </row>
    <row r="467" spans="1:15" ht="15" customHeight="1">
      <c r="A467" s="1052" t="s">
        <v>356</v>
      </c>
      <c r="B467" s="1053" t="s">
        <v>2623</v>
      </c>
      <c r="C467" s="869"/>
      <c r="D467" s="1049"/>
      <c r="E467" s="1054"/>
      <c r="F467" s="1055"/>
      <c r="G467" s="1052" t="s">
        <v>356</v>
      </c>
      <c r="H467" s="1053" t="s">
        <v>1050</v>
      </c>
      <c r="I467" s="869"/>
      <c r="J467" s="1049"/>
      <c r="L467" s="1088"/>
      <c r="M467" s="1088"/>
      <c r="N467" s="1088"/>
      <c r="O467" s="1088"/>
    </row>
    <row r="468" spans="1:15" ht="15" customHeight="1">
      <c r="A468" s="1056" t="s">
        <v>359</v>
      </c>
      <c r="B468" s="1057" t="s">
        <v>2662</v>
      </c>
      <c r="C468" s="1058" t="e">
        <f>VLOOKUP(B467,'LƯƠNG KT'!$D$15:$R$94,4,0)</f>
        <v>#N/A</v>
      </c>
      <c r="D468" s="1059" t="e">
        <f>+C468*25000</f>
        <v>#N/A</v>
      </c>
      <c r="E468" s="1060"/>
      <c r="F468" s="1060"/>
      <c r="G468" s="1056" t="s">
        <v>359</v>
      </c>
      <c r="H468" s="1057" t="s">
        <v>2662</v>
      </c>
      <c r="I468" s="1058" t="e">
        <f>VLOOKUP(H467,'LƯƠNG KT'!$D$15:$R$94,4,0)</f>
        <v>#N/A</v>
      </c>
      <c r="J468" s="1059" t="e">
        <f>+I468*25000</f>
        <v>#N/A</v>
      </c>
      <c r="K468" s="1084"/>
      <c r="L468" s="1085"/>
      <c r="M468" s="1085"/>
      <c r="N468" s="1085"/>
      <c r="O468" s="1085"/>
    </row>
    <row r="469" spans="1:15" ht="15" customHeight="1">
      <c r="A469" s="1056" t="s">
        <v>361</v>
      </c>
      <c r="B469" s="1057" t="s">
        <v>2663</v>
      </c>
      <c r="C469" s="1058" t="e">
        <f>VLOOKUP(B467,'LƯƠNG KT'!$D$15:$R$94,15,0)</f>
        <v>#N/A</v>
      </c>
      <c r="D469" s="1059" t="e">
        <f>C469*$L$4</f>
        <v>#N/A</v>
      </c>
      <c r="E469" s="1061"/>
      <c r="F469" s="1061"/>
      <c r="G469" s="1056" t="s">
        <v>361</v>
      </c>
      <c r="H469" s="1057" t="s">
        <v>2663</v>
      </c>
      <c r="I469" s="1058" t="e">
        <f>VLOOKUP(H467,'LƯƠNG KT'!$D$15:$R$94,15,0)</f>
        <v>#N/A</v>
      </c>
      <c r="J469" s="1059" t="e">
        <f>I469*$L$4</f>
        <v>#N/A</v>
      </c>
      <c r="K469" s="1084"/>
      <c r="L469" s="1085"/>
      <c r="M469" s="1085"/>
      <c r="N469" s="1085"/>
      <c r="O469" s="1085"/>
    </row>
    <row r="470" spans="1:15" ht="15" customHeight="1">
      <c r="A470" s="1056" t="s">
        <v>364</v>
      </c>
      <c r="B470" s="1057" t="s">
        <v>2664</v>
      </c>
      <c r="C470" s="1058" t="e">
        <f>VLOOKUP(B467,'LƯƠNG KT'!$D$15:$R$94,16,0)</f>
        <v>#N/A</v>
      </c>
      <c r="D470" s="1059" t="e">
        <f>C470*$L$5</f>
        <v>#N/A</v>
      </c>
      <c r="E470" s="1061"/>
      <c r="F470" s="1061"/>
      <c r="G470" s="1056" t="s">
        <v>364</v>
      </c>
      <c r="H470" s="1057" t="s">
        <v>2664</v>
      </c>
      <c r="I470" s="1058" t="e">
        <f>VLOOKUP(H467,'LƯƠNG KT'!$D$15:$R$94,16,0)</f>
        <v>#N/A</v>
      </c>
      <c r="J470" s="1059" t="e">
        <f>I470*$L$5</f>
        <v>#N/A</v>
      </c>
      <c r="K470" s="1084"/>
      <c r="L470" s="1085"/>
      <c r="M470" s="1085"/>
      <c r="N470" s="1085"/>
      <c r="O470" s="1085"/>
    </row>
    <row r="471" spans="1:15" ht="15" customHeight="1">
      <c r="A471" s="1056" t="s">
        <v>370</v>
      </c>
      <c r="B471" s="1057" t="s">
        <v>2665</v>
      </c>
      <c r="C471" s="1058" t="e">
        <f>VLOOKUP(B467,'LƯƠNG KT'!$D$15:$R$94,24,0)</f>
        <v>#N/A</v>
      </c>
      <c r="D471" s="1059" t="e">
        <f>+C471*$L$6</f>
        <v>#N/A</v>
      </c>
      <c r="E471" s="1061"/>
      <c r="F471" s="1061"/>
      <c r="G471" s="1056" t="s">
        <v>370</v>
      </c>
      <c r="H471" s="1057" t="s">
        <v>2665</v>
      </c>
      <c r="I471" s="1058" t="e">
        <f>VLOOKUP(H467,'LƯƠNG KT'!$D$15:$R$94,24,0)</f>
        <v>#N/A</v>
      </c>
      <c r="J471" s="1059" t="e">
        <f>+I471*$L$6</f>
        <v>#N/A</v>
      </c>
      <c r="K471" s="1085"/>
      <c r="L471" s="1085"/>
      <c r="M471" s="1085"/>
      <c r="N471" s="1085"/>
      <c r="O471" s="1085"/>
    </row>
    <row r="472" spans="1:15" ht="15" customHeight="1">
      <c r="A472" s="1056" t="s">
        <v>2666</v>
      </c>
      <c r="B472" s="1057" t="s">
        <v>2667</v>
      </c>
      <c r="C472" s="1058" t="e">
        <f>VLOOKUP(B467,'LƯƠNG KT'!$D$15:$R$94,19,0)</f>
        <v>#N/A</v>
      </c>
      <c r="D472" s="1059" t="e">
        <f>+C472*$L$8</f>
        <v>#N/A</v>
      </c>
      <c r="E472" s="1061"/>
      <c r="F472" s="1061"/>
      <c r="G472" s="1056" t="s">
        <v>2666</v>
      </c>
      <c r="H472" s="1057" t="s">
        <v>2667</v>
      </c>
      <c r="I472" s="1058" t="e">
        <f>VLOOKUP(H467,'LƯƠNG KT'!$D$15:$R$94,19,0)</f>
        <v>#N/A</v>
      </c>
      <c r="J472" s="1059" t="e">
        <f>+I472*$L$8</f>
        <v>#N/A</v>
      </c>
      <c r="K472" s="1085"/>
      <c r="L472" s="1085"/>
      <c r="M472" s="1085"/>
      <c r="N472" s="1085"/>
      <c r="O472" s="1085"/>
    </row>
    <row r="473" spans="1:15" ht="15" customHeight="1">
      <c r="A473" s="1056" t="s">
        <v>2668</v>
      </c>
      <c r="B473" s="1062" t="s">
        <v>2669</v>
      </c>
      <c r="C473" s="1058" t="e">
        <f>VLOOKUP(B467,'LƯƠNG KT'!$D$15:$R$94,20,0)</f>
        <v>#N/A</v>
      </c>
      <c r="D473" s="1059" t="e">
        <f>+C473*$L$9</f>
        <v>#N/A</v>
      </c>
      <c r="E473" s="1061"/>
      <c r="F473" s="1061"/>
      <c r="G473" s="1056" t="s">
        <v>2668</v>
      </c>
      <c r="H473" s="1062" t="s">
        <v>2669</v>
      </c>
      <c r="I473" s="1058" t="e">
        <f>VLOOKUP(H467,'LƯƠNG KT'!$D$15:$R$94,20,0)</f>
        <v>#N/A</v>
      </c>
      <c r="J473" s="1059" t="e">
        <f>+I473*$L$9</f>
        <v>#N/A</v>
      </c>
      <c r="K473" s="1085"/>
      <c r="L473" s="1085"/>
      <c r="M473" s="1085"/>
      <c r="N473" s="1085"/>
      <c r="O473" s="1085"/>
    </row>
    <row r="474" spans="1:15" ht="15" customHeight="1">
      <c r="A474" s="1056" t="s">
        <v>2671</v>
      </c>
      <c r="B474" s="1057" t="s">
        <v>2672</v>
      </c>
      <c r="C474" s="1058" t="e">
        <f>VLOOKUP(B467,'LƯƠNG KT'!$D$15:$R$94,17,0)</f>
        <v>#N/A</v>
      </c>
      <c r="D474" s="1059" t="e">
        <f>+C474*$L$10</f>
        <v>#N/A</v>
      </c>
      <c r="E474" s="1061"/>
      <c r="F474" s="1061"/>
      <c r="G474" s="1056" t="s">
        <v>2671</v>
      </c>
      <c r="H474" s="1057" t="s">
        <v>2672</v>
      </c>
      <c r="I474" s="1058" t="e">
        <f>VLOOKUP(H467,'LƯƠNG KT'!$D$15:$R$94,17,0)</f>
        <v>#N/A</v>
      </c>
      <c r="J474" s="1059" t="e">
        <f>+I474*$L$10</f>
        <v>#N/A</v>
      </c>
      <c r="K474" s="1085"/>
      <c r="L474" s="1085"/>
      <c r="M474" s="1085"/>
      <c r="N474" s="1085"/>
      <c r="O474" s="1085"/>
    </row>
    <row r="475" spans="1:15" ht="15" customHeight="1">
      <c r="A475" s="1056" t="s">
        <v>374</v>
      </c>
      <c r="B475" s="1057" t="s">
        <v>2674</v>
      </c>
      <c r="C475" s="1058" t="e">
        <f>VLOOKUP(B467,'LƯƠNG KT'!$D$15:$R$94,12,0)</f>
        <v>#N/A</v>
      </c>
      <c r="D475" s="1059" t="e">
        <f>VLOOKUP(B467,'LƯƠNG KT'!$D$15:$R$94,14,0)</f>
        <v>#N/A</v>
      </c>
      <c r="E475" s="1063"/>
      <c r="F475" s="1061"/>
      <c r="G475" s="1056" t="s">
        <v>374</v>
      </c>
      <c r="H475" s="1057" t="s">
        <v>2674</v>
      </c>
      <c r="I475" s="1058" t="e">
        <f>VLOOKUP(H467,'LƯƠNG KT'!$D$15:$R$94,12,0)</f>
        <v>#N/A</v>
      </c>
      <c r="J475" s="1059" t="e">
        <f>VLOOKUP(H467,'LƯƠNG KT'!$D$15:$R$94,14,0)</f>
        <v>#N/A</v>
      </c>
      <c r="K475" s="1085"/>
      <c r="L475" s="1085"/>
      <c r="M475" s="1085"/>
      <c r="N475" s="1085"/>
      <c r="O475" s="1085"/>
    </row>
    <row r="476" spans="1:15" ht="15" customHeight="1">
      <c r="A476" s="1056" t="s">
        <v>2675</v>
      </c>
      <c r="B476" s="1057" t="s">
        <v>2676</v>
      </c>
      <c r="D476" s="1064" t="e">
        <f>VLOOKUP(B467,'LƯƠNG KT'!$D$15:$R$94,13,0)</f>
        <v>#N/A</v>
      </c>
      <c r="E476" s="1065"/>
      <c r="F476" s="1065"/>
      <c r="G476" s="1056" t="s">
        <v>2675</v>
      </c>
      <c r="H476" s="1057" t="s">
        <v>2676</v>
      </c>
      <c r="J476" s="1064" t="e">
        <f>VLOOKUP(H467,'LƯƠNG KT'!$D$15:$R$94,13,0)</f>
        <v>#N/A</v>
      </c>
    </row>
    <row r="477" spans="1:15" ht="15" customHeight="1">
      <c r="A477" s="1066"/>
      <c r="B477" s="869"/>
      <c r="C477" s="1058"/>
      <c r="D477" s="1059"/>
      <c r="E477" s="1063"/>
      <c r="F477" s="1065"/>
      <c r="G477" s="1066"/>
      <c r="H477" s="869"/>
      <c r="I477" s="1058"/>
      <c r="J477" s="1059"/>
    </row>
    <row r="478" spans="1:15" ht="15" customHeight="1">
      <c r="A478" s="1052"/>
      <c r="B478" s="869"/>
      <c r="C478" s="1058"/>
      <c r="D478" s="1059"/>
      <c r="E478" s="1067"/>
      <c r="F478" s="1051"/>
      <c r="G478" s="1052"/>
      <c r="H478" s="869"/>
      <c r="I478" s="1058"/>
      <c r="J478" s="1059"/>
    </row>
    <row r="479" spans="1:15" ht="15" customHeight="1">
      <c r="A479" s="1068" t="s">
        <v>383</v>
      </c>
      <c r="B479" s="1069" t="s">
        <v>384</v>
      </c>
      <c r="C479" s="1070"/>
      <c r="D479" s="1071" t="e">
        <f>SUM(D468:D475)-D478</f>
        <v>#N/A</v>
      </c>
      <c r="E479" s="1072"/>
      <c r="F479" s="1073"/>
      <c r="G479" s="1068" t="s">
        <v>383</v>
      </c>
      <c r="H479" s="1069" t="s">
        <v>384</v>
      </c>
      <c r="I479" s="1070"/>
      <c r="J479" s="1071" t="e">
        <f>SUM(J468:J475)-J478</f>
        <v>#N/A</v>
      </c>
    </row>
    <row r="480" spans="1:15" ht="12.6" customHeight="1">
      <c r="A480" s="1074"/>
      <c r="B480" s="1075"/>
      <c r="C480" s="1076"/>
      <c r="D480" s="1077"/>
      <c r="E480" s="1077"/>
      <c r="F480" s="1078"/>
      <c r="G480" s="1074"/>
      <c r="H480" s="1075"/>
      <c r="I480" s="1076"/>
      <c r="J480" s="1077"/>
    </row>
    <row r="481" spans="1:15" ht="12.6" customHeight="1">
      <c r="A481" s="1075"/>
      <c r="B481" s="1075"/>
      <c r="C481" s="1079"/>
      <c r="D481" s="1080"/>
      <c r="E481" s="1075"/>
      <c r="F481" s="1081"/>
      <c r="G481" s="1075"/>
      <c r="H481" s="1075"/>
      <c r="I481" s="1079"/>
      <c r="J481" s="1080"/>
    </row>
    <row r="482" spans="1:15" ht="15" customHeight="1">
      <c r="A482" s="2242" t="str">
        <f>$K$2</f>
        <v>THÁNG 04/2025</v>
      </c>
      <c r="B482" s="2242"/>
      <c r="C482" s="2242"/>
      <c r="D482" s="2242"/>
      <c r="E482" s="1050"/>
      <c r="F482" s="1051"/>
      <c r="G482" s="2242" t="str">
        <f>$K$2</f>
        <v>THÁNG 04/2025</v>
      </c>
      <c r="H482" s="2242"/>
      <c r="I482" s="2242"/>
      <c r="J482" s="2242"/>
      <c r="K482" s="624"/>
    </row>
    <row r="483" spans="1:15" ht="15" customHeight="1">
      <c r="A483" s="1052" t="s">
        <v>356</v>
      </c>
      <c r="B483" s="1053" t="s">
        <v>432</v>
      </c>
      <c r="C483" s="869"/>
      <c r="D483" s="1049"/>
      <c r="E483" s="1054"/>
      <c r="F483" s="1055"/>
      <c r="G483" s="1052" t="s">
        <v>356</v>
      </c>
      <c r="H483" s="1053" t="s">
        <v>433</v>
      </c>
      <c r="I483" s="869"/>
      <c r="J483" s="1049"/>
      <c r="L483" s="1088"/>
      <c r="M483" s="1088"/>
      <c r="N483" s="1088"/>
      <c r="O483" s="1088"/>
    </row>
    <row r="484" spans="1:15" ht="15" customHeight="1">
      <c r="A484" s="1056" t="s">
        <v>359</v>
      </c>
      <c r="B484" s="1057" t="s">
        <v>2662</v>
      </c>
      <c r="C484" s="1058" t="e">
        <f>VLOOKUP(B483,'LƯƠNG KT'!$D$15:$R$94,4,0)</f>
        <v>#N/A</v>
      </c>
      <c r="D484" s="1059" t="e">
        <f>+C484*25000</f>
        <v>#N/A</v>
      </c>
      <c r="E484" s="1060"/>
      <c r="F484" s="1060"/>
      <c r="G484" s="1056" t="s">
        <v>359</v>
      </c>
      <c r="H484" s="1057" t="s">
        <v>2662</v>
      </c>
      <c r="I484" s="1058" t="e">
        <f>VLOOKUP(H483,'LƯƠNG KT'!$D$15:$R$94,4,0)</f>
        <v>#N/A</v>
      </c>
      <c r="J484" s="1059" t="e">
        <f>+I484*25000</f>
        <v>#N/A</v>
      </c>
      <c r="K484" s="1085"/>
      <c r="L484" s="1085"/>
      <c r="M484" s="1085"/>
      <c r="N484" s="1085"/>
      <c r="O484" s="1085"/>
    </row>
    <row r="485" spans="1:15" ht="15" customHeight="1">
      <c r="A485" s="1056" t="s">
        <v>361</v>
      </c>
      <c r="B485" s="1057" t="s">
        <v>2663</v>
      </c>
      <c r="C485" s="1058" t="e">
        <f>VLOOKUP(B483,'LƯƠNG KT'!$D$15:$R$94,15,0)</f>
        <v>#N/A</v>
      </c>
      <c r="D485" s="1059" t="e">
        <f>C485*$L$4</f>
        <v>#N/A</v>
      </c>
      <c r="E485" s="1061"/>
      <c r="F485" s="1061"/>
      <c r="G485" s="1056" t="s">
        <v>361</v>
      </c>
      <c r="H485" s="1057" t="s">
        <v>2663</v>
      </c>
      <c r="I485" s="1058" t="e">
        <f>VLOOKUP(H483,'LƯƠNG KT'!$D$15:$R$94,15,0)</f>
        <v>#N/A</v>
      </c>
      <c r="J485" s="1059" t="e">
        <f>I485*$L$4</f>
        <v>#N/A</v>
      </c>
      <c r="K485" s="1085"/>
      <c r="L485" s="1085"/>
      <c r="M485" s="1085"/>
      <c r="N485" s="1085"/>
      <c r="O485" s="1085"/>
    </row>
    <row r="486" spans="1:15" ht="15" customHeight="1">
      <c r="A486" s="1056" t="s">
        <v>364</v>
      </c>
      <c r="B486" s="1057" t="s">
        <v>2664</v>
      </c>
      <c r="C486" s="1058" t="e">
        <f>VLOOKUP(B483,'LƯƠNG KT'!$D$15:$R$94,16,0)</f>
        <v>#N/A</v>
      </c>
      <c r="D486" s="1059" t="e">
        <f>C486*$L$5</f>
        <v>#N/A</v>
      </c>
      <c r="E486" s="1061"/>
      <c r="F486" s="1061"/>
      <c r="G486" s="1056" t="s">
        <v>364</v>
      </c>
      <c r="H486" s="1057" t="s">
        <v>2664</v>
      </c>
      <c r="I486" s="1058" t="e">
        <f>VLOOKUP(H483,'LƯƠNG KT'!$D$15:$R$94,16,0)</f>
        <v>#N/A</v>
      </c>
      <c r="J486" s="1059" t="e">
        <f>I486*$L$5</f>
        <v>#N/A</v>
      </c>
      <c r="K486" s="1085"/>
      <c r="L486" s="1085"/>
      <c r="M486" s="1085"/>
      <c r="N486" s="1085"/>
      <c r="O486" s="1085"/>
    </row>
    <row r="487" spans="1:15" ht="15" customHeight="1">
      <c r="A487" s="1056" t="s">
        <v>370</v>
      </c>
      <c r="B487" s="1057" t="s">
        <v>2665</v>
      </c>
      <c r="C487" s="1058" t="e">
        <f>VLOOKUP(B483,'LƯƠNG KT'!$D$15:$R$94,24,0)</f>
        <v>#N/A</v>
      </c>
      <c r="D487" s="1059" t="e">
        <f>+C487*$L$6</f>
        <v>#N/A</v>
      </c>
      <c r="E487" s="1061"/>
      <c r="F487" s="1061"/>
      <c r="G487" s="1056" t="s">
        <v>370</v>
      </c>
      <c r="H487" s="1057" t="s">
        <v>2665</v>
      </c>
      <c r="I487" s="1058" t="e">
        <f>VLOOKUP(H483,'LƯƠNG KT'!$D$15:$R$94,24,0)</f>
        <v>#N/A</v>
      </c>
      <c r="J487" s="1059" t="e">
        <f>+I487*$L$6</f>
        <v>#N/A</v>
      </c>
      <c r="K487" s="1085"/>
      <c r="L487" s="1085"/>
      <c r="M487" s="1085"/>
      <c r="N487" s="1085"/>
      <c r="O487" s="1085"/>
    </row>
    <row r="488" spans="1:15" ht="15" customHeight="1">
      <c r="A488" s="1056" t="s">
        <v>2666</v>
      </c>
      <c r="B488" s="1057" t="s">
        <v>2667</v>
      </c>
      <c r="C488" s="1058" t="e">
        <f>VLOOKUP(B483,'LƯƠNG KT'!$D$15:$R$94,19,0)</f>
        <v>#N/A</v>
      </c>
      <c r="D488" s="1059" t="e">
        <f>+C488*$L$8</f>
        <v>#N/A</v>
      </c>
      <c r="E488" s="1061"/>
      <c r="F488" s="1061"/>
      <c r="G488" s="1056" t="s">
        <v>2666</v>
      </c>
      <c r="H488" s="1057" t="s">
        <v>2667</v>
      </c>
      <c r="I488" s="1058" t="e">
        <f>VLOOKUP(H483,'LƯƠNG KT'!$D$15:$R$94,19,0)</f>
        <v>#N/A</v>
      </c>
      <c r="J488" s="1059" t="e">
        <f>+I488*$L$8</f>
        <v>#N/A</v>
      </c>
      <c r="K488" s="1085"/>
      <c r="L488" s="1085"/>
      <c r="M488" s="1085"/>
      <c r="N488" s="1085"/>
      <c r="O488" s="1085"/>
    </row>
    <row r="489" spans="1:15" ht="15" customHeight="1">
      <c r="A489" s="1056" t="s">
        <v>2668</v>
      </c>
      <c r="B489" s="1062" t="s">
        <v>2669</v>
      </c>
      <c r="C489" s="1058" t="e">
        <f>VLOOKUP(B483,'LƯƠNG KT'!$D$15:$R$94,20,0)</f>
        <v>#N/A</v>
      </c>
      <c r="D489" s="1059" t="e">
        <f>+C489*$L$9</f>
        <v>#N/A</v>
      </c>
      <c r="E489" s="1061"/>
      <c r="F489" s="1061"/>
      <c r="G489" s="1056" t="s">
        <v>2668</v>
      </c>
      <c r="H489" s="1062" t="s">
        <v>2669</v>
      </c>
      <c r="I489" s="1058" t="e">
        <f>VLOOKUP(H483,'LƯƠNG KT'!$D$15:$R$94,20,0)</f>
        <v>#N/A</v>
      </c>
      <c r="J489" s="1059" t="e">
        <f>+I489*$L$9</f>
        <v>#N/A</v>
      </c>
      <c r="K489" s="1085"/>
      <c r="L489" s="1085"/>
      <c r="M489" s="1085"/>
      <c r="N489" s="1085"/>
      <c r="O489" s="1085"/>
    </row>
    <row r="490" spans="1:15" ht="15" customHeight="1">
      <c r="A490" s="1056" t="s">
        <v>2671</v>
      </c>
      <c r="B490" s="1057" t="s">
        <v>2672</v>
      </c>
      <c r="C490" s="1058" t="e">
        <f>VLOOKUP(B483,'LƯƠNG KT'!$D$15:$R$94,17,0)</f>
        <v>#N/A</v>
      </c>
      <c r="D490" s="1059" t="e">
        <f>+C490*$L$10</f>
        <v>#N/A</v>
      </c>
      <c r="E490" s="1061"/>
      <c r="F490" s="1061"/>
      <c r="G490" s="1056" t="s">
        <v>2671</v>
      </c>
      <c r="H490" s="1057" t="s">
        <v>2672</v>
      </c>
      <c r="I490" s="1058" t="e">
        <f>VLOOKUP(H483,'LƯƠNG KT'!$D$15:$R$94,17,0)</f>
        <v>#N/A</v>
      </c>
      <c r="J490" s="1059" t="e">
        <f>+I490*$L$10</f>
        <v>#N/A</v>
      </c>
      <c r="K490" s="1085"/>
      <c r="L490" s="1085"/>
      <c r="M490" s="1085"/>
      <c r="N490" s="1085"/>
      <c r="O490" s="1085"/>
    </row>
    <row r="491" spans="1:15" ht="15" customHeight="1">
      <c r="A491" s="1056" t="s">
        <v>374</v>
      </c>
      <c r="B491" s="1057" t="s">
        <v>2674</v>
      </c>
      <c r="C491" s="1058" t="e">
        <f>VLOOKUP(B483,'LƯƠNG KT'!$D$15:$R$94,12,0)</f>
        <v>#N/A</v>
      </c>
      <c r="D491" s="1059" t="e">
        <f>VLOOKUP(B483,'LƯƠNG KT'!$D$15:$R$94,14,0)</f>
        <v>#N/A</v>
      </c>
      <c r="E491" s="1063"/>
      <c r="F491" s="1061"/>
      <c r="G491" s="1056" t="s">
        <v>374</v>
      </c>
      <c r="H491" s="1057" t="s">
        <v>2674</v>
      </c>
      <c r="I491" s="1058" t="e">
        <f>VLOOKUP(H483,'LƯƠNG KT'!$D$15:$R$94,12,0)</f>
        <v>#N/A</v>
      </c>
      <c r="J491" s="1059" t="e">
        <f>VLOOKUP(H483,'LƯƠNG KT'!$D$15:$R$94,14,0)</f>
        <v>#N/A</v>
      </c>
      <c r="K491" s="1085"/>
      <c r="L491" s="1085"/>
      <c r="M491" s="1085"/>
      <c r="N491" s="1085"/>
      <c r="O491" s="1085"/>
    </row>
    <row r="492" spans="1:15" ht="15" customHeight="1">
      <c r="A492" s="1056" t="s">
        <v>2675</v>
      </c>
      <c r="B492" s="1057" t="s">
        <v>2676</v>
      </c>
      <c r="D492" s="1064" t="e">
        <f>VLOOKUP(B483,'LƯƠNG KT'!$D$15:$R$94,13,0)</f>
        <v>#N/A</v>
      </c>
      <c r="E492" s="1065"/>
      <c r="F492" s="1065"/>
      <c r="G492" s="1056" t="s">
        <v>2675</v>
      </c>
      <c r="H492" s="1057" t="s">
        <v>2676</v>
      </c>
      <c r="J492" s="1064" t="e">
        <f>VLOOKUP(H483,'LƯƠNG KT'!$D$15:$R$94,13,0)</f>
        <v>#N/A</v>
      </c>
    </row>
    <row r="493" spans="1:15" ht="15" customHeight="1">
      <c r="A493" s="1066"/>
      <c r="B493" s="869"/>
      <c r="C493" s="1058"/>
      <c r="D493" s="1059"/>
      <c r="E493" s="1063"/>
      <c r="F493" s="1065"/>
      <c r="G493" s="1066"/>
      <c r="H493" s="869"/>
      <c r="I493" s="1058"/>
      <c r="J493" s="1059"/>
    </row>
    <row r="494" spans="1:15" ht="15" customHeight="1">
      <c r="A494" s="1052"/>
      <c r="B494" s="869"/>
      <c r="C494" s="1058"/>
      <c r="D494" s="1059"/>
      <c r="E494" s="1067"/>
      <c r="F494" s="1051"/>
      <c r="G494" s="1052"/>
      <c r="H494" s="869"/>
      <c r="I494" s="1058"/>
      <c r="J494" s="1059"/>
    </row>
    <row r="495" spans="1:15" ht="15" customHeight="1">
      <c r="A495" s="1068" t="s">
        <v>383</v>
      </c>
      <c r="B495" s="1069" t="s">
        <v>384</v>
      </c>
      <c r="C495" s="1070"/>
      <c r="D495" s="1071" t="e">
        <f>SUM(D484:D491)-D494</f>
        <v>#N/A</v>
      </c>
      <c r="E495" s="1072"/>
      <c r="F495" s="1073"/>
      <c r="G495" s="1068" t="s">
        <v>383</v>
      </c>
      <c r="H495" s="1069" t="s">
        <v>384</v>
      </c>
      <c r="I495" s="1070"/>
      <c r="J495" s="1071" t="e">
        <f>SUM(J484:J491)-J494</f>
        <v>#N/A</v>
      </c>
    </row>
    <row r="496" spans="1:15" ht="18.75" customHeight="1">
      <c r="A496" s="1074"/>
      <c r="B496" s="1075"/>
      <c r="C496" s="1076"/>
      <c r="D496" s="1077"/>
      <c r="E496" s="1077"/>
      <c r="F496" s="1078"/>
      <c r="G496" s="1074"/>
      <c r="H496" s="1075"/>
      <c r="I496" s="1076"/>
      <c r="J496" s="1077"/>
    </row>
    <row r="497" spans="1:15" ht="18.75" customHeight="1">
      <c r="A497" s="1075"/>
      <c r="B497" s="1075"/>
      <c r="C497" s="1079"/>
      <c r="D497" s="1080"/>
      <c r="E497" s="1075"/>
      <c r="F497" s="1081"/>
      <c r="G497" s="1075"/>
      <c r="H497" s="1075"/>
      <c r="I497" s="1079"/>
      <c r="J497" s="1080"/>
    </row>
    <row r="498" spans="1:15" ht="15" customHeight="1">
      <c r="A498" s="2242" t="str">
        <f>$K$2</f>
        <v>THÁNG 04/2025</v>
      </c>
      <c r="B498" s="2242"/>
      <c r="C498" s="2242"/>
      <c r="D498" s="2242"/>
      <c r="E498" s="1050"/>
      <c r="F498" s="1051"/>
      <c r="G498" s="2242" t="str">
        <f>$K$2</f>
        <v>THÁNG 04/2025</v>
      </c>
      <c r="H498" s="2242"/>
      <c r="I498" s="2242"/>
      <c r="J498" s="2242"/>
      <c r="K498" s="624"/>
    </row>
    <row r="499" spans="1:15" ht="15" customHeight="1">
      <c r="A499" s="1052" t="s">
        <v>356</v>
      </c>
      <c r="B499" s="1053" t="s">
        <v>434</v>
      </c>
      <c r="C499" s="869"/>
      <c r="D499" s="1049"/>
      <c r="E499" s="1054"/>
      <c r="F499" s="1055"/>
      <c r="G499" s="1052" t="s">
        <v>356</v>
      </c>
      <c r="H499" s="1053" t="s">
        <v>435</v>
      </c>
      <c r="I499" s="869"/>
      <c r="J499" s="1049"/>
      <c r="L499" s="1088"/>
      <c r="M499" s="1088"/>
      <c r="N499" s="1088"/>
      <c r="O499" s="1088"/>
    </row>
    <row r="500" spans="1:15" ht="15" customHeight="1">
      <c r="A500" s="1056" t="s">
        <v>359</v>
      </c>
      <c r="B500" s="1057" t="s">
        <v>2662</v>
      </c>
      <c r="C500" s="1058" t="e">
        <f>VLOOKUP(B499,'LƯƠNG KT'!$D$15:$R$94,4,0)</f>
        <v>#N/A</v>
      </c>
      <c r="D500" s="1059" t="e">
        <f>+C500*25000</f>
        <v>#N/A</v>
      </c>
      <c r="E500" s="1060"/>
      <c r="F500" s="1060"/>
      <c r="G500" s="1056" t="s">
        <v>359</v>
      </c>
      <c r="H500" s="1057" t="s">
        <v>2662</v>
      </c>
      <c r="I500" s="1058" t="e">
        <f>VLOOKUP(H499,'LƯƠNG KT'!$D$15:$R$94,4,0)</f>
        <v>#N/A</v>
      </c>
      <c r="J500" s="1059" t="e">
        <f>+I500*25000</f>
        <v>#N/A</v>
      </c>
      <c r="K500" s="1085"/>
      <c r="L500" s="1085"/>
      <c r="M500" s="1085"/>
      <c r="N500" s="1085"/>
      <c r="O500" s="1085"/>
    </row>
    <row r="501" spans="1:15" ht="15" customHeight="1">
      <c r="A501" s="1056" t="s">
        <v>361</v>
      </c>
      <c r="B501" s="1057" t="s">
        <v>2663</v>
      </c>
      <c r="C501" s="1058" t="e">
        <f>VLOOKUP(B499,'LƯƠNG KT'!$D$15:$R$94,15,0)</f>
        <v>#N/A</v>
      </c>
      <c r="D501" s="1059" t="e">
        <f>C501*$L$4</f>
        <v>#N/A</v>
      </c>
      <c r="E501" s="1061"/>
      <c r="F501" s="1061"/>
      <c r="G501" s="1056" t="s">
        <v>361</v>
      </c>
      <c r="H501" s="1057" t="s">
        <v>2663</v>
      </c>
      <c r="I501" s="1058" t="e">
        <f>VLOOKUP(H499,'LƯƠNG KT'!$D$15:$R$94,15,0)</f>
        <v>#N/A</v>
      </c>
      <c r="J501" s="1059" t="e">
        <f>I501*$L$4</f>
        <v>#N/A</v>
      </c>
      <c r="K501" s="1085"/>
      <c r="L501" s="1085"/>
      <c r="M501" s="1085"/>
      <c r="N501" s="1085"/>
      <c r="O501" s="1085"/>
    </row>
    <row r="502" spans="1:15" ht="15" customHeight="1">
      <c r="A502" s="1056" t="s">
        <v>364</v>
      </c>
      <c r="B502" s="1057" t="s">
        <v>2664</v>
      </c>
      <c r="C502" s="1058" t="e">
        <f>VLOOKUP(B499,'LƯƠNG KT'!$D$15:$R$94,16,0)</f>
        <v>#N/A</v>
      </c>
      <c r="D502" s="1059" t="e">
        <f>C502*$L$5</f>
        <v>#N/A</v>
      </c>
      <c r="E502" s="1061"/>
      <c r="F502" s="1061"/>
      <c r="G502" s="1056" t="s">
        <v>364</v>
      </c>
      <c r="H502" s="1057" t="s">
        <v>2664</v>
      </c>
      <c r="I502" s="1058" t="e">
        <f>VLOOKUP(H499,'LƯƠNG KT'!$D$15:$R$94,16,0)</f>
        <v>#N/A</v>
      </c>
      <c r="J502" s="1059" t="e">
        <f>I502*$L$5</f>
        <v>#N/A</v>
      </c>
      <c r="K502" s="1085"/>
      <c r="L502" s="1085"/>
      <c r="M502" s="1085"/>
      <c r="N502" s="1085"/>
      <c r="O502" s="1085"/>
    </row>
    <row r="503" spans="1:15" ht="15" customHeight="1">
      <c r="A503" s="1056" t="s">
        <v>370</v>
      </c>
      <c r="B503" s="1057" t="s">
        <v>2665</v>
      </c>
      <c r="C503" s="1058" t="e">
        <f>VLOOKUP(B499,'LƯƠNG KT'!$D$15:$R$94,24,0)</f>
        <v>#N/A</v>
      </c>
      <c r="D503" s="1059" t="e">
        <f>+C503*$L$6</f>
        <v>#N/A</v>
      </c>
      <c r="E503" s="1061"/>
      <c r="F503" s="1061"/>
      <c r="G503" s="1056" t="s">
        <v>370</v>
      </c>
      <c r="H503" s="1057" t="s">
        <v>2665</v>
      </c>
      <c r="I503" s="1058" t="e">
        <f>VLOOKUP(H499,'LƯƠNG KT'!$D$15:$R$94,24,0)</f>
        <v>#N/A</v>
      </c>
      <c r="J503" s="1059" t="e">
        <f>+I503*$L$6</f>
        <v>#N/A</v>
      </c>
      <c r="K503" s="1085"/>
      <c r="L503" s="1085"/>
      <c r="M503" s="1085"/>
      <c r="N503" s="1085"/>
      <c r="O503" s="1085"/>
    </row>
    <row r="504" spans="1:15" ht="15" customHeight="1">
      <c r="A504" s="1056" t="s">
        <v>2666</v>
      </c>
      <c r="B504" s="1057" t="s">
        <v>2667</v>
      </c>
      <c r="C504" s="1058" t="e">
        <f>VLOOKUP(B499,'LƯƠNG KT'!$D$15:$R$94,19,0)</f>
        <v>#N/A</v>
      </c>
      <c r="D504" s="1059" t="e">
        <f>+C504*$L$8</f>
        <v>#N/A</v>
      </c>
      <c r="E504" s="1061"/>
      <c r="F504" s="1061"/>
      <c r="G504" s="1056" t="s">
        <v>2666</v>
      </c>
      <c r="H504" s="1057" t="s">
        <v>2667</v>
      </c>
      <c r="I504" s="1058" t="e">
        <f>VLOOKUP(H499,'LƯƠNG KT'!$D$15:$R$94,19,0)</f>
        <v>#N/A</v>
      </c>
      <c r="J504" s="1059" t="e">
        <f>+I504*$L$8</f>
        <v>#N/A</v>
      </c>
      <c r="K504" s="1085"/>
      <c r="L504" s="1085"/>
      <c r="M504" s="1085"/>
      <c r="N504" s="1085"/>
      <c r="O504" s="1085"/>
    </row>
    <row r="505" spans="1:15" ht="15" customHeight="1">
      <c r="A505" s="1056" t="s">
        <v>2668</v>
      </c>
      <c r="B505" s="1062" t="s">
        <v>2669</v>
      </c>
      <c r="C505" s="1058" t="e">
        <f>VLOOKUP(B499,'LƯƠNG KT'!$D$15:$R$94,20,0)</f>
        <v>#N/A</v>
      </c>
      <c r="D505" s="1059" t="e">
        <f>+C505*$L$9</f>
        <v>#N/A</v>
      </c>
      <c r="E505" s="1061"/>
      <c r="F505" s="1061"/>
      <c r="G505" s="1056" t="s">
        <v>2668</v>
      </c>
      <c r="H505" s="1062" t="s">
        <v>2669</v>
      </c>
      <c r="I505" s="1058" t="e">
        <f>VLOOKUP(H499,'LƯƠNG KT'!$D$15:$R$94,20,0)</f>
        <v>#N/A</v>
      </c>
      <c r="J505" s="1059" t="e">
        <f>+I505*$L$9</f>
        <v>#N/A</v>
      </c>
      <c r="K505" s="1085"/>
      <c r="L505" s="1085"/>
      <c r="M505" s="1085"/>
      <c r="N505" s="1085"/>
      <c r="O505" s="1085"/>
    </row>
    <row r="506" spans="1:15" ht="15" customHeight="1">
      <c r="A506" s="1056" t="s">
        <v>2671</v>
      </c>
      <c r="B506" s="1057" t="s">
        <v>2672</v>
      </c>
      <c r="C506" s="1058" t="e">
        <f>VLOOKUP(B499,'LƯƠNG KT'!$D$15:$R$94,17,0)</f>
        <v>#N/A</v>
      </c>
      <c r="D506" s="1059" t="e">
        <f>+C506*$L$10</f>
        <v>#N/A</v>
      </c>
      <c r="E506" s="1061"/>
      <c r="F506" s="1061"/>
      <c r="G506" s="1056" t="s">
        <v>2671</v>
      </c>
      <c r="H506" s="1057" t="s">
        <v>2672</v>
      </c>
      <c r="I506" s="1058" t="e">
        <f>VLOOKUP(H499,'LƯƠNG KT'!$D$15:$R$94,17,0)</f>
        <v>#N/A</v>
      </c>
      <c r="J506" s="1059" t="e">
        <f>+I506*$L$10</f>
        <v>#N/A</v>
      </c>
      <c r="K506" s="1085"/>
      <c r="L506" s="1085"/>
      <c r="M506" s="1085"/>
      <c r="N506" s="1085"/>
      <c r="O506" s="1085"/>
    </row>
    <row r="507" spans="1:15" ht="15" customHeight="1">
      <c r="A507" s="1056" t="s">
        <v>374</v>
      </c>
      <c r="B507" s="1057" t="s">
        <v>2674</v>
      </c>
      <c r="C507" s="1058" t="e">
        <f>VLOOKUP(B499,'LƯƠNG KT'!$D$15:$R$94,12,0)</f>
        <v>#N/A</v>
      </c>
      <c r="D507" s="1059" t="e">
        <f>VLOOKUP(B499,'LƯƠNG KT'!$D$15:$R$94,14,0)</f>
        <v>#N/A</v>
      </c>
      <c r="E507" s="1063"/>
      <c r="F507" s="1061"/>
      <c r="G507" s="1056" t="s">
        <v>374</v>
      </c>
      <c r="H507" s="1057" t="s">
        <v>2674</v>
      </c>
      <c r="I507" s="1058" t="e">
        <f>VLOOKUP(H499,'LƯƠNG KT'!$D$15:$R$94,12,0)</f>
        <v>#N/A</v>
      </c>
      <c r="J507" s="1059" t="e">
        <f>VLOOKUP(H499,'LƯƠNG KT'!$D$15:$R$94,14,0)</f>
        <v>#N/A</v>
      </c>
      <c r="K507" s="1085"/>
      <c r="L507" s="1085"/>
      <c r="M507" s="1085"/>
      <c r="N507" s="1085"/>
      <c r="O507" s="1085"/>
    </row>
    <row r="508" spans="1:15" ht="15" customHeight="1">
      <c r="A508" s="1056" t="s">
        <v>2675</v>
      </c>
      <c r="B508" s="1057" t="s">
        <v>2676</v>
      </c>
      <c r="D508" s="1064" t="e">
        <f>VLOOKUP(B499,'LƯƠNG KT'!$D$15:$R$94,13,0)</f>
        <v>#N/A</v>
      </c>
      <c r="E508" s="1065"/>
      <c r="F508" s="1065"/>
      <c r="G508" s="1056" t="s">
        <v>2675</v>
      </c>
      <c r="H508" s="1057" t="s">
        <v>2676</v>
      </c>
      <c r="J508" s="1064" t="e">
        <f>VLOOKUP(H499,'LƯƠNG KT'!$D$15:$R$94,13,0)</f>
        <v>#N/A</v>
      </c>
    </row>
    <row r="509" spans="1:15" ht="15" customHeight="1">
      <c r="A509" s="1066"/>
      <c r="B509" s="869"/>
      <c r="C509" s="1058"/>
      <c r="D509" s="1059"/>
      <c r="E509" s="1063"/>
      <c r="F509" s="1065"/>
      <c r="G509" s="1066"/>
      <c r="H509" s="869"/>
      <c r="I509" s="1058"/>
      <c r="J509" s="1059"/>
    </row>
    <row r="510" spans="1:15" ht="15" customHeight="1">
      <c r="A510" s="1052"/>
      <c r="B510" s="869"/>
      <c r="C510" s="1058"/>
      <c r="D510" s="1059"/>
      <c r="E510" s="1067"/>
      <c r="F510" s="1051"/>
      <c r="G510" s="1052"/>
      <c r="H510" s="869"/>
      <c r="I510" s="1058"/>
      <c r="J510" s="1059"/>
    </row>
    <row r="511" spans="1:15" ht="15" customHeight="1">
      <c r="A511" s="1068" t="s">
        <v>383</v>
      </c>
      <c r="B511" s="1069" t="s">
        <v>384</v>
      </c>
      <c r="C511" s="1070"/>
      <c r="D511" s="1071" t="e">
        <f>SUM(D500:D507)-D510</f>
        <v>#N/A</v>
      </c>
      <c r="E511" s="1072"/>
      <c r="F511" s="1073"/>
      <c r="G511" s="1068" t="s">
        <v>383</v>
      </c>
      <c r="H511" s="1069" t="s">
        <v>384</v>
      </c>
      <c r="I511" s="1070"/>
      <c r="J511" s="1071" t="e">
        <f>SUM(J500:J507)-J510</f>
        <v>#N/A</v>
      </c>
    </row>
    <row r="512" spans="1:15" ht="18.75" customHeight="1">
      <c r="A512" s="1074"/>
      <c r="B512" s="1075"/>
      <c r="C512" s="1076"/>
      <c r="D512" s="1077"/>
      <c r="E512" s="1077"/>
      <c r="F512" s="1078"/>
      <c r="G512" s="1074"/>
      <c r="H512" s="1075"/>
      <c r="I512" s="1076"/>
      <c r="J512" s="1077"/>
    </row>
    <row r="513" spans="1:15" ht="18.75" customHeight="1">
      <c r="A513" s="1075"/>
      <c r="B513" s="1075"/>
      <c r="C513" s="1079"/>
      <c r="D513" s="1080"/>
      <c r="E513" s="1075"/>
      <c r="F513" s="1081"/>
      <c r="G513" s="1075"/>
      <c r="H513" s="1075"/>
      <c r="I513" s="1079"/>
      <c r="J513" s="1080"/>
    </row>
    <row r="514" spans="1:15" ht="15" customHeight="1">
      <c r="A514" s="2242" t="str">
        <f>$K$2</f>
        <v>THÁNG 04/2025</v>
      </c>
      <c r="B514" s="2242"/>
      <c r="C514" s="2242"/>
      <c r="D514" s="2242"/>
      <c r="E514" s="1050"/>
      <c r="F514" s="1051"/>
      <c r="G514" s="2242" t="str">
        <f>$K$2</f>
        <v>THÁNG 04/2025</v>
      </c>
      <c r="H514" s="2242"/>
      <c r="I514" s="2242"/>
      <c r="J514" s="2242"/>
      <c r="K514" s="624"/>
    </row>
    <row r="515" spans="1:15" ht="15" customHeight="1">
      <c r="A515" s="1052" t="s">
        <v>356</v>
      </c>
      <c r="B515" s="1053" t="s">
        <v>436</v>
      </c>
      <c r="C515" s="869"/>
      <c r="D515" s="1049"/>
      <c r="E515" s="1054"/>
      <c r="F515" s="1055"/>
      <c r="G515" s="1052" t="s">
        <v>356</v>
      </c>
      <c r="H515" s="1053" t="s">
        <v>437</v>
      </c>
      <c r="I515" s="869"/>
      <c r="J515" s="1049"/>
      <c r="L515" s="1088"/>
      <c r="M515" s="1088"/>
      <c r="N515" s="1088"/>
      <c r="O515" s="1088"/>
    </row>
    <row r="516" spans="1:15" ht="15" customHeight="1">
      <c r="A516" s="1056" t="s">
        <v>359</v>
      </c>
      <c r="B516" s="1057" t="s">
        <v>2662</v>
      </c>
      <c r="C516" s="1058" t="e">
        <f>VLOOKUP(B515,'LƯƠNG KT'!$D$15:$R$94,4,0)</f>
        <v>#N/A</v>
      </c>
      <c r="D516" s="1059" t="e">
        <f>+C516*25000</f>
        <v>#N/A</v>
      </c>
      <c r="E516" s="1060"/>
      <c r="F516" s="1060"/>
      <c r="G516" s="1056" t="s">
        <v>359</v>
      </c>
      <c r="H516" s="1057" t="s">
        <v>2662</v>
      </c>
      <c r="I516" s="1058" t="e">
        <f>VLOOKUP(H515,'LƯƠNG KT'!$D$15:$R$94,4,0)</f>
        <v>#N/A</v>
      </c>
      <c r="J516" s="1059" t="e">
        <f>+I516*25000</f>
        <v>#N/A</v>
      </c>
      <c r="K516" s="1085"/>
      <c r="L516" s="1085"/>
      <c r="M516" s="1085"/>
      <c r="N516" s="1085"/>
      <c r="O516" s="1085"/>
    </row>
    <row r="517" spans="1:15" ht="15" customHeight="1">
      <c r="A517" s="1056" t="s">
        <v>361</v>
      </c>
      <c r="B517" s="1057" t="s">
        <v>2663</v>
      </c>
      <c r="C517" s="1058" t="e">
        <f>VLOOKUP(B515,'LƯƠNG KT'!$D$15:$R$94,15,0)</f>
        <v>#N/A</v>
      </c>
      <c r="D517" s="1059" t="e">
        <f>C517*$L$4</f>
        <v>#N/A</v>
      </c>
      <c r="E517" s="1061"/>
      <c r="F517" s="1061"/>
      <c r="G517" s="1056" t="s">
        <v>361</v>
      </c>
      <c r="H517" s="1057" t="s">
        <v>2663</v>
      </c>
      <c r="I517" s="1058" t="e">
        <f>VLOOKUP(H515,'LƯƠNG KT'!$D$15:$R$94,15,0)</f>
        <v>#N/A</v>
      </c>
      <c r="J517" s="1059" t="e">
        <f>I517*$L$4</f>
        <v>#N/A</v>
      </c>
      <c r="K517" s="1085"/>
      <c r="L517" s="1085"/>
      <c r="M517" s="1085"/>
      <c r="N517" s="1085"/>
      <c r="O517" s="1085"/>
    </row>
    <row r="518" spans="1:15" ht="15" customHeight="1">
      <c r="A518" s="1056" t="s">
        <v>364</v>
      </c>
      <c r="B518" s="1057" t="s">
        <v>2664</v>
      </c>
      <c r="C518" s="1058" t="e">
        <f>VLOOKUP(B515,'LƯƠNG KT'!$D$15:$R$94,16,0)</f>
        <v>#N/A</v>
      </c>
      <c r="D518" s="1059" t="e">
        <f>C518*$L$5</f>
        <v>#N/A</v>
      </c>
      <c r="E518" s="1061"/>
      <c r="F518" s="1061"/>
      <c r="G518" s="1056" t="s">
        <v>364</v>
      </c>
      <c r="H518" s="1057" t="s">
        <v>2664</v>
      </c>
      <c r="I518" s="1058" t="e">
        <f>VLOOKUP(H515,'LƯƠNG KT'!$D$15:$R$94,16,0)</f>
        <v>#N/A</v>
      </c>
      <c r="J518" s="1059" t="e">
        <f>I518*$L$5</f>
        <v>#N/A</v>
      </c>
      <c r="K518" s="1085"/>
      <c r="L518" s="1085"/>
      <c r="M518" s="1085"/>
      <c r="N518" s="1085"/>
      <c r="O518" s="1085"/>
    </row>
    <row r="519" spans="1:15" ht="15" customHeight="1">
      <c r="A519" s="1056" t="s">
        <v>370</v>
      </c>
      <c r="B519" s="1057" t="s">
        <v>2665</v>
      </c>
      <c r="C519" s="1058" t="e">
        <f>VLOOKUP(B515,'LƯƠNG KT'!$D$15:$R$94,24,0)</f>
        <v>#N/A</v>
      </c>
      <c r="D519" s="1059" t="e">
        <f>+C519*$L$6</f>
        <v>#N/A</v>
      </c>
      <c r="E519" s="1061"/>
      <c r="F519" s="1061"/>
      <c r="G519" s="1056" t="s">
        <v>370</v>
      </c>
      <c r="H519" s="1057" t="s">
        <v>2665</v>
      </c>
      <c r="I519" s="1058" t="e">
        <f>VLOOKUP(H515,'LƯƠNG KT'!$D$15:$R$94,24,0)</f>
        <v>#N/A</v>
      </c>
      <c r="J519" s="1059" t="e">
        <f>+I519*$L$6</f>
        <v>#N/A</v>
      </c>
      <c r="K519" s="1085"/>
      <c r="L519" s="1085"/>
      <c r="M519" s="1085"/>
      <c r="N519" s="1085"/>
      <c r="O519" s="1085"/>
    </row>
    <row r="520" spans="1:15" ht="15" customHeight="1">
      <c r="A520" s="1056" t="s">
        <v>2666</v>
      </c>
      <c r="B520" s="1057" t="s">
        <v>2667</v>
      </c>
      <c r="C520" s="1058" t="e">
        <f>VLOOKUP(B515,'LƯƠNG KT'!$D$15:$R$94,19,0)</f>
        <v>#N/A</v>
      </c>
      <c r="D520" s="1059" t="e">
        <f>+C520*$L$8</f>
        <v>#N/A</v>
      </c>
      <c r="E520" s="1061"/>
      <c r="F520" s="1061"/>
      <c r="G520" s="1056" t="s">
        <v>2666</v>
      </c>
      <c r="H520" s="1057" t="s">
        <v>2667</v>
      </c>
      <c r="I520" s="1058" t="e">
        <f>VLOOKUP(H515,'LƯƠNG KT'!$D$15:$R$94,19,0)</f>
        <v>#N/A</v>
      </c>
      <c r="J520" s="1059" t="e">
        <f>+I520*$L$8</f>
        <v>#N/A</v>
      </c>
      <c r="K520" s="1085"/>
      <c r="L520" s="1085"/>
      <c r="M520" s="1085"/>
      <c r="N520" s="1085"/>
      <c r="O520" s="1085"/>
    </row>
    <row r="521" spans="1:15" ht="15" customHeight="1">
      <c r="A521" s="1056" t="s">
        <v>2668</v>
      </c>
      <c r="B521" s="1062" t="s">
        <v>2669</v>
      </c>
      <c r="C521" s="1058" t="e">
        <f>VLOOKUP(B515,'LƯƠNG KT'!$D$15:$R$94,20,0)</f>
        <v>#N/A</v>
      </c>
      <c r="D521" s="1059" t="e">
        <f>+C521*$L$9</f>
        <v>#N/A</v>
      </c>
      <c r="E521" s="1061"/>
      <c r="F521" s="1061"/>
      <c r="G521" s="1056" t="s">
        <v>2668</v>
      </c>
      <c r="H521" s="1062" t="s">
        <v>2669</v>
      </c>
      <c r="I521" s="1058" t="e">
        <f>VLOOKUP(H515,'LƯƠNG KT'!$D$15:$R$94,20,0)</f>
        <v>#N/A</v>
      </c>
      <c r="J521" s="1059" t="e">
        <f>+I521*$L$9</f>
        <v>#N/A</v>
      </c>
      <c r="K521" s="1085"/>
      <c r="L521" s="1085"/>
      <c r="M521" s="1085"/>
      <c r="N521" s="1085"/>
      <c r="O521" s="1085"/>
    </row>
    <row r="522" spans="1:15" ht="15" customHeight="1">
      <c r="A522" s="1056" t="s">
        <v>2671</v>
      </c>
      <c r="B522" s="1057" t="s">
        <v>2672</v>
      </c>
      <c r="C522" s="1058" t="e">
        <f>VLOOKUP(B515,'LƯƠNG KT'!$D$15:$R$94,17,0)</f>
        <v>#N/A</v>
      </c>
      <c r="D522" s="1059" t="e">
        <f>+C522*$L$10</f>
        <v>#N/A</v>
      </c>
      <c r="E522" s="1061"/>
      <c r="F522" s="1061"/>
      <c r="G522" s="1056" t="s">
        <v>2671</v>
      </c>
      <c r="H522" s="1057" t="s">
        <v>2672</v>
      </c>
      <c r="I522" s="1058" t="e">
        <f>VLOOKUP(H515,'LƯƠNG KT'!$D$15:$R$94,17,0)</f>
        <v>#N/A</v>
      </c>
      <c r="J522" s="1059" t="e">
        <f>+I522*$L$10</f>
        <v>#N/A</v>
      </c>
      <c r="K522" s="1085"/>
      <c r="L522" s="1085"/>
      <c r="M522" s="1085"/>
      <c r="N522" s="1085"/>
      <c r="O522" s="1085"/>
    </row>
    <row r="523" spans="1:15" ht="15" customHeight="1">
      <c r="A523" s="1056" t="s">
        <v>374</v>
      </c>
      <c r="B523" s="1057" t="s">
        <v>2674</v>
      </c>
      <c r="C523" s="1058" t="e">
        <f>VLOOKUP(B515,'LƯƠNG KT'!$D$15:$R$94,12,0)</f>
        <v>#N/A</v>
      </c>
      <c r="D523" s="1059" t="e">
        <f>VLOOKUP(B515,'LƯƠNG KT'!$D$15:$R$94,14,0)</f>
        <v>#N/A</v>
      </c>
      <c r="E523" s="1063"/>
      <c r="F523" s="1061"/>
      <c r="G523" s="1056" t="s">
        <v>374</v>
      </c>
      <c r="H523" s="1057" t="s">
        <v>2674</v>
      </c>
      <c r="I523" s="1058" t="e">
        <f>VLOOKUP(H515,'LƯƠNG KT'!$D$15:$R$94,12,0)</f>
        <v>#N/A</v>
      </c>
      <c r="J523" s="1059" t="e">
        <f>VLOOKUP(H515,'LƯƠNG KT'!$D$15:$R$94,14,0)</f>
        <v>#N/A</v>
      </c>
      <c r="K523" s="1085"/>
      <c r="L523" s="1085"/>
      <c r="M523" s="1085"/>
      <c r="N523" s="1085"/>
      <c r="O523" s="1085"/>
    </row>
    <row r="524" spans="1:15" ht="15" customHeight="1">
      <c r="A524" s="1056" t="s">
        <v>2675</v>
      </c>
      <c r="B524" s="1057" t="s">
        <v>2676</v>
      </c>
      <c r="D524" s="1064" t="e">
        <f>VLOOKUP(B515,'LƯƠNG KT'!$D$15:$R$94,13,0)</f>
        <v>#N/A</v>
      </c>
      <c r="E524" s="1065"/>
      <c r="F524" s="1065"/>
      <c r="G524" s="1056" t="s">
        <v>2675</v>
      </c>
      <c r="H524" s="1057" t="s">
        <v>2676</v>
      </c>
      <c r="J524" s="1064" t="e">
        <f>VLOOKUP(H515,'LƯƠNG KT'!$D$15:$R$94,13,0)</f>
        <v>#N/A</v>
      </c>
    </row>
    <row r="525" spans="1:15" ht="15" customHeight="1">
      <c r="A525" s="1066"/>
      <c r="B525" s="869"/>
      <c r="C525" s="1058"/>
      <c r="D525" s="1059"/>
      <c r="E525" s="1063"/>
      <c r="F525" s="1065"/>
      <c r="G525" s="1066"/>
      <c r="H525" s="869"/>
      <c r="I525" s="1058"/>
      <c r="J525" s="1059"/>
    </row>
    <row r="526" spans="1:15" ht="15" customHeight="1">
      <c r="A526" s="1052"/>
      <c r="B526" s="869"/>
      <c r="C526" s="1058"/>
      <c r="D526" s="1059"/>
      <c r="E526" s="1067"/>
      <c r="F526" s="1051"/>
      <c r="G526" s="1052"/>
      <c r="H526" s="869"/>
      <c r="I526" s="1058"/>
      <c r="J526" s="1059"/>
    </row>
    <row r="527" spans="1:15" ht="15" customHeight="1">
      <c r="A527" s="1068" t="s">
        <v>383</v>
      </c>
      <c r="B527" s="1069" t="s">
        <v>384</v>
      </c>
      <c r="C527" s="1070"/>
      <c r="D527" s="1071" t="e">
        <f>SUM(D516:D523)-D526</f>
        <v>#N/A</v>
      </c>
      <c r="E527" s="1072"/>
      <c r="F527" s="1073"/>
      <c r="G527" s="1068" t="s">
        <v>383</v>
      </c>
      <c r="H527" s="1069" t="s">
        <v>384</v>
      </c>
      <c r="I527" s="1070"/>
      <c r="J527" s="1071" t="e">
        <f>SUM(J516:J523)-J526</f>
        <v>#N/A</v>
      </c>
    </row>
    <row r="528" spans="1:15" ht="15.75" customHeight="1">
      <c r="A528" s="1074"/>
      <c r="B528" s="1075"/>
      <c r="C528" s="1076"/>
      <c r="D528" s="1077"/>
      <c r="E528" s="1077"/>
      <c r="F528" s="1078"/>
      <c r="G528" s="1074"/>
      <c r="H528" s="1075"/>
      <c r="I528" s="1076"/>
      <c r="J528" s="1077"/>
    </row>
    <row r="530" spans="1:15" ht="114" customHeight="1">
      <c r="A530" s="2243"/>
      <c r="B530" s="2243"/>
      <c r="C530" s="2243"/>
      <c r="D530" s="2243"/>
      <c r="E530" s="2243"/>
      <c r="F530" s="2243"/>
      <c r="G530" s="2243"/>
      <c r="H530" s="2243"/>
      <c r="I530" s="2243"/>
      <c r="J530" s="2243"/>
    </row>
    <row r="531" spans="1:15" ht="15" customHeight="1">
      <c r="A531" s="2242" t="str">
        <f>$K$2</f>
        <v>THÁNG 04/2025</v>
      </c>
      <c r="B531" s="2242"/>
      <c r="C531" s="2242"/>
      <c r="D531" s="2242"/>
      <c r="E531" s="1050"/>
      <c r="F531" s="1051"/>
      <c r="G531" s="2242" t="str">
        <f>$K$2</f>
        <v>THÁNG 04/2025</v>
      </c>
      <c r="H531" s="2242"/>
      <c r="I531" s="2242"/>
      <c r="J531" s="2242"/>
      <c r="K531" s="624"/>
    </row>
    <row r="532" spans="1:15" ht="15" customHeight="1">
      <c r="A532" s="1052" t="s">
        <v>356</v>
      </c>
      <c r="B532" s="1053" t="s">
        <v>2382</v>
      </c>
      <c r="C532" s="869"/>
      <c r="D532" s="1049"/>
      <c r="E532" s="1054"/>
      <c r="F532" s="1055"/>
      <c r="G532" s="1052" t="s">
        <v>356</v>
      </c>
      <c r="H532" s="1053" t="s">
        <v>439</v>
      </c>
      <c r="I532" s="869"/>
      <c r="J532" s="1049"/>
      <c r="L532" s="1088"/>
      <c r="M532" s="1088"/>
      <c r="N532" s="1088"/>
      <c r="O532" s="1088"/>
    </row>
    <row r="533" spans="1:15" ht="15" customHeight="1">
      <c r="A533" s="1056" t="s">
        <v>359</v>
      </c>
      <c r="B533" s="1057" t="s">
        <v>2662</v>
      </c>
      <c r="C533" s="1058" t="e">
        <f>VLOOKUP(B532,'LƯƠNG KT'!$D$15:$R$94,4,0)</f>
        <v>#N/A</v>
      </c>
      <c r="D533" s="1059" t="e">
        <f>+C533*25000</f>
        <v>#N/A</v>
      </c>
      <c r="E533" s="1060"/>
      <c r="F533" s="1060"/>
      <c r="G533" s="1056" t="s">
        <v>359</v>
      </c>
      <c r="H533" s="1057" t="s">
        <v>2662</v>
      </c>
      <c r="I533" s="1058" t="e">
        <f>VLOOKUP(H532,'LƯƠNG KT'!$D$15:$R$94,4,0)</f>
        <v>#N/A</v>
      </c>
      <c r="J533" s="1059" t="e">
        <f>+I533*25000</f>
        <v>#N/A</v>
      </c>
      <c r="K533" s="1084"/>
      <c r="L533" s="1085"/>
      <c r="M533" s="1085"/>
      <c r="N533" s="1085"/>
      <c r="O533" s="1085"/>
    </row>
    <row r="534" spans="1:15" ht="15" customHeight="1">
      <c r="A534" s="1056" t="s">
        <v>361</v>
      </c>
      <c r="B534" s="1057" t="s">
        <v>2663</v>
      </c>
      <c r="C534" s="1058" t="e">
        <f>VLOOKUP(B532,'LƯƠNG KT'!$D$15:$R$94,15,0)</f>
        <v>#N/A</v>
      </c>
      <c r="D534" s="1059" t="e">
        <f>C534*$L$4</f>
        <v>#N/A</v>
      </c>
      <c r="E534" s="1061"/>
      <c r="F534" s="1061"/>
      <c r="G534" s="1056" t="s">
        <v>361</v>
      </c>
      <c r="H534" s="1057" t="s">
        <v>2663</v>
      </c>
      <c r="I534" s="1058" t="e">
        <f>VLOOKUP(H532,'LƯƠNG KT'!$D$15:$R$94,15,0)</f>
        <v>#N/A</v>
      </c>
      <c r="J534" s="1059" t="e">
        <f>I534*$L$4</f>
        <v>#N/A</v>
      </c>
      <c r="K534" s="1084"/>
      <c r="L534" s="1085"/>
      <c r="M534" s="1085"/>
      <c r="N534" s="1085"/>
      <c r="O534" s="1085"/>
    </row>
    <row r="535" spans="1:15" ht="15" customHeight="1">
      <c r="A535" s="1056" t="s">
        <v>364</v>
      </c>
      <c r="B535" s="1057" t="s">
        <v>2664</v>
      </c>
      <c r="C535" s="1058" t="e">
        <f>VLOOKUP(B532,'LƯƠNG KT'!$D$15:$R$94,16,0)</f>
        <v>#N/A</v>
      </c>
      <c r="D535" s="1059" t="e">
        <f>C535*$L$5</f>
        <v>#N/A</v>
      </c>
      <c r="E535" s="1061"/>
      <c r="F535" s="1061"/>
      <c r="G535" s="1056" t="s">
        <v>364</v>
      </c>
      <c r="H535" s="1057" t="s">
        <v>2664</v>
      </c>
      <c r="I535" s="1058" t="e">
        <f>VLOOKUP(H532,'LƯƠNG KT'!$D$15:$R$94,16,0)</f>
        <v>#N/A</v>
      </c>
      <c r="J535" s="1059" t="e">
        <f>I535*$L$5</f>
        <v>#N/A</v>
      </c>
      <c r="K535" s="1084"/>
      <c r="L535" s="1085"/>
      <c r="M535" s="1085"/>
      <c r="N535" s="1085"/>
      <c r="O535" s="1085"/>
    </row>
    <row r="536" spans="1:15" ht="15" customHeight="1">
      <c r="A536" s="1056" t="s">
        <v>370</v>
      </c>
      <c r="B536" s="1057" t="s">
        <v>2665</v>
      </c>
      <c r="C536" s="1058" t="e">
        <f>VLOOKUP(B532,'LƯƠNG KT'!$D$15:$R$94,24,0)</f>
        <v>#N/A</v>
      </c>
      <c r="D536" s="1059" t="e">
        <f>+C536*$L$6</f>
        <v>#N/A</v>
      </c>
      <c r="E536" s="1061"/>
      <c r="F536" s="1061"/>
      <c r="G536" s="1056" t="s">
        <v>370</v>
      </c>
      <c r="H536" s="1057" t="s">
        <v>2665</v>
      </c>
      <c r="I536" s="1058" t="e">
        <f>VLOOKUP(H532,'LƯƠNG KT'!$D$15:$R$94,24,0)</f>
        <v>#N/A</v>
      </c>
      <c r="J536" s="1059" t="e">
        <f>+I536*$L$6</f>
        <v>#N/A</v>
      </c>
      <c r="K536" s="1085"/>
      <c r="L536" s="1085"/>
      <c r="M536" s="1085"/>
      <c r="N536" s="1085"/>
      <c r="O536" s="1085"/>
    </row>
    <row r="537" spans="1:15" ht="15" customHeight="1">
      <c r="A537" s="1056" t="s">
        <v>2666</v>
      </c>
      <c r="B537" s="1057" t="s">
        <v>2667</v>
      </c>
      <c r="C537" s="1058" t="e">
        <f>VLOOKUP(B532,'LƯƠNG KT'!$D$15:$R$94,19,0)</f>
        <v>#N/A</v>
      </c>
      <c r="D537" s="1059" t="e">
        <f>+C537*$L$8</f>
        <v>#N/A</v>
      </c>
      <c r="E537" s="1061"/>
      <c r="F537" s="1061"/>
      <c r="G537" s="1056" t="s">
        <v>2666</v>
      </c>
      <c r="H537" s="1057" t="s">
        <v>2667</v>
      </c>
      <c r="I537" s="1058" t="e">
        <f>VLOOKUP(H532,'LƯƠNG KT'!$D$15:$R$94,19,0)</f>
        <v>#N/A</v>
      </c>
      <c r="J537" s="1059" t="e">
        <f>+I537*$L$8</f>
        <v>#N/A</v>
      </c>
      <c r="K537" s="1085"/>
      <c r="L537" s="1085"/>
      <c r="M537" s="1085"/>
      <c r="N537" s="1085"/>
      <c r="O537" s="1085"/>
    </row>
    <row r="538" spans="1:15" ht="15" customHeight="1">
      <c r="A538" s="1056" t="s">
        <v>2668</v>
      </c>
      <c r="B538" s="1062" t="s">
        <v>2669</v>
      </c>
      <c r="C538" s="1058" t="e">
        <f>VLOOKUP(B532,'LƯƠNG KT'!$D$15:$R$94,20,0)</f>
        <v>#N/A</v>
      </c>
      <c r="D538" s="1059" t="e">
        <f>+C538*$L$9</f>
        <v>#N/A</v>
      </c>
      <c r="E538" s="1061"/>
      <c r="F538" s="1061"/>
      <c r="G538" s="1056" t="s">
        <v>2668</v>
      </c>
      <c r="H538" s="1062" t="s">
        <v>2669</v>
      </c>
      <c r="I538" s="1058" t="e">
        <f>VLOOKUP(H532,'LƯƠNG KT'!$D$15:$R$94,20,0)</f>
        <v>#N/A</v>
      </c>
      <c r="J538" s="1059" t="e">
        <f>+I538*$L$9</f>
        <v>#N/A</v>
      </c>
      <c r="K538" s="1085"/>
      <c r="L538" s="1085"/>
      <c r="M538" s="1085"/>
      <c r="N538" s="1085"/>
      <c r="O538" s="1085"/>
    </row>
    <row r="539" spans="1:15" ht="15" customHeight="1">
      <c r="A539" s="1056" t="s">
        <v>2671</v>
      </c>
      <c r="B539" s="1057" t="s">
        <v>2672</v>
      </c>
      <c r="C539" s="1058" t="e">
        <f>VLOOKUP(B532,'LƯƠNG KT'!$D$15:$R$94,17,0)</f>
        <v>#N/A</v>
      </c>
      <c r="D539" s="1059" t="e">
        <f>+C539*$L$10</f>
        <v>#N/A</v>
      </c>
      <c r="E539" s="1061"/>
      <c r="F539" s="1061"/>
      <c r="G539" s="1056" t="s">
        <v>2671</v>
      </c>
      <c r="H539" s="1057" t="s">
        <v>2672</v>
      </c>
      <c r="I539" s="1058" t="e">
        <f>VLOOKUP(H532,'LƯƠNG KT'!$D$15:$R$94,17,0)</f>
        <v>#N/A</v>
      </c>
      <c r="J539" s="1059" t="e">
        <f>+I539*$L$10</f>
        <v>#N/A</v>
      </c>
      <c r="K539" s="1085"/>
      <c r="L539" s="1085"/>
      <c r="M539" s="1085"/>
      <c r="N539" s="1085"/>
      <c r="O539" s="1085"/>
    </row>
    <row r="540" spans="1:15" ht="15" customHeight="1">
      <c r="A540" s="1056" t="s">
        <v>374</v>
      </c>
      <c r="B540" s="1057" t="s">
        <v>2674</v>
      </c>
      <c r="C540" s="1058" t="e">
        <f>VLOOKUP(B532,'LƯƠNG KT'!$D$15:$R$94,12,0)</f>
        <v>#N/A</v>
      </c>
      <c r="D540" s="1059" t="e">
        <f>VLOOKUP(B532,'LƯƠNG KT'!$D$15:$R$94,14,0)</f>
        <v>#N/A</v>
      </c>
      <c r="E540" s="1063"/>
      <c r="F540" s="1061"/>
      <c r="G540" s="1056" t="s">
        <v>374</v>
      </c>
      <c r="H540" s="1057" t="s">
        <v>2674</v>
      </c>
      <c r="I540" s="1058" t="e">
        <f>VLOOKUP(H532,'LƯƠNG KT'!$D$15:$R$94,12,0)</f>
        <v>#N/A</v>
      </c>
      <c r="J540" s="1059" t="e">
        <f>VLOOKUP(H532,'LƯƠNG KT'!$D$15:$R$94,14,0)</f>
        <v>#N/A</v>
      </c>
      <c r="K540" s="1085"/>
      <c r="L540" s="1085"/>
      <c r="M540" s="1085"/>
      <c r="N540" s="1085"/>
      <c r="O540" s="1085"/>
    </row>
    <row r="541" spans="1:15" ht="15" customHeight="1">
      <c r="A541" s="1056" t="s">
        <v>2675</v>
      </c>
      <c r="B541" s="1057" t="s">
        <v>2676</v>
      </c>
      <c r="D541" s="1064" t="e">
        <f>VLOOKUP(B532,'LƯƠNG KT'!$D$15:$R$94,13,0)</f>
        <v>#N/A</v>
      </c>
      <c r="E541" s="1065"/>
      <c r="F541" s="1065"/>
      <c r="G541" s="1056" t="s">
        <v>2675</v>
      </c>
      <c r="H541" s="1057" t="s">
        <v>2676</v>
      </c>
      <c r="J541" s="1064" t="e">
        <f>VLOOKUP(H532,'LƯƠNG KT'!$D$15:$R$94,13,0)</f>
        <v>#N/A</v>
      </c>
    </row>
    <row r="542" spans="1:15" ht="15" customHeight="1">
      <c r="A542" s="1066"/>
      <c r="B542" s="869"/>
      <c r="C542" s="1058"/>
      <c r="D542" s="1059"/>
      <c r="E542" s="1063"/>
      <c r="F542" s="1065"/>
      <c r="G542" s="1066"/>
      <c r="H542" s="869"/>
      <c r="I542" s="1058"/>
      <c r="J542" s="1059"/>
    </row>
    <row r="543" spans="1:15" ht="15" customHeight="1">
      <c r="A543" s="1052"/>
      <c r="B543" s="869"/>
      <c r="C543" s="1058"/>
      <c r="D543" s="1059"/>
      <c r="E543" s="1067"/>
      <c r="F543" s="1051"/>
      <c r="G543" s="1052"/>
      <c r="H543" s="869"/>
      <c r="I543" s="1058"/>
      <c r="J543" s="1059"/>
    </row>
    <row r="544" spans="1:15" ht="15" customHeight="1">
      <c r="A544" s="1068" t="s">
        <v>383</v>
      </c>
      <c r="B544" s="1069" t="s">
        <v>384</v>
      </c>
      <c r="C544" s="1070"/>
      <c r="D544" s="1071" t="e">
        <f>SUM(D533:D540)-D543</f>
        <v>#N/A</v>
      </c>
      <c r="E544" s="1072"/>
      <c r="F544" s="1073"/>
      <c r="G544" s="1068" t="s">
        <v>383</v>
      </c>
      <c r="H544" s="1069" t="s">
        <v>384</v>
      </c>
      <c r="I544" s="1070"/>
      <c r="J544" s="1071" t="e">
        <f>SUM(J533:J540)-J543</f>
        <v>#N/A</v>
      </c>
    </row>
    <row r="545" spans="1:15" ht="12.6" customHeight="1">
      <c r="A545" s="1074"/>
      <c r="B545" s="1075"/>
      <c r="C545" s="1076"/>
      <c r="D545" s="1077"/>
      <c r="E545" s="1077"/>
      <c r="F545" s="1078"/>
      <c r="G545" s="1074"/>
      <c r="H545" s="1075"/>
      <c r="I545" s="1076"/>
      <c r="J545" s="1077"/>
    </row>
    <row r="546" spans="1:15" ht="12.6" customHeight="1">
      <c r="A546" s="1075"/>
      <c r="B546" s="1075"/>
      <c r="C546" s="1079"/>
      <c r="D546" s="1080"/>
      <c r="E546" s="1075"/>
      <c r="F546" s="1081"/>
      <c r="G546" s="1075"/>
      <c r="H546" s="1075"/>
      <c r="I546" s="1079"/>
      <c r="J546" s="1080"/>
    </row>
    <row r="547" spans="1:15" ht="15" customHeight="1">
      <c r="A547" s="2242" t="str">
        <f>$K$2</f>
        <v>THÁNG 04/2025</v>
      </c>
      <c r="B547" s="2242"/>
      <c r="C547" s="2242"/>
      <c r="D547" s="2242"/>
      <c r="E547" s="1050"/>
      <c r="F547" s="1051"/>
      <c r="G547" s="2242" t="str">
        <f>$K$2</f>
        <v>THÁNG 04/2025</v>
      </c>
      <c r="H547" s="2242"/>
      <c r="I547" s="2242"/>
      <c r="J547" s="2242"/>
      <c r="K547" s="624"/>
    </row>
    <row r="548" spans="1:15" ht="15" customHeight="1">
      <c r="A548" s="1052" t="s">
        <v>356</v>
      </c>
      <c r="B548" s="1053" t="s">
        <v>440</v>
      </c>
      <c r="C548" s="869"/>
      <c r="D548" s="1049"/>
      <c r="E548" s="1054"/>
      <c r="F548" s="1055"/>
      <c r="G548" s="1052" t="s">
        <v>356</v>
      </c>
      <c r="H548" s="1053" t="s">
        <v>441</v>
      </c>
      <c r="I548" s="869"/>
      <c r="J548" s="1049"/>
      <c r="L548" s="1088"/>
      <c r="M548" s="1088"/>
      <c r="N548" s="1088"/>
      <c r="O548" s="1088"/>
    </row>
    <row r="549" spans="1:15" ht="15" customHeight="1">
      <c r="A549" s="1056" t="s">
        <v>359</v>
      </c>
      <c r="B549" s="1057" t="s">
        <v>2662</v>
      </c>
      <c r="C549" s="1058" t="e">
        <f>VLOOKUP(B548,'LƯƠNG KT'!$D$15:$R$94,4,0)</f>
        <v>#N/A</v>
      </c>
      <c r="D549" s="1059" t="e">
        <f>+C549*25000</f>
        <v>#N/A</v>
      </c>
      <c r="E549" s="1060"/>
      <c r="F549" s="1060"/>
      <c r="G549" s="1056" t="s">
        <v>359</v>
      </c>
      <c r="H549" s="1057" t="s">
        <v>2662</v>
      </c>
      <c r="I549" s="1058" t="e">
        <f>VLOOKUP(H548,'LƯƠNG KT'!$D$15:$R$94,4,0)</f>
        <v>#N/A</v>
      </c>
      <c r="J549" s="1059" t="e">
        <f>+I549*25000</f>
        <v>#N/A</v>
      </c>
      <c r="K549" s="1085"/>
      <c r="L549" s="1085"/>
      <c r="M549" s="1085"/>
      <c r="N549" s="1085"/>
      <c r="O549" s="1085"/>
    </row>
    <row r="550" spans="1:15" ht="15" customHeight="1">
      <c r="A550" s="1056" t="s">
        <v>361</v>
      </c>
      <c r="B550" s="1057" t="s">
        <v>2663</v>
      </c>
      <c r="C550" s="1058" t="e">
        <f>VLOOKUP(B548,'LƯƠNG KT'!$D$15:$R$94,15,0)</f>
        <v>#N/A</v>
      </c>
      <c r="D550" s="1059" t="e">
        <f>C550*$L$4</f>
        <v>#N/A</v>
      </c>
      <c r="E550" s="1061"/>
      <c r="F550" s="1061"/>
      <c r="G550" s="1056" t="s">
        <v>361</v>
      </c>
      <c r="H550" s="1057" t="s">
        <v>2663</v>
      </c>
      <c r="I550" s="1058" t="e">
        <f>VLOOKUP(H548,'LƯƠNG KT'!$D$15:$R$94,15,0)</f>
        <v>#N/A</v>
      </c>
      <c r="J550" s="1059" t="e">
        <f>I550*$L$4</f>
        <v>#N/A</v>
      </c>
      <c r="K550" s="1085"/>
      <c r="L550" s="1085"/>
      <c r="M550" s="1085"/>
      <c r="N550" s="1085"/>
      <c r="O550" s="1085"/>
    </row>
    <row r="551" spans="1:15" ht="15" customHeight="1">
      <c r="A551" s="1056" t="s">
        <v>364</v>
      </c>
      <c r="B551" s="1057" t="s">
        <v>2664</v>
      </c>
      <c r="C551" s="1058" t="e">
        <f>VLOOKUP(B548,'LƯƠNG KT'!$D$15:$R$94,16,0)</f>
        <v>#N/A</v>
      </c>
      <c r="D551" s="1059" t="e">
        <f>C551*$L$5</f>
        <v>#N/A</v>
      </c>
      <c r="E551" s="1061"/>
      <c r="F551" s="1061"/>
      <c r="G551" s="1056" t="s">
        <v>364</v>
      </c>
      <c r="H551" s="1057" t="s">
        <v>2664</v>
      </c>
      <c r="I551" s="1058" t="e">
        <f>VLOOKUP(H548,'LƯƠNG KT'!$D$15:$R$94,16,0)</f>
        <v>#N/A</v>
      </c>
      <c r="J551" s="1059" t="e">
        <f>I551*$L$5</f>
        <v>#N/A</v>
      </c>
      <c r="K551" s="1085"/>
      <c r="L551" s="1085"/>
      <c r="M551" s="1085"/>
      <c r="N551" s="1085"/>
      <c r="O551" s="1085"/>
    </row>
    <row r="552" spans="1:15" ht="15" customHeight="1">
      <c r="A552" s="1056" t="s">
        <v>370</v>
      </c>
      <c r="B552" s="1057" t="s">
        <v>2665</v>
      </c>
      <c r="C552" s="1058" t="e">
        <f>VLOOKUP(B548,'LƯƠNG KT'!$D$15:$R$94,24,0)</f>
        <v>#N/A</v>
      </c>
      <c r="D552" s="1059" t="e">
        <f>+C552*$L$6</f>
        <v>#N/A</v>
      </c>
      <c r="E552" s="1061"/>
      <c r="F552" s="1061"/>
      <c r="G552" s="1056" t="s">
        <v>370</v>
      </c>
      <c r="H552" s="1057" t="s">
        <v>2665</v>
      </c>
      <c r="I552" s="1058" t="e">
        <f>VLOOKUP(H548,'LƯƠNG KT'!$D$15:$R$94,24,0)</f>
        <v>#N/A</v>
      </c>
      <c r="J552" s="1059" t="e">
        <f>+I552*$L$6</f>
        <v>#N/A</v>
      </c>
      <c r="K552" s="1085"/>
      <c r="L552" s="1085"/>
      <c r="M552" s="1085"/>
      <c r="N552" s="1085"/>
      <c r="O552" s="1085"/>
    </row>
    <row r="553" spans="1:15" ht="15" customHeight="1">
      <c r="A553" s="1056" t="s">
        <v>2666</v>
      </c>
      <c r="B553" s="1057" t="s">
        <v>2667</v>
      </c>
      <c r="C553" s="1058" t="e">
        <f>VLOOKUP(B548,'LƯƠNG KT'!$D$15:$R$94,19,0)</f>
        <v>#N/A</v>
      </c>
      <c r="D553" s="1059" t="e">
        <f>+C553*$L$8</f>
        <v>#N/A</v>
      </c>
      <c r="E553" s="1061"/>
      <c r="F553" s="1061"/>
      <c r="G553" s="1056" t="s">
        <v>2666</v>
      </c>
      <c r="H553" s="1057" t="s">
        <v>2667</v>
      </c>
      <c r="I553" s="1058" t="e">
        <f>VLOOKUP(H548,'LƯƠNG KT'!$D$15:$R$94,19,0)</f>
        <v>#N/A</v>
      </c>
      <c r="J553" s="1059" t="e">
        <f>+I553*$L$8</f>
        <v>#N/A</v>
      </c>
      <c r="K553" s="1085"/>
      <c r="L553" s="1085"/>
      <c r="M553" s="1085"/>
      <c r="N553" s="1085"/>
      <c r="O553" s="1085"/>
    </row>
    <row r="554" spans="1:15" ht="15" customHeight="1">
      <c r="A554" s="1056" t="s">
        <v>2668</v>
      </c>
      <c r="B554" s="1062" t="s">
        <v>2669</v>
      </c>
      <c r="C554" s="1058" t="e">
        <f>VLOOKUP(B548,'LƯƠNG KT'!$D$15:$R$94,20,0)</f>
        <v>#N/A</v>
      </c>
      <c r="D554" s="1059" t="e">
        <f>+C554*$L$9</f>
        <v>#N/A</v>
      </c>
      <c r="E554" s="1061"/>
      <c r="F554" s="1061"/>
      <c r="G554" s="1056" t="s">
        <v>2668</v>
      </c>
      <c r="H554" s="1062" t="s">
        <v>2669</v>
      </c>
      <c r="I554" s="1058" t="e">
        <f>VLOOKUP(H548,'LƯƠNG KT'!$D$15:$R$94,20,0)</f>
        <v>#N/A</v>
      </c>
      <c r="J554" s="1059" t="e">
        <f>+I554*$L$9</f>
        <v>#N/A</v>
      </c>
      <c r="K554" s="1085"/>
      <c r="L554" s="1085"/>
      <c r="M554" s="1085"/>
      <c r="N554" s="1085"/>
      <c r="O554" s="1085"/>
    </row>
    <row r="555" spans="1:15" ht="15" customHeight="1">
      <c r="A555" s="1056" t="s">
        <v>2671</v>
      </c>
      <c r="B555" s="1057" t="s">
        <v>2672</v>
      </c>
      <c r="C555" s="1058" t="e">
        <f>VLOOKUP(B548,'LƯƠNG KT'!$D$15:$R$94,17,0)</f>
        <v>#N/A</v>
      </c>
      <c r="D555" s="1059" t="e">
        <f>+C555*$L$10</f>
        <v>#N/A</v>
      </c>
      <c r="E555" s="1061"/>
      <c r="F555" s="1061"/>
      <c r="G555" s="1056" t="s">
        <v>2671</v>
      </c>
      <c r="H555" s="1057" t="s">
        <v>2672</v>
      </c>
      <c r="I555" s="1058" t="e">
        <f>VLOOKUP(H548,'LƯƠNG KT'!$D$15:$R$94,17,0)</f>
        <v>#N/A</v>
      </c>
      <c r="J555" s="1059" t="e">
        <f>+I555*$L$10</f>
        <v>#N/A</v>
      </c>
      <c r="K555" s="1085"/>
      <c r="L555" s="1085"/>
      <c r="M555" s="1085"/>
      <c r="N555" s="1085"/>
      <c r="O555" s="1085"/>
    </row>
    <row r="556" spans="1:15" ht="15" customHeight="1">
      <c r="A556" s="1056" t="s">
        <v>374</v>
      </c>
      <c r="B556" s="1057" t="s">
        <v>2674</v>
      </c>
      <c r="C556" s="1058" t="e">
        <f>VLOOKUP(B548,'LƯƠNG KT'!$D$15:$R$94,12,0)</f>
        <v>#N/A</v>
      </c>
      <c r="D556" s="1059" t="e">
        <f>VLOOKUP(B548,'LƯƠNG KT'!$D$15:$R$94,14,0)</f>
        <v>#N/A</v>
      </c>
      <c r="E556" s="1063"/>
      <c r="F556" s="1061"/>
      <c r="G556" s="1056" t="s">
        <v>374</v>
      </c>
      <c r="H556" s="1057" t="s">
        <v>2674</v>
      </c>
      <c r="I556" s="1058" t="e">
        <f>VLOOKUP(H548,'LƯƠNG KT'!$D$15:$R$94,12,0)</f>
        <v>#N/A</v>
      </c>
      <c r="J556" s="1059" t="e">
        <f>VLOOKUP(H548,'LƯƠNG KT'!$D$15:$R$94,14,0)</f>
        <v>#N/A</v>
      </c>
      <c r="K556" s="1085"/>
      <c r="L556" s="1085"/>
      <c r="M556" s="1085"/>
      <c r="N556" s="1085"/>
      <c r="O556" s="1085"/>
    </row>
    <row r="557" spans="1:15" ht="15" customHeight="1">
      <c r="A557" s="1056" t="s">
        <v>2675</v>
      </c>
      <c r="B557" s="1057" t="s">
        <v>2676</v>
      </c>
      <c r="D557" s="1064" t="e">
        <f>VLOOKUP(B548,'LƯƠNG KT'!$D$15:$R$94,13,0)</f>
        <v>#N/A</v>
      </c>
      <c r="E557" s="1065"/>
      <c r="F557" s="1065"/>
      <c r="G557" s="1056" t="s">
        <v>2675</v>
      </c>
      <c r="H557" s="1057" t="s">
        <v>2676</v>
      </c>
      <c r="J557" s="1064" t="e">
        <f>VLOOKUP(H548,'LƯƠNG KT'!$D$15:$R$94,13,0)</f>
        <v>#N/A</v>
      </c>
    </row>
    <row r="558" spans="1:15" ht="15" customHeight="1">
      <c r="A558" s="1066"/>
      <c r="B558" s="869"/>
      <c r="C558" s="1058"/>
      <c r="D558" s="1059"/>
      <c r="E558" s="1063"/>
      <c r="F558" s="1065"/>
      <c r="G558" s="1066"/>
      <c r="H558" s="869"/>
      <c r="I558" s="1058"/>
      <c r="J558" s="1059"/>
    </row>
    <row r="559" spans="1:15" ht="15" customHeight="1">
      <c r="A559" s="1052"/>
      <c r="B559" s="869"/>
      <c r="C559" s="1058"/>
      <c r="D559" s="1059"/>
      <c r="E559" s="1067"/>
      <c r="F559" s="1051"/>
      <c r="G559" s="1052"/>
      <c r="H559" s="869"/>
      <c r="I559" s="1058"/>
      <c r="J559" s="1059"/>
    </row>
    <row r="560" spans="1:15" ht="15" customHeight="1">
      <c r="A560" s="1068" t="s">
        <v>383</v>
      </c>
      <c r="B560" s="1069" t="s">
        <v>384</v>
      </c>
      <c r="C560" s="1070"/>
      <c r="D560" s="1071" t="e">
        <f>SUM(D549:D556)-D559</f>
        <v>#N/A</v>
      </c>
      <c r="E560" s="1072"/>
      <c r="F560" s="1073"/>
      <c r="G560" s="1068" t="s">
        <v>383</v>
      </c>
      <c r="H560" s="1069" t="s">
        <v>384</v>
      </c>
      <c r="I560" s="1070"/>
      <c r="J560" s="1071" t="e">
        <f>SUM(J549:J556)-J559</f>
        <v>#N/A</v>
      </c>
    </row>
    <row r="561" spans="1:15" ht="18.75" customHeight="1">
      <c r="A561" s="1074"/>
      <c r="B561" s="1075"/>
      <c r="C561" s="1076"/>
      <c r="D561" s="1077"/>
      <c r="E561" s="1077"/>
      <c r="F561" s="1078"/>
      <c r="G561" s="1074"/>
      <c r="H561" s="1075"/>
      <c r="I561" s="1076"/>
      <c r="J561" s="1077"/>
    </row>
    <row r="562" spans="1:15" ht="18.75" customHeight="1">
      <c r="A562" s="1075"/>
      <c r="B562" s="1075"/>
      <c r="C562" s="1079"/>
      <c r="D562" s="1080"/>
      <c r="E562" s="1075"/>
      <c r="F562" s="1081"/>
      <c r="G562" s="1075"/>
      <c r="H562" s="1075"/>
      <c r="I562" s="1079"/>
      <c r="J562" s="1080"/>
    </row>
    <row r="563" spans="1:15" ht="15" customHeight="1">
      <c r="A563" s="2242" t="str">
        <f>$K$2</f>
        <v>THÁNG 04/2025</v>
      </c>
      <c r="B563" s="2242"/>
      <c r="C563" s="2242"/>
      <c r="D563" s="2242"/>
      <c r="E563" s="1050"/>
      <c r="F563" s="1051"/>
      <c r="G563" s="2242" t="str">
        <f>$K$2</f>
        <v>THÁNG 04/2025</v>
      </c>
      <c r="H563" s="2242"/>
      <c r="I563" s="2242"/>
      <c r="J563" s="2242"/>
      <c r="K563" s="624"/>
    </row>
    <row r="564" spans="1:15" ht="15" customHeight="1">
      <c r="A564" s="1052" t="s">
        <v>356</v>
      </c>
      <c r="B564" s="1053" t="s">
        <v>442</v>
      </c>
      <c r="C564" s="869"/>
      <c r="D564" s="1049"/>
      <c r="E564" s="1054"/>
      <c r="F564" s="1055"/>
      <c r="G564" s="1052" t="s">
        <v>356</v>
      </c>
      <c r="H564" s="1053" t="s">
        <v>443</v>
      </c>
      <c r="I564" s="869"/>
      <c r="J564" s="1049"/>
      <c r="L564" s="1088"/>
      <c r="M564" s="1088"/>
      <c r="N564" s="1088"/>
      <c r="O564" s="1088"/>
    </row>
    <row r="565" spans="1:15" ht="15" customHeight="1">
      <c r="A565" s="1056" t="s">
        <v>359</v>
      </c>
      <c r="B565" s="1057" t="s">
        <v>2662</v>
      </c>
      <c r="C565" s="1058" t="e">
        <f>VLOOKUP(B564,'LƯƠNG KT'!$D$15:$R$94,4,0)</f>
        <v>#N/A</v>
      </c>
      <c r="D565" s="1059" t="e">
        <f>+C565*25000</f>
        <v>#N/A</v>
      </c>
      <c r="E565" s="1060"/>
      <c r="F565" s="1060"/>
      <c r="G565" s="1056" t="s">
        <v>359</v>
      </c>
      <c r="H565" s="1057" t="s">
        <v>2662</v>
      </c>
      <c r="I565" s="1058" t="e">
        <f>VLOOKUP(H564,'LƯƠNG KT'!$D$15:$R$94,4,0)</f>
        <v>#N/A</v>
      </c>
      <c r="J565" s="1059" t="e">
        <f>+I565*25000</f>
        <v>#N/A</v>
      </c>
      <c r="K565" s="1085"/>
      <c r="L565" s="1085"/>
      <c r="M565" s="1085"/>
      <c r="N565" s="1085"/>
      <c r="O565" s="1085"/>
    </row>
    <row r="566" spans="1:15" ht="15" customHeight="1">
      <c r="A566" s="1056" t="s">
        <v>361</v>
      </c>
      <c r="B566" s="1057" t="s">
        <v>2663</v>
      </c>
      <c r="C566" s="1058" t="e">
        <f>VLOOKUP(B564,'LƯƠNG KT'!$D$15:$R$94,15,0)</f>
        <v>#N/A</v>
      </c>
      <c r="D566" s="1059" t="e">
        <f>C566*$L$4</f>
        <v>#N/A</v>
      </c>
      <c r="E566" s="1061"/>
      <c r="F566" s="1061"/>
      <c r="G566" s="1056" t="s">
        <v>361</v>
      </c>
      <c r="H566" s="1057" t="s">
        <v>2663</v>
      </c>
      <c r="I566" s="1058" t="e">
        <f>VLOOKUP(H564,'LƯƠNG KT'!$D$15:$R$94,15,0)</f>
        <v>#N/A</v>
      </c>
      <c r="J566" s="1059" t="e">
        <f>I566*$L$4</f>
        <v>#N/A</v>
      </c>
      <c r="K566" s="1085"/>
      <c r="L566" s="1085"/>
      <c r="M566" s="1085"/>
      <c r="N566" s="1085"/>
      <c r="O566" s="1085"/>
    </row>
    <row r="567" spans="1:15" ht="15" customHeight="1">
      <c r="A567" s="1056" t="s">
        <v>364</v>
      </c>
      <c r="B567" s="1057" t="s">
        <v>2664</v>
      </c>
      <c r="C567" s="1058" t="e">
        <f>VLOOKUP(B564,'LƯƠNG KT'!$D$15:$R$94,16,0)</f>
        <v>#N/A</v>
      </c>
      <c r="D567" s="1059" t="e">
        <f>C567*$L$5</f>
        <v>#N/A</v>
      </c>
      <c r="E567" s="1061"/>
      <c r="F567" s="1061"/>
      <c r="G567" s="1056" t="s">
        <v>364</v>
      </c>
      <c r="H567" s="1057" t="s">
        <v>2664</v>
      </c>
      <c r="I567" s="1058" t="e">
        <f>VLOOKUP(H564,'LƯƠNG KT'!$D$15:$R$94,16,0)</f>
        <v>#N/A</v>
      </c>
      <c r="J567" s="1059" t="e">
        <f>I567*$L$5</f>
        <v>#N/A</v>
      </c>
      <c r="K567" s="1085"/>
      <c r="L567" s="1085"/>
      <c r="M567" s="1085"/>
      <c r="N567" s="1085"/>
      <c r="O567" s="1085"/>
    </row>
    <row r="568" spans="1:15" ht="15" customHeight="1">
      <c r="A568" s="1056" t="s">
        <v>370</v>
      </c>
      <c r="B568" s="1057" t="s">
        <v>2665</v>
      </c>
      <c r="C568" s="1058" t="e">
        <f>VLOOKUP(B564,'LƯƠNG KT'!$D$15:$R$94,24,0)</f>
        <v>#N/A</v>
      </c>
      <c r="D568" s="1059" t="e">
        <f>+C568*$L$6</f>
        <v>#N/A</v>
      </c>
      <c r="E568" s="1061"/>
      <c r="F568" s="1061"/>
      <c r="G568" s="1056" t="s">
        <v>370</v>
      </c>
      <c r="H568" s="1057" t="s">
        <v>2665</v>
      </c>
      <c r="I568" s="1058" t="e">
        <f>VLOOKUP(H564,'LƯƠNG KT'!$D$15:$R$94,24,0)</f>
        <v>#N/A</v>
      </c>
      <c r="J568" s="1059" t="e">
        <f>+I568*$L$6</f>
        <v>#N/A</v>
      </c>
      <c r="K568" s="1085"/>
      <c r="L568" s="1085"/>
      <c r="M568" s="1085"/>
      <c r="N568" s="1085"/>
      <c r="O568" s="1085"/>
    </row>
    <row r="569" spans="1:15" ht="15" customHeight="1">
      <c r="A569" s="1056" t="s">
        <v>2666</v>
      </c>
      <c r="B569" s="1057" t="s">
        <v>2667</v>
      </c>
      <c r="C569" s="1058" t="e">
        <f>VLOOKUP(B564,'LƯƠNG KT'!$D$15:$R$94,19,0)</f>
        <v>#N/A</v>
      </c>
      <c r="D569" s="1059" t="e">
        <f>+C569*$L$8</f>
        <v>#N/A</v>
      </c>
      <c r="E569" s="1061"/>
      <c r="F569" s="1061"/>
      <c r="G569" s="1056" t="s">
        <v>2666</v>
      </c>
      <c r="H569" s="1057" t="s">
        <v>2667</v>
      </c>
      <c r="I569" s="1058" t="e">
        <f>VLOOKUP(H564,'LƯƠNG KT'!$D$15:$R$94,19,0)</f>
        <v>#N/A</v>
      </c>
      <c r="J569" s="1059" t="e">
        <f>+I569*$L$8</f>
        <v>#N/A</v>
      </c>
      <c r="K569" s="1085"/>
      <c r="L569" s="1085"/>
      <c r="M569" s="1085"/>
      <c r="N569" s="1085"/>
      <c r="O569" s="1085"/>
    </row>
    <row r="570" spans="1:15" ht="15" customHeight="1">
      <c r="A570" s="1056" t="s">
        <v>2668</v>
      </c>
      <c r="B570" s="1062" t="s">
        <v>2669</v>
      </c>
      <c r="C570" s="1058" t="e">
        <f>VLOOKUP(B564,'LƯƠNG KT'!$D$15:$R$94,20,0)</f>
        <v>#N/A</v>
      </c>
      <c r="D570" s="1059" t="e">
        <f>+C570*$L$9</f>
        <v>#N/A</v>
      </c>
      <c r="E570" s="1061"/>
      <c r="F570" s="1061"/>
      <c r="G570" s="1056" t="s">
        <v>2668</v>
      </c>
      <c r="H570" s="1062" t="s">
        <v>2669</v>
      </c>
      <c r="I570" s="1058" t="e">
        <f>VLOOKUP(H564,'LƯƠNG KT'!$D$15:$R$94,20,0)</f>
        <v>#N/A</v>
      </c>
      <c r="J570" s="1059" t="e">
        <f>+I570*$L$9</f>
        <v>#N/A</v>
      </c>
      <c r="K570" s="1085"/>
      <c r="L570" s="1085"/>
      <c r="M570" s="1085"/>
      <c r="N570" s="1085"/>
      <c r="O570" s="1085"/>
    </row>
    <row r="571" spans="1:15" ht="15" customHeight="1">
      <c r="A571" s="1056" t="s">
        <v>2671</v>
      </c>
      <c r="B571" s="1057" t="s">
        <v>2672</v>
      </c>
      <c r="C571" s="1058" t="e">
        <f>VLOOKUP(B564,'LƯƠNG KT'!$D$15:$R$94,17,0)</f>
        <v>#N/A</v>
      </c>
      <c r="D571" s="1059" t="e">
        <f>+C571*$L$10</f>
        <v>#N/A</v>
      </c>
      <c r="E571" s="1061"/>
      <c r="F571" s="1061"/>
      <c r="G571" s="1056" t="s">
        <v>2671</v>
      </c>
      <c r="H571" s="1057" t="s">
        <v>2672</v>
      </c>
      <c r="I571" s="1058" t="e">
        <f>VLOOKUP(H564,'LƯƠNG KT'!$D$15:$R$94,17,0)</f>
        <v>#N/A</v>
      </c>
      <c r="J571" s="1059" t="e">
        <f>+I571*$L$10</f>
        <v>#N/A</v>
      </c>
      <c r="K571" s="1085"/>
      <c r="L571" s="1085"/>
      <c r="M571" s="1085"/>
      <c r="N571" s="1085"/>
      <c r="O571" s="1085"/>
    </row>
    <row r="572" spans="1:15" ht="15" customHeight="1">
      <c r="A572" s="1056" t="s">
        <v>374</v>
      </c>
      <c r="B572" s="1057" t="s">
        <v>2674</v>
      </c>
      <c r="C572" s="1058" t="e">
        <f>VLOOKUP(B564,'LƯƠNG KT'!$D$15:$R$94,12,0)</f>
        <v>#N/A</v>
      </c>
      <c r="D572" s="1059" t="e">
        <f>VLOOKUP(B564,'LƯƠNG KT'!$D$15:$R$94,14,0)</f>
        <v>#N/A</v>
      </c>
      <c r="E572" s="1063"/>
      <c r="F572" s="1061"/>
      <c r="G572" s="1056" t="s">
        <v>374</v>
      </c>
      <c r="H572" s="1057" t="s">
        <v>2674</v>
      </c>
      <c r="I572" s="1058" t="e">
        <f>VLOOKUP(H564,'LƯƠNG KT'!$D$15:$R$94,12,0)</f>
        <v>#N/A</v>
      </c>
      <c r="J572" s="1059" t="e">
        <f>VLOOKUP(H564,'LƯƠNG KT'!$D$15:$R$94,14,0)</f>
        <v>#N/A</v>
      </c>
      <c r="K572" s="1085"/>
      <c r="L572" s="1085"/>
      <c r="M572" s="1085"/>
      <c r="N572" s="1085"/>
      <c r="O572" s="1085"/>
    </row>
    <row r="573" spans="1:15" ht="15" customHeight="1">
      <c r="A573" s="1056" t="s">
        <v>2675</v>
      </c>
      <c r="B573" s="1057" t="s">
        <v>2676</v>
      </c>
      <c r="D573" s="1064" t="e">
        <f>VLOOKUP(B564,'LƯƠNG KT'!$D$15:$R$94,13,0)</f>
        <v>#N/A</v>
      </c>
      <c r="E573" s="1065"/>
      <c r="F573" s="1065"/>
      <c r="G573" s="1056" t="s">
        <v>2675</v>
      </c>
      <c r="H573" s="1057" t="s">
        <v>2676</v>
      </c>
      <c r="J573" s="1064" t="e">
        <f>VLOOKUP(H564,'LƯƠNG KT'!$D$15:$R$94,13,0)</f>
        <v>#N/A</v>
      </c>
    </row>
    <row r="574" spans="1:15" ht="15" customHeight="1">
      <c r="A574" s="1066"/>
      <c r="B574" s="869"/>
      <c r="C574" s="1058"/>
      <c r="D574" s="1059"/>
      <c r="E574" s="1063"/>
      <c r="F574" s="1065"/>
      <c r="G574" s="1066"/>
      <c r="H574" s="869"/>
      <c r="I574" s="1058"/>
      <c r="J574" s="1059"/>
    </row>
    <row r="575" spans="1:15" ht="15" customHeight="1">
      <c r="A575" s="1052"/>
      <c r="B575" s="869"/>
      <c r="C575" s="1058"/>
      <c r="D575" s="1059"/>
      <c r="E575" s="1067"/>
      <c r="F575" s="1051"/>
      <c r="G575" s="1052"/>
      <c r="H575" s="869"/>
      <c r="I575" s="1058"/>
      <c r="J575" s="1059"/>
    </row>
    <row r="576" spans="1:15" ht="15" customHeight="1">
      <c r="A576" s="1068" t="s">
        <v>383</v>
      </c>
      <c r="B576" s="1069" t="s">
        <v>384</v>
      </c>
      <c r="C576" s="1070"/>
      <c r="D576" s="1071" t="e">
        <f>SUM(D565:D572)-D575</f>
        <v>#N/A</v>
      </c>
      <c r="E576" s="1072"/>
      <c r="F576" s="1073"/>
      <c r="G576" s="1068" t="s">
        <v>383</v>
      </c>
      <c r="H576" s="1069" t="s">
        <v>384</v>
      </c>
      <c r="I576" s="1070"/>
      <c r="J576" s="1071" t="e">
        <f>SUM(J565:J572)-J575</f>
        <v>#N/A</v>
      </c>
    </row>
    <row r="577" spans="1:15" ht="18.75" customHeight="1">
      <c r="A577" s="1074"/>
      <c r="B577" s="1075"/>
      <c r="C577" s="1076"/>
      <c r="D577" s="1077"/>
      <c r="E577" s="1077"/>
      <c r="F577" s="1078"/>
      <c r="G577" s="1074"/>
      <c r="H577" s="1075"/>
      <c r="I577" s="1076"/>
      <c r="J577" s="1077"/>
    </row>
    <row r="578" spans="1:15" ht="153.75" customHeight="1">
      <c r="A578" s="1075"/>
      <c r="B578" s="1075"/>
      <c r="C578" s="1079"/>
      <c r="D578" s="1080"/>
      <c r="E578" s="1075"/>
      <c r="F578" s="1081"/>
      <c r="G578" s="1075"/>
      <c r="H578" s="1075"/>
      <c r="I578" s="1079"/>
      <c r="J578" s="1080"/>
    </row>
    <row r="579" spans="1:15" ht="15" customHeight="1">
      <c r="A579" s="2242" t="str">
        <f>$K$2</f>
        <v>THÁNG 04/2025</v>
      </c>
      <c r="B579" s="2242"/>
      <c r="C579" s="2242"/>
      <c r="D579" s="2242"/>
      <c r="E579" s="1050"/>
      <c r="F579" s="1051"/>
      <c r="G579" s="2242" t="str">
        <f>$K$2</f>
        <v>THÁNG 04/2025</v>
      </c>
      <c r="H579" s="2242"/>
      <c r="I579" s="2242"/>
      <c r="J579" s="2242"/>
      <c r="K579" s="624"/>
    </row>
    <row r="580" spans="1:15" ht="15" customHeight="1">
      <c r="A580" s="1052" t="s">
        <v>356</v>
      </c>
      <c r="B580" s="1053" t="s">
        <v>2624</v>
      </c>
      <c r="C580" s="869"/>
      <c r="D580" s="1049"/>
      <c r="E580" s="1054"/>
      <c r="F580" s="1055"/>
      <c r="G580" s="1052" t="s">
        <v>356</v>
      </c>
      <c r="H580" s="1053" t="s">
        <v>445</v>
      </c>
      <c r="I580" s="869"/>
      <c r="J580" s="1049"/>
      <c r="L580" s="1088"/>
      <c r="M580" s="1088"/>
      <c r="N580" s="1088"/>
      <c r="O580" s="1088"/>
    </row>
    <row r="581" spans="1:15" ht="15" customHeight="1">
      <c r="A581" s="1056" t="s">
        <v>359</v>
      </c>
      <c r="B581" s="1057" t="s">
        <v>2662</v>
      </c>
      <c r="C581" s="1058" t="e">
        <f>VLOOKUP(B580,'LƯƠNG KT'!$D$15:$R$94,4,0)</f>
        <v>#N/A</v>
      </c>
      <c r="D581" s="1059" t="e">
        <f>+C581*25000</f>
        <v>#N/A</v>
      </c>
      <c r="E581" s="1060"/>
      <c r="F581" s="1060"/>
      <c r="G581" s="1056" t="s">
        <v>359</v>
      </c>
      <c r="H581" s="1057" t="s">
        <v>2662</v>
      </c>
      <c r="I581" s="1058" t="e">
        <f>VLOOKUP(H580,'LƯƠNG KT'!$D$15:$R$94,4,0)</f>
        <v>#N/A</v>
      </c>
      <c r="J581" s="1059" t="e">
        <f>+I581*25000</f>
        <v>#N/A</v>
      </c>
      <c r="K581" s="1085"/>
      <c r="L581" s="1085"/>
      <c r="M581" s="1085"/>
      <c r="N581" s="1085"/>
      <c r="O581" s="1085"/>
    </row>
    <row r="582" spans="1:15" ht="15" customHeight="1">
      <c r="A582" s="1056" t="s">
        <v>361</v>
      </c>
      <c r="B582" s="1057" t="s">
        <v>2663</v>
      </c>
      <c r="C582" s="1058" t="e">
        <f>VLOOKUP(B580,'LƯƠNG KT'!$D$15:$R$94,15,0)</f>
        <v>#N/A</v>
      </c>
      <c r="D582" s="1059" t="e">
        <f>C582*$L$4</f>
        <v>#N/A</v>
      </c>
      <c r="E582" s="1061"/>
      <c r="F582" s="1061"/>
      <c r="G582" s="1056" t="s">
        <v>361</v>
      </c>
      <c r="H582" s="1057" t="s">
        <v>2663</v>
      </c>
      <c r="I582" s="1058" t="e">
        <f>VLOOKUP(H580,'LƯƠNG KT'!$D$15:$R$94,15,0)</f>
        <v>#N/A</v>
      </c>
      <c r="J582" s="1059" t="e">
        <f>I582*$L$4</f>
        <v>#N/A</v>
      </c>
      <c r="K582" s="1085"/>
      <c r="L582" s="1085"/>
      <c r="M582" s="1085"/>
      <c r="N582" s="1085"/>
      <c r="O582" s="1085"/>
    </row>
    <row r="583" spans="1:15" ht="15" customHeight="1">
      <c r="A583" s="1056" t="s">
        <v>364</v>
      </c>
      <c r="B583" s="1057" t="s">
        <v>2664</v>
      </c>
      <c r="C583" s="1058" t="e">
        <f>VLOOKUP(B580,'LƯƠNG KT'!$D$15:$R$94,16,0)</f>
        <v>#N/A</v>
      </c>
      <c r="D583" s="1059" t="e">
        <f>C583*$L$5</f>
        <v>#N/A</v>
      </c>
      <c r="E583" s="1061"/>
      <c r="F583" s="1061"/>
      <c r="G583" s="1056" t="s">
        <v>364</v>
      </c>
      <c r="H583" s="1057" t="s">
        <v>2664</v>
      </c>
      <c r="I583" s="1058" t="e">
        <f>VLOOKUP(H580,'LƯƠNG KT'!$D$15:$R$94,16,0)</f>
        <v>#N/A</v>
      </c>
      <c r="J583" s="1059" t="e">
        <f>I583*$L$5</f>
        <v>#N/A</v>
      </c>
      <c r="K583" s="1085"/>
      <c r="L583" s="1085"/>
      <c r="M583" s="1085"/>
      <c r="N583" s="1085"/>
      <c r="O583" s="1085"/>
    </row>
    <row r="584" spans="1:15" ht="15" customHeight="1">
      <c r="A584" s="1056" t="s">
        <v>370</v>
      </c>
      <c r="B584" s="1057" t="s">
        <v>2665</v>
      </c>
      <c r="C584" s="1058" t="e">
        <f>VLOOKUP(B580,'LƯƠNG KT'!$D$15:$R$94,24,0)</f>
        <v>#N/A</v>
      </c>
      <c r="D584" s="1059" t="e">
        <f>+C584*$L$6</f>
        <v>#N/A</v>
      </c>
      <c r="E584" s="1061"/>
      <c r="F584" s="1061"/>
      <c r="G584" s="1056" t="s">
        <v>370</v>
      </c>
      <c r="H584" s="1057" t="s">
        <v>2665</v>
      </c>
      <c r="I584" s="1058" t="e">
        <f>VLOOKUP(H580,'LƯƠNG KT'!$D$15:$R$94,24,0)</f>
        <v>#N/A</v>
      </c>
      <c r="J584" s="1059" t="e">
        <f>+I584*$L$6</f>
        <v>#N/A</v>
      </c>
      <c r="K584" s="1085"/>
      <c r="L584" s="1085"/>
      <c r="M584" s="1085"/>
      <c r="N584" s="1085"/>
      <c r="O584" s="1085"/>
    </row>
    <row r="585" spans="1:15" ht="15" customHeight="1">
      <c r="A585" s="1056" t="s">
        <v>2666</v>
      </c>
      <c r="B585" s="1057" t="s">
        <v>2667</v>
      </c>
      <c r="C585" s="1058" t="e">
        <f>VLOOKUP(B580,'LƯƠNG KT'!$D$15:$R$94,19,0)</f>
        <v>#N/A</v>
      </c>
      <c r="D585" s="1059" t="e">
        <f>+C585*$L$8</f>
        <v>#N/A</v>
      </c>
      <c r="E585" s="1061"/>
      <c r="F585" s="1061"/>
      <c r="G585" s="1056" t="s">
        <v>2666</v>
      </c>
      <c r="H585" s="1057" t="s">
        <v>2667</v>
      </c>
      <c r="I585" s="1058" t="e">
        <f>VLOOKUP(H580,'LƯƠNG KT'!$D$15:$R$94,19,0)</f>
        <v>#N/A</v>
      </c>
      <c r="J585" s="1059" t="e">
        <f>+I585*$L$8</f>
        <v>#N/A</v>
      </c>
      <c r="K585" s="1085"/>
      <c r="L585" s="1085"/>
      <c r="M585" s="1085"/>
      <c r="N585" s="1085"/>
      <c r="O585" s="1085"/>
    </row>
    <row r="586" spans="1:15" ht="15" customHeight="1">
      <c r="A586" s="1056" t="s">
        <v>2668</v>
      </c>
      <c r="B586" s="1062" t="s">
        <v>2669</v>
      </c>
      <c r="C586" s="1058" t="e">
        <f>VLOOKUP(B580,'LƯƠNG KT'!$D$15:$R$94,20,0)</f>
        <v>#N/A</v>
      </c>
      <c r="D586" s="1059" t="e">
        <f>+C586*$L$9</f>
        <v>#N/A</v>
      </c>
      <c r="E586" s="1061"/>
      <c r="F586" s="1061"/>
      <c r="G586" s="1056" t="s">
        <v>2668</v>
      </c>
      <c r="H586" s="1062" t="s">
        <v>2669</v>
      </c>
      <c r="I586" s="1058" t="e">
        <f>VLOOKUP(H580,'LƯƠNG KT'!$D$15:$R$94,20,0)</f>
        <v>#N/A</v>
      </c>
      <c r="J586" s="1059" t="e">
        <f>+I586*$L$9</f>
        <v>#N/A</v>
      </c>
      <c r="K586" s="1085"/>
      <c r="L586" s="1085"/>
      <c r="M586" s="1085"/>
      <c r="N586" s="1085"/>
      <c r="O586" s="1085"/>
    </row>
    <row r="587" spans="1:15" ht="15" customHeight="1">
      <c r="A587" s="1056" t="s">
        <v>2671</v>
      </c>
      <c r="B587" s="1057" t="s">
        <v>2672</v>
      </c>
      <c r="C587" s="1058" t="e">
        <f>VLOOKUP(B580,'LƯƠNG KT'!$D$15:$R$94,17,0)</f>
        <v>#N/A</v>
      </c>
      <c r="D587" s="1059" t="e">
        <f>+C587*$L$10</f>
        <v>#N/A</v>
      </c>
      <c r="E587" s="1061"/>
      <c r="F587" s="1061"/>
      <c r="G587" s="1056" t="s">
        <v>2671</v>
      </c>
      <c r="H587" s="1057" t="s">
        <v>2672</v>
      </c>
      <c r="I587" s="1058" t="e">
        <f>VLOOKUP(H580,'LƯƠNG KT'!$D$15:$R$94,17,0)</f>
        <v>#N/A</v>
      </c>
      <c r="J587" s="1059" t="e">
        <f>+I587*$L$10</f>
        <v>#N/A</v>
      </c>
      <c r="K587" s="1085"/>
      <c r="L587" s="1085"/>
      <c r="M587" s="1085"/>
      <c r="N587" s="1085"/>
      <c r="O587" s="1085"/>
    </row>
    <row r="588" spans="1:15" ht="15" customHeight="1">
      <c r="A588" s="1056" t="s">
        <v>374</v>
      </c>
      <c r="B588" s="1057" t="s">
        <v>2674</v>
      </c>
      <c r="C588" s="1058" t="e">
        <f>VLOOKUP(B580,'LƯƠNG KT'!$D$15:$R$94,12,0)</f>
        <v>#N/A</v>
      </c>
      <c r="D588" s="1059" t="e">
        <f>VLOOKUP(B580,'LƯƠNG KT'!$D$15:$R$94,14,0)</f>
        <v>#N/A</v>
      </c>
      <c r="E588" s="1063"/>
      <c r="F588" s="1061"/>
      <c r="G588" s="1056" t="s">
        <v>374</v>
      </c>
      <c r="H588" s="1057" t="s">
        <v>2674</v>
      </c>
      <c r="I588" s="1058" t="e">
        <f>VLOOKUP(H580,'LƯƠNG KT'!$D$15:$R$94,12,0)</f>
        <v>#N/A</v>
      </c>
      <c r="J588" s="1059" t="e">
        <f>VLOOKUP(H580,'LƯƠNG KT'!$D$15:$R$94,14,0)</f>
        <v>#N/A</v>
      </c>
      <c r="K588" s="1085"/>
      <c r="L588" s="1085"/>
      <c r="M588" s="1085"/>
      <c r="N588" s="1085"/>
      <c r="O588" s="1085"/>
    </row>
    <row r="589" spans="1:15" ht="15" customHeight="1">
      <c r="A589" s="1056" t="s">
        <v>2675</v>
      </c>
      <c r="B589" s="1057" t="s">
        <v>2676</v>
      </c>
      <c r="D589" s="1064" t="e">
        <f>VLOOKUP(B580,'LƯƠNG KT'!$D$15:$R$94,13,0)</f>
        <v>#N/A</v>
      </c>
      <c r="E589" s="1065"/>
      <c r="F589" s="1065"/>
      <c r="G589" s="1056" t="s">
        <v>2675</v>
      </c>
      <c r="H589" s="1057" t="s">
        <v>2676</v>
      </c>
      <c r="J589" s="1064" t="e">
        <f>VLOOKUP(H580,'LƯƠNG KT'!$D$15:$R$94,13,0)</f>
        <v>#N/A</v>
      </c>
    </row>
    <row r="590" spans="1:15" ht="15" customHeight="1">
      <c r="A590" s="1066"/>
      <c r="B590" s="869"/>
      <c r="C590" s="1058"/>
      <c r="D590" s="1059"/>
      <c r="E590" s="1063"/>
      <c r="F590" s="1065"/>
      <c r="G590" s="1066"/>
      <c r="H590" s="869"/>
      <c r="I590" s="1058"/>
      <c r="J590" s="1059"/>
    </row>
    <row r="591" spans="1:15" ht="15" customHeight="1">
      <c r="A591" s="1052"/>
      <c r="B591" s="869"/>
      <c r="C591" s="1058"/>
      <c r="D591" s="1059"/>
      <c r="E591" s="1067"/>
      <c r="F591" s="1051"/>
      <c r="G591" s="1052"/>
      <c r="H591" s="869"/>
      <c r="I591" s="1058"/>
      <c r="J591" s="1059"/>
    </row>
    <row r="592" spans="1:15" ht="15" customHeight="1">
      <c r="A592" s="1068" t="s">
        <v>383</v>
      </c>
      <c r="B592" s="1069" t="s">
        <v>384</v>
      </c>
      <c r="C592" s="1070"/>
      <c r="D592" s="1071" t="e">
        <f>SUM(D581:D588)-D591</f>
        <v>#N/A</v>
      </c>
      <c r="E592" s="1072"/>
      <c r="F592" s="1073"/>
      <c r="G592" s="1068" t="s">
        <v>383</v>
      </c>
      <c r="H592" s="1069" t="s">
        <v>384</v>
      </c>
      <c r="I592" s="1070"/>
      <c r="J592" s="1071" t="e">
        <f>SUM(J581:J588)-J591</f>
        <v>#N/A</v>
      </c>
    </row>
    <row r="593" spans="1:15" ht="15.75" customHeight="1">
      <c r="A593" s="1074"/>
      <c r="B593" s="1075"/>
      <c r="C593" s="1076"/>
      <c r="D593" s="1077"/>
      <c r="E593" s="1077"/>
      <c r="F593" s="1078"/>
      <c r="G593" s="1074"/>
      <c r="H593" s="1075"/>
      <c r="I593" s="1076"/>
      <c r="J593" s="1077"/>
    </row>
    <row r="595" spans="1:15" ht="12" customHeight="1">
      <c r="A595" s="2243"/>
      <c r="B595" s="2243"/>
      <c r="C595" s="2243"/>
      <c r="D595" s="2243"/>
      <c r="E595" s="2243"/>
      <c r="F595" s="2243"/>
      <c r="G595" s="2243"/>
      <c r="H595" s="2243"/>
      <c r="I595" s="2243"/>
      <c r="J595" s="2243"/>
    </row>
    <row r="596" spans="1:15" ht="15" customHeight="1">
      <c r="A596" s="2242" t="str">
        <f>$K$2</f>
        <v>THÁNG 04/2025</v>
      </c>
      <c r="B596" s="2242"/>
      <c r="C596" s="2242"/>
      <c r="D596" s="2242"/>
      <c r="E596" s="1050"/>
      <c r="F596" s="1051"/>
      <c r="G596" s="2242" t="str">
        <f>$K$2</f>
        <v>THÁNG 04/2025</v>
      </c>
      <c r="H596" s="2242"/>
      <c r="I596" s="2242"/>
      <c r="J596" s="2242"/>
      <c r="K596" s="624"/>
    </row>
    <row r="597" spans="1:15" ht="15" customHeight="1">
      <c r="A597" s="1052" t="s">
        <v>356</v>
      </c>
      <c r="B597" s="1053" t="s">
        <v>2625</v>
      </c>
      <c r="C597" s="869"/>
      <c r="D597" s="1049"/>
      <c r="E597" s="1054"/>
      <c r="F597" s="1055"/>
      <c r="G597" s="1052" t="s">
        <v>356</v>
      </c>
      <c r="H597" s="1053" t="s">
        <v>2626</v>
      </c>
      <c r="I597" s="869"/>
      <c r="J597" s="1049"/>
      <c r="L597" s="1088"/>
      <c r="M597" s="1088"/>
      <c r="N597" s="1088"/>
      <c r="O597" s="1088"/>
    </row>
    <row r="598" spans="1:15" ht="15" customHeight="1">
      <c r="A598" s="1056" t="s">
        <v>359</v>
      </c>
      <c r="B598" s="1057" t="s">
        <v>2662</v>
      </c>
      <c r="C598" s="1058" t="e">
        <f>VLOOKUP(B597,'LƯƠNG KT'!$D$15:$R$94,4,0)</f>
        <v>#N/A</v>
      </c>
      <c r="D598" s="1059" t="e">
        <f>+C598*25000</f>
        <v>#N/A</v>
      </c>
      <c r="E598" s="1060"/>
      <c r="F598" s="1060"/>
      <c r="G598" s="1056" t="s">
        <v>359</v>
      </c>
      <c r="H598" s="1057" t="s">
        <v>2662</v>
      </c>
      <c r="I598" s="1058" t="e">
        <f>VLOOKUP(H597,'LƯƠNG KT'!$D$15:$R$94,4,0)</f>
        <v>#N/A</v>
      </c>
      <c r="J598" s="1059" t="e">
        <f>+I598*25000</f>
        <v>#N/A</v>
      </c>
      <c r="K598" s="1084"/>
      <c r="L598" s="1085"/>
      <c r="M598" s="1085"/>
      <c r="N598" s="1085"/>
      <c r="O598" s="1085"/>
    </row>
    <row r="599" spans="1:15" ht="15" customHeight="1">
      <c r="A599" s="1056" t="s">
        <v>361</v>
      </c>
      <c r="B599" s="1057" t="s">
        <v>2663</v>
      </c>
      <c r="C599" s="1058" t="e">
        <f>VLOOKUP(B597,'LƯƠNG KT'!$D$15:$R$94,15,0)</f>
        <v>#N/A</v>
      </c>
      <c r="D599" s="1059" t="e">
        <f>C599*$L$4</f>
        <v>#N/A</v>
      </c>
      <c r="E599" s="1061"/>
      <c r="F599" s="1061"/>
      <c r="G599" s="1056" t="s">
        <v>361</v>
      </c>
      <c r="H599" s="1057" t="s">
        <v>2663</v>
      </c>
      <c r="I599" s="1058" t="e">
        <f>VLOOKUP(H597,'LƯƠNG KT'!$D$15:$R$94,15,0)</f>
        <v>#N/A</v>
      </c>
      <c r="J599" s="1059" t="e">
        <f>I599*$L$4</f>
        <v>#N/A</v>
      </c>
      <c r="K599" s="1084"/>
      <c r="L599" s="1085"/>
      <c r="M599" s="1085"/>
      <c r="N599" s="1085"/>
      <c r="O599" s="1085"/>
    </row>
    <row r="600" spans="1:15" ht="15" customHeight="1">
      <c r="A600" s="1056" t="s">
        <v>364</v>
      </c>
      <c r="B600" s="1057" t="s">
        <v>2664</v>
      </c>
      <c r="C600" s="1058" t="e">
        <f>VLOOKUP(B597,'LƯƠNG KT'!$D$15:$R$94,16,0)</f>
        <v>#N/A</v>
      </c>
      <c r="D600" s="1059" t="e">
        <f>C600*$L$5</f>
        <v>#N/A</v>
      </c>
      <c r="E600" s="1061"/>
      <c r="F600" s="1061"/>
      <c r="G600" s="1056" t="s">
        <v>364</v>
      </c>
      <c r="H600" s="1057" t="s">
        <v>2664</v>
      </c>
      <c r="I600" s="1058" t="e">
        <f>VLOOKUP(H597,'LƯƠNG KT'!$D$15:$R$94,16,0)</f>
        <v>#N/A</v>
      </c>
      <c r="J600" s="1059" t="e">
        <f>I600*$L$5</f>
        <v>#N/A</v>
      </c>
      <c r="K600" s="1084"/>
      <c r="L600" s="1085"/>
      <c r="M600" s="1085"/>
      <c r="N600" s="1085"/>
      <c r="O600" s="1085"/>
    </row>
    <row r="601" spans="1:15" ht="15" customHeight="1">
      <c r="A601" s="1056" t="s">
        <v>370</v>
      </c>
      <c r="B601" s="1057" t="s">
        <v>2665</v>
      </c>
      <c r="C601" s="1058" t="e">
        <f>VLOOKUP(B597,'LƯƠNG KT'!$D$15:$R$94,24,0)</f>
        <v>#N/A</v>
      </c>
      <c r="D601" s="1059" t="e">
        <f>+C601*$L$6</f>
        <v>#N/A</v>
      </c>
      <c r="E601" s="1061"/>
      <c r="F601" s="1061"/>
      <c r="G601" s="1056" t="s">
        <v>370</v>
      </c>
      <c r="H601" s="1057" t="s">
        <v>2665</v>
      </c>
      <c r="I601" s="1058" t="e">
        <f>VLOOKUP(H597,'LƯƠNG KT'!$D$15:$R$94,24,0)</f>
        <v>#N/A</v>
      </c>
      <c r="J601" s="1059" t="e">
        <f>+I601*$L$6</f>
        <v>#N/A</v>
      </c>
      <c r="K601" s="1085"/>
      <c r="L601" s="1085"/>
      <c r="M601" s="1085"/>
      <c r="N601" s="1085"/>
      <c r="O601" s="1085"/>
    </row>
    <row r="602" spans="1:15" ht="15" customHeight="1">
      <c r="A602" s="1056" t="s">
        <v>2666</v>
      </c>
      <c r="B602" s="1057" t="s">
        <v>2667</v>
      </c>
      <c r="C602" s="1058" t="e">
        <f>VLOOKUP(B597,'LƯƠNG KT'!$D$15:$R$94,19,0)</f>
        <v>#N/A</v>
      </c>
      <c r="D602" s="1059" t="e">
        <f>+C602*$L$8</f>
        <v>#N/A</v>
      </c>
      <c r="E602" s="1061"/>
      <c r="F602" s="1061"/>
      <c r="G602" s="1056" t="s">
        <v>2666</v>
      </c>
      <c r="H602" s="1057" t="s">
        <v>2667</v>
      </c>
      <c r="I602" s="1058" t="e">
        <f>VLOOKUP(H597,'LƯƠNG KT'!$D$15:$R$94,19,0)</f>
        <v>#N/A</v>
      </c>
      <c r="J602" s="1059" t="e">
        <f>+I602*$L$8</f>
        <v>#N/A</v>
      </c>
      <c r="K602" s="1085"/>
      <c r="L602" s="1085"/>
      <c r="M602" s="1085"/>
      <c r="N602" s="1085"/>
      <c r="O602" s="1085"/>
    </row>
    <row r="603" spans="1:15" ht="15" customHeight="1">
      <c r="A603" s="1056" t="s">
        <v>2668</v>
      </c>
      <c r="B603" s="1062" t="s">
        <v>2669</v>
      </c>
      <c r="C603" s="1058" t="e">
        <f>VLOOKUP(B597,'LƯƠNG KT'!$D$15:$R$94,20,0)</f>
        <v>#N/A</v>
      </c>
      <c r="D603" s="1059" t="e">
        <f>+C603*$L$9</f>
        <v>#N/A</v>
      </c>
      <c r="E603" s="1061"/>
      <c r="F603" s="1061"/>
      <c r="G603" s="1056" t="s">
        <v>2668</v>
      </c>
      <c r="H603" s="1062" t="s">
        <v>2669</v>
      </c>
      <c r="I603" s="1058" t="e">
        <f>VLOOKUP(H597,'LƯƠNG KT'!$D$15:$R$94,20,0)</f>
        <v>#N/A</v>
      </c>
      <c r="J603" s="1059" t="e">
        <f>+I603*$L$9</f>
        <v>#N/A</v>
      </c>
      <c r="K603" s="1085"/>
      <c r="L603" s="1085"/>
      <c r="M603" s="1085"/>
      <c r="N603" s="1085"/>
      <c r="O603" s="1085"/>
    </row>
    <row r="604" spans="1:15" ht="15" customHeight="1">
      <c r="A604" s="1056" t="s">
        <v>2671</v>
      </c>
      <c r="B604" s="1057" t="s">
        <v>2672</v>
      </c>
      <c r="C604" s="1058" t="e">
        <f>VLOOKUP(B597,'LƯƠNG KT'!$D$15:$R$94,17,0)</f>
        <v>#N/A</v>
      </c>
      <c r="D604" s="1059" t="e">
        <f>+C604*$L$10</f>
        <v>#N/A</v>
      </c>
      <c r="E604" s="1061"/>
      <c r="F604" s="1061"/>
      <c r="G604" s="1056" t="s">
        <v>2671</v>
      </c>
      <c r="H604" s="1057" t="s">
        <v>2672</v>
      </c>
      <c r="I604" s="1058" t="e">
        <f>VLOOKUP(H597,'LƯƠNG KT'!$D$15:$R$94,17,0)</f>
        <v>#N/A</v>
      </c>
      <c r="J604" s="1059" t="e">
        <f>+I604*$L$10</f>
        <v>#N/A</v>
      </c>
      <c r="K604" s="1085"/>
      <c r="L604" s="1085"/>
      <c r="M604" s="1085"/>
      <c r="N604" s="1085"/>
      <c r="O604" s="1085"/>
    </row>
    <row r="605" spans="1:15" ht="15" customHeight="1">
      <c r="A605" s="1056" t="s">
        <v>374</v>
      </c>
      <c r="B605" s="1057" t="s">
        <v>2674</v>
      </c>
      <c r="C605" s="1058" t="e">
        <f>VLOOKUP(B597,'LƯƠNG KT'!$D$15:$R$94,12,0)</f>
        <v>#N/A</v>
      </c>
      <c r="D605" s="1059" t="e">
        <f>VLOOKUP(B597,'LƯƠNG KT'!$D$15:$R$94,14,0)</f>
        <v>#N/A</v>
      </c>
      <c r="E605" s="1063"/>
      <c r="F605" s="1061"/>
      <c r="G605" s="1056" t="s">
        <v>374</v>
      </c>
      <c r="H605" s="1057" t="s">
        <v>2674</v>
      </c>
      <c r="I605" s="1058" t="e">
        <f>VLOOKUP(H597,'LƯƠNG KT'!$D$15:$R$94,12,0)</f>
        <v>#N/A</v>
      </c>
      <c r="J605" s="1059" t="e">
        <f>VLOOKUP(H597,'LƯƠNG KT'!$D$15:$R$94,14,0)</f>
        <v>#N/A</v>
      </c>
      <c r="K605" s="1085"/>
      <c r="L605" s="1085"/>
      <c r="M605" s="1085"/>
      <c r="N605" s="1085"/>
      <c r="O605" s="1085"/>
    </row>
    <row r="606" spans="1:15" ht="15" customHeight="1">
      <c r="A606" s="1056" t="s">
        <v>2675</v>
      </c>
      <c r="B606" s="1057" t="s">
        <v>2676</v>
      </c>
      <c r="D606" s="1064" t="e">
        <f>VLOOKUP(B597,'LƯƠNG KT'!$D$15:$R$94,13,0)</f>
        <v>#N/A</v>
      </c>
      <c r="E606" s="1065"/>
      <c r="F606" s="1065"/>
      <c r="G606" s="1056" t="s">
        <v>2675</v>
      </c>
      <c r="H606" s="1057" t="s">
        <v>2676</v>
      </c>
      <c r="J606" s="1064" t="e">
        <f>VLOOKUP(H597,'LƯƠNG KT'!$D$15:$R$94,13,0)</f>
        <v>#N/A</v>
      </c>
    </row>
    <row r="607" spans="1:15" ht="15" customHeight="1">
      <c r="A607" s="1066"/>
      <c r="B607" s="869"/>
      <c r="C607" s="1058"/>
      <c r="D607" s="1059"/>
      <c r="E607" s="1063"/>
      <c r="F607" s="1065"/>
      <c r="G607" s="1066"/>
      <c r="H607" s="869"/>
      <c r="I607" s="1058"/>
      <c r="J607" s="1059"/>
    </row>
    <row r="608" spans="1:15" ht="15" customHeight="1">
      <c r="A608" s="1052"/>
      <c r="B608" s="869"/>
      <c r="C608" s="1058"/>
      <c r="D608" s="1059"/>
      <c r="E608" s="1067"/>
      <c r="F608" s="1051"/>
      <c r="G608" s="1052"/>
      <c r="H608" s="869"/>
      <c r="I608" s="1058"/>
      <c r="J608" s="1059"/>
    </row>
    <row r="609" spans="1:15" ht="15" customHeight="1">
      <c r="A609" s="1068" t="s">
        <v>383</v>
      </c>
      <c r="B609" s="1069" t="s">
        <v>384</v>
      </c>
      <c r="C609" s="1070"/>
      <c r="D609" s="1071" t="e">
        <f>SUM(D598:D605)-D608</f>
        <v>#N/A</v>
      </c>
      <c r="E609" s="1072"/>
      <c r="F609" s="1073"/>
      <c r="G609" s="1068" t="s">
        <v>383</v>
      </c>
      <c r="H609" s="1069" t="s">
        <v>384</v>
      </c>
      <c r="I609" s="1070"/>
      <c r="J609" s="1071" t="e">
        <f>SUM(J598:J605)-J608</f>
        <v>#N/A</v>
      </c>
    </row>
    <row r="610" spans="1:15" ht="12.6" customHeight="1">
      <c r="A610" s="1074"/>
      <c r="B610" s="1075"/>
      <c r="C610" s="1076"/>
      <c r="D610" s="1077"/>
      <c r="E610" s="1077"/>
      <c r="F610" s="1078"/>
      <c r="G610" s="1074"/>
      <c r="H610" s="1075"/>
      <c r="I610" s="1076"/>
      <c r="J610" s="1077"/>
    </row>
    <row r="611" spans="1:15" ht="12.6" customHeight="1">
      <c r="A611" s="1075"/>
      <c r="B611" s="1075"/>
      <c r="C611" s="1079"/>
      <c r="D611" s="1080"/>
      <c r="E611" s="1075"/>
      <c r="F611" s="1081"/>
      <c r="G611" s="1075"/>
      <c r="H611" s="1075"/>
      <c r="I611" s="1079"/>
      <c r="J611" s="1080"/>
    </row>
    <row r="612" spans="1:15" ht="15" customHeight="1">
      <c r="A612" s="2242" t="str">
        <f>$K$2</f>
        <v>THÁNG 04/2025</v>
      </c>
      <c r="B612" s="2242"/>
      <c r="C612" s="2242"/>
      <c r="D612" s="2242"/>
      <c r="E612" s="1050"/>
      <c r="F612" s="1051"/>
      <c r="G612" s="2242" t="str">
        <f>$K$2</f>
        <v>THÁNG 04/2025</v>
      </c>
      <c r="H612" s="2242"/>
      <c r="I612" s="2242"/>
      <c r="J612" s="2242"/>
      <c r="K612" s="624"/>
    </row>
    <row r="613" spans="1:15" ht="15" customHeight="1">
      <c r="A613" s="1052" t="s">
        <v>356</v>
      </c>
      <c r="B613" s="1053" t="s">
        <v>447</v>
      </c>
      <c r="C613" s="869"/>
      <c r="D613" s="1049"/>
      <c r="E613" s="1054"/>
      <c r="F613" s="1055"/>
      <c r="G613" s="1052" t="s">
        <v>356</v>
      </c>
      <c r="H613" s="1053" t="s">
        <v>2627</v>
      </c>
      <c r="I613" s="869"/>
      <c r="J613" s="1049"/>
      <c r="L613" s="1088"/>
      <c r="M613" s="1088"/>
      <c r="N613" s="1088"/>
      <c r="O613" s="1088"/>
    </row>
    <row r="614" spans="1:15" ht="15" customHeight="1">
      <c r="A614" s="1056" t="s">
        <v>359</v>
      </c>
      <c r="B614" s="1057" t="s">
        <v>2662</v>
      </c>
      <c r="C614" s="1058" t="e">
        <f>VLOOKUP(B613,'LƯƠNG KT'!$D$15:$R$94,4,0)</f>
        <v>#N/A</v>
      </c>
      <c r="D614" s="1059" t="e">
        <f>+C614*25000</f>
        <v>#N/A</v>
      </c>
      <c r="E614" s="1060"/>
      <c r="F614" s="1060"/>
      <c r="G614" s="1056" t="s">
        <v>359</v>
      </c>
      <c r="H614" s="1057" t="s">
        <v>2662</v>
      </c>
      <c r="I614" s="1058" t="e">
        <f>VLOOKUP(H613,'LƯƠNG KT'!$D$15:$R$94,4,0)</f>
        <v>#N/A</v>
      </c>
      <c r="J614" s="1059" t="e">
        <f>+I614*25000</f>
        <v>#N/A</v>
      </c>
      <c r="K614" s="1085"/>
      <c r="L614" s="1085"/>
      <c r="M614" s="1085"/>
      <c r="N614" s="1085"/>
      <c r="O614" s="1085"/>
    </row>
    <row r="615" spans="1:15" ht="15" customHeight="1">
      <c r="A615" s="1056" t="s">
        <v>361</v>
      </c>
      <c r="B615" s="1057" t="s">
        <v>2663</v>
      </c>
      <c r="C615" s="1058" t="e">
        <f>VLOOKUP(B613,'LƯƠNG KT'!$D$15:$R$94,15,0)</f>
        <v>#N/A</v>
      </c>
      <c r="D615" s="1059" t="e">
        <f>C615*$L$4</f>
        <v>#N/A</v>
      </c>
      <c r="E615" s="1061"/>
      <c r="F615" s="1061"/>
      <c r="G615" s="1056" t="s">
        <v>361</v>
      </c>
      <c r="H615" s="1057" t="s">
        <v>2663</v>
      </c>
      <c r="I615" s="1058" t="e">
        <f>VLOOKUP(H613,'LƯƠNG KT'!$D$15:$R$94,15,0)</f>
        <v>#N/A</v>
      </c>
      <c r="J615" s="1059" t="e">
        <f>I615*$L$4</f>
        <v>#N/A</v>
      </c>
      <c r="K615" s="1085"/>
      <c r="L615" s="1085"/>
      <c r="M615" s="1085"/>
      <c r="N615" s="1085"/>
      <c r="O615" s="1085"/>
    </row>
    <row r="616" spans="1:15" ht="15" customHeight="1">
      <c r="A616" s="1056" t="s">
        <v>364</v>
      </c>
      <c r="B616" s="1057" t="s">
        <v>2664</v>
      </c>
      <c r="C616" s="1058" t="e">
        <f>VLOOKUP(B613,'LƯƠNG KT'!$D$15:$R$94,16,0)</f>
        <v>#N/A</v>
      </c>
      <c r="D616" s="1059" t="e">
        <f>C616*$L$5</f>
        <v>#N/A</v>
      </c>
      <c r="E616" s="1061"/>
      <c r="F616" s="1061"/>
      <c r="G616" s="1056" t="s">
        <v>364</v>
      </c>
      <c r="H616" s="1057" t="s">
        <v>2664</v>
      </c>
      <c r="I616" s="1058" t="e">
        <f>VLOOKUP(H613,'LƯƠNG KT'!$D$15:$R$94,16,0)</f>
        <v>#N/A</v>
      </c>
      <c r="J616" s="1059" t="e">
        <f>I616*$L$5</f>
        <v>#N/A</v>
      </c>
      <c r="K616" s="1085"/>
      <c r="L616" s="1085"/>
      <c r="M616" s="1085"/>
      <c r="N616" s="1085"/>
      <c r="O616" s="1085"/>
    </row>
    <row r="617" spans="1:15" ht="15" customHeight="1">
      <c r="A617" s="1056" t="s">
        <v>370</v>
      </c>
      <c r="B617" s="1057" t="s">
        <v>2665</v>
      </c>
      <c r="C617" s="1058" t="e">
        <f>VLOOKUP(B613,'LƯƠNG KT'!$D$15:$R$94,24,0)</f>
        <v>#N/A</v>
      </c>
      <c r="D617" s="1059" t="e">
        <f>+C617*$L$6</f>
        <v>#N/A</v>
      </c>
      <c r="E617" s="1061"/>
      <c r="F617" s="1061"/>
      <c r="G617" s="1056" t="s">
        <v>370</v>
      </c>
      <c r="H617" s="1057" t="s">
        <v>2665</v>
      </c>
      <c r="I617" s="1058" t="e">
        <f>VLOOKUP(H613,'LƯƠNG KT'!$D$15:$R$94,24,0)</f>
        <v>#N/A</v>
      </c>
      <c r="J617" s="1059" t="e">
        <f>+I617*$L$6</f>
        <v>#N/A</v>
      </c>
      <c r="K617" s="1085"/>
      <c r="L617" s="1085"/>
      <c r="M617" s="1085"/>
      <c r="N617" s="1085"/>
      <c r="O617" s="1085"/>
    </row>
    <row r="618" spans="1:15" ht="15" customHeight="1">
      <c r="A618" s="1056" t="s">
        <v>2666</v>
      </c>
      <c r="B618" s="1057" t="s">
        <v>2667</v>
      </c>
      <c r="C618" s="1058" t="e">
        <f>VLOOKUP(B613,'LƯƠNG KT'!$D$15:$R$94,19,0)</f>
        <v>#N/A</v>
      </c>
      <c r="D618" s="1059" t="e">
        <f>+C618*$L$8</f>
        <v>#N/A</v>
      </c>
      <c r="E618" s="1061"/>
      <c r="F618" s="1061"/>
      <c r="G618" s="1056" t="s">
        <v>2666</v>
      </c>
      <c r="H618" s="1057" t="s">
        <v>2667</v>
      </c>
      <c r="I618" s="1058" t="e">
        <f>VLOOKUP(H613,'LƯƠNG KT'!$D$15:$R$94,19,0)</f>
        <v>#N/A</v>
      </c>
      <c r="J618" s="1059" t="e">
        <f>+I618*$L$8</f>
        <v>#N/A</v>
      </c>
      <c r="K618" s="1085"/>
      <c r="L618" s="1085"/>
      <c r="M618" s="1085"/>
      <c r="N618" s="1085"/>
      <c r="O618" s="1085"/>
    </row>
    <row r="619" spans="1:15" ht="15" customHeight="1">
      <c r="A619" s="1056" t="s">
        <v>2668</v>
      </c>
      <c r="B619" s="1062" t="s">
        <v>2669</v>
      </c>
      <c r="C619" s="1058" t="e">
        <f>VLOOKUP(B613,'LƯƠNG KT'!$D$15:$R$94,20,0)</f>
        <v>#N/A</v>
      </c>
      <c r="D619" s="1059" t="e">
        <f>+C619*$L$9</f>
        <v>#N/A</v>
      </c>
      <c r="E619" s="1061"/>
      <c r="F619" s="1061"/>
      <c r="G619" s="1056" t="s">
        <v>2668</v>
      </c>
      <c r="H619" s="1062" t="s">
        <v>2669</v>
      </c>
      <c r="I619" s="1058" t="e">
        <f>VLOOKUP(H613,'LƯƠNG KT'!$D$15:$R$94,20,0)</f>
        <v>#N/A</v>
      </c>
      <c r="J619" s="1059" t="e">
        <f>+I619*$L$9</f>
        <v>#N/A</v>
      </c>
      <c r="K619" s="1085"/>
      <c r="L619" s="1085"/>
      <c r="M619" s="1085"/>
      <c r="N619" s="1085"/>
      <c r="O619" s="1085"/>
    </row>
    <row r="620" spans="1:15" ht="15" customHeight="1">
      <c r="A620" s="1056" t="s">
        <v>2671</v>
      </c>
      <c r="B620" s="1057" t="s">
        <v>2672</v>
      </c>
      <c r="C620" s="1058" t="e">
        <f>VLOOKUP(B613,'LƯƠNG KT'!$D$15:$R$94,17,0)</f>
        <v>#N/A</v>
      </c>
      <c r="D620" s="1059" t="e">
        <f>+C620*$L$10</f>
        <v>#N/A</v>
      </c>
      <c r="E620" s="1061"/>
      <c r="F620" s="1061"/>
      <c r="G620" s="1056" t="s">
        <v>2671</v>
      </c>
      <c r="H620" s="1057" t="s">
        <v>2672</v>
      </c>
      <c r="I620" s="1058" t="e">
        <f>VLOOKUP(H613,'LƯƠNG KT'!$D$15:$R$94,17,0)</f>
        <v>#N/A</v>
      </c>
      <c r="J620" s="1059" t="e">
        <f>+I620*$L$10</f>
        <v>#N/A</v>
      </c>
      <c r="K620" s="1085"/>
      <c r="L620" s="1085"/>
      <c r="M620" s="1085"/>
      <c r="N620" s="1085"/>
      <c r="O620" s="1085"/>
    </row>
    <row r="621" spans="1:15" ht="15" customHeight="1">
      <c r="A621" s="1056" t="s">
        <v>374</v>
      </c>
      <c r="B621" s="1057" t="s">
        <v>2674</v>
      </c>
      <c r="C621" s="1058" t="e">
        <f>VLOOKUP(B613,'LƯƠNG KT'!$D$15:$R$94,12,0)</f>
        <v>#N/A</v>
      </c>
      <c r="D621" s="1059" t="e">
        <f>VLOOKUP(B613,'LƯƠNG KT'!$D$15:$R$94,14,0)</f>
        <v>#N/A</v>
      </c>
      <c r="E621" s="1063"/>
      <c r="F621" s="1061"/>
      <c r="G621" s="1056" t="s">
        <v>374</v>
      </c>
      <c r="H621" s="1057" t="s">
        <v>2674</v>
      </c>
      <c r="I621" s="1058" t="e">
        <f>VLOOKUP(H613,'LƯƠNG KT'!$D$15:$R$94,12,0)</f>
        <v>#N/A</v>
      </c>
      <c r="J621" s="1059" t="e">
        <f>VLOOKUP(H613,'LƯƠNG KT'!$D$15:$R$94,14,0)</f>
        <v>#N/A</v>
      </c>
      <c r="K621" s="1085"/>
      <c r="L621" s="1085"/>
      <c r="M621" s="1085"/>
      <c r="N621" s="1085"/>
      <c r="O621" s="1085"/>
    </row>
    <row r="622" spans="1:15" ht="15" customHeight="1">
      <c r="A622" s="1056" t="s">
        <v>2675</v>
      </c>
      <c r="B622" s="1057" t="s">
        <v>2676</v>
      </c>
      <c r="D622" s="1064" t="e">
        <f>VLOOKUP(B613,'LƯƠNG KT'!$D$15:$R$94,13,0)</f>
        <v>#N/A</v>
      </c>
      <c r="E622" s="1065"/>
      <c r="F622" s="1065"/>
      <c r="G622" s="1056" t="s">
        <v>2675</v>
      </c>
      <c r="H622" s="1057" t="s">
        <v>2676</v>
      </c>
      <c r="J622" s="1064" t="e">
        <f>VLOOKUP(H613,'LƯƠNG KT'!$D$15:$R$94,13,0)</f>
        <v>#N/A</v>
      </c>
    </row>
    <row r="623" spans="1:15" ht="15" customHeight="1">
      <c r="A623" s="1066"/>
      <c r="B623" s="869"/>
      <c r="C623" s="1058"/>
      <c r="D623" s="1059"/>
      <c r="E623" s="1063"/>
      <c r="F623" s="1065"/>
      <c r="G623" s="1066"/>
      <c r="H623" s="869"/>
      <c r="I623" s="1058"/>
      <c r="J623" s="1059"/>
    </row>
    <row r="624" spans="1:15" ht="15" customHeight="1">
      <c r="A624" s="1052"/>
      <c r="B624" s="869"/>
      <c r="C624" s="1058"/>
      <c r="D624" s="1059"/>
      <c r="E624" s="1067"/>
      <c r="F624" s="1051"/>
      <c r="G624" s="1052"/>
      <c r="H624" s="869"/>
      <c r="I624" s="1058"/>
      <c r="J624" s="1059"/>
    </row>
    <row r="625" spans="1:15" ht="15" customHeight="1">
      <c r="A625" s="1068" t="s">
        <v>383</v>
      </c>
      <c r="B625" s="1069" t="s">
        <v>384</v>
      </c>
      <c r="C625" s="1070"/>
      <c r="D625" s="1071" t="e">
        <f>SUM(D614:D621)-D624</f>
        <v>#N/A</v>
      </c>
      <c r="E625" s="1072"/>
      <c r="F625" s="1073"/>
      <c r="G625" s="1068" t="s">
        <v>383</v>
      </c>
      <c r="H625" s="1069" t="s">
        <v>384</v>
      </c>
      <c r="I625" s="1070"/>
      <c r="J625" s="1071" t="e">
        <f>SUM(J614:J621)-J624</f>
        <v>#N/A</v>
      </c>
    </row>
    <row r="626" spans="1:15" ht="18.75" customHeight="1">
      <c r="A626" s="1074"/>
      <c r="B626" s="1075"/>
      <c r="C626" s="1076"/>
      <c r="D626" s="1077"/>
      <c r="E626" s="1077"/>
      <c r="F626" s="1078"/>
      <c r="G626" s="1074"/>
      <c r="H626" s="1075"/>
      <c r="I626" s="1076"/>
      <c r="J626" s="1077"/>
    </row>
    <row r="627" spans="1:15" ht="150.75" customHeight="1">
      <c r="A627" s="1075"/>
      <c r="B627" s="1075"/>
      <c r="C627" s="1079"/>
      <c r="D627" s="1080"/>
      <c r="E627" s="1075"/>
      <c r="F627" s="1081"/>
      <c r="G627" s="1075"/>
      <c r="H627" s="1075"/>
      <c r="I627" s="1079"/>
      <c r="J627" s="1080"/>
    </row>
    <row r="628" spans="1:15" ht="15" customHeight="1">
      <c r="A628" s="2242" t="str">
        <f>$K$2</f>
        <v>THÁNG 04/2025</v>
      </c>
      <c r="B628" s="2242"/>
      <c r="C628" s="2242"/>
      <c r="D628" s="2242"/>
      <c r="E628" s="1050"/>
      <c r="F628" s="1051"/>
      <c r="G628" s="2242" t="str">
        <f>$K$2</f>
        <v>THÁNG 04/2025</v>
      </c>
      <c r="H628" s="2242"/>
      <c r="I628" s="2242"/>
      <c r="J628" s="2242"/>
    </row>
    <row r="629" spans="1:15" ht="15" customHeight="1">
      <c r="A629" s="1052" t="s">
        <v>356</v>
      </c>
      <c r="B629" s="1053" t="s">
        <v>470</v>
      </c>
      <c r="C629" s="869"/>
      <c r="D629" s="1049"/>
      <c r="E629" s="1054"/>
      <c r="F629" s="1055"/>
      <c r="G629" s="1052" t="s">
        <v>356</v>
      </c>
      <c r="H629" s="1053" t="s">
        <v>2628</v>
      </c>
      <c r="I629" s="869"/>
      <c r="J629" s="1049"/>
      <c r="L629" s="1088"/>
      <c r="M629" s="1088"/>
      <c r="N629" s="1088"/>
      <c r="O629" s="1088"/>
    </row>
    <row r="630" spans="1:15" ht="15" customHeight="1">
      <c r="A630" s="1056" t="s">
        <v>359</v>
      </c>
      <c r="B630" s="1057" t="s">
        <v>2662</v>
      </c>
      <c r="C630" s="1058" t="e">
        <f>VLOOKUP(B629,'LƯƠNG KT'!$D$15:$R$94,4,0)</f>
        <v>#N/A</v>
      </c>
      <c r="D630" s="1059" t="e">
        <f>+C630*25000</f>
        <v>#N/A</v>
      </c>
      <c r="E630" s="1060"/>
      <c r="F630" s="1060"/>
      <c r="G630" s="1056" t="s">
        <v>359</v>
      </c>
      <c r="H630" s="1057" t="s">
        <v>2662</v>
      </c>
      <c r="I630" s="1058" t="e">
        <f>VLOOKUP(H629,'LƯƠNG KT'!$D$15:$R$94,4,0)</f>
        <v>#N/A</v>
      </c>
      <c r="J630" s="1059" t="e">
        <f>+I630*25000</f>
        <v>#N/A</v>
      </c>
      <c r="K630" s="1085"/>
      <c r="L630" s="1085"/>
      <c r="M630" s="1085"/>
      <c r="N630" s="1085"/>
      <c r="O630" s="1085"/>
    </row>
    <row r="631" spans="1:15" ht="15" customHeight="1">
      <c r="A631" s="1056" t="s">
        <v>361</v>
      </c>
      <c r="B631" s="1057" t="s">
        <v>2663</v>
      </c>
      <c r="C631" s="1058" t="e">
        <f>VLOOKUP(B629,'LƯƠNG KT'!$D$15:$R$94,15,0)</f>
        <v>#N/A</v>
      </c>
      <c r="D631" s="1059" t="e">
        <f>C631*$L$4</f>
        <v>#N/A</v>
      </c>
      <c r="E631" s="1061"/>
      <c r="F631" s="1061"/>
      <c r="G631" s="1056" t="s">
        <v>361</v>
      </c>
      <c r="H631" s="1057" t="s">
        <v>2663</v>
      </c>
      <c r="I631" s="1058" t="e">
        <f>VLOOKUP(H629,'LƯƠNG KT'!$D$15:$R$94,15,0)</f>
        <v>#N/A</v>
      </c>
      <c r="J631" s="1059" t="e">
        <f>I631*$L$4</f>
        <v>#N/A</v>
      </c>
      <c r="K631" s="1085"/>
      <c r="L631" s="1085"/>
      <c r="M631" s="1085"/>
      <c r="N631" s="1085"/>
      <c r="O631" s="1085"/>
    </row>
    <row r="632" spans="1:15" ht="15" customHeight="1">
      <c r="A632" s="1056" t="s">
        <v>364</v>
      </c>
      <c r="B632" s="1057" t="s">
        <v>2664</v>
      </c>
      <c r="C632" s="1058" t="e">
        <f>VLOOKUP(B629,'LƯƠNG KT'!$D$15:$R$94,16,0)</f>
        <v>#N/A</v>
      </c>
      <c r="D632" s="1059" t="e">
        <f>C632*$L$5</f>
        <v>#N/A</v>
      </c>
      <c r="E632" s="1061"/>
      <c r="F632" s="1061"/>
      <c r="G632" s="1056" t="s">
        <v>364</v>
      </c>
      <c r="H632" s="1057" t="s">
        <v>2664</v>
      </c>
      <c r="I632" s="1058" t="e">
        <f>VLOOKUP(H629,'LƯƠNG KT'!$D$15:$R$94,16,0)</f>
        <v>#N/A</v>
      </c>
      <c r="J632" s="1059" t="e">
        <f>I632*$L$5</f>
        <v>#N/A</v>
      </c>
      <c r="K632" s="1085"/>
      <c r="L632" s="1085"/>
      <c r="M632" s="1085"/>
      <c r="N632" s="1085"/>
      <c r="O632" s="1085"/>
    </row>
    <row r="633" spans="1:15" ht="15" customHeight="1">
      <c r="A633" s="1056" t="s">
        <v>370</v>
      </c>
      <c r="B633" s="1057" t="s">
        <v>2665</v>
      </c>
      <c r="C633" s="1058" t="e">
        <f>VLOOKUP(B629,'LƯƠNG KT'!$D$15:$R$94,24,0)</f>
        <v>#N/A</v>
      </c>
      <c r="D633" s="1059" t="e">
        <f>+C633*$L$6</f>
        <v>#N/A</v>
      </c>
      <c r="E633" s="1061"/>
      <c r="F633" s="1061"/>
      <c r="G633" s="1056" t="s">
        <v>370</v>
      </c>
      <c r="H633" s="1057" t="s">
        <v>2665</v>
      </c>
      <c r="I633" s="1058" t="e">
        <f>VLOOKUP(H629,'LƯƠNG KT'!$D$15:$R$94,24,0)</f>
        <v>#N/A</v>
      </c>
      <c r="J633" s="1059" t="e">
        <f>+I633*$L$6</f>
        <v>#N/A</v>
      </c>
      <c r="K633" s="1085"/>
      <c r="L633" s="1085"/>
      <c r="M633" s="1085"/>
      <c r="N633" s="1085"/>
      <c r="O633" s="1085"/>
    </row>
    <row r="634" spans="1:15" ht="15" customHeight="1">
      <c r="A634" s="1056" t="s">
        <v>2666</v>
      </c>
      <c r="B634" s="1057" t="s">
        <v>2667</v>
      </c>
      <c r="C634" s="1058" t="e">
        <f>VLOOKUP(B629,'LƯƠNG KT'!$D$15:$R$94,19,0)</f>
        <v>#N/A</v>
      </c>
      <c r="D634" s="1059" t="e">
        <f>+C634*$L$8</f>
        <v>#N/A</v>
      </c>
      <c r="E634" s="1061"/>
      <c r="F634" s="1061"/>
      <c r="G634" s="1056" t="s">
        <v>2666</v>
      </c>
      <c r="H634" s="1057" t="s">
        <v>2667</v>
      </c>
      <c r="I634" s="1058" t="e">
        <f>VLOOKUP(H629,'LƯƠNG KT'!$D$15:$R$94,19,0)</f>
        <v>#N/A</v>
      </c>
      <c r="J634" s="1059" t="e">
        <f>+I634*$L$8</f>
        <v>#N/A</v>
      </c>
      <c r="K634" s="1085"/>
      <c r="L634" s="1085"/>
      <c r="M634" s="1085"/>
      <c r="N634" s="1085"/>
      <c r="O634" s="1085"/>
    </row>
    <row r="635" spans="1:15" ht="15" customHeight="1">
      <c r="A635" s="1056" t="s">
        <v>2668</v>
      </c>
      <c r="B635" s="1062" t="s">
        <v>2669</v>
      </c>
      <c r="C635" s="1058" t="e">
        <f>VLOOKUP(B629,'LƯƠNG KT'!$D$15:$R$94,20,0)</f>
        <v>#N/A</v>
      </c>
      <c r="D635" s="1059" t="e">
        <f>+C635*$L$9</f>
        <v>#N/A</v>
      </c>
      <c r="E635" s="1061"/>
      <c r="F635" s="1061"/>
      <c r="G635" s="1056" t="s">
        <v>2668</v>
      </c>
      <c r="H635" s="1062" t="s">
        <v>2669</v>
      </c>
      <c r="I635" s="1058" t="e">
        <f>VLOOKUP(H629,'LƯƠNG KT'!$D$15:$R$94,20,0)</f>
        <v>#N/A</v>
      </c>
      <c r="J635" s="1059" t="e">
        <f>+I635*$L$9</f>
        <v>#N/A</v>
      </c>
      <c r="K635" s="1085"/>
      <c r="L635" s="1085"/>
      <c r="M635" s="1085"/>
      <c r="N635" s="1085"/>
      <c r="O635" s="1085"/>
    </row>
    <row r="636" spans="1:15" ht="15" customHeight="1">
      <c r="A636" s="1056" t="s">
        <v>2671</v>
      </c>
      <c r="B636" s="1057" t="s">
        <v>2672</v>
      </c>
      <c r="C636" s="1058" t="e">
        <f>VLOOKUP(B629,'LƯƠNG KT'!$D$15:$R$94,17,0)</f>
        <v>#N/A</v>
      </c>
      <c r="D636" s="1059" t="e">
        <f>+C636*$L$10</f>
        <v>#N/A</v>
      </c>
      <c r="E636" s="1061"/>
      <c r="F636" s="1061"/>
      <c r="G636" s="1056" t="s">
        <v>2671</v>
      </c>
      <c r="H636" s="1057" t="s">
        <v>2672</v>
      </c>
      <c r="I636" s="1058" t="e">
        <f>VLOOKUP(H629,'LƯƠNG KT'!$D$15:$R$94,17,0)</f>
        <v>#N/A</v>
      </c>
      <c r="J636" s="1059" t="e">
        <f>+I636*$L$10</f>
        <v>#N/A</v>
      </c>
      <c r="K636" s="1085"/>
      <c r="L636" s="1085"/>
      <c r="M636" s="1085"/>
      <c r="N636" s="1085"/>
      <c r="O636" s="1085"/>
    </row>
    <row r="637" spans="1:15" ht="15" customHeight="1">
      <c r="A637" s="1056" t="s">
        <v>374</v>
      </c>
      <c r="B637" s="1057" t="s">
        <v>2674</v>
      </c>
      <c r="C637" s="1058" t="e">
        <f>VLOOKUP(B629,'LƯƠNG KT'!$D$15:$R$94,12,0)</f>
        <v>#N/A</v>
      </c>
      <c r="D637" s="1059" t="e">
        <f>VLOOKUP(B629,'LƯƠNG KT'!$D$15:$R$94,14,0)</f>
        <v>#N/A</v>
      </c>
      <c r="E637" s="1063"/>
      <c r="F637" s="1061"/>
      <c r="G637" s="1056" t="s">
        <v>374</v>
      </c>
      <c r="H637" s="1057" t="s">
        <v>2674</v>
      </c>
      <c r="I637" s="1058" t="e">
        <f>VLOOKUP(H629,'LƯƠNG KT'!$D$15:$R$94,12,0)</f>
        <v>#N/A</v>
      </c>
      <c r="J637" s="1059" t="e">
        <f>VLOOKUP(H629,'LƯƠNG KT'!$D$15:$R$94,14,0)</f>
        <v>#N/A</v>
      </c>
      <c r="K637" s="1085"/>
      <c r="L637" s="1085"/>
      <c r="M637" s="1085"/>
      <c r="N637" s="1085"/>
      <c r="O637" s="1085"/>
    </row>
    <row r="638" spans="1:15" ht="15" customHeight="1">
      <c r="A638" s="1056" t="s">
        <v>2675</v>
      </c>
      <c r="B638" s="1057" t="s">
        <v>2676</v>
      </c>
      <c r="D638" s="1064" t="e">
        <f>VLOOKUP(B629,'LƯƠNG KT'!$D$15:$R$94,13,0)</f>
        <v>#N/A</v>
      </c>
      <c r="E638" s="1065"/>
      <c r="F638" s="1065"/>
      <c r="G638" s="1056" t="s">
        <v>2675</v>
      </c>
      <c r="H638" s="1057" t="s">
        <v>2676</v>
      </c>
      <c r="J638" s="1064" t="e">
        <f>VLOOKUP(H629,'LƯƠNG KT'!$D$15:$R$94,13,0)</f>
        <v>#N/A</v>
      </c>
    </row>
    <row r="639" spans="1:15" ht="15" customHeight="1">
      <c r="A639" s="1066"/>
      <c r="B639" s="869"/>
      <c r="C639" s="1058"/>
      <c r="D639" s="1059"/>
      <c r="E639" s="1063"/>
      <c r="F639" s="1065"/>
      <c r="G639" s="1066"/>
      <c r="H639" s="869"/>
      <c r="I639" s="1058"/>
      <c r="J639" s="1059"/>
    </row>
    <row r="640" spans="1:15" ht="15" customHeight="1">
      <c r="A640" s="1052"/>
      <c r="B640" s="869"/>
      <c r="C640" s="1058"/>
      <c r="D640" s="1059"/>
      <c r="E640" s="1067"/>
      <c r="F640" s="1051"/>
      <c r="G640" s="1052"/>
      <c r="H640" s="869"/>
      <c r="I640" s="1058"/>
      <c r="J640" s="1059"/>
    </row>
    <row r="641" spans="1:15" ht="15" customHeight="1">
      <c r="A641" s="1068" t="s">
        <v>383</v>
      </c>
      <c r="B641" s="1069" t="s">
        <v>384</v>
      </c>
      <c r="C641" s="1070"/>
      <c r="D641" s="1071" t="e">
        <f>SUM(D630:D637)-D640</f>
        <v>#N/A</v>
      </c>
      <c r="E641" s="1072"/>
      <c r="F641" s="1073"/>
      <c r="G641" s="1068" t="s">
        <v>383</v>
      </c>
      <c r="H641" s="1069" t="s">
        <v>384</v>
      </c>
      <c r="I641" s="1070"/>
      <c r="J641" s="1071" t="e">
        <f>SUM(J630:J637)-J640</f>
        <v>#N/A</v>
      </c>
    </row>
    <row r="642" spans="1:15" ht="18.75" customHeight="1">
      <c r="A642" s="1074"/>
      <c r="B642" s="1075"/>
      <c r="C642" s="1076"/>
      <c r="D642" s="1077"/>
      <c r="E642" s="1077"/>
      <c r="F642" s="1078"/>
      <c r="G642" s="1074"/>
      <c r="H642" s="1075"/>
      <c r="I642" s="1076"/>
      <c r="J642" s="1077"/>
    </row>
    <row r="643" spans="1:15" ht="18.75" customHeight="1">
      <c r="A643" s="1075"/>
      <c r="B643" s="1075"/>
      <c r="C643" s="1079"/>
      <c r="D643" s="1080"/>
      <c r="E643" s="1075"/>
      <c r="F643" s="1081"/>
      <c r="G643" s="1075"/>
      <c r="H643" s="1075"/>
      <c r="I643" s="1079"/>
      <c r="J643" s="1080"/>
    </row>
    <row r="644" spans="1:15" ht="15" customHeight="1">
      <c r="A644" s="2242" t="str">
        <f>$K$2</f>
        <v>THÁNG 04/2025</v>
      </c>
      <c r="B644" s="2242"/>
      <c r="C644" s="2242"/>
      <c r="D644" s="2242"/>
      <c r="E644" s="1050"/>
      <c r="F644" s="1051"/>
      <c r="G644" s="2242" t="str">
        <f>$K$2</f>
        <v>THÁNG 04/2025</v>
      </c>
      <c r="H644" s="2242"/>
      <c r="I644" s="2242"/>
      <c r="J644" s="2242"/>
      <c r="K644" s="624"/>
    </row>
    <row r="645" spans="1:15" ht="15" customHeight="1">
      <c r="A645" s="1052" t="s">
        <v>356</v>
      </c>
      <c r="B645" s="1053" t="s">
        <v>451</v>
      </c>
      <c r="C645" s="869"/>
      <c r="D645" s="1049"/>
      <c r="E645" s="1054"/>
      <c r="F645" s="1055"/>
      <c r="G645" s="1052" t="s">
        <v>356</v>
      </c>
      <c r="H645" s="1053" t="s">
        <v>452</v>
      </c>
      <c r="I645" s="869"/>
      <c r="J645" s="1049"/>
      <c r="L645" s="1088"/>
      <c r="M645" s="1088"/>
      <c r="N645" s="1088"/>
      <c r="O645" s="1088"/>
    </row>
    <row r="646" spans="1:15" ht="15" customHeight="1">
      <c r="A646" s="1056" t="s">
        <v>359</v>
      </c>
      <c r="B646" s="1057" t="s">
        <v>2662</v>
      </c>
      <c r="C646" s="1058" t="e">
        <f>VLOOKUP(B645,'LƯƠNG KT'!$D$15:$R$94,4,0)</f>
        <v>#N/A</v>
      </c>
      <c r="D646" s="1059" t="e">
        <f>+C646*25000</f>
        <v>#N/A</v>
      </c>
      <c r="E646" s="1060"/>
      <c r="F646" s="1060"/>
      <c r="G646" s="1056" t="s">
        <v>359</v>
      </c>
      <c r="H646" s="1057" t="s">
        <v>2662</v>
      </c>
      <c r="I646" s="1058" t="e">
        <f>VLOOKUP(H645,'LƯƠNG KT'!$D$15:$R$94,4,0)</f>
        <v>#N/A</v>
      </c>
      <c r="J646" s="1059" t="e">
        <f>+I646*25000</f>
        <v>#N/A</v>
      </c>
      <c r="K646" s="1085"/>
      <c r="L646" s="1085"/>
      <c r="M646" s="1085"/>
      <c r="N646" s="1085"/>
      <c r="O646" s="1085"/>
    </row>
    <row r="647" spans="1:15" ht="15" customHeight="1">
      <c r="A647" s="1056" t="s">
        <v>361</v>
      </c>
      <c r="B647" s="1057" t="s">
        <v>2663</v>
      </c>
      <c r="C647" s="1058" t="e">
        <f>VLOOKUP(B645,'LƯƠNG KT'!$D$15:$R$94,15,0)</f>
        <v>#N/A</v>
      </c>
      <c r="D647" s="1059" t="e">
        <f>C647*$L$4</f>
        <v>#N/A</v>
      </c>
      <c r="E647" s="1061"/>
      <c r="F647" s="1061"/>
      <c r="G647" s="1056" t="s">
        <v>361</v>
      </c>
      <c r="H647" s="1057" t="s">
        <v>2663</v>
      </c>
      <c r="I647" s="1058" t="e">
        <f>VLOOKUP(H645,'LƯƠNG KT'!$D$15:$R$94,15,0)</f>
        <v>#N/A</v>
      </c>
      <c r="J647" s="1059" t="e">
        <f>I647*$L$4</f>
        <v>#N/A</v>
      </c>
      <c r="K647" s="1085"/>
      <c r="L647" s="1085"/>
      <c r="M647" s="1085"/>
      <c r="N647" s="1085"/>
      <c r="O647" s="1085"/>
    </row>
    <row r="648" spans="1:15" ht="15" customHeight="1">
      <c r="A648" s="1056" t="s">
        <v>364</v>
      </c>
      <c r="B648" s="1057" t="s">
        <v>2664</v>
      </c>
      <c r="C648" s="1058" t="e">
        <f>VLOOKUP(B645,'LƯƠNG KT'!$D$15:$R$94,16,0)</f>
        <v>#N/A</v>
      </c>
      <c r="D648" s="1059" t="e">
        <f>C648*$L$5</f>
        <v>#N/A</v>
      </c>
      <c r="E648" s="1061"/>
      <c r="F648" s="1061"/>
      <c r="G648" s="1056" t="s">
        <v>364</v>
      </c>
      <c r="H648" s="1057" t="s">
        <v>2664</v>
      </c>
      <c r="I648" s="1058" t="e">
        <f>VLOOKUP(H645,'LƯƠNG KT'!$D$15:$R$94,16,0)</f>
        <v>#N/A</v>
      </c>
      <c r="J648" s="1059" t="e">
        <f>I648*$L$5</f>
        <v>#N/A</v>
      </c>
      <c r="K648" s="1085"/>
      <c r="L648" s="1085"/>
      <c r="M648" s="1085"/>
      <c r="N648" s="1085"/>
      <c r="O648" s="1085"/>
    </row>
    <row r="649" spans="1:15" ht="15" customHeight="1">
      <c r="A649" s="1056" t="s">
        <v>370</v>
      </c>
      <c r="B649" s="1057" t="s">
        <v>2665</v>
      </c>
      <c r="C649" s="1058" t="e">
        <f>VLOOKUP(B645,'LƯƠNG KT'!$D$15:$R$94,24,0)</f>
        <v>#N/A</v>
      </c>
      <c r="D649" s="1059" t="e">
        <f>+C649*$L$6</f>
        <v>#N/A</v>
      </c>
      <c r="E649" s="1061"/>
      <c r="F649" s="1061"/>
      <c r="G649" s="1056" t="s">
        <v>370</v>
      </c>
      <c r="H649" s="1057" t="s">
        <v>2665</v>
      </c>
      <c r="I649" s="1058" t="e">
        <f>VLOOKUP(H645,'LƯƠNG KT'!$D$15:$R$94,24,0)</f>
        <v>#N/A</v>
      </c>
      <c r="J649" s="1059" t="e">
        <f>+I649*$L$6</f>
        <v>#N/A</v>
      </c>
      <c r="K649" s="1085"/>
      <c r="L649" s="1085"/>
      <c r="M649" s="1085"/>
      <c r="N649" s="1085"/>
      <c r="O649" s="1085"/>
    </row>
    <row r="650" spans="1:15" ht="15" customHeight="1">
      <c r="A650" s="1056" t="s">
        <v>2666</v>
      </c>
      <c r="B650" s="1057" t="s">
        <v>2667</v>
      </c>
      <c r="C650" s="1058" t="e">
        <f>VLOOKUP(B645,'LƯƠNG KT'!$D$15:$R$94,19,0)</f>
        <v>#N/A</v>
      </c>
      <c r="D650" s="1059" t="e">
        <f>+C650*$L$8</f>
        <v>#N/A</v>
      </c>
      <c r="E650" s="1061"/>
      <c r="F650" s="1061"/>
      <c r="G650" s="1056" t="s">
        <v>2666</v>
      </c>
      <c r="H650" s="1057" t="s">
        <v>2667</v>
      </c>
      <c r="I650" s="1058" t="e">
        <f>VLOOKUP(H645,'LƯƠNG KT'!$D$15:$R$94,19,0)</f>
        <v>#N/A</v>
      </c>
      <c r="J650" s="1059" t="e">
        <f>+I650*$L$8</f>
        <v>#N/A</v>
      </c>
      <c r="K650" s="1085"/>
      <c r="L650" s="1085"/>
      <c r="M650" s="1085"/>
      <c r="N650" s="1085"/>
      <c r="O650" s="1085"/>
    </row>
    <row r="651" spans="1:15" ht="15" customHeight="1">
      <c r="A651" s="1056" t="s">
        <v>2668</v>
      </c>
      <c r="B651" s="1062" t="s">
        <v>2669</v>
      </c>
      <c r="C651" s="1058" t="e">
        <f>VLOOKUP(B645,'LƯƠNG KT'!$D$15:$R$94,20,0)</f>
        <v>#N/A</v>
      </c>
      <c r="D651" s="1059" t="e">
        <f>+C651*$L$9</f>
        <v>#N/A</v>
      </c>
      <c r="E651" s="1061"/>
      <c r="F651" s="1061"/>
      <c r="G651" s="1056" t="s">
        <v>2668</v>
      </c>
      <c r="H651" s="1062" t="s">
        <v>2669</v>
      </c>
      <c r="I651" s="1058" t="e">
        <f>VLOOKUP(H645,'LƯƠNG KT'!$D$15:$R$94,20,0)</f>
        <v>#N/A</v>
      </c>
      <c r="J651" s="1059" t="e">
        <f>+I651*$L$9</f>
        <v>#N/A</v>
      </c>
      <c r="K651" s="1085"/>
      <c r="L651" s="1085"/>
      <c r="M651" s="1085"/>
      <c r="N651" s="1085"/>
      <c r="O651" s="1085"/>
    </row>
    <row r="652" spans="1:15" ht="15" customHeight="1">
      <c r="A652" s="1056" t="s">
        <v>2671</v>
      </c>
      <c r="B652" s="1057" t="s">
        <v>2672</v>
      </c>
      <c r="C652" s="1058" t="e">
        <f>VLOOKUP(B645,'LƯƠNG KT'!$D$15:$R$94,17,0)</f>
        <v>#N/A</v>
      </c>
      <c r="D652" s="1059" t="e">
        <f>+C652*$L$10</f>
        <v>#N/A</v>
      </c>
      <c r="E652" s="1061"/>
      <c r="F652" s="1061"/>
      <c r="G652" s="1056" t="s">
        <v>2671</v>
      </c>
      <c r="H652" s="1057" t="s">
        <v>2672</v>
      </c>
      <c r="I652" s="1058" t="e">
        <f>VLOOKUP(H645,'LƯƠNG KT'!$D$15:$R$94,17,0)</f>
        <v>#N/A</v>
      </c>
      <c r="J652" s="1059" t="e">
        <f>+I652*$L$10</f>
        <v>#N/A</v>
      </c>
      <c r="K652" s="1085"/>
      <c r="L652" s="1085"/>
      <c r="M652" s="1085"/>
      <c r="N652" s="1085"/>
      <c r="O652" s="1085"/>
    </row>
    <row r="653" spans="1:15" ht="15" customHeight="1">
      <c r="A653" s="1056" t="s">
        <v>374</v>
      </c>
      <c r="B653" s="1057" t="s">
        <v>2674</v>
      </c>
      <c r="C653" s="1058" t="e">
        <f>VLOOKUP(B645,'LƯƠNG KT'!$D$15:$R$94,12,0)</f>
        <v>#N/A</v>
      </c>
      <c r="D653" s="1059" t="e">
        <f>VLOOKUP(B645,'LƯƠNG KT'!$D$15:$R$94,14,0)</f>
        <v>#N/A</v>
      </c>
      <c r="E653" s="1063"/>
      <c r="F653" s="1061"/>
      <c r="G653" s="1056" t="s">
        <v>374</v>
      </c>
      <c r="H653" s="1057" t="s">
        <v>2674</v>
      </c>
      <c r="I653" s="1058" t="e">
        <f>VLOOKUP(H645,'LƯƠNG KT'!$D$15:$R$94,12,0)</f>
        <v>#N/A</v>
      </c>
      <c r="J653" s="1059" t="e">
        <f>VLOOKUP(H645,'LƯƠNG KT'!$D$15:$R$94,14,0)</f>
        <v>#N/A</v>
      </c>
      <c r="K653" s="1085"/>
      <c r="L653" s="1085"/>
      <c r="M653" s="1085"/>
      <c r="N653" s="1085"/>
      <c r="O653" s="1085"/>
    </row>
    <row r="654" spans="1:15" ht="15" customHeight="1">
      <c r="A654" s="1056" t="s">
        <v>2675</v>
      </c>
      <c r="B654" s="1057" t="s">
        <v>2676</v>
      </c>
      <c r="D654" s="1064" t="e">
        <f>VLOOKUP(B645,'LƯƠNG KT'!$D$15:$R$94,13,0)</f>
        <v>#N/A</v>
      </c>
      <c r="E654" s="1065"/>
      <c r="F654" s="1065"/>
      <c r="G654" s="1056" t="s">
        <v>2675</v>
      </c>
      <c r="H654" s="1057" t="s">
        <v>2676</v>
      </c>
      <c r="J654" s="1064" t="e">
        <f>VLOOKUP(H645,'LƯƠNG KT'!$D$15:$R$94,13,0)</f>
        <v>#N/A</v>
      </c>
    </row>
    <row r="655" spans="1:15" ht="15" customHeight="1">
      <c r="A655" s="1066"/>
      <c r="B655" s="869"/>
      <c r="C655" s="1058"/>
      <c r="D655" s="1059"/>
      <c r="E655" s="1063"/>
      <c r="F655" s="1065"/>
      <c r="G655" s="1066"/>
      <c r="H655" s="869"/>
      <c r="I655" s="1058"/>
      <c r="J655" s="1059"/>
    </row>
    <row r="656" spans="1:15" ht="15" customHeight="1">
      <c r="A656" s="1052"/>
      <c r="B656" s="869"/>
      <c r="C656" s="1058"/>
      <c r="D656" s="1059"/>
      <c r="E656" s="1067"/>
      <c r="F656" s="1051"/>
      <c r="G656" s="1052"/>
      <c r="H656" s="869"/>
      <c r="I656" s="1058"/>
      <c r="J656" s="1059"/>
    </row>
    <row r="657" spans="1:15" ht="15" customHeight="1">
      <c r="A657" s="1068" t="s">
        <v>383</v>
      </c>
      <c r="B657" s="1069" t="s">
        <v>384</v>
      </c>
      <c r="C657" s="1070"/>
      <c r="D657" s="1071" t="e">
        <f>SUM(D646:D653)-D656</f>
        <v>#N/A</v>
      </c>
      <c r="E657" s="1072"/>
      <c r="F657" s="1073"/>
      <c r="G657" s="1068" t="s">
        <v>383</v>
      </c>
      <c r="H657" s="1069" t="s">
        <v>384</v>
      </c>
      <c r="I657" s="1070"/>
      <c r="J657" s="1071" t="e">
        <f>SUM(J646:J653)-J656</f>
        <v>#N/A</v>
      </c>
    </row>
    <row r="658" spans="1:15" ht="15.75" customHeight="1">
      <c r="A658" s="1074"/>
      <c r="B658" s="1075"/>
      <c r="C658" s="1076"/>
      <c r="D658" s="1077"/>
      <c r="E658" s="1077"/>
      <c r="F658" s="1078"/>
      <c r="G658" s="1074"/>
      <c r="H658" s="1075"/>
      <c r="I658" s="1076"/>
      <c r="J658" s="1077"/>
    </row>
    <row r="660" spans="1:15" ht="12" customHeight="1">
      <c r="A660" s="2243"/>
      <c r="B660" s="2243"/>
      <c r="C660" s="2243"/>
      <c r="D660" s="2243"/>
      <c r="E660" s="2243"/>
      <c r="F660" s="2243"/>
      <c r="G660" s="2243"/>
      <c r="H660" s="2243"/>
      <c r="I660" s="2243"/>
      <c r="J660" s="2243"/>
    </row>
    <row r="661" spans="1:15" ht="15" customHeight="1">
      <c r="A661" s="2242" t="str">
        <f>$K$2</f>
        <v>THÁNG 04/2025</v>
      </c>
      <c r="B661" s="2242"/>
      <c r="C661" s="2242"/>
      <c r="D661" s="2242"/>
      <c r="E661" s="1050"/>
      <c r="F661" s="1051"/>
      <c r="G661" s="2242" t="str">
        <f>$K$2</f>
        <v>THÁNG 04/2025</v>
      </c>
      <c r="H661" s="2242"/>
      <c r="I661" s="2242"/>
      <c r="J661" s="2242"/>
      <c r="K661" s="624"/>
    </row>
    <row r="662" spans="1:15" ht="15" customHeight="1">
      <c r="A662" s="1052" t="s">
        <v>356</v>
      </c>
      <c r="B662" s="1053" t="s">
        <v>453</v>
      </c>
      <c r="C662" s="869"/>
      <c r="D662" s="1049"/>
      <c r="E662" s="1054"/>
      <c r="F662" s="1055"/>
      <c r="G662" s="1052" t="s">
        <v>356</v>
      </c>
      <c r="H662" s="1053" t="s">
        <v>454</v>
      </c>
      <c r="I662" s="869"/>
      <c r="J662" s="1049"/>
      <c r="L662" s="1088"/>
      <c r="M662" s="1088"/>
      <c r="N662" s="1088"/>
      <c r="O662" s="1088"/>
    </row>
    <row r="663" spans="1:15" ht="15" customHeight="1">
      <c r="A663" s="1056" t="s">
        <v>359</v>
      </c>
      <c r="B663" s="1057" t="s">
        <v>2662</v>
      </c>
      <c r="C663" s="1058" t="e">
        <f>VLOOKUP(B662,'LƯƠNG KT'!$D$15:$R$94,4,0)</f>
        <v>#N/A</v>
      </c>
      <c r="D663" s="1059" t="e">
        <f>+C663*25000</f>
        <v>#N/A</v>
      </c>
      <c r="E663" s="1060"/>
      <c r="F663" s="1060"/>
      <c r="G663" s="1056" t="s">
        <v>359</v>
      </c>
      <c r="H663" s="1057" t="s">
        <v>2662</v>
      </c>
      <c r="I663" s="1058" t="e">
        <f>VLOOKUP(H662,'LƯƠNG KT'!$D$15:$R$94,4,0)</f>
        <v>#N/A</v>
      </c>
      <c r="J663" s="1059" t="e">
        <f>+I663*25000</f>
        <v>#N/A</v>
      </c>
      <c r="K663" s="1084"/>
      <c r="L663" s="1085"/>
      <c r="M663" s="1085"/>
      <c r="N663" s="1085"/>
      <c r="O663" s="1085"/>
    </row>
    <row r="664" spans="1:15" ht="15" customHeight="1">
      <c r="A664" s="1056" t="s">
        <v>361</v>
      </c>
      <c r="B664" s="1057" t="s">
        <v>2663</v>
      </c>
      <c r="C664" s="1058" t="e">
        <f>VLOOKUP(B662,'LƯƠNG KT'!$D$15:$R$94,15,0)</f>
        <v>#N/A</v>
      </c>
      <c r="D664" s="1059" t="e">
        <f>C664*$L$4</f>
        <v>#N/A</v>
      </c>
      <c r="E664" s="1061"/>
      <c r="F664" s="1061"/>
      <c r="G664" s="1056" t="s">
        <v>361</v>
      </c>
      <c r="H664" s="1057" t="s">
        <v>2663</v>
      </c>
      <c r="I664" s="1058" t="e">
        <f>VLOOKUP(H662,'LƯƠNG KT'!$D$15:$R$94,15,0)</f>
        <v>#N/A</v>
      </c>
      <c r="J664" s="1059" t="e">
        <f>I664*$L$4</f>
        <v>#N/A</v>
      </c>
      <c r="K664" s="1084"/>
      <c r="L664" s="1085"/>
      <c r="M664" s="1085"/>
      <c r="N664" s="1085"/>
      <c r="O664" s="1085"/>
    </row>
    <row r="665" spans="1:15" ht="15" customHeight="1">
      <c r="A665" s="1056" t="s">
        <v>364</v>
      </c>
      <c r="B665" s="1057" t="s">
        <v>2664</v>
      </c>
      <c r="C665" s="1058" t="e">
        <f>VLOOKUP(B662,'LƯƠNG KT'!$D$15:$R$94,16,0)</f>
        <v>#N/A</v>
      </c>
      <c r="D665" s="1059" t="e">
        <f>C665*$L$5</f>
        <v>#N/A</v>
      </c>
      <c r="E665" s="1061"/>
      <c r="F665" s="1061"/>
      <c r="G665" s="1056" t="s">
        <v>364</v>
      </c>
      <c r="H665" s="1057" t="s">
        <v>2664</v>
      </c>
      <c r="I665" s="1058" t="e">
        <f>VLOOKUP(H662,'LƯƠNG KT'!$D$15:$R$94,16,0)</f>
        <v>#N/A</v>
      </c>
      <c r="J665" s="1059" t="e">
        <f>I665*$L$5</f>
        <v>#N/A</v>
      </c>
      <c r="K665" s="1084"/>
      <c r="L665" s="1085"/>
      <c r="M665" s="1085"/>
      <c r="N665" s="1085"/>
      <c r="O665" s="1085"/>
    </row>
    <row r="666" spans="1:15" ht="15" customHeight="1">
      <c r="A666" s="1056" t="s">
        <v>370</v>
      </c>
      <c r="B666" s="1057" t="s">
        <v>2665</v>
      </c>
      <c r="C666" s="1058" t="e">
        <f>VLOOKUP(B662,'LƯƠNG KT'!$D$15:$R$94,24,0)</f>
        <v>#N/A</v>
      </c>
      <c r="D666" s="1059" t="e">
        <f>+C666*$L$6</f>
        <v>#N/A</v>
      </c>
      <c r="E666" s="1061"/>
      <c r="F666" s="1061"/>
      <c r="G666" s="1056" t="s">
        <v>370</v>
      </c>
      <c r="H666" s="1057" t="s">
        <v>2665</v>
      </c>
      <c r="I666" s="1058" t="e">
        <f>VLOOKUP(H662,'LƯƠNG KT'!$D$15:$R$94,24,0)</f>
        <v>#N/A</v>
      </c>
      <c r="J666" s="1059" t="e">
        <f>+I666*$L$6</f>
        <v>#N/A</v>
      </c>
      <c r="K666" s="1085"/>
      <c r="L666" s="1085"/>
      <c r="M666" s="1085"/>
      <c r="N666" s="1085"/>
      <c r="O666" s="1085"/>
    </row>
    <row r="667" spans="1:15" ht="15" customHeight="1">
      <c r="A667" s="1056" t="s">
        <v>2666</v>
      </c>
      <c r="B667" s="1057" t="s">
        <v>2667</v>
      </c>
      <c r="C667" s="1058" t="e">
        <f>VLOOKUP(B662,'LƯƠNG KT'!$D$15:$R$94,19,0)</f>
        <v>#N/A</v>
      </c>
      <c r="D667" s="1059" t="e">
        <f>+C667*$L$8</f>
        <v>#N/A</v>
      </c>
      <c r="E667" s="1061"/>
      <c r="F667" s="1061"/>
      <c r="G667" s="1056" t="s">
        <v>2666</v>
      </c>
      <c r="H667" s="1057" t="s">
        <v>2667</v>
      </c>
      <c r="I667" s="1058" t="e">
        <f>VLOOKUP(H662,'LƯƠNG KT'!$D$15:$R$94,19,0)</f>
        <v>#N/A</v>
      </c>
      <c r="J667" s="1059" t="e">
        <f>+I667*$L$8</f>
        <v>#N/A</v>
      </c>
      <c r="K667" s="1085"/>
      <c r="L667" s="1085"/>
      <c r="M667" s="1085"/>
      <c r="N667" s="1085"/>
      <c r="O667" s="1085"/>
    </row>
    <row r="668" spans="1:15" ht="15" customHeight="1">
      <c r="A668" s="1056" t="s">
        <v>2668</v>
      </c>
      <c r="B668" s="1062" t="s">
        <v>2669</v>
      </c>
      <c r="C668" s="1058" t="e">
        <f>VLOOKUP(B662,'LƯƠNG KT'!$D$15:$R$94,20,0)</f>
        <v>#N/A</v>
      </c>
      <c r="D668" s="1059" t="e">
        <f>+C668*$L$9</f>
        <v>#N/A</v>
      </c>
      <c r="E668" s="1061"/>
      <c r="F668" s="1061"/>
      <c r="G668" s="1056" t="s">
        <v>2668</v>
      </c>
      <c r="H668" s="1062" t="s">
        <v>2669</v>
      </c>
      <c r="I668" s="1058" t="e">
        <f>VLOOKUP(H662,'LƯƠNG KT'!$D$15:$R$94,20,0)</f>
        <v>#N/A</v>
      </c>
      <c r="J668" s="1059" t="e">
        <f>+I668*$L$9</f>
        <v>#N/A</v>
      </c>
      <c r="K668" s="1085"/>
      <c r="L668" s="1085"/>
      <c r="M668" s="1085"/>
      <c r="N668" s="1085"/>
      <c r="O668" s="1085"/>
    </row>
    <row r="669" spans="1:15" ht="15" customHeight="1">
      <c r="A669" s="1056" t="s">
        <v>2671</v>
      </c>
      <c r="B669" s="1057" t="s">
        <v>2672</v>
      </c>
      <c r="C669" s="1058" t="e">
        <f>VLOOKUP(B662,'LƯƠNG KT'!$D$15:$R$94,17,0)</f>
        <v>#N/A</v>
      </c>
      <c r="D669" s="1059" t="e">
        <f>+C669*$L$10</f>
        <v>#N/A</v>
      </c>
      <c r="E669" s="1061"/>
      <c r="F669" s="1061"/>
      <c r="G669" s="1056" t="s">
        <v>2671</v>
      </c>
      <c r="H669" s="1057" t="s">
        <v>2672</v>
      </c>
      <c r="I669" s="1058" t="e">
        <f>VLOOKUP(H662,'LƯƠNG KT'!$D$15:$R$94,17,0)</f>
        <v>#N/A</v>
      </c>
      <c r="J669" s="1059" t="e">
        <f>+I669*$L$10</f>
        <v>#N/A</v>
      </c>
      <c r="K669" s="1085"/>
      <c r="L669" s="1085"/>
      <c r="M669" s="1085"/>
      <c r="N669" s="1085"/>
      <c r="O669" s="1085"/>
    </row>
    <row r="670" spans="1:15" ht="15" customHeight="1">
      <c r="A670" s="1056" t="s">
        <v>374</v>
      </c>
      <c r="B670" s="1057" t="s">
        <v>2674</v>
      </c>
      <c r="C670" s="1058" t="e">
        <f>VLOOKUP(B662,'LƯƠNG KT'!$D$15:$R$94,12,0)</f>
        <v>#N/A</v>
      </c>
      <c r="D670" s="1059" t="e">
        <f>VLOOKUP(B662,'LƯƠNG KT'!$D$15:$R$94,14,0)</f>
        <v>#N/A</v>
      </c>
      <c r="E670" s="1063"/>
      <c r="F670" s="1061"/>
      <c r="G670" s="1056" t="s">
        <v>374</v>
      </c>
      <c r="H670" s="1057" t="s">
        <v>2674</v>
      </c>
      <c r="I670" s="1058" t="e">
        <f>VLOOKUP(H662,'LƯƠNG KT'!$D$15:$R$94,12,0)</f>
        <v>#N/A</v>
      </c>
      <c r="J670" s="1059" t="e">
        <f>VLOOKUP(H662,'LƯƠNG KT'!$D$15:$R$94,14,0)</f>
        <v>#N/A</v>
      </c>
      <c r="K670" s="1085"/>
      <c r="L670" s="1085"/>
      <c r="M670" s="1085"/>
      <c r="N670" s="1085"/>
      <c r="O670" s="1085"/>
    </row>
    <row r="671" spans="1:15" ht="15" customHeight="1">
      <c r="A671" s="1056" t="s">
        <v>2675</v>
      </c>
      <c r="B671" s="1057" t="s">
        <v>2676</v>
      </c>
      <c r="D671" s="1064" t="e">
        <f>VLOOKUP(B662,'LƯƠNG KT'!$D$15:$R$94,13,0)</f>
        <v>#N/A</v>
      </c>
      <c r="E671" s="1065"/>
      <c r="F671" s="1065"/>
      <c r="G671" s="1056" t="s">
        <v>2675</v>
      </c>
      <c r="H671" s="1057" t="s">
        <v>2676</v>
      </c>
      <c r="J671" s="1064" t="e">
        <f>VLOOKUP(H662,'LƯƠNG KT'!$D$15:$R$94,13,0)</f>
        <v>#N/A</v>
      </c>
    </row>
    <row r="672" spans="1:15" ht="15" customHeight="1">
      <c r="A672" s="1066"/>
      <c r="B672" s="869"/>
      <c r="C672" s="1058"/>
      <c r="D672" s="1059"/>
      <c r="E672" s="1063"/>
      <c r="F672" s="1065"/>
      <c r="G672" s="1066"/>
      <c r="H672" s="869"/>
      <c r="I672" s="1058"/>
      <c r="J672" s="1059"/>
    </row>
    <row r="673" spans="1:15" ht="15" customHeight="1">
      <c r="A673" s="1052"/>
      <c r="B673" s="869"/>
      <c r="C673" s="1058"/>
      <c r="D673" s="1059"/>
      <c r="E673" s="1067"/>
      <c r="F673" s="1051"/>
      <c r="G673" s="1052"/>
      <c r="H673" s="869"/>
      <c r="I673" s="1058"/>
      <c r="J673" s="1059"/>
    </row>
    <row r="674" spans="1:15" ht="15" customHeight="1">
      <c r="A674" s="1068" t="s">
        <v>383</v>
      </c>
      <c r="B674" s="1069" t="s">
        <v>384</v>
      </c>
      <c r="C674" s="1070"/>
      <c r="D674" s="1071" t="e">
        <f>SUM(D663:D670)-D673</f>
        <v>#N/A</v>
      </c>
      <c r="E674" s="1072"/>
      <c r="F674" s="1073"/>
      <c r="G674" s="1068" t="s">
        <v>383</v>
      </c>
      <c r="H674" s="1069" t="s">
        <v>384</v>
      </c>
      <c r="I674" s="1070"/>
      <c r="J674" s="1071" t="e">
        <f>SUM(J663:J670)-J673</f>
        <v>#N/A</v>
      </c>
    </row>
    <row r="675" spans="1:15" ht="12.6" customHeight="1">
      <c r="A675" s="1074"/>
      <c r="B675" s="1075"/>
      <c r="C675" s="1076"/>
      <c r="D675" s="1077"/>
      <c r="E675" s="1077"/>
      <c r="F675" s="1078"/>
      <c r="G675" s="1074"/>
      <c r="H675" s="1075"/>
      <c r="I675" s="1076"/>
      <c r="J675" s="1077"/>
    </row>
    <row r="676" spans="1:15" ht="132.75" customHeight="1">
      <c r="A676" s="1075"/>
      <c r="B676" s="1075"/>
      <c r="C676" s="1079"/>
      <c r="D676" s="1080"/>
      <c r="E676" s="1075"/>
      <c r="F676" s="1081"/>
      <c r="G676" s="1075"/>
      <c r="H676" s="1075"/>
      <c r="I676" s="1079"/>
      <c r="J676" s="1080"/>
    </row>
    <row r="677" spans="1:15" ht="15" customHeight="1">
      <c r="A677" s="2242" t="str">
        <f>$K$2</f>
        <v>THÁNG 04/2025</v>
      </c>
      <c r="B677" s="2242"/>
      <c r="C677" s="2242"/>
      <c r="D677" s="2242"/>
      <c r="E677" s="1050"/>
      <c r="F677" s="1051"/>
      <c r="G677" s="2242" t="str">
        <f>$K$2</f>
        <v>THÁNG 04/2025</v>
      </c>
      <c r="H677" s="2242"/>
      <c r="I677" s="2242"/>
      <c r="J677" s="2242"/>
      <c r="K677" s="624"/>
    </row>
    <row r="678" spans="1:15" ht="15" customHeight="1">
      <c r="A678" s="1052" t="s">
        <v>356</v>
      </c>
      <c r="B678" s="1053" t="s">
        <v>911</v>
      </c>
      <c r="C678" s="869"/>
      <c r="D678" s="1049"/>
      <c r="E678" s="1054"/>
      <c r="F678" s="1055"/>
      <c r="G678" s="1052" t="s">
        <v>356</v>
      </c>
      <c r="H678" s="1053" t="s">
        <v>2629</v>
      </c>
      <c r="I678" s="869"/>
      <c r="J678" s="1049"/>
      <c r="L678" s="1088"/>
      <c r="M678" s="1088"/>
      <c r="N678" s="1088"/>
      <c r="O678" s="1088"/>
    </row>
    <row r="679" spans="1:15" ht="15" customHeight="1">
      <c r="A679" s="1056" t="s">
        <v>359</v>
      </c>
      <c r="B679" s="1057" t="s">
        <v>2662</v>
      </c>
      <c r="C679" s="1058" t="e">
        <f>VLOOKUP(B678,'LƯƠNG KT'!$D$15:$R$94,4,0)</f>
        <v>#N/A</v>
      </c>
      <c r="D679" s="1059" t="e">
        <f>+C679*25000</f>
        <v>#N/A</v>
      </c>
      <c r="E679" s="1060"/>
      <c r="F679" s="1060"/>
      <c r="G679" s="1056" t="s">
        <v>359</v>
      </c>
      <c r="H679" s="1057" t="s">
        <v>2662</v>
      </c>
      <c r="I679" s="1058" t="e">
        <f>VLOOKUP(H678,'LƯƠNG KT'!$D$15:$R$94,4,0)</f>
        <v>#N/A</v>
      </c>
      <c r="J679" s="1059" t="e">
        <f>+I679*25000</f>
        <v>#N/A</v>
      </c>
      <c r="K679" s="1085"/>
      <c r="L679" s="1085"/>
      <c r="M679" s="1085"/>
      <c r="N679" s="1085"/>
      <c r="O679" s="1085"/>
    </row>
    <row r="680" spans="1:15" ht="15" customHeight="1">
      <c r="A680" s="1056" t="s">
        <v>361</v>
      </c>
      <c r="B680" s="1057" t="s">
        <v>2663</v>
      </c>
      <c r="C680" s="1058" t="e">
        <f>VLOOKUP(B678,'LƯƠNG KT'!$D$15:$R$94,15,0)</f>
        <v>#N/A</v>
      </c>
      <c r="D680" s="1059" t="e">
        <f>C680*$L$4</f>
        <v>#N/A</v>
      </c>
      <c r="E680" s="1061"/>
      <c r="F680" s="1061"/>
      <c r="G680" s="1056" t="s">
        <v>361</v>
      </c>
      <c r="H680" s="1057" t="s">
        <v>2663</v>
      </c>
      <c r="I680" s="1058" t="e">
        <f>VLOOKUP(H678,'LƯƠNG KT'!$D$15:$R$94,15,0)</f>
        <v>#N/A</v>
      </c>
      <c r="J680" s="1059" t="e">
        <f>I680*$L$4</f>
        <v>#N/A</v>
      </c>
      <c r="K680" s="1085"/>
      <c r="L680" s="1085"/>
      <c r="M680" s="1085"/>
      <c r="N680" s="1085"/>
      <c r="O680" s="1085"/>
    </row>
    <row r="681" spans="1:15" ht="15" customHeight="1">
      <c r="A681" s="1056" t="s">
        <v>364</v>
      </c>
      <c r="B681" s="1057" t="s">
        <v>2664</v>
      </c>
      <c r="C681" s="1058" t="e">
        <f>VLOOKUP(B678,'LƯƠNG KT'!$D$15:$R$94,16,0)</f>
        <v>#N/A</v>
      </c>
      <c r="D681" s="1059" t="e">
        <f>C681*$L$5</f>
        <v>#N/A</v>
      </c>
      <c r="E681" s="1061"/>
      <c r="F681" s="1061"/>
      <c r="G681" s="1056" t="s">
        <v>364</v>
      </c>
      <c r="H681" s="1057" t="s">
        <v>2664</v>
      </c>
      <c r="I681" s="1058" t="e">
        <f>VLOOKUP(H678,'LƯƠNG KT'!$D$15:$R$94,16,0)</f>
        <v>#N/A</v>
      </c>
      <c r="J681" s="1059" t="e">
        <f>I681*$L$5</f>
        <v>#N/A</v>
      </c>
      <c r="K681" s="1085"/>
      <c r="L681" s="1085"/>
      <c r="M681" s="1085"/>
      <c r="N681" s="1085"/>
      <c r="O681" s="1085"/>
    </row>
    <row r="682" spans="1:15" ht="15" customHeight="1">
      <c r="A682" s="1056" t="s">
        <v>370</v>
      </c>
      <c r="B682" s="1057" t="s">
        <v>2665</v>
      </c>
      <c r="C682" s="1058" t="e">
        <f>VLOOKUP(B678,'LƯƠNG KT'!$D$15:$R$94,24,0)</f>
        <v>#N/A</v>
      </c>
      <c r="D682" s="1059" t="e">
        <f>+C682*$L$6</f>
        <v>#N/A</v>
      </c>
      <c r="E682" s="1061"/>
      <c r="F682" s="1061"/>
      <c r="G682" s="1056" t="s">
        <v>370</v>
      </c>
      <c r="H682" s="1057" t="s">
        <v>2665</v>
      </c>
      <c r="I682" s="1058" t="e">
        <f>VLOOKUP(H678,'LƯƠNG KT'!$D$15:$R$94,24,0)</f>
        <v>#N/A</v>
      </c>
      <c r="J682" s="1059" t="e">
        <f>+I682*$L$6</f>
        <v>#N/A</v>
      </c>
      <c r="K682" s="1085"/>
      <c r="L682" s="1085"/>
      <c r="M682" s="1085"/>
      <c r="N682" s="1085"/>
      <c r="O682" s="1085"/>
    </row>
    <row r="683" spans="1:15" ht="15" customHeight="1">
      <c r="A683" s="1056" t="s">
        <v>2666</v>
      </c>
      <c r="B683" s="1057" t="s">
        <v>2667</v>
      </c>
      <c r="C683" s="1058" t="e">
        <f>VLOOKUP(B678,'LƯƠNG KT'!$D$15:$R$94,19,0)</f>
        <v>#N/A</v>
      </c>
      <c r="D683" s="1059" t="e">
        <f>+C683*$L$8</f>
        <v>#N/A</v>
      </c>
      <c r="E683" s="1061"/>
      <c r="F683" s="1061"/>
      <c r="G683" s="1056" t="s">
        <v>2666</v>
      </c>
      <c r="H683" s="1057" t="s">
        <v>2667</v>
      </c>
      <c r="I683" s="1058" t="e">
        <f>VLOOKUP(H678,'LƯƠNG KT'!$D$15:$R$94,19,0)</f>
        <v>#N/A</v>
      </c>
      <c r="J683" s="1059" t="e">
        <f>+I683*$L$8</f>
        <v>#N/A</v>
      </c>
      <c r="K683" s="1085"/>
      <c r="L683" s="1085"/>
      <c r="M683" s="1085"/>
      <c r="N683" s="1085"/>
      <c r="O683" s="1085"/>
    </row>
    <row r="684" spans="1:15" ht="15" customHeight="1">
      <c r="A684" s="1056" t="s">
        <v>2668</v>
      </c>
      <c r="B684" s="1062" t="s">
        <v>2669</v>
      </c>
      <c r="C684" s="1058" t="e">
        <f>VLOOKUP(B678,'LƯƠNG KT'!$D$15:$R$94,20,0)</f>
        <v>#N/A</v>
      </c>
      <c r="D684" s="1059" t="e">
        <f>+C684*$L$9</f>
        <v>#N/A</v>
      </c>
      <c r="E684" s="1061"/>
      <c r="F684" s="1061"/>
      <c r="G684" s="1056" t="s">
        <v>2668</v>
      </c>
      <c r="H684" s="1062" t="s">
        <v>2669</v>
      </c>
      <c r="I684" s="1058" t="e">
        <f>VLOOKUP(H678,'LƯƠNG KT'!$D$15:$R$94,20,0)</f>
        <v>#N/A</v>
      </c>
      <c r="J684" s="1059" t="e">
        <f>+I684*$L$9</f>
        <v>#N/A</v>
      </c>
      <c r="K684" s="1085"/>
      <c r="L684" s="1085"/>
      <c r="M684" s="1085"/>
      <c r="N684" s="1085"/>
      <c r="O684" s="1085"/>
    </row>
    <row r="685" spans="1:15" ht="15" customHeight="1">
      <c r="A685" s="1056" t="s">
        <v>2671</v>
      </c>
      <c r="B685" s="1057" t="s">
        <v>2672</v>
      </c>
      <c r="C685" s="1058" t="e">
        <f>VLOOKUP(B678,'LƯƠNG KT'!$D$15:$R$94,17,0)</f>
        <v>#N/A</v>
      </c>
      <c r="D685" s="1059" t="e">
        <f>+C685*$L$10</f>
        <v>#N/A</v>
      </c>
      <c r="E685" s="1061"/>
      <c r="F685" s="1061"/>
      <c r="G685" s="1056" t="s">
        <v>2671</v>
      </c>
      <c r="H685" s="1057" t="s">
        <v>2672</v>
      </c>
      <c r="I685" s="1058" t="e">
        <f>VLOOKUP(H678,'LƯƠNG KT'!$D$15:$R$94,17,0)</f>
        <v>#N/A</v>
      </c>
      <c r="J685" s="1059" t="e">
        <f>+I685*$L$10</f>
        <v>#N/A</v>
      </c>
      <c r="K685" s="1085"/>
      <c r="L685" s="1085"/>
      <c r="M685" s="1085"/>
      <c r="N685" s="1085"/>
      <c r="O685" s="1085"/>
    </row>
    <row r="686" spans="1:15" ht="15" customHeight="1">
      <c r="A686" s="1056" t="s">
        <v>374</v>
      </c>
      <c r="B686" s="1057" t="s">
        <v>2674</v>
      </c>
      <c r="C686" s="1058" t="e">
        <f>VLOOKUP(B678,'LƯƠNG KT'!$D$15:$R$94,12,0)</f>
        <v>#N/A</v>
      </c>
      <c r="D686" s="1059" t="e">
        <f>VLOOKUP(B678,'LƯƠNG KT'!$D$15:$R$94,14,0)</f>
        <v>#N/A</v>
      </c>
      <c r="E686" s="1063"/>
      <c r="F686" s="1061"/>
      <c r="G686" s="1056" t="s">
        <v>374</v>
      </c>
      <c r="H686" s="1057" t="s">
        <v>2674</v>
      </c>
      <c r="I686" s="1058" t="e">
        <f>VLOOKUP(H678,'LƯƠNG KT'!$D$15:$R$94,12,0)</f>
        <v>#N/A</v>
      </c>
      <c r="J686" s="1059" t="e">
        <f>VLOOKUP(H678,'LƯƠNG KT'!$D$15:$R$94,14,0)</f>
        <v>#N/A</v>
      </c>
      <c r="K686" s="1085"/>
      <c r="L686" s="1085"/>
      <c r="M686" s="1085"/>
      <c r="N686" s="1085"/>
      <c r="O686" s="1085"/>
    </row>
    <row r="687" spans="1:15" ht="15" customHeight="1">
      <c r="A687" s="1056" t="s">
        <v>2675</v>
      </c>
      <c r="B687" s="1057" t="s">
        <v>2676</v>
      </c>
      <c r="D687" s="1064" t="e">
        <f>VLOOKUP(B678,'LƯƠNG KT'!$D$15:$R$94,13,0)</f>
        <v>#N/A</v>
      </c>
      <c r="E687" s="1065"/>
      <c r="F687" s="1065"/>
      <c r="G687" s="1056" t="s">
        <v>2675</v>
      </c>
      <c r="H687" s="1057" t="s">
        <v>2676</v>
      </c>
      <c r="J687" s="1064" t="e">
        <f>VLOOKUP(H678,'LƯƠNG KT'!$D$15:$R$94,13,0)</f>
        <v>#N/A</v>
      </c>
    </row>
    <row r="688" spans="1:15" ht="15" customHeight="1">
      <c r="A688" s="1066"/>
      <c r="B688" s="869"/>
      <c r="C688" s="1058"/>
      <c r="D688" s="1059"/>
      <c r="E688" s="1063"/>
      <c r="F688" s="1065"/>
      <c r="G688" s="1066"/>
      <c r="H688" s="869"/>
      <c r="I688" s="1058"/>
      <c r="J688" s="1059"/>
    </row>
    <row r="689" spans="1:15" ht="15" customHeight="1">
      <c r="A689" s="1052"/>
      <c r="B689" s="869"/>
      <c r="C689" s="1058"/>
      <c r="D689" s="1059"/>
      <c r="E689" s="1067"/>
      <c r="F689" s="1051"/>
      <c r="G689" s="1052"/>
      <c r="H689" s="869"/>
      <c r="I689" s="1058"/>
      <c r="J689" s="1059"/>
    </row>
    <row r="690" spans="1:15" ht="15" customHeight="1">
      <c r="A690" s="1068" t="s">
        <v>383</v>
      </c>
      <c r="B690" s="1069" t="s">
        <v>384</v>
      </c>
      <c r="C690" s="1070"/>
      <c r="D690" s="1071" t="e">
        <f>SUM(D679:D686)-D689</f>
        <v>#N/A</v>
      </c>
      <c r="E690" s="1072"/>
      <c r="F690" s="1073"/>
      <c r="G690" s="1068" t="s">
        <v>383</v>
      </c>
      <c r="H690" s="1069" t="s">
        <v>384</v>
      </c>
      <c r="I690" s="1070"/>
      <c r="J690" s="1071" t="e">
        <f>SUM(J679:J686)-J689</f>
        <v>#N/A</v>
      </c>
    </row>
    <row r="691" spans="1:15" ht="18.75" customHeight="1">
      <c r="A691" s="1074"/>
      <c r="B691" s="1075"/>
      <c r="C691" s="1076"/>
      <c r="D691" s="1077"/>
      <c r="E691" s="1077"/>
      <c r="F691" s="1078"/>
      <c r="G691" s="1074"/>
      <c r="H691" s="1075"/>
      <c r="I691" s="1076"/>
      <c r="J691" s="1077"/>
    </row>
    <row r="692" spans="1:15" ht="18.75" customHeight="1">
      <c r="A692" s="1075"/>
      <c r="B692" s="1075"/>
      <c r="C692" s="1079"/>
      <c r="D692" s="1080"/>
      <c r="E692" s="1075"/>
      <c r="F692" s="1081"/>
      <c r="G692" s="1075"/>
      <c r="H692" s="1075"/>
      <c r="I692" s="1079"/>
      <c r="J692" s="1080"/>
    </row>
    <row r="693" spans="1:15" ht="15" customHeight="1">
      <c r="A693" s="2242" t="str">
        <f>$K$2</f>
        <v>THÁNG 04/2025</v>
      </c>
      <c r="B693" s="2242"/>
      <c r="C693" s="2242"/>
      <c r="D693" s="2242"/>
      <c r="E693" s="1050"/>
      <c r="F693" s="1051"/>
      <c r="G693" s="2242" t="str">
        <f>$K$2</f>
        <v>THÁNG 04/2025</v>
      </c>
      <c r="H693" s="2242"/>
      <c r="I693" s="2242"/>
      <c r="J693" s="2242"/>
      <c r="K693" s="624"/>
    </row>
    <row r="694" spans="1:15" ht="15" customHeight="1">
      <c r="A694" s="1052" t="s">
        <v>356</v>
      </c>
      <c r="B694" s="1053" t="s">
        <v>457</v>
      </c>
      <c r="C694" s="869"/>
      <c r="D694" s="1049"/>
      <c r="E694" s="1054"/>
      <c r="F694" s="1055"/>
      <c r="G694" s="1052" t="s">
        <v>356</v>
      </c>
      <c r="H694" s="1053" t="s">
        <v>467</v>
      </c>
      <c r="I694" s="869"/>
      <c r="J694" s="1049"/>
      <c r="L694" s="1088"/>
      <c r="M694" s="1088"/>
      <c r="N694" s="1088"/>
      <c r="O694" s="1088"/>
    </row>
    <row r="695" spans="1:15" ht="15" customHeight="1">
      <c r="A695" s="1056" t="s">
        <v>359</v>
      </c>
      <c r="B695" s="1057" t="s">
        <v>2662</v>
      </c>
      <c r="C695" s="1058" t="e">
        <f>VLOOKUP(B694,'LƯƠNG KT'!$D$15:$R$94,4,0)</f>
        <v>#N/A</v>
      </c>
      <c r="D695" s="1059" t="e">
        <f>+C695*25000</f>
        <v>#N/A</v>
      </c>
      <c r="E695" s="1060"/>
      <c r="F695" s="1060"/>
      <c r="G695" s="1056" t="s">
        <v>359</v>
      </c>
      <c r="H695" s="1057" t="s">
        <v>2662</v>
      </c>
      <c r="I695" s="1058" t="e">
        <f>VLOOKUP(H694,'LƯƠNG KT'!$D$15:$R$94,4,0)</f>
        <v>#N/A</v>
      </c>
      <c r="J695" s="1059" t="e">
        <f>+I695*25000</f>
        <v>#N/A</v>
      </c>
      <c r="K695" s="1085"/>
      <c r="L695" s="1085"/>
      <c r="M695" s="1085"/>
      <c r="N695" s="1085"/>
      <c r="O695" s="1085"/>
    </row>
    <row r="696" spans="1:15" ht="15" customHeight="1">
      <c r="A696" s="1056" t="s">
        <v>361</v>
      </c>
      <c r="B696" s="1057" t="s">
        <v>2663</v>
      </c>
      <c r="C696" s="1058" t="e">
        <f>VLOOKUP(B694,'LƯƠNG KT'!$D$15:$R$94,15,0)</f>
        <v>#N/A</v>
      </c>
      <c r="D696" s="1059" t="e">
        <f>C696*$L$4</f>
        <v>#N/A</v>
      </c>
      <c r="E696" s="1061"/>
      <c r="F696" s="1061"/>
      <c r="G696" s="1056" t="s">
        <v>361</v>
      </c>
      <c r="H696" s="1057" t="s">
        <v>2663</v>
      </c>
      <c r="I696" s="1058" t="e">
        <f>VLOOKUP(H694,'LƯƠNG KT'!$D$15:$R$94,15,0)</f>
        <v>#N/A</v>
      </c>
      <c r="J696" s="1059" t="e">
        <f>I696*$L$4</f>
        <v>#N/A</v>
      </c>
      <c r="K696" s="1085"/>
      <c r="L696" s="1085"/>
      <c r="M696" s="1085"/>
      <c r="N696" s="1085"/>
      <c r="O696" s="1085"/>
    </row>
    <row r="697" spans="1:15" ht="15" customHeight="1">
      <c r="A697" s="1056" t="s">
        <v>364</v>
      </c>
      <c r="B697" s="1057" t="s">
        <v>2664</v>
      </c>
      <c r="C697" s="1058" t="e">
        <f>VLOOKUP(B694,'LƯƠNG KT'!$D$15:$R$94,16,0)</f>
        <v>#N/A</v>
      </c>
      <c r="D697" s="1059" t="e">
        <f>C697*$L$5</f>
        <v>#N/A</v>
      </c>
      <c r="E697" s="1061"/>
      <c r="F697" s="1061"/>
      <c r="G697" s="1056" t="s">
        <v>364</v>
      </c>
      <c r="H697" s="1057" t="s">
        <v>2664</v>
      </c>
      <c r="I697" s="1058" t="e">
        <f>VLOOKUP(H694,'LƯƠNG KT'!$D$15:$R$94,16,0)</f>
        <v>#N/A</v>
      </c>
      <c r="J697" s="1059" t="e">
        <f>I697*$L$5</f>
        <v>#N/A</v>
      </c>
      <c r="K697" s="1085"/>
      <c r="L697" s="1085"/>
      <c r="M697" s="1085"/>
      <c r="N697" s="1085"/>
      <c r="O697" s="1085"/>
    </row>
    <row r="698" spans="1:15" ht="15" customHeight="1">
      <c r="A698" s="1056" t="s">
        <v>370</v>
      </c>
      <c r="B698" s="1057" t="s">
        <v>2665</v>
      </c>
      <c r="C698" s="1058" t="e">
        <f>VLOOKUP(B694,'LƯƠNG KT'!$D$15:$R$94,24,0)</f>
        <v>#N/A</v>
      </c>
      <c r="D698" s="1059" t="e">
        <f>+C698*$L$6</f>
        <v>#N/A</v>
      </c>
      <c r="E698" s="1061"/>
      <c r="F698" s="1061"/>
      <c r="G698" s="1056" t="s">
        <v>370</v>
      </c>
      <c r="H698" s="1057" t="s">
        <v>2665</v>
      </c>
      <c r="I698" s="1058" t="e">
        <f>VLOOKUP(H694,'LƯƠNG KT'!$D$15:$R$94,24,0)</f>
        <v>#N/A</v>
      </c>
      <c r="J698" s="1059" t="e">
        <f>+I698*$L$6</f>
        <v>#N/A</v>
      </c>
      <c r="K698" s="1085"/>
      <c r="L698" s="1085"/>
      <c r="M698" s="1085"/>
      <c r="N698" s="1085"/>
      <c r="O698" s="1085"/>
    </row>
    <row r="699" spans="1:15" ht="15" customHeight="1">
      <c r="A699" s="1056" t="s">
        <v>2666</v>
      </c>
      <c r="B699" s="1057" t="s">
        <v>2667</v>
      </c>
      <c r="C699" s="1058" t="e">
        <f>VLOOKUP(B694,'LƯƠNG KT'!$D$15:$R$94,19,0)</f>
        <v>#N/A</v>
      </c>
      <c r="D699" s="1059" t="e">
        <f>+C699*$L$8</f>
        <v>#N/A</v>
      </c>
      <c r="E699" s="1061"/>
      <c r="F699" s="1061"/>
      <c r="G699" s="1056" t="s">
        <v>2666</v>
      </c>
      <c r="H699" s="1057" t="s">
        <v>2667</v>
      </c>
      <c r="I699" s="1058" t="e">
        <f>VLOOKUP(H694,'LƯƠNG KT'!$D$15:$R$94,19,0)</f>
        <v>#N/A</v>
      </c>
      <c r="J699" s="1059" t="e">
        <f>+I699*$L$8</f>
        <v>#N/A</v>
      </c>
      <c r="K699" s="1085"/>
      <c r="L699" s="1085"/>
      <c r="M699" s="1085"/>
      <c r="N699" s="1085"/>
      <c r="O699" s="1085"/>
    </row>
    <row r="700" spans="1:15" ht="15" customHeight="1">
      <c r="A700" s="1056" t="s">
        <v>2668</v>
      </c>
      <c r="B700" s="1062" t="s">
        <v>2669</v>
      </c>
      <c r="C700" s="1058" t="e">
        <f>VLOOKUP(B694,'LƯƠNG KT'!$D$15:$R$94,20,0)</f>
        <v>#N/A</v>
      </c>
      <c r="D700" s="1059" t="e">
        <f>+C700*$L$9</f>
        <v>#N/A</v>
      </c>
      <c r="E700" s="1061"/>
      <c r="F700" s="1061"/>
      <c r="G700" s="1056" t="s">
        <v>2668</v>
      </c>
      <c r="H700" s="1062" t="s">
        <v>2669</v>
      </c>
      <c r="I700" s="1058" t="e">
        <f>VLOOKUP(H694,'LƯƠNG KT'!$D$15:$R$94,20,0)</f>
        <v>#N/A</v>
      </c>
      <c r="J700" s="1059" t="e">
        <f>+I700*$L$9</f>
        <v>#N/A</v>
      </c>
      <c r="K700" s="1085"/>
      <c r="L700" s="1085"/>
      <c r="M700" s="1085"/>
      <c r="N700" s="1085"/>
      <c r="O700" s="1085"/>
    </row>
    <row r="701" spans="1:15" ht="15" customHeight="1">
      <c r="A701" s="1056" t="s">
        <v>2671</v>
      </c>
      <c r="B701" s="1057" t="s">
        <v>2672</v>
      </c>
      <c r="C701" s="1058" t="e">
        <f>VLOOKUP(B694,'LƯƠNG KT'!$D$15:$R$94,17,0)</f>
        <v>#N/A</v>
      </c>
      <c r="D701" s="1059" t="e">
        <f>+C701*$L$10</f>
        <v>#N/A</v>
      </c>
      <c r="E701" s="1061"/>
      <c r="F701" s="1061"/>
      <c r="G701" s="1056" t="s">
        <v>2671</v>
      </c>
      <c r="H701" s="1057" t="s">
        <v>2672</v>
      </c>
      <c r="I701" s="1058" t="e">
        <f>VLOOKUP(H694,'LƯƠNG KT'!$D$15:$R$94,17,0)</f>
        <v>#N/A</v>
      </c>
      <c r="J701" s="1059" t="e">
        <f>+I701*$L$10</f>
        <v>#N/A</v>
      </c>
      <c r="K701" s="1085"/>
      <c r="L701" s="1085"/>
      <c r="M701" s="1085"/>
      <c r="N701" s="1085"/>
      <c r="O701" s="1085"/>
    </row>
    <row r="702" spans="1:15" ht="15" customHeight="1">
      <c r="A702" s="1056" t="s">
        <v>374</v>
      </c>
      <c r="B702" s="1057" t="s">
        <v>2674</v>
      </c>
      <c r="C702" s="1058" t="e">
        <f>VLOOKUP(B694,'LƯƠNG KT'!$D$15:$R$94,12,0)</f>
        <v>#N/A</v>
      </c>
      <c r="D702" s="1059" t="e">
        <f>VLOOKUP(B694,'LƯƠNG KT'!$D$15:$R$94,14,0)</f>
        <v>#N/A</v>
      </c>
      <c r="E702" s="1063"/>
      <c r="F702" s="1061"/>
      <c r="G702" s="1056" t="s">
        <v>374</v>
      </c>
      <c r="H702" s="1057" t="s">
        <v>2674</v>
      </c>
      <c r="I702" s="1058" t="e">
        <f>VLOOKUP(H694,'LƯƠNG KT'!$D$15:$R$94,12,0)</f>
        <v>#N/A</v>
      </c>
      <c r="J702" s="1059" t="e">
        <f>VLOOKUP(H694,'LƯƠNG KT'!$D$15:$R$94,14,0)</f>
        <v>#N/A</v>
      </c>
      <c r="K702" s="1085"/>
      <c r="L702" s="1085"/>
      <c r="M702" s="1085"/>
      <c r="N702" s="1085"/>
      <c r="O702" s="1085"/>
    </row>
    <row r="703" spans="1:15" ht="15" customHeight="1">
      <c r="A703" s="1056" t="s">
        <v>2675</v>
      </c>
      <c r="B703" s="1057" t="s">
        <v>2676</v>
      </c>
      <c r="D703" s="1064" t="e">
        <f>VLOOKUP(B694,'LƯƠNG KT'!$D$15:$R$94,13,0)</f>
        <v>#N/A</v>
      </c>
      <c r="E703" s="1065"/>
      <c r="F703" s="1065"/>
      <c r="G703" s="1056" t="s">
        <v>2675</v>
      </c>
      <c r="H703" s="1057" t="s">
        <v>2676</v>
      </c>
      <c r="J703" s="1064" t="e">
        <f>VLOOKUP(H694,'LƯƠNG KT'!$D$15:$R$94,13,0)</f>
        <v>#N/A</v>
      </c>
    </row>
    <row r="704" spans="1:15" ht="15" customHeight="1">
      <c r="A704" s="1066"/>
      <c r="B704" s="869"/>
      <c r="C704" s="1058"/>
      <c r="D704" s="1059"/>
      <c r="E704" s="1063"/>
      <c r="F704" s="1065"/>
      <c r="G704" s="1066"/>
      <c r="H704" s="869"/>
      <c r="I704" s="1058"/>
      <c r="J704" s="1059"/>
    </row>
    <row r="705" spans="1:15" ht="15" customHeight="1">
      <c r="A705" s="1052"/>
      <c r="B705" s="869"/>
      <c r="C705" s="1058"/>
      <c r="D705" s="1059"/>
      <c r="E705" s="1067"/>
      <c r="F705" s="1051"/>
      <c r="G705" s="1052"/>
      <c r="H705" s="869"/>
      <c r="I705" s="1058"/>
      <c r="J705" s="1059"/>
    </row>
    <row r="706" spans="1:15" ht="15" customHeight="1">
      <c r="A706" s="1068" t="s">
        <v>383</v>
      </c>
      <c r="B706" s="1069" t="s">
        <v>384</v>
      </c>
      <c r="C706" s="1070"/>
      <c r="D706" s="1071" t="e">
        <f>SUM(D695:D702)-D705</f>
        <v>#N/A</v>
      </c>
      <c r="E706" s="1072"/>
      <c r="F706" s="1073"/>
      <c r="G706" s="1068" t="s">
        <v>383</v>
      </c>
      <c r="H706" s="1069" t="s">
        <v>384</v>
      </c>
      <c r="I706" s="1070"/>
      <c r="J706" s="1071" t="e">
        <f>SUM(J695:J702)-J705</f>
        <v>#N/A</v>
      </c>
    </row>
    <row r="707" spans="1:15" ht="18.75" customHeight="1">
      <c r="A707" s="1074"/>
      <c r="B707" s="1075"/>
      <c r="C707" s="1076"/>
      <c r="D707" s="1077"/>
      <c r="E707" s="1077"/>
      <c r="F707" s="1078"/>
      <c r="G707" s="1074"/>
      <c r="H707" s="1075"/>
      <c r="I707" s="1076"/>
      <c r="J707" s="1077"/>
    </row>
    <row r="708" spans="1:15" ht="18.75" customHeight="1">
      <c r="A708" s="1075"/>
      <c r="B708" s="1075"/>
      <c r="C708" s="1079"/>
      <c r="D708" s="1080"/>
      <c r="E708" s="1075"/>
      <c r="F708" s="1081"/>
      <c r="G708" s="1075"/>
      <c r="H708" s="1075"/>
      <c r="I708" s="1079"/>
      <c r="J708" s="1080"/>
    </row>
    <row r="709" spans="1:15" ht="15" customHeight="1">
      <c r="A709" s="2242" t="str">
        <f>$K$2</f>
        <v>THÁNG 04/2025</v>
      </c>
      <c r="B709" s="2242"/>
      <c r="C709" s="2242"/>
      <c r="D709" s="2242"/>
      <c r="E709" s="1050"/>
      <c r="F709" s="1051"/>
      <c r="G709" s="2242" t="str">
        <f>$K$2</f>
        <v>THÁNG 04/2025</v>
      </c>
      <c r="H709" s="2242"/>
      <c r="I709" s="2242"/>
      <c r="J709" s="2242"/>
      <c r="K709" s="624"/>
    </row>
    <row r="710" spans="1:15" ht="15" customHeight="1">
      <c r="A710" s="1052" t="s">
        <v>356</v>
      </c>
      <c r="B710" s="1053" t="s">
        <v>459</v>
      </c>
      <c r="C710" s="869"/>
      <c r="D710" s="1049"/>
      <c r="E710" s="1054"/>
      <c r="F710" s="1055"/>
      <c r="G710" s="1052" t="s">
        <v>356</v>
      </c>
      <c r="H710" s="1053" t="s">
        <v>460</v>
      </c>
      <c r="I710" s="869"/>
      <c r="J710" s="1049"/>
      <c r="L710" s="1088"/>
      <c r="M710" s="1088"/>
      <c r="N710" s="1088"/>
      <c r="O710" s="1088"/>
    </row>
    <row r="711" spans="1:15" ht="15" customHeight="1">
      <c r="A711" s="1056" t="s">
        <v>359</v>
      </c>
      <c r="B711" s="1057" t="s">
        <v>2662</v>
      </c>
      <c r="C711" s="1058" t="e">
        <f>VLOOKUP(B710,'LƯƠNG KT'!$D$15:$R$94,4,0)</f>
        <v>#N/A</v>
      </c>
      <c r="D711" s="1059" t="e">
        <f>+C711*25000</f>
        <v>#N/A</v>
      </c>
      <c r="E711" s="1060"/>
      <c r="F711" s="1060"/>
      <c r="G711" s="1056" t="s">
        <v>359</v>
      </c>
      <c r="H711" s="1057" t="s">
        <v>2662</v>
      </c>
      <c r="I711" s="1058" t="e">
        <f>VLOOKUP(H710,'LƯƠNG KT'!$D$15:$R$94,4,0)</f>
        <v>#N/A</v>
      </c>
      <c r="J711" s="1059" t="e">
        <f>+I711*25000</f>
        <v>#N/A</v>
      </c>
      <c r="K711" s="1085"/>
      <c r="L711" s="1085"/>
      <c r="M711" s="1085"/>
      <c r="N711" s="1085"/>
      <c r="O711" s="1085"/>
    </row>
    <row r="712" spans="1:15" ht="15" customHeight="1">
      <c r="A712" s="1056" t="s">
        <v>361</v>
      </c>
      <c r="B712" s="1057" t="s">
        <v>2663</v>
      </c>
      <c r="C712" s="1058" t="e">
        <f>VLOOKUP(B710,'LƯƠNG KT'!$D$15:$R$94,15,0)</f>
        <v>#N/A</v>
      </c>
      <c r="D712" s="1059" t="e">
        <f>C712*$L$4</f>
        <v>#N/A</v>
      </c>
      <c r="E712" s="1061"/>
      <c r="F712" s="1061"/>
      <c r="G712" s="1056" t="s">
        <v>361</v>
      </c>
      <c r="H712" s="1057" t="s">
        <v>2663</v>
      </c>
      <c r="I712" s="1058" t="e">
        <f>VLOOKUP(H710,'LƯƠNG KT'!$D$15:$R$94,15,0)</f>
        <v>#N/A</v>
      </c>
      <c r="J712" s="1059" t="e">
        <f>I712*$L$4</f>
        <v>#N/A</v>
      </c>
      <c r="K712" s="1085"/>
      <c r="L712" s="1085"/>
      <c r="M712" s="1085"/>
      <c r="N712" s="1085"/>
      <c r="O712" s="1085"/>
    </row>
    <row r="713" spans="1:15" ht="15" customHeight="1">
      <c r="A713" s="1056" t="s">
        <v>364</v>
      </c>
      <c r="B713" s="1057" t="s">
        <v>2664</v>
      </c>
      <c r="C713" s="1058" t="e">
        <f>VLOOKUP(B710,'LƯƠNG KT'!$D$15:$R$94,16,0)</f>
        <v>#N/A</v>
      </c>
      <c r="D713" s="1059" t="e">
        <f>C713*$L$5</f>
        <v>#N/A</v>
      </c>
      <c r="E713" s="1061"/>
      <c r="F713" s="1061"/>
      <c r="G713" s="1056" t="s">
        <v>364</v>
      </c>
      <c r="H713" s="1057" t="s">
        <v>2664</v>
      </c>
      <c r="I713" s="1058" t="e">
        <f>VLOOKUP(H710,'LƯƠNG KT'!$D$15:$R$94,16,0)</f>
        <v>#N/A</v>
      </c>
      <c r="J713" s="1059" t="e">
        <f>I713*$L$5</f>
        <v>#N/A</v>
      </c>
      <c r="K713" s="1085"/>
      <c r="L713" s="1085"/>
      <c r="M713" s="1085"/>
      <c r="N713" s="1085"/>
      <c r="O713" s="1085"/>
    </row>
    <row r="714" spans="1:15" ht="15" customHeight="1">
      <c r="A714" s="1056" t="s">
        <v>370</v>
      </c>
      <c r="B714" s="1057" t="s">
        <v>2665</v>
      </c>
      <c r="C714" s="1058" t="e">
        <f>VLOOKUP(B710,'LƯƠNG KT'!$D$15:$R$94,24,0)</f>
        <v>#N/A</v>
      </c>
      <c r="D714" s="1059" t="e">
        <f>+C714*$L$6</f>
        <v>#N/A</v>
      </c>
      <c r="E714" s="1061"/>
      <c r="F714" s="1061"/>
      <c r="G714" s="1056" t="s">
        <v>370</v>
      </c>
      <c r="H714" s="1057" t="s">
        <v>2665</v>
      </c>
      <c r="I714" s="1058" t="e">
        <f>VLOOKUP(H710,'LƯƠNG KT'!$D$15:$R$94,24,0)</f>
        <v>#N/A</v>
      </c>
      <c r="J714" s="1059" t="e">
        <f>+I714*$L$6</f>
        <v>#N/A</v>
      </c>
      <c r="K714" s="1085"/>
      <c r="L714" s="1085"/>
      <c r="M714" s="1085"/>
      <c r="N714" s="1085"/>
      <c r="O714" s="1085"/>
    </row>
    <row r="715" spans="1:15" ht="15" customHeight="1">
      <c r="A715" s="1056" t="s">
        <v>2666</v>
      </c>
      <c r="B715" s="1057" t="s">
        <v>2667</v>
      </c>
      <c r="C715" s="1058" t="e">
        <f>VLOOKUP(B710,'LƯƠNG KT'!$D$15:$R$94,19,0)</f>
        <v>#N/A</v>
      </c>
      <c r="D715" s="1059" t="e">
        <f>+C715*$L$8</f>
        <v>#N/A</v>
      </c>
      <c r="E715" s="1061"/>
      <c r="F715" s="1061"/>
      <c r="G715" s="1056" t="s">
        <v>2666</v>
      </c>
      <c r="H715" s="1057" t="s">
        <v>2667</v>
      </c>
      <c r="I715" s="1058" t="e">
        <f>VLOOKUP(H710,'LƯƠNG KT'!$D$15:$R$94,19,0)</f>
        <v>#N/A</v>
      </c>
      <c r="J715" s="1059" t="e">
        <f>+I715*$L$8</f>
        <v>#N/A</v>
      </c>
      <c r="K715" s="1085"/>
      <c r="L715" s="1085"/>
      <c r="M715" s="1085"/>
      <c r="N715" s="1085"/>
      <c r="O715" s="1085"/>
    </row>
    <row r="716" spans="1:15" ht="15" customHeight="1">
      <c r="A716" s="1056" t="s">
        <v>2668</v>
      </c>
      <c r="B716" s="1062" t="s">
        <v>2669</v>
      </c>
      <c r="C716" s="1058" t="e">
        <f>VLOOKUP(B710,'LƯƠNG KT'!$D$15:$R$94,20,0)</f>
        <v>#N/A</v>
      </c>
      <c r="D716" s="1059" t="e">
        <f>+C716*$L$9</f>
        <v>#N/A</v>
      </c>
      <c r="E716" s="1061"/>
      <c r="F716" s="1061"/>
      <c r="G716" s="1056" t="s">
        <v>2668</v>
      </c>
      <c r="H716" s="1062" t="s">
        <v>2669</v>
      </c>
      <c r="I716" s="1058" t="e">
        <f>VLOOKUP(H710,'LƯƠNG KT'!$D$15:$R$94,20,0)</f>
        <v>#N/A</v>
      </c>
      <c r="J716" s="1059" t="e">
        <f>+I716*$L$9</f>
        <v>#N/A</v>
      </c>
      <c r="K716" s="1085"/>
      <c r="L716" s="1085"/>
      <c r="M716" s="1085"/>
      <c r="N716" s="1085"/>
      <c r="O716" s="1085"/>
    </row>
    <row r="717" spans="1:15" ht="15" customHeight="1">
      <c r="A717" s="1056" t="s">
        <v>2671</v>
      </c>
      <c r="B717" s="1057" t="s">
        <v>2672</v>
      </c>
      <c r="C717" s="1058" t="e">
        <f>VLOOKUP(B710,'LƯƠNG KT'!$D$15:$R$94,17,0)</f>
        <v>#N/A</v>
      </c>
      <c r="D717" s="1059" t="e">
        <f>+C717*$L$10</f>
        <v>#N/A</v>
      </c>
      <c r="E717" s="1061"/>
      <c r="F717" s="1061"/>
      <c r="G717" s="1056" t="s">
        <v>2671</v>
      </c>
      <c r="H717" s="1057" t="s">
        <v>2672</v>
      </c>
      <c r="I717" s="1058" t="e">
        <f>VLOOKUP(H710,'LƯƠNG KT'!$D$15:$R$94,17,0)</f>
        <v>#N/A</v>
      </c>
      <c r="J717" s="1059" t="e">
        <f>+I717*$L$10</f>
        <v>#N/A</v>
      </c>
      <c r="K717" s="1085"/>
      <c r="L717" s="1085"/>
      <c r="M717" s="1085"/>
      <c r="N717" s="1085"/>
      <c r="O717" s="1085"/>
    </row>
    <row r="718" spans="1:15" ht="15" customHeight="1">
      <c r="A718" s="1056" t="s">
        <v>374</v>
      </c>
      <c r="B718" s="1057" t="s">
        <v>2674</v>
      </c>
      <c r="C718" s="1058" t="e">
        <f>VLOOKUP(B710,'LƯƠNG KT'!$D$15:$R$94,12,0)</f>
        <v>#N/A</v>
      </c>
      <c r="D718" s="1059" t="e">
        <f>VLOOKUP(B710,'LƯƠNG KT'!$D$15:$R$94,14,0)</f>
        <v>#N/A</v>
      </c>
      <c r="E718" s="1063"/>
      <c r="F718" s="1061"/>
      <c r="G718" s="1056" t="s">
        <v>374</v>
      </c>
      <c r="H718" s="1057" t="s">
        <v>2674</v>
      </c>
      <c r="I718" s="1058" t="e">
        <f>VLOOKUP(H710,'LƯƠNG KT'!$D$15:$R$94,12,0)</f>
        <v>#N/A</v>
      </c>
      <c r="J718" s="1059" t="e">
        <f>VLOOKUP(H710,'LƯƠNG KT'!$D$15:$R$94,14,0)</f>
        <v>#N/A</v>
      </c>
      <c r="K718" s="1085"/>
      <c r="L718" s="1085"/>
      <c r="M718" s="1085"/>
      <c r="N718" s="1085"/>
      <c r="O718" s="1085"/>
    </row>
    <row r="719" spans="1:15" ht="15" customHeight="1">
      <c r="A719" s="1056" t="s">
        <v>2675</v>
      </c>
      <c r="B719" s="1057" t="s">
        <v>2676</v>
      </c>
      <c r="D719" s="1064" t="e">
        <f>VLOOKUP(B710,'LƯƠNG KT'!$D$15:$R$94,13,0)</f>
        <v>#N/A</v>
      </c>
      <c r="E719" s="1065"/>
      <c r="F719" s="1065"/>
      <c r="G719" s="1056" t="s">
        <v>2675</v>
      </c>
      <c r="H719" s="1057" t="s">
        <v>2676</v>
      </c>
      <c r="J719" s="1064" t="e">
        <f>VLOOKUP(H710,'LƯƠNG KT'!$D$15:$R$94,13,0)</f>
        <v>#N/A</v>
      </c>
    </row>
    <row r="720" spans="1:15" ht="15" customHeight="1">
      <c r="A720" s="1066"/>
      <c r="B720" s="869"/>
      <c r="C720" s="1058"/>
      <c r="D720" s="1059"/>
      <c r="E720" s="1063"/>
      <c r="F720" s="1065"/>
      <c r="G720" s="1066"/>
      <c r="H720" s="869"/>
      <c r="I720" s="1058"/>
      <c r="J720" s="1059"/>
    </row>
    <row r="721" spans="1:15" ht="15" customHeight="1">
      <c r="A721" s="1052"/>
      <c r="B721" s="869"/>
      <c r="C721" s="1058"/>
      <c r="D721" s="1059"/>
      <c r="E721" s="1067"/>
      <c r="F721" s="1051"/>
      <c r="G721" s="1052"/>
      <c r="H721" s="869"/>
      <c r="I721" s="1058"/>
      <c r="J721" s="1059"/>
    </row>
    <row r="722" spans="1:15" ht="15" customHeight="1">
      <c r="A722" s="1068" t="s">
        <v>383</v>
      </c>
      <c r="B722" s="1069" t="s">
        <v>384</v>
      </c>
      <c r="C722" s="1070"/>
      <c r="D722" s="1071" t="e">
        <f>SUM(D711:D718)-D721</f>
        <v>#N/A</v>
      </c>
      <c r="E722" s="1072"/>
      <c r="F722" s="1073"/>
      <c r="G722" s="1068" t="s">
        <v>383</v>
      </c>
      <c r="H722" s="1069" t="s">
        <v>384</v>
      </c>
      <c r="I722" s="1070"/>
      <c r="J722" s="1071" t="e">
        <f>SUM(J711:J718)-J721</f>
        <v>#N/A</v>
      </c>
    </row>
    <row r="723" spans="1:15" ht="15.75" customHeight="1">
      <c r="A723" s="1074"/>
      <c r="B723" s="1075"/>
      <c r="C723" s="1076"/>
      <c r="D723" s="1077"/>
      <c r="E723" s="1077"/>
      <c r="F723" s="1078"/>
      <c r="G723" s="1074"/>
      <c r="H723" s="1075"/>
      <c r="I723" s="1076"/>
      <c r="J723" s="1077"/>
    </row>
    <row r="725" spans="1:15" ht="129" customHeight="1">
      <c r="A725" s="2243"/>
      <c r="B725" s="2243"/>
      <c r="C725" s="2243"/>
      <c r="D725" s="2243"/>
      <c r="E725" s="2243"/>
      <c r="F725" s="2243"/>
      <c r="G725" s="2243"/>
      <c r="H725" s="2243"/>
      <c r="I725" s="2243"/>
      <c r="J725" s="2243"/>
    </row>
    <row r="726" spans="1:15" ht="15" customHeight="1">
      <c r="A726" s="2242" t="str">
        <f>$K$2</f>
        <v>THÁNG 04/2025</v>
      </c>
      <c r="B726" s="2242"/>
      <c r="C726" s="2242"/>
      <c r="D726" s="2242"/>
      <c r="E726" s="1050"/>
      <c r="F726" s="1051"/>
      <c r="G726" s="2242" t="str">
        <f>$K$2</f>
        <v>THÁNG 04/2025</v>
      </c>
      <c r="H726" s="2242"/>
      <c r="I726" s="2242"/>
      <c r="J726" s="2242"/>
      <c r="K726" s="624"/>
    </row>
    <row r="727" spans="1:15" ht="15" customHeight="1">
      <c r="A727" s="1052" t="s">
        <v>356</v>
      </c>
      <c r="B727" s="1053" t="s">
        <v>461</v>
      </c>
      <c r="C727" s="869"/>
      <c r="D727" s="1049"/>
      <c r="E727" s="1054"/>
      <c r="F727" s="1055"/>
      <c r="G727" s="1052" t="s">
        <v>356</v>
      </c>
      <c r="H727" s="1053" t="s">
        <v>2630</v>
      </c>
      <c r="I727" s="869"/>
      <c r="J727" s="1049"/>
      <c r="L727" s="1088"/>
      <c r="M727" s="1088"/>
      <c r="N727" s="1088"/>
      <c r="O727" s="1088"/>
    </row>
    <row r="728" spans="1:15" ht="15" customHeight="1">
      <c r="A728" s="1056" t="s">
        <v>359</v>
      </c>
      <c r="B728" s="1057" t="s">
        <v>2662</v>
      </c>
      <c r="C728" s="1058" t="e">
        <f>VLOOKUP(B727,'LƯƠNG KT'!$D$15:$R$94,4,0)</f>
        <v>#N/A</v>
      </c>
      <c r="D728" s="1059" t="e">
        <f>+C728*25000</f>
        <v>#N/A</v>
      </c>
      <c r="E728" s="1060"/>
      <c r="F728" s="1060"/>
      <c r="G728" s="1056" t="s">
        <v>359</v>
      </c>
      <c r="H728" s="1057" t="s">
        <v>2662</v>
      </c>
      <c r="I728" s="1058" t="e">
        <f>VLOOKUP(H727,'LƯƠNG KT'!$D$15:$R$94,4,0)</f>
        <v>#N/A</v>
      </c>
      <c r="J728" s="1059" t="e">
        <f>+I728*25000</f>
        <v>#N/A</v>
      </c>
      <c r="K728" s="1084"/>
      <c r="L728" s="1085"/>
      <c r="M728" s="1085"/>
      <c r="N728" s="1085"/>
      <c r="O728" s="1085"/>
    </row>
    <row r="729" spans="1:15" ht="15" customHeight="1">
      <c r="A729" s="1056" t="s">
        <v>361</v>
      </c>
      <c r="B729" s="1057" t="s">
        <v>2663</v>
      </c>
      <c r="C729" s="1058" t="e">
        <f>VLOOKUP(B727,'LƯƠNG KT'!$D$15:$R$94,15,0)</f>
        <v>#N/A</v>
      </c>
      <c r="D729" s="1059" t="e">
        <f>C729*$L$4</f>
        <v>#N/A</v>
      </c>
      <c r="E729" s="1061"/>
      <c r="F729" s="1061"/>
      <c r="G729" s="1056" t="s">
        <v>361</v>
      </c>
      <c r="H729" s="1057" t="s">
        <v>2663</v>
      </c>
      <c r="I729" s="1058" t="e">
        <f>VLOOKUP(H727,'LƯƠNG KT'!$D$15:$R$94,15,0)</f>
        <v>#N/A</v>
      </c>
      <c r="J729" s="1059" t="e">
        <f>I729*$L$4</f>
        <v>#N/A</v>
      </c>
      <c r="K729" s="1084"/>
      <c r="L729" s="1085"/>
      <c r="M729" s="1085"/>
      <c r="N729" s="1085"/>
      <c r="O729" s="1085"/>
    </row>
    <row r="730" spans="1:15" ht="15" customHeight="1">
      <c r="A730" s="1056" t="s">
        <v>364</v>
      </c>
      <c r="B730" s="1057" t="s">
        <v>2664</v>
      </c>
      <c r="C730" s="1058" t="e">
        <f>VLOOKUP(B727,'LƯƠNG KT'!$D$15:$R$94,16,0)</f>
        <v>#N/A</v>
      </c>
      <c r="D730" s="1059" t="e">
        <f>C730*$L$5</f>
        <v>#N/A</v>
      </c>
      <c r="E730" s="1061"/>
      <c r="F730" s="1061"/>
      <c r="G730" s="1056" t="s">
        <v>364</v>
      </c>
      <c r="H730" s="1057" t="s">
        <v>2664</v>
      </c>
      <c r="I730" s="1058" t="e">
        <f>VLOOKUP(H727,'LƯƠNG KT'!$D$15:$R$94,16,0)</f>
        <v>#N/A</v>
      </c>
      <c r="J730" s="1059" t="e">
        <f>I730*$L$5</f>
        <v>#N/A</v>
      </c>
      <c r="K730" s="1084"/>
      <c r="L730" s="1085"/>
      <c r="M730" s="1085"/>
      <c r="N730" s="1085"/>
      <c r="O730" s="1085"/>
    </row>
    <row r="731" spans="1:15" ht="15" customHeight="1">
      <c r="A731" s="1056" t="s">
        <v>370</v>
      </c>
      <c r="B731" s="1057" t="s">
        <v>2665</v>
      </c>
      <c r="C731" s="1058" t="e">
        <f>VLOOKUP(B727,'LƯƠNG KT'!$D$15:$R$94,24,0)</f>
        <v>#N/A</v>
      </c>
      <c r="D731" s="1059" t="e">
        <f>+C731*$L$6</f>
        <v>#N/A</v>
      </c>
      <c r="E731" s="1061"/>
      <c r="F731" s="1061"/>
      <c r="G731" s="1056" t="s">
        <v>370</v>
      </c>
      <c r="H731" s="1057" t="s">
        <v>2665</v>
      </c>
      <c r="I731" s="1058" t="e">
        <f>VLOOKUP(H727,'LƯƠNG KT'!$D$15:$R$94,24,0)</f>
        <v>#N/A</v>
      </c>
      <c r="J731" s="1059" t="e">
        <f>+I731*$L$6</f>
        <v>#N/A</v>
      </c>
      <c r="K731" s="1085"/>
      <c r="L731" s="1085"/>
      <c r="M731" s="1085"/>
      <c r="N731" s="1085"/>
      <c r="O731" s="1085"/>
    </row>
    <row r="732" spans="1:15" ht="15" customHeight="1">
      <c r="A732" s="1056" t="s">
        <v>2666</v>
      </c>
      <c r="B732" s="1057" t="s">
        <v>2667</v>
      </c>
      <c r="C732" s="1058" t="e">
        <f>VLOOKUP(B727,'LƯƠNG KT'!$D$15:$R$94,19,0)</f>
        <v>#N/A</v>
      </c>
      <c r="D732" s="1059" t="e">
        <f>+C732*$L$8</f>
        <v>#N/A</v>
      </c>
      <c r="E732" s="1061"/>
      <c r="F732" s="1061"/>
      <c r="G732" s="1056" t="s">
        <v>2666</v>
      </c>
      <c r="H732" s="1057" t="s">
        <v>2667</v>
      </c>
      <c r="I732" s="1058" t="e">
        <f>VLOOKUP(H727,'LƯƠNG KT'!$D$15:$R$94,19,0)</f>
        <v>#N/A</v>
      </c>
      <c r="J732" s="1059" t="e">
        <f>+I732*$L$8</f>
        <v>#N/A</v>
      </c>
      <c r="K732" s="1085"/>
      <c r="L732" s="1085"/>
      <c r="M732" s="1085"/>
      <c r="N732" s="1085"/>
      <c r="O732" s="1085"/>
    </row>
    <row r="733" spans="1:15" ht="15" customHeight="1">
      <c r="A733" s="1056" t="s">
        <v>2668</v>
      </c>
      <c r="B733" s="1062" t="s">
        <v>2669</v>
      </c>
      <c r="C733" s="1058" t="e">
        <f>VLOOKUP(B727,'LƯƠNG KT'!$D$15:$R$94,20,0)</f>
        <v>#N/A</v>
      </c>
      <c r="D733" s="1059" t="e">
        <f>+C733*$L$9</f>
        <v>#N/A</v>
      </c>
      <c r="E733" s="1061"/>
      <c r="F733" s="1061"/>
      <c r="G733" s="1056" t="s">
        <v>2668</v>
      </c>
      <c r="H733" s="1062" t="s">
        <v>2669</v>
      </c>
      <c r="I733" s="1058" t="e">
        <f>VLOOKUP(H727,'LƯƠNG KT'!$D$15:$R$94,20,0)</f>
        <v>#N/A</v>
      </c>
      <c r="J733" s="1059" t="e">
        <f>+I733*$L$9</f>
        <v>#N/A</v>
      </c>
      <c r="K733" s="1085"/>
      <c r="L733" s="1085"/>
      <c r="M733" s="1085"/>
      <c r="N733" s="1085"/>
      <c r="O733" s="1085"/>
    </row>
    <row r="734" spans="1:15" ht="15" customHeight="1">
      <c r="A734" s="1056" t="s">
        <v>2671</v>
      </c>
      <c r="B734" s="1057" t="s">
        <v>2672</v>
      </c>
      <c r="C734" s="1058" t="e">
        <f>VLOOKUP(B727,'LƯƠNG KT'!$D$15:$R$94,17,0)</f>
        <v>#N/A</v>
      </c>
      <c r="D734" s="1059" t="e">
        <f>+C734*$L$10</f>
        <v>#N/A</v>
      </c>
      <c r="E734" s="1061"/>
      <c r="F734" s="1061"/>
      <c r="G734" s="1056" t="s">
        <v>2671</v>
      </c>
      <c r="H734" s="1057" t="s">
        <v>2672</v>
      </c>
      <c r="I734" s="1058" t="e">
        <f>VLOOKUP(H727,'LƯƠNG KT'!$D$15:$R$94,17,0)</f>
        <v>#N/A</v>
      </c>
      <c r="J734" s="1059" t="e">
        <f>+I734*$L$10</f>
        <v>#N/A</v>
      </c>
      <c r="K734" s="1085"/>
      <c r="L734" s="1085"/>
      <c r="M734" s="1085"/>
      <c r="N734" s="1085"/>
      <c r="O734" s="1085"/>
    </row>
    <row r="735" spans="1:15" ht="15" customHeight="1">
      <c r="A735" s="1056" t="s">
        <v>374</v>
      </c>
      <c r="B735" s="1057" t="s">
        <v>2674</v>
      </c>
      <c r="C735" s="1058" t="e">
        <f>VLOOKUP(B727,'LƯƠNG KT'!$D$15:$R$94,12,0)</f>
        <v>#N/A</v>
      </c>
      <c r="D735" s="1059" t="e">
        <f>VLOOKUP(B727,'LƯƠNG KT'!$D$15:$R$94,14,0)</f>
        <v>#N/A</v>
      </c>
      <c r="E735" s="1063"/>
      <c r="F735" s="1061"/>
      <c r="G735" s="1056" t="s">
        <v>374</v>
      </c>
      <c r="H735" s="1057" t="s">
        <v>2674</v>
      </c>
      <c r="I735" s="1058" t="e">
        <f>VLOOKUP(H727,'LƯƠNG KT'!$D$15:$R$94,12,0)</f>
        <v>#N/A</v>
      </c>
      <c r="J735" s="1059" t="e">
        <f>VLOOKUP(H727,'LƯƠNG KT'!$D$15:$R$94,14,0)</f>
        <v>#N/A</v>
      </c>
      <c r="K735" s="1085"/>
      <c r="L735" s="1085"/>
      <c r="M735" s="1085"/>
      <c r="N735" s="1085"/>
      <c r="O735" s="1085"/>
    </row>
    <row r="736" spans="1:15" ht="15" customHeight="1">
      <c r="A736" s="1056" t="s">
        <v>2675</v>
      </c>
      <c r="B736" s="1057" t="s">
        <v>2676</v>
      </c>
      <c r="D736" s="1064" t="e">
        <f>VLOOKUP(B727,'LƯƠNG KT'!$D$15:$R$94,13,0)</f>
        <v>#N/A</v>
      </c>
      <c r="E736" s="1065"/>
      <c r="F736" s="1065"/>
      <c r="G736" s="1056" t="s">
        <v>2675</v>
      </c>
      <c r="H736" s="1057" t="s">
        <v>2676</v>
      </c>
      <c r="J736" s="1064" t="e">
        <f>VLOOKUP(H727,'LƯƠNG KT'!$D$15:$R$94,13,0)</f>
        <v>#N/A</v>
      </c>
    </row>
    <row r="737" spans="1:15" ht="15" customHeight="1">
      <c r="A737" s="1066"/>
      <c r="B737" s="869"/>
      <c r="C737" s="1058"/>
      <c r="D737" s="1059"/>
      <c r="E737" s="1063"/>
      <c r="F737" s="1065"/>
      <c r="G737" s="1066"/>
      <c r="H737" s="869"/>
      <c r="I737" s="1058"/>
      <c r="J737" s="1059"/>
    </row>
    <row r="738" spans="1:15" ht="15" customHeight="1">
      <c r="A738" s="1052"/>
      <c r="B738" s="869"/>
      <c r="C738" s="1058"/>
      <c r="D738" s="1059"/>
      <c r="E738" s="1067"/>
      <c r="F738" s="1051"/>
      <c r="G738" s="1052"/>
      <c r="H738" s="869"/>
      <c r="I738" s="1058"/>
      <c r="J738" s="1059"/>
    </row>
    <row r="739" spans="1:15" ht="15" customHeight="1">
      <c r="A739" s="1068" t="s">
        <v>383</v>
      </c>
      <c r="B739" s="1069" t="s">
        <v>384</v>
      </c>
      <c r="C739" s="1070"/>
      <c r="D739" s="1071" t="e">
        <f>SUM(D728:D735)-D738</f>
        <v>#N/A</v>
      </c>
      <c r="E739" s="1072"/>
      <c r="F739" s="1073"/>
      <c r="G739" s="1068" t="s">
        <v>383</v>
      </c>
      <c r="H739" s="1069" t="s">
        <v>384</v>
      </c>
      <c r="I739" s="1070"/>
      <c r="J739" s="1071" t="e">
        <f>SUM(J728:J735)-J738</f>
        <v>#N/A</v>
      </c>
    </row>
    <row r="740" spans="1:15" ht="12.6" customHeight="1">
      <c r="A740" s="1074"/>
      <c r="B740" s="1075"/>
      <c r="C740" s="1076"/>
      <c r="D740" s="1077"/>
      <c r="E740" s="1077"/>
      <c r="F740" s="1078"/>
      <c r="G740" s="1074"/>
      <c r="H740" s="1075"/>
      <c r="I740" s="1076"/>
      <c r="J740" s="1077"/>
    </row>
    <row r="741" spans="1:15" ht="12.6" customHeight="1">
      <c r="A741" s="1075"/>
      <c r="B741" s="1075"/>
      <c r="C741" s="1079"/>
      <c r="D741" s="1080"/>
      <c r="E741" s="1075"/>
      <c r="F741" s="1081"/>
      <c r="G741" s="1075"/>
      <c r="H741" s="1075"/>
      <c r="I741" s="1079"/>
      <c r="J741" s="1080"/>
    </row>
    <row r="742" spans="1:15" ht="15" customHeight="1">
      <c r="A742" s="2242" t="str">
        <f>$K$2</f>
        <v>THÁNG 04/2025</v>
      </c>
      <c r="B742" s="2242"/>
      <c r="C742" s="2242"/>
      <c r="D742" s="2242"/>
      <c r="E742" s="1050"/>
      <c r="F742" s="1051"/>
      <c r="G742" s="2242" t="str">
        <f>$K$2</f>
        <v>THÁNG 04/2025</v>
      </c>
      <c r="H742" s="2242"/>
      <c r="I742" s="2242"/>
      <c r="J742" s="2242"/>
      <c r="K742" s="624"/>
    </row>
    <row r="743" spans="1:15" ht="15" customHeight="1">
      <c r="A743" s="1052" t="s">
        <v>356</v>
      </c>
      <c r="B743" s="1053" t="s">
        <v>463</v>
      </c>
      <c r="C743" s="869"/>
      <c r="D743" s="1049"/>
      <c r="E743" s="1054"/>
      <c r="F743" s="1055"/>
      <c r="G743" s="1052" t="s">
        <v>356</v>
      </c>
      <c r="H743" s="1053" t="s">
        <v>464</v>
      </c>
      <c r="I743" s="869"/>
      <c r="J743" s="1049"/>
      <c r="L743" s="1088"/>
      <c r="M743" s="1088"/>
      <c r="N743" s="1088"/>
      <c r="O743" s="1088"/>
    </row>
    <row r="744" spans="1:15" ht="15" customHeight="1">
      <c r="A744" s="1056" t="s">
        <v>359</v>
      </c>
      <c r="B744" s="1057" t="s">
        <v>2662</v>
      </c>
      <c r="C744" s="1058" t="e">
        <f>VLOOKUP(B743,'LƯƠNG KT'!$D$15:$R$94,4,0)</f>
        <v>#N/A</v>
      </c>
      <c r="D744" s="1059" t="e">
        <f>+C744*25000</f>
        <v>#N/A</v>
      </c>
      <c r="E744" s="1060"/>
      <c r="F744" s="1060"/>
      <c r="G744" s="1056" t="s">
        <v>359</v>
      </c>
      <c r="H744" s="1057" t="s">
        <v>2662</v>
      </c>
      <c r="I744" s="1058" t="e">
        <f>VLOOKUP(H743,'LƯƠNG KT'!$D$15:$R$94,4,0)</f>
        <v>#N/A</v>
      </c>
      <c r="J744" s="1059" t="e">
        <f>+I744*25000</f>
        <v>#N/A</v>
      </c>
      <c r="K744" s="1085"/>
      <c r="L744" s="1085"/>
      <c r="M744" s="1085"/>
      <c r="N744" s="1085"/>
      <c r="O744" s="1085"/>
    </row>
    <row r="745" spans="1:15" ht="15" customHeight="1">
      <c r="A745" s="1056" t="s">
        <v>361</v>
      </c>
      <c r="B745" s="1057" t="s">
        <v>2663</v>
      </c>
      <c r="C745" s="1058" t="e">
        <f>VLOOKUP(B743,'LƯƠNG KT'!$D$15:$R$94,15,0)</f>
        <v>#N/A</v>
      </c>
      <c r="D745" s="1059" t="e">
        <f>C745*$L$4</f>
        <v>#N/A</v>
      </c>
      <c r="E745" s="1061"/>
      <c r="F745" s="1061"/>
      <c r="G745" s="1056" t="s">
        <v>361</v>
      </c>
      <c r="H745" s="1057" t="s">
        <v>2663</v>
      </c>
      <c r="I745" s="1058" t="e">
        <f>VLOOKUP(H743,'LƯƠNG KT'!$D$15:$R$94,15,0)</f>
        <v>#N/A</v>
      </c>
      <c r="J745" s="1059" t="e">
        <f>I745*$L$4</f>
        <v>#N/A</v>
      </c>
      <c r="K745" s="1085"/>
      <c r="L745" s="1085"/>
      <c r="M745" s="1085"/>
      <c r="N745" s="1085"/>
      <c r="O745" s="1085"/>
    </row>
    <row r="746" spans="1:15" ht="15" customHeight="1">
      <c r="A746" s="1056" t="s">
        <v>364</v>
      </c>
      <c r="B746" s="1057" t="s">
        <v>2664</v>
      </c>
      <c r="C746" s="1058" t="e">
        <f>VLOOKUP(B743,'LƯƠNG KT'!$D$15:$R$94,16,0)</f>
        <v>#N/A</v>
      </c>
      <c r="D746" s="1059" t="e">
        <f>C746*$L$5</f>
        <v>#N/A</v>
      </c>
      <c r="E746" s="1061"/>
      <c r="F746" s="1061"/>
      <c r="G746" s="1056" t="s">
        <v>364</v>
      </c>
      <c r="H746" s="1057" t="s">
        <v>2664</v>
      </c>
      <c r="I746" s="1058" t="e">
        <f>VLOOKUP(H743,'LƯƠNG KT'!$D$15:$R$94,16,0)</f>
        <v>#N/A</v>
      </c>
      <c r="J746" s="1059" t="e">
        <f>I746*$L$5</f>
        <v>#N/A</v>
      </c>
      <c r="K746" s="1085"/>
      <c r="L746" s="1085"/>
      <c r="M746" s="1085"/>
      <c r="N746" s="1085"/>
      <c r="O746" s="1085"/>
    </row>
    <row r="747" spans="1:15" ht="15" customHeight="1">
      <c r="A747" s="1056" t="s">
        <v>370</v>
      </c>
      <c r="B747" s="1057" t="s">
        <v>2665</v>
      </c>
      <c r="C747" s="1058" t="e">
        <f>VLOOKUP(B743,'LƯƠNG KT'!$D$15:$R$94,24,0)</f>
        <v>#N/A</v>
      </c>
      <c r="D747" s="1059" t="e">
        <f>+C747*$L$6</f>
        <v>#N/A</v>
      </c>
      <c r="E747" s="1061"/>
      <c r="F747" s="1061"/>
      <c r="G747" s="1056" t="s">
        <v>370</v>
      </c>
      <c r="H747" s="1057" t="s">
        <v>2665</v>
      </c>
      <c r="I747" s="1058" t="e">
        <f>VLOOKUP(H743,'LƯƠNG KT'!$D$15:$R$94,24,0)</f>
        <v>#N/A</v>
      </c>
      <c r="J747" s="1059" t="e">
        <f>+I747*$L$6</f>
        <v>#N/A</v>
      </c>
      <c r="K747" s="1085"/>
      <c r="L747" s="1085"/>
      <c r="M747" s="1085"/>
      <c r="N747" s="1085"/>
      <c r="O747" s="1085"/>
    </row>
    <row r="748" spans="1:15" ht="15" customHeight="1">
      <c r="A748" s="1056" t="s">
        <v>2666</v>
      </c>
      <c r="B748" s="1057" t="s">
        <v>2667</v>
      </c>
      <c r="C748" s="1058" t="e">
        <f>VLOOKUP(B743,'LƯƠNG KT'!$D$15:$R$94,19,0)</f>
        <v>#N/A</v>
      </c>
      <c r="D748" s="1059" t="e">
        <f>+C748*$L$8</f>
        <v>#N/A</v>
      </c>
      <c r="E748" s="1061"/>
      <c r="F748" s="1061"/>
      <c r="G748" s="1056" t="s">
        <v>2666</v>
      </c>
      <c r="H748" s="1057" t="s">
        <v>2667</v>
      </c>
      <c r="I748" s="1058" t="e">
        <f>VLOOKUP(H743,'LƯƠNG KT'!$D$15:$R$94,19,0)</f>
        <v>#N/A</v>
      </c>
      <c r="J748" s="1059" t="e">
        <f>+I748*$L$8</f>
        <v>#N/A</v>
      </c>
      <c r="K748" s="1085"/>
      <c r="L748" s="1085"/>
      <c r="M748" s="1085"/>
      <c r="N748" s="1085"/>
      <c r="O748" s="1085"/>
    </row>
    <row r="749" spans="1:15" ht="15" customHeight="1">
      <c r="A749" s="1056" t="s">
        <v>2668</v>
      </c>
      <c r="B749" s="1062" t="s">
        <v>2669</v>
      </c>
      <c r="C749" s="1058" t="e">
        <f>VLOOKUP(B743,'LƯƠNG KT'!$D$15:$R$94,20,0)</f>
        <v>#N/A</v>
      </c>
      <c r="D749" s="1059" t="e">
        <f>+C749*$L$9</f>
        <v>#N/A</v>
      </c>
      <c r="E749" s="1061"/>
      <c r="F749" s="1061"/>
      <c r="G749" s="1056" t="s">
        <v>2668</v>
      </c>
      <c r="H749" s="1062" t="s">
        <v>2669</v>
      </c>
      <c r="I749" s="1058" t="e">
        <f>VLOOKUP(H743,'LƯƠNG KT'!$D$15:$R$94,20,0)</f>
        <v>#N/A</v>
      </c>
      <c r="J749" s="1059" t="e">
        <f>+I749*$L$9</f>
        <v>#N/A</v>
      </c>
      <c r="K749" s="1085"/>
      <c r="L749" s="1085"/>
      <c r="M749" s="1085"/>
      <c r="N749" s="1085"/>
      <c r="O749" s="1085"/>
    </row>
    <row r="750" spans="1:15" ht="15" customHeight="1">
      <c r="A750" s="1056" t="s">
        <v>2671</v>
      </c>
      <c r="B750" s="1057" t="s">
        <v>2672</v>
      </c>
      <c r="C750" s="1058" t="e">
        <f>VLOOKUP(B743,'LƯƠNG KT'!$D$15:$R$94,17,0)</f>
        <v>#N/A</v>
      </c>
      <c r="D750" s="1059" t="e">
        <f>+C750*$L$10</f>
        <v>#N/A</v>
      </c>
      <c r="E750" s="1061"/>
      <c r="F750" s="1061"/>
      <c r="G750" s="1056" t="s">
        <v>2671</v>
      </c>
      <c r="H750" s="1057" t="s">
        <v>2672</v>
      </c>
      <c r="I750" s="1058" t="e">
        <f>VLOOKUP(H743,'LƯƠNG KT'!$D$15:$R$94,17,0)</f>
        <v>#N/A</v>
      </c>
      <c r="J750" s="1059" t="e">
        <f>+I750*$L$10</f>
        <v>#N/A</v>
      </c>
      <c r="K750" s="1085"/>
      <c r="L750" s="1085"/>
      <c r="M750" s="1085"/>
      <c r="N750" s="1085"/>
      <c r="O750" s="1085"/>
    </row>
    <row r="751" spans="1:15" ht="15" customHeight="1">
      <c r="A751" s="1056" t="s">
        <v>374</v>
      </c>
      <c r="B751" s="1057" t="s">
        <v>2674</v>
      </c>
      <c r="C751" s="1058" t="e">
        <f>VLOOKUP(B743,'LƯƠNG KT'!$D$15:$R$94,12,0)</f>
        <v>#N/A</v>
      </c>
      <c r="D751" s="1059" t="e">
        <f>VLOOKUP(B743,'LƯƠNG KT'!$D$15:$R$94,14,0)</f>
        <v>#N/A</v>
      </c>
      <c r="E751" s="1063"/>
      <c r="F751" s="1061"/>
      <c r="G751" s="1056" t="s">
        <v>374</v>
      </c>
      <c r="H751" s="1057" t="s">
        <v>2674</v>
      </c>
      <c r="I751" s="1058" t="e">
        <f>VLOOKUP(H743,'LƯƠNG KT'!$D$15:$R$94,12,0)</f>
        <v>#N/A</v>
      </c>
      <c r="J751" s="1059" t="e">
        <f>VLOOKUP(H743,'LƯƠNG KT'!$D$15:$R$94,14,0)</f>
        <v>#N/A</v>
      </c>
      <c r="K751" s="1085"/>
      <c r="L751" s="1085"/>
      <c r="M751" s="1085"/>
      <c r="N751" s="1085"/>
      <c r="O751" s="1085"/>
    </row>
    <row r="752" spans="1:15" ht="15" customHeight="1">
      <c r="A752" s="1056" t="s">
        <v>2675</v>
      </c>
      <c r="B752" s="1057" t="s">
        <v>2676</v>
      </c>
      <c r="D752" s="1064" t="e">
        <f>VLOOKUP(B743,'LƯƠNG KT'!$D$15:$R$94,13,0)</f>
        <v>#N/A</v>
      </c>
      <c r="E752" s="1065"/>
      <c r="F752" s="1065"/>
      <c r="G752" s="1056" t="s">
        <v>2675</v>
      </c>
      <c r="H752" s="1057" t="s">
        <v>2676</v>
      </c>
      <c r="J752" s="1064" t="e">
        <f>VLOOKUP(H743,'LƯƠNG KT'!$D$15:$R$94,13,0)</f>
        <v>#N/A</v>
      </c>
    </row>
    <row r="753" spans="1:15" ht="15" customHeight="1">
      <c r="A753" s="1066"/>
      <c r="B753" s="869"/>
      <c r="C753" s="1058"/>
      <c r="D753" s="1059"/>
      <c r="E753" s="1063"/>
      <c r="F753" s="1065"/>
      <c r="G753" s="1066"/>
      <c r="H753" s="869"/>
      <c r="I753" s="1058"/>
      <c r="J753" s="1059"/>
    </row>
    <row r="754" spans="1:15" ht="15" customHeight="1">
      <c r="A754" s="1052"/>
      <c r="B754" s="869"/>
      <c r="C754" s="1058"/>
      <c r="D754" s="1059"/>
      <c r="E754" s="1067"/>
      <c r="F754" s="1051"/>
      <c r="G754" s="1052"/>
      <c r="H754" s="869"/>
      <c r="I754" s="1058"/>
      <c r="J754" s="1059"/>
    </row>
    <row r="755" spans="1:15" ht="15" customHeight="1">
      <c r="A755" s="1068" t="s">
        <v>383</v>
      </c>
      <c r="B755" s="1069" t="s">
        <v>384</v>
      </c>
      <c r="C755" s="1070"/>
      <c r="D755" s="1071" t="e">
        <f>SUM(D744:D751)-D754</f>
        <v>#N/A</v>
      </c>
      <c r="E755" s="1072"/>
      <c r="F755" s="1073"/>
      <c r="G755" s="1068" t="s">
        <v>383</v>
      </c>
      <c r="H755" s="1069" t="s">
        <v>384</v>
      </c>
      <c r="I755" s="1070"/>
      <c r="J755" s="1071" t="e">
        <f>SUM(J744:J751)-J754</f>
        <v>#N/A</v>
      </c>
    </row>
    <row r="756" spans="1:15" ht="18.75" customHeight="1">
      <c r="A756" s="1074"/>
      <c r="B756" s="1075"/>
      <c r="C756" s="1076"/>
      <c r="D756" s="1077"/>
      <c r="E756" s="1077"/>
      <c r="F756" s="1078"/>
      <c r="G756" s="1074"/>
      <c r="H756" s="1075"/>
      <c r="I756" s="1076"/>
      <c r="J756" s="1077"/>
    </row>
    <row r="757" spans="1:15" ht="18.75" customHeight="1">
      <c r="A757" s="1075"/>
      <c r="B757" s="1075"/>
      <c r="C757" s="1079"/>
      <c r="D757" s="1080"/>
      <c r="E757" s="1075"/>
      <c r="F757" s="1081"/>
      <c r="G757" s="1075"/>
      <c r="H757" s="1075"/>
      <c r="I757" s="1079"/>
      <c r="J757" s="1080"/>
    </row>
    <row r="758" spans="1:15" ht="15" customHeight="1">
      <c r="A758" s="2242" t="str">
        <f>$K$2</f>
        <v>THÁNG 04/2025</v>
      </c>
      <c r="B758" s="2242"/>
      <c r="C758" s="2242"/>
      <c r="D758" s="2242"/>
      <c r="E758" s="1050"/>
      <c r="F758" s="1051"/>
      <c r="G758" s="2242" t="str">
        <f>$K$2</f>
        <v>THÁNG 04/2025</v>
      </c>
      <c r="H758" s="2242"/>
      <c r="I758" s="2242"/>
      <c r="J758" s="2242"/>
      <c r="K758" s="624"/>
    </row>
    <row r="759" spans="1:15" ht="15" customHeight="1">
      <c r="A759" s="1052" t="s">
        <v>356</v>
      </c>
      <c r="B759" s="1053" t="s">
        <v>465</v>
      </c>
      <c r="C759" s="869"/>
      <c r="D759" s="1049"/>
      <c r="E759" s="1054"/>
      <c r="F759" s="1055"/>
      <c r="G759" s="1052" t="s">
        <v>356</v>
      </c>
      <c r="H759" s="1053" t="s">
        <v>466</v>
      </c>
      <c r="I759" s="869"/>
      <c r="J759" s="1049"/>
      <c r="L759" s="1088"/>
      <c r="M759" s="1088"/>
      <c r="N759" s="1088"/>
      <c r="O759" s="1088"/>
    </row>
    <row r="760" spans="1:15" ht="15" customHeight="1">
      <c r="A760" s="1056" t="s">
        <v>359</v>
      </c>
      <c r="B760" s="1057" t="s">
        <v>2662</v>
      </c>
      <c r="C760" s="1058" t="e">
        <f>VLOOKUP(B759,'LƯƠNG KT'!$D$15:$R$94,4,0)</f>
        <v>#N/A</v>
      </c>
      <c r="D760" s="1059" t="e">
        <f>+C760*25000</f>
        <v>#N/A</v>
      </c>
      <c r="E760" s="1060"/>
      <c r="F760" s="1060"/>
      <c r="G760" s="1056" t="s">
        <v>359</v>
      </c>
      <c r="H760" s="1057" t="s">
        <v>2662</v>
      </c>
      <c r="I760" s="1058" t="e">
        <f>VLOOKUP(H759,'LƯƠNG KT'!$D$15:$R$94,4,0)</f>
        <v>#N/A</v>
      </c>
      <c r="J760" s="1059" t="e">
        <f>+I760*25000</f>
        <v>#N/A</v>
      </c>
      <c r="K760" s="1085"/>
      <c r="L760" s="1085"/>
      <c r="M760" s="1085"/>
      <c r="N760" s="1085"/>
      <c r="O760" s="1085"/>
    </row>
    <row r="761" spans="1:15" ht="15" customHeight="1">
      <c r="A761" s="1056" t="s">
        <v>361</v>
      </c>
      <c r="B761" s="1057" t="s">
        <v>2663</v>
      </c>
      <c r="C761" s="1058" t="e">
        <f>VLOOKUP(B759,'LƯƠNG KT'!$D$15:$R$94,15,0)</f>
        <v>#N/A</v>
      </c>
      <c r="D761" s="1059" t="e">
        <f>C761*$L$4</f>
        <v>#N/A</v>
      </c>
      <c r="E761" s="1061"/>
      <c r="F761" s="1061"/>
      <c r="G761" s="1056" t="s">
        <v>361</v>
      </c>
      <c r="H761" s="1057" t="s">
        <v>2663</v>
      </c>
      <c r="I761" s="1058" t="e">
        <f>VLOOKUP(H759,'LƯƠNG KT'!$D$15:$R$94,15,0)</f>
        <v>#N/A</v>
      </c>
      <c r="J761" s="1059" t="e">
        <f>I761*$L$4</f>
        <v>#N/A</v>
      </c>
      <c r="K761" s="1085"/>
      <c r="L761" s="1085"/>
      <c r="M761" s="1085"/>
      <c r="N761" s="1085"/>
      <c r="O761" s="1085"/>
    </row>
    <row r="762" spans="1:15" ht="15" customHeight="1">
      <c r="A762" s="1056" t="s">
        <v>364</v>
      </c>
      <c r="B762" s="1057" t="s">
        <v>2664</v>
      </c>
      <c r="C762" s="1058" t="e">
        <f>VLOOKUP(B759,'LƯƠNG KT'!$D$15:$R$94,16,0)</f>
        <v>#N/A</v>
      </c>
      <c r="D762" s="1059" t="e">
        <f>C762*$L$5</f>
        <v>#N/A</v>
      </c>
      <c r="E762" s="1061"/>
      <c r="F762" s="1061"/>
      <c r="G762" s="1056" t="s">
        <v>364</v>
      </c>
      <c r="H762" s="1057" t="s">
        <v>2664</v>
      </c>
      <c r="I762" s="1058" t="e">
        <f>VLOOKUP(H759,'LƯƠNG KT'!$D$15:$R$94,16,0)</f>
        <v>#N/A</v>
      </c>
      <c r="J762" s="1059" t="e">
        <f>I762*$L$5</f>
        <v>#N/A</v>
      </c>
      <c r="K762" s="1085"/>
      <c r="L762" s="1085"/>
      <c r="M762" s="1085"/>
      <c r="N762" s="1085"/>
      <c r="O762" s="1085"/>
    </row>
    <row r="763" spans="1:15" ht="15" customHeight="1">
      <c r="A763" s="1056" t="s">
        <v>370</v>
      </c>
      <c r="B763" s="1057" t="s">
        <v>2665</v>
      </c>
      <c r="C763" s="1058" t="e">
        <f>VLOOKUP(B759,'LƯƠNG KT'!$D$15:$R$94,24,0)</f>
        <v>#N/A</v>
      </c>
      <c r="D763" s="1059" t="e">
        <f>+C763*$L$6</f>
        <v>#N/A</v>
      </c>
      <c r="E763" s="1061"/>
      <c r="F763" s="1061"/>
      <c r="G763" s="1056" t="s">
        <v>370</v>
      </c>
      <c r="H763" s="1057" t="s">
        <v>2665</v>
      </c>
      <c r="I763" s="1058" t="e">
        <f>VLOOKUP(H759,'LƯƠNG KT'!$D$15:$R$94,24,0)</f>
        <v>#N/A</v>
      </c>
      <c r="J763" s="1059" t="e">
        <f>+I763*$L$6</f>
        <v>#N/A</v>
      </c>
      <c r="K763" s="1085"/>
      <c r="L763" s="1085"/>
      <c r="M763" s="1085"/>
      <c r="N763" s="1085"/>
      <c r="O763" s="1085"/>
    </row>
    <row r="764" spans="1:15" ht="15" customHeight="1">
      <c r="A764" s="1056" t="s">
        <v>2666</v>
      </c>
      <c r="B764" s="1057" t="s">
        <v>2667</v>
      </c>
      <c r="C764" s="1058" t="e">
        <f>VLOOKUP(B759,'LƯƠNG KT'!$D$15:$R$94,19,0)</f>
        <v>#N/A</v>
      </c>
      <c r="D764" s="1059" t="e">
        <f>+C764*$L$8</f>
        <v>#N/A</v>
      </c>
      <c r="E764" s="1061"/>
      <c r="F764" s="1061"/>
      <c r="G764" s="1056" t="s">
        <v>2666</v>
      </c>
      <c r="H764" s="1057" t="s">
        <v>2667</v>
      </c>
      <c r="I764" s="1058" t="e">
        <f>VLOOKUP(H759,'LƯƠNG KT'!$D$15:$R$94,19,0)</f>
        <v>#N/A</v>
      </c>
      <c r="J764" s="1059" t="e">
        <f>+I764*$L$8</f>
        <v>#N/A</v>
      </c>
      <c r="K764" s="1085"/>
      <c r="L764" s="1085"/>
      <c r="M764" s="1085"/>
      <c r="N764" s="1085"/>
      <c r="O764" s="1085"/>
    </row>
    <row r="765" spans="1:15" ht="15" customHeight="1">
      <c r="A765" s="1056" t="s">
        <v>2668</v>
      </c>
      <c r="B765" s="1062" t="s">
        <v>2669</v>
      </c>
      <c r="C765" s="1058" t="e">
        <f>VLOOKUP(B759,'LƯƠNG KT'!$D$15:$R$94,20,0)</f>
        <v>#N/A</v>
      </c>
      <c r="D765" s="1059" t="e">
        <f>+C765*$L$9</f>
        <v>#N/A</v>
      </c>
      <c r="E765" s="1061"/>
      <c r="F765" s="1061"/>
      <c r="G765" s="1056" t="s">
        <v>2668</v>
      </c>
      <c r="H765" s="1062" t="s">
        <v>2669</v>
      </c>
      <c r="I765" s="1058" t="e">
        <f>VLOOKUP(H759,'LƯƠNG KT'!$D$15:$R$94,20,0)</f>
        <v>#N/A</v>
      </c>
      <c r="J765" s="1059" t="e">
        <f>+I765*$L$9</f>
        <v>#N/A</v>
      </c>
      <c r="K765" s="1085"/>
      <c r="L765" s="1085"/>
      <c r="M765" s="1085"/>
      <c r="N765" s="1085"/>
      <c r="O765" s="1085"/>
    </row>
    <row r="766" spans="1:15" ht="15" customHeight="1">
      <c r="A766" s="1056" t="s">
        <v>2671</v>
      </c>
      <c r="B766" s="1057" t="s">
        <v>2672</v>
      </c>
      <c r="C766" s="1058" t="e">
        <f>VLOOKUP(B759,'LƯƠNG KT'!$D$15:$R$94,17,0)</f>
        <v>#N/A</v>
      </c>
      <c r="D766" s="1059" t="e">
        <f>+C766*$L$10</f>
        <v>#N/A</v>
      </c>
      <c r="E766" s="1061"/>
      <c r="F766" s="1061"/>
      <c r="G766" s="1056" t="s">
        <v>2671</v>
      </c>
      <c r="H766" s="1057" t="s">
        <v>2672</v>
      </c>
      <c r="I766" s="1058" t="e">
        <f>VLOOKUP(H759,'LƯƠNG KT'!$D$15:$R$94,17,0)</f>
        <v>#N/A</v>
      </c>
      <c r="J766" s="1059" t="e">
        <f>+I766*$L$10</f>
        <v>#N/A</v>
      </c>
      <c r="K766" s="1085"/>
      <c r="L766" s="1085"/>
      <c r="M766" s="1085"/>
      <c r="N766" s="1085"/>
      <c r="O766" s="1085"/>
    </row>
    <row r="767" spans="1:15" ht="15" customHeight="1">
      <c r="A767" s="1056" t="s">
        <v>374</v>
      </c>
      <c r="B767" s="1057" t="s">
        <v>2674</v>
      </c>
      <c r="C767" s="1058" t="e">
        <f>VLOOKUP(B759,'LƯƠNG KT'!$D$15:$R$94,12,0)</f>
        <v>#N/A</v>
      </c>
      <c r="D767" s="1059" t="e">
        <f>VLOOKUP(B759,'LƯƠNG KT'!$D$15:$R$94,14,0)</f>
        <v>#N/A</v>
      </c>
      <c r="E767" s="1063"/>
      <c r="F767" s="1061"/>
      <c r="G767" s="1056" t="s">
        <v>374</v>
      </c>
      <c r="H767" s="1057" t="s">
        <v>2674</v>
      </c>
      <c r="I767" s="1058" t="e">
        <f>VLOOKUP(H759,'LƯƠNG KT'!$D$15:$R$94,12,0)</f>
        <v>#N/A</v>
      </c>
      <c r="J767" s="1059" t="e">
        <f>VLOOKUP(H759,'LƯƠNG KT'!$D$15:$R$94,14,0)</f>
        <v>#N/A</v>
      </c>
      <c r="K767" s="1085"/>
      <c r="L767" s="1085"/>
      <c r="M767" s="1085"/>
      <c r="N767" s="1085"/>
      <c r="O767" s="1085"/>
    </row>
    <row r="768" spans="1:15" ht="15" customHeight="1">
      <c r="A768" s="1056" t="s">
        <v>2675</v>
      </c>
      <c r="B768" s="1057" t="s">
        <v>2676</v>
      </c>
      <c r="D768" s="1064" t="e">
        <f>VLOOKUP(B759,'LƯƠNG KT'!$D$15:$R$94,13,0)</f>
        <v>#N/A</v>
      </c>
      <c r="E768" s="1065"/>
      <c r="F768" s="1065"/>
      <c r="G768" s="1056" t="s">
        <v>2675</v>
      </c>
      <c r="H768" s="1057" t="s">
        <v>2676</v>
      </c>
      <c r="J768" s="1064" t="e">
        <f>VLOOKUP(H759,'LƯƠNG KT'!$D$15:$R$94,13,0)</f>
        <v>#N/A</v>
      </c>
    </row>
    <row r="769" spans="1:15" ht="15" customHeight="1">
      <c r="A769" s="1066"/>
      <c r="B769" s="869"/>
      <c r="C769" s="1058"/>
      <c r="D769" s="1059"/>
      <c r="E769" s="1063"/>
      <c r="F769" s="1065"/>
      <c r="G769" s="1066"/>
      <c r="H769" s="869"/>
      <c r="I769" s="1058"/>
      <c r="J769" s="1059"/>
    </row>
    <row r="770" spans="1:15" ht="15" customHeight="1">
      <c r="A770" s="1052"/>
      <c r="B770" s="869"/>
      <c r="C770" s="1058"/>
      <c r="D770" s="1059"/>
      <c r="E770" s="1067"/>
      <c r="F770" s="1051"/>
      <c r="G770" s="1052"/>
      <c r="H770" s="869"/>
      <c r="I770" s="1058"/>
      <c r="J770" s="1059"/>
    </row>
    <row r="771" spans="1:15" ht="15" customHeight="1">
      <c r="A771" s="1068" t="s">
        <v>383</v>
      </c>
      <c r="B771" s="1069" t="s">
        <v>384</v>
      </c>
      <c r="C771" s="1070"/>
      <c r="D771" s="1071" t="e">
        <f>SUM(D760:D767)-D770</f>
        <v>#N/A</v>
      </c>
      <c r="E771" s="1072"/>
      <c r="F771" s="1073"/>
      <c r="G771" s="1068" t="s">
        <v>383</v>
      </c>
      <c r="H771" s="1069" t="s">
        <v>384</v>
      </c>
      <c r="I771" s="1070"/>
      <c r="J771" s="1071" t="e">
        <f>SUM(J760:J767)-J770</f>
        <v>#N/A</v>
      </c>
    </row>
    <row r="772" spans="1:15" ht="18.75" customHeight="1">
      <c r="A772" s="1074"/>
      <c r="B772" s="1075"/>
      <c r="C772" s="1076"/>
      <c r="D772" s="1077"/>
      <c r="E772" s="1077"/>
      <c r="F772" s="1078"/>
      <c r="G772" s="1074"/>
      <c r="H772" s="1075"/>
      <c r="I772" s="1076"/>
      <c r="J772" s="1077"/>
    </row>
    <row r="773" spans="1:15" ht="154.5" customHeight="1">
      <c r="A773" s="1075"/>
      <c r="B773" s="1075"/>
      <c r="C773" s="1079"/>
      <c r="D773" s="1080"/>
      <c r="E773" s="1075"/>
      <c r="F773" s="1081"/>
      <c r="G773" s="1075"/>
      <c r="H773" s="1075"/>
      <c r="I773" s="1079"/>
      <c r="J773" s="1080"/>
    </row>
    <row r="774" spans="1:15" ht="15" customHeight="1">
      <c r="A774" s="2242" t="str">
        <f>$K$2</f>
        <v>THÁNG 04/2025</v>
      </c>
      <c r="B774" s="2242"/>
      <c r="C774" s="2242"/>
      <c r="D774" s="2242"/>
      <c r="E774" s="1050"/>
      <c r="F774" s="1051"/>
      <c r="G774" s="2242" t="str">
        <f>$K$2</f>
        <v>THÁNG 04/2025</v>
      </c>
      <c r="H774" s="2242"/>
      <c r="I774" s="2242"/>
      <c r="J774" s="2242"/>
      <c r="K774" s="624"/>
    </row>
    <row r="775" spans="1:15" ht="15" customHeight="1">
      <c r="A775" s="1052" t="s">
        <v>356</v>
      </c>
      <c r="B775" s="1053" t="s">
        <v>2631</v>
      </c>
      <c r="C775" s="869"/>
      <c r="D775" s="1049"/>
      <c r="E775" s="1054"/>
      <c r="F775" s="1055"/>
      <c r="G775" s="1052" t="s">
        <v>356</v>
      </c>
      <c r="H775" s="1053" t="s">
        <v>2632</v>
      </c>
      <c r="I775" s="869"/>
      <c r="J775" s="1049"/>
      <c r="L775" s="1088"/>
      <c r="M775" s="1088"/>
      <c r="N775" s="1088"/>
      <c r="O775" s="1088"/>
    </row>
    <row r="776" spans="1:15" ht="15" customHeight="1">
      <c r="A776" s="1056" t="s">
        <v>359</v>
      </c>
      <c r="B776" s="1057" t="s">
        <v>2662</v>
      </c>
      <c r="C776" s="1058" t="e">
        <f>VLOOKUP(B775,'LƯƠNG KT'!$D$15:$R$94,4,0)</f>
        <v>#N/A</v>
      </c>
      <c r="D776" s="1059" t="e">
        <f>+C776*25000</f>
        <v>#N/A</v>
      </c>
      <c r="E776" s="1060"/>
      <c r="F776" s="1060"/>
      <c r="G776" s="1056" t="s">
        <v>359</v>
      </c>
      <c r="H776" s="1057" t="s">
        <v>2662</v>
      </c>
      <c r="I776" s="1058" t="e">
        <f>VLOOKUP(H775,'LƯƠNG KT'!$D$15:$R$94,4,0)</f>
        <v>#N/A</v>
      </c>
      <c r="J776" s="1059" t="e">
        <f>+I776*25000</f>
        <v>#N/A</v>
      </c>
      <c r="K776" s="1085"/>
      <c r="L776" s="1085"/>
      <c r="M776" s="1085"/>
      <c r="N776" s="1085"/>
      <c r="O776" s="1085"/>
    </row>
    <row r="777" spans="1:15" ht="15" customHeight="1">
      <c r="A777" s="1056" t="s">
        <v>361</v>
      </c>
      <c r="B777" s="1057" t="s">
        <v>2663</v>
      </c>
      <c r="C777" s="1058" t="e">
        <f>VLOOKUP(B775,'LƯƠNG KT'!$D$15:$R$94,15,0)</f>
        <v>#N/A</v>
      </c>
      <c r="D777" s="1059" t="e">
        <f>C777*$L$4</f>
        <v>#N/A</v>
      </c>
      <c r="E777" s="1061"/>
      <c r="F777" s="1061"/>
      <c r="G777" s="1056" t="s">
        <v>361</v>
      </c>
      <c r="H777" s="1057" t="s">
        <v>2663</v>
      </c>
      <c r="I777" s="1058" t="e">
        <f>VLOOKUP(H775,'LƯƠNG KT'!$D$15:$R$94,15,0)</f>
        <v>#N/A</v>
      </c>
      <c r="J777" s="1059" t="e">
        <f>I777*$L$4</f>
        <v>#N/A</v>
      </c>
      <c r="K777" s="1085"/>
      <c r="L777" s="1085"/>
      <c r="M777" s="1085"/>
      <c r="N777" s="1085"/>
      <c r="O777" s="1085"/>
    </row>
    <row r="778" spans="1:15" ht="15" customHeight="1">
      <c r="A778" s="1056" t="s">
        <v>364</v>
      </c>
      <c r="B778" s="1057" t="s">
        <v>2664</v>
      </c>
      <c r="C778" s="1058" t="e">
        <f>VLOOKUP(B775,'LƯƠNG KT'!$D$15:$R$94,16,0)</f>
        <v>#N/A</v>
      </c>
      <c r="D778" s="1059" t="e">
        <f>C778*$L$5</f>
        <v>#N/A</v>
      </c>
      <c r="E778" s="1061"/>
      <c r="F778" s="1061"/>
      <c r="G778" s="1056" t="s">
        <v>364</v>
      </c>
      <c r="H778" s="1057" t="s">
        <v>2664</v>
      </c>
      <c r="I778" s="1058" t="e">
        <f>VLOOKUP(H775,'LƯƠNG KT'!$D$15:$R$94,16,0)</f>
        <v>#N/A</v>
      </c>
      <c r="J778" s="1059" t="e">
        <f>I778*$L$5</f>
        <v>#N/A</v>
      </c>
      <c r="K778" s="1085"/>
      <c r="L778" s="1085"/>
      <c r="M778" s="1085"/>
      <c r="N778" s="1085"/>
      <c r="O778" s="1085"/>
    </row>
    <row r="779" spans="1:15" ht="15" customHeight="1">
      <c r="A779" s="1056" t="s">
        <v>370</v>
      </c>
      <c r="B779" s="1057" t="s">
        <v>2665</v>
      </c>
      <c r="C779" s="1058" t="e">
        <f>VLOOKUP(B775,'LƯƠNG KT'!$D$15:$R$94,24,0)</f>
        <v>#N/A</v>
      </c>
      <c r="D779" s="1059" t="e">
        <f>+C779*$L$6</f>
        <v>#N/A</v>
      </c>
      <c r="E779" s="1061"/>
      <c r="F779" s="1061"/>
      <c r="G779" s="1056" t="s">
        <v>370</v>
      </c>
      <c r="H779" s="1057" t="s">
        <v>2665</v>
      </c>
      <c r="I779" s="1058" t="e">
        <f>VLOOKUP(H775,'LƯƠNG KT'!$D$15:$R$94,24,0)</f>
        <v>#N/A</v>
      </c>
      <c r="J779" s="1059" t="e">
        <f>+I779*$L$6</f>
        <v>#N/A</v>
      </c>
      <c r="K779" s="1085"/>
      <c r="L779" s="1085"/>
      <c r="M779" s="1085"/>
      <c r="N779" s="1085"/>
      <c r="O779" s="1085"/>
    </row>
    <row r="780" spans="1:15" ht="15" customHeight="1">
      <c r="A780" s="1056" t="s">
        <v>2666</v>
      </c>
      <c r="B780" s="1057" t="s">
        <v>2667</v>
      </c>
      <c r="C780" s="1058" t="e">
        <f>VLOOKUP(B775,'LƯƠNG KT'!$D$15:$R$94,19,0)</f>
        <v>#N/A</v>
      </c>
      <c r="D780" s="1059" t="e">
        <f>+C780*$L$8</f>
        <v>#N/A</v>
      </c>
      <c r="E780" s="1061"/>
      <c r="F780" s="1061"/>
      <c r="G780" s="1056" t="s">
        <v>2666</v>
      </c>
      <c r="H780" s="1057" t="s">
        <v>2667</v>
      </c>
      <c r="I780" s="1058" t="e">
        <f>VLOOKUP(H775,'LƯƠNG KT'!$D$15:$R$94,19,0)</f>
        <v>#N/A</v>
      </c>
      <c r="J780" s="1059" t="e">
        <f>+I780*$L$8</f>
        <v>#N/A</v>
      </c>
      <c r="K780" s="1085"/>
      <c r="L780" s="1085"/>
      <c r="M780" s="1085"/>
      <c r="N780" s="1085"/>
      <c r="O780" s="1085"/>
    </row>
    <row r="781" spans="1:15" ht="15" customHeight="1">
      <c r="A781" s="1056" t="s">
        <v>2668</v>
      </c>
      <c r="B781" s="1062" t="s">
        <v>2669</v>
      </c>
      <c r="C781" s="1058" t="e">
        <f>VLOOKUP(B775,'LƯƠNG KT'!$D$15:$R$94,20,0)</f>
        <v>#N/A</v>
      </c>
      <c r="D781" s="1059" t="e">
        <f>+C781*$L$9</f>
        <v>#N/A</v>
      </c>
      <c r="E781" s="1061"/>
      <c r="F781" s="1061"/>
      <c r="G781" s="1056" t="s">
        <v>2668</v>
      </c>
      <c r="H781" s="1062" t="s">
        <v>2669</v>
      </c>
      <c r="I781" s="1058" t="e">
        <f>VLOOKUP(H775,'LƯƠNG KT'!$D$15:$R$94,20,0)</f>
        <v>#N/A</v>
      </c>
      <c r="J781" s="1059" t="e">
        <f>+I781*$L$9</f>
        <v>#N/A</v>
      </c>
      <c r="K781" s="1085"/>
      <c r="L781" s="1085"/>
      <c r="M781" s="1085"/>
      <c r="N781" s="1085"/>
      <c r="O781" s="1085"/>
    </row>
    <row r="782" spans="1:15" ht="15" customHeight="1">
      <c r="A782" s="1056" t="s">
        <v>2671</v>
      </c>
      <c r="B782" s="1057" t="s">
        <v>2672</v>
      </c>
      <c r="C782" s="1058" t="e">
        <f>VLOOKUP(B775,'LƯƠNG KT'!$D$15:$R$94,17,0)</f>
        <v>#N/A</v>
      </c>
      <c r="D782" s="1059" t="e">
        <f>+C782*$L$10</f>
        <v>#N/A</v>
      </c>
      <c r="E782" s="1061"/>
      <c r="F782" s="1061"/>
      <c r="G782" s="1056" t="s">
        <v>2671</v>
      </c>
      <c r="H782" s="1057" t="s">
        <v>2672</v>
      </c>
      <c r="I782" s="1058" t="e">
        <f>VLOOKUP(H775,'LƯƠNG KT'!$D$15:$R$94,17,0)</f>
        <v>#N/A</v>
      </c>
      <c r="J782" s="1059" t="e">
        <f>+I782*$L$10</f>
        <v>#N/A</v>
      </c>
      <c r="K782" s="1085"/>
      <c r="L782" s="1085"/>
      <c r="M782" s="1085"/>
      <c r="N782" s="1085"/>
      <c r="O782" s="1085"/>
    </row>
    <row r="783" spans="1:15" ht="15" customHeight="1">
      <c r="A783" s="1056" t="s">
        <v>374</v>
      </c>
      <c r="B783" s="1057" t="s">
        <v>2674</v>
      </c>
      <c r="C783" s="1058" t="e">
        <f>VLOOKUP(B775,'LƯƠNG KT'!$D$15:$R$94,12,0)</f>
        <v>#N/A</v>
      </c>
      <c r="D783" s="1059" t="e">
        <f>VLOOKUP(B775,'LƯƠNG KT'!$D$15:$R$94,14,0)</f>
        <v>#N/A</v>
      </c>
      <c r="E783" s="1063"/>
      <c r="F783" s="1061"/>
      <c r="G783" s="1056" t="s">
        <v>374</v>
      </c>
      <c r="H783" s="1057" t="s">
        <v>2674</v>
      </c>
      <c r="I783" s="1058" t="e">
        <f>VLOOKUP(H775,'LƯƠNG KT'!$D$15:$R$94,12,0)</f>
        <v>#N/A</v>
      </c>
      <c r="J783" s="1059" t="e">
        <f>VLOOKUP(H775,'LƯƠNG KT'!$D$15:$R$94,14,0)</f>
        <v>#N/A</v>
      </c>
      <c r="K783" s="1085"/>
      <c r="L783" s="1085"/>
      <c r="M783" s="1085"/>
      <c r="N783" s="1085"/>
      <c r="O783" s="1085"/>
    </row>
    <row r="784" spans="1:15" ht="15" customHeight="1">
      <c r="A784" s="1056" t="s">
        <v>2675</v>
      </c>
      <c r="B784" s="1057" t="s">
        <v>2676</v>
      </c>
      <c r="D784" s="1064" t="e">
        <f>VLOOKUP(B775,'LƯƠNG KT'!$D$15:$R$94,13,0)</f>
        <v>#N/A</v>
      </c>
      <c r="E784" s="1065"/>
      <c r="F784" s="1065"/>
      <c r="G784" s="1056" t="s">
        <v>2675</v>
      </c>
      <c r="H784" s="1057" t="s">
        <v>2676</v>
      </c>
      <c r="J784" s="1064" t="e">
        <f>VLOOKUP(H775,'LƯƠNG KT'!$D$15:$R$94,13,0)</f>
        <v>#N/A</v>
      </c>
    </row>
    <row r="785" spans="1:15" ht="15" customHeight="1">
      <c r="A785" s="1066"/>
      <c r="B785" s="869"/>
      <c r="C785" s="1058"/>
      <c r="D785" s="1059"/>
      <c r="E785" s="1063"/>
      <c r="F785" s="1065"/>
      <c r="G785" s="1066"/>
      <c r="H785" s="869"/>
      <c r="I785" s="1058"/>
      <c r="J785" s="1059"/>
    </row>
    <row r="786" spans="1:15" ht="15" customHeight="1">
      <c r="A786" s="1052"/>
      <c r="B786" s="869"/>
      <c r="C786" s="1058"/>
      <c r="D786" s="1059"/>
      <c r="E786" s="1067"/>
      <c r="F786" s="1051"/>
      <c r="G786" s="1052"/>
      <c r="H786" s="869"/>
      <c r="I786" s="1058"/>
      <c r="J786" s="1059"/>
    </row>
    <row r="787" spans="1:15" ht="15" customHeight="1">
      <c r="A787" s="1068" t="s">
        <v>383</v>
      </c>
      <c r="B787" s="1069" t="s">
        <v>384</v>
      </c>
      <c r="C787" s="1070"/>
      <c r="D787" s="1071" t="e">
        <f>SUM(D776:D783)-D786</f>
        <v>#N/A</v>
      </c>
      <c r="E787" s="1072"/>
      <c r="F787" s="1073"/>
      <c r="G787" s="1068" t="s">
        <v>383</v>
      </c>
      <c r="H787" s="1069" t="s">
        <v>384</v>
      </c>
      <c r="I787" s="1070"/>
      <c r="J787" s="1071" t="e">
        <f>SUM(J776:J783)-J786</f>
        <v>#N/A</v>
      </c>
    </row>
    <row r="788" spans="1:15" ht="15.75" customHeight="1">
      <c r="A788" s="1074"/>
      <c r="B788" s="1075"/>
      <c r="C788" s="1076"/>
      <c r="D788" s="1077"/>
      <c r="E788" s="1077"/>
      <c r="F788" s="1078"/>
      <c r="G788" s="1074"/>
      <c r="H788" s="1075"/>
      <c r="I788" s="1076"/>
      <c r="J788" s="1077"/>
    </row>
    <row r="790" spans="1:15" ht="12" customHeight="1">
      <c r="A790" s="2243"/>
      <c r="B790" s="2243"/>
      <c r="C790" s="2243"/>
      <c r="D790" s="2243"/>
      <c r="E790" s="2243"/>
      <c r="F790" s="2243"/>
      <c r="G790" s="2243"/>
      <c r="H790" s="2243"/>
      <c r="I790" s="2243"/>
      <c r="J790" s="2243"/>
    </row>
    <row r="791" spans="1:15" ht="15" customHeight="1">
      <c r="A791" s="2242" t="str">
        <f>$K$2</f>
        <v>THÁNG 04/2025</v>
      </c>
      <c r="B791" s="2242"/>
      <c r="C791" s="2242"/>
      <c r="D791" s="2242"/>
      <c r="E791" s="1050"/>
      <c r="F791" s="1051"/>
      <c r="G791" s="2242" t="str">
        <f>$K$2</f>
        <v>THÁNG 04/2025</v>
      </c>
      <c r="H791" s="2242"/>
      <c r="I791" s="2242"/>
      <c r="J791" s="2242"/>
      <c r="K791" s="624"/>
    </row>
    <row r="792" spans="1:15" ht="15" customHeight="1">
      <c r="A792" s="1052" t="s">
        <v>356</v>
      </c>
      <c r="B792" s="1053" t="s">
        <v>895</v>
      </c>
      <c r="C792" s="869"/>
      <c r="D792" s="1049"/>
      <c r="E792" s="1054"/>
      <c r="F792" s="1055"/>
      <c r="G792" s="1052" t="s">
        <v>356</v>
      </c>
      <c r="H792" s="1053" t="s">
        <v>2633</v>
      </c>
      <c r="I792" s="869"/>
      <c r="J792" s="1049"/>
      <c r="L792" s="1088"/>
      <c r="M792" s="1088"/>
      <c r="N792" s="1088"/>
      <c r="O792" s="1088"/>
    </row>
    <row r="793" spans="1:15" ht="15" customHeight="1">
      <c r="A793" s="1056" t="s">
        <v>359</v>
      </c>
      <c r="B793" s="1057" t="s">
        <v>2662</v>
      </c>
      <c r="C793" s="1058" t="e">
        <f>VLOOKUP(B792,'LƯƠNG KT'!$D$15:$R$94,4,0)</f>
        <v>#N/A</v>
      </c>
      <c r="D793" s="1059" t="e">
        <f>+C793*25000</f>
        <v>#N/A</v>
      </c>
      <c r="E793" s="1060"/>
      <c r="F793" s="1060"/>
      <c r="G793" s="1056" t="s">
        <v>359</v>
      </c>
      <c r="H793" s="1057" t="s">
        <v>2662</v>
      </c>
      <c r="I793" s="1058" t="e">
        <f>VLOOKUP(H792,'LƯƠNG KT'!$D$15:$R$94,4,0)</f>
        <v>#N/A</v>
      </c>
      <c r="J793" s="1059" t="e">
        <f>+I793*25000</f>
        <v>#N/A</v>
      </c>
      <c r="K793" s="1084"/>
      <c r="L793" s="1085"/>
      <c r="M793" s="1085"/>
      <c r="N793" s="1085"/>
      <c r="O793" s="1085"/>
    </row>
    <row r="794" spans="1:15" ht="15" customHeight="1">
      <c r="A794" s="1056" t="s">
        <v>361</v>
      </c>
      <c r="B794" s="1057" t="s">
        <v>2663</v>
      </c>
      <c r="C794" s="1058" t="e">
        <f>VLOOKUP(B792,'LƯƠNG KT'!$D$15:$R$94,15,0)</f>
        <v>#N/A</v>
      </c>
      <c r="D794" s="1059" t="e">
        <f>C794*$L$4</f>
        <v>#N/A</v>
      </c>
      <c r="E794" s="1061"/>
      <c r="F794" s="1061"/>
      <c r="G794" s="1056" t="s">
        <v>361</v>
      </c>
      <c r="H794" s="1057" t="s">
        <v>2663</v>
      </c>
      <c r="I794" s="1058" t="e">
        <f>VLOOKUP(H792,'LƯƠNG KT'!$D$15:$R$94,15,0)</f>
        <v>#N/A</v>
      </c>
      <c r="J794" s="1059" t="e">
        <f>I794*$L$4</f>
        <v>#N/A</v>
      </c>
      <c r="K794" s="1084"/>
      <c r="L794" s="1085"/>
      <c r="M794" s="1085"/>
      <c r="N794" s="1085"/>
      <c r="O794" s="1085"/>
    </row>
    <row r="795" spans="1:15" ht="15" customHeight="1">
      <c r="A795" s="1056" t="s">
        <v>364</v>
      </c>
      <c r="B795" s="1057" t="s">
        <v>2664</v>
      </c>
      <c r="C795" s="1058" t="e">
        <f>VLOOKUP(B792,'LƯƠNG KT'!$D$15:$R$94,16,0)</f>
        <v>#N/A</v>
      </c>
      <c r="D795" s="1059" t="e">
        <f>C795*$L$5</f>
        <v>#N/A</v>
      </c>
      <c r="E795" s="1061"/>
      <c r="F795" s="1061"/>
      <c r="G795" s="1056" t="s">
        <v>364</v>
      </c>
      <c r="H795" s="1057" t="s">
        <v>2664</v>
      </c>
      <c r="I795" s="1058" t="e">
        <f>VLOOKUP(H792,'LƯƠNG KT'!$D$15:$R$94,16,0)</f>
        <v>#N/A</v>
      </c>
      <c r="J795" s="1059" t="e">
        <f>I795*$L$5</f>
        <v>#N/A</v>
      </c>
      <c r="K795" s="1084"/>
      <c r="L795" s="1085"/>
      <c r="M795" s="1085"/>
      <c r="N795" s="1085"/>
      <c r="O795" s="1085"/>
    </row>
    <row r="796" spans="1:15" ht="15" customHeight="1">
      <c r="A796" s="1056" t="s">
        <v>370</v>
      </c>
      <c r="B796" s="1057" t="s">
        <v>2665</v>
      </c>
      <c r="C796" s="1058" t="e">
        <f>VLOOKUP(B792,'LƯƠNG KT'!$D$15:$R$94,24,0)</f>
        <v>#N/A</v>
      </c>
      <c r="D796" s="1059" t="e">
        <f>+C796*$L$6</f>
        <v>#N/A</v>
      </c>
      <c r="E796" s="1061"/>
      <c r="F796" s="1061"/>
      <c r="G796" s="1056" t="s">
        <v>370</v>
      </c>
      <c r="H796" s="1057" t="s">
        <v>2665</v>
      </c>
      <c r="I796" s="1058" t="e">
        <f>VLOOKUP(H792,'LƯƠNG KT'!$D$15:$R$94,24,0)</f>
        <v>#N/A</v>
      </c>
      <c r="J796" s="1059" t="e">
        <f>+I796*$L$6</f>
        <v>#N/A</v>
      </c>
      <c r="K796" s="1085"/>
      <c r="L796" s="1085"/>
      <c r="M796" s="1085"/>
      <c r="N796" s="1085"/>
      <c r="O796" s="1085"/>
    </row>
    <row r="797" spans="1:15" ht="15" customHeight="1">
      <c r="A797" s="1056" t="s">
        <v>2666</v>
      </c>
      <c r="B797" s="1057" t="s">
        <v>2667</v>
      </c>
      <c r="C797" s="1058" t="e">
        <f>VLOOKUP(B792,'LƯƠNG KT'!$D$15:$R$94,19,0)</f>
        <v>#N/A</v>
      </c>
      <c r="D797" s="1059" t="e">
        <f>+C797*$L$8</f>
        <v>#N/A</v>
      </c>
      <c r="E797" s="1061"/>
      <c r="F797" s="1061"/>
      <c r="G797" s="1056" t="s">
        <v>2666</v>
      </c>
      <c r="H797" s="1057" t="s">
        <v>2667</v>
      </c>
      <c r="I797" s="1058" t="e">
        <f>VLOOKUP(H792,'LƯƠNG KT'!$D$15:$R$94,19,0)</f>
        <v>#N/A</v>
      </c>
      <c r="J797" s="1059" t="e">
        <f>+I797*$L$8</f>
        <v>#N/A</v>
      </c>
      <c r="K797" s="1085"/>
      <c r="L797" s="1085"/>
      <c r="M797" s="1085"/>
      <c r="N797" s="1085"/>
      <c r="O797" s="1085"/>
    </row>
    <row r="798" spans="1:15" ht="15" customHeight="1">
      <c r="A798" s="1056" t="s">
        <v>2668</v>
      </c>
      <c r="B798" s="1062" t="s">
        <v>2669</v>
      </c>
      <c r="C798" s="1058" t="e">
        <f>VLOOKUP(B792,'LƯƠNG KT'!$D$15:$R$94,20,0)</f>
        <v>#N/A</v>
      </c>
      <c r="D798" s="1059" t="e">
        <f>+C798*$L$9</f>
        <v>#N/A</v>
      </c>
      <c r="E798" s="1061"/>
      <c r="F798" s="1061"/>
      <c r="G798" s="1056" t="s">
        <v>2668</v>
      </c>
      <c r="H798" s="1062" t="s">
        <v>2669</v>
      </c>
      <c r="I798" s="1058" t="e">
        <f>VLOOKUP(H792,'LƯƠNG KT'!$D$15:$R$94,20,0)</f>
        <v>#N/A</v>
      </c>
      <c r="J798" s="1059" t="e">
        <f>+I798*$L$9</f>
        <v>#N/A</v>
      </c>
      <c r="K798" s="1085"/>
      <c r="L798" s="1085"/>
      <c r="M798" s="1085"/>
      <c r="N798" s="1085"/>
      <c r="O798" s="1085"/>
    </row>
    <row r="799" spans="1:15" ht="15" customHeight="1">
      <c r="A799" s="1056" t="s">
        <v>2671</v>
      </c>
      <c r="B799" s="1057" t="s">
        <v>2672</v>
      </c>
      <c r="C799" s="1058" t="e">
        <f>VLOOKUP(B792,'LƯƠNG KT'!$D$15:$R$94,17,0)</f>
        <v>#N/A</v>
      </c>
      <c r="D799" s="1059" t="e">
        <f>+C799*$L$10</f>
        <v>#N/A</v>
      </c>
      <c r="E799" s="1061"/>
      <c r="F799" s="1061"/>
      <c r="G799" s="1056" t="s">
        <v>2671</v>
      </c>
      <c r="H799" s="1057" t="s">
        <v>2672</v>
      </c>
      <c r="I799" s="1058" t="e">
        <f>VLOOKUP(H792,'LƯƠNG KT'!$D$15:$R$94,17,0)</f>
        <v>#N/A</v>
      </c>
      <c r="J799" s="1059" t="e">
        <f>+I799*$L$10</f>
        <v>#N/A</v>
      </c>
      <c r="K799" s="1085"/>
      <c r="L799" s="1085"/>
      <c r="M799" s="1085"/>
      <c r="N799" s="1085"/>
      <c r="O799" s="1085"/>
    </row>
    <row r="800" spans="1:15" ht="15" customHeight="1">
      <c r="A800" s="1056" t="s">
        <v>374</v>
      </c>
      <c r="B800" s="1057" t="s">
        <v>2674</v>
      </c>
      <c r="C800" s="1058" t="e">
        <f>VLOOKUP(B792,'LƯƠNG KT'!$D$15:$R$94,12,0)</f>
        <v>#N/A</v>
      </c>
      <c r="D800" s="1059" t="e">
        <f>VLOOKUP(B792,'LƯƠNG KT'!$D$15:$R$94,14,0)</f>
        <v>#N/A</v>
      </c>
      <c r="E800" s="1063"/>
      <c r="F800" s="1061"/>
      <c r="G800" s="1056" t="s">
        <v>374</v>
      </c>
      <c r="H800" s="1057" t="s">
        <v>2674</v>
      </c>
      <c r="I800" s="1058" t="e">
        <f>VLOOKUP(H792,'LƯƠNG KT'!$D$15:$R$94,12,0)</f>
        <v>#N/A</v>
      </c>
      <c r="J800" s="1059" t="e">
        <f>VLOOKUP(H792,'LƯƠNG KT'!$D$15:$R$94,14,0)</f>
        <v>#N/A</v>
      </c>
      <c r="K800" s="1085"/>
      <c r="L800" s="1085"/>
      <c r="M800" s="1085"/>
      <c r="N800" s="1085"/>
      <c r="O800" s="1085"/>
    </row>
    <row r="801" spans="1:15" ht="15" customHeight="1">
      <c r="A801" s="1056" t="s">
        <v>2675</v>
      </c>
      <c r="B801" s="1057" t="s">
        <v>2676</v>
      </c>
      <c r="D801" s="1064" t="e">
        <f>VLOOKUP(B792,'LƯƠNG KT'!$D$15:$R$94,13,0)</f>
        <v>#N/A</v>
      </c>
      <c r="E801" s="1065"/>
      <c r="F801" s="1065"/>
      <c r="G801" s="1056" t="s">
        <v>2675</v>
      </c>
      <c r="H801" s="1057" t="s">
        <v>2676</v>
      </c>
      <c r="J801" s="1064" t="e">
        <f>VLOOKUP(H792,'LƯƠNG KT'!$D$15:$R$94,13,0)</f>
        <v>#N/A</v>
      </c>
    </row>
    <row r="802" spans="1:15" ht="15" customHeight="1">
      <c r="A802" s="1066"/>
      <c r="B802" s="869"/>
      <c r="C802" s="1058"/>
      <c r="D802" s="1059"/>
      <c r="E802" s="1063"/>
      <c r="F802" s="1065"/>
      <c r="G802" s="1066"/>
      <c r="H802" s="869"/>
      <c r="I802" s="1058"/>
      <c r="J802" s="1059"/>
    </row>
    <row r="803" spans="1:15" ht="15" customHeight="1">
      <c r="A803" s="1052"/>
      <c r="B803" s="869"/>
      <c r="C803" s="1058"/>
      <c r="D803" s="1059"/>
      <c r="E803" s="1067"/>
      <c r="F803" s="1051"/>
      <c r="G803" s="1052"/>
      <c r="H803" s="869"/>
      <c r="I803" s="1058"/>
      <c r="J803" s="1059"/>
    </row>
    <row r="804" spans="1:15" ht="15" customHeight="1">
      <c r="A804" s="1068" t="s">
        <v>383</v>
      </c>
      <c r="B804" s="1069" t="s">
        <v>384</v>
      </c>
      <c r="C804" s="1070"/>
      <c r="D804" s="1071" t="e">
        <f>SUM(D793:D800)-D803</f>
        <v>#N/A</v>
      </c>
      <c r="E804" s="1072"/>
      <c r="F804" s="1073"/>
      <c r="G804" s="1068" t="s">
        <v>383</v>
      </c>
      <c r="H804" s="1069" t="s">
        <v>384</v>
      </c>
      <c r="I804" s="1070"/>
      <c r="J804" s="1071" t="e">
        <f>SUM(J793:J800)-J803</f>
        <v>#N/A</v>
      </c>
    </row>
    <row r="805" spans="1:15" ht="18" customHeight="1">
      <c r="A805" s="1074"/>
      <c r="B805" s="1075"/>
      <c r="C805" s="1076"/>
      <c r="D805" s="1077"/>
      <c r="E805" s="1077"/>
      <c r="F805" s="1078"/>
      <c r="G805" s="1074"/>
      <c r="H805" s="1075"/>
      <c r="I805" s="1076"/>
      <c r="J805" s="1077"/>
    </row>
    <row r="806" spans="1:15" ht="18" customHeight="1">
      <c r="A806" s="1075"/>
      <c r="B806" s="1075"/>
      <c r="C806" s="1079"/>
      <c r="D806" s="1080"/>
      <c r="E806" s="1075"/>
      <c r="F806" s="1081"/>
      <c r="G806" s="1075"/>
      <c r="H806" s="1075"/>
      <c r="I806" s="1079"/>
      <c r="J806" s="1080"/>
    </row>
    <row r="807" spans="1:15" ht="15" customHeight="1">
      <c r="A807" s="2242" t="str">
        <f>$K$2</f>
        <v>THÁNG 04/2025</v>
      </c>
      <c r="B807" s="2242"/>
      <c r="C807" s="2242"/>
      <c r="D807" s="2242"/>
      <c r="E807" s="1050"/>
      <c r="F807" s="1051"/>
      <c r="G807" s="2242" t="str">
        <f>$K$2</f>
        <v>THÁNG 04/2025</v>
      </c>
      <c r="H807" s="2242"/>
      <c r="I807" s="2242"/>
      <c r="J807" s="2242"/>
      <c r="K807" s="624"/>
    </row>
    <row r="808" spans="1:15" ht="15" customHeight="1">
      <c r="A808" s="1052" t="s">
        <v>356</v>
      </c>
      <c r="B808" s="1053" t="s">
        <v>2634</v>
      </c>
      <c r="C808" s="869"/>
      <c r="D808" s="1049"/>
      <c r="E808" s="1054"/>
      <c r="F808" s="1055"/>
      <c r="G808" s="1052" t="s">
        <v>356</v>
      </c>
      <c r="H808" s="1053" t="s">
        <v>472</v>
      </c>
      <c r="I808" s="869"/>
      <c r="J808" s="1049"/>
      <c r="L808" s="1088"/>
      <c r="M808" s="1088"/>
      <c r="N808" s="1088"/>
      <c r="O808" s="1088"/>
    </row>
    <row r="809" spans="1:15" ht="15" customHeight="1">
      <c r="A809" s="1056" t="s">
        <v>359</v>
      </c>
      <c r="B809" s="1057" t="s">
        <v>2662</v>
      </c>
      <c r="C809" s="1058" t="e">
        <f>VLOOKUP(B808,'LƯƠNG KT'!$D$15:$R$94,4,0)</f>
        <v>#N/A</v>
      </c>
      <c r="D809" s="1059" t="e">
        <f>+C809*25000</f>
        <v>#N/A</v>
      </c>
      <c r="E809" s="1060"/>
      <c r="F809" s="1060"/>
      <c r="G809" s="1056" t="s">
        <v>359</v>
      </c>
      <c r="H809" s="1057" t="s">
        <v>2662</v>
      </c>
      <c r="I809" s="1058" t="e">
        <f>VLOOKUP(H808,'LƯƠNG KT'!$D$15:$R$94,4,0)</f>
        <v>#N/A</v>
      </c>
      <c r="J809" s="1059" t="e">
        <f>+I809*25000</f>
        <v>#N/A</v>
      </c>
      <c r="K809" s="1085"/>
      <c r="L809" s="1085"/>
      <c r="M809" s="1085"/>
      <c r="N809" s="1085"/>
      <c r="O809" s="1085"/>
    </row>
    <row r="810" spans="1:15" ht="15" customHeight="1">
      <c r="A810" s="1056" t="s">
        <v>361</v>
      </c>
      <c r="B810" s="1057" t="s">
        <v>2663</v>
      </c>
      <c r="C810" s="1058" t="e">
        <f>VLOOKUP(B808,'LƯƠNG KT'!$D$15:$R$94,15,0)</f>
        <v>#N/A</v>
      </c>
      <c r="D810" s="1059" t="e">
        <f>C810*$L$4</f>
        <v>#N/A</v>
      </c>
      <c r="E810" s="1061"/>
      <c r="F810" s="1061"/>
      <c r="G810" s="1056" t="s">
        <v>361</v>
      </c>
      <c r="H810" s="1057" t="s">
        <v>2663</v>
      </c>
      <c r="I810" s="1058" t="e">
        <f>VLOOKUP(H808,'LƯƠNG KT'!$D$15:$R$94,15,0)</f>
        <v>#N/A</v>
      </c>
      <c r="J810" s="1059" t="e">
        <f>I810*$L$4</f>
        <v>#N/A</v>
      </c>
      <c r="K810" s="1085"/>
      <c r="L810" s="1085"/>
      <c r="M810" s="1085"/>
      <c r="N810" s="1085"/>
      <c r="O810" s="1085"/>
    </row>
    <row r="811" spans="1:15" ht="15" customHeight="1">
      <c r="A811" s="1056" t="s">
        <v>364</v>
      </c>
      <c r="B811" s="1057" t="s">
        <v>2664</v>
      </c>
      <c r="C811" s="1058" t="e">
        <f>VLOOKUP(B808,'LƯƠNG KT'!$D$15:$R$94,16,0)</f>
        <v>#N/A</v>
      </c>
      <c r="D811" s="1059" t="e">
        <f>C811*$L$5</f>
        <v>#N/A</v>
      </c>
      <c r="E811" s="1061"/>
      <c r="F811" s="1061"/>
      <c r="G811" s="1056" t="s">
        <v>364</v>
      </c>
      <c r="H811" s="1057" t="s">
        <v>2664</v>
      </c>
      <c r="I811" s="1058" t="e">
        <f>VLOOKUP(H808,'LƯƠNG KT'!$D$15:$R$94,16,0)</f>
        <v>#N/A</v>
      </c>
      <c r="J811" s="1059" t="e">
        <f>I811*$L$5</f>
        <v>#N/A</v>
      </c>
      <c r="K811" s="1085"/>
      <c r="L811" s="1085"/>
      <c r="M811" s="1085"/>
      <c r="N811" s="1085"/>
      <c r="O811" s="1085"/>
    </row>
    <row r="812" spans="1:15" ht="15" customHeight="1">
      <c r="A812" s="1056" t="s">
        <v>370</v>
      </c>
      <c r="B812" s="1057" t="s">
        <v>2665</v>
      </c>
      <c r="C812" s="1058" t="e">
        <f>VLOOKUP(B808,'LƯƠNG KT'!$D$15:$R$94,24,0)</f>
        <v>#N/A</v>
      </c>
      <c r="D812" s="1059" t="e">
        <f>+C812*$L$6</f>
        <v>#N/A</v>
      </c>
      <c r="E812" s="1061"/>
      <c r="F812" s="1061"/>
      <c r="G812" s="1056" t="s">
        <v>370</v>
      </c>
      <c r="H812" s="1057" t="s">
        <v>2665</v>
      </c>
      <c r="I812" s="1058" t="e">
        <f>VLOOKUP(H808,'LƯƠNG KT'!$D$15:$R$94,24,0)</f>
        <v>#N/A</v>
      </c>
      <c r="J812" s="1059" t="e">
        <f>+I812*$L$6</f>
        <v>#N/A</v>
      </c>
      <c r="K812" s="1085"/>
      <c r="L812" s="1085"/>
      <c r="M812" s="1085"/>
      <c r="N812" s="1085"/>
      <c r="O812" s="1085"/>
    </row>
    <row r="813" spans="1:15" ht="15" customHeight="1">
      <c r="A813" s="1056" t="s">
        <v>2666</v>
      </c>
      <c r="B813" s="1057" t="s">
        <v>2667</v>
      </c>
      <c r="C813" s="1058" t="e">
        <f>VLOOKUP(B808,'LƯƠNG KT'!$D$15:$R$94,19,0)</f>
        <v>#N/A</v>
      </c>
      <c r="D813" s="1059" t="e">
        <f>+C813*$L$8</f>
        <v>#N/A</v>
      </c>
      <c r="E813" s="1061"/>
      <c r="F813" s="1061"/>
      <c r="G813" s="1056" t="s">
        <v>2666</v>
      </c>
      <c r="H813" s="1057" t="s">
        <v>2667</v>
      </c>
      <c r="I813" s="1058" t="e">
        <f>VLOOKUP(H808,'LƯƠNG KT'!$D$15:$R$94,19,0)</f>
        <v>#N/A</v>
      </c>
      <c r="J813" s="1059" t="e">
        <f>+I813*$L$8</f>
        <v>#N/A</v>
      </c>
      <c r="K813" s="1085"/>
      <c r="L813" s="1085"/>
      <c r="M813" s="1085"/>
      <c r="N813" s="1085"/>
      <c r="O813" s="1085"/>
    </row>
    <row r="814" spans="1:15" ht="15" customHeight="1">
      <c r="A814" s="1056" t="s">
        <v>2668</v>
      </c>
      <c r="B814" s="1062" t="s">
        <v>2669</v>
      </c>
      <c r="C814" s="1058" t="e">
        <f>VLOOKUP(B808,'LƯƠNG KT'!$D$15:$R$94,20,0)</f>
        <v>#N/A</v>
      </c>
      <c r="D814" s="1059" t="e">
        <f>+C814*$L$9</f>
        <v>#N/A</v>
      </c>
      <c r="E814" s="1061"/>
      <c r="F814" s="1061"/>
      <c r="G814" s="1056" t="s">
        <v>2668</v>
      </c>
      <c r="H814" s="1062" t="s">
        <v>2669</v>
      </c>
      <c r="I814" s="1058" t="e">
        <f>VLOOKUP(H808,'LƯƠNG KT'!$D$15:$R$94,20,0)</f>
        <v>#N/A</v>
      </c>
      <c r="J814" s="1059" t="e">
        <f>+I814*$L$9</f>
        <v>#N/A</v>
      </c>
      <c r="K814" s="1085"/>
      <c r="L814" s="1085"/>
      <c r="M814" s="1085"/>
      <c r="N814" s="1085"/>
      <c r="O814" s="1085"/>
    </row>
    <row r="815" spans="1:15" ht="15" customHeight="1">
      <c r="A815" s="1056" t="s">
        <v>2671</v>
      </c>
      <c r="B815" s="1057" t="s">
        <v>2672</v>
      </c>
      <c r="C815" s="1058" t="e">
        <f>VLOOKUP(B808,'LƯƠNG KT'!$D$15:$R$94,17,0)</f>
        <v>#N/A</v>
      </c>
      <c r="D815" s="1059" t="e">
        <f>+C815*$L$10</f>
        <v>#N/A</v>
      </c>
      <c r="E815" s="1061"/>
      <c r="F815" s="1061"/>
      <c r="G815" s="1056" t="s">
        <v>2671</v>
      </c>
      <c r="H815" s="1057" t="s">
        <v>2672</v>
      </c>
      <c r="I815" s="1058" t="e">
        <f>VLOOKUP(H808,'LƯƠNG KT'!$D$15:$R$94,17,0)</f>
        <v>#N/A</v>
      </c>
      <c r="J815" s="1059" t="e">
        <f>+I815*$L$10</f>
        <v>#N/A</v>
      </c>
      <c r="K815" s="1085"/>
      <c r="L815" s="1085"/>
      <c r="M815" s="1085"/>
      <c r="N815" s="1085"/>
      <c r="O815" s="1085"/>
    </row>
    <row r="816" spans="1:15" ht="15" customHeight="1">
      <c r="A816" s="1056" t="s">
        <v>374</v>
      </c>
      <c r="B816" s="1057" t="s">
        <v>2674</v>
      </c>
      <c r="C816" s="1058" t="e">
        <f>VLOOKUP(B808,'LƯƠNG KT'!$D$15:$R$94,12,0)</f>
        <v>#N/A</v>
      </c>
      <c r="D816" s="1059" t="e">
        <f>VLOOKUP(B808,'LƯƠNG KT'!$D$15:$R$94,14,0)</f>
        <v>#N/A</v>
      </c>
      <c r="E816" s="1063"/>
      <c r="F816" s="1061"/>
      <c r="G816" s="1056" t="s">
        <v>374</v>
      </c>
      <c r="H816" s="1057" t="s">
        <v>2674</v>
      </c>
      <c r="I816" s="1058" t="e">
        <f>VLOOKUP(H808,'LƯƠNG KT'!$D$15:$R$94,12,0)</f>
        <v>#N/A</v>
      </c>
      <c r="J816" s="1059" t="e">
        <f>VLOOKUP(H808,'LƯƠNG KT'!$D$15:$R$94,14,0)</f>
        <v>#N/A</v>
      </c>
      <c r="K816" s="1085"/>
      <c r="L816" s="1085"/>
      <c r="M816" s="1085"/>
      <c r="N816" s="1085"/>
      <c r="O816" s="1085"/>
    </row>
    <row r="817" spans="1:15" ht="15" customHeight="1">
      <c r="A817" s="1056" t="s">
        <v>2675</v>
      </c>
      <c r="B817" s="1057" t="s">
        <v>2676</v>
      </c>
      <c r="D817" s="1064" t="e">
        <f>VLOOKUP(B808,'LƯƠNG KT'!$D$15:$R$94,13,0)</f>
        <v>#N/A</v>
      </c>
      <c r="E817" s="1065"/>
      <c r="F817" s="1065"/>
      <c r="G817" s="1056" t="s">
        <v>2675</v>
      </c>
      <c r="H817" s="1057" t="s">
        <v>2676</v>
      </c>
      <c r="J817" s="1064" t="e">
        <f>VLOOKUP(H808,'LƯƠNG KT'!$D$15:$R$94,13,0)</f>
        <v>#N/A</v>
      </c>
    </row>
    <row r="818" spans="1:15" ht="15" customHeight="1">
      <c r="A818" s="1066"/>
      <c r="B818" s="869"/>
      <c r="C818" s="1058"/>
      <c r="D818" s="1059"/>
      <c r="E818" s="1063"/>
      <c r="F818" s="1065"/>
      <c r="G818" s="1066"/>
      <c r="H818" s="869"/>
      <c r="I818" s="1058"/>
      <c r="J818" s="1059"/>
    </row>
    <row r="819" spans="1:15" ht="15" customHeight="1">
      <c r="A819" s="1052"/>
      <c r="B819" s="869"/>
      <c r="C819" s="1058"/>
      <c r="D819" s="1059"/>
      <c r="E819" s="1067"/>
      <c r="F819" s="1051"/>
      <c r="G819" s="1052"/>
      <c r="H819" s="869"/>
      <c r="I819" s="1058"/>
      <c r="J819" s="1059"/>
    </row>
    <row r="820" spans="1:15" ht="15" customHeight="1">
      <c r="A820" s="1068" t="s">
        <v>383</v>
      </c>
      <c r="B820" s="1069" t="s">
        <v>384</v>
      </c>
      <c r="C820" s="1070"/>
      <c r="D820" s="1071" t="e">
        <f>SUM(D809:D816)-D819</f>
        <v>#N/A</v>
      </c>
      <c r="E820" s="1072"/>
      <c r="F820" s="1073"/>
      <c r="G820" s="1068" t="s">
        <v>383</v>
      </c>
      <c r="H820" s="1069" t="s">
        <v>384</v>
      </c>
      <c r="I820" s="1070"/>
      <c r="J820" s="1071" t="e">
        <f>SUM(J809:J816)-J819</f>
        <v>#N/A</v>
      </c>
    </row>
    <row r="821" spans="1:15" ht="18.75" customHeight="1">
      <c r="A821" s="1074"/>
      <c r="B821" s="1075"/>
      <c r="C821" s="1076"/>
      <c r="D821" s="1077"/>
      <c r="E821" s="1077"/>
      <c r="F821" s="1078"/>
      <c r="G821" s="1074"/>
      <c r="H821" s="1075"/>
      <c r="I821" s="1076"/>
      <c r="J821" s="1077"/>
    </row>
    <row r="822" spans="1:15" ht="132.75" customHeight="1">
      <c r="A822" s="1075"/>
      <c r="B822" s="1075"/>
      <c r="C822" s="1079"/>
      <c r="D822" s="1080"/>
      <c r="E822" s="1075"/>
      <c r="F822" s="1081"/>
      <c r="G822" s="1075"/>
      <c r="H822" s="1075"/>
      <c r="I822" s="1079"/>
      <c r="J822" s="1080"/>
    </row>
    <row r="823" spans="1:15" ht="15" customHeight="1">
      <c r="A823" s="2242" t="str">
        <f>$K$2</f>
        <v>THÁNG 04/2025</v>
      </c>
      <c r="B823" s="2242"/>
      <c r="C823" s="2242"/>
      <c r="D823" s="2242"/>
      <c r="E823" s="1050"/>
      <c r="F823" s="1051"/>
      <c r="G823" s="2242" t="str">
        <f>$K$2</f>
        <v>THÁNG 04/2025</v>
      </c>
      <c r="H823" s="2242"/>
      <c r="I823" s="2242"/>
      <c r="J823" s="2242"/>
      <c r="K823" s="1085"/>
      <c r="L823" s="1085"/>
      <c r="M823" s="1085"/>
      <c r="N823" s="1085"/>
      <c r="O823" s="1085"/>
    </row>
    <row r="824" spans="1:15" ht="15" customHeight="1">
      <c r="A824" s="1052" t="s">
        <v>356</v>
      </c>
      <c r="B824" s="1053" t="s">
        <v>473</v>
      </c>
      <c r="C824" s="869"/>
      <c r="D824" s="1049"/>
      <c r="E824" s="1054"/>
      <c r="F824" s="1055"/>
      <c r="G824" s="1052" t="s">
        <v>356</v>
      </c>
      <c r="H824" s="1053" t="s">
        <v>2635</v>
      </c>
      <c r="I824" s="869"/>
      <c r="J824" s="1049"/>
      <c r="L824" s="1088"/>
      <c r="M824" s="1088"/>
      <c r="N824" s="1088"/>
      <c r="O824" s="1088"/>
    </row>
    <row r="825" spans="1:15" ht="15" customHeight="1">
      <c r="A825" s="1056" t="s">
        <v>359</v>
      </c>
      <c r="B825" s="1057" t="s">
        <v>2662</v>
      </c>
      <c r="C825" s="1058" t="e">
        <f>VLOOKUP(B824,'LƯƠNG KT'!$D$15:$R$94,4,0)</f>
        <v>#N/A</v>
      </c>
      <c r="D825" s="1059" t="e">
        <f>+C825*25000</f>
        <v>#N/A</v>
      </c>
      <c r="E825" s="1060"/>
      <c r="F825" s="1060"/>
      <c r="G825" s="1056" t="s">
        <v>359</v>
      </c>
      <c r="H825" s="1057" t="s">
        <v>2662</v>
      </c>
      <c r="I825" s="1058" t="e">
        <f>VLOOKUP(H824,'LƯƠNG KT'!$D$15:$R$94,4,0)</f>
        <v>#N/A</v>
      </c>
      <c r="J825" s="1059" t="e">
        <f>+I825*25000</f>
        <v>#N/A</v>
      </c>
      <c r="K825" s="1085"/>
      <c r="L825" s="1085"/>
      <c r="M825" s="1085"/>
      <c r="N825" s="1085"/>
      <c r="O825" s="1085"/>
    </row>
    <row r="826" spans="1:15" ht="15" customHeight="1">
      <c r="A826" s="1056" t="s">
        <v>361</v>
      </c>
      <c r="B826" s="1057" t="s">
        <v>2663</v>
      </c>
      <c r="C826" s="1058" t="e">
        <f>VLOOKUP(B824,'LƯƠNG KT'!$D$15:$R$94,15,0)</f>
        <v>#N/A</v>
      </c>
      <c r="D826" s="1059" t="e">
        <f>C826*$L$4</f>
        <v>#N/A</v>
      </c>
      <c r="E826" s="1061"/>
      <c r="F826" s="1061"/>
      <c r="G826" s="1056" t="s">
        <v>361</v>
      </c>
      <c r="H826" s="1057" t="s">
        <v>2663</v>
      </c>
      <c r="I826" s="1058" t="e">
        <f>VLOOKUP(H824,'LƯƠNG KT'!$D$15:$R$94,15,0)</f>
        <v>#N/A</v>
      </c>
      <c r="J826" s="1059" t="e">
        <f>I826*$L$4</f>
        <v>#N/A</v>
      </c>
      <c r="K826" s="1085"/>
      <c r="L826" s="1085"/>
      <c r="M826" s="1085"/>
      <c r="N826" s="1085"/>
      <c r="O826" s="1085"/>
    </row>
    <row r="827" spans="1:15" ht="15" customHeight="1">
      <c r="A827" s="1056" t="s">
        <v>364</v>
      </c>
      <c r="B827" s="1057" t="s">
        <v>2664</v>
      </c>
      <c r="C827" s="1058" t="e">
        <f>VLOOKUP(B824,'LƯƠNG KT'!$D$15:$R$94,16,0)</f>
        <v>#N/A</v>
      </c>
      <c r="D827" s="1059" t="e">
        <f>C827*$L$5</f>
        <v>#N/A</v>
      </c>
      <c r="E827" s="1061"/>
      <c r="F827" s="1061"/>
      <c r="G827" s="1056" t="s">
        <v>364</v>
      </c>
      <c r="H827" s="1057" t="s">
        <v>2664</v>
      </c>
      <c r="I827" s="1058" t="e">
        <f>VLOOKUP(H824,'LƯƠNG KT'!$D$15:$R$94,16,0)</f>
        <v>#N/A</v>
      </c>
      <c r="J827" s="1059" t="e">
        <f>I827*$L$5</f>
        <v>#N/A</v>
      </c>
      <c r="K827" s="1085"/>
      <c r="L827" s="1085"/>
      <c r="M827" s="1085"/>
      <c r="N827" s="1085"/>
      <c r="O827" s="1085"/>
    </row>
    <row r="828" spans="1:15" ht="15" customHeight="1">
      <c r="A828" s="1056" t="s">
        <v>370</v>
      </c>
      <c r="B828" s="1057" t="s">
        <v>2665</v>
      </c>
      <c r="C828" s="1058" t="e">
        <f>VLOOKUP(B824,'LƯƠNG KT'!$D$15:$R$94,24,0)</f>
        <v>#N/A</v>
      </c>
      <c r="D828" s="1059" t="e">
        <f>+C828*$L$6</f>
        <v>#N/A</v>
      </c>
      <c r="E828" s="1061"/>
      <c r="F828" s="1061"/>
      <c r="G828" s="1056" t="s">
        <v>370</v>
      </c>
      <c r="H828" s="1057" t="s">
        <v>2665</v>
      </c>
      <c r="I828" s="1058" t="e">
        <f>VLOOKUP(H824,'LƯƠNG KT'!$D$15:$R$94,24,0)</f>
        <v>#N/A</v>
      </c>
      <c r="J828" s="1059" t="e">
        <f>+I828*$L$6</f>
        <v>#N/A</v>
      </c>
      <c r="K828" s="1085"/>
      <c r="L828" s="1085"/>
      <c r="M828" s="1085"/>
      <c r="N828" s="1085"/>
      <c r="O828" s="1085"/>
    </row>
    <row r="829" spans="1:15" ht="15" customHeight="1">
      <c r="A829" s="1056" t="s">
        <v>2666</v>
      </c>
      <c r="B829" s="1057" t="s">
        <v>2667</v>
      </c>
      <c r="C829" s="1058" t="e">
        <f>VLOOKUP(B824,'LƯƠNG KT'!$D$15:$R$94,19,0)</f>
        <v>#N/A</v>
      </c>
      <c r="D829" s="1059" t="e">
        <f>+C829*$L$8</f>
        <v>#N/A</v>
      </c>
      <c r="E829" s="1061"/>
      <c r="F829" s="1061"/>
      <c r="G829" s="1056" t="s">
        <v>2666</v>
      </c>
      <c r="H829" s="1057" t="s">
        <v>2667</v>
      </c>
      <c r="I829" s="1058" t="e">
        <f>VLOOKUP(H824,'LƯƠNG KT'!$D$15:$R$94,19,0)</f>
        <v>#N/A</v>
      </c>
      <c r="J829" s="1059" t="e">
        <f>+I829*$L$8</f>
        <v>#N/A</v>
      </c>
      <c r="K829" s="1085"/>
      <c r="L829" s="1085"/>
      <c r="M829" s="1085"/>
      <c r="N829" s="1085"/>
      <c r="O829" s="1085"/>
    </row>
    <row r="830" spans="1:15" ht="15" customHeight="1">
      <c r="A830" s="1056" t="s">
        <v>2668</v>
      </c>
      <c r="B830" s="1062" t="s">
        <v>2669</v>
      </c>
      <c r="C830" s="1058" t="e">
        <f>VLOOKUP(B824,'LƯƠNG KT'!$D$15:$R$94,20,0)</f>
        <v>#N/A</v>
      </c>
      <c r="D830" s="1059" t="e">
        <f>+C830*$L$9</f>
        <v>#N/A</v>
      </c>
      <c r="E830" s="1061"/>
      <c r="F830" s="1061"/>
      <c r="G830" s="1056" t="s">
        <v>2668</v>
      </c>
      <c r="H830" s="1062" t="s">
        <v>2669</v>
      </c>
      <c r="I830" s="1058" t="e">
        <f>VLOOKUP(H824,'LƯƠNG KT'!$D$15:$R$94,20,0)</f>
        <v>#N/A</v>
      </c>
      <c r="J830" s="1059" t="e">
        <f>+I830*$L$9</f>
        <v>#N/A</v>
      </c>
      <c r="K830" s="1085"/>
      <c r="L830" s="1085"/>
      <c r="M830" s="1085"/>
      <c r="N830" s="1085"/>
      <c r="O830" s="1085"/>
    </row>
    <row r="831" spans="1:15" ht="15" customHeight="1">
      <c r="A831" s="1056" t="s">
        <v>2671</v>
      </c>
      <c r="B831" s="1057" t="s">
        <v>2672</v>
      </c>
      <c r="C831" s="1058" t="e">
        <f>VLOOKUP(B824,'LƯƠNG KT'!$D$15:$R$94,17,0)</f>
        <v>#N/A</v>
      </c>
      <c r="D831" s="1059" t="e">
        <f>+C831*$L$10</f>
        <v>#N/A</v>
      </c>
      <c r="E831" s="1061"/>
      <c r="F831" s="1061"/>
      <c r="G831" s="1056" t="s">
        <v>2671</v>
      </c>
      <c r="H831" s="1057" t="s">
        <v>2672</v>
      </c>
      <c r="I831" s="1058" t="e">
        <f>VLOOKUP(H824,'LƯƠNG KT'!$D$15:$R$94,17,0)</f>
        <v>#N/A</v>
      </c>
      <c r="J831" s="1059" t="e">
        <f>+I831*$L$10</f>
        <v>#N/A</v>
      </c>
      <c r="K831" s="1085"/>
      <c r="L831" s="1085"/>
      <c r="M831" s="1085"/>
      <c r="N831" s="1085"/>
      <c r="O831" s="1085"/>
    </row>
    <row r="832" spans="1:15" ht="15" customHeight="1">
      <c r="A832" s="1056" t="s">
        <v>374</v>
      </c>
      <c r="B832" s="1057" t="s">
        <v>2674</v>
      </c>
      <c r="C832" s="1058" t="e">
        <f>VLOOKUP(B824,'LƯƠNG KT'!$D$15:$R$94,12,0)</f>
        <v>#N/A</v>
      </c>
      <c r="D832" s="1059" t="e">
        <f>VLOOKUP(B824,'LƯƠNG KT'!$D$15:$R$94,14,0)</f>
        <v>#N/A</v>
      </c>
      <c r="E832" s="1063"/>
      <c r="F832" s="1061"/>
      <c r="G832" s="1056" t="s">
        <v>374</v>
      </c>
      <c r="H832" s="1057" t="s">
        <v>2674</v>
      </c>
      <c r="I832" s="1058" t="e">
        <f>VLOOKUP(H824,'LƯƠNG KT'!$D$15:$R$94,12,0)</f>
        <v>#N/A</v>
      </c>
      <c r="J832" s="1059" t="e">
        <f>VLOOKUP(H824,'LƯƠNG KT'!$D$15:$R$94,14,0)</f>
        <v>#N/A</v>
      </c>
      <c r="K832" s="1085"/>
      <c r="L832" s="1085"/>
      <c r="M832" s="1085"/>
      <c r="N832" s="1085"/>
      <c r="O832" s="1085"/>
    </row>
    <row r="833" spans="1:15" ht="15" customHeight="1">
      <c r="A833" s="1056" t="s">
        <v>2675</v>
      </c>
      <c r="B833" s="1057" t="s">
        <v>2676</v>
      </c>
      <c r="D833" s="1064" t="e">
        <f>VLOOKUP(B824,'LƯƠNG KT'!$D$15:$R$94,13,0)</f>
        <v>#N/A</v>
      </c>
      <c r="E833" s="1065"/>
      <c r="F833" s="1065"/>
      <c r="G833" s="1056" t="s">
        <v>2675</v>
      </c>
      <c r="H833" s="1057" t="s">
        <v>2676</v>
      </c>
      <c r="J833" s="1064" t="e">
        <f>VLOOKUP(H824,'LƯƠNG KT'!$D$15:$R$94,13,0)</f>
        <v>#N/A</v>
      </c>
    </row>
    <row r="834" spans="1:15" ht="15" customHeight="1">
      <c r="A834" s="1066"/>
      <c r="B834" s="869"/>
      <c r="C834" s="1058"/>
      <c r="D834" s="1059"/>
      <c r="E834" s="1063"/>
      <c r="F834" s="1065"/>
      <c r="G834" s="1066"/>
      <c r="H834" s="869"/>
      <c r="I834" s="1058"/>
      <c r="J834" s="1059"/>
    </row>
    <row r="835" spans="1:15" ht="15" customHeight="1">
      <c r="A835" s="1052"/>
      <c r="B835" s="869"/>
      <c r="C835" s="1058"/>
      <c r="D835" s="1059"/>
      <c r="E835" s="1067"/>
      <c r="F835" s="1051"/>
      <c r="G835" s="1052"/>
      <c r="H835" s="869"/>
      <c r="I835" s="1058"/>
      <c r="J835" s="1059"/>
    </row>
    <row r="836" spans="1:15" ht="15" customHeight="1">
      <c r="A836" s="1068" t="s">
        <v>383</v>
      </c>
      <c r="B836" s="1069" t="s">
        <v>384</v>
      </c>
      <c r="C836" s="1070"/>
      <c r="D836" s="1071" t="e">
        <f>SUM(D825:D832)-D835</f>
        <v>#N/A</v>
      </c>
      <c r="E836" s="1072"/>
      <c r="F836" s="1073"/>
      <c r="G836" s="1068" t="s">
        <v>383</v>
      </c>
      <c r="H836" s="1069" t="s">
        <v>384</v>
      </c>
      <c r="I836" s="1070"/>
      <c r="J836" s="1071" t="e">
        <f>SUM(J825:J832)-J835</f>
        <v>#N/A</v>
      </c>
    </row>
    <row r="837" spans="1:15" ht="18.75" customHeight="1">
      <c r="A837" s="1074"/>
      <c r="B837" s="1075"/>
      <c r="C837" s="1076"/>
      <c r="D837" s="1077"/>
      <c r="E837" s="1077"/>
      <c r="F837" s="1078"/>
      <c r="G837" s="1074"/>
      <c r="H837" s="1075"/>
      <c r="I837" s="1076"/>
      <c r="J837" s="1077"/>
    </row>
    <row r="838" spans="1:15" ht="18.75" customHeight="1">
      <c r="A838" s="1075"/>
      <c r="B838" s="1075"/>
      <c r="C838" s="1079"/>
      <c r="D838" s="1080"/>
      <c r="E838" s="1075"/>
      <c r="F838" s="1081"/>
      <c r="G838" s="1075"/>
      <c r="H838" s="1075"/>
      <c r="I838" s="1079"/>
      <c r="J838" s="1080"/>
    </row>
    <row r="839" spans="1:15" ht="15" customHeight="1">
      <c r="A839" s="2242" t="str">
        <f>$K$2</f>
        <v>THÁNG 04/2025</v>
      </c>
      <c r="B839" s="2242"/>
      <c r="C839" s="2242"/>
      <c r="D839" s="2242"/>
      <c r="E839" s="1050"/>
      <c r="F839" s="1051"/>
      <c r="G839" s="2242" t="str">
        <f>$K$2</f>
        <v>THÁNG 04/2025</v>
      </c>
      <c r="H839" s="2242"/>
      <c r="I839" s="2242"/>
      <c r="J839" s="2242"/>
      <c r="K839" s="624"/>
    </row>
    <row r="840" spans="1:15" ht="15" customHeight="1">
      <c r="A840" s="1052" t="s">
        <v>356</v>
      </c>
      <c r="B840" s="1053" t="s">
        <v>475</v>
      </c>
      <c r="C840" s="869"/>
      <c r="D840" s="1049"/>
      <c r="E840" s="1054"/>
      <c r="F840" s="1055"/>
      <c r="G840" s="1052" t="s">
        <v>356</v>
      </c>
      <c r="H840" s="1053" t="s">
        <v>476</v>
      </c>
      <c r="I840" s="869"/>
      <c r="J840" s="1049"/>
      <c r="L840" s="1088"/>
      <c r="M840" s="1088"/>
      <c r="N840" s="1088"/>
      <c r="O840" s="1088"/>
    </row>
    <row r="841" spans="1:15" ht="15" customHeight="1">
      <c r="A841" s="1056" t="s">
        <v>359</v>
      </c>
      <c r="B841" s="1057" t="s">
        <v>2662</v>
      </c>
      <c r="C841" s="1058" t="e">
        <f>VLOOKUP(B840,'LƯƠNG KT'!$D$15:$R$94,4,0)</f>
        <v>#N/A</v>
      </c>
      <c r="D841" s="1059" t="e">
        <f>+C841*25000</f>
        <v>#N/A</v>
      </c>
      <c r="E841" s="1060"/>
      <c r="F841" s="1060"/>
      <c r="G841" s="1056" t="s">
        <v>359</v>
      </c>
      <c r="H841" s="1057" t="s">
        <v>2662</v>
      </c>
      <c r="I841" s="1058" t="e">
        <f>VLOOKUP(H840,'LƯƠNG KT'!$D$15:$R$94,4,0)</f>
        <v>#N/A</v>
      </c>
      <c r="J841" s="1059" t="e">
        <f>+I841*25000</f>
        <v>#N/A</v>
      </c>
      <c r="K841" s="1085"/>
      <c r="L841" s="1085"/>
      <c r="M841" s="1085"/>
      <c r="N841" s="1085"/>
      <c r="O841" s="1085"/>
    </row>
    <row r="842" spans="1:15" ht="15" customHeight="1">
      <c r="A842" s="1056" t="s">
        <v>361</v>
      </c>
      <c r="B842" s="1057" t="s">
        <v>2663</v>
      </c>
      <c r="C842" s="1058" t="e">
        <f>VLOOKUP(B840,'LƯƠNG KT'!$D$15:$R$94,15,0)</f>
        <v>#N/A</v>
      </c>
      <c r="D842" s="1059" t="e">
        <f>C842*$L$4</f>
        <v>#N/A</v>
      </c>
      <c r="E842" s="1061"/>
      <c r="F842" s="1061"/>
      <c r="G842" s="1056" t="s">
        <v>361</v>
      </c>
      <c r="H842" s="1057" t="s">
        <v>2663</v>
      </c>
      <c r="I842" s="1058" t="e">
        <f>VLOOKUP(H840,'LƯƠNG KT'!$D$15:$R$94,15,0)</f>
        <v>#N/A</v>
      </c>
      <c r="J842" s="1059" t="e">
        <f>I842*$L$4</f>
        <v>#N/A</v>
      </c>
      <c r="K842" s="1085"/>
      <c r="L842" s="1085"/>
      <c r="M842" s="1085"/>
      <c r="N842" s="1085"/>
      <c r="O842" s="1085"/>
    </row>
    <row r="843" spans="1:15" ht="15" customHeight="1">
      <c r="A843" s="1056" t="s">
        <v>364</v>
      </c>
      <c r="B843" s="1057" t="s">
        <v>2664</v>
      </c>
      <c r="C843" s="1058" t="e">
        <f>VLOOKUP(B840,'LƯƠNG KT'!$D$15:$R$94,16,0)</f>
        <v>#N/A</v>
      </c>
      <c r="D843" s="1059" t="e">
        <f>C843*$L$5</f>
        <v>#N/A</v>
      </c>
      <c r="E843" s="1061"/>
      <c r="F843" s="1061"/>
      <c r="G843" s="1056" t="s">
        <v>364</v>
      </c>
      <c r="H843" s="1057" t="s">
        <v>2664</v>
      </c>
      <c r="I843" s="1058" t="e">
        <f>VLOOKUP(H840,'LƯƠNG KT'!$D$15:$R$94,16,0)</f>
        <v>#N/A</v>
      </c>
      <c r="J843" s="1059" t="e">
        <f>I843*$L$5</f>
        <v>#N/A</v>
      </c>
      <c r="K843" s="1085"/>
      <c r="L843" s="1085"/>
      <c r="M843" s="1085"/>
      <c r="N843" s="1085"/>
      <c r="O843" s="1085"/>
    </row>
    <row r="844" spans="1:15" ht="15" customHeight="1">
      <c r="A844" s="1056" t="s">
        <v>370</v>
      </c>
      <c r="B844" s="1057" t="s">
        <v>2665</v>
      </c>
      <c r="C844" s="1058" t="e">
        <f>VLOOKUP(B840,'LƯƠNG KT'!$D$15:$R$94,24,0)</f>
        <v>#N/A</v>
      </c>
      <c r="D844" s="1059" t="e">
        <f>+C844*$L$6</f>
        <v>#N/A</v>
      </c>
      <c r="E844" s="1061"/>
      <c r="F844" s="1061"/>
      <c r="G844" s="1056" t="s">
        <v>370</v>
      </c>
      <c r="H844" s="1057" t="s">
        <v>2665</v>
      </c>
      <c r="I844" s="1058" t="e">
        <f>VLOOKUP(H840,'LƯƠNG KT'!$D$15:$R$94,24,0)</f>
        <v>#N/A</v>
      </c>
      <c r="J844" s="1059" t="e">
        <f>+I844*$L$6</f>
        <v>#N/A</v>
      </c>
      <c r="K844" s="1085"/>
      <c r="L844" s="1085"/>
      <c r="M844" s="1085"/>
      <c r="N844" s="1085"/>
      <c r="O844" s="1085"/>
    </row>
    <row r="845" spans="1:15" ht="15" customHeight="1">
      <c r="A845" s="1056" t="s">
        <v>2666</v>
      </c>
      <c r="B845" s="1057" t="s">
        <v>2667</v>
      </c>
      <c r="C845" s="1058" t="e">
        <f>VLOOKUP(B840,'LƯƠNG KT'!$D$15:$R$94,19,0)</f>
        <v>#N/A</v>
      </c>
      <c r="D845" s="1059" t="e">
        <f>+C845*$L$8</f>
        <v>#N/A</v>
      </c>
      <c r="E845" s="1061"/>
      <c r="F845" s="1061"/>
      <c r="G845" s="1056" t="s">
        <v>2666</v>
      </c>
      <c r="H845" s="1057" t="s">
        <v>2667</v>
      </c>
      <c r="I845" s="1058" t="e">
        <f>VLOOKUP(H840,'LƯƠNG KT'!$D$15:$R$94,19,0)</f>
        <v>#N/A</v>
      </c>
      <c r="J845" s="1059" t="e">
        <f>+I845*$L$8</f>
        <v>#N/A</v>
      </c>
      <c r="K845" s="1085"/>
      <c r="L845" s="1085"/>
      <c r="M845" s="1085"/>
      <c r="N845" s="1085"/>
      <c r="O845" s="1085"/>
    </row>
    <row r="846" spans="1:15" ht="15" customHeight="1">
      <c r="A846" s="1056" t="s">
        <v>2668</v>
      </c>
      <c r="B846" s="1062" t="s">
        <v>2669</v>
      </c>
      <c r="C846" s="1058" t="e">
        <f>VLOOKUP(B840,'LƯƠNG KT'!$D$15:$R$94,20,0)</f>
        <v>#N/A</v>
      </c>
      <c r="D846" s="1059" t="e">
        <f>+C846*$L$9</f>
        <v>#N/A</v>
      </c>
      <c r="E846" s="1061"/>
      <c r="F846" s="1061"/>
      <c r="G846" s="1056" t="s">
        <v>2668</v>
      </c>
      <c r="H846" s="1062" t="s">
        <v>2669</v>
      </c>
      <c r="I846" s="1058" t="e">
        <f>VLOOKUP(H840,'LƯƠNG KT'!$D$15:$R$94,20,0)</f>
        <v>#N/A</v>
      </c>
      <c r="J846" s="1059" t="e">
        <f>+I846*$L$9</f>
        <v>#N/A</v>
      </c>
      <c r="K846" s="1085"/>
      <c r="L846" s="1085"/>
      <c r="M846" s="1085"/>
      <c r="N846" s="1085"/>
      <c r="O846" s="1085"/>
    </row>
    <row r="847" spans="1:15" ht="15" customHeight="1">
      <c r="A847" s="1056" t="s">
        <v>2671</v>
      </c>
      <c r="B847" s="1057" t="s">
        <v>2672</v>
      </c>
      <c r="C847" s="1058" t="e">
        <f>VLOOKUP(B840,'LƯƠNG KT'!$D$15:$R$94,17,0)</f>
        <v>#N/A</v>
      </c>
      <c r="D847" s="1059" t="e">
        <f>+C847*$L$10</f>
        <v>#N/A</v>
      </c>
      <c r="E847" s="1061"/>
      <c r="F847" s="1061"/>
      <c r="G847" s="1056" t="s">
        <v>2671</v>
      </c>
      <c r="H847" s="1057" t="s">
        <v>2672</v>
      </c>
      <c r="I847" s="1058" t="e">
        <f>VLOOKUP(H840,'LƯƠNG KT'!$D$15:$R$94,17,0)</f>
        <v>#N/A</v>
      </c>
      <c r="J847" s="1059" t="e">
        <f>+I847*$L$10</f>
        <v>#N/A</v>
      </c>
      <c r="K847" s="1085"/>
      <c r="L847" s="1085"/>
      <c r="M847" s="1085"/>
      <c r="N847" s="1085"/>
      <c r="O847" s="1085"/>
    </row>
    <row r="848" spans="1:15" ht="15" customHeight="1">
      <c r="A848" s="1056" t="s">
        <v>374</v>
      </c>
      <c r="B848" s="1057" t="s">
        <v>2674</v>
      </c>
      <c r="C848" s="1058" t="e">
        <f>VLOOKUP(B840,'LƯƠNG KT'!$D$15:$R$94,12,0)</f>
        <v>#N/A</v>
      </c>
      <c r="D848" s="1059" t="e">
        <f>VLOOKUP(B840,'LƯƠNG KT'!$D$15:$R$94,14,0)</f>
        <v>#N/A</v>
      </c>
      <c r="E848" s="1063"/>
      <c r="F848" s="1061"/>
      <c r="G848" s="1056" t="s">
        <v>374</v>
      </c>
      <c r="H848" s="1057" t="s">
        <v>2674</v>
      </c>
      <c r="I848" s="1058" t="e">
        <f>VLOOKUP(H840,'LƯƠNG KT'!$D$15:$R$94,12,0)</f>
        <v>#N/A</v>
      </c>
      <c r="J848" s="1059" t="e">
        <f>VLOOKUP(H840,'LƯƠNG KT'!$D$15:$R$94,14,0)</f>
        <v>#N/A</v>
      </c>
      <c r="K848" s="1085"/>
      <c r="L848" s="1085"/>
      <c r="M848" s="1085"/>
      <c r="N848" s="1085"/>
      <c r="O848" s="1085"/>
    </row>
    <row r="849" spans="1:15" ht="15" customHeight="1">
      <c r="A849" s="1056" t="s">
        <v>2675</v>
      </c>
      <c r="B849" s="1057" t="s">
        <v>2676</v>
      </c>
      <c r="D849" s="1064" t="e">
        <f>VLOOKUP(B840,'LƯƠNG KT'!$D$15:$R$94,13,0)</f>
        <v>#N/A</v>
      </c>
      <c r="E849" s="1065"/>
      <c r="F849" s="1065"/>
      <c r="G849" s="1056" t="s">
        <v>2675</v>
      </c>
      <c r="H849" s="1057" t="s">
        <v>2676</v>
      </c>
      <c r="J849" s="1064" t="e">
        <f>VLOOKUP(H840,'LƯƠNG KT'!$D$15:$R$94,13,0)</f>
        <v>#N/A</v>
      </c>
    </row>
    <row r="850" spans="1:15" ht="15" customHeight="1">
      <c r="A850" s="1066"/>
      <c r="B850" s="869"/>
      <c r="C850" s="1058"/>
      <c r="D850" s="1059"/>
      <c r="E850" s="1063"/>
      <c r="F850" s="1065"/>
      <c r="G850" s="1066"/>
      <c r="H850" s="869"/>
      <c r="I850" s="1058"/>
      <c r="J850" s="1059"/>
    </row>
    <row r="851" spans="1:15" ht="15" customHeight="1">
      <c r="A851" s="1052"/>
      <c r="B851" s="869"/>
      <c r="C851" s="1058"/>
      <c r="D851" s="1059"/>
      <c r="E851" s="1067"/>
      <c r="F851" s="1051"/>
      <c r="G851" s="1052"/>
      <c r="H851" s="869"/>
      <c r="I851" s="1058"/>
      <c r="J851" s="1059"/>
    </row>
    <row r="852" spans="1:15" ht="15" customHeight="1">
      <c r="A852" s="1068" t="s">
        <v>383</v>
      </c>
      <c r="B852" s="1069" t="s">
        <v>384</v>
      </c>
      <c r="C852" s="1070"/>
      <c r="D852" s="1071" t="e">
        <f>SUM(D841:D848)-D851</f>
        <v>#N/A</v>
      </c>
      <c r="E852" s="1072"/>
      <c r="F852" s="1073"/>
      <c r="G852" s="1068" t="s">
        <v>383</v>
      </c>
      <c r="H852" s="1069" t="s">
        <v>384</v>
      </c>
      <c r="I852" s="1070"/>
      <c r="J852" s="1071" t="e">
        <f>SUM(J841:J848)-J851</f>
        <v>#N/A</v>
      </c>
    </row>
    <row r="853" spans="1:15" ht="15.75" customHeight="1">
      <c r="A853" s="1074"/>
      <c r="B853" s="1075"/>
      <c r="C853" s="1076"/>
      <c r="D853" s="1077"/>
      <c r="E853" s="1077"/>
      <c r="F853" s="1078"/>
      <c r="G853" s="1074"/>
      <c r="H853" s="1075"/>
      <c r="I853" s="1076"/>
      <c r="J853" s="1077"/>
    </row>
    <row r="855" spans="1:15" ht="12" customHeight="1">
      <c r="A855" s="2243"/>
      <c r="B855" s="2243"/>
      <c r="C855" s="2243"/>
      <c r="D855" s="2243"/>
      <c r="E855" s="2243"/>
      <c r="F855" s="2243"/>
      <c r="G855" s="2243"/>
      <c r="H855" s="2243"/>
      <c r="I855" s="2243"/>
      <c r="J855" s="2243"/>
    </row>
    <row r="856" spans="1:15" ht="15" customHeight="1">
      <c r="A856" s="2242" t="str">
        <f>$K$2</f>
        <v>THÁNG 04/2025</v>
      </c>
      <c r="B856" s="2242"/>
      <c r="C856" s="2242"/>
      <c r="D856" s="2242"/>
      <c r="E856" s="1050"/>
      <c r="F856" s="1051"/>
      <c r="G856" s="2242" t="str">
        <f>$K$2</f>
        <v>THÁNG 04/2025</v>
      </c>
      <c r="H856" s="2242"/>
      <c r="I856" s="2242"/>
      <c r="J856" s="2242"/>
      <c r="K856" s="624"/>
    </row>
    <row r="857" spans="1:15" ht="15" customHeight="1">
      <c r="A857" s="1052" t="s">
        <v>356</v>
      </c>
      <c r="B857" s="1053" t="s">
        <v>2636</v>
      </c>
      <c r="C857" s="869"/>
      <c r="D857" s="1049"/>
      <c r="E857" s="1054"/>
      <c r="F857" s="1055"/>
      <c r="G857" s="1052" t="s">
        <v>356</v>
      </c>
      <c r="H857" s="1053" t="s">
        <v>478</v>
      </c>
      <c r="I857" s="869"/>
      <c r="J857" s="1049"/>
      <c r="L857" s="1088"/>
      <c r="M857" s="1088"/>
      <c r="N857" s="1088"/>
      <c r="O857" s="1088"/>
    </row>
    <row r="858" spans="1:15" ht="15" customHeight="1">
      <c r="A858" s="1056" t="s">
        <v>359</v>
      </c>
      <c r="B858" s="1057" t="s">
        <v>2662</v>
      </c>
      <c r="C858" s="1058" t="e">
        <f>VLOOKUP(B857,'LƯƠNG KT'!$D$15:$R$94,4,0)</f>
        <v>#N/A</v>
      </c>
      <c r="D858" s="1059" t="e">
        <f>+C858*25000</f>
        <v>#N/A</v>
      </c>
      <c r="E858" s="1060"/>
      <c r="F858" s="1060"/>
      <c r="G858" s="1056" t="s">
        <v>359</v>
      </c>
      <c r="H858" s="1057" t="s">
        <v>2662</v>
      </c>
      <c r="I858" s="1058" t="e">
        <f>VLOOKUP(H857,'LƯƠNG KT'!$D$15:$R$94,4,0)</f>
        <v>#N/A</v>
      </c>
      <c r="J858" s="1059" t="e">
        <f>+I858*25000</f>
        <v>#N/A</v>
      </c>
      <c r="K858" s="1084"/>
      <c r="L858" s="1085"/>
      <c r="M858" s="1085"/>
      <c r="N858" s="1085"/>
      <c r="O858" s="1085"/>
    </row>
    <row r="859" spans="1:15" ht="15" customHeight="1">
      <c r="A859" s="1056" t="s">
        <v>361</v>
      </c>
      <c r="B859" s="1057" t="s">
        <v>2663</v>
      </c>
      <c r="C859" s="1058" t="e">
        <f>VLOOKUP(B857,'LƯƠNG KT'!$D$15:$R$94,15,0)</f>
        <v>#N/A</v>
      </c>
      <c r="D859" s="1059" t="e">
        <f>C859*$L$4</f>
        <v>#N/A</v>
      </c>
      <c r="E859" s="1061"/>
      <c r="F859" s="1061"/>
      <c r="G859" s="1056" t="s">
        <v>361</v>
      </c>
      <c r="H859" s="1057" t="s">
        <v>2663</v>
      </c>
      <c r="I859" s="1058" t="e">
        <f>VLOOKUP(H857,'LƯƠNG KT'!$D$15:$R$94,15,0)</f>
        <v>#N/A</v>
      </c>
      <c r="J859" s="1059" t="e">
        <f>I859*$L$4</f>
        <v>#N/A</v>
      </c>
      <c r="K859" s="1084"/>
      <c r="L859" s="1085"/>
      <c r="M859" s="1085"/>
      <c r="N859" s="1085"/>
      <c r="O859" s="1085"/>
    </row>
    <row r="860" spans="1:15" ht="15" customHeight="1">
      <c r="A860" s="1056" t="s">
        <v>364</v>
      </c>
      <c r="B860" s="1057" t="s">
        <v>2664</v>
      </c>
      <c r="C860" s="1058" t="e">
        <f>VLOOKUP(B857,'LƯƠNG KT'!$D$15:$R$94,16,0)</f>
        <v>#N/A</v>
      </c>
      <c r="D860" s="1059" t="e">
        <f>C860*$L$5</f>
        <v>#N/A</v>
      </c>
      <c r="E860" s="1061"/>
      <c r="F860" s="1061"/>
      <c r="G860" s="1056" t="s">
        <v>364</v>
      </c>
      <c r="H860" s="1057" t="s">
        <v>2664</v>
      </c>
      <c r="I860" s="1058" t="e">
        <f>VLOOKUP(H857,'LƯƠNG KT'!$D$15:$R$94,16,0)</f>
        <v>#N/A</v>
      </c>
      <c r="J860" s="1059" t="e">
        <f>I860*$L$5</f>
        <v>#N/A</v>
      </c>
      <c r="K860" s="1084"/>
      <c r="L860" s="1085"/>
      <c r="M860" s="1085"/>
      <c r="N860" s="1085"/>
      <c r="O860" s="1085"/>
    </row>
    <row r="861" spans="1:15" ht="15" customHeight="1">
      <c r="A861" s="1056" t="s">
        <v>370</v>
      </c>
      <c r="B861" s="1057" t="s">
        <v>2665</v>
      </c>
      <c r="C861" s="1058" t="e">
        <f>VLOOKUP(B857,'LƯƠNG KT'!$D$15:$R$94,24,0)</f>
        <v>#N/A</v>
      </c>
      <c r="D861" s="1059" t="e">
        <f>+C861*$L$6</f>
        <v>#N/A</v>
      </c>
      <c r="E861" s="1061"/>
      <c r="F861" s="1061"/>
      <c r="G861" s="1056" t="s">
        <v>370</v>
      </c>
      <c r="H861" s="1057" t="s">
        <v>2665</v>
      </c>
      <c r="I861" s="1058" t="e">
        <f>VLOOKUP(H857,'LƯƠNG KT'!$D$15:$R$94,24,0)</f>
        <v>#N/A</v>
      </c>
      <c r="J861" s="1059" t="e">
        <f>+I861*$L$6</f>
        <v>#N/A</v>
      </c>
      <c r="K861" s="1085"/>
      <c r="L861" s="1085"/>
      <c r="M861" s="1085"/>
      <c r="N861" s="1085"/>
      <c r="O861" s="1085"/>
    </row>
    <row r="862" spans="1:15" ht="15" customHeight="1">
      <c r="A862" s="1056" t="s">
        <v>2666</v>
      </c>
      <c r="B862" s="1057" t="s">
        <v>2667</v>
      </c>
      <c r="C862" s="1058" t="e">
        <f>VLOOKUP(B857,'LƯƠNG KT'!$D$15:$R$94,19,0)</f>
        <v>#N/A</v>
      </c>
      <c r="D862" s="1059" t="e">
        <f>+C862*$L$8</f>
        <v>#N/A</v>
      </c>
      <c r="E862" s="1061"/>
      <c r="F862" s="1061"/>
      <c r="G862" s="1056" t="s">
        <v>2666</v>
      </c>
      <c r="H862" s="1057" t="s">
        <v>2667</v>
      </c>
      <c r="I862" s="1058" t="e">
        <f>VLOOKUP(H857,'LƯƠNG KT'!$D$15:$R$94,19,0)</f>
        <v>#N/A</v>
      </c>
      <c r="J862" s="1059" t="e">
        <f>+I862*$L$8</f>
        <v>#N/A</v>
      </c>
      <c r="K862" s="1085"/>
      <c r="L862" s="1085"/>
      <c r="M862" s="1085"/>
      <c r="N862" s="1085"/>
      <c r="O862" s="1085"/>
    </row>
    <row r="863" spans="1:15" ht="15" customHeight="1">
      <c r="A863" s="1056" t="s">
        <v>2668</v>
      </c>
      <c r="B863" s="1062" t="s">
        <v>2669</v>
      </c>
      <c r="C863" s="1058" t="e">
        <f>VLOOKUP(B857,'LƯƠNG KT'!$D$15:$R$94,20,0)</f>
        <v>#N/A</v>
      </c>
      <c r="D863" s="1059" t="e">
        <f>+C863*$L$9</f>
        <v>#N/A</v>
      </c>
      <c r="E863" s="1061"/>
      <c r="F863" s="1061"/>
      <c r="G863" s="1056" t="s">
        <v>2668</v>
      </c>
      <c r="H863" s="1062" t="s">
        <v>2669</v>
      </c>
      <c r="I863" s="1058" t="e">
        <f>VLOOKUP(H857,'LƯƠNG KT'!$D$15:$R$94,20,0)</f>
        <v>#N/A</v>
      </c>
      <c r="J863" s="1059" t="e">
        <f>+I863*$L$9</f>
        <v>#N/A</v>
      </c>
      <c r="K863" s="1085"/>
      <c r="L863" s="1085"/>
      <c r="M863" s="1085"/>
      <c r="N863" s="1085"/>
      <c r="O863" s="1085"/>
    </row>
    <row r="864" spans="1:15" ht="15" customHeight="1">
      <c r="A864" s="1056" t="s">
        <v>2671</v>
      </c>
      <c r="B864" s="1057" t="s">
        <v>2672</v>
      </c>
      <c r="C864" s="1058" t="e">
        <f>VLOOKUP(B857,'LƯƠNG KT'!$D$15:$R$94,17,0)</f>
        <v>#N/A</v>
      </c>
      <c r="D864" s="1059" t="e">
        <f>+C864*$L$10</f>
        <v>#N/A</v>
      </c>
      <c r="E864" s="1061"/>
      <c r="F864" s="1061"/>
      <c r="G864" s="1056" t="s">
        <v>2671</v>
      </c>
      <c r="H864" s="1057" t="s">
        <v>2672</v>
      </c>
      <c r="I864" s="1058" t="e">
        <f>VLOOKUP(H857,'LƯƠNG KT'!$D$15:$R$94,17,0)</f>
        <v>#N/A</v>
      </c>
      <c r="J864" s="1059" t="e">
        <f>+I864*$L$10</f>
        <v>#N/A</v>
      </c>
      <c r="K864" s="1085"/>
      <c r="L864" s="1085"/>
      <c r="M864" s="1085"/>
      <c r="N864" s="1085"/>
      <c r="O864" s="1085"/>
    </row>
    <row r="865" spans="1:15" ht="15" customHeight="1">
      <c r="A865" s="1056" t="s">
        <v>374</v>
      </c>
      <c r="B865" s="1057" t="s">
        <v>2674</v>
      </c>
      <c r="C865" s="1058" t="e">
        <f>VLOOKUP(B857,'LƯƠNG KT'!$D$15:$R$94,12,0)</f>
        <v>#N/A</v>
      </c>
      <c r="D865" s="1059" t="e">
        <f>VLOOKUP(B857,'LƯƠNG KT'!$D$15:$R$94,14,0)</f>
        <v>#N/A</v>
      </c>
      <c r="E865" s="1063"/>
      <c r="F865" s="1061"/>
      <c r="G865" s="1056" t="s">
        <v>374</v>
      </c>
      <c r="H865" s="1057" t="s">
        <v>2674</v>
      </c>
      <c r="I865" s="1058" t="e">
        <f>VLOOKUP(H857,'LƯƠNG KT'!$D$15:$R$94,12,0)</f>
        <v>#N/A</v>
      </c>
      <c r="J865" s="1059" t="e">
        <f>VLOOKUP(H857,'LƯƠNG KT'!$D$15:$R$94,14,0)</f>
        <v>#N/A</v>
      </c>
      <c r="K865" s="1085"/>
      <c r="L865" s="1085"/>
      <c r="M865" s="1085"/>
      <c r="N865" s="1085"/>
      <c r="O865" s="1085"/>
    </row>
    <row r="866" spans="1:15" ht="15" customHeight="1">
      <c r="A866" s="1056" t="s">
        <v>2675</v>
      </c>
      <c r="B866" s="1057" t="s">
        <v>2676</v>
      </c>
      <c r="D866" s="1064" t="e">
        <f>VLOOKUP(B857,'LƯƠNG KT'!$D$15:$R$94,13,0)</f>
        <v>#N/A</v>
      </c>
      <c r="E866" s="1065"/>
      <c r="F866" s="1065"/>
      <c r="G866" s="1056" t="s">
        <v>2675</v>
      </c>
      <c r="H866" s="1057" t="s">
        <v>2676</v>
      </c>
      <c r="J866" s="1064" t="e">
        <f>VLOOKUP(H857,'LƯƠNG KT'!$D$15:$R$94,13,0)</f>
        <v>#N/A</v>
      </c>
    </row>
    <row r="867" spans="1:15" ht="15" customHeight="1">
      <c r="A867" s="1066"/>
      <c r="B867" s="869"/>
      <c r="C867" s="1058"/>
      <c r="D867" s="1059"/>
      <c r="E867" s="1063"/>
      <c r="F867" s="1065"/>
      <c r="G867" s="1066"/>
      <c r="H867" s="869"/>
      <c r="I867" s="1058"/>
      <c r="J867" s="1059"/>
    </row>
    <row r="868" spans="1:15" ht="15" customHeight="1">
      <c r="A868" s="1052"/>
      <c r="B868" s="869"/>
      <c r="C868" s="1058"/>
      <c r="D868" s="1059"/>
      <c r="E868" s="1067"/>
      <c r="F868" s="1051"/>
      <c r="G868" s="1052"/>
      <c r="H868" s="869"/>
      <c r="I868" s="1058"/>
      <c r="J868" s="1059"/>
    </row>
    <row r="869" spans="1:15" ht="15" customHeight="1">
      <c r="A869" s="1068" t="s">
        <v>383</v>
      </c>
      <c r="B869" s="1069" t="s">
        <v>384</v>
      </c>
      <c r="C869" s="1070"/>
      <c r="D869" s="1071" t="e">
        <f>SUM(D858:D865)-D868</f>
        <v>#N/A</v>
      </c>
      <c r="E869" s="1072"/>
      <c r="F869" s="1073"/>
      <c r="G869" s="1068" t="s">
        <v>383</v>
      </c>
      <c r="H869" s="1069" t="s">
        <v>384</v>
      </c>
      <c r="I869" s="1070"/>
      <c r="J869" s="1071" t="e">
        <f>SUM(J858:J865)-J868</f>
        <v>#N/A</v>
      </c>
    </row>
    <row r="870" spans="1:15" ht="12.6" customHeight="1">
      <c r="A870" s="1074"/>
      <c r="B870" s="1075"/>
      <c r="C870" s="1076"/>
      <c r="D870" s="1077"/>
      <c r="E870" s="1077"/>
      <c r="F870" s="1078"/>
      <c r="G870" s="1074"/>
      <c r="H870" s="1075"/>
      <c r="I870" s="1076"/>
      <c r="J870" s="1077"/>
    </row>
    <row r="871" spans="1:15" ht="150.75" customHeight="1">
      <c r="A871" s="1075"/>
      <c r="B871" s="1075"/>
      <c r="C871" s="1079"/>
      <c r="D871" s="1080"/>
      <c r="E871" s="1075"/>
      <c r="F871" s="1081"/>
      <c r="G871" s="1075"/>
      <c r="H871" s="1075"/>
      <c r="I871" s="1079"/>
      <c r="J871" s="1080"/>
    </row>
    <row r="872" spans="1:15" ht="15" customHeight="1">
      <c r="A872" s="2242" t="str">
        <f>$K$2</f>
        <v>THÁNG 04/2025</v>
      </c>
      <c r="B872" s="2242"/>
      <c r="C872" s="2242"/>
      <c r="D872" s="2242"/>
      <c r="E872" s="1050"/>
      <c r="F872" s="1051"/>
      <c r="G872" s="2242" t="str">
        <f>$K$2</f>
        <v>THÁNG 04/2025</v>
      </c>
      <c r="H872" s="2242"/>
      <c r="I872" s="2242"/>
      <c r="J872" s="2242"/>
      <c r="K872" s="624"/>
    </row>
    <row r="873" spans="1:15" ht="15" customHeight="1">
      <c r="A873" s="1052" t="s">
        <v>356</v>
      </c>
      <c r="B873" s="1053" t="s">
        <v>479</v>
      </c>
      <c r="C873" s="869"/>
      <c r="D873" s="1049"/>
      <c r="E873" s="1054"/>
      <c r="F873" s="1055"/>
      <c r="G873" s="1052" t="s">
        <v>356</v>
      </c>
      <c r="H873" s="1053" t="s">
        <v>2637</v>
      </c>
      <c r="I873" s="869"/>
      <c r="J873" s="1049"/>
      <c r="L873" s="1088"/>
      <c r="M873" s="1088"/>
      <c r="N873" s="1088"/>
      <c r="O873" s="1088"/>
    </row>
    <row r="874" spans="1:15" ht="15" customHeight="1">
      <c r="A874" s="1056" t="s">
        <v>359</v>
      </c>
      <c r="B874" s="1057" t="s">
        <v>2662</v>
      </c>
      <c r="C874" s="1058" t="e">
        <f>VLOOKUP(B873,'LƯƠNG KT'!$D$15:$R$94,4,0)</f>
        <v>#N/A</v>
      </c>
      <c r="D874" s="1059" t="e">
        <f>+C874*25000</f>
        <v>#N/A</v>
      </c>
      <c r="E874" s="1060"/>
      <c r="F874" s="1060"/>
      <c r="G874" s="1056" t="s">
        <v>359</v>
      </c>
      <c r="H874" s="1057" t="s">
        <v>2662</v>
      </c>
      <c r="I874" s="1058" t="e">
        <f>VLOOKUP(H873,'LƯƠNG KT'!$D$15:$R$94,4,0)</f>
        <v>#N/A</v>
      </c>
      <c r="J874" s="1059" t="e">
        <f>+I874*25000</f>
        <v>#N/A</v>
      </c>
      <c r="K874" s="1085"/>
      <c r="L874" s="1085"/>
      <c r="M874" s="1085"/>
      <c r="N874" s="1085"/>
      <c r="O874" s="1085"/>
    </row>
    <row r="875" spans="1:15" ht="15" customHeight="1">
      <c r="A875" s="1056" t="s">
        <v>361</v>
      </c>
      <c r="B875" s="1057" t="s">
        <v>2663</v>
      </c>
      <c r="C875" s="1058" t="e">
        <f>VLOOKUP(B873,'LƯƠNG KT'!$D$15:$R$94,15,0)</f>
        <v>#N/A</v>
      </c>
      <c r="D875" s="1059" t="e">
        <f>C875*$L$4</f>
        <v>#N/A</v>
      </c>
      <c r="E875" s="1061"/>
      <c r="F875" s="1061"/>
      <c r="G875" s="1056" t="s">
        <v>361</v>
      </c>
      <c r="H875" s="1057" t="s">
        <v>2663</v>
      </c>
      <c r="I875" s="1058" t="e">
        <f>VLOOKUP(H873,'LƯƠNG KT'!$D$15:$R$94,15,0)</f>
        <v>#N/A</v>
      </c>
      <c r="J875" s="1059" t="e">
        <f>I875*$L$4</f>
        <v>#N/A</v>
      </c>
      <c r="K875" s="1085"/>
      <c r="L875" s="1085"/>
      <c r="M875" s="1085"/>
      <c r="N875" s="1085"/>
      <c r="O875" s="1085"/>
    </row>
    <row r="876" spans="1:15" ht="15" customHeight="1">
      <c r="A876" s="1056" t="s">
        <v>364</v>
      </c>
      <c r="B876" s="1057" t="s">
        <v>2664</v>
      </c>
      <c r="C876" s="1058" t="e">
        <f>VLOOKUP(B873,'LƯƠNG KT'!$D$15:$R$94,16,0)</f>
        <v>#N/A</v>
      </c>
      <c r="D876" s="1059" t="e">
        <f>C876*$L$5</f>
        <v>#N/A</v>
      </c>
      <c r="E876" s="1061"/>
      <c r="F876" s="1061"/>
      <c r="G876" s="1056" t="s">
        <v>364</v>
      </c>
      <c r="H876" s="1057" t="s">
        <v>2664</v>
      </c>
      <c r="I876" s="1058" t="e">
        <f>VLOOKUP(H873,'LƯƠNG KT'!$D$15:$R$94,16,0)</f>
        <v>#N/A</v>
      </c>
      <c r="J876" s="1059" t="e">
        <f>I876*$L$5</f>
        <v>#N/A</v>
      </c>
      <c r="K876" s="1085"/>
      <c r="L876" s="1085"/>
      <c r="M876" s="1085"/>
      <c r="N876" s="1085"/>
      <c r="O876" s="1085"/>
    </row>
    <row r="877" spans="1:15" ht="15" customHeight="1">
      <c r="A877" s="1056" t="s">
        <v>370</v>
      </c>
      <c r="B877" s="1057" t="s">
        <v>2665</v>
      </c>
      <c r="C877" s="1058" t="e">
        <f>VLOOKUP(B873,'LƯƠNG KT'!$D$15:$R$94,24,0)</f>
        <v>#N/A</v>
      </c>
      <c r="D877" s="1059" t="e">
        <f>+C877*$L$6</f>
        <v>#N/A</v>
      </c>
      <c r="E877" s="1061"/>
      <c r="F877" s="1061"/>
      <c r="G877" s="1056" t="s">
        <v>370</v>
      </c>
      <c r="H877" s="1057" t="s">
        <v>2665</v>
      </c>
      <c r="I877" s="1058" t="e">
        <f>VLOOKUP(H873,'LƯƠNG KT'!$D$15:$R$94,24,0)</f>
        <v>#N/A</v>
      </c>
      <c r="J877" s="1059" t="e">
        <f>+I877*$L$6</f>
        <v>#N/A</v>
      </c>
      <c r="K877" s="1085"/>
      <c r="L877" s="1085"/>
      <c r="M877" s="1085"/>
      <c r="N877" s="1085"/>
      <c r="O877" s="1085"/>
    </row>
    <row r="878" spans="1:15" ht="15" customHeight="1">
      <c r="A878" s="1056" t="s">
        <v>2666</v>
      </c>
      <c r="B878" s="1057" t="s">
        <v>2667</v>
      </c>
      <c r="C878" s="1058" t="e">
        <f>VLOOKUP(B873,'LƯƠNG KT'!$D$15:$R$94,19,0)</f>
        <v>#N/A</v>
      </c>
      <c r="D878" s="1059" t="e">
        <f>+C878*$L$8</f>
        <v>#N/A</v>
      </c>
      <c r="E878" s="1061"/>
      <c r="F878" s="1061"/>
      <c r="G878" s="1056" t="s">
        <v>2666</v>
      </c>
      <c r="H878" s="1057" t="s">
        <v>2667</v>
      </c>
      <c r="I878" s="1058" t="e">
        <f>VLOOKUP(H873,'LƯƠNG KT'!$D$15:$R$94,19,0)</f>
        <v>#N/A</v>
      </c>
      <c r="J878" s="1059" t="e">
        <f>+I878*$L$8</f>
        <v>#N/A</v>
      </c>
      <c r="K878" s="1085"/>
      <c r="L878" s="1085"/>
      <c r="M878" s="1085"/>
      <c r="N878" s="1085"/>
      <c r="O878" s="1085"/>
    </row>
    <row r="879" spans="1:15" ht="15" customHeight="1">
      <c r="A879" s="1056" t="s">
        <v>2668</v>
      </c>
      <c r="B879" s="1062" t="s">
        <v>2669</v>
      </c>
      <c r="C879" s="1058" t="e">
        <f>VLOOKUP(B873,'LƯƠNG KT'!$D$15:$R$94,20,0)</f>
        <v>#N/A</v>
      </c>
      <c r="D879" s="1059" t="e">
        <f>+C879*$L$9</f>
        <v>#N/A</v>
      </c>
      <c r="E879" s="1061"/>
      <c r="F879" s="1061"/>
      <c r="G879" s="1056" t="s">
        <v>2668</v>
      </c>
      <c r="H879" s="1062" t="s">
        <v>2669</v>
      </c>
      <c r="I879" s="1058" t="e">
        <f>VLOOKUP(H873,'LƯƠNG KT'!$D$15:$R$94,20,0)</f>
        <v>#N/A</v>
      </c>
      <c r="J879" s="1059" t="e">
        <f>+I879*$L$9</f>
        <v>#N/A</v>
      </c>
      <c r="K879" s="1085"/>
      <c r="L879" s="1085"/>
      <c r="M879" s="1085"/>
      <c r="N879" s="1085"/>
      <c r="O879" s="1085"/>
    </row>
    <row r="880" spans="1:15" ht="15" customHeight="1">
      <c r="A880" s="1056" t="s">
        <v>2671</v>
      </c>
      <c r="B880" s="1057" t="s">
        <v>2672</v>
      </c>
      <c r="C880" s="1058" t="e">
        <f>VLOOKUP(B873,'LƯƠNG KT'!$D$15:$R$94,17,0)</f>
        <v>#N/A</v>
      </c>
      <c r="D880" s="1059" t="e">
        <f>+C880*$L$10</f>
        <v>#N/A</v>
      </c>
      <c r="E880" s="1061"/>
      <c r="F880" s="1061"/>
      <c r="G880" s="1056" t="s">
        <v>2671</v>
      </c>
      <c r="H880" s="1057" t="s">
        <v>2672</v>
      </c>
      <c r="I880" s="1058" t="e">
        <f>VLOOKUP(H873,'LƯƠNG KT'!$D$15:$R$94,17,0)</f>
        <v>#N/A</v>
      </c>
      <c r="J880" s="1059" t="e">
        <f>+I880*$L$10</f>
        <v>#N/A</v>
      </c>
      <c r="K880" s="1085"/>
      <c r="L880" s="1085"/>
      <c r="M880" s="1085"/>
      <c r="N880" s="1085"/>
      <c r="O880" s="1085"/>
    </row>
    <row r="881" spans="1:15" ht="15" customHeight="1">
      <c r="A881" s="1056" t="s">
        <v>374</v>
      </c>
      <c r="B881" s="1057" t="s">
        <v>2674</v>
      </c>
      <c r="C881" s="1058" t="e">
        <f>VLOOKUP(B873,'LƯƠNG KT'!$D$15:$R$94,12,0)</f>
        <v>#N/A</v>
      </c>
      <c r="D881" s="1059" t="e">
        <f>VLOOKUP(B873,'LƯƠNG KT'!$D$15:$R$94,14,0)</f>
        <v>#N/A</v>
      </c>
      <c r="E881" s="1063"/>
      <c r="F881" s="1061"/>
      <c r="G881" s="1056" t="s">
        <v>374</v>
      </c>
      <c r="H881" s="1057" t="s">
        <v>2674</v>
      </c>
      <c r="I881" s="1058" t="e">
        <f>VLOOKUP(H873,'LƯƠNG KT'!$D$15:$R$94,12,0)</f>
        <v>#N/A</v>
      </c>
      <c r="J881" s="1059" t="e">
        <f>VLOOKUP(H873,'LƯƠNG KT'!$D$15:$R$94,14,0)</f>
        <v>#N/A</v>
      </c>
      <c r="K881" s="1085"/>
      <c r="L881" s="1085"/>
      <c r="M881" s="1085"/>
      <c r="N881" s="1085"/>
      <c r="O881" s="1085"/>
    </row>
    <row r="882" spans="1:15" ht="15" customHeight="1">
      <c r="A882" s="1056" t="s">
        <v>2675</v>
      </c>
      <c r="B882" s="1057" t="s">
        <v>2676</v>
      </c>
      <c r="D882" s="1064" t="e">
        <f>VLOOKUP(B873,'LƯƠNG KT'!$D$15:$R$94,13,0)</f>
        <v>#N/A</v>
      </c>
      <c r="E882" s="1065"/>
      <c r="F882" s="1065"/>
      <c r="G882" s="1056" t="s">
        <v>2675</v>
      </c>
      <c r="H882" s="1057" t="s">
        <v>2676</v>
      </c>
      <c r="J882" s="1064" t="e">
        <f>VLOOKUP(H873,'LƯƠNG KT'!$D$15:$R$94,13,0)</f>
        <v>#N/A</v>
      </c>
    </row>
    <row r="883" spans="1:15" ht="15" customHeight="1">
      <c r="A883" s="1066"/>
      <c r="B883" s="869"/>
      <c r="C883" s="1058"/>
      <c r="D883" s="1059"/>
      <c r="E883" s="1063"/>
      <c r="F883" s="1065"/>
      <c r="G883" s="1066"/>
      <c r="H883" s="869"/>
      <c r="I883" s="1058"/>
      <c r="J883" s="1059"/>
    </row>
    <row r="884" spans="1:15" ht="15" customHeight="1">
      <c r="A884" s="1052"/>
      <c r="B884" s="869"/>
      <c r="C884" s="1058"/>
      <c r="D884" s="1059"/>
      <c r="E884" s="1067"/>
      <c r="F884" s="1051"/>
      <c r="G884" s="1052"/>
      <c r="H884" s="869"/>
      <c r="I884" s="1058"/>
      <c r="J884" s="1059"/>
    </row>
    <row r="885" spans="1:15" ht="15" customHeight="1">
      <c r="A885" s="1068" t="s">
        <v>383</v>
      </c>
      <c r="B885" s="1069" t="s">
        <v>384</v>
      </c>
      <c r="C885" s="1070"/>
      <c r="D885" s="1071" t="e">
        <f>SUM(D874:D881)-D884</f>
        <v>#N/A</v>
      </c>
      <c r="E885" s="1072"/>
      <c r="F885" s="1073"/>
      <c r="G885" s="1068" t="s">
        <v>383</v>
      </c>
      <c r="H885" s="1069" t="s">
        <v>384</v>
      </c>
      <c r="I885" s="1070"/>
      <c r="J885" s="1071" t="e">
        <f>SUM(J874:J881)-J884</f>
        <v>#N/A</v>
      </c>
    </row>
    <row r="886" spans="1:15" ht="18.75" customHeight="1">
      <c r="A886" s="1074"/>
      <c r="B886" s="1075"/>
      <c r="C886" s="1076"/>
      <c r="D886" s="1077"/>
      <c r="E886" s="1077"/>
      <c r="F886" s="1078"/>
      <c r="G886" s="1074"/>
      <c r="H886" s="1075"/>
      <c r="I886" s="1076"/>
      <c r="J886" s="1077"/>
    </row>
    <row r="887" spans="1:15" ht="18.75" customHeight="1">
      <c r="A887" s="1075"/>
      <c r="B887" s="1075"/>
      <c r="C887" s="1079"/>
      <c r="D887" s="1080"/>
      <c r="E887" s="1075"/>
      <c r="F887" s="1081"/>
      <c r="G887" s="1075"/>
      <c r="H887" s="1075"/>
      <c r="I887" s="1079"/>
      <c r="J887" s="1080"/>
    </row>
    <row r="888" spans="1:15" ht="15" customHeight="1">
      <c r="A888" s="2242" t="str">
        <f>$K$2</f>
        <v>THÁNG 04/2025</v>
      </c>
      <c r="B888" s="2242"/>
      <c r="C888" s="2242"/>
      <c r="D888" s="2242"/>
      <c r="E888" s="1050"/>
      <c r="F888" s="1051"/>
      <c r="G888" s="2242" t="str">
        <f>$K$2</f>
        <v>THÁNG 04/2025</v>
      </c>
      <c r="H888" s="2242"/>
      <c r="I888" s="2242"/>
      <c r="J888" s="2242"/>
      <c r="K888" s="1085"/>
      <c r="L888" s="1085"/>
      <c r="M888" s="1085"/>
      <c r="N888" s="1085"/>
      <c r="O888" s="1085"/>
    </row>
    <row r="889" spans="1:15" ht="15" customHeight="1">
      <c r="A889" s="1052" t="s">
        <v>356</v>
      </c>
      <c r="B889" s="1053" t="s">
        <v>2638</v>
      </c>
      <c r="C889" s="869"/>
      <c r="D889" s="1049"/>
      <c r="E889" s="1054"/>
      <c r="F889" s="1055"/>
      <c r="G889" s="1052" t="s">
        <v>356</v>
      </c>
      <c r="H889" s="1053" t="s">
        <v>482</v>
      </c>
      <c r="I889" s="869"/>
      <c r="J889" s="1049"/>
      <c r="L889" s="1088"/>
      <c r="M889" s="1088"/>
      <c r="N889" s="1088"/>
      <c r="O889" s="1088"/>
    </row>
    <row r="890" spans="1:15" ht="15" customHeight="1">
      <c r="A890" s="1056" t="s">
        <v>359</v>
      </c>
      <c r="B890" s="1057" t="s">
        <v>2662</v>
      </c>
      <c r="C890" s="1058" t="e">
        <f>VLOOKUP(B889,'LƯƠNG KT'!$D$15:$R$94,4,0)</f>
        <v>#N/A</v>
      </c>
      <c r="D890" s="1059" t="e">
        <f>+C890*25000</f>
        <v>#N/A</v>
      </c>
      <c r="E890" s="1060"/>
      <c r="F890" s="1060"/>
      <c r="G890" s="1056" t="s">
        <v>359</v>
      </c>
      <c r="H890" s="1057" t="s">
        <v>2662</v>
      </c>
      <c r="I890" s="1058" t="e">
        <f>VLOOKUP(H889,'LƯƠNG KT'!$D$15:$R$94,4,0)</f>
        <v>#N/A</v>
      </c>
      <c r="J890" s="1059" t="e">
        <f>+I890*25000</f>
        <v>#N/A</v>
      </c>
      <c r="K890" s="1085"/>
      <c r="L890" s="1085"/>
      <c r="M890" s="1085"/>
      <c r="N890" s="1085"/>
      <c r="O890" s="1085"/>
    </row>
    <row r="891" spans="1:15" ht="15" customHeight="1">
      <c r="A891" s="1056" t="s">
        <v>361</v>
      </c>
      <c r="B891" s="1057" t="s">
        <v>2663</v>
      </c>
      <c r="C891" s="1058" t="e">
        <f>VLOOKUP(B889,'LƯƠNG KT'!$D$15:$R$94,15,0)</f>
        <v>#N/A</v>
      </c>
      <c r="D891" s="1059" t="e">
        <f>C891*$L$4</f>
        <v>#N/A</v>
      </c>
      <c r="E891" s="1061"/>
      <c r="F891" s="1061"/>
      <c r="G891" s="1056" t="s">
        <v>361</v>
      </c>
      <c r="H891" s="1057" t="s">
        <v>2663</v>
      </c>
      <c r="I891" s="1058" t="e">
        <f>VLOOKUP(H889,'LƯƠNG KT'!$D$15:$R$94,15,0)</f>
        <v>#N/A</v>
      </c>
      <c r="J891" s="1059" t="e">
        <f>I891*$L$4</f>
        <v>#N/A</v>
      </c>
      <c r="K891" s="1085"/>
      <c r="L891" s="1085"/>
      <c r="M891" s="1085"/>
      <c r="N891" s="1085"/>
      <c r="O891" s="1085"/>
    </row>
    <row r="892" spans="1:15" ht="15" customHeight="1">
      <c r="A892" s="1056" t="s">
        <v>364</v>
      </c>
      <c r="B892" s="1057" t="s">
        <v>2664</v>
      </c>
      <c r="C892" s="1058" t="e">
        <f>VLOOKUP(B889,'LƯƠNG KT'!$D$15:$R$94,16,0)</f>
        <v>#N/A</v>
      </c>
      <c r="D892" s="1059" t="e">
        <f>C892*$L$5</f>
        <v>#N/A</v>
      </c>
      <c r="E892" s="1061"/>
      <c r="F892" s="1061"/>
      <c r="G892" s="1056" t="s">
        <v>364</v>
      </c>
      <c r="H892" s="1057" t="s">
        <v>2664</v>
      </c>
      <c r="I892" s="1058" t="e">
        <f>VLOOKUP(H889,'LƯƠNG KT'!$D$15:$R$94,16,0)</f>
        <v>#N/A</v>
      </c>
      <c r="J892" s="1059" t="e">
        <f>I892*$L$5</f>
        <v>#N/A</v>
      </c>
      <c r="K892" s="1085"/>
      <c r="L892" s="1085"/>
      <c r="M892" s="1085"/>
      <c r="N892" s="1085"/>
      <c r="O892" s="1085"/>
    </row>
    <row r="893" spans="1:15" ht="15" customHeight="1">
      <c r="A893" s="1056" t="s">
        <v>370</v>
      </c>
      <c r="B893" s="1057" t="s">
        <v>2665</v>
      </c>
      <c r="C893" s="1058" t="e">
        <f>VLOOKUP(B889,'LƯƠNG KT'!$D$15:$R$94,24,0)</f>
        <v>#N/A</v>
      </c>
      <c r="D893" s="1059" t="e">
        <f>+C893*$L$6</f>
        <v>#N/A</v>
      </c>
      <c r="E893" s="1061"/>
      <c r="F893" s="1061"/>
      <c r="G893" s="1056" t="s">
        <v>370</v>
      </c>
      <c r="H893" s="1057" t="s">
        <v>2665</v>
      </c>
      <c r="I893" s="1058" t="e">
        <f>VLOOKUP(H889,'LƯƠNG KT'!$D$15:$R$94,24,0)</f>
        <v>#N/A</v>
      </c>
      <c r="J893" s="1059" t="e">
        <f>+I893*$L$6</f>
        <v>#N/A</v>
      </c>
      <c r="K893" s="1085"/>
      <c r="L893" s="1085"/>
      <c r="M893" s="1085"/>
      <c r="N893" s="1085"/>
      <c r="O893" s="1085"/>
    </row>
    <row r="894" spans="1:15" ht="15" customHeight="1">
      <c r="A894" s="1056" t="s">
        <v>2666</v>
      </c>
      <c r="B894" s="1057" t="s">
        <v>2667</v>
      </c>
      <c r="C894" s="1058" t="e">
        <f>VLOOKUP(B889,'LƯƠNG KT'!$D$15:$R$94,19,0)</f>
        <v>#N/A</v>
      </c>
      <c r="D894" s="1059" t="e">
        <f>+C894*$L$8</f>
        <v>#N/A</v>
      </c>
      <c r="E894" s="1061"/>
      <c r="F894" s="1061"/>
      <c r="G894" s="1056" t="s">
        <v>2666</v>
      </c>
      <c r="H894" s="1057" t="s">
        <v>2667</v>
      </c>
      <c r="I894" s="1058" t="e">
        <f>VLOOKUP(H889,'LƯƠNG KT'!$D$15:$R$94,19,0)</f>
        <v>#N/A</v>
      </c>
      <c r="J894" s="1059" t="e">
        <f>+I894*$L$8</f>
        <v>#N/A</v>
      </c>
      <c r="K894" s="1085"/>
      <c r="L894" s="1085"/>
      <c r="M894" s="1085"/>
      <c r="N894" s="1085"/>
      <c r="O894" s="1085"/>
    </row>
    <row r="895" spans="1:15" ht="15" customHeight="1">
      <c r="A895" s="1056" t="s">
        <v>2668</v>
      </c>
      <c r="B895" s="1062" t="s">
        <v>2669</v>
      </c>
      <c r="C895" s="1058" t="e">
        <f>VLOOKUP(B889,'LƯƠNG KT'!$D$15:$R$94,20,0)</f>
        <v>#N/A</v>
      </c>
      <c r="D895" s="1059" t="e">
        <f>+C895*$L$9</f>
        <v>#N/A</v>
      </c>
      <c r="E895" s="1061"/>
      <c r="F895" s="1061"/>
      <c r="G895" s="1056" t="s">
        <v>2668</v>
      </c>
      <c r="H895" s="1062" t="s">
        <v>2669</v>
      </c>
      <c r="I895" s="1058" t="e">
        <f>VLOOKUP(H889,'LƯƠNG KT'!$D$15:$R$94,20,0)</f>
        <v>#N/A</v>
      </c>
      <c r="J895" s="1059" t="e">
        <f>+I895*$L$9</f>
        <v>#N/A</v>
      </c>
      <c r="K895" s="1085"/>
      <c r="L895" s="1085"/>
      <c r="M895" s="1085"/>
      <c r="N895" s="1085"/>
      <c r="O895" s="1085"/>
    </row>
    <row r="896" spans="1:15" ht="15" customHeight="1">
      <c r="A896" s="1056" t="s">
        <v>2671</v>
      </c>
      <c r="B896" s="1057" t="s">
        <v>2672</v>
      </c>
      <c r="C896" s="1058" t="e">
        <f>VLOOKUP(B889,'LƯƠNG KT'!$D$15:$R$94,17,0)</f>
        <v>#N/A</v>
      </c>
      <c r="D896" s="1059" t="e">
        <f>+C896*$L$10</f>
        <v>#N/A</v>
      </c>
      <c r="E896" s="1061"/>
      <c r="F896" s="1061"/>
      <c r="G896" s="1056" t="s">
        <v>2671</v>
      </c>
      <c r="H896" s="1057" t="s">
        <v>2672</v>
      </c>
      <c r="I896" s="1058" t="e">
        <f>VLOOKUP(H889,'LƯƠNG KT'!$D$15:$R$94,17,0)</f>
        <v>#N/A</v>
      </c>
      <c r="J896" s="1059" t="e">
        <f>+I896*$L$10</f>
        <v>#N/A</v>
      </c>
      <c r="K896" s="1085"/>
      <c r="L896" s="1085"/>
      <c r="M896" s="1085"/>
      <c r="N896" s="1085"/>
      <c r="O896" s="1085"/>
    </row>
    <row r="897" spans="1:15" ht="15" customHeight="1">
      <c r="A897" s="1056" t="s">
        <v>374</v>
      </c>
      <c r="B897" s="1057" t="s">
        <v>2674</v>
      </c>
      <c r="C897" s="1058" t="e">
        <f>VLOOKUP(B889,'LƯƠNG KT'!$D$15:$R$94,12,0)</f>
        <v>#N/A</v>
      </c>
      <c r="D897" s="1059" t="e">
        <f>VLOOKUP(B889,'LƯƠNG KT'!$D$15:$R$94,14,0)</f>
        <v>#N/A</v>
      </c>
      <c r="E897" s="1063"/>
      <c r="F897" s="1061"/>
      <c r="G897" s="1056" t="s">
        <v>374</v>
      </c>
      <c r="H897" s="1057" t="s">
        <v>2674</v>
      </c>
      <c r="I897" s="1058" t="e">
        <f>VLOOKUP(H889,'LƯƠNG KT'!$D$15:$R$94,12,0)</f>
        <v>#N/A</v>
      </c>
      <c r="J897" s="1059" t="e">
        <f>VLOOKUP(H889,'LƯƠNG KT'!$D$15:$R$94,14,0)</f>
        <v>#N/A</v>
      </c>
      <c r="K897" s="1085"/>
      <c r="L897" s="1085"/>
      <c r="M897" s="1085"/>
      <c r="N897" s="1085"/>
      <c r="O897" s="1085"/>
    </row>
    <row r="898" spans="1:15" ht="15" customHeight="1">
      <c r="A898" s="1056" t="s">
        <v>2675</v>
      </c>
      <c r="B898" s="1057" t="s">
        <v>2676</v>
      </c>
      <c r="D898" s="1064" t="e">
        <f>VLOOKUP(B889,'LƯƠNG KT'!$D$15:$R$94,13,0)</f>
        <v>#N/A</v>
      </c>
      <c r="E898" s="1065"/>
      <c r="F898" s="1065"/>
      <c r="G898" s="1056" t="s">
        <v>2675</v>
      </c>
      <c r="H898" s="1057" t="s">
        <v>2676</v>
      </c>
      <c r="J898" s="1064" t="e">
        <f>VLOOKUP(H889,'LƯƠNG KT'!$D$15:$R$94,13,0)</f>
        <v>#N/A</v>
      </c>
    </row>
    <row r="899" spans="1:15" ht="15" customHeight="1">
      <c r="A899" s="1066"/>
      <c r="B899" s="869"/>
      <c r="C899" s="1058"/>
      <c r="D899" s="1059"/>
      <c r="E899" s="1063"/>
      <c r="F899" s="1065"/>
      <c r="G899" s="1066"/>
      <c r="H899" s="869"/>
      <c r="I899" s="1058"/>
      <c r="J899" s="1059"/>
    </row>
    <row r="900" spans="1:15" ht="15" customHeight="1">
      <c r="A900" s="1052"/>
      <c r="B900" s="869"/>
      <c r="C900" s="1058"/>
      <c r="D900" s="1059"/>
      <c r="E900" s="1067"/>
      <c r="F900" s="1051"/>
      <c r="G900" s="1052"/>
      <c r="H900" s="869"/>
      <c r="I900" s="1058"/>
      <c r="J900" s="1059"/>
    </row>
    <row r="901" spans="1:15" ht="15" customHeight="1">
      <c r="A901" s="1068" t="s">
        <v>383</v>
      </c>
      <c r="B901" s="1069" t="s">
        <v>384</v>
      </c>
      <c r="C901" s="1070"/>
      <c r="D901" s="1071" t="e">
        <f>SUM(D890:D897)-D900</f>
        <v>#N/A</v>
      </c>
      <c r="E901" s="1072"/>
      <c r="F901" s="1073"/>
      <c r="G901" s="1068" t="s">
        <v>383</v>
      </c>
      <c r="H901" s="1069" t="s">
        <v>384</v>
      </c>
      <c r="I901" s="1070"/>
      <c r="J901" s="1071" t="e">
        <f>SUM(J890:J897)-J900</f>
        <v>#N/A</v>
      </c>
    </row>
    <row r="902" spans="1:15" ht="18.75" customHeight="1">
      <c r="A902" s="1074"/>
      <c r="B902" s="1075"/>
      <c r="C902" s="1076"/>
      <c r="D902" s="1077"/>
      <c r="E902" s="1077"/>
      <c r="F902" s="1078"/>
      <c r="G902" s="1074"/>
      <c r="H902" s="1075"/>
      <c r="I902" s="1076"/>
      <c r="J902" s="1077"/>
      <c r="K902" s="1090" t="s">
        <v>429</v>
      </c>
      <c r="L902" s="1090" t="e">
        <f>J917+D641+J625+D625+J609+D609+J592+D592+J576+D576+J560+D560+J544+D544+J527+D527+J511+D511+J495+D495+J479+D479+J641+D657+J657+J674+D674+D690+J690+J706+D706+D722+J722+J739+D739+D755+J755+D771+J771+D787+J787+D804+J804+D820+J820+D836+J836+D852+J852+D869+J869+D885+J885+D901+J901+D917+D452</f>
        <v>#N/A</v>
      </c>
      <c r="M902" s="1090"/>
      <c r="N902" s="1090"/>
      <c r="O902" s="1090"/>
    </row>
    <row r="903" spans="1:15" ht="18.75" customHeight="1">
      <c r="A903" s="1075"/>
      <c r="B903" s="1075"/>
      <c r="C903" s="1079"/>
      <c r="D903" s="1080"/>
      <c r="E903" s="1075"/>
      <c r="F903" s="1081"/>
      <c r="G903" s="1075"/>
      <c r="H903" s="1075"/>
      <c r="I903" s="1079"/>
      <c r="J903" s="1080"/>
      <c r="L903" s="1045" t="e">
        <f>+#REF!-#REF!</f>
        <v>#REF!</v>
      </c>
    </row>
    <row r="904" spans="1:15" ht="15" customHeight="1">
      <c r="A904" s="2242" t="str">
        <f>$K$2</f>
        <v>THÁNG 04/2025</v>
      </c>
      <c r="B904" s="2242"/>
      <c r="C904" s="2242"/>
      <c r="D904" s="2242"/>
      <c r="E904" s="1050"/>
      <c r="F904" s="1051"/>
      <c r="G904" s="2242" t="str">
        <f>$K$2</f>
        <v>THÁNG 04/2025</v>
      </c>
      <c r="H904" s="2242"/>
      <c r="I904" s="2242"/>
      <c r="J904" s="2242"/>
      <c r="K904" s="624"/>
      <c r="L904" s="1045" t="e">
        <f>+L902-L903</f>
        <v>#N/A</v>
      </c>
    </row>
    <row r="905" spans="1:15" ht="15" customHeight="1">
      <c r="A905" s="1052" t="s">
        <v>356</v>
      </c>
      <c r="B905" s="1053" t="s">
        <v>449</v>
      </c>
      <c r="C905" s="869"/>
      <c r="D905" s="1049"/>
      <c r="E905" s="1054"/>
      <c r="F905" s="1055"/>
      <c r="G905" s="1052" t="s">
        <v>356</v>
      </c>
      <c r="H905" s="1053" t="s">
        <v>2560</v>
      </c>
      <c r="I905" s="869"/>
      <c r="J905" s="1049"/>
      <c r="L905" s="1088"/>
      <c r="M905" s="1088"/>
      <c r="N905" s="1088"/>
      <c r="O905" s="1088"/>
    </row>
    <row r="906" spans="1:15" ht="15" customHeight="1">
      <c r="A906" s="1056" t="s">
        <v>359</v>
      </c>
      <c r="B906" s="1057" t="s">
        <v>2662</v>
      </c>
      <c r="C906" s="1058" t="e">
        <f>VLOOKUP(B905,'LƯƠNG KT'!$D$15:$R$94,4,0)</f>
        <v>#N/A</v>
      </c>
      <c r="D906" s="1059" t="e">
        <f>+C906*25000</f>
        <v>#N/A</v>
      </c>
      <c r="E906" s="1060"/>
      <c r="F906" s="1060"/>
      <c r="G906" s="1056" t="s">
        <v>359</v>
      </c>
      <c r="H906" s="1057" t="s">
        <v>2662</v>
      </c>
      <c r="I906" s="1058" t="e">
        <f>VLOOKUP(H905,'LƯƠNG KT'!$D$15:$R$94,4,0)</f>
        <v>#N/A</v>
      </c>
      <c r="J906" s="1059" t="e">
        <f>+I906*25000</f>
        <v>#N/A</v>
      </c>
      <c r="K906" s="1085"/>
      <c r="L906" s="1085"/>
      <c r="M906" s="1085"/>
      <c r="N906" s="1085"/>
      <c r="O906" s="1085"/>
    </row>
    <row r="907" spans="1:15" ht="15" customHeight="1">
      <c r="A907" s="1056" t="s">
        <v>361</v>
      </c>
      <c r="B907" s="1057" t="s">
        <v>2663</v>
      </c>
      <c r="C907" s="1058" t="e">
        <f>VLOOKUP(B905,'LƯƠNG KT'!$D$15:$R$94,15,0)</f>
        <v>#N/A</v>
      </c>
      <c r="D907" s="1059" t="e">
        <f>C907*$L$4</f>
        <v>#N/A</v>
      </c>
      <c r="E907" s="1061"/>
      <c r="F907" s="1061"/>
      <c r="G907" s="1056" t="s">
        <v>361</v>
      </c>
      <c r="H907" s="1057" t="s">
        <v>2663</v>
      </c>
      <c r="I907" s="1058" t="e">
        <f>VLOOKUP(H905,'LƯƠNG KT'!$D$15:$R$94,15,0)</f>
        <v>#N/A</v>
      </c>
      <c r="J907" s="1059" t="e">
        <f>I907*$L$4</f>
        <v>#N/A</v>
      </c>
      <c r="K907" s="1085"/>
      <c r="L907" s="1085"/>
      <c r="M907" s="1085"/>
      <c r="N907" s="1085"/>
      <c r="O907" s="1085"/>
    </row>
    <row r="908" spans="1:15" ht="15" customHeight="1">
      <c r="A908" s="1056" t="s">
        <v>364</v>
      </c>
      <c r="B908" s="1057" t="s">
        <v>2664</v>
      </c>
      <c r="C908" s="1058" t="e">
        <f>VLOOKUP(B905,'LƯƠNG KT'!$D$15:$R$94,16,0)</f>
        <v>#N/A</v>
      </c>
      <c r="D908" s="1059" t="e">
        <f>C908*$L$5</f>
        <v>#N/A</v>
      </c>
      <c r="E908" s="1061"/>
      <c r="F908" s="1061"/>
      <c r="G908" s="1056" t="s">
        <v>364</v>
      </c>
      <c r="H908" s="1057" t="s">
        <v>2664</v>
      </c>
      <c r="I908" s="1058" t="e">
        <f>VLOOKUP(H905,'LƯƠNG KT'!$D$15:$R$94,16,0)</f>
        <v>#N/A</v>
      </c>
      <c r="J908" s="1059" t="e">
        <f>I908*$L$5</f>
        <v>#N/A</v>
      </c>
      <c r="K908" s="1085"/>
      <c r="L908" s="1085"/>
      <c r="M908" s="1085"/>
      <c r="N908" s="1085"/>
      <c r="O908" s="1085"/>
    </row>
    <row r="909" spans="1:15" ht="15" customHeight="1">
      <c r="A909" s="1056" t="s">
        <v>370</v>
      </c>
      <c r="B909" s="1057" t="s">
        <v>2665</v>
      </c>
      <c r="C909" s="1058" t="e">
        <f>VLOOKUP(B905,'LƯƠNG KT'!$D$15:$R$94,24,0)</f>
        <v>#N/A</v>
      </c>
      <c r="D909" s="1059" t="e">
        <f>+C909*$L$6</f>
        <v>#N/A</v>
      </c>
      <c r="E909" s="1061"/>
      <c r="F909" s="1061"/>
      <c r="G909" s="1056" t="s">
        <v>370</v>
      </c>
      <c r="H909" s="1057" t="s">
        <v>2665</v>
      </c>
      <c r="I909" s="1058" t="e">
        <f>VLOOKUP(H905,'LƯƠNG KT'!$D$15:$R$94,24,0)</f>
        <v>#N/A</v>
      </c>
      <c r="J909" s="1059" t="e">
        <f>+I909*$L$6</f>
        <v>#N/A</v>
      </c>
      <c r="K909" s="1085"/>
      <c r="L909" s="1085"/>
      <c r="M909" s="1085"/>
      <c r="N909" s="1085"/>
      <c r="O909" s="1085"/>
    </row>
    <row r="910" spans="1:15" ht="15" customHeight="1">
      <c r="A910" s="1056" t="s">
        <v>2666</v>
      </c>
      <c r="B910" s="1057" t="s">
        <v>2667</v>
      </c>
      <c r="C910" s="1058" t="e">
        <f>VLOOKUP(B905,'LƯƠNG KT'!$D$15:$R$94,19,0)</f>
        <v>#N/A</v>
      </c>
      <c r="D910" s="1059" t="e">
        <f>+C910*$L$8</f>
        <v>#N/A</v>
      </c>
      <c r="E910" s="1061"/>
      <c r="F910" s="1061"/>
      <c r="G910" s="1056" t="s">
        <v>2666</v>
      </c>
      <c r="H910" s="1057" t="s">
        <v>2667</v>
      </c>
      <c r="I910" s="1058" t="e">
        <f>VLOOKUP(H905,'LƯƠNG KT'!$D$15:$R$94,19,0)</f>
        <v>#N/A</v>
      </c>
      <c r="J910" s="1059" t="e">
        <f>+I910*$L$8</f>
        <v>#N/A</v>
      </c>
      <c r="K910" s="1085"/>
      <c r="L910" s="1085"/>
      <c r="M910" s="1085"/>
      <c r="N910" s="1085"/>
      <c r="O910" s="1085"/>
    </row>
    <row r="911" spans="1:15" ht="15" customHeight="1">
      <c r="A911" s="1056" t="s">
        <v>2668</v>
      </c>
      <c r="B911" s="1062" t="s">
        <v>2669</v>
      </c>
      <c r="C911" s="1058" t="e">
        <f>VLOOKUP(B905,'LƯƠNG KT'!$D$15:$R$94,20,0)</f>
        <v>#N/A</v>
      </c>
      <c r="D911" s="1059" t="e">
        <f>+C911*$L$9</f>
        <v>#N/A</v>
      </c>
      <c r="E911" s="1061"/>
      <c r="F911" s="1061"/>
      <c r="G911" s="1056" t="s">
        <v>2668</v>
      </c>
      <c r="H911" s="1062" t="s">
        <v>2669</v>
      </c>
      <c r="I911" s="1058" t="e">
        <f>VLOOKUP(H905,'LƯƠNG KT'!$D$15:$R$94,20,0)</f>
        <v>#N/A</v>
      </c>
      <c r="J911" s="1059" t="e">
        <f>+I911*$L$9</f>
        <v>#N/A</v>
      </c>
      <c r="K911" s="1085"/>
      <c r="L911" s="1085"/>
      <c r="M911" s="1085"/>
      <c r="N911" s="1085"/>
      <c r="O911" s="1085"/>
    </row>
    <row r="912" spans="1:15" ht="15" customHeight="1">
      <c r="A912" s="1056" t="s">
        <v>2671</v>
      </c>
      <c r="B912" s="1057" t="s">
        <v>2672</v>
      </c>
      <c r="C912" s="1058" t="e">
        <f>VLOOKUP(B905,'LƯƠNG KT'!$D$15:$R$94,17,0)</f>
        <v>#N/A</v>
      </c>
      <c r="D912" s="1059" t="e">
        <f>+C912*$L$10</f>
        <v>#N/A</v>
      </c>
      <c r="E912" s="1061"/>
      <c r="F912" s="1061"/>
      <c r="G912" s="1056" t="s">
        <v>2671</v>
      </c>
      <c r="H912" s="1057" t="s">
        <v>2672</v>
      </c>
      <c r="I912" s="1058" t="e">
        <f>VLOOKUP(H905,'LƯƠNG KT'!$D$15:$R$94,17,0)</f>
        <v>#N/A</v>
      </c>
      <c r="J912" s="1059" t="e">
        <f>+I912*$L$10</f>
        <v>#N/A</v>
      </c>
      <c r="K912" s="1085"/>
      <c r="L912" s="1085"/>
      <c r="M912" s="1085"/>
      <c r="N912" s="1085"/>
      <c r="O912" s="1085"/>
    </row>
    <row r="913" spans="1:15" ht="15" customHeight="1">
      <c r="A913" s="1056" t="s">
        <v>374</v>
      </c>
      <c r="B913" s="1057" t="s">
        <v>2674</v>
      </c>
      <c r="C913" s="1058" t="e">
        <f>VLOOKUP(B905,'LƯƠNG KT'!$D$15:$R$94,12,0)</f>
        <v>#N/A</v>
      </c>
      <c r="D913" s="1059" t="e">
        <f>VLOOKUP(B905,'LƯƠNG KT'!$D$15:$R$94,14,0)</f>
        <v>#N/A</v>
      </c>
      <c r="E913" s="1063"/>
      <c r="F913" s="1061"/>
      <c r="G913" s="1056" t="s">
        <v>374</v>
      </c>
      <c r="H913" s="1057" t="s">
        <v>2674</v>
      </c>
      <c r="I913" s="1058" t="e">
        <f>VLOOKUP(H905,'LƯƠNG KT'!$D$15:$R$94,12,0)</f>
        <v>#N/A</v>
      </c>
      <c r="J913" s="1059" t="e">
        <f>VLOOKUP(H905,'LƯƠNG KT'!$D$15:$R$94,14,0)</f>
        <v>#N/A</v>
      </c>
      <c r="K913" s="1085"/>
      <c r="L913" s="1085"/>
      <c r="M913" s="1085"/>
      <c r="N913" s="1085"/>
      <c r="O913" s="1085"/>
    </row>
    <row r="914" spans="1:15" ht="15" customHeight="1">
      <c r="A914" s="1056" t="s">
        <v>2675</v>
      </c>
      <c r="B914" s="1057" t="s">
        <v>2676</v>
      </c>
      <c r="D914" s="1064" t="e">
        <f>VLOOKUP(B905,'LƯƠNG KT'!$D$15:$R$94,13,0)</f>
        <v>#N/A</v>
      </c>
      <c r="E914" s="1065"/>
      <c r="F914" s="1065"/>
      <c r="G914" s="1056" t="s">
        <v>2675</v>
      </c>
      <c r="H914" s="1057" t="s">
        <v>2676</v>
      </c>
      <c r="J914" s="1064" t="e">
        <f>VLOOKUP(H905,'LƯƠNG KT'!$D$15:$R$94,13,0)</f>
        <v>#N/A</v>
      </c>
    </row>
    <row r="915" spans="1:15" ht="15" customHeight="1">
      <c r="A915" s="1066"/>
      <c r="B915" s="869"/>
      <c r="C915" s="1058"/>
      <c r="D915" s="1059"/>
      <c r="E915" s="1063"/>
      <c r="F915" s="1065"/>
      <c r="G915" s="1066"/>
      <c r="H915" s="869"/>
      <c r="I915" s="1058"/>
      <c r="J915" s="1059"/>
    </row>
    <row r="916" spans="1:15" ht="15" customHeight="1">
      <c r="A916" s="1052"/>
      <c r="B916" s="869"/>
      <c r="C916" s="1058"/>
      <c r="D916" s="1059"/>
      <c r="E916" s="1067"/>
      <c r="F916" s="1051"/>
      <c r="G916" s="1052"/>
      <c r="H916" s="869"/>
      <c r="I916" s="1058"/>
      <c r="J916" s="1059"/>
    </row>
    <row r="917" spans="1:15" ht="15" customHeight="1">
      <c r="A917" s="1068" t="s">
        <v>383</v>
      </c>
      <c r="B917" s="1069" t="s">
        <v>384</v>
      </c>
      <c r="C917" s="1070"/>
      <c r="D917" s="1071" t="e">
        <f>SUM(D906:D913)-D916</f>
        <v>#N/A</v>
      </c>
      <c r="E917" s="1072"/>
      <c r="F917" s="1073"/>
      <c r="G917" s="1068" t="s">
        <v>383</v>
      </c>
      <c r="H917" s="1069" t="s">
        <v>384</v>
      </c>
      <c r="I917" s="1070"/>
      <c r="J917" s="1071" t="e">
        <f>SUM(J906:J913)-J916</f>
        <v>#N/A</v>
      </c>
    </row>
    <row r="918" spans="1:15" ht="15.75" customHeight="1">
      <c r="A918" s="1074"/>
      <c r="B918" s="1075"/>
      <c r="C918" s="1076"/>
      <c r="D918" s="1077"/>
      <c r="E918" s="1077"/>
      <c r="F918" s="1078"/>
      <c r="G918" s="1074"/>
      <c r="H918" s="1075"/>
      <c r="I918" s="1076"/>
      <c r="J918" s="1077"/>
    </row>
    <row r="919" spans="1:15" ht="145.5" customHeight="1"/>
    <row r="920" spans="1:15" ht="12" customHeight="1">
      <c r="A920" s="2244" t="s">
        <v>485</v>
      </c>
      <c r="B920" s="2244"/>
      <c r="C920" s="2244"/>
      <c r="D920" s="2244"/>
      <c r="E920" s="2244"/>
      <c r="F920" s="2244"/>
      <c r="G920" s="2244"/>
      <c r="H920" s="2244"/>
      <c r="I920" s="2244"/>
      <c r="J920" s="2244"/>
    </row>
    <row r="921" spans="1:15" ht="15" customHeight="1">
      <c r="A921" s="2242" t="str">
        <f>$K$2</f>
        <v>THÁNG 04/2025</v>
      </c>
      <c r="B921" s="2242"/>
      <c r="C921" s="2242"/>
      <c r="D921" s="2242"/>
      <c r="E921" s="1050"/>
      <c r="F921" s="1051"/>
      <c r="G921" s="2242" t="str">
        <f>$K$2</f>
        <v>THÁNG 04/2025</v>
      </c>
      <c r="H921" s="2242"/>
      <c r="I921" s="2242"/>
      <c r="J921" s="2242"/>
      <c r="K921" s="624"/>
    </row>
    <row r="922" spans="1:15" ht="15" customHeight="1">
      <c r="A922" s="1052" t="s">
        <v>356</v>
      </c>
      <c r="B922" s="1053" t="s">
        <v>2643</v>
      </c>
      <c r="C922" s="869"/>
      <c r="D922" s="1049"/>
      <c r="E922" s="1054"/>
      <c r="F922" s="1055"/>
      <c r="G922" s="1052" t="s">
        <v>356</v>
      </c>
      <c r="H922" s="1053" t="s">
        <v>43</v>
      </c>
      <c r="I922" s="869"/>
      <c r="J922" s="1049"/>
      <c r="L922" s="1088"/>
      <c r="M922" s="1088"/>
      <c r="N922" s="1088"/>
      <c r="O922" s="1088"/>
    </row>
    <row r="923" spans="1:15" ht="15" customHeight="1">
      <c r="A923" s="1056" t="s">
        <v>359</v>
      </c>
      <c r="B923" s="1057" t="s">
        <v>2662</v>
      </c>
      <c r="C923" s="1058" t="e">
        <f>VLOOKUP(B922,'LƯƠNG KT'!$D$15:$R$94,4,0)</f>
        <v>#N/A</v>
      </c>
      <c r="D923" s="1059" t="e">
        <f>+C923*25000</f>
        <v>#N/A</v>
      </c>
      <c r="E923" s="1060"/>
      <c r="F923" s="1060"/>
      <c r="G923" s="1056" t="s">
        <v>359</v>
      </c>
      <c r="H923" s="1057" t="s">
        <v>2662</v>
      </c>
      <c r="I923" s="1058" t="e">
        <f>VLOOKUP(H922,'LƯƠNG KT'!$D$15:$R$94,4,0)</f>
        <v>#N/A</v>
      </c>
      <c r="J923" s="1059" t="e">
        <f>+I923*25000</f>
        <v>#N/A</v>
      </c>
      <c r="K923" s="1084"/>
      <c r="L923" s="1085"/>
      <c r="M923" s="1085"/>
      <c r="N923" s="1085"/>
      <c r="O923" s="1085"/>
    </row>
    <row r="924" spans="1:15" ht="15" customHeight="1">
      <c r="A924" s="1056" t="s">
        <v>361</v>
      </c>
      <c r="B924" s="1057" t="s">
        <v>2663</v>
      </c>
      <c r="C924" s="1058" t="e">
        <f>VLOOKUP(B922,'LƯƠNG KT'!$D$15:$R$94,15,0)</f>
        <v>#N/A</v>
      </c>
      <c r="D924" s="1059" t="e">
        <f>C924*$L$4</f>
        <v>#N/A</v>
      </c>
      <c r="E924" s="1061"/>
      <c r="F924" s="1061"/>
      <c r="G924" s="1056" t="s">
        <v>361</v>
      </c>
      <c r="H924" s="1057" t="s">
        <v>2663</v>
      </c>
      <c r="I924" s="1058" t="e">
        <f>VLOOKUP(H922,'LƯƠNG KT'!$D$15:$R$94,15,0)</f>
        <v>#N/A</v>
      </c>
      <c r="J924" s="1059" t="e">
        <f>I924*$L$4</f>
        <v>#N/A</v>
      </c>
      <c r="K924" s="1084"/>
      <c r="L924" s="1085"/>
      <c r="M924" s="1085"/>
      <c r="N924" s="1085"/>
      <c r="O924" s="1085"/>
    </row>
    <row r="925" spans="1:15" ht="15" customHeight="1">
      <c r="A925" s="1056" t="s">
        <v>364</v>
      </c>
      <c r="B925" s="1057" t="s">
        <v>2664</v>
      </c>
      <c r="C925" s="1058" t="e">
        <f>VLOOKUP(B922,'LƯƠNG KT'!$D$15:$R$94,16,0)</f>
        <v>#N/A</v>
      </c>
      <c r="D925" s="1059" t="e">
        <f>C925*$L$5</f>
        <v>#N/A</v>
      </c>
      <c r="E925" s="1061"/>
      <c r="F925" s="1061"/>
      <c r="G925" s="1056" t="s">
        <v>364</v>
      </c>
      <c r="H925" s="1057" t="s">
        <v>2664</v>
      </c>
      <c r="I925" s="1058" t="e">
        <f>VLOOKUP(H922,'LƯƠNG KT'!$D$15:$R$94,16,0)</f>
        <v>#N/A</v>
      </c>
      <c r="J925" s="1059" t="e">
        <f>I925*$L$5</f>
        <v>#N/A</v>
      </c>
      <c r="K925" s="1084"/>
      <c r="L925" s="1085"/>
      <c r="M925" s="1085"/>
      <c r="N925" s="1085"/>
      <c r="O925" s="1085"/>
    </row>
    <row r="926" spans="1:15" ht="15" customHeight="1">
      <c r="A926" s="1056" t="s">
        <v>370</v>
      </c>
      <c r="B926" s="1057" t="s">
        <v>2665</v>
      </c>
      <c r="C926" s="1058" t="e">
        <f>VLOOKUP(B922,'LƯƠNG KT'!$D$15:$R$94,24,0)</f>
        <v>#N/A</v>
      </c>
      <c r="D926" s="1059" t="e">
        <f>+C926*$L$6</f>
        <v>#N/A</v>
      </c>
      <c r="E926" s="1061"/>
      <c r="F926" s="1061"/>
      <c r="G926" s="1056" t="s">
        <v>370</v>
      </c>
      <c r="H926" s="1057" t="s">
        <v>2665</v>
      </c>
      <c r="I926" s="1058" t="e">
        <f>VLOOKUP(H922,'LƯƠNG KT'!$D$15:$R$94,24,0)</f>
        <v>#N/A</v>
      </c>
      <c r="J926" s="1059" t="e">
        <f>+I926*$L$6</f>
        <v>#N/A</v>
      </c>
      <c r="K926" s="1085"/>
      <c r="L926" s="1085"/>
      <c r="M926" s="1085"/>
      <c r="N926" s="1085"/>
      <c r="O926" s="1085"/>
    </row>
    <row r="927" spans="1:15" ht="15" customHeight="1">
      <c r="A927" s="1056" t="s">
        <v>2666</v>
      </c>
      <c r="B927" s="1057" t="s">
        <v>2667</v>
      </c>
      <c r="C927" s="1058" t="e">
        <f>VLOOKUP(B922,'LƯƠNG KT'!$D$15:$R$94,19,0)</f>
        <v>#N/A</v>
      </c>
      <c r="D927" s="1059" t="e">
        <f>+C927*$L$8</f>
        <v>#N/A</v>
      </c>
      <c r="E927" s="1061"/>
      <c r="F927" s="1061"/>
      <c r="G927" s="1056" t="s">
        <v>2666</v>
      </c>
      <c r="H927" s="1057" t="s">
        <v>2667</v>
      </c>
      <c r="I927" s="1058" t="e">
        <f>VLOOKUP(H922,'LƯƠNG KT'!$D$15:$R$94,19,0)</f>
        <v>#N/A</v>
      </c>
      <c r="J927" s="1059" t="e">
        <f>+I927*$L$8</f>
        <v>#N/A</v>
      </c>
      <c r="K927" s="1085"/>
      <c r="L927" s="1085"/>
      <c r="M927" s="1085"/>
      <c r="N927" s="1085"/>
      <c r="O927" s="1085"/>
    </row>
    <row r="928" spans="1:15" ht="15" customHeight="1">
      <c r="A928" s="1056" t="s">
        <v>2668</v>
      </c>
      <c r="B928" s="1062" t="s">
        <v>2669</v>
      </c>
      <c r="C928" s="1058" t="e">
        <f>VLOOKUP(B922,'LƯƠNG KT'!$D$15:$R$94,20,0)</f>
        <v>#N/A</v>
      </c>
      <c r="D928" s="1059" t="e">
        <f>+C928*$L$9</f>
        <v>#N/A</v>
      </c>
      <c r="E928" s="1061"/>
      <c r="F928" s="1061"/>
      <c r="G928" s="1056" t="s">
        <v>2668</v>
      </c>
      <c r="H928" s="1062" t="s">
        <v>2669</v>
      </c>
      <c r="I928" s="1058" t="e">
        <f>VLOOKUP(H922,'LƯƠNG KT'!$D$15:$R$94,20,0)</f>
        <v>#N/A</v>
      </c>
      <c r="J928" s="1059" t="e">
        <f>+I928*$L$9</f>
        <v>#N/A</v>
      </c>
      <c r="K928" s="1085"/>
      <c r="L928" s="1085"/>
      <c r="M928" s="1085"/>
      <c r="N928" s="1085"/>
      <c r="O928" s="1085"/>
    </row>
    <row r="929" spans="1:15" ht="15" customHeight="1">
      <c r="A929" s="1056" t="s">
        <v>2671</v>
      </c>
      <c r="B929" s="1057" t="s">
        <v>2672</v>
      </c>
      <c r="C929" s="1058" t="e">
        <f>VLOOKUP(B922,'LƯƠNG KT'!$D$15:$R$94,17,0)</f>
        <v>#N/A</v>
      </c>
      <c r="D929" s="1059" t="e">
        <f>+C929*$L$10</f>
        <v>#N/A</v>
      </c>
      <c r="E929" s="1061"/>
      <c r="F929" s="1061"/>
      <c r="G929" s="1056" t="s">
        <v>2671</v>
      </c>
      <c r="H929" s="1057" t="s">
        <v>2672</v>
      </c>
      <c r="I929" s="1058" t="e">
        <f>VLOOKUP(H922,'LƯƠNG KT'!$D$15:$R$94,17,0)</f>
        <v>#N/A</v>
      </c>
      <c r="J929" s="1059" t="e">
        <f>+I929*$L$10</f>
        <v>#N/A</v>
      </c>
      <c r="K929" s="1085"/>
      <c r="L929" s="1085"/>
      <c r="M929" s="1085"/>
      <c r="N929" s="1085"/>
      <c r="O929" s="1085"/>
    </row>
    <row r="930" spans="1:15" ht="15" customHeight="1">
      <c r="A930" s="1056" t="s">
        <v>374</v>
      </c>
      <c r="B930" s="1057" t="s">
        <v>2674</v>
      </c>
      <c r="C930" s="1058" t="e">
        <f>VLOOKUP(B922,'LƯƠNG KT'!$D$15:$R$94,12,0)</f>
        <v>#N/A</v>
      </c>
      <c r="D930" s="1059" t="e">
        <f>VLOOKUP(B922,'LƯƠNG KT'!$D$15:$R$94,14,0)</f>
        <v>#N/A</v>
      </c>
      <c r="E930" s="1063"/>
      <c r="F930" s="1061"/>
      <c r="G930" s="1056" t="s">
        <v>374</v>
      </c>
      <c r="H930" s="1057" t="s">
        <v>2674</v>
      </c>
      <c r="I930" s="1058" t="e">
        <f>VLOOKUP(H922,'LƯƠNG KT'!$D$15:$R$94,12,0)</f>
        <v>#N/A</v>
      </c>
      <c r="J930" s="1059" t="e">
        <f>VLOOKUP(H922,'LƯƠNG KT'!$D$15:$R$94,14,0)</f>
        <v>#N/A</v>
      </c>
      <c r="K930" s="1085"/>
      <c r="L930" s="1085"/>
      <c r="M930" s="1085"/>
      <c r="N930" s="1085"/>
      <c r="O930" s="1085"/>
    </row>
    <row r="931" spans="1:15" ht="15" customHeight="1">
      <c r="A931" s="1056" t="s">
        <v>2675</v>
      </c>
      <c r="B931" s="1057" t="s">
        <v>2676</v>
      </c>
      <c r="D931" s="1064" t="e">
        <f>VLOOKUP(B922,'LƯƠNG KT'!$D$15:$R$94,13,0)</f>
        <v>#N/A</v>
      </c>
      <c r="E931" s="1065"/>
      <c r="F931" s="1065"/>
      <c r="G931" s="1056" t="s">
        <v>2675</v>
      </c>
      <c r="H931" s="1057" t="s">
        <v>2676</v>
      </c>
      <c r="J931" s="1064" t="e">
        <f>VLOOKUP(H922,'LƯƠNG KT'!$D$15:$R$94,13,0)</f>
        <v>#N/A</v>
      </c>
    </row>
    <row r="932" spans="1:15" ht="15" customHeight="1">
      <c r="A932" s="1066"/>
      <c r="B932" s="869"/>
      <c r="C932" s="1058"/>
      <c r="D932" s="1059"/>
      <c r="E932" s="1063"/>
      <c r="F932" s="1065"/>
      <c r="G932" s="1066"/>
      <c r="H932" s="869"/>
      <c r="I932" s="1058"/>
      <c r="J932" s="1059"/>
    </row>
    <row r="933" spans="1:15" ht="15" customHeight="1">
      <c r="A933" s="1052"/>
      <c r="B933" s="869"/>
      <c r="C933" s="1058"/>
      <c r="D933" s="1059"/>
      <c r="E933" s="1067"/>
      <c r="F933" s="1051"/>
      <c r="G933" s="1052"/>
      <c r="H933" s="869"/>
      <c r="I933" s="1058"/>
      <c r="J933" s="1059"/>
    </row>
    <row r="934" spans="1:15" ht="15" customHeight="1">
      <c r="A934" s="1068" t="s">
        <v>383</v>
      </c>
      <c r="B934" s="1069" t="s">
        <v>384</v>
      </c>
      <c r="C934" s="1070"/>
      <c r="D934" s="1071" t="e">
        <f>SUM(D923:D930)-D933</f>
        <v>#N/A</v>
      </c>
      <c r="E934" s="1072"/>
      <c r="F934" s="1073"/>
      <c r="G934" s="1068" t="s">
        <v>383</v>
      </c>
      <c r="H934" s="1069" t="s">
        <v>384</v>
      </c>
      <c r="I934" s="1070"/>
      <c r="J934" s="1071" t="e">
        <f>SUM(J923:J930)-J933</f>
        <v>#N/A</v>
      </c>
    </row>
    <row r="935" spans="1:15" ht="12.6" customHeight="1">
      <c r="A935" s="1074"/>
      <c r="B935" s="1075"/>
      <c r="C935" s="1076"/>
      <c r="D935" s="1077"/>
      <c r="E935" s="1077"/>
      <c r="F935" s="1078"/>
      <c r="G935" s="1074"/>
      <c r="H935" s="1075"/>
      <c r="I935" s="1076"/>
      <c r="J935" s="1077"/>
    </row>
    <row r="936" spans="1:15" ht="12.6" customHeight="1">
      <c r="A936" s="1075"/>
      <c r="B936" s="1075"/>
      <c r="C936" s="1079"/>
      <c r="D936" s="1080"/>
      <c r="E936" s="1075"/>
      <c r="F936" s="1081"/>
      <c r="G936" s="1075"/>
      <c r="H936" s="1075"/>
      <c r="I936" s="1079"/>
      <c r="J936" s="1080"/>
    </row>
    <row r="937" spans="1:15" ht="15" customHeight="1">
      <c r="A937" s="2242" t="str">
        <f>$K$2</f>
        <v>THÁNG 04/2025</v>
      </c>
      <c r="B937" s="2242"/>
      <c r="C937" s="2242"/>
      <c r="D937" s="2242"/>
      <c r="E937" s="1050"/>
      <c r="F937" s="1051"/>
      <c r="G937" s="2242" t="str">
        <f>$K$2</f>
        <v>THÁNG 04/2025</v>
      </c>
      <c r="H937" s="2242"/>
      <c r="I937" s="2242"/>
      <c r="J937" s="2242"/>
      <c r="K937" s="624"/>
    </row>
    <row r="938" spans="1:15" ht="15" customHeight="1">
      <c r="A938" s="1052" t="s">
        <v>356</v>
      </c>
      <c r="B938" s="1053" t="s">
        <v>70</v>
      </c>
      <c r="C938" s="869"/>
      <c r="D938" s="1049"/>
      <c r="E938" s="1054"/>
      <c r="F938" s="1055"/>
      <c r="G938" s="1052" t="s">
        <v>356</v>
      </c>
      <c r="H938" s="1053" t="s">
        <v>71</v>
      </c>
      <c r="I938" s="869"/>
      <c r="J938" s="1049"/>
      <c r="L938" s="1088"/>
      <c r="M938" s="1088"/>
      <c r="N938" s="1088"/>
      <c r="O938" s="1088"/>
    </row>
    <row r="939" spans="1:15" ht="15" customHeight="1">
      <c r="A939" s="1056" t="s">
        <v>359</v>
      </c>
      <c r="B939" s="1057" t="s">
        <v>2662</v>
      </c>
      <c r="C939" s="1058" t="e">
        <f>VLOOKUP(B938,'LƯƠNG KT'!$D$15:$R$94,4,0)</f>
        <v>#N/A</v>
      </c>
      <c r="D939" s="1059" t="e">
        <f>+C939*25000</f>
        <v>#N/A</v>
      </c>
      <c r="E939" s="1060"/>
      <c r="F939" s="1060"/>
      <c r="G939" s="1056" t="s">
        <v>359</v>
      </c>
      <c r="H939" s="1057" t="s">
        <v>2662</v>
      </c>
      <c r="I939" s="1058" t="e">
        <f>VLOOKUP(H938,'LƯƠNG KT'!$D$15:$R$94,4,0)</f>
        <v>#N/A</v>
      </c>
      <c r="J939" s="1059" t="e">
        <f>+I939*25000</f>
        <v>#N/A</v>
      </c>
      <c r="K939" s="1085"/>
      <c r="L939" s="1085"/>
      <c r="M939" s="1085"/>
      <c r="N939" s="1085"/>
      <c r="O939" s="1085"/>
    </row>
    <row r="940" spans="1:15" ht="15" customHeight="1">
      <c r="A940" s="1056" t="s">
        <v>361</v>
      </c>
      <c r="B940" s="1057" t="s">
        <v>2663</v>
      </c>
      <c r="C940" s="1058" t="e">
        <f>VLOOKUP(B938,'LƯƠNG KT'!$D$15:$R$94,15,0)</f>
        <v>#N/A</v>
      </c>
      <c r="D940" s="1059" t="e">
        <f>C940*$L$4</f>
        <v>#N/A</v>
      </c>
      <c r="E940" s="1061"/>
      <c r="F940" s="1061"/>
      <c r="G940" s="1056" t="s">
        <v>361</v>
      </c>
      <c r="H940" s="1057" t="s">
        <v>2663</v>
      </c>
      <c r="I940" s="1058" t="e">
        <f>VLOOKUP(H938,'LƯƠNG KT'!$D$15:$R$94,15,0)</f>
        <v>#N/A</v>
      </c>
      <c r="J940" s="1059" t="e">
        <f>I940*$L$4</f>
        <v>#N/A</v>
      </c>
      <c r="K940" s="1085"/>
      <c r="L940" s="1085"/>
      <c r="M940" s="1085"/>
      <c r="N940" s="1085"/>
      <c r="O940" s="1085"/>
    </row>
    <row r="941" spans="1:15" ht="15" customHeight="1">
      <c r="A941" s="1056" t="s">
        <v>364</v>
      </c>
      <c r="B941" s="1057" t="s">
        <v>2664</v>
      </c>
      <c r="C941" s="1058" t="e">
        <f>VLOOKUP(B938,'LƯƠNG KT'!$D$15:$R$94,16,0)</f>
        <v>#N/A</v>
      </c>
      <c r="D941" s="1059" t="e">
        <f>C941*$L$5</f>
        <v>#N/A</v>
      </c>
      <c r="E941" s="1061"/>
      <c r="F941" s="1061"/>
      <c r="G941" s="1056" t="s">
        <v>364</v>
      </c>
      <c r="H941" s="1057" t="s">
        <v>2664</v>
      </c>
      <c r="I941" s="1058" t="e">
        <f>VLOOKUP(H938,'LƯƠNG KT'!$D$15:$R$94,16,0)</f>
        <v>#N/A</v>
      </c>
      <c r="J941" s="1059" t="e">
        <f>I941*$L$5</f>
        <v>#N/A</v>
      </c>
      <c r="K941" s="1085"/>
      <c r="L941" s="1085"/>
      <c r="M941" s="1085"/>
      <c r="N941" s="1085"/>
      <c r="O941" s="1085"/>
    </row>
    <row r="942" spans="1:15" ht="15" customHeight="1">
      <c r="A942" s="1056" t="s">
        <v>370</v>
      </c>
      <c r="B942" s="1057" t="s">
        <v>2665</v>
      </c>
      <c r="C942" s="1058" t="e">
        <f>VLOOKUP(B938,'LƯƠNG KT'!$D$15:$R$94,24,0)</f>
        <v>#N/A</v>
      </c>
      <c r="D942" s="1059" t="e">
        <f>+C942*$L$6</f>
        <v>#N/A</v>
      </c>
      <c r="E942" s="1061"/>
      <c r="F942" s="1061"/>
      <c r="G942" s="1056" t="s">
        <v>370</v>
      </c>
      <c r="H942" s="1057" t="s">
        <v>2665</v>
      </c>
      <c r="I942" s="1058" t="e">
        <f>VLOOKUP(H938,'LƯƠNG KT'!$D$15:$R$94,24,0)</f>
        <v>#N/A</v>
      </c>
      <c r="J942" s="1059" t="e">
        <f>+I942*$L$6</f>
        <v>#N/A</v>
      </c>
      <c r="K942" s="1085"/>
      <c r="L942" s="1085"/>
      <c r="M942" s="1085"/>
      <c r="N942" s="1085"/>
      <c r="O942" s="1085"/>
    </row>
    <row r="943" spans="1:15" ht="15" customHeight="1">
      <c r="A943" s="1056" t="s">
        <v>2666</v>
      </c>
      <c r="B943" s="1057" t="s">
        <v>2667</v>
      </c>
      <c r="C943" s="1058" t="e">
        <f>VLOOKUP(B938,'LƯƠNG KT'!$D$15:$R$94,19,0)</f>
        <v>#N/A</v>
      </c>
      <c r="D943" s="1059" t="e">
        <f>+C943*$L$8</f>
        <v>#N/A</v>
      </c>
      <c r="E943" s="1061"/>
      <c r="F943" s="1061"/>
      <c r="G943" s="1056" t="s">
        <v>2666</v>
      </c>
      <c r="H943" s="1057" t="s">
        <v>2667</v>
      </c>
      <c r="I943" s="1058" t="e">
        <f>VLOOKUP(H938,'LƯƠNG KT'!$D$15:$R$94,19,0)</f>
        <v>#N/A</v>
      </c>
      <c r="J943" s="1059" t="e">
        <f>+I943*$L$8</f>
        <v>#N/A</v>
      </c>
      <c r="K943" s="1085"/>
      <c r="L943" s="1085"/>
      <c r="M943" s="1085"/>
      <c r="N943" s="1085"/>
      <c r="O943" s="1085"/>
    </row>
    <row r="944" spans="1:15" ht="15" customHeight="1">
      <c r="A944" s="1056" t="s">
        <v>2668</v>
      </c>
      <c r="B944" s="1062" t="s">
        <v>2669</v>
      </c>
      <c r="C944" s="1058" t="e">
        <f>VLOOKUP(B938,'LƯƠNG KT'!$D$15:$R$94,20,0)</f>
        <v>#N/A</v>
      </c>
      <c r="D944" s="1059" t="e">
        <f>+C944*$L$9</f>
        <v>#N/A</v>
      </c>
      <c r="E944" s="1061"/>
      <c r="F944" s="1061"/>
      <c r="G944" s="1056" t="s">
        <v>2668</v>
      </c>
      <c r="H944" s="1062" t="s">
        <v>2669</v>
      </c>
      <c r="I944" s="1058" t="e">
        <f>VLOOKUP(H938,'LƯƠNG KT'!$D$15:$R$94,20,0)</f>
        <v>#N/A</v>
      </c>
      <c r="J944" s="1059" t="e">
        <f>+I944*$L$9</f>
        <v>#N/A</v>
      </c>
      <c r="K944" s="1085"/>
      <c r="L944" s="1085"/>
      <c r="M944" s="1085"/>
      <c r="N944" s="1085"/>
      <c r="O944" s="1085"/>
    </row>
    <row r="945" spans="1:15" ht="15" customHeight="1">
      <c r="A945" s="1056" t="s">
        <v>2671</v>
      </c>
      <c r="B945" s="1057" t="s">
        <v>2672</v>
      </c>
      <c r="C945" s="1058" t="e">
        <f>VLOOKUP(B938,'LƯƠNG KT'!$D$15:$R$94,17,0)</f>
        <v>#N/A</v>
      </c>
      <c r="D945" s="1059" t="e">
        <f>+C945*$L$10</f>
        <v>#N/A</v>
      </c>
      <c r="E945" s="1061"/>
      <c r="F945" s="1061"/>
      <c r="G945" s="1056" t="s">
        <v>2671</v>
      </c>
      <c r="H945" s="1057" t="s">
        <v>2672</v>
      </c>
      <c r="I945" s="1058" t="e">
        <f>VLOOKUP(H938,'LƯƠNG KT'!$D$15:$R$94,17,0)</f>
        <v>#N/A</v>
      </c>
      <c r="J945" s="1059" t="e">
        <f>+I945*$L$10</f>
        <v>#N/A</v>
      </c>
      <c r="K945" s="1085"/>
      <c r="L945" s="1085"/>
      <c r="M945" s="1085"/>
      <c r="N945" s="1085"/>
      <c r="O945" s="1085"/>
    </row>
    <row r="946" spans="1:15" ht="15" customHeight="1">
      <c r="A946" s="1056" t="s">
        <v>374</v>
      </c>
      <c r="B946" s="1057" t="s">
        <v>2674</v>
      </c>
      <c r="C946" s="1058" t="e">
        <f>VLOOKUP(B938,'LƯƠNG KT'!$D$15:$R$94,12,0)</f>
        <v>#N/A</v>
      </c>
      <c r="D946" s="1059" t="e">
        <f>VLOOKUP(B938,'LƯƠNG KT'!$D$15:$R$94,14,0)</f>
        <v>#N/A</v>
      </c>
      <c r="E946" s="1063"/>
      <c r="F946" s="1061"/>
      <c r="G946" s="1056" t="s">
        <v>374</v>
      </c>
      <c r="H946" s="1057" t="s">
        <v>2674</v>
      </c>
      <c r="I946" s="1058" t="e">
        <f>VLOOKUP(H938,'LƯƠNG KT'!$D$15:$R$94,12,0)</f>
        <v>#N/A</v>
      </c>
      <c r="J946" s="1059" t="e">
        <f>VLOOKUP(H938,'LƯƠNG KT'!$D$15:$R$94,14,0)</f>
        <v>#N/A</v>
      </c>
      <c r="K946" s="1085"/>
      <c r="L946" s="1085"/>
      <c r="M946" s="1085"/>
      <c r="N946" s="1085"/>
      <c r="O946" s="1085"/>
    </row>
    <row r="947" spans="1:15" ht="15" customHeight="1">
      <c r="A947" s="1056" t="s">
        <v>2675</v>
      </c>
      <c r="B947" s="1057" t="s">
        <v>2676</v>
      </c>
      <c r="D947" s="1064" t="e">
        <f>VLOOKUP(B938,'LƯƠNG KT'!$D$15:$R$94,13,0)</f>
        <v>#N/A</v>
      </c>
      <c r="E947" s="1065"/>
      <c r="F947" s="1065"/>
      <c r="G947" s="1056" t="s">
        <v>2675</v>
      </c>
      <c r="H947" s="1057" t="s">
        <v>2676</v>
      </c>
      <c r="J947" s="1064" t="e">
        <f>VLOOKUP(H938,'LƯƠNG KT'!$D$15:$R$94,13,0)</f>
        <v>#N/A</v>
      </c>
    </row>
    <row r="948" spans="1:15" ht="15" customHeight="1">
      <c r="A948" s="1066"/>
      <c r="B948" s="869"/>
      <c r="C948" s="1058"/>
      <c r="D948" s="1059"/>
      <c r="E948" s="1063"/>
      <c r="F948" s="1065"/>
      <c r="G948" s="1066"/>
      <c r="H948" s="869"/>
      <c r="I948" s="1058"/>
      <c r="J948" s="1059"/>
    </row>
    <row r="949" spans="1:15" ht="15" customHeight="1">
      <c r="A949" s="1052"/>
      <c r="B949" s="869"/>
      <c r="C949" s="1058"/>
      <c r="D949" s="1059"/>
      <c r="E949" s="1067"/>
      <c r="F949" s="1051"/>
      <c r="G949" s="1052"/>
      <c r="H949" s="869"/>
      <c r="I949" s="1058"/>
      <c r="J949" s="1059"/>
    </row>
    <row r="950" spans="1:15" ht="15" customHeight="1">
      <c r="A950" s="1068" t="s">
        <v>383</v>
      </c>
      <c r="B950" s="1069" t="s">
        <v>384</v>
      </c>
      <c r="C950" s="1070"/>
      <c r="D950" s="1071" t="e">
        <f>SUM(D939:D946)-D949</f>
        <v>#N/A</v>
      </c>
      <c r="E950" s="1072"/>
      <c r="F950" s="1073"/>
      <c r="G950" s="1068" t="s">
        <v>383</v>
      </c>
      <c r="H950" s="1069" t="s">
        <v>384</v>
      </c>
      <c r="I950" s="1070"/>
      <c r="J950" s="1071" t="e">
        <f>SUM(J939:J946)-J949</f>
        <v>#N/A</v>
      </c>
    </row>
    <row r="951" spans="1:15" ht="18.75" customHeight="1">
      <c r="A951" s="1074"/>
      <c r="B951" s="1075"/>
      <c r="C951" s="1076"/>
      <c r="D951" s="1077"/>
      <c r="E951" s="1077"/>
      <c r="F951" s="1078"/>
      <c r="G951" s="1074"/>
      <c r="H951" s="1075"/>
      <c r="I951" s="1076"/>
      <c r="J951" s="1077"/>
    </row>
    <row r="952" spans="1:15" ht="18.75" customHeight="1">
      <c r="A952" s="1075"/>
      <c r="B952" s="1075"/>
      <c r="C952" s="1079"/>
      <c r="D952" s="1080"/>
      <c r="E952" s="1075"/>
      <c r="F952" s="1081"/>
      <c r="G952" s="1075"/>
      <c r="H952" s="1075"/>
      <c r="I952" s="1079"/>
      <c r="J952" s="1080"/>
    </row>
    <row r="953" spans="1:15" ht="15" customHeight="1">
      <c r="A953" s="2242" t="str">
        <f>$K$2</f>
        <v>THÁNG 04/2025</v>
      </c>
      <c r="B953" s="2242"/>
      <c r="C953" s="2242"/>
      <c r="D953" s="2242"/>
      <c r="E953" s="1050"/>
      <c r="F953" s="1051"/>
      <c r="G953" s="2242" t="str">
        <f>$K$2</f>
        <v>THÁNG 04/2025</v>
      </c>
      <c r="H953" s="2242"/>
      <c r="I953" s="2242"/>
      <c r="J953" s="2242"/>
      <c r="K953" s="624"/>
    </row>
    <row r="954" spans="1:15" ht="15" customHeight="1">
      <c r="A954" s="1052" t="s">
        <v>356</v>
      </c>
      <c r="B954" s="1053" t="s">
        <v>486</v>
      </c>
      <c r="C954" s="869"/>
      <c r="D954" s="1049"/>
      <c r="E954" s="1054"/>
      <c r="F954" s="1055"/>
      <c r="G954" s="1052" t="s">
        <v>356</v>
      </c>
      <c r="H954" s="1053" t="s">
        <v>57</v>
      </c>
      <c r="I954" s="869"/>
      <c r="J954" s="1049"/>
      <c r="L954" s="1088"/>
      <c r="M954" s="1088"/>
      <c r="N954" s="1088"/>
      <c r="O954" s="1088"/>
    </row>
    <row r="955" spans="1:15" ht="15" customHeight="1">
      <c r="A955" s="1056" t="s">
        <v>359</v>
      </c>
      <c r="B955" s="1057" t="s">
        <v>2662</v>
      </c>
      <c r="C955" s="1058" t="e">
        <f>VLOOKUP(B954,'LƯƠNG KT'!$D$15:$R$94,4,0)</f>
        <v>#N/A</v>
      </c>
      <c r="D955" s="1059" t="e">
        <f>+C955*25000</f>
        <v>#N/A</v>
      </c>
      <c r="E955" s="1060"/>
      <c r="F955" s="1060"/>
      <c r="G955" s="1056" t="s">
        <v>359</v>
      </c>
      <c r="H955" s="1057" t="s">
        <v>2662</v>
      </c>
      <c r="I955" s="1058" t="e">
        <f>VLOOKUP(H954,'LƯƠNG KT'!$D$15:$R$94,4,0)</f>
        <v>#N/A</v>
      </c>
      <c r="J955" s="1059" t="e">
        <f>+I955*25000</f>
        <v>#N/A</v>
      </c>
      <c r="K955" s="1085"/>
      <c r="L955" s="1085"/>
      <c r="M955" s="1085"/>
      <c r="N955" s="1085"/>
      <c r="O955" s="1085"/>
    </row>
    <row r="956" spans="1:15" ht="15" customHeight="1">
      <c r="A956" s="1056" t="s">
        <v>361</v>
      </c>
      <c r="B956" s="1057" t="s">
        <v>2663</v>
      </c>
      <c r="C956" s="1058" t="e">
        <f>VLOOKUP(B954,'LƯƠNG KT'!$D$15:$R$94,15,0)</f>
        <v>#N/A</v>
      </c>
      <c r="D956" s="1059" t="e">
        <f>C956*$L$4</f>
        <v>#N/A</v>
      </c>
      <c r="E956" s="1061"/>
      <c r="F956" s="1061"/>
      <c r="G956" s="1056" t="s">
        <v>361</v>
      </c>
      <c r="H956" s="1057" t="s">
        <v>2663</v>
      </c>
      <c r="I956" s="1058" t="e">
        <f>VLOOKUP(H954,'LƯƠNG KT'!$D$15:$R$94,15,0)</f>
        <v>#N/A</v>
      </c>
      <c r="J956" s="1059" t="e">
        <f>I956*$L$4</f>
        <v>#N/A</v>
      </c>
      <c r="K956" s="1085"/>
      <c r="L956" s="1085"/>
      <c r="M956" s="1085"/>
      <c r="N956" s="1085"/>
      <c r="O956" s="1085"/>
    </row>
    <row r="957" spans="1:15" ht="15" customHeight="1">
      <c r="A957" s="1056" t="s">
        <v>364</v>
      </c>
      <c r="B957" s="1057" t="s">
        <v>2664</v>
      </c>
      <c r="C957" s="1058" t="e">
        <f>VLOOKUP(B954,'LƯƠNG KT'!$D$15:$R$94,16,0)</f>
        <v>#N/A</v>
      </c>
      <c r="D957" s="1059" t="e">
        <f>C957*$L$5</f>
        <v>#N/A</v>
      </c>
      <c r="E957" s="1061"/>
      <c r="F957" s="1061"/>
      <c r="G957" s="1056" t="s">
        <v>364</v>
      </c>
      <c r="H957" s="1057" t="s">
        <v>2664</v>
      </c>
      <c r="I957" s="1058" t="e">
        <f>VLOOKUP(H954,'LƯƠNG KT'!$D$15:$R$94,16,0)</f>
        <v>#N/A</v>
      </c>
      <c r="J957" s="1059" t="e">
        <f>I957*$L$5</f>
        <v>#N/A</v>
      </c>
      <c r="K957" s="1085"/>
      <c r="L957" s="1085"/>
      <c r="M957" s="1085"/>
      <c r="N957" s="1085"/>
      <c r="O957" s="1085"/>
    </row>
    <row r="958" spans="1:15" ht="15" customHeight="1">
      <c r="A958" s="1056" t="s">
        <v>370</v>
      </c>
      <c r="B958" s="1057" t="s">
        <v>2665</v>
      </c>
      <c r="C958" s="1058" t="e">
        <f>VLOOKUP(B954,'LƯƠNG KT'!$D$15:$R$94,24,0)</f>
        <v>#N/A</v>
      </c>
      <c r="D958" s="1059" t="e">
        <f>+C958*$L$6</f>
        <v>#N/A</v>
      </c>
      <c r="E958" s="1061"/>
      <c r="F958" s="1061"/>
      <c r="G958" s="1056" t="s">
        <v>370</v>
      </c>
      <c r="H958" s="1057" t="s">
        <v>2665</v>
      </c>
      <c r="I958" s="1058" t="e">
        <f>VLOOKUP(H954,'LƯƠNG KT'!$D$15:$R$94,24,0)</f>
        <v>#N/A</v>
      </c>
      <c r="J958" s="1059" t="e">
        <f>+I958*$L$6</f>
        <v>#N/A</v>
      </c>
      <c r="K958" s="1085"/>
      <c r="L958" s="1085"/>
      <c r="M958" s="1085"/>
      <c r="N958" s="1085"/>
      <c r="O958" s="1085"/>
    </row>
    <row r="959" spans="1:15" ht="15" customHeight="1">
      <c r="A959" s="1056" t="s">
        <v>2666</v>
      </c>
      <c r="B959" s="1057" t="s">
        <v>2667</v>
      </c>
      <c r="C959" s="1058" t="e">
        <f>VLOOKUP(B954,'LƯƠNG KT'!$D$15:$R$94,19,0)</f>
        <v>#N/A</v>
      </c>
      <c r="D959" s="1059" t="e">
        <f>+C959*$L$8</f>
        <v>#N/A</v>
      </c>
      <c r="E959" s="1061"/>
      <c r="F959" s="1061"/>
      <c r="G959" s="1056" t="s">
        <v>2666</v>
      </c>
      <c r="H959" s="1057" t="s">
        <v>2667</v>
      </c>
      <c r="I959" s="1058" t="e">
        <f>VLOOKUP(H954,'LƯƠNG KT'!$D$15:$R$94,19,0)</f>
        <v>#N/A</v>
      </c>
      <c r="J959" s="1059" t="e">
        <f>+I959*$L$8</f>
        <v>#N/A</v>
      </c>
      <c r="K959" s="1085"/>
      <c r="L959" s="1085"/>
      <c r="M959" s="1085"/>
      <c r="N959" s="1085"/>
      <c r="O959" s="1085"/>
    </row>
    <row r="960" spans="1:15" ht="15" customHeight="1">
      <c r="A960" s="1056" t="s">
        <v>2668</v>
      </c>
      <c r="B960" s="1062" t="s">
        <v>2669</v>
      </c>
      <c r="C960" s="1058" t="e">
        <f>VLOOKUP(B954,'LƯƠNG KT'!$D$15:$R$94,20,0)</f>
        <v>#N/A</v>
      </c>
      <c r="D960" s="1059" t="e">
        <f>+C960*$L$9</f>
        <v>#N/A</v>
      </c>
      <c r="E960" s="1061"/>
      <c r="F960" s="1061"/>
      <c r="G960" s="1056" t="s">
        <v>2668</v>
      </c>
      <c r="H960" s="1062" t="s">
        <v>2669</v>
      </c>
      <c r="I960" s="1058" t="e">
        <f>VLOOKUP(H954,'LƯƠNG KT'!$D$15:$R$94,20,0)</f>
        <v>#N/A</v>
      </c>
      <c r="J960" s="1059" t="e">
        <f>+I960*$L$9</f>
        <v>#N/A</v>
      </c>
      <c r="K960" s="1085"/>
      <c r="L960" s="1085"/>
      <c r="M960" s="1085"/>
      <c r="N960" s="1085"/>
      <c r="O960" s="1085"/>
    </row>
    <row r="961" spans="1:15" ht="15" customHeight="1">
      <c r="A961" s="1056" t="s">
        <v>2671</v>
      </c>
      <c r="B961" s="1057" t="s">
        <v>2672</v>
      </c>
      <c r="C961" s="1058" t="e">
        <f>VLOOKUP(B954,'LƯƠNG KT'!$D$15:$R$94,17,0)</f>
        <v>#N/A</v>
      </c>
      <c r="D961" s="1059" t="e">
        <f>+C961*$L$10</f>
        <v>#N/A</v>
      </c>
      <c r="E961" s="1061"/>
      <c r="F961" s="1061"/>
      <c r="G961" s="1056" t="s">
        <v>2671</v>
      </c>
      <c r="H961" s="1057" t="s">
        <v>2672</v>
      </c>
      <c r="I961" s="1058" t="e">
        <f>VLOOKUP(H954,'LƯƠNG KT'!$D$15:$R$94,17,0)</f>
        <v>#N/A</v>
      </c>
      <c r="J961" s="1059" t="e">
        <f>+I961*$L$10</f>
        <v>#N/A</v>
      </c>
      <c r="K961" s="1085"/>
      <c r="L961" s="1085"/>
      <c r="M961" s="1085"/>
      <c r="N961" s="1085"/>
      <c r="O961" s="1085"/>
    </row>
    <row r="962" spans="1:15" ht="15" customHeight="1">
      <c r="A962" s="1056" t="s">
        <v>374</v>
      </c>
      <c r="B962" s="1057" t="s">
        <v>2674</v>
      </c>
      <c r="C962" s="1058" t="e">
        <f>VLOOKUP(B954,'LƯƠNG KT'!$D$15:$R$94,12,0)</f>
        <v>#N/A</v>
      </c>
      <c r="D962" s="1059" t="e">
        <f>VLOOKUP(B954,'LƯƠNG KT'!$D$15:$R$94,14,0)</f>
        <v>#N/A</v>
      </c>
      <c r="E962" s="1063"/>
      <c r="F962" s="1061"/>
      <c r="G962" s="1056" t="s">
        <v>374</v>
      </c>
      <c r="H962" s="1057" t="s">
        <v>2674</v>
      </c>
      <c r="I962" s="1058" t="e">
        <f>VLOOKUP(H954,'LƯƠNG KT'!$D$15:$R$94,12,0)</f>
        <v>#N/A</v>
      </c>
      <c r="J962" s="1059" t="e">
        <f>VLOOKUP(H954,'LƯƠNG KT'!$D$15:$R$94,14,0)</f>
        <v>#N/A</v>
      </c>
      <c r="K962" s="1085"/>
      <c r="L962" s="1085"/>
      <c r="M962" s="1085"/>
      <c r="N962" s="1085"/>
      <c r="O962" s="1085"/>
    </row>
    <row r="963" spans="1:15" ht="15" customHeight="1">
      <c r="A963" s="1056" t="s">
        <v>2675</v>
      </c>
      <c r="B963" s="1057" t="s">
        <v>2676</v>
      </c>
      <c r="D963" s="1064" t="e">
        <f>VLOOKUP(B954,'LƯƠNG KT'!$D$15:$R$94,13,0)</f>
        <v>#N/A</v>
      </c>
      <c r="E963" s="1065"/>
      <c r="F963" s="1065"/>
      <c r="G963" s="1056" t="s">
        <v>2675</v>
      </c>
      <c r="H963" s="1057" t="s">
        <v>2676</v>
      </c>
      <c r="J963" s="1064" t="e">
        <f>VLOOKUP(H954,'LƯƠNG KT'!$D$15:$R$94,13,0)</f>
        <v>#N/A</v>
      </c>
    </row>
    <row r="964" spans="1:15" ht="15" customHeight="1">
      <c r="A964" s="1066"/>
      <c r="B964" s="869"/>
      <c r="C964" s="1058"/>
      <c r="D964" s="1059"/>
      <c r="E964" s="1063"/>
      <c r="F964" s="1065"/>
      <c r="G964" s="1066"/>
      <c r="H964" s="869"/>
      <c r="I964" s="1058"/>
      <c r="J964" s="1059"/>
    </row>
    <row r="965" spans="1:15" ht="15" customHeight="1">
      <c r="A965" s="1052"/>
      <c r="B965" s="869"/>
      <c r="C965" s="1058"/>
      <c r="D965" s="1059"/>
      <c r="E965" s="1067"/>
      <c r="F965" s="1051"/>
      <c r="G965" s="1052"/>
      <c r="H965" s="869"/>
      <c r="I965" s="1058"/>
      <c r="J965" s="1059"/>
    </row>
    <row r="966" spans="1:15" ht="15" customHeight="1">
      <c r="A966" s="1068" t="s">
        <v>383</v>
      </c>
      <c r="B966" s="1069" t="s">
        <v>384</v>
      </c>
      <c r="C966" s="1070"/>
      <c r="D966" s="1071" t="e">
        <f>SUM(D955:D962)-D965</f>
        <v>#N/A</v>
      </c>
      <c r="E966" s="1072"/>
      <c r="F966" s="1073"/>
      <c r="G966" s="1068" t="s">
        <v>383</v>
      </c>
      <c r="H966" s="1069" t="s">
        <v>384</v>
      </c>
      <c r="I966" s="1070"/>
      <c r="J966" s="1071" t="e">
        <f>SUM(J955:J962)-J965</f>
        <v>#N/A</v>
      </c>
    </row>
    <row r="967" spans="1:15" ht="18.75" customHeight="1">
      <c r="A967" s="1074"/>
      <c r="B967" s="1075"/>
      <c r="C967" s="1076"/>
      <c r="D967" s="1077"/>
      <c r="E967" s="1077"/>
      <c r="F967" s="1078"/>
      <c r="G967" s="1074"/>
      <c r="H967" s="1075"/>
      <c r="I967" s="1076"/>
      <c r="J967" s="1077"/>
    </row>
    <row r="968" spans="1:15" ht="138.75" customHeight="1">
      <c r="A968" s="1075"/>
      <c r="B968" s="1075"/>
      <c r="C968" s="1079"/>
      <c r="D968" s="1080"/>
      <c r="E968" s="1075"/>
      <c r="F968" s="1081"/>
      <c r="G968" s="1075"/>
      <c r="H968" s="1075"/>
      <c r="I968" s="1079"/>
      <c r="J968" s="1080"/>
    </row>
    <row r="969" spans="1:15" ht="15" customHeight="1">
      <c r="A969" s="2242" t="str">
        <f>$K$2</f>
        <v>THÁNG 04/2025</v>
      </c>
      <c r="B969" s="2242"/>
      <c r="C969" s="2242"/>
      <c r="D969" s="2242"/>
      <c r="E969" s="1050"/>
      <c r="F969" s="1051"/>
      <c r="G969" s="2242" t="str">
        <f>$K$2</f>
        <v>THÁNG 04/2025</v>
      </c>
      <c r="H969" s="2242"/>
      <c r="I969" s="2242"/>
      <c r="J969" s="2242"/>
      <c r="K969" s="624"/>
    </row>
    <row r="970" spans="1:15" ht="15" customHeight="1">
      <c r="A970" s="1052" t="s">
        <v>356</v>
      </c>
      <c r="B970" s="1053" t="s">
        <v>2644</v>
      </c>
      <c r="C970" s="869"/>
      <c r="D970" s="1049"/>
      <c r="E970" s="1054"/>
      <c r="F970" s="1055"/>
      <c r="G970" s="1052" t="s">
        <v>356</v>
      </c>
      <c r="H970" s="1053" t="s">
        <v>18</v>
      </c>
      <c r="I970" s="869"/>
      <c r="J970" s="1049"/>
      <c r="L970" s="1088"/>
      <c r="M970" s="1088"/>
      <c r="N970" s="1088"/>
      <c r="O970" s="1088"/>
    </row>
    <row r="971" spans="1:15" ht="15" customHeight="1">
      <c r="A971" s="1056" t="s">
        <v>359</v>
      </c>
      <c r="B971" s="1057" t="s">
        <v>2662</v>
      </c>
      <c r="C971" s="1058" t="e">
        <f>VLOOKUP(B970,'LƯƠNG KT'!$D$15:$R$94,4,0)</f>
        <v>#N/A</v>
      </c>
      <c r="D971" s="1059" t="e">
        <f>+C971*25000</f>
        <v>#N/A</v>
      </c>
      <c r="E971" s="1060"/>
      <c r="F971" s="1060"/>
      <c r="G971" s="1056" t="s">
        <v>359</v>
      </c>
      <c r="H971" s="1057" t="s">
        <v>2662</v>
      </c>
      <c r="I971" s="1058" t="e">
        <f>VLOOKUP(H970,'LƯƠNG KT'!$D$15:$R$94,4,0)</f>
        <v>#N/A</v>
      </c>
      <c r="J971" s="1059" t="e">
        <f>+I971*25000</f>
        <v>#N/A</v>
      </c>
      <c r="K971" s="1085"/>
      <c r="L971" s="1085"/>
      <c r="M971" s="1085"/>
      <c r="N971" s="1085"/>
      <c r="O971" s="1085"/>
    </row>
    <row r="972" spans="1:15" ht="15" customHeight="1">
      <c r="A972" s="1056" t="s">
        <v>361</v>
      </c>
      <c r="B972" s="1057" t="s">
        <v>2663</v>
      </c>
      <c r="C972" s="1058" t="e">
        <f>VLOOKUP(B970,'LƯƠNG KT'!$D$15:$R$94,15,0)</f>
        <v>#N/A</v>
      </c>
      <c r="D972" s="1059" t="e">
        <f>C972*$L$4</f>
        <v>#N/A</v>
      </c>
      <c r="E972" s="1061"/>
      <c r="F972" s="1061"/>
      <c r="G972" s="1056" t="s">
        <v>361</v>
      </c>
      <c r="H972" s="1057" t="s">
        <v>2663</v>
      </c>
      <c r="I972" s="1058" t="e">
        <f>VLOOKUP(H970,'LƯƠNG KT'!$D$15:$R$94,15,0)</f>
        <v>#N/A</v>
      </c>
      <c r="J972" s="1059" t="e">
        <f>I972*$L$4</f>
        <v>#N/A</v>
      </c>
      <c r="K972" s="1085"/>
      <c r="L972" s="1085"/>
      <c r="M972" s="1085"/>
      <c r="N972" s="1085"/>
      <c r="O972" s="1085"/>
    </row>
    <row r="973" spans="1:15" ht="15" customHeight="1">
      <c r="A973" s="1056" t="s">
        <v>364</v>
      </c>
      <c r="B973" s="1057" t="s">
        <v>2664</v>
      </c>
      <c r="C973" s="1058" t="e">
        <f>VLOOKUP(B970,'LƯƠNG KT'!$D$15:$R$94,16,0)</f>
        <v>#N/A</v>
      </c>
      <c r="D973" s="1059" t="e">
        <f>C973*$L$5</f>
        <v>#N/A</v>
      </c>
      <c r="E973" s="1061"/>
      <c r="F973" s="1061"/>
      <c r="G973" s="1056" t="s">
        <v>364</v>
      </c>
      <c r="H973" s="1057" t="s">
        <v>2664</v>
      </c>
      <c r="I973" s="1058" t="e">
        <f>VLOOKUP(H970,'LƯƠNG KT'!$D$15:$R$94,16,0)</f>
        <v>#N/A</v>
      </c>
      <c r="J973" s="1059" t="e">
        <f>I973*$L$5</f>
        <v>#N/A</v>
      </c>
      <c r="K973" s="1085"/>
      <c r="L973" s="1085"/>
      <c r="M973" s="1085"/>
      <c r="N973" s="1085"/>
      <c r="O973" s="1085"/>
    </row>
    <row r="974" spans="1:15" ht="15" customHeight="1">
      <c r="A974" s="1056" t="s">
        <v>370</v>
      </c>
      <c r="B974" s="1057" t="s">
        <v>2665</v>
      </c>
      <c r="C974" s="1058" t="e">
        <f>VLOOKUP(B970,'LƯƠNG KT'!$D$15:$R$94,24,0)</f>
        <v>#N/A</v>
      </c>
      <c r="D974" s="1059" t="e">
        <f>+C974*$L$6</f>
        <v>#N/A</v>
      </c>
      <c r="E974" s="1061"/>
      <c r="F974" s="1061"/>
      <c r="G974" s="1056" t="s">
        <v>370</v>
      </c>
      <c r="H974" s="1057" t="s">
        <v>2665</v>
      </c>
      <c r="I974" s="1058" t="e">
        <f>VLOOKUP(H970,'LƯƠNG KT'!$D$15:$R$94,24,0)</f>
        <v>#N/A</v>
      </c>
      <c r="J974" s="1059" t="e">
        <f>+I974*$L$6</f>
        <v>#N/A</v>
      </c>
      <c r="K974" s="1085"/>
      <c r="L974" s="1085"/>
      <c r="M974" s="1085"/>
      <c r="N974" s="1085"/>
      <c r="O974" s="1085"/>
    </row>
    <row r="975" spans="1:15" ht="15" customHeight="1">
      <c r="A975" s="1056" t="s">
        <v>2666</v>
      </c>
      <c r="B975" s="1057" t="s">
        <v>2667</v>
      </c>
      <c r="C975" s="1058" t="e">
        <f>VLOOKUP(B970,'LƯƠNG KT'!$D$15:$R$94,19,0)</f>
        <v>#N/A</v>
      </c>
      <c r="D975" s="1059" t="e">
        <f>+C975*$L$8</f>
        <v>#N/A</v>
      </c>
      <c r="E975" s="1061"/>
      <c r="F975" s="1061"/>
      <c r="G975" s="1056" t="s">
        <v>2666</v>
      </c>
      <c r="H975" s="1057" t="s">
        <v>2667</v>
      </c>
      <c r="I975" s="1058" t="e">
        <f>VLOOKUP(H970,'LƯƠNG KT'!$D$15:$R$94,19,0)</f>
        <v>#N/A</v>
      </c>
      <c r="J975" s="1059" t="e">
        <f>+I975*$L$8</f>
        <v>#N/A</v>
      </c>
      <c r="K975" s="1085"/>
      <c r="L975" s="1085"/>
      <c r="M975" s="1085"/>
      <c r="N975" s="1085"/>
      <c r="O975" s="1085"/>
    </row>
    <row r="976" spans="1:15" ht="15" customHeight="1">
      <c r="A976" s="1056" t="s">
        <v>2668</v>
      </c>
      <c r="B976" s="1062" t="s">
        <v>2669</v>
      </c>
      <c r="C976" s="1058" t="e">
        <f>VLOOKUP(B970,'LƯƠNG KT'!$D$15:$R$94,20,0)</f>
        <v>#N/A</v>
      </c>
      <c r="D976" s="1059" t="e">
        <f>+C976*$L$9</f>
        <v>#N/A</v>
      </c>
      <c r="E976" s="1061"/>
      <c r="F976" s="1061"/>
      <c r="G976" s="1056" t="s">
        <v>2668</v>
      </c>
      <c r="H976" s="1062" t="s">
        <v>2669</v>
      </c>
      <c r="I976" s="1058" t="e">
        <f>VLOOKUP(H970,'LƯƠNG KT'!$D$15:$R$94,20,0)</f>
        <v>#N/A</v>
      </c>
      <c r="J976" s="1059" t="e">
        <f>+I976*$L$9</f>
        <v>#N/A</v>
      </c>
      <c r="K976" s="1085"/>
      <c r="L976" s="1085"/>
      <c r="M976" s="1085"/>
      <c r="N976" s="1085"/>
      <c r="O976" s="1085"/>
    </row>
    <row r="977" spans="1:15" ht="15" customHeight="1">
      <c r="A977" s="1056" t="s">
        <v>2671</v>
      </c>
      <c r="B977" s="1057" t="s">
        <v>2672</v>
      </c>
      <c r="C977" s="1058" t="e">
        <f>VLOOKUP(B970,'LƯƠNG KT'!$D$15:$R$94,17,0)</f>
        <v>#N/A</v>
      </c>
      <c r="D977" s="1059" t="e">
        <f>+C977*$L$10</f>
        <v>#N/A</v>
      </c>
      <c r="E977" s="1061"/>
      <c r="F977" s="1061"/>
      <c r="G977" s="1056" t="s">
        <v>2671</v>
      </c>
      <c r="H977" s="1057" t="s">
        <v>2672</v>
      </c>
      <c r="I977" s="1058" t="e">
        <f>VLOOKUP(H970,'LƯƠNG KT'!$D$15:$R$94,17,0)</f>
        <v>#N/A</v>
      </c>
      <c r="J977" s="1059" t="e">
        <f>+I977*$L$10</f>
        <v>#N/A</v>
      </c>
      <c r="K977" s="1085"/>
      <c r="L977" s="1085"/>
      <c r="M977" s="1085"/>
      <c r="N977" s="1085"/>
      <c r="O977" s="1085"/>
    </row>
    <row r="978" spans="1:15" ht="15" customHeight="1">
      <c r="A978" s="1056" t="s">
        <v>374</v>
      </c>
      <c r="B978" s="1057" t="s">
        <v>2674</v>
      </c>
      <c r="C978" s="1058" t="e">
        <f>VLOOKUP(B970,'LƯƠNG KT'!$D$15:$R$94,12,0)</f>
        <v>#N/A</v>
      </c>
      <c r="D978" s="1059" t="e">
        <f>VLOOKUP(B970,'LƯƠNG KT'!$D$15:$R$94,14,0)</f>
        <v>#N/A</v>
      </c>
      <c r="E978" s="1063"/>
      <c r="F978" s="1061"/>
      <c r="G978" s="1056" t="s">
        <v>374</v>
      </c>
      <c r="H978" s="1057" t="s">
        <v>2674</v>
      </c>
      <c r="I978" s="1058" t="e">
        <f>VLOOKUP(H970,'LƯƠNG KT'!$D$15:$R$94,12,0)</f>
        <v>#N/A</v>
      </c>
      <c r="J978" s="1059" t="e">
        <f>VLOOKUP(H970,'LƯƠNG KT'!$D$15:$R$94,14,0)</f>
        <v>#N/A</v>
      </c>
      <c r="K978" s="1085"/>
      <c r="L978" s="1085"/>
      <c r="M978" s="1085"/>
      <c r="N978" s="1085"/>
      <c r="O978" s="1085"/>
    </row>
    <row r="979" spans="1:15" ht="15" customHeight="1">
      <c r="A979" s="1056" t="s">
        <v>2675</v>
      </c>
      <c r="B979" s="1057" t="s">
        <v>2676</v>
      </c>
      <c r="D979" s="1064" t="e">
        <f>VLOOKUP(B970,'LƯƠNG KT'!$D$15:$R$94,13,0)</f>
        <v>#N/A</v>
      </c>
      <c r="E979" s="1065"/>
      <c r="F979" s="1065"/>
      <c r="G979" s="1056" t="s">
        <v>2675</v>
      </c>
      <c r="H979" s="1057" t="s">
        <v>2676</v>
      </c>
      <c r="J979" s="1064" t="e">
        <f>VLOOKUP(H970,'LƯƠNG KT'!$D$15:$R$94,13,0)</f>
        <v>#N/A</v>
      </c>
    </row>
    <row r="980" spans="1:15" ht="15" customHeight="1">
      <c r="A980" s="1066"/>
      <c r="B980" s="869"/>
      <c r="C980" s="1058"/>
      <c r="D980" s="1059"/>
      <c r="E980" s="1063"/>
      <c r="F980" s="1065"/>
      <c r="G980" s="1066"/>
      <c r="H980" s="869"/>
      <c r="I980" s="1058"/>
      <c r="J980" s="1059"/>
    </row>
    <row r="981" spans="1:15" ht="15" customHeight="1">
      <c r="A981" s="1052"/>
      <c r="B981" s="869"/>
      <c r="C981" s="1058"/>
      <c r="D981" s="1059"/>
      <c r="E981" s="1067"/>
      <c r="F981" s="1051"/>
      <c r="G981" s="1052"/>
      <c r="H981" s="869"/>
      <c r="I981" s="1058"/>
      <c r="J981" s="1059"/>
    </row>
    <row r="982" spans="1:15" ht="15" customHeight="1">
      <c r="A982" s="1068" t="s">
        <v>383</v>
      </c>
      <c r="B982" s="1069" t="s">
        <v>384</v>
      </c>
      <c r="C982" s="1070"/>
      <c r="D982" s="1071" t="e">
        <f>SUM(D971:D978)-D981</f>
        <v>#N/A</v>
      </c>
      <c r="E982" s="1072"/>
      <c r="F982" s="1073"/>
      <c r="G982" s="1068" t="s">
        <v>383</v>
      </c>
      <c r="H982" s="1069" t="s">
        <v>384</v>
      </c>
      <c r="I982" s="1070"/>
      <c r="J982" s="1071" t="e">
        <f>SUM(J971:J978)-J981</f>
        <v>#N/A</v>
      </c>
    </row>
    <row r="983" spans="1:15" ht="15.75" customHeight="1">
      <c r="A983" s="1074"/>
      <c r="B983" s="1075"/>
      <c r="C983" s="1076"/>
      <c r="D983" s="1077"/>
      <c r="E983" s="1077"/>
      <c r="F983" s="1078"/>
      <c r="G983" s="1074"/>
      <c r="H983" s="1075"/>
      <c r="I983" s="1076"/>
      <c r="J983" s="1077"/>
    </row>
    <row r="985" spans="1:15" ht="12" customHeight="1">
      <c r="A985" s="2243"/>
      <c r="B985" s="2243"/>
      <c r="C985" s="2243"/>
      <c r="D985" s="2243"/>
      <c r="E985" s="2243"/>
      <c r="F985" s="2243"/>
      <c r="G985" s="2243"/>
      <c r="H985" s="2243"/>
      <c r="I985" s="2243"/>
      <c r="J985" s="2243"/>
    </row>
    <row r="986" spans="1:15" ht="15" customHeight="1">
      <c r="A986" s="2242" t="str">
        <f>$K$2</f>
        <v>THÁNG 04/2025</v>
      </c>
      <c r="B986" s="2242"/>
      <c r="C986" s="2242"/>
      <c r="D986" s="2242"/>
      <c r="E986" s="1050"/>
      <c r="F986" s="1051"/>
      <c r="G986" s="2242" t="str">
        <f>$K$2</f>
        <v>THÁNG 04/2025</v>
      </c>
      <c r="H986" s="2242"/>
      <c r="I986" s="2242"/>
      <c r="J986" s="2242"/>
      <c r="K986" s="624"/>
    </row>
    <row r="987" spans="1:15" ht="15" customHeight="1">
      <c r="A987" s="1052" t="s">
        <v>356</v>
      </c>
      <c r="B987" s="1053" t="s">
        <v>35</v>
      </c>
      <c r="C987" s="869"/>
      <c r="D987" s="1049"/>
      <c r="E987" s="1054"/>
      <c r="F987" s="1055"/>
      <c r="G987" s="1052" t="s">
        <v>356</v>
      </c>
      <c r="H987" s="1053" t="s">
        <v>1336</v>
      </c>
      <c r="I987" s="869"/>
      <c r="J987" s="1049"/>
      <c r="L987" s="1088"/>
      <c r="M987" s="1088"/>
      <c r="N987" s="1088"/>
      <c r="O987" s="1088"/>
    </row>
    <row r="988" spans="1:15" ht="15" customHeight="1">
      <c r="A988" s="1056" t="s">
        <v>359</v>
      </c>
      <c r="B988" s="1057" t="s">
        <v>2662</v>
      </c>
      <c r="C988" s="1058" t="e">
        <f>VLOOKUP(B987,'LƯƠNG KT'!$D$15:$R$94,4,0)</f>
        <v>#N/A</v>
      </c>
      <c r="D988" s="1059" t="e">
        <f>+C988*25000</f>
        <v>#N/A</v>
      </c>
      <c r="E988" s="1060"/>
      <c r="F988" s="1060"/>
      <c r="G988" s="1056" t="s">
        <v>359</v>
      </c>
      <c r="H988" s="1057" t="s">
        <v>2662</v>
      </c>
      <c r="I988" s="1058" t="e">
        <f>VLOOKUP(H987,'LƯƠNG KT'!$D$15:$R$94,4,0)</f>
        <v>#N/A</v>
      </c>
      <c r="J988" s="1059" t="e">
        <f>+I988*25000</f>
        <v>#N/A</v>
      </c>
      <c r="K988" s="1084"/>
      <c r="L988" s="1085"/>
      <c r="M988" s="1085"/>
      <c r="N988" s="1085"/>
      <c r="O988" s="1085"/>
    </row>
    <row r="989" spans="1:15" ht="15" customHeight="1">
      <c r="A989" s="1056" t="s">
        <v>361</v>
      </c>
      <c r="B989" s="1057" t="s">
        <v>2663</v>
      </c>
      <c r="C989" s="1058" t="e">
        <f>VLOOKUP(B987,'LƯƠNG KT'!$D$15:$R$94,15,0)</f>
        <v>#N/A</v>
      </c>
      <c r="D989" s="1059" t="e">
        <f>C989*$L$4</f>
        <v>#N/A</v>
      </c>
      <c r="E989" s="1061"/>
      <c r="F989" s="1061"/>
      <c r="G989" s="1056" t="s">
        <v>361</v>
      </c>
      <c r="H989" s="1057" t="s">
        <v>2663</v>
      </c>
      <c r="I989" s="1058" t="e">
        <f>VLOOKUP(H987,'LƯƠNG KT'!$D$15:$R$94,15,0)</f>
        <v>#N/A</v>
      </c>
      <c r="J989" s="1059" t="e">
        <f>I989*$L$4</f>
        <v>#N/A</v>
      </c>
      <c r="K989" s="1084"/>
      <c r="L989" s="1085"/>
      <c r="M989" s="1085"/>
      <c r="N989" s="1085"/>
      <c r="O989" s="1085"/>
    </row>
    <row r="990" spans="1:15" ht="15" customHeight="1">
      <c r="A990" s="1056" t="s">
        <v>364</v>
      </c>
      <c r="B990" s="1057" t="s">
        <v>2664</v>
      </c>
      <c r="C990" s="1058" t="e">
        <f>VLOOKUP(B987,'LƯƠNG KT'!$D$15:$R$94,16,0)</f>
        <v>#N/A</v>
      </c>
      <c r="D990" s="1059" t="e">
        <f>C990*$L$5</f>
        <v>#N/A</v>
      </c>
      <c r="E990" s="1061"/>
      <c r="F990" s="1061"/>
      <c r="G990" s="1056" t="s">
        <v>364</v>
      </c>
      <c r="H990" s="1057" t="s">
        <v>2664</v>
      </c>
      <c r="I990" s="1058" t="e">
        <f>VLOOKUP(H987,'LƯƠNG KT'!$D$15:$R$94,16,0)</f>
        <v>#N/A</v>
      </c>
      <c r="J990" s="1059" t="e">
        <f>I990*$L$5</f>
        <v>#N/A</v>
      </c>
      <c r="K990" s="1084"/>
      <c r="L990" s="1085"/>
      <c r="M990" s="1085"/>
      <c r="N990" s="1085"/>
      <c r="O990" s="1085"/>
    </row>
    <row r="991" spans="1:15" ht="15" customHeight="1">
      <c r="A991" s="1056" t="s">
        <v>370</v>
      </c>
      <c r="B991" s="1057" t="s">
        <v>2665</v>
      </c>
      <c r="C991" s="1058" t="e">
        <f>VLOOKUP(B987,'LƯƠNG KT'!$D$15:$R$94,24,0)</f>
        <v>#N/A</v>
      </c>
      <c r="D991" s="1059" t="e">
        <f>+C991*$L$6</f>
        <v>#N/A</v>
      </c>
      <c r="E991" s="1061"/>
      <c r="F991" s="1061"/>
      <c r="G991" s="1056" t="s">
        <v>370</v>
      </c>
      <c r="H991" s="1057" t="s">
        <v>2665</v>
      </c>
      <c r="I991" s="1058" t="e">
        <f>VLOOKUP(H987,'LƯƠNG KT'!$D$15:$R$94,24,0)</f>
        <v>#N/A</v>
      </c>
      <c r="J991" s="1059" t="e">
        <f>+I991*$L$6</f>
        <v>#N/A</v>
      </c>
      <c r="K991" s="1085"/>
      <c r="L991" s="1085"/>
      <c r="M991" s="1085"/>
      <c r="N991" s="1085"/>
      <c r="O991" s="1085"/>
    </row>
    <row r="992" spans="1:15" ht="15" customHeight="1">
      <c r="A992" s="1056" t="s">
        <v>2666</v>
      </c>
      <c r="B992" s="1057" t="s">
        <v>2667</v>
      </c>
      <c r="C992" s="1058" t="e">
        <f>VLOOKUP(B987,'LƯƠNG KT'!$D$15:$R$94,19,0)</f>
        <v>#N/A</v>
      </c>
      <c r="D992" s="1059" t="e">
        <f>+C992*$L$8</f>
        <v>#N/A</v>
      </c>
      <c r="E992" s="1061"/>
      <c r="F992" s="1061"/>
      <c r="G992" s="1056" t="s">
        <v>2666</v>
      </c>
      <c r="H992" s="1057" t="s">
        <v>2667</v>
      </c>
      <c r="I992" s="1058" t="e">
        <f>VLOOKUP(H987,'LƯƠNG KT'!$D$15:$R$94,19,0)</f>
        <v>#N/A</v>
      </c>
      <c r="J992" s="1059" t="e">
        <f>+I992*$L$8</f>
        <v>#N/A</v>
      </c>
      <c r="K992" s="1085"/>
      <c r="L992" s="1085"/>
      <c r="M992" s="1085"/>
      <c r="N992" s="1085"/>
      <c r="O992" s="1085"/>
    </row>
    <row r="993" spans="1:15" ht="15" customHeight="1">
      <c r="A993" s="1056" t="s">
        <v>2668</v>
      </c>
      <c r="B993" s="1062" t="s">
        <v>2669</v>
      </c>
      <c r="C993" s="1058" t="e">
        <f>VLOOKUP(B987,'LƯƠNG KT'!$D$15:$R$94,20,0)</f>
        <v>#N/A</v>
      </c>
      <c r="D993" s="1059" t="e">
        <f>+C993*$L$9</f>
        <v>#N/A</v>
      </c>
      <c r="E993" s="1061"/>
      <c r="F993" s="1061"/>
      <c r="G993" s="1056" t="s">
        <v>2668</v>
      </c>
      <c r="H993" s="1062" t="s">
        <v>2669</v>
      </c>
      <c r="I993" s="1058" t="e">
        <f>VLOOKUP(H987,'LƯƠNG KT'!$D$15:$R$94,20,0)</f>
        <v>#N/A</v>
      </c>
      <c r="J993" s="1059" t="e">
        <f>+I993*$L$9</f>
        <v>#N/A</v>
      </c>
      <c r="K993" s="1085"/>
      <c r="L993" s="1085"/>
      <c r="M993" s="1085"/>
      <c r="N993" s="1085"/>
      <c r="O993" s="1085"/>
    </row>
    <row r="994" spans="1:15" ht="15" customHeight="1">
      <c r="A994" s="1056" t="s">
        <v>2671</v>
      </c>
      <c r="B994" s="1057" t="s">
        <v>2672</v>
      </c>
      <c r="C994" s="1058" t="e">
        <f>VLOOKUP(B987,'LƯƠNG KT'!$D$15:$R$94,17,0)</f>
        <v>#N/A</v>
      </c>
      <c r="D994" s="1059" t="e">
        <f>+C994*$L$10</f>
        <v>#N/A</v>
      </c>
      <c r="E994" s="1061"/>
      <c r="F994" s="1061"/>
      <c r="G994" s="1056" t="s">
        <v>2671</v>
      </c>
      <c r="H994" s="1057" t="s">
        <v>2672</v>
      </c>
      <c r="I994" s="1058" t="e">
        <f>VLOOKUP(H987,'LƯƠNG KT'!$D$15:$R$94,17,0)</f>
        <v>#N/A</v>
      </c>
      <c r="J994" s="1059" t="e">
        <f>+I994*$L$10</f>
        <v>#N/A</v>
      </c>
      <c r="K994" s="1085"/>
      <c r="L994" s="1085"/>
      <c r="M994" s="1085"/>
      <c r="N994" s="1085"/>
      <c r="O994" s="1085"/>
    </row>
    <row r="995" spans="1:15" ht="15" customHeight="1">
      <c r="A995" s="1056" t="s">
        <v>374</v>
      </c>
      <c r="B995" s="1057" t="s">
        <v>2674</v>
      </c>
      <c r="C995" s="1058" t="e">
        <f>VLOOKUP(B987,'LƯƠNG KT'!$D$15:$R$94,12,0)</f>
        <v>#N/A</v>
      </c>
      <c r="D995" s="1059" t="e">
        <f>VLOOKUP(B987,'LƯƠNG KT'!$D$15:$R$94,14,0)</f>
        <v>#N/A</v>
      </c>
      <c r="E995" s="1063"/>
      <c r="F995" s="1061"/>
      <c r="G995" s="1056" t="s">
        <v>374</v>
      </c>
      <c r="H995" s="1057" t="s">
        <v>2674</v>
      </c>
      <c r="I995" s="1058" t="e">
        <f>VLOOKUP(H987,'LƯƠNG KT'!$D$15:$R$94,12,0)</f>
        <v>#N/A</v>
      </c>
      <c r="J995" s="1059" t="e">
        <f>VLOOKUP(H987,'LƯƠNG KT'!$D$15:$R$94,14,0)</f>
        <v>#N/A</v>
      </c>
      <c r="K995" s="1085"/>
      <c r="L995" s="1085"/>
      <c r="M995" s="1085"/>
      <c r="N995" s="1085"/>
      <c r="O995" s="1085"/>
    </row>
    <row r="996" spans="1:15" ht="15" customHeight="1">
      <c r="A996" s="1056" t="s">
        <v>2675</v>
      </c>
      <c r="B996" s="1057" t="s">
        <v>2676</v>
      </c>
      <c r="D996" s="1064" t="e">
        <f>VLOOKUP(B987,'LƯƠNG KT'!$D$15:$R$94,13,0)</f>
        <v>#N/A</v>
      </c>
      <c r="E996" s="1065"/>
      <c r="F996" s="1065"/>
      <c r="G996" s="1056" t="s">
        <v>2675</v>
      </c>
      <c r="H996" s="1057" t="s">
        <v>2676</v>
      </c>
      <c r="J996" s="1064" t="e">
        <f>VLOOKUP(H987,'LƯƠNG KT'!$D$15:$R$94,13,0)</f>
        <v>#N/A</v>
      </c>
    </row>
    <row r="997" spans="1:15" ht="15" customHeight="1">
      <c r="A997" s="1066"/>
      <c r="B997" s="869"/>
      <c r="C997" s="1058"/>
      <c r="D997" s="1059"/>
      <c r="E997" s="1063"/>
      <c r="F997" s="1065"/>
      <c r="G997" s="1066"/>
      <c r="H997" s="869"/>
      <c r="I997" s="1058"/>
      <c r="J997" s="1059"/>
    </row>
    <row r="998" spans="1:15" ht="15" customHeight="1">
      <c r="A998" s="1052"/>
      <c r="B998" s="869"/>
      <c r="C998" s="1058"/>
      <c r="D998" s="1059"/>
      <c r="E998" s="1067"/>
      <c r="F998" s="1051"/>
      <c r="G998" s="1052"/>
      <c r="H998" s="869"/>
      <c r="I998" s="1058"/>
      <c r="J998" s="1059"/>
    </row>
    <row r="999" spans="1:15" ht="15" customHeight="1">
      <c r="A999" s="1068" t="s">
        <v>383</v>
      </c>
      <c r="B999" s="1069" t="s">
        <v>384</v>
      </c>
      <c r="C999" s="1070"/>
      <c r="D999" s="1071" t="e">
        <f>SUM(D988:D995)-D998</f>
        <v>#N/A</v>
      </c>
      <c r="E999" s="1072"/>
      <c r="F999" s="1073"/>
      <c r="G999" s="1068" t="s">
        <v>383</v>
      </c>
      <c r="H999" s="1069" t="s">
        <v>384</v>
      </c>
      <c r="I999" s="1070"/>
      <c r="J999" s="1071" t="e">
        <f>SUM(J988:J995)-J998</f>
        <v>#N/A</v>
      </c>
    </row>
    <row r="1000" spans="1:15" ht="19.5" customHeight="1">
      <c r="A1000" s="1074"/>
      <c r="B1000" s="1075"/>
      <c r="C1000" s="1076"/>
      <c r="D1000" s="1077"/>
      <c r="E1000" s="1077"/>
      <c r="F1000" s="1078"/>
      <c r="G1000" s="1074"/>
      <c r="H1000" s="1075"/>
      <c r="I1000" s="1076"/>
      <c r="J1000" s="1077"/>
    </row>
    <row r="1001" spans="1:15" ht="19.5" customHeight="1">
      <c r="A1001" s="1075"/>
      <c r="B1001" s="1075"/>
      <c r="C1001" s="1079"/>
      <c r="D1001" s="1080"/>
      <c r="E1001" s="1075"/>
      <c r="F1001" s="1081"/>
      <c r="G1001" s="1075"/>
      <c r="H1001" s="1075"/>
      <c r="I1001" s="1079"/>
      <c r="J1001" s="1080"/>
    </row>
    <row r="1002" spans="1:15" ht="15" customHeight="1">
      <c r="A1002" s="2242" t="str">
        <f>$K$2</f>
        <v>THÁNG 04/2025</v>
      </c>
      <c r="B1002" s="2242"/>
      <c r="C1002" s="2242"/>
      <c r="D1002" s="2242"/>
      <c r="E1002" s="1050"/>
      <c r="F1002" s="1051"/>
      <c r="G1002" s="2242" t="str">
        <f>$K$2</f>
        <v>THÁNG 04/2025</v>
      </c>
      <c r="H1002" s="2242"/>
      <c r="I1002" s="2242"/>
      <c r="J1002" s="2242"/>
      <c r="K1002" s="624"/>
    </row>
    <row r="1003" spans="1:15" ht="15" customHeight="1">
      <c r="A1003" s="1052" t="s">
        <v>356</v>
      </c>
      <c r="B1003" s="1053" t="s">
        <v>85</v>
      </c>
      <c r="C1003" s="869"/>
      <c r="D1003" s="1049"/>
      <c r="E1003" s="1054"/>
      <c r="F1003" s="1055"/>
      <c r="G1003" s="1052" t="s">
        <v>356</v>
      </c>
      <c r="H1003" s="1053" t="s">
        <v>556</v>
      </c>
      <c r="I1003" s="869"/>
      <c r="J1003" s="1049"/>
      <c r="L1003" s="1088"/>
      <c r="M1003" s="1088"/>
      <c r="N1003" s="1088"/>
      <c r="O1003" s="1088"/>
    </row>
    <row r="1004" spans="1:15" ht="15" customHeight="1">
      <c r="A1004" s="1056" t="s">
        <v>359</v>
      </c>
      <c r="B1004" s="1057" t="s">
        <v>2662</v>
      </c>
      <c r="C1004" s="1058" t="e">
        <f>VLOOKUP(B1003,'LƯƠNG KT'!$D$15:$R$94,4,0)</f>
        <v>#N/A</v>
      </c>
      <c r="D1004" s="1059" t="e">
        <f>+C1004*25000</f>
        <v>#N/A</v>
      </c>
      <c r="E1004" s="1060"/>
      <c r="F1004" s="1060"/>
      <c r="G1004" s="1056" t="s">
        <v>359</v>
      </c>
      <c r="H1004" s="1057" t="s">
        <v>2662</v>
      </c>
      <c r="I1004" s="1058" t="e">
        <f>VLOOKUP(H1003,'LƯƠNG KT'!$D$15:$R$94,4,0)</f>
        <v>#N/A</v>
      </c>
      <c r="J1004" s="1059" t="e">
        <f>+I1004*25000</f>
        <v>#N/A</v>
      </c>
      <c r="K1004" s="1085"/>
      <c r="L1004" s="1085"/>
      <c r="M1004" s="1085"/>
      <c r="N1004" s="1085"/>
      <c r="O1004" s="1085"/>
    </row>
    <row r="1005" spans="1:15" ht="15" customHeight="1">
      <c r="A1005" s="1056" t="s">
        <v>361</v>
      </c>
      <c r="B1005" s="1057" t="s">
        <v>2663</v>
      </c>
      <c r="C1005" s="1058" t="e">
        <f>VLOOKUP(B1003,'LƯƠNG KT'!$D$15:$R$94,15,0)</f>
        <v>#N/A</v>
      </c>
      <c r="D1005" s="1059" t="e">
        <f>C1005*$L$4</f>
        <v>#N/A</v>
      </c>
      <c r="E1005" s="1061"/>
      <c r="F1005" s="1061"/>
      <c r="G1005" s="1056" t="s">
        <v>361</v>
      </c>
      <c r="H1005" s="1057" t="s">
        <v>2663</v>
      </c>
      <c r="I1005" s="1058" t="e">
        <f>VLOOKUP(H1003,'LƯƠNG KT'!$D$15:$R$94,15,0)</f>
        <v>#N/A</v>
      </c>
      <c r="J1005" s="1059" t="e">
        <f>I1005*$L$4</f>
        <v>#N/A</v>
      </c>
      <c r="K1005" s="1085"/>
      <c r="L1005" s="1085"/>
      <c r="M1005" s="1085"/>
      <c r="N1005" s="1085"/>
      <c r="O1005" s="1085"/>
    </row>
    <row r="1006" spans="1:15" ht="15" customHeight="1">
      <c r="A1006" s="1056" t="s">
        <v>364</v>
      </c>
      <c r="B1006" s="1057" t="s">
        <v>2664</v>
      </c>
      <c r="C1006" s="1058" t="e">
        <f>VLOOKUP(B1003,'LƯƠNG KT'!$D$15:$R$94,16,0)</f>
        <v>#N/A</v>
      </c>
      <c r="D1006" s="1059" t="e">
        <f>C1006*$L$5</f>
        <v>#N/A</v>
      </c>
      <c r="E1006" s="1061"/>
      <c r="F1006" s="1061"/>
      <c r="G1006" s="1056" t="s">
        <v>364</v>
      </c>
      <c r="H1006" s="1057" t="s">
        <v>2664</v>
      </c>
      <c r="I1006" s="1058" t="e">
        <f>VLOOKUP(H1003,'LƯƠNG KT'!$D$15:$R$94,16,0)</f>
        <v>#N/A</v>
      </c>
      <c r="J1006" s="1059" t="e">
        <f>I1006*$L$5</f>
        <v>#N/A</v>
      </c>
      <c r="K1006" s="1085"/>
      <c r="L1006" s="1085"/>
      <c r="M1006" s="1085"/>
      <c r="N1006" s="1085"/>
      <c r="O1006" s="1085"/>
    </row>
    <row r="1007" spans="1:15" ht="15" customHeight="1">
      <c r="A1007" s="1056" t="s">
        <v>370</v>
      </c>
      <c r="B1007" s="1057" t="s">
        <v>2665</v>
      </c>
      <c r="C1007" s="1058" t="e">
        <f>VLOOKUP(B1003,'LƯƠNG KT'!$D$15:$R$94,24,0)</f>
        <v>#N/A</v>
      </c>
      <c r="D1007" s="1059" t="e">
        <f>+C1007*$L$6</f>
        <v>#N/A</v>
      </c>
      <c r="E1007" s="1061"/>
      <c r="F1007" s="1061"/>
      <c r="G1007" s="1056" t="s">
        <v>370</v>
      </c>
      <c r="H1007" s="1057" t="s">
        <v>2665</v>
      </c>
      <c r="I1007" s="1058" t="e">
        <f>VLOOKUP(H1003,'LƯƠNG KT'!$D$15:$R$94,24,0)</f>
        <v>#N/A</v>
      </c>
      <c r="J1007" s="1059" t="e">
        <f>+I1007*$L$6</f>
        <v>#N/A</v>
      </c>
      <c r="K1007" s="1085"/>
      <c r="L1007" s="1085"/>
      <c r="M1007" s="1085"/>
      <c r="N1007" s="1085"/>
      <c r="O1007" s="1085"/>
    </row>
    <row r="1008" spans="1:15" ht="15" customHeight="1">
      <c r="A1008" s="1056" t="s">
        <v>2666</v>
      </c>
      <c r="B1008" s="1057" t="s">
        <v>2667</v>
      </c>
      <c r="C1008" s="1058" t="e">
        <f>VLOOKUP(B1003,'LƯƠNG KT'!$D$15:$R$94,19,0)</f>
        <v>#N/A</v>
      </c>
      <c r="D1008" s="1059" t="e">
        <f>+C1008*$L$8</f>
        <v>#N/A</v>
      </c>
      <c r="E1008" s="1061"/>
      <c r="F1008" s="1061"/>
      <c r="G1008" s="1056" t="s">
        <v>2666</v>
      </c>
      <c r="H1008" s="1057" t="s">
        <v>2667</v>
      </c>
      <c r="I1008" s="1058" t="e">
        <f>VLOOKUP(H1003,'LƯƠNG KT'!$D$15:$R$94,19,0)</f>
        <v>#N/A</v>
      </c>
      <c r="J1008" s="1059" t="e">
        <f>+I1008*$L$8</f>
        <v>#N/A</v>
      </c>
      <c r="K1008" s="1085"/>
      <c r="L1008" s="1085"/>
      <c r="M1008" s="1085"/>
      <c r="N1008" s="1085"/>
      <c r="O1008" s="1085"/>
    </row>
    <row r="1009" spans="1:15" ht="15" customHeight="1">
      <c r="A1009" s="1056" t="s">
        <v>2668</v>
      </c>
      <c r="B1009" s="1062" t="s">
        <v>2669</v>
      </c>
      <c r="C1009" s="1058" t="e">
        <f>VLOOKUP(B1003,'LƯƠNG KT'!$D$15:$R$94,20,0)</f>
        <v>#N/A</v>
      </c>
      <c r="D1009" s="1059" t="e">
        <f>+C1009*$L$9</f>
        <v>#N/A</v>
      </c>
      <c r="E1009" s="1061"/>
      <c r="F1009" s="1061"/>
      <c r="G1009" s="1056" t="s">
        <v>2668</v>
      </c>
      <c r="H1009" s="1062" t="s">
        <v>2669</v>
      </c>
      <c r="I1009" s="1058" t="e">
        <f>VLOOKUP(H1003,'LƯƠNG KT'!$D$15:$R$94,20,0)</f>
        <v>#N/A</v>
      </c>
      <c r="J1009" s="1059" t="e">
        <f>+I1009*$L$9</f>
        <v>#N/A</v>
      </c>
      <c r="K1009" s="1085"/>
      <c r="L1009" s="1085"/>
      <c r="M1009" s="1085"/>
      <c r="N1009" s="1085"/>
      <c r="O1009" s="1085"/>
    </row>
    <row r="1010" spans="1:15" ht="15" customHeight="1">
      <c r="A1010" s="1056" t="s">
        <v>2671</v>
      </c>
      <c r="B1010" s="1057" t="s">
        <v>2672</v>
      </c>
      <c r="C1010" s="1058" t="e">
        <f>VLOOKUP(B1003,'LƯƠNG KT'!$D$15:$R$94,17,0)</f>
        <v>#N/A</v>
      </c>
      <c r="D1010" s="1059" t="e">
        <f>+C1010*$L$10</f>
        <v>#N/A</v>
      </c>
      <c r="E1010" s="1061"/>
      <c r="F1010" s="1061"/>
      <c r="G1010" s="1056" t="s">
        <v>2671</v>
      </c>
      <c r="H1010" s="1057" t="s">
        <v>2672</v>
      </c>
      <c r="I1010" s="1058" t="e">
        <f>VLOOKUP(H1003,'LƯƠNG KT'!$D$15:$R$94,17,0)</f>
        <v>#N/A</v>
      </c>
      <c r="J1010" s="1059" t="e">
        <f>+I1010*$L$10</f>
        <v>#N/A</v>
      </c>
      <c r="K1010" s="1085"/>
      <c r="L1010" s="1085"/>
      <c r="M1010" s="1085"/>
      <c r="N1010" s="1085"/>
      <c r="O1010" s="1085"/>
    </row>
    <row r="1011" spans="1:15" ht="15" customHeight="1">
      <c r="A1011" s="1056" t="s">
        <v>374</v>
      </c>
      <c r="B1011" s="1057" t="s">
        <v>2674</v>
      </c>
      <c r="C1011" s="1058" t="e">
        <f>VLOOKUP(B1003,'LƯƠNG KT'!$D$15:$R$94,12,0)</f>
        <v>#N/A</v>
      </c>
      <c r="D1011" s="1059" t="e">
        <f>VLOOKUP(B1003,'LƯƠNG KT'!$D$15:$R$94,14,0)</f>
        <v>#N/A</v>
      </c>
      <c r="E1011" s="1063"/>
      <c r="F1011" s="1061"/>
      <c r="G1011" s="1056" t="s">
        <v>374</v>
      </c>
      <c r="H1011" s="1057" t="s">
        <v>2674</v>
      </c>
      <c r="I1011" s="1058" t="e">
        <f>VLOOKUP(H1003,'LƯƠNG KT'!$D$15:$R$94,12,0)</f>
        <v>#N/A</v>
      </c>
      <c r="J1011" s="1059" t="e">
        <f>VLOOKUP(H1003,'LƯƠNG KT'!$D$15:$R$94,14,0)</f>
        <v>#N/A</v>
      </c>
      <c r="K1011" s="1085"/>
      <c r="L1011" s="1085"/>
      <c r="M1011" s="1085"/>
      <c r="N1011" s="1085"/>
      <c r="O1011" s="1085"/>
    </row>
    <row r="1012" spans="1:15" ht="15" customHeight="1">
      <c r="A1012" s="1056" t="s">
        <v>2675</v>
      </c>
      <c r="B1012" s="1057" t="s">
        <v>2676</v>
      </c>
      <c r="D1012" s="1064" t="e">
        <f>VLOOKUP(B1003,'LƯƠNG KT'!$D$15:$R$94,13,0)</f>
        <v>#N/A</v>
      </c>
      <c r="E1012" s="1065"/>
      <c r="F1012" s="1065"/>
      <c r="G1012" s="1056" t="s">
        <v>2675</v>
      </c>
      <c r="H1012" s="1057" t="s">
        <v>2676</v>
      </c>
      <c r="J1012" s="1064" t="e">
        <f>VLOOKUP(H1003,'LƯƠNG KT'!$D$15:$R$94,13,0)</f>
        <v>#N/A</v>
      </c>
    </row>
    <row r="1013" spans="1:15" ht="15" customHeight="1">
      <c r="A1013" s="1066"/>
      <c r="B1013" s="869"/>
      <c r="C1013" s="1058"/>
      <c r="D1013" s="1059"/>
      <c r="E1013" s="1063"/>
      <c r="F1013" s="1065"/>
      <c r="G1013" s="1066"/>
      <c r="H1013" s="869"/>
      <c r="I1013" s="1058"/>
      <c r="J1013" s="1059"/>
    </row>
    <row r="1014" spans="1:15" ht="15" customHeight="1">
      <c r="A1014" s="1052"/>
      <c r="B1014" s="869"/>
      <c r="C1014" s="1058"/>
      <c r="D1014" s="1059"/>
      <c r="E1014" s="1067"/>
      <c r="F1014" s="1051"/>
      <c r="G1014" s="1052"/>
      <c r="H1014" s="869"/>
      <c r="I1014" s="1058"/>
      <c r="J1014" s="1059"/>
    </row>
    <row r="1015" spans="1:15" ht="15" customHeight="1">
      <c r="A1015" s="1068" t="s">
        <v>383</v>
      </c>
      <c r="B1015" s="1069" t="s">
        <v>384</v>
      </c>
      <c r="C1015" s="1070"/>
      <c r="D1015" s="1071" t="e">
        <f>SUM(D1004:D1011)-D1014</f>
        <v>#N/A</v>
      </c>
      <c r="E1015" s="1072"/>
      <c r="F1015" s="1073"/>
      <c r="G1015" s="1068" t="s">
        <v>383</v>
      </c>
      <c r="H1015" s="1069" t="s">
        <v>384</v>
      </c>
      <c r="I1015" s="1070"/>
      <c r="J1015" s="1071" t="e">
        <f>SUM(J1004:J1011)-J1014</f>
        <v>#N/A</v>
      </c>
    </row>
    <row r="1016" spans="1:15" ht="18.75" customHeight="1">
      <c r="A1016" s="1074"/>
      <c r="B1016" s="1075"/>
      <c r="C1016" s="1076"/>
      <c r="D1016" s="1077"/>
      <c r="E1016" s="1077"/>
      <c r="F1016" s="1078"/>
      <c r="G1016" s="1074"/>
      <c r="H1016" s="1075"/>
      <c r="I1016" s="1076"/>
      <c r="J1016" s="1077"/>
    </row>
    <row r="1017" spans="1:15" ht="139.5" customHeight="1">
      <c r="A1017" s="1075"/>
      <c r="B1017" s="1075"/>
      <c r="C1017" s="1079"/>
      <c r="D1017" s="1080"/>
      <c r="E1017" s="1075"/>
      <c r="F1017" s="1081"/>
      <c r="G1017" s="1075"/>
      <c r="H1017" s="1075"/>
      <c r="I1017" s="1079"/>
      <c r="J1017" s="1080"/>
    </row>
    <row r="1018" spans="1:15" ht="15" customHeight="1">
      <c r="A1018" s="2242" t="str">
        <f>$K$2</f>
        <v>THÁNG 04/2025</v>
      </c>
      <c r="B1018" s="2242"/>
      <c r="C1018" s="2242"/>
      <c r="D1018" s="2242"/>
      <c r="E1018" s="1050"/>
      <c r="F1018" s="1051"/>
      <c r="G1018" s="2242" t="str">
        <f>$K$2</f>
        <v>THÁNG 04/2025</v>
      </c>
      <c r="H1018" s="2242"/>
      <c r="I1018" s="2242"/>
      <c r="J1018" s="2242"/>
      <c r="K1018" s="624"/>
    </row>
    <row r="1019" spans="1:15" ht="15" customHeight="1">
      <c r="A1019" s="1052" t="s">
        <v>356</v>
      </c>
      <c r="B1019" s="1053" t="s">
        <v>2645</v>
      </c>
      <c r="C1019" s="869"/>
      <c r="D1019" s="1049"/>
      <c r="E1019" s="1054"/>
      <c r="F1019" s="1055"/>
      <c r="G1019" s="1052" t="s">
        <v>356</v>
      </c>
      <c r="H1019" s="1053" t="s">
        <v>59</v>
      </c>
      <c r="I1019" s="869"/>
      <c r="J1019" s="1049"/>
      <c r="L1019" s="1088"/>
      <c r="M1019" s="1088"/>
      <c r="N1019" s="1088"/>
      <c r="O1019" s="1088"/>
    </row>
    <row r="1020" spans="1:15" ht="15" customHeight="1">
      <c r="A1020" s="1056" t="s">
        <v>359</v>
      </c>
      <c r="B1020" s="1057" t="s">
        <v>2662</v>
      </c>
      <c r="C1020" s="1058" t="e">
        <f>VLOOKUP(B1019,'LƯƠNG KT'!$D$15:$R$94,4,0)</f>
        <v>#N/A</v>
      </c>
      <c r="D1020" s="1059" t="e">
        <f>+C1020*25000</f>
        <v>#N/A</v>
      </c>
      <c r="E1020" s="1060"/>
      <c r="F1020" s="1060"/>
      <c r="G1020" s="1056" t="s">
        <v>359</v>
      </c>
      <c r="H1020" s="1057" t="s">
        <v>2662</v>
      </c>
      <c r="I1020" s="1058" t="e">
        <f>VLOOKUP(H1019,'LƯƠNG KT'!$D$15:$R$94,4,0)</f>
        <v>#N/A</v>
      </c>
      <c r="J1020" s="1059" t="e">
        <f>+I1020*25000</f>
        <v>#N/A</v>
      </c>
      <c r="K1020" s="1085"/>
      <c r="L1020" s="1085"/>
      <c r="M1020" s="1085"/>
      <c r="N1020" s="1085"/>
      <c r="O1020" s="1085"/>
    </row>
    <row r="1021" spans="1:15" ht="15" customHeight="1">
      <c r="A1021" s="1056" t="s">
        <v>361</v>
      </c>
      <c r="B1021" s="1057" t="s">
        <v>2663</v>
      </c>
      <c r="C1021" s="1058" t="e">
        <f>VLOOKUP(B1019,'LƯƠNG KT'!$D$15:$R$94,15,0)</f>
        <v>#N/A</v>
      </c>
      <c r="D1021" s="1059" t="e">
        <f>C1021*$L$4</f>
        <v>#N/A</v>
      </c>
      <c r="E1021" s="1061"/>
      <c r="F1021" s="1061"/>
      <c r="G1021" s="1056" t="s">
        <v>361</v>
      </c>
      <c r="H1021" s="1057" t="s">
        <v>2663</v>
      </c>
      <c r="I1021" s="1058" t="e">
        <f>VLOOKUP(H1019,'LƯƠNG KT'!$D$15:$R$94,15,0)</f>
        <v>#N/A</v>
      </c>
      <c r="J1021" s="1059" t="e">
        <f>I1021*$L$4</f>
        <v>#N/A</v>
      </c>
      <c r="K1021" s="1085"/>
      <c r="L1021" s="1085"/>
      <c r="M1021" s="1085"/>
      <c r="N1021" s="1085"/>
      <c r="O1021" s="1085"/>
    </row>
    <row r="1022" spans="1:15" ht="15" customHeight="1">
      <c r="A1022" s="1056" t="s">
        <v>364</v>
      </c>
      <c r="B1022" s="1057" t="s">
        <v>2664</v>
      </c>
      <c r="C1022" s="1058" t="e">
        <f>VLOOKUP(B1019,'LƯƠNG KT'!$D$15:$R$94,16,0)</f>
        <v>#N/A</v>
      </c>
      <c r="D1022" s="1059" t="e">
        <f>C1022*$L$5</f>
        <v>#N/A</v>
      </c>
      <c r="E1022" s="1061"/>
      <c r="F1022" s="1061"/>
      <c r="G1022" s="1056" t="s">
        <v>364</v>
      </c>
      <c r="H1022" s="1057" t="s">
        <v>2664</v>
      </c>
      <c r="I1022" s="1058" t="e">
        <f>VLOOKUP(H1019,'LƯƠNG KT'!$D$15:$R$94,16,0)</f>
        <v>#N/A</v>
      </c>
      <c r="J1022" s="1059" t="e">
        <f>I1022*$L$5</f>
        <v>#N/A</v>
      </c>
      <c r="K1022" s="1085"/>
      <c r="L1022" s="1085"/>
      <c r="M1022" s="1085"/>
      <c r="N1022" s="1085"/>
      <c r="O1022" s="1085"/>
    </row>
    <row r="1023" spans="1:15" ht="15" customHeight="1">
      <c r="A1023" s="1056" t="s">
        <v>370</v>
      </c>
      <c r="B1023" s="1057" t="s">
        <v>2665</v>
      </c>
      <c r="C1023" s="1058" t="e">
        <f>VLOOKUP(B1019,'LƯƠNG KT'!$D$15:$R$94,24,0)</f>
        <v>#N/A</v>
      </c>
      <c r="D1023" s="1059" t="e">
        <f>+C1023*$L$6</f>
        <v>#N/A</v>
      </c>
      <c r="E1023" s="1061"/>
      <c r="F1023" s="1061"/>
      <c r="G1023" s="1056" t="s">
        <v>370</v>
      </c>
      <c r="H1023" s="1057" t="s">
        <v>2665</v>
      </c>
      <c r="I1023" s="1058" t="e">
        <f>VLOOKUP(H1019,'LƯƠNG KT'!$D$15:$R$94,24,0)</f>
        <v>#N/A</v>
      </c>
      <c r="J1023" s="1059" t="e">
        <f>+I1023*$L$6</f>
        <v>#N/A</v>
      </c>
      <c r="K1023" s="1085"/>
      <c r="L1023" s="1085"/>
      <c r="M1023" s="1085"/>
      <c r="N1023" s="1085"/>
      <c r="O1023" s="1085"/>
    </row>
    <row r="1024" spans="1:15" ht="15" customHeight="1">
      <c r="A1024" s="1056" t="s">
        <v>2666</v>
      </c>
      <c r="B1024" s="1057" t="s">
        <v>2667</v>
      </c>
      <c r="C1024" s="1058" t="e">
        <f>VLOOKUP(B1019,'LƯƠNG KT'!$D$15:$R$94,19,0)</f>
        <v>#N/A</v>
      </c>
      <c r="D1024" s="1059" t="e">
        <f>+C1024*$L$8</f>
        <v>#N/A</v>
      </c>
      <c r="E1024" s="1061"/>
      <c r="F1024" s="1061"/>
      <c r="G1024" s="1056" t="s">
        <v>2666</v>
      </c>
      <c r="H1024" s="1057" t="s">
        <v>2667</v>
      </c>
      <c r="I1024" s="1058" t="e">
        <f>VLOOKUP(H1019,'LƯƠNG KT'!$D$15:$R$94,19,0)</f>
        <v>#N/A</v>
      </c>
      <c r="J1024" s="1059" t="e">
        <f>+I1024*$L$8</f>
        <v>#N/A</v>
      </c>
      <c r="K1024" s="1085"/>
      <c r="L1024" s="1085"/>
      <c r="M1024" s="1085"/>
      <c r="N1024" s="1085"/>
      <c r="O1024" s="1085"/>
    </row>
    <row r="1025" spans="1:15" ht="15" customHeight="1">
      <c r="A1025" s="1056" t="s">
        <v>2668</v>
      </c>
      <c r="B1025" s="1062" t="s">
        <v>2669</v>
      </c>
      <c r="C1025" s="1058" t="e">
        <f>VLOOKUP(B1019,'LƯƠNG KT'!$D$15:$R$94,20,0)</f>
        <v>#N/A</v>
      </c>
      <c r="D1025" s="1059" t="e">
        <f>+C1025*$L$9</f>
        <v>#N/A</v>
      </c>
      <c r="E1025" s="1061"/>
      <c r="F1025" s="1061"/>
      <c r="G1025" s="1056" t="s">
        <v>2668</v>
      </c>
      <c r="H1025" s="1062" t="s">
        <v>2669</v>
      </c>
      <c r="I1025" s="1058" t="e">
        <f>VLOOKUP(H1019,'LƯƠNG KT'!$D$15:$R$94,20,0)</f>
        <v>#N/A</v>
      </c>
      <c r="J1025" s="1059" t="e">
        <f>+I1025*$L$9</f>
        <v>#N/A</v>
      </c>
      <c r="K1025" s="1085"/>
      <c r="L1025" s="1085"/>
      <c r="M1025" s="1085"/>
      <c r="N1025" s="1085"/>
      <c r="O1025" s="1085"/>
    </row>
    <row r="1026" spans="1:15" ht="15" customHeight="1">
      <c r="A1026" s="1056" t="s">
        <v>2671</v>
      </c>
      <c r="B1026" s="1057" t="s">
        <v>2672</v>
      </c>
      <c r="C1026" s="1058" t="e">
        <f>VLOOKUP(B1019,'LƯƠNG KT'!$D$15:$R$94,17,0)</f>
        <v>#N/A</v>
      </c>
      <c r="D1026" s="1059" t="e">
        <f>+C1026*$L$10</f>
        <v>#N/A</v>
      </c>
      <c r="E1026" s="1061"/>
      <c r="F1026" s="1061"/>
      <c r="G1026" s="1056" t="s">
        <v>2671</v>
      </c>
      <c r="H1026" s="1057" t="s">
        <v>2672</v>
      </c>
      <c r="I1026" s="1058" t="e">
        <f>VLOOKUP(H1019,'LƯƠNG KT'!$D$15:$R$94,17,0)</f>
        <v>#N/A</v>
      </c>
      <c r="J1026" s="1059" t="e">
        <f>+I1026*$L$10</f>
        <v>#N/A</v>
      </c>
      <c r="K1026" s="1085"/>
      <c r="L1026" s="1085"/>
      <c r="M1026" s="1085"/>
      <c r="N1026" s="1085"/>
      <c r="O1026" s="1085"/>
    </row>
    <row r="1027" spans="1:15" ht="15" customHeight="1">
      <c r="A1027" s="1056" t="s">
        <v>374</v>
      </c>
      <c r="B1027" s="1057" t="s">
        <v>2674</v>
      </c>
      <c r="C1027" s="1058" t="e">
        <f>VLOOKUP(B1019,'LƯƠNG KT'!$D$15:$R$94,12,0)</f>
        <v>#N/A</v>
      </c>
      <c r="D1027" s="1059" t="e">
        <f>VLOOKUP(B1019,'LƯƠNG KT'!$D$15:$R$94,14,0)</f>
        <v>#N/A</v>
      </c>
      <c r="E1027" s="1063"/>
      <c r="F1027" s="1061"/>
      <c r="G1027" s="1056" t="s">
        <v>374</v>
      </c>
      <c r="H1027" s="1057" t="s">
        <v>2674</v>
      </c>
      <c r="I1027" s="1058" t="e">
        <f>VLOOKUP(H1019,'LƯƠNG KT'!$D$15:$R$94,12,0)</f>
        <v>#N/A</v>
      </c>
      <c r="J1027" s="1059" t="e">
        <f>VLOOKUP(H1019,'LƯƠNG KT'!$D$15:$R$94,14,0)</f>
        <v>#N/A</v>
      </c>
      <c r="K1027" s="1085"/>
      <c r="L1027" s="1085"/>
      <c r="M1027" s="1085"/>
      <c r="N1027" s="1085"/>
      <c r="O1027" s="1085"/>
    </row>
    <row r="1028" spans="1:15" ht="15" customHeight="1">
      <c r="A1028" s="1056" t="s">
        <v>2675</v>
      </c>
      <c r="B1028" s="1057" t="s">
        <v>2676</v>
      </c>
      <c r="D1028" s="1064" t="e">
        <f>VLOOKUP(B1019,'LƯƠNG KT'!$D$15:$R$94,13,0)</f>
        <v>#N/A</v>
      </c>
      <c r="E1028" s="1065"/>
      <c r="F1028" s="1065"/>
      <c r="G1028" s="1056" t="s">
        <v>2675</v>
      </c>
      <c r="H1028" s="1057" t="s">
        <v>2676</v>
      </c>
      <c r="J1028" s="1064" t="e">
        <f>VLOOKUP(H1019,'LƯƠNG KT'!$D$15:$R$94,13,0)</f>
        <v>#N/A</v>
      </c>
    </row>
    <row r="1029" spans="1:15" ht="15" customHeight="1">
      <c r="A1029" s="1066"/>
      <c r="B1029" s="869"/>
      <c r="C1029" s="1058"/>
      <c r="D1029" s="1059"/>
      <c r="E1029" s="1063"/>
      <c r="F1029" s="1065"/>
      <c r="G1029" s="1066"/>
      <c r="H1029" s="869"/>
      <c r="I1029" s="1058"/>
      <c r="J1029" s="1059"/>
    </row>
    <row r="1030" spans="1:15" ht="15" customHeight="1">
      <c r="A1030" s="1052"/>
      <c r="B1030" s="869"/>
      <c r="C1030" s="1058"/>
      <c r="D1030" s="1059"/>
      <c r="E1030" s="1067"/>
      <c r="F1030" s="1051"/>
      <c r="G1030" s="1052"/>
      <c r="H1030" s="869"/>
      <c r="I1030" s="1058"/>
      <c r="J1030" s="1059"/>
    </row>
    <row r="1031" spans="1:15" ht="15" customHeight="1">
      <c r="A1031" s="1068" t="s">
        <v>383</v>
      </c>
      <c r="B1031" s="1069" t="s">
        <v>384</v>
      </c>
      <c r="C1031" s="1070"/>
      <c r="D1031" s="1071" t="e">
        <f>SUM(D1020:D1027)-D1030</f>
        <v>#N/A</v>
      </c>
      <c r="E1031" s="1072"/>
      <c r="F1031" s="1073"/>
      <c r="G1031" s="1068" t="s">
        <v>383</v>
      </c>
      <c r="H1031" s="1069" t="s">
        <v>384</v>
      </c>
      <c r="I1031" s="1070"/>
      <c r="J1031" s="1071" t="e">
        <f>SUM(J1020:J1027)-J1030</f>
        <v>#N/A</v>
      </c>
    </row>
    <row r="1032" spans="1:15" ht="18.75" customHeight="1">
      <c r="A1032" s="1074"/>
      <c r="B1032" s="1075"/>
      <c r="C1032" s="1076"/>
      <c r="D1032" s="1077"/>
      <c r="E1032" s="1077"/>
      <c r="F1032" s="1078"/>
      <c r="G1032" s="1074"/>
      <c r="H1032" s="1075"/>
      <c r="I1032" s="1076"/>
      <c r="J1032" s="1077"/>
    </row>
    <row r="1033" spans="1:15" ht="18.75" customHeight="1">
      <c r="A1033" s="1075"/>
      <c r="B1033" s="1075"/>
      <c r="C1033" s="1079"/>
      <c r="D1033" s="1080"/>
      <c r="E1033" s="1075"/>
      <c r="F1033" s="1081"/>
      <c r="G1033" s="1075"/>
      <c r="H1033" s="1075"/>
      <c r="I1033" s="1079"/>
      <c r="J1033" s="1080"/>
    </row>
    <row r="1034" spans="1:15" ht="15" customHeight="1">
      <c r="A1034" s="2242" t="str">
        <f>$K$2</f>
        <v>THÁNG 04/2025</v>
      </c>
      <c r="B1034" s="2242"/>
      <c r="C1034" s="2242"/>
      <c r="D1034" s="2242"/>
      <c r="E1034" s="1050"/>
      <c r="F1034" s="1051"/>
      <c r="G1034" s="2242" t="str">
        <f>$K$2</f>
        <v>THÁNG 04/2025</v>
      </c>
      <c r="H1034" s="2242"/>
      <c r="I1034" s="2242"/>
      <c r="J1034" s="2242"/>
      <c r="K1034" s="624"/>
    </row>
    <row r="1035" spans="1:15" ht="15" customHeight="1">
      <c r="A1035" s="1052" t="s">
        <v>356</v>
      </c>
      <c r="B1035" s="1053" t="s">
        <v>436</v>
      </c>
      <c r="C1035" s="869"/>
      <c r="D1035" s="1049"/>
      <c r="E1035" s="1054"/>
      <c r="F1035" s="1055"/>
      <c r="G1035" s="1052" t="s">
        <v>356</v>
      </c>
      <c r="H1035" s="1053" t="s">
        <v>60</v>
      </c>
      <c r="I1035" s="869"/>
      <c r="J1035" s="1049"/>
      <c r="L1035" s="1088"/>
      <c r="M1035" s="1088"/>
      <c r="N1035" s="1088"/>
      <c r="O1035" s="1088"/>
    </row>
    <row r="1036" spans="1:15" ht="15" customHeight="1">
      <c r="A1036" s="1056" t="s">
        <v>359</v>
      </c>
      <c r="B1036" s="1057" t="s">
        <v>2662</v>
      </c>
      <c r="C1036" s="1058" t="e">
        <f>VLOOKUP(B1035,'LƯƠNG KT'!$D$15:$R$94,4,0)</f>
        <v>#N/A</v>
      </c>
      <c r="D1036" s="1059" t="e">
        <f>+C1036*25000</f>
        <v>#N/A</v>
      </c>
      <c r="E1036" s="1060"/>
      <c r="F1036" s="1060"/>
      <c r="G1036" s="1056" t="s">
        <v>359</v>
      </c>
      <c r="H1036" s="1057" t="s">
        <v>2662</v>
      </c>
      <c r="I1036" s="1058" t="e">
        <f>VLOOKUP(H1035,'LƯƠNG KT'!$D$15:$R$94,4,0)</f>
        <v>#N/A</v>
      </c>
      <c r="J1036" s="1059" t="e">
        <f>+I1036*25000</f>
        <v>#N/A</v>
      </c>
      <c r="K1036" s="1085"/>
      <c r="L1036" s="1085"/>
      <c r="M1036" s="1085"/>
      <c r="N1036" s="1085"/>
      <c r="O1036" s="1085"/>
    </row>
    <row r="1037" spans="1:15" ht="15" customHeight="1">
      <c r="A1037" s="1056" t="s">
        <v>361</v>
      </c>
      <c r="B1037" s="1057" t="s">
        <v>2663</v>
      </c>
      <c r="C1037" s="1058" t="e">
        <f>VLOOKUP(B1035,'LƯƠNG KT'!$D$15:$R$94,15,0)</f>
        <v>#N/A</v>
      </c>
      <c r="D1037" s="1059" t="e">
        <f>C1037*$L$4</f>
        <v>#N/A</v>
      </c>
      <c r="E1037" s="1061"/>
      <c r="F1037" s="1061"/>
      <c r="G1037" s="1056" t="s">
        <v>361</v>
      </c>
      <c r="H1037" s="1057" t="s">
        <v>2663</v>
      </c>
      <c r="I1037" s="1058" t="e">
        <f>VLOOKUP(H1035,'LƯƠNG KT'!$D$15:$R$94,15,0)</f>
        <v>#N/A</v>
      </c>
      <c r="J1037" s="1059" t="e">
        <f>I1037*$L$4</f>
        <v>#N/A</v>
      </c>
      <c r="K1037" s="1085"/>
      <c r="L1037" s="1085"/>
      <c r="M1037" s="1085"/>
      <c r="N1037" s="1085"/>
      <c r="O1037" s="1085"/>
    </row>
    <row r="1038" spans="1:15" ht="15" customHeight="1">
      <c r="A1038" s="1056" t="s">
        <v>364</v>
      </c>
      <c r="B1038" s="1057" t="s">
        <v>2664</v>
      </c>
      <c r="C1038" s="1058" t="e">
        <f>VLOOKUP(B1035,'LƯƠNG KT'!$D$15:$R$94,16,0)</f>
        <v>#N/A</v>
      </c>
      <c r="D1038" s="1059" t="e">
        <f>C1038*$L$5</f>
        <v>#N/A</v>
      </c>
      <c r="E1038" s="1061"/>
      <c r="F1038" s="1061"/>
      <c r="G1038" s="1056" t="s">
        <v>364</v>
      </c>
      <c r="H1038" s="1057" t="s">
        <v>2664</v>
      </c>
      <c r="I1038" s="1058" t="e">
        <f>VLOOKUP(H1035,'LƯƠNG KT'!$D$15:$R$94,16,0)</f>
        <v>#N/A</v>
      </c>
      <c r="J1038" s="1059" t="e">
        <f>I1038*$L$5</f>
        <v>#N/A</v>
      </c>
      <c r="K1038" s="1085"/>
      <c r="L1038" s="1085"/>
      <c r="M1038" s="1085"/>
      <c r="N1038" s="1085"/>
      <c r="O1038" s="1085"/>
    </row>
    <row r="1039" spans="1:15" ht="15" customHeight="1">
      <c r="A1039" s="1056" t="s">
        <v>370</v>
      </c>
      <c r="B1039" s="1057" t="s">
        <v>2665</v>
      </c>
      <c r="C1039" s="1058" t="e">
        <f>VLOOKUP(B1035,'LƯƠNG KT'!$D$15:$R$94,24,0)</f>
        <v>#N/A</v>
      </c>
      <c r="D1039" s="1059" t="e">
        <f>+C1039*$L$6</f>
        <v>#N/A</v>
      </c>
      <c r="E1039" s="1061"/>
      <c r="F1039" s="1061"/>
      <c r="G1039" s="1056" t="s">
        <v>370</v>
      </c>
      <c r="H1039" s="1057" t="s">
        <v>2665</v>
      </c>
      <c r="I1039" s="1058" t="e">
        <f>VLOOKUP(H1035,'LƯƠNG KT'!$D$15:$R$94,24,0)</f>
        <v>#N/A</v>
      </c>
      <c r="J1039" s="1059" t="e">
        <f>+I1039*$L$6</f>
        <v>#N/A</v>
      </c>
      <c r="K1039" s="1085"/>
      <c r="L1039" s="1085"/>
      <c r="M1039" s="1085"/>
      <c r="N1039" s="1085"/>
      <c r="O1039" s="1085"/>
    </row>
    <row r="1040" spans="1:15" ht="15" customHeight="1">
      <c r="A1040" s="1056" t="s">
        <v>2666</v>
      </c>
      <c r="B1040" s="1057" t="s">
        <v>2667</v>
      </c>
      <c r="C1040" s="1058" t="e">
        <f>VLOOKUP(B1035,'LƯƠNG KT'!$D$15:$R$94,19,0)</f>
        <v>#N/A</v>
      </c>
      <c r="D1040" s="1059" t="e">
        <f>+C1040*$L$8</f>
        <v>#N/A</v>
      </c>
      <c r="E1040" s="1061"/>
      <c r="F1040" s="1061"/>
      <c r="G1040" s="1056" t="s">
        <v>2666</v>
      </c>
      <c r="H1040" s="1057" t="s">
        <v>2667</v>
      </c>
      <c r="I1040" s="1058" t="e">
        <f>VLOOKUP(H1035,'LƯƠNG KT'!$D$15:$R$94,19,0)</f>
        <v>#N/A</v>
      </c>
      <c r="J1040" s="1059" t="e">
        <f>+I1040*$L$8</f>
        <v>#N/A</v>
      </c>
      <c r="K1040" s="1085"/>
      <c r="L1040" s="1085"/>
      <c r="M1040" s="1085"/>
      <c r="N1040" s="1085"/>
      <c r="O1040" s="1085"/>
    </row>
    <row r="1041" spans="1:15" ht="15" customHeight="1">
      <c r="A1041" s="1056" t="s">
        <v>2668</v>
      </c>
      <c r="B1041" s="1062" t="s">
        <v>2669</v>
      </c>
      <c r="C1041" s="1058" t="e">
        <f>VLOOKUP(B1035,'LƯƠNG KT'!$D$15:$R$94,20,0)</f>
        <v>#N/A</v>
      </c>
      <c r="D1041" s="1059" t="e">
        <f>+C1041*$L$9</f>
        <v>#N/A</v>
      </c>
      <c r="E1041" s="1061"/>
      <c r="F1041" s="1061"/>
      <c r="G1041" s="1056" t="s">
        <v>2668</v>
      </c>
      <c r="H1041" s="1062" t="s">
        <v>2669</v>
      </c>
      <c r="I1041" s="1058" t="e">
        <f>VLOOKUP(H1035,'LƯƠNG KT'!$D$15:$R$94,20,0)</f>
        <v>#N/A</v>
      </c>
      <c r="J1041" s="1059" t="e">
        <f>+I1041*$L$9</f>
        <v>#N/A</v>
      </c>
      <c r="K1041" s="1085"/>
      <c r="L1041" s="1085"/>
      <c r="M1041" s="1085"/>
      <c r="N1041" s="1085"/>
      <c r="O1041" s="1085"/>
    </row>
    <row r="1042" spans="1:15" ht="15" customHeight="1">
      <c r="A1042" s="1056" t="s">
        <v>2671</v>
      </c>
      <c r="B1042" s="1057" t="s">
        <v>2672</v>
      </c>
      <c r="C1042" s="1058" t="e">
        <f>VLOOKUP(B1035,'LƯƠNG KT'!$D$15:$R$94,17,0)</f>
        <v>#N/A</v>
      </c>
      <c r="D1042" s="1059" t="e">
        <f>+C1042*$L$10</f>
        <v>#N/A</v>
      </c>
      <c r="E1042" s="1061"/>
      <c r="F1042" s="1061"/>
      <c r="G1042" s="1056" t="s">
        <v>2671</v>
      </c>
      <c r="H1042" s="1057" t="s">
        <v>2672</v>
      </c>
      <c r="I1042" s="1058" t="e">
        <f>VLOOKUP(H1035,'LƯƠNG KT'!$D$15:$R$94,17,0)</f>
        <v>#N/A</v>
      </c>
      <c r="J1042" s="1059" t="e">
        <f>+I1042*$L$10</f>
        <v>#N/A</v>
      </c>
      <c r="K1042" s="1085"/>
      <c r="L1042" s="1085"/>
      <c r="M1042" s="1085"/>
      <c r="N1042" s="1085"/>
      <c r="O1042" s="1085"/>
    </row>
    <row r="1043" spans="1:15" ht="15" customHeight="1">
      <c r="A1043" s="1056" t="s">
        <v>374</v>
      </c>
      <c r="B1043" s="1057" t="s">
        <v>2674</v>
      </c>
      <c r="C1043" s="1058" t="e">
        <f>VLOOKUP(B1035,'LƯƠNG KT'!$D$15:$R$94,12,0)</f>
        <v>#N/A</v>
      </c>
      <c r="D1043" s="1059" t="e">
        <f>VLOOKUP(B1035,'LƯƠNG KT'!$D$15:$R$94,14,0)</f>
        <v>#N/A</v>
      </c>
      <c r="E1043" s="1063"/>
      <c r="F1043" s="1061"/>
      <c r="G1043" s="1056" t="s">
        <v>374</v>
      </c>
      <c r="H1043" s="1057" t="s">
        <v>2674</v>
      </c>
      <c r="I1043" s="1058" t="e">
        <f>VLOOKUP(H1035,'LƯƠNG KT'!$D$15:$R$94,12,0)</f>
        <v>#N/A</v>
      </c>
      <c r="J1043" s="1059" t="e">
        <f>VLOOKUP(H1035,'LƯƠNG KT'!$D$15:$R$94,14,0)</f>
        <v>#N/A</v>
      </c>
      <c r="K1043" s="1085"/>
      <c r="L1043" s="1085"/>
      <c r="M1043" s="1085"/>
      <c r="N1043" s="1085"/>
      <c r="O1043" s="1085"/>
    </row>
    <row r="1044" spans="1:15" ht="15" customHeight="1">
      <c r="A1044" s="1056" t="s">
        <v>2675</v>
      </c>
      <c r="B1044" s="1057" t="s">
        <v>2676</v>
      </c>
      <c r="D1044" s="1064" t="e">
        <f>VLOOKUP(B1035,'LƯƠNG KT'!$D$15:$R$94,13,0)</f>
        <v>#N/A</v>
      </c>
      <c r="E1044" s="1065"/>
      <c r="F1044" s="1065"/>
      <c r="G1044" s="1056" t="s">
        <v>2675</v>
      </c>
      <c r="H1044" s="1057" t="s">
        <v>2676</v>
      </c>
      <c r="J1044" s="1064" t="e">
        <f>VLOOKUP(H1035,'LƯƠNG KT'!$D$15:$R$94,13,0)</f>
        <v>#N/A</v>
      </c>
    </row>
    <row r="1045" spans="1:15" ht="15" customHeight="1">
      <c r="A1045" s="1066"/>
      <c r="B1045" s="869"/>
      <c r="C1045" s="1058"/>
      <c r="D1045" s="1059"/>
      <c r="E1045" s="1063"/>
      <c r="F1045" s="1065"/>
      <c r="G1045" s="1066"/>
      <c r="H1045" s="869"/>
      <c r="I1045" s="1058"/>
      <c r="J1045" s="1059"/>
    </row>
    <row r="1046" spans="1:15" ht="15" customHeight="1">
      <c r="A1046" s="1052"/>
      <c r="B1046" s="869"/>
      <c r="C1046" s="1058"/>
      <c r="D1046" s="1059"/>
      <c r="E1046" s="1067"/>
      <c r="F1046" s="1051"/>
      <c r="G1046" s="1052"/>
      <c r="H1046" s="869"/>
      <c r="I1046" s="1058"/>
      <c r="J1046" s="1059"/>
    </row>
    <row r="1047" spans="1:15" ht="15" customHeight="1">
      <c r="A1047" s="1068" t="s">
        <v>383</v>
      </c>
      <c r="B1047" s="1069" t="s">
        <v>384</v>
      </c>
      <c r="C1047" s="1070"/>
      <c r="D1047" s="1071" t="e">
        <f>SUM(D1036:D1043)-D1046</f>
        <v>#N/A</v>
      </c>
      <c r="E1047" s="1072"/>
      <c r="F1047" s="1073"/>
      <c r="G1047" s="1068" t="s">
        <v>383</v>
      </c>
      <c r="H1047" s="1069" t="s">
        <v>384</v>
      </c>
      <c r="I1047" s="1070"/>
      <c r="J1047" s="1071" t="e">
        <f>SUM(J1036:J1043)-J1046</f>
        <v>#N/A</v>
      </c>
    </row>
    <row r="1048" spans="1:15" ht="15.75" customHeight="1">
      <c r="A1048" s="1074"/>
      <c r="B1048" s="1075"/>
      <c r="C1048" s="1076"/>
      <c r="D1048" s="1077"/>
      <c r="E1048" s="1077"/>
      <c r="F1048" s="1078"/>
      <c r="G1048" s="1074"/>
      <c r="H1048" s="1075"/>
      <c r="I1048" s="1076"/>
      <c r="J1048" s="1077"/>
    </row>
    <row r="1050" spans="1:15" ht="12" customHeight="1">
      <c r="A1050" s="2243"/>
      <c r="B1050" s="2243"/>
      <c r="C1050" s="2243"/>
      <c r="D1050" s="2243"/>
      <c r="E1050" s="2243"/>
      <c r="F1050" s="2243"/>
      <c r="G1050" s="2243"/>
      <c r="H1050" s="2243"/>
      <c r="I1050" s="2243"/>
      <c r="J1050" s="2243"/>
    </row>
    <row r="1051" spans="1:15" ht="15" customHeight="1">
      <c r="A1051" s="2242" t="str">
        <f>$K$2</f>
        <v>THÁNG 04/2025</v>
      </c>
      <c r="B1051" s="2242"/>
      <c r="C1051" s="2242"/>
      <c r="D1051" s="2242"/>
      <c r="E1051" s="1050"/>
      <c r="F1051" s="1051"/>
      <c r="G1051" s="2242" t="str">
        <f>$K$2</f>
        <v>THÁNG 04/2025</v>
      </c>
      <c r="H1051" s="2242"/>
      <c r="I1051" s="2242"/>
      <c r="J1051" s="2242"/>
      <c r="K1051" s="624"/>
    </row>
    <row r="1052" spans="1:15" ht="15" customHeight="1">
      <c r="A1052" s="1052" t="s">
        <v>356</v>
      </c>
      <c r="B1052" s="1053" t="s">
        <v>2024</v>
      </c>
      <c r="C1052" s="869"/>
      <c r="D1052" s="1049"/>
      <c r="E1052" s="1054"/>
      <c r="F1052" s="1055"/>
      <c r="G1052" s="1052" t="s">
        <v>356</v>
      </c>
      <c r="H1052" s="1053" t="s">
        <v>52</v>
      </c>
      <c r="I1052" s="869"/>
      <c r="J1052" s="1049"/>
      <c r="L1052" s="1088"/>
      <c r="M1052" s="1088"/>
      <c r="N1052" s="1088"/>
      <c r="O1052" s="1088"/>
    </row>
    <row r="1053" spans="1:15" ht="15" customHeight="1">
      <c r="A1053" s="1056" t="s">
        <v>359</v>
      </c>
      <c r="B1053" s="1057" t="s">
        <v>2662</v>
      </c>
      <c r="C1053" s="1058" t="e">
        <f>VLOOKUP(B1052,'LƯƠNG KT'!$D$15:$R$94,4,0)</f>
        <v>#N/A</v>
      </c>
      <c r="D1053" s="1059" t="e">
        <f>+C1053*25000</f>
        <v>#N/A</v>
      </c>
      <c r="E1053" s="1060"/>
      <c r="F1053" s="1060"/>
      <c r="G1053" s="1056" t="s">
        <v>359</v>
      </c>
      <c r="H1053" s="1057" t="s">
        <v>2662</v>
      </c>
      <c r="I1053" s="1058" t="e">
        <f>VLOOKUP(H1052,'LƯƠNG KT'!$D$15:$R$94,4,0)</f>
        <v>#N/A</v>
      </c>
      <c r="J1053" s="1059" t="e">
        <f>+I1053*25000</f>
        <v>#N/A</v>
      </c>
      <c r="K1053" s="1084"/>
      <c r="L1053" s="1085"/>
      <c r="M1053" s="1085"/>
      <c r="N1053" s="1085"/>
      <c r="O1053" s="1085"/>
    </row>
    <row r="1054" spans="1:15" ht="15" customHeight="1">
      <c r="A1054" s="1056" t="s">
        <v>361</v>
      </c>
      <c r="B1054" s="1057" t="s">
        <v>2663</v>
      </c>
      <c r="C1054" s="1058" t="e">
        <f>VLOOKUP(B1052,'LƯƠNG KT'!$D$15:$R$94,15,0)</f>
        <v>#N/A</v>
      </c>
      <c r="D1054" s="1059" t="e">
        <f>C1054*$L$4</f>
        <v>#N/A</v>
      </c>
      <c r="E1054" s="1061"/>
      <c r="F1054" s="1061"/>
      <c r="G1054" s="1056" t="s">
        <v>361</v>
      </c>
      <c r="H1054" s="1057" t="s">
        <v>2663</v>
      </c>
      <c r="I1054" s="1058" t="e">
        <f>VLOOKUP(H1052,'LƯƠNG KT'!$D$15:$R$94,15,0)</f>
        <v>#N/A</v>
      </c>
      <c r="J1054" s="1059" t="e">
        <f>I1054*$L$4</f>
        <v>#N/A</v>
      </c>
      <c r="K1054" s="1084"/>
      <c r="L1054" s="1085"/>
      <c r="M1054" s="1085"/>
      <c r="N1054" s="1085"/>
      <c r="O1054" s="1085"/>
    </row>
    <row r="1055" spans="1:15" ht="15" customHeight="1">
      <c r="A1055" s="1056" t="s">
        <v>364</v>
      </c>
      <c r="B1055" s="1057" t="s">
        <v>2664</v>
      </c>
      <c r="C1055" s="1058" t="e">
        <f>VLOOKUP(B1052,'LƯƠNG KT'!$D$15:$R$94,16,0)</f>
        <v>#N/A</v>
      </c>
      <c r="D1055" s="1059" t="e">
        <f>C1055*$L$5</f>
        <v>#N/A</v>
      </c>
      <c r="E1055" s="1061"/>
      <c r="F1055" s="1061"/>
      <c r="G1055" s="1056" t="s">
        <v>364</v>
      </c>
      <c r="H1055" s="1057" t="s">
        <v>2664</v>
      </c>
      <c r="I1055" s="1058" t="e">
        <f>VLOOKUP(H1052,'LƯƠNG KT'!$D$15:$R$94,16,0)</f>
        <v>#N/A</v>
      </c>
      <c r="J1055" s="1059" t="e">
        <f>I1055*$L$5</f>
        <v>#N/A</v>
      </c>
      <c r="K1055" s="1084"/>
      <c r="L1055" s="1085"/>
      <c r="M1055" s="1085"/>
      <c r="N1055" s="1085"/>
      <c r="O1055" s="1085"/>
    </row>
    <row r="1056" spans="1:15" ht="15" customHeight="1">
      <c r="A1056" s="1056" t="s">
        <v>370</v>
      </c>
      <c r="B1056" s="1057" t="s">
        <v>2665</v>
      </c>
      <c r="C1056" s="1058" t="e">
        <f>VLOOKUP(B1052,'LƯƠNG KT'!$D$15:$R$94,24,0)</f>
        <v>#N/A</v>
      </c>
      <c r="D1056" s="1059" t="e">
        <f>+C1056*$L$6</f>
        <v>#N/A</v>
      </c>
      <c r="E1056" s="1061"/>
      <c r="F1056" s="1061"/>
      <c r="G1056" s="1056" t="s">
        <v>370</v>
      </c>
      <c r="H1056" s="1057" t="s">
        <v>2665</v>
      </c>
      <c r="I1056" s="1058" t="e">
        <f>VLOOKUP(H1052,'LƯƠNG KT'!$D$15:$R$94,24,0)</f>
        <v>#N/A</v>
      </c>
      <c r="J1056" s="1059" t="e">
        <f>+I1056*$L$6</f>
        <v>#N/A</v>
      </c>
      <c r="K1056" s="1085"/>
      <c r="L1056" s="1085"/>
      <c r="M1056" s="1085"/>
      <c r="N1056" s="1085"/>
      <c r="O1056" s="1085"/>
    </row>
    <row r="1057" spans="1:15" ht="15" customHeight="1">
      <c r="A1057" s="1056" t="s">
        <v>2666</v>
      </c>
      <c r="B1057" s="1057" t="s">
        <v>2667</v>
      </c>
      <c r="C1057" s="1058" t="e">
        <f>VLOOKUP(B1052,'LƯƠNG KT'!$D$15:$R$94,19,0)</f>
        <v>#N/A</v>
      </c>
      <c r="D1057" s="1059" t="e">
        <f>+C1057*$L$8</f>
        <v>#N/A</v>
      </c>
      <c r="E1057" s="1061"/>
      <c r="F1057" s="1061"/>
      <c r="G1057" s="1056" t="s">
        <v>2666</v>
      </c>
      <c r="H1057" s="1057" t="s">
        <v>2667</v>
      </c>
      <c r="I1057" s="1058" t="e">
        <f>VLOOKUP(H1052,'LƯƠNG KT'!$D$15:$R$94,19,0)</f>
        <v>#N/A</v>
      </c>
      <c r="J1057" s="1059" t="e">
        <f>+I1057*$L$8</f>
        <v>#N/A</v>
      </c>
      <c r="K1057" s="1085"/>
      <c r="L1057" s="1085"/>
      <c r="M1057" s="1085"/>
      <c r="N1057" s="1085"/>
      <c r="O1057" s="1085"/>
    </row>
    <row r="1058" spans="1:15" ht="15" customHeight="1">
      <c r="A1058" s="1056" t="s">
        <v>2668</v>
      </c>
      <c r="B1058" s="1062" t="s">
        <v>2669</v>
      </c>
      <c r="C1058" s="1058" t="e">
        <f>VLOOKUP(B1052,'LƯƠNG KT'!$D$15:$R$94,20,0)</f>
        <v>#N/A</v>
      </c>
      <c r="D1058" s="1059" t="e">
        <f>+C1058*$L$9</f>
        <v>#N/A</v>
      </c>
      <c r="E1058" s="1061"/>
      <c r="F1058" s="1061"/>
      <c r="G1058" s="1056" t="s">
        <v>2668</v>
      </c>
      <c r="H1058" s="1062" t="s">
        <v>2669</v>
      </c>
      <c r="I1058" s="1058" t="e">
        <f>VLOOKUP(H1052,'LƯƠNG KT'!$D$15:$R$94,20,0)</f>
        <v>#N/A</v>
      </c>
      <c r="J1058" s="1059" t="e">
        <f>+I1058*$L$9</f>
        <v>#N/A</v>
      </c>
      <c r="K1058" s="1085"/>
      <c r="L1058" s="1085"/>
      <c r="M1058" s="1085"/>
      <c r="N1058" s="1085"/>
      <c r="O1058" s="1085"/>
    </row>
    <row r="1059" spans="1:15" ht="15" customHeight="1">
      <c r="A1059" s="1056" t="s">
        <v>2671</v>
      </c>
      <c r="B1059" s="1057" t="s">
        <v>2672</v>
      </c>
      <c r="C1059" s="1058" t="e">
        <f>VLOOKUP(B1052,'LƯƠNG KT'!$D$15:$R$94,17,0)</f>
        <v>#N/A</v>
      </c>
      <c r="D1059" s="1059" t="e">
        <f>+C1059*$L$10</f>
        <v>#N/A</v>
      </c>
      <c r="E1059" s="1061"/>
      <c r="F1059" s="1061"/>
      <c r="G1059" s="1056" t="s">
        <v>2671</v>
      </c>
      <c r="H1059" s="1057" t="s">
        <v>2672</v>
      </c>
      <c r="I1059" s="1058" t="e">
        <f>VLOOKUP(H1052,'LƯƠNG KT'!$D$15:$R$94,17,0)</f>
        <v>#N/A</v>
      </c>
      <c r="J1059" s="1059" t="e">
        <f>+I1059*$L$10</f>
        <v>#N/A</v>
      </c>
      <c r="K1059" s="1085"/>
      <c r="L1059" s="1085"/>
      <c r="M1059" s="1085"/>
      <c r="N1059" s="1085"/>
      <c r="O1059" s="1085"/>
    </row>
    <row r="1060" spans="1:15" ht="15" customHeight="1">
      <c r="A1060" s="1056" t="s">
        <v>374</v>
      </c>
      <c r="B1060" s="1057" t="s">
        <v>2674</v>
      </c>
      <c r="C1060" s="1058" t="e">
        <f>VLOOKUP(B1052,'LƯƠNG KT'!$D$15:$R$94,12,0)</f>
        <v>#N/A</v>
      </c>
      <c r="D1060" s="1059" t="e">
        <f>VLOOKUP(B1052,'LƯƠNG KT'!$D$15:$R$94,14,0)</f>
        <v>#N/A</v>
      </c>
      <c r="E1060" s="1063"/>
      <c r="F1060" s="1061"/>
      <c r="G1060" s="1056" t="s">
        <v>374</v>
      </c>
      <c r="H1060" s="1057" t="s">
        <v>2674</v>
      </c>
      <c r="I1060" s="1058" t="e">
        <f>VLOOKUP(H1052,'LƯƠNG KT'!$D$15:$R$94,12,0)</f>
        <v>#N/A</v>
      </c>
      <c r="J1060" s="1059" t="e">
        <f>VLOOKUP(H1052,'LƯƠNG KT'!$D$15:$R$94,14,0)</f>
        <v>#N/A</v>
      </c>
      <c r="K1060" s="1085"/>
      <c r="L1060" s="1085"/>
      <c r="M1060" s="1085"/>
      <c r="N1060" s="1085"/>
      <c r="O1060" s="1085"/>
    </row>
    <row r="1061" spans="1:15" ht="15" customHeight="1">
      <c r="A1061" s="1056" t="s">
        <v>2675</v>
      </c>
      <c r="B1061" s="1057" t="s">
        <v>2676</v>
      </c>
      <c r="D1061" s="1064" t="e">
        <f>VLOOKUP(B1052,'LƯƠNG KT'!$D$15:$R$94,13,0)</f>
        <v>#N/A</v>
      </c>
      <c r="E1061" s="1065"/>
      <c r="F1061" s="1065"/>
      <c r="G1061" s="1056" t="s">
        <v>2675</v>
      </c>
      <c r="H1061" s="1057" t="s">
        <v>2676</v>
      </c>
      <c r="J1061" s="1064" t="e">
        <f>VLOOKUP(H1052,'LƯƠNG KT'!$D$15:$R$94,13,0)</f>
        <v>#N/A</v>
      </c>
    </row>
    <row r="1062" spans="1:15" ht="15" customHeight="1">
      <c r="A1062" s="1066"/>
      <c r="B1062" s="869"/>
      <c r="C1062" s="1058"/>
      <c r="D1062" s="1059"/>
      <c r="E1062" s="1063"/>
      <c r="F1062" s="1065"/>
      <c r="G1062" s="1066"/>
      <c r="H1062" s="869"/>
      <c r="I1062" s="1058"/>
      <c r="J1062" s="1059"/>
    </row>
    <row r="1063" spans="1:15" ht="15" customHeight="1">
      <c r="A1063" s="1052"/>
      <c r="B1063" s="869"/>
      <c r="C1063" s="1058"/>
      <c r="D1063" s="1059"/>
      <c r="E1063" s="1067"/>
      <c r="F1063" s="1051"/>
      <c r="G1063" s="1052"/>
      <c r="H1063" s="869"/>
      <c r="I1063" s="1058"/>
      <c r="J1063" s="1059"/>
    </row>
    <row r="1064" spans="1:15" ht="15" customHeight="1">
      <c r="A1064" s="1068" t="s">
        <v>383</v>
      </c>
      <c r="B1064" s="1069" t="s">
        <v>384</v>
      </c>
      <c r="C1064" s="1070"/>
      <c r="D1064" s="1071" t="e">
        <f>SUM(D1053:D1060)-D1063</f>
        <v>#N/A</v>
      </c>
      <c r="E1064" s="1072"/>
      <c r="F1064" s="1073"/>
      <c r="G1064" s="1068" t="s">
        <v>383</v>
      </c>
      <c r="H1064" s="1069" t="s">
        <v>384</v>
      </c>
      <c r="I1064" s="1070"/>
      <c r="J1064" s="1071" t="e">
        <f>SUM(J1053:J1060)-J1063</f>
        <v>#N/A</v>
      </c>
    </row>
    <row r="1065" spans="1:15" ht="12.6" customHeight="1">
      <c r="A1065" s="1074"/>
      <c r="B1065" s="1075"/>
      <c r="C1065" s="1076"/>
      <c r="D1065" s="1077"/>
      <c r="E1065" s="1077"/>
      <c r="F1065" s="1078"/>
      <c r="G1065" s="1074"/>
      <c r="H1065" s="1075"/>
      <c r="I1065" s="1076"/>
      <c r="J1065" s="1077"/>
    </row>
    <row r="1066" spans="1:15" ht="133.5" customHeight="1">
      <c r="A1066" s="1075"/>
      <c r="B1066" s="1075"/>
      <c r="C1066" s="1079"/>
      <c r="D1066" s="1080"/>
      <c r="E1066" s="1075"/>
      <c r="F1066" s="1081"/>
      <c r="G1066" s="1075"/>
      <c r="H1066" s="1075"/>
      <c r="I1066" s="1079"/>
      <c r="J1066" s="1080"/>
    </row>
    <row r="1067" spans="1:15" ht="15" customHeight="1">
      <c r="A1067" s="2242" t="str">
        <f>$K$2</f>
        <v>THÁNG 04/2025</v>
      </c>
      <c r="B1067" s="2242"/>
      <c r="C1067" s="2242"/>
      <c r="D1067" s="2242"/>
      <c r="E1067" s="1050"/>
      <c r="F1067" s="1051"/>
      <c r="G1067" s="2242" t="str">
        <f>$K$2</f>
        <v>THÁNG 04/2025</v>
      </c>
      <c r="H1067" s="2242"/>
      <c r="I1067" s="2242"/>
      <c r="J1067" s="2242"/>
      <c r="K1067" s="624"/>
    </row>
    <row r="1068" spans="1:15" ht="15" customHeight="1">
      <c r="A1068" s="1052" t="s">
        <v>356</v>
      </c>
      <c r="B1068" s="1053" t="s">
        <v>96</v>
      </c>
      <c r="C1068" s="869"/>
      <c r="D1068" s="1049"/>
      <c r="E1068" s="1054"/>
      <c r="F1068" s="1055"/>
      <c r="G1068" s="1052" t="s">
        <v>356</v>
      </c>
      <c r="H1068" s="1053" t="s">
        <v>97</v>
      </c>
      <c r="I1068" s="869"/>
      <c r="J1068" s="1049"/>
      <c r="L1068" s="1088"/>
      <c r="M1068" s="1088"/>
      <c r="N1068" s="1088"/>
      <c r="O1068" s="1088"/>
    </row>
    <row r="1069" spans="1:15" ht="15" customHeight="1">
      <c r="A1069" s="1056" t="s">
        <v>359</v>
      </c>
      <c r="B1069" s="1057" t="s">
        <v>2662</v>
      </c>
      <c r="C1069" s="1058" t="e">
        <f>VLOOKUP(B1068,'LƯƠNG KT'!$D$15:$R$94,4,0)</f>
        <v>#N/A</v>
      </c>
      <c r="D1069" s="1059" t="e">
        <f>+C1069*25000</f>
        <v>#N/A</v>
      </c>
      <c r="E1069" s="1060"/>
      <c r="F1069" s="1060"/>
      <c r="G1069" s="1056" t="s">
        <v>359</v>
      </c>
      <c r="H1069" s="1057" t="s">
        <v>2662</v>
      </c>
      <c r="I1069" s="1058" t="e">
        <f>VLOOKUP(H1068,'LƯƠNG KT'!$D$15:$R$94,4,0)</f>
        <v>#N/A</v>
      </c>
      <c r="J1069" s="1059" t="e">
        <f>+I1069*25000</f>
        <v>#N/A</v>
      </c>
      <c r="K1069" s="1085"/>
      <c r="L1069" s="1085"/>
      <c r="M1069" s="1085"/>
      <c r="N1069" s="1085"/>
      <c r="O1069" s="1085"/>
    </row>
    <row r="1070" spans="1:15" ht="15" customHeight="1">
      <c r="A1070" s="1056" t="s">
        <v>361</v>
      </c>
      <c r="B1070" s="1057" t="s">
        <v>2663</v>
      </c>
      <c r="C1070" s="1058" t="e">
        <f>VLOOKUP(B1068,'LƯƠNG KT'!$D$15:$R$94,15,0)</f>
        <v>#N/A</v>
      </c>
      <c r="D1070" s="1059" t="e">
        <f>C1070*$L$4</f>
        <v>#N/A</v>
      </c>
      <c r="E1070" s="1061"/>
      <c r="F1070" s="1061"/>
      <c r="G1070" s="1056" t="s">
        <v>361</v>
      </c>
      <c r="H1070" s="1057" t="s">
        <v>2663</v>
      </c>
      <c r="I1070" s="1058" t="e">
        <f>VLOOKUP(H1068,'LƯƠNG KT'!$D$15:$R$94,15,0)</f>
        <v>#N/A</v>
      </c>
      <c r="J1070" s="1059" t="e">
        <f>I1070*$L$4</f>
        <v>#N/A</v>
      </c>
      <c r="K1070" s="1085"/>
      <c r="L1070" s="1085"/>
      <c r="M1070" s="1085"/>
      <c r="N1070" s="1085"/>
      <c r="O1070" s="1085"/>
    </row>
    <row r="1071" spans="1:15" ht="15" customHeight="1">
      <c r="A1071" s="1056" t="s">
        <v>364</v>
      </c>
      <c r="B1071" s="1057" t="s">
        <v>2664</v>
      </c>
      <c r="C1071" s="1058" t="e">
        <f>VLOOKUP(B1068,'LƯƠNG KT'!$D$15:$R$94,16,0)</f>
        <v>#N/A</v>
      </c>
      <c r="D1071" s="1059" t="e">
        <f>C1071*$L$5</f>
        <v>#N/A</v>
      </c>
      <c r="E1071" s="1061"/>
      <c r="F1071" s="1061"/>
      <c r="G1071" s="1056" t="s">
        <v>364</v>
      </c>
      <c r="H1071" s="1057" t="s">
        <v>2664</v>
      </c>
      <c r="I1071" s="1058" t="e">
        <f>VLOOKUP(H1068,'LƯƠNG KT'!$D$15:$R$94,16,0)</f>
        <v>#N/A</v>
      </c>
      <c r="J1071" s="1059" t="e">
        <f>I1071*$L$5</f>
        <v>#N/A</v>
      </c>
      <c r="K1071" s="1085"/>
      <c r="L1071" s="1085"/>
      <c r="M1071" s="1085"/>
      <c r="N1071" s="1085"/>
      <c r="O1071" s="1085"/>
    </row>
    <row r="1072" spans="1:15" ht="15" customHeight="1">
      <c r="A1072" s="1056" t="s">
        <v>370</v>
      </c>
      <c r="B1072" s="1057" t="s">
        <v>2665</v>
      </c>
      <c r="C1072" s="1058" t="e">
        <f>VLOOKUP(B1068,'LƯƠNG KT'!$D$15:$R$94,24,0)</f>
        <v>#N/A</v>
      </c>
      <c r="D1072" s="1059" t="e">
        <f>+C1072*$L$6</f>
        <v>#N/A</v>
      </c>
      <c r="E1072" s="1061"/>
      <c r="F1072" s="1061"/>
      <c r="G1072" s="1056" t="s">
        <v>370</v>
      </c>
      <c r="H1072" s="1057" t="s">
        <v>2665</v>
      </c>
      <c r="I1072" s="1058" t="e">
        <f>VLOOKUP(H1068,'LƯƠNG KT'!$D$15:$R$94,24,0)</f>
        <v>#N/A</v>
      </c>
      <c r="J1072" s="1059" t="e">
        <f>+I1072*$L$6</f>
        <v>#N/A</v>
      </c>
      <c r="K1072" s="1085"/>
      <c r="L1072" s="1085"/>
      <c r="M1072" s="1085"/>
      <c r="N1072" s="1085"/>
      <c r="O1072" s="1085"/>
    </row>
    <row r="1073" spans="1:15" ht="15" customHeight="1">
      <c r="A1073" s="1056" t="s">
        <v>2666</v>
      </c>
      <c r="B1073" s="1057" t="s">
        <v>2667</v>
      </c>
      <c r="C1073" s="1058" t="e">
        <f>VLOOKUP(B1068,'LƯƠNG KT'!$D$15:$R$94,19,0)</f>
        <v>#N/A</v>
      </c>
      <c r="D1073" s="1059" t="e">
        <f>+C1073*$L$8</f>
        <v>#N/A</v>
      </c>
      <c r="E1073" s="1061"/>
      <c r="F1073" s="1061"/>
      <c r="G1073" s="1056" t="s">
        <v>2666</v>
      </c>
      <c r="H1073" s="1057" t="s">
        <v>2667</v>
      </c>
      <c r="I1073" s="1058" t="e">
        <f>VLOOKUP(H1068,'LƯƠNG KT'!$D$15:$R$94,19,0)</f>
        <v>#N/A</v>
      </c>
      <c r="J1073" s="1059" t="e">
        <f>+I1073*$L$8</f>
        <v>#N/A</v>
      </c>
      <c r="K1073" s="1085"/>
      <c r="L1073" s="1085"/>
      <c r="M1073" s="1085"/>
      <c r="N1073" s="1085"/>
      <c r="O1073" s="1085"/>
    </row>
    <row r="1074" spans="1:15" ht="15" customHeight="1">
      <c r="A1074" s="1056" t="s">
        <v>2668</v>
      </c>
      <c r="B1074" s="1062" t="s">
        <v>2669</v>
      </c>
      <c r="C1074" s="1058" t="e">
        <f>VLOOKUP(B1068,'LƯƠNG KT'!$D$15:$R$94,20,0)</f>
        <v>#N/A</v>
      </c>
      <c r="D1074" s="1059" t="e">
        <f>+C1074*$L$9</f>
        <v>#N/A</v>
      </c>
      <c r="E1074" s="1061"/>
      <c r="F1074" s="1061"/>
      <c r="G1074" s="1056" t="s">
        <v>2668</v>
      </c>
      <c r="H1074" s="1062" t="s">
        <v>2669</v>
      </c>
      <c r="I1074" s="1058" t="e">
        <f>VLOOKUP(H1068,'LƯƠNG KT'!$D$15:$R$94,20,0)</f>
        <v>#N/A</v>
      </c>
      <c r="J1074" s="1059" t="e">
        <f>+I1074*$L$9</f>
        <v>#N/A</v>
      </c>
      <c r="K1074" s="1085"/>
      <c r="L1074" s="1085"/>
      <c r="M1074" s="1085"/>
      <c r="N1074" s="1085"/>
      <c r="O1074" s="1085"/>
    </row>
    <row r="1075" spans="1:15" ht="15" customHeight="1">
      <c r="A1075" s="1056" t="s">
        <v>2671</v>
      </c>
      <c r="B1075" s="1057" t="s">
        <v>2672</v>
      </c>
      <c r="C1075" s="1058" t="e">
        <f>VLOOKUP(B1068,'LƯƠNG KT'!$D$15:$R$94,17,0)</f>
        <v>#N/A</v>
      </c>
      <c r="D1075" s="1059" t="e">
        <f>+C1075*$L$10</f>
        <v>#N/A</v>
      </c>
      <c r="E1075" s="1061"/>
      <c r="F1075" s="1061"/>
      <c r="G1075" s="1056" t="s">
        <v>2671</v>
      </c>
      <c r="H1075" s="1057" t="s">
        <v>2672</v>
      </c>
      <c r="I1075" s="1058" t="e">
        <f>VLOOKUP(H1068,'LƯƠNG KT'!$D$15:$R$94,17,0)</f>
        <v>#N/A</v>
      </c>
      <c r="J1075" s="1059" t="e">
        <f>+I1075*$L$10</f>
        <v>#N/A</v>
      </c>
      <c r="K1075" s="1085"/>
      <c r="L1075" s="1085"/>
      <c r="M1075" s="1085"/>
      <c r="N1075" s="1085"/>
      <c r="O1075" s="1085"/>
    </row>
    <row r="1076" spans="1:15" ht="15" customHeight="1">
      <c r="A1076" s="1056" t="s">
        <v>374</v>
      </c>
      <c r="B1076" s="1057" t="s">
        <v>2674</v>
      </c>
      <c r="C1076" s="1058" t="e">
        <f>VLOOKUP(B1068,'LƯƠNG KT'!$D$15:$R$94,12,0)</f>
        <v>#N/A</v>
      </c>
      <c r="D1076" s="1059" t="e">
        <f>VLOOKUP(B1068,'LƯƠNG KT'!$D$15:$R$94,14,0)</f>
        <v>#N/A</v>
      </c>
      <c r="E1076" s="1063"/>
      <c r="F1076" s="1061"/>
      <c r="G1076" s="1056" t="s">
        <v>374</v>
      </c>
      <c r="H1076" s="1057" t="s">
        <v>2674</v>
      </c>
      <c r="I1076" s="1058" t="e">
        <f>VLOOKUP(H1068,'LƯƠNG KT'!$D$15:$R$94,12,0)</f>
        <v>#N/A</v>
      </c>
      <c r="J1076" s="1059" t="e">
        <f>VLOOKUP(H1068,'LƯƠNG KT'!$D$15:$R$94,14,0)</f>
        <v>#N/A</v>
      </c>
      <c r="K1076" s="1085"/>
      <c r="L1076" s="1085"/>
      <c r="M1076" s="1085"/>
      <c r="N1076" s="1085"/>
      <c r="O1076" s="1085"/>
    </row>
    <row r="1077" spans="1:15" ht="15" customHeight="1">
      <c r="A1077" s="1056" t="s">
        <v>2675</v>
      </c>
      <c r="B1077" s="1057" t="s">
        <v>2676</v>
      </c>
      <c r="D1077" s="1064" t="e">
        <f>VLOOKUP(B1068,'LƯƠNG KT'!$D$15:$R$94,13,0)</f>
        <v>#N/A</v>
      </c>
      <c r="E1077" s="1065"/>
      <c r="F1077" s="1065"/>
      <c r="G1077" s="1056" t="s">
        <v>2675</v>
      </c>
      <c r="H1077" s="1057" t="s">
        <v>2676</v>
      </c>
      <c r="J1077" s="1064" t="e">
        <f>VLOOKUP(H1068,'LƯƠNG KT'!$D$15:$R$94,13,0)</f>
        <v>#N/A</v>
      </c>
    </row>
    <row r="1078" spans="1:15" ht="15" customHeight="1">
      <c r="A1078" s="1066"/>
      <c r="B1078" s="869"/>
      <c r="C1078" s="1058"/>
      <c r="D1078" s="1059"/>
      <c r="E1078" s="1063"/>
      <c r="F1078" s="1065"/>
      <c r="G1078" s="1066"/>
      <c r="H1078" s="869"/>
      <c r="I1078" s="1058"/>
      <c r="J1078" s="1059"/>
    </row>
    <row r="1079" spans="1:15" ht="15" customHeight="1">
      <c r="A1079" s="1052"/>
      <c r="B1079" s="869"/>
      <c r="C1079" s="1058"/>
      <c r="D1079" s="1059"/>
      <c r="E1079" s="1067"/>
      <c r="F1079" s="1051"/>
      <c r="G1079" s="1052"/>
      <c r="H1079" s="869"/>
      <c r="I1079" s="1058"/>
      <c r="J1079" s="1059"/>
    </row>
    <row r="1080" spans="1:15" ht="15" customHeight="1">
      <c r="A1080" s="1068" t="s">
        <v>383</v>
      </c>
      <c r="B1080" s="1069" t="s">
        <v>384</v>
      </c>
      <c r="C1080" s="1070"/>
      <c r="D1080" s="1071" t="e">
        <f>SUM(D1069:D1076)-D1079</f>
        <v>#N/A</v>
      </c>
      <c r="E1080" s="1072"/>
      <c r="F1080" s="1073"/>
      <c r="G1080" s="1068" t="s">
        <v>383</v>
      </c>
      <c r="H1080" s="1069" t="s">
        <v>384</v>
      </c>
      <c r="I1080" s="1070"/>
      <c r="J1080" s="1071" t="e">
        <f>SUM(J1069:J1076)-J1079</f>
        <v>#N/A</v>
      </c>
    </row>
    <row r="1081" spans="1:15" ht="18.75" customHeight="1">
      <c r="A1081" s="1074"/>
      <c r="B1081" s="1075"/>
      <c r="C1081" s="1076"/>
      <c r="D1081" s="1077"/>
      <c r="E1081" s="1077"/>
      <c r="F1081" s="1078"/>
      <c r="G1081" s="1074"/>
      <c r="H1081" s="1075"/>
      <c r="I1081" s="1076"/>
      <c r="J1081" s="1077"/>
    </row>
    <row r="1082" spans="1:15" ht="18.75" customHeight="1">
      <c r="A1082" s="1075"/>
      <c r="B1082" s="1075"/>
      <c r="C1082" s="1079"/>
      <c r="D1082" s="1080"/>
      <c r="E1082" s="1075"/>
      <c r="F1082" s="1081"/>
      <c r="G1082" s="1075"/>
      <c r="H1082" s="1075"/>
      <c r="I1082" s="1079"/>
      <c r="J1082" s="1080"/>
    </row>
    <row r="1083" spans="1:15" ht="15" customHeight="1">
      <c r="A1083" s="2242" t="str">
        <f>$K$2</f>
        <v>THÁNG 04/2025</v>
      </c>
      <c r="B1083" s="2242"/>
      <c r="C1083" s="2242"/>
      <c r="D1083" s="2242"/>
      <c r="E1083" s="1050"/>
      <c r="F1083" s="1051"/>
      <c r="G1083" s="2242" t="str">
        <f>$K$2</f>
        <v>THÁNG 04/2025</v>
      </c>
      <c r="H1083" s="2242"/>
      <c r="I1083" s="2242"/>
      <c r="J1083" s="2242"/>
      <c r="K1083" s="624"/>
    </row>
    <row r="1084" spans="1:15" ht="15" customHeight="1">
      <c r="A1084" s="1052" t="s">
        <v>356</v>
      </c>
      <c r="B1084" s="1053" t="s">
        <v>42</v>
      </c>
      <c r="C1084" s="869"/>
      <c r="D1084" s="1049"/>
      <c r="E1084" s="1054"/>
      <c r="F1084" s="1055"/>
      <c r="G1084" s="1052" t="s">
        <v>356</v>
      </c>
      <c r="H1084" s="1053" t="s">
        <v>54</v>
      </c>
      <c r="I1084" s="869"/>
      <c r="J1084" s="1049"/>
      <c r="L1084" s="1088"/>
      <c r="M1084" s="1088"/>
      <c r="N1084" s="1088"/>
      <c r="O1084" s="1088"/>
    </row>
    <row r="1085" spans="1:15" ht="15" customHeight="1">
      <c r="A1085" s="1056" t="s">
        <v>359</v>
      </c>
      <c r="B1085" s="1057" t="s">
        <v>2662</v>
      </c>
      <c r="C1085" s="1058" t="e">
        <f>VLOOKUP(B1084,'LƯƠNG KT'!$D$15:$R$94,4,0)</f>
        <v>#N/A</v>
      </c>
      <c r="D1085" s="1059" t="e">
        <f>+C1085*25000</f>
        <v>#N/A</v>
      </c>
      <c r="E1085" s="1060"/>
      <c r="F1085" s="1060"/>
      <c r="G1085" s="1056" t="s">
        <v>359</v>
      </c>
      <c r="H1085" s="1057" t="s">
        <v>2662</v>
      </c>
      <c r="I1085" s="1058" t="e">
        <f>VLOOKUP(H1084,'LƯƠNG KT'!$D$15:$R$94,4,0)</f>
        <v>#N/A</v>
      </c>
      <c r="J1085" s="1059" t="e">
        <f>+I1085*25000</f>
        <v>#N/A</v>
      </c>
      <c r="K1085" s="1085"/>
      <c r="L1085" s="1085"/>
      <c r="M1085" s="1085"/>
      <c r="N1085" s="1085"/>
      <c r="O1085" s="1085"/>
    </row>
    <row r="1086" spans="1:15" ht="15" customHeight="1">
      <c r="A1086" s="1056" t="s">
        <v>361</v>
      </c>
      <c r="B1086" s="1057" t="s">
        <v>2663</v>
      </c>
      <c r="C1086" s="1058" t="e">
        <f>VLOOKUP(B1084,'LƯƠNG KT'!$D$15:$R$94,15,0)</f>
        <v>#N/A</v>
      </c>
      <c r="D1086" s="1059" t="e">
        <f>C1086*$L$4</f>
        <v>#N/A</v>
      </c>
      <c r="E1086" s="1061"/>
      <c r="F1086" s="1061"/>
      <c r="G1086" s="1056" t="s">
        <v>361</v>
      </c>
      <c r="H1086" s="1057" t="s">
        <v>2663</v>
      </c>
      <c r="I1086" s="1058" t="e">
        <f>VLOOKUP(H1084,'LƯƠNG KT'!$D$15:$R$94,15,0)</f>
        <v>#N/A</v>
      </c>
      <c r="J1086" s="1059" t="e">
        <f>I1086*$L$4</f>
        <v>#N/A</v>
      </c>
      <c r="K1086" s="1085"/>
      <c r="L1086" s="1085"/>
      <c r="M1086" s="1085"/>
      <c r="N1086" s="1085"/>
      <c r="O1086" s="1085"/>
    </row>
    <row r="1087" spans="1:15" ht="15" customHeight="1">
      <c r="A1087" s="1056" t="s">
        <v>364</v>
      </c>
      <c r="B1087" s="1057" t="s">
        <v>2664</v>
      </c>
      <c r="C1087" s="1058" t="e">
        <f>VLOOKUP(B1084,'LƯƠNG KT'!$D$15:$R$94,16,0)</f>
        <v>#N/A</v>
      </c>
      <c r="D1087" s="1059" t="e">
        <f>C1087*$L$5</f>
        <v>#N/A</v>
      </c>
      <c r="E1087" s="1061"/>
      <c r="F1087" s="1061"/>
      <c r="G1087" s="1056" t="s">
        <v>364</v>
      </c>
      <c r="H1087" s="1057" t="s">
        <v>2664</v>
      </c>
      <c r="I1087" s="1058" t="e">
        <f>VLOOKUP(H1084,'LƯƠNG KT'!$D$15:$R$94,16,0)</f>
        <v>#N/A</v>
      </c>
      <c r="J1087" s="1059" t="e">
        <f>I1087*$L$5</f>
        <v>#N/A</v>
      </c>
      <c r="K1087" s="1085"/>
      <c r="L1087" s="1085"/>
      <c r="M1087" s="1085"/>
      <c r="N1087" s="1085"/>
      <c r="O1087" s="1085"/>
    </row>
    <row r="1088" spans="1:15" ht="15" customHeight="1">
      <c r="A1088" s="1056" t="s">
        <v>370</v>
      </c>
      <c r="B1088" s="1057" t="s">
        <v>2665</v>
      </c>
      <c r="C1088" s="1058" t="e">
        <f>VLOOKUP(B1084,'LƯƠNG KT'!$D$15:$R$94,24,0)</f>
        <v>#N/A</v>
      </c>
      <c r="D1088" s="1059" t="e">
        <f>+C1088*$L$6</f>
        <v>#N/A</v>
      </c>
      <c r="E1088" s="1061"/>
      <c r="F1088" s="1061"/>
      <c r="G1088" s="1056" t="s">
        <v>370</v>
      </c>
      <c r="H1088" s="1057" t="s">
        <v>2665</v>
      </c>
      <c r="I1088" s="1058" t="e">
        <f>VLOOKUP(H1084,'LƯƠNG KT'!$D$15:$R$94,24,0)</f>
        <v>#N/A</v>
      </c>
      <c r="J1088" s="1059" t="e">
        <f>+I1088*$L$6</f>
        <v>#N/A</v>
      </c>
      <c r="K1088" s="1085"/>
      <c r="L1088" s="1085"/>
      <c r="M1088" s="1085"/>
      <c r="N1088" s="1085"/>
      <c r="O1088" s="1085"/>
    </row>
    <row r="1089" spans="1:15" ht="15" customHeight="1">
      <c r="A1089" s="1056" t="s">
        <v>2666</v>
      </c>
      <c r="B1089" s="1057" t="s">
        <v>2667</v>
      </c>
      <c r="C1089" s="1058" t="e">
        <f>VLOOKUP(B1084,'LƯƠNG KT'!$D$15:$R$94,19,0)</f>
        <v>#N/A</v>
      </c>
      <c r="D1089" s="1059" t="e">
        <f>+C1089*$L$8</f>
        <v>#N/A</v>
      </c>
      <c r="E1089" s="1061"/>
      <c r="F1089" s="1061"/>
      <c r="G1089" s="1056" t="s">
        <v>2666</v>
      </c>
      <c r="H1089" s="1057" t="s">
        <v>2667</v>
      </c>
      <c r="I1089" s="1058" t="e">
        <f>VLOOKUP(H1084,'LƯƠNG KT'!$D$15:$R$94,19,0)</f>
        <v>#N/A</v>
      </c>
      <c r="J1089" s="1059" t="e">
        <f>+I1089*$L$8</f>
        <v>#N/A</v>
      </c>
      <c r="K1089" s="1085"/>
      <c r="L1089" s="1085"/>
      <c r="M1089" s="1085"/>
      <c r="N1089" s="1085"/>
      <c r="O1089" s="1085"/>
    </row>
    <row r="1090" spans="1:15" ht="15" customHeight="1">
      <c r="A1090" s="1056" t="s">
        <v>2668</v>
      </c>
      <c r="B1090" s="1062" t="s">
        <v>2669</v>
      </c>
      <c r="C1090" s="1058" t="e">
        <f>VLOOKUP(B1084,'LƯƠNG KT'!$D$15:$R$94,20,0)</f>
        <v>#N/A</v>
      </c>
      <c r="D1090" s="1059" t="e">
        <f>+C1090*$L$9</f>
        <v>#N/A</v>
      </c>
      <c r="E1090" s="1061"/>
      <c r="F1090" s="1061"/>
      <c r="G1090" s="1056" t="s">
        <v>2668</v>
      </c>
      <c r="H1090" s="1062" t="s">
        <v>2669</v>
      </c>
      <c r="I1090" s="1058" t="e">
        <f>VLOOKUP(H1084,'LƯƠNG KT'!$D$15:$R$94,20,0)</f>
        <v>#N/A</v>
      </c>
      <c r="J1090" s="1059" t="e">
        <f>+I1090*$L$9</f>
        <v>#N/A</v>
      </c>
      <c r="K1090" s="1085"/>
      <c r="L1090" s="1085"/>
      <c r="M1090" s="1085"/>
      <c r="N1090" s="1085"/>
      <c r="O1090" s="1085"/>
    </row>
    <row r="1091" spans="1:15" ht="15" customHeight="1">
      <c r="A1091" s="1056" t="s">
        <v>2671</v>
      </c>
      <c r="B1091" s="1057" t="s">
        <v>2672</v>
      </c>
      <c r="C1091" s="1058" t="e">
        <f>VLOOKUP(B1084,'LƯƠNG KT'!$D$15:$R$94,17,0)</f>
        <v>#N/A</v>
      </c>
      <c r="D1091" s="1059" t="e">
        <f>+C1091*$L$10</f>
        <v>#N/A</v>
      </c>
      <c r="E1091" s="1061"/>
      <c r="F1091" s="1061"/>
      <c r="G1091" s="1056" t="s">
        <v>2671</v>
      </c>
      <c r="H1091" s="1057" t="s">
        <v>2672</v>
      </c>
      <c r="I1091" s="1058" t="e">
        <f>VLOOKUP(H1084,'LƯƠNG KT'!$D$15:$R$94,17,0)</f>
        <v>#N/A</v>
      </c>
      <c r="J1091" s="1059" t="e">
        <f>+I1091*$L$10</f>
        <v>#N/A</v>
      </c>
      <c r="K1091" s="1085"/>
      <c r="L1091" s="1085"/>
      <c r="M1091" s="1085"/>
      <c r="N1091" s="1085"/>
      <c r="O1091" s="1085"/>
    </row>
    <row r="1092" spans="1:15" ht="15" customHeight="1">
      <c r="A1092" s="1056" t="s">
        <v>374</v>
      </c>
      <c r="B1092" s="1057" t="s">
        <v>2674</v>
      </c>
      <c r="C1092" s="1058" t="e">
        <f>VLOOKUP(B1084,'LƯƠNG KT'!$D$15:$R$94,12,0)</f>
        <v>#N/A</v>
      </c>
      <c r="D1092" s="1059" t="e">
        <f>VLOOKUP(B1084,'LƯƠNG KT'!$D$15:$R$94,14,0)</f>
        <v>#N/A</v>
      </c>
      <c r="E1092" s="1063"/>
      <c r="F1092" s="1061"/>
      <c r="G1092" s="1056" t="s">
        <v>374</v>
      </c>
      <c r="H1092" s="1057" t="s">
        <v>2674</v>
      </c>
      <c r="I1092" s="1058" t="e">
        <f>VLOOKUP(H1084,'LƯƠNG KT'!$D$15:$R$94,12,0)</f>
        <v>#N/A</v>
      </c>
      <c r="J1092" s="1059" t="e">
        <f>VLOOKUP(H1084,'LƯƠNG KT'!$D$15:$R$94,14,0)</f>
        <v>#N/A</v>
      </c>
      <c r="K1092" s="1085"/>
      <c r="L1092" s="1085"/>
      <c r="M1092" s="1085"/>
      <c r="N1092" s="1085"/>
      <c r="O1092" s="1085"/>
    </row>
    <row r="1093" spans="1:15" ht="15" customHeight="1">
      <c r="A1093" s="1056" t="s">
        <v>2675</v>
      </c>
      <c r="B1093" s="1057" t="s">
        <v>2676</v>
      </c>
      <c r="D1093" s="1064" t="e">
        <f>VLOOKUP(B1084,'LƯƠNG KT'!$D$15:$R$94,13,0)</f>
        <v>#N/A</v>
      </c>
      <c r="E1093" s="1065"/>
      <c r="F1093" s="1065"/>
      <c r="G1093" s="1056" t="s">
        <v>2675</v>
      </c>
      <c r="H1093" s="1057" t="s">
        <v>2676</v>
      </c>
      <c r="J1093" s="1064" t="e">
        <f>VLOOKUP(H1084,'LƯƠNG KT'!$D$15:$R$94,13,0)</f>
        <v>#N/A</v>
      </c>
    </row>
    <row r="1094" spans="1:15" ht="15" customHeight="1">
      <c r="A1094" s="1066"/>
      <c r="B1094" s="869"/>
      <c r="C1094" s="1058"/>
      <c r="D1094" s="1059"/>
      <c r="E1094" s="1063"/>
      <c r="F1094" s="1065"/>
      <c r="G1094" s="1066"/>
      <c r="H1094" s="869"/>
      <c r="I1094" s="1058"/>
      <c r="J1094" s="1059"/>
    </row>
    <row r="1095" spans="1:15" ht="15" customHeight="1">
      <c r="A1095" s="1052"/>
      <c r="B1095" s="869"/>
      <c r="C1095" s="1058"/>
      <c r="D1095" s="1059"/>
      <c r="E1095" s="1067"/>
      <c r="F1095" s="1051"/>
      <c r="G1095" s="1052"/>
      <c r="H1095" s="869"/>
      <c r="I1095" s="1058"/>
      <c r="J1095" s="1059"/>
    </row>
    <row r="1096" spans="1:15" ht="15" customHeight="1">
      <c r="A1096" s="1068" t="s">
        <v>383</v>
      </c>
      <c r="B1096" s="1069" t="s">
        <v>384</v>
      </c>
      <c r="C1096" s="1070"/>
      <c r="D1096" s="1071" t="e">
        <f>SUM(D1085:D1092)-D1095</f>
        <v>#N/A</v>
      </c>
      <c r="E1096" s="1072"/>
      <c r="F1096" s="1073"/>
      <c r="G1096" s="1068" t="s">
        <v>383</v>
      </c>
      <c r="H1096" s="1069" t="s">
        <v>384</v>
      </c>
      <c r="I1096" s="1070"/>
      <c r="J1096" s="1071" t="e">
        <f>SUM(J1085:J1092)-J1095</f>
        <v>#N/A</v>
      </c>
    </row>
    <row r="1097" spans="1:15" ht="18.75" customHeight="1">
      <c r="A1097" s="1074"/>
      <c r="B1097" s="1075"/>
      <c r="C1097" s="1076"/>
      <c r="D1097" s="1077"/>
      <c r="E1097" s="1077"/>
      <c r="F1097" s="1078"/>
      <c r="G1097" s="1074"/>
      <c r="H1097" s="1075"/>
      <c r="I1097" s="1076"/>
      <c r="J1097" s="1077"/>
    </row>
    <row r="1098" spans="1:15" ht="18.75" customHeight="1">
      <c r="A1098" s="1075"/>
      <c r="B1098" s="1075"/>
      <c r="C1098" s="1079"/>
      <c r="D1098" s="1080"/>
      <c r="E1098" s="1075"/>
      <c r="F1098" s="1081"/>
      <c r="G1098" s="1075"/>
      <c r="H1098" s="1075"/>
      <c r="I1098" s="1079"/>
      <c r="J1098" s="1080"/>
    </row>
    <row r="1099" spans="1:15" ht="15" customHeight="1">
      <c r="A1099" s="2242" t="str">
        <f>$K$2</f>
        <v>THÁNG 04/2025</v>
      </c>
      <c r="B1099" s="2242"/>
      <c r="C1099" s="2242"/>
      <c r="D1099" s="2242"/>
      <c r="E1099" s="1050"/>
      <c r="F1099" s="1051"/>
      <c r="G1099" s="2242" t="str">
        <f>$K$2</f>
        <v>THÁNG 04/2025</v>
      </c>
      <c r="H1099" s="2242"/>
      <c r="I1099" s="2242"/>
      <c r="J1099" s="2242"/>
      <c r="K1099" s="624"/>
    </row>
    <row r="1100" spans="1:15" ht="15" customHeight="1">
      <c r="A1100" s="1052" t="s">
        <v>356</v>
      </c>
      <c r="B1100" s="1053" t="s">
        <v>55</v>
      </c>
      <c r="C1100" s="869"/>
      <c r="D1100" s="1049"/>
      <c r="E1100" s="1054"/>
      <c r="F1100" s="1055"/>
      <c r="G1100" s="1052" t="s">
        <v>356</v>
      </c>
      <c r="H1100" s="1053" t="s">
        <v>491</v>
      </c>
      <c r="I1100" s="869"/>
      <c r="J1100" s="1049"/>
      <c r="L1100" s="1088"/>
      <c r="M1100" s="1088"/>
      <c r="N1100" s="1088"/>
      <c r="O1100" s="1088"/>
    </row>
    <row r="1101" spans="1:15" ht="15" customHeight="1">
      <c r="A1101" s="1056" t="s">
        <v>359</v>
      </c>
      <c r="B1101" s="1057" t="s">
        <v>2662</v>
      </c>
      <c r="C1101" s="1058" t="e">
        <f>VLOOKUP(B1100,'LƯƠNG KT'!$D$15:$R$94,4,0)</f>
        <v>#N/A</v>
      </c>
      <c r="D1101" s="1059" t="e">
        <f>+C1101*25000</f>
        <v>#N/A</v>
      </c>
      <c r="E1101" s="1060"/>
      <c r="F1101" s="1060"/>
      <c r="G1101" s="1056" t="s">
        <v>359</v>
      </c>
      <c r="H1101" s="1057" t="s">
        <v>2662</v>
      </c>
      <c r="I1101" s="1058" t="e">
        <f>VLOOKUP(H1100,'LƯƠNG KT'!$D$15:$R$94,4,0)</f>
        <v>#N/A</v>
      </c>
      <c r="J1101" s="1059" t="e">
        <f>+I1101*25000</f>
        <v>#N/A</v>
      </c>
      <c r="K1101" s="1085"/>
      <c r="L1101" s="1085"/>
      <c r="M1101" s="1085"/>
      <c r="N1101" s="1085"/>
      <c r="O1101" s="1085"/>
    </row>
    <row r="1102" spans="1:15" ht="15" customHeight="1">
      <c r="A1102" s="1056" t="s">
        <v>361</v>
      </c>
      <c r="B1102" s="1057" t="s">
        <v>2663</v>
      </c>
      <c r="C1102" s="1058" t="e">
        <f>VLOOKUP(B1100,'LƯƠNG KT'!$D$15:$R$94,15,0)</f>
        <v>#N/A</v>
      </c>
      <c r="D1102" s="1059" t="e">
        <f>C1102*$L$4</f>
        <v>#N/A</v>
      </c>
      <c r="E1102" s="1061"/>
      <c r="F1102" s="1061"/>
      <c r="G1102" s="1056" t="s">
        <v>361</v>
      </c>
      <c r="H1102" s="1057" t="s">
        <v>2663</v>
      </c>
      <c r="I1102" s="1058" t="e">
        <f>VLOOKUP(H1100,'LƯƠNG KT'!$D$15:$R$94,15,0)</f>
        <v>#N/A</v>
      </c>
      <c r="J1102" s="1059" t="e">
        <f>I1102*$L$4</f>
        <v>#N/A</v>
      </c>
      <c r="K1102" s="1085"/>
      <c r="L1102" s="1085"/>
      <c r="M1102" s="1085"/>
      <c r="N1102" s="1085"/>
      <c r="O1102" s="1085"/>
    </row>
    <row r="1103" spans="1:15" ht="15" customHeight="1">
      <c r="A1103" s="1056" t="s">
        <v>364</v>
      </c>
      <c r="B1103" s="1057" t="s">
        <v>2664</v>
      </c>
      <c r="C1103" s="1058" t="e">
        <f>VLOOKUP(B1100,'LƯƠNG KT'!$D$15:$R$94,16,0)</f>
        <v>#N/A</v>
      </c>
      <c r="D1103" s="1059" t="e">
        <f>C1103*$L$5</f>
        <v>#N/A</v>
      </c>
      <c r="E1103" s="1061"/>
      <c r="F1103" s="1061"/>
      <c r="G1103" s="1056" t="s">
        <v>364</v>
      </c>
      <c r="H1103" s="1057" t="s">
        <v>2664</v>
      </c>
      <c r="I1103" s="1058" t="e">
        <f>VLOOKUP(H1100,'LƯƠNG KT'!$D$15:$R$94,16,0)</f>
        <v>#N/A</v>
      </c>
      <c r="J1103" s="1059" t="e">
        <f>I1103*$L$5</f>
        <v>#N/A</v>
      </c>
      <c r="K1103" s="1085"/>
      <c r="L1103" s="1085"/>
      <c r="M1103" s="1085"/>
      <c r="N1103" s="1085"/>
      <c r="O1103" s="1085"/>
    </row>
    <row r="1104" spans="1:15" ht="15" customHeight="1">
      <c r="A1104" s="1056" t="s">
        <v>370</v>
      </c>
      <c r="B1104" s="1057" t="s">
        <v>2665</v>
      </c>
      <c r="C1104" s="1058" t="e">
        <f>VLOOKUP(B1100,'LƯƠNG KT'!$D$15:$R$94,24,0)</f>
        <v>#N/A</v>
      </c>
      <c r="D1104" s="1059" t="e">
        <f>+C1104*$L$6</f>
        <v>#N/A</v>
      </c>
      <c r="E1104" s="1061"/>
      <c r="F1104" s="1061"/>
      <c r="G1104" s="1056" t="s">
        <v>370</v>
      </c>
      <c r="H1104" s="1057" t="s">
        <v>2665</v>
      </c>
      <c r="I1104" s="1058" t="e">
        <f>VLOOKUP(H1100,'LƯƠNG KT'!$D$15:$R$94,24,0)</f>
        <v>#N/A</v>
      </c>
      <c r="J1104" s="1059" t="e">
        <f>+I1104*$L$6</f>
        <v>#N/A</v>
      </c>
      <c r="K1104" s="1085"/>
      <c r="L1104" s="1085"/>
      <c r="M1104" s="1085"/>
      <c r="N1104" s="1085"/>
      <c r="O1104" s="1085"/>
    </row>
    <row r="1105" spans="1:15" ht="15" customHeight="1">
      <c r="A1105" s="1056" t="s">
        <v>2666</v>
      </c>
      <c r="B1105" s="1057" t="s">
        <v>2667</v>
      </c>
      <c r="C1105" s="1058" t="e">
        <f>VLOOKUP(B1100,'LƯƠNG KT'!$D$15:$R$94,19,0)</f>
        <v>#N/A</v>
      </c>
      <c r="D1105" s="1059" t="e">
        <f>+C1105*$L$8</f>
        <v>#N/A</v>
      </c>
      <c r="E1105" s="1061"/>
      <c r="F1105" s="1061"/>
      <c r="G1105" s="1056" t="s">
        <v>2666</v>
      </c>
      <c r="H1105" s="1057" t="s">
        <v>2667</v>
      </c>
      <c r="I1105" s="1058" t="e">
        <f>VLOOKUP(H1100,'LƯƠNG KT'!$D$15:$R$94,19,0)</f>
        <v>#N/A</v>
      </c>
      <c r="J1105" s="1059" t="e">
        <f>+I1105*$L$8</f>
        <v>#N/A</v>
      </c>
      <c r="K1105" s="1085"/>
      <c r="L1105" s="1085"/>
      <c r="M1105" s="1085"/>
      <c r="N1105" s="1085"/>
      <c r="O1105" s="1085"/>
    </row>
    <row r="1106" spans="1:15" ht="15" customHeight="1">
      <c r="A1106" s="1056" t="s">
        <v>2668</v>
      </c>
      <c r="B1106" s="1062" t="s">
        <v>2669</v>
      </c>
      <c r="C1106" s="1058" t="e">
        <f>VLOOKUP(B1100,'LƯƠNG KT'!$D$15:$R$94,20,0)</f>
        <v>#N/A</v>
      </c>
      <c r="D1106" s="1059" t="e">
        <f>+C1106*$L$9</f>
        <v>#N/A</v>
      </c>
      <c r="E1106" s="1061"/>
      <c r="F1106" s="1061"/>
      <c r="G1106" s="1056" t="s">
        <v>2668</v>
      </c>
      <c r="H1106" s="1062" t="s">
        <v>2669</v>
      </c>
      <c r="I1106" s="1058" t="e">
        <f>VLOOKUP(H1100,'LƯƠNG KT'!$D$15:$R$94,20,0)</f>
        <v>#N/A</v>
      </c>
      <c r="J1106" s="1059" t="e">
        <f>+I1106*$L$9</f>
        <v>#N/A</v>
      </c>
      <c r="K1106" s="1085"/>
      <c r="L1106" s="1085"/>
      <c r="M1106" s="1085"/>
      <c r="N1106" s="1085"/>
      <c r="O1106" s="1085"/>
    </row>
    <row r="1107" spans="1:15" ht="15" customHeight="1">
      <c r="A1107" s="1056" t="s">
        <v>2671</v>
      </c>
      <c r="B1107" s="1057" t="s">
        <v>2672</v>
      </c>
      <c r="C1107" s="1058" t="e">
        <f>VLOOKUP(B1100,'LƯƠNG KT'!$D$15:$R$94,17,0)</f>
        <v>#N/A</v>
      </c>
      <c r="D1107" s="1059" t="e">
        <f>+C1107*$L$10</f>
        <v>#N/A</v>
      </c>
      <c r="E1107" s="1061"/>
      <c r="F1107" s="1061"/>
      <c r="G1107" s="1056" t="s">
        <v>2671</v>
      </c>
      <c r="H1107" s="1057" t="s">
        <v>2672</v>
      </c>
      <c r="I1107" s="1058" t="e">
        <f>VLOOKUP(H1100,'LƯƠNG KT'!$D$15:$R$94,17,0)</f>
        <v>#N/A</v>
      </c>
      <c r="J1107" s="1059" t="e">
        <f>+I1107*$L$10</f>
        <v>#N/A</v>
      </c>
      <c r="K1107" s="1085"/>
      <c r="L1107" s="1085"/>
      <c r="M1107" s="1085"/>
      <c r="N1107" s="1085"/>
      <c r="O1107" s="1085"/>
    </row>
    <row r="1108" spans="1:15" ht="15" customHeight="1">
      <c r="A1108" s="1056" t="s">
        <v>374</v>
      </c>
      <c r="B1108" s="1057" t="s">
        <v>2674</v>
      </c>
      <c r="C1108" s="1058" t="e">
        <f>VLOOKUP(B1100,'LƯƠNG KT'!$D$15:$R$94,12,0)</f>
        <v>#N/A</v>
      </c>
      <c r="D1108" s="1059" t="e">
        <f>VLOOKUP(B1100,'LƯƠNG KT'!$D$15:$R$94,14,0)</f>
        <v>#N/A</v>
      </c>
      <c r="E1108" s="1063"/>
      <c r="F1108" s="1061"/>
      <c r="G1108" s="1056" t="s">
        <v>374</v>
      </c>
      <c r="H1108" s="1057" t="s">
        <v>2674</v>
      </c>
      <c r="I1108" s="1058" t="e">
        <f>VLOOKUP(H1100,'LƯƠNG KT'!$D$15:$R$94,12,0)</f>
        <v>#N/A</v>
      </c>
      <c r="J1108" s="1059" t="e">
        <f>VLOOKUP(H1100,'LƯƠNG KT'!$D$15:$R$94,14,0)</f>
        <v>#N/A</v>
      </c>
      <c r="K1108" s="1085"/>
      <c r="L1108" s="1085"/>
      <c r="M1108" s="1085"/>
      <c r="N1108" s="1085"/>
      <c r="O1108" s="1085"/>
    </row>
    <row r="1109" spans="1:15" ht="15" customHeight="1">
      <c r="A1109" s="1056" t="s">
        <v>2675</v>
      </c>
      <c r="B1109" s="1057" t="s">
        <v>2676</v>
      </c>
      <c r="D1109" s="1064" t="e">
        <f>VLOOKUP(B1100,'LƯƠNG KT'!$D$15:$R$94,13,0)</f>
        <v>#N/A</v>
      </c>
      <c r="E1109" s="1065"/>
      <c r="F1109" s="1065"/>
      <c r="G1109" s="1056" t="s">
        <v>2675</v>
      </c>
      <c r="H1109" s="1057" t="s">
        <v>2676</v>
      </c>
      <c r="J1109" s="1064" t="e">
        <f>VLOOKUP(H1100,'LƯƠNG KT'!$D$15:$R$94,13,0)</f>
        <v>#N/A</v>
      </c>
    </row>
    <row r="1110" spans="1:15" ht="15" customHeight="1">
      <c r="A1110" s="1066"/>
      <c r="B1110" s="869"/>
      <c r="C1110" s="1058"/>
      <c r="D1110" s="1059"/>
      <c r="E1110" s="1063"/>
      <c r="F1110" s="1065"/>
      <c r="G1110" s="1066"/>
      <c r="H1110" s="869"/>
      <c r="I1110" s="1058"/>
      <c r="J1110" s="1059"/>
    </row>
    <row r="1111" spans="1:15" ht="15" customHeight="1">
      <c r="A1111" s="1052"/>
      <c r="B1111" s="869"/>
      <c r="C1111" s="1058"/>
      <c r="D1111" s="1059"/>
      <c r="E1111" s="1067"/>
      <c r="F1111" s="1051"/>
      <c r="G1111" s="1052"/>
      <c r="H1111" s="869"/>
      <c r="I1111" s="1058"/>
      <c r="J1111" s="1059"/>
    </row>
    <row r="1112" spans="1:15" ht="15" customHeight="1">
      <c r="A1112" s="1068" t="s">
        <v>383</v>
      </c>
      <c r="B1112" s="1069" t="s">
        <v>384</v>
      </c>
      <c r="C1112" s="1070"/>
      <c r="D1112" s="1071" t="e">
        <f>SUM(D1101:D1108)-D1111</f>
        <v>#N/A</v>
      </c>
      <c r="E1112" s="1072"/>
      <c r="F1112" s="1073"/>
      <c r="G1112" s="1068" t="s">
        <v>383</v>
      </c>
      <c r="H1112" s="1069" t="s">
        <v>384</v>
      </c>
      <c r="I1112" s="1070"/>
      <c r="J1112" s="1071" t="e">
        <f>SUM(J1101:J1108)-J1111</f>
        <v>#N/A</v>
      </c>
    </row>
    <row r="1113" spans="1:15" ht="15.75" customHeight="1">
      <c r="A1113" s="1074"/>
      <c r="B1113" s="1075"/>
      <c r="C1113" s="1076"/>
      <c r="D1113" s="1077"/>
      <c r="E1113" s="1077"/>
      <c r="F1113" s="1078"/>
      <c r="G1113" s="1074"/>
      <c r="H1113" s="1075"/>
      <c r="I1113" s="1076"/>
      <c r="J1113" s="1077"/>
    </row>
    <row r="1115" spans="1:15" ht="134.25" customHeight="1">
      <c r="A1115" s="2243"/>
      <c r="B1115" s="2243"/>
      <c r="C1115" s="2243"/>
      <c r="D1115" s="2243"/>
      <c r="E1115" s="2243"/>
      <c r="F1115" s="2243"/>
      <c r="G1115" s="2243"/>
      <c r="H1115" s="2243"/>
      <c r="I1115" s="2243"/>
      <c r="J1115" s="2243"/>
    </row>
    <row r="1116" spans="1:15" ht="15" customHeight="1">
      <c r="A1116" s="2242" t="str">
        <f>$K$2</f>
        <v>THÁNG 04/2025</v>
      </c>
      <c r="B1116" s="2242"/>
      <c r="C1116" s="2242"/>
      <c r="D1116" s="2242"/>
      <c r="E1116" s="1050"/>
      <c r="F1116" s="1051"/>
      <c r="G1116" s="2242" t="str">
        <f>$K$2</f>
        <v>THÁNG 04/2025</v>
      </c>
      <c r="H1116" s="2242"/>
      <c r="I1116" s="2242"/>
      <c r="J1116" s="2242"/>
      <c r="K1116" s="624"/>
    </row>
    <row r="1117" spans="1:15" ht="15" customHeight="1">
      <c r="A1117" s="1052" t="s">
        <v>356</v>
      </c>
      <c r="B1117" s="1053" t="s">
        <v>24</v>
      </c>
      <c r="C1117" s="869"/>
      <c r="D1117" s="1049"/>
      <c r="E1117" s="1054"/>
      <c r="F1117" s="1055"/>
      <c r="G1117" s="1052" t="s">
        <v>356</v>
      </c>
      <c r="H1117" s="1053" t="s">
        <v>84</v>
      </c>
      <c r="I1117" s="869"/>
      <c r="J1117" s="1049"/>
      <c r="L1117" s="1088"/>
      <c r="M1117" s="1088"/>
      <c r="N1117" s="1088"/>
      <c r="O1117" s="1088"/>
    </row>
    <row r="1118" spans="1:15" ht="15" customHeight="1">
      <c r="A1118" s="1056" t="s">
        <v>359</v>
      </c>
      <c r="B1118" s="1057" t="s">
        <v>2662</v>
      </c>
      <c r="C1118" s="1058" t="e">
        <f>VLOOKUP(B1117,'LƯƠNG KT'!$D$15:$R$94,4,0)</f>
        <v>#N/A</v>
      </c>
      <c r="D1118" s="1059" t="e">
        <f>+C1118*25000</f>
        <v>#N/A</v>
      </c>
      <c r="E1118" s="1060"/>
      <c r="F1118" s="1060"/>
      <c r="G1118" s="1056" t="s">
        <v>359</v>
      </c>
      <c r="H1118" s="1057" t="s">
        <v>2662</v>
      </c>
      <c r="I1118" s="1058" t="e">
        <f>VLOOKUP(H1117,'LƯƠNG KT'!$D$15:$R$94,4,0)</f>
        <v>#N/A</v>
      </c>
      <c r="J1118" s="1059" t="e">
        <f>+I1118*25000</f>
        <v>#N/A</v>
      </c>
      <c r="K1118" s="1084"/>
      <c r="L1118" s="1085"/>
      <c r="M1118" s="1085"/>
      <c r="N1118" s="1085"/>
      <c r="O1118" s="1085"/>
    </row>
    <row r="1119" spans="1:15" ht="15" customHeight="1">
      <c r="A1119" s="1056" t="s">
        <v>361</v>
      </c>
      <c r="B1119" s="1057" t="s">
        <v>2663</v>
      </c>
      <c r="C1119" s="1058" t="e">
        <f>VLOOKUP(B1117,'LƯƠNG KT'!$D$15:$R$94,15,0)</f>
        <v>#N/A</v>
      </c>
      <c r="D1119" s="1059" t="e">
        <f>C1119*$L$4</f>
        <v>#N/A</v>
      </c>
      <c r="E1119" s="1061"/>
      <c r="F1119" s="1061"/>
      <c r="G1119" s="1056" t="s">
        <v>361</v>
      </c>
      <c r="H1119" s="1057" t="s">
        <v>2663</v>
      </c>
      <c r="I1119" s="1058" t="e">
        <f>VLOOKUP(H1117,'LƯƠNG KT'!$D$15:$R$94,15,0)</f>
        <v>#N/A</v>
      </c>
      <c r="J1119" s="1059" t="e">
        <f>I1119*$L$4</f>
        <v>#N/A</v>
      </c>
      <c r="K1119" s="1084"/>
      <c r="L1119" s="1085"/>
      <c r="M1119" s="1085"/>
      <c r="N1119" s="1085"/>
      <c r="O1119" s="1085"/>
    </row>
    <row r="1120" spans="1:15" ht="15" customHeight="1">
      <c r="A1120" s="1056" t="s">
        <v>364</v>
      </c>
      <c r="B1120" s="1057" t="s">
        <v>2664</v>
      </c>
      <c r="C1120" s="1058" t="e">
        <f>VLOOKUP(B1117,'LƯƠNG KT'!$D$15:$R$94,16,0)</f>
        <v>#N/A</v>
      </c>
      <c r="D1120" s="1059" t="e">
        <f>C1120*$L$5</f>
        <v>#N/A</v>
      </c>
      <c r="E1120" s="1061"/>
      <c r="F1120" s="1061"/>
      <c r="G1120" s="1056" t="s">
        <v>364</v>
      </c>
      <c r="H1120" s="1057" t="s">
        <v>2664</v>
      </c>
      <c r="I1120" s="1058" t="e">
        <f>VLOOKUP(H1117,'LƯƠNG KT'!$D$15:$R$94,16,0)</f>
        <v>#N/A</v>
      </c>
      <c r="J1120" s="1059" t="e">
        <f>I1120*$L$5</f>
        <v>#N/A</v>
      </c>
      <c r="K1120" s="1084"/>
      <c r="L1120" s="1085"/>
      <c r="M1120" s="1085"/>
      <c r="N1120" s="1085"/>
      <c r="O1120" s="1085"/>
    </row>
    <row r="1121" spans="1:15" ht="15" customHeight="1">
      <c r="A1121" s="1056" t="s">
        <v>370</v>
      </c>
      <c r="B1121" s="1057" t="s">
        <v>2665</v>
      </c>
      <c r="C1121" s="1058" t="e">
        <f>VLOOKUP(B1117,'LƯƠNG KT'!$D$15:$R$94,24,0)</f>
        <v>#N/A</v>
      </c>
      <c r="D1121" s="1059" t="e">
        <f>+C1121*$L$6</f>
        <v>#N/A</v>
      </c>
      <c r="E1121" s="1061"/>
      <c r="F1121" s="1061"/>
      <c r="G1121" s="1056" t="s">
        <v>370</v>
      </c>
      <c r="H1121" s="1057" t="s">
        <v>2665</v>
      </c>
      <c r="I1121" s="1058" t="e">
        <f>VLOOKUP(H1117,'LƯƠNG KT'!$D$15:$R$94,24,0)</f>
        <v>#N/A</v>
      </c>
      <c r="J1121" s="1059" t="e">
        <f>+I1121*$L$6</f>
        <v>#N/A</v>
      </c>
      <c r="K1121" s="1085"/>
      <c r="L1121" s="1085"/>
      <c r="M1121" s="1085"/>
      <c r="N1121" s="1085"/>
      <c r="O1121" s="1085"/>
    </row>
    <row r="1122" spans="1:15" ht="15" customHeight="1">
      <c r="A1122" s="1056" t="s">
        <v>2666</v>
      </c>
      <c r="B1122" s="1057" t="s">
        <v>2667</v>
      </c>
      <c r="C1122" s="1058" t="e">
        <f>VLOOKUP(B1117,'LƯƠNG KT'!$D$15:$R$94,19,0)</f>
        <v>#N/A</v>
      </c>
      <c r="D1122" s="1059" t="e">
        <f>+C1122*$L$8</f>
        <v>#N/A</v>
      </c>
      <c r="E1122" s="1061"/>
      <c r="F1122" s="1061"/>
      <c r="G1122" s="1056" t="s">
        <v>2666</v>
      </c>
      <c r="H1122" s="1057" t="s">
        <v>2667</v>
      </c>
      <c r="I1122" s="1058" t="e">
        <f>VLOOKUP(H1117,'LƯƠNG KT'!$D$15:$R$94,19,0)</f>
        <v>#N/A</v>
      </c>
      <c r="J1122" s="1059" t="e">
        <f>+I1122*$L$8</f>
        <v>#N/A</v>
      </c>
      <c r="K1122" s="1085"/>
      <c r="L1122" s="1085"/>
      <c r="M1122" s="1085"/>
      <c r="N1122" s="1085"/>
      <c r="O1122" s="1085"/>
    </row>
    <row r="1123" spans="1:15" ht="15" customHeight="1">
      <c r="A1123" s="1056" t="s">
        <v>2668</v>
      </c>
      <c r="B1123" s="1062" t="s">
        <v>2669</v>
      </c>
      <c r="C1123" s="1058" t="e">
        <f>VLOOKUP(B1117,'LƯƠNG KT'!$D$15:$R$94,20,0)</f>
        <v>#N/A</v>
      </c>
      <c r="D1123" s="1059" t="e">
        <f>+C1123*$L$9</f>
        <v>#N/A</v>
      </c>
      <c r="E1123" s="1061"/>
      <c r="F1123" s="1061"/>
      <c r="G1123" s="1056" t="s">
        <v>2668</v>
      </c>
      <c r="H1123" s="1062" t="s">
        <v>2669</v>
      </c>
      <c r="I1123" s="1058" t="e">
        <f>VLOOKUP(H1117,'LƯƠNG KT'!$D$15:$R$94,20,0)</f>
        <v>#N/A</v>
      </c>
      <c r="J1123" s="1059" t="e">
        <f>+I1123*$L$9</f>
        <v>#N/A</v>
      </c>
      <c r="K1123" s="1085"/>
      <c r="L1123" s="1085"/>
      <c r="M1123" s="1085"/>
      <c r="N1123" s="1085"/>
      <c r="O1123" s="1085"/>
    </row>
    <row r="1124" spans="1:15" ht="15" customHeight="1">
      <c r="A1124" s="1056" t="s">
        <v>2671</v>
      </c>
      <c r="B1124" s="1057" t="s">
        <v>2672</v>
      </c>
      <c r="C1124" s="1058" t="e">
        <f>VLOOKUP(B1117,'LƯƠNG KT'!$D$15:$R$94,17,0)</f>
        <v>#N/A</v>
      </c>
      <c r="D1124" s="1059" t="e">
        <f>+C1124*$L$10</f>
        <v>#N/A</v>
      </c>
      <c r="E1124" s="1061"/>
      <c r="F1124" s="1061"/>
      <c r="G1124" s="1056" t="s">
        <v>2671</v>
      </c>
      <c r="H1124" s="1057" t="s">
        <v>2672</v>
      </c>
      <c r="I1124" s="1058" t="e">
        <f>VLOOKUP(H1117,'LƯƠNG KT'!$D$15:$R$94,17,0)</f>
        <v>#N/A</v>
      </c>
      <c r="J1124" s="1059" t="e">
        <f>+I1124*$L$10</f>
        <v>#N/A</v>
      </c>
      <c r="K1124" s="1085"/>
      <c r="L1124" s="1085"/>
      <c r="M1124" s="1085"/>
      <c r="N1124" s="1085"/>
      <c r="O1124" s="1085"/>
    </row>
    <row r="1125" spans="1:15" ht="15" customHeight="1">
      <c r="A1125" s="1056" t="s">
        <v>374</v>
      </c>
      <c r="B1125" s="1057" t="s">
        <v>2674</v>
      </c>
      <c r="C1125" s="1058" t="e">
        <f>VLOOKUP(B1117,'LƯƠNG KT'!$D$15:$R$94,12,0)</f>
        <v>#N/A</v>
      </c>
      <c r="D1125" s="1059" t="e">
        <f>VLOOKUP(B1117,'LƯƠNG KT'!$D$15:$R$94,14,0)</f>
        <v>#N/A</v>
      </c>
      <c r="E1125" s="1063"/>
      <c r="F1125" s="1061"/>
      <c r="G1125" s="1056" t="s">
        <v>374</v>
      </c>
      <c r="H1125" s="1057" t="s">
        <v>2674</v>
      </c>
      <c r="I1125" s="1058" t="e">
        <f>VLOOKUP(H1117,'LƯƠNG KT'!$D$15:$R$94,12,0)</f>
        <v>#N/A</v>
      </c>
      <c r="J1125" s="1059" t="e">
        <f>VLOOKUP(H1117,'LƯƠNG KT'!$D$15:$R$94,14,0)</f>
        <v>#N/A</v>
      </c>
      <c r="K1125" s="1085"/>
      <c r="L1125" s="1085"/>
      <c r="M1125" s="1085"/>
      <c r="N1125" s="1085"/>
      <c r="O1125" s="1085"/>
    </row>
    <row r="1126" spans="1:15" ht="15" customHeight="1">
      <c r="A1126" s="1056" t="s">
        <v>2675</v>
      </c>
      <c r="B1126" s="1057" t="s">
        <v>2676</v>
      </c>
      <c r="D1126" s="1064" t="e">
        <f>VLOOKUP(B1117,'LƯƠNG KT'!$D$15:$R$94,13,0)</f>
        <v>#N/A</v>
      </c>
      <c r="E1126" s="1065"/>
      <c r="F1126" s="1065"/>
      <c r="G1126" s="1056" t="s">
        <v>2675</v>
      </c>
      <c r="H1126" s="1057" t="s">
        <v>2676</v>
      </c>
      <c r="J1126" s="1064" t="e">
        <f>VLOOKUP(H1117,'LƯƠNG KT'!$D$15:$R$94,13,0)</f>
        <v>#N/A</v>
      </c>
    </row>
    <row r="1127" spans="1:15" ht="15" customHeight="1">
      <c r="A1127" s="1066"/>
      <c r="B1127" s="869"/>
      <c r="C1127" s="1058"/>
      <c r="D1127" s="1059"/>
      <c r="E1127" s="1063"/>
      <c r="F1127" s="1065"/>
      <c r="G1127" s="1066"/>
      <c r="H1127" s="869"/>
      <c r="I1127" s="1058"/>
      <c r="J1127" s="1059"/>
    </row>
    <row r="1128" spans="1:15" ht="15" customHeight="1">
      <c r="A1128" s="1052"/>
      <c r="B1128" s="869"/>
      <c r="C1128" s="1058"/>
      <c r="D1128" s="1059"/>
      <c r="E1128" s="1067"/>
      <c r="F1128" s="1051"/>
      <c r="G1128" s="1052"/>
      <c r="H1128" s="869"/>
      <c r="I1128" s="1058"/>
      <c r="J1128" s="1059"/>
    </row>
    <row r="1129" spans="1:15" ht="15" customHeight="1">
      <c r="A1129" s="1068" t="s">
        <v>383</v>
      </c>
      <c r="B1129" s="1069" t="s">
        <v>384</v>
      </c>
      <c r="C1129" s="1070"/>
      <c r="D1129" s="1071" t="e">
        <f>SUM(D1118:D1125)-D1128</f>
        <v>#N/A</v>
      </c>
      <c r="E1129" s="1072"/>
      <c r="F1129" s="1073"/>
      <c r="G1129" s="1068" t="s">
        <v>383</v>
      </c>
      <c r="H1129" s="1069" t="s">
        <v>384</v>
      </c>
      <c r="I1129" s="1070"/>
      <c r="J1129" s="1071" t="e">
        <f>SUM(J1118:J1125)-J1128</f>
        <v>#N/A</v>
      </c>
    </row>
    <row r="1130" spans="1:15" ht="12.6" customHeight="1">
      <c r="A1130" s="1074"/>
      <c r="B1130" s="1075"/>
      <c r="C1130" s="1076"/>
      <c r="D1130" s="1077"/>
      <c r="E1130" s="1077"/>
      <c r="F1130" s="1078"/>
      <c r="G1130" s="1074"/>
      <c r="H1130" s="1075"/>
      <c r="I1130" s="1076"/>
      <c r="J1130" s="1077"/>
    </row>
    <row r="1131" spans="1:15" ht="12.6" customHeight="1">
      <c r="A1131" s="1075"/>
      <c r="B1131" s="1075"/>
      <c r="C1131" s="1079"/>
      <c r="D1131" s="1080"/>
      <c r="E1131" s="1075"/>
      <c r="F1131" s="1081"/>
      <c r="G1131" s="1075"/>
      <c r="H1131" s="1075"/>
      <c r="I1131" s="1079"/>
      <c r="J1131" s="1080"/>
    </row>
    <row r="1132" spans="1:15" ht="15" customHeight="1">
      <c r="A1132" s="2242" t="str">
        <f>$K$2</f>
        <v>THÁNG 04/2025</v>
      </c>
      <c r="B1132" s="2242"/>
      <c r="C1132" s="2242"/>
      <c r="D1132" s="2242"/>
      <c r="E1132" s="1050"/>
      <c r="F1132" s="1051"/>
      <c r="G1132" s="2242" t="str">
        <f>$K$2</f>
        <v>THÁNG 04/2025</v>
      </c>
      <c r="H1132" s="2242"/>
      <c r="I1132" s="2242"/>
      <c r="J1132" s="2242"/>
      <c r="K1132" s="624"/>
    </row>
    <row r="1133" spans="1:15" ht="15" customHeight="1">
      <c r="A1133" s="1052" t="s">
        <v>356</v>
      </c>
      <c r="B1133" s="1053" t="s">
        <v>83</v>
      </c>
      <c r="C1133" s="869"/>
      <c r="D1133" s="1049"/>
      <c r="E1133" s="1054"/>
      <c r="F1133" s="1055"/>
      <c r="G1133" s="1052" t="s">
        <v>356</v>
      </c>
      <c r="H1133" s="1053" t="s">
        <v>21</v>
      </c>
      <c r="I1133" s="869"/>
      <c r="J1133" s="1049"/>
      <c r="L1133" s="1088"/>
      <c r="M1133" s="1088"/>
      <c r="N1133" s="1088"/>
      <c r="O1133" s="1088"/>
    </row>
    <row r="1134" spans="1:15" ht="15" customHeight="1">
      <c r="A1134" s="1056" t="s">
        <v>359</v>
      </c>
      <c r="B1134" s="1057" t="s">
        <v>2662</v>
      </c>
      <c r="C1134" s="1058" t="e">
        <f>VLOOKUP(B1133,'LƯƠNG KT'!$D$15:$R$94,4,0)</f>
        <v>#N/A</v>
      </c>
      <c r="D1134" s="1059" t="e">
        <f>+C1134*25000</f>
        <v>#N/A</v>
      </c>
      <c r="E1134" s="1060"/>
      <c r="F1134" s="1060"/>
      <c r="G1134" s="1056" t="s">
        <v>359</v>
      </c>
      <c r="H1134" s="1057" t="s">
        <v>2662</v>
      </c>
      <c r="I1134" s="1058" t="e">
        <f>VLOOKUP(H1133,'LƯƠNG KT'!$D$15:$R$94,4,0)</f>
        <v>#N/A</v>
      </c>
      <c r="J1134" s="1059" t="e">
        <f>+I1134*25000</f>
        <v>#N/A</v>
      </c>
      <c r="K1134" s="1085"/>
      <c r="L1134" s="1085"/>
      <c r="M1134" s="1085"/>
      <c r="N1134" s="1085"/>
      <c r="O1134" s="1085"/>
    </row>
    <row r="1135" spans="1:15" ht="15" customHeight="1">
      <c r="A1135" s="1056" t="s">
        <v>361</v>
      </c>
      <c r="B1135" s="1057" t="s">
        <v>2663</v>
      </c>
      <c r="C1135" s="1058" t="e">
        <f>VLOOKUP(B1133,'LƯƠNG KT'!$D$15:$R$94,15,0)</f>
        <v>#N/A</v>
      </c>
      <c r="D1135" s="1059" t="e">
        <f>C1135*$L$4</f>
        <v>#N/A</v>
      </c>
      <c r="E1135" s="1061"/>
      <c r="F1135" s="1061"/>
      <c r="G1135" s="1056" t="s">
        <v>361</v>
      </c>
      <c r="H1135" s="1057" t="s">
        <v>2663</v>
      </c>
      <c r="I1135" s="1058" t="e">
        <f>VLOOKUP(H1133,'LƯƠNG KT'!$D$15:$R$94,15,0)</f>
        <v>#N/A</v>
      </c>
      <c r="J1135" s="1059" t="e">
        <f>I1135*$L$4</f>
        <v>#N/A</v>
      </c>
      <c r="K1135" s="1085"/>
      <c r="L1135" s="1085"/>
      <c r="M1135" s="1085"/>
      <c r="N1135" s="1085"/>
      <c r="O1135" s="1085"/>
    </row>
    <row r="1136" spans="1:15" ht="15" customHeight="1">
      <c r="A1136" s="1056" t="s">
        <v>364</v>
      </c>
      <c r="B1136" s="1057" t="s">
        <v>2664</v>
      </c>
      <c r="C1136" s="1058" t="e">
        <f>VLOOKUP(B1133,'LƯƠNG KT'!$D$15:$R$94,16,0)</f>
        <v>#N/A</v>
      </c>
      <c r="D1136" s="1059" t="e">
        <f>C1136*$L$5</f>
        <v>#N/A</v>
      </c>
      <c r="E1136" s="1061"/>
      <c r="F1136" s="1061"/>
      <c r="G1136" s="1056" t="s">
        <v>364</v>
      </c>
      <c r="H1136" s="1057" t="s">
        <v>2664</v>
      </c>
      <c r="I1136" s="1058" t="e">
        <f>VLOOKUP(H1133,'LƯƠNG KT'!$D$15:$R$94,16,0)</f>
        <v>#N/A</v>
      </c>
      <c r="J1136" s="1059" t="e">
        <f>I1136*$L$5</f>
        <v>#N/A</v>
      </c>
      <c r="K1136" s="1085"/>
      <c r="L1136" s="1085"/>
      <c r="M1136" s="1085"/>
      <c r="N1136" s="1085"/>
      <c r="O1136" s="1085"/>
    </row>
    <row r="1137" spans="1:15" ht="15" customHeight="1">
      <c r="A1137" s="1056" t="s">
        <v>370</v>
      </c>
      <c r="B1137" s="1057" t="s">
        <v>2665</v>
      </c>
      <c r="C1137" s="1058" t="e">
        <f>VLOOKUP(B1133,'LƯƠNG KT'!$D$15:$R$94,24,0)</f>
        <v>#N/A</v>
      </c>
      <c r="D1137" s="1059" t="e">
        <f>+C1137*$L$6</f>
        <v>#N/A</v>
      </c>
      <c r="E1137" s="1061"/>
      <c r="F1137" s="1061"/>
      <c r="G1137" s="1056" t="s">
        <v>370</v>
      </c>
      <c r="H1137" s="1057" t="s">
        <v>2665</v>
      </c>
      <c r="I1137" s="1058" t="e">
        <f>VLOOKUP(H1133,'LƯƠNG KT'!$D$15:$R$94,24,0)</f>
        <v>#N/A</v>
      </c>
      <c r="J1137" s="1059" t="e">
        <f>+I1137*$L$6</f>
        <v>#N/A</v>
      </c>
      <c r="K1137" s="1085"/>
      <c r="L1137" s="1085"/>
      <c r="M1137" s="1085"/>
      <c r="N1137" s="1085"/>
      <c r="O1137" s="1085"/>
    </row>
    <row r="1138" spans="1:15" ht="15" customHeight="1">
      <c r="A1138" s="1056" t="s">
        <v>2666</v>
      </c>
      <c r="B1138" s="1057" t="s">
        <v>2667</v>
      </c>
      <c r="C1138" s="1058" t="e">
        <f>VLOOKUP(B1133,'LƯƠNG KT'!$D$15:$R$94,19,0)</f>
        <v>#N/A</v>
      </c>
      <c r="D1138" s="1059" t="e">
        <f>+C1138*$L$8</f>
        <v>#N/A</v>
      </c>
      <c r="E1138" s="1061"/>
      <c r="F1138" s="1061"/>
      <c r="G1138" s="1056" t="s">
        <v>2666</v>
      </c>
      <c r="H1138" s="1057" t="s">
        <v>2667</v>
      </c>
      <c r="I1138" s="1058" t="e">
        <f>VLOOKUP(H1133,'LƯƠNG KT'!$D$15:$R$94,19,0)</f>
        <v>#N/A</v>
      </c>
      <c r="J1138" s="1059" t="e">
        <f>+I1138*$L$8</f>
        <v>#N/A</v>
      </c>
      <c r="K1138" s="1085"/>
      <c r="L1138" s="1085"/>
      <c r="M1138" s="1085"/>
      <c r="N1138" s="1085"/>
      <c r="O1138" s="1085"/>
    </row>
    <row r="1139" spans="1:15" ht="15" customHeight="1">
      <c r="A1139" s="1056" t="s">
        <v>2668</v>
      </c>
      <c r="B1139" s="1062" t="s">
        <v>2669</v>
      </c>
      <c r="C1139" s="1058" t="e">
        <f>VLOOKUP(B1133,'LƯƠNG KT'!$D$15:$R$94,20,0)</f>
        <v>#N/A</v>
      </c>
      <c r="D1139" s="1059" t="e">
        <f>+C1139*$L$9</f>
        <v>#N/A</v>
      </c>
      <c r="E1139" s="1061"/>
      <c r="F1139" s="1061"/>
      <c r="G1139" s="1056" t="s">
        <v>2668</v>
      </c>
      <c r="H1139" s="1062" t="s">
        <v>2669</v>
      </c>
      <c r="I1139" s="1058" t="e">
        <f>VLOOKUP(H1133,'LƯƠNG KT'!$D$15:$R$94,20,0)</f>
        <v>#N/A</v>
      </c>
      <c r="J1139" s="1059" t="e">
        <f>+I1139*$L$9</f>
        <v>#N/A</v>
      </c>
      <c r="K1139" s="1085"/>
      <c r="L1139" s="1085"/>
      <c r="M1139" s="1085"/>
      <c r="N1139" s="1085"/>
      <c r="O1139" s="1085"/>
    </row>
    <row r="1140" spans="1:15" ht="15" customHeight="1">
      <c r="A1140" s="1056" t="s">
        <v>2671</v>
      </c>
      <c r="B1140" s="1057" t="s">
        <v>2672</v>
      </c>
      <c r="C1140" s="1058" t="e">
        <f>VLOOKUP(B1133,'LƯƠNG KT'!$D$15:$R$94,17,0)</f>
        <v>#N/A</v>
      </c>
      <c r="D1140" s="1059" t="e">
        <f>+C1140*$L$10</f>
        <v>#N/A</v>
      </c>
      <c r="E1140" s="1061"/>
      <c r="F1140" s="1061"/>
      <c r="G1140" s="1056" t="s">
        <v>2671</v>
      </c>
      <c r="H1140" s="1057" t="s">
        <v>2672</v>
      </c>
      <c r="I1140" s="1058" t="e">
        <f>VLOOKUP(H1133,'LƯƠNG KT'!$D$15:$R$94,17,0)</f>
        <v>#N/A</v>
      </c>
      <c r="J1140" s="1059" t="e">
        <f>+I1140*$L$10</f>
        <v>#N/A</v>
      </c>
      <c r="K1140" s="1085"/>
      <c r="L1140" s="1085"/>
      <c r="M1140" s="1085"/>
      <c r="N1140" s="1085"/>
      <c r="O1140" s="1085"/>
    </row>
    <row r="1141" spans="1:15" ht="15" customHeight="1">
      <c r="A1141" s="1056" t="s">
        <v>374</v>
      </c>
      <c r="B1141" s="1057" t="s">
        <v>2674</v>
      </c>
      <c r="C1141" s="1058" t="e">
        <f>VLOOKUP(B1133,'LƯƠNG KT'!$D$15:$R$94,12,0)</f>
        <v>#N/A</v>
      </c>
      <c r="D1141" s="1059" t="e">
        <f>VLOOKUP(B1133,'LƯƠNG KT'!$D$15:$R$94,14,0)</f>
        <v>#N/A</v>
      </c>
      <c r="E1141" s="1063"/>
      <c r="F1141" s="1061"/>
      <c r="G1141" s="1056" t="s">
        <v>374</v>
      </c>
      <c r="H1141" s="1057" t="s">
        <v>2674</v>
      </c>
      <c r="I1141" s="1058" t="e">
        <f>VLOOKUP(H1133,'LƯƠNG KT'!$D$15:$R$94,12,0)</f>
        <v>#N/A</v>
      </c>
      <c r="J1141" s="1059" t="e">
        <f>VLOOKUP(H1133,'LƯƠNG KT'!$D$15:$R$94,14,0)</f>
        <v>#N/A</v>
      </c>
      <c r="K1141" s="1085"/>
      <c r="L1141" s="1085"/>
      <c r="M1141" s="1085"/>
      <c r="N1141" s="1085"/>
      <c r="O1141" s="1085"/>
    </row>
    <row r="1142" spans="1:15" ht="15" customHeight="1">
      <c r="A1142" s="1056" t="s">
        <v>2675</v>
      </c>
      <c r="B1142" s="1057" t="s">
        <v>2676</v>
      </c>
      <c r="D1142" s="1064" t="e">
        <f>VLOOKUP(B1133,'LƯƠNG KT'!$D$15:$R$94,13,0)</f>
        <v>#N/A</v>
      </c>
      <c r="E1142" s="1065"/>
      <c r="F1142" s="1065"/>
      <c r="G1142" s="1056" t="s">
        <v>2675</v>
      </c>
      <c r="H1142" s="1057" t="s">
        <v>2676</v>
      </c>
      <c r="J1142" s="1064" t="e">
        <f>VLOOKUP(H1133,'LƯƠNG KT'!$D$15:$R$94,13,0)</f>
        <v>#N/A</v>
      </c>
    </row>
    <row r="1143" spans="1:15" ht="15" customHeight="1">
      <c r="A1143" s="1066"/>
      <c r="B1143" s="869"/>
      <c r="C1143" s="1058"/>
      <c r="D1143" s="1059"/>
      <c r="E1143" s="1063"/>
      <c r="F1143" s="1065"/>
      <c r="G1143" s="1066"/>
      <c r="H1143" s="869"/>
      <c r="I1143" s="1058"/>
      <c r="J1143" s="1059"/>
    </row>
    <row r="1144" spans="1:15" ht="15" customHeight="1">
      <c r="A1144" s="1052"/>
      <c r="B1144" s="869"/>
      <c r="C1144" s="1058"/>
      <c r="D1144" s="1059"/>
      <c r="E1144" s="1067"/>
      <c r="F1144" s="1051"/>
      <c r="G1144" s="1052"/>
      <c r="H1144" s="869"/>
      <c r="I1144" s="1058"/>
      <c r="J1144" s="1059"/>
    </row>
    <row r="1145" spans="1:15" ht="15" customHeight="1">
      <c r="A1145" s="1068" t="s">
        <v>383</v>
      </c>
      <c r="B1145" s="1069" t="s">
        <v>384</v>
      </c>
      <c r="C1145" s="1070"/>
      <c r="D1145" s="1071" t="e">
        <f>SUM(D1134:D1141)-D1144</f>
        <v>#N/A</v>
      </c>
      <c r="E1145" s="1072"/>
      <c r="F1145" s="1073"/>
      <c r="G1145" s="1068" t="s">
        <v>383</v>
      </c>
      <c r="H1145" s="1069" t="s">
        <v>384</v>
      </c>
      <c r="I1145" s="1070"/>
      <c r="J1145" s="1071" t="e">
        <f>SUM(J1134:J1141)-J1144</f>
        <v>#N/A</v>
      </c>
    </row>
    <row r="1146" spans="1:15" ht="18.75" customHeight="1">
      <c r="A1146" s="1074"/>
      <c r="B1146" s="1075"/>
      <c r="C1146" s="1076"/>
      <c r="D1146" s="1077"/>
      <c r="E1146" s="1077"/>
      <c r="F1146" s="1078"/>
      <c r="G1146" s="1074"/>
      <c r="H1146" s="1075"/>
      <c r="I1146" s="1076"/>
      <c r="J1146" s="1077"/>
    </row>
    <row r="1147" spans="1:15" ht="18.75" customHeight="1">
      <c r="A1147" s="1075"/>
      <c r="B1147" s="1075"/>
      <c r="C1147" s="1079"/>
      <c r="D1147" s="1080"/>
      <c r="E1147" s="1075"/>
      <c r="F1147" s="1081"/>
      <c r="G1147" s="1075"/>
      <c r="H1147" s="1075"/>
      <c r="I1147" s="1079"/>
      <c r="J1147" s="1080"/>
    </row>
    <row r="1148" spans="1:15" ht="15" customHeight="1">
      <c r="A1148" s="2242" t="str">
        <f>$K$2</f>
        <v>THÁNG 04/2025</v>
      </c>
      <c r="B1148" s="2242"/>
      <c r="C1148" s="2242"/>
      <c r="D1148" s="2242"/>
      <c r="E1148" s="1050"/>
      <c r="F1148" s="1051"/>
      <c r="G1148" s="2242" t="str">
        <f>$K$2</f>
        <v>THÁNG 04/2025</v>
      </c>
      <c r="H1148" s="2242"/>
      <c r="I1148" s="2242"/>
      <c r="J1148" s="2242"/>
      <c r="K1148" s="624"/>
    </row>
    <row r="1149" spans="1:15" ht="15" customHeight="1">
      <c r="A1149" s="1052" t="s">
        <v>356</v>
      </c>
      <c r="B1149" s="1053" t="s">
        <v>53</v>
      </c>
      <c r="C1149" s="869"/>
      <c r="D1149" s="1049"/>
      <c r="E1149" s="1054"/>
      <c r="F1149" s="1055"/>
      <c r="G1149" s="1052" t="s">
        <v>356</v>
      </c>
      <c r="H1149" s="1053" t="s">
        <v>490</v>
      </c>
      <c r="I1149" s="869"/>
      <c r="J1149" s="1049"/>
      <c r="L1149" s="1088"/>
      <c r="M1149" s="1088"/>
      <c r="N1149" s="1088"/>
      <c r="O1149" s="1088"/>
    </row>
    <row r="1150" spans="1:15" ht="15" customHeight="1">
      <c r="A1150" s="1056" t="s">
        <v>359</v>
      </c>
      <c r="B1150" s="1057" t="s">
        <v>2662</v>
      </c>
      <c r="C1150" s="1058" t="e">
        <f>VLOOKUP(B1149,'LƯƠNG KT'!$D$15:$R$94,4,0)</f>
        <v>#N/A</v>
      </c>
      <c r="D1150" s="1059" t="e">
        <f>+C1150*25000</f>
        <v>#N/A</v>
      </c>
      <c r="E1150" s="1060"/>
      <c r="F1150" s="1060"/>
      <c r="G1150" s="1056" t="s">
        <v>359</v>
      </c>
      <c r="H1150" s="1057" t="s">
        <v>2662</v>
      </c>
      <c r="I1150" s="1058" t="e">
        <f>VLOOKUP(H1149,'LƯƠNG KT'!$D$15:$R$94,4,0)</f>
        <v>#N/A</v>
      </c>
      <c r="J1150" s="1059" t="e">
        <f>+I1150*25000</f>
        <v>#N/A</v>
      </c>
      <c r="K1150" s="1085"/>
      <c r="L1150" s="1085"/>
      <c r="M1150" s="1085"/>
      <c r="N1150" s="1085"/>
      <c r="O1150" s="1085"/>
    </row>
    <row r="1151" spans="1:15" ht="15" customHeight="1">
      <c r="A1151" s="1056" t="s">
        <v>361</v>
      </c>
      <c r="B1151" s="1057" t="s">
        <v>2663</v>
      </c>
      <c r="C1151" s="1058" t="e">
        <f>VLOOKUP(B1149,'LƯƠNG KT'!$D$15:$R$94,15,0)</f>
        <v>#N/A</v>
      </c>
      <c r="D1151" s="1059" t="e">
        <f>C1151*$L$4</f>
        <v>#N/A</v>
      </c>
      <c r="E1151" s="1061"/>
      <c r="F1151" s="1061"/>
      <c r="G1151" s="1056" t="s">
        <v>361</v>
      </c>
      <c r="H1151" s="1057" t="s">
        <v>2663</v>
      </c>
      <c r="I1151" s="1058" t="e">
        <f>VLOOKUP(H1149,'LƯƠNG KT'!$D$15:$R$94,15,0)</f>
        <v>#N/A</v>
      </c>
      <c r="J1151" s="1059" t="e">
        <f>I1151*$L$4</f>
        <v>#N/A</v>
      </c>
      <c r="K1151" s="1085"/>
      <c r="L1151" s="1085"/>
      <c r="M1151" s="1085"/>
      <c r="N1151" s="1085"/>
      <c r="O1151" s="1085"/>
    </row>
    <row r="1152" spans="1:15" ht="15" customHeight="1">
      <c r="A1152" s="1056" t="s">
        <v>364</v>
      </c>
      <c r="B1152" s="1057" t="s">
        <v>2664</v>
      </c>
      <c r="C1152" s="1058" t="e">
        <f>VLOOKUP(B1149,'LƯƠNG KT'!$D$15:$R$94,16,0)</f>
        <v>#N/A</v>
      </c>
      <c r="D1152" s="1059" t="e">
        <f>C1152*$L$5</f>
        <v>#N/A</v>
      </c>
      <c r="E1152" s="1061"/>
      <c r="F1152" s="1061"/>
      <c r="G1152" s="1056" t="s">
        <v>364</v>
      </c>
      <c r="H1152" s="1057" t="s">
        <v>2664</v>
      </c>
      <c r="I1152" s="1058" t="e">
        <f>VLOOKUP(H1149,'LƯƠNG KT'!$D$15:$R$94,16,0)</f>
        <v>#N/A</v>
      </c>
      <c r="J1152" s="1059" t="e">
        <f>I1152*$L$5</f>
        <v>#N/A</v>
      </c>
      <c r="K1152" s="1085"/>
      <c r="L1152" s="1085"/>
      <c r="M1152" s="1085"/>
      <c r="N1152" s="1085"/>
      <c r="O1152" s="1085"/>
    </row>
    <row r="1153" spans="1:15" ht="15" customHeight="1">
      <c r="A1153" s="1056" t="s">
        <v>370</v>
      </c>
      <c r="B1153" s="1057" t="s">
        <v>2665</v>
      </c>
      <c r="C1153" s="1058" t="e">
        <f>VLOOKUP(B1149,'LƯƠNG KT'!$D$15:$R$94,24,0)</f>
        <v>#N/A</v>
      </c>
      <c r="D1153" s="1059" t="e">
        <f>+C1153*$L$6</f>
        <v>#N/A</v>
      </c>
      <c r="E1153" s="1061"/>
      <c r="F1153" s="1061"/>
      <c r="G1153" s="1056" t="s">
        <v>370</v>
      </c>
      <c r="H1153" s="1057" t="s">
        <v>2665</v>
      </c>
      <c r="I1153" s="1058" t="e">
        <f>VLOOKUP(H1149,'LƯƠNG KT'!$D$15:$R$94,24,0)</f>
        <v>#N/A</v>
      </c>
      <c r="J1153" s="1059" t="e">
        <f>+I1153*$L$6</f>
        <v>#N/A</v>
      </c>
      <c r="K1153" s="1085"/>
      <c r="L1153" s="1085"/>
      <c r="M1153" s="1085"/>
      <c r="N1153" s="1085"/>
      <c r="O1153" s="1085"/>
    </row>
    <row r="1154" spans="1:15" ht="15" customHeight="1">
      <c r="A1154" s="1056" t="s">
        <v>2666</v>
      </c>
      <c r="B1154" s="1057" t="s">
        <v>2667</v>
      </c>
      <c r="C1154" s="1058" t="e">
        <f>VLOOKUP(B1149,'LƯƠNG KT'!$D$15:$R$94,19,0)</f>
        <v>#N/A</v>
      </c>
      <c r="D1154" s="1059" t="e">
        <f>+C1154*$L$8</f>
        <v>#N/A</v>
      </c>
      <c r="E1154" s="1061"/>
      <c r="F1154" s="1061"/>
      <c r="G1154" s="1056" t="s">
        <v>2666</v>
      </c>
      <c r="H1154" s="1057" t="s">
        <v>2667</v>
      </c>
      <c r="I1154" s="1058" t="e">
        <f>VLOOKUP(H1149,'LƯƠNG KT'!$D$15:$R$94,19,0)</f>
        <v>#N/A</v>
      </c>
      <c r="J1154" s="1059" t="e">
        <f>+I1154*$L$8</f>
        <v>#N/A</v>
      </c>
      <c r="K1154" s="1085"/>
      <c r="L1154" s="1085"/>
      <c r="M1154" s="1085"/>
      <c r="N1154" s="1085"/>
      <c r="O1154" s="1085"/>
    </row>
    <row r="1155" spans="1:15" ht="15" customHeight="1">
      <c r="A1155" s="1056" t="s">
        <v>2668</v>
      </c>
      <c r="B1155" s="1062" t="s">
        <v>2669</v>
      </c>
      <c r="C1155" s="1058" t="e">
        <f>VLOOKUP(B1149,'LƯƠNG KT'!$D$15:$R$94,20,0)</f>
        <v>#N/A</v>
      </c>
      <c r="D1155" s="1059" t="e">
        <f>+C1155*$L$9</f>
        <v>#N/A</v>
      </c>
      <c r="E1155" s="1061"/>
      <c r="F1155" s="1061"/>
      <c r="G1155" s="1056" t="s">
        <v>2668</v>
      </c>
      <c r="H1155" s="1062" t="s">
        <v>2669</v>
      </c>
      <c r="I1155" s="1058" t="e">
        <f>VLOOKUP(H1149,'LƯƠNG KT'!$D$15:$R$94,20,0)</f>
        <v>#N/A</v>
      </c>
      <c r="J1155" s="1059" t="e">
        <f>+I1155*$L$9</f>
        <v>#N/A</v>
      </c>
      <c r="K1155" s="1085"/>
      <c r="L1155" s="1085"/>
      <c r="M1155" s="1085"/>
      <c r="N1155" s="1085"/>
      <c r="O1155" s="1085"/>
    </row>
    <row r="1156" spans="1:15" ht="15" customHeight="1">
      <c r="A1156" s="1056" t="s">
        <v>2671</v>
      </c>
      <c r="B1156" s="1057" t="s">
        <v>2672</v>
      </c>
      <c r="C1156" s="1058" t="e">
        <f>VLOOKUP(B1149,'LƯƠNG KT'!$D$15:$R$94,17,0)</f>
        <v>#N/A</v>
      </c>
      <c r="D1156" s="1059" t="e">
        <f>+C1156*$L$10</f>
        <v>#N/A</v>
      </c>
      <c r="E1156" s="1061"/>
      <c r="F1156" s="1061"/>
      <c r="G1156" s="1056" t="s">
        <v>2671</v>
      </c>
      <c r="H1156" s="1057" t="s">
        <v>2672</v>
      </c>
      <c r="I1156" s="1058" t="e">
        <f>VLOOKUP(H1149,'LƯƠNG KT'!$D$15:$R$94,17,0)</f>
        <v>#N/A</v>
      </c>
      <c r="J1156" s="1059" t="e">
        <f>+I1156*$L$10</f>
        <v>#N/A</v>
      </c>
      <c r="K1156" s="1085"/>
      <c r="L1156" s="1085"/>
      <c r="M1156" s="1085"/>
      <c r="N1156" s="1085"/>
      <c r="O1156" s="1085"/>
    </row>
    <row r="1157" spans="1:15" ht="15" customHeight="1">
      <c r="A1157" s="1056" t="s">
        <v>374</v>
      </c>
      <c r="B1157" s="1057" t="s">
        <v>2674</v>
      </c>
      <c r="C1157" s="1058" t="e">
        <f>VLOOKUP(B1149,'LƯƠNG KT'!$D$15:$R$94,12,0)</f>
        <v>#N/A</v>
      </c>
      <c r="D1157" s="1059" t="e">
        <f>VLOOKUP(B1149,'LƯƠNG KT'!$D$15:$R$94,14,0)</f>
        <v>#N/A</v>
      </c>
      <c r="E1157" s="1063"/>
      <c r="F1157" s="1061"/>
      <c r="G1157" s="1056" t="s">
        <v>374</v>
      </c>
      <c r="H1157" s="1057" t="s">
        <v>2674</v>
      </c>
      <c r="I1157" s="1058" t="e">
        <f>VLOOKUP(H1149,'LƯƠNG KT'!$D$15:$R$94,12,0)</f>
        <v>#N/A</v>
      </c>
      <c r="J1157" s="1059" t="e">
        <f>VLOOKUP(H1149,'LƯƠNG KT'!$D$15:$R$94,14,0)</f>
        <v>#N/A</v>
      </c>
      <c r="K1157" s="1085"/>
      <c r="L1157" s="1085"/>
      <c r="M1157" s="1085"/>
      <c r="N1157" s="1085"/>
      <c r="O1157" s="1085"/>
    </row>
    <row r="1158" spans="1:15" ht="15" customHeight="1">
      <c r="A1158" s="1056" t="s">
        <v>2675</v>
      </c>
      <c r="B1158" s="1057" t="s">
        <v>2676</v>
      </c>
      <c r="D1158" s="1064" t="e">
        <f>VLOOKUP(B1149,'LƯƠNG KT'!$D$15:$R$94,13,0)</f>
        <v>#N/A</v>
      </c>
      <c r="E1158" s="1065"/>
      <c r="F1158" s="1065"/>
      <c r="G1158" s="1056" t="s">
        <v>2675</v>
      </c>
      <c r="H1158" s="1057" t="s">
        <v>2676</v>
      </c>
      <c r="J1158" s="1064" t="e">
        <f>VLOOKUP(H1149,'LƯƠNG KT'!$D$15:$R$94,13,0)</f>
        <v>#N/A</v>
      </c>
    </row>
    <row r="1159" spans="1:15" ht="15" customHeight="1">
      <c r="A1159" s="1066"/>
      <c r="B1159" s="869"/>
      <c r="C1159" s="1058"/>
      <c r="D1159" s="1059"/>
      <c r="E1159" s="1063"/>
      <c r="F1159" s="1065"/>
      <c r="G1159" s="1066"/>
      <c r="H1159" s="869"/>
      <c r="I1159" s="1058"/>
      <c r="J1159" s="1059"/>
    </row>
    <row r="1160" spans="1:15" ht="15" customHeight="1">
      <c r="A1160" s="1052"/>
      <c r="B1160" s="869"/>
      <c r="C1160" s="1058"/>
      <c r="D1160" s="1059"/>
      <c r="E1160" s="1067"/>
      <c r="F1160" s="1051"/>
      <c r="G1160" s="1052"/>
      <c r="H1160" s="869"/>
      <c r="I1160" s="1058"/>
      <c r="J1160" s="1059"/>
    </row>
    <row r="1161" spans="1:15" ht="15" customHeight="1">
      <c r="A1161" s="1068" t="s">
        <v>383</v>
      </c>
      <c r="B1161" s="1069" t="s">
        <v>384</v>
      </c>
      <c r="C1161" s="1070"/>
      <c r="D1161" s="1071" t="e">
        <f>SUM(D1150:D1157)-D1160</f>
        <v>#N/A</v>
      </c>
      <c r="E1161" s="1072"/>
      <c r="F1161" s="1073"/>
      <c r="G1161" s="1068" t="s">
        <v>383</v>
      </c>
      <c r="H1161" s="1069" t="s">
        <v>384</v>
      </c>
      <c r="I1161" s="1070"/>
      <c r="J1161" s="1071" t="e">
        <f>SUM(J1150:J1157)-J1160</f>
        <v>#N/A</v>
      </c>
    </row>
    <row r="1162" spans="1:15" ht="18.75" customHeight="1">
      <c r="A1162" s="1074"/>
      <c r="B1162" s="1075"/>
      <c r="C1162" s="1076"/>
      <c r="D1162" s="1077"/>
      <c r="E1162" s="1077"/>
      <c r="F1162" s="1078"/>
      <c r="G1162" s="1074"/>
      <c r="H1162" s="1075"/>
      <c r="I1162" s="1076"/>
      <c r="J1162" s="1077"/>
    </row>
    <row r="1163" spans="1:15" ht="149.25" customHeight="1">
      <c r="A1163" s="1075"/>
      <c r="B1163" s="1075"/>
      <c r="C1163" s="1079"/>
      <c r="D1163" s="1080"/>
      <c r="E1163" s="1075"/>
      <c r="F1163" s="1081"/>
      <c r="G1163" s="1075"/>
      <c r="H1163" s="1075"/>
      <c r="I1163" s="1079"/>
      <c r="J1163" s="1080"/>
    </row>
    <row r="1164" spans="1:15" ht="15" customHeight="1">
      <c r="A1164" s="2242" t="str">
        <f>$K$2</f>
        <v>THÁNG 04/2025</v>
      </c>
      <c r="B1164" s="2242"/>
      <c r="C1164" s="2242"/>
      <c r="D1164" s="2242"/>
      <c r="E1164" s="1050"/>
      <c r="F1164" s="1051"/>
      <c r="G1164" s="2242" t="str">
        <f>$K$2</f>
        <v>THÁNG 04/2025</v>
      </c>
      <c r="H1164" s="2242"/>
      <c r="I1164" s="2242"/>
      <c r="J1164" s="2242"/>
      <c r="K1164" s="624"/>
    </row>
    <row r="1165" spans="1:15" ht="15" customHeight="1">
      <c r="A1165" s="1052" t="s">
        <v>356</v>
      </c>
      <c r="B1165" s="1053" t="s">
        <v>487</v>
      </c>
      <c r="C1165" s="869"/>
      <c r="D1165" s="1049"/>
      <c r="E1165" s="1054"/>
      <c r="F1165" s="1055"/>
      <c r="G1165" s="1052" t="s">
        <v>356</v>
      </c>
      <c r="H1165" s="1053" t="s">
        <v>31</v>
      </c>
      <c r="I1165" s="869"/>
      <c r="J1165" s="1049"/>
      <c r="L1165" s="1088"/>
      <c r="M1165" s="1088"/>
      <c r="N1165" s="1088"/>
      <c r="O1165" s="1088"/>
    </row>
    <row r="1166" spans="1:15" ht="15" customHeight="1">
      <c r="A1166" s="1056" t="s">
        <v>359</v>
      </c>
      <c r="B1166" s="1057" t="s">
        <v>2662</v>
      </c>
      <c r="C1166" s="1058" t="e">
        <f>VLOOKUP(B1165,'LƯƠNG KT'!$D$15:$R$94,4,0)</f>
        <v>#N/A</v>
      </c>
      <c r="D1166" s="1059" t="e">
        <f>+C1166*25000</f>
        <v>#N/A</v>
      </c>
      <c r="E1166" s="1060"/>
      <c r="F1166" s="1060"/>
      <c r="G1166" s="1056" t="s">
        <v>359</v>
      </c>
      <c r="H1166" s="1057" t="s">
        <v>2662</v>
      </c>
      <c r="I1166" s="1058" t="e">
        <f>VLOOKUP(H1165,'LƯƠNG KT'!$D$15:$R$94,4,0)</f>
        <v>#N/A</v>
      </c>
      <c r="J1166" s="1059" t="e">
        <f>+I1166*25000</f>
        <v>#N/A</v>
      </c>
      <c r="K1166" s="1085"/>
      <c r="L1166" s="1085"/>
      <c r="M1166" s="1085"/>
      <c r="N1166" s="1085"/>
      <c r="O1166" s="1085"/>
    </row>
    <row r="1167" spans="1:15" ht="15" customHeight="1">
      <c r="A1167" s="1056" t="s">
        <v>361</v>
      </c>
      <c r="B1167" s="1057" t="s">
        <v>2663</v>
      </c>
      <c r="C1167" s="1058" t="e">
        <f>VLOOKUP(B1165,'LƯƠNG KT'!$D$15:$R$94,15,0)</f>
        <v>#N/A</v>
      </c>
      <c r="D1167" s="1059" t="e">
        <f>C1167*$L$4</f>
        <v>#N/A</v>
      </c>
      <c r="E1167" s="1061"/>
      <c r="F1167" s="1061"/>
      <c r="G1167" s="1056" t="s">
        <v>361</v>
      </c>
      <c r="H1167" s="1057" t="s">
        <v>2663</v>
      </c>
      <c r="I1167" s="1058" t="e">
        <f>VLOOKUP(H1165,'LƯƠNG KT'!$D$15:$R$94,15,0)</f>
        <v>#N/A</v>
      </c>
      <c r="J1167" s="1059" t="e">
        <f>I1167*$L$4</f>
        <v>#N/A</v>
      </c>
      <c r="K1167" s="1085"/>
      <c r="L1167" s="1085"/>
      <c r="M1167" s="1085"/>
      <c r="N1167" s="1085"/>
      <c r="O1167" s="1085"/>
    </row>
    <row r="1168" spans="1:15" ht="15" customHeight="1">
      <c r="A1168" s="1056" t="s">
        <v>364</v>
      </c>
      <c r="B1168" s="1057" t="s">
        <v>2664</v>
      </c>
      <c r="C1168" s="1058" t="e">
        <f>VLOOKUP(B1165,'LƯƠNG KT'!$D$15:$R$94,16,0)</f>
        <v>#N/A</v>
      </c>
      <c r="D1168" s="1059" t="e">
        <f>C1168*$L$5</f>
        <v>#N/A</v>
      </c>
      <c r="E1168" s="1061"/>
      <c r="F1168" s="1061"/>
      <c r="G1168" s="1056" t="s">
        <v>364</v>
      </c>
      <c r="H1168" s="1057" t="s">
        <v>2664</v>
      </c>
      <c r="I1168" s="1058" t="e">
        <f>VLOOKUP(H1165,'LƯƠNG KT'!$D$15:$R$94,16,0)</f>
        <v>#N/A</v>
      </c>
      <c r="J1168" s="1059" t="e">
        <f>I1168*$L$5</f>
        <v>#N/A</v>
      </c>
      <c r="K1168" s="1085"/>
      <c r="L1168" s="1085"/>
      <c r="M1168" s="1085"/>
      <c r="N1168" s="1085"/>
      <c r="O1168" s="1085"/>
    </row>
    <row r="1169" spans="1:15" ht="15" customHeight="1">
      <c r="A1169" s="1056" t="s">
        <v>370</v>
      </c>
      <c r="B1169" s="1057" t="s">
        <v>2665</v>
      </c>
      <c r="C1169" s="1058" t="e">
        <f>VLOOKUP(B1165,'LƯƠNG KT'!$D$15:$R$94,24,0)</f>
        <v>#N/A</v>
      </c>
      <c r="D1169" s="1059" t="e">
        <f>+C1169*$L$6</f>
        <v>#N/A</v>
      </c>
      <c r="E1169" s="1061"/>
      <c r="F1169" s="1061"/>
      <c r="G1169" s="1056" t="s">
        <v>370</v>
      </c>
      <c r="H1169" s="1057" t="s">
        <v>2665</v>
      </c>
      <c r="I1169" s="1058" t="e">
        <f>VLOOKUP(H1165,'LƯƠNG KT'!$D$15:$R$94,24,0)</f>
        <v>#N/A</v>
      </c>
      <c r="J1169" s="1059" t="e">
        <f>+I1169*$L$6</f>
        <v>#N/A</v>
      </c>
      <c r="K1169" s="1085"/>
      <c r="L1169" s="1085"/>
      <c r="M1169" s="1085"/>
      <c r="N1169" s="1085"/>
      <c r="O1169" s="1085"/>
    </row>
    <row r="1170" spans="1:15" ht="15" customHeight="1">
      <c r="A1170" s="1056" t="s">
        <v>2666</v>
      </c>
      <c r="B1170" s="1057" t="s">
        <v>2667</v>
      </c>
      <c r="C1170" s="1058" t="e">
        <f>VLOOKUP(B1165,'LƯƠNG KT'!$D$15:$R$94,19,0)</f>
        <v>#N/A</v>
      </c>
      <c r="D1170" s="1059" t="e">
        <f>+C1170*$L$8</f>
        <v>#N/A</v>
      </c>
      <c r="E1170" s="1061"/>
      <c r="F1170" s="1061"/>
      <c r="G1170" s="1056" t="s">
        <v>2666</v>
      </c>
      <c r="H1170" s="1057" t="s">
        <v>2667</v>
      </c>
      <c r="I1170" s="1058" t="e">
        <f>VLOOKUP(H1165,'LƯƠNG KT'!$D$15:$R$94,19,0)</f>
        <v>#N/A</v>
      </c>
      <c r="J1170" s="1059" t="e">
        <f>+I1170*$L$8</f>
        <v>#N/A</v>
      </c>
      <c r="K1170" s="1085"/>
      <c r="L1170" s="1085"/>
      <c r="M1170" s="1085"/>
      <c r="N1170" s="1085"/>
      <c r="O1170" s="1085"/>
    </row>
    <row r="1171" spans="1:15" ht="15" customHeight="1">
      <c r="A1171" s="1056" t="s">
        <v>2668</v>
      </c>
      <c r="B1171" s="1062" t="s">
        <v>2669</v>
      </c>
      <c r="C1171" s="1058" t="e">
        <f>VLOOKUP(B1165,'LƯƠNG KT'!$D$15:$R$94,20,0)</f>
        <v>#N/A</v>
      </c>
      <c r="D1171" s="1059" t="e">
        <f>+C1171*$L$9</f>
        <v>#N/A</v>
      </c>
      <c r="E1171" s="1061"/>
      <c r="F1171" s="1061"/>
      <c r="G1171" s="1056" t="s">
        <v>2668</v>
      </c>
      <c r="H1171" s="1062" t="s">
        <v>2669</v>
      </c>
      <c r="I1171" s="1058" t="e">
        <f>VLOOKUP(H1165,'LƯƠNG KT'!$D$15:$R$94,20,0)</f>
        <v>#N/A</v>
      </c>
      <c r="J1171" s="1059" t="e">
        <f>+I1171*$L$9</f>
        <v>#N/A</v>
      </c>
      <c r="K1171" s="1085"/>
      <c r="L1171" s="1085"/>
      <c r="M1171" s="1085"/>
      <c r="N1171" s="1085"/>
      <c r="O1171" s="1085"/>
    </row>
    <row r="1172" spans="1:15" ht="15" customHeight="1">
      <c r="A1172" s="1056" t="s">
        <v>2671</v>
      </c>
      <c r="B1172" s="1057" t="s">
        <v>2672</v>
      </c>
      <c r="C1172" s="1058" t="e">
        <f>VLOOKUP(B1165,'LƯƠNG KT'!$D$15:$R$94,17,0)</f>
        <v>#N/A</v>
      </c>
      <c r="D1172" s="1059" t="e">
        <f>+C1172*$L$10</f>
        <v>#N/A</v>
      </c>
      <c r="E1172" s="1061"/>
      <c r="F1172" s="1061"/>
      <c r="G1172" s="1056" t="s">
        <v>2671</v>
      </c>
      <c r="H1172" s="1057" t="s">
        <v>2672</v>
      </c>
      <c r="I1172" s="1058" t="e">
        <f>VLOOKUP(H1165,'LƯƠNG KT'!$D$15:$R$94,17,0)</f>
        <v>#N/A</v>
      </c>
      <c r="J1172" s="1059" t="e">
        <f>+I1172*$L$10</f>
        <v>#N/A</v>
      </c>
      <c r="K1172" s="1085"/>
      <c r="L1172" s="1085"/>
      <c r="M1172" s="1085"/>
      <c r="N1172" s="1085"/>
      <c r="O1172" s="1085"/>
    </row>
    <row r="1173" spans="1:15" ht="15" customHeight="1">
      <c r="A1173" s="1056" t="s">
        <v>374</v>
      </c>
      <c r="B1173" s="1057" t="s">
        <v>2674</v>
      </c>
      <c r="C1173" s="1058" t="e">
        <f>VLOOKUP(B1165,'LƯƠNG KT'!$D$15:$R$94,12,0)</f>
        <v>#N/A</v>
      </c>
      <c r="D1173" s="1059" t="e">
        <f>VLOOKUP(B1165,'LƯƠNG KT'!$D$15:$R$94,14,0)</f>
        <v>#N/A</v>
      </c>
      <c r="E1173" s="1063"/>
      <c r="F1173" s="1061"/>
      <c r="G1173" s="1056" t="s">
        <v>374</v>
      </c>
      <c r="H1173" s="1057" t="s">
        <v>2674</v>
      </c>
      <c r="I1173" s="1058" t="e">
        <f>VLOOKUP(H1165,'LƯƠNG KT'!$D$15:$R$94,12,0)</f>
        <v>#N/A</v>
      </c>
      <c r="J1173" s="1059" t="e">
        <f>VLOOKUP(H1165,'LƯƠNG KT'!$D$15:$R$94,14,0)</f>
        <v>#N/A</v>
      </c>
      <c r="K1173" s="1085"/>
      <c r="L1173" s="1085"/>
      <c r="M1173" s="1085"/>
      <c r="N1173" s="1085"/>
      <c r="O1173" s="1085"/>
    </row>
    <row r="1174" spans="1:15" ht="15" customHeight="1">
      <c r="A1174" s="1056" t="s">
        <v>2675</v>
      </c>
      <c r="B1174" s="1057" t="s">
        <v>2676</v>
      </c>
      <c r="D1174" s="1064" t="e">
        <f>VLOOKUP(B1165,'LƯƠNG KT'!$D$15:$R$94,13,0)</f>
        <v>#N/A</v>
      </c>
      <c r="E1174" s="1065"/>
      <c r="F1174" s="1065"/>
      <c r="G1174" s="1056" t="s">
        <v>2675</v>
      </c>
      <c r="H1174" s="1057" t="s">
        <v>2676</v>
      </c>
      <c r="J1174" s="1064" t="e">
        <f>VLOOKUP(H1165,'LƯƠNG KT'!$D$15:$R$94,13,0)</f>
        <v>#N/A</v>
      </c>
    </row>
    <row r="1175" spans="1:15" ht="15" customHeight="1">
      <c r="A1175" s="1066"/>
      <c r="B1175" s="869"/>
      <c r="C1175" s="1058"/>
      <c r="D1175" s="1059"/>
      <c r="E1175" s="1063"/>
      <c r="F1175" s="1065"/>
      <c r="G1175" s="1066"/>
      <c r="H1175" s="869"/>
      <c r="I1175" s="1058"/>
      <c r="J1175" s="1059"/>
    </row>
    <row r="1176" spans="1:15" ht="15" customHeight="1">
      <c r="A1176" s="1052"/>
      <c r="B1176" s="869"/>
      <c r="C1176" s="1058"/>
      <c r="D1176" s="1059"/>
      <c r="E1176" s="1067"/>
      <c r="F1176" s="1051"/>
      <c r="G1176" s="1052"/>
      <c r="H1176" s="869"/>
      <c r="I1176" s="1058"/>
      <c r="J1176" s="1059"/>
    </row>
    <row r="1177" spans="1:15" ht="15" customHeight="1">
      <c r="A1177" s="1068" t="s">
        <v>383</v>
      </c>
      <c r="B1177" s="1069" t="s">
        <v>384</v>
      </c>
      <c r="C1177" s="1070"/>
      <c r="D1177" s="1071" t="e">
        <f>SUM(D1166:D1173)-D1176</f>
        <v>#N/A</v>
      </c>
      <c r="E1177" s="1072"/>
      <c r="F1177" s="1073"/>
      <c r="G1177" s="1068" t="s">
        <v>383</v>
      </c>
      <c r="H1177" s="1069" t="s">
        <v>384</v>
      </c>
      <c r="I1177" s="1070"/>
      <c r="J1177" s="1071" t="e">
        <f>SUM(J1166:J1173)-J1176</f>
        <v>#N/A</v>
      </c>
    </row>
    <row r="1178" spans="1:15" ht="15.75" customHeight="1">
      <c r="A1178" s="1074"/>
      <c r="B1178" s="1075"/>
      <c r="C1178" s="1076"/>
      <c r="D1178" s="1077"/>
      <c r="E1178" s="1077"/>
      <c r="F1178" s="1078"/>
      <c r="G1178" s="1074"/>
      <c r="H1178" s="1075"/>
      <c r="I1178" s="1076"/>
      <c r="J1178" s="1077"/>
    </row>
    <row r="1180" spans="1:15" ht="12" customHeight="1">
      <c r="A1180" s="2243"/>
      <c r="B1180" s="2243"/>
      <c r="C1180" s="2243"/>
      <c r="D1180" s="2243"/>
      <c r="E1180" s="2243"/>
      <c r="F1180" s="2243"/>
      <c r="G1180" s="2243"/>
      <c r="H1180" s="2243"/>
      <c r="I1180" s="2243"/>
      <c r="J1180" s="2243"/>
    </row>
    <row r="1181" spans="1:15" ht="15" customHeight="1">
      <c r="A1181" s="2242" t="str">
        <f>$K$2</f>
        <v>THÁNG 04/2025</v>
      </c>
      <c r="B1181" s="2242"/>
      <c r="C1181" s="2242"/>
      <c r="D1181" s="2242"/>
      <c r="E1181" s="1050"/>
      <c r="F1181" s="1051"/>
      <c r="G1181" s="2242" t="str">
        <f>$K$2</f>
        <v>THÁNG 04/2025</v>
      </c>
      <c r="H1181" s="2242"/>
      <c r="I1181" s="2242"/>
      <c r="J1181" s="2242"/>
      <c r="K1181" s="624"/>
    </row>
    <row r="1182" spans="1:15" ht="15" customHeight="1">
      <c r="A1182" s="1052" t="s">
        <v>356</v>
      </c>
      <c r="B1182" s="1053" t="s">
        <v>32</v>
      </c>
      <c r="C1182" s="869"/>
      <c r="D1182" s="1049"/>
      <c r="E1182" s="1054"/>
      <c r="F1182" s="1055"/>
      <c r="G1182" s="1052" t="s">
        <v>356</v>
      </c>
      <c r="H1182" s="1053" t="s">
        <v>14</v>
      </c>
      <c r="I1182" s="869"/>
      <c r="J1182" s="1049"/>
      <c r="L1182" s="1088"/>
      <c r="M1182" s="1088"/>
      <c r="N1182" s="1088"/>
      <c r="O1182" s="1088"/>
    </row>
    <row r="1183" spans="1:15" ht="15" customHeight="1">
      <c r="A1183" s="1056" t="s">
        <v>359</v>
      </c>
      <c r="B1183" s="1057" t="s">
        <v>2662</v>
      </c>
      <c r="C1183" s="1058" t="e">
        <f>VLOOKUP(B1182,'LƯƠNG KT'!$D$15:$R$94,4,0)</f>
        <v>#N/A</v>
      </c>
      <c r="D1183" s="1059" t="e">
        <f>+C1183*25000</f>
        <v>#N/A</v>
      </c>
      <c r="E1183" s="1060"/>
      <c r="F1183" s="1060"/>
      <c r="G1183" s="1056" t="s">
        <v>359</v>
      </c>
      <c r="H1183" s="1057" t="s">
        <v>2662</v>
      </c>
      <c r="I1183" s="1058" t="e">
        <f>VLOOKUP(H1182,'LƯƠNG KT'!$D$15:$R$94,4,0)</f>
        <v>#N/A</v>
      </c>
      <c r="J1183" s="1059" t="e">
        <f>+I1183*25000</f>
        <v>#N/A</v>
      </c>
      <c r="K1183" s="1084"/>
      <c r="L1183" s="1085"/>
      <c r="M1183" s="1085"/>
      <c r="N1183" s="1085"/>
      <c r="O1183" s="1085"/>
    </row>
    <row r="1184" spans="1:15" ht="15" customHeight="1">
      <c r="A1184" s="1056" t="s">
        <v>361</v>
      </c>
      <c r="B1184" s="1057" t="s">
        <v>2663</v>
      </c>
      <c r="C1184" s="1058" t="e">
        <f>VLOOKUP(B1182,'LƯƠNG KT'!$D$15:$R$94,15,0)</f>
        <v>#N/A</v>
      </c>
      <c r="D1184" s="1059" t="e">
        <f>C1184*$L$4</f>
        <v>#N/A</v>
      </c>
      <c r="E1184" s="1061"/>
      <c r="F1184" s="1061"/>
      <c r="G1184" s="1056" t="s">
        <v>361</v>
      </c>
      <c r="H1184" s="1057" t="s">
        <v>2663</v>
      </c>
      <c r="I1184" s="1058" t="e">
        <f>VLOOKUP(H1182,'LƯƠNG KT'!$D$15:$R$94,15,0)</f>
        <v>#N/A</v>
      </c>
      <c r="J1184" s="1059" t="e">
        <f>I1184*$L$4</f>
        <v>#N/A</v>
      </c>
      <c r="K1184" s="1084"/>
      <c r="L1184" s="1085"/>
      <c r="M1184" s="1085"/>
      <c r="N1184" s="1085"/>
      <c r="O1184" s="1085"/>
    </row>
    <row r="1185" spans="1:15" ht="15" customHeight="1">
      <c r="A1185" s="1056" t="s">
        <v>364</v>
      </c>
      <c r="B1185" s="1057" t="s">
        <v>2664</v>
      </c>
      <c r="C1185" s="1058" t="e">
        <f>VLOOKUP(B1182,'LƯƠNG KT'!$D$15:$R$94,16,0)</f>
        <v>#N/A</v>
      </c>
      <c r="D1185" s="1059" t="e">
        <f>C1185*$L$5</f>
        <v>#N/A</v>
      </c>
      <c r="E1185" s="1061"/>
      <c r="F1185" s="1061"/>
      <c r="G1185" s="1056" t="s">
        <v>364</v>
      </c>
      <c r="H1185" s="1057" t="s">
        <v>2664</v>
      </c>
      <c r="I1185" s="1058" t="e">
        <f>VLOOKUP(H1182,'LƯƠNG KT'!$D$15:$R$94,16,0)</f>
        <v>#N/A</v>
      </c>
      <c r="J1185" s="1059" t="e">
        <f>I1185*$L$5</f>
        <v>#N/A</v>
      </c>
      <c r="K1185" s="1084"/>
      <c r="L1185" s="1085"/>
      <c r="M1185" s="1085"/>
      <c r="N1185" s="1085"/>
      <c r="O1185" s="1085"/>
    </row>
    <row r="1186" spans="1:15" ht="15" customHeight="1">
      <c r="A1186" s="1056" t="s">
        <v>370</v>
      </c>
      <c r="B1186" s="1057" t="s">
        <v>2665</v>
      </c>
      <c r="C1186" s="1058" t="e">
        <f>VLOOKUP(B1182,'LƯƠNG KT'!$D$15:$R$94,24,0)</f>
        <v>#N/A</v>
      </c>
      <c r="D1186" s="1059" t="e">
        <f>+C1186*$L$6</f>
        <v>#N/A</v>
      </c>
      <c r="E1186" s="1061"/>
      <c r="F1186" s="1061"/>
      <c r="G1186" s="1056" t="s">
        <v>370</v>
      </c>
      <c r="H1186" s="1057" t="s">
        <v>2665</v>
      </c>
      <c r="I1186" s="1058" t="e">
        <f>VLOOKUP(H1182,'LƯƠNG KT'!$D$15:$R$94,24,0)</f>
        <v>#N/A</v>
      </c>
      <c r="J1186" s="1059" t="e">
        <f>+I1186*$L$6</f>
        <v>#N/A</v>
      </c>
      <c r="K1186" s="1085"/>
      <c r="L1186" s="1085"/>
      <c r="M1186" s="1085"/>
      <c r="N1186" s="1085"/>
      <c r="O1186" s="1085"/>
    </row>
    <row r="1187" spans="1:15" ht="15" customHeight="1">
      <c r="A1187" s="1056" t="s">
        <v>2666</v>
      </c>
      <c r="B1187" s="1057" t="s">
        <v>2667</v>
      </c>
      <c r="C1187" s="1058" t="e">
        <f>VLOOKUP(B1182,'LƯƠNG KT'!$D$15:$R$94,19,0)</f>
        <v>#N/A</v>
      </c>
      <c r="D1187" s="1059" t="e">
        <f>+C1187*$L$8</f>
        <v>#N/A</v>
      </c>
      <c r="E1187" s="1061"/>
      <c r="F1187" s="1061"/>
      <c r="G1187" s="1056" t="s">
        <v>2666</v>
      </c>
      <c r="H1187" s="1057" t="s">
        <v>2667</v>
      </c>
      <c r="I1187" s="1058" t="e">
        <f>VLOOKUP(H1182,'LƯƠNG KT'!$D$15:$R$94,19,0)</f>
        <v>#N/A</v>
      </c>
      <c r="J1187" s="1059" t="e">
        <f>+I1187*$L$8</f>
        <v>#N/A</v>
      </c>
      <c r="K1187" s="1085"/>
      <c r="L1187" s="1085"/>
      <c r="M1187" s="1085"/>
      <c r="N1187" s="1085"/>
      <c r="O1187" s="1085"/>
    </row>
    <row r="1188" spans="1:15" ht="15" customHeight="1">
      <c r="A1188" s="1056" t="s">
        <v>2668</v>
      </c>
      <c r="B1188" s="1062" t="s">
        <v>2669</v>
      </c>
      <c r="C1188" s="1058" t="e">
        <f>VLOOKUP(B1182,'LƯƠNG KT'!$D$15:$R$94,20,0)</f>
        <v>#N/A</v>
      </c>
      <c r="D1188" s="1059" t="e">
        <f>+C1188*$L$9</f>
        <v>#N/A</v>
      </c>
      <c r="E1188" s="1061"/>
      <c r="F1188" s="1061"/>
      <c r="G1188" s="1056" t="s">
        <v>2668</v>
      </c>
      <c r="H1188" s="1062" t="s">
        <v>2669</v>
      </c>
      <c r="I1188" s="1058" t="e">
        <f>VLOOKUP(H1182,'LƯƠNG KT'!$D$15:$R$94,20,0)</f>
        <v>#N/A</v>
      </c>
      <c r="J1188" s="1059" t="e">
        <f>+I1188*$L$9</f>
        <v>#N/A</v>
      </c>
      <c r="K1188" s="1085"/>
      <c r="L1188" s="1085"/>
      <c r="M1188" s="1085"/>
      <c r="N1188" s="1085"/>
      <c r="O1188" s="1085"/>
    </row>
    <row r="1189" spans="1:15" ht="15" customHeight="1">
      <c r="A1189" s="1056" t="s">
        <v>2671</v>
      </c>
      <c r="B1189" s="1057" t="s">
        <v>2672</v>
      </c>
      <c r="C1189" s="1058" t="e">
        <f>VLOOKUP(B1182,'LƯƠNG KT'!$D$15:$R$94,17,0)</f>
        <v>#N/A</v>
      </c>
      <c r="D1189" s="1059" t="e">
        <f>+C1189*$L$10</f>
        <v>#N/A</v>
      </c>
      <c r="E1189" s="1061"/>
      <c r="F1189" s="1061"/>
      <c r="G1189" s="1056" t="s">
        <v>2671</v>
      </c>
      <c r="H1189" s="1057" t="s">
        <v>2672</v>
      </c>
      <c r="I1189" s="1058" t="e">
        <f>VLOOKUP(H1182,'LƯƠNG KT'!$D$15:$R$94,17,0)</f>
        <v>#N/A</v>
      </c>
      <c r="J1189" s="1059" t="e">
        <f>+I1189*$L$10</f>
        <v>#N/A</v>
      </c>
      <c r="K1189" s="1085"/>
      <c r="L1189" s="1085"/>
      <c r="M1189" s="1085"/>
      <c r="N1189" s="1085"/>
      <c r="O1189" s="1085"/>
    </row>
    <row r="1190" spans="1:15" ht="15" customHeight="1">
      <c r="A1190" s="1056" t="s">
        <v>374</v>
      </c>
      <c r="B1190" s="1057" t="s">
        <v>2674</v>
      </c>
      <c r="C1190" s="1058" t="e">
        <f>VLOOKUP(B1182,'LƯƠNG KT'!$D$15:$R$94,12,0)</f>
        <v>#N/A</v>
      </c>
      <c r="D1190" s="1059" t="e">
        <f>VLOOKUP(B1182,'LƯƠNG KT'!$D$15:$R$94,14,0)</f>
        <v>#N/A</v>
      </c>
      <c r="E1190" s="1063"/>
      <c r="F1190" s="1061"/>
      <c r="G1190" s="1056" t="s">
        <v>374</v>
      </c>
      <c r="H1190" s="1057" t="s">
        <v>2674</v>
      </c>
      <c r="I1190" s="1058" t="e">
        <f>VLOOKUP(H1182,'LƯƠNG KT'!$D$15:$R$94,12,0)</f>
        <v>#N/A</v>
      </c>
      <c r="J1190" s="1059" t="e">
        <f>VLOOKUP(H1182,'LƯƠNG KT'!$D$15:$R$94,14,0)</f>
        <v>#N/A</v>
      </c>
      <c r="K1190" s="1085"/>
      <c r="L1190" s="1085"/>
      <c r="M1190" s="1085"/>
      <c r="N1190" s="1085"/>
      <c r="O1190" s="1085"/>
    </row>
    <row r="1191" spans="1:15" ht="15" customHeight="1">
      <c r="A1191" s="1056" t="s">
        <v>2675</v>
      </c>
      <c r="B1191" s="1057" t="s">
        <v>2676</v>
      </c>
      <c r="D1191" s="1064" t="e">
        <f>VLOOKUP(B1182,'LƯƠNG KT'!$D$15:$R$94,13,0)</f>
        <v>#N/A</v>
      </c>
      <c r="E1191" s="1065"/>
      <c r="F1191" s="1065"/>
      <c r="G1191" s="1056" t="s">
        <v>2675</v>
      </c>
      <c r="H1191" s="1057" t="s">
        <v>2676</v>
      </c>
      <c r="J1191" s="1064" t="e">
        <f>VLOOKUP(H1182,'LƯƠNG KT'!$D$15:$R$94,13,0)</f>
        <v>#N/A</v>
      </c>
    </row>
    <row r="1192" spans="1:15" ht="15" customHeight="1">
      <c r="A1192" s="1066"/>
      <c r="B1192" s="869"/>
      <c r="C1192" s="1058"/>
      <c r="D1192" s="1059"/>
      <c r="E1192" s="1063"/>
      <c r="F1192" s="1065"/>
      <c r="G1192" s="1066"/>
      <c r="H1192" s="869"/>
      <c r="I1192" s="1058"/>
      <c r="J1192" s="1059"/>
    </row>
    <row r="1193" spans="1:15" ht="15" customHeight="1">
      <c r="A1193" s="1052"/>
      <c r="B1193" s="869"/>
      <c r="C1193" s="1058"/>
      <c r="D1193" s="1059"/>
      <c r="E1193" s="1067"/>
      <c r="F1193" s="1051"/>
      <c r="G1193" s="1052"/>
      <c r="H1193" s="869"/>
      <c r="I1193" s="1058"/>
      <c r="J1193" s="1059"/>
    </row>
    <row r="1194" spans="1:15" ht="15" customHeight="1">
      <c r="A1194" s="1068" t="s">
        <v>383</v>
      </c>
      <c r="B1194" s="1069" t="s">
        <v>384</v>
      </c>
      <c r="C1194" s="1070"/>
      <c r="D1194" s="1071" t="e">
        <f>SUM(D1183:D1190)-D1193</f>
        <v>#N/A</v>
      </c>
      <c r="E1194" s="1072"/>
      <c r="F1194" s="1073"/>
      <c r="G1194" s="1068" t="s">
        <v>383</v>
      </c>
      <c r="H1194" s="1069" t="s">
        <v>384</v>
      </c>
      <c r="I1194" s="1070"/>
      <c r="J1194" s="1071" t="e">
        <f>SUM(J1183:J1190)-J1193</f>
        <v>#N/A</v>
      </c>
    </row>
    <row r="1195" spans="1:15" ht="12.6" customHeight="1">
      <c r="A1195" s="1074"/>
      <c r="B1195" s="1075"/>
      <c r="C1195" s="1076"/>
      <c r="D1195" s="1077"/>
      <c r="E1195" s="1077"/>
      <c r="F1195" s="1078"/>
      <c r="G1195" s="1074"/>
      <c r="H1195" s="1075"/>
      <c r="I1195" s="1076"/>
      <c r="J1195" s="1077"/>
    </row>
    <row r="1196" spans="1:15" ht="12.6" customHeight="1">
      <c r="A1196" s="1075"/>
      <c r="B1196" s="1075"/>
      <c r="C1196" s="1079"/>
      <c r="D1196" s="1080"/>
      <c r="E1196" s="1075"/>
      <c r="F1196" s="1081"/>
      <c r="G1196" s="1075"/>
      <c r="H1196" s="1075"/>
      <c r="I1196" s="1079"/>
      <c r="J1196" s="1080"/>
    </row>
    <row r="1197" spans="1:15" ht="15" customHeight="1">
      <c r="A1197" s="2242" t="str">
        <f>$K$2</f>
        <v>THÁNG 04/2025</v>
      </c>
      <c r="B1197" s="2242"/>
      <c r="C1197" s="2242"/>
      <c r="D1197" s="2242"/>
      <c r="E1197" s="1050"/>
      <c r="F1197" s="1051"/>
      <c r="G1197" s="2242" t="str">
        <f>$K$2</f>
        <v>THÁNG 04/2025</v>
      </c>
      <c r="H1197" s="2242"/>
      <c r="I1197" s="2242"/>
      <c r="J1197" s="2242"/>
      <c r="K1197" s="624"/>
    </row>
    <row r="1198" spans="1:15" ht="15" customHeight="1">
      <c r="A1198" s="1052" t="s">
        <v>356</v>
      </c>
      <c r="B1198" s="1053" t="s">
        <v>22</v>
      </c>
      <c r="C1198" s="869"/>
      <c r="D1198" s="1049"/>
      <c r="E1198" s="1054"/>
      <c r="F1198" s="1055"/>
      <c r="G1198" s="1052" t="s">
        <v>356</v>
      </c>
      <c r="H1198" s="1053" t="s">
        <v>23</v>
      </c>
      <c r="I1198" s="869"/>
      <c r="J1198" s="1049"/>
      <c r="L1198" s="1088"/>
      <c r="M1198" s="1088"/>
      <c r="N1198" s="1088"/>
      <c r="O1198" s="1088"/>
    </row>
    <row r="1199" spans="1:15" ht="15" customHeight="1">
      <c r="A1199" s="1056" t="s">
        <v>359</v>
      </c>
      <c r="B1199" s="1057" t="s">
        <v>2662</v>
      </c>
      <c r="C1199" s="1058" t="e">
        <f>VLOOKUP(B1198,'LƯƠNG KT'!$D$15:$R$94,4,0)</f>
        <v>#N/A</v>
      </c>
      <c r="D1199" s="1059" t="e">
        <f>+C1199*25000</f>
        <v>#N/A</v>
      </c>
      <c r="E1199" s="1060"/>
      <c r="F1199" s="1060"/>
      <c r="G1199" s="1056" t="s">
        <v>359</v>
      </c>
      <c r="H1199" s="1057" t="s">
        <v>2662</v>
      </c>
      <c r="I1199" s="1058" t="e">
        <f>VLOOKUP(H1198,'LƯƠNG KT'!$D$15:$R$94,4,0)</f>
        <v>#N/A</v>
      </c>
      <c r="J1199" s="1059" t="e">
        <f>+I1199*25000</f>
        <v>#N/A</v>
      </c>
      <c r="K1199" s="1085"/>
      <c r="L1199" s="1085"/>
      <c r="M1199" s="1085"/>
      <c r="N1199" s="1085"/>
      <c r="O1199" s="1085"/>
    </row>
    <row r="1200" spans="1:15" ht="15" customHeight="1">
      <c r="A1200" s="1056" t="s">
        <v>361</v>
      </c>
      <c r="B1200" s="1057" t="s">
        <v>2663</v>
      </c>
      <c r="C1200" s="1058" t="e">
        <f>VLOOKUP(B1198,'LƯƠNG KT'!$D$15:$R$94,15,0)</f>
        <v>#N/A</v>
      </c>
      <c r="D1200" s="1059" t="e">
        <f>C1200*$L$4</f>
        <v>#N/A</v>
      </c>
      <c r="E1200" s="1061"/>
      <c r="F1200" s="1061"/>
      <c r="G1200" s="1056" t="s">
        <v>361</v>
      </c>
      <c r="H1200" s="1057" t="s">
        <v>2663</v>
      </c>
      <c r="I1200" s="1058" t="e">
        <f>VLOOKUP(H1198,'LƯƠNG KT'!$D$15:$R$94,15,0)</f>
        <v>#N/A</v>
      </c>
      <c r="J1200" s="1059" t="e">
        <f>I1200*$L$4</f>
        <v>#N/A</v>
      </c>
      <c r="K1200" s="1085"/>
      <c r="L1200" s="1085"/>
      <c r="M1200" s="1085"/>
      <c r="N1200" s="1085"/>
      <c r="O1200" s="1085"/>
    </row>
    <row r="1201" spans="1:15" ht="15" customHeight="1">
      <c r="A1201" s="1056" t="s">
        <v>364</v>
      </c>
      <c r="B1201" s="1057" t="s">
        <v>2664</v>
      </c>
      <c r="C1201" s="1058" t="e">
        <f>VLOOKUP(B1198,'LƯƠNG KT'!$D$15:$R$94,16,0)</f>
        <v>#N/A</v>
      </c>
      <c r="D1201" s="1059" t="e">
        <f>C1201*$L$5</f>
        <v>#N/A</v>
      </c>
      <c r="E1201" s="1061"/>
      <c r="F1201" s="1061"/>
      <c r="G1201" s="1056" t="s">
        <v>364</v>
      </c>
      <c r="H1201" s="1057" t="s">
        <v>2664</v>
      </c>
      <c r="I1201" s="1058" t="e">
        <f>VLOOKUP(H1198,'LƯƠNG KT'!$D$15:$R$94,16,0)</f>
        <v>#N/A</v>
      </c>
      <c r="J1201" s="1059" t="e">
        <f>I1201*$L$5</f>
        <v>#N/A</v>
      </c>
      <c r="K1201" s="1085"/>
      <c r="L1201" s="1085"/>
      <c r="M1201" s="1085"/>
      <c r="N1201" s="1085"/>
      <c r="O1201" s="1085"/>
    </row>
    <row r="1202" spans="1:15" ht="15" customHeight="1">
      <c r="A1202" s="1056" t="s">
        <v>370</v>
      </c>
      <c r="B1202" s="1057" t="s">
        <v>2665</v>
      </c>
      <c r="C1202" s="1058" t="e">
        <f>VLOOKUP(B1198,'LƯƠNG KT'!$D$15:$R$94,24,0)</f>
        <v>#N/A</v>
      </c>
      <c r="D1202" s="1059" t="e">
        <f>+C1202*$L$6</f>
        <v>#N/A</v>
      </c>
      <c r="E1202" s="1061"/>
      <c r="F1202" s="1061"/>
      <c r="G1202" s="1056" t="s">
        <v>370</v>
      </c>
      <c r="H1202" s="1057" t="s">
        <v>2665</v>
      </c>
      <c r="I1202" s="1058" t="e">
        <f>VLOOKUP(H1198,'LƯƠNG KT'!$D$15:$R$94,24,0)</f>
        <v>#N/A</v>
      </c>
      <c r="J1202" s="1059" t="e">
        <f>+I1202*$L$6</f>
        <v>#N/A</v>
      </c>
      <c r="K1202" s="1085"/>
      <c r="L1202" s="1085"/>
      <c r="M1202" s="1085"/>
      <c r="N1202" s="1085"/>
      <c r="O1202" s="1085"/>
    </row>
    <row r="1203" spans="1:15" ht="15" customHeight="1">
      <c r="A1203" s="1056" t="s">
        <v>2666</v>
      </c>
      <c r="B1203" s="1057" t="s">
        <v>2667</v>
      </c>
      <c r="C1203" s="1058" t="e">
        <f>VLOOKUP(B1198,'LƯƠNG KT'!$D$15:$R$94,19,0)</f>
        <v>#N/A</v>
      </c>
      <c r="D1203" s="1059" t="e">
        <f>+C1203*$L$8</f>
        <v>#N/A</v>
      </c>
      <c r="E1203" s="1061"/>
      <c r="F1203" s="1061"/>
      <c r="G1203" s="1056" t="s">
        <v>2666</v>
      </c>
      <c r="H1203" s="1057" t="s">
        <v>2667</v>
      </c>
      <c r="I1203" s="1058" t="e">
        <f>VLOOKUP(H1198,'LƯƠNG KT'!$D$15:$R$94,19,0)</f>
        <v>#N/A</v>
      </c>
      <c r="J1203" s="1059" t="e">
        <f>+I1203*$L$8</f>
        <v>#N/A</v>
      </c>
      <c r="K1203" s="1085"/>
      <c r="L1203" s="1085"/>
      <c r="M1203" s="1085"/>
      <c r="N1203" s="1085"/>
      <c r="O1203" s="1085"/>
    </row>
    <row r="1204" spans="1:15" ht="15" customHeight="1">
      <c r="A1204" s="1056" t="s">
        <v>2668</v>
      </c>
      <c r="B1204" s="1062" t="s">
        <v>2669</v>
      </c>
      <c r="C1204" s="1058" t="e">
        <f>VLOOKUP(B1198,'LƯƠNG KT'!$D$15:$R$94,20,0)</f>
        <v>#N/A</v>
      </c>
      <c r="D1204" s="1059" t="e">
        <f>+C1204*$L$9</f>
        <v>#N/A</v>
      </c>
      <c r="E1204" s="1061"/>
      <c r="F1204" s="1061"/>
      <c r="G1204" s="1056" t="s">
        <v>2668</v>
      </c>
      <c r="H1204" s="1062" t="s">
        <v>2669</v>
      </c>
      <c r="I1204" s="1058" t="e">
        <f>VLOOKUP(H1198,'LƯƠNG KT'!$D$15:$R$94,20,0)</f>
        <v>#N/A</v>
      </c>
      <c r="J1204" s="1059" t="e">
        <f>+I1204*$L$9</f>
        <v>#N/A</v>
      </c>
      <c r="K1204" s="1085"/>
      <c r="L1204" s="1085"/>
      <c r="M1204" s="1085"/>
      <c r="N1204" s="1085"/>
      <c r="O1204" s="1085"/>
    </row>
    <row r="1205" spans="1:15" ht="15" customHeight="1">
      <c r="A1205" s="1056" t="s">
        <v>2671</v>
      </c>
      <c r="B1205" s="1057" t="s">
        <v>2672</v>
      </c>
      <c r="C1205" s="1058" t="e">
        <f>VLOOKUP(B1198,'LƯƠNG KT'!$D$15:$R$94,17,0)</f>
        <v>#N/A</v>
      </c>
      <c r="D1205" s="1059" t="e">
        <f>+C1205*$L$10</f>
        <v>#N/A</v>
      </c>
      <c r="E1205" s="1061"/>
      <c r="F1205" s="1061"/>
      <c r="G1205" s="1056" t="s">
        <v>2671</v>
      </c>
      <c r="H1205" s="1057" t="s">
        <v>2672</v>
      </c>
      <c r="I1205" s="1058" t="e">
        <f>VLOOKUP(H1198,'LƯƠNG KT'!$D$15:$R$94,17,0)</f>
        <v>#N/A</v>
      </c>
      <c r="J1205" s="1059" t="e">
        <f>+I1205*$L$10</f>
        <v>#N/A</v>
      </c>
      <c r="K1205" s="1085"/>
      <c r="L1205" s="1085"/>
      <c r="M1205" s="1085"/>
      <c r="N1205" s="1085"/>
      <c r="O1205" s="1085"/>
    </row>
    <row r="1206" spans="1:15" ht="15" customHeight="1">
      <c r="A1206" s="1056" t="s">
        <v>374</v>
      </c>
      <c r="B1206" s="1057" t="s">
        <v>2674</v>
      </c>
      <c r="C1206" s="1058" t="e">
        <f>VLOOKUP(B1198,'LƯƠNG KT'!$D$15:$R$94,12,0)</f>
        <v>#N/A</v>
      </c>
      <c r="D1206" s="1059" t="e">
        <f>VLOOKUP(B1198,'LƯƠNG KT'!$D$15:$R$94,14,0)</f>
        <v>#N/A</v>
      </c>
      <c r="E1206" s="1063"/>
      <c r="F1206" s="1061"/>
      <c r="G1206" s="1056" t="s">
        <v>374</v>
      </c>
      <c r="H1206" s="1057" t="s">
        <v>2674</v>
      </c>
      <c r="I1206" s="1058" t="e">
        <f>VLOOKUP(H1198,'LƯƠNG KT'!$D$15:$R$94,12,0)</f>
        <v>#N/A</v>
      </c>
      <c r="J1206" s="1059" t="e">
        <f>VLOOKUP(H1198,'LƯƠNG KT'!$D$15:$R$94,14,0)</f>
        <v>#N/A</v>
      </c>
      <c r="K1206" s="1085"/>
      <c r="L1206" s="1085"/>
      <c r="M1206" s="1085"/>
      <c r="N1206" s="1085"/>
      <c r="O1206" s="1085"/>
    </row>
    <row r="1207" spans="1:15" ht="15" customHeight="1">
      <c r="A1207" s="1056" t="s">
        <v>2675</v>
      </c>
      <c r="B1207" s="1057" t="s">
        <v>2676</v>
      </c>
      <c r="D1207" s="1064" t="e">
        <f>VLOOKUP(B1198,'LƯƠNG KT'!$D$15:$R$94,13,0)</f>
        <v>#N/A</v>
      </c>
      <c r="E1207" s="1065"/>
      <c r="F1207" s="1065"/>
      <c r="G1207" s="1056" t="s">
        <v>2675</v>
      </c>
      <c r="H1207" s="1057" t="s">
        <v>2676</v>
      </c>
      <c r="J1207" s="1064" t="e">
        <f>VLOOKUP(H1198,'LƯƠNG KT'!$D$15:$R$94,13,0)</f>
        <v>#N/A</v>
      </c>
    </row>
    <row r="1208" spans="1:15" ht="15" customHeight="1">
      <c r="A1208" s="1066"/>
      <c r="B1208" s="869"/>
      <c r="C1208" s="1058"/>
      <c r="D1208" s="1059"/>
      <c r="E1208" s="1063"/>
      <c r="F1208" s="1065"/>
      <c r="G1208" s="1066"/>
      <c r="H1208" s="869"/>
      <c r="I1208" s="1058"/>
      <c r="J1208" s="1059"/>
    </row>
    <row r="1209" spans="1:15" ht="15" customHeight="1">
      <c r="A1209" s="1052"/>
      <c r="B1209" s="869"/>
      <c r="C1209" s="1058"/>
      <c r="D1209" s="1059"/>
      <c r="E1209" s="1067"/>
      <c r="F1209" s="1051"/>
      <c r="G1209" s="1052"/>
      <c r="H1209" s="869"/>
      <c r="I1209" s="1058"/>
      <c r="J1209" s="1059"/>
    </row>
    <row r="1210" spans="1:15" ht="15" customHeight="1">
      <c r="A1210" s="1068" t="s">
        <v>383</v>
      </c>
      <c r="B1210" s="1069" t="s">
        <v>384</v>
      </c>
      <c r="C1210" s="1070"/>
      <c r="D1210" s="1071" t="e">
        <f>SUM(D1199:D1206)-D1209</f>
        <v>#N/A</v>
      </c>
      <c r="E1210" s="1072"/>
      <c r="F1210" s="1073"/>
      <c r="G1210" s="1068" t="s">
        <v>383</v>
      </c>
      <c r="H1210" s="1069" t="s">
        <v>384</v>
      </c>
      <c r="I1210" s="1070"/>
      <c r="J1210" s="1071" t="e">
        <f>SUM(J1199:J1206)-J1209</f>
        <v>#N/A</v>
      </c>
    </row>
    <row r="1211" spans="1:15" ht="18.75" customHeight="1">
      <c r="A1211" s="1074"/>
      <c r="B1211" s="1075"/>
      <c r="C1211" s="1076"/>
      <c r="D1211" s="1077"/>
      <c r="E1211" s="1077"/>
      <c r="F1211" s="1078"/>
      <c r="G1211" s="1074"/>
      <c r="H1211" s="1075"/>
      <c r="I1211" s="1076"/>
      <c r="J1211" s="1077"/>
    </row>
    <row r="1212" spans="1:15" ht="150.75" customHeight="1">
      <c r="A1212" s="1075"/>
      <c r="B1212" s="1075"/>
      <c r="C1212" s="1079"/>
      <c r="D1212" s="1080"/>
      <c r="E1212" s="1075"/>
      <c r="F1212" s="1081"/>
      <c r="G1212" s="1075"/>
      <c r="H1212" s="1075"/>
      <c r="I1212" s="1079"/>
      <c r="J1212" s="1080"/>
    </row>
    <row r="1213" spans="1:15" ht="15" customHeight="1">
      <c r="A1213" s="2242" t="str">
        <f>$K$2</f>
        <v>THÁNG 04/2025</v>
      </c>
      <c r="B1213" s="2242"/>
      <c r="C1213" s="2242"/>
      <c r="D1213" s="2242"/>
      <c r="E1213" s="1050"/>
      <c r="F1213" s="1051"/>
      <c r="G1213" s="2242" t="str">
        <f>$K$2</f>
        <v>THÁNG 04/2025</v>
      </c>
      <c r="H1213" s="2242"/>
      <c r="I1213" s="2242"/>
      <c r="J1213" s="2242"/>
      <c r="K1213" s="624"/>
    </row>
    <row r="1214" spans="1:15" ht="15" customHeight="1">
      <c r="A1214" s="1052" t="s">
        <v>356</v>
      </c>
      <c r="B1214" s="1053" t="s">
        <v>36</v>
      </c>
      <c r="C1214" s="869"/>
      <c r="D1214" s="1049"/>
      <c r="E1214" s="1054"/>
      <c r="F1214" s="1055"/>
      <c r="G1214" s="1052" t="s">
        <v>356</v>
      </c>
      <c r="H1214" s="1053" t="s">
        <v>63</v>
      </c>
      <c r="I1214" s="869"/>
      <c r="J1214" s="1049"/>
      <c r="L1214" s="1088"/>
      <c r="M1214" s="1088"/>
      <c r="N1214" s="1088"/>
      <c r="O1214" s="1088"/>
    </row>
    <row r="1215" spans="1:15" ht="15" customHeight="1">
      <c r="A1215" s="1056" t="s">
        <v>359</v>
      </c>
      <c r="B1215" s="1057" t="s">
        <v>2662</v>
      </c>
      <c r="C1215" s="1058" t="e">
        <f>VLOOKUP(B1214,'LƯƠNG KT'!$D$15:$R$94,4,0)</f>
        <v>#N/A</v>
      </c>
      <c r="D1215" s="1059" t="e">
        <f>+C1215*25000</f>
        <v>#N/A</v>
      </c>
      <c r="E1215" s="1060"/>
      <c r="F1215" s="1060"/>
      <c r="G1215" s="1056" t="s">
        <v>359</v>
      </c>
      <c r="H1215" s="1057" t="s">
        <v>2662</v>
      </c>
      <c r="I1215" s="1058" t="e">
        <f>VLOOKUP(H1214,'LƯƠNG KT'!$D$15:$R$94,4,0)</f>
        <v>#N/A</v>
      </c>
      <c r="J1215" s="1059" t="e">
        <f>+I1215*25000</f>
        <v>#N/A</v>
      </c>
      <c r="K1215" s="1085"/>
      <c r="L1215" s="1085"/>
      <c r="M1215" s="1085"/>
      <c r="N1215" s="1085"/>
      <c r="O1215" s="1085"/>
    </row>
    <row r="1216" spans="1:15" ht="15" customHeight="1">
      <c r="A1216" s="1056" t="s">
        <v>361</v>
      </c>
      <c r="B1216" s="1057" t="s">
        <v>2663</v>
      </c>
      <c r="C1216" s="1058" t="e">
        <f>VLOOKUP(B1214,'LƯƠNG KT'!$D$15:$R$94,15,0)</f>
        <v>#N/A</v>
      </c>
      <c r="D1216" s="1059" t="e">
        <f>C1216*$L$4</f>
        <v>#N/A</v>
      </c>
      <c r="E1216" s="1061"/>
      <c r="F1216" s="1061"/>
      <c r="G1216" s="1056" t="s">
        <v>361</v>
      </c>
      <c r="H1216" s="1057" t="s">
        <v>2663</v>
      </c>
      <c r="I1216" s="1058" t="e">
        <f>VLOOKUP(H1214,'LƯƠNG KT'!$D$15:$R$94,15,0)</f>
        <v>#N/A</v>
      </c>
      <c r="J1216" s="1059" t="e">
        <f>I1216*$L$4</f>
        <v>#N/A</v>
      </c>
      <c r="K1216" s="1085"/>
      <c r="L1216" s="1085"/>
      <c r="M1216" s="1085"/>
      <c r="N1216" s="1085"/>
      <c r="O1216" s="1085"/>
    </row>
    <row r="1217" spans="1:15" ht="15" customHeight="1">
      <c r="A1217" s="1056" t="s">
        <v>364</v>
      </c>
      <c r="B1217" s="1057" t="s">
        <v>2664</v>
      </c>
      <c r="C1217" s="1058" t="e">
        <f>VLOOKUP(B1214,'LƯƠNG KT'!$D$15:$R$94,16,0)</f>
        <v>#N/A</v>
      </c>
      <c r="D1217" s="1059" t="e">
        <f>C1217*$L$5</f>
        <v>#N/A</v>
      </c>
      <c r="E1217" s="1061"/>
      <c r="F1217" s="1061"/>
      <c r="G1217" s="1056" t="s">
        <v>364</v>
      </c>
      <c r="H1217" s="1057" t="s">
        <v>2664</v>
      </c>
      <c r="I1217" s="1058" t="e">
        <f>VLOOKUP(H1214,'LƯƠNG KT'!$D$15:$R$94,16,0)</f>
        <v>#N/A</v>
      </c>
      <c r="J1217" s="1059" t="e">
        <f>I1217*$L$5</f>
        <v>#N/A</v>
      </c>
      <c r="K1217" s="1085"/>
      <c r="L1217" s="1085"/>
      <c r="M1217" s="1085"/>
      <c r="N1217" s="1085"/>
      <c r="O1217" s="1085"/>
    </row>
    <row r="1218" spans="1:15" ht="15" customHeight="1">
      <c r="A1218" s="1056" t="s">
        <v>370</v>
      </c>
      <c r="B1218" s="1057" t="s">
        <v>2665</v>
      </c>
      <c r="C1218" s="1058" t="e">
        <f>VLOOKUP(B1214,'LƯƠNG KT'!$D$15:$R$94,24,0)</f>
        <v>#N/A</v>
      </c>
      <c r="D1218" s="1059" t="e">
        <f>+C1218*$L$6</f>
        <v>#N/A</v>
      </c>
      <c r="E1218" s="1061"/>
      <c r="F1218" s="1061"/>
      <c r="G1218" s="1056" t="s">
        <v>370</v>
      </c>
      <c r="H1218" s="1057" t="s">
        <v>2665</v>
      </c>
      <c r="I1218" s="1058" t="e">
        <f>VLOOKUP(H1214,'LƯƠNG KT'!$D$15:$R$94,24,0)</f>
        <v>#N/A</v>
      </c>
      <c r="J1218" s="1059" t="e">
        <f>+I1218*$L$6</f>
        <v>#N/A</v>
      </c>
      <c r="K1218" s="1085"/>
      <c r="L1218" s="1085"/>
      <c r="M1218" s="1085"/>
      <c r="N1218" s="1085"/>
      <c r="O1218" s="1085"/>
    </row>
    <row r="1219" spans="1:15" ht="15" customHeight="1">
      <c r="A1219" s="1056" t="s">
        <v>2666</v>
      </c>
      <c r="B1219" s="1057" t="s">
        <v>2667</v>
      </c>
      <c r="C1219" s="1058" t="e">
        <f>VLOOKUP(B1214,'LƯƠNG KT'!$D$15:$R$94,19,0)</f>
        <v>#N/A</v>
      </c>
      <c r="D1219" s="1059" t="e">
        <f>+C1219*$L$8</f>
        <v>#N/A</v>
      </c>
      <c r="E1219" s="1061"/>
      <c r="F1219" s="1061"/>
      <c r="G1219" s="1056" t="s">
        <v>2666</v>
      </c>
      <c r="H1219" s="1057" t="s">
        <v>2667</v>
      </c>
      <c r="I1219" s="1058" t="e">
        <f>VLOOKUP(H1214,'LƯƠNG KT'!$D$15:$R$94,19,0)</f>
        <v>#N/A</v>
      </c>
      <c r="J1219" s="1059" t="e">
        <f>+I1219*$L$8</f>
        <v>#N/A</v>
      </c>
      <c r="K1219" s="1085"/>
      <c r="L1219" s="1085"/>
      <c r="M1219" s="1085"/>
      <c r="N1219" s="1085"/>
      <c r="O1219" s="1085"/>
    </row>
    <row r="1220" spans="1:15" ht="15" customHeight="1">
      <c r="A1220" s="1056" t="s">
        <v>2668</v>
      </c>
      <c r="B1220" s="1062" t="s">
        <v>2669</v>
      </c>
      <c r="C1220" s="1058" t="e">
        <f>VLOOKUP(B1214,'LƯƠNG KT'!$D$15:$R$94,20,0)</f>
        <v>#N/A</v>
      </c>
      <c r="D1220" s="1059" t="e">
        <f>+C1220*$L$9</f>
        <v>#N/A</v>
      </c>
      <c r="E1220" s="1061"/>
      <c r="F1220" s="1061"/>
      <c r="G1220" s="1056" t="s">
        <v>2668</v>
      </c>
      <c r="H1220" s="1062" t="s">
        <v>2669</v>
      </c>
      <c r="I1220" s="1058" t="e">
        <f>VLOOKUP(H1214,'LƯƠNG KT'!$D$15:$R$94,20,0)</f>
        <v>#N/A</v>
      </c>
      <c r="J1220" s="1059" t="e">
        <f>+I1220*$L$9</f>
        <v>#N/A</v>
      </c>
      <c r="K1220" s="1085"/>
      <c r="L1220" s="1085"/>
      <c r="M1220" s="1085"/>
      <c r="N1220" s="1085"/>
      <c r="O1220" s="1085"/>
    </row>
    <row r="1221" spans="1:15" ht="15" customHeight="1">
      <c r="A1221" s="1056" t="s">
        <v>2671</v>
      </c>
      <c r="B1221" s="1057" t="s">
        <v>2672</v>
      </c>
      <c r="C1221" s="1058" t="e">
        <f>VLOOKUP(B1214,'LƯƠNG KT'!$D$15:$R$94,17,0)</f>
        <v>#N/A</v>
      </c>
      <c r="D1221" s="1059" t="e">
        <f>+C1221*$L$10</f>
        <v>#N/A</v>
      </c>
      <c r="E1221" s="1061"/>
      <c r="F1221" s="1061"/>
      <c r="G1221" s="1056" t="s">
        <v>2671</v>
      </c>
      <c r="H1221" s="1057" t="s">
        <v>2672</v>
      </c>
      <c r="I1221" s="1058" t="e">
        <f>VLOOKUP(H1214,'LƯƠNG KT'!$D$15:$R$94,17,0)</f>
        <v>#N/A</v>
      </c>
      <c r="J1221" s="1059" t="e">
        <f>+I1221*$L$10</f>
        <v>#N/A</v>
      </c>
      <c r="K1221" s="1085"/>
      <c r="L1221" s="1085"/>
      <c r="M1221" s="1085"/>
      <c r="N1221" s="1085"/>
      <c r="O1221" s="1085"/>
    </row>
    <row r="1222" spans="1:15" ht="15" customHeight="1">
      <c r="A1222" s="1056" t="s">
        <v>374</v>
      </c>
      <c r="B1222" s="1057" t="s">
        <v>2674</v>
      </c>
      <c r="C1222" s="1058" t="e">
        <f>VLOOKUP(B1214,'LƯƠNG KT'!$D$15:$R$94,12,0)</f>
        <v>#N/A</v>
      </c>
      <c r="D1222" s="1059" t="e">
        <f>VLOOKUP(B1214,'LƯƠNG KT'!$D$15:$R$94,14,0)</f>
        <v>#N/A</v>
      </c>
      <c r="E1222" s="1063"/>
      <c r="F1222" s="1061"/>
      <c r="G1222" s="1056" t="s">
        <v>374</v>
      </c>
      <c r="H1222" s="1057" t="s">
        <v>2674</v>
      </c>
      <c r="I1222" s="1058" t="e">
        <f>VLOOKUP(H1214,'LƯƠNG KT'!$D$15:$R$94,12,0)</f>
        <v>#N/A</v>
      </c>
      <c r="J1222" s="1059" t="e">
        <f>VLOOKUP(H1214,'LƯƠNG KT'!$D$15:$R$94,14,0)</f>
        <v>#N/A</v>
      </c>
      <c r="K1222" s="1085"/>
      <c r="L1222" s="1085"/>
      <c r="M1222" s="1085"/>
      <c r="N1222" s="1085"/>
      <c r="O1222" s="1085"/>
    </row>
    <row r="1223" spans="1:15" ht="15" customHeight="1">
      <c r="A1223" s="1056" t="s">
        <v>2675</v>
      </c>
      <c r="B1223" s="1057" t="s">
        <v>2676</v>
      </c>
      <c r="D1223" s="1064" t="e">
        <f>VLOOKUP(B1214,'LƯƠNG KT'!$D$15:$R$94,13,0)</f>
        <v>#N/A</v>
      </c>
      <c r="E1223" s="1065"/>
      <c r="F1223" s="1065"/>
      <c r="G1223" s="1056" t="s">
        <v>2675</v>
      </c>
      <c r="H1223" s="1057" t="s">
        <v>2676</v>
      </c>
      <c r="J1223" s="1064" t="e">
        <f>VLOOKUP(H1214,'LƯƠNG KT'!$D$15:$R$94,13,0)</f>
        <v>#N/A</v>
      </c>
    </row>
    <row r="1224" spans="1:15" ht="15" customHeight="1">
      <c r="A1224" s="1066"/>
      <c r="B1224" s="869"/>
      <c r="C1224" s="1058"/>
      <c r="D1224" s="1059"/>
      <c r="E1224" s="1063"/>
      <c r="F1224" s="1065"/>
      <c r="G1224" s="1066"/>
      <c r="H1224" s="869"/>
      <c r="I1224" s="1058"/>
      <c r="J1224" s="1059"/>
    </row>
    <row r="1225" spans="1:15" ht="15" customHeight="1">
      <c r="A1225" s="1052"/>
      <c r="B1225" s="869"/>
      <c r="C1225" s="1058"/>
      <c r="D1225" s="1059"/>
      <c r="E1225" s="1067"/>
      <c r="F1225" s="1051"/>
      <c r="G1225" s="1052"/>
      <c r="H1225" s="869"/>
      <c r="I1225" s="1058"/>
      <c r="J1225" s="1059"/>
    </row>
    <row r="1226" spans="1:15" ht="15" customHeight="1">
      <c r="A1226" s="1068" t="s">
        <v>383</v>
      </c>
      <c r="B1226" s="1069" t="s">
        <v>384</v>
      </c>
      <c r="C1226" s="1070"/>
      <c r="D1226" s="1071" t="e">
        <f>SUM(D1215:D1222)-D1225</f>
        <v>#N/A</v>
      </c>
      <c r="E1226" s="1072"/>
      <c r="F1226" s="1073"/>
      <c r="G1226" s="1068" t="s">
        <v>383</v>
      </c>
      <c r="H1226" s="1069" t="s">
        <v>384</v>
      </c>
      <c r="I1226" s="1070"/>
      <c r="J1226" s="1071" t="e">
        <f>SUM(J1215:J1222)-J1225</f>
        <v>#N/A</v>
      </c>
    </row>
    <row r="1227" spans="1:15" ht="18.75" customHeight="1">
      <c r="A1227" s="1074"/>
      <c r="B1227" s="1075"/>
      <c r="C1227" s="1076"/>
      <c r="D1227" s="1077"/>
      <c r="E1227" s="1077"/>
      <c r="F1227" s="1078"/>
      <c r="G1227" s="1074"/>
      <c r="H1227" s="1075"/>
      <c r="I1227" s="1076"/>
      <c r="J1227" s="1077"/>
    </row>
    <row r="1228" spans="1:15" ht="18.75" customHeight="1">
      <c r="A1228" s="1075"/>
      <c r="B1228" s="1075"/>
      <c r="C1228" s="1079"/>
      <c r="D1228" s="1080"/>
      <c r="E1228" s="1075"/>
      <c r="F1228" s="1081"/>
      <c r="G1228" s="1075"/>
      <c r="H1228" s="1075"/>
      <c r="I1228" s="1079"/>
      <c r="J1228" s="1080"/>
    </row>
    <row r="1229" spans="1:15" ht="15" customHeight="1">
      <c r="A1229" s="2242" t="str">
        <f>$K$2</f>
        <v>THÁNG 04/2025</v>
      </c>
      <c r="B1229" s="2242"/>
      <c r="C1229" s="2242"/>
      <c r="D1229" s="2242"/>
      <c r="E1229" s="1050"/>
      <c r="F1229" s="1051"/>
      <c r="G1229" s="2242" t="str">
        <f>$K$2</f>
        <v>THÁNG 04/2025</v>
      </c>
      <c r="H1229" s="2242"/>
      <c r="I1229" s="2242"/>
      <c r="J1229" s="2242"/>
      <c r="K1229" s="624"/>
    </row>
    <row r="1230" spans="1:15" ht="15" customHeight="1">
      <c r="A1230" s="1052" t="s">
        <v>356</v>
      </c>
      <c r="B1230" s="1053" t="s">
        <v>2648</v>
      </c>
      <c r="C1230" s="869"/>
      <c r="D1230" s="1049"/>
      <c r="E1230" s="1054"/>
      <c r="F1230" s="1055"/>
      <c r="G1230" s="1052" t="s">
        <v>356</v>
      </c>
      <c r="H1230" s="1053" t="s">
        <v>81</v>
      </c>
      <c r="I1230" s="869"/>
      <c r="J1230" s="1049"/>
      <c r="L1230" s="1088"/>
      <c r="M1230" s="1088"/>
      <c r="N1230" s="1088"/>
      <c r="O1230" s="1088"/>
    </row>
    <row r="1231" spans="1:15" ht="15" customHeight="1">
      <c r="A1231" s="1056" t="s">
        <v>359</v>
      </c>
      <c r="B1231" s="1057" t="s">
        <v>2662</v>
      </c>
      <c r="C1231" s="1058" t="e">
        <f>VLOOKUP(B1230,'LƯƠNG KT'!$D$15:$R$94,4,0)</f>
        <v>#N/A</v>
      </c>
      <c r="D1231" s="1059" t="e">
        <f>+C1231*25000</f>
        <v>#N/A</v>
      </c>
      <c r="E1231" s="1060"/>
      <c r="F1231" s="1060"/>
      <c r="G1231" s="1056" t="s">
        <v>359</v>
      </c>
      <c r="H1231" s="1057" t="s">
        <v>2662</v>
      </c>
      <c r="I1231" s="1058" t="e">
        <f>VLOOKUP(H1230,'LƯƠNG KT'!$D$15:$R$94,4,0)</f>
        <v>#N/A</v>
      </c>
      <c r="J1231" s="1059" t="e">
        <f>+I1231*25000</f>
        <v>#N/A</v>
      </c>
      <c r="K1231" s="1085"/>
      <c r="L1231" s="1085"/>
      <c r="M1231" s="1085"/>
      <c r="N1231" s="1085"/>
      <c r="O1231" s="1085"/>
    </row>
    <row r="1232" spans="1:15" ht="15" customHeight="1">
      <c r="A1232" s="1056" t="s">
        <v>361</v>
      </c>
      <c r="B1232" s="1057" t="s">
        <v>2663</v>
      </c>
      <c r="C1232" s="1058" t="e">
        <f>VLOOKUP(B1230,'LƯƠNG KT'!$D$15:$R$94,15,0)</f>
        <v>#N/A</v>
      </c>
      <c r="D1232" s="1059" t="e">
        <f>C1232*$L$4</f>
        <v>#N/A</v>
      </c>
      <c r="E1232" s="1061"/>
      <c r="F1232" s="1061"/>
      <c r="G1232" s="1056" t="s">
        <v>361</v>
      </c>
      <c r="H1232" s="1057" t="s">
        <v>2663</v>
      </c>
      <c r="I1232" s="1058" t="e">
        <f>VLOOKUP(H1230,'LƯƠNG KT'!$D$15:$R$94,15,0)</f>
        <v>#N/A</v>
      </c>
      <c r="J1232" s="1059" t="e">
        <f>I1232*$L$4</f>
        <v>#N/A</v>
      </c>
      <c r="K1232" s="1085"/>
      <c r="L1232" s="1085"/>
      <c r="M1232" s="1085"/>
      <c r="N1232" s="1085"/>
      <c r="O1232" s="1085"/>
    </row>
    <row r="1233" spans="1:15" ht="15" customHeight="1">
      <c r="A1233" s="1056" t="s">
        <v>364</v>
      </c>
      <c r="B1233" s="1057" t="s">
        <v>2664</v>
      </c>
      <c r="C1233" s="1058" t="e">
        <f>VLOOKUP(B1230,'LƯƠNG KT'!$D$15:$R$94,16,0)</f>
        <v>#N/A</v>
      </c>
      <c r="D1233" s="1059" t="e">
        <f>C1233*$L$5</f>
        <v>#N/A</v>
      </c>
      <c r="E1233" s="1061"/>
      <c r="F1233" s="1061"/>
      <c r="G1233" s="1056" t="s">
        <v>364</v>
      </c>
      <c r="H1233" s="1057" t="s">
        <v>2664</v>
      </c>
      <c r="I1233" s="1058" t="e">
        <f>VLOOKUP(H1230,'LƯƠNG KT'!$D$15:$R$94,16,0)</f>
        <v>#N/A</v>
      </c>
      <c r="J1233" s="1059" t="e">
        <f>I1233*$L$5</f>
        <v>#N/A</v>
      </c>
      <c r="K1233" s="1085"/>
      <c r="L1233" s="1085"/>
      <c r="M1233" s="1085"/>
      <c r="N1233" s="1085"/>
      <c r="O1233" s="1085"/>
    </row>
    <row r="1234" spans="1:15" ht="15" customHeight="1">
      <c r="A1234" s="1056" t="s">
        <v>370</v>
      </c>
      <c r="B1234" s="1057" t="s">
        <v>2665</v>
      </c>
      <c r="C1234" s="1058" t="e">
        <f>VLOOKUP(B1230,'LƯƠNG KT'!$D$15:$R$94,24,0)</f>
        <v>#N/A</v>
      </c>
      <c r="D1234" s="1059" t="e">
        <f>+C1234*$L$6</f>
        <v>#N/A</v>
      </c>
      <c r="E1234" s="1061"/>
      <c r="F1234" s="1061"/>
      <c r="G1234" s="1056" t="s">
        <v>370</v>
      </c>
      <c r="H1234" s="1057" t="s">
        <v>2665</v>
      </c>
      <c r="I1234" s="1058" t="e">
        <f>VLOOKUP(H1230,'LƯƠNG KT'!$D$15:$R$94,24,0)</f>
        <v>#N/A</v>
      </c>
      <c r="J1234" s="1059" t="e">
        <f>+I1234*$L$6</f>
        <v>#N/A</v>
      </c>
      <c r="K1234" s="1085"/>
      <c r="L1234" s="1085"/>
      <c r="M1234" s="1085"/>
      <c r="N1234" s="1085"/>
      <c r="O1234" s="1085"/>
    </row>
    <row r="1235" spans="1:15" ht="15" customHeight="1">
      <c r="A1235" s="1056" t="s">
        <v>2666</v>
      </c>
      <c r="B1235" s="1057" t="s">
        <v>2667</v>
      </c>
      <c r="C1235" s="1058" t="e">
        <f>VLOOKUP(B1230,'LƯƠNG KT'!$D$15:$R$94,19,0)</f>
        <v>#N/A</v>
      </c>
      <c r="D1235" s="1059" t="e">
        <f>+C1235*$L$8</f>
        <v>#N/A</v>
      </c>
      <c r="E1235" s="1061"/>
      <c r="F1235" s="1061"/>
      <c r="G1235" s="1056" t="s">
        <v>2666</v>
      </c>
      <c r="H1235" s="1057" t="s">
        <v>2667</v>
      </c>
      <c r="I1235" s="1058" t="e">
        <f>VLOOKUP(H1230,'LƯƠNG KT'!$D$15:$R$94,19,0)</f>
        <v>#N/A</v>
      </c>
      <c r="J1235" s="1059" t="e">
        <f>+I1235*$L$8</f>
        <v>#N/A</v>
      </c>
      <c r="K1235" s="1085"/>
      <c r="L1235" s="1085"/>
      <c r="M1235" s="1085"/>
      <c r="N1235" s="1085"/>
      <c r="O1235" s="1085"/>
    </row>
    <row r="1236" spans="1:15" ht="15" customHeight="1">
      <c r="A1236" s="1056" t="s">
        <v>2668</v>
      </c>
      <c r="B1236" s="1062" t="s">
        <v>2669</v>
      </c>
      <c r="C1236" s="1058" t="e">
        <f>VLOOKUP(B1230,'LƯƠNG KT'!$D$15:$R$94,20,0)</f>
        <v>#N/A</v>
      </c>
      <c r="D1236" s="1059" t="e">
        <f>+C1236*$L$9</f>
        <v>#N/A</v>
      </c>
      <c r="E1236" s="1061"/>
      <c r="F1236" s="1061"/>
      <c r="G1236" s="1056" t="s">
        <v>2668</v>
      </c>
      <c r="H1236" s="1062" t="s">
        <v>2669</v>
      </c>
      <c r="I1236" s="1058" t="e">
        <f>VLOOKUP(H1230,'LƯƠNG KT'!$D$15:$R$94,20,0)</f>
        <v>#N/A</v>
      </c>
      <c r="J1236" s="1059" t="e">
        <f>+I1236*$L$9</f>
        <v>#N/A</v>
      </c>
      <c r="K1236" s="1085"/>
      <c r="L1236" s="1085"/>
      <c r="M1236" s="1085"/>
      <c r="N1236" s="1085"/>
      <c r="O1236" s="1085"/>
    </row>
    <row r="1237" spans="1:15" ht="15" customHeight="1">
      <c r="A1237" s="1056" t="s">
        <v>2671</v>
      </c>
      <c r="B1237" s="1057" t="s">
        <v>2672</v>
      </c>
      <c r="C1237" s="1058" t="e">
        <f>VLOOKUP(B1230,'LƯƠNG KT'!$D$15:$R$94,17,0)</f>
        <v>#N/A</v>
      </c>
      <c r="D1237" s="1059" t="e">
        <f>+C1237*$L$10</f>
        <v>#N/A</v>
      </c>
      <c r="E1237" s="1061"/>
      <c r="F1237" s="1061"/>
      <c r="G1237" s="1056" t="s">
        <v>2671</v>
      </c>
      <c r="H1237" s="1057" t="s">
        <v>2672</v>
      </c>
      <c r="I1237" s="1058" t="e">
        <f>VLOOKUP(H1230,'LƯƠNG KT'!$D$15:$R$94,17,0)</f>
        <v>#N/A</v>
      </c>
      <c r="J1237" s="1059" t="e">
        <f>+I1237*$L$10</f>
        <v>#N/A</v>
      </c>
      <c r="K1237" s="1085"/>
      <c r="L1237" s="1085"/>
      <c r="M1237" s="1085"/>
      <c r="N1237" s="1085"/>
      <c r="O1237" s="1085"/>
    </row>
    <row r="1238" spans="1:15" ht="15" customHeight="1">
      <c r="A1238" s="1056" t="s">
        <v>374</v>
      </c>
      <c r="B1238" s="1057" t="s">
        <v>2674</v>
      </c>
      <c r="C1238" s="1058" t="e">
        <f>VLOOKUP(B1230,'LƯƠNG KT'!$D$15:$R$94,12,0)</f>
        <v>#N/A</v>
      </c>
      <c r="D1238" s="1059" t="e">
        <f>VLOOKUP(B1230,'LƯƠNG KT'!$D$15:$R$94,14,0)</f>
        <v>#N/A</v>
      </c>
      <c r="E1238" s="1063"/>
      <c r="F1238" s="1061"/>
      <c r="G1238" s="1056" t="s">
        <v>374</v>
      </c>
      <c r="H1238" s="1057" t="s">
        <v>2674</v>
      </c>
      <c r="I1238" s="1058" t="e">
        <f>VLOOKUP(H1230,'LƯƠNG KT'!$D$15:$R$94,12,0)</f>
        <v>#N/A</v>
      </c>
      <c r="J1238" s="1059" t="e">
        <f>VLOOKUP(H1230,'LƯƠNG KT'!$D$15:$R$94,14,0)</f>
        <v>#N/A</v>
      </c>
      <c r="K1238" s="1085"/>
      <c r="L1238" s="1085"/>
      <c r="M1238" s="1085"/>
      <c r="N1238" s="1085"/>
      <c r="O1238" s="1085"/>
    </row>
    <row r="1239" spans="1:15" ht="15" customHeight="1">
      <c r="A1239" s="1056" t="s">
        <v>2675</v>
      </c>
      <c r="B1239" s="1057" t="s">
        <v>2676</v>
      </c>
      <c r="D1239" s="1064" t="e">
        <f>VLOOKUP(B1230,'LƯƠNG KT'!$D$15:$R$94,13,0)</f>
        <v>#N/A</v>
      </c>
      <c r="E1239" s="1065"/>
      <c r="F1239" s="1065"/>
      <c r="G1239" s="1056" t="s">
        <v>2675</v>
      </c>
      <c r="H1239" s="1057" t="s">
        <v>2676</v>
      </c>
      <c r="J1239" s="1064" t="e">
        <f>VLOOKUP(H1230,'LƯƠNG KT'!$D$15:$R$94,13,0)</f>
        <v>#N/A</v>
      </c>
    </row>
    <row r="1240" spans="1:15" ht="15" customHeight="1">
      <c r="A1240" s="1066"/>
      <c r="B1240" s="869"/>
      <c r="C1240" s="1058"/>
      <c r="D1240" s="1059"/>
      <c r="E1240" s="1063"/>
      <c r="F1240" s="1065"/>
      <c r="G1240" s="1066"/>
      <c r="H1240" s="869"/>
      <c r="I1240" s="1058"/>
      <c r="J1240" s="1059"/>
    </row>
    <row r="1241" spans="1:15" ht="15" customHeight="1">
      <c r="A1241" s="1052"/>
      <c r="B1241" s="869"/>
      <c r="C1241" s="1058"/>
      <c r="D1241" s="1059"/>
      <c r="E1241" s="1067"/>
      <c r="F1241" s="1051"/>
      <c r="G1241" s="1052"/>
      <c r="H1241" s="869"/>
      <c r="I1241" s="1058"/>
      <c r="J1241" s="1059"/>
    </row>
    <row r="1242" spans="1:15" ht="15" customHeight="1">
      <c r="A1242" s="1068" t="s">
        <v>383</v>
      </c>
      <c r="B1242" s="1069" t="s">
        <v>384</v>
      </c>
      <c r="C1242" s="1070"/>
      <c r="D1242" s="1071" t="e">
        <f>SUM(D1231:D1238)-D1241</f>
        <v>#N/A</v>
      </c>
      <c r="E1242" s="1072"/>
      <c r="F1242" s="1073"/>
      <c r="G1242" s="1068" t="s">
        <v>383</v>
      </c>
      <c r="H1242" s="1069" t="s">
        <v>384</v>
      </c>
      <c r="I1242" s="1070"/>
      <c r="J1242" s="1071" t="e">
        <f>SUM(J1231:J1238)-J1241</f>
        <v>#N/A</v>
      </c>
    </row>
    <row r="1243" spans="1:15" ht="15.75" customHeight="1">
      <c r="A1243" s="1074"/>
      <c r="B1243" s="1075"/>
      <c r="C1243" s="1076"/>
      <c r="D1243" s="1077"/>
      <c r="E1243" s="1077"/>
      <c r="F1243" s="1078"/>
      <c r="G1243" s="1074"/>
      <c r="H1243" s="1075"/>
      <c r="I1243" s="1076"/>
      <c r="J1243" s="1077"/>
    </row>
    <row r="1245" spans="1:15" ht="12" customHeight="1">
      <c r="A1245" s="2243"/>
      <c r="B1245" s="2243"/>
      <c r="C1245" s="2243"/>
      <c r="D1245" s="2243"/>
      <c r="E1245" s="2243"/>
      <c r="F1245" s="2243"/>
      <c r="G1245" s="2243"/>
      <c r="H1245" s="2243"/>
      <c r="I1245" s="2243"/>
      <c r="J1245" s="2243"/>
    </row>
    <row r="1246" spans="1:15" ht="15" customHeight="1">
      <c r="A1246" s="2242" t="str">
        <f>$K$2</f>
        <v>THÁNG 04/2025</v>
      </c>
      <c r="B1246" s="2242"/>
      <c r="C1246" s="2242"/>
      <c r="D1246" s="2242"/>
      <c r="E1246" s="1050"/>
      <c r="F1246" s="1051"/>
      <c r="G1246" s="2242" t="str">
        <f>$K$2</f>
        <v>THÁNG 04/2025</v>
      </c>
      <c r="H1246" s="2242"/>
      <c r="I1246" s="2242"/>
      <c r="J1246" s="2242"/>
      <c r="K1246" s="624"/>
    </row>
    <row r="1247" spans="1:15" ht="15" customHeight="1">
      <c r="A1247" s="1052" t="s">
        <v>356</v>
      </c>
      <c r="B1247" s="1053" t="s">
        <v>82</v>
      </c>
      <c r="C1247" s="869"/>
      <c r="D1247" s="1049"/>
      <c r="E1247" s="1054"/>
      <c r="F1247" s="1055"/>
      <c r="G1247" s="1052" t="s">
        <v>356</v>
      </c>
      <c r="H1247" s="1053" t="s">
        <v>49</v>
      </c>
      <c r="I1247" s="869"/>
      <c r="J1247" s="1049"/>
      <c r="L1247" s="1088"/>
      <c r="M1247" s="1088"/>
      <c r="N1247" s="1088"/>
      <c r="O1247" s="1088"/>
    </row>
    <row r="1248" spans="1:15" ht="15" customHeight="1">
      <c r="A1248" s="1056" t="s">
        <v>359</v>
      </c>
      <c r="B1248" s="1057" t="s">
        <v>2662</v>
      </c>
      <c r="C1248" s="1058" t="e">
        <f>VLOOKUP(B1247,'LƯƠNG KT'!$D$15:$R$94,4,0)</f>
        <v>#N/A</v>
      </c>
      <c r="D1248" s="1059" t="e">
        <f>+C1248*25000</f>
        <v>#N/A</v>
      </c>
      <c r="E1248" s="1060"/>
      <c r="F1248" s="1060"/>
      <c r="G1248" s="1056" t="s">
        <v>359</v>
      </c>
      <c r="H1248" s="1057" t="s">
        <v>2662</v>
      </c>
      <c r="I1248" s="1058" t="e">
        <f>VLOOKUP(H1247,'LƯƠNG KT'!$D$15:$R$94,4,0)</f>
        <v>#N/A</v>
      </c>
      <c r="J1248" s="1059" t="e">
        <f>+I1248*25000</f>
        <v>#N/A</v>
      </c>
      <c r="K1248" s="1084"/>
      <c r="L1248" s="1085"/>
      <c r="M1248" s="1085"/>
      <c r="N1248" s="1085"/>
      <c r="O1248" s="1085"/>
    </row>
    <row r="1249" spans="1:15" ht="15" customHeight="1">
      <c r="A1249" s="1056" t="s">
        <v>361</v>
      </c>
      <c r="B1249" s="1057" t="s">
        <v>2663</v>
      </c>
      <c r="C1249" s="1058" t="e">
        <f>VLOOKUP(B1247,'LƯƠNG KT'!$D$15:$R$94,15,0)</f>
        <v>#N/A</v>
      </c>
      <c r="D1249" s="1059" t="e">
        <f>C1249*$L$4</f>
        <v>#N/A</v>
      </c>
      <c r="E1249" s="1061"/>
      <c r="F1249" s="1061"/>
      <c r="G1249" s="1056" t="s">
        <v>361</v>
      </c>
      <c r="H1249" s="1057" t="s">
        <v>2663</v>
      </c>
      <c r="I1249" s="1058" t="e">
        <f>VLOOKUP(H1247,'LƯƠNG KT'!$D$15:$R$94,15,0)</f>
        <v>#N/A</v>
      </c>
      <c r="J1249" s="1059" t="e">
        <f>I1249*$L$4</f>
        <v>#N/A</v>
      </c>
      <c r="K1249" s="1084"/>
      <c r="L1249" s="1085"/>
      <c r="M1249" s="1085"/>
      <c r="N1249" s="1085"/>
      <c r="O1249" s="1085"/>
    </row>
    <row r="1250" spans="1:15" ht="15" customHeight="1">
      <c r="A1250" s="1056" t="s">
        <v>364</v>
      </c>
      <c r="B1250" s="1057" t="s">
        <v>2664</v>
      </c>
      <c r="C1250" s="1058" t="e">
        <f>VLOOKUP(B1247,'LƯƠNG KT'!$D$15:$R$94,16,0)</f>
        <v>#N/A</v>
      </c>
      <c r="D1250" s="1059" t="e">
        <f>C1250*$L$5</f>
        <v>#N/A</v>
      </c>
      <c r="E1250" s="1061"/>
      <c r="F1250" s="1061"/>
      <c r="G1250" s="1056" t="s">
        <v>364</v>
      </c>
      <c r="H1250" s="1057" t="s">
        <v>2664</v>
      </c>
      <c r="I1250" s="1058" t="e">
        <f>VLOOKUP(H1247,'LƯƠNG KT'!$D$15:$R$94,16,0)</f>
        <v>#N/A</v>
      </c>
      <c r="J1250" s="1059" t="e">
        <f>I1250*$L$5</f>
        <v>#N/A</v>
      </c>
      <c r="K1250" s="1084"/>
      <c r="L1250" s="1085"/>
      <c r="M1250" s="1085"/>
      <c r="N1250" s="1085"/>
      <c r="O1250" s="1085"/>
    </row>
    <row r="1251" spans="1:15" ht="15" customHeight="1">
      <c r="A1251" s="1056" t="s">
        <v>370</v>
      </c>
      <c r="B1251" s="1057" t="s">
        <v>2665</v>
      </c>
      <c r="C1251" s="1058" t="e">
        <f>VLOOKUP(B1247,'LƯƠNG KT'!$D$15:$R$94,24,0)</f>
        <v>#N/A</v>
      </c>
      <c r="D1251" s="1059" t="e">
        <f>+C1251*$L$6</f>
        <v>#N/A</v>
      </c>
      <c r="E1251" s="1061"/>
      <c r="F1251" s="1061"/>
      <c r="G1251" s="1056" t="s">
        <v>370</v>
      </c>
      <c r="H1251" s="1057" t="s">
        <v>2665</v>
      </c>
      <c r="I1251" s="1058" t="e">
        <f>VLOOKUP(H1247,'LƯƠNG KT'!$D$15:$R$94,24,0)</f>
        <v>#N/A</v>
      </c>
      <c r="J1251" s="1059" t="e">
        <f>+I1251*$L$6</f>
        <v>#N/A</v>
      </c>
      <c r="K1251" s="1085"/>
      <c r="L1251" s="1085"/>
      <c r="M1251" s="1085"/>
      <c r="N1251" s="1085"/>
      <c r="O1251" s="1085"/>
    </row>
    <row r="1252" spans="1:15" ht="15" customHeight="1">
      <c r="A1252" s="1056" t="s">
        <v>2666</v>
      </c>
      <c r="B1252" s="1057" t="s">
        <v>2667</v>
      </c>
      <c r="C1252" s="1058" t="e">
        <f>VLOOKUP(B1247,'LƯƠNG KT'!$D$15:$R$94,19,0)</f>
        <v>#N/A</v>
      </c>
      <c r="D1252" s="1059" t="e">
        <f>+C1252*$L$8</f>
        <v>#N/A</v>
      </c>
      <c r="E1252" s="1061"/>
      <c r="F1252" s="1061"/>
      <c r="G1252" s="1056" t="s">
        <v>2666</v>
      </c>
      <c r="H1252" s="1057" t="s">
        <v>2667</v>
      </c>
      <c r="I1252" s="1058" t="e">
        <f>VLOOKUP(H1247,'LƯƠNG KT'!$D$15:$R$94,19,0)</f>
        <v>#N/A</v>
      </c>
      <c r="J1252" s="1059" t="e">
        <f>+I1252*$L$8</f>
        <v>#N/A</v>
      </c>
      <c r="K1252" s="1085"/>
      <c r="L1252" s="1085"/>
      <c r="M1252" s="1085"/>
      <c r="N1252" s="1085"/>
      <c r="O1252" s="1085"/>
    </row>
    <row r="1253" spans="1:15" ht="15" customHeight="1">
      <c r="A1253" s="1056" t="s">
        <v>2668</v>
      </c>
      <c r="B1253" s="1062" t="s">
        <v>2669</v>
      </c>
      <c r="C1253" s="1058" t="e">
        <f>VLOOKUP(B1247,'LƯƠNG KT'!$D$15:$R$94,20,0)</f>
        <v>#N/A</v>
      </c>
      <c r="D1253" s="1059" t="e">
        <f>+C1253*$L$9</f>
        <v>#N/A</v>
      </c>
      <c r="E1253" s="1061"/>
      <c r="F1253" s="1061"/>
      <c r="G1253" s="1056" t="s">
        <v>2668</v>
      </c>
      <c r="H1253" s="1062" t="s">
        <v>2669</v>
      </c>
      <c r="I1253" s="1058" t="e">
        <f>VLOOKUP(H1247,'LƯƠNG KT'!$D$15:$R$94,20,0)</f>
        <v>#N/A</v>
      </c>
      <c r="J1253" s="1059" t="e">
        <f>+I1253*$L$9</f>
        <v>#N/A</v>
      </c>
      <c r="K1253" s="1085"/>
      <c r="L1253" s="1085"/>
      <c r="M1253" s="1085"/>
      <c r="N1253" s="1085"/>
      <c r="O1253" s="1085"/>
    </row>
    <row r="1254" spans="1:15" ht="15" customHeight="1">
      <c r="A1254" s="1056" t="s">
        <v>2671</v>
      </c>
      <c r="B1254" s="1057" t="s">
        <v>2672</v>
      </c>
      <c r="C1254" s="1058" t="e">
        <f>VLOOKUP(B1247,'LƯƠNG KT'!$D$15:$R$94,17,0)</f>
        <v>#N/A</v>
      </c>
      <c r="D1254" s="1059" t="e">
        <f>+C1254*$L$10</f>
        <v>#N/A</v>
      </c>
      <c r="E1254" s="1061"/>
      <c r="F1254" s="1061"/>
      <c r="G1254" s="1056" t="s">
        <v>2671</v>
      </c>
      <c r="H1254" s="1057" t="s">
        <v>2672</v>
      </c>
      <c r="I1254" s="1058" t="e">
        <f>VLOOKUP(H1247,'LƯƠNG KT'!$D$15:$R$94,17,0)</f>
        <v>#N/A</v>
      </c>
      <c r="J1254" s="1059" t="e">
        <f>+I1254*$L$10</f>
        <v>#N/A</v>
      </c>
      <c r="K1254" s="1085"/>
      <c r="L1254" s="1085"/>
      <c r="M1254" s="1085"/>
      <c r="N1254" s="1085"/>
      <c r="O1254" s="1085"/>
    </row>
    <row r="1255" spans="1:15" ht="15" customHeight="1">
      <c r="A1255" s="1056" t="s">
        <v>374</v>
      </c>
      <c r="B1255" s="1057" t="s">
        <v>2674</v>
      </c>
      <c r="C1255" s="1058" t="e">
        <f>VLOOKUP(B1247,'LƯƠNG KT'!$D$15:$R$94,12,0)</f>
        <v>#N/A</v>
      </c>
      <c r="D1255" s="1059" t="e">
        <f>VLOOKUP(B1247,'LƯƠNG KT'!$D$15:$R$94,14,0)</f>
        <v>#N/A</v>
      </c>
      <c r="E1255" s="1063"/>
      <c r="F1255" s="1061"/>
      <c r="G1255" s="1056" t="s">
        <v>374</v>
      </c>
      <c r="H1255" s="1057" t="s">
        <v>2674</v>
      </c>
      <c r="I1255" s="1058" t="e">
        <f>VLOOKUP(H1247,'LƯƠNG KT'!$D$15:$R$94,12,0)</f>
        <v>#N/A</v>
      </c>
      <c r="J1255" s="1059" t="e">
        <f>VLOOKUP(H1247,'LƯƠNG KT'!$D$15:$R$94,14,0)</f>
        <v>#N/A</v>
      </c>
      <c r="K1255" s="1085"/>
      <c r="L1255" s="1085"/>
      <c r="M1255" s="1085"/>
      <c r="N1255" s="1085"/>
      <c r="O1255" s="1085"/>
    </row>
    <row r="1256" spans="1:15" ht="15" customHeight="1">
      <c r="A1256" s="1056" t="s">
        <v>2675</v>
      </c>
      <c r="B1256" s="1057" t="s">
        <v>2676</v>
      </c>
      <c r="D1256" s="1064" t="e">
        <f>VLOOKUP(B1247,'LƯƠNG KT'!$D$15:$R$94,13,0)</f>
        <v>#N/A</v>
      </c>
      <c r="E1256" s="1065"/>
      <c r="F1256" s="1065"/>
      <c r="G1256" s="1056" t="s">
        <v>2675</v>
      </c>
      <c r="H1256" s="1057" t="s">
        <v>2676</v>
      </c>
      <c r="J1256" s="1064" t="e">
        <f>VLOOKUP(H1247,'LƯƠNG KT'!$D$15:$R$94,13,0)</f>
        <v>#N/A</v>
      </c>
    </row>
    <row r="1257" spans="1:15" ht="15" customHeight="1">
      <c r="A1257" s="1066"/>
      <c r="B1257" s="869"/>
      <c r="C1257" s="1058"/>
      <c r="D1257" s="1059"/>
      <c r="E1257" s="1063"/>
      <c r="F1257" s="1065"/>
      <c r="G1257" s="1066"/>
      <c r="H1257" s="869"/>
      <c r="I1257" s="1058"/>
      <c r="J1257" s="1059"/>
    </row>
    <row r="1258" spans="1:15" ht="15" customHeight="1">
      <c r="A1258" s="1052"/>
      <c r="B1258" s="869"/>
      <c r="C1258" s="1058"/>
      <c r="D1258" s="1059"/>
      <c r="E1258" s="1067"/>
      <c r="F1258" s="1051"/>
      <c r="G1258" s="1052"/>
      <c r="H1258" s="869"/>
      <c r="I1258" s="1058"/>
      <c r="J1258" s="1059"/>
    </row>
    <row r="1259" spans="1:15" ht="15" customHeight="1">
      <c r="A1259" s="1068" t="s">
        <v>383</v>
      </c>
      <c r="B1259" s="1069" t="s">
        <v>384</v>
      </c>
      <c r="C1259" s="1070"/>
      <c r="D1259" s="1071" t="e">
        <f>SUM(D1248:D1255)-D1258</f>
        <v>#N/A</v>
      </c>
      <c r="E1259" s="1072"/>
      <c r="F1259" s="1073"/>
      <c r="G1259" s="1068" t="s">
        <v>383</v>
      </c>
      <c r="H1259" s="1069" t="s">
        <v>384</v>
      </c>
      <c r="I1259" s="1070"/>
      <c r="J1259" s="1071" t="e">
        <f>SUM(J1248:J1255)-J1258</f>
        <v>#N/A</v>
      </c>
    </row>
    <row r="1260" spans="1:15" ht="12.6" customHeight="1">
      <c r="A1260" s="1074"/>
      <c r="B1260" s="1075"/>
      <c r="C1260" s="1076"/>
      <c r="D1260" s="1077"/>
      <c r="E1260" s="1077"/>
      <c r="F1260" s="1078"/>
      <c r="G1260" s="1074"/>
      <c r="H1260" s="1075"/>
      <c r="I1260" s="1076"/>
      <c r="J1260" s="1077"/>
    </row>
    <row r="1261" spans="1:15" ht="138.75" customHeight="1">
      <c r="A1261" s="1075"/>
      <c r="B1261" s="1075"/>
      <c r="C1261" s="1079"/>
      <c r="D1261" s="1080"/>
      <c r="E1261" s="1075"/>
      <c r="F1261" s="1081"/>
      <c r="G1261" s="1075"/>
      <c r="H1261" s="1075"/>
      <c r="I1261" s="1079"/>
      <c r="J1261" s="1080"/>
    </row>
    <row r="1262" spans="1:15" ht="15" customHeight="1">
      <c r="A1262" s="2242" t="str">
        <f>$K$2</f>
        <v>THÁNG 04/2025</v>
      </c>
      <c r="B1262" s="2242"/>
      <c r="C1262" s="2242"/>
      <c r="D1262" s="2242"/>
      <c r="E1262" s="1050"/>
      <c r="F1262" s="1051"/>
      <c r="G1262" s="2242" t="str">
        <f>$K$2</f>
        <v>THÁNG 04/2025</v>
      </c>
      <c r="H1262" s="2242"/>
      <c r="I1262" s="2242"/>
      <c r="J1262" s="2242"/>
      <c r="K1262" s="624"/>
    </row>
    <row r="1263" spans="1:15" ht="15" customHeight="1">
      <c r="A1263" s="1052" t="s">
        <v>356</v>
      </c>
      <c r="B1263" s="1053" t="s">
        <v>50</v>
      </c>
      <c r="C1263" s="869"/>
      <c r="D1263" s="1049"/>
      <c r="E1263" s="1054"/>
      <c r="F1263" s="1055"/>
      <c r="G1263" s="1052" t="s">
        <v>356</v>
      </c>
      <c r="H1263" s="1053" t="s">
        <v>68</v>
      </c>
      <c r="I1263" s="869"/>
      <c r="J1263" s="1049"/>
      <c r="L1263" s="1088"/>
      <c r="M1263" s="1088"/>
      <c r="N1263" s="1088"/>
      <c r="O1263" s="1088"/>
    </row>
    <row r="1264" spans="1:15" ht="15" customHeight="1">
      <c r="A1264" s="1056" t="s">
        <v>359</v>
      </c>
      <c r="B1264" s="1057" t="s">
        <v>2662</v>
      </c>
      <c r="C1264" s="1058" t="e">
        <f>VLOOKUP(B1263,'LƯƠNG KT'!$D$15:$R$94,4,0)</f>
        <v>#N/A</v>
      </c>
      <c r="D1264" s="1059" t="e">
        <f>+C1264*25000</f>
        <v>#N/A</v>
      </c>
      <c r="E1264" s="1060"/>
      <c r="F1264" s="1060"/>
      <c r="G1264" s="1056" t="s">
        <v>359</v>
      </c>
      <c r="H1264" s="1057" t="s">
        <v>2662</v>
      </c>
      <c r="I1264" s="1058" t="e">
        <f>VLOOKUP(H1263,'LƯƠNG KT'!$D$15:$R$94,4,0)</f>
        <v>#N/A</v>
      </c>
      <c r="J1264" s="1059" t="e">
        <f>+I1264*25000</f>
        <v>#N/A</v>
      </c>
      <c r="K1264" s="1085"/>
      <c r="L1264" s="1085"/>
      <c r="M1264" s="1085"/>
      <c r="N1264" s="1085"/>
      <c r="O1264" s="1085"/>
    </row>
    <row r="1265" spans="1:15" ht="15" customHeight="1">
      <c r="A1265" s="1056" t="s">
        <v>361</v>
      </c>
      <c r="B1265" s="1057" t="s">
        <v>2663</v>
      </c>
      <c r="C1265" s="1058" t="e">
        <f>VLOOKUP(B1263,'LƯƠNG KT'!$D$15:$R$94,15,0)</f>
        <v>#N/A</v>
      </c>
      <c r="D1265" s="1059" t="e">
        <f>C1265*$L$4</f>
        <v>#N/A</v>
      </c>
      <c r="E1265" s="1061"/>
      <c r="F1265" s="1061"/>
      <c r="G1265" s="1056" t="s">
        <v>361</v>
      </c>
      <c r="H1265" s="1057" t="s">
        <v>2663</v>
      </c>
      <c r="I1265" s="1058" t="e">
        <f>VLOOKUP(H1263,'LƯƠNG KT'!$D$15:$R$94,15,0)</f>
        <v>#N/A</v>
      </c>
      <c r="J1265" s="1059" t="e">
        <f>I1265*$L$4</f>
        <v>#N/A</v>
      </c>
      <c r="K1265" s="1085"/>
      <c r="L1265" s="1085"/>
      <c r="M1265" s="1085"/>
      <c r="N1265" s="1085"/>
      <c r="O1265" s="1085"/>
    </row>
    <row r="1266" spans="1:15" ht="15" customHeight="1">
      <c r="A1266" s="1056" t="s">
        <v>364</v>
      </c>
      <c r="B1266" s="1057" t="s">
        <v>2664</v>
      </c>
      <c r="C1266" s="1058" t="e">
        <f>VLOOKUP(B1263,'LƯƠNG KT'!$D$15:$R$94,16,0)</f>
        <v>#N/A</v>
      </c>
      <c r="D1266" s="1059" t="e">
        <f>C1266*$L$5</f>
        <v>#N/A</v>
      </c>
      <c r="E1266" s="1061"/>
      <c r="F1266" s="1061"/>
      <c r="G1266" s="1056" t="s">
        <v>364</v>
      </c>
      <c r="H1266" s="1057" t="s">
        <v>2664</v>
      </c>
      <c r="I1266" s="1058" t="e">
        <f>VLOOKUP(H1263,'LƯƠNG KT'!$D$15:$R$94,16,0)</f>
        <v>#N/A</v>
      </c>
      <c r="J1266" s="1059" t="e">
        <f>I1266*$L$5</f>
        <v>#N/A</v>
      </c>
      <c r="K1266" s="1085"/>
      <c r="L1266" s="1085"/>
      <c r="M1266" s="1085"/>
      <c r="N1266" s="1085"/>
      <c r="O1266" s="1085"/>
    </row>
    <row r="1267" spans="1:15" ht="15" customHeight="1">
      <c r="A1267" s="1056" t="s">
        <v>370</v>
      </c>
      <c r="B1267" s="1057" t="s">
        <v>2665</v>
      </c>
      <c r="C1267" s="1058" t="e">
        <f>VLOOKUP(B1263,'LƯƠNG KT'!$D$15:$R$94,24,0)</f>
        <v>#N/A</v>
      </c>
      <c r="D1267" s="1059" t="e">
        <f>+C1267*$L$6</f>
        <v>#N/A</v>
      </c>
      <c r="E1267" s="1061"/>
      <c r="F1267" s="1061"/>
      <c r="G1267" s="1056" t="s">
        <v>370</v>
      </c>
      <c r="H1267" s="1057" t="s">
        <v>2665</v>
      </c>
      <c r="I1267" s="1058" t="e">
        <f>VLOOKUP(H1263,'LƯƠNG KT'!$D$15:$R$94,24,0)</f>
        <v>#N/A</v>
      </c>
      <c r="J1267" s="1059" t="e">
        <f>+I1267*$L$6</f>
        <v>#N/A</v>
      </c>
      <c r="K1267" s="1085"/>
      <c r="L1267" s="1085"/>
      <c r="M1267" s="1085"/>
      <c r="N1267" s="1085"/>
      <c r="O1267" s="1085"/>
    </row>
    <row r="1268" spans="1:15" ht="15" customHeight="1">
      <c r="A1268" s="1056" t="s">
        <v>2666</v>
      </c>
      <c r="B1268" s="1057" t="s">
        <v>2667</v>
      </c>
      <c r="C1268" s="1058" t="e">
        <f>VLOOKUP(B1263,'LƯƠNG KT'!$D$15:$R$94,19,0)</f>
        <v>#N/A</v>
      </c>
      <c r="D1268" s="1059" t="e">
        <f>+C1268*$L$8</f>
        <v>#N/A</v>
      </c>
      <c r="E1268" s="1061"/>
      <c r="F1268" s="1061"/>
      <c r="G1268" s="1056" t="s">
        <v>2666</v>
      </c>
      <c r="H1268" s="1057" t="s">
        <v>2667</v>
      </c>
      <c r="I1268" s="1058" t="e">
        <f>VLOOKUP(H1263,'LƯƠNG KT'!$D$15:$R$94,19,0)</f>
        <v>#N/A</v>
      </c>
      <c r="J1268" s="1059" t="e">
        <f>+I1268*$L$8</f>
        <v>#N/A</v>
      </c>
      <c r="K1268" s="1085"/>
      <c r="L1268" s="1085"/>
      <c r="M1268" s="1085"/>
      <c r="N1268" s="1085"/>
      <c r="O1268" s="1085"/>
    </row>
    <row r="1269" spans="1:15" ht="15" customHeight="1">
      <c r="A1269" s="1056" t="s">
        <v>2668</v>
      </c>
      <c r="B1269" s="1062" t="s">
        <v>2669</v>
      </c>
      <c r="C1269" s="1058" t="e">
        <f>VLOOKUP(B1263,'LƯƠNG KT'!$D$15:$R$94,20,0)</f>
        <v>#N/A</v>
      </c>
      <c r="D1269" s="1059" t="e">
        <f>+C1269*$L$9</f>
        <v>#N/A</v>
      </c>
      <c r="E1269" s="1061"/>
      <c r="F1269" s="1061"/>
      <c r="G1269" s="1056" t="s">
        <v>2668</v>
      </c>
      <c r="H1269" s="1062" t="s">
        <v>2669</v>
      </c>
      <c r="I1269" s="1058" t="e">
        <f>VLOOKUP(H1263,'LƯƠNG KT'!$D$15:$R$94,20,0)</f>
        <v>#N/A</v>
      </c>
      <c r="J1269" s="1059" t="e">
        <f>+I1269*$L$9</f>
        <v>#N/A</v>
      </c>
      <c r="K1269" s="1085"/>
      <c r="L1269" s="1085"/>
      <c r="M1269" s="1085"/>
      <c r="N1269" s="1085"/>
      <c r="O1269" s="1085"/>
    </row>
    <row r="1270" spans="1:15" ht="15" customHeight="1">
      <c r="A1270" s="1056" t="s">
        <v>2671</v>
      </c>
      <c r="B1270" s="1057" t="s">
        <v>2672</v>
      </c>
      <c r="C1270" s="1058" t="e">
        <f>VLOOKUP(B1263,'LƯƠNG KT'!$D$15:$R$94,17,0)</f>
        <v>#N/A</v>
      </c>
      <c r="D1270" s="1059" t="e">
        <f>+C1270*$L$10</f>
        <v>#N/A</v>
      </c>
      <c r="E1270" s="1061"/>
      <c r="F1270" s="1061"/>
      <c r="G1270" s="1056" t="s">
        <v>2671</v>
      </c>
      <c r="H1270" s="1057" t="s">
        <v>2672</v>
      </c>
      <c r="I1270" s="1058" t="e">
        <f>VLOOKUP(H1263,'LƯƠNG KT'!$D$15:$R$94,17,0)</f>
        <v>#N/A</v>
      </c>
      <c r="J1270" s="1059" t="e">
        <f>+I1270*$L$10</f>
        <v>#N/A</v>
      </c>
      <c r="K1270" s="1085"/>
      <c r="L1270" s="1085"/>
      <c r="M1270" s="1085"/>
      <c r="N1270" s="1085"/>
      <c r="O1270" s="1085"/>
    </row>
    <row r="1271" spans="1:15" ht="15" customHeight="1">
      <c r="A1271" s="1056" t="s">
        <v>374</v>
      </c>
      <c r="B1271" s="1057" t="s">
        <v>2674</v>
      </c>
      <c r="C1271" s="1058" t="e">
        <f>VLOOKUP(B1263,'LƯƠNG KT'!$D$15:$R$94,12,0)</f>
        <v>#N/A</v>
      </c>
      <c r="D1271" s="1059" t="e">
        <f>VLOOKUP(B1263,'LƯƠNG KT'!$D$15:$R$94,14,0)</f>
        <v>#N/A</v>
      </c>
      <c r="E1271" s="1063"/>
      <c r="F1271" s="1061"/>
      <c r="G1271" s="1056" t="s">
        <v>374</v>
      </c>
      <c r="H1271" s="1057" t="s">
        <v>2674</v>
      </c>
      <c r="I1271" s="1058" t="e">
        <f>VLOOKUP(H1263,'LƯƠNG KT'!$D$15:$R$94,12,0)</f>
        <v>#N/A</v>
      </c>
      <c r="J1271" s="1059" t="e">
        <f>VLOOKUP(H1263,'LƯƠNG KT'!$D$15:$R$94,14,0)</f>
        <v>#N/A</v>
      </c>
      <c r="K1271" s="1085"/>
      <c r="L1271" s="1085"/>
      <c r="M1271" s="1085"/>
      <c r="N1271" s="1085"/>
      <c r="O1271" s="1085"/>
    </row>
    <row r="1272" spans="1:15" ht="15" customHeight="1">
      <c r="A1272" s="1056" t="s">
        <v>2675</v>
      </c>
      <c r="B1272" s="1057" t="s">
        <v>2676</v>
      </c>
      <c r="D1272" s="1064" t="e">
        <f>VLOOKUP(B1263,'LƯƠNG KT'!$D$15:$R$94,13,0)</f>
        <v>#N/A</v>
      </c>
      <c r="E1272" s="1065"/>
      <c r="F1272" s="1065"/>
      <c r="G1272" s="1056" t="s">
        <v>2675</v>
      </c>
      <c r="H1272" s="1057" t="s">
        <v>2676</v>
      </c>
      <c r="J1272" s="1064" t="e">
        <f>VLOOKUP(H1263,'LƯƠNG KT'!$D$15:$R$94,13,0)</f>
        <v>#N/A</v>
      </c>
    </row>
    <row r="1273" spans="1:15" ht="15" customHeight="1">
      <c r="A1273" s="1066"/>
      <c r="B1273" s="869"/>
      <c r="C1273" s="1058"/>
      <c r="D1273" s="1059"/>
      <c r="E1273" s="1063"/>
      <c r="F1273" s="1065"/>
      <c r="G1273" s="1066"/>
      <c r="H1273" s="869"/>
      <c r="I1273" s="1058"/>
      <c r="J1273" s="1059"/>
    </row>
    <row r="1274" spans="1:15" ht="15" customHeight="1">
      <c r="A1274" s="1052"/>
      <c r="B1274" s="869"/>
      <c r="C1274" s="1058"/>
      <c r="D1274" s="1059"/>
      <c r="E1274" s="1067"/>
      <c r="F1274" s="1051"/>
      <c r="G1274" s="1052"/>
      <c r="H1274" s="869"/>
      <c r="I1274" s="1058"/>
      <c r="J1274" s="1059"/>
    </row>
    <row r="1275" spans="1:15" ht="15" customHeight="1">
      <c r="A1275" s="1068" t="s">
        <v>383</v>
      </c>
      <c r="B1275" s="1069" t="s">
        <v>384</v>
      </c>
      <c r="C1275" s="1070"/>
      <c r="D1275" s="1071" t="e">
        <f>SUM(D1264:D1271)-D1274</f>
        <v>#N/A</v>
      </c>
      <c r="E1275" s="1072"/>
      <c r="F1275" s="1073"/>
      <c r="G1275" s="1068" t="s">
        <v>383</v>
      </c>
      <c r="H1275" s="1069" t="s">
        <v>384</v>
      </c>
      <c r="I1275" s="1070"/>
      <c r="J1275" s="1071" t="e">
        <f>SUM(J1264:J1271)-J1274</f>
        <v>#N/A</v>
      </c>
    </row>
    <row r="1276" spans="1:15" ht="18.75" customHeight="1">
      <c r="A1276" s="1074"/>
      <c r="B1276" s="1075"/>
      <c r="C1276" s="1076"/>
      <c r="D1276" s="1077"/>
      <c r="E1276" s="1077"/>
      <c r="F1276" s="1078"/>
      <c r="G1276" s="1074"/>
      <c r="H1276" s="1075"/>
      <c r="I1276" s="1076"/>
      <c r="J1276" s="1077"/>
    </row>
    <row r="1277" spans="1:15" ht="18.75" customHeight="1">
      <c r="A1277" s="1075"/>
      <c r="B1277" s="1075"/>
      <c r="C1277" s="1079"/>
      <c r="D1277" s="1080"/>
      <c r="E1277" s="1075"/>
      <c r="F1277" s="1081"/>
      <c r="G1277" s="1075"/>
      <c r="H1277" s="1075"/>
      <c r="I1277" s="1079"/>
      <c r="J1277" s="1080"/>
    </row>
    <row r="1278" spans="1:15" ht="15" customHeight="1">
      <c r="A1278" s="2242" t="str">
        <f>$K$2</f>
        <v>THÁNG 04/2025</v>
      </c>
      <c r="B1278" s="2242"/>
      <c r="C1278" s="2242"/>
      <c r="D1278" s="2242"/>
      <c r="E1278" s="1050"/>
      <c r="F1278" s="1051"/>
      <c r="G1278" s="2242" t="str">
        <f>$K$2</f>
        <v>THÁNG 04/2025</v>
      </c>
      <c r="H1278" s="2242"/>
      <c r="I1278" s="2242"/>
      <c r="J1278" s="2242"/>
      <c r="K1278" s="624"/>
    </row>
    <row r="1279" spans="1:15" ht="15" customHeight="1">
      <c r="A1279" s="1052" t="s">
        <v>356</v>
      </c>
      <c r="B1279" s="1053" t="s">
        <v>69</v>
      </c>
      <c r="C1279" s="869"/>
      <c r="D1279" s="1049"/>
      <c r="E1279" s="1054"/>
      <c r="F1279" s="1055"/>
      <c r="G1279" s="1052" t="s">
        <v>356</v>
      </c>
      <c r="H1279" s="1053" t="s">
        <v>94</v>
      </c>
      <c r="I1279" s="869"/>
      <c r="J1279" s="1049"/>
      <c r="L1279" s="1088"/>
      <c r="M1279" s="1088"/>
      <c r="N1279" s="1088"/>
      <c r="O1279" s="1088"/>
    </row>
    <row r="1280" spans="1:15" ht="15" customHeight="1">
      <c r="A1280" s="1056" t="s">
        <v>359</v>
      </c>
      <c r="B1280" s="1057" t="s">
        <v>2662</v>
      </c>
      <c r="C1280" s="1058" t="e">
        <f>VLOOKUP(B1279,'LƯƠNG KT'!$D$15:$R$94,4,0)</f>
        <v>#N/A</v>
      </c>
      <c r="D1280" s="1059" t="e">
        <f>+C1280*25000</f>
        <v>#N/A</v>
      </c>
      <c r="E1280" s="1060"/>
      <c r="F1280" s="1060"/>
      <c r="G1280" s="1056" t="s">
        <v>359</v>
      </c>
      <c r="H1280" s="1057" t="s">
        <v>2662</v>
      </c>
      <c r="I1280" s="1058" t="e">
        <f>VLOOKUP(H1279,'LƯƠNG KT'!$D$15:$R$94,4,0)</f>
        <v>#N/A</v>
      </c>
      <c r="J1280" s="1059" t="e">
        <f>+I1280*25000</f>
        <v>#N/A</v>
      </c>
      <c r="K1280" s="1085"/>
      <c r="L1280" s="1085"/>
      <c r="M1280" s="1085"/>
      <c r="N1280" s="1085"/>
      <c r="O1280" s="1085"/>
    </row>
    <row r="1281" spans="1:15" ht="15" customHeight="1">
      <c r="A1281" s="1056" t="s">
        <v>361</v>
      </c>
      <c r="B1281" s="1057" t="s">
        <v>2663</v>
      </c>
      <c r="C1281" s="1058" t="e">
        <f>VLOOKUP(B1279,'LƯƠNG KT'!$D$15:$R$94,15,0)</f>
        <v>#N/A</v>
      </c>
      <c r="D1281" s="1059" t="e">
        <f>C1281*$L$4</f>
        <v>#N/A</v>
      </c>
      <c r="E1281" s="1061"/>
      <c r="F1281" s="1061"/>
      <c r="G1281" s="1056" t="s">
        <v>361</v>
      </c>
      <c r="H1281" s="1057" t="s">
        <v>2663</v>
      </c>
      <c r="I1281" s="1058" t="e">
        <f>VLOOKUP(H1279,'LƯƠNG KT'!$D$15:$R$94,15,0)</f>
        <v>#N/A</v>
      </c>
      <c r="J1281" s="1059" t="e">
        <f>I1281*$L$4</f>
        <v>#N/A</v>
      </c>
      <c r="K1281" s="1085"/>
      <c r="L1281" s="1085"/>
      <c r="M1281" s="1085"/>
      <c r="N1281" s="1085"/>
      <c r="O1281" s="1085"/>
    </row>
    <row r="1282" spans="1:15" ht="15" customHeight="1">
      <c r="A1282" s="1056" t="s">
        <v>364</v>
      </c>
      <c r="B1282" s="1057" t="s">
        <v>2664</v>
      </c>
      <c r="C1282" s="1058" t="e">
        <f>VLOOKUP(B1279,'LƯƠNG KT'!$D$15:$R$94,16,0)</f>
        <v>#N/A</v>
      </c>
      <c r="D1282" s="1059" t="e">
        <f>C1282*$L$5</f>
        <v>#N/A</v>
      </c>
      <c r="E1282" s="1061"/>
      <c r="F1282" s="1061"/>
      <c r="G1282" s="1056" t="s">
        <v>364</v>
      </c>
      <c r="H1282" s="1057" t="s">
        <v>2664</v>
      </c>
      <c r="I1282" s="1058" t="e">
        <f>VLOOKUP(H1279,'LƯƠNG KT'!$D$15:$R$94,16,0)</f>
        <v>#N/A</v>
      </c>
      <c r="J1282" s="1059" t="e">
        <f>I1282*$L$5</f>
        <v>#N/A</v>
      </c>
      <c r="K1282" s="1085"/>
      <c r="L1282" s="1085"/>
      <c r="M1282" s="1085"/>
      <c r="N1282" s="1085"/>
      <c r="O1282" s="1085"/>
    </row>
    <row r="1283" spans="1:15" ht="15" customHeight="1">
      <c r="A1283" s="1056" t="s">
        <v>370</v>
      </c>
      <c r="B1283" s="1057" t="s">
        <v>2665</v>
      </c>
      <c r="C1283" s="1058" t="e">
        <f>VLOOKUP(B1279,'LƯƠNG KT'!$D$15:$R$94,24,0)</f>
        <v>#N/A</v>
      </c>
      <c r="D1283" s="1059" t="e">
        <f>+C1283*$L$6</f>
        <v>#N/A</v>
      </c>
      <c r="E1283" s="1061"/>
      <c r="F1283" s="1061"/>
      <c r="G1283" s="1056" t="s">
        <v>370</v>
      </c>
      <c r="H1283" s="1057" t="s">
        <v>2665</v>
      </c>
      <c r="I1283" s="1058" t="e">
        <f>VLOOKUP(H1279,'LƯƠNG KT'!$D$15:$R$94,24,0)</f>
        <v>#N/A</v>
      </c>
      <c r="J1283" s="1059" t="e">
        <f>+I1283*$L$6</f>
        <v>#N/A</v>
      </c>
      <c r="K1283" s="1085"/>
      <c r="L1283" s="1085"/>
      <c r="M1283" s="1085"/>
      <c r="N1283" s="1085"/>
      <c r="O1283" s="1085"/>
    </row>
    <row r="1284" spans="1:15" ht="15" customHeight="1">
      <c r="A1284" s="1056" t="s">
        <v>2666</v>
      </c>
      <c r="B1284" s="1057" t="s">
        <v>2667</v>
      </c>
      <c r="C1284" s="1058" t="e">
        <f>VLOOKUP(B1279,'LƯƠNG KT'!$D$15:$R$94,19,0)</f>
        <v>#N/A</v>
      </c>
      <c r="D1284" s="1059" t="e">
        <f>+C1284*$L$8</f>
        <v>#N/A</v>
      </c>
      <c r="E1284" s="1061"/>
      <c r="F1284" s="1061"/>
      <c r="G1284" s="1056" t="s">
        <v>2666</v>
      </c>
      <c r="H1284" s="1057" t="s">
        <v>2667</v>
      </c>
      <c r="I1284" s="1058" t="e">
        <f>VLOOKUP(H1279,'LƯƠNG KT'!$D$15:$R$94,19,0)</f>
        <v>#N/A</v>
      </c>
      <c r="J1284" s="1059" t="e">
        <f>+I1284*$L$8</f>
        <v>#N/A</v>
      </c>
      <c r="K1284" s="1085"/>
      <c r="L1284" s="1085"/>
      <c r="M1284" s="1085"/>
      <c r="N1284" s="1085"/>
      <c r="O1284" s="1085"/>
    </row>
    <row r="1285" spans="1:15" ht="15" customHeight="1">
      <c r="A1285" s="1056" t="s">
        <v>2668</v>
      </c>
      <c r="B1285" s="1062" t="s">
        <v>2669</v>
      </c>
      <c r="C1285" s="1058" t="e">
        <f>VLOOKUP(B1279,'LƯƠNG KT'!$D$15:$R$94,20,0)</f>
        <v>#N/A</v>
      </c>
      <c r="D1285" s="1059" t="e">
        <f>+C1285*$L$9</f>
        <v>#N/A</v>
      </c>
      <c r="E1285" s="1061"/>
      <c r="F1285" s="1061"/>
      <c r="G1285" s="1056" t="s">
        <v>2668</v>
      </c>
      <c r="H1285" s="1062" t="s">
        <v>2669</v>
      </c>
      <c r="I1285" s="1058" t="e">
        <f>VLOOKUP(H1279,'LƯƠNG KT'!$D$15:$R$94,20,0)</f>
        <v>#N/A</v>
      </c>
      <c r="J1285" s="1059" t="e">
        <f>+I1285*$L$9</f>
        <v>#N/A</v>
      </c>
      <c r="K1285" s="1085"/>
      <c r="L1285" s="1085"/>
      <c r="M1285" s="1085"/>
      <c r="N1285" s="1085"/>
      <c r="O1285" s="1085"/>
    </row>
    <row r="1286" spans="1:15" ht="15" customHeight="1">
      <c r="A1286" s="1056" t="s">
        <v>2671</v>
      </c>
      <c r="B1286" s="1057" t="s">
        <v>2672</v>
      </c>
      <c r="C1286" s="1058" t="e">
        <f>VLOOKUP(B1279,'LƯƠNG KT'!$D$15:$R$94,17,0)</f>
        <v>#N/A</v>
      </c>
      <c r="D1286" s="1059" t="e">
        <f>+C1286*$L$10</f>
        <v>#N/A</v>
      </c>
      <c r="E1286" s="1061"/>
      <c r="F1286" s="1061"/>
      <c r="G1286" s="1056" t="s">
        <v>2671</v>
      </c>
      <c r="H1286" s="1057" t="s">
        <v>2672</v>
      </c>
      <c r="I1286" s="1058" t="e">
        <f>VLOOKUP(H1279,'LƯƠNG KT'!$D$15:$R$94,17,0)</f>
        <v>#N/A</v>
      </c>
      <c r="J1286" s="1059" t="e">
        <f>+I1286*$L$10</f>
        <v>#N/A</v>
      </c>
      <c r="K1286" s="1085"/>
      <c r="L1286" s="1085"/>
      <c r="M1286" s="1085"/>
      <c r="N1286" s="1085"/>
      <c r="O1286" s="1085"/>
    </row>
    <row r="1287" spans="1:15" ht="15" customHeight="1">
      <c r="A1287" s="1056" t="s">
        <v>374</v>
      </c>
      <c r="B1287" s="1057" t="s">
        <v>2674</v>
      </c>
      <c r="C1287" s="1058" t="e">
        <f>VLOOKUP(B1279,'LƯƠNG KT'!$D$15:$R$94,12,0)</f>
        <v>#N/A</v>
      </c>
      <c r="D1287" s="1059" t="e">
        <f>VLOOKUP(B1279,'LƯƠNG KT'!$D$15:$R$94,14,0)</f>
        <v>#N/A</v>
      </c>
      <c r="E1287" s="1063"/>
      <c r="F1287" s="1061"/>
      <c r="G1287" s="1056" t="s">
        <v>374</v>
      </c>
      <c r="H1287" s="1057" t="s">
        <v>2674</v>
      </c>
      <c r="I1287" s="1058" t="e">
        <f>VLOOKUP(H1279,'LƯƠNG KT'!$D$15:$R$94,12,0)</f>
        <v>#N/A</v>
      </c>
      <c r="J1287" s="1059" t="e">
        <f>VLOOKUP(H1279,'LƯƠNG KT'!$D$15:$R$94,14,0)</f>
        <v>#N/A</v>
      </c>
      <c r="K1287" s="1085"/>
      <c r="L1287" s="1085"/>
      <c r="M1287" s="1085"/>
      <c r="N1287" s="1085"/>
      <c r="O1287" s="1085"/>
    </row>
    <row r="1288" spans="1:15" ht="15" customHeight="1">
      <c r="A1288" s="1056" t="s">
        <v>2675</v>
      </c>
      <c r="B1288" s="1057" t="s">
        <v>2676</v>
      </c>
      <c r="D1288" s="1064" t="e">
        <f>VLOOKUP(B1279,'LƯƠNG KT'!$D$15:$R$94,13,0)</f>
        <v>#N/A</v>
      </c>
      <c r="E1288" s="1065"/>
      <c r="F1288" s="1065"/>
      <c r="G1288" s="1056" t="s">
        <v>2675</v>
      </c>
      <c r="H1288" s="1057" t="s">
        <v>2676</v>
      </c>
      <c r="J1288" s="1064" t="e">
        <f>VLOOKUP(H1279,'LƯƠNG KT'!$D$15:$R$94,13,0)</f>
        <v>#N/A</v>
      </c>
    </row>
    <row r="1289" spans="1:15" ht="15" customHeight="1">
      <c r="A1289" s="1066"/>
      <c r="B1289" s="869"/>
      <c r="C1289" s="1058"/>
      <c r="D1289" s="1059"/>
      <c r="E1289" s="1063"/>
      <c r="F1289" s="1065"/>
      <c r="G1289" s="1066"/>
      <c r="H1289" s="869"/>
      <c r="I1289" s="1058"/>
      <c r="J1289" s="1059"/>
    </row>
    <row r="1290" spans="1:15" ht="15" customHeight="1">
      <c r="A1290" s="1052"/>
      <c r="B1290" s="869"/>
      <c r="C1290" s="1058"/>
      <c r="D1290" s="1059"/>
      <c r="E1290" s="1067"/>
      <c r="F1290" s="1051"/>
      <c r="G1290" s="1052"/>
      <c r="H1290" s="869"/>
      <c r="I1290" s="1058"/>
      <c r="J1290" s="1059"/>
    </row>
    <row r="1291" spans="1:15" ht="15" customHeight="1">
      <c r="A1291" s="1068" t="s">
        <v>383</v>
      </c>
      <c r="B1291" s="1069" t="s">
        <v>384</v>
      </c>
      <c r="C1291" s="1070"/>
      <c r="D1291" s="1071" t="e">
        <f>SUM(D1280:D1287)-D1290</f>
        <v>#N/A</v>
      </c>
      <c r="E1291" s="1072"/>
      <c r="F1291" s="1073"/>
      <c r="G1291" s="1068" t="s">
        <v>383</v>
      </c>
      <c r="H1291" s="1069" t="s">
        <v>384</v>
      </c>
      <c r="I1291" s="1070"/>
      <c r="J1291" s="1071" t="e">
        <f>SUM(J1280:J1287)-J1290</f>
        <v>#N/A</v>
      </c>
    </row>
    <row r="1292" spans="1:15" ht="18.75" customHeight="1">
      <c r="A1292" s="1074"/>
      <c r="B1292" s="1075"/>
      <c r="C1292" s="1076"/>
      <c r="D1292" s="1077"/>
      <c r="E1292" s="1077"/>
      <c r="F1292" s="1078"/>
      <c r="G1292" s="1074"/>
      <c r="H1292" s="1075"/>
      <c r="I1292" s="1076"/>
      <c r="J1292" s="1077"/>
    </row>
    <row r="1293" spans="1:15" ht="18.75" customHeight="1">
      <c r="A1293" s="1075"/>
      <c r="B1293" s="1075"/>
      <c r="C1293" s="1079"/>
      <c r="D1293" s="1080"/>
      <c r="E1293" s="1075"/>
      <c r="F1293" s="1081"/>
      <c r="G1293" s="1075"/>
      <c r="H1293" s="1075"/>
      <c r="I1293" s="1079"/>
      <c r="J1293" s="1080"/>
    </row>
    <row r="1294" spans="1:15" ht="15" customHeight="1">
      <c r="A1294" s="2242" t="str">
        <f>$K$2</f>
        <v>THÁNG 04/2025</v>
      </c>
      <c r="B1294" s="2242"/>
      <c r="C1294" s="2242"/>
      <c r="D1294" s="2242"/>
      <c r="E1294" s="1050"/>
      <c r="F1294" s="1051"/>
      <c r="G1294" s="2242" t="str">
        <f>$K$2</f>
        <v>THÁNG 04/2025</v>
      </c>
      <c r="H1294" s="2242"/>
      <c r="I1294" s="2242"/>
      <c r="J1294" s="2242"/>
      <c r="K1294" s="624"/>
    </row>
    <row r="1295" spans="1:15" ht="15" customHeight="1">
      <c r="A1295" s="1052" t="s">
        <v>356</v>
      </c>
      <c r="B1295" s="1053" t="s">
        <v>95</v>
      </c>
      <c r="C1295" s="869"/>
      <c r="D1295" s="1049"/>
      <c r="E1295" s="1054"/>
      <c r="F1295" s="1055"/>
      <c r="G1295" s="1052" t="s">
        <v>356</v>
      </c>
      <c r="H1295" s="1053" t="s">
        <v>16</v>
      </c>
      <c r="I1295" s="869"/>
      <c r="J1295" s="1049"/>
      <c r="L1295" s="1088"/>
      <c r="M1295" s="1088"/>
      <c r="N1295" s="1088"/>
      <c r="O1295" s="1088"/>
    </row>
    <row r="1296" spans="1:15" ht="15" customHeight="1">
      <c r="A1296" s="1056" t="s">
        <v>359</v>
      </c>
      <c r="B1296" s="1057" t="s">
        <v>2662</v>
      </c>
      <c r="C1296" s="1058" t="e">
        <f>VLOOKUP(B1295,'LƯƠNG KT'!$D$15:$R$94,4,0)</f>
        <v>#N/A</v>
      </c>
      <c r="D1296" s="1059" t="e">
        <f>+C1296*25000</f>
        <v>#N/A</v>
      </c>
      <c r="E1296" s="1060"/>
      <c r="F1296" s="1060"/>
      <c r="G1296" s="1056" t="s">
        <v>359</v>
      </c>
      <c r="H1296" s="1057" t="s">
        <v>2662</v>
      </c>
      <c r="I1296" s="1058" t="e">
        <f>VLOOKUP(H1295,'LƯƠNG KT'!$D$15:$R$94,4,0)</f>
        <v>#N/A</v>
      </c>
      <c r="J1296" s="1059" t="e">
        <f>+I1296*25000</f>
        <v>#N/A</v>
      </c>
      <c r="K1296" s="1085"/>
      <c r="L1296" s="1085"/>
      <c r="M1296" s="1085"/>
      <c r="N1296" s="1085"/>
      <c r="O1296" s="1085"/>
    </row>
    <row r="1297" spans="1:15" ht="15" customHeight="1">
      <c r="A1297" s="1056" t="s">
        <v>361</v>
      </c>
      <c r="B1297" s="1057" t="s">
        <v>2663</v>
      </c>
      <c r="C1297" s="1058" t="e">
        <f>VLOOKUP(B1295,'LƯƠNG KT'!$D$15:$R$94,15,0)</f>
        <v>#N/A</v>
      </c>
      <c r="D1297" s="1059" t="e">
        <f>C1297*$L$4</f>
        <v>#N/A</v>
      </c>
      <c r="E1297" s="1061"/>
      <c r="F1297" s="1061"/>
      <c r="G1297" s="1056" t="s">
        <v>361</v>
      </c>
      <c r="H1297" s="1057" t="s">
        <v>2663</v>
      </c>
      <c r="I1297" s="1058" t="e">
        <f>VLOOKUP(H1295,'LƯƠNG KT'!$D$15:$R$94,15,0)</f>
        <v>#N/A</v>
      </c>
      <c r="J1297" s="1059" t="e">
        <f>I1297*$L$4</f>
        <v>#N/A</v>
      </c>
      <c r="K1297" s="1085"/>
      <c r="L1297" s="1085"/>
      <c r="M1297" s="1085"/>
      <c r="N1297" s="1085"/>
      <c r="O1297" s="1085"/>
    </row>
    <row r="1298" spans="1:15" ht="15" customHeight="1">
      <c r="A1298" s="1056" t="s">
        <v>364</v>
      </c>
      <c r="B1298" s="1057" t="s">
        <v>2664</v>
      </c>
      <c r="C1298" s="1058" t="e">
        <f>VLOOKUP(B1295,'LƯƠNG KT'!$D$15:$R$94,16,0)</f>
        <v>#N/A</v>
      </c>
      <c r="D1298" s="1059" t="e">
        <f>C1298*$L$5</f>
        <v>#N/A</v>
      </c>
      <c r="E1298" s="1061"/>
      <c r="F1298" s="1061"/>
      <c r="G1298" s="1056" t="s">
        <v>364</v>
      </c>
      <c r="H1298" s="1057" t="s">
        <v>2664</v>
      </c>
      <c r="I1298" s="1058" t="e">
        <f>VLOOKUP(H1295,'LƯƠNG KT'!$D$15:$R$94,16,0)</f>
        <v>#N/A</v>
      </c>
      <c r="J1298" s="1059" t="e">
        <f>I1298*$L$5</f>
        <v>#N/A</v>
      </c>
      <c r="K1298" s="1085"/>
      <c r="L1298" s="1085"/>
      <c r="M1298" s="1085"/>
      <c r="N1298" s="1085"/>
      <c r="O1298" s="1085"/>
    </row>
    <row r="1299" spans="1:15" ht="15" customHeight="1">
      <c r="A1299" s="1056" t="s">
        <v>370</v>
      </c>
      <c r="B1299" s="1057" t="s">
        <v>2665</v>
      </c>
      <c r="C1299" s="1058" t="e">
        <f>VLOOKUP(B1295,'LƯƠNG KT'!$D$15:$R$94,24,0)</f>
        <v>#N/A</v>
      </c>
      <c r="D1299" s="1059" t="e">
        <f>+C1299*$L$6</f>
        <v>#N/A</v>
      </c>
      <c r="E1299" s="1061"/>
      <c r="F1299" s="1061"/>
      <c r="G1299" s="1056" t="s">
        <v>370</v>
      </c>
      <c r="H1299" s="1057" t="s">
        <v>2665</v>
      </c>
      <c r="I1299" s="1058" t="e">
        <f>VLOOKUP(H1295,'LƯƠNG KT'!$D$15:$R$94,24,0)</f>
        <v>#N/A</v>
      </c>
      <c r="J1299" s="1059" t="e">
        <f>+I1299*$L$6</f>
        <v>#N/A</v>
      </c>
      <c r="K1299" s="1085"/>
      <c r="L1299" s="1085"/>
      <c r="M1299" s="1085"/>
      <c r="N1299" s="1085"/>
      <c r="O1299" s="1085"/>
    </row>
    <row r="1300" spans="1:15" ht="15" customHeight="1">
      <c r="A1300" s="1056" t="s">
        <v>2666</v>
      </c>
      <c r="B1300" s="1057" t="s">
        <v>2667</v>
      </c>
      <c r="C1300" s="1058" t="e">
        <f>VLOOKUP(B1295,'LƯƠNG KT'!$D$15:$R$94,19,0)</f>
        <v>#N/A</v>
      </c>
      <c r="D1300" s="1059" t="e">
        <f>+C1300*$L$8</f>
        <v>#N/A</v>
      </c>
      <c r="E1300" s="1061"/>
      <c r="F1300" s="1061"/>
      <c r="G1300" s="1056" t="s">
        <v>2666</v>
      </c>
      <c r="H1300" s="1057" t="s">
        <v>2667</v>
      </c>
      <c r="I1300" s="1058" t="e">
        <f>VLOOKUP(H1295,'LƯƠNG KT'!$D$15:$R$94,19,0)</f>
        <v>#N/A</v>
      </c>
      <c r="J1300" s="1059" t="e">
        <f>+I1300*$L$8</f>
        <v>#N/A</v>
      </c>
      <c r="K1300" s="1085"/>
      <c r="L1300" s="1085"/>
      <c r="M1300" s="1085"/>
      <c r="N1300" s="1085"/>
      <c r="O1300" s="1085"/>
    </row>
    <row r="1301" spans="1:15" ht="15" customHeight="1">
      <c r="A1301" s="1056" t="s">
        <v>2668</v>
      </c>
      <c r="B1301" s="1062" t="s">
        <v>2669</v>
      </c>
      <c r="C1301" s="1058" t="e">
        <f>VLOOKUP(B1295,'LƯƠNG KT'!$D$15:$R$94,20,0)</f>
        <v>#N/A</v>
      </c>
      <c r="D1301" s="1059" t="e">
        <f>+C1301*$L$9</f>
        <v>#N/A</v>
      </c>
      <c r="E1301" s="1061"/>
      <c r="F1301" s="1061"/>
      <c r="G1301" s="1056" t="s">
        <v>2668</v>
      </c>
      <c r="H1301" s="1062" t="s">
        <v>2669</v>
      </c>
      <c r="I1301" s="1058" t="e">
        <f>VLOOKUP(H1295,'LƯƠNG KT'!$D$15:$R$94,20,0)</f>
        <v>#N/A</v>
      </c>
      <c r="J1301" s="1059" t="e">
        <f>+I1301*$L$9</f>
        <v>#N/A</v>
      </c>
      <c r="K1301" s="1085"/>
      <c r="L1301" s="1085"/>
      <c r="M1301" s="1085"/>
      <c r="N1301" s="1085"/>
      <c r="O1301" s="1085"/>
    </row>
    <row r="1302" spans="1:15" ht="15" customHeight="1">
      <c r="A1302" s="1056" t="s">
        <v>2671</v>
      </c>
      <c r="B1302" s="1057" t="s">
        <v>2672</v>
      </c>
      <c r="C1302" s="1058" t="e">
        <f>VLOOKUP(B1295,'LƯƠNG KT'!$D$15:$R$94,17,0)</f>
        <v>#N/A</v>
      </c>
      <c r="D1302" s="1059" t="e">
        <f>+C1302*$L$10</f>
        <v>#N/A</v>
      </c>
      <c r="E1302" s="1061"/>
      <c r="F1302" s="1061"/>
      <c r="G1302" s="1056" t="s">
        <v>2671</v>
      </c>
      <c r="H1302" s="1057" t="s">
        <v>2672</v>
      </c>
      <c r="I1302" s="1058" t="e">
        <f>VLOOKUP(H1295,'LƯƠNG KT'!$D$15:$R$94,17,0)</f>
        <v>#N/A</v>
      </c>
      <c r="J1302" s="1059" t="e">
        <f>+I1302*$L$10</f>
        <v>#N/A</v>
      </c>
      <c r="K1302" s="1085"/>
      <c r="L1302" s="1085"/>
      <c r="M1302" s="1085"/>
      <c r="N1302" s="1085"/>
      <c r="O1302" s="1085"/>
    </row>
    <row r="1303" spans="1:15" ht="15" customHeight="1">
      <c r="A1303" s="1056" t="s">
        <v>374</v>
      </c>
      <c r="B1303" s="1057" t="s">
        <v>2674</v>
      </c>
      <c r="C1303" s="1058" t="e">
        <f>VLOOKUP(B1295,'LƯƠNG KT'!$D$15:$R$94,12,0)</f>
        <v>#N/A</v>
      </c>
      <c r="D1303" s="1059" t="e">
        <f>VLOOKUP(B1295,'LƯƠNG KT'!$D$15:$R$94,14,0)</f>
        <v>#N/A</v>
      </c>
      <c r="E1303" s="1063"/>
      <c r="F1303" s="1061"/>
      <c r="G1303" s="1056" t="s">
        <v>374</v>
      </c>
      <c r="H1303" s="1057" t="s">
        <v>2674</v>
      </c>
      <c r="I1303" s="1058" t="e">
        <f>VLOOKUP(H1295,'LƯƠNG KT'!$D$15:$R$94,12,0)</f>
        <v>#N/A</v>
      </c>
      <c r="J1303" s="1059" t="e">
        <f>VLOOKUP(H1295,'LƯƠNG KT'!$D$15:$R$94,14,0)</f>
        <v>#N/A</v>
      </c>
      <c r="K1303" s="1085"/>
      <c r="L1303" s="1085"/>
      <c r="M1303" s="1085"/>
      <c r="N1303" s="1085"/>
      <c r="O1303" s="1085"/>
    </row>
    <row r="1304" spans="1:15" ht="15" customHeight="1">
      <c r="A1304" s="1056" t="s">
        <v>2675</v>
      </c>
      <c r="B1304" s="1057" t="s">
        <v>2676</v>
      </c>
      <c r="D1304" s="1064" t="e">
        <f>VLOOKUP(B1295,'LƯƠNG KT'!$D$15:$R$94,13,0)</f>
        <v>#N/A</v>
      </c>
      <c r="E1304" s="1065"/>
      <c r="F1304" s="1065"/>
      <c r="G1304" s="1056" t="s">
        <v>2675</v>
      </c>
      <c r="H1304" s="1057" t="s">
        <v>2676</v>
      </c>
      <c r="J1304" s="1064" t="e">
        <f>VLOOKUP(H1295,'LƯƠNG KT'!$D$15:$R$94,13,0)</f>
        <v>#N/A</v>
      </c>
    </row>
    <row r="1305" spans="1:15" ht="15" customHeight="1">
      <c r="A1305" s="1066"/>
      <c r="B1305" s="869"/>
      <c r="C1305" s="1058"/>
      <c r="D1305" s="1059"/>
      <c r="E1305" s="1063"/>
      <c r="F1305" s="1065"/>
      <c r="G1305" s="1066"/>
      <c r="H1305" s="869"/>
      <c r="I1305" s="1058"/>
      <c r="J1305" s="1059"/>
    </row>
    <row r="1306" spans="1:15" ht="15" customHeight="1">
      <c r="A1306" s="1052"/>
      <c r="B1306" s="869"/>
      <c r="C1306" s="1058"/>
      <c r="D1306" s="1059"/>
      <c r="E1306" s="1067"/>
      <c r="F1306" s="1051"/>
      <c r="G1306" s="1052"/>
      <c r="H1306" s="869"/>
      <c r="I1306" s="1058"/>
      <c r="J1306" s="1059"/>
    </row>
    <row r="1307" spans="1:15" ht="15" customHeight="1">
      <c r="A1307" s="1068" t="s">
        <v>383</v>
      </c>
      <c r="B1307" s="1069" t="s">
        <v>384</v>
      </c>
      <c r="C1307" s="1070"/>
      <c r="D1307" s="1071" t="e">
        <f>SUM(D1296:D1303)-D1306</f>
        <v>#N/A</v>
      </c>
      <c r="E1307" s="1072"/>
      <c r="F1307" s="1073"/>
      <c r="G1307" s="1068" t="s">
        <v>383</v>
      </c>
      <c r="H1307" s="1069" t="s">
        <v>384</v>
      </c>
      <c r="I1307" s="1070"/>
      <c r="J1307" s="1071" t="e">
        <f>SUM(J1296:J1303)-J1306</f>
        <v>#N/A</v>
      </c>
    </row>
    <row r="1308" spans="1:15" ht="15.75" customHeight="1">
      <c r="A1308" s="1074"/>
      <c r="B1308" s="1075"/>
      <c r="C1308" s="1076"/>
      <c r="D1308" s="1077"/>
      <c r="E1308" s="1077"/>
      <c r="F1308" s="1078"/>
      <c r="G1308" s="1074"/>
      <c r="H1308" s="1075"/>
      <c r="I1308" s="1076"/>
      <c r="J1308" s="1077"/>
    </row>
    <row r="1310" spans="1:15" ht="129" customHeight="1">
      <c r="A1310" s="2243"/>
      <c r="B1310" s="2243"/>
      <c r="C1310" s="2243"/>
      <c r="D1310" s="2243"/>
      <c r="E1310" s="2243"/>
      <c r="F1310" s="2243"/>
      <c r="G1310" s="2243"/>
      <c r="H1310" s="2243"/>
      <c r="I1310" s="2243"/>
      <c r="J1310" s="2243"/>
    </row>
    <row r="1311" spans="1:15" ht="15" customHeight="1">
      <c r="A1311" s="2242" t="str">
        <f>$K$2</f>
        <v>THÁNG 04/2025</v>
      </c>
      <c r="B1311" s="2242"/>
      <c r="C1311" s="2242"/>
      <c r="D1311" s="2242"/>
      <c r="E1311" s="1050"/>
      <c r="F1311" s="1051"/>
      <c r="G1311" s="2242" t="str">
        <f>$K$2</f>
        <v>THÁNG 04/2025</v>
      </c>
      <c r="H1311" s="2242"/>
      <c r="I1311" s="2242"/>
      <c r="J1311" s="2242"/>
      <c r="K1311" s="624"/>
    </row>
    <row r="1312" spans="1:15" ht="15" customHeight="1">
      <c r="A1312" s="1052" t="s">
        <v>356</v>
      </c>
      <c r="B1312" s="1053" t="s">
        <v>47</v>
      </c>
      <c r="C1312" s="869"/>
      <c r="D1312" s="1049"/>
      <c r="E1312" s="1054"/>
      <c r="F1312" s="1055"/>
      <c r="G1312" s="1052" t="s">
        <v>356</v>
      </c>
      <c r="H1312" s="1053" t="s">
        <v>87</v>
      </c>
      <c r="I1312" s="869"/>
      <c r="J1312" s="1049"/>
      <c r="L1312" s="1088"/>
      <c r="M1312" s="1088"/>
      <c r="N1312" s="1088"/>
      <c r="O1312" s="1088"/>
    </row>
    <row r="1313" spans="1:15" ht="15" customHeight="1">
      <c r="A1313" s="1056" t="s">
        <v>359</v>
      </c>
      <c r="B1313" s="1057" t="s">
        <v>2662</v>
      </c>
      <c r="C1313" s="1058" t="e">
        <f>VLOOKUP(B1312,'LƯƠNG KT'!$D$15:$R$94,4,0)</f>
        <v>#N/A</v>
      </c>
      <c r="D1313" s="1059" t="e">
        <f>+C1313*25000</f>
        <v>#N/A</v>
      </c>
      <c r="E1313" s="1060"/>
      <c r="F1313" s="1060"/>
      <c r="G1313" s="1056" t="s">
        <v>359</v>
      </c>
      <c r="H1313" s="1057" t="s">
        <v>2662</v>
      </c>
      <c r="I1313" s="1058" t="e">
        <f>VLOOKUP(H1312,'LƯƠNG KT'!$D$15:$R$94,4,0)</f>
        <v>#N/A</v>
      </c>
      <c r="J1313" s="1059" t="e">
        <f>+I1313*25000</f>
        <v>#N/A</v>
      </c>
      <c r="K1313" s="1084"/>
      <c r="L1313" s="1085"/>
      <c r="M1313" s="1085"/>
      <c r="N1313" s="1085"/>
      <c r="O1313" s="1085"/>
    </row>
    <row r="1314" spans="1:15" ht="15" customHeight="1">
      <c r="A1314" s="1056" t="s">
        <v>361</v>
      </c>
      <c r="B1314" s="1057" t="s">
        <v>2663</v>
      </c>
      <c r="C1314" s="1058" t="e">
        <f>VLOOKUP(B1312,'LƯƠNG KT'!$D$15:$R$94,15,0)</f>
        <v>#N/A</v>
      </c>
      <c r="D1314" s="1059" t="e">
        <f>C1314*$L$4</f>
        <v>#N/A</v>
      </c>
      <c r="E1314" s="1061"/>
      <c r="F1314" s="1061"/>
      <c r="G1314" s="1056" t="s">
        <v>361</v>
      </c>
      <c r="H1314" s="1057" t="s">
        <v>2663</v>
      </c>
      <c r="I1314" s="1058" t="e">
        <f>VLOOKUP(H1312,'LƯƠNG KT'!$D$15:$R$94,15,0)</f>
        <v>#N/A</v>
      </c>
      <c r="J1314" s="1059" t="e">
        <f>I1314*$L$4</f>
        <v>#N/A</v>
      </c>
      <c r="K1314" s="1084"/>
      <c r="L1314" s="1085"/>
      <c r="M1314" s="1085"/>
      <c r="N1314" s="1085"/>
      <c r="O1314" s="1085"/>
    </row>
    <row r="1315" spans="1:15" ht="15" customHeight="1">
      <c r="A1315" s="1056" t="s">
        <v>364</v>
      </c>
      <c r="B1315" s="1057" t="s">
        <v>2664</v>
      </c>
      <c r="C1315" s="1058" t="e">
        <f>VLOOKUP(B1312,'LƯƠNG KT'!$D$15:$R$94,16,0)</f>
        <v>#N/A</v>
      </c>
      <c r="D1315" s="1059" t="e">
        <f>C1315*$L$5</f>
        <v>#N/A</v>
      </c>
      <c r="E1315" s="1061"/>
      <c r="F1315" s="1061"/>
      <c r="G1315" s="1056" t="s">
        <v>364</v>
      </c>
      <c r="H1315" s="1057" t="s">
        <v>2664</v>
      </c>
      <c r="I1315" s="1058" t="e">
        <f>VLOOKUP(H1312,'LƯƠNG KT'!$D$15:$R$94,16,0)</f>
        <v>#N/A</v>
      </c>
      <c r="J1315" s="1059" t="e">
        <f>I1315*$L$5</f>
        <v>#N/A</v>
      </c>
      <c r="K1315" s="1084"/>
      <c r="L1315" s="1085"/>
      <c r="M1315" s="1085"/>
      <c r="N1315" s="1085"/>
      <c r="O1315" s="1085"/>
    </row>
    <row r="1316" spans="1:15" ht="15" customHeight="1">
      <c r="A1316" s="1056" t="s">
        <v>370</v>
      </c>
      <c r="B1316" s="1057" t="s">
        <v>2665</v>
      </c>
      <c r="C1316" s="1058" t="e">
        <f>VLOOKUP(B1312,'LƯƠNG KT'!$D$15:$R$94,24,0)</f>
        <v>#N/A</v>
      </c>
      <c r="D1316" s="1059" t="e">
        <f>+C1316*$L$6</f>
        <v>#N/A</v>
      </c>
      <c r="E1316" s="1061"/>
      <c r="F1316" s="1061"/>
      <c r="G1316" s="1056" t="s">
        <v>370</v>
      </c>
      <c r="H1316" s="1057" t="s">
        <v>2665</v>
      </c>
      <c r="I1316" s="1058" t="e">
        <f>VLOOKUP(H1312,'LƯƠNG KT'!$D$15:$R$94,24,0)</f>
        <v>#N/A</v>
      </c>
      <c r="J1316" s="1059" t="e">
        <f>+I1316*$L$6</f>
        <v>#N/A</v>
      </c>
      <c r="K1316" s="1085"/>
      <c r="L1316" s="1085"/>
      <c r="M1316" s="1085"/>
      <c r="N1316" s="1085"/>
      <c r="O1316" s="1085"/>
    </row>
    <row r="1317" spans="1:15" ht="15" customHeight="1">
      <c r="A1317" s="1056" t="s">
        <v>2666</v>
      </c>
      <c r="B1317" s="1057" t="s">
        <v>2667</v>
      </c>
      <c r="C1317" s="1058" t="e">
        <f>VLOOKUP(B1312,'LƯƠNG KT'!$D$15:$R$94,19,0)</f>
        <v>#N/A</v>
      </c>
      <c r="D1317" s="1059" t="e">
        <f>+C1317*$L$8</f>
        <v>#N/A</v>
      </c>
      <c r="E1317" s="1061"/>
      <c r="F1317" s="1061"/>
      <c r="G1317" s="1056" t="s">
        <v>2666</v>
      </c>
      <c r="H1317" s="1057" t="s">
        <v>2667</v>
      </c>
      <c r="I1317" s="1058" t="e">
        <f>VLOOKUP(H1312,'LƯƠNG KT'!$D$15:$R$94,19,0)</f>
        <v>#N/A</v>
      </c>
      <c r="J1317" s="1059" t="e">
        <f>+I1317*$L$8</f>
        <v>#N/A</v>
      </c>
      <c r="K1317" s="1085"/>
      <c r="L1317" s="1085"/>
      <c r="M1317" s="1085"/>
      <c r="N1317" s="1085"/>
      <c r="O1317" s="1085"/>
    </row>
    <row r="1318" spans="1:15" ht="15" customHeight="1">
      <c r="A1318" s="1056" t="s">
        <v>2668</v>
      </c>
      <c r="B1318" s="1062" t="s">
        <v>2669</v>
      </c>
      <c r="C1318" s="1058" t="e">
        <f>VLOOKUP(B1312,'LƯƠNG KT'!$D$15:$R$94,20,0)</f>
        <v>#N/A</v>
      </c>
      <c r="D1318" s="1059" t="e">
        <f>+C1318*$L$9</f>
        <v>#N/A</v>
      </c>
      <c r="E1318" s="1061"/>
      <c r="F1318" s="1061"/>
      <c r="G1318" s="1056" t="s">
        <v>2668</v>
      </c>
      <c r="H1318" s="1062" t="s">
        <v>2669</v>
      </c>
      <c r="I1318" s="1058" t="e">
        <f>VLOOKUP(H1312,'LƯƠNG KT'!$D$15:$R$94,20,0)</f>
        <v>#N/A</v>
      </c>
      <c r="J1318" s="1059" t="e">
        <f>+I1318*$L$9</f>
        <v>#N/A</v>
      </c>
      <c r="K1318" s="1085"/>
      <c r="L1318" s="1085"/>
      <c r="M1318" s="1085"/>
      <c r="N1318" s="1085"/>
      <c r="O1318" s="1085"/>
    </row>
    <row r="1319" spans="1:15" ht="15" customHeight="1">
      <c r="A1319" s="1056" t="s">
        <v>2671</v>
      </c>
      <c r="B1319" s="1057" t="s">
        <v>2672</v>
      </c>
      <c r="C1319" s="1058" t="e">
        <f>VLOOKUP(B1312,'LƯƠNG KT'!$D$15:$R$94,17,0)</f>
        <v>#N/A</v>
      </c>
      <c r="D1319" s="1059" t="e">
        <f>+C1319*$L$10</f>
        <v>#N/A</v>
      </c>
      <c r="E1319" s="1061"/>
      <c r="F1319" s="1061"/>
      <c r="G1319" s="1056" t="s">
        <v>2671</v>
      </c>
      <c r="H1319" s="1057" t="s">
        <v>2672</v>
      </c>
      <c r="I1319" s="1058" t="e">
        <f>VLOOKUP(H1312,'LƯƠNG KT'!$D$15:$R$94,17,0)</f>
        <v>#N/A</v>
      </c>
      <c r="J1319" s="1059" t="e">
        <f>+I1319*$L$10</f>
        <v>#N/A</v>
      </c>
      <c r="K1319" s="1085"/>
      <c r="L1319" s="1085"/>
      <c r="M1319" s="1085"/>
      <c r="N1319" s="1085"/>
      <c r="O1319" s="1085"/>
    </row>
    <row r="1320" spans="1:15" ht="15" customHeight="1">
      <c r="A1320" s="1056" t="s">
        <v>374</v>
      </c>
      <c r="B1320" s="1057" t="s">
        <v>2674</v>
      </c>
      <c r="C1320" s="1058" t="e">
        <f>VLOOKUP(B1312,'LƯƠNG KT'!$D$15:$R$94,12,0)</f>
        <v>#N/A</v>
      </c>
      <c r="D1320" s="1059" t="e">
        <f>VLOOKUP(B1312,'LƯƠNG KT'!$D$15:$R$94,14,0)</f>
        <v>#N/A</v>
      </c>
      <c r="E1320" s="1063"/>
      <c r="F1320" s="1061"/>
      <c r="G1320" s="1056" t="s">
        <v>374</v>
      </c>
      <c r="H1320" s="1057" t="s">
        <v>2674</v>
      </c>
      <c r="I1320" s="1058" t="e">
        <f>VLOOKUP(H1312,'LƯƠNG KT'!$D$15:$R$94,12,0)</f>
        <v>#N/A</v>
      </c>
      <c r="J1320" s="1059" t="e">
        <f>VLOOKUP(H1312,'LƯƠNG KT'!$D$15:$R$94,14,0)</f>
        <v>#N/A</v>
      </c>
      <c r="K1320" s="1085"/>
      <c r="L1320" s="1085"/>
      <c r="M1320" s="1085"/>
      <c r="N1320" s="1085"/>
      <c r="O1320" s="1085"/>
    </row>
    <row r="1321" spans="1:15" ht="15" customHeight="1">
      <c r="A1321" s="1056" t="s">
        <v>2675</v>
      </c>
      <c r="B1321" s="1057" t="s">
        <v>2676</v>
      </c>
      <c r="D1321" s="1064" t="e">
        <f>VLOOKUP(B1312,'LƯƠNG KT'!$D$15:$R$94,13,0)</f>
        <v>#N/A</v>
      </c>
      <c r="E1321" s="1065"/>
      <c r="F1321" s="1065"/>
      <c r="G1321" s="1056" t="s">
        <v>2675</v>
      </c>
      <c r="H1321" s="1057" t="s">
        <v>2676</v>
      </c>
      <c r="J1321" s="1064" t="e">
        <f>VLOOKUP(H1312,'LƯƠNG KT'!$D$15:$R$94,13,0)</f>
        <v>#N/A</v>
      </c>
    </row>
    <row r="1322" spans="1:15" ht="15" customHeight="1">
      <c r="A1322" s="1066"/>
      <c r="B1322" s="869"/>
      <c r="C1322" s="1058"/>
      <c r="D1322" s="1059"/>
      <c r="E1322" s="1063"/>
      <c r="F1322" s="1065"/>
      <c r="G1322" s="1066"/>
      <c r="H1322" s="869"/>
      <c r="I1322" s="1058"/>
      <c r="J1322" s="1059"/>
    </row>
    <row r="1323" spans="1:15" ht="15" customHeight="1">
      <c r="A1323" s="1052"/>
      <c r="B1323" s="869"/>
      <c r="C1323" s="1058"/>
      <c r="D1323" s="1059"/>
      <c r="E1323" s="1067"/>
      <c r="F1323" s="1051"/>
      <c r="G1323" s="1052"/>
      <c r="H1323" s="869"/>
      <c r="I1323" s="1058"/>
      <c r="J1323" s="1059"/>
    </row>
    <row r="1324" spans="1:15" ht="15" customHeight="1">
      <c r="A1324" s="1068" t="s">
        <v>383</v>
      </c>
      <c r="B1324" s="1069" t="s">
        <v>384</v>
      </c>
      <c r="C1324" s="1070"/>
      <c r="D1324" s="1071" t="e">
        <f>SUM(D1313:D1320)-D1323</f>
        <v>#N/A</v>
      </c>
      <c r="E1324" s="1072"/>
      <c r="F1324" s="1073"/>
      <c r="G1324" s="1068" t="s">
        <v>383</v>
      </c>
      <c r="H1324" s="1069" t="s">
        <v>384</v>
      </c>
      <c r="I1324" s="1070"/>
      <c r="J1324" s="1071" t="e">
        <f>SUM(J1313:J1320)-J1323</f>
        <v>#N/A</v>
      </c>
    </row>
    <row r="1325" spans="1:15" ht="12.6" customHeight="1">
      <c r="A1325" s="1074"/>
      <c r="B1325" s="1075"/>
      <c r="C1325" s="1076"/>
      <c r="D1325" s="1077"/>
      <c r="E1325" s="1077"/>
      <c r="F1325" s="1078"/>
      <c r="G1325" s="1074"/>
      <c r="H1325" s="1075"/>
      <c r="I1325" s="1076"/>
      <c r="J1325" s="1077"/>
    </row>
    <row r="1326" spans="1:15" ht="12.6" customHeight="1">
      <c r="A1326" s="1075"/>
      <c r="B1326" s="1075"/>
      <c r="C1326" s="1079"/>
      <c r="D1326" s="1080"/>
      <c r="E1326" s="1075"/>
      <c r="F1326" s="1081"/>
      <c r="G1326" s="1075"/>
      <c r="H1326" s="1075"/>
      <c r="I1326" s="1079"/>
      <c r="J1326" s="1080"/>
    </row>
    <row r="1327" spans="1:15" ht="15" customHeight="1">
      <c r="A1327" s="2242" t="str">
        <f>$K$2</f>
        <v>THÁNG 04/2025</v>
      </c>
      <c r="B1327" s="2242"/>
      <c r="C1327" s="2242"/>
      <c r="D1327" s="2242"/>
      <c r="E1327" s="1050"/>
      <c r="F1327" s="1051"/>
      <c r="G1327" s="2242" t="str">
        <f>$K$2</f>
        <v>THÁNG 04/2025</v>
      </c>
      <c r="H1327" s="2242"/>
      <c r="I1327" s="2242"/>
      <c r="J1327" s="2242"/>
      <c r="K1327" s="624"/>
    </row>
    <row r="1328" spans="1:15" ht="15" customHeight="1">
      <c r="A1328" s="1052" t="s">
        <v>356</v>
      </c>
      <c r="B1328" s="1053" t="s">
        <v>62</v>
      </c>
      <c r="C1328" s="869"/>
      <c r="D1328" s="1049"/>
      <c r="E1328" s="1054"/>
      <c r="F1328" s="1055"/>
      <c r="G1328" s="1052" t="s">
        <v>356</v>
      </c>
      <c r="H1328" s="1053" t="s">
        <v>79</v>
      </c>
      <c r="I1328" s="869"/>
      <c r="J1328" s="1049"/>
      <c r="L1328" s="1088"/>
      <c r="M1328" s="1088"/>
      <c r="N1328" s="1088"/>
      <c r="O1328" s="1088"/>
    </row>
    <row r="1329" spans="1:15" ht="15" customHeight="1">
      <c r="A1329" s="1056" t="s">
        <v>359</v>
      </c>
      <c r="B1329" s="1057" t="s">
        <v>2662</v>
      </c>
      <c r="C1329" s="1058" t="e">
        <f>VLOOKUP(B1328,'LƯƠNG KT'!$D$15:$R$94,4,0)</f>
        <v>#N/A</v>
      </c>
      <c r="D1329" s="1059" t="e">
        <f>+C1329*25000</f>
        <v>#N/A</v>
      </c>
      <c r="E1329" s="1060"/>
      <c r="F1329" s="1060"/>
      <c r="G1329" s="1056" t="s">
        <v>359</v>
      </c>
      <c r="H1329" s="1057" t="s">
        <v>2662</v>
      </c>
      <c r="I1329" s="1058" t="e">
        <f>VLOOKUP(H1328,'LƯƠNG KT'!$D$15:$R$94,4,0)</f>
        <v>#N/A</v>
      </c>
      <c r="J1329" s="1059" t="e">
        <f>+I1329*25000</f>
        <v>#N/A</v>
      </c>
      <c r="K1329" s="1085"/>
      <c r="L1329" s="1085"/>
      <c r="M1329" s="1085"/>
      <c r="N1329" s="1085"/>
      <c r="O1329" s="1085"/>
    </row>
    <row r="1330" spans="1:15" ht="15" customHeight="1">
      <c r="A1330" s="1056" t="s">
        <v>361</v>
      </c>
      <c r="B1330" s="1057" t="s">
        <v>2663</v>
      </c>
      <c r="C1330" s="1058" t="e">
        <f>VLOOKUP(B1328,'LƯƠNG KT'!$D$15:$R$94,15,0)</f>
        <v>#N/A</v>
      </c>
      <c r="D1330" s="1059" t="e">
        <f>C1330*$L$4</f>
        <v>#N/A</v>
      </c>
      <c r="E1330" s="1061"/>
      <c r="F1330" s="1061"/>
      <c r="G1330" s="1056" t="s">
        <v>361</v>
      </c>
      <c r="H1330" s="1057" t="s">
        <v>2663</v>
      </c>
      <c r="I1330" s="1058" t="e">
        <f>VLOOKUP(H1328,'LƯƠNG KT'!$D$15:$R$94,15,0)</f>
        <v>#N/A</v>
      </c>
      <c r="J1330" s="1059" t="e">
        <f>I1330*$L$4</f>
        <v>#N/A</v>
      </c>
      <c r="K1330" s="1085"/>
      <c r="L1330" s="1085"/>
      <c r="M1330" s="1085"/>
      <c r="N1330" s="1085"/>
      <c r="O1330" s="1085"/>
    </row>
    <row r="1331" spans="1:15" ht="15" customHeight="1">
      <c r="A1331" s="1056" t="s">
        <v>364</v>
      </c>
      <c r="B1331" s="1057" t="s">
        <v>2664</v>
      </c>
      <c r="C1331" s="1058" t="e">
        <f>VLOOKUP(B1328,'LƯƠNG KT'!$D$15:$R$94,16,0)</f>
        <v>#N/A</v>
      </c>
      <c r="D1331" s="1059" t="e">
        <f>C1331*$L$5</f>
        <v>#N/A</v>
      </c>
      <c r="E1331" s="1061"/>
      <c r="F1331" s="1061"/>
      <c r="G1331" s="1056" t="s">
        <v>364</v>
      </c>
      <c r="H1331" s="1057" t="s">
        <v>2664</v>
      </c>
      <c r="I1331" s="1058" t="e">
        <f>VLOOKUP(H1328,'LƯƠNG KT'!$D$15:$R$94,16,0)</f>
        <v>#N/A</v>
      </c>
      <c r="J1331" s="1059" t="e">
        <f>I1331*$L$5</f>
        <v>#N/A</v>
      </c>
      <c r="K1331" s="1085"/>
      <c r="L1331" s="1085"/>
      <c r="M1331" s="1085"/>
      <c r="N1331" s="1085"/>
      <c r="O1331" s="1085"/>
    </row>
    <row r="1332" spans="1:15" ht="15" customHeight="1">
      <c r="A1332" s="1056" t="s">
        <v>370</v>
      </c>
      <c r="B1332" s="1057" t="s">
        <v>2665</v>
      </c>
      <c r="C1332" s="1058" t="e">
        <f>VLOOKUP(B1328,'LƯƠNG KT'!$D$15:$R$94,24,0)</f>
        <v>#N/A</v>
      </c>
      <c r="D1332" s="1059" t="e">
        <f>+C1332*$L$6</f>
        <v>#N/A</v>
      </c>
      <c r="E1332" s="1061"/>
      <c r="F1332" s="1061"/>
      <c r="G1332" s="1056" t="s">
        <v>370</v>
      </c>
      <c r="H1332" s="1057" t="s">
        <v>2665</v>
      </c>
      <c r="I1332" s="1058" t="e">
        <f>VLOOKUP(H1328,'LƯƠNG KT'!$D$15:$R$94,24,0)</f>
        <v>#N/A</v>
      </c>
      <c r="J1332" s="1059" t="e">
        <f>+I1332*$L$6</f>
        <v>#N/A</v>
      </c>
      <c r="K1332" s="1085"/>
      <c r="L1332" s="1085"/>
      <c r="M1332" s="1085"/>
      <c r="N1332" s="1085"/>
      <c r="O1332" s="1085"/>
    </row>
    <row r="1333" spans="1:15" ht="15" customHeight="1">
      <c r="A1333" s="1056" t="s">
        <v>2666</v>
      </c>
      <c r="B1333" s="1057" t="s">
        <v>2667</v>
      </c>
      <c r="C1333" s="1058" t="e">
        <f>VLOOKUP(B1328,'LƯƠNG KT'!$D$15:$R$94,19,0)</f>
        <v>#N/A</v>
      </c>
      <c r="D1333" s="1059" t="e">
        <f>+C1333*$L$8</f>
        <v>#N/A</v>
      </c>
      <c r="E1333" s="1061"/>
      <c r="F1333" s="1061"/>
      <c r="G1333" s="1056" t="s">
        <v>2666</v>
      </c>
      <c r="H1333" s="1057" t="s">
        <v>2667</v>
      </c>
      <c r="I1333" s="1058" t="e">
        <f>VLOOKUP(H1328,'LƯƠNG KT'!$D$15:$R$94,19,0)</f>
        <v>#N/A</v>
      </c>
      <c r="J1333" s="1059" t="e">
        <f>+I1333*$L$8</f>
        <v>#N/A</v>
      </c>
      <c r="K1333" s="1085"/>
      <c r="L1333" s="1085"/>
      <c r="M1333" s="1085"/>
      <c r="N1333" s="1085"/>
      <c r="O1333" s="1085"/>
    </row>
    <row r="1334" spans="1:15" ht="15" customHeight="1">
      <c r="A1334" s="1056" t="s">
        <v>2668</v>
      </c>
      <c r="B1334" s="1062" t="s">
        <v>2669</v>
      </c>
      <c r="C1334" s="1058" t="e">
        <f>VLOOKUP(B1328,'LƯƠNG KT'!$D$15:$R$94,20,0)</f>
        <v>#N/A</v>
      </c>
      <c r="D1334" s="1059" t="e">
        <f>+C1334*$L$9</f>
        <v>#N/A</v>
      </c>
      <c r="E1334" s="1061"/>
      <c r="F1334" s="1061"/>
      <c r="G1334" s="1056" t="s">
        <v>2668</v>
      </c>
      <c r="H1334" s="1062" t="s">
        <v>2669</v>
      </c>
      <c r="I1334" s="1058" t="e">
        <f>VLOOKUP(H1328,'LƯƠNG KT'!$D$15:$R$94,20,0)</f>
        <v>#N/A</v>
      </c>
      <c r="J1334" s="1059" t="e">
        <f>+I1334*$L$9</f>
        <v>#N/A</v>
      </c>
      <c r="K1334" s="1085"/>
      <c r="L1334" s="1085"/>
      <c r="M1334" s="1085"/>
      <c r="N1334" s="1085"/>
      <c r="O1334" s="1085"/>
    </row>
    <row r="1335" spans="1:15" ht="15" customHeight="1">
      <c r="A1335" s="1056" t="s">
        <v>2671</v>
      </c>
      <c r="B1335" s="1057" t="s">
        <v>2672</v>
      </c>
      <c r="C1335" s="1058" t="e">
        <f>VLOOKUP(B1328,'LƯƠNG KT'!$D$15:$R$94,17,0)</f>
        <v>#N/A</v>
      </c>
      <c r="D1335" s="1059" t="e">
        <f>+C1335*$L$10</f>
        <v>#N/A</v>
      </c>
      <c r="E1335" s="1061"/>
      <c r="F1335" s="1061"/>
      <c r="G1335" s="1056" t="s">
        <v>2671</v>
      </c>
      <c r="H1335" s="1057" t="s">
        <v>2672</v>
      </c>
      <c r="I1335" s="1058" t="e">
        <f>VLOOKUP(H1328,'LƯƠNG KT'!$D$15:$R$94,17,0)</f>
        <v>#N/A</v>
      </c>
      <c r="J1335" s="1059" t="e">
        <f>+I1335*$L$10</f>
        <v>#N/A</v>
      </c>
      <c r="K1335" s="1085"/>
      <c r="L1335" s="1085"/>
      <c r="M1335" s="1085"/>
      <c r="N1335" s="1085"/>
      <c r="O1335" s="1085"/>
    </row>
    <row r="1336" spans="1:15" ht="15" customHeight="1">
      <c r="A1336" s="1056" t="s">
        <v>374</v>
      </c>
      <c r="B1336" s="1057" t="s">
        <v>2674</v>
      </c>
      <c r="C1336" s="1058" t="e">
        <f>VLOOKUP(B1328,'LƯƠNG KT'!$D$15:$R$94,12,0)</f>
        <v>#N/A</v>
      </c>
      <c r="D1336" s="1059" t="e">
        <f>VLOOKUP(B1328,'LƯƠNG KT'!$D$15:$R$94,14,0)</f>
        <v>#N/A</v>
      </c>
      <c r="E1336" s="1063"/>
      <c r="F1336" s="1061"/>
      <c r="G1336" s="1056" t="s">
        <v>374</v>
      </c>
      <c r="H1336" s="1057" t="s">
        <v>2674</v>
      </c>
      <c r="I1336" s="1058" t="e">
        <f>VLOOKUP(H1328,'LƯƠNG KT'!$D$15:$R$94,12,0)</f>
        <v>#N/A</v>
      </c>
      <c r="J1336" s="1059" t="e">
        <f>VLOOKUP(H1328,'LƯƠNG KT'!$D$15:$R$94,14,0)</f>
        <v>#N/A</v>
      </c>
      <c r="K1336" s="1085"/>
      <c r="L1336" s="1085"/>
      <c r="M1336" s="1085"/>
      <c r="N1336" s="1085"/>
      <c r="O1336" s="1085"/>
    </row>
    <row r="1337" spans="1:15" ht="15" customHeight="1">
      <c r="A1337" s="1056" t="s">
        <v>2675</v>
      </c>
      <c r="B1337" s="1057" t="s">
        <v>2676</v>
      </c>
      <c r="D1337" s="1064" t="e">
        <f>VLOOKUP(B1328,'LƯƠNG KT'!$D$15:$R$94,13,0)</f>
        <v>#N/A</v>
      </c>
      <c r="E1337" s="1065"/>
      <c r="F1337" s="1065"/>
      <c r="G1337" s="1056" t="s">
        <v>2675</v>
      </c>
      <c r="H1337" s="1057" t="s">
        <v>2676</v>
      </c>
      <c r="J1337" s="1064" t="e">
        <f>VLOOKUP(H1328,'LƯƠNG KT'!$D$15:$R$94,13,0)</f>
        <v>#N/A</v>
      </c>
    </row>
    <row r="1338" spans="1:15" ht="15" customHeight="1">
      <c r="A1338" s="1066"/>
      <c r="B1338" s="869"/>
      <c r="C1338" s="1058"/>
      <c r="D1338" s="1059"/>
      <c r="E1338" s="1063"/>
      <c r="F1338" s="1065"/>
      <c r="G1338" s="1066"/>
      <c r="H1338" s="869"/>
      <c r="I1338" s="1058"/>
      <c r="J1338" s="1059"/>
    </row>
    <row r="1339" spans="1:15" ht="15" customHeight="1">
      <c r="A1339" s="1052"/>
      <c r="B1339" s="869"/>
      <c r="C1339" s="1058"/>
      <c r="D1339" s="1059"/>
      <c r="E1339" s="1067"/>
      <c r="F1339" s="1051"/>
      <c r="G1339" s="1052"/>
      <c r="H1339" s="869"/>
      <c r="I1339" s="1058"/>
      <c r="J1339" s="1059"/>
    </row>
    <row r="1340" spans="1:15" ht="15" customHeight="1">
      <c r="A1340" s="1068" t="s">
        <v>383</v>
      </c>
      <c r="B1340" s="1069" t="s">
        <v>384</v>
      </c>
      <c r="C1340" s="1070"/>
      <c r="D1340" s="1071" t="e">
        <f>SUM(D1329:D1336)-D1339</f>
        <v>#N/A</v>
      </c>
      <c r="E1340" s="1072"/>
      <c r="F1340" s="1073"/>
      <c r="G1340" s="1068" t="s">
        <v>383</v>
      </c>
      <c r="H1340" s="1069" t="s">
        <v>384</v>
      </c>
      <c r="I1340" s="1070"/>
      <c r="J1340" s="1071" t="e">
        <f>SUM(J1329:J1336)-J1339</f>
        <v>#N/A</v>
      </c>
    </row>
    <row r="1341" spans="1:15" ht="18.75" customHeight="1">
      <c r="A1341" s="1074"/>
      <c r="B1341" s="1075"/>
      <c r="C1341" s="1076"/>
      <c r="D1341" s="1077"/>
      <c r="E1341" s="1077"/>
      <c r="F1341" s="1078"/>
      <c r="G1341" s="1074"/>
      <c r="H1341" s="1075"/>
      <c r="I1341" s="1076"/>
      <c r="J1341" s="1077"/>
    </row>
    <row r="1342" spans="1:15" ht="18.75" customHeight="1">
      <c r="A1342" s="1075"/>
      <c r="B1342" s="1075"/>
      <c r="C1342" s="1079"/>
      <c r="D1342" s="1080"/>
      <c r="E1342" s="1075"/>
      <c r="F1342" s="1081"/>
      <c r="G1342" s="1075"/>
      <c r="H1342" s="1075"/>
      <c r="I1342" s="1079"/>
      <c r="J1342" s="1080"/>
    </row>
    <row r="1343" spans="1:15" ht="15" customHeight="1">
      <c r="A1343" s="2242" t="str">
        <f>$K$2</f>
        <v>THÁNG 04/2025</v>
      </c>
      <c r="B1343" s="2242"/>
      <c r="C1343" s="2242"/>
      <c r="D1343" s="2242"/>
      <c r="E1343" s="1050"/>
      <c r="F1343" s="1051"/>
      <c r="G1343" s="2242" t="str">
        <f>$K$2</f>
        <v>THÁNG 04/2025</v>
      </c>
      <c r="H1343" s="2242"/>
      <c r="I1343" s="2242"/>
      <c r="J1343" s="2242"/>
      <c r="K1343" s="624"/>
    </row>
    <row r="1344" spans="1:15" ht="15" customHeight="1">
      <c r="A1344" s="1052" t="s">
        <v>356</v>
      </c>
      <c r="B1344" s="1053" t="s">
        <v>27</v>
      </c>
      <c r="C1344" s="869"/>
      <c r="D1344" s="1049"/>
      <c r="E1344" s="1054"/>
      <c r="F1344" s="1055"/>
      <c r="G1344" s="1052" t="s">
        <v>356</v>
      </c>
      <c r="H1344" s="1053" t="s">
        <v>28</v>
      </c>
      <c r="I1344" s="869"/>
      <c r="J1344" s="1049"/>
      <c r="L1344" s="1088"/>
      <c r="M1344" s="1088"/>
      <c r="N1344" s="1088"/>
      <c r="O1344" s="1088"/>
    </row>
    <row r="1345" spans="1:15" ht="15" customHeight="1">
      <c r="A1345" s="1056" t="s">
        <v>359</v>
      </c>
      <c r="B1345" s="1057" t="s">
        <v>2662</v>
      </c>
      <c r="C1345" s="1058" t="e">
        <f>VLOOKUP(B1344,'LƯƠNG KT'!$D$15:$R$94,4,0)</f>
        <v>#N/A</v>
      </c>
      <c r="D1345" s="1059" t="e">
        <f>+C1345*25000</f>
        <v>#N/A</v>
      </c>
      <c r="E1345" s="1060"/>
      <c r="F1345" s="1060"/>
      <c r="G1345" s="1056" t="s">
        <v>359</v>
      </c>
      <c r="H1345" s="1057" t="s">
        <v>2662</v>
      </c>
      <c r="I1345" s="1058" t="e">
        <f>VLOOKUP(H1344,'LƯƠNG KT'!$D$15:$R$94,4,0)</f>
        <v>#N/A</v>
      </c>
      <c r="J1345" s="1059" t="e">
        <f>+I1345*25000</f>
        <v>#N/A</v>
      </c>
      <c r="K1345" s="1085"/>
      <c r="L1345" s="1085"/>
      <c r="M1345" s="1085"/>
      <c r="N1345" s="1085"/>
      <c r="O1345" s="1085"/>
    </row>
    <row r="1346" spans="1:15" ht="15" customHeight="1">
      <c r="A1346" s="1056" t="s">
        <v>361</v>
      </c>
      <c r="B1346" s="1057" t="s">
        <v>2663</v>
      </c>
      <c r="C1346" s="1058" t="e">
        <f>VLOOKUP(B1344,'LƯƠNG KT'!$D$15:$R$94,15,0)</f>
        <v>#N/A</v>
      </c>
      <c r="D1346" s="1059" t="e">
        <f>C1346*$L$4</f>
        <v>#N/A</v>
      </c>
      <c r="E1346" s="1061"/>
      <c r="F1346" s="1061"/>
      <c r="G1346" s="1056" t="s">
        <v>361</v>
      </c>
      <c r="H1346" s="1057" t="s">
        <v>2663</v>
      </c>
      <c r="I1346" s="1058" t="e">
        <f>VLOOKUP(H1344,'LƯƠNG KT'!$D$15:$R$94,15,0)</f>
        <v>#N/A</v>
      </c>
      <c r="J1346" s="1059" t="e">
        <f>I1346*$L$4</f>
        <v>#N/A</v>
      </c>
      <c r="K1346" s="1085"/>
      <c r="L1346" s="1085"/>
      <c r="M1346" s="1085"/>
      <c r="N1346" s="1085"/>
      <c r="O1346" s="1085"/>
    </row>
    <row r="1347" spans="1:15" ht="15" customHeight="1">
      <c r="A1347" s="1056" t="s">
        <v>364</v>
      </c>
      <c r="B1347" s="1057" t="s">
        <v>2664</v>
      </c>
      <c r="C1347" s="1058" t="e">
        <f>VLOOKUP(B1344,'LƯƠNG KT'!$D$15:$R$94,16,0)</f>
        <v>#N/A</v>
      </c>
      <c r="D1347" s="1059" t="e">
        <f>C1347*$L$5</f>
        <v>#N/A</v>
      </c>
      <c r="E1347" s="1061"/>
      <c r="F1347" s="1061"/>
      <c r="G1347" s="1056" t="s">
        <v>364</v>
      </c>
      <c r="H1347" s="1057" t="s">
        <v>2664</v>
      </c>
      <c r="I1347" s="1058" t="e">
        <f>VLOOKUP(H1344,'LƯƠNG KT'!$D$15:$R$94,16,0)</f>
        <v>#N/A</v>
      </c>
      <c r="J1347" s="1059" t="e">
        <f>I1347*$L$5</f>
        <v>#N/A</v>
      </c>
      <c r="K1347" s="1085"/>
      <c r="L1347" s="1085"/>
      <c r="M1347" s="1085"/>
      <c r="N1347" s="1085"/>
      <c r="O1347" s="1085"/>
    </row>
    <row r="1348" spans="1:15" ht="15" customHeight="1">
      <c r="A1348" s="1056" t="s">
        <v>370</v>
      </c>
      <c r="B1348" s="1057" t="s">
        <v>2665</v>
      </c>
      <c r="C1348" s="1058" t="e">
        <f>VLOOKUP(B1344,'LƯƠNG KT'!$D$15:$R$94,24,0)</f>
        <v>#N/A</v>
      </c>
      <c r="D1348" s="1059" t="e">
        <f>+C1348*$L$6</f>
        <v>#N/A</v>
      </c>
      <c r="E1348" s="1061"/>
      <c r="F1348" s="1061"/>
      <c r="G1348" s="1056" t="s">
        <v>370</v>
      </c>
      <c r="H1348" s="1057" t="s">
        <v>2665</v>
      </c>
      <c r="I1348" s="1058" t="e">
        <f>VLOOKUP(H1344,'LƯƠNG KT'!$D$15:$R$94,24,0)</f>
        <v>#N/A</v>
      </c>
      <c r="J1348" s="1059" t="e">
        <f>+I1348*$L$6</f>
        <v>#N/A</v>
      </c>
      <c r="K1348" s="1085"/>
      <c r="L1348" s="1085"/>
      <c r="M1348" s="1085"/>
      <c r="N1348" s="1085"/>
      <c r="O1348" s="1085"/>
    </row>
    <row r="1349" spans="1:15" ht="15" customHeight="1">
      <c r="A1349" s="1056" t="s">
        <v>2666</v>
      </c>
      <c r="B1349" s="1057" t="s">
        <v>2667</v>
      </c>
      <c r="C1349" s="1058" t="e">
        <f>VLOOKUP(B1344,'LƯƠNG KT'!$D$15:$R$94,19,0)</f>
        <v>#N/A</v>
      </c>
      <c r="D1349" s="1059" t="e">
        <f>+C1349*$L$8</f>
        <v>#N/A</v>
      </c>
      <c r="E1349" s="1061"/>
      <c r="F1349" s="1061"/>
      <c r="G1349" s="1056" t="s">
        <v>2666</v>
      </c>
      <c r="H1349" s="1057" t="s">
        <v>2667</v>
      </c>
      <c r="I1349" s="1058" t="e">
        <f>VLOOKUP(H1344,'LƯƠNG KT'!$D$15:$R$94,19,0)</f>
        <v>#N/A</v>
      </c>
      <c r="J1349" s="1059" t="e">
        <f>+I1349*$L$8</f>
        <v>#N/A</v>
      </c>
      <c r="K1349" s="1085"/>
      <c r="L1349" s="1085"/>
      <c r="M1349" s="1085"/>
      <c r="N1349" s="1085"/>
      <c r="O1349" s="1085"/>
    </row>
    <row r="1350" spans="1:15" ht="15" customHeight="1">
      <c r="A1350" s="1056" t="s">
        <v>2668</v>
      </c>
      <c r="B1350" s="1062" t="s">
        <v>2669</v>
      </c>
      <c r="C1350" s="1058" t="e">
        <f>VLOOKUP(B1344,'LƯƠNG KT'!$D$15:$R$94,20,0)</f>
        <v>#N/A</v>
      </c>
      <c r="D1350" s="1059" t="e">
        <f>+C1350*$L$9</f>
        <v>#N/A</v>
      </c>
      <c r="E1350" s="1061"/>
      <c r="F1350" s="1061"/>
      <c r="G1350" s="1056" t="s">
        <v>2668</v>
      </c>
      <c r="H1350" s="1062" t="s">
        <v>2669</v>
      </c>
      <c r="I1350" s="1058" t="e">
        <f>VLOOKUP(H1344,'LƯƠNG KT'!$D$15:$R$94,20,0)</f>
        <v>#N/A</v>
      </c>
      <c r="J1350" s="1059" t="e">
        <f>+I1350*$L$9</f>
        <v>#N/A</v>
      </c>
      <c r="K1350" s="1085"/>
      <c r="L1350" s="1085"/>
      <c r="M1350" s="1085"/>
      <c r="N1350" s="1085"/>
      <c r="O1350" s="1085"/>
    </row>
    <row r="1351" spans="1:15" ht="15" customHeight="1">
      <c r="A1351" s="1056" t="s">
        <v>2671</v>
      </c>
      <c r="B1351" s="1057" t="s">
        <v>2672</v>
      </c>
      <c r="C1351" s="1058" t="e">
        <f>VLOOKUP(B1344,'LƯƠNG KT'!$D$15:$R$94,17,0)</f>
        <v>#N/A</v>
      </c>
      <c r="D1351" s="1059" t="e">
        <f>+C1351*$L$10</f>
        <v>#N/A</v>
      </c>
      <c r="E1351" s="1061"/>
      <c r="F1351" s="1061"/>
      <c r="G1351" s="1056" t="s">
        <v>2671</v>
      </c>
      <c r="H1351" s="1057" t="s">
        <v>2672</v>
      </c>
      <c r="I1351" s="1058" t="e">
        <f>VLOOKUP(H1344,'LƯƠNG KT'!$D$15:$R$94,17,0)</f>
        <v>#N/A</v>
      </c>
      <c r="J1351" s="1059" t="e">
        <f>+I1351*$L$10</f>
        <v>#N/A</v>
      </c>
      <c r="K1351" s="1085"/>
      <c r="L1351" s="1085"/>
      <c r="M1351" s="1085"/>
      <c r="N1351" s="1085"/>
      <c r="O1351" s="1085"/>
    </row>
    <row r="1352" spans="1:15" ht="15" customHeight="1">
      <c r="A1352" s="1056" t="s">
        <v>374</v>
      </c>
      <c r="B1352" s="1057" t="s">
        <v>2674</v>
      </c>
      <c r="C1352" s="1058" t="e">
        <f>VLOOKUP(B1344,'LƯƠNG KT'!$D$15:$R$94,12,0)</f>
        <v>#N/A</v>
      </c>
      <c r="D1352" s="1059" t="e">
        <f>VLOOKUP(B1344,'LƯƠNG KT'!$D$15:$R$94,14,0)</f>
        <v>#N/A</v>
      </c>
      <c r="E1352" s="1063"/>
      <c r="F1352" s="1061"/>
      <c r="G1352" s="1056" t="s">
        <v>374</v>
      </c>
      <c r="H1352" s="1057" t="s">
        <v>2674</v>
      </c>
      <c r="I1352" s="1058" t="e">
        <f>VLOOKUP(H1344,'LƯƠNG KT'!$D$15:$R$94,12,0)</f>
        <v>#N/A</v>
      </c>
      <c r="J1352" s="1059" t="e">
        <f>VLOOKUP(H1344,'LƯƠNG KT'!$D$15:$R$94,14,0)</f>
        <v>#N/A</v>
      </c>
      <c r="K1352" s="1085"/>
      <c r="L1352" s="1085"/>
      <c r="M1352" s="1085"/>
      <c r="N1352" s="1085"/>
      <c r="O1352" s="1085"/>
    </row>
    <row r="1353" spans="1:15" ht="15" customHeight="1">
      <c r="A1353" s="1056" t="s">
        <v>2675</v>
      </c>
      <c r="B1353" s="1057" t="s">
        <v>2676</v>
      </c>
      <c r="D1353" s="1064" t="e">
        <f>VLOOKUP(B1344,'LƯƠNG KT'!$D$15:$R$94,13,0)</f>
        <v>#N/A</v>
      </c>
      <c r="E1353" s="1065"/>
      <c r="F1353" s="1065"/>
      <c r="G1353" s="1056" t="s">
        <v>2675</v>
      </c>
      <c r="H1353" s="1057" t="s">
        <v>2676</v>
      </c>
      <c r="J1353" s="1064" t="e">
        <f>VLOOKUP(H1344,'LƯƠNG KT'!$D$15:$R$94,13,0)</f>
        <v>#N/A</v>
      </c>
    </row>
    <row r="1354" spans="1:15" ht="15" customHeight="1">
      <c r="A1354" s="1066"/>
      <c r="B1354" s="869"/>
      <c r="C1354" s="1058"/>
      <c r="D1354" s="1059"/>
      <c r="E1354" s="1063"/>
      <c r="F1354" s="1065"/>
      <c r="G1354" s="1066"/>
      <c r="H1354" s="869"/>
      <c r="I1354" s="1058"/>
      <c r="J1354" s="1059"/>
    </row>
    <row r="1355" spans="1:15" ht="15" customHeight="1">
      <c r="A1355" s="1052"/>
      <c r="B1355" s="869"/>
      <c r="C1355" s="1058"/>
      <c r="D1355" s="1059"/>
      <c r="E1355" s="1067"/>
      <c r="F1355" s="1051"/>
      <c r="G1355" s="1052"/>
      <c r="H1355" s="869"/>
      <c r="I1355" s="1058"/>
      <c r="J1355" s="1059"/>
    </row>
    <row r="1356" spans="1:15" ht="15" customHeight="1">
      <c r="A1356" s="1068" t="s">
        <v>383</v>
      </c>
      <c r="B1356" s="1069" t="s">
        <v>384</v>
      </c>
      <c r="C1356" s="1070"/>
      <c r="D1356" s="1071" t="e">
        <f>SUM(D1345:D1352)-D1355</f>
        <v>#N/A</v>
      </c>
      <c r="E1356" s="1072"/>
      <c r="F1356" s="1073"/>
      <c r="G1356" s="1068" t="s">
        <v>383</v>
      </c>
      <c r="H1356" s="1069" t="s">
        <v>384</v>
      </c>
      <c r="I1356" s="1070"/>
      <c r="J1356" s="1071" t="e">
        <f>SUM(J1345:J1352)-J1355</f>
        <v>#N/A</v>
      </c>
    </row>
    <row r="1357" spans="1:15" ht="18.75" customHeight="1">
      <c r="A1357" s="1074"/>
      <c r="B1357" s="1075"/>
      <c r="C1357" s="1076"/>
      <c r="D1357" s="1077"/>
      <c r="E1357" s="1077"/>
      <c r="F1357" s="1078"/>
      <c r="G1357" s="1074"/>
      <c r="H1357" s="1075"/>
      <c r="I1357" s="1076"/>
      <c r="J1357" s="1077"/>
    </row>
    <row r="1358" spans="1:15" ht="147.75" customHeight="1">
      <c r="A1358" s="1075"/>
      <c r="B1358" s="1075"/>
      <c r="C1358" s="1079"/>
      <c r="D1358" s="1080"/>
      <c r="E1358" s="1075"/>
      <c r="F1358" s="1081"/>
      <c r="G1358" s="1075"/>
      <c r="H1358" s="1075"/>
      <c r="I1358" s="1079"/>
      <c r="J1358" s="1080"/>
    </row>
    <row r="1359" spans="1:15" ht="15" customHeight="1">
      <c r="A1359" s="2242" t="str">
        <f>$K$2</f>
        <v>THÁNG 04/2025</v>
      </c>
      <c r="B1359" s="2242"/>
      <c r="C1359" s="2242"/>
      <c r="D1359" s="2242"/>
      <c r="E1359" s="1050"/>
      <c r="F1359" s="1051"/>
      <c r="G1359" s="2242" t="str">
        <f>$K$2</f>
        <v>THÁNG 04/2025</v>
      </c>
      <c r="H1359" s="2242"/>
      <c r="I1359" s="2242"/>
      <c r="J1359" s="2242"/>
      <c r="K1359" s="624"/>
    </row>
    <row r="1360" spans="1:15" ht="15" customHeight="1">
      <c r="A1360" s="1052" t="s">
        <v>356</v>
      </c>
      <c r="B1360" s="1053" t="s">
        <v>41</v>
      </c>
      <c r="C1360" s="869"/>
      <c r="D1360" s="1049"/>
      <c r="E1360" s="1054"/>
      <c r="F1360" s="1055"/>
      <c r="G1360" s="1052" t="s">
        <v>356</v>
      </c>
      <c r="H1360" s="1053" t="s">
        <v>38</v>
      </c>
      <c r="I1360" s="869"/>
      <c r="J1360" s="1049"/>
      <c r="L1360" s="1088"/>
      <c r="M1360" s="1088"/>
      <c r="N1360" s="1088"/>
      <c r="O1360" s="1088"/>
    </row>
    <row r="1361" spans="1:15" ht="15" customHeight="1">
      <c r="A1361" s="1056" t="s">
        <v>359</v>
      </c>
      <c r="B1361" s="1057" t="s">
        <v>2662</v>
      </c>
      <c r="C1361" s="1058" t="e">
        <f>VLOOKUP(B1360,'LƯƠNG KT'!$D$15:$R$94,4,0)</f>
        <v>#N/A</v>
      </c>
      <c r="D1361" s="1059" t="e">
        <f>+C1361*25000</f>
        <v>#N/A</v>
      </c>
      <c r="E1361" s="1060"/>
      <c r="F1361" s="1060"/>
      <c r="G1361" s="1056" t="s">
        <v>359</v>
      </c>
      <c r="H1361" s="1057" t="s">
        <v>2662</v>
      </c>
      <c r="I1361" s="1058" t="e">
        <f>VLOOKUP(H1360,'LƯƠNG KT'!$D$15:$R$94,4,0)</f>
        <v>#N/A</v>
      </c>
      <c r="J1361" s="1059" t="e">
        <f>+I1361*25000</f>
        <v>#N/A</v>
      </c>
      <c r="K1361" s="1085"/>
      <c r="L1361" s="1085"/>
      <c r="M1361" s="1085"/>
      <c r="N1361" s="1085"/>
      <c r="O1361" s="1085"/>
    </row>
    <row r="1362" spans="1:15" ht="15" customHeight="1">
      <c r="A1362" s="1056" t="s">
        <v>361</v>
      </c>
      <c r="B1362" s="1057" t="s">
        <v>2663</v>
      </c>
      <c r="C1362" s="1058" t="e">
        <f>VLOOKUP(B1360,'LƯƠNG KT'!$D$15:$R$94,15,0)</f>
        <v>#N/A</v>
      </c>
      <c r="D1362" s="1059" t="e">
        <f>C1362*$L$4</f>
        <v>#N/A</v>
      </c>
      <c r="E1362" s="1061"/>
      <c r="F1362" s="1061"/>
      <c r="G1362" s="1056" t="s">
        <v>361</v>
      </c>
      <c r="H1362" s="1057" t="s">
        <v>2663</v>
      </c>
      <c r="I1362" s="1058" t="e">
        <f>VLOOKUP(H1360,'LƯƠNG KT'!$D$15:$R$94,15,0)</f>
        <v>#N/A</v>
      </c>
      <c r="J1362" s="1059" t="e">
        <f>I1362*$L$4</f>
        <v>#N/A</v>
      </c>
      <c r="K1362" s="1085"/>
      <c r="L1362" s="1085"/>
      <c r="M1362" s="1085"/>
      <c r="N1362" s="1085"/>
      <c r="O1362" s="1085"/>
    </row>
    <row r="1363" spans="1:15" ht="15" customHeight="1">
      <c r="A1363" s="1056" t="s">
        <v>364</v>
      </c>
      <c r="B1363" s="1057" t="s">
        <v>2664</v>
      </c>
      <c r="C1363" s="1058" t="e">
        <f>VLOOKUP(B1360,'LƯƠNG KT'!$D$15:$R$94,16,0)</f>
        <v>#N/A</v>
      </c>
      <c r="D1363" s="1059" t="e">
        <f>C1363*$L$5</f>
        <v>#N/A</v>
      </c>
      <c r="E1363" s="1061"/>
      <c r="F1363" s="1061"/>
      <c r="G1363" s="1056" t="s">
        <v>364</v>
      </c>
      <c r="H1363" s="1057" t="s">
        <v>2664</v>
      </c>
      <c r="I1363" s="1058" t="e">
        <f>VLOOKUP(H1360,'LƯƠNG KT'!$D$15:$R$94,16,0)</f>
        <v>#N/A</v>
      </c>
      <c r="J1363" s="1059" t="e">
        <f>I1363*$L$5</f>
        <v>#N/A</v>
      </c>
      <c r="K1363" s="1085"/>
      <c r="L1363" s="1085"/>
      <c r="M1363" s="1085"/>
      <c r="N1363" s="1085"/>
      <c r="O1363" s="1085"/>
    </row>
    <row r="1364" spans="1:15" ht="15" customHeight="1">
      <c r="A1364" s="1056" t="s">
        <v>370</v>
      </c>
      <c r="B1364" s="1057" t="s">
        <v>2665</v>
      </c>
      <c r="C1364" s="1058" t="e">
        <f>VLOOKUP(B1360,'LƯƠNG KT'!$D$15:$R$94,24,0)</f>
        <v>#N/A</v>
      </c>
      <c r="D1364" s="1059" t="e">
        <f>+C1364*$L$6</f>
        <v>#N/A</v>
      </c>
      <c r="E1364" s="1061"/>
      <c r="F1364" s="1061"/>
      <c r="G1364" s="1056" t="s">
        <v>370</v>
      </c>
      <c r="H1364" s="1057" t="s">
        <v>2665</v>
      </c>
      <c r="I1364" s="1058" t="e">
        <f>VLOOKUP(H1360,'LƯƠNG KT'!$D$15:$R$94,24,0)</f>
        <v>#N/A</v>
      </c>
      <c r="J1364" s="1059" t="e">
        <f>+I1364*$L$6</f>
        <v>#N/A</v>
      </c>
      <c r="K1364" s="1085"/>
      <c r="L1364" s="1085"/>
      <c r="M1364" s="1085"/>
      <c r="N1364" s="1085"/>
      <c r="O1364" s="1085"/>
    </row>
    <row r="1365" spans="1:15" ht="15" customHeight="1">
      <c r="A1365" s="1056" t="s">
        <v>2666</v>
      </c>
      <c r="B1365" s="1057" t="s">
        <v>2667</v>
      </c>
      <c r="C1365" s="1058" t="e">
        <f>VLOOKUP(B1360,'LƯƠNG KT'!$D$15:$R$94,19,0)</f>
        <v>#N/A</v>
      </c>
      <c r="D1365" s="1059" t="e">
        <f>+C1365*$L$8</f>
        <v>#N/A</v>
      </c>
      <c r="E1365" s="1061"/>
      <c r="F1365" s="1061"/>
      <c r="G1365" s="1056" t="s">
        <v>2666</v>
      </c>
      <c r="H1365" s="1057" t="s">
        <v>2667</v>
      </c>
      <c r="I1365" s="1058" t="e">
        <f>VLOOKUP(H1360,'LƯƠNG KT'!$D$15:$R$94,19,0)</f>
        <v>#N/A</v>
      </c>
      <c r="J1365" s="1059" t="e">
        <f>+I1365*$L$8</f>
        <v>#N/A</v>
      </c>
      <c r="K1365" s="1085"/>
      <c r="L1365" s="1085"/>
      <c r="M1365" s="1085"/>
      <c r="N1365" s="1085"/>
      <c r="O1365" s="1085"/>
    </row>
    <row r="1366" spans="1:15" ht="15" customHeight="1">
      <c r="A1366" s="1056" t="s">
        <v>2668</v>
      </c>
      <c r="B1366" s="1062" t="s">
        <v>2669</v>
      </c>
      <c r="C1366" s="1058" t="e">
        <f>VLOOKUP(B1360,'LƯƠNG KT'!$D$15:$R$94,20,0)</f>
        <v>#N/A</v>
      </c>
      <c r="D1366" s="1059" t="e">
        <f>+C1366*$L$9</f>
        <v>#N/A</v>
      </c>
      <c r="E1366" s="1061"/>
      <c r="F1366" s="1061"/>
      <c r="G1366" s="1056" t="s">
        <v>2668</v>
      </c>
      <c r="H1366" s="1062" t="s">
        <v>2669</v>
      </c>
      <c r="I1366" s="1058" t="e">
        <f>VLOOKUP(H1360,'LƯƠNG KT'!$D$15:$R$94,20,0)</f>
        <v>#N/A</v>
      </c>
      <c r="J1366" s="1059" t="e">
        <f>+I1366*$L$9</f>
        <v>#N/A</v>
      </c>
      <c r="K1366" s="1085"/>
      <c r="L1366" s="1085"/>
      <c r="M1366" s="1085"/>
      <c r="N1366" s="1085"/>
      <c r="O1366" s="1085"/>
    </row>
    <row r="1367" spans="1:15" ht="15" customHeight="1">
      <c r="A1367" s="1056" t="s">
        <v>2671</v>
      </c>
      <c r="B1367" s="1057" t="s">
        <v>2672</v>
      </c>
      <c r="C1367" s="1058" t="e">
        <f>VLOOKUP(B1360,'LƯƠNG KT'!$D$15:$R$94,17,0)</f>
        <v>#N/A</v>
      </c>
      <c r="D1367" s="1059" t="e">
        <f>+C1367*$L$10</f>
        <v>#N/A</v>
      </c>
      <c r="E1367" s="1061"/>
      <c r="F1367" s="1061"/>
      <c r="G1367" s="1056" t="s">
        <v>2671</v>
      </c>
      <c r="H1367" s="1057" t="s">
        <v>2672</v>
      </c>
      <c r="I1367" s="1058" t="e">
        <f>VLOOKUP(H1360,'LƯƠNG KT'!$D$15:$R$94,17,0)</f>
        <v>#N/A</v>
      </c>
      <c r="J1367" s="1059" t="e">
        <f>+I1367*$L$10</f>
        <v>#N/A</v>
      </c>
      <c r="K1367" s="1085"/>
      <c r="L1367" s="1085"/>
      <c r="M1367" s="1085"/>
      <c r="N1367" s="1085"/>
      <c r="O1367" s="1085"/>
    </row>
    <row r="1368" spans="1:15" ht="15" customHeight="1">
      <c r="A1368" s="1056" t="s">
        <v>374</v>
      </c>
      <c r="B1368" s="1057" t="s">
        <v>2674</v>
      </c>
      <c r="C1368" s="1058" t="e">
        <f>VLOOKUP(B1360,'LƯƠNG KT'!$D$15:$R$94,12,0)</f>
        <v>#N/A</v>
      </c>
      <c r="D1368" s="1059" t="e">
        <f>VLOOKUP(B1360,'LƯƠNG KT'!$D$15:$R$94,14,0)</f>
        <v>#N/A</v>
      </c>
      <c r="E1368" s="1063"/>
      <c r="F1368" s="1061"/>
      <c r="G1368" s="1056" t="s">
        <v>374</v>
      </c>
      <c r="H1368" s="1057" t="s">
        <v>2674</v>
      </c>
      <c r="I1368" s="1058" t="e">
        <f>VLOOKUP(H1360,'LƯƠNG KT'!$D$15:$R$94,12,0)</f>
        <v>#N/A</v>
      </c>
      <c r="J1368" s="1059" t="e">
        <f>VLOOKUP(H1360,'LƯƠNG KT'!$D$15:$R$94,14,0)</f>
        <v>#N/A</v>
      </c>
      <c r="K1368" s="1085"/>
      <c r="L1368" s="1085"/>
      <c r="M1368" s="1085"/>
      <c r="N1368" s="1085"/>
      <c r="O1368" s="1085"/>
    </row>
    <row r="1369" spans="1:15" ht="15" customHeight="1">
      <c r="A1369" s="1056" t="s">
        <v>2675</v>
      </c>
      <c r="B1369" s="1057" t="s">
        <v>2676</v>
      </c>
      <c r="D1369" s="1064" t="e">
        <f>VLOOKUP(B1360,'LƯƠNG KT'!$D$15:$R$94,13,0)</f>
        <v>#N/A</v>
      </c>
      <c r="E1369" s="1065"/>
      <c r="F1369" s="1065"/>
      <c r="G1369" s="1056" t="s">
        <v>2675</v>
      </c>
      <c r="H1369" s="1057" t="s">
        <v>2676</v>
      </c>
      <c r="J1369" s="1064" t="e">
        <f>VLOOKUP(H1360,'LƯƠNG KT'!$D$15:$R$94,13,0)</f>
        <v>#N/A</v>
      </c>
    </row>
    <row r="1370" spans="1:15" ht="15" customHeight="1">
      <c r="A1370" s="1066"/>
      <c r="B1370" s="869"/>
      <c r="C1370" s="1058"/>
      <c r="D1370" s="1059"/>
      <c r="E1370" s="1063"/>
      <c r="F1370" s="1065"/>
      <c r="G1370" s="1066"/>
      <c r="H1370" s="869"/>
      <c r="I1370" s="1058"/>
      <c r="J1370" s="1059"/>
    </row>
    <row r="1371" spans="1:15" ht="15" customHeight="1">
      <c r="A1371" s="1052"/>
      <c r="B1371" s="869"/>
      <c r="C1371" s="1058"/>
      <c r="D1371" s="1059"/>
      <c r="E1371" s="1067"/>
      <c r="F1371" s="1051"/>
      <c r="G1371" s="1052"/>
      <c r="H1371" s="869"/>
      <c r="I1371" s="1058"/>
      <c r="J1371" s="1059"/>
    </row>
    <row r="1372" spans="1:15" ht="15" customHeight="1">
      <c r="A1372" s="1068" t="s">
        <v>383</v>
      </c>
      <c r="B1372" s="1069" t="s">
        <v>384</v>
      </c>
      <c r="C1372" s="1070"/>
      <c r="D1372" s="1071" t="e">
        <f>SUM(D1361:D1368)-D1371</f>
        <v>#N/A</v>
      </c>
      <c r="E1372" s="1072"/>
      <c r="F1372" s="1073"/>
      <c r="G1372" s="1068" t="s">
        <v>383</v>
      </c>
      <c r="H1372" s="1069" t="s">
        <v>384</v>
      </c>
      <c r="I1372" s="1070"/>
      <c r="J1372" s="1071" t="e">
        <f>SUM(J1361:J1368)-J1371</f>
        <v>#N/A</v>
      </c>
    </row>
    <row r="1373" spans="1:15" ht="15.75" customHeight="1">
      <c r="A1373" s="1074"/>
      <c r="B1373" s="1075"/>
      <c r="C1373" s="1076"/>
      <c r="D1373" s="1077"/>
      <c r="E1373" s="1077"/>
      <c r="F1373" s="1078"/>
      <c r="G1373" s="1074"/>
      <c r="H1373" s="1075"/>
      <c r="I1373" s="1076"/>
      <c r="J1373" s="1077"/>
    </row>
    <row r="1375" spans="1:15" ht="12" customHeight="1">
      <c r="A1375" s="2243"/>
      <c r="B1375" s="2243"/>
      <c r="C1375" s="2243"/>
      <c r="D1375" s="2243"/>
      <c r="E1375" s="2243"/>
      <c r="F1375" s="2243"/>
      <c r="G1375" s="2243"/>
      <c r="H1375" s="2243"/>
      <c r="I1375" s="2243"/>
      <c r="J1375" s="2243"/>
    </row>
    <row r="1376" spans="1:15" ht="15" customHeight="1">
      <c r="A1376" s="2242" t="str">
        <f>$K$2</f>
        <v>THÁNG 04/2025</v>
      </c>
      <c r="B1376" s="2242"/>
      <c r="C1376" s="2242"/>
      <c r="D1376" s="2242"/>
      <c r="E1376" s="1050"/>
      <c r="F1376" s="1051"/>
      <c r="G1376" s="2242" t="str">
        <f>$K$2</f>
        <v>THÁNG 04/2025</v>
      </c>
      <c r="H1376" s="2242"/>
      <c r="I1376" s="2242"/>
      <c r="J1376" s="2242"/>
      <c r="K1376" s="624"/>
    </row>
    <row r="1377" spans="1:15" ht="15" customHeight="1">
      <c r="A1377" s="1052" t="s">
        <v>356</v>
      </c>
      <c r="B1377" s="1053" t="s">
        <v>39</v>
      </c>
      <c r="C1377" s="869"/>
      <c r="D1377" s="1049"/>
      <c r="E1377" s="1054"/>
      <c r="F1377" s="1055"/>
      <c r="G1377" s="1052" t="s">
        <v>356</v>
      </c>
      <c r="H1377" s="1053" t="s">
        <v>98</v>
      </c>
      <c r="I1377" s="869"/>
      <c r="J1377" s="1049"/>
      <c r="L1377" s="1088"/>
      <c r="M1377" s="1088"/>
      <c r="N1377" s="1088"/>
      <c r="O1377" s="1088"/>
    </row>
    <row r="1378" spans="1:15" ht="15" customHeight="1">
      <c r="A1378" s="1056" t="s">
        <v>359</v>
      </c>
      <c r="B1378" s="1057" t="s">
        <v>2662</v>
      </c>
      <c r="C1378" s="1058" t="e">
        <f>VLOOKUP(B1377,'LƯƠNG KT'!$D$15:$R$94,4,0)</f>
        <v>#N/A</v>
      </c>
      <c r="D1378" s="1059" t="e">
        <f>+C1378*25000</f>
        <v>#N/A</v>
      </c>
      <c r="E1378" s="1060"/>
      <c r="F1378" s="1060"/>
      <c r="G1378" s="1056" t="s">
        <v>359</v>
      </c>
      <c r="H1378" s="1057" t="s">
        <v>2662</v>
      </c>
      <c r="I1378" s="1058" t="e">
        <f>VLOOKUP(H1377,'LƯƠNG KT'!$D$15:$R$94,4,0)</f>
        <v>#N/A</v>
      </c>
      <c r="J1378" s="1059" t="e">
        <f>+I1378*25000</f>
        <v>#N/A</v>
      </c>
      <c r="K1378" s="1084"/>
      <c r="L1378" s="1085"/>
      <c r="M1378" s="1085"/>
      <c r="N1378" s="1085"/>
      <c r="O1378" s="1085"/>
    </row>
    <row r="1379" spans="1:15" ht="15" customHeight="1">
      <c r="A1379" s="1056" t="s">
        <v>361</v>
      </c>
      <c r="B1379" s="1057" t="s">
        <v>2663</v>
      </c>
      <c r="C1379" s="1058" t="e">
        <f>VLOOKUP(B1377,'LƯƠNG KT'!$D$15:$R$94,15,0)</f>
        <v>#N/A</v>
      </c>
      <c r="D1379" s="1059" t="e">
        <f>C1379*$L$4</f>
        <v>#N/A</v>
      </c>
      <c r="E1379" s="1061"/>
      <c r="F1379" s="1061"/>
      <c r="G1379" s="1056" t="s">
        <v>361</v>
      </c>
      <c r="H1379" s="1057" t="s">
        <v>2663</v>
      </c>
      <c r="I1379" s="1058" t="e">
        <f>VLOOKUP(H1377,'LƯƠNG KT'!$D$15:$R$94,15,0)</f>
        <v>#N/A</v>
      </c>
      <c r="J1379" s="1059" t="e">
        <f>I1379*$L$4</f>
        <v>#N/A</v>
      </c>
      <c r="K1379" s="1084"/>
      <c r="L1379" s="1085"/>
      <c r="M1379" s="1085"/>
      <c r="N1379" s="1085"/>
      <c r="O1379" s="1085"/>
    </row>
    <row r="1380" spans="1:15" ht="15" customHeight="1">
      <c r="A1380" s="1056" t="s">
        <v>364</v>
      </c>
      <c r="B1380" s="1057" t="s">
        <v>2664</v>
      </c>
      <c r="C1380" s="1058" t="e">
        <f>VLOOKUP(B1377,'LƯƠNG KT'!$D$15:$R$94,16,0)</f>
        <v>#N/A</v>
      </c>
      <c r="D1380" s="1059" t="e">
        <f>C1380*$L$5</f>
        <v>#N/A</v>
      </c>
      <c r="E1380" s="1061"/>
      <c r="F1380" s="1061"/>
      <c r="G1380" s="1056" t="s">
        <v>364</v>
      </c>
      <c r="H1380" s="1057" t="s">
        <v>2664</v>
      </c>
      <c r="I1380" s="1058" t="e">
        <f>VLOOKUP(H1377,'LƯƠNG KT'!$D$15:$R$94,16,0)</f>
        <v>#N/A</v>
      </c>
      <c r="J1380" s="1059" t="e">
        <f>I1380*$L$5</f>
        <v>#N/A</v>
      </c>
      <c r="K1380" s="1084"/>
      <c r="L1380" s="1085"/>
      <c r="M1380" s="1085"/>
      <c r="N1380" s="1085"/>
      <c r="O1380" s="1085"/>
    </row>
    <row r="1381" spans="1:15" ht="15" customHeight="1">
      <c r="A1381" s="1056" t="s">
        <v>370</v>
      </c>
      <c r="B1381" s="1057" t="s">
        <v>2665</v>
      </c>
      <c r="C1381" s="1058" t="e">
        <f>VLOOKUP(B1377,'LƯƠNG KT'!$D$15:$R$94,24,0)</f>
        <v>#N/A</v>
      </c>
      <c r="D1381" s="1059" t="e">
        <f>+C1381*$L$6</f>
        <v>#N/A</v>
      </c>
      <c r="E1381" s="1061"/>
      <c r="F1381" s="1061"/>
      <c r="G1381" s="1056" t="s">
        <v>370</v>
      </c>
      <c r="H1381" s="1057" t="s">
        <v>2665</v>
      </c>
      <c r="I1381" s="1058" t="e">
        <f>VLOOKUP(H1377,'LƯƠNG KT'!$D$15:$R$94,24,0)</f>
        <v>#N/A</v>
      </c>
      <c r="J1381" s="1059" t="e">
        <f>+I1381*$L$6</f>
        <v>#N/A</v>
      </c>
      <c r="K1381" s="1085"/>
      <c r="L1381" s="1085"/>
      <c r="M1381" s="1085"/>
      <c r="N1381" s="1085"/>
      <c r="O1381" s="1085"/>
    </row>
    <row r="1382" spans="1:15" ht="15" customHeight="1">
      <c r="A1382" s="1056" t="s">
        <v>2666</v>
      </c>
      <c r="B1382" s="1057" t="s">
        <v>2667</v>
      </c>
      <c r="C1382" s="1058" t="e">
        <f>VLOOKUP(B1377,'LƯƠNG KT'!$D$15:$R$94,19,0)</f>
        <v>#N/A</v>
      </c>
      <c r="D1382" s="1059" t="e">
        <f>+C1382*$L$8</f>
        <v>#N/A</v>
      </c>
      <c r="E1382" s="1061"/>
      <c r="F1382" s="1061"/>
      <c r="G1382" s="1056" t="s">
        <v>2666</v>
      </c>
      <c r="H1382" s="1057" t="s">
        <v>2667</v>
      </c>
      <c r="I1382" s="1058" t="e">
        <f>VLOOKUP(H1377,'LƯƠNG KT'!$D$15:$R$94,19,0)</f>
        <v>#N/A</v>
      </c>
      <c r="J1382" s="1059" t="e">
        <f>+I1382*$L$8</f>
        <v>#N/A</v>
      </c>
      <c r="K1382" s="1085"/>
      <c r="L1382" s="1085"/>
      <c r="M1382" s="1085"/>
      <c r="N1382" s="1085"/>
      <c r="O1382" s="1085"/>
    </row>
    <row r="1383" spans="1:15" ht="15" customHeight="1">
      <c r="A1383" s="1056" t="s">
        <v>2668</v>
      </c>
      <c r="B1383" s="1062" t="s">
        <v>2669</v>
      </c>
      <c r="C1383" s="1058" t="e">
        <f>VLOOKUP(B1377,'LƯƠNG KT'!$D$15:$R$94,20,0)</f>
        <v>#N/A</v>
      </c>
      <c r="D1383" s="1059" t="e">
        <f>+C1383*$L$9</f>
        <v>#N/A</v>
      </c>
      <c r="E1383" s="1061"/>
      <c r="F1383" s="1061"/>
      <c r="G1383" s="1056" t="s">
        <v>2668</v>
      </c>
      <c r="H1383" s="1062" t="s">
        <v>2669</v>
      </c>
      <c r="I1383" s="1058" t="e">
        <f>VLOOKUP(H1377,'LƯƠNG KT'!$D$15:$R$94,20,0)</f>
        <v>#N/A</v>
      </c>
      <c r="J1383" s="1059" t="e">
        <f>+I1383*$L$9</f>
        <v>#N/A</v>
      </c>
      <c r="K1383" s="1085"/>
      <c r="L1383" s="1085"/>
      <c r="M1383" s="1085"/>
      <c r="N1383" s="1085"/>
      <c r="O1383" s="1085"/>
    </row>
    <row r="1384" spans="1:15" ht="15" customHeight="1">
      <c r="A1384" s="1056" t="s">
        <v>2671</v>
      </c>
      <c r="B1384" s="1057" t="s">
        <v>2672</v>
      </c>
      <c r="C1384" s="1058" t="e">
        <f>VLOOKUP(B1377,'LƯƠNG KT'!$D$15:$R$94,17,0)</f>
        <v>#N/A</v>
      </c>
      <c r="D1384" s="1059" t="e">
        <f>+C1384*$L$10</f>
        <v>#N/A</v>
      </c>
      <c r="E1384" s="1061"/>
      <c r="F1384" s="1061"/>
      <c r="G1384" s="1056" t="s">
        <v>2671</v>
      </c>
      <c r="H1384" s="1057" t="s">
        <v>2672</v>
      </c>
      <c r="I1384" s="1058" t="e">
        <f>VLOOKUP(H1377,'LƯƠNG KT'!$D$15:$R$94,17,0)</f>
        <v>#N/A</v>
      </c>
      <c r="J1384" s="1059" t="e">
        <f>+I1384*$L$10</f>
        <v>#N/A</v>
      </c>
      <c r="K1384" s="1085"/>
      <c r="L1384" s="1085"/>
      <c r="M1384" s="1085"/>
      <c r="N1384" s="1085"/>
      <c r="O1384" s="1085"/>
    </row>
    <row r="1385" spans="1:15" ht="15" customHeight="1">
      <c r="A1385" s="1056" t="s">
        <v>374</v>
      </c>
      <c r="B1385" s="1057" t="s">
        <v>2674</v>
      </c>
      <c r="C1385" s="1058" t="e">
        <f>VLOOKUP(B1377,'LƯƠNG KT'!$D$15:$R$94,12,0)</f>
        <v>#N/A</v>
      </c>
      <c r="D1385" s="1059" t="e">
        <f>VLOOKUP(B1377,'LƯƠNG KT'!$D$15:$R$94,14,0)</f>
        <v>#N/A</v>
      </c>
      <c r="E1385" s="1063"/>
      <c r="F1385" s="1061"/>
      <c r="G1385" s="1056" t="s">
        <v>374</v>
      </c>
      <c r="H1385" s="1057" t="s">
        <v>2674</v>
      </c>
      <c r="I1385" s="1058" t="e">
        <f>VLOOKUP(H1377,'LƯƠNG KT'!$D$15:$R$94,12,0)</f>
        <v>#N/A</v>
      </c>
      <c r="J1385" s="1059" t="e">
        <f>VLOOKUP(H1377,'LƯƠNG KT'!$D$15:$R$94,14,0)</f>
        <v>#N/A</v>
      </c>
      <c r="K1385" s="1085"/>
      <c r="L1385" s="1085"/>
      <c r="M1385" s="1085"/>
      <c r="N1385" s="1085"/>
      <c r="O1385" s="1085"/>
    </row>
    <row r="1386" spans="1:15" ht="15" customHeight="1">
      <c r="A1386" s="1056" t="s">
        <v>2675</v>
      </c>
      <c r="B1386" s="1057" t="s">
        <v>2676</v>
      </c>
      <c r="D1386" s="1064" t="e">
        <f>VLOOKUP(B1377,'LƯƠNG KT'!$D$15:$R$94,13,0)</f>
        <v>#N/A</v>
      </c>
      <c r="E1386" s="1065"/>
      <c r="F1386" s="1065"/>
      <c r="G1386" s="1056" t="s">
        <v>2675</v>
      </c>
      <c r="H1386" s="1057" t="s">
        <v>2676</v>
      </c>
      <c r="J1386" s="1064" t="e">
        <f>VLOOKUP(H1377,'LƯƠNG KT'!$D$15:$R$94,13,0)</f>
        <v>#N/A</v>
      </c>
    </row>
    <row r="1387" spans="1:15" ht="15" customHeight="1">
      <c r="A1387" s="1066"/>
      <c r="B1387" s="869"/>
      <c r="C1387" s="1058"/>
      <c r="D1387" s="1059"/>
      <c r="E1387" s="1063"/>
      <c r="F1387" s="1065"/>
      <c r="G1387" s="1066"/>
      <c r="H1387" s="869"/>
      <c r="I1387" s="1058"/>
      <c r="J1387" s="1059"/>
    </row>
    <row r="1388" spans="1:15" ht="15" customHeight="1">
      <c r="A1388" s="1052"/>
      <c r="B1388" s="869"/>
      <c r="C1388" s="1058"/>
      <c r="D1388" s="1059"/>
      <c r="E1388" s="1067"/>
      <c r="F1388" s="1051"/>
      <c r="G1388" s="1052"/>
      <c r="H1388" s="869"/>
      <c r="I1388" s="1058"/>
      <c r="J1388" s="1059"/>
    </row>
    <row r="1389" spans="1:15" ht="15" customHeight="1">
      <c r="A1389" s="1068" t="s">
        <v>383</v>
      </c>
      <c r="B1389" s="1069" t="s">
        <v>384</v>
      </c>
      <c r="C1389" s="1070"/>
      <c r="D1389" s="1071" t="e">
        <f>SUM(D1378:D1385)-D1388</f>
        <v>#N/A</v>
      </c>
      <c r="E1389" s="1072"/>
      <c r="F1389" s="1073"/>
      <c r="G1389" s="1068" t="s">
        <v>383</v>
      </c>
      <c r="H1389" s="1069" t="s">
        <v>384</v>
      </c>
      <c r="I1389" s="1070"/>
      <c r="J1389" s="1071" t="e">
        <f>SUM(J1378:J1385)-J1388</f>
        <v>#N/A</v>
      </c>
    </row>
    <row r="1390" spans="1:15" ht="12.6" customHeight="1">
      <c r="A1390" s="1074"/>
      <c r="B1390" s="1075"/>
      <c r="C1390" s="1076"/>
      <c r="D1390" s="1077"/>
      <c r="E1390" s="1077"/>
      <c r="F1390" s="1078"/>
      <c r="G1390" s="1074"/>
      <c r="H1390" s="1075"/>
      <c r="I1390" s="1076"/>
      <c r="J1390" s="1077"/>
    </row>
    <row r="1391" spans="1:15" ht="12.6" customHeight="1">
      <c r="A1391" s="1075"/>
      <c r="B1391" s="1075"/>
      <c r="C1391" s="1079"/>
      <c r="D1391" s="1080"/>
      <c r="E1391" s="1075"/>
      <c r="F1391" s="1081"/>
      <c r="G1391" s="1075"/>
      <c r="H1391" s="1075"/>
      <c r="I1391" s="1079"/>
      <c r="J1391" s="1080"/>
    </row>
    <row r="1392" spans="1:15" ht="15" customHeight="1">
      <c r="A1392" s="2242" t="str">
        <f>$K$2</f>
        <v>THÁNG 04/2025</v>
      </c>
      <c r="B1392" s="2242"/>
      <c r="C1392" s="2242"/>
      <c r="D1392" s="2242"/>
      <c r="E1392" s="1050"/>
      <c r="F1392" s="1051"/>
      <c r="G1392" s="2242" t="str">
        <f>$K$2</f>
        <v>THÁNG 04/2025</v>
      </c>
      <c r="H1392" s="2242"/>
      <c r="I1392" s="2242"/>
      <c r="J1392" s="2242"/>
      <c r="K1392" s="624"/>
    </row>
    <row r="1393" spans="1:15" ht="15" customHeight="1">
      <c r="A1393" s="1052" t="s">
        <v>356</v>
      </c>
      <c r="B1393" s="1053" t="s">
        <v>2649</v>
      </c>
      <c r="C1393" s="869"/>
      <c r="D1393" s="1049"/>
      <c r="E1393" s="1054"/>
      <c r="F1393" s="1055"/>
      <c r="G1393" s="1052" t="s">
        <v>356</v>
      </c>
      <c r="H1393" s="1053" t="s">
        <v>29</v>
      </c>
      <c r="I1393" s="869"/>
      <c r="J1393" s="1049"/>
      <c r="L1393" s="1088"/>
      <c r="M1393" s="1088"/>
      <c r="N1393" s="1088"/>
      <c r="O1393" s="1088"/>
    </row>
    <row r="1394" spans="1:15" ht="15" customHeight="1">
      <c r="A1394" s="1056" t="s">
        <v>359</v>
      </c>
      <c r="B1394" s="1057" t="s">
        <v>2662</v>
      </c>
      <c r="C1394" s="1058" t="e">
        <f>VLOOKUP(B1393,'LƯƠNG KT'!$D$15:$R$94,4,0)</f>
        <v>#N/A</v>
      </c>
      <c r="D1394" s="1059" t="e">
        <f>+C1394*25000</f>
        <v>#N/A</v>
      </c>
      <c r="E1394" s="1060"/>
      <c r="F1394" s="1060"/>
      <c r="G1394" s="1056" t="s">
        <v>359</v>
      </c>
      <c r="H1394" s="1057" t="s">
        <v>2662</v>
      </c>
      <c r="I1394" s="1058" t="e">
        <f>VLOOKUP(H1393,'LƯƠNG KT'!$D$15:$R$94,4,0)</f>
        <v>#N/A</v>
      </c>
      <c r="J1394" s="1059" t="e">
        <f>+I1394*25000</f>
        <v>#N/A</v>
      </c>
      <c r="K1394" s="1085"/>
      <c r="L1394" s="1085"/>
      <c r="M1394" s="1085"/>
      <c r="N1394" s="1085"/>
      <c r="O1394" s="1085"/>
    </row>
    <row r="1395" spans="1:15" ht="15" customHeight="1">
      <c r="A1395" s="1056" t="s">
        <v>361</v>
      </c>
      <c r="B1395" s="1057" t="s">
        <v>2663</v>
      </c>
      <c r="C1395" s="1058" t="e">
        <f>VLOOKUP(B1393,'LƯƠNG KT'!$D$15:$R$94,15,0)</f>
        <v>#N/A</v>
      </c>
      <c r="D1395" s="1059" t="e">
        <f>C1395*$L$4</f>
        <v>#N/A</v>
      </c>
      <c r="E1395" s="1061"/>
      <c r="F1395" s="1061"/>
      <c r="G1395" s="1056" t="s">
        <v>361</v>
      </c>
      <c r="H1395" s="1057" t="s">
        <v>2663</v>
      </c>
      <c r="I1395" s="1058" t="e">
        <f>VLOOKUP(H1393,'LƯƠNG KT'!$D$15:$R$94,15,0)</f>
        <v>#N/A</v>
      </c>
      <c r="J1395" s="1059" t="e">
        <f>I1395*$L$4</f>
        <v>#N/A</v>
      </c>
      <c r="K1395" s="1085"/>
      <c r="L1395" s="1085"/>
      <c r="M1395" s="1085"/>
      <c r="N1395" s="1085"/>
      <c r="O1395" s="1085"/>
    </row>
    <row r="1396" spans="1:15" ht="15" customHeight="1">
      <c r="A1396" s="1056" t="s">
        <v>364</v>
      </c>
      <c r="B1396" s="1057" t="s">
        <v>2664</v>
      </c>
      <c r="C1396" s="1058" t="e">
        <f>VLOOKUP(B1393,'LƯƠNG KT'!$D$15:$R$94,16,0)</f>
        <v>#N/A</v>
      </c>
      <c r="D1396" s="1059" t="e">
        <f>C1396*$L$5</f>
        <v>#N/A</v>
      </c>
      <c r="E1396" s="1061"/>
      <c r="F1396" s="1061"/>
      <c r="G1396" s="1056" t="s">
        <v>364</v>
      </c>
      <c r="H1396" s="1057" t="s">
        <v>2664</v>
      </c>
      <c r="I1396" s="1058" t="e">
        <f>VLOOKUP(H1393,'LƯƠNG KT'!$D$15:$R$94,16,0)</f>
        <v>#N/A</v>
      </c>
      <c r="J1396" s="1059" t="e">
        <f>I1396*$L$5</f>
        <v>#N/A</v>
      </c>
      <c r="K1396" s="1085"/>
      <c r="L1396" s="1085"/>
      <c r="M1396" s="1085"/>
      <c r="N1396" s="1085"/>
      <c r="O1396" s="1085"/>
    </row>
    <row r="1397" spans="1:15" ht="15" customHeight="1">
      <c r="A1397" s="1056" t="s">
        <v>370</v>
      </c>
      <c r="B1397" s="1057" t="s">
        <v>2665</v>
      </c>
      <c r="C1397" s="1058" t="e">
        <f>VLOOKUP(B1393,'LƯƠNG KT'!$D$15:$R$94,24,0)</f>
        <v>#N/A</v>
      </c>
      <c r="D1397" s="1059" t="e">
        <f>+C1397*$L$6</f>
        <v>#N/A</v>
      </c>
      <c r="E1397" s="1061"/>
      <c r="F1397" s="1061"/>
      <c r="G1397" s="1056" t="s">
        <v>370</v>
      </c>
      <c r="H1397" s="1057" t="s">
        <v>2665</v>
      </c>
      <c r="I1397" s="1058" t="e">
        <f>VLOOKUP(H1393,'LƯƠNG KT'!$D$15:$R$94,24,0)</f>
        <v>#N/A</v>
      </c>
      <c r="J1397" s="1059" t="e">
        <f>+I1397*$L$6</f>
        <v>#N/A</v>
      </c>
      <c r="K1397" s="1085"/>
      <c r="L1397" s="1085"/>
      <c r="M1397" s="1085"/>
      <c r="N1397" s="1085"/>
      <c r="O1397" s="1085"/>
    </row>
    <row r="1398" spans="1:15" ht="15" customHeight="1">
      <c r="A1398" s="1056" t="s">
        <v>2666</v>
      </c>
      <c r="B1398" s="1057" t="s">
        <v>2667</v>
      </c>
      <c r="C1398" s="1058" t="e">
        <f>VLOOKUP(B1393,'LƯƠNG KT'!$D$15:$R$94,19,0)</f>
        <v>#N/A</v>
      </c>
      <c r="D1398" s="1059" t="e">
        <f>+C1398*$L$8</f>
        <v>#N/A</v>
      </c>
      <c r="E1398" s="1061"/>
      <c r="F1398" s="1061"/>
      <c r="G1398" s="1056" t="s">
        <v>2666</v>
      </c>
      <c r="H1398" s="1057" t="s">
        <v>2667</v>
      </c>
      <c r="I1398" s="1058" t="e">
        <f>VLOOKUP(H1393,'LƯƠNG KT'!$D$15:$R$94,19,0)</f>
        <v>#N/A</v>
      </c>
      <c r="J1398" s="1059" t="e">
        <f>+I1398*$L$8</f>
        <v>#N/A</v>
      </c>
      <c r="K1398" s="1085"/>
      <c r="L1398" s="1085"/>
      <c r="M1398" s="1085"/>
      <c r="N1398" s="1085"/>
      <c r="O1398" s="1085"/>
    </row>
    <row r="1399" spans="1:15" ht="15" customHeight="1">
      <c r="A1399" s="1056" t="s">
        <v>2668</v>
      </c>
      <c r="B1399" s="1062" t="s">
        <v>2669</v>
      </c>
      <c r="C1399" s="1058" t="e">
        <f>VLOOKUP(B1393,'LƯƠNG KT'!$D$15:$R$94,20,0)</f>
        <v>#N/A</v>
      </c>
      <c r="D1399" s="1059" t="e">
        <f>+C1399*$L$9</f>
        <v>#N/A</v>
      </c>
      <c r="E1399" s="1061"/>
      <c r="F1399" s="1061"/>
      <c r="G1399" s="1056" t="s">
        <v>2668</v>
      </c>
      <c r="H1399" s="1062" t="s">
        <v>2669</v>
      </c>
      <c r="I1399" s="1058" t="e">
        <f>VLOOKUP(H1393,'LƯƠNG KT'!$D$15:$R$94,20,0)</f>
        <v>#N/A</v>
      </c>
      <c r="J1399" s="1059" t="e">
        <f>+I1399*$L$9</f>
        <v>#N/A</v>
      </c>
      <c r="K1399" s="1085"/>
      <c r="L1399" s="1085"/>
      <c r="M1399" s="1085"/>
      <c r="N1399" s="1085"/>
      <c r="O1399" s="1085"/>
    </row>
    <row r="1400" spans="1:15" ht="15" customHeight="1">
      <c r="A1400" s="1056" t="s">
        <v>2671</v>
      </c>
      <c r="B1400" s="1057" t="s">
        <v>2672</v>
      </c>
      <c r="C1400" s="1058" t="e">
        <f>VLOOKUP(B1393,'LƯƠNG KT'!$D$15:$R$94,17,0)</f>
        <v>#N/A</v>
      </c>
      <c r="D1400" s="1059" t="e">
        <f>+C1400*$L$10</f>
        <v>#N/A</v>
      </c>
      <c r="E1400" s="1061"/>
      <c r="F1400" s="1061"/>
      <c r="G1400" s="1056" t="s">
        <v>2671</v>
      </c>
      <c r="H1400" s="1057" t="s">
        <v>2672</v>
      </c>
      <c r="I1400" s="1058" t="e">
        <f>VLOOKUP(H1393,'LƯƠNG KT'!$D$15:$R$94,17,0)</f>
        <v>#N/A</v>
      </c>
      <c r="J1400" s="1059" t="e">
        <f>+I1400*$L$10</f>
        <v>#N/A</v>
      </c>
      <c r="K1400" s="1085"/>
      <c r="L1400" s="1085"/>
      <c r="M1400" s="1085"/>
      <c r="N1400" s="1085"/>
      <c r="O1400" s="1085"/>
    </row>
    <row r="1401" spans="1:15" ht="15" customHeight="1">
      <c r="A1401" s="1056" t="s">
        <v>374</v>
      </c>
      <c r="B1401" s="1057" t="s">
        <v>2674</v>
      </c>
      <c r="C1401" s="1058" t="e">
        <f>VLOOKUP(B1393,'LƯƠNG KT'!$D$15:$R$94,12,0)</f>
        <v>#N/A</v>
      </c>
      <c r="D1401" s="1059" t="e">
        <f>VLOOKUP(B1393,'LƯƠNG KT'!$D$15:$R$94,14,0)</f>
        <v>#N/A</v>
      </c>
      <c r="E1401" s="1063"/>
      <c r="F1401" s="1061"/>
      <c r="G1401" s="1056" t="s">
        <v>374</v>
      </c>
      <c r="H1401" s="1057" t="s">
        <v>2674</v>
      </c>
      <c r="I1401" s="1058" t="e">
        <f>VLOOKUP(H1393,'LƯƠNG KT'!$D$15:$R$94,12,0)</f>
        <v>#N/A</v>
      </c>
      <c r="J1401" s="1059" t="e">
        <f>VLOOKUP(H1393,'LƯƠNG KT'!$D$15:$R$94,14,0)</f>
        <v>#N/A</v>
      </c>
      <c r="K1401" s="1085"/>
      <c r="L1401" s="1085"/>
      <c r="M1401" s="1085"/>
      <c r="N1401" s="1085"/>
      <c r="O1401" s="1085"/>
    </row>
    <row r="1402" spans="1:15" ht="15" customHeight="1">
      <c r="A1402" s="1056" t="s">
        <v>2675</v>
      </c>
      <c r="B1402" s="1057" t="s">
        <v>2676</v>
      </c>
      <c r="D1402" s="1064" t="e">
        <f>VLOOKUP(B1393,'LƯƠNG KT'!$D$15:$R$94,13,0)</f>
        <v>#N/A</v>
      </c>
      <c r="E1402" s="1065"/>
      <c r="F1402" s="1065"/>
      <c r="G1402" s="1056" t="s">
        <v>2675</v>
      </c>
      <c r="H1402" s="1057" t="s">
        <v>2676</v>
      </c>
      <c r="J1402" s="1064" t="e">
        <f>VLOOKUP(H1393,'LƯƠNG KT'!$D$15:$R$94,13,0)</f>
        <v>#N/A</v>
      </c>
    </row>
    <row r="1403" spans="1:15" ht="15" customHeight="1">
      <c r="A1403" s="1066"/>
      <c r="B1403" s="869"/>
      <c r="C1403" s="1058"/>
      <c r="D1403" s="1059"/>
      <c r="E1403" s="1063"/>
      <c r="F1403" s="1065"/>
      <c r="G1403" s="1066"/>
      <c r="H1403" s="869"/>
      <c r="I1403" s="1058"/>
      <c r="J1403" s="1059"/>
    </row>
    <row r="1404" spans="1:15" ht="15" customHeight="1">
      <c r="A1404" s="1052"/>
      <c r="B1404" s="869"/>
      <c r="C1404" s="1058"/>
      <c r="D1404" s="1059"/>
      <c r="E1404" s="1067"/>
      <c r="F1404" s="1051"/>
      <c r="G1404" s="1052"/>
      <c r="H1404" s="869"/>
      <c r="I1404" s="1058"/>
      <c r="J1404" s="1059"/>
    </row>
    <row r="1405" spans="1:15" ht="15" customHeight="1">
      <c r="A1405" s="1068" t="s">
        <v>383</v>
      </c>
      <c r="B1405" s="1069" t="s">
        <v>384</v>
      </c>
      <c r="C1405" s="1070"/>
      <c r="D1405" s="1071" t="e">
        <f>SUM(D1394:D1401)-D1404</f>
        <v>#N/A</v>
      </c>
      <c r="E1405" s="1072"/>
      <c r="F1405" s="1073"/>
      <c r="G1405" s="1068" t="s">
        <v>383</v>
      </c>
      <c r="H1405" s="1069" t="s">
        <v>384</v>
      </c>
      <c r="I1405" s="1070"/>
      <c r="J1405" s="1071" t="e">
        <f>SUM(J1394:J1401)-J1404</f>
        <v>#N/A</v>
      </c>
    </row>
    <row r="1406" spans="1:15" ht="18.75" customHeight="1">
      <c r="A1406" s="1074"/>
      <c r="B1406" s="1075"/>
      <c r="C1406" s="1076"/>
      <c r="D1406" s="1077"/>
      <c r="E1406" s="1077"/>
      <c r="F1406" s="1078"/>
      <c r="G1406" s="1074"/>
      <c r="H1406" s="1075"/>
      <c r="I1406" s="1076"/>
      <c r="J1406" s="1077"/>
    </row>
    <row r="1407" spans="1:15" ht="120" customHeight="1">
      <c r="A1407" s="1075"/>
      <c r="B1407" s="1075"/>
      <c r="C1407" s="1079"/>
      <c r="D1407" s="1080"/>
      <c r="E1407" s="1075"/>
      <c r="F1407" s="1081"/>
      <c r="G1407" s="1075"/>
      <c r="H1407" s="1075"/>
      <c r="I1407" s="1079"/>
      <c r="J1407" s="1080"/>
    </row>
    <row r="1408" spans="1:15" ht="15" customHeight="1">
      <c r="A1408" s="2242" t="str">
        <f>$K$2</f>
        <v>THÁNG 04/2025</v>
      </c>
      <c r="B1408" s="2242"/>
      <c r="C1408" s="2242"/>
      <c r="D1408" s="2242"/>
      <c r="E1408" s="1050"/>
      <c r="F1408" s="1051"/>
      <c r="G1408" s="2242" t="str">
        <f>$K$2</f>
        <v>THÁNG 04/2025</v>
      </c>
      <c r="H1408" s="2242"/>
      <c r="I1408" s="2242"/>
      <c r="J1408" s="2242"/>
      <c r="K1408" s="624"/>
    </row>
    <row r="1409" spans="1:15" ht="15" customHeight="1">
      <c r="A1409" s="1052" t="s">
        <v>356</v>
      </c>
      <c r="B1409" s="1053" t="s">
        <v>2064</v>
      </c>
      <c r="C1409" s="869"/>
      <c r="D1409" s="1049"/>
      <c r="E1409" s="1054"/>
      <c r="F1409" s="1055"/>
      <c r="G1409" s="1052" t="s">
        <v>356</v>
      </c>
      <c r="H1409" s="1053" t="s">
        <v>100</v>
      </c>
      <c r="I1409" s="869"/>
      <c r="J1409" s="1049"/>
      <c r="L1409" s="1088"/>
      <c r="M1409" s="1088"/>
      <c r="N1409" s="1088"/>
      <c r="O1409" s="1088"/>
    </row>
    <row r="1410" spans="1:15" ht="15" customHeight="1">
      <c r="A1410" s="1056" t="s">
        <v>359</v>
      </c>
      <c r="B1410" s="1057" t="s">
        <v>2662</v>
      </c>
      <c r="C1410" s="1058" t="e">
        <f>VLOOKUP(B1409,'LƯƠNG KT'!$D$15:$R$94,4,0)</f>
        <v>#N/A</v>
      </c>
      <c r="D1410" s="1059" t="e">
        <f>+C1410*25000</f>
        <v>#N/A</v>
      </c>
      <c r="E1410" s="1060"/>
      <c r="F1410" s="1060"/>
      <c r="G1410" s="1056" t="s">
        <v>359</v>
      </c>
      <c r="H1410" s="1057" t="s">
        <v>2662</v>
      </c>
      <c r="I1410" s="1058" t="e">
        <f>VLOOKUP(H1409,'LƯƠNG KT'!$D$15:$R$94,4,0)</f>
        <v>#N/A</v>
      </c>
      <c r="J1410" s="1059" t="e">
        <f>+I1410*25000</f>
        <v>#N/A</v>
      </c>
      <c r="K1410" s="1085"/>
      <c r="L1410" s="1085"/>
      <c r="M1410" s="1085"/>
      <c r="N1410" s="1085"/>
      <c r="O1410" s="1085"/>
    </row>
    <row r="1411" spans="1:15" ht="15" customHeight="1">
      <c r="A1411" s="1056" t="s">
        <v>361</v>
      </c>
      <c r="B1411" s="1057" t="s">
        <v>2663</v>
      </c>
      <c r="C1411" s="1058" t="e">
        <f>VLOOKUP(B1409,'LƯƠNG KT'!$D$15:$R$94,15,0)</f>
        <v>#N/A</v>
      </c>
      <c r="D1411" s="1059" t="e">
        <f>C1411*$L$4</f>
        <v>#N/A</v>
      </c>
      <c r="E1411" s="1061"/>
      <c r="F1411" s="1061"/>
      <c r="G1411" s="1056" t="s">
        <v>361</v>
      </c>
      <c r="H1411" s="1057" t="s">
        <v>2663</v>
      </c>
      <c r="I1411" s="1058" t="e">
        <f>VLOOKUP(H1409,'LƯƠNG KT'!$D$15:$R$94,15,0)</f>
        <v>#N/A</v>
      </c>
      <c r="J1411" s="1059" t="e">
        <f>I1411*$L$4</f>
        <v>#N/A</v>
      </c>
      <c r="K1411" s="1085"/>
      <c r="L1411" s="1085"/>
      <c r="M1411" s="1085"/>
      <c r="N1411" s="1085"/>
      <c r="O1411" s="1085"/>
    </row>
    <row r="1412" spans="1:15" ht="15" customHeight="1">
      <c r="A1412" s="1056" t="s">
        <v>364</v>
      </c>
      <c r="B1412" s="1057" t="s">
        <v>2664</v>
      </c>
      <c r="C1412" s="1058" t="e">
        <f>VLOOKUP(B1409,'LƯƠNG KT'!$D$15:$R$94,16,0)</f>
        <v>#N/A</v>
      </c>
      <c r="D1412" s="1059" t="e">
        <f>C1412*$L$5</f>
        <v>#N/A</v>
      </c>
      <c r="E1412" s="1061"/>
      <c r="F1412" s="1061"/>
      <c r="G1412" s="1056" t="s">
        <v>364</v>
      </c>
      <c r="H1412" s="1057" t="s">
        <v>2664</v>
      </c>
      <c r="I1412" s="1058" t="e">
        <f>VLOOKUP(H1409,'LƯƠNG KT'!$D$15:$R$94,16,0)</f>
        <v>#N/A</v>
      </c>
      <c r="J1412" s="1059" t="e">
        <f>I1412*$L$5</f>
        <v>#N/A</v>
      </c>
      <c r="K1412" s="1085"/>
      <c r="L1412" s="1085"/>
      <c r="M1412" s="1085"/>
      <c r="N1412" s="1085"/>
      <c r="O1412" s="1085"/>
    </row>
    <row r="1413" spans="1:15" ht="15" customHeight="1">
      <c r="A1413" s="1056" t="s">
        <v>370</v>
      </c>
      <c r="B1413" s="1057" t="s">
        <v>2665</v>
      </c>
      <c r="C1413" s="1058" t="e">
        <f>VLOOKUP(B1409,'LƯƠNG KT'!$D$15:$R$94,24,0)</f>
        <v>#N/A</v>
      </c>
      <c r="D1413" s="1059" t="e">
        <f>+C1413*$L$6</f>
        <v>#N/A</v>
      </c>
      <c r="E1413" s="1061"/>
      <c r="F1413" s="1061"/>
      <c r="G1413" s="1056" t="s">
        <v>370</v>
      </c>
      <c r="H1413" s="1057" t="s">
        <v>2665</v>
      </c>
      <c r="I1413" s="1058" t="e">
        <f>VLOOKUP(H1409,'LƯƠNG KT'!$D$15:$R$94,24,0)</f>
        <v>#N/A</v>
      </c>
      <c r="J1413" s="1059" t="e">
        <f>+I1413*$L$6</f>
        <v>#N/A</v>
      </c>
      <c r="K1413" s="1085"/>
      <c r="L1413" s="1085"/>
      <c r="M1413" s="1085"/>
      <c r="N1413" s="1085"/>
      <c r="O1413" s="1085"/>
    </row>
    <row r="1414" spans="1:15" ht="15" customHeight="1">
      <c r="A1414" s="1056" t="s">
        <v>2666</v>
      </c>
      <c r="B1414" s="1057" t="s">
        <v>2667</v>
      </c>
      <c r="C1414" s="1058" t="e">
        <f>VLOOKUP(B1409,'LƯƠNG KT'!$D$15:$R$94,19,0)</f>
        <v>#N/A</v>
      </c>
      <c r="D1414" s="1059" t="e">
        <f>+C1414*$L$8</f>
        <v>#N/A</v>
      </c>
      <c r="E1414" s="1061"/>
      <c r="F1414" s="1061"/>
      <c r="G1414" s="1056" t="s">
        <v>2666</v>
      </c>
      <c r="H1414" s="1057" t="s">
        <v>2667</v>
      </c>
      <c r="I1414" s="1058" t="e">
        <f>VLOOKUP(H1409,'LƯƠNG KT'!$D$15:$R$94,19,0)</f>
        <v>#N/A</v>
      </c>
      <c r="J1414" s="1059" t="e">
        <f>+I1414*$L$8</f>
        <v>#N/A</v>
      </c>
      <c r="K1414" s="1085"/>
      <c r="L1414" s="1085"/>
      <c r="M1414" s="1085"/>
      <c r="N1414" s="1085"/>
      <c r="O1414" s="1085"/>
    </row>
    <row r="1415" spans="1:15" ht="15" customHeight="1">
      <c r="A1415" s="1056" t="s">
        <v>2668</v>
      </c>
      <c r="B1415" s="1062" t="s">
        <v>2669</v>
      </c>
      <c r="C1415" s="1058" t="e">
        <f>VLOOKUP(B1409,'LƯƠNG KT'!$D$15:$R$94,20,0)</f>
        <v>#N/A</v>
      </c>
      <c r="D1415" s="1059" t="e">
        <f>+C1415*$L$9</f>
        <v>#N/A</v>
      </c>
      <c r="E1415" s="1061"/>
      <c r="F1415" s="1061"/>
      <c r="G1415" s="1056" t="s">
        <v>2668</v>
      </c>
      <c r="H1415" s="1062" t="s">
        <v>2669</v>
      </c>
      <c r="I1415" s="1058" t="e">
        <f>VLOOKUP(H1409,'LƯƠNG KT'!$D$15:$R$94,20,0)</f>
        <v>#N/A</v>
      </c>
      <c r="J1415" s="1059" t="e">
        <f>+I1415*$L$9</f>
        <v>#N/A</v>
      </c>
      <c r="K1415" s="1085"/>
      <c r="L1415" s="1085"/>
      <c r="M1415" s="1085"/>
      <c r="N1415" s="1085"/>
      <c r="O1415" s="1085"/>
    </row>
    <row r="1416" spans="1:15" ht="15" customHeight="1">
      <c r="A1416" s="1056" t="s">
        <v>2671</v>
      </c>
      <c r="B1416" s="1057" t="s">
        <v>2672</v>
      </c>
      <c r="C1416" s="1058" t="e">
        <f>VLOOKUP(B1409,'LƯƠNG KT'!$D$15:$R$94,17,0)</f>
        <v>#N/A</v>
      </c>
      <c r="D1416" s="1059" t="e">
        <f>+C1416*$L$10</f>
        <v>#N/A</v>
      </c>
      <c r="E1416" s="1061"/>
      <c r="F1416" s="1061"/>
      <c r="G1416" s="1056" t="s">
        <v>2671</v>
      </c>
      <c r="H1416" s="1057" t="s">
        <v>2672</v>
      </c>
      <c r="I1416" s="1058" t="e">
        <f>VLOOKUP(H1409,'LƯƠNG KT'!$D$15:$R$94,17,0)</f>
        <v>#N/A</v>
      </c>
      <c r="J1416" s="1059" t="e">
        <f>+I1416*$L$10</f>
        <v>#N/A</v>
      </c>
      <c r="K1416" s="1085"/>
      <c r="L1416" s="1085"/>
      <c r="M1416" s="1085"/>
      <c r="N1416" s="1085"/>
      <c r="O1416" s="1085"/>
    </row>
    <row r="1417" spans="1:15" ht="15" customHeight="1">
      <c r="A1417" s="1056" t="s">
        <v>374</v>
      </c>
      <c r="B1417" s="1057" t="s">
        <v>2674</v>
      </c>
      <c r="C1417" s="1058" t="e">
        <f>VLOOKUP(B1409,'LƯƠNG KT'!$D$15:$R$94,12,0)</f>
        <v>#N/A</v>
      </c>
      <c r="D1417" s="1059" t="e">
        <f>VLOOKUP(B1409,'LƯƠNG KT'!$D$15:$R$94,14,0)</f>
        <v>#N/A</v>
      </c>
      <c r="E1417" s="1063"/>
      <c r="F1417" s="1061"/>
      <c r="G1417" s="1056" t="s">
        <v>374</v>
      </c>
      <c r="H1417" s="1057" t="s">
        <v>2674</v>
      </c>
      <c r="I1417" s="1058" t="e">
        <f>VLOOKUP(H1409,'LƯƠNG KT'!$D$15:$R$94,12,0)</f>
        <v>#N/A</v>
      </c>
      <c r="J1417" s="1059" t="e">
        <f>VLOOKUP(H1409,'LƯƠNG KT'!$D$15:$R$94,14,0)</f>
        <v>#N/A</v>
      </c>
      <c r="K1417" s="1085"/>
      <c r="L1417" s="1085"/>
      <c r="M1417" s="1085"/>
      <c r="N1417" s="1085"/>
      <c r="O1417" s="1085"/>
    </row>
    <row r="1418" spans="1:15" ht="15" customHeight="1">
      <c r="A1418" s="1056" t="s">
        <v>2675</v>
      </c>
      <c r="B1418" s="1057" t="s">
        <v>2676</v>
      </c>
      <c r="D1418" s="1064" t="e">
        <f>VLOOKUP(B1409,'LƯƠNG KT'!$D$15:$R$94,13,0)</f>
        <v>#N/A</v>
      </c>
      <c r="E1418" s="1065"/>
      <c r="F1418" s="1065"/>
      <c r="G1418" s="1056" t="s">
        <v>2675</v>
      </c>
      <c r="H1418" s="1057" t="s">
        <v>2676</v>
      </c>
      <c r="J1418" s="1064" t="e">
        <f>VLOOKUP(H1409,'LƯƠNG KT'!$D$15:$R$94,13,0)</f>
        <v>#N/A</v>
      </c>
    </row>
    <row r="1419" spans="1:15" ht="15" customHeight="1">
      <c r="A1419" s="1066"/>
      <c r="B1419" s="869"/>
      <c r="C1419" s="1058"/>
      <c r="D1419" s="1059"/>
      <c r="E1419" s="1063"/>
      <c r="F1419" s="1065"/>
      <c r="G1419" s="1066"/>
      <c r="H1419" s="869"/>
      <c r="I1419" s="1058"/>
      <c r="J1419" s="1059"/>
    </row>
    <row r="1420" spans="1:15" ht="15" customHeight="1">
      <c r="A1420" s="1052"/>
      <c r="B1420" s="869"/>
      <c r="C1420" s="1058"/>
      <c r="D1420" s="1059"/>
      <c r="E1420" s="1067"/>
      <c r="F1420" s="1051"/>
      <c r="G1420" s="1052"/>
      <c r="H1420" s="869"/>
      <c r="I1420" s="1058"/>
      <c r="J1420" s="1059"/>
    </row>
    <row r="1421" spans="1:15" ht="15" customHeight="1">
      <c r="A1421" s="1068" t="s">
        <v>383</v>
      </c>
      <c r="B1421" s="1069" t="s">
        <v>384</v>
      </c>
      <c r="C1421" s="1070"/>
      <c r="D1421" s="1071" t="e">
        <f>SUM(D1410:D1417)-D1420</f>
        <v>#N/A</v>
      </c>
      <c r="E1421" s="1072"/>
      <c r="F1421" s="1073"/>
      <c r="G1421" s="1068" t="s">
        <v>383</v>
      </c>
      <c r="H1421" s="1069" t="s">
        <v>384</v>
      </c>
      <c r="I1421" s="1070"/>
      <c r="J1421" s="1071" t="e">
        <f>SUM(J1410:J1417)-J1420</f>
        <v>#N/A</v>
      </c>
    </row>
    <row r="1422" spans="1:15" ht="18.75" customHeight="1">
      <c r="A1422" s="1074"/>
      <c r="B1422" s="1075"/>
      <c r="C1422" s="1076"/>
      <c r="D1422" s="1077"/>
      <c r="E1422" s="1077"/>
      <c r="F1422" s="1078"/>
      <c r="G1422" s="1074"/>
      <c r="H1422" s="1075"/>
      <c r="I1422" s="1076"/>
      <c r="J1422" s="1077"/>
    </row>
    <row r="1423" spans="1:15" ht="18.75" customHeight="1">
      <c r="A1423" s="1075"/>
      <c r="B1423" s="1075"/>
      <c r="C1423" s="1079"/>
      <c r="D1423" s="1080"/>
      <c r="E1423" s="1075"/>
      <c r="F1423" s="1081"/>
      <c r="G1423" s="1075"/>
      <c r="H1423" s="1075"/>
      <c r="I1423" s="1079"/>
      <c r="J1423" s="1080"/>
    </row>
    <row r="1424" spans="1:15" ht="15" customHeight="1">
      <c r="A1424" s="2242" t="str">
        <f>$K$2</f>
        <v>THÁNG 04/2025</v>
      </c>
      <c r="B1424" s="2242"/>
      <c r="C1424" s="2242"/>
      <c r="D1424" s="2242"/>
      <c r="E1424" s="1050"/>
      <c r="F1424" s="1051"/>
      <c r="G1424" s="2242" t="str">
        <f>$K$2</f>
        <v>THÁNG 04/2025</v>
      </c>
      <c r="H1424" s="2242"/>
      <c r="I1424" s="2242"/>
      <c r="J1424" s="2242"/>
      <c r="K1424" s="624"/>
    </row>
    <row r="1425" spans="1:15" ht="15" customHeight="1">
      <c r="A1425" s="1052" t="s">
        <v>356</v>
      </c>
      <c r="B1425" s="1053" t="s">
        <v>92</v>
      </c>
      <c r="C1425" s="869"/>
      <c r="D1425" s="1049"/>
      <c r="E1425" s="1054"/>
      <c r="F1425" s="1055"/>
      <c r="G1425" s="1052" t="s">
        <v>356</v>
      </c>
      <c r="H1425" s="1053" t="s">
        <v>165</v>
      </c>
      <c r="I1425" s="869"/>
      <c r="J1425" s="1049"/>
      <c r="L1425" s="1088"/>
      <c r="M1425" s="1088"/>
      <c r="N1425" s="1088"/>
      <c r="O1425" s="1088"/>
    </row>
    <row r="1426" spans="1:15" ht="15" customHeight="1">
      <c r="A1426" s="1056" t="s">
        <v>359</v>
      </c>
      <c r="B1426" s="1057" t="s">
        <v>2662</v>
      </c>
      <c r="C1426" s="1058" t="e">
        <f>VLOOKUP(B1425,'LƯƠNG KT'!$D$15:$R$94,4,0)</f>
        <v>#N/A</v>
      </c>
      <c r="D1426" s="1059" t="e">
        <f>+C1426*25000</f>
        <v>#N/A</v>
      </c>
      <c r="E1426" s="1060"/>
      <c r="F1426" s="1060"/>
      <c r="G1426" s="1056" t="s">
        <v>359</v>
      </c>
      <c r="H1426" s="1057" t="s">
        <v>2662</v>
      </c>
      <c r="I1426" s="1058" t="e">
        <f>VLOOKUP(H1425,'LƯƠNG KT'!$D$15:$R$94,4,0)</f>
        <v>#N/A</v>
      </c>
      <c r="J1426" s="1059" t="e">
        <f>+I1426*25000</f>
        <v>#N/A</v>
      </c>
      <c r="K1426" s="1085"/>
      <c r="L1426" s="1085"/>
      <c r="M1426" s="1085"/>
      <c r="N1426" s="1085"/>
      <c r="O1426" s="1085"/>
    </row>
    <row r="1427" spans="1:15" ht="15" customHeight="1">
      <c r="A1427" s="1056" t="s">
        <v>361</v>
      </c>
      <c r="B1427" s="1057" t="s">
        <v>2663</v>
      </c>
      <c r="C1427" s="1058" t="e">
        <f>VLOOKUP(B1425,'LƯƠNG KT'!$D$15:$R$94,15,0)</f>
        <v>#N/A</v>
      </c>
      <c r="D1427" s="1059" t="e">
        <f>C1427*$L$4</f>
        <v>#N/A</v>
      </c>
      <c r="E1427" s="1061"/>
      <c r="F1427" s="1061"/>
      <c r="G1427" s="1056" t="s">
        <v>361</v>
      </c>
      <c r="H1427" s="1057" t="s">
        <v>2663</v>
      </c>
      <c r="I1427" s="1058" t="e">
        <f>VLOOKUP(H1425,'LƯƠNG KT'!$D$15:$R$94,15,0)</f>
        <v>#N/A</v>
      </c>
      <c r="J1427" s="1059" t="e">
        <f>I1427*$L$4</f>
        <v>#N/A</v>
      </c>
      <c r="K1427" s="1085"/>
      <c r="L1427" s="1085"/>
      <c r="M1427" s="1085"/>
      <c r="N1427" s="1085"/>
      <c r="O1427" s="1085"/>
    </row>
    <row r="1428" spans="1:15" ht="15" customHeight="1">
      <c r="A1428" s="1056" t="s">
        <v>364</v>
      </c>
      <c r="B1428" s="1057" t="s">
        <v>2664</v>
      </c>
      <c r="C1428" s="1058" t="e">
        <f>VLOOKUP(B1425,'LƯƠNG KT'!$D$15:$R$94,16,0)</f>
        <v>#N/A</v>
      </c>
      <c r="D1428" s="1059" t="e">
        <f>C1428*$L$5</f>
        <v>#N/A</v>
      </c>
      <c r="E1428" s="1061"/>
      <c r="F1428" s="1061"/>
      <c r="G1428" s="1056" t="s">
        <v>364</v>
      </c>
      <c r="H1428" s="1057" t="s">
        <v>2664</v>
      </c>
      <c r="I1428" s="1058" t="e">
        <f>VLOOKUP(H1425,'LƯƠNG KT'!$D$15:$R$94,16,0)</f>
        <v>#N/A</v>
      </c>
      <c r="J1428" s="1059" t="e">
        <f>I1428*$L$5</f>
        <v>#N/A</v>
      </c>
      <c r="K1428" s="1085"/>
      <c r="L1428" s="1085"/>
      <c r="M1428" s="1085"/>
      <c r="N1428" s="1085"/>
      <c r="O1428" s="1085"/>
    </row>
    <row r="1429" spans="1:15" ht="15" customHeight="1">
      <c r="A1429" s="1056" t="s">
        <v>370</v>
      </c>
      <c r="B1429" s="1057" t="s">
        <v>2665</v>
      </c>
      <c r="C1429" s="1058" t="e">
        <f>VLOOKUP(B1425,'LƯƠNG KT'!$D$15:$R$94,24,0)</f>
        <v>#N/A</v>
      </c>
      <c r="D1429" s="1059" t="e">
        <f>+C1429*$L$6</f>
        <v>#N/A</v>
      </c>
      <c r="E1429" s="1061"/>
      <c r="F1429" s="1061"/>
      <c r="G1429" s="1056" t="s">
        <v>370</v>
      </c>
      <c r="H1429" s="1057" t="s">
        <v>2665</v>
      </c>
      <c r="I1429" s="1058" t="e">
        <f>VLOOKUP(H1425,'LƯƠNG KT'!$D$15:$R$94,24,0)</f>
        <v>#N/A</v>
      </c>
      <c r="J1429" s="1059" t="e">
        <f>+I1429*$L$6</f>
        <v>#N/A</v>
      </c>
      <c r="K1429" s="1085"/>
      <c r="L1429" s="1085"/>
      <c r="M1429" s="1085"/>
      <c r="N1429" s="1085"/>
      <c r="O1429" s="1085"/>
    </row>
    <row r="1430" spans="1:15" ht="15" customHeight="1">
      <c r="A1430" s="1056" t="s">
        <v>2666</v>
      </c>
      <c r="B1430" s="1057" t="s">
        <v>2667</v>
      </c>
      <c r="C1430" s="1058" t="e">
        <f>VLOOKUP(B1425,'LƯƠNG KT'!$D$15:$R$94,19,0)</f>
        <v>#N/A</v>
      </c>
      <c r="D1430" s="1059" t="e">
        <f>+C1430*$L$8</f>
        <v>#N/A</v>
      </c>
      <c r="E1430" s="1061"/>
      <c r="F1430" s="1061"/>
      <c r="G1430" s="1056" t="s">
        <v>2666</v>
      </c>
      <c r="H1430" s="1057" t="s">
        <v>2667</v>
      </c>
      <c r="I1430" s="1058" t="e">
        <f>VLOOKUP(H1425,'LƯƠNG KT'!$D$15:$R$94,19,0)</f>
        <v>#N/A</v>
      </c>
      <c r="J1430" s="1059" t="e">
        <f>+I1430*$L$8</f>
        <v>#N/A</v>
      </c>
      <c r="K1430" s="1085"/>
      <c r="L1430" s="1085"/>
      <c r="M1430" s="1085"/>
      <c r="N1430" s="1085"/>
      <c r="O1430" s="1085"/>
    </row>
    <row r="1431" spans="1:15" ht="15" customHeight="1">
      <c r="A1431" s="1056" t="s">
        <v>2668</v>
      </c>
      <c r="B1431" s="1062" t="s">
        <v>2669</v>
      </c>
      <c r="C1431" s="1058" t="e">
        <f>VLOOKUP(B1425,'LƯƠNG KT'!$D$15:$R$94,20,0)</f>
        <v>#N/A</v>
      </c>
      <c r="D1431" s="1059" t="e">
        <f>+C1431*$L$9</f>
        <v>#N/A</v>
      </c>
      <c r="E1431" s="1061"/>
      <c r="F1431" s="1061"/>
      <c r="G1431" s="1056" t="s">
        <v>2668</v>
      </c>
      <c r="H1431" s="1062" t="s">
        <v>2669</v>
      </c>
      <c r="I1431" s="1058" t="e">
        <f>VLOOKUP(H1425,'LƯƠNG KT'!$D$15:$R$94,20,0)</f>
        <v>#N/A</v>
      </c>
      <c r="J1431" s="1059" t="e">
        <f>+I1431*$L$9</f>
        <v>#N/A</v>
      </c>
      <c r="K1431" s="1085"/>
      <c r="L1431" s="1085"/>
      <c r="M1431" s="1085"/>
      <c r="N1431" s="1085"/>
      <c r="O1431" s="1085"/>
    </row>
    <row r="1432" spans="1:15" ht="15" customHeight="1">
      <c r="A1432" s="1056" t="s">
        <v>2671</v>
      </c>
      <c r="B1432" s="1057" t="s">
        <v>2672</v>
      </c>
      <c r="C1432" s="1058" t="e">
        <f>VLOOKUP(B1425,'LƯƠNG KT'!$D$15:$R$94,17,0)</f>
        <v>#N/A</v>
      </c>
      <c r="D1432" s="1059" t="e">
        <f>+C1432*$L$10</f>
        <v>#N/A</v>
      </c>
      <c r="E1432" s="1061"/>
      <c r="F1432" s="1061"/>
      <c r="G1432" s="1056" t="s">
        <v>2671</v>
      </c>
      <c r="H1432" s="1057" t="s">
        <v>2672</v>
      </c>
      <c r="I1432" s="1058" t="e">
        <f>VLOOKUP(H1425,'LƯƠNG KT'!$D$15:$R$94,17,0)</f>
        <v>#N/A</v>
      </c>
      <c r="J1432" s="1059" t="e">
        <f>+I1432*$L$10</f>
        <v>#N/A</v>
      </c>
      <c r="K1432" s="1085"/>
      <c r="L1432" s="1085"/>
      <c r="M1432" s="1085"/>
      <c r="N1432" s="1085"/>
      <c r="O1432" s="1085"/>
    </row>
    <row r="1433" spans="1:15" ht="15" customHeight="1">
      <c r="A1433" s="1056" t="s">
        <v>374</v>
      </c>
      <c r="B1433" s="1057" t="s">
        <v>2674</v>
      </c>
      <c r="C1433" s="1058" t="e">
        <f>VLOOKUP(B1425,'LƯƠNG KT'!$D$15:$R$94,12,0)</f>
        <v>#N/A</v>
      </c>
      <c r="D1433" s="1059" t="e">
        <f>VLOOKUP(B1425,'LƯƠNG KT'!$D$15:$R$94,14,0)</f>
        <v>#N/A</v>
      </c>
      <c r="E1433" s="1063"/>
      <c r="F1433" s="1061"/>
      <c r="G1433" s="1056" t="s">
        <v>374</v>
      </c>
      <c r="H1433" s="1057" t="s">
        <v>2674</v>
      </c>
      <c r="I1433" s="1058" t="e">
        <f>VLOOKUP(H1425,'LƯƠNG KT'!$D$15:$R$94,12,0)</f>
        <v>#N/A</v>
      </c>
      <c r="J1433" s="1059" t="e">
        <f>VLOOKUP(H1425,'LƯƠNG KT'!$D$15:$R$94,14,0)</f>
        <v>#N/A</v>
      </c>
      <c r="K1433" s="1085"/>
      <c r="L1433" s="1085"/>
      <c r="M1433" s="1085"/>
      <c r="N1433" s="1085"/>
      <c r="O1433" s="1085"/>
    </row>
    <row r="1434" spans="1:15" ht="15" customHeight="1">
      <c r="A1434" s="1056" t="s">
        <v>2675</v>
      </c>
      <c r="B1434" s="1057" t="s">
        <v>2676</v>
      </c>
      <c r="D1434" s="1064" t="e">
        <f>VLOOKUP(B1425,'LƯƠNG KT'!$D$15:$R$94,13,0)</f>
        <v>#N/A</v>
      </c>
      <c r="E1434" s="1065"/>
      <c r="F1434" s="1065"/>
      <c r="G1434" s="1056" t="s">
        <v>2675</v>
      </c>
      <c r="H1434" s="1057" t="s">
        <v>2676</v>
      </c>
      <c r="J1434" s="1064" t="e">
        <f>VLOOKUP(H1425,'LƯƠNG KT'!$D$15:$R$94,13,0)</f>
        <v>#N/A</v>
      </c>
    </row>
    <row r="1435" spans="1:15" ht="15" customHeight="1">
      <c r="A1435" s="1066"/>
      <c r="B1435" s="869"/>
      <c r="C1435" s="1058"/>
      <c r="D1435" s="1059"/>
      <c r="E1435" s="1063"/>
      <c r="F1435" s="1065"/>
      <c r="G1435" s="1066"/>
      <c r="H1435" s="869"/>
      <c r="I1435" s="1058"/>
      <c r="J1435" s="1059"/>
    </row>
    <row r="1436" spans="1:15" ht="15" customHeight="1">
      <c r="A1436" s="1052"/>
      <c r="B1436" s="869"/>
      <c r="C1436" s="1058"/>
      <c r="D1436" s="1059"/>
      <c r="E1436" s="1067"/>
      <c r="F1436" s="1051"/>
      <c r="G1436" s="1052"/>
      <c r="H1436" s="869"/>
      <c r="I1436" s="1058"/>
      <c r="J1436" s="1059"/>
    </row>
    <row r="1437" spans="1:15" ht="15" customHeight="1">
      <c r="A1437" s="1068" t="s">
        <v>383</v>
      </c>
      <c r="B1437" s="1069" t="s">
        <v>384</v>
      </c>
      <c r="C1437" s="1070"/>
      <c r="D1437" s="1071" t="e">
        <f>SUM(D1426:D1433)-D1436</f>
        <v>#N/A</v>
      </c>
      <c r="E1437" s="1072"/>
      <c r="F1437" s="1073"/>
      <c r="G1437" s="1068" t="s">
        <v>383</v>
      </c>
      <c r="H1437" s="1069" t="s">
        <v>384</v>
      </c>
      <c r="I1437" s="1070"/>
      <c r="J1437" s="1071" t="e">
        <f>SUM(J1426:J1433)-J1436</f>
        <v>#N/A</v>
      </c>
    </row>
    <row r="1438" spans="1:15" ht="15.75" customHeight="1">
      <c r="A1438" s="1074"/>
      <c r="B1438" s="1075"/>
      <c r="C1438" s="1076"/>
      <c r="D1438" s="1077"/>
      <c r="E1438" s="1077"/>
      <c r="F1438" s="1078"/>
      <c r="G1438" s="1074"/>
      <c r="H1438" s="1075"/>
      <c r="I1438" s="1076"/>
      <c r="J1438" s="1077"/>
    </row>
    <row r="1440" spans="1:15" ht="12" customHeight="1">
      <c r="A1440" s="2243"/>
      <c r="B1440" s="2243"/>
      <c r="C1440" s="2243"/>
      <c r="D1440" s="2243"/>
      <c r="E1440" s="2243"/>
      <c r="F1440" s="2243"/>
      <c r="G1440" s="2243"/>
      <c r="H1440" s="2243"/>
      <c r="I1440" s="2243"/>
      <c r="J1440" s="2243"/>
    </row>
    <row r="1441" spans="1:15" ht="15" customHeight="1">
      <c r="A1441" s="2242" t="str">
        <f>$K$2</f>
        <v>THÁNG 04/2025</v>
      </c>
      <c r="B1441" s="2242"/>
      <c r="C1441" s="2242"/>
      <c r="D1441" s="2242"/>
      <c r="E1441" s="1050"/>
      <c r="F1441" s="1051"/>
      <c r="G1441" s="2242" t="str">
        <f>$K$2</f>
        <v>THÁNG 04/2025</v>
      </c>
      <c r="H1441" s="2242"/>
      <c r="I1441" s="2242"/>
      <c r="J1441" s="2242"/>
      <c r="K1441" s="624"/>
    </row>
    <row r="1442" spans="1:15" ht="15" customHeight="1">
      <c r="A1442" s="1052" t="s">
        <v>356</v>
      </c>
      <c r="B1442" s="1053" t="s">
        <v>75</v>
      </c>
      <c r="C1442" s="869"/>
      <c r="D1442" s="1049"/>
      <c r="E1442" s="1054"/>
      <c r="F1442" s="1055"/>
      <c r="G1442" s="1052" t="s">
        <v>356</v>
      </c>
      <c r="H1442" s="1053" t="s">
        <v>1276</v>
      </c>
      <c r="I1442" s="869"/>
      <c r="J1442" s="1049"/>
      <c r="L1442" s="1088"/>
      <c r="M1442" s="1088"/>
      <c r="N1442" s="1088"/>
      <c r="O1442" s="1088"/>
    </row>
    <row r="1443" spans="1:15" ht="15" customHeight="1">
      <c r="A1443" s="1056" t="s">
        <v>359</v>
      </c>
      <c r="B1443" s="1057" t="s">
        <v>2662</v>
      </c>
      <c r="C1443" s="1058" t="e">
        <f>VLOOKUP(B1442,'LƯƠNG KT'!$D$15:$R$94,4,0)</f>
        <v>#N/A</v>
      </c>
      <c r="D1443" s="1059" t="e">
        <f>+C1443*25000</f>
        <v>#N/A</v>
      </c>
      <c r="E1443" s="1060"/>
      <c r="F1443" s="1060"/>
      <c r="G1443" s="1056" t="s">
        <v>359</v>
      </c>
      <c r="H1443" s="1057" t="s">
        <v>2662</v>
      </c>
      <c r="I1443" s="1058" t="e">
        <f>VLOOKUP(H1442,'LƯƠNG KT'!$D$15:$R$94,4,0)</f>
        <v>#N/A</v>
      </c>
      <c r="J1443" s="1059" t="e">
        <f>+I1443*25000</f>
        <v>#N/A</v>
      </c>
      <c r="K1443" s="1084"/>
      <c r="L1443" s="1085"/>
      <c r="M1443" s="1085"/>
      <c r="N1443" s="1085"/>
      <c r="O1443" s="1085"/>
    </row>
    <row r="1444" spans="1:15" ht="15" customHeight="1">
      <c r="A1444" s="1056" t="s">
        <v>361</v>
      </c>
      <c r="B1444" s="1057" t="s">
        <v>2663</v>
      </c>
      <c r="C1444" s="1058" t="e">
        <f>VLOOKUP(B1442,'LƯƠNG KT'!$D$15:$R$94,15,0)</f>
        <v>#N/A</v>
      </c>
      <c r="D1444" s="1059" t="e">
        <f>C1444*$L$4</f>
        <v>#N/A</v>
      </c>
      <c r="E1444" s="1061"/>
      <c r="F1444" s="1061"/>
      <c r="G1444" s="1056" t="s">
        <v>361</v>
      </c>
      <c r="H1444" s="1057" t="s">
        <v>2663</v>
      </c>
      <c r="I1444" s="1058" t="e">
        <f>VLOOKUP(H1442,'LƯƠNG KT'!$D$15:$R$94,15,0)</f>
        <v>#N/A</v>
      </c>
      <c r="J1444" s="1059" t="e">
        <f>I1444*$L$4</f>
        <v>#N/A</v>
      </c>
      <c r="K1444" s="1084"/>
      <c r="L1444" s="1085"/>
      <c r="M1444" s="1085"/>
      <c r="N1444" s="1085"/>
      <c r="O1444" s="1085"/>
    </row>
    <row r="1445" spans="1:15" ht="15" customHeight="1">
      <c r="A1445" s="1056" t="s">
        <v>364</v>
      </c>
      <c r="B1445" s="1057" t="s">
        <v>2664</v>
      </c>
      <c r="C1445" s="1058" t="e">
        <f>VLOOKUP(B1442,'LƯƠNG KT'!$D$15:$R$94,16,0)</f>
        <v>#N/A</v>
      </c>
      <c r="D1445" s="1059" t="e">
        <f>C1445*$L$5</f>
        <v>#N/A</v>
      </c>
      <c r="E1445" s="1061"/>
      <c r="F1445" s="1061"/>
      <c r="G1445" s="1056" t="s">
        <v>364</v>
      </c>
      <c r="H1445" s="1057" t="s">
        <v>2664</v>
      </c>
      <c r="I1445" s="1058" t="e">
        <f>VLOOKUP(H1442,'LƯƠNG KT'!$D$15:$R$94,16,0)</f>
        <v>#N/A</v>
      </c>
      <c r="J1445" s="1059" t="e">
        <f>I1445*$L$5</f>
        <v>#N/A</v>
      </c>
      <c r="K1445" s="1084"/>
      <c r="L1445" s="1085"/>
      <c r="M1445" s="1085"/>
      <c r="N1445" s="1085"/>
      <c r="O1445" s="1085"/>
    </row>
    <row r="1446" spans="1:15" ht="15" customHeight="1">
      <c r="A1446" s="1056" t="s">
        <v>370</v>
      </c>
      <c r="B1446" s="1057" t="s">
        <v>2665</v>
      </c>
      <c r="C1446" s="1058" t="e">
        <f>VLOOKUP(B1442,'LƯƠNG KT'!$D$15:$R$94,24,0)</f>
        <v>#N/A</v>
      </c>
      <c r="D1446" s="1059" t="e">
        <f>+C1446*$L$6</f>
        <v>#N/A</v>
      </c>
      <c r="E1446" s="1061"/>
      <c r="F1446" s="1061"/>
      <c r="G1446" s="1056" t="s">
        <v>370</v>
      </c>
      <c r="H1446" s="1057" t="s">
        <v>2665</v>
      </c>
      <c r="I1446" s="1058" t="e">
        <f>VLOOKUP(H1442,'LƯƠNG KT'!$D$15:$R$94,24,0)</f>
        <v>#N/A</v>
      </c>
      <c r="J1446" s="1059" t="e">
        <f>+I1446*$L$6</f>
        <v>#N/A</v>
      </c>
      <c r="K1446" s="1085"/>
      <c r="L1446" s="1085"/>
      <c r="M1446" s="1085"/>
      <c r="N1446" s="1085"/>
      <c r="O1446" s="1085"/>
    </row>
    <row r="1447" spans="1:15" ht="15" customHeight="1">
      <c r="A1447" s="1056" t="s">
        <v>2666</v>
      </c>
      <c r="B1447" s="1057" t="s">
        <v>2667</v>
      </c>
      <c r="C1447" s="1058" t="e">
        <f>VLOOKUP(B1442,'LƯƠNG KT'!$D$15:$R$94,19,0)</f>
        <v>#N/A</v>
      </c>
      <c r="D1447" s="1059" t="e">
        <f>+C1447*$L$8</f>
        <v>#N/A</v>
      </c>
      <c r="E1447" s="1061"/>
      <c r="F1447" s="1061"/>
      <c r="G1447" s="1056" t="s">
        <v>2666</v>
      </c>
      <c r="H1447" s="1057" t="s">
        <v>2667</v>
      </c>
      <c r="I1447" s="1058" t="e">
        <f>VLOOKUP(H1442,'LƯƠNG KT'!$D$15:$R$94,19,0)</f>
        <v>#N/A</v>
      </c>
      <c r="J1447" s="1059" t="e">
        <f>+I1447*$L$8</f>
        <v>#N/A</v>
      </c>
      <c r="K1447" s="1085"/>
      <c r="L1447" s="1085"/>
      <c r="M1447" s="1085"/>
      <c r="N1447" s="1085"/>
      <c r="O1447" s="1085"/>
    </row>
    <row r="1448" spans="1:15" ht="15" customHeight="1">
      <c r="A1448" s="1056" t="s">
        <v>2668</v>
      </c>
      <c r="B1448" s="1062" t="s">
        <v>2669</v>
      </c>
      <c r="C1448" s="1058" t="e">
        <f>VLOOKUP(B1442,'LƯƠNG KT'!$D$15:$R$94,20,0)</f>
        <v>#N/A</v>
      </c>
      <c r="D1448" s="1059" t="e">
        <f>+C1448*$L$9</f>
        <v>#N/A</v>
      </c>
      <c r="E1448" s="1061"/>
      <c r="F1448" s="1061"/>
      <c r="G1448" s="1056" t="s">
        <v>2668</v>
      </c>
      <c r="H1448" s="1062" t="s">
        <v>2669</v>
      </c>
      <c r="I1448" s="1058" t="e">
        <f>VLOOKUP(H1442,'LƯƠNG KT'!$D$15:$R$94,20,0)</f>
        <v>#N/A</v>
      </c>
      <c r="J1448" s="1059" t="e">
        <f>+I1448*$L$9</f>
        <v>#N/A</v>
      </c>
      <c r="K1448" s="1085"/>
      <c r="L1448" s="1085"/>
      <c r="M1448" s="1085"/>
      <c r="N1448" s="1085"/>
      <c r="O1448" s="1085"/>
    </row>
    <row r="1449" spans="1:15" ht="15" customHeight="1">
      <c r="A1449" s="1056" t="s">
        <v>2671</v>
      </c>
      <c r="B1449" s="1057" t="s">
        <v>2672</v>
      </c>
      <c r="C1449" s="1058" t="e">
        <f>VLOOKUP(B1442,'LƯƠNG KT'!$D$15:$R$94,17,0)</f>
        <v>#N/A</v>
      </c>
      <c r="D1449" s="1059" t="e">
        <f>+C1449*$L$10</f>
        <v>#N/A</v>
      </c>
      <c r="E1449" s="1061"/>
      <c r="F1449" s="1061"/>
      <c r="G1449" s="1056" t="s">
        <v>2671</v>
      </c>
      <c r="H1449" s="1057" t="s">
        <v>2672</v>
      </c>
      <c r="I1449" s="1058" t="e">
        <f>VLOOKUP(H1442,'LƯƠNG KT'!$D$15:$R$94,17,0)</f>
        <v>#N/A</v>
      </c>
      <c r="J1449" s="1059" t="e">
        <f>+I1449*$L$10</f>
        <v>#N/A</v>
      </c>
      <c r="K1449" s="1085"/>
      <c r="L1449" s="1085"/>
      <c r="M1449" s="1085"/>
      <c r="N1449" s="1085"/>
      <c r="O1449" s="1085"/>
    </row>
    <row r="1450" spans="1:15" ht="15" customHeight="1">
      <c r="A1450" s="1056" t="s">
        <v>374</v>
      </c>
      <c r="B1450" s="1057" t="s">
        <v>2674</v>
      </c>
      <c r="C1450" s="1058" t="e">
        <f>VLOOKUP(B1442,'LƯƠNG KT'!$D$15:$R$94,12,0)</f>
        <v>#N/A</v>
      </c>
      <c r="D1450" s="1059" t="e">
        <f>VLOOKUP(B1442,'LƯƠNG KT'!$D$15:$R$94,14,0)</f>
        <v>#N/A</v>
      </c>
      <c r="E1450" s="1063"/>
      <c r="F1450" s="1061"/>
      <c r="G1450" s="1056" t="s">
        <v>374</v>
      </c>
      <c r="H1450" s="1057" t="s">
        <v>2674</v>
      </c>
      <c r="I1450" s="1058" t="e">
        <f>VLOOKUP(H1442,'LƯƠNG KT'!$D$15:$R$94,12,0)</f>
        <v>#N/A</v>
      </c>
      <c r="J1450" s="1059" t="e">
        <f>VLOOKUP(H1442,'LƯƠNG KT'!$D$15:$R$94,14,0)</f>
        <v>#N/A</v>
      </c>
      <c r="K1450" s="1085"/>
      <c r="L1450" s="1085"/>
      <c r="M1450" s="1085"/>
      <c r="N1450" s="1085"/>
      <c r="O1450" s="1085"/>
    </row>
    <row r="1451" spans="1:15" ht="15" customHeight="1">
      <c r="A1451" s="1056" t="s">
        <v>2675</v>
      </c>
      <c r="B1451" s="1057" t="s">
        <v>2676</v>
      </c>
      <c r="D1451" s="1064" t="e">
        <f>VLOOKUP(B1442,'LƯƠNG KT'!$D$15:$R$94,13,0)</f>
        <v>#N/A</v>
      </c>
      <c r="E1451" s="1065"/>
      <c r="F1451" s="1065"/>
      <c r="G1451" s="1056" t="s">
        <v>2675</v>
      </c>
      <c r="H1451" s="1057" t="s">
        <v>2676</v>
      </c>
      <c r="J1451" s="1064" t="e">
        <f>VLOOKUP(H1442,'LƯƠNG KT'!$D$15:$R$94,13,0)</f>
        <v>#N/A</v>
      </c>
    </row>
    <row r="1452" spans="1:15" ht="15" customHeight="1">
      <c r="A1452" s="1066"/>
      <c r="B1452" s="869"/>
      <c r="C1452" s="1058"/>
      <c r="D1452" s="1059"/>
      <c r="E1452" s="1063"/>
      <c r="F1452" s="1065"/>
      <c r="G1452" s="1066"/>
      <c r="H1452" s="869"/>
      <c r="I1452" s="1058"/>
      <c r="J1452" s="1059"/>
    </row>
    <row r="1453" spans="1:15" ht="15" customHeight="1">
      <c r="A1453" s="1052"/>
      <c r="B1453" s="869"/>
      <c r="C1453" s="1058"/>
      <c r="D1453" s="1059"/>
      <c r="E1453" s="1067"/>
      <c r="F1453" s="1051"/>
      <c r="G1453" s="1052"/>
      <c r="H1453" s="869"/>
      <c r="I1453" s="1058"/>
      <c r="J1453" s="1059"/>
    </row>
    <row r="1454" spans="1:15" ht="15" customHeight="1">
      <c r="A1454" s="1068" t="s">
        <v>383</v>
      </c>
      <c r="B1454" s="1069" t="s">
        <v>384</v>
      </c>
      <c r="C1454" s="1070"/>
      <c r="D1454" s="1071" t="e">
        <f>SUM(D1443:D1450)-D1453</f>
        <v>#N/A</v>
      </c>
      <c r="E1454" s="1072"/>
      <c r="F1454" s="1073"/>
      <c r="G1454" s="1068" t="s">
        <v>383</v>
      </c>
      <c r="H1454" s="1069" t="s">
        <v>384</v>
      </c>
      <c r="I1454" s="1070"/>
      <c r="J1454" s="1071" t="e">
        <f>SUM(J1443:J1450)-J1453</f>
        <v>#N/A</v>
      </c>
    </row>
    <row r="1455" spans="1:15" ht="12.6" customHeight="1">
      <c r="A1455" s="1074"/>
      <c r="B1455" s="1075"/>
      <c r="C1455" s="1076"/>
      <c r="D1455" s="1077"/>
      <c r="E1455" s="1077"/>
      <c r="F1455" s="1078"/>
      <c r="G1455" s="1074"/>
      <c r="H1455" s="1075"/>
      <c r="I1455" s="1076"/>
      <c r="J1455" s="1077"/>
    </row>
    <row r="1456" spans="1:15" ht="133.5" customHeight="1">
      <c r="A1456" s="1075"/>
      <c r="B1456" s="1075"/>
      <c r="C1456" s="1079"/>
      <c r="D1456" s="1080"/>
      <c r="E1456" s="1075"/>
      <c r="F1456" s="1081"/>
      <c r="G1456" s="1075"/>
      <c r="H1456" s="1075"/>
      <c r="I1456" s="1079"/>
      <c r="J1456" s="1080"/>
    </row>
    <row r="1457" spans="1:15" ht="15" customHeight="1">
      <c r="A1457" s="2242" t="str">
        <f>$K$2</f>
        <v>THÁNG 04/2025</v>
      </c>
      <c r="B1457" s="2242"/>
      <c r="C1457" s="2242"/>
      <c r="D1457" s="2242"/>
      <c r="E1457" s="1050"/>
      <c r="F1457" s="1051"/>
      <c r="G1457" s="2242" t="str">
        <f>$K$2</f>
        <v>THÁNG 04/2025</v>
      </c>
      <c r="H1457" s="2242"/>
      <c r="I1457" s="2242"/>
      <c r="J1457" s="2242"/>
      <c r="K1457" s="624"/>
    </row>
    <row r="1458" spans="1:15" ht="15" customHeight="1">
      <c r="A1458" s="1052" t="s">
        <v>356</v>
      </c>
      <c r="B1458" s="1053" t="s">
        <v>56</v>
      </c>
      <c r="C1458" s="869"/>
      <c r="D1458" s="1049"/>
      <c r="E1458" s="1054"/>
      <c r="F1458" s="1055"/>
      <c r="G1458" s="1052" t="s">
        <v>356</v>
      </c>
      <c r="H1458" s="1053" t="s">
        <v>78</v>
      </c>
      <c r="I1458" s="869"/>
      <c r="J1458" s="1049"/>
      <c r="L1458" s="1088"/>
      <c r="M1458" s="1088"/>
      <c r="N1458" s="1088"/>
      <c r="O1458" s="1088"/>
    </row>
    <row r="1459" spans="1:15" ht="15" customHeight="1">
      <c r="A1459" s="1056" t="s">
        <v>359</v>
      </c>
      <c r="B1459" s="1057" t="s">
        <v>2662</v>
      </c>
      <c r="C1459" s="1058" t="e">
        <f>VLOOKUP(B1458,'LƯƠNG KT'!$D$15:$R$94,4,0)</f>
        <v>#N/A</v>
      </c>
      <c r="D1459" s="1059" t="e">
        <f>+C1459*25000</f>
        <v>#N/A</v>
      </c>
      <c r="E1459" s="1060"/>
      <c r="F1459" s="1060"/>
      <c r="G1459" s="1056" t="s">
        <v>359</v>
      </c>
      <c r="H1459" s="1057" t="s">
        <v>2662</v>
      </c>
      <c r="I1459" s="1058" t="e">
        <f>VLOOKUP(H1458,'LƯƠNG KT'!$D$15:$R$94,4,0)</f>
        <v>#N/A</v>
      </c>
      <c r="J1459" s="1059" t="e">
        <f>+I1459*25000</f>
        <v>#N/A</v>
      </c>
      <c r="K1459" s="1085"/>
      <c r="L1459" s="1085"/>
      <c r="M1459" s="1085"/>
      <c r="N1459" s="1085"/>
      <c r="O1459" s="1085"/>
    </row>
    <row r="1460" spans="1:15" ht="15" customHeight="1">
      <c r="A1460" s="1056" t="s">
        <v>361</v>
      </c>
      <c r="B1460" s="1057" t="s">
        <v>2663</v>
      </c>
      <c r="C1460" s="1058" t="e">
        <f>VLOOKUP(B1458,'LƯƠNG KT'!$D$15:$R$94,15,0)</f>
        <v>#N/A</v>
      </c>
      <c r="D1460" s="1059" t="e">
        <f>C1460*$L$4</f>
        <v>#N/A</v>
      </c>
      <c r="E1460" s="1061"/>
      <c r="F1460" s="1061"/>
      <c r="G1460" s="1056" t="s">
        <v>361</v>
      </c>
      <c r="H1460" s="1057" t="s">
        <v>2663</v>
      </c>
      <c r="I1460" s="1058" t="e">
        <f>VLOOKUP(H1458,'LƯƠNG KT'!$D$15:$R$94,15,0)</f>
        <v>#N/A</v>
      </c>
      <c r="J1460" s="1059" t="e">
        <f>I1460*$L$4</f>
        <v>#N/A</v>
      </c>
      <c r="K1460" s="1085"/>
      <c r="L1460" s="1085"/>
      <c r="M1460" s="1085"/>
      <c r="N1460" s="1085"/>
      <c r="O1460" s="1085"/>
    </row>
    <row r="1461" spans="1:15" ht="15" customHeight="1">
      <c r="A1461" s="1056" t="s">
        <v>364</v>
      </c>
      <c r="B1461" s="1057" t="s">
        <v>2664</v>
      </c>
      <c r="C1461" s="1058" t="e">
        <f>VLOOKUP(B1458,'LƯƠNG KT'!$D$15:$R$94,16,0)</f>
        <v>#N/A</v>
      </c>
      <c r="D1461" s="1059" t="e">
        <f>C1461*$L$5</f>
        <v>#N/A</v>
      </c>
      <c r="E1461" s="1061"/>
      <c r="F1461" s="1061"/>
      <c r="G1461" s="1056" t="s">
        <v>364</v>
      </c>
      <c r="H1461" s="1057" t="s">
        <v>2664</v>
      </c>
      <c r="I1461" s="1058" t="e">
        <f>VLOOKUP(H1458,'LƯƠNG KT'!$D$15:$R$94,16,0)</f>
        <v>#N/A</v>
      </c>
      <c r="J1461" s="1059" t="e">
        <f>I1461*$L$5</f>
        <v>#N/A</v>
      </c>
      <c r="K1461" s="1085"/>
      <c r="L1461" s="1085"/>
      <c r="M1461" s="1085"/>
      <c r="N1461" s="1085"/>
      <c r="O1461" s="1085"/>
    </row>
    <row r="1462" spans="1:15" ht="15" customHeight="1">
      <c r="A1462" s="1056" t="s">
        <v>370</v>
      </c>
      <c r="B1462" s="1057" t="s">
        <v>2665</v>
      </c>
      <c r="C1462" s="1058" t="e">
        <f>VLOOKUP(B1458,'LƯƠNG KT'!$D$15:$R$94,24,0)</f>
        <v>#N/A</v>
      </c>
      <c r="D1462" s="1059" t="e">
        <f>+C1462*$L$6</f>
        <v>#N/A</v>
      </c>
      <c r="E1462" s="1061"/>
      <c r="F1462" s="1061"/>
      <c r="G1462" s="1056" t="s">
        <v>370</v>
      </c>
      <c r="H1462" s="1057" t="s">
        <v>2665</v>
      </c>
      <c r="I1462" s="1058" t="e">
        <f>VLOOKUP(H1458,'LƯƠNG KT'!$D$15:$R$94,24,0)</f>
        <v>#N/A</v>
      </c>
      <c r="J1462" s="1059" t="e">
        <f>+I1462*$L$6</f>
        <v>#N/A</v>
      </c>
      <c r="K1462" s="1085"/>
      <c r="L1462" s="1085"/>
      <c r="M1462" s="1085"/>
      <c r="N1462" s="1085"/>
      <c r="O1462" s="1085"/>
    </row>
    <row r="1463" spans="1:15" ht="15" customHeight="1">
      <c r="A1463" s="1056" t="s">
        <v>2666</v>
      </c>
      <c r="B1463" s="1057" t="s">
        <v>2667</v>
      </c>
      <c r="C1463" s="1058" t="e">
        <f>VLOOKUP(B1458,'LƯƠNG KT'!$D$15:$R$94,19,0)</f>
        <v>#N/A</v>
      </c>
      <c r="D1463" s="1059" t="e">
        <f>+C1463*$L$8</f>
        <v>#N/A</v>
      </c>
      <c r="E1463" s="1061"/>
      <c r="F1463" s="1061"/>
      <c r="G1463" s="1056" t="s">
        <v>2666</v>
      </c>
      <c r="H1463" s="1057" t="s">
        <v>2667</v>
      </c>
      <c r="I1463" s="1058" t="e">
        <f>VLOOKUP(H1458,'LƯƠNG KT'!$D$15:$R$94,19,0)</f>
        <v>#N/A</v>
      </c>
      <c r="J1463" s="1059" t="e">
        <f>+I1463*$L$8</f>
        <v>#N/A</v>
      </c>
      <c r="K1463" s="1085"/>
      <c r="L1463" s="1085"/>
      <c r="M1463" s="1085"/>
      <c r="N1463" s="1085"/>
      <c r="O1463" s="1085"/>
    </row>
    <row r="1464" spans="1:15" ht="15" customHeight="1">
      <c r="A1464" s="1056" t="s">
        <v>2668</v>
      </c>
      <c r="B1464" s="1062" t="s">
        <v>2669</v>
      </c>
      <c r="C1464" s="1058" t="e">
        <f>VLOOKUP(B1458,'LƯƠNG KT'!$D$15:$R$94,20,0)</f>
        <v>#N/A</v>
      </c>
      <c r="D1464" s="1059" t="e">
        <f>+C1464*$L$9</f>
        <v>#N/A</v>
      </c>
      <c r="E1464" s="1061"/>
      <c r="F1464" s="1061"/>
      <c r="G1464" s="1056" t="s">
        <v>2668</v>
      </c>
      <c r="H1464" s="1062" t="s">
        <v>2669</v>
      </c>
      <c r="I1464" s="1058" t="e">
        <f>VLOOKUP(H1458,'LƯƠNG KT'!$D$15:$R$94,20,0)</f>
        <v>#N/A</v>
      </c>
      <c r="J1464" s="1059" t="e">
        <f>+I1464*$L$9</f>
        <v>#N/A</v>
      </c>
      <c r="K1464" s="1085"/>
      <c r="L1464" s="1085"/>
      <c r="M1464" s="1085"/>
      <c r="N1464" s="1085"/>
      <c r="O1464" s="1085"/>
    </row>
    <row r="1465" spans="1:15" ht="15" customHeight="1">
      <c r="A1465" s="1056" t="s">
        <v>2671</v>
      </c>
      <c r="B1465" s="1057" t="s">
        <v>2672</v>
      </c>
      <c r="C1465" s="1058" t="e">
        <f>VLOOKUP(B1458,'LƯƠNG KT'!$D$15:$R$94,17,0)</f>
        <v>#N/A</v>
      </c>
      <c r="D1465" s="1059" t="e">
        <f>+C1465*$L$10</f>
        <v>#N/A</v>
      </c>
      <c r="E1465" s="1061"/>
      <c r="F1465" s="1061"/>
      <c r="G1465" s="1056" t="s">
        <v>2671</v>
      </c>
      <c r="H1465" s="1057" t="s">
        <v>2672</v>
      </c>
      <c r="I1465" s="1058" t="e">
        <f>VLOOKUP(H1458,'LƯƠNG KT'!$D$15:$R$94,17,0)</f>
        <v>#N/A</v>
      </c>
      <c r="J1465" s="1059" t="e">
        <f>+I1465*$L$10</f>
        <v>#N/A</v>
      </c>
      <c r="K1465" s="1085"/>
      <c r="L1465" s="1085"/>
      <c r="M1465" s="1085"/>
      <c r="N1465" s="1085"/>
      <c r="O1465" s="1085"/>
    </row>
    <row r="1466" spans="1:15" ht="15" customHeight="1">
      <c r="A1466" s="1056" t="s">
        <v>374</v>
      </c>
      <c r="B1466" s="1057" t="s">
        <v>2674</v>
      </c>
      <c r="C1466" s="1058" t="e">
        <f>VLOOKUP(B1458,'LƯƠNG KT'!$D$15:$R$94,12,0)</f>
        <v>#N/A</v>
      </c>
      <c r="D1466" s="1059" t="e">
        <f>VLOOKUP(B1458,'LƯƠNG KT'!$D$15:$R$94,14,0)</f>
        <v>#N/A</v>
      </c>
      <c r="E1466" s="1063"/>
      <c r="F1466" s="1061"/>
      <c r="G1466" s="1056" t="s">
        <v>374</v>
      </c>
      <c r="H1466" s="1057" t="s">
        <v>2674</v>
      </c>
      <c r="I1466" s="1058" t="e">
        <f>VLOOKUP(H1458,'LƯƠNG KT'!$D$15:$R$94,12,0)</f>
        <v>#N/A</v>
      </c>
      <c r="J1466" s="1059" t="e">
        <f>VLOOKUP(H1458,'LƯƠNG KT'!$D$15:$R$94,14,0)</f>
        <v>#N/A</v>
      </c>
      <c r="K1466" s="1085"/>
      <c r="L1466" s="1085"/>
      <c r="M1466" s="1085"/>
      <c r="N1466" s="1085"/>
      <c r="O1466" s="1085"/>
    </row>
    <row r="1467" spans="1:15" ht="15" customHeight="1">
      <c r="A1467" s="1056" t="s">
        <v>2675</v>
      </c>
      <c r="B1467" s="1057" t="s">
        <v>2676</v>
      </c>
      <c r="D1467" s="1064" t="e">
        <f>VLOOKUP(B1458,'LƯƠNG KT'!$D$15:$R$94,13,0)</f>
        <v>#N/A</v>
      </c>
      <c r="E1467" s="1065"/>
      <c r="F1467" s="1065"/>
      <c r="G1467" s="1056" t="s">
        <v>2675</v>
      </c>
      <c r="H1467" s="1057" t="s">
        <v>2676</v>
      </c>
      <c r="J1467" s="1064" t="e">
        <f>VLOOKUP(H1458,'LƯƠNG KT'!$D$15:$R$94,13,0)</f>
        <v>#N/A</v>
      </c>
    </row>
    <row r="1468" spans="1:15" ht="15" customHeight="1">
      <c r="A1468" s="1066"/>
      <c r="B1468" s="869"/>
      <c r="C1468" s="1058"/>
      <c r="D1468" s="1059"/>
      <c r="E1468" s="1063"/>
      <c r="F1468" s="1065"/>
      <c r="G1468" s="1066"/>
      <c r="H1468" s="869"/>
      <c r="I1468" s="1058"/>
      <c r="J1468" s="1059"/>
    </row>
    <row r="1469" spans="1:15" ht="15" customHeight="1">
      <c r="A1469" s="1052"/>
      <c r="B1469" s="869"/>
      <c r="C1469" s="1058"/>
      <c r="D1469" s="1059"/>
      <c r="E1469" s="1067"/>
      <c r="F1469" s="1051"/>
      <c r="G1469" s="1052"/>
      <c r="H1469" s="869"/>
      <c r="I1469" s="1058"/>
      <c r="J1469" s="1059"/>
    </row>
    <row r="1470" spans="1:15" ht="15" customHeight="1">
      <c r="A1470" s="1068" t="s">
        <v>383</v>
      </c>
      <c r="B1470" s="1069" t="s">
        <v>384</v>
      </c>
      <c r="C1470" s="1070"/>
      <c r="D1470" s="1071" t="e">
        <f>SUM(D1459:D1466)-D1469</f>
        <v>#N/A</v>
      </c>
      <c r="E1470" s="1072"/>
      <c r="F1470" s="1073"/>
      <c r="G1470" s="1068" t="s">
        <v>383</v>
      </c>
      <c r="H1470" s="1069" t="s">
        <v>384</v>
      </c>
      <c r="I1470" s="1070"/>
      <c r="J1470" s="1071" t="e">
        <f>SUM(J1459:J1466)-J1469</f>
        <v>#N/A</v>
      </c>
    </row>
    <row r="1471" spans="1:15" ht="18.75" customHeight="1">
      <c r="A1471" s="1074"/>
      <c r="B1471" s="1075"/>
      <c r="C1471" s="1076"/>
      <c r="D1471" s="1077"/>
      <c r="E1471" s="1077"/>
      <c r="F1471" s="1078"/>
      <c r="G1471" s="1074"/>
      <c r="H1471" s="1075"/>
      <c r="I1471" s="1076"/>
      <c r="J1471" s="1077"/>
    </row>
    <row r="1472" spans="1:15" ht="18.75" customHeight="1">
      <c r="A1472" s="1075"/>
      <c r="B1472" s="1075"/>
      <c r="C1472" s="1079"/>
      <c r="D1472" s="1080"/>
      <c r="E1472" s="1075"/>
      <c r="F1472" s="1081"/>
      <c r="G1472" s="1075"/>
      <c r="H1472" s="1075"/>
      <c r="I1472" s="1079"/>
      <c r="J1472" s="1080"/>
    </row>
    <row r="1473" spans="1:15" ht="15" customHeight="1">
      <c r="A1473" s="2242" t="str">
        <f>$K$2</f>
        <v>THÁNG 04/2025</v>
      </c>
      <c r="B1473" s="2242"/>
      <c r="C1473" s="2242"/>
      <c r="D1473" s="2242"/>
      <c r="E1473" s="1050"/>
      <c r="F1473" s="1051"/>
      <c r="G1473" s="2242" t="str">
        <f>$K$2</f>
        <v>THÁNG 04/2025</v>
      </c>
      <c r="H1473" s="2242"/>
      <c r="I1473" s="2242"/>
      <c r="J1473" s="2242"/>
      <c r="K1473" s="624"/>
    </row>
    <row r="1474" spans="1:15" ht="15" customHeight="1">
      <c r="A1474" s="1052" t="s">
        <v>356</v>
      </c>
      <c r="B1474" s="1053" t="s">
        <v>2651</v>
      </c>
      <c r="C1474" s="869"/>
      <c r="D1474" s="1049"/>
      <c r="E1474" s="1054"/>
      <c r="F1474" s="1055"/>
      <c r="G1474" s="1052" t="s">
        <v>356</v>
      </c>
      <c r="H1474" s="1053" t="s">
        <v>492</v>
      </c>
      <c r="I1474" s="869"/>
      <c r="J1474" s="1049"/>
      <c r="L1474" s="1088"/>
      <c r="M1474" s="1088"/>
      <c r="N1474" s="1088"/>
      <c r="O1474" s="1088"/>
    </row>
    <row r="1475" spans="1:15" ht="15" customHeight="1">
      <c r="A1475" s="1056" t="s">
        <v>359</v>
      </c>
      <c r="B1475" s="1057" t="s">
        <v>2662</v>
      </c>
      <c r="C1475" s="1058" t="e">
        <f>VLOOKUP(B1474,'LƯƠNG KT'!$D$15:$R$94,4,0)</f>
        <v>#N/A</v>
      </c>
      <c r="D1475" s="1059" t="e">
        <f>+C1475*25000</f>
        <v>#N/A</v>
      </c>
      <c r="E1475" s="1060"/>
      <c r="F1475" s="1060"/>
      <c r="G1475" s="1056" t="s">
        <v>359</v>
      </c>
      <c r="H1475" s="1057" t="s">
        <v>2662</v>
      </c>
      <c r="I1475" s="1058" t="e">
        <f>VLOOKUP(H1474,'LƯƠNG KT'!$D$15:$R$94,4,0)</f>
        <v>#N/A</v>
      </c>
      <c r="J1475" s="1059" t="e">
        <f>+I1475*25000</f>
        <v>#N/A</v>
      </c>
      <c r="K1475" s="1085"/>
      <c r="L1475" s="1085"/>
      <c r="M1475" s="1085"/>
      <c r="N1475" s="1085"/>
      <c r="O1475" s="1085"/>
    </row>
    <row r="1476" spans="1:15" ht="15" customHeight="1">
      <c r="A1476" s="1056" t="s">
        <v>361</v>
      </c>
      <c r="B1476" s="1057" t="s">
        <v>2663</v>
      </c>
      <c r="C1476" s="1058" t="e">
        <f>VLOOKUP(B1474,'LƯƠNG KT'!$D$15:$R$94,15,0)</f>
        <v>#N/A</v>
      </c>
      <c r="D1476" s="1059" t="e">
        <f>C1476*$L$4</f>
        <v>#N/A</v>
      </c>
      <c r="E1476" s="1061"/>
      <c r="F1476" s="1061"/>
      <c r="G1476" s="1056" t="s">
        <v>361</v>
      </c>
      <c r="H1476" s="1057" t="s">
        <v>2663</v>
      </c>
      <c r="I1476" s="1058" t="e">
        <f>VLOOKUP(H1474,'LƯƠNG KT'!$D$15:$R$94,15,0)</f>
        <v>#N/A</v>
      </c>
      <c r="J1476" s="1059" t="e">
        <f>I1476*$L$4</f>
        <v>#N/A</v>
      </c>
      <c r="K1476" s="1085"/>
      <c r="L1476" s="1085"/>
      <c r="M1476" s="1085"/>
      <c r="N1476" s="1085"/>
      <c r="O1476" s="1085"/>
    </row>
    <row r="1477" spans="1:15" ht="15" customHeight="1">
      <c r="A1477" s="1056" t="s">
        <v>364</v>
      </c>
      <c r="B1477" s="1057" t="s">
        <v>2664</v>
      </c>
      <c r="C1477" s="1058" t="e">
        <f>VLOOKUP(B1474,'LƯƠNG KT'!$D$15:$R$94,16,0)</f>
        <v>#N/A</v>
      </c>
      <c r="D1477" s="1059" t="e">
        <f>C1477*$L$5</f>
        <v>#N/A</v>
      </c>
      <c r="E1477" s="1061"/>
      <c r="F1477" s="1061"/>
      <c r="G1477" s="1056" t="s">
        <v>364</v>
      </c>
      <c r="H1477" s="1057" t="s">
        <v>2664</v>
      </c>
      <c r="I1477" s="1058" t="e">
        <f>VLOOKUP(H1474,'LƯƠNG KT'!$D$15:$R$94,16,0)</f>
        <v>#N/A</v>
      </c>
      <c r="J1477" s="1059" t="e">
        <f>I1477*$L$5</f>
        <v>#N/A</v>
      </c>
      <c r="K1477" s="1085"/>
      <c r="L1477" s="1085"/>
      <c r="M1477" s="1085"/>
      <c r="N1477" s="1085"/>
      <c r="O1477" s="1085"/>
    </row>
    <row r="1478" spans="1:15" ht="15" customHeight="1">
      <c r="A1478" s="1056" t="s">
        <v>370</v>
      </c>
      <c r="B1478" s="1057" t="s">
        <v>2665</v>
      </c>
      <c r="C1478" s="1058" t="e">
        <f>VLOOKUP(B1474,'LƯƠNG KT'!$D$15:$R$94,24,0)</f>
        <v>#N/A</v>
      </c>
      <c r="D1478" s="1059" t="e">
        <f>+C1478*$L$6</f>
        <v>#N/A</v>
      </c>
      <c r="E1478" s="1061"/>
      <c r="F1478" s="1061"/>
      <c r="G1478" s="1056" t="s">
        <v>370</v>
      </c>
      <c r="H1478" s="1057" t="s">
        <v>2665</v>
      </c>
      <c r="I1478" s="1058" t="e">
        <f>VLOOKUP(H1474,'LƯƠNG KT'!$D$15:$R$94,24,0)</f>
        <v>#N/A</v>
      </c>
      <c r="J1478" s="1059" t="e">
        <f>+I1478*$L$6</f>
        <v>#N/A</v>
      </c>
      <c r="K1478" s="1085"/>
      <c r="L1478" s="1085"/>
      <c r="M1478" s="1085"/>
      <c r="N1478" s="1085"/>
      <c r="O1478" s="1085"/>
    </row>
    <row r="1479" spans="1:15" ht="15" customHeight="1">
      <c r="A1479" s="1056" t="s">
        <v>2666</v>
      </c>
      <c r="B1479" s="1057" t="s">
        <v>2667</v>
      </c>
      <c r="C1479" s="1058" t="e">
        <f>VLOOKUP(B1474,'LƯƠNG KT'!$D$15:$R$94,19,0)</f>
        <v>#N/A</v>
      </c>
      <c r="D1479" s="1059" t="e">
        <f>+C1479*$L$8</f>
        <v>#N/A</v>
      </c>
      <c r="E1479" s="1061"/>
      <c r="F1479" s="1061"/>
      <c r="G1479" s="1056" t="s">
        <v>2666</v>
      </c>
      <c r="H1479" s="1057" t="s">
        <v>2667</v>
      </c>
      <c r="I1479" s="1058" t="e">
        <f>VLOOKUP(H1474,'LƯƠNG KT'!$D$15:$R$94,19,0)</f>
        <v>#N/A</v>
      </c>
      <c r="J1479" s="1059" t="e">
        <f>+I1479*$L$8</f>
        <v>#N/A</v>
      </c>
      <c r="K1479" s="1085"/>
      <c r="L1479" s="1085"/>
      <c r="M1479" s="1085"/>
      <c r="N1479" s="1085"/>
      <c r="O1479" s="1085"/>
    </row>
    <row r="1480" spans="1:15" ht="15" customHeight="1">
      <c r="A1480" s="1056" t="s">
        <v>2668</v>
      </c>
      <c r="B1480" s="1062" t="s">
        <v>2669</v>
      </c>
      <c r="C1480" s="1058" t="e">
        <f>VLOOKUP(B1474,'LƯƠNG KT'!$D$15:$R$94,20,0)</f>
        <v>#N/A</v>
      </c>
      <c r="D1480" s="1059" t="e">
        <f>+C1480*$L$9</f>
        <v>#N/A</v>
      </c>
      <c r="E1480" s="1061"/>
      <c r="F1480" s="1061"/>
      <c r="G1480" s="1056" t="s">
        <v>2668</v>
      </c>
      <c r="H1480" s="1062" t="s">
        <v>2669</v>
      </c>
      <c r="I1480" s="1058" t="e">
        <f>VLOOKUP(H1474,'LƯƠNG KT'!$D$15:$R$94,20,0)</f>
        <v>#N/A</v>
      </c>
      <c r="J1480" s="1059" t="e">
        <f>+I1480*$L$9</f>
        <v>#N/A</v>
      </c>
      <c r="K1480" s="1085"/>
      <c r="L1480" s="1085"/>
      <c r="M1480" s="1085"/>
      <c r="N1480" s="1085"/>
      <c r="O1480" s="1085"/>
    </row>
    <row r="1481" spans="1:15" ht="15" customHeight="1">
      <c r="A1481" s="1056" t="s">
        <v>2671</v>
      </c>
      <c r="B1481" s="1057" t="s">
        <v>2672</v>
      </c>
      <c r="C1481" s="1058" t="e">
        <f>VLOOKUP(B1474,'LƯƠNG KT'!$D$15:$R$94,17,0)</f>
        <v>#N/A</v>
      </c>
      <c r="D1481" s="1059" t="e">
        <f>+C1481*$L$10</f>
        <v>#N/A</v>
      </c>
      <c r="E1481" s="1061"/>
      <c r="F1481" s="1061"/>
      <c r="G1481" s="1056" t="s">
        <v>2671</v>
      </c>
      <c r="H1481" s="1057" t="s">
        <v>2672</v>
      </c>
      <c r="I1481" s="1058" t="e">
        <f>VLOOKUP(H1474,'LƯƠNG KT'!$D$15:$R$94,17,0)</f>
        <v>#N/A</v>
      </c>
      <c r="J1481" s="1059" t="e">
        <f>+I1481*$L$10</f>
        <v>#N/A</v>
      </c>
      <c r="K1481" s="1085"/>
      <c r="L1481" s="1085"/>
      <c r="M1481" s="1085"/>
      <c r="N1481" s="1085"/>
      <c r="O1481" s="1085"/>
    </row>
    <row r="1482" spans="1:15" ht="15" customHeight="1">
      <c r="A1482" s="1056" t="s">
        <v>374</v>
      </c>
      <c r="B1482" s="1057" t="s">
        <v>2674</v>
      </c>
      <c r="C1482" s="1058" t="e">
        <f>VLOOKUP(B1474,'LƯƠNG KT'!$D$15:$R$94,12,0)</f>
        <v>#N/A</v>
      </c>
      <c r="D1482" s="1059" t="e">
        <f>VLOOKUP(B1474,'LƯƠNG KT'!$D$15:$R$94,14,0)</f>
        <v>#N/A</v>
      </c>
      <c r="E1482" s="1063"/>
      <c r="F1482" s="1061"/>
      <c r="G1482" s="1056" t="s">
        <v>374</v>
      </c>
      <c r="H1482" s="1057" t="s">
        <v>2674</v>
      </c>
      <c r="I1482" s="1058" t="e">
        <f>VLOOKUP(H1474,'LƯƠNG KT'!$D$15:$R$94,12,0)</f>
        <v>#N/A</v>
      </c>
      <c r="J1482" s="1059" t="e">
        <f>VLOOKUP(H1474,'LƯƠNG KT'!$D$15:$R$94,14,0)</f>
        <v>#N/A</v>
      </c>
      <c r="K1482" s="1085"/>
      <c r="L1482" s="1085"/>
      <c r="M1482" s="1085"/>
      <c r="N1482" s="1085"/>
      <c r="O1482" s="1085"/>
    </row>
    <row r="1483" spans="1:15" ht="15" customHeight="1">
      <c r="A1483" s="1056" t="s">
        <v>2675</v>
      </c>
      <c r="B1483" s="1057" t="s">
        <v>2676</v>
      </c>
      <c r="D1483" s="1064" t="e">
        <f>VLOOKUP(B1474,'LƯƠNG KT'!$D$15:$R$94,13,0)</f>
        <v>#N/A</v>
      </c>
      <c r="E1483" s="1065"/>
      <c r="F1483" s="1065"/>
      <c r="G1483" s="1056" t="s">
        <v>2675</v>
      </c>
      <c r="H1483" s="1057" t="s">
        <v>2676</v>
      </c>
      <c r="J1483" s="1064" t="e">
        <f>VLOOKUP(H1474,'LƯƠNG KT'!$D$15:$R$94,13,0)</f>
        <v>#N/A</v>
      </c>
    </row>
    <row r="1484" spans="1:15" ht="15" customHeight="1">
      <c r="A1484" s="1066"/>
      <c r="B1484" s="869"/>
      <c r="C1484" s="1058"/>
      <c r="D1484" s="1059"/>
      <c r="E1484" s="1063"/>
      <c r="F1484" s="1065"/>
      <c r="G1484" s="1066"/>
      <c r="H1484" s="869"/>
      <c r="I1484" s="1058"/>
      <c r="J1484" s="1059"/>
    </row>
    <row r="1485" spans="1:15" ht="15" customHeight="1">
      <c r="A1485" s="1052"/>
      <c r="B1485" s="869"/>
      <c r="C1485" s="1058"/>
      <c r="D1485" s="1059"/>
      <c r="E1485" s="1067"/>
      <c r="F1485" s="1051"/>
      <c r="G1485" s="1052"/>
      <c r="H1485" s="869"/>
      <c r="I1485" s="1058"/>
      <c r="J1485" s="1059"/>
    </row>
    <row r="1486" spans="1:15" ht="15" customHeight="1">
      <c r="A1486" s="1068" t="s">
        <v>383</v>
      </c>
      <c r="B1486" s="1069" t="s">
        <v>384</v>
      </c>
      <c r="C1486" s="1070"/>
      <c r="D1486" s="1071" t="e">
        <f>SUM(D1475:D1482)-D1485</f>
        <v>#N/A</v>
      </c>
      <c r="E1486" s="1072"/>
      <c r="F1486" s="1073"/>
      <c r="G1486" s="1068" t="s">
        <v>383</v>
      </c>
      <c r="H1486" s="1069" t="s">
        <v>384</v>
      </c>
      <c r="I1486" s="1070"/>
      <c r="J1486" s="1071" t="e">
        <f>SUM(J1475:J1482)-J1485</f>
        <v>#N/A</v>
      </c>
    </row>
    <row r="1487" spans="1:15" ht="18.75" customHeight="1">
      <c r="A1487" s="1074"/>
      <c r="B1487" s="1075"/>
      <c r="C1487" s="1076"/>
      <c r="D1487" s="1077"/>
      <c r="E1487" s="1077"/>
      <c r="F1487" s="1078"/>
      <c r="G1487" s="1074"/>
      <c r="H1487" s="1075"/>
      <c r="I1487" s="1076"/>
      <c r="J1487" s="1077"/>
    </row>
    <row r="1488" spans="1:15" ht="18.75" customHeight="1">
      <c r="A1488" s="1075"/>
      <c r="B1488" s="1075"/>
      <c r="C1488" s="1079"/>
      <c r="D1488" s="1080"/>
      <c r="E1488" s="1075"/>
      <c r="F1488" s="1081"/>
      <c r="G1488" s="1075"/>
      <c r="H1488" s="1075"/>
      <c r="I1488" s="1079"/>
      <c r="J1488" s="1080"/>
    </row>
    <row r="1489" spans="1:15" ht="15" customHeight="1">
      <c r="A1489" s="2242" t="str">
        <f>$K$2</f>
        <v>THÁNG 04/2025</v>
      </c>
      <c r="B1489" s="2242"/>
      <c r="C1489" s="2242"/>
      <c r="D1489" s="2242"/>
      <c r="E1489" s="1050"/>
      <c r="F1489" s="1051"/>
      <c r="G1489" s="2242" t="str">
        <f>$K$2</f>
        <v>THÁNG 04/2025</v>
      </c>
      <c r="H1489" s="2242"/>
      <c r="I1489" s="2242"/>
      <c r="J1489" s="2242"/>
      <c r="K1489" s="624"/>
    </row>
    <row r="1490" spans="1:15" ht="15" customHeight="1">
      <c r="A1490" s="1052" t="s">
        <v>356</v>
      </c>
      <c r="B1490" s="1053" t="s">
        <v>493</v>
      </c>
      <c r="C1490" s="869"/>
      <c r="D1490" s="1049"/>
      <c r="E1490" s="1054"/>
      <c r="F1490" s="1055"/>
      <c r="G1490" s="1052" t="s">
        <v>356</v>
      </c>
      <c r="H1490" s="1053" t="s">
        <v>89</v>
      </c>
      <c r="I1490" s="869"/>
      <c r="J1490" s="1049"/>
      <c r="L1490" s="1088"/>
      <c r="M1490" s="1088"/>
      <c r="N1490" s="1088"/>
      <c r="O1490" s="1088"/>
    </row>
    <row r="1491" spans="1:15" ht="15" customHeight="1">
      <c r="A1491" s="1056" t="s">
        <v>359</v>
      </c>
      <c r="B1491" s="1057" t="s">
        <v>2662</v>
      </c>
      <c r="C1491" s="1058" t="e">
        <f>VLOOKUP(B1490,'LƯƠNG KT'!$D$15:$R$94,4,0)</f>
        <v>#N/A</v>
      </c>
      <c r="D1491" s="1059" t="e">
        <f>+C1491*25000</f>
        <v>#N/A</v>
      </c>
      <c r="E1491" s="1060"/>
      <c r="F1491" s="1060"/>
      <c r="G1491" s="1056" t="s">
        <v>359</v>
      </c>
      <c r="H1491" s="1057" t="s">
        <v>2662</v>
      </c>
      <c r="I1491" s="1058" t="e">
        <f>VLOOKUP(H1490,'LƯƠNG KT'!$D$15:$R$94,4,0)</f>
        <v>#N/A</v>
      </c>
      <c r="J1491" s="1059" t="e">
        <f>+I1491*25000</f>
        <v>#N/A</v>
      </c>
      <c r="K1491" s="1085"/>
      <c r="L1491" s="1085"/>
      <c r="M1491" s="1085"/>
      <c r="N1491" s="1085"/>
      <c r="O1491" s="1085"/>
    </row>
    <row r="1492" spans="1:15" ht="15" customHeight="1">
      <c r="A1492" s="1056" t="s">
        <v>361</v>
      </c>
      <c r="B1492" s="1057" t="s">
        <v>2663</v>
      </c>
      <c r="C1492" s="1058" t="e">
        <f>VLOOKUP(B1490,'LƯƠNG KT'!$D$15:$R$94,15,0)</f>
        <v>#N/A</v>
      </c>
      <c r="D1492" s="1059" t="e">
        <f>C1492*$L$4</f>
        <v>#N/A</v>
      </c>
      <c r="E1492" s="1061"/>
      <c r="F1492" s="1061"/>
      <c r="G1492" s="1056" t="s">
        <v>361</v>
      </c>
      <c r="H1492" s="1057" t="s">
        <v>2663</v>
      </c>
      <c r="I1492" s="1058" t="e">
        <f>VLOOKUP(H1490,'LƯƠNG KT'!$D$15:$R$94,15,0)</f>
        <v>#N/A</v>
      </c>
      <c r="J1492" s="1059" t="e">
        <f>I1492*$L$4</f>
        <v>#N/A</v>
      </c>
      <c r="K1492" s="1085"/>
      <c r="L1492" s="1085"/>
      <c r="M1492" s="1085"/>
      <c r="N1492" s="1085"/>
      <c r="O1492" s="1085"/>
    </row>
    <row r="1493" spans="1:15" ht="15" customHeight="1">
      <c r="A1493" s="1056" t="s">
        <v>364</v>
      </c>
      <c r="B1493" s="1057" t="s">
        <v>2664</v>
      </c>
      <c r="C1493" s="1058" t="e">
        <f>VLOOKUP(B1490,'LƯƠNG KT'!$D$15:$R$94,16,0)</f>
        <v>#N/A</v>
      </c>
      <c r="D1493" s="1059" t="e">
        <f>C1493*$L$5</f>
        <v>#N/A</v>
      </c>
      <c r="E1493" s="1061"/>
      <c r="F1493" s="1061"/>
      <c r="G1493" s="1056" t="s">
        <v>364</v>
      </c>
      <c r="H1493" s="1057" t="s">
        <v>2664</v>
      </c>
      <c r="I1493" s="1058" t="e">
        <f>VLOOKUP(H1490,'LƯƠNG KT'!$D$15:$R$94,16,0)</f>
        <v>#N/A</v>
      </c>
      <c r="J1493" s="1059" t="e">
        <f>I1493*$L$5</f>
        <v>#N/A</v>
      </c>
      <c r="K1493" s="1085"/>
      <c r="L1493" s="1085"/>
      <c r="M1493" s="1085"/>
      <c r="N1493" s="1085"/>
      <c r="O1493" s="1085"/>
    </row>
    <row r="1494" spans="1:15" ht="15" customHeight="1">
      <c r="A1494" s="1056" t="s">
        <v>370</v>
      </c>
      <c r="B1494" s="1057" t="s">
        <v>2665</v>
      </c>
      <c r="C1494" s="1058" t="e">
        <f>VLOOKUP(B1490,'LƯƠNG KT'!$D$15:$R$94,24,0)</f>
        <v>#N/A</v>
      </c>
      <c r="D1494" s="1059" t="e">
        <f>+C1494*$L$6</f>
        <v>#N/A</v>
      </c>
      <c r="E1494" s="1061"/>
      <c r="F1494" s="1061"/>
      <c r="G1494" s="1056" t="s">
        <v>370</v>
      </c>
      <c r="H1494" s="1057" t="s">
        <v>2665</v>
      </c>
      <c r="I1494" s="1058" t="e">
        <f>VLOOKUP(H1490,'LƯƠNG KT'!$D$15:$R$94,24,0)</f>
        <v>#N/A</v>
      </c>
      <c r="J1494" s="1059" t="e">
        <f>+I1494*$L$6</f>
        <v>#N/A</v>
      </c>
      <c r="K1494" s="1085"/>
      <c r="L1494" s="1085"/>
      <c r="M1494" s="1085"/>
      <c r="N1494" s="1085"/>
      <c r="O1494" s="1085"/>
    </row>
    <row r="1495" spans="1:15" ht="15" customHeight="1">
      <c r="A1495" s="1056" t="s">
        <v>2666</v>
      </c>
      <c r="B1495" s="1057" t="s">
        <v>2667</v>
      </c>
      <c r="C1495" s="1058" t="e">
        <f>VLOOKUP(B1490,'LƯƠNG KT'!$D$15:$R$94,19,0)</f>
        <v>#N/A</v>
      </c>
      <c r="D1495" s="1059" t="e">
        <f>+C1495*$L$8</f>
        <v>#N/A</v>
      </c>
      <c r="E1495" s="1061"/>
      <c r="F1495" s="1061"/>
      <c r="G1495" s="1056" t="s">
        <v>2666</v>
      </c>
      <c r="H1495" s="1057" t="s">
        <v>2667</v>
      </c>
      <c r="I1495" s="1058" t="e">
        <f>VLOOKUP(H1490,'LƯƠNG KT'!$D$15:$R$94,19,0)</f>
        <v>#N/A</v>
      </c>
      <c r="J1495" s="1059" t="e">
        <f>+I1495*$L$8</f>
        <v>#N/A</v>
      </c>
      <c r="K1495" s="1085"/>
      <c r="L1495" s="1085"/>
      <c r="M1495" s="1085"/>
      <c r="N1495" s="1085"/>
      <c r="O1495" s="1085"/>
    </row>
    <row r="1496" spans="1:15" ht="15" customHeight="1">
      <c r="A1496" s="1056" t="s">
        <v>2668</v>
      </c>
      <c r="B1496" s="1062" t="s">
        <v>2669</v>
      </c>
      <c r="C1496" s="1058" t="e">
        <f>VLOOKUP(B1490,'LƯƠNG KT'!$D$15:$R$94,20,0)</f>
        <v>#N/A</v>
      </c>
      <c r="D1496" s="1059" t="e">
        <f>+C1496*$L$9</f>
        <v>#N/A</v>
      </c>
      <c r="E1496" s="1061"/>
      <c r="F1496" s="1061"/>
      <c r="G1496" s="1056" t="s">
        <v>2668</v>
      </c>
      <c r="H1496" s="1062" t="s">
        <v>2669</v>
      </c>
      <c r="I1496" s="1058" t="e">
        <f>VLOOKUP(H1490,'LƯƠNG KT'!$D$15:$R$94,20,0)</f>
        <v>#N/A</v>
      </c>
      <c r="J1496" s="1059" t="e">
        <f>+I1496*$L$9</f>
        <v>#N/A</v>
      </c>
      <c r="K1496" s="1085"/>
      <c r="L1496" s="1085"/>
      <c r="M1496" s="1085"/>
      <c r="N1496" s="1085"/>
      <c r="O1496" s="1085"/>
    </row>
    <row r="1497" spans="1:15" ht="15" customHeight="1">
      <c r="A1497" s="1056" t="s">
        <v>2671</v>
      </c>
      <c r="B1497" s="1057" t="s">
        <v>2672</v>
      </c>
      <c r="C1497" s="1058" t="e">
        <f>VLOOKUP(B1490,'LƯƠNG KT'!$D$15:$R$94,17,0)</f>
        <v>#N/A</v>
      </c>
      <c r="D1497" s="1059" t="e">
        <f>+C1497*$L$10</f>
        <v>#N/A</v>
      </c>
      <c r="E1497" s="1061"/>
      <c r="F1497" s="1061"/>
      <c r="G1497" s="1056" t="s">
        <v>2671</v>
      </c>
      <c r="H1497" s="1057" t="s">
        <v>2672</v>
      </c>
      <c r="I1497" s="1058" t="e">
        <f>VLOOKUP(H1490,'LƯƠNG KT'!$D$15:$R$94,17,0)</f>
        <v>#N/A</v>
      </c>
      <c r="J1497" s="1059" t="e">
        <f>+I1497*$L$10</f>
        <v>#N/A</v>
      </c>
      <c r="K1497" s="1085"/>
      <c r="L1497" s="1085"/>
      <c r="M1497" s="1085"/>
      <c r="N1497" s="1085"/>
      <c r="O1497" s="1085"/>
    </row>
    <row r="1498" spans="1:15" ht="15" customHeight="1">
      <c r="A1498" s="1056" t="s">
        <v>374</v>
      </c>
      <c r="B1498" s="1057" t="s">
        <v>2674</v>
      </c>
      <c r="C1498" s="1058" t="e">
        <f>VLOOKUP(B1490,'LƯƠNG KT'!$D$15:$R$94,12,0)</f>
        <v>#N/A</v>
      </c>
      <c r="D1498" s="1059" t="e">
        <f>VLOOKUP(B1490,'LƯƠNG KT'!$D$15:$R$94,14,0)</f>
        <v>#N/A</v>
      </c>
      <c r="E1498" s="1063"/>
      <c r="F1498" s="1061"/>
      <c r="G1498" s="1056" t="s">
        <v>374</v>
      </c>
      <c r="H1498" s="1057" t="s">
        <v>2674</v>
      </c>
      <c r="I1498" s="1058" t="e">
        <f>VLOOKUP(H1490,'LƯƠNG KT'!$D$15:$R$94,12,0)</f>
        <v>#N/A</v>
      </c>
      <c r="J1498" s="1059" t="e">
        <f>VLOOKUP(H1490,'LƯƠNG KT'!$D$15:$R$94,14,0)</f>
        <v>#N/A</v>
      </c>
      <c r="K1498" s="1085"/>
      <c r="L1498" s="1085"/>
      <c r="M1498" s="1085"/>
      <c r="N1498" s="1085"/>
      <c r="O1498" s="1085"/>
    </row>
    <row r="1499" spans="1:15" ht="15" customHeight="1">
      <c r="A1499" s="1056" t="s">
        <v>2675</v>
      </c>
      <c r="B1499" s="1057" t="s">
        <v>2676</v>
      </c>
      <c r="D1499" s="1064" t="e">
        <f>VLOOKUP(B1490,'LƯƠNG KT'!$D$15:$R$94,13,0)</f>
        <v>#N/A</v>
      </c>
      <c r="E1499" s="1065"/>
      <c r="F1499" s="1065"/>
      <c r="G1499" s="1056" t="s">
        <v>2675</v>
      </c>
      <c r="H1499" s="1057" t="s">
        <v>2676</v>
      </c>
      <c r="J1499" s="1064" t="e">
        <f>VLOOKUP(H1490,'LƯƠNG KT'!$D$15:$R$94,13,0)</f>
        <v>#N/A</v>
      </c>
    </row>
    <row r="1500" spans="1:15" ht="15" customHeight="1">
      <c r="A1500" s="1066"/>
      <c r="B1500" s="869"/>
      <c r="C1500" s="1058"/>
      <c r="D1500" s="1059"/>
      <c r="E1500" s="1063"/>
      <c r="F1500" s="1065"/>
      <c r="G1500" s="1066"/>
      <c r="H1500" s="869"/>
      <c r="I1500" s="1058"/>
      <c r="J1500" s="1059"/>
    </row>
    <row r="1501" spans="1:15" ht="15" customHeight="1">
      <c r="A1501" s="1052"/>
      <c r="B1501" s="869"/>
      <c r="C1501" s="1058"/>
      <c r="D1501" s="1059"/>
      <c r="E1501" s="1067"/>
      <c r="F1501" s="1051"/>
      <c r="G1501" s="1052"/>
      <c r="H1501" s="869"/>
      <c r="I1501" s="1058"/>
      <c r="J1501" s="1059"/>
    </row>
    <row r="1502" spans="1:15" ht="15" customHeight="1">
      <c r="A1502" s="1068" t="s">
        <v>383</v>
      </c>
      <c r="B1502" s="1069" t="s">
        <v>384</v>
      </c>
      <c r="C1502" s="1070"/>
      <c r="D1502" s="1071" t="e">
        <f>SUM(D1491:D1498)-D1501</f>
        <v>#N/A</v>
      </c>
      <c r="E1502" s="1072"/>
      <c r="F1502" s="1073"/>
      <c r="G1502" s="1068" t="s">
        <v>383</v>
      </c>
      <c r="H1502" s="1069" t="s">
        <v>384</v>
      </c>
      <c r="I1502" s="1070"/>
      <c r="J1502" s="1071" t="e">
        <f>SUM(J1491:J1498)-J1501</f>
        <v>#N/A</v>
      </c>
    </row>
    <row r="1503" spans="1:15" ht="15.75" customHeight="1">
      <c r="A1503" s="1074"/>
      <c r="B1503" s="1075"/>
      <c r="C1503" s="1076"/>
      <c r="D1503" s="1077"/>
      <c r="E1503" s="1077"/>
      <c r="F1503" s="1078"/>
      <c r="G1503" s="1074"/>
      <c r="H1503" s="1075"/>
      <c r="I1503" s="1076"/>
      <c r="J1503" s="1077"/>
    </row>
    <row r="1505" spans="1:15" ht="124.5" customHeight="1">
      <c r="A1505" s="2243"/>
      <c r="B1505" s="2243"/>
      <c r="C1505" s="2243"/>
      <c r="D1505" s="2243"/>
      <c r="E1505" s="2243"/>
      <c r="F1505" s="2243"/>
      <c r="G1505" s="2243"/>
      <c r="H1505" s="2243"/>
      <c r="I1505" s="2243"/>
      <c r="J1505" s="2243"/>
    </row>
    <row r="1506" spans="1:15" ht="15" customHeight="1">
      <c r="A1506" s="2242" t="str">
        <f>$K$2</f>
        <v>THÁNG 04/2025</v>
      </c>
      <c r="B1506" s="2242"/>
      <c r="C1506" s="2242"/>
      <c r="D1506" s="2242"/>
      <c r="E1506" s="1050"/>
      <c r="F1506" s="1051"/>
      <c r="G1506" s="2242" t="str">
        <f>$K$2</f>
        <v>THÁNG 04/2025</v>
      </c>
      <c r="H1506" s="2242"/>
      <c r="I1506" s="2242"/>
      <c r="J1506" s="2242"/>
      <c r="K1506" s="624"/>
    </row>
    <row r="1507" spans="1:15" ht="15" customHeight="1">
      <c r="A1507" s="1052" t="s">
        <v>356</v>
      </c>
      <c r="B1507" s="1053" t="s">
        <v>90</v>
      </c>
      <c r="C1507" s="869"/>
      <c r="D1507" s="1049"/>
      <c r="E1507" s="1054"/>
      <c r="F1507" s="1055"/>
      <c r="G1507" s="1052" t="s">
        <v>356</v>
      </c>
      <c r="H1507" s="1053" t="s">
        <v>1671</v>
      </c>
      <c r="I1507" s="869"/>
      <c r="J1507" s="1049"/>
      <c r="L1507" s="1088"/>
      <c r="M1507" s="1088"/>
      <c r="N1507" s="1088"/>
      <c r="O1507" s="1088"/>
    </row>
    <row r="1508" spans="1:15" ht="15" customHeight="1">
      <c r="A1508" s="1056" t="s">
        <v>359</v>
      </c>
      <c r="B1508" s="1057" t="s">
        <v>2662</v>
      </c>
      <c r="C1508" s="1058" t="e">
        <f>VLOOKUP(B1507,'LƯƠNG KT'!$D$15:$R$94,4,0)</f>
        <v>#N/A</v>
      </c>
      <c r="D1508" s="1059" t="e">
        <f>+C1508*25000</f>
        <v>#N/A</v>
      </c>
      <c r="E1508" s="1060"/>
      <c r="F1508" s="1060"/>
      <c r="G1508" s="1056" t="s">
        <v>359</v>
      </c>
      <c r="H1508" s="1057" t="s">
        <v>2662</v>
      </c>
      <c r="I1508" s="1058" t="e">
        <f>VLOOKUP(H1507,'LƯƠNG KT'!$D$15:$R$94,4,0)</f>
        <v>#N/A</v>
      </c>
      <c r="J1508" s="1059" t="e">
        <f>+I1508*25000</f>
        <v>#N/A</v>
      </c>
      <c r="K1508" s="1084"/>
      <c r="L1508" s="1085"/>
      <c r="M1508" s="1085"/>
      <c r="N1508" s="1085"/>
      <c r="O1508" s="1085"/>
    </row>
    <row r="1509" spans="1:15" ht="15" customHeight="1">
      <c r="A1509" s="1056" t="s">
        <v>361</v>
      </c>
      <c r="B1509" s="1057" t="s">
        <v>2663</v>
      </c>
      <c r="C1509" s="1058" t="e">
        <f>VLOOKUP(B1507,'LƯƠNG KT'!$D$15:$R$94,15,0)</f>
        <v>#N/A</v>
      </c>
      <c r="D1509" s="1059" t="e">
        <f>C1509*$L$4</f>
        <v>#N/A</v>
      </c>
      <c r="E1509" s="1061"/>
      <c r="F1509" s="1061"/>
      <c r="G1509" s="1056" t="s">
        <v>361</v>
      </c>
      <c r="H1509" s="1057" t="s">
        <v>2663</v>
      </c>
      <c r="I1509" s="1058" t="e">
        <f>VLOOKUP(H1507,'LƯƠNG KT'!$D$15:$R$94,15,0)</f>
        <v>#N/A</v>
      </c>
      <c r="J1509" s="1059" t="e">
        <f>I1509*$L$4</f>
        <v>#N/A</v>
      </c>
      <c r="K1509" s="1084"/>
      <c r="L1509" s="1085"/>
      <c r="M1509" s="1085"/>
      <c r="N1509" s="1085"/>
      <c r="O1509" s="1085"/>
    </row>
    <row r="1510" spans="1:15" ht="15" customHeight="1">
      <c r="A1510" s="1056" t="s">
        <v>364</v>
      </c>
      <c r="B1510" s="1057" t="s">
        <v>2664</v>
      </c>
      <c r="C1510" s="1058" t="e">
        <f>VLOOKUP(B1507,'LƯƠNG KT'!$D$15:$R$94,16,0)</f>
        <v>#N/A</v>
      </c>
      <c r="D1510" s="1059" t="e">
        <f>C1510*$L$5</f>
        <v>#N/A</v>
      </c>
      <c r="E1510" s="1061"/>
      <c r="F1510" s="1061"/>
      <c r="G1510" s="1056" t="s">
        <v>364</v>
      </c>
      <c r="H1510" s="1057" t="s">
        <v>2664</v>
      </c>
      <c r="I1510" s="1058" t="e">
        <f>VLOOKUP(H1507,'LƯƠNG KT'!$D$15:$R$94,16,0)</f>
        <v>#N/A</v>
      </c>
      <c r="J1510" s="1059" t="e">
        <f>I1510*$L$5</f>
        <v>#N/A</v>
      </c>
      <c r="K1510" s="1084"/>
      <c r="L1510" s="1085"/>
      <c r="M1510" s="1085"/>
      <c r="N1510" s="1085"/>
      <c r="O1510" s="1085"/>
    </row>
    <row r="1511" spans="1:15" ht="15" customHeight="1">
      <c r="A1511" s="1056" t="s">
        <v>370</v>
      </c>
      <c r="B1511" s="1057" t="s">
        <v>2665</v>
      </c>
      <c r="C1511" s="1058" t="e">
        <f>VLOOKUP(B1507,'LƯƠNG KT'!$D$15:$R$94,24,0)</f>
        <v>#N/A</v>
      </c>
      <c r="D1511" s="1059" t="e">
        <f>+C1511*$L$6</f>
        <v>#N/A</v>
      </c>
      <c r="E1511" s="1061"/>
      <c r="F1511" s="1061"/>
      <c r="G1511" s="1056" t="s">
        <v>370</v>
      </c>
      <c r="H1511" s="1057" t="s">
        <v>2665</v>
      </c>
      <c r="I1511" s="1058" t="e">
        <f>VLOOKUP(H1507,'LƯƠNG KT'!$D$15:$R$94,24,0)</f>
        <v>#N/A</v>
      </c>
      <c r="J1511" s="1059" t="e">
        <f>+I1511*$L$6</f>
        <v>#N/A</v>
      </c>
      <c r="K1511" s="1085"/>
      <c r="L1511" s="1085"/>
      <c r="M1511" s="1085"/>
      <c r="N1511" s="1085"/>
      <c r="O1511" s="1085"/>
    </row>
    <row r="1512" spans="1:15" ht="15" customHeight="1">
      <c r="A1512" s="1056" t="s">
        <v>2666</v>
      </c>
      <c r="B1512" s="1057" t="s">
        <v>2667</v>
      </c>
      <c r="C1512" s="1058" t="e">
        <f>VLOOKUP(B1507,'LƯƠNG KT'!$D$15:$R$94,19,0)</f>
        <v>#N/A</v>
      </c>
      <c r="D1512" s="1059" t="e">
        <f>+C1512*$L$8</f>
        <v>#N/A</v>
      </c>
      <c r="E1512" s="1061"/>
      <c r="F1512" s="1061"/>
      <c r="G1512" s="1056" t="s">
        <v>2666</v>
      </c>
      <c r="H1512" s="1057" t="s">
        <v>2667</v>
      </c>
      <c r="I1512" s="1058" t="e">
        <f>VLOOKUP(H1507,'LƯƠNG KT'!$D$15:$R$94,19,0)</f>
        <v>#N/A</v>
      </c>
      <c r="J1512" s="1059" t="e">
        <f>+I1512*$L$8</f>
        <v>#N/A</v>
      </c>
      <c r="K1512" s="1085"/>
      <c r="L1512" s="1085"/>
      <c r="M1512" s="1085"/>
      <c r="N1512" s="1085"/>
      <c r="O1512" s="1085"/>
    </row>
    <row r="1513" spans="1:15" ht="15" customHeight="1">
      <c r="A1513" s="1056" t="s">
        <v>2668</v>
      </c>
      <c r="B1513" s="1062" t="s">
        <v>2669</v>
      </c>
      <c r="C1513" s="1058" t="e">
        <f>VLOOKUP(B1507,'LƯƠNG KT'!$D$15:$R$94,20,0)</f>
        <v>#N/A</v>
      </c>
      <c r="D1513" s="1059" t="e">
        <f>+C1513*$L$9</f>
        <v>#N/A</v>
      </c>
      <c r="E1513" s="1061"/>
      <c r="F1513" s="1061"/>
      <c r="G1513" s="1056" t="s">
        <v>2668</v>
      </c>
      <c r="H1513" s="1062" t="s">
        <v>2669</v>
      </c>
      <c r="I1513" s="1058" t="e">
        <f>VLOOKUP(H1507,'LƯƠNG KT'!$D$15:$R$94,20,0)</f>
        <v>#N/A</v>
      </c>
      <c r="J1513" s="1059" t="e">
        <f>+I1513*$L$9</f>
        <v>#N/A</v>
      </c>
      <c r="K1513" s="1085"/>
      <c r="L1513" s="1085"/>
      <c r="M1513" s="1085"/>
      <c r="N1513" s="1085"/>
      <c r="O1513" s="1085"/>
    </row>
    <row r="1514" spans="1:15" ht="15" customHeight="1">
      <c r="A1514" s="1056" t="s">
        <v>2671</v>
      </c>
      <c r="B1514" s="1057" t="s">
        <v>2672</v>
      </c>
      <c r="C1514" s="1058" t="e">
        <f>VLOOKUP(B1507,'LƯƠNG KT'!$D$15:$R$94,17,0)</f>
        <v>#N/A</v>
      </c>
      <c r="D1514" s="1059" t="e">
        <f>+C1514*$L$10</f>
        <v>#N/A</v>
      </c>
      <c r="E1514" s="1061"/>
      <c r="F1514" s="1061"/>
      <c r="G1514" s="1056" t="s">
        <v>2671</v>
      </c>
      <c r="H1514" s="1057" t="s">
        <v>2672</v>
      </c>
      <c r="I1514" s="1058" t="e">
        <f>VLOOKUP(H1507,'LƯƠNG KT'!$D$15:$R$94,17,0)</f>
        <v>#N/A</v>
      </c>
      <c r="J1514" s="1059" t="e">
        <f>+I1514*$L$10</f>
        <v>#N/A</v>
      </c>
      <c r="K1514" s="1085"/>
      <c r="L1514" s="1085"/>
      <c r="M1514" s="1085"/>
      <c r="N1514" s="1085"/>
      <c r="O1514" s="1085"/>
    </row>
    <row r="1515" spans="1:15" ht="15" customHeight="1">
      <c r="A1515" s="1056" t="s">
        <v>374</v>
      </c>
      <c r="B1515" s="1057" t="s">
        <v>2674</v>
      </c>
      <c r="C1515" s="1058" t="e">
        <f>VLOOKUP(B1507,'LƯƠNG KT'!$D$15:$R$94,12,0)</f>
        <v>#N/A</v>
      </c>
      <c r="D1515" s="1059" t="e">
        <f>VLOOKUP(B1507,'LƯƠNG KT'!$D$15:$R$94,14,0)</f>
        <v>#N/A</v>
      </c>
      <c r="E1515" s="1063"/>
      <c r="F1515" s="1061"/>
      <c r="G1515" s="1056" t="s">
        <v>374</v>
      </c>
      <c r="H1515" s="1057" t="s">
        <v>2674</v>
      </c>
      <c r="I1515" s="1058" t="e">
        <f>VLOOKUP(H1507,'LƯƠNG KT'!$D$15:$R$94,12,0)</f>
        <v>#N/A</v>
      </c>
      <c r="J1515" s="1059" t="e">
        <f>VLOOKUP(H1507,'LƯƠNG KT'!$D$15:$R$94,14,0)</f>
        <v>#N/A</v>
      </c>
      <c r="K1515" s="1085"/>
      <c r="L1515" s="1085"/>
      <c r="M1515" s="1085"/>
      <c r="N1515" s="1085"/>
      <c r="O1515" s="1085"/>
    </row>
    <row r="1516" spans="1:15" ht="15" customHeight="1">
      <c r="A1516" s="1056" t="s">
        <v>2675</v>
      </c>
      <c r="B1516" s="1057" t="s">
        <v>2676</v>
      </c>
      <c r="D1516" s="1064" t="e">
        <f>VLOOKUP(B1507,'LƯƠNG KT'!$D$15:$R$94,13,0)</f>
        <v>#N/A</v>
      </c>
      <c r="E1516" s="1065"/>
      <c r="F1516" s="1065"/>
      <c r="G1516" s="1056" t="s">
        <v>2675</v>
      </c>
      <c r="H1516" s="1057" t="s">
        <v>2676</v>
      </c>
      <c r="J1516" s="1064" t="e">
        <f>VLOOKUP(H1507,'LƯƠNG KT'!$D$15:$R$94,13,0)</f>
        <v>#N/A</v>
      </c>
    </row>
    <row r="1517" spans="1:15" ht="15" customHeight="1">
      <c r="A1517" s="1066"/>
      <c r="B1517" s="869"/>
      <c r="C1517" s="1058"/>
      <c r="D1517" s="1059"/>
      <c r="E1517" s="1063"/>
      <c r="F1517" s="1065"/>
      <c r="G1517" s="1066"/>
      <c r="H1517" s="869"/>
      <c r="I1517" s="1058"/>
      <c r="J1517" s="1059"/>
    </row>
    <row r="1518" spans="1:15" ht="15" customHeight="1">
      <c r="A1518" s="1052"/>
      <c r="B1518" s="869"/>
      <c r="C1518" s="1058"/>
      <c r="D1518" s="1059"/>
      <c r="E1518" s="1067"/>
      <c r="F1518" s="1051"/>
      <c r="G1518" s="1052"/>
      <c r="H1518" s="869"/>
      <c r="I1518" s="1058"/>
      <c r="J1518" s="1059"/>
    </row>
    <row r="1519" spans="1:15" ht="15" customHeight="1">
      <c r="A1519" s="1068" t="s">
        <v>383</v>
      </c>
      <c r="B1519" s="1069" t="s">
        <v>384</v>
      </c>
      <c r="C1519" s="1070"/>
      <c r="D1519" s="1071" t="e">
        <f>SUM(D1508:D1515)-D1518</f>
        <v>#N/A</v>
      </c>
      <c r="E1519" s="1072"/>
      <c r="F1519" s="1073"/>
      <c r="G1519" s="1068" t="s">
        <v>383</v>
      </c>
      <c r="H1519" s="1069" t="s">
        <v>384</v>
      </c>
      <c r="I1519" s="1070"/>
      <c r="J1519" s="1071" t="e">
        <f>SUM(J1508:J1515)-J1518</f>
        <v>#N/A</v>
      </c>
    </row>
    <row r="1520" spans="1:15" ht="12.6" customHeight="1">
      <c r="A1520" s="1074"/>
      <c r="B1520" s="1075"/>
      <c r="C1520" s="1076"/>
      <c r="D1520" s="1077"/>
      <c r="E1520" s="1077"/>
      <c r="F1520" s="1078"/>
      <c r="G1520" s="1074"/>
      <c r="H1520" s="1075"/>
      <c r="I1520" s="1076"/>
      <c r="J1520" s="1077"/>
    </row>
    <row r="1521" spans="1:15" ht="12.6" customHeight="1">
      <c r="A1521" s="1075"/>
      <c r="B1521" s="1075"/>
      <c r="C1521" s="1079"/>
      <c r="D1521" s="1080"/>
      <c r="E1521" s="1075"/>
      <c r="F1521" s="1081"/>
      <c r="G1521" s="1075"/>
      <c r="H1521" s="1075"/>
      <c r="I1521" s="1079"/>
      <c r="J1521" s="1080"/>
    </row>
    <row r="1522" spans="1:15" ht="15" customHeight="1">
      <c r="A1522" s="2242" t="str">
        <f>$K$2</f>
        <v>THÁNG 04/2025</v>
      </c>
      <c r="B1522" s="2242"/>
      <c r="C1522" s="2242"/>
      <c r="D1522" s="2242"/>
      <c r="E1522" s="1050"/>
      <c r="F1522" s="1051"/>
      <c r="G1522" s="2242" t="str">
        <f>$K$2</f>
        <v>THÁNG 04/2025</v>
      </c>
      <c r="H1522" s="2242"/>
      <c r="I1522" s="2242"/>
      <c r="J1522" s="2242"/>
      <c r="K1522" s="624"/>
    </row>
    <row r="1523" spans="1:15" ht="15" customHeight="1">
      <c r="A1523" s="1052" t="s">
        <v>356</v>
      </c>
      <c r="B1523" s="1053" t="s">
        <v>64</v>
      </c>
      <c r="C1523" s="869"/>
      <c r="D1523" s="1049"/>
      <c r="E1523" s="1054"/>
      <c r="F1523" s="1055"/>
      <c r="G1523" s="1052" t="s">
        <v>356</v>
      </c>
      <c r="H1523" s="1053" t="s">
        <v>65</v>
      </c>
      <c r="I1523" s="869"/>
      <c r="J1523" s="1049"/>
      <c r="L1523" s="1088"/>
      <c r="M1523" s="1088"/>
      <c r="N1523" s="1088"/>
      <c r="O1523" s="1088"/>
    </row>
    <row r="1524" spans="1:15" ht="15" customHeight="1">
      <c r="A1524" s="1056" t="s">
        <v>359</v>
      </c>
      <c r="B1524" s="1057" t="s">
        <v>2662</v>
      </c>
      <c r="C1524" s="1058" t="e">
        <f>VLOOKUP(B1523,'LƯƠNG KT'!$D$15:$R$94,4,0)</f>
        <v>#N/A</v>
      </c>
      <c r="D1524" s="1059" t="e">
        <f>+C1524*25000</f>
        <v>#N/A</v>
      </c>
      <c r="E1524" s="1060"/>
      <c r="F1524" s="1060"/>
      <c r="G1524" s="1056" t="s">
        <v>359</v>
      </c>
      <c r="H1524" s="1057" t="s">
        <v>2662</v>
      </c>
      <c r="I1524" s="1058" t="e">
        <f>VLOOKUP(H1523,'LƯƠNG KT'!$D$15:$R$94,4,0)</f>
        <v>#N/A</v>
      </c>
      <c r="J1524" s="1059" t="e">
        <f>+I1524*25000</f>
        <v>#N/A</v>
      </c>
      <c r="K1524" s="1085"/>
      <c r="L1524" s="1085"/>
      <c r="M1524" s="1085"/>
      <c r="N1524" s="1085"/>
      <c r="O1524" s="1085"/>
    </row>
    <row r="1525" spans="1:15" ht="15" customHeight="1">
      <c r="A1525" s="1056" t="s">
        <v>361</v>
      </c>
      <c r="B1525" s="1057" t="s">
        <v>2663</v>
      </c>
      <c r="C1525" s="1058" t="e">
        <f>VLOOKUP(B1523,'LƯƠNG KT'!$D$15:$R$94,15,0)</f>
        <v>#N/A</v>
      </c>
      <c r="D1525" s="1059" t="e">
        <f>C1525*$L$4</f>
        <v>#N/A</v>
      </c>
      <c r="E1525" s="1061"/>
      <c r="F1525" s="1061"/>
      <c r="G1525" s="1056" t="s">
        <v>361</v>
      </c>
      <c r="H1525" s="1057" t="s">
        <v>2663</v>
      </c>
      <c r="I1525" s="1058" t="e">
        <f>VLOOKUP(H1523,'LƯƠNG KT'!$D$15:$R$94,15,0)</f>
        <v>#N/A</v>
      </c>
      <c r="J1525" s="1059" t="e">
        <f>I1525*$L$4</f>
        <v>#N/A</v>
      </c>
      <c r="K1525" s="1085"/>
      <c r="L1525" s="1085"/>
      <c r="M1525" s="1085"/>
      <c r="N1525" s="1085"/>
      <c r="O1525" s="1085"/>
    </row>
    <row r="1526" spans="1:15" ht="15" customHeight="1">
      <c r="A1526" s="1056" t="s">
        <v>364</v>
      </c>
      <c r="B1526" s="1057" t="s">
        <v>2664</v>
      </c>
      <c r="C1526" s="1058" t="e">
        <f>VLOOKUP(B1523,'LƯƠNG KT'!$D$15:$R$94,16,0)</f>
        <v>#N/A</v>
      </c>
      <c r="D1526" s="1059" t="e">
        <f>C1526*$L$5</f>
        <v>#N/A</v>
      </c>
      <c r="E1526" s="1061"/>
      <c r="F1526" s="1061"/>
      <c r="G1526" s="1056" t="s">
        <v>364</v>
      </c>
      <c r="H1526" s="1057" t="s">
        <v>2664</v>
      </c>
      <c r="I1526" s="1058" t="e">
        <f>VLOOKUP(H1523,'LƯƠNG KT'!$D$15:$R$94,16,0)</f>
        <v>#N/A</v>
      </c>
      <c r="J1526" s="1059" t="e">
        <f>I1526*$L$5</f>
        <v>#N/A</v>
      </c>
      <c r="K1526" s="1085"/>
      <c r="L1526" s="1085"/>
      <c r="M1526" s="1085"/>
      <c r="N1526" s="1085"/>
      <c r="O1526" s="1085"/>
    </row>
    <row r="1527" spans="1:15" ht="15" customHeight="1">
      <c r="A1527" s="1056" t="s">
        <v>370</v>
      </c>
      <c r="B1527" s="1057" t="s">
        <v>2665</v>
      </c>
      <c r="C1527" s="1058" t="e">
        <f>VLOOKUP(B1523,'LƯƠNG KT'!$D$15:$R$94,24,0)</f>
        <v>#N/A</v>
      </c>
      <c r="D1527" s="1059" t="e">
        <f>+C1527*$L$6</f>
        <v>#N/A</v>
      </c>
      <c r="E1527" s="1061"/>
      <c r="F1527" s="1061"/>
      <c r="G1527" s="1056" t="s">
        <v>370</v>
      </c>
      <c r="H1527" s="1057" t="s">
        <v>2665</v>
      </c>
      <c r="I1527" s="1058" t="e">
        <f>VLOOKUP(H1523,'LƯƠNG KT'!$D$15:$R$94,24,0)</f>
        <v>#N/A</v>
      </c>
      <c r="J1527" s="1059" t="e">
        <f>+I1527*$L$6</f>
        <v>#N/A</v>
      </c>
      <c r="K1527" s="1085"/>
      <c r="L1527" s="1085"/>
      <c r="M1527" s="1085"/>
      <c r="N1527" s="1085"/>
      <c r="O1527" s="1085"/>
    </row>
    <row r="1528" spans="1:15" ht="15" customHeight="1">
      <c r="A1528" s="1056" t="s">
        <v>2666</v>
      </c>
      <c r="B1528" s="1057" t="s">
        <v>2667</v>
      </c>
      <c r="C1528" s="1058" t="e">
        <f>VLOOKUP(B1523,'LƯƠNG KT'!$D$15:$R$94,19,0)</f>
        <v>#N/A</v>
      </c>
      <c r="D1528" s="1059" t="e">
        <f>+C1528*$L$8</f>
        <v>#N/A</v>
      </c>
      <c r="E1528" s="1061"/>
      <c r="F1528" s="1061"/>
      <c r="G1528" s="1056" t="s">
        <v>2666</v>
      </c>
      <c r="H1528" s="1057" t="s">
        <v>2667</v>
      </c>
      <c r="I1528" s="1058" t="e">
        <f>VLOOKUP(H1523,'LƯƠNG KT'!$D$15:$R$94,19,0)</f>
        <v>#N/A</v>
      </c>
      <c r="J1528" s="1059" t="e">
        <f>+I1528*$L$8</f>
        <v>#N/A</v>
      </c>
      <c r="K1528" s="1085"/>
      <c r="L1528" s="1085"/>
      <c r="M1528" s="1085"/>
      <c r="N1528" s="1085"/>
      <c r="O1528" s="1085"/>
    </row>
    <row r="1529" spans="1:15" ht="15" customHeight="1">
      <c r="A1529" s="1056" t="s">
        <v>2668</v>
      </c>
      <c r="B1529" s="1062" t="s">
        <v>2669</v>
      </c>
      <c r="C1529" s="1058" t="e">
        <f>VLOOKUP(B1523,'LƯƠNG KT'!$D$15:$R$94,20,0)</f>
        <v>#N/A</v>
      </c>
      <c r="D1529" s="1059" t="e">
        <f>+C1529*$L$9</f>
        <v>#N/A</v>
      </c>
      <c r="E1529" s="1061"/>
      <c r="F1529" s="1061"/>
      <c r="G1529" s="1056" t="s">
        <v>2668</v>
      </c>
      <c r="H1529" s="1062" t="s">
        <v>2669</v>
      </c>
      <c r="I1529" s="1058" t="e">
        <f>VLOOKUP(H1523,'LƯƠNG KT'!$D$15:$R$94,20,0)</f>
        <v>#N/A</v>
      </c>
      <c r="J1529" s="1059" t="e">
        <f>+I1529*$L$9</f>
        <v>#N/A</v>
      </c>
      <c r="K1529" s="1085"/>
      <c r="L1529" s="1085"/>
      <c r="M1529" s="1085"/>
      <c r="N1529" s="1085"/>
      <c r="O1529" s="1085"/>
    </row>
    <row r="1530" spans="1:15" ht="15" customHeight="1">
      <c r="A1530" s="1056" t="s">
        <v>2671</v>
      </c>
      <c r="B1530" s="1057" t="s">
        <v>2672</v>
      </c>
      <c r="C1530" s="1058" t="e">
        <f>VLOOKUP(B1523,'LƯƠNG KT'!$D$15:$R$94,17,0)</f>
        <v>#N/A</v>
      </c>
      <c r="D1530" s="1059" t="e">
        <f>+C1530*$L$10</f>
        <v>#N/A</v>
      </c>
      <c r="E1530" s="1061"/>
      <c r="F1530" s="1061"/>
      <c r="G1530" s="1056" t="s">
        <v>2671</v>
      </c>
      <c r="H1530" s="1057" t="s">
        <v>2672</v>
      </c>
      <c r="I1530" s="1058" t="e">
        <f>VLOOKUP(H1523,'LƯƠNG KT'!$D$15:$R$94,17,0)</f>
        <v>#N/A</v>
      </c>
      <c r="J1530" s="1059" t="e">
        <f>+I1530*$L$10</f>
        <v>#N/A</v>
      </c>
      <c r="K1530" s="1085"/>
      <c r="L1530" s="1085"/>
      <c r="M1530" s="1085"/>
      <c r="N1530" s="1085"/>
      <c r="O1530" s="1085"/>
    </row>
    <row r="1531" spans="1:15" ht="15" customHeight="1">
      <c r="A1531" s="1056" t="s">
        <v>374</v>
      </c>
      <c r="B1531" s="1057" t="s">
        <v>2674</v>
      </c>
      <c r="C1531" s="1058" t="e">
        <f>VLOOKUP(B1523,'LƯƠNG KT'!$D$15:$R$94,12,0)</f>
        <v>#N/A</v>
      </c>
      <c r="D1531" s="1059" t="e">
        <f>VLOOKUP(B1523,'LƯƠNG KT'!$D$15:$R$94,14,0)</f>
        <v>#N/A</v>
      </c>
      <c r="E1531" s="1063"/>
      <c r="F1531" s="1061"/>
      <c r="G1531" s="1056" t="s">
        <v>374</v>
      </c>
      <c r="H1531" s="1057" t="s">
        <v>2674</v>
      </c>
      <c r="I1531" s="1058" t="e">
        <f>VLOOKUP(H1523,'LƯƠNG KT'!$D$15:$R$94,12,0)</f>
        <v>#N/A</v>
      </c>
      <c r="J1531" s="1059" t="e">
        <f>VLOOKUP(H1523,'LƯƠNG KT'!$D$15:$R$94,14,0)</f>
        <v>#N/A</v>
      </c>
      <c r="K1531" s="1085"/>
      <c r="L1531" s="1085"/>
      <c r="M1531" s="1085"/>
      <c r="N1531" s="1085"/>
      <c r="O1531" s="1085"/>
    </row>
    <row r="1532" spans="1:15" ht="15" customHeight="1">
      <c r="A1532" s="1056" t="s">
        <v>2675</v>
      </c>
      <c r="B1532" s="1057" t="s">
        <v>2676</v>
      </c>
      <c r="D1532" s="1064" t="e">
        <f>VLOOKUP(B1523,'LƯƠNG KT'!$D$15:$R$94,13,0)</f>
        <v>#N/A</v>
      </c>
      <c r="E1532" s="1065"/>
      <c r="F1532" s="1065"/>
      <c r="G1532" s="1056" t="s">
        <v>2675</v>
      </c>
      <c r="H1532" s="1057" t="s">
        <v>2676</v>
      </c>
      <c r="J1532" s="1064" t="e">
        <f>VLOOKUP(H1523,'LƯƠNG KT'!$D$15:$R$94,13,0)</f>
        <v>#N/A</v>
      </c>
    </row>
    <row r="1533" spans="1:15" ht="15" customHeight="1">
      <c r="A1533" s="1066"/>
      <c r="B1533" s="869"/>
      <c r="C1533" s="1058"/>
      <c r="D1533" s="1059"/>
      <c r="E1533" s="1063"/>
      <c r="F1533" s="1065"/>
      <c r="G1533" s="1066"/>
      <c r="H1533" s="869"/>
      <c r="I1533" s="1058"/>
      <c r="J1533" s="1059"/>
    </row>
    <row r="1534" spans="1:15" ht="15" customHeight="1">
      <c r="A1534" s="1052"/>
      <c r="B1534" s="869"/>
      <c r="C1534" s="1058"/>
      <c r="D1534" s="1059"/>
      <c r="E1534" s="1067"/>
      <c r="F1534" s="1051"/>
      <c r="G1534" s="1052"/>
      <c r="H1534" s="869"/>
      <c r="I1534" s="1058"/>
      <c r="J1534" s="1059"/>
    </row>
    <row r="1535" spans="1:15" ht="15" customHeight="1">
      <c r="A1535" s="1068" t="s">
        <v>383</v>
      </c>
      <c r="B1535" s="1069" t="s">
        <v>384</v>
      </c>
      <c r="C1535" s="1070"/>
      <c r="D1535" s="1071" t="e">
        <f>SUM(D1524:D1531)-D1534</f>
        <v>#N/A</v>
      </c>
      <c r="E1535" s="1072"/>
      <c r="F1535" s="1073"/>
      <c r="G1535" s="1068" t="s">
        <v>383</v>
      </c>
      <c r="H1535" s="1069" t="s">
        <v>384</v>
      </c>
      <c r="I1535" s="1070"/>
      <c r="J1535" s="1071" t="e">
        <f>SUM(J1524:J1531)-J1534</f>
        <v>#N/A</v>
      </c>
    </row>
    <row r="1536" spans="1:15" ht="18.75" customHeight="1">
      <c r="A1536" s="1074"/>
      <c r="B1536" s="1075"/>
      <c r="C1536" s="1076"/>
      <c r="D1536" s="1077"/>
      <c r="E1536" s="1077"/>
      <c r="F1536" s="1078"/>
      <c r="G1536" s="1074"/>
      <c r="H1536" s="1075"/>
      <c r="I1536" s="1076"/>
      <c r="J1536" s="1077"/>
    </row>
    <row r="1537" spans="1:15" ht="18.75" customHeight="1">
      <c r="A1537" s="1075"/>
      <c r="B1537" s="1075"/>
      <c r="C1537" s="1079"/>
      <c r="D1537" s="1080"/>
      <c r="E1537" s="1075"/>
      <c r="F1537" s="1081"/>
      <c r="G1537" s="1075"/>
      <c r="H1537" s="1075"/>
      <c r="I1537" s="1079"/>
      <c r="J1537" s="1080"/>
    </row>
    <row r="1538" spans="1:15" ht="15" customHeight="1">
      <c r="A1538" s="2242" t="str">
        <f>$K$2</f>
        <v>THÁNG 04/2025</v>
      </c>
      <c r="B1538" s="2242"/>
      <c r="C1538" s="2242"/>
      <c r="D1538" s="2242"/>
      <c r="E1538" s="1050"/>
      <c r="F1538" s="1051"/>
      <c r="G1538" s="2242" t="str">
        <f>$K$2</f>
        <v>THÁNG 04/2025</v>
      </c>
      <c r="H1538" s="2242"/>
      <c r="I1538" s="2242"/>
      <c r="J1538" s="2242"/>
      <c r="K1538" s="624"/>
    </row>
    <row r="1539" spans="1:15" ht="15" customHeight="1">
      <c r="A1539" s="1052" t="s">
        <v>356</v>
      </c>
      <c r="B1539" s="1053" t="s">
        <v>91</v>
      </c>
      <c r="C1539" s="869"/>
      <c r="D1539" s="1049"/>
      <c r="E1539" s="1054"/>
      <c r="F1539" s="1055"/>
      <c r="G1539" s="1052" t="s">
        <v>356</v>
      </c>
      <c r="H1539" s="1053" t="s">
        <v>102</v>
      </c>
      <c r="I1539" s="869"/>
      <c r="J1539" s="1049"/>
      <c r="L1539" s="1088"/>
      <c r="M1539" s="1088"/>
      <c r="N1539" s="1088"/>
      <c r="O1539" s="1088"/>
    </row>
    <row r="1540" spans="1:15" ht="15" customHeight="1">
      <c r="A1540" s="1056" t="s">
        <v>359</v>
      </c>
      <c r="B1540" s="1057" t="s">
        <v>2662</v>
      </c>
      <c r="C1540" s="1058" t="e">
        <f>VLOOKUP(B1539,'LƯƠNG KT'!$D$15:$R$94,4,0)</f>
        <v>#N/A</v>
      </c>
      <c r="D1540" s="1059" t="e">
        <f>+C1540*25000</f>
        <v>#N/A</v>
      </c>
      <c r="E1540" s="1060"/>
      <c r="F1540" s="1060"/>
      <c r="G1540" s="1056" t="s">
        <v>359</v>
      </c>
      <c r="H1540" s="1057" t="s">
        <v>2662</v>
      </c>
      <c r="I1540" s="1058" t="e">
        <f>VLOOKUP(H1539,'LƯƠNG KT'!$D$15:$R$94,4,0)</f>
        <v>#N/A</v>
      </c>
      <c r="J1540" s="1059" t="e">
        <f>+I1540*25000</f>
        <v>#N/A</v>
      </c>
      <c r="K1540" s="1085"/>
      <c r="L1540" s="1085"/>
      <c r="M1540" s="1085"/>
      <c r="N1540" s="1085"/>
      <c r="O1540" s="1085"/>
    </row>
    <row r="1541" spans="1:15" ht="15" customHeight="1">
      <c r="A1541" s="1056" t="s">
        <v>361</v>
      </c>
      <c r="B1541" s="1057" t="s">
        <v>2663</v>
      </c>
      <c r="C1541" s="1058" t="e">
        <f>VLOOKUP(B1539,'LƯƠNG KT'!$D$15:$R$94,15,0)</f>
        <v>#N/A</v>
      </c>
      <c r="D1541" s="1059" t="e">
        <f>C1541*$L$4</f>
        <v>#N/A</v>
      </c>
      <c r="E1541" s="1061"/>
      <c r="F1541" s="1061"/>
      <c r="G1541" s="1056" t="s">
        <v>361</v>
      </c>
      <c r="H1541" s="1057" t="s">
        <v>2663</v>
      </c>
      <c r="I1541" s="1058" t="e">
        <f>VLOOKUP(H1539,'LƯƠNG KT'!$D$15:$R$94,15,0)</f>
        <v>#N/A</v>
      </c>
      <c r="J1541" s="1059" t="e">
        <f>I1541*$L$4</f>
        <v>#N/A</v>
      </c>
      <c r="K1541" s="1085"/>
      <c r="L1541" s="1085"/>
      <c r="M1541" s="1085"/>
      <c r="N1541" s="1085"/>
      <c r="O1541" s="1085"/>
    </row>
    <row r="1542" spans="1:15" ht="15" customHeight="1">
      <c r="A1542" s="1056" t="s">
        <v>364</v>
      </c>
      <c r="B1542" s="1057" t="s">
        <v>2664</v>
      </c>
      <c r="C1542" s="1058" t="e">
        <f>VLOOKUP(B1539,'LƯƠNG KT'!$D$15:$R$94,16,0)</f>
        <v>#N/A</v>
      </c>
      <c r="D1542" s="1059" t="e">
        <f>C1542*$L$5</f>
        <v>#N/A</v>
      </c>
      <c r="E1542" s="1061"/>
      <c r="F1542" s="1061"/>
      <c r="G1542" s="1056" t="s">
        <v>364</v>
      </c>
      <c r="H1542" s="1057" t="s">
        <v>2664</v>
      </c>
      <c r="I1542" s="1058" t="e">
        <f>VLOOKUP(H1539,'LƯƠNG KT'!$D$15:$R$94,16,0)</f>
        <v>#N/A</v>
      </c>
      <c r="J1542" s="1059" t="e">
        <f>I1542*$L$5</f>
        <v>#N/A</v>
      </c>
      <c r="K1542" s="1085"/>
      <c r="L1542" s="1085"/>
      <c r="M1542" s="1085"/>
      <c r="N1542" s="1085"/>
      <c r="O1542" s="1085"/>
    </row>
    <row r="1543" spans="1:15" ht="15" customHeight="1">
      <c r="A1543" s="1056" t="s">
        <v>370</v>
      </c>
      <c r="B1543" s="1057" t="s">
        <v>2665</v>
      </c>
      <c r="C1543" s="1058" t="e">
        <f>VLOOKUP(B1539,'LƯƠNG KT'!$D$15:$R$94,24,0)</f>
        <v>#N/A</v>
      </c>
      <c r="D1543" s="1059" t="e">
        <f>+C1543*$L$6</f>
        <v>#N/A</v>
      </c>
      <c r="E1543" s="1061"/>
      <c r="F1543" s="1061"/>
      <c r="G1543" s="1056" t="s">
        <v>370</v>
      </c>
      <c r="H1543" s="1057" t="s">
        <v>2665</v>
      </c>
      <c r="I1543" s="1058" t="e">
        <f>VLOOKUP(H1539,'LƯƠNG KT'!$D$15:$R$94,24,0)</f>
        <v>#N/A</v>
      </c>
      <c r="J1543" s="1059" t="e">
        <f>+I1543*$L$6</f>
        <v>#N/A</v>
      </c>
      <c r="K1543" s="1085"/>
      <c r="L1543" s="1085"/>
      <c r="M1543" s="1085"/>
      <c r="N1543" s="1085"/>
      <c r="O1543" s="1085"/>
    </row>
    <row r="1544" spans="1:15" ht="15" customHeight="1">
      <c r="A1544" s="1056" t="s">
        <v>2666</v>
      </c>
      <c r="B1544" s="1057" t="s">
        <v>2667</v>
      </c>
      <c r="C1544" s="1058" t="e">
        <f>VLOOKUP(B1539,'LƯƠNG KT'!$D$15:$R$94,19,0)</f>
        <v>#N/A</v>
      </c>
      <c r="D1544" s="1059" t="e">
        <f>+C1544*$L$8</f>
        <v>#N/A</v>
      </c>
      <c r="E1544" s="1061"/>
      <c r="F1544" s="1061"/>
      <c r="G1544" s="1056" t="s">
        <v>2666</v>
      </c>
      <c r="H1544" s="1057" t="s">
        <v>2667</v>
      </c>
      <c r="I1544" s="1058" t="e">
        <f>VLOOKUP(H1539,'LƯƠNG KT'!$D$15:$R$94,19,0)</f>
        <v>#N/A</v>
      </c>
      <c r="J1544" s="1059" t="e">
        <f>+I1544*$L$8</f>
        <v>#N/A</v>
      </c>
      <c r="K1544" s="1085"/>
      <c r="L1544" s="1085"/>
      <c r="M1544" s="1085"/>
      <c r="N1544" s="1085"/>
      <c r="O1544" s="1085"/>
    </row>
    <row r="1545" spans="1:15" ht="15" customHeight="1">
      <c r="A1545" s="1056" t="s">
        <v>2668</v>
      </c>
      <c r="B1545" s="1062" t="s">
        <v>2669</v>
      </c>
      <c r="C1545" s="1058" t="e">
        <f>VLOOKUP(B1539,'LƯƠNG KT'!$D$15:$R$94,20,0)</f>
        <v>#N/A</v>
      </c>
      <c r="D1545" s="1059" t="e">
        <f>+C1545*$L$9</f>
        <v>#N/A</v>
      </c>
      <c r="E1545" s="1061"/>
      <c r="F1545" s="1061"/>
      <c r="G1545" s="1056" t="s">
        <v>2668</v>
      </c>
      <c r="H1545" s="1062" t="s">
        <v>2669</v>
      </c>
      <c r="I1545" s="1058" t="e">
        <f>VLOOKUP(H1539,'LƯƠNG KT'!$D$15:$R$94,20,0)</f>
        <v>#N/A</v>
      </c>
      <c r="J1545" s="1059" t="e">
        <f>+I1545*$L$9</f>
        <v>#N/A</v>
      </c>
      <c r="K1545" s="1085"/>
      <c r="L1545" s="1085"/>
      <c r="M1545" s="1085"/>
      <c r="N1545" s="1085"/>
      <c r="O1545" s="1085"/>
    </row>
    <row r="1546" spans="1:15" ht="15" customHeight="1">
      <c r="A1546" s="1056" t="s">
        <v>2671</v>
      </c>
      <c r="B1546" s="1057" t="s">
        <v>2672</v>
      </c>
      <c r="C1546" s="1058" t="e">
        <f>VLOOKUP(B1539,'LƯƠNG KT'!$D$15:$R$94,17,0)</f>
        <v>#N/A</v>
      </c>
      <c r="D1546" s="1059" t="e">
        <f>+C1546*$L$10</f>
        <v>#N/A</v>
      </c>
      <c r="E1546" s="1061"/>
      <c r="F1546" s="1061"/>
      <c r="G1546" s="1056" t="s">
        <v>2671</v>
      </c>
      <c r="H1546" s="1057" t="s">
        <v>2672</v>
      </c>
      <c r="I1546" s="1058" t="e">
        <f>VLOOKUP(H1539,'LƯƠNG KT'!$D$15:$R$94,17,0)</f>
        <v>#N/A</v>
      </c>
      <c r="J1546" s="1059" t="e">
        <f>+I1546*$L$10</f>
        <v>#N/A</v>
      </c>
      <c r="K1546" s="1085"/>
      <c r="L1546" s="1085"/>
      <c r="M1546" s="1085"/>
      <c r="N1546" s="1085"/>
      <c r="O1546" s="1085"/>
    </row>
    <row r="1547" spans="1:15" ht="15" customHeight="1">
      <c r="A1547" s="1056" t="s">
        <v>374</v>
      </c>
      <c r="B1547" s="1057" t="s">
        <v>2674</v>
      </c>
      <c r="C1547" s="1058" t="e">
        <f>VLOOKUP(B1539,'LƯƠNG KT'!$D$15:$R$94,12,0)</f>
        <v>#N/A</v>
      </c>
      <c r="D1547" s="1059" t="e">
        <f>VLOOKUP(B1539,'LƯƠNG KT'!$D$15:$R$94,14,0)</f>
        <v>#N/A</v>
      </c>
      <c r="E1547" s="1063"/>
      <c r="F1547" s="1061"/>
      <c r="G1547" s="1056" t="s">
        <v>374</v>
      </c>
      <c r="H1547" s="1057" t="s">
        <v>2674</v>
      </c>
      <c r="I1547" s="1058" t="e">
        <f>VLOOKUP(H1539,'LƯƠNG KT'!$D$15:$R$94,12,0)</f>
        <v>#N/A</v>
      </c>
      <c r="J1547" s="1059" t="e">
        <f>VLOOKUP(H1539,'LƯƠNG KT'!$D$15:$R$94,14,0)</f>
        <v>#N/A</v>
      </c>
      <c r="K1547" s="1085"/>
      <c r="L1547" s="1085"/>
      <c r="M1547" s="1085"/>
      <c r="N1547" s="1085"/>
      <c r="O1547" s="1085"/>
    </row>
    <row r="1548" spans="1:15" ht="15" customHeight="1">
      <c r="A1548" s="1056" t="s">
        <v>2675</v>
      </c>
      <c r="B1548" s="1057" t="s">
        <v>2676</v>
      </c>
      <c r="D1548" s="1064" t="e">
        <f>VLOOKUP(B1539,'LƯƠNG KT'!$D$15:$R$94,13,0)</f>
        <v>#N/A</v>
      </c>
      <c r="E1548" s="1065"/>
      <c r="F1548" s="1065"/>
      <c r="G1548" s="1056" t="s">
        <v>2675</v>
      </c>
      <c r="H1548" s="1057" t="s">
        <v>2676</v>
      </c>
      <c r="J1548" s="1064" t="e">
        <f>VLOOKUP(H1539,'LƯƠNG KT'!$D$15:$R$94,13,0)</f>
        <v>#N/A</v>
      </c>
    </row>
    <row r="1549" spans="1:15" ht="15" customHeight="1">
      <c r="A1549" s="1066"/>
      <c r="B1549" s="869"/>
      <c r="C1549" s="1058"/>
      <c r="D1549" s="1059"/>
      <c r="E1549" s="1063"/>
      <c r="F1549" s="1065"/>
      <c r="G1549" s="1066"/>
      <c r="H1549" s="869"/>
      <c r="I1549" s="1058"/>
      <c r="J1549" s="1059"/>
    </row>
    <row r="1550" spans="1:15" ht="15" customHeight="1">
      <c r="A1550" s="1052"/>
      <c r="B1550" s="869"/>
      <c r="C1550" s="1058"/>
      <c r="D1550" s="1059"/>
      <c r="E1550" s="1067"/>
      <c r="F1550" s="1051"/>
      <c r="G1550" s="1052"/>
      <c r="H1550" s="869"/>
      <c r="I1550" s="1058"/>
      <c r="J1550" s="1059"/>
    </row>
    <row r="1551" spans="1:15" ht="15" customHeight="1">
      <c r="A1551" s="1068" t="s">
        <v>383</v>
      </c>
      <c r="B1551" s="1069" t="s">
        <v>384</v>
      </c>
      <c r="C1551" s="1070"/>
      <c r="D1551" s="1071" t="e">
        <f>SUM(D1540:D1547)-D1550</f>
        <v>#N/A</v>
      </c>
      <c r="E1551" s="1072"/>
      <c r="F1551" s="1073"/>
      <c r="G1551" s="1068" t="s">
        <v>383</v>
      </c>
      <c r="H1551" s="1069" t="s">
        <v>384</v>
      </c>
      <c r="I1551" s="1070"/>
      <c r="J1551" s="1071" t="e">
        <f>SUM(J1540:J1547)-J1550</f>
        <v>#N/A</v>
      </c>
    </row>
    <row r="1552" spans="1:15" ht="18.75" customHeight="1">
      <c r="A1552" s="1074"/>
      <c r="B1552" s="1075"/>
      <c r="C1552" s="1076"/>
      <c r="D1552" s="1077"/>
      <c r="E1552" s="1077"/>
      <c r="F1552" s="1078"/>
      <c r="G1552" s="1074"/>
      <c r="H1552" s="1075"/>
      <c r="I1552" s="1076"/>
      <c r="J1552" s="1077"/>
    </row>
    <row r="1553" spans="1:15" ht="144" customHeight="1">
      <c r="A1553" s="1075"/>
      <c r="B1553" s="1075"/>
      <c r="C1553" s="1079"/>
      <c r="D1553" s="1080"/>
      <c r="E1553" s="1075"/>
      <c r="F1553" s="1081"/>
      <c r="G1553" s="1075"/>
      <c r="H1553" s="1075"/>
      <c r="I1553" s="1079"/>
      <c r="J1553" s="1080"/>
    </row>
    <row r="1554" spans="1:15" ht="15" customHeight="1">
      <c r="A1554" s="2242" t="str">
        <f>$K$2</f>
        <v>THÁNG 04/2025</v>
      </c>
      <c r="B1554" s="2242"/>
      <c r="C1554" s="2242"/>
      <c r="D1554" s="2242"/>
      <c r="E1554" s="1050"/>
      <c r="F1554" s="1051"/>
      <c r="G1554" s="2242" t="str">
        <f>$K$2</f>
        <v>THÁNG 04/2025</v>
      </c>
      <c r="H1554" s="2242"/>
      <c r="I1554" s="2242"/>
      <c r="J1554" s="2242"/>
      <c r="K1554" s="624"/>
    </row>
    <row r="1555" spans="1:15" ht="15" customHeight="1">
      <c r="A1555" s="1052" t="s">
        <v>356</v>
      </c>
      <c r="B1555" s="1053" t="s">
        <v>88</v>
      </c>
      <c r="C1555" s="869"/>
      <c r="D1555" s="1049"/>
      <c r="E1555" s="1054"/>
      <c r="F1555" s="1055"/>
      <c r="G1555" s="1052" t="s">
        <v>356</v>
      </c>
      <c r="H1555" s="1053" t="s">
        <v>1292</v>
      </c>
      <c r="I1555" s="869"/>
      <c r="J1555" s="1049"/>
      <c r="L1555" s="1088"/>
      <c r="M1555" s="1088"/>
      <c r="N1555" s="1088"/>
      <c r="O1555" s="1088"/>
    </row>
    <row r="1556" spans="1:15" ht="15" customHeight="1">
      <c r="A1556" s="1056" t="s">
        <v>359</v>
      </c>
      <c r="B1556" s="1057" t="s">
        <v>2662</v>
      </c>
      <c r="C1556" s="1058" t="e">
        <f>VLOOKUP(B1555,'LƯƠNG KT'!$D$15:$R$94,4,0)</f>
        <v>#N/A</v>
      </c>
      <c r="D1556" s="1059" t="e">
        <f>+C1556*25000</f>
        <v>#N/A</v>
      </c>
      <c r="E1556" s="1060"/>
      <c r="F1556" s="1060"/>
      <c r="G1556" s="1056" t="s">
        <v>359</v>
      </c>
      <c r="H1556" s="1057" t="s">
        <v>2662</v>
      </c>
      <c r="I1556" s="1058" t="e">
        <f>VLOOKUP(H1555,'LƯƠNG KT'!$D$15:$R$94,4,0)</f>
        <v>#N/A</v>
      </c>
      <c r="J1556" s="1059" t="e">
        <f>+I1556*25000</f>
        <v>#N/A</v>
      </c>
      <c r="K1556" s="1085"/>
      <c r="L1556" s="1085"/>
      <c r="M1556" s="1085"/>
      <c r="N1556" s="1085"/>
      <c r="O1556" s="1085"/>
    </row>
    <row r="1557" spans="1:15" ht="15" customHeight="1">
      <c r="A1557" s="1056" t="s">
        <v>361</v>
      </c>
      <c r="B1557" s="1057" t="s">
        <v>2663</v>
      </c>
      <c r="C1557" s="1058" t="e">
        <f>VLOOKUP(B1555,'LƯƠNG KT'!$D$15:$R$94,15,0)</f>
        <v>#N/A</v>
      </c>
      <c r="D1557" s="1059" t="e">
        <f>C1557*$L$4</f>
        <v>#N/A</v>
      </c>
      <c r="E1557" s="1061"/>
      <c r="F1557" s="1061"/>
      <c r="G1557" s="1056" t="s">
        <v>361</v>
      </c>
      <c r="H1557" s="1057" t="s">
        <v>2663</v>
      </c>
      <c r="I1557" s="1058" t="e">
        <f>VLOOKUP(H1555,'LƯƠNG KT'!$D$15:$R$94,15,0)</f>
        <v>#N/A</v>
      </c>
      <c r="J1557" s="1059" t="e">
        <f>I1557*$L$4</f>
        <v>#N/A</v>
      </c>
      <c r="K1557" s="1085"/>
      <c r="L1557" s="1085"/>
      <c r="M1557" s="1085"/>
      <c r="N1557" s="1085"/>
      <c r="O1557" s="1085"/>
    </row>
    <row r="1558" spans="1:15" ht="15" customHeight="1">
      <c r="A1558" s="1056" t="s">
        <v>364</v>
      </c>
      <c r="B1558" s="1057" t="s">
        <v>2664</v>
      </c>
      <c r="C1558" s="1058" t="e">
        <f>VLOOKUP(B1555,'LƯƠNG KT'!$D$15:$R$94,16,0)</f>
        <v>#N/A</v>
      </c>
      <c r="D1558" s="1059" t="e">
        <f>C1558*$L$5</f>
        <v>#N/A</v>
      </c>
      <c r="E1558" s="1061"/>
      <c r="F1558" s="1061"/>
      <c r="G1558" s="1056" t="s">
        <v>364</v>
      </c>
      <c r="H1558" s="1057" t="s">
        <v>2664</v>
      </c>
      <c r="I1558" s="1058" t="e">
        <f>VLOOKUP(H1555,'LƯƠNG KT'!$D$15:$R$94,16,0)</f>
        <v>#N/A</v>
      </c>
      <c r="J1558" s="1059" t="e">
        <f>I1558*$L$5</f>
        <v>#N/A</v>
      </c>
      <c r="K1558" s="1085"/>
      <c r="L1558" s="1085"/>
      <c r="M1558" s="1085"/>
      <c r="N1558" s="1085"/>
      <c r="O1558" s="1085"/>
    </row>
    <row r="1559" spans="1:15" ht="15" customHeight="1">
      <c r="A1559" s="1056" t="s">
        <v>370</v>
      </c>
      <c r="B1559" s="1057" t="s">
        <v>2665</v>
      </c>
      <c r="C1559" s="1058" t="e">
        <f>VLOOKUP(B1555,'LƯƠNG KT'!$D$15:$R$94,24,0)</f>
        <v>#N/A</v>
      </c>
      <c r="D1559" s="1059" t="e">
        <f>+C1559*$L$6</f>
        <v>#N/A</v>
      </c>
      <c r="E1559" s="1061"/>
      <c r="F1559" s="1061"/>
      <c r="G1559" s="1056" t="s">
        <v>370</v>
      </c>
      <c r="H1559" s="1057" t="s">
        <v>2665</v>
      </c>
      <c r="I1559" s="1058" t="e">
        <f>VLOOKUP(H1555,'LƯƠNG KT'!$D$15:$R$94,24,0)</f>
        <v>#N/A</v>
      </c>
      <c r="J1559" s="1059" t="e">
        <f>+I1559*$L$6</f>
        <v>#N/A</v>
      </c>
      <c r="K1559" s="1085"/>
      <c r="L1559" s="1085"/>
      <c r="M1559" s="1085"/>
      <c r="N1559" s="1085"/>
      <c r="O1559" s="1085"/>
    </row>
    <row r="1560" spans="1:15" ht="15" customHeight="1">
      <c r="A1560" s="1056" t="s">
        <v>2666</v>
      </c>
      <c r="B1560" s="1057" t="s">
        <v>2667</v>
      </c>
      <c r="C1560" s="1058" t="e">
        <f>VLOOKUP(B1555,'LƯƠNG KT'!$D$15:$R$94,19,0)</f>
        <v>#N/A</v>
      </c>
      <c r="D1560" s="1059" t="e">
        <f>+C1560*$L$8</f>
        <v>#N/A</v>
      </c>
      <c r="E1560" s="1061"/>
      <c r="F1560" s="1061"/>
      <c r="G1560" s="1056" t="s">
        <v>2666</v>
      </c>
      <c r="H1560" s="1057" t="s">
        <v>2667</v>
      </c>
      <c r="I1560" s="1058" t="e">
        <f>VLOOKUP(H1555,'LƯƠNG KT'!$D$15:$R$94,19,0)</f>
        <v>#N/A</v>
      </c>
      <c r="J1560" s="1059" t="e">
        <f>+I1560*$L$8</f>
        <v>#N/A</v>
      </c>
      <c r="K1560" s="1085"/>
      <c r="L1560" s="1085"/>
      <c r="M1560" s="1085"/>
      <c r="N1560" s="1085"/>
      <c r="O1560" s="1085"/>
    </row>
    <row r="1561" spans="1:15" ht="15" customHeight="1">
      <c r="A1561" s="1056" t="s">
        <v>2668</v>
      </c>
      <c r="B1561" s="1062" t="s">
        <v>2669</v>
      </c>
      <c r="C1561" s="1058" t="e">
        <f>VLOOKUP(B1555,'LƯƠNG KT'!$D$15:$R$94,20,0)</f>
        <v>#N/A</v>
      </c>
      <c r="D1561" s="1059" t="e">
        <f>+C1561*$L$9</f>
        <v>#N/A</v>
      </c>
      <c r="E1561" s="1061"/>
      <c r="F1561" s="1061"/>
      <c r="G1561" s="1056" t="s">
        <v>2668</v>
      </c>
      <c r="H1561" s="1062" t="s">
        <v>2669</v>
      </c>
      <c r="I1561" s="1058" t="e">
        <f>VLOOKUP(H1555,'LƯƠNG KT'!$D$15:$R$94,20,0)</f>
        <v>#N/A</v>
      </c>
      <c r="J1561" s="1059" t="e">
        <f>+I1561*$L$9</f>
        <v>#N/A</v>
      </c>
      <c r="K1561" s="1085"/>
      <c r="L1561" s="1085"/>
      <c r="M1561" s="1085"/>
      <c r="N1561" s="1085"/>
      <c r="O1561" s="1085"/>
    </row>
    <row r="1562" spans="1:15" ht="15" customHeight="1">
      <c r="A1562" s="1056" t="s">
        <v>2671</v>
      </c>
      <c r="B1562" s="1057" t="s">
        <v>2672</v>
      </c>
      <c r="C1562" s="1058" t="e">
        <f>VLOOKUP(B1555,'LƯƠNG KT'!$D$15:$R$94,17,0)</f>
        <v>#N/A</v>
      </c>
      <c r="D1562" s="1059" t="e">
        <f>+C1562*$L$10</f>
        <v>#N/A</v>
      </c>
      <c r="E1562" s="1061"/>
      <c r="F1562" s="1061"/>
      <c r="G1562" s="1056" t="s">
        <v>2671</v>
      </c>
      <c r="H1562" s="1057" t="s">
        <v>2672</v>
      </c>
      <c r="I1562" s="1058" t="e">
        <f>VLOOKUP(H1555,'LƯƠNG KT'!$D$15:$R$94,17,0)</f>
        <v>#N/A</v>
      </c>
      <c r="J1562" s="1059" t="e">
        <f>+I1562*$L$10</f>
        <v>#N/A</v>
      </c>
      <c r="K1562" s="1085"/>
      <c r="L1562" s="1085"/>
      <c r="M1562" s="1085"/>
      <c r="N1562" s="1085"/>
      <c r="O1562" s="1085"/>
    </row>
    <row r="1563" spans="1:15" ht="15" customHeight="1">
      <c r="A1563" s="1056" t="s">
        <v>374</v>
      </c>
      <c r="B1563" s="1057" t="s">
        <v>2674</v>
      </c>
      <c r="C1563" s="1058" t="e">
        <f>VLOOKUP(B1555,'LƯƠNG KT'!$D$15:$R$94,12,0)</f>
        <v>#N/A</v>
      </c>
      <c r="D1563" s="1059" t="e">
        <f>VLOOKUP(B1555,'LƯƠNG KT'!$D$15:$R$94,14,0)</f>
        <v>#N/A</v>
      </c>
      <c r="E1563" s="1063"/>
      <c r="F1563" s="1061"/>
      <c r="G1563" s="1056" t="s">
        <v>374</v>
      </c>
      <c r="H1563" s="1057" t="s">
        <v>2674</v>
      </c>
      <c r="I1563" s="1058" t="e">
        <f>VLOOKUP(H1555,'LƯƠNG KT'!$D$15:$R$94,12,0)</f>
        <v>#N/A</v>
      </c>
      <c r="J1563" s="1059" t="e">
        <f>VLOOKUP(H1555,'LƯƠNG KT'!$D$15:$R$94,14,0)</f>
        <v>#N/A</v>
      </c>
      <c r="K1563" s="1085"/>
      <c r="L1563" s="1085"/>
      <c r="M1563" s="1085"/>
      <c r="N1563" s="1085"/>
      <c r="O1563" s="1085"/>
    </row>
    <row r="1564" spans="1:15" ht="15" customHeight="1">
      <c r="A1564" s="1056" t="s">
        <v>2675</v>
      </c>
      <c r="B1564" s="1057" t="s">
        <v>2676</v>
      </c>
      <c r="D1564" s="1064" t="e">
        <f>VLOOKUP(B1555,'LƯƠNG KT'!$D$15:$R$94,13,0)</f>
        <v>#N/A</v>
      </c>
      <c r="E1564" s="1065"/>
      <c r="F1564" s="1065"/>
      <c r="G1564" s="1056" t="s">
        <v>2675</v>
      </c>
      <c r="H1564" s="1057" t="s">
        <v>2676</v>
      </c>
      <c r="J1564" s="1064" t="e">
        <f>VLOOKUP(H1555,'LƯƠNG KT'!$D$15:$R$94,13,0)</f>
        <v>#N/A</v>
      </c>
    </row>
    <row r="1565" spans="1:15" ht="15" customHeight="1">
      <c r="A1565" s="1066"/>
      <c r="B1565" s="869"/>
      <c r="C1565" s="1058"/>
      <c r="D1565" s="1059"/>
      <c r="E1565" s="1063"/>
      <c r="F1565" s="1065"/>
      <c r="G1565" s="1066"/>
      <c r="H1565" s="869"/>
      <c r="I1565" s="1058"/>
      <c r="J1565" s="1059"/>
    </row>
    <row r="1566" spans="1:15" ht="15" customHeight="1">
      <c r="A1566" s="1052"/>
      <c r="B1566" s="869"/>
      <c r="C1566" s="1058"/>
      <c r="D1566" s="1059"/>
      <c r="E1566" s="1067"/>
      <c r="F1566" s="1051"/>
      <c r="G1566" s="1052"/>
      <c r="H1566" s="869"/>
      <c r="I1566" s="1058"/>
      <c r="J1566" s="1059"/>
    </row>
    <row r="1567" spans="1:15" ht="15" customHeight="1">
      <c r="A1567" s="1068" t="s">
        <v>383</v>
      </c>
      <c r="B1567" s="1069" t="s">
        <v>384</v>
      </c>
      <c r="C1567" s="1070"/>
      <c r="D1567" s="1071" t="e">
        <f>SUM(D1556:D1563)-D1566</f>
        <v>#N/A</v>
      </c>
      <c r="E1567" s="1072"/>
      <c r="F1567" s="1073"/>
      <c r="G1567" s="1068" t="s">
        <v>383</v>
      </c>
      <c r="H1567" s="1069" t="s">
        <v>384</v>
      </c>
      <c r="I1567" s="1070"/>
      <c r="J1567" s="1071" t="e">
        <f>SUM(J1556:J1563)-J1566</f>
        <v>#N/A</v>
      </c>
    </row>
    <row r="1568" spans="1:15" ht="15.75" customHeight="1">
      <c r="A1568" s="1074"/>
      <c r="B1568" s="1075"/>
      <c r="C1568" s="1076"/>
      <c r="D1568" s="1077"/>
      <c r="E1568" s="1077"/>
      <c r="F1568" s="1078"/>
      <c r="G1568" s="1074"/>
      <c r="H1568" s="1075"/>
      <c r="I1568" s="1076"/>
      <c r="J1568" s="1077"/>
    </row>
    <row r="1570" spans="1:15" ht="12" customHeight="1">
      <c r="A1570" s="2243"/>
      <c r="B1570" s="2243"/>
      <c r="C1570" s="2243"/>
      <c r="D1570" s="2243"/>
      <c r="E1570" s="2243"/>
      <c r="F1570" s="2243"/>
      <c r="G1570" s="2243"/>
      <c r="H1570" s="2243"/>
      <c r="I1570" s="2243"/>
      <c r="J1570" s="2243"/>
    </row>
    <row r="1571" spans="1:15" ht="15" customHeight="1">
      <c r="A1571" s="2242" t="str">
        <f>$K$2</f>
        <v>THÁNG 04/2025</v>
      </c>
      <c r="B1571" s="2242"/>
      <c r="C1571" s="2242"/>
      <c r="D1571" s="2242"/>
      <c r="E1571" s="1050"/>
      <c r="F1571" s="1051"/>
      <c r="G1571" s="2242" t="str">
        <f>$K$2</f>
        <v>THÁNG 04/2025</v>
      </c>
      <c r="H1571" s="2242"/>
      <c r="I1571" s="2242"/>
      <c r="J1571" s="2242"/>
      <c r="K1571" s="624"/>
    </row>
    <row r="1572" spans="1:15" ht="15" customHeight="1">
      <c r="A1572" s="1052" t="s">
        <v>356</v>
      </c>
      <c r="B1572" s="1053" t="s">
        <v>74</v>
      </c>
      <c r="C1572" s="869"/>
      <c r="D1572" s="1049"/>
      <c r="E1572" s="1054"/>
      <c r="F1572" s="1055"/>
      <c r="G1572" s="1052" t="s">
        <v>356</v>
      </c>
      <c r="H1572" s="1053" t="s">
        <v>77</v>
      </c>
      <c r="I1572" s="869"/>
      <c r="J1572" s="1049"/>
      <c r="L1572" s="1088"/>
      <c r="M1572" s="1088"/>
      <c r="N1572" s="1088"/>
      <c r="O1572" s="1088"/>
    </row>
    <row r="1573" spans="1:15" ht="15" customHeight="1">
      <c r="A1573" s="1056" t="s">
        <v>359</v>
      </c>
      <c r="B1573" s="1057" t="s">
        <v>2662</v>
      </c>
      <c r="C1573" s="1058" t="e">
        <f>VLOOKUP(B1572,'LƯƠNG KT'!$D$15:$R$94,4,0)</f>
        <v>#N/A</v>
      </c>
      <c r="D1573" s="1059" t="e">
        <f>+C1573*25000</f>
        <v>#N/A</v>
      </c>
      <c r="E1573" s="1060"/>
      <c r="F1573" s="1060"/>
      <c r="G1573" s="1056" t="s">
        <v>359</v>
      </c>
      <c r="H1573" s="1057" t="s">
        <v>2662</v>
      </c>
      <c r="I1573" s="1058" t="e">
        <f>VLOOKUP(H1572,'LƯƠNG KT'!$D$15:$R$94,4,0)</f>
        <v>#N/A</v>
      </c>
      <c r="J1573" s="1059" t="e">
        <f>+I1573*25000</f>
        <v>#N/A</v>
      </c>
      <c r="K1573" s="1084"/>
      <c r="L1573" s="1085"/>
      <c r="M1573" s="1085"/>
      <c r="N1573" s="1085"/>
      <c r="O1573" s="1085"/>
    </row>
    <row r="1574" spans="1:15" ht="15" customHeight="1">
      <c r="A1574" s="1056" t="s">
        <v>361</v>
      </c>
      <c r="B1574" s="1057" t="s">
        <v>2663</v>
      </c>
      <c r="C1574" s="1058" t="e">
        <f>VLOOKUP(B1572,'LƯƠNG KT'!$D$15:$R$94,15,0)</f>
        <v>#N/A</v>
      </c>
      <c r="D1574" s="1059" t="e">
        <f>C1574*$L$4</f>
        <v>#N/A</v>
      </c>
      <c r="E1574" s="1061"/>
      <c r="F1574" s="1061"/>
      <c r="G1574" s="1056" t="s">
        <v>361</v>
      </c>
      <c r="H1574" s="1057" t="s">
        <v>2663</v>
      </c>
      <c r="I1574" s="1058" t="e">
        <f>VLOOKUP(H1572,'LƯƠNG KT'!$D$15:$R$94,15,0)</f>
        <v>#N/A</v>
      </c>
      <c r="J1574" s="1059" t="e">
        <f>I1574*$L$4</f>
        <v>#N/A</v>
      </c>
      <c r="K1574" s="1084"/>
      <c r="L1574" s="1085"/>
      <c r="M1574" s="1085"/>
      <c r="N1574" s="1085"/>
      <c r="O1574" s="1085"/>
    </row>
    <row r="1575" spans="1:15" ht="15" customHeight="1">
      <c r="A1575" s="1056" t="s">
        <v>364</v>
      </c>
      <c r="B1575" s="1057" t="s">
        <v>2664</v>
      </c>
      <c r="C1575" s="1058" t="e">
        <f>VLOOKUP(B1572,'LƯƠNG KT'!$D$15:$R$94,16,0)</f>
        <v>#N/A</v>
      </c>
      <c r="D1575" s="1059" t="e">
        <f>C1575*$L$5</f>
        <v>#N/A</v>
      </c>
      <c r="E1575" s="1061"/>
      <c r="F1575" s="1061"/>
      <c r="G1575" s="1056" t="s">
        <v>364</v>
      </c>
      <c r="H1575" s="1057" t="s">
        <v>2664</v>
      </c>
      <c r="I1575" s="1058" t="e">
        <f>VLOOKUP(H1572,'LƯƠNG KT'!$D$15:$R$94,16,0)</f>
        <v>#N/A</v>
      </c>
      <c r="J1575" s="1059" t="e">
        <f>I1575*$L$5</f>
        <v>#N/A</v>
      </c>
      <c r="K1575" s="1084"/>
      <c r="L1575" s="1085"/>
      <c r="M1575" s="1085"/>
      <c r="N1575" s="1085"/>
      <c r="O1575" s="1085"/>
    </row>
    <row r="1576" spans="1:15" ht="15" customHeight="1">
      <c r="A1576" s="1056" t="s">
        <v>370</v>
      </c>
      <c r="B1576" s="1057" t="s">
        <v>2665</v>
      </c>
      <c r="C1576" s="1058" t="e">
        <f>VLOOKUP(B1572,'LƯƠNG KT'!$D$15:$R$94,24,0)</f>
        <v>#N/A</v>
      </c>
      <c r="D1576" s="1059" t="e">
        <f>+C1576*$L$6</f>
        <v>#N/A</v>
      </c>
      <c r="E1576" s="1061"/>
      <c r="F1576" s="1061"/>
      <c r="G1576" s="1056" t="s">
        <v>370</v>
      </c>
      <c r="H1576" s="1057" t="s">
        <v>2665</v>
      </c>
      <c r="I1576" s="1058" t="e">
        <f>VLOOKUP(H1572,'LƯƠNG KT'!$D$15:$R$94,24,0)</f>
        <v>#N/A</v>
      </c>
      <c r="J1576" s="1059" t="e">
        <f>+I1576*$L$6</f>
        <v>#N/A</v>
      </c>
      <c r="K1576" s="1085"/>
      <c r="L1576" s="1085"/>
      <c r="M1576" s="1085"/>
      <c r="N1576" s="1085"/>
      <c r="O1576" s="1085"/>
    </row>
    <row r="1577" spans="1:15" ht="15" customHeight="1">
      <c r="A1577" s="1056" t="s">
        <v>2666</v>
      </c>
      <c r="B1577" s="1057" t="s">
        <v>2667</v>
      </c>
      <c r="C1577" s="1058" t="e">
        <f>VLOOKUP(B1572,'LƯƠNG KT'!$D$15:$R$94,19,0)</f>
        <v>#N/A</v>
      </c>
      <c r="D1577" s="1059" t="e">
        <f>+C1577*$L$8</f>
        <v>#N/A</v>
      </c>
      <c r="E1577" s="1061"/>
      <c r="F1577" s="1061"/>
      <c r="G1577" s="1056" t="s">
        <v>2666</v>
      </c>
      <c r="H1577" s="1057" t="s">
        <v>2667</v>
      </c>
      <c r="I1577" s="1058" t="e">
        <f>VLOOKUP(H1572,'LƯƠNG KT'!$D$15:$R$94,19,0)</f>
        <v>#N/A</v>
      </c>
      <c r="J1577" s="1059" t="e">
        <f>+I1577*$L$8</f>
        <v>#N/A</v>
      </c>
      <c r="K1577" s="1085"/>
      <c r="L1577" s="1085"/>
      <c r="M1577" s="1085"/>
      <c r="N1577" s="1085"/>
      <c r="O1577" s="1085"/>
    </row>
    <row r="1578" spans="1:15" ht="15" customHeight="1">
      <c r="A1578" s="1056" t="s">
        <v>2668</v>
      </c>
      <c r="B1578" s="1062" t="s">
        <v>2669</v>
      </c>
      <c r="C1578" s="1058" t="e">
        <f>VLOOKUP(B1572,'LƯƠNG KT'!$D$15:$R$94,20,0)</f>
        <v>#N/A</v>
      </c>
      <c r="D1578" s="1059" t="e">
        <f>+C1578*$L$9</f>
        <v>#N/A</v>
      </c>
      <c r="E1578" s="1061"/>
      <c r="F1578" s="1061"/>
      <c r="G1578" s="1056" t="s">
        <v>2668</v>
      </c>
      <c r="H1578" s="1062" t="s">
        <v>2669</v>
      </c>
      <c r="I1578" s="1058" t="e">
        <f>VLOOKUP(H1572,'LƯƠNG KT'!$D$15:$R$94,20,0)</f>
        <v>#N/A</v>
      </c>
      <c r="J1578" s="1059" t="e">
        <f>+I1578*$L$9</f>
        <v>#N/A</v>
      </c>
      <c r="K1578" s="1085"/>
      <c r="L1578" s="1085"/>
      <c r="M1578" s="1085"/>
      <c r="N1578" s="1085"/>
      <c r="O1578" s="1085"/>
    </row>
    <row r="1579" spans="1:15" ht="15" customHeight="1">
      <c r="A1579" s="1056" t="s">
        <v>2671</v>
      </c>
      <c r="B1579" s="1057" t="s">
        <v>2672</v>
      </c>
      <c r="C1579" s="1058" t="e">
        <f>VLOOKUP(B1572,'LƯƠNG KT'!$D$15:$R$94,17,0)</f>
        <v>#N/A</v>
      </c>
      <c r="D1579" s="1059" t="e">
        <f>+C1579*$L$10</f>
        <v>#N/A</v>
      </c>
      <c r="E1579" s="1061"/>
      <c r="F1579" s="1061"/>
      <c r="G1579" s="1056" t="s">
        <v>2671</v>
      </c>
      <c r="H1579" s="1057" t="s">
        <v>2672</v>
      </c>
      <c r="I1579" s="1058" t="e">
        <f>VLOOKUP(H1572,'LƯƠNG KT'!$D$15:$R$94,17,0)</f>
        <v>#N/A</v>
      </c>
      <c r="J1579" s="1059" t="e">
        <f>+I1579*$L$10</f>
        <v>#N/A</v>
      </c>
      <c r="K1579" s="1085"/>
      <c r="L1579" s="1085"/>
      <c r="M1579" s="1085"/>
      <c r="N1579" s="1085"/>
      <c r="O1579" s="1085"/>
    </row>
    <row r="1580" spans="1:15" ht="15" customHeight="1">
      <c r="A1580" s="1056" t="s">
        <v>374</v>
      </c>
      <c r="B1580" s="1057" t="s">
        <v>2674</v>
      </c>
      <c r="C1580" s="1058" t="e">
        <f>VLOOKUP(B1572,'LƯƠNG KT'!$D$15:$R$94,12,0)</f>
        <v>#N/A</v>
      </c>
      <c r="D1580" s="1059" t="e">
        <f>VLOOKUP(B1572,'LƯƠNG KT'!$D$15:$R$94,14,0)</f>
        <v>#N/A</v>
      </c>
      <c r="E1580" s="1063"/>
      <c r="F1580" s="1061"/>
      <c r="G1580" s="1056" t="s">
        <v>374</v>
      </c>
      <c r="H1580" s="1057" t="s">
        <v>2674</v>
      </c>
      <c r="I1580" s="1058" t="e">
        <f>VLOOKUP(H1572,'LƯƠNG KT'!$D$15:$R$94,12,0)</f>
        <v>#N/A</v>
      </c>
      <c r="J1580" s="1059" t="e">
        <f>VLOOKUP(H1572,'LƯƠNG KT'!$D$15:$R$94,14,0)</f>
        <v>#N/A</v>
      </c>
      <c r="K1580" s="1085"/>
      <c r="L1580" s="1085"/>
      <c r="M1580" s="1085"/>
      <c r="N1580" s="1085"/>
      <c r="O1580" s="1085"/>
    </row>
    <row r="1581" spans="1:15" ht="15" customHeight="1">
      <c r="A1581" s="1056" t="s">
        <v>2675</v>
      </c>
      <c r="B1581" s="1057" t="s">
        <v>2676</v>
      </c>
      <c r="D1581" s="1064" t="e">
        <f>VLOOKUP(B1572,'LƯƠNG KT'!$D$15:$R$94,13,0)</f>
        <v>#N/A</v>
      </c>
      <c r="E1581" s="1065"/>
      <c r="F1581" s="1065"/>
      <c r="G1581" s="1056" t="s">
        <v>2675</v>
      </c>
      <c r="H1581" s="1057" t="s">
        <v>2676</v>
      </c>
      <c r="J1581" s="1064" t="e">
        <f>VLOOKUP(H1572,'LƯƠNG KT'!$D$15:$R$94,13,0)</f>
        <v>#N/A</v>
      </c>
    </row>
    <row r="1582" spans="1:15" ht="15" customHeight="1">
      <c r="A1582" s="1066"/>
      <c r="B1582" s="869"/>
      <c r="C1582" s="1058"/>
      <c r="D1582" s="1059"/>
      <c r="E1582" s="1063"/>
      <c r="F1582" s="1065"/>
      <c r="G1582" s="1066"/>
      <c r="H1582" s="869"/>
      <c r="I1582" s="1058"/>
      <c r="J1582" s="1059"/>
    </row>
    <row r="1583" spans="1:15" ht="15" customHeight="1">
      <c r="A1583" s="1052"/>
      <c r="B1583" s="869"/>
      <c r="C1583" s="1058"/>
      <c r="D1583" s="1059"/>
      <c r="E1583" s="1067"/>
      <c r="F1583" s="1051"/>
      <c r="G1583" s="1052"/>
      <c r="H1583" s="869"/>
      <c r="I1583" s="1058"/>
      <c r="J1583" s="1059"/>
    </row>
    <row r="1584" spans="1:15" ht="15" customHeight="1">
      <c r="A1584" s="1068" t="s">
        <v>383</v>
      </c>
      <c r="B1584" s="1069" t="s">
        <v>384</v>
      </c>
      <c r="C1584" s="1070"/>
      <c r="D1584" s="1071" t="e">
        <f>SUM(D1573:D1580)-D1583</f>
        <v>#N/A</v>
      </c>
      <c r="E1584" s="1072"/>
      <c r="F1584" s="1073"/>
      <c r="G1584" s="1068" t="s">
        <v>383</v>
      </c>
      <c r="H1584" s="1069" t="s">
        <v>384</v>
      </c>
      <c r="I1584" s="1070"/>
      <c r="J1584" s="1071" t="e">
        <f>SUM(J1573:J1580)-J1583</f>
        <v>#N/A</v>
      </c>
    </row>
    <row r="1585" spans="1:15" ht="12.6" customHeight="1">
      <c r="A1585" s="1074"/>
      <c r="B1585" s="1075"/>
      <c r="C1585" s="1076"/>
      <c r="D1585" s="1077"/>
      <c r="E1585" s="1077"/>
      <c r="F1585" s="1078"/>
      <c r="G1585" s="1074"/>
      <c r="H1585" s="1075"/>
      <c r="I1585" s="1076"/>
      <c r="J1585" s="1077"/>
    </row>
    <row r="1586" spans="1:15" ht="12.6" customHeight="1">
      <c r="A1586" s="1075"/>
      <c r="B1586" s="1075"/>
      <c r="C1586" s="1079"/>
      <c r="D1586" s="1080"/>
      <c r="E1586" s="1075"/>
      <c r="F1586" s="1081"/>
      <c r="G1586" s="1075"/>
      <c r="H1586" s="1075"/>
      <c r="I1586" s="1079"/>
      <c r="J1586" s="1080"/>
    </row>
    <row r="1587" spans="1:15" ht="15" customHeight="1">
      <c r="A1587" s="2242" t="str">
        <f>$K$2</f>
        <v>THÁNG 04/2025</v>
      </c>
      <c r="B1587" s="2242"/>
      <c r="C1587" s="2242"/>
      <c r="D1587" s="2242"/>
      <c r="E1587" s="1050"/>
      <c r="F1587" s="1051"/>
      <c r="G1587" s="2242" t="str">
        <f>$K$2</f>
        <v>THÁNG 04/2025</v>
      </c>
      <c r="H1587" s="2242"/>
      <c r="I1587" s="2242"/>
      <c r="J1587" s="2242"/>
      <c r="K1587" s="624"/>
    </row>
    <row r="1588" spans="1:15" ht="15" customHeight="1">
      <c r="A1588" s="1052" t="s">
        <v>356</v>
      </c>
      <c r="B1588" s="1053" t="s">
        <v>86</v>
      </c>
      <c r="C1588" s="869"/>
      <c r="D1588" s="1049"/>
      <c r="E1588" s="1054"/>
      <c r="F1588" s="1055"/>
      <c r="G1588" s="1052" t="s">
        <v>356</v>
      </c>
      <c r="H1588" s="1053" t="s">
        <v>30</v>
      </c>
      <c r="I1588" s="869"/>
      <c r="J1588" s="1049"/>
      <c r="L1588" s="1088"/>
      <c r="M1588" s="1088"/>
      <c r="N1588" s="1088"/>
      <c r="O1588" s="1088"/>
    </row>
    <row r="1589" spans="1:15" ht="15" customHeight="1">
      <c r="A1589" s="1056" t="s">
        <v>359</v>
      </c>
      <c r="B1589" s="1057" t="s">
        <v>2662</v>
      </c>
      <c r="C1589" s="1058" t="e">
        <f>VLOOKUP(B1588,'LƯƠNG KT'!$D$15:$R$94,4,0)</f>
        <v>#N/A</v>
      </c>
      <c r="D1589" s="1059" t="e">
        <f>+C1589*25000</f>
        <v>#N/A</v>
      </c>
      <c r="E1589" s="1060"/>
      <c r="F1589" s="1060"/>
      <c r="G1589" s="1056" t="s">
        <v>359</v>
      </c>
      <c r="H1589" s="1057" t="s">
        <v>2662</v>
      </c>
      <c r="I1589" s="1058" t="e">
        <f>VLOOKUP(H1588,'LƯƠNG KT'!$D$15:$R$94,4,0)</f>
        <v>#N/A</v>
      </c>
      <c r="J1589" s="1059" t="e">
        <f>+I1589*25000</f>
        <v>#N/A</v>
      </c>
      <c r="K1589" s="1085"/>
      <c r="L1589" s="1085"/>
      <c r="M1589" s="1085"/>
      <c r="N1589" s="1085"/>
      <c r="O1589" s="1085"/>
    </row>
    <row r="1590" spans="1:15" ht="15" customHeight="1">
      <c r="A1590" s="1056" t="s">
        <v>361</v>
      </c>
      <c r="B1590" s="1057" t="s">
        <v>2663</v>
      </c>
      <c r="C1590" s="1058" t="e">
        <f>VLOOKUP(B1588,'LƯƠNG KT'!$D$15:$R$94,15,0)</f>
        <v>#N/A</v>
      </c>
      <c r="D1590" s="1059" t="e">
        <f>C1590*$L$4</f>
        <v>#N/A</v>
      </c>
      <c r="E1590" s="1061"/>
      <c r="F1590" s="1061"/>
      <c r="G1590" s="1056" t="s">
        <v>361</v>
      </c>
      <c r="H1590" s="1057" t="s">
        <v>2663</v>
      </c>
      <c r="I1590" s="1058" t="e">
        <f>VLOOKUP(H1588,'LƯƠNG KT'!$D$15:$R$94,15,0)</f>
        <v>#N/A</v>
      </c>
      <c r="J1590" s="1059" t="e">
        <f>I1590*$L$4</f>
        <v>#N/A</v>
      </c>
      <c r="K1590" s="1085"/>
      <c r="L1590" s="1085"/>
      <c r="M1590" s="1085"/>
      <c r="N1590" s="1085"/>
      <c r="O1590" s="1085"/>
    </row>
    <row r="1591" spans="1:15" ht="15" customHeight="1">
      <c r="A1591" s="1056" t="s">
        <v>364</v>
      </c>
      <c r="B1591" s="1057" t="s">
        <v>2664</v>
      </c>
      <c r="C1591" s="1058" t="e">
        <f>VLOOKUP(B1588,'LƯƠNG KT'!$D$15:$R$94,16,0)</f>
        <v>#N/A</v>
      </c>
      <c r="D1591" s="1059" t="e">
        <f>C1591*$L$5</f>
        <v>#N/A</v>
      </c>
      <c r="E1591" s="1061"/>
      <c r="F1591" s="1061"/>
      <c r="G1591" s="1056" t="s">
        <v>364</v>
      </c>
      <c r="H1591" s="1057" t="s">
        <v>2664</v>
      </c>
      <c r="I1591" s="1058" t="e">
        <f>VLOOKUP(H1588,'LƯƠNG KT'!$D$15:$R$94,16,0)</f>
        <v>#N/A</v>
      </c>
      <c r="J1591" s="1059" t="e">
        <f>I1591*$L$5</f>
        <v>#N/A</v>
      </c>
      <c r="K1591" s="1085"/>
      <c r="L1591" s="1085"/>
      <c r="M1591" s="1085"/>
      <c r="N1591" s="1085"/>
      <c r="O1591" s="1085"/>
    </row>
    <row r="1592" spans="1:15" ht="15" customHeight="1">
      <c r="A1592" s="1056" t="s">
        <v>370</v>
      </c>
      <c r="B1592" s="1057" t="s">
        <v>2665</v>
      </c>
      <c r="C1592" s="1058" t="e">
        <f>VLOOKUP(B1588,'LƯƠNG KT'!$D$15:$R$94,24,0)</f>
        <v>#N/A</v>
      </c>
      <c r="D1592" s="1059" t="e">
        <f>+C1592*$L$6</f>
        <v>#N/A</v>
      </c>
      <c r="E1592" s="1061"/>
      <c r="F1592" s="1061"/>
      <c r="G1592" s="1056" t="s">
        <v>370</v>
      </c>
      <c r="H1592" s="1057" t="s">
        <v>2665</v>
      </c>
      <c r="I1592" s="1058" t="e">
        <f>VLOOKUP(H1588,'LƯƠNG KT'!$D$15:$R$94,24,0)</f>
        <v>#N/A</v>
      </c>
      <c r="J1592" s="1059" t="e">
        <f>+I1592*$L$6</f>
        <v>#N/A</v>
      </c>
      <c r="K1592" s="1085"/>
      <c r="L1592" s="1085"/>
      <c r="M1592" s="1085"/>
      <c r="N1592" s="1085"/>
      <c r="O1592" s="1085"/>
    </row>
    <row r="1593" spans="1:15" ht="15" customHeight="1">
      <c r="A1593" s="1056" t="s">
        <v>2666</v>
      </c>
      <c r="B1593" s="1057" t="s">
        <v>2667</v>
      </c>
      <c r="C1593" s="1058" t="e">
        <f>VLOOKUP(B1588,'LƯƠNG KT'!$D$15:$R$94,19,0)</f>
        <v>#N/A</v>
      </c>
      <c r="D1593" s="1059" t="e">
        <f>+C1593*$L$8</f>
        <v>#N/A</v>
      </c>
      <c r="E1593" s="1061"/>
      <c r="F1593" s="1061"/>
      <c r="G1593" s="1056" t="s">
        <v>2666</v>
      </c>
      <c r="H1593" s="1057" t="s">
        <v>2667</v>
      </c>
      <c r="I1593" s="1058" t="e">
        <f>VLOOKUP(H1588,'LƯƠNG KT'!$D$15:$R$94,19,0)</f>
        <v>#N/A</v>
      </c>
      <c r="J1593" s="1059" t="e">
        <f>+I1593*$L$8</f>
        <v>#N/A</v>
      </c>
      <c r="K1593" s="1085"/>
      <c r="L1593" s="1085"/>
      <c r="M1593" s="1085"/>
      <c r="N1593" s="1085"/>
      <c r="O1593" s="1085"/>
    </row>
    <row r="1594" spans="1:15" ht="15" customHeight="1">
      <c r="A1594" s="1056" t="s">
        <v>2668</v>
      </c>
      <c r="B1594" s="1062" t="s">
        <v>2669</v>
      </c>
      <c r="C1594" s="1058" t="e">
        <f>VLOOKUP(B1588,'LƯƠNG KT'!$D$15:$R$94,20,0)</f>
        <v>#N/A</v>
      </c>
      <c r="D1594" s="1059" t="e">
        <f>+C1594*$L$9</f>
        <v>#N/A</v>
      </c>
      <c r="E1594" s="1061"/>
      <c r="F1594" s="1061"/>
      <c r="G1594" s="1056" t="s">
        <v>2668</v>
      </c>
      <c r="H1594" s="1062" t="s">
        <v>2669</v>
      </c>
      <c r="I1594" s="1058" t="e">
        <f>VLOOKUP(H1588,'LƯƠNG KT'!$D$15:$R$94,20,0)</f>
        <v>#N/A</v>
      </c>
      <c r="J1594" s="1059" t="e">
        <f>+I1594*$L$9</f>
        <v>#N/A</v>
      </c>
      <c r="K1594" s="1085"/>
      <c r="L1594" s="1085"/>
      <c r="M1594" s="1085"/>
      <c r="N1594" s="1085"/>
      <c r="O1594" s="1085"/>
    </row>
    <row r="1595" spans="1:15" ht="15" customHeight="1">
      <c r="A1595" s="1056" t="s">
        <v>2671</v>
      </c>
      <c r="B1595" s="1057" t="s">
        <v>2672</v>
      </c>
      <c r="C1595" s="1058" t="e">
        <f>VLOOKUP(B1588,'LƯƠNG KT'!$D$15:$R$94,17,0)</f>
        <v>#N/A</v>
      </c>
      <c r="D1595" s="1059" t="e">
        <f>+C1595*$L$10</f>
        <v>#N/A</v>
      </c>
      <c r="E1595" s="1061"/>
      <c r="F1595" s="1061"/>
      <c r="G1595" s="1056" t="s">
        <v>2671</v>
      </c>
      <c r="H1595" s="1057" t="s">
        <v>2672</v>
      </c>
      <c r="I1595" s="1058" t="e">
        <f>VLOOKUP(H1588,'LƯƠNG KT'!$D$15:$R$94,17,0)</f>
        <v>#N/A</v>
      </c>
      <c r="J1595" s="1059" t="e">
        <f>+I1595*$L$10</f>
        <v>#N/A</v>
      </c>
      <c r="K1595" s="1085"/>
      <c r="L1595" s="1085"/>
      <c r="M1595" s="1085"/>
      <c r="N1595" s="1085"/>
      <c r="O1595" s="1085"/>
    </row>
    <row r="1596" spans="1:15" ht="15" customHeight="1">
      <c r="A1596" s="1056" t="s">
        <v>374</v>
      </c>
      <c r="B1596" s="1057" t="s">
        <v>2674</v>
      </c>
      <c r="C1596" s="1058" t="e">
        <f>VLOOKUP(B1588,'LƯƠNG KT'!$D$15:$R$94,12,0)</f>
        <v>#N/A</v>
      </c>
      <c r="D1596" s="1059" t="e">
        <f>VLOOKUP(B1588,'LƯƠNG KT'!$D$15:$R$94,14,0)</f>
        <v>#N/A</v>
      </c>
      <c r="E1596" s="1063"/>
      <c r="F1596" s="1061"/>
      <c r="G1596" s="1056" t="s">
        <v>374</v>
      </c>
      <c r="H1596" s="1057" t="s">
        <v>2674</v>
      </c>
      <c r="I1596" s="1058" t="e">
        <f>VLOOKUP(H1588,'LƯƠNG KT'!$D$15:$R$94,12,0)</f>
        <v>#N/A</v>
      </c>
      <c r="J1596" s="1059" t="e">
        <f>VLOOKUP(H1588,'LƯƠNG KT'!$D$15:$R$94,14,0)</f>
        <v>#N/A</v>
      </c>
      <c r="K1596" s="1085"/>
      <c r="L1596" s="1085"/>
      <c r="M1596" s="1085"/>
      <c r="N1596" s="1085"/>
      <c r="O1596" s="1085"/>
    </row>
    <row r="1597" spans="1:15" ht="15" customHeight="1">
      <c r="A1597" s="1056" t="s">
        <v>2675</v>
      </c>
      <c r="B1597" s="1057" t="s">
        <v>2676</v>
      </c>
      <c r="D1597" s="1064" t="e">
        <f>VLOOKUP(B1588,'LƯƠNG KT'!$D$15:$R$94,13,0)</f>
        <v>#N/A</v>
      </c>
      <c r="E1597" s="1065"/>
      <c r="F1597" s="1065"/>
      <c r="G1597" s="1056" t="s">
        <v>2675</v>
      </c>
      <c r="H1597" s="1057" t="s">
        <v>2676</v>
      </c>
      <c r="J1597" s="1064" t="e">
        <f>VLOOKUP(H1588,'LƯƠNG KT'!$D$15:$R$94,13,0)</f>
        <v>#N/A</v>
      </c>
    </row>
    <row r="1598" spans="1:15" ht="15" customHeight="1">
      <c r="A1598" s="1066"/>
      <c r="B1598" s="869"/>
      <c r="C1598" s="1058"/>
      <c r="D1598" s="1059"/>
      <c r="E1598" s="1063"/>
      <c r="F1598" s="1065"/>
      <c r="G1598" s="1066"/>
      <c r="H1598" s="869"/>
      <c r="I1598" s="1058"/>
      <c r="J1598" s="1059"/>
    </row>
    <row r="1599" spans="1:15" ht="15" customHeight="1">
      <c r="A1599" s="1052"/>
      <c r="B1599" s="869"/>
      <c r="C1599" s="1058"/>
      <c r="D1599" s="1059"/>
      <c r="E1599" s="1067"/>
      <c r="F1599" s="1051"/>
      <c r="G1599" s="1052"/>
      <c r="H1599" s="869"/>
      <c r="I1599" s="1058"/>
      <c r="J1599" s="1059"/>
    </row>
    <row r="1600" spans="1:15" ht="15" customHeight="1">
      <c r="A1600" s="1068" t="s">
        <v>383</v>
      </c>
      <c r="B1600" s="1069" t="s">
        <v>384</v>
      </c>
      <c r="C1600" s="1070"/>
      <c r="D1600" s="1071" t="e">
        <f>SUM(D1589:D1596)-D1599</f>
        <v>#N/A</v>
      </c>
      <c r="E1600" s="1072"/>
      <c r="F1600" s="1073"/>
      <c r="G1600" s="1068" t="s">
        <v>383</v>
      </c>
      <c r="H1600" s="1069" t="s">
        <v>384</v>
      </c>
      <c r="I1600" s="1070"/>
      <c r="J1600" s="1071" t="e">
        <f>SUM(J1589:J1596)-J1599</f>
        <v>#N/A</v>
      </c>
    </row>
    <row r="1601" spans="1:15" ht="18.75" customHeight="1">
      <c r="A1601" s="1074"/>
      <c r="B1601" s="1075"/>
      <c r="C1601" s="1076"/>
      <c r="D1601" s="1077"/>
      <c r="E1601" s="1077"/>
      <c r="F1601" s="1078"/>
      <c r="G1601" s="1074"/>
      <c r="H1601" s="1075"/>
      <c r="I1601" s="1076"/>
      <c r="J1601" s="1077"/>
    </row>
    <row r="1602" spans="1:15" ht="143.25" customHeight="1">
      <c r="A1602" s="1075"/>
      <c r="B1602" s="1075"/>
      <c r="C1602" s="1079"/>
      <c r="D1602" s="1080"/>
      <c r="E1602" s="1075"/>
      <c r="F1602" s="1081"/>
      <c r="G1602" s="1075"/>
      <c r="H1602" s="1075"/>
      <c r="I1602" s="1079"/>
      <c r="J1602" s="1080"/>
    </row>
    <row r="1603" spans="1:15" ht="15" customHeight="1">
      <c r="A1603" s="2242" t="str">
        <f>$K$2</f>
        <v>THÁNG 04/2025</v>
      </c>
      <c r="B1603" s="2242"/>
      <c r="C1603" s="2242"/>
      <c r="D1603" s="2242"/>
      <c r="E1603" s="1050"/>
      <c r="F1603" s="1051"/>
      <c r="G1603" s="2242" t="str">
        <f>$K$2</f>
        <v>THÁNG 04/2025</v>
      </c>
      <c r="H1603" s="2242"/>
      <c r="I1603" s="2242"/>
      <c r="J1603" s="2242"/>
      <c r="K1603" s="624"/>
    </row>
    <row r="1604" spans="1:15" ht="15" customHeight="1">
      <c r="A1604" s="1052" t="s">
        <v>356</v>
      </c>
      <c r="B1604" s="1053" t="s">
        <v>44</v>
      </c>
      <c r="C1604" s="869"/>
      <c r="D1604" s="1049"/>
      <c r="E1604" s="1054"/>
      <c r="F1604" s="1055"/>
      <c r="G1604" s="1052" t="s">
        <v>356</v>
      </c>
      <c r="H1604" s="1053" t="s">
        <v>46</v>
      </c>
      <c r="I1604" s="869"/>
      <c r="J1604" s="1049"/>
      <c r="L1604" s="1088"/>
      <c r="M1604" s="1088"/>
      <c r="N1604" s="1088"/>
      <c r="O1604" s="1088"/>
    </row>
    <row r="1605" spans="1:15" ht="15" customHeight="1">
      <c r="A1605" s="1056" t="s">
        <v>359</v>
      </c>
      <c r="B1605" s="1057" t="s">
        <v>2662</v>
      </c>
      <c r="C1605" s="1058" t="e">
        <f>VLOOKUP(B1604,'LƯƠNG KT'!$D$15:$R$94,4,0)</f>
        <v>#N/A</v>
      </c>
      <c r="D1605" s="1059" t="e">
        <f>+C1605*25000</f>
        <v>#N/A</v>
      </c>
      <c r="E1605" s="1060"/>
      <c r="F1605" s="1060"/>
      <c r="G1605" s="1056" t="s">
        <v>359</v>
      </c>
      <c r="H1605" s="1057" t="s">
        <v>2662</v>
      </c>
      <c r="I1605" s="1058" t="e">
        <f>VLOOKUP(H1604,'LƯƠNG KT'!$D$15:$R$94,4,0)</f>
        <v>#N/A</v>
      </c>
      <c r="J1605" s="1059" t="e">
        <f>+I1605*25000</f>
        <v>#N/A</v>
      </c>
      <c r="K1605" s="1085"/>
      <c r="L1605" s="1085"/>
      <c r="M1605" s="1085"/>
      <c r="N1605" s="1085"/>
      <c r="O1605" s="1085"/>
    </row>
    <row r="1606" spans="1:15" ht="15" customHeight="1">
      <c r="A1606" s="1056" t="s">
        <v>361</v>
      </c>
      <c r="B1606" s="1057" t="s">
        <v>2663</v>
      </c>
      <c r="C1606" s="1058" t="e">
        <f>VLOOKUP(B1604,'LƯƠNG KT'!$D$15:$R$94,15,0)</f>
        <v>#N/A</v>
      </c>
      <c r="D1606" s="1059" t="e">
        <f>C1606*$L$4</f>
        <v>#N/A</v>
      </c>
      <c r="E1606" s="1061"/>
      <c r="F1606" s="1061"/>
      <c r="G1606" s="1056" t="s">
        <v>361</v>
      </c>
      <c r="H1606" s="1057" t="s">
        <v>2663</v>
      </c>
      <c r="I1606" s="1058" t="e">
        <f>VLOOKUP(H1604,'LƯƠNG KT'!$D$15:$R$94,15,0)</f>
        <v>#N/A</v>
      </c>
      <c r="J1606" s="1059" t="e">
        <f>I1606*$L$4</f>
        <v>#N/A</v>
      </c>
      <c r="K1606" s="1085"/>
      <c r="L1606" s="1085"/>
      <c r="M1606" s="1085"/>
      <c r="N1606" s="1085"/>
      <c r="O1606" s="1085"/>
    </row>
    <row r="1607" spans="1:15" ht="15" customHeight="1">
      <c r="A1607" s="1056" t="s">
        <v>364</v>
      </c>
      <c r="B1607" s="1057" t="s">
        <v>2664</v>
      </c>
      <c r="C1607" s="1058" t="e">
        <f>VLOOKUP(B1604,'LƯƠNG KT'!$D$15:$R$94,16,0)</f>
        <v>#N/A</v>
      </c>
      <c r="D1607" s="1059" t="e">
        <f>C1607*$L$5</f>
        <v>#N/A</v>
      </c>
      <c r="E1607" s="1061"/>
      <c r="F1607" s="1061"/>
      <c r="G1607" s="1056" t="s">
        <v>364</v>
      </c>
      <c r="H1607" s="1057" t="s">
        <v>2664</v>
      </c>
      <c r="I1607" s="1058" t="e">
        <f>VLOOKUP(H1604,'LƯƠNG KT'!$D$15:$R$94,16,0)</f>
        <v>#N/A</v>
      </c>
      <c r="J1607" s="1059" t="e">
        <f>I1607*$L$5</f>
        <v>#N/A</v>
      </c>
      <c r="K1607" s="1085"/>
      <c r="L1607" s="1085"/>
      <c r="M1607" s="1085"/>
      <c r="N1607" s="1085"/>
      <c r="O1607" s="1085"/>
    </row>
    <row r="1608" spans="1:15" ht="15" customHeight="1">
      <c r="A1608" s="1056" t="s">
        <v>370</v>
      </c>
      <c r="B1608" s="1057" t="s">
        <v>2665</v>
      </c>
      <c r="C1608" s="1058" t="e">
        <f>VLOOKUP(B1604,'LƯƠNG KT'!$D$15:$R$94,24,0)</f>
        <v>#N/A</v>
      </c>
      <c r="D1608" s="1059" t="e">
        <f>+C1608*$L$6</f>
        <v>#N/A</v>
      </c>
      <c r="E1608" s="1061"/>
      <c r="F1608" s="1061"/>
      <c r="G1608" s="1056" t="s">
        <v>370</v>
      </c>
      <c r="H1608" s="1057" t="s">
        <v>2665</v>
      </c>
      <c r="I1608" s="1058" t="e">
        <f>VLOOKUP(H1604,'LƯƠNG KT'!$D$15:$R$94,24,0)</f>
        <v>#N/A</v>
      </c>
      <c r="J1608" s="1059" t="e">
        <f>+I1608*$L$6</f>
        <v>#N/A</v>
      </c>
      <c r="K1608" s="1085"/>
      <c r="L1608" s="1085"/>
      <c r="M1608" s="1085"/>
      <c r="N1608" s="1085"/>
      <c r="O1608" s="1085"/>
    </row>
    <row r="1609" spans="1:15" ht="15" customHeight="1">
      <c r="A1609" s="1056" t="s">
        <v>2666</v>
      </c>
      <c r="B1609" s="1057" t="s">
        <v>2667</v>
      </c>
      <c r="C1609" s="1058" t="e">
        <f>VLOOKUP(B1604,'LƯƠNG KT'!$D$15:$R$94,19,0)</f>
        <v>#N/A</v>
      </c>
      <c r="D1609" s="1059" t="e">
        <f>+C1609*$L$8</f>
        <v>#N/A</v>
      </c>
      <c r="E1609" s="1061"/>
      <c r="F1609" s="1061"/>
      <c r="G1609" s="1056" t="s">
        <v>2666</v>
      </c>
      <c r="H1609" s="1057" t="s">
        <v>2667</v>
      </c>
      <c r="I1609" s="1058" t="e">
        <f>VLOOKUP(H1604,'LƯƠNG KT'!$D$15:$R$94,19,0)</f>
        <v>#N/A</v>
      </c>
      <c r="J1609" s="1059" t="e">
        <f>+I1609*$L$8</f>
        <v>#N/A</v>
      </c>
      <c r="K1609" s="1085"/>
      <c r="L1609" s="1085"/>
      <c r="M1609" s="1085"/>
      <c r="N1609" s="1085"/>
      <c r="O1609" s="1085"/>
    </row>
    <row r="1610" spans="1:15" ht="15" customHeight="1">
      <c r="A1610" s="1056" t="s">
        <v>2668</v>
      </c>
      <c r="B1610" s="1062" t="s">
        <v>2669</v>
      </c>
      <c r="C1610" s="1058" t="e">
        <f>VLOOKUP(B1604,'LƯƠNG KT'!$D$15:$R$94,20,0)</f>
        <v>#N/A</v>
      </c>
      <c r="D1610" s="1059" t="e">
        <f>+C1610*$L$9</f>
        <v>#N/A</v>
      </c>
      <c r="E1610" s="1061"/>
      <c r="F1610" s="1061"/>
      <c r="G1610" s="1056" t="s">
        <v>2668</v>
      </c>
      <c r="H1610" s="1062" t="s">
        <v>2669</v>
      </c>
      <c r="I1610" s="1058" t="e">
        <f>VLOOKUP(H1604,'LƯƠNG KT'!$D$15:$R$94,20,0)</f>
        <v>#N/A</v>
      </c>
      <c r="J1610" s="1059" t="e">
        <f>+I1610*$L$9</f>
        <v>#N/A</v>
      </c>
      <c r="K1610" s="1085"/>
      <c r="L1610" s="1085"/>
      <c r="M1610" s="1085"/>
      <c r="N1610" s="1085"/>
      <c r="O1610" s="1085"/>
    </row>
    <row r="1611" spans="1:15" ht="15" customHeight="1">
      <c r="A1611" s="1056" t="s">
        <v>2671</v>
      </c>
      <c r="B1611" s="1057" t="s">
        <v>2672</v>
      </c>
      <c r="C1611" s="1058" t="e">
        <f>VLOOKUP(B1604,'LƯƠNG KT'!$D$15:$R$94,17,0)</f>
        <v>#N/A</v>
      </c>
      <c r="D1611" s="1059" t="e">
        <f>+C1611*$L$10</f>
        <v>#N/A</v>
      </c>
      <c r="E1611" s="1061"/>
      <c r="F1611" s="1061"/>
      <c r="G1611" s="1056" t="s">
        <v>2671</v>
      </c>
      <c r="H1611" s="1057" t="s">
        <v>2672</v>
      </c>
      <c r="I1611" s="1058" t="e">
        <f>VLOOKUP(H1604,'LƯƠNG KT'!$D$15:$R$94,17,0)</f>
        <v>#N/A</v>
      </c>
      <c r="J1611" s="1059" t="e">
        <f>+I1611*$L$10</f>
        <v>#N/A</v>
      </c>
      <c r="K1611" s="1085"/>
      <c r="L1611" s="1085"/>
      <c r="M1611" s="1085"/>
      <c r="N1611" s="1085"/>
      <c r="O1611" s="1085"/>
    </row>
    <row r="1612" spans="1:15" ht="15" customHeight="1">
      <c r="A1612" s="1056" t="s">
        <v>374</v>
      </c>
      <c r="B1612" s="1057" t="s">
        <v>2674</v>
      </c>
      <c r="C1612" s="1058" t="e">
        <f>VLOOKUP(B1604,'LƯƠNG KT'!$D$15:$R$94,12,0)</f>
        <v>#N/A</v>
      </c>
      <c r="D1612" s="1059" t="e">
        <f>VLOOKUP(B1604,'LƯƠNG KT'!$D$15:$R$94,14,0)</f>
        <v>#N/A</v>
      </c>
      <c r="E1612" s="1063"/>
      <c r="F1612" s="1061"/>
      <c r="G1612" s="1056" t="s">
        <v>374</v>
      </c>
      <c r="H1612" s="1057" t="s">
        <v>2674</v>
      </c>
      <c r="I1612" s="1058" t="e">
        <f>VLOOKUP(H1604,'LƯƠNG KT'!$D$15:$R$94,12,0)</f>
        <v>#N/A</v>
      </c>
      <c r="J1612" s="1059" t="e">
        <f>VLOOKUP(H1604,'LƯƠNG KT'!$D$15:$R$94,14,0)</f>
        <v>#N/A</v>
      </c>
      <c r="K1612" s="1085"/>
      <c r="L1612" s="1085"/>
      <c r="M1612" s="1085"/>
      <c r="N1612" s="1085"/>
      <c r="O1612" s="1085"/>
    </row>
    <row r="1613" spans="1:15" ht="15" customHeight="1">
      <c r="A1613" s="1056" t="s">
        <v>2675</v>
      </c>
      <c r="B1613" s="1057" t="s">
        <v>2676</v>
      </c>
      <c r="D1613" s="1064" t="e">
        <f>VLOOKUP(B1604,'LƯƠNG KT'!$D$15:$R$94,13,0)</f>
        <v>#N/A</v>
      </c>
      <c r="E1613" s="1065"/>
      <c r="F1613" s="1065"/>
      <c r="G1613" s="1056" t="s">
        <v>2675</v>
      </c>
      <c r="H1613" s="1057" t="s">
        <v>2676</v>
      </c>
      <c r="J1613" s="1064" t="e">
        <f>VLOOKUP(H1604,'LƯƠNG KT'!$D$15:$R$94,13,0)</f>
        <v>#N/A</v>
      </c>
    </row>
    <row r="1614" spans="1:15" ht="15" customHeight="1">
      <c r="A1614" s="1066"/>
      <c r="B1614" s="869"/>
      <c r="C1614" s="1058"/>
      <c r="D1614" s="1059"/>
      <c r="E1614" s="1063"/>
      <c r="F1614" s="1065"/>
      <c r="G1614" s="1066"/>
      <c r="H1614" s="869"/>
      <c r="I1614" s="1058"/>
      <c r="J1614" s="1059"/>
    </row>
    <row r="1615" spans="1:15" ht="15" customHeight="1">
      <c r="A1615" s="1052"/>
      <c r="B1615" s="869"/>
      <c r="C1615" s="1058"/>
      <c r="D1615" s="1059"/>
      <c r="E1615" s="1067"/>
      <c r="F1615" s="1051"/>
      <c r="G1615" s="1052"/>
      <c r="H1615" s="869"/>
      <c r="I1615" s="1058"/>
      <c r="J1615" s="1059"/>
    </row>
    <row r="1616" spans="1:15" ht="15" customHeight="1">
      <c r="A1616" s="1068" t="s">
        <v>383</v>
      </c>
      <c r="B1616" s="1069" t="s">
        <v>384</v>
      </c>
      <c r="C1616" s="1070"/>
      <c r="D1616" s="1071" t="e">
        <f>SUM(D1605:D1612)-D1615</f>
        <v>#N/A</v>
      </c>
      <c r="E1616" s="1072"/>
      <c r="F1616" s="1073"/>
      <c r="G1616" s="1068" t="s">
        <v>383</v>
      </c>
      <c r="H1616" s="1069" t="s">
        <v>384</v>
      </c>
      <c r="I1616" s="1070"/>
      <c r="J1616" s="1071" t="e">
        <f>SUM(J1605:J1612)-J1615</f>
        <v>#N/A</v>
      </c>
    </row>
    <row r="1617" spans="1:15" ht="18.75" customHeight="1">
      <c r="A1617" s="1074"/>
      <c r="B1617" s="1075"/>
      <c r="C1617" s="1076"/>
      <c r="D1617" s="1077"/>
      <c r="E1617" s="1077"/>
      <c r="F1617" s="1078"/>
      <c r="G1617" s="1074"/>
      <c r="H1617" s="1075"/>
      <c r="I1617" s="1076"/>
      <c r="J1617" s="1077"/>
    </row>
    <row r="1618" spans="1:15" ht="18.75" customHeight="1">
      <c r="A1618" s="1075"/>
      <c r="B1618" s="1075"/>
      <c r="C1618" s="1079"/>
      <c r="D1618" s="1080"/>
      <c r="E1618" s="1075"/>
      <c r="F1618" s="1081"/>
      <c r="G1618" s="1075"/>
      <c r="H1618" s="1075"/>
      <c r="I1618" s="1079"/>
      <c r="J1618" s="1080"/>
    </row>
    <row r="1619" spans="1:15" ht="15" customHeight="1">
      <c r="A1619" s="2242" t="str">
        <f>$K$2</f>
        <v>THÁNG 04/2025</v>
      </c>
      <c r="B1619" s="2242"/>
      <c r="C1619" s="2242"/>
      <c r="D1619" s="2242"/>
      <c r="E1619" s="1050"/>
      <c r="F1619" s="1051"/>
      <c r="G1619" s="2242" t="str">
        <f>$K$2</f>
        <v>THÁNG 04/2025</v>
      </c>
      <c r="H1619" s="2242"/>
      <c r="I1619" s="2242"/>
      <c r="J1619" s="2242"/>
      <c r="K1619" s="624"/>
    </row>
    <row r="1620" spans="1:15" ht="15" customHeight="1">
      <c r="A1620" s="1052" t="s">
        <v>356</v>
      </c>
      <c r="B1620" s="1053"/>
      <c r="C1620" s="869"/>
      <c r="D1620" s="1049"/>
      <c r="E1620" s="1054"/>
      <c r="F1620" s="1055"/>
      <c r="G1620" s="1052" t="s">
        <v>356</v>
      </c>
      <c r="H1620" s="1053"/>
      <c r="I1620" s="869"/>
      <c r="J1620" s="1049"/>
      <c r="L1620" s="1088"/>
      <c r="M1620" s="1088"/>
      <c r="N1620" s="1088"/>
      <c r="O1620" s="1088"/>
    </row>
    <row r="1621" spans="1:15" ht="15" customHeight="1">
      <c r="A1621" s="1056" t="s">
        <v>359</v>
      </c>
      <c r="B1621" s="1057" t="s">
        <v>2662</v>
      </c>
      <c r="C1621" s="1058"/>
      <c r="D1621" s="1059"/>
      <c r="E1621" s="1060"/>
      <c r="F1621" s="1060"/>
      <c r="G1621" s="1056" t="s">
        <v>359</v>
      </c>
      <c r="H1621" s="1057" t="s">
        <v>2662</v>
      </c>
      <c r="I1621" s="1058"/>
      <c r="J1621" s="1059"/>
      <c r="K1621" s="1085"/>
      <c r="L1621" s="1085"/>
      <c r="M1621" s="1085"/>
      <c r="N1621" s="1085"/>
      <c r="O1621" s="1085"/>
    </row>
    <row r="1622" spans="1:15" ht="15" customHeight="1">
      <c r="A1622" s="1056" t="s">
        <v>361</v>
      </c>
      <c r="B1622" s="1057" t="s">
        <v>2663</v>
      </c>
      <c r="C1622" s="1058"/>
      <c r="D1622" s="1059"/>
      <c r="E1622" s="1061"/>
      <c r="F1622" s="1061"/>
      <c r="G1622" s="1056" t="s">
        <v>361</v>
      </c>
      <c r="H1622" s="1057" t="s">
        <v>2663</v>
      </c>
      <c r="I1622" s="1058"/>
      <c r="J1622" s="1059"/>
      <c r="K1622" s="1085"/>
      <c r="L1622" s="1085"/>
      <c r="M1622" s="1085"/>
      <c r="N1622" s="1085"/>
      <c r="O1622" s="1085"/>
    </row>
    <row r="1623" spans="1:15" ht="15" customHeight="1">
      <c r="A1623" s="1056" t="s">
        <v>364</v>
      </c>
      <c r="B1623" s="1057" t="s">
        <v>2664</v>
      </c>
      <c r="C1623" s="1058"/>
      <c r="D1623" s="1059"/>
      <c r="E1623" s="1061"/>
      <c r="F1623" s="1061"/>
      <c r="G1623" s="1056" t="s">
        <v>364</v>
      </c>
      <c r="H1623" s="1057" t="s">
        <v>2664</v>
      </c>
      <c r="I1623" s="1058"/>
      <c r="J1623" s="1059"/>
      <c r="K1623" s="1085"/>
      <c r="L1623" s="1085"/>
      <c r="M1623" s="1085"/>
      <c r="N1623" s="1085"/>
      <c r="O1623" s="1085"/>
    </row>
    <row r="1624" spans="1:15" ht="15" customHeight="1">
      <c r="A1624" s="1056" t="s">
        <v>370</v>
      </c>
      <c r="B1624" s="1057" t="s">
        <v>2665</v>
      </c>
      <c r="C1624" s="1058"/>
      <c r="D1624" s="1059"/>
      <c r="E1624" s="1061"/>
      <c r="F1624" s="1061"/>
      <c r="G1624" s="1056" t="s">
        <v>370</v>
      </c>
      <c r="H1624" s="1057" t="s">
        <v>2665</v>
      </c>
      <c r="I1624" s="1058"/>
      <c r="J1624" s="1059"/>
      <c r="K1624" s="1085"/>
      <c r="L1624" s="1085"/>
      <c r="M1624" s="1085"/>
      <c r="N1624" s="1085"/>
      <c r="O1624" s="1085"/>
    </row>
    <row r="1625" spans="1:15" ht="15" customHeight="1">
      <c r="A1625" s="1056" t="s">
        <v>2666</v>
      </c>
      <c r="B1625" s="1057" t="s">
        <v>2667</v>
      </c>
      <c r="C1625" s="1058"/>
      <c r="D1625" s="1059"/>
      <c r="E1625" s="1061"/>
      <c r="F1625" s="1061"/>
      <c r="G1625" s="1056" t="s">
        <v>2666</v>
      </c>
      <c r="H1625" s="1057" t="s">
        <v>2667</v>
      </c>
      <c r="I1625" s="1058"/>
      <c r="J1625" s="1059"/>
      <c r="K1625" s="1085"/>
      <c r="L1625" s="1085"/>
      <c r="M1625" s="1085"/>
      <c r="N1625" s="1085"/>
      <c r="O1625" s="1085"/>
    </row>
    <row r="1626" spans="1:15" ht="15" customHeight="1">
      <c r="A1626" s="1056" t="s">
        <v>2668</v>
      </c>
      <c r="B1626" s="1062" t="s">
        <v>2669</v>
      </c>
      <c r="C1626" s="1058"/>
      <c r="D1626" s="1059"/>
      <c r="E1626" s="1061"/>
      <c r="F1626" s="1061"/>
      <c r="G1626" s="1056" t="s">
        <v>2668</v>
      </c>
      <c r="H1626" s="1062" t="s">
        <v>2669</v>
      </c>
      <c r="I1626" s="1058"/>
      <c r="J1626" s="1059"/>
      <c r="K1626" s="1085"/>
      <c r="L1626" s="1085"/>
      <c r="M1626" s="1085"/>
      <c r="N1626" s="1085"/>
      <c r="O1626" s="1085"/>
    </row>
    <row r="1627" spans="1:15" ht="15" customHeight="1">
      <c r="A1627" s="1056" t="s">
        <v>2671</v>
      </c>
      <c r="B1627" s="1057" t="s">
        <v>2672</v>
      </c>
      <c r="C1627" s="1058"/>
      <c r="D1627" s="1059"/>
      <c r="E1627" s="1061"/>
      <c r="F1627" s="1061"/>
      <c r="G1627" s="1056" t="s">
        <v>2671</v>
      </c>
      <c r="H1627" s="1057" t="s">
        <v>2672</v>
      </c>
      <c r="I1627" s="1058"/>
      <c r="J1627" s="1059"/>
      <c r="K1627" s="1085"/>
      <c r="L1627" s="1085"/>
      <c r="M1627" s="1085"/>
      <c r="N1627" s="1085"/>
      <c r="O1627" s="1085"/>
    </row>
    <row r="1628" spans="1:15" ht="15" customHeight="1">
      <c r="A1628" s="1056" t="s">
        <v>374</v>
      </c>
      <c r="B1628" s="1057" t="s">
        <v>2674</v>
      </c>
      <c r="C1628" s="1058"/>
      <c r="D1628" s="1059"/>
      <c r="E1628" s="1063"/>
      <c r="F1628" s="1061"/>
      <c r="G1628" s="1056" t="s">
        <v>374</v>
      </c>
      <c r="H1628" s="1057" t="s">
        <v>2674</v>
      </c>
      <c r="I1628" s="1058"/>
      <c r="J1628" s="1059"/>
      <c r="K1628" s="1085"/>
      <c r="L1628" s="1085"/>
      <c r="M1628" s="1085"/>
      <c r="N1628" s="1085"/>
      <c r="O1628" s="1085"/>
    </row>
    <row r="1629" spans="1:15" ht="15" customHeight="1">
      <c r="A1629" s="1056" t="s">
        <v>2675</v>
      </c>
      <c r="B1629" s="1057" t="s">
        <v>2676</v>
      </c>
      <c r="D1629" s="1064"/>
      <c r="E1629" s="1065"/>
      <c r="F1629" s="1065"/>
      <c r="G1629" s="1056" t="s">
        <v>2675</v>
      </c>
      <c r="H1629" s="1057" t="s">
        <v>2676</v>
      </c>
      <c r="J1629" s="1064"/>
    </row>
    <row r="1630" spans="1:15" ht="15" customHeight="1">
      <c r="A1630" s="1066"/>
      <c r="B1630" s="869"/>
      <c r="C1630" s="1058"/>
      <c r="D1630" s="1059"/>
      <c r="E1630" s="1063"/>
      <c r="F1630" s="1065"/>
      <c r="G1630" s="1066"/>
      <c r="H1630" s="869"/>
      <c r="I1630" s="1058"/>
      <c r="J1630" s="1059"/>
    </row>
    <row r="1631" spans="1:15" ht="15" customHeight="1">
      <c r="A1631" s="1052"/>
      <c r="B1631" s="869"/>
      <c r="C1631" s="1058"/>
      <c r="D1631" s="1059"/>
      <c r="E1631" s="1067"/>
      <c r="F1631" s="1051"/>
      <c r="G1631" s="1052"/>
      <c r="H1631" s="869"/>
      <c r="I1631" s="1058"/>
      <c r="J1631" s="1059"/>
    </row>
    <row r="1632" spans="1:15" ht="15" customHeight="1">
      <c r="A1632" s="1068" t="s">
        <v>383</v>
      </c>
      <c r="B1632" s="1069" t="s">
        <v>384</v>
      </c>
      <c r="C1632" s="1070"/>
      <c r="D1632" s="1071">
        <f>SUM(D1621:D1628)-D1631</f>
        <v>0</v>
      </c>
      <c r="E1632" s="1072"/>
      <c r="F1632" s="1073"/>
      <c r="G1632" s="1068" t="s">
        <v>383</v>
      </c>
      <c r="H1632" s="1069" t="s">
        <v>384</v>
      </c>
      <c r="I1632" s="1070"/>
      <c r="J1632" s="1071">
        <f>SUM(J1621:J1628)-J1631</f>
        <v>0</v>
      </c>
    </row>
    <row r="1633" spans="1:15" ht="15.75" customHeight="1">
      <c r="A1633" s="1074"/>
      <c r="B1633" s="1075"/>
      <c r="C1633" s="1076"/>
      <c r="D1633" s="1077"/>
      <c r="E1633" s="1077"/>
      <c r="F1633" s="1078"/>
      <c r="G1633" s="1074"/>
      <c r="H1633" s="1075"/>
      <c r="I1633" s="1076"/>
      <c r="J1633" s="1077"/>
    </row>
    <row r="1635" spans="1:15" ht="12" customHeight="1">
      <c r="A1635" s="2243"/>
      <c r="B1635" s="2243"/>
      <c r="C1635" s="2243"/>
      <c r="D1635" s="2243"/>
      <c r="E1635" s="2243"/>
      <c r="F1635" s="2243"/>
      <c r="G1635" s="2243"/>
      <c r="H1635" s="2243"/>
      <c r="I1635" s="2243"/>
      <c r="J1635" s="2243"/>
    </row>
    <row r="1636" spans="1:15" ht="15" customHeight="1">
      <c r="A1636" s="2242" t="str">
        <f>$K$2</f>
        <v>THÁNG 04/2025</v>
      </c>
      <c r="B1636" s="2242"/>
      <c r="C1636" s="2242"/>
      <c r="D1636" s="2242"/>
      <c r="E1636" s="1050"/>
      <c r="F1636" s="1051"/>
      <c r="G1636" s="2242" t="str">
        <f>$K$2</f>
        <v>THÁNG 04/2025</v>
      </c>
      <c r="H1636" s="2242"/>
      <c r="I1636" s="2242"/>
      <c r="J1636" s="2242"/>
      <c r="K1636" s="624"/>
    </row>
    <row r="1637" spans="1:15" ht="15" customHeight="1">
      <c r="A1637" s="1052" t="s">
        <v>356</v>
      </c>
      <c r="B1637" s="1053"/>
      <c r="C1637" s="869"/>
      <c r="D1637" s="1049"/>
      <c r="E1637" s="1054"/>
      <c r="F1637" s="1055"/>
      <c r="G1637" s="1052" t="s">
        <v>356</v>
      </c>
      <c r="H1637" s="1053"/>
      <c r="I1637" s="869"/>
      <c r="J1637" s="1049"/>
      <c r="L1637" s="1088"/>
      <c r="M1637" s="1088"/>
      <c r="N1637" s="1088"/>
      <c r="O1637" s="1088"/>
    </row>
    <row r="1638" spans="1:15" ht="15" customHeight="1">
      <c r="A1638" s="1056" t="s">
        <v>359</v>
      </c>
      <c r="B1638" s="1057" t="s">
        <v>2662</v>
      </c>
      <c r="C1638" s="1058"/>
      <c r="D1638" s="1059"/>
      <c r="E1638" s="1060"/>
      <c r="F1638" s="1060"/>
      <c r="G1638" s="1056" t="s">
        <v>359</v>
      </c>
      <c r="H1638" s="1057" t="s">
        <v>2662</v>
      </c>
      <c r="I1638" s="1058"/>
      <c r="J1638" s="1059"/>
      <c r="K1638" s="1084"/>
      <c r="L1638" s="1085"/>
      <c r="M1638" s="1085"/>
      <c r="N1638" s="1085"/>
      <c r="O1638" s="1085"/>
    </row>
    <row r="1639" spans="1:15" ht="15" customHeight="1">
      <c r="A1639" s="1056" t="s">
        <v>361</v>
      </c>
      <c r="B1639" s="1057" t="s">
        <v>2663</v>
      </c>
      <c r="C1639" s="1058"/>
      <c r="D1639" s="1059"/>
      <c r="E1639" s="1061"/>
      <c r="F1639" s="1061"/>
      <c r="G1639" s="1056" t="s">
        <v>361</v>
      </c>
      <c r="H1639" s="1057" t="s">
        <v>2663</v>
      </c>
      <c r="I1639" s="1058"/>
      <c r="J1639" s="1059"/>
      <c r="K1639" s="1084"/>
      <c r="L1639" s="1085"/>
      <c r="M1639" s="1085"/>
      <c r="N1639" s="1085"/>
      <c r="O1639" s="1085"/>
    </row>
    <row r="1640" spans="1:15" ht="15" customHeight="1">
      <c r="A1640" s="1056" t="s">
        <v>364</v>
      </c>
      <c r="B1640" s="1057" t="s">
        <v>2664</v>
      </c>
      <c r="C1640" s="1058"/>
      <c r="D1640" s="1059"/>
      <c r="E1640" s="1061"/>
      <c r="F1640" s="1061"/>
      <c r="G1640" s="1056" t="s">
        <v>364</v>
      </c>
      <c r="H1640" s="1057" t="s">
        <v>2664</v>
      </c>
      <c r="I1640" s="1058"/>
      <c r="J1640" s="1059"/>
      <c r="K1640" s="1084"/>
      <c r="L1640" s="1085"/>
      <c r="M1640" s="1085"/>
      <c r="N1640" s="1085"/>
      <c r="O1640" s="1085"/>
    </row>
    <row r="1641" spans="1:15" ht="15" customHeight="1">
      <c r="A1641" s="1056" t="s">
        <v>370</v>
      </c>
      <c r="B1641" s="1057" t="s">
        <v>2665</v>
      </c>
      <c r="C1641" s="1058"/>
      <c r="D1641" s="1059"/>
      <c r="E1641" s="1061"/>
      <c r="F1641" s="1061"/>
      <c r="G1641" s="1056" t="s">
        <v>370</v>
      </c>
      <c r="H1641" s="1057" t="s">
        <v>2665</v>
      </c>
      <c r="I1641" s="1058"/>
      <c r="J1641" s="1059"/>
      <c r="K1641" s="1085"/>
      <c r="L1641" s="1085"/>
      <c r="M1641" s="1085"/>
      <c r="N1641" s="1085"/>
      <c r="O1641" s="1085"/>
    </row>
    <row r="1642" spans="1:15" ht="15" customHeight="1">
      <c r="A1642" s="1056" t="s">
        <v>2666</v>
      </c>
      <c r="B1642" s="1057" t="s">
        <v>2667</v>
      </c>
      <c r="C1642" s="1058"/>
      <c r="D1642" s="1059"/>
      <c r="E1642" s="1061"/>
      <c r="F1642" s="1061"/>
      <c r="G1642" s="1056" t="s">
        <v>2666</v>
      </c>
      <c r="H1642" s="1057" t="s">
        <v>2667</v>
      </c>
      <c r="I1642" s="1058"/>
      <c r="J1642" s="1059"/>
      <c r="K1642" s="1085"/>
      <c r="L1642" s="1085"/>
      <c r="M1642" s="1085"/>
      <c r="N1642" s="1085"/>
      <c r="O1642" s="1085"/>
    </row>
    <row r="1643" spans="1:15" ht="15" customHeight="1">
      <c r="A1643" s="1056" t="s">
        <v>2668</v>
      </c>
      <c r="B1643" s="1062" t="s">
        <v>2669</v>
      </c>
      <c r="C1643" s="1058"/>
      <c r="D1643" s="1059"/>
      <c r="E1643" s="1061"/>
      <c r="F1643" s="1061"/>
      <c r="G1643" s="1056" t="s">
        <v>2668</v>
      </c>
      <c r="H1643" s="1062" t="s">
        <v>2669</v>
      </c>
      <c r="I1643" s="1058"/>
      <c r="J1643" s="1059"/>
      <c r="K1643" s="1085"/>
      <c r="L1643" s="1085"/>
      <c r="M1643" s="1085"/>
      <c r="N1643" s="1085"/>
      <c r="O1643" s="1085"/>
    </row>
    <row r="1644" spans="1:15" ht="15" customHeight="1">
      <c r="A1644" s="1056" t="s">
        <v>2671</v>
      </c>
      <c r="B1644" s="1057" t="s">
        <v>2672</v>
      </c>
      <c r="C1644" s="1058"/>
      <c r="D1644" s="1059"/>
      <c r="E1644" s="1061"/>
      <c r="F1644" s="1061"/>
      <c r="G1644" s="1056" t="s">
        <v>2671</v>
      </c>
      <c r="H1644" s="1057" t="s">
        <v>2672</v>
      </c>
      <c r="I1644" s="1058"/>
      <c r="J1644" s="1059"/>
      <c r="K1644" s="1085"/>
      <c r="L1644" s="1085"/>
      <c r="M1644" s="1085"/>
      <c r="N1644" s="1085"/>
      <c r="O1644" s="1085"/>
    </row>
    <row r="1645" spans="1:15" ht="15" customHeight="1">
      <c r="A1645" s="1056" t="s">
        <v>374</v>
      </c>
      <c r="B1645" s="1057" t="s">
        <v>2674</v>
      </c>
      <c r="C1645" s="1058"/>
      <c r="D1645" s="1059"/>
      <c r="E1645" s="1063"/>
      <c r="F1645" s="1061"/>
      <c r="G1645" s="1056" t="s">
        <v>374</v>
      </c>
      <c r="H1645" s="1057" t="s">
        <v>2674</v>
      </c>
      <c r="I1645" s="1058"/>
      <c r="J1645" s="1059"/>
      <c r="K1645" s="1085"/>
      <c r="L1645" s="1085"/>
      <c r="M1645" s="1085"/>
      <c r="N1645" s="1085"/>
      <c r="O1645" s="1085"/>
    </row>
    <row r="1646" spans="1:15" ht="15" customHeight="1">
      <c r="A1646" s="1056" t="s">
        <v>2675</v>
      </c>
      <c r="B1646" s="1057" t="s">
        <v>2676</v>
      </c>
      <c r="D1646" s="1064"/>
      <c r="E1646" s="1065"/>
      <c r="F1646" s="1065"/>
      <c r="G1646" s="1056" t="s">
        <v>2675</v>
      </c>
      <c r="H1646" s="1057" t="s">
        <v>2676</v>
      </c>
      <c r="J1646" s="1064"/>
    </row>
    <row r="1647" spans="1:15" ht="15" customHeight="1">
      <c r="A1647" s="1066"/>
      <c r="B1647" s="869"/>
      <c r="C1647" s="1058"/>
      <c r="D1647" s="1059"/>
      <c r="E1647" s="1063"/>
      <c r="F1647" s="1065"/>
      <c r="G1647" s="1066"/>
      <c r="H1647" s="869"/>
      <c r="I1647" s="1058"/>
      <c r="J1647" s="1059"/>
    </row>
    <row r="1648" spans="1:15" ht="15" customHeight="1">
      <c r="A1648" s="1052"/>
      <c r="B1648" s="869"/>
      <c r="C1648" s="1058"/>
      <c r="D1648" s="1059"/>
      <c r="E1648" s="1067"/>
      <c r="F1648" s="1051"/>
      <c r="G1648" s="1052"/>
      <c r="H1648" s="869"/>
      <c r="I1648" s="1058"/>
      <c r="J1648" s="1059"/>
    </row>
    <row r="1649" spans="1:15" ht="15" customHeight="1">
      <c r="A1649" s="1068" t="s">
        <v>383</v>
      </c>
      <c r="B1649" s="1069" t="s">
        <v>384</v>
      </c>
      <c r="C1649" s="1070"/>
      <c r="D1649" s="1071">
        <f>SUM(D1638:D1645)-D1648</f>
        <v>0</v>
      </c>
      <c r="E1649" s="1072"/>
      <c r="F1649" s="1073"/>
      <c r="G1649" s="1068" t="s">
        <v>383</v>
      </c>
      <c r="H1649" s="1069" t="s">
        <v>384</v>
      </c>
      <c r="I1649" s="1070"/>
      <c r="J1649" s="1071">
        <f>SUM(J1638:J1645)-J1648</f>
        <v>0</v>
      </c>
    </row>
    <row r="1650" spans="1:15" ht="12.6" customHeight="1">
      <c r="A1650" s="1074"/>
      <c r="B1650" s="1075"/>
      <c r="C1650" s="1076"/>
      <c r="D1650" s="1077"/>
      <c r="E1650" s="1077"/>
      <c r="F1650" s="1078"/>
      <c r="G1650" s="1074"/>
      <c r="H1650" s="1075"/>
      <c r="I1650" s="1076"/>
      <c r="J1650" s="1077"/>
    </row>
    <row r="1651" spans="1:15" ht="138" customHeight="1">
      <c r="A1651" s="1075"/>
      <c r="B1651" s="1075"/>
      <c r="C1651" s="1079"/>
      <c r="D1651" s="1080"/>
      <c r="E1651" s="1075"/>
      <c r="F1651" s="1081"/>
      <c r="G1651" s="1075"/>
      <c r="H1651" s="1075"/>
      <c r="I1651" s="1079"/>
      <c r="J1651" s="1080"/>
    </row>
    <row r="1652" spans="1:15" ht="15" customHeight="1">
      <c r="A1652" s="2242" t="str">
        <f>$K$2</f>
        <v>THÁNG 04/2025</v>
      </c>
      <c r="B1652" s="2242"/>
      <c r="C1652" s="2242"/>
      <c r="D1652" s="2242"/>
      <c r="E1652" s="1050"/>
      <c r="F1652" s="1051"/>
      <c r="G1652" s="2242" t="str">
        <f>$K$2</f>
        <v>THÁNG 04/2025</v>
      </c>
      <c r="H1652" s="2242"/>
      <c r="I1652" s="2242"/>
      <c r="J1652" s="2242"/>
      <c r="K1652" s="624"/>
    </row>
    <row r="1653" spans="1:15" ht="15" customHeight="1">
      <c r="A1653" s="1052" t="s">
        <v>356</v>
      </c>
      <c r="B1653" s="1053"/>
      <c r="C1653" s="869"/>
      <c r="D1653" s="1049"/>
      <c r="E1653" s="1054"/>
      <c r="F1653" s="1055"/>
      <c r="G1653" s="1052" t="s">
        <v>356</v>
      </c>
      <c r="H1653" s="1053"/>
      <c r="I1653" s="869"/>
      <c r="J1653" s="1049"/>
      <c r="L1653" s="1088"/>
      <c r="M1653" s="1088"/>
      <c r="N1653" s="1088"/>
      <c r="O1653" s="1088"/>
    </row>
    <row r="1654" spans="1:15" ht="15" customHeight="1">
      <c r="A1654" s="1056" t="s">
        <v>359</v>
      </c>
      <c r="B1654" s="1057" t="s">
        <v>2662</v>
      </c>
      <c r="C1654" s="1058"/>
      <c r="D1654" s="1059"/>
      <c r="E1654" s="1060"/>
      <c r="F1654" s="1060"/>
      <c r="G1654" s="1056" t="s">
        <v>359</v>
      </c>
      <c r="H1654" s="1057" t="s">
        <v>2662</v>
      </c>
      <c r="I1654" s="1058"/>
      <c r="J1654" s="1059"/>
      <c r="K1654" s="1085"/>
      <c r="L1654" s="1085"/>
      <c r="M1654" s="1085"/>
      <c r="N1654" s="1085"/>
      <c r="O1654" s="1085"/>
    </row>
    <row r="1655" spans="1:15" ht="15" customHeight="1">
      <c r="A1655" s="1056" t="s">
        <v>361</v>
      </c>
      <c r="B1655" s="1057" t="s">
        <v>2663</v>
      </c>
      <c r="C1655" s="1058"/>
      <c r="D1655" s="1059"/>
      <c r="E1655" s="1061"/>
      <c r="F1655" s="1061"/>
      <c r="G1655" s="1056" t="s">
        <v>361</v>
      </c>
      <c r="H1655" s="1057" t="s">
        <v>2663</v>
      </c>
      <c r="I1655" s="1058"/>
      <c r="J1655" s="1059"/>
      <c r="K1655" s="1085"/>
      <c r="L1655" s="1085"/>
      <c r="M1655" s="1085"/>
      <c r="N1655" s="1085"/>
      <c r="O1655" s="1085"/>
    </row>
    <row r="1656" spans="1:15" ht="15" customHeight="1">
      <c r="A1656" s="1056" t="s">
        <v>364</v>
      </c>
      <c r="B1656" s="1057" t="s">
        <v>2664</v>
      </c>
      <c r="C1656" s="1058"/>
      <c r="D1656" s="1059"/>
      <c r="E1656" s="1061"/>
      <c r="F1656" s="1061"/>
      <c r="G1656" s="1056" t="s">
        <v>364</v>
      </c>
      <c r="H1656" s="1057" t="s">
        <v>2664</v>
      </c>
      <c r="I1656" s="1058"/>
      <c r="J1656" s="1059"/>
      <c r="K1656" s="1085"/>
      <c r="L1656" s="1085"/>
      <c r="M1656" s="1085"/>
      <c r="N1656" s="1085"/>
      <c r="O1656" s="1085"/>
    </row>
    <row r="1657" spans="1:15" ht="15" customHeight="1">
      <c r="A1657" s="1056" t="s">
        <v>370</v>
      </c>
      <c r="B1657" s="1057" t="s">
        <v>2665</v>
      </c>
      <c r="C1657" s="1058"/>
      <c r="D1657" s="1059"/>
      <c r="E1657" s="1061"/>
      <c r="F1657" s="1061"/>
      <c r="G1657" s="1056" t="s">
        <v>370</v>
      </c>
      <c r="H1657" s="1057" t="s">
        <v>2665</v>
      </c>
      <c r="I1657" s="1058"/>
      <c r="J1657" s="1059"/>
      <c r="K1657" s="1085"/>
      <c r="L1657" s="1085"/>
      <c r="M1657" s="1085"/>
      <c r="N1657" s="1085"/>
      <c r="O1657" s="1085"/>
    </row>
    <row r="1658" spans="1:15" ht="15" customHeight="1">
      <c r="A1658" s="1056" t="s">
        <v>2666</v>
      </c>
      <c r="B1658" s="1057" t="s">
        <v>2667</v>
      </c>
      <c r="C1658" s="1058"/>
      <c r="D1658" s="1059"/>
      <c r="E1658" s="1061"/>
      <c r="F1658" s="1061"/>
      <c r="G1658" s="1056" t="s">
        <v>2666</v>
      </c>
      <c r="H1658" s="1057" t="s">
        <v>2667</v>
      </c>
      <c r="I1658" s="1058"/>
      <c r="J1658" s="1059"/>
      <c r="K1658" s="1085"/>
      <c r="L1658" s="1085"/>
      <c r="M1658" s="1085"/>
      <c r="N1658" s="1085"/>
      <c r="O1658" s="1085"/>
    </row>
    <row r="1659" spans="1:15" ht="15" customHeight="1">
      <c r="A1659" s="1056" t="s">
        <v>2668</v>
      </c>
      <c r="B1659" s="1062" t="s">
        <v>2669</v>
      </c>
      <c r="C1659" s="1058"/>
      <c r="D1659" s="1059"/>
      <c r="E1659" s="1061"/>
      <c r="F1659" s="1061"/>
      <c r="G1659" s="1056" t="s">
        <v>2668</v>
      </c>
      <c r="H1659" s="1062" t="s">
        <v>2669</v>
      </c>
      <c r="I1659" s="1058"/>
      <c r="J1659" s="1059"/>
      <c r="K1659" s="1085"/>
      <c r="L1659" s="1085"/>
      <c r="M1659" s="1085"/>
      <c r="N1659" s="1085"/>
      <c r="O1659" s="1085"/>
    </row>
    <row r="1660" spans="1:15" ht="15" customHeight="1">
      <c r="A1660" s="1056" t="s">
        <v>2671</v>
      </c>
      <c r="B1660" s="1057" t="s">
        <v>2672</v>
      </c>
      <c r="C1660" s="1058"/>
      <c r="D1660" s="1059"/>
      <c r="E1660" s="1061"/>
      <c r="F1660" s="1061"/>
      <c r="G1660" s="1056" t="s">
        <v>2671</v>
      </c>
      <c r="H1660" s="1057" t="s">
        <v>2672</v>
      </c>
      <c r="I1660" s="1058"/>
      <c r="J1660" s="1059"/>
      <c r="K1660" s="1085"/>
      <c r="L1660" s="1085"/>
      <c r="M1660" s="1085"/>
      <c r="N1660" s="1085"/>
      <c r="O1660" s="1085"/>
    </row>
    <row r="1661" spans="1:15" ht="15" customHeight="1">
      <c r="A1661" s="1056" t="s">
        <v>374</v>
      </c>
      <c r="B1661" s="1057" t="s">
        <v>2674</v>
      </c>
      <c r="C1661" s="1058"/>
      <c r="D1661" s="1059"/>
      <c r="E1661" s="1063"/>
      <c r="F1661" s="1061"/>
      <c r="G1661" s="1056" t="s">
        <v>374</v>
      </c>
      <c r="H1661" s="1057" t="s">
        <v>2674</v>
      </c>
      <c r="I1661" s="1058"/>
      <c r="J1661" s="1059"/>
      <c r="K1661" s="1085"/>
      <c r="L1661" s="1085"/>
      <c r="M1661" s="1085"/>
      <c r="N1661" s="1085"/>
      <c r="O1661" s="1085"/>
    </row>
    <row r="1662" spans="1:15" ht="15" customHeight="1">
      <c r="A1662" s="1056" t="s">
        <v>2675</v>
      </c>
      <c r="B1662" s="1057" t="s">
        <v>2676</v>
      </c>
      <c r="D1662" s="1064"/>
      <c r="E1662" s="1065"/>
      <c r="F1662" s="1065"/>
      <c r="G1662" s="1056" t="s">
        <v>2675</v>
      </c>
      <c r="H1662" s="1057" t="s">
        <v>2676</v>
      </c>
      <c r="J1662" s="1064"/>
    </row>
    <row r="1663" spans="1:15" ht="15" customHeight="1">
      <c r="A1663" s="1066"/>
      <c r="B1663" s="869"/>
      <c r="C1663" s="1058"/>
      <c r="D1663" s="1059"/>
      <c r="E1663" s="1063"/>
      <c r="F1663" s="1065"/>
      <c r="G1663" s="1066"/>
      <c r="H1663" s="869"/>
      <c r="I1663" s="1058"/>
      <c r="J1663" s="1059"/>
    </row>
    <row r="1664" spans="1:15" ht="15" customHeight="1">
      <c r="A1664" s="1052"/>
      <c r="B1664" s="869"/>
      <c r="C1664" s="1058"/>
      <c r="D1664" s="1059"/>
      <c r="E1664" s="1067"/>
      <c r="F1664" s="1051"/>
      <c r="G1664" s="1052"/>
      <c r="H1664" s="869"/>
      <c r="I1664" s="1058"/>
      <c r="J1664" s="1059"/>
    </row>
    <row r="1665" spans="1:15" ht="15" customHeight="1">
      <c r="A1665" s="1068" t="s">
        <v>383</v>
      </c>
      <c r="B1665" s="1069" t="s">
        <v>384</v>
      </c>
      <c r="C1665" s="1070"/>
      <c r="D1665" s="1071">
        <f>SUM(D1654:D1661)-D1664</f>
        <v>0</v>
      </c>
      <c r="E1665" s="1072"/>
      <c r="F1665" s="1073"/>
      <c r="G1665" s="1068" t="s">
        <v>383</v>
      </c>
      <c r="H1665" s="1069" t="s">
        <v>384</v>
      </c>
      <c r="I1665" s="1070"/>
      <c r="J1665" s="1071">
        <f>SUM(J1654:J1661)-J1664</f>
        <v>0</v>
      </c>
    </row>
    <row r="1666" spans="1:15" ht="18.75" customHeight="1">
      <c r="A1666" s="1074"/>
      <c r="B1666" s="1075"/>
      <c r="C1666" s="1076"/>
      <c r="D1666" s="1077"/>
      <c r="E1666" s="1077"/>
      <c r="F1666" s="1078"/>
      <c r="G1666" s="1074"/>
      <c r="H1666" s="1075"/>
      <c r="I1666" s="1076"/>
      <c r="J1666" s="1077"/>
    </row>
    <row r="1667" spans="1:15" ht="18.75" customHeight="1">
      <c r="A1667" s="1075"/>
      <c r="B1667" s="1075"/>
      <c r="C1667" s="1079"/>
      <c r="D1667" s="1080"/>
      <c r="E1667" s="1075"/>
      <c r="F1667" s="1081"/>
      <c r="G1667" s="1075"/>
      <c r="H1667" s="1075"/>
      <c r="I1667" s="1079"/>
      <c r="J1667" s="1080"/>
    </row>
    <row r="1668" spans="1:15" ht="15" customHeight="1">
      <c r="A1668" s="2242" t="str">
        <f>$K$2</f>
        <v>THÁNG 04/2025</v>
      </c>
      <c r="B1668" s="2242"/>
      <c r="C1668" s="2242"/>
      <c r="D1668" s="2242"/>
      <c r="E1668" s="1050"/>
      <c r="F1668" s="1051"/>
      <c r="G1668" s="2242" t="str">
        <f>$K$2</f>
        <v>THÁNG 04/2025</v>
      </c>
      <c r="H1668" s="2242"/>
      <c r="I1668" s="2242"/>
      <c r="J1668" s="2242"/>
      <c r="K1668" s="624"/>
    </row>
    <row r="1669" spans="1:15" ht="15" customHeight="1">
      <c r="A1669" s="1052" t="s">
        <v>356</v>
      </c>
      <c r="B1669" s="1053"/>
      <c r="C1669" s="869"/>
      <c r="D1669" s="1049"/>
      <c r="E1669" s="1054"/>
      <c r="F1669" s="1055"/>
      <c r="G1669" s="1052" t="s">
        <v>356</v>
      </c>
      <c r="H1669" s="1053" t="s">
        <v>494</v>
      </c>
      <c r="I1669" s="869"/>
      <c r="J1669" s="1049"/>
      <c r="L1669" s="1088"/>
      <c r="M1669" s="1088"/>
      <c r="N1669" s="1088"/>
      <c r="O1669" s="1088"/>
    </row>
    <row r="1670" spans="1:15" ht="15" customHeight="1">
      <c r="A1670" s="1056" t="s">
        <v>359</v>
      </c>
      <c r="B1670" s="1057" t="s">
        <v>2662</v>
      </c>
      <c r="C1670" s="1058"/>
      <c r="D1670" s="1059"/>
      <c r="E1670" s="1060"/>
      <c r="F1670" s="1060"/>
      <c r="G1670" s="1056" t="s">
        <v>359</v>
      </c>
      <c r="H1670" s="1057" t="s">
        <v>2662</v>
      </c>
      <c r="I1670" s="1058"/>
      <c r="J1670" s="1059"/>
      <c r="K1670" s="1085"/>
      <c r="L1670" s="1085"/>
      <c r="M1670" s="1085"/>
      <c r="N1670" s="1085"/>
      <c r="O1670" s="1085"/>
    </row>
    <row r="1671" spans="1:15" ht="15" customHeight="1">
      <c r="A1671" s="1056" t="s">
        <v>361</v>
      </c>
      <c r="B1671" s="1057" t="s">
        <v>2663</v>
      </c>
      <c r="C1671" s="1058"/>
      <c r="D1671" s="1059"/>
      <c r="E1671" s="1061"/>
      <c r="F1671" s="1061"/>
      <c r="G1671" s="1056" t="s">
        <v>361</v>
      </c>
      <c r="H1671" s="1057" t="s">
        <v>2663</v>
      </c>
      <c r="I1671" s="1058"/>
      <c r="J1671" s="1059"/>
      <c r="K1671" s="1085"/>
      <c r="L1671" s="1085"/>
      <c r="M1671" s="1085"/>
      <c r="N1671" s="1085"/>
      <c r="O1671" s="1085"/>
    </row>
    <row r="1672" spans="1:15" ht="15" customHeight="1">
      <c r="A1672" s="1056" t="s">
        <v>364</v>
      </c>
      <c r="B1672" s="1057" t="s">
        <v>2664</v>
      </c>
      <c r="C1672" s="1058"/>
      <c r="D1672" s="1059"/>
      <c r="E1672" s="1061"/>
      <c r="F1672" s="1061"/>
      <c r="G1672" s="1056" t="s">
        <v>364</v>
      </c>
      <c r="H1672" s="1057" t="s">
        <v>2664</v>
      </c>
      <c r="I1672" s="1058"/>
      <c r="J1672" s="1059"/>
      <c r="K1672" s="1085"/>
      <c r="L1672" s="1085"/>
      <c r="M1672" s="1085"/>
      <c r="N1672" s="1085"/>
      <c r="O1672" s="1085"/>
    </row>
    <row r="1673" spans="1:15" ht="15" customHeight="1">
      <c r="A1673" s="1056" t="s">
        <v>370</v>
      </c>
      <c r="B1673" s="1057" t="s">
        <v>2665</v>
      </c>
      <c r="C1673" s="1058"/>
      <c r="D1673" s="1059"/>
      <c r="E1673" s="1061"/>
      <c r="F1673" s="1061"/>
      <c r="G1673" s="1056" t="s">
        <v>370</v>
      </c>
      <c r="H1673" s="1057" t="s">
        <v>2665</v>
      </c>
      <c r="I1673" s="1058"/>
      <c r="J1673" s="1059"/>
      <c r="K1673" s="1085"/>
      <c r="L1673" s="1085"/>
      <c r="M1673" s="1085"/>
      <c r="N1673" s="1085"/>
      <c r="O1673" s="1085"/>
    </row>
    <row r="1674" spans="1:15" ht="15" customHeight="1">
      <c r="A1674" s="1056" t="s">
        <v>2666</v>
      </c>
      <c r="B1674" s="1057" t="s">
        <v>2667</v>
      </c>
      <c r="C1674" s="1058"/>
      <c r="D1674" s="1059"/>
      <c r="E1674" s="1061"/>
      <c r="F1674" s="1061"/>
      <c r="G1674" s="1056" t="s">
        <v>2666</v>
      </c>
      <c r="H1674" s="1057" t="s">
        <v>2667</v>
      </c>
      <c r="I1674" s="1058"/>
      <c r="J1674" s="1059"/>
      <c r="K1674" s="1085"/>
      <c r="L1674" s="1085"/>
      <c r="M1674" s="1085"/>
      <c r="N1674" s="1085"/>
      <c r="O1674" s="1085"/>
    </row>
    <row r="1675" spans="1:15" ht="15" customHeight="1">
      <c r="A1675" s="1056" t="s">
        <v>2668</v>
      </c>
      <c r="B1675" s="1062" t="s">
        <v>2669</v>
      </c>
      <c r="C1675" s="1058"/>
      <c r="D1675" s="1059"/>
      <c r="E1675" s="1061"/>
      <c r="F1675" s="1061"/>
      <c r="G1675" s="1056" t="s">
        <v>2668</v>
      </c>
      <c r="H1675" s="1062" t="s">
        <v>2669</v>
      </c>
      <c r="I1675" s="1058"/>
      <c r="J1675" s="1059"/>
      <c r="K1675" s="1085"/>
      <c r="L1675" s="1085"/>
      <c r="M1675" s="1085"/>
      <c r="N1675" s="1085"/>
      <c r="O1675" s="1085"/>
    </row>
    <row r="1676" spans="1:15" ht="15" customHeight="1">
      <c r="A1676" s="1056" t="s">
        <v>2671</v>
      </c>
      <c r="B1676" s="1057" t="s">
        <v>2672</v>
      </c>
      <c r="C1676" s="1058"/>
      <c r="D1676" s="1059"/>
      <c r="E1676" s="1061"/>
      <c r="F1676" s="1061"/>
      <c r="G1676" s="1056" t="s">
        <v>2671</v>
      </c>
      <c r="H1676" s="1057" t="s">
        <v>2672</v>
      </c>
      <c r="I1676" s="1058"/>
      <c r="J1676" s="1059"/>
      <c r="K1676" s="1085"/>
      <c r="L1676" s="1085"/>
      <c r="M1676" s="1085"/>
      <c r="N1676" s="1085"/>
      <c r="O1676" s="1085"/>
    </row>
    <row r="1677" spans="1:15" ht="15" customHeight="1">
      <c r="A1677" s="1056" t="s">
        <v>374</v>
      </c>
      <c r="B1677" s="1057" t="s">
        <v>2674</v>
      </c>
      <c r="C1677" s="1058"/>
      <c r="D1677" s="1059"/>
      <c r="E1677" s="1063"/>
      <c r="F1677" s="1061"/>
      <c r="G1677" s="1056" t="s">
        <v>374</v>
      </c>
      <c r="H1677" s="1057" t="s">
        <v>2674</v>
      </c>
      <c r="I1677" s="1058"/>
      <c r="J1677" s="1059"/>
      <c r="K1677" s="1085"/>
      <c r="L1677" s="1085"/>
      <c r="M1677" s="1085"/>
      <c r="N1677" s="1085"/>
      <c r="O1677" s="1085"/>
    </row>
    <row r="1678" spans="1:15" ht="15" customHeight="1">
      <c r="A1678" s="1056" t="s">
        <v>2675</v>
      </c>
      <c r="B1678" s="1057" t="s">
        <v>2676</v>
      </c>
      <c r="D1678" s="1064"/>
      <c r="E1678" s="1065"/>
      <c r="F1678" s="1065"/>
      <c r="G1678" s="1056" t="s">
        <v>2675</v>
      </c>
      <c r="H1678" s="1057" t="s">
        <v>2676</v>
      </c>
      <c r="J1678" s="1064"/>
    </row>
    <row r="1679" spans="1:15" ht="15" customHeight="1">
      <c r="A1679" s="1066"/>
      <c r="B1679" s="869"/>
      <c r="C1679" s="1058"/>
      <c r="D1679" s="1059"/>
      <c r="E1679" s="1063"/>
      <c r="F1679" s="1065"/>
      <c r="G1679" s="1066"/>
      <c r="H1679" s="869"/>
      <c r="I1679" s="1058"/>
      <c r="J1679" s="1059"/>
    </row>
    <row r="1680" spans="1:15" ht="15" customHeight="1">
      <c r="A1680" s="1052"/>
      <c r="B1680" s="869"/>
      <c r="C1680" s="1058"/>
      <c r="D1680" s="1059"/>
      <c r="E1680" s="1067"/>
      <c r="F1680" s="1051"/>
      <c r="G1680" s="1052"/>
      <c r="H1680" s="869"/>
      <c r="I1680" s="1058"/>
      <c r="J1680" s="1059"/>
    </row>
    <row r="1681" spans="1:15" ht="15" customHeight="1">
      <c r="A1681" s="1068" t="s">
        <v>383</v>
      </c>
      <c r="B1681" s="1069" t="s">
        <v>384</v>
      </c>
      <c r="C1681" s="1070"/>
      <c r="D1681" s="1071">
        <f>SUM(D1670:D1677)-D1680</f>
        <v>0</v>
      </c>
      <c r="E1681" s="1072"/>
      <c r="F1681" s="1073"/>
      <c r="G1681" s="1068" t="s">
        <v>383</v>
      </c>
      <c r="H1681" s="1069" t="s">
        <v>384</v>
      </c>
      <c r="I1681" s="1070"/>
      <c r="J1681" s="1071">
        <f>SUM(J1670:J1677)-J1680</f>
        <v>0</v>
      </c>
    </row>
    <row r="1682" spans="1:15" ht="18.75" customHeight="1">
      <c r="A1682" s="1074"/>
      <c r="B1682" s="1075"/>
      <c r="C1682" s="1076"/>
      <c r="D1682" s="1077"/>
      <c r="E1682" s="1077"/>
      <c r="F1682" s="1078"/>
      <c r="G1682" s="1074"/>
      <c r="H1682" s="1075"/>
      <c r="I1682" s="1076"/>
      <c r="J1682" s="1077"/>
    </row>
    <row r="1683" spans="1:15" ht="18.75" customHeight="1">
      <c r="A1683" s="1075"/>
      <c r="B1683" s="1075"/>
      <c r="C1683" s="1079"/>
      <c r="D1683" s="1080"/>
      <c r="E1683" s="1075"/>
      <c r="F1683" s="1081"/>
      <c r="G1683" s="1075"/>
      <c r="H1683" s="1075"/>
      <c r="I1683" s="1079"/>
      <c r="J1683" s="1080"/>
    </row>
    <row r="1684" spans="1:15" ht="15" customHeight="1">
      <c r="A1684" s="2242" t="str">
        <f>$K$2</f>
        <v>THÁNG 04/2025</v>
      </c>
      <c r="B1684" s="2242"/>
      <c r="C1684" s="2242"/>
      <c r="D1684" s="2242"/>
      <c r="E1684" s="1050"/>
      <c r="F1684" s="1051"/>
      <c r="G1684" s="2242" t="str">
        <f>$K$2</f>
        <v>THÁNG 04/2025</v>
      </c>
      <c r="H1684" s="2242"/>
      <c r="I1684" s="2242"/>
      <c r="J1684" s="2242"/>
      <c r="K1684" s="624"/>
    </row>
    <row r="1685" spans="1:15" ht="15" customHeight="1">
      <c r="A1685" s="1052" t="s">
        <v>356</v>
      </c>
      <c r="B1685" s="1053" t="s">
        <v>495</v>
      </c>
      <c r="C1685" s="869"/>
      <c r="D1685" s="1049"/>
      <c r="E1685" s="1054"/>
      <c r="F1685" s="1055"/>
      <c r="G1685" s="1052" t="s">
        <v>356</v>
      </c>
      <c r="H1685" s="1053"/>
      <c r="I1685" s="869"/>
      <c r="J1685" s="1049"/>
      <c r="L1685" s="1088"/>
      <c r="M1685" s="1088"/>
      <c r="N1685" s="1088"/>
      <c r="O1685" s="1088"/>
    </row>
    <row r="1686" spans="1:15" ht="15" customHeight="1">
      <c r="A1686" s="1056" t="s">
        <v>359</v>
      </c>
      <c r="B1686" s="1057" t="s">
        <v>2662</v>
      </c>
      <c r="C1686" s="1058"/>
      <c r="D1686" s="1059"/>
      <c r="E1686" s="1060"/>
      <c r="F1686" s="1060"/>
      <c r="G1686" s="1056" t="s">
        <v>359</v>
      </c>
      <c r="H1686" s="1057" t="s">
        <v>2662</v>
      </c>
      <c r="I1686" s="1058"/>
      <c r="J1686" s="1059"/>
      <c r="K1686" s="1085"/>
      <c r="L1686" s="1085"/>
      <c r="M1686" s="1085"/>
      <c r="N1686" s="1085"/>
      <c r="O1686" s="1085"/>
    </row>
    <row r="1687" spans="1:15" ht="15" customHeight="1">
      <c r="A1687" s="1056" t="s">
        <v>361</v>
      </c>
      <c r="B1687" s="1057" t="s">
        <v>2663</v>
      </c>
      <c r="C1687" s="1058"/>
      <c r="D1687" s="1059"/>
      <c r="E1687" s="1061"/>
      <c r="F1687" s="1061"/>
      <c r="G1687" s="1056" t="s">
        <v>361</v>
      </c>
      <c r="H1687" s="1057" t="s">
        <v>2663</v>
      </c>
      <c r="I1687" s="1058"/>
      <c r="J1687" s="1059"/>
      <c r="K1687" s="1085"/>
      <c r="L1687" s="1085"/>
      <c r="M1687" s="1085"/>
      <c r="N1687" s="1085"/>
      <c r="O1687" s="1085"/>
    </row>
    <row r="1688" spans="1:15" ht="15" customHeight="1">
      <c r="A1688" s="1056" t="s">
        <v>364</v>
      </c>
      <c r="B1688" s="1057" t="s">
        <v>2664</v>
      </c>
      <c r="C1688" s="1058"/>
      <c r="D1688" s="1059"/>
      <c r="E1688" s="1061"/>
      <c r="F1688" s="1061"/>
      <c r="G1688" s="1056" t="s">
        <v>364</v>
      </c>
      <c r="H1688" s="1057" t="s">
        <v>2664</v>
      </c>
      <c r="I1688" s="1058"/>
      <c r="J1688" s="1059"/>
      <c r="K1688" s="1085"/>
      <c r="L1688" s="1085"/>
      <c r="M1688" s="1085"/>
      <c r="N1688" s="1085"/>
      <c r="O1688" s="1085"/>
    </row>
    <row r="1689" spans="1:15" ht="15" customHeight="1">
      <c r="A1689" s="1056" t="s">
        <v>370</v>
      </c>
      <c r="B1689" s="1057" t="s">
        <v>2665</v>
      </c>
      <c r="C1689" s="1058"/>
      <c r="D1689" s="1059"/>
      <c r="E1689" s="1061"/>
      <c r="F1689" s="1061"/>
      <c r="G1689" s="1056" t="s">
        <v>370</v>
      </c>
      <c r="H1689" s="1057" t="s">
        <v>2665</v>
      </c>
      <c r="I1689" s="1058"/>
      <c r="J1689" s="1059"/>
      <c r="K1689" s="1085"/>
      <c r="L1689" s="1085"/>
      <c r="M1689" s="1085"/>
      <c r="N1689" s="1085"/>
      <c r="O1689" s="1085"/>
    </row>
    <row r="1690" spans="1:15" ht="15" customHeight="1">
      <c r="A1690" s="1056" t="s">
        <v>2666</v>
      </c>
      <c r="B1690" s="1057" t="s">
        <v>2667</v>
      </c>
      <c r="C1690" s="1058"/>
      <c r="D1690" s="1059"/>
      <c r="E1690" s="1061"/>
      <c r="F1690" s="1061"/>
      <c r="G1690" s="1056" t="s">
        <v>2666</v>
      </c>
      <c r="H1690" s="1057" t="s">
        <v>2667</v>
      </c>
      <c r="I1690" s="1058"/>
      <c r="J1690" s="1059"/>
      <c r="K1690" s="1085"/>
      <c r="L1690" s="1085"/>
      <c r="M1690" s="1085"/>
      <c r="N1690" s="1085"/>
      <c r="O1690" s="1085"/>
    </row>
    <row r="1691" spans="1:15" ht="15" customHeight="1">
      <c r="A1691" s="1056" t="s">
        <v>2668</v>
      </c>
      <c r="B1691" s="1062" t="s">
        <v>2669</v>
      </c>
      <c r="C1691" s="1058"/>
      <c r="D1691" s="1059"/>
      <c r="E1691" s="1061"/>
      <c r="F1691" s="1061"/>
      <c r="G1691" s="1056" t="s">
        <v>2668</v>
      </c>
      <c r="H1691" s="1062" t="s">
        <v>2669</v>
      </c>
      <c r="I1691" s="1058"/>
      <c r="J1691" s="1059"/>
      <c r="K1691" s="1085"/>
      <c r="L1691" s="1085"/>
      <c r="M1691" s="1085"/>
      <c r="N1691" s="1085"/>
      <c r="O1691" s="1085"/>
    </row>
    <row r="1692" spans="1:15" ht="15" customHeight="1">
      <c r="A1692" s="1056" t="s">
        <v>2671</v>
      </c>
      <c r="B1692" s="1057" t="s">
        <v>2672</v>
      </c>
      <c r="C1692" s="1058"/>
      <c r="D1692" s="1059"/>
      <c r="E1692" s="1061"/>
      <c r="F1692" s="1061"/>
      <c r="G1692" s="1056" t="s">
        <v>2671</v>
      </c>
      <c r="H1692" s="1057" t="s">
        <v>2672</v>
      </c>
      <c r="I1692" s="1058"/>
      <c r="J1692" s="1059"/>
      <c r="K1692" s="1090" t="s">
        <v>485</v>
      </c>
      <c r="M1692" s="1090" t="e">
        <f>D1697+D1681+J1681+J1665+D1665+D1649+J1649+J1632+D1632+D1616+J1616+J1600+D1600+D1584+J1584+J1567+D1567+D1551+J1551+J1535+D1535+D1519+J1519+J1502+D1502+D1486+J1486+J1470+D1470+D1454+J1454+J1437+D1437+D1421+J1421+J1405+D1405+D1389+J1389+J1372+D1372+D1356+J1356+J1340+D1340+D1324+J1324+D1307+J1307+J1291+D1291+D1275+J1275+J1259+D1259+J1242+D1242+D1226+J1226+J1210+D1210+D1194+J1194+J1177+D1177+J1161+D1161+D1145+J1145+J1129+D1129+D1112+J1112+J1096+D1096+D1080+J1080+J1064+D1064+D1047+J1047+J1031+D1031+D1015+J1015+J999+D999+D982+J982+J966+D966+D950+J950+J934+D934</f>
        <v>#N/A</v>
      </c>
      <c r="N1692" s="1090"/>
      <c r="O1692" s="1090"/>
    </row>
    <row r="1693" spans="1:15" ht="15" customHeight="1">
      <c r="A1693" s="1056" t="s">
        <v>374</v>
      </c>
      <c r="B1693" s="1057" t="s">
        <v>2674</v>
      </c>
      <c r="C1693" s="1058"/>
      <c r="D1693" s="1059"/>
      <c r="E1693" s="1063"/>
      <c r="F1693" s="1061"/>
      <c r="G1693" s="1056" t="s">
        <v>374</v>
      </c>
      <c r="H1693" s="1057" t="s">
        <v>2674</v>
      </c>
      <c r="I1693" s="1058"/>
      <c r="J1693" s="1059"/>
      <c r="K1693" s="1085"/>
      <c r="L1693" s="1085" t="e">
        <f>+M1692+D1697</f>
        <v>#N/A</v>
      </c>
      <c r="M1693" s="1085" t="e">
        <f>+'Đội 3'!AE101-'Đội 3'!#REF!</f>
        <v>#N/A</v>
      </c>
      <c r="N1693" s="1085"/>
      <c r="O1693" s="1085"/>
    </row>
    <row r="1694" spans="1:15" ht="15" customHeight="1">
      <c r="A1694" s="1056" t="s">
        <v>2675</v>
      </c>
      <c r="B1694" s="1057" t="s">
        <v>2676</v>
      </c>
      <c r="D1694" s="1064"/>
      <c r="E1694" s="1065"/>
      <c r="F1694" s="1065"/>
      <c r="G1694" s="1056" t="s">
        <v>2675</v>
      </c>
      <c r="H1694" s="1057" t="s">
        <v>2676</v>
      </c>
      <c r="J1694" s="1064"/>
      <c r="L1694" s="1045">
        <f>D1697</f>
        <v>0</v>
      </c>
      <c r="M1694" s="1045" t="e">
        <f>+M1692-M1693</f>
        <v>#N/A</v>
      </c>
    </row>
    <row r="1695" spans="1:15" ht="15" customHeight="1">
      <c r="A1695" s="1066"/>
      <c r="B1695" s="869"/>
      <c r="C1695" s="1058"/>
      <c r="D1695" s="1059"/>
      <c r="E1695" s="1063"/>
      <c r="F1695" s="1065"/>
      <c r="G1695" s="1066"/>
      <c r="H1695" s="869"/>
      <c r="I1695" s="1058"/>
      <c r="J1695" s="1059"/>
    </row>
    <row r="1696" spans="1:15" ht="15" customHeight="1">
      <c r="A1696" s="1052"/>
      <c r="B1696" s="869"/>
      <c r="C1696" s="1058"/>
      <c r="D1696" s="1059"/>
      <c r="E1696" s="1067"/>
      <c r="F1696" s="1051"/>
      <c r="G1696" s="1052"/>
      <c r="H1696" s="869"/>
      <c r="I1696" s="1058"/>
      <c r="J1696" s="1059"/>
    </row>
    <row r="1697" spans="1:15" ht="15" customHeight="1">
      <c r="A1697" s="1068" t="s">
        <v>383</v>
      </c>
      <c r="B1697" s="1069" t="s">
        <v>384</v>
      </c>
      <c r="C1697" s="1070"/>
      <c r="D1697" s="1071">
        <f>SUM(D1686:D1693)</f>
        <v>0</v>
      </c>
      <c r="E1697" s="1072"/>
      <c r="F1697" s="1073"/>
      <c r="G1697" s="1068" t="s">
        <v>383</v>
      </c>
      <c r="H1697" s="1069" t="s">
        <v>384</v>
      </c>
      <c r="I1697" s="1070"/>
      <c r="J1697" s="1071"/>
    </row>
    <row r="1698" spans="1:15" ht="15.75" customHeight="1">
      <c r="A1698" s="1074"/>
      <c r="B1698" s="1075"/>
      <c r="C1698" s="1076"/>
      <c r="D1698" s="1077"/>
      <c r="E1698" s="1077"/>
      <c r="F1698" s="1078"/>
      <c r="G1698" s="1074"/>
      <c r="H1698" s="1075"/>
      <c r="I1698" s="1076"/>
      <c r="J1698" s="1077"/>
    </row>
    <row r="1700" spans="1:15" ht="123" customHeight="1">
      <c r="A1700" s="2243"/>
      <c r="B1700" s="2243"/>
      <c r="C1700" s="2243"/>
      <c r="D1700" s="2243"/>
      <c r="E1700" s="2243"/>
      <c r="F1700" s="2243"/>
      <c r="G1700" s="2243"/>
      <c r="H1700" s="2243"/>
      <c r="I1700" s="2243"/>
      <c r="J1700" s="2243"/>
    </row>
    <row r="1701" spans="1:15" ht="15" customHeight="1">
      <c r="A1701" s="2242" t="str">
        <f>$K$2</f>
        <v>THÁNG 04/2025</v>
      </c>
      <c r="B1701" s="2242"/>
      <c r="C1701" s="2242"/>
      <c r="D1701" s="2242"/>
      <c r="E1701" s="1050"/>
      <c r="F1701" s="1051"/>
      <c r="G1701" s="2242" t="str">
        <f>$K$2</f>
        <v>THÁNG 04/2025</v>
      </c>
      <c r="H1701" s="2242"/>
      <c r="I1701" s="2242"/>
      <c r="J1701" s="2242"/>
      <c r="K1701" s="624"/>
    </row>
    <row r="1702" spans="1:15" ht="15" customHeight="1">
      <c r="A1702" s="1052" t="s">
        <v>356</v>
      </c>
      <c r="B1702" s="1053" t="s">
        <v>104</v>
      </c>
      <c r="C1702" s="869"/>
      <c r="D1702" s="1049"/>
      <c r="E1702" s="1054"/>
      <c r="F1702" s="1055"/>
      <c r="G1702" s="1052" t="s">
        <v>356</v>
      </c>
      <c r="H1702" s="1053" t="s">
        <v>105</v>
      </c>
      <c r="I1702" s="869"/>
      <c r="J1702" s="1049"/>
      <c r="L1702" s="1088"/>
      <c r="M1702" s="1088"/>
      <c r="N1702" s="1088"/>
      <c r="O1702" s="1088"/>
    </row>
    <row r="1703" spans="1:15" ht="15" customHeight="1">
      <c r="A1703" s="1056" t="s">
        <v>359</v>
      </c>
      <c r="B1703" s="1057" t="s">
        <v>2662</v>
      </c>
      <c r="C1703" s="1058" t="e">
        <f>VLOOKUP(B1702,'LƯƠNG KT'!$D$15:$R$94,4,0)</f>
        <v>#N/A</v>
      </c>
      <c r="D1703" s="1059" t="e">
        <f>+C1703*25000</f>
        <v>#N/A</v>
      </c>
      <c r="E1703" s="1060"/>
      <c r="F1703" s="1060"/>
      <c r="G1703" s="1056" t="s">
        <v>359</v>
      </c>
      <c r="H1703" s="1057" t="s">
        <v>2662</v>
      </c>
      <c r="I1703" s="1058" t="e">
        <f>VLOOKUP(H1702,'LƯƠNG KT'!$D$15:$R$94,4,0)</f>
        <v>#N/A</v>
      </c>
      <c r="J1703" s="1059" t="e">
        <f>+I1703*25000</f>
        <v>#N/A</v>
      </c>
      <c r="K1703" s="1084"/>
      <c r="L1703" s="1085"/>
      <c r="M1703" s="1085"/>
      <c r="N1703" s="1085"/>
      <c r="O1703" s="1085"/>
    </row>
    <row r="1704" spans="1:15" ht="15" customHeight="1">
      <c r="A1704" s="1056" t="s">
        <v>361</v>
      </c>
      <c r="B1704" s="1057" t="s">
        <v>2663</v>
      </c>
      <c r="C1704" s="1058" t="e">
        <f>VLOOKUP(B1702,'LƯƠNG KT'!$D$15:$R$94,15,0)</f>
        <v>#N/A</v>
      </c>
      <c r="D1704" s="1059" t="e">
        <f>C1704*$L$4</f>
        <v>#N/A</v>
      </c>
      <c r="E1704" s="1061"/>
      <c r="F1704" s="1061"/>
      <c r="G1704" s="1056" t="s">
        <v>361</v>
      </c>
      <c r="H1704" s="1057" t="s">
        <v>2663</v>
      </c>
      <c r="I1704" s="1058" t="e">
        <f>VLOOKUP(H1702,'LƯƠNG KT'!$D$15:$R$94,15,0)</f>
        <v>#N/A</v>
      </c>
      <c r="J1704" s="1059" t="e">
        <f>I1704*$L$4</f>
        <v>#N/A</v>
      </c>
      <c r="K1704" s="1084"/>
      <c r="L1704" s="1085"/>
      <c r="M1704" s="1085"/>
      <c r="N1704" s="1085"/>
      <c r="O1704" s="1085"/>
    </row>
    <row r="1705" spans="1:15" ht="15" customHeight="1">
      <c r="A1705" s="1056" t="s">
        <v>364</v>
      </c>
      <c r="B1705" s="1057" t="s">
        <v>2664</v>
      </c>
      <c r="C1705" s="1058" t="e">
        <f>VLOOKUP(B1702,'LƯƠNG KT'!$D$15:$R$94,16,0)</f>
        <v>#N/A</v>
      </c>
      <c r="D1705" s="1059" t="e">
        <f>C1705*$L$5</f>
        <v>#N/A</v>
      </c>
      <c r="E1705" s="1061"/>
      <c r="F1705" s="1061"/>
      <c r="G1705" s="1056" t="s">
        <v>364</v>
      </c>
      <c r="H1705" s="1057" t="s">
        <v>2664</v>
      </c>
      <c r="I1705" s="1058" t="e">
        <f>VLOOKUP(H1702,'LƯƠNG KT'!$D$15:$R$94,16,0)</f>
        <v>#N/A</v>
      </c>
      <c r="J1705" s="1059" t="e">
        <f>I1705*$L$5</f>
        <v>#N/A</v>
      </c>
      <c r="K1705" s="1084"/>
      <c r="L1705" s="1085"/>
      <c r="M1705" s="1085"/>
      <c r="N1705" s="1085"/>
      <c r="O1705" s="1085"/>
    </row>
    <row r="1706" spans="1:15" ht="15" customHeight="1">
      <c r="A1706" s="1056" t="s">
        <v>370</v>
      </c>
      <c r="B1706" s="1057" t="s">
        <v>2665</v>
      </c>
      <c r="C1706" s="1058" t="e">
        <f>VLOOKUP(B1702,'LƯƠNG KT'!$D$15:$R$94,24,0)</f>
        <v>#N/A</v>
      </c>
      <c r="D1706" s="1059" t="e">
        <f>+C1706*$L$6</f>
        <v>#N/A</v>
      </c>
      <c r="E1706" s="1061"/>
      <c r="F1706" s="1061"/>
      <c r="G1706" s="1056" t="s">
        <v>370</v>
      </c>
      <c r="H1706" s="1057" t="s">
        <v>2665</v>
      </c>
      <c r="I1706" s="1058" t="e">
        <f>VLOOKUP(H1702,'LƯƠNG KT'!$D$15:$R$94,24,0)</f>
        <v>#N/A</v>
      </c>
      <c r="J1706" s="1059" t="e">
        <f>+I1706*$L$6</f>
        <v>#N/A</v>
      </c>
      <c r="K1706" s="1085"/>
      <c r="L1706" s="1085"/>
      <c r="M1706" s="1085"/>
      <c r="N1706" s="1085"/>
      <c r="O1706" s="1085"/>
    </row>
    <row r="1707" spans="1:15" ht="15" customHeight="1">
      <c r="A1707" s="1056" t="s">
        <v>2666</v>
      </c>
      <c r="B1707" s="1057" t="s">
        <v>2667</v>
      </c>
      <c r="C1707" s="1058" t="e">
        <f>VLOOKUP(B1702,'LƯƠNG KT'!$D$15:$R$94,19,0)</f>
        <v>#N/A</v>
      </c>
      <c r="D1707" s="1059" t="e">
        <f>+C1707*$L$8</f>
        <v>#N/A</v>
      </c>
      <c r="E1707" s="1061"/>
      <c r="F1707" s="1061"/>
      <c r="G1707" s="1056" t="s">
        <v>2666</v>
      </c>
      <c r="H1707" s="1057" t="s">
        <v>2667</v>
      </c>
      <c r="I1707" s="1058" t="e">
        <f>VLOOKUP(H1702,'LƯƠNG KT'!$D$15:$R$94,19,0)</f>
        <v>#N/A</v>
      </c>
      <c r="J1707" s="1059" t="e">
        <f>+I1707*$L$8</f>
        <v>#N/A</v>
      </c>
      <c r="K1707" s="1085"/>
      <c r="L1707" s="1085"/>
      <c r="M1707" s="1085"/>
      <c r="N1707" s="1085"/>
      <c r="O1707" s="1085"/>
    </row>
    <row r="1708" spans="1:15" ht="15" customHeight="1">
      <c r="A1708" s="1056" t="s">
        <v>2668</v>
      </c>
      <c r="B1708" s="1062" t="s">
        <v>2669</v>
      </c>
      <c r="C1708" s="1058" t="e">
        <f>VLOOKUP(B1702,'LƯƠNG KT'!$D$15:$R$94,20,0)</f>
        <v>#N/A</v>
      </c>
      <c r="D1708" s="1059" t="e">
        <f>+C1708*$L$9</f>
        <v>#N/A</v>
      </c>
      <c r="E1708" s="1061"/>
      <c r="F1708" s="1061"/>
      <c r="G1708" s="1056" t="s">
        <v>2668</v>
      </c>
      <c r="H1708" s="1062" t="s">
        <v>2669</v>
      </c>
      <c r="I1708" s="1058" t="e">
        <f>VLOOKUP(H1702,'LƯƠNG KT'!$D$15:$R$94,20,0)</f>
        <v>#N/A</v>
      </c>
      <c r="J1708" s="1059" t="e">
        <f>+I1708*$L$9</f>
        <v>#N/A</v>
      </c>
      <c r="K1708" s="1085"/>
      <c r="L1708" s="1085"/>
      <c r="M1708" s="1085"/>
      <c r="N1708" s="1085"/>
      <c r="O1708" s="1085"/>
    </row>
    <row r="1709" spans="1:15" ht="15" customHeight="1">
      <c r="A1709" s="1056" t="s">
        <v>2671</v>
      </c>
      <c r="B1709" s="1057" t="s">
        <v>2672</v>
      </c>
      <c r="C1709" s="1058" t="e">
        <f>VLOOKUP(B1702,'LƯƠNG KT'!$D$15:$R$94,17,0)</f>
        <v>#N/A</v>
      </c>
      <c r="D1709" s="1059" t="e">
        <f>+C1709*$L$10</f>
        <v>#N/A</v>
      </c>
      <c r="E1709" s="1061"/>
      <c r="F1709" s="1061"/>
      <c r="G1709" s="1056" t="s">
        <v>2671</v>
      </c>
      <c r="H1709" s="1057" t="s">
        <v>2672</v>
      </c>
      <c r="I1709" s="1058" t="e">
        <f>VLOOKUP(H1702,'LƯƠNG KT'!$D$15:$R$94,17,0)</f>
        <v>#N/A</v>
      </c>
      <c r="J1709" s="1059" t="e">
        <f>+I1709*$L$10</f>
        <v>#N/A</v>
      </c>
      <c r="K1709" s="1085"/>
      <c r="L1709" s="1085"/>
      <c r="M1709" s="1085"/>
      <c r="N1709" s="1085"/>
      <c r="O1709" s="1085"/>
    </row>
    <row r="1710" spans="1:15" ht="15" customHeight="1">
      <c r="A1710" s="1056" t="s">
        <v>374</v>
      </c>
      <c r="B1710" s="1057" t="s">
        <v>2674</v>
      </c>
      <c r="C1710" s="1058" t="e">
        <f>VLOOKUP(B1702,'LƯƠNG KT'!$D$15:$R$94,12,0)</f>
        <v>#N/A</v>
      </c>
      <c r="D1710" s="1059" t="e">
        <f>VLOOKUP(B1702,'LƯƠNG KT'!$D$15:$R$94,14,0)</f>
        <v>#N/A</v>
      </c>
      <c r="E1710" s="1063"/>
      <c r="F1710" s="1061"/>
      <c r="G1710" s="1056" t="s">
        <v>374</v>
      </c>
      <c r="H1710" s="1057" t="s">
        <v>2674</v>
      </c>
      <c r="I1710" s="1058" t="e">
        <f>VLOOKUP(H1702,'LƯƠNG KT'!$D$15:$R$94,12,0)</f>
        <v>#N/A</v>
      </c>
      <c r="J1710" s="1059" t="e">
        <f>VLOOKUP(H1702,'LƯƠNG KT'!$D$15:$R$94,14,0)</f>
        <v>#N/A</v>
      </c>
      <c r="K1710" s="1085"/>
      <c r="L1710" s="1085"/>
      <c r="M1710" s="1085"/>
      <c r="N1710" s="1085"/>
      <c r="O1710" s="1085"/>
    </row>
    <row r="1711" spans="1:15" ht="15" customHeight="1">
      <c r="A1711" s="1056" t="s">
        <v>2675</v>
      </c>
      <c r="B1711" s="1057" t="s">
        <v>2676</v>
      </c>
      <c r="D1711" s="1064" t="e">
        <f>VLOOKUP(B1702,'LƯƠNG KT'!$D$15:$R$94,13,0)</f>
        <v>#N/A</v>
      </c>
      <c r="E1711" s="1065"/>
      <c r="F1711" s="1065"/>
      <c r="G1711" s="1056" t="s">
        <v>2675</v>
      </c>
      <c r="H1711" s="1057" t="s">
        <v>2676</v>
      </c>
      <c r="J1711" s="1064" t="e">
        <f>VLOOKUP(H1702,'LƯƠNG KT'!$D$15:$R$94,13,0)</f>
        <v>#N/A</v>
      </c>
    </row>
    <row r="1712" spans="1:15" ht="15" customHeight="1">
      <c r="A1712" s="1066"/>
      <c r="B1712" s="869"/>
      <c r="C1712" s="1058"/>
      <c r="D1712" s="1059"/>
      <c r="E1712" s="1063"/>
      <c r="F1712" s="1065"/>
      <c r="G1712" s="1066"/>
      <c r="H1712" s="869"/>
      <c r="I1712" s="1058"/>
      <c r="J1712" s="1059"/>
    </row>
    <row r="1713" spans="1:15" ht="15" customHeight="1">
      <c r="A1713" s="1052"/>
      <c r="B1713" s="869"/>
      <c r="C1713" s="1058"/>
      <c r="D1713" s="1059"/>
      <c r="E1713" s="1067"/>
      <c r="F1713" s="1051"/>
      <c r="G1713" s="1052"/>
      <c r="H1713" s="869"/>
      <c r="I1713" s="1058"/>
      <c r="J1713" s="1059"/>
    </row>
    <row r="1714" spans="1:15" ht="15" customHeight="1">
      <c r="A1714" s="1068" t="s">
        <v>383</v>
      </c>
      <c r="B1714" s="1069" t="s">
        <v>384</v>
      </c>
      <c r="C1714" s="1070"/>
      <c r="D1714" s="1071" t="e">
        <f>SUM(D1703:D1710)-D1713</f>
        <v>#N/A</v>
      </c>
      <c r="E1714" s="1072"/>
      <c r="F1714" s="1073"/>
      <c r="G1714" s="1068" t="s">
        <v>383</v>
      </c>
      <c r="H1714" s="1069" t="s">
        <v>384</v>
      </c>
      <c r="I1714" s="1070"/>
      <c r="J1714" s="1071" t="e">
        <f>SUM(J1703:J1710)-J1713</f>
        <v>#N/A</v>
      </c>
    </row>
    <row r="1715" spans="1:15" ht="12.6" customHeight="1">
      <c r="A1715" s="1074"/>
      <c r="B1715" s="1075"/>
      <c r="C1715" s="1076"/>
      <c r="D1715" s="1077"/>
      <c r="E1715" s="1077"/>
      <c r="F1715" s="1078"/>
      <c r="G1715" s="1074"/>
      <c r="H1715" s="1075"/>
      <c r="I1715" s="1076"/>
      <c r="J1715" s="1077"/>
    </row>
    <row r="1716" spans="1:15" ht="12.6" customHeight="1">
      <c r="A1716" s="1075"/>
      <c r="B1716" s="1075"/>
      <c r="C1716" s="1079"/>
      <c r="D1716" s="1080"/>
      <c r="E1716" s="1075"/>
      <c r="F1716" s="1081"/>
      <c r="G1716" s="1075"/>
      <c r="H1716" s="1075"/>
      <c r="I1716" s="1079"/>
      <c r="J1716" s="1080"/>
    </row>
    <row r="1717" spans="1:15" ht="15" customHeight="1">
      <c r="A1717" s="2242" t="str">
        <f>$K$2</f>
        <v>THÁNG 04/2025</v>
      </c>
      <c r="B1717" s="2242"/>
      <c r="C1717" s="2242"/>
      <c r="D1717" s="2242"/>
      <c r="E1717" s="1050"/>
      <c r="F1717" s="1051"/>
      <c r="G1717" s="2242" t="str">
        <f>$K$2</f>
        <v>THÁNG 04/2025</v>
      </c>
      <c r="H1717" s="2242"/>
      <c r="I1717" s="2242"/>
      <c r="J1717" s="2242"/>
      <c r="K1717" s="624"/>
    </row>
    <row r="1718" spans="1:15" ht="15" customHeight="1">
      <c r="A1718" s="1052" t="s">
        <v>356</v>
      </c>
      <c r="B1718" s="1053" t="s">
        <v>106</v>
      </c>
      <c r="C1718" s="869"/>
      <c r="D1718" s="1049"/>
      <c r="E1718" s="1054"/>
      <c r="F1718" s="1055"/>
      <c r="G1718" s="1052" t="s">
        <v>356</v>
      </c>
      <c r="H1718" s="1053" t="s">
        <v>107</v>
      </c>
      <c r="I1718" s="869"/>
      <c r="J1718" s="1049"/>
      <c r="L1718" s="1088"/>
      <c r="M1718" s="1088"/>
      <c r="N1718" s="1088"/>
      <c r="O1718" s="1088"/>
    </row>
    <row r="1719" spans="1:15" ht="15" customHeight="1">
      <c r="A1719" s="1056" t="s">
        <v>359</v>
      </c>
      <c r="B1719" s="1057" t="s">
        <v>2662</v>
      </c>
      <c r="C1719" s="1058" t="e">
        <f>VLOOKUP(B1718,'LƯƠNG KT'!$D$15:$R$94,4,0)</f>
        <v>#N/A</v>
      </c>
      <c r="D1719" s="1059" t="e">
        <f>+C1719*25000</f>
        <v>#N/A</v>
      </c>
      <c r="E1719" s="1060"/>
      <c r="F1719" s="1060"/>
      <c r="G1719" s="1056" t="s">
        <v>359</v>
      </c>
      <c r="H1719" s="1057" t="s">
        <v>2662</v>
      </c>
      <c r="I1719" s="1058" t="e">
        <f>VLOOKUP(H1718,'LƯƠNG KT'!$D$15:$R$94,4,0)</f>
        <v>#N/A</v>
      </c>
      <c r="J1719" s="1059" t="e">
        <f>+I1719*25000</f>
        <v>#N/A</v>
      </c>
      <c r="K1719" s="1085"/>
      <c r="L1719" s="1085"/>
      <c r="M1719" s="1085"/>
      <c r="N1719" s="1085"/>
      <c r="O1719" s="1085"/>
    </row>
    <row r="1720" spans="1:15" ht="15" customHeight="1">
      <c r="A1720" s="1056" t="s">
        <v>361</v>
      </c>
      <c r="B1720" s="1057" t="s">
        <v>2663</v>
      </c>
      <c r="C1720" s="1058" t="e">
        <f>VLOOKUP(B1718,'LƯƠNG KT'!$D$15:$R$94,15,0)</f>
        <v>#N/A</v>
      </c>
      <c r="D1720" s="1059" t="e">
        <f>C1720*$L$4</f>
        <v>#N/A</v>
      </c>
      <c r="E1720" s="1061"/>
      <c r="F1720" s="1061"/>
      <c r="G1720" s="1056" t="s">
        <v>361</v>
      </c>
      <c r="H1720" s="1057" t="s">
        <v>2663</v>
      </c>
      <c r="I1720" s="1058" t="e">
        <f>VLOOKUP(H1718,'LƯƠNG KT'!$D$15:$R$94,15,0)</f>
        <v>#N/A</v>
      </c>
      <c r="J1720" s="1059" t="e">
        <f>I1720*$L$4</f>
        <v>#N/A</v>
      </c>
      <c r="K1720" s="1085"/>
      <c r="L1720" s="1085"/>
      <c r="M1720" s="1085"/>
      <c r="N1720" s="1085"/>
      <c r="O1720" s="1085"/>
    </row>
    <row r="1721" spans="1:15" ht="15" customHeight="1">
      <c r="A1721" s="1056" t="s">
        <v>364</v>
      </c>
      <c r="B1721" s="1057" t="s">
        <v>2664</v>
      </c>
      <c r="C1721" s="1058" t="e">
        <f>VLOOKUP(B1718,'LƯƠNG KT'!$D$15:$R$94,16,0)</f>
        <v>#N/A</v>
      </c>
      <c r="D1721" s="1059" t="e">
        <f>C1721*$L$5</f>
        <v>#N/A</v>
      </c>
      <c r="E1721" s="1061"/>
      <c r="F1721" s="1061"/>
      <c r="G1721" s="1056" t="s">
        <v>364</v>
      </c>
      <c r="H1721" s="1057" t="s">
        <v>2664</v>
      </c>
      <c r="I1721" s="1058" t="e">
        <f>VLOOKUP(H1718,'LƯƠNG KT'!$D$15:$R$94,16,0)</f>
        <v>#N/A</v>
      </c>
      <c r="J1721" s="1059" t="e">
        <f>I1721*$L$5</f>
        <v>#N/A</v>
      </c>
      <c r="K1721" s="1085"/>
      <c r="L1721" s="1085"/>
      <c r="M1721" s="1085"/>
      <c r="N1721" s="1085"/>
      <c r="O1721" s="1085"/>
    </row>
    <row r="1722" spans="1:15" ht="15" customHeight="1">
      <c r="A1722" s="1056" t="s">
        <v>370</v>
      </c>
      <c r="B1722" s="1057" t="s">
        <v>2665</v>
      </c>
      <c r="C1722" s="1058" t="e">
        <f>VLOOKUP(B1718,'LƯƠNG KT'!$D$15:$R$94,24,0)</f>
        <v>#N/A</v>
      </c>
      <c r="D1722" s="1059" t="e">
        <f>+C1722*$L$6</f>
        <v>#N/A</v>
      </c>
      <c r="E1722" s="1061"/>
      <c r="F1722" s="1061"/>
      <c r="G1722" s="1056" t="s">
        <v>370</v>
      </c>
      <c r="H1722" s="1057" t="s">
        <v>2665</v>
      </c>
      <c r="I1722" s="1058" t="e">
        <f>VLOOKUP(H1718,'LƯƠNG KT'!$D$15:$R$94,24,0)</f>
        <v>#N/A</v>
      </c>
      <c r="J1722" s="1059" t="e">
        <f>+I1722*$L$6</f>
        <v>#N/A</v>
      </c>
      <c r="K1722" s="1085"/>
      <c r="L1722" s="1085"/>
      <c r="M1722" s="1085"/>
      <c r="N1722" s="1085"/>
      <c r="O1722" s="1085"/>
    </row>
    <row r="1723" spans="1:15" ht="15" customHeight="1">
      <c r="A1723" s="1056" t="s">
        <v>2666</v>
      </c>
      <c r="B1723" s="1057" t="s">
        <v>2667</v>
      </c>
      <c r="C1723" s="1058" t="e">
        <f>VLOOKUP(B1718,'LƯƠNG KT'!$D$15:$R$94,19,0)</f>
        <v>#N/A</v>
      </c>
      <c r="D1723" s="1059" t="e">
        <f>+C1723*$L$8</f>
        <v>#N/A</v>
      </c>
      <c r="E1723" s="1061"/>
      <c r="F1723" s="1061"/>
      <c r="G1723" s="1056" t="s">
        <v>2666</v>
      </c>
      <c r="H1723" s="1057" t="s">
        <v>2667</v>
      </c>
      <c r="I1723" s="1058" t="e">
        <f>VLOOKUP(H1718,'LƯƠNG KT'!$D$15:$R$94,19,0)</f>
        <v>#N/A</v>
      </c>
      <c r="J1723" s="1059" t="e">
        <f>+I1723*$L$8</f>
        <v>#N/A</v>
      </c>
      <c r="K1723" s="1085"/>
      <c r="L1723" s="1085"/>
      <c r="M1723" s="1085"/>
      <c r="N1723" s="1085"/>
      <c r="O1723" s="1085"/>
    </row>
    <row r="1724" spans="1:15" ht="15" customHeight="1">
      <c r="A1724" s="1056" t="s">
        <v>2668</v>
      </c>
      <c r="B1724" s="1062" t="s">
        <v>2669</v>
      </c>
      <c r="C1724" s="1058" t="e">
        <f>VLOOKUP(B1718,'LƯƠNG KT'!$D$15:$R$94,20,0)</f>
        <v>#N/A</v>
      </c>
      <c r="D1724" s="1059" t="e">
        <f>+C1724*$L$9</f>
        <v>#N/A</v>
      </c>
      <c r="E1724" s="1061"/>
      <c r="F1724" s="1061"/>
      <c r="G1724" s="1056" t="s">
        <v>2668</v>
      </c>
      <c r="H1724" s="1062" t="s">
        <v>2669</v>
      </c>
      <c r="I1724" s="1058" t="e">
        <f>VLOOKUP(H1718,'LƯƠNG KT'!$D$15:$R$94,20,0)</f>
        <v>#N/A</v>
      </c>
      <c r="J1724" s="1059" t="e">
        <f>+I1724*$L$9</f>
        <v>#N/A</v>
      </c>
      <c r="K1724" s="1085"/>
      <c r="L1724" s="1085"/>
      <c r="M1724" s="1085"/>
      <c r="N1724" s="1085"/>
      <c r="O1724" s="1085"/>
    </row>
    <row r="1725" spans="1:15" ht="15" customHeight="1">
      <c r="A1725" s="1056" t="s">
        <v>2671</v>
      </c>
      <c r="B1725" s="1057" t="s">
        <v>2672</v>
      </c>
      <c r="C1725" s="1058" t="e">
        <f>VLOOKUP(B1718,'LƯƠNG KT'!$D$15:$R$94,17,0)</f>
        <v>#N/A</v>
      </c>
      <c r="D1725" s="1059" t="e">
        <f>+C1725*$L$10</f>
        <v>#N/A</v>
      </c>
      <c r="E1725" s="1061"/>
      <c r="F1725" s="1061"/>
      <c r="G1725" s="1056" t="s">
        <v>2671</v>
      </c>
      <c r="H1725" s="1057" t="s">
        <v>2672</v>
      </c>
      <c r="I1725" s="1058" t="e">
        <f>VLOOKUP(H1718,'LƯƠNG KT'!$D$15:$R$94,17,0)</f>
        <v>#N/A</v>
      </c>
      <c r="J1725" s="1059" t="e">
        <f>+I1725*$L$10</f>
        <v>#N/A</v>
      </c>
      <c r="K1725" s="1085"/>
      <c r="L1725" s="1085"/>
      <c r="M1725" s="1085"/>
      <c r="N1725" s="1085"/>
      <c r="O1725" s="1085"/>
    </row>
    <row r="1726" spans="1:15" ht="15" customHeight="1">
      <c r="A1726" s="1056" t="s">
        <v>374</v>
      </c>
      <c r="B1726" s="1057" t="s">
        <v>2674</v>
      </c>
      <c r="C1726" s="1058" t="e">
        <f>VLOOKUP(B1718,'LƯƠNG KT'!$D$15:$R$94,12,0)</f>
        <v>#N/A</v>
      </c>
      <c r="D1726" s="1059" t="e">
        <f>VLOOKUP(B1718,'LƯƠNG KT'!$D$15:$R$94,14,0)</f>
        <v>#N/A</v>
      </c>
      <c r="E1726" s="1063"/>
      <c r="F1726" s="1061"/>
      <c r="G1726" s="1056" t="s">
        <v>374</v>
      </c>
      <c r="H1726" s="1057" t="s">
        <v>2674</v>
      </c>
      <c r="I1726" s="1058" t="e">
        <f>VLOOKUP(H1718,'LƯƠNG KT'!$D$15:$R$94,12,0)</f>
        <v>#N/A</v>
      </c>
      <c r="J1726" s="1059" t="e">
        <f>VLOOKUP(H1718,'LƯƠNG KT'!$D$15:$R$94,14,0)</f>
        <v>#N/A</v>
      </c>
      <c r="K1726" s="1085"/>
      <c r="L1726" s="1085"/>
      <c r="M1726" s="1085"/>
      <c r="N1726" s="1085"/>
      <c r="O1726" s="1085"/>
    </row>
    <row r="1727" spans="1:15" ht="15" customHeight="1">
      <c r="A1727" s="1056" t="s">
        <v>2675</v>
      </c>
      <c r="B1727" s="1057" t="s">
        <v>2676</v>
      </c>
      <c r="D1727" s="1064" t="e">
        <f>VLOOKUP(B1718,'LƯƠNG KT'!$D$15:$R$94,13,0)</f>
        <v>#N/A</v>
      </c>
      <c r="E1727" s="1065"/>
      <c r="F1727" s="1065"/>
      <c r="G1727" s="1056" t="s">
        <v>2675</v>
      </c>
      <c r="H1727" s="1057" t="s">
        <v>2676</v>
      </c>
      <c r="J1727" s="1064" t="e">
        <f>VLOOKUP(H1718,'LƯƠNG KT'!$D$15:$R$94,13,0)</f>
        <v>#N/A</v>
      </c>
    </row>
    <row r="1728" spans="1:15" ht="15" customHeight="1">
      <c r="A1728" s="1066"/>
      <c r="B1728" s="869"/>
      <c r="C1728" s="1058"/>
      <c r="D1728" s="1059"/>
      <c r="E1728" s="1063"/>
      <c r="F1728" s="1065"/>
      <c r="G1728" s="1066"/>
      <c r="H1728" s="869"/>
      <c r="I1728" s="1058"/>
      <c r="J1728" s="1059"/>
    </row>
    <row r="1729" spans="1:15" ht="15" customHeight="1">
      <c r="A1729" s="1052"/>
      <c r="B1729" s="869"/>
      <c r="C1729" s="1058"/>
      <c r="D1729" s="1059"/>
      <c r="E1729" s="1067"/>
      <c r="F1729" s="1051"/>
      <c r="G1729" s="1052"/>
      <c r="H1729" s="869"/>
      <c r="I1729" s="1058"/>
      <c r="J1729" s="1059"/>
    </row>
    <row r="1730" spans="1:15" ht="15" customHeight="1">
      <c r="A1730" s="1068" t="s">
        <v>383</v>
      </c>
      <c r="B1730" s="1069" t="s">
        <v>384</v>
      </c>
      <c r="C1730" s="1070"/>
      <c r="D1730" s="1071" t="e">
        <f>SUM(D1719:D1726)-D1729</f>
        <v>#N/A</v>
      </c>
      <c r="E1730" s="1072"/>
      <c r="F1730" s="1073"/>
      <c r="G1730" s="1068" t="s">
        <v>383</v>
      </c>
      <c r="H1730" s="1069" t="s">
        <v>384</v>
      </c>
      <c r="I1730" s="1070"/>
      <c r="J1730" s="1071" t="e">
        <f>SUM(J1719:J1726)-J1729</f>
        <v>#N/A</v>
      </c>
    </row>
    <row r="1731" spans="1:15" ht="18.75" customHeight="1">
      <c r="A1731" s="1074"/>
      <c r="B1731" s="1075"/>
      <c r="C1731" s="1076"/>
      <c r="D1731" s="1077"/>
      <c r="E1731" s="1077"/>
      <c r="F1731" s="1078"/>
      <c r="G1731" s="1074"/>
      <c r="H1731" s="1075"/>
      <c r="I1731" s="1076"/>
      <c r="J1731" s="1077"/>
    </row>
    <row r="1732" spans="1:15" ht="18.75" customHeight="1">
      <c r="A1732" s="1075"/>
      <c r="B1732" s="1075"/>
      <c r="C1732" s="1079"/>
      <c r="D1732" s="1080"/>
      <c r="E1732" s="1075"/>
      <c r="F1732" s="1081"/>
      <c r="G1732" s="1075"/>
      <c r="H1732" s="1075"/>
      <c r="I1732" s="1079"/>
      <c r="J1732" s="1080"/>
    </row>
    <row r="1733" spans="1:15" ht="15" customHeight="1">
      <c r="A1733" s="2242" t="str">
        <f>$K$2</f>
        <v>THÁNG 04/2025</v>
      </c>
      <c r="B1733" s="2242"/>
      <c r="C1733" s="2242"/>
      <c r="D1733" s="2242"/>
      <c r="E1733" s="1050"/>
      <c r="F1733" s="1051"/>
      <c r="G1733" s="2242" t="str">
        <f>$K$2</f>
        <v>THÁNG 04/2025</v>
      </c>
      <c r="H1733" s="2242"/>
      <c r="I1733" s="2242"/>
      <c r="J1733" s="2242"/>
      <c r="K1733" s="624"/>
    </row>
    <row r="1734" spans="1:15" ht="15" customHeight="1">
      <c r="A1734" s="1052" t="s">
        <v>356</v>
      </c>
      <c r="B1734" s="1053" t="s">
        <v>108</v>
      </c>
      <c r="C1734" s="869"/>
      <c r="D1734" s="1049"/>
      <c r="E1734" s="1054"/>
      <c r="F1734" s="1055"/>
      <c r="G1734" s="1052" t="s">
        <v>356</v>
      </c>
      <c r="H1734" s="1053" t="s">
        <v>109</v>
      </c>
      <c r="I1734" s="869"/>
      <c r="J1734" s="1049"/>
      <c r="L1734" s="1088"/>
      <c r="M1734" s="1088"/>
      <c r="N1734" s="1088"/>
      <c r="O1734" s="1088"/>
    </row>
    <row r="1735" spans="1:15" ht="15" customHeight="1">
      <c r="A1735" s="1056" t="s">
        <v>359</v>
      </c>
      <c r="B1735" s="1057" t="s">
        <v>2662</v>
      </c>
      <c r="C1735" s="1058" t="e">
        <f>VLOOKUP(B1734,'LƯƠNG KT'!$D$15:$R$94,4,0)</f>
        <v>#N/A</v>
      </c>
      <c r="D1735" s="1059" t="e">
        <f>+C1735*25000</f>
        <v>#N/A</v>
      </c>
      <c r="E1735" s="1060"/>
      <c r="F1735" s="1060"/>
      <c r="G1735" s="1056" t="s">
        <v>359</v>
      </c>
      <c r="H1735" s="1057" t="s">
        <v>2662</v>
      </c>
      <c r="I1735" s="1058" t="e">
        <f>VLOOKUP(H1734,'LƯƠNG KT'!$D$15:$R$94,4,0)</f>
        <v>#N/A</v>
      </c>
      <c r="J1735" s="1059" t="e">
        <f>+I1735*25000</f>
        <v>#N/A</v>
      </c>
      <c r="K1735" s="1085"/>
      <c r="L1735" s="1085"/>
      <c r="M1735" s="1085"/>
      <c r="N1735" s="1085"/>
      <c r="O1735" s="1085"/>
    </row>
    <row r="1736" spans="1:15" ht="15" customHeight="1">
      <c r="A1736" s="1056" t="s">
        <v>361</v>
      </c>
      <c r="B1736" s="1057" t="s">
        <v>2663</v>
      </c>
      <c r="C1736" s="1058" t="e">
        <f>VLOOKUP(B1734,'LƯƠNG KT'!$D$15:$R$94,15,0)</f>
        <v>#N/A</v>
      </c>
      <c r="D1736" s="1059" t="e">
        <f>C1736*$L$4</f>
        <v>#N/A</v>
      </c>
      <c r="E1736" s="1061"/>
      <c r="F1736" s="1061"/>
      <c r="G1736" s="1056" t="s">
        <v>361</v>
      </c>
      <c r="H1736" s="1057" t="s">
        <v>2663</v>
      </c>
      <c r="I1736" s="1058" t="e">
        <f>VLOOKUP(H1734,'LƯƠNG KT'!$D$15:$R$94,15,0)</f>
        <v>#N/A</v>
      </c>
      <c r="J1736" s="1059" t="e">
        <f>I1736*$L$4</f>
        <v>#N/A</v>
      </c>
      <c r="K1736" s="1085"/>
      <c r="L1736" s="1085"/>
      <c r="M1736" s="1085"/>
      <c r="N1736" s="1085"/>
      <c r="O1736" s="1085"/>
    </row>
    <row r="1737" spans="1:15" ht="15" customHeight="1">
      <c r="A1737" s="1056" t="s">
        <v>364</v>
      </c>
      <c r="B1737" s="1057" t="s">
        <v>2664</v>
      </c>
      <c r="C1737" s="1058" t="e">
        <f>VLOOKUP(B1734,'LƯƠNG KT'!$D$15:$R$94,16,0)</f>
        <v>#N/A</v>
      </c>
      <c r="D1737" s="1059" t="e">
        <f>C1737*$L$5</f>
        <v>#N/A</v>
      </c>
      <c r="E1737" s="1061"/>
      <c r="F1737" s="1061"/>
      <c r="G1737" s="1056" t="s">
        <v>364</v>
      </c>
      <c r="H1737" s="1057" t="s">
        <v>2664</v>
      </c>
      <c r="I1737" s="1058" t="e">
        <f>VLOOKUP(H1734,'LƯƠNG KT'!$D$15:$R$94,16,0)</f>
        <v>#N/A</v>
      </c>
      <c r="J1737" s="1059" t="e">
        <f>I1737*$L$5</f>
        <v>#N/A</v>
      </c>
      <c r="K1737" s="1085"/>
      <c r="L1737" s="1085"/>
      <c r="M1737" s="1085"/>
      <c r="N1737" s="1085"/>
      <c r="O1737" s="1085"/>
    </row>
    <row r="1738" spans="1:15" ht="15" customHeight="1">
      <c r="A1738" s="1056" t="s">
        <v>370</v>
      </c>
      <c r="B1738" s="1057" t="s">
        <v>2665</v>
      </c>
      <c r="C1738" s="1058" t="e">
        <f>VLOOKUP(B1734,'LƯƠNG KT'!$D$15:$R$94,24,0)</f>
        <v>#N/A</v>
      </c>
      <c r="D1738" s="1059" t="e">
        <f>+C1738*$L$6</f>
        <v>#N/A</v>
      </c>
      <c r="E1738" s="1061"/>
      <c r="F1738" s="1061"/>
      <c r="G1738" s="1056" t="s">
        <v>370</v>
      </c>
      <c r="H1738" s="1057" t="s">
        <v>2665</v>
      </c>
      <c r="I1738" s="1058" t="e">
        <f>VLOOKUP(H1734,'LƯƠNG KT'!$D$15:$R$94,24,0)</f>
        <v>#N/A</v>
      </c>
      <c r="J1738" s="1059" t="e">
        <f>+I1738*$L$6</f>
        <v>#N/A</v>
      </c>
      <c r="K1738" s="1085"/>
      <c r="L1738" s="1085"/>
      <c r="M1738" s="1085"/>
      <c r="N1738" s="1085"/>
      <c r="O1738" s="1085"/>
    </row>
    <row r="1739" spans="1:15" ht="15" customHeight="1">
      <c r="A1739" s="1056" t="s">
        <v>2666</v>
      </c>
      <c r="B1739" s="1057" t="s">
        <v>2667</v>
      </c>
      <c r="C1739" s="1058" t="e">
        <f>VLOOKUP(B1734,'LƯƠNG KT'!$D$15:$R$94,19,0)</f>
        <v>#N/A</v>
      </c>
      <c r="D1739" s="1059" t="e">
        <f>+C1739*$L$8</f>
        <v>#N/A</v>
      </c>
      <c r="E1739" s="1061"/>
      <c r="F1739" s="1061"/>
      <c r="G1739" s="1056" t="s">
        <v>2666</v>
      </c>
      <c r="H1739" s="1057" t="s">
        <v>2667</v>
      </c>
      <c r="I1739" s="1058" t="e">
        <f>VLOOKUP(H1734,'LƯƠNG KT'!$D$15:$R$94,19,0)</f>
        <v>#N/A</v>
      </c>
      <c r="J1739" s="1059" t="e">
        <f>+I1739*$L$8</f>
        <v>#N/A</v>
      </c>
      <c r="K1739" s="1085"/>
      <c r="L1739" s="1085"/>
      <c r="M1739" s="1085"/>
      <c r="N1739" s="1085"/>
      <c r="O1739" s="1085"/>
    </row>
    <row r="1740" spans="1:15" ht="15" customHeight="1">
      <c r="A1740" s="1056" t="s">
        <v>2668</v>
      </c>
      <c r="B1740" s="1062" t="s">
        <v>2669</v>
      </c>
      <c r="C1740" s="1058" t="e">
        <f>VLOOKUP(B1734,'LƯƠNG KT'!$D$15:$R$94,20,0)</f>
        <v>#N/A</v>
      </c>
      <c r="D1740" s="1059" t="e">
        <f>+C1740*$L$9</f>
        <v>#N/A</v>
      </c>
      <c r="E1740" s="1061"/>
      <c r="F1740" s="1061"/>
      <c r="G1740" s="1056" t="s">
        <v>2668</v>
      </c>
      <c r="H1740" s="1062" t="s">
        <v>2669</v>
      </c>
      <c r="I1740" s="1058" t="e">
        <f>VLOOKUP(H1734,'LƯƠNG KT'!$D$15:$R$94,20,0)</f>
        <v>#N/A</v>
      </c>
      <c r="J1740" s="1059" t="e">
        <f>+I1740*$L$9</f>
        <v>#N/A</v>
      </c>
      <c r="K1740" s="1085"/>
      <c r="L1740" s="1085"/>
      <c r="M1740" s="1085"/>
      <c r="N1740" s="1085"/>
      <c r="O1740" s="1085"/>
    </row>
    <row r="1741" spans="1:15" ht="15" customHeight="1">
      <c r="A1741" s="1056" t="s">
        <v>2671</v>
      </c>
      <c r="B1741" s="1057" t="s">
        <v>2672</v>
      </c>
      <c r="C1741" s="1058" t="e">
        <f>VLOOKUP(B1734,'LƯƠNG KT'!$D$15:$R$94,17,0)</f>
        <v>#N/A</v>
      </c>
      <c r="D1741" s="1059" t="e">
        <f>+C1741*$L$10</f>
        <v>#N/A</v>
      </c>
      <c r="E1741" s="1061"/>
      <c r="F1741" s="1061"/>
      <c r="G1741" s="1056" t="s">
        <v>2671</v>
      </c>
      <c r="H1741" s="1057" t="s">
        <v>2672</v>
      </c>
      <c r="I1741" s="1058" t="e">
        <f>VLOOKUP(H1734,'LƯƠNG KT'!$D$15:$R$94,17,0)</f>
        <v>#N/A</v>
      </c>
      <c r="J1741" s="1059" t="e">
        <f>+I1741*$L$10</f>
        <v>#N/A</v>
      </c>
      <c r="K1741" s="1085"/>
      <c r="L1741" s="1085"/>
      <c r="M1741" s="1085"/>
      <c r="N1741" s="1085"/>
      <c r="O1741" s="1085"/>
    </row>
    <row r="1742" spans="1:15" ht="15" customHeight="1">
      <c r="A1742" s="1056" t="s">
        <v>374</v>
      </c>
      <c r="B1742" s="1057" t="s">
        <v>2674</v>
      </c>
      <c r="C1742" s="1058" t="e">
        <f>VLOOKUP(B1734,'LƯƠNG KT'!$D$15:$R$94,12,0)</f>
        <v>#N/A</v>
      </c>
      <c r="D1742" s="1059" t="e">
        <f>VLOOKUP(B1734,'LƯƠNG KT'!$D$15:$R$94,14,0)</f>
        <v>#N/A</v>
      </c>
      <c r="E1742" s="1063"/>
      <c r="F1742" s="1061"/>
      <c r="G1742" s="1056" t="s">
        <v>374</v>
      </c>
      <c r="H1742" s="1057" t="s">
        <v>2674</v>
      </c>
      <c r="I1742" s="1058" t="e">
        <f>VLOOKUP(H1734,'LƯƠNG KT'!$D$15:$R$94,12,0)</f>
        <v>#N/A</v>
      </c>
      <c r="J1742" s="1059" t="e">
        <f>VLOOKUP(H1734,'LƯƠNG KT'!$D$15:$R$94,14,0)</f>
        <v>#N/A</v>
      </c>
      <c r="K1742" s="1085"/>
      <c r="L1742" s="1085"/>
      <c r="M1742" s="1085"/>
      <c r="N1742" s="1085"/>
      <c r="O1742" s="1085"/>
    </row>
    <row r="1743" spans="1:15" ht="15" customHeight="1">
      <c r="A1743" s="1056" t="s">
        <v>2675</v>
      </c>
      <c r="B1743" s="1057" t="s">
        <v>2676</v>
      </c>
      <c r="D1743" s="1064" t="e">
        <f>VLOOKUP(B1734,'LƯƠNG KT'!$D$15:$R$94,13,0)</f>
        <v>#N/A</v>
      </c>
      <c r="E1743" s="1065"/>
      <c r="F1743" s="1065"/>
      <c r="G1743" s="1056" t="s">
        <v>2675</v>
      </c>
      <c r="H1743" s="1057" t="s">
        <v>2676</v>
      </c>
      <c r="J1743" s="1064" t="e">
        <f>VLOOKUP(H1734,'LƯƠNG KT'!$D$15:$R$94,13,0)</f>
        <v>#N/A</v>
      </c>
    </row>
    <row r="1744" spans="1:15" ht="15" customHeight="1">
      <c r="A1744" s="1066"/>
      <c r="B1744" s="869"/>
      <c r="C1744" s="1058"/>
      <c r="D1744" s="1059"/>
      <c r="E1744" s="1063"/>
      <c r="F1744" s="1065"/>
      <c r="G1744" s="1066"/>
      <c r="H1744" s="869"/>
      <c r="I1744" s="1058"/>
      <c r="J1744" s="1059"/>
    </row>
    <row r="1745" spans="1:15" ht="15" customHeight="1">
      <c r="A1745" s="1052"/>
      <c r="B1745" s="869"/>
      <c r="C1745" s="1058"/>
      <c r="D1745" s="1059"/>
      <c r="E1745" s="1067"/>
      <c r="F1745" s="1051"/>
      <c r="G1745" s="1052"/>
      <c r="H1745" s="869"/>
      <c r="I1745" s="1058"/>
      <c r="J1745" s="1059"/>
    </row>
    <row r="1746" spans="1:15" ht="15" customHeight="1">
      <c r="A1746" s="1068" t="s">
        <v>383</v>
      </c>
      <c r="B1746" s="1069" t="s">
        <v>384</v>
      </c>
      <c r="C1746" s="1070"/>
      <c r="D1746" s="1071" t="e">
        <f>SUM(D1735:D1742)-D1745</f>
        <v>#N/A</v>
      </c>
      <c r="E1746" s="1072"/>
      <c r="F1746" s="1073"/>
      <c r="G1746" s="1068" t="s">
        <v>383</v>
      </c>
      <c r="H1746" s="1069" t="s">
        <v>384</v>
      </c>
      <c r="I1746" s="1070"/>
      <c r="J1746" s="1071" t="e">
        <f>SUM(J1735:J1742)-J1745</f>
        <v>#N/A</v>
      </c>
    </row>
    <row r="1747" spans="1:15" ht="18.75" customHeight="1">
      <c r="A1747" s="1074"/>
      <c r="B1747" s="1075"/>
      <c r="C1747" s="1076"/>
      <c r="D1747" s="1077"/>
      <c r="E1747" s="1077"/>
      <c r="F1747" s="1078"/>
      <c r="G1747" s="1074"/>
      <c r="H1747" s="1075"/>
      <c r="I1747" s="1076"/>
      <c r="J1747" s="1077"/>
    </row>
    <row r="1748" spans="1:15" ht="147.75" customHeight="1">
      <c r="A1748" s="1075"/>
      <c r="B1748" s="1075"/>
      <c r="C1748" s="1079"/>
      <c r="D1748" s="1080"/>
      <c r="E1748" s="1075"/>
      <c r="F1748" s="1081"/>
      <c r="G1748" s="1075"/>
      <c r="H1748" s="1075"/>
      <c r="I1748" s="1079"/>
      <c r="J1748" s="1080"/>
    </row>
    <row r="1749" spans="1:15" ht="15" customHeight="1">
      <c r="A1749" s="2242" t="str">
        <f>$K$2</f>
        <v>THÁNG 04/2025</v>
      </c>
      <c r="B1749" s="2242"/>
      <c r="C1749" s="2242"/>
      <c r="D1749" s="2242"/>
      <c r="E1749" s="1050"/>
      <c r="F1749" s="1051"/>
      <c r="G1749" s="2242" t="str">
        <f>$K$2</f>
        <v>THÁNG 04/2025</v>
      </c>
      <c r="H1749" s="2242"/>
      <c r="I1749" s="2242"/>
      <c r="J1749" s="2242"/>
      <c r="K1749" s="624"/>
    </row>
    <row r="1750" spans="1:15" ht="15" customHeight="1">
      <c r="A1750" s="1052" t="s">
        <v>356</v>
      </c>
      <c r="B1750" s="1053" t="s">
        <v>110</v>
      </c>
      <c r="C1750" s="869"/>
      <c r="D1750" s="1049"/>
      <c r="E1750" s="1054"/>
      <c r="F1750" s="1055"/>
      <c r="G1750" s="1052" t="s">
        <v>356</v>
      </c>
      <c r="H1750" s="1053" t="s">
        <v>111</v>
      </c>
      <c r="I1750" s="869"/>
      <c r="J1750" s="1049"/>
      <c r="L1750" s="1088"/>
      <c r="M1750" s="1088"/>
      <c r="N1750" s="1088"/>
      <c r="O1750" s="1088"/>
    </row>
    <row r="1751" spans="1:15" ht="15" customHeight="1">
      <c r="A1751" s="1056" t="s">
        <v>359</v>
      </c>
      <c r="B1751" s="1057" t="s">
        <v>2662</v>
      </c>
      <c r="C1751" s="1058" t="e">
        <f>VLOOKUP(B1750,'LƯƠNG KT'!$D$15:$R$94,4,0)</f>
        <v>#N/A</v>
      </c>
      <c r="D1751" s="1059" t="e">
        <f>+C1751*25000</f>
        <v>#N/A</v>
      </c>
      <c r="E1751" s="1060"/>
      <c r="F1751" s="1060"/>
      <c r="G1751" s="1056" t="s">
        <v>359</v>
      </c>
      <c r="H1751" s="1057" t="s">
        <v>2662</v>
      </c>
      <c r="I1751" s="1058" t="e">
        <f>VLOOKUP(H1750,'LƯƠNG KT'!$D$15:$R$94,4,0)</f>
        <v>#N/A</v>
      </c>
      <c r="J1751" s="1059" t="e">
        <f>+I1751*25000</f>
        <v>#N/A</v>
      </c>
      <c r="K1751" s="1085"/>
      <c r="L1751" s="1085"/>
      <c r="M1751" s="1085"/>
      <c r="N1751" s="1085"/>
      <c r="O1751" s="1085"/>
    </row>
    <row r="1752" spans="1:15" ht="15" customHeight="1">
      <c r="A1752" s="1056" t="s">
        <v>361</v>
      </c>
      <c r="B1752" s="1057" t="s">
        <v>2663</v>
      </c>
      <c r="C1752" s="1058" t="e">
        <f>VLOOKUP(B1750,'LƯƠNG KT'!$D$15:$R$94,15,0)</f>
        <v>#N/A</v>
      </c>
      <c r="D1752" s="1059" t="e">
        <f>C1752*$L$4</f>
        <v>#N/A</v>
      </c>
      <c r="E1752" s="1061"/>
      <c r="F1752" s="1061"/>
      <c r="G1752" s="1056" t="s">
        <v>361</v>
      </c>
      <c r="H1752" s="1057" t="s">
        <v>2663</v>
      </c>
      <c r="I1752" s="1058" t="e">
        <f>VLOOKUP(H1750,'LƯƠNG KT'!$D$15:$R$94,15,0)</f>
        <v>#N/A</v>
      </c>
      <c r="J1752" s="1059" t="e">
        <f>I1752*$L$4</f>
        <v>#N/A</v>
      </c>
      <c r="K1752" s="1085"/>
      <c r="L1752" s="1085"/>
      <c r="M1752" s="1085"/>
      <c r="N1752" s="1085"/>
      <c r="O1752" s="1085"/>
    </row>
    <row r="1753" spans="1:15" ht="15" customHeight="1">
      <c r="A1753" s="1056" t="s">
        <v>364</v>
      </c>
      <c r="B1753" s="1057" t="s">
        <v>2664</v>
      </c>
      <c r="C1753" s="1058" t="e">
        <f>VLOOKUP(B1750,'LƯƠNG KT'!$D$15:$R$94,16,0)</f>
        <v>#N/A</v>
      </c>
      <c r="D1753" s="1059" t="e">
        <f>C1753*$L$5</f>
        <v>#N/A</v>
      </c>
      <c r="E1753" s="1061"/>
      <c r="F1753" s="1061"/>
      <c r="G1753" s="1056" t="s">
        <v>364</v>
      </c>
      <c r="H1753" s="1057" t="s">
        <v>2664</v>
      </c>
      <c r="I1753" s="1058" t="e">
        <f>VLOOKUP(H1750,'LƯƠNG KT'!$D$15:$R$94,16,0)</f>
        <v>#N/A</v>
      </c>
      <c r="J1753" s="1059" t="e">
        <f>I1753*$L$5</f>
        <v>#N/A</v>
      </c>
      <c r="K1753" s="1085"/>
      <c r="L1753" s="1085"/>
      <c r="M1753" s="1085"/>
      <c r="N1753" s="1085"/>
      <c r="O1753" s="1085"/>
    </row>
    <row r="1754" spans="1:15" ht="15" customHeight="1">
      <c r="A1754" s="1056" t="s">
        <v>370</v>
      </c>
      <c r="B1754" s="1057" t="s">
        <v>2665</v>
      </c>
      <c r="C1754" s="1058" t="e">
        <f>VLOOKUP(B1750,'LƯƠNG KT'!$D$15:$R$94,24,0)</f>
        <v>#N/A</v>
      </c>
      <c r="D1754" s="1059" t="e">
        <f>+C1754*$L$6</f>
        <v>#N/A</v>
      </c>
      <c r="E1754" s="1061"/>
      <c r="F1754" s="1061"/>
      <c r="G1754" s="1056" t="s">
        <v>370</v>
      </c>
      <c r="H1754" s="1057" t="s">
        <v>2665</v>
      </c>
      <c r="I1754" s="1058" t="e">
        <f>VLOOKUP(H1750,'LƯƠNG KT'!$D$15:$R$94,24,0)</f>
        <v>#N/A</v>
      </c>
      <c r="J1754" s="1059" t="e">
        <f>+I1754*$L$6</f>
        <v>#N/A</v>
      </c>
      <c r="K1754" s="1085"/>
      <c r="L1754" s="1085"/>
      <c r="M1754" s="1085"/>
      <c r="N1754" s="1085"/>
      <c r="O1754" s="1085"/>
    </row>
    <row r="1755" spans="1:15" ht="15" customHeight="1">
      <c r="A1755" s="1056" t="s">
        <v>2666</v>
      </c>
      <c r="B1755" s="1057" t="s">
        <v>2667</v>
      </c>
      <c r="C1755" s="1058" t="e">
        <f>VLOOKUP(B1750,'LƯƠNG KT'!$D$15:$R$94,19,0)</f>
        <v>#N/A</v>
      </c>
      <c r="D1755" s="1059" t="e">
        <f>+C1755*$L$8</f>
        <v>#N/A</v>
      </c>
      <c r="E1755" s="1061"/>
      <c r="F1755" s="1061"/>
      <c r="G1755" s="1056" t="s">
        <v>2666</v>
      </c>
      <c r="H1755" s="1057" t="s">
        <v>2667</v>
      </c>
      <c r="I1755" s="1058" t="e">
        <f>VLOOKUP(H1750,'LƯƠNG KT'!$D$15:$R$94,19,0)</f>
        <v>#N/A</v>
      </c>
      <c r="J1755" s="1059" t="e">
        <f>+I1755*$L$8</f>
        <v>#N/A</v>
      </c>
      <c r="K1755" s="1085"/>
      <c r="L1755" s="1085"/>
      <c r="M1755" s="1085"/>
      <c r="N1755" s="1085"/>
      <c r="O1755" s="1085"/>
    </row>
    <row r="1756" spans="1:15" ht="15" customHeight="1">
      <c r="A1756" s="1056" t="s">
        <v>2668</v>
      </c>
      <c r="B1756" s="1062" t="s">
        <v>2669</v>
      </c>
      <c r="C1756" s="1058" t="e">
        <f>VLOOKUP(B1750,'LƯƠNG KT'!$D$15:$R$94,20,0)</f>
        <v>#N/A</v>
      </c>
      <c r="D1756" s="1059" t="e">
        <f>+C1756*$L$9</f>
        <v>#N/A</v>
      </c>
      <c r="E1756" s="1061"/>
      <c r="F1756" s="1061"/>
      <c r="G1756" s="1056" t="s">
        <v>2668</v>
      </c>
      <c r="H1756" s="1062" t="s">
        <v>2669</v>
      </c>
      <c r="I1756" s="1058" t="e">
        <f>VLOOKUP(H1750,'LƯƠNG KT'!$D$15:$R$94,20,0)</f>
        <v>#N/A</v>
      </c>
      <c r="J1756" s="1059" t="e">
        <f>+I1756*$L$9</f>
        <v>#N/A</v>
      </c>
      <c r="K1756" s="1085"/>
      <c r="L1756" s="1085"/>
      <c r="M1756" s="1085"/>
      <c r="N1756" s="1085"/>
      <c r="O1756" s="1085"/>
    </row>
    <row r="1757" spans="1:15" ht="15" customHeight="1">
      <c r="A1757" s="1056" t="s">
        <v>2671</v>
      </c>
      <c r="B1757" s="1057" t="s">
        <v>2672</v>
      </c>
      <c r="C1757" s="1058" t="e">
        <f>VLOOKUP(B1750,'LƯƠNG KT'!$D$15:$R$94,17,0)</f>
        <v>#N/A</v>
      </c>
      <c r="D1757" s="1059" t="e">
        <f>+C1757*$L$10</f>
        <v>#N/A</v>
      </c>
      <c r="E1757" s="1061"/>
      <c r="F1757" s="1061"/>
      <c r="G1757" s="1056" t="s">
        <v>2671</v>
      </c>
      <c r="H1757" s="1057" t="s">
        <v>2672</v>
      </c>
      <c r="I1757" s="1058" t="e">
        <f>VLOOKUP(H1750,'LƯƠNG KT'!$D$15:$R$94,17,0)</f>
        <v>#N/A</v>
      </c>
      <c r="J1757" s="1059" t="e">
        <f>+I1757*$L$10</f>
        <v>#N/A</v>
      </c>
      <c r="K1757" s="1085"/>
      <c r="L1757" s="1085"/>
      <c r="M1757" s="1085"/>
      <c r="N1757" s="1085"/>
      <c r="O1757" s="1085"/>
    </row>
    <row r="1758" spans="1:15" ht="15" customHeight="1">
      <c r="A1758" s="1056" t="s">
        <v>374</v>
      </c>
      <c r="B1758" s="1057" t="s">
        <v>2674</v>
      </c>
      <c r="C1758" s="1058" t="e">
        <f>VLOOKUP(B1750,'LƯƠNG KT'!$D$15:$R$94,12,0)</f>
        <v>#N/A</v>
      </c>
      <c r="D1758" s="1059" t="e">
        <f>VLOOKUP(B1750,'LƯƠNG KT'!$D$15:$R$94,14,0)</f>
        <v>#N/A</v>
      </c>
      <c r="E1758" s="1063"/>
      <c r="F1758" s="1061"/>
      <c r="G1758" s="1056" t="s">
        <v>374</v>
      </c>
      <c r="H1758" s="1057" t="s">
        <v>2674</v>
      </c>
      <c r="I1758" s="1058" t="e">
        <f>VLOOKUP(H1750,'LƯƠNG KT'!$D$15:$R$94,12,0)</f>
        <v>#N/A</v>
      </c>
      <c r="J1758" s="1059" t="e">
        <f>VLOOKUP(H1750,'LƯƠNG KT'!$D$15:$R$94,14,0)</f>
        <v>#N/A</v>
      </c>
      <c r="K1758" s="1085"/>
      <c r="L1758" s="1085"/>
      <c r="M1758" s="1085"/>
      <c r="N1758" s="1085"/>
      <c r="O1758" s="1085"/>
    </row>
    <row r="1759" spans="1:15" ht="15" customHeight="1">
      <c r="A1759" s="1056" t="s">
        <v>2675</v>
      </c>
      <c r="B1759" s="1057" t="s">
        <v>2676</v>
      </c>
      <c r="D1759" s="1064" t="e">
        <f>VLOOKUP(B1750,'LƯƠNG KT'!$D$15:$R$94,13,0)</f>
        <v>#N/A</v>
      </c>
      <c r="E1759" s="1065"/>
      <c r="F1759" s="1065"/>
      <c r="G1759" s="1056" t="s">
        <v>2675</v>
      </c>
      <c r="H1759" s="1057" t="s">
        <v>2676</v>
      </c>
      <c r="J1759" s="1064" t="e">
        <f>VLOOKUP(H1750,'LƯƠNG KT'!$D$15:$R$94,13,0)</f>
        <v>#N/A</v>
      </c>
    </row>
    <row r="1760" spans="1:15" ht="15" customHeight="1">
      <c r="A1760" s="1066"/>
      <c r="B1760" s="869"/>
      <c r="C1760" s="1058"/>
      <c r="D1760" s="1059"/>
      <c r="E1760" s="1063"/>
      <c r="F1760" s="1065"/>
      <c r="G1760" s="1066"/>
      <c r="H1760" s="869"/>
      <c r="I1760" s="1058"/>
      <c r="J1760" s="1059"/>
    </row>
    <row r="1761" spans="1:15" ht="15" customHeight="1">
      <c r="A1761" s="1052"/>
      <c r="B1761" s="869"/>
      <c r="C1761" s="1058"/>
      <c r="D1761" s="1059"/>
      <c r="E1761" s="1067"/>
      <c r="F1761" s="1051"/>
      <c r="G1761" s="1052"/>
      <c r="H1761" s="869"/>
      <c r="I1761" s="1058"/>
      <c r="J1761" s="1059"/>
    </row>
    <row r="1762" spans="1:15" ht="15" customHeight="1">
      <c r="A1762" s="1068" t="s">
        <v>383</v>
      </c>
      <c r="B1762" s="1069" t="s">
        <v>384</v>
      </c>
      <c r="C1762" s="1070"/>
      <c r="D1762" s="1071" t="e">
        <f>SUM(D1751:D1758)-D1761</f>
        <v>#N/A</v>
      </c>
      <c r="E1762" s="1072"/>
      <c r="F1762" s="1073"/>
      <c r="G1762" s="1068" t="s">
        <v>383</v>
      </c>
      <c r="H1762" s="1069" t="s">
        <v>384</v>
      </c>
      <c r="I1762" s="1070"/>
      <c r="J1762" s="1071" t="e">
        <f>SUM(J1751:J1758)-J1761</f>
        <v>#N/A</v>
      </c>
    </row>
    <row r="1763" spans="1:15" ht="15.75" customHeight="1">
      <c r="A1763" s="1074"/>
      <c r="B1763" s="1075"/>
      <c r="C1763" s="1076"/>
      <c r="D1763" s="1077"/>
      <c r="E1763" s="1077"/>
      <c r="F1763" s="1078"/>
      <c r="G1763" s="1074"/>
      <c r="H1763" s="1075"/>
      <c r="I1763" s="1076"/>
      <c r="J1763" s="1077"/>
    </row>
    <row r="1765" spans="1:15" ht="12" customHeight="1">
      <c r="A1765" s="2243"/>
      <c r="B1765" s="2243"/>
      <c r="C1765" s="2243"/>
      <c r="D1765" s="2243"/>
      <c r="E1765" s="2243"/>
      <c r="F1765" s="2243"/>
      <c r="G1765" s="2243"/>
      <c r="H1765" s="2243"/>
      <c r="I1765" s="2243"/>
      <c r="J1765" s="2243"/>
    </row>
    <row r="1766" spans="1:15" ht="15" customHeight="1">
      <c r="A1766" s="2242" t="str">
        <f>$K$2</f>
        <v>THÁNG 04/2025</v>
      </c>
      <c r="B1766" s="2242"/>
      <c r="C1766" s="2242"/>
      <c r="D1766" s="2242"/>
      <c r="E1766" s="1050"/>
      <c r="F1766" s="1051"/>
      <c r="G1766" s="2242" t="str">
        <f>$K$2</f>
        <v>THÁNG 04/2025</v>
      </c>
      <c r="H1766" s="2242"/>
      <c r="I1766" s="2242"/>
      <c r="J1766" s="2242"/>
      <c r="K1766" s="624"/>
    </row>
    <row r="1767" spans="1:15" ht="15" customHeight="1">
      <c r="A1767" s="1052" t="s">
        <v>356</v>
      </c>
      <c r="B1767" s="1053" t="s">
        <v>112</v>
      </c>
      <c r="C1767" s="869"/>
      <c r="D1767" s="1049"/>
      <c r="E1767" s="1054"/>
      <c r="F1767" s="1055"/>
      <c r="G1767" s="1052" t="s">
        <v>356</v>
      </c>
      <c r="H1767" s="1053" t="s">
        <v>113</v>
      </c>
      <c r="I1767" s="869"/>
      <c r="J1767" s="1049"/>
      <c r="L1767" s="1088"/>
      <c r="M1767" s="1088"/>
      <c r="N1767" s="1088"/>
      <c r="O1767" s="1088"/>
    </row>
    <row r="1768" spans="1:15" ht="15" customHeight="1">
      <c r="A1768" s="1056" t="s">
        <v>359</v>
      </c>
      <c r="B1768" s="1057" t="s">
        <v>2662</v>
      </c>
      <c r="C1768" s="1058" t="e">
        <f>VLOOKUP(B1767,'LƯƠNG KT'!$D$15:$R$94,4,0)</f>
        <v>#N/A</v>
      </c>
      <c r="D1768" s="1059" t="e">
        <f>+C1768*25000</f>
        <v>#N/A</v>
      </c>
      <c r="E1768" s="1060"/>
      <c r="F1768" s="1060"/>
      <c r="G1768" s="1056" t="s">
        <v>359</v>
      </c>
      <c r="H1768" s="1057" t="s">
        <v>2662</v>
      </c>
      <c r="I1768" s="1058" t="e">
        <f>VLOOKUP(H1767,'LƯƠNG KT'!$D$15:$R$94,4,0)</f>
        <v>#N/A</v>
      </c>
      <c r="J1768" s="1059" t="e">
        <f>+I1768*25000</f>
        <v>#N/A</v>
      </c>
      <c r="K1768" s="1084"/>
      <c r="L1768" s="1085"/>
      <c r="M1768" s="1085"/>
      <c r="N1768" s="1085"/>
      <c r="O1768" s="1085"/>
    </row>
    <row r="1769" spans="1:15" ht="15" customHeight="1">
      <c r="A1769" s="1056" t="s">
        <v>361</v>
      </c>
      <c r="B1769" s="1057" t="s">
        <v>2663</v>
      </c>
      <c r="C1769" s="1058" t="e">
        <f>VLOOKUP(B1767,'LƯƠNG KT'!$D$15:$R$94,15,0)</f>
        <v>#N/A</v>
      </c>
      <c r="D1769" s="1059" t="e">
        <f>C1769*$L$4</f>
        <v>#N/A</v>
      </c>
      <c r="E1769" s="1061"/>
      <c r="F1769" s="1061"/>
      <c r="G1769" s="1056" t="s">
        <v>361</v>
      </c>
      <c r="H1769" s="1057" t="s">
        <v>2663</v>
      </c>
      <c r="I1769" s="1058" t="e">
        <f>VLOOKUP(H1767,'LƯƠNG KT'!$D$15:$R$94,15,0)</f>
        <v>#N/A</v>
      </c>
      <c r="J1769" s="1059" t="e">
        <f>I1769*$L$4</f>
        <v>#N/A</v>
      </c>
      <c r="K1769" s="1084"/>
      <c r="L1769" s="1085"/>
      <c r="M1769" s="1085"/>
      <c r="N1769" s="1085"/>
      <c r="O1769" s="1085"/>
    </row>
    <row r="1770" spans="1:15" ht="15" customHeight="1">
      <c r="A1770" s="1056" t="s">
        <v>364</v>
      </c>
      <c r="B1770" s="1057" t="s">
        <v>2664</v>
      </c>
      <c r="C1770" s="1058" t="e">
        <f>VLOOKUP(B1767,'LƯƠNG KT'!$D$15:$R$94,16,0)</f>
        <v>#N/A</v>
      </c>
      <c r="D1770" s="1059" t="e">
        <f>C1770*$L$5</f>
        <v>#N/A</v>
      </c>
      <c r="E1770" s="1061"/>
      <c r="F1770" s="1061"/>
      <c r="G1770" s="1056" t="s">
        <v>364</v>
      </c>
      <c r="H1770" s="1057" t="s">
        <v>2664</v>
      </c>
      <c r="I1770" s="1058" t="e">
        <f>VLOOKUP(H1767,'LƯƠNG KT'!$D$15:$R$94,16,0)</f>
        <v>#N/A</v>
      </c>
      <c r="J1770" s="1059" t="e">
        <f>I1770*$L$5</f>
        <v>#N/A</v>
      </c>
      <c r="K1770" s="1084"/>
      <c r="L1770" s="1085"/>
      <c r="M1770" s="1085"/>
      <c r="N1770" s="1085"/>
      <c r="O1770" s="1085"/>
    </row>
    <row r="1771" spans="1:15" ht="15" customHeight="1">
      <c r="A1771" s="1056" t="s">
        <v>370</v>
      </c>
      <c r="B1771" s="1057" t="s">
        <v>2665</v>
      </c>
      <c r="C1771" s="1058" t="e">
        <f>VLOOKUP(B1767,'LƯƠNG KT'!$D$15:$R$94,24,0)</f>
        <v>#N/A</v>
      </c>
      <c r="D1771" s="1059" t="e">
        <f>+C1771*$L$6</f>
        <v>#N/A</v>
      </c>
      <c r="E1771" s="1061"/>
      <c r="F1771" s="1061"/>
      <c r="G1771" s="1056" t="s">
        <v>370</v>
      </c>
      <c r="H1771" s="1057" t="s">
        <v>2665</v>
      </c>
      <c r="I1771" s="1058" t="e">
        <f>VLOOKUP(H1767,'LƯƠNG KT'!$D$15:$R$94,24,0)</f>
        <v>#N/A</v>
      </c>
      <c r="J1771" s="1059" t="e">
        <f>+I1771*$L$6</f>
        <v>#N/A</v>
      </c>
      <c r="K1771" s="1085"/>
      <c r="L1771" s="1085"/>
      <c r="M1771" s="1085"/>
      <c r="N1771" s="1085"/>
      <c r="O1771" s="1085"/>
    </row>
    <row r="1772" spans="1:15" ht="15" customHeight="1">
      <c r="A1772" s="1056" t="s">
        <v>2666</v>
      </c>
      <c r="B1772" s="1057" t="s">
        <v>2667</v>
      </c>
      <c r="C1772" s="1058" t="e">
        <f>VLOOKUP(B1767,'LƯƠNG KT'!$D$15:$R$94,19,0)</f>
        <v>#N/A</v>
      </c>
      <c r="D1772" s="1059" t="e">
        <f>+C1772*$L$8</f>
        <v>#N/A</v>
      </c>
      <c r="E1772" s="1061"/>
      <c r="F1772" s="1061"/>
      <c r="G1772" s="1056" t="s">
        <v>2666</v>
      </c>
      <c r="H1772" s="1057" t="s">
        <v>2667</v>
      </c>
      <c r="I1772" s="1058" t="e">
        <f>VLOOKUP(H1767,'LƯƠNG KT'!$D$15:$R$94,19,0)</f>
        <v>#N/A</v>
      </c>
      <c r="J1772" s="1059" t="e">
        <f>+I1772*$L$8</f>
        <v>#N/A</v>
      </c>
      <c r="K1772" s="1085"/>
      <c r="L1772" s="1085"/>
      <c r="M1772" s="1085"/>
      <c r="N1772" s="1085"/>
      <c r="O1772" s="1085"/>
    </row>
    <row r="1773" spans="1:15" ht="15" customHeight="1">
      <c r="A1773" s="1056" t="s">
        <v>2668</v>
      </c>
      <c r="B1773" s="1062" t="s">
        <v>2669</v>
      </c>
      <c r="C1773" s="1058" t="e">
        <f>VLOOKUP(B1767,'LƯƠNG KT'!$D$15:$R$94,20,0)</f>
        <v>#N/A</v>
      </c>
      <c r="D1773" s="1059" t="e">
        <f>+C1773*$L$9</f>
        <v>#N/A</v>
      </c>
      <c r="E1773" s="1061"/>
      <c r="F1773" s="1061"/>
      <c r="G1773" s="1056" t="s">
        <v>2668</v>
      </c>
      <c r="H1773" s="1062" t="s">
        <v>2669</v>
      </c>
      <c r="I1773" s="1058" t="e">
        <f>VLOOKUP(H1767,'LƯƠNG KT'!$D$15:$R$94,20,0)</f>
        <v>#N/A</v>
      </c>
      <c r="J1773" s="1059" t="e">
        <f>+I1773*$L$9</f>
        <v>#N/A</v>
      </c>
      <c r="K1773" s="1085"/>
      <c r="L1773" s="1085"/>
      <c r="M1773" s="1085"/>
      <c r="N1773" s="1085"/>
      <c r="O1773" s="1085"/>
    </row>
    <row r="1774" spans="1:15" ht="15" customHeight="1">
      <c r="A1774" s="1056" t="s">
        <v>2671</v>
      </c>
      <c r="B1774" s="1057" t="s">
        <v>2672</v>
      </c>
      <c r="C1774" s="1058" t="e">
        <f>VLOOKUP(B1767,'LƯƠNG KT'!$D$15:$R$94,17,0)</f>
        <v>#N/A</v>
      </c>
      <c r="D1774" s="1059" t="e">
        <f>+C1774*$L$10</f>
        <v>#N/A</v>
      </c>
      <c r="E1774" s="1061"/>
      <c r="F1774" s="1061"/>
      <c r="G1774" s="1056" t="s">
        <v>2671</v>
      </c>
      <c r="H1774" s="1057" t="s">
        <v>2672</v>
      </c>
      <c r="I1774" s="1058" t="e">
        <f>VLOOKUP(H1767,'LƯƠNG KT'!$D$15:$R$94,17,0)</f>
        <v>#N/A</v>
      </c>
      <c r="J1774" s="1059" t="e">
        <f>+I1774*$L$10</f>
        <v>#N/A</v>
      </c>
      <c r="K1774" s="1085"/>
      <c r="L1774" s="1085"/>
      <c r="M1774" s="1085"/>
      <c r="N1774" s="1085"/>
      <c r="O1774" s="1085"/>
    </row>
    <row r="1775" spans="1:15" ht="15" customHeight="1">
      <c r="A1775" s="1056" t="s">
        <v>374</v>
      </c>
      <c r="B1775" s="1057" t="s">
        <v>2674</v>
      </c>
      <c r="C1775" s="1058" t="e">
        <f>VLOOKUP(B1767,'LƯƠNG KT'!$D$15:$R$94,12,0)</f>
        <v>#N/A</v>
      </c>
      <c r="D1775" s="1059" t="e">
        <f>VLOOKUP(B1767,'LƯƠNG KT'!$D$15:$R$94,14,0)</f>
        <v>#N/A</v>
      </c>
      <c r="E1775" s="1063"/>
      <c r="F1775" s="1061"/>
      <c r="G1775" s="1056" t="s">
        <v>374</v>
      </c>
      <c r="H1775" s="1057" t="s">
        <v>2674</v>
      </c>
      <c r="I1775" s="1058" t="e">
        <f>VLOOKUP(H1767,'LƯƠNG KT'!$D$15:$R$94,12,0)</f>
        <v>#N/A</v>
      </c>
      <c r="J1775" s="1059" t="e">
        <f>VLOOKUP(H1767,'LƯƠNG KT'!$D$15:$R$94,14,0)</f>
        <v>#N/A</v>
      </c>
      <c r="K1775" s="1085"/>
      <c r="L1775" s="1085"/>
      <c r="M1775" s="1085"/>
      <c r="N1775" s="1085"/>
      <c r="O1775" s="1085"/>
    </row>
    <row r="1776" spans="1:15" ht="15" customHeight="1">
      <c r="A1776" s="1056" t="s">
        <v>2675</v>
      </c>
      <c r="B1776" s="1057" t="s">
        <v>2676</v>
      </c>
      <c r="D1776" s="1064" t="e">
        <f>VLOOKUP(B1767,'LƯƠNG KT'!$D$15:$R$94,13,0)</f>
        <v>#N/A</v>
      </c>
      <c r="E1776" s="1065"/>
      <c r="F1776" s="1065"/>
      <c r="G1776" s="1056" t="s">
        <v>2675</v>
      </c>
      <c r="H1776" s="1057" t="s">
        <v>2676</v>
      </c>
      <c r="J1776" s="1064" t="e">
        <f>VLOOKUP(H1767,'LƯƠNG KT'!$D$15:$R$94,13,0)</f>
        <v>#N/A</v>
      </c>
    </row>
    <row r="1777" spans="1:15" ht="15" customHeight="1">
      <c r="A1777" s="1066"/>
      <c r="B1777" s="869"/>
      <c r="C1777" s="1058"/>
      <c r="D1777" s="1059"/>
      <c r="E1777" s="1063"/>
      <c r="F1777" s="1065"/>
      <c r="G1777" s="1066"/>
      <c r="H1777" s="869"/>
      <c r="I1777" s="1058"/>
      <c r="J1777" s="1059"/>
    </row>
    <row r="1778" spans="1:15" ht="15" customHeight="1">
      <c r="A1778" s="1052"/>
      <c r="B1778" s="869"/>
      <c r="C1778" s="1058"/>
      <c r="D1778" s="1059"/>
      <c r="E1778" s="1067"/>
      <c r="F1778" s="1051"/>
      <c r="G1778" s="1052"/>
      <c r="H1778" s="869"/>
      <c r="I1778" s="1058"/>
      <c r="J1778" s="1059"/>
    </row>
    <row r="1779" spans="1:15" ht="15" customHeight="1">
      <c r="A1779" s="1068" t="s">
        <v>383</v>
      </c>
      <c r="B1779" s="1069" t="s">
        <v>384</v>
      </c>
      <c r="C1779" s="1070"/>
      <c r="D1779" s="1071" t="e">
        <f>SUM(D1768:D1775)-D1778</f>
        <v>#N/A</v>
      </c>
      <c r="E1779" s="1072"/>
      <c r="F1779" s="1073"/>
      <c r="G1779" s="1068" t="s">
        <v>383</v>
      </c>
      <c r="H1779" s="1069" t="s">
        <v>384</v>
      </c>
      <c r="I1779" s="1070"/>
      <c r="J1779" s="1071" t="e">
        <f>SUM(J1768:J1775)-J1778</f>
        <v>#N/A</v>
      </c>
    </row>
    <row r="1780" spans="1:15" ht="12.6" customHeight="1">
      <c r="A1780" s="1074"/>
      <c r="B1780" s="1075"/>
      <c r="C1780" s="1076"/>
      <c r="D1780" s="1077"/>
      <c r="E1780" s="1077"/>
      <c r="F1780" s="1078"/>
      <c r="G1780" s="1074"/>
      <c r="H1780" s="1075"/>
      <c r="I1780" s="1076"/>
      <c r="J1780" s="1077"/>
    </row>
    <row r="1781" spans="1:15" ht="12.6" customHeight="1">
      <c r="A1781" s="1075"/>
      <c r="B1781" s="1075"/>
      <c r="C1781" s="1079"/>
      <c r="D1781" s="1080"/>
      <c r="E1781" s="1075"/>
      <c r="F1781" s="1081"/>
      <c r="G1781" s="1075"/>
      <c r="H1781" s="1075"/>
      <c r="I1781" s="1079"/>
      <c r="J1781" s="1080"/>
    </row>
    <row r="1782" spans="1:15" ht="15" customHeight="1">
      <c r="A1782" s="2242" t="str">
        <f>$K$2</f>
        <v>THÁNG 04/2025</v>
      </c>
      <c r="B1782" s="2242"/>
      <c r="C1782" s="2242"/>
      <c r="D1782" s="2242"/>
      <c r="E1782" s="1050"/>
      <c r="F1782" s="1051"/>
      <c r="G1782" s="2242" t="str">
        <f>$K$2</f>
        <v>THÁNG 04/2025</v>
      </c>
      <c r="H1782" s="2242"/>
      <c r="I1782" s="2242"/>
      <c r="J1782" s="2242"/>
      <c r="K1782" s="624"/>
    </row>
    <row r="1783" spans="1:15" ht="15" customHeight="1">
      <c r="A1783" s="1052" t="s">
        <v>356</v>
      </c>
      <c r="B1783" s="1053" t="s">
        <v>114</v>
      </c>
      <c r="C1783" s="869"/>
      <c r="D1783" s="1049"/>
      <c r="E1783" s="1054"/>
      <c r="F1783" s="1055"/>
      <c r="G1783" s="1052" t="s">
        <v>356</v>
      </c>
      <c r="H1783" s="1053"/>
      <c r="I1783" s="869"/>
      <c r="J1783" s="1049"/>
      <c r="L1783" s="1088"/>
      <c r="M1783" s="1088"/>
      <c r="N1783" s="1088"/>
      <c r="O1783" s="1088"/>
    </row>
    <row r="1784" spans="1:15" ht="15" customHeight="1">
      <c r="A1784" s="1056" t="s">
        <v>359</v>
      </c>
      <c r="B1784" s="1057" t="s">
        <v>2662</v>
      </c>
      <c r="C1784" s="1058" t="e">
        <f>VLOOKUP(B1783,'LƯƠNG KT'!$D$15:$R$94,4,0)</f>
        <v>#N/A</v>
      </c>
      <c r="D1784" s="1059" t="e">
        <f>+C1784*25000</f>
        <v>#N/A</v>
      </c>
      <c r="E1784" s="1060"/>
      <c r="F1784" s="1060"/>
      <c r="G1784" s="1056" t="s">
        <v>359</v>
      </c>
      <c r="H1784" s="1057" t="s">
        <v>2662</v>
      </c>
      <c r="I1784" s="1058" t="e">
        <f>VLOOKUP(H1783,'LƯƠNG KT'!$D$15:$R$94,4,0)</f>
        <v>#N/A</v>
      </c>
      <c r="J1784" s="1059" t="e">
        <f>+I1784*25000</f>
        <v>#N/A</v>
      </c>
      <c r="K1784" s="1085"/>
      <c r="L1784" s="1085"/>
      <c r="M1784" s="1085"/>
      <c r="N1784" s="1085"/>
      <c r="O1784" s="1085"/>
    </row>
    <row r="1785" spans="1:15" ht="15" customHeight="1">
      <c r="A1785" s="1056" t="s">
        <v>361</v>
      </c>
      <c r="B1785" s="1057" t="s">
        <v>2663</v>
      </c>
      <c r="C1785" s="1058" t="e">
        <f>VLOOKUP(B1783,'LƯƠNG KT'!$D$15:$R$94,15,0)</f>
        <v>#N/A</v>
      </c>
      <c r="D1785" s="1059" t="e">
        <f>C1785*$L$4</f>
        <v>#N/A</v>
      </c>
      <c r="E1785" s="1061"/>
      <c r="F1785" s="1061"/>
      <c r="G1785" s="1056" t="s">
        <v>361</v>
      </c>
      <c r="H1785" s="1057" t="s">
        <v>2663</v>
      </c>
      <c r="I1785" s="1058" t="e">
        <f>VLOOKUP(H1783,'LƯƠNG KT'!$D$15:$R$94,15,0)</f>
        <v>#N/A</v>
      </c>
      <c r="J1785" s="1059" t="e">
        <f>I1785*$L$4</f>
        <v>#N/A</v>
      </c>
      <c r="K1785" s="1085"/>
      <c r="L1785" s="1085"/>
      <c r="M1785" s="1085"/>
      <c r="N1785" s="1085"/>
      <c r="O1785" s="1085"/>
    </row>
    <row r="1786" spans="1:15" ht="15" customHeight="1">
      <c r="A1786" s="1056" t="s">
        <v>364</v>
      </c>
      <c r="B1786" s="1057" t="s">
        <v>2664</v>
      </c>
      <c r="C1786" s="1058" t="e">
        <f>VLOOKUP(B1783,'LƯƠNG KT'!$D$15:$R$94,16,0)</f>
        <v>#N/A</v>
      </c>
      <c r="D1786" s="1059" t="e">
        <f>C1786*$L$5</f>
        <v>#N/A</v>
      </c>
      <c r="E1786" s="1061"/>
      <c r="F1786" s="1061"/>
      <c r="G1786" s="1056" t="s">
        <v>364</v>
      </c>
      <c r="H1786" s="1057" t="s">
        <v>2664</v>
      </c>
      <c r="I1786" s="1058" t="e">
        <f>VLOOKUP(H1783,'LƯƠNG KT'!$D$15:$R$94,16,0)</f>
        <v>#N/A</v>
      </c>
      <c r="J1786" s="1059" t="e">
        <f>I1786*$L$5</f>
        <v>#N/A</v>
      </c>
      <c r="K1786" s="1085"/>
      <c r="L1786" s="1085"/>
      <c r="M1786" s="1085"/>
      <c r="N1786" s="1085"/>
      <c r="O1786" s="1085"/>
    </row>
    <row r="1787" spans="1:15" ht="15" customHeight="1">
      <c r="A1787" s="1056" t="s">
        <v>370</v>
      </c>
      <c r="B1787" s="1057" t="s">
        <v>2665</v>
      </c>
      <c r="C1787" s="1058" t="e">
        <f>VLOOKUP(B1783,'LƯƠNG KT'!$D$15:$R$94,24,0)</f>
        <v>#N/A</v>
      </c>
      <c r="D1787" s="1059" t="e">
        <f>+C1787*$L$6</f>
        <v>#N/A</v>
      </c>
      <c r="E1787" s="1061"/>
      <c r="F1787" s="1061"/>
      <c r="G1787" s="1056" t="s">
        <v>370</v>
      </c>
      <c r="H1787" s="1057" t="s">
        <v>2665</v>
      </c>
      <c r="I1787" s="1058" t="e">
        <f>VLOOKUP(H1783,'LƯƠNG KT'!$D$15:$R$94,24,0)</f>
        <v>#N/A</v>
      </c>
      <c r="J1787" s="1059" t="e">
        <f>+I1787*$L$6</f>
        <v>#N/A</v>
      </c>
      <c r="K1787" s="1085"/>
      <c r="L1787" s="1085"/>
      <c r="M1787" s="1085"/>
      <c r="N1787" s="1085"/>
      <c r="O1787" s="1085"/>
    </row>
    <row r="1788" spans="1:15" ht="15" customHeight="1">
      <c r="A1788" s="1056" t="s">
        <v>2666</v>
      </c>
      <c r="B1788" s="1057" t="s">
        <v>2667</v>
      </c>
      <c r="C1788" s="1058" t="e">
        <f>VLOOKUP(B1783,'LƯƠNG KT'!$D$15:$R$94,19,0)</f>
        <v>#N/A</v>
      </c>
      <c r="D1788" s="1059" t="e">
        <f>+C1788*$L$8</f>
        <v>#N/A</v>
      </c>
      <c r="E1788" s="1061"/>
      <c r="F1788" s="1061"/>
      <c r="G1788" s="1056" t="s">
        <v>2666</v>
      </c>
      <c r="H1788" s="1057" t="s">
        <v>2667</v>
      </c>
      <c r="I1788" s="1058" t="e">
        <f>VLOOKUP(H1783,'LƯƠNG KT'!$D$15:$R$94,19,0)</f>
        <v>#N/A</v>
      </c>
      <c r="J1788" s="1059" t="e">
        <f>+I1788*$L$8</f>
        <v>#N/A</v>
      </c>
      <c r="K1788" s="1085"/>
      <c r="L1788" s="1085"/>
      <c r="M1788" s="1085"/>
      <c r="N1788" s="1085"/>
      <c r="O1788" s="1085"/>
    </row>
    <row r="1789" spans="1:15" ht="15" customHeight="1">
      <c r="A1789" s="1056" t="s">
        <v>2668</v>
      </c>
      <c r="B1789" s="1062" t="s">
        <v>2669</v>
      </c>
      <c r="C1789" s="1058" t="e">
        <f>VLOOKUP(B1783,'LƯƠNG KT'!$D$15:$R$94,20,0)</f>
        <v>#N/A</v>
      </c>
      <c r="D1789" s="1059" t="e">
        <f>+C1789*$L$9</f>
        <v>#N/A</v>
      </c>
      <c r="E1789" s="1061"/>
      <c r="F1789" s="1061"/>
      <c r="G1789" s="1056" t="s">
        <v>2668</v>
      </c>
      <c r="H1789" s="1062" t="s">
        <v>2669</v>
      </c>
      <c r="I1789" s="1058" t="e">
        <f>VLOOKUP(H1783,'LƯƠNG KT'!$D$15:$R$94,20,0)</f>
        <v>#N/A</v>
      </c>
      <c r="J1789" s="1059" t="e">
        <f>+I1789*$L$9</f>
        <v>#N/A</v>
      </c>
      <c r="K1789" s="1085"/>
      <c r="L1789" s="1085"/>
      <c r="M1789" s="1085"/>
      <c r="N1789" s="1085"/>
      <c r="O1789" s="1085"/>
    </row>
    <row r="1790" spans="1:15" ht="15" customHeight="1">
      <c r="A1790" s="1056" t="s">
        <v>2671</v>
      </c>
      <c r="B1790" s="1057" t="s">
        <v>2672</v>
      </c>
      <c r="C1790" s="1058" t="e">
        <f>VLOOKUP(B1783,'LƯƠNG KT'!$D$15:$R$94,17,0)</f>
        <v>#N/A</v>
      </c>
      <c r="D1790" s="1059" t="e">
        <f>+C1790*$L$10</f>
        <v>#N/A</v>
      </c>
      <c r="E1790" s="1061"/>
      <c r="F1790" s="1061"/>
      <c r="G1790" s="1056" t="s">
        <v>2671</v>
      </c>
      <c r="H1790" s="1057" t="s">
        <v>2672</v>
      </c>
      <c r="I1790" s="1058" t="e">
        <f>VLOOKUP(H1783,'LƯƠNG KT'!$D$15:$R$94,17,0)</f>
        <v>#N/A</v>
      </c>
      <c r="J1790" s="1059" t="e">
        <f>+I1790*$L$10</f>
        <v>#N/A</v>
      </c>
      <c r="K1790" s="1085"/>
      <c r="L1790" s="1085"/>
      <c r="M1790" s="1085"/>
      <c r="N1790" s="1085"/>
      <c r="O1790" s="1085"/>
    </row>
    <row r="1791" spans="1:15" ht="15" customHeight="1">
      <c r="A1791" s="1056" t="s">
        <v>374</v>
      </c>
      <c r="B1791" s="1057" t="s">
        <v>2674</v>
      </c>
      <c r="C1791" s="1058" t="e">
        <f>VLOOKUP(B1783,'LƯƠNG KT'!$D$15:$R$94,12,0)</f>
        <v>#N/A</v>
      </c>
      <c r="D1791" s="1059" t="e">
        <f>VLOOKUP(B1783,'LƯƠNG KT'!$D$15:$R$94,14,0)</f>
        <v>#N/A</v>
      </c>
      <c r="E1791" s="1063"/>
      <c r="F1791" s="1061"/>
      <c r="G1791" s="1056" t="s">
        <v>374</v>
      </c>
      <c r="H1791" s="1057" t="s">
        <v>2674</v>
      </c>
      <c r="I1791" s="1058" t="e">
        <f>VLOOKUP(H1783,'LƯƠNG KT'!$D$15:$R$94,12,0)</f>
        <v>#N/A</v>
      </c>
      <c r="J1791" s="1059" t="e">
        <f>VLOOKUP(H1783,'LƯƠNG KT'!$D$15:$R$94,14,0)</f>
        <v>#N/A</v>
      </c>
      <c r="K1791" s="1085"/>
      <c r="L1791" s="1085"/>
      <c r="M1791" s="1085"/>
      <c r="N1791" s="1085"/>
      <c r="O1791" s="1085"/>
    </row>
    <row r="1792" spans="1:15" ht="15" customHeight="1">
      <c r="A1792" s="1056" t="s">
        <v>2675</v>
      </c>
      <c r="B1792" s="1057" t="s">
        <v>2676</v>
      </c>
      <c r="D1792" s="1064" t="e">
        <f>VLOOKUP(B1783,'LƯƠNG KT'!$D$15:$R$94,13,0)</f>
        <v>#N/A</v>
      </c>
      <c r="E1792" s="1065"/>
      <c r="F1792" s="1065"/>
      <c r="G1792" s="1056" t="s">
        <v>2675</v>
      </c>
      <c r="H1792" s="1057" t="s">
        <v>2676</v>
      </c>
      <c r="J1792" s="1064" t="e">
        <f>VLOOKUP(H1783,'LƯƠNG KT'!$D$15:$R$94,13,0)</f>
        <v>#N/A</v>
      </c>
    </row>
    <row r="1793" spans="1:15" ht="15" customHeight="1">
      <c r="A1793" s="1066"/>
      <c r="B1793" s="869"/>
      <c r="C1793" s="1058"/>
      <c r="D1793" s="1059"/>
      <c r="E1793" s="1063"/>
      <c r="F1793" s="1065"/>
      <c r="G1793" s="1066"/>
      <c r="H1793" s="869"/>
      <c r="I1793" s="1058"/>
      <c r="J1793" s="1059"/>
      <c r="K1793" s="1090" t="s">
        <v>103</v>
      </c>
      <c r="L1793" s="1090" t="e">
        <f>D1795+D1779+J1779+J1762+D1762+D1746+J1746+J1730+D1730+J1714+D1714</f>
        <v>#N/A</v>
      </c>
      <c r="M1793" s="1090"/>
      <c r="N1793" s="1090"/>
      <c r="O1793" s="1090"/>
    </row>
    <row r="1794" spans="1:15" ht="15" customHeight="1">
      <c r="A1794" s="1052"/>
      <c r="B1794" s="869"/>
      <c r="C1794" s="1058"/>
      <c r="D1794" s="1059"/>
      <c r="E1794" s="1067"/>
      <c r="F1794" s="1051"/>
      <c r="G1794" s="1052"/>
      <c r="H1794" s="869"/>
      <c r="I1794" s="1058"/>
      <c r="J1794" s="1059"/>
    </row>
    <row r="1795" spans="1:15" ht="15" customHeight="1">
      <c r="A1795" s="1068" t="s">
        <v>383</v>
      </c>
      <c r="B1795" s="1069" t="s">
        <v>384</v>
      </c>
      <c r="C1795" s="1070"/>
      <c r="D1795" s="1071" t="e">
        <f>SUM(D1784:D1791)-D1794</f>
        <v>#N/A</v>
      </c>
      <c r="E1795" s="1072"/>
      <c r="F1795" s="1073"/>
      <c r="G1795" s="1068" t="s">
        <v>383</v>
      </c>
      <c r="H1795" s="1069" t="s">
        <v>384</v>
      </c>
      <c r="I1795" s="1070"/>
      <c r="J1795" s="1071"/>
    </row>
    <row r="1796" spans="1:15" ht="18.75" customHeight="1">
      <c r="A1796" s="1074"/>
      <c r="B1796" s="1075"/>
      <c r="C1796" s="1076"/>
      <c r="D1796" s="1077"/>
      <c r="E1796" s="1077"/>
      <c r="F1796" s="1078"/>
      <c r="G1796" s="1074"/>
      <c r="H1796" s="1075"/>
      <c r="I1796" s="1076"/>
      <c r="J1796" s="1077"/>
    </row>
    <row r="1797" spans="1:15" ht="144" customHeight="1">
      <c r="A1797" s="1075"/>
      <c r="B1797" s="1075"/>
      <c r="C1797" s="1079"/>
      <c r="D1797" s="1080"/>
      <c r="E1797" s="1075"/>
      <c r="F1797" s="1081"/>
      <c r="G1797" s="1075"/>
      <c r="H1797" s="1075"/>
      <c r="I1797" s="1079"/>
      <c r="J1797" s="1080"/>
    </row>
    <row r="1798" spans="1:15" ht="15" customHeight="1">
      <c r="A1798" s="2242" t="str">
        <f>$K$2</f>
        <v>THÁNG 04/2025</v>
      </c>
      <c r="B1798" s="2242"/>
      <c r="C1798" s="2242"/>
      <c r="D1798" s="2242"/>
      <c r="E1798" s="1050"/>
      <c r="F1798" s="1051"/>
      <c r="G1798" s="2242" t="str">
        <f>$K$2</f>
        <v>THÁNG 04/2025</v>
      </c>
      <c r="H1798" s="2242"/>
      <c r="I1798" s="2242"/>
      <c r="J1798" s="2242"/>
      <c r="K1798" s="624"/>
    </row>
    <row r="1799" spans="1:15" ht="15" customHeight="1">
      <c r="A1799" s="1052" t="s">
        <v>356</v>
      </c>
      <c r="B1799" s="1053" t="s">
        <v>116</v>
      </c>
      <c r="C1799" s="869"/>
      <c r="D1799" s="1049"/>
      <c r="E1799" s="1054"/>
      <c r="F1799" s="1055"/>
      <c r="G1799" s="1052" t="s">
        <v>356</v>
      </c>
      <c r="H1799" s="1053" t="s">
        <v>117</v>
      </c>
      <c r="I1799" s="869"/>
      <c r="J1799" s="1049"/>
      <c r="L1799" s="1088"/>
      <c r="M1799" s="1088"/>
      <c r="N1799" s="1088"/>
      <c r="O1799" s="1088"/>
    </row>
    <row r="1800" spans="1:15" ht="15" customHeight="1">
      <c r="A1800" s="1056" t="s">
        <v>359</v>
      </c>
      <c r="B1800" s="1057" t="s">
        <v>2662</v>
      </c>
      <c r="C1800" s="1058" t="e">
        <f>VLOOKUP(B1799,'LƯƠNG KT'!$D$15:$R$94,4,0)</f>
        <v>#N/A</v>
      </c>
      <c r="D1800" s="1059" t="e">
        <f>+C1800*25000</f>
        <v>#N/A</v>
      </c>
      <c r="E1800" s="1060"/>
      <c r="F1800" s="1060"/>
      <c r="G1800" s="1056" t="s">
        <v>359</v>
      </c>
      <c r="H1800" s="1057" t="s">
        <v>2662</v>
      </c>
      <c r="I1800" s="1058" t="e">
        <f>VLOOKUP(H1799,'LƯƠNG KT'!$D$15:$R$94,4,0)</f>
        <v>#N/A</v>
      </c>
      <c r="J1800" s="1059" t="e">
        <f>+I1800*25000</f>
        <v>#N/A</v>
      </c>
      <c r="K1800" s="1085"/>
      <c r="L1800" s="1085"/>
      <c r="M1800" s="1085"/>
      <c r="N1800" s="1085"/>
      <c r="O1800" s="1085"/>
    </row>
    <row r="1801" spans="1:15" ht="15" customHeight="1">
      <c r="A1801" s="1056" t="s">
        <v>361</v>
      </c>
      <c r="B1801" s="1057" t="s">
        <v>2663</v>
      </c>
      <c r="C1801" s="1058" t="e">
        <f>VLOOKUP(B1799,'LƯƠNG KT'!$D$15:$R$94,15,0)</f>
        <v>#N/A</v>
      </c>
      <c r="D1801" s="1059" t="e">
        <f>C1801*$L$4</f>
        <v>#N/A</v>
      </c>
      <c r="E1801" s="1061"/>
      <c r="F1801" s="1061"/>
      <c r="G1801" s="1056" t="s">
        <v>361</v>
      </c>
      <c r="H1801" s="1057" t="s">
        <v>2663</v>
      </c>
      <c r="I1801" s="1058" t="e">
        <f>VLOOKUP(H1799,'LƯƠNG KT'!$D$15:$R$94,15,0)</f>
        <v>#N/A</v>
      </c>
      <c r="J1801" s="1059" t="e">
        <f>I1801*$L$4</f>
        <v>#N/A</v>
      </c>
      <c r="K1801" s="1085"/>
      <c r="L1801" s="1085"/>
      <c r="M1801" s="1085"/>
      <c r="N1801" s="1085"/>
      <c r="O1801" s="1085"/>
    </row>
    <row r="1802" spans="1:15" ht="15" customHeight="1">
      <c r="A1802" s="1056" t="s">
        <v>364</v>
      </c>
      <c r="B1802" s="1057" t="s">
        <v>2664</v>
      </c>
      <c r="C1802" s="1058" t="e">
        <f>VLOOKUP(B1799,'LƯƠNG KT'!$D$15:$R$94,16,0)</f>
        <v>#N/A</v>
      </c>
      <c r="D1802" s="1059" t="e">
        <f>C1802*$L$5</f>
        <v>#N/A</v>
      </c>
      <c r="E1802" s="1061"/>
      <c r="F1802" s="1061"/>
      <c r="G1802" s="1056" t="s">
        <v>364</v>
      </c>
      <c r="H1802" s="1057" t="s">
        <v>2664</v>
      </c>
      <c r="I1802" s="1058" t="e">
        <f>VLOOKUP(H1799,'LƯƠNG KT'!$D$15:$R$94,16,0)</f>
        <v>#N/A</v>
      </c>
      <c r="J1802" s="1059" t="e">
        <f>I1802*$L$5</f>
        <v>#N/A</v>
      </c>
      <c r="K1802" s="1085"/>
      <c r="L1802" s="1085"/>
      <c r="M1802" s="1085"/>
      <c r="N1802" s="1085"/>
      <c r="O1802" s="1085"/>
    </row>
    <row r="1803" spans="1:15" ht="15" customHeight="1">
      <c r="A1803" s="1056" t="s">
        <v>370</v>
      </c>
      <c r="B1803" s="1057" t="s">
        <v>2665</v>
      </c>
      <c r="C1803" s="1058" t="e">
        <f>VLOOKUP(B1799,'LƯƠNG KT'!$D$15:$R$94,24,0)</f>
        <v>#N/A</v>
      </c>
      <c r="D1803" s="1059" t="e">
        <f>+C1803*$L$6</f>
        <v>#N/A</v>
      </c>
      <c r="E1803" s="1061"/>
      <c r="F1803" s="1061"/>
      <c r="G1803" s="1056" t="s">
        <v>370</v>
      </c>
      <c r="H1803" s="1057" t="s">
        <v>2665</v>
      </c>
      <c r="I1803" s="1058" t="e">
        <f>VLOOKUP(H1799,'LƯƠNG KT'!$D$15:$R$94,24,0)</f>
        <v>#N/A</v>
      </c>
      <c r="J1803" s="1059" t="e">
        <f>+I1803*$L$6</f>
        <v>#N/A</v>
      </c>
      <c r="K1803" s="1085"/>
      <c r="L1803" s="1085"/>
      <c r="M1803" s="1085"/>
      <c r="N1803" s="1085"/>
      <c r="O1803" s="1085"/>
    </row>
    <row r="1804" spans="1:15" ht="15" customHeight="1">
      <c r="A1804" s="1056" t="s">
        <v>2666</v>
      </c>
      <c r="B1804" s="1057" t="s">
        <v>2667</v>
      </c>
      <c r="C1804" s="1058" t="e">
        <f>VLOOKUP(B1799,'LƯƠNG KT'!$D$15:$R$94,19,0)</f>
        <v>#N/A</v>
      </c>
      <c r="D1804" s="1059" t="e">
        <f>+C1804*$L$8</f>
        <v>#N/A</v>
      </c>
      <c r="E1804" s="1061"/>
      <c r="F1804" s="1061"/>
      <c r="G1804" s="1056" t="s">
        <v>2666</v>
      </c>
      <c r="H1804" s="1057" t="s">
        <v>2667</v>
      </c>
      <c r="I1804" s="1058" t="e">
        <f>VLOOKUP(H1799,'LƯƠNG KT'!$D$15:$R$94,19,0)</f>
        <v>#N/A</v>
      </c>
      <c r="J1804" s="1059" t="e">
        <f>+I1804*$L$8</f>
        <v>#N/A</v>
      </c>
      <c r="K1804" s="1085"/>
      <c r="L1804" s="1085"/>
      <c r="M1804" s="1085"/>
      <c r="N1804" s="1085"/>
      <c r="O1804" s="1085"/>
    </row>
    <row r="1805" spans="1:15" ht="15" customHeight="1">
      <c r="A1805" s="1056" t="s">
        <v>2668</v>
      </c>
      <c r="B1805" s="1062" t="s">
        <v>2669</v>
      </c>
      <c r="C1805" s="1058" t="e">
        <f>VLOOKUP(B1799,'LƯƠNG KT'!$D$15:$R$94,20,0)</f>
        <v>#N/A</v>
      </c>
      <c r="D1805" s="1059" t="e">
        <f>+C1805*$L$9</f>
        <v>#N/A</v>
      </c>
      <c r="E1805" s="1061"/>
      <c r="F1805" s="1061"/>
      <c r="G1805" s="1056" t="s">
        <v>2668</v>
      </c>
      <c r="H1805" s="1062" t="s">
        <v>2669</v>
      </c>
      <c r="I1805" s="1058" t="e">
        <f>VLOOKUP(H1799,'LƯƠNG KT'!$D$15:$R$94,20,0)</f>
        <v>#N/A</v>
      </c>
      <c r="J1805" s="1059" t="e">
        <f>+I1805*$L$9</f>
        <v>#N/A</v>
      </c>
      <c r="K1805" s="1085"/>
      <c r="L1805" s="1085"/>
      <c r="M1805" s="1085"/>
      <c r="N1805" s="1085"/>
      <c r="O1805" s="1085"/>
    </row>
    <row r="1806" spans="1:15" ht="15" customHeight="1">
      <c r="A1806" s="1056" t="s">
        <v>2671</v>
      </c>
      <c r="B1806" s="1057" t="s">
        <v>2672</v>
      </c>
      <c r="C1806" s="1058" t="e">
        <f>VLOOKUP(B1799,'LƯƠNG KT'!$D$15:$R$94,17,0)</f>
        <v>#N/A</v>
      </c>
      <c r="D1806" s="1059" t="e">
        <f>+C1806*$L$10</f>
        <v>#N/A</v>
      </c>
      <c r="E1806" s="1061"/>
      <c r="F1806" s="1061"/>
      <c r="G1806" s="1056" t="s">
        <v>2671</v>
      </c>
      <c r="H1806" s="1057" t="s">
        <v>2672</v>
      </c>
      <c r="I1806" s="1058" t="e">
        <f>VLOOKUP(H1799,'LƯƠNG KT'!$D$15:$R$94,17,0)</f>
        <v>#N/A</v>
      </c>
      <c r="J1806" s="1059" t="e">
        <f>+I1806*$L$10</f>
        <v>#N/A</v>
      </c>
      <c r="K1806" s="1085"/>
      <c r="L1806" s="1085"/>
      <c r="M1806" s="1085"/>
      <c r="N1806" s="1085"/>
      <c r="O1806" s="1085"/>
    </row>
    <row r="1807" spans="1:15" ht="15" customHeight="1">
      <c r="A1807" s="1056" t="s">
        <v>374</v>
      </c>
      <c r="B1807" s="1057" t="s">
        <v>2674</v>
      </c>
      <c r="C1807" s="1058" t="e">
        <f>VLOOKUP(B1799,'LƯƠNG KT'!$D$15:$R$94,12,0)</f>
        <v>#N/A</v>
      </c>
      <c r="D1807" s="1059" t="e">
        <f>VLOOKUP(B1799,'LƯƠNG KT'!$D$15:$R$94,14,0)</f>
        <v>#N/A</v>
      </c>
      <c r="E1807" s="1063"/>
      <c r="F1807" s="1061"/>
      <c r="G1807" s="1056" t="s">
        <v>374</v>
      </c>
      <c r="H1807" s="1057" t="s">
        <v>2674</v>
      </c>
      <c r="I1807" s="1058" t="e">
        <f>VLOOKUP(H1799,'LƯƠNG KT'!$D$15:$R$94,12,0)</f>
        <v>#N/A</v>
      </c>
      <c r="J1807" s="1059" t="e">
        <f>VLOOKUP(H1799,'LƯƠNG KT'!$D$15:$R$94,14,0)</f>
        <v>#N/A</v>
      </c>
      <c r="K1807" s="1085"/>
      <c r="L1807" s="1085"/>
      <c r="M1807" s="1085"/>
      <c r="N1807" s="1085"/>
      <c r="O1807" s="1085"/>
    </row>
    <row r="1808" spans="1:15" ht="15" customHeight="1">
      <c r="A1808" s="1056" t="s">
        <v>2675</v>
      </c>
      <c r="B1808" s="1057" t="s">
        <v>2676</v>
      </c>
      <c r="D1808" s="1064" t="e">
        <f>VLOOKUP(B1799,'LƯƠNG KT'!$D$15:$R$94,13,0)</f>
        <v>#N/A</v>
      </c>
      <c r="E1808" s="1065"/>
      <c r="F1808" s="1065"/>
      <c r="G1808" s="1056" t="s">
        <v>2675</v>
      </c>
      <c r="H1808" s="1057" t="s">
        <v>2676</v>
      </c>
      <c r="J1808" s="1064" t="e">
        <f>VLOOKUP(H1799,'LƯƠNG KT'!$D$15:$R$94,13,0)</f>
        <v>#N/A</v>
      </c>
    </row>
    <row r="1809" spans="1:15" ht="15" customHeight="1">
      <c r="A1809" s="1066"/>
      <c r="B1809" s="869"/>
      <c r="C1809" s="1058"/>
      <c r="D1809" s="1059"/>
      <c r="E1809" s="1063"/>
      <c r="F1809" s="1065"/>
      <c r="G1809" s="1066"/>
      <c r="H1809" s="869"/>
      <c r="I1809" s="1058"/>
      <c r="J1809" s="1059"/>
    </row>
    <row r="1810" spans="1:15" ht="15" customHeight="1">
      <c r="A1810" s="1052"/>
      <c r="B1810" s="869"/>
      <c r="C1810" s="1058"/>
      <c r="D1810" s="1059"/>
      <c r="E1810" s="1067"/>
      <c r="F1810" s="1051"/>
      <c r="G1810" s="1052"/>
      <c r="H1810" s="869"/>
      <c r="I1810" s="1058"/>
      <c r="J1810" s="1059"/>
    </row>
    <row r="1811" spans="1:15" ht="15" customHeight="1">
      <c r="A1811" s="1068" t="s">
        <v>383</v>
      </c>
      <c r="B1811" s="1069" t="s">
        <v>384</v>
      </c>
      <c r="C1811" s="1070"/>
      <c r="D1811" s="1071" t="e">
        <f>SUM(D1800:D1807)-D1810</f>
        <v>#N/A</v>
      </c>
      <c r="E1811" s="1072"/>
      <c r="F1811" s="1073"/>
      <c r="G1811" s="1068" t="s">
        <v>383</v>
      </c>
      <c r="H1811" s="1069" t="s">
        <v>384</v>
      </c>
      <c r="I1811" s="1070"/>
      <c r="J1811" s="1071" t="e">
        <f>SUM(J1800:J1807)-J1810</f>
        <v>#N/A</v>
      </c>
    </row>
    <row r="1812" spans="1:15" ht="18.75" customHeight="1">
      <c r="A1812" s="1074"/>
      <c r="B1812" s="1075"/>
      <c r="C1812" s="1076"/>
      <c r="D1812" s="1077"/>
      <c r="E1812" s="1077"/>
      <c r="F1812" s="1078"/>
      <c r="G1812" s="1074"/>
      <c r="H1812" s="1075"/>
      <c r="I1812" s="1076"/>
      <c r="J1812" s="1077"/>
    </row>
    <row r="1813" spans="1:15" ht="18.75" customHeight="1">
      <c r="A1813" s="1075"/>
      <c r="B1813" s="1075"/>
      <c r="C1813" s="1079"/>
      <c r="D1813" s="1080"/>
      <c r="E1813" s="1075"/>
      <c r="F1813" s="1081"/>
      <c r="G1813" s="1075"/>
      <c r="H1813" s="1075"/>
      <c r="I1813" s="1079"/>
      <c r="J1813" s="1080"/>
    </row>
    <row r="1814" spans="1:15" ht="15" customHeight="1">
      <c r="A1814" s="2242" t="str">
        <f>$K$2</f>
        <v>THÁNG 04/2025</v>
      </c>
      <c r="B1814" s="2242"/>
      <c r="C1814" s="2242"/>
      <c r="D1814" s="2242"/>
      <c r="E1814" s="1050"/>
      <c r="F1814" s="1051"/>
      <c r="G1814" s="2242" t="str">
        <f>$K$2</f>
        <v>THÁNG 04/2025</v>
      </c>
      <c r="H1814" s="2242"/>
      <c r="I1814" s="2242"/>
      <c r="J1814" s="2242"/>
      <c r="K1814" s="624"/>
    </row>
    <row r="1815" spans="1:15" ht="15" customHeight="1">
      <c r="A1815" s="1052" t="s">
        <v>356</v>
      </c>
      <c r="B1815" s="1053" t="s">
        <v>118</v>
      </c>
      <c r="C1815" s="869"/>
      <c r="D1815" s="1049"/>
      <c r="E1815" s="1054"/>
      <c r="F1815" s="1055"/>
      <c r="G1815" s="1052" t="s">
        <v>356</v>
      </c>
      <c r="H1815" s="1053" t="s">
        <v>119</v>
      </c>
      <c r="I1815" s="869"/>
      <c r="J1815" s="1049"/>
      <c r="L1815" s="1088"/>
      <c r="M1815" s="1088"/>
      <c r="N1815" s="1088"/>
      <c r="O1815" s="1088"/>
    </row>
    <row r="1816" spans="1:15" ht="15" customHeight="1">
      <c r="A1816" s="1056" t="s">
        <v>359</v>
      </c>
      <c r="B1816" s="1057" t="s">
        <v>2662</v>
      </c>
      <c r="C1816" s="1058" t="e">
        <f>VLOOKUP(B1815,'LƯƠNG KT'!$D$15:$R$94,4,0)</f>
        <v>#N/A</v>
      </c>
      <c r="D1816" s="1059" t="e">
        <f>+C1816*25000</f>
        <v>#N/A</v>
      </c>
      <c r="E1816" s="1060"/>
      <c r="F1816" s="1060"/>
      <c r="G1816" s="1056" t="s">
        <v>359</v>
      </c>
      <c r="H1816" s="1057" t="s">
        <v>2662</v>
      </c>
      <c r="I1816" s="1058" t="e">
        <f>VLOOKUP(H1815,'LƯƠNG KT'!$D$15:$R$94,4,0)</f>
        <v>#N/A</v>
      </c>
      <c r="J1816" s="1059" t="e">
        <f>+I1816*25000</f>
        <v>#N/A</v>
      </c>
      <c r="K1816" s="1085"/>
      <c r="L1816" s="1085"/>
      <c r="M1816" s="1085"/>
      <c r="N1816" s="1085"/>
      <c r="O1816" s="1085"/>
    </row>
    <row r="1817" spans="1:15" ht="15" customHeight="1">
      <c r="A1817" s="1056" t="s">
        <v>361</v>
      </c>
      <c r="B1817" s="1057" t="s">
        <v>2663</v>
      </c>
      <c r="C1817" s="1058" t="e">
        <f>VLOOKUP(B1815,'LƯƠNG KT'!$D$15:$R$94,15,0)</f>
        <v>#N/A</v>
      </c>
      <c r="D1817" s="1059" t="e">
        <f>C1817*$L$4</f>
        <v>#N/A</v>
      </c>
      <c r="E1817" s="1061"/>
      <c r="F1817" s="1061"/>
      <c r="G1817" s="1056" t="s">
        <v>361</v>
      </c>
      <c r="H1817" s="1057" t="s">
        <v>2663</v>
      </c>
      <c r="I1817" s="1058" t="e">
        <f>VLOOKUP(H1815,'LƯƠNG KT'!$D$15:$R$94,15,0)</f>
        <v>#N/A</v>
      </c>
      <c r="J1817" s="1059" t="e">
        <f>I1817*$L$4</f>
        <v>#N/A</v>
      </c>
      <c r="K1817" s="1085"/>
      <c r="L1817" s="1085"/>
      <c r="M1817" s="1085"/>
      <c r="N1817" s="1085"/>
      <c r="O1817" s="1085"/>
    </row>
    <row r="1818" spans="1:15" ht="15" customHeight="1">
      <c r="A1818" s="1056" t="s">
        <v>364</v>
      </c>
      <c r="B1818" s="1057" t="s">
        <v>2664</v>
      </c>
      <c r="C1818" s="1058" t="e">
        <f>VLOOKUP(B1815,'LƯƠNG KT'!$D$15:$R$94,16,0)</f>
        <v>#N/A</v>
      </c>
      <c r="D1818" s="1059" t="e">
        <f>C1818*$L$5</f>
        <v>#N/A</v>
      </c>
      <c r="E1818" s="1061"/>
      <c r="F1818" s="1061"/>
      <c r="G1818" s="1056" t="s">
        <v>364</v>
      </c>
      <c r="H1818" s="1057" t="s">
        <v>2664</v>
      </c>
      <c r="I1818" s="1058" t="e">
        <f>VLOOKUP(H1815,'LƯƠNG KT'!$D$15:$R$94,16,0)</f>
        <v>#N/A</v>
      </c>
      <c r="J1818" s="1059" t="e">
        <f>I1818*$L$5</f>
        <v>#N/A</v>
      </c>
      <c r="K1818" s="1085"/>
      <c r="L1818" s="1085"/>
      <c r="M1818" s="1085"/>
      <c r="N1818" s="1085"/>
      <c r="O1818" s="1085"/>
    </row>
    <row r="1819" spans="1:15" ht="15" customHeight="1">
      <c r="A1819" s="1056" t="s">
        <v>370</v>
      </c>
      <c r="B1819" s="1057" t="s">
        <v>2665</v>
      </c>
      <c r="C1819" s="1058" t="e">
        <f>VLOOKUP(B1815,'LƯƠNG KT'!$D$15:$R$94,24,0)</f>
        <v>#N/A</v>
      </c>
      <c r="D1819" s="1059" t="e">
        <f>+C1819*$L$6</f>
        <v>#N/A</v>
      </c>
      <c r="E1819" s="1061"/>
      <c r="F1819" s="1061"/>
      <c r="G1819" s="1056" t="s">
        <v>370</v>
      </c>
      <c r="H1819" s="1057" t="s">
        <v>2665</v>
      </c>
      <c r="I1819" s="1058" t="e">
        <f>VLOOKUP(H1815,'LƯƠNG KT'!$D$15:$R$94,24,0)</f>
        <v>#N/A</v>
      </c>
      <c r="J1819" s="1059" t="e">
        <f>+I1819*$L$6</f>
        <v>#N/A</v>
      </c>
      <c r="K1819" s="1085"/>
      <c r="L1819" s="1085"/>
      <c r="M1819" s="1085"/>
      <c r="N1819" s="1085"/>
      <c r="O1819" s="1085"/>
    </row>
    <row r="1820" spans="1:15" ht="15" customHeight="1">
      <c r="A1820" s="1056" t="s">
        <v>2666</v>
      </c>
      <c r="B1820" s="1057" t="s">
        <v>2667</v>
      </c>
      <c r="C1820" s="1058" t="e">
        <f>VLOOKUP(B1815,'LƯƠNG KT'!$D$15:$R$94,19,0)</f>
        <v>#N/A</v>
      </c>
      <c r="D1820" s="1059" t="e">
        <f>+C1820*$L$8</f>
        <v>#N/A</v>
      </c>
      <c r="E1820" s="1061"/>
      <c r="F1820" s="1061"/>
      <c r="G1820" s="1056" t="s">
        <v>2666</v>
      </c>
      <c r="H1820" s="1057" t="s">
        <v>2667</v>
      </c>
      <c r="I1820" s="1058" t="e">
        <f>VLOOKUP(H1815,'LƯƠNG KT'!$D$15:$R$94,19,0)</f>
        <v>#N/A</v>
      </c>
      <c r="J1820" s="1059" t="e">
        <f>+I1820*$L$8</f>
        <v>#N/A</v>
      </c>
      <c r="K1820" s="1085"/>
      <c r="L1820" s="1085"/>
      <c r="M1820" s="1085"/>
      <c r="N1820" s="1085"/>
      <c r="O1820" s="1085"/>
    </row>
    <row r="1821" spans="1:15" ht="15" customHeight="1">
      <c r="A1821" s="1056" t="s">
        <v>2668</v>
      </c>
      <c r="B1821" s="1062" t="s">
        <v>2669</v>
      </c>
      <c r="C1821" s="1058" t="e">
        <f>VLOOKUP(B1815,'LƯƠNG KT'!$D$15:$R$94,20,0)</f>
        <v>#N/A</v>
      </c>
      <c r="D1821" s="1059" t="e">
        <f>+C1821*$L$9</f>
        <v>#N/A</v>
      </c>
      <c r="E1821" s="1061"/>
      <c r="F1821" s="1061"/>
      <c r="G1821" s="1056" t="s">
        <v>2668</v>
      </c>
      <c r="H1821" s="1062" t="s">
        <v>2669</v>
      </c>
      <c r="I1821" s="1058" t="e">
        <f>VLOOKUP(H1815,'LƯƠNG KT'!$D$15:$R$94,20,0)</f>
        <v>#N/A</v>
      </c>
      <c r="J1821" s="1059" t="e">
        <f>+I1821*$L$9</f>
        <v>#N/A</v>
      </c>
      <c r="K1821" s="1085"/>
      <c r="L1821" s="1085"/>
      <c r="M1821" s="1085"/>
      <c r="N1821" s="1085"/>
      <c r="O1821" s="1085"/>
    </row>
    <row r="1822" spans="1:15" ht="15" customHeight="1">
      <c r="A1822" s="1056" t="s">
        <v>2671</v>
      </c>
      <c r="B1822" s="1057" t="s">
        <v>2672</v>
      </c>
      <c r="C1822" s="1058" t="e">
        <f>VLOOKUP(B1815,'LƯƠNG KT'!$D$15:$R$94,17,0)</f>
        <v>#N/A</v>
      </c>
      <c r="D1822" s="1059" t="e">
        <f>+C1822*$L$10</f>
        <v>#N/A</v>
      </c>
      <c r="E1822" s="1061"/>
      <c r="F1822" s="1061"/>
      <c r="G1822" s="1056" t="s">
        <v>2671</v>
      </c>
      <c r="H1822" s="1057" t="s">
        <v>2672</v>
      </c>
      <c r="I1822" s="1058" t="e">
        <f>VLOOKUP(H1815,'LƯƠNG KT'!$D$15:$R$94,17,0)</f>
        <v>#N/A</v>
      </c>
      <c r="J1822" s="1059" t="e">
        <f>+I1822*$L$10</f>
        <v>#N/A</v>
      </c>
      <c r="K1822" s="1085"/>
      <c r="L1822" s="1085"/>
      <c r="M1822" s="1085"/>
      <c r="N1822" s="1085"/>
      <c r="O1822" s="1085"/>
    </row>
    <row r="1823" spans="1:15" ht="15" customHeight="1">
      <c r="A1823" s="1056" t="s">
        <v>374</v>
      </c>
      <c r="B1823" s="1057" t="s">
        <v>2674</v>
      </c>
      <c r="C1823" s="1058" t="e">
        <f>VLOOKUP(B1815,'LƯƠNG KT'!$D$15:$R$94,12,0)</f>
        <v>#N/A</v>
      </c>
      <c r="D1823" s="1059" t="e">
        <f>VLOOKUP(B1815,'LƯƠNG KT'!$D$15:$R$94,14,0)</f>
        <v>#N/A</v>
      </c>
      <c r="E1823" s="1063"/>
      <c r="F1823" s="1061"/>
      <c r="G1823" s="1056" t="s">
        <v>374</v>
      </c>
      <c r="H1823" s="1057" t="s">
        <v>2674</v>
      </c>
      <c r="I1823" s="1058" t="e">
        <f>VLOOKUP(H1815,'LƯƠNG KT'!$D$15:$R$94,12,0)</f>
        <v>#N/A</v>
      </c>
      <c r="J1823" s="1059" t="e">
        <f>VLOOKUP(H1815,'LƯƠNG KT'!$D$15:$R$94,14,0)</f>
        <v>#N/A</v>
      </c>
      <c r="K1823" s="1085"/>
      <c r="L1823" s="1085"/>
      <c r="M1823" s="1085"/>
      <c r="N1823" s="1085"/>
      <c r="O1823" s="1085"/>
    </row>
    <row r="1824" spans="1:15" ht="15" customHeight="1">
      <c r="A1824" s="1056" t="s">
        <v>2675</v>
      </c>
      <c r="B1824" s="1057" t="s">
        <v>2676</v>
      </c>
      <c r="D1824" s="1064" t="e">
        <f>VLOOKUP(B1815,'LƯƠNG KT'!$D$15:$R$94,13,0)</f>
        <v>#N/A</v>
      </c>
      <c r="E1824" s="1065"/>
      <c r="F1824" s="1065"/>
      <c r="G1824" s="1056" t="s">
        <v>2675</v>
      </c>
      <c r="H1824" s="1057" t="s">
        <v>2676</v>
      </c>
      <c r="J1824" s="1064" t="e">
        <f>VLOOKUP(H1815,'LƯƠNG KT'!$D$15:$R$94,13,0)</f>
        <v>#N/A</v>
      </c>
    </row>
    <row r="1825" spans="1:15" ht="15" customHeight="1">
      <c r="A1825" s="1066"/>
      <c r="B1825" s="869"/>
      <c r="C1825" s="1058"/>
      <c r="D1825" s="1059"/>
      <c r="E1825" s="1063"/>
      <c r="F1825" s="1065"/>
      <c r="G1825" s="1066"/>
      <c r="H1825" s="869"/>
      <c r="I1825" s="1058"/>
      <c r="J1825" s="1059"/>
    </row>
    <row r="1826" spans="1:15" ht="15" customHeight="1">
      <c r="A1826" s="1052"/>
      <c r="B1826" s="869"/>
      <c r="C1826" s="1058"/>
      <c r="D1826" s="1059"/>
      <c r="E1826" s="1067"/>
      <c r="F1826" s="1051"/>
      <c r="G1826" s="1052"/>
      <c r="H1826" s="869"/>
      <c r="I1826" s="1058"/>
      <c r="J1826" s="1059"/>
    </row>
    <row r="1827" spans="1:15" ht="15" customHeight="1">
      <c r="A1827" s="1068" t="s">
        <v>383</v>
      </c>
      <c r="B1827" s="1069" t="s">
        <v>384</v>
      </c>
      <c r="C1827" s="1070"/>
      <c r="D1827" s="1071" t="e">
        <f>SUM(D1816:D1823)-D1826</f>
        <v>#N/A</v>
      </c>
      <c r="E1827" s="1072"/>
      <c r="F1827" s="1073"/>
      <c r="G1827" s="1068" t="s">
        <v>383</v>
      </c>
      <c r="H1827" s="1069" t="s">
        <v>384</v>
      </c>
      <c r="I1827" s="1070"/>
      <c r="J1827" s="1071" t="e">
        <f>SUM(J1816:J1823)-J1826</f>
        <v>#N/A</v>
      </c>
    </row>
    <row r="1828" spans="1:15" ht="15.75" customHeight="1">
      <c r="A1828" s="1074"/>
      <c r="B1828" s="1075"/>
      <c r="C1828" s="1076"/>
      <c r="D1828" s="1077"/>
      <c r="E1828" s="1077"/>
      <c r="F1828" s="1078"/>
      <c r="G1828" s="1074"/>
      <c r="H1828" s="1075"/>
      <c r="I1828" s="1076"/>
      <c r="J1828" s="1077"/>
    </row>
    <row r="1830" spans="1:15" ht="12" customHeight="1">
      <c r="A1830" s="2243"/>
      <c r="B1830" s="2243"/>
      <c r="C1830" s="2243"/>
      <c r="D1830" s="2243"/>
      <c r="E1830" s="2243"/>
      <c r="F1830" s="2243"/>
      <c r="G1830" s="2243"/>
      <c r="H1830" s="2243"/>
      <c r="I1830" s="2243"/>
      <c r="J1830" s="2243"/>
    </row>
    <row r="1831" spans="1:15" ht="15" customHeight="1">
      <c r="A1831" s="2242" t="str">
        <f>$K$2</f>
        <v>THÁNG 04/2025</v>
      </c>
      <c r="B1831" s="2242"/>
      <c r="C1831" s="2242"/>
      <c r="D1831" s="2242"/>
      <c r="E1831" s="1050"/>
      <c r="F1831" s="1051"/>
      <c r="G1831" s="2242" t="str">
        <f>$K$2</f>
        <v>THÁNG 04/2025</v>
      </c>
      <c r="H1831" s="2242"/>
      <c r="I1831" s="2242"/>
      <c r="J1831" s="2242"/>
      <c r="K1831" s="624"/>
    </row>
    <row r="1832" spans="1:15" ht="15" customHeight="1">
      <c r="A1832" s="1052" t="s">
        <v>356</v>
      </c>
      <c r="B1832" s="1053" t="s">
        <v>120</v>
      </c>
      <c r="C1832" s="869"/>
      <c r="D1832" s="1049"/>
      <c r="E1832" s="1054"/>
      <c r="F1832" s="1055"/>
      <c r="G1832" s="1052" t="s">
        <v>356</v>
      </c>
      <c r="H1832" s="1053" t="s">
        <v>121</v>
      </c>
      <c r="I1832" s="869"/>
      <c r="J1832" s="1049"/>
      <c r="L1832" s="1088"/>
      <c r="M1832" s="1088"/>
      <c r="N1832" s="1088"/>
      <c r="O1832" s="1088"/>
    </row>
    <row r="1833" spans="1:15" ht="15" customHeight="1">
      <c r="A1833" s="1056" t="s">
        <v>359</v>
      </c>
      <c r="B1833" s="1057" t="s">
        <v>2662</v>
      </c>
      <c r="C1833" s="1058" t="e">
        <f>VLOOKUP(B1832,'LƯƠNG KT'!$D$15:$R$94,4,0)</f>
        <v>#N/A</v>
      </c>
      <c r="D1833" s="1059" t="e">
        <f>+C1833*25000</f>
        <v>#N/A</v>
      </c>
      <c r="E1833" s="1060"/>
      <c r="F1833" s="1060"/>
      <c r="G1833" s="1056" t="s">
        <v>359</v>
      </c>
      <c r="H1833" s="1057" t="s">
        <v>2662</v>
      </c>
      <c r="I1833" s="1058" t="e">
        <f>VLOOKUP(H1832,'LƯƠNG KT'!$D$15:$R$94,4,0)</f>
        <v>#N/A</v>
      </c>
      <c r="J1833" s="1059" t="e">
        <f>+I1833*25000</f>
        <v>#N/A</v>
      </c>
      <c r="K1833" s="1084"/>
      <c r="L1833" s="1085"/>
      <c r="M1833" s="1085"/>
      <c r="N1833" s="1085"/>
      <c r="O1833" s="1085"/>
    </row>
    <row r="1834" spans="1:15" ht="15" customHeight="1">
      <c r="A1834" s="1056" t="s">
        <v>361</v>
      </c>
      <c r="B1834" s="1057" t="s">
        <v>2663</v>
      </c>
      <c r="C1834" s="1058" t="e">
        <f>VLOOKUP(B1832,'LƯƠNG KT'!$D$15:$R$94,15,0)</f>
        <v>#N/A</v>
      </c>
      <c r="D1834" s="1059" t="e">
        <f>C1834*$L$4</f>
        <v>#N/A</v>
      </c>
      <c r="E1834" s="1061"/>
      <c r="F1834" s="1061"/>
      <c r="G1834" s="1056" t="s">
        <v>361</v>
      </c>
      <c r="H1834" s="1057" t="s">
        <v>2663</v>
      </c>
      <c r="I1834" s="1058" t="e">
        <f>VLOOKUP(H1832,'LƯƠNG KT'!$D$15:$R$94,15,0)</f>
        <v>#N/A</v>
      </c>
      <c r="J1834" s="1059" t="e">
        <f>I1834*$L$4</f>
        <v>#N/A</v>
      </c>
      <c r="K1834" s="1084"/>
      <c r="L1834" s="1085"/>
      <c r="M1834" s="1085"/>
      <c r="N1834" s="1085"/>
      <c r="O1834" s="1085"/>
    </row>
    <row r="1835" spans="1:15" ht="15" customHeight="1">
      <c r="A1835" s="1056" t="s">
        <v>364</v>
      </c>
      <c r="B1835" s="1057" t="s">
        <v>2664</v>
      </c>
      <c r="C1835" s="1058" t="e">
        <f>VLOOKUP(B1832,'LƯƠNG KT'!$D$15:$R$94,16,0)</f>
        <v>#N/A</v>
      </c>
      <c r="D1835" s="1059" t="e">
        <f>C1835*$L$5</f>
        <v>#N/A</v>
      </c>
      <c r="E1835" s="1061"/>
      <c r="F1835" s="1061"/>
      <c r="G1835" s="1056" t="s">
        <v>364</v>
      </c>
      <c r="H1835" s="1057" t="s">
        <v>2664</v>
      </c>
      <c r="I1835" s="1058" t="e">
        <f>VLOOKUP(H1832,'LƯƠNG KT'!$D$15:$R$94,16,0)</f>
        <v>#N/A</v>
      </c>
      <c r="J1835" s="1059" t="e">
        <f>I1835*$L$5</f>
        <v>#N/A</v>
      </c>
      <c r="K1835" s="1084"/>
      <c r="L1835" s="1085"/>
      <c r="M1835" s="1085"/>
      <c r="N1835" s="1085"/>
      <c r="O1835" s="1085"/>
    </row>
    <row r="1836" spans="1:15" ht="15" customHeight="1">
      <c r="A1836" s="1056" t="s">
        <v>370</v>
      </c>
      <c r="B1836" s="1057" t="s">
        <v>2665</v>
      </c>
      <c r="C1836" s="1058" t="e">
        <f>VLOOKUP(B1832,'LƯƠNG KT'!$D$15:$R$94,24,0)</f>
        <v>#N/A</v>
      </c>
      <c r="D1836" s="1059" t="e">
        <f>+C1836*$L$6</f>
        <v>#N/A</v>
      </c>
      <c r="E1836" s="1061"/>
      <c r="F1836" s="1061"/>
      <c r="G1836" s="1056" t="s">
        <v>370</v>
      </c>
      <c r="H1836" s="1057" t="s">
        <v>2665</v>
      </c>
      <c r="I1836" s="1058" t="e">
        <f>VLOOKUP(H1832,'LƯƠNG KT'!$D$15:$R$94,24,0)</f>
        <v>#N/A</v>
      </c>
      <c r="J1836" s="1059" t="e">
        <f>+I1836*$L$6</f>
        <v>#N/A</v>
      </c>
      <c r="K1836" s="1085"/>
      <c r="L1836" s="1085"/>
      <c r="M1836" s="1085"/>
      <c r="N1836" s="1085"/>
      <c r="O1836" s="1085"/>
    </row>
    <row r="1837" spans="1:15" ht="15" customHeight="1">
      <c r="A1837" s="1056" t="s">
        <v>2666</v>
      </c>
      <c r="B1837" s="1057" t="s">
        <v>2667</v>
      </c>
      <c r="C1837" s="1058" t="e">
        <f>VLOOKUP(B1832,'LƯƠNG KT'!$D$15:$R$94,19,0)</f>
        <v>#N/A</v>
      </c>
      <c r="D1837" s="1059" t="e">
        <f>+C1837*$L$8</f>
        <v>#N/A</v>
      </c>
      <c r="E1837" s="1061"/>
      <c r="F1837" s="1061"/>
      <c r="G1837" s="1056" t="s">
        <v>2666</v>
      </c>
      <c r="H1837" s="1057" t="s">
        <v>2667</v>
      </c>
      <c r="I1837" s="1058" t="e">
        <f>VLOOKUP(H1832,'LƯƠNG KT'!$D$15:$R$94,19,0)</f>
        <v>#N/A</v>
      </c>
      <c r="J1837" s="1059" t="e">
        <f>+I1837*$L$8</f>
        <v>#N/A</v>
      </c>
      <c r="K1837" s="1085"/>
      <c r="L1837" s="1085"/>
      <c r="M1837" s="1085"/>
      <c r="N1837" s="1085"/>
      <c r="O1837" s="1085"/>
    </row>
    <row r="1838" spans="1:15" ht="15" customHeight="1">
      <c r="A1838" s="1056" t="s">
        <v>2668</v>
      </c>
      <c r="B1838" s="1062" t="s">
        <v>2669</v>
      </c>
      <c r="C1838" s="1058" t="e">
        <f>VLOOKUP(B1832,'LƯƠNG KT'!$D$15:$R$94,20,0)</f>
        <v>#N/A</v>
      </c>
      <c r="D1838" s="1059" t="e">
        <f>+C1838*$L$9</f>
        <v>#N/A</v>
      </c>
      <c r="E1838" s="1061"/>
      <c r="F1838" s="1061"/>
      <c r="G1838" s="1056" t="s">
        <v>2668</v>
      </c>
      <c r="H1838" s="1062" t="s">
        <v>2669</v>
      </c>
      <c r="I1838" s="1058" t="e">
        <f>VLOOKUP(H1832,'LƯƠNG KT'!$D$15:$R$94,20,0)</f>
        <v>#N/A</v>
      </c>
      <c r="J1838" s="1059" t="e">
        <f>+I1838*$L$9</f>
        <v>#N/A</v>
      </c>
      <c r="K1838" s="1085"/>
      <c r="L1838" s="1085"/>
      <c r="M1838" s="1085"/>
      <c r="N1838" s="1085"/>
      <c r="O1838" s="1085"/>
    </row>
    <row r="1839" spans="1:15" ht="15" customHeight="1">
      <c r="A1839" s="1056" t="s">
        <v>2671</v>
      </c>
      <c r="B1839" s="1057" t="s">
        <v>2672</v>
      </c>
      <c r="C1839" s="1058" t="e">
        <f>VLOOKUP(B1832,'LƯƠNG KT'!$D$15:$R$94,17,0)</f>
        <v>#N/A</v>
      </c>
      <c r="D1839" s="1059" t="e">
        <f>+C1839*$L$10</f>
        <v>#N/A</v>
      </c>
      <c r="E1839" s="1061"/>
      <c r="F1839" s="1061"/>
      <c r="G1839" s="1056" t="s">
        <v>2671</v>
      </c>
      <c r="H1839" s="1057" t="s">
        <v>2672</v>
      </c>
      <c r="I1839" s="1058" t="e">
        <f>VLOOKUP(H1832,'LƯƠNG KT'!$D$15:$R$94,17,0)</f>
        <v>#N/A</v>
      </c>
      <c r="J1839" s="1059" t="e">
        <f>+I1839*$L$10</f>
        <v>#N/A</v>
      </c>
      <c r="K1839" s="1085"/>
      <c r="L1839" s="1085"/>
      <c r="M1839" s="1085"/>
      <c r="N1839" s="1085"/>
      <c r="O1839" s="1085"/>
    </row>
    <row r="1840" spans="1:15" ht="15" customHeight="1">
      <c r="A1840" s="1056" t="s">
        <v>374</v>
      </c>
      <c r="B1840" s="1057" t="s">
        <v>2674</v>
      </c>
      <c r="C1840" s="1058" t="e">
        <f>VLOOKUP(B1832,'LƯƠNG KT'!$D$15:$R$94,12,0)</f>
        <v>#N/A</v>
      </c>
      <c r="D1840" s="1059" t="e">
        <f>VLOOKUP(B1832,'LƯƠNG KT'!$D$15:$R$94,14,0)</f>
        <v>#N/A</v>
      </c>
      <c r="E1840" s="1063"/>
      <c r="F1840" s="1061"/>
      <c r="G1840" s="1056" t="s">
        <v>374</v>
      </c>
      <c r="H1840" s="1057" t="s">
        <v>2674</v>
      </c>
      <c r="I1840" s="1058" t="e">
        <f>VLOOKUP(H1832,'LƯƠNG KT'!$D$15:$R$94,12,0)</f>
        <v>#N/A</v>
      </c>
      <c r="J1840" s="1059" t="e">
        <f>VLOOKUP(H1832,'LƯƠNG KT'!$D$15:$R$94,14,0)</f>
        <v>#N/A</v>
      </c>
      <c r="K1840" s="1085"/>
      <c r="L1840" s="1085"/>
      <c r="M1840" s="1085"/>
      <c r="N1840" s="1085"/>
      <c r="O1840" s="1085"/>
    </row>
    <row r="1841" spans="1:15" ht="15" customHeight="1">
      <c r="A1841" s="1056" t="s">
        <v>2675</v>
      </c>
      <c r="B1841" s="1057" t="s">
        <v>2676</v>
      </c>
      <c r="D1841" s="1064" t="e">
        <f>VLOOKUP(B1832,'LƯƠNG KT'!$D$15:$R$94,13,0)</f>
        <v>#N/A</v>
      </c>
      <c r="E1841" s="1065"/>
      <c r="F1841" s="1065"/>
      <c r="G1841" s="1056" t="s">
        <v>2675</v>
      </c>
      <c r="H1841" s="1057" t="s">
        <v>2676</v>
      </c>
      <c r="J1841" s="1064" t="e">
        <f>VLOOKUP(H1832,'LƯƠNG KT'!$D$15:$R$94,13,0)</f>
        <v>#N/A</v>
      </c>
    </row>
    <row r="1842" spans="1:15" ht="15" customHeight="1">
      <c r="A1842" s="1066"/>
      <c r="B1842" s="869"/>
      <c r="C1842" s="1058"/>
      <c r="D1842" s="1059"/>
      <c r="E1842" s="1063"/>
      <c r="F1842" s="1065"/>
      <c r="G1842" s="1066"/>
      <c r="H1842" s="869"/>
      <c r="I1842" s="1058"/>
      <c r="J1842" s="1059"/>
    </row>
    <row r="1843" spans="1:15" ht="15" customHeight="1">
      <c r="A1843" s="1052"/>
      <c r="B1843" s="869"/>
      <c r="C1843" s="1058"/>
      <c r="D1843" s="1059"/>
      <c r="E1843" s="1067"/>
      <c r="F1843" s="1051"/>
      <c r="G1843" s="1052"/>
      <c r="H1843" s="869"/>
      <c r="I1843" s="1058"/>
      <c r="J1843" s="1059"/>
    </row>
    <row r="1844" spans="1:15" ht="15" customHeight="1">
      <c r="A1844" s="1068" t="s">
        <v>383</v>
      </c>
      <c r="B1844" s="1069" t="s">
        <v>384</v>
      </c>
      <c r="C1844" s="1070"/>
      <c r="D1844" s="1071" t="e">
        <f>SUM(D1833:D1840)-D1843</f>
        <v>#N/A</v>
      </c>
      <c r="E1844" s="1072"/>
      <c r="F1844" s="1073"/>
      <c r="G1844" s="1068" t="s">
        <v>383</v>
      </c>
      <c r="H1844" s="1069" t="s">
        <v>384</v>
      </c>
      <c r="I1844" s="1070"/>
      <c r="J1844" s="1071" t="e">
        <f>SUM(J1833:J1840)-J1843</f>
        <v>#N/A</v>
      </c>
    </row>
    <row r="1845" spans="1:15" ht="12.6" customHeight="1">
      <c r="A1845" s="1074"/>
      <c r="B1845" s="1075"/>
      <c r="C1845" s="1076"/>
      <c r="D1845" s="1077"/>
      <c r="E1845" s="1077"/>
      <c r="F1845" s="1078"/>
      <c r="G1845" s="1074"/>
      <c r="H1845" s="1075"/>
      <c r="I1845" s="1076"/>
      <c r="J1845" s="1077"/>
    </row>
    <row r="1846" spans="1:15" ht="134.25" customHeight="1">
      <c r="A1846" s="1075"/>
      <c r="B1846" s="1075"/>
      <c r="C1846" s="1079"/>
      <c r="D1846" s="1080"/>
      <c r="E1846" s="1075"/>
      <c r="F1846" s="1081"/>
      <c r="G1846" s="1075"/>
      <c r="H1846" s="1075"/>
      <c r="I1846" s="1079"/>
      <c r="J1846" s="1080"/>
    </row>
    <row r="1847" spans="1:15" ht="15" customHeight="1">
      <c r="A1847" s="2242" t="str">
        <f>$K$2</f>
        <v>THÁNG 04/2025</v>
      </c>
      <c r="B1847" s="2242"/>
      <c r="C1847" s="2242"/>
      <c r="D1847" s="2242"/>
      <c r="E1847" s="1050"/>
      <c r="F1847" s="1051"/>
      <c r="G1847" s="2242" t="str">
        <f>$K$2</f>
        <v>THÁNG 04/2025</v>
      </c>
      <c r="H1847" s="2242"/>
      <c r="I1847" s="2242"/>
      <c r="J1847" s="2242"/>
      <c r="K1847" s="624"/>
    </row>
    <row r="1848" spans="1:15" ht="15" customHeight="1">
      <c r="A1848" s="1052" t="s">
        <v>356</v>
      </c>
      <c r="B1848" s="1053" t="s">
        <v>122</v>
      </c>
      <c r="C1848" s="869"/>
      <c r="D1848" s="1049"/>
      <c r="E1848" s="1054"/>
      <c r="F1848" s="1055"/>
      <c r="G1848" s="1052" t="s">
        <v>356</v>
      </c>
      <c r="H1848" s="1053"/>
      <c r="I1848" s="869"/>
      <c r="J1848" s="1049"/>
      <c r="K1848" s="1090" t="s">
        <v>502</v>
      </c>
      <c r="L1848" s="1090" t="e">
        <f>D1860+D1844+J1844+J1827+D1827+D1811+J1811</f>
        <v>#N/A</v>
      </c>
      <c r="M1848" s="1090"/>
      <c r="N1848" s="1090"/>
      <c r="O1848" s="1090"/>
    </row>
    <row r="1849" spans="1:15" ht="15" customHeight="1">
      <c r="A1849" s="1056" t="s">
        <v>359</v>
      </c>
      <c r="B1849" s="1057" t="s">
        <v>2662</v>
      </c>
      <c r="C1849" s="1058" t="e">
        <f>VLOOKUP(B1848,'LƯƠNG KT'!$D$15:$R$94,4,0)</f>
        <v>#N/A</v>
      </c>
      <c r="D1849" s="1059" t="e">
        <f>+C1849*25000</f>
        <v>#N/A</v>
      </c>
      <c r="E1849" s="1060"/>
      <c r="F1849" s="1060"/>
      <c r="G1849" s="1056" t="s">
        <v>359</v>
      </c>
      <c r="H1849" s="1057" t="s">
        <v>2662</v>
      </c>
      <c r="I1849" s="1058" t="e">
        <f>VLOOKUP(H1848,'LƯƠNG KT'!$D$15:$R$94,4,0)</f>
        <v>#N/A</v>
      </c>
      <c r="J1849" s="1059" t="e">
        <f>+I1849*25000</f>
        <v>#N/A</v>
      </c>
      <c r="K1849" s="1085"/>
      <c r="L1849" s="1085"/>
      <c r="M1849" s="1085"/>
      <c r="N1849" s="1085"/>
      <c r="O1849" s="1085"/>
    </row>
    <row r="1850" spans="1:15" ht="15" customHeight="1">
      <c r="A1850" s="1056" t="s">
        <v>361</v>
      </c>
      <c r="B1850" s="1057" t="s">
        <v>2663</v>
      </c>
      <c r="C1850" s="1058" t="e">
        <f>VLOOKUP(B1848,'LƯƠNG KT'!$D$15:$R$94,15,0)</f>
        <v>#N/A</v>
      </c>
      <c r="D1850" s="1059" t="e">
        <f>C1850*$L$4</f>
        <v>#N/A</v>
      </c>
      <c r="E1850" s="1061"/>
      <c r="F1850" s="1061"/>
      <c r="G1850" s="1056" t="s">
        <v>361</v>
      </c>
      <c r="H1850" s="1057" t="s">
        <v>2663</v>
      </c>
      <c r="I1850" s="1058" t="e">
        <f>VLOOKUP(H1848,'LƯƠNG KT'!$D$15:$R$94,15,0)</f>
        <v>#N/A</v>
      </c>
      <c r="J1850" s="1059" t="e">
        <f>I1850*$L$4</f>
        <v>#N/A</v>
      </c>
      <c r="K1850" s="1085"/>
      <c r="L1850" s="1085" t="e">
        <f>+L1848+L1793+M1692</f>
        <v>#N/A</v>
      </c>
      <c r="M1850" s="1085"/>
      <c r="N1850" s="1085"/>
      <c r="O1850" s="1085"/>
    </row>
    <row r="1851" spans="1:15" ht="15" customHeight="1">
      <c r="A1851" s="1056" t="s">
        <v>364</v>
      </c>
      <c r="B1851" s="1057" t="s">
        <v>2664</v>
      </c>
      <c r="C1851" s="1058" t="e">
        <f>VLOOKUP(B1848,'LƯƠNG KT'!$D$15:$R$94,16,0)</f>
        <v>#N/A</v>
      </c>
      <c r="D1851" s="1059" t="e">
        <f>C1851*$L$5</f>
        <v>#N/A</v>
      </c>
      <c r="E1851" s="1061"/>
      <c r="F1851" s="1061"/>
      <c r="G1851" s="1056" t="s">
        <v>364</v>
      </c>
      <c r="H1851" s="1057" t="s">
        <v>2664</v>
      </c>
      <c r="I1851" s="1058" t="e">
        <f>VLOOKUP(H1848,'LƯƠNG KT'!$D$15:$R$94,16,0)</f>
        <v>#N/A</v>
      </c>
      <c r="J1851" s="1059" t="e">
        <f>I1851*$L$5</f>
        <v>#N/A</v>
      </c>
      <c r="K1851" s="1085"/>
      <c r="L1851" s="1085"/>
      <c r="M1851" s="1085"/>
      <c r="N1851" s="1085"/>
      <c r="O1851" s="1085"/>
    </row>
    <row r="1852" spans="1:15" ht="15" customHeight="1">
      <c r="A1852" s="1056" t="s">
        <v>370</v>
      </c>
      <c r="B1852" s="1057" t="s">
        <v>2665</v>
      </c>
      <c r="C1852" s="1058" t="e">
        <f>VLOOKUP(B1848,'LƯƠNG KT'!$D$15:$R$94,24,0)</f>
        <v>#N/A</v>
      </c>
      <c r="D1852" s="1059" t="e">
        <f>+C1852*$L$6</f>
        <v>#N/A</v>
      </c>
      <c r="E1852" s="1061"/>
      <c r="F1852" s="1061"/>
      <c r="G1852" s="1056" t="s">
        <v>370</v>
      </c>
      <c r="H1852" s="1057" t="s">
        <v>2665</v>
      </c>
      <c r="I1852" s="1058" t="e">
        <f>VLOOKUP(H1848,'LƯƠNG KT'!$D$15:$R$94,24,0)</f>
        <v>#N/A</v>
      </c>
      <c r="J1852" s="1059" t="e">
        <f>+I1852*$L$6</f>
        <v>#N/A</v>
      </c>
      <c r="K1852" s="1085"/>
      <c r="L1852" s="1085"/>
      <c r="M1852" s="1085"/>
      <c r="N1852" s="1085"/>
      <c r="O1852" s="1085"/>
    </row>
    <row r="1853" spans="1:15" ht="15" customHeight="1">
      <c r="A1853" s="1056" t="s">
        <v>2666</v>
      </c>
      <c r="B1853" s="1057" t="s">
        <v>2667</v>
      </c>
      <c r="C1853" s="1058" t="e">
        <f>VLOOKUP(B1848,'LƯƠNG KT'!$D$15:$R$94,19,0)</f>
        <v>#N/A</v>
      </c>
      <c r="D1853" s="1059" t="e">
        <f>+C1853*$L$8</f>
        <v>#N/A</v>
      </c>
      <c r="E1853" s="1061"/>
      <c r="F1853" s="1061"/>
      <c r="G1853" s="1056" t="s">
        <v>2666</v>
      </c>
      <c r="H1853" s="1057" t="s">
        <v>2667</v>
      </c>
      <c r="I1853" s="1058" t="e">
        <f>VLOOKUP(H1848,'LƯƠNG KT'!$D$15:$R$94,19,0)</f>
        <v>#N/A</v>
      </c>
      <c r="J1853" s="1059" t="e">
        <f>+I1853*$L$8</f>
        <v>#N/A</v>
      </c>
      <c r="K1853" s="1085"/>
      <c r="L1853" s="1085"/>
      <c r="M1853" s="1085"/>
      <c r="N1853" s="1085"/>
      <c r="O1853" s="1085"/>
    </row>
    <row r="1854" spans="1:15" ht="15" customHeight="1">
      <c r="A1854" s="1056" t="s">
        <v>2668</v>
      </c>
      <c r="B1854" s="1062" t="s">
        <v>2669</v>
      </c>
      <c r="C1854" s="1058" t="e">
        <f>VLOOKUP(B1848,'LƯƠNG KT'!$D$15:$R$94,20,0)</f>
        <v>#N/A</v>
      </c>
      <c r="D1854" s="1059" t="e">
        <f>+C1854*$L$9</f>
        <v>#N/A</v>
      </c>
      <c r="E1854" s="1061"/>
      <c r="F1854" s="1061"/>
      <c r="G1854" s="1056" t="s">
        <v>2668</v>
      </c>
      <c r="H1854" s="1062" t="s">
        <v>2669</v>
      </c>
      <c r="I1854" s="1058" t="e">
        <f>VLOOKUP(H1848,'LƯƠNG KT'!$D$15:$R$94,20,0)</f>
        <v>#N/A</v>
      </c>
      <c r="J1854" s="1059" t="e">
        <f>+I1854*$L$9</f>
        <v>#N/A</v>
      </c>
      <c r="K1854" s="1085"/>
      <c r="L1854" s="1085"/>
      <c r="M1854" s="1085"/>
      <c r="N1854" s="1085"/>
      <c r="O1854" s="1085"/>
    </row>
    <row r="1855" spans="1:15" ht="15" customHeight="1">
      <c r="A1855" s="1056" t="s">
        <v>2671</v>
      </c>
      <c r="B1855" s="1057" t="s">
        <v>2672</v>
      </c>
      <c r="C1855" s="1058" t="e">
        <f>VLOOKUP(B1848,'LƯƠNG KT'!$D$15:$R$94,17,0)</f>
        <v>#N/A</v>
      </c>
      <c r="D1855" s="1059" t="e">
        <f>+C1855*$L$10</f>
        <v>#N/A</v>
      </c>
      <c r="E1855" s="1061"/>
      <c r="F1855" s="1061"/>
      <c r="G1855" s="1056" t="s">
        <v>2671</v>
      </c>
      <c r="H1855" s="1057" t="s">
        <v>2672</v>
      </c>
      <c r="I1855" s="1058" t="e">
        <f>VLOOKUP(H1848,'LƯƠNG KT'!$D$15:$R$94,17,0)</f>
        <v>#N/A</v>
      </c>
      <c r="J1855" s="1059" t="e">
        <f>+I1855*$L$10</f>
        <v>#N/A</v>
      </c>
      <c r="K1855" s="1085"/>
      <c r="L1855" s="1085"/>
      <c r="M1855" s="1085"/>
      <c r="N1855" s="1085"/>
      <c r="O1855" s="1085"/>
    </row>
    <row r="1856" spans="1:15" ht="15" customHeight="1">
      <c r="A1856" s="1056" t="s">
        <v>374</v>
      </c>
      <c r="B1856" s="1057" t="s">
        <v>2674</v>
      </c>
      <c r="C1856" s="1058" t="e">
        <f>VLOOKUP(B1848,'LƯƠNG KT'!$D$15:$R$94,12,0)</f>
        <v>#N/A</v>
      </c>
      <c r="D1856" s="1059" t="e">
        <f>VLOOKUP(B1848,'LƯƠNG KT'!$D$15:$R$94,14,0)</f>
        <v>#N/A</v>
      </c>
      <c r="E1856" s="1063"/>
      <c r="F1856" s="1061"/>
      <c r="G1856" s="1056" t="s">
        <v>374</v>
      </c>
      <c r="H1856" s="1057" t="s">
        <v>2674</v>
      </c>
      <c r="I1856" s="1058" t="e">
        <f>VLOOKUP(H1848,'LƯƠNG KT'!$D$15:$R$94,12,0)</f>
        <v>#N/A</v>
      </c>
      <c r="J1856" s="1059" t="e">
        <f>VLOOKUP(H1848,'LƯƠNG KT'!$D$15:$R$94,14,0)</f>
        <v>#N/A</v>
      </c>
      <c r="K1856" s="1085"/>
      <c r="L1856" s="1085"/>
      <c r="M1856" s="1085"/>
      <c r="N1856" s="1085"/>
      <c r="O1856" s="1085"/>
    </row>
    <row r="1857" spans="1:15" ht="15" customHeight="1">
      <c r="A1857" s="1056" t="s">
        <v>2675</v>
      </c>
      <c r="B1857" s="1057" t="s">
        <v>2676</v>
      </c>
      <c r="D1857" s="1064" t="e">
        <f>VLOOKUP(B1848,'LƯƠNG KT'!$D$15:$R$94,13,0)</f>
        <v>#N/A</v>
      </c>
      <c r="E1857" s="1065"/>
      <c r="F1857" s="1065"/>
      <c r="G1857" s="1056" t="s">
        <v>2675</v>
      </c>
      <c r="H1857" s="1057" t="s">
        <v>2676</v>
      </c>
      <c r="J1857" s="1064" t="e">
        <f>VLOOKUP(H1848,'LƯƠNG KT'!$D$15:$R$94,13,0)</f>
        <v>#N/A</v>
      </c>
    </row>
    <row r="1858" spans="1:15" ht="15" customHeight="1">
      <c r="A1858" s="1066"/>
      <c r="B1858" s="869"/>
      <c r="C1858" s="1058"/>
      <c r="D1858" s="1059"/>
      <c r="E1858" s="1063"/>
      <c r="F1858" s="1065"/>
      <c r="G1858" s="1066"/>
      <c r="H1858" s="869"/>
      <c r="I1858" s="1058"/>
      <c r="J1858" s="1059"/>
    </row>
    <row r="1859" spans="1:15" ht="15" customHeight="1">
      <c r="A1859" s="1052"/>
      <c r="B1859" s="869"/>
      <c r="C1859" s="1058"/>
      <c r="D1859" s="1059"/>
      <c r="E1859" s="1067"/>
      <c r="F1859" s="1051"/>
      <c r="G1859" s="1052"/>
      <c r="H1859" s="869"/>
      <c r="I1859" s="1058"/>
      <c r="J1859" s="1059"/>
    </row>
    <row r="1860" spans="1:15" ht="15" customHeight="1">
      <c r="A1860" s="1068" t="s">
        <v>383</v>
      </c>
      <c r="B1860" s="1069" t="s">
        <v>384</v>
      </c>
      <c r="C1860" s="1070"/>
      <c r="D1860" s="1071" t="e">
        <f>SUM(D1849:D1856)-D1859</f>
        <v>#N/A</v>
      </c>
      <c r="E1860" s="1072"/>
      <c r="F1860" s="1073"/>
      <c r="G1860" s="1068" t="s">
        <v>383</v>
      </c>
      <c r="H1860" s="1069" t="s">
        <v>384</v>
      </c>
      <c r="I1860" s="1070"/>
      <c r="J1860" s="1071"/>
    </row>
    <row r="1861" spans="1:15" ht="18.75" customHeight="1">
      <c r="A1861" s="1074"/>
      <c r="B1861" s="1075"/>
      <c r="C1861" s="1076"/>
      <c r="D1861" s="1077"/>
      <c r="E1861" s="1077"/>
      <c r="F1861" s="1078"/>
      <c r="G1861" s="1074"/>
      <c r="H1861" s="1075"/>
      <c r="I1861" s="1076"/>
      <c r="J1861" s="1077"/>
    </row>
    <row r="1862" spans="1:15" ht="18.75" customHeight="1">
      <c r="A1862" s="1075"/>
      <c r="B1862" s="1075"/>
      <c r="C1862" s="1079"/>
      <c r="D1862" s="1080"/>
      <c r="E1862" s="1075"/>
      <c r="F1862" s="1081"/>
      <c r="G1862" s="1075"/>
      <c r="H1862" s="1075"/>
      <c r="I1862" s="1079"/>
      <c r="J1862" s="1080"/>
    </row>
    <row r="1863" spans="1:15" ht="15" customHeight="1">
      <c r="A1863" s="2242"/>
      <c r="B1863" s="2242"/>
      <c r="C1863" s="2242"/>
      <c r="D1863" s="2242"/>
      <c r="E1863" s="1050"/>
      <c r="F1863" s="1051"/>
      <c r="G1863" s="2242"/>
      <c r="H1863" s="2242"/>
      <c r="I1863" s="2242"/>
      <c r="J1863" s="2242"/>
      <c r="K1863" s="624"/>
    </row>
    <row r="1864" spans="1:15" ht="15" customHeight="1">
      <c r="A1864" s="1052"/>
      <c r="B1864" s="1053"/>
      <c r="C1864" s="869"/>
      <c r="D1864" s="1049"/>
      <c r="E1864" s="1054"/>
      <c r="F1864" s="1055"/>
      <c r="G1864" s="1052"/>
      <c r="H1864" s="1053"/>
      <c r="I1864" s="869"/>
      <c r="J1864" s="1049"/>
      <c r="L1864" s="1088"/>
      <c r="M1864" s="1088"/>
      <c r="N1864" s="1088"/>
      <c r="O1864" s="1088"/>
    </row>
    <row r="1865" spans="1:15" ht="15" customHeight="1">
      <c r="A1865" s="1052"/>
      <c r="B1865" s="1089"/>
      <c r="C1865" s="1058"/>
      <c r="D1865" s="1059"/>
      <c r="E1865" s="1060"/>
      <c r="F1865" s="1060"/>
      <c r="G1865" s="1052"/>
      <c r="H1865" s="1089"/>
      <c r="I1865" s="1058"/>
      <c r="J1865" s="1059"/>
      <c r="K1865" s="1085"/>
      <c r="L1865" s="1085"/>
      <c r="M1865" s="1085"/>
      <c r="N1865" s="1085"/>
      <c r="O1865" s="1085"/>
    </row>
    <row r="1866" spans="1:15" ht="15" customHeight="1">
      <c r="A1866" s="1052"/>
      <c r="B1866" s="869"/>
      <c r="C1866" s="1058"/>
      <c r="D1866" s="1059"/>
      <c r="E1866" s="1061"/>
      <c r="F1866" s="1061"/>
      <c r="G1866" s="1052"/>
      <c r="H1866" s="869"/>
      <c r="I1866" s="1058"/>
      <c r="J1866" s="1059"/>
      <c r="K1866" s="1085"/>
      <c r="L1866" s="1085"/>
      <c r="M1866" s="1085"/>
      <c r="N1866" s="1085"/>
      <c r="O1866" s="1085"/>
    </row>
    <row r="1867" spans="1:15" ht="15" customHeight="1">
      <c r="A1867" s="1052"/>
      <c r="B1867" s="869"/>
      <c r="C1867" s="1058"/>
      <c r="D1867" s="1059"/>
      <c r="E1867" s="1061"/>
      <c r="F1867" s="1061"/>
      <c r="G1867" s="1052"/>
      <c r="H1867" s="869"/>
      <c r="I1867" s="1058"/>
      <c r="J1867" s="1059"/>
      <c r="K1867" s="1085"/>
      <c r="L1867" s="1085"/>
      <c r="M1867" s="1085"/>
      <c r="N1867" s="1085"/>
      <c r="O1867" s="1085"/>
    </row>
    <row r="1868" spans="1:15" ht="15" customHeight="1">
      <c r="A1868" s="1052"/>
      <c r="B1868" s="869"/>
      <c r="C1868" s="1058"/>
      <c r="D1868" s="1059"/>
      <c r="E1868" s="1061"/>
      <c r="F1868" s="1061"/>
      <c r="G1868" s="1052"/>
      <c r="H1868" s="869"/>
      <c r="I1868" s="1058"/>
      <c r="J1868" s="1059"/>
      <c r="K1868" s="1085"/>
      <c r="L1868" s="1085"/>
      <c r="M1868" s="1085"/>
      <c r="N1868" s="1085"/>
      <c r="O1868" s="1085"/>
    </row>
    <row r="1869" spans="1:15" ht="15" customHeight="1">
      <c r="A1869" s="1052"/>
      <c r="B1869" s="869"/>
      <c r="C1869" s="1058"/>
      <c r="D1869" s="1059"/>
      <c r="E1869" s="1061"/>
      <c r="F1869" s="1061"/>
      <c r="G1869" s="1052"/>
      <c r="H1869" s="869"/>
      <c r="I1869" s="1058"/>
      <c r="J1869" s="1059"/>
      <c r="K1869" s="1085"/>
      <c r="L1869" s="1085"/>
      <c r="M1869" s="1085"/>
      <c r="N1869" s="1085"/>
      <c r="O1869" s="1085"/>
    </row>
    <row r="1870" spans="1:15" ht="15" customHeight="1">
      <c r="A1870" s="1052"/>
      <c r="B1870" s="869"/>
      <c r="C1870" s="1058"/>
      <c r="D1870" s="1059"/>
      <c r="E1870" s="1063"/>
      <c r="F1870" s="1061"/>
      <c r="G1870" s="1052"/>
      <c r="H1870" s="869"/>
      <c r="I1870" s="1058"/>
      <c r="J1870" s="1059"/>
      <c r="K1870" s="1085"/>
      <c r="L1870" s="1085"/>
      <c r="M1870" s="1085"/>
      <c r="N1870" s="1085"/>
      <c r="O1870" s="1085"/>
    </row>
    <row r="1871" spans="1:15" ht="15" customHeight="1">
      <c r="A1871" s="1059"/>
      <c r="B1871" s="869"/>
      <c r="C1871" s="1058"/>
      <c r="D1871" s="1059"/>
      <c r="E1871" s="1065"/>
      <c r="F1871" s="1065"/>
      <c r="G1871" s="1059"/>
      <c r="H1871" s="869"/>
      <c r="I1871" s="1058"/>
      <c r="J1871" s="1059"/>
    </row>
    <row r="1872" spans="1:15" ht="15" customHeight="1">
      <c r="A1872" s="1066"/>
      <c r="B1872" s="869"/>
      <c r="C1872" s="1058"/>
      <c r="D1872" s="1059"/>
      <c r="E1872" s="1063"/>
      <c r="F1872" s="1065"/>
      <c r="G1872" s="1066"/>
      <c r="H1872" s="869"/>
      <c r="I1872" s="1058"/>
      <c r="J1872" s="1059"/>
    </row>
    <row r="1873" spans="1:15" ht="15" customHeight="1">
      <c r="A1873" s="1052"/>
      <c r="B1873" s="869"/>
      <c r="C1873" s="1058"/>
      <c r="D1873" s="1059"/>
      <c r="E1873" s="1067"/>
      <c r="F1873" s="1051"/>
      <c r="G1873" s="1052"/>
      <c r="H1873" s="869"/>
      <c r="I1873" s="1058"/>
      <c r="J1873" s="1059"/>
    </row>
    <row r="1874" spans="1:15" ht="15" customHeight="1">
      <c r="A1874" s="1068"/>
      <c r="B1874" s="1069"/>
      <c r="C1874" s="1070"/>
      <c r="D1874" s="1071"/>
      <c r="E1874" s="1072"/>
      <c r="F1874" s="1073"/>
      <c r="G1874" s="1068"/>
      <c r="H1874" s="1069"/>
      <c r="I1874" s="1070"/>
      <c r="J1874" s="1071"/>
    </row>
    <row r="1875" spans="1:15" ht="18.75" customHeight="1">
      <c r="A1875" s="1074"/>
      <c r="B1875" s="1075"/>
      <c r="C1875" s="1076"/>
      <c r="D1875" s="1077"/>
      <c r="E1875" s="1077"/>
      <c r="F1875" s="1078"/>
      <c r="G1875" s="1074"/>
      <c r="H1875" s="1075"/>
      <c r="I1875" s="1076"/>
      <c r="J1875" s="1077"/>
    </row>
    <row r="1876" spans="1:15" ht="18.75" customHeight="1">
      <c r="A1876" s="1075"/>
      <c r="B1876" s="1075"/>
      <c r="C1876" s="1079"/>
      <c r="D1876" s="1080"/>
      <c r="E1876" s="1075"/>
      <c r="F1876" s="1081"/>
      <c r="G1876" s="1075"/>
      <c r="H1876" s="1075"/>
      <c r="I1876" s="1079"/>
      <c r="J1876" s="1080"/>
    </row>
    <row r="1877" spans="1:15" ht="15" customHeight="1">
      <c r="A1877" s="2242"/>
      <c r="B1877" s="2242"/>
      <c r="C1877" s="2242"/>
      <c r="D1877" s="2242"/>
      <c r="E1877" s="1050"/>
      <c r="F1877" s="1051"/>
      <c r="G1877" s="2242"/>
      <c r="H1877" s="2242"/>
      <c r="I1877" s="2242"/>
      <c r="J1877" s="2242"/>
      <c r="K1877" s="624"/>
    </row>
    <row r="1878" spans="1:15" ht="15" customHeight="1">
      <c r="A1878" s="1052"/>
      <c r="B1878" s="1053"/>
      <c r="C1878" s="869"/>
      <c r="D1878" s="1049"/>
      <c r="E1878" s="1054"/>
      <c r="F1878" s="1055"/>
      <c r="G1878" s="1052"/>
      <c r="H1878" s="1053"/>
      <c r="I1878" s="869"/>
      <c r="J1878" s="1049"/>
      <c r="L1878" s="1088"/>
      <c r="M1878" s="1088"/>
      <c r="N1878" s="1088"/>
      <c r="O1878" s="1088"/>
    </row>
    <row r="1879" spans="1:15" ht="15" customHeight="1">
      <c r="A1879" s="1052"/>
      <c r="B1879" s="1089"/>
      <c r="C1879" s="1058"/>
      <c r="D1879" s="1059"/>
      <c r="E1879" s="1060"/>
      <c r="F1879" s="1060"/>
      <c r="G1879" s="1052"/>
      <c r="H1879" s="1089"/>
      <c r="I1879" s="1058"/>
      <c r="J1879" s="1059"/>
      <c r="K1879" s="1085"/>
      <c r="L1879" s="1085"/>
      <c r="M1879" s="1085"/>
      <c r="N1879" s="1085"/>
      <c r="O1879" s="1085"/>
    </row>
    <row r="1880" spans="1:15" ht="15" customHeight="1">
      <c r="A1880" s="1052"/>
      <c r="B1880" s="869"/>
      <c r="C1880" s="1058"/>
      <c r="D1880" s="1059"/>
      <c r="E1880" s="1061"/>
      <c r="F1880" s="1061"/>
      <c r="G1880" s="1052"/>
      <c r="H1880" s="869"/>
      <c r="I1880" s="1058"/>
      <c r="J1880" s="1059"/>
      <c r="K1880" s="1085"/>
      <c r="L1880" s="1085"/>
      <c r="M1880" s="1085"/>
      <c r="N1880" s="1085"/>
      <c r="O1880" s="1085"/>
    </row>
    <row r="1881" spans="1:15" ht="15" customHeight="1">
      <c r="A1881" s="1052"/>
      <c r="B1881" s="869"/>
      <c r="C1881" s="1058"/>
      <c r="D1881" s="1059"/>
      <c r="E1881" s="1061"/>
      <c r="F1881" s="1061"/>
      <c r="G1881" s="1052"/>
      <c r="H1881" s="869"/>
      <c r="I1881" s="1058"/>
      <c r="J1881" s="1059"/>
      <c r="K1881" s="1085"/>
      <c r="L1881" s="1085"/>
      <c r="M1881" s="1085"/>
      <c r="N1881" s="1085"/>
      <c r="O1881" s="1085"/>
    </row>
    <row r="1882" spans="1:15" ht="15" customHeight="1">
      <c r="A1882" s="1052"/>
      <c r="B1882" s="869"/>
      <c r="C1882" s="1058"/>
      <c r="D1882" s="1059"/>
      <c r="E1882" s="1061"/>
      <c r="F1882" s="1061"/>
      <c r="G1882" s="1052"/>
      <c r="H1882" s="869"/>
      <c r="I1882" s="1058"/>
      <c r="J1882" s="1059"/>
      <c r="K1882" s="1085"/>
      <c r="L1882" s="1085"/>
      <c r="M1882" s="1085"/>
      <c r="N1882" s="1085"/>
      <c r="O1882" s="1085"/>
    </row>
    <row r="1883" spans="1:15" ht="15" customHeight="1">
      <c r="A1883" s="1052"/>
      <c r="B1883" s="869"/>
      <c r="C1883" s="1058"/>
      <c r="D1883" s="1059"/>
      <c r="E1883" s="1061"/>
      <c r="F1883" s="1061"/>
      <c r="G1883" s="1052"/>
      <c r="H1883" s="869"/>
      <c r="I1883" s="1058"/>
      <c r="J1883" s="1059"/>
      <c r="K1883" s="1085"/>
      <c r="L1883" s="1085"/>
      <c r="M1883" s="1085"/>
      <c r="N1883" s="1085"/>
      <c r="O1883" s="1085"/>
    </row>
    <row r="1884" spans="1:15" ht="15" customHeight="1">
      <c r="A1884" s="1052"/>
      <c r="B1884" s="869"/>
      <c r="C1884" s="1058"/>
      <c r="D1884" s="1059"/>
      <c r="E1884" s="1063"/>
      <c r="F1884" s="1061"/>
      <c r="G1884" s="1052"/>
      <c r="H1884" s="869"/>
      <c r="I1884" s="1058"/>
      <c r="J1884" s="1059"/>
      <c r="K1884" s="1085"/>
      <c r="L1884" s="1085"/>
      <c r="M1884" s="1085"/>
      <c r="N1884" s="1085"/>
      <c r="O1884" s="1085"/>
    </row>
    <row r="1885" spans="1:15" ht="15" customHeight="1">
      <c r="A1885" s="1059"/>
      <c r="B1885" s="869"/>
      <c r="C1885" s="1058"/>
      <c r="D1885" s="1059"/>
      <c r="E1885" s="1065"/>
      <c r="F1885" s="1065"/>
      <c r="G1885" s="1059"/>
      <c r="H1885" s="869"/>
      <c r="I1885" s="1058"/>
      <c r="J1885" s="1059"/>
    </row>
    <row r="1886" spans="1:15" ht="15" customHeight="1">
      <c r="A1886" s="1066"/>
      <c r="B1886" s="869"/>
      <c r="C1886" s="1058"/>
      <c r="D1886" s="1059"/>
      <c r="E1886" s="1063"/>
      <c r="F1886" s="1065"/>
      <c r="G1886" s="1066"/>
      <c r="H1886" s="869"/>
      <c r="I1886" s="1058"/>
      <c r="J1886" s="1059"/>
    </row>
    <row r="1887" spans="1:15" ht="15" customHeight="1">
      <c r="A1887" s="1052"/>
      <c r="B1887" s="869"/>
      <c r="C1887" s="1058"/>
      <c r="D1887" s="1059"/>
      <c r="E1887" s="1067"/>
      <c r="F1887" s="1051"/>
      <c r="G1887" s="1052"/>
      <c r="H1887" s="869"/>
      <c r="I1887" s="1058"/>
      <c r="J1887" s="1059"/>
    </row>
    <row r="1888" spans="1:15" ht="15" customHeight="1">
      <c r="A1888" s="1068"/>
      <c r="B1888" s="1069"/>
      <c r="C1888" s="1070"/>
      <c r="D1888" s="1071"/>
      <c r="E1888" s="1072"/>
      <c r="F1888" s="1073"/>
      <c r="G1888" s="1068"/>
      <c r="H1888" s="1069"/>
      <c r="I1888" s="1070"/>
      <c r="J1888" s="1071"/>
    </row>
    <row r="1889" spans="1:15" ht="15.75" customHeight="1">
      <c r="A1889" s="1074"/>
      <c r="B1889" s="1075"/>
      <c r="C1889" s="1076"/>
      <c r="D1889" s="1077"/>
      <c r="E1889" s="1077"/>
      <c r="F1889" s="1078"/>
      <c r="G1889" s="1074"/>
      <c r="H1889" s="1075"/>
      <c r="I1889" s="1076"/>
      <c r="J1889" s="1077"/>
    </row>
    <row r="1890" spans="1:15" ht="137.25" customHeight="1"/>
    <row r="1891" spans="1:15" ht="12" customHeight="1">
      <c r="A1891" s="2244" t="s">
        <v>503</v>
      </c>
      <c r="B1891" s="2244"/>
      <c r="C1891" s="2244"/>
      <c r="D1891" s="2244"/>
      <c r="E1891" s="2244"/>
      <c r="F1891" s="2244"/>
      <c r="G1891" s="2244"/>
      <c r="H1891" s="2244"/>
      <c r="I1891" s="2244"/>
      <c r="J1891" s="2244"/>
    </row>
    <row r="1892" spans="1:15" ht="15" customHeight="1">
      <c r="A1892" s="2242" t="str">
        <f>$K$2</f>
        <v>THÁNG 04/2025</v>
      </c>
      <c r="B1892" s="2242"/>
      <c r="C1892" s="2242"/>
      <c r="D1892" s="2242"/>
      <c r="E1892" s="1050"/>
      <c r="F1892" s="1051"/>
      <c r="G1892" s="2242" t="str">
        <f>$K$2</f>
        <v>THÁNG 04/2025</v>
      </c>
      <c r="H1892" s="2242"/>
      <c r="I1892" s="2242"/>
      <c r="J1892" s="2242"/>
      <c r="K1892" s="624"/>
    </row>
    <row r="1893" spans="1:15" ht="15" customHeight="1">
      <c r="A1893" s="1052" t="s">
        <v>356</v>
      </c>
      <c r="B1893" s="1053" t="s">
        <v>124</v>
      </c>
      <c r="C1893" s="869"/>
      <c r="D1893" s="1049"/>
      <c r="E1893" s="1054"/>
      <c r="F1893" s="1055"/>
      <c r="G1893" s="1052" t="s">
        <v>356</v>
      </c>
      <c r="H1893" s="1053" t="s">
        <v>125</v>
      </c>
      <c r="I1893" s="869"/>
      <c r="J1893" s="1049"/>
      <c r="L1893" s="1088"/>
      <c r="M1893" s="1088"/>
      <c r="N1893" s="1088"/>
      <c r="O1893" s="1088"/>
    </row>
    <row r="1894" spans="1:15" ht="15" customHeight="1">
      <c r="A1894" s="1056" t="s">
        <v>359</v>
      </c>
      <c r="B1894" s="1057" t="s">
        <v>2662</v>
      </c>
      <c r="C1894" s="1058" t="e">
        <f>VLOOKUP(B1893,'LƯƠNG KT'!$D$15:$R$94,4,0)</f>
        <v>#N/A</v>
      </c>
      <c r="D1894" s="1059" t="e">
        <f>+C1894*25000</f>
        <v>#N/A</v>
      </c>
      <c r="E1894" s="1060"/>
      <c r="F1894" s="1060"/>
      <c r="G1894" s="1056" t="s">
        <v>359</v>
      </c>
      <c r="H1894" s="1057" t="s">
        <v>2662</v>
      </c>
      <c r="I1894" s="1058" t="e">
        <f>VLOOKUP(H1893,'LƯƠNG KT'!$D$15:$R$94,4,0)</f>
        <v>#N/A</v>
      </c>
      <c r="J1894" s="1059" t="e">
        <f>+I1894*25000</f>
        <v>#N/A</v>
      </c>
      <c r="K1894" s="1084"/>
      <c r="L1894" s="1085"/>
      <c r="M1894" s="1085"/>
      <c r="N1894" s="1085"/>
      <c r="O1894" s="1085"/>
    </row>
    <row r="1895" spans="1:15" ht="15" customHeight="1">
      <c r="A1895" s="1056" t="s">
        <v>361</v>
      </c>
      <c r="B1895" s="1057" t="s">
        <v>2663</v>
      </c>
      <c r="C1895" s="1058" t="e">
        <f>VLOOKUP(B1893,'LƯƠNG KT'!$D$15:$R$94,15,0)</f>
        <v>#N/A</v>
      </c>
      <c r="D1895" s="1059" t="e">
        <f>C1895*$L$4</f>
        <v>#N/A</v>
      </c>
      <c r="E1895" s="1061"/>
      <c r="F1895" s="1061"/>
      <c r="G1895" s="1056" t="s">
        <v>361</v>
      </c>
      <c r="H1895" s="1057" t="s">
        <v>2663</v>
      </c>
      <c r="I1895" s="1058" t="e">
        <f>VLOOKUP(H1893,'LƯƠNG KT'!$D$15:$R$94,15,0)</f>
        <v>#N/A</v>
      </c>
      <c r="J1895" s="1059" t="e">
        <f>I1895*$L$4</f>
        <v>#N/A</v>
      </c>
      <c r="K1895" s="1084"/>
      <c r="L1895" s="1085"/>
      <c r="M1895" s="1085"/>
      <c r="N1895" s="1085"/>
      <c r="O1895" s="1085"/>
    </row>
    <row r="1896" spans="1:15" ht="15" customHeight="1">
      <c r="A1896" s="1056" t="s">
        <v>364</v>
      </c>
      <c r="B1896" s="1057" t="s">
        <v>2664</v>
      </c>
      <c r="C1896" s="1058" t="e">
        <f>VLOOKUP(B1893,'LƯƠNG KT'!$D$15:$R$94,16,0)</f>
        <v>#N/A</v>
      </c>
      <c r="D1896" s="1059" t="e">
        <f>C1896*$L$5</f>
        <v>#N/A</v>
      </c>
      <c r="E1896" s="1061"/>
      <c r="F1896" s="1061"/>
      <c r="G1896" s="1056" t="s">
        <v>364</v>
      </c>
      <c r="H1896" s="1057" t="s">
        <v>2664</v>
      </c>
      <c r="I1896" s="1058" t="e">
        <f>VLOOKUP(H1893,'LƯƠNG KT'!$D$15:$R$94,16,0)</f>
        <v>#N/A</v>
      </c>
      <c r="J1896" s="1059" t="e">
        <f>I1896*$L$5</f>
        <v>#N/A</v>
      </c>
      <c r="K1896" s="1084"/>
      <c r="L1896" s="1085"/>
      <c r="M1896" s="1085"/>
      <c r="N1896" s="1085"/>
      <c r="O1896" s="1085"/>
    </row>
    <row r="1897" spans="1:15" ht="15" customHeight="1">
      <c r="A1897" s="1056" t="s">
        <v>370</v>
      </c>
      <c r="B1897" s="1057" t="s">
        <v>2665</v>
      </c>
      <c r="C1897" s="1058" t="e">
        <f>VLOOKUP(B1893,'LƯƠNG KT'!$D$15:$R$94,24,0)</f>
        <v>#N/A</v>
      </c>
      <c r="D1897" s="1059" t="e">
        <f>+C1897*$L$6</f>
        <v>#N/A</v>
      </c>
      <c r="E1897" s="1061"/>
      <c r="F1897" s="1061"/>
      <c r="G1897" s="1056" t="s">
        <v>370</v>
      </c>
      <c r="H1897" s="1057" t="s">
        <v>2665</v>
      </c>
      <c r="I1897" s="1058" t="e">
        <f>VLOOKUP(H1893,'LƯƠNG KT'!$D$15:$R$94,24,0)</f>
        <v>#N/A</v>
      </c>
      <c r="J1897" s="1059" t="e">
        <f>+I1897*$L$6</f>
        <v>#N/A</v>
      </c>
      <c r="K1897" s="1085"/>
      <c r="L1897" s="1085"/>
      <c r="M1897" s="1085"/>
      <c r="N1897" s="1085"/>
      <c r="O1897" s="1085"/>
    </row>
    <row r="1898" spans="1:15" ht="15" customHeight="1">
      <c r="A1898" s="1056" t="s">
        <v>2666</v>
      </c>
      <c r="B1898" s="1057" t="s">
        <v>2667</v>
      </c>
      <c r="C1898" s="1058" t="e">
        <f>VLOOKUP(B1893,'LƯƠNG KT'!$D$15:$R$94,19,0)</f>
        <v>#N/A</v>
      </c>
      <c r="D1898" s="1059" t="e">
        <f>+C1898*$L$8</f>
        <v>#N/A</v>
      </c>
      <c r="E1898" s="1061"/>
      <c r="F1898" s="1061"/>
      <c r="G1898" s="1056" t="s">
        <v>2666</v>
      </c>
      <c r="H1898" s="1057" t="s">
        <v>2667</v>
      </c>
      <c r="I1898" s="1058" t="e">
        <f>VLOOKUP(H1893,'LƯƠNG KT'!$D$15:$R$94,19,0)</f>
        <v>#N/A</v>
      </c>
      <c r="J1898" s="1059" t="e">
        <f>+I1898*$L$8</f>
        <v>#N/A</v>
      </c>
      <c r="K1898" s="1085"/>
      <c r="L1898" s="1085"/>
      <c r="M1898" s="1085"/>
      <c r="N1898" s="1085"/>
      <c r="O1898" s="1085"/>
    </row>
    <row r="1899" spans="1:15" ht="15" customHeight="1">
      <c r="A1899" s="1056" t="s">
        <v>2668</v>
      </c>
      <c r="B1899" s="1062" t="s">
        <v>2669</v>
      </c>
      <c r="C1899" s="1058" t="e">
        <f>VLOOKUP(B1893,'LƯƠNG KT'!$D$15:$R$94,20,0)</f>
        <v>#N/A</v>
      </c>
      <c r="D1899" s="1059" t="e">
        <f>+C1899*$L$9</f>
        <v>#N/A</v>
      </c>
      <c r="E1899" s="1061"/>
      <c r="F1899" s="1061"/>
      <c r="G1899" s="1056" t="s">
        <v>2668</v>
      </c>
      <c r="H1899" s="1062" t="s">
        <v>2669</v>
      </c>
      <c r="I1899" s="1058" t="e">
        <f>VLOOKUP(H1893,'LƯƠNG KT'!$D$15:$R$94,20,0)</f>
        <v>#N/A</v>
      </c>
      <c r="J1899" s="1059" t="e">
        <f>+I1899*$L$9</f>
        <v>#N/A</v>
      </c>
      <c r="K1899" s="1085"/>
      <c r="L1899" s="1085"/>
      <c r="M1899" s="1085"/>
      <c r="N1899" s="1085"/>
      <c r="O1899" s="1085"/>
    </row>
    <row r="1900" spans="1:15" ht="15" customHeight="1">
      <c r="A1900" s="1056" t="s">
        <v>2671</v>
      </c>
      <c r="B1900" s="1057" t="s">
        <v>2672</v>
      </c>
      <c r="C1900" s="1058" t="e">
        <f>VLOOKUP(B1893,'LƯƠNG KT'!$D$15:$R$94,17,0)</f>
        <v>#N/A</v>
      </c>
      <c r="D1900" s="1059" t="e">
        <f>+C1900*$L$10</f>
        <v>#N/A</v>
      </c>
      <c r="E1900" s="1061"/>
      <c r="F1900" s="1061"/>
      <c r="G1900" s="1056" t="s">
        <v>2671</v>
      </c>
      <c r="H1900" s="1057" t="s">
        <v>2672</v>
      </c>
      <c r="I1900" s="1058" t="e">
        <f>VLOOKUP(H1893,'LƯƠNG KT'!$D$15:$R$94,17,0)</f>
        <v>#N/A</v>
      </c>
      <c r="J1900" s="1059" t="e">
        <f>+I1900*$L$10</f>
        <v>#N/A</v>
      </c>
      <c r="K1900" s="1085"/>
      <c r="L1900" s="1085"/>
      <c r="M1900" s="1085"/>
      <c r="N1900" s="1085"/>
      <c r="O1900" s="1085"/>
    </row>
    <row r="1901" spans="1:15" ht="15" customHeight="1">
      <c r="A1901" s="1056" t="s">
        <v>374</v>
      </c>
      <c r="B1901" s="1057" t="s">
        <v>2674</v>
      </c>
      <c r="C1901" s="1058" t="e">
        <f>VLOOKUP(B1893,'LƯƠNG KT'!$D$15:$R$94,12,0)</f>
        <v>#N/A</v>
      </c>
      <c r="D1901" s="1059" t="e">
        <f>VLOOKUP(B1893,'LƯƠNG KT'!$D$15:$R$94,14,0)</f>
        <v>#N/A</v>
      </c>
      <c r="E1901" s="1063"/>
      <c r="F1901" s="1061"/>
      <c r="G1901" s="1056" t="s">
        <v>374</v>
      </c>
      <c r="H1901" s="1057" t="s">
        <v>2674</v>
      </c>
      <c r="I1901" s="1058" t="e">
        <f>VLOOKUP(H1893,'LƯƠNG KT'!$D$15:$R$94,12,0)</f>
        <v>#N/A</v>
      </c>
      <c r="J1901" s="1059" t="e">
        <f>VLOOKUP(H1893,'LƯƠNG KT'!$D$15:$R$94,14,0)</f>
        <v>#N/A</v>
      </c>
      <c r="K1901" s="1085"/>
      <c r="L1901" s="1085"/>
      <c r="M1901" s="1085"/>
      <c r="N1901" s="1085"/>
      <c r="O1901" s="1085"/>
    </row>
    <row r="1902" spans="1:15" ht="15" customHeight="1">
      <c r="A1902" s="1056" t="s">
        <v>2675</v>
      </c>
      <c r="B1902" s="1057" t="s">
        <v>2676</v>
      </c>
      <c r="D1902" s="1064" t="e">
        <f>VLOOKUP(B1893,'LƯƠNG KT'!$D$15:$R$94,13,0)</f>
        <v>#N/A</v>
      </c>
      <c r="E1902" s="1065"/>
      <c r="F1902" s="1065"/>
      <c r="G1902" s="1056" t="s">
        <v>2675</v>
      </c>
      <c r="H1902" s="1057" t="s">
        <v>2676</v>
      </c>
      <c r="J1902" s="1064" t="e">
        <f>VLOOKUP(H1893,'LƯƠNG KT'!$D$15:$R$94,13,0)</f>
        <v>#N/A</v>
      </c>
    </row>
    <row r="1903" spans="1:15" ht="15" customHeight="1">
      <c r="A1903" s="1066"/>
      <c r="B1903" s="869"/>
      <c r="C1903" s="1058"/>
      <c r="D1903" s="1059"/>
      <c r="E1903" s="1063"/>
      <c r="F1903" s="1065"/>
      <c r="G1903" s="1066"/>
      <c r="H1903" s="869"/>
      <c r="I1903" s="1058"/>
      <c r="J1903" s="1059"/>
    </row>
    <row r="1904" spans="1:15" ht="15" customHeight="1">
      <c r="A1904" s="1052"/>
      <c r="B1904" s="869"/>
      <c r="C1904" s="1058"/>
      <c r="D1904" s="1059"/>
      <c r="E1904" s="1067"/>
      <c r="F1904" s="1051"/>
      <c r="G1904" s="1052"/>
      <c r="H1904" s="869"/>
      <c r="I1904" s="1058"/>
      <c r="J1904" s="1059"/>
    </row>
    <row r="1905" spans="1:15" ht="15" customHeight="1">
      <c r="A1905" s="1068" t="s">
        <v>383</v>
      </c>
      <c r="B1905" s="1069" t="s">
        <v>384</v>
      </c>
      <c r="C1905" s="1070"/>
      <c r="D1905" s="1071" t="e">
        <f>SUM(D1894:D1901)-D1904</f>
        <v>#N/A</v>
      </c>
      <c r="E1905" s="1072"/>
      <c r="F1905" s="1073"/>
      <c r="G1905" s="1068" t="s">
        <v>383</v>
      </c>
      <c r="H1905" s="1069" t="s">
        <v>384</v>
      </c>
      <c r="I1905" s="1070"/>
      <c r="J1905" s="1071" t="e">
        <f>SUM(J1894:J1901)-J1904</f>
        <v>#N/A</v>
      </c>
    </row>
    <row r="1906" spans="1:15" ht="12.6" customHeight="1">
      <c r="A1906" s="1074"/>
      <c r="B1906" s="1075"/>
      <c r="C1906" s="1076"/>
      <c r="D1906" s="1077"/>
      <c r="E1906" s="1077"/>
      <c r="F1906" s="1078"/>
      <c r="G1906" s="1074"/>
      <c r="H1906" s="1075"/>
      <c r="I1906" s="1076"/>
      <c r="J1906" s="1077"/>
    </row>
    <row r="1907" spans="1:15" ht="12.6" customHeight="1">
      <c r="A1907" s="1075"/>
      <c r="B1907" s="1075"/>
      <c r="C1907" s="1079"/>
      <c r="D1907" s="1080"/>
      <c r="E1907" s="1075"/>
      <c r="F1907" s="1081"/>
      <c r="G1907" s="1075"/>
      <c r="H1907" s="1075"/>
      <c r="I1907" s="1079"/>
      <c r="J1907" s="1080"/>
    </row>
    <row r="1908" spans="1:15" ht="15" customHeight="1">
      <c r="A1908" s="2242" t="str">
        <f>$K$2</f>
        <v>THÁNG 04/2025</v>
      </c>
      <c r="B1908" s="2242"/>
      <c r="C1908" s="2242"/>
      <c r="D1908" s="2242"/>
      <c r="E1908" s="1050"/>
      <c r="F1908" s="1051"/>
      <c r="G1908" s="2242" t="str">
        <f>$K$2</f>
        <v>THÁNG 04/2025</v>
      </c>
      <c r="H1908" s="2242"/>
      <c r="I1908" s="2242"/>
      <c r="J1908" s="2242"/>
      <c r="K1908" s="624"/>
    </row>
    <row r="1909" spans="1:15" ht="15" customHeight="1">
      <c r="A1909" s="1052" t="s">
        <v>356</v>
      </c>
      <c r="B1909" s="1053" t="s">
        <v>126</v>
      </c>
      <c r="C1909" s="869"/>
      <c r="D1909" s="1049"/>
      <c r="E1909" s="1054"/>
      <c r="F1909" s="1055"/>
      <c r="G1909" s="1052" t="s">
        <v>356</v>
      </c>
      <c r="H1909" s="1053" t="s">
        <v>127</v>
      </c>
      <c r="I1909" s="869"/>
      <c r="J1909" s="1049"/>
      <c r="L1909" s="1088"/>
      <c r="M1909" s="1088"/>
      <c r="N1909" s="1088"/>
      <c r="O1909" s="1088"/>
    </row>
    <row r="1910" spans="1:15" ht="15" customHeight="1">
      <c r="A1910" s="1056" t="s">
        <v>359</v>
      </c>
      <c r="B1910" s="1057" t="s">
        <v>2662</v>
      </c>
      <c r="C1910" s="1058" t="e">
        <f>VLOOKUP(B1909,'LƯƠNG KT'!$D$15:$R$94,4,0)</f>
        <v>#N/A</v>
      </c>
      <c r="D1910" s="1059" t="e">
        <f>+C1910*25000</f>
        <v>#N/A</v>
      </c>
      <c r="E1910" s="1060"/>
      <c r="F1910" s="1060"/>
      <c r="G1910" s="1056" t="s">
        <v>359</v>
      </c>
      <c r="H1910" s="1057" t="s">
        <v>2662</v>
      </c>
      <c r="I1910" s="1058" t="e">
        <f>VLOOKUP(H1909,'LƯƠNG KT'!$D$15:$R$94,4,0)</f>
        <v>#N/A</v>
      </c>
      <c r="J1910" s="1059" t="e">
        <f>+I1910*25000</f>
        <v>#N/A</v>
      </c>
      <c r="K1910" s="1085"/>
      <c r="L1910" s="1085"/>
      <c r="M1910" s="1085"/>
      <c r="N1910" s="1085"/>
      <c r="O1910" s="1085"/>
    </row>
    <row r="1911" spans="1:15" ht="15" customHeight="1">
      <c r="A1911" s="1056" t="s">
        <v>361</v>
      </c>
      <c r="B1911" s="1057" t="s">
        <v>2663</v>
      </c>
      <c r="C1911" s="1058" t="e">
        <f>VLOOKUP(B1909,'LƯƠNG KT'!$D$15:$R$94,15,0)</f>
        <v>#N/A</v>
      </c>
      <c r="D1911" s="1059" t="e">
        <f>C1911*$L$4</f>
        <v>#N/A</v>
      </c>
      <c r="E1911" s="1061"/>
      <c r="F1911" s="1061"/>
      <c r="G1911" s="1056" t="s">
        <v>361</v>
      </c>
      <c r="H1911" s="1057" t="s">
        <v>2663</v>
      </c>
      <c r="I1911" s="1058" t="e">
        <f>VLOOKUP(H1909,'LƯƠNG KT'!$D$15:$R$94,15,0)</f>
        <v>#N/A</v>
      </c>
      <c r="J1911" s="1059" t="e">
        <f>I1911*$L$4</f>
        <v>#N/A</v>
      </c>
      <c r="K1911" s="1085"/>
      <c r="L1911" s="1085"/>
      <c r="M1911" s="1085"/>
      <c r="N1911" s="1085"/>
      <c r="O1911" s="1085"/>
    </row>
    <row r="1912" spans="1:15" ht="15" customHeight="1">
      <c r="A1912" s="1056" t="s">
        <v>364</v>
      </c>
      <c r="B1912" s="1057" t="s">
        <v>2664</v>
      </c>
      <c r="C1912" s="1058" t="e">
        <f>VLOOKUP(B1909,'LƯƠNG KT'!$D$15:$R$94,16,0)</f>
        <v>#N/A</v>
      </c>
      <c r="D1912" s="1059" t="e">
        <f>C1912*$L$5</f>
        <v>#N/A</v>
      </c>
      <c r="E1912" s="1061"/>
      <c r="F1912" s="1061"/>
      <c r="G1912" s="1056" t="s">
        <v>364</v>
      </c>
      <c r="H1912" s="1057" t="s">
        <v>2664</v>
      </c>
      <c r="I1912" s="1058" t="e">
        <f>VLOOKUP(H1909,'LƯƠNG KT'!$D$15:$R$94,16,0)</f>
        <v>#N/A</v>
      </c>
      <c r="J1912" s="1059" t="e">
        <f>I1912*$L$5</f>
        <v>#N/A</v>
      </c>
      <c r="K1912" s="1085"/>
      <c r="L1912" s="1085"/>
      <c r="M1912" s="1085"/>
      <c r="N1912" s="1085"/>
      <c r="O1912" s="1085"/>
    </row>
    <row r="1913" spans="1:15" ht="15" customHeight="1">
      <c r="A1913" s="1056" t="s">
        <v>370</v>
      </c>
      <c r="B1913" s="1057" t="s">
        <v>2665</v>
      </c>
      <c r="C1913" s="1058" t="e">
        <f>VLOOKUP(B1909,'LƯƠNG KT'!$D$15:$R$94,24,0)</f>
        <v>#N/A</v>
      </c>
      <c r="D1913" s="1059" t="e">
        <f>+C1913*$L$6</f>
        <v>#N/A</v>
      </c>
      <c r="E1913" s="1061"/>
      <c r="F1913" s="1061"/>
      <c r="G1913" s="1056" t="s">
        <v>370</v>
      </c>
      <c r="H1913" s="1057" t="s">
        <v>2665</v>
      </c>
      <c r="I1913" s="1058" t="e">
        <f>VLOOKUP(H1909,'LƯƠNG KT'!$D$15:$R$94,24,0)</f>
        <v>#N/A</v>
      </c>
      <c r="J1913" s="1059" t="e">
        <f>+I1913*$L$6</f>
        <v>#N/A</v>
      </c>
      <c r="K1913" s="1085"/>
      <c r="L1913" s="1085"/>
      <c r="M1913" s="1085"/>
      <c r="N1913" s="1085"/>
      <c r="O1913" s="1085"/>
    </row>
    <row r="1914" spans="1:15" ht="15" customHeight="1">
      <c r="A1914" s="1056" t="s">
        <v>2666</v>
      </c>
      <c r="B1914" s="1057" t="s">
        <v>2667</v>
      </c>
      <c r="C1914" s="1058" t="e">
        <f>VLOOKUP(B1909,'LƯƠNG KT'!$D$15:$R$94,19,0)</f>
        <v>#N/A</v>
      </c>
      <c r="D1914" s="1059" t="e">
        <f>+C1914*$L$8</f>
        <v>#N/A</v>
      </c>
      <c r="E1914" s="1061"/>
      <c r="F1914" s="1061"/>
      <c r="G1914" s="1056" t="s">
        <v>2666</v>
      </c>
      <c r="H1914" s="1057" t="s">
        <v>2667</v>
      </c>
      <c r="I1914" s="1058" t="e">
        <f>VLOOKUP(H1909,'LƯƠNG KT'!$D$15:$R$94,19,0)</f>
        <v>#N/A</v>
      </c>
      <c r="J1914" s="1059" t="e">
        <f>+I1914*$L$8</f>
        <v>#N/A</v>
      </c>
      <c r="K1914" s="1085"/>
      <c r="L1914" s="1085"/>
      <c r="M1914" s="1085"/>
      <c r="N1914" s="1085"/>
      <c r="O1914" s="1085"/>
    </row>
    <row r="1915" spans="1:15" ht="15" customHeight="1">
      <c r="A1915" s="1056" t="s">
        <v>2668</v>
      </c>
      <c r="B1915" s="1062" t="s">
        <v>2669</v>
      </c>
      <c r="C1915" s="1058" t="e">
        <f>VLOOKUP(B1909,'LƯƠNG KT'!$D$15:$R$94,20,0)</f>
        <v>#N/A</v>
      </c>
      <c r="D1915" s="1059" t="e">
        <f>+C1915*$L$9</f>
        <v>#N/A</v>
      </c>
      <c r="E1915" s="1061"/>
      <c r="F1915" s="1061"/>
      <c r="G1915" s="1056" t="s">
        <v>2668</v>
      </c>
      <c r="H1915" s="1062" t="s">
        <v>2669</v>
      </c>
      <c r="I1915" s="1058" t="e">
        <f>VLOOKUP(H1909,'LƯƠNG KT'!$D$15:$R$94,20,0)</f>
        <v>#N/A</v>
      </c>
      <c r="J1915" s="1059" t="e">
        <f>+I1915*$L$9</f>
        <v>#N/A</v>
      </c>
      <c r="K1915" s="1085"/>
      <c r="L1915" s="1085"/>
      <c r="M1915" s="1085"/>
      <c r="N1915" s="1085"/>
      <c r="O1915" s="1085"/>
    </row>
    <row r="1916" spans="1:15" ht="15" customHeight="1">
      <c r="A1916" s="1056" t="s">
        <v>2671</v>
      </c>
      <c r="B1916" s="1057" t="s">
        <v>2672</v>
      </c>
      <c r="C1916" s="1058" t="e">
        <f>VLOOKUP(B1909,'LƯƠNG KT'!$D$15:$R$94,17,0)</f>
        <v>#N/A</v>
      </c>
      <c r="D1916" s="1059" t="e">
        <f>+C1916*$L$10</f>
        <v>#N/A</v>
      </c>
      <c r="E1916" s="1061"/>
      <c r="F1916" s="1061"/>
      <c r="G1916" s="1056" t="s">
        <v>2671</v>
      </c>
      <c r="H1916" s="1057" t="s">
        <v>2672</v>
      </c>
      <c r="I1916" s="1058" t="e">
        <f>VLOOKUP(H1909,'LƯƠNG KT'!$D$15:$R$94,17,0)</f>
        <v>#N/A</v>
      </c>
      <c r="J1916" s="1059" t="e">
        <f>+I1916*$L$10</f>
        <v>#N/A</v>
      </c>
      <c r="K1916" s="1085"/>
      <c r="L1916" s="1085"/>
      <c r="M1916" s="1085"/>
      <c r="N1916" s="1085"/>
      <c r="O1916" s="1085"/>
    </row>
    <row r="1917" spans="1:15" ht="15" customHeight="1">
      <c r="A1917" s="1056" t="s">
        <v>374</v>
      </c>
      <c r="B1917" s="1057" t="s">
        <v>2674</v>
      </c>
      <c r="C1917" s="1058" t="e">
        <f>VLOOKUP(B1909,'LƯƠNG KT'!$D$15:$R$94,12,0)</f>
        <v>#N/A</v>
      </c>
      <c r="D1917" s="1059" t="e">
        <f>VLOOKUP(B1909,'LƯƠNG KT'!$D$15:$R$94,14,0)</f>
        <v>#N/A</v>
      </c>
      <c r="E1917" s="1063"/>
      <c r="F1917" s="1061"/>
      <c r="G1917" s="1056" t="s">
        <v>374</v>
      </c>
      <c r="H1917" s="1057" t="s">
        <v>2674</v>
      </c>
      <c r="I1917" s="1058" t="e">
        <f>VLOOKUP(H1909,'LƯƠNG KT'!$D$15:$R$94,12,0)</f>
        <v>#N/A</v>
      </c>
      <c r="J1917" s="1059" t="e">
        <f>VLOOKUP(H1909,'LƯƠNG KT'!$D$15:$R$94,14,0)</f>
        <v>#N/A</v>
      </c>
      <c r="K1917" s="1085"/>
      <c r="L1917" s="1085"/>
      <c r="M1917" s="1085"/>
      <c r="N1917" s="1085"/>
      <c r="O1917" s="1085"/>
    </row>
    <row r="1918" spans="1:15" ht="15" customHeight="1">
      <c r="A1918" s="1056" t="s">
        <v>2675</v>
      </c>
      <c r="B1918" s="1057" t="s">
        <v>2676</v>
      </c>
      <c r="D1918" s="1064" t="e">
        <f>VLOOKUP(B1909,'LƯƠNG KT'!$D$15:$R$94,13,0)</f>
        <v>#N/A</v>
      </c>
      <c r="E1918" s="1065"/>
      <c r="F1918" s="1065"/>
      <c r="G1918" s="1056" t="s">
        <v>2675</v>
      </c>
      <c r="H1918" s="1057" t="s">
        <v>2676</v>
      </c>
      <c r="J1918" s="1064" t="e">
        <f>VLOOKUP(H1909,'LƯƠNG KT'!$D$15:$R$94,13,0)</f>
        <v>#N/A</v>
      </c>
    </row>
    <row r="1919" spans="1:15" ht="15" customHeight="1">
      <c r="A1919" s="1066"/>
      <c r="B1919" s="869"/>
      <c r="C1919" s="1058"/>
      <c r="D1919" s="1059"/>
      <c r="E1919" s="1063"/>
      <c r="F1919" s="1065"/>
      <c r="G1919" s="1066"/>
      <c r="H1919" s="869"/>
      <c r="I1919" s="1058"/>
      <c r="J1919" s="1059"/>
    </row>
    <row r="1920" spans="1:15" ht="15" customHeight="1">
      <c r="A1920" s="1052"/>
      <c r="B1920" s="869"/>
      <c r="C1920" s="1058"/>
      <c r="D1920" s="1059"/>
      <c r="E1920" s="1067"/>
      <c r="F1920" s="1051"/>
      <c r="G1920" s="1052"/>
      <c r="H1920" s="869"/>
      <c r="I1920" s="1058"/>
      <c r="J1920" s="1059"/>
    </row>
    <row r="1921" spans="1:15" ht="15" customHeight="1">
      <c r="A1921" s="1068" t="s">
        <v>383</v>
      </c>
      <c r="B1921" s="1069" t="s">
        <v>384</v>
      </c>
      <c r="C1921" s="1070"/>
      <c r="D1921" s="1071" t="e">
        <f>SUM(D1910:D1917)-D1920</f>
        <v>#N/A</v>
      </c>
      <c r="E1921" s="1072"/>
      <c r="F1921" s="1073"/>
      <c r="G1921" s="1068" t="s">
        <v>383</v>
      </c>
      <c r="H1921" s="1069" t="s">
        <v>384</v>
      </c>
      <c r="I1921" s="1070"/>
      <c r="J1921" s="1071" t="e">
        <f>SUM(J1910:J1917)-J1920</f>
        <v>#N/A</v>
      </c>
    </row>
    <row r="1922" spans="1:15" ht="18.75" customHeight="1">
      <c r="A1922" s="1074"/>
      <c r="B1922" s="1075"/>
      <c r="C1922" s="1076"/>
      <c r="D1922" s="1077"/>
      <c r="E1922" s="1077"/>
      <c r="F1922" s="1078"/>
      <c r="G1922" s="1074"/>
      <c r="H1922" s="1075"/>
      <c r="I1922" s="1076"/>
      <c r="J1922" s="1077"/>
    </row>
    <row r="1923" spans="1:15" ht="18.75" customHeight="1">
      <c r="A1923" s="1075"/>
      <c r="B1923" s="1075"/>
      <c r="C1923" s="1079"/>
      <c r="D1923" s="1080"/>
      <c r="E1923" s="1075"/>
      <c r="F1923" s="1081"/>
      <c r="G1923" s="1075"/>
      <c r="H1923" s="1075"/>
      <c r="I1923" s="1079"/>
      <c r="J1923" s="1080"/>
    </row>
    <row r="1924" spans="1:15" ht="15" customHeight="1">
      <c r="A1924" s="2242" t="str">
        <f>$K$2</f>
        <v>THÁNG 04/2025</v>
      </c>
      <c r="B1924" s="2242"/>
      <c r="C1924" s="2242"/>
      <c r="D1924" s="2242"/>
      <c r="E1924" s="1050"/>
      <c r="F1924" s="1051"/>
      <c r="G1924" s="2242" t="str">
        <f>$K$2</f>
        <v>THÁNG 04/2025</v>
      </c>
      <c r="H1924" s="2242"/>
      <c r="I1924" s="2242"/>
      <c r="J1924" s="2242"/>
      <c r="K1924" s="624"/>
    </row>
    <row r="1925" spans="1:15" ht="15" customHeight="1">
      <c r="A1925" s="1052" t="s">
        <v>356</v>
      </c>
      <c r="B1925" s="1053" t="s">
        <v>128</v>
      </c>
      <c r="C1925" s="869"/>
      <c r="D1925" s="1049"/>
      <c r="E1925" s="1054"/>
      <c r="F1925" s="1055"/>
      <c r="G1925" s="1052" t="s">
        <v>356</v>
      </c>
      <c r="H1925" s="1053" t="s">
        <v>129</v>
      </c>
      <c r="I1925" s="869"/>
      <c r="J1925" s="1049"/>
      <c r="L1925" s="1088"/>
      <c r="M1925" s="1088"/>
      <c r="N1925" s="1088"/>
      <c r="O1925" s="1088"/>
    </row>
    <row r="1926" spans="1:15" ht="15" customHeight="1">
      <c r="A1926" s="1056" t="s">
        <v>359</v>
      </c>
      <c r="B1926" s="1057" t="s">
        <v>2662</v>
      </c>
      <c r="C1926" s="1058" t="e">
        <f>VLOOKUP(B1925,'LƯƠNG KT'!$D$15:$R$94,4,0)</f>
        <v>#N/A</v>
      </c>
      <c r="D1926" s="1059" t="e">
        <f>+C1926*25000</f>
        <v>#N/A</v>
      </c>
      <c r="E1926" s="1060"/>
      <c r="F1926" s="1060"/>
      <c r="G1926" s="1056" t="s">
        <v>359</v>
      </c>
      <c r="H1926" s="1057" t="s">
        <v>2662</v>
      </c>
      <c r="I1926" s="1058" t="e">
        <f>VLOOKUP(H1925,'LƯƠNG KT'!$D$15:$R$94,4,0)</f>
        <v>#N/A</v>
      </c>
      <c r="J1926" s="1059" t="e">
        <f>+I1926*25000</f>
        <v>#N/A</v>
      </c>
      <c r="K1926" s="1085"/>
      <c r="L1926" s="1085"/>
      <c r="M1926" s="1085"/>
      <c r="N1926" s="1085"/>
      <c r="O1926" s="1085"/>
    </row>
    <row r="1927" spans="1:15" ht="15" customHeight="1">
      <c r="A1927" s="1056" t="s">
        <v>361</v>
      </c>
      <c r="B1927" s="1057" t="s">
        <v>2663</v>
      </c>
      <c r="C1927" s="1058" t="e">
        <f>VLOOKUP(B1925,'LƯƠNG KT'!$D$15:$R$94,15,0)</f>
        <v>#N/A</v>
      </c>
      <c r="D1927" s="1059" t="e">
        <f>C1927*$L$4</f>
        <v>#N/A</v>
      </c>
      <c r="E1927" s="1061"/>
      <c r="F1927" s="1061"/>
      <c r="G1927" s="1056" t="s">
        <v>361</v>
      </c>
      <c r="H1927" s="1057" t="s">
        <v>2663</v>
      </c>
      <c r="I1927" s="1058" t="e">
        <f>VLOOKUP(H1925,'LƯƠNG KT'!$D$15:$R$94,15,0)</f>
        <v>#N/A</v>
      </c>
      <c r="J1927" s="1059" t="e">
        <f>I1927*$L$4</f>
        <v>#N/A</v>
      </c>
      <c r="K1927" s="1085"/>
      <c r="L1927" s="1085"/>
      <c r="M1927" s="1085"/>
      <c r="N1927" s="1085"/>
      <c r="O1927" s="1085"/>
    </row>
    <row r="1928" spans="1:15" ht="15" customHeight="1">
      <c r="A1928" s="1056" t="s">
        <v>364</v>
      </c>
      <c r="B1928" s="1057" t="s">
        <v>2664</v>
      </c>
      <c r="C1928" s="1058" t="e">
        <f>VLOOKUP(B1925,'LƯƠNG KT'!$D$15:$R$94,16,0)</f>
        <v>#N/A</v>
      </c>
      <c r="D1928" s="1059" t="e">
        <f>C1928*$L$5</f>
        <v>#N/A</v>
      </c>
      <c r="E1928" s="1061"/>
      <c r="F1928" s="1061"/>
      <c r="G1928" s="1056" t="s">
        <v>364</v>
      </c>
      <c r="H1928" s="1057" t="s">
        <v>2664</v>
      </c>
      <c r="I1928" s="1058" t="e">
        <f>VLOOKUP(H1925,'LƯƠNG KT'!$D$15:$R$94,16,0)</f>
        <v>#N/A</v>
      </c>
      <c r="J1928" s="1059" t="e">
        <f>I1928*$L$5</f>
        <v>#N/A</v>
      </c>
      <c r="K1928" s="1085"/>
      <c r="L1928" s="1085"/>
      <c r="M1928" s="1085"/>
      <c r="N1928" s="1085"/>
      <c r="O1928" s="1085"/>
    </row>
    <row r="1929" spans="1:15" ht="15" customHeight="1">
      <c r="A1929" s="1056" t="s">
        <v>370</v>
      </c>
      <c r="B1929" s="1057" t="s">
        <v>2665</v>
      </c>
      <c r="C1929" s="1058" t="e">
        <f>VLOOKUP(B1925,'LƯƠNG KT'!$D$15:$R$94,24,0)</f>
        <v>#N/A</v>
      </c>
      <c r="D1929" s="1059" t="e">
        <f>+C1929*$L$6</f>
        <v>#N/A</v>
      </c>
      <c r="E1929" s="1061"/>
      <c r="F1929" s="1061"/>
      <c r="G1929" s="1056" t="s">
        <v>370</v>
      </c>
      <c r="H1929" s="1057" t="s">
        <v>2665</v>
      </c>
      <c r="I1929" s="1058" t="e">
        <f>VLOOKUP(H1925,'LƯƠNG KT'!$D$15:$R$94,24,0)</f>
        <v>#N/A</v>
      </c>
      <c r="J1929" s="1059" t="e">
        <f>+I1929*$L$6</f>
        <v>#N/A</v>
      </c>
      <c r="K1929" s="1085"/>
      <c r="L1929" s="1085"/>
      <c r="M1929" s="1085"/>
      <c r="N1929" s="1085"/>
      <c r="O1929" s="1085"/>
    </row>
    <row r="1930" spans="1:15" ht="15" customHeight="1">
      <c r="A1930" s="1056" t="s">
        <v>2666</v>
      </c>
      <c r="B1930" s="1057" t="s">
        <v>2667</v>
      </c>
      <c r="C1930" s="1058" t="e">
        <f>VLOOKUP(B1925,'LƯƠNG KT'!$D$15:$R$94,19,0)</f>
        <v>#N/A</v>
      </c>
      <c r="D1930" s="1059" t="e">
        <f>+C1930*$L$8</f>
        <v>#N/A</v>
      </c>
      <c r="E1930" s="1061"/>
      <c r="F1930" s="1061"/>
      <c r="G1930" s="1056" t="s">
        <v>2666</v>
      </c>
      <c r="H1930" s="1057" t="s">
        <v>2667</v>
      </c>
      <c r="I1930" s="1058" t="e">
        <f>VLOOKUP(H1925,'LƯƠNG KT'!$D$15:$R$94,19,0)</f>
        <v>#N/A</v>
      </c>
      <c r="J1930" s="1059" t="e">
        <f>+I1930*$L$8</f>
        <v>#N/A</v>
      </c>
      <c r="K1930" s="1085"/>
      <c r="L1930" s="1085"/>
      <c r="M1930" s="1085"/>
      <c r="N1930" s="1085"/>
      <c r="O1930" s="1085"/>
    </row>
    <row r="1931" spans="1:15" ht="15" customHeight="1">
      <c r="A1931" s="1056" t="s">
        <v>2668</v>
      </c>
      <c r="B1931" s="1062" t="s">
        <v>2669</v>
      </c>
      <c r="C1931" s="1058" t="e">
        <f>VLOOKUP(B1925,'LƯƠNG KT'!$D$15:$R$94,20,0)</f>
        <v>#N/A</v>
      </c>
      <c r="D1931" s="1059" t="e">
        <f>+C1931*$L$9</f>
        <v>#N/A</v>
      </c>
      <c r="E1931" s="1061"/>
      <c r="F1931" s="1061"/>
      <c r="G1931" s="1056" t="s">
        <v>2668</v>
      </c>
      <c r="H1931" s="1062" t="s">
        <v>2669</v>
      </c>
      <c r="I1931" s="1058" t="e">
        <f>VLOOKUP(H1925,'LƯƠNG KT'!$D$15:$R$94,20,0)</f>
        <v>#N/A</v>
      </c>
      <c r="J1931" s="1059" t="e">
        <f>+I1931*$L$9</f>
        <v>#N/A</v>
      </c>
      <c r="K1931" s="1085"/>
      <c r="L1931" s="1085"/>
      <c r="M1931" s="1085"/>
      <c r="N1931" s="1085"/>
      <c r="O1931" s="1085"/>
    </row>
    <row r="1932" spans="1:15" ht="15" customHeight="1">
      <c r="A1932" s="1056" t="s">
        <v>2671</v>
      </c>
      <c r="B1932" s="1057" t="s">
        <v>2672</v>
      </c>
      <c r="C1932" s="1058" t="e">
        <f>VLOOKUP(B1925,'LƯƠNG KT'!$D$15:$R$94,17,0)</f>
        <v>#N/A</v>
      </c>
      <c r="D1932" s="1059" t="e">
        <f>+C1932*$L$10</f>
        <v>#N/A</v>
      </c>
      <c r="E1932" s="1061"/>
      <c r="F1932" s="1061"/>
      <c r="G1932" s="1056" t="s">
        <v>2671</v>
      </c>
      <c r="H1932" s="1057" t="s">
        <v>2672</v>
      </c>
      <c r="I1932" s="1058" t="e">
        <f>VLOOKUP(H1925,'LƯƠNG KT'!$D$15:$R$94,17,0)</f>
        <v>#N/A</v>
      </c>
      <c r="J1932" s="1059" t="e">
        <f>+I1932*$L$10</f>
        <v>#N/A</v>
      </c>
      <c r="K1932" s="1085"/>
      <c r="L1932" s="1085"/>
      <c r="M1932" s="1085"/>
      <c r="N1932" s="1085"/>
      <c r="O1932" s="1085"/>
    </row>
    <row r="1933" spans="1:15" ht="15" customHeight="1">
      <c r="A1933" s="1056" t="s">
        <v>374</v>
      </c>
      <c r="B1933" s="1057" t="s">
        <v>2674</v>
      </c>
      <c r="C1933" s="1058" t="e">
        <f>VLOOKUP(B1925,'LƯƠNG KT'!$D$15:$R$94,12,0)</f>
        <v>#N/A</v>
      </c>
      <c r="D1933" s="1059" t="e">
        <f>VLOOKUP(B1925,'LƯƠNG KT'!$D$15:$R$94,14,0)</f>
        <v>#N/A</v>
      </c>
      <c r="E1933" s="1063"/>
      <c r="F1933" s="1061"/>
      <c r="G1933" s="1056" t="s">
        <v>374</v>
      </c>
      <c r="H1933" s="1057" t="s">
        <v>2674</v>
      </c>
      <c r="I1933" s="1058" t="e">
        <f>VLOOKUP(H1925,'LƯƠNG KT'!$D$15:$R$94,12,0)</f>
        <v>#N/A</v>
      </c>
      <c r="J1933" s="1059" t="e">
        <f>VLOOKUP(H1925,'LƯƠNG KT'!$D$15:$R$94,14,0)</f>
        <v>#N/A</v>
      </c>
      <c r="K1933" s="1085"/>
      <c r="L1933" s="1085"/>
      <c r="M1933" s="1085"/>
      <c r="N1933" s="1085"/>
      <c r="O1933" s="1085"/>
    </row>
    <row r="1934" spans="1:15" ht="15" customHeight="1">
      <c r="A1934" s="1056" t="s">
        <v>2675</v>
      </c>
      <c r="B1934" s="1057" t="s">
        <v>2676</v>
      </c>
      <c r="D1934" s="1064" t="e">
        <f>VLOOKUP(B1925,'LƯƠNG KT'!$D$15:$R$94,13,0)</f>
        <v>#N/A</v>
      </c>
      <c r="E1934" s="1065"/>
      <c r="F1934" s="1065"/>
      <c r="G1934" s="1056" t="s">
        <v>2675</v>
      </c>
      <c r="H1934" s="1057" t="s">
        <v>2676</v>
      </c>
      <c r="J1934" s="1064" t="e">
        <f>VLOOKUP(H1925,'LƯƠNG KT'!$D$15:$R$94,13,0)</f>
        <v>#N/A</v>
      </c>
    </row>
    <row r="1935" spans="1:15" ht="15" customHeight="1">
      <c r="A1935" s="1066"/>
      <c r="B1935" s="869"/>
      <c r="C1935" s="1058"/>
      <c r="D1935" s="1059"/>
      <c r="E1935" s="1063"/>
      <c r="F1935" s="1065"/>
      <c r="G1935" s="1066"/>
      <c r="H1935" s="869"/>
      <c r="I1935" s="1058"/>
      <c r="J1935" s="1059"/>
    </row>
    <row r="1936" spans="1:15" ht="15" customHeight="1">
      <c r="A1936" s="1052"/>
      <c r="B1936" s="869"/>
      <c r="C1936" s="1058"/>
      <c r="D1936" s="1059"/>
      <c r="E1936" s="1067"/>
      <c r="F1936" s="1051"/>
      <c r="G1936" s="1052"/>
      <c r="H1936" s="869"/>
      <c r="I1936" s="1058"/>
      <c r="J1936" s="1059"/>
    </row>
    <row r="1937" spans="1:15" ht="15" customHeight="1">
      <c r="A1937" s="1068" t="s">
        <v>383</v>
      </c>
      <c r="B1937" s="1069" t="s">
        <v>384</v>
      </c>
      <c r="C1937" s="1070"/>
      <c r="D1937" s="1071" t="e">
        <f>SUM(D1926:D1933)-D1936</f>
        <v>#N/A</v>
      </c>
      <c r="E1937" s="1072"/>
      <c r="F1937" s="1073"/>
      <c r="G1937" s="1068" t="s">
        <v>383</v>
      </c>
      <c r="H1937" s="1069" t="s">
        <v>384</v>
      </c>
      <c r="I1937" s="1070"/>
      <c r="J1937" s="1071" t="e">
        <f>SUM(J1926:J1933)-J1936</f>
        <v>#N/A</v>
      </c>
    </row>
    <row r="1938" spans="1:15" ht="18.75" customHeight="1">
      <c r="A1938" s="1074"/>
      <c r="B1938" s="1075"/>
      <c r="C1938" s="1076"/>
      <c r="D1938" s="1077"/>
      <c r="E1938" s="1077"/>
      <c r="F1938" s="1078"/>
      <c r="G1938" s="1074"/>
      <c r="H1938" s="1075"/>
      <c r="I1938" s="1076"/>
      <c r="J1938" s="1077"/>
    </row>
    <row r="1939" spans="1:15" ht="135" customHeight="1">
      <c r="A1939" s="1075"/>
      <c r="B1939" s="1075"/>
      <c r="C1939" s="1079"/>
      <c r="D1939" s="1080"/>
      <c r="E1939" s="1075"/>
      <c r="F1939" s="1081"/>
      <c r="G1939" s="1075"/>
      <c r="H1939" s="1075"/>
      <c r="I1939" s="1079"/>
      <c r="J1939" s="1080"/>
    </row>
    <row r="1940" spans="1:15" ht="15" customHeight="1">
      <c r="A1940" s="2242" t="str">
        <f>$K$2</f>
        <v>THÁNG 04/2025</v>
      </c>
      <c r="B1940" s="2242"/>
      <c r="C1940" s="2242"/>
      <c r="D1940" s="2242"/>
      <c r="E1940" s="1050"/>
      <c r="F1940" s="1051"/>
      <c r="G1940" s="2242" t="str">
        <f>$K$2</f>
        <v>THÁNG 04/2025</v>
      </c>
      <c r="H1940" s="2242"/>
      <c r="I1940" s="2242"/>
      <c r="J1940" s="2242"/>
      <c r="K1940" s="624"/>
    </row>
    <row r="1941" spans="1:15" ht="15" customHeight="1">
      <c r="A1941" s="1052" t="s">
        <v>356</v>
      </c>
      <c r="B1941" s="1053" t="s">
        <v>130</v>
      </c>
      <c r="C1941" s="869"/>
      <c r="D1941" s="1049"/>
      <c r="E1941" s="1054"/>
      <c r="F1941" s="1055"/>
      <c r="G1941" s="1052" t="s">
        <v>356</v>
      </c>
      <c r="H1941" s="1053" t="s">
        <v>131</v>
      </c>
      <c r="I1941" s="869"/>
      <c r="J1941" s="1049"/>
      <c r="L1941" s="1088"/>
      <c r="M1941" s="1088"/>
      <c r="N1941" s="1088"/>
      <c r="O1941" s="1088"/>
    </row>
    <row r="1942" spans="1:15" ht="15" customHeight="1">
      <c r="A1942" s="1056" t="s">
        <v>359</v>
      </c>
      <c r="B1942" s="1057" t="s">
        <v>2662</v>
      </c>
      <c r="C1942" s="1058" t="e">
        <f>VLOOKUP(B1941,'LƯƠNG KT'!$D$15:$R$94,4,0)</f>
        <v>#N/A</v>
      </c>
      <c r="D1942" s="1059" t="e">
        <f>+C1942*25000</f>
        <v>#N/A</v>
      </c>
      <c r="E1942" s="1060"/>
      <c r="F1942" s="1060"/>
      <c r="G1942" s="1056" t="s">
        <v>359</v>
      </c>
      <c r="H1942" s="1057" t="s">
        <v>2662</v>
      </c>
      <c r="I1942" s="1058" t="e">
        <f>VLOOKUP(H1941,'LƯƠNG KT'!$D$15:$R$94,4,0)</f>
        <v>#N/A</v>
      </c>
      <c r="J1942" s="1059" t="e">
        <f>+I1942*25000</f>
        <v>#N/A</v>
      </c>
      <c r="K1942" s="1085"/>
      <c r="L1942" s="1085"/>
      <c r="M1942" s="1085"/>
      <c r="N1942" s="1085"/>
      <c r="O1942" s="1085"/>
    </row>
    <row r="1943" spans="1:15" ht="15" customHeight="1">
      <c r="A1943" s="1056" t="s">
        <v>361</v>
      </c>
      <c r="B1943" s="1057" t="s">
        <v>2663</v>
      </c>
      <c r="C1943" s="1058" t="e">
        <f>VLOOKUP(B1941,'LƯƠNG KT'!$D$15:$R$94,15,0)</f>
        <v>#N/A</v>
      </c>
      <c r="D1943" s="1059" t="e">
        <f>C1943*$L$4</f>
        <v>#N/A</v>
      </c>
      <c r="E1943" s="1061"/>
      <c r="F1943" s="1061"/>
      <c r="G1943" s="1056" t="s">
        <v>361</v>
      </c>
      <c r="H1943" s="1057" t="s">
        <v>2663</v>
      </c>
      <c r="I1943" s="1058" t="e">
        <f>VLOOKUP(H1941,'LƯƠNG KT'!$D$15:$R$94,15,0)</f>
        <v>#N/A</v>
      </c>
      <c r="J1943" s="1059" t="e">
        <f>I1943*$L$4</f>
        <v>#N/A</v>
      </c>
      <c r="K1943" s="1085"/>
      <c r="L1943" s="1085"/>
      <c r="M1943" s="1085"/>
      <c r="N1943" s="1085"/>
      <c r="O1943" s="1085"/>
    </row>
    <row r="1944" spans="1:15" ht="15" customHeight="1">
      <c r="A1944" s="1056" t="s">
        <v>364</v>
      </c>
      <c r="B1944" s="1057" t="s">
        <v>2664</v>
      </c>
      <c r="C1944" s="1058" t="e">
        <f>VLOOKUP(B1941,'LƯƠNG KT'!$D$15:$R$94,16,0)</f>
        <v>#N/A</v>
      </c>
      <c r="D1944" s="1059" t="e">
        <f>C1944*$L$5</f>
        <v>#N/A</v>
      </c>
      <c r="E1944" s="1061"/>
      <c r="F1944" s="1061"/>
      <c r="G1944" s="1056" t="s">
        <v>364</v>
      </c>
      <c r="H1944" s="1057" t="s">
        <v>2664</v>
      </c>
      <c r="I1944" s="1058" t="e">
        <f>VLOOKUP(H1941,'LƯƠNG KT'!$D$15:$R$94,16,0)</f>
        <v>#N/A</v>
      </c>
      <c r="J1944" s="1059" t="e">
        <f>I1944*$L$5</f>
        <v>#N/A</v>
      </c>
      <c r="K1944" s="1085"/>
      <c r="L1944" s="1085"/>
      <c r="M1944" s="1085"/>
      <c r="N1944" s="1085"/>
      <c r="O1944" s="1085"/>
    </row>
    <row r="1945" spans="1:15" ht="15" customHeight="1">
      <c r="A1945" s="1056" t="s">
        <v>370</v>
      </c>
      <c r="B1945" s="1057" t="s">
        <v>2665</v>
      </c>
      <c r="C1945" s="1058" t="e">
        <f>VLOOKUP(B1941,'LƯƠNG KT'!$D$15:$R$94,24,0)</f>
        <v>#N/A</v>
      </c>
      <c r="D1945" s="1059" t="e">
        <f>+C1945*$L$6</f>
        <v>#N/A</v>
      </c>
      <c r="E1945" s="1061"/>
      <c r="F1945" s="1061"/>
      <c r="G1945" s="1056" t="s">
        <v>370</v>
      </c>
      <c r="H1945" s="1057" t="s">
        <v>2665</v>
      </c>
      <c r="I1945" s="1058" t="e">
        <f>VLOOKUP(H1941,'LƯƠNG KT'!$D$15:$R$94,24,0)</f>
        <v>#N/A</v>
      </c>
      <c r="J1945" s="1059" t="e">
        <f>+I1945*$L$6</f>
        <v>#N/A</v>
      </c>
      <c r="K1945" s="1085"/>
      <c r="L1945" s="1085"/>
      <c r="M1945" s="1085"/>
      <c r="N1945" s="1085"/>
      <c r="O1945" s="1085"/>
    </row>
    <row r="1946" spans="1:15" ht="15" customHeight="1">
      <c r="A1946" s="1056" t="s">
        <v>2666</v>
      </c>
      <c r="B1946" s="1057" t="s">
        <v>2667</v>
      </c>
      <c r="C1946" s="1058" t="e">
        <f>VLOOKUP(B1941,'LƯƠNG KT'!$D$15:$R$94,19,0)</f>
        <v>#N/A</v>
      </c>
      <c r="D1946" s="1059" t="e">
        <f>+C1946*$L$8</f>
        <v>#N/A</v>
      </c>
      <c r="E1946" s="1061"/>
      <c r="F1946" s="1061"/>
      <c r="G1946" s="1056" t="s">
        <v>2666</v>
      </c>
      <c r="H1946" s="1057" t="s">
        <v>2667</v>
      </c>
      <c r="I1946" s="1058" t="e">
        <f>VLOOKUP(H1941,'LƯƠNG KT'!$D$15:$R$94,19,0)</f>
        <v>#N/A</v>
      </c>
      <c r="J1946" s="1059" t="e">
        <f>+I1946*$L$8</f>
        <v>#N/A</v>
      </c>
      <c r="K1946" s="1085"/>
      <c r="L1946" s="1085"/>
      <c r="M1946" s="1085"/>
      <c r="N1946" s="1085"/>
      <c r="O1946" s="1085"/>
    </row>
    <row r="1947" spans="1:15" ht="15" customHeight="1">
      <c r="A1947" s="1056" t="s">
        <v>2668</v>
      </c>
      <c r="B1947" s="1062" t="s">
        <v>2669</v>
      </c>
      <c r="C1947" s="1058" t="e">
        <f>VLOOKUP(B1941,'LƯƠNG KT'!$D$15:$R$94,20,0)</f>
        <v>#N/A</v>
      </c>
      <c r="D1947" s="1059" t="e">
        <f>+C1947*$L$9</f>
        <v>#N/A</v>
      </c>
      <c r="E1947" s="1061"/>
      <c r="F1947" s="1061"/>
      <c r="G1947" s="1056" t="s">
        <v>2668</v>
      </c>
      <c r="H1947" s="1062" t="s">
        <v>2669</v>
      </c>
      <c r="I1947" s="1058" t="e">
        <f>VLOOKUP(H1941,'LƯƠNG KT'!$D$15:$R$94,20,0)</f>
        <v>#N/A</v>
      </c>
      <c r="J1947" s="1059" t="e">
        <f>+I1947*$L$9</f>
        <v>#N/A</v>
      </c>
      <c r="K1947" s="1085"/>
      <c r="L1947" s="1085"/>
      <c r="M1947" s="1085"/>
      <c r="N1947" s="1085"/>
      <c r="O1947" s="1085"/>
    </row>
    <row r="1948" spans="1:15" ht="15" customHeight="1">
      <c r="A1948" s="1056" t="s">
        <v>2671</v>
      </c>
      <c r="B1948" s="1057" t="s">
        <v>2672</v>
      </c>
      <c r="C1948" s="1058" t="e">
        <f>VLOOKUP(B1941,'LƯƠNG KT'!$D$15:$R$94,17,0)</f>
        <v>#N/A</v>
      </c>
      <c r="D1948" s="1059" t="e">
        <f>+C1948*$L$10</f>
        <v>#N/A</v>
      </c>
      <c r="E1948" s="1061"/>
      <c r="F1948" s="1061"/>
      <c r="G1948" s="1056" t="s">
        <v>2671</v>
      </c>
      <c r="H1948" s="1057" t="s">
        <v>2672</v>
      </c>
      <c r="I1948" s="1058" t="e">
        <f>VLOOKUP(H1941,'LƯƠNG KT'!$D$15:$R$94,17,0)</f>
        <v>#N/A</v>
      </c>
      <c r="J1948" s="1059" t="e">
        <f>+I1948*$L$10</f>
        <v>#N/A</v>
      </c>
      <c r="K1948" s="1085"/>
      <c r="L1948" s="1085"/>
      <c r="M1948" s="1085"/>
      <c r="N1948" s="1085"/>
      <c r="O1948" s="1085"/>
    </row>
    <row r="1949" spans="1:15" ht="15" customHeight="1">
      <c r="A1949" s="1056" t="s">
        <v>374</v>
      </c>
      <c r="B1949" s="1057" t="s">
        <v>2674</v>
      </c>
      <c r="C1949" s="1058" t="e">
        <f>VLOOKUP(B1941,'LƯƠNG KT'!$D$15:$R$94,12,0)</f>
        <v>#N/A</v>
      </c>
      <c r="D1949" s="1059" t="e">
        <f>VLOOKUP(B1941,'LƯƠNG KT'!$D$15:$R$94,14,0)</f>
        <v>#N/A</v>
      </c>
      <c r="E1949" s="1063"/>
      <c r="F1949" s="1061"/>
      <c r="G1949" s="1056" t="s">
        <v>374</v>
      </c>
      <c r="H1949" s="1057" t="s">
        <v>2674</v>
      </c>
      <c r="I1949" s="1058" t="e">
        <f>VLOOKUP(H1941,'LƯƠNG KT'!$D$15:$R$94,12,0)</f>
        <v>#N/A</v>
      </c>
      <c r="J1949" s="1059" t="e">
        <f>VLOOKUP(H1941,'LƯƠNG KT'!$D$15:$R$94,14,0)</f>
        <v>#N/A</v>
      </c>
      <c r="K1949" s="1085"/>
      <c r="L1949" s="1085"/>
      <c r="M1949" s="1085"/>
      <c r="N1949" s="1085"/>
      <c r="O1949" s="1085"/>
    </row>
    <row r="1950" spans="1:15" ht="15" customHeight="1">
      <c r="A1950" s="1056" t="s">
        <v>2675</v>
      </c>
      <c r="B1950" s="1057" t="s">
        <v>2676</v>
      </c>
      <c r="D1950" s="1064" t="e">
        <f>VLOOKUP(B1941,'LƯƠNG KT'!$D$15:$R$94,13,0)</f>
        <v>#N/A</v>
      </c>
      <c r="E1950" s="1065"/>
      <c r="F1950" s="1065"/>
      <c r="G1950" s="1056" t="s">
        <v>2675</v>
      </c>
      <c r="H1950" s="1057" t="s">
        <v>2676</v>
      </c>
      <c r="J1950" s="1064" t="e">
        <f>VLOOKUP(H1941,'LƯƠNG KT'!$D$15:$R$94,13,0)</f>
        <v>#N/A</v>
      </c>
    </row>
    <row r="1951" spans="1:15" ht="15" customHeight="1">
      <c r="A1951" s="1066"/>
      <c r="B1951" s="869"/>
      <c r="C1951" s="1058"/>
      <c r="D1951" s="1059"/>
      <c r="E1951" s="1063"/>
      <c r="F1951" s="1065"/>
      <c r="G1951" s="1066"/>
      <c r="H1951" s="869"/>
      <c r="I1951" s="1058"/>
      <c r="J1951" s="1059"/>
    </row>
    <row r="1952" spans="1:15" ht="15" customHeight="1">
      <c r="A1952" s="1052"/>
      <c r="B1952" s="869"/>
      <c r="C1952" s="1058"/>
      <c r="D1952" s="1059"/>
      <c r="E1952" s="1067"/>
      <c r="F1952" s="1051"/>
      <c r="G1952" s="1052"/>
      <c r="H1952" s="869"/>
      <c r="I1952" s="1058"/>
      <c r="J1952" s="1059"/>
    </row>
    <row r="1953" spans="1:15" ht="15" customHeight="1">
      <c r="A1953" s="1068" t="s">
        <v>383</v>
      </c>
      <c r="B1953" s="1069" t="s">
        <v>384</v>
      </c>
      <c r="C1953" s="1070"/>
      <c r="D1953" s="1071" t="e">
        <f>SUM(D1942:D1949)-D1952</f>
        <v>#N/A</v>
      </c>
      <c r="E1953" s="1072"/>
      <c r="F1953" s="1073"/>
      <c r="G1953" s="1068" t="s">
        <v>383</v>
      </c>
      <c r="H1953" s="1069" t="s">
        <v>384</v>
      </c>
      <c r="I1953" s="1070"/>
      <c r="J1953" s="1071" t="e">
        <f>SUM(J1942:J1949)-J1952</f>
        <v>#N/A</v>
      </c>
    </row>
    <row r="1954" spans="1:15" ht="15.75" customHeight="1">
      <c r="A1954" s="1074"/>
      <c r="B1954" s="1075"/>
      <c r="C1954" s="1076"/>
      <c r="D1954" s="1077"/>
      <c r="E1954" s="1077"/>
      <c r="F1954" s="1078"/>
      <c r="G1954" s="1074"/>
      <c r="H1954" s="1075"/>
      <c r="I1954" s="1076"/>
      <c r="J1954" s="1077"/>
    </row>
    <row r="1956" spans="1:15" ht="12" customHeight="1">
      <c r="A1956" s="2243"/>
      <c r="B1956" s="2243"/>
      <c r="C1956" s="2243"/>
      <c r="D1956" s="2243"/>
      <c r="E1956" s="2243"/>
      <c r="F1956" s="2243"/>
      <c r="G1956" s="2243"/>
      <c r="H1956" s="2243"/>
      <c r="I1956" s="2243"/>
      <c r="J1956" s="2243"/>
    </row>
    <row r="1957" spans="1:15" ht="15" customHeight="1">
      <c r="A1957" s="2242" t="str">
        <f>$K$2</f>
        <v>THÁNG 04/2025</v>
      </c>
      <c r="B1957" s="2242"/>
      <c r="C1957" s="2242"/>
      <c r="D1957" s="2242"/>
      <c r="E1957" s="1050"/>
      <c r="F1957" s="1051"/>
      <c r="G1957" s="2242" t="str">
        <f>$K$2</f>
        <v>THÁNG 04/2025</v>
      </c>
      <c r="H1957" s="2242"/>
      <c r="I1957" s="2242"/>
      <c r="J1957" s="2242"/>
      <c r="K1957" s="624"/>
    </row>
    <row r="1958" spans="1:15" ht="15" customHeight="1">
      <c r="A1958" s="1052" t="s">
        <v>356</v>
      </c>
      <c r="B1958" s="1053" t="s">
        <v>132</v>
      </c>
      <c r="C1958" s="869"/>
      <c r="D1958" s="1049"/>
      <c r="E1958" s="1054"/>
      <c r="F1958" s="1055"/>
      <c r="G1958" s="1052" t="s">
        <v>356</v>
      </c>
      <c r="H1958" s="1053" t="s">
        <v>133</v>
      </c>
      <c r="I1958" s="869"/>
      <c r="J1958" s="1049"/>
      <c r="L1958" s="1088"/>
      <c r="M1958" s="1088"/>
      <c r="N1958" s="1088"/>
      <c r="O1958" s="1088"/>
    </row>
    <row r="1959" spans="1:15" ht="15" customHeight="1">
      <c r="A1959" s="1056" t="s">
        <v>359</v>
      </c>
      <c r="B1959" s="1057" t="s">
        <v>2662</v>
      </c>
      <c r="C1959" s="1058" t="e">
        <f>VLOOKUP(B1958,'LƯƠNG KT'!$D$15:$R$94,4,0)</f>
        <v>#N/A</v>
      </c>
      <c r="D1959" s="1059" t="e">
        <f>+C1959*25000</f>
        <v>#N/A</v>
      </c>
      <c r="E1959" s="1060"/>
      <c r="F1959" s="1060"/>
      <c r="G1959" s="1056" t="s">
        <v>359</v>
      </c>
      <c r="H1959" s="1057" t="s">
        <v>2662</v>
      </c>
      <c r="I1959" s="1058" t="e">
        <f>VLOOKUP(H1958,'LƯƠNG KT'!$D$15:$R$94,4,0)</f>
        <v>#N/A</v>
      </c>
      <c r="J1959" s="1059" t="e">
        <f>+I1959*25000</f>
        <v>#N/A</v>
      </c>
      <c r="K1959" s="1084"/>
      <c r="L1959" s="1085"/>
      <c r="M1959" s="1085"/>
      <c r="N1959" s="1085"/>
      <c r="O1959" s="1085"/>
    </row>
    <row r="1960" spans="1:15" ht="15" customHeight="1">
      <c r="A1960" s="1056" t="s">
        <v>361</v>
      </c>
      <c r="B1960" s="1057" t="s">
        <v>2663</v>
      </c>
      <c r="C1960" s="1058" t="e">
        <f>VLOOKUP(B1958,'LƯƠNG KT'!$D$15:$R$94,15,0)</f>
        <v>#N/A</v>
      </c>
      <c r="D1960" s="1059" t="e">
        <f>C1960*$L$4</f>
        <v>#N/A</v>
      </c>
      <c r="E1960" s="1061"/>
      <c r="F1960" s="1061"/>
      <c r="G1960" s="1056" t="s">
        <v>361</v>
      </c>
      <c r="H1960" s="1057" t="s">
        <v>2663</v>
      </c>
      <c r="I1960" s="1058" t="e">
        <f>VLOOKUP(H1958,'LƯƠNG KT'!$D$15:$R$94,15,0)</f>
        <v>#N/A</v>
      </c>
      <c r="J1960" s="1059" t="e">
        <f>I1960*$L$4</f>
        <v>#N/A</v>
      </c>
      <c r="K1960" s="1084"/>
      <c r="L1960" s="1085"/>
      <c r="M1960" s="1085"/>
      <c r="N1960" s="1085"/>
      <c r="O1960" s="1085"/>
    </row>
    <row r="1961" spans="1:15" ht="15" customHeight="1">
      <c r="A1961" s="1056" t="s">
        <v>364</v>
      </c>
      <c r="B1961" s="1057" t="s">
        <v>2664</v>
      </c>
      <c r="C1961" s="1058" t="e">
        <f>VLOOKUP(B1958,'LƯƠNG KT'!$D$15:$R$94,16,0)</f>
        <v>#N/A</v>
      </c>
      <c r="D1961" s="1059" t="e">
        <f>C1961*$L$5</f>
        <v>#N/A</v>
      </c>
      <c r="E1961" s="1061"/>
      <c r="F1961" s="1061"/>
      <c r="G1961" s="1056" t="s">
        <v>364</v>
      </c>
      <c r="H1961" s="1057" t="s">
        <v>2664</v>
      </c>
      <c r="I1961" s="1058" t="e">
        <f>VLOOKUP(H1958,'LƯƠNG KT'!$D$15:$R$94,16,0)</f>
        <v>#N/A</v>
      </c>
      <c r="J1961" s="1059" t="e">
        <f>I1961*$L$5</f>
        <v>#N/A</v>
      </c>
      <c r="K1961" s="1084"/>
      <c r="L1961" s="1085"/>
      <c r="M1961" s="1085"/>
      <c r="N1961" s="1085"/>
      <c r="O1961" s="1085"/>
    </row>
    <row r="1962" spans="1:15" ht="15" customHeight="1">
      <c r="A1962" s="1056" t="s">
        <v>370</v>
      </c>
      <c r="B1962" s="1057" t="s">
        <v>2665</v>
      </c>
      <c r="C1962" s="1058" t="e">
        <f>VLOOKUP(B1958,'LƯƠNG KT'!$D$15:$R$94,24,0)</f>
        <v>#N/A</v>
      </c>
      <c r="D1962" s="1059" t="e">
        <f>+C1962*$L$6</f>
        <v>#N/A</v>
      </c>
      <c r="E1962" s="1061"/>
      <c r="F1962" s="1061"/>
      <c r="G1962" s="1056" t="s">
        <v>370</v>
      </c>
      <c r="H1962" s="1057" t="s">
        <v>2665</v>
      </c>
      <c r="I1962" s="1058" t="e">
        <f>VLOOKUP(H1958,'LƯƠNG KT'!$D$15:$R$94,24,0)</f>
        <v>#N/A</v>
      </c>
      <c r="J1962" s="1059" t="e">
        <f>+I1962*$L$6</f>
        <v>#N/A</v>
      </c>
      <c r="K1962" s="1085"/>
      <c r="L1962" s="1085"/>
      <c r="M1962" s="1085"/>
      <c r="N1962" s="1085"/>
      <c r="O1962" s="1085"/>
    </row>
    <row r="1963" spans="1:15" ht="15" customHeight="1">
      <c r="A1963" s="1056" t="s">
        <v>2666</v>
      </c>
      <c r="B1963" s="1057" t="s">
        <v>2667</v>
      </c>
      <c r="C1963" s="1058" t="e">
        <f>VLOOKUP(B1958,'LƯƠNG KT'!$D$15:$R$94,19,0)</f>
        <v>#N/A</v>
      </c>
      <c r="D1963" s="1059" t="e">
        <f>+C1963*$L$8</f>
        <v>#N/A</v>
      </c>
      <c r="E1963" s="1061"/>
      <c r="F1963" s="1061"/>
      <c r="G1963" s="1056" t="s">
        <v>2666</v>
      </c>
      <c r="H1963" s="1057" t="s">
        <v>2667</v>
      </c>
      <c r="I1963" s="1058" t="e">
        <f>VLOOKUP(H1958,'LƯƠNG KT'!$D$15:$R$94,19,0)</f>
        <v>#N/A</v>
      </c>
      <c r="J1963" s="1059" t="e">
        <f>+I1963*$L$8</f>
        <v>#N/A</v>
      </c>
      <c r="K1963" s="1085"/>
      <c r="L1963" s="1085"/>
      <c r="M1963" s="1085"/>
      <c r="N1963" s="1085"/>
      <c r="O1963" s="1085"/>
    </row>
    <row r="1964" spans="1:15" ht="15" customHeight="1">
      <c r="A1964" s="1056" t="s">
        <v>2668</v>
      </c>
      <c r="B1964" s="1062" t="s">
        <v>2669</v>
      </c>
      <c r="C1964" s="1058" t="e">
        <f>VLOOKUP(B1958,'LƯƠNG KT'!$D$15:$R$94,20,0)</f>
        <v>#N/A</v>
      </c>
      <c r="D1964" s="1059" t="e">
        <f>+C1964*$L$9</f>
        <v>#N/A</v>
      </c>
      <c r="E1964" s="1061"/>
      <c r="F1964" s="1061"/>
      <c r="G1964" s="1056" t="s">
        <v>2668</v>
      </c>
      <c r="H1964" s="1062" t="s">
        <v>2669</v>
      </c>
      <c r="I1964" s="1058" t="e">
        <f>VLOOKUP(H1958,'LƯƠNG KT'!$D$15:$R$94,20,0)</f>
        <v>#N/A</v>
      </c>
      <c r="J1964" s="1059" t="e">
        <f>+I1964*$L$9</f>
        <v>#N/A</v>
      </c>
      <c r="K1964" s="1085"/>
      <c r="L1964" s="1085"/>
      <c r="M1964" s="1085"/>
      <c r="N1964" s="1085"/>
      <c r="O1964" s="1085"/>
    </row>
    <row r="1965" spans="1:15" ht="15" customHeight="1">
      <c r="A1965" s="1056" t="s">
        <v>2671</v>
      </c>
      <c r="B1965" s="1057" t="s">
        <v>2672</v>
      </c>
      <c r="C1965" s="1058" t="e">
        <f>VLOOKUP(B1958,'LƯƠNG KT'!$D$15:$R$94,17,0)</f>
        <v>#N/A</v>
      </c>
      <c r="D1965" s="1059" t="e">
        <f>+C1965*$L$10</f>
        <v>#N/A</v>
      </c>
      <c r="E1965" s="1061"/>
      <c r="F1965" s="1061"/>
      <c r="G1965" s="1056" t="s">
        <v>2671</v>
      </c>
      <c r="H1965" s="1057" t="s">
        <v>2672</v>
      </c>
      <c r="I1965" s="1058" t="e">
        <f>VLOOKUP(H1958,'LƯƠNG KT'!$D$15:$R$94,17,0)</f>
        <v>#N/A</v>
      </c>
      <c r="J1965" s="1059" t="e">
        <f>+I1965*$L$10</f>
        <v>#N/A</v>
      </c>
      <c r="K1965" s="1085"/>
      <c r="L1965" s="1085"/>
      <c r="M1965" s="1085"/>
      <c r="N1965" s="1085"/>
      <c r="O1965" s="1085"/>
    </row>
    <row r="1966" spans="1:15" ht="15" customHeight="1">
      <c r="A1966" s="1056" t="s">
        <v>374</v>
      </c>
      <c r="B1966" s="1057" t="s">
        <v>2674</v>
      </c>
      <c r="C1966" s="1058" t="e">
        <f>VLOOKUP(B1958,'LƯƠNG KT'!$D$15:$R$94,12,0)</f>
        <v>#N/A</v>
      </c>
      <c r="D1966" s="1059" t="e">
        <f>VLOOKUP(B1958,'LƯƠNG KT'!$D$15:$R$94,14,0)</f>
        <v>#N/A</v>
      </c>
      <c r="E1966" s="1063"/>
      <c r="F1966" s="1061"/>
      <c r="G1966" s="1056" t="s">
        <v>374</v>
      </c>
      <c r="H1966" s="1057" t="s">
        <v>2674</v>
      </c>
      <c r="I1966" s="1058" t="e">
        <f>VLOOKUP(H1958,'LƯƠNG KT'!$D$15:$R$94,12,0)</f>
        <v>#N/A</v>
      </c>
      <c r="J1966" s="1059" t="e">
        <f>VLOOKUP(H1958,'LƯƠNG KT'!$D$15:$R$94,14,0)</f>
        <v>#N/A</v>
      </c>
      <c r="K1966" s="1085"/>
      <c r="L1966" s="1085"/>
      <c r="M1966" s="1085"/>
      <c r="N1966" s="1085"/>
      <c r="O1966" s="1085"/>
    </row>
    <row r="1967" spans="1:15" ht="15" customHeight="1">
      <c r="A1967" s="1056" t="s">
        <v>2675</v>
      </c>
      <c r="B1967" s="1057" t="s">
        <v>2676</v>
      </c>
      <c r="D1967" s="1064" t="e">
        <f>VLOOKUP(B1958,'LƯƠNG KT'!$D$15:$R$94,13,0)</f>
        <v>#N/A</v>
      </c>
      <c r="E1967" s="1065"/>
      <c r="F1967" s="1065"/>
      <c r="G1967" s="1056" t="s">
        <v>2675</v>
      </c>
      <c r="H1967" s="1057" t="s">
        <v>2676</v>
      </c>
      <c r="J1967" s="1064" t="e">
        <f>VLOOKUP(H1958,'LƯƠNG KT'!$D$15:$R$94,13,0)</f>
        <v>#N/A</v>
      </c>
    </row>
    <row r="1968" spans="1:15" ht="15" customHeight="1">
      <c r="A1968" s="1066"/>
      <c r="B1968" s="869"/>
      <c r="C1968" s="1058"/>
      <c r="D1968" s="1059"/>
      <c r="E1968" s="1063"/>
      <c r="F1968" s="1065"/>
      <c r="G1968" s="1066"/>
      <c r="H1968" s="869"/>
      <c r="I1968" s="1058"/>
      <c r="J1968" s="1059"/>
    </row>
    <row r="1969" spans="1:15" ht="15" customHeight="1">
      <c r="A1969" s="1052"/>
      <c r="B1969" s="869"/>
      <c r="C1969" s="1058"/>
      <c r="D1969" s="1059"/>
      <c r="E1969" s="1067"/>
      <c r="F1969" s="1051"/>
      <c r="G1969" s="1052"/>
      <c r="H1969" s="869"/>
      <c r="I1969" s="1058"/>
      <c r="J1969" s="1059"/>
    </row>
    <row r="1970" spans="1:15" ht="15" customHeight="1">
      <c r="A1970" s="1068" t="s">
        <v>383</v>
      </c>
      <c r="B1970" s="1069" t="s">
        <v>384</v>
      </c>
      <c r="C1970" s="1070"/>
      <c r="D1970" s="1071" t="e">
        <f>SUM(D1959:D1966)-D1969</f>
        <v>#N/A</v>
      </c>
      <c r="E1970" s="1072"/>
      <c r="F1970" s="1073"/>
      <c r="G1970" s="1068" t="s">
        <v>383</v>
      </c>
      <c r="H1970" s="1069" t="s">
        <v>384</v>
      </c>
      <c r="I1970" s="1070"/>
      <c r="J1970" s="1071" t="e">
        <f>SUM(J1959:J1966)-J1969</f>
        <v>#N/A</v>
      </c>
    </row>
    <row r="1971" spans="1:15" ht="12.6" customHeight="1">
      <c r="A1971" s="1074"/>
      <c r="B1971" s="1075"/>
      <c r="C1971" s="1076"/>
      <c r="D1971" s="1077"/>
      <c r="E1971" s="1077"/>
      <c r="F1971" s="1078"/>
      <c r="G1971" s="1074"/>
      <c r="H1971" s="1075"/>
      <c r="I1971" s="1076"/>
      <c r="J1971" s="1077"/>
    </row>
    <row r="1972" spans="1:15" ht="12.6" customHeight="1">
      <c r="A1972" s="1075"/>
      <c r="B1972" s="1075"/>
      <c r="C1972" s="1079"/>
      <c r="D1972" s="1080"/>
      <c r="E1972" s="1075"/>
      <c r="F1972" s="1081"/>
      <c r="G1972" s="1075"/>
      <c r="H1972" s="1075"/>
      <c r="I1972" s="1079"/>
      <c r="J1972" s="1080"/>
    </row>
    <row r="1973" spans="1:15" ht="15" customHeight="1">
      <c r="A1973" s="2242" t="str">
        <f>$K$2</f>
        <v>THÁNG 04/2025</v>
      </c>
      <c r="B1973" s="2242"/>
      <c r="C1973" s="2242"/>
      <c r="D1973" s="2242"/>
      <c r="E1973" s="1050"/>
      <c r="F1973" s="1051"/>
      <c r="G1973" s="2242" t="str">
        <f>$K$2</f>
        <v>THÁNG 04/2025</v>
      </c>
      <c r="H1973" s="2242"/>
      <c r="I1973" s="2242"/>
      <c r="J1973" s="2242"/>
      <c r="K1973" s="624"/>
    </row>
    <row r="1974" spans="1:15" ht="15" customHeight="1">
      <c r="A1974" s="1052" t="s">
        <v>356</v>
      </c>
      <c r="B1974" s="1053" t="s">
        <v>134</v>
      </c>
      <c r="C1974" s="869"/>
      <c r="D1974" s="1049"/>
      <c r="E1974" s="1054"/>
      <c r="F1974" s="1055"/>
      <c r="G1974" s="1052" t="s">
        <v>356</v>
      </c>
      <c r="H1974" s="1053" t="s">
        <v>135</v>
      </c>
      <c r="I1974" s="869"/>
      <c r="J1974" s="1049"/>
      <c r="L1974" s="1088"/>
      <c r="M1974" s="1088"/>
      <c r="N1974" s="1088"/>
      <c r="O1974" s="1088"/>
    </row>
    <row r="1975" spans="1:15" ht="15" customHeight="1">
      <c r="A1975" s="1056" t="s">
        <v>359</v>
      </c>
      <c r="B1975" s="1057" t="s">
        <v>2662</v>
      </c>
      <c r="C1975" s="1058" t="e">
        <f>VLOOKUP(B1974,'LƯƠNG KT'!$D$15:$R$94,4,0)</f>
        <v>#N/A</v>
      </c>
      <c r="D1975" s="1059" t="e">
        <f>+C1975*25000</f>
        <v>#N/A</v>
      </c>
      <c r="E1975" s="1060"/>
      <c r="F1975" s="1060"/>
      <c r="G1975" s="1056" t="s">
        <v>359</v>
      </c>
      <c r="H1975" s="1057" t="s">
        <v>2662</v>
      </c>
      <c r="I1975" s="1058" t="e">
        <f>VLOOKUP(H1974,'LƯƠNG KT'!$D$15:$R$94,4,0)</f>
        <v>#N/A</v>
      </c>
      <c r="J1975" s="1059" t="e">
        <f>+I1975*25000</f>
        <v>#N/A</v>
      </c>
      <c r="K1975" s="1085"/>
      <c r="L1975" s="1085"/>
      <c r="M1975" s="1085"/>
      <c r="N1975" s="1085"/>
      <c r="O1975" s="1085"/>
    </row>
    <row r="1976" spans="1:15" ht="15" customHeight="1">
      <c r="A1976" s="1056" t="s">
        <v>361</v>
      </c>
      <c r="B1976" s="1057" t="s">
        <v>2663</v>
      </c>
      <c r="C1976" s="1058" t="e">
        <f>VLOOKUP(B1974,'LƯƠNG KT'!$D$15:$R$94,15,0)</f>
        <v>#N/A</v>
      </c>
      <c r="D1976" s="1059" t="e">
        <f>C1976*$L$4</f>
        <v>#N/A</v>
      </c>
      <c r="E1976" s="1061"/>
      <c r="F1976" s="1061"/>
      <c r="G1976" s="1056" t="s">
        <v>361</v>
      </c>
      <c r="H1976" s="1057" t="s">
        <v>2663</v>
      </c>
      <c r="I1976" s="1058" t="e">
        <f>VLOOKUP(H1974,'LƯƠNG KT'!$D$15:$R$94,15,0)</f>
        <v>#N/A</v>
      </c>
      <c r="J1976" s="1059" t="e">
        <f>I1976*$L$4</f>
        <v>#N/A</v>
      </c>
      <c r="K1976" s="1085"/>
      <c r="L1976" s="1085"/>
      <c r="M1976" s="1085"/>
      <c r="N1976" s="1085"/>
      <c r="O1976" s="1085"/>
    </row>
    <row r="1977" spans="1:15" ht="15" customHeight="1">
      <c r="A1977" s="1056" t="s">
        <v>364</v>
      </c>
      <c r="B1977" s="1057" t="s">
        <v>2664</v>
      </c>
      <c r="C1977" s="1058" t="e">
        <f>VLOOKUP(B1974,'LƯƠNG KT'!$D$15:$R$94,16,0)</f>
        <v>#N/A</v>
      </c>
      <c r="D1977" s="1059" t="e">
        <f>C1977*$L$5</f>
        <v>#N/A</v>
      </c>
      <c r="E1977" s="1061"/>
      <c r="F1977" s="1061"/>
      <c r="G1977" s="1056" t="s">
        <v>364</v>
      </c>
      <c r="H1977" s="1057" t="s">
        <v>2664</v>
      </c>
      <c r="I1977" s="1058" t="e">
        <f>VLOOKUP(H1974,'LƯƠNG KT'!$D$15:$R$94,16,0)</f>
        <v>#N/A</v>
      </c>
      <c r="J1977" s="1059" t="e">
        <f>I1977*$L$5</f>
        <v>#N/A</v>
      </c>
      <c r="K1977" s="1085"/>
      <c r="L1977" s="1085"/>
      <c r="M1977" s="1085"/>
      <c r="N1977" s="1085"/>
      <c r="O1977" s="1085"/>
    </row>
    <row r="1978" spans="1:15" ht="15" customHeight="1">
      <c r="A1978" s="1056" t="s">
        <v>370</v>
      </c>
      <c r="B1978" s="1057" t="s">
        <v>2665</v>
      </c>
      <c r="C1978" s="1058" t="e">
        <f>VLOOKUP(B1974,'LƯƠNG KT'!$D$15:$R$94,24,0)</f>
        <v>#N/A</v>
      </c>
      <c r="D1978" s="1059" t="e">
        <f>+C1978*$L$6</f>
        <v>#N/A</v>
      </c>
      <c r="E1978" s="1061"/>
      <c r="F1978" s="1061"/>
      <c r="G1978" s="1056" t="s">
        <v>370</v>
      </c>
      <c r="H1978" s="1057" t="s">
        <v>2665</v>
      </c>
      <c r="I1978" s="1058" t="e">
        <f>VLOOKUP(H1974,'LƯƠNG KT'!$D$15:$R$94,24,0)</f>
        <v>#N/A</v>
      </c>
      <c r="J1978" s="1059" t="e">
        <f>+I1978*$L$6</f>
        <v>#N/A</v>
      </c>
      <c r="K1978" s="1085"/>
      <c r="L1978" s="1085"/>
      <c r="M1978" s="1085"/>
      <c r="N1978" s="1085"/>
      <c r="O1978" s="1085"/>
    </row>
    <row r="1979" spans="1:15" ht="15" customHeight="1">
      <c r="A1979" s="1056" t="s">
        <v>2666</v>
      </c>
      <c r="B1979" s="1057" t="s">
        <v>2667</v>
      </c>
      <c r="C1979" s="1058" t="e">
        <f>VLOOKUP(B1974,'LƯƠNG KT'!$D$15:$R$94,19,0)</f>
        <v>#N/A</v>
      </c>
      <c r="D1979" s="1059" t="e">
        <f>+C1979*$L$8</f>
        <v>#N/A</v>
      </c>
      <c r="E1979" s="1061"/>
      <c r="F1979" s="1061"/>
      <c r="G1979" s="1056" t="s">
        <v>2666</v>
      </c>
      <c r="H1979" s="1057" t="s">
        <v>2667</v>
      </c>
      <c r="I1979" s="1058" t="e">
        <f>VLOOKUP(H1974,'LƯƠNG KT'!$D$15:$R$94,19,0)</f>
        <v>#N/A</v>
      </c>
      <c r="J1979" s="1059" t="e">
        <f>+I1979*$L$8</f>
        <v>#N/A</v>
      </c>
      <c r="K1979" s="1085"/>
      <c r="L1979" s="1085"/>
      <c r="M1979" s="1085"/>
      <c r="N1979" s="1085"/>
      <c r="O1979" s="1085"/>
    </row>
    <row r="1980" spans="1:15" ht="15" customHeight="1">
      <c r="A1980" s="1056" t="s">
        <v>2668</v>
      </c>
      <c r="B1980" s="1062" t="s">
        <v>2669</v>
      </c>
      <c r="C1980" s="1058" t="e">
        <f>VLOOKUP(B1974,'LƯƠNG KT'!$D$15:$R$94,20,0)</f>
        <v>#N/A</v>
      </c>
      <c r="D1980" s="1059" t="e">
        <f>+C1980*$L$9</f>
        <v>#N/A</v>
      </c>
      <c r="E1980" s="1061"/>
      <c r="F1980" s="1061"/>
      <c r="G1980" s="1056" t="s">
        <v>2668</v>
      </c>
      <c r="H1980" s="1062" t="s">
        <v>2669</v>
      </c>
      <c r="I1980" s="1058" t="e">
        <f>VLOOKUP(H1974,'LƯƠNG KT'!$D$15:$R$94,20,0)</f>
        <v>#N/A</v>
      </c>
      <c r="J1980" s="1059" t="e">
        <f>+I1980*$L$9</f>
        <v>#N/A</v>
      </c>
      <c r="K1980" s="1085"/>
      <c r="L1980" s="1085"/>
      <c r="M1980" s="1085"/>
      <c r="N1980" s="1085"/>
      <c r="O1980" s="1085"/>
    </row>
    <row r="1981" spans="1:15" ht="15" customHeight="1">
      <c r="A1981" s="1056" t="s">
        <v>2671</v>
      </c>
      <c r="B1981" s="1057" t="s">
        <v>2672</v>
      </c>
      <c r="C1981" s="1058" t="e">
        <f>VLOOKUP(B1974,'LƯƠNG KT'!$D$15:$R$94,17,0)</f>
        <v>#N/A</v>
      </c>
      <c r="D1981" s="1059" t="e">
        <f>+C1981*$L$10</f>
        <v>#N/A</v>
      </c>
      <c r="E1981" s="1061"/>
      <c r="F1981" s="1061"/>
      <c r="G1981" s="1056" t="s">
        <v>2671</v>
      </c>
      <c r="H1981" s="1057" t="s">
        <v>2672</v>
      </c>
      <c r="I1981" s="1058" t="e">
        <f>VLOOKUP(H1974,'LƯƠNG KT'!$D$15:$R$94,17,0)</f>
        <v>#N/A</v>
      </c>
      <c r="J1981" s="1059" t="e">
        <f>+I1981*$L$10</f>
        <v>#N/A</v>
      </c>
      <c r="K1981" s="1085"/>
      <c r="L1981" s="1085"/>
      <c r="M1981" s="1085"/>
      <c r="N1981" s="1085"/>
      <c r="O1981" s="1085"/>
    </row>
    <row r="1982" spans="1:15" ht="15" customHeight="1">
      <c r="A1982" s="1056" t="s">
        <v>374</v>
      </c>
      <c r="B1982" s="1057" t="s">
        <v>2674</v>
      </c>
      <c r="C1982" s="1058" t="e">
        <f>VLOOKUP(B1974,'LƯƠNG KT'!$D$15:$R$94,12,0)</f>
        <v>#N/A</v>
      </c>
      <c r="D1982" s="1059" t="e">
        <f>VLOOKUP(B1974,'LƯƠNG KT'!$D$15:$R$94,14,0)</f>
        <v>#N/A</v>
      </c>
      <c r="E1982" s="1063"/>
      <c r="F1982" s="1061"/>
      <c r="G1982" s="1056" t="s">
        <v>374</v>
      </c>
      <c r="H1982" s="1057" t="s">
        <v>2674</v>
      </c>
      <c r="I1982" s="1058" t="e">
        <f>VLOOKUP(H1974,'LƯƠNG KT'!$D$15:$R$94,12,0)</f>
        <v>#N/A</v>
      </c>
      <c r="J1982" s="1059" t="e">
        <f>VLOOKUP(H1974,'LƯƠNG KT'!$D$15:$R$94,14,0)</f>
        <v>#N/A</v>
      </c>
      <c r="K1982" s="1085"/>
      <c r="L1982" s="1085"/>
      <c r="M1982" s="1085"/>
      <c r="N1982" s="1085"/>
      <c r="O1982" s="1085"/>
    </row>
    <row r="1983" spans="1:15" ht="15" customHeight="1">
      <c r="A1983" s="1056" t="s">
        <v>2675</v>
      </c>
      <c r="B1983" s="1057" t="s">
        <v>2676</v>
      </c>
      <c r="D1983" s="1064" t="e">
        <f>VLOOKUP(B1974,'LƯƠNG KT'!$D$15:$R$94,13,0)</f>
        <v>#N/A</v>
      </c>
      <c r="E1983" s="1065"/>
      <c r="F1983" s="1065"/>
      <c r="G1983" s="1056" t="s">
        <v>2675</v>
      </c>
      <c r="H1983" s="1057" t="s">
        <v>2676</v>
      </c>
      <c r="J1983" s="1064" t="e">
        <f>VLOOKUP(H1974,'LƯƠNG KT'!$D$15:$R$94,13,0)</f>
        <v>#N/A</v>
      </c>
    </row>
    <row r="1984" spans="1:15" ht="15" customHeight="1">
      <c r="A1984" s="1066"/>
      <c r="B1984" s="869"/>
      <c r="C1984" s="1058"/>
      <c r="D1984" s="1059"/>
      <c r="E1984" s="1063"/>
      <c r="F1984" s="1065"/>
      <c r="G1984" s="1066"/>
      <c r="H1984" s="869"/>
      <c r="I1984" s="1058"/>
      <c r="J1984" s="1059"/>
    </row>
    <row r="1985" spans="1:15" ht="15" customHeight="1">
      <c r="A1985" s="1052"/>
      <c r="B1985" s="869"/>
      <c r="C1985" s="1058"/>
      <c r="D1985" s="1059"/>
      <c r="E1985" s="1067"/>
      <c r="F1985" s="1051"/>
      <c r="G1985" s="1052"/>
      <c r="H1985" s="869"/>
      <c r="I1985" s="1058"/>
      <c r="J1985" s="1059"/>
    </row>
    <row r="1986" spans="1:15" ht="15" customHeight="1">
      <c r="A1986" s="1068" t="s">
        <v>383</v>
      </c>
      <c r="B1986" s="1069" t="s">
        <v>384</v>
      </c>
      <c r="C1986" s="1070"/>
      <c r="D1986" s="1071" t="e">
        <f>SUM(D1975:D1982)-D1985</f>
        <v>#N/A</v>
      </c>
      <c r="E1986" s="1072"/>
      <c r="F1986" s="1073"/>
      <c r="G1986" s="1068" t="s">
        <v>383</v>
      </c>
      <c r="H1986" s="1069" t="s">
        <v>384</v>
      </c>
      <c r="I1986" s="1070"/>
      <c r="J1986" s="1071" t="e">
        <f>SUM(J1975:J1982)-J1985</f>
        <v>#N/A</v>
      </c>
    </row>
    <row r="1987" spans="1:15" ht="18.75" customHeight="1">
      <c r="A1987" s="1074"/>
      <c r="B1987" s="1075"/>
      <c r="C1987" s="1076"/>
      <c r="D1987" s="1077"/>
      <c r="E1987" s="1077"/>
      <c r="F1987" s="1078"/>
      <c r="G1987" s="1074"/>
      <c r="H1987" s="1075"/>
      <c r="I1987" s="1076"/>
      <c r="J1987" s="1077"/>
    </row>
    <row r="1988" spans="1:15" ht="141.75" customHeight="1">
      <c r="A1988" s="1075"/>
      <c r="B1988" s="1075"/>
      <c r="C1988" s="1079"/>
      <c r="D1988" s="1080"/>
      <c r="E1988" s="1075"/>
      <c r="F1988" s="1081"/>
      <c r="G1988" s="1075"/>
      <c r="H1988" s="1075"/>
      <c r="I1988" s="1079"/>
      <c r="J1988" s="1080"/>
    </row>
    <row r="1989" spans="1:15" ht="15" customHeight="1">
      <c r="A1989" s="2242" t="str">
        <f>$K$2</f>
        <v>THÁNG 04/2025</v>
      </c>
      <c r="B1989" s="2242"/>
      <c r="C1989" s="2242"/>
      <c r="D1989" s="2242"/>
      <c r="E1989" s="1050"/>
      <c r="F1989" s="1051"/>
      <c r="G1989" s="2242" t="str">
        <f>$K$2</f>
        <v>THÁNG 04/2025</v>
      </c>
      <c r="H1989" s="2242"/>
      <c r="I1989" s="2242"/>
      <c r="J1989" s="2242"/>
      <c r="K1989" s="624"/>
    </row>
    <row r="1990" spans="1:15" ht="15" customHeight="1">
      <c r="A1990" s="1052" t="s">
        <v>356</v>
      </c>
      <c r="B1990" s="1053"/>
      <c r="C1990" s="869"/>
      <c r="D1990" s="1049"/>
      <c r="E1990" s="1054"/>
      <c r="F1990" s="1055"/>
      <c r="G1990" s="1052" t="s">
        <v>356</v>
      </c>
      <c r="H1990" s="1053" t="s">
        <v>136</v>
      </c>
      <c r="I1990" s="869"/>
      <c r="J1990" s="1049"/>
      <c r="L1990" s="1088"/>
      <c r="M1990" s="1088"/>
      <c r="N1990" s="1088"/>
      <c r="O1990" s="1088"/>
    </row>
    <row r="1991" spans="1:15" ht="15" customHeight="1">
      <c r="A1991" s="1056" t="s">
        <v>359</v>
      </c>
      <c r="B1991" s="1057" t="s">
        <v>2662</v>
      </c>
      <c r="C1991" s="1058" t="e">
        <f>VLOOKUP(B1990,'LƯƠNG KT'!$D$15:$R$94,4,0)</f>
        <v>#N/A</v>
      </c>
      <c r="D1991" s="1059" t="e">
        <f>+C1991*25000</f>
        <v>#N/A</v>
      </c>
      <c r="E1991" s="1060"/>
      <c r="F1991" s="1060"/>
      <c r="G1991" s="1056" t="s">
        <v>359</v>
      </c>
      <c r="H1991" s="1057" t="s">
        <v>2662</v>
      </c>
      <c r="I1991" s="1058" t="e">
        <f>VLOOKUP(H1990,'LƯƠNG KT'!$D$15:$R$94,4,0)</f>
        <v>#N/A</v>
      </c>
      <c r="J1991" s="1059" t="e">
        <f>+I1991*25000</f>
        <v>#N/A</v>
      </c>
      <c r="K1991" s="1085"/>
      <c r="L1991" s="1085"/>
      <c r="M1991" s="1085"/>
      <c r="N1991" s="1085"/>
      <c r="O1991" s="1085"/>
    </row>
    <row r="1992" spans="1:15" ht="15" customHeight="1">
      <c r="A1992" s="1056" t="s">
        <v>361</v>
      </c>
      <c r="B1992" s="1057" t="s">
        <v>2663</v>
      </c>
      <c r="C1992" s="1058" t="e">
        <f>VLOOKUP(B1990,'LƯƠNG KT'!$D$15:$R$94,15,0)</f>
        <v>#N/A</v>
      </c>
      <c r="D1992" s="1059" t="e">
        <f>C1992*$L$4</f>
        <v>#N/A</v>
      </c>
      <c r="E1992" s="1061"/>
      <c r="F1992" s="1061"/>
      <c r="G1992" s="1056" t="s">
        <v>361</v>
      </c>
      <c r="H1992" s="1057" t="s">
        <v>2663</v>
      </c>
      <c r="I1992" s="1058" t="e">
        <f>VLOOKUP(H1990,'LƯƠNG KT'!$D$15:$R$94,15,0)</f>
        <v>#N/A</v>
      </c>
      <c r="J1992" s="1059" t="e">
        <f>I1992*$L$4</f>
        <v>#N/A</v>
      </c>
      <c r="K1992" s="1085"/>
      <c r="L1992" s="1085"/>
      <c r="M1992" s="1085"/>
      <c r="N1992" s="1085"/>
      <c r="O1992" s="1085"/>
    </row>
    <row r="1993" spans="1:15" ht="15" customHeight="1">
      <c r="A1993" s="1056" t="s">
        <v>364</v>
      </c>
      <c r="B1993" s="1057" t="s">
        <v>2664</v>
      </c>
      <c r="C1993" s="1058" t="e">
        <f>VLOOKUP(B1990,'LƯƠNG KT'!$D$15:$R$94,16,0)</f>
        <v>#N/A</v>
      </c>
      <c r="D1993" s="1059" t="e">
        <f>C1993*$L$5</f>
        <v>#N/A</v>
      </c>
      <c r="E1993" s="1061"/>
      <c r="F1993" s="1061"/>
      <c r="G1993" s="1056" t="s">
        <v>364</v>
      </c>
      <c r="H1993" s="1057" t="s">
        <v>2664</v>
      </c>
      <c r="I1993" s="1058" t="e">
        <f>VLOOKUP(H1990,'LƯƠNG KT'!$D$15:$R$94,16,0)</f>
        <v>#N/A</v>
      </c>
      <c r="J1993" s="1059" t="e">
        <f>I1993*$L$5</f>
        <v>#N/A</v>
      </c>
      <c r="K1993" s="1085"/>
      <c r="L1993" s="1085"/>
      <c r="M1993" s="1085"/>
      <c r="N1993" s="1085"/>
      <c r="O1993" s="1085"/>
    </row>
    <row r="1994" spans="1:15" ht="15" customHeight="1">
      <c r="A1994" s="1056" t="s">
        <v>370</v>
      </c>
      <c r="B1994" s="1057" t="s">
        <v>2665</v>
      </c>
      <c r="C1994" s="1058" t="e">
        <f>VLOOKUP(B1990,'LƯƠNG KT'!$D$15:$R$94,24,0)</f>
        <v>#N/A</v>
      </c>
      <c r="D1994" s="1059" t="e">
        <f>+C1994*$L$6</f>
        <v>#N/A</v>
      </c>
      <c r="E1994" s="1061"/>
      <c r="F1994" s="1061"/>
      <c r="G1994" s="1056" t="s">
        <v>370</v>
      </c>
      <c r="H1994" s="1057" t="s">
        <v>2665</v>
      </c>
      <c r="I1994" s="1058" t="e">
        <f>VLOOKUP(H1990,'LƯƠNG KT'!$D$15:$R$94,24,0)</f>
        <v>#N/A</v>
      </c>
      <c r="J1994" s="1059" t="e">
        <f>+I1994*$L$6</f>
        <v>#N/A</v>
      </c>
      <c r="K1994" s="1085"/>
      <c r="L1994" s="1085"/>
      <c r="M1994" s="1085"/>
      <c r="N1994" s="1085"/>
      <c r="O1994" s="1085"/>
    </row>
    <row r="1995" spans="1:15" ht="15" customHeight="1">
      <c r="A1995" s="1056" t="s">
        <v>2666</v>
      </c>
      <c r="B1995" s="1057" t="s">
        <v>2667</v>
      </c>
      <c r="C1995" s="1058" t="e">
        <f>VLOOKUP(B1990,'LƯƠNG KT'!$D$15:$R$94,19,0)</f>
        <v>#N/A</v>
      </c>
      <c r="D1995" s="1059" t="e">
        <f>+C1995*$L$8</f>
        <v>#N/A</v>
      </c>
      <c r="E1995" s="1061"/>
      <c r="F1995" s="1061"/>
      <c r="G1995" s="1056" t="s">
        <v>2666</v>
      </c>
      <c r="H1995" s="1057" t="s">
        <v>2667</v>
      </c>
      <c r="I1995" s="1058" t="e">
        <f>VLOOKUP(H1990,'LƯƠNG KT'!$D$15:$R$94,19,0)</f>
        <v>#N/A</v>
      </c>
      <c r="J1995" s="1059" t="e">
        <f>+I1995*$L$8</f>
        <v>#N/A</v>
      </c>
      <c r="K1995" s="1085"/>
      <c r="L1995" s="1085"/>
      <c r="M1995" s="1085"/>
      <c r="N1995" s="1085"/>
      <c r="O1995" s="1085"/>
    </row>
    <row r="1996" spans="1:15" ht="15" customHeight="1">
      <c r="A1996" s="1056" t="s">
        <v>2668</v>
      </c>
      <c r="B1996" s="1062" t="s">
        <v>2669</v>
      </c>
      <c r="C1996" s="1058" t="e">
        <f>VLOOKUP(B1990,'LƯƠNG KT'!$D$15:$R$94,20,0)</f>
        <v>#N/A</v>
      </c>
      <c r="D1996" s="1059" t="e">
        <f>+C1996*$L$9</f>
        <v>#N/A</v>
      </c>
      <c r="E1996" s="1061"/>
      <c r="F1996" s="1061"/>
      <c r="G1996" s="1056" t="s">
        <v>2668</v>
      </c>
      <c r="H1996" s="1062" t="s">
        <v>2669</v>
      </c>
      <c r="I1996" s="1058" t="e">
        <f>VLOOKUP(H1990,'LƯƠNG KT'!$D$15:$R$94,20,0)</f>
        <v>#N/A</v>
      </c>
      <c r="J1996" s="1059" t="e">
        <f>+I1996*$L$9</f>
        <v>#N/A</v>
      </c>
      <c r="K1996" s="1085"/>
      <c r="L1996" s="1085"/>
      <c r="M1996" s="1085"/>
      <c r="N1996" s="1085"/>
      <c r="O1996" s="1085"/>
    </row>
    <row r="1997" spans="1:15" ht="15" customHeight="1">
      <c r="A1997" s="1056" t="s">
        <v>2671</v>
      </c>
      <c r="B1997" s="1057" t="s">
        <v>2672</v>
      </c>
      <c r="C1997" s="1058" t="e">
        <f>VLOOKUP(B1990,'LƯƠNG KT'!$D$15:$R$94,17,0)</f>
        <v>#N/A</v>
      </c>
      <c r="D1997" s="1059" t="e">
        <f>+C1997*$L$10</f>
        <v>#N/A</v>
      </c>
      <c r="E1997" s="1061"/>
      <c r="F1997" s="1061"/>
      <c r="G1997" s="1056" t="s">
        <v>2671</v>
      </c>
      <c r="H1997" s="1057" t="s">
        <v>2672</v>
      </c>
      <c r="I1997" s="1058" t="e">
        <f>VLOOKUP(H1990,'LƯƠNG KT'!$D$15:$R$94,17,0)</f>
        <v>#N/A</v>
      </c>
      <c r="J1997" s="1059" t="e">
        <f>+I1997*$L$10</f>
        <v>#N/A</v>
      </c>
      <c r="K1997" s="1085"/>
      <c r="L1997" s="1085"/>
      <c r="M1997" s="1085"/>
      <c r="N1997" s="1085"/>
      <c r="O1997" s="1085"/>
    </row>
    <row r="1998" spans="1:15" ht="15" customHeight="1">
      <c r="A1998" s="1056" t="s">
        <v>374</v>
      </c>
      <c r="B1998" s="1057" t="s">
        <v>2674</v>
      </c>
      <c r="C1998" s="1058" t="e">
        <f>VLOOKUP(B1990,'LƯƠNG KT'!$D$15:$R$94,12,0)</f>
        <v>#N/A</v>
      </c>
      <c r="D1998" s="1059" t="e">
        <f>VLOOKUP(B1990,'LƯƠNG KT'!$D$15:$R$94,14,0)</f>
        <v>#N/A</v>
      </c>
      <c r="E1998" s="1063"/>
      <c r="F1998" s="1061"/>
      <c r="G1998" s="1056" t="s">
        <v>374</v>
      </c>
      <c r="H1998" s="1057" t="s">
        <v>2674</v>
      </c>
      <c r="I1998" s="1058" t="e">
        <f>VLOOKUP(H1990,'LƯƠNG KT'!$D$15:$R$94,12,0)</f>
        <v>#N/A</v>
      </c>
      <c r="J1998" s="1059" t="e">
        <f>VLOOKUP(H1990,'LƯƠNG KT'!$D$15:$R$94,14,0)</f>
        <v>#N/A</v>
      </c>
      <c r="K1998" s="1085"/>
      <c r="L1998" s="1085"/>
      <c r="M1998" s="1085"/>
      <c r="N1998" s="1085"/>
      <c r="O1998" s="1085"/>
    </row>
    <row r="1999" spans="1:15" ht="15" customHeight="1">
      <c r="A1999" s="1056" t="s">
        <v>2675</v>
      </c>
      <c r="B1999" s="1057" t="s">
        <v>2676</v>
      </c>
      <c r="D1999" s="1064" t="e">
        <f>VLOOKUP(B1990,'LƯƠNG KT'!$D$15:$R$94,13,0)</f>
        <v>#N/A</v>
      </c>
      <c r="E1999" s="1065"/>
      <c r="F1999" s="1065"/>
      <c r="G1999" s="1056" t="s">
        <v>2675</v>
      </c>
      <c r="H1999" s="1057" t="s">
        <v>2676</v>
      </c>
      <c r="J1999" s="1064" t="e">
        <f>VLOOKUP(H1990,'LƯƠNG KT'!$D$15:$R$94,13,0)</f>
        <v>#N/A</v>
      </c>
    </row>
    <row r="2000" spans="1:15" ht="15" customHeight="1">
      <c r="A2000" s="1066"/>
      <c r="B2000" s="869"/>
      <c r="C2000" s="1058"/>
      <c r="D2000" s="1059"/>
      <c r="E2000" s="1063"/>
      <c r="F2000" s="1065"/>
      <c r="G2000" s="1066"/>
      <c r="H2000" s="869"/>
      <c r="I2000" s="1058"/>
      <c r="J2000" s="1059"/>
    </row>
    <row r="2001" spans="1:15" ht="15" customHeight="1">
      <c r="A2001" s="1052"/>
      <c r="B2001" s="869"/>
      <c r="C2001" s="1058"/>
      <c r="D2001" s="1059"/>
      <c r="E2001" s="1067"/>
      <c r="F2001" s="1051"/>
      <c r="G2001" s="1052"/>
      <c r="H2001" s="869"/>
      <c r="I2001" s="1058"/>
      <c r="J2001" s="1059"/>
    </row>
    <row r="2002" spans="1:15" ht="15" customHeight="1">
      <c r="A2002" s="1068" t="s">
        <v>383</v>
      </c>
      <c r="B2002" s="1069" t="s">
        <v>384</v>
      </c>
      <c r="C2002" s="1070"/>
      <c r="D2002" s="1071"/>
      <c r="E2002" s="1072"/>
      <c r="F2002" s="1073"/>
      <c r="G2002" s="1068" t="s">
        <v>383</v>
      </c>
      <c r="H2002" s="1069" t="s">
        <v>384</v>
      </c>
      <c r="I2002" s="1070"/>
      <c r="J2002" s="1071" t="e">
        <f>SUM(J1991:J1998)-J2001</f>
        <v>#N/A</v>
      </c>
    </row>
    <row r="2003" spans="1:15" ht="18.75" customHeight="1">
      <c r="A2003" s="1074"/>
      <c r="B2003" s="1075"/>
      <c r="C2003" s="1076"/>
      <c r="D2003" s="1077"/>
      <c r="E2003" s="1077"/>
      <c r="F2003" s="1078"/>
      <c r="G2003" s="1074"/>
      <c r="H2003" s="1075"/>
      <c r="I2003" s="1076"/>
      <c r="J2003" s="1077"/>
    </row>
    <row r="2004" spans="1:15" ht="18.75" customHeight="1">
      <c r="A2004" s="1075"/>
      <c r="B2004" s="1075"/>
      <c r="C2004" s="1079"/>
      <c r="D2004" s="1080"/>
      <c r="E2004" s="1075"/>
      <c r="F2004" s="1081"/>
      <c r="G2004" s="1075"/>
      <c r="H2004" s="1075"/>
      <c r="I2004" s="1079"/>
      <c r="J2004" s="1080"/>
    </row>
    <row r="2005" spans="1:15" ht="15" customHeight="1">
      <c r="A2005" s="2242" t="str">
        <f>$K$2</f>
        <v>THÁNG 04/2025</v>
      </c>
      <c r="B2005" s="2242"/>
      <c r="C2005" s="2242"/>
      <c r="D2005" s="2242"/>
      <c r="E2005" s="1050"/>
      <c r="F2005" s="1051"/>
      <c r="G2005" s="2242" t="str">
        <f>$K$2</f>
        <v>THÁNG 04/2025</v>
      </c>
      <c r="H2005" s="2242"/>
      <c r="I2005" s="2242"/>
      <c r="J2005" s="2242"/>
      <c r="K2005" s="624"/>
    </row>
    <row r="2006" spans="1:15" ht="15" customHeight="1">
      <c r="A2006" s="1052" t="s">
        <v>356</v>
      </c>
      <c r="B2006" s="1053" t="s">
        <v>137</v>
      </c>
      <c r="C2006" s="869"/>
      <c r="D2006" s="1049"/>
      <c r="E2006" s="1054"/>
      <c r="F2006" s="1055"/>
      <c r="G2006" s="1052" t="s">
        <v>356</v>
      </c>
      <c r="H2006" s="1053" t="s">
        <v>138</v>
      </c>
      <c r="I2006" s="869"/>
      <c r="J2006" s="1049"/>
      <c r="L2006" s="1088"/>
      <c r="M2006" s="1088"/>
      <c r="N2006" s="1088"/>
      <c r="O2006" s="1088"/>
    </row>
    <row r="2007" spans="1:15" ht="15" customHeight="1">
      <c r="A2007" s="1056" t="s">
        <v>359</v>
      </c>
      <c r="B2007" s="1057" t="s">
        <v>2662</v>
      </c>
      <c r="C2007" s="1058" t="e">
        <f>VLOOKUP(B2006,'LƯƠNG KT'!$D$15:$R$94,4,0)</f>
        <v>#N/A</v>
      </c>
      <c r="D2007" s="1059" t="e">
        <f>+C2007*25000</f>
        <v>#N/A</v>
      </c>
      <c r="E2007" s="1060"/>
      <c r="F2007" s="1060"/>
      <c r="G2007" s="1056" t="s">
        <v>359</v>
      </c>
      <c r="H2007" s="1057" t="s">
        <v>2662</v>
      </c>
      <c r="I2007" s="1058" t="e">
        <f>VLOOKUP(H2006,'LƯƠNG KT'!$D$15:$R$94,4,0)</f>
        <v>#N/A</v>
      </c>
      <c r="J2007" s="1059" t="e">
        <f>+I2007*25000</f>
        <v>#N/A</v>
      </c>
      <c r="K2007" s="1085"/>
      <c r="L2007" s="1085"/>
      <c r="M2007" s="1085"/>
      <c r="N2007" s="1085"/>
      <c r="O2007" s="1085"/>
    </row>
    <row r="2008" spans="1:15" ht="15" customHeight="1">
      <c r="A2008" s="1056" t="s">
        <v>361</v>
      </c>
      <c r="B2008" s="1057" t="s">
        <v>2663</v>
      </c>
      <c r="C2008" s="1058" t="e">
        <f>VLOOKUP(B2006,'LƯƠNG KT'!$D$15:$R$94,15,0)</f>
        <v>#N/A</v>
      </c>
      <c r="D2008" s="1059" t="e">
        <f>C2008*$L$4</f>
        <v>#N/A</v>
      </c>
      <c r="E2008" s="1061"/>
      <c r="F2008" s="1061"/>
      <c r="G2008" s="1056" t="s">
        <v>361</v>
      </c>
      <c r="H2008" s="1057" t="s">
        <v>2663</v>
      </c>
      <c r="I2008" s="1058" t="e">
        <f>VLOOKUP(H2006,'LƯƠNG KT'!$D$15:$R$94,15,0)</f>
        <v>#N/A</v>
      </c>
      <c r="J2008" s="1059" t="e">
        <f>I2008*$L$4</f>
        <v>#N/A</v>
      </c>
      <c r="K2008" s="1085"/>
      <c r="L2008" s="1085"/>
      <c r="M2008" s="1085"/>
      <c r="N2008" s="1085"/>
      <c r="O2008" s="1085"/>
    </row>
    <row r="2009" spans="1:15" ht="15" customHeight="1">
      <c r="A2009" s="1056" t="s">
        <v>364</v>
      </c>
      <c r="B2009" s="1057" t="s">
        <v>2664</v>
      </c>
      <c r="C2009" s="1058" t="e">
        <f>VLOOKUP(B2006,'LƯƠNG KT'!$D$15:$R$94,16,0)</f>
        <v>#N/A</v>
      </c>
      <c r="D2009" s="1059" t="e">
        <f>C2009*$L$5</f>
        <v>#N/A</v>
      </c>
      <c r="E2009" s="1061"/>
      <c r="F2009" s="1061"/>
      <c r="G2009" s="1056" t="s">
        <v>364</v>
      </c>
      <c r="H2009" s="1057" t="s">
        <v>2664</v>
      </c>
      <c r="I2009" s="1058" t="e">
        <f>VLOOKUP(H2006,'LƯƠNG KT'!$D$15:$R$94,16,0)</f>
        <v>#N/A</v>
      </c>
      <c r="J2009" s="1059" t="e">
        <f>I2009*$L$5</f>
        <v>#N/A</v>
      </c>
      <c r="K2009" s="1085"/>
      <c r="L2009" s="1085"/>
      <c r="M2009" s="1085"/>
      <c r="N2009" s="1085"/>
      <c r="O2009" s="1085"/>
    </row>
    <row r="2010" spans="1:15" ht="15" customHeight="1">
      <c r="A2010" s="1056" t="s">
        <v>370</v>
      </c>
      <c r="B2010" s="1057" t="s">
        <v>2665</v>
      </c>
      <c r="C2010" s="1058" t="e">
        <f>VLOOKUP(B2006,'LƯƠNG KT'!$D$15:$R$94,24,0)</f>
        <v>#N/A</v>
      </c>
      <c r="D2010" s="1059" t="e">
        <f>+C2010*$L$6</f>
        <v>#N/A</v>
      </c>
      <c r="E2010" s="1061"/>
      <c r="F2010" s="1061"/>
      <c r="G2010" s="1056" t="s">
        <v>370</v>
      </c>
      <c r="H2010" s="1057" t="s">
        <v>2665</v>
      </c>
      <c r="I2010" s="1058" t="e">
        <f>VLOOKUP(H2006,'LƯƠNG KT'!$D$15:$R$94,24,0)</f>
        <v>#N/A</v>
      </c>
      <c r="J2010" s="1059" t="e">
        <f>+I2010*$L$6</f>
        <v>#N/A</v>
      </c>
      <c r="K2010" s="1085"/>
      <c r="L2010" s="1085"/>
      <c r="M2010" s="1085"/>
      <c r="N2010" s="1085"/>
      <c r="O2010" s="1085"/>
    </row>
    <row r="2011" spans="1:15" ht="15" customHeight="1">
      <c r="A2011" s="1056" t="s">
        <v>2666</v>
      </c>
      <c r="B2011" s="1057" t="s">
        <v>2667</v>
      </c>
      <c r="C2011" s="1058" t="e">
        <f>VLOOKUP(B2006,'LƯƠNG KT'!$D$15:$R$94,19,0)</f>
        <v>#N/A</v>
      </c>
      <c r="D2011" s="1059" t="e">
        <f>+C2011*$L$8</f>
        <v>#N/A</v>
      </c>
      <c r="E2011" s="1061"/>
      <c r="F2011" s="1061"/>
      <c r="G2011" s="1056" t="s">
        <v>2666</v>
      </c>
      <c r="H2011" s="1057" t="s">
        <v>2667</v>
      </c>
      <c r="I2011" s="1058" t="e">
        <f>VLOOKUP(H2006,'LƯƠNG KT'!$D$15:$R$94,19,0)</f>
        <v>#N/A</v>
      </c>
      <c r="J2011" s="1059" t="e">
        <f>+I2011*$L$8</f>
        <v>#N/A</v>
      </c>
      <c r="K2011" s="1085"/>
      <c r="L2011" s="1085"/>
      <c r="M2011" s="1085"/>
      <c r="N2011" s="1085"/>
      <c r="O2011" s="1085"/>
    </row>
    <row r="2012" spans="1:15" ht="15" customHeight="1">
      <c r="A2012" s="1056" t="s">
        <v>2668</v>
      </c>
      <c r="B2012" s="1062" t="s">
        <v>2669</v>
      </c>
      <c r="C2012" s="1058" t="e">
        <f>VLOOKUP(B2006,'LƯƠNG KT'!$D$15:$R$94,20,0)</f>
        <v>#N/A</v>
      </c>
      <c r="D2012" s="1059" t="e">
        <f>+C2012*$L$9</f>
        <v>#N/A</v>
      </c>
      <c r="E2012" s="1061"/>
      <c r="F2012" s="1061"/>
      <c r="G2012" s="1056" t="s">
        <v>2668</v>
      </c>
      <c r="H2012" s="1062" t="s">
        <v>2669</v>
      </c>
      <c r="I2012" s="1058" t="e">
        <f>VLOOKUP(H2006,'LƯƠNG KT'!$D$15:$R$94,20,0)</f>
        <v>#N/A</v>
      </c>
      <c r="J2012" s="1059" t="e">
        <f>+I2012*$L$9</f>
        <v>#N/A</v>
      </c>
      <c r="K2012" s="1085"/>
      <c r="L2012" s="1085"/>
      <c r="M2012" s="1085"/>
      <c r="N2012" s="1085"/>
      <c r="O2012" s="1085"/>
    </row>
    <row r="2013" spans="1:15" ht="15" customHeight="1">
      <c r="A2013" s="1056" t="s">
        <v>2671</v>
      </c>
      <c r="B2013" s="1057" t="s">
        <v>2672</v>
      </c>
      <c r="C2013" s="1058" t="e">
        <f>VLOOKUP(B2006,'LƯƠNG KT'!$D$15:$R$94,17,0)</f>
        <v>#N/A</v>
      </c>
      <c r="D2013" s="1059" t="e">
        <f>+C2013*$L$10</f>
        <v>#N/A</v>
      </c>
      <c r="E2013" s="1061"/>
      <c r="F2013" s="1061"/>
      <c r="G2013" s="1056" t="s">
        <v>2671</v>
      </c>
      <c r="H2013" s="1057" t="s">
        <v>2672</v>
      </c>
      <c r="I2013" s="1058" t="e">
        <f>VLOOKUP(H2006,'LƯƠNG KT'!$D$15:$R$94,17,0)</f>
        <v>#N/A</v>
      </c>
      <c r="J2013" s="1059" t="e">
        <f>+I2013*$L$10</f>
        <v>#N/A</v>
      </c>
      <c r="K2013" s="1085"/>
      <c r="L2013" s="1085"/>
      <c r="M2013" s="1085"/>
      <c r="N2013" s="1085"/>
      <c r="O2013" s="1085"/>
    </row>
    <row r="2014" spans="1:15" ht="15" customHeight="1">
      <c r="A2014" s="1056" t="s">
        <v>374</v>
      </c>
      <c r="B2014" s="1057" t="s">
        <v>2674</v>
      </c>
      <c r="C2014" s="1058" t="e">
        <f>VLOOKUP(B2006,'LƯƠNG KT'!$D$15:$R$94,12,0)</f>
        <v>#N/A</v>
      </c>
      <c r="D2014" s="1059" t="e">
        <f>VLOOKUP(B2006,'LƯƠNG KT'!$D$15:$R$94,14,0)</f>
        <v>#N/A</v>
      </c>
      <c r="E2014" s="1063"/>
      <c r="F2014" s="1061"/>
      <c r="G2014" s="1056" t="s">
        <v>374</v>
      </c>
      <c r="H2014" s="1057" t="s">
        <v>2674</v>
      </c>
      <c r="I2014" s="1058" t="e">
        <f>VLOOKUP(H2006,'LƯƠNG KT'!$D$15:$R$94,12,0)</f>
        <v>#N/A</v>
      </c>
      <c r="J2014" s="1059" t="e">
        <f>VLOOKUP(H2006,'LƯƠNG KT'!$D$15:$R$94,14,0)</f>
        <v>#N/A</v>
      </c>
      <c r="K2014" s="1085"/>
      <c r="L2014" s="1085"/>
      <c r="M2014" s="1085"/>
      <c r="N2014" s="1085"/>
      <c r="O2014" s="1085"/>
    </row>
    <row r="2015" spans="1:15" ht="15" customHeight="1">
      <c r="A2015" s="1056" t="s">
        <v>2675</v>
      </c>
      <c r="B2015" s="1057" t="s">
        <v>2676</v>
      </c>
      <c r="D2015" s="1064" t="e">
        <f>VLOOKUP(B2006,'LƯƠNG KT'!$D$15:$R$94,13,0)</f>
        <v>#N/A</v>
      </c>
      <c r="E2015" s="1065"/>
      <c r="F2015" s="1065"/>
      <c r="G2015" s="1056" t="s">
        <v>2675</v>
      </c>
      <c r="H2015" s="1057" t="s">
        <v>2676</v>
      </c>
      <c r="J2015" s="1064" t="e">
        <f>VLOOKUP(H2006,'LƯƠNG KT'!$D$15:$R$94,13,0)</f>
        <v>#N/A</v>
      </c>
    </row>
    <row r="2016" spans="1:15" ht="15" customHeight="1">
      <c r="A2016" s="1066"/>
      <c r="B2016" s="869"/>
      <c r="C2016" s="1058"/>
      <c r="D2016" s="1059"/>
      <c r="E2016" s="1063"/>
      <c r="F2016" s="1065"/>
      <c r="G2016" s="1066"/>
      <c r="H2016" s="869"/>
      <c r="I2016" s="1058"/>
      <c r="J2016" s="1059"/>
    </row>
    <row r="2017" spans="1:15" ht="15" customHeight="1">
      <c r="A2017" s="1052"/>
      <c r="B2017" s="869"/>
      <c r="C2017" s="1058"/>
      <c r="D2017" s="1059"/>
      <c r="E2017" s="1067"/>
      <c r="F2017" s="1051"/>
      <c r="G2017" s="1052"/>
      <c r="H2017" s="869"/>
      <c r="I2017" s="1058"/>
      <c r="J2017" s="1059"/>
    </row>
    <row r="2018" spans="1:15" ht="15" customHeight="1">
      <c r="A2018" s="1068" t="s">
        <v>383</v>
      </c>
      <c r="B2018" s="1069" t="s">
        <v>384</v>
      </c>
      <c r="C2018" s="1070"/>
      <c r="D2018" s="1071" t="e">
        <f>SUM(D2007:D2014)-D2017</f>
        <v>#N/A</v>
      </c>
      <c r="E2018" s="1072"/>
      <c r="F2018" s="1073"/>
      <c r="G2018" s="1068" t="s">
        <v>383</v>
      </c>
      <c r="H2018" s="1069" t="s">
        <v>384</v>
      </c>
      <c r="I2018" s="1070"/>
      <c r="J2018" s="1071" t="e">
        <f>SUM(J2007:J2014)-J2017</f>
        <v>#N/A</v>
      </c>
    </row>
    <row r="2019" spans="1:15" ht="15.75" customHeight="1">
      <c r="A2019" s="1074"/>
      <c r="B2019" s="1075"/>
      <c r="C2019" s="1076"/>
      <c r="D2019" s="1077"/>
      <c r="E2019" s="1077"/>
      <c r="F2019" s="1078"/>
      <c r="G2019" s="1074"/>
      <c r="H2019" s="1075"/>
      <c r="I2019" s="1076"/>
      <c r="J2019" s="1077"/>
    </row>
    <row r="2021" spans="1:15" ht="12" customHeight="1">
      <c r="A2021" s="2243"/>
      <c r="B2021" s="2243"/>
      <c r="C2021" s="2243"/>
      <c r="D2021" s="2243"/>
      <c r="E2021" s="2243"/>
      <c r="F2021" s="2243"/>
      <c r="G2021" s="2243"/>
      <c r="H2021" s="2243"/>
      <c r="I2021" s="2243"/>
      <c r="J2021" s="2243"/>
    </row>
    <row r="2022" spans="1:15" ht="15" customHeight="1">
      <c r="A2022" s="2242" t="str">
        <f>$K$2</f>
        <v>THÁNG 04/2025</v>
      </c>
      <c r="B2022" s="2242"/>
      <c r="C2022" s="2242"/>
      <c r="D2022" s="2242"/>
      <c r="E2022" s="1050"/>
      <c r="F2022" s="1051"/>
      <c r="G2022" s="2242" t="str">
        <f>$K$2</f>
        <v>THÁNG 04/2025</v>
      </c>
      <c r="H2022" s="2242"/>
      <c r="I2022" s="2242"/>
      <c r="J2022" s="2242"/>
      <c r="K2022" s="624"/>
    </row>
    <row r="2023" spans="1:15" ht="15" customHeight="1">
      <c r="A2023" s="1052" t="s">
        <v>356</v>
      </c>
      <c r="B2023" s="1053" t="s">
        <v>139</v>
      </c>
      <c r="C2023" s="869"/>
      <c r="D2023" s="1049"/>
      <c r="E2023" s="1054"/>
      <c r="F2023" s="1055"/>
      <c r="G2023" s="1052" t="s">
        <v>356</v>
      </c>
      <c r="H2023" s="1053" t="s">
        <v>140</v>
      </c>
      <c r="I2023" s="869"/>
      <c r="J2023" s="1049"/>
      <c r="L2023" s="1088"/>
      <c r="M2023" s="1088"/>
      <c r="N2023" s="1088"/>
      <c r="O2023" s="1088"/>
    </row>
    <row r="2024" spans="1:15" ht="15" customHeight="1">
      <c r="A2024" s="1056" t="s">
        <v>359</v>
      </c>
      <c r="B2024" s="1057" t="s">
        <v>2662</v>
      </c>
      <c r="C2024" s="1058" t="e">
        <f>VLOOKUP(B2023,'LƯƠNG KT'!$D$15:$R$94,4,0)</f>
        <v>#N/A</v>
      </c>
      <c r="D2024" s="1059" t="e">
        <f>+C2024*25000</f>
        <v>#N/A</v>
      </c>
      <c r="E2024" s="1060"/>
      <c r="F2024" s="1060"/>
      <c r="G2024" s="1056" t="s">
        <v>359</v>
      </c>
      <c r="H2024" s="1057" t="s">
        <v>2662</v>
      </c>
      <c r="I2024" s="1058" t="e">
        <f>VLOOKUP(H2023,'LƯƠNG KT'!$D$15:$R$94,4,0)</f>
        <v>#N/A</v>
      </c>
      <c r="J2024" s="1059" t="e">
        <f>+I2024*25000</f>
        <v>#N/A</v>
      </c>
      <c r="K2024" s="1084"/>
      <c r="L2024" s="1085"/>
      <c r="M2024" s="1085"/>
      <c r="N2024" s="1085"/>
      <c r="O2024" s="1085"/>
    </row>
    <row r="2025" spans="1:15" ht="15" customHeight="1">
      <c r="A2025" s="1056" t="s">
        <v>361</v>
      </c>
      <c r="B2025" s="1057" t="s">
        <v>2663</v>
      </c>
      <c r="C2025" s="1058" t="e">
        <f>VLOOKUP(B2023,'LƯƠNG KT'!$D$15:$R$94,15,0)</f>
        <v>#N/A</v>
      </c>
      <c r="D2025" s="1059" t="e">
        <f>C2025*$L$4</f>
        <v>#N/A</v>
      </c>
      <c r="E2025" s="1061"/>
      <c r="F2025" s="1061"/>
      <c r="G2025" s="1056" t="s">
        <v>361</v>
      </c>
      <c r="H2025" s="1057" t="s">
        <v>2663</v>
      </c>
      <c r="I2025" s="1058" t="e">
        <f>VLOOKUP(H2023,'LƯƠNG KT'!$D$15:$R$94,15,0)</f>
        <v>#N/A</v>
      </c>
      <c r="J2025" s="1059" t="e">
        <f>I2025*$L$4</f>
        <v>#N/A</v>
      </c>
      <c r="K2025" s="1084"/>
      <c r="L2025" s="1085"/>
      <c r="M2025" s="1085"/>
      <c r="N2025" s="1085"/>
      <c r="O2025" s="1085"/>
    </row>
    <row r="2026" spans="1:15" ht="15" customHeight="1">
      <c r="A2026" s="1056" t="s">
        <v>364</v>
      </c>
      <c r="B2026" s="1057" t="s">
        <v>2664</v>
      </c>
      <c r="C2026" s="1058" t="e">
        <f>VLOOKUP(B2023,'LƯƠNG KT'!$D$15:$R$94,16,0)</f>
        <v>#N/A</v>
      </c>
      <c r="D2026" s="1059" t="e">
        <f>C2026*$L$5</f>
        <v>#N/A</v>
      </c>
      <c r="E2026" s="1061"/>
      <c r="F2026" s="1061"/>
      <c r="G2026" s="1056" t="s">
        <v>364</v>
      </c>
      <c r="H2026" s="1057" t="s">
        <v>2664</v>
      </c>
      <c r="I2026" s="1058" t="e">
        <f>VLOOKUP(H2023,'LƯƠNG KT'!$D$15:$R$94,16,0)</f>
        <v>#N/A</v>
      </c>
      <c r="J2026" s="1059" t="e">
        <f>I2026*$L$5</f>
        <v>#N/A</v>
      </c>
      <c r="K2026" s="1084"/>
      <c r="L2026" s="1085"/>
      <c r="M2026" s="1085"/>
      <c r="N2026" s="1085"/>
      <c r="O2026" s="1085"/>
    </row>
    <row r="2027" spans="1:15" ht="15" customHeight="1">
      <c r="A2027" s="1056" t="s">
        <v>370</v>
      </c>
      <c r="B2027" s="1057" t="s">
        <v>2665</v>
      </c>
      <c r="C2027" s="1058" t="e">
        <f>VLOOKUP(B2023,'LƯƠNG KT'!$D$15:$R$94,24,0)</f>
        <v>#N/A</v>
      </c>
      <c r="D2027" s="1059" t="e">
        <f>+C2027*$L$6</f>
        <v>#N/A</v>
      </c>
      <c r="E2027" s="1061"/>
      <c r="F2027" s="1061"/>
      <c r="G2027" s="1056" t="s">
        <v>370</v>
      </c>
      <c r="H2027" s="1057" t="s">
        <v>2665</v>
      </c>
      <c r="I2027" s="1058" t="e">
        <f>VLOOKUP(H2023,'LƯƠNG KT'!$D$15:$R$94,24,0)</f>
        <v>#N/A</v>
      </c>
      <c r="J2027" s="1059" t="e">
        <f>+I2027*$L$6</f>
        <v>#N/A</v>
      </c>
      <c r="K2027" s="1085"/>
      <c r="L2027" s="1085"/>
      <c r="M2027" s="1085"/>
      <c r="N2027" s="1085"/>
      <c r="O2027" s="1085"/>
    </row>
    <row r="2028" spans="1:15" ht="15" customHeight="1">
      <c r="A2028" s="1056" t="s">
        <v>2666</v>
      </c>
      <c r="B2028" s="1057" t="s">
        <v>2667</v>
      </c>
      <c r="C2028" s="1058" t="e">
        <f>VLOOKUP(B2023,'LƯƠNG KT'!$D$15:$R$94,19,0)</f>
        <v>#N/A</v>
      </c>
      <c r="D2028" s="1059" t="e">
        <f>+C2028*$L$8</f>
        <v>#N/A</v>
      </c>
      <c r="E2028" s="1061"/>
      <c r="F2028" s="1061"/>
      <c r="G2028" s="1056" t="s">
        <v>2666</v>
      </c>
      <c r="H2028" s="1057" t="s">
        <v>2667</v>
      </c>
      <c r="I2028" s="1058" t="e">
        <f>VLOOKUP(H2023,'LƯƠNG KT'!$D$15:$R$94,19,0)</f>
        <v>#N/A</v>
      </c>
      <c r="J2028" s="1059" t="e">
        <f>+I2028*$L$8</f>
        <v>#N/A</v>
      </c>
      <c r="K2028" s="1085"/>
      <c r="L2028" s="1085"/>
      <c r="M2028" s="1085"/>
      <c r="N2028" s="1085"/>
      <c r="O2028" s="1085"/>
    </row>
    <row r="2029" spans="1:15" ht="15" customHeight="1">
      <c r="A2029" s="1056" t="s">
        <v>2668</v>
      </c>
      <c r="B2029" s="1062" t="s">
        <v>2669</v>
      </c>
      <c r="C2029" s="1058" t="e">
        <f>VLOOKUP(B2023,'LƯƠNG KT'!$D$15:$R$94,20,0)</f>
        <v>#N/A</v>
      </c>
      <c r="D2029" s="1059" t="e">
        <f>+C2029*$L$9</f>
        <v>#N/A</v>
      </c>
      <c r="E2029" s="1061"/>
      <c r="F2029" s="1061"/>
      <c r="G2029" s="1056" t="s">
        <v>2668</v>
      </c>
      <c r="H2029" s="1062" t="s">
        <v>2669</v>
      </c>
      <c r="I2029" s="1058" t="e">
        <f>VLOOKUP(H2023,'LƯƠNG KT'!$D$15:$R$94,20,0)</f>
        <v>#N/A</v>
      </c>
      <c r="J2029" s="1059" t="e">
        <f>+I2029*$L$9</f>
        <v>#N/A</v>
      </c>
      <c r="K2029" s="1085"/>
      <c r="L2029" s="1085"/>
      <c r="M2029" s="1085"/>
      <c r="N2029" s="1085"/>
      <c r="O2029" s="1085"/>
    </row>
    <row r="2030" spans="1:15" ht="15" customHeight="1">
      <c r="A2030" s="1056" t="s">
        <v>2671</v>
      </c>
      <c r="B2030" s="1057" t="s">
        <v>2672</v>
      </c>
      <c r="C2030" s="1058" t="e">
        <f>VLOOKUP(B2023,'LƯƠNG KT'!$D$15:$R$94,17,0)</f>
        <v>#N/A</v>
      </c>
      <c r="D2030" s="1059" t="e">
        <f>+C2030*$L$10</f>
        <v>#N/A</v>
      </c>
      <c r="E2030" s="1061"/>
      <c r="F2030" s="1061"/>
      <c r="G2030" s="1056" t="s">
        <v>2671</v>
      </c>
      <c r="H2030" s="1057" t="s">
        <v>2672</v>
      </c>
      <c r="I2030" s="1058" t="e">
        <f>VLOOKUP(H2023,'LƯƠNG KT'!$D$15:$R$94,17,0)</f>
        <v>#N/A</v>
      </c>
      <c r="J2030" s="1059" t="e">
        <f>+I2030*$L$10</f>
        <v>#N/A</v>
      </c>
      <c r="K2030" s="1085"/>
      <c r="L2030" s="1085"/>
      <c r="M2030" s="1085"/>
      <c r="N2030" s="1085"/>
      <c r="O2030" s="1085"/>
    </row>
    <row r="2031" spans="1:15" ht="15" customHeight="1">
      <c r="A2031" s="1056" t="s">
        <v>374</v>
      </c>
      <c r="B2031" s="1057" t="s">
        <v>2674</v>
      </c>
      <c r="C2031" s="1058" t="e">
        <f>VLOOKUP(B2023,'LƯƠNG KT'!$D$15:$R$94,12,0)</f>
        <v>#N/A</v>
      </c>
      <c r="D2031" s="1059" t="e">
        <f>VLOOKUP(B2023,'LƯƠNG KT'!$D$15:$R$94,14,0)</f>
        <v>#N/A</v>
      </c>
      <c r="E2031" s="1063"/>
      <c r="F2031" s="1061"/>
      <c r="G2031" s="1056" t="s">
        <v>374</v>
      </c>
      <c r="H2031" s="1057" t="s">
        <v>2674</v>
      </c>
      <c r="I2031" s="1058" t="e">
        <f>VLOOKUP(H2023,'LƯƠNG KT'!$D$15:$R$94,12,0)</f>
        <v>#N/A</v>
      </c>
      <c r="J2031" s="1059" t="e">
        <f>VLOOKUP(H2023,'LƯƠNG KT'!$D$15:$R$94,14,0)</f>
        <v>#N/A</v>
      </c>
      <c r="K2031" s="1085"/>
      <c r="L2031" s="1085"/>
      <c r="M2031" s="1085"/>
      <c r="N2031" s="1085"/>
      <c r="O2031" s="1085"/>
    </row>
    <row r="2032" spans="1:15" ht="15" customHeight="1">
      <c r="A2032" s="1056" t="s">
        <v>2675</v>
      </c>
      <c r="B2032" s="1057" t="s">
        <v>2676</v>
      </c>
      <c r="D2032" s="1064" t="e">
        <f>VLOOKUP(B2023,'LƯƠNG KT'!$D$15:$R$94,13,0)</f>
        <v>#N/A</v>
      </c>
      <c r="E2032" s="1065"/>
      <c r="F2032" s="1065"/>
      <c r="G2032" s="1056" t="s">
        <v>2675</v>
      </c>
      <c r="H2032" s="1057" t="s">
        <v>2676</v>
      </c>
      <c r="J2032" s="1064" t="e">
        <f>VLOOKUP(H2023,'LƯƠNG KT'!$D$15:$R$94,13,0)</f>
        <v>#N/A</v>
      </c>
    </row>
    <row r="2033" spans="1:15" ht="15" customHeight="1">
      <c r="A2033" s="1066"/>
      <c r="B2033" s="869"/>
      <c r="C2033" s="1058"/>
      <c r="D2033" s="1059"/>
      <c r="E2033" s="1063"/>
      <c r="F2033" s="1065"/>
      <c r="G2033" s="1066"/>
      <c r="H2033" s="869"/>
      <c r="I2033" s="1058"/>
      <c r="J2033" s="1059"/>
    </row>
    <row r="2034" spans="1:15" ht="15" customHeight="1">
      <c r="A2034" s="1052"/>
      <c r="B2034" s="869"/>
      <c r="C2034" s="1058"/>
      <c r="D2034" s="1059"/>
      <c r="E2034" s="1067"/>
      <c r="F2034" s="1051"/>
      <c r="G2034" s="1052"/>
      <c r="H2034" s="869"/>
      <c r="I2034" s="1058"/>
      <c r="J2034" s="1059"/>
    </row>
    <row r="2035" spans="1:15" ht="15" customHeight="1">
      <c r="A2035" s="1068" t="s">
        <v>383</v>
      </c>
      <c r="B2035" s="1069" t="s">
        <v>384</v>
      </c>
      <c r="C2035" s="1070"/>
      <c r="D2035" s="1071" t="e">
        <f>SUM(D2024:D2031)-D2034</f>
        <v>#N/A</v>
      </c>
      <c r="E2035" s="1072"/>
      <c r="F2035" s="1073"/>
      <c r="G2035" s="1068" t="s">
        <v>383</v>
      </c>
      <c r="H2035" s="1069" t="s">
        <v>384</v>
      </c>
      <c r="I2035" s="1070"/>
      <c r="J2035" s="1071" t="e">
        <f>SUM(J2024:J2031)-J2034</f>
        <v>#N/A</v>
      </c>
    </row>
    <row r="2036" spans="1:15" ht="12.6" customHeight="1">
      <c r="A2036" s="1074"/>
      <c r="B2036" s="1075"/>
      <c r="C2036" s="1076"/>
      <c r="D2036" s="1077"/>
      <c r="E2036" s="1077"/>
      <c r="F2036" s="1078"/>
      <c r="G2036" s="1074"/>
      <c r="H2036" s="1075"/>
      <c r="I2036" s="1076"/>
      <c r="J2036" s="1077"/>
    </row>
    <row r="2037" spans="1:15" ht="137.25" customHeight="1">
      <c r="A2037" s="1075"/>
      <c r="B2037" s="1075"/>
      <c r="C2037" s="1079"/>
      <c r="D2037" s="1080"/>
      <c r="E2037" s="1075"/>
      <c r="F2037" s="1081"/>
      <c r="G2037" s="1075"/>
      <c r="H2037" s="1075"/>
      <c r="I2037" s="1079"/>
      <c r="J2037" s="1080"/>
    </row>
    <row r="2038" spans="1:15" ht="15" customHeight="1">
      <c r="A2038" s="2242" t="str">
        <f>$K$2</f>
        <v>THÁNG 04/2025</v>
      </c>
      <c r="B2038" s="2242"/>
      <c r="C2038" s="2242"/>
      <c r="D2038" s="2242"/>
      <c r="E2038" s="1050"/>
      <c r="F2038" s="1051"/>
      <c r="G2038" s="2242" t="str">
        <f>$K$2</f>
        <v>THÁNG 04/2025</v>
      </c>
      <c r="H2038" s="2242"/>
      <c r="I2038" s="2242"/>
      <c r="J2038" s="2242"/>
      <c r="K2038" s="624"/>
    </row>
    <row r="2039" spans="1:15" ht="15" customHeight="1">
      <c r="A2039" s="1052" t="s">
        <v>356</v>
      </c>
      <c r="B2039" s="1053" t="s">
        <v>141</v>
      </c>
      <c r="C2039" s="869"/>
      <c r="D2039" s="1049"/>
      <c r="E2039" s="1054"/>
      <c r="F2039" s="1055"/>
      <c r="G2039" s="1052" t="s">
        <v>356</v>
      </c>
      <c r="H2039" s="1053" t="s">
        <v>142</v>
      </c>
      <c r="I2039" s="869"/>
      <c r="J2039" s="1049"/>
      <c r="L2039" s="1088"/>
      <c r="M2039" s="1088"/>
      <c r="N2039" s="1088"/>
      <c r="O2039" s="1088"/>
    </row>
    <row r="2040" spans="1:15" ht="15" customHeight="1">
      <c r="A2040" s="1056" t="s">
        <v>359</v>
      </c>
      <c r="B2040" s="1057" t="s">
        <v>2662</v>
      </c>
      <c r="C2040" s="1058" t="e">
        <f>VLOOKUP(B2039,'LƯƠNG KT'!$D$15:$R$94,4,0)</f>
        <v>#N/A</v>
      </c>
      <c r="D2040" s="1059" t="e">
        <f>+C2040*25000</f>
        <v>#N/A</v>
      </c>
      <c r="E2040" s="1060"/>
      <c r="F2040" s="1060"/>
      <c r="G2040" s="1056" t="s">
        <v>359</v>
      </c>
      <c r="H2040" s="1057" t="s">
        <v>2662</v>
      </c>
      <c r="I2040" s="1058" t="e">
        <f>VLOOKUP(H2039,'LƯƠNG KT'!$D$15:$R$94,4,0)</f>
        <v>#N/A</v>
      </c>
      <c r="J2040" s="1059" t="e">
        <f>+I2040*25000</f>
        <v>#N/A</v>
      </c>
      <c r="K2040" s="1085"/>
      <c r="L2040" s="1085"/>
      <c r="M2040" s="1085"/>
      <c r="N2040" s="1085"/>
      <c r="O2040" s="1085"/>
    </row>
    <row r="2041" spans="1:15" ht="15" customHeight="1">
      <c r="A2041" s="1056" t="s">
        <v>361</v>
      </c>
      <c r="B2041" s="1057" t="s">
        <v>2663</v>
      </c>
      <c r="C2041" s="1058" t="e">
        <f>VLOOKUP(B2039,'LƯƠNG KT'!$D$15:$R$94,15,0)</f>
        <v>#N/A</v>
      </c>
      <c r="D2041" s="1059" t="e">
        <f>C2041*$L$4</f>
        <v>#N/A</v>
      </c>
      <c r="E2041" s="1061"/>
      <c r="F2041" s="1061"/>
      <c r="G2041" s="1056" t="s">
        <v>361</v>
      </c>
      <c r="H2041" s="1057" t="s">
        <v>2663</v>
      </c>
      <c r="I2041" s="1058" t="e">
        <f>VLOOKUP(H2039,'LƯƠNG KT'!$D$15:$R$94,15,0)</f>
        <v>#N/A</v>
      </c>
      <c r="J2041" s="1059" t="e">
        <f>I2041*$L$4</f>
        <v>#N/A</v>
      </c>
      <c r="K2041" s="1085"/>
      <c r="L2041" s="1085"/>
      <c r="M2041" s="1085"/>
      <c r="N2041" s="1085"/>
      <c r="O2041" s="1085"/>
    </row>
    <row r="2042" spans="1:15" ht="15" customHeight="1">
      <c r="A2042" s="1056" t="s">
        <v>364</v>
      </c>
      <c r="B2042" s="1057" t="s">
        <v>2664</v>
      </c>
      <c r="C2042" s="1058" t="e">
        <f>VLOOKUP(B2039,'LƯƠNG KT'!$D$15:$R$94,16,0)</f>
        <v>#N/A</v>
      </c>
      <c r="D2042" s="1059" t="e">
        <f>C2042*$L$5</f>
        <v>#N/A</v>
      </c>
      <c r="E2042" s="1061"/>
      <c r="F2042" s="1061"/>
      <c r="G2042" s="1056" t="s">
        <v>364</v>
      </c>
      <c r="H2042" s="1057" t="s">
        <v>2664</v>
      </c>
      <c r="I2042" s="1058" t="e">
        <f>VLOOKUP(H2039,'LƯƠNG KT'!$D$15:$R$94,16,0)</f>
        <v>#N/A</v>
      </c>
      <c r="J2042" s="1059" t="e">
        <f>I2042*$L$5</f>
        <v>#N/A</v>
      </c>
      <c r="K2042" s="1085"/>
      <c r="L2042" s="1085"/>
      <c r="M2042" s="1085"/>
      <c r="N2042" s="1085"/>
      <c r="O2042" s="1085"/>
    </row>
    <row r="2043" spans="1:15" ht="15" customHeight="1">
      <c r="A2043" s="1056" t="s">
        <v>370</v>
      </c>
      <c r="B2043" s="1057" t="s">
        <v>2665</v>
      </c>
      <c r="C2043" s="1058" t="e">
        <f>VLOOKUP(B2039,'LƯƠNG KT'!$D$15:$R$94,24,0)</f>
        <v>#N/A</v>
      </c>
      <c r="D2043" s="1059" t="e">
        <f>+C2043*$L$6</f>
        <v>#N/A</v>
      </c>
      <c r="E2043" s="1061"/>
      <c r="F2043" s="1061"/>
      <c r="G2043" s="1056" t="s">
        <v>370</v>
      </c>
      <c r="H2043" s="1057" t="s">
        <v>2665</v>
      </c>
      <c r="I2043" s="1058" t="e">
        <f>VLOOKUP(H2039,'LƯƠNG KT'!$D$15:$R$94,24,0)</f>
        <v>#N/A</v>
      </c>
      <c r="J2043" s="1059" t="e">
        <f>+I2043*$L$6</f>
        <v>#N/A</v>
      </c>
      <c r="K2043" s="1085"/>
      <c r="L2043" s="1085"/>
      <c r="M2043" s="1085"/>
      <c r="N2043" s="1085"/>
      <c r="O2043" s="1085"/>
    </row>
    <row r="2044" spans="1:15" ht="15" customHeight="1">
      <c r="A2044" s="1056" t="s">
        <v>2666</v>
      </c>
      <c r="B2044" s="1057" t="s">
        <v>2667</v>
      </c>
      <c r="C2044" s="1058" t="e">
        <f>VLOOKUP(B2039,'LƯƠNG KT'!$D$15:$R$94,19,0)</f>
        <v>#N/A</v>
      </c>
      <c r="D2044" s="1059" t="e">
        <f>+C2044*$L$8</f>
        <v>#N/A</v>
      </c>
      <c r="E2044" s="1061"/>
      <c r="F2044" s="1061"/>
      <c r="G2044" s="1056" t="s">
        <v>2666</v>
      </c>
      <c r="H2044" s="1057" t="s">
        <v>2667</v>
      </c>
      <c r="I2044" s="1058" t="e">
        <f>VLOOKUP(H2039,'LƯƠNG KT'!$D$15:$R$94,19,0)</f>
        <v>#N/A</v>
      </c>
      <c r="J2044" s="1059" t="e">
        <f>+I2044*$L$8</f>
        <v>#N/A</v>
      </c>
      <c r="K2044" s="1085"/>
      <c r="L2044" s="1085"/>
      <c r="M2044" s="1085"/>
      <c r="N2044" s="1085"/>
      <c r="O2044" s="1085"/>
    </row>
    <row r="2045" spans="1:15" ht="15" customHeight="1">
      <c r="A2045" s="1056" t="s">
        <v>2668</v>
      </c>
      <c r="B2045" s="1062" t="s">
        <v>2669</v>
      </c>
      <c r="C2045" s="1058" t="e">
        <f>VLOOKUP(B2039,'LƯƠNG KT'!$D$15:$R$94,20,0)</f>
        <v>#N/A</v>
      </c>
      <c r="D2045" s="1059" t="e">
        <f>+C2045*$L$9</f>
        <v>#N/A</v>
      </c>
      <c r="E2045" s="1061"/>
      <c r="F2045" s="1061"/>
      <c r="G2045" s="1056" t="s">
        <v>2668</v>
      </c>
      <c r="H2045" s="1062" t="s">
        <v>2669</v>
      </c>
      <c r="I2045" s="1058" t="e">
        <f>VLOOKUP(H2039,'LƯƠNG KT'!$D$15:$R$94,20,0)</f>
        <v>#N/A</v>
      </c>
      <c r="J2045" s="1059" t="e">
        <f>+I2045*$L$9</f>
        <v>#N/A</v>
      </c>
      <c r="K2045" s="1085"/>
      <c r="L2045" s="1085"/>
      <c r="M2045" s="1085"/>
      <c r="N2045" s="1085"/>
      <c r="O2045" s="1085"/>
    </row>
    <row r="2046" spans="1:15" ht="15" customHeight="1">
      <c r="A2046" s="1056" t="s">
        <v>2671</v>
      </c>
      <c r="B2046" s="1057" t="s">
        <v>2672</v>
      </c>
      <c r="C2046" s="1058" t="e">
        <f>VLOOKUP(B2039,'LƯƠNG KT'!$D$15:$R$94,17,0)</f>
        <v>#N/A</v>
      </c>
      <c r="D2046" s="1059" t="e">
        <f>+C2046*$L$10</f>
        <v>#N/A</v>
      </c>
      <c r="E2046" s="1061"/>
      <c r="F2046" s="1061"/>
      <c r="G2046" s="1056" t="s">
        <v>2671</v>
      </c>
      <c r="H2046" s="1057" t="s">
        <v>2672</v>
      </c>
      <c r="I2046" s="1058" t="e">
        <f>VLOOKUP(H2039,'LƯƠNG KT'!$D$15:$R$94,17,0)</f>
        <v>#N/A</v>
      </c>
      <c r="J2046" s="1059" t="e">
        <f>+I2046*$L$10</f>
        <v>#N/A</v>
      </c>
      <c r="K2046" s="1085"/>
      <c r="L2046" s="1085"/>
      <c r="M2046" s="1085"/>
      <c r="N2046" s="1085"/>
      <c r="O2046" s="1085"/>
    </row>
    <row r="2047" spans="1:15" ht="15" customHeight="1">
      <c r="A2047" s="1056" t="s">
        <v>374</v>
      </c>
      <c r="B2047" s="1057" t="s">
        <v>2674</v>
      </c>
      <c r="C2047" s="1058" t="e">
        <f>VLOOKUP(B2039,'LƯƠNG KT'!$D$15:$R$94,12,0)</f>
        <v>#N/A</v>
      </c>
      <c r="D2047" s="1059" t="e">
        <f>VLOOKUP(B2039,'LƯƠNG KT'!$D$15:$R$94,14,0)</f>
        <v>#N/A</v>
      </c>
      <c r="E2047" s="1063"/>
      <c r="F2047" s="1061"/>
      <c r="G2047" s="1056" t="s">
        <v>374</v>
      </c>
      <c r="H2047" s="1057" t="s">
        <v>2674</v>
      </c>
      <c r="I2047" s="1058" t="e">
        <f>VLOOKUP(H2039,'LƯƠNG KT'!$D$15:$R$94,12,0)</f>
        <v>#N/A</v>
      </c>
      <c r="J2047" s="1059" t="e">
        <f>VLOOKUP(H2039,'LƯƠNG KT'!$D$15:$R$94,14,0)</f>
        <v>#N/A</v>
      </c>
      <c r="K2047" s="1085"/>
      <c r="L2047" s="1085"/>
      <c r="M2047" s="1085"/>
      <c r="N2047" s="1085"/>
      <c r="O2047" s="1085"/>
    </row>
    <row r="2048" spans="1:15" ht="15" customHeight="1">
      <c r="A2048" s="1056" t="s">
        <v>2675</v>
      </c>
      <c r="B2048" s="1057" t="s">
        <v>2676</v>
      </c>
      <c r="D2048" s="1064" t="e">
        <f>VLOOKUP(B2039,'LƯƠNG KT'!$D$15:$R$94,13,0)</f>
        <v>#N/A</v>
      </c>
      <c r="E2048" s="1065"/>
      <c r="F2048" s="1065"/>
      <c r="G2048" s="1056" t="s">
        <v>2675</v>
      </c>
      <c r="H2048" s="1057" t="s">
        <v>2676</v>
      </c>
      <c r="J2048" s="1064" t="e">
        <f>VLOOKUP(H2039,'LƯƠNG KT'!$D$15:$R$94,13,0)</f>
        <v>#N/A</v>
      </c>
    </row>
    <row r="2049" spans="1:15" ht="15" customHeight="1">
      <c r="A2049" s="1066"/>
      <c r="B2049" s="869"/>
      <c r="C2049" s="1058"/>
      <c r="D2049" s="1059"/>
      <c r="E2049" s="1063"/>
      <c r="F2049" s="1065"/>
      <c r="G2049" s="1066"/>
      <c r="H2049" s="869"/>
      <c r="I2049" s="1058"/>
      <c r="J2049" s="1059"/>
    </row>
    <row r="2050" spans="1:15" ht="15" customHeight="1">
      <c r="A2050" s="1052"/>
      <c r="B2050" s="869"/>
      <c r="C2050" s="1058"/>
      <c r="D2050" s="1059"/>
      <c r="E2050" s="1067"/>
      <c r="F2050" s="1051"/>
      <c r="G2050" s="1052"/>
      <c r="H2050" s="869"/>
      <c r="I2050" s="1058"/>
      <c r="J2050" s="1059"/>
    </row>
    <row r="2051" spans="1:15" ht="15" customHeight="1">
      <c r="A2051" s="1068" t="s">
        <v>383</v>
      </c>
      <c r="B2051" s="1069" t="s">
        <v>384</v>
      </c>
      <c r="C2051" s="1070"/>
      <c r="D2051" s="1071" t="e">
        <f>SUM(D2040:D2047)-D2050</f>
        <v>#N/A</v>
      </c>
      <c r="E2051" s="1072"/>
      <c r="F2051" s="1073"/>
      <c r="G2051" s="1068" t="s">
        <v>383</v>
      </c>
      <c r="H2051" s="1069" t="s">
        <v>384</v>
      </c>
      <c r="I2051" s="1070"/>
      <c r="J2051" s="1071" t="e">
        <f>SUM(J2040:J2047)-J2050</f>
        <v>#N/A</v>
      </c>
    </row>
    <row r="2052" spans="1:15" ht="18.75" customHeight="1">
      <c r="A2052" s="1074"/>
      <c r="B2052" s="1075"/>
      <c r="C2052" s="1076"/>
      <c r="D2052" s="1077"/>
      <c r="E2052" s="1077"/>
      <c r="F2052" s="1078"/>
      <c r="G2052" s="1074"/>
      <c r="H2052" s="1075"/>
      <c r="I2052" s="1076"/>
      <c r="J2052" s="1077"/>
    </row>
    <row r="2053" spans="1:15" ht="18.75" customHeight="1">
      <c r="A2053" s="1075"/>
      <c r="B2053" s="1075"/>
      <c r="C2053" s="1079"/>
      <c r="D2053" s="1080"/>
      <c r="E2053" s="1075"/>
      <c r="F2053" s="1081"/>
      <c r="G2053" s="1075"/>
      <c r="H2053" s="1075"/>
      <c r="I2053" s="1079"/>
      <c r="J2053" s="1080"/>
    </row>
    <row r="2054" spans="1:15" ht="15" customHeight="1">
      <c r="A2054" s="2242" t="str">
        <f>$K$2</f>
        <v>THÁNG 04/2025</v>
      </c>
      <c r="B2054" s="2242"/>
      <c r="C2054" s="2242"/>
      <c r="D2054" s="2242"/>
      <c r="E2054" s="1050"/>
      <c r="F2054" s="1051"/>
      <c r="G2054" s="2242" t="str">
        <f>$K$2</f>
        <v>THÁNG 04/2025</v>
      </c>
      <c r="H2054" s="2242"/>
      <c r="I2054" s="2242"/>
      <c r="J2054" s="2242"/>
      <c r="K2054" s="624"/>
    </row>
    <row r="2055" spans="1:15" ht="15" customHeight="1">
      <c r="A2055" s="1052" t="s">
        <v>356</v>
      </c>
      <c r="B2055" s="1053" t="s">
        <v>143</v>
      </c>
      <c r="C2055" s="869"/>
      <c r="D2055" s="1049"/>
      <c r="E2055" s="1054"/>
      <c r="F2055" s="1055"/>
      <c r="G2055" s="1052" t="s">
        <v>356</v>
      </c>
      <c r="H2055" s="1053" t="s">
        <v>144</v>
      </c>
      <c r="I2055" s="869"/>
      <c r="J2055" s="1049"/>
      <c r="L2055" s="1088"/>
      <c r="M2055" s="1088"/>
      <c r="N2055" s="1088"/>
      <c r="O2055" s="1088"/>
    </row>
    <row r="2056" spans="1:15" ht="15" customHeight="1">
      <c r="A2056" s="1056" t="s">
        <v>359</v>
      </c>
      <c r="B2056" s="1057" t="s">
        <v>2662</v>
      </c>
      <c r="C2056" s="1058" t="e">
        <f>VLOOKUP(B2055,'LƯƠNG KT'!$D$15:$R$94,4,0)</f>
        <v>#N/A</v>
      </c>
      <c r="D2056" s="1059" t="e">
        <f>+C2056*25000</f>
        <v>#N/A</v>
      </c>
      <c r="E2056" s="1060"/>
      <c r="F2056" s="1060"/>
      <c r="G2056" s="1056" t="s">
        <v>359</v>
      </c>
      <c r="H2056" s="1057" t="s">
        <v>2662</v>
      </c>
      <c r="I2056" s="1058" t="e">
        <f>VLOOKUP(H2055,'LƯƠNG KT'!$D$15:$R$94,4,0)</f>
        <v>#N/A</v>
      </c>
      <c r="J2056" s="1059" t="e">
        <f>+I2056*25000</f>
        <v>#N/A</v>
      </c>
      <c r="K2056" s="1085"/>
      <c r="L2056" s="1085"/>
      <c r="M2056" s="1085"/>
      <c r="N2056" s="1085"/>
      <c r="O2056" s="1085"/>
    </row>
    <row r="2057" spans="1:15" ht="15" customHeight="1">
      <c r="A2057" s="1056" t="s">
        <v>361</v>
      </c>
      <c r="B2057" s="1057" t="s">
        <v>2663</v>
      </c>
      <c r="C2057" s="1058" t="e">
        <f>VLOOKUP(B2055,'LƯƠNG KT'!$D$15:$R$94,15,0)</f>
        <v>#N/A</v>
      </c>
      <c r="D2057" s="1059" t="e">
        <f>C2057*$L$4</f>
        <v>#N/A</v>
      </c>
      <c r="E2057" s="1061"/>
      <c r="F2057" s="1061"/>
      <c r="G2057" s="1056" t="s">
        <v>361</v>
      </c>
      <c r="H2057" s="1057" t="s">
        <v>2663</v>
      </c>
      <c r="I2057" s="1058" t="e">
        <f>VLOOKUP(H2055,'LƯƠNG KT'!$D$15:$R$94,15,0)</f>
        <v>#N/A</v>
      </c>
      <c r="J2057" s="1059" t="e">
        <f>I2057*$L$4</f>
        <v>#N/A</v>
      </c>
      <c r="K2057" s="1085"/>
      <c r="L2057" s="1085"/>
      <c r="M2057" s="1085"/>
      <c r="N2057" s="1085"/>
      <c r="O2057" s="1085"/>
    </row>
    <row r="2058" spans="1:15" ht="15" customHeight="1">
      <c r="A2058" s="1056" t="s">
        <v>364</v>
      </c>
      <c r="B2058" s="1057" t="s">
        <v>2664</v>
      </c>
      <c r="C2058" s="1058" t="e">
        <f>VLOOKUP(B2055,'LƯƠNG KT'!$D$15:$R$94,16,0)</f>
        <v>#N/A</v>
      </c>
      <c r="D2058" s="1059" t="e">
        <f>C2058*$L$5</f>
        <v>#N/A</v>
      </c>
      <c r="E2058" s="1061"/>
      <c r="F2058" s="1061"/>
      <c r="G2058" s="1056" t="s">
        <v>364</v>
      </c>
      <c r="H2058" s="1057" t="s">
        <v>2664</v>
      </c>
      <c r="I2058" s="1058" t="e">
        <f>VLOOKUP(H2055,'LƯƠNG KT'!$D$15:$R$94,16,0)</f>
        <v>#N/A</v>
      </c>
      <c r="J2058" s="1059" t="e">
        <f>I2058*$L$5</f>
        <v>#N/A</v>
      </c>
      <c r="K2058" s="1085"/>
      <c r="L2058" s="1085"/>
      <c r="M2058" s="1085"/>
      <c r="N2058" s="1085"/>
      <c r="O2058" s="1085"/>
    </row>
    <row r="2059" spans="1:15" ht="15" customHeight="1">
      <c r="A2059" s="1056" t="s">
        <v>370</v>
      </c>
      <c r="B2059" s="1057" t="s">
        <v>2665</v>
      </c>
      <c r="C2059" s="1058" t="e">
        <f>VLOOKUP(B2055,'LƯƠNG KT'!$D$15:$R$94,24,0)</f>
        <v>#N/A</v>
      </c>
      <c r="D2059" s="1059" t="e">
        <f>+C2059*$L$6</f>
        <v>#N/A</v>
      </c>
      <c r="E2059" s="1061"/>
      <c r="F2059" s="1061"/>
      <c r="G2059" s="1056" t="s">
        <v>370</v>
      </c>
      <c r="H2059" s="1057" t="s">
        <v>2665</v>
      </c>
      <c r="I2059" s="1058" t="e">
        <f>VLOOKUP(H2055,'LƯƠNG KT'!$D$15:$R$94,24,0)</f>
        <v>#N/A</v>
      </c>
      <c r="J2059" s="1059" t="e">
        <f>+I2059*$L$6</f>
        <v>#N/A</v>
      </c>
      <c r="K2059" s="1085"/>
      <c r="L2059" s="1085"/>
      <c r="M2059" s="1085"/>
      <c r="N2059" s="1085"/>
      <c r="O2059" s="1085"/>
    </row>
    <row r="2060" spans="1:15" ht="15" customHeight="1">
      <c r="A2060" s="1056" t="s">
        <v>2666</v>
      </c>
      <c r="B2060" s="1057" t="s">
        <v>2667</v>
      </c>
      <c r="C2060" s="1058" t="e">
        <f>VLOOKUP(B2055,'LƯƠNG KT'!$D$15:$R$94,19,0)</f>
        <v>#N/A</v>
      </c>
      <c r="D2060" s="1059" t="e">
        <f>+C2060*$L$8</f>
        <v>#N/A</v>
      </c>
      <c r="E2060" s="1061"/>
      <c r="F2060" s="1061"/>
      <c r="G2060" s="1056" t="s">
        <v>2666</v>
      </c>
      <c r="H2060" s="1057" t="s">
        <v>2667</v>
      </c>
      <c r="I2060" s="1058" t="e">
        <f>VLOOKUP(H2055,'LƯƠNG KT'!$D$15:$R$94,19,0)</f>
        <v>#N/A</v>
      </c>
      <c r="J2060" s="1059" t="e">
        <f>+I2060*$L$8</f>
        <v>#N/A</v>
      </c>
      <c r="K2060" s="1085"/>
      <c r="L2060" s="1085"/>
      <c r="M2060" s="1085"/>
      <c r="N2060" s="1085"/>
      <c r="O2060" s="1085"/>
    </row>
    <row r="2061" spans="1:15" ht="15" customHeight="1">
      <c r="A2061" s="1056" t="s">
        <v>2668</v>
      </c>
      <c r="B2061" s="1062" t="s">
        <v>2669</v>
      </c>
      <c r="C2061" s="1058" t="e">
        <f>VLOOKUP(B2055,'LƯƠNG KT'!$D$15:$R$94,20,0)</f>
        <v>#N/A</v>
      </c>
      <c r="D2061" s="1059" t="e">
        <f>+C2061*$L$9</f>
        <v>#N/A</v>
      </c>
      <c r="E2061" s="1061"/>
      <c r="F2061" s="1061"/>
      <c r="G2061" s="1056" t="s">
        <v>2668</v>
      </c>
      <c r="H2061" s="1062" t="s">
        <v>2669</v>
      </c>
      <c r="I2061" s="1058" t="e">
        <f>VLOOKUP(H2055,'LƯƠNG KT'!$D$15:$R$94,20,0)</f>
        <v>#N/A</v>
      </c>
      <c r="J2061" s="1059" t="e">
        <f>+I2061*$L$9</f>
        <v>#N/A</v>
      </c>
      <c r="K2061" s="1085"/>
      <c r="L2061" s="1085"/>
      <c r="M2061" s="1085"/>
      <c r="N2061" s="1085"/>
      <c r="O2061" s="1085"/>
    </row>
    <row r="2062" spans="1:15" ht="15" customHeight="1">
      <c r="A2062" s="1056" t="s">
        <v>2671</v>
      </c>
      <c r="B2062" s="1057" t="s">
        <v>2672</v>
      </c>
      <c r="C2062" s="1058" t="e">
        <f>VLOOKUP(B2055,'LƯƠNG KT'!$D$15:$R$94,17,0)</f>
        <v>#N/A</v>
      </c>
      <c r="D2062" s="1059" t="e">
        <f>+C2062*$L$10</f>
        <v>#N/A</v>
      </c>
      <c r="E2062" s="1061"/>
      <c r="F2062" s="1061"/>
      <c r="G2062" s="1056" t="s">
        <v>2671</v>
      </c>
      <c r="H2062" s="1057" t="s">
        <v>2672</v>
      </c>
      <c r="I2062" s="1058" t="e">
        <f>VLOOKUP(H2055,'LƯƠNG KT'!$D$15:$R$94,17,0)</f>
        <v>#N/A</v>
      </c>
      <c r="J2062" s="1059" t="e">
        <f>+I2062*$L$10</f>
        <v>#N/A</v>
      </c>
      <c r="K2062" s="1085"/>
      <c r="L2062" s="1085"/>
      <c r="M2062" s="1085"/>
      <c r="N2062" s="1085"/>
      <c r="O2062" s="1085"/>
    </row>
    <row r="2063" spans="1:15" ht="15" customHeight="1">
      <c r="A2063" s="1056" t="s">
        <v>374</v>
      </c>
      <c r="B2063" s="1057" t="s">
        <v>2674</v>
      </c>
      <c r="C2063" s="1058" t="e">
        <f>VLOOKUP(B2055,'LƯƠNG KT'!$D$15:$R$94,12,0)</f>
        <v>#N/A</v>
      </c>
      <c r="D2063" s="1059" t="e">
        <f>VLOOKUP(B2055,'LƯƠNG KT'!$D$15:$R$94,14,0)</f>
        <v>#N/A</v>
      </c>
      <c r="E2063" s="1063"/>
      <c r="F2063" s="1061"/>
      <c r="G2063" s="1056" t="s">
        <v>374</v>
      </c>
      <c r="H2063" s="1057" t="s">
        <v>2674</v>
      </c>
      <c r="I2063" s="1058" t="e">
        <f>VLOOKUP(H2055,'LƯƠNG KT'!$D$15:$R$94,12,0)</f>
        <v>#N/A</v>
      </c>
      <c r="J2063" s="1059" t="e">
        <f>VLOOKUP(H2055,'LƯƠNG KT'!$D$15:$R$94,14,0)</f>
        <v>#N/A</v>
      </c>
      <c r="K2063" s="1085"/>
      <c r="L2063" s="1085"/>
      <c r="M2063" s="1085"/>
      <c r="N2063" s="1085"/>
      <c r="O2063" s="1085"/>
    </row>
    <row r="2064" spans="1:15" ht="15" customHeight="1">
      <c r="A2064" s="1056" t="s">
        <v>2675</v>
      </c>
      <c r="B2064" s="1057" t="s">
        <v>2676</v>
      </c>
      <c r="D2064" s="1064" t="e">
        <f>VLOOKUP(B2055,'LƯƠNG KT'!$D$15:$R$94,13,0)</f>
        <v>#N/A</v>
      </c>
      <c r="E2064" s="1065"/>
      <c r="F2064" s="1065"/>
      <c r="G2064" s="1056" t="s">
        <v>2675</v>
      </c>
      <c r="H2064" s="1057" t="s">
        <v>2676</v>
      </c>
      <c r="J2064" s="1064" t="e">
        <f>VLOOKUP(H2055,'LƯƠNG KT'!$D$15:$R$94,13,0)</f>
        <v>#N/A</v>
      </c>
    </row>
    <row r="2065" spans="1:15" ht="15" customHeight="1">
      <c r="A2065" s="1066"/>
      <c r="B2065" s="869"/>
      <c r="C2065" s="1058"/>
      <c r="D2065" s="1059"/>
      <c r="E2065" s="1063"/>
      <c r="F2065" s="1065"/>
      <c r="G2065" s="1066"/>
      <c r="H2065" s="869"/>
      <c r="I2065" s="1058"/>
      <c r="J2065" s="1059"/>
    </row>
    <row r="2066" spans="1:15" ht="15" customHeight="1">
      <c r="A2066" s="1052"/>
      <c r="B2066" s="869"/>
      <c r="C2066" s="1058"/>
      <c r="D2066" s="1059"/>
      <c r="E2066" s="1067"/>
      <c r="F2066" s="1051"/>
      <c r="G2066" s="1052"/>
      <c r="H2066" s="869"/>
      <c r="I2066" s="1058"/>
      <c r="J2066" s="1059"/>
    </row>
    <row r="2067" spans="1:15" ht="15" customHeight="1">
      <c r="A2067" s="1068" t="s">
        <v>383</v>
      </c>
      <c r="B2067" s="1069" t="s">
        <v>384</v>
      </c>
      <c r="C2067" s="1070"/>
      <c r="D2067" s="1071" t="e">
        <f>SUM(D2056:D2063)-D2066</f>
        <v>#N/A</v>
      </c>
      <c r="E2067" s="1072"/>
      <c r="F2067" s="1073"/>
      <c r="G2067" s="1068" t="s">
        <v>383</v>
      </c>
      <c r="H2067" s="1069" t="s">
        <v>384</v>
      </c>
      <c r="I2067" s="1070"/>
      <c r="J2067" s="1071" t="e">
        <f>SUM(J2056:J2063)-J2066</f>
        <v>#N/A</v>
      </c>
    </row>
    <row r="2068" spans="1:15" ht="18.75" customHeight="1">
      <c r="A2068" s="1074"/>
      <c r="B2068" s="1075"/>
      <c r="C2068" s="1076"/>
      <c r="D2068" s="1077"/>
      <c r="E2068" s="1077"/>
      <c r="F2068" s="1078"/>
      <c r="G2068" s="1074"/>
      <c r="H2068" s="1075"/>
      <c r="I2068" s="1076"/>
      <c r="J2068" s="1077"/>
    </row>
    <row r="2069" spans="1:15" ht="18.75" customHeight="1">
      <c r="A2069" s="1075"/>
      <c r="B2069" s="1075"/>
      <c r="C2069" s="1079"/>
      <c r="D2069" s="1080"/>
      <c r="E2069" s="1075"/>
      <c r="F2069" s="1081"/>
      <c r="G2069" s="1075"/>
      <c r="H2069" s="1075"/>
      <c r="I2069" s="1079"/>
      <c r="J2069" s="1080"/>
    </row>
    <row r="2070" spans="1:15" ht="15" customHeight="1">
      <c r="A2070" s="2242" t="str">
        <f>$K$2</f>
        <v>THÁNG 04/2025</v>
      </c>
      <c r="B2070" s="2242"/>
      <c r="C2070" s="2242"/>
      <c r="D2070" s="2242"/>
      <c r="E2070" s="1050"/>
      <c r="F2070" s="1051"/>
      <c r="G2070" s="2242" t="str">
        <f>$K$2</f>
        <v>THÁNG 04/2025</v>
      </c>
      <c r="H2070" s="2242"/>
      <c r="I2070" s="2242"/>
      <c r="J2070" s="2242"/>
      <c r="K2070" s="624"/>
    </row>
    <row r="2071" spans="1:15" ht="15" customHeight="1">
      <c r="A2071" s="1052" t="s">
        <v>356</v>
      </c>
      <c r="B2071" s="1053" t="s">
        <v>145</v>
      </c>
      <c r="C2071" s="869"/>
      <c r="D2071" s="1049"/>
      <c r="E2071" s="1054"/>
      <c r="F2071" s="1055"/>
      <c r="G2071" s="1052" t="s">
        <v>356</v>
      </c>
      <c r="H2071" s="1053" t="s">
        <v>146</v>
      </c>
      <c r="I2071" s="869"/>
      <c r="J2071" s="1049"/>
      <c r="L2071" s="1088"/>
      <c r="M2071" s="1088"/>
      <c r="N2071" s="1088"/>
      <c r="O2071" s="1088"/>
    </row>
    <row r="2072" spans="1:15" ht="15" customHeight="1">
      <c r="A2072" s="1056" t="s">
        <v>359</v>
      </c>
      <c r="B2072" s="1057" t="s">
        <v>2662</v>
      </c>
      <c r="C2072" s="1058" t="e">
        <f>VLOOKUP(B2071,'LƯƠNG KT'!$D$15:$R$94,4,0)</f>
        <v>#N/A</v>
      </c>
      <c r="D2072" s="1059" t="e">
        <f>+C2072*25000</f>
        <v>#N/A</v>
      </c>
      <c r="E2072" s="1060"/>
      <c r="F2072" s="1060"/>
      <c r="G2072" s="1056" t="s">
        <v>359</v>
      </c>
      <c r="H2072" s="1057" t="s">
        <v>2662</v>
      </c>
      <c r="I2072" s="1058" t="e">
        <f>VLOOKUP(H2071,'LƯƠNG KT'!$D$15:$R$94,4,0)</f>
        <v>#N/A</v>
      </c>
      <c r="J2072" s="1059" t="e">
        <f>+I2072*25000</f>
        <v>#N/A</v>
      </c>
      <c r="K2072" s="1085"/>
      <c r="L2072" s="1085"/>
      <c r="M2072" s="1085"/>
      <c r="N2072" s="1085"/>
      <c r="O2072" s="1085"/>
    </row>
    <row r="2073" spans="1:15" ht="15" customHeight="1">
      <c r="A2073" s="1056" t="s">
        <v>361</v>
      </c>
      <c r="B2073" s="1057" t="s">
        <v>2663</v>
      </c>
      <c r="C2073" s="1058" t="e">
        <f>VLOOKUP(B2071,'LƯƠNG KT'!$D$15:$R$94,15,0)</f>
        <v>#N/A</v>
      </c>
      <c r="D2073" s="1059" t="e">
        <f>C2073*$L$4</f>
        <v>#N/A</v>
      </c>
      <c r="E2073" s="1061"/>
      <c r="F2073" s="1061"/>
      <c r="G2073" s="1056" t="s">
        <v>361</v>
      </c>
      <c r="H2073" s="1057" t="s">
        <v>2663</v>
      </c>
      <c r="I2073" s="1058" t="e">
        <f>VLOOKUP(H2071,'LƯƠNG KT'!$D$15:$R$94,15,0)</f>
        <v>#N/A</v>
      </c>
      <c r="J2073" s="1059" t="e">
        <f>I2073*$L$4</f>
        <v>#N/A</v>
      </c>
      <c r="K2073" s="1085"/>
      <c r="L2073" s="1085"/>
      <c r="M2073" s="1085"/>
      <c r="N2073" s="1085"/>
      <c r="O2073" s="1085"/>
    </row>
    <row r="2074" spans="1:15" ht="15" customHeight="1">
      <c r="A2074" s="1056" t="s">
        <v>364</v>
      </c>
      <c r="B2074" s="1057" t="s">
        <v>2664</v>
      </c>
      <c r="C2074" s="1058" t="e">
        <f>VLOOKUP(B2071,'LƯƠNG KT'!$D$15:$R$94,16,0)</f>
        <v>#N/A</v>
      </c>
      <c r="D2074" s="1059" t="e">
        <f>C2074*$L$5</f>
        <v>#N/A</v>
      </c>
      <c r="E2074" s="1061"/>
      <c r="F2074" s="1061"/>
      <c r="G2074" s="1056" t="s">
        <v>364</v>
      </c>
      <c r="H2074" s="1057" t="s">
        <v>2664</v>
      </c>
      <c r="I2074" s="1058" t="e">
        <f>VLOOKUP(H2071,'LƯƠNG KT'!$D$15:$R$94,16,0)</f>
        <v>#N/A</v>
      </c>
      <c r="J2074" s="1059" t="e">
        <f>I2074*$L$5</f>
        <v>#N/A</v>
      </c>
      <c r="K2074" s="1085"/>
      <c r="L2074" s="1085"/>
      <c r="M2074" s="1085"/>
      <c r="N2074" s="1085"/>
      <c r="O2074" s="1085"/>
    </row>
    <row r="2075" spans="1:15" ht="15" customHeight="1">
      <c r="A2075" s="1056" t="s">
        <v>370</v>
      </c>
      <c r="B2075" s="1057" t="s">
        <v>2665</v>
      </c>
      <c r="C2075" s="1058" t="e">
        <f>VLOOKUP(B2071,'LƯƠNG KT'!$D$15:$R$94,24,0)</f>
        <v>#N/A</v>
      </c>
      <c r="D2075" s="1059" t="e">
        <f>+C2075*$L$6</f>
        <v>#N/A</v>
      </c>
      <c r="E2075" s="1061"/>
      <c r="F2075" s="1061"/>
      <c r="G2075" s="1056" t="s">
        <v>370</v>
      </c>
      <c r="H2075" s="1057" t="s">
        <v>2665</v>
      </c>
      <c r="I2075" s="1058" t="e">
        <f>VLOOKUP(H2071,'LƯƠNG KT'!$D$15:$R$94,24,0)</f>
        <v>#N/A</v>
      </c>
      <c r="J2075" s="1059" t="e">
        <f>+I2075*$L$6</f>
        <v>#N/A</v>
      </c>
      <c r="K2075" s="1085"/>
      <c r="L2075" s="1085"/>
      <c r="M2075" s="1085"/>
      <c r="N2075" s="1085"/>
      <c r="O2075" s="1085"/>
    </row>
    <row r="2076" spans="1:15" ht="15" customHeight="1">
      <c r="A2076" s="1056" t="s">
        <v>2666</v>
      </c>
      <c r="B2076" s="1057" t="s">
        <v>2667</v>
      </c>
      <c r="C2076" s="1058" t="e">
        <f>VLOOKUP(B2071,'LƯƠNG KT'!$D$15:$R$94,19,0)</f>
        <v>#N/A</v>
      </c>
      <c r="D2076" s="1059" t="e">
        <f>+C2076*$L$8</f>
        <v>#N/A</v>
      </c>
      <c r="E2076" s="1061"/>
      <c r="F2076" s="1061"/>
      <c r="G2076" s="1056" t="s">
        <v>2666</v>
      </c>
      <c r="H2076" s="1057" t="s">
        <v>2667</v>
      </c>
      <c r="I2076" s="1058" t="e">
        <f>VLOOKUP(H2071,'LƯƠNG KT'!$D$15:$R$94,19,0)</f>
        <v>#N/A</v>
      </c>
      <c r="J2076" s="1059" t="e">
        <f>+I2076*$L$8</f>
        <v>#N/A</v>
      </c>
      <c r="K2076" s="1085"/>
      <c r="L2076" s="1085"/>
      <c r="M2076" s="1085"/>
      <c r="N2076" s="1085"/>
      <c r="O2076" s="1085"/>
    </row>
    <row r="2077" spans="1:15" ht="15" customHeight="1">
      <c r="A2077" s="1056" t="s">
        <v>2668</v>
      </c>
      <c r="B2077" s="1062" t="s">
        <v>2669</v>
      </c>
      <c r="C2077" s="1058" t="e">
        <f>VLOOKUP(B2071,'LƯƠNG KT'!$D$15:$R$94,20,0)</f>
        <v>#N/A</v>
      </c>
      <c r="D2077" s="1059" t="e">
        <f>+C2077*$L$9</f>
        <v>#N/A</v>
      </c>
      <c r="E2077" s="1061"/>
      <c r="F2077" s="1061"/>
      <c r="G2077" s="1056" t="s">
        <v>2668</v>
      </c>
      <c r="H2077" s="1062" t="s">
        <v>2669</v>
      </c>
      <c r="I2077" s="1058" t="e">
        <f>VLOOKUP(H2071,'LƯƠNG KT'!$D$15:$R$94,20,0)</f>
        <v>#N/A</v>
      </c>
      <c r="J2077" s="1059" t="e">
        <f>+I2077*$L$9</f>
        <v>#N/A</v>
      </c>
      <c r="K2077" s="1085"/>
      <c r="L2077" s="1085"/>
      <c r="M2077" s="1085"/>
      <c r="N2077" s="1085"/>
      <c r="O2077" s="1085"/>
    </row>
    <row r="2078" spans="1:15" ht="15" customHeight="1">
      <c r="A2078" s="1056" t="s">
        <v>2671</v>
      </c>
      <c r="B2078" s="1057" t="s">
        <v>2672</v>
      </c>
      <c r="C2078" s="1058" t="e">
        <f>VLOOKUP(B2071,'LƯƠNG KT'!$D$15:$R$94,17,0)</f>
        <v>#N/A</v>
      </c>
      <c r="D2078" s="1059" t="e">
        <f>+C2078*$L$10</f>
        <v>#N/A</v>
      </c>
      <c r="E2078" s="1061"/>
      <c r="F2078" s="1061"/>
      <c r="G2078" s="1056" t="s">
        <v>2671</v>
      </c>
      <c r="H2078" s="1057" t="s">
        <v>2672</v>
      </c>
      <c r="I2078" s="1058" t="e">
        <f>VLOOKUP(H2071,'LƯƠNG KT'!$D$15:$R$94,17,0)</f>
        <v>#N/A</v>
      </c>
      <c r="J2078" s="1059" t="e">
        <f>+I2078*$L$10</f>
        <v>#N/A</v>
      </c>
      <c r="K2078" s="1085"/>
      <c r="L2078" s="1085"/>
      <c r="M2078" s="1085"/>
      <c r="N2078" s="1085"/>
      <c r="O2078" s="1085"/>
    </row>
    <row r="2079" spans="1:15" ht="15" customHeight="1">
      <c r="A2079" s="1056" t="s">
        <v>374</v>
      </c>
      <c r="B2079" s="1057" t="s">
        <v>2674</v>
      </c>
      <c r="C2079" s="1058" t="e">
        <f>VLOOKUP(B2071,'LƯƠNG KT'!$D$15:$R$94,12,0)</f>
        <v>#N/A</v>
      </c>
      <c r="D2079" s="1059" t="e">
        <f>VLOOKUP(B2071,'LƯƠNG KT'!$D$15:$R$94,14,0)</f>
        <v>#N/A</v>
      </c>
      <c r="E2079" s="1063"/>
      <c r="F2079" s="1061"/>
      <c r="G2079" s="1056" t="s">
        <v>374</v>
      </c>
      <c r="H2079" s="1057" t="s">
        <v>2674</v>
      </c>
      <c r="I2079" s="1058" t="e">
        <f>VLOOKUP(H2071,'LƯƠNG KT'!$D$15:$R$94,12,0)</f>
        <v>#N/A</v>
      </c>
      <c r="J2079" s="1059" t="e">
        <f>VLOOKUP(H2071,'LƯƠNG KT'!$D$15:$R$94,14,0)</f>
        <v>#N/A</v>
      </c>
      <c r="K2079" s="1085"/>
      <c r="L2079" s="1085"/>
      <c r="M2079" s="1085"/>
      <c r="N2079" s="1085"/>
      <c r="O2079" s="1085"/>
    </row>
    <row r="2080" spans="1:15" ht="15" customHeight="1">
      <c r="A2080" s="1056" t="s">
        <v>2675</v>
      </c>
      <c r="B2080" s="1057" t="s">
        <v>2676</v>
      </c>
      <c r="D2080" s="1064" t="e">
        <f>VLOOKUP(B2071,'LƯƠNG KT'!$D$15:$R$94,13,0)</f>
        <v>#N/A</v>
      </c>
      <c r="E2080" s="1065"/>
      <c r="F2080" s="1065"/>
      <c r="G2080" s="1056" t="s">
        <v>2675</v>
      </c>
      <c r="H2080" s="1057" t="s">
        <v>2676</v>
      </c>
      <c r="J2080" s="1064" t="e">
        <f>VLOOKUP(H2071,'LƯƠNG KT'!$D$15:$R$94,13,0)</f>
        <v>#N/A</v>
      </c>
    </row>
    <row r="2081" spans="1:15" ht="15" customHeight="1">
      <c r="A2081" s="1066"/>
      <c r="B2081" s="869"/>
      <c r="C2081" s="1058"/>
      <c r="D2081" s="1059"/>
      <c r="E2081" s="1063"/>
      <c r="F2081" s="1065"/>
      <c r="G2081" s="1066"/>
      <c r="H2081" s="869"/>
      <c r="I2081" s="1058"/>
      <c r="J2081" s="1059"/>
    </row>
    <row r="2082" spans="1:15" ht="15" customHeight="1">
      <c r="A2082" s="1052"/>
      <c r="B2082" s="869"/>
      <c r="C2082" s="1058"/>
      <c r="D2082" s="1059"/>
      <c r="E2082" s="1067"/>
      <c r="F2082" s="1051"/>
      <c r="G2082" s="1052"/>
      <c r="H2082" s="869"/>
      <c r="I2082" s="1058"/>
      <c r="J2082" s="1059"/>
    </row>
    <row r="2083" spans="1:15" ht="15" customHeight="1">
      <c r="A2083" s="1068" t="s">
        <v>383</v>
      </c>
      <c r="B2083" s="1069" t="s">
        <v>384</v>
      </c>
      <c r="C2083" s="1070"/>
      <c r="D2083" s="1071" t="e">
        <f>SUM(D2072:D2079)-D2082</f>
        <v>#N/A</v>
      </c>
      <c r="E2083" s="1072"/>
      <c r="F2083" s="1073"/>
      <c r="G2083" s="1068" t="s">
        <v>383</v>
      </c>
      <c r="H2083" s="1069" t="s">
        <v>384</v>
      </c>
      <c r="I2083" s="1070"/>
      <c r="J2083" s="1071" t="e">
        <f>SUM(J2072:J2079)-J2082</f>
        <v>#N/A</v>
      </c>
    </row>
    <row r="2084" spans="1:15" ht="15.75" customHeight="1">
      <c r="A2084" s="1074"/>
      <c r="B2084" s="1075"/>
      <c r="C2084" s="1076"/>
      <c r="D2084" s="1077"/>
      <c r="E2084" s="1077"/>
      <c r="F2084" s="1078"/>
      <c r="G2084" s="1074"/>
      <c r="H2084" s="1075"/>
      <c r="I2084" s="1076"/>
      <c r="J2084" s="1077"/>
    </row>
    <row r="2086" spans="1:15" ht="123.75" customHeight="1">
      <c r="A2086" s="2243"/>
      <c r="B2086" s="2243"/>
      <c r="C2086" s="2243"/>
      <c r="D2086" s="2243"/>
      <c r="E2086" s="2243"/>
      <c r="F2086" s="2243"/>
      <c r="G2086" s="2243"/>
      <c r="H2086" s="2243"/>
      <c r="I2086" s="2243"/>
      <c r="J2086" s="2243"/>
    </row>
    <row r="2087" spans="1:15" ht="15" customHeight="1">
      <c r="A2087" s="2242" t="str">
        <f>$K$2</f>
        <v>THÁNG 04/2025</v>
      </c>
      <c r="B2087" s="2242"/>
      <c r="C2087" s="2242"/>
      <c r="D2087" s="2242"/>
      <c r="E2087" s="1050"/>
      <c r="F2087" s="1051"/>
      <c r="G2087" s="2242" t="str">
        <f>$K$2</f>
        <v>THÁNG 04/2025</v>
      </c>
      <c r="H2087" s="2242"/>
      <c r="I2087" s="2242"/>
      <c r="J2087" s="2242"/>
      <c r="K2087" s="624"/>
    </row>
    <row r="2088" spans="1:15" ht="15" customHeight="1">
      <c r="A2088" s="1052" t="s">
        <v>356</v>
      </c>
      <c r="B2088" s="1053" t="s">
        <v>147</v>
      </c>
      <c r="C2088" s="869"/>
      <c r="D2088" s="1049"/>
      <c r="E2088" s="1054"/>
      <c r="F2088" s="1055"/>
      <c r="G2088" s="1052" t="s">
        <v>356</v>
      </c>
      <c r="H2088" s="1053" t="s">
        <v>148</v>
      </c>
      <c r="I2088" s="869"/>
      <c r="J2088" s="1049"/>
      <c r="L2088" s="1088"/>
      <c r="M2088" s="1088"/>
      <c r="N2088" s="1088"/>
      <c r="O2088" s="1088"/>
    </row>
    <row r="2089" spans="1:15" ht="15" customHeight="1">
      <c r="A2089" s="1056" t="s">
        <v>359</v>
      </c>
      <c r="B2089" s="1057" t="s">
        <v>2662</v>
      </c>
      <c r="C2089" s="1058" t="e">
        <f>VLOOKUP(B2088,'LƯƠNG KT'!$D$15:$R$94,4,0)</f>
        <v>#N/A</v>
      </c>
      <c r="D2089" s="1059" t="e">
        <f>+C2089*25000</f>
        <v>#N/A</v>
      </c>
      <c r="E2089" s="1060"/>
      <c r="F2089" s="1060"/>
      <c r="G2089" s="1056" t="s">
        <v>359</v>
      </c>
      <c r="H2089" s="1057" t="s">
        <v>2662</v>
      </c>
      <c r="I2089" s="1058" t="e">
        <f>VLOOKUP(H2088,'LƯƠNG KT'!$D$15:$R$94,4,0)</f>
        <v>#N/A</v>
      </c>
      <c r="J2089" s="1059" t="e">
        <f>+I2089*25000</f>
        <v>#N/A</v>
      </c>
      <c r="K2089" s="1084"/>
      <c r="L2089" s="1085"/>
      <c r="M2089" s="1085"/>
      <c r="N2089" s="1085"/>
      <c r="O2089" s="1085"/>
    </row>
    <row r="2090" spans="1:15" ht="15" customHeight="1">
      <c r="A2090" s="1056" t="s">
        <v>361</v>
      </c>
      <c r="B2090" s="1057" t="s">
        <v>2663</v>
      </c>
      <c r="C2090" s="1058" t="e">
        <f>VLOOKUP(B2088,'LƯƠNG KT'!$D$15:$R$94,15,0)</f>
        <v>#N/A</v>
      </c>
      <c r="D2090" s="1059" t="e">
        <f>C2090*$L$4</f>
        <v>#N/A</v>
      </c>
      <c r="E2090" s="1061"/>
      <c r="F2090" s="1061"/>
      <c r="G2090" s="1056" t="s">
        <v>361</v>
      </c>
      <c r="H2090" s="1057" t="s">
        <v>2663</v>
      </c>
      <c r="I2090" s="1058" t="e">
        <f>VLOOKUP(H2088,'LƯƠNG KT'!$D$15:$R$94,15,0)</f>
        <v>#N/A</v>
      </c>
      <c r="J2090" s="1059" t="e">
        <f>I2090*$L$4</f>
        <v>#N/A</v>
      </c>
      <c r="K2090" s="1084"/>
      <c r="L2090" s="1085"/>
      <c r="M2090" s="1085"/>
      <c r="N2090" s="1085"/>
      <c r="O2090" s="1085"/>
    </row>
    <row r="2091" spans="1:15" ht="15" customHeight="1">
      <c r="A2091" s="1056" t="s">
        <v>364</v>
      </c>
      <c r="B2091" s="1057" t="s">
        <v>2664</v>
      </c>
      <c r="C2091" s="1058" t="e">
        <f>VLOOKUP(B2088,'LƯƠNG KT'!$D$15:$R$94,16,0)</f>
        <v>#N/A</v>
      </c>
      <c r="D2091" s="1059" t="e">
        <f>C2091*$L$5</f>
        <v>#N/A</v>
      </c>
      <c r="E2091" s="1061"/>
      <c r="F2091" s="1061"/>
      <c r="G2091" s="1056" t="s">
        <v>364</v>
      </c>
      <c r="H2091" s="1057" t="s">
        <v>2664</v>
      </c>
      <c r="I2091" s="1058" t="e">
        <f>VLOOKUP(H2088,'LƯƠNG KT'!$D$15:$R$94,16,0)</f>
        <v>#N/A</v>
      </c>
      <c r="J2091" s="1059" t="e">
        <f>I2091*$L$5</f>
        <v>#N/A</v>
      </c>
      <c r="K2091" s="1084"/>
      <c r="L2091" s="1085"/>
      <c r="M2091" s="1085"/>
      <c r="N2091" s="1085"/>
      <c r="O2091" s="1085"/>
    </row>
    <row r="2092" spans="1:15" ht="15" customHeight="1">
      <c r="A2092" s="1056" t="s">
        <v>370</v>
      </c>
      <c r="B2092" s="1057" t="s">
        <v>2665</v>
      </c>
      <c r="C2092" s="1058" t="e">
        <f>VLOOKUP(B2088,'LƯƠNG KT'!$D$15:$R$94,24,0)</f>
        <v>#N/A</v>
      </c>
      <c r="D2092" s="1059" t="e">
        <f>+C2092*$L$6</f>
        <v>#N/A</v>
      </c>
      <c r="E2092" s="1061"/>
      <c r="F2092" s="1061"/>
      <c r="G2092" s="1056" t="s">
        <v>370</v>
      </c>
      <c r="H2092" s="1057" t="s">
        <v>2665</v>
      </c>
      <c r="I2092" s="1058" t="e">
        <f>VLOOKUP(H2088,'LƯƠNG KT'!$D$15:$R$94,24,0)</f>
        <v>#N/A</v>
      </c>
      <c r="J2092" s="1059" t="e">
        <f>+I2092*$L$6</f>
        <v>#N/A</v>
      </c>
      <c r="K2092" s="1085"/>
      <c r="L2092" s="1085"/>
      <c r="M2092" s="1085"/>
      <c r="N2092" s="1085"/>
      <c r="O2092" s="1085"/>
    </row>
    <row r="2093" spans="1:15" ht="15" customHeight="1">
      <c r="A2093" s="1056" t="s">
        <v>2666</v>
      </c>
      <c r="B2093" s="1057" t="s">
        <v>2667</v>
      </c>
      <c r="C2093" s="1058" t="e">
        <f>VLOOKUP(B2088,'LƯƠNG KT'!$D$15:$R$94,19,0)</f>
        <v>#N/A</v>
      </c>
      <c r="D2093" s="1059" t="e">
        <f>+C2093*$L$8</f>
        <v>#N/A</v>
      </c>
      <c r="E2093" s="1061"/>
      <c r="F2093" s="1061"/>
      <c r="G2093" s="1056" t="s">
        <v>2666</v>
      </c>
      <c r="H2093" s="1057" t="s">
        <v>2667</v>
      </c>
      <c r="I2093" s="1058" t="e">
        <f>VLOOKUP(H2088,'LƯƠNG KT'!$D$15:$R$94,19,0)</f>
        <v>#N/A</v>
      </c>
      <c r="J2093" s="1059" t="e">
        <f>+I2093*$L$8</f>
        <v>#N/A</v>
      </c>
      <c r="K2093" s="1085"/>
      <c r="L2093" s="1085"/>
      <c r="M2093" s="1085"/>
      <c r="N2093" s="1085"/>
      <c r="O2093" s="1085"/>
    </row>
    <row r="2094" spans="1:15" ht="15" customHeight="1">
      <c r="A2094" s="1056" t="s">
        <v>2668</v>
      </c>
      <c r="B2094" s="1062" t="s">
        <v>2669</v>
      </c>
      <c r="C2094" s="1058" t="e">
        <f>VLOOKUP(B2088,'LƯƠNG KT'!$D$15:$R$94,20,0)</f>
        <v>#N/A</v>
      </c>
      <c r="D2094" s="1059" t="e">
        <f>+C2094*$L$9</f>
        <v>#N/A</v>
      </c>
      <c r="E2094" s="1061"/>
      <c r="F2094" s="1061"/>
      <c r="G2094" s="1056" t="s">
        <v>2668</v>
      </c>
      <c r="H2094" s="1062" t="s">
        <v>2669</v>
      </c>
      <c r="I2094" s="1058" t="e">
        <f>VLOOKUP(H2088,'LƯƠNG KT'!$D$15:$R$94,20,0)</f>
        <v>#N/A</v>
      </c>
      <c r="J2094" s="1059" t="e">
        <f>+I2094*$L$9</f>
        <v>#N/A</v>
      </c>
      <c r="K2094" s="1085"/>
      <c r="L2094" s="1085"/>
      <c r="M2094" s="1085"/>
      <c r="N2094" s="1085"/>
      <c r="O2094" s="1085"/>
    </row>
    <row r="2095" spans="1:15" ht="15" customHeight="1">
      <c r="A2095" s="1056" t="s">
        <v>2671</v>
      </c>
      <c r="B2095" s="1057" t="s">
        <v>2672</v>
      </c>
      <c r="C2095" s="1058" t="e">
        <f>VLOOKUP(B2088,'LƯƠNG KT'!$D$15:$R$94,17,0)</f>
        <v>#N/A</v>
      </c>
      <c r="D2095" s="1059" t="e">
        <f>+C2095*$L$10</f>
        <v>#N/A</v>
      </c>
      <c r="E2095" s="1061"/>
      <c r="F2095" s="1061"/>
      <c r="G2095" s="1056" t="s">
        <v>2671</v>
      </c>
      <c r="H2095" s="1057" t="s">
        <v>2672</v>
      </c>
      <c r="I2095" s="1058" t="e">
        <f>VLOOKUP(H2088,'LƯƠNG KT'!$D$15:$R$94,17,0)</f>
        <v>#N/A</v>
      </c>
      <c r="J2095" s="1059" t="e">
        <f>+I2095*$L$10</f>
        <v>#N/A</v>
      </c>
      <c r="K2095" s="1085"/>
      <c r="L2095" s="1085"/>
      <c r="M2095" s="1085"/>
      <c r="N2095" s="1085"/>
      <c r="O2095" s="1085"/>
    </row>
    <row r="2096" spans="1:15" ht="15" customHeight="1">
      <c r="A2096" s="1056" t="s">
        <v>374</v>
      </c>
      <c r="B2096" s="1057" t="s">
        <v>2674</v>
      </c>
      <c r="C2096" s="1058" t="e">
        <f>VLOOKUP(B2088,'LƯƠNG KT'!$D$15:$R$94,12,0)</f>
        <v>#N/A</v>
      </c>
      <c r="D2096" s="1059" t="e">
        <f>VLOOKUP(B2088,'LƯƠNG KT'!$D$15:$R$94,14,0)</f>
        <v>#N/A</v>
      </c>
      <c r="E2096" s="1063"/>
      <c r="F2096" s="1061"/>
      <c r="G2096" s="1056" t="s">
        <v>374</v>
      </c>
      <c r="H2096" s="1057" t="s">
        <v>2674</v>
      </c>
      <c r="I2096" s="1058" t="e">
        <f>VLOOKUP(H2088,'LƯƠNG KT'!$D$15:$R$94,12,0)</f>
        <v>#N/A</v>
      </c>
      <c r="J2096" s="1059" t="e">
        <f>VLOOKUP(H2088,'LƯƠNG KT'!$D$15:$R$94,14,0)</f>
        <v>#N/A</v>
      </c>
      <c r="K2096" s="1085"/>
      <c r="L2096" s="1085"/>
      <c r="M2096" s="1085"/>
      <c r="N2096" s="1085"/>
      <c r="O2096" s="1085"/>
    </row>
    <row r="2097" spans="1:15" ht="15" customHeight="1">
      <c r="A2097" s="1056" t="s">
        <v>2675</v>
      </c>
      <c r="B2097" s="1057" t="s">
        <v>2676</v>
      </c>
      <c r="D2097" s="1064" t="e">
        <f>VLOOKUP(B2088,'LƯƠNG KT'!$D$15:$R$94,13,0)</f>
        <v>#N/A</v>
      </c>
      <c r="E2097" s="1065"/>
      <c r="F2097" s="1065"/>
      <c r="G2097" s="1056" t="s">
        <v>2675</v>
      </c>
      <c r="H2097" s="1057" t="s">
        <v>2676</v>
      </c>
      <c r="J2097" s="1064" t="e">
        <f>VLOOKUP(H2088,'LƯƠNG KT'!$D$15:$R$94,13,0)</f>
        <v>#N/A</v>
      </c>
    </row>
    <row r="2098" spans="1:15" ht="15" customHeight="1">
      <c r="A2098" s="1066"/>
      <c r="B2098" s="869"/>
      <c r="C2098" s="1058"/>
      <c r="D2098" s="1059"/>
      <c r="E2098" s="1063"/>
      <c r="F2098" s="1065"/>
      <c r="G2098" s="1066"/>
      <c r="H2098" s="869"/>
      <c r="I2098" s="1058"/>
      <c r="J2098" s="1059"/>
    </row>
    <row r="2099" spans="1:15" ht="15" customHeight="1">
      <c r="A2099" s="1052"/>
      <c r="B2099" s="869"/>
      <c r="C2099" s="1058"/>
      <c r="D2099" s="1059"/>
      <c r="E2099" s="1067"/>
      <c r="F2099" s="1051"/>
      <c r="G2099" s="1052"/>
      <c r="H2099" s="869"/>
      <c r="I2099" s="1058"/>
      <c r="J2099" s="1059"/>
    </row>
    <row r="2100" spans="1:15" ht="15" customHeight="1">
      <c r="A2100" s="1068" t="s">
        <v>383</v>
      </c>
      <c r="B2100" s="1069" t="s">
        <v>384</v>
      </c>
      <c r="C2100" s="1070"/>
      <c r="D2100" s="1071" t="e">
        <f>SUM(D2089:D2096)-D2099</f>
        <v>#N/A</v>
      </c>
      <c r="E2100" s="1072"/>
      <c r="F2100" s="1073"/>
      <c r="G2100" s="1068" t="s">
        <v>383</v>
      </c>
      <c r="H2100" s="1069" t="s">
        <v>384</v>
      </c>
      <c r="I2100" s="1070"/>
      <c r="J2100" s="1071" t="e">
        <f>SUM(J2089:J2096)-J2099</f>
        <v>#N/A</v>
      </c>
    </row>
    <row r="2101" spans="1:15" ht="17.25" customHeight="1">
      <c r="A2101" s="1074"/>
      <c r="B2101" s="1075"/>
      <c r="C2101" s="1076"/>
      <c r="D2101" s="1077"/>
      <c r="E2101" s="1077"/>
      <c r="F2101" s="1078"/>
      <c r="G2101" s="1074"/>
      <c r="H2101" s="1075"/>
      <c r="I2101" s="1076"/>
      <c r="J2101" s="1077"/>
    </row>
    <row r="2102" spans="1:15" ht="17.25" customHeight="1">
      <c r="A2102" s="1075"/>
      <c r="B2102" s="1075"/>
      <c r="C2102" s="1079"/>
      <c r="D2102" s="1080"/>
      <c r="E2102" s="1075"/>
      <c r="F2102" s="1081"/>
      <c r="G2102" s="1075"/>
      <c r="H2102" s="1075"/>
      <c r="I2102" s="1079"/>
      <c r="J2102" s="1080"/>
    </row>
    <row r="2103" spans="1:15" ht="15" customHeight="1">
      <c r="A2103" s="2242" t="str">
        <f>$K$2</f>
        <v>THÁNG 04/2025</v>
      </c>
      <c r="B2103" s="2242"/>
      <c r="C2103" s="2242"/>
      <c r="D2103" s="2242"/>
      <c r="E2103" s="1050"/>
      <c r="F2103" s="1051"/>
      <c r="G2103" s="2242" t="str">
        <f>$K$2</f>
        <v>THÁNG 04/2025</v>
      </c>
      <c r="H2103" s="2242"/>
      <c r="I2103" s="2242"/>
      <c r="J2103" s="2242"/>
      <c r="K2103" s="624"/>
    </row>
    <row r="2104" spans="1:15" ht="15" customHeight="1">
      <c r="A2104" s="1052" t="s">
        <v>356</v>
      </c>
      <c r="B2104" s="1053" t="s">
        <v>149</v>
      </c>
      <c r="C2104" s="869"/>
      <c r="D2104" s="1049"/>
      <c r="E2104" s="1054"/>
      <c r="F2104" s="1055"/>
      <c r="G2104" s="1052" t="s">
        <v>356</v>
      </c>
      <c r="H2104" s="1053" t="s">
        <v>150</v>
      </c>
      <c r="I2104" s="869"/>
      <c r="J2104" s="1049"/>
      <c r="L2104" s="1088"/>
      <c r="M2104" s="1088"/>
      <c r="N2104" s="1088"/>
      <c r="O2104" s="1088"/>
    </row>
    <row r="2105" spans="1:15" ht="15" customHeight="1">
      <c r="A2105" s="1056" t="s">
        <v>359</v>
      </c>
      <c r="B2105" s="1057" t="s">
        <v>2662</v>
      </c>
      <c r="C2105" s="1058" t="e">
        <f>VLOOKUP(B2104,'LƯƠNG KT'!$D$15:$R$94,4,0)</f>
        <v>#N/A</v>
      </c>
      <c r="D2105" s="1059" t="e">
        <f>+C2105*25000</f>
        <v>#N/A</v>
      </c>
      <c r="E2105" s="1060"/>
      <c r="F2105" s="1060"/>
      <c r="G2105" s="1056" t="s">
        <v>359</v>
      </c>
      <c r="H2105" s="1057" t="s">
        <v>2662</v>
      </c>
      <c r="I2105" s="1058" t="e">
        <f>VLOOKUP(H2104,'LƯƠNG KT'!$D$15:$R$94,4,0)</f>
        <v>#N/A</v>
      </c>
      <c r="J2105" s="1059" t="e">
        <f>+I2105*25000</f>
        <v>#N/A</v>
      </c>
      <c r="K2105" s="1085"/>
      <c r="L2105" s="1085"/>
      <c r="M2105" s="1085"/>
      <c r="N2105" s="1085"/>
      <c r="O2105" s="1085"/>
    </row>
    <row r="2106" spans="1:15" ht="15" customHeight="1">
      <c r="A2106" s="1056" t="s">
        <v>361</v>
      </c>
      <c r="B2106" s="1057" t="s">
        <v>2663</v>
      </c>
      <c r="C2106" s="1058" t="e">
        <f>VLOOKUP(B2104,'LƯƠNG KT'!$D$15:$R$94,15,0)</f>
        <v>#N/A</v>
      </c>
      <c r="D2106" s="1059" t="e">
        <f>C2106*$L$4</f>
        <v>#N/A</v>
      </c>
      <c r="E2106" s="1061"/>
      <c r="F2106" s="1061"/>
      <c r="G2106" s="1056" t="s">
        <v>361</v>
      </c>
      <c r="H2106" s="1057" t="s">
        <v>2663</v>
      </c>
      <c r="I2106" s="1058" t="e">
        <f>VLOOKUP(H2104,'LƯƠNG KT'!$D$15:$R$94,15,0)</f>
        <v>#N/A</v>
      </c>
      <c r="J2106" s="1059" t="e">
        <f>I2106*$L$4</f>
        <v>#N/A</v>
      </c>
      <c r="K2106" s="1085"/>
      <c r="L2106" s="1085"/>
      <c r="M2106" s="1085"/>
      <c r="N2106" s="1085"/>
      <c r="O2106" s="1085"/>
    </row>
    <row r="2107" spans="1:15" ht="15" customHeight="1">
      <c r="A2107" s="1056" t="s">
        <v>364</v>
      </c>
      <c r="B2107" s="1057" t="s">
        <v>2664</v>
      </c>
      <c r="C2107" s="1058" t="e">
        <f>VLOOKUP(B2104,'LƯƠNG KT'!$D$15:$R$94,16,0)</f>
        <v>#N/A</v>
      </c>
      <c r="D2107" s="1059" t="e">
        <f>C2107*$L$5</f>
        <v>#N/A</v>
      </c>
      <c r="E2107" s="1061"/>
      <c r="F2107" s="1061"/>
      <c r="G2107" s="1056" t="s">
        <v>364</v>
      </c>
      <c r="H2107" s="1057" t="s">
        <v>2664</v>
      </c>
      <c r="I2107" s="1058" t="e">
        <f>VLOOKUP(H2104,'LƯƠNG KT'!$D$15:$R$94,16,0)</f>
        <v>#N/A</v>
      </c>
      <c r="J2107" s="1059" t="e">
        <f>I2107*$L$5</f>
        <v>#N/A</v>
      </c>
      <c r="K2107" s="1085"/>
      <c r="L2107" s="1085"/>
      <c r="M2107" s="1085"/>
      <c r="N2107" s="1085"/>
      <c r="O2107" s="1085"/>
    </row>
    <row r="2108" spans="1:15" ht="15" customHeight="1">
      <c r="A2108" s="1056" t="s">
        <v>370</v>
      </c>
      <c r="B2108" s="1057" t="s">
        <v>2665</v>
      </c>
      <c r="C2108" s="1058" t="e">
        <f>VLOOKUP(B2104,'LƯƠNG KT'!$D$15:$R$94,24,0)</f>
        <v>#N/A</v>
      </c>
      <c r="D2108" s="1059" t="e">
        <f>+C2108*$L$6</f>
        <v>#N/A</v>
      </c>
      <c r="E2108" s="1061"/>
      <c r="F2108" s="1061"/>
      <c r="G2108" s="1056" t="s">
        <v>370</v>
      </c>
      <c r="H2108" s="1057" t="s">
        <v>2665</v>
      </c>
      <c r="I2108" s="1058" t="e">
        <f>VLOOKUP(H2104,'LƯƠNG KT'!$D$15:$R$94,24,0)</f>
        <v>#N/A</v>
      </c>
      <c r="J2108" s="1059" t="e">
        <f>+I2108*$L$6</f>
        <v>#N/A</v>
      </c>
      <c r="K2108" s="1085"/>
      <c r="L2108" s="1085"/>
      <c r="M2108" s="1085"/>
      <c r="N2108" s="1085"/>
      <c r="O2108" s="1085"/>
    </row>
    <row r="2109" spans="1:15" ht="15" customHeight="1">
      <c r="A2109" s="1056" t="s">
        <v>2666</v>
      </c>
      <c r="B2109" s="1057" t="s">
        <v>2667</v>
      </c>
      <c r="C2109" s="1058" t="e">
        <f>VLOOKUP(B2104,'LƯƠNG KT'!$D$15:$R$94,19,0)</f>
        <v>#N/A</v>
      </c>
      <c r="D2109" s="1059" t="e">
        <f>+C2109*$L$8</f>
        <v>#N/A</v>
      </c>
      <c r="E2109" s="1061"/>
      <c r="F2109" s="1061"/>
      <c r="G2109" s="1056" t="s">
        <v>2666</v>
      </c>
      <c r="H2109" s="1057" t="s">
        <v>2667</v>
      </c>
      <c r="I2109" s="1058" t="e">
        <f>VLOOKUP(H2104,'LƯƠNG KT'!$D$15:$R$94,19,0)</f>
        <v>#N/A</v>
      </c>
      <c r="J2109" s="1059" t="e">
        <f>+I2109*$L$8</f>
        <v>#N/A</v>
      </c>
      <c r="K2109" s="1085"/>
      <c r="L2109" s="1085"/>
      <c r="M2109" s="1085"/>
      <c r="N2109" s="1085"/>
      <c r="O2109" s="1085"/>
    </row>
    <row r="2110" spans="1:15" ht="15" customHeight="1">
      <c r="A2110" s="1056" t="s">
        <v>2668</v>
      </c>
      <c r="B2110" s="1062" t="s">
        <v>2669</v>
      </c>
      <c r="C2110" s="1058" t="e">
        <f>VLOOKUP(B2104,'LƯƠNG KT'!$D$15:$R$94,20,0)</f>
        <v>#N/A</v>
      </c>
      <c r="D2110" s="1059" t="e">
        <f>+C2110*$L$9</f>
        <v>#N/A</v>
      </c>
      <c r="E2110" s="1061"/>
      <c r="F2110" s="1061"/>
      <c r="G2110" s="1056" t="s">
        <v>2668</v>
      </c>
      <c r="H2110" s="1062" t="s">
        <v>2669</v>
      </c>
      <c r="I2110" s="1058" t="e">
        <f>VLOOKUP(H2104,'LƯƠNG KT'!$D$15:$R$94,20,0)</f>
        <v>#N/A</v>
      </c>
      <c r="J2110" s="1059" t="e">
        <f>+I2110*$L$9</f>
        <v>#N/A</v>
      </c>
      <c r="K2110" s="1085"/>
      <c r="L2110" s="1085"/>
      <c r="M2110" s="1085"/>
      <c r="N2110" s="1085"/>
      <c r="O2110" s="1085"/>
    </row>
    <row r="2111" spans="1:15" ht="15" customHeight="1">
      <c r="A2111" s="1056" t="s">
        <v>2671</v>
      </c>
      <c r="B2111" s="1057" t="s">
        <v>2672</v>
      </c>
      <c r="C2111" s="1058" t="e">
        <f>VLOOKUP(B2104,'LƯƠNG KT'!$D$15:$R$94,17,0)</f>
        <v>#N/A</v>
      </c>
      <c r="D2111" s="1059" t="e">
        <f>+C2111*$L$10</f>
        <v>#N/A</v>
      </c>
      <c r="E2111" s="1061"/>
      <c r="F2111" s="1061"/>
      <c r="G2111" s="1056" t="s">
        <v>2671</v>
      </c>
      <c r="H2111" s="1057" t="s">
        <v>2672</v>
      </c>
      <c r="I2111" s="1058" t="e">
        <f>VLOOKUP(H2104,'LƯƠNG KT'!$D$15:$R$94,17,0)</f>
        <v>#N/A</v>
      </c>
      <c r="J2111" s="1059" t="e">
        <f>+I2111*$L$10</f>
        <v>#N/A</v>
      </c>
      <c r="K2111" s="1085"/>
      <c r="L2111" s="1085"/>
      <c r="M2111" s="1085"/>
      <c r="N2111" s="1085"/>
      <c r="O2111" s="1085"/>
    </row>
    <row r="2112" spans="1:15" ht="15" customHeight="1">
      <c r="A2112" s="1056" t="s">
        <v>374</v>
      </c>
      <c r="B2112" s="1057" t="s">
        <v>2674</v>
      </c>
      <c r="C2112" s="1058" t="e">
        <f>VLOOKUP(B2104,'LƯƠNG KT'!$D$15:$R$94,12,0)</f>
        <v>#N/A</v>
      </c>
      <c r="D2112" s="1059" t="e">
        <f>VLOOKUP(B2104,'LƯƠNG KT'!$D$15:$R$94,14,0)</f>
        <v>#N/A</v>
      </c>
      <c r="E2112" s="1063"/>
      <c r="F2112" s="1061"/>
      <c r="G2112" s="1056" t="s">
        <v>374</v>
      </c>
      <c r="H2112" s="1057" t="s">
        <v>2674</v>
      </c>
      <c r="I2112" s="1058" t="e">
        <f>VLOOKUP(H2104,'LƯƠNG KT'!$D$15:$R$94,12,0)</f>
        <v>#N/A</v>
      </c>
      <c r="J2112" s="1059" t="e">
        <f>VLOOKUP(H2104,'LƯƠNG KT'!$D$15:$R$94,14,0)</f>
        <v>#N/A</v>
      </c>
      <c r="K2112" s="1085"/>
      <c r="L2112" s="1085"/>
      <c r="M2112" s="1085"/>
      <c r="N2112" s="1085"/>
      <c r="O2112" s="1085"/>
    </row>
    <row r="2113" spans="1:15" ht="15" customHeight="1">
      <c r="A2113" s="1056" t="s">
        <v>2675</v>
      </c>
      <c r="B2113" s="1057" t="s">
        <v>2676</v>
      </c>
      <c r="D2113" s="1064" t="e">
        <f>VLOOKUP(B2104,'LƯƠNG KT'!$D$15:$R$94,13,0)</f>
        <v>#N/A</v>
      </c>
      <c r="E2113" s="1065"/>
      <c r="F2113" s="1065"/>
      <c r="G2113" s="1056" t="s">
        <v>2675</v>
      </c>
      <c r="H2113" s="1057" t="s">
        <v>2676</v>
      </c>
      <c r="J2113" s="1064" t="e">
        <f>VLOOKUP(H2104,'LƯƠNG KT'!$D$15:$R$94,13,0)</f>
        <v>#N/A</v>
      </c>
    </row>
    <row r="2114" spans="1:15" ht="15" customHeight="1">
      <c r="A2114" s="1066"/>
      <c r="B2114" s="869"/>
      <c r="C2114" s="1058"/>
      <c r="D2114" s="1059"/>
      <c r="E2114" s="1063"/>
      <c r="F2114" s="1065"/>
      <c r="G2114" s="1066"/>
      <c r="H2114" s="869"/>
      <c r="I2114" s="1058"/>
      <c r="J2114" s="1059"/>
    </row>
    <row r="2115" spans="1:15" ht="15" customHeight="1">
      <c r="A2115" s="1052"/>
      <c r="B2115" s="869"/>
      <c r="C2115" s="1058"/>
      <c r="D2115" s="1059"/>
      <c r="E2115" s="1067"/>
      <c r="F2115" s="1051"/>
      <c r="G2115" s="1052"/>
      <c r="H2115" s="869"/>
      <c r="I2115" s="1058"/>
      <c r="J2115" s="1059"/>
    </row>
    <row r="2116" spans="1:15" ht="15" customHeight="1">
      <c r="A2116" s="1068" t="s">
        <v>383</v>
      </c>
      <c r="B2116" s="1069" t="s">
        <v>384</v>
      </c>
      <c r="C2116" s="1070"/>
      <c r="D2116" s="1071" t="e">
        <f>SUM(D2105:D2112)-D2115</f>
        <v>#N/A</v>
      </c>
      <c r="E2116" s="1072"/>
      <c r="F2116" s="1073"/>
      <c r="G2116" s="1068" t="s">
        <v>383</v>
      </c>
      <c r="H2116" s="1069" t="s">
        <v>384</v>
      </c>
      <c r="I2116" s="1070"/>
      <c r="J2116" s="1071" t="e">
        <f>SUM(J2105:J2112)-J2115</f>
        <v>#N/A</v>
      </c>
    </row>
    <row r="2117" spans="1:15" ht="18.75" customHeight="1">
      <c r="A2117" s="1074"/>
      <c r="B2117" s="1075"/>
      <c r="C2117" s="1076"/>
      <c r="D2117" s="1077"/>
      <c r="E2117" s="1077"/>
      <c r="F2117" s="1078"/>
      <c r="G2117" s="1074"/>
      <c r="H2117" s="1075"/>
      <c r="I2117" s="1076"/>
      <c r="J2117" s="1077"/>
    </row>
    <row r="2118" spans="1:15" ht="18.75" customHeight="1">
      <c r="A2118" s="1075"/>
      <c r="B2118" s="1075"/>
      <c r="C2118" s="1079"/>
      <c r="D2118" s="1080"/>
      <c r="E2118" s="1075"/>
      <c r="F2118" s="1081"/>
      <c r="G2118" s="1075"/>
      <c r="H2118" s="1075"/>
      <c r="I2118" s="1079"/>
      <c r="J2118" s="1080"/>
    </row>
    <row r="2119" spans="1:15" ht="15" customHeight="1">
      <c r="A2119" s="2242" t="str">
        <f>$K$2</f>
        <v>THÁNG 04/2025</v>
      </c>
      <c r="B2119" s="2242"/>
      <c r="C2119" s="2242"/>
      <c r="D2119" s="2242"/>
      <c r="E2119" s="1050"/>
      <c r="F2119" s="1051"/>
      <c r="G2119" s="2242" t="str">
        <f>$K$2</f>
        <v>THÁNG 04/2025</v>
      </c>
      <c r="H2119" s="2242"/>
      <c r="I2119" s="2242"/>
      <c r="J2119" s="2242"/>
      <c r="K2119" s="624"/>
    </row>
    <row r="2120" spans="1:15" ht="15" customHeight="1">
      <c r="A2120" s="1052" t="s">
        <v>356</v>
      </c>
      <c r="B2120" s="1053" t="s">
        <v>151</v>
      </c>
      <c r="C2120" s="869"/>
      <c r="D2120" s="1049"/>
      <c r="E2120" s="1054"/>
      <c r="F2120" s="1055"/>
      <c r="G2120" s="1052" t="s">
        <v>356</v>
      </c>
      <c r="H2120" s="1053" t="s">
        <v>152</v>
      </c>
      <c r="I2120" s="869"/>
      <c r="J2120" s="1049"/>
      <c r="L2120" s="1088"/>
      <c r="M2120" s="1088"/>
      <c r="N2120" s="1088"/>
      <c r="O2120" s="1088"/>
    </row>
    <row r="2121" spans="1:15" ht="15" customHeight="1">
      <c r="A2121" s="1056" t="s">
        <v>359</v>
      </c>
      <c r="B2121" s="1057" t="s">
        <v>2662</v>
      </c>
      <c r="C2121" s="1058" t="e">
        <f>VLOOKUP(B2120,'LƯƠNG KT'!$D$15:$R$94,4,0)</f>
        <v>#N/A</v>
      </c>
      <c r="D2121" s="1059" t="e">
        <f>+C2121*25000</f>
        <v>#N/A</v>
      </c>
      <c r="E2121" s="1060"/>
      <c r="F2121" s="1060"/>
      <c r="G2121" s="1056" t="s">
        <v>359</v>
      </c>
      <c r="H2121" s="1057" t="s">
        <v>2662</v>
      </c>
      <c r="I2121" s="1058" t="e">
        <f>VLOOKUP(H2120,'LƯƠNG KT'!$D$15:$R$94,4,0)</f>
        <v>#N/A</v>
      </c>
      <c r="J2121" s="1059" t="e">
        <f>+I2121*25000</f>
        <v>#N/A</v>
      </c>
      <c r="K2121" s="1085"/>
      <c r="L2121" s="1085"/>
      <c r="M2121" s="1085"/>
      <c r="N2121" s="1085"/>
      <c r="O2121" s="1085"/>
    </row>
    <row r="2122" spans="1:15" ht="15" customHeight="1">
      <c r="A2122" s="1056" t="s">
        <v>361</v>
      </c>
      <c r="B2122" s="1057" t="s">
        <v>2663</v>
      </c>
      <c r="C2122" s="1058" t="e">
        <f>VLOOKUP(B2120,'LƯƠNG KT'!$D$15:$R$94,15,0)</f>
        <v>#N/A</v>
      </c>
      <c r="D2122" s="1059" t="e">
        <f>C2122*$L$4</f>
        <v>#N/A</v>
      </c>
      <c r="E2122" s="1061"/>
      <c r="F2122" s="1061"/>
      <c r="G2122" s="1056" t="s">
        <v>361</v>
      </c>
      <c r="H2122" s="1057" t="s">
        <v>2663</v>
      </c>
      <c r="I2122" s="1058" t="e">
        <f>VLOOKUP(H2120,'LƯƠNG KT'!$D$15:$R$94,15,0)</f>
        <v>#N/A</v>
      </c>
      <c r="J2122" s="1059" t="e">
        <f>I2122*$L$4</f>
        <v>#N/A</v>
      </c>
      <c r="K2122" s="1085"/>
      <c r="L2122" s="1085"/>
      <c r="M2122" s="1085"/>
      <c r="N2122" s="1085"/>
      <c r="O2122" s="1085"/>
    </row>
    <row r="2123" spans="1:15" ht="15" customHeight="1">
      <c r="A2123" s="1056" t="s">
        <v>364</v>
      </c>
      <c r="B2123" s="1057" t="s">
        <v>2664</v>
      </c>
      <c r="C2123" s="1058" t="e">
        <f>VLOOKUP(B2120,'LƯƠNG KT'!$D$15:$R$94,16,0)</f>
        <v>#N/A</v>
      </c>
      <c r="D2123" s="1059" t="e">
        <f>C2123*$L$5</f>
        <v>#N/A</v>
      </c>
      <c r="E2123" s="1061"/>
      <c r="F2123" s="1061"/>
      <c r="G2123" s="1056" t="s">
        <v>364</v>
      </c>
      <c r="H2123" s="1057" t="s">
        <v>2664</v>
      </c>
      <c r="I2123" s="1058" t="e">
        <f>VLOOKUP(H2120,'LƯƠNG KT'!$D$15:$R$94,16,0)</f>
        <v>#N/A</v>
      </c>
      <c r="J2123" s="1059" t="e">
        <f>I2123*$L$5</f>
        <v>#N/A</v>
      </c>
      <c r="K2123" s="1085"/>
      <c r="L2123" s="1085"/>
      <c r="M2123" s="1085"/>
      <c r="N2123" s="1085"/>
      <c r="O2123" s="1085"/>
    </row>
    <row r="2124" spans="1:15" ht="15" customHeight="1">
      <c r="A2124" s="1056" t="s">
        <v>370</v>
      </c>
      <c r="B2124" s="1057" t="s">
        <v>2665</v>
      </c>
      <c r="C2124" s="1058" t="e">
        <f>VLOOKUP(B2120,'LƯƠNG KT'!$D$15:$R$94,24,0)</f>
        <v>#N/A</v>
      </c>
      <c r="D2124" s="1059" t="e">
        <f>+C2124*$L$6</f>
        <v>#N/A</v>
      </c>
      <c r="E2124" s="1061"/>
      <c r="F2124" s="1061"/>
      <c r="G2124" s="1056" t="s">
        <v>370</v>
      </c>
      <c r="H2124" s="1057" t="s">
        <v>2665</v>
      </c>
      <c r="I2124" s="1058" t="e">
        <f>VLOOKUP(H2120,'LƯƠNG KT'!$D$15:$R$94,24,0)</f>
        <v>#N/A</v>
      </c>
      <c r="J2124" s="1059" t="e">
        <f>+I2124*$L$6</f>
        <v>#N/A</v>
      </c>
      <c r="K2124" s="1085"/>
      <c r="L2124" s="1085"/>
      <c r="M2124" s="1085"/>
      <c r="N2124" s="1085"/>
      <c r="O2124" s="1085"/>
    </row>
    <row r="2125" spans="1:15" ht="15" customHeight="1">
      <c r="A2125" s="1056" t="s">
        <v>2666</v>
      </c>
      <c r="B2125" s="1057" t="s">
        <v>2667</v>
      </c>
      <c r="C2125" s="1058" t="e">
        <f>VLOOKUP(B2120,'LƯƠNG KT'!$D$15:$R$94,19,0)</f>
        <v>#N/A</v>
      </c>
      <c r="D2125" s="1059" t="e">
        <f>+C2125*$L$8</f>
        <v>#N/A</v>
      </c>
      <c r="E2125" s="1061"/>
      <c r="F2125" s="1061"/>
      <c r="G2125" s="1056" t="s">
        <v>2666</v>
      </c>
      <c r="H2125" s="1057" t="s">
        <v>2667</v>
      </c>
      <c r="I2125" s="1058" t="e">
        <f>VLOOKUP(H2120,'LƯƠNG KT'!$D$15:$R$94,19,0)</f>
        <v>#N/A</v>
      </c>
      <c r="J2125" s="1059" t="e">
        <f>+I2125*$L$8</f>
        <v>#N/A</v>
      </c>
      <c r="K2125" s="1085"/>
      <c r="L2125" s="1085"/>
      <c r="M2125" s="1085"/>
      <c r="N2125" s="1085"/>
      <c r="O2125" s="1085"/>
    </row>
    <row r="2126" spans="1:15" ht="15" customHeight="1">
      <c r="A2126" s="1056" t="s">
        <v>2668</v>
      </c>
      <c r="B2126" s="1062" t="s">
        <v>2669</v>
      </c>
      <c r="C2126" s="1058" t="e">
        <f>VLOOKUP(B2120,'LƯƠNG KT'!$D$15:$R$94,20,0)</f>
        <v>#N/A</v>
      </c>
      <c r="D2126" s="1059" t="e">
        <f>+C2126*$L$9</f>
        <v>#N/A</v>
      </c>
      <c r="E2126" s="1061"/>
      <c r="F2126" s="1061"/>
      <c r="G2126" s="1056" t="s">
        <v>2668</v>
      </c>
      <c r="H2126" s="1062" t="s">
        <v>2669</v>
      </c>
      <c r="I2126" s="1058" t="e">
        <f>VLOOKUP(H2120,'LƯƠNG KT'!$D$15:$R$94,20,0)</f>
        <v>#N/A</v>
      </c>
      <c r="J2126" s="1059" t="e">
        <f>+I2126*$L$9</f>
        <v>#N/A</v>
      </c>
      <c r="K2126" s="1085"/>
      <c r="L2126" s="1085"/>
      <c r="M2126" s="1085"/>
      <c r="N2126" s="1085"/>
      <c r="O2126" s="1085"/>
    </row>
    <row r="2127" spans="1:15" ht="15" customHeight="1">
      <c r="A2127" s="1056" t="s">
        <v>2671</v>
      </c>
      <c r="B2127" s="1057" t="s">
        <v>2672</v>
      </c>
      <c r="C2127" s="1058" t="e">
        <f>VLOOKUP(B2120,'LƯƠNG KT'!$D$15:$R$94,17,0)</f>
        <v>#N/A</v>
      </c>
      <c r="D2127" s="1059" t="e">
        <f>+C2127*$L$10</f>
        <v>#N/A</v>
      </c>
      <c r="E2127" s="1061"/>
      <c r="F2127" s="1061"/>
      <c r="G2127" s="1056" t="s">
        <v>2671</v>
      </c>
      <c r="H2127" s="1057" t="s">
        <v>2672</v>
      </c>
      <c r="I2127" s="1058" t="e">
        <f>VLOOKUP(H2120,'LƯƠNG KT'!$D$15:$R$94,17,0)</f>
        <v>#N/A</v>
      </c>
      <c r="J2127" s="1059" t="e">
        <f>+I2127*$L$10</f>
        <v>#N/A</v>
      </c>
      <c r="K2127" s="1085"/>
      <c r="L2127" s="1085"/>
      <c r="M2127" s="1085"/>
      <c r="N2127" s="1085"/>
      <c r="O2127" s="1085"/>
    </row>
    <row r="2128" spans="1:15" ht="15" customHeight="1">
      <c r="A2128" s="1056" t="s">
        <v>374</v>
      </c>
      <c r="B2128" s="1057" t="s">
        <v>2674</v>
      </c>
      <c r="C2128" s="1058" t="e">
        <f>VLOOKUP(B2120,'LƯƠNG KT'!$D$15:$R$94,12,0)</f>
        <v>#N/A</v>
      </c>
      <c r="D2128" s="1059" t="e">
        <f>VLOOKUP(B2120,'LƯƠNG KT'!$D$15:$R$94,14,0)</f>
        <v>#N/A</v>
      </c>
      <c r="E2128" s="1063"/>
      <c r="F2128" s="1061"/>
      <c r="G2128" s="1056" t="s">
        <v>374</v>
      </c>
      <c r="H2128" s="1057" t="s">
        <v>2674</v>
      </c>
      <c r="I2128" s="1058" t="e">
        <f>VLOOKUP(H2120,'LƯƠNG KT'!$D$15:$R$94,12,0)</f>
        <v>#N/A</v>
      </c>
      <c r="J2128" s="1059" t="e">
        <f>VLOOKUP(H2120,'LƯƠNG KT'!$D$15:$R$94,14,0)</f>
        <v>#N/A</v>
      </c>
      <c r="K2128" s="1085"/>
      <c r="L2128" s="1085"/>
      <c r="M2128" s="1085"/>
      <c r="N2128" s="1085"/>
      <c r="O2128" s="1085"/>
    </row>
    <row r="2129" spans="1:15" ht="15" customHeight="1">
      <c r="A2129" s="1056" t="s">
        <v>2675</v>
      </c>
      <c r="B2129" s="1057" t="s">
        <v>2676</v>
      </c>
      <c r="D2129" s="1064" t="e">
        <f>VLOOKUP(B2120,'LƯƠNG KT'!$D$15:$R$94,13,0)</f>
        <v>#N/A</v>
      </c>
      <c r="E2129" s="1065"/>
      <c r="F2129" s="1065"/>
      <c r="G2129" s="1056" t="s">
        <v>2675</v>
      </c>
      <c r="H2129" s="1057" t="s">
        <v>2676</v>
      </c>
      <c r="J2129" s="1064" t="e">
        <f>VLOOKUP(H2120,'LƯƠNG KT'!$D$15:$R$94,13,0)</f>
        <v>#N/A</v>
      </c>
    </row>
    <row r="2130" spans="1:15" ht="15" customHeight="1">
      <c r="A2130" s="1066"/>
      <c r="B2130" s="869"/>
      <c r="C2130" s="1058"/>
      <c r="D2130" s="1059"/>
      <c r="E2130" s="1063"/>
      <c r="F2130" s="1065"/>
      <c r="G2130" s="1066"/>
      <c r="H2130" s="869"/>
      <c r="I2130" s="1058"/>
      <c r="J2130" s="1059"/>
    </row>
    <row r="2131" spans="1:15" ht="15" customHeight="1">
      <c r="A2131" s="1052"/>
      <c r="B2131" s="869"/>
      <c r="C2131" s="1058"/>
      <c r="D2131" s="1059"/>
      <c r="E2131" s="1067"/>
      <c r="F2131" s="1051"/>
      <c r="G2131" s="1052"/>
      <c r="H2131" s="869"/>
      <c r="I2131" s="1058"/>
      <c r="J2131" s="1059"/>
    </row>
    <row r="2132" spans="1:15" ht="15" customHeight="1">
      <c r="A2132" s="1068" t="s">
        <v>383</v>
      </c>
      <c r="B2132" s="1069" t="s">
        <v>384</v>
      </c>
      <c r="C2132" s="1070"/>
      <c r="D2132" s="1071" t="e">
        <f>SUM(D2121:D2128)-D2131</f>
        <v>#N/A</v>
      </c>
      <c r="E2132" s="1072"/>
      <c r="F2132" s="1073"/>
      <c r="G2132" s="1068" t="s">
        <v>383</v>
      </c>
      <c r="H2132" s="1069" t="s">
        <v>384</v>
      </c>
      <c r="I2132" s="1070"/>
      <c r="J2132" s="1071" t="e">
        <f>SUM(J2121:J2128)-J2131</f>
        <v>#N/A</v>
      </c>
    </row>
    <row r="2133" spans="1:15" ht="18.75" customHeight="1">
      <c r="A2133" s="1074"/>
      <c r="B2133" s="1075"/>
      <c r="C2133" s="1076"/>
      <c r="D2133" s="1077"/>
      <c r="E2133" s="1077"/>
      <c r="F2133" s="1078"/>
      <c r="G2133" s="1074"/>
      <c r="H2133" s="1075"/>
      <c r="I2133" s="1076"/>
      <c r="J2133" s="1077"/>
    </row>
    <row r="2134" spans="1:15" ht="151.5" customHeight="1">
      <c r="A2134" s="1075"/>
      <c r="B2134" s="1075"/>
      <c r="C2134" s="1079"/>
      <c r="D2134" s="1080"/>
      <c r="E2134" s="1075"/>
      <c r="F2134" s="1081"/>
      <c r="G2134" s="1075"/>
      <c r="H2134" s="1075"/>
      <c r="I2134" s="1079"/>
      <c r="J2134" s="1080"/>
    </row>
    <row r="2135" spans="1:15" ht="15" customHeight="1">
      <c r="A2135" s="2242" t="str">
        <f>$K$2</f>
        <v>THÁNG 04/2025</v>
      </c>
      <c r="B2135" s="2242"/>
      <c r="C2135" s="2242"/>
      <c r="D2135" s="2242"/>
      <c r="E2135" s="1050"/>
      <c r="F2135" s="1051"/>
      <c r="G2135" s="2242" t="str">
        <f>$K$2</f>
        <v>THÁNG 04/2025</v>
      </c>
      <c r="H2135" s="2242"/>
      <c r="I2135" s="2242"/>
      <c r="J2135" s="2242"/>
      <c r="K2135" s="624"/>
    </row>
    <row r="2136" spans="1:15" ht="15" customHeight="1">
      <c r="A2136" s="1052" t="s">
        <v>356</v>
      </c>
      <c r="B2136" s="1053" t="s">
        <v>153</v>
      </c>
      <c r="C2136" s="869"/>
      <c r="D2136" s="1049"/>
      <c r="E2136" s="1054"/>
      <c r="F2136" s="1055"/>
      <c r="G2136" s="1052" t="s">
        <v>356</v>
      </c>
      <c r="H2136" s="1053" t="s">
        <v>154</v>
      </c>
      <c r="I2136" s="869"/>
      <c r="J2136" s="1049"/>
      <c r="L2136" s="1088"/>
      <c r="M2136" s="1088"/>
      <c r="N2136" s="1088"/>
      <c r="O2136" s="1088"/>
    </row>
    <row r="2137" spans="1:15" ht="15" customHeight="1">
      <c r="A2137" s="1056" t="s">
        <v>359</v>
      </c>
      <c r="B2137" s="1057" t="s">
        <v>2662</v>
      </c>
      <c r="C2137" s="1058" t="e">
        <f>VLOOKUP(B2136,'LƯƠNG KT'!$D$15:$R$94,4,0)</f>
        <v>#N/A</v>
      </c>
      <c r="D2137" s="1059" t="e">
        <f>+C2137*25000</f>
        <v>#N/A</v>
      </c>
      <c r="E2137" s="1060"/>
      <c r="F2137" s="1060"/>
      <c r="G2137" s="1056" t="s">
        <v>359</v>
      </c>
      <c r="H2137" s="1057" t="s">
        <v>2662</v>
      </c>
      <c r="I2137" s="1058" t="e">
        <f>VLOOKUP(H2136,'LƯƠNG KT'!$D$15:$R$94,4,0)</f>
        <v>#N/A</v>
      </c>
      <c r="J2137" s="1059" t="e">
        <f>+I2137*25000</f>
        <v>#N/A</v>
      </c>
      <c r="K2137" s="1085"/>
      <c r="L2137" s="1085"/>
      <c r="M2137" s="1085"/>
      <c r="N2137" s="1085"/>
      <c r="O2137" s="1085"/>
    </row>
    <row r="2138" spans="1:15" ht="15" customHeight="1">
      <c r="A2138" s="1056" t="s">
        <v>361</v>
      </c>
      <c r="B2138" s="1057" t="s">
        <v>2663</v>
      </c>
      <c r="C2138" s="1058" t="e">
        <f>VLOOKUP(B2136,'LƯƠNG KT'!$D$15:$R$94,15,0)</f>
        <v>#N/A</v>
      </c>
      <c r="D2138" s="1059" t="e">
        <f>C2138*$L$4</f>
        <v>#N/A</v>
      </c>
      <c r="E2138" s="1061"/>
      <c r="F2138" s="1061"/>
      <c r="G2138" s="1056" t="s">
        <v>361</v>
      </c>
      <c r="H2138" s="1057" t="s">
        <v>2663</v>
      </c>
      <c r="I2138" s="1058" t="e">
        <f>VLOOKUP(H2136,'LƯƠNG KT'!$D$15:$R$94,15,0)</f>
        <v>#N/A</v>
      </c>
      <c r="J2138" s="1059" t="e">
        <f>I2138*$L$4</f>
        <v>#N/A</v>
      </c>
      <c r="K2138" s="1085"/>
      <c r="L2138" s="1085"/>
      <c r="M2138" s="1085"/>
      <c r="N2138" s="1085"/>
      <c r="O2138" s="1085"/>
    </row>
    <row r="2139" spans="1:15" ht="15" customHeight="1">
      <c r="A2139" s="1056" t="s">
        <v>364</v>
      </c>
      <c r="B2139" s="1057" t="s">
        <v>2664</v>
      </c>
      <c r="C2139" s="1058" t="e">
        <f>VLOOKUP(B2136,'LƯƠNG KT'!$D$15:$R$94,16,0)</f>
        <v>#N/A</v>
      </c>
      <c r="D2139" s="1059" t="e">
        <f>C2139*$L$5</f>
        <v>#N/A</v>
      </c>
      <c r="E2139" s="1061"/>
      <c r="F2139" s="1061"/>
      <c r="G2139" s="1056" t="s">
        <v>364</v>
      </c>
      <c r="H2139" s="1057" t="s">
        <v>2664</v>
      </c>
      <c r="I2139" s="1058" t="e">
        <f>VLOOKUP(H2136,'LƯƠNG KT'!$D$15:$R$94,16,0)</f>
        <v>#N/A</v>
      </c>
      <c r="J2139" s="1059" t="e">
        <f>I2139*$L$5</f>
        <v>#N/A</v>
      </c>
      <c r="K2139" s="1085"/>
      <c r="L2139" s="1085"/>
      <c r="M2139" s="1085"/>
      <c r="N2139" s="1085"/>
      <c r="O2139" s="1085"/>
    </row>
    <row r="2140" spans="1:15" ht="15" customHeight="1">
      <c r="A2140" s="1056" t="s">
        <v>370</v>
      </c>
      <c r="B2140" s="1057" t="s">
        <v>2665</v>
      </c>
      <c r="C2140" s="1058" t="e">
        <f>VLOOKUP(B2136,'LƯƠNG KT'!$D$15:$R$94,24,0)</f>
        <v>#N/A</v>
      </c>
      <c r="D2140" s="1059" t="e">
        <f>+C2140*$L$6</f>
        <v>#N/A</v>
      </c>
      <c r="E2140" s="1061"/>
      <c r="F2140" s="1061"/>
      <c r="G2140" s="1056" t="s">
        <v>370</v>
      </c>
      <c r="H2140" s="1057" t="s">
        <v>2665</v>
      </c>
      <c r="I2140" s="1058" t="e">
        <f>VLOOKUP(H2136,'LƯƠNG KT'!$D$15:$R$94,24,0)</f>
        <v>#N/A</v>
      </c>
      <c r="J2140" s="1059" t="e">
        <f>+I2140*$L$6</f>
        <v>#N/A</v>
      </c>
      <c r="K2140" s="1085"/>
      <c r="L2140" s="1085"/>
      <c r="M2140" s="1085"/>
      <c r="N2140" s="1085"/>
      <c r="O2140" s="1085"/>
    </row>
    <row r="2141" spans="1:15" ht="15" customHeight="1">
      <c r="A2141" s="1056" t="s">
        <v>2666</v>
      </c>
      <c r="B2141" s="1057" t="s">
        <v>2667</v>
      </c>
      <c r="C2141" s="1058" t="e">
        <f>VLOOKUP(B2136,'LƯƠNG KT'!$D$15:$R$94,19,0)</f>
        <v>#N/A</v>
      </c>
      <c r="D2141" s="1059" t="e">
        <f>+C2141*$L$8</f>
        <v>#N/A</v>
      </c>
      <c r="E2141" s="1061"/>
      <c r="F2141" s="1061"/>
      <c r="G2141" s="1056" t="s">
        <v>2666</v>
      </c>
      <c r="H2141" s="1057" t="s">
        <v>2667</v>
      </c>
      <c r="I2141" s="1058" t="e">
        <f>VLOOKUP(H2136,'LƯƠNG KT'!$D$15:$R$94,19,0)</f>
        <v>#N/A</v>
      </c>
      <c r="J2141" s="1059" t="e">
        <f>+I2141*$L$8</f>
        <v>#N/A</v>
      </c>
      <c r="K2141" s="1085"/>
      <c r="L2141" s="1085"/>
      <c r="M2141" s="1085"/>
      <c r="N2141" s="1085"/>
      <c r="O2141" s="1085"/>
    </row>
    <row r="2142" spans="1:15" ht="15" customHeight="1">
      <c r="A2142" s="1056" t="s">
        <v>2668</v>
      </c>
      <c r="B2142" s="1062" t="s">
        <v>2669</v>
      </c>
      <c r="C2142" s="1058" t="e">
        <f>VLOOKUP(B2136,'LƯƠNG KT'!$D$15:$R$94,20,0)</f>
        <v>#N/A</v>
      </c>
      <c r="D2142" s="1059" t="e">
        <f>+C2142*$L$9</f>
        <v>#N/A</v>
      </c>
      <c r="E2142" s="1061"/>
      <c r="F2142" s="1061"/>
      <c r="G2142" s="1056" t="s">
        <v>2668</v>
      </c>
      <c r="H2142" s="1062" t="s">
        <v>2669</v>
      </c>
      <c r="I2142" s="1058" t="e">
        <f>VLOOKUP(H2136,'LƯƠNG KT'!$D$15:$R$94,20,0)</f>
        <v>#N/A</v>
      </c>
      <c r="J2142" s="1059" t="e">
        <f>+I2142*$L$9</f>
        <v>#N/A</v>
      </c>
      <c r="K2142" s="1085"/>
      <c r="L2142" s="1085"/>
      <c r="M2142" s="1085"/>
      <c r="N2142" s="1085"/>
      <c r="O2142" s="1085"/>
    </row>
    <row r="2143" spans="1:15" ht="15" customHeight="1">
      <c r="A2143" s="1056" t="s">
        <v>2671</v>
      </c>
      <c r="B2143" s="1057" t="s">
        <v>2672</v>
      </c>
      <c r="C2143" s="1058" t="e">
        <f>VLOOKUP(B2136,'LƯƠNG KT'!$D$15:$R$94,17,0)</f>
        <v>#N/A</v>
      </c>
      <c r="D2143" s="1059" t="e">
        <f>+C2143*$L$10</f>
        <v>#N/A</v>
      </c>
      <c r="E2143" s="1061"/>
      <c r="F2143" s="1061"/>
      <c r="G2143" s="1056" t="s">
        <v>2671</v>
      </c>
      <c r="H2143" s="1057" t="s">
        <v>2672</v>
      </c>
      <c r="I2143" s="1058" t="e">
        <f>VLOOKUP(H2136,'LƯƠNG KT'!$D$15:$R$94,17,0)</f>
        <v>#N/A</v>
      </c>
      <c r="J2143" s="1059" t="e">
        <f>+I2143*$L$10</f>
        <v>#N/A</v>
      </c>
      <c r="K2143" s="1085"/>
      <c r="L2143" s="1085"/>
      <c r="M2143" s="1085"/>
      <c r="N2143" s="1085"/>
      <c r="O2143" s="1085"/>
    </row>
    <row r="2144" spans="1:15" ht="15" customHeight="1">
      <c r="A2144" s="1056" t="s">
        <v>374</v>
      </c>
      <c r="B2144" s="1057" t="s">
        <v>2674</v>
      </c>
      <c r="C2144" s="1058" t="e">
        <f>VLOOKUP(B2136,'LƯƠNG KT'!$D$15:$R$94,12,0)</f>
        <v>#N/A</v>
      </c>
      <c r="D2144" s="1059" t="e">
        <f>VLOOKUP(B2136,'LƯƠNG KT'!$D$15:$R$94,14,0)</f>
        <v>#N/A</v>
      </c>
      <c r="E2144" s="1063"/>
      <c r="F2144" s="1061"/>
      <c r="G2144" s="1056" t="s">
        <v>374</v>
      </c>
      <c r="H2144" s="1057" t="s">
        <v>2674</v>
      </c>
      <c r="I2144" s="1058" t="e">
        <f>VLOOKUP(H2136,'LƯƠNG KT'!$D$15:$R$94,12,0)</f>
        <v>#N/A</v>
      </c>
      <c r="J2144" s="1059" t="e">
        <f>VLOOKUP(H2136,'LƯƠNG KT'!$D$15:$R$94,14,0)</f>
        <v>#N/A</v>
      </c>
      <c r="K2144" s="1085"/>
      <c r="L2144" s="1085"/>
      <c r="M2144" s="1085"/>
      <c r="N2144" s="1085"/>
      <c r="O2144" s="1085"/>
    </row>
    <row r="2145" spans="1:15" ht="15" customHeight="1">
      <c r="A2145" s="1056" t="s">
        <v>2675</v>
      </c>
      <c r="B2145" s="1057" t="s">
        <v>2676</v>
      </c>
      <c r="D2145" s="1064" t="e">
        <f>VLOOKUP(B2136,'LƯƠNG KT'!$D$15:$R$94,13,0)</f>
        <v>#N/A</v>
      </c>
      <c r="E2145" s="1065"/>
      <c r="F2145" s="1065"/>
      <c r="G2145" s="1056" t="s">
        <v>2675</v>
      </c>
      <c r="H2145" s="1057" t="s">
        <v>2676</v>
      </c>
      <c r="J2145" s="1064" t="e">
        <f>VLOOKUP(H2136,'LƯƠNG KT'!$D$15:$R$94,13,0)</f>
        <v>#N/A</v>
      </c>
    </row>
    <row r="2146" spans="1:15" ht="15" customHeight="1">
      <c r="A2146" s="1066"/>
      <c r="B2146" s="869"/>
      <c r="C2146" s="1058"/>
      <c r="D2146" s="1059"/>
      <c r="E2146" s="1063"/>
      <c r="F2146" s="1065"/>
      <c r="G2146" s="1066"/>
      <c r="H2146" s="869"/>
      <c r="I2146" s="1058"/>
      <c r="J2146" s="1059"/>
    </row>
    <row r="2147" spans="1:15" ht="15" customHeight="1">
      <c r="A2147" s="1052"/>
      <c r="B2147" s="869"/>
      <c r="C2147" s="1058"/>
      <c r="D2147" s="1059"/>
      <c r="E2147" s="1067"/>
      <c r="F2147" s="1051"/>
      <c r="G2147" s="1052"/>
      <c r="H2147" s="869"/>
      <c r="I2147" s="1058"/>
      <c r="J2147" s="1059"/>
    </row>
    <row r="2148" spans="1:15" ht="15" customHeight="1">
      <c r="A2148" s="1068" t="s">
        <v>383</v>
      </c>
      <c r="B2148" s="1069" t="s">
        <v>384</v>
      </c>
      <c r="C2148" s="1070"/>
      <c r="D2148" s="1071" t="e">
        <f>SUM(D2137:D2144)-D2147</f>
        <v>#N/A</v>
      </c>
      <c r="E2148" s="1072"/>
      <c r="F2148" s="1073"/>
      <c r="G2148" s="1068" t="s">
        <v>383</v>
      </c>
      <c r="H2148" s="1069" t="s">
        <v>384</v>
      </c>
      <c r="I2148" s="1070"/>
      <c r="J2148" s="1071" t="e">
        <f>SUM(J2137:J2144)-J2147</f>
        <v>#N/A</v>
      </c>
    </row>
    <row r="2149" spans="1:15" ht="15.75" customHeight="1">
      <c r="A2149" s="1074"/>
      <c r="B2149" s="1075"/>
      <c r="C2149" s="1076"/>
      <c r="D2149" s="1077"/>
      <c r="E2149" s="1077"/>
      <c r="F2149" s="1078"/>
      <c r="G2149" s="1074"/>
      <c r="H2149" s="1075"/>
      <c r="I2149" s="1076"/>
      <c r="J2149" s="1077"/>
    </row>
    <row r="2151" spans="1:15" ht="12" customHeight="1">
      <c r="A2151" s="2243"/>
      <c r="B2151" s="2243"/>
      <c r="C2151" s="2243"/>
      <c r="D2151" s="2243"/>
      <c r="E2151" s="2243"/>
      <c r="F2151" s="2243"/>
      <c r="G2151" s="2243"/>
      <c r="H2151" s="2243"/>
      <c r="I2151" s="2243"/>
      <c r="J2151" s="2243"/>
    </row>
    <row r="2152" spans="1:15" ht="15" customHeight="1">
      <c r="A2152" s="2242" t="str">
        <f>$K$2</f>
        <v>THÁNG 04/2025</v>
      </c>
      <c r="B2152" s="2242"/>
      <c r="C2152" s="2242"/>
      <c r="D2152" s="2242"/>
      <c r="E2152" s="1050"/>
      <c r="F2152" s="1051"/>
      <c r="G2152" s="2242" t="str">
        <f>$K$2</f>
        <v>THÁNG 04/2025</v>
      </c>
      <c r="H2152" s="2242"/>
      <c r="I2152" s="2242"/>
      <c r="J2152" s="2242"/>
      <c r="K2152" s="624"/>
    </row>
    <row r="2153" spans="1:15" ht="15" customHeight="1">
      <c r="A2153" s="1052" t="s">
        <v>356</v>
      </c>
      <c r="B2153" s="1053" t="s">
        <v>155</v>
      </c>
      <c r="C2153" s="869"/>
      <c r="D2153" s="1049"/>
      <c r="E2153" s="1054"/>
      <c r="F2153" s="1055"/>
      <c r="G2153" s="1052" t="s">
        <v>356</v>
      </c>
      <c r="H2153" s="1053" t="s">
        <v>156</v>
      </c>
      <c r="I2153" s="869"/>
      <c r="J2153" s="1049"/>
      <c r="L2153" s="1088"/>
      <c r="M2153" s="1088"/>
      <c r="N2153" s="1088"/>
      <c r="O2153" s="1088"/>
    </row>
    <row r="2154" spans="1:15" ht="15" customHeight="1">
      <c r="A2154" s="1056" t="s">
        <v>359</v>
      </c>
      <c r="B2154" s="1057" t="s">
        <v>2662</v>
      </c>
      <c r="C2154" s="1058" t="e">
        <f>VLOOKUP(B2153,'LƯƠNG KT'!$D$15:$R$94,4,0)</f>
        <v>#N/A</v>
      </c>
      <c r="D2154" s="1059" t="e">
        <f>+C2154*25000</f>
        <v>#N/A</v>
      </c>
      <c r="E2154" s="1060"/>
      <c r="F2154" s="1060"/>
      <c r="G2154" s="1056" t="s">
        <v>359</v>
      </c>
      <c r="H2154" s="1057" t="s">
        <v>2662</v>
      </c>
      <c r="I2154" s="1058" t="e">
        <f>VLOOKUP(H2153,'LƯƠNG KT'!$D$15:$R$94,4,0)</f>
        <v>#N/A</v>
      </c>
      <c r="J2154" s="1059" t="e">
        <f>+I2154*25000</f>
        <v>#N/A</v>
      </c>
      <c r="K2154" s="1084"/>
      <c r="L2154" s="1085"/>
      <c r="M2154" s="1085"/>
      <c r="N2154" s="1085"/>
      <c r="O2154" s="1085"/>
    </row>
    <row r="2155" spans="1:15" ht="15" customHeight="1">
      <c r="A2155" s="1056" t="s">
        <v>361</v>
      </c>
      <c r="B2155" s="1057" t="s">
        <v>2663</v>
      </c>
      <c r="C2155" s="1058" t="e">
        <f>VLOOKUP(B2153,'LƯƠNG KT'!$D$15:$R$94,15,0)</f>
        <v>#N/A</v>
      </c>
      <c r="D2155" s="1059" t="e">
        <f>C2155*$L$4</f>
        <v>#N/A</v>
      </c>
      <c r="E2155" s="1061"/>
      <c r="F2155" s="1061"/>
      <c r="G2155" s="1056" t="s">
        <v>361</v>
      </c>
      <c r="H2155" s="1057" t="s">
        <v>2663</v>
      </c>
      <c r="I2155" s="1058" t="e">
        <f>VLOOKUP(H2153,'LƯƠNG KT'!$D$15:$R$94,15,0)</f>
        <v>#N/A</v>
      </c>
      <c r="J2155" s="1059" t="e">
        <f>I2155*$L$4</f>
        <v>#N/A</v>
      </c>
      <c r="K2155" s="1084"/>
      <c r="L2155" s="1085"/>
      <c r="M2155" s="1085"/>
      <c r="N2155" s="1085"/>
      <c r="O2155" s="1085"/>
    </row>
    <row r="2156" spans="1:15" ht="15" customHeight="1">
      <c r="A2156" s="1056" t="s">
        <v>364</v>
      </c>
      <c r="B2156" s="1057" t="s">
        <v>2664</v>
      </c>
      <c r="C2156" s="1058" t="e">
        <f>VLOOKUP(B2153,'LƯƠNG KT'!$D$15:$R$94,16,0)</f>
        <v>#N/A</v>
      </c>
      <c r="D2156" s="1059" t="e">
        <f>C2156*$L$5</f>
        <v>#N/A</v>
      </c>
      <c r="E2156" s="1061"/>
      <c r="F2156" s="1061"/>
      <c r="G2156" s="1056" t="s">
        <v>364</v>
      </c>
      <c r="H2156" s="1057" t="s">
        <v>2664</v>
      </c>
      <c r="I2156" s="1058" t="e">
        <f>VLOOKUP(H2153,'LƯƠNG KT'!$D$15:$R$94,16,0)</f>
        <v>#N/A</v>
      </c>
      <c r="J2156" s="1059" t="e">
        <f>I2156*$L$5</f>
        <v>#N/A</v>
      </c>
      <c r="K2156" s="1084"/>
      <c r="L2156" s="1085"/>
      <c r="M2156" s="1085"/>
      <c r="N2156" s="1085"/>
      <c r="O2156" s="1085"/>
    </row>
    <row r="2157" spans="1:15" ht="15" customHeight="1">
      <c r="A2157" s="1056" t="s">
        <v>370</v>
      </c>
      <c r="B2157" s="1057" t="s">
        <v>2665</v>
      </c>
      <c r="C2157" s="1058" t="e">
        <f>VLOOKUP(B2153,'LƯƠNG KT'!$D$15:$R$94,24,0)</f>
        <v>#N/A</v>
      </c>
      <c r="D2157" s="1059" t="e">
        <f>+C2157*$L$6</f>
        <v>#N/A</v>
      </c>
      <c r="E2157" s="1061"/>
      <c r="F2157" s="1061"/>
      <c r="G2157" s="1056" t="s">
        <v>370</v>
      </c>
      <c r="H2157" s="1057" t="s">
        <v>2665</v>
      </c>
      <c r="I2157" s="1058" t="e">
        <f>VLOOKUP(H2153,'LƯƠNG KT'!$D$15:$R$94,24,0)</f>
        <v>#N/A</v>
      </c>
      <c r="J2157" s="1059" t="e">
        <f>+I2157*$L$6</f>
        <v>#N/A</v>
      </c>
      <c r="K2157" s="1085"/>
      <c r="L2157" s="1085"/>
      <c r="M2157" s="1085"/>
      <c r="N2157" s="1085"/>
      <c r="O2157" s="1085"/>
    </row>
    <row r="2158" spans="1:15" ht="15" customHeight="1">
      <c r="A2158" s="1056" t="s">
        <v>2666</v>
      </c>
      <c r="B2158" s="1057" t="s">
        <v>2667</v>
      </c>
      <c r="C2158" s="1058" t="e">
        <f>VLOOKUP(B2153,'LƯƠNG KT'!$D$15:$R$94,19,0)</f>
        <v>#N/A</v>
      </c>
      <c r="D2158" s="1059" t="e">
        <f>+C2158*$L$8</f>
        <v>#N/A</v>
      </c>
      <c r="E2158" s="1061"/>
      <c r="F2158" s="1061"/>
      <c r="G2158" s="1056" t="s">
        <v>2666</v>
      </c>
      <c r="H2158" s="1057" t="s">
        <v>2667</v>
      </c>
      <c r="I2158" s="1058" t="e">
        <f>VLOOKUP(H2153,'LƯƠNG KT'!$D$15:$R$94,19,0)</f>
        <v>#N/A</v>
      </c>
      <c r="J2158" s="1059" t="e">
        <f>+I2158*$L$8</f>
        <v>#N/A</v>
      </c>
      <c r="K2158" s="1085"/>
      <c r="L2158" s="1085"/>
      <c r="M2158" s="1085"/>
      <c r="N2158" s="1085"/>
      <c r="O2158" s="1085"/>
    </row>
    <row r="2159" spans="1:15" ht="15" customHeight="1">
      <c r="A2159" s="1056" t="s">
        <v>2668</v>
      </c>
      <c r="B2159" s="1062" t="s">
        <v>2669</v>
      </c>
      <c r="C2159" s="1058" t="e">
        <f>VLOOKUP(B2153,'LƯƠNG KT'!$D$15:$R$94,20,0)</f>
        <v>#N/A</v>
      </c>
      <c r="D2159" s="1059" t="e">
        <f>+C2159*$L$9</f>
        <v>#N/A</v>
      </c>
      <c r="E2159" s="1061"/>
      <c r="F2159" s="1061"/>
      <c r="G2159" s="1056" t="s">
        <v>2668</v>
      </c>
      <c r="H2159" s="1062" t="s">
        <v>2669</v>
      </c>
      <c r="I2159" s="1058" t="e">
        <f>VLOOKUP(H2153,'LƯƠNG KT'!$D$15:$R$94,20,0)</f>
        <v>#N/A</v>
      </c>
      <c r="J2159" s="1059" t="e">
        <f>+I2159*$L$9</f>
        <v>#N/A</v>
      </c>
      <c r="K2159" s="1085"/>
      <c r="L2159" s="1085"/>
      <c r="M2159" s="1085"/>
      <c r="N2159" s="1085"/>
      <c r="O2159" s="1085"/>
    </row>
    <row r="2160" spans="1:15" ht="15" customHeight="1">
      <c r="A2160" s="1056" t="s">
        <v>2671</v>
      </c>
      <c r="B2160" s="1057" t="s">
        <v>2672</v>
      </c>
      <c r="C2160" s="1058" t="e">
        <f>VLOOKUP(B2153,'LƯƠNG KT'!$D$15:$R$94,17,0)</f>
        <v>#N/A</v>
      </c>
      <c r="D2160" s="1059" t="e">
        <f>+C2160*$L$10</f>
        <v>#N/A</v>
      </c>
      <c r="E2160" s="1061"/>
      <c r="F2160" s="1061"/>
      <c r="G2160" s="1056" t="s">
        <v>2671</v>
      </c>
      <c r="H2160" s="1057" t="s">
        <v>2672</v>
      </c>
      <c r="I2160" s="1058" t="e">
        <f>VLOOKUP(H2153,'LƯƠNG KT'!$D$15:$R$94,17,0)</f>
        <v>#N/A</v>
      </c>
      <c r="J2160" s="1059" t="e">
        <f>+I2160*$L$10</f>
        <v>#N/A</v>
      </c>
      <c r="K2160" s="1085"/>
      <c r="L2160" s="1085"/>
      <c r="M2160" s="1085"/>
      <c r="N2160" s="1085"/>
      <c r="O2160" s="1085"/>
    </row>
    <row r="2161" spans="1:15" ht="15" customHeight="1">
      <c r="A2161" s="1056" t="s">
        <v>374</v>
      </c>
      <c r="B2161" s="1057" t="s">
        <v>2674</v>
      </c>
      <c r="C2161" s="1058" t="e">
        <f>VLOOKUP(B2153,'LƯƠNG KT'!$D$15:$R$94,12,0)</f>
        <v>#N/A</v>
      </c>
      <c r="D2161" s="1059" t="e">
        <f>VLOOKUP(B2153,'LƯƠNG KT'!$D$15:$R$94,14,0)</f>
        <v>#N/A</v>
      </c>
      <c r="E2161" s="1063"/>
      <c r="F2161" s="1061"/>
      <c r="G2161" s="1056" t="s">
        <v>374</v>
      </c>
      <c r="H2161" s="1057" t="s">
        <v>2674</v>
      </c>
      <c r="I2161" s="1058" t="e">
        <f>VLOOKUP(H2153,'LƯƠNG KT'!$D$15:$R$94,12,0)</f>
        <v>#N/A</v>
      </c>
      <c r="J2161" s="1059" t="e">
        <f>VLOOKUP(H2153,'LƯƠNG KT'!$D$15:$R$94,14,0)</f>
        <v>#N/A</v>
      </c>
      <c r="K2161" s="1085"/>
      <c r="L2161" s="1085"/>
      <c r="M2161" s="1085"/>
      <c r="N2161" s="1085"/>
      <c r="O2161" s="1085"/>
    </row>
    <row r="2162" spans="1:15" ht="15" customHeight="1">
      <c r="A2162" s="1056" t="s">
        <v>2675</v>
      </c>
      <c r="B2162" s="1057" t="s">
        <v>2676</v>
      </c>
      <c r="D2162" s="1064" t="e">
        <f>VLOOKUP(B2153,'LƯƠNG KT'!$D$15:$R$94,13,0)</f>
        <v>#N/A</v>
      </c>
      <c r="E2162" s="1065"/>
      <c r="F2162" s="1065"/>
      <c r="G2162" s="1056" t="s">
        <v>2675</v>
      </c>
      <c r="H2162" s="1057" t="s">
        <v>2676</v>
      </c>
      <c r="J2162" s="1064" t="e">
        <f>VLOOKUP(H2153,'LƯƠNG KT'!$D$15:$R$94,13,0)</f>
        <v>#N/A</v>
      </c>
    </row>
    <row r="2163" spans="1:15" ht="15" customHeight="1">
      <c r="A2163" s="1066"/>
      <c r="B2163" s="869"/>
      <c r="C2163" s="1058"/>
      <c r="D2163" s="1059"/>
      <c r="E2163" s="1063"/>
      <c r="F2163" s="1065"/>
      <c r="G2163" s="1066"/>
      <c r="H2163" s="869"/>
      <c r="I2163" s="1058"/>
      <c r="J2163" s="1059"/>
    </row>
    <row r="2164" spans="1:15" ht="15" customHeight="1">
      <c r="A2164" s="1052"/>
      <c r="B2164" s="869"/>
      <c r="C2164" s="1058"/>
      <c r="D2164" s="1059"/>
      <c r="E2164" s="1067"/>
      <c r="F2164" s="1051"/>
      <c r="G2164" s="1052"/>
      <c r="H2164" s="869"/>
      <c r="I2164" s="1058"/>
      <c r="J2164" s="1059"/>
    </row>
    <row r="2165" spans="1:15" ht="15" customHeight="1">
      <c r="A2165" s="1068" t="s">
        <v>383</v>
      </c>
      <c r="B2165" s="1069" t="s">
        <v>384</v>
      </c>
      <c r="C2165" s="1070"/>
      <c r="D2165" s="1071" t="e">
        <f>SUM(D2154:D2161)-D2164</f>
        <v>#N/A</v>
      </c>
      <c r="E2165" s="1072"/>
      <c r="F2165" s="1073"/>
      <c r="G2165" s="1068" t="s">
        <v>383</v>
      </c>
      <c r="H2165" s="1069" t="s">
        <v>384</v>
      </c>
      <c r="I2165" s="1070"/>
      <c r="J2165" s="1071" t="e">
        <f>SUM(J2154:J2161)-J2164</f>
        <v>#N/A</v>
      </c>
    </row>
    <row r="2166" spans="1:15" ht="12.6" customHeight="1">
      <c r="A2166" s="1074"/>
      <c r="B2166" s="1075"/>
      <c r="C2166" s="1076"/>
      <c r="D2166" s="1077"/>
      <c r="E2166" s="1077"/>
      <c r="F2166" s="1078"/>
      <c r="G2166" s="1074"/>
      <c r="H2166" s="1075"/>
      <c r="I2166" s="1076"/>
      <c r="J2166" s="1077"/>
    </row>
    <row r="2167" spans="1:15" ht="12.6" customHeight="1">
      <c r="A2167" s="1075"/>
      <c r="B2167" s="1075"/>
      <c r="C2167" s="1079"/>
      <c r="D2167" s="1080"/>
      <c r="E2167" s="1075"/>
      <c r="F2167" s="1081"/>
      <c r="G2167" s="1075"/>
      <c r="H2167" s="1075"/>
      <c r="I2167" s="1079"/>
      <c r="J2167" s="1080"/>
    </row>
    <row r="2168" spans="1:15" ht="15" customHeight="1">
      <c r="A2168" s="2242" t="str">
        <f>$K$2</f>
        <v>THÁNG 04/2025</v>
      </c>
      <c r="B2168" s="2242"/>
      <c r="C2168" s="2242"/>
      <c r="D2168" s="2242"/>
      <c r="E2168" s="1050"/>
      <c r="F2168" s="1051"/>
      <c r="G2168" s="2242" t="str">
        <f>$K$2</f>
        <v>THÁNG 04/2025</v>
      </c>
      <c r="H2168" s="2242"/>
      <c r="I2168" s="2242"/>
      <c r="J2168" s="2242"/>
      <c r="K2168" s="624"/>
    </row>
    <row r="2169" spans="1:15" ht="15" customHeight="1">
      <c r="A2169" s="1052" t="s">
        <v>356</v>
      </c>
      <c r="B2169" s="1053"/>
      <c r="C2169" s="869"/>
      <c r="D2169" s="1049"/>
      <c r="E2169" s="1054"/>
      <c r="F2169" s="1055"/>
      <c r="G2169" s="1052" t="s">
        <v>356</v>
      </c>
      <c r="H2169" s="1053" t="s">
        <v>157</v>
      </c>
      <c r="I2169" s="869"/>
      <c r="J2169" s="1049"/>
      <c r="L2169" s="1088"/>
      <c r="M2169" s="1088"/>
      <c r="N2169" s="1088"/>
      <c r="O2169" s="1088"/>
    </row>
    <row r="2170" spans="1:15" ht="15" customHeight="1">
      <c r="A2170" s="1056" t="s">
        <v>359</v>
      </c>
      <c r="B2170" s="1057" t="s">
        <v>2662</v>
      </c>
      <c r="C2170" s="1058" t="e">
        <f>VLOOKUP(B2169,'LƯƠNG KT'!$D$15:$R$94,4,0)</f>
        <v>#N/A</v>
      </c>
      <c r="D2170" s="1059" t="e">
        <f>+C2170*25000</f>
        <v>#N/A</v>
      </c>
      <c r="E2170" s="1060"/>
      <c r="F2170" s="1060"/>
      <c r="G2170" s="1056" t="s">
        <v>359</v>
      </c>
      <c r="H2170" s="1057" t="s">
        <v>2662</v>
      </c>
      <c r="I2170" s="1058" t="e">
        <f>VLOOKUP(H2169,'LƯƠNG KT'!$D$15:$R$94,4,0)</f>
        <v>#N/A</v>
      </c>
      <c r="J2170" s="1059" t="e">
        <f>+I2170*25000</f>
        <v>#N/A</v>
      </c>
      <c r="K2170" s="1085"/>
      <c r="L2170" s="1085"/>
      <c r="M2170" s="1085"/>
      <c r="N2170" s="1085"/>
      <c r="O2170" s="1085"/>
    </row>
    <row r="2171" spans="1:15" ht="15" customHeight="1">
      <c r="A2171" s="1056" t="s">
        <v>361</v>
      </c>
      <c r="B2171" s="1057" t="s">
        <v>2663</v>
      </c>
      <c r="C2171" s="1058" t="e">
        <f>VLOOKUP(B2169,'LƯƠNG KT'!$D$15:$R$94,15,0)</f>
        <v>#N/A</v>
      </c>
      <c r="D2171" s="1059" t="e">
        <f>C2171*$L$4</f>
        <v>#N/A</v>
      </c>
      <c r="E2171" s="1061"/>
      <c r="F2171" s="1061"/>
      <c r="G2171" s="1056" t="s">
        <v>361</v>
      </c>
      <c r="H2171" s="1057" t="s">
        <v>2663</v>
      </c>
      <c r="I2171" s="1058" t="e">
        <f>VLOOKUP(H2169,'LƯƠNG KT'!$D$15:$R$94,15,0)</f>
        <v>#N/A</v>
      </c>
      <c r="J2171" s="1059" t="e">
        <f>I2171*$L$4</f>
        <v>#N/A</v>
      </c>
      <c r="K2171" s="1085"/>
      <c r="L2171" s="1085"/>
      <c r="M2171" s="1085"/>
      <c r="N2171" s="1085"/>
      <c r="O2171" s="1085"/>
    </row>
    <row r="2172" spans="1:15" ht="15" customHeight="1">
      <c r="A2172" s="1056" t="s">
        <v>364</v>
      </c>
      <c r="B2172" s="1057" t="s">
        <v>2664</v>
      </c>
      <c r="C2172" s="1058" t="e">
        <f>VLOOKUP(B2169,'LƯƠNG KT'!$D$15:$R$94,16,0)</f>
        <v>#N/A</v>
      </c>
      <c r="D2172" s="1059" t="e">
        <f>C2172*$L$5</f>
        <v>#N/A</v>
      </c>
      <c r="E2172" s="1061"/>
      <c r="F2172" s="1061"/>
      <c r="G2172" s="1056" t="s">
        <v>364</v>
      </c>
      <c r="H2172" s="1057" t="s">
        <v>2664</v>
      </c>
      <c r="I2172" s="1058" t="e">
        <f>VLOOKUP(H2169,'LƯƠNG KT'!$D$15:$R$94,16,0)</f>
        <v>#N/A</v>
      </c>
      <c r="J2172" s="1059" t="e">
        <f>I2172*$L$5</f>
        <v>#N/A</v>
      </c>
      <c r="K2172" s="1085"/>
      <c r="L2172" s="1085"/>
      <c r="M2172" s="1085"/>
      <c r="N2172" s="1085"/>
      <c r="O2172" s="1085"/>
    </row>
    <row r="2173" spans="1:15" ht="15" customHeight="1">
      <c r="A2173" s="1056" t="s">
        <v>370</v>
      </c>
      <c r="B2173" s="1057" t="s">
        <v>2665</v>
      </c>
      <c r="C2173" s="1058" t="e">
        <f>VLOOKUP(B2169,'LƯƠNG KT'!$D$15:$R$94,24,0)</f>
        <v>#N/A</v>
      </c>
      <c r="D2173" s="1059" t="e">
        <f>+C2173*$L$6</f>
        <v>#N/A</v>
      </c>
      <c r="E2173" s="1061"/>
      <c r="F2173" s="1061"/>
      <c r="G2173" s="1056" t="s">
        <v>370</v>
      </c>
      <c r="H2173" s="1057" t="s">
        <v>2665</v>
      </c>
      <c r="I2173" s="1058" t="e">
        <f>VLOOKUP(H2169,'LƯƠNG KT'!$D$15:$R$94,24,0)</f>
        <v>#N/A</v>
      </c>
      <c r="J2173" s="1059" t="e">
        <f>+I2173*$L$6</f>
        <v>#N/A</v>
      </c>
      <c r="K2173" s="1085"/>
      <c r="L2173" s="1085"/>
      <c r="M2173" s="1085"/>
      <c r="N2173" s="1085"/>
      <c r="O2173" s="1085"/>
    </row>
    <row r="2174" spans="1:15" ht="15" customHeight="1">
      <c r="A2174" s="1056" t="s">
        <v>2666</v>
      </c>
      <c r="B2174" s="1057" t="s">
        <v>2667</v>
      </c>
      <c r="C2174" s="1058" t="e">
        <f>VLOOKUP(B2169,'LƯƠNG KT'!$D$15:$R$94,19,0)</f>
        <v>#N/A</v>
      </c>
      <c r="D2174" s="1059" t="e">
        <f>+C2174*$L$8</f>
        <v>#N/A</v>
      </c>
      <c r="E2174" s="1061"/>
      <c r="F2174" s="1061"/>
      <c r="G2174" s="1056" t="s">
        <v>2666</v>
      </c>
      <c r="H2174" s="1057" t="s">
        <v>2667</v>
      </c>
      <c r="I2174" s="1058" t="e">
        <f>VLOOKUP(H2169,'LƯƠNG KT'!$D$15:$R$94,19,0)</f>
        <v>#N/A</v>
      </c>
      <c r="J2174" s="1059" t="e">
        <f>+I2174*$L$8</f>
        <v>#N/A</v>
      </c>
      <c r="K2174" s="1085"/>
      <c r="L2174" s="1085"/>
      <c r="M2174" s="1085"/>
      <c r="N2174" s="1085"/>
      <c r="O2174" s="1085"/>
    </row>
    <row r="2175" spans="1:15" ht="15" customHeight="1">
      <c r="A2175" s="1056" t="s">
        <v>2668</v>
      </c>
      <c r="B2175" s="1062" t="s">
        <v>2669</v>
      </c>
      <c r="C2175" s="1058" t="e">
        <f>VLOOKUP(B2169,'LƯƠNG KT'!$D$15:$R$94,20,0)</f>
        <v>#N/A</v>
      </c>
      <c r="D2175" s="1059" t="e">
        <f>+C2175*$L$9</f>
        <v>#N/A</v>
      </c>
      <c r="E2175" s="1061"/>
      <c r="F2175" s="1061"/>
      <c r="G2175" s="1056" t="s">
        <v>2668</v>
      </c>
      <c r="H2175" s="1062" t="s">
        <v>2669</v>
      </c>
      <c r="I2175" s="1058" t="e">
        <f>VLOOKUP(H2169,'LƯƠNG KT'!$D$15:$R$94,20,0)</f>
        <v>#N/A</v>
      </c>
      <c r="J2175" s="1059" t="e">
        <f>+I2175*$L$9</f>
        <v>#N/A</v>
      </c>
      <c r="K2175" s="1085"/>
      <c r="L2175" s="1085"/>
      <c r="M2175" s="1085"/>
      <c r="N2175" s="1085"/>
      <c r="O2175" s="1085"/>
    </row>
    <row r="2176" spans="1:15" ht="15" customHeight="1">
      <c r="A2176" s="1056" t="s">
        <v>2671</v>
      </c>
      <c r="B2176" s="1057" t="s">
        <v>2672</v>
      </c>
      <c r="C2176" s="1058" t="e">
        <f>VLOOKUP(B2169,'LƯƠNG KT'!$D$15:$R$94,17,0)</f>
        <v>#N/A</v>
      </c>
      <c r="D2176" s="1059" t="e">
        <f>+C2176*$L$10</f>
        <v>#N/A</v>
      </c>
      <c r="E2176" s="1061"/>
      <c r="F2176" s="1061"/>
      <c r="G2176" s="1056" t="s">
        <v>2671</v>
      </c>
      <c r="H2176" s="1057" t="s">
        <v>2672</v>
      </c>
      <c r="I2176" s="1058" t="e">
        <f>VLOOKUP(H2169,'LƯƠNG KT'!$D$15:$R$94,17,0)</f>
        <v>#N/A</v>
      </c>
      <c r="J2176" s="1059" t="e">
        <f>+I2176*$L$10</f>
        <v>#N/A</v>
      </c>
      <c r="K2176" s="1085"/>
      <c r="L2176" s="1085"/>
      <c r="M2176" s="1085"/>
      <c r="N2176" s="1085"/>
      <c r="O2176" s="1085"/>
    </row>
    <row r="2177" spans="1:15" ht="15" customHeight="1">
      <c r="A2177" s="1056" t="s">
        <v>374</v>
      </c>
      <c r="B2177" s="1057" t="s">
        <v>2674</v>
      </c>
      <c r="C2177" s="1058" t="e">
        <f>VLOOKUP(B2169,'LƯƠNG KT'!$D$15:$R$94,12,0)</f>
        <v>#N/A</v>
      </c>
      <c r="D2177" s="1059" t="e">
        <f>VLOOKUP(B2169,'LƯƠNG KT'!$D$15:$R$94,14,0)</f>
        <v>#N/A</v>
      </c>
      <c r="E2177" s="1063"/>
      <c r="F2177" s="1061"/>
      <c r="G2177" s="1056" t="s">
        <v>374</v>
      </c>
      <c r="H2177" s="1057" t="s">
        <v>2674</v>
      </c>
      <c r="I2177" s="1058" t="e">
        <f>VLOOKUP(H2169,'LƯƠNG KT'!$D$15:$R$94,12,0)</f>
        <v>#N/A</v>
      </c>
      <c r="J2177" s="1059" t="e">
        <f>VLOOKUP(H2169,'LƯƠNG KT'!$D$15:$R$94,14,0)</f>
        <v>#N/A</v>
      </c>
      <c r="K2177" s="1085"/>
      <c r="L2177" s="1085"/>
      <c r="M2177" s="1085"/>
      <c r="N2177" s="1085"/>
      <c r="O2177" s="1085"/>
    </row>
    <row r="2178" spans="1:15" ht="15" customHeight="1">
      <c r="A2178" s="1056" t="s">
        <v>2675</v>
      </c>
      <c r="B2178" s="1057" t="s">
        <v>2676</v>
      </c>
      <c r="D2178" s="1064" t="e">
        <f>VLOOKUP(B2169,'LƯƠNG KT'!$D$15:$R$94,13,0)</f>
        <v>#N/A</v>
      </c>
      <c r="E2178" s="1065"/>
      <c r="F2178" s="1065"/>
      <c r="G2178" s="1056" t="s">
        <v>2675</v>
      </c>
      <c r="H2178" s="1057" t="s">
        <v>2676</v>
      </c>
      <c r="J2178" s="1064" t="e">
        <f>VLOOKUP(H2169,'LƯƠNG KT'!$D$15:$R$94,13,0)</f>
        <v>#N/A</v>
      </c>
    </row>
    <row r="2179" spans="1:15" ht="15" customHeight="1">
      <c r="A2179" s="1066"/>
      <c r="B2179" s="869"/>
      <c r="C2179" s="1058"/>
      <c r="D2179" s="1059"/>
      <c r="E2179" s="1063"/>
      <c r="F2179" s="1065"/>
      <c r="G2179" s="1066"/>
      <c r="H2179" s="869"/>
      <c r="I2179" s="1058"/>
      <c r="J2179" s="1059"/>
    </row>
    <row r="2180" spans="1:15" ht="15" customHeight="1">
      <c r="A2180" s="1052"/>
      <c r="B2180" s="869"/>
      <c r="C2180" s="1058"/>
      <c r="D2180" s="1059"/>
      <c r="E2180" s="1067"/>
      <c r="F2180" s="1051"/>
      <c r="G2180" s="1052"/>
      <c r="H2180" s="869"/>
      <c r="I2180" s="1058"/>
      <c r="J2180" s="1059"/>
    </row>
    <row r="2181" spans="1:15" ht="15" customHeight="1">
      <c r="A2181" s="1068" t="s">
        <v>383</v>
      </c>
      <c r="B2181" s="1069" t="s">
        <v>384</v>
      </c>
      <c r="C2181" s="1070"/>
      <c r="D2181" s="1071"/>
      <c r="E2181" s="1072"/>
      <c r="F2181" s="1073"/>
      <c r="G2181" s="1068" t="s">
        <v>383</v>
      </c>
      <c r="H2181" s="1069" t="s">
        <v>384</v>
      </c>
      <c r="I2181" s="1070"/>
      <c r="J2181" s="1071" t="e">
        <f>SUM(J2170:J2177)-J2180</f>
        <v>#N/A</v>
      </c>
    </row>
    <row r="2182" spans="1:15" ht="18.75" customHeight="1">
      <c r="A2182" s="1074"/>
      <c r="B2182" s="1075"/>
      <c r="C2182" s="1076"/>
      <c r="D2182" s="1077"/>
      <c r="E2182" s="1077"/>
      <c r="F2182" s="1078"/>
      <c r="G2182" s="1074"/>
      <c r="H2182" s="1075"/>
      <c r="I2182" s="1076"/>
      <c r="J2182" s="1077"/>
    </row>
    <row r="2183" spans="1:15" ht="141" customHeight="1">
      <c r="A2183" s="1075"/>
      <c r="B2183" s="1075"/>
      <c r="C2183" s="1079"/>
      <c r="D2183" s="1080"/>
      <c r="E2183" s="1075"/>
      <c r="F2183" s="1081"/>
      <c r="G2183" s="1075"/>
      <c r="H2183" s="1075"/>
      <c r="I2183" s="1079"/>
      <c r="J2183" s="1080"/>
    </row>
    <row r="2184" spans="1:15" ht="15" customHeight="1">
      <c r="A2184" s="2242" t="str">
        <f>$K$2</f>
        <v>THÁNG 04/2025</v>
      </c>
      <c r="B2184" s="2242"/>
      <c r="C2184" s="2242"/>
      <c r="D2184" s="2242"/>
      <c r="E2184" s="1050"/>
      <c r="F2184" s="1051"/>
      <c r="G2184" s="2242" t="str">
        <f>$K$2</f>
        <v>THÁNG 04/2025</v>
      </c>
      <c r="H2184" s="2242"/>
      <c r="I2184" s="2242"/>
      <c r="J2184" s="2242"/>
      <c r="K2184" s="624"/>
    </row>
    <row r="2185" spans="1:15" ht="15" customHeight="1">
      <c r="A2185" s="1052" t="s">
        <v>356</v>
      </c>
      <c r="B2185" s="1053" t="s">
        <v>158</v>
      </c>
      <c r="C2185" s="869"/>
      <c r="D2185" s="1049"/>
      <c r="E2185" s="1054"/>
      <c r="F2185" s="1055"/>
      <c r="G2185" s="1052" t="s">
        <v>356</v>
      </c>
      <c r="H2185" s="1053" t="s">
        <v>159</v>
      </c>
      <c r="I2185" s="869"/>
      <c r="J2185" s="1049"/>
      <c r="L2185" s="1088"/>
      <c r="M2185" s="1088"/>
      <c r="N2185" s="1088"/>
      <c r="O2185" s="1088"/>
    </row>
    <row r="2186" spans="1:15" ht="15" customHeight="1">
      <c r="A2186" s="1056" t="s">
        <v>359</v>
      </c>
      <c r="B2186" s="1057" t="s">
        <v>2662</v>
      </c>
      <c r="C2186" s="1058" t="e">
        <f>VLOOKUP(B2185,'LƯƠNG KT'!$D$15:$R$94,4,0)</f>
        <v>#N/A</v>
      </c>
      <c r="D2186" s="1059" t="e">
        <f>+C2186*25000</f>
        <v>#N/A</v>
      </c>
      <c r="E2186" s="1060"/>
      <c r="F2186" s="1060"/>
      <c r="G2186" s="1056" t="s">
        <v>359</v>
      </c>
      <c r="H2186" s="1057" t="s">
        <v>2662</v>
      </c>
      <c r="I2186" s="1058" t="e">
        <f>VLOOKUP(H2185,'LƯƠNG KT'!$D$15:$R$94,4,0)</f>
        <v>#N/A</v>
      </c>
      <c r="J2186" s="1059" t="e">
        <f>+I2186*25000</f>
        <v>#N/A</v>
      </c>
      <c r="K2186" s="1085"/>
      <c r="L2186" s="1085"/>
      <c r="M2186" s="1085"/>
      <c r="N2186" s="1085"/>
      <c r="O2186" s="1085"/>
    </row>
    <row r="2187" spans="1:15" ht="15" customHeight="1">
      <c r="A2187" s="1056" t="s">
        <v>361</v>
      </c>
      <c r="B2187" s="1057" t="s">
        <v>2663</v>
      </c>
      <c r="C2187" s="1058" t="e">
        <f>VLOOKUP(B2185,'LƯƠNG KT'!$D$15:$R$94,15,0)</f>
        <v>#N/A</v>
      </c>
      <c r="D2187" s="1059" t="e">
        <f>C2187*$L$4</f>
        <v>#N/A</v>
      </c>
      <c r="E2187" s="1061"/>
      <c r="F2187" s="1061"/>
      <c r="G2187" s="1056" t="s">
        <v>361</v>
      </c>
      <c r="H2187" s="1057" t="s">
        <v>2663</v>
      </c>
      <c r="I2187" s="1058" t="e">
        <f>VLOOKUP(H2185,'LƯƠNG KT'!$D$15:$R$94,15,0)</f>
        <v>#N/A</v>
      </c>
      <c r="J2187" s="1059" t="e">
        <f>I2187*$L$4</f>
        <v>#N/A</v>
      </c>
      <c r="K2187" s="1085"/>
      <c r="L2187" s="1085"/>
      <c r="M2187" s="1085"/>
      <c r="N2187" s="1085"/>
      <c r="O2187" s="1085"/>
    </row>
    <row r="2188" spans="1:15" ht="15" customHeight="1">
      <c r="A2188" s="1056" t="s">
        <v>364</v>
      </c>
      <c r="B2188" s="1057" t="s">
        <v>2664</v>
      </c>
      <c r="C2188" s="1058" t="e">
        <f>VLOOKUP(B2185,'LƯƠNG KT'!$D$15:$R$94,16,0)</f>
        <v>#N/A</v>
      </c>
      <c r="D2188" s="1059" t="e">
        <f>C2188*$L$5</f>
        <v>#N/A</v>
      </c>
      <c r="E2188" s="1061"/>
      <c r="F2188" s="1061"/>
      <c r="G2188" s="1056" t="s">
        <v>364</v>
      </c>
      <c r="H2188" s="1057" t="s">
        <v>2664</v>
      </c>
      <c r="I2188" s="1058" t="e">
        <f>VLOOKUP(H2185,'LƯƠNG KT'!$D$15:$R$94,16,0)</f>
        <v>#N/A</v>
      </c>
      <c r="J2188" s="1059" t="e">
        <f>I2188*$L$5</f>
        <v>#N/A</v>
      </c>
      <c r="K2188" s="1085"/>
      <c r="L2188" s="1085"/>
      <c r="M2188" s="1085"/>
      <c r="N2188" s="1085"/>
      <c r="O2188" s="1085"/>
    </row>
    <row r="2189" spans="1:15" ht="15" customHeight="1">
      <c r="A2189" s="1056" t="s">
        <v>370</v>
      </c>
      <c r="B2189" s="1057" t="s">
        <v>2665</v>
      </c>
      <c r="C2189" s="1058" t="e">
        <f>VLOOKUP(B2185,'LƯƠNG KT'!$D$15:$R$94,24,0)</f>
        <v>#N/A</v>
      </c>
      <c r="D2189" s="1059" t="e">
        <f>+C2189*$L$6</f>
        <v>#N/A</v>
      </c>
      <c r="E2189" s="1061"/>
      <c r="F2189" s="1061"/>
      <c r="G2189" s="1056" t="s">
        <v>370</v>
      </c>
      <c r="H2189" s="1057" t="s">
        <v>2665</v>
      </c>
      <c r="I2189" s="1058" t="e">
        <f>VLOOKUP(H2185,'LƯƠNG KT'!$D$15:$R$94,24,0)</f>
        <v>#N/A</v>
      </c>
      <c r="J2189" s="1059" t="e">
        <f>+I2189*$L$6</f>
        <v>#N/A</v>
      </c>
      <c r="K2189" s="1085"/>
      <c r="L2189" s="1085"/>
      <c r="M2189" s="1085"/>
      <c r="N2189" s="1085"/>
      <c r="O2189" s="1085"/>
    </row>
    <row r="2190" spans="1:15" ht="15" customHeight="1">
      <c r="A2190" s="1056" t="s">
        <v>2666</v>
      </c>
      <c r="B2190" s="1057" t="s">
        <v>2667</v>
      </c>
      <c r="C2190" s="1058" t="e">
        <f>VLOOKUP(B2185,'LƯƠNG KT'!$D$15:$R$94,19,0)</f>
        <v>#N/A</v>
      </c>
      <c r="D2190" s="1059" t="e">
        <f>+C2190*$L$8</f>
        <v>#N/A</v>
      </c>
      <c r="E2190" s="1061"/>
      <c r="F2190" s="1061"/>
      <c r="G2190" s="1056" t="s">
        <v>2666</v>
      </c>
      <c r="H2190" s="1057" t="s">
        <v>2667</v>
      </c>
      <c r="I2190" s="1058" t="e">
        <f>VLOOKUP(H2185,'LƯƠNG KT'!$D$15:$R$94,19,0)</f>
        <v>#N/A</v>
      </c>
      <c r="J2190" s="1059" t="e">
        <f>+I2190*$L$8</f>
        <v>#N/A</v>
      </c>
      <c r="K2190" s="1085"/>
      <c r="L2190" s="1085"/>
      <c r="M2190" s="1085"/>
      <c r="N2190" s="1085"/>
      <c r="O2190" s="1085"/>
    </row>
    <row r="2191" spans="1:15" ht="15" customHeight="1">
      <c r="A2191" s="1056" t="s">
        <v>2668</v>
      </c>
      <c r="B2191" s="1062" t="s">
        <v>2669</v>
      </c>
      <c r="C2191" s="1058" t="e">
        <f>VLOOKUP(B2185,'LƯƠNG KT'!$D$15:$R$94,20,0)</f>
        <v>#N/A</v>
      </c>
      <c r="D2191" s="1059" t="e">
        <f>+C2191*$L$9</f>
        <v>#N/A</v>
      </c>
      <c r="E2191" s="1061"/>
      <c r="F2191" s="1061"/>
      <c r="G2191" s="1056" t="s">
        <v>2668</v>
      </c>
      <c r="H2191" s="1062" t="s">
        <v>2669</v>
      </c>
      <c r="I2191" s="1058" t="e">
        <f>VLOOKUP(H2185,'LƯƠNG KT'!$D$15:$R$94,20,0)</f>
        <v>#N/A</v>
      </c>
      <c r="J2191" s="1059" t="e">
        <f>+I2191*$L$9</f>
        <v>#N/A</v>
      </c>
      <c r="K2191" s="1085"/>
      <c r="L2191" s="1085"/>
      <c r="M2191" s="1085"/>
      <c r="N2191" s="1085"/>
      <c r="O2191" s="1085"/>
    </row>
    <row r="2192" spans="1:15" ht="15" customHeight="1">
      <c r="A2192" s="1056" t="s">
        <v>2671</v>
      </c>
      <c r="B2192" s="1057" t="s">
        <v>2672</v>
      </c>
      <c r="C2192" s="1058" t="e">
        <f>VLOOKUP(B2185,'LƯƠNG KT'!$D$15:$R$94,17,0)</f>
        <v>#N/A</v>
      </c>
      <c r="D2192" s="1059" t="e">
        <f>+C2192*$L$10</f>
        <v>#N/A</v>
      </c>
      <c r="E2192" s="1061"/>
      <c r="F2192" s="1061"/>
      <c r="G2192" s="1056" t="s">
        <v>2671</v>
      </c>
      <c r="H2192" s="1057" t="s">
        <v>2672</v>
      </c>
      <c r="I2192" s="1058" t="e">
        <f>VLOOKUP(H2185,'LƯƠNG KT'!$D$15:$R$94,17,0)</f>
        <v>#N/A</v>
      </c>
      <c r="J2192" s="1059" t="e">
        <f>+I2192*$L$10</f>
        <v>#N/A</v>
      </c>
      <c r="K2192" s="1085"/>
      <c r="L2192" s="1085"/>
      <c r="M2192" s="1085"/>
      <c r="N2192" s="1085"/>
      <c r="O2192" s="1085"/>
    </row>
    <row r="2193" spans="1:15" ht="15" customHeight="1">
      <c r="A2193" s="1056" t="s">
        <v>374</v>
      </c>
      <c r="B2193" s="1057" t="s">
        <v>2674</v>
      </c>
      <c r="C2193" s="1058" t="e">
        <f>VLOOKUP(B2185,'LƯƠNG KT'!$D$15:$R$94,12,0)</f>
        <v>#N/A</v>
      </c>
      <c r="D2193" s="1059" t="e">
        <f>VLOOKUP(B2185,'LƯƠNG KT'!$D$15:$R$94,14,0)</f>
        <v>#N/A</v>
      </c>
      <c r="E2193" s="1063"/>
      <c r="F2193" s="1061"/>
      <c r="G2193" s="1056" t="s">
        <v>374</v>
      </c>
      <c r="H2193" s="1057" t="s">
        <v>2674</v>
      </c>
      <c r="I2193" s="1058" t="e">
        <f>VLOOKUP(H2185,'LƯƠNG KT'!$D$15:$R$94,12,0)</f>
        <v>#N/A</v>
      </c>
      <c r="J2193" s="1059" t="e">
        <f>VLOOKUP(H2185,'LƯƠNG KT'!$D$15:$R$94,14,0)</f>
        <v>#N/A</v>
      </c>
      <c r="K2193" s="1085"/>
      <c r="L2193" s="1085"/>
      <c r="M2193" s="1085"/>
      <c r="N2193" s="1085"/>
      <c r="O2193" s="1085"/>
    </row>
    <row r="2194" spans="1:15" ht="15" customHeight="1">
      <c r="A2194" s="1056" t="s">
        <v>2675</v>
      </c>
      <c r="B2194" s="1057" t="s">
        <v>2676</v>
      </c>
      <c r="D2194" s="1064" t="e">
        <f>VLOOKUP(B2185,'LƯƠNG KT'!$D$15:$R$94,13,0)</f>
        <v>#N/A</v>
      </c>
      <c r="E2194" s="1065"/>
      <c r="F2194" s="1065"/>
      <c r="G2194" s="1056" t="s">
        <v>2675</v>
      </c>
      <c r="H2194" s="1057" t="s">
        <v>2676</v>
      </c>
      <c r="J2194" s="1064" t="e">
        <f>VLOOKUP(H2185,'LƯƠNG KT'!$D$15:$R$94,13,0)</f>
        <v>#N/A</v>
      </c>
    </row>
    <row r="2195" spans="1:15" ht="15" customHeight="1">
      <c r="A2195" s="1066"/>
      <c r="B2195" s="869"/>
      <c r="C2195" s="1058"/>
      <c r="D2195" s="1059"/>
      <c r="E2195" s="1063"/>
      <c r="F2195" s="1065"/>
      <c r="G2195" s="1066"/>
      <c r="H2195" s="869"/>
      <c r="I2195" s="1058"/>
      <c r="J2195" s="1059"/>
    </row>
    <row r="2196" spans="1:15" ht="15" customHeight="1">
      <c r="A2196" s="1052"/>
      <c r="B2196" s="869"/>
      <c r="C2196" s="1058"/>
      <c r="D2196" s="1059"/>
      <c r="E2196" s="1067"/>
      <c r="F2196" s="1051"/>
      <c r="G2196" s="1052"/>
      <c r="H2196" s="869"/>
      <c r="I2196" s="1058"/>
      <c r="J2196" s="1059"/>
    </row>
    <row r="2197" spans="1:15" ht="15" customHeight="1">
      <c r="A2197" s="1068" t="s">
        <v>383</v>
      </c>
      <c r="B2197" s="1069" t="s">
        <v>384</v>
      </c>
      <c r="C2197" s="1070"/>
      <c r="D2197" s="1071" t="e">
        <f>SUM(D2186:D2193)-D2196</f>
        <v>#N/A</v>
      </c>
      <c r="E2197" s="1072"/>
      <c r="F2197" s="1073"/>
      <c r="G2197" s="1068" t="s">
        <v>383</v>
      </c>
      <c r="H2197" s="1069" t="s">
        <v>384</v>
      </c>
      <c r="I2197" s="1070"/>
      <c r="J2197" s="1071" t="e">
        <f>SUM(J2186:J2193)-J2196</f>
        <v>#N/A</v>
      </c>
    </row>
    <row r="2198" spans="1:15" ht="18.75" customHeight="1">
      <c r="A2198" s="1074"/>
      <c r="B2198" s="1075"/>
      <c r="C2198" s="1076"/>
      <c r="D2198" s="1077"/>
      <c r="E2198" s="1077"/>
      <c r="F2198" s="1078"/>
      <c r="G2198" s="1074"/>
      <c r="H2198" s="1075"/>
      <c r="I2198" s="1076"/>
      <c r="J2198" s="1077"/>
    </row>
    <row r="2199" spans="1:15" ht="18.75" customHeight="1">
      <c r="A2199" s="1075"/>
      <c r="B2199" s="1075"/>
      <c r="C2199" s="1079"/>
      <c r="D2199" s="1080"/>
      <c r="E2199" s="1075"/>
      <c r="F2199" s="1081"/>
      <c r="G2199" s="1075"/>
      <c r="H2199" s="1075"/>
      <c r="I2199" s="1079"/>
      <c r="J2199" s="1080"/>
    </row>
    <row r="2200" spans="1:15" ht="15" customHeight="1">
      <c r="A2200" s="2242" t="str">
        <f>$K$2</f>
        <v>THÁNG 04/2025</v>
      </c>
      <c r="B2200" s="2242"/>
      <c r="C2200" s="2242"/>
      <c r="D2200" s="2242"/>
      <c r="E2200" s="1050"/>
      <c r="F2200" s="1051"/>
      <c r="G2200" s="2242" t="str">
        <f>$K$2</f>
        <v>THÁNG 04/2025</v>
      </c>
      <c r="H2200" s="2242"/>
      <c r="I2200" s="2242"/>
      <c r="J2200" s="2242"/>
      <c r="K2200" s="624"/>
    </row>
    <row r="2201" spans="1:15" ht="15" customHeight="1">
      <c r="A2201" s="1052" t="s">
        <v>356</v>
      </c>
      <c r="B2201" s="1053" t="s">
        <v>160</v>
      </c>
      <c r="C2201" s="869"/>
      <c r="D2201" s="1049"/>
      <c r="E2201" s="1054"/>
      <c r="F2201" s="1055"/>
      <c r="G2201" s="1052" t="s">
        <v>356</v>
      </c>
      <c r="H2201" s="1053" t="s">
        <v>161</v>
      </c>
      <c r="I2201" s="869"/>
      <c r="J2201" s="1049"/>
      <c r="L2201" s="1088"/>
      <c r="M2201" s="1088"/>
      <c r="N2201" s="1088"/>
      <c r="O2201" s="1088"/>
    </row>
    <row r="2202" spans="1:15" ht="15" customHeight="1">
      <c r="A2202" s="1056" t="s">
        <v>359</v>
      </c>
      <c r="B2202" s="1057" t="s">
        <v>2662</v>
      </c>
      <c r="C2202" s="1058" t="e">
        <f>VLOOKUP(B2201,'LƯƠNG KT'!$D$15:$R$94,4,0)</f>
        <v>#N/A</v>
      </c>
      <c r="D2202" s="1059" t="e">
        <f>+C2202*25000</f>
        <v>#N/A</v>
      </c>
      <c r="E2202" s="1060"/>
      <c r="F2202" s="1060"/>
      <c r="G2202" s="1056" t="s">
        <v>359</v>
      </c>
      <c r="H2202" s="1057" t="s">
        <v>2662</v>
      </c>
      <c r="I2202" s="1058" t="e">
        <f>VLOOKUP(H2201,'LƯƠNG KT'!$D$15:$R$94,4,0)</f>
        <v>#N/A</v>
      </c>
      <c r="J2202" s="1059" t="e">
        <f>+I2202*25000</f>
        <v>#N/A</v>
      </c>
      <c r="K2202" s="1085"/>
      <c r="L2202" s="1085"/>
      <c r="M2202" s="1085"/>
      <c r="N2202" s="1085"/>
      <c r="O2202" s="1085"/>
    </row>
    <row r="2203" spans="1:15" ht="15" customHeight="1">
      <c r="A2203" s="1056" t="s">
        <v>361</v>
      </c>
      <c r="B2203" s="1057" t="s">
        <v>2663</v>
      </c>
      <c r="C2203" s="1058" t="e">
        <f>VLOOKUP(B2201,'LƯƠNG KT'!$D$15:$R$94,15,0)</f>
        <v>#N/A</v>
      </c>
      <c r="D2203" s="1059" t="e">
        <f>C2203*$L$4</f>
        <v>#N/A</v>
      </c>
      <c r="E2203" s="1061"/>
      <c r="F2203" s="1061"/>
      <c r="G2203" s="1056" t="s">
        <v>361</v>
      </c>
      <c r="H2203" s="1057" t="s">
        <v>2663</v>
      </c>
      <c r="I2203" s="1058" t="e">
        <f>VLOOKUP(H2201,'LƯƠNG KT'!$D$15:$R$94,15,0)</f>
        <v>#N/A</v>
      </c>
      <c r="J2203" s="1059" t="e">
        <f>I2203*$L$4</f>
        <v>#N/A</v>
      </c>
      <c r="K2203" s="1085"/>
      <c r="L2203" s="1085"/>
      <c r="M2203" s="1085"/>
      <c r="N2203" s="1085"/>
      <c r="O2203" s="1085"/>
    </row>
    <row r="2204" spans="1:15" ht="15" customHeight="1">
      <c r="A2204" s="1056" t="s">
        <v>364</v>
      </c>
      <c r="B2204" s="1057" t="s">
        <v>2664</v>
      </c>
      <c r="C2204" s="1058" t="e">
        <f>VLOOKUP(B2201,'LƯƠNG KT'!$D$15:$R$94,16,0)</f>
        <v>#N/A</v>
      </c>
      <c r="D2204" s="1059" t="e">
        <f>C2204*$L$5</f>
        <v>#N/A</v>
      </c>
      <c r="E2204" s="1061"/>
      <c r="F2204" s="1061"/>
      <c r="G2204" s="1056" t="s">
        <v>364</v>
      </c>
      <c r="H2204" s="1057" t="s">
        <v>2664</v>
      </c>
      <c r="I2204" s="1058" t="e">
        <f>VLOOKUP(H2201,'LƯƠNG KT'!$D$15:$R$94,16,0)</f>
        <v>#N/A</v>
      </c>
      <c r="J2204" s="1059" t="e">
        <f>I2204*$L$5</f>
        <v>#N/A</v>
      </c>
      <c r="K2204" s="1085"/>
      <c r="L2204" s="1085"/>
      <c r="M2204" s="1085"/>
      <c r="N2204" s="1085"/>
      <c r="O2204" s="1085"/>
    </row>
    <row r="2205" spans="1:15" ht="15" customHeight="1">
      <c r="A2205" s="1056" t="s">
        <v>370</v>
      </c>
      <c r="B2205" s="1057" t="s">
        <v>2665</v>
      </c>
      <c r="C2205" s="1058" t="e">
        <f>VLOOKUP(B2201,'LƯƠNG KT'!$D$15:$R$94,24,0)</f>
        <v>#N/A</v>
      </c>
      <c r="D2205" s="1059" t="e">
        <f>+C2205*$L$6</f>
        <v>#N/A</v>
      </c>
      <c r="E2205" s="1061"/>
      <c r="F2205" s="1061"/>
      <c r="G2205" s="1056" t="s">
        <v>370</v>
      </c>
      <c r="H2205" s="1057" t="s">
        <v>2665</v>
      </c>
      <c r="I2205" s="1058" t="e">
        <f>VLOOKUP(H2201,'LƯƠNG KT'!$D$15:$R$94,24,0)</f>
        <v>#N/A</v>
      </c>
      <c r="J2205" s="1059" t="e">
        <f>+I2205*$L$6</f>
        <v>#N/A</v>
      </c>
      <c r="K2205" s="1085"/>
      <c r="L2205" s="1085"/>
      <c r="M2205" s="1085"/>
      <c r="N2205" s="1085"/>
      <c r="O2205" s="1085"/>
    </row>
    <row r="2206" spans="1:15" ht="15" customHeight="1">
      <c r="A2206" s="1056" t="s">
        <v>2666</v>
      </c>
      <c r="B2206" s="1057" t="s">
        <v>2667</v>
      </c>
      <c r="C2206" s="1058" t="e">
        <f>VLOOKUP(B2201,'LƯƠNG KT'!$D$15:$R$94,19,0)</f>
        <v>#N/A</v>
      </c>
      <c r="D2206" s="1059" t="e">
        <f>+C2206*$L$8</f>
        <v>#N/A</v>
      </c>
      <c r="E2206" s="1061"/>
      <c r="F2206" s="1061"/>
      <c r="G2206" s="1056" t="s">
        <v>2666</v>
      </c>
      <c r="H2206" s="1057" t="s">
        <v>2667</v>
      </c>
      <c r="I2206" s="1058" t="e">
        <f>VLOOKUP(H2201,'LƯƠNG KT'!$D$15:$R$94,19,0)</f>
        <v>#N/A</v>
      </c>
      <c r="J2206" s="1059" t="e">
        <f>+I2206*$L$8</f>
        <v>#N/A</v>
      </c>
      <c r="K2206" s="1085"/>
      <c r="L2206" s="1085"/>
      <c r="M2206" s="1085"/>
      <c r="N2206" s="1085"/>
      <c r="O2206" s="1085"/>
    </row>
    <row r="2207" spans="1:15" ht="15" customHeight="1">
      <c r="A2207" s="1056" t="s">
        <v>2668</v>
      </c>
      <c r="B2207" s="1062" t="s">
        <v>2669</v>
      </c>
      <c r="C2207" s="1058" t="e">
        <f>VLOOKUP(B2201,'LƯƠNG KT'!$D$15:$R$94,20,0)</f>
        <v>#N/A</v>
      </c>
      <c r="D2207" s="1059" t="e">
        <f>+C2207*$L$9</f>
        <v>#N/A</v>
      </c>
      <c r="E2207" s="1061"/>
      <c r="F2207" s="1061"/>
      <c r="G2207" s="1056" t="s">
        <v>2668</v>
      </c>
      <c r="H2207" s="1062" t="s">
        <v>2669</v>
      </c>
      <c r="I2207" s="1058" t="e">
        <f>VLOOKUP(H2201,'LƯƠNG KT'!$D$15:$R$94,20,0)</f>
        <v>#N/A</v>
      </c>
      <c r="J2207" s="1059" t="e">
        <f>+I2207*$L$9</f>
        <v>#N/A</v>
      </c>
      <c r="K2207" s="1085"/>
      <c r="L2207" s="1085"/>
      <c r="M2207" s="1085"/>
      <c r="N2207" s="1085"/>
      <c r="O2207" s="1085"/>
    </row>
    <row r="2208" spans="1:15" ht="15" customHeight="1">
      <c r="A2208" s="1056" t="s">
        <v>2671</v>
      </c>
      <c r="B2208" s="1057" t="s">
        <v>2672</v>
      </c>
      <c r="C2208" s="1058" t="e">
        <f>VLOOKUP(B2201,'LƯƠNG KT'!$D$15:$R$94,17,0)</f>
        <v>#N/A</v>
      </c>
      <c r="D2208" s="1059" t="e">
        <f>+C2208*$L$10</f>
        <v>#N/A</v>
      </c>
      <c r="E2208" s="1061"/>
      <c r="F2208" s="1061"/>
      <c r="G2208" s="1056" t="s">
        <v>2671</v>
      </c>
      <c r="H2208" s="1057" t="s">
        <v>2672</v>
      </c>
      <c r="I2208" s="1058" t="e">
        <f>VLOOKUP(H2201,'LƯƠNG KT'!$D$15:$R$94,17,0)</f>
        <v>#N/A</v>
      </c>
      <c r="J2208" s="1059" t="e">
        <f>+I2208*$L$10</f>
        <v>#N/A</v>
      </c>
      <c r="K2208" s="1085"/>
      <c r="L2208" s="1085"/>
      <c r="M2208" s="1085"/>
      <c r="N2208" s="1085"/>
      <c r="O2208" s="1085"/>
    </row>
    <row r="2209" spans="1:15" ht="15" customHeight="1">
      <c r="A2209" s="1056" t="s">
        <v>374</v>
      </c>
      <c r="B2209" s="1057" t="s">
        <v>2674</v>
      </c>
      <c r="C2209" s="1058" t="e">
        <f>VLOOKUP(B2201,'LƯƠNG KT'!$D$15:$R$94,12,0)</f>
        <v>#N/A</v>
      </c>
      <c r="D2209" s="1059" t="e">
        <f>VLOOKUP(B2201,'LƯƠNG KT'!$D$15:$R$94,14,0)</f>
        <v>#N/A</v>
      </c>
      <c r="E2209" s="1063"/>
      <c r="F2209" s="1061"/>
      <c r="G2209" s="1056" t="s">
        <v>374</v>
      </c>
      <c r="H2209" s="1057" t="s">
        <v>2674</v>
      </c>
      <c r="I2209" s="1058" t="e">
        <f>VLOOKUP(H2201,'LƯƠNG KT'!$D$15:$R$94,12,0)</f>
        <v>#N/A</v>
      </c>
      <c r="J2209" s="1059" t="e">
        <f>VLOOKUP(H2201,'LƯƠNG KT'!$D$15:$R$94,14,0)</f>
        <v>#N/A</v>
      </c>
      <c r="K2209" s="1085"/>
      <c r="L2209" s="1085"/>
      <c r="M2209" s="1085"/>
      <c r="N2209" s="1085"/>
      <c r="O2209" s="1085"/>
    </row>
    <row r="2210" spans="1:15" ht="15" customHeight="1">
      <c r="A2210" s="1056" t="s">
        <v>2675</v>
      </c>
      <c r="B2210" s="1057" t="s">
        <v>2676</v>
      </c>
      <c r="D2210" s="1064" t="e">
        <f>VLOOKUP(B2201,'LƯƠNG KT'!$D$15:$R$94,13,0)</f>
        <v>#N/A</v>
      </c>
      <c r="E2210" s="1065"/>
      <c r="F2210" s="1065"/>
      <c r="G2210" s="1056" t="s">
        <v>2675</v>
      </c>
      <c r="H2210" s="1057" t="s">
        <v>2676</v>
      </c>
      <c r="J2210" s="1064" t="e">
        <f>VLOOKUP(H2201,'LƯƠNG KT'!$D$15:$R$94,13,0)</f>
        <v>#N/A</v>
      </c>
    </row>
    <row r="2211" spans="1:15" ht="15" customHeight="1">
      <c r="A2211" s="1066"/>
      <c r="B2211" s="869"/>
      <c r="C2211" s="1058"/>
      <c r="D2211" s="1059"/>
      <c r="E2211" s="1063"/>
      <c r="F2211" s="1065"/>
      <c r="G2211" s="1066"/>
      <c r="H2211" s="869"/>
      <c r="I2211" s="1058"/>
      <c r="J2211" s="1059"/>
    </row>
    <row r="2212" spans="1:15" ht="15" customHeight="1">
      <c r="A2212" s="1052"/>
      <c r="B2212" s="869"/>
      <c r="C2212" s="1058"/>
      <c r="D2212" s="1059"/>
      <c r="E2212" s="1067"/>
      <c r="F2212" s="1051"/>
      <c r="G2212" s="1052"/>
      <c r="H2212" s="869"/>
      <c r="I2212" s="1058"/>
      <c r="J2212" s="1059"/>
    </row>
    <row r="2213" spans="1:15" ht="15" customHeight="1">
      <c r="A2213" s="1068" t="s">
        <v>383</v>
      </c>
      <c r="B2213" s="1069" t="s">
        <v>384</v>
      </c>
      <c r="C2213" s="1070"/>
      <c r="D2213" s="1071" t="e">
        <f>SUM(D2202:D2209)-D2212</f>
        <v>#N/A</v>
      </c>
      <c r="E2213" s="1072"/>
      <c r="F2213" s="1073"/>
      <c r="G2213" s="1068" t="s">
        <v>383</v>
      </c>
      <c r="H2213" s="1069" t="s">
        <v>384</v>
      </c>
      <c r="I2213" s="1070"/>
      <c r="J2213" s="1071" t="e">
        <f>SUM(J2202:J2209)-J2212</f>
        <v>#N/A</v>
      </c>
    </row>
    <row r="2214" spans="1:15" ht="15.75" customHeight="1">
      <c r="A2214" s="1074"/>
      <c r="B2214" s="1075"/>
      <c r="C2214" s="1076"/>
      <c r="D2214" s="1077"/>
      <c r="E2214" s="1077"/>
      <c r="F2214" s="1078"/>
      <c r="G2214" s="1074"/>
      <c r="H2214" s="1075"/>
      <c r="I2214" s="1076"/>
      <c r="J2214" s="1077"/>
    </row>
    <row r="2216" spans="1:15" ht="12" customHeight="1">
      <c r="A2216" s="2243"/>
      <c r="B2216" s="2243"/>
      <c r="C2216" s="2243"/>
      <c r="D2216" s="2243"/>
      <c r="E2216" s="2243"/>
      <c r="F2216" s="2243"/>
      <c r="G2216" s="2243"/>
      <c r="H2216" s="2243"/>
      <c r="I2216" s="2243"/>
      <c r="J2216" s="2243"/>
    </row>
    <row r="2217" spans="1:15" ht="15" customHeight="1">
      <c r="A2217" s="2242" t="str">
        <f>$K$2</f>
        <v>THÁNG 04/2025</v>
      </c>
      <c r="B2217" s="2242"/>
      <c r="C2217" s="2242"/>
      <c r="D2217" s="2242"/>
      <c r="E2217" s="1050"/>
      <c r="F2217" s="1051"/>
      <c r="G2217" s="2242" t="str">
        <f>$K$2</f>
        <v>THÁNG 04/2025</v>
      </c>
      <c r="H2217" s="2242"/>
      <c r="I2217" s="2242"/>
      <c r="J2217" s="2242"/>
      <c r="K2217" s="624"/>
    </row>
    <row r="2218" spans="1:15" ht="15" customHeight="1">
      <c r="A2218" s="1052" t="s">
        <v>356</v>
      </c>
      <c r="B2218" s="1053" t="s">
        <v>162</v>
      </c>
      <c r="C2218" s="869"/>
      <c r="D2218" s="1049"/>
      <c r="E2218" s="1054"/>
      <c r="F2218" s="1055"/>
      <c r="G2218" s="1052" t="s">
        <v>356</v>
      </c>
      <c r="H2218" s="1053" t="s">
        <v>163</v>
      </c>
      <c r="I2218" s="869"/>
      <c r="J2218" s="1049"/>
      <c r="L2218" s="1088"/>
      <c r="M2218" s="1088"/>
      <c r="N2218" s="1088"/>
      <c r="O2218" s="1088"/>
    </row>
    <row r="2219" spans="1:15" ht="15" customHeight="1">
      <c r="A2219" s="1056" t="s">
        <v>359</v>
      </c>
      <c r="B2219" s="1057" t="s">
        <v>2662</v>
      </c>
      <c r="C2219" s="1058" t="e">
        <f>VLOOKUP(B2218,'LƯƠNG KT'!$D$15:$R$94,4,0)</f>
        <v>#N/A</v>
      </c>
      <c r="D2219" s="1059" t="e">
        <f>+C2219*25000</f>
        <v>#N/A</v>
      </c>
      <c r="E2219" s="1060"/>
      <c r="F2219" s="1060"/>
      <c r="G2219" s="1056" t="s">
        <v>359</v>
      </c>
      <c r="H2219" s="1057" t="s">
        <v>2662</v>
      </c>
      <c r="I2219" s="1058" t="e">
        <f>VLOOKUP(H2218,'LƯƠNG KT'!$D$15:$R$94,4,0)</f>
        <v>#N/A</v>
      </c>
      <c r="J2219" s="1059" t="e">
        <f>+I2219*25000</f>
        <v>#N/A</v>
      </c>
      <c r="K2219" s="1084"/>
      <c r="L2219" s="1085"/>
      <c r="M2219" s="1085"/>
      <c r="N2219" s="1085"/>
      <c r="O2219" s="1085"/>
    </row>
    <row r="2220" spans="1:15" ht="15" customHeight="1">
      <c r="A2220" s="1056" t="s">
        <v>361</v>
      </c>
      <c r="B2220" s="1057" t="s">
        <v>2663</v>
      </c>
      <c r="C2220" s="1058" t="e">
        <f>VLOOKUP(B2218,'LƯƠNG KT'!$D$15:$R$94,15,0)</f>
        <v>#N/A</v>
      </c>
      <c r="D2220" s="1059" t="e">
        <f>C2220*$L$4</f>
        <v>#N/A</v>
      </c>
      <c r="E2220" s="1061"/>
      <c r="F2220" s="1061"/>
      <c r="G2220" s="1056" t="s">
        <v>361</v>
      </c>
      <c r="H2220" s="1057" t="s">
        <v>2663</v>
      </c>
      <c r="I2220" s="1058" t="e">
        <f>VLOOKUP(H2218,'LƯƠNG KT'!$D$15:$R$94,15,0)</f>
        <v>#N/A</v>
      </c>
      <c r="J2220" s="1059" t="e">
        <f>I2220*$L$4</f>
        <v>#N/A</v>
      </c>
      <c r="K2220" s="1084"/>
      <c r="L2220" s="1085"/>
      <c r="M2220" s="1085"/>
      <c r="N2220" s="1085"/>
      <c r="O2220" s="1085"/>
    </row>
    <row r="2221" spans="1:15" ht="15" customHeight="1">
      <c r="A2221" s="1056" t="s">
        <v>364</v>
      </c>
      <c r="B2221" s="1057" t="s">
        <v>2664</v>
      </c>
      <c r="C2221" s="1058" t="e">
        <f>VLOOKUP(B2218,'LƯƠNG KT'!$D$15:$R$94,16,0)</f>
        <v>#N/A</v>
      </c>
      <c r="D2221" s="1059" t="e">
        <f>C2221*$L$5</f>
        <v>#N/A</v>
      </c>
      <c r="E2221" s="1061"/>
      <c r="F2221" s="1061"/>
      <c r="G2221" s="1056" t="s">
        <v>364</v>
      </c>
      <c r="H2221" s="1057" t="s">
        <v>2664</v>
      </c>
      <c r="I2221" s="1058" t="e">
        <f>VLOOKUP(H2218,'LƯƠNG KT'!$D$15:$R$94,16,0)</f>
        <v>#N/A</v>
      </c>
      <c r="J2221" s="1059" t="e">
        <f>I2221*$L$5</f>
        <v>#N/A</v>
      </c>
      <c r="K2221" s="1084"/>
      <c r="L2221" s="1085"/>
      <c r="M2221" s="1085"/>
      <c r="N2221" s="1085"/>
      <c r="O2221" s="1085"/>
    </row>
    <row r="2222" spans="1:15" ht="15" customHeight="1">
      <c r="A2222" s="1056" t="s">
        <v>370</v>
      </c>
      <c r="B2222" s="1057" t="s">
        <v>2665</v>
      </c>
      <c r="C2222" s="1058" t="e">
        <f>VLOOKUP(B2218,'LƯƠNG KT'!$D$15:$R$94,24,0)</f>
        <v>#N/A</v>
      </c>
      <c r="D2222" s="1059" t="e">
        <f>+C2222*$L$6</f>
        <v>#N/A</v>
      </c>
      <c r="E2222" s="1061"/>
      <c r="F2222" s="1061"/>
      <c r="G2222" s="1056" t="s">
        <v>370</v>
      </c>
      <c r="H2222" s="1057" t="s">
        <v>2665</v>
      </c>
      <c r="I2222" s="1058" t="e">
        <f>VLOOKUP(H2218,'LƯƠNG KT'!$D$15:$R$94,24,0)</f>
        <v>#N/A</v>
      </c>
      <c r="J2222" s="1059" t="e">
        <f>+I2222*$L$6</f>
        <v>#N/A</v>
      </c>
      <c r="K2222" s="1085"/>
      <c r="L2222" s="1085"/>
      <c r="M2222" s="1085"/>
      <c r="N2222" s="1085"/>
      <c r="O2222" s="1085"/>
    </row>
    <row r="2223" spans="1:15" ht="15" customHeight="1">
      <c r="A2223" s="1056" t="s">
        <v>2666</v>
      </c>
      <c r="B2223" s="1057" t="s">
        <v>2667</v>
      </c>
      <c r="C2223" s="1058" t="e">
        <f>VLOOKUP(B2218,'LƯƠNG KT'!$D$15:$R$94,19,0)</f>
        <v>#N/A</v>
      </c>
      <c r="D2223" s="1059" t="e">
        <f>+C2223*$L$8</f>
        <v>#N/A</v>
      </c>
      <c r="E2223" s="1061"/>
      <c r="F2223" s="1061"/>
      <c r="G2223" s="1056" t="s">
        <v>2666</v>
      </c>
      <c r="H2223" s="1057" t="s">
        <v>2667</v>
      </c>
      <c r="I2223" s="1058" t="e">
        <f>VLOOKUP(H2218,'LƯƠNG KT'!$D$15:$R$94,19,0)</f>
        <v>#N/A</v>
      </c>
      <c r="J2223" s="1059" t="e">
        <f>+I2223*$L$8</f>
        <v>#N/A</v>
      </c>
      <c r="K2223" s="1085"/>
      <c r="L2223" s="1085"/>
      <c r="M2223" s="1085"/>
      <c r="N2223" s="1085"/>
      <c r="O2223" s="1085"/>
    </row>
    <row r="2224" spans="1:15" ht="15" customHeight="1">
      <c r="A2224" s="1056" t="s">
        <v>2668</v>
      </c>
      <c r="B2224" s="1062" t="s">
        <v>2669</v>
      </c>
      <c r="C2224" s="1058" t="e">
        <f>VLOOKUP(B2218,'LƯƠNG KT'!$D$15:$R$94,20,0)</f>
        <v>#N/A</v>
      </c>
      <c r="D2224" s="1059" t="e">
        <f>+C2224*$L$9</f>
        <v>#N/A</v>
      </c>
      <c r="E2224" s="1061"/>
      <c r="F2224" s="1061"/>
      <c r="G2224" s="1056" t="s">
        <v>2668</v>
      </c>
      <c r="H2224" s="1062" t="s">
        <v>2669</v>
      </c>
      <c r="I2224" s="1058" t="e">
        <f>VLOOKUP(H2218,'LƯƠNG KT'!$D$15:$R$94,20,0)</f>
        <v>#N/A</v>
      </c>
      <c r="J2224" s="1059" t="e">
        <f>+I2224*$L$9</f>
        <v>#N/A</v>
      </c>
      <c r="K2224" s="1085"/>
      <c r="L2224" s="1085"/>
      <c r="M2224" s="1085"/>
      <c r="N2224" s="1085"/>
      <c r="O2224" s="1085"/>
    </row>
    <row r="2225" spans="1:15" ht="15" customHeight="1">
      <c r="A2225" s="1056" t="s">
        <v>2671</v>
      </c>
      <c r="B2225" s="1057" t="s">
        <v>2672</v>
      </c>
      <c r="C2225" s="1058" t="e">
        <f>VLOOKUP(B2218,'LƯƠNG KT'!$D$15:$R$94,17,0)</f>
        <v>#N/A</v>
      </c>
      <c r="D2225" s="1059" t="e">
        <f>+C2225*$L$10</f>
        <v>#N/A</v>
      </c>
      <c r="E2225" s="1061"/>
      <c r="F2225" s="1061"/>
      <c r="G2225" s="1056" t="s">
        <v>2671</v>
      </c>
      <c r="H2225" s="1057" t="s">
        <v>2672</v>
      </c>
      <c r="I2225" s="1058" t="e">
        <f>VLOOKUP(H2218,'LƯƠNG KT'!$D$15:$R$94,17,0)</f>
        <v>#N/A</v>
      </c>
      <c r="J2225" s="1059" t="e">
        <f>+I2225*$L$10</f>
        <v>#N/A</v>
      </c>
      <c r="K2225" s="1085"/>
      <c r="L2225" s="1085"/>
      <c r="M2225" s="1085"/>
      <c r="N2225" s="1085"/>
      <c r="O2225" s="1085"/>
    </row>
    <row r="2226" spans="1:15" ht="15" customHeight="1">
      <c r="A2226" s="1056" t="s">
        <v>374</v>
      </c>
      <c r="B2226" s="1057" t="s">
        <v>2674</v>
      </c>
      <c r="C2226" s="1058" t="e">
        <f>VLOOKUP(B2218,'LƯƠNG KT'!$D$15:$R$94,12,0)</f>
        <v>#N/A</v>
      </c>
      <c r="D2226" s="1059" t="e">
        <f>VLOOKUP(B2218,'LƯƠNG KT'!$D$15:$R$94,14,0)</f>
        <v>#N/A</v>
      </c>
      <c r="E2226" s="1063"/>
      <c r="F2226" s="1061"/>
      <c r="G2226" s="1056" t="s">
        <v>374</v>
      </c>
      <c r="H2226" s="1057" t="s">
        <v>2674</v>
      </c>
      <c r="I2226" s="1058" t="e">
        <f>VLOOKUP(H2218,'LƯƠNG KT'!$D$15:$R$94,12,0)</f>
        <v>#N/A</v>
      </c>
      <c r="J2226" s="1059" t="e">
        <f>VLOOKUP(H2218,'LƯƠNG KT'!$D$15:$R$94,14,0)</f>
        <v>#N/A</v>
      </c>
      <c r="K2226" s="1085"/>
      <c r="L2226" s="1085"/>
      <c r="M2226" s="1085"/>
      <c r="N2226" s="1085"/>
      <c r="O2226" s="1085"/>
    </row>
    <row r="2227" spans="1:15" ht="15" customHeight="1">
      <c r="A2227" s="1056" t="s">
        <v>2675</v>
      </c>
      <c r="B2227" s="1057" t="s">
        <v>2676</v>
      </c>
      <c r="D2227" s="1064" t="e">
        <f>VLOOKUP(B2218,'LƯƠNG KT'!$D$15:$R$94,13,0)</f>
        <v>#N/A</v>
      </c>
      <c r="E2227" s="1065"/>
      <c r="F2227" s="1065"/>
      <c r="G2227" s="1056" t="s">
        <v>2675</v>
      </c>
      <c r="H2227" s="1057" t="s">
        <v>2676</v>
      </c>
      <c r="J2227" s="1064" t="e">
        <f>VLOOKUP(H2218,'LƯƠNG KT'!$D$15:$R$94,13,0)</f>
        <v>#N/A</v>
      </c>
    </row>
    <row r="2228" spans="1:15" ht="15" customHeight="1">
      <c r="A2228" s="1066"/>
      <c r="B2228" s="869"/>
      <c r="C2228" s="1058"/>
      <c r="D2228" s="1059"/>
      <c r="E2228" s="1063"/>
      <c r="F2228" s="1065"/>
      <c r="G2228" s="1066"/>
      <c r="H2228" s="869"/>
      <c r="I2228" s="1058"/>
      <c r="J2228" s="1059"/>
    </row>
    <row r="2229" spans="1:15" ht="15" customHeight="1">
      <c r="A2229" s="1052"/>
      <c r="B2229" s="869"/>
      <c r="C2229" s="1058"/>
      <c r="D2229" s="1059"/>
      <c r="E2229" s="1067"/>
      <c r="F2229" s="1051"/>
      <c r="G2229" s="1052"/>
      <c r="H2229" s="869"/>
      <c r="I2229" s="1058"/>
      <c r="J2229" s="1059"/>
    </row>
    <row r="2230" spans="1:15" ht="15" customHeight="1">
      <c r="A2230" s="1068" t="s">
        <v>383</v>
      </c>
      <c r="B2230" s="1069" t="s">
        <v>384</v>
      </c>
      <c r="C2230" s="1070"/>
      <c r="D2230" s="1071" t="e">
        <f>SUM(D2219:D2226)-D2229</f>
        <v>#N/A</v>
      </c>
      <c r="E2230" s="1072"/>
      <c r="F2230" s="1073"/>
      <c r="G2230" s="1068" t="s">
        <v>383</v>
      </c>
      <c r="H2230" s="1069" t="s">
        <v>384</v>
      </c>
      <c r="I2230" s="1070"/>
      <c r="J2230" s="1071" t="e">
        <f>SUM(J2219:J2226)-J2229</f>
        <v>#N/A</v>
      </c>
    </row>
    <row r="2231" spans="1:15" ht="12.6" customHeight="1">
      <c r="A2231" s="1074"/>
      <c r="B2231" s="1075"/>
      <c r="C2231" s="1076"/>
      <c r="D2231" s="1077"/>
      <c r="E2231" s="1077"/>
      <c r="F2231" s="1078"/>
      <c r="G2231" s="1074"/>
      <c r="H2231" s="1075"/>
      <c r="I2231" s="1076"/>
      <c r="J2231" s="1077"/>
    </row>
    <row r="2232" spans="1:15" ht="145.5" customHeight="1">
      <c r="A2232" s="1075"/>
      <c r="B2232" s="1075"/>
      <c r="C2232" s="1079"/>
      <c r="D2232" s="1080"/>
      <c r="E2232" s="1075"/>
      <c r="F2232" s="1081"/>
      <c r="G2232" s="1075"/>
      <c r="H2232" s="1075"/>
      <c r="I2232" s="1079"/>
      <c r="J2232" s="1080"/>
    </row>
    <row r="2233" spans="1:15" ht="15" customHeight="1">
      <c r="A2233" s="2242" t="str">
        <f>$K$2</f>
        <v>THÁNG 04/2025</v>
      </c>
      <c r="B2233" s="2242"/>
      <c r="C2233" s="2242"/>
      <c r="D2233" s="2242"/>
      <c r="E2233" s="1050"/>
      <c r="F2233" s="1051"/>
      <c r="G2233" s="2242" t="str">
        <f>$K$2</f>
        <v>THÁNG 04/2025</v>
      </c>
      <c r="H2233" s="2242"/>
      <c r="I2233" s="2242"/>
      <c r="J2233" s="2242"/>
      <c r="K2233" s="624"/>
    </row>
    <row r="2234" spans="1:15" ht="15" customHeight="1">
      <c r="A2234" s="1052" t="s">
        <v>356</v>
      </c>
      <c r="B2234" s="1053" t="s">
        <v>164</v>
      </c>
      <c r="C2234" s="869"/>
      <c r="D2234" s="1049"/>
      <c r="E2234" s="1054"/>
      <c r="F2234" s="1055"/>
      <c r="G2234" s="1052" t="s">
        <v>356</v>
      </c>
      <c r="H2234" s="1053" t="s">
        <v>165</v>
      </c>
      <c r="I2234" s="869"/>
      <c r="J2234" s="1049"/>
      <c r="L2234" s="1088"/>
      <c r="M2234" s="1088"/>
      <c r="N2234" s="1088"/>
      <c r="O2234" s="1088"/>
    </row>
    <row r="2235" spans="1:15" ht="15" customHeight="1">
      <c r="A2235" s="1056" t="s">
        <v>359</v>
      </c>
      <c r="B2235" s="1057" t="s">
        <v>2662</v>
      </c>
      <c r="C2235" s="1058" t="e">
        <f>VLOOKUP(B2234,'LƯƠNG KT'!$D$15:$R$94,4,0)</f>
        <v>#N/A</v>
      </c>
      <c r="D2235" s="1059" t="e">
        <f>+C2235*25000</f>
        <v>#N/A</v>
      </c>
      <c r="E2235" s="1060"/>
      <c r="F2235" s="1060"/>
      <c r="G2235" s="1056" t="s">
        <v>359</v>
      </c>
      <c r="H2235" s="1057" t="s">
        <v>2662</v>
      </c>
      <c r="I2235" s="1058" t="e">
        <f>VLOOKUP(H2234,'LƯƠNG KT'!$D$15:$R$94,4,0)</f>
        <v>#N/A</v>
      </c>
      <c r="J2235" s="1059" t="e">
        <f>+I2235*25000</f>
        <v>#N/A</v>
      </c>
      <c r="K2235" s="1085"/>
      <c r="L2235" s="1085"/>
      <c r="M2235" s="1085"/>
      <c r="N2235" s="1085"/>
      <c r="O2235" s="1085"/>
    </row>
    <row r="2236" spans="1:15" ht="15" customHeight="1">
      <c r="A2236" s="1056" t="s">
        <v>361</v>
      </c>
      <c r="B2236" s="1057" t="s">
        <v>2663</v>
      </c>
      <c r="C2236" s="1058" t="e">
        <f>VLOOKUP(B2234,'LƯƠNG KT'!$D$15:$R$94,15,0)</f>
        <v>#N/A</v>
      </c>
      <c r="D2236" s="1059" t="e">
        <f>C2236*$L$4</f>
        <v>#N/A</v>
      </c>
      <c r="E2236" s="1061"/>
      <c r="F2236" s="1061"/>
      <c r="G2236" s="1056" t="s">
        <v>361</v>
      </c>
      <c r="H2236" s="1057" t="s">
        <v>2663</v>
      </c>
      <c r="I2236" s="1058" t="e">
        <f>VLOOKUP(H2234,'LƯƠNG KT'!$D$15:$R$94,15,0)</f>
        <v>#N/A</v>
      </c>
      <c r="J2236" s="1059" t="e">
        <f>I2236*$L$4</f>
        <v>#N/A</v>
      </c>
      <c r="K2236" s="1085"/>
      <c r="L2236" s="1085"/>
      <c r="M2236" s="1085"/>
      <c r="N2236" s="1085"/>
      <c r="O2236" s="1085"/>
    </row>
    <row r="2237" spans="1:15" ht="15" customHeight="1">
      <c r="A2237" s="1056" t="s">
        <v>364</v>
      </c>
      <c r="B2237" s="1057" t="s">
        <v>2664</v>
      </c>
      <c r="C2237" s="1058" t="e">
        <f>VLOOKUP(B2234,'LƯƠNG KT'!$D$15:$R$94,16,0)</f>
        <v>#N/A</v>
      </c>
      <c r="D2237" s="1059" t="e">
        <f>C2237*$L$5</f>
        <v>#N/A</v>
      </c>
      <c r="E2237" s="1061"/>
      <c r="F2237" s="1061"/>
      <c r="G2237" s="1056" t="s">
        <v>364</v>
      </c>
      <c r="H2237" s="1057" t="s">
        <v>2664</v>
      </c>
      <c r="I2237" s="1058" t="e">
        <f>VLOOKUP(H2234,'LƯƠNG KT'!$D$15:$R$94,16,0)</f>
        <v>#N/A</v>
      </c>
      <c r="J2237" s="1059" t="e">
        <f>I2237*$L$5</f>
        <v>#N/A</v>
      </c>
      <c r="K2237" s="1085"/>
      <c r="L2237" s="1085"/>
      <c r="M2237" s="1085"/>
      <c r="N2237" s="1085"/>
      <c r="O2237" s="1085"/>
    </row>
    <row r="2238" spans="1:15" ht="15" customHeight="1">
      <c r="A2238" s="1056" t="s">
        <v>370</v>
      </c>
      <c r="B2238" s="1057" t="s">
        <v>2665</v>
      </c>
      <c r="C2238" s="1058" t="e">
        <f>VLOOKUP(B2234,'LƯƠNG KT'!$D$15:$R$94,24,0)</f>
        <v>#N/A</v>
      </c>
      <c r="D2238" s="1059" t="e">
        <f>+C2238*$L$6</f>
        <v>#N/A</v>
      </c>
      <c r="E2238" s="1061"/>
      <c r="F2238" s="1061"/>
      <c r="G2238" s="1056" t="s">
        <v>370</v>
      </c>
      <c r="H2238" s="1057" t="s">
        <v>2665</v>
      </c>
      <c r="I2238" s="1058" t="e">
        <f>VLOOKUP(H2234,'LƯƠNG KT'!$D$15:$R$94,24,0)</f>
        <v>#N/A</v>
      </c>
      <c r="J2238" s="1059" t="e">
        <f>+I2238*$L$6</f>
        <v>#N/A</v>
      </c>
      <c r="K2238" s="1085"/>
      <c r="L2238" s="1085"/>
      <c r="M2238" s="1085"/>
      <c r="N2238" s="1085"/>
      <c r="O2238" s="1085"/>
    </row>
    <row r="2239" spans="1:15" ht="15" customHeight="1">
      <c r="A2239" s="1056" t="s">
        <v>2666</v>
      </c>
      <c r="B2239" s="1057" t="s">
        <v>2667</v>
      </c>
      <c r="C2239" s="1058" t="e">
        <f>VLOOKUP(B2234,'LƯƠNG KT'!$D$15:$R$94,19,0)</f>
        <v>#N/A</v>
      </c>
      <c r="D2239" s="1059" t="e">
        <f>+C2239*$L$8</f>
        <v>#N/A</v>
      </c>
      <c r="E2239" s="1061"/>
      <c r="F2239" s="1061"/>
      <c r="G2239" s="1056" t="s">
        <v>2666</v>
      </c>
      <c r="H2239" s="1057" t="s">
        <v>2667</v>
      </c>
      <c r="I2239" s="1058" t="e">
        <f>VLOOKUP(H2234,'LƯƠNG KT'!$D$15:$R$94,19,0)</f>
        <v>#N/A</v>
      </c>
      <c r="J2239" s="1059" t="e">
        <f>+I2239*$L$8</f>
        <v>#N/A</v>
      </c>
      <c r="K2239" s="1085"/>
      <c r="L2239" s="1085"/>
      <c r="M2239" s="1085"/>
      <c r="N2239" s="1085"/>
      <c r="O2239" s="1085"/>
    </row>
    <row r="2240" spans="1:15" ht="15" customHeight="1">
      <c r="A2240" s="1056" t="s">
        <v>2668</v>
      </c>
      <c r="B2240" s="1062" t="s">
        <v>2669</v>
      </c>
      <c r="C2240" s="1058" t="e">
        <f>VLOOKUP(B2234,'LƯƠNG KT'!$D$15:$R$94,20,0)</f>
        <v>#N/A</v>
      </c>
      <c r="D2240" s="1059" t="e">
        <f>+C2240*$L$9</f>
        <v>#N/A</v>
      </c>
      <c r="E2240" s="1061"/>
      <c r="F2240" s="1061"/>
      <c r="G2240" s="1056" t="s">
        <v>2668</v>
      </c>
      <c r="H2240" s="1062" t="s">
        <v>2669</v>
      </c>
      <c r="I2240" s="1058" t="e">
        <f>VLOOKUP(H2234,'LƯƠNG KT'!$D$15:$R$94,20,0)</f>
        <v>#N/A</v>
      </c>
      <c r="J2240" s="1059" t="e">
        <f>+I2240*$L$9</f>
        <v>#N/A</v>
      </c>
      <c r="K2240" s="1085"/>
      <c r="L2240" s="1085"/>
      <c r="M2240" s="1085"/>
      <c r="N2240" s="1085"/>
      <c r="O2240" s="1085"/>
    </row>
    <row r="2241" spans="1:15" ht="15" customHeight="1">
      <c r="A2241" s="1056" t="s">
        <v>2671</v>
      </c>
      <c r="B2241" s="1057" t="s">
        <v>2672</v>
      </c>
      <c r="C2241" s="1058" t="e">
        <f>VLOOKUP(B2234,'LƯƠNG KT'!$D$15:$R$94,17,0)</f>
        <v>#N/A</v>
      </c>
      <c r="D2241" s="1059" t="e">
        <f>+C2241*$L$10</f>
        <v>#N/A</v>
      </c>
      <c r="E2241" s="1061"/>
      <c r="F2241" s="1061"/>
      <c r="G2241" s="1056" t="s">
        <v>2671</v>
      </c>
      <c r="H2241" s="1057" t="s">
        <v>2672</v>
      </c>
      <c r="I2241" s="1058" t="e">
        <f>VLOOKUP(H2234,'LƯƠNG KT'!$D$15:$R$94,17,0)</f>
        <v>#N/A</v>
      </c>
      <c r="J2241" s="1059" t="e">
        <f>+I2241*$L$10</f>
        <v>#N/A</v>
      </c>
      <c r="K2241" s="1085"/>
      <c r="L2241" s="1085"/>
      <c r="M2241" s="1085"/>
      <c r="N2241" s="1085"/>
      <c r="O2241" s="1085"/>
    </row>
    <row r="2242" spans="1:15" ht="15" customHeight="1">
      <c r="A2242" s="1056" t="s">
        <v>374</v>
      </c>
      <c r="B2242" s="1057" t="s">
        <v>2674</v>
      </c>
      <c r="C2242" s="1058" t="e">
        <f>VLOOKUP(B2234,'LƯƠNG KT'!$D$15:$R$94,12,0)</f>
        <v>#N/A</v>
      </c>
      <c r="D2242" s="1059" t="e">
        <f>VLOOKUP(B2234,'LƯƠNG KT'!$D$15:$R$94,14,0)</f>
        <v>#N/A</v>
      </c>
      <c r="E2242" s="1063"/>
      <c r="F2242" s="1061"/>
      <c r="G2242" s="1056" t="s">
        <v>374</v>
      </c>
      <c r="H2242" s="1057" t="s">
        <v>2674</v>
      </c>
      <c r="I2242" s="1058" t="e">
        <f>VLOOKUP(H2234,'LƯƠNG KT'!$D$15:$R$94,12,0)</f>
        <v>#N/A</v>
      </c>
      <c r="J2242" s="1059" t="e">
        <f>VLOOKUP(H2234,'LƯƠNG KT'!$D$15:$R$94,14,0)</f>
        <v>#N/A</v>
      </c>
      <c r="K2242" s="1085"/>
      <c r="L2242" s="1085"/>
      <c r="M2242" s="1085"/>
      <c r="N2242" s="1085"/>
      <c r="O2242" s="1085"/>
    </row>
    <row r="2243" spans="1:15" ht="15" customHeight="1">
      <c r="A2243" s="1056" t="s">
        <v>2675</v>
      </c>
      <c r="B2243" s="1057" t="s">
        <v>2676</v>
      </c>
      <c r="D2243" s="1064" t="e">
        <f>VLOOKUP(B2234,'LƯƠNG KT'!$D$15:$R$94,13,0)</f>
        <v>#N/A</v>
      </c>
      <c r="E2243" s="1065"/>
      <c r="F2243" s="1065"/>
      <c r="G2243" s="1056" t="s">
        <v>2675</v>
      </c>
      <c r="H2243" s="1057" t="s">
        <v>2676</v>
      </c>
      <c r="J2243" s="1064" t="e">
        <f>VLOOKUP(H2234,'LƯƠNG KT'!$D$15:$R$94,13,0)</f>
        <v>#N/A</v>
      </c>
    </row>
    <row r="2244" spans="1:15" ht="15" customHeight="1">
      <c r="A2244" s="1066"/>
      <c r="B2244" s="869"/>
      <c r="C2244" s="1058"/>
      <c r="D2244" s="1059"/>
      <c r="E2244" s="1063"/>
      <c r="F2244" s="1065"/>
      <c r="G2244" s="1066"/>
      <c r="H2244" s="869"/>
      <c r="I2244" s="1058"/>
      <c r="J2244" s="1059"/>
    </row>
    <row r="2245" spans="1:15" ht="15" customHeight="1">
      <c r="A2245" s="1052"/>
      <c r="B2245" s="869"/>
      <c r="C2245" s="1058"/>
      <c r="D2245" s="1059"/>
      <c r="E2245" s="1067"/>
      <c r="F2245" s="1051"/>
      <c r="G2245" s="1052"/>
      <c r="H2245" s="869"/>
      <c r="I2245" s="1058"/>
      <c r="J2245" s="1059"/>
    </row>
    <row r="2246" spans="1:15" ht="15" customHeight="1">
      <c r="A2246" s="1068" t="s">
        <v>383</v>
      </c>
      <c r="B2246" s="1069" t="s">
        <v>384</v>
      </c>
      <c r="C2246" s="1070"/>
      <c r="D2246" s="1071" t="e">
        <f>SUM(D2235:D2242)-D2245</f>
        <v>#N/A</v>
      </c>
      <c r="E2246" s="1072"/>
      <c r="F2246" s="1073"/>
      <c r="G2246" s="1068" t="s">
        <v>383</v>
      </c>
      <c r="H2246" s="1069" t="s">
        <v>384</v>
      </c>
      <c r="I2246" s="1070"/>
      <c r="J2246" s="1071" t="e">
        <f>SUM(J2235:J2242)-J2245</f>
        <v>#N/A</v>
      </c>
    </row>
    <row r="2247" spans="1:15" ht="18.75" customHeight="1">
      <c r="A2247" s="1074"/>
      <c r="B2247" s="1075"/>
      <c r="C2247" s="1076"/>
      <c r="D2247" s="1077"/>
      <c r="E2247" s="1077"/>
      <c r="F2247" s="1078"/>
      <c r="G2247" s="1074"/>
      <c r="H2247" s="1075"/>
      <c r="I2247" s="1076"/>
      <c r="J2247" s="1077"/>
    </row>
    <row r="2248" spans="1:15" ht="18.75" customHeight="1">
      <c r="A2248" s="1075"/>
      <c r="B2248" s="1075"/>
      <c r="C2248" s="1079"/>
      <c r="D2248" s="1080"/>
      <c r="E2248" s="1075"/>
      <c r="F2248" s="1081"/>
      <c r="G2248" s="1075"/>
      <c r="H2248" s="1075"/>
      <c r="I2248" s="1079"/>
      <c r="J2248" s="1080"/>
    </row>
    <row r="2249" spans="1:15" ht="15" customHeight="1">
      <c r="A2249" s="2242" t="str">
        <f>$K$2</f>
        <v>THÁNG 04/2025</v>
      </c>
      <c r="B2249" s="2242"/>
      <c r="C2249" s="2242"/>
      <c r="D2249" s="2242"/>
      <c r="E2249" s="1050"/>
      <c r="F2249" s="1051"/>
      <c r="G2249" s="2242" t="str">
        <f>$K$2</f>
        <v>THÁNG 04/2025</v>
      </c>
      <c r="H2249" s="2242"/>
      <c r="I2249" s="2242"/>
      <c r="J2249" s="2242"/>
      <c r="K2249" s="624"/>
    </row>
    <row r="2250" spans="1:15" ht="15" customHeight="1">
      <c r="A2250" s="1052" t="s">
        <v>356</v>
      </c>
      <c r="B2250" s="1053" t="s">
        <v>166</v>
      </c>
      <c r="C2250" s="869"/>
      <c r="D2250" s="1049"/>
      <c r="E2250" s="1054"/>
      <c r="F2250" s="1055"/>
      <c r="G2250" s="1052" t="s">
        <v>356</v>
      </c>
      <c r="H2250" s="1053" t="s">
        <v>167</v>
      </c>
      <c r="I2250" s="869"/>
      <c r="J2250" s="1049"/>
      <c r="L2250" s="1088"/>
      <c r="M2250" s="1088"/>
      <c r="N2250" s="1088"/>
      <c r="O2250" s="1088"/>
    </row>
    <row r="2251" spans="1:15" ht="15" customHeight="1">
      <c r="A2251" s="1056" t="s">
        <v>359</v>
      </c>
      <c r="B2251" s="1057" t="s">
        <v>2662</v>
      </c>
      <c r="C2251" s="1058" t="e">
        <f>VLOOKUP(B2250,'LƯƠNG KT'!$D$15:$R$94,4,0)</f>
        <v>#N/A</v>
      </c>
      <c r="D2251" s="1059" t="e">
        <f>+C2251*25000</f>
        <v>#N/A</v>
      </c>
      <c r="E2251" s="1060"/>
      <c r="F2251" s="1060"/>
      <c r="G2251" s="1056" t="s">
        <v>359</v>
      </c>
      <c r="H2251" s="1057" t="s">
        <v>2662</v>
      </c>
      <c r="I2251" s="1058" t="e">
        <f>VLOOKUP(H2250,'LƯƠNG KT'!$D$15:$R$94,4,0)</f>
        <v>#N/A</v>
      </c>
      <c r="J2251" s="1059" t="e">
        <f>+I2251*25000</f>
        <v>#N/A</v>
      </c>
      <c r="K2251" s="1085"/>
      <c r="L2251" s="1085"/>
      <c r="M2251" s="1085"/>
      <c r="N2251" s="1085"/>
      <c r="O2251" s="1085"/>
    </row>
    <row r="2252" spans="1:15" ht="15" customHeight="1">
      <c r="A2252" s="1056" t="s">
        <v>361</v>
      </c>
      <c r="B2252" s="1057" t="s">
        <v>2663</v>
      </c>
      <c r="C2252" s="1058" t="e">
        <f>VLOOKUP(B2250,'LƯƠNG KT'!$D$15:$R$94,15,0)</f>
        <v>#N/A</v>
      </c>
      <c r="D2252" s="1059" t="e">
        <f>C2252*$L$4</f>
        <v>#N/A</v>
      </c>
      <c r="E2252" s="1061"/>
      <c r="F2252" s="1061"/>
      <c r="G2252" s="1056" t="s">
        <v>361</v>
      </c>
      <c r="H2252" s="1057" t="s">
        <v>2663</v>
      </c>
      <c r="I2252" s="1058" t="e">
        <f>VLOOKUP(H2250,'LƯƠNG KT'!$D$15:$R$94,15,0)</f>
        <v>#N/A</v>
      </c>
      <c r="J2252" s="1059" t="e">
        <f>I2252*$L$4</f>
        <v>#N/A</v>
      </c>
      <c r="K2252" s="1085"/>
      <c r="L2252" s="1085"/>
      <c r="M2252" s="1085"/>
      <c r="N2252" s="1085"/>
      <c r="O2252" s="1085"/>
    </row>
    <row r="2253" spans="1:15" ht="15" customHeight="1">
      <c r="A2253" s="1056" t="s">
        <v>364</v>
      </c>
      <c r="B2253" s="1057" t="s">
        <v>2664</v>
      </c>
      <c r="C2253" s="1058" t="e">
        <f>VLOOKUP(B2250,'LƯƠNG KT'!$D$15:$R$94,16,0)</f>
        <v>#N/A</v>
      </c>
      <c r="D2253" s="1059" t="e">
        <f>C2253*$L$5</f>
        <v>#N/A</v>
      </c>
      <c r="E2253" s="1061"/>
      <c r="F2253" s="1061"/>
      <c r="G2253" s="1056" t="s">
        <v>364</v>
      </c>
      <c r="H2253" s="1057" t="s">
        <v>2664</v>
      </c>
      <c r="I2253" s="1058" t="e">
        <f>VLOOKUP(H2250,'LƯƠNG KT'!$D$15:$R$94,16,0)</f>
        <v>#N/A</v>
      </c>
      <c r="J2253" s="1059" t="e">
        <f>I2253*$L$5</f>
        <v>#N/A</v>
      </c>
      <c r="K2253" s="1085"/>
      <c r="L2253" s="1085"/>
      <c r="M2253" s="1085"/>
      <c r="N2253" s="1085"/>
      <c r="O2253" s="1085"/>
    </row>
    <row r="2254" spans="1:15" ht="15" customHeight="1">
      <c r="A2254" s="1056" t="s">
        <v>370</v>
      </c>
      <c r="B2254" s="1057" t="s">
        <v>2665</v>
      </c>
      <c r="C2254" s="1058" t="e">
        <f>VLOOKUP(B2250,'LƯƠNG KT'!$D$15:$R$94,24,0)</f>
        <v>#N/A</v>
      </c>
      <c r="D2254" s="1059" t="e">
        <f>+C2254*$L$6</f>
        <v>#N/A</v>
      </c>
      <c r="E2254" s="1061"/>
      <c r="F2254" s="1061"/>
      <c r="G2254" s="1056" t="s">
        <v>370</v>
      </c>
      <c r="H2254" s="1057" t="s">
        <v>2665</v>
      </c>
      <c r="I2254" s="1058" t="e">
        <f>VLOOKUP(H2250,'LƯƠNG KT'!$D$15:$R$94,24,0)</f>
        <v>#N/A</v>
      </c>
      <c r="J2254" s="1059" t="e">
        <f>+I2254*$L$6</f>
        <v>#N/A</v>
      </c>
      <c r="K2254" s="1085"/>
      <c r="L2254" s="1085"/>
      <c r="M2254" s="1085"/>
      <c r="N2254" s="1085"/>
      <c r="O2254" s="1085"/>
    </row>
    <row r="2255" spans="1:15" ht="15" customHeight="1">
      <c r="A2255" s="1056" t="s">
        <v>2666</v>
      </c>
      <c r="B2255" s="1057" t="s">
        <v>2667</v>
      </c>
      <c r="C2255" s="1058" t="e">
        <f>VLOOKUP(B2250,'LƯƠNG KT'!$D$15:$R$94,19,0)</f>
        <v>#N/A</v>
      </c>
      <c r="D2255" s="1059" t="e">
        <f>+C2255*$L$8</f>
        <v>#N/A</v>
      </c>
      <c r="E2255" s="1061"/>
      <c r="F2255" s="1061"/>
      <c r="G2255" s="1056" t="s">
        <v>2666</v>
      </c>
      <c r="H2255" s="1057" t="s">
        <v>2667</v>
      </c>
      <c r="I2255" s="1058" t="e">
        <f>VLOOKUP(H2250,'LƯƠNG KT'!$D$15:$R$94,19,0)</f>
        <v>#N/A</v>
      </c>
      <c r="J2255" s="1059" t="e">
        <f>+I2255*$L$8</f>
        <v>#N/A</v>
      </c>
      <c r="K2255" s="1085"/>
      <c r="L2255" s="1085"/>
      <c r="M2255" s="1085"/>
      <c r="N2255" s="1085"/>
      <c r="O2255" s="1085"/>
    </row>
    <row r="2256" spans="1:15" ht="15" customHeight="1">
      <c r="A2256" s="1056" t="s">
        <v>2668</v>
      </c>
      <c r="B2256" s="1062" t="s">
        <v>2669</v>
      </c>
      <c r="C2256" s="1058" t="e">
        <f>VLOOKUP(B2250,'LƯƠNG KT'!$D$15:$R$94,20,0)</f>
        <v>#N/A</v>
      </c>
      <c r="D2256" s="1059" t="e">
        <f>+C2256*$L$9</f>
        <v>#N/A</v>
      </c>
      <c r="E2256" s="1061"/>
      <c r="F2256" s="1061"/>
      <c r="G2256" s="1056" t="s">
        <v>2668</v>
      </c>
      <c r="H2256" s="1062" t="s">
        <v>2669</v>
      </c>
      <c r="I2256" s="1058" t="e">
        <f>VLOOKUP(H2250,'LƯƠNG KT'!$D$15:$R$94,20,0)</f>
        <v>#N/A</v>
      </c>
      <c r="J2256" s="1059" t="e">
        <f>+I2256*$L$9</f>
        <v>#N/A</v>
      </c>
      <c r="K2256" s="1085"/>
      <c r="L2256" s="1085"/>
      <c r="M2256" s="1085"/>
      <c r="N2256" s="1085"/>
      <c r="O2256" s="1085"/>
    </row>
    <row r="2257" spans="1:15" ht="15" customHeight="1">
      <c r="A2257" s="1056" t="s">
        <v>2671</v>
      </c>
      <c r="B2257" s="1057" t="s">
        <v>2672</v>
      </c>
      <c r="C2257" s="1058" t="e">
        <f>VLOOKUP(B2250,'LƯƠNG KT'!$D$15:$R$94,17,0)</f>
        <v>#N/A</v>
      </c>
      <c r="D2257" s="1059" t="e">
        <f>+C2257*$L$10</f>
        <v>#N/A</v>
      </c>
      <c r="E2257" s="1061"/>
      <c r="F2257" s="1061"/>
      <c r="G2257" s="1056" t="s">
        <v>2671</v>
      </c>
      <c r="H2257" s="1057" t="s">
        <v>2672</v>
      </c>
      <c r="I2257" s="1058" t="e">
        <f>VLOOKUP(H2250,'LƯƠNG KT'!$D$15:$R$94,17,0)</f>
        <v>#N/A</v>
      </c>
      <c r="J2257" s="1059" t="e">
        <f>+I2257*$L$10</f>
        <v>#N/A</v>
      </c>
      <c r="K2257" s="1085"/>
      <c r="L2257" s="1085"/>
      <c r="M2257" s="1085"/>
      <c r="N2257" s="1085"/>
      <c r="O2257" s="1085"/>
    </row>
    <row r="2258" spans="1:15" ht="15" customHeight="1">
      <c r="A2258" s="1056" t="s">
        <v>374</v>
      </c>
      <c r="B2258" s="1057" t="s">
        <v>2674</v>
      </c>
      <c r="C2258" s="1058" t="e">
        <f>VLOOKUP(B2250,'LƯƠNG KT'!$D$15:$R$94,12,0)</f>
        <v>#N/A</v>
      </c>
      <c r="D2258" s="1059" t="e">
        <f>VLOOKUP(B2250,'LƯƠNG KT'!$D$15:$R$94,14,0)</f>
        <v>#N/A</v>
      </c>
      <c r="E2258" s="1063"/>
      <c r="F2258" s="1061"/>
      <c r="G2258" s="1056" t="s">
        <v>374</v>
      </c>
      <c r="H2258" s="1057" t="s">
        <v>2674</v>
      </c>
      <c r="I2258" s="1058" t="e">
        <f>VLOOKUP(H2250,'LƯƠNG KT'!$D$15:$R$94,12,0)</f>
        <v>#N/A</v>
      </c>
      <c r="J2258" s="1059" t="e">
        <f>VLOOKUP(H2250,'LƯƠNG KT'!$D$15:$R$94,14,0)</f>
        <v>#N/A</v>
      </c>
      <c r="K2258" s="1085"/>
      <c r="L2258" s="1085"/>
      <c r="M2258" s="1085"/>
      <c r="N2258" s="1085"/>
      <c r="O2258" s="1085"/>
    </row>
    <row r="2259" spans="1:15" ht="15" customHeight="1">
      <c r="A2259" s="1056" t="s">
        <v>2675</v>
      </c>
      <c r="B2259" s="1057" t="s">
        <v>2676</v>
      </c>
      <c r="D2259" s="1064" t="e">
        <f>VLOOKUP(B2250,'LƯƠNG KT'!$D$15:$R$94,13,0)</f>
        <v>#N/A</v>
      </c>
      <c r="E2259" s="1065"/>
      <c r="F2259" s="1065"/>
      <c r="G2259" s="1056" t="s">
        <v>2675</v>
      </c>
      <c r="H2259" s="1057" t="s">
        <v>2676</v>
      </c>
      <c r="J2259" s="1064" t="e">
        <f>VLOOKUP(H2250,'LƯƠNG KT'!$D$15:$R$94,13,0)</f>
        <v>#N/A</v>
      </c>
    </row>
    <row r="2260" spans="1:15" ht="15" customHeight="1">
      <c r="A2260" s="1066"/>
      <c r="B2260" s="869"/>
      <c r="C2260" s="1058"/>
      <c r="D2260" s="1059"/>
      <c r="E2260" s="1063"/>
      <c r="F2260" s="1065"/>
      <c r="G2260" s="1066"/>
      <c r="H2260" s="869"/>
      <c r="I2260" s="1058"/>
      <c r="J2260" s="1059"/>
    </row>
    <row r="2261" spans="1:15" ht="15" customHeight="1">
      <c r="A2261" s="1052"/>
      <c r="B2261" s="869"/>
      <c r="C2261" s="1058"/>
      <c r="D2261" s="1059"/>
      <c r="E2261" s="1067"/>
      <c r="F2261" s="1051"/>
      <c r="G2261" s="1052"/>
      <c r="H2261" s="869"/>
      <c r="I2261" s="1058"/>
      <c r="J2261" s="1059"/>
    </row>
    <row r="2262" spans="1:15" ht="15" customHeight="1">
      <c r="A2262" s="1068" t="s">
        <v>383</v>
      </c>
      <c r="B2262" s="1069" t="s">
        <v>384</v>
      </c>
      <c r="C2262" s="1070"/>
      <c r="D2262" s="1071" t="e">
        <f>SUM(D2251:D2258)-D2261</f>
        <v>#N/A</v>
      </c>
      <c r="E2262" s="1072"/>
      <c r="F2262" s="1073"/>
      <c r="G2262" s="1068" t="s">
        <v>383</v>
      </c>
      <c r="H2262" s="1069" t="s">
        <v>384</v>
      </c>
      <c r="I2262" s="1070"/>
      <c r="J2262" s="1071" t="e">
        <f>SUM(J2251:J2258)-J2261</f>
        <v>#N/A</v>
      </c>
    </row>
    <row r="2263" spans="1:15" ht="18.75" customHeight="1">
      <c r="A2263" s="1074"/>
      <c r="B2263" s="1075"/>
      <c r="C2263" s="1076"/>
      <c r="D2263" s="1077"/>
      <c r="E2263" s="1077"/>
      <c r="F2263" s="1078"/>
      <c r="G2263" s="1074"/>
      <c r="H2263" s="1075"/>
      <c r="I2263" s="1076"/>
      <c r="J2263" s="1077"/>
    </row>
    <row r="2264" spans="1:15" ht="18.75" customHeight="1">
      <c r="A2264" s="1075"/>
      <c r="B2264" s="1075"/>
      <c r="C2264" s="1079"/>
      <c r="D2264" s="1080"/>
      <c r="E2264" s="1075"/>
      <c r="F2264" s="1081"/>
      <c r="G2264" s="1075"/>
      <c r="H2264" s="1075"/>
      <c r="I2264" s="1079"/>
      <c r="J2264" s="1080"/>
    </row>
    <row r="2265" spans="1:15" ht="15" customHeight="1">
      <c r="A2265" s="2242" t="str">
        <f>$K$2</f>
        <v>THÁNG 04/2025</v>
      </c>
      <c r="B2265" s="2242"/>
      <c r="C2265" s="2242"/>
      <c r="D2265" s="2242"/>
      <c r="E2265" s="1050"/>
      <c r="F2265" s="1051"/>
      <c r="G2265" s="2242" t="str">
        <f>$K$2</f>
        <v>THÁNG 04/2025</v>
      </c>
      <c r="H2265" s="2242"/>
      <c r="I2265" s="2242"/>
      <c r="J2265" s="2242"/>
      <c r="K2265" s="624"/>
    </row>
    <row r="2266" spans="1:15" ht="15" customHeight="1">
      <c r="A2266" s="1052" t="s">
        <v>356</v>
      </c>
      <c r="B2266" s="1053" t="s">
        <v>168</v>
      </c>
      <c r="C2266" s="869"/>
      <c r="D2266" s="1049"/>
      <c r="E2266" s="1054"/>
      <c r="F2266" s="1055"/>
      <c r="G2266" s="1052" t="s">
        <v>356</v>
      </c>
      <c r="H2266" s="1053" t="s">
        <v>169</v>
      </c>
      <c r="I2266" s="869"/>
      <c r="J2266" s="1049"/>
      <c r="L2266" s="1088"/>
      <c r="M2266" s="1088"/>
      <c r="N2266" s="1088"/>
      <c r="O2266" s="1088"/>
    </row>
    <row r="2267" spans="1:15" ht="15" customHeight="1">
      <c r="A2267" s="1056" t="s">
        <v>359</v>
      </c>
      <c r="B2267" s="1057" t="s">
        <v>2662</v>
      </c>
      <c r="C2267" s="1058" t="e">
        <f>VLOOKUP(B2266,'LƯƠNG KT'!$D$15:$R$94,4,0)</f>
        <v>#N/A</v>
      </c>
      <c r="D2267" s="1059" t="e">
        <f>+C2267*25000</f>
        <v>#N/A</v>
      </c>
      <c r="E2267" s="1060"/>
      <c r="F2267" s="1060"/>
      <c r="G2267" s="1056" t="s">
        <v>359</v>
      </c>
      <c r="H2267" s="1057" t="s">
        <v>2662</v>
      </c>
      <c r="I2267" s="1058" t="e">
        <f>VLOOKUP(H2266,'LƯƠNG KT'!$D$15:$R$94,4,0)</f>
        <v>#N/A</v>
      </c>
      <c r="J2267" s="1059" t="e">
        <f>+I2267*25000</f>
        <v>#N/A</v>
      </c>
      <c r="K2267" s="1085"/>
      <c r="L2267" s="1085"/>
      <c r="M2267" s="1085"/>
      <c r="N2267" s="1085"/>
      <c r="O2267" s="1085"/>
    </row>
    <row r="2268" spans="1:15" ht="15" customHeight="1">
      <c r="A2268" s="1056" t="s">
        <v>361</v>
      </c>
      <c r="B2268" s="1057" t="s">
        <v>2663</v>
      </c>
      <c r="C2268" s="1058" t="e">
        <f>VLOOKUP(B2266,'LƯƠNG KT'!$D$15:$R$94,15,0)</f>
        <v>#N/A</v>
      </c>
      <c r="D2268" s="1059" t="e">
        <f>C2268*$L$4</f>
        <v>#N/A</v>
      </c>
      <c r="E2268" s="1061"/>
      <c r="F2268" s="1061"/>
      <c r="G2268" s="1056" t="s">
        <v>361</v>
      </c>
      <c r="H2268" s="1057" t="s">
        <v>2663</v>
      </c>
      <c r="I2268" s="1058" t="e">
        <f>VLOOKUP(H2266,'LƯƠNG KT'!$D$15:$R$94,15,0)</f>
        <v>#N/A</v>
      </c>
      <c r="J2268" s="1059" t="e">
        <f>I2268*$L$4</f>
        <v>#N/A</v>
      </c>
      <c r="K2268" s="1085"/>
      <c r="L2268" s="1085"/>
      <c r="M2268" s="1085"/>
      <c r="N2268" s="1085"/>
      <c r="O2268" s="1085"/>
    </row>
    <row r="2269" spans="1:15" ht="15" customHeight="1">
      <c r="A2269" s="1056" t="s">
        <v>364</v>
      </c>
      <c r="B2269" s="1057" t="s">
        <v>2664</v>
      </c>
      <c r="C2269" s="1058" t="e">
        <f>VLOOKUP(B2266,'LƯƠNG KT'!$D$15:$R$94,16,0)</f>
        <v>#N/A</v>
      </c>
      <c r="D2269" s="1059" t="e">
        <f>C2269*$L$5</f>
        <v>#N/A</v>
      </c>
      <c r="E2269" s="1061"/>
      <c r="F2269" s="1061"/>
      <c r="G2269" s="1056" t="s">
        <v>364</v>
      </c>
      <c r="H2269" s="1057" t="s">
        <v>2664</v>
      </c>
      <c r="I2269" s="1058" t="e">
        <f>VLOOKUP(H2266,'LƯƠNG KT'!$D$15:$R$94,16,0)</f>
        <v>#N/A</v>
      </c>
      <c r="J2269" s="1059" t="e">
        <f>I2269*$L$5</f>
        <v>#N/A</v>
      </c>
      <c r="K2269" s="1085"/>
      <c r="L2269" s="1085"/>
      <c r="M2269" s="1085"/>
      <c r="N2269" s="1085"/>
      <c r="O2269" s="1085"/>
    </row>
    <row r="2270" spans="1:15" ht="15" customHeight="1">
      <c r="A2270" s="1056" t="s">
        <v>370</v>
      </c>
      <c r="B2270" s="1057" t="s">
        <v>2665</v>
      </c>
      <c r="C2270" s="1058" t="e">
        <f>VLOOKUP(B2266,'LƯƠNG KT'!$D$15:$R$94,24,0)</f>
        <v>#N/A</v>
      </c>
      <c r="D2270" s="1059" t="e">
        <f>+C2270*$L$6</f>
        <v>#N/A</v>
      </c>
      <c r="E2270" s="1061"/>
      <c r="F2270" s="1061"/>
      <c r="G2270" s="1056" t="s">
        <v>370</v>
      </c>
      <c r="H2270" s="1057" t="s">
        <v>2665</v>
      </c>
      <c r="I2270" s="1058" t="e">
        <f>VLOOKUP(H2266,'LƯƠNG KT'!$D$15:$R$94,24,0)</f>
        <v>#N/A</v>
      </c>
      <c r="J2270" s="1059" t="e">
        <f>+I2270*$L$6</f>
        <v>#N/A</v>
      </c>
      <c r="K2270" s="1085"/>
      <c r="L2270" s="1085"/>
      <c r="M2270" s="1085"/>
      <c r="N2270" s="1085"/>
      <c r="O2270" s="1085"/>
    </row>
    <row r="2271" spans="1:15" ht="15" customHeight="1">
      <c r="A2271" s="1056" t="s">
        <v>2666</v>
      </c>
      <c r="B2271" s="1057" t="s">
        <v>2667</v>
      </c>
      <c r="C2271" s="1058" t="e">
        <f>VLOOKUP(B2266,'LƯƠNG KT'!$D$15:$R$94,19,0)</f>
        <v>#N/A</v>
      </c>
      <c r="D2271" s="1059" t="e">
        <f>+C2271*$L$8</f>
        <v>#N/A</v>
      </c>
      <c r="E2271" s="1061"/>
      <c r="F2271" s="1061"/>
      <c r="G2271" s="1056" t="s">
        <v>2666</v>
      </c>
      <c r="H2271" s="1057" t="s">
        <v>2667</v>
      </c>
      <c r="I2271" s="1058" t="e">
        <f>VLOOKUP(H2266,'LƯƠNG KT'!$D$15:$R$94,19,0)</f>
        <v>#N/A</v>
      </c>
      <c r="J2271" s="1059" t="e">
        <f>+I2271*$L$8</f>
        <v>#N/A</v>
      </c>
      <c r="K2271" s="1085"/>
      <c r="L2271" s="1085"/>
      <c r="M2271" s="1085"/>
      <c r="N2271" s="1085"/>
      <c r="O2271" s="1085"/>
    </row>
    <row r="2272" spans="1:15" ht="15" customHeight="1">
      <c r="A2272" s="1056" t="s">
        <v>2668</v>
      </c>
      <c r="B2272" s="1062" t="s">
        <v>2669</v>
      </c>
      <c r="C2272" s="1058" t="e">
        <f>VLOOKUP(B2266,'LƯƠNG KT'!$D$15:$R$94,20,0)</f>
        <v>#N/A</v>
      </c>
      <c r="D2272" s="1059" t="e">
        <f>+C2272*$L$9</f>
        <v>#N/A</v>
      </c>
      <c r="E2272" s="1061"/>
      <c r="F2272" s="1061"/>
      <c r="G2272" s="1056" t="s">
        <v>2668</v>
      </c>
      <c r="H2272" s="1062" t="s">
        <v>2669</v>
      </c>
      <c r="I2272" s="1058" t="e">
        <f>VLOOKUP(H2266,'LƯƠNG KT'!$D$15:$R$94,20,0)</f>
        <v>#N/A</v>
      </c>
      <c r="J2272" s="1059" t="e">
        <f>+I2272*$L$9</f>
        <v>#N/A</v>
      </c>
      <c r="K2272" s="1085"/>
      <c r="L2272" s="1085"/>
      <c r="M2272" s="1085"/>
      <c r="N2272" s="1085"/>
      <c r="O2272" s="1085"/>
    </row>
    <row r="2273" spans="1:15" ht="15" customHeight="1">
      <c r="A2273" s="1056" t="s">
        <v>2671</v>
      </c>
      <c r="B2273" s="1057" t="s">
        <v>2672</v>
      </c>
      <c r="C2273" s="1058" t="e">
        <f>VLOOKUP(B2266,'LƯƠNG KT'!$D$15:$R$94,17,0)</f>
        <v>#N/A</v>
      </c>
      <c r="D2273" s="1059" t="e">
        <f>+C2273*$L$10</f>
        <v>#N/A</v>
      </c>
      <c r="E2273" s="1061"/>
      <c r="F2273" s="1061"/>
      <c r="G2273" s="1056" t="s">
        <v>2671</v>
      </c>
      <c r="H2273" s="1057" t="s">
        <v>2672</v>
      </c>
      <c r="I2273" s="1058" t="e">
        <f>VLOOKUP(H2266,'LƯƠNG KT'!$D$15:$R$94,17,0)</f>
        <v>#N/A</v>
      </c>
      <c r="J2273" s="1059" t="e">
        <f>+I2273*$L$10</f>
        <v>#N/A</v>
      </c>
      <c r="K2273" s="1085"/>
      <c r="L2273" s="1085"/>
      <c r="M2273" s="1085"/>
      <c r="N2273" s="1085"/>
      <c r="O2273" s="1085"/>
    </row>
    <row r="2274" spans="1:15" ht="15" customHeight="1">
      <c r="A2274" s="1056" t="s">
        <v>374</v>
      </c>
      <c r="B2274" s="1057" t="s">
        <v>2674</v>
      </c>
      <c r="C2274" s="1058" t="e">
        <f>VLOOKUP(B2266,'LƯƠNG KT'!$D$15:$R$94,12,0)</f>
        <v>#N/A</v>
      </c>
      <c r="D2274" s="1059" t="e">
        <f>VLOOKUP(B2266,'LƯƠNG KT'!$D$15:$R$94,14,0)</f>
        <v>#N/A</v>
      </c>
      <c r="E2274" s="1063"/>
      <c r="F2274" s="1061"/>
      <c r="G2274" s="1056" t="s">
        <v>374</v>
      </c>
      <c r="H2274" s="1057" t="s">
        <v>2674</v>
      </c>
      <c r="I2274" s="1058" t="e">
        <f>VLOOKUP(H2266,'LƯƠNG KT'!$D$15:$R$94,12,0)</f>
        <v>#N/A</v>
      </c>
      <c r="J2274" s="1059" t="e">
        <f>VLOOKUP(H2266,'LƯƠNG KT'!$D$15:$R$94,14,0)</f>
        <v>#N/A</v>
      </c>
      <c r="K2274" s="1085"/>
      <c r="L2274" s="1085"/>
      <c r="M2274" s="1085"/>
      <c r="N2274" s="1085"/>
      <c r="O2274" s="1085"/>
    </row>
    <row r="2275" spans="1:15" ht="15" customHeight="1">
      <c r="A2275" s="1056" t="s">
        <v>2675</v>
      </c>
      <c r="B2275" s="1057" t="s">
        <v>2676</v>
      </c>
      <c r="D2275" s="1064" t="e">
        <f>VLOOKUP(B2266,'LƯƠNG KT'!$D$15:$R$94,13,0)</f>
        <v>#N/A</v>
      </c>
      <c r="E2275" s="1065"/>
      <c r="F2275" s="1065"/>
      <c r="G2275" s="1056" t="s">
        <v>2675</v>
      </c>
      <c r="H2275" s="1057" t="s">
        <v>2676</v>
      </c>
      <c r="J2275" s="1064" t="e">
        <f>VLOOKUP(H2266,'LƯƠNG KT'!$D$15:$R$94,13,0)</f>
        <v>#N/A</v>
      </c>
    </row>
    <row r="2276" spans="1:15" ht="15" customHeight="1">
      <c r="A2276" s="1066"/>
      <c r="B2276" s="869"/>
      <c r="C2276" s="1058"/>
      <c r="D2276" s="1059"/>
      <c r="E2276" s="1063"/>
      <c r="F2276" s="1065"/>
      <c r="G2276" s="1066"/>
      <c r="H2276" s="869"/>
      <c r="I2276" s="1058"/>
      <c r="J2276" s="1059"/>
    </row>
    <row r="2277" spans="1:15" ht="15" customHeight="1">
      <c r="A2277" s="1052"/>
      <c r="B2277" s="869"/>
      <c r="C2277" s="1058"/>
      <c r="D2277" s="1059"/>
      <c r="E2277" s="1067"/>
      <c r="F2277" s="1051"/>
      <c r="G2277" s="1052"/>
      <c r="H2277" s="869"/>
      <c r="I2277" s="1058"/>
      <c r="J2277" s="1059"/>
    </row>
    <row r="2278" spans="1:15" ht="15" customHeight="1">
      <c r="A2278" s="1068" t="s">
        <v>383</v>
      </c>
      <c r="B2278" s="1069" t="s">
        <v>384</v>
      </c>
      <c r="C2278" s="1070"/>
      <c r="D2278" s="1071" t="e">
        <f>SUM(D2267:D2274)-D2277</f>
        <v>#N/A</v>
      </c>
      <c r="E2278" s="1072"/>
      <c r="F2278" s="1073"/>
      <c r="G2278" s="1068" t="s">
        <v>383</v>
      </c>
      <c r="H2278" s="1069" t="s">
        <v>384</v>
      </c>
      <c r="I2278" s="1070"/>
      <c r="J2278" s="1071" t="e">
        <f>SUM(J2267:J2274)-J2277</f>
        <v>#N/A</v>
      </c>
    </row>
    <row r="2279" spans="1:15" ht="15.75" customHeight="1">
      <c r="A2279" s="1074"/>
      <c r="B2279" s="1075"/>
      <c r="C2279" s="1076"/>
      <c r="D2279" s="1077"/>
      <c r="E2279" s="1077"/>
      <c r="F2279" s="1078"/>
      <c r="G2279" s="1074"/>
      <c r="H2279" s="1075"/>
      <c r="I2279" s="1076"/>
      <c r="J2279" s="1077"/>
    </row>
    <row r="2281" spans="1:15" ht="127.5" customHeight="1">
      <c r="A2281" s="2243"/>
      <c r="B2281" s="2243"/>
      <c r="C2281" s="2243"/>
      <c r="D2281" s="2243"/>
      <c r="E2281" s="2243"/>
      <c r="F2281" s="2243"/>
      <c r="G2281" s="2243"/>
      <c r="H2281" s="2243"/>
      <c r="I2281" s="2243"/>
      <c r="J2281" s="2243"/>
    </row>
    <row r="2282" spans="1:15" ht="15" customHeight="1">
      <c r="A2282" s="2242" t="str">
        <f>$K$2</f>
        <v>THÁNG 04/2025</v>
      </c>
      <c r="B2282" s="2242"/>
      <c r="C2282" s="2242"/>
      <c r="D2282" s="2242"/>
      <c r="E2282" s="1050"/>
      <c r="F2282" s="1051"/>
      <c r="G2282" s="2242" t="str">
        <f>$K$2</f>
        <v>THÁNG 04/2025</v>
      </c>
      <c r="H2282" s="2242"/>
      <c r="I2282" s="2242"/>
      <c r="J2282" s="2242"/>
      <c r="K2282" s="624"/>
    </row>
    <row r="2283" spans="1:15" ht="15" customHeight="1">
      <c r="A2283" s="1052" t="s">
        <v>356</v>
      </c>
      <c r="B2283" s="1053" t="s">
        <v>170</v>
      </c>
      <c r="C2283" s="869"/>
      <c r="D2283" s="1049"/>
      <c r="E2283" s="1054"/>
      <c r="F2283" s="1055"/>
      <c r="G2283" s="1052" t="s">
        <v>356</v>
      </c>
      <c r="H2283" s="1053" t="s">
        <v>171</v>
      </c>
      <c r="I2283" s="869"/>
      <c r="J2283" s="1049"/>
      <c r="L2283" s="1088"/>
      <c r="M2283" s="1088"/>
      <c r="N2283" s="1088"/>
      <c r="O2283" s="1088"/>
    </row>
    <row r="2284" spans="1:15" ht="15" customHeight="1">
      <c r="A2284" s="1056" t="s">
        <v>359</v>
      </c>
      <c r="B2284" s="1057" t="s">
        <v>2662</v>
      </c>
      <c r="C2284" s="1058" t="e">
        <f>VLOOKUP(B2283,'LƯƠNG KT'!$D$15:$R$94,4,0)</f>
        <v>#N/A</v>
      </c>
      <c r="D2284" s="1059" t="e">
        <f>+C2284*25000</f>
        <v>#N/A</v>
      </c>
      <c r="E2284" s="1060"/>
      <c r="F2284" s="1060"/>
      <c r="G2284" s="1056" t="s">
        <v>359</v>
      </c>
      <c r="H2284" s="1057" t="s">
        <v>2662</v>
      </c>
      <c r="I2284" s="1058" t="e">
        <f>VLOOKUP(H2283,'LƯƠNG KT'!$D$15:$R$94,4,0)</f>
        <v>#N/A</v>
      </c>
      <c r="J2284" s="1059" t="e">
        <f>+I2284*25000</f>
        <v>#N/A</v>
      </c>
      <c r="K2284" s="1084"/>
      <c r="L2284" s="1085"/>
      <c r="M2284" s="1085"/>
      <c r="N2284" s="1085"/>
      <c r="O2284" s="1085"/>
    </row>
    <row r="2285" spans="1:15" ht="15" customHeight="1">
      <c r="A2285" s="1056" t="s">
        <v>361</v>
      </c>
      <c r="B2285" s="1057" t="s">
        <v>2663</v>
      </c>
      <c r="C2285" s="1058" t="e">
        <f>VLOOKUP(B2283,'LƯƠNG KT'!$D$15:$R$94,15,0)</f>
        <v>#N/A</v>
      </c>
      <c r="D2285" s="1059" t="e">
        <f>C2285*$L$4</f>
        <v>#N/A</v>
      </c>
      <c r="E2285" s="1061"/>
      <c r="F2285" s="1061"/>
      <c r="G2285" s="1056" t="s">
        <v>361</v>
      </c>
      <c r="H2285" s="1057" t="s">
        <v>2663</v>
      </c>
      <c r="I2285" s="1058" t="e">
        <f>VLOOKUP(H2283,'LƯƠNG KT'!$D$15:$R$94,15,0)</f>
        <v>#N/A</v>
      </c>
      <c r="J2285" s="1059" t="e">
        <f>I2285*$L$4</f>
        <v>#N/A</v>
      </c>
      <c r="K2285" s="1084"/>
      <c r="L2285" s="1085"/>
      <c r="M2285" s="1085"/>
      <c r="N2285" s="1085"/>
      <c r="O2285" s="1085"/>
    </row>
    <row r="2286" spans="1:15" ht="15" customHeight="1">
      <c r="A2286" s="1056" t="s">
        <v>364</v>
      </c>
      <c r="B2286" s="1057" t="s">
        <v>2664</v>
      </c>
      <c r="C2286" s="1058" t="e">
        <f>VLOOKUP(B2283,'LƯƠNG KT'!$D$15:$R$94,16,0)</f>
        <v>#N/A</v>
      </c>
      <c r="D2286" s="1059" t="e">
        <f>C2286*$L$5</f>
        <v>#N/A</v>
      </c>
      <c r="E2286" s="1061"/>
      <c r="F2286" s="1061"/>
      <c r="G2286" s="1056" t="s">
        <v>364</v>
      </c>
      <c r="H2286" s="1057" t="s">
        <v>2664</v>
      </c>
      <c r="I2286" s="1058" t="e">
        <f>VLOOKUP(H2283,'LƯƠNG KT'!$D$15:$R$94,16,0)</f>
        <v>#N/A</v>
      </c>
      <c r="J2286" s="1059" t="e">
        <f>I2286*$L$5</f>
        <v>#N/A</v>
      </c>
      <c r="K2286" s="1084"/>
      <c r="L2286" s="1085"/>
      <c r="M2286" s="1085"/>
      <c r="N2286" s="1085"/>
      <c r="O2286" s="1085"/>
    </row>
    <row r="2287" spans="1:15" ht="15" customHeight="1">
      <c r="A2287" s="1056" t="s">
        <v>370</v>
      </c>
      <c r="B2287" s="1057" t="s">
        <v>2665</v>
      </c>
      <c r="C2287" s="1058" t="e">
        <f>VLOOKUP(B2283,'LƯƠNG KT'!$D$15:$R$94,24,0)</f>
        <v>#N/A</v>
      </c>
      <c r="D2287" s="1059" t="e">
        <f>+C2287*$L$6</f>
        <v>#N/A</v>
      </c>
      <c r="E2287" s="1061"/>
      <c r="F2287" s="1061"/>
      <c r="G2287" s="1056" t="s">
        <v>370</v>
      </c>
      <c r="H2287" s="1057" t="s">
        <v>2665</v>
      </c>
      <c r="I2287" s="1058" t="e">
        <f>VLOOKUP(H2283,'LƯƠNG KT'!$D$15:$R$94,24,0)</f>
        <v>#N/A</v>
      </c>
      <c r="J2287" s="1059" t="e">
        <f>+I2287*$L$6</f>
        <v>#N/A</v>
      </c>
      <c r="K2287" s="1085"/>
      <c r="L2287" s="1085"/>
      <c r="M2287" s="1085"/>
      <c r="N2287" s="1085"/>
      <c r="O2287" s="1085"/>
    </row>
    <row r="2288" spans="1:15" ht="15" customHeight="1">
      <c r="A2288" s="1056" t="s">
        <v>2666</v>
      </c>
      <c r="B2288" s="1057" t="s">
        <v>2667</v>
      </c>
      <c r="C2288" s="1058" t="e">
        <f>VLOOKUP(B2283,'LƯƠNG KT'!$D$15:$R$94,19,0)</f>
        <v>#N/A</v>
      </c>
      <c r="D2288" s="1059" t="e">
        <f>+C2288*$L$8</f>
        <v>#N/A</v>
      </c>
      <c r="E2288" s="1061"/>
      <c r="F2288" s="1061"/>
      <c r="G2288" s="1056" t="s">
        <v>2666</v>
      </c>
      <c r="H2288" s="1057" t="s">
        <v>2667</v>
      </c>
      <c r="I2288" s="1058" t="e">
        <f>VLOOKUP(H2283,'LƯƠNG KT'!$D$15:$R$94,19,0)</f>
        <v>#N/A</v>
      </c>
      <c r="J2288" s="1059" t="e">
        <f>+I2288*$L$8</f>
        <v>#N/A</v>
      </c>
      <c r="K2288" s="1085"/>
      <c r="L2288" s="1085"/>
      <c r="M2288" s="1085"/>
      <c r="N2288" s="1085"/>
      <c r="O2288" s="1085"/>
    </row>
    <row r="2289" spans="1:15" ht="15" customHeight="1">
      <c r="A2289" s="1056" t="s">
        <v>2668</v>
      </c>
      <c r="B2289" s="1062" t="s">
        <v>2669</v>
      </c>
      <c r="C2289" s="1058" t="e">
        <f>VLOOKUP(B2283,'LƯƠNG KT'!$D$15:$R$94,20,0)</f>
        <v>#N/A</v>
      </c>
      <c r="D2289" s="1059" t="e">
        <f>+C2289*$L$9</f>
        <v>#N/A</v>
      </c>
      <c r="E2289" s="1061"/>
      <c r="F2289" s="1061"/>
      <c r="G2289" s="1056" t="s">
        <v>2668</v>
      </c>
      <c r="H2289" s="1062" t="s">
        <v>2669</v>
      </c>
      <c r="I2289" s="1058" t="e">
        <f>VLOOKUP(H2283,'LƯƠNG KT'!$D$15:$R$94,20,0)</f>
        <v>#N/A</v>
      </c>
      <c r="J2289" s="1059" t="e">
        <f>+I2289*$L$9</f>
        <v>#N/A</v>
      </c>
      <c r="K2289" s="1085"/>
      <c r="L2289" s="1085"/>
      <c r="M2289" s="1085"/>
      <c r="N2289" s="1085"/>
      <c r="O2289" s="1085"/>
    </row>
    <row r="2290" spans="1:15" ht="15" customHeight="1">
      <c r="A2290" s="1056" t="s">
        <v>2671</v>
      </c>
      <c r="B2290" s="1057" t="s">
        <v>2672</v>
      </c>
      <c r="C2290" s="1058" t="e">
        <f>VLOOKUP(B2283,'LƯƠNG KT'!$D$15:$R$94,17,0)</f>
        <v>#N/A</v>
      </c>
      <c r="D2290" s="1059" t="e">
        <f>+C2290*$L$10</f>
        <v>#N/A</v>
      </c>
      <c r="E2290" s="1061"/>
      <c r="F2290" s="1061"/>
      <c r="G2290" s="1056" t="s">
        <v>2671</v>
      </c>
      <c r="H2290" s="1057" t="s">
        <v>2672</v>
      </c>
      <c r="I2290" s="1058" t="e">
        <f>VLOOKUP(H2283,'LƯƠNG KT'!$D$15:$R$94,17,0)</f>
        <v>#N/A</v>
      </c>
      <c r="J2290" s="1059" t="e">
        <f>+I2290*$L$10</f>
        <v>#N/A</v>
      </c>
      <c r="K2290" s="1085"/>
      <c r="L2290" s="1085"/>
      <c r="M2290" s="1085"/>
      <c r="N2290" s="1085"/>
      <c r="O2290" s="1085"/>
    </row>
    <row r="2291" spans="1:15" ht="15" customHeight="1">
      <c r="A2291" s="1056" t="s">
        <v>374</v>
      </c>
      <c r="B2291" s="1057" t="s">
        <v>2674</v>
      </c>
      <c r="C2291" s="1058" t="e">
        <f>VLOOKUP(B2283,'LƯƠNG KT'!$D$15:$R$94,12,0)</f>
        <v>#N/A</v>
      </c>
      <c r="D2291" s="1059" t="e">
        <f>VLOOKUP(B2283,'LƯƠNG KT'!$D$15:$R$94,14,0)</f>
        <v>#N/A</v>
      </c>
      <c r="E2291" s="1063"/>
      <c r="F2291" s="1061"/>
      <c r="G2291" s="1056" t="s">
        <v>374</v>
      </c>
      <c r="H2291" s="1057" t="s">
        <v>2674</v>
      </c>
      <c r="I2291" s="1058" t="e">
        <f>VLOOKUP(H2283,'LƯƠNG KT'!$D$15:$R$94,12,0)</f>
        <v>#N/A</v>
      </c>
      <c r="J2291" s="1059" t="e">
        <f>VLOOKUP(H2283,'LƯƠNG KT'!$D$15:$R$94,14,0)</f>
        <v>#N/A</v>
      </c>
      <c r="K2291" s="1085"/>
      <c r="L2291" s="1085"/>
      <c r="M2291" s="1085"/>
      <c r="N2291" s="1085"/>
      <c r="O2291" s="1085"/>
    </row>
    <row r="2292" spans="1:15" ht="15" customHeight="1">
      <c r="A2292" s="1056" t="s">
        <v>2675</v>
      </c>
      <c r="B2292" s="1057" t="s">
        <v>2676</v>
      </c>
      <c r="D2292" s="1064" t="e">
        <f>VLOOKUP(B2283,'LƯƠNG KT'!$D$15:$R$94,13,0)</f>
        <v>#N/A</v>
      </c>
      <c r="E2292" s="1065"/>
      <c r="F2292" s="1065"/>
      <c r="G2292" s="1056" t="s">
        <v>2675</v>
      </c>
      <c r="H2292" s="1057" t="s">
        <v>2676</v>
      </c>
      <c r="J2292" s="1064" t="e">
        <f>VLOOKUP(H2283,'LƯƠNG KT'!$D$15:$R$94,13,0)</f>
        <v>#N/A</v>
      </c>
    </row>
    <row r="2293" spans="1:15" ht="15" customHeight="1">
      <c r="A2293" s="1066"/>
      <c r="B2293" s="869"/>
      <c r="C2293" s="1058"/>
      <c r="D2293" s="1059"/>
      <c r="E2293" s="1063"/>
      <c r="F2293" s="1065"/>
      <c r="G2293" s="1066"/>
      <c r="H2293" s="869"/>
      <c r="I2293" s="1058"/>
      <c r="J2293" s="1059"/>
    </row>
    <row r="2294" spans="1:15" ht="15" customHeight="1">
      <c r="A2294" s="1052"/>
      <c r="B2294" s="869"/>
      <c r="C2294" s="1058"/>
      <c r="D2294" s="1059"/>
      <c r="E2294" s="1067"/>
      <c r="F2294" s="1051"/>
      <c r="G2294" s="1052"/>
      <c r="H2294" s="869"/>
      <c r="I2294" s="1058"/>
      <c r="J2294" s="1059"/>
    </row>
    <row r="2295" spans="1:15" ht="15" customHeight="1">
      <c r="A2295" s="1068" t="s">
        <v>383</v>
      </c>
      <c r="B2295" s="1069" t="s">
        <v>384</v>
      </c>
      <c r="C2295" s="1070"/>
      <c r="D2295" s="1071" t="e">
        <f>SUM(D2284:D2291)-D2294</f>
        <v>#N/A</v>
      </c>
      <c r="E2295" s="1072"/>
      <c r="F2295" s="1073"/>
      <c r="G2295" s="1068" t="s">
        <v>383</v>
      </c>
      <c r="H2295" s="1069" t="s">
        <v>384</v>
      </c>
      <c r="I2295" s="1070"/>
      <c r="J2295" s="1071" t="e">
        <f>SUM(J2284:J2291)-J2294</f>
        <v>#N/A</v>
      </c>
    </row>
    <row r="2296" spans="1:15" ht="12.6" customHeight="1">
      <c r="A2296" s="1074"/>
      <c r="B2296" s="1075"/>
      <c r="C2296" s="1076"/>
      <c r="D2296" s="1077"/>
      <c r="E2296" s="1077"/>
      <c r="F2296" s="1078"/>
      <c r="G2296" s="1074"/>
      <c r="H2296" s="1075"/>
      <c r="I2296" s="1076"/>
      <c r="J2296" s="1077"/>
    </row>
    <row r="2297" spans="1:15" ht="12.6" customHeight="1">
      <c r="A2297" s="1075"/>
      <c r="B2297" s="1075"/>
      <c r="C2297" s="1079"/>
      <c r="D2297" s="1080"/>
      <c r="E2297" s="1075"/>
      <c r="F2297" s="1081"/>
      <c r="G2297" s="1075"/>
      <c r="H2297" s="1075"/>
      <c r="I2297" s="1079"/>
      <c r="J2297" s="1080"/>
    </row>
    <row r="2298" spans="1:15" ht="15" customHeight="1">
      <c r="A2298" s="2242" t="str">
        <f>$K$2</f>
        <v>THÁNG 04/2025</v>
      </c>
      <c r="B2298" s="2242"/>
      <c r="C2298" s="2242"/>
      <c r="D2298" s="2242"/>
      <c r="E2298" s="1050"/>
      <c r="F2298" s="1051"/>
      <c r="G2298" s="2242" t="str">
        <f>$K$2</f>
        <v>THÁNG 04/2025</v>
      </c>
      <c r="H2298" s="2242"/>
      <c r="I2298" s="2242"/>
      <c r="J2298" s="2242"/>
      <c r="K2298" s="624"/>
    </row>
    <row r="2299" spans="1:15" ht="15" customHeight="1">
      <c r="A2299" s="1052" t="s">
        <v>356</v>
      </c>
      <c r="B2299" s="1053" t="s">
        <v>172</v>
      </c>
      <c r="C2299" s="869"/>
      <c r="D2299" s="1049"/>
      <c r="E2299" s="1054"/>
      <c r="F2299" s="1055"/>
      <c r="G2299" s="1052" t="s">
        <v>356</v>
      </c>
      <c r="H2299" s="1053" t="s">
        <v>173</v>
      </c>
      <c r="I2299" s="869"/>
      <c r="J2299" s="1049"/>
      <c r="L2299" s="1088"/>
      <c r="M2299" s="1088"/>
      <c r="N2299" s="1088"/>
      <c r="O2299" s="1088"/>
    </row>
    <row r="2300" spans="1:15" ht="15" customHeight="1">
      <c r="A2300" s="1056" t="s">
        <v>359</v>
      </c>
      <c r="B2300" s="1057" t="s">
        <v>2662</v>
      </c>
      <c r="C2300" s="1058" t="e">
        <f>VLOOKUP(B2299,'LƯƠNG KT'!$D$15:$R$94,4,0)</f>
        <v>#N/A</v>
      </c>
      <c r="D2300" s="1059" t="e">
        <f>+C2300*25000</f>
        <v>#N/A</v>
      </c>
      <c r="E2300" s="1060"/>
      <c r="F2300" s="1060"/>
      <c r="G2300" s="1056" t="s">
        <v>359</v>
      </c>
      <c r="H2300" s="1057" t="s">
        <v>2662</v>
      </c>
      <c r="I2300" s="1058" t="e">
        <f>VLOOKUP(H2299,'LƯƠNG KT'!$D$15:$R$94,4,0)</f>
        <v>#N/A</v>
      </c>
      <c r="J2300" s="1059" t="e">
        <f>+I2300*25000</f>
        <v>#N/A</v>
      </c>
      <c r="K2300" s="1085"/>
      <c r="L2300" s="1085"/>
      <c r="M2300" s="1085"/>
      <c r="N2300" s="1085"/>
      <c r="O2300" s="1085"/>
    </row>
    <row r="2301" spans="1:15" ht="15" customHeight="1">
      <c r="A2301" s="1056" t="s">
        <v>361</v>
      </c>
      <c r="B2301" s="1057" t="s">
        <v>2663</v>
      </c>
      <c r="C2301" s="1058" t="e">
        <f>VLOOKUP(B2299,'LƯƠNG KT'!$D$15:$R$94,15,0)</f>
        <v>#N/A</v>
      </c>
      <c r="D2301" s="1059" t="e">
        <f>C2301*$L$4</f>
        <v>#N/A</v>
      </c>
      <c r="E2301" s="1061"/>
      <c r="F2301" s="1061"/>
      <c r="G2301" s="1056" t="s">
        <v>361</v>
      </c>
      <c r="H2301" s="1057" t="s">
        <v>2663</v>
      </c>
      <c r="I2301" s="1058" t="e">
        <f>VLOOKUP(H2299,'LƯƠNG KT'!$D$15:$R$94,15,0)</f>
        <v>#N/A</v>
      </c>
      <c r="J2301" s="1059" t="e">
        <f>I2301*$L$4</f>
        <v>#N/A</v>
      </c>
      <c r="K2301" s="1085"/>
      <c r="L2301" s="1085"/>
      <c r="M2301" s="1085"/>
      <c r="N2301" s="1085"/>
      <c r="O2301" s="1085"/>
    </row>
    <row r="2302" spans="1:15" ht="15" customHeight="1">
      <c r="A2302" s="1056" t="s">
        <v>364</v>
      </c>
      <c r="B2302" s="1057" t="s">
        <v>2664</v>
      </c>
      <c r="C2302" s="1058" t="e">
        <f>VLOOKUP(B2299,'LƯƠNG KT'!$D$15:$R$94,16,0)</f>
        <v>#N/A</v>
      </c>
      <c r="D2302" s="1059" t="e">
        <f>C2302*$L$5</f>
        <v>#N/A</v>
      </c>
      <c r="E2302" s="1061"/>
      <c r="F2302" s="1061"/>
      <c r="G2302" s="1056" t="s">
        <v>364</v>
      </c>
      <c r="H2302" s="1057" t="s">
        <v>2664</v>
      </c>
      <c r="I2302" s="1058" t="e">
        <f>VLOOKUP(H2299,'LƯƠNG KT'!$D$15:$R$94,16,0)</f>
        <v>#N/A</v>
      </c>
      <c r="J2302" s="1059" t="e">
        <f>I2302*$L$5</f>
        <v>#N/A</v>
      </c>
      <c r="K2302" s="1085"/>
      <c r="L2302" s="1085"/>
      <c r="M2302" s="1085"/>
      <c r="N2302" s="1085"/>
      <c r="O2302" s="1085"/>
    </row>
    <row r="2303" spans="1:15" ht="15" customHeight="1">
      <c r="A2303" s="1056" t="s">
        <v>370</v>
      </c>
      <c r="B2303" s="1057" t="s">
        <v>2665</v>
      </c>
      <c r="C2303" s="1058" t="e">
        <f>VLOOKUP(B2299,'LƯƠNG KT'!$D$15:$R$94,24,0)</f>
        <v>#N/A</v>
      </c>
      <c r="D2303" s="1059" t="e">
        <f>+C2303*$L$6</f>
        <v>#N/A</v>
      </c>
      <c r="E2303" s="1061"/>
      <c r="F2303" s="1061"/>
      <c r="G2303" s="1056" t="s">
        <v>370</v>
      </c>
      <c r="H2303" s="1057" t="s">
        <v>2665</v>
      </c>
      <c r="I2303" s="1058" t="e">
        <f>VLOOKUP(H2299,'LƯƠNG KT'!$D$15:$R$94,24,0)</f>
        <v>#N/A</v>
      </c>
      <c r="J2303" s="1059" t="e">
        <f>+I2303*$L$6</f>
        <v>#N/A</v>
      </c>
      <c r="K2303" s="1085"/>
      <c r="L2303" s="1085"/>
      <c r="M2303" s="1085"/>
      <c r="N2303" s="1085"/>
      <c r="O2303" s="1085"/>
    </row>
    <row r="2304" spans="1:15" ht="15" customHeight="1">
      <c r="A2304" s="1056" t="s">
        <v>2666</v>
      </c>
      <c r="B2304" s="1057" t="s">
        <v>2667</v>
      </c>
      <c r="C2304" s="1058" t="e">
        <f>VLOOKUP(B2299,'LƯƠNG KT'!$D$15:$R$94,19,0)</f>
        <v>#N/A</v>
      </c>
      <c r="D2304" s="1059" t="e">
        <f>+C2304*$L$8</f>
        <v>#N/A</v>
      </c>
      <c r="E2304" s="1061"/>
      <c r="F2304" s="1061"/>
      <c r="G2304" s="1056" t="s">
        <v>2666</v>
      </c>
      <c r="H2304" s="1057" t="s">
        <v>2667</v>
      </c>
      <c r="I2304" s="1058" t="e">
        <f>VLOOKUP(H2299,'LƯƠNG KT'!$D$15:$R$94,19,0)</f>
        <v>#N/A</v>
      </c>
      <c r="J2304" s="1059" t="e">
        <f>+I2304*$L$8</f>
        <v>#N/A</v>
      </c>
      <c r="K2304" s="1085"/>
      <c r="L2304" s="1085"/>
      <c r="M2304" s="1085"/>
      <c r="N2304" s="1085"/>
      <c r="O2304" s="1085"/>
    </row>
    <row r="2305" spans="1:15" ht="15" customHeight="1">
      <c r="A2305" s="1056" t="s">
        <v>2668</v>
      </c>
      <c r="B2305" s="1062" t="s">
        <v>2669</v>
      </c>
      <c r="C2305" s="1058" t="e">
        <f>VLOOKUP(B2299,'LƯƠNG KT'!$D$15:$R$94,20,0)</f>
        <v>#N/A</v>
      </c>
      <c r="D2305" s="1059" t="e">
        <f>+C2305*$L$9</f>
        <v>#N/A</v>
      </c>
      <c r="E2305" s="1061"/>
      <c r="F2305" s="1061"/>
      <c r="G2305" s="1056" t="s">
        <v>2668</v>
      </c>
      <c r="H2305" s="1062" t="s">
        <v>2669</v>
      </c>
      <c r="I2305" s="1058" t="e">
        <f>VLOOKUP(H2299,'LƯƠNG KT'!$D$15:$R$94,20,0)</f>
        <v>#N/A</v>
      </c>
      <c r="J2305" s="1059" t="e">
        <f>+I2305*$L$9</f>
        <v>#N/A</v>
      </c>
      <c r="K2305" s="1085"/>
      <c r="L2305" s="1085"/>
      <c r="M2305" s="1085"/>
      <c r="N2305" s="1085"/>
      <c r="O2305" s="1085"/>
    </row>
    <row r="2306" spans="1:15" ht="15" customHeight="1">
      <c r="A2306" s="1056" t="s">
        <v>2671</v>
      </c>
      <c r="B2306" s="1057" t="s">
        <v>2672</v>
      </c>
      <c r="C2306" s="1058" t="e">
        <f>VLOOKUP(B2299,'LƯƠNG KT'!$D$15:$R$94,17,0)</f>
        <v>#N/A</v>
      </c>
      <c r="D2306" s="1059" t="e">
        <f>+C2306*$L$10</f>
        <v>#N/A</v>
      </c>
      <c r="E2306" s="1061"/>
      <c r="F2306" s="1061"/>
      <c r="G2306" s="1056" t="s">
        <v>2671</v>
      </c>
      <c r="H2306" s="1057" t="s">
        <v>2672</v>
      </c>
      <c r="I2306" s="1058" t="e">
        <f>VLOOKUP(H2299,'LƯƠNG KT'!$D$15:$R$94,17,0)</f>
        <v>#N/A</v>
      </c>
      <c r="J2306" s="1059" t="e">
        <f>+I2306*$L$10</f>
        <v>#N/A</v>
      </c>
      <c r="K2306" s="1085"/>
      <c r="L2306" s="1085"/>
      <c r="M2306" s="1085"/>
      <c r="N2306" s="1085"/>
      <c r="O2306" s="1085"/>
    </row>
    <row r="2307" spans="1:15" ht="15" customHeight="1">
      <c r="A2307" s="1056" t="s">
        <v>374</v>
      </c>
      <c r="B2307" s="1057" t="s">
        <v>2674</v>
      </c>
      <c r="C2307" s="1058" t="e">
        <f>VLOOKUP(B2299,'LƯƠNG KT'!$D$15:$R$94,12,0)</f>
        <v>#N/A</v>
      </c>
      <c r="D2307" s="1059" t="e">
        <f>VLOOKUP(B2299,'LƯƠNG KT'!$D$15:$R$94,14,0)</f>
        <v>#N/A</v>
      </c>
      <c r="E2307" s="1063"/>
      <c r="F2307" s="1061"/>
      <c r="G2307" s="1056" t="s">
        <v>374</v>
      </c>
      <c r="H2307" s="1057" t="s">
        <v>2674</v>
      </c>
      <c r="I2307" s="1058" t="e">
        <f>VLOOKUP(H2299,'LƯƠNG KT'!$D$15:$R$94,12,0)</f>
        <v>#N/A</v>
      </c>
      <c r="J2307" s="1059" t="e">
        <f>VLOOKUP(H2299,'LƯƠNG KT'!$D$15:$R$94,14,0)</f>
        <v>#N/A</v>
      </c>
      <c r="K2307" s="1085"/>
      <c r="L2307" s="1085"/>
      <c r="M2307" s="1085"/>
      <c r="N2307" s="1085"/>
      <c r="O2307" s="1085"/>
    </row>
    <row r="2308" spans="1:15" ht="15" customHeight="1">
      <c r="A2308" s="1056" t="s">
        <v>2675</v>
      </c>
      <c r="B2308" s="1057" t="s">
        <v>2676</v>
      </c>
      <c r="D2308" s="1064" t="e">
        <f>VLOOKUP(B2299,'LƯƠNG KT'!$D$15:$R$94,13,0)</f>
        <v>#N/A</v>
      </c>
      <c r="E2308" s="1065"/>
      <c r="F2308" s="1065"/>
      <c r="G2308" s="1056" t="s">
        <v>2675</v>
      </c>
      <c r="H2308" s="1057" t="s">
        <v>2676</v>
      </c>
      <c r="J2308" s="1064" t="e">
        <f>VLOOKUP(H2299,'LƯƠNG KT'!$D$15:$R$94,13,0)</f>
        <v>#N/A</v>
      </c>
    </row>
    <row r="2309" spans="1:15" ht="15" customHeight="1">
      <c r="A2309" s="1066"/>
      <c r="B2309" s="869"/>
      <c r="C2309" s="1058"/>
      <c r="D2309" s="1059"/>
      <c r="E2309" s="1063"/>
      <c r="F2309" s="1065"/>
      <c r="G2309" s="1066"/>
      <c r="H2309" s="869"/>
      <c r="I2309" s="1058"/>
      <c r="J2309" s="1059"/>
    </row>
    <row r="2310" spans="1:15" ht="15" customHeight="1">
      <c r="A2310" s="1052"/>
      <c r="B2310" s="869"/>
      <c r="C2310" s="1058"/>
      <c r="D2310" s="1059"/>
      <c r="E2310" s="1067"/>
      <c r="F2310" s="1051"/>
      <c r="G2310" s="1052"/>
      <c r="H2310" s="869"/>
      <c r="I2310" s="1058"/>
      <c r="J2310" s="1059"/>
    </row>
    <row r="2311" spans="1:15" ht="15" customHeight="1">
      <c r="A2311" s="1068" t="s">
        <v>383</v>
      </c>
      <c r="B2311" s="1069" t="s">
        <v>384</v>
      </c>
      <c r="C2311" s="1070"/>
      <c r="D2311" s="1071" t="e">
        <f>SUM(D2300:D2307)-D2310</f>
        <v>#N/A</v>
      </c>
      <c r="E2311" s="1072"/>
      <c r="F2311" s="1073"/>
      <c r="G2311" s="1068" t="s">
        <v>383</v>
      </c>
      <c r="H2311" s="1069" t="s">
        <v>384</v>
      </c>
      <c r="I2311" s="1070"/>
      <c r="J2311" s="1071" t="e">
        <f>SUM(J2300:J2307)-J2310</f>
        <v>#N/A</v>
      </c>
    </row>
    <row r="2312" spans="1:15" ht="18.75" customHeight="1">
      <c r="A2312" s="1074"/>
      <c r="B2312" s="1075"/>
      <c r="C2312" s="1076"/>
      <c r="D2312" s="1077"/>
      <c r="E2312" s="1077"/>
      <c r="F2312" s="1078"/>
      <c r="G2312" s="1074"/>
      <c r="H2312" s="1075"/>
      <c r="I2312" s="1076"/>
      <c r="J2312" s="1077"/>
    </row>
    <row r="2313" spans="1:15" ht="18.75" customHeight="1">
      <c r="A2313" s="1075"/>
      <c r="B2313" s="1075"/>
      <c r="C2313" s="1079"/>
      <c r="D2313" s="1080"/>
      <c r="E2313" s="1075"/>
      <c r="F2313" s="1081"/>
      <c r="G2313" s="1075"/>
      <c r="H2313" s="1075"/>
      <c r="I2313" s="1079"/>
      <c r="J2313" s="1080"/>
    </row>
    <row r="2314" spans="1:15" ht="15" customHeight="1">
      <c r="A2314" s="2242" t="str">
        <f>$K$2</f>
        <v>THÁNG 04/2025</v>
      </c>
      <c r="B2314" s="2242"/>
      <c r="C2314" s="2242"/>
      <c r="D2314" s="2242"/>
      <c r="E2314" s="1050"/>
      <c r="F2314" s="1051"/>
      <c r="G2314" s="2242" t="str">
        <f>$K$2</f>
        <v>THÁNG 04/2025</v>
      </c>
      <c r="H2314" s="2242"/>
      <c r="I2314" s="2242"/>
      <c r="J2314" s="2242"/>
      <c r="K2314" s="624"/>
    </row>
    <row r="2315" spans="1:15" ht="15" customHeight="1">
      <c r="A2315" s="1052" t="s">
        <v>356</v>
      </c>
      <c r="B2315" s="1053" t="s">
        <v>174</v>
      </c>
      <c r="C2315" s="869"/>
      <c r="D2315" s="1049"/>
      <c r="E2315" s="1054"/>
      <c r="F2315" s="1055"/>
      <c r="G2315" s="1052" t="s">
        <v>356</v>
      </c>
      <c r="H2315" s="1053" t="s">
        <v>175</v>
      </c>
      <c r="I2315" s="869"/>
      <c r="J2315" s="1049"/>
      <c r="L2315" s="1088"/>
      <c r="M2315" s="1088"/>
      <c r="N2315" s="1088"/>
      <c r="O2315" s="1088"/>
    </row>
    <row r="2316" spans="1:15" ht="15" customHeight="1">
      <c r="A2316" s="1056" t="s">
        <v>359</v>
      </c>
      <c r="B2316" s="1057" t="s">
        <v>2662</v>
      </c>
      <c r="C2316" s="1058" t="e">
        <f>VLOOKUP(B2315,'LƯƠNG KT'!$D$15:$R$94,4,0)</f>
        <v>#N/A</v>
      </c>
      <c r="D2316" s="1059" t="e">
        <f>+C2316*25000</f>
        <v>#N/A</v>
      </c>
      <c r="E2316" s="1060"/>
      <c r="F2316" s="1060"/>
      <c r="G2316" s="1056" t="s">
        <v>359</v>
      </c>
      <c r="H2316" s="1057" t="s">
        <v>2662</v>
      </c>
      <c r="I2316" s="1058" t="e">
        <f>VLOOKUP(H2315,'LƯƠNG KT'!$D$15:$R$94,4,0)</f>
        <v>#N/A</v>
      </c>
      <c r="J2316" s="1059" t="e">
        <f>+I2316*25000</f>
        <v>#N/A</v>
      </c>
      <c r="K2316" s="1085"/>
      <c r="L2316" s="1085"/>
      <c r="M2316" s="1085"/>
      <c r="N2316" s="1085"/>
      <c r="O2316" s="1085"/>
    </row>
    <row r="2317" spans="1:15" ht="15" customHeight="1">
      <c r="A2317" s="1056" t="s">
        <v>361</v>
      </c>
      <c r="B2317" s="1057" t="s">
        <v>2663</v>
      </c>
      <c r="C2317" s="1058" t="e">
        <f>VLOOKUP(B2315,'LƯƠNG KT'!$D$15:$R$94,15,0)</f>
        <v>#N/A</v>
      </c>
      <c r="D2317" s="1059" t="e">
        <f>C2317*$L$4</f>
        <v>#N/A</v>
      </c>
      <c r="E2317" s="1061"/>
      <c r="F2317" s="1061"/>
      <c r="G2317" s="1056" t="s">
        <v>361</v>
      </c>
      <c r="H2317" s="1057" t="s">
        <v>2663</v>
      </c>
      <c r="I2317" s="1058" t="e">
        <f>VLOOKUP(H2315,'LƯƠNG KT'!$D$15:$R$94,15,0)</f>
        <v>#N/A</v>
      </c>
      <c r="J2317" s="1059" t="e">
        <f>I2317*$L$4</f>
        <v>#N/A</v>
      </c>
      <c r="K2317" s="1085"/>
      <c r="L2317" s="1085"/>
      <c r="M2317" s="1085"/>
      <c r="N2317" s="1085"/>
      <c r="O2317" s="1085"/>
    </row>
    <row r="2318" spans="1:15" ht="15" customHeight="1">
      <c r="A2318" s="1056" t="s">
        <v>364</v>
      </c>
      <c r="B2318" s="1057" t="s">
        <v>2664</v>
      </c>
      <c r="C2318" s="1058" t="e">
        <f>VLOOKUP(B2315,'LƯƠNG KT'!$D$15:$R$94,16,0)</f>
        <v>#N/A</v>
      </c>
      <c r="D2318" s="1059" t="e">
        <f>C2318*$L$5</f>
        <v>#N/A</v>
      </c>
      <c r="E2318" s="1061"/>
      <c r="F2318" s="1061"/>
      <c r="G2318" s="1056" t="s">
        <v>364</v>
      </c>
      <c r="H2318" s="1057" t="s">
        <v>2664</v>
      </c>
      <c r="I2318" s="1058" t="e">
        <f>VLOOKUP(H2315,'LƯƠNG KT'!$D$15:$R$94,16,0)</f>
        <v>#N/A</v>
      </c>
      <c r="J2318" s="1059" t="e">
        <f>I2318*$L$5</f>
        <v>#N/A</v>
      </c>
      <c r="K2318" s="1085"/>
      <c r="L2318" s="1085"/>
      <c r="M2318" s="1085"/>
      <c r="N2318" s="1085"/>
      <c r="O2318" s="1085"/>
    </row>
    <row r="2319" spans="1:15" ht="15" customHeight="1">
      <c r="A2319" s="1056" t="s">
        <v>370</v>
      </c>
      <c r="B2319" s="1057" t="s">
        <v>2665</v>
      </c>
      <c r="C2319" s="1058" t="e">
        <f>VLOOKUP(B2315,'LƯƠNG KT'!$D$15:$R$94,24,0)</f>
        <v>#N/A</v>
      </c>
      <c r="D2319" s="1059" t="e">
        <f>+C2319*$L$6</f>
        <v>#N/A</v>
      </c>
      <c r="E2319" s="1061"/>
      <c r="F2319" s="1061"/>
      <c r="G2319" s="1056" t="s">
        <v>370</v>
      </c>
      <c r="H2319" s="1057" t="s">
        <v>2665</v>
      </c>
      <c r="I2319" s="1058" t="e">
        <f>VLOOKUP(H2315,'LƯƠNG KT'!$D$15:$R$94,24,0)</f>
        <v>#N/A</v>
      </c>
      <c r="J2319" s="1059" t="e">
        <f>+I2319*$L$6</f>
        <v>#N/A</v>
      </c>
      <c r="K2319" s="1085"/>
      <c r="L2319" s="1085"/>
      <c r="M2319" s="1085"/>
      <c r="N2319" s="1085"/>
      <c r="O2319" s="1085"/>
    </row>
    <row r="2320" spans="1:15" ht="15" customHeight="1">
      <c r="A2320" s="1056" t="s">
        <v>2666</v>
      </c>
      <c r="B2320" s="1057" t="s">
        <v>2667</v>
      </c>
      <c r="C2320" s="1058" t="e">
        <f>VLOOKUP(B2315,'LƯƠNG KT'!$D$15:$R$94,19,0)</f>
        <v>#N/A</v>
      </c>
      <c r="D2320" s="1059" t="e">
        <f>+C2320*$L$8</f>
        <v>#N/A</v>
      </c>
      <c r="E2320" s="1061"/>
      <c r="F2320" s="1061"/>
      <c r="G2320" s="1056" t="s">
        <v>2666</v>
      </c>
      <c r="H2320" s="1057" t="s">
        <v>2667</v>
      </c>
      <c r="I2320" s="1058" t="e">
        <f>VLOOKUP(H2315,'LƯƠNG KT'!$D$15:$R$94,19,0)</f>
        <v>#N/A</v>
      </c>
      <c r="J2320" s="1059" t="e">
        <f>+I2320*$L$8</f>
        <v>#N/A</v>
      </c>
      <c r="K2320" s="1085"/>
      <c r="L2320" s="1085"/>
      <c r="M2320" s="1085"/>
      <c r="N2320" s="1085"/>
      <c r="O2320" s="1085"/>
    </row>
    <row r="2321" spans="1:15" ht="15" customHeight="1">
      <c r="A2321" s="1056" t="s">
        <v>2668</v>
      </c>
      <c r="B2321" s="1062" t="s">
        <v>2669</v>
      </c>
      <c r="C2321" s="1058" t="e">
        <f>VLOOKUP(B2315,'LƯƠNG KT'!$D$15:$R$94,20,0)</f>
        <v>#N/A</v>
      </c>
      <c r="D2321" s="1059" t="e">
        <f>+C2321*$L$9</f>
        <v>#N/A</v>
      </c>
      <c r="E2321" s="1061"/>
      <c r="F2321" s="1061"/>
      <c r="G2321" s="1056" t="s">
        <v>2668</v>
      </c>
      <c r="H2321" s="1062" t="s">
        <v>2669</v>
      </c>
      <c r="I2321" s="1058" t="e">
        <f>VLOOKUP(H2315,'LƯƠNG KT'!$D$15:$R$94,20,0)</f>
        <v>#N/A</v>
      </c>
      <c r="J2321" s="1059" t="e">
        <f>+I2321*$L$9</f>
        <v>#N/A</v>
      </c>
      <c r="K2321" s="1085"/>
      <c r="L2321" s="1085"/>
      <c r="M2321" s="1085"/>
      <c r="N2321" s="1085"/>
      <c r="O2321" s="1085"/>
    </row>
    <row r="2322" spans="1:15" ht="15" customHeight="1">
      <c r="A2322" s="1056" t="s">
        <v>2671</v>
      </c>
      <c r="B2322" s="1057" t="s">
        <v>2672</v>
      </c>
      <c r="C2322" s="1058" t="e">
        <f>VLOOKUP(B2315,'LƯƠNG KT'!$D$15:$R$94,17,0)</f>
        <v>#N/A</v>
      </c>
      <c r="D2322" s="1059" t="e">
        <f>+C2322*$L$10</f>
        <v>#N/A</v>
      </c>
      <c r="E2322" s="1061"/>
      <c r="F2322" s="1061"/>
      <c r="G2322" s="1056" t="s">
        <v>2671</v>
      </c>
      <c r="H2322" s="1057" t="s">
        <v>2672</v>
      </c>
      <c r="I2322" s="1058" t="e">
        <f>VLOOKUP(H2315,'LƯƠNG KT'!$D$15:$R$94,17,0)</f>
        <v>#N/A</v>
      </c>
      <c r="J2322" s="1059" t="e">
        <f>+I2322*$L$10</f>
        <v>#N/A</v>
      </c>
      <c r="K2322" s="1085"/>
      <c r="L2322" s="1085"/>
      <c r="M2322" s="1085"/>
      <c r="N2322" s="1085"/>
      <c r="O2322" s="1085"/>
    </row>
    <row r="2323" spans="1:15" ht="15" customHeight="1">
      <c r="A2323" s="1056" t="s">
        <v>374</v>
      </c>
      <c r="B2323" s="1057" t="s">
        <v>2674</v>
      </c>
      <c r="C2323" s="1058" t="e">
        <f>VLOOKUP(B2315,'LƯƠNG KT'!$D$15:$R$94,12,0)</f>
        <v>#N/A</v>
      </c>
      <c r="D2323" s="1059" t="e">
        <f>VLOOKUP(B2315,'LƯƠNG KT'!$D$15:$R$94,14,0)</f>
        <v>#N/A</v>
      </c>
      <c r="E2323" s="1063"/>
      <c r="F2323" s="1061"/>
      <c r="G2323" s="1056" t="s">
        <v>374</v>
      </c>
      <c r="H2323" s="1057" t="s">
        <v>2674</v>
      </c>
      <c r="I2323" s="1058" t="e">
        <f>VLOOKUP(H2315,'LƯƠNG KT'!$D$15:$R$94,12,0)</f>
        <v>#N/A</v>
      </c>
      <c r="J2323" s="1059" t="e">
        <f>VLOOKUP(H2315,'LƯƠNG KT'!$D$15:$R$94,14,0)</f>
        <v>#N/A</v>
      </c>
      <c r="K2323" s="1085"/>
      <c r="L2323" s="1085"/>
      <c r="M2323" s="1085"/>
      <c r="N2323" s="1085"/>
      <c r="O2323" s="1085"/>
    </row>
    <row r="2324" spans="1:15" ht="15" customHeight="1">
      <c r="A2324" s="1056" t="s">
        <v>2675</v>
      </c>
      <c r="B2324" s="1057" t="s">
        <v>2676</v>
      </c>
      <c r="D2324" s="1064" t="e">
        <f>VLOOKUP(B2315,'LƯƠNG KT'!$D$15:$R$94,13,0)</f>
        <v>#N/A</v>
      </c>
      <c r="E2324" s="1065"/>
      <c r="F2324" s="1065"/>
      <c r="G2324" s="1056" t="s">
        <v>2675</v>
      </c>
      <c r="H2324" s="1057" t="s">
        <v>2676</v>
      </c>
      <c r="J2324" s="1064" t="e">
        <f>VLOOKUP(H2315,'LƯƠNG KT'!$D$15:$R$94,13,0)</f>
        <v>#N/A</v>
      </c>
    </row>
    <row r="2325" spans="1:15" ht="15" customHeight="1">
      <c r="A2325" s="1066"/>
      <c r="B2325" s="869"/>
      <c r="C2325" s="1058"/>
      <c r="D2325" s="1059"/>
      <c r="E2325" s="1063"/>
      <c r="F2325" s="1065"/>
      <c r="G2325" s="1066"/>
      <c r="H2325" s="869"/>
      <c r="I2325" s="1058"/>
      <c r="J2325" s="1059"/>
    </row>
    <row r="2326" spans="1:15" ht="15" customHeight="1">
      <c r="A2326" s="1052"/>
      <c r="B2326" s="869"/>
      <c r="C2326" s="1058"/>
      <c r="D2326" s="1059"/>
      <c r="E2326" s="1067"/>
      <c r="F2326" s="1051"/>
      <c r="G2326" s="1052"/>
      <c r="H2326" s="869"/>
      <c r="I2326" s="1058"/>
      <c r="J2326" s="1059"/>
    </row>
    <row r="2327" spans="1:15" ht="15" customHeight="1">
      <c r="A2327" s="1068" t="s">
        <v>383</v>
      </c>
      <c r="B2327" s="1069" t="s">
        <v>384</v>
      </c>
      <c r="C2327" s="1070"/>
      <c r="D2327" s="1071" t="e">
        <f>SUM(D2316:D2323)-D2326</f>
        <v>#N/A</v>
      </c>
      <c r="E2327" s="1072"/>
      <c r="F2327" s="1073"/>
      <c r="G2327" s="1068" t="s">
        <v>383</v>
      </c>
      <c r="H2327" s="1069" t="s">
        <v>384</v>
      </c>
      <c r="I2327" s="1070"/>
      <c r="J2327" s="1071" t="e">
        <f>SUM(J2316:J2323)-J2326</f>
        <v>#N/A</v>
      </c>
    </row>
    <row r="2328" spans="1:15" ht="18.75" customHeight="1">
      <c r="A2328" s="1074"/>
      <c r="B2328" s="1075"/>
      <c r="C2328" s="1076"/>
      <c r="D2328" s="1077"/>
      <c r="E2328" s="1077"/>
      <c r="F2328" s="1078"/>
      <c r="G2328" s="1074"/>
      <c r="H2328" s="1075"/>
      <c r="I2328" s="1076"/>
      <c r="J2328" s="1077"/>
    </row>
    <row r="2329" spans="1:15" ht="127.5" customHeight="1">
      <c r="A2329" s="1075"/>
      <c r="B2329" s="1075"/>
      <c r="C2329" s="1079"/>
      <c r="D2329" s="1080"/>
      <c r="E2329" s="1075"/>
      <c r="F2329" s="1081"/>
      <c r="G2329" s="1075"/>
      <c r="H2329" s="1075"/>
      <c r="I2329" s="1079"/>
      <c r="J2329" s="1080"/>
    </row>
    <row r="2330" spans="1:15" ht="15" customHeight="1">
      <c r="A2330" s="2242" t="str">
        <f>$K$2</f>
        <v>THÁNG 04/2025</v>
      </c>
      <c r="B2330" s="2242"/>
      <c r="C2330" s="2242"/>
      <c r="D2330" s="2242"/>
      <c r="E2330" s="1050"/>
      <c r="F2330" s="1051"/>
      <c r="G2330" s="2242" t="str">
        <f>$K$2</f>
        <v>THÁNG 04/2025</v>
      </c>
      <c r="H2330" s="2242"/>
      <c r="I2330" s="2242"/>
      <c r="J2330" s="2242"/>
      <c r="K2330" s="624"/>
    </row>
    <row r="2331" spans="1:15" ht="15" customHeight="1">
      <c r="A2331" s="1052" t="s">
        <v>356</v>
      </c>
      <c r="B2331" s="1053" t="s">
        <v>176</v>
      </c>
      <c r="C2331" s="869"/>
      <c r="D2331" s="1049"/>
      <c r="E2331" s="1054"/>
      <c r="F2331" s="1055"/>
      <c r="G2331" s="1052" t="s">
        <v>356</v>
      </c>
      <c r="H2331" s="1053" t="s">
        <v>177</v>
      </c>
      <c r="I2331" s="869"/>
      <c r="J2331" s="1049"/>
      <c r="L2331" s="1088"/>
      <c r="M2331" s="1088"/>
      <c r="N2331" s="1088"/>
      <c r="O2331" s="1088"/>
    </row>
    <row r="2332" spans="1:15" ht="15" customHeight="1">
      <c r="A2332" s="1056" t="s">
        <v>359</v>
      </c>
      <c r="B2332" s="1057" t="s">
        <v>2662</v>
      </c>
      <c r="C2332" s="1058" t="e">
        <f>VLOOKUP(B2331,'LƯƠNG KT'!$D$15:$R$94,4,0)</f>
        <v>#N/A</v>
      </c>
      <c r="D2332" s="1059" t="e">
        <f>+C2332*25000</f>
        <v>#N/A</v>
      </c>
      <c r="E2332" s="1060"/>
      <c r="F2332" s="1060"/>
      <c r="G2332" s="1056" t="s">
        <v>359</v>
      </c>
      <c r="H2332" s="1057" t="s">
        <v>2662</v>
      </c>
      <c r="I2332" s="1058" t="e">
        <f>VLOOKUP(H2331,'LƯƠNG KT'!$D$15:$R$94,4,0)</f>
        <v>#N/A</v>
      </c>
      <c r="J2332" s="1059" t="e">
        <f>+I2332*25000</f>
        <v>#N/A</v>
      </c>
      <c r="K2332" s="1085"/>
      <c r="L2332" s="1085"/>
      <c r="M2332" s="1085"/>
      <c r="N2332" s="1085"/>
      <c r="O2332" s="1085"/>
    </row>
    <row r="2333" spans="1:15" ht="15" customHeight="1">
      <c r="A2333" s="1056" t="s">
        <v>361</v>
      </c>
      <c r="B2333" s="1057" t="s">
        <v>2663</v>
      </c>
      <c r="C2333" s="1058" t="e">
        <f>VLOOKUP(B2331,'LƯƠNG KT'!$D$15:$R$94,15,0)</f>
        <v>#N/A</v>
      </c>
      <c r="D2333" s="1059" t="e">
        <f>C2333*$L$4</f>
        <v>#N/A</v>
      </c>
      <c r="E2333" s="1061"/>
      <c r="F2333" s="1061"/>
      <c r="G2333" s="1056" t="s">
        <v>361</v>
      </c>
      <c r="H2333" s="1057" t="s">
        <v>2663</v>
      </c>
      <c r="I2333" s="1058" t="e">
        <f>VLOOKUP(H2331,'LƯƠNG KT'!$D$15:$R$94,15,0)</f>
        <v>#N/A</v>
      </c>
      <c r="J2333" s="1059" t="e">
        <f>I2333*$L$4</f>
        <v>#N/A</v>
      </c>
      <c r="K2333" s="1085"/>
      <c r="L2333" s="1085"/>
      <c r="M2333" s="1085"/>
      <c r="N2333" s="1085"/>
      <c r="O2333" s="1085"/>
    </row>
    <row r="2334" spans="1:15" ht="15" customHeight="1">
      <c r="A2334" s="1056" t="s">
        <v>364</v>
      </c>
      <c r="B2334" s="1057" t="s">
        <v>2664</v>
      </c>
      <c r="C2334" s="1058" t="e">
        <f>VLOOKUP(B2331,'LƯƠNG KT'!$D$15:$R$94,16,0)</f>
        <v>#N/A</v>
      </c>
      <c r="D2334" s="1059" t="e">
        <f>C2334*$L$5</f>
        <v>#N/A</v>
      </c>
      <c r="E2334" s="1061"/>
      <c r="F2334" s="1061"/>
      <c r="G2334" s="1056" t="s">
        <v>364</v>
      </c>
      <c r="H2334" s="1057" t="s">
        <v>2664</v>
      </c>
      <c r="I2334" s="1058" t="e">
        <f>VLOOKUP(H2331,'LƯƠNG KT'!$D$15:$R$94,16,0)</f>
        <v>#N/A</v>
      </c>
      <c r="J2334" s="1059" t="e">
        <f>I2334*$L$5</f>
        <v>#N/A</v>
      </c>
      <c r="K2334" s="1085"/>
      <c r="L2334" s="1085"/>
      <c r="M2334" s="1085"/>
      <c r="N2334" s="1085"/>
      <c r="O2334" s="1085"/>
    </row>
    <row r="2335" spans="1:15" ht="15" customHeight="1">
      <c r="A2335" s="1056" t="s">
        <v>370</v>
      </c>
      <c r="B2335" s="1057" t="s">
        <v>2665</v>
      </c>
      <c r="C2335" s="1058" t="e">
        <f>VLOOKUP(B2331,'LƯƠNG KT'!$D$15:$R$94,24,0)</f>
        <v>#N/A</v>
      </c>
      <c r="D2335" s="1059" t="e">
        <f>+C2335*$L$6</f>
        <v>#N/A</v>
      </c>
      <c r="E2335" s="1061"/>
      <c r="F2335" s="1061"/>
      <c r="G2335" s="1056" t="s">
        <v>370</v>
      </c>
      <c r="H2335" s="1057" t="s">
        <v>2665</v>
      </c>
      <c r="I2335" s="1058" t="e">
        <f>VLOOKUP(H2331,'LƯƠNG KT'!$D$15:$R$94,24,0)</f>
        <v>#N/A</v>
      </c>
      <c r="J2335" s="1059" t="e">
        <f>+I2335*$L$6</f>
        <v>#N/A</v>
      </c>
      <c r="K2335" s="1085"/>
      <c r="L2335" s="1085"/>
      <c r="M2335" s="1085"/>
      <c r="N2335" s="1085"/>
      <c r="O2335" s="1085"/>
    </row>
    <row r="2336" spans="1:15" ht="15" customHeight="1">
      <c r="A2336" s="1056" t="s">
        <v>2666</v>
      </c>
      <c r="B2336" s="1057" t="s">
        <v>2667</v>
      </c>
      <c r="C2336" s="1058" t="e">
        <f>VLOOKUP(B2331,'LƯƠNG KT'!$D$15:$R$94,19,0)</f>
        <v>#N/A</v>
      </c>
      <c r="D2336" s="1059" t="e">
        <f>+C2336*$L$8</f>
        <v>#N/A</v>
      </c>
      <c r="E2336" s="1061"/>
      <c r="F2336" s="1061"/>
      <c r="G2336" s="1056" t="s">
        <v>2666</v>
      </c>
      <c r="H2336" s="1057" t="s">
        <v>2667</v>
      </c>
      <c r="I2336" s="1058" t="e">
        <f>VLOOKUP(H2331,'LƯƠNG KT'!$D$15:$R$94,19,0)</f>
        <v>#N/A</v>
      </c>
      <c r="J2336" s="1059" t="e">
        <f>+I2336*$L$8</f>
        <v>#N/A</v>
      </c>
      <c r="K2336" s="1085"/>
      <c r="L2336" s="1085"/>
      <c r="M2336" s="1085"/>
      <c r="N2336" s="1085"/>
      <c r="O2336" s="1085"/>
    </row>
    <row r="2337" spans="1:15" ht="15" customHeight="1">
      <c r="A2337" s="1056" t="s">
        <v>2668</v>
      </c>
      <c r="B2337" s="1062" t="s">
        <v>2669</v>
      </c>
      <c r="C2337" s="1058" t="e">
        <f>VLOOKUP(B2331,'LƯƠNG KT'!$D$15:$R$94,20,0)</f>
        <v>#N/A</v>
      </c>
      <c r="D2337" s="1059" t="e">
        <f>+C2337*$L$9</f>
        <v>#N/A</v>
      </c>
      <c r="E2337" s="1061"/>
      <c r="F2337" s="1061"/>
      <c r="G2337" s="1056" t="s">
        <v>2668</v>
      </c>
      <c r="H2337" s="1062" t="s">
        <v>2669</v>
      </c>
      <c r="I2337" s="1058" t="e">
        <f>VLOOKUP(H2331,'LƯƠNG KT'!$D$15:$R$94,20,0)</f>
        <v>#N/A</v>
      </c>
      <c r="J2337" s="1059" t="e">
        <f>+I2337*$L$9</f>
        <v>#N/A</v>
      </c>
      <c r="K2337" s="1085"/>
      <c r="L2337" s="1085"/>
      <c r="M2337" s="1085"/>
      <c r="N2337" s="1085"/>
      <c r="O2337" s="1085"/>
    </row>
    <row r="2338" spans="1:15" ht="15" customHeight="1">
      <c r="A2338" s="1056" t="s">
        <v>2671</v>
      </c>
      <c r="B2338" s="1057" t="s">
        <v>2672</v>
      </c>
      <c r="C2338" s="1058" t="e">
        <f>VLOOKUP(B2331,'LƯƠNG KT'!$D$15:$R$94,17,0)</f>
        <v>#N/A</v>
      </c>
      <c r="D2338" s="1059" t="e">
        <f>+C2338*$L$10</f>
        <v>#N/A</v>
      </c>
      <c r="E2338" s="1061"/>
      <c r="F2338" s="1061"/>
      <c r="G2338" s="1056" t="s">
        <v>2671</v>
      </c>
      <c r="H2338" s="1057" t="s">
        <v>2672</v>
      </c>
      <c r="I2338" s="1058" t="e">
        <f>VLOOKUP(H2331,'LƯƠNG KT'!$D$15:$R$94,17,0)</f>
        <v>#N/A</v>
      </c>
      <c r="J2338" s="1059" t="e">
        <f>+I2338*$L$10</f>
        <v>#N/A</v>
      </c>
      <c r="K2338" s="1085"/>
      <c r="L2338" s="1085"/>
      <c r="M2338" s="1085"/>
      <c r="N2338" s="1085"/>
      <c r="O2338" s="1085"/>
    </row>
    <row r="2339" spans="1:15" ht="15" customHeight="1">
      <c r="A2339" s="1056" t="s">
        <v>374</v>
      </c>
      <c r="B2339" s="1057" t="s">
        <v>2674</v>
      </c>
      <c r="C2339" s="1058" t="e">
        <f>VLOOKUP(B2331,'LƯƠNG KT'!$D$15:$R$94,12,0)</f>
        <v>#N/A</v>
      </c>
      <c r="D2339" s="1059" t="e">
        <f>VLOOKUP(B2331,'LƯƠNG KT'!$D$15:$R$94,14,0)</f>
        <v>#N/A</v>
      </c>
      <c r="E2339" s="1063"/>
      <c r="F2339" s="1061"/>
      <c r="G2339" s="1056" t="s">
        <v>374</v>
      </c>
      <c r="H2339" s="1057" t="s">
        <v>2674</v>
      </c>
      <c r="I2339" s="1058" t="e">
        <f>VLOOKUP(H2331,'LƯƠNG KT'!$D$15:$R$94,12,0)</f>
        <v>#N/A</v>
      </c>
      <c r="J2339" s="1059" t="e">
        <f>VLOOKUP(H2331,'LƯƠNG KT'!$D$15:$R$94,14,0)</f>
        <v>#N/A</v>
      </c>
      <c r="K2339" s="1085"/>
      <c r="L2339" s="1085"/>
      <c r="M2339" s="1085"/>
      <c r="N2339" s="1085"/>
      <c r="O2339" s="1085"/>
    </row>
    <row r="2340" spans="1:15" ht="15" customHeight="1">
      <c r="A2340" s="1056" t="s">
        <v>2675</v>
      </c>
      <c r="B2340" s="1057" t="s">
        <v>2676</v>
      </c>
      <c r="D2340" s="1064" t="e">
        <f>VLOOKUP(B2331,'LƯƠNG KT'!$D$15:$R$94,13,0)</f>
        <v>#N/A</v>
      </c>
      <c r="E2340" s="1065"/>
      <c r="F2340" s="1065"/>
      <c r="G2340" s="1056" t="s">
        <v>2675</v>
      </c>
      <c r="H2340" s="1057" t="s">
        <v>2676</v>
      </c>
      <c r="J2340" s="1064" t="e">
        <f>VLOOKUP(H2331,'LƯƠNG KT'!$D$15:$R$94,13,0)</f>
        <v>#N/A</v>
      </c>
    </row>
    <row r="2341" spans="1:15" ht="15" customHeight="1">
      <c r="A2341" s="1066"/>
      <c r="B2341" s="869"/>
      <c r="C2341" s="1058"/>
      <c r="D2341" s="1059"/>
      <c r="E2341" s="1063"/>
      <c r="F2341" s="1065"/>
      <c r="G2341" s="1066"/>
      <c r="H2341" s="869"/>
      <c r="I2341" s="1058"/>
      <c r="J2341" s="1059"/>
    </row>
    <row r="2342" spans="1:15" ht="15" customHeight="1">
      <c r="A2342" s="1052"/>
      <c r="B2342" s="869"/>
      <c r="C2342" s="1058"/>
      <c r="D2342" s="1059"/>
      <c r="E2342" s="1067"/>
      <c r="F2342" s="1051"/>
      <c r="G2342" s="1052"/>
      <c r="H2342" s="869"/>
      <c r="I2342" s="1058"/>
      <c r="J2342" s="1059"/>
    </row>
    <row r="2343" spans="1:15" ht="15" customHeight="1">
      <c r="A2343" s="1068" t="s">
        <v>383</v>
      </c>
      <c r="B2343" s="1069" t="s">
        <v>384</v>
      </c>
      <c r="C2343" s="1070"/>
      <c r="D2343" s="1071" t="e">
        <f>SUM(D2332:D2339)-D2342</f>
        <v>#N/A</v>
      </c>
      <c r="E2343" s="1072"/>
      <c r="F2343" s="1073"/>
      <c r="G2343" s="1068" t="s">
        <v>383</v>
      </c>
      <c r="H2343" s="1069" t="s">
        <v>384</v>
      </c>
      <c r="I2343" s="1070"/>
      <c r="J2343" s="1071" t="e">
        <f>SUM(J2332:J2339)-J2342</f>
        <v>#N/A</v>
      </c>
    </row>
    <row r="2344" spans="1:15" ht="15.75" customHeight="1">
      <c r="A2344" s="1074"/>
      <c r="B2344" s="1075"/>
      <c r="C2344" s="1076"/>
      <c r="D2344" s="1077"/>
      <c r="E2344" s="1077"/>
      <c r="F2344" s="1078"/>
      <c r="G2344" s="1074"/>
      <c r="H2344" s="1075"/>
      <c r="I2344" s="1076"/>
      <c r="J2344" s="1077"/>
    </row>
    <row r="2346" spans="1:15" ht="12" customHeight="1">
      <c r="A2346" s="2243"/>
      <c r="B2346" s="2243"/>
      <c r="C2346" s="2243"/>
      <c r="D2346" s="2243"/>
      <c r="E2346" s="2243"/>
      <c r="F2346" s="2243"/>
      <c r="G2346" s="2243"/>
      <c r="H2346" s="2243"/>
      <c r="I2346" s="2243"/>
      <c r="J2346" s="2243"/>
    </row>
    <row r="2347" spans="1:15" ht="15" customHeight="1">
      <c r="A2347" s="2242" t="str">
        <f>$K$2</f>
        <v>THÁNG 04/2025</v>
      </c>
      <c r="B2347" s="2242"/>
      <c r="C2347" s="2242"/>
      <c r="D2347" s="2242"/>
      <c r="E2347" s="1050"/>
      <c r="F2347" s="1051"/>
      <c r="G2347" s="2242" t="str">
        <f>$K$2</f>
        <v>THÁNG 04/2025</v>
      </c>
      <c r="H2347" s="2242"/>
      <c r="I2347" s="2242"/>
      <c r="J2347" s="2242"/>
      <c r="K2347" s="624"/>
    </row>
    <row r="2348" spans="1:15" ht="15" customHeight="1">
      <c r="A2348" s="1052" t="s">
        <v>356</v>
      </c>
      <c r="B2348" s="1053" t="s">
        <v>178</v>
      </c>
      <c r="C2348" s="869"/>
      <c r="D2348" s="1049"/>
      <c r="E2348" s="1054"/>
      <c r="F2348" s="1055"/>
      <c r="G2348" s="1052" t="s">
        <v>356</v>
      </c>
      <c r="H2348" s="1053" t="s">
        <v>179</v>
      </c>
      <c r="I2348" s="869"/>
      <c r="J2348" s="1049"/>
      <c r="L2348" s="1088"/>
      <c r="M2348" s="1088"/>
      <c r="N2348" s="1088"/>
      <c r="O2348" s="1088"/>
    </row>
    <row r="2349" spans="1:15" ht="15" customHeight="1">
      <c r="A2349" s="1056" t="s">
        <v>359</v>
      </c>
      <c r="B2349" s="1057" t="s">
        <v>2662</v>
      </c>
      <c r="C2349" s="1058" t="e">
        <f>VLOOKUP(B2348,'LƯƠNG KT'!$D$15:$R$94,4,0)</f>
        <v>#N/A</v>
      </c>
      <c r="D2349" s="1059" t="e">
        <f>+C2349*25000</f>
        <v>#N/A</v>
      </c>
      <c r="E2349" s="1060"/>
      <c r="F2349" s="1060"/>
      <c r="G2349" s="1056" t="s">
        <v>359</v>
      </c>
      <c r="H2349" s="1057" t="s">
        <v>2662</v>
      </c>
      <c r="I2349" s="1058" t="e">
        <f>VLOOKUP(H2348,'LƯƠNG KT'!$D$15:$R$94,4,0)</f>
        <v>#N/A</v>
      </c>
      <c r="J2349" s="1059" t="e">
        <f>+I2349*25000</f>
        <v>#N/A</v>
      </c>
      <c r="K2349" s="1084"/>
      <c r="L2349" s="1085"/>
      <c r="M2349" s="1085"/>
      <c r="N2349" s="1085"/>
      <c r="O2349" s="1085"/>
    </row>
    <row r="2350" spans="1:15" ht="15" customHeight="1">
      <c r="A2350" s="1056" t="s">
        <v>361</v>
      </c>
      <c r="B2350" s="1057" t="s">
        <v>2663</v>
      </c>
      <c r="C2350" s="1058" t="e">
        <f>VLOOKUP(B2348,'LƯƠNG KT'!$D$15:$R$94,15,0)</f>
        <v>#N/A</v>
      </c>
      <c r="D2350" s="1059" t="e">
        <f>C2350*$L$4</f>
        <v>#N/A</v>
      </c>
      <c r="E2350" s="1061"/>
      <c r="F2350" s="1061"/>
      <c r="G2350" s="1056" t="s">
        <v>361</v>
      </c>
      <c r="H2350" s="1057" t="s">
        <v>2663</v>
      </c>
      <c r="I2350" s="1058" t="e">
        <f>VLOOKUP(H2348,'LƯƠNG KT'!$D$15:$R$94,15,0)</f>
        <v>#N/A</v>
      </c>
      <c r="J2350" s="1059" t="e">
        <f>I2350*$L$4</f>
        <v>#N/A</v>
      </c>
      <c r="K2350" s="1084"/>
      <c r="L2350" s="1085"/>
      <c r="M2350" s="1085"/>
      <c r="N2350" s="1085"/>
      <c r="O2350" s="1085"/>
    </row>
    <row r="2351" spans="1:15" ht="15" customHeight="1">
      <c r="A2351" s="1056" t="s">
        <v>364</v>
      </c>
      <c r="B2351" s="1057" t="s">
        <v>2664</v>
      </c>
      <c r="C2351" s="1058" t="e">
        <f>VLOOKUP(B2348,'LƯƠNG KT'!$D$15:$R$94,16,0)</f>
        <v>#N/A</v>
      </c>
      <c r="D2351" s="1059" t="e">
        <f>C2351*$L$5</f>
        <v>#N/A</v>
      </c>
      <c r="E2351" s="1061"/>
      <c r="F2351" s="1061"/>
      <c r="G2351" s="1056" t="s">
        <v>364</v>
      </c>
      <c r="H2351" s="1057" t="s">
        <v>2664</v>
      </c>
      <c r="I2351" s="1058" t="e">
        <f>VLOOKUP(H2348,'LƯƠNG KT'!$D$15:$R$94,16,0)</f>
        <v>#N/A</v>
      </c>
      <c r="J2351" s="1059" t="e">
        <f>I2351*$L$5</f>
        <v>#N/A</v>
      </c>
      <c r="K2351" s="1084"/>
      <c r="L2351" s="1085"/>
      <c r="M2351" s="1085"/>
      <c r="N2351" s="1085"/>
      <c r="O2351" s="1085"/>
    </row>
    <row r="2352" spans="1:15" ht="15" customHeight="1">
      <c r="A2352" s="1056" t="s">
        <v>370</v>
      </c>
      <c r="B2352" s="1057" t="s">
        <v>2665</v>
      </c>
      <c r="C2352" s="1058" t="e">
        <f>VLOOKUP(B2348,'LƯƠNG KT'!$D$15:$R$94,24,0)</f>
        <v>#N/A</v>
      </c>
      <c r="D2352" s="1059" t="e">
        <f>+C2352*$L$6</f>
        <v>#N/A</v>
      </c>
      <c r="E2352" s="1061"/>
      <c r="F2352" s="1061"/>
      <c r="G2352" s="1056" t="s">
        <v>370</v>
      </c>
      <c r="H2352" s="1057" t="s">
        <v>2665</v>
      </c>
      <c r="I2352" s="1058" t="e">
        <f>VLOOKUP(H2348,'LƯƠNG KT'!$D$15:$R$94,24,0)</f>
        <v>#N/A</v>
      </c>
      <c r="J2352" s="1059" t="e">
        <f>+I2352*$L$6</f>
        <v>#N/A</v>
      </c>
      <c r="K2352" s="1085"/>
      <c r="L2352" s="1085"/>
      <c r="M2352" s="1085"/>
      <c r="N2352" s="1085"/>
      <c r="O2352" s="1085"/>
    </row>
    <row r="2353" spans="1:15" ht="15" customHeight="1">
      <c r="A2353" s="1056" t="s">
        <v>2666</v>
      </c>
      <c r="B2353" s="1057" t="s">
        <v>2667</v>
      </c>
      <c r="C2353" s="1058" t="e">
        <f>VLOOKUP(B2348,'LƯƠNG KT'!$D$15:$R$94,19,0)</f>
        <v>#N/A</v>
      </c>
      <c r="D2353" s="1059" t="e">
        <f>+C2353*$L$8</f>
        <v>#N/A</v>
      </c>
      <c r="E2353" s="1061"/>
      <c r="F2353" s="1061"/>
      <c r="G2353" s="1056" t="s">
        <v>2666</v>
      </c>
      <c r="H2353" s="1057" t="s">
        <v>2667</v>
      </c>
      <c r="I2353" s="1058" t="e">
        <f>VLOOKUP(H2348,'LƯƠNG KT'!$D$15:$R$94,19,0)</f>
        <v>#N/A</v>
      </c>
      <c r="J2353" s="1059" t="e">
        <f>+I2353*$L$8</f>
        <v>#N/A</v>
      </c>
      <c r="K2353" s="1085"/>
      <c r="L2353" s="1085"/>
      <c r="M2353" s="1085"/>
      <c r="N2353" s="1085"/>
      <c r="O2353" s="1085"/>
    </row>
    <row r="2354" spans="1:15" ht="15" customHeight="1">
      <c r="A2354" s="1056" t="s">
        <v>2668</v>
      </c>
      <c r="B2354" s="1062" t="s">
        <v>2669</v>
      </c>
      <c r="C2354" s="1058" t="e">
        <f>VLOOKUP(B2348,'LƯƠNG KT'!$D$15:$R$94,20,0)</f>
        <v>#N/A</v>
      </c>
      <c r="D2354" s="1059" t="e">
        <f>+C2354*$L$9</f>
        <v>#N/A</v>
      </c>
      <c r="E2354" s="1061"/>
      <c r="F2354" s="1061"/>
      <c r="G2354" s="1056" t="s">
        <v>2668</v>
      </c>
      <c r="H2354" s="1062" t="s">
        <v>2669</v>
      </c>
      <c r="I2354" s="1058" t="e">
        <f>VLOOKUP(H2348,'LƯƠNG KT'!$D$15:$R$94,20,0)</f>
        <v>#N/A</v>
      </c>
      <c r="J2354" s="1059" t="e">
        <f>+I2354*$L$9</f>
        <v>#N/A</v>
      </c>
      <c r="K2354" s="1085"/>
      <c r="L2354" s="1085"/>
      <c r="M2354" s="1085"/>
      <c r="N2354" s="1085"/>
      <c r="O2354" s="1085"/>
    </row>
    <row r="2355" spans="1:15" ht="15" customHeight="1">
      <c r="A2355" s="1056" t="s">
        <v>2671</v>
      </c>
      <c r="B2355" s="1057" t="s">
        <v>2672</v>
      </c>
      <c r="C2355" s="1058" t="e">
        <f>VLOOKUP(B2348,'LƯƠNG KT'!$D$15:$R$94,17,0)</f>
        <v>#N/A</v>
      </c>
      <c r="D2355" s="1059" t="e">
        <f>+C2355*$L$10</f>
        <v>#N/A</v>
      </c>
      <c r="E2355" s="1061"/>
      <c r="F2355" s="1061"/>
      <c r="G2355" s="1056" t="s">
        <v>2671</v>
      </c>
      <c r="H2355" s="1057" t="s">
        <v>2672</v>
      </c>
      <c r="I2355" s="1058" t="e">
        <f>VLOOKUP(H2348,'LƯƠNG KT'!$D$15:$R$94,17,0)</f>
        <v>#N/A</v>
      </c>
      <c r="J2355" s="1059" t="e">
        <f>+I2355*$L$10</f>
        <v>#N/A</v>
      </c>
      <c r="K2355" s="1085"/>
      <c r="L2355" s="1085"/>
      <c r="M2355" s="1085"/>
      <c r="N2355" s="1085"/>
      <c r="O2355" s="1085"/>
    </row>
    <row r="2356" spans="1:15" ht="15" customHeight="1">
      <c r="A2356" s="1056" t="s">
        <v>374</v>
      </c>
      <c r="B2356" s="1057" t="s">
        <v>2674</v>
      </c>
      <c r="C2356" s="1058" t="e">
        <f>VLOOKUP(B2348,'LƯƠNG KT'!$D$15:$R$94,12,0)</f>
        <v>#N/A</v>
      </c>
      <c r="D2356" s="1059" t="e">
        <f>VLOOKUP(B2348,'LƯƠNG KT'!$D$15:$R$94,14,0)</f>
        <v>#N/A</v>
      </c>
      <c r="E2356" s="1063"/>
      <c r="F2356" s="1061"/>
      <c r="G2356" s="1056" t="s">
        <v>374</v>
      </c>
      <c r="H2356" s="1057" t="s">
        <v>2674</v>
      </c>
      <c r="I2356" s="1058" t="e">
        <f>VLOOKUP(H2348,'LƯƠNG KT'!$D$15:$R$94,12,0)</f>
        <v>#N/A</v>
      </c>
      <c r="J2356" s="1059" t="e">
        <f>VLOOKUP(H2348,'LƯƠNG KT'!$D$15:$R$94,14,0)</f>
        <v>#N/A</v>
      </c>
      <c r="K2356" s="1085"/>
      <c r="L2356" s="1085"/>
      <c r="M2356" s="1085"/>
      <c r="N2356" s="1085"/>
      <c r="O2356" s="1085"/>
    </row>
    <row r="2357" spans="1:15" ht="15" customHeight="1">
      <c r="A2357" s="1056" t="s">
        <v>2675</v>
      </c>
      <c r="B2357" s="1057" t="s">
        <v>2676</v>
      </c>
      <c r="D2357" s="1064" t="e">
        <f>VLOOKUP(B2348,'LƯƠNG KT'!$D$15:$R$94,13,0)</f>
        <v>#N/A</v>
      </c>
      <c r="E2357" s="1065"/>
      <c r="F2357" s="1065"/>
      <c r="G2357" s="1056" t="s">
        <v>2675</v>
      </c>
      <c r="H2357" s="1057" t="s">
        <v>2676</v>
      </c>
      <c r="J2357" s="1064" t="e">
        <f>VLOOKUP(H2348,'LƯƠNG KT'!$D$15:$R$94,13,0)</f>
        <v>#N/A</v>
      </c>
    </row>
    <row r="2358" spans="1:15" ht="15" customHeight="1">
      <c r="A2358" s="1066"/>
      <c r="B2358" s="869"/>
      <c r="C2358" s="1058"/>
      <c r="D2358" s="1059"/>
      <c r="E2358" s="1063"/>
      <c r="F2358" s="1065"/>
      <c r="G2358" s="1066"/>
      <c r="H2358" s="869"/>
      <c r="I2358" s="1058"/>
      <c r="J2358" s="1059"/>
    </row>
    <row r="2359" spans="1:15" ht="15" customHeight="1">
      <c r="A2359" s="1052"/>
      <c r="B2359" s="869"/>
      <c r="C2359" s="1058"/>
      <c r="D2359" s="1059"/>
      <c r="E2359" s="1067"/>
      <c r="F2359" s="1051"/>
      <c r="G2359" s="1052"/>
      <c r="H2359" s="869"/>
      <c r="I2359" s="1058"/>
      <c r="J2359" s="1059"/>
    </row>
    <row r="2360" spans="1:15" ht="15" customHeight="1">
      <c r="A2360" s="1068" t="s">
        <v>383</v>
      </c>
      <c r="B2360" s="1069" t="s">
        <v>384</v>
      </c>
      <c r="C2360" s="1070"/>
      <c r="D2360" s="1071" t="e">
        <f>SUM(D2349:D2356)-D2359</f>
        <v>#N/A</v>
      </c>
      <c r="E2360" s="1072"/>
      <c r="F2360" s="1073"/>
      <c r="G2360" s="1068" t="s">
        <v>383</v>
      </c>
      <c r="H2360" s="1069" t="s">
        <v>384</v>
      </c>
      <c r="I2360" s="1070"/>
      <c r="J2360" s="1071" t="e">
        <f>SUM(J2349:J2356)-J2359</f>
        <v>#N/A</v>
      </c>
    </row>
    <row r="2361" spans="1:15" ht="18" customHeight="1">
      <c r="A2361" s="1074"/>
      <c r="B2361" s="1075"/>
      <c r="C2361" s="1076"/>
      <c r="D2361" s="1077"/>
      <c r="E2361" s="1077"/>
      <c r="F2361" s="1078"/>
      <c r="G2361" s="1074"/>
      <c r="H2361" s="1075"/>
      <c r="I2361" s="1076"/>
      <c r="J2361" s="1077"/>
    </row>
    <row r="2362" spans="1:15" ht="18" customHeight="1">
      <c r="A2362" s="1075"/>
      <c r="B2362" s="1075"/>
      <c r="C2362" s="1079"/>
      <c r="D2362" s="1080"/>
      <c r="E2362" s="1075"/>
      <c r="F2362" s="1081"/>
      <c r="G2362" s="1075"/>
      <c r="H2362" s="1075"/>
      <c r="I2362" s="1079"/>
      <c r="J2362" s="1080"/>
    </row>
    <row r="2363" spans="1:15" ht="15" customHeight="1">
      <c r="A2363" s="2242" t="str">
        <f>$K$2</f>
        <v>THÁNG 04/2025</v>
      </c>
      <c r="B2363" s="2242"/>
      <c r="C2363" s="2242"/>
      <c r="D2363" s="2242"/>
      <c r="E2363" s="1050"/>
      <c r="F2363" s="1051"/>
      <c r="G2363" s="2242" t="str">
        <f>$K$2</f>
        <v>THÁNG 04/2025</v>
      </c>
      <c r="H2363" s="2242"/>
      <c r="I2363" s="2242"/>
      <c r="J2363" s="2242"/>
      <c r="K2363" s="624"/>
    </row>
    <row r="2364" spans="1:15" ht="15" customHeight="1">
      <c r="A2364" s="1052" t="s">
        <v>356</v>
      </c>
      <c r="B2364" s="1053" t="s">
        <v>180</v>
      </c>
      <c r="C2364" s="869"/>
      <c r="D2364" s="1049"/>
      <c r="E2364" s="1054"/>
      <c r="F2364" s="1055"/>
      <c r="G2364" s="1052" t="s">
        <v>356</v>
      </c>
      <c r="H2364" s="1053" t="s">
        <v>181</v>
      </c>
      <c r="I2364" s="869"/>
      <c r="J2364" s="1049"/>
      <c r="L2364" s="1088"/>
      <c r="M2364" s="1088"/>
      <c r="N2364" s="1088"/>
      <c r="O2364" s="1088"/>
    </row>
    <row r="2365" spans="1:15" ht="15" customHeight="1">
      <c r="A2365" s="1056" t="s">
        <v>359</v>
      </c>
      <c r="B2365" s="1057" t="s">
        <v>2662</v>
      </c>
      <c r="C2365" s="1058" t="e">
        <f>VLOOKUP(B2364,'LƯƠNG KT'!$D$15:$R$94,4,0)</f>
        <v>#N/A</v>
      </c>
      <c r="D2365" s="1059" t="e">
        <f>+C2365*25000</f>
        <v>#N/A</v>
      </c>
      <c r="E2365" s="1060"/>
      <c r="F2365" s="1060"/>
      <c r="G2365" s="1056" t="s">
        <v>359</v>
      </c>
      <c r="H2365" s="1057" t="s">
        <v>2662</v>
      </c>
      <c r="I2365" s="1058" t="e">
        <f>VLOOKUP(H2364,'LƯƠNG KT'!$D$15:$R$94,4,0)</f>
        <v>#N/A</v>
      </c>
      <c r="J2365" s="1059" t="e">
        <f>+I2365*25000</f>
        <v>#N/A</v>
      </c>
      <c r="K2365" s="1085"/>
      <c r="L2365" s="1085"/>
      <c r="M2365" s="1085"/>
      <c r="N2365" s="1085"/>
      <c r="O2365" s="1085"/>
    </row>
    <row r="2366" spans="1:15" ht="15" customHeight="1">
      <c r="A2366" s="1056" t="s">
        <v>361</v>
      </c>
      <c r="B2366" s="1057" t="s">
        <v>2663</v>
      </c>
      <c r="C2366" s="1058" t="e">
        <f>VLOOKUP(B2364,'LƯƠNG KT'!$D$15:$R$94,15,0)</f>
        <v>#N/A</v>
      </c>
      <c r="D2366" s="1059" t="e">
        <f>C2366*$L$4</f>
        <v>#N/A</v>
      </c>
      <c r="E2366" s="1061"/>
      <c r="F2366" s="1061"/>
      <c r="G2366" s="1056" t="s">
        <v>361</v>
      </c>
      <c r="H2366" s="1057" t="s">
        <v>2663</v>
      </c>
      <c r="I2366" s="1058" t="e">
        <f>VLOOKUP(H2364,'LƯƠNG KT'!$D$15:$R$94,15,0)</f>
        <v>#N/A</v>
      </c>
      <c r="J2366" s="1059" t="e">
        <f>I2366*$L$4</f>
        <v>#N/A</v>
      </c>
      <c r="K2366" s="1085"/>
      <c r="L2366" s="1085"/>
      <c r="M2366" s="1085"/>
      <c r="N2366" s="1085"/>
      <c r="O2366" s="1085"/>
    </row>
    <row r="2367" spans="1:15" ht="15" customHeight="1">
      <c r="A2367" s="1056" t="s">
        <v>364</v>
      </c>
      <c r="B2367" s="1057" t="s">
        <v>2664</v>
      </c>
      <c r="C2367" s="1058" t="e">
        <f>VLOOKUP(B2364,'LƯƠNG KT'!$D$15:$R$94,16,0)</f>
        <v>#N/A</v>
      </c>
      <c r="D2367" s="1059" t="e">
        <f>C2367*$L$5</f>
        <v>#N/A</v>
      </c>
      <c r="E2367" s="1061"/>
      <c r="F2367" s="1061"/>
      <c r="G2367" s="1056" t="s">
        <v>364</v>
      </c>
      <c r="H2367" s="1057" t="s">
        <v>2664</v>
      </c>
      <c r="I2367" s="1058" t="e">
        <f>VLOOKUP(H2364,'LƯƠNG KT'!$D$15:$R$94,16,0)</f>
        <v>#N/A</v>
      </c>
      <c r="J2367" s="1059" t="e">
        <f>I2367*$L$5</f>
        <v>#N/A</v>
      </c>
      <c r="K2367" s="1085"/>
      <c r="L2367" s="1085"/>
      <c r="M2367" s="1085"/>
      <c r="N2367" s="1085"/>
      <c r="O2367" s="1085"/>
    </row>
    <row r="2368" spans="1:15" ht="15" customHeight="1">
      <c r="A2368" s="1056" t="s">
        <v>370</v>
      </c>
      <c r="B2368" s="1057" t="s">
        <v>2665</v>
      </c>
      <c r="C2368" s="1058" t="e">
        <f>VLOOKUP(B2364,'LƯƠNG KT'!$D$15:$R$94,24,0)</f>
        <v>#N/A</v>
      </c>
      <c r="D2368" s="1059" t="e">
        <f>+C2368*$L$6</f>
        <v>#N/A</v>
      </c>
      <c r="E2368" s="1061"/>
      <c r="F2368" s="1061"/>
      <c r="G2368" s="1056" t="s">
        <v>370</v>
      </c>
      <c r="H2368" s="1057" t="s">
        <v>2665</v>
      </c>
      <c r="I2368" s="1058" t="e">
        <f>VLOOKUP(H2364,'LƯƠNG KT'!$D$15:$R$94,24,0)</f>
        <v>#N/A</v>
      </c>
      <c r="J2368" s="1059" t="e">
        <f>+I2368*$L$6</f>
        <v>#N/A</v>
      </c>
      <c r="K2368" s="1085"/>
      <c r="L2368" s="1085"/>
      <c r="M2368" s="1085"/>
      <c r="N2368" s="1085"/>
      <c r="O2368" s="1085"/>
    </row>
    <row r="2369" spans="1:15" ht="15" customHeight="1">
      <c r="A2369" s="1056" t="s">
        <v>2666</v>
      </c>
      <c r="B2369" s="1057" t="s">
        <v>2667</v>
      </c>
      <c r="C2369" s="1058" t="e">
        <f>VLOOKUP(B2364,'LƯƠNG KT'!$D$15:$R$94,19,0)</f>
        <v>#N/A</v>
      </c>
      <c r="D2369" s="1059" t="e">
        <f>+C2369*$L$8</f>
        <v>#N/A</v>
      </c>
      <c r="E2369" s="1061"/>
      <c r="F2369" s="1061"/>
      <c r="G2369" s="1056" t="s">
        <v>2666</v>
      </c>
      <c r="H2369" s="1057" t="s">
        <v>2667</v>
      </c>
      <c r="I2369" s="1058" t="e">
        <f>VLOOKUP(H2364,'LƯƠNG KT'!$D$15:$R$94,19,0)</f>
        <v>#N/A</v>
      </c>
      <c r="J2369" s="1059" t="e">
        <f>+I2369*$L$8</f>
        <v>#N/A</v>
      </c>
      <c r="K2369" s="1085"/>
      <c r="L2369" s="1085"/>
      <c r="M2369" s="1085"/>
      <c r="N2369" s="1085"/>
      <c r="O2369" s="1085"/>
    </row>
    <row r="2370" spans="1:15" ht="15" customHeight="1">
      <c r="A2370" s="1056" t="s">
        <v>2668</v>
      </c>
      <c r="B2370" s="1062" t="s">
        <v>2669</v>
      </c>
      <c r="C2370" s="1058" t="e">
        <f>VLOOKUP(B2364,'LƯƠNG KT'!$D$15:$R$94,20,0)</f>
        <v>#N/A</v>
      </c>
      <c r="D2370" s="1059" t="e">
        <f>+C2370*$L$9</f>
        <v>#N/A</v>
      </c>
      <c r="E2370" s="1061"/>
      <c r="F2370" s="1061"/>
      <c r="G2370" s="1056" t="s">
        <v>2668</v>
      </c>
      <c r="H2370" s="1062" t="s">
        <v>2669</v>
      </c>
      <c r="I2370" s="1058" t="e">
        <f>VLOOKUP(H2364,'LƯƠNG KT'!$D$15:$R$94,20,0)</f>
        <v>#N/A</v>
      </c>
      <c r="J2370" s="1059" t="e">
        <f>+I2370*$L$9</f>
        <v>#N/A</v>
      </c>
      <c r="K2370" s="1085"/>
      <c r="L2370" s="1085"/>
      <c r="M2370" s="1085"/>
      <c r="N2370" s="1085"/>
      <c r="O2370" s="1085"/>
    </row>
    <row r="2371" spans="1:15" ht="15" customHeight="1">
      <c r="A2371" s="1056" t="s">
        <v>2671</v>
      </c>
      <c r="B2371" s="1057" t="s">
        <v>2672</v>
      </c>
      <c r="C2371" s="1058" t="e">
        <f>VLOOKUP(B2364,'LƯƠNG KT'!$D$15:$R$94,17,0)</f>
        <v>#N/A</v>
      </c>
      <c r="D2371" s="1059" t="e">
        <f>+C2371*$L$10</f>
        <v>#N/A</v>
      </c>
      <c r="E2371" s="1061"/>
      <c r="F2371" s="1061"/>
      <c r="G2371" s="1056" t="s">
        <v>2671</v>
      </c>
      <c r="H2371" s="1057" t="s">
        <v>2672</v>
      </c>
      <c r="I2371" s="1058" t="e">
        <f>VLOOKUP(H2364,'LƯƠNG KT'!$D$15:$R$94,17,0)</f>
        <v>#N/A</v>
      </c>
      <c r="J2371" s="1059" t="e">
        <f>+I2371*$L$10</f>
        <v>#N/A</v>
      </c>
      <c r="K2371" s="1085"/>
      <c r="L2371" s="1085"/>
      <c r="M2371" s="1085"/>
      <c r="N2371" s="1085"/>
      <c r="O2371" s="1085"/>
    </row>
    <row r="2372" spans="1:15" ht="15" customHeight="1">
      <c r="A2372" s="1056" t="s">
        <v>374</v>
      </c>
      <c r="B2372" s="1057" t="s">
        <v>2674</v>
      </c>
      <c r="C2372" s="1058" t="e">
        <f>VLOOKUP(B2364,'LƯƠNG KT'!$D$15:$R$94,12,0)</f>
        <v>#N/A</v>
      </c>
      <c r="D2372" s="1059" t="e">
        <f>VLOOKUP(B2364,'LƯƠNG KT'!$D$15:$R$94,14,0)</f>
        <v>#N/A</v>
      </c>
      <c r="E2372" s="1063"/>
      <c r="F2372" s="1061"/>
      <c r="G2372" s="1056" t="s">
        <v>374</v>
      </c>
      <c r="H2372" s="1057" t="s">
        <v>2674</v>
      </c>
      <c r="I2372" s="1058" t="e">
        <f>VLOOKUP(H2364,'LƯƠNG KT'!$D$15:$R$94,12,0)</f>
        <v>#N/A</v>
      </c>
      <c r="J2372" s="1059" t="e">
        <f>VLOOKUP(H2364,'LƯƠNG KT'!$D$15:$R$94,14,0)</f>
        <v>#N/A</v>
      </c>
      <c r="K2372" s="1085"/>
      <c r="L2372" s="1085"/>
      <c r="M2372" s="1085"/>
      <c r="N2372" s="1085"/>
      <c r="O2372" s="1085"/>
    </row>
    <row r="2373" spans="1:15" ht="15" customHeight="1">
      <c r="A2373" s="1056" t="s">
        <v>2675</v>
      </c>
      <c r="B2373" s="1057" t="s">
        <v>2676</v>
      </c>
      <c r="D2373" s="1064" t="e">
        <f>VLOOKUP(B2364,'LƯƠNG KT'!$D$15:$R$94,13,0)</f>
        <v>#N/A</v>
      </c>
      <c r="E2373" s="1065"/>
      <c r="F2373" s="1065"/>
      <c r="G2373" s="1056" t="s">
        <v>2675</v>
      </c>
      <c r="H2373" s="1057" t="s">
        <v>2676</v>
      </c>
      <c r="J2373" s="1064" t="e">
        <f>VLOOKUP(H2364,'LƯƠNG KT'!$D$15:$R$94,13,0)</f>
        <v>#N/A</v>
      </c>
    </row>
    <row r="2374" spans="1:15" ht="15" customHeight="1">
      <c r="A2374" s="1066"/>
      <c r="B2374" s="869"/>
      <c r="C2374" s="1058"/>
      <c r="D2374" s="1059"/>
      <c r="E2374" s="1063"/>
      <c r="F2374" s="1065"/>
      <c r="G2374" s="1066"/>
      <c r="H2374" s="869"/>
      <c r="I2374" s="1058"/>
      <c r="J2374" s="1059"/>
    </row>
    <row r="2375" spans="1:15" ht="15" customHeight="1">
      <c r="A2375" s="1052"/>
      <c r="B2375" s="869"/>
      <c r="C2375" s="1058"/>
      <c r="D2375" s="1059"/>
      <c r="E2375" s="1067"/>
      <c r="F2375" s="1051"/>
      <c r="G2375" s="1052"/>
      <c r="H2375" s="869"/>
      <c r="I2375" s="1058"/>
      <c r="J2375" s="1059"/>
    </row>
    <row r="2376" spans="1:15" ht="15" customHeight="1">
      <c r="A2376" s="1068" t="s">
        <v>383</v>
      </c>
      <c r="B2376" s="1069" t="s">
        <v>384</v>
      </c>
      <c r="C2376" s="1070"/>
      <c r="D2376" s="1071" t="e">
        <f>SUM(D2365:D2372)-D2375</f>
        <v>#N/A</v>
      </c>
      <c r="E2376" s="1072"/>
      <c r="F2376" s="1073"/>
      <c r="G2376" s="1068" t="s">
        <v>383</v>
      </c>
      <c r="H2376" s="1069" t="s">
        <v>384</v>
      </c>
      <c r="I2376" s="1070"/>
      <c r="J2376" s="1071" t="e">
        <f>SUM(J2365:J2372)-J2375</f>
        <v>#N/A</v>
      </c>
    </row>
    <row r="2377" spans="1:15" ht="18.75" customHeight="1">
      <c r="A2377" s="1074"/>
      <c r="B2377" s="1075"/>
      <c r="C2377" s="1076"/>
      <c r="D2377" s="1077"/>
      <c r="E2377" s="1077"/>
      <c r="F2377" s="1078"/>
      <c r="G2377" s="1074"/>
      <c r="H2377" s="1075"/>
      <c r="I2377" s="1076"/>
      <c r="J2377" s="1077"/>
    </row>
    <row r="2378" spans="1:15" ht="141.75" customHeight="1">
      <c r="A2378" s="1075"/>
      <c r="B2378" s="1075"/>
      <c r="C2378" s="1079"/>
      <c r="D2378" s="1080"/>
      <c r="E2378" s="1075"/>
      <c r="F2378" s="1081"/>
      <c r="G2378" s="1075"/>
      <c r="H2378" s="1075"/>
      <c r="I2378" s="1079"/>
      <c r="J2378" s="1080"/>
    </row>
    <row r="2379" spans="1:15" ht="15" customHeight="1">
      <c r="A2379" s="2242" t="str">
        <f>$K$2</f>
        <v>THÁNG 04/2025</v>
      </c>
      <c r="B2379" s="2242"/>
      <c r="C2379" s="2242"/>
      <c r="D2379" s="2242"/>
      <c r="E2379" s="1050"/>
      <c r="F2379" s="1051"/>
      <c r="G2379" s="2242" t="str">
        <f>$K$2</f>
        <v>THÁNG 04/2025</v>
      </c>
      <c r="H2379" s="2242"/>
      <c r="I2379" s="2242"/>
      <c r="J2379" s="2242"/>
      <c r="K2379" s="624"/>
    </row>
    <row r="2380" spans="1:15" ht="15" customHeight="1">
      <c r="A2380" s="1052" t="s">
        <v>356</v>
      </c>
      <c r="B2380" s="1053" t="s">
        <v>182</v>
      </c>
      <c r="C2380" s="869"/>
      <c r="D2380" s="1049"/>
      <c r="E2380" s="1054"/>
      <c r="F2380" s="1055"/>
      <c r="G2380" s="1052" t="s">
        <v>356</v>
      </c>
      <c r="H2380" s="1053" t="s">
        <v>183</v>
      </c>
      <c r="I2380" s="869"/>
      <c r="J2380" s="1049"/>
      <c r="L2380" s="1088"/>
      <c r="M2380" s="1088"/>
      <c r="N2380" s="1088"/>
      <c r="O2380" s="1088"/>
    </row>
    <row r="2381" spans="1:15" ht="15" customHeight="1">
      <c r="A2381" s="1056" t="s">
        <v>359</v>
      </c>
      <c r="B2381" s="1057" t="s">
        <v>2662</v>
      </c>
      <c r="C2381" s="1058" t="e">
        <f>VLOOKUP(B2380,'LƯƠNG KT'!$D$15:$R$94,4,0)</f>
        <v>#N/A</v>
      </c>
      <c r="D2381" s="1059" t="e">
        <f>+C2381*25000</f>
        <v>#N/A</v>
      </c>
      <c r="E2381" s="1060"/>
      <c r="F2381" s="1060"/>
      <c r="G2381" s="1056" t="s">
        <v>359</v>
      </c>
      <c r="H2381" s="1057" t="s">
        <v>2662</v>
      </c>
      <c r="I2381" s="1058" t="e">
        <f>VLOOKUP(H2380,'LƯƠNG KT'!$D$15:$R$94,4,0)</f>
        <v>#N/A</v>
      </c>
      <c r="J2381" s="1059" t="e">
        <f>+I2381*25000</f>
        <v>#N/A</v>
      </c>
      <c r="K2381" s="1085"/>
      <c r="L2381" s="1085"/>
      <c r="M2381" s="1085"/>
      <c r="N2381" s="1085"/>
      <c r="O2381" s="1085"/>
    </row>
    <row r="2382" spans="1:15" ht="15" customHeight="1">
      <c r="A2382" s="1056" t="s">
        <v>361</v>
      </c>
      <c r="B2382" s="1057" t="s">
        <v>2663</v>
      </c>
      <c r="C2382" s="1058" t="e">
        <f>VLOOKUP(B2380,'LƯƠNG KT'!$D$15:$R$94,15,0)</f>
        <v>#N/A</v>
      </c>
      <c r="D2382" s="1059" t="e">
        <f>C2382*$L$4</f>
        <v>#N/A</v>
      </c>
      <c r="E2382" s="1061"/>
      <c r="F2382" s="1061"/>
      <c r="G2382" s="1056" t="s">
        <v>361</v>
      </c>
      <c r="H2382" s="1057" t="s">
        <v>2663</v>
      </c>
      <c r="I2382" s="1058" t="e">
        <f>VLOOKUP(H2380,'LƯƠNG KT'!$D$15:$R$94,15,0)</f>
        <v>#N/A</v>
      </c>
      <c r="J2382" s="1059" t="e">
        <f>I2382*$L$4</f>
        <v>#N/A</v>
      </c>
      <c r="K2382" s="1085"/>
      <c r="L2382" s="1085"/>
      <c r="M2382" s="1085"/>
      <c r="N2382" s="1085"/>
      <c r="O2382" s="1085"/>
    </row>
    <row r="2383" spans="1:15" ht="15" customHeight="1">
      <c r="A2383" s="1056" t="s">
        <v>364</v>
      </c>
      <c r="B2383" s="1057" t="s">
        <v>2664</v>
      </c>
      <c r="C2383" s="1058" t="e">
        <f>VLOOKUP(B2380,'LƯƠNG KT'!$D$15:$R$94,16,0)</f>
        <v>#N/A</v>
      </c>
      <c r="D2383" s="1059" t="e">
        <f>C2383*$L$5</f>
        <v>#N/A</v>
      </c>
      <c r="E2383" s="1061"/>
      <c r="F2383" s="1061"/>
      <c r="G2383" s="1056" t="s">
        <v>364</v>
      </c>
      <c r="H2383" s="1057" t="s">
        <v>2664</v>
      </c>
      <c r="I2383" s="1058" t="e">
        <f>VLOOKUP(H2380,'LƯƠNG KT'!$D$15:$R$94,16,0)</f>
        <v>#N/A</v>
      </c>
      <c r="J2383" s="1059" t="e">
        <f>I2383*$L$5</f>
        <v>#N/A</v>
      </c>
      <c r="K2383" s="1085"/>
      <c r="L2383" s="1085"/>
      <c r="M2383" s="1085"/>
      <c r="N2383" s="1085"/>
      <c r="O2383" s="1085"/>
    </row>
    <row r="2384" spans="1:15" ht="15" customHeight="1">
      <c r="A2384" s="1056" t="s">
        <v>370</v>
      </c>
      <c r="B2384" s="1057" t="s">
        <v>2665</v>
      </c>
      <c r="C2384" s="1058" t="e">
        <f>VLOOKUP(B2380,'LƯƠNG KT'!$D$15:$R$94,24,0)</f>
        <v>#N/A</v>
      </c>
      <c r="D2384" s="1059" t="e">
        <f>+C2384*$L$6</f>
        <v>#N/A</v>
      </c>
      <c r="E2384" s="1061"/>
      <c r="F2384" s="1061"/>
      <c r="G2384" s="1056" t="s">
        <v>370</v>
      </c>
      <c r="H2384" s="1057" t="s">
        <v>2665</v>
      </c>
      <c r="I2384" s="1058" t="e">
        <f>VLOOKUP(H2380,'LƯƠNG KT'!$D$15:$R$94,24,0)</f>
        <v>#N/A</v>
      </c>
      <c r="J2384" s="1059" t="e">
        <f>+I2384*$L$6</f>
        <v>#N/A</v>
      </c>
      <c r="K2384" s="1085"/>
      <c r="L2384" s="1085"/>
      <c r="M2384" s="1085"/>
      <c r="N2384" s="1085"/>
      <c r="O2384" s="1085"/>
    </row>
    <row r="2385" spans="1:15" ht="15" customHeight="1">
      <c r="A2385" s="1056" t="s">
        <v>2666</v>
      </c>
      <c r="B2385" s="1057" t="s">
        <v>2667</v>
      </c>
      <c r="C2385" s="1058" t="e">
        <f>VLOOKUP(B2380,'LƯƠNG KT'!$D$15:$R$94,19,0)</f>
        <v>#N/A</v>
      </c>
      <c r="D2385" s="1059" t="e">
        <f>+C2385*$L$8</f>
        <v>#N/A</v>
      </c>
      <c r="E2385" s="1061"/>
      <c r="F2385" s="1061"/>
      <c r="G2385" s="1056" t="s">
        <v>2666</v>
      </c>
      <c r="H2385" s="1057" t="s">
        <v>2667</v>
      </c>
      <c r="I2385" s="1058" t="e">
        <f>VLOOKUP(H2380,'LƯƠNG KT'!$D$15:$R$94,19,0)</f>
        <v>#N/A</v>
      </c>
      <c r="J2385" s="1059" t="e">
        <f>+I2385*$L$8</f>
        <v>#N/A</v>
      </c>
      <c r="K2385" s="1085"/>
      <c r="L2385" s="1085"/>
      <c r="M2385" s="1085"/>
      <c r="N2385" s="1085"/>
      <c r="O2385" s="1085"/>
    </row>
    <row r="2386" spans="1:15" ht="15" customHeight="1">
      <c r="A2386" s="1056" t="s">
        <v>2668</v>
      </c>
      <c r="B2386" s="1062" t="s">
        <v>2669</v>
      </c>
      <c r="C2386" s="1058" t="e">
        <f>VLOOKUP(B2380,'LƯƠNG KT'!$D$15:$R$94,20,0)</f>
        <v>#N/A</v>
      </c>
      <c r="D2386" s="1059" t="e">
        <f>+C2386*$L$9</f>
        <v>#N/A</v>
      </c>
      <c r="E2386" s="1061"/>
      <c r="F2386" s="1061"/>
      <c r="G2386" s="1056" t="s">
        <v>2668</v>
      </c>
      <c r="H2386" s="1062" t="s">
        <v>2669</v>
      </c>
      <c r="I2386" s="1058" t="e">
        <f>VLOOKUP(H2380,'LƯƠNG KT'!$D$15:$R$94,20,0)</f>
        <v>#N/A</v>
      </c>
      <c r="J2386" s="1059" t="e">
        <f>+I2386*$L$9</f>
        <v>#N/A</v>
      </c>
      <c r="K2386" s="1085"/>
      <c r="L2386" s="1085"/>
      <c r="M2386" s="1085"/>
      <c r="N2386" s="1085"/>
      <c r="O2386" s="1085"/>
    </row>
    <row r="2387" spans="1:15" ht="15" customHeight="1">
      <c r="A2387" s="1056" t="s">
        <v>2671</v>
      </c>
      <c r="B2387" s="1057" t="s">
        <v>2672</v>
      </c>
      <c r="C2387" s="1058" t="e">
        <f>VLOOKUP(B2380,'LƯƠNG KT'!$D$15:$R$94,17,0)</f>
        <v>#N/A</v>
      </c>
      <c r="D2387" s="1059" t="e">
        <f>+C2387*$L$10</f>
        <v>#N/A</v>
      </c>
      <c r="E2387" s="1061"/>
      <c r="F2387" s="1061"/>
      <c r="G2387" s="1056" t="s">
        <v>2671</v>
      </c>
      <c r="H2387" s="1057" t="s">
        <v>2672</v>
      </c>
      <c r="I2387" s="1058" t="e">
        <f>VLOOKUP(H2380,'LƯƠNG KT'!$D$15:$R$94,17,0)</f>
        <v>#N/A</v>
      </c>
      <c r="J2387" s="1059" t="e">
        <f>+I2387*$L$10</f>
        <v>#N/A</v>
      </c>
      <c r="K2387" s="1085"/>
      <c r="L2387" s="1085"/>
      <c r="M2387" s="1085"/>
      <c r="N2387" s="1085"/>
      <c r="O2387" s="1085"/>
    </row>
    <row r="2388" spans="1:15" ht="15" customHeight="1">
      <c r="A2388" s="1056" t="s">
        <v>374</v>
      </c>
      <c r="B2388" s="1057" t="s">
        <v>2674</v>
      </c>
      <c r="C2388" s="1058" t="e">
        <f>VLOOKUP(B2380,'LƯƠNG KT'!$D$15:$R$94,12,0)</f>
        <v>#N/A</v>
      </c>
      <c r="D2388" s="1059" t="e">
        <f>VLOOKUP(B2380,'LƯƠNG KT'!$D$15:$R$94,14,0)</f>
        <v>#N/A</v>
      </c>
      <c r="E2388" s="1063"/>
      <c r="F2388" s="1061"/>
      <c r="G2388" s="1056" t="s">
        <v>374</v>
      </c>
      <c r="H2388" s="1057" t="s">
        <v>2674</v>
      </c>
      <c r="I2388" s="1058" t="e">
        <f>VLOOKUP(H2380,'LƯƠNG KT'!$D$15:$R$94,12,0)</f>
        <v>#N/A</v>
      </c>
      <c r="J2388" s="1059" t="e">
        <f>VLOOKUP(H2380,'LƯƠNG KT'!$D$15:$R$94,14,0)</f>
        <v>#N/A</v>
      </c>
      <c r="K2388" s="1085"/>
      <c r="L2388" s="1085"/>
      <c r="M2388" s="1085"/>
      <c r="N2388" s="1085"/>
      <c r="O2388" s="1085"/>
    </row>
    <row r="2389" spans="1:15" ht="15" customHeight="1">
      <c r="A2389" s="1056" t="s">
        <v>2675</v>
      </c>
      <c r="B2389" s="1057" t="s">
        <v>2676</v>
      </c>
      <c r="D2389" s="1064" t="e">
        <f>VLOOKUP(B2380,'LƯƠNG KT'!$D$15:$R$94,13,0)</f>
        <v>#N/A</v>
      </c>
      <c r="E2389" s="1065"/>
      <c r="F2389" s="1065"/>
      <c r="G2389" s="1056" t="s">
        <v>2675</v>
      </c>
      <c r="H2389" s="1057" t="s">
        <v>2676</v>
      </c>
      <c r="J2389" s="1064" t="e">
        <f>VLOOKUP(H2380,'LƯƠNG KT'!$D$15:$R$94,13,0)</f>
        <v>#N/A</v>
      </c>
    </row>
    <row r="2390" spans="1:15" ht="15" customHeight="1">
      <c r="A2390" s="1066"/>
      <c r="B2390" s="869"/>
      <c r="C2390" s="1058"/>
      <c r="D2390" s="1059"/>
      <c r="E2390" s="1063"/>
      <c r="F2390" s="1065"/>
      <c r="G2390" s="1066"/>
      <c r="H2390" s="869"/>
      <c r="I2390" s="1058"/>
      <c r="J2390" s="1059"/>
    </row>
    <row r="2391" spans="1:15" ht="15" customHeight="1">
      <c r="A2391" s="1052"/>
      <c r="B2391" s="869"/>
      <c r="C2391" s="1058"/>
      <c r="D2391" s="1059"/>
      <c r="E2391" s="1067"/>
      <c r="F2391" s="1051"/>
      <c r="G2391" s="1052"/>
      <c r="H2391" s="869"/>
      <c r="I2391" s="1058"/>
      <c r="J2391" s="1059"/>
    </row>
    <row r="2392" spans="1:15" ht="15" customHeight="1">
      <c r="A2392" s="1068" t="s">
        <v>383</v>
      </c>
      <c r="B2392" s="1069" t="s">
        <v>384</v>
      </c>
      <c r="C2392" s="1070"/>
      <c r="D2392" s="1071" t="e">
        <f>SUM(D2381:D2388)-D2391</f>
        <v>#N/A</v>
      </c>
      <c r="E2392" s="1072"/>
      <c r="F2392" s="1073"/>
      <c r="G2392" s="1068" t="s">
        <v>383</v>
      </c>
      <c r="H2392" s="1069" t="s">
        <v>384</v>
      </c>
      <c r="I2392" s="1070"/>
      <c r="J2392" s="1071" t="e">
        <f>SUM(J2381:J2388)-J2391</f>
        <v>#N/A</v>
      </c>
    </row>
    <row r="2393" spans="1:15" ht="18.75" customHeight="1">
      <c r="A2393" s="1074"/>
      <c r="B2393" s="1075"/>
      <c r="C2393" s="1076"/>
      <c r="D2393" s="1077"/>
      <c r="E2393" s="1077"/>
      <c r="F2393" s="1078"/>
      <c r="G2393" s="1074"/>
      <c r="H2393" s="1075"/>
      <c r="I2393" s="1076"/>
      <c r="J2393" s="1077"/>
    </row>
    <row r="2394" spans="1:15" ht="18.75" customHeight="1">
      <c r="A2394" s="1075"/>
      <c r="B2394" s="1075"/>
      <c r="C2394" s="1079"/>
      <c r="D2394" s="1080"/>
      <c r="E2394" s="1075"/>
      <c r="F2394" s="1081"/>
      <c r="G2394" s="1075"/>
      <c r="H2394" s="1075"/>
      <c r="I2394" s="1079"/>
      <c r="J2394" s="1080"/>
    </row>
    <row r="2395" spans="1:15" ht="15" customHeight="1">
      <c r="A2395" s="2242" t="str">
        <f>$K$2</f>
        <v>THÁNG 04/2025</v>
      </c>
      <c r="B2395" s="2242"/>
      <c r="C2395" s="2242"/>
      <c r="D2395" s="2242"/>
      <c r="E2395" s="1050"/>
      <c r="F2395" s="1051"/>
      <c r="G2395" s="2242" t="str">
        <f>$K$2</f>
        <v>THÁNG 04/2025</v>
      </c>
      <c r="H2395" s="2242"/>
      <c r="I2395" s="2242"/>
      <c r="J2395" s="2242"/>
      <c r="K2395" s="624"/>
    </row>
    <row r="2396" spans="1:15" ht="15" customHeight="1">
      <c r="A2396" s="1052" t="s">
        <v>356</v>
      </c>
      <c r="B2396" s="1053" t="s">
        <v>184</v>
      </c>
      <c r="C2396" s="869"/>
      <c r="D2396" s="1049"/>
      <c r="E2396" s="1054"/>
      <c r="F2396" s="1055"/>
      <c r="G2396" s="1052" t="s">
        <v>356</v>
      </c>
      <c r="H2396" s="1053" t="s">
        <v>185</v>
      </c>
      <c r="I2396" s="869"/>
      <c r="J2396" s="1049"/>
      <c r="L2396" s="1088"/>
      <c r="M2396" s="1088"/>
      <c r="N2396" s="1088"/>
      <c r="O2396" s="1088"/>
    </row>
    <row r="2397" spans="1:15" ht="15" customHeight="1">
      <c r="A2397" s="1056" t="s">
        <v>359</v>
      </c>
      <c r="B2397" s="1057" t="s">
        <v>2662</v>
      </c>
      <c r="C2397" s="1058" t="e">
        <f>VLOOKUP(B2396,'LƯƠNG KT'!$D$15:$R$94,4,0)</f>
        <v>#N/A</v>
      </c>
      <c r="D2397" s="1059" t="e">
        <f>+C2397*25000</f>
        <v>#N/A</v>
      </c>
      <c r="E2397" s="1060"/>
      <c r="F2397" s="1060"/>
      <c r="G2397" s="1056" t="s">
        <v>359</v>
      </c>
      <c r="H2397" s="1057" t="s">
        <v>2662</v>
      </c>
      <c r="I2397" s="1058" t="e">
        <f>VLOOKUP(H2396,'LƯƠNG KT'!$D$15:$R$94,4,0)</f>
        <v>#N/A</v>
      </c>
      <c r="J2397" s="1059" t="e">
        <f>+I2397*25000</f>
        <v>#N/A</v>
      </c>
      <c r="K2397" s="1085"/>
      <c r="L2397" s="1085"/>
      <c r="M2397" s="1085"/>
      <c r="N2397" s="1085"/>
      <c r="O2397" s="1085"/>
    </row>
    <row r="2398" spans="1:15" ht="15" customHeight="1">
      <c r="A2398" s="1056" t="s">
        <v>361</v>
      </c>
      <c r="B2398" s="1057" t="s">
        <v>2663</v>
      </c>
      <c r="C2398" s="1058" t="e">
        <f>VLOOKUP(B2396,'LƯƠNG KT'!$D$15:$R$94,15,0)</f>
        <v>#N/A</v>
      </c>
      <c r="D2398" s="1059" t="e">
        <f>C2398*$L$4</f>
        <v>#N/A</v>
      </c>
      <c r="E2398" s="1061"/>
      <c r="F2398" s="1061"/>
      <c r="G2398" s="1056" t="s">
        <v>361</v>
      </c>
      <c r="H2398" s="1057" t="s">
        <v>2663</v>
      </c>
      <c r="I2398" s="1058" t="e">
        <f>VLOOKUP(H2396,'LƯƠNG KT'!$D$15:$R$94,15,0)</f>
        <v>#N/A</v>
      </c>
      <c r="J2398" s="1059" t="e">
        <f>I2398*$L$4</f>
        <v>#N/A</v>
      </c>
      <c r="K2398" s="1085"/>
      <c r="L2398" s="1085"/>
      <c r="M2398" s="1085"/>
      <c r="N2398" s="1085"/>
      <c r="O2398" s="1085"/>
    </row>
    <row r="2399" spans="1:15" ht="15" customHeight="1">
      <c r="A2399" s="1056" t="s">
        <v>364</v>
      </c>
      <c r="B2399" s="1057" t="s">
        <v>2664</v>
      </c>
      <c r="C2399" s="1058" t="e">
        <f>VLOOKUP(B2396,'LƯƠNG KT'!$D$15:$R$94,16,0)</f>
        <v>#N/A</v>
      </c>
      <c r="D2399" s="1059" t="e">
        <f>C2399*$L$5</f>
        <v>#N/A</v>
      </c>
      <c r="E2399" s="1061"/>
      <c r="F2399" s="1061"/>
      <c r="G2399" s="1056" t="s">
        <v>364</v>
      </c>
      <c r="H2399" s="1057" t="s">
        <v>2664</v>
      </c>
      <c r="I2399" s="1058" t="e">
        <f>VLOOKUP(H2396,'LƯƠNG KT'!$D$15:$R$94,16,0)</f>
        <v>#N/A</v>
      </c>
      <c r="J2399" s="1059" t="e">
        <f>I2399*$L$5</f>
        <v>#N/A</v>
      </c>
      <c r="K2399" s="1085"/>
      <c r="L2399" s="1085"/>
      <c r="M2399" s="1085"/>
      <c r="N2399" s="1085"/>
      <c r="O2399" s="1085"/>
    </row>
    <row r="2400" spans="1:15" ht="15" customHeight="1">
      <c r="A2400" s="1056" t="s">
        <v>370</v>
      </c>
      <c r="B2400" s="1057" t="s">
        <v>2665</v>
      </c>
      <c r="C2400" s="1058" t="e">
        <f>VLOOKUP(B2396,'LƯƠNG KT'!$D$15:$R$94,24,0)</f>
        <v>#N/A</v>
      </c>
      <c r="D2400" s="1059" t="e">
        <f>+C2400*$L$6</f>
        <v>#N/A</v>
      </c>
      <c r="E2400" s="1061"/>
      <c r="F2400" s="1061"/>
      <c r="G2400" s="1056" t="s">
        <v>370</v>
      </c>
      <c r="H2400" s="1057" t="s">
        <v>2665</v>
      </c>
      <c r="I2400" s="1058" t="e">
        <f>VLOOKUP(H2396,'LƯƠNG KT'!$D$15:$R$94,24,0)</f>
        <v>#N/A</v>
      </c>
      <c r="J2400" s="1059" t="e">
        <f>+I2400*$L$6</f>
        <v>#N/A</v>
      </c>
      <c r="K2400" s="1085"/>
      <c r="L2400" s="1085"/>
      <c r="M2400" s="1085"/>
      <c r="N2400" s="1085"/>
      <c r="O2400" s="1085"/>
    </row>
    <row r="2401" spans="1:15" ht="15" customHeight="1">
      <c r="A2401" s="1056" t="s">
        <v>2666</v>
      </c>
      <c r="B2401" s="1057" t="s">
        <v>2667</v>
      </c>
      <c r="C2401" s="1058" t="e">
        <f>VLOOKUP(B2396,'LƯƠNG KT'!$D$15:$R$94,19,0)</f>
        <v>#N/A</v>
      </c>
      <c r="D2401" s="1059" t="e">
        <f>+C2401*$L$8</f>
        <v>#N/A</v>
      </c>
      <c r="E2401" s="1061"/>
      <c r="F2401" s="1061"/>
      <c r="G2401" s="1056" t="s">
        <v>2666</v>
      </c>
      <c r="H2401" s="1057" t="s">
        <v>2667</v>
      </c>
      <c r="I2401" s="1058" t="e">
        <f>VLOOKUP(H2396,'LƯƠNG KT'!$D$15:$R$94,19,0)</f>
        <v>#N/A</v>
      </c>
      <c r="J2401" s="1059" t="e">
        <f>+I2401*$L$8</f>
        <v>#N/A</v>
      </c>
      <c r="K2401" s="1085"/>
      <c r="L2401" s="1085"/>
      <c r="M2401" s="1085"/>
      <c r="N2401" s="1085"/>
      <c r="O2401" s="1085"/>
    </row>
    <row r="2402" spans="1:15" ht="15" customHeight="1">
      <c r="A2402" s="1056" t="s">
        <v>2668</v>
      </c>
      <c r="B2402" s="1062" t="s">
        <v>2669</v>
      </c>
      <c r="C2402" s="1058" t="e">
        <f>VLOOKUP(B2396,'LƯƠNG KT'!$D$15:$R$94,20,0)</f>
        <v>#N/A</v>
      </c>
      <c r="D2402" s="1059" t="e">
        <f>+C2402*$L$9</f>
        <v>#N/A</v>
      </c>
      <c r="E2402" s="1061"/>
      <c r="F2402" s="1061"/>
      <c r="G2402" s="1056" t="s">
        <v>2668</v>
      </c>
      <c r="H2402" s="1062" t="s">
        <v>2669</v>
      </c>
      <c r="I2402" s="1058" t="e">
        <f>VLOOKUP(H2396,'LƯƠNG KT'!$D$15:$R$94,20,0)</f>
        <v>#N/A</v>
      </c>
      <c r="J2402" s="1059" t="e">
        <f>+I2402*$L$9</f>
        <v>#N/A</v>
      </c>
      <c r="K2402" s="1085"/>
      <c r="L2402" s="1085"/>
      <c r="M2402" s="1085"/>
      <c r="N2402" s="1085"/>
      <c r="O2402" s="1085"/>
    </row>
    <row r="2403" spans="1:15" ht="15" customHeight="1">
      <c r="A2403" s="1056" t="s">
        <v>2671</v>
      </c>
      <c r="B2403" s="1057" t="s">
        <v>2672</v>
      </c>
      <c r="C2403" s="1058" t="e">
        <f>VLOOKUP(B2396,'LƯƠNG KT'!$D$15:$R$94,17,0)</f>
        <v>#N/A</v>
      </c>
      <c r="D2403" s="1059" t="e">
        <f>+C2403*$L$10</f>
        <v>#N/A</v>
      </c>
      <c r="E2403" s="1061"/>
      <c r="F2403" s="1061"/>
      <c r="G2403" s="1056" t="s">
        <v>2671</v>
      </c>
      <c r="H2403" s="1057" t="s">
        <v>2672</v>
      </c>
      <c r="I2403" s="1058" t="e">
        <f>VLOOKUP(H2396,'LƯƠNG KT'!$D$15:$R$94,17,0)</f>
        <v>#N/A</v>
      </c>
      <c r="J2403" s="1059" t="e">
        <f>+I2403*$L$10</f>
        <v>#N/A</v>
      </c>
      <c r="K2403" s="1085"/>
      <c r="L2403" s="1085"/>
      <c r="M2403" s="1085"/>
      <c r="N2403" s="1085"/>
      <c r="O2403" s="1085"/>
    </row>
    <row r="2404" spans="1:15" ht="15" customHeight="1">
      <c r="A2404" s="1056" t="s">
        <v>374</v>
      </c>
      <c r="B2404" s="1057" t="s">
        <v>2674</v>
      </c>
      <c r="C2404" s="1058" t="e">
        <f>VLOOKUP(B2396,'LƯƠNG KT'!$D$15:$R$94,12,0)</f>
        <v>#N/A</v>
      </c>
      <c r="D2404" s="1059" t="e">
        <f>VLOOKUP(B2396,'LƯƠNG KT'!$D$15:$R$94,14,0)</f>
        <v>#N/A</v>
      </c>
      <c r="E2404" s="1063"/>
      <c r="F2404" s="1061"/>
      <c r="G2404" s="1056" t="s">
        <v>374</v>
      </c>
      <c r="H2404" s="1057" t="s">
        <v>2674</v>
      </c>
      <c r="I2404" s="1058" t="e">
        <f>VLOOKUP(H2396,'LƯƠNG KT'!$D$15:$R$94,12,0)</f>
        <v>#N/A</v>
      </c>
      <c r="J2404" s="1059" t="e">
        <f>VLOOKUP(H2396,'LƯƠNG KT'!$D$15:$R$94,14,0)</f>
        <v>#N/A</v>
      </c>
      <c r="K2404" s="1085"/>
      <c r="L2404" s="1085"/>
      <c r="M2404" s="1085"/>
      <c r="N2404" s="1085"/>
      <c r="O2404" s="1085"/>
    </row>
    <row r="2405" spans="1:15" ht="15" customHeight="1">
      <c r="A2405" s="1056" t="s">
        <v>2675</v>
      </c>
      <c r="B2405" s="1057" t="s">
        <v>2676</v>
      </c>
      <c r="D2405" s="1064" t="e">
        <f>VLOOKUP(B2396,'LƯƠNG KT'!$D$15:$R$94,13,0)</f>
        <v>#N/A</v>
      </c>
      <c r="E2405" s="1065"/>
      <c r="F2405" s="1065"/>
      <c r="G2405" s="1056" t="s">
        <v>2675</v>
      </c>
      <c r="H2405" s="1057" t="s">
        <v>2676</v>
      </c>
      <c r="J2405" s="1064" t="e">
        <f>VLOOKUP(H2396,'LƯƠNG KT'!$D$15:$R$94,13,0)</f>
        <v>#N/A</v>
      </c>
    </row>
    <row r="2406" spans="1:15" ht="15" customHeight="1">
      <c r="A2406" s="1066"/>
      <c r="B2406" s="869"/>
      <c r="C2406" s="1058"/>
      <c r="D2406" s="1059"/>
      <c r="E2406" s="1063"/>
      <c r="F2406" s="1065"/>
      <c r="G2406" s="1066"/>
      <c r="H2406" s="869"/>
      <c r="I2406" s="1058"/>
      <c r="J2406" s="1059"/>
    </row>
    <row r="2407" spans="1:15" ht="15" customHeight="1">
      <c r="A2407" s="1052"/>
      <c r="B2407" s="869"/>
      <c r="C2407" s="1058"/>
      <c r="D2407" s="1059"/>
      <c r="E2407" s="1067"/>
      <c r="F2407" s="1051"/>
      <c r="G2407" s="1052"/>
      <c r="H2407" s="869"/>
      <c r="I2407" s="1058"/>
      <c r="J2407" s="1059"/>
    </row>
    <row r="2408" spans="1:15" ht="15" customHeight="1">
      <c r="A2408" s="1068" t="s">
        <v>383</v>
      </c>
      <c r="B2408" s="1069" t="s">
        <v>384</v>
      </c>
      <c r="C2408" s="1070"/>
      <c r="D2408" s="1071" t="e">
        <f>SUM(D2397:D2404)-D2407</f>
        <v>#N/A</v>
      </c>
      <c r="E2408" s="1072"/>
      <c r="F2408" s="1073"/>
      <c r="G2408" s="1068" t="s">
        <v>383</v>
      </c>
      <c r="H2408" s="1069" t="s">
        <v>384</v>
      </c>
      <c r="I2408" s="1070"/>
      <c r="J2408" s="1071" t="e">
        <f>SUM(J2397:J2404)-J2407</f>
        <v>#N/A</v>
      </c>
    </row>
    <row r="2409" spans="1:15" ht="15.75" customHeight="1">
      <c r="A2409" s="1074"/>
      <c r="B2409" s="1075"/>
      <c r="C2409" s="1076"/>
      <c r="D2409" s="1077"/>
      <c r="E2409" s="1077"/>
      <c r="F2409" s="1078"/>
      <c r="G2409" s="1074"/>
      <c r="H2409" s="1075"/>
      <c r="I2409" s="1076"/>
      <c r="J2409" s="1077"/>
    </row>
    <row r="2411" spans="1:15" ht="12" customHeight="1">
      <c r="A2411" s="2243"/>
      <c r="B2411" s="2243"/>
      <c r="C2411" s="2243"/>
      <c r="D2411" s="2243"/>
      <c r="E2411" s="2243"/>
      <c r="F2411" s="2243"/>
      <c r="G2411" s="2243"/>
      <c r="H2411" s="2243"/>
      <c r="I2411" s="2243"/>
      <c r="J2411" s="2243"/>
    </row>
    <row r="2412" spans="1:15" ht="15" customHeight="1">
      <c r="A2412" s="2242" t="str">
        <f>$K$2</f>
        <v>THÁNG 04/2025</v>
      </c>
      <c r="B2412" s="2242"/>
      <c r="C2412" s="2242"/>
      <c r="D2412" s="2242"/>
      <c r="E2412" s="1050"/>
      <c r="F2412" s="1051"/>
      <c r="G2412" s="2242" t="str">
        <f>$K$2</f>
        <v>THÁNG 04/2025</v>
      </c>
      <c r="H2412" s="2242"/>
      <c r="I2412" s="2242"/>
      <c r="J2412" s="2242"/>
      <c r="K2412" s="624"/>
    </row>
    <row r="2413" spans="1:15" ht="15" customHeight="1">
      <c r="A2413" s="1052" t="s">
        <v>356</v>
      </c>
      <c r="B2413" s="1053" t="s">
        <v>186</v>
      </c>
      <c r="C2413" s="869"/>
      <c r="D2413" s="1049"/>
      <c r="E2413" s="1054"/>
      <c r="F2413" s="1055"/>
      <c r="G2413" s="1052" t="s">
        <v>356</v>
      </c>
      <c r="H2413" s="1053" t="s">
        <v>187</v>
      </c>
      <c r="I2413" s="869"/>
      <c r="J2413" s="1049"/>
      <c r="L2413" s="1088"/>
      <c r="M2413" s="1088"/>
      <c r="N2413" s="1088"/>
      <c r="O2413" s="1088"/>
    </row>
    <row r="2414" spans="1:15" ht="15" customHeight="1">
      <c r="A2414" s="1056" t="s">
        <v>359</v>
      </c>
      <c r="B2414" s="1057" t="s">
        <v>2662</v>
      </c>
      <c r="C2414" s="1058" t="e">
        <f>VLOOKUP(B2413,'LƯƠNG KT'!$D$15:$R$94,4,0)</f>
        <v>#N/A</v>
      </c>
      <c r="D2414" s="1059" t="e">
        <f>+C2414*25000</f>
        <v>#N/A</v>
      </c>
      <c r="E2414" s="1060"/>
      <c r="F2414" s="1060"/>
      <c r="G2414" s="1056" t="s">
        <v>359</v>
      </c>
      <c r="H2414" s="1057" t="s">
        <v>2662</v>
      </c>
      <c r="I2414" s="1058" t="e">
        <f>VLOOKUP(H2413,'LƯƠNG KT'!$D$15:$R$94,4,0)</f>
        <v>#N/A</v>
      </c>
      <c r="J2414" s="1059" t="e">
        <f>+I2414*25000</f>
        <v>#N/A</v>
      </c>
      <c r="K2414" s="1084"/>
      <c r="L2414" s="1085"/>
      <c r="M2414" s="1085"/>
      <c r="N2414" s="1085"/>
      <c r="O2414" s="1085"/>
    </row>
    <row r="2415" spans="1:15" ht="15" customHeight="1">
      <c r="A2415" s="1056" t="s">
        <v>361</v>
      </c>
      <c r="B2415" s="1057" t="s">
        <v>2663</v>
      </c>
      <c r="C2415" s="1058" t="e">
        <f>VLOOKUP(B2413,'LƯƠNG KT'!$D$15:$R$94,15,0)</f>
        <v>#N/A</v>
      </c>
      <c r="D2415" s="1059" t="e">
        <f>C2415*$L$4</f>
        <v>#N/A</v>
      </c>
      <c r="E2415" s="1061"/>
      <c r="F2415" s="1061"/>
      <c r="G2415" s="1056" t="s">
        <v>361</v>
      </c>
      <c r="H2415" s="1057" t="s">
        <v>2663</v>
      </c>
      <c r="I2415" s="1058" t="e">
        <f>VLOOKUP(H2413,'LƯƠNG KT'!$D$15:$R$94,15,0)</f>
        <v>#N/A</v>
      </c>
      <c r="J2415" s="1059" t="e">
        <f>I2415*$L$4</f>
        <v>#N/A</v>
      </c>
      <c r="K2415" s="1084"/>
      <c r="L2415" s="1085"/>
      <c r="M2415" s="1085"/>
      <c r="N2415" s="1085"/>
      <c r="O2415" s="1085"/>
    </row>
    <row r="2416" spans="1:15" ht="15" customHeight="1">
      <c r="A2416" s="1056" t="s">
        <v>364</v>
      </c>
      <c r="B2416" s="1057" t="s">
        <v>2664</v>
      </c>
      <c r="C2416" s="1058" t="e">
        <f>VLOOKUP(B2413,'LƯƠNG KT'!$D$15:$R$94,16,0)</f>
        <v>#N/A</v>
      </c>
      <c r="D2416" s="1059" t="e">
        <f>C2416*$L$5</f>
        <v>#N/A</v>
      </c>
      <c r="E2416" s="1061"/>
      <c r="F2416" s="1061"/>
      <c r="G2416" s="1056" t="s">
        <v>364</v>
      </c>
      <c r="H2416" s="1057" t="s">
        <v>2664</v>
      </c>
      <c r="I2416" s="1058" t="e">
        <f>VLOOKUP(H2413,'LƯƠNG KT'!$D$15:$R$94,16,0)</f>
        <v>#N/A</v>
      </c>
      <c r="J2416" s="1059" t="e">
        <f>I2416*$L$5</f>
        <v>#N/A</v>
      </c>
      <c r="K2416" s="1084"/>
      <c r="L2416" s="1085"/>
      <c r="M2416" s="1085"/>
      <c r="N2416" s="1085"/>
      <c r="O2416" s="1085"/>
    </row>
    <row r="2417" spans="1:15" ht="15" customHeight="1">
      <c r="A2417" s="1056" t="s">
        <v>370</v>
      </c>
      <c r="B2417" s="1057" t="s">
        <v>2665</v>
      </c>
      <c r="C2417" s="1058" t="e">
        <f>VLOOKUP(B2413,'LƯƠNG KT'!$D$15:$R$94,24,0)</f>
        <v>#N/A</v>
      </c>
      <c r="D2417" s="1059" t="e">
        <f>+C2417*$L$6</f>
        <v>#N/A</v>
      </c>
      <c r="E2417" s="1061"/>
      <c r="F2417" s="1061"/>
      <c r="G2417" s="1056" t="s">
        <v>370</v>
      </c>
      <c r="H2417" s="1057" t="s">
        <v>2665</v>
      </c>
      <c r="I2417" s="1058" t="e">
        <f>VLOOKUP(H2413,'LƯƠNG KT'!$D$15:$R$94,24,0)</f>
        <v>#N/A</v>
      </c>
      <c r="J2417" s="1059" t="e">
        <f>+I2417*$L$6</f>
        <v>#N/A</v>
      </c>
      <c r="K2417" s="1085"/>
      <c r="L2417" s="1085"/>
      <c r="M2417" s="1085"/>
      <c r="N2417" s="1085"/>
      <c r="O2417" s="1085"/>
    </row>
    <row r="2418" spans="1:15" ht="15" customHeight="1">
      <c r="A2418" s="1056" t="s">
        <v>2666</v>
      </c>
      <c r="B2418" s="1057" t="s">
        <v>2667</v>
      </c>
      <c r="C2418" s="1058" t="e">
        <f>VLOOKUP(B2413,'LƯƠNG KT'!$D$15:$R$94,19,0)</f>
        <v>#N/A</v>
      </c>
      <c r="D2418" s="1059" t="e">
        <f>+C2418*$L$8</f>
        <v>#N/A</v>
      </c>
      <c r="E2418" s="1061"/>
      <c r="F2418" s="1061"/>
      <c r="G2418" s="1056" t="s">
        <v>2666</v>
      </c>
      <c r="H2418" s="1057" t="s">
        <v>2667</v>
      </c>
      <c r="I2418" s="1058" t="e">
        <f>VLOOKUP(H2413,'LƯƠNG KT'!$D$15:$R$94,19,0)</f>
        <v>#N/A</v>
      </c>
      <c r="J2418" s="1059" t="e">
        <f>+I2418*$L$8</f>
        <v>#N/A</v>
      </c>
      <c r="K2418" s="1085"/>
      <c r="L2418" s="1085"/>
      <c r="M2418" s="1085"/>
      <c r="N2418" s="1085"/>
      <c r="O2418" s="1085"/>
    </row>
    <row r="2419" spans="1:15" ht="15" customHeight="1">
      <c r="A2419" s="1056" t="s">
        <v>2668</v>
      </c>
      <c r="B2419" s="1062" t="s">
        <v>2669</v>
      </c>
      <c r="C2419" s="1058" t="e">
        <f>VLOOKUP(B2413,'LƯƠNG KT'!$D$15:$R$94,20,0)</f>
        <v>#N/A</v>
      </c>
      <c r="D2419" s="1059" t="e">
        <f>+C2419*$L$9</f>
        <v>#N/A</v>
      </c>
      <c r="E2419" s="1061"/>
      <c r="F2419" s="1061"/>
      <c r="G2419" s="1056" t="s">
        <v>2668</v>
      </c>
      <c r="H2419" s="1062" t="s">
        <v>2669</v>
      </c>
      <c r="I2419" s="1058" t="e">
        <f>VLOOKUP(H2413,'LƯƠNG KT'!$D$15:$R$94,20,0)</f>
        <v>#N/A</v>
      </c>
      <c r="J2419" s="1059" t="e">
        <f>+I2419*$L$9</f>
        <v>#N/A</v>
      </c>
      <c r="K2419" s="1085"/>
      <c r="L2419" s="1085"/>
      <c r="M2419" s="1085"/>
      <c r="N2419" s="1085"/>
      <c r="O2419" s="1085"/>
    </row>
    <row r="2420" spans="1:15" ht="15" customHeight="1">
      <c r="A2420" s="1056" t="s">
        <v>2671</v>
      </c>
      <c r="B2420" s="1057" t="s">
        <v>2672</v>
      </c>
      <c r="C2420" s="1058" t="e">
        <f>VLOOKUP(B2413,'LƯƠNG KT'!$D$15:$R$94,17,0)</f>
        <v>#N/A</v>
      </c>
      <c r="D2420" s="1059" t="e">
        <f>+C2420*$L$10</f>
        <v>#N/A</v>
      </c>
      <c r="E2420" s="1061"/>
      <c r="F2420" s="1061"/>
      <c r="G2420" s="1056" t="s">
        <v>2671</v>
      </c>
      <c r="H2420" s="1057" t="s">
        <v>2672</v>
      </c>
      <c r="I2420" s="1058" t="e">
        <f>VLOOKUP(H2413,'LƯƠNG KT'!$D$15:$R$94,17,0)</f>
        <v>#N/A</v>
      </c>
      <c r="J2420" s="1059" t="e">
        <f>+I2420*$L$10</f>
        <v>#N/A</v>
      </c>
      <c r="K2420" s="1085"/>
      <c r="L2420" s="1085"/>
      <c r="M2420" s="1085"/>
      <c r="N2420" s="1085"/>
      <c r="O2420" s="1085"/>
    </row>
    <row r="2421" spans="1:15" ht="15" customHeight="1">
      <c r="A2421" s="1056" t="s">
        <v>374</v>
      </c>
      <c r="B2421" s="1057" t="s">
        <v>2674</v>
      </c>
      <c r="C2421" s="1058" t="e">
        <f>VLOOKUP(B2413,'LƯƠNG KT'!$D$15:$R$94,12,0)</f>
        <v>#N/A</v>
      </c>
      <c r="D2421" s="1059" t="e">
        <f>VLOOKUP(B2413,'LƯƠNG KT'!$D$15:$R$94,14,0)</f>
        <v>#N/A</v>
      </c>
      <c r="E2421" s="1063"/>
      <c r="F2421" s="1061"/>
      <c r="G2421" s="1056" t="s">
        <v>374</v>
      </c>
      <c r="H2421" s="1057" t="s">
        <v>2674</v>
      </c>
      <c r="I2421" s="1058" t="e">
        <f>VLOOKUP(H2413,'LƯƠNG KT'!$D$15:$R$94,12,0)</f>
        <v>#N/A</v>
      </c>
      <c r="J2421" s="1059" t="e">
        <f>VLOOKUP(H2413,'LƯƠNG KT'!$D$15:$R$94,14,0)</f>
        <v>#N/A</v>
      </c>
      <c r="K2421" s="1085"/>
      <c r="L2421" s="1085"/>
      <c r="M2421" s="1085"/>
      <c r="N2421" s="1085"/>
      <c r="O2421" s="1085"/>
    </row>
    <row r="2422" spans="1:15" ht="15" customHeight="1">
      <c r="A2422" s="1056" t="s">
        <v>2675</v>
      </c>
      <c r="B2422" s="1057" t="s">
        <v>2676</v>
      </c>
      <c r="D2422" s="1064" t="e">
        <f>VLOOKUP(B2413,'LƯƠNG KT'!$D$15:$R$94,13,0)</f>
        <v>#N/A</v>
      </c>
      <c r="E2422" s="1065"/>
      <c r="F2422" s="1065"/>
      <c r="G2422" s="1056" t="s">
        <v>2675</v>
      </c>
      <c r="H2422" s="1057" t="s">
        <v>2676</v>
      </c>
      <c r="J2422" s="1064" t="e">
        <f>VLOOKUP(H2413,'LƯƠNG KT'!$D$15:$R$94,13,0)</f>
        <v>#N/A</v>
      </c>
    </row>
    <row r="2423" spans="1:15" ht="15" customHeight="1">
      <c r="A2423" s="1066"/>
      <c r="B2423" s="869"/>
      <c r="C2423" s="1058"/>
      <c r="D2423" s="1059"/>
      <c r="E2423" s="1063"/>
      <c r="F2423" s="1065"/>
      <c r="G2423" s="1066"/>
      <c r="H2423" s="869"/>
      <c r="I2423" s="1058"/>
      <c r="J2423" s="1059"/>
    </row>
    <row r="2424" spans="1:15" ht="15" customHeight="1">
      <c r="A2424" s="1052"/>
      <c r="B2424" s="869"/>
      <c r="C2424" s="1058"/>
      <c r="D2424" s="1059"/>
      <c r="E2424" s="1067"/>
      <c r="F2424" s="1051"/>
      <c r="G2424" s="1052"/>
      <c r="H2424" s="869"/>
      <c r="I2424" s="1058"/>
      <c r="J2424" s="1059"/>
    </row>
    <row r="2425" spans="1:15" ht="15" customHeight="1">
      <c r="A2425" s="1068" t="s">
        <v>383</v>
      </c>
      <c r="B2425" s="1069" t="s">
        <v>384</v>
      </c>
      <c r="C2425" s="1070"/>
      <c r="D2425" s="1071" t="e">
        <f>SUM(D2414:D2421)-D2424</f>
        <v>#N/A</v>
      </c>
      <c r="E2425" s="1072"/>
      <c r="F2425" s="1073"/>
      <c r="G2425" s="1068" t="s">
        <v>383</v>
      </c>
      <c r="H2425" s="1069" t="s">
        <v>384</v>
      </c>
      <c r="I2425" s="1070"/>
      <c r="J2425" s="1071" t="e">
        <f>SUM(J2414:J2421)-J2424</f>
        <v>#N/A</v>
      </c>
    </row>
    <row r="2426" spans="1:15" ht="12.6" customHeight="1">
      <c r="A2426" s="1074"/>
      <c r="B2426" s="1075"/>
      <c r="C2426" s="1076"/>
      <c r="D2426" s="1077"/>
      <c r="E2426" s="1077"/>
      <c r="F2426" s="1078"/>
      <c r="G2426" s="1074"/>
      <c r="H2426" s="1075"/>
      <c r="I2426" s="1076"/>
      <c r="J2426" s="1077"/>
    </row>
    <row r="2427" spans="1:15" ht="137.25" customHeight="1">
      <c r="A2427" s="1075"/>
      <c r="B2427" s="1075"/>
      <c r="C2427" s="1079"/>
      <c r="D2427" s="1080"/>
      <c r="E2427" s="1075"/>
      <c r="F2427" s="1081"/>
      <c r="G2427" s="1075"/>
      <c r="H2427" s="1075"/>
      <c r="I2427" s="1079"/>
      <c r="J2427" s="1080"/>
    </row>
    <row r="2428" spans="1:15" ht="15" customHeight="1">
      <c r="A2428" s="2242" t="str">
        <f>$K$2</f>
        <v>THÁNG 04/2025</v>
      </c>
      <c r="B2428" s="2242"/>
      <c r="C2428" s="2242"/>
      <c r="D2428" s="2242"/>
      <c r="E2428" s="1050"/>
      <c r="F2428" s="1051"/>
      <c r="G2428" s="2242" t="str">
        <f>$K$2</f>
        <v>THÁNG 04/2025</v>
      </c>
      <c r="H2428" s="2242"/>
      <c r="I2428" s="2242"/>
      <c r="J2428" s="2242"/>
      <c r="K2428" s="624"/>
    </row>
    <row r="2429" spans="1:15" ht="15" customHeight="1">
      <c r="A2429" s="1052" t="s">
        <v>356</v>
      </c>
      <c r="B2429" s="1053" t="s">
        <v>188</v>
      </c>
      <c r="C2429" s="869"/>
      <c r="D2429" s="1049"/>
      <c r="E2429" s="1054"/>
      <c r="F2429" s="1055"/>
      <c r="G2429" s="1052" t="s">
        <v>356</v>
      </c>
      <c r="H2429" s="1053" t="s">
        <v>189</v>
      </c>
      <c r="I2429" s="869"/>
      <c r="J2429" s="1049"/>
      <c r="L2429" s="1088"/>
      <c r="M2429" s="1088"/>
      <c r="N2429" s="1088"/>
      <c r="O2429" s="1088"/>
    </row>
    <row r="2430" spans="1:15" ht="15" customHeight="1">
      <c r="A2430" s="1056" t="s">
        <v>359</v>
      </c>
      <c r="B2430" s="1057" t="s">
        <v>2662</v>
      </c>
      <c r="C2430" s="1058" t="e">
        <f>VLOOKUP(B2429,'LƯƠNG KT'!$D$15:$R$94,4,0)</f>
        <v>#N/A</v>
      </c>
      <c r="D2430" s="1059" t="e">
        <f>+C2430*25000</f>
        <v>#N/A</v>
      </c>
      <c r="E2430" s="1060"/>
      <c r="F2430" s="1060"/>
      <c r="G2430" s="1056" t="s">
        <v>359</v>
      </c>
      <c r="H2430" s="1057" t="s">
        <v>2662</v>
      </c>
      <c r="I2430" s="1058" t="e">
        <f>VLOOKUP(H2429,'LƯƠNG KT'!$D$15:$R$94,4,0)</f>
        <v>#N/A</v>
      </c>
      <c r="J2430" s="1059" t="e">
        <f>+I2430*25000</f>
        <v>#N/A</v>
      </c>
      <c r="K2430" s="1085"/>
      <c r="L2430" s="1085"/>
      <c r="M2430" s="1085"/>
      <c r="N2430" s="1085"/>
      <c r="O2430" s="1085"/>
    </row>
    <row r="2431" spans="1:15" ht="15" customHeight="1">
      <c r="A2431" s="1056" t="s">
        <v>361</v>
      </c>
      <c r="B2431" s="1057" t="s">
        <v>2663</v>
      </c>
      <c r="C2431" s="1058" t="e">
        <f>VLOOKUP(B2429,'LƯƠNG KT'!$D$15:$R$94,15,0)</f>
        <v>#N/A</v>
      </c>
      <c r="D2431" s="1059" t="e">
        <f>C2431*$L$4</f>
        <v>#N/A</v>
      </c>
      <c r="E2431" s="1061"/>
      <c r="F2431" s="1061"/>
      <c r="G2431" s="1056" t="s">
        <v>361</v>
      </c>
      <c r="H2431" s="1057" t="s">
        <v>2663</v>
      </c>
      <c r="I2431" s="1058" t="e">
        <f>VLOOKUP(H2429,'LƯƠNG KT'!$D$15:$R$94,15,0)</f>
        <v>#N/A</v>
      </c>
      <c r="J2431" s="1059" t="e">
        <f>I2431*$L$4</f>
        <v>#N/A</v>
      </c>
      <c r="K2431" s="1085"/>
      <c r="L2431" s="1085"/>
      <c r="M2431" s="1085"/>
      <c r="N2431" s="1085"/>
      <c r="O2431" s="1085"/>
    </row>
    <row r="2432" spans="1:15" ht="15" customHeight="1">
      <c r="A2432" s="1056" t="s">
        <v>364</v>
      </c>
      <c r="B2432" s="1057" t="s">
        <v>2664</v>
      </c>
      <c r="C2432" s="1058" t="e">
        <f>VLOOKUP(B2429,'LƯƠNG KT'!$D$15:$R$94,16,0)</f>
        <v>#N/A</v>
      </c>
      <c r="D2432" s="1059" t="e">
        <f>C2432*$L$5</f>
        <v>#N/A</v>
      </c>
      <c r="E2432" s="1061"/>
      <c r="F2432" s="1061"/>
      <c r="G2432" s="1056" t="s">
        <v>364</v>
      </c>
      <c r="H2432" s="1057" t="s">
        <v>2664</v>
      </c>
      <c r="I2432" s="1058" t="e">
        <f>VLOOKUP(H2429,'LƯƠNG KT'!$D$15:$R$94,16,0)</f>
        <v>#N/A</v>
      </c>
      <c r="J2432" s="1059" t="e">
        <f>I2432*$L$5</f>
        <v>#N/A</v>
      </c>
      <c r="K2432" s="1085"/>
      <c r="L2432" s="1085"/>
      <c r="M2432" s="1085"/>
      <c r="N2432" s="1085"/>
      <c r="O2432" s="1085"/>
    </row>
    <row r="2433" spans="1:15" ht="15" customHeight="1">
      <c r="A2433" s="1056" t="s">
        <v>370</v>
      </c>
      <c r="B2433" s="1057" t="s">
        <v>2665</v>
      </c>
      <c r="C2433" s="1058" t="e">
        <f>VLOOKUP(B2429,'LƯƠNG KT'!$D$15:$R$94,24,0)</f>
        <v>#N/A</v>
      </c>
      <c r="D2433" s="1059" t="e">
        <f>+C2433*$L$6</f>
        <v>#N/A</v>
      </c>
      <c r="E2433" s="1061"/>
      <c r="F2433" s="1061"/>
      <c r="G2433" s="1056" t="s">
        <v>370</v>
      </c>
      <c r="H2433" s="1057" t="s">
        <v>2665</v>
      </c>
      <c r="I2433" s="1058" t="e">
        <f>VLOOKUP(H2429,'LƯƠNG KT'!$D$15:$R$94,24,0)</f>
        <v>#N/A</v>
      </c>
      <c r="J2433" s="1059" t="e">
        <f>+I2433*$L$6</f>
        <v>#N/A</v>
      </c>
      <c r="K2433" s="1085"/>
      <c r="L2433" s="1085"/>
      <c r="M2433" s="1085"/>
      <c r="N2433" s="1085"/>
      <c r="O2433" s="1085"/>
    </row>
    <row r="2434" spans="1:15" ht="15" customHeight="1">
      <c r="A2434" s="1056" t="s">
        <v>2666</v>
      </c>
      <c r="B2434" s="1057" t="s">
        <v>2667</v>
      </c>
      <c r="C2434" s="1058" t="e">
        <f>VLOOKUP(B2429,'LƯƠNG KT'!$D$15:$R$94,19,0)</f>
        <v>#N/A</v>
      </c>
      <c r="D2434" s="1059" t="e">
        <f>+C2434*$L$8</f>
        <v>#N/A</v>
      </c>
      <c r="E2434" s="1061"/>
      <c r="F2434" s="1061"/>
      <c r="G2434" s="1056" t="s">
        <v>2666</v>
      </c>
      <c r="H2434" s="1057" t="s">
        <v>2667</v>
      </c>
      <c r="I2434" s="1058" t="e">
        <f>VLOOKUP(H2429,'LƯƠNG KT'!$D$15:$R$94,19,0)</f>
        <v>#N/A</v>
      </c>
      <c r="J2434" s="1059" t="e">
        <f>+I2434*$L$8</f>
        <v>#N/A</v>
      </c>
      <c r="K2434" s="1085"/>
      <c r="L2434" s="1085"/>
      <c r="M2434" s="1085"/>
      <c r="N2434" s="1085"/>
      <c r="O2434" s="1085"/>
    </row>
    <row r="2435" spans="1:15" ht="15" customHeight="1">
      <c r="A2435" s="1056" t="s">
        <v>2668</v>
      </c>
      <c r="B2435" s="1062" t="s">
        <v>2669</v>
      </c>
      <c r="C2435" s="1058" t="e">
        <f>VLOOKUP(B2429,'LƯƠNG KT'!$D$15:$R$94,20,0)</f>
        <v>#N/A</v>
      </c>
      <c r="D2435" s="1059" t="e">
        <f>+C2435*$L$9</f>
        <v>#N/A</v>
      </c>
      <c r="E2435" s="1061"/>
      <c r="F2435" s="1061"/>
      <c r="G2435" s="1056" t="s">
        <v>2668</v>
      </c>
      <c r="H2435" s="1062" t="s">
        <v>2669</v>
      </c>
      <c r="I2435" s="1058" t="e">
        <f>VLOOKUP(H2429,'LƯƠNG KT'!$D$15:$R$94,20,0)</f>
        <v>#N/A</v>
      </c>
      <c r="J2435" s="1059" t="e">
        <f>+I2435*$L$9</f>
        <v>#N/A</v>
      </c>
      <c r="K2435" s="1085"/>
      <c r="L2435" s="1085"/>
      <c r="M2435" s="1085"/>
      <c r="N2435" s="1085"/>
      <c r="O2435" s="1085"/>
    </row>
    <row r="2436" spans="1:15" ht="15" customHeight="1">
      <c r="A2436" s="1056" t="s">
        <v>2671</v>
      </c>
      <c r="B2436" s="1057" t="s">
        <v>2672</v>
      </c>
      <c r="C2436" s="1058" t="e">
        <f>VLOOKUP(B2429,'LƯƠNG KT'!$D$15:$R$94,17,0)</f>
        <v>#N/A</v>
      </c>
      <c r="D2436" s="1059" t="e">
        <f>+C2436*$L$10</f>
        <v>#N/A</v>
      </c>
      <c r="E2436" s="1061"/>
      <c r="F2436" s="1061"/>
      <c r="G2436" s="1056" t="s">
        <v>2671</v>
      </c>
      <c r="H2436" s="1057" t="s">
        <v>2672</v>
      </c>
      <c r="I2436" s="1058" t="e">
        <f>VLOOKUP(H2429,'LƯƠNG KT'!$D$15:$R$94,17,0)</f>
        <v>#N/A</v>
      </c>
      <c r="J2436" s="1059" t="e">
        <f>+I2436*$L$10</f>
        <v>#N/A</v>
      </c>
      <c r="K2436" s="1085"/>
      <c r="L2436" s="1085"/>
      <c r="M2436" s="1085"/>
      <c r="N2436" s="1085"/>
      <c r="O2436" s="1085"/>
    </row>
    <row r="2437" spans="1:15" ht="15" customHeight="1">
      <c r="A2437" s="1056" t="s">
        <v>374</v>
      </c>
      <c r="B2437" s="1057" t="s">
        <v>2674</v>
      </c>
      <c r="C2437" s="1058" t="e">
        <f>VLOOKUP(B2429,'LƯƠNG KT'!$D$15:$R$94,12,0)</f>
        <v>#N/A</v>
      </c>
      <c r="D2437" s="1059" t="e">
        <f>VLOOKUP(B2429,'LƯƠNG KT'!$D$15:$R$94,14,0)</f>
        <v>#N/A</v>
      </c>
      <c r="E2437" s="1063"/>
      <c r="F2437" s="1061"/>
      <c r="G2437" s="1056" t="s">
        <v>374</v>
      </c>
      <c r="H2437" s="1057" t="s">
        <v>2674</v>
      </c>
      <c r="I2437" s="1058" t="e">
        <f>VLOOKUP(H2429,'LƯƠNG KT'!$D$15:$R$94,12,0)</f>
        <v>#N/A</v>
      </c>
      <c r="J2437" s="1059" t="e">
        <f>VLOOKUP(H2429,'LƯƠNG KT'!$D$15:$R$94,14,0)</f>
        <v>#N/A</v>
      </c>
      <c r="K2437" s="1085"/>
      <c r="L2437" s="1085"/>
      <c r="M2437" s="1085"/>
      <c r="N2437" s="1085"/>
      <c r="O2437" s="1085"/>
    </row>
    <row r="2438" spans="1:15" ht="15" customHeight="1">
      <c r="A2438" s="1056" t="s">
        <v>2675</v>
      </c>
      <c r="B2438" s="1057" t="s">
        <v>2676</v>
      </c>
      <c r="D2438" s="1064" t="e">
        <f>VLOOKUP(B2429,'LƯƠNG KT'!$D$15:$R$94,13,0)</f>
        <v>#N/A</v>
      </c>
      <c r="E2438" s="1065"/>
      <c r="F2438" s="1065"/>
      <c r="G2438" s="1056" t="s">
        <v>2675</v>
      </c>
      <c r="H2438" s="1057" t="s">
        <v>2676</v>
      </c>
      <c r="J2438" s="1064" t="e">
        <f>VLOOKUP(H2429,'LƯƠNG KT'!$D$15:$R$94,13,0)</f>
        <v>#N/A</v>
      </c>
    </row>
    <row r="2439" spans="1:15" ht="15" customHeight="1">
      <c r="A2439" s="1066"/>
      <c r="B2439" s="869"/>
      <c r="C2439" s="1058"/>
      <c r="D2439" s="1059"/>
      <c r="E2439" s="1063"/>
      <c r="F2439" s="1065"/>
      <c r="G2439" s="1066"/>
      <c r="H2439" s="869"/>
      <c r="I2439" s="1058"/>
      <c r="J2439" s="1059"/>
    </row>
    <row r="2440" spans="1:15" ht="15" customHeight="1">
      <c r="A2440" s="1052"/>
      <c r="B2440" s="869"/>
      <c r="C2440" s="1058"/>
      <c r="D2440" s="1059"/>
      <c r="E2440" s="1067"/>
      <c r="F2440" s="1051"/>
      <c r="G2440" s="1052"/>
      <c r="H2440" s="869"/>
      <c r="I2440" s="1058"/>
      <c r="J2440" s="1059"/>
    </row>
    <row r="2441" spans="1:15" ht="15" customHeight="1">
      <c r="A2441" s="1068" t="s">
        <v>383</v>
      </c>
      <c r="B2441" s="1069" t="s">
        <v>384</v>
      </c>
      <c r="C2441" s="1070"/>
      <c r="D2441" s="1071" t="e">
        <f>SUM(D2430:D2437)-D2440</f>
        <v>#N/A</v>
      </c>
      <c r="E2441" s="1072"/>
      <c r="F2441" s="1073"/>
      <c r="G2441" s="1068" t="s">
        <v>383</v>
      </c>
      <c r="H2441" s="1069" t="s">
        <v>384</v>
      </c>
      <c r="I2441" s="1070"/>
      <c r="J2441" s="1071" t="e">
        <f>SUM(J2430:J2437)-J2440</f>
        <v>#N/A</v>
      </c>
    </row>
    <row r="2442" spans="1:15" ht="18.75" customHeight="1">
      <c r="A2442" s="1074"/>
      <c r="B2442" s="1075"/>
      <c r="C2442" s="1076"/>
      <c r="D2442" s="1077"/>
      <c r="E2442" s="1077"/>
      <c r="F2442" s="1078"/>
      <c r="G2442" s="1074"/>
      <c r="H2442" s="1075"/>
      <c r="I2442" s="1076"/>
      <c r="J2442" s="1077"/>
    </row>
    <row r="2443" spans="1:15" ht="18.75" customHeight="1">
      <c r="A2443" s="1075"/>
      <c r="B2443" s="1075"/>
      <c r="C2443" s="1079"/>
      <c r="D2443" s="1080"/>
      <c r="E2443" s="1075"/>
      <c r="F2443" s="1081"/>
      <c r="G2443" s="1075"/>
      <c r="H2443" s="1075"/>
      <c r="I2443" s="1079"/>
      <c r="J2443" s="1080"/>
    </row>
    <row r="2444" spans="1:15" ht="15" customHeight="1">
      <c r="A2444" s="2242" t="str">
        <f>$K$2</f>
        <v>THÁNG 04/2025</v>
      </c>
      <c r="B2444" s="2242"/>
      <c r="C2444" s="2242"/>
      <c r="D2444" s="2242"/>
      <c r="E2444" s="1050"/>
      <c r="F2444" s="1051"/>
      <c r="G2444" s="2242" t="str">
        <f>$K$2</f>
        <v>THÁNG 04/2025</v>
      </c>
      <c r="H2444" s="2242"/>
      <c r="I2444" s="2242"/>
      <c r="J2444" s="2242"/>
      <c r="K2444" s="624"/>
    </row>
    <row r="2445" spans="1:15" ht="15" customHeight="1">
      <c r="A2445" s="1052" t="s">
        <v>356</v>
      </c>
      <c r="B2445" s="1053" t="s">
        <v>190</v>
      </c>
      <c r="C2445" s="869"/>
      <c r="D2445" s="1049"/>
      <c r="E2445" s="1054"/>
      <c r="F2445" s="1055"/>
      <c r="G2445" s="1052" t="s">
        <v>356</v>
      </c>
      <c r="H2445" s="1053" t="s">
        <v>191</v>
      </c>
      <c r="I2445" s="869"/>
      <c r="J2445" s="1049"/>
      <c r="L2445" s="1088"/>
      <c r="M2445" s="1088"/>
      <c r="N2445" s="1088"/>
      <c r="O2445" s="1088"/>
    </row>
    <row r="2446" spans="1:15" ht="15" customHeight="1">
      <c r="A2446" s="1056" t="s">
        <v>359</v>
      </c>
      <c r="B2446" s="1057" t="s">
        <v>2662</v>
      </c>
      <c r="C2446" s="1058" t="e">
        <f>VLOOKUP(B2445,'LƯƠNG KT'!$D$15:$R$94,4,0)</f>
        <v>#N/A</v>
      </c>
      <c r="D2446" s="1059" t="e">
        <f>+C2446*25000</f>
        <v>#N/A</v>
      </c>
      <c r="E2446" s="1060"/>
      <c r="F2446" s="1060"/>
      <c r="G2446" s="1056" t="s">
        <v>359</v>
      </c>
      <c r="H2446" s="1057" t="s">
        <v>2662</v>
      </c>
      <c r="I2446" s="1058" t="e">
        <f>VLOOKUP(H2445,'LƯƠNG KT'!$D$15:$R$94,4,0)</f>
        <v>#N/A</v>
      </c>
      <c r="J2446" s="1059" t="e">
        <f>+I2446*25000</f>
        <v>#N/A</v>
      </c>
      <c r="K2446" s="1085"/>
      <c r="L2446" s="1085"/>
      <c r="M2446" s="1085"/>
      <c r="N2446" s="1085"/>
      <c r="O2446" s="1085"/>
    </row>
    <row r="2447" spans="1:15" ht="15" customHeight="1">
      <c r="A2447" s="1056" t="s">
        <v>361</v>
      </c>
      <c r="B2447" s="1057" t="s">
        <v>2663</v>
      </c>
      <c r="C2447" s="1058" t="e">
        <f>VLOOKUP(B2445,'LƯƠNG KT'!$D$15:$R$94,15,0)</f>
        <v>#N/A</v>
      </c>
      <c r="D2447" s="1059" t="e">
        <f>C2447*$L$4</f>
        <v>#N/A</v>
      </c>
      <c r="E2447" s="1061"/>
      <c r="F2447" s="1061"/>
      <c r="G2447" s="1056" t="s">
        <v>361</v>
      </c>
      <c r="H2447" s="1057" t="s">
        <v>2663</v>
      </c>
      <c r="I2447" s="1058" t="e">
        <f>VLOOKUP(H2445,'LƯƠNG KT'!$D$15:$R$94,15,0)</f>
        <v>#N/A</v>
      </c>
      <c r="J2447" s="1059" t="e">
        <f>I2447*$L$4</f>
        <v>#N/A</v>
      </c>
      <c r="K2447" s="1085"/>
      <c r="L2447" s="1085"/>
      <c r="M2447" s="1085"/>
      <c r="N2447" s="1085"/>
      <c r="O2447" s="1085"/>
    </row>
    <row r="2448" spans="1:15" ht="15" customHeight="1">
      <c r="A2448" s="1056" t="s">
        <v>364</v>
      </c>
      <c r="B2448" s="1057" t="s">
        <v>2664</v>
      </c>
      <c r="C2448" s="1058" t="e">
        <f>VLOOKUP(B2445,'LƯƠNG KT'!$D$15:$R$94,16,0)</f>
        <v>#N/A</v>
      </c>
      <c r="D2448" s="1059" t="e">
        <f>C2448*$L$5</f>
        <v>#N/A</v>
      </c>
      <c r="E2448" s="1061"/>
      <c r="F2448" s="1061"/>
      <c r="G2448" s="1056" t="s">
        <v>364</v>
      </c>
      <c r="H2448" s="1057" t="s">
        <v>2664</v>
      </c>
      <c r="I2448" s="1058" t="e">
        <f>VLOOKUP(H2445,'LƯƠNG KT'!$D$15:$R$94,16,0)</f>
        <v>#N/A</v>
      </c>
      <c r="J2448" s="1059" t="e">
        <f>I2448*$L$5</f>
        <v>#N/A</v>
      </c>
      <c r="K2448" s="1085"/>
      <c r="L2448" s="1085"/>
      <c r="M2448" s="1085"/>
      <c r="N2448" s="1085"/>
      <c r="O2448" s="1085"/>
    </row>
    <row r="2449" spans="1:15" ht="15" customHeight="1">
      <c r="A2449" s="1056" t="s">
        <v>370</v>
      </c>
      <c r="B2449" s="1057" t="s">
        <v>2665</v>
      </c>
      <c r="C2449" s="1058" t="e">
        <f>VLOOKUP(B2445,'LƯƠNG KT'!$D$15:$R$94,24,0)</f>
        <v>#N/A</v>
      </c>
      <c r="D2449" s="1059" t="e">
        <f>+C2449*$L$6</f>
        <v>#N/A</v>
      </c>
      <c r="E2449" s="1061"/>
      <c r="F2449" s="1061"/>
      <c r="G2449" s="1056" t="s">
        <v>370</v>
      </c>
      <c r="H2449" s="1057" t="s">
        <v>2665</v>
      </c>
      <c r="I2449" s="1058" t="e">
        <f>VLOOKUP(H2445,'LƯƠNG KT'!$D$15:$R$94,24,0)</f>
        <v>#N/A</v>
      </c>
      <c r="J2449" s="1059" t="e">
        <f>+I2449*$L$6</f>
        <v>#N/A</v>
      </c>
      <c r="K2449" s="1085"/>
      <c r="L2449" s="1085"/>
      <c r="M2449" s="1085"/>
      <c r="N2449" s="1085"/>
      <c r="O2449" s="1085"/>
    </row>
    <row r="2450" spans="1:15" ht="15" customHeight="1">
      <c r="A2450" s="1056" t="s">
        <v>2666</v>
      </c>
      <c r="B2450" s="1057" t="s">
        <v>2667</v>
      </c>
      <c r="C2450" s="1058" t="e">
        <f>VLOOKUP(B2445,'LƯƠNG KT'!$D$15:$R$94,19,0)</f>
        <v>#N/A</v>
      </c>
      <c r="D2450" s="1059" t="e">
        <f>+C2450*$L$8</f>
        <v>#N/A</v>
      </c>
      <c r="E2450" s="1061"/>
      <c r="F2450" s="1061"/>
      <c r="G2450" s="1056" t="s">
        <v>2666</v>
      </c>
      <c r="H2450" s="1057" t="s">
        <v>2667</v>
      </c>
      <c r="I2450" s="1058" t="e">
        <f>VLOOKUP(H2445,'LƯƠNG KT'!$D$15:$R$94,19,0)</f>
        <v>#N/A</v>
      </c>
      <c r="J2450" s="1059" t="e">
        <f>+I2450*$L$8</f>
        <v>#N/A</v>
      </c>
      <c r="K2450" s="1085"/>
      <c r="L2450" s="1085"/>
      <c r="M2450" s="1085"/>
      <c r="N2450" s="1085"/>
      <c r="O2450" s="1085"/>
    </row>
    <row r="2451" spans="1:15" ht="15" customHeight="1">
      <c r="A2451" s="1056" t="s">
        <v>2668</v>
      </c>
      <c r="B2451" s="1062" t="s">
        <v>2669</v>
      </c>
      <c r="C2451" s="1058" t="e">
        <f>VLOOKUP(B2445,'LƯƠNG KT'!$D$15:$R$94,20,0)</f>
        <v>#N/A</v>
      </c>
      <c r="D2451" s="1059" t="e">
        <f>+C2451*$L$9</f>
        <v>#N/A</v>
      </c>
      <c r="E2451" s="1061"/>
      <c r="F2451" s="1061"/>
      <c r="G2451" s="1056" t="s">
        <v>2668</v>
      </c>
      <c r="H2451" s="1062" t="s">
        <v>2669</v>
      </c>
      <c r="I2451" s="1058" t="e">
        <f>VLOOKUP(H2445,'LƯƠNG KT'!$D$15:$R$94,20,0)</f>
        <v>#N/A</v>
      </c>
      <c r="J2451" s="1059" t="e">
        <f>+I2451*$L$9</f>
        <v>#N/A</v>
      </c>
      <c r="K2451" s="1085"/>
      <c r="L2451" s="1085"/>
      <c r="M2451" s="1085"/>
      <c r="N2451" s="1085"/>
      <c r="O2451" s="1085"/>
    </row>
    <row r="2452" spans="1:15" ht="15" customHeight="1">
      <c r="A2452" s="1056" t="s">
        <v>2671</v>
      </c>
      <c r="B2452" s="1057" t="s">
        <v>2672</v>
      </c>
      <c r="C2452" s="1058" t="e">
        <f>VLOOKUP(B2445,'LƯƠNG KT'!$D$15:$R$94,17,0)</f>
        <v>#N/A</v>
      </c>
      <c r="D2452" s="1059" t="e">
        <f>+C2452*$L$10</f>
        <v>#N/A</v>
      </c>
      <c r="E2452" s="1061"/>
      <c r="F2452" s="1061"/>
      <c r="G2452" s="1056" t="s">
        <v>2671</v>
      </c>
      <c r="H2452" s="1057" t="s">
        <v>2672</v>
      </c>
      <c r="I2452" s="1058" t="e">
        <f>VLOOKUP(H2445,'LƯƠNG KT'!$D$15:$R$94,17,0)</f>
        <v>#N/A</v>
      </c>
      <c r="J2452" s="1059" t="e">
        <f>+I2452*$L$10</f>
        <v>#N/A</v>
      </c>
      <c r="K2452" s="1085"/>
      <c r="L2452" s="1085"/>
      <c r="M2452" s="1085"/>
      <c r="N2452" s="1085"/>
      <c r="O2452" s="1085"/>
    </row>
    <row r="2453" spans="1:15" ht="15" customHeight="1">
      <c r="A2453" s="1056" t="s">
        <v>374</v>
      </c>
      <c r="B2453" s="1057" t="s">
        <v>2674</v>
      </c>
      <c r="C2453" s="1058" t="e">
        <f>VLOOKUP(B2445,'LƯƠNG KT'!$D$15:$R$94,12,0)</f>
        <v>#N/A</v>
      </c>
      <c r="D2453" s="1059" t="e">
        <f>VLOOKUP(B2445,'LƯƠNG KT'!$D$15:$R$94,14,0)</f>
        <v>#N/A</v>
      </c>
      <c r="E2453" s="1063"/>
      <c r="F2453" s="1061"/>
      <c r="G2453" s="1056" t="s">
        <v>374</v>
      </c>
      <c r="H2453" s="1057" t="s">
        <v>2674</v>
      </c>
      <c r="I2453" s="1058" t="e">
        <f>VLOOKUP(H2445,'LƯƠNG KT'!$D$15:$R$94,12,0)</f>
        <v>#N/A</v>
      </c>
      <c r="J2453" s="1059" t="e">
        <f>VLOOKUP(H2445,'LƯƠNG KT'!$D$15:$R$94,14,0)</f>
        <v>#N/A</v>
      </c>
      <c r="K2453" s="1085"/>
      <c r="L2453" s="1085"/>
      <c r="M2453" s="1085"/>
      <c r="N2453" s="1085"/>
      <c r="O2453" s="1085"/>
    </row>
    <row r="2454" spans="1:15" ht="15" customHeight="1">
      <c r="A2454" s="1056" t="s">
        <v>2675</v>
      </c>
      <c r="B2454" s="1057" t="s">
        <v>2676</v>
      </c>
      <c r="D2454" s="1064" t="e">
        <f>VLOOKUP(B2445,'LƯƠNG KT'!$D$15:$R$94,13,0)</f>
        <v>#N/A</v>
      </c>
      <c r="E2454" s="1065"/>
      <c r="F2454" s="1065"/>
      <c r="G2454" s="1056" t="s">
        <v>2675</v>
      </c>
      <c r="H2454" s="1057" t="s">
        <v>2676</v>
      </c>
      <c r="J2454" s="1064" t="e">
        <f>VLOOKUP(H2445,'LƯƠNG KT'!$D$15:$R$94,13,0)</f>
        <v>#N/A</v>
      </c>
    </row>
    <row r="2455" spans="1:15" ht="15" customHeight="1">
      <c r="A2455" s="1066"/>
      <c r="B2455" s="869"/>
      <c r="C2455" s="1058"/>
      <c r="D2455" s="1059"/>
      <c r="E2455" s="1063"/>
      <c r="F2455" s="1065"/>
      <c r="G2455" s="1066"/>
      <c r="H2455" s="869"/>
      <c r="I2455" s="1058"/>
      <c r="J2455" s="1059"/>
    </row>
    <row r="2456" spans="1:15" ht="15" customHeight="1">
      <c r="A2456" s="1052"/>
      <c r="B2456" s="869"/>
      <c r="C2456" s="1058"/>
      <c r="D2456" s="1059"/>
      <c r="E2456" s="1067"/>
      <c r="F2456" s="1051"/>
      <c r="G2456" s="1052"/>
      <c r="H2456" s="869"/>
      <c r="I2456" s="1058"/>
      <c r="J2456" s="1059"/>
    </row>
    <row r="2457" spans="1:15" ht="15" customHeight="1">
      <c r="A2457" s="1068" t="s">
        <v>383</v>
      </c>
      <c r="B2457" s="1069" t="s">
        <v>384</v>
      </c>
      <c r="C2457" s="1070"/>
      <c r="D2457" s="1071" t="e">
        <f>SUM(D2446:D2453)-D2456</f>
        <v>#N/A</v>
      </c>
      <c r="E2457" s="1072"/>
      <c r="F2457" s="1073"/>
      <c r="G2457" s="1068" t="s">
        <v>383</v>
      </c>
      <c r="H2457" s="1069" t="s">
        <v>384</v>
      </c>
      <c r="I2457" s="1070"/>
      <c r="J2457" s="1071" t="e">
        <f>SUM(J2446:J2453)-J2456</f>
        <v>#N/A</v>
      </c>
    </row>
    <row r="2458" spans="1:15" ht="18.75" customHeight="1">
      <c r="A2458" s="1074"/>
      <c r="B2458" s="1075"/>
      <c r="C2458" s="1076"/>
      <c r="D2458" s="1077"/>
      <c r="E2458" s="1077"/>
      <c r="F2458" s="1078"/>
      <c r="G2458" s="1074"/>
      <c r="H2458" s="1075"/>
      <c r="I2458" s="1076"/>
      <c r="J2458" s="1077"/>
    </row>
    <row r="2459" spans="1:15" ht="18.75" customHeight="1">
      <c r="A2459" s="1075"/>
      <c r="B2459" s="1075"/>
      <c r="C2459" s="1079"/>
      <c r="D2459" s="1080"/>
      <c r="E2459" s="1075"/>
      <c r="F2459" s="1081"/>
      <c r="G2459" s="1075"/>
      <c r="H2459" s="1075"/>
      <c r="I2459" s="1079"/>
      <c r="J2459" s="1080"/>
    </row>
    <row r="2460" spans="1:15" ht="15" customHeight="1">
      <c r="A2460" s="2242" t="str">
        <f>$K$2</f>
        <v>THÁNG 04/2025</v>
      </c>
      <c r="B2460" s="2242"/>
      <c r="C2460" s="2242"/>
      <c r="D2460" s="2242"/>
      <c r="E2460" s="1050"/>
      <c r="F2460" s="1051"/>
      <c r="G2460" s="2242" t="str">
        <f>$K$2</f>
        <v>THÁNG 04/2025</v>
      </c>
      <c r="H2460" s="2242"/>
      <c r="I2460" s="2242"/>
      <c r="J2460" s="2242"/>
      <c r="K2460" s="624"/>
    </row>
    <row r="2461" spans="1:15" ht="15" customHeight="1">
      <c r="A2461" s="1052" t="s">
        <v>356</v>
      </c>
      <c r="B2461" s="1053" t="s">
        <v>192</v>
      </c>
      <c r="C2461" s="869"/>
      <c r="D2461" s="1049"/>
      <c r="E2461" s="1054"/>
      <c r="F2461" s="1055"/>
      <c r="G2461" s="1052" t="s">
        <v>356</v>
      </c>
      <c r="H2461" s="1053" t="s">
        <v>193</v>
      </c>
      <c r="I2461" s="869"/>
      <c r="J2461" s="1049"/>
      <c r="L2461" s="1088"/>
      <c r="M2461" s="1088"/>
      <c r="N2461" s="1088"/>
      <c r="O2461" s="1088"/>
    </row>
    <row r="2462" spans="1:15" ht="15" customHeight="1">
      <c r="A2462" s="1056" t="s">
        <v>359</v>
      </c>
      <c r="B2462" s="1057" t="s">
        <v>2662</v>
      </c>
      <c r="C2462" s="1058" t="e">
        <f>VLOOKUP(B2461,'LƯƠNG KT'!$D$15:$R$94,4,0)</f>
        <v>#N/A</v>
      </c>
      <c r="D2462" s="1059" t="e">
        <f>+C2462*25000</f>
        <v>#N/A</v>
      </c>
      <c r="E2462" s="1060"/>
      <c r="F2462" s="1060"/>
      <c r="G2462" s="1056" t="s">
        <v>359</v>
      </c>
      <c r="H2462" s="1057" t="s">
        <v>2662</v>
      </c>
      <c r="I2462" s="1058" t="e">
        <f>VLOOKUP(H2461,'LƯƠNG KT'!$D$15:$R$94,4,0)</f>
        <v>#N/A</v>
      </c>
      <c r="J2462" s="1059" t="e">
        <f>+I2462*25000</f>
        <v>#N/A</v>
      </c>
      <c r="K2462" s="1085"/>
      <c r="L2462" s="1085"/>
      <c r="M2462" s="1085"/>
      <c r="N2462" s="1085"/>
      <c r="O2462" s="1085"/>
    </row>
    <row r="2463" spans="1:15" ht="15" customHeight="1">
      <c r="A2463" s="1056" t="s">
        <v>361</v>
      </c>
      <c r="B2463" s="1057" t="s">
        <v>2663</v>
      </c>
      <c r="C2463" s="1058" t="e">
        <f>VLOOKUP(B2461,'LƯƠNG KT'!$D$15:$R$94,15,0)</f>
        <v>#N/A</v>
      </c>
      <c r="D2463" s="1059" t="e">
        <f>C2463*$L$4</f>
        <v>#N/A</v>
      </c>
      <c r="E2463" s="1061"/>
      <c r="F2463" s="1061"/>
      <c r="G2463" s="1056" t="s">
        <v>361</v>
      </c>
      <c r="H2463" s="1057" t="s">
        <v>2663</v>
      </c>
      <c r="I2463" s="1058" t="e">
        <f>VLOOKUP(H2461,'LƯƠNG KT'!$D$15:$R$94,15,0)</f>
        <v>#N/A</v>
      </c>
      <c r="J2463" s="1059" t="e">
        <f>I2463*$L$4</f>
        <v>#N/A</v>
      </c>
      <c r="K2463" s="1085"/>
      <c r="L2463" s="1085"/>
      <c r="M2463" s="1085"/>
      <c r="N2463" s="1085"/>
      <c r="O2463" s="1085"/>
    </row>
    <row r="2464" spans="1:15" ht="15" customHeight="1">
      <c r="A2464" s="1056" t="s">
        <v>364</v>
      </c>
      <c r="B2464" s="1057" t="s">
        <v>2664</v>
      </c>
      <c r="C2464" s="1058" t="e">
        <f>VLOOKUP(B2461,'LƯƠNG KT'!$D$15:$R$94,16,0)</f>
        <v>#N/A</v>
      </c>
      <c r="D2464" s="1059" t="e">
        <f>C2464*$L$5</f>
        <v>#N/A</v>
      </c>
      <c r="E2464" s="1061"/>
      <c r="F2464" s="1061"/>
      <c r="G2464" s="1056" t="s">
        <v>364</v>
      </c>
      <c r="H2464" s="1057" t="s">
        <v>2664</v>
      </c>
      <c r="I2464" s="1058" t="e">
        <f>VLOOKUP(H2461,'LƯƠNG KT'!$D$15:$R$94,16,0)</f>
        <v>#N/A</v>
      </c>
      <c r="J2464" s="1059" t="e">
        <f>I2464*$L$5</f>
        <v>#N/A</v>
      </c>
      <c r="K2464" s="1085"/>
      <c r="L2464" s="1085"/>
      <c r="M2464" s="1085"/>
      <c r="N2464" s="1085"/>
      <c r="O2464" s="1085"/>
    </row>
    <row r="2465" spans="1:15" ht="15" customHeight="1">
      <c r="A2465" s="1056" t="s">
        <v>370</v>
      </c>
      <c r="B2465" s="1057" t="s">
        <v>2665</v>
      </c>
      <c r="C2465" s="1058" t="e">
        <f>VLOOKUP(B2461,'LƯƠNG KT'!$D$15:$R$94,24,0)</f>
        <v>#N/A</v>
      </c>
      <c r="D2465" s="1059" t="e">
        <f>+C2465*$L$6</f>
        <v>#N/A</v>
      </c>
      <c r="E2465" s="1061"/>
      <c r="F2465" s="1061"/>
      <c r="G2465" s="1056" t="s">
        <v>370</v>
      </c>
      <c r="H2465" s="1057" t="s">
        <v>2665</v>
      </c>
      <c r="I2465" s="1058" t="e">
        <f>VLOOKUP(H2461,'LƯƠNG KT'!$D$15:$R$94,24,0)</f>
        <v>#N/A</v>
      </c>
      <c r="J2465" s="1059" t="e">
        <f>+I2465*$L$6</f>
        <v>#N/A</v>
      </c>
      <c r="K2465" s="1085"/>
      <c r="L2465" s="1085"/>
      <c r="M2465" s="1085"/>
      <c r="N2465" s="1085"/>
      <c r="O2465" s="1085"/>
    </row>
    <row r="2466" spans="1:15" ht="15" customHeight="1">
      <c r="A2466" s="1056" t="s">
        <v>2666</v>
      </c>
      <c r="B2466" s="1057" t="s">
        <v>2667</v>
      </c>
      <c r="C2466" s="1058" t="e">
        <f>VLOOKUP(B2461,'LƯƠNG KT'!$D$15:$R$94,19,0)</f>
        <v>#N/A</v>
      </c>
      <c r="D2466" s="1059" t="e">
        <f>+C2466*$L$8</f>
        <v>#N/A</v>
      </c>
      <c r="E2466" s="1061"/>
      <c r="F2466" s="1061"/>
      <c r="G2466" s="1056" t="s">
        <v>2666</v>
      </c>
      <c r="H2466" s="1057" t="s">
        <v>2667</v>
      </c>
      <c r="I2466" s="1058" t="e">
        <f>VLOOKUP(H2461,'LƯƠNG KT'!$D$15:$R$94,19,0)</f>
        <v>#N/A</v>
      </c>
      <c r="J2466" s="1059" t="e">
        <f>+I2466*$L$8</f>
        <v>#N/A</v>
      </c>
      <c r="K2466" s="1085"/>
      <c r="L2466" s="1085"/>
      <c r="M2466" s="1085"/>
      <c r="N2466" s="1085"/>
      <c r="O2466" s="1085"/>
    </row>
    <row r="2467" spans="1:15" ht="15" customHeight="1">
      <c r="A2467" s="1056" t="s">
        <v>2668</v>
      </c>
      <c r="B2467" s="1062" t="s">
        <v>2669</v>
      </c>
      <c r="C2467" s="1058" t="e">
        <f>VLOOKUP(B2461,'LƯƠNG KT'!$D$15:$R$94,20,0)</f>
        <v>#N/A</v>
      </c>
      <c r="D2467" s="1059" t="e">
        <f>+C2467*$L$9</f>
        <v>#N/A</v>
      </c>
      <c r="E2467" s="1061"/>
      <c r="F2467" s="1061"/>
      <c r="G2467" s="1056" t="s">
        <v>2668</v>
      </c>
      <c r="H2467" s="1062" t="s">
        <v>2669</v>
      </c>
      <c r="I2467" s="1058" t="e">
        <f>VLOOKUP(H2461,'LƯƠNG KT'!$D$15:$R$94,20,0)</f>
        <v>#N/A</v>
      </c>
      <c r="J2467" s="1059" t="e">
        <f>+I2467*$L$9</f>
        <v>#N/A</v>
      </c>
      <c r="K2467" s="1085"/>
      <c r="L2467" s="1085"/>
      <c r="M2467" s="1085"/>
      <c r="N2467" s="1085"/>
      <c r="O2467" s="1085"/>
    </row>
    <row r="2468" spans="1:15" ht="15" customHeight="1">
      <c r="A2468" s="1056" t="s">
        <v>2671</v>
      </c>
      <c r="B2468" s="1057" t="s">
        <v>2672</v>
      </c>
      <c r="C2468" s="1058" t="e">
        <f>VLOOKUP(B2461,'LƯƠNG KT'!$D$15:$R$94,17,0)</f>
        <v>#N/A</v>
      </c>
      <c r="D2468" s="1059" t="e">
        <f>+C2468*$L$10</f>
        <v>#N/A</v>
      </c>
      <c r="E2468" s="1061"/>
      <c r="F2468" s="1061"/>
      <c r="G2468" s="1056" t="s">
        <v>2671</v>
      </c>
      <c r="H2468" s="1057" t="s">
        <v>2672</v>
      </c>
      <c r="I2468" s="1058" t="e">
        <f>VLOOKUP(H2461,'LƯƠNG KT'!$D$15:$R$94,17,0)</f>
        <v>#N/A</v>
      </c>
      <c r="J2468" s="1059" t="e">
        <f>+I2468*$L$10</f>
        <v>#N/A</v>
      </c>
      <c r="K2468" s="1085"/>
      <c r="L2468" s="1085"/>
      <c r="M2468" s="1085"/>
      <c r="N2468" s="1085"/>
      <c r="O2468" s="1085"/>
    </row>
    <row r="2469" spans="1:15" ht="15" customHeight="1">
      <c r="A2469" s="1056" t="s">
        <v>374</v>
      </c>
      <c r="B2469" s="1057" t="s">
        <v>2674</v>
      </c>
      <c r="C2469" s="1058" t="e">
        <f>VLOOKUP(B2461,'LƯƠNG KT'!$D$15:$R$94,12,0)</f>
        <v>#N/A</v>
      </c>
      <c r="D2469" s="1059" t="e">
        <f>VLOOKUP(B2461,'LƯƠNG KT'!$D$15:$R$94,14,0)</f>
        <v>#N/A</v>
      </c>
      <c r="E2469" s="1063"/>
      <c r="F2469" s="1061"/>
      <c r="G2469" s="1056" t="s">
        <v>374</v>
      </c>
      <c r="H2469" s="1057" t="s">
        <v>2674</v>
      </c>
      <c r="I2469" s="1058" t="e">
        <f>VLOOKUP(H2461,'LƯƠNG KT'!$D$15:$R$94,12,0)</f>
        <v>#N/A</v>
      </c>
      <c r="J2469" s="1059" t="e">
        <f>VLOOKUP(H2461,'LƯƠNG KT'!$D$15:$R$94,14,0)</f>
        <v>#N/A</v>
      </c>
      <c r="K2469" s="1085"/>
      <c r="L2469" s="1085"/>
      <c r="M2469" s="1085"/>
      <c r="N2469" s="1085"/>
      <c r="O2469" s="1085"/>
    </row>
    <row r="2470" spans="1:15" ht="15" customHeight="1">
      <c r="A2470" s="1056" t="s">
        <v>2675</v>
      </c>
      <c r="B2470" s="1057" t="s">
        <v>2676</v>
      </c>
      <c r="D2470" s="1064" t="e">
        <f>VLOOKUP(B2461,'LƯƠNG KT'!$D$15:$R$94,13,0)</f>
        <v>#N/A</v>
      </c>
      <c r="E2470" s="1065"/>
      <c r="F2470" s="1065"/>
      <c r="G2470" s="1056" t="s">
        <v>2675</v>
      </c>
      <c r="H2470" s="1057" t="s">
        <v>2676</v>
      </c>
      <c r="J2470" s="1064" t="e">
        <f>VLOOKUP(H2461,'LƯƠNG KT'!$D$15:$R$94,13,0)</f>
        <v>#N/A</v>
      </c>
    </row>
    <row r="2471" spans="1:15" ht="15" customHeight="1">
      <c r="A2471" s="1066"/>
      <c r="B2471" s="869"/>
      <c r="C2471" s="1058"/>
      <c r="D2471" s="1059"/>
      <c r="E2471" s="1063"/>
      <c r="F2471" s="1065"/>
      <c r="G2471" s="1066"/>
      <c r="H2471" s="869"/>
      <c r="I2471" s="1058"/>
      <c r="J2471" s="1059"/>
    </row>
    <row r="2472" spans="1:15" ht="15" customHeight="1">
      <c r="A2472" s="1052"/>
      <c r="B2472" s="869"/>
      <c r="C2472" s="1058"/>
      <c r="D2472" s="1059"/>
      <c r="E2472" s="1067"/>
      <c r="F2472" s="1051"/>
      <c r="G2472" s="1052"/>
      <c r="H2472" s="869"/>
      <c r="I2472" s="1058"/>
      <c r="J2472" s="1059"/>
    </row>
    <row r="2473" spans="1:15" ht="15" customHeight="1">
      <c r="A2473" s="1068" t="s">
        <v>383</v>
      </c>
      <c r="B2473" s="1069" t="s">
        <v>384</v>
      </c>
      <c r="C2473" s="1070"/>
      <c r="D2473" s="1071" t="e">
        <f>SUM(D2462:D2469)-D2472</f>
        <v>#N/A</v>
      </c>
      <c r="E2473" s="1072"/>
      <c r="F2473" s="1073"/>
      <c r="G2473" s="1068" t="s">
        <v>383</v>
      </c>
      <c r="H2473" s="1069" t="s">
        <v>384</v>
      </c>
      <c r="I2473" s="1070"/>
      <c r="J2473" s="1071" t="e">
        <f>SUM(J2462:J2469)-J2472</f>
        <v>#N/A</v>
      </c>
    </row>
    <row r="2474" spans="1:15" ht="15.75" customHeight="1">
      <c r="A2474" s="1074"/>
      <c r="B2474" s="1075"/>
      <c r="C2474" s="1076"/>
      <c r="D2474" s="1077"/>
      <c r="E2474" s="1077"/>
      <c r="F2474" s="1078"/>
      <c r="G2474" s="1074"/>
      <c r="H2474" s="1075"/>
      <c r="I2474" s="1076"/>
      <c r="J2474" s="1077"/>
    </row>
    <row r="2476" spans="1:15" ht="131.25" customHeight="1">
      <c r="A2476" s="2243"/>
      <c r="B2476" s="2243"/>
      <c r="C2476" s="2243"/>
      <c r="D2476" s="2243"/>
      <c r="E2476" s="2243"/>
      <c r="F2476" s="2243"/>
      <c r="G2476" s="2243"/>
      <c r="H2476" s="2243"/>
      <c r="I2476" s="2243"/>
      <c r="J2476" s="2243"/>
    </row>
    <row r="2477" spans="1:15" ht="15" customHeight="1">
      <c r="A2477" s="2242" t="str">
        <f>$K$2</f>
        <v>THÁNG 04/2025</v>
      </c>
      <c r="B2477" s="2242"/>
      <c r="C2477" s="2242"/>
      <c r="D2477" s="2242"/>
      <c r="E2477" s="1050"/>
      <c r="F2477" s="1051"/>
      <c r="G2477" s="2242" t="str">
        <f>$K$2</f>
        <v>THÁNG 04/2025</v>
      </c>
      <c r="H2477" s="2242"/>
      <c r="I2477" s="2242"/>
      <c r="J2477" s="2242"/>
      <c r="K2477" s="624"/>
    </row>
    <row r="2478" spans="1:15" ht="15" customHeight="1">
      <c r="A2478" s="1052" t="s">
        <v>356</v>
      </c>
      <c r="B2478" s="1053" t="s">
        <v>194</v>
      </c>
      <c r="C2478" s="869"/>
      <c r="D2478" s="1049"/>
      <c r="E2478" s="1054"/>
      <c r="F2478" s="1055"/>
      <c r="G2478" s="1052" t="s">
        <v>356</v>
      </c>
      <c r="H2478" s="1053" t="s">
        <v>195</v>
      </c>
      <c r="I2478" s="869"/>
      <c r="J2478" s="1049"/>
      <c r="L2478" s="1088"/>
      <c r="M2478" s="1088"/>
      <c r="N2478" s="1088"/>
      <c r="O2478" s="1088"/>
    </row>
    <row r="2479" spans="1:15" ht="15" customHeight="1">
      <c r="A2479" s="1056" t="s">
        <v>359</v>
      </c>
      <c r="B2479" s="1057" t="s">
        <v>2662</v>
      </c>
      <c r="C2479" s="1058" t="e">
        <f>VLOOKUP(B2478,'LƯƠNG KT'!$D$15:$R$94,4,0)</f>
        <v>#N/A</v>
      </c>
      <c r="D2479" s="1059" t="e">
        <f>+C2479*25000</f>
        <v>#N/A</v>
      </c>
      <c r="E2479" s="1060"/>
      <c r="F2479" s="1060"/>
      <c r="G2479" s="1056" t="s">
        <v>359</v>
      </c>
      <c r="H2479" s="1057" t="s">
        <v>2662</v>
      </c>
      <c r="I2479" s="1058" t="e">
        <f>VLOOKUP(H2478,'LƯƠNG KT'!$D$15:$R$94,4,0)</f>
        <v>#N/A</v>
      </c>
      <c r="J2479" s="1059" t="e">
        <f>+I2479*25000</f>
        <v>#N/A</v>
      </c>
      <c r="K2479" s="1084"/>
      <c r="L2479" s="1085"/>
      <c r="M2479" s="1085"/>
      <c r="N2479" s="1085"/>
      <c r="O2479" s="1085"/>
    </row>
    <row r="2480" spans="1:15" ht="15" customHeight="1">
      <c r="A2480" s="1056" t="s">
        <v>361</v>
      </c>
      <c r="B2480" s="1057" t="s">
        <v>2663</v>
      </c>
      <c r="C2480" s="1058" t="e">
        <f>VLOOKUP(B2478,'LƯƠNG KT'!$D$15:$R$94,15,0)</f>
        <v>#N/A</v>
      </c>
      <c r="D2480" s="1059" t="e">
        <f>C2480*$L$4</f>
        <v>#N/A</v>
      </c>
      <c r="E2480" s="1061"/>
      <c r="F2480" s="1061"/>
      <c r="G2480" s="1056" t="s">
        <v>361</v>
      </c>
      <c r="H2480" s="1057" t="s">
        <v>2663</v>
      </c>
      <c r="I2480" s="1058" t="e">
        <f>VLOOKUP(H2478,'LƯƠNG KT'!$D$15:$R$94,15,0)</f>
        <v>#N/A</v>
      </c>
      <c r="J2480" s="1059" t="e">
        <f>I2480*$L$4</f>
        <v>#N/A</v>
      </c>
      <c r="K2480" s="1084"/>
      <c r="L2480" s="1085"/>
      <c r="M2480" s="1085"/>
      <c r="N2480" s="1085"/>
      <c r="O2480" s="1085"/>
    </row>
    <row r="2481" spans="1:15" ht="15" customHeight="1">
      <c r="A2481" s="1056" t="s">
        <v>364</v>
      </c>
      <c r="B2481" s="1057" t="s">
        <v>2664</v>
      </c>
      <c r="C2481" s="1058" t="e">
        <f>VLOOKUP(B2478,'LƯƠNG KT'!$D$15:$R$94,16,0)</f>
        <v>#N/A</v>
      </c>
      <c r="D2481" s="1059" t="e">
        <f>C2481*$L$5</f>
        <v>#N/A</v>
      </c>
      <c r="E2481" s="1061"/>
      <c r="F2481" s="1061"/>
      <c r="G2481" s="1056" t="s">
        <v>364</v>
      </c>
      <c r="H2481" s="1057" t="s">
        <v>2664</v>
      </c>
      <c r="I2481" s="1058" t="e">
        <f>VLOOKUP(H2478,'LƯƠNG KT'!$D$15:$R$94,16,0)</f>
        <v>#N/A</v>
      </c>
      <c r="J2481" s="1059" t="e">
        <f>I2481*$L$5</f>
        <v>#N/A</v>
      </c>
      <c r="K2481" s="1084"/>
      <c r="L2481" s="1085"/>
      <c r="M2481" s="1085"/>
      <c r="N2481" s="1085"/>
      <c r="O2481" s="1085"/>
    </row>
    <row r="2482" spans="1:15" ht="15" customHeight="1">
      <c r="A2482" s="1056" t="s">
        <v>370</v>
      </c>
      <c r="B2482" s="1057" t="s">
        <v>2665</v>
      </c>
      <c r="C2482" s="1058" t="e">
        <f>VLOOKUP(B2478,'LƯƠNG KT'!$D$15:$R$94,24,0)</f>
        <v>#N/A</v>
      </c>
      <c r="D2482" s="1059" t="e">
        <f>+C2482*$L$6</f>
        <v>#N/A</v>
      </c>
      <c r="E2482" s="1061"/>
      <c r="F2482" s="1061"/>
      <c r="G2482" s="1056" t="s">
        <v>370</v>
      </c>
      <c r="H2482" s="1057" t="s">
        <v>2665</v>
      </c>
      <c r="I2482" s="1058" t="e">
        <f>VLOOKUP(H2478,'LƯƠNG KT'!$D$15:$R$94,24,0)</f>
        <v>#N/A</v>
      </c>
      <c r="J2482" s="1059" t="e">
        <f>+I2482*$L$6</f>
        <v>#N/A</v>
      </c>
      <c r="K2482" s="1085"/>
      <c r="L2482" s="1085"/>
      <c r="M2482" s="1085"/>
      <c r="N2482" s="1085"/>
      <c r="O2482" s="1085"/>
    </row>
    <row r="2483" spans="1:15" ht="15" customHeight="1">
      <c r="A2483" s="1056" t="s">
        <v>2666</v>
      </c>
      <c r="B2483" s="1057" t="s">
        <v>2667</v>
      </c>
      <c r="C2483" s="1058" t="e">
        <f>VLOOKUP(B2478,'LƯƠNG KT'!$D$15:$R$94,19,0)</f>
        <v>#N/A</v>
      </c>
      <c r="D2483" s="1059" t="e">
        <f>+C2483*$L$8</f>
        <v>#N/A</v>
      </c>
      <c r="E2483" s="1061"/>
      <c r="F2483" s="1061"/>
      <c r="G2483" s="1056" t="s">
        <v>2666</v>
      </c>
      <c r="H2483" s="1057" t="s">
        <v>2667</v>
      </c>
      <c r="I2483" s="1058" t="e">
        <f>VLOOKUP(H2478,'LƯƠNG KT'!$D$15:$R$94,19,0)</f>
        <v>#N/A</v>
      </c>
      <c r="J2483" s="1059" t="e">
        <f>+I2483*$L$8</f>
        <v>#N/A</v>
      </c>
      <c r="K2483" s="1085"/>
      <c r="L2483" s="1085"/>
      <c r="M2483" s="1085"/>
      <c r="N2483" s="1085"/>
      <c r="O2483" s="1085"/>
    </row>
    <row r="2484" spans="1:15" ht="15" customHeight="1">
      <c r="A2484" s="1056" t="s">
        <v>2668</v>
      </c>
      <c r="B2484" s="1062" t="s">
        <v>2669</v>
      </c>
      <c r="C2484" s="1058" t="e">
        <f>VLOOKUP(B2478,'LƯƠNG KT'!$D$15:$R$94,20,0)</f>
        <v>#N/A</v>
      </c>
      <c r="D2484" s="1059" t="e">
        <f>+C2484*$L$9</f>
        <v>#N/A</v>
      </c>
      <c r="E2484" s="1061"/>
      <c r="F2484" s="1061"/>
      <c r="G2484" s="1056" t="s">
        <v>2668</v>
      </c>
      <c r="H2484" s="1062" t="s">
        <v>2669</v>
      </c>
      <c r="I2484" s="1058" t="e">
        <f>VLOOKUP(H2478,'LƯƠNG KT'!$D$15:$R$94,20,0)</f>
        <v>#N/A</v>
      </c>
      <c r="J2484" s="1059" t="e">
        <f>+I2484*$L$9</f>
        <v>#N/A</v>
      </c>
      <c r="K2484" s="1085"/>
      <c r="L2484" s="1085"/>
      <c r="M2484" s="1085"/>
      <c r="N2484" s="1085"/>
      <c r="O2484" s="1085"/>
    </row>
    <row r="2485" spans="1:15" ht="15" customHeight="1">
      <c r="A2485" s="1056" t="s">
        <v>2671</v>
      </c>
      <c r="B2485" s="1057" t="s">
        <v>2672</v>
      </c>
      <c r="C2485" s="1058" t="e">
        <f>VLOOKUP(B2478,'LƯƠNG KT'!$D$15:$R$94,17,0)</f>
        <v>#N/A</v>
      </c>
      <c r="D2485" s="1059" t="e">
        <f>+C2485*$L$10</f>
        <v>#N/A</v>
      </c>
      <c r="E2485" s="1061"/>
      <c r="F2485" s="1061"/>
      <c r="G2485" s="1056" t="s">
        <v>2671</v>
      </c>
      <c r="H2485" s="1057" t="s">
        <v>2672</v>
      </c>
      <c r="I2485" s="1058" t="e">
        <f>VLOOKUP(H2478,'LƯƠNG KT'!$D$15:$R$94,17,0)</f>
        <v>#N/A</v>
      </c>
      <c r="J2485" s="1059" t="e">
        <f>+I2485*$L$10</f>
        <v>#N/A</v>
      </c>
      <c r="K2485" s="1085"/>
      <c r="L2485" s="1085"/>
      <c r="M2485" s="1085"/>
      <c r="N2485" s="1085"/>
      <c r="O2485" s="1085"/>
    </row>
    <row r="2486" spans="1:15" ht="15" customHeight="1">
      <c r="A2486" s="1056" t="s">
        <v>374</v>
      </c>
      <c r="B2486" s="1057" t="s">
        <v>2674</v>
      </c>
      <c r="C2486" s="1058" t="e">
        <f>VLOOKUP(B2478,'LƯƠNG KT'!$D$15:$R$94,12,0)</f>
        <v>#N/A</v>
      </c>
      <c r="D2486" s="1059" t="e">
        <f>VLOOKUP(B2478,'LƯƠNG KT'!$D$15:$R$94,14,0)</f>
        <v>#N/A</v>
      </c>
      <c r="E2486" s="1063"/>
      <c r="F2486" s="1061"/>
      <c r="G2486" s="1056" t="s">
        <v>374</v>
      </c>
      <c r="H2486" s="1057" t="s">
        <v>2674</v>
      </c>
      <c r="I2486" s="1058" t="e">
        <f>VLOOKUP(H2478,'LƯƠNG KT'!$D$15:$R$94,12,0)</f>
        <v>#N/A</v>
      </c>
      <c r="J2486" s="1059" t="e">
        <f>VLOOKUP(H2478,'LƯƠNG KT'!$D$15:$R$94,14,0)</f>
        <v>#N/A</v>
      </c>
      <c r="K2486" s="1085"/>
      <c r="L2486" s="1085"/>
      <c r="M2486" s="1085"/>
      <c r="N2486" s="1085"/>
      <c r="O2486" s="1085"/>
    </row>
    <row r="2487" spans="1:15" ht="15" customHeight="1">
      <c r="A2487" s="1056" t="s">
        <v>2675</v>
      </c>
      <c r="B2487" s="1057" t="s">
        <v>2676</v>
      </c>
      <c r="D2487" s="1064" t="e">
        <f>VLOOKUP(B2478,'LƯƠNG KT'!$D$15:$R$94,13,0)</f>
        <v>#N/A</v>
      </c>
      <c r="E2487" s="1065"/>
      <c r="F2487" s="1065"/>
      <c r="G2487" s="1056" t="s">
        <v>2675</v>
      </c>
      <c r="H2487" s="1057" t="s">
        <v>2676</v>
      </c>
      <c r="J2487" s="1064" t="e">
        <f>VLOOKUP(H2478,'LƯƠNG KT'!$D$15:$R$94,13,0)</f>
        <v>#N/A</v>
      </c>
    </row>
    <row r="2488" spans="1:15" ht="15" customHeight="1">
      <c r="A2488" s="1066"/>
      <c r="B2488" s="869"/>
      <c r="C2488" s="1058"/>
      <c r="D2488" s="1059"/>
      <c r="E2488" s="1063"/>
      <c r="F2488" s="1065"/>
      <c r="G2488" s="1066"/>
      <c r="H2488" s="869"/>
      <c r="I2488" s="1058"/>
      <c r="J2488" s="1059"/>
    </row>
    <row r="2489" spans="1:15" ht="15" customHeight="1">
      <c r="A2489" s="1052"/>
      <c r="B2489" s="869"/>
      <c r="C2489" s="1058"/>
      <c r="D2489" s="1059"/>
      <c r="E2489" s="1067"/>
      <c r="F2489" s="1051"/>
      <c r="G2489" s="1052"/>
      <c r="H2489" s="869"/>
      <c r="I2489" s="1058"/>
      <c r="J2489" s="1059"/>
    </row>
    <row r="2490" spans="1:15" ht="15" customHeight="1">
      <c r="A2490" s="1068" t="s">
        <v>383</v>
      </c>
      <c r="B2490" s="1069" t="s">
        <v>384</v>
      </c>
      <c r="C2490" s="1070"/>
      <c r="D2490" s="1071" t="e">
        <f>SUM(D2479:D2486)-D2489</f>
        <v>#N/A</v>
      </c>
      <c r="E2490" s="1072"/>
      <c r="F2490" s="1073"/>
      <c r="G2490" s="1068" t="s">
        <v>383</v>
      </c>
      <c r="H2490" s="1069" t="s">
        <v>384</v>
      </c>
      <c r="I2490" s="1070"/>
      <c r="J2490" s="1071" t="e">
        <f>SUM(J2479:J2486)-J2489</f>
        <v>#N/A</v>
      </c>
    </row>
    <row r="2491" spans="1:15" ht="18" customHeight="1">
      <c r="A2491" s="1074"/>
      <c r="B2491" s="1075"/>
      <c r="C2491" s="1076"/>
      <c r="D2491" s="1077"/>
      <c r="E2491" s="1077"/>
      <c r="F2491" s="1078"/>
      <c r="G2491" s="1074"/>
      <c r="H2491" s="1075"/>
      <c r="I2491" s="1076"/>
      <c r="J2491" s="1077"/>
    </row>
    <row r="2492" spans="1:15" ht="18" customHeight="1">
      <c r="A2492" s="1075"/>
      <c r="B2492" s="1075"/>
      <c r="C2492" s="1079"/>
      <c r="D2492" s="1080"/>
      <c r="E2492" s="1075"/>
      <c r="F2492" s="1081"/>
      <c r="G2492" s="1075"/>
      <c r="H2492" s="1075"/>
      <c r="I2492" s="1079"/>
      <c r="J2492" s="1080"/>
    </row>
    <row r="2493" spans="1:15" ht="15" customHeight="1">
      <c r="A2493" s="2242" t="str">
        <f>$K$2</f>
        <v>THÁNG 04/2025</v>
      </c>
      <c r="B2493" s="2242"/>
      <c r="C2493" s="2242"/>
      <c r="D2493" s="2242"/>
      <c r="E2493" s="1050"/>
      <c r="F2493" s="1051"/>
      <c r="G2493" s="2242" t="str">
        <f>$K$2</f>
        <v>THÁNG 04/2025</v>
      </c>
      <c r="H2493" s="2242"/>
      <c r="I2493" s="2242"/>
      <c r="J2493" s="2242"/>
      <c r="K2493" s="624"/>
    </row>
    <row r="2494" spans="1:15" ht="15" customHeight="1">
      <c r="A2494" s="1052" t="s">
        <v>356</v>
      </c>
      <c r="B2494" s="1053" t="s">
        <v>196</v>
      </c>
      <c r="C2494" s="869"/>
      <c r="D2494" s="1049"/>
      <c r="E2494" s="1054"/>
      <c r="F2494" s="1055"/>
      <c r="G2494" s="1052" t="s">
        <v>356</v>
      </c>
      <c r="H2494" s="1053" t="s">
        <v>197</v>
      </c>
      <c r="I2494" s="869"/>
      <c r="J2494" s="1049"/>
      <c r="L2494" s="1088"/>
      <c r="M2494" s="1088"/>
      <c r="N2494" s="1088"/>
      <c r="O2494" s="1088"/>
    </row>
    <row r="2495" spans="1:15" ht="15" customHeight="1">
      <c r="A2495" s="1056" t="s">
        <v>359</v>
      </c>
      <c r="B2495" s="1057" t="s">
        <v>2662</v>
      </c>
      <c r="C2495" s="1058" t="e">
        <f>VLOOKUP(B2494,'LƯƠNG KT'!$D$15:$R$94,4,0)</f>
        <v>#N/A</v>
      </c>
      <c r="D2495" s="1059" t="e">
        <f>+C2495*25000</f>
        <v>#N/A</v>
      </c>
      <c r="E2495" s="1060"/>
      <c r="F2495" s="1060"/>
      <c r="G2495" s="1056" t="s">
        <v>359</v>
      </c>
      <c r="H2495" s="1057" t="s">
        <v>2662</v>
      </c>
      <c r="I2495" s="1058" t="e">
        <f>VLOOKUP(H2494,'LƯƠNG KT'!$D$15:$R$94,4,0)</f>
        <v>#N/A</v>
      </c>
      <c r="J2495" s="1059" t="e">
        <f>+I2495*25000</f>
        <v>#N/A</v>
      </c>
      <c r="K2495" s="1085"/>
      <c r="L2495" s="1085"/>
      <c r="M2495" s="1085"/>
      <c r="N2495" s="1085"/>
      <c r="O2495" s="1085"/>
    </row>
    <row r="2496" spans="1:15" ht="15" customHeight="1">
      <c r="A2496" s="1056" t="s">
        <v>361</v>
      </c>
      <c r="B2496" s="1057" t="s">
        <v>2663</v>
      </c>
      <c r="C2496" s="1058" t="e">
        <f>VLOOKUP(B2494,'LƯƠNG KT'!$D$15:$R$94,15,0)</f>
        <v>#N/A</v>
      </c>
      <c r="D2496" s="1059" t="e">
        <f>C2496*$L$4</f>
        <v>#N/A</v>
      </c>
      <c r="E2496" s="1061"/>
      <c r="F2496" s="1061"/>
      <c r="G2496" s="1056" t="s">
        <v>361</v>
      </c>
      <c r="H2496" s="1057" t="s">
        <v>2663</v>
      </c>
      <c r="I2496" s="1058" t="e">
        <f>VLOOKUP(H2494,'LƯƠNG KT'!$D$15:$R$94,15,0)</f>
        <v>#N/A</v>
      </c>
      <c r="J2496" s="1059" t="e">
        <f>I2496*$L$4</f>
        <v>#N/A</v>
      </c>
      <c r="K2496" s="1085"/>
      <c r="L2496" s="1085"/>
      <c r="M2496" s="1085"/>
      <c r="N2496" s="1085"/>
      <c r="O2496" s="1085"/>
    </row>
    <row r="2497" spans="1:15" ht="15" customHeight="1">
      <c r="A2497" s="1056" t="s">
        <v>364</v>
      </c>
      <c r="B2497" s="1057" t="s">
        <v>2664</v>
      </c>
      <c r="C2497" s="1058" t="e">
        <f>VLOOKUP(B2494,'LƯƠNG KT'!$D$15:$R$94,16,0)</f>
        <v>#N/A</v>
      </c>
      <c r="D2497" s="1059" t="e">
        <f>C2497*$L$5</f>
        <v>#N/A</v>
      </c>
      <c r="E2497" s="1061"/>
      <c r="F2497" s="1061"/>
      <c r="G2497" s="1056" t="s">
        <v>364</v>
      </c>
      <c r="H2497" s="1057" t="s">
        <v>2664</v>
      </c>
      <c r="I2497" s="1058" t="e">
        <f>VLOOKUP(H2494,'LƯƠNG KT'!$D$15:$R$94,16,0)</f>
        <v>#N/A</v>
      </c>
      <c r="J2497" s="1059" t="e">
        <f>I2497*$L$5</f>
        <v>#N/A</v>
      </c>
      <c r="K2497" s="1085"/>
      <c r="L2497" s="1085"/>
      <c r="M2497" s="1085"/>
      <c r="N2497" s="1085"/>
      <c r="O2497" s="1085"/>
    </row>
    <row r="2498" spans="1:15" ht="15" customHeight="1">
      <c r="A2498" s="1056" t="s">
        <v>370</v>
      </c>
      <c r="B2498" s="1057" t="s">
        <v>2665</v>
      </c>
      <c r="C2498" s="1058" t="e">
        <f>VLOOKUP(B2494,'LƯƠNG KT'!$D$15:$R$94,24,0)</f>
        <v>#N/A</v>
      </c>
      <c r="D2498" s="1059" t="e">
        <f>+C2498*$L$6</f>
        <v>#N/A</v>
      </c>
      <c r="E2498" s="1061"/>
      <c r="F2498" s="1061"/>
      <c r="G2498" s="1056" t="s">
        <v>370</v>
      </c>
      <c r="H2498" s="1057" t="s">
        <v>2665</v>
      </c>
      <c r="I2498" s="1058" t="e">
        <f>VLOOKUP(H2494,'LƯƠNG KT'!$D$15:$R$94,24,0)</f>
        <v>#N/A</v>
      </c>
      <c r="J2498" s="1059" t="e">
        <f>+I2498*$L$6</f>
        <v>#N/A</v>
      </c>
      <c r="K2498" s="1085"/>
      <c r="L2498" s="1085"/>
      <c r="M2498" s="1085"/>
      <c r="N2498" s="1085"/>
      <c r="O2498" s="1085"/>
    </row>
    <row r="2499" spans="1:15" ht="15" customHeight="1">
      <c r="A2499" s="1056" t="s">
        <v>2666</v>
      </c>
      <c r="B2499" s="1057" t="s">
        <v>2667</v>
      </c>
      <c r="C2499" s="1058" t="e">
        <f>VLOOKUP(B2494,'LƯƠNG KT'!$D$15:$R$94,19,0)</f>
        <v>#N/A</v>
      </c>
      <c r="D2499" s="1059" t="e">
        <f>+C2499*$L$8</f>
        <v>#N/A</v>
      </c>
      <c r="E2499" s="1061"/>
      <c r="F2499" s="1061"/>
      <c r="G2499" s="1056" t="s">
        <v>2666</v>
      </c>
      <c r="H2499" s="1057" t="s">
        <v>2667</v>
      </c>
      <c r="I2499" s="1058" t="e">
        <f>VLOOKUP(H2494,'LƯƠNG KT'!$D$15:$R$94,19,0)</f>
        <v>#N/A</v>
      </c>
      <c r="J2499" s="1059" t="e">
        <f>+I2499*$L$8</f>
        <v>#N/A</v>
      </c>
      <c r="K2499" s="1085"/>
      <c r="L2499" s="1085"/>
      <c r="M2499" s="1085"/>
      <c r="N2499" s="1085"/>
      <c r="O2499" s="1085"/>
    </row>
    <row r="2500" spans="1:15" ht="15" customHeight="1">
      <c r="A2500" s="1056" t="s">
        <v>2668</v>
      </c>
      <c r="B2500" s="1062" t="s">
        <v>2669</v>
      </c>
      <c r="C2500" s="1058" t="e">
        <f>VLOOKUP(B2494,'LƯƠNG KT'!$D$15:$R$94,20,0)</f>
        <v>#N/A</v>
      </c>
      <c r="D2500" s="1059" t="e">
        <f>+C2500*$L$9</f>
        <v>#N/A</v>
      </c>
      <c r="E2500" s="1061"/>
      <c r="F2500" s="1061"/>
      <c r="G2500" s="1056" t="s">
        <v>2668</v>
      </c>
      <c r="H2500" s="1062" t="s">
        <v>2669</v>
      </c>
      <c r="I2500" s="1058" t="e">
        <f>VLOOKUP(H2494,'LƯƠNG KT'!$D$15:$R$94,20,0)</f>
        <v>#N/A</v>
      </c>
      <c r="J2500" s="1059" t="e">
        <f>+I2500*$L$9</f>
        <v>#N/A</v>
      </c>
      <c r="K2500" s="1085"/>
      <c r="L2500" s="1085"/>
      <c r="M2500" s="1085"/>
      <c r="N2500" s="1085"/>
      <c r="O2500" s="1085"/>
    </row>
    <row r="2501" spans="1:15" ht="15" customHeight="1">
      <c r="A2501" s="1056" t="s">
        <v>2671</v>
      </c>
      <c r="B2501" s="1057" t="s">
        <v>2672</v>
      </c>
      <c r="C2501" s="1058" t="e">
        <f>VLOOKUP(B2494,'LƯƠNG KT'!$D$15:$R$94,17,0)</f>
        <v>#N/A</v>
      </c>
      <c r="D2501" s="1059" t="e">
        <f>+C2501*$L$10</f>
        <v>#N/A</v>
      </c>
      <c r="E2501" s="1061"/>
      <c r="F2501" s="1061"/>
      <c r="G2501" s="1056" t="s">
        <v>2671</v>
      </c>
      <c r="H2501" s="1057" t="s">
        <v>2672</v>
      </c>
      <c r="I2501" s="1058" t="e">
        <f>VLOOKUP(H2494,'LƯƠNG KT'!$D$15:$R$94,17,0)</f>
        <v>#N/A</v>
      </c>
      <c r="J2501" s="1059" t="e">
        <f>+I2501*$L$10</f>
        <v>#N/A</v>
      </c>
      <c r="K2501" s="1085"/>
      <c r="L2501" s="1085"/>
      <c r="M2501" s="1085"/>
      <c r="N2501" s="1085"/>
      <c r="O2501" s="1085"/>
    </row>
    <row r="2502" spans="1:15" ht="15" customHeight="1">
      <c r="A2502" s="1056" t="s">
        <v>374</v>
      </c>
      <c r="B2502" s="1057" t="s">
        <v>2674</v>
      </c>
      <c r="C2502" s="1058" t="e">
        <f>VLOOKUP(B2494,'LƯƠNG KT'!$D$15:$R$94,12,0)</f>
        <v>#N/A</v>
      </c>
      <c r="D2502" s="1059" t="e">
        <f>VLOOKUP(B2494,'LƯƠNG KT'!$D$15:$R$94,14,0)</f>
        <v>#N/A</v>
      </c>
      <c r="E2502" s="1063"/>
      <c r="F2502" s="1061"/>
      <c r="G2502" s="1056" t="s">
        <v>374</v>
      </c>
      <c r="H2502" s="1057" t="s">
        <v>2674</v>
      </c>
      <c r="I2502" s="1058" t="e">
        <f>VLOOKUP(H2494,'LƯƠNG KT'!$D$15:$R$94,12,0)</f>
        <v>#N/A</v>
      </c>
      <c r="J2502" s="1059" t="e">
        <f>VLOOKUP(H2494,'LƯƠNG KT'!$D$15:$R$94,14,0)</f>
        <v>#N/A</v>
      </c>
      <c r="K2502" s="1085"/>
      <c r="L2502" s="1085"/>
      <c r="M2502" s="1085"/>
      <c r="N2502" s="1085"/>
      <c r="O2502" s="1085"/>
    </row>
    <row r="2503" spans="1:15" ht="15" customHeight="1">
      <c r="A2503" s="1056" t="s">
        <v>2675</v>
      </c>
      <c r="B2503" s="1057" t="s">
        <v>2676</v>
      </c>
      <c r="D2503" s="1064" t="e">
        <f>VLOOKUP(B2494,'LƯƠNG KT'!$D$15:$R$94,13,0)</f>
        <v>#N/A</v>
      </c>
      <c r="E2503" s="1065"/>
      <c r="F2503" s="1065"/>
      <c r="G2503" s="1056" t="s">
        <v>2675</v>
      </c>
      <c r="H2503" s="1057" t="s">
        <v>2676</v>
      </c>
      <c r="J2503" s="1064" t="e">
        <f>VLOOKUP(H2494,'LƯƠNG KT'!$D$15:$R$94,13,0)</f>
        <v>#N/A</v>
      </c>
    </row>
    <row r="2504" spans="1:15" ht="15" customHeight="1">
      <c r="A2504" s="1066"/>
      <c r="B2504" s="869"/>
      <c r="C2504" s="1058"/>
      <c r="D2504" s="1059"/>
      <c r="E2504" s="1063"/>
      <c r="F2504" s="1065"/>
      <c r="G2504" s="1066"/>
      <c r="H2504" s="869"/>
      <c r="I2504" s="1058"/>
      <c r="J2504" s="1059"/>
    </row>
    <row r="2505" spans="1:15" ht="15" customHeight="1">
      <c r="A2505" s="1052"/>
      <c r="B2505" s="869"/>
      <c r="C2505" s="1058"/>
      <c r="D2505" s="1059"/>
      <c r="E2505" s="1067"/>
      <c r="F2505" s="1051"/>
      <c r="G2505" s="1052"/>
      <c r="H2505" s="869"/>
      <c r="I2505" s="1058"/>
      <c r="J2505" s="1059"/>
    </row>
    <row r="2506" spans="1:15" ht="15" customHeight="1">
      <c r="A2506" s="1068" t="s">
        <v>383</v>
      </c>
      <c r="B2506" s="1069" t="s">
        <v>384</v>
      </c>
      <c r="C2506" s="1070"/>
      <c r="D2506" s="1071" t="e">
        <f>SUM(D2495:D2502)-D2505</f>
        <v>#N/A</v>
      </c>
      <c r="E2506" s="1072"/>
      <c r="F2506" s="1073"/>
      <c r="G2506" s="1068" t="s">
        <v>383</v>
      </c>
      <c r="H2506" s="1069" t="s">
        <v>384</v>
      </c>
      <c r="I2506" s="1070"/>
      <c r="J2506" s="1071" t="e">
        <f>SUM(J2495:J2502)-J2505</f>
        <v>#N/A</v>
      </c>
    </row>
    <row r="2507" spans="1:15" ht="18.75" customHeight="1">
      <c r="A2507" s="1074"/>
      <c r="B2507" s="1075"/>
      <c r="C2507" s="1076"/>
      <c r="D2507" s="1077"/>
      <c r="E2507" s="1077"/>
      <c r="F2507" s="1078"/>
      <c r="G2507" s="1074"/>
      <c r="H2507" s="1075"/>
      <c r="I2507" s="1076"/>
      <c r="J2507" s="1077"/>
    </row>
    <row r="2508" spans="1:15" ht="18.75" customHeight="1">
      <c r="A2508" s="1075"/>
      <c r="B2508" s="1075"/>
      <c r="C2508" s="1079"/>
      <c r="D2508" s="1080"/>
      <c r="E2508" s="1075"/>
      <c r="F2508" s="1081"/>
      <c r="G2508" s="1075"/>
      <c r="H2508" s="1075"/>
      <c r="I2508" s="1079"/>
      <c r="J2508" s="1080"/>
    </row>
    <row r="2509" spans="1:15" ht="15" customHeight="1">
      <c r="A2509" s="2242" t="str">
        <f>$K$2</f>
        <v>THÁNG 04/2025</v>
      </c>
      <c r="B2509" s="2242"/>
      <c r="C2509" s="2242"/>
      <c r="D2509" s="2242"/>
      <c r="E2509" s="1050"/>
      <c r="F2509" s="1051"/>
      <c r="G2509" s="2242" t="str">
        <f>$K$2</f>
        <v>THÁNG 04/2025</v>
      </c>
      <c r="H2509" s="2242"/>
      <c r="I2509" s="2242"/>
      <c r="J2509" s="2242"/>
      <c r="K2509" s="624"/>
    </row>
    <row r="2510" spans="1:15" ht="15" customHeight="1">
      <c r="A2510" s="1052" t="s">
        <v>356</v>
      </c>
      <c r="B2510" s="1053" t="s">
        <v>198</v>
      </c>
      <c r="C2510" s="869"/>
      <c r="D2510" s="1049"/>
      <c r="E2510" s="1054"/>
      <c r="F2510" s="1055"/>
      <c r="G2510" s="1052" t="s">
        <v>356</v>
      </c>
      <c r="H2510" s="1053" t="s">
        <v>199</v>
      </c>
      <c r="I2510" s="869"/>
      <c r="J2510" s="1049"/>
      <c r="L2510" s="1088"/>
      <c r="M2510" s="1088"/>
      <c r="N2510" s="1088"/>
      <c r="O2510" s="1088"/>
    </row>
    <row r="2511" spans="1:15" ht="15" customHeight="1">
      <c r="A2511" s="1056" t="s">
        <v>359</v>
      </c>
      <c r="B2511" s="1057" t="s">
        <v>2662</v>
      </c>
      <c r="C2511" s="1058" t="e">
        <f>VLOOKUP(B2510,'LƯƠNG KT'!$D$15:$R$94,4,0)</f>
        <v>#N/A</v>
      </c>
      <c r="D2511" s="1059" t="e">
        <f>+C2511*25000</f>
        <v>#N/A</v>
      </c>
      <c r="E2511" s="1060"/>
      <c r="F2511" s="1060"/>
      <c r="G2511" s="1056" t="s">
        <v>359</v>
      </c>
      <c r="H2511" s="1057" t="s">
        <v>2662</v>
      </c>
      <c r="I2511" s="1058" t="e">
        <f>VLOOKUP(H2510,'LƯƠNG KT'!$D$15:$R$94,4,0)</f>
        <v>#N/A</v>
      </c>
      <c r="J2511" s="1059" t="e">
        <f>+I2511*25000</f>
        <v>#N/A</v>
      </c>
      <c r="K2511" s="1085"/>
      <c r="L2511" s="1085"/>
      <c r="M2511" s="1085"/>
      <c r="N2511" s="1085"/>
      <c r="O2511" s="1085"/>
    </row>
    <row r="2512" spans="1:15" ht="15" customHeight="1">
      <c r="A2512" s="1056" t="s">
        <v>361</v>
      </c>
      <c r="B2512" s="1057" t="s">
        <v>2663</v>
      </c>
      <c r="C2512" s="1058" t="e">
        <f>VLOOKUP(B2510,'LƯƠNG KT'!$D$15:$R$94,15,0)</f>
        <v>#N/A</v>
      </c>
      <c r="D2512" s="1059" t="e">
        <f>C2512*$L$4</f>
        <v>#N/A</v>
      </c>
      <c r="E2512" s="1061"/>
      <c r="F2512" s="1061"/>
      <c r="G2512" s="1056" t="s">
        <v>361</v>
      </c>
      <c r="H2512" s="1057" t="s">
        <v>2663</v>
      </c>
      <c r="I2512" s="1058" t="e">
        <f>VLOOKUP(H2510,'LƯƠNG KT'!$D$15:$R$94,15,0)</f>
        <v>#N/A</v>
      </c>
      <c r="J2512" s="1059" t="e">
        <f>I2512*$L$4</f>
        <v>#N/A</v>
      </c>
      <c r="K2512" s="1085"/>
      <c r="L2512" s="1085"/>
      <c r="M2512" s="1085"/>
      <c r="N2512" s="1085"/>
      <c r="O2512" s="1085"/>
    </row>
    <row r="2513" spans="1:15" ht="15" customHeight="1">
      <c r="A2513" s="1056" t="s">
        <v>364</v>
      </c>
      <c r="B2513" s="1057" t="s">
        <v>2664</v>
      </c>
      <c r="C2513" s="1058" t="e">
        <f>VLOOKUP(B2510,'LƯƠNG KT'!$D$15:$R$94,16,0)</f>
        <v>#N/A</v>
      </c>
      <c r="D2513" s="1059" t="e">
        <f>C2513*$L$5</f>
        <v>#N/A</v>
      </c>
      <c r="E2513" s="1061"/>
      <c r="F2513" s="1061"/>
      <c r="G2513" s="1056" t="s">
        <v>364</v>
      </c>
      <c r="H2513" s="1057" t="s">
        <v>2664</v>
      </c>
      <c r="I2513" s="1058" t="e">
        <f>VLOOKUP(H2510,'LƯƠNG KT'!$D$15:$R$94,16,0)</f>
        <v>#N/A</v>
      </c>
      <c r="J2513" s="1059" t="e">
        <f>I2513*$L$5</f>
        <v>#N/A</v>
      </c>
      <c r="K2513" s="1085"/>
      <c r="L2513" s="1085"/>
      <c r="M2513" s="1085"/>
      <c r="N2513" s="1085"/>
      <c r="O2513" s="1085"/>
    </row>
    <row r="2514" spans="1:15" ht="15" customHeight="1">
      <c r="A2514" s="1056" t="s">
        <v>370</v>
      </c>
      <c r="B2514" s="1057" t="s">
        <v>2665</v>
      </c>
      <c r="C2514" s="1058" t="e">
        <f>VLOOKUP(B2510,'LƯƠNG KT'!$D$15:$R$94,24,0)</f>
        <v>#N/A</v>
      </c>
      <c r="D2514" s="1059" t="e">
        <f>+C2514*$L$6</f>
        <v>#N/A</v>
      </c>
      <c r="E2514" s="1061"/>
      <c r="F2514" s="1061"/>
      <c r="G2514" s="1056" t="s">
        <v>370</v>
      </c>
      <c r="H2514" s="1057" t="s">
        <v>2665</v>
      </c>
      <c r="I2514" s="1058" t="e">
        <f>VLOOKUP(H2510,'LƯƠNG KT'!$D$15:$R$94,24,0)</f>
        <v>#N/A</v>
      </c>
      <c r="J2514" s="1059" t="e">
        <f>+I2514*$L$6</f>
        <v>#N/A</v>
      </c>
      <c r="K2514" s="1085"/>
      <c r="L2514" s="1085"/>
      <c r="M2514" s="1085"/>
      <c r="N2514" s="1085"/>
      <c r="O2514" s="1085"/>
    </row>
    <row r="2515" spans="1:15" ht="15" customHeight="1">
      <c r="A2515" s="1056" t="s">
        <v>2666</v>
      </c>
      <c r="B2515" s="1057" t="s">
        <v>2667</v>
      </c>
      <c r="C2515" s="1058" t="e">
        <f>VLOOKUP(B2510,'LƯƠNG KT'!$D$15:$R$94,19,0)</f>
        <v>#N/A</v>
      </c>
      <c r="D2515" s="1059" t="e">
        <f>+C2515*$L$8</f>
        <v>#N/A</v>
      </c>
      <c r="E2515" s="1061"/>
      <c r="F2515" s="1061"/>
      <c r="G2515" s="1056" t="s">
        <v>2666</v>
      </c>
      <c r="H2515" s="1057" t="s">
        <v>2667</v>
      </c>
      <c r="I2515" s="1058" t="e">
        <f>VLOOKUP(H2510,'LƯƠNG KT'!$D$15:$R$94,19,0)</f>
        <v>#N/A</v>
      </c>
      <c r="J2515" s="1059" t="e">
        <f>+I2515*$L$8</f>
        <v>#N/A</v>
      </c>
      <c r="K2515" s="1085"/>
      <c r="L2515" s="1085"/>
      <c r="M2515" s="1085"/>
      <c r="N2515" s="1085"/>
      <c r="O2515" s="1085"/>
    </row>
    <row r="2516" spans="1:15" ht="15" customHeight="1">
      <c r="A2516" s="1056" t="s">
        <v>2668</v>
      </c>
      <c r="B2516" s="1062" t="s">
        <v>2669</v>
      </c>
      <c r="C2516" s="1058" t="e">
        <f>VLOOKUP(B2510,'LƯƠNG KT'!$D$15:$R$94,20,0)</f>
        <v>#N/A</v>
      </c>
      <c r="D2516" s="1059" t="e">
        <f>+C2516*$L$9</f>
        <v>#N/A</v>
      </c>
      <c r="E2516" s="1061"/>
      <c r="F2516" s="1061"/>
      <c r="G2516" s="1056" t="s">
        <v>2668</v>
      </c>
      <c r="H2516" s="1062" t="s">
        <v>2669</v>
      </c>
      <c r="I2516" s="1058" t="e">
        <f>VLOOKUP(H2510,'LƯƠNG KT'!$D$15:$R$94,20,0)</f>
        <v>#N/A</v>
      </c>
      <c r="J2516" s="1059" t="e">
        <f>+I2516*$L$9</f>
        <v>#N/A</v>
      </c>
      <c r="K2516" s="1085"/>
      <c r="L2516" s="1085"/>
      <c r="M2516" s="1085"/>
      <c r="N2516" s="1085"/>
      <c r="O2516" s="1085"/>
    </row>
    <row r="2517" spans="1:15" ht="15" customHeight="1">
      <c r="A2517" s="1056" t="s">
        <v>2671</v>
      </c>
      <c r="B2517" s="1057" t="s">
        <v>2672</v>
      </c>
      <c r="C2517" s="1058" t="e">
        <f>VLOOKUP(B2510,'LƯƠNG KT'!$D$15:$R$94,17,0)</f>
        <v>#N/A</v>
      </c>
      <c r="D2517" s="1059" t="e">
        <f>+C2517*$L$10</f>
        <v>#N/A</v>
      </c>
      <c r="E2517" s="1061"/>
      <c r="F2517" s="1061"/>
      <c r="G2517" s="1056" t="s">
        <v>2671</v>
      </c>
      <c r="H2517" s="1057" t="s">
        <v>2672</v>
      </c>
      <c r="I2517" s="1058" t="e">
        <f>VLOOKUP(H2510,'LƯƠNG KT'!$D$15:$R$94,17,0)</f>
        <v>#N/A</v>
      </c>
      <c r="J2517" s="1059" t="e">
        <f>+I2517*$L$10</f>
        <v>#N/A</v>
      </c>
      <c r="K2517" s="1085"/>
      <c r="L2517" s="1085"/>
      <c r="M2517" s="1085"/>
      <c r="N2517" s="1085"/>
      <c r="O2517" s="1085"/>
    </row>
    <row r="2518" spans="1:15" ht="15" customHeight="1">
      <c r="A2518" s="1056" t="s">
        <v>374</v>
      </c>
      <c r="B2518" s="1057" t="s">
        <v>2674</v>
      </c>
      <c r="C2518" s="1058" t="e">
        <f>VLOOKUP(B2510,'LƯƠNG KT'!$D$15:$R$94,12,0)</f>
        <v>#N/A</v>
      </c>
      <c r="D2518" s="1059" t="e">
        <f>VLOOKUP(B2510,'LƯƠNG KT'!$D$15:$R$94,14,0)</f>
        <v>#N/A</v>
      </c>
      <c r="E2518" s="1063"/>
      <c r="F2518" s="1061"/>
      <c r="G2518" s="1056" t="s">
        <v>374</v>
      </c>
      <c r="H2518" s="1057" t="s">
        <v>2674</v>
      </c>
      <c r="I2518" s="1058" t="e">
        <f>VLOOKUP(H2510,'LƯƠNG KT'!$D$15:$R$94,12,0)</f>
        <v>#N/A</v>
      </c>
      <c r="J2518" s="1059" t="e">
        <f>VLOOKUP(H2510,'LƯƠNG KT'!$D$15:$R$94,14,0)</f>
        <v>#N/A</v>
      </c>
      <c r="K2518" s="1085"/>
      <c r="L2518" s="1085"/>
      <c r="M2518" s="1085"/>
      <c r="N2518" s="1085"/>
      <c r="O2518" s="1085"/>
    </row>
    <row r="2519" spans="1:15" ht="15" customHeight="1">
      <c r="A2519" s="1056" t="s">
        <v>2675</v>
      </c>
      <c r="B2519" s="1057" t="s">
        <v>2676</v>
      </c>
      <c r="D2519" s="1064" t="e">
        <f>VLOOKUP(B2510,'LƯƠNG KT'!$D$15:$R$94,13,0)</f>
        <v>#N/A</v>
      </c>
      <c r="E2519" s="1065"/>
      <c r="F2519" s="1065"/>
      <c r="G2519" s="1056" t="s">
        <v>2675</v>
      </c>
      <c r="H2519" s="1057" t="s">
        <v>2676</v>
      </c>
      <c r="J2519" s="1064" t="e">
        <f>VLOOKUP(H2510,'LƯƠNG KT'!$D$15:$R$94,13,0)</f>
        <v>#N/A</v>
      </c>
    </row>
    <row r="2520" spans="1:15" ht="15" customHeight="1">
      <c r="A2520" s="1066"/>
      <c r="B2520" s="869"/>
      <c r="C2520" s="1058"/>
      <c r="D2520" s="1059"/>
      <c r="E2520" s="1063"/>
      <c r="F2520" s="1065"/>
      <c r="G2520" s="1066"/>
      <c r="H2520" s="869"/>
      <c r="I2520" s="1058"/>
      <c r="J2520" s="1059"/>
    </row>
    <row r="2521" spans="1:15" ht="15" customHeight="1">
      <c r="A2521" s="1052"/>
      <c r="B2521" s="869"/>
      <c r="C2521" s="1058"/>
      <c r="D2521" s="1059"/>
      <c r="E2521" s="1067"/>
      <c r="F2521" s="1051"/>
      <c r="G2521" s="1052"/>
      <c r="H2521" s="869"/>
      <c r="I2521" s="1058"/>
      <c r="J2521" s="1059"/>
    </row>
    <row r="2522" spans="1:15" ht="15" customHeight="1">
      <c r="A2522" s="1068" t="s">
        <v>383</v>
      </c>
      <c r="B2522" s="1069" t="s">
        <v>384</v>
      </c>
      <c r="C2522" s="1070"/>
      <c r="D2522" s="1071" t="e">
        <f>SUM(D2511:D2518)-D2521</f>
        <v>#N/A</v>
      </c>
      <c r="E2522" s="1072"/>
      <c r="F2522" s="1073"/>
      <c r="G2522" s="1068" t="s">
        <v>383</v>
      </c>
      <c r="H2522" s="1069" t="s">
        <v>384</v>
      </c>
      <c r="I2522" s="1070"/>
      <c r="J2522" s="1071" t="e">
        <f>SUM(J2511:J2518)-J2521</f>
        <v>#N/A</v>
      </c>
    </row>
    <row r="2523" spans="1:15" ht="18.75" customHeight="1">
      <c r="A2523" s="1074"/>
      <c r="B2523" s="1075"/>
      <c r="C2523" s="1076"/>
      <c r="D2523" s="1077"/>
      <c r="E2523" s="1077"/>
      <c r="F2523" s="1078"/>
      <c r="G2523" s="1074"/>
      <c r="H2523" s="1075"/>
      <c r="I2523" s="1076"/>
      <c r="J2523" s="1077"/>
    </row>
    <row r="2524" spans="1:15" ht="152.25" customHeight="1">
      <c r="A2524" s="1075"/>
      <c r="B2524" s="1075"/>
      <c r="C2524" s="1079"/>
      <c r="D2524" s="1080"/>
      <c r="E2524" s="1075"/>
      <c r="F2524" s="1081"/>
      <c r="G2524" s="1075"/>
      <c r="H2524" s="1075"/>
      <c r="I2524" s="1079"/>
      <c r="J2524" s="1080"/>
    </row>
    <row r="2525" spans="1:15" ht="15" customHeight="1">
      <c r="A2525" s="2242" t="str">
        <f>$K$2</f>
        <v>THÁNG 04/2025</v>
      </c>
      <c r="B2525" s="2242"/>
      <c r="C2525" s="2242"/>
      <c r="D2525" s="2242"/>
      <c r="E2525" s="1050"/>
      <c r="F2525" s="1051"/>
      <c r="G2525" s="2242" t="str">
        <f>$K$2</f>
        <v>THÁNG 04/2025</v>
      </c>
      <c r="H2525" s="2242"/>
      <c r="I2525" s="2242"/>
      <c r="J2525" s="2242"/>
      <c r="K2525" s="624"/>
    </row>
    <row r="2526" spans="1:15" ht="15" customHeight="1">
      <c r="A2526" s="1052" t="s">
        <v>356</v>
      </c>
      <c r="B2526" s="1053" t="s">
        <v>200</v>
      </c>
      <c r="C2526" s="869"/>
      <c r="D2526" s="1049"/>
      <c r="E2526" s="1054"/>
      <c r="F2526" s="1055"/>
      <c r="G2526" s="1052" t="s">
        <v>356</v>
      </c>
      <c r="H2526" s="1053" t="s">
        <v>201</v>
      </c>
      <c r="I2526" s="869"/>
      <c r="J2526" s="1049"/>
      <c r="L2526" s="1088"/>
      <c r="M2526" s="1088"/>
      <c r="N2526" s="1088"/>
      <c r="O2526" s="1088"/>
    </row>
    <row r="2527" spans="1:15" ht="15" customHeight="1">
      <c r="A2527" s="1056" t="s">
        <v>359</v>
      </c>
      <c r="B2527" s="1057" t="s">
        <v>2662</v>
      </c>
      <c r="C2527" s="1058" t="e">
        <f>VLOOKUP(B2526,'LƯƠNG KT'!$D$15:$R$94,4,0)</f>
        <v>#N/A</v>
      </c>
      <c r="D2527" s="1059" t="e">
        <f>+C2527*25000</f>
        <v>#N/A</v>
      </c>
      <c r="E2527" s="1060"/>
      <c r="F2527" s="1060"/>
      <c r="G2527" s="1056" t="s">
        <v>359</v>
      </c>
      <c r="H2527" s="1057" t="s">
        <v>2662</v>
      </c>
      <c r="I2527" s="1058" t="e">
        <f>VLOOKUP(H2526,'LƯƠNG KT'!$D$15:$R$94,4,0)</f>
        <v>#N/A</v>
      </c>
      <c r="J2527" s="1059" t="e">
        <f>+I2527*25000</f>
        <v>#N/A</v>
      </c>
      <c r="K2527" s="1085"/>
      <c r="L2527" s="1085"/>
      <c r="M2527" s="1085"/>
      <c r="N2527" s="1085"/>
      <c r="O2527" s="1085"/>
    </row>
    <row r="2528" spans="1:15" ht="15" customHeight="1">
      <c r="A2528" s="1056" t="s">
        <v>361</v>
      </c>
      <c r="B2528" s="1057" t="s">
        <v>2663</v>
      </c>
      <c r="C2528" s="1058" t="e">
        <f>VLOOKUP(B2526,'LƯƠNG KT'!$D$15:$R$94,15,0)</f>
        <v>#N/A</v>
      </c>
      <c r="D2528" s="1059" t="e">
        <f>C2528*$L$4</f>
        <v>#N/A</v>
      </c>
      <c r="E2528" s="1061"/>
      <c r="F2528" s="1061"/>
      <c r="G2528" s="1056" t="s">
        <v>361</v>
      </c>
      <c r="H2528" s="1057" t="s">
        <v>2663</v>
      </c>
      <c r="I2528" s="1058" t="e">
        <f>VLOOKUP(H2526,'LƯƠNG KT'!$D$15:$R$94,15,0)</f>
        <v>#N/A</v>
      </c>
      <c r="J2528" s="1059" t="e">
        <f>I2528*$L$4</f>
        <v>#N/A</v>
      </c>
      <c r="K2528" s="1085"/>
      <c r="L2528" s="1085"/>
      <c r="M2528" s="1085"/>
      <c r="N2528" s="1085"/>
      <c r="O2528" s="1085"/>
    </row>
    <row r="2529" spans="1:15" ht="15" customHeight="1">
      <c r="A2529" s="1056" t="s">
        <v>364</v>
      </c>
      <c r="B2529" s="1057" t="s">
        <v>2664</v>
      </c>
      <c r="C2529" s="1058" t="e">
        <f>VLOOKUP(B2526,'LƯƠNG KT'!$D$15:$R$94,16,0)</f>
        <v>#N/A</v>
      </c>
      <c r="D2529" s="1059" t="e">
        <f>C2529*$L$5</f>
        <v>#N/A</v>
      </c>
      <c r="E2529" s="1061"/>
      <c r="F2529" s="1061"/>
      <c r="G2529" s="1056" t="s">
        <v>364</v>
      </c>
      <c r="H2529" s="1057" t="s">
        <v>2664</v>
      </c>
      <c r="I2529" s="1058" t="e">
        <f>VLOOKUP(H2526,'LƯƠNG KT'!$D$15:$R$94,16,0)</f>
        <v>#N/A</v>
      </c>
      <c r="J2529" s="1059" t="e">
        <f>I2529*$L$5</f>
        <v>#N/A</v>
      </c>
      <c r="K2529" s="1085"/>
      <c r="L2529" s="1085"/>
      <c r="M2529" s="1085"/>
      <c r="N2529" s="1085"/>
      <c r="O2529" s="1085"/>
    </row>
    <row r="2530" spans="1:15" ht="15" customHeight="1">
      <c r="A2530" s="1056" t="s">
        <v>370</v>
      </c>
      <c r="B2530" s="1057" t="s">
        <v>2665</v>
      </c>
      <c r="C2530" s="1058" t="e">
        <f>VLOOKUP(B2526,'LƯƠNG KT'!$D$15:$R$94,24,0)</f>
        <v>#N/A</v>
      </c>
      <c r="D2530" s="1059" t="e">
        <f>+C2530*$L$6</f>
        <v>#N/A</v>
      </c>
      <c r="E2530" s="1061"/>
      <c r="F2530" s="1061"/>
      <c r="G2530" s="1056" t="s">
        <v>370</v>
      </c>
      <c r="H2530" s="1057" t="s">
        <v>2665</v>
      </c>
      <c r="I2530" s="1058" t="e">
        <f>VLOOKUP(H2526,'LƯƠNG KT'!$D$15:$R$94,24,0)</f>
        <v>#N/A</v>
      </c>
      <c r="J2530" s="1059" t="e">
        <f>+I2530*$L$6</f>
        <v>#N/A</v>
      </c>
      <c r="K2530" s="1085"/>
      <c r="L2530" s="1085"/>
      <c r="M2530" s="1085"/>
      <c r="N2530" s="1085"/>
      <c r="O2530" s="1085"/>
    </row>
    <row r="2531" spans="1:15" ht="15" customHeight="1">
      <c r="A2531" s="1056" t="s">
        <v>2666</v>
      </c>
      <c r="B2531" s="1057" t="s">
        <v>2667</v>
      </c>
      <c r="C2531" s="1058" t="e">
        <f>VLOOKUP(B2526,'LƯƠNG KT'!$D$15:$R$94,19,0)</f>
        <v>#N/A</v>
      </c>
      <c r="D2531" s="1059" t="e">
        <f>+C2531*$L$8</f>
        <v>#N/A</v>
      </c>
      <c r="E2531" s="1061"/>
      <c r="F2531" s="1061"/>
      <c r="G2531" s="1056" t="s">
        <v>2666</v>
      </c>
      <c r="H2531" s="1057" t="s">
        <v>2667</v>
      </c>
      <c r="I2531" s="1058" t="e">
        <f>VLOOKUP(H2526,'LƯƠNG KT'!$D$15:$R$94,19,0)</f>
        <v>#N/A</v>
      </c>
      <c r="J2531" s="1059" t="e">
        <f>+I2531*$L$8</f>
        <v>#N/A</v>
      </c>
      <c r="K2531" s="1085"/>
      <c r="L2531" s="1085"/>
      <c r="M2531" s="1085"/>
      <c r="N2531" s="1085"/>
      <c r="O2531" s="1085"/>
    </row>
    <row r="2532" spans="1:15" ht="15" customHeight="1">
      <c r="A2532" s="1056" t="s">
        <v>2668</v>
      </c>
      <c r="B2532" s="1062" t="s">
        <v>2669</v>
      </c>
      <c r="C2532" s="1058" t="e">
        <f>VLOOKUP(B2526,'LƯƠNG KT'!$D$15:$R$94,20,0)</f>
        <v>#N/A</v>
      </c>
      <c r="D2532" s="1059" t="e">
        <f>+C2532*$L$9</f>
        <v>#N/A</v>
      </c>
      <c r="E2532" s="1061"/>
      <c r="F2532" s="1061"/>
      <c r="G2532" s="1056" t="s">
        <v>2668</v>
      </c>
      <c r="H2532" s="1062" t="s">
        <v>2669</v>
      </c>
      <c r="I2532" s="1058" t="e">
        <f>VLOOKUP(H2526,'LƯƠNG KT'!$D$15:$R$94,20,0)</f>
        <v>#N/A</v>
      </c>
      <c r="J2532" s="1059" t="e">
        <f>+I2532*$L$9</f>
        <v>#N/A</v>
      </c>
      <c r="K2532" s="1085"/>
      <c r="L2532" s="1085"/>
      <c r="M2532" s="1085"/>
      <c r="N2532" s="1085"/>
      <c r="O2532" s="1085"/>
    </row>
    <row r="2533" spans="1:15" ht="15" customHeight="1">
      <c r="A2533" s="1056" t="s">
        <v>2671</v>
      </c>
      <c r="B2533" s="1057" t="s">
        <v>2672</v>
      </c>
      <c r="C2533" s="1058" t="e">
        <f>VLOOKUP(B2526,'LƯƠNG KT'!$D$15:$R$94,17,0)</f>
        <v>#N/A</v>
      </c>
      <c r="D2533" s="1059" t="e">
        <f>+C2533*$L$10</f>
        <v>#N/A</v>
      </c>
      <c r="E2533" s="1061"/>
      <c r="F2533" s="1061"/>
      <c r="G2533" s="1056" t="s">
        <v>2671</v>
      </c>
      <c r="H2533" s="1057" t="s">
        <v>2672</v>
      </c>
      <c r="I2533" s="1058" t="e">
        <f>VLOOKUP(H2526,'LƯƠNG KT'!$D$15:$R$94,17,0)</f>
        <v>#N/A</v>
      </c>
      <c r="J2533" s="1059" t="e">
        <f>+I2533*$L$10</f>
        <v>#N/A</v>
      </c>
      <c r="K2533" s="1085"/>
      <c r="L2533" s="1085"/>
      <c r="M2533" s="1085"/>
      <c r="N2533" s="1085"/>
      <c r="O2533" s="1085"/>
    </row>
    <row r="2534" spans="1:15" ht="15" customHeight="1">
      <c r="A2534" s="1056" t="s">
        <v>374</v>
      </c>
      <c r="B2534" s="1057" t="s">
        <v>2674</v>
      </c>
      <c r="C2534" s="1058" t="e">
        <f>VLOOKUP(B2526,'LƯƠNG KT'!$D$15:$R$94,12,0)</f>
        <v>#N/A</v>
      </c>
      <c r="D2534" s="1059" t="e">
        <f>VLOOKUP(B2526,'LƯƠNG KT'!$D$15:$R$94,14,0)</f>
        <v>#N/A</v>
      </c>
      <c r="E2534" s="1063"/>
      <c r="F2534" s="1061"/>
      <c r="G2534" s="1056" t="s">
        <v>374</v>
      </c>
      <c r="H2534" s="1057" t="s">
        <v>2674</v>
      </c>
      <c r="I2534" s="1058" t="e">
        <f>VLOOKUP(H2526,'LƯƠNG KT'!$D$15:$R$94,12,0)</f>
        <v>#N/A</v>
      </c>
      <c r="J2534" s="1059" t="e">
        <f>VLOOKUP(H2526,'LƯƠNG KT'!$D$15:$R$94,14,0)</f>
        <v>#N/A</v>
      </c>
      <c r="K2534" s="1085"/>
      <c r="L2534" s="1085"/>
      <c r="M2534" s="1085"/>
      <c r="N2534" s="1085"/>
      <c r="O2534" s="1085"/>
    </row>
    <row r="2535" spans="1:15" ht="15" customHeight="1">
      <c r="A2535" s="1056" t="s">
        <v>2675</v>
      </c>
      <c r="B2535" s="1057" t="s">
        <v>2676</v>
      </c>
      <c r="D2535" s="1064" t="e">
        <f>VLOOKUP(B2526,'LƯƠNG KT'!$D$15:$R$94,13,0)</f>
        <v>#N/A</v>
      </c>
      <c r="E2535" s="1065"/>
      <c r="F2535" s="1065"/>
      <c r="G2535" s="1056" t="s">
        <v>2675</v>
      </c>
      <c r="H2535" s="1057" t="s">
        <v>2676</v>
      </c>
      <c r="J2535" s="1064" t="e">
        <f>VLOOKUP(H2526,'LƯƠNG KT'!$D$15:$R$94,13,0)</f>
        <v>#N/A</v>
      </c>
    </row>
    <row r="2536" spans="1:15" ht="15" customHeight="1">
      <c r="A2536" s="1066"/>
      <c r="B2536" s="869"/>
      <c r="C2536" s="1058"/>
      <c r="D2536" s="1059"/>
      <c r="E2536" s="1063"/>
      <c r="F2536" s="1065"/>
      <c r="G2536" s="1066"/>
      <c r="H2536" s="869"/>
      <c r="I2536" s="1058"/>
      <c r="J2536" s="1059"/>
    </row>
    <row r="2537" spans="1:15" ht="15" customHeight="1">
      <c r="A2537" s="1052"/>
      <c r="B2537" s="869"/>
      <c r="C2537" s="1058"/>
      <c r="D2537" s="1059"/>
      <c r="E2537" s="1067"/>
      <c r="F2537" s="1051"/>
      <c r="G2537" s="1052"/>
      <c r="H2537" s="869"/>
      <c r="I2537" s="1058"/>
      <c r="J2537" s="1059"/>
    </row>
    <row r="2538" spans="1:15" ht="15" customHeight="1">
      <c r="A2538" s="1068" t="s">
        <v>383</v>
      </c>
      <c r="B2538" s="1069" t="s">
        <v>384</v>
      </c>
      <c r="C2538" s="1070"/>
      <c r="D2538" s="1071" t="e">
        <f>SUM(D2527:D2534)-D2537</f>
        <v>#N/A</v>
      </c>
      <c r="E2538" s="1072"/>
      <c r="F2538" s="1073"/>
      <c r="G2538" s="1068" t="s">
        <v>383</v>
      </c>
      <c r="H2538" s="1069" t="s">
        <v>384</v>
      </c>
      <c r="I2538" s="1070"/>
      <c r="J2538" s="1071" t="e">
        <f>SUM(J2527:J2534)-J2537</f>
        <v>#N/A</v>
      </c>
    </row>
    <row r="2539" spans="1:15" ht="15.75" customHeight="1">
      <c r="A2539" s="1074"/>
      <c r="B2539" s="1075"/>
      <c r="C2539" s="1076"/>
      <c r="D2539" s="1077"/>
      <c r="E2539" s="1077"/>
      <c r="F2539" s="1078"/>
      <c r="G2539" s="1074"/>
      <c r="H2539" s="1075"/>
      <c r="I2539" s="1076"/>
      <c r="J2539" s="1077"/>
    </row>
    <row r="2541" spans="1:15" ht="12" customHeight="1">
      <c r="A2541" s="2243"/>
      <c r="B2541" s="2243"/>
      <c r="C2541" s="2243"/>
      <c r="D2541" s="2243"/>
      <c r="E2541" s="2243"/>
      <c r="F2541" s="2243"/>
      <c r="G2541" s="2243"/>
      <c r="H2541" s="2243"/>
      <c r="I2541" s="2243"/>
      <c r="J2541" s="2243"/>
    </row>
    <row r="2542" spans="1:15" ht="15" customHeight="1">
      <c r="A2542" s="2242" t="str">
        <f>$K$2</f>
        <v>THÁNG 04/2025</v>
      </c>
      <c r="B2542" s="2242"/>
      <c r="C2542" s="2242"/>
      <c r="D2542" s="2242"/>
      <c r="E2542" s="1050"/>
      <c r="F2542" s="1051"/>
      <c r="G2542" s="2242" t="str">
        <f>$K$2</f>
        <v>THÁNG 04/2025</v>
      </c>
      <c r="H2542" s="2242"/>
      <c r="I2542" s="2242"/>
      <c r="J2542" s="2242"/>
      <c r="K2542" s="624"/>
    </row>
    <row r="2543" spans="1:15" ht="15" customHeight="1">
      <c r="A2543" s="1052" t="s">
        <v>356</v>
      </c>
      <c r="B2543" s="1053" t="s">
        <v>202</v>
      </c>
      <c r="C2543" s="869"/>
      <c r="D2543" s="1049"/>
      <c r="E2543" s="1054"/>
      <c r="F2543" s="1055"/>
      <c r="G2543" s="1052" t="s">
        <v>356</v>
      </c>
      <c r="H2543" s="1053" t="s">
        <v>203</v>
      </c>
      <c r="I2543" s="869"/>
      <c r="J2543" s="1049"/>
      <c r="L2543" s="1088"/>
      <c r="M2543" s="1088"/>
      <c r="N2543" s="1088"/>
      <c r="O2543" s="1088"/>
    </row>
    <row r="2544" spans="1:15" ht="15" customHeight="1">
      <c r="A2544" s="1056" t="s">
        <v>359</v>
      </c>
      <c r="B2544" s="1057" t="s">
        <v>2662</v>
      </c>
      <c r="C2544" s="1058" t="e">
        <f>VLOOKUP(B2543,'LƯƠNG KT'!$D$15:$R$94,4,0)</f>
        <v>#N/A</v>
      </c>
      <c r="D2544" s="1059" t="e">
        <f>+C2544*25000</f>
        <v>#N/A</v>
      </c>
      <c r="E2544" s="1060"/>
      <c r="F2544" s="1060"/>
      <c r="G2544" s="1056" t="s">
        <v>359</v>
      </c>
      <c r="H2544" s="1057" t="s">
        <v>2662</v>
      </c>
      <c r="I2544" s="1058" t="e">
        <f>VLOOKUP(H2543,'LƯƠNG KT'!$D$15:$R$94,4,0)</f>
        <v>#N/A</v>
      </c>
      <c r="J2544" s="1059" t="e">
        <f>+I2544*25000</f>
        <v>#N/A</v>
      </c>
      <c r="K2544" s="1084"/>
      <c r="L2544" s="1085"/>
      <c r="M2544" s="1085"/>
      <c r="N2544" s="1085"/>
      <c r="O2544" s="1085"/>
    </row>
    <row r="2545" spans="1:15" ht="15" customHeight="1">
      <c r="A2545" s="1056" t="s">
        <v>361</v>
      </c>
      <c r="B2545" s="1057" t="s">
        <v>2663</v>
      </c>
      <c r="C2545" s="1058" t="e">
        <f>VLOOKUP(B2543,'LƯƠNG KT'!$D$15:$R$94,15,0)</f>
        <v>#N/A</v>
      </c>
      <c r="D2545" s="1059" t="e">
        <f>C2545*$L$4</f>
        <v>#N/A</v>
      </c>
      <c r="E2545" s="1061"/>
      <c r="F2545" s="1061"/>
      <c r="G2545" s="1056" t="s">
        <v>361</v>
      </c>
      <c r="H2545" s="1057" t="s">
        <v>2663</v>
      </c>
      <c r="I2545" s="1058" t="e">
        <f>VLOOKUP(H2543,'LƯƠNG KT'!$D$15:$R$94,15,0)</f>
        <v>#N/A</v>
      </c>
      <c r="J2545" s="1059" t="e">
        <f>I2545*$L$4</f>
        <v>#N/A</v>
      </c>
      <c r="K2545" s="1084"/>
      <c r="L2545" s="1085"/>
      <c r="M2545" s="1085"/>
      <c r="N2545" s="1085"/>
      <c r="O2545" s="1085"/>
    </row>
    <row r="2546" spans="1:15" ht="15" customHeight="1">
      <c r="A2546" s="1056" t="s">
        <v>364</v>
      </c>
      <c r="B2546" s="1057" t="s">
        <v>2664</v>
      </c>
      <c r="C2546" s="1058" t="e">
        <f>VLOOKUP(B2543,'LƯƠNG KT'!$D$15:$R$94,16,0)</f>
        <v>#N/A</v>
      </c>
      <c r="D2546" s="1059" t="e">
        <f>C2546*$L$5</f>
        <v>#N/A</v>
      </c>
      <c r="E2546" s="1061"/>
      <c r="F2546" s="1061"/>
      <c r="G2546" s="1056" t="s">
        <v>364</v>
      </c>
      <c r="H2546" s="1057" t="s">
        <v>2664</v>
      </c>
      <c r="I2546" s="1058" t="e">
        <f>VLOOKUP(H2543,'LƯƠNG KT'!$D$15:$R$94,16,0)</f>
        <v>#N/A</v>
      </c>
      <c r="J2546" s="1059" t="e">
        <f>I2546*$L$5</f>
        <v>#N/A</v>
      </c>
      <c r="K2546" s="1084"/>
      <c r="L2546" s="1085"/>
      <c r="M2546" s="1085"/>
      <c r="N2546" s="1085"/>
      <c r="O2546" s="1085"/>
    </row>
    <row r="2547" spans="1:15" ht="15" customHeight="1">
      <c r="A2547" s="1056" t="s">
        <v>370</v>
      </c>
      <c r="B2547" s="1057" t="s">
        <v>2665</v>
      </c>
      <c r="C2547" s="1058" t="e">
        <f>VLOOKUP(B2543,'LƯƠNG KT'!$D$15:$R$94,24,0)</f>
        <v>#N/A</v>
      </c>
      <c r="D2547" s="1059" t="e">
        <f>+C2547*$L$6</f>
        <v>#N/A</v>
      </c>
      <c r="E2547" s="1061"/>
      <c r="F2547" s="1061"/>
      <c r="G2547" s="1056" t="s">
        <v>370</v>
      </c>
      <c r="H2547" s="1057" t="s">
        <v>2665</v>
      </c>
      <c r="I2547" s="1058" t="e">
        <f>VLOOKUP(H2543,'LƯƠNG KT'!$D$15:$R$94,24,0)</f>
        <v>#N/A</v>
      </c>
      <c r="J2547" s="1059" t="e">
        <f>+I2547*$L$6</f>
        <v>#N/A</v>
      </c>
      <c r="K2547" s="1085"/>
      <c r="L2547" s="1085"/>
      <c r="M2547" s="1085"/>
      <c r="N2547" s="1085"/>
      <c r="O2547" s="1085"/>
    </row>
    <row r="2548" spans="1:15" ht="15" customHeight="1">
      <c r="A2548" s="1056" t="s">
        <v>2666</v>
      </c>
      <c r="B2548" s="1057" t="s">
        <v>2667</v>
      </c>
      <c r="C2548" s="1058" t="e">
        <f>VLOOKUP(B2543,'LƯƠNG KT'!$D$15:$R$94,19,0)</f>
        <v>#N/A</v>
      </c>
      <c r="D2548" s="1059" t="e">
        <f>+C2548*$L$8</f>
        <v>#N/A</v>
      </c>
      <c r="E2548" s="1061"/>
      <c r="F2548" s="1061"/>
      <c r="G2548" s="1056" t="s">
        <v>2666</v>
      </c>
      <c r="H2548" s="1057" t="s">
        <v>2667</v>
      </c>
      <c r="I2548" s="1058" t="e">
        <f>VLOOKUP(H2543,'LƯƠNG KT'!$D$15:$R$94,19,0)</f>
        <v>#N/A</v>
      </c>
      <c r="J2548" s="1059" t="e">
        <f>+I2548*$L$8</f>
        <v>#N/A</v>
      </c>
      <c r="K2548" s="1085"/>
      <c r="L2548" s="1085"/>
      <c r="M2548" s="1085"/>
      <c r="N2548" s="1085"/>
      <c r="O2548" s="1085"/>
    </row>
    <row r="2549" spans="1:15" ht="15" customHeight="1">
      <c r="A2549" s="1056" t="s">
        <v>2668</v>
      </c>
      <c r="B2549" s="1062" t="s">
        <v>2669</v>
      </c>
      <c r="C2549" s="1058" t="e">
        <f>VLOOKUP(B2543,'LƯƠNG KT'!$D$15:$R$94,20,0)</f>
        <v>#N/A</v>
      </c>
      <c r="D2549" s="1059" t="e">
        <f>+C2549*$L$9</f>
        <v>#N/A</v>
      </c>
      <c r="E2549" s="1061"/>
      <c r="F2549" s="1061"/>
      <c r="G2549" s="1056" t="s">
        <v>2668</v>
      </c>
      <c r="H2549" s="1062" t="s">
        <v>2669</v>
      </c>
      <c r="I2549" s="1058" t="e">
        <f>VLOOKUP(H2543,'LƯƠNG KT'!$D$15:$R$94,20,0)</f>
        <v>#N/A</v>
      </c>
      <c r="J2549" s="1059" t="e">
        <f>+I2549*$L$9</f>
        <v>#N/A</v>
      </c>
      <c r="K2549" s="1085"/>
      <c r="L2549" s="1085"/>
      <c r="M2549" s="1085"/>
      <c r="N2549" s="1085"/>
      <c r="O2549" s="1085"/>
    </row>
    <row r="2550" spans="1:15" ht="15" customHeight="1">
      <c r="A2550" s="1056" t="s">
        <v>2671</v>
      </c>
      <c r="B2550" s="1057" t="s">
        <v>2672</v>
      </c>
      <c r="C2550" s="1058" t="e">
        <f>VLOOKUP(B2543,'LƯƠNG KT'!$D$15:$R$94,17,0)</f>
        <v>#N/A</v>
      </c>
      <c r="D2550" s="1059" t="e">
        <f>+C2550*$L$10</f>
        <v>#N/A</v>
      </c>
      <c r="E2550" s="1061"/>
      <c r="F2550" s="1061"/>
      <c r="G2550" s="1056" t="s">
        <v>2671</v>
      </c>
      <c r="H2550" s="1057" t="s">
        <v>2672</v>
      </c>
      <c r="I2550" s="1058" t="e">
        <f>VLOOKUP(H2543,'LƯƠNG KT'!$D$15:$R$94,17,0)</f>
        <v>#N/A</v>
      </c>
      <c r="J2550" s="1059" t="e">
        <f>+I2550*$L$10</f>
        <v>#N/A</v>
      </c>
      <c r="K2550" s="1085"/>
      <c r="L2550" s="1085"/>
      <c r="M2550" s="1085"/>
      <c r="N2550" s="1085"/>
      <c r="O2550" s="1085"/>
    </row>
    <row r="2551" spans="1:15" ht="15" customHeight="1">
      <c r="A2551" s="1056" t="s">
        <v>374</v>
      </c>
      <c r="B2551" s="1057" t="s">
        <v>2674</v>
      </c>
      <c r="C2551" s="1058" t="e">
        <f>VLOOKUP(B2543,'LƯƠNG KT'!$D$15:$R$94,12,0)</f>
        <v>#N/A</v>
      </c>
      <c r="D2551" s="1059" t="e">
        <f>VLOOKUP(B2543,'LƯƠNG KT'!$D$15:$R$94,14,0)</f>
        <v>#N/A</v>
      </c>
      <c r="E2551" s="1063"/>
      <c r="F2551" s="1061"/>
      <c r="G2551" s="1056" t="s">
        <v>374</v>
      </c>
      <c r="H2551" s="1057" t="s">
        <v>2674</v>
      </c>
      <c r="I2551" s="1058" t="e">
        <f>VLOOKUP(H2543,'LƯƠNG KT'!$D$15:$R$94,12,0)</f>
        <v>#N/A</v>
      </c>
      <c r="J2551" s="1059" t="e">
        <f>VLOOKUP(H2543,'LƯƠNG KT'!$D$15:$R$94,14,0)</f>
        <v>#N/A</v>
      </c>
      <c r="K2551" s="1085"/>
      <c r="L2551" s="1085"/>
      <c r="M2551" s="1085"/>
      <c r="N2551" s="1085"/>
      <c r="O2551" s="1085"/>
    </row>
    <row r="2552" spans="1:15" ht="15" customHeight="1">
      <c r="A2552" s="1056" t="s">
        <v>2675</v>
      </c>
      <c r="B2552" s="1057" t="s">
        <v>2676</v>
      </c>
      <c r="D2552" s="1064" t="e">
        <f>VLOOKUP(B2543,'LƯƠNG KT'!$D$15:$R$94,13,0)</f>
        <v>#N/A</v>
      </c>
      <c r="E2552" s="1065"/>
      <c r="F2552" s="1065"/>
      <c r="G2552" s="1056" t="s">
        <v>2675</v>
      </c>
      <c r="H2552" s="1057" t="s">
        <v>2676</v>
      </c>
      <c r="J2552" s="1064" t="e">
        <f>VLOOKUP(H2543,'LƯƠNG KT'!$D$15:$R$94,13,0)</f>
        <v>#N/A</v>
      </c>
    </row>
    <row r="2553" spans="1:15" ht="15" customHeight="1">
      <c r="A2553" s="1066"/>
      <c r="B2553" s="869"/>
      <c r="C2553" s="1058"/>
      <c r="D2553" s="1059"/>
      <c r="E2553" s="1063"/>
      <c r="F2553" s="1065"/>
      <c r="G2553" s="1066"/>
      <c r="H2553" s="869"/>
      <c r="I2553" s="1058"/>
      <c r="J2553" s="1059"/>
    </row>
    <row r="2554" spans="1:15" ht="15" customHeight="1">
      <c r="A2554" s="1052"/>
      <c r="B2554" s="869"/>
      <c r="C2554" s="1058"/>
      <c r="D2554" s="1059"/>
      <c r="E2554" s="1067"/>
      <c r="F2554" s="1051"/>
      <c r="G2554" s="1052"/>
      <c r="H2554" s="869"/>
      <c r="I2554" s="1058"/>
      <c r="J2554" s="1059"/>
    </row>
    <row r="2555" spans="1:15" ht="15" customHeight="1">
      <c r="A2555" s="1068" t="s">
        <v>383</v>
      </c>
      <c r="B2555" s="1069" t="s">
        <v>384</v>
      </c>
      <c r="C2555" s="1070"/>
      <c r="D2555" s="1071" t="e">
        <f>SUM(D2544:D2551)-D2554</f>
        <v>#N/A</v>
      </c>
      <c r="E2555" s="1072"/>
      <c r="F2555" s="1073"/>
      <c r="G2555" s="1068" t="s">
        <v>383</v>
      </c>
      <c r="H2555" s="1069" t="s">
        <v>384</v>
      </c>
      <c r="I2555" s="1070"/>
      <c r="J2555" s="1071" t="e">
        <f>SUM(J2544:J2551)-J2554</f>
        <v>#N/A</v>
      </c>
    </row>
    <row r="2556" spans="1:15" ht="12.6" customHeight="1">
      <c r="A2556" s="1074"/>
      <c r="B2556" s="1075"/>
      <c r="C2556" s="1076"/>
      <c r="D2556" s="1077"/>
      <c r="E2556" s="1077"/>
      <c r="F2556" s="1078"/>
      <c r="G2556" s="1074"/>
      <c r="H2556" s="1075"/>
      <c r="I2556" s="1076"/>
      <c r="J2556" s="1077"/>
    </row>
    <row r="2557" spans="1:15" ht="12.6" customHeight="1">
      <c r="A2557" s="1075"/>
      <c r="B2557" s="1075"/>
      <c r="C2557" s="1079"/>
      <c r="D2557" s="1080"/>
      <c r="E2557" s="1075"/>
      <c r="F2557" s="1081"/>
      <c r="G2557" s="1075"/>
      <c r="H2557" s="1075"/>
      <c r="I2557" s="1079"/>
      <c r="J2557" s="1080"/>
    </row>
    <row r="2558" spans="1:15" ht="15" customHeight="1">
      <c r="A2558" s="2242" t="str">
        <f>$K$2</f>
        <v>THÁNG 04/2025</v>
      </c>
      <c r="B2558" s="2242"/>
      <c r="C2558" s="2242"/>
      <c r="D2558" s="2242"/>
      <c r="E2558" s="1050"/>
      <c r="F2558" s="1051"/>
      <c r="G2558" s="2242" t="str">
        <f>$K$2</f>
        <v>THÁNG 04/2025</v>
      </c>
      <c r="H2558" s="2242"/>
      <c r="I2558" s="2242"/>
      <c r="J2558" s="2242"/>
      <c r="K2558" s="624"/>
    </row>
    <row r="2559" spans="1:15" ht="15" customHeight="1">
      <c r="A2559" s="1052" t="s">
        <v>356</v>
      </c>
      <c r="B2559" s="1053" t="s">
        <v>204</v>
      </c>
      <c r="C2559" s="869"/>
      <c r="D2559" s="1049"/>
      <c r="E2559" s="1054"/>
      <c r="F2559" s="1055"/>
      <c r="G2559" s="1052" t="s">
        <v>356</v>
      </c>
      <c r="H2559" s="1053" t="s">
        <v>205</v>
      </c>
      <c r="I2559" s="869"/>
      <c r="J2559" s="1049"/>
      <c r="L2559" s="1088"/>
      <c r="M2559" s="1088"/>
      <c r="N2559" s="1088"/>
      <c r="O2559" s="1088"/>
    </row>
    <row r="2560" spans="1:15" ht="15" customHeight="1">
      <c r="A2560" s="1056" t="s">
        <v>359</v>
      </c>
      <c r="B2560" s="1057" t="s">
        <v>2662</v>
      </c>
      <c r="C2560" s="1058" t="e">
        <f>VLOOKUP(B2559,'LƯƠNG KT'!$D$15:$R$94,4,0)</f>
        <v>#N/A</v>
      </c>
      <c r="D2560" s="1059" t="e">
        <f>+C2560*25000</f>
        <v>#N/A</v>
      </c>
      <c r="E2560" s="1060"/>
      <c r="F2560" s="1060"/>
      <c r="G2560" s="1056" t="s">
        <v>359</v>
      </c>
      <c r="H2560" s="1057" t="s">
        <v>2662</v>
      </c>
      <c r="I2560" s="1058" t="e">
        <f>VLOOKUP(H2559,'LƯƠNG KT'!$D$15:$R$94,4,0)</f>
        <v>#N/A</v>
      </c>
      <c r="J2560" s="1059" t="e">
        <f>+I2560*25000</f>
        <v>#N/A</v>
      </c>
      <c r="K2560" s="1085"/>
      <c r="L2560" s="1085"/>
      <c r="M2560" s="1085"/>
      <c r="N2560" s="1085"/>
      <c r="O2560" s="1085"/>
    </row>
    <row r="2561" spans="1:15" ht="15" customHeight="1">
      <c r="A2561" s="1056" t="s">
        <v>361</v>
      </c>
      <c r="B2561" s="1057" t="s">
        <v>2663</v>
      </c>
      <c r="C2561" s="1058" t="e">
        <f>VLOOKUP(B2559,'LƯƠNG KT'!$D$15:$R$94,15,0)</f>
        <v>#N/A</v>
      </c>
      <c r="D2561" s="1059" t="e">
        <f>C2561*$L$4</f>
        <v>#N/A</v>
      </c>
      <c r="E2561" s="1061"/>
      <c r="F2561" s="1061"/>
      <c r="G2561" s="1056" t="s">
        <v>361</v>
      </c>
      <c r="H2561" s="1057" t="s">
        <v>2663</v>
      </c>
      <c r="I2561" s="1058" t="e">
        <f>VLOOKUP(H2559,'LƯƠNG KT'!$D$15:$R$94,15,0)</f>
        <v>#N/A</v>
      </c>
      <c r="J2561" s="1059" t="e">
        <f>I2561*$L$4</f>
        <v>#N/A</v>
      </c>
      <c r="K2561" s="1085"/>
      <c r="L2561" s="1085"/>
      <c r="M2561" s="1085"/>
      <c r="N2561" s="1085"/>
      <c r="O2561" s="1085"/>
    </row>
    <row r="2562" spans="1:15" ht="15" customHeight="1">
      <c r="A2562" s="1056" t="s">
        <v>364</v>
      </c>
      <c r="B2562" s="1057" t="s">
        <v>2664</v>
      </c>
      <c r="C2562" s="1058" t="e">
        <f>VLOOKUP(B2559,'LƯƠNG KT'!$D$15:$R$94,16,0)</f>
        <v>#N/A</v>
      </c>
      <c r="D2562" s="1059" t="e">
        <f>C2562*$L$5</f>
        <v>#N/A</v>
      </c>
      <c r="E2562" s="1061"/>
      <c r="F2562" s="1061"/>
      <c r="G2562" s="1056" t="s">
        <v>364</v>
      </c>
      <c r="H2562" s="1057" t="s">
        <v>2664</v>
      </c>
      <c r="I2562" s="1058" t="e">
        <f>VLOOKUP(H2559,'LƯƠNG KT'!$D$15:$R$94,16,0)</f>
        <v>#N/A</v>
      </c>
      <c r="J2562" s="1059" t="e">
        <f>I2562*$L$5</f>
        <v>#N/A</v>
      </c>
      <c r="K2562" s="1085"/>
      <c r="L2562" s="1085"/>
      <c r="M2562" s="1085"/>
      <c r="N2562" s="1085"/>
      <c r="O2562" s="1085"/>
    </row>
    <row r="2563" spans="1:15" ht="15" customHeight="1">
      <c r="A2563" s="1056" t="s">
        <v>370</v>
      </c>
      <c r="B2563" s="1057" t="s">
        <v>2665</v>
      </c>
      <c r="C2563" s="1058" t="e">
        <f>VLOOKUP(B2559,'LƯƠNG KT'!$D$15:$R$94,24,0)</f>
        <v>#N/A</v>
      </c>
      <c r="D2563" s="1059" t="e">
        <f>+C2563*$L$6</f>
        <v>#N/A</v>
      </c>
      <c r="E2563" s="1061"/>
      <c r="F2563" s="1061"/>
      <c r="G2563" s="1056" t="s">
        <v>370</v>
      </c>
      <c r="H2563" s="1057" t="s">
        <v>2665</v>
      </c>
      <c r="I2563" s="1058" t="e">
        <f>VLOOKUP(H2559,'LƯƠNG KT'!$D$15:$R$94,24,0)</f>
        <v>#N/A</v>
      </c>
      <c r="J2563" s="1059" t="e">
        <f>+I2563*$L$6</f>
        <v>#N/A</v>
      </c>
      <c r="K2563" s="1085"/>
      <c r="L2563" s="1085"/>
      <c r="M2563" s="1085"/>
      <c r="N2563" s="1085"/>
      <c r="O2563" s="1085"/>
    </row>
    <row r="2564" spans="1:15" ht="15" customHeight="1">
      <c r="A2564" s="1056" t="s">
        <v>2666</v>
      </c>
      <c r="B2564" s="1057" t="s">
        <v>2667</v>
      </c>
      <c r="C2564" s="1058" t="e">
        <f>VLOOKUP(B2559,'LƯƠNG KT'!$D$15:$R$94,19,0)</f>
        <v>#N/A</v>
      </c>
      <c r="D2564" s="1059" t="e">
        <f>+C2564*$L$8</f>
        <v>#N/A</v>
      </c>
      <c r="E2564" s="1061"/>
      <c r="F2564" s="1061"/>
      <c r="G2564" s="1056" t="s">
        <v>2666</v>
      </c>
      <c r="H2564" s="1057" t="s">
        <v>2667</v>
      </c>
      <c r="I2564" s="1058" t="e">
        <f>VLOOKUP(H2559,'LƯƠNG KT'!$D$15:$R$94,19,0)</f>
        <v>#N/A</v>
      </c>
      <c r="J2564" s="1059" t="e">
        <f>+I2564*$L$8</f>
        <v>#N/A</v>
      </c>
      <c r="K2564" s="1085"/>
      <c r="L2564" s="1085"/>
      <c r="M2564" s="1085"/>
      <c r="N2564" s="1085"/>
      <c r="O2564" s="1085"/>
    </row>
    <row r="2565" spans="1:15" ht="15" customHeight="1">
      <c r="A2565" s="1056" t="s">
        <v>2668</v>
      </c>
      <c r="B2565" s="1062" t="s">
        <v>2669</v>
      </c>
      <c r="C2565" s="1058" t="e">
        <f>VLOOKUP(B2559,'LƯƠNG KT'!$D$15:$R$94,20,0)</f>
        <v>#N/A</v>
      </c>
      <c r="D2565" s="1059" t="e">
        <f>+C2565*$L$9</f>
        <v>#N/A</v>
      </c>
      <c r="E2565" s="1061"/>
      <c r="F2565" s="1061"/>
      <c r="G2565" s="1056" t="s">
        <v>2668</v>
      </c>
      <c r="H2565" s="1062" t="s">
        <v>2669</v>
      </c>
      <c r="I2565" s="1058" t="e">
        <f>VLOOKUP(H2559,'LƯƠNG KT'!$D$15:$R$94,20,0)</f>
        <v>#N/A</v>
      </c>
      <c r="J2565" s="1059" t="e">
        <f>+I2565*$L$9</f>
        <v>#N/A</v>
      </c>
      <c r="K2565" s="1085"/>
      <c r="L2565" s="1085"/>
      <c r="M2565" s="1085"/>
      <c r="N2565" s="1085"/>
      <c r="O2565" s="1085"/>
    </row>
    <row r="2566" spans="1:15" ht="15" customHeight="1">
      <c r="A2566" s="1056" t="s">
        <v>2671</v>
      </c>
      <c r="B2566" s="1057" t="s">
        <v>2672</v>
      </c>
      <c r="C2566" s="1058" t="e">
        <f>VLOOKUP(B2559,'LƯƠNG KT'!$D$15:$R$94,17,0)</f>
        <v>#N/A</v>
      </c>
      <c r="D2566" s="1059" t="e">
        <f>+C2566*$L$10</f>
        <v>#N/A</v>
      </c>
      <c r="E2566" s="1061"/>
      <c r="F2566" s="1061"/>
      <c r="G2566" s="1056" t="s">
        <v>2671</v>
      </c>
      <c r="H2566" s="1057" t="s">
        <v>2672</v>
      </c>
      <c r="I2566" s="1058" t="e">
        <f>VLOOKUP(H2559,'LƯƠNG KT'!$D$15:$R$94,17,0)</f>
        <v>#N/A</v>
      </c>
      <c r="J2566" s="1059" t="e">
        <f>+I2566*$L$10</f>
        <v>#N/A</v>
      </c>
      <c r="K2566" s="1085"/>
      <c r="L2566" s="1085"/>
      <c r="M2566" s="1085"/>
      <c r="N2566" s="1085"/>
      <c r="O2566" s="1085"/>
    </row>
    <row r="2567" spans="1:15" ht="15" customHeight="1">
      <c r="A2567" s="1056" t="s">
        <v>374</v>
      </c>
      <c r="B2567" s="1057" t="s">
        <v>2674</v>
      </c>
      <c r="C2567" s="1058" t="e">
        <f>VLOOKUP(B2559,'LƯƠNG KT'!$D$15:$R$94,12,0)</f>
        <v>#N/A</v>
      </c>
      <c r="D2567" s="1059" t="e">
        <f>VLOOKUP(B2559,'LƯƠNG KT'!$D$15:$R$94,14,0)</f>
        <v>#N/A</v>
      </c>
      <c r="E2567" s="1063"/>
      <c r="F2567" s="1061"/>
      <c r="G2567" s="1056" t="s">
        <v>374</v>
      </c>
      <c r="H2567" s="1057" t="s">
        <v>2674</v>
      </c>
      <c r="I2567" s="1058" t="e">
        <f>VLOOKUP(H2559,'LƯƠNG KT'!$D$15:$R$94,12,0)</f>
        <v>#N/A</v>
      </c>
      <c r="J2567" s="1059" t="e">
        <f>VLOOKUP(H2559,'LƯƠNG KT'!$D$15:$R$94,14,0)</f>
        <v>#N/A</v>
      </c>
      <c r="K2567" s="1085"/>
      <c r="L2567" s="1085"/>
      <c r="M2567" s="1085"/>
      <c r="N2567" s="1085"/>
      <c r="O2567" s="1085"/>
    </row>
    <row r="2568" spans="1:15" ht="15" customHeight="1">
      <c r="A2568" s="1056" t="s">
        <v>2675</v>
      </c>
      <c r="B2568" s="1057" t="s">
        <v>2676</v>
      </c>
      <c r="D2568" s="1064" t="e">
        <f>VLOOKUP(B2559,'LƯƠNG KT'!$D$15:$R$94,13,0)</f>
        <v>#N/A</v>
      </c>
      <c r="E2568" s="1065"/>
      <c r="F2568" s="1065"/>
      <c r="G2568" s="1056" t="s">
        <v>2675</v>
      </c>
      <c r="H2568" s="1057" t="s">
        <v>2676</v>
      </c>
      <c r="J2568" s="1064" t="e">
        <f>VLOOKUP(H2559,'LƯƠNG KT'!$D$15:$R$94,13,0)</f>
        <v>#N/A</v>
      </c>
    </row>
    <row r="2569" spans="1:15" ht="15" customHeight="1">
      <c r="A2569" s="1066"/>
      <c r="B2569" s="869"/>
      <c r="C2569" s="1058"/>
      <c r="D2569" s="1059"/>
      <c r="E2569" s="1063"/>
      <c r="F2569" s="1065"/>
      <c r="G2569" s="1066"/>
      <c r="H2569" s="869"/>
      <c r="I2569" s="1058"/>
      <c r="J2569" s="1059"/>
    </row>
    <row r="2570" spans="1:15" ht="15" customHeight="1">
      <c r="A2570" s="1052"/>
      <c r="B2570" s="869"/>
      <c r="C2570" s="1058"/>
      <c r="D2570" s="1059"/>
      <c r="E2570" s="1067"/>
      <c r="F2570" s="1051"/>
      <c r="G2570" s="1052"/>
      <c r="H2570" s="869"/>
      <c r="I2570" s="1058"/>
      <c r="J2570" s="1059"/>
    </row>
    <row r="2571" spans="1:15" ht="15" customHeight="1">
      <c r="A2571" s="1068" t="s">
        <v>383</v>
      </c>
      <c r="B2571" s="1069" t="s">
        <v>384</v>
      </c>
      <c r="C2571" s="1070"/>
      <c r="D2571" s="1071" t="e">
        <f>SUM(D2560:D2567)-D2570</f>
        <v>#N/A</v>
      </c>
      <c r="E2571" s="1072"/>
      <c r="F2571" s="1073"/>
      <c r="G2571" s="1068" t="s">
        <v>383</v>
      </c>
      <c r="H2571" s="1069" t="s">
        <v>384</v>
      </c>
      <c r="I2571" s="1070"/>
      <c r="J2571" s="1071" t="e">
        <f>SUM(J2560:J2567)-J2570</f>
        <v>#N/A</v>
      </c>
    </row>
    <row r="2572" spans="1:15" ht="18.75" customHeight="1">
      <c r="A2572" s="1074"/>
      <c r="B2572" s="1075"/>
      <c r="C2572" s="1076"/>
      <c r="D2572" s="1077"/>
      <c r="E2572" s="1077"/>
      <c r="F2572" s="1078"/>
      <c r="G2572" s="1074"/>
      <c r="H2572" s="1075"/>
      <c r="I2572" s="1076"/>
      <c r="J2572" s="1077"/>
    </row>
    <row r="2573" spans="1:15" ht="145.5" customHeight="1">
      <c r="A2573" s="1075"/>
      <c r="B2573" s="1075"/>
      <c r="C2573" s="1079"/>
      <c r="D2573" s="1080"/>
      <c r="E2573" s="1075"/>
      <c r="F2573" s="1081"/>
      <c r="G2573" s="1075"/>
      <c r="H2573" s="1075"/>
      <c r="I2573" s="1079"/>
      <c r="J2573" s="1080"/>
    </row>
    <row r="2574" spans="1:15" ht="15" customHeight="1">
      <c r="A2574" s="2242" t="str">
        <f>$K$2</f>
        <v>THÁNG 04/2025</v>
      </c>
      <c r="B2574" s="2242"/>
      <c r="C2574" s="2242"/>
      <c r="D2574" s="2242"/>
      <c r="E2574" s="1050"/>
      <c r="F2574" s="1051"/>
      <c r="G2574" s="2242" t="str">
        <f>$K$2</f>
        <v>THÁNG 04/2025</v>
      </c>
      <c r="H2574" s="2242"/>
      <c r="I2574" s="2242"/>
      <c r="J2574" s="2242"/>
      <c r="K2574" s="624"/>
    </row>
    <row r="2575" spans="1:15" ht="15" customHeight="1">
      <c r="A2575" s="1052" t="s">
        <v>356</v>
      </c>
      <c r="B2575" s="1053" t="s">
        <v>505</v>
      </c>
      <c r="C2575" s="869"/>
      <c r="D2575" s="1049"/>
      <c r="E2575" s="1054"/>
      <c r="F2575" s="1055"/>
      <c r="G2575" s="1052" t="s">
        <v>356</v>
      </c>
      <c r="H2575" s="1053" t="s">
        <v>506</v>
      </c>
      <c r="I2575" s="869"/>
      <c r="J2575" s="1049"/>
      <c r="L2575" s="1088"/>
      <c r="M2575" s="1088"/>
      <c r="N2575" s="1088"/>
      <c r="O2575" s="1088"/>
    </row>
    <row r="2576" spans="1:15" ht="15" customHeight="1">
      <c r="A2576" s="1056" t="s">
        <v>359</v>
      </c>
      <c r="B2576" s="1057" t="s">
        <v>2662</v>
      </c>
      <c r="C2576" s="1058" t="e">
        <f>VLOOKUP(B2575,'LƯƠNG KT'!$D$15:$R$94,4,0)</f>
        <v>#N/A</v>
      </c>
      <c r="D2576" s="1059" t="e">
        <f>+C2576*25000</f>
        <v>#N/A</v>
      </c>
      <c r="E2576" s="1060"/>
      <c r="F2576" s="1060"/>
      <c r="G2576" s="1056" t="s">
        <v>359</v>
      </c>
      <c r="H2576" s="1057" t="s">
        <v>2662</v>
      </c>
      <c r="I2576" s="1058" t="e">
        <f>VLOOKUP(H2575,'LƯƠNG KT'!$D$15:$R$94,4,0)</f>
        <v>#N/A</v>
      </c>
      <c r="J2576" s="1059" t="e">
        <f>+I2576*25000</f>
        <v>#N/A</v>
      </c>
      <c r="K2576" s="1085"/>
      <c r="L2576" s="1085"/>
      <c r="M2576" s="1085"/>
      <c r="N2576" s="1085"/>
      <c r="O2576" s="1085"/>
    </row>
    <row r="2577" spans="1:15" ht="15" customHeight="1">
      <c r="A2577" s="1056" t="s">
        <v>361</v>
      </c>
      <c r="B2577" s="1057" t="s">
        <v>2663</v>
      </c>
      <c r="C2577" s="1058" t="e">
        <f>VLOOKUP(B2575,'LƯƠNG KT'!$D$15:$R$94,15,0)</f>
        <v>#N/A</v>
      </c>
      <c r="D2577" s="1059" t="e">
        <f>C2577*$L$4</f>
        <v>#N/A</v>
      </c>
      <c r="E2577" s="1061"/>
      <c r="F2577" s="1061"/>
      <c r="G2577" s="1056" t="s">
        <v>361</v>
      </c>
      <c r="H2577" s="1057" t="s">
        <v>2663</v>
      </c>
      <c r="I2577" s="1058" t="e">
        <f>VLOOKUP(H2575,'LƯƠNG KT'!$D$15:$R$94,15,0)</f>
        <v>#N/A</v>
      </c>
      <c r="J2577" s="1059" t="e">
        <f>I2577*$L$4</f>
        <v>#N/A</v>
      </c>
      <c r="K2577" s="1085"/>
      <c r="L2577" s="1085"/>
      <c r="M2577" s="1085"/>
      <c r="N2577" s="1085"/>
      <c r="O2577" s="1085"/>
    </row>
    <row r="2578" spans="1:15" ht="15" customHeight="1">
      <c r="A2578" s="1056" t="s">
        <v>364</v>
      </c>
      <c r="B2578" s="1057" t="s">
        <v>2664</v>
      </c>
      <c r="C2578" s="1058" t="e">
        <f>VLOOKUP(B2575,'LƯƠNG KT'!$D$15:$R$94,16,0)</f>
        <v>#N/A</v>
      </c>
      <c r="D2578" s="1059" t="e">
        <f>C2578*$L$5</f>
        <v>#N/A</v>
      </c>
      <c r="E2578" s="1061"/>
      <c r="F2578" s="1061"/>
      <c r="G2578" s="1056" t="s">
        <v>364</v>
      </c>
      <c r="H2578" s="1057" t="s">
        <v>2664</v>
      </c>
      <c r="I2578" s="1058" t="e">
        <f>VLOOKUP(H2575,'LƯƠNG KT'!$D$15:$R$94,16,0)</f>
        <v>#N/A</v>
      </c>
      <c r="J2578" s="1059" t="e">
        <f>I2578*$L$5</f>
        <v>#N/A</v>
      </c>
      <c r="K2578" s="1085"/>
      <c r="L2578" s="1085"/>
      <c r="M2578" s="1085"/>
      <c r="N2578" s="1085"/>
      <c r="O2578" s="1085"/>
    </row>
    <row r="2579" spans="1:15" ht="15" customHeight="1">
      <c r="A2579" s="1056" t="s">
        <v>370</v>
      </c>
      <c r="B2579" s="1057" t="s">
        <v>2665</v>
      </c>
      <c r="C2579" s="1058" t="e">
        <f>VLOOKUP(B2575,'LƯƠNG KT'!$D$15:$R$94,24,0)</f>
        <v>#N/A</v>
      </c>
      <c r="D2579" s="1059" t="e">
        <f>+C2579*$L$6</f>
        <v>#N/A</v>
      </c>
      <c r="E2579" s="1061"/>
      <c r="F2579" s="1061"/>
      <c r="G2579" s="1056" t="s">
        <v>370</v>
      </c>
      <c r="H2579" s="1057" t="s">
        <v>2665</v>
      </c>
      <c r="I2579" s="1058" t="e">
        <f>VLOOKUP(H2575,'LƯƠNG KT'!$D$15:$R$94,24,0)</f>
        <v>#N/A</v>
      </c>
      <c r="J2579" s="1059" t="e">
        <f>+I2579*$L$6</f>
        <v>#N/A</v>
      </c>
      <c r="K2579" s="1085"/>
      <c r="L2579" s="1085"/>
      <c r="M2579" s="1085"/>
      <c r="N2579" s="1085"/>
      <c r="O2579" s="1085"/>
    </row>
    <row r="2580" spans="1:15" ht="15" customHeight="1">
      <c r="A2580" s="1056" t="s">
        <v>2666</v>
      </c>
      <c r="B2580" s="1057" t="s">
        <v>2667</v>
      </c>
      <c r="C2580" s="1058" t="e">
        <f>VLOOKUP(B2575,'LƯƠNG KT'!$D$15:$R$94,19,0)</f>
        <v>#N/A</v>
      </c>
      <c r="D2580" s="1059" t="e">
        <f>+C2580*$L$8</f>
        <v>#N/A</v>
      </c>
      <c r="E2580" s="1061"/>
      <c r="F2580" s="1061"/>
      <c r="G2580" s="1056" t="s">
        <v>2666</v>
      </c>
      <c r="H2580" s="1057" t="s">
        <v>2667</v>
      </c>
      <c r="I2580" s="1058" t="e">
        <f>VLOOKUP(H2575,'LƯƠNG KT'!$D$15:$R$94,19,0)</f>
        <v>#N/A</v>
      </c>
      <c r="J2580" s="1059" t="e">
        <f>+I2580*$L$8</f>
        <v>#N/A</v>
      </c>
      <c r="K2580" s="1085"/>
      <c r="L2580" s="1085"/>
      <c r="M2580" s="1085"/>
      <c r="N2580" s="1085"/>
      <c r="O2580" s="1085"/>
    </row>
    <row r="2581" spans="1:15" ht="15" customHeight="1">
      <c r="A2581" s="1056" t="s">
        <v>2668</v>
      </c>
      <c r="B2581" s="1062" t="s">
        <v>2669</v>
      </c>
      <c r="C2581" s="1058" t="e">
        <f>VLOOKUP(B2575,'LƯƠNG KT'!$D$15:$R$94,20,0)</f>
        <v>#N/A</v>
      </c>
      <c r="D2581" s="1059" t="e">
        <f>+C2581*$L$9</f>
        <v>#N/A</v>
      </c>
      <c r="E2581" s="1061"/>
      <c r="F2581" s="1061"/>
      <c r="G2581" s="1056" t="s">
        <v>2668</v>
      </c>
      <c r="H2581" s="1062" t="s">
        <v>2669</v>
      </c>
      <c r="I2581" s="1058" t="e">
        <f>VLOOKUP(H2575,'LƯƠNG KT'!$D$15:$R$94,20,0)</f>
        <v>#N/A</v>
      </c>
      <c r="J2581" s="1059" t="e">
        <f>+I2581*$L$9</f>
        <v>#N/A</v>
      </c>
      <c r="K2581" s="1085"/>
      <c r="L2581" s="1085"/>
      <c r="M2581" s="1085"/>
      <c r="N2581" s="1085"/>
      <c r="O2581" s="1085"/>
    </row>
    <row r="2582" spans="1:15" ht="15" customHeight="1">
      <c r="A2582" s="1056" t="s">
        <v>2671</v>
      </c>
      <c r="B2582" s="1057" t="s">
        <v>2672</v>
      </c>
      <c r="C2582" s="1058" t="e">
        <f>VLOOKUP(B2575,'LƯƠNG KT'!$D$15:$R$94,17,0)</f>
        <v>#N/A</v>
      </c>
      <c r="D2582" s="1059" t="e">
        <f>+C2582*$L$10</f>
        <v>#N/A</v>
      </c>
      <c r="E2582" s="1061"/>
      <c r="F2582" s="1061"/>
      <c r="G2582" s="1056" t="s">
        <v>2671</v>
      </c>
      <c r="H2582" s="1057" t="s">
        <v>2672</v>
      </c>
      <c r="I2582" s="1058" t="e">
        <f>VLOOKUP(H2575,'LƯƠNG KT'!$D$15:$R$94,17,0)</f>
        <v>#N/A</v>
      </c>
      <c r="J2582" s="1059" t="e">
        <f>+I2582*$L$10</f>
        <v>#N/A</v>
      </c>
      <c r="K2582" s="1085"/>
      <c r="L2582" s="1085"/>
      <c r="M2582" s="1085"/>
      <c r="N2582" s="1085"/>
      <c r="O2582" s="1085"/>
    </row>
    <row r="2583" spans="1:15" ht="15" customHeight="1">
      <c r="A2583" s="1056" t="s">
        <v>374</v>
      </c>
      <c r="B2583" s="1057" t="s">
        <v>2674</v>
      </c>
      <c r="C2583" s="1058" t="e">
        <f>VLOOKUP(B2575,'LƯƠNG KT'!$D$15:$R$94,12,0)</f>
        <v>#N/A</v>
      </c>
      <c r="D2583" s="1059" t="e">
        <f>VLOOKUP(B2575,'LƯƠNG KT'!$D$15:$R$94,14,0)</f>
        <v>#N/A</v>
      </c>
      <c r="E2583" s="1063"/>
      <c r="F2583" s="1061"/>
      <c r="G2583" s="1056" t="s">
        <v>374</v>
      </c>
      <c r="H2583" s="1057" t="s">
        <v>2674</v>
      </c>
      <c r="I2583" s="1058" t="e">
        <f>VLOOKUP(H2575,'LƯƠNG KT'!$D$15:$R$94,12,0)</f>
        <v>#N/A</v>
      </c>
      <c r="J2583" s="1059" t="e">
        <f>VLOOKUP(H2575,'LƯƠNG KT'!$D$15:$R$94,14,0)</f>
        <v>#N/A</v>
      </c>
      <c r="K2583" s="1085"/>
      <c r="L2583" s="1085"/>
      <c r="M2583" s="1085"/>
      <c r="N2583" s="1085"/>
      <c r="O2583" s="1085"/>
    </row>
    <row r="2584" spans="1:15" ht="15" customHeight="1">
      <c r="A2584" s="1056" t="s">
        <v>2675</v>
      </c>
      <c r="B2584" s="1057" t="s">
        <v>2676</v>
      </c>
      <c r="D2584" s="1064" t="e">
        <f>VLOOKUP(B2575,'LƯƠNG KT'!$D$15:$R$94,13,0)</f>
        <v>#N/A</v>
      </c>
      <c r="E2584" s="1065"/>
      <c r="F2584" s="1065"/>
      <c r="G2584" s="1056" t="s">
        <v>2675</v>
      </c>
      <c r="H2584" s="1057" t="s">
        <v>2676</v>
      </c>
      <c r="J2584" s="1064" t="e">
        <f>VLOOKUP(H2575,'LƯƠNG KT'!$D$15:$R$94,13,0)</f>
        <v>#N/A</v>
      </c>
    </row>
    <row r="2585" spans="1:15" ht="15" customHeight="1">
      <c r="A2585" s="1066"/>
      <c r="B2585" s="869"/>
      <c r="C2585" s="1058"/>
      <c r="D2585" s="1059"/>
      <c r="E2585" s="1063"/>
      <c r="F2585" s="1065"/>
      <c r="G2585" s="1066"/>
      <c r="H2585" s="869"/>
      <c r="I2585" s="1058"/>
      <c r="J2585" s="1059"/>
    </row>
    <row r="2586" spans="1:15" ht="15" customHeight="1">
      <c r="A2586" s="1052"/>
      <c r="B2586" s="869"/>
      <c r="C2586" s="1058"/>
      <c r="D2586" s="1059"/>
      <c r="E2586" s="1067"/>
      <c r="F2586" s="1051"/>
      <c r="G2586" s="1052"/>
      <c r="H2586" s="869"/>
      <c r="I2586" s="1058"/>
      <c r="J2586" s="1059"/>
    </row>
    <row r="2587" spans="1:15" ht="15" customHeight="1">
      <c r="A2587" s="1068" t="s">
        <v>383</v>
      </c>
      <c r="B2587" s="1069" t="s">
        <v>384</v>
      </c>
      <c r="C2587" s="1070"/>
      <c r="D2587" s="1071" t="e">
        <f>SUM(D2576:D2583)-D2586</f>
        <v>#N/A</v>
      </c>
      <c r="E2587" s="1072"/>
      <c r="F2587" s="1073"/>
      <c r="G2587" s="1068" t="s">
        <v>383</v>
      </c>
      <c r="H2587" s="1069" t="s">
        <v>384</v>
      </c>
      <c r="I2587" s="1070"/>
      <c r="J2587" s="1071" t="e">
        <f>SUM(J2576:J2583)-J2586</f>
        <v>#N/A</v>
      </c>
    </row>
    <row r="2588" spans="1:15" ht="18.75" customHeight="1">
      <c r="A2588" s="1074"/>
      <c r="B2588" s="1075"/>
      <c r="C2588" s="1076"/>
      <c r="D2588" s="1077"/>
      <c r="E2588" s="1077"/>
      <c r="F2588" s="1078"/>
      <c r="G2588" s="1074"/>
      <c r="H2588" s="1075"/>
      <c r="I2588" s="1076"/>
      <c r="J2588" s="1077"/>
    </row>
    <row r="2589" spans="1:15" ht="18.75" customHeight="1">
      <c r="A2589" s="1075"/>
      <c r="B2589" s="1075"/>
      <c r="C2589" s="1079"/>
      <c r="D2589" s="1080"/>
      <c r="E2589" s="1075"/>
      <c r="F2589" s="1081"/>
      <c r="G2589" s="1075"/>
      <c r="H2589" s="1075"/>
      <c r="I2589" s="1079"/>
      <c r="J2589" s="1080"/>
    </row>
    <row r="2590" spans="1:15" ht="15" customHeight="1">
      <c r="A2590" s="2242" t="str">
        <f>$K$2</f>
        <v>THÁNG 04/2025</v>
      </c>
      <c r="B2590" s="2242"/>
      <c r="C2590" s="2242"/>
      <c r="D2590" s="2242"/>
      <c r="E2590" s="1050"/>
      <c r="F2590" s="1051"/>
      <c r="G2590" s="2242" t="str">
        <f>$K$2</f>
        <v>THÁNG 04/2025</v>
      </c>
      <c r="H2590" s="2242"/>
      <c r="I2590" s="2242"/>
      <c r="J2590" s="2242"/>
      <c r="K2590" s="624"/>
    </row>
    <row r="2591" spans="1:15" ht="15" customHeight="1">
      <c r="A2591" s="1052" t="s">
        <v>356</v>
      </c>
      <c r="B2591" s="1053" t="s">
        <v>507</v>
      </c>
      <c r="C2591" s="869"/>
      <c r="D2591" s="1049"/>
      <c r="E2591" s="1054"/>
      <c r="F2591" s="1055"/>
      <c r="G2591" s="1052" t="s">
        <v>356</v>
      </c>
      <c r="H2591" s="1053"/>
      <c r="I2591" s="869"/>
      <c r="J2591" s="1049"/>
      <c r="L2591" s="1088"/>
      <c r="M2591" s="1088"/>
      <c r="N2591" s="1088"/>
      <c r="O2591" s="1088"/>
    </row>
    <row r="2592" spans="1:15" ht="15" customHeight="1">
      <c r="A2592" s="1056" t="s">
        <v>359</v>
      </c>
      <c r="B2592" s="1057" t="s">
        <v>2662</v>
      </c>
      <c r="C2592" s="1058" t="e">
        <f>VLOOKUP(B2591,'LƯƠNG KT'!$D$15:$R$94,4,0)</f>
        <v>#N/A</v>
      </c>
      <c r="D2592" s="1059" t="e">
        <f>+C2592*25000</f>
        <v>#N/A</v>
      </c>
      <c r="E2592" s="1060"/>
      <c r="F2592" s="1060"/>
      <c r="G2592" s="1056" t="s">
        <v>359</v>
      </c>
      <c r="H2592" s="1057" t="s">
        <v>2662</v>
      </c>
      <c r="I2592" s="1058" t="e">
        <f>VLOOKUP(H2591,'LƯƠNG KT'!$D$15:$R$94,4,0)</f>
        <v>#N/A</v>
      </c>
      <c r="J2592" s="1059" t="e">
        <f>+I2592*25000</f>
        <v>#N/A</v>
      </c>
      <c r="K2592" s="1085"/>
      <c r="L2592" s="1085"/>
      <c r="M2592" s="1085"/>
      <c r="N2592" s="1085"/>
      <c r="O2592" s="1085"/>
    </row>
    <row r="2593" spans="1:15" ht="15" customHeight="1">
      <c r="A2593" s="1056" t="s">
        <v>361</v>
      </c>
      <c r="B2593" s="1057" t="s">
        <v>2663</v>
      </c>
      <c r="C2593" s="1058" t="e">
        <f>VLOOKUP(B2591,'LƯƠNG KT'!$D$15:$R$94,15,0)</f>
        <v>#N/A</v>
      </c>
      <c r="D2593" s="1059" t="e">
        <f>C2593*$L$4</f>
        <v>#N/A</v>
      </c>
      <c r="E2593" s="1061"/>
      <c r="F2593" s="1061"/>
      <c r="G2593" s="1056" t="s">
        <v>361</v>
      </c>
      <c r="H2593" s="1057" t="s">
        <v>2663</v>
      </c>
      <c r="I2593" s="1058" t="e">
        <f>VLOOKUP(H2591,'LƯƠNG KT'!$D$15:$R$94,15,0)</f>
        <v>#N/A</v>
      </c>
      <c r="J2593" s="1059" t="e">
        <f>I2593*$L$4</f>
        <v>#N/A</v>
      </c>
      <c r="K2593" s="1085"/>
      <c r="L2593" s="1085"/>
      <c r="M2593" s="1085"/>
      <c r="N2593" s="1085"/>
      <c r="O2593" s="1085"/>
    </row>
    <row r="2594" spans="1:15" ht="15" customHeight="1">
      <c r="A2594" s="1056" t="s">
        <v>364</v>
      </c>
      <c r="B2594" s="1057" t="s">
        <v>2664</v>
      </c>
      <c r="C2594" s="1058" t="e">
        <f>VLOOKUP(B2591,'LƯƠNG KT'!$D$15:$R$94,16,0)</f>
        <v>#N/A</v>
      </c>
      <c r="D2594" s="1059" t="e">
        <f>C2594*$L$5</f>
        <v>#N/A</v>
      </c>
      <c r="E2594" s="1061"/>
      <c r="F2594" s="1061"/>
      <c r="G2594" s="1056" t="s">
        <v>364</v>
      </c>
      <c r="H2594" s="1057" t="s">
        <v>2664</v>
      </c>
      <c r="I2594" s="1058" t="e">
        <f>VLOOKUP(H2591,'LƯƠNG KT'!$D$15:$R$94,16,0)</f>
        <v>#N/A</v>
      </c>
      <c r="J2594" s="1059" t="e">
        <f>I2594*$L$5</f>
        <v>#N/A</v>
      </c>
      <c r="K2594" s="1085"/>
      <c r="L2594" s="1085"/>
      <c r="M2594" s="1085"/>
      <c r="N2594" s="1085"/>
      <c r="O2594" s="1085"/>
    </row>
    <row r="2595" spans="1:15" ht="15" customHeight="1">
      <c r="A2595" s="1056" t="s">
        <v>370</v>
      </c>
      <c r="B2595" s="1057" t="s">
        <v>2665</v>
      </c>
      <c r="C2595" s="1058" t="e">
        <f>VLOOKUP(B2591,'LƯƠNG KT'!$D$15:$R$94,24,0)</f>
        <v>#N/A</v>
      </c>
      <c r="D2595" s="1059" t="e">
        <f>+C2595*$L$6</f>
        <v>#N/A</v>
      </c>
      <c r="E2595" s="1061"/>
      <c r="F2595" s="1061"/>
      <c r="G2595" s="1056" t="s">
        <v>370</v>
      </c>
      <c r="H2595" s="1057" t="s">
        <v>2665</v>
      </c>
      <c r="I2595" s="1058" t="e">
        <f>VLOOKUP(H2591,'LƯƠNG KT'!$D$15:$R$94,24,0)</f>
        <v>#N/A</v>
      </c>
      <c r="J2595" s="1059" t="e">
        <f>+I2595*$L$6</f>
        <v>#N/A</v>
      </c>
      <c r="K2595" s="1085"/>
      <c r="L2595" s="1085"/>
      <c r="M2595" s="1085"/>
      <c r="N2595" s="1085"/>
      <c r="O2595" s="1085"/>
    </row>
    <row r="2596" spans="1:15" ht="15" customHeight="1">
      <c r="A2596" s="1056" t="s">
        <v>2666</v>
      </c>
      <c r="B2596" s="1057" t="s">
        <v>2667</v>
      </c>
      <c r="C2596" s="1058" t="e">
        <f>VLOOKUP(B2591,'LƯƠNG KT'!$D$15:$R$94,19,0)</f>
        <v>#N/A</v>
      </c>
      <c r="D2596" s="1059" t="e">
        <f>+C2596*$L$8</f>
        <v>#N/A</v>
      </c>
      <c r="E2596" s="1061"/>
      <c r="F2596" s="1061"/>
      <c r="G2596" s="1056" t="s">
        <v>2666</v>
      </c>
      <c r="H2596" s="1057" t="s">
        <v>2667</v>
      </c>
      <c r="I2596" s="1058" t="e">
        <f>VLOOKUP(H2591,'LƯƠNG KT'!$D$15:$R$94,19,0)</f>
        <v>#N/A</v>
      </c>
      <c r="J2596" s="1059" t="e">
        <f>+I2596*$L$8</f>
        <v>#N/A</v>
      </c>
      <c r="K2596" s="1085"/>
      <c r="L2596" s="1085"/>
      <c r="M2596" s="1085"/>
      <c r="N2596" s="1085"/>
      <c r="O2596" s="1085"/>
    </row>
    <row r="2597" spans="1:15" ht="15" customHeight="1">
      <c r="A2597" s="1056" t="s">
        <v>2668</v>
      </c>
      <c r="B2597" s="1062" t="s">
        <v>2669</v>
      </c>
      <c r="C2597" s="1058" t="e">
        <f>VLOOKUP(B2591,'LƯƠNG KT'!$D$15:$R$94,20,0)</f>
        <v>#N/A</v>
      </c>
      <c r="D2597" s="1059" t="e">
        <f>+C2597*$L$9</f>
        <v>#N/A</v>
      </c>
      <c r="E2597" s="1061"/>
      <c r="F2597" s="1061"/>
      <c r="G2597" s="1056" t="s">
        <v>2668</v>
      </c>
      <c r="H2597" s="1062" t="s">
        <v>2669</v>
      </c>
      <c r="I2597" s="1058" t="e">
        <f>VLOOKUP(H2591,'LƯƠNG KT'!$D$15:$R$94,20,0)</f>
        <v>#N/A</v>
      </c>
      <c r="J2597" s="1059" t="e">
        <f>+I2597*$L$9</f>
        <v>#N/A</v>
      </c>
      <c r="K2597" s="1085"/>
      <c r="L2597" s="1085"/>
      <c r="M2597" s="1085"/>
      <c r="N2597" s="1085"/>
      <c r="O2597" s="1085"/>
    </row>
    <row r="2598" spans="1:15" ht="15" customHeight="1">
      <c r="A2598" s="1056" t="s">
        <v>2671</v>
      </c>
      <c r="B2598" s="1057" t="s">
        <v>2672</v>
      </c>
      <c r="C2598" s="1058" t="e">
        <f>VLOOKUP(B2591,'LƯƠNG KT'!$D$15:$R$94,17,0)</f>
        <v>#N/A</v>
      </c>
      <c r="D2598" s="1059" t="e">
        <f>+C2598*$L$10</f>
        <v>#N/A</v>
      </c>
      <c r="E2598" s="1061"/>
      <c r="F2598" s="1061"/>
      <c r="G2598" s="1056" t="s">
        <v>2671</v>
      </c>
      <c r="H2598" s="1057" t="s">
        <v>2672</v>
      </c>
      <c r="I2598" s="1058" t="e">
        <f>VLOOKUP(H2591,'LƯƠNG KT'!$D$15:$R$94,17,0)</f>
        <v>#N/A</v>
      </c>
      <c r="J2598" s="1059" t="e">
        <f>+I2598*$L$10</f>
        <v>#N/A</v>
      </c>
      <c r="K2598" s="1085"/>
      <c r="L2598" s="1085"/>
      <c r="M2598" s="1085"/>
      <c r="N2598" s="1085"/>
      <c r="O2598" s="1085"/>
    </row>
    <row r="2599" spans="1:15" ht="15" customHeight="1">
      <c r="A2599" s="1056" t="s">
        <v>374</v>
      </c>
      <c r="B2599" s="1057" t="s">
        <v>2674</v>
      </c>
      <c r="C2599" s="1058" t="e">
        <f>VLOOKUP(B2591,'LƯƠNG KT'!$D$15:$R$94,12,0)</f>
        <v>#N/A</v>
      </c>
      <c r="D2599" s="1059" t="e">
        <f>VLOOKUP(B2591,'LƯƠNG KT'!$D$15:$R$94,14,0)</f>
        <v>#N/A</v>
      </c>
      <c r="E2599" s="1063"/>
      <c r="F2599" s="1061"/>
      <c r="G2599" s="1056" t="s">
        <v>374</v>
      </c>
      <c r="H2599" s="1057" t="s">
        <v>2674</v>
      </c>
      <c r="I2599" s="1058" t="e">
        <f>VLOOKUP(H2591,'LƯƠNG KT'!$D$15:$R$94,12,0)</f>
        <v>#N/A</v>
      </c>
      <c r="J2599" s="1059" t="e">
        <f>VLOOKUP(H2591,'LƯƠNG KT'!$D$15:$R$94,14,0)</f>
        <v>#N/A</v>
      </c>
      <c r="K2599" s="1085"/>
      <c r="L2599" s="1085"/>
      <c r="M2599" s="1085"/>
      <c r="N2599" s="1085"/>
      <c r="O2599" s="1085"/>
    </row>
    <row r="2600" spans="1:15" ht="15" customHeight="1">
      <c r="A2600" s="1056" t="s">
        <v>2675</v>
      </c>
      <c r="B2600" s="1057" t="s">
        <v>2676</v>
      </c>
      <c r="D2600" s="1064" t="e">
        <f>VLOOKUP(B2591,'LƯƠNG KT'!$D$15:$R$94,13,0)</f>
        <v>#N/A</v>
      </c>
      <c r="E2600" s="1065"/>
      <c r="F2600" s="1065"/>
      <c r="G2600" s="1056" t="s">
        <v>2675</v>
      </c>
      <c r="H2600" s="1057" t="s">
        <v>2676</v>
      </c>
      <c r="J2600" s="1064" t="e">
        <f>VLOOKUP(H2591,'LƯƠNG KT'!$D$15:$R$94,13,0)</f>
        <v>#N/A</v>
      </c>
    </row>
    <row r="2601" spans="1:15" ht="15" customHeight="1">
      <c r="A2601" s="1066"/>
      <c r="B2601" s="869"/>
      <c r="C2601" s="1058"/>
      <c r="D2601" s="1059"/>
      <c r="E2601" s="1063"/>
      <c r="F2601" s="1065"/>
      <c r="G2601" s="1066"/>
      <c r="H2601" s="869"/>
      <c r="I2601" s="1058"/>
      <c r="J2601" s="1059"/>
    </row>
    <row r="2602" spans="1:15" ht="15" customHeight="1">
      <c r="A2602" s="1052"/>
      <c r="B2602" s="869"/>
      <c r="C2602" s="1058"/>
      <c r="D2602" s="1059"/>
      <c r="E2602" s="1067"/>
      <c r="F2602" s="1051"/>
      <c r="G2602" s="1052"/>
      <c r="H2602" s="869"/>
      <c r="I2602" s="1058"/>
      <c r="J2602" s="1059"/>
    </row>
    <row r="2603" spans="1:15" ht="15" customHeight="1">
      <c r="A2603" s="1068" t="s">
        <v>383</v>
      </c>
      <c r="B2603" s="1069" t="s">
        <v>384</v>
      </c>
      <c r="C2603" s="1070"/>
      <c r="D2603" s="1071" t="e">
        <f>SUM(D2592:D2599)-D2602</f>
        <v>#N/A</v>
      </c>
      <c r="E2603" s="1072"/>
      <c r="F2603" s="1073"/>
      <c r="G2603" s="1068" t="s">
        <v>383</v>
      </c>
      <c r="H2603" s="1069"/>
      <c r="I2603" s="1070"/>
      <c r="J2603" s="1071"/>
    </row>
    <row r="2604" spans="1:15" ht="15.75" customHeight="1">
      <c r="A2604" s="1074"/>
      <c r="B2604" s="1075"/>
      <c r="C2604" s="1076"/>
      <c r="D2604" s="1077"/>
      <c r="E2604" s="1077"/>
      <c r="F2604" s="1078"/>
      <c r="G2604" s="1074"/>
      <c r="H2604" s="1075"/>
      <c r="I2604" s="1076"/>
      <c r="J2604" s="1077"/>
    </row>
    <row r="2606" spans="1:15" ht="12" customHeight="1">
      <c r="A2606" s="2243"/>
      <c r="B2606" s="2243"/>
      <c r="C2606" s="2243"/>
      <c r="D2606" s="2243"/>
      <c r="E2606" s="2243"/>
      <c r="F2606" s="2243"/>
      <c r="G2606" s="2243"/>
      <c r="H2606" s="2243"/>
      <c r="I2606" s="2243"/>
      <c r="J2606" s="2243"/>
    </row>
    <row r="2607" spans="1:15" ht="15" customHeight="1">
      <c r="A2607" s="2242" t="str">
        <f>$K$2</f>
        <v>THÁNG 04/2025</v>
      </c>
      <c r="B2607" s="2242"/>
      <c r="C2607" s="2242"/>
      <c r="D2607" s="2242"/>
      <c r="E2607" s="1050"/>
      <c r="F2607" s="1051"/>
      <c r="G2607" s="2242" t="str">
        <f>$K$2</f>
        <v>THÁNG 04/2025</v>
      </c>
      <c r="H2607" s="2242"/>
      <c r="I2607" s="2242"/>
      <c r="J2607" s="2242"/>
      <c r="K2607" s="624"/>
    </row>
    <row r="2608" spans="1:15" ht="15" customHeight="1">
      <c r="A2608" s="1052" t="s">
        <v>356</v>
      </c>
      <c r="B2608" s="1053"/>
      <c r="C2608" s="869"/>
      <c r="D2608" s="1049"/>
      <c r="E2608" s="1054"/>
      <c r="F2608" s="1055"/>
      <c r="G2608" s="1052" t="s">
        <v>356</v>
      </c>
      <c r="H2608" s="1053"/>
      <c r="I2608" s="869"/>
      <c r="J2608" s="1049"/>
      <c r="L2608" s="1088"/>
      <c r="M2608" s="1088"/>
      <c r="N2608" s="1088"/>
      <c r="O2608" s="1088"/>
    </row>
    <row r="2609" spans="1:15" ht="15" customHeight="1">
      <c r="A2609" s="1052" t="s">
        <v>359</v>
      </c>
      <c r="B2609" s="1089" t="s">
        <v>360</v>
      </c>
      <c r="C2609" s="1058" t="e">
        <f>VLOOKUP(B2608,'LƯƠNG KT'!$D$15:$R$94,4,0)</f>
        <v>#N/A</v>
      </c>
      <c r="D2609" s="1059" t="e">
        <f>+C2609*25000</f>
        <v>#N/A</v>
      </c>
      <c r="E2609" s="1060"/>
      <c r="F2609" s="1060"/>
      <c r="G2609" s="1052" t="s">
        <v>359</v>
      </c>
      <c r="H2609" s="1089" t="s">
        <v>360</v>
      </c>
      <c r="I2609" s="1058" t="e">
        <f>VLOOKUP(H2608,'LƯƠNG KT'!$D$15:$R$94,4,0)</f>
        <v>#N/A</v>
      </c>
      <c r="J2609" s="1059" t="e">
        <f>+I2609*25000</f>
        <v>#N/A</v>
      </c>
      <c r="K2609" s="1084"/>
      <c r="L2609" s="1085"/>
      <c r="M2609" s="1085"/>
      <c r="N2609" s="1085"/>
      <c r="O2609" s="1085"/>
    </row>
    <row r="2610" spans="1:15" ht="15" customHeight="1">
      <c r="A2610" s="1052" t="s">
        <v>361</v>
      </c>
      <c r="B2610" s="869" t="s">
        <v>362</v>
      </c>
      <c r="C2610" s="1058" t="e">
        <f>VLOOKUP(B2608,'LƯƠNG KT'!$D$15:$R$94,15,0)</f>
        <v>#N/A</v>
      </c>
      <c r="D2610" s="1059" t="e">
        <f>C2610*$L$4</f>
        <v>#N/A</v>
      </c>
      <c r="E2610" s="1061"/>
      <c r="F2610" s="1061"/>
      <c r="G2610" s="1052" t="s">
        <v>361</v>
      </c>
      <c r="H2610" s="869" t="s">
        <v>362</v>
      </c>
      <c r="I2610" s="1058" t="e">
        <f>VLOOKUP(H2608,'LƯƠNG KT'!$D$15:$R$94,15,0)</f>
        <v>#N/A</v>
      </c>
      <c r="J2610" s="1059" t="e">
        <f>I2610*$L$4</f>
        <v>#N/A</v>
      </c>
      <c r="K2610" s="1084"/>
      <c r="L2610" s="1085"/>
      <c r="M2610" s="1085"/>
      <c r="N2610" s="1085"/>
      <c r="O2610" s="1085"/>
    </row>
    <row r="2611" spans="1:15" ht="15" customHeight="1">
      <c r="A2611" s="1052" t="s">
        <v>364</v>
      </c>
      <c r="B2611" s="869" t="s">
        <v>365</v>
      </c>
      <c r="C2611" s="1058" t="e">
        <f>VLOOKUP(B2608,'LƯƠNG KT'!$D$15:$R$94,16,0)</f>
        <v>#N/A</v>
      </c>
      <c r="D2611" s="1059" t="e">
        <f>C2611*$L$5</f>
        <v>#N/A</v>
      </c>
      <c r="E2611" s="1061"/>
      <c r="F2611" s="1061"/>
      <c r="G2611" s="1052" t="s">
        <v>364</v>
      </c>
      <c r="H2611" s="869" t="s">
        <v>365</v>
      </c>
      <c r="I2611" s="1058" t="e">
        <f>VLOOKUP(H2608,'LƯƠNG KT'!$D$15:$R$94,16,0)</f>
        <v>#N/A</v>
      </c>
      <c r="J2611" s="1059" t="e">
        <f>I2611*$L$5</f>
        <v>#N/A</v>
      </c>
      <c r="K2611" s="1084"/>
      <c r="L2611" s="1085"/>
      <c r="M2611" s="1085"/>
      <c r="N2611" s="1085"/>
      <c r="O2611" s="1085"/>
    </row>
    <row r="2612" spans="1:15" ht="15" customHeight="1">
      <c r="A2612" s="1052" t="s">
        <v>369</v>
      </c>
      <c r="B2612" s="869"/>
      <c r="C2612" s="1058" t="e">
        <f>VLOOKUP(B2608,'LƯƠNG KT'!$D$15:$R$94,18,0)</f>
        <v>#N/A</v>
      </c>
      <c r="D2612" s="1059" t="e">
        <f>+C2612*$L$6</f>
        <v>#N/A</v>
      </c>
      <c r="E2612" s="1061"/>
      <c r="F2612" s="1061"/>
      <c r="G2612" s="1052" t="s">
        <v>369</v>
      </c>
      <c r="H2612" s="869"/>
      <c r="I2612" s="1058" t="e">
        <f>VLOOKUP(H2608,'LƯƠNG KT'!$D$15:$R$94,18,0)</f>
        <v>#N/A</v>
      </c>
      <c r="J2612" s="1059" t="e">
        <f>+I2612*$L$6</f>
        <v>#N/A</v>
      </c>
      <c r="K2612" s="1085"/>
      <c r="L2612" s="1085"/>
      <c r="M2612" s="1085"/>
      <c r="N2612" s="1085"/>
      <c r="O2612" s="1085"/>
    </row>
    <row r="2613" spans="1:15" ht="15" customHeight="1">
      <c r="A2613" s="1052" t="s">
        <v>2687</v>
      </c>
      <c r="B2613" s="869"/>
      <c r="C2613" s="1058" t="e">
        <f>VLOOKUP(B2608,'LƯƠNG KT'!$D$15:$R$94,19,0)</f>
        <v>#N/A</v>
      </c>
      <c r="D2613" s="1059" t="e">
        <f>+C2613*$L$8</f>
        <v>#N/A</v>
      </c>
      <c r="E2613" s="1061"/>
      <c r="F2613" s="1061"/>
      <c r="G2613" s="1052" t="s">
        <v>2687</v>
      </c>
      <c r="H2613" s="869"/>
      <c r="I2613" s="1058" t="e">
        <f>VLOOKUP(H2608,'LƯƠNG KT'!$D$15:$R$94,19,0)</f>
        <v>#N/A</v>
      </c>
      <c r="J2613" s="1059" t="e">
        <f>+I2613*$L$8</f>
        <v>#N/A</v>
      </c>
      <c r="K2613" s="1085"/>
      <c r="L2613" s="1085"/>
      <c r="M2613" s="1085"/>
      <c r="N2613" s="1085"/>
      <c r="O2613" s="1085"/>
    </row>
    <row r="2614" spans="1:15" ht="15" customHeight="1">
      <c r="A2614" s="1052" t="s">
        <v>2688</v>
      </c>
      <c r="B2614" s="869"/>
      <c r="C2614" s="1058" t="e">
        <f>VLOOKUP(B2608,'LƯƠNG KT'!$D$15:$R$94,20,0)</f>
        <v>#N/A</v>
      </c>
      <c r="D2614" s="1059" t="e">
        <f>+C2614*$L$9</f>
        <v>#N/A</v>
      </c>
      <c r="E2614" s="1061"/>
      <c r="F2614" s="1061"/>
      <c r="G2614" s="1052" t="s">
        <v>2688</v>
      </c>
      <c r="H2614" s="869"/>
      <c r="I2614" s="1058" t="e">
        <f>VLOOKUP(H2608,'LƯƠNG KT'!$D$15:$R$94,20,0)</f>
        <v>#N/A</v>
      </c>
      <c r="J2614" s="1059" t="e">
        <f>+I2614*$L$9</f>
        <v>#N/A</v>
      </c>
      <c r="K2614" s="1085"/>
      <c r="L2614" s="1085"/>
      <c r="M2614" s="1085"/>
      <c r="N2614" s="1085"/>
      <c r="O2614" s="1085"/>
    </row>
    <row r="2615" spans="1:15" ht="15" customHeight="1">
      <c r="A2615" s="1052" t="s">
        <v>2673</v>
      </c>
      <c r="B2615" s="869"/>
      <c r="C2615" s="1058" t="e">
        <f>VLOOKUP(B2608,'LƯƠNG KT'!$D$15:$R$94,17,0)</f>
        <v>#N/A</v>
      </c>
      <c r="D2615" s="1059" t="e">
        <f>+C2615*L2615</f>
        <v>#N/A</v>
      </c>
      <c r="E2615" s="1061"/>
      <c r="F2615" s="1061"/>
      <c r="G2615" s="1052" t="s">
        <v>2673</v>
      </c>
      <c r="H2615" s="869"/>
      <c r="I2615" s="1058" t="e">
        <f>VLOOKUP(H2608,'LƯƠNG KT'!$D$15:$R$94,17,0)</f>
        <v>#N/A</v>
      </c>
      <c r="J2615" s="1059" t="e">
        <f>+I2615*R2615</f>
        <v>#N/A</v>
      </c>
    </row>
    <row r="2616" spans="1:15" ht="15" customHeight="1">
      <c r="A2616" s="1052" t="s">
        <v>374</v>
      </c>
      <c r="B2616" s="869" t="s">
        <v>375</v>
      </c>
      <c r="C2616" s="1058" t="e">
        <f>VLOOKUP(B2608,'LƯƠNG KT'!$D$15:$R$94,12,0)</f>
        <v>#N/A</v>
      </c>
      <c r="D2616" s="1059" t="e">
        <f>VLOOKUP(B2608,'LƯƠNG KT'!$D$15:$R$94,14,0)</f>
        <v>#N/A</v>
      </c>
      <c r="E2616" s="1063"/>
      <c r="F2616" s="1061"/>
      <c r="G2616" s="1052" t="s">
        <v>374</v>
      </c>
      <c r="H2616" s="869" t="s">
        <v>375</v>
      </c>
      <c r="I2616" s="1058" t="e">
        <f>VLOOKUP(H2608,'LƯƠNG KT'!$D$15:$R$94,12,0)</f>
        <v>#N/A</v>
      </c>
      <c r="J2616" s="1059" t="e">
        <f>VLOOKUP(H2608,'LƯƠNG KT'!$D$15:$R$94,14,0)</f>
        <v>#N/A</v>
      </c>
    </row>
    <row r="2617" spans="1:15" ht="15" customHeight="1">
      <c r="A2617" s="1052" t="s">
        <v>381</v>
      </c>
      <c r="B2617" s="869" t="s">
        <v>382</v>
      </c>
      <c r="C2617" s="1058"/>
      <c r="D2617" s="1059"/>
      <c r="E2617" s="1067"/>
      <c r="F2617" s="1051"/>
      <c r="G2617" s="1052" t="s">
        <v>381</v>
      </c>
      <c r="H2617" s="869" t="s">
        <v>382</v>
      </c>
      <c r="I2617" s="1058"/>
      <c r="J2617" s="1059"/>
    </row>
    <row r="2618" spans="1:15" ht="15" customHeight="1">
      <c r="A2618" s="1068" t="s">
        <v>383</v>
      </c>
      <c r="B2618" s="1069" t="s">
        <v>384</v>
      </c>
      <c r="C2618" s="1070"/>
      <c r="D2618" s="1071"/>
      <c r="E2618" s="1072"/>
      <c r="F2618" s="1073"/>
      <c r="G2618" s="1068" t="s">
        <v>383</v>
      </c>
      <c r="H2618" s="1069" t="s">
        <v>384</v>
      </c>
      <c r="I2618" s="1070"/>
      <c r="J2618" s="1071"/>
      <c r="K2618" s="1090" t="s">
        <v>503</v>
      </c>
      <c r="L2618" s="1090" t="e">
        <f>J2623+D2623+D2618+J2618+J2603+D2603+D2587+J2587+J2571+D2571+D2555+J2555+J2538+D2538+D2522+J2522+J2506+D2506+D2490+J2490+J2473+D2473+D2457+J2457+J2441+D2441+D2425+J2425+J2408+D2408+D2392+J2392+J2376+D2376+D2360+J2360+J2343+D2343+D2327+J2327+J2311+D2311+D2295+J2295+D2278+J2278+J2262+D2262+D2246+J2246+J2230+D2230+J2213+D2213+D2197+J2197+J2181+D2181+D2165+J2165+J2148+D2148+J2132+D2132+D2116+J2116+J2100+D2100+D2083+J2083+J2067+D2067+D2051+J2051+J2035+D2035+D2018+J2018+J2002+D2002+D1986+J1986+J1970+D1970+D1953+J1953+J1937+D1937+D1921+J1921+J1905+D1905</f>
        <v>#N/A</v>
      </c>
      <c r="M2618" s="1090"/>
      <c r="N2618" s="1090"/>
      <c r="O2618" s="1090"/>
    </row>
    <row r="2619" spans="1:15" ht="12.6" customHeight="1">
      <c r="A2619" s="1074"/>
      <c r="B2619" s="1075"/>
      <c r="C2619" s="1076"/>
      <c r="D2619" s="1077"/>
      <c r="E2619" s="1077"/>
      <c r="F2619" s="1078"/>
      <c r="G2619" s="1074"/>
      <c r="H2619" s="1075"/>
      <c r="I2619" s="1076"/>
      <c r="J2619" s="1077"/>
      <c r="L2619" s="1045" t="e">
        <f>+'Đội 4'!AE99-'Đội 4'!AE98</f>
        <v>#N/A</v>
      </c>
    </row>
    <row r="2620" spans="1:15" ht="12.6" customHeight="1">
      <c r="A2620" s="1075"/>
      <c r="B2620" s="1075"/>
      <c r="C2620" s="1079"/>
      <c r="D2620" s="1080"/>
      <c r="E2620" s="1075"/>
      <c r="F2620" s="1081"/>
      <c r="G2620" s="1075"/>
      <c r="H2620" s="1075"/>
      <c r="I2620" s="1079"/>
      <c r="J2620" s="1080"/>
      <c r="L2620" s="1045" t="e">
        <f>+L2618-L2619</f>
        <v>#N/A</v>
      </c>
      <c r="M2620" s="1045">
        <f>224106900-174906900</f>
        <v>49200000</v>
      </c>
    </row>
    <row r="2621" spans="1:15" ht="15" customHeight="1">
      <c r="A2621" s="2242"/>
      <c r="B2621" s="2242"/>
      <c r="C2621" s="2242"/>
      <c r="D2621" s="2242"/>
      <c r="E2621" s="1050"/>
      <c r="F2621" s="1051"/>
      <c r="G2621" s="2242"/>
      <c r="H2621" s="2242"/>
      <c r="I2621" s="2242"/>
      <c r="J2621" s="2242"/>
      <c r="K2621" s="624"/>
    </row>
    <row r="2622" spans="1:15" ht="15" customHeight="1">
      <c r="A2622" s="1052"/>
      <c r="B2622" s="869"/>
      <c r="C2622" s="1058"/>
      <c r="D2622" s="1059"/>
      <c r="E2622" s="1067"/>
      <c r="F2622" s="1051"/>
      <c r="G2622" s="1052"/>
      <c r="H2622" s="869"/>
      <c r="I2622" s="1058"/>
      <c r="J2622" s="1059"/>
    </row>
    <row r="2623" spans="1:15" ht="15" customHeight="1">
      <c r="A2623" s="1068"/>
      <c r="B2623" s="1069"/>
      <c r="C2623" s="1070"/>
      <c r="D2623" s="1071"/>
      <c r="E2623" s="1072"/>
      <c r="F2623" s="1073"/>
      <c r="G2623" s="1068"/>
      <c r="H2623" s="1069"/>
      <c r="I2623" s="1070"/>
      <c r="J2623" s="1071"/>
    </row>
    <row r="2624" spans="1:15" ht="12" customHeight="1">
      <c r="A2624" s="2244" t="s">
        <v>509</v>
      </c>
      <c r="B2624" s="2244"/>
      <c r="C2624" s="2244"/>
      <c r="D2624" s="2244"/>
      <c r="E2624" s="2244"/>
      <c r="F2624" s="2244"/>
      <c r="G2624" s="2244"/>
      <c r="H2624" s="2244"/>
      <c r="I2624" s="2244"/>
      <c r="J2624" s="2244"/>
    </row>
    <row r="2625" spans="1:15" ht="18.75" customHeight="1">
      <c r="A2625" s="1074"/>
      <c r="B2625" s="1075"/>
      <c r="C2625" s="1076"/>
      <c r="D2625" s="1077"/>
      <c r="E2625" s="1077"/>
      <c r="F2625" s="1078"/>
      <c r="G2625" s="1074"/>
      <c r="H2625" s="1075"/>
      <c r="I2625" s="1076"/>
      <c r="J2625" s="1077"/>
    </row>
    <row r="2626" spans="1:15" ht="18.75" customHeight="1">
      <c r="A2626" s="1075"/>
      <c r="B2626" s="1075"/>
      <c r="C2626" s="1079"/>
      <c r="D2626" s="1080"/>
      <c r="E2626" s="1075"/>
      <c r="F2626" s="1081"/>
      <c r="G2626" s="1075"/>
      <c r="H2626" s="1075"/>
      <c r="I2626" s="1079"/>
      <c r="J2626" s="1080"/>
    </row>
    <row r="2627" spans="1:15" ht="15" customHeight="1">
      <c r="A2627" s="2242" t="str">
        <f>$K$2</f>
        <v>THÁNG 04/2025</v>
      </c>
      <c r="B2627" s="2242"/>
      <c r="C2627" s="2242"/>
      <c r="D2627" s="2242"/>
      <c r="E2627" s="1050"/>
      <c r="F2627" s="1051"/>
      <c r="G2627" s="2242" t="str">
        <f>$K$2</f>
        <v>THÁNG 04/2025</v>
      </c>
      <c r="H2627" s="2242"/>
      <c r="I2627" s="2242"/>
      <c r="J2627" s="2242"/>
      <c r="K2627" s="624"/>
    </row>
    <row r="2628" spans="1:15" ht="15" customHeight="1">
      <c r="A2628" s="1052" t="s">
        <v>356</v>
      </c>
      <c r="B2628" s="1053" t="s">
        <v>2689</v>
      </c>
      <c r="C2628" s="869"/>
      <c r="D2628" s="1049"/>
      <c r="E2628" s="1054"/>
      <c r="F2628" s="1055"/>
      <c r="G2628" s="1052" t="s">
        <v>356</v>
      </c>
      <c r="H2628" s="1053" t="s">
        <v>2690</v>
      </c>
      <c r="I2628" s="869"/>
      <c r="J2628" s="1049"/>
      <c r="L2628" s="1088"/>
      <c r="M2628" s="1088"/>
      <c r="N2628" s="1088"/>
      <c r="O2628" s="1088"/>
    </row>
    <row r="2629" spans="1:15" ht="15" customHeight="1">
      <c r="A2629" s="1056" t="s">
        <v>359</v>
      </c>
      <c r="B2629" s="1057" t="s">
        <v>2662</v>
      </c>
      <c r="C2629" s="1058"/>
      <c r="D2629" s="1059"/>
      <c r="E2629" s="1060"/>
      <c r="F2629" s="1060"/>
      <c r="G2629" s="1056" t="s">
        <v>359</v>
      </c>
      <c r="H2629" s="1057" t="s">
        <v>2662</v>
      </c>
      <c r="I2629" s="1058"/>
      <c r="J2629" s="1059"/>
      <c r="K2629" s="1085" t="s">
        <v>2689</v>
      </c>
      <c r="L2629" s="1085"/>
      <c r="M2629" s="1085"/>
      <c r="N2629" s="1085"/>
      <c r="O2629" s="1085"/>
    </row>
    <row r="2630" spans="1:15" ht="15" customHeight="1">
      <c r="A2630" s="1056" t="s">
        <v>361</v>
      </c>
      <c r="B2630" s="1057" t="s">
        <v>2663</v>
      </c>
      <c r="C2630" s="1058"/>
      <c r="D2630" s="1059"/>
      <c r="E2630" s="1061"/>
      <c r="F2630" s="1061"/>
      <c r="G2630" s="1056" t="s">
        <v>361</v>
      </c>
      <c r="H2630" s="1057" t="s">
        <v>2663</v>
      </c>
      <c r="I2630" s="1058"/>
      <c r="J2630" s="1059"/>
      <c r="K2630" s="1085" t="s">
        <v>2690</v>
      </c>
      <c r="L2630" s="1085"/>
      <c r="M2630" s="1085"/>
      <c r="N2630" s="1085"/>
      <c r="O2630" s="1085"/>
    </row>
    <row r="2631" spans="1:15" ht="15" customHeight="1">
      <c r="A2631" s="1056" t="s">
        <v>364</v>
      </c>
      <c r="B2631" s="1057" t="s">
        <v>2664</v>
      </c>
      <c r="C2631" s="1058"/>
      <c r="D2631" s="1059"/>
      <c r="E2631" s="1061"/>
      <c r="F2631" s="1061"/>
      <c r="G2631" s="1056" t="s">
        <v>364</v>
      </c>
      <c r="H2631" s="1057" t="s">
        <v>2664</v>
      </c>
      <c r="I2631" s="1058"/>
      <c r="J2631" s="1059"/>
      <c r="K2631" s="1085" t="s">
        <v>657</v>
      </c>
      <c r="L2631" s="1085"/>
      <c r="M2631" s="1085"/>
      <c r="N2631" s="1085"/>
      <c r="O2631" s="1085"/>
    </row>
    <row r="2632" spans="1:15" ht="15" customHeight="1">
      <c r="A2632" s="1056" t="s">
        <v>370</v>
      </c>
      <c r="B2632" s="1057" t="s">
        <v>2665</v>
      </c>
      <c r="C2632" s="1058"/>
      <c r="D2632" s="1059"/>
      <c r="E2632" s="1061"/>
      <c r="F2632" s="1061"/>
      <c r="G2632" s="1056" t="s">
        <v>370</v>
      </c>
      <c r="H2632" s="1057" t="s">
        <v>2665</v>
      </c>
      <c r="I2632" s="1058"/>
      <c r="J2632" s="1059"/>
      <c r="K2632" s="1085" t="s">
        <v>1352</v>
      </c>
      <c r="L2632" s="1085"/>
      <c r="M2632" s="1085"/>
      <c r="N2632" s="1085"/>
      <c r="O2632" s="1085"/>
    </row>
    <row r="2633" spans="1:15" ht="15" customHeight="1">
      <c r="A2633" s="1056" t="s">
        <v>2666</v>
      </c>
      <c r="B2633" s="1057" t="s">
        <v>2667</v>
      </c>
      <c r="C2633" s="1058"/>
      <c r="D2633" s="1059"/>
      <c r="E2633" s="1061"/>
      <c r="F2633" s="1061"/>
      <c r="G2633" s="1056" t="s">
        <v>2666</v>
      </c>
      <c r="H2633" s="1057" t="s">
        <v>2667</v>
      </c>
      <c r="I2633" s="1058"/>
      <c r="J2633" s="1059"/>
      <c r="K2633" s="1085"/>
      <c r="L2633" s="1085"/>
      <c r="M2633" s="1085"/>
      <c r="N2633" s="1085"/>
      <c r="O2633" s="1085"/>
    </row>
    <row r="2634" spans="1:15" ht="15" customHeight="1">
      <c r="A2634" s="1056" t="s">
        <v>2668</v>
      </c>
      <c r="B2634" s="1062" t="s">
        <v>2669</v>
      </c>
      <c r="C2634" s="1058"/>
      <c r="D2634" s="1059"/>
      <c r="E2634" s="1063"/>
      <c r="F2634" s="1061"/>
      <c r="G2634" s="1056" t="s">
        <v>2668</v>
      </c>
      <c r="H2634" s="1062" t="s">
        <v>2669</v>
      </c>
      <c r="I2634" s="1058"/>
      <c r="J2634" s="1059"/>
      <c r="K2634" s="1085"/>
      <c r="L2634" s="1085"/>
      <c r="M2634" s="1085"/>
      <c r="N2634" s="1085"/>
      <c r="O2634" s="1085"/>
    </row>
    <row r="2635" spans="1:15" ht="15" customHeight="1">
      <c r="A2635" s="1056" t="s">
        <v>2671</v>
      </c>
      <c r="B2635" s="1057" t="s">
        <v>2672</v>
      </c>
      <c r="C2635" s="1058"/>
      <c r="D2635" s="1059"/>
      <c r="E2635" s="1065"/>
      <c r="F2635" s="1065"/>
      <c r="G2635" s="1056" t="s">
        <v>2671</v>
      </c>
      <c r="H2635" s="1057" t="s">
        <v>2672</v>
      </c>
      <c r="I2635" s="1058"/>
      <c r="J2635" s="1059"/>
    </row>
    <row r="2636" spans="1:15" ht="15" customHeight="1">
      <c r="A2636" s="1056" t="s">
        <v>374</v>
      </c>
      <c r="B2636" s="1057" t="s">
        <v>2674</v>
      </c>
      <c r="C2636" s="1058"/>
      <c r="D2636" s="1059"/>
      <c r="E2636" s="1063"/>
      <c r="F2636" s="1065"/>
      <c r="G2636" s="1056" t="s">
        <v>374</v>
      </c>
      <c r="H2636" s="1057" t="s">
        <v>2674</v>
      </c>
      <c r="I2636" s="1058"/>
      <c r="J2636" s="1059"/>
    </row>
    <row r="2637" spans="1:15" ht="15" customHeight="1">
      <c r="A2637" s="1056" t="s">
        <v>2675</v>
      </c>
      <c r="B2637" s="1057" t="s">
        <v>2676</v>
      </c>
      <c r="D2637" s="1064"/>
      <c r="E2637" s="1067"/>
      <c r="F2637" s="1051"/>
      <c r="G2637" s="1056" t="s">
        <v>2675</v>
      </c>
      <c r="H2637" s="1057" t="s">
        <v>2676</v>
      </c>
      <c r="J2637" s="1064"/>
    </row>
    <row r="2638" spans="1:15" ht="15" customHeight="1">
      <c r="A2638" s="1066"/>
      <c r="B2638" s="869"/>
      <c r="C2638" s="1058"/>
      <c r="D2638" s="1059"/>
      <c r="E2638" s="1072"/>
      <c r="F2638" s="1073"/>
      <c r="G2638" s="1066"/>
      <c r="H2638" s="869"/>
      <c r="I2638" s="1058"/>
      <c r="J2638" s="1059"/>
    </row>
    <row r="2639" spans="1:15" ht="18.75" customHeight="1">
      <c r="A2639" s="1052"/>
      <c r="B2639" s="869"/>
      <c r="C2639" s="1058"/>
      <c r="D2639" s="1059"/>
      <c r="E2639" s="1077"/>
      <c r="F2639" s="1078"/>
      <c r="G2639" s="1052"/>
      <c r="H2639" s="869"/>
      <c r="I2639" s="1058"/>
      <c r="J2639" s="1059"/>
    </row>
    <row r="2640" spans="1:15" ht="18.75" customHeight="1">
      <c r="A2640" s="1068" t="s">
        <v>383</v>
      </c>
      <c r="B2640" s="1069" t="s">
        <v>384</v>
      </c>
      <c r="C2640" s="1070"/>
      <c r="D2640" s="1071">
        <f>SUM(D2629:D2636)-D2639</f>
        <v>0</v>
      </c>
      <c r="E2640" s="1075"/>
      <c r="F2640" s="1081"/>
      <c r="G2640" s="1068" t="s">
        <v>383</v>
      </c>
      <c r="H2640" s="1069" t="s">
        <v>384</v>
      </c>
      <c r="I2640" s="1070"/>
      <c r="J2640" s="1071">
        <f>SUM(J2629:J2636)-J2639</f>
        <v>0</v>
      </c>
    </row>
    <row r="2641" spans="1:15" ht="18.75" customHeight="1">
      <c r="A2641" s="1068"/>
      <c r="B2641" s="1069"/>
      <c r="C2641" s="1070"/>
      <c r="D2641" s="1071"/>
      <c r="E2641" s="1045"/>
      <c r="G2641" s="1068"/>
      <c r="H2641" s="1069"/>
      <c r="I2641" s="1070"/>
      <c r="J2641" s="1071"/>
    </row>
    <row r="2642" spans="1:15" ht="18.75" customHeight="1">
      <c r="A2642" s="1068"/>
      <c r="B2642" s="1069"/>
      <c r="C2642" s="1070"/>
      <c r="D2642" s="1071"/>
      <c r="E2642" s="1045"/>
      <c r="G2642" s="1068"/>
      <c r="H2642" s="1069"/>
      <c r="I2642" s="1070"/>
      <c r="J2642" s="1071"/>
    </row>
    <row r="2643" spans="1:15" ht="15" customHeight="1">
      <c r="A2643" s="2242" t="str">
        <f>$K$2</f>
        <v>THÁNG 04/2025</v>
      </c>
      <c r="B2643" s="2242"/>
      <c r="C2643" s="2242"/>
      <c r="D2643" s="2242"/>
      <c r="E2643" s="1050"/>
      <c r="F2643" s="1051"/>
      <c r="G2643" s="2242" t="str">
        <f>$K$2</f>
        <v>THÁNG 04/2025</v>
      </c>
      <c r="H2643" s="2242"/>
      <c r="I2643" s="2242"/>
      <c r="J2643" s="2242"/>
      <c r="K2643" s="624"/>
    </row>
    <row r="2644" spans="1:15" ht="15" customHeight="1">
      <c r="A2644" s="1052" t="s">
        <v>356</v>
      </c>
      <c r="B2644" s="1053" t="s">
        <v>657</v>
      </c>
      <c r="C2644" s="869"/>
      <c r="D2644" s="1049"/>
      <c r="E2644" s="1054"/>
      <c r="F2644" s="1055"/>
      <c r="G2644" s="1052" t="s">
        <v>356</v>
      </c>
      <c r="H2644" s="1053" t="s">
        <v>513</v>
      </c>
      <c r="I2644" s="869"/>
      <c r="J2644" s="1049"/>
      <c r="L2644" s="1088"/>
      <c r="M2644" s="1088"/>
      <c r="N2644" s="1088"/>
      <c r="O2644" s="1088"/>
    </row>
    <row r="2645" spans="1:15" ht="15" customHeight="1">
      <c r="A2645" s="1056" t="s">
        <v>359</v>
      </c>
      <c r="B2645" s="1057" t="s">
        <v>2662</v>
      </c>
      <c r="C2645" s="1058"/>
      <c r="D2645" s="1059"/>
      <c r="E2645" s="1060"/>
      <c r="F2645" s="1060"/>
      <c r="G2645" s="1056" t="s">
        <v>359</v>
      </c>
      <c r="H2645" s="1057" t="s">
        <v>2662</v>
      </c>
      <c r="I2645" s="1058"/>
      <c r="J2645" s="1059"/>
      <c r="K2645" s="1085"/>
      <c r="L2645" s="1085"/>
      <c r="M2645" s="1085"/>
      <c r="N2645" s="1085"/>
      <c r="O2645" s="1085"/>
    </row>
    <row r="2646" spans="1:15" ht="15" customHeight="1">
      <c r="A2646" s="1056" t="s">
        <v>361</v>
      </c>
      <c r="B2646" s="1057" t="s">
        <v>2663</v>
      </c>
      <c r="C2646" s="1058"/>
      <c r="D2646" s="1059"/>
      <c r="E2646" s="1061"/>
      <c r="F2646" s="1061"/>
      <c r="G2646" s="1056" t="s">
        <v>361</v>
      </c>
      <c r="H2646" s="1057" t="s">
        <v>2663</v>
      </c>
      <c r="I2646" s="1058"/>
      <c r="J2646" s="1059"/>
      <c r="K2646" s="1085"/>
      <c r="L2646" s="1085"/>
      <c r="M2646" s="1085"/>
      <c r="N2646" s="1085"/>
      <c r="O2646" s="1085"/>
    </row>
    <row r="2647" spans="1:15" ht="15" customHeight="1">
      <c r="A2647" s="1056" t="s">
        <v>364</v>
      </c>
      <c r="B2647" s="1057" t="s">
        <v>2664</v>
      </c>
      <c r="C2647" s="1058"/>
      <c r="D2647" s="1059"/>
      <c r="E2647" s="1061"/>
      <c r="F2647" s="1061"/>
      <c r="G2647" s="1056" t="s">
        <v>364</v>
      </c>
      <c r="H2647" s="1057" t="s">
        <v>2664</v>
      </c>
      <c r="I2647" s="1058"/>
      <c r="J2647" s="1059"/>
      <c r="K2647" s="1085"/>
      <c r="L2647" s="1085"/>
      <c r="M2647" s="1085"/>
      <c r="N2647" s="1085"/>
      <c r="O2647" s="1085"/>
    </row>
    <row r="2648" spans="1:15" ht="15" customHeight="1">
      <c r="A2648" s="1056" t="s">
        <v>370</v>
      </c>
      <c r="B2648" s="1057" t="s">
        <v>2665</v>
      </c>
      <c r="C2648" s="1058"/>
      <c r="D2648" s="1059"/>
      <c r="E2648" s="1061"/>
      <c r="F2648" s="1061"/>
      <c r="G2648" s="1056" t="s">
        <v>370</v>
      </c>
      <c r="H2648" s="1057" t="s">
        <v>2665</v>
      </c>
      <c r="I2648" s="1058"/>
      <c r="J2648" s="1059"/>
      <c r="K2648" s="1085"/>
      <c r="L2648" s="1085"/>
      <c r="M2648" s="1085"/>
      <c r="N2648" s="1085"/>
      <c r="O2648" s="1085"/>
    </row>
    <row r="2649" spans="1:15" ht="15" customHeight="1">
      <c r="A2649" s="1056" t="s">
        <v>2666</v>
      </c>
      <c r="B2649" s="1057" t="s">
        <v>2667</v>
      </c>
      <c r="C2649" s="1058"/>
      <c r="D2649" s="1059"/>
      <c r="E2649" s="1061"/>
      <c r="F2649" s="1061"/>
      <c r="G2649" s="1056" t="s">
        <v>2666</v>
      </c>
      <c r="H2649" s="1057" t="s">
        <v>2667</v>
      </c>
      <c r="I2649" s="1058"/>
      <c r="J2649" s="1059"/>
    </row>
    <row r="2650" spans="1:15" ht="15" customHeight="1">
      <c r="A2650" s="1056" t="s">
        <v>2668</v>
      </c>
      <c r="B2650" s="1062" t="s">
        <v>2669</v>
      </c>
      <c r="C2650" s="1058"/>
      <c r="D2650" s="1059"/>
      <c r="E2650" s="1063"/>
      <c r="F2650" s="1061"/>
      <c r="G2650" s="1056" t="s">
        <v>2668</v>
      </c>
      <c r="H2650" s="1062" t="s">
        <v>2669</v>
      </c>
      <c r="I2650" s="1058"/>
      <c r="J2650" s="1059"/>
      <c r="K2650" s="1085"/>
      <c r="L2650" s="1085"/>
      <c r="M2650" s="1085"/>
      <c r="N2650" s="1085"/>
      <c r="O2650" s="1085"/>
    </row>
    <row r="2651" spans="1:15" ht="15" customHeight="1">
      <c r="A2651" s="1056" t="s">
        <v>2671</v>
      </c>
      <c r="B2651" s="1057" t="s">
        <v>2672</v>
      </c>
      <c r="C2651" s="1058"/>
      <c r="D2651" s="1059"/>
      <c r="E2651" s="1065"/>
      <c r="F2651" s="1065"/>
      <c r="G2651" s="1056" t="s">
        <v>2671</v>
      </c>
      <c r="H2651" s="1057" t="s">
        <v>2672</v>
      </c>
      <c r="I2651" s="1058"/>
      <c r="J2651" s="1059"/>
    </row>
    <row r="2652" spans="1:15" ht="15" customHeight="1">
      <c r="A2652" s="1056" t="s">
        <v>374</v>
      </c>
      <c r="B2652" s="1057" t="s">
        <v>2674</v>
      </c>
      <c r="C2652" s="1058"/>
      <c r="D2652" s="1059"/>
      <c r="E2652" s="1063"/>
      <c r="F2652" s="1065"/>
      <c r="G2652" s="1056" t="s">
        <v>374</v>
      </c>
      <c r="H2652" s="1057" t="s">
        <v>2674</v>
      </c>
      <c r="I2652" s="1058"/>
      <c r="J2652" s="1059"/>
    </row>
    <row r="2653" spans="1:15" ht="15" customHeight="1">
      <c r="A2653" s="1056" t="s">
        <v>2675</v>
      </c>
      <c r="B2653" s="1057" t="s">
        <v>2676</v>
      </c>
      <c r="D2653" s="1064"/>
      <c r="E2653" s="1067"/>
      <c r="F2653" s="1051"/>
      <c r="G2653" s="1056" t="s">
        <v>2675</v>
      </c>
      <c r="H2653" s="1057" t="s">
        <v>2676</v>
      </c>
      <c r="J2653" s="1064"/>
    </row>
    <row r="2654" spans="1:15" ht="15" customHeight="1">
      <c r="A2654" s="1066"/>
      <c r="B2654" s="869"/>
      <c r="C2654" s="1058"/>
      <c r="D2654" s="1059"/>
      <c r="E2654" s="1072"/>
      <c r="F2654" s="1073"/>
      <c r="G2654" s="1066"/>
      <c r="H2654" s="869"/>
      <c r="I2654" s="1058"/>
      <c r="J2654" s="1059"/>
    </row>
    <row r="2655" spans="1:15" ht="15.75" customHeight="1">
      <c r="A2655" s="1052"/>
      <c r="B2655" s="869"/>
      <c r="C2655" s="1058"/>
      <c r="D2655" s="1059"/>
      <c r="E2655" s="1077"/>
      <c r="F2655" s="1078"/>
      <c r="G2655" s="1052"/>
      <c r="H2655" s="869"/>
      <c r="I2655" s="1058"/>
      <c r="J2655" s="1059"/>
    </row>
    <row r="2656" spans="1:15">
      <c r="A2656" s="1068" t="s">
        <v>383</v>
      </c>
      <c r="B2656" s="1069" t="s">
        <v>384</v>
      </c>
      <c r="C2656" s="1070"/>
      <c r="D2656" s="1071">
        <f>SUM(D2645:D2652)-D2655</f>
        <v>0</v>
      </c>
      <c r="G2656" s="1068" t="s">
        <v>383</v>
      </c>
      <c r="H2656" s="1069" t="s">
        <v>384</v>
      </c>
      <c r="I2656" s="1070"/>
      <c r="J2656" s="1071">
        <f>SUM(J2645:J2652)-J2655</f>
        <v>0</v>
      </c>
    </row>
    <row r="2657" spans="1:15" s="869" customFormat="1">
      <c r="A2657" s="1059"/>
      <c r="C2657" s="1091"/>
      <c r="D2657" s="1092"/>
      <c r="G2657" s="1059"/>
      <c r="I2657" s="1091"/>
      <c r="J2657" s="1092"/>
    </row>
    <row r="2658" spans="1:15" s="869" customFormat="1" ht="12" customHeight="1">
      <c r="A2658" s="1093"/>
      <c r="B2658" s="1093"/>
      <c r="C2658" s="1093"/>
      <c r="D2658" s="1093"/>
      <c r="E2658" s="1093"/>
      <c r="F2658" s="1093"/>
      <c r="G2658" s="1093"/>
      <c r="H2658" s="1093"/>
      <c r="I2658" s="1093"/>
      <c r="J2658" s="1093"/>
    </row>
    <row r="2659" spans="1:15" ht="15" customHeight="1">
      <c r="A2659" s="2638" t="str">
        <f>$K$2</f>
        <v>THÁNG 04/2025</v>
      </c>
      <c r="B2659" s="2638"/>
      <c r="C2659" s="2638"/>
      <c r="D2659" s="2638"/>
      <c r="E2659" s="1050"/>
      <c r="F2659" s="1051"/>
      <c r="G2659" s="2638" t="str">
        <f>$K$2</f>
        <v>THÁNG 04/2025</v>
      </c>
      <c r="H2659" s="2638"/>
      <c r="I2659" s="2638"/>
      <c r="J2659" s="2638"/>
      <c r="K2659" s="624"/>
    </row>
    <row r="2660" spans="1:15" ht="15" customHeight="1">
      <c r="A2660" s="1052" t="s">
        <v>356</v>
      </c>
      <c r="B2660" s="1053" t="s">
        <v>206</v>
      </c>
      <c r="C2660" s="869"/>
      <c r="D2660" s="1049"/>
      <c r="E2660" s="1054"/>
      <c r="F2660" s="1055"/>
      <c r="G2660" s="1052" t="s">
        <v>356</v>
      </c>
      <c r="H2660" s="1053" t="s">
        <v>207</v>
      </c>
      <c r="I2660" s="869"/>
      <c r="J2660" s="1049"/>
      <c r="L2660" s="1088"/>
      <c r="M2660" s="1088"/>
      <c r="N2660" s="1088"/>
      <c r="O2660" s="1088"/>
    </row>
    <row r="2661" spans="1:15" ht="15" customHeight="1">
      <c r="A2661" s="1056" t="s">
        <v>359</v>
      </c>
      <c r="B2661" s="1057" t="s">
        <v>2662</v>
      </c>
      <c r="C2661" s="1058" t="e">
        <f>VLOOKUP(B2660,'LƯƠNG KT'!$D$15:$R$94,4,0)</f>
        <v>#N/A</v>
      </c>
      <c r="D2661" s="1059" t="e">
        <f>+C2661*25000</f>
        <v>#N/A</v>
      </c>
      <c r="E2661" s="1060"/>
      <c r="F2661" s="1060"/>
      <c r="G2661" s="1056" t="s">
        <v>359</v>
      </c>
      <c r="H2661" s="1057" t="s">
        <v>2662</v>
      </c>
      <c r="I2661" s="1058" t="e">
        <f>VLOOKUP(H2660,'LƯƠNG KT'!$D$15:$R$94,4,0)</f>
        <v>#N/A</v>
      </c>
      <c r="J2661" s="1059" t="e">
        <f>+I2661*25000</f>
        <v>#N/A</v>
      </c>
      <c r="K2661" s="1084"/>
      <c r="L2661" s="1085"/>
      <c r="M2661" s="1085"/>
      <c r="N2661" s="1085"/>
      <c r="O2661" s="1085"/>
    </row>
    <row r="2662" spans="1:15" ht="15" customHeight="1">
      <c r="A2662" s="1056" t="s">
        <v>361</v>
      </c>
      <c r="B2662" s="1057" t="s">
        <v>2663</v>
      </c>
      <c r="C2662" s="1058" t="e">
        <f>VLOOKUP(B2660,'LƯƠNG KT'!$D$15:$R$94,15,0)</f>
        <v>#N/A</v>
      </c>
      <c r="D2662" s="1059" t="e">
        <f>C2662*$L$4</f>
        <v>#N/A</v>
      </c>
      <c r="E2662" s="1061"/>
      <c r="F2662" s="1061"/>
      <c r="G2662" s="1056" t="s">
        <v>361</v>
      </c>
      <c r="H2662" s="1057" t="s">
        <v>2663</v>
      </c>
      <c r="I2662" s="1058" t="e">
        <f>VLOOKUP(H2660,'LƯƠNG KT'!$D$15:$R$94,15,0)</f>
        <v>#N/A</v>
      </c>
      <c r="J2662" s="1059" t="e">
        <f>I2662*$L$4</f>
        <v>#N/A</v>
      </c>
      <c r="K2662" s="1084"/>
      <c r="L2662" s="1085"/>
      <c r="M2662" s="1085"/>
      <c r="N2662" s="1085"/>
      <c r="O2662" s="1085"/>
    </row>
    <row r="2663" spans="1:15" ht="15" customHeight="1">
      <c r="A2663" s="1056" t="s">
        <v>364</v>
      </c>
      <c r="B2663" s="1057" t="s">
        <v>2664</v>
      </c>
      <c r="C2663" s="1058" t="e">
        <f>VLOOKUP(B2660,'LƯƠNG KT'!$D$15:$R$94,16,0)</f>
        <v>#N/A</v>
      </c>
      <c r="D2663" s="1059" t="e">
        <f>C2663*$L$5</f>
        <v>#N/A</v>
      </c>
      <c r="E2663" s="1061"/>
      <c r="F2663" s="1061"/>
      <c r="G2663" s="1056" t="s">
        <v>364</v>
      </c>
      <c r="H2663" s="1057" t="s">
        <v>2664</v>
      </c>
      <c r="I2663" s="1058" t="e">
        <f>VLOOKUP(H2660,'LƯƠNG KT'!$D$15:$R$94,16,0)</f>
        <v>#N/A</v>
      </c>
      <c r="J2663" s="1059" t="e">
        <f>I2663*$L$5</f>
        <v>#N/A</v>
      </c>
      <c r="K2663" s="1084"/>
      <c r="L2663" s="1085"/>
      <c r="M2663" s="1085"/>
      <c r="N2663" s="1085"/>
      <c r="O2663" s="1085"/>
    </row>
    <row r="2664" spans="1:15" ht="15" customHeight="1">
      <c r="A2664" s="1056" t="s">
        <v>370</v>
      </c>
      <c r="B2664" s="1057" t="s">
        <v>2665</v>
      </c>
      <c r="C2664" s="1058" t="e">
        <f>VLOOKUP(B2660,'LƯƠNG KT'!$D$15:$R$94,24,0)</f>
        <v>#N/A</v>
      </c>
      <c r="D2664" s="1059" t="e">
        <f>+C2664*$L$6</f>
        <v>#N/A</v>
      </c>
      <c r="E2664" s="1061"/>
      <c r="F2664" s="1061"/>
      <c r="G2664" s="1056" t="s">
        <v>370</v>
      </c>
      <c r="H2664" s="1057" t="s">
        <v>2665</v>
      </c>
      <c r="I2664" s="1058" t="e">
        <f>VLOOKUP(H2660,'LƯƠNG KT'!$D$15:$R$94,24,0)</f>
        <v>#N/A</v>
      </c>
      <c r="J2664" s="1059" t="e">
        <f>+I2664*$L$6</f>
        <v>#N/A</v>
      </c>
      <c r="K2664" s="1085"/>
      <c r="L2664" s="1085"/>
      <c r="M2664" s="1085"/>
      <c r="N2664" s="1085"/>
      <c r="O2664" s="1085"/>
    </row>
    <row r="2665" spans="1:15" ht="15" customHeight="1">
      <c r="A2665" s="1056" t="s">
        <v>2666</v>
      </c>
      <c r="B2665" s="1057" t="s">
        <v>2667</v>
      </c>
      <c r="C2665" s="1058" t="e">
        <f>VLOOKUP(B2660,'LƯƠNG KT'!$D$15:$R$94,19,0)</f>
        <v>#N/A</v>
      </c>
      <c r="D2665" s="1059" t="e">
        <f>+C2665*$L$8</f>
        <v>#N/A</v>
      </c>
      <c r="E2665" s="1061"/>
      <c r="F2665" s="1061"/>
      <c r="G2665" s="1056" t="s">
        <v>2666</v>
      </c>
      <c r="H2665" s="1057" t="s">
        <v>2667</v>
      </c>
      <c r="I2665" s="1058" t="e">
        <f>VLOOKUP(H2660,'LƯƠNG KT'!$D$15:$R$94,19,0)</f>
        <v>#N/A</v>
      </c>
      <c r="J2665" s="1059" t="e">
        <f>+I2665*$L$8</f>
        <v>#N/A</v>
      </c>
      <c r="K2665" s="1085"/>
      <c r="L2665" s="1085"/>
      <c r="M2665" s="1085"/>
      <c r="N2665" s="1085"/>
      <c r="O2665" s="1085"/>
    </row>
    <row r="2666" spans="1:15" ht="15" customHeight="1">
      <c r="A2666" s="1056" t="s">
        <v>2668</v>
      </c>
      <c r="B2666" s="1062" t="s">
        <v>2669</v>
      </c>
      <c r="C2666" s="1058" t="e">
        <f>VLOOKUP(B2660,'LƯƠNG KT'!$D$15:$R$94,20,0)</f>
        <v>#N/A</v>
      </c>
      <c r="D2666" s="1059" t="e">
        <f>+C2666*$L$9</f>
        <v>#N/A</v>
      </c>
      <c r="E2666" s="1061"/>
      <c r="F2666" s="1061"/>
      <c r="G2666" s="1056" t="s">
        <v>2668</v>
      </c>
      <c r="H2666" s="1062" t="s">
        <v>2669</v>
      </c>
      <c r="I2666" s="1058" t="e">
        <f>VLOOKUP(H2660,'LƯƠNG KT'!$D$15:$R$94,20,0)</f>
        <v>#N/A</v>
      </c>
      <c r="J2666" s="1059" t="e">
        <f>+I2666*$L$9</f>
        <v>#N/A</v>
      </c>
      <c r="K2666" s="1085"/>
      <c r="L2666" s="1085"/>
      <c r="M2666" s="1085"/>
      <c r="N2666" s="1085"/>
      <c r="O2666" s="1085"/>
    </row>
    <row r="2667" spans="1:15" ht="15" customHeight="1">
      <c r="A2667" s="1056" t="s">
        <v>2671</v>
      </c>
      <c r="B2667" s="1057" t="s">
        <v>2672</v>
      </c>
      <c r="C2667" s="1058" t="e">
        <f>VLOOKUP(B2660,'LƯƠNG KT'!$D$15:$R$94,17,0)</f>
        <v>#N/A</v>
      </c>
      <c r="D2667" s="1059" t="e">
        <f>+C2667*$L$10</f>
        <v>#N/A</v>
      </c>
      <c r="E2667" s="1061"/>
      <c r="F2667" s="1061"/>
      <c r="G2667" s="1056" t="s">
        <v>2671</v>
      </c>
      <c r="H2667" s="1057" t="s">
        <v>2672</v>
      </c>
      <c r="I2667" s="1058" t="e">
        <f>VLOOKUP(H2660,'LƯƠNG KT'!$D$15:$R$94,17,0)</f>
        <v>#N/A</v>
      </c>
      <c r="J2667" s="1059" t="e">
        <f>+I2667*$L$10</f>
        <v>#N/A</v>
      </c>
      <c r="K2667" s="1085"/>
      <c r="L2667" s="1085"/>
      <c r="M2667" s="1085"/>
      <c r="N2667" s="1085"/>
      <c r="O2667" s="1085"/>
    </row>
    <row r="2668" spans="1:15" ht="15" customHeight="1">
      <c r="A2668" s="1056" t="s">
        <v>374</v>
      </c>
      <c r="B2668" s="1057" t="s">
        <v>2674</v>
      </c>
      <c r="C2668" s="1058" t="e">
        <f>VLOOKUP(B2660,'LƯƠNG KT'!$D$15:$R$94,12,0)</f>
        <v>#N/A</v>
      </c>
      <c r="D2668" s="1059" t="e">
        <f>VLOOKUP(B2660,'LƯƠNG KT'!$D$15:$R$94,14,0)</f>
        <v>#N/A</v>
      </c>
      <c r="E2668" s="1063"/>
      <c r="F2668" s="1061"/>
      <c r="G2668" s="1056" t="s">
        <v>374</v>
      </c>
      <c r="H2668" s="1057" t="s">
        <v>2674</v>
      </c>
      <c r="I2668" s="1058" t="e">
        <f>VLOOKUP(H2660,'LƯƠNG KT'!$D$15:$R$94,12,0)</f>
        <v>#N/A</v>
      </c>
      <c r="J2668" s="1059" t="e">
        <f>VLOOKUP(H2660,'LƯƠNG KT'!$D$15:$R$94,14,0)</f>
        <v>#N/A</v>
      </c>
      <c r="K2668" s="1085"/>
      <c r="L2668" s="1085"/>
      <c r="M2668" s="1085"/>
      <c r="N2668" s="1085"/>
      <c r="O2668" s="1085"/>
    </row>
    <row r="2669" spans="1:15" ht="15" customHeight="1">
      <c r="A2669" s="1056" t="s">
        <v>2675</v>
      </c>
      <c r="B2669" s="1057" t="s">
        <v>2676</v>
      </c>
      <c r="D2669" s="1064" t="e">
        <f>VLOOKUP(B2660,'LƯƠNG KT'!$D$15:$R$94,13,0)</f>
        <v>#N/A</v>
      </c>
      <c r="E2669" s="1065"/>
      <c r="F2669" s="1065"/>
      <c r="G2669" s="1056" t="s">
        <v>2675</v>
      </c>
      <c r="H2669" s="1057" t="s">
        <v>2676</v>
      </c>
      <c r="J2669" s="1064" t="e">
        <f>VLOOKUP(H2660,'LƯƠNG KT'!$D$15:$R$94,13,0)</f>
        <v>#N/A</v>
      </c>
    </row>
    <row r="2670" spans="1:15" ht="15" customHeight="1">
      <c r="A2670" s="1066"/>
      <c r="B2670" s="869"/>
      <c r="C2670" s="1058"/>
      <c r="D2670" s="1059"/>
      <c r="E2670" s="1063"/>
      <c r="F2670" s="1065"/>
      <c r="G2670" s="1066"/>
      <c r="H2670" s="869"/>
      <c r="I2670" s="1058"/>
      <c r="J2670" s="1059"/>
    </row>
    <row r="2671" spans="1:15" ht="15" customHeight="1">
      <c r="A2671" s="1052"/>
      <c r="B2671" s="869"/>
      <c r="C2671" s="1058"/>
      <c r="D2671" s="1059"/>
      <c r="E2671" s="1067"/>
      <c r="F2671" s="1051"/>
      <c r="G2671" s="1052"/>
      <c r="H2671" s="869"/>
      <c r="I2671" s="1058"/>
      <c r="J2671" s="1059"/>
    </row>
    <row r="2672" spans="1:15" ht="15" customHeight="1">
      <c r="A2672" s="1068" t="s">
        <v>383</v>
      </c>
      <c r="B2672" s="1069" t="s">
        <v>384</v>
      </c>
      <c r="C2672" s="1070"/>
      <c r="D2672" s="1071" t="e">
        <f>SUM(D2661:D2668)-D2671</f>
        <v>#N/A</v>
      </c>
      <c r="E2672" s="1072"/>
      <c r="F2672" s="1073"/>
      <c r="G2672" s="1068" t="s">
        <v>383</v>
      </c>
      <c r="H2672" s="1069" t="s">
        <v>384</v>
      </c>
      <c r="I2672" s="1070"/>
      <c r="J2672" s="1071" t="e">
        <f>SUM(J2661:J2668)-J2671</f>
        <v>#N/A</v>
      </c>
    </row>
    <row r="2673" spans="1:15" ht="12.6" customHeight="1">
      <c r="A2673" s="1074"/>
      <c r="B2673" s="1075"/>
      <c r="C2673" s="1076"/>
      <c r="D2673" s="1077"/>
      <c r="E2673" s="1077"/>
      <c r="F2673" s="1078"/>
      <c r="G2673" s="1074"/>
      <c r="H2673" s="1075"/>
      <c r="I2673" s="1076"/>
      <c r="J2673" s="1077"/>
    </row>
    <row r="2674" spans="1:15" ht="131.25" customHeight="1">
      <c r="A2674" s="1075"/>
      <c r="B2674" s="1075"/>
      <c r="C2674" s="1079"/>
      <c r="D2674" s="1080"/>
      <c r="E2674" s="1075"/>
      <c r="F2674" s="1081"/>
      <c r="G2674" s="1075"/>
      <c r="H2674" s="1075"/>
      <c r="I2674" s="1079"/>
      <c r="J2674" s="1080"/>
    </row>
    <row r="2675" spans="1:15" ht="15" customHeight="1">
      <c r="A2675" s="2242" t="str">
        <f>$K$2</f>
        <v>THÁNG 04/2025</v>
      </c>
      <c r="B2675" s="2242"/>
      <c r="C2675" s="2242"/>
      <c r="D2675" s="2242"/>
      <c r="E2675" s="1050"/>
      <c r="F2675" s="1051"/>
      <c r="G2675" s="2242" t="str">
        <f>$K$2</f>
        <v>THÁNG 04/2025</v>
      </c>
      <c r="H2675" s="2242"/>
      <c r="I2675" s="2242"/>
      <c r="J2675" s="2242"/>
      <c r="K2675" s="624"/>
    </row>
    <row r="2676" spans="1:15" ht="15" customHeight="1">
      <c r="A2676" s="1052" t="s">
        <v>356</v>
      </c>
      <c r="B2676" s="1053" t="s">
        <v>208</v>
      </c>
      <c r="C2676" s="869"/>
      <c r="D2676" s="1049"/>
      <c r="E2676" s="1054"/>
      <c r="F2676" s="1055"/>
      <c r="G2676" s="1052" t="s">
        <v>356</v>
      </c>
      <c r="H2676" s="1053" t="s">
        <v>209</v>
      </c>
      <c r="I2676" s="869"/>
      <c r="J2676" s="1049"/>
      <c r="L2676" s="1088"/>
      <c r="M2676" s="1088"/>
      <c r="N2676" s="1088"/>
      <c r="O2676" s="1088"/>
    </row>
    <row r="2677" spans="1:15" ht="15" customHeight="1">
      <c r="A2677" s="1056" t="s">
        <v>359</v>
      </c>
      <c r="B2677" s="1057" t="s">
        <v>2662</v>
      </c>
      <c r="C2677" s="1058" t="e">
        <f>VLOOKUP(B2676,'LƯƠNG KT'!$D$15:$R$94,4,0)</f>
        <v>#N/A</v>
      </c>
      <c r="D2677" s="1059" t="e">
        <f>+C2677*25000</f>
        <v>#N/A</v>
      </c>
      <c r="E2677" s="1060"/>
      <c r="F2677" s="1060"/>
      <c r="G2677" s="1056" t="s">
        <v>359</v>
      </c>
      <c r="H2677" s="1057" t="s">
        <v>2662</v>
      </c>
      <c r="I2677" s="1058" t="e">
        <f>VLOOKUP(H2676,'LƯƠNG KT'!$D$15:$R$94,4,0)</f>
        <v>#N/A</v>
      </c>
      <c r="J2677" s="1059" t="e">
        <f>+I2677*25000</f>
        <v>#N/A</v>
      </c>
      <c r="K2677" s="1085"/>
      <c r="L2677" s="1085"/>
      <c r="M2677" s="1085"/>
      <c r="N2677" s="1085"/>
      <c r="O2677" s="1085"/>
    </row>
    <row r="2678" spans="1:15" ht="15" customHeight="1">
      <c r="A2678" s="1056" t="s">
        <v>361</v>
      </c>
      <c r="B2678" s="1057" t="s">
        <v>2663</v>
      </c>
      <c r="C2678" s="1058" t="e">
        <f>VLOOKUP(B2676,'LƯƠNG KT'!$D$15:$R$94,15,0)</f>
        <v>#N/A</v>
      </c>
      <c r="D2678" s="1059" t="e">
        <f>C2678*$L$4</f>
        <v>#N/A</v>
      </c>
      <c r="E2678" s="1061"/>
      <c r="F2678" s="1061"/>
      <c r="G2678" s="1056" t="s">
        <v>361</v>
      </c>
      <c r="H2678" s="1057" t="s">
        <v>2663</v>
      </c>
      <c r="I2678" s="1058" t="e">
        <f>VLOOKUP(H2676,'LƯƠNG KT'!$D$15:$R$94,15,0)</f>
        <v>#N/A</v>
      </c>
      <c r="J2678" s="1059" t="e">
        <f>I2678*$L$4</f>
        <v>#N/A</v>
      </c>
      <c r="K2678" s="1085"/>
      <c r="L2678" s="1085"/>
      <c r="M2678" s="1085"/>
      <c r="N2678" s="1085"/>
      <c r="O2678" s="1085"/>
    </row>
    <row r="2679" spans="1:15" ht="15" customHeight="1">
      <c r="A2679" s="1056" t="s">
        <v>364</v>
      </c>
      <c r="B2679" s="1057" t="s">
        <v>2664</v>
      </c>
      <c r="C2679" s="1058" t="e">
        <f>VLOOKUP(B2676,'LƯƠNG KT'!$D$15:$R$94,16,0)</f>
        <v>#N/A</v>
      </c>
      <c r="D2679" s="1059" t="e">
        <f>C2679*$L$5</f>
        <v>#N/A</v>
      </c>
      <c r="E2679" s="1061"/>
      <c r="F2679" s="1061"/>
      <c r="G2679" s="1056" t="s">
        <v>364</v>
      </c>
      <c r="H2679" s="1057" t="s">
        <v>2664</v>
      </c>
      <c r="I2679" s="1058" t="e">
        <f>VLOOKUP(H2676,'LƯƠNG KT'!$D$15:$R$94,16,0)</f>
        <v>#N/A</v>
      </c>
      <c r="J2679" s="1059" t="e">
        <f>I2679*$L$5</f>
        <v>#N/A</v>
      </c>
      <c r="K2679" s="1085"/>
      <c r="L2679" s="1085"/>
      <c r="M2679" s="1085"/>
      <c r="N2679" s="1085"/>
      <c r="O2679" s="1085"/>
    </row>
    <row r="2680" spans="1:15" ht="15" customHeight="1">
      <c r="A2680" s="1056" t="s">
        <v>370</v>
      </c>
      <c r="B2680" s="1057" t="s">
        <v>2665</v>
      </c>
      <c r="C2680" s="1058" t="e">
        <f>VLOOKUP(B2676,'LƯƠNG KT'!$D$15:$R$94,24,0)</f>
        <v>#N/A</v>
      </c>
      <c r="D2680" s="1059" t="e">
        <f>+C2680*$L$6</f>
        <v>#N/A</v>
      </c>
      <c r="E2680" s="1061"/>
      <c r="F2680" s="1061"/>
      <c r="G2680" s="1056" t="s">
        <v>370</v>
      </c>
      <c r="H2680" s="1057" t="s">
        <v>2665</v>
      </c>
      <c r="I2680" s="1058" t="e">
        <f>VLOOKUP(H2676,'LƯƠNG KT'!$D$15:$R$94,24,0)</f>
        <v>#N/A</v>
      </c>
      <c r="J2680" s="1059" t="e">
        <f>+I2680*$L$6</f>
        <v>#N/A</v>
      </c>
      <c r="K2680" s="1085"/>
      <c r="L2680" s="1085"/>
      <c r="M2680" s="1085"/>
      <c r="N2680" s="1085"/>
      <c r="O2680" s="1085"/>
    </row>
    <row r="2681" spans="1:15" ht="15" customHeight="1">
      <c r="A2681" s="1056" t="s">
        <v>2666</v>
      </c>
      <c r="B2681" s="1057" t="s">
        <v>2667</v>
      </c>
      <c r="C2681" s="1058" t="e">
        <f>VLOOKUP(B2676,'LƯƠNG KT'!$D$15:$R$94,19,0)</f>
        <v>#N/A</v>
      </c>
      <c r="D2681" s="1059" t="e">
        <f>+C2681*$L$8</f>
        <v>#N/A</v>
      </c>
      <c r="E2681" s="1061"/>
      <c r="F2681" s="1061"/>
      <c r="G2681" s="1056" t="s">
        <v>2666</v>
      </c>
      <c r="H2681" s="1057" t="s">
        <v>2667</v>
      </c>
      <c r="I2681" s="1058" t="e">
        <f>VLOOKUP(H2676,'LƯƠNG KT'!$D$15:$R$94,19,0)</f>
        <v>#N/A</v>
      </c>
      <c r="J2681" s="1059" t="e">
        <f>+I2681*$L$8</f>
        <v>#N/A</v>
      </c>
      <c r="K2681" s="1085"/>
      <c r="L2681" s="1085"/>
      <c r="M2681" s="1085"/>
      <c r="N2681" s="1085"/>
      <c r="O2681" s="1085"/>
    </row>
    <row r="2682" spans="1:15" ht="15" customHeight="1">
      <c r="A2682" s="1056" t="s">
        <v>2668</v>
      </c>
      <c r="B2682" s="1062" t="s">
        <v>2669</v>
      </c>
      <c r="C2682" s="1058" t="e">
        <f>VLOOKUP(B2676,'LƯƠNG KT'!$D$15:$R$94,20,0)</f>
        <v>#N/A</v>
      </c>
      <c r="D2682" s="1059" t="e">
        <f>+C2682*$L$9</f>
        <v>#N/A</v>
      </c>
      <c r="E2682" s="1061"/>
      <c r="F2682" s="1061"/>
      <c r="G2682" s="1056" t="s">
        <v>2668</v>
      </c>
      <c r="H2682" s="1062" t="s">
        <v>2669</v>
      </c>
      <c r="I2682" s="1058" t="e">
        <f>VLOOKUP(H2676,'LƯƠNG KT'!$D$15:$R$94,20,0)</f>
        <v>#N/A</v>
      </c>
      <c r="J2682" s="1059" t="e">
        <f>+I2682*$L$9</f>
        <v>#N/A</v>
      </c>
      <c r="K2682" s="1085"/>
      <c r="L2682" s="1085"/>
      <c r="M2682" s="1085"/>
      <c r="N2682" s="1085"/>
      <c r="O2682" s="1085"/>
    </row>
    <row r="2683" spans="1:15" ht="15" customHeight="1">
      <c r="A2683" s="1056" t="s">
        <v>2671</v>
      </c>
      <c r="B2683" s="1057" t="s">
        <v>2672</v>
      </c>
      <c r="C2683" s="1058" t="e">
        <f>VLOOKUP(B2676,'LƯƠNG KT'!$D$15:$R$94,17,0)</f>
        <v>#N/A</v>
      </c>
      <c r="D2683" s="1059" t="e">
        <f>+C2683*$L$10</f>
        <v>#N/A</v>
      </c>
      <c r="E2683" s="1061"/>
      <c r="F2683" s="1061"/>
      <c r="G2683" s="1056" t="s">
        <v>2671</v>
      </c>
      <c r="H2683" s="1057" t="s">
        <v>2672</v>
      </c>
      <c r="I2683" s="1058" t="e">
        <f>VLOOKUP(H2676,'LƯƠNG KT'!$D$15:$R$94,17,0)</f>
        <v>#N/A</v>
      </c>
      <c r="J2683" s="1059" t="e">
        <f>+I2683*$L$10</f>
        <v>#N/A</v>
      </c>
      <c r="K2683" s="1085"/>
      <c r="L2683" s="1085"/>
      <c r="M2683" s="1085"/>
      <c r="N2683" s="1085"/>
      <c r="O2683" s="1085"/>
    </row>
    <row r="2684" spans="1:15" ht="15" customHeight="1">
      <c r="A2684" s="1056" t="s">
        <v>374</v>
      </c>
      <c r="B2684" s="1057" t="s">
        <v>2674</v>
      </c>
      <c r="C2684" s="1058" t="e">
        <f>VLOOKUP(B2676,'LƯƠNG KT'!$D$15:$R$94,12,0)</f>
        <v>#N/A</v>
      </c>
      <c r="D2684" s="1059" t="e">
        <f>VLOOKUP(B2676,'LƯƠNG KT'!$D$15:$R$94,14,0)</f>
        <v>#N/A</v>
      </c>
      <c r="E2684" s="1063"/>
      <c r="F2684" s="1061"/>
      <c r="G2684" s="1056" t="s">
        <v>374</v>
      </c>
      <c r="H2684" s="1057" t="s">
        <v>2674</v>
      </c>
      <c r="I2684" s="1058" t="e">
        <f>VLOOKUP(H2676,'LƯƠNG KT'!$D$15:$R$94,12,0)</f>
        <v>#N/A</v>
      </c>
      <c r="J2684" s="1059" t="e">
        <f>VLOOKUP(H2676,'LƯƠNG KT'!$D$15:$R$94,14,0)</f>
        <v>#N/A</v>
      </c>
      <c r="K2684" s="1085"/>
      <c r="L2684" s="1085"/>
      <c r="M2684" s="1085"/>
      <c r="N2684" s="1085"/>
      <c r="O2684" s="1085"/>
    </row>
    <row r="2685" spans="1:15" ht="15" customHeight="1">
      <c r="A2685" s="1056" t="s">
        <v>2675</v>
      </c>
      <c r="B2685" s="1057" t="s">
        <v>2676</v>
      </c>
      <c r="D2685" s="1064" t="e">
        <f>VLOOKUP(B2676,'LƯƠNG KT'!$D$15:$R$94,13,0)</f>
        <v>#N/A</v>
      </c>
      <c r="E2685" s="1065"/>
      <c r="F2685" s="1065"/>
      <c r="G2685" s="1056" t="s">
        <v>2675</v>
      </c>
      <c r="H2685" s="1057" t="s">
        <v>2676</v>
      </c>
      <c r="J2685" s="1064" t="e">
        <f>VLOOKUP(H2676,'LƯƠNG KT'!$D$15:$R$94,13,0)</f>
        <v>#N/A</v>
      </c>
    </row>
    <row r="2686" spans="1:15" ht="15" customHeight="1">
      <c r="A2686" s="1066"/>
      <c r="B2686" s="869"/>
      <c r="C2686" s="1058"/>
      <c r="D2686" s="1059"/>
      <c r="E2686" s="1063"/>
      <c r="F2686" s="1065"/>
      <c r="G2686" s="1066"/>
      <c r="H2686" s="869"/>
      <c r="I2686" s="1058"/>
      <c r="J2686" s="1059"/>
    </row>
    <row r="2687" spans="1:15" ht="15" customHeight="1">
      <c r="A2687" s="1052"/>
      <c r="B2687" s="869"/>
      <c r="C2687" s="1058"/>
      <c r="D2687" s="1059"/>
      <c r="E2687" s="1067"/>
      <c r="F2687" s="1051"/>
      <c r="G2687" s="1052"/>
      <c r="H2687" s="869"/>
      <c r="I2687" s="1058"/>
      <c r="J2687" s="1059"/>
    </row>
    <row r="2688" spans="1:15" ht="15" customHeight="1">
      <c r="A2688" s="1068" t="s">
        <v>383</v>
      </c>
      <c r="B2688" s="1069" t="s">
        <v>384</v>
      </c>
      <c r="C2688" s="1070"/>
      <c r="D2688" s="1071" t="e">
        <f>SUM(D2677:D2684)-D2687</f>
        <v>#N/A</v>
      </c>
      <c r="E2688" s="1072"/>
      <c r="F2688" s="1073"/>
      <c r="G2688" s="1068" t="s">
        <v>383</v>
      </c>
      <c r="H2688" s="1069" t="s">
        <v>384</v>
      </c>
      <c r="I2688" s="1070"/>
      <c r="J2688" s="1071" t="e">
        <f>SUM(J2677:J2684)-J2687</f>
        <v>#N/A</v>
      </c>
    </row>
    <row r="2689" spans="1:15" ht="18.75" customHeight="1">
      <c r="A2689" s="1074"/>
      <c r="B2689" s="1075"/>
      <c r="C2689" s="1076"/>
      <c r="D2689" s="1077"/>
      <c r="E2689" s="1077"/>
      <c r="F2689" s="1078"/>
      <c r="G2689" s="1074"/>
      <c r="H2689" s="1075"/>
      <c r="I2689" s="1076"/>
      <c r="J2689" s="1077"/>
    </row>
    <row r="2690" spans="1:15" ht="18.75" customHeight="1">
      <c r="A2690" s="1075"/>
      <c r="B2690" s="1075"/>
      <c r="C2690" s="1079"/>
      <c r="D2690" s="1080"/>
      <c r="E2690" s="1075"/>
      <c r="F2690" s="1081"/>
      <c r="G2690" s="1075"/>
      <c r="H2690" s="1075"/>
      <c r="I2690" s="1079"/>
      <c r="J2690" s="1080"/>
    </row>
    <row r="2691" spans="1:15" ht="15" customHeight="1">
      <c r="A2691" s="2242" t="str">
        <f>$K$2</f>
        <v>THÁNG 04/2025</v>
      </c>
      <c r="B2691" s="2242"/>
      <c r="C2691" s="2242"/>
      <c r="D2691" s="2242"/>
      <c r="E2691" s="1050"/>
      <c r="F2691" s="1051"/>
      <c r="G2691" s="2242" t="str">
        <f>$K$2</f>
        <v>THÁNG 04/2025</v>
      </c>
      <c r="H2691" s="2242"/>
      <c r="I2691" s="2242"/>
      <c r="J2691" s="2242"/>
      <c r="K2691" s="624"/>
    </row>
    <row r="2692" spans="1:15" ht="15" customHeight="1">
      <c r="A2692" s="1052" t="s">
        <v>356</v>
      </c>
      <c r="B2692" s="1053" t="s">
        <v>210</v>
      </c>
      <c r="C2692" s="869"/>
      <c r="D2692" s="1049"/>
      <c r="E2692" s="1054"/>
      <c r="F2692" s="1055"/>
      <c r="G2692" s="1052" t="s">
        <v>356</v>
      </c>
      <c r="H2692" s="1053" t="s">
        <v>211</v>
      </c>
      <c r="I2692" s="869"/>
      <c r="J2692" s="1049"/>
      <c r="L2692" s="1088"/>
      <c r="M2692" s="1088"/>
      <c r="N2692" s="1088"/>
      <c r="O2692" s="1088"/>
    </row>
    <row r="2693" spans="1:15" ht="15" customHeight="1">
      <c r="A2693" s="1056" t="s">
        <v>359</v>
      </c>
      <c r="B2693" s="1057" t="s">
        <v>2662</v>
      </c>
      <c r="C2693" s="1058" t="e">
        <f>VLOOKUP(B2692,'LƯƠNG KT'!$D$15:$R$94,4,0)</f>
        <v>#N/A</v>
      </c>
      <c r="D2693" s="1059" t="e">
        <f>+C2693*25000</f>
        <v>#N/A</v>
      </c>
      <c r="E2693" s="1060"/>
      <c r="F2693" s="1060"/>
      <c r="G2693" s="1056" t="s">
        <v>359</v>
      </c>
      <c r="H2693" s="1057" t="s">
        <v>2662</v>
      </c>
      <c r="I2693" s="1058" t="e">
        <f>VLOOKUP(H2692,'LƯƠNG KT'!$D$15:$R$94,4,0)</f>
        <v>#N/A</v>
      </c>
      <c r="J2693" s="1059" t="e">
        <f>+I2693*25000</f>
        <v>#N/A</v>
      </c>
      <c r="K2693" s="1085"/>
      <c r="L2693" s="1085"/>
      <c r="M2693" s="1085"/>
      <c r="N2693" s="1085"/>
      <c r="O2693" s="1085"/>
    </row>
    <row r="2694" spans="1:15" ht="15" customHeight="1">
      <c r="A2694" s="1056" t="s">
        <v>361</v>
      </c>
      <c r="B2694" s="1057" t="s">
        <v>2663</v>
      </c>
      <c r="C2694" s="1058" t="e">
        <f>VLOOKUP(B2692,'LƯƠNG KT'!$D$15:$R$94,15,0)</f>
        <v>#N/A</v>
      </c>
      <c r="D2694" s="1059" t="e">
        <f>C2694*$L$4</f>
        <v>#N/A</v>
      </c>
      <c r="E2694" s="1061"/>
      <c r="F2694" s="1061"/>
      <c r="G2694" s="1056" t="s">
        <v>361</v>
      </c>
      <c r="H2694" s="1057" t="s">
        <v>2663</v>
      </c>
      <c r="I2694" s="1058" t="e">
        <f>VLOOKUP(H2692,'LƯƠNG KT'!$D$15:$R$94,15,0)</f>
        <v>#N/A</v>
      </c>
      <c r="J2694" s="1059" t="e">
        <f>I2694*$L$4</f>
        <v>#N/A</v>
      </c>
      <c r="K2694" s="1085"/>
      <c r="L2694" s="1085"/>
      <c r="M2694" s="1085"/>
      <c r="N2694" s="1085"/>
      <c r="O2694" s="1085"/>
    </row>
    <row r="2695" spans="1:15" ht="15" customHeight="1">
      <c r="A2695" s="1056" t="s">
        <v>364</v>
      </c>
      <c r="B2695" s="1057" t="s">
        <v>2664</v>
      </c>
      <c r="C2695" s="1058" t="e">
        <f>VLOOKUP(B2692,'LƯƠNG KT'!$D$15:$R$94,16,0)</f>
        <v>#N/A</v>
      </c>
      <c r="D2695" s="1059" t="e">
        <f>C2695*$L$5</f>
        <v>#N/A</v>
      </c>
      <c r="E2695" s="1061"/>
      <c r="F2695" s="1061"/>
      <c r="G2695" s="1056" t="s">
        <v>364</v>
      </c>
      <c r="H2695" s="1057" t="s">
        <v>2664</v>
      </c>
      <c r="I2695" s="1058" t="e">
        <f>VLOOKUP(H2692,'LƯƠNG KT'!$D$15:$R$94,16,0)</f>
        <v>#N/A</v>
      </c>
      <c r="J2695" s="1059" t="e">
        <f>I2695*$L$5</f>
        <v>#N/A</v>
      </c>
      <c r="K2695" s="1085"/>
      <c r="L2695" s="1085"/>
      <c r="M2695" s="1085"/>
      <c r="N2695" s="1085"/>
      <c r="O2695" s="1085"/>
    </row>
    <row r="2696" spans="1:15" ht="15" customHeight="1">
      <c r="A2696" s="1056" t="s">
        <v>370</v>
      </c>
      <c r="B2696" s="1057" t="s">
        <v>2665</v>
      </c>
      <c r="C2696" s="1058" t="e">
        <f>VLOOKUP(B2692,'LƯƠNG KT'!$D$15:$R$94,24,0)</f>
        <v>#N/A</v>
      </c>
      <c r="D2696" s="1059" t="e">
        <f>+C2696*$L$6</f>
        <v>#N/A</v>
      </c>
      <c r="E2696" s="1061"/>
      <c r="F2696" s="1061"/>
      <c r="G2696" s="1056" t="s">
        <v>370</v>
      </c>
      <c r="H2696" s="1057" t="s">
        <v>2665</v>
      </c>
      <c r="I2696" s="1058" t="e">
        <f>VLOOKUP(H2692,'LƯƠNG KT'!$D$15:$R$94,24,0)</f>
        <v>#N/A</v>
      </c>
      <c r="J2696" s="1059" t="e">
        <f>+I2696*$L$6</f>
        <v>#N/A</v>
      </c>
      <c r="K2696" s="1085"/>
      <c r="L2696" s="1085"/>
      <c r="M2696" s="1085"/>
      <c r="N2696" s="1085"/>
      <c r="O2696" s="1085"/>
    </row>
    <row r="2697" spans="1:15" ht="15" customHeight="1">
      <c r="A2697" s="1056" t="s">
        <v>2666</v>
      </c>
      <c r="B2697" s="1057" t="s">
        <v>2667</v>
      </c>
      <c r="C2697" s="1058" t="e">
        <f>VLOOKUP(B2692,'LƯƠNG KT'!$D$15:$R$94,19,0)</f>
        <v>#N/A</v>
      </c>
      <c r="D2697" s="1059" t="e">
        <f>+C2697*$L$8</f>
        <v>#N/A</v>
      </c>
      <c r="E2697" s="1061"/>
      <c r="F2697" s="1061"/>
      <c r="G2697" s="1056" t="s">
        <v>2666</v>
      </c>
      <c r="H2697" s="1057" t="s">
        <v>2667</v>
      </c>
      <c r="I2697" s="1058" t="e">
        <f>VLOOKUP(H2692,'LƯƠNG KT'!$D$15:$R$94,19,0)</f>
        <v>#N/A</v>
      </c>
      <c r="J2697" s="1059" t="e">
        <f>+I2697*$L$8</f>
        <v>#N/A</v>
      </c>
      <c r="K2697" s="1085"/>
      <c r="L2697" s="1085"/>
      <c r="M2697" s="1085"/>
      <c r="N2697" s="1085"/>
      <c r="O2697" s="1085"/>
    </row>
    <row r="2698" spans="1:15" ht="15" customHeight="1">
      <c r="A2698" s="1056" t="s">
        <v>2668</v>
      </c>
      <c r="B2698" s="1062" t="s">
        <v>2669</v>
      </c>
      <c r="C2698" s="1058" t="e">
        <f>VLOOKUP(B2692,'LƯƠNG KT'!$D$15:$R$94,20,0)</f>
        <v>#N/A</v>
      </c>
      <c r="D2698" s="1059" t="e">
        <f>+C2698*$L$9</f>
        <v>#N/A</v>
      </c>
      <c r="E2698" s="1061"/>
      <c r="F2698" s="1061"/>
      <c r="G2698" s="1056" t="s">
        <v>2668</v>
      </c>
      <c r="H2698" s="1062" t="s">
        <v>2669</v>
      </c>
      <c r="I2698" s="1058" t="e">
        <f>VLOOKUP(H2692,'LƯƠNG KT'!$D$15:$R$94,20,0)</f>
        <v>#N/A</v>
      </c>
      <c r="J2698" s="1059" t="e">
        <f>+I2698*$L$9</f>
        <v>#N/A</v>
      </c>
      <c r="K2698" s="1085"/>
      <c r="L2698" s="1085"/>
      <c r="M2698" s="1085"/>
      <c r="N2698" s="1085"/>
      <c r="O2698" s="1085"/>
    </row>
    <row r="2699" spans="1:15" ht="15" customHeight="1">
      <c r="A2699" s="1056" t="s">
        <v>2671</v>
      </c>
      <c r="B2699" s="1057" t="s">
        <v>2672</v>
      </c>
      <c r="C2699" s="1058" t="e">
        <f>VLOOKUP(B2692,'LƯƠNG KT'!$D$15:$R$94,17,0)</f>
        <v>#N/A</v>
      </c>
      <c r="D2699" s="1059" t="e">
        <f>+C2699*$L$10</f>
        <v>#N/A</v>
      </c>
      <c r="E2699" s="1061"/>
      <c r="F2699" s="1061"/>
      <c r="G2699" s="1056" t="s">
        <v>2671</v>
      </c>
      <c r="H2699" s="1057" t="s">
        <v>2672</v>
      </c>
      <c r="I2699" s="1058" t="e">
        <f>VLOOKUP(H2692,'LƯƠNG KT'!$D$15:$R$94,17,0)</f>
        <v>#N/A</v>
      </c>
      <c r="J2699" s="1059" t="e">
        <f>+I2699*$L$10</f>
        <v>#N/A</v>
      </c>
      <c r="K2699" s="1085"/>
      <c r="L2699" s="1085"/>
      <c r="M2699" s="1085"/>
      <c r="N2699" s="1085"/>
      <c r="O2699" s="1085"/>
    </row>
    <row r="2700" spans="1:15" ht="15" customHeight="1">
      <c r="A2700" s="1056" t="s">
        <v>374</v>
      </c>
      <c r="B2700" s="1057" t="s">
        <v>2674</v>
      </c>
      <c r="C2700" s="1058" t="e">
        <f>VLOOKUP(B2692,'LƯƠNG KT'!$D$15:$R$94,12,0)</f>
        <v>#N/A</v>
      </c>
      <c r="D2700" s="1059" t="e">
        <f>VLOOKUP(B2692,'LƯƠNG KT'!$D$15:$R$94,14,0)</f>
        <v>#N/A</v>
      </c>
      <c r="E2700" s="1063"/>
      <c r="F2700" s="1061"/>
      <c r="G2700" s="1056" t="s">
        <v>374</v>
      </c>
      <c r="H2700" s="1057" t="s">
        <v>2674</v>
      </c>
      <c r="I2700" s="1058" t="e">
        <f>VLOOKUP(H2692,'LƯƠNG KT'!$D$15:$R$94,12,0)</f>
        <v>#N/A</v>
      </c>
      <c r="J2700" s="1059" t="e">
        <f>VLOOKUP(H2692,'LƯƠNG KT'!$D$15:$R$94,14,0)</f>
        <v>#N/A</v>
      </c>
      <c r="K2700" s="1085"/>
      <c r="L2700" s="1085"/>
      <c r="M2700" s="1085"/>
      <c r="N2700" s="1085"/>
      <c r="O2700" s="1085"/>
    </row>
    <row r="2701" spans="1:15" ht="15" customHeight="1">
      <c r="A2701" s="1056" t="s">
        <v>2675</v>
      </c>
      <c r="B2701" s="1057" t="s">
        <v>2676</v>
      </c>
      <c r="D2701" s="1064" t="e">
        <f>VLOOKUP(B2692,'LƯƠNG KT'!$D$15:$R$94,13,0)</f>
        <v>#N/A</v>
      </c>
      <c r="E2701" s="1065"/>
      <c r="F2701" s="1065"/>
      <c r="G2701" s="1056" t="s">
        <v>2675</v>
      </c>
      <c r="H2701" s="1057" t="s">
        <v>2676</v>
      </c>
      <c r="J2701" s="1064" t="e">
        <f>VLOOKUP(H2692,'LƯƠNG KT'!$D$15:$R$94,13,0)</f>
        <v>#N/A</v>
      </c>
    </row>
    <row r="2702" spans="1:15" ht="15" customHeight="1">
      <c r="A2702" s="1066"/>
      <c r="B2702" s="869"/>
      <c r="C2702" s="1058"/>
      <c r="D2702" s="1059"/>
      <c r="E2702" s="1063"/>
      <c r="F2702" s="1065"/>
      <c r="G2702" s="1066"/>
      <c r="H2702" s="869"/>
      <c r="I2702" s="1058"/>
      <c r="J2702" s="1059"/>
    </row>
    <row r="2703" spans="1:15" ht="15" customHeight="1">
      <c r="A2703" s="1052"/>
      <c r="B2703" s="869"/>
      <c r="C2703" s="1058"/>
      <c r="D2703" s="1059"/>
      <c r="E2703" s="1067"/>
      <c r="F2703" s="1051"/>
      <c r="G2703" s="1052"/>
      <c r="H2703" s="869"/>
      <c r="I2703" s="1058"/>
      <c r="J2703" s="1059"/>
    </row>
    <row r="2704" spans="1:15" ht="15" customHeight="1">
      <c r="A2704" s="1068" t="s">
        <v>383</v>
      </c>
      <c r="B2704" s="1069" t="s">
        <v>384</v>
      </c>
      <c r="C2704" s="1070"/>
      <c r="D2704" s="1071" t="e">
        <f>SUM(D2693:D2700)-D2703</f>
        <v>#N/A</v>
      </c>
      <c r="E2704" s="1072"/>
      <c r="F2704" s="1073"/>
      <c r="G2704" s="1068" t="s">
        <v>383</v>
      </c>
      <c r="H2704" s="1069" t="s">
        <v>384</v>
      </c>
      <c r="I2704" s="1070"/>
      <c r="J2704" s="1071" t="e">
        <f>SUM(J2693:J2700)-J2703</f>
        <v>#N/A</v>
      </c>
    </row>
    <row r="2705" spans="1:15" ht="18.75" customHeight="1">
      <c r="A2705" s="1074"/>
      <c r="B2705" s="1075"/>
      <c r="C2705" s="1076"/>
      <c r="D2705" s="1077"/>
      <c r="E2705" s="1077"/>
      <c r="F2705" s="1078"/>
      <c r="G2705" s="1074"/>
      <c r="H2705" s="1075"/>
      <c r="I2705" s="1076"/>
      <c r="J2705" s="1077"/>
    </row>
    <row r="2706" spans="1:15" ht="18.75" customHeight="1">
      <c r="A2706" s="1075"/>
      <c r="B2706" s="1075"/>
      <c r="C2706" s="1079"/>
      <c r="D2706" s="1080"/>
      <c r="E2706" s="1075"/>
      <c r="F2706" s="1081"/>
      <c r="G2706" s="1075"/>
      <c r="H2706" s="1075"/>
      <c r="I2706" s="1079"/>
      <c r="J2706" s="1080"/>
    </row>
    <row r="2707" spans="1:15" ht="15" customHeight="1">
      <c r="A2707" s="2242" t="str">
        <f>$K$2</f>
        <v>THÁNG 04/2025</v>
      </c>
      <c r="B2707" s="2242"/>
      <c r="C2707" s="2242"/>
      <c r="D2707" s="2242"/>
      <c r="E2707" s="1050"/>
      <c r="F2707" s="1051"/>
      <c r="G2707" s="2242" t="str">
        <f>$K$2</f>
        <v>THÁNG 04/2025</v>
      </c>
      <c r="H2707" s="2242"/>
      <c r="I2707" s="2242"/>
      <c r="J2707" s="2242"/>
      <c r="K2707" s="624"/>
    </row>
    <row r="2708" spans="1:15" ht="15" customHeight="1">
      <c r="A2708" s="1052" t="s">
        <v>356</v>
      </c>
      <c r="B2708" s="1053" t="s">
        <v>212</v>
      </c>
      <c r="C2708" s="869"/>
      <c r="D2708" s="1049"/>
      <c r="E2708" s="1054"/>
      <c r="F2708" s="1055"/>
      <c r="G2708" s="1052" t="s">
        <v>356</v>
      </c>
      <c r="H2708" s="1053" t="s">
        <v>213</v>
      </c>
      <c r="I2708" s="869"/>
      <c r="J2708" s="1049"/>
      <c r="L2708" s="1088"/>
      <c r="M2708" s="1088"/>
      <c r="N2708" s="1088"/>
      <c r="O2708" s="1088"/>
    </row>
    <row r="2709" spans="1:15" ht="15" customHeight="1">
      <c r="A2709" s="1056" t="s">
        <v>359</v>
      </c>
      <c r="B2709" s="1057" t="s">
        <v>2662</v>
      </c>
      <c r="C2709" s="1058" t="e">
        <f>VLOOKUP(B2708,'LƯƠNG KT'!$D$15:$R$94,4,0)</f>
        <v>#N/A</v>
      </c>
      <c r="D2709" s="1059" t="e">
        <f>+C2709*25000</f>
        <v>#N/A</v>
      </c>
      <c r="E2709" s="1060"/>
      <c r="F2709" s="1060"/>
      <c r="G2709" s="1056" t="s">
        <v>359</v>
      </c>
      <c r="H2709" s="1057" t="s">
        <v>2662</v>
      </c>
      <c r="I2709" s="1058" t="e">
        <f>VLOOKUP(H2708,'LƯƠNG KT'!$D$15:$R$94,4,0)</f>
        <v>#N/A</v>
      </c>
      <c r="J2709" s="1059" t="e">
        <f>+I2709*25000</f>
        <v>#N/A</v>
      </c>
      <c r="K2709" s="1085"/>
      <c r="L2709" s="1085"/>
      <c r="M2709" s="1085"/>
      <c r="N2709" s="1085"/>
      <c r="O2709" s="1085"/>
    </row>
    <row r="2710" spans="1:15" ht="15" customHeight="1">
      <c r="A2710" s="1056" t="s">
        <v>361</v>
      </c>
      <c r="B2710" s="1057" t="s">
        <v>2663</v>
      </c>
      <c r="C2710" s="1058" t="e">
        <f>VLOOKUP(B2708,'LƯƠNG KT'!$D$15:$R$94,15,0)</f>
        <v>#N/A</v>
      </c>
      <c r="D2710" s="1059" t="e">
        <f>C2710*$L$4</f>
        <v>#N/A</v>
      </c>
      <c r="E2710" s="1061"/>
      <c r="F2710" s="1061"/>
      <c r="G2710" s="1056" t="s">
        <v>361</v>
      </c>
      <c r="H2710" s="1057" t="s">
        <v>2663</v>
      </c>
      <c r="I2710" s="1058" t="e">
        <f>VLOOKUP(H2708,'LƯƠNG KT'!$D$15:$R$94,15,0)</f>
        <v>#N/A</v>
      </c>
      <c r="J2710" s="1059" t="e">
        <f>I2710*$L$4</f>
        <v>#N/A</v>
      </c>
      <c r="K2710" s="1085"/>
      <c r="L2710" s="1085"/>
      <c r="M2710" s="1085"/>
      <c r="N2710" s="1085"/>
      <c r="O2710" s="1085"/>
    </row>
    <row r="2711" spans="1:15" ht="15" customHeight="1">
      <c r="A2711" s="1056" t="s">
        <v>364</v>
      </c>
      <c r="B2711" s="1057" t="s">
        <v>2664</v>
      </c>
      <c r="C2711" s="1058" t="e">
        <f>VLOOKUP(B2708,'LƯƠNG KT'!$D$15:$R$94,16,0)</f>
        <v>#N/A</v>
      </c>
      <c r="D2711" s="1059" t="e">
        <f>C2711*$L$5</f>
        <v>#N/A</v>
      </c>
      <c r="E2711" s="1061"/>
      <c r="F2711" s="1061"/>
      <c r="G2711" s="1056" t="s">
        <v>364</v>
      </c>
      <c r="H2711" s="1057" t="s">
        <v>2664</v>
      </c>
      <c r="I2711" s="1058" t="e">
        <f>VLOOKUP(H2708,'LƯƠNG KT'!$D$15:$R$94,16,0)</f>
        <v>#N/A</v>
      </c>
      <c r="J2711" s="1059" t="e">
        <f>I2711*$L$5</f>
        <v>#N/A</v>
      </c>
      <c r="K2711" s="1085"/>
      <c r="L2711" s="1085"/>
      <c r="M2711" s="1085"/>
      <c r="N2711" s="1085"/>
      <c r="O2711" s="1085"/>
    </row>
    <row r="2712" spans="1:15" ht="15" customHeight="1">
      <c r="A2712" s="1056" t="s">
        <v>370</v>
      </c>
      <c r="B2712" s="1057" t="s">
        <v>2665</v>
      </c>
      <c r="C2712" s="1058" t="e">
        <f>VLOOKUP(B2708,'LƯƠNG KT'!$D$15:$R$94,24,0)</f>
        <v>#N/A</v>
      </c>
      <c r="D2712" s="1059" t="e">
        <f>+C2712*$L$6</f>
        <v>#N/A</v>
      </c>
      <c r="E2712" s="1061"/>
      <c r="F2712" s="1061"/>
      <c r="G2712" s="1056" t="s">
        <v>370</v>
      </c>
      <c r="H2712" s="1057" t="s">
        <v>2665</v>
      </c>
      <c r="I2712" s="1058" t="e">
        <f>VLOOKUP(H2708,'LƯƠNG KT'!$D$15:$R$94,24,0)</f>
        <v>#N/A</v>
      </c>
      <c r="J2712" s="1059" t="e">
        <f>+I2712*$L$6</f>
        <v>#N/A</v>
      </c>
      <c r="K2712" s="1085"/>
      <c r="L2712" s="1085"/>
      <c r="M2712" s="1085"/>
      <c r="N2712" s="1085"/>
      <c r="O2712" s="1085"/>
    </row>
    <row r="2713" spans="1:15" ht="15" customHeight="1">
      <c r="A2713" s="1056" t="s">
        <v>2666</v>
      </c>
      <c r="B2713" s="1057" t="s">
        <v>2667</v>
      </c>
      <c r="C2713" s="1058" t="e">
        <f>VLOOKUP(B2708,'LƯƠNG KT'!$D$15:$R$94,19,0)</f>
        <v>#N/A</v>
      </c>
      <c r="D2713" s="1059" t="e">
        <f>+C2713*$L$8</f>
        <v>#N/A</v>
      </c>
      <c r="E2713" s="1061"/>
      <c r="F2713" s="1061"/>
      <c r="G2713" s="1056" t="s">
        <v>2666</v>
      </c>
      <c r="H2713" s="1057" t="s">
        <v>2667</v>
      </c>
      <c r="I2713" s="1058" t="e">
        <f>VLOOKUP(H2708,'LƯƠNG KT'!$D$15:$R$94,19,0)</f>
        <v>#N/A</v>
      </c>
      <c r="J2713" s="1059" t="e">
        <f>+I2713*$L$8</f>
        <v>#N/A</v>
      </c>
      <c r="K2713" s="1085"/>
      <c r="L2713" s="1085"/>
      <c r="M2713" s="1085"/>
      <c r="N2713" s="1085"/>
      <c r="O2713" s="1085"/>
    </row>
    <row r="2714" spans="1:15" ht="15" customHeight="1">
      <c r="A2714" s="1056" t="s">
        <v>2668</v>
      </c>
      <c r="B2714" s="1062" t="s">
        <v>2669</v>
      </c>
      <c r="C2714" s="1058" t="e">
        <f>VLOOKUP(B2708,'LƯƠNG KT'!$D$15:$R$94,20,0)</f>
        <v>#N/A</v>
      </c>
      <c r="D2714" s="1059" t="e">
        <f>+C2714*$L$9</f>
        <v>#N/A</v>
      </c>
      <c r="E2714" s="1061"/>
      <c r="F2714" s="1061"/>
      <c r="G2714" s="1056" t="s">
        <v>2668</v>
      </c>
      <c r="H2714" s="1062" t="s">
        <v>2669</v>
      </c>
      <c r="I2714" s="1058" t="e">
        <f>VLOOKUP(H2708,'LƯƠNG KT'!$D$15:$R$94,20,0)</f>
        <v>#N/A</v>
      </c>
      <c r="J2714" s="1059" t="e">
        <f>+I2714*$L$9</f>
        <v>#N/A</v>
      </c>
      <c r="K2714" s="1085"/>
      <c r="L2714" s="1085"/>
      <c r="M2714" s="1085"/>
      <c r="N2714" s="1085"/>
      <c r="O2714" s="1085"/>
    </row>
    <row r="2715" spans="1:15" ht="15" customHeight="1">
      <c r="A2715" s="1056" t="s">
        <v>2671</v>
      </c>
      <c r="B2715" s="1057" t="s">
        <v>2672</v>
      </c>
      <c r="C2715" s="1058" t="e">
        <f>VLOOKUP(B2708,'LƯƠNG KT'!$D$15:$R$94,17,0)</f>
        <v>#N/A</v>
      </c>
      <c r="D2715" s="1059" t="e">
        <f>+C2715*$L$10</f>
        <v>#N/A</v>
      </c>
      <c r="E2715" s="1061"/>
      <c r="F2715" s="1061"/>
      <c r="G2715" s="1056" t="s">
        <v>2671</v>
      </c>
      <c r="H2715" s="1057" t="s">
        <v>2672</v>
      </c>
      <c r="I2715" s="1058" t="e">
        <f>VLOOKUP(H2708,'LƯƠNG KT'!$D$15:$R$94,17,0)</f>
        <v>#N/A</v>
      </c>
      <c r="J2715" s="1059" t="e">
        <f>+I2715*$L$10</f>
        <v>#N/A</v>
      </c>
      <c r="K2715" s="1085"/>
      <c r="L2715" s="1085"/>
      <c r="M2715" s="1085"/>
      <c r="N2715" s="1085"/>
      <c r="O2715" s="1085"/>
    </row>
    <row r="2716" spans="1:15" ht="15" customHeight="1">
      <c r="A2716" s="1056" t="s">
        <v>374</v>
      </c>
      <c r="B2716" s="1057" t="s">
        <v>2674</v>
      </c>
      <c r="C2716" s="1058" t="e">
        <f>VLOOKUP(B2708,'LƯƠNG KT'!$D$15:$R$94,12,0)</f>
        <v>#N/A</v>
      </c>
      <c r="D2716" s="1059" t="e">
        <f>VLOOKUP(B2708,'LƯƠNG KT'!$D$15:$R$94,14,0)</f>
        <v>#N/A</v>
      </c>
      <c r="E2716" s="1063"/>
      <c r="F2716" s="1061"/>
      <c r="G2716" s="1056" t="s">
        <v>374</v>
      </c>
      <c r="H2716" s="1057" t="s">
        <v>2674</v>
      </c>
      <c r="I2716" s="1058" t="e">
        <f>VLOOKUP(H2708,'LƯƠNG KT'!$D$15:$R$94,12,0)</f>
        <v>#N/A</v>
      </c>
      <c r="J2716" s="1059" t="e">
        <f>VLOOKUP(H2708,'LƯƠNG KT'!$D$15:$R$94,14,0)</f>
        <v>#N/A</v>
      </c>
      <c r="K2716" s="1085"/>
      <c r="L2716" s="1085"/>
      <c r="M2716" s="1085"/>
      <c r="N2716" s="1085"/>
      <c r="O2716" s="1085"/>
    </row>
    <row r="2717" spans="1:15" ht="15" customHeight="1">
      <c r="A2717" s="1056" t="s">
        <v>2675</v>
      </c>
      <c r="B2717" s="1057" t="s">
        <v>2676</v>
      </c>
      <c r="D2717" s="1064" t="e">
        <f>VLOOKUP(B2708,'LƯƠNG KT'!$D$15:$R$94,13,0)</f>
        <v>#N/A</v>
      </c>
      <c r="E2717" s="1065"/>
      <c r="F2717" s="1065"/>
      <c r="G2717" s="1056" t="s">
        <v>2675</v>
      </c>
      <c r="H2717" s="1057" t="s">
        <v>2676</v>
      </c>
      <c r="J2717" s="1064" t="e">
        <f>VLOOKUP(H2708,'LƯƠNG KT'!$D$15:$R$94,13,0)</f>
        <v>#N/A</v>
      </c>
    </row>
    <row r="2718" spans="1:15" ht="15" customHeight="1">
      <c r="A2718" s="1066"/>
      <c r="B2718" s="869"/>
      <c r="C2718" s="1058"/>
      <c r="D2718" s="1059"/>
      <c r="E2718" s="1063"/>
      <c r="F2718" s="1065"/>
      <c r="G2718" s="1066"/>
      <c r="H2718" s="869"/>
      <c r="I2718" s="1058"/>
      <c r="J2718" s="1059"/>
    </row>
    <row r="2719" spans="1:15" ht="15" customHeight="1">
      <c r="A2719" s="1052"/>
      <c r="B2719" s="869"/>
      <c r="C2719" s="1058"/>
      <c r="D2719" s="1059"/>
      <c r="E2719" s="1067"/>
      <c r="F2719" s="1051"/>
      <c r="G2719" s="1052"/>
      <c r="H2719" s="869"/>
      <c r="I2719" s="1058"/>
      <c r="J2719" s="1059"/>
    </row>
    <row r="2720" spans="1:15" ht="15" customHeight="1">
      <c r="A2720" s="1068" t="s">
        <v>383</v>
      </c>
      <c r="B2720" s="1069" t="s">
        <v>384</v>
      </c>
      <c r="C2720" s="1070"/>
      <c r="D2720" s="1071" t="e">
        <f>SUM(D2709:D2716)-D2719</f>
        <v>#N/A</v>
      </c>
      <c r="E2720" s="1072"/>
      <c r="F2720" s="1073"/>
      <c r="G2720" s="1068" t="s">
        <v>383</v>
      </c>
      <c r="H2720" s="1069" t="s">
        <v>384</v>
      </c>
      <c r="I2720" s="1070"/>
      <c r="J2720" s="1071" t="e">
        <f>SUM(J2709:J2716)-J2719</f>
        <v>#N/A</v>
      </c>
    </row>
    <row r="2721" spans="1:15" ht="15.75" customHeight="1">
      <c r="A2721" s="1074"/>
      <c r="B2721" s="1075"/>
      <c r="C2721" s="1076"/>
      <c r="D2721" s="1077"/>
      <c r="E2721" s="1077"/>
      <c r="F2721" s="1078"/>
      <c r="G2721" s="1074"/>
      <c r="H2721" s="1075"/>
      <c r="I2721" s="1076"/>
      <c r="J2721" s="1077"/>
    </row>
    <row r="2723" spans="1:15" ht="129" customHeight="1">
      <c r="A2723" s="2243"/>
      <c r="B2723" s="2243"/>
      <c r="C2723" s="2243"/>
      <c r="D2723" s="2243"/>
      <c r="E2723" s="2243"/>
      <c r="F2723" s="2243"/>
      <c r="G2723" s="2243"/>
      <c r="H2723" s="2243"/>
      <c r="I2723" s="2243"/>
      <c r="J2723" s="2243"/>
    </row>
    <row r="2724" spans="1:15" ht="15" customHeight="1">
      <c r="A2724" s="2242" t="str">
        <f>$K$2</f>
        <v>THÁNG 04/2025</v>
      </c>
      <c r="B2724" s="2242"/>
      <c r="C2724" s="2242"/>
      <c r="D2724" s="2242"/>
      <c r="E2724" s="1050"/>
      <c r="F2724" s="1051"/>
      <c r="G2724" s="2242" t="str">
        <f>$K$2</f>
        <v>THÁNG 04/2025</v>
      </c>
      <c r="H2724" s="2242"/>
      <c r="I2724" s="2242"/>
      <c r="J2724" s="2242"/>
      <c r="K2724" s="624"/>
    </row>
    <row r="2725" spans="1:15" ht="15" customHeight="1">
      <c r="A2725" s="1052" t="s">
        <v>356</v>
      </c>
      <c r="B2725" s="1053" t="s">
        <v>214</v>
      </c>
      <c r="C2725" s="869"/>
      <c r="D2725" s="1049"/>
      <c r="E2725" s="1054"/>
      <c r="F2725" s="1055"/>
      <c r="G2725" s="1052" t="s">
        <v>356</v>
      </c>
      <c r="H2725" s="1053" t="s">
        <v>215</v>
      </c>
      <c r="I2725" s="869"/>
      <c r="J2725" s="1049"/>
      <c r="L2725" s="1088"/>
      <c r="M2725" s="1088"/>
      <c r="N2725" s="1088"/>
      <c r="O2725" s="1088"/>
    </row>
    <row r="2726" spans="1:15" ht="15" customHeight="1">
      <c r="A2726" s="1056" t="s">
        <v>359</v>
      </c>
      <c r="B2726" s="1057" t="s">
        <v>2662</v>
      </c>
      <c r="C2726" s="1058" t="e">
        <f>VLOOKUP(B2725,'LƯƠNG KT'!$D$15:$R$94,4,0)</f>
        <v>#N/A</v>
      </c>
      <c r="D2726" s="1059" t="e">
        <f>+C2726*25000</f>
        <v>#N/A</v>
      </c>
      <c r="E2726" s="1060"/>
      <c r="F2726" s="1060"/>
      <c r="G2726" s="1056" t="s">
        <v>359</v>
      </c>
      <c r="H2726" s="1057" t="s">
        <v>2662</v>
      </c>
      <c r="I2726" s="1058" t="e">
        <f>VLOOKUP(H2725,'LƯƠNG KT'!$D$15:$R$94,4,0)</f>
        <v>#N/A</v>
      </c>
      <c r="J2726" s="1059" t="e">
        <f>+I2726*25000</f>
        <v>#N/A</v>
      </c>
      <c r="K2726" s="1084"/>
      <c r="L2726" s="1085"/>
      <c r="M2726" s="1085"/>
      <c r="N2726" s="1085"/>
      <c r="O2726" s="1085"/>
    </row>
    <row r="2727" spans="1:15" ht="15" customHeight="1">
      <c r="A2727" s="1056" t="s">
        <v>361</v>
      </c>
      <c r="B2727" s="1057" t="s">
        <v>2663</v>
      </c>
      <c r="C2727" s="1058" t="e">
        <f>VLOOKUP(B2725,'LƯƠNG KT'!$D$15:$R$94,15,0)</f>
        <v>#N/A</v>
      </c>
      <c r="D2727" s="1059" t="e">
        <f>C2727*$L$4</f>
        <v>#N/A</v>
      </c>
      <c r="E2727" s="1061"/>
      <c r="F2727" s="1061"/>
      <c r="G2727" s="1056" t="s">
        <v>361</v>
      </c>
      <c r="H2727" s="1057" t="s">
        <v>2663</v>
      </c>
      <c r="I2727" s="1058" t="e">
        <f>VLOOKUP(H2725,'LƯƠNG KT'!$D$15:$R$94,15,0)</f>
        <v>#N/A</v>
      </c>
      <c r="J2727" s="1059" t="e">
        <f>I2727*$L$4</f>
        <v>#N/A</v>
      </c>
      <c r="K2727" s="1084"/>
      <c r="L2727" s="1085"/>
      <c r="M2727" s="1085"/>
      <c r="N2727" s="1085"/>
      <c r="O2727" s="1085"/>
    </row>
    <row r="2728" spans="1:15" ht="15" customHeight="1">
      <c r="A2728" s="1056" t="s">
        <v>364</v>
      </c>
      <c r="B2728" s="1057" t="s">
        <v>2664</v>
      </c>
      <c r="C2728" s="1058" t="e">
        <f>VLOOKUP(B2725,'LƯƠNG KT'!$D$15:$R$94,16,0)</f>
        <v>#N/A</v>
      </c>
      <c r="D2728" s="1059" t="e">
        <f>C2728*$L$5</f>
        <v>#N/A</v>
      </c>
      <c r="E2728" s="1061"/>
      <c r="F2728" s="1061"/>
      <c r="G2728" s="1056" t="s">
        <v>364</v>
      </c>
      <c r="H2728" s="1057" t="s">
        <v>2664</v>
      </c>
      <c r="I2728" s="1058" t="e">
        <f>VLOOKUP(H2725,'LƯƠNG KT'!$D$15:$R$94,16,0)</f>
        <v>#N/A</v>
      </c>
      <c r="J2728" s="1059" t="e">
        <f>I2728*$L$5</f>
        <v>#N/A</v>
      </c>
      <c r="K2728" s="1084"/>
      <c r="L2728" s="1085"/>
      <c r="M2728" s="1085"/>
      <c r="N2728" s="1085"/>
      <c r="O2728" s="1085"/>
    </row>
    <row r="2729" spans="1:15" ht="15" customHeight="1">
      <c r="A2729" s="1056" t="s">
        <v>370</v>
      </c>
      <c r="B2729" s="1057" t="s">
        <v>2665</v>
      </c>
      <c r="C2729" s="1058" t="e">
        <f>VLOOKUP(B2725,'LƯƠNG KT'!$D$15:$R$94,24,0)</f>
        <v>#N/A</v>
      </c>
      <c r="D2729" s="1059" t="e">
        <f>+C2729*$L$6</f>
        <v>#N/A</v>
      </c>
      <c r="E2729" s="1061"/>
      <c r="F2729" s="1061"/>
      <c r="G2729" s="1056" t="s">
        <v>370</v>
      </c>
      <c r="H2729" s="1057" t="s">
        <v>2665</v>
      </c>
      <c r="I2729" s="1058" t="e">
        <f>VLOOKUP(H2725,'LƯƠNG KT'!$D$15:$R$94,24,0)</f>
        <v>#N/A</v>
      </c>
      <c r="J2729" s="1059" t="e">
        <f>+I2729*$L$6</f>
        <v>#N/A</v>
      </c>
      <c r="K2729" s="1085"/>
      <c r="L2729" s="1085"/>
      <c r="M2729" s="1085"/>
      <c r="N2729" s="1085"/>
      <c r="O2729" s="1085"/>
    </row>
    <row r="2730" spans="1:15" ht="15" customHeight="1">
      <c r="A2730" s="1056" t="s">
        <v>2666</v>
      </c>
      <c r="B2730" s="1057" t="s">
        <v>2667</v>
      </c>
      <c r="C2730" s="1058" t="e">
        <f>VLOOKUP(B2725,'LƯƠNG KT'!$D$15:$R$94,19,0)</f>
        <v>#N/A</v>
      </c>
      <c r="D2730" s="1059" t="e">
        <f>+C2730*$L$8</f>
        <v>#N/A</v>
      </c>
      <c r="E2730" s="1061"/>
      <c r="F2730" s="1061"/>
      <c r="G2730" s="1056" t="s">
        <v>2666</v>
      </c>
      <c r="H2730" s="1057" t="s">
        <v>2667</v>
      </c>
      <c r="I2730" s="1058" t="e">
        <f>VLOOKUP(H2725,'LƯƠNG KT'!$D$15:$R$94,19,0)</f>
        <v>#N/A</v>
      </c>
      <c r="J2730" s="1059" t="e">
        <f>+I2730*$L$8</f>
        <v>#N/A</v>
      </c>
      <c r="K2730" s="1085"/>
      <c r="L2730" s="1085"/>
      <c r="M2730" s="1085"/>
      <c r="N2730" s="1085"/>
      <c r="O2730" s="1085"/>
    </row>
    <row r="2731" spans="1:15" ht="15" customHeight="1">
      <c r="A2731" s="1056" t="s">
        <v>2668</v>
      </c>
      <c r="B2731" s="1062" t="s">
        <v>2669</v>
      </c>
      <c r="C2731" s="1058" t="e">
        <f>VLOOKUP(B2725,'LƯƠNG KT'!$D$15:$R$94,20,0)</f>
        <v>#N/A</v>
      </c>
      <c r="D2731" s="1059" t="e">
        <f>+C2731*$L$9</f>
        <v>#N/A</v>
      </c>
      <c r="E2731" s="1061"/>
      <c r="F2731" s="1061"/>
      <c r="G2731" s="1056" t="s">
        <v>2668</v>
      </c>
      <c r="H2731" s="1062" t="s">
        <v>2669</v>
      </c>
      <c r="I2731" s="1058" t="e">
        <f>VLOOKUP(H2725,'LƯƠNG KT'!$D$15:$R$94,20,0)</f>
        <v>#N/A</v>
      </c>
      <c r="J2731" s="1059" t="e">
        <f>+I2731*$L$9</f>
        <v>#N/A</v>
      </c>
      <c r="K2731" s="1085"/>
      <c r="L2731" s="1085"/>
      <c r="M2731" s="1085"/>
      <c r="N2731" s="1085"/>
      <c r="O2731" s="1085"/>
    </row>
    <row r="2732" spans="1:15" ht="15" customHeight="1">
      <c r="A2732" s="1056" t="s">
        <v>2671</v>
      </c>
      <c r="B2732" s="1057" t="s">
        <v>2672</v>
      </c>
      <c r="C2732" s="1058" t="e">
        <f>VLOOKUP(B2725,'LƯƠNG KT'!$D$15:$R$94,17,0)</f>
        <v>#N/A</v>
      </c>
      <c r="D2732" s="1059" t="e">
        <f>+C2732*$L$10</f>
        <v>#N/A</v>
      </c>
      <c r="E2732" s="1061"/>
      <c r="F2732" s="1061"/>
      <c r="G2732" s="1056" t="s">
        <v>2671</v>
      </c>
      <c r="H2732" s="1057" t="s">
        <v>2672</v>
      </c>
      <c r="I2732" s="1058" t="e">
        <f>VLOOKUP(H2725,'LƯƠNG KT'!$D$15:$R$94,17,0)</f>
        <v>#N/A</v>
      </c>
      <c r="J2732" s="1059" t="e">
        <f>+I2732*$L$10</f>
        <v>#N/A</v>
      </c>
      <c r="K2732" s="1085"/>
      <c r="L2732" s="1085"/>
      <c r="M2732" s="1085"/>
      <c r="N2732" s="1085"/>
      <c r="O2732" s="1085"/>
    </row>
    <row r="2733" spans="1:15" ht="15" customHeight="1">
      <c r="A2733" s="1056" t="s">
        <v>374</v>
      </c>
      <c r="B2733" s="1057" t="s">
        <v>2674</v>
      </c>
      <c r="C2733" s="1058" t="e">
        <f>VLOOKUP(B2725,'LƯƠNG KT'!$D$15:$R$94,12,0)</f>
        <v>#N/A</v>
      </c>
      <c r="D2733" s="1059" t="e">
        <f>VLOOKUP(B2725,'LƯƠNG KT'!$D$15:$R$94,14,0)</f>
        <v>#N/A</v>
      </c>
      <c r="E2733" s="1063"/>
      <c r="F2733" s="1061"/>
      <c r="G2733" s="1056" t="s">
        <v>374</v>
      </c>
      <c r="H2733" s="1057" t="s">
        <v>2674</v>
      </c>
      <c r="I2733" s="1058" t="e">
        <f>VLOOKUP(H2725,'LƯƠNG KT'!$D$15:$R$94,12,0)</f>
        <v>#N/A</v>
      </c>
      <c r="J2733" s="1059" t="e">
        <f>VLOOKUP(H2725,'LƯƠNG KT'!$D$15:$R$94,14,0)</f>
        <v>#N/A</v>
      </c>
      <c r="K2733" s="1085"/>
      <c r="L2733" s="1085"/>
      <c r="M2733" s="1085"/>
      <c r="N2733" s="1085"/>
      <c r="O2733" s="1085"/>
    </row>
    <row r="2734" spans="1:15" ht="15" customHeight="1">
      <c r="A2734" s="1056" t="s">
        <v>2675</v>
      </c>
      <c r="B2734" s="1057" t="s">
        <v>2676</v>
      </c>
      <c r="D2734" s="1064" t="e">
        <f>VLOOKUP(B2725,'LƯƠNG KT'!$D$15:$R$94,13,0)</f>
        <v>#N/A</v>
      </c>
      <c r="E2734" s="1065"/>
      <c r="F2734" s="1065"/>
      <c r="G2734" s="1056" t="s">
        <v>2675</v>
      </c>
      <c r="H2734" s="1057" t="s">
        <v>2676</v>
      </c>
      <c r="J2734" s="1064" t="e">
        <f>VLOOKUP(H2725,'LƯƠNG KT'!$D$15:$R$94,13,0)</f>
        <v>#N/A</v>
      </c>
    </row>
    <row r="2735" spans="1:15" ht="15" customHeight="1">
      <c r="A2735" s="1066"/>
      <c r="B2735" s="869"/>
      <c r="C2735" s="1058"/>
      <c r="D2735" s="1059"/>
      <c r="E2735" s="1063"/>
      <c r="F2735" s="1065"/>
      <c r="G2735" s="1066"/>
      <c r="H2735" s="869"/>
      <c r="I2735" s="1058"/>
      <c r="J2735" s="1059"/>
    </row>
    <row r="2736" spans="1:15" ht="15" customHeight="1">
      <c r="A2736" s="1052"/>
      <c r="B2736" s="869"/>
      <c r="C2736" s="1058"/>
      <c r="D2736" s="1059"/>
      <c r="E2736" s="1067"/>
      <c r="F2736" s="1051"/>
      <c r="G2736" s="1052"/>
      <c r="H2736" s="869"/>
      <c r="I2736" s="1058"/>
      <c r="J2736" s="1059"/>
    </row>
    <row r="2737" spans="1:15" ht="15" customHeight="1">
      <c r="A2737" s="1068" t="s">
        <v>383</v>
      </c>
      <c r="B2737" s="1069" t="s">
        <v>384</v>
      </c>
      <c r="C2737" s="1070"/>
      <c r="D2737" s="1071" t="e">
        <f>SUM(D2726:D2733)-D2736</f>
        <v>#N/A</v>
      </c>
      <c r="E2737" s="1072"/>
      <c r="F2737" s="1073"/>
      <c r="G2737" s="1068" t="s">
        <v>383</v>
      </c>
      <c r="H2737" s="1069" t="s">
        <v>384</v>
      </c>
      <c r="I2737" s="1070"/>
      <c r="J2737" s="1071" t="e">
        <f>SUM(J2726:J2733)-J2736</f>
        <v>#N/A</v>
      </c>
    </row>
    <row r="2738" spans="1:15" ht="16.5" customHeight="1">
      <c r="A2738" s="1074"/>
      <c r="B2738" s="1075"/>
      <c r="C2738" s="1076"/>
      <c r="D2738" s="1077"/>
      <c r="E2738" s="1077"/>
      <c r="F2738" s="1078"/>
      <c r="G2738" s="1074"/>
      <c r="H2738" s="1075"/>
      <c r="I2738" s="1076"/>
      <c r="J2738" s="1077"/>
    </row>
    <row r="2739" spans="1:15" ht="16.5" customHeight="1">
      <c r="A2739" s="1075"/>
      <c r="B2739" s="1075"/>
      <c r="C2739" s="1079"/>
      <c r="D2739" s="1080"/>
      <c r="E2739" s="1075"/>
      <c r="F2739" s="1081"/>
      <c r="G2739" s="1075"/>
      <c r="H2739" s="1075"/>
      <c r="I2739" s="1079"/>
      <c r="J2739" s="1080"/>
    </row>
    <row r="2740" spans="1:15" ht="15" customHeight="1">
      <c r="A2740" s="2242" t="str">
        <f>$K$2</f>
        <v>THÁNG 04/2025</v>
      </c>
      <c r="B2740" s="2242"/>
      <c r="C2740" s="2242"/>
      <c r="D2740" s="2242"/>
      <c r="E2740" s="1050"/>
      <c r="F2740" s="1051"/>
      <c r="G2740" s="2242" t="str">
        <f>$K$2</f>
        <v>THÁNG 04/2025</v>
      </c>
      <c r="H2740" s="2242"/>
      <c r="I2740" s="2242"/>
      <c r="J2740" s="2242"/>
      <c r="K2740" s="624"/>
    </row>
    <row r="2741" spans="1:15" ht="15" customHeight="1">
      <c r="A2741" s="1052" t="s">
        <v>356</v>
      </c>
      <c r="B2741" s="1053" t="s">
        <v>216</v>
      </c>
      <c r="C2741" s="869"/>
      <c r="D2741" s="1049"/>
      <c r="E2741" s="1054"/>
      <c r="F2741" s="1055"/>
      <c r="G2741" s="1052" t="s">
        <v>356</v>
      </c>
      <c r="H2741" s="1053" t="s">
        <v>217</v>
      </c>
      <c r="I2741" s="869"/>
      <c r="J2741" s="1049"/>
      <c r="L2741" s="1088"/>
      <c r="M2741" s="1088"/>
      <c r="N2741" s="1088"/>
      <c r="O2741" s="1088"/>
    </row>
    <row r="2742" spans="1:15" ht="15" customHeight="1">
      <c r="A2742" s="1056" t="s">
        <v>359</v>
      </c>
      <c r="B2742" s="1057" t="s">
        <v>2662</v>
      </c>
      <c r="C2742" s="1058" t="e">
        <f>VLOOKUP(B2741,'LƯƠNG KT'!$D$15:$R$94,4,0)</f>
        <v>#N/A</v>
      </c>
      <c r="D2742" s="1059" t="e">
        <f>+C2742*25000</f>
        <v>#N/A</v>
      </c>
      <c r="E2742" s="1060"/>
      <c r="F2742" s="1060"/>
      <c r="G2742" s="1056" t="s">
        <v>359</v>
      </c>
      <c r="H2742" s="1057" t="s">
        <v>2662</v>
      </c>
      <c r="I2742" s="1058" t="e">
        <f>VLOOKUP(H2741,'LƯƠNG KT'!$D$15:$R$94,4,0)</f>
        <v>#N/A</v>
      </c>
      <c r="J2742" s="1059" t="e">
        <f>+I2742*25000</f>
        <v>#N/A</v>
      </c>
      <c r="K2742" s="1085"/>
      <c r="L2742" s="1085"/>
      <c r="M2742" s="1085"/>
      <c r="N2742" s="1085"/>
      <c r="O2742" s="1085"/>
    </row>
    <row r="2743" spans="1:15" ht="15" customHeight="1">
      <c r="A2743" s="1056" t="s">
        <v>361</v>
      </c>
      <c r="B2743" s="1057" t="s">
        <v>2663</v>
      </c>
      <c r="C2743" s="1058" t="e">
        <f>VLOOKUP(B2741,'LƯƠNG KT'!$D$15:$R$94,15,0)</f>
        <v>#N/A</v>
      </c>
      <c r="D2743" s="1059" t="e">
        <f>C2743*$L$4</f>
        <v>#N/A</v>
      </c>
      <c r="E2743" s="1061"/>
      <c r="F2743" s="1061"/>
      <c r="G2743" s="1056" t="s">
        <v>361</v>
      </c>
      <c r="H2743" s="1057" t="s">
        <v>2663</v>
      </c>
      <c r="I2743" s="1058" t="e">
        <f>VLOOKUP(H2741,'LƯƠNG KT'!$D$15:$R$94,15,0)</f>
        <v>#N/A</v>
      </c>
      <c r="J2743" s="1059" t="e">
        <f>I2743*$L$4</f>
        <v>#N/A</v>
      </c>
      <c r="K2743" s="1085"/>
      <c r="L2743" s="1085"/>
      <c r="M2743" s="1085"/>
      <c r="N2743" s="1085"/>
      <c r="O2743" s="1085"/>
    </row>
    <row r="2744" spans="1:15" ht="15" customHeight="1">
      <c r="A2744" s="1056" t="s">
        <v>364</v>
      </c>
      <c r="B2744" s="1057" t="s">
        <v>2664</v>
      </c>
      <c r="C2744" s="1058" t="e">
        <f>VLOOKUP(B2741,'LƯƠNG KT'!$D$15:$R$94,16,0)</f>
        <v>#N/A</v>
      </c>
      <c r="D2744" s="1059" t="e">
        <f>C2744*$L$5</f>
        <v>#N/A</v>
      </c>
      <c r="E2744" s="1061"/>
      <c r="F2744" s="1061"/>
      <c r="G2744" s="1056" t="s">
        <v>364</v>
      </c>
      <c r="H2744" s="1057" t="s">
        <v>2664</v>
      </c>
      <c r="I2744" s="1058" t="e">
        <f>VLOOKUP(H2741,'LƯƠNG KT'!$D$15:$R$94,16,0)</f>
        <v>#N/A</v>
      </c>
      <c r="J2744" s="1059" t="e">
        <f>I2744*$L$5</f>
        <v>#N/A</v>
      </c>
      <c r="K2744" s="1085"/>
      <c r="L2744" s="1085"/>
      <c r="M2744" s="1085"/>
      <c r="N2744" s="1085"/>
      <c r="O2744" s="1085"/>
    </row>
    <row r="2745" spans="1:15" ht="15" customHeight="1">
      <c r="A2745" s="1056" t="s">
        <v>370</v>
      </c>
      <c r="B2745" s="1057" t="s">
        <v>2665</v>
      </c>
      <c r="C2745" s="1058" t="e">
        <f>VLOOKUP(B2741,'LƯƠNG KT'!$D$15:$R$94,24,0)</f>
        <v>#N/A</v>
      </c>
      <c r="D2745" s="1059" t="e">
        <f>+C2745*$L$6</f>
        <v>#N/A</v>
      </c>
      <c r="E2745" s="1061"/>
      <c r="F2745" s="1061"/>
      <c r="G2745" s="1056" t="s">
        <v>370</v>
      </c>
      <c r="H2745" s="1057" t="s">
        <v>2665</v>
      </c>
      <c r="I2745" s="1058" t="e">
        <f>VLOOKUP(H2741,'LƯƠNG KT'!$D$15:$R$94,24,0)</f>
        <v>#N/A</v>
      </c>
      <c r="J2745" s="1059" t="e">
        <f>+I2745*$L$6</f>
        <v>#N/A</v>
      </c>
      <c r="K2745" s="1085"/>
      <c r="L2745" s="1085"/>
      <c r="M2745" s="1085"/>
      <c r="N2745" s="1085"/>
      <c r="O2745" s="1085"/>
    </row>
    <row r="2746" spans="1:15" ht="15" customHeight="1">
      <c r="A2746" s="1056" t="s">
        <v>2666</v>
      </c>
      <c r="B2746" s="1057" t="s">
        <v>2667</v>
      </c>
      <c r="C2746" s="1058" t="e">
        <f>VLOOKUP(B2741,'LƯƠNG KT'!$D$15:$R$94,19,0)</f>
        <v>#N/A</v>
      </c>
      <c r="D2746" s="1059" t="e">
        <f>+C2746*$L$8</f>
        <v>#N/A</v>
      </c>
      <c r="E2746" s="1061"/>
      <c r="F2746" s="1061"/>
      <c r="G2746" s="1056" t="s">
        <v>2666</v>
      </c>
      <c r="H2746" s="1057" t="s">
        <v>2667</v>
      </c>
      <c r="I2746" s="1058" t="e">
        <f>VLOOKUP(H2741,'LƯƠNG KT'!$D$15:$R$94,19,0)</f>
        <v>#N/A</v>
      </c>
      <c r="J2746" s="1059" t="e">
        <f>+I2746*$L$8</f>
        <v>#N/A</v>
      </c>
      <c r="K2746" s="1085"/>
      <c r="L2746" s="1085"/>
      <c r="M2746" s="1085"/>
      <c r="N2746" s="1085"/>
      <c r="O2746" s="1085"/>
    </row>
    <row r="2747" spans="1:15" ht="15" customHeight="1">
      <c r="A2747" s="1056" t="s">
        <v>2668</v>
      </c>
      <c r="B2747" s="1062" t="s">
        <v>2669</v>
      </c>
      <c r="C2747" s="1058" t="e">
        <f>VLOOKUP(B2741,'LƯƠNG KT'!$D$15:$R$94,20,0)</f>
        <v>#N/A</v>
      </c>
      <c r="D2747" s="1059" t="e">
        <f>+C2747*$L$9</f>
        <v>#N/A</v>
      </c>
      <c r="E2747" s="1061"/>
      <c r="F2747" s="1061"/>
      <c r="G2747" s="1056" t="s">
        <v>2668</v>
      </c>
      <c r="H2747" s="1062" t="s">
        <v>2669</v>
      </c>
      <c r="I2747" s="1058" t="e">
        <f>VLOOKUP(H2741,'LƯƠNG KT'!$D$15:$R$94,20,0)</f>
        <v>#N/A</v>
      </c>
      <c r="J2747" s="1059" t="e">
        <f>+I2747*$L$9</f>
        <v>#N/A</v>
      </c>
      <c r="K2747" s="1085"/>
      <c r="L2747" s="1085"/>
      <c r="M2747" s="1085"/>
      <c r="N2747" s="1085"/>
      <c r="O2747" s="1085"/>
    </row>
    <row r="2748" spans="1:15" ht="15" customHeight="1">
      <c r="A2748" s="1056" t="s">
        <v>2671</v>
      </c>
      <c r="B2748" s="1057" t="s">
        <v>2672</v>
      </c>
      <c r="C2748" s="1058" t="e">
        <f>VLOOKUP(B2741,'LƯƠNG KT'!$D$15:$R$94,17,0)</f>
        <v>#N/A</v>
      </c>
      <c r="D2748" s="1059" t="e">
        <f>+C2748*$L$10</f>
        <v>#N/A</v>
      </c>
      <c r="E2748" s="1061"/>
      <c r="F2748" s="1061"/>
      <c r="G2748" s="1056" t="s">
        <v>2671</v>
      </c>
      <c r="H2748" s="1057" t="s">
        <v>2672</v>
      </c>
      <c r="I2748" s="1058" t="e">
        <f>VLOOKUP(H2741,'LƯƠNG KT'!$D$15:$R$94,17,0)</f>
        <v>#N/A</v>
      </c>
      <c r="J2748" s="1059" t="e">
        <f>+I2748*$L$10</f>
        <v>#N/A</v>
      </c>
      <c r="K2748" s="1085"/>
      <c r="L2748" s="1085"/>
      <c r="M2748" s="1085"/>
      <c r="N2748" s="1085"/>
      <c r="O2748" s="1085"/>
    </row>
    <row r="2749" spans="1:15" ht="15" customHeight="1">
      <c r="A2749" s="1056" t="s">
        <v>374</v>
      </c>
      <c r="B2749" s="1057" t="s">
        <v>2674</v>
      </c>
      <c r="C2749" s="1058" t="e">
        <f>VLOOKUP(B2741,'LƯƠNG KT'!$D$15:$R$94,12,0)</f>
        <v>#N/A</v>
      </c>
      <c r="D2749" s="1059" t="e">
        <f>VLOOKUP(B2741,'LƯƠNG KT'!$D$15:$R$94,14,0)</f>
        <v>#N/A</v>
      </c>
      <c r="E2749" s="1063"/>
      <c r="F2749" s="1061"/>
      <c r="G2749" s="1056" t="s">
        <v>374</v>
      </c>
      <c r="H2749" s="1057" t="s">
        <v>2674</v>
      </c>
      <c r="I2749" s="1058" t="e">
        <f>VLOOKUP(H2741,'LƯƠNG KT'!$D$15:$R$94,12,0)</f>
        <v>#N/A</v>
      </c>
      <c r="J2749" s="1059" t="e">
        <f>VLOOKUP(H2741,'LƯƠNG KT'!$D$15:$R$94,14,0)</f>
        <v>#N/A</v>
      </c>
      <c r="K2749" s="1085"/>
      <c r="L2749" s="1085"/>
      <c r="M2749" s="1085"/>
      <c r="N2749" s="1085"/>
      <c r="O2749" s="1085"/>
    </row>
    <row r="2750" spans="1:15" ht="15" customHeight="1">
      <c r="A2750" s="1056" t="s">
        <v>2675</v>
      </c>
      <c r="B2750" s="1057" t="s">
        <v>2676</v>
      </c>
      <c r="D2750" s="1064" t="e">
        <f>VLOOKUP(B2741,'LƯƠNG KT'!$D$15:$R$94,13,0)</f>
        <v>#N/A</v>
      </c>
      <c r="E2750" s="1065"/>
      <c r="F2750" s="1065"/>
      <c r="G2750" s="1056" t="s">
        <v>2675</v>
      </c>
      <c r="H2750" s="1057" t="s">
        <v>2676</v>
      </c>
      <c r="J2750" s="1064" t="e">
        <f>VLOOKUP(H2741,'LƯƠNG KT'!$D$15:$R$94,13,0)</f>
        <v>#N/A</v>
      </c>
    </row>
    <row r="2751" spans="1:15" ht="15" customHeight="1">
      <c r="A2751" s="1066"/>
      <c r="B2751" s="869"/>
      <c r="C2751" s="1058"/>
      <c r="D2751" s="1059"/>
      <c r="E2751" s="1063"/>
      <c r="F2751" s="1065"/>
      <c r="G2751" s="1066"/>
      <c r="H2751" s="869"/>
      <c r="I2751" s="1058"/>
      <c r="J2751" s="1059"/>
    </row>
    <row r="2752" spans="1:15" ht="15" customHeight="1">
      <c r="A2752" s="1052"/>
      <c r="B2752" s="869"/>
      <c r="C2752" s="1058"/>
      <c r="D2752" s="1059"/>
      <c r="E2752" s="1067"/>
      <c r="F2752" s="1051"/>
      <c r="G2752" s="1052"/>
      <c r="H2752" s="869"/>
      <c r="I2752" s="1058"/>
      <c r="J2752" s="1059"/>
    </row>
    <row r="2753" spans="1:15" ht="15" customHeight="1">
      <c r="A2753" s="1068" t="s">
        <v>383</v>
      </c>
      <c r="B2753" s="1069" t="s">
        <v>384</v>
      </c>
      <c r="C2753" s="1070"/>
      <c r="D2753" s="1071" t="e">
        <f>SUM(D2742:D2749)-D2752</f>
        <v>#N/A</v>
      </c>
      <c r="E2753" s="1072"/>
      <c r="F2753" s="1073"/>
      <c r="G2753" s="1068" t="s">
        <v>383</v>
      </c>
      <c r="H2753" s="1069" t="s">
        <v>384</v>
      </c>
      <c r="I2753" s="1070"/>
      <c r="J2753" s="1071" t="e">
        <f>SUM(J2742:J2749)-J2752</f>
        <v>#N/A</v>
      </c>
    </row>
    <row r="2754" spans="1:15" ht="18.75" customHeight="1">
      <c r="A2754" s="1074"/>
      <c r="B2754" s="1075"/>
      <c r="C2754" s="1076"/>
      <c r="D2754" s="1077"/>
      <c r="E2754" s="1077"/>
      <c r="F2754" s="1078"/>
      <c r="G2754" s="1074"/>
      <c r="H2754" s="1075"/>
      <c r="I2754" s="1076"/>
      <c r="J2754" s="1077"/>
    </row>
    <row r="2755" spans="1:15" ht="18.75" customHeight="1">
      <c r="A2755" s="1075"/>
      <c r="B2755" s="1075"/>
      <c r="C2755" s="1079"/>
      <c r="D2755" s="1080"/>
      <c r="E2755" s="1075"/>
      <c r="F2755" s="1081"/>
      <c r="G2755" s="1075"/>
      <c r="H2755" s="1075"/>
      <c r="I2755" s="1079"/>
      <c r="J2755" s="1080"/>
    </row>
    <row r="2756" spans="1:15" ht="15" customHeight="1">
      <c r="A2756" s="2242" t="str">
        <f>$K$2</f>
        <v>THÁNG 04/2025</v>
      </c>
      <c r="B2756" s="2242"/>
      <c r="C2756" s="2242"/>
      <c r="D2756" s="2242"/>
      <c r="E2756" s="1050"/>
      <c r="F2756" s="1051"/>
      <c r="G2756" s="2242" t="str">
        <f>$K$2</f>
        <v>THÁNG 04/2025</v>
      </c>
      <c r="H2756" s="2242"/>
      <c r="I2756" s="2242"/>
      <c r="J2756" s="2242"/>
      <c r="K2756" s="624"/>
    </row>
    <row r="2757" spans="1:15" ht="15" customHeight="1">
      <c r="A2757" s="1052" t="s">
        <v>356</v>
      </c>
      <c r="B2757" s="1053" t="s">
        <v>218</v>
      </c>
      <c r="C2757" s="869"/>
      <c r="D2757" s="1049"/>
      <c r="E2757" s="1054"/>
      <c r="F2757" s="1055"/>
      <c r="G2757" s="1052" t="s">
        <v>356</v>
      </c>
      <c r="H2757" s="1053" t="s">
        <v>219</v>
      </c>
      <c r="I2757" s="869"/>
      <c r="J2757" s="1049"/>
      <c r="L2757" s="1088"/>
      <c r="M2757" s="1088"/>
      <c r="N2757" s="1088"/>
      <c r="O2757" s="1088"/>
    </row>
    <row r="2758" spans="1:15" ht="15" customHeight="1">
      <c r="A2758" s="1056" t="s">
        <v>359</v>
      </c>
      <c r="B2758" s="1057" t="s">
        <v>2662</v>
      </c>
      <c r="C2758" s="1058" t="e">
        <f>VLOOKUP(B2757,'LƯƠNG KT'!$D$15:$R$94,4,0)</f>
        <v>#N/A</v>
      </c>
      <c r="D2758" s="1059" t="e">
        <f>+C2758*25000</f>
        <v>#N/A</v>
      </c>
      <c r="E2758" s="1060"/>
      <c r="F2758" s="1060"/>
      <c r="G2758" s="1056" t="s">
        <v>359</v>
      </c>
      <c r="H2758" s="1057" t="s">
        <v>2662</v>
      </c>
      <c r="I2758" s="1058" t="e">
        <f>VLOOKUP(H2757,'LƯƠNG KT'!$D$15:$R$94,4,0)</f>
        <v>#N/A</v>
      </c>
      <c r="J2758" s="1059" t="e">
        <f>+I2758*25000</f>
        <v>#N/A</v>
      </c>
      <c r="K2758" s="1085"/>
      <c r="L2758" s="1085"/>
      <c r="M2758" s="1085"/>
      <c r="N2758" s="1085"/>
      <c r="O2758" s="1085"/>
    </row>
    <row r="2759" spans="1:15" ht="15" customHeight="1">
      <c r="A2759" s="1056" t="s">
        <v>361</v>
      </c>
      <c r="B2759" s="1057" t="s">
        <v>2663</v>
      </c>
      <c r="C2759" s="1058" t="e">
        <f>VLOOKUP(B2757,'LƯƠNG KT'!$D$15:$R$94,15,0)</f>
        <v>#N/A</v>
      </c>
      <c r="D2759" s="1059" t="e">
        <f>C2759*$L$4</f>
        <v>#N/A</v>
      </c>
      <c r="E2759" s="1061"/>
      <c r="F2759" s="1061"/>
      <c r="G2759" s="1056" t="s">
        <v>361</v>
      </c>
      <c r="H2759" s="1057" t="s">
        <v>2663</v>
      </c>
      <c r="I2759" s="1058" t="e">
        <f>VLOOKUP(H2757,'LƯƠNG KT'!$D$15:$R$94,15,0)</f>
        <v>#N/A</v>
      </c>
      <c r="J2759" s="1059" t="e">
        <f>I2759*$L$4</f>
        <v>#N/A</v>
      </c>
      <c r="K2759" s="1085"/>
      <c r="L2759" s="1085"/>
      <c r="M2759" s="1085"/>
      <c r="N2759" s="1085"/>
      <c r="O2759" s="1085"/>
    </row>
    <row r="2760" spans="1:15" ht="15" customHeight="1">
      <c r="A2760" s="1056" t="s">
        <v>364</v>
      </c>
      <c r="B2760" s="1057" t="s">
        <v>2664</v>
      </c>
      <c r="C2760" s="1058" t="e">
        <f>VLOOKUP(B2757,'LƯƠNG KT'!$D$15:$R$94,16,0)</f>
        <v>#N/A</v>
      </c>
      <c r="D2760" s="1059" t="e">
        <f>C2760*$L$5</f>
        <v>#N/A</v>
      </c>
      <c r="E2760" s="1061"/>
      <c r="F2760" s="1061"/>
      <c r="G2760" s="1056" t="s">
        <v>364</v>
      </c>
      <c r="H2760" s="1057" t="s">
        <v>2664</v>
      </c>
      <c r="I2760" s="1058" t="e">
        <f>VLOOKUP(H2757,'LƯƠNG KT'!$D$15:$R$94,16,0)</f>
        <v>#N/A</v>
      </c>
      <c r="J2760" s="1059" t="e">
        <f>I2760*$L$5</f>
        <v>#N/A</v>
      </c>
      <c r="K2760" s="1085"/>
      <c r="L2760" s="1085"/>
      <c r="M2760" s="1085"/>
      <c r="N2760" s="1085"/>
      <c r="O2760" s="1085"/>
    </row>
    <row r="2761" spans="1:15" ht="15" customHeight="1">
      <c r="A2761" s="1056" t="s">
        <v>370</v>
      </c>
      <c r="B2761" s="1057" t="s">
        <v>2665</v>
      </c>
      <c r="C2761" s="1058" t="e">
        <f>VLOOKUP(B2757,'LƯƠNG KT'!$D$15:$R$94,24,0)</f>
        <v>#N/A</v>
      </c>
      <c r="D2761" s="1059" t="e">
        <f>+C2761*$L$6</f>
        <v>#N/A</v>
      </c>
      <c r="E2761" s="1061"/>
      <c r="F2761" s="1061"/>
      <c r="G2761" s="1056" t="s">
        <v>370</v>
      </c>
      <c r="H2761" s="1057" t="s">
        <v>2665</v>
      </c>
      <c r="I2761" s="1058" t="e">
        <f>VLOOKUP(H2757,'LƯƠNG KT'!$D$15:$R$94,24,0)</f>
        <v>#N/A</v>
      </c>
      <c r="J2761" s="1059" t="e">
        <f>+I2761*$L$6</f>
        <v>#N/A</v>
      </c>
      <c r="K2761" s="1085"/>
      <c r="L2761" s="1085"/>
      <c r="M2761" s="1085"/>
      <c r="N2761" s="1085"/>
      <c r="O2761" s="1085"/>
    </row>
    <row r="2762" spans="1:15" ht="15" customHeight="1">
      <c r="A2762" s="1056" t="s">
        <v>2666</v>
      </c>
      <c r="B2762" s="1057" t="s">
        <v>2667</v>
      </c>
      <c r="C2762" s="1058" t="e">
        <f>VLOOKUP(B2757,'LƯƠNG KT'!$D$15:$R$94,19,0)</f>
        <v>#N/A</v>
      </c>
      <c r="D2762" s="1059" t="e">
        <f>+C2762*$L$8</f>
        <v>#N/A</v>
      </c>
      <c r="E2762" s="1061"/>
      <c r="F2762" s="1061"/>
      <c r="G2762" s="1056" t="s">
        <v>2666</v>
      </c>
      <c r="H2762" s="1057" t="s">
        <v>2667</v>
      </c>
      <c r="I2762" s="1058" t="e">
        <f>VLOOKUP(H2757,'LƯƠNG KT'!$D$15:$R$94,19,0)</f>
        <v>#N/A</v>
      </c>
      <c r="J2762" s="1059" t="e">
        <f>+I2762*$L$8</f>
        <v>#N/A</v>
      </c>
      <c r="K2762" s="1085"/>
      <c r="L2762" s="1085"/>
      <c r="M2762" s="1085"/>
      <c r="N2762" s="1085"/>
      <c r="O2762" s="1085"/>
    </row>
    <row r="2763" spans="1:15" ht="15" customHeight="1">
      <c r="A2763" s="1056" t="s">
        <v>2668</v>
      </c>
      <c r="B2763" s="1062" t="s">
        <v>2669</v>
      </c>
      <c r="C2763" s="1058" t="e">
        <f>VLOOKUP(B2757,'LƯƠNG KT'!$D$15:$R$94,20,0)</f>
        <v>#N/A</v>
      </c>
      <c r="D2763" s="1059" t="e">
        <f>+C2763*$L$9</f>
        <v>#N/A</v>
      </c>
      <c r="E2763" s="1061"/>
      <c r="F2763" s="1061"/>
      <c r="G2763" s="1056" t="s">
        <v>2668</v>
      </c>
      <c r="H2763" s="1062" t="s">
        <v>2669</v>
      </c>
      <c r="I2763" s="1058" t="e">
        <f>VLOOKUP(H2757,'LƯƠNG KT'!$D$15:$R$94,20,0)</f>
        <v>#N/A</v>
      </c>
      <c r="J2763" s="1059" t="e">
        <f>+I2763*$L$9</f>
        <v>#N/A</v>
      </c>
      <c r="K2763" s="1085"/>
      <c r="L2763" s="1085"/>
      <c r="M2763" s="1085"/>
      <c r="N2763" s="1085"/>
      <c r="O2763" s="1085"/>
    </row>
    <row r="2764" spans="1:15" ht="15" customHeight="1">
      <c r="A2764" s="1056" t="s">
        <v>2671</v>
      </c>
      <c r="B2764" s="1057" t="s">
        <v>2672</v>
      </c>
      <c r="C2764" s="1058" t="e">
        <f>VLOOKUP(B2757,'LƯƠNG KT'!$D$15:$R$94,17,0)</f>
        <v>#N/A</v>
      </c>
      <c r="D2764" s="1059" t="e">
        <f>+C2764*$L$10</f>
        <v>#N/A</v>
      </c>
      <c r="E2764" s="1061"/>
      <c r="F2764" s="1061"/>
      <c r="G2764" s="1056" t="s">
        <v>2671</v>
      </c>
      <c r="H2764" s="1057" t="s">
        <v>2672</v>
      </c>
      <c r="I2764" s="1058" t="e">
        <f>VLOOKUP(H2757,'LƯƠNG KT'!$D$15:$R$94,17,0)</f>
        <v>#N/A</v>
      </c>
      <c r="J2764" s="1059" t="e">
        <f>+I2764*$L$10</f>
        <v>#N/A</v>
      </c>
      <c r="K2764" s="1085"/>
      <c r="L2764" s="1085"/>
      <c r="M2764" s="1085"/>
      <c r="N2764" s="1085"/>
      <c r="O2764" s="1085"/>
    </row>
    <row r="2765" spans="1:15" ht="15" customHeight="1">
      <c r="A2765" s="1056" t="s">
        <v>374</v>
      </c>
      <c r="B2765" s="1057" t="s">
        <v>2674</v>
      </c>
      <c r="C2765" s="1058" t="e">
        <f>VLOOKUP(B2757,'LƯƠNG KT'!$D$15:$R$94,12,0)</f>
        <v>#N/A</v>
      </c>
      <c r="D2765" s="1059" t="e">
        <f>VLOOKUP(B2757,'LƯƠNG KT'!$D$15:$R$94,14,0)</f>
        <v>#N/A</v>
      </c>
      <c r="E2765" s="1063"/>
      <c r="F2765" s="1061"/>
      <c r="G2765" s="1056" t="s">
        <v>374</v>
      </c>
      <c r="H2765" s="1057" t="s">
        <v>2674</v>
      </c>
      <c r="I2765" s="1058" t="e">
        <f>VLOOKUP(H2757,'LƯƠNG KT'!$D$15:$R$94,12,0)</f>
        <v>#N/A</v>
      </c>
      <c r="J2765" s="1059" t="e">
        <f>VLOOKUP(H2757,'LƯƠNG KT'!$D$15:$R$94,14,0)</f>
        <v>#N/A</v>
      </c>
      <c r="K2765" s="1085"/>
      <c r="L2765" s="1085"/>
      <c r="M2765" s="1085"/>
      <c r="N2765" s="1085"/>
      <c r="O2765" s="1085"/>
    </row>
    <row r="2766" spans="1:15" ht="15" customHeight="1">
      <c r="A2766" s="1056" t="s">
        <v>2675</v>
      </c>
      <c r="B2766" s="1057" t="s">
        <v>2676</v>
      </c>
      <c r="D2766" s="1064" t="e">
        <f>VLOOKUP(B2757,'LƯƠNG KT'!$D$15:$R$94,13,0)</f>
        <v>#N/A</v>
      </c>
      <c r="E2766" s="1065"/>
      <c r="F2766" s="1065"/>
      <c r="G2766" s="1056" t="s">
        <v>2675</v>
      </c>
      <c r="H2766" s="1057" t="s">
        <v>2676</v>
      </c>
      <c r="J2766" s="1064" t="e">
        <f>VLOOKUP(H2757,'LƯƠNG KT'!$D$15:$R$94,13,0)</f>
        <v>#N/A</v>
      </c>
    </row>
    <row r="2767" spans="1:15" ht="15" customHeight="1">
      <c r="A2767" s="1066"/>
      <c r="B2767" s="869"/>
      <c r="C2767" s="1058"/>
      <c r="D2767" s="1059"/>
      <c r="E2767" s="1063"/>
      <c r="F2767" s="1065"/>
      <c r="G2767" s="1066"/>
      <c r="H2767" s="869"/>
      <c r="I2767" s="1058"/>
      <c r="J2767" s="1059"/>
    </row>
    <row r="2768" spans="1:15" ht="15" customHeight="1">
      <c r="A2768" s="1052"/>
      <c r="B2768" s="869"/>
      <c r="C2768" s="1058"/>
      <c r="D2768" s="1059"/>
      <c r="E2768" s="1067"/>
      <c r="F2768" s="1051"/>
      <c r="G2768" s="1052"/>
      <c r="H2768" s="869"/>
      <c r="I2768" s="1058"/>
      <c r="J2768" s="1059"/>
    </row>
    <row r="2769" spans="1:15" ht="15" customHeight="1">
      <c r="A2769" s="1068" t="s">
        <v>383</v>
      </c>
      <c r="B2769" s="1069" t="s">
        <v>384</v>
      </c>
      <c r="C2769" s="1070"/>
      <c r="D2769" s="1071" t="e">
        <f>SUM(D2758:D2765)-D2768</f>
        <v>#N/A</v>
      </c>
      <c r="E2769" s="1072"/>
      <c r="F2769" s="1073"/>
      <c r="G2769" s="1068" t="s">
        <v>383</v>
      </c>
      <c r="H2769" s="1069" t="s">
        <v>384</v>
      </c>
      <c r="I2769" s="1070"/>
      <c r="J2769" s="1071" t="e">
        <f>SUM(J2758:J2765)-J2768</f>
        <v>#N/A</v>
      </c>
    </row>
    <row r="2770" spans="1:15" ht="18.75" customHeight="1">
      <c r="A2770" s="1074"/>
      <c r="B2770" s="1075"/>
      <c r="C2770" s="1076"/>
      <c r="D2770" s="1077"/>
      <c r="E2770" s="1077"/>
      <c r="F2770" s="1078"/>
      <c r="G2770" s="1074"/>
      <c r="H2770" s="1075"/>
      <c r="I2770" s="1076"/>
      <c r="J2770" s="1077"/>
    </row>
    <row r="2771" spans="1:15" ht="136.5" customHeight="1">
      <c r="A2771" s="1075"/>
      <c r="B2771" s="1075"/>
      <c r="C2771" s="1079"/>
      <c r="D2771" s="1080"/>
      <c r="E2771" s="1075"/>
      <c r="F2771" s="1081"/>
      <c r="G2771" s="1075"/>
      <c r="H2771" s="1075"/>
      <c r="I2771" s="1079"/>
      <c r="J2771" s="1080"/>
    </row>
    <row r="2772" spans="1:15" ht="15" customHeight="1">
      <c r="A2772" s="2242" t="str">
        <f>$K$2</f>
        <v>THÁNG 04/2025</v>
      </c>
      <c r="B2772" s="2242"/>
      <c r="C2772" s="2242"/>
      <c r="D2772" s="2242"/>
      <c r="E2772" s="1050"/>
      <c r="F2772" s="1051"/>
      <c r="G2772" s="2242" t="str">
        <f>$K$2</f>
        <v>THÁNG 04/2025</v>
      </c>
      <c r="H2772" s="2242"/>
      <c r="I2772" s="2242"/>
      <c r="J2772" s="2242"/>
      <c r="K2772" s="624"/>
    </row>
    <row r="2773" spans="1:15" ht="15" customHeight="1">
      <c r="A2773" s="1052" t="s">
        <v>356</v>
      </c>
      <c r="B2773" s="1053" t="s">
        <v>220</v>
      </c>
      <c r="C2773" s="869"/>
      <c r="D2773" s="1049"/>
      <c r="E2773" s="1054"/>
      <c r="F2773" s="1055"/>
      <c r="G2773" s="1052" t="s">
        <v>356</v>
      </c>
      <c r="H2773" s="1053" t="s">
        <v>221</v>
      </c>
      <c r="I2773" s="869"/>
      <c r="J2773" s="1049"/>
      <c r="L2773" s="1088"/>
      <c r="M2773" s="1088"/>
      <c r="N2773" s="1088"/>
      <c r="O2773" s="1088"/>
    </row>
    <row r="2774" spans="1:15" ht="15" customHeight="1">
      <c r="A2774" s="1056" t="s">
        <v>359</v>
      </c>
      <c r="B2774" s="1057" t="s">
        <v>2662</v>
      </c>
      <c r="C2774" s="1058" t="e">
        <f>VLOOKUP(B2773,'LƯƠNG KT'!$D$15:$R$94,4,0)</f>
        <v>#N/A</v>
      </c>
      <c r="D2774" s="1059" t="e">
        <f>+C2774*25000</f>
        <v>#N/A</v>
      </c>
      <c r="E2774" s="1060"/>
      <c r="F2774" s="1060"/>
      <c r="G2774" s="1056" t="s">
        <v>359</v>
      </c>
      <c r="H2774" s="1057" t="s">
        <v>2662</v>
      </c>
      <c r="I2774" s="1058" t="e">
        <f>VLOOKUP(H2773,'LƯƠNG KT'!$D$15:$R$94,4,0)</f>
        <v>#N/A</v>
      </c>
      <c r="J2774" s="1059" t="e">
        <f>+I2774*25000</f>
        <v>#N/A</v>
      </c>
      <c r="K2774" s="1085"/>
      <c r="L2774" s="1085"/>
      <c r="M2774" s="1085"/>
      <c r="N2774" s="1085"/>
      <c r="O2774" s="1085"/>
    </row>
    <row r="2775" spans="1:15" ht="15" customHeight="1">
      <c r="A2775" s="1056" t="s">
        <v>361</v>
      </c>
      <c r="B2775" s="1057" t="s">
        <v>2663</v>
      </c>
      <c r="C2775" s="1058" t="e">
        <f>VLOOKUP(B2773,'LƯƠNG KT'!$D$15:$R$94,15,0)</f>
        <v>#N/A</v>
      </c>
      <c r="D2775" s="1059" t="e">
        <f>C2775*$L$4</f>
        <v>#N/A</v>
      </c>
      <c r="E2775" s="1061"/>
      <c r="F2775" s="1061"/>
      <c r="G2775" s="1056" t="s">
        <v>361</v>
      </c>
      <c r="H2775" s="1057" t="s">
        <v>2663</v>
      </c>
      <c r="I2775" s="1058" t="e">
        <f>VLOOKUP(H2773,'LƯƠNG KT'!$D$15:$R$94,15,0)</f>
        <v>#N/A</v>
      </c>
      <c r="J2775" s="1059" t="e">
        <f>I2775*$L$4</f>
        <v>#N/A</v>
      </c>
      <c r="K2775" s="1085"/>
      <c r="L2775" s="1085"/>
      <c r="M2775" s="1085"/>
      <c r="N2775" s="1085"/>
      <c r="O2775" s="1085"/>
    </row>
    <row r="2776" spans="1:15" ht="15" customHeight="1">
      <c r="A2776" s="1056" t="s">
        <v>364</v>
      </c>
      <c r="B2776" s="1057" t="s">
        <v>2664</v>
      </c>
      <c r="C2776" s="1058" t="e">
        <f>VLOOKUP(B2773,'LƯƠNG KT'!$D$15:$R$94,16,0)</f>
        <v>#N/A</v>
      </c>
      <c r="D2776" s="1059" t="e">
        <f>C2776*$L$5</f>
        <v>#N/A</v>
      </c>
      <c r="E2776" s="1061"/>
      <c r="F2776" s="1061"/>
      <c r="G2776" s="1056" t="s">
        <v>364</v>
      </c>
      <c r="H2776" s="1057" t="s">
        <v>2664</v>
      </c>
      <c r="I2776" s="1058" t="e">
        <f>VLOOKUP(H2773,'LƯƠNG KT'!$D$15:$R$94,16,0)</f>
        <v>#N/A</v>
      </c>
      <c r="J2776" s="1059" t="e">
        <f>I2776*$L$5</f>
        <v>#N/A</v>
      </c>
      <c r="K2776" s="1085"/>
      <c r="L2776" s="1085"/>
      <c r="M2776" s="1085"/>
      <c r="N2776" s="1085"/>
      <c r="O2776" s="1085"/>
    </row>
    <row r="2777" spans="1:15" ht="15" customHeight="1">
      <c r="A2777" s="1056" t="s">
        <v>370</v>
      </c>
      <c r="B2777" s="1057" t="s">
        <v>2665</v>
      </c>
      <c r="C2777" s="1058" t="e">
        <f>VLOOKUP(B2773,'LƯƠNG KT'!$D$15:$R$94,24,0)</f>
        <v>#N/A</v>
      </c>
      <c r="D2777" s="1059" t="e">
        <f>+C2777*$L$6</f>
        <v>#N/A</v>
      </c>
      <c r="E2777" s="1061"/>
      <c r="F2777" s="1061"/>
      <c r="G2777" s="1056" t="s">
        <v>370</v>
      </c>
      <c r="H2777" s="1057" t="s">
        <v>2665</v>
      </c>
      <c r="I2777" s="1058" t="e">
        <f>VLOOKUP(H2773,'LƯƠNG KT'!$D$15:$R$94,24,0)</f>
        <v>#N/A</v>
      </c>
      <c r="J2777" s="1059" t="e">
        <f>+I2777*$L$6</f>
        <v>#N/A</v>
      </c>
      <c r="K2777" s="1085"/>
      <c r="L2777" s="1085"/>
      <c r="M2777" s="1085"/>
      <c r="N2777" s="1085"/>
      <c r="O2777" s="1085"/>
    </row>
    <row r="2778" spans="1:15" ht="15" customHeight="1">
      <c r="A2778" s="1056" t="s">
        <v>2666</v>
      </c>
      <c r="B2778" s="1057" t="s">
        <v>2667</v>
      </c>
      <c r="C2778" s="1058" t="e">
        <f>VLOOKUP(B2773,'LƯƠNG KT'!$D$15:$R$94,19,0)</f>
        <v>#N/A</v>
      </c>
      <c r="D2778" s="1059" t="e">
        <f>+C2778*$L$8</f>
        <v>#N/A</v>
      </c>
      <c r="E2778" s="1061"/>
      <c r="F2778" s="1061"/>
      <c r="G2778" s="1056" t="s">
        <v>2666</v>
      </c>
      <c r="H2778" s="1057" t="s">
        <v>2667</v>
      </c>
      <c r="I2778" s="1058" t="e">
        <f>VLOOKUP(H2773,'LƯƠNG KT'!$D$15:$R$94,19,0)</f>
        <v>#N/A</v>
      </c>
      <c r="J2778" s="1059" t="e">
        <f>+I2778*$L$8</f>
        <v>#N/A</v>
      </c>
      <c r="K2778" s="1085"/>
      <c r="L2778" s="1085"/>
      <c r="M2778" s="1085"/>
      <c r="N2778" s="1085"/>
      <c r="O2778" s="1085"/>
    </row>
    <row r="2779" spans="1:15" ht="15" customHeight="1">
      <c r="A2779" s="1056" t="s">
        <v>2668</v>
      </c>
      <c r="B2779" s="1062" t="s">
        <v>2669</v>
      </c>
      <c r="C2779" s="1058" t="e">
        <f>VLOOKUP(B2773,'LƯƠNG KT'!$D$15:$R$94,20,0)</f>
        <v>#N/A</v>
      </c>
      <c r="D2779" s="1059" t="e">
        <f>+C2779*$L$9</f>
        <v>#N/A</v>
      </c>
      <c r="E2779" s="1061"/>
      <c r="F2779" s="1061"/>
      <c r="G2779" s="1056" t="s">
        <v>2668</v>
      </c>
      <c r="H2779" s="1062" t="s">
        <v>2669</v>
      </c>
      <c r="I2779" s="1058" t="e">
        <f>VLOOKUP(H2773,'LƯƠNG KT'!$D$15:$R$94,20,0)</f>
        <v>#N/A</v>
      </c>
      <c r="J2779" s="1059" t="e">
        <f>+I2779*$L$9</f>
        <v>#N/A</v>
      </c>
      <c r="K2779" s="1085"/>
      <c r="L2779" s="1085"/>
      <c r="M2779" s="1085"/>
      <c r="N2779" s="1085"/>
      <c r="O2779" s="1085"/>
    </row>
    <row r="2780" spans="1:15" ht="15" customHeight="1">
      <c r="A2780" s="1056" t="s">
        <v>2671</v>
      </c>
      <c r="B2780" s="1057" t="s">
        <v>2672</v>
      </c>
      <c r="C2780" s="1058" t="e">
        <f>VLOOKUP(B2773,'LƯƠNG KT'!$D$15:$R$94,17,0)</f>
        <v>#N/A</v>
      </c>
      <c r="D2780" s="1059" t="e">
        <f>+C2780*$L$10</f>
        <v>#N/A</v>
      </c>
      <c r="E2780" s="1061"/>
      <c r="F2780" s="1061"/>
      <c r="G2780" s="1056" t="s">
        <v>2671</v>
      </c>
      <c r="H2780" s="1057" t="s">
        <v>2672</v>
      </c>
      <c r="I2780" s="1058" t="e">
        <f>VLOOKUP(H2773,'LƯƠNG KT'!$D$15:$R$94,17,0)</f>
        <v>#N/A</v>
      </c>
      <c r="J2780" s="1059" t="e">
        <f>+I2780*$L$10</f>
        <v>#N/A</v>
      </c>
      <c r="K2780" s="1085"/>
      <c r="L2780" s="1085"/>
      <c r="M2780" s="1085"/>
      <c r="N2780" s="1085"/>
      <c r="O2780" s="1085"/>
    </row>
    <row r="2781" spans="1:15" ht="15" customHeight="1">
      <c r="A2781" s="1056" t="s">
        <v>374</v>
      </c>
      <c r="B2781" s="1057" t="s">
        <v>2674</v>
      </c>
      <c r="C2781" s="1058" t="e">
        <f>VLOOKUP(B2773,'LƯƠNG KT'!$D$15:$R$94,12,0)</f>
        <v>#N/A</v>
      </c>
      <c r="D2781" s="1059" t="e">
        <f>VLOOKUP(B2773,'LƯƠNG KT'!$D$15:$R$94,14,0)</f>
        <v>#N/A</v>
      </c>
      <c r="E2781" s="1063"/>
      <c r="F2781" s="1061"/>
      <c r="G2781" s="1056" t="s">
        <v>374</v>
      </c>
      <c r="H2781" s="1057" t="s">
        <v>2674</v>
      </c>
      <c r="I2781" s="1058" t="e">
        <f>VLOOKUP(H2773,'LƯƠNG KT'!$D$15:$R$94,12,0)</f>
        <v>#N/A</v>
      </c>
      <c r="J2781" s="1059" t="e">
        <f>VLOOKUP(H2773,'LƯƠNG KT'!$D$15:$R$94,14,0)</f>
        <v>#N/A</v>
      </c>
      <c r="K2781" s="1085"/>
      <c r="L2781" s="1085"/>
      <c r="M2781" s="1085"/>
      <c r="N2781" s="1085"/>
      <c r="O2781" s="1085"/>
    </row>
    <row r="2782" spans="1:15" ht="15" customHeight="1">
      <c r="A2782" s="1056" t="s">
        <v>2675</v>
      </c>
      <c r="B2782" s="1057" t="s">
        <v>2676</v>
      </c>
      <c r="D2782" s="1064" t="e">
        <f>VLOOKUP(B2773,'LƯƠNG KT'!$D$15:$R$94,13,0)</f>
        <v>#N/A</v>
      </c>
      <c r="E2782" s="1065"/>
      <c r="F2782" s="1065"/>
      <c r="G2782" s="1056" t="s">
        <v>2675</v>
      </c>
      <c r="H2782" s="1057" t="s">
        <v>2676</v>
      </c>
      <c r="J2782" s="1064" t="e">
        <f>VLOOKUP(H2773,'LƯƠNG KT'!$D$15:$R$94,13,0)</f>
        <v>#N/A</v>
      </c>
    </row>
    <row r="2783" spans="1:15" ht="15" customHeight="1">
      <c r="A2783" s="1066"/>
      <c r="B2783" s="869"/>
      <c r="C2783" s="1058"/>
      <c r="D2783" s="1059"/>
      <c r="E2783" s="1063"/>
      <c r="F2783" s="1065"/>
      <c r="G2783" s="1066"/>
      <c r="H2783" s="869"/>
      <c r="I2783" s="1058"/>
      <c r="J2783" s="1059"/>
    </row>
    <row r="2784" spans="1:15" ht="15" customHeight="1">
      <c r="A2784" s="1052"/>
      <c r="B2784" s="869"/>
      <c r="C2784" s="1058"/>
      <c r="D2784" s="1059"/>
      <c r="E2784" s="1067"/>
      <c r="F2784" s="1051"/>
      <c r="G2784" s="1052"/>
      <c r="H2784" s="869"/>
      <c r="I2784" s="1058"/>
      <c r="J2784" s="1059"/>
    </row>
    <row r="2785" spans="1:15" ht="15" customHeight="1">
      <c r="A2785" s="1068" t="s">
        <v>383</v>
      </c>
      <c r="B2785" s="1069" t="s">
        <v>384</v>
      </c>
      <c r="C2785" s="1070"/>
      <c r="D2785" s="1071" t="e">
        <f>SUM(D2774:D2781)-D2784</f>
        <v>#N/A</v>
      </c>
      <c r="E2785" s="1072"/>
      <c r="F2785" s="1073"/>
      <c r="G2785" s="1068" t="s">
        <v>383</v>
      </c>
      <c r="H2785" s="1069" t="s">
        <v>384</v>
      </c>
      <c r="I2785" s="1070"/>
      <c r="J2785" s="1071" t="e">
        <f>SUM(J2774:J2781)-J2784</f>
        <v>#N/A</v>
      </c>
    </row>
    <row r="2786" spans="1:15" ht="15.75" customHeight="1">
      <c r="A2786" s="1074"/>
      <c r="B2786" s="1075"/>
      <c r="C2786" s="1076"/>
      <c r="D2786" s="1077"/>
      <c r="E2786" s="1077"/>
      <c r="F2786" s="1078"/>
      <c r="G2786" s="1074"/>
      <c r="H2786" s="1075"/>
      <c r="I2786" s="1076"/>
      <c r="J2786" s="1077"/>
    </row>
    <row r="2788" spans="1:15" ht="12" customHeight="1">
      <c r="A2788" s="2243"/>
      <c r="B2788" s="2243"/>
      <c r="C2788" s="2243"/>
      <c r="D2788" s="2243"/>
      <c r="E2788" s="2243"/>
      <c r="F2788" s="2243"/>
      <c r="G2788" s="2243"/>
      <c r="H2788" s="2243"/>
      <c r="I2788" s="2243"/>
      <c r="J2788" s="2243"/>
    </row>
    <row r="2789" spans="1:15" ht="15" customHeight="1">
      <c r="A2789" s="2242" t="str">
        <f>$K$2</f>
        <v>THÁNG 04/2025</v>
      </c>
      <c r="B2789" s="2242"/>
      <c r="C2789" s="2242"/>
      <c r="D2789" s="2242"/>
      <c r="E2789" s="1050"/>
      <c r="F2789" s="1051"/>
      <c r="G2789" s="2242" t="str">
        <f>$K$2</f>
        <v>THÁNG 04/2025</v>
      </c>
      <c r="H2789" s="2242"/>
      <c r="I2789" s="2242"/>
      <c r="J2789" s="2242"/>
      <c r="K2789" s="624"/>
    </row>
    <row r="2790" spans="1:15" ht="15" customHeight="1">
      <c r="A2790" s="1052" t="s">
        <v>356</v>
      </c>
      <c r="B2790" s="1053" t="s">
        <v>222</v>
      </c>
      <c r="C2790" s="869"/>
      <c r="D2790" s="1049"/>
      <c r="E2790" s="1054"/>
      <c r="F2790" s="1055"/>
      <c r="G2790" s="1052" t="s">
        <v>356</v>
      </c>
      <c r="H2790" s="1053" t="s">
        <v>223</v>
      </c>
      <c r="I2790" s="869"/>
      <c r="J2790" s="1049"/>
      <c r="L2790" s="1088"/>
      <c r="M2790" s="1088"/>
      <c r="N2790" s="1088"/>
      <c r="O2790" s="1088"/>
    </row>
    <row r="2791" spans="1:15" ht="15" customHeight="1">
      <c r="A2791" s="1056" t="s">
        <v>359</v>
      </c>
      <c r="B2791" s="1057" t="s">
        <v>2662</v>
      </c>
      <c r="C2791" s="1058" t="e">
        <f>VLOOKUP(B2790,'LƯƠNG KT'!$D$15:$R$94,4,0)</f>
        <v>#N/A</v>
      </c>
      <c r="D2791" s="1059" t="e">
        <f>+C2791*25000</f>
        <v>#N/A</v>
      </c>
      <c r="E2791" s="1060"/>
      <c r="F2791" s="1060"/>
      <c r="G2791" s="1056" t="s">
        <v>359</v>
      </c>
      <c r="H2791" s="1057" t="s">
        <v>2662</v>
      </c>
      <c r="I2791" s="1058" t="e">
        <f>VLOOKUP(H2790,'LƯƠNG KT'!$D$15:$R$94,4,0)</f>
        <v>#N/A</v>
      </c>
      <c r="J2791" s="1059" t="e">
        <f>+I2791*25000</f>
        <v>#N/A</v>
      </c>
      <c r="K2791" s="1084"/>
      <c r="L2791" s="1085"/>
      <c r="M2791" s="1085"/>
      <c r="N2791" s="1085"/>
      <c r="O2791" s="1085"/>
    </row>
    <row r="2792" spans="1:15" ht="15" customHeight="1">
      <c r="A2792" s="1056" t="s">
        <v>361</v>
      </c>
      <c r="B2792" s="1057" t="s">
        <v>2663</v>
      </c>
      <c r="C2792" s="1058" t="e">
        <f>VLOOKUP(B2790,'LƯƠNG KT'!$D$15:$R$94,15,0)</f>
        <v>#N/A</v>
      </c>
      <c r="D2792" s="1059" t="e">
        <f>C2792*$L$4</f>
        <v>#N/A</v>
      </c>
      <c r="E2792" s="1061"/>
      <c r="F2792" s="1061"/>
      <c r="G2792" s="1056" t="s">
        <v>361</v>
      </c>
      <c r="H2792" s="1057" t="s">
        <v>2663</v>
      </c>
      <c r="I2792" s="1058" t="e">
        <f>VLOOKUP(H2790,'LƯƠNG KT'!$D$15:$R$94,15,0)</f>
        <v>#N/A</v>
      </c>
      <c r="J2792" s="1059" t="e">
        <f>I2792*$L$4</f>
        <v>#N/A</v>
      </c>
      <c r="K2792" s="1084"/>
      <c r="L2792" s="1085"/>
      <c r="M2792" s="1085"/>
      <c r="N2792" s="1085"/>
      <c r="O2792" s="1085"/>
    </row>
    <row r="2793" spans="1:15" ht="15" customHeight="1">
      <c r="A2793" s="1056" t="s">
        <v>364</v>
      </c>
      <c r="B2793" s="1057" t="s">
        <v>2664</v>
      </c>
      <c r="C2793" s="1058" t="e">
        <f>VLOOKUP(B2790,'LƯƠNG KT'!$D$15:$R$94,16,0)</f>
        <v>#N/A</v>
      </c>
      <c r="D2793" s="1059" t="e">
        <f>C2793*$L$5</f>
        <v>#N/A</v>
      </c>
      <c r="E2793" s="1061"/>
      <c r="F2793" s="1061"/>
      <c r="G2793" s="1056" t="s">
        <v>364</v>
      </c>
      <c r="H2793" s="1057" t="s">
        <v>2664</v>
      </c>
      <c r="I2793" s="1058" t="e">
        <f>VLOOKUP(H2790,'LƯƠNG KT'!$D$15:$R$94,16,0)</f>
        <v>#N/A</v>
      </c>
      <c r="J2793" s="1059" t="e">
        <f>I2793*$L$5</f>
        <v>#N/A</v>
      </c>
      <c r="K2793" s="1084"/>
      <c r="L2793" s="1085"/>
      <c r="M2793" s="1085"/>
      <c r="N2793" s="1085"/>
      <c r="O2793" s="1085"/>
    </row>
    <row r="2794" spans="1:15" ht="15" customHeight="1">
      <c r="A2794" s="1056" t="s">
        <v>370</v>
      </c>
      <c r="B2794" s="1057" t="s">
        <v>2665</v>
      </c>
      <c r="C2794" s="1058" t="e">
        <f>VLOOKUP(B2790,'LƯƠNG KT'!$D$15:$R$94,24,0)</f>
        <v>#N/A</v>
      </c>
      <c r="D2794" s="1059" t="e">
        <f>+C2794*$L$6</f>
        <v>#N/A</v>
      </c>
      <c r="E2794" s="1061"/>
      <c r="F2794" s="1061"/>
      <c r="G2794" s="1056" t="s">
        <v>370</v>
      </c>
      <c r="H2794" s="1057" t="s">
        <v>2665</v>
      </c>
      <c r="I2794" s="1058" t="e">
        <f>VLOOKUP(H2790,'LƯƠNG KT'!$D$15:$R$94,24,0)</f>
        <v>#N/A</v>
      </c>
      <c r="J2794" s="1059" t="e">
        <f>+I2794*$L$6</f>
        <v>#N/A</v>
      </c>
      <c r="K2794" s="1085"/>
      <c r="L2794" s="1085"/>
      <c r="M2794" s="1085"/>
      <c r="N2794" s="1085"/>
      <c r="O2794" s="1085"/>
    </row>
    <row r="2795" spans="1:15" ht="15" customHeight="1">
      <c r="A2795" s="1056" t="s">
        <v>2666</v>
      </c>
      <c r="B2795" s="1057" t="s">
        <v>2667</v>
      </c>
      <c r="C2795" s="1058" t="e">
        <f>VLOOKUP(B2790,'LƯƠNG KT'!$D$15:$R$94,19,0)</f>
        <v>#N/A</v>
      </c>
      <c r="D2795" s="1059" t="e">
        <f>+C2795*$L$8</f>
        <v>#N/A</v>
      </c>
      <c r="E2795" s="1061"/>
      <c r="F2795" s="1061"/>
      <c r="G2795" s="1056" t="s">
        <v>2666</v>
      </c>
      <c r="H2795" s="1057" t="s">
        <v>2667</v>
      </c>
      <c r="I2795" s="1058" t="e">
        <f>VLOOKUP(H2790,'LƯƠNG KT'!$D$15:$R$94,19,0)</f>
        <v>#N/A</v>
      </c>
      <c r="J2795" s="1059" t="e">
        <f>+I2795*$L$8</f>
        <v>#N/A</v>
      </c>
      <c r="K2795" s="1085"/>
      <c r="L2795" s="1085"/>
      <c r="M2795" s="1085"/>
      <c r="N2795" s="1085"/>
      <c r="O2795" s="1085"/>
    </row>
    <row r="2796" spans="1:15" ht="15" customHeight="1">
      <c r="A2796" s="1056" t="s">
        <v>2668</v>
      </c>
      <c r="B2796" s="1062" t="s">
        <v>2669</v>
      </c>
      <c r="C2796" s="1058" t="e">
        <f>VLOOKUP(B2790,'LƯƠNG KT'!$D$15:$R$94,20,0)</f>
        <v>#N/A</v>
      </c>
      <c r="D2796" s="1059" t="e">
        <f>+C2796*$L$9</f>
        <v>#N/A</v>
      </c>
      <c r="E2796" s="1061"/>
      <c r="F2796" s="1061"/>
      <c r="G2796" s="1056" t="s">
        <v>2668</v>
      </c>
      <c r="H2796" s="1062" t="s">
        <v>2669</v>
      </c>
      <c r="I2796" s="1058" t="e">
        <f>VLOOKUP(H2790,'LƯƠNG KT'!$D$15:$R$94,20,0)</f>
        <v>#N/A</v>
      </c>
      <c r="J2796" s="1059" t="e">
        <f>+I2796*$L$9</f>
        <v>#N/A</v>
      </c>
      <c r="K2796" s="1085"/>
      <c r="L2796" s="1085"/>
      <c r="M2796" s="1085"/>
      <c r="N2796" s="1085"/>
      <c r="O2796" s="1085"/>
    </row>
    <row r="2797" spans="1:15" ht="15" customHeight="1">
      <c r="A2797" s="1056" t="s">
        <v>2671</v>
      </c>
      <c r="B2797" s="1057" t="s">
        <v>2672</v>
      </c>
      <c r="C2797" s="1058" t="e">
        <f>VLOOKUP(B2790,'LƯƠNG KT'!$D$15:$R$94,17,0)</f>
        <v>#N/A</v>
      </c>
      <c r="D2797" s="1059" t="e">
        <f>+C2797*$L$10</f>
        <v>#N/A</v>
      </c>
      <c r="E2797" s="1061"/>
      <c r="F2797" s="1061"/>
      <c r="G2797" s="1056" t="s">
        <v>2671</v>
      </c>
      <c r="H2797" s="1057" t="s">
        <v>2672</v>
      </c>
      <c r="I2797" s="1058" t="e">
        <f>VLOOKUP(H2790,'LƯƠNG KT'!$D$15:$R$94,17,0)</f>
        <v>#N/A</v>
      </c>
      <c r="J2797" s="1059" t="e">
        <f>+I2797*$L$10</f>
        <v>#N/A</v>
      </c>
      <c r="K2797" s="1085"/>
      <c r="L2797" s="1085"/>
      <c r="M2797" s="1085"/>
      <c r="N2797" s="1085"/>
      <c r="O2797" s="1085"/>
    </row>
    <row r="2798" spans="1:15" ht="15" customHeight="1">
      <c r="A2798" s="1056" t="s">
        <v>374</v>
      </c>
      <c r="B2798" s="1057" t="s">
        <v>2674</v>
      </c>
      <c r="C2798" s="1058" t="e">
        <f>VLOOKUP(B2790,'LƯƠNG KT'!$D$15:$R$94,12,0)</f>
        <v>#N/A</v>
      </c>
      <c r="D2798" s="1059" t="e">
        <f>VLOOKUP(B2790,'LƯƠNG KT'!$D$15:$R$94,14,0)</f>
        <v>#N/A</v>
      </c>
      <c r="E2798" s="1063"/>
      <c r="F2798" s="1061"/>
      <c r="G2798" s="1056" t="s">
        <v>374</v>
      </c>
      <c r="H2798" s="1057" t="s">
        <v>2674</v>
      </c>
      <c r="I2798" s="1058" t="e">
        <f>VLOOKUP(H2790,'LƯƠNG KT'!$D$15:$R$94,12,0)</f>
        <v>#N/A</v>
      </c>
      <c r="J2798" s="1059" t="e">
        <f>VLOOKUP(H2790,'LƯƠNG KT'!$D$15:$R$94,14,0)</f>
        <v>#N/A</v>
      </c>
      <c r="K2798" s="1085"/>
      <c r="L2798" s="1085"/>
      <c r="M2798" s="1085"/>
      <c r="N2798" s="1085"/>
      <c r="O2798" s="1085"/>
    </row>
    <row r="2799" spans="1:15" ht="15" customHeight="1">
      <c r="A2799" s="1056" t="s">
        <v>2675</v>
      </c>
      <c r="B2799" s="1057" t="s">
        <v>2676</v>
      </c>
      <c r="D2799" s="1064" t="e">
        <f>VLOOKUP(B2790,'LƯƠNG KT'!$D$15:$R$94,13,0)</f>
        <v>#N/A</v>
      </c>
      <c r="E2799" s="1065"/>
      <c r="F2799" s="1065"/>
      <c r="G2799" s="1056" t="s">
        <v>2675</v>
      </c>
      <c r="H2799" s="1057" t="s">
        <v>2676</v>
      </c>
      <c r="J2799" s="1064" t="e">
        <f>VLOOKUP(H2790,'LƯƠNG KT'!$D$15:$R$94,13,0)</f>
        <v>#N/A</v>
      </c>
    </row>
    <row r="2800" spans="1:15" ht="15" customHeight="1">
      <c r="A2800" s="1066"/>
      <c r="B2800" s="869"/>
      <c r="C2800" s="1058"/>
      <c r="D2800" s="1059"/>
      <c r="E2800" s="1063"/>
      <c r="F2800" s="1065"/>
      <c r="G2800" s="1066"/>
      <c r="H2800" s="869"/>
      <c r="I2800" s="1058"/>
      <c r="J2800" s="1059"/>
    </row>
    <row r="2801" spans="1:15" ht="15" customHeight="1">
      <c r="A2801" s="1052"/>
      <c r="B2801" s="869"/>
      <c r="C2801" s="1058"/>
      <c r="D2801" s="1059"/>
      <c r="E2801" s="1067"/>
      <c r="F2801" s="1051"/>
      <c r="G2801" s="1052"/>
      <c r="H2801" s="869"/>
      <c r="I2801" s="1058"/>
      <c r="J2801" s="1059"/>
    </row>
    <row r="2802" spans="1:15" ht="15" customHeight="1">
      <c r="A2802" s="1068" t="s">
        <v>383</v>
      </c>
      <c r="B2802" s="1069" t="s">
        <v>384</v>
      </c>
      <c r="C2802" s="1070"/>
      <c r="D2802" s="1071" t="e">
        <f>SUM(D2791:D2798)-D2801</f>
        <v>#N/A</v>
      </c>
      <c r="E2802" s="1072"/>
      <c r="F2802" s="1073"/>
      <c r="G2802" s="1068" t="s">
        <v>383</v>
      </c>
      <c r="H2802" s="1069" t="s">
        <v>384</v>
      </c>
      <c r="I2802" s="1070"/>
      <c r="J2802" s="1071" t="e">
        <f>SUM(J2791:J2798)-J2801</f>
        <v>#N/A</v>
      </c>
    </row>
    <row r="2803" spans="1:15" ht="21.75" customHeight="1">
      <c r="A2803" s="1074"/>
      <c r="B2803" s="1075"/>
      <c r="C2803" s="1076"/>
      <c r="D2803" s="1077"/>
      <c r="E2803" s="1077"/>
      <c r="F2803" s="1078"/>
      <c r="G2803" s="1074"/>
      <c r="H2803" s="1075"/>
      <c r="I2803" s="1076"/>
      <c r="J2803" s="1077"/>
    </row>
    <row r="2804" spans="1:15" ht="21.75" customHeight="1">
      <c r="A2804" s="1075"/>
      <c r="B2804" s="1075"/>
      <c r="C2804" s="1079"/>
      <c r="D2804" s="1080"/>
      <c r="E2804" s="1075"/>
      <c r="F2804" s="1081"/>
      <c r="G2804" s="1075"/>
      <c r="H2804" s="1075"/>
      <c r="I2804" s="1079"/>
      <c r="J2804" s="1080"/>
    </row>
    <row r="2805" spans="1:15" ht="15" customHeight="1">
      <c r="A2805" s="2242" t="str">
        <f>$K$2</f>
        <v>THÁNG 04/2025</v>
      </c>
      <c r="B2805" s="2242"/>
      <c r="C2805" s="2242"/>
      <c r="D2805" s="2242"/>
      <c r="E2805" s="1050"/>
      <c r="F2805" s="1051"/>
      <c r="G2805" s="2242" t="str">
        <f>$K$2</f>
        <v>THÁNG 04/2025</v>
      </c>
      <c r="H2805" s="2242"/>
      <c r="I2805" s="2242"/>
      <c r="J2805" s="2242"/>
      <c r="K2805" s="624"/>
    </row>
    <row r="2806" spans="1:15" ht="15" customHeight="1">
      <c r="A2806" s="1052" t="s">
        <v>356</v>
      </c>
      <c r="B2806" s="1053" t="s">
        <v>224</v>
      </c>
      <c r="C2806" s="869"/>
      <c r="D2806" s="1049"/>
      <c r="E2806" s="1054"/>
      <c r="F2806" s="1055"/>
      <c r="G2806" s="1052" t="s">
        <v>356</v>
      </c>
      <c r="H2806" s="1053" t="s">
        <v>225</v>
      </c>
      <c r="I2806" s="869"/>
      <c r="J2806" s="1049"/>
      <c r="L2806" s="1088"/>
      <c r="M2806" s="1088"/>
      <c r="N2806" s="1088"/>
      <c r="O2806" s="1088"/>
    </row>
    <row r="2807" spans="1:15" ht="15" customHeight="1">
      <c r="A2807" s="1056" t="s">
        <v>359</v>
      </c>
      <c r="B2807" s="1057" t="s">
        <v>2662</v>
      </c>
      <c r="C2807" s="1058" t="e">
        <f>VLOOKUP(B2806,'LƯƠNG KT'!$D$15:$R$94,4,0)</f>
        <v>#N/A</v>
      </c>
      <c r="D2807" s="1059" t="e">
        <f>+C2807*25000</f>
        <v>#N/A</v>
      </c>
      <c r="E2807" s="1060"/>
      <c r="F2807" s="1060"/>
      <c r="G2807" s="1056" t="s">
        <v>359</v>
      </c>
      <c r="H2807" s="1057" t="s">
        <v>2662</v>
      </c>
      <c r="I2807" s="1058" t="e">
        <f>VLOOKUP(H2806,'LƯƠNG KT'!$D$15:$R$94,4,0)</f>
        <v>#N/A</v>
      </c>
      <c r="J2807" s="1059" t="e">
        <f>+I2807*25000</f>
        <v>#N/A</v>
      </c>
      <c r="K2807" s="1085"/>
      <c r="L2807" s="1085"/>
      <c r="M2807" s="1085"/>
      <c r="N2807" s="1085"/>
      <c r="O2807" s="1085"/>
    </row>
    <row r="2808" spans="1:15" ht="15" customHeight="1">
      <c r="A2808" s="1056" t="s">
        <v>361</v>
      </c>
      <c r="B2808" s="1057" t="s">
        <v>2663</v>
      </c>
      <c r="C2808" s="1058" t="e">
        <f>VLOOKUP(B2806,'LƯƠNG KT'!$D$15:$R$94,15,0)</f>
        <v>#N/A</v>
      </c>
      <c r="D2808" s="1059" t="e">
        <f>C2808*$L$4</f>
        <v>#N/A</v>
      </c>
      <c r="E2808" s="1061"/>
      <c r="F2808" s="1061"/>
      <c r="G2808" s="1056" t="s">
        <v>361</v>
      </c>
      <c r="H2808" s="1057" t="s">
        <v>2663</v>
      </c>
      <c r="I2808" s="1058" t="e">
        <f>VLOOKUP(H2806,'LƯƠNG KT'!$D$15:$R$94,15,0)</f>
        <v>#N/A</v>
      </c>
      <c r="J2808" s="1059" t="e">
        <f>I2808*$L$4</f>
        <v>#N/A</v>
      </c>
      <c r="K2808" s="1085"/>
      <c r="L2808" s="1085"/>
      <c r="M2808" s="1085"/>
      <c r="N2808" s="1085"/>
      <c r="O2808" s="1085"/>
    </row>
    <row r="2809" spans="1:15" ht="15" customHeight="1">
      <c r="A2809" s="1056" t="s">
        <v>364</v>
      </c>
      <c r="B2809" s="1057" t="s">
        <v>2664</v>
      </c>
      <c r="C2809" s="1058" t="e">
        <f>VLOOKUP(B2806,'LƯƠNG KT'!$D$15:$R$94,16,0)</f>
        <v>#N/A</v>
      </c>
      <c r="D2809" s="1059" t="e">
        <f>C2809*$L$5</f>
        <v>#N/A</v>
      </c>
      <c r="E2809" s="1061"/>
      <c r="F2809" s="1061"/>
      <c r="G2809" s="1056" t="s">
        <v>364</v>
      </c>
      <c r="H2809" s="1057" t="s">
        <v>2664</v>
      </c>
      <c r="I2809" s="1058" t="e">
        <f>VLOOKUP(H2806,'LƯƠNG KT'!$D$15:$R$94,16,0)</f>
        <v>#N/A</v>
      </c>
      <c r="J2809" s="1059" t="e">
        <f>I2809*$L$5</f>
        <v>#N/A</v>
      </c>
      <c r="K2809" s="1085"/>
      <c r="L2809" s="1085"/>
      <c r="M2809" s="1085"/>
      <c r="N2809" s="1085"/>
      <c r="O2809" s="1085"/>
    </row>
    <row r="2810" spans="1:15" ht="15" customHeight="1">
      <c r="A2810" s="1056" t="s">
        <v>370</v>
      </c>
      <c r="B2810" s="1057" t="s">
        <v>2665</v>
      </c>
      <c r="C2810" s="1058" t="e">
        <f>VLOOKUP(B2806,'LƯƠNG KT'!$D$15:$R$94,24,0)</f>
        <v>#N/A</v>
      </c>
      <c r="D2810" s="1059" t="e">
        <f>+C2810*$L$6</f>
        <v>#N/A</v>
      </c>
      <c r="E2810" s="1061"/>
      <c r="F2810" s="1061"/>
      <c r="G2810" s="1056" t="s">
        <v>370</v>
      </c>
      <c r="H2810" s="1057" t="s">
        <v>2665</v>
      </c>
      <c r="I2810" s="1058" t="e">
        <f>VLOOKUP(H2806,'LƯƠNG KT'!$D$15:$R$94,24,0)</f>
        <v>#N/A</v>
      </c>
      <c r="J2810" s="1059" t="e">
        <f>+I2810*$L$6</f>
        <v>#N/A</v>
      </c>
      <c r="K2810" s="1085"/>
      <c r="L2810" s="1085"/>
      <c r="M2810" s="1085"/>
      <c r="N2810" s="1085"/>
      <c r="O2810" s="1085"/>
    </row>
    <row r="2811" spans="1:15" ht="15" customHeight="1">
      <c r="A2811" s="1056" t="s">
        <v>2666</v>
      </c>
      <c r="B2811" s="1057" t="s">
        <v>2667</v>
      </c>
      <c r="C2811" s="1058" t="e">
        <f>VLOOKUP(B2806,'LƯƠNG KT'!$D$15:$R$94,19,0)</f>
        <v>#N/A</v>
      </c>
      <c r="D2811" s="1059" t="e">
        <f>+C2811*$L$8</f>
        <v>#N/A</v>
      </c>
      <c r="E2811" s="1061"/>
      <c r="F2811" s="1061"/>
      <c r="G2811" s="1056" t="s">
        <v>2666</v>
      </c>
      <c r="H2811" s="1057" t="s">
        <v>2667</v>
      </c>
      <c r="I2811" s="1058" t="e">
        <f>VLOOKUP(H2806,'LƯƠNG KT'!$D$15:$R$94,19,0)</f>
        <v>#N/A</v>
      </c>
      <c r="J2811" s="1059" t="e">
        <f>+I2811*$L$8</f>
        <v>#N/A</v>
      </c>
      <c r="K2811" s="1085"/>
      <c r="L2811" s="1085"/>
      <c r="M2811" s="1085"/>
      <c r="N2811" s="1085"/>
      <c r="O2811" s="1085"/>
    </row>
    <row r="2812" spans="1:15" ht="15" customHeight="1">
      <c r="A2812" s="1056" t="s">
        <v>2668</v>
      </c>
      <c r="B2812" s="1062" t="s">
        <v>2669</v>
      </c>
      <c r="C2812" s="1058" t="e">
        <f>VLOOKUP(B2806,'LƯƠNG KT'!$D$15:$R$94,20,0)</f>
        <v>#N/A</v>
      </c>
      <c r="D2812" s="1059" t="e">
        <f>+C2812*$L$9</f>
        <v>#N/A</v>
      </c>
      <c r="E2812" s="1061"/>
      <c r="F2812" s="1061"/>
      <c r="G2812" s="1056" t="s">
        <v>2668</v>
      </c>
      <c r="H2812" s="1062" t="s">
        <v>2669</v>
      </c>
      <c r="I2812" s="1058" t="e">
        <f>VLOOKUP(H2806,'LƯƠNG KT'!$D$15:$R$94,20,0)</f>
        <v>#N/A</v>
      </c>
      <c r="J2812" s="1059" t="e">
        <f>+I2812*$L$9</f>
        <v>#N/A</v>
      </c>
      <c r="K2812" s="1085"/>
      <c r="L2812" s="1085"/>
      <c r="M2812" s="1085"/>
      <c r="N2812" s="1085"/>
      <c r="O2812" s="1085"/>
    </row>
    <row r="2813" spans="1:15" ht="15" customHeight="1">
      <c r="A2813" s="1056" t="s">
        <v>2671</v>
      </c>
      <c r="B2813" s="1057" t="s">
        <v>2672</v>
      </c>
      <c r="C2813" s="1058" t="e">
        <f>VLOOKUP(B2806,'LƯƠNG KT'!$D$15:$R$94,17,0)</f>
        <v>#N/A</v>
      </c>
      <c r="D2813" s="1059" t="e">
        <f>+C2813*$L$10</f>
        <v>#N/A</v>
      </c>
      <c r="E2813" s="1061"/>
      <c r="F2813" s="1061"/>
      <c r="G2813" s="1056" t="s">
        <v>2671</v>
      </c>
      <c r="H2813" s="1057" t="s">
        <v>2672</v>
      </c>
      <c r="I2813" s="1058" t="e">
        <f>VLOOKUP(H2806,'LƯƠNG KT'!$D$15:$R$94,17,0)</f>
        <v>#N/A</v>
      </c>
      <c r="J2813" s="1059" t="e">
        <f>+I2813*$L$10</f>
        <v>#N/A</v>
      </c>
      <c r="K2813" s="1085"/>
      <c r="L2813" s="1085"/>
      <c r="M2813" s="1085"/>
      <c r="N2813" s="1085"/>
      <c r="O2813" s="1085"/>
    </row>
    <row r="2814" spans="1:15" ht="15" customHeight="1">
      <c r="A2814" s="1056" t="s">
        <v>374</v>
      </c>
      <c r="B2814" s="1057" t="s">
        <v>2674</v>
      </c>
      <c r="C2814" s="1058" t="e">
        <f>VLOOKUP(B2806,'LƯƠNG KT'!$D$15:$R$94,12,0)</f>
        <v>#N/A</v>
      </c>
      <c r="D2814" s="1059" t="e">
        <f>VLOOKUP(B2806,'LƯƠNG KT'!$D$15:$R$94,14,0)</f>
        <v>#N/A</v>
      </c>
      <c r="E2814" s="1063"/>
      <c r="F2814" s="1061"/>
      <c r="G2814" s="1056" t="s">
        <v>374</v>
      </c>
      <c r="H2814" s="1057" t="s">
        <v>2674</v>
      </c>
      <c r="I2814" s="1058" t="e">
        <f>VLOOKUP(H2806,'LƯƠNG KT'!$D$15:$R$94,12,0)</f>
        <v>#N/A</v>
      </c>
      <c r="J2814" s="1059" t="e">
        <f>VLOOKUP(H2806,'LƯƠNG KT'!$D$15:$R$94,14,0)</f>
        <v>#N/A</v>
      </c>
      <c r="K2814" s="1085"/>
      <c r="L2814" s="1085"/>
      <c r="M2814" s="1085"/>
      <c r="N2814" s="1085"/>
      <c r="O2814" s="1085"/>
    </row>
    <row r="2815" spans="1:15" ht="15" customHeight="1">
      <c r="A2815" s="1056" t="s">
        <v>2675</v>
      </c>
      <c r="B2815" s="1057" t="s">
        <v>2676</v>
      </c>
      <c r="D2815" s="1064" t="e">
        <f>VLOOKUP(B2806,'LƯƠNG KT'!$D$15:$R$94,13,0)</f>
        <v>#N/A</v>
      </c>
      <c r="E2815" s="1065"/>
      <c r="F2815" s="1065"/>
      <c r="G2815" s="1056" t="s">
        <v>2675</v>
      </c>
      <c r="H2815" s="1057" t="s">
        <v>2676</v>
      </c>
      <c r="J2815" s="1064" t="e">
        <f>VLOOKUP(H2806,'LƯƠNG KT'!$D$15:$R$94,13,0)</f>
        <v>#N/A</v>
      </c>
    </row>
    <row r="2816" spans="1:15" ht="15" customHeight="1">
      <c r="A2816" s="1066"/>
      <c r="B2816" s="869"/>
      <c r="C2816" s="1058"/>
      <c r="D2816" s="1059"/>
      <c r="E2816" s="1063"/>
      <c r="F2816" s="1065"/>
      <c r="G2816" s="1066"/>
      <c r="H2816" s="869"/>
      <c r="I2816" s="1058"/>
      <c r="J2816" s="1059"/>
    </row>
    <row r="2817" spans="1:15" ht="15" customHeight="1">
      <c r="A2817" s="1052"/>
      <c r="B2817" s="869"/>
      <c r="C2817" s="1058"/>
      <c r="D2817" s="1059"/>
      <c r="E2817" s="1067"/>
      <c r="F2817" s="1051"/>
      <c r="G2817" s="1052"/>
      <c r="H2817" s="869"/>
      <c r="I2817" s="1058"/>
      <c r="J2817" s="1059"/>
    </row>
    <row r="2818" spans="1:15" ht="15" customHeight="1">
      <c r="A2818" s="1068" t="s">
        <v>383</v>
      </c>
      <c r="B2818" s="1069" t="s">
        <v>384</v>
      </c>
      <c r="C2818" s="1070"/>
      <c r="D2818" s="1071" t="e">
        <f>SUM(D2807:D2814)-D2817</f>
        <v>#N/A</v>
      </c>
      <c r="E2818" s="1072"/>
      <c r="F2818" s="1073"/>
      <c r="G2818" s="1068" t="s">
        <v>383</v>
      </c>
      <c r="H2818" s="1069" t="s">
        <v>384</v>
      </c>
      <c r="I2818" s="1070"/>
      <c r="J2818" s="1071" t="e">
        <f>SUM(J2807:J2814)-J2817</f>
        <v>#N/A</v>
      </c>
    </row>
    <row r="2819" spans="1:15" ht="18.75" customHeight="1">
      <c r="A2819" s="1074"/>
      <c r="B2819" s="1075"/>
      <c r="C2819" s="1076"/>
      <c r="D2819" s="1077"/>
      <c r="E2819" s="1077"/>
      <c r="F2819" s="1078"/>
      <c r="G2819" s="1074"/>
      <c r="H2819" s="1075"/>
      <c r="I2819" s="1076"/>
      <c r="J2819" s="1077"/>
    </row>
    <row r="2820" spans="1:15" ht="18.75" customHeight="1">
      <c r="A2820" s="1075"/>
      <c r="B2820" s="1075"/>
      <c r="C2820" s="1079"/>
      <c r="D2820" s="1080"/>
      <c r="E2820" s="1075"/>
      <c r="F2820" s="1081"/>
      <c r="G2820" s="1075"/>
      <c r="H2820" s="1075"/>
      <c r="I2820" s="1079"/>
      <c r="J2820" s="1080"/>
    </row>
    <row r="2821" spans="1:15" ht="15" customHeight="1">
      <c r="A2821" s="2242" t="str">
        <f>$K$2</f>
        <v>THÁNG 04/2025</v>
      </c>
      <c r="B2821" s="2242"/>
      <c r="C2821" s="2242"/>
      <c r="D2821" s="2242"/>
      <c r="E2821" s="1050"/>
      <c r="F2821" s="1051"/>
      <c r="G2821" s="2242" t="str">
        <f>$K$2</f>
        <v>THÁNG 04/2025</v>
      </c>
      <c r="H2821" s="2242"/>
      <c r="I2821" s="2242"/>
      <c r="J2821" s="2242"/>
      <c r="K2821" s="624"/>
    </row>
    <row r="2822" spans="1:15" ht="15" customHeight="1">
      <c r="A2822" s="1052" t="s">
        <v>356</v>
      </c>
      <c r="B2822" s="1053" t="s">
        <v>226</v>
      </c>
      <c r="C2822" s="869"/>
      <c r="D2822" s="1049"/>
      <c r="E2822" s="1054"/>
      <c r="F2822" s="1055"/>
      <c r="G2822" s="1052" t="s">
        <v>356</v>
      </c>
      <c r="H2822" s="1053" t="s">
        <v>227</v>
      </c>
      <c r="I2822" s="869"/>
      <c r="J2822" s="1049"/>
      <c r="L2822" s="1088"/>
      <c r="M2822" s="1088"/>
      <c r="N2822" s="1088"/>
      <c r="O2822" s="1088"/>
    </row>
    <row r="2823" spans="1:15" ht="15" customHeight="1">
      <c r="A2823" s="1056" t="s">
        <v>359</v>
      </c>
      <c r="B2823" s="1057" t="s">
        <v>2662</v>
      </c>
      <c r="C2823" s="1058" t="e">
        <f>VLOOKUP(B2822,'LƯƠNG KT'!$D$15:$R$94,4,0)</f>
        <v>#N/A</v>
      </c>
      <c r="D2823" s="1059" t="e">
        <f>+C2823*25000</f>
        <v>#N/A</v>
      </c>
      <c r="E2823" s="1060"/>
      <c r="F2823" s="1060"/>
      <c r="G2823" s="1056" t="s">
        <v>359</v>
      </c>
      <c r="H2823" s="1057" t="s">
        <v>2662</v>
      </c>
      <c r="I2823" s="1058" t="e">
        <f>VLOOKUP(H2822,'LƯƠNG KT'!$D$15:$R$94,4,0)</f>
        <v>#N/A</v>
      </c>
      <c r="J2823" s="1059" t="e">
        <f>+I2823*25000</f>
        <v>#N/A</v>
      </c>
      <c r="K2823" s="1085"/>
      <c r="L2823" s="1085"/>
      <c r="M2823" s="1085"/>
      <c r="N2823" s="1085"/>
      <c r="O2823" s="1085"/>
    </row>
    <row r="2824" spans="1:15" ht="15" customHeight="1">
      <c r="A2824" s="1056" t="s">
        <v>361</v>
      </c>
      <c r="B2824" s="1057" t="s">
        <v>2663</v>
      </c>
      <c r="C2824" s="1058" t="e">
        <f>VLOOKUP(B2822,'LƯƠNG KT'!$D$15:$R$94,15,0)</f>
        <v>#N/A</v>
      </c>
      <c r="D2824" s="1059" t="e">
        <f>C2824*$L$4</f>
        <v>#N/A</v>
      </c>
      <c r="E2824" s="1061"/>
      <c r="F2824" s="1061"/>
      <c r="G2824" s="1056" t="s">
        <v>361</v>
      </c>
      <c r="H2824" s="1057" t="s">
        <v>2663</v>
      </c>
      <c r="I2824" s="1058" t="e">
        <f>VLOOKUP(H2822,'LƯƠNG KT'!$D$15:$R$94,15,0)</f>
        <v>#N/A</v>
      </c>
      <c r="J2824" s="1059" t="e">
        <f>I2824*$L$4</f>
        <v>#N/A</v>
      </c>
      <c r="K2824" s="1085"/>
      <c r="L2824" s="1085"/>
      <c r="M2824" s="1085"/>
      <c r="N2824" s="1085"/>
      <c r="O2824" s="1085"/>
    </row>
    <row r="2825" spans="1:15" ht="15" customHeight="1">
      <c r="A2825" s="1056" t="s">
        <v>364</v>
      </c>
      <c r="B2825" s="1057" t="s">
        <v>2664</v>
      </c>
      <c r="C2825" s="1058" t="e">
        <f>VLOOKUP(B2822,'LƯƠNG KT'!$D$15:$R$94,16,0)</f>
        <v>#N/A</v>
      </c>
      <c r="D2825" s="1059" t="e">
        <f>C2825*$L$5</f>
        <v>#N/A</v>
      </c>
      <c r="E2825" s="1061"/>
      <c r="F2825" s="1061"/>
      <c r="G2825" s="1056" t="s">
        <v>364</v>
      </c>
      <c r="H2825" s="1057" t="s">
        <v>2664</v>
      </c>
      <c r="I2825" s="1058" t="e">
        <f>VLOOKUP(H2822,'LƯƠNG KT'!$D$15:$R$94,16,0)</f>
        <v>#N/A</v>
      </c>
      <c r="J2825" s="1059" t="e">
        <f>I2825*$L$5</f>
        <v>#N/A</v>
      </c>
      <c r="K2825" s="1085"/>
      <c r="L2825" s="1085"/>
      <c r="M2825" s="1085"/>
      <c r="N2825" s="1085"/>
      <c r="O2825" s="1085"/>
    </row>
    <row r="2826" spans="1:15" ht="15" customHeight="1">
      <c r="A2826" s="1056" t="s">
        <v>370</v>
      </c>
      <c r="B2826" s="1057" t="s">
        <v>2665</v>
      </c>
      <c r="C2826" s="1058" t="e">
        <f>VLOOKUP(B2822,'LƯƠNG KT'!$D$15:$R$94,24,0)</f>
        <v>#N/A</v>
      </c>
      <c r="D2826" s="1059" t="e">
        <f>+C2826*$L$6</f>
        <v>#N/A</v>
      </c>
      <c r="E2826" s="1061"/>
      <c r="F2826" s="1061"/>
      <c r="G2826" s="1056" t="s">
        <v>370</v>
      </c>
      <c r="H2826" s="1057" t="s">
        <v>2665</v>
      </c>
      <c r="I2826" s="1058" t="e">
        <f>VLOOKUP(H2822,'LƯƠNG KT'!$D$15:$R$94,24,0)</f>
        <v>#N/A</v>
      </c>
      <c r="J2826" s="1059" t="e">
        <f>+I2826*$L$6</f>
        <v>#N/A</v>
      </c>
      <c r="K2826" s="1085"/>
      <c r="L2826" s="1085"/>
      <c r="M2826" s="1085"/>
      <c r="N2826" s="1085"/>
      <c r="O2826" s="1085"/>
    </row>
    <row r="2827" spans="1:15" ht="15" customHeight="1">
      <c r="A2827" s="1056" t="s">
        <v>2666</v>
      </c>
      <c r="B2827" s="1057" t="s">
        <v>2667</v>
      </c>
      <c r="C2827" s="1058" t="e">
        <f>VLOOKUP(B2822,'LƯƠNG KT'!$D$15:$R$94,19,0)</f>
        <v>#N/A</v>
      </c>
      <c r="D2827" s="1059" t="e">
        <f>+C2827*$L$8</f>
        <v>#N/A</v>
      </c>
      <c r="E2827" s="1061"/>
      <c r="F2827" s="1061"/>
      <c r="G2827" s="1056" t="s">
        <v>2666</v>
      </c>
      <c r="H2827" s="1057" t="s">
        <v>2667</v>
      </c>
      <c r="I2827" s="1058" t="e">
        <f>VLOOKUP(H2822,'LƯƠNG KT'!$D$15:$R$94,19,0)</f>
        <v>#N/A</v>
      </c>
      <c r="J2827" s="1059" t="e">
        <f>+I2827*$L$8</f>
        <v>#N/A</v>
      </c>
      <c r="K2827" s="1085"/>
      <c r="L2827" s="1085"/>
      <c r="M2827" s="1085"/>
      <c r="N2827" s="1085"/>
      <c r="O2827" s="1085"/>
    </row>
    <row r="2828" spans="1:15" ht="15" customHeight="1">
      <c r="A2828" s="1056" t="s">
        <v>2668</v>
      </c>
      <c r="B2828" s="1062" t="s">
        <v>2669</v>
      </c>
      <c r="C2828" s="1058" t="e">
        <f>VLOOKUP(B2822,'LƯƠNG KT'!$D$15:$R$94,20,0)</f>
        <v>#N/A</v>
      </c>
      <c r="D2828" s="1059" t="e">
        <f>+C2828*$L$9</f>
        <v>#N/A</v>
      </c>
      <c r="E2828" s="1061"/>
      <c r="F2828" s="1061"/>
      <c r="G2828" s="1056" t="s">
        <v>2668</v>
      </c>
      <c r="H2828" s="1062" t="s">
        <v>2669</v>
      </c>
      <c r="I2828" s="1058" t="e">
        <f>VLOOKUP(H2822,'LƯƠNG KT'!$D$15:$R$94,20,0)</f>
        <v>#N/A</v>
      </c>
      <c r="J2828" s="1059" t="e">
        <f>+I2828*$L$9</f>
        <v>#N/A</v>
      </c>
      <c r="K2828" s="1085"/>
      <c r="L2828" s="1085"/>
      <c r="M2828" s="1085"/>
      <c r="N2828" s="1085"/>
      <c r="O2828" s="1085"/>
    </row>
    <row r="2829" spans="1:15" ht="15" customHeight="1">
      <c r="A2829" s="1056" t="s">
        <v>2671</v>
      </c>
      <c r="B2829" s="1057" t="s">
        <v>2672</v>
      </c>
      <c r="C2829" s="1058" t="e">
        <f>VLOOKUP(B2822,'LƯƠNG KT'!$D$15:$R$94,17,0)</f>
        <v>#N/A</v>
      </c>
      <c r="D2829" s="1059" t="e">
        <f>+C2829*$L$10</f>
        <v>#N/A</v>
      </c>
      <c r="E2829" s="1061"/>
      <c r="F2829" s="1061"/>
      <c r="G2829" s="1056" t="s">
        <v>2671</v>
      </c>
      <c r="H2829" s="1057" t="s">
        <v>2672</v>
      </c>
      <c r="I2829" s="1058" t="e">
        <f>VLOOKUP(H2822,'LƯƠNG KT'!$D$15:$R$94,17,0)</f>
        <v>#N/A</v>
      </c>
      <c r="J2829" s="1059" t="e">
        <f>+I2829*$L$10</f>
        <v>#N/A</v>
      </c>
      <c r="K2829" s="1085"/>
      <c r="L2829" s="1085"/>
      <c r="M2829" s="1085"/>
      <c r="N2829" s="1085"/>
      <c r="O2829" s="1085"/>
    </row>
    <row r="2830" spans="1:15" ht="15" customHeight="1">
      <c r="A2830" s="1056" t="s">
        <v>374</v>
      </c>
      <c r="B2830" s="1057" t="s">
        <v>2674</v>
      </c>
      <c r="C2830" s="1058" t="e">
        <f>VLOOKUP(B2822,'LƯƠNG KT'!$D$15:$R$94,12,0)</f>
        <v>#N/A</v>
      </c>
      <c r="D2830" s="1059" t="e">
        <f>VLOOKUP(B2822,'LƯƠNG KT'!$D$15:$R$94,14,0)</f>
        <v>#N/A</v>
      </c>
      <c r="E2830" s="1063"/>
      <c r="F2830" s="1061"/>
      <c r="G2830" s="1056" t="s">
        <v>374</v>
      </c>
      <c r="H2830" s="1057" t="s">
        <v>2674</v>
      </c>
      <c r="I2830" s="1058" t="e">
        <f>VLOOKUP(H2822,'LƯƠNG KT'!$D$15:$R$94,12,0)</f>
        <v>#N/A</v>
      </c>
      <c r="J2830" s="1059" t="e">
        <f>VLOOKUP(H2822,'LƯƠNG KT'!$D$15:$R$94,14,0)</f>
        <v>#N/A</v>
      </c>
      <c r="K2830" s="1085"/>
      <c r="L2830" s="1085"/>
      <c r="M2830" s="1085"/>
      <c r="N2830" s="1085"/>
      <c r="O2830" s="1085"/>
    </row>
    <row r="2831" spans="1:15" ht="15" customHeight="1">
      <c r="A2831" s="1056" t="s">
        <v>2675</v>
      </c>
      <c r="B2831" s="1057" t="s">
        <v>2676</v>
      </c>
      <c r="D2831" s="1064" t="e">
        <f>VLOOKUP(B2822,'LƯƠNG KT'!$D$15:$R$94,13,0)</f>
        <v>#N/A</v>
      </c>
      <c r="E2831" s="1065"/>
      <c r="F2831" s="1065"/>
      <c r="G2831" s="1056" t="s">
        <v>2675</v>
      </c>
      <c r="H2831" s="1057" t="s">
        <v>2676</v>
      </c>
      <c r="J2831" s="1064" t="e">
        <f>VLOOKUP(H2822,'LƯƠNG KT'!$D$15:$R$94,13,0)</f>
        <v>#N/A</v>
      </c>
    </row>
    <row r="2832" spans="1:15" ht="15" customHeight="1">
      <c r="A2832" s="1066"/>
      <c r="B2832" s="869"/>
      <c r="C2832" s="1058"/>
      <c r="D2832" s="1059"/>
      <c r="E2832" s="1063"/>
      <c r="F2832" s="1065"/>
      <c r="G2832" s="1066"/>
      <c r="H2832" s="869"/>
      <c r="I2832" s="1058"/>
      <c r="J2832" s="1059"/>
    </row>
    <row r="2833" spans="1:15" ht="15" customHeight="1">
      <c r="A2833" s="1052"/>
      <c r="B2833" s="869"/>
      <c r="C2833" s="1058"/>
      <c r="D2833" s="1059"/>
      <c r="E2833" s="1067"/>
      <c r="F2833" s="1051"/>
      <c r="G2833" s="1052"/>
      <c r="H2833" s="869"/>
      <c r="I2833" s="1058"/>
      <c r="J2833" s="1059"/>
    </row>
    <row r="2834" spans="1:15" ht="15" customHeight="1">
      <c r="A2834" s="1068" t="s">
        <v>383</v>
      </c>
      <c r="B2834" s="1069" t="s">
        <v>384</v>
      </c>
      <c r="C2834" s="1070"/>
      <c r="D2834" s="1071" t="e">
        <f>SUM(D2823:D2830)-D2833</f>
        <v>#N/A</v>
      </c>
      <c r="E2834" s="1072"/>
      <c r="F2834" s="1073"/>
      <c r="G2834" s="1068" t="s">
        <v>383</v>
      </c>
      <c r="H2834" s="1069" t="s">
        <v>384</v>
      </c>
      <c r="I2834" s="1070"/>
      <c r="J2834" s="1071" t="e">
        <f>SUM(J2823:J2830)-J2833</f>
        <v>#N/A</v>
      </c>
    </row>
    <row r="2835" spans="1:15" ht="18.75" customHeight="1">
      <c r="A2835" s="1074"/>
      <c r="B2835" s="1075"/>
      <c r="C2835" s="1076"/>
      <c r="D2835" s="1077"/>
      <c r="E2835" s="1077"/>
      <c r="F2835" s="1078"/>
      <c r="G2835" s="1074"/>
      <c r="H2835" s="1075"/>
      <c r="I2835" s="1076"/>
      <c r="J2835" s="1077"/>
    </row>
    <row r="2836" spans="1:15" ht="18.75" customHeight="1">
      <c r="A2836" s="1075"/>
      <c r="B2836" s="1075"/>
      <c r="C2836" s="1079"/>
      <c r="D2836" s="1080"/>
      <c r="E2836" s="1075"/>
      <c r="F2836" s="1081"/>
      <c r="G2836" s="1075"/>
      <c r="H2836" s="1075"/>
      <c r="I2836" s="1079"/>
      <c r="J2836" s="1080"/>
    </row>
    <row r="2837" spans="1:15" ht="15" customHeight="1">
      <c r="A2837" s="2242" t="str">
        <f>$K$2</f>
        <v>THÁNG 04/2025</v>
      </c>
      <c r="B2837" s="2242"/>
      <c r="C2837" s="2242"/>
      <c r="D2837" s="2242"/>
      <c r="E2837" s="1050"/>
      <c r="F2837" s="1051"/>
      <c r="G2837" s="2242" t="str">
        <f>$K$2</f>
        <v>THÁNG 04/2025</v>
      </c>
      <c r="H2837" s="2242"/>
      <c r="I2837" s="2242"/>
      <c r="J2837" s="2242"/>
      <c r="K2837" s="624"/>
    </row>
    <row r="2838" spans="1:15" ht="15" customHeight="1">
      <c r="A2838" s="1052" t="s">
        <v>356</v>
      </c>
      <c r="B2838" s="1053" t="s">
        <v>228</v>
      </c>
      <c r="C2838" s="869"/>
      <c r="D2838" s="1049"/>
      <c r="E2838" s="1054"/>
      <c r="F2838" s="1055"/>
      <c r="G2838" s="1052" t="s">
        <v>356</v>
      </c>
      <c r="H2838" s="1053" t="s">
        <v>229</v>
      </c>
      <c r="I2838" s="869"/>
      <c r="J2838" s="1049"/>
      <c r="L2838" s="1088"/>
      <c r="M2838" s="1088"/>
      <c r="N2838" s="1088"/>
      <c r="O2838" s="1088"/>
    </row>
    <row r="2839" spans="1:15" ht="15" customHeight="1">
      <c r="A2839" s="1056" t="s">
        <v>359</v>
      </c>
      <c r="B2839" s="1057" t="s">
        <v>2662</v>
      </c>
      <c r="C2839" s="1058" t="e">
        <f>VLOOKUP(B2838,'LƯƠNG KT'!$D$15:$R$94,4,0)</f>
        <v>#N/A</v>
      </c>
      <c r="D2839" s="1059" t="e">
        <f>+C2839*25000</f>
        <v>#N/A</v>
      </c>
      <c r="E2839" s="1060"/>
      <c r="F2839" s="1060"/>
      <c r="G2839" s="1056" t="s">
        <v>359</v>
      </c>
      <c r="H2839" s="1057" t="s">
        <v>2662</v>
      </c>
      <c r="I2839" s="1058" t="e">
        <f>VLOOKUP(H2838,'LƯƠNG KT'!$D$15:$R$94,4,0)</f>
        <v>#N/A</v>
      </c>
      <c r="J2839" s="1059" t="e">
        <f>+I2839*25000</f>
        <v>#N/A</v>
      </c>
      <c r="K2839" s="1085"/>
      <c r="L2839" s="1085"/>
      <c r="M2839" s="1085"/>
      <c r="N2839" s="1085"/>
      <c r="O2839" s="1085"/>
    </row>
    <row r="2840" spans="1:15" ht="15" customHeight="1">
      <c r="A2840" s="1056" t="s">
        <v>361</v>
      </c>
      <c r="B2840" s="1057" t="s">
        <v>2663</v>
      </c>
      <c r="C2840" s="1058" t="e">
        <f>VLOOKUP(B2838,'LƯƠNG KT'!$D$15:$R$94,15,0)</f>
        <v>#N/A</v>
      </c>
      <c r="D2840" s="1059" t="e">
        <f>C2840*$L$4</f>
        <v>#N/A</v>
      </c>
      <c r="E2840" s="1061"/>
      <c r="F2840" s="1061"/>
      <c r="G2840" s="1056" t="s">
        <v>361</v>
      </c>
      <c r="H2840" s="1057" t="s">
        <v>2663</v>
      </c>
      <c r="I2840" s="1058" t="e">
        <f>VLOOKUP(H2838,'LƯƠNG KT'!$D$15:$R$94,15,0)</f>
        <v>#N/A</v>
      </c>
      <c r="J2840" s="1059" t="e">
        <f>I2840*$L$4</f>
        <v>#N/A</v>
      </c>
      <c r="K2840" s="1085"/>
      <c r="L2840" s="1085"/>
      <c r="M2840" s="1085"/>
      <c r="N2840" s="1085"/>
      <c r="O2840" s="1085"/>
    </row>
    <row r="2841" spans="1:15" ht="15" customHeight="1">
      <c r="A2841" s="1056" t="s">
        <v>364</v>
      </c>
      <c r="B2841" s="1057" t="s">
        <v>2664</v>
      </c>
      <c r="C2841" s="1058" t="e">
        <f>VLOOKUP(B2838,'LƯƠNG KT'!$D$15:$R$94,16,0)</f>
        <v>#N/A</v>
      </c>
      <c r="D2841" s="1059" t="e">
        <f>C2841*$L$5</f>
        <v>#N/A</v>
      </c>
      <c r="E2841" s="1061"/>
      <c r="F2841" s="1061"/>
      <c r="G2841" s="1056" t="s">
        <v>364</v>
      </c>
      <c r="H2841" s="1057" t="s">
        <v>2664</v>
      </c>
      <c r="I2841" s="1058" t="e">
        <f>VLOOKUP(H2838,'LƯƠNG KT'!$D$15:$R$94,16,0)</f>
        <v>#N/A</v>
      </c>
      <c r="J2841" s="1059" t="e">
        <f>I2841*$L$5</f>
        <v>#N/A</v>
      </c>
      <c r="K2841" s="1085"/>
      <c r="L2841" s="1085"/>
      <c r="M2841" s="1085"/>
      <c r="N2841" s="1085"/>
      <c r="O2841" s="1085"/>
    </row>
    <row r="2842" spans="1:15" ht="15" customHeight="1">
      <c r="A2842" s="1056" t="s">
        <v>370</v>
      </c>
      <c r="B2842" s="1057" t="s">
        <v>2665</v>
      </c>
      <c r="C2842" s="1058" t="e">
        <f>VLOOKUP(B2838,'LƯƠNG KT'!$D$15:$R$94,24,0)</f>
        <v>#N/A</v>
      </c>
      <c r="D2842" s="1059" t="e">
        <f>+C2842*$L$6</f>
        <v>#N/A</v>
      </c>
      <c r="E2842" s="1061"/>
      <c r="F2842" s="1061"/>
      <c r="G2842" s="1056" t="s">
        <v>370</v>
      </c>
      <c r="H2842" s="1057" t="s">
        <v>2665</v>
      </c>
      <c r="I2842" s="1058" t="e">
        <f>VLOOKUP(H2838,'LƯƠNG KT'!$D$15:$R$94,24,0)</f>
        <v>#N/A</v>
      </c>
      <c r="J2842" s="1059" t="e">
        <f>+I2842*$L$6</f>
        <v>#N/A</v>
      </c>
      <c r="K2842" s="1085"/>
      <c r="L2842" s="1085"/>
      <c r="M2842" s="1085"/>
      <c r="N2842" s="1085"/>
      <c r="O2842" s="1085"/>
    </row>
    <row r="2843" spans="1:15" ht="15" customHeight="1">
      <c r="A2843" s="1056" t="s">
        <v>2666</v>
      </c>
      <c r="B2843" s="1057" t="s">
        <v>2667</v>
      </c>
      <c r="C2843" s="1058" t="e">
        <f>VLOOKUP(B2838,'LƯƠNG KT'!$D$15:$R$94,19,0)</f>
        <v>#N/A</v>
      </c>
      <c r="D2843" s="1059" t="e">
        <f>+C2843*$L$8</f>
        <v>#N/A</v>
      </c>
      <c r="E2843" s="1061"/>
      <c r="F2843" s="1061"/>
      <c r="G2843" s="1056" t="s">
        <v>2666</v>
      </c>
      <c r="H2843" s="1057" t="s">
        <v>2667</v>
      </c>
      <c r="I2843" s="1058" t="e">
        <f>VLOOKUP(H2838,'LƯƠNG KT'!$D$15:$R$94,19,0)</f>
        <v>#N/A</v>
      </c>
      <c r="J2843" s="1059" t="e">
        <f>+I2843*$L$8</f>
        <v>#N/A</v>
      </c>
      <c r="K2843" s="1085"/>
      <c r="L2843" s="1085"/>
      <c r="M2843" s="1085"/>
      <c r="N2843" s="1085"/>
      <c r="O2843" s="1085"/>
    </row>
    <row r="2844" spans="1:15" ht="15" customHeight="1">
      <c r="A2844" s="1056" t="s">
        <v>2668</v>
      </c>
      <c r="B2844" s="1062" t="s">
        <v>2669</v>
      </c>
      <c r="C2844" s="1058" t="e">
        <f>VLOOKUP(B2838,'LƯƠNG KT'!$D$15:$R$94,20,0)</f>
        <v>#N/A</v>
      </c>
      <c r="D2844" s="1059" t="e">
        <f>+C2844*$L$9</f>
        <v>#N/A</v>
      </c>
      <c r="E2844" s="1061"/>
      <c r="F2844" s="1061"/>
      <c r="G2844" s="1056" t="s">
        <v>2668</v>
      </c>
      <c r="H2844" s="1062" t="s">
        <v>2669</v>
      </c>
      <c r="I2844" s="1058" t="e">
        <f>VLOOKUP(H2838,'LƯƠNG KT'!$D$15:$R$94,20,0)</f>
        <v>#N/A</v>
      </c>
      <c r="J2844" s="1059" t="e">
        <f>+I2844*$L$9</f>
        <v>#N/A</v>
      </c>
      <c r="K2844" s="1085"/>
      <c r="L2844" s="1085"/>
      <c r="M2844" s="1085"/>
      <c r="N2844" s="1085"/>
      <c r="O2844" s="1085"/>
    </row>
    <row r="2845" spans="1:15" ht="15" customHeight="1">
      <c r="A2845" s="1056" t="s">
        <v>2671</v>
      </c>
      <c r="B2845" s="1057" t="s">
        <v>2672</v>
      </c>
      <c r="C2845" s="1058" t="e">
        <f>VLOOKUP(B2838,'LƯƠNG KT'!$D$15:$R$94,17,0)</f>
        <v>#N/A</v>
      </c>
      <c r="D2845" s="1059" t="e">
        <f>+C2845*$L$10</f>
        <v>#N/A</v>
      </c>
      <c r="E2845" s="1061"/>
      <c r="F2845" s="1061"/>
      <c r="G2845" s="1056" t="s">
        <v>2671</v>
      </c>
      <c r="H2845" s="1057" t="s">
        <v>2672</v>
      </c>
      <c r="I2845" s="1058" t="e">
        <f>VLOOKUP(H2838,'LƯƠNG KT'!$D$15:$R$94,17,0)</f>
        <v>#N/A</v>
      </c>
      <c r="J2845" s="1059" t="e">
        <f>+I2845*$L$10</f>
        <v>#N/A</v>
      </c>
      <c r="K2845" s="1085"/>
      <c r="L2845" s="1085"/>
      <c r="M2845" s="1085"/>
      <c r="N2845" s="1085"/>
      <c r="O2845" s="1085"/>
    </row>
    <row r="2846" spans="1:15" ht="15" customHeight="1">
      <c r="A2846" s="1056" t="s">
        <v>374</v>
      </c>
      <c r="B2846" s="1057" t="s">
        <v>2674</v>
      </c>
      <c r="C2846" s="1058" t="e">
        <f>VLOOKUP(B2838,'LƯƠNG KT'!$D$15:$R$94,12,0)</f>
        <v>#N/A</v>
      </c>
      <c r="D2846" s="1059" t="e">
        <f>VLOOKUP(B2838,'LƯƠNG KT'!$D$15:$R$94,14,0)</f>
        <v>#N/A</v>
      </c>
      <c r="E2846" s="1063"/>
      <c r="F2846" s="1061"/>
      <c r="G2846" s="1056" t="s">
        <v>374</v>
      </c>
      <c r="H2846" s="1057" t="s">
        <v>2674</v>
      </c>
      <c r="I2846" s="1058" t="e">
        <f>VLOOKUP(H2838,'LƯƠNG KT'!$D$15:$R$94,12,0)</f>
        <v>#N/A</v>
      </c>
      <c r="J2846" s="1059" t="e">
        <f>VLOOKUP(H2838,'LƯƠNG KT'!$D$15:$R$94,14,0)</f>
        <v>#N/A</v>
      </c>
      <c r="K2846" s="1085"/>
      <c r="L2846" s="1085"/>
      <c r="M2846" s="1085"/>
      <c r="N2846" s="1085"/>
      <c r="O2846" s="1085"/>
    </row>
    <row r="2847" spans="1:15" ht="15" customHeight="1">
      <c r="A2847" s="1056" t="s">
        <v>2675</v>
      </c>
      <c r="B2847" s="1057" t="s">
        <v>2676</v>
      </c>
      <c r="D2847" s="1064" t="e">
        <f>VLOOKUP(B2838,'LƯƠNG KT'!$D$15:$R$94,13,0)</f>
        <v>#N/A</v>
      </c>
      <c r="E2847" s="1065"/>
      <c r="F2847" s="1065"/>
      <c r="G2847" s="1056" t="s">
        <v>2675</v>
      </c>
      <c r="H2847" s="1057" t="s">
        <v>2676</v>
      </c>
      <c r="J2847" s="1064" t="e">
        <f>VLOOKUP(H2838,'LƯƠNG KT'!$D$15:$R$94,13,0)</f>
        <v>#N/A</v>
      </c>
    </row>
    <row r="2848" spans="1:15" ht="15" customHeight="1">
      <c r="A2848" s="1066"/>
      <c r="B2848" s="869"/>
      <c r="C2848" s="1058"/>
      <c r="D2848" s="1059"/>
      <c r="E2848" s="1063"/>
      <c r="F2848" s="1065"/>
      <c r="G2848" s="1066"/>
      <c r="H2848" s="869"/>
      <c r="I2848" s="1058"/>
      <c r="J2848" s="1059"/>
    </row>
    <row r="2849" spans="1:15" ht="15" customHeight="1">
      <c r="A2849" s="1052"/>
      <c r="B2849" s="869"/>
      <c r="C2849" s="1058"/>
      <c r="D2849" s="1059"/>
      <c r="E2849" s="1067"/>
      <c r="F2849" s="1051"/>
      <c r="G2849" s="1052"/>
      <c r="H2849" s="869"/>
      <c r="I2849" s="1058"/>
      <c r="J2849" s="1059"/>
    </row>
    <row r="2850" spans="1:15" ht="15" customHeight="1">
      <c r="A2850" s="1068" t="s">
        <v>383</v>
      </c>
      <c r="B2850" s="1069" t="s">
        <v>384</v>
      </c>
      <c r="C2850" s="1070"/>
      <c r="D2850" s="1071" t="e">
        <f>SUM(D2839:D2846)-D2849</f>
        <v>#N/A</v>
      </c>
      <c r="E2850" s="1072"/>
      <c r="F2850" s="1073"/>
      <c r="G2850" s="1068" t="s">
        <v>383</v>
      </c>
      <c r="H2850" s="1069" t="s">
        <v>384</v>
      </c>
      <c r="I2850" s="1070"/>
      <c r="J2850" s="1071" t="e">
        <f>SUM(J2839:J2846)-J2849</f>
        <v>#N/A</v>
      </c>
    </row>
    <row r="2851" spans="1:15" ht="15.75" customHeight="1">
      <c r="A2851" s="1074"/>
      <c r="B2851" s="1075"/>
      <c r="C2851" s="1076"/>
      <c r="D2851" s="1077"/>
      <c r="E2851" s="1077"/>
      <c r="F2851" s="1078"/>
      <c r="G2851" s="1074"/>
      <c r="H2851" s="1075"/>
      <c r="I2851" s="1076"/>
      <c r="J2851" s="1077"/>
    </row>
    <row r="2853" spans="1:15" ht="12" customHeight="1">
      <c r="A2853" s="2243"/>
      <c r="B2853" s="2243"/>
      <c r="C2853" s="2243"/>
      <c r="D2853" s="2243"/>
      <c r="E2853" s="2243"/>
      <c r="F2853" s="2243"/>
      <c r="G2853" s="2243"/>
      <c r="H2853" s="2243"/>
      <c r="I2853" s="2243"/>
      <c r="J2853" s="2243"/>
    </row>
    <row r="2854" spans="1:15" ht="15" customHeight="1">
      <c r="A2854" s="2242" t="str">
        <f>$K$2</f>
        <v>THÁNG 04/2025</v>
      </c>
      <c r="B2854" s="2242"/>
      <c r="C2854" s="2242"/>
      <c r="D2854" s="2242"/>
      <c r="E2854" s="1050"/>
      <c r="F2854" s="1051"/>
      <c r="G2854" s="2242" t="str">
        <f>$K$2</f>
        <v>THÁNG 04/2025</v>
      </c>
      <c r="H2854" s="2242"/>
      <c r="I2854" s="2242"/>
      <c r="J2854" s="2242"/>
      <c r="K2854" s="624"/>
    </row>
    <row r="2855" spans="1:15" ht="15" customHeight="1">
      <c r="A2855" s="1052" t="s">
        <v>356</v>
      </c>
      <c r="B2855" s="1053" t="s">
        <v>230</v>
      </c>
      <c r="C2855" s="869"/>
      <c r="D2855" s="1049"/>
      <c r="E2855" s="1054"/>
      <c r="F2855" s="1055"/>
      <c r="G2855" s="1052" t="s">
        <v>356</v>
      </c>
      <c r="H2855" s="1053" t="s">
        <v>231</v>
      </c>
      <c r="I2855" s="869"/>
      <c r="J2855" s="1049"/>
      <c r="L2855" s="1088"/>
      <c r="M2855" s="1088"/>
      <c r="N2855" s="1088"/>
      <c r="O2855" s="1088"/>
    </row>
    <row r="2856" spans="1:15" ht="15" customHeight="1">
      <c r="A2856" s="1056" t="s">
        <v>359</v>
      </c>
      <c r="B2856" s="1057" t="s">
        <v>2662</v>
      </c>
      <c r="C2856" s="1058" t="e">
        <f>VLOOKUP(B2855,'LƯƠNG KT'!$D$15:$R$94,4,0)</f>
        <v>#N/A</v>
      </c>
      <c r="D2856" s="1059" t="e">
        <f>+C2856*25000</f>
        <v>#N/A</v>
      </c>
      <c r="E2856" s="1060"/>
      <c r="F2856" s="1060"/>
      <c r="G2856" s="1056" t="s">
        <v>359</v>
      </c>
      <c r="H2856" s="1057" t="s">
        <v>2662</v>
      </c>
      <c r="I2856" s="1058" t="e">
        <f>VLOOKUP(H2855,'LƯƠNG KT'!$D$15:$R$94,4,0)</f>
        <v>#N/A</v>
      </c>
      <c r="J2856" s="1059" t="e">
        <f>+I2856*25000</f>
        <v>#N/A</v>
      </c>
      <c r="K2856" s="1084"/>
      <c r="L2856" s="1085"/>
      <c r="M2856" s="1085"/>
      <c r="N2856" s="1085"/>
      <c r="O2856" s="1085"/>
    </row>
    <row r="2857" spans="1:15" ht="15" customHeight="1">
      <c r="A2857" s="1056" t="s">
        <v>361</v>
      </c>
      <c r="B2857" s="1057" t="s">
        <v>2663</v>
      </c>
      <c r="C2857" s="1058" t="e">
        <f>VLOOKUP(B2855,'LƯƠNG KT'!$D$15:$R$94,15,0)</f>
        <v>#N/A</v>
      </c>
      <c r="D2857" s="1059" t="e">
        <f>C2857*$L$4</f>
        <v>#N/A</v>
      </c>
      <c r="E2857" s="1061"/>
      <c r="F2857" s="1061"/>
      <c r="G2857" s="1056" t="s">
        <v>361</v>
      </c>
      <c r="H2857" s="1057" t="s">
        <v>2663</v>
      </c>
      <c r="I2857" s="1058" t="e">
        <f>VLOOKUP(H2855,'LƯƠNG KT'!$D$15:$R$94,15,0)</f>
        <v>#N/A</v>
      </c>
      <c r="J2857" s="1059" t="e">
        <f>I2857*$L$4</f>
        <v>#N/A</v>
      </c>
      <c r="K2857" s="1084"/>
      <c r="L2857" s="1085"/>
      <c r="M2857" s="1085"/>
      <c r="N2857" s="1085"/>
      <c r="O2857" s="1085"/>
    </row>
    <row r="2858" spans="1:15" ht="15" customHeight="1">
      <c r="A2858" s="1056" t="s">
        <v>364</v>
      </c>
      <c r="B2858" s="1057" t="s">
        <v>2664</v>
      </c>
      <c r="C2858" s="1058" t="e">
        <f>VLOOKUP(B2855,'LƯƠNG KT'!$D$15:$R$94,16,0)</f>
        <v>#N/A</v>
      </c>
      <c r="D2858" s="1059" t="e">
        <f>C2858*$L$5</f>
        <v>#N/A</v>
      </c>
      <c r="E2858" s="1061"/>
      <c r="F2858" s="1061"/>
      <c r="G2858" s="1056" t="s">
        <v>364</v>
      </c>
      <c r="H2858" s="1057" t="s">
        <v>2664</v>
      </c>
      <c r="I2858" s="1058" t="e">
        <f>VLOOKUP(H2855,'LƯƠNG KT'!$D$15:$R$94,16,0)</f>
        <v>#N/A</v>
      </c>
      <c r="J2858" s="1059" t="e">
        <f>I2858*$L$5</f>
        <v>#N/A</v>
      </c>
      <c r="K2858" s="1084"/>
      <c r="L2858" s="1085"/>
      <c r="M2858" s="1085"/>
      <c r="N2858" s="1085"/>
      <c r="O2858" s="1085"/>
    </row>
    <row r="2859" spans="1:15" ht="15" customHeight="1">
      <c r="A2859" s="1056" t="s">
        <v>370</v>
      </c>
      <c r="B2859" s="1057" t="s">
        <v>2665</v>
      </c>
      <c r="C2859" s="1058" t="e">
        <f>VLOOKUP(B2855,'LƯƠNG KT'!$D$15:$R$94,24,0)</f>
        <v>#N/A</v>
      </c>
      <c r="D2859" s="1059" t="e">
        <f>+C2859*$L$6</f>
        <v>#N/A</v>
      </c>
      <c r="E2859" s="1061"/>
      <c r="F2859" s="1061"/>
      <c r="G2859" s="1056" t="s">
        <v>370</v>
      </c>
      <c r="H2859" s="1057" t="s">
        <v>2665</v>
      </c>
      <c r="I2859" s="1058" t="e">
        <f>VLOOKUP(H2855,'LƯƠNG KT'!$D$15:$R$94,24,0)</f>
        <v>#N/A</v>
      </c>
      <c r="J2859" s="1059" t="e">
        <f>+I2859*$L$6</f>
        <v>#N/A</v>
      </c>
      <c r="K2859" s="1085"/>
      <c r="L2859" s="1085"/>
      <c r="M2859" s="1085"/>
      <c r="N2859" s="1085"/>
      <c r="O2859" s="1085"/>
    </row>
    <row r="2860" spans="1:15" ht="15" customHeight="1">
      <c r="A2860" s="1056" t="s">
        <v>2666</v>
      </c>
      <c r="B2860" s="1057" t="s">
        <v>2667</v>
      </c>
      <c r="C2860" s="1058" t="e">
        <f>VLOOKUP(B2855,'LƯƠNG KT'!$D$15:$R$94,19,0)</f>
        <v>#N/A</v>
      </c>
      <c r="D2860" s="1059" t="e">
        <f>+C2860*$L$8</f>
        <v>#N/A</v>
      </c>
      <c r="E2860" s="1061"/>
      <c r="F2860" s="1061"/>
      <c r="G2860" s="1056" t="s">
        <v>2666</v>
      </c>
      <c r="H2860" s="1057" t="s">
        <v>2667</v>
      </c>
      <c r="I2860" s="1058" t="e">
        <f>VLOOKUP(H2855,'LƯƠNG KT'!$D$15:$R$94,19,0)</f>
        <v>#N/A</v>
      </c>
      <c r="J2860" s="1059" t="e">
        <f>+I2860*$L$8</f>
        <v>#N/A</v>
      </c>
      <c r="K2860" s="1085"/>
      <c r="L2860" s="1085"/>
      <c r="M2860" s="1085"/>
      <c r="N2860" s="1085"/>
      <c r="O2860" s="1085"/>
    </row>
    <row r="2861" spans="1:15" ht="15" customHeight="1">
      <c r="A2861" s="1056" t="s">
        <v>2668</v>
      </c>
      <c r="B2861" s="1062" t="s">
        <v>2669</v>
      </c>
      <c r="C2861" s="1058" t="e">
        <f>VLOOKUP(B2855,'LƯƠNG KT'!$D$15:$R$94,20,0)</f>
        <v>#N/A</v>
      </c>
      <c r="D2861" s="1059" t="e">
        <f>+C2861*$L$9</f>
        <v>#N/A</v>
      </c>
      <c r="E2861" s="1061"/>
      <c r="F2861" s="1061"/>
      <c r="G2861" s="1056" t="s">
        <v>2668</v>
      </c>
      <c r="H2861" s="1062" t="s">
        <v>2669</v>
      </c>
      <c r="I2861" s="1058" t="e">
        <f>VLOOKUP(H2855,'LƯƠNG KT'!$D$15:$R$94,20,0)</f>
        <v>#N/A</v>
      </c>
      <c r="J2861" s="1059" t="e">
        <f>+I2861*$L$9</f>
        <v>#N/A</v>
      </c>
      <c r="K2861" s="1085"/>
      <c r="L2861" s="1085"/>
      <c r="M2861" s="1085"/>
      <c r="N2861" s="1085"/>
      <c r="O2861" s="1085"/>
    </row>
    <row r="2862" spans="1:15" ht="15" customHeight="1">
      <c r="A2862" s="1056" t="s">
        <v>2671</v>
      </c>
      <c r="B2862" s="1057" t="s">
        <v>2672</v>
      </c>
      <c r="C2862" s="1058" t="e">
        <f>VLOOKUP(B2855,'LƯƠNG KT'!$D$15:$R$94,17,0)</f>
        <v>#N/A</v>
      </c>
      <c r="D2862" s="1059" t="e">
        <f>+C2862*$L$10</f>
        <v>#N/A</v>
      </c>
      <c r="E2862" s="1061"/>
      <c r="F2862" s="1061"/>
      <c r="G2862" s="1056" t="s">
        <v>2671</v>
      </c>
      <c r="H2862" s="1057" t="s">
        <v>2672</v>
      </c>
      <c r="I2862" s="1058" t="e">
        <f>VLOOKUP(H2855,'LƯƠNG KT'!$D$15:$R$94,17,0)</f>
        <v>#N/A</v>
      </c>
      <c r="J2862" s="1059" t="e">
        <f>+I2862*$L$10</f>
        <v>#N/A</v>
      </c>
      <c r="K2862" s="1085"/>
      <c r="L2862" s="1085"/>
      <c r="M2862" s="1085"/>
      <c r="N2862" s="1085"/>
      <c r="O2862" s="1085"/>
    </row>
    <row r="2863" spans="1:15" ht="15" customHeight="1">
      <c r="A2863" s="1056" t="s">
        <v>374</v>
      </c>
      <c r="B2863" s="1057" t="s">
        <v>2674</v>
      </c>
      <c r="C2863" s="1058" t="e">
        <f>VLOOKUP(B2855,'LƯƠNG KT'!$D$15:$R$94,12,0)</f>
        <v>#N/A</v>
      </c>
      <c r="D2863" s="1059" t="e">
        <f>VLOOKUP(B2855,'LƯƠNG KT'!$D$15:$R$94,14,0)</f>
        <v>#N/A</v>
      </c>
      <c r="E2863" s="1063"/>
      <c r="F2863" s="1061"/>
      <c r="G2863" s="1056" t="s">
        <v>374</v>
      </c>
      <c r="H2863" s="1057" t="s">
        <v>2674</v>
      </c>
      <c r="I2863" s="1058" t="e">
        <f>VLOOKUP(H2855,'LƯƠNG KT'!$D$15:$R$94,12,0)</f>
        <v>#N/A</v>
      </c>
      <c r="J2863" s="1059" t="e">
        <f>VLOOKUP(H2855,'LƯƠNG KT'!$D$15:$R$94,14,0)</f>
        <v>#N/A</v>
      </c>
      <c r="K2863" s="1085"/>
      <c r="L2863" s="1085"/>
      <c r="M2863" s="1085"/>
      <c r="N2863" s="1085"/>
      <c r="O2863" s="1085"/>
    </row>
    <row r="2864" spans="1:15" ht="15" customHeight="1">
      <c r="A2864" s="1056" t="s">
        <v>2675</v>
      </c>
      <c r="B2864" s="1057" t="s">
        <v>2676</v>
      </c>
      <c r="D2864" s="1064" t="e">
        <f>VLOOKUP(B2855,'LƯƠNG KT'!$D$15:$R$94,13,0)</f>
        <v>#N/A</v>
      </c>
      <c r="E2864" s="1065"/>
      <c r="F2864" s="1065"/>
      <c r="G2864" s="1056" t="s">
        <v>2675</v>
      </c>
      <c r="H2864" s="1057" t="s">
        <v>2676</v>
      </c>
      <c r="J2864" s="1064" t="e">
        <f>VLOOKUP(H2855,'LƯƠNG KT'!$D$15:$R$94,13,0)</f>
        <v>#N/A</v>
      </c>
    </row>
    <row r="2865" spans="1:15" ht="15" customHeight="1">
      <c r="A2865" s="1066"/>
      <c r="B2865" s="869"/>
      <c r="C2865" s="1058"/>
      <c r="D2865" s="1059"/>
      <c r="E2865" s="1063"/>
      <c r="F2865" s="1065"/>
      <c r="G2865" s="1066"/>
      <c r="H2865" s="869"/>
      <c r="I2865" s="1058"/>
      <c r="J2865" s="1059"/>
    </row>
    <row r="2866" spans="1:15" ht="15" customHeight="1">
      <c r="A2866" s="1052"/>
      <c r="B2866" s="869"/>
      <c r="C2866" s="1058"/>
      <c r="D2866" s="1059"/>
      <c r="E2866" s="1067"/>
      <c r="F2866" s="1051"/>
      <c r="G2866" s="1052"/>
      <c r="H2866" s="869"/>
      <c r="I2866" s="1058"/>
      <c r="J2866" s="1059"/>
    </row>
    <row r="2867" spans="1:15" ht="15" customHeight="1">
      <c r="A2867" s="1068" t="s">
        <v>383</v>
      </c>
      <c r="B2867" s="1069" t="s">
        <v>384</v>
      </c>
      <c r="C2867" s="1070"/>
      <c r="D2867" s="1071" t="e">
        <f>SUM(D2856:D2863)-D2866</f>
        <v>#N/A</v>
      </c>
      <c r="E2867" s="1072"/>
      <c r="F2867" s="1073"/>
      <c r="G2867" s="1068" t="s">
        <v>383</v>
      </c>
      <c r="H2867" s="1069" t="s">
        <v>384</v>
      </c>
      <c r="I2867" s="1070"/>
      <c r="J2867" s="1071" t="e">
        <f>SUM(J2856:J2863)-J2866</f>
        <v>#N/A</v>
      </c>
    </row>
    <row r="2868" spans="1:15" ht="12.6" customHeight="1">
      <c r="A2868" s="1074"/>
      <c r="B2868" s="1075"/>
      <c r="C2868" s="1076"/>
      <c r="D2868" s="1077"/>
      <c r="E2868" s="1077"/>
      <c r="F2868" s="1078"/>
      <c r="G2868" s="1074"/>
      <c r="H2868" s="1075"/>
      <c r="I2868" s="1076"/>
      <c r="J2868" s="1077"/>
    </row>
    <row r="2869" spans="1:15" ht="101.25" customHeight="1">
      <c r="A2869" s="1075"/>
      <c r="B2869" s="1075"/>
      <c r="C2869" s="1079"/>
      <c r="D2869" s="1080"/>
      <c r="E2869" s="1075"/>
      <c r="F2869" s="1081"/>
      <c r="G2869" s="1075"/>
      <c r="H2869" s="1075"/>
      <c r="I2869" s="1079"/>
      <c r="J2869" s="1080"/>
    </row>
    <row r="2870" spans="1:15" ht="15" customHeight="1">
      <c r="A2870" s="2242" t="str">
        <f>$K$2</f>
        <v>THÁNG 04/2025</v>
      </c>
      <c r="B2870" s="2242"/>
      <c r="C2870" s="2242"/>
      <c r="D2870" s="2242"/>
      <c r="E2870" s="1050"/>
      <c r="F2870" s="1051"/>
      <c r="G2870" s="2242" t="str">
        <f>$K$2</f>
        <v>THÁNG 04/2025</v>
      </c>
      <c r="H2870" s="2242"/>
      <c r="I2870" s="2242"/>
      <c r="J2870" s="2242"/>
      <c r="K2870" s="624"/>
    </row>
    <row r="2871" spans="1:15" ht="15" customHeight="1">
      <c r="A2871" s="1052" t="s">
        <v>356</v>
      </c>
      <c r="B2871" s="1053" t="s">
        <v>232</v>
      </c>
      <c r="C2871" s="869"/>
      <c r="D2871" s="1049"/>
      <c r="E2871" s="1054"/>
      <c r="F2871" s="1055"/>
      <c r="G2871" s="1052" t="s">
        <v>356</v>
      </c>
      <c r="H2871" s="1053" t="s">
        <v>233</v>
      </c>
      <c r="I2871" s="869"/>
      <c r="J2871" s="1049"/>
      <c r="L2871" s="1088"/>
      <c r="M2871" s="1088"/>
      <c r="N2871" s="1088"/>
      <c r="O2871" s="1088"/>
    </row>
    <row r="2872" spans="1:15" ht="15" customHeight="1">
      <c r="A2872" s="1056" t="s">
        <v>359</v>
      </c>
      <c r="B2872" s="1057" t="s">
        <v>2662</v>
      </c>
      <c r="C2872" s="1058" t="e">
        <f>VLOOKUP(B2871,'LƯƠNG KT'!$D$15:$R$94,4,0)</f>
        <v>#N/A</v>
      </c>
      <c r="D2872" s="1059" t="e">
        <f>+C2872*25000</f>
        <v>#N/A</v>
      </c>
      <c r="E2872" s="1060"/>
      <c r="F2872" s="1060"/>
      <c r="G2872" s="1056" t="s">
        <v>359</v>
      </c>
      <c r="H2872" s="1057" t="s">
        <v>2662</v>
      </c>
      <c r="I2872" s="1058" t="e">
        <f>VLOOKUP(H2871,'LƯƠNG KT'!$D$15:$R$94,4,0)</f>
        <v>#N/A</v>
      </c>
      <c r="J2872" s="1059" t="e">
        <f>+I2872*25000</f>
        <v>#N/A</v>
      </c>
      <c r="K2872" s="1085"/>
      <c r="L2872" s="1085"/>
      <c r="M2872" s="1085"/>
      <c r="N2872" s="1085"/>
      <c r="O2872" s="1085"/>
    </row>
    <row r="2873" spans="1:15" ht="15" customHeight="1">
      <c r="A2873" s="1056" t="s">
        <v>361</v>
      </c>
      <c r="B2873" s="1057" t="s">
        <v>2663</v>
      </c>
      <c r="C2873" s="1058" t="e">
        <f>VLOOKUP(B2871,'LƯƠNG KT'!$D$15:$R$94,15,0)</f>
        <v>#N/A</v>
      </c>
      <c r="D2873" s="1059" t="e">
        <f>C2873*$L$4</f>
        <v>#N/A</v>
      </c>
      <c r="E2873" s="1061"/>
      <c r="F2873" s="1061"/>
      <c r="G2873" s="1056" t="s">
        <v>361</v>
      </c>
      <c r="H2873" s="1057" t="s">
        <v>2663</v>
      </c>
      <c r="I2873" s="1058" t="e">
        <f>VLOOKUP(H2871,'LƯƠNG KT'!$D$15:$R$94,15,0)</f>
        <v>#N/A</v>
      </c>
      <c r="J2873" s="1059" t="e">
        <f>I2873*$L$4</f>
        <v>#N/A</v>
      </c>
      <c r="K2873" s="1085"/>
      <c r="L2873" s="1085"/>
      <c r="M2873" s="1085"/>
      <c r="N2873" s="1085"/>
      <c r="O2873" s="1085"/>
    </row>
    <row r="2874" spans="1:15" ht="15" customHeight="1">
      <c r="A2874" s="1056" t="s">
        <v>364</v>
      </c>
      <c r="B2874" s="1057" t="s">
        <v>2664</v>
      </c>
      <c r="C2874" s="1058" t="e">
        <f>VLOOKUP(B2871,'LƯƠNG KT'!$D$15:$R$94,16,0)</f>
        <v>#N/A</v>
      </c>
      <c r="D2874" s="1059" t="e">
        <f>C2874*$L$5</f>
        <v>#N/A</v>
      </c>
      <c r="E2874" s="1061"/>
      <c r="F2874" s="1061"/>
      <c r="G2874" s="1056" t="s">
        <v>364</v>
      </c>
      <c r="H2874" s="1057" t="s">
        <v>2664</v>
      </c>
      <c r="I2874" s="1058" t="e">
        <f>VLOOKUP(H2871,'LƯƠNG KT'!$D$15:$R$94,16,0)</f>
        <v>#N/A</v>
      </c>
      <c r="J2874" s="1059" t="e">
        <f>I2874*$L$5</f>
        <v>#N/A</v>
      </c>
      <c r="K2874" s="1085"/>
      <c r="L2874" s="1085"/>
      <c r="M2874" s="1085"/>
      <c r="N2874" s="1085"/>
      <c r="O2874" s="1085"/>
    </row>
    <row r="2875" spans="1:15" ht="15" customHeight="1">
      <c r="A2875" s="1056" t="s">
        <v>370</v>
      </c>
      <c r="B2875" s="1057" t="s">
        <v>2665</v>
      </c>
      <c r="C2875" s="1058" t="e">
        <f>VLOOKUP(B2871,'LƯƠNG KT'!$D$15:$R$94,24,0)</f>
        <v>#N/A</v>
      </c>
      <c r="D2875" s="1059" t="e">
        <f>+C2875*$L$6</f>
        <v>#N/A</v>
      </c>
      <c r="E2875" s="1061"/>
      <c r="F2875" s="1061"/>
      <c r="G2875" s="1056" t="s">
        <v>370</v>
      </c>
      <c r="H2875" s="1057" t="s">
        <v>2665</v>
      </c>
      <c r="I2875" s="1058" t="e">
        <f>VLOOKUP(H2871,'LƯƠNG KT'!$D$15:$R$94,24,0)</f>
        <v>#N/A</v>
      </c>
      <c r="J2875" s="1059" t="e">
        <f>+I2875*$L$6</f>
        <v>#N/A</v>
      </c>
      <c r="K2875" s="1085"/>
      <c r="L2875" s="1085"/>
      <c r="M2875" s="1085"/>
      <c r="N2875" s="1085"/>
      <c r="O2875" s="1085"/>
    </row>
    <row r="2876" spans="1:15" ht="15" customHeight="1">
      <c r="A2876" s="1056" t="s">
        <v>2666</v>
      </c>
      <c r="B2876" s="1057" t="s">
        <v>2667</v>
      </c>
      <c r="C2876" s="1058" t="e">
        <f>VLOOKUP(B2871,'LƯƠNG KT'!$D$15:$R$94,19,0)</f>
        <v>#N/A</v>
      </c>
      <c r="D2876" s="1059" t="e">
        <f>+C2876*$L$8</f>
        <v>#N/A</v>
      </c>
      <c r="E2876" s="1061"/>
      <c r="F2876" s="1061"/>
      <c r="G2876" s="1056" t="s">
        <v>2666</v>
      </c>
      <c r="H2876" s="1057" t="s">
        <v>2667</v>
      </c>
      <c r="I2876" s="1058" t="e">
        <f>VLOOKUP(H2871,'LƯƠNG KT'!$D$15:$R$94,19,0)</f>
        <v>#N/A</v>
      </c>
      <c r="J2876" s="1059" t="e">
        <f>+I2876*$L$8</f>
        <v>#N/A</v>
      </c>
      <c r="K2876" s="1085"/>
      <c r="L2876" s="1085"/>
      <c r="M2876" s="1085"/>
      <c r="N2876" s="1085"/>
      <c r="O2876" s="1085"/>
    </row>
    <row r="2877" spans="1:15" ht="15" customHeight="1">
      <c r="A2877" s="1056" t="s">
        <v>2668</v>
      </c>
      <c r="B2877" s="1062" t="s">
        <v>2669</v>
      </c>
      <c r="C2877" s="1058" t="e">
        <f>VLOOKUP(B2871,'LƯƠNG KT'!$D$15:$R$94,20,0)</f>
        <v>#N/A</v>
      </c>
      <c r="D2877" s="1059" t="e">
        <f>+C2877*$L$9</f>
        <v>#N/A</v>
      </c>
      <c r="E2877" s="1061"/>
      <c r="F2877" s="1061"/>
      <c r="G2877" s="1056" t="s">
        <v>2668</v>
      </c>
      <c r="H2877" s="1062" t="s">
        <v>2669</v>
      </c>
      <c r="I2877" s="1058" t="e">
        <f>VLOOKUP(H2871,'LƯƠNG KT'!$D$15:$R$94,20,0)</f>
        <v>#N/A</v>
      </c>
      <c r="J2877" s="1059" t="e">
        <f>+I2877*$L$9</f>
        <v>#N/A</v>
      </c>
      <c r="K2877" s="1085"/>
      <c r="L2877" s="1085"/>
      <c r="M2877" s="1085"/>
      <c r="N2877" s="1085"/>
      <c r="O2877" s="1085"/>
    </row>
    <row r="2878" spans="1:15" ht="15" customHeight="1">
      <c r="A2878" s="1056" t="s">
        <v>2671</v>
      </c>
      <c r="B2878" s="1057" t="s">
        <v>2672</v>
      </c>
      <c r="C2878" s="1058" t="e">
        <f>VLOOKUP(B2871,'LƯƠNG KT'!$D$15:$R$94,17,0)</f>
        <v>#N/A</v>
      </c>
      <c r="D2878" s="1059" t="e">
        <f>+C2878*$L$10</f>
        <v>#N/A</v>
      </c>
      <c r="E2878" s="1061"/>
      <c r="F2878" s="1061"/>
      <c r="G2878" s="1056" t="s">
        <v>2671</v>
      </c>
      <c r="H2878" s="1057" t="s">
        <v>2672</v>
      </c>
      <c r="I2878" s="1058" t="e">
        <f>VLOOKUP(H2871,'LƯƠNG KT'!$D$15:$R$94,17,0)</f>
        <v>#N/A</v>
      </c>
      <c r="J2878" s="1059" t="e">
        <f>+I2878*$L$10</f>
        <v>#N/A</v>
      </c>
      <c r="K2878" s="1085"/>
      <c r="L2878" s="1085"/>
      <c r="M2878" s="1085"/>
      <c r="N2878" s="1085"/>
      <c r="O2878" s="1085"/>
    </row>
    <row r="2879" spans="1:15" ht="15" customHeight="1">
      <c r="A2879" s="1056" t="s">
        <v>374</v>
      </c>
      <c r="B2879" s="1057" t="s">
        <v>2674</v>
      </c>
      <c r="C2879" s="1058" t="e">
        <f>VLOOKUP(B2871,'LƯƠNG KT'!$D$15:$R$94,12,0)</f>
        <v>#N/A</v>
      </c>
      <c r="D2879" s="1059" t="e">
        <f>VLOOKUP(B2871,'LƯƠNG KT'!$D$15:$R$94,14,0)</f>
        <v>#N/A</v>
      </c>
      <c r="E2879" s="1063"/>
      <c r="F2879" s="1061"/>
      <c r="G2879" s="1056" t="s">
        <v>374</v>
      </c>
      <c r="H2879" s="1057" t="s">
        <v>2674</v>
      </c>
      <c r="I2879" s="1058" t="e">
        <f>VLOOKUP(H2871,'LƯƠNG KT'!$D$15:$R$94,12,0)</f>
        <v>#N/A</v>
      </c>
      <c r="J2879" s="1059" t="e">
        <f>VLOOKUP(H2871,'LƯƠNG KT'!$D$15:$R$94,14,0)</f>
        <v>#N/A</v>
      </c>
      <c r="K2879" s="1085"/>
      <c r="L2879" s="1085"/>
      <c r="M2879" s="1085"/>
      <c r="N2879" s="1085"/>
      <c r="O2879" s="1085"/>
    </row>
    <row r="2880" spans="1:15" ht="15" customHeight="1">
      <c r="A2880" s="1056" t="s">
        <v>2675</v>
      </c>
      <c r="B2880" s="1057" t="s">
        <v>2676</v>
      </c>
      <c r="D2880" s="1064" t="e">
        <f>VLOOKUP(B2871,'LƯƠNG KT'!$D$15:$R$94,13,0)</f>
        <v>#N/A</v>
      </c>
      <c r="E2880" s="1065"/>
      <c r="F2880" s="1065"/>
      <c r="G2880" s="1056" t="s">
        <v>2675</v>
      </c>
      <c r="H2880" s="1057" t="s">
        <v>2676</v>
      </c>
      <c r="J2880" s="1064" t="e">
        <f>VLOOKUP(H2871,'LƯƠNG KT'!$D$15:$R$94,13,0)</f>
        <v>#N/A</v>
      </c>
    </row>
    <row r="2881" spans="1:15" ht="15" customHeight="1">
      <c r="A2881" s="1066"/>
      <c r="B2881" s="869"/>
      <c r="C2881" s="1058"/>
      <c r="D2881" s="1059"/>
      <c r="E2881" s="1063"/>
      <c r="F2881" s="1065"/>
      <c r="G2881" s="1066"/>
      <c r="H2881" s="869"/>
      <c r="I2881" s="1058"/>
      <c r="J2881" s="1059"/>
    </row>
    <row r="2882" spans="1:15" ht="15" customHeight="1">
      <c r="A2882" s="1052"/>
      <c r="B2882" s="869"/>
      <c r="C2882" s="1058"/>
      <c r="D2882" s="1059"/>
      <c r="E2882" s="1067"/>
      <c r="F2882" s="1051"/>
      <c r="G2882" s="1052"/>
      <c r="H2882" s="869"/>
      <c r="I2882" s="1058"/>
      <c r="J2882" s="1059"/>
    </row>
    <row r="2883" spans="1:15" ht="15" customHeight="1">
      <c r="A2883" s="1068" t="s">
        <v>383</v>
      </c>
      <c r="B2883" s="1069" t="s">
        <v>384</v>
      </c>
      <c r="C2883" s="1070"/>
      <c r="D2883" s="1071" t="e">
        <f>SUM(D2872:D2879)-D2882</f>
        <v>#N/A</v>
      </c>
      <c r="E2883" s="1072"/>
      <c r="F2883" s="1073"/>
      <c r="G2883" s="1068" t="s">
        <v>383</v>
      </c>
      <c r="H2883" s="1069" t="s">
        <v>384</v>
      </c>
      <c r="I2883" s="1070"/>
      <c r="J2883" s="1071" t="e">
        <f>SUM(J2872:J2879)-J2882</f>
        <v>#N/A</v>
      </c>
    </row>
    <row r="2884" spans="1:15" ht="18.75" customHeight="1">
      <c r="A2884" s="1074"/>
      <c r="B2884" s="1075"/>
      <c r="C2884" s="1076"/>
      <c r="D2884" s="1077"/>
      <c r="E2884" s="1077"/>
      <c r="F2884" s="1078"/>
      <c r="G2884" s="1074"/>
      <c r="H2884" s="1075"/>
      <c r="I2884" s="1076"/>
      <c r="J2884" s="1077"/>
    </row>
    <row r="2885" spans="1:15" ht="18.75" customHeight="1">
      <c r="A2885" s="1075"/>
      <c r="B2885" s="1075"/>
      <c r="C2885" s="1079"/>
      <c r="D2885" s="1080"/>
      <c r="E2885" s="1075"/>
      <c r="F2885" s="1081"/>
      <c r="G2885" s="1075"/>
      <c r="H2885" s="1075"/>
      <c r="I2885" s="1079"/>
      <c r="J2885" s="1080"/>
    </row>
    <row r="2886" spans="1:15" ht="15" customHeight="1">
      <c r="A2886" s="2242" t="str">
        <f>$K$2</f>
        <v>THÁNG 04/2025</v>
      </c>
      <c r="B2886" s="2242"/>
      <c r="C2886" s="2242"/>
      <c r="D2886" s="2242"/>
      <c r="E2886" s="1050"/>
      <c r="F2886" s="1051"/>
      <c r="G2886" s="2242" t="str">
        <f>$K$2</f>
        <v>THÁNG 04/2025</v>
      </c>
      <c r="H2886" s="2242"/>
      <c r="I2886" s="2242"/>
      <c r="J2886" s="2242"/>
      <c r="K2886" s="624"/>
    </row>
    <row r="2887" spans="1:15" ht="15" customHeight="1">
      <c r="A2887" s="1052" t="s">
        <v>356</v>
      </c>
      <c r="B2887" s="1053" t="s">
        <v>234</v>
      </c>
      <c r="C2887" s="869"/>
      <c r="D2887" s="1049"/>
      <c r="E2887" s="1054"/>
      <c r="F2887" s="1055"/>
      <c r="G2887" s="1052" t="s">
        <v>356</v>
      </c>
      <c r="H2887" s="1053" t="s">
        <v>235</v>
      </c>
      <c r="I2887" s="869"/>
      <c r="J2887" s="1049"/>
      <c r="L2887" s="1088"/>
      <c r="M2887" s="1088"/>
      <c r="N2887" s="1088"/>
      <c r="O2887" s="1088"/>
    </row>
    <row r="2888" spans="1:15" ht="15" customHeight="1">
      <c r="A2888" s="1056" t="s">
        <v>359</v>
      </c>
      <c r="B2888" s="1057" t="s">
        <v>2662</v>
      </c>
      <c r="C2888" s="1058" t="e">
        <f>VLOOKUP(B2887,'LƯƠNG KT'!$D$15:$R$94,4,0)</f>
        <v>#N/A</v>
      </c>
      <c r="D2888" s="1059" t="e">
        <f>+C2888*25000</f>
        <v>#N/A</v>
      </c>
      <c r="E2888" s="1060"/>
      <c r="F2888" s="1060"/>
      <c r="G2888" s="1056" t="s">
        <v>359</v>
      </c>
      <c r="H2888" s="1057" t="s">
        <v>2662</v>
      </c>
      <c r="I2888" s="1058" t="e">
        <f>VLOOKUP(H2887,'LƯƠNG KT'!$D$15:$R$94,4,0)</f>
        <v>#N/A</v>
      </c>
      <c r="J2888" s="1059" t="e">
        <f>+I2888*25000</f>
        <v>#N/A</v>
      </c>
      <c r="K2888" s="1085"/>
      <c r="L2888" s="1085"/>
      <c r="M2888" s="1085"/>
      <c r="N2888" s="1085"/>
      <c r="O2888" s="1085"/>
    </row>
    <row r="2889" spans="1:15" ht="15" customHeight="1">
      <c r="A2889" s="1056" t="s">
        <v>361</v>
      </c>
      <c r="B2889" s="1057" t="s">
        <v>2663</v>
      </c>
      <c r="C2889" s="1058" t="e">
        <f>VLOOKUP(B2887,'LƯƠNG KT'!$D$15:$R$94,15,0)</f>
        <v>#N/A</v>
      </c>
      <c r="D2889" s="1059" t="e">
        <f>C2889*$L$4</f>
        <v>#N/A</v>
      </c>
      <c r="E2889" s="1061"/>
      <c r="F2889" s="1061"/>
      <c r="G2889" s="1056" t="s">
        <v>361</v>
      </c>
      <c r="H2889" s="1057" t="s">
        <v>2663</v>
      </c>
      <c r="I2889" s="1058" t="e">
        <f>VLOOKUP(H2887,'LƯƠNG KT'!$D$15:$R$94,15,0)</f>
        <v>#N/A</v>
      </c>
      <c r="J2889" s="1059" t="e">
        <f>I2889*$L$4</f>
        <v>#N/A</v>
      </c>
      <c r="K2889" s="1085"/>
      <c r="L2889" s="1085"/>
      <c r="M2889" s="1085"/>
      <c r="N2889" s="1085"/>
      <c r="O2889" s="1085"/>
    </row>
    <row r="2890" spans="1:15" ht="15" customHeight="1">
      <c r="A2890" s="1056" t="s">
        <v>364</v>
      </c>
      <c r="B2890" s="1057" t="s">
        <v>2664</v>
      </c>
      <c r="C2890" s="1058" t="e">
        <f>VLOOKUP(B2887,'LƯƠNG KT'!$D$15:$R$94,16,0)</f>
        <v>#N/A</v>
      </c>
      <c r="D2890" s="1059" t="e">
        <f>C2890*$L$5</f>
        <v>#N/A</v>
      </c>
      <c r="E2890" s="1061"/>
      <c r="F2890" s="1061"/>
      <c r="G2890" s="1056" t="s">
        <v>364</v>
      </c>
      <c r="H2890" s="1057" t="s">
        <v>2664</v>
      </c>
      <c r="I2890" s="1058" t="e">
        <f>VLOOKUP(H2887,'LƯƠNG KT'!$D$15:$R$94,16,0)</f>
        <v>#N/A</v>
      </c>
      <c r="J2890" s="1059" t="e">
        <f>I2890*$L$5</f>
        <v>#N/A</v>
      </c>
      <c r="K2890" s="1085"/>
      <c r="L2890" s="1085"/>
      <c r="M2890" s="1085"/>
      <c r="N2890" s="1085"/>
      <c r="O2890" s="1085"/>
    </row>
    <row r="2891" spans="1:15" ht="15" customHeight="1">
      <c r="A2891" s="1056" t="s">
        <v>370</v>
      </c>
      <c r="B2891" s="1057" t="s">
        <v>2665</v>
      </c>
      <c r="C2891" s="1058" t="e">
        <f>VLOOKUP(B2887,'LƯƠNG KT'!$D$15:$R$94,24,0)</f>
        <v>#N/A</v>
      </c>
      <c r="D2891" s="1059" t="e">
        <f>+C2891*$L$6</f>
        <v>#N/A</v>
      </c>
      <c r="E2891" s="1061"/>
      <c r="F2891" s="1061"/>
      <c r="G2891" s="1056" t="s">
        <v>370</v>
      </c>
      <c r="H2891" s="1057" t="s">
        <v>2665</v>
      </c>
      <c r="I2891" s="1058" t="e">
        <f>VLOOKUP(H2887,'LƯƠNG KT'!$D$15:$R$94,24,0)</f>
        <v>#N/A</v>
      </c>
      <c r="J2891" s="1059" t="e">
        <f>+I2891*$L$6</f>
        <v>#N/A</v>
      </c>
      <c r="K2891" s="1085"/>
      <c r="L2891" s="1085"/>
      <c r="M2891" s="1085"/>
      <c r="N2891" s="1085"/>
      <c r="O2891" s="1085"/>
    </row>
    <row r="2892" spans="1:15" ht="15" customHeight="1">
      <c r="A2892" s="1056" t="s">
        <v>2666</v>
      </c>
      <c r="B2892" s="1057" t="s">
        <v>2667</v>
      </c>
      <c r="C2892" s="1058" t="e">
        <f>VLOOKUP(B2887,'LƯƠNG KT'!$D$15:$R$94,19,0)</f>
        <v>#N/A</v>
      </c>
      <c r="D2892" s="1059" t="e">
        <f>+C2892*$L$8</f>
        <v>#N/A</v>
      </c>
      <c r="E2892" s="1061"/>
      <c r="F2892" s="1061"/>
      <c r="G2892" s="1056" t="s">
        <v>2666</v>
      </c>
      <c r="H2892" s="1057" t="s">
        <v>2667</v>
      </c>
      <c r="I2892" s="1058" t="e">
        <f>VLOOKUP(H2887,'LƯƠNG KT'!$D$15:$R$94,19,0)</f>
        <v>#N/A</v>
      </c>
      <c r="J2892" s="1059" t="e">
        <f>+I2892*$L$8</f>
        <v>#N/A</v>
      </c>
      <c r="K2892" s="1085"/>
      <c r="L2892" s="1085"/>
      <c r="M2892" s="1085"/>
      <c r="N2892" s="1085"/>
      <c r="O2892" s="1085"/>
    </row>
    <row r="2893" spans="1:15" ht="15" customHeight="1">
      <c r="A2893" s="1056" t="s">
        <v>2668</v>
      </c>
      <c r="B2893" s="1062" t="s">
        <v>2669</v>
      </c>
      <c r="C2893" s="1058" t="e">
        <f>VLOOKUP(B2887,'LƯƠNG KT'!$D$15:$R$94,20,0)</f>
        <v>#N/A</v>
      </c>
      <c r="D2893" s="1059" t="e">
        <f>+C2893*$L$9</f>
        <v>#N/A</v>
      </c>
      <c r="E2893" s="1061"/>
      <c r="F2893" s="1061"/>
      <c r="G2893" s="1056" t="s">
        <v>2668</v>
      </c>
      <c r="H2893" s="1062" t="s">
        <v>2669</v>
      </c>
      <c r="I2893" s="1058" t="e">
        <f>VLOOKUP(H2887,'LƯƠNG KT'!$D$15:$R$94,20,0)</f>
        <v>#N/A</v>
      </c>
      <c r="J2893" s="1059" t="e">
        <f>+I2893*$L$9</f>
        <v>#N/A</v>
      </c>
      <c r="K2893" s="1085"/>
      <c r="L2893" s="1085"/>
      <c r="M2893" s="1085"/>
      <c r="N2893" s="1085"/>
      <c r="O2893" s="1085"/>
    </row>
    <row r="2894" spans="1:15" ht="15" customHeight="1">
      <c r="A2894" s="1056" t="s">
        <v>2671</v>
      </c>
      <c r="B2894" s="1057" t="s">
        <v>2672</v>
      </c>
      <c r="C2894" s="1058" t="e">
        <f>VLOOKUP(B2887,'LƯƠNG KT'!$D$15:$R$94,17,0)</f>
        <v>#N/A</v>
      </c>
      <c r="D2894" s="1059" t="e">
        <f>+C2894*$L$10</f>
        <v>#N/A</v>
      </c>
      <c r="E2894" s="1061"/>
      <c r="F2894" s="1061"/>
      <c r="G2894" s="1056" t="s">
        <v>2671</v>
      </c>
      <c r="H2894" s="1057" t="s">
        <v>2672</v>
      </c>
      <c r="I2894" s="1058" t="e">
        <f>VLOOKUP(H2887,'LƯƠNG KT'!$D$15:$R$94,17,0)</f>
        <v>#N/A</v>
      </c>
      <c r="J2894" s="1059" t="e">
        <f>+I2894*$L$10</f>
        <v>#N/A</v>
      </c>
      <c r="K2894" s="1085"/>
      <c r="L2894" s="1085"/>
      <c r="M2894" s="1085"/>
      <c r="N2894" s="1085"/>
      <c r="O2894" s="1085"/>
    </row>
    <row r="2895" spans="1:15" ht="15" customHeight="1">
      <c r="A2895" s="1056" t="s">
        <v>374</v>
      </c>
      <c r="B2895" s="1057" t="s">
        <v>2674</v>
      </c>
      <c r="C2895" s="1058" t="e">
        <f>VLOOKUP(B2887,'LƯƠNG KT'!$D$15:$R$94,12,0)</f>
        <v>#N/A</v>
      </c>
      <c r="D2895" s="1059" t="e">
        <f>VLOOKUP(B2887,'LƯƠNG KT'!$D$15:$R$94,14,0)</f>
        <v>#N/A</v>
      </c>
      <c r="E2895" s="1063"/>
      <c r="F2895" s="1061"/>
      <c r="G2895" s="1056" t="s">
        <v>374</v>
      </c>
      <c r="H2895" s="1057" t="s">
        <v>2674</v>
      </c>
      <c r="I2895" s="1058" t="e">
        <f>VLOOKUP(H2887,'LƯƠNG KT'!$D$15:$R$94,12,0)</f>
        <v>#N/A</v>
      </c>
      <c r="J2895" s="1059" t="e">
        <f>VLOOKUP(H2887,'LƯƠNG KT'!$D$15:$R$94,14,0)</f>
        <v>#N/A</v>
      </c>
      <c r="K2895" s="1085"/>
      <c r="L2895" s="1085"/>
      <c r="M2895" s="1085"/>
      <c r="N2895" s="1085"/>
      <c r="O2895" s="1085"/>
    </row>
    <row r="2896" spans="1:15" ht="15" customHeight="1">
      <c r="A2896" s="1056" t="s">
        <v>2675</v>
      </c>
      <c r="B2896" s="1057" t="s">
        <v>2676</v>
      </c>
      <c r="D2896" s="1064" t="e">
        <f>VLOOKUP(B2887,'LƯƠNG KT'!$D$15:$R$94,13,0)</f>
        <v>#N/A</v>
      </c>
      <c r="E2896" s="1065"/>
      <c r="F2896" s="1065"/>
      <c r="G2896" s="1056" t="s">
        <v>2675</v>
      </c>
      <c r="H2896" s="1057" t="s">
        <v>2676</v>
      </c>
      <c r="J2896" s="1064" t="e">
        <f>VLOOKUP(H2887,'LƯƠNG KT'!$D$15:$R$94,13,0)</f>
        <v>#N/A</v>
      </c>
    </row>
    <row r="2897" spans="1:15" ht="15" customHeight="1">
      <c r="A2897" s="1066"/>
      <c r="B2897" s="869"/>
      <c r="C2897" s="1058"/>
      <c r="D2897" s="1059"/>
      <c r="E2897" s="1063"/>
      <c r="F2897" s="1065"/>
      <c r="G2897" s="1066"/>
      <c r="H2897" s="869"/>
      <c r="I2897" s="1058"/>
      <c r="J2897" s="1059"/>
    </row>
    <row r="2898" spans="1:15" ht="15" customHeight="1">
      <c r="A2898" s="1052"/>
      <c r="B2898" s="869"/>
      <c r="C2898" s="1058"/>
      <c r="D2898" s="1059"/>
      <c r="E2898" s="1067"/>
      <c r="F2898" s="1051"/>
      <c r="G2898" s="1052"/>
      <c r="H2898" s="869"/>
      <c r="I2898" s="1058"/>
      <c r="J2898" s="1059"/>
    </row>
    <row r="2899" spans="1:15" ht="15" customHeight="1">
      <c r="A2899" s="1068" t="s">
        <v>383</v>
      </c>
      <c r="B2899" s="1069" t="s">
        <v>384</v>
      </c>
      <c r="C2899" s="1070"/>
      <c r="D2899" s="1071" t="e">
        <f>SUM(D2888:D2895)-D2898</f>
        <v>#N/A</v>
      </c>
      <c r="E2899" s="1072"/>
      <c r="F2899" s="1073"/>
      <c r="G2899" s="1068" t="s">
        <v>383</v>
      </c>
      <c r="H2899" s="1069" t="s">
        <v>384</v>
      </c>
      <c r="I2899" s="1070"/>
      <c r="J2899" s="1071" t="e">
        <f>SUM(J2888:J2895)-J2898</f>
        <v>#N/A</v>
      </c>
    </row>
    <row r="2900" spans="1:15" ht="18.75" customHeight="1">
      <c r="A2900" s="1074"/>
      <c r="B2900" s="1075"/>
      <c r="C2900" s="1076"/>
      <c r="D2900" s="1077"/>
      <c r="E2900" s="1077"/>
      <c r="F2900" s="1078"/>
      <c r="G2900" s="1074"/>
      <c r="H2900" s="1075"/>
      <c r="I2900" s="1076"/>
      <c r="J2900" s="1077"/>
    </row>
    <row r="2901" spans="1:15" ht="18.75" customHeight="1">
      <c r="A2901" s="1075"/>
      <c r="B2901" s="1075"/>
      <c r="C2901" s="1079"/>
      <c r="D2901" s="1080"/>
      <c r="E2901" s="1075"/>
      <c r="F2901" s="1081"/>
      <c r="G2901" s="1075"/>
      <c r="H2901" s="1075"/>
      <c r="I2901" s="1079"/>
      <c r="J2901" s="1080"/>
    </row>
    <row r="2902" spans="1:15" ht="15" customHeight="1">
      <c r="A2902" s="2242" t="str">
        <f>$K$2</f>
        <v>THÁNG 04/2025</v>
      </c>
      <c r="B2902" s="2242"/>
      <c r="C2902" s="2242"/>
      <c r="D2902" s="2242"/>
      <c r="E2902" s="1050"/>
      <c r="F2902" s="1051"/>
      <c r="G2902" s="2242" t="str">
        <f>$K$2</f>
        <v>THÁNG 04/2025</v>
      </c>
      <c r="H2902" s="2242"/>
      <c r="I2902" s="2242"/>
      <c r="J2902" s="2242"/>
      <c r="K2902" s="624"/>
    </row>
    <row r="2903" spans="1:15" ht="15" customHeight="1">
      <c r="A2903" s="1052" t="s">
        <v>356</v>
      </c>
      <c r="B2903" s="1053" t="s">
        <v>236</v>
      </c>
      <c r="C2903" s="869"/>
      <c r="D2903" s="1049"/>
      <c r="E2903" s="1054"/>
      <c r="F2903" s="1055"/>
      <c r="G2903" s="1052" t="s">
        <v>356</v>
      </c>
      <c r="H2903" s="1053" t="s">
        <v>237</v>
      </c>
      <c r="I2903" s="869"/>
      <c r="J2903" s="1049"/>
      <c r="L2903" s="1088"/>
      <c r="M2903" s="1088"/>
      <c r="N2903" s="1088"/>
      <c r="O2903" s="1088"/>
    </row>
    <row r="2904" spans="1:15" ht="15" customHeight="1">
      <c r="A2904" s="1056" t="s">
        <v>359</v>
      </c>
      <c r="B2904" s="1057" t="s">
        <v>2662</v>
      </c>
      <c r="C2904" s="1058" t="e">
        <f>VLOOKUP(B2903,'LƯƠNG KT'!$D$15:$R$94,4,0)</f>
        <v>#N/A</v>
      </c>
      <c r="D2904" s="1059" t="e">
        <f>+C2904*25000</f>
        <v>#N/A</v>
      </c>
      <c r="E2904" s="1060"/>
      <c r="F2904" s="1060"/>
      <c r="G2904" s="1056" t="s">
        <v>359</v>
      </c>
      <c r="H2904" s="1057" t="s">
        <v>2662</v>
      </c>
      <c r="I2904" s="1058" t="e">
        <f>VLOOKUP(H2903,'LƯƠNG KT'!$D$15:$R$94,4,0)</f>
        <v>#N/A</v>
      </c>
      <c r="J2904" s="1059" t="e">
        <f>+I2904*25000</f>
        <v>#N/A</v>
      </c>
      <c r="K2904" s="1085"/>
      <c r="L2904" s="1085"/>
      <c r="M2904" s="1085"/>
      <c r="N2904" s="1085"/>
      <c r="O2904" s="1085"/>
    </row>
    <row r="2905" spans="1:15" ht="15" customHeight="1">
      <c r="A2905" s="1056" t="s">
        <v>361</v>
      </c>
      <c r="B2905" s="1057" t="s">
        <v>2663</v>
      </c>
      <c r="C2905" s="1058" t="e">
        <f>VLOOKUP(B2903,'LƯƠNG KT'!$D$15:$R$94,15,0)</f>
        <v>#N/A</v>
      </c>
      <c r="D2905" s="1059" t="e">
        <f>C2905*$L$4</f>
        <v>#N/A</v>
      </c>
      <c r="E2905" s="1061"/>
      <c r="F2905" s="1061"/>
      <c r="G2905" s="1056" t="s">
        <v>361</v>
      </c>
      <c r="H2905" s="1057" t="s">
        <v>2663</v>
      </c>
      <c r="I2905" s="1058" t="e">
        <f>VLOOKUP(H2903,'LƯƠNG KT'!$D$15:$R$94,15,0)</f>
        <v>#N/A</v>
      </c>
      <c r="J2905" s="1059" t="e">
        <f>I2905*$L$4</f>
        <v>#N/A</v>
      </c>
      <c r="K2905" s="1085"/>
      <c r="L2905" s="1085"/>
      <c r="M2905" s="1085"/>
      <c r="N2905" s="1085"/>
      <c r="O2905" s="1085"/>
    </row>
    <row r="2906" spans="1:15" ht="15" customHeight="1">
      <c r="A2906" s="1056" t="s">
        <v>364</v>
      </c>
      <c r="B2906" s="1057" t="s">
        <v>2664</v>
      </c>
      <c r="C2906" s="1058" t="e">
        <f>VLOOKUP(B2903,'LƯƠNG KT'!$D$15:$R$94,16,0)</f>
        <v>#N/A</v>
      </c>
      <c r="D2906" s="1059" t="e">
        <f>C2906*$L$5</f>
        <v>#N/A</v>
      </c>
      <c r="E2906" s="1061"/>
      <c r="F2906" s="1061"/>
      <c r="G2906" s="1056" t="s">
        <v>364</v>
      </c>
      <c r="H2906" s="1057" t="s">
        <v>2664</v>
      </c>
      <c r="I2906" s="1058" t="e">
        <f>VLOOKUP(H2903,'LƯƠNG KT'!$D$15:$R$94,16,0)</f>
        <v>#N/A</v>
      </c>
      <c r="J2906" s="1059" t="e">
        <f>I2906*$L$5</f>
        <v>#N/A</v>
      </c>
      <c r="K2906" s="1085"/>
      <c r="L2906" s="1085"/>
      <c r="M2906" s="1085"/>
      <c r="N2906" s="1085"/>
      <c r="O2906" s="1085"/>
    </row>
    <row r="2907" spans="1:15" ht="15" customHeight="1">
      <c r="A2907" s="1056" t="s">
        <v>370</v>
      </c>
      <c r="B2907" s="1057" t="s">
        <v>2665</v>
      </c>
      <c r="C2907" s="1058" t="e">
        <f>VLOOKUP(B2903,'LƯƠNG KT'!$D$15:$R$94,24,0)</f>
        <v>#N/A</v>
      </c>
      <c r="D2907" s="1059" t="e">
        <f>+C2907*$L$6</f>
        <v>#N/A</v>
      </c>
      <c r="E2907" s="1061"/>
      <c r="F2907" s="1061"/>
      <c r="G2907" s="1056" t="s">
        <v>370</v>
      </c>
      <c r="H2907" s="1057" t="s">
        <v>2665</v>
      </c>
      <c r="I2907" s="1058" t="e">
        <f>VLOOKUP(H2903,'LƯƠNG KT'!$D$15:$R$94,24,0)</f>
        <v>#N/A</v>
      </c>
      <c r="J2907" s="1059" t="e">
        <f>+I2907*$L$6</f>
        <v>#N/A</v>
      </c>
      <c r="K2907" s="1085"/>
      <c r="L2907" s="1085"/>
      <c r="M2907" s="1085"/>
      <c r="N2907" s="1085"/>
      <c r="O2907" s="1085"/>
    </row>
    <row r="2908" spans="1:15" ht="15" customHeight="1">
      <c r="A2908" s="1056" t="s">
        <v>2666</v>
      </c>
      <c r="B2908" s="1057" t="s">
        <v>2667</v>
      </c>
      <c r="C2908" s="1058" t="e">
        <f>VLOOKUP(B2903,'LƯƠNG KT'!$D$15:$R$94,19,0)</f>
        <v>#N/A</v>
      </c>
      <c r="D2908" s="1059" t="e">
        <f>+C2908*$L$8</f>
        <v>#N/A</v>
      </c>
      <c r="E2908" s="1061"/>
      <c r="F2908" s="1061"/>
      <c r="G2908" s="1056" t="s">
        <v>2666</v>
      </c>
      <c r="H2908" s="1057" t="s">
        <v>2667</v>
      </c>
      <c r="I2908" s="1058" t="e">
        <f>VLOOKUP(H2903,'LƯƠNG KT'!$D$15:$R$94,19,0)</f>
        <v>#N/A</v>
      </c>
      <c r="J2908" s="1059" t="e">
        <f>+I2908*$L$8</f>
        <v>#N/A</v>
      </c>
      <c r="K2908" s="1085"/>
      <c r="L2908" s="1085"/>
      <c r="M2908" s="1085"/>
      <c r="N2908" s="1085"/>
      <c r="O2908" s="1085"/>
    </row>
    <row r="2909" spans="1:15" ht="15" customHeight="1">
      <c r="A2909" s="1056" t="s">
        <v>2668</v>
      </c>
      <c r="B2909" s="1062" t="s">
        <v>2669</v>
      </c>
      <c r="C2909" s="1058" t="e">
        <f>VLOOKUP(B2903,'LƯƠNG KT'!$D$15:$R$94,20,0)</f>
        <v>#N/A</v>
      </c>
      <c r="D2909" s="1059" t="e">
        <f>+C2909*$L$9</f>
        <v>#N/A</v>
      </c>
      <c r="E2909" s="1061"/>
      <c r="F2909" s="1061"/>
      <c r="G2909" s="1056" t="s">
        <v>2668</v>
      </c>
      <c r="H2909" s="1062" t="s">
        <v>2669</v>
      </c>
      <c r="I2909" s="1058" t="e">
        <f>VLOOKUP(H2903,'LƯƠNG KT'!$D$15:$R$94,20,0)</f>
        <v>#N/A</v>
      </c>
      <c r="J2909" s="1059" t="e">
        <f>+I2909*$L$9</f>
        <v>#N/A</v>
      </c>
      <c r="K2909" s="1085"/>
      <c r="L2909" s="1085"/>
      <c r="M2909" s="1085"/>
      <c r="N2909" s="1085"/>
      <c r="O2909" s="1085"/>
    </row>
    <row r="2910" spans="1:15" ht="15" customHeight="1">
      <c r="A2910" s="1056" t="s">
        <v>2671</v>
      </c>
      <c r="B2910" s="1057" t="s">
        <v>2672</v>
      </c>
      <c r="C2910" s="1058" t="e">
        <f>VLOOKUP(B2903,'LƯƠNG KT'!$D$15:$R$94,17,0)</f>
        <v>#N/A</v>
      </c>
      <c r="D2910" s="1059" t="e">
        <f>+C2910*$L$10</f>
        <v>#N/A</v>
      </c>
      <c r="E2910" s="1061"/>
      <c r="F2910" s="1061"/>
      <c r="G2910" s="1056" t="s">
        <v>2671</v>
      </c>
      <c r="H2910" s="1057" t="s">
        <v>2672</v>
      </c>
      <c r="I2910" s="1058" t="e">
        <f>VLOOKUP(H2903,'LƯƠNG KT'!$D$15:$R$94,17,0)</f>
        <v>#N/A</v>
      </c>
      <c r="J2910" s="1059" t="e">
        <f>+I2910*$L$10</f>
        <v>#N/A</v>
      </c>
      <c r="K2910" s="1085"/>
      <c r="L2910" s="1085"/>
      <c r="M2910" s="1085"/>
      <c r="N2910" s="1085"/>
      <c r="O2910" s="1085"/>
    </row>
    <row r="2911" spans="1:15" ht="15" customHeight="1">
      <c r="A2911" s="1056" t="s">
        <v>374</v>
      </c>
      <c r="B2911" s="1057" t="s">
        <v>2674</v>
      </c>
      <c r="C2911" s="1058" t="e">
        <f>VLOOKUP(B2903,'LƯƠNG KT'!$D$15:$R$94,12,0)</f>
        <v>#N/A</v>
      </c>
      <c r="D2911" s="1059" t="e">
        <f>VLOOKUP(B2903,'LƯƠNG KT'!$D$15:$R$94,14,0)</f>
        <v>#N/A</v>
      </c>
      <c r="E2911" s="1063"/>
      <c r="F2911" s="1061"/>
      <c r="G2911" s="1056" t="s">
        <v>374</v>
      </c>
      <c r="H2911" s="1057" t="s">
        <v>2674</v>
      </c>
      <c r="I2911" s="1058" t="e">
        <f>VLOOKUP(H2903,'LƯƠNG KT'!$D$15:$R$94,12,0)</f>
        <v>#N/A</v>
      </c>
      <c r="J2911" s="1059" t="e">
        <f>VLOOKUP(H2903,'LƯƠNG KT'!$D$15:$R$94,14,0)</f>
        <v>#N/A</v>
      </c>
      <c r="K2911" s="1085"/>
      <c r="L2911" s="1085"/>
      <c r="M2911" s="1085"/>
      <c r="N2911" s="1085"/>
      <c r="O2911" s="1085"/>
    </row>
    <row r="2912" spans="1:15" ht="15" customHeight="1">
      <c r="A2912" s="1056" t="s">
        <v>2675</v>
      </c>
      <c r="B2912" s="1057" t="s">
        <v>2676</v>
      </c>
      <c r="D2912" s="1064" t="e">
        <f>VLOOKUP(B2903,'LƯƠNG KT'!$D$15:$R$94,13,0)</f>
        <v>#N/A</v>
      </c>
      <c r="E2912" s="1065"/>
      <c r="F2912" s="1065"/>
      <c r="G2912" s="1056" t="s">
        <v>2675</v>
      </c>
      <c r="H2912" s="1057" t="s">
        <v>2676</v>
      </c>
      <c r="J2912" s="1064" t="e">
        <f>VLOOKUP(H2903,'LƯƠNG KT'!$D$15:$R$94,13,0)</f>
        <v>#N/A</v>
      </c>
    </row>
    <row r="2913" spans="1:15" ht="15" customHeight="1">
      <c r="A2913" s="1066"/>
      <c r="B2913" s="869"/>
      <c r="C2913" s="1058"/>
      <c r="D2913" s="1059"/>
      <c r="E2913" s="1063"/>
      <c r="F2913" s="1065"/>
      <c r="G2913" s="1066"/>
      <c r="H2913" s="869"/>
      <c r="I2913" s="1058"/>
      <c r="J2913" s="1059"/>
    </row>
    <row r="2914" spans="1:15" ht="15" customHeight="1">
      <c r="A2914" s="1052"/>
      <c r="B2914" s="869"/>
      <c r="C2914" s="1058"/>
      <c r="D2914" s="1059"/>
      <c r="E2914" s="1067"/>
      <c r="F2914" s="1051"/>
      <c r="G2914" s="1052"/>
      <c r="H2914" s="869"/>
      <c r="I2914" s="1058"/>
      <c r="J2914" s="1059"/>
    </row>
    <row r="2915" spans="1:15" ht="15" customHeight="1">
      <c r="A2915" s="1068" t="s">
        <v>383</v>
      </c>
      <c r="B2915" s="1069" t="s">
        <v>384</v>
      </c>
      <c r="C2915" s="1070"/>
      <c r="D2915" s="1071" t="e">
        <f>SUM(D2904:D2911)-D2914</f>
        <v>#N/A</v>
      </c>
      <c r="E2915" s="1072"/>
      <c r="F2915" s="1073"/>
      <c r="G2915" s="1068" t="s">
        <v>383</v>
      </c>
      <c r="H2915" s="1069" t="s">
        <v>384</v>
      </c>
      <c r="I2915" s="1070"/>
      <c r="J2915" s="1071" t="e">
        <f>SUM(J2904:J2911)-J2914</f>
        <v>#N/A</v>
      </c>
    </row>
    <row r="2916" spans="1:15" ht="15.75" customHeight="1">
      <c r="A2916" s="1074"/>
      <c r="B2916" s="1075"/>
      <c r="C2916" s="1076"/>
      <c r="D2916" s="1077"/>
      <c r="E2916" s="1077"/>
      <c r="F2916" s="1078"/>
      <c r="G2916" s="1074"/>
      <c r="H2916" s="1075"/>
      <c r="I2916" s="1076"/>
      <c r="J2916" s="1077"/>
    </row>
    <row r="2918" spans="1:15" ht="131.25" customHeight="1">
      <c r="A2918" s="2243"/>
      <c r="B2918" s="2243"/>
      <c r="C2918" s="2243"/>
      <c r="D2918" s="2243"/>
      <c r="E2918" s="2243"/>
      <c r="F2918" s="2243"/>
      <c r="G2918" s="2243"/>
      <c r="H2918" s="2243"/>
      <c r="I2918" s="2243"/>
      <c r="J2918" s="2243"/>
    </row>
    <row r="2919" spans="1:15" ht="15" customHeight="1">
      <c r="A2919" s="2242" t="str">
        <f>$K$2</f>
        <v>THÁNG 04/2025</v>
      </c>
      <c r="B2919" s="2242"/>
      <c r="C2919" s="2242"/>
      <c r="D2919" s="2242"/>
      <c r="E2919" s="1050"/>
      <c r="F2919" s="1051"/>
      <c r="G2919" s="2242" t="str">
        <f>$K$2</f>
        <v>THÁNG 04/2025</v>
      </c>
      <c r="H2919" s="2242"/>
      <c r="I2919" s="2242"/>
      <c r="J2919" s="2242"/>
      <c r="K2919" s="624"/>
    </row>
    <row r="2920" spans="1:15" ht="15" customHeight="1">
      <c r="A2920" s="1052" t="s">
        <v>356</v>
      </c>
      <c r="B2920" s="1053" t="s">
        <v>238</v>
      </c>
      <c r="C2920" s="869"/>
      <c r="D2920" s="1049"/>
      <c r="E2920" s="1054"/>
      <c r="F2920" s="1055"/>
      <c r="G2920" s="1052" t="s">
        <v>356</v>
      </c>
      <c r="H2920" s="1053" t="s">
        <v>239</v>
      </c>
      <c r="I2920" s="869"/>
      <c r="J2920" s="1049"/>
      <c r="L2920" s="1088"/>
      <c r="M2920" s="1088"/>
      <c r="N2920" s="1088"/>
      <c r="O2920" s="1088"/>
    </row>
    <row r="2921" spans="1:15" ht="15" customHeight="1">
      <c r="A2921" s="1056" t="s">
        <v>359</v>
      </c>
      <c r="B2921" s="1057" t="s">
        <v>2662</v>
      </c>
      <c r="C2921" s="1058" t="e">
        <f>VLOOKUP(B2920,'LƯƠNG KT'!$D$15:$R$94,4,0)</f>
        <v>#N/A</v>
      </c>
      <c r="D2921" s="1059" t="e">
        <f>+C2921*25000</f>
        <v>#N/A</v>
      </c>
      <c r="E2921" s="1060"/>
      <c r="F2921" s="1060"/>
      <c r="G2921" s="1056" t="s">
        <v>359</v>
      </c>
      <c r="H2921" s="1057" t="s">
        <v>2662</v>
      </c>
      <c r="I2921" s="1058" t="e">
        <f>VLOOKUP(H2920,'LƯƠNG KT'!$D$15:$R$94,4,0)</f>
        <v>#N/A</v>
      </c>
      <c r="J2921" s="1059" t="e">
        <f>+I2921*25000</f>
        <v>#N/A</v>
      </c>
      <c r="K2921" s="1084"/>
      <c r="L2921" s="1085"/>
      <c r="M2921" s="1085"/>
      <c r="N2921" s="1085"/>
      <c r="O2921" s="1085"/>
    </row>
    <row r="2922" spans="1:15" ht="15" customHeight="1">
      <c r="A2922" s="1056" t="s">
        <v>361</v>
      </c>
      <c r="B2922" s="1057" t="s">
        <v>2663</v>
      </c>
      <c r="C2922" s="1058" t="e">
        <f>VLOOKUP(B2920,'LƯƠNG KT'!$D$15:$R$94,15,0)</f>
        <v>#N/A</v>
      </c>
      <c r="D2922" s="1059" t="e">
        <f>C2922*$L$4</f>
        <v>#N/A</v>
      </c>
      <c r="E2922" s="1061"/>
      <c r="F2922" s="1061"/>
      <c r="G2922" s="1056" t="s">
        <v>361</v>
      </c>
      <c r="H2922" s="1057" t="s">
        <v>2663</v>
      </c>
      <c r="I2922" s="1058" t="e">
        <f>VLOOKUP(H2920,'LƯƠNG KT'!$D$15:$R$94,15,0)</f>
        <v>#N/A</v>
      </c>
      <c r="J2922" s="1059" t="e">
        <f>I2922*$L$4</f>
        <v>#N/A</v>
      </c>
      <c r="K2922" s="1084"/>
      <c r="L2922" s="1085"/>
      <c r="M2922" s="1085"/>
      <c r="N2922" s="1085"/>
      <c r="O2922" s="1085"/>
    </row>
    <row r="2923" spans="1:15" ht="15" customHeight="1">
      <c r="A2923" s="1056" t="s">
        <v>364</v>
      </c>
      <c r="B2923" s="1057" t="s">
        <v>2664</v>
      </c>
      <c r="C2923" s="1058" t="e">
        <f>VLOOKUP(B2920,'LƯƠNG KT'!$D$15:$R$94,16,0)</f>
        <v>#N/A</v>
      </c>
      <c r="D2923" s="1059" t="e">
        <f>C2923*$L$5</f>
        <v>#N/A</v>
      </c>
      <c r="E2923" s="1061"/>
      <c r="F2923" s="1061"/>
      <c r="G2923" s="1056" t="s">
        <v>364</v>
      </c>
      <c r="H2923" s="1057" t="s">
        <v>2664</v>
      </c>
      <c r="I2923" s="1058" t="e">
        <f>VLOOKUP(H2920,'LƯƠNG KT'!$D$15:$R$94,16,0)</f>
        <v>#N/A</v>
      </c>
      <c r="J2923" s="1059" t="e">
        <f>I2923*$L$5</f>
        <v>#N/A</v>
      </c>
      <c r="K2923" s="1084"/>
      <c r="L2923" s="1085"/>
      <c r="M2923" s="1085"/>
      <c r="N2923" s="1085"/>
      <c r="O2923" s="1085"/>
    </row>
    <row r="2924" spans="1:15" ht="15" customHeight="1">
      <c r="A2924" s="1056" t="s">
        <v>370</v>
      </c>
      <c r="B2924" s="1057" t="s">
        <v>2665</v>
      </c>
      <c r="C2924" s="1058" t="e">
        <f>VLOOKUP(B2920,'LƯƠNG KT'!$D$15:$R$94,24,0)</f>
        <v>#N/A</v>
      </c>
      <c r="D2924" s="1059" t="e">
        <f>+C2924*$L$6</f>
        <v>#N/A</v>
      </c>
      <c r="E2924" s="1061"/>
      <c r="F2924" s="1061"/>
      <c r="G2924" s="1056" t="s">
        <v>370</v>
      </c>
      <c r="H2924" s="1057" t="s">
        <v>2665</v>
      </c>
      <c r="I2924" s="1058" t="e">
        <f>VLOOKUP(H2920,'LƯƠNG KT'!$D$15:$R$94,24,0)</f>
        <v>#N/A</v>
      </c>
      <c r="J2924" s="1059" t="e">
        <f>+I2924*$L$6</f>
        <v>#N/A</v>
      </c>
      <c r="K2924" s="1085"/>
      <c r="L2924" s="1085"/>
      <c r="M2924" s="1085"/>
      <c r="N2924" s="1085"/>
      <c r="O2924" s="1085"/>
    </row>
    <row r="2925" spans="1:15" ht="15" customHeight="1">
      <c r="A2925" s="1056" t="s">
        <v>2666</v>
      </c>
      <c r="B2925" s="1057" t="s">
        <v>2667</v>
      </c>
      <c r="C2925" s="1058" t="e">
        <f>VLOOKUP(B2920,'LƯƠNG KT'!$D$15:$R$94,19,0)</f>
        <v>#N/A</v>
      </c>
      <c r="D2925" s="1059" t="e">
        <f>+C2925*$L$8</f>
        <v>#N/A</v>
      </c>
      <c r="E2925" s="1061"/>
      <c r="F2925" s="1061"/>
      <c r="G2925" s="1056" t="s">
        <v>2666</v>
      </c>
      <c r="H2925" s="1057" t="s">
        <v>2667</v>
      </c>
      <c r="I2925" s="1058" t="e">
        <f>VLOOKUP(H2920,'LƯƠNG KT'!$D$15:$R$94,19,0)</f>
        <v>#N/A</v>
      </c>
      <c r="J2925" s="1059" t="e">
        <f>+I2925*$L$8</f>
        <v>#N/A</v>
      </c>
      <c r="K2925" s="1085"/>
      <c r="L2925" s="1085"/>
      <c r="M2925" s="1085"/>
      <c r="N2925" s="1085"/>
      <c r="O2925" s="1085"/>
    </row>
    <row r="2926" spans="1:15" ht="15" customHeight="1">
      <c r="A2926" s="1056" t="s">
        <v>2668</v>
      </c>
      <c r="B2926" s="1062" t="s">
        <v>2669</v>
      </c>
      <c r="C2926" s="1058" t="e">
        <f>VLOOKUP(B2920,'LƯƠNG KT'!$D$15:$R$94,20,0)</f>
        <v>#N/A</v>
      </c>
      <c r="D2926" s="1059" t="e">
        <f>+C2926*$L$9</f>
        <v>#N/A</v>
      </c>
      <c r="E2926" s="1061"/>
      <c r="F2926" s="1061"/>
      <c r="G2926" s="1056" t="s">
        <v>2668</v>
      </c>
      <c r="H2926" s="1062" t="s">
        <v>2669</v>
      </c>
      <c r="I2926" s="1058" t="e">
        <f>VLOOKUP(H2920,'LƯƠNG KT'!$D$15:$R$94,20,0)</f>
        <v>#N/A</v>
      </c>
      <c r="J2926" s="1059" t="e">
        <f>+I2926*$L$9</f>
        <v>#N/A</v>
      </c>
      <c r="K2926" s="1085"/>
      <c r="L2926" s="1085"/>
      <c r="M2926" s="1085"/>
      <c r="N2926" s="1085"/>
      <c r="O2926" s="1085"/>
    </row>
    <row r="2927" spans="1:15" ht="15" customHeight="1">
      <c r="A2927" s="1056" t="s">
        <v>2671</v>
      </c>
      <c r="B2927" s="1057" t="s">
        <v>2672</v>
      </c>
      <c r="C2927" s="1058" t="e">
        <f>VLOOKUP(B2920,'LƯƠNG KT'!$D$15:$R$94,17,0)</f>
        <v>#N/A</v>
      </c>
      <c r="D2927" s="1059" t="e">
        <f>+C2927*$L$10</f>
        <v>#N/A</v>
      </c>
      <c r="E2927" s="1061"/>
      <c r="F2927" s="1061"/>
      <c r="G2927" s="1056" t="s">
        <v>2671</v>
      </c>
      <c r="H2927" s="1057" t="s">
        <v>2672</v>
      </c>
      <c r="I2927" s="1058" t="e">
        <f>VLOOKUP(H2920,'LƯƠNG KT'!$D$15:$R$94,17,0)</f>
        <v>#N/A</v>
      </c>
      <c r="J2927" s="1059" t="e">
        <f>+I2927*$L$10</f>
        <v>#N/A</v>
      </c>
      <c r="K2927" s="1085"/>
      <c r="L2927" s="1085"/>
      <c r="M2927" s="1085"/>
      <c r="N2927" s="1085"/>
      <c r="O2927" s="1085"/>
    </row>
    <row r="2928" spans="1:15" ht="15" customHeight="1">
      <c r="A2928" s="1056" t="s">
        <v>374</v>
      </c>
      <c r="B2928" s="1057" t="s">
        <v>2674</v>
      </c>
      <c r="C2928" s="1058" t="e">
        <f>VLOOKUP(B2920,'LƯƠNG KT'!$D$15:$R$94,12,0)</f>
        <v>#N/A</v>
      </c>
      <c r="D2928" s="1059" t="e">
        <f>VLOOKUP(B2920,'LƯƠNG KT'!$D$15:$R$94,14,0)</f>
        <v>#N/A</v>
      </c>
      <c r="E2928" s="1063"/>
      <c r="F2928" s="1061"/>
      <c r="G2928" s="1056" t="s">
        <v>374</v>
      </c>
      <c r="H2928" s="1057" t="s">
        <v>2674</v>
      </c>
      <c r="I2928" s="1058" t="e">
        <f>VLOOKUP(H2920,'LƯƠNG KT'!$D$15:$R$94,12,0)</f>
        <v>#N/A</v>
      </c>
      <c r="J2928" s="1059" t="e">
        <f>VLOOKUP(H2920,'LƯƠNG KT'!$D$15:$R$94,14,0)</f>
        <v>#N/A</v>
      </c>
      <c r="K2928" s="1085"/>
      <c r="L2928" s="1085"/>
      <c r="M2928" s="1085"/>
      <c r="N2928" s="1085"/>
      <c r="O2928" s="1085"/>
    </row>
    <row r="2929" spans="1:15" ht="15" customHeight="1">
      <c r="A2929" s="1056" t="s">
        <v>2675</v>
      </c>
      <c r="B2929" s="1057" t="s">
        <v>2676</v>
      </c>
      <c r="D2929" s="1064" t="e">
        <f>VLOOKUP(B2920,'LƯƠNG KT'!$D$15:$R$94,13,0)</f>
        <v>#N/A</v>
      </c>
      <c r="E2929" s="1065"/>
      <c r="F2929" s="1065"/>
      <c r="G2929" s="1056" t="s">
        <v>2675</v>
      </c>
      <c r="H2929" s="1057" t="s">
        <v>2676</v>
      </c>
      <c r="J2929" s="1064" t="e">
        <f>VLOOKUP(H2920,'LƯƠNG KT'!$D$15:$R$94,13,0)</f>
        <v>#N/A</v>
      </c>
    </row>
    <row r="2930" spans="1:15" ht="15" customHeight="1">
      <c r="A2930" s="1066"/>
      <c r="B2930" s="869"/>
      <c r="C2930" s="1058"/>
      <c r="D2930" s="1059"/>
      <c r="E2930" s="1063"/>
      <c r="F2930" s="1065"/>
      <c r="G2930" s="1066"/>
      <c r="H2930" s="869"/>
      <c r="I2930" s="1058"/>
      <c r="J2930" s="1059"/>
    </row>
    <row r="2931" spans="1:15" ht="15" customHeight="1">
      <c r="A2931" s="1052"/>
      <c r="B2931" s="869"/>
      <c r="C2931" s="1058"/>
      <c r="D2931" s="1059"/>
      <c r="E2931" s="1067"/>
      <c r="F2931" s="1051"/>
      <c r="G2931" s="1052"/>
      <c r="H2931" s="869"/>
      <c r="I2931" s="1058"/>
      <c r="J2931" s="1059"/>
    </row>
    <row r="2932" spans="1:15" ht="15" customHeight="1">
      <c r="A2932" s="1068" t="s">
        <v>383</v>
      </c>
      <c r="B2932" s="1069" t="s">
        <v>384</v>
      </c>
      <c r="C2932" s="1070"/>
      <c r="D2932" s="1071" t="e">
        <f>SUM(D2921:D2928)-D2931</f>
        <v>#N/A</v>
      </c>
      <c r="E2932" s="1072"/>
      <c r="F2932" s="1073"/>
      <c r="G2932" s="1068" t="s">
        <v>383</v>
      </c>
      <c r="H2932" s="1069" t="s">
        <v>384</v>
      </c>
      <c r="I2932" s="1070"/>
      <c r="J2932" s="1071" t="e">
        <f>SUM(J2921:J2928)-J2931</f>
        <v>#N/A</v>
      </c>
    </row>
    <row r="2933" spans="1:15" ht="20.25" customHeight="1">
      <c r="A2933" s="1074"/>
      <c r="B2933" s="1075"/>
      <c r="C2933" s="1076"/>
      <c r="D2933" s="1077"/>
      <c r="E2933" s="1077"/>
      <c r="F2933" s="1078"/>
      <c r="G2933" s="1074"/>
      <c r="H2933" s="1075"/>
      <c r="I2933" s="1076"/>
      <c r="J2933" s="1077"/>
    </row>
    <row r="2934" spans="1:15" ht="20.25" customHeight="1">
      <c r="A2934" s="1075"/>
      <c r="B2934" s="1075"/>
      <c r="C2934" s="1079"/>
      <c r="D2934" s="1080"/>
      <c r="E2934" s="1075"/>
      <c r="F2934" s="1081"/>
      <c r="G2934" s="1075"/>
      <c r="H2934" s="1075"/>
      <c r="I2934" s="1079"/>
      <c r="J2934" s="1080"/>
    </row>
    <row r="2935" spans="1:15" ht="15" customHeight="1">
      <c r="A2935" s="2242" t="str">
        <f>$K$2</f>
        <v>THÁNG 04/2025</v>
      </c>
      <c r="B2935" s="2242"/>
      <c r="C2935" s="2242"/>
      <c r="D2935" s="2242"/>
      <c r="E2935" s="1050"/>
      <c r="F2935" s="1051"/>
      <c r="G2935" s="2242" t="str">
        <f>$K$2</f>
        <v>THÁNG 04/2025</v>
      </c>
      <c r="H2935" s="2242"/>
      <c r="I2935" s="2242"/>
      <c r="J2935" s="2242"/>
      <c r="K2935" s="624"/>
    </row>
    <row r="2936" spans="1:15" ht="15" customHeight="1">
      <c r="A2936" s="1052" t="s">
        <v>356</v>
      </c>
      <c r="B2936" s="1053" t="s">
        <v>240</v>
      </c>
      <c r="C2936" s="869"/>
      <c r="D2936" s="1049"/>
      <c r="E2936" s="1054"/>
      <c r="F2936" s="1055"/>
      <c r="G2936" s="1052" t="s">
        <v>356</v>
      </c>
      <c r="H2936" s="1053" t="s">
        <v>241</v>
      </c>
      <c r="I2936" s="869"/>
      <c r="J2936" s="1049"/>
      <c r="L2936" s="1088"/>
      <c r="M2936" s="1088"/>
      <c r="N2936" s="1088"/>
      <c r="O2936" s="1088"/>
    </row>
    <row r="2937" spans="1:15" ht="15" customHeight="1">
      <c r="A2937" s="1056" t="s">
        <v>359</v>
      </c>
      <c r="B2937" s="1057" t="s">
        <v>2662</v>
      </c>
      <c r="C2937" s="1058" t="e">
        <f>VLOOKUP(B2936,'LƯƠNG KT'!$D$15:$R$94,4,0)</f>
        <v>#N/A</v>
      </c>
      <c r="D2937" s="1059" t="e">
        <f>+C2937*25000</f>
        <v>#N/A</v>
      </c>
      <c r="E2937" s="1060"/>
      <c r="F2937" s="1060"/>
      <c r="G2937" s="1056" t="s">
        <v>359</v>
      </c>
      <c r="H2937" s="1057" t="s">
        <v>2662</v>
      </c>
      <c r="I2937" s="1058" t="e">
        <f>VLOOKUP(H2936,'LƯƠNG KT'!$D$15:$R$94,4,0)</f>
        <v>#N/A</v>
      </c>
      <c r="J2937" s="1059" t="e">
        <f>+I2937*25000</f>
        <v>#N/A</v>
      </c>
      <c r="K2937" s="1085"/>
      <c r="L2937" s="1085"/>
      <c r="M2937" s="1085"/>
      <c r="N2937" s="1085"/>
      <c r="O2937" s="1085"/>
    </row>
    <row r="2938" spans="1:15" ht="15" customHeight="1">
      <c r="A2938" s="1056" t="s">
        <v>361</v>
      </c>
      <c r="B2938" s="1057" t="s">
        <v>2663</v>
      </c>
      <c r="C2938" s="1058" t="e">
        <f>VLOOKUP(B2936,'LƯƠNG KT'!$D$15:$R$94,15,0)</f>
        <v>#N/A</v>
      </c>
      <c r="D2938" s="1059" t="e">
        <f>C2938*$L$4</f>
        <v>#N/A</v>
      </c>
      <c r="E2938" s="1061"/>
      <c r="F2938" s="1061"/>
      <c r="G2938" s="1056" t="s">
        <v>361</v>
      </c>
      <c r="H2938" s="1057" t="s">
        <v>2663</v>
      </c>
      <c r="I2938" s="1058" t="e">
        <f>VLOOKUP(H2936,'LƯƠNG KT'!$D$15:$R$94,15,0)</f>
        <v>#N/A</v>
      </c>
      <c r="J2938" s="1059" t="e">
        <f>I2938*$L$4</f>
        <v>#N/A</v>
      </c>
      <c r="K2938" s="1085"/>
      <c r="L2938" s="1085"/>
      <c r="M2938" s="1085"/>
      <c r="N2938" s="1085"/>
      <c r="O2938" s="1085"/>
    </row>
    <row r="2939" spans="1:15" ht="15" customHeight="1">
      <c r="A2939" s="1056" t="s">
        <v>364</v>
      </c>
      <c r="B2939" s="1057" t="s">
        <v>2664</v>
      </c>
      <c r="C2939" s="1058" t="e">
        <f>VLOOKUP(B2936,'LƯƠNG KT'!$D$15:$R$94,16,0)</f>
        <v>#N/A</v>
      </c>
      <c r="D2939" s="1059" t="e">
        <f>C2939*$L$5</f>
        <v>#N/A</v>
      </c>
      <c r="E2939" s="1061"/>
      <c r="F2939" s="1061"/>
      <c r="G2939" s="1056" t="s">
        <v>364</v>
      </c>
      <c r="H2939" s="1057" t="s">
        <v>2664</v>
      </c>
      <c r="I2939" s="1058" t="e">
        <f>VLOOKUP(H2936,'LƯƠNG KT'!$D$15:$R$94,16,0)</f>
        <v>#N/A</v>
      </c>
      <c r="J2939" s="1059" t="e">
        <f>I2939*$L$5</f>
        <v>#N/A</v>
      </c>
      <c r="K2939" s="1085"/>
      <c r="L2939" s="1085"/>
      <c r="M2939" s="1085"/>
      <c r="N2939" s="1085"/>
      <c r="O2939" s="1085"/>
    </row>
    <row r="2940" spans="1:15" ht="15" customHeight="1">
      <c r="A2940" s="1056" t="s">
        <v>370</v>
      </c>
      <c r="B2940" s="1057" t="s">
        <v>2665</v>
      </c>
      <c r="C2940" s="1058" t="e">
        <f>VLOOKUP(B2936,'LƯƠNG KT'!$D$15:$R$94,24,0)</f>
        <v>#N/A</v>
      </c>
      <c r="D2940" s="1059" t="e">
        <f>+C2940*$L$6</f>
        <v>#N/A</v>
      </c>
      <c r="E2940" s="1061"/>
      <c r="F2940" s="1061"/>
      <c r="G2940" s="1056" t="s">
        <v>370</v>
      </c>
      <c r="H2940" s="1057" t="s">
        <v>2665</v>
      </c>
      <c r="I2940" s="1058" t="e">
        <f>VLOOKUP(H2936,'LƯƠNG KT'!$D$15:$R$94,24,0)</f>
        <v>#N/A</v>
      </c>
      <c r="J2940" s="1059" t="e">
        <f>+I2940*$L$6</f>
        <v>#N/A</v>
      </c>
      <c r="K2940" s="1085"/>
      <c r="L2940" s="1085"/>
      <c r="M2940" s="1085"/>
      <c r="N2940" s="1085"/>
      <c r="O2940" s="1085"/>
    </row>
    <row r="2941" spans="1:15" ht="15" customHeight="1">
      <c r="A2941" s="1056" t="s">
        <v>2666</v>
      </c>
      <c r="B2941" s="1057" t="s">
        <v>2667</v>
      </c>
      <c r="C2941" s="1058" t="e">
        <f>VLOOKUP(B2936,'LƯƠNG KT'!$D$15:$R$94,19,0)</f>
        <v>#N/A</v>
      </c>
      <c r="D2941" s="1059" t="e">
        <f>+C2941*$L$8</f>
        <v>#N/A</v>
      </c>
      <c r="E2941" s="1061"/>
      <c r="F2941" s="1061"/>
      <c r="G2941" s="1056" t="s">
        <v>2666</v>
      </c>
      <c r="H2941" s="1057" t="s">
        <v>2667</v>
      </c>
      <c r="I2941" s="1058" t="e">
        <f>VLOOKUP(H2936,'LƯƠNG KT'!$D$15:$R$94,19,0)</f>
        <v>#N/A</v>
      </c>
      <c r="J2941" s="1059" t="e">
        <f>+I2941*$L$8</f>
        <v>#N/A</v>
      </c>
      <c r="K2941" s="1085"/>
      <c r="L2941" s="1085"/>
      <c r="M2941" s="1085"/>
      <c r="N2941" s="1085"/>
      <c r="O2941" s="1085"/>
    </row>
    <row r="2942" spans="1:15" ht="15" customHeight="1">
      <c r="A2942" s="1056" t="s">
        <v>2668</v>
      </c>
      <c r="B2942" s="1062" t="s">
        <v>2669</v>
      </c>
      <c r="C2942" s="1058" t="e">
        <f>VLOOKUP(B2936,'LƯƠNG KT'!$D$15:$R$94,20,0)</f>
        <v>#N/A</v>
      </c>
      <c r="D2942" s="1059" t="e">
        <f>+C2942*$L$9</f>
        <v>#N/A</v>
      </c>
      <c r="E2942" s="1061"/>
      <c r="F2942" s="1061"/>
      <c r="G2942" s="1056" t="s">
        <v>2668</v>
      </c>
      <c r="H2942" s="1062" t="s">
        <v>2669</v>
      </c>
      <c r="I2942" s="1058" t="e">
        <f>VLOOKUP(H2936,'LƯƠNG KT'!$D$15:$R$94,20,0)</f>
        <v>#N/A</v>
      </c>
      <c r="J2942" s="1059" t="e">
        <f>+I2942*$L$9</f>
        <v>#N/A</v>
      </c>
      <c r="K2942" s="1085"/>
      <c r="L2942" s="1085"/>
      <c r="M2942" s="1085"/>
      <c r="N2942" s="1085"/>
      <c r="O2942" s="1085"/>
    </row>
    <row r="2943" spans="1:15" ht="15" customHeight="1">
      <c r="A2943" s="1056" t="s">
        <v>2671</v>
      </c>
      <c r="B2943" s="1057" t="s">
        <v>2672</v>
      </c>
      <c r="C2943" s="1058" t="e">
        <f>VLOOKUP(B2936,'LƯƠNG KT'!$D$15:$R$94,17,0)</f>
        <v>#N/A</v>
      </c>
      <c r="D2943" s="1059" t="e">
        <f>+C2943*$L$10</f>
        <v>#N/A</v>
      </c>
      <c r="E2943" s="1061"/>
      <c r="F2943" s="1061"/>
      <c r="G2943" s="1056" t="s">
        <v>2671</v>
      </c>
      <c r="H2943" s="1057" t="s">
        <v>2672</v>
      </c>
      <c r="I2943" s="1058" t="e">
        <f>VLOOKUP(H2936,'LƯƠNG KT'!$D$15:$R$94,17,0)</f>
        <v>#N/A</v>
      </c>
      <c r="J2943" s="1059" t="e">
        <f>+I2943*$L$10</f>
        <v>#N/A</v>
      </c>
      <c r="K2943" s="1085"/>
      <c r="L2943" s="1085"/>
      <c r="M2943" s="1085"/>
      <c r="N2943" s="1085"/>
      <c r="O2943" s="1085"/>
    </row>
    <row r="2944" spans="1:15" ht="15" customHeight="1">
      <c r="A2944" s="1056" t="s">
        <v>374</v>
      </c>
      <c r="B2944" s="1057" t="s">
        <v>2674</v>
      </c>
      <c r="C2944" s="1058" t="e">
        <f>VLOOKUP(B2936,'LƯƠNG KT'!$D$15:$R$94,12,0)</f>
        <v>#N/A</v>
      </c>
      <c r="D2944" s="1059" t="e">
        <f>VLOOKUP(B2936,'LƯƠNG KT'!$D$15:$R$94,14,0)</f>
        <v>#N/A</v>
      </c>
      <c r="E2944" s="1063"/>
      <c r="F2944" s="1061"/>
      <c r="G2944" s="1056" t="s">
        <v>374</v>
      </c>
      <c r="H2944" s="1057" t="s">
        <v>2674</v>
      </c>
      <c r="I2944" s="1058" t="e">
        <f>VLOOKUP(H2936,'LƯƠNG KT'!$D$15:$R$94,12,0)</f>
        <v>#N/A</v>
      </c>
      <c r="J2944" s="1059" t="e">
        <f>VLOOKUP(H2936,'LƯƠNG KT'!$D$15:$R$94,14,0)</f>
        <v>#N/A</v>
      </c>
      <c r="K2944" s="1085"/>
      <c r="L2944" s="1085"/>
      <c r="M2944" s="1085"/>
      <c r="N2944" s="1085"/>
      <c r="O2944" s="1085"/>
    </row>
    <row r="2945" spans="1:15" ht="15" customHeight="1">
      <c r="A2945" s="1056" t="s">
        <v>2675</v>
      </c>
      <c r="B2945" s="1057" t="s">
        <v>2676</v>
      </c>
      <c r="D2945" s="1064" t="e">
        <f>VLOOKUP(B2936,'LƯƠNG KT'!$D$15:$R$94,13,0)</f>
        <v>#N/A</v>
      </c>
      <c r="E2945" s="1065"/>
      <c r="F2945" s="1065"/>
      <c r="G2945" s="1056" t="s">
        <v>2675</v>
      </c>
      <c r="H2945" s="1057" t="s">
        <v>2676</v>
      </c>
      <c r="J2945" s="1064" t="e">
        <f>VLOOKUP(H2936,'LƯƠNG KT'!$D$15:$R$94,13,0)</f>
        <v>#N/A</v>
      </c>
    </row>
    <row r="2946" spans="1:15" ht="15" customHeight="1">
      <c r="A2946" s="1066"/>
      <c r="B2946" s="869"/>
      <c r="C2946" s="1058"/>
      <c r="D2946" s="1059"/>
      <c r="E2946" s="1063"/>
      <c r="F2946" s="1065"/>
      <c r="G2946" s="1066"/>
      <c r="H2946" s="869"/>
      <c r="I2946" s="1058"/>
      <c r="J2946" s="1059"/>
    </row>
    <row r="2947" spans="1:15" ht="15" customHeight="1">
      <c r="A2947" s="1052"/>
      <c r="B2947" s="869"/>
      <c r="C2947" s="1058"/>
      <c r="D2947" s="1059"/>
      <c r="E2947" s="1067"/>
      <c r="F2947" s="1051"/>
      <c r="G2947" s="1052"/>
      <c r="H2947" s="869"/>
      <c r="I2947" s="1058"/>
      <c r="J2947" s="1059"/>
    </row>
    <row r="2948" spans="1:15" ht="15" customHeight="1">
      <c r="A2948" s="1068" t="s">
        <v>383</v>
      </c>
      <c r="B2948" s="1069" t="s">
        <v>384</v>
      </c>
      <c r="C2948" s="1070"/>
      <c r="D2948" s="1071" t="e">
        <f>SUM(D2937:D2944)-D2947</f>
        <v>#N/A</v>
      </c>
      <c r="E2948" s="1072"/>
      <c r="F2948" s="1073"/>
      <c r="G2948" s="1068" t="s">
        <v>383</v>
      </c>
      <c r="H2948" s="1069" t="s">
        <v>384</v>
      </c>
      <c r="I2948" s="1070"/>
      <c r="J2948" s="1071" t="e">
        <f>SUM(J2937:J2944)-J2947</f>
        <v>#N/A</v>
      </c>
    </row>
    <row r="2949" spans="1:15" ht="18.75" customHeight="1">
      <c r="A2949" s="1074"/>
      <c r="B2949" s="1075"/>
      <c r="C2949" s="1076"/>
      <c r="D2949" s="1077"/>
      <c r="E2949" s="1077"/>
      <c r="F2949" s="1078"/>
      <c r="G2949" s="1074"/>
      <c r="H2949" s="1075"/>
      <c r="I2949" s="1076"/>
      <c r="J2949" s="1077"/>
    </row>
    <row r="2950" spans="1:15" ht="18.75" customHeight="1">
      <c r="A2950" s="1075"/>
      <c r="B2950" s="1075"/>
      <c r="C2950" s="1079"/>
      <c r="D2950" s="1080"/>
      <c r="E2950" s="1075"/>
      <c r="F2950" s="1081"/>
      <c r="G2950" s="1075"/>
      <c r="H2950" s="1075"/>
      <c r="I2950" s="1079"/>
      <c r="J2950" s="1080"/>
    </row>
    <row r="2951" spans="1:15" ht="15" customHeight="1">
      <c r="A2951" s="2242" t="str">
        <f>$K$2</f>
        <v>THÁNG 04/2025</v>
      </c>
      <c r="B2951" s="2242"/>
      <c r="C2951" s="2242"/>
      <c r="D2951" s="2242"/>
      <c r="E2951" s="1050"/>
      <c r="F2951" s="1051"/>
      <c r="G2951" s="2242" t="str">
        <f>$K$2</f>
        <v>THÁNG 04/2025</v>
      </c>
      <c r="H2951" s="2242"/>
      <c r="I2951" s="2242"/>
      <c r="J2951" s="2242"/>
      <c r="K2951" s="624"/>
    </row>
    <row r="2952" spans="1:15" ht="15" customHeight="1">
      <c r="A2952" s="1052" t="s">
        <v>356</v>
      </c>
      <c r="B2952" s="1053" t="s">
        <v>242</v>
      </c>
      <c r="C2952" s="869"/>
      <c r="D2952" s="1049"/>
      <c r="E2952" s="1054"/>
      <c r="F2952" s="1055"/>
      <c r="G2952" s="1052" t="s">
        <v>356</v>
      </c>
      <c r="H2952" s="1053" t="s">
        <v>243</v>
      </c>
      <c r="I2952" s="869"/>
      <c r="J2952" s="1049"/>
      <c r="L2952" s="1088"/>
      <c r="M2952" s="1088"/>
      <c r="N2952" s="1088"/>
      <c r="O2952" s="1088"/>
    </row>
    <row r="2953" spans="1:15" ht="15" customHeight="1">
      <c r="A2953" s="1056" t="s">
        <v>359</v>
      </c>
      <c r="B2953" s="1057" t="s">
        <v>2662</v>
      </c>
      <c r="C2953" s="1058" t="e">
        <f>VLOOKUP(B2952,'LƯƠNG KT'!$D$15:$R$94,4,0)</f>
        <v>#N/A</v>
      </c>
      <c r="D2953" s="1059" t="e">
        <f>+C2953*25000</f>
        <v>#N/A</v>
      </c>
      <c r="E2953" s="1060"/>
      <c r="F2953" s="1060"/>
      <c r="G2953" s="1056" t="s">
        <v>359</v>
      </c>
      <c r="H2953" s="1057" t="s">
        <v>2662</v>
      </c>
      <c r="I2953" s="1058" t="e">
        <f>VLOOKUP(H2952,'LƯƠNG KT'!$D$15:$R$94,4,0)</f>
        <v>#N/A</v>
      </c>
      <c r="J2953" s="1059" t="e">
        <f>+I2953*25000</f>
        <v>#N/A</v>
      </c>
      <c r="K2953" s="1085"/>
      <c r="L2953" s="1085"/>
      <c r="M2953" s="1085"/>
      <c r="N2953" s="1085"/>
      <c r="O2953" s="1085"/>
    </row>
    <row r="2954" spans="1:15" ht="15" customHeight="1">
      <c r="A2954" s="1056" t="s">
        <v>361</v>
      </c>
      <c r="B2954" s="1057" t="s">
        <v>2663</v>
      </c>
      <c r="C2954" s="1058" t="e">
        <f>VLOOKUP(B2952,'LƯƠNG KT'!$D$15:$R$94,15,0)</f>
        <v>#N/A</v>
      </c>
      <c r="D2954" s="1059" t="e">
        <f>C2954*$L$4</f>
        <v>#N/A</v>
      </c>
      <c r="E2954" s="1061"/>
      <c r="F2954" s="1061"/>
      <c r="G2954" s="1056" t="s">
        <v>361</v>
      </c>
      <c r="H2954" s="1057" t="s">
        <v>2663</v>
      </c>
      <c r="I2954" s="1058" t="e">
        <f>VLOOKUP(H2952,'LƯƠNG KT'!$D$15:$R$94,15,0)</f>
        <v>#N/A</v>
      </c>
      <c r="J2954" s="1059" t="e">
        <f>I2954*$L$4</f>
        <v>#N/A</v>
      </c>
      <c r="K2954" s="1085"/>
      <c r="L2954" s="1085"/>
      <c r="M2954" s="1085"/>
      <c r="N2954" s="1085"/>
      <c r="O2954" s="1085"/>
    </row>
    <row r="2955" spans="1:15" ht="15" customHeight="1">
      <c r="A2955" s="1056" t="s">
        <v>364</v>
      </c>
      <c r="B2955" s="1057" t="s">
        <v>2664</v>
      </c>
      <c r="C2955" s="1058" t="e">
        <f>VLOOKUP(B2952,'LƯƠNG KT'!$D$15:$R$94,16,0)</f>
        <v>#N/A</v>
      </c>
      <c r="D2955" s="1059" t="e">
        <f>C2955*$L$5</f>
        <v>#N/A</v>
      </c>
      <c r="E2955" s="1061"/>
      <c r="F2955" s="1061"/>
      <c r="G2955" s="1056" t="s">
        <v>364</v>
      </c>
      <c r="H2955" s="1057" t="s">
        <v>2664</v>
      </c>
      <c r="I2955" s="1058" t="e">
        <f>VLOOKUP(H2952,'LƯƠNG KT'!$D$15:$R$94,16,0)</f>
        <v>#N/A</v>
      </c>
      <c r="J2955" s="1059" t="e">
        <f>I2955*$L$5</f>
        <v>#N/A</v>
      </c>
      <c r="K2955" s="1085"/>
      <c r="L2955" s="1085"/>
      <c r="M2955" s="1085"/>
      <c r="N2955" s="1085"/>
      <c r="O2955" s="1085"/>
    </row>
    <row r="2956" spans="1:15" ht="15" customHeight="1">
      <c r="A2956" s="1056" t="s">
        <v>370</v>
      </c>
      <c r="B2956" s="1057" t="s">
        <v>2665</v>
      </c>
      <c r="C2956" s="1058" t="e">
        <f>VLOOKUP(B2952,'LƯƠNG KT'!$D$15:$R$94,24,0)</f>
        <v>#N/A</v>
      </c>
      <c r="D2956" s="1059" t="e">
        <f>+C2956*$L$6</f>
        <v>#N/A</v>
      </c>
      <c r="E2956" s="1061"/>
      <c r="F2956" s="1061"/>
      <c r="G2956" s="1056" t="s">
        <v>370</v>
      </c>
      <c r="H2956" s="1057" t="s">
        <v>2665</v>
      </c>
      <c r="I2956" s="1058" t="e">
        <f>VLOOKUP(H2952,'LƯƠNG KT'!$D$15:$R$94,24,0)</f>
        <v>#N/A</v>
      </c>
      <c r="J2956" s="1059" t="e">
        <f>+I2956*$L$6</f>
        <v>#N/A</v>
      </c>
      <c r="K2956" s="1085"/>
      <c r="L2956" s="1085"/>
      <c r="M2956" s="1085"/>
      <c r="N2956" s="1085"/>
      <c r="O2956" s="1085"/>
    </row>
    <row r="2957" spans="1:15" ht="15" customHeight="1">
      <c r="A2957" s="1056" t="s">
        <v>2666</v>
      </c>
      <c r="B2957" s="1057" t="s">
        <v>2667</v>
      </c>
      <c r="C2957" s="1058" t="e">
        <f>VLOOKUP(B2952,'LƯƠNG KT'!$D$15:$R$94,19,0)</f>
        <v>#N/A</v>
      </c>
      <c r="D2957" s="1059" t="e">
        <f>+C2957*$L$8</f>
        <v>#N/A</v>
      </c>
      <c r="E2957" s="1061"/>
      <c r="F2957" s="1061"/>
      <c r="G2957" s="1056" t="s">
        <v>2666</v>
      </c>
      <c r="H2957" s="1057" t="s">
        <v>2667</v>
      </c>
      <c r="I2957" s="1058" t="e">
        <f>VLOOKUP(H2952,'LƯƠNG KT'!$D$15:$R$94,19,0)</f>
        <v>#N/A</v>
      </c>
      <c r="J2957" s="1059" t="e">
        <f>+I2957*$L$8</f>
        <v>#N/A</v>
      </c>
      <c r="K2957" s="1085"/>
      <c r="L2957" s="1085"/>
      <c r="M2957" s="1085"/>
      <c r="N2957" s="1085"/>
      <c r="O2957" s="1085"/>
    </row>
    <row r="2958" spans="1:15" ht="15" customHeight="1">
      <c r="A2958" s="1056" t="s">
        <v>2668</v>
      </c>
      <c r="B2958" s="1062" t="s">
        <v>2669</v>
      </c>
      <c r="C2958" s="1058" t="e">
        <f>VLOOKUP(B2952,'LƯƠNG KT'!$D$15:$R$94,20,0)</f>
        <v>#N/A</v>
      </c>
      <c r="D2958" s="1059" t="e">
        <f>+C2958*$L$9</f>
        <v>#N/A</v>
      </c>
      <c r="E2958" s="1061"/>
      <c r="F2958" s="1061"/>
      <c r="G2958" s="1056" t="s">
        <v>2668</v>
      </c>
      <c r="H2958" s="1062" t="s">
        <v>2669</v>
      </c>
      <c r="I2958" s="1058" t="e">
        <f>VLOOKUP(H2952,'LƯƠNG KT'!$D$15:$R$94,20,0)</f>
        <v>#N/A</v>
      </c>
      <c r="J2958" s="1059" t="e">
        <f>+I2958*$L$9</f>
        <v>#N/A</v>
      </c>
      <c r="K2958" s="1085"/>
      <c r="L2958" s="1085"/>
      <c r="M2958" s="1085"/>
      <c r="N2958" s="1085"/>
      <c r="O2958" s="1085"/>
    </row>
    <row r="2959" spans="1:15" ht="15" customHeight="1">
      <c r="A2959" s="1056" t="s">
        <v>2671</v>
      </c>
      <c r="B2959" s="1057" t="s">
        <v>2672</v>
      </c>
      <c r="C2959" s="1058" t="e">
        <f>VLOOKUP(B2952,'LƯƠNG KT'!$D$15:$R$94,17,0)</f>
        <v>#N/A</v>
      </c>
      <c r="D2959" s="1059" t="e">
        <f>+C2959*$L$10</f>
        <v>#N/A</v>
      </c>
      <c r="E2959" s="1061"/>
      <c r="F2959" s="1061"/>
      <c r="G2959" s="1056" t="s">
        <v>2671</v>
      </c>
      <c r="H2959" s="1057" t="s">
        <v>2672</v>
      </c>
      <c r="I2959" s="1058" t="e">
        <f>VLOOKUP(H2952,'LƯƠNG KT'!$D$15:$R$94,17,0)</f>
        <v>#N/A</v>
      </c>
      <c r="J2959" s="1059" t="e">
        <f>+I2959*$L$10</f>
        <v>#N/A</v>
      </c>
      <c r="K2959" s="1085"/>
      <c r="L2959" s="1085"/>
      <c r="M2959" s="1085"/>
      <c r="N2959" s="1085"/>
      <c r="O2959" s="1085"/>
    </row>
    <row r="2960" spans="1:15" ht="15" customHeight="1">
      <c r="A2960" s="1056" t="s">
        <v>374</v>
      </c>
      <c r="B2960" s="1057" t="s">
        <v>2674</v>
      </c>
      <c r="C2960" s="1058" t="e">
        <f>VLOOKUP(B2952,'LƯƠNG KT'!$D$15:$R$94,12,0)</f>
        <v>#N/A</v>
      </c>
      <c r="D2960" s="1059" t="e">
        <f>VLOOKUP(B2952,'LƯƠNG KT'!$D$15:$R$94,14,0)</f>
        <v>#N/A</v>
      </c>
      <c r="E2960" s="1063"/>
      <c r="F2960" s="1061"/>
      <c r="G2960" s="1056" t="s">
        <v>374</v>
      </c>
      <c r="H2960" s="1057" t="s">
        <v>2674</v>
      </c>
      <c r="I2960" s="1058" t="e">
        <f>VLOOKUP(H2952,'LƯƠNG KT'!$D$15:$R$94,12,0)</f>
        <v>#N/A</v>
      </c>
      <c r="J2960" s="1059" t="e">
        <f>VLOOKUP(H2952,'LƯƠNG KT'!$D$15:$R$94,14,0)</f>
        <v>#N/A</v>
      </c>
      <c r="K2960" s="1085"/>
      <c r="L2960" s="1085"/>
      <c r="M2960" s="1085"/>
      <c r="N2960" s="1085"/>
      <c r="O2960" s="1085"/>
    </row>
    <row r="2961" spans="1:15" ht="15" customHeight="1">
      <c r="A2961" s="1056" t="s">
        <v>2675</v>
      </c>
      <c r="B2961" s="1057" t="s">
        <v>2676</v>
      </c>
      <c r="D2961" s="1064" t="e">
        <f>VLOOKUP(B2952,'LƯƠNG KT'!$D$15:$R$94,13,0)</f>
        <v>#N/A</v>
      </c>
      <c r="E2961" s="1065"/>
      <c r="F2961" s="1065"/>
      <c r="G2961" s="1056" t="s">
        <v>2675</v>
      </c>
      <c r="H2961" s="1057" t="s">
        <v>2676</v>
      </c>
      <c r="J2961" s="1064" t="e">
        <f>VLOOKUP(H2952,'LƯƠNG KT'!$D$15:$R$94,13,0)</f>
        <v>#N/A</v>
      </c>
    </row>
    <row r="2962" spans="1:15" ht="15" customHeight="1">
      <c r="A2962" s="1066"/>
      <c r="B2962" s="869"/>
      <c r="C2962" s="1058"/>
      <c r="D2962" s="1059"/>
      <c r="E2962" s="1063"/>
      <c r="F2962" s="1065"/>
      <c r="G2962" s="1066"/>
      <c r="H2962" s="869"/>
      <c r="I2962" s="1058"/>
      <c r="J2962" s="1059"/>
    </row>
    <row r="2963" spans="1:15" ht="15" customHeight="1">
      <c r="A2963" s="1052"/>
      <c r="B2963" s="869"/>
      <c r="C2963" s="1058"/>
      <c r="D2963" s="1059"/>
      <c r="E2963" s="1067"/>
      <c r="F2963" s="1051"/>
      <c r="G2963" s="1052"/>
      <c r="H2963" s="869"/>
      <c r="I2963" s="1058"/>
      <c r="J2963" s="1059"/>
    </row>
    <row r="2964" spans="1:15" ht="15" customHeight="1">
      <c r="A2964" s="1068" t="s">
        <v>383</v>
      </c>
      <c r="B2964" s="1069" t="s">
        <v>384</v>
      </c>
      <c r="C2964" s="1070"/>
      <c r="D2964" s="1071" t="e">
        <f>SUM(D2953:D2960)-D2963</f>
        <v>#N/A</v>
      </c>
      <c r="E2964" s="1072"/>
      <c r="F2964" s="1073"/>
      <c r="G2964" s="1068" t="s">
        <v>383</v>
      </c>
      <c r="H2964" s="1069" t="s">
        <v>384</v>
      </c>
      <c r="I2964" s="1070"/>
      <c r="J2964" s="1071" t="e">
        <f>SUM(J2953:J2960)-J2963</f>
        <v>#N/A</v>
      </c>
    </row>
    <row r="2965" spans="1:15" ht="18.75" customHeight="1">
      <c r="A2965" s="1074"/>
      <c r="B2965" s="1075"/>
      <c r="C2965" s="1076"/>
      <c r="D2965" s="1077"/>
      <c r="E2965" s="1077"/>
      <c r="F2965" s="1078"/>
      <c r="G2965" s="1074"/>
      <c r="H2965" s="1075"/>
      <c r="I2965" s="1076"/>
      <c r="J2965" s="1077"/>
    </row>
    <row r="2966" spans="1:15" ht="153.75" customHeight="1">
      <c r="A2966" s="1075"/>
      <c r="B2966" s="1075"/>
      <c r="C2966" s="1079"/>
      <c r="D2966" s="1080"/>
      <c r="E2966" s="1075"/>
      <c r="F2966" s="1081"/>
      <c r="G2966" s="1075"/>
      <c r="H2966" s="1075"/>
      <c r="I2966" s="1079"/>
      <c r="J2966" s="1080"/>
    </row>
    <row r="2967" spans="1:15" ht="15" customHeight="1">
      <c r="A2967" s="2242" t="str">
        <f>$K$2</f>
        <v>THÁNG 04/2025</v>
      </c>
      <c r="B2967" s="2242"/>
      <c r="C2967" s="2242"/>
      <c r="D2967" s="2242"/>
      <c r="E2967" s="1050"/>
      <c r="F2967" s="1051"/>
      <c r="G2967" s="2242" t="str">
        <f>$K$2</f>
        <v>THÁNG 04/2025</v>
      </c>
      <c r="H2967" s="2242"/>
      <c r="I2967" s="2242"/>
      <c r="J2967" s="2242"/>
      <c r="K2967" s="624"/>
    </row>
    <row r="2968" spans="1:15" ht="15" customHeight="1">
      <c r="A2968" s="1052" t="s">
        <v>356</v>
      </c>
      <c r="B2968" s="1053" t="s">
        <v>244</v>
      </c>
      <c r="C2968" s="869"/>
      <c r="D2968" s="1049"/>
      <c r="E2968" s="1054"/>
      <c r="F2968" s="1055"/>
      <c r="G2968" s="1052" t="s">
        <v>356</v>
      </c>
      <c r="H2968" s="1053" t="s">
        <v>245</v>
      </c>
      <c r="I2968" s="869"/>
      <c r="J2968" s="1049"/>
      <c r="L2968" s="1088"/>
      <c r="M2968" s="1088"/>
      <c r="N2968" s="1088"/>
      <c r="O2968" s="1088"/>
    </row>
    <row r="2969" spans="1:15" ht="15" customHeight="1">
      <c r="A2969" s="1056" t="s">
        <v>359</v>
      </c>
      <c r="B2969" s="1057" t="s">
        <v>2662</v>
      </c>
      <c r="C2969" s="1058" t="e">
        <f>VLOOKUP(B2968,'LƯƠNG KT'!$D$15:$R$94,4,0)</f>
        <v>#N/A</v>
      </c>
      <c r="D2969" s="1059" t="e">
        <f>+C2969*25000</f>
        <v>#N/A</v>
      </c>
      <c r="E2969" s="1060"/>
      <c r="F2969" s="1060"/>
      <c r="G2969" s="1056" t="s">
        <v>359</v>
      </c>
      <c r="H2969" s="1057" t="s">
        <v>2662</v>
      </c>
      <c r="I2969" s="1058" t="e">
        <f>VLOOKUP(H2968,'LƯƠNG KT'!$D$15:$R$94,4,0)</f>
        <v>#N/A</v>
      </c>
      <c r="J2969" s="1059" t="e">
        <f>+I2969*25000</f>
        <v>#N/A</v>
      </c>
      <c r="K2969" s="1085"/>
      <c r="L2969" s="1085"/>
      <c r="M2969" s="1085"/>
      <c r="N2969" s="1085"/>
      <c r="O2969" s="1085"/>
    </row>
    <row r="2970" spans="1:15" ht="15" customHeight="1">
      <c r="A2970" s="1056" t="s">
        <v>361</v>
      </c>
      <c r="B2970" s="1057" t="s">
        <v>2663</v>
      </c>
      <c r="C2970" s="1058" t="e">
        <f>VLOOKUP(B2968,'LƯƠNG KT'!$D$15:$R$94,15,0)</f>
        <v>#N/A</v>
      </c>
      <c r="D2970" s="1059" t="e">
        <f>C2970*$L$4</f>
        <v>#N/A</v>
      </c>
      <c r="E2970" s="1061"/>
      <c r="F2970" s="1061"/>
      <c r="G2970" s="1056" t="s">
        <v>361</v>
      </c>
      <c r="H2970" s="1057" t="s">
        <v>2663</v>
      </c>
      <c r="I2970" s="1058" t="e">
        <f>VLOOKUP(H2968,'LƯƠNG KT'!$D$15:$R$94,15,0)</f>
        <v>#N/A</v>
      </c>
      <c r="J2970" s="1059" t="e">
        <f>I2970*$L$4</f>
        <v>#N/A</v>
      </c>
      <c r="K2970" s="1085"/>
      <c r="L2970" s="1085"/>
      <c r="M2970" s="1085"/>
      <c r="N2970" s="1085"/>
      <c r="O2970" s="1085"/>
    </row>
    <row r="2971" spans="1:15" ht="15" customHeight="1">
      <c r="A2971" s="1056" t="s">
        <v>364</v>
      </c>
      <c r="B2971" s="1057" t="s">
        <v>2664</v>
      </c>
      <c r="C2971" s="1058" t="e">
        <f>VLOOKUP(B2968,'LƯƠNG KT'!$D$15:$R$94,16,0)</f>
        <v>#N/A</v>
      </c>
      <c r="D2971" s="1059" t="e">
        <f>C2971*$L$5</f>
        <v>#N/A</v>
      </c>
      <c r="E2971" s="1061"/>
      <c r="F2971" s="1061"/>
      <c r="G2971" s="1056" t="s">
        <v>364</v>
      </c>
      <c r="H2971" s="1057" t="s">
        <v>2664</v>
      </c>
      <c r="I2971" s="1058" t="e">
        <f>VLOOKUP(H2968,'LƯƠNG KT'!$D$15:$R$94,16,0)</f>
        <v>#N/A</v>
      </c>
      <c r="J2971" s="1059" t="e">
        <f>I2971*$L$5</f>
        <v>#N/A</v>
      </c>
      <c r="K2971" s="1085"/>
      <c r="L2971" s="1085"/>
      <c r="M2971" s="1085"/>
      <c r="N2971" s="1085"/>
      <c r="O2971" s="1085"/>
    </row>
    <row r="2972" spans="1:15" ht="15" customHeight="1">
      <c r="A2972" s="1056" t="s">
        <v>370</v>
      </c>
      <c r="B2972" s="1057" t="s">
        <v>2665</v>
      </c>
      <c r="C2972" s="1058" t="e">
        <f>VLOOKUP(B2968,'LƯƠNG KT'!$D$15:$R$94,24,0)</f>
        <v>#N/A</v>
      </c>
      <c r="D2972" s="1059" t="e">
        <f>+C2972*$L$6</f>
        <v>#N/A</v>
      </c>
      <c r="E2972" s="1061"/>
      <c r="F2972" s="1061"/>
      <c r="G2972" s="1056" t="s">
        <v>370</v>
      </c>
      <c r="H2972" s="1057" t="s">
        <v>2665</v>
      </c>
      <c r="I2972" s="1058" t="e">
        <f>VLOOKUP(H2968,'LƯƠNG KT'!$D$15:$R$94,24,0)</f>
        <v>#N/A</v>
      </c>
      <c r="J2972" s="1059" t="e">
        <f>+I2972*$L$6</f>
        <v>#N/A</v>
      </c>
      <c r="K2972" s="1085"/>
      <c r="L2972" s="1085"/>
      <c r="M2972" s="1085"/>
      <c r="N2972" s="1085"/>
      <c r="O2972" s="1085"/>
    </row>
    <row r="2973" spans="1:15" ht="15" customHeight="1">
      <c r="A2973" s="1056" t="s">
        <v>2666</v>
      </c>
      <c r="B2973" s="1057" t="s">
        <v>2667</v>
      </c>
      <c r="C2973" s="1058" t="e">
        <f>VLOOKUP(B2968,'LƯƠNG KT'!$D$15:$R$94,19,0)</f>
        <v>#N/A</v>
      </c>
      <c r="D2973" s="1059" t="e">
        <f>+C2973*$L$8</f>
        <v>#N/A</v>
      </c>
      <c r="E2973" s="1061"/>
      <c r="F2973" s="1061"/>
      <c r="G2973" s="1056" t="s">
        <v>2666</v>
      </c>
      <c r="H2973" s="1057" t="s">
        <v>2667</v>
      </c>
      <c r="I2973" s="1058" t="e">
        <f>VLOOKUP(H2968,'LƯƠNG KT'!$D$15:$R$94,19,0)</f>
        <v>#N/A</v>
      </c>
      <c r="J2973" s="1059" t="e">
        <f>+I2973*$L$8</f>
        <v>#N/A</v>
      </c>
      <c r="K2973" s="1085"/>
      <c r="L2973" s="1085"/>
      <c r="M2973" s="1085"/>
      <c r="N2973" s="1085"/>
      <c r="O2973" s="1085"/>
    </row>
    <row r="2974" spans="1:15" ht="15" customHeight="1">
      <c r="A2974" s="1056" t="s">
        <v>2668</v>
      </c>
      <c r="B2974" s="1062" t="s">
        <v>2669</v>
      </c>
      <c r="C2974" s="1058" t="e">
        <f>VLOOKUP(B2968,'LƯƠNG KT'!$D$15:$R$94,20,0)</f>
        <v>#N/A</v>
      </c>
      <c r="D2974" s="1059" t="e">
        <f>+C2974*$L$9</f>
        <v>#N/A</v>
      </c>
      <c r="E2974" s="1061"/>
      <c r="F2974" s="1061"/>
      <c r="G2974" s="1056" t="s">
        <v>2668</v>
      </c>
      <c r="H2974" s="1062" t="s">
        <v>2669</v>
      </c>
      <c r="I2974" s="1058" t="e">
        <f>VLOOKUP(H2968,'LƯƠNG KT'!$D$15:$R$94,20,0)</f>
        <v>#N/A</v>
      </c>
      <c r="J2974" s="1059" t="e">
        <f>+I2974*$L$9</f>
        <v>#N/A</v>
      </c>
      <c r="K2974" s="1085"/>
      <c r="L2974" s="1085"/>
      <c r="M2974" s="1085"/>
      <c r="N2974" s="1085"/>
      <c r="O2974" s="1085"/>
    </row>
    <row r="2975" spans="1:15" ht="15" customHeight="1">
      <c r="A2975" s="1056" t="s">
        <v>2671</v>
      </c>
      <c r="B2975" s="1057" t="s">
        <v>2672</v>
      </c>
      <c r="C2975" s="1058" t="e">
        <f>VLOOKUP(B2968,'LƯƠNG KT'!$D$15:$R$94,17,0)</f>
        <v>#N/A</v>
      </c>
      <c r="D2975" s="1059" t="e">
        <f>+C2975*$L$10</f>
        <v>#N/A</v>
      </c>
      <c r="E2975" s="1061"/>
      <c r="F2975" s="1061"/>
      <c r="G2975" s="1056" t="s">
        <v>2671</v>
      </c>
      <c r="H2975" s="1057" t="s">
        <v>2672</v>
      </c>
      <c r="I2975" s="1058" t="e">
        <f>VLOOKUP(H2968,'LƯƠNG KT'!$D$15:$R$94,17,0)</f>
        <v>#N/A</v>
      </c>
      <c r="J2975" s="1059" t="e">
        <f>+I2975*$L$10</f>
        <v>#N/A</v>
      </c>
      <c r="K2975" s="1085"/>
      <c r="L2975" s="1085"/>
      <c r="M2975" s="1085"/>
      <c r="N2975" s="1085"/>
      <c r="O2975" s="1085"/>
    </row>
    <row r="2976" spans="1:15" ht="15" customHeight="1">
      <c r="A2976" s="1056" t="s">
        <v>374</v>
      </c>
      <c r="B2976" s="1057" t="s">
        <v>2674</v>
      </c>
      <c r="C2976" s="1058" t="e">
        <f>VLOOKUP(B2968,'LƯƠNG KT'!$D$15:$R$94,12,0)</f>
        <v>#N/A</v>
      </c>
      <c r="D2976" s="1059" t="e">
        <f>VLOOKUP(B2968,'LƯƠNG KT'!$D$15:$R$94,14,0)</f>
        <v>#N/A</v>
      </c>
      <c r="E2976" s="1063"/>
      <c r="F2976" s="1061"/>
      <c r="G2976" s="1056" t="s">
        <v>374</v>
      </c>
      <c r="H2976" s="1057" t="s">
        <v>2674</v>
      </c>
      <c r="I2976" s="1058" t="e">
        <f>VLOOKUP(H2968,'LƯƠNG KT'!$D$15:$R$94,12,0)</f>
        <v>#N/A</v>
      </c>
      <c r="J2976" s="1059" t="e">
        <f>VLOOKUP(H2968,'LƯƠNG KT'!$D$15:$R$94,14,0)</f>
        <v>#N/A</v>
      </c>
      <c r="K2976" s="1085"/>
      <c r="L2976" s="1085"/>
      <c r="M2976" s="1085"/>
      <c r="N2976" s="1085"/>
      <c r="O2976" s="1085"/>
    </row>
    <row r="2977" spans="1:15" ht="15" customHeight="1">
      <c r="A2977" s="1056" t="s">
        <v>2675</v>
      </c>
      <c r="B2977" s="1057" t="s">
        <v>2676</v>
      </c>
      <c r="D2977" s="1064" t="e">
        <f>VLOOKUP(B2968,'LƯƠNG KT'!$D$15:$R$94,13,0)</f>
        <v>#N/A</v>
      </c>
      <c r="E2977" s="1065"/>
      <c r="F2977" s="1065"/>
      <c r="G2977" s="1056" t="s">
        <v>2675</v>
      </c>
      <c r="H2977" s="1057" t="s">
        <v>2676</v>
      </c>
      <c r="J2977" s="1064" t="e">
        <f>VLOOKUP(H2968,'LƯƠNG KT'!$D$15:$R$94,13,0)</f>
        <v>#N/A</v>
      </c>
    </row>
    <row r="2978" spans="1:15" ht="15" customHeight="1">
      <c r="A2978" s="1066"/>
      <c r="B2978" s="869"/>
      <c r="C2978" s="1058"/>
      <c r="D2978" s="1059"/>
      <c r="E2978" s="1063"/>
      <c r="F2978" s="1065"/>
      <c r="G2978" s="1066"/>
      <c r="H2978" s="869"/>
      <c r="I2978" s="1058"/>
      <c r="J2978" s="1059"/>
    </row>
    <row r="2979" spans="1:15" ht="15" customHeight="1">
      <c r="A2979" s="1052"/>
      <c r="B2979" s="869"/>
      <c r="C2979" s="1058"/>
      <c r="D2979" s="1059"/>
      <c r="E2979" s="1067"/>
      <c r="F2979" s="1051"/>
      <c r="G2979" s="1052"/>
      <c r="H2979" s="869"/>
      <c r="I2979" s="1058"/>
      <c r="J2979" s="1059"/>
    </row>
    <row r="2980" spans="1:15" ht="15" customHeight="1">
      <c r="A2980" s="1068" t="s">
        <v>383</v>
      </c>
      <c r="B2980" s="1069" t="s">
        <v>384</v>
      </c>
      <c r="C2980" s="1070"/>
      <c r="D2980" s="1071" t="e">
        <f>SUM(D2969:D2976)-D2979</f>
        <v>#N/A</v>
      </c>
      <c r="E2980" s="1072"/>
      <c r="F2980" s="1073"/>
      <c r="G2980" s="1068" t="s">
        <v>383</v>
      </c>
      <c r="H2980" s="1069" t="s">
        <v>384</v>
      </c>
      <c r="I2980" s="1070"/>
      <c r="J2980" s="1071" t="e">
        <f>SUM(J2969:J2976)-J2979</f>
        <v>#N/A</v>
      </c>
    </row>
    <row r="2981" spans="1:15" ht="15.75" customHeight="1">
      <c r="A2981" s="1074"/>
      <c r="B2981" s="1075"/>
      <c r="C2981" s="1076"/>
      <c r="D2981" s="1077"/>
      <c r="E2981" s="1077"/>
      <c r="F2981" s="1078"/>
      <c r="G2981" s="1074"/>
      <c r="H2981" s="1075"/>
      <c r="I2981" s="1076"/>
      <c r="J2981" s="1077"/>
    </row>
    <row r="2983" spans="1:15" ht="12" customHeight="1">
      <c r="A2983" s="2243"/>
      <c r="B2983" s="2243"/>
      <c r="C2983" s="2243"/>
      <c r="D2983" s="2243"/>
      <c r="E2983" s="2243"/>
      <c r="F2983" s="2243"/>
      <c r="G2983" s="2243"/>
      <c r="H2983" s="2243"/>
      <c r="I2983" s="2243"/>
      <c r="J2983" s="2243"/>
    </row>
    <row r="2984" spans="1:15" ht="15" customHeight="1">
      <c r="A2984" s="2242" t="str">
        <f>$K$2</f>
        <v>THÁNG 04/2025</v>
      </c>
      <c r="B2984" s="2242"/>
      <c r="C2984" s="2242"/>
      <c r="D2984" s="2242"/>
      <c r="E2984" s="1050"/>
      <c r="F2984" s="1051"/>
      <c r="G2984" s="2242" t="str">
        <f>$K$2</f>
        <v>THÁNG 04/2025</v>
      </c>
      <c r="H2984" s="2242"/>
      <c r="I2984" s="2242"/>
      <c r="J2984" s="2242"/>
      <c r="K2984" s="624"/>
    </row>
    <row r="2985" spans="1:15" ht="15" customHeight="1">
      <c r="A2985" s="1052" t="s">
        <v>356</v>
      </c>
      <c r="B2985" s="1053" t="s">
        <v>246</v>
      </c>
      <c r="C2985" s="869"/>
      <c r="D2985" s="1049"/>
      <c r="E2985" s="1054"/>
      <c r="F2985" s="1055"/>
      <c r="G2985" s="1052" t="s">
        <v>356</v>
      </c>
      <c r="H2985" s="1053" t="s">
        <v>247</v>
      </c>
      <c r="I2985" s="869"/>
      <c r="J2985" s="1049"/>
      <c r="L2985" s="1088"/>
      <c r="M2985" s="1088"/>
      <c r="N2985" s="1088"/>
      <c r="O2985" s="1088"/>
    </row>
    <row r="2986" spans="1:15" ht="15" customHeight="1">
      <c r="A2986" s="1056" t="s">
        <v>359</v>
      </c>
      <c r="B2986" s="1057" t="s">
        <v>2662</v>
      </c>
      <c r="C2986" s="1058" t="e">
        <f>VLOOKUP(B2985,'LƯƠNG KT'!$D$15:$R$94,4,0)</f>
        <v>#N/A</v>
      </c>
      <c r="D2986" s="1059" t="e">
        <f>+C2986*25000</f>
        <v>#N/A</v>
      </c>
      <c r="E2986" s="1060"/>
      <c r="F2986" s="1060"/>
      <c r="G2986" s="1056" t="s">
        <v>359</v>
      </c>
      <c r="H2986" s="1057" t="s">
        <v>2662</v>
      </c>
      <c r="I2986" s="1058" t="e">
        <f>VLOOKUP(H2985,'LƯƠNG KT'!$D$15:$R$94,4,0)</f>
        <v>#N/A</v>
      </c>
      <c r="J2986" s="1059" t="e">
        <f>+I2986*25000</f>
        <v>#N/A</v>
      </c>
      <c r="K2986" s="1084"/>
      <c r="L2986" s="1085"/>
      <c r="M2986" s="1085"/>
      <c r="N2986" s="1085"/>
      <c r="O2986" s="1085"/>
    </row>
    <row r="2987" spans="1:15" ht="15" customHeight="1">
      <c r="A2987" s="1056" t="s">
        <v>361</v>
      </c>
      <c r="B2987" s="1057" t="s">
        <v>2663</v>
      </c>
      <c r="C2987" s="1058" t="e">
        <f>VLOOKUP(B2985,'LƯƠNG KT'!$D$15:$R$94,15,0)</f>
        <v>#N/A</v>
      </c>
      <c r="D2987" s="1059" t="e">
        <f>C2987*$L$4</f>
        <v>#N/A</v>
      </c>
      <c r="E2987" s="1061"/>
      <c r="F2987" s="1061"/>
      <c r="G2987" s="1056" t="s">
        <v>361</v>
      </c>
      <c r="H2987" s="1057" t="s">
        <v>2663</v>
      </c>
      <c r="I2987" s="1058" t="e">
        <f>VLOOKUP(H2985,'LƯƠNG KT'!$D$15:$R$94,15,0)</f>
        <v>#N/A</v>
      </c>
      <c r="J2987" s="1059" t="e">
        <f>I2987*$L$4</f>
        <v>#N/A</v>
      </c>
      <c r="K2987" s="1084"/>
      <c r="L2987" s="1085"/>
      <c r="M2987" s="1085"/>
      <c r="N2987" s="1085"/>
      <c r="O2987" s="1085"/>
    </row>
    <row r="2988" spans="1:15" ht="15" customHeight="1">
      <c r="A2988" s="1056" t="s">
        <v>364</v>
      </c>
      <c r="B2988" s="1057" t="s">
        <v>2664</v>
      </c>
      <c r="C2988" s="1058" t="e">
        <f>VLOOKUP(B2985,'LƯƠNG KT'!$D$15:$R$94,16,0)</f>
        <v>#N/A</v>
      </c>
      <c r="D2988" s="1059" t="e">
        <f>C2988*$L$5</f>
        <v>#N/A</v>
      </c>
      <c r="E2988" s="1061"/>
      <c r="F2988" s="1061"/>
      <c r="G2988" s="1056" t="s">
        <v>364</v>
      </c>
      <c r="H2988" s="1057" t="s">
        <v>2664</v>
      </c>
      <c r="I2988" s="1058" t="e">
        <f>VLOOKUP(H2985,'LƯƠNG KT'!$D$15:$R$94,16,0)</f>
        <v>#N/A</v>
      </c>
      <c r="J2988" s="1059" t="e">
        <f>I2988*$L$5</f>
        <v>#N/A</v>
      </c>
      <c r="K2988" s="1084"/>
      <c r="L2988" s="1085"/>
      <c r="M2988" s="1085"/>
      <c r="N2988" s="1085"/>
      <c r="O2988" s="1085"/>
    </row>
    <row r="2989" spans="1:15" ht="15" customHeight="1">
      <c r="A2989" s="1056" t="s">
        <v>370</v>
      </c>
      <c r="B2989" s="1057" t="s">
        <v>2665</v>
      </c>
      <c r="C2989" s="1058" t="e">
        <f>VLOOKUP(B2985,'LƯƠNG KT'!$D$15:$R$94,24,0)</f>
        <v>#N/A</v>
      </c>
      <c r="D2989" s="1059" t="e">
        <f>+C2989*$L$6</f>
        <v>#N/A</v>
      </c>
      <c r="E2989" s="1061"/>
      <c r="F2989" s="1061"/>
      <c r="G2989" s="1056" t="s">
        <v>370</v>
      </c>
      <c r="H2989" s="1057" t="s">
        <v>2665</v>
      </c>
      <c r="I2989" s="1058" t="e">
        <f>VLOOKUP(H2985,'LƯƠNG KT'!$D$15:$R$94,24,0)</f>
        <v>#N/A</v>
      </c>
      <c r="J2989" s="1059" t="e">
        <f>+I2989*$L$6</f>
        <v>#N/A</v>
      </c>
      <c r="K2989" s="1085"/>
      <c r="L2989" s="1085"/>
      <c r="M2989" s="1085"/>
      <c r="N2989" s="1085"/>
      <c r="O2989" s="1085"/>
    </row>
    <row r="2990" spans="1:15" ht="15" customHeight="1">
      <c r="A2990" s="1056" t="s">
        <v>2666</v>
      </c>
      <c r="B2990" s="1057" t="s">
        <v>2667</v>
      </c>
      <c r="C2990" s="1058" t="e">
        <f>VLOOKUP(B2985,'LƯƠNG KT'!$D$15:$R$94,19,0)</f>
        <v>#N/A</v>
      </c>
      <c r="D2990" s="1059" t="e">
        <f>+C2990*$L$8</f>
        <v>#N/A</v>
      </c>
      <c r="E2990" s="1061"/>
      <c r="F2990" s="1061"/>
      <c r="G2990" s="1056" t="s">
        <v>2666</v>
      </c>
      <c r="H2990" s="1057" t="s">
        <v>2667</v>
      </c>
      <c r="I2990" s="1058" t="e">
        <f>VLOOKUP(H2985,'LƯƠNG KT'!$D$15:$R$94,19,0)</f>
        <v>#N/A</v>
      </c>
      <c r="J2990" s="1059" t="e">
        <f>+I2990*$L$8</f>
        <v>#N/A</v>
      </c>
      <c r="K2990" s="1085"/>
      <c r="L2990" s="1085"/>
      <c r="M2990" s="1085"/>
      <c r="N2990" s="1085"/>
      <c r="O2990" s="1085"/>
    </row>
    <row r="2991" spans="1:15" ht="15" customHeight="1">
      <c r="A2991" s="1056" t="s">
        <v>2668</v>
      </c>
      <c r="B2991" s="1062" t="s">
        <v>2669</v>
      </c>
      <c r="C2991" s="1058" t="e">
        <f>VLOOKUP(B2985,'LƯƠNG KT'!$D$15:$R$94,20,0)</f>
        <v>#N/A</v>
      </c>
      <c r="D2991" s="1059" t="e">
        <f>+C2991*$L$9</f>
        <v>#N/A</v>
      </c>
      <c r="E2991" s="1061"/>
      <c r="F2991" s="1061"/>
      <c r="G2991" s="1056" t="s">
        <v>2668</v>
      </c>
      <c r="H2991" s="1062" t="s">
        <v>2669</v>
      </c>
      <c r="I2991" s="1058" t="e">
        <f>VLOOKUP(H2985,'LƯƠNG KT'!$D$15:$R$94,20,0)</f>
        <v>#N/A</v>
      </c>
      <c r="J2991" s="1059" t="e">
        <f>+I2991*$L$9</f>
        <v>#N/A</v>
      </c>
      <c r="K2991" s="1085"/>
      <c r="L2991" s="1085"/>
      <c r="M2991" s="1085"/>
      <c r="N2991" s="1085"/>
      <c r="O2991" s="1085"/>
    </row>
    <row r="2992" spans="1:15" ht="15" customHeight="1">
      <c r="A2992" s="1056" t="s">
        <v>2671</v>
      </c>
      <c r="B2992" s="1057" t="s">
        <v>2672</v>
      </c>
      <c r="C2992" s="1058" t="e">
        <f>VLOOKUP(B2985,'LƯƠNG KT'!$D$15:$R$94,17,0)</f>
        <v>#N/A</v>
      </c>
      <c r="D2992" s="1059" t="e">
        <f>+C2992*$L$10</f>
        <v>#N/A</v>
      </c>
      <c r="E2992" s="1061"/>
      <c r="F2992" s="1061"/>
      <c r="G2992" s="1056" t="s">
        <v>2671</v>
      </c>
      <c r="H2992" s="1057" t="s">
        <v>2672</v>
      </c>
      <c r="I2992" s="1058" t="e">
        <f>VLOOKUP(H2985,'LƯƠNG KT'!$D$15:$R$94,17,0)</f>
        <v>#N/A</v>
      </c>
      <c r="J2992" s="1059" t="e">
        <f>+I2992*$L$10</f>
        <v>#N/A</v>
      </c>
      <c r="K2992" s="1085"/>
      <c r="L2992" s="1085"/>
      <c r="M2992" s="1085"/>
      <c r="N2992" s="1085"/>
      <c r="O2992" s="1085"/>
    </row>
    <row r="2993" spans="1:15" ht="15" customHeight="1">
      <c r="A2993" s="1056" t="s">
        <v>374</v>
      </c>
      <c r="B2993" s="1057" t="s">
        <v>2674</v>
      </c>
      <c r="C2993" s="1058" t="e">
        <f>VLOOKUP(B2985,'LƯƠNG KT'!$D$15:$R$94,12,0)</f>
        <v>#N/A</v>
      </c>
      <c r="D2993" s="1059" t="e">
        <f>VLOOKUP(B2985,'LƯƠNG KT'!$D$15:$R$94,14,0)</f>
        <v>#N/A</v>
      </c>
      <c r="E2993" s="1063"/>
      <c r="F2993" s="1061"/>
      <c r="G2993" s="1056" t="s">
        <v>374</v>
      </c>
      <c r="H2993" s="1057" t="s">
        <v>2674</v>
      </c>
      <c r="I2993" s="1058" t="e">
        <f>VLOOKUP(H2985,'LƯƠNG KT'!$D$15:$R$94,12,0)</f>
        <v>#N/A</v>
      </c>
      <c r="J2993" s="1059" t="e">
        <f>VLOOKUP(H2985,'LƯƠNG KT'!$D$15:$R$94,14,0)</f>
        <v>#N/A</v>
      </c>
      <c r="K2993" s="1085"/>
      <c r="L2993" s="1085"/>
      <c r="M2993" s="1085"/>
      <c r="N2993" s="1085"/>
      <c r="O2993" s="1085"/>
    </row>
    <row r="2994" spans="1:15" ht="15" customHeight="1">
      <c r="A2994" s="1056" t="s">
        <v>2675</v>
      </c>
      <c r="B2994" s="1057" t="s">
        <v>2676</v>
      </c>
      <c r="D2994" s="1064" t="e">
        <f>VLOOKUP(B2985,'LƯƠNG KT'!$D$15:$R$94,13,0)</f>
        <v>#N/A</v>
      </c>
      <c r="E2994" s="1065"/>
      <c r="F2994" s="1065"/>
      <c r="G2994" s="1056" t="s">
        <v>2675</v>
      </c>
      <c r="H2994" s="1057" t="s">
        <v>2676</v>
      </c>
      <c r="J2994" s="1064" t="e">
        <f>VLOOKUP(H2985,'LƯƠNG KT'!$D$15:$R$94,13,0)</f>
        <v>#N/A</v>
      </c>
    </row>
    <row r="2995" spans="1:15" ht="15" customHeight="1">
      <c r="A2995" s="1066"/>
      <c r="B2995" s="869"/>
      <c r="C2995" s="1058"/>
      <c r="D2995" s="1059"/>
      <c r="E2995" s="1063"/>
      <c r="F2995" s="1065"/>
      <c r="G2995" s="1066"/>
      <c r="H2995" s="869"/>
      <c r="I2995" s="1058"/>
      <c r="J2995" s="1059"/>
    </row>
    <row r="2996" spans="1:15" ht="15" customHeight="1">
      <c r="A2996" s="1052"/>
      <c r="B2996" s="869"/>
      <c r="C2996" s="1058"/>
      <c r="D2996" s="1059"/>
      <c r="E2996" s="1067"/>
      <c r="F2996" s="1051"/>
      <c r="G2996" s="1052"/>
      <c r="H2996" s="869"/>
      <c r="I2996" s="1058"/>
      <c r="J2996" s="1059"/>
    </row>
    <row r="2997" spans="1:15" ht="15" customHeight="1">
      <c r="A2997" s="1068" t="s">
        <v>383</v>
      </c>
      <c r="B2997" s="1069" t="s">
        <v>384</v>
      </c>
      <c r="C2997" s="1070"/>
      <c r="D2997" s="1071" t="e">
        <f>SUM(D2986:D2993)-D2996</f>
        <v>#N/A</v>
      </c>
      <c r="E2997" s="1072"/>
      <c r="F2997" s="1073"/>
      <c r="G2997" s="1068" t="s">
        <v>383</v>
      </c>
      <c r="H2997" s="1069" t="s">
        <v>384</v>
      </c>
      <c r="I2997" s="1070"/>
      <c r="J2997" s="1071" t="e">
        <f>SUM(J2986:J2993)-J2996</f>
        <v>#N/A</v>
      </c>
    </row>
    <row r="2998" spans="1:15" ht="12.6" customHeight="1">
      <c r="A2998" s="1074"/>
      <c r="B2998" s="1075"/>
      <c r="C2998" s="1076"/>
      <c r="D2998" s="1077"/>
      <c r="E2998" s="1077"/>
      <c r="F2998" s="1078"/>
      <c r="G2998" s="1074"/>
      <c r="H2998" s="1075"/>
      <c r="I2998" s="1076"/>
      <c r="J2998" s="1077"/>
    </row>
    <row r="2999" spans="1:15" ht="12.6" customHeight="1">
      <c r="A2999" s="1075"/>
      <c r="B2999" s="1075"/>
      <c r="C2999" s="1079"/>
      <c r="D2999" s="1080"/>
      <c r="E2999" s="1075"/>
      <c r="F2999" s="1081"/>
      <c r="G2999" s="1075"/>
      <c r="H2999" s="1075"/>
      <c r="I2999" s="1079"/>
      <c r="J2999" s="1080"/>
    </row>
    <row r="3000" spans="1:15" ht="15" customHeight="1">
      <c r="A3000" s="2242" t="str">
        <f>$K$2</f>
        <v>THÁNG 04/2025</v>
      </c>
      <c r="B3000" s="2242"/>
      <c r="C3000" s="2242"/>
      <c r="D3000" s="2242"/>
      <c r="E3000" s="1050"/>
      <c r="F3000" s="1051"/>
      <c r="G3000" s="2242" t="str">
        <f>$K$2</f>
        <v>THÁNG 04/2025</v>
      </c>
      <c r="H3000" s="2242"/>
      <c r="I3000" s="2242"/>
      <c r="J3000" s="2242"/>
      <c r="K3000" s="624"/>
    </row>
    <row r="3001" spans="1:15" ht="15" customHeight="1">
      <c r="A3001" s="1052" t="s">
        <v>356</v>
      </c>
      <c r="B3001" s="1053" t="s">
        <v>248</v>
      </c>
      <c r="C3001" s="869"/>
      <c r="D3001" s="1049"/>
      <c r="E3001" s="1054"/>
      <c r="F3001" s="1055"/>
      <c r="G3001" s="1052" t="s">
        <v>356</v>
      </c>
      <c r="H3001" s="1053" t="s">
        <v>249</v>
      </c>
      <c r="I3001" s="869"/>
      <c r="J3001" s="1049"/>
      <c r="L3001" s="1088"/>
      <c r="M3001" s="1088"/>
      <c r="N3001" s="1088"/>
      <c r="O3001" s="1088"/>
    </row>
    <row r="3002" spans="1:15" ht="15" customHeight="1">
      <c r="A3002" s="1056" t="s">
        <v>359</v>
      </c>
      <c r="B3002" s="1057" t="s">
        <v>2662</v>
      </c>
      <c r="C3002" s="1058" t="e">
        <f>VLOOKUP(B3001,'LƯƠNG KT'!$D$15:$R$94,4,0)</f>
        <v>#N/A</v>
      </c>
      <c r="D3002" s="1059" t="e">
        <f>+C3002*25000</f>
        <v>#N/A</v>
      </c>
      <c r="E3002" s="1060"/>
      <c r="F3002" s="1060"/>
      <c r="G3002" s="1056" t="s">
        <v>359</v>
      </c>
      <c r="H3002" s="1057" t="s">
        <v>2662</v>
      </c>
      <c r="I3002" s="1058" t="e">
        <f>VLOOKUP(H3001,'LƯƠNG KT'!$D$15:$R$94,4,0)</f>
        <v>#N/A</v>
      </c>
      <c r="J3002" s="1059" t="e">
        <f>+I3002*25000</f>
        <v>#N/A</v>
      </c>
      <c r="K3002" s="1085"/>
      <c r="L3002" s="1085"/>
      <c r="M3002" s="1085"/>
      <c r="N3002" s="1085"/>
      <c r="O3002" s="1085"/>
    </row>
    <row r="3003" spans="1:15" ht="15" customHeight="1">
      <c r="A3003" s="1056" t="s">
        <v>361</v>
      </c>
      <c r="B3003" s="1057" t="s">
        <v>2663</v>
      </c>
      <c r="C3003" s="1058" t="e">
        <f>VLOOKUP(B3001,'LƯƠNG KT'!$D$15:$R$94,15,0)</f>
        <v>#N/A</v>
      </c>
      <c r="D3003" s="1059" t="e">
        <f>C3003*$L$4</f>
        <v>#N/A</v>
      </c>
      <c r="E3003" s="1061"/>
      <c r="F3003" s="1061"/>
      <c r="G3003" s="1056" t="s">
        <v>361</v>
      </c>
      <c r="H3003" s="1057" t="s">
        <v>2663</v>
      </c>
      <c r="I3003" s="1058" t="e">
        <f>VLOOKUP(H3001,'LƯƠNG KT'!$D$15:$R$94,15,0)</f>
        <v>#N/A</v>
      </c>
      <c r="J3003" s="1059" t="e">
        <f>I3003*$L$4</f>
        <v>#N/A</v>
      </c>
      <c r="K3003" s="1085"/>
      <c r="L3003" s="1085"/>
      <c r="M3003" s="1085"/>
      <c r="N3003" s="1085"/>
      <c r="O3003" s="1085"/>
    </row>
    <row r="3004" spans="1:15" ht="15" customHeight="1">
      <c r="A3004" s="1056" t="s">
        <v>364</v>
      </c>
      <c r="B3004" s="1057" t="s">
        <v>2664</v>
      </c>
      <c r="C3004" s="1058" t="e">
        <f>VLOOKUP(B3001,'LƯƠNG KT'!$D$15:$R$94,16,0)</f>
        <v>#N/A</v>
      </c>
      <c r="D3004" s="1059" t="e">
        <f>C3004*$L$5</f>
        <v>#N/A</v>
      </c>
      <c r="E3004" s="1061"/>
      <c r="F3004" s="1061"/>
      <c r="G3004" s="1056" t="s">
        <v>364</v>
      </c>
      <c r="H3004" s="1057" t="s">
        <v>2664</v>
      </c>
      <c r="I3004" s="1058" t="e">
        <f>VLOOKUP(H3001,'LƯƠNG KT'!$D$15:$R$94,16,0)</f>
        <v>#N/A</v>
      </c>
      <c r="J3004" s="1059" t="e">
        <f>I3004*$L$5</f>
        <v>#N/A</v>
      </c>
      <c r="K3004" s="1085"/>
      <c r="L3004" s="1085"/>
      <c r="M3004" s="1085"/>
      <c r="N3004" s="1085"/>
      <c r="O3004" s="1085"/>
    </row>
    <row r="3005" spans="1:15" ht="15" customHeight="1">
      <c r="A3005" s="1056" t="s">
        <v>370</v>
      </c>
      <c r="B3005" s="1057" t="s">
        <v>2665</v>
      </c>
      <c r="C3005" s="1058" t="e">
        <f>VLOOKUP(B3001,'LƯƠNG KT'!$D$15:$R$94,24,0)</f>
        <v>#N/A</v>
      </c>
      <c r="D3005" s="1059" t="e">
        <f>+C3005*$L$6</f>
        <v>#N/A</v>
      </c>
      <c r="E3005" s="1061"/>
      <c r="F3005" s="1061"/>
      <c r="G3005" s="1056" t="s">
        <v>370</v>
      </c>
      <c r="H3005" s="1057" t="s">
        <v>2665</v>
      </c>
      <c r="I3005" s="1058" t="e">
        <f>VLOOKUP(H3001,'LƯƠNG KT'!$D$15:$R$94,24,0)</f>
        <v>#N/A</v>
      </c>
      <c r="J3005" s="1059" t="e">
        <f>+I3005*$L$6</f>
        <v>#N/A</v>
      </c>
      <c r="K3005" s="1085"/>
      <c r="L3005" s="1085"/>
      <c r="M3005" s="1085"/>
      <c r="N3005" s="1085"/>
      <c r="O3005" s="1085"/>
    </row>
    <row r="3006" spans="1:15" ht="15" customHeight="1">
      <c r="A3006" s="1056" t="s">
        <v>2666</v>
      </c>
      <c r="B3006" s="1057" t="s">
        <v>2667</v>
      </c>
      <c r="C3006" s="1058" t="e">
        <f>VLOOKUP(B3001,'LƯƠNG KT'!$D$15:$R$94,19,0)</f>
        <v>#N/A</v>
      </c>
      <c r="D3006" s="1059" t="e">
        <f>+C3006*$L$8</f>
        <v>#N/A</v>
      </c>
      <c r="E3006" s="1061"/>
      <c r="F3006" s="1061"/>
      <c r="G3006" s="1056" t="s">
        <v>2666</v>
      </c>
      <c r="H3006" s="1057" t="s">
        <v>2667</v>
      </c>
      <c r="I3006" s="1058" t="e">
        <f>VLOOKUP(H3001,'LƯƠNG KT'!$D$15:$R$94,19,0)</f>
        <v>#N/A</v>
      </c>
      <c r="J3006" s="1059" t="e">
        <f>+I3006*$L$8</f>
        <v>#N/A</v>
      </c>
      <c r="K3006" s="1085"/>
      <c r="L3006" s="1085"/>
      <c r="M3006" s="1085"/>
      <c r="N3006" s="1085"/>
      <c r="O3006" s="1085"/>
    </row>
    <row r="3007" spans="1:15" ht="15" customHeight="1">
      <c r="A3007" s="1056" t="s">
        <v>2668</v>
      </c>
      <c r="B3007" s="1062" t="s">
        <v>2669</v>
      </c>
      <c r="C3007" s="1058" t="e">
        <f>VLOOKUP(B3001,'LƯƠNG KT'!$D$15:$R$94,20,0)</f>
        <v>#N/A</v>
      </c>
      <c r="D3007" s="1059" t="e">
        <f>+C3007*$L$9</f>
        <v>#N/A</v>
      </c>
      <c r="E3007" s="1061"/>
      <c r="F3007" s="1061"/>
      <c r="G3007" s="1056" t="s">
        <v>2668</v>
      </c>
      <c r="H3007" s="1062" t="s">
        <v>2669</v>
      </c>
      <c r="I3007" s="1058" t="e">
        <f>VLOOKUP(H3001,'LƯƠNG KT'!$D$15:$R$94,20,0)</f>
        <v>#N/A</v>
      </c>
      <c r="J3007" s="1059" t="e">
        <f>+I3007*$L$9</f>
        <v>#N/A</v>
      </c>
      <c r="K3007" s="1085"/>
      <c r="L3007" s="1085"/>
      <c r="M3007" s="1085"/>
      <c r="N3007" s="1085"/>
      <c r="O3007" s="1085"/>
    </row>
    <row r="3008" spans="1:15" ht="15" customHeight="1">
      <c r="A3008" s="1056" t="s">
        <v>2671</v>
      </c>
      <c r="B3008" s="1057" t="s">
        <v>2672</v>
      </c>
      <c r="C3008" s="1058" t="e">
        <f>VLOOKUP(B3001,'LƯƠNG KT'!$D$15:$R$94,17,0)</f>
        <v>#N/A</v>
      </c>
      <c r="D3008" s="1059" t="e">
        <f>+C3008*$L$10</f>
        <v>#N/A</v>
      </c>
      <c r="E3008" s="1061"/>
      <c r="F3008" s="1061"/>
      <c r="G3008" s="1056" t="s">
        <v>2671</v>
      </c>
      <c r="H3008" s="1057" t="s">
        <v>2672</v>
      </c>
      <c r="I3008" s="1058" t="e">
        <f>VLOOKUP(H3001,'LƯƠNG KT'!$D$15:$R$94,17,0)</f>
        <v>#N/A</v>
      </c>
      <c r="J3008" s="1059" t="e">
        <f>+I3008*$L$10</f>
        <v>#N/A</v>
      </c>
      <c r="K3008" s="1085"/>
      <c r="L3008" s="1085"/>
      <c r="M3008" s="1085"/>
      <c r="N3008" s="1085"/>
      <c r="O3008" s="1085"/>
    </row>
    <row r="3009" spans="1:15" ht="15" customHeight="1">
      <c r="A3009" s="1056" t="s">
        <v>374</v>
      </c>
      <c r="B3009" s="1057" t="s">
        <v>2674</v>
      </c>
      <c r="C3009" s="1058" t="e">
        <f>VLOOKUP(B3001,'LƯƠNG KT'!$D$15:$R$94,12,0)</f>
        <v>#N/A</v>
      </c>
      <c r="D3009" s="1059" t="e">
        <f>VLOOKUP(B3001,'LƯƠNG KT'!$D$15:$R$94,14,0)</f>
        <v>#N/A</v>
      </c>
      <c r="E3009" s="1063"/>
      <c r="F3009" s="1061"/>
      <c r="G3009" s="1056" t="s">
        <v>374</v>
      </c>
      <c r="H3009" s="1057" t="s">
        <v>2674</v>
      </c>
      <c r="I3009" s="1058" t="e">
        <f>VLOOKUP(H3001,'LƯƠNG KT'!$D$15:$R$94,12,0)</f>
        <v>#N/A</v>
      </c>
      <c r="J3009" s="1059" t="e">
        <f>VLOOKUP(H3001,'LƯƠNG KT'!$D$15:$R$94,14,0)</f>
        <v>#N/A</v>
      </c>
      <c r="K3009" s="1085"/>
      <c r="L3009" s="1085"/>
      <c r="M3009" s="1085"/>
      <c r="N3009" s="1085"/>
      <c r="O3009" s="1085"/>
    </row>
    <row r="3010" spans="1:15" ht="15" customHeight="1">
      <c r="A3010" s="1056" t="s">
        <v>2675</v>
      </c>
      <c r="B3010" s="1057" t="s">
        <v>2676</v>
      </c>
      <c r="D3010" s="1064" t="e">
        <f>VLOOKUP(B3001,'LƯƠNG KT'!$D$15:$R$94,13,0)</f>
        <v>#N/A</v>
      </c>
      <c r="E3010" s="1065"/>
      <c r="F3010" s="1065"/>
      <c r="G3010" s="1056" t="s">
        <v>2675</v>
      </c>
      <c r="H3010" s="1057" t="s">
        <v>2676</v>
      </c>
      <c r="J3010" s="1064" t="e">
        <f>VLOOKUP(H3001,'LƯƠNG KT'!$D$15:$R$94,13,0)</f>
        <v>#N/A</v>
      </c>
    </row>
    <row r="3011" spans="1:15" ht="15" customHeight="1">
      <c r="A3011" s="1066"/>
      <c r="B3011" s="869"/>
      <c r="C3011" s="1058"/>
      <c r="D3011" s="1059"/>
      <c r="E3011" s="1063"/>
      <c r="F3011" s="1065"/>
      <c r="G3011" s="1066"/>
      <c r="H3011" s="869"/>
      <c r="I3011" s="1058"/>
      <c r="J3011" s="1059"/>
    </row>
    <row r="3012" spans="1:15" ht="15" customHeight="1">
      <c r="A3012" s="1052"/>
      <c r="B3012" s="869"/>
      <c r="C3012" s="1058"/>
      <c r="D3012" s="1059"/>
      <c r="E3012" s="1067"/>
      <c r="F3012" s="1051"/>
      <c r="G3012" s="1052"/>
      <c r="H3012" s="869"/>
      <c r="I3012" s="1058"/>
      <c r="J3012" s="1059"/>
    </row>
    <row r="3013" spans="1:15" ht="15" customHeight="1">
      <c r="A3013" s="1068" t="s">
        <v>383</v>
      </c>
      <c r="B3013" s="1069" t="s">
        <v>384</v>
      </c>
      <c r="C3013" s="1070"/>
      <c r="D3013" s="1071" t="e">
        <f>SUM(D3002:D3009)-D3012</f>
        <v>#N/A</v>
      </c>
      <c r="E3013" s="1072"/>
      <c r="F3013" s="1073"/>
      <c r="G3013" s="1068" t="s">
        <v>383</v>
      </c>
      <c r="H3013" s="1069" t="s">
        <v>384</v>
      </c>
      <c r="I3013" s="1070"/>
      <c r="J3013" s="1071" t="e">
        <f>SUM(J3002:J3009)-J3012</f>
        <v>#N/A</v>
      </c>
    </row>
    <row r="3014" spans="1:15" ht="18.75" customHeight="1">
      <c r="A3014" s="1074"/>
      <c r="B3014" s="1075"/>
      <c r="C3014" s="1076"/>
      <c r="D3014" s="1077"/>
      <c r="E3014" s="1077"/>
      <c r="F3014" s="1078"/>
      <c r="G3014" s="1074"/>
      <c r="H3014" s="1075"/>
      <c r="I3014" s="1076"/>
      <c r="J3014" s="1077"/>
    </row>
    <row r="3015" spans="1:15" ht="110.25" customHeight="1">
      <c r="A3015" s="1075"/>
      <c r="B3015" s="1075"/>
      <c r="C3015" s="1079"/>
      <c r="D3015" s="1080"/>
      <c r="E3015" s="1075"/>
      <c r="F3015" s="1081"/>
      <c r="G3015" s="1075"/>
      <c r="H3015" s="1075"/>
      <c r="I3015" s="1079"/>
      <c r="J3015" s="1080"/>
    </row>
    <row r="3016" spans="1:15" ht="15" customHeight="1">
      <c r="A3016" s="2242" t="str">
        <f>$K$2</f>
        <v>THÁNG 04/2025</v>
      </c>
      <c r="B3016" s="2242"/>
      <c r="C3016" s="2242"/>
      <c r="D3016" s="2242"/>
      <c r="E3016" s="1050"/>
      <c r="F3016" s="1051"/>
      <c r="G3016" s="2242" t="str">
        <f>$K$2</f>
        <v>THÁNG 04/2025</v>
      </c>
      <c r="H3016" s="2242"/>
      <c r="I3016" s="2242"/>
      <c r="J3016" s="2242"/>
      <c r="K3016" s="624"/>
    </row>
    <row r="3017" spans="1:15" ht="15" customHeight="1">
      <c r="A3017" s="1052" t="s">
        <v>356</v>
      </c>
      <c r="B3017" s="1053" t="s">
        <v>250</v>
      </c>
      <c r="C3017" s="869"/>
      <c r="D3017" s="1049"/>
      <c r="E3017" s="1054"/>
      <c r="F3017" s="1055"/>
      <c r="G3017" s="1052" t="s">
        <v>356</v>
      </c>
      <c r="H3017" s="1053" t="s">
        <v>251</v>
      </c>
      <c r="I3017" s="869"/>
      <c r="J3017" s="1049"/>
      <c r="L3017" s="1088"/>
      <c r="M3017" s="1088"/>
      <c r="N3017" s="1088"/>
      <c r="O3017" s="1088"/>
    </row>
    <row r="3018" spans="1:15" ht="15" customHeight="1">
      <c r="A3018" s="1056" t="s">
        <v>359</v>
      </c>
      <c r="B3018" s="1057" t="s">
        <v>2662</v>
      </c>
      <c r="C3018" s="1058" t="e">
        <f>VLOOKUP(B3017,'LƯƠNG KT'!$D$15:$R$94,4,0)</f>
        <v>#N/A</v>
      </c>
      <c r="D3018" s="1059" t="e">
        <f>+C3018*25000</f>
        <v>#N/A</v>
      </c>
      <c r="E3018" s="1060"/>
      <c r="F3018" s="1060"/>
      <c r="G3018" s="1056" t="s">
        <v>359</v>
      </c>
      <c r="H3018" s="1057" t="s">
        <v>2662</v>
      </c>
      <c r="I3018" s="1058" t="e">
        <f>VLOOKUP(H3017,'LƯƠNG KT'!$D$15:$R$94,4,0)</f>
        <v>#N/A</v>
      </c>
      <c r="J3018" s="1059" t="e">
        <f>+I3018*25000</f>
        <v>#N/A</v>
      </c>
      <c r="K3018" s="1085"/>
      <c r="L3018" s="1085"/>
      <c r="M3018" s="1085"/>
      <c r="N3018" s="1085"/>
      <c r="O3018" s="1085"/>
    </row>
    <row r="3019" spans="1:15" ht="15" customHeight="1">
      <c r="A3019" s="1056" t="s">
        <v>361</v>
      </c>
      <c r="B3019" s="1057" t="s">
        <v>2663</v>
      </c>
      <c r="C3019" s="1058" t="e">
        <f>VLOOKUP(B3017,'LƯƠNG KT'!$D$15:$R$94,15,0)</f>
        <v>#N/A</v>
      </c>
      <c r="D3019" s="1059" t="e">
        <f>C3019*$L$4</f>
        <v>#N/A</v>
      </c>
      <c r="E3019" s="1061"/>
      <c r="F3019" s="1061"/>
      <c r="G3019" s="1056" t="s">
        <v>361</v>
      </c>
      <c r="H3019" s="1057" t="s">
        <v>2663</v>
      </c>
      <c r="I3019" s="1058" t="e">
        <f>VLOOKUP(H3017,'LƯƠNG KT'!$D$15:$R$94,15,0)</f>
        <v>#N/A</v>
      </c>
      <c r="J3019" s="1059" t="e">
        <f>I3019*$L$4</f>
        <v>#N/A</v>
      </c>
      <c r="K3019" s="1085"/>
      <c r="L3019" s="1085"/>
      <c r="M3019" s="1085"/>
      <c r="N3019" s="1085"/>
      <c r="O3019" s="1085"/>
    </row>
    <row r="3020" spans="1:15" ht="15" customHeight="1">
      <c r="A3020" s="1056" t="s">
        <v>364</v>
      </c>
      <c r="B3020" s="1057" t="s">
        <v>2664</v>
      </c>
      <c r="C3020" s="1058" t="e">
        <f>VLOOKUP(B3017,'LƯƠNG KT'!$D$15:$R$94,16,0)</f>
        <v>#N/A</v>
      </c>
      <c r="D3020" s="1059" t="e">
        <f>C3020*$L$5</f>
        <v>#N/A</v>
      </c>
      <c r="E3020" s="1061"/>
      <c r="F3020" s="1061"/>
      <c r="G3020" s="1056" t="s">
        <v>364</v>
      </c>
      <c r="H3020" s="1057" t="s">
        <v>2664</v>
      </c>
      <c r="I3020" s="1058" t="e">
        <f>VLOOKUP(H3017,'LƯƠNG KT'!$D$15:$R$94,16,0)</f>
        <v>#N/A</v>
      </c>
      <c r="J3020" s="1059" t="e">
        <f>I3020*$L$5</f>
        <v>#N/A</v>
      </c>
      <c r="K3020" s="1085"/>
      <c r="L3020" s="1085"/>
      <c r="M3020" s="1085"/>
      <c r="N3020" s="1085"/>
      <c r="O3020" s="1085"/>
    </row>
    <row r="3021" spans="1:15" ht="15" customHeight="1">
      <c r="A3021" s="1056" t="s">
        <v>370</v>
      </c>
      <c r="B3021" s="1057" t="s">
        <v>2665</v>
      </c>
      <c r="C3021" s="1058" t="e">
        <f>VLOOKUP(B3017,'LƯƠNG KT'!$D$15:$R$94,24,0)</f>
        <v>#N/A</v>
      </c>
      <c r="D3021" s="1059" t="e">
        <f>+C3021*$L$6</f>
        <v>#N/A</v>
      </c>
      <c r="E3021" s="1061"/>
      <c r="F3021" s="1061"/>
      <c r="G3021" s="1056" t="s">
        <v>370</v>
      </c>
      <c r="H3021" s="1057" t="s">
        <v>2665</v>
      </c>
      <c r="I3021" s="1058" t="e">
        <f>VLOOKUP(H3017,'LƯƠNG KT'!$D$15:$R$94,24,0)</f>
        <v>#N/A</v>
      </c>
      <c r="J3021" s="1059" t="e">
        <f>+I3021*$L$6</f>
        <v>#N/A</v>
      </c>
      <c r="K3021" s="1085"/>
      <c r="L3021" s="1085"/>
      <c r="M3021" s="1085"/>
      <c r="N3021" s="1085"/>
      <c r="O3021" s="1085"/>
    </row>
    <row r="3022" spans="1:15" ht="15" customHeight="1">
      <c r="A3022" s="1056" t="s">
        <v>2666</v>
      </c>
      <c r="B3022" s="1057" t="s">
        <v>2667</v>
      </c>
      <c r="C3022" s="1058" t="e">
        <f>VLOOKUP(B3017,'LƯƠNG KT'!$D$15:$R$94,19,0)</f>
        <v>#N/A</v>
      </c>
      <c r="D3022" s="1059" t="e">
        <f>+C3022*$L$8</f>
        <v>#N/A</v>
      </c>
      <c r="E3022" s="1061"/>
      <c r="F3022" s="1061"/>
      <c r="G3022" s="1056" t="s">
        <v>2666</v>
      </c>
      <c r="H3022" s="1057" t="s">
        <v>2667</v>
      </c>
      <c r="I3022" s="1058" t="e">
        <f>VLOOKUP(H3017,'LƯƠNG KT'!$D$15:$R$94,19,0)</f>
        <v>#N/A</v>
      </c>
      <c r="J3022" s="1059" t="e">
        <f>+I3022*$L$8</f>
        <v>#N/A</v>
      </c>
      <c r="K3022" s="1085"/>
      <c r="L3022" s="1085"/>
      <c r="M3022" s="1085"/>
      <c r="N3022" s="1085"/>
      <c r="O3022" s="1085"/>
    </row>
    <row r="3023" spans="1:15" ht="15" customHeight="1">
      <c r="A3023" s="1056" t="s">
        <v>2668</v>
      </c>
      <c r="B3023" s="1062" t="s">
        <v>2669</v>
      </c>
      <c r="C3023" s="1058" t="e">
        <f>VLOOKUP(B3017,'LƯƠNG KT'!$D$15:$R$94,20,0)</f>
        <v>#N/A</v>
      </c>
      <c r="D3023" s="1059" t="e">
        <f>+C3023*$L$9</f>
        <v>#N/A</v>
      </c>
      <c r="E3023" s="1061"/>
      <c r="F3023" s="1061"/>
      <c r="G3023" s="1056" t="s">
        <v>2668</v>
      </c>
      <c r="H3023" s="1062" t="s">
        <v>2669</v>
      </c>
      <c r="I3023" s="1058" t="e">
        <f>VLOOKUP(H3017,'LƯƠNG KT'!$D$15:$R$94,20,0)</f>
        <v>#N/A</v>
      </c>
      <c r="J3023" s="1059" t="e">
        <f>+I3023*$L$9</f>
        <v>#N/A</v>
      </c>
      <c r="K3023" s="1085"/>
      <c r="L3023" s="1085"/>
      <c r="M3023" s="1085"/>
      <c r="N3023" s="1085"/>
      <c r="O3023" s="1085"/>
    </row>
    <row r="3024" spans="1:15" ht="15" customHeight="1">
      <c r="A3024" s="1056" t="s">
        <v>2671</v>
      </c>
      <c r="B3024" s="1057" t="s">
        <v>2672</v>
      </c>
      <c r="C3024" s="1058" t="e">
        <f>VLOOKUP(B3017,'LƯƠNG KT'!$D$15:$R$94,17,0)</f>
        <v>#N/A</v>
      </c>
      <c r="D3024" s="1059" t="e">
        <f>+C3024*$L$10</f>
        <v>#N/A</v>
      </c>
      <c r="E3024" s="1061"/>
      <c r="F3024" s="1061"/>
      <c r="G3024" s="1056" t="s">
        <v>2671</v>
      </c>
      <c r="H3024" s="1057" t="s">
        <v>2672</v>
      </c>
      <c r="I3024" s="1058" t="e">
        <f>VLOOKUP(H3017,'LƯƠNG KT'!$D$15:$R$94,17,0)</f>
        <v>#N/A</v>
      </c>
      <c r="J3024" s="1059" t="e">
        <f>+I3024*$L$10</f>
        <v>#N/A</v>
      </c>
      <c r="K3024" s="1085"/>
      <c r="L3024" s="1085"/>
      <c r="M3024" s="1085"/>
      <c r="N3024" s="1085"/>
      <c r="O3024" s="1085"/>
    </row>
    <row r="3025" spans="1:15" ht="15" customHeight="1">
      <c r="A3025" s="1056" t="s">
        <v>374</v>
      </c>
      <c r="B3025" s="1057" t="s">
        <v>2674</v>
      </c>
      <c r="C3025" s="1058" t="e">
        <f>VLOOKUP(B3017,'LƯƠNG KT'!$D$15:$R$94,12,0)</f>
        <v>#N/A</v>
      </c>
      <c r="D3025" s="1059" t="e">
        <f>VLOOKUP(B3017,'LƯƠNG KT'!$D$15:$R$94,14,0)</f>
        <v>#N/A</v>
      </c>
      <c r="E3025" s="1063"/>
      <c r="F3025" s="1061"/>
      <c r="G3025" s="1056" t="s">
        <v>374</v>
      </c>
      <c r="H3025" s="1057" t="s">
        <v>2674</v>
      </c>
      <c r="I3025" s="1058" t="e">
        <f>VLOOKUP(H3017,'LƯƠNG KT'!$D$15:$R$94,12,0)</f>
        <v>#N/A</v>
      </c>
      <c r="J3025" s="1059" t="e">
        <f>VLOOKUP(H3017,'LƯƠNG KT'!$D$15:$R$94,14,0)</f>
        <v>#N/A</v>
      </c>
      <c r="K3025" s="1085"/>
      <c r="L3025" s="1085"/>
      <c r="M3025" s="1085"/>
      <c r="N3025" s="1085"/>
      <c r="O3025" s="1085"/>
    </row>
    <row r="3026" spans="1:15" ht="15" customHeight="1">
      <c r="A3026" s="1056" t="s">
        <v>2675</v>
      </c>
      <c r="B3026" s="1057" t="s">
        <v>2676</v>
      </c>
      <c r="D3026" s="1064" t="e">
        <f>VLOOKUP(B3017,'LƯƠNG KT'!$D$15:$R$94,13,0)</f>
        <v>#N/A</v>
      </c>
      <c r="E3026" s="1065"/>
      <c r="F3026" s="1065"/>
      <c r="G3026" s="1056" t="s">
        <v>2675</v>
      </c>
      <c r="H3026" s="1057" t="s">
        <v>2676</v>
      </c>
      <c r="J3026" s="1064" t="e">
        <f>VLOOKUP(H3017,'LƯƠNG KT'!$D$15:$R$94,13,0)</f>
        <v>#N/A</v>
      </c>
    </row>
    <row r="3027" spans="1:15" ht="15" customHeight="1">
      <c r="A3027" s="1066"/>
      <c r="B3027" s="869"/>
      <c r="C3027" s="1058"/>
      <c r="D3027" s="1059"/>
      <c r="E3027" s="1063"/>
      <c r="F3027" s="1065"/>
      <c r="G3027" s="1066"/>
      <c r="H3027" s="869"/>
      <c r="I3027" s="1058"/>
      <c r="J3027" s="1059"/>
    </row>
    <row r="3028" spans="1:15" ht="15" customHeight="1">
      <c r="A3028" s="1052"/>
      <c r="B3028" s="869"/>
      <c r="C3028" s="1058"/>
      <c r="D3028" s="1059"/>
      <c r="E3028" s="1067"/>
      <c r="F3028" s="1051"/>
      <c r="G3028" s="1052"/>
      <c r="H3028" s="869"/>
      <c r="I3028" s="1058"/>
      <c r="J3028" s="1059"/>
    </row>
    <row r="3029" spans="1:15" ht="15" customHeight="1">
      <c r="A3029" s="1068" t="s">
        <v>383</v>
      </c>
      <c r="B3029" s="1069" t="s">
        <v>384</v>
      </c>
      <c r="C3029" s="1070"/>
      <c r="D3029" s="1071" t="e">
        <f>SUM(D3018:D3025)-D3028</f>
        <v>#N/A</v>
      </c>
      <c r="E3029" s="1072"/>
      <c r="F3029" s="1073"/>
      <c r="G3029" s="1068" t="s">
        <v>383</v>
      </c>
      <c r="H3029" s="1069" t="s">
        <v>384</v>
      </c>
      <c r="I3029" s="1070"/>
      <c r="J3029" s="1071" t="e">
        <f>SUM(J3018:J3025)-J3028</f>
        <v>#N/A</v>
      </c>
    </row>
    <row r="3030" spans="1:15" ht="18.75" customHeight="1">
      <c r="A3030" s="1074"/>
      <c r="B3030" s="1075"/>
      <c r="C3030" s="1076"/>
      <c r="D3030" s="1077"/>
      <c r="E3030" s="1077"/>
      <c r="F3030" s="1078"/>
      <c r="G3030" s="1074"/>
      <c r="H3030" s="1075"/>
      <c r="I3030" s="1076"/>
      <c r="J3030" s="1077"/>
    </row>
    <row r="3031" spans="1:15" ht="18.75" customHeight="1">
      <c r="A3031" s="1075"/>
      <c r="B3031" s="1075"/>
      <c r="C3031" s="1079"/>
      <c r="D3031" s="1080"/>
      <c r="E3031" s="1075"/>
      <c r="F3031" s="1081"/>
      <c r="G3031" s="1075"/>
      <c r="H3031" s="1075"/>
      <c r="I3031" s="1079"/>
      <c r="J3031" s="1080"/>
    </row>
    <row r="3032" spans="1:15" ht="15" customHeight="1">
      <c r="A3032" s="2242" t="str">
        <f>$K$2</f>
        <v>THÁNG 04/2025</v>
      </c>
      <c r="B3032" s="2242"/>
      <c r="C3032" s="2242"/>
      <c r="D3032" s="2242"/>
      <c r="E3032" s="1050"/>
      <c r="F3032" s="1051"/>
      <c r="G3032" s="2242" t="str">
        <f>$K$2</f>
        <v>THÁNG 04/2025</v>
      </c>
      <c r="H3032" s="2242"/>
      <c r="I3032" s="2242"/>
      <c r="J3032" s="2242"/>
      <c r="K3032" s="624"/>
    </row>
    <row r="3033" spans="1:15" ht="15" customHeight="1">
      <c r="A3033" s="1052" t="s">
        <v>356</v>
      </c>
      <c r="B3033" s="1053" t="s">
        <v>252</v>
      </c>
      <c r="C3033" s="869"/>
      <c r="D3033" s="1049"/>
      <c r="E3033" s="1054"/>
      <c r="F3033" s="1055"/>
      <c r="G3033" s="1052" t="s">
        <v>356</v>
      </c>
      <c r="H3033" s="1053" t="s">
        <v>253</v>
      </c>
      <c r="I3033" s="869"/>
      <c r="J3033" s="1049"/>
      <c r="L3033" s="1088"/>
      <c r="M3033" s="1088"/>
      <c r="N3033" s="1088"/>
      <c r="O3033" s="1088"/>
    </row>
    <row r="3034" spans="1:15" ht="15" customHeight="1">
      <c r="A3034" s="1056" t="s">
        <v>359</v>
      </c>
      <c r="B3034" s="1057" t="s">
        <v>2662</v>
      </c>
      <c r="C3034" s="1058" t="e">
        <f>VLOOKUP(B3033,'LƯƠNG KT'!$D$15:$R$94,4,0)</f>
        <v>#N/A</v>
      </c>
      <c r="D3034" s="1059" t="e">
        <f>+C3034*25000</f>
        <v>#N/A</v>
      </c>
      <c r="E3034" s="1060"/>
      <c r="F3034" s="1060"/>
      <c r="G3034" s="1056" t="s">
        <v>359</v>
      </c>
      <c r="H3034" s="1057" t="s">
        <v>2662</v>
      </c>
      <c r="I3034" s="1058" t="e">
        <f>VLOOKUP(H3033,'LƯƠNG KT'!$D$15:$R$94,4,0)</f>
        <v>#N/A</v>
      </c>
      <c r="J3034" s="1059" t="e">
        <f>+I3034*25000</f>
        <v>#N/A</v>
      </c>
      <c r="K3034" s="1085"/>
      <c r="L3034" s="1085"/>
      <c r="M3034" s="1085"/>
      <c r="N3034" s="1085"/>
      <c r="O3034" s="1085"/>
    </row>
    <row r="3035" spans="1:15" ht="15" customHeight="1">
      <c r="A3035" s="1056" t="s">
        <v>361</v>
      </c>
      <c r="B3035" s="1057" t="s">
        <v>2663</v>
      </c>
      <c r="C3035" s="1058" t="e">
        <f>VLOOKUP(B3033,'LƯƠNG KT'!$D$15:$R$94,15,0)</f>
        <v>#N/A</v>
      </c>
      <c r="D3035" s="1059" t="e">
        <f>C3035*$L$4</f>
        <v>#N/A</v>
      </c>
      <c r="E3035" s="1061"/>
      <c r="F3035" s="1061"/>
      <c r="G3035" s="1056" t="s">
        <v>361</v>
      </c>
      <c r="H3035" s="1057" t="s">
        <v>2663</v>
      </c>
      <c r="I3035" s="1058" t="e">
        <f>VLOOKUP(H3033,'LƯƠNG KT'!$D$15:$R$94,15,0)</f>
        <v>#N/A</v>
      </c>
      <c r="J3035" s="1059" t="e">
        <f>I3035*$L$4</f>
        <v>#N/A</v>
      </c>
      <c r="K3035" s="1085"/>
      <c r="L3035" s="1085"/>
      <c r="M3035" s="1085"/>
      <c r="N3035" s="1085"/>
      <c r="O3035" s="1085"/>
    </row>
    <row r="3036" spans="1:15" ht="15" customHeight="1">
      <c r="A3036" s="1056" t="s">
        <v>364</v>
      </c>
      <c r="B3036" s="1057" t="s">
        <v>2664</v>
      </c>
      <c r="C3036" s="1058" t="e">
        <f>VLOOKUP(B3033,'LƯƠNG KT'!$D$15:$R$94,16,0)</f>
        <v>#N/A</v>
      </c>
      <c r="D3036" s="1059" t="e">
        <f>C3036*$L$5</f>
        <v>#N/A</v>
      </c>
      <c r="E3036" s="1061"/>
      <c r="F3036" s="1061"/>
      <c r="G3036" s="1056" t="s">
        <v>364</v>
      </c>
      <c r="H3036" s="1057" t="s">
        <v>2664</v>
      </c>
      <c r="I3036" s="1058" t="e">
        <f>VLOOKUP(H3033,'LƯƠNG KT'!$D$15:$R$94,16,0)</f>
        <v>#N/A</v>
      </c>
      <c r="J3036" s="1059" t="e">
        <f>I3036*$L$5</f>
        <v>#N/A</v>
      </c>
      <c r="K3036" s="1085"/>
      <c r="L3036" s="1085"/>
      <c r="M3036" s="1085"/>
      <c r="N3036" s="1085"/>
      <c r="O3036" s="1085"/>
    </row>
    <row r="3037" spans="1:15" ht="15" customHeight="1">
      <c r="A3037" s="1056" t="s">
        <v>370</v>
      </c>
      <c r="B3037" s="1057" t="s">
        <v>2665</v>
      </c>
      <c r="C3037" s="1058" t="e">
        <f>VLOOKUP(B3033,'LƯƠNG KT'!$D$15:$R$94,24,0)</f>
        <v>#N/A</v>
      </c>
      <c r="D3037" s="1059" t="e">
        <f>+C3037*$L$6</f>
        <v>#N/A</v>
      </c>
      <c r="E3037" s="1061"/>
      <c r="F3037" s="1061"/>
      <c r="G3037" s="1056" t="s">
        <v>370</v>
      </c>
      <c r="H3037" s="1057" t="s">
        <v>2665</v>
      </c>
      <c r="I3037" s="1058" t="e">
        <f>VLOOKUP(H3033,'LƯƠNG KT'!$D$15:$R$94,24,0)</f>
        <v>#N/A</v>
      </c>
      <c r="J3037" s="1059" t="e">
        <f>+I3037*$L$6</f>
        <v>#N/A</v>
      </c>
      <c r="K3037" s="1085"/>
      <c r="L3037" s="1085"/>
      <c r="M3037" s="1085"/>
      <c r="N3037" s="1085"/>
      <c r="O3037" s="1085"/>
    </row>
    <row r="3038" spans="1:15" ht="15" customHeight="1">
      <c r="A3038" s="1056" t="s">
        <v>2666</v>
      </c>
      <c r="B3038" s="1057" t="s">
        <v>2667</v>
      </c>
      <c r="C3038" s="1058" t="e">
        <f>VLOOKUP(B3033,'LƯƠNG KT'!$D$15:$R$94,19,0)</f>
        <v>#N/A</v>
      </c>
      <c r="D3038" s="1059" t="e">
        <f>+C3038*$L$8</f>
        <v>#N/A</v>
      </c>
      <c r="E3038" s="1061"/>
      <c r="F3038" s="1061"/>
      <c r="G3038" s="1056" t="s">
        <v>2666</v>
      </c>
      <c r="H3038" s="1057" t="s">
        <v>2667</v>
      </c>
      <c r="I3038" s="1058" t="e">
        <f>VLOOKUP(H3033,'LƯƠNG KT'!$D$15:$R$94,19,0)</f>
        <v>#N/A</v>
      </c>
      <c r="J3038" s="1059" t="e">
        <f>+I3038*$L$8</f>
        <v>#N/A</v>
      </c>
      <c r="K3038" s="1085"/>
      <c r="L3038" s="1085"/>
      <c r="M3038" s="1085"/>
      <c r="N3038" s="1085"/>
      <c r="O3038" s="1085"/>
    </row>
    <row r="3039" spans="1:15" ht="15" customHeight="1">
      <c r="A3039" s="1056" t="s">
        <v>2668</v>
      </c>
      <c r="B3039" s="1062" t="s">
        <v>2669</v>
      </c>
      <c r="C3039" s="1058" t="e">
        <f>VLOOKUP(B3033,'LƯƠNG KT'!$D$15:$R$94,20,0)</f>
        <v>#N/A</v>
      </c>
      <c r="D3039" s="1059" t="e">
        <f>+C3039*$L$9</f>
        <v>#N/A</v>
      </c>
      <c r="E3039" s="1061"/>
      <c r="F3039" s="1061"/>
      <c r="G3039" s="1056" t="s">
        <v>2668</v>
      </c>
      <c r="H3039" s="1062" t="s">
        <v>2669</v>
      </c>
      <c r="I3039" s="1058" t="e">
        <f>VLOOKUP(H3033,'LƯƠNG KT'!$D$15:$R$94,20,0)</f>
        <v>#N/A</v>
      </c>
      <c r="J3039" s="1059" t="e">
        <f>+I3039*$L$9</f>
        <v>#N/A</v>
      </c>
      <c r="K3039" s="1085"/>
      <c r="L3039" s="1085"/>
      <c r="M3039" s="1085"/>
      <c r="N3039" s="1085"/>
      <c r="O3039" s="1085"/>
    </row>
    <row r="3040" spans="1:15" ht="15" customHeight="1">
      <c r="A3040" s="1056" t="s">
        <v>2671</v>
      </c>
      <c r="B3040" s="1057" t="s">
        <v>2672</v>
      </c>
      <c r="C3040" s="1058" t="e">
        <f>VLOOKUP(B3033,'LƯƠNG KT'!$D$15:$R$94,17,0)</f>
        <v>#N/A</v>
      </c>
      <c r="D3040" s="1059" t="e">
        <f>+C3040*$L$10</f>
        <v>#N/A</v>
      </c>
      <c r="E3040" s="1061"/>
      <c r="F3040" s="1061"/>
      <c r="G3040" s="1056" t="s">
        <v>2671</v>
      </c>
      <c r="H3040" s="1057" t="s">
        <v>2672</v>
      </c>
      <c r="I3040" s="1058" t="e">
        <f>VLOOKUP(H3033,'LƯƠNG KT'!$D$15:$R$94,17,0)</f>
        <v>#N/A</v>
      </c>
      <c r="J3040" s="1059" t="e">
        <f>+I3040*$L$10</f>
        <v>#N/A</v>
      </c>
      <c r="K3040" s="1085"/>
      <c r="L3040" s="1085"/>
      <c r="M3040" s="1085"/>
      <c r="N3040" s="1085"/>
      <c r="O3040" s="1085"/>
    </row>
    <row r="3041" spans="1:15" ht="15" customHeight="1">
      <c r="A3041" s="1056" t="s">
        <v>374</v>
      </c>
      <c r="B3041" s="1057" t="s">
        <v>2674</v>
      </c>
      <c r="C3041" s="1058" t="e">
        <f>VLOOKUP(B3033,'LƯƠNG KT'!$D$15:$R$94,12,0)</f>
        <v>#N/A</v>
      </c>
      <c r="D3041" s="1059" t="e">
        <f>VLOOKUP(B3033,'LƯƠNG KT'!$D$15:$R$94,14,0)</f>
        <v>#N/A</v>
      </c>
      <c r="E3041" s="1063"/>
      <c r="F3041" s="1061"/>
      <c r="G3041" s="1056" t="s">
        <v>374</v>
      </c>
      <c r="H3041" s="1057" t="s">
        <v>2674</v>
      </c>
      <c r="I3041" s="1058" t="e">
        <f>VLOOKUP(H3033,'LƯƠNG KT'!$D$15:$R$94,12,0)</f>
        <v>#N/A</v>
      </c>
      <c r="J3041" s="1059" t="e">
        <f>VLOOKUP(H3033,'LƯƠNG KT'!$D$15:$R$94,14,0)</f>
        <v>#N/A</v>
      </c>
      <c r="K3041" s="1085"/>
      <c r="L3041" s="1085"/>
      <c r="M3041" s="1085"/>
      <c r="N3041" s="1085"/>
      <c r="O3041" s="1085"/>
    </row>
    <row r="3042" spans="1:15" ht="15" customHeight="1">
      <c r="A3042" s="1056" t="s">
        <v>2675</v>
      </c>
      <c r="B3042" s="1057" t="s">
        <v>2676</v>
      </c>
      <c r="D3042" s="1064" t="e">
        <f>VLOOKUP(B3033,'LƯƠNG KT'!$D$15:$R$94,13,0)</f>
        <v>#N/A</v>
      </c>
      <c r="E3042" s="1065"/>
      <c r="F3042" s="1065"/>
      <c r="G3042" s="1056" t="s">
        <v>2675</v>
      </c>
      <c r="H3042" s="1057" t="s">
        <v>2676</v>
      </c>
      <c r="J3042" s="1064" t="e">
        <f>VLOOKUP(H3033,'LƯƠNG KT'!$D$15:$R$94,13,0)</f>
        <v>#N/A</v>
      </c>
    </row>
    <row r="3043" spans="1:15" ht="15" customHeight="1">
      <c r="A3043" s="1066"/>
      <c r="B3043" s="869"/>
      <c r="C3043" s="1058"/>
      <c r="D3043" s="1059"/>
      <c r="E3043" s="1063"/>
      <c r="F3043" s="1065"/>
      <c r="G3043" s="1066"/>
      <c r="H3043" s="869"/>
      <c r="I3043" s="1058"/>
      <c r="J3043" s="1059"/>
    </row>
    <row r="3044" spans="1:15" ht="15" customHeight="1">
      <c r="A3044" s="1052"/>
      <c r="B3044" s="869"/>
      <c r="C3044" s="1058"/>
      <c r="D3044" s="1059"/>
      <c r="E3044" s="1067"/>
      <c r="F3044" s="1051"/>
      <c r="G3044" s="1052"/>
      <c r="H3044" s="869"/>
      <c r="I3044" s="1058"/>
      <c r="J3044" s="1059"/>
    </row>
    <row r="3045" spans="1:15" ht="15" customHeight="1">
      <c r="A3045" s="1068" t="s">
        <v>383</v>
      </c>
      <c r="B3045" s="1069" t="s">
        <v>384</v>
      </c>
      <c r="C3045" s="1070"/>
      <c r="D3045" s="1071" t="e">
        <f>SUM(D3034:D3041)-D3044</f>
        <v>#N/A</v>
      </c>
      <c r="E3045" s="1072"/>
      <c r="F3045" s="1073"/>
      <c r="G3045" s="1068" t="s">
        <v>383</v>
      </c>
      <c r="H3045" s="1069" t="s">
        <v>384</v>
      </c>
      <c r="I3045" s="1070"/>
      <c r="J3045" s="1071" t="e">
        <f>SUM(J3034:J3041)-J3044</f>
        <v>#N/A</v>
      </c>
    </row>
    <row r="3046" spans="1:15" ht="15.75" customHeight="1">
      <c r="A3046" s="1074"/>
      <c r="B3046" s="1075"/>
      <c r="C3046" s="1076"/>
      <c r="D3046" s="1077"/>
      <c r="E3046" s="1077"/>
      <c r="F3046" s="1078"/>
      <c r="G3046" s="1074"/>
      <c r="H3046" s="1075"/>
      <c r="I3046" s="1076"/>
      <c r="J3046" s="1077"/>
    </row>
    <row r="3048" spans="1:15" ht="12" customHeight="1">
      <c r="A3048" s="2243"/>
      <c r="B3048" s="2243"/>
      <c r="C3048" s="2243"/>
      <c r="D3048" s="2243"/>
      <c r="E3048" s="2243"/>
      <c r="F3048" s="2243"/>
      <c r="G3048" s="2243"/>
      <c r="H3048" s="2243"/>
      <c r="I3048" s="2243"/>
      <c r="J3048" s="2243"/>
    </row>
    <row r="3049" spans="1:15" ht="15" customHeight="1">
      <c r="A3049" s="2242" t="str">
        <f>$K$2</f>
        <v>THÁNG 04/2025</v>
      </c>
      <c r="B3049" s="2242"/>
      <c r="C3049" s="2242"/>
      <c r="D3049" s="2242"/>
      <c r="E3049" s="1050"/>
      <c r="F3049" s="1051"/>
      <c r="G3049" s="2242" t="str">
        <f>$K$2</f>
        <v>THÁNG 04/2025</v>
      </c>
      <c r="H3049" s="2242"/>
      <c r="I3049" s="2242"/>
      <c r="J3049" s="2242"/>
      <c r="K3049" s="624"/>
    </row>
    <row r="3050" spans="1:15" ht="15" customHeight="1">
      <c r="A3050" s="1052" t="s">
        <v>356</v>
      </c>
      <c r="B3050" s="1053" t="s">
        <v>254</v>
      </c>
      <c r="C3050" s="869"/>
      <c r="D3050" s="1049"/>
      <c r="E3050" s="1054"/>
      <c r="F3050" s="1055"/>
      <c r="G3050" s="1052" t="s">
        <v>356</v>
      </c>
      <c r="H3050" s="1053" t="s">
        <v>255</v>
      </c>
      <c r="I3050" s="869"/>
      <c r="J3050" s="1049"/>
      <c r="L3050" s="1088"/>
      <c r="M3050" s="1088"/>
      <c r="N3050" s="1088"/>
      <c r="O3050" s="1088"/>
    </row>
    <row r="3051" spans="1:15" ht="15" customHeight="1">
      <c r="A3051" s="1056" t="s">
        <v>359</v>
      </c>
      <c r="B3051" s="1057" t="s">
        <v>2662</v>
      </c>
      <c r="C3051" s="1058" t="e">
        <f>VLOOKUP(B3050,'LƯƠNG KT'!$D$15:$R$94,4,0)</f>
        <v>#N/A</v>
      </c>
      <c r="D3051" s="1059" t="e">
        <f>+C3051*25000</f>
        <v>#N/A</v>
      </c>
      <c r="E3051" s="1060"/>
      <c r="F3051" s="1060"/>
      <c r="G3051" s="1056" t="s">
        <v>359</v>
      </c>
      <c r="H3051" s="1057" t="s">
        <v>2662</v>
      </c>
      <c r="I3051" s="1058" t="e">
        <f>VLOOKUP(H3050,'LƯƠNG KT'!$D$15:$R$94,4,0)</f>
        <v>#N/A</v>
      </c>
      <c r="J3051" s="1059" t="e">
        <f>+I3051*25000</f>
        <v>#N/A</v>
      </c>
      <c r="K3051" s="1084"/>
      <c r="L3051" s="1085"/>
      <c r="M3051" s="1085"/>
      <c r="N3051" s="1085"/>
      <c r="O3051" s="1085"/>
    </row>
    <row r="3052" spans="1:15" ht="15" customHeight="1">
      <c r="A3052" s="1056" t="s">
        <v>361</v>
      </c>
      <c r="B3052" s="1057" t="s">
        <v>2663</v>
      </c>
      <c r="C3052" s="1058" t="e">
        <f>VLOOKUP(B3050,'LƯƠNG KT'!$D$15:$R$94,15,0)</f>
        <v>#N/A</v>
      </c>
      <c r="D3052" s="1059" t="e">
        <f>C3052*$L$4</f>
        <v>#N/A</v>
      </c>
      <c r="E3052" s="1061"/>
      <c r="F3052" s="1061"/>
      <c r="G3052" s="1056" t="s">
        <v>361</v>
      </c>
      <c r="H3052" s="1057" t="s">
        <v>2663</v>
      </c>
      <c r="I3052" s="1058" t="e">
        <f>VLOOKUP(H3050,'LƯƠNG KT'!$D$15:$R$94,15,0)</f>
        <v>#N/A</v>
      </c>
      <c r="J3052" s="1059" t="e">
        <f>I3052*$L$4</f>
        <v>#N/A</v>
      </c>
      <c r="K3052" s="1084"/>
      <c r="L3052" s="1085"/>
      <c r="M3052" s="1085"/>
      <c r="N3052" s="1085"/>
      <c r="O3052" s="1085"/>
    </row>
    <row r="3053" spans="1:15" ht="15" customHeight="1">
      <c r="A3053" s="1056" t="s">
        <v>364</v>
      </c>
      <c r="B3053" s="1057" t="s">
        <v>2664</v>
      </c>
      <c r="C3053" s="1058" t="e">
        <f>VLOOKUP(B3050,'LƯƠNG KT'!$D$15:$R$94,16,0)</f>
        <v>#N/A</v>
      </c>
      <c r="D3053" s="1059" t="e">
        <f>C3053*$L$5</f>
        <v>#N/A</v>
      </c>
      <c r="E3053" s="1061"/>
      <c r="F3053" s="1061"/>
      <c r="G3053" s="1056" t="s">
        <v>364</v>
      </c>
      <c r="H3053" s="1057" t="s">
        <v>2664</v>
      </c>
      <c r="I3053" s="1058" t="e">
        <f>VLOOKUP(H3050,'LƯƠNG KT'!$D$15:$R$94,16,0)</f>
        <v>#N/A</v>
      </c>
      <c r="J3053" s="1059" t="e">
        <f>I3053*$L$5</f>
        <v>#N/A</v>
      </c>
      <c r="K3053" s="1084"/>
      <c r="L3053" s="1085"/>
      <c r="M3053" s="1085"/>
      <c r="N3053" s="1085"/>
      <c r="O3053" s="1085"/>
    </row>
    <row r="3054" spans="1:15" ht="15" customHeight="1">
      <c r="A3054" s="1056" t="s">
        <v>370</v>
      </c>
      <c r="B3054" s="1057" t="s">
        <v>2665</v>
      </c>
      <c r="C3054" s="1058" t="e">
        <f>VLOOKUP(B3050,'LƯƠNG KT'!$D$15:$R$94,24,0)</f>
        <v>#N/A</v>
      </c>
      <c r="D3054" s="1059" t="e">
        <f>+C3054*$L$6</f>
        <v>#N/A</v>
      </c>
      <c r="E3054" s="1061"/>
      <c r="F3054" s="1061"/>
      <c r="G3054" s="1056" t="s">
        <v>370</v>
      </c>
      <c r="H3054" s="1057" t="s">
        <v>2665</v>
      </c>
      <c r="I3054" s="1058" t="e">
        <f>VLOOKUP(H3050,'LƯƠNG KT'!$D$15:$R$94,24,0)</f>
        <v>#N/A</v>
      </c>
      <c r="J3054" s="1059" t="e">
        <f>+I3054*$L$6</f>
        <v>#N/A</v>
      </c>
      <c r="K3054" s="1085"/>
      <c r="L3054" s="1085"/>
      <c r="M3054" s="1085"/>
      <c r="N3054" s="1085"/>
      <c r="O3054" s="1085"/>
    </row>
    <row r="3055" spans="1:15" ht="15" customHeight="1">
      <c r="A3055" s="1056" t="s">
        <v>2666</v>
      </c>
      <c r="B3055" s="1057" t="s">
        <v>2667</v>
      </c>
      <c r="C3055" s="1058" t="e">
        <f>VLOOKUP(B3050,'LƯƠNG KT'!$D$15:$R$94,19,0)</f>
        <v>#N/A</v>
      </c>
      <c r="D3055" s="1059" t="e">
        <f>+C3055*$L$8</f>
        <v>#N/A</v>
      </c>
      <c r="E3055" s="1061"/>
      <c r="F3055" s="1061"/>
      <c r="G3055" s="1056" t="s">
        <v>2666</v>
      </c>
      <c r="H3055" s="1057" t="s">
        <v>2667</v>
      </c>
      <c r="I3055" s="1058" t="e">
        <f>VLOOKUP(H3050,'LƯƠNG KT'!$D$15:$R$94,19,0)</f>
        <v>#N/A</v>
      </c>
      <c r="J3055" s="1059" t="e">
        <f>+I3055*$L$8</f>
        <v>#N/A</v>
      </c>
      <c r="K3055" s="1085"/>
      <c r="L3055" s="1085"/>
      <c r="M3055" s="1085"/>
      <c r="N3055" s="1085"/>
      <c r="O3055" s="1085"/>
    </row>
    <row r="3056" spans="1:15" ht="15" customHeight="1">
      <c r="A3056" s="1056" t="s">
        <v>2668</v>
      </c>
      <c r="B3056" s="1062" t="s">
        <v>2669</v>
      </c>
      <c r="C3056" s="1058" t="e">
        <f>VLOOKUP(B3050,'LƯƠNG KT'!$D$15:$R$94,20,0)</f>
        <v>#N/A</v>
      </c>
      <c r="D3056" s="1059" t="e">
        <f>+C3056*$L$9</f>
        <v>#N/A</v>
      </c>
      <c r="E3056" s="1061"/>
      <c r="F3056" s="1061"/>
      <c r="G3056" s="1056" t="s">
        <v>2668</v>
      </c>
      <c r="H3056" s="1062" t="s">
        <v>2669</v>
      </c>
      <c r="I3056" s="1058" t="e">
        <f>VLOOKUP(H3050,'LƯƠNG KT'!$D$15:$R$94,20,0)</f>
        <v>#N/A</v>
      </c>
      <c r="J3056" s="1059" t="e">
        <f>+I3056*$L$9</f>
        <v>#N/A</v>
      </c>
      <c r="K3056" s="1085"/>
      <c r="L3056" s="1085"/>
      <c r="M3056" s="1085"/>
      <c r="N3056" s="1085"/>
      <c r="O3056" s="1085"/>
    </row>
    <row r="3057" spans="1:15" ht="15" customHeight="1">
      <c r="A3057" s="1056" t="s">
        <v>2671</v>
      </c>
      <c r="B3057" s="1057" t="s">
        <v>2672</v>
      </c>
      <c r="C3057" s="1058" t="e">
        <f>VLOOKUP(B3050,'LƯƠNG KT'!$D$15:$R$94,17,0)</f>
        <v>#N/A</v>
      </c>
      <c r="D3057" s="1059" t="e">
        <f>+C3057*$L$10</f>
        <v>#N/A</v>
      </c>
      <c r="E3057" s="1061"/>
      <c r="F3057" s="1061"/>
      <c r="G3057" s="1056" t="s">
        <v>2671</v>
      </c>
      <c r="H3057" s="1057" t="s">
        <v>2672</v>
      </c>
      <c r="I3057" s="1058" t="e">
        <f>VLOOKUP(H3050,'LƯƠNG KT'!$D$15:$R$94,17,0)</f>
        <v>#N/A</v>
      </c>
      <c r="J3057" s="1059" t="e">
        <f>+I3057*$L$10</f>
        <v>#N/A</v>
      </c>
      <c r="K3057" s="1085"/>
      <c r="L3057" s="1085"/>
      <c r="M3057" s="1085"/>
      <c r="N3057" s="1085"/>
      <c r="O3057" s="1085"/>
    </row>
    <row r="3058" spans="1:15" ht="15" customHeight="1">
      <c r="A3058" s="1056" t="s">
        <v>374</v>
      </c>
      <c r="B3058" s="1057" t="s">
        <v>2674</v>
      </c>
      <c r="C3058" s="1058" t="e">
        <f>VLOOKUP(B3050,'LƯƠNG KT'!$D$15:$R$94,12,0)</f>
        <v>#N/A</v>
      </c>
      <c r="D3058" s="1059" t="e">
        <f>VLOOKUP(B3050,'LƯƠNG KT'!$D$15:$R$94,14,0)</f>
        <v>#N/A</v>
      </c>
      <c r="E3058" s="1063"/>
      <c r="F3058" s="1061"/>
      <c r="G3058" s="1056" t="s">
        <v>374</v>
      </c>
      <c r="H3058" s="1057" t="s">
        <v>2674</v>
      </c>
      <c r="I3058" s="1058" t="e">
        <f>VLOOKUP(H3050,'LƯƠNG KT'!$D$15:$R$94,12,0)</f>
        <v>#N/A</v>
      </c>
      <c r="J3058" s="1059" t="e">
        <f>VLOOKUP(H3050,'LƯƠNG KT'!$D$15:$R$94,14,0)</f>
        <v>#N/A</v>
      </c>
      <c r="K3058" s="1085"/>
      <c r="L3058" s="1085"/>
      <c r="M3058" s="1085"/>
      <c r="N3058" s="1085"/>
      <c r="O3058" s="1085"/>
    </row>
    <row r="3059" spans="1:15" ht="15" customHeight="1">
      <c r="A3059" s="1056" t="s">
        <v>2675</v>
      </c>
      <c r="B3059" s="1057" t="s">
        <v>2676</v>
      </c>
      <c r="D3059" s="1064" t="e">
        <f>VLOOKUP(B3050,'LƯƠNG KT'!$D$15:$R$94,13,0)</f>
        <v>#N/A</v>
      </c>
      <c r="E3059" s="1065"/>
      <c r="F3059" s="1065"/>
      <c r="G3059" s="1056" t="s">
        <v>2675</v>
      </c>
      <c r="H3059" s="1057" t="s">
        <v>2676</v>
      </c>
      <c r="J3059" s="1064" t="e">
        <f>VLOOKUP(H3050,'LƯƠNG KT'!$D$15:$R$94,13,0)</f>
        <v>#N/A</v>
      </c>
    </row>
    <row r="3060" spans="1:15" ht="15" customHeight="1">
      <c r="A3060" s="1066"/>
      <c r="B3060" s="869"/>
      <c r="C3060" s="1058"/>
      <c r="D3060" s="1059"/>
      <c r="E3060" s="1063"/>
      <c r="F3060" s="1065"/>
      <c r="G3060" s="1066"/>
      <c r="H3060" s="869"/>
      <c r="I3060" s="1058"/>
      <c r="J3060" s="1059"/>
    </row>
    <row r="3061" spans="1:15" ht="15" customHeight="1">
      <c r="A3061" s="1052"/>
      <c r="B3061" s="869"/>
      <c r="C3061" s="1058"/>
      <c r="D3061" s="1059"/>
      <c r="E3061" s="1067"/>
      <c r="F3061" s="1051"/>
      <c r="G3061" s="1052"/>
      <c r="H3061" s="869"/>
      <c r="I3061" s="1058"/>
      <c r="J3061" s="1059"/>
    </row>
    <row r="3062" spans="1:15" ht="15" customHeight="1">
      <c r="A3062" s="1068" t="s">
        <v>383</v>
      </c>
      <c r="B3062" s="1069" t="s">
        <v>384</v>
      </c>
      <c r="C3062" s="1070"/>
      <c r="D3062" s="1071" t="e">
        <f>SUM(D3051:D3058)-D3061</f>
        <v>#N/A</v>
      </c>
      <c r="E3062" s="1072"/>
      <c r="F3062" s="1073"/>
      <c r="G3062" s="1068" t="s">
        <v>383</v>
      </c>
      <c r="H3062" s="1069" t="s">
        <v>384</v>
      </c>
      <c r="I3062" s="1070"/>
      <c r="J3062" s="1071" t="e">
        <f>SUM(J3051:J3058)-J3061</f>
        <v>#N/A</v>
      </c>
    </row>
    <row r="3063" spans="1:15" ht="12.6" customHeight="1">
      <c r="A3063" s="1074"/>
      <c r="B3063" s="1075"/>
      <c r="C3063" s="1076"/>
      <c r="D3063" s="1077"/>
      <c r="E3063" s="1077"/>
      <c r="F3063" s="1078"/>
      <c r="G3063" s="1074"/>
      <c r="H3063" s="1075"/>
      <c r="I3063" s="1076"/>
      <c r="J3063" s="1077"/>
    </row>
    <row r="3064" spans="1:15" ht="139.5" customHeight="1">
      <c r="A3064" s="1075"/>
      <c r="B3064" s="1075"/>
      <c r="C3064" s="1079"/>
      <c r="D3064" s="1080"/>
      <c r="E3064" s="1075"/>
      <c r="F3064" s="1081"/>
      <c r="G3064" s="1075"/>
      <c r="H3064" s="1075"/>
      <c r="I3064" s="1079"/>
      <c r="J3064" s="1080"/>
    </row>
    <row r="3065" spans="1:15" ht="15" customHeight="1">
      <c r="A3065" s="2242" t="str">
        <f>$K$2</f>
        <v>THÁNG 04/2025</v>
      </c>
      <c r="B3065" s="2242"/>
      <c r="C3065" s="2242"/>
      <c r="D3065" s="2242"/>
      <c r="E3065" s="1050"/>
      <c r="F3065" s="1051"/>
      <c r="G3065" s="2242" t="str">
        <f>$K$2</f>
        <v>THÁNG 04/2025</v>
      </c>
      <c r="H3065" s="2242"/>
      <c r="I3065" s="2242"/>
      <c r="J3065" s="2242"/>
      <c r="K3065" s="624"/>
    </row>
    <row r="3066" spans="1:15" ht="15" customHeight="1">
      <c r="A3066" s="1052" t="s">
        <v>356</v>
      </c>
      <c r="B3066" s="1053" t="s">
        <v>256</v>
      </c>
      <c r="C3066" s="869"/>
      <c r="D3066" s="1049"/>
      <c r="E3066" s="1054"/>
      <c r="F3066" s="1055"/>
      <c r="G3066" s="1052" t="s">
        <v>356</v>
      </c>
      <c r="H3066" s="1053" t="s">
        <v>257</v>
      </c>
      <c r="I3066" s="869"/>
      <c r="J3066" s="1049"/>
      <c r="L3066" s="1088"/>
      <c r="M3066" s="1088"/>
      <c r="N3066" s="1088"/>
      <c r="O3066" s="1088"/>
    </row>
    <row r="3067" spans="1:15" ht="15" customHeight="1">
      <c r="A3067" s="1056" t="s">
        <v>359</v>
      </c>
      <c r="B3067" s="1057" t="s">
        <v>2662</v>
      </c>
      <c r="C3067" s="1058" t="e">
        <f>VLOOKUP(B3066,'LƯƠNG KT'!$D$15:$R$94,4,0)</f>
        <v>#N/A</v>
      </c>
      <c r="D3067" s="1059" t="e">
        <f>+C3067*25000</f>
        <v>#N/A</v>
      </c>
      <c r="E3067" s="1060"/>
      <c r="F3067" s="1060"/>
      <c r="G3067" s="1056" t="s">
        <v>359</v>
      </c>
      <c r="H3067" s="1057" t="s">
        <v>2662</v>
      </c>
      <c r="I3067" s="1058" t="e">
        <f>VLOOKUP(H3066,'LƯƠNG KT'!$D$15:$R$94,4,0)</f>
        <v>#N/A</v>
      </c>
      <c r="J3067" s="1059" t="e">
        <f>+I3067*25000</f>
        <v>#N/A</v>
      </c>
      <c r="K3067" s="1085"/>
      <c r="L3067" s="1085"/>
      <c r="M3067" s="1085"/>
      <c r="N3067" s="1085"/>
      <c r="O3067" s="1085"/>
    </row>
    <row r="3068" spans="1:15" ht="15" customHeight="1">
      <c r="A3068" s="1056" t="s">
        <v>361</v>
      </c>
      <c r="B3068" s="1057" t="s">
        <v>2663</v>
      </c>
      <c r="C3068" s="1058" t="e">
        <f>VLOOKUP(B3066,'LƯƠNG KT'!$D$15:$R$94,15,0)</f>
        <v>#N/A</v>
      </c>
      <c r="D3068" s="1059" t="e">
        <f>C3068*$L$4</f>
        <v>#N/A</v>
      </c>
      <c r="E3068" s="1061"/>
      <c r="F3068" s="1061"/>
      <c r="G3068" s="1056" t="s">
        <v>361</v>
      </c>
      <c r="H3068" s="1057" t="s">
        <v>2663</v>
      </c>
      <c r="I3068" s="1058" t="e">
        <f>VLOOKUP(H3066,'LƯƠNG KT'!$D$15:$R$94,15,0)</f>
        <v>#N/A</v>
      </c>
      <c r="J3068" s="1059" t="e">
        <f>I3068*$L$4</f>
        <v>#N/A</v>
      </c>
      <c r="K3068" s="1085"/>
      <c r="L3068" s="1085"/>
      <c r="M3068" s="1085"/>
      <c r="N3068" s="1085"/>
      <c r="O3068" s="1085"/>
    </row>
    <row r="3069" spans="1:15" ht="15" customHeight="1">
      <c r="A3069" s="1056" t="s">
        <v>364</v>
      </c>
      <c r="B3069" s="1057" t="s">
        <v>2664</v>
      </c>
      <c r="C3069" s="1058" t="e">
        <f>VLOOKUP(B3066,'LƯƠNG KT'!$D$15:$R$94,16,0)</f>
        <v>#N/A</v>
      </c>
      <c r="D3069" s="1059" t="e">
        <f>C3069*$L$5</f>
        <v>#N/A</v>
      </c>
      <c r="E3069" s="1061"/>
      <c r="F3069" s="1061"/>
      <c r="G3069" s="1056" t="s">
        <v>364</v>
      </c>
      <c r="H3069" s="1057" t="s">
        <v>2664</v>
      </c>
      <c r="I3069" s="1058" t="e">
        <f>VLOOKUP(H3066,'LƯƠNG KT'!$D$15:$R$94,16,0)</f>
        <v>#N/A</v>
      </c>
      <c r="J3069" s="1059" t="e">
        <f>I3069*$L$5</f>
        <v>#N/A</v>
      </c>
      <c r="K3069" s="1085"/>
      <c r="L3069" s="1085"/>
      <c r="M3069" s="1085"/>
      <c r="N3069" s="1085"/>
      <c r="O3069" s="1085"/>
    </row>
    <row r="3070" spans="1:15" ht="15" customHeight="1">
      <c r="A3070" s="1056" t="s">
        <v>370</v>
      </c>
      <c r="B3070" s="1057" t="s">
        <v>2665</v>
      </c>
      <c r="C3070" s="1058" t="e">
        <f>VLOOKUP(B3066,'LƯƠNG KT'!$D$15:$R$94,24,0)</f>
        <v>#N/A</v>
      </c>
      <c r="D3070" s="1059" t="e">
        <f>+C3070*$L$6</f>
        <v>#N/A</v>
      </c>
      <c r="E3070" s="1061"/>
      <c r="F3070" s="1061"/>
      <c r="G3070" s="1056" t="s">
        <v>370</v>
      </c>
      <c r="H3070" s="1057" t="s">
        <v>2665</v>
      </c>
      <c r="I3070" s="1058" t="e">
        <f>VLOOKUP(H3066,'LƯƠNG KT'!$D$15:$R$94,24,0)</f>
        <v>#N/A</v>
      </c>
      <c r="J3070" s="1059" t="e">
        <f>+I3070*$L$6</f>
        <v>#N/A</v>
      </c>
      <c r="K3070" s="1053" t="s">
        <v>259</v>
      </c>
      <c r="L3070" s="1085"/>
      <c r="M3070" s="1085"/>
      <c r="N3070" s="1085"/>
      <c r="O3070" s="1085"/>
    </row>
    <row r="3071" spans="1:15" ht="15" customHeight="1">
      <c r="A3071" s="1056" t="s">
        <v>2666</v>
      </c>
      <c r="B3071" s="1057" t="s">
        <v>2667</v>
      </c>
      <c r="C3071" s="1058" t="e">
        <f>VLOOKUP(B3066,'LƯƠNG KT'!$D$15:$R$94,19,0)</f>
        <v>#N/A</v>
      </c>
      <c r="D3071" s="1059" t="e">
        <f>+C3071*$L$8</f>
        <v>#N/A</v>
      </c>
      <c r="E3071" s="1061"/>
      <c r="F3071" s="1061"/>
      <c r="G3071" s="1056" t="s">
        <v>2666</v>
      </c>
      <c r="H3071" s="1057" t="s">
        <v>2667</v>
      </c>
      <c r="I3071" s="1058" t="e">
        <f>VLOOKUP(H3066,'LƯƠNG KT'!$D$15:$R$94,19,0)</f>
        <v>#N/A</v>
      </c>
      <c r="J3071" s="1059" t="e">
        <f>+I3071*$L$8</f>
        <v>#N/A</v>
      </c>
      <c r="K3071" s="1094"/>
      <c r="L3071" s="1085"/>
      <c r="M3071" s="1085"/>
      <c r="N3071" s="1085"/>
      <c r="O3071" s="1085"/>
    </row>
    <row r="3072" spans="1:15" ht="15" customHeight="1">
      <c r="A3072" s="1056" t="s">
        <v>2668</v>
      </c>
      <c r="B3072" s="1062" t="s">
        <v>2669</v>
      </c>
      <c r="C3072" s="1058" t="e">
        <f>VLOOKUP(B3066,'LƯƠNG KT'!$D$15:$R$94,20,0)</f>
        <v>#N/A</v>
      </c>
      <c r="D3072" s="1059" t="e">
        <f>+C3072*$L$9</f>
        <v>#N/A</v>
      </c>
      <c r="E3072" s="1061"/>
      <c r="F3072" s="1061"/>
      <c r="G3072" s="1056" t="s">
        <v>2668</v>
      </c>
      <c r="H3072" s="1062" t="s">
        <v>2669</v>
      </c>
      <c r="I3072" s="1058" t="e">
        <f>VLOOKUP(H3066,'LƯƠNG KT'!$D$15:$R$94,20,0)</f>
        <v>#N/A</v>
      </c>
      <c r="J3072" s="1059" t="e">
        <f>+I3072*$L$9</f>
        <v>#N/A</v>
      </c>
      <c r="K3072" s="1094"/>
      <c r="L3072" s="1085"/>
      <c r="M3072" s="1085"/>
      <c r="N3072" s="1085"/>
      <c r="O3072" s="1085"/>
    </row>
    <row r="3073" spans="1:15" ht="15" customHeight="1">
      <c r="A3073" s="1056" t="s">
        <v>2671</v>
      </c>
      <c r="B3073" s="1057" t="s">
        <v>2672</v>
      </c>
      <c r="C3073" s="1058" t="e">
        <f>VLOOKUP(B3066,'LƯƠNG KT'!$D$15:$R$94,17,0)</f>
        <v>#N/A</v>
      </c>
      <c r="D3073" s="1059" t="e">
        <f>+C3073*$L$10</f>
        <v>#N/A</v>
      </c>
      <c r="E3073" s="1061"/>
      <c r="F3073" s="1061"/>
      <c r="G3073" s="1056" t="s">
        <v>2671</v>
      </c>
      <c r="H3073" s="1057" t="s">
        <v>2672</v>
      </c>
      <c r="I3073" s="1058" t="e">
        <f>VLOOKUP(H3066,'LƯƠNG KT'!$D$15:$R$94,17,0)</f>
        <v>#N/A</v>
      </c>
      <c r="J3073" s="1059" t="e">
        <f>+I3073*$L$10</f>
        <v>#N/A</v>
      </c>
      <c r="K3073" s="1085"/>
      <c r="L3073" s="1085"/>
      <c r="M3073" s="1085"/>
      <c r="N3073" s="1085"/>
      <c r="O3073" s="1085"/>
    </row>
    <row r="3074" spans="1:15" ht="15" customHeight="1">
      <c r="A3074" s="1056" t="s">
        <v>374</v>
      </c>
      <c r="B3074" s="1057" t="s">
        <v>2674</v>
      </c>
      <c r="C3074" s="1058" t="e">
        <f>VLOOKUP(B3066,'LƯƠNG KT'!$D$15:$R$94,12,0)</f>
        <v>#N/A</v>
      </c>
      <c r="D3074" s="1059" t="e">
        <f>VLOOKUP(B3066,'LƯƠNG KT'!$D$15:$R$94,14,0)</f>
        <v>#N/A</v>
      </c>
      <c r="E3074" s="1063"/>
      <c r="F3074" s="1061"/>
      <c r="G3074" s="1056" t="s">
        <v>374</v>
      </c>
      <c r="H3074" s="1057" t="s">
        <v>2674</v>
      </c>
      <c r="I3074" s="1058" t="e">
        <f>VLOOKUP(H3066,'LƯƠNG KT'!$D$15:$R$94,12,0)</f>
        <v>#N/A</v>
      </c>
      <c r="J3074" s="1059" t="e">
        <f>VLOOKUP(H3066,'LƯƠNG KT'!$D$15:$R$94,14,0)</f>
        <v>#N/A</v>
      </c>
      <c r="K3074" s="1085"/>
      <c r="L3074" s="1085"/>
      <c r="M3074" s="1085"/>
      <c r="N3074" s="1085"/>
      <c r="O3074" s="1085"/>
    </row>
    <row r="3075" spans="1:15" ht="15" customHeight="1">
      <c r="A3075" s="1056" t="s">
        <v>2675</v>
      </c>
      <c r="B3075" s="1057" t="s">
        <v>2676</v>
      </c>
      <c r="D3075" s="1064" t="e">
        <f>VLOOKUP(B3066,'LƯƠNG KT'!$D$15:$R$94,13,0)</f>
        <v>#N/A</v>
      </c>
      <c r="E3075" s="1065"/>
      <c r="F3075" s="1065"/>
      <c r="G3075" s="1056" t="s">
        <v>2675</v>
      </c>
      <c r="H3075" s="1057" t="s">
        <v>2676</v>
      </c>
      <c r="J3075" s="1064" t="e">
        <f>VLOOKUP(H3066,'LƯƠNG KT'!$D$15:$R$94,13,0)</f>
        <v>#N/A</v>
      </c>
    </row>
    <row r="3076" spans="1:15" ht="15" customHeight="1">
      <c r="A3076" s="1066"/>
      <c r="B3076" s="869"/>
      <c r="C3076" s="1058"/>
      <c r="D3076" s="1059"/>
      <c r="E3076" s="1063"/>
      <c r="F3076" s="1065"/>
      <c r="G3076" s="1066"/>
      <c r="H3076" s="869"/>
      <c r="I3076" s="1058"/>
      <c r="J3076" s="1059"/>
    </row>
    <row r="3077" spans="1:15" ht="15" customHeight="1">
      <c r="A3077" s="1052"/>
      <c r="B3077" s="869"/>
      <c r="C3077" s="1058"/>
      <c r="D3077" s="1059"/>
      <c r="E3077" s="1067"/>
      <c r="F3077" s="1051"/>
      <c r="G3077" s="1052"/>
      <c r="H3077" s="869"/>
      <c r="I3077" s="1058"/>
      <c r="J3077" s="1059"/>
    </row>
    <row r="3078" spans="1:15" ht="15" customHeight="1">
      <c r="A3078" s="1068" t="s">
        <v>383</v>
      </c>
      <c r="B3078" s="1069" t="s">
        <v>384</v>
      </c>
      <c r="C3078" s="1070"/>
      <c r="D3078" s="1071" t="e">
        <f>SUM(D3067:D3074)-D3077</f>
        <v>#N/A</v>
      </c>
      <c r="E3078" s="1072"/>
      <c r="F3078" s="1073"/>
      <c r="G3078" s="1068" t="s">
        <v>383</v>
      </c>
      <c r="H3078" s="1069" t="s">
        <v>384</v>
      </c>
      <c r="I3078" s="1070"/>
      <c r="J3078" s="1071" t="e">
        <f>SUM(J3067:J3074)-J3077</f>
        <v>#N/A</v>
      </c>
    </row>
    <row r="3079" spans="1:15" ht="18.75" customHeight="1">
      <c r="A3079" s="1074"/>
      <c r="B3079" s="1075"/>
      <c r="C3079" s="1076"/>
      <c r="D3079" s="1077"/>
      <c r="E3079" s="1077"/>
      <c r="F3079" s="1078"/>
      <c r="G3079" s="1074"/>
      <c r="H3079" s="1075"/>
      <c r="I3079" s="1076"/>
      <c r="J3079" s="1077"/>
    </row>
    <row r="3080" spans="1:15" ht="18.75" customHeight="1">
      <c r="A3080" s="1075"/>
      <c r="B3080" s="1075"/>
      <c r="C3080" s="1079"/>
      <c r="D3080" s="1080"/>
      <c r="E3080" s="1075"/>
      <c r="F3080" s="1081"/>
      <c r="G3080" s="1075"/>
      <c r="H3080" s="1075"/>
      <c r="I3080" s="1079"/>
      <c r="J3080" s="1080"/>
    </row>
    <row r="3081" spans="1:15" ht="15" customHeight="1">
      <c r="A3081" s="2242" t="str">
        <f>$K$2</f>
        <v>THÁNG 04/2025</v>
      </c>
      <c r="B3081" s="2242"/>
      <c r="C3081" s="2242"/>
      <c r="D3081" s="2242"/>
      <c r="E3081" s="1050"/>
      <c r="F3081" s="1051"/>
      <c r="G3081" s="2242" t="str">
        <f>$K$2</f>
        <v>THÁNG 04/2025</v>
      </c>
      <c r="H3081" s="2242"/>
      <c r="I3081" s="2242"/>
      <c r="J3081" s="2242"/>
      <c r="K3081" s="624"/>
    </row>
    <row r="3082" spans="1:15" ht="15" customHeight="1">
      <c r="A3082" s="1052" t="s">
        <v>356</v>
      </c>
      <c r="B3082" s="1053" t="s">
        <v>258</v>
      </c>
      <c r="C3082" s="869"/>
      <c r="D3082" s="1049"/>
      <c r="E3082" s="1054"/>
      <c r="F3082" s="1055"/>
      <c r="G3082" s="1052" t="s">
        <v>356</v>
      </c>
      <c r="H3082" s="1053" t="s">
        <v>259</v>
      </c>
      <c r="I3082" s="869"/>
      <c r="J3082" s="1049"/>
      <c r="L3082" s="1088"/>
      <c r="M3082" s="1088"/>
      <c r="N3082" s="1088"/>
      <c r="O3082" s="1088"/>
    </row>
    <row r="3083" spans="1:15" ht="15" customHeight="1">
      <c r="A3083" s="1056" t="s">
        <v>359</v>
      </c>
      <c r="B3083" s="1057" t="s">
        <v>2662</v>
      </c>
      <c r="C3083" s="1058" t="e">
        <f>VLOOKUP(B3082,'LƯƠNG KT'!$D$15:$R$94,4,0)</f>
        <v>#N/A</v>
      </c>
      <c r="D3083" s="1059" t="e">
        <f>+C3083*25000</f>
        <v>#N/A</v>
      </c>
      <c r="E3083" s="1060"/>
      <c r="F3083" s="1060"/>
      <c r="G3083" s="1056" t="s">
        <v>359</v>
      </c>
      <c r="H3083" s="1057" t="s">
        <v>2662</v>
      </c>
      <c r="I3083" s="1058" t="e">
        <f>VLOOKUP(H3082,'LƯƠNG KT'!$D$15:$R$94,4,0)</f>
        <v>#N/A</v>
      </c>
      <c r="J3083" s="1059" t="e">
        <f>+I3083*25000</f>
        <v>#N/A</v>
      </c>
      <c r="K3083" s="1085"/>
      <c r="L3083" s="1085"/>
      <c r="M3083" s="1085"/>
      <c r="N3083" s="1085"/>
      <c r="O3083" s="1085"/>
    </row>
    <row r="3084" spans="1:15" ht="15" customHeight="1">
      <c r="A3084" s="1056" t="s">
        <v>361</v>
      </c>
      <c r="B3084" s="1057" t="s">
        <v>2663</v>
      </c>
      <c r="C3084" s="1058" t="e">
        <f>VLOOKUP(B3082,'LƯƠNG KT'!$D$15:$R$94,15,0)</f>
        <v>#N/A</v>
      </c>
      <c r="D3084" s="1059" t="e">
        <f>C3084*$L$4</f>
        <v>#N/A</v>
      </c>
      <c r="E3084" s="1061"/>
      <c r="F3084" s="1061"/>
      <c r="G3084" s="1056" t="s">
        <v>361</v>
      </c>
      <c r="H3084" s="1057" t="s">
        <v>2663</v>
      </c>
      <c r="I3084" s="1058" t="e">
        <f>VLOOKUP(H3082,'LƯƠNG KT'!$D$15:$R$94,15,0)</f>
        <v>#N/A</v>
      </c>
      <c r="J3084" s="1059" t="e">
        <f>I3084*$L$4</f>
        <v>#N/A</v>
      </c>
      <c r="K3084" s="1085"/>
      <c r="L3084" s="1085"/>
      <c r="M3084" s="1085"/>
      <c r="N3084" s="1085"/>
      <c r="O3084" s="1085"/>
    </row>
    <row r="3085" spans="1:15" ht="15" customHeight="1">
      <c r="A3085" s="1056" t="s">
        <v>364</v>
      </c>
      <c r="B3085" s="1057" t="s">
        <v>2664</v>
      </c>
      <c r="C3085" s="1058" t="e">
        <f>VLOOKUP(B3082,'LƯƠNG KT'!$D$15:$R$94,16,0)</f>
        <v>#N/A</v>
      </c>
      <c r="D3085" s="1059" t="e">
        <f>C3085*$L$5</f>
        <v>#N/A</v>
      </c>
      <c r="E3085" s="1061"/>
      <c r="F3085" s="1061"/>
      <c r="G3085" s="1056" t="s">
        <v>364</v>
      </c>
      <c r="H3085" s="1057" t="s">
        <v>2664</v>
      </c>
      <c r="I3085" s="1058" t="e">
        <f>VLOOKUP(H3082,'LƯƠNG KT'!$D$15:$R$94,16,0)</f>
        <v>#N/A</v>
      </c>
      <c r="J3085" s="1059" t="e">
        <f>I3085*$L$5</f>
        <v>#N/A</v>
      </c>
      <c r="K3085" s="1085"/>
      <c r="L3085" s="1085"/>
      <c r="M3085" s="1085"/>
      <c r="N3085" s="1085"/>
      <c r="O3085" s="1085"/>
    </row>
    <row r="3086" spans="1:15" ht="15" customHeight="1">
      <c r="A3086" s="1056" t="s">
        <v>370</v>
      </c>
      <c r="B3086" s="1057" t="s">
        <v>2665</v>
      </c>
      <c r="C3086" s="1058" t="e">
        <f>VLOOKUP(B3082,'LƯƠNG KT'!$D$15:$R$94,24,0)</f>
        <v>#N/A</v>
      </c>
      <c r="D3086" s="1059" t="e">
        <f>+C3086*$L$6</f>
        <v>#N/A</v>
      </c>
      <c r="E3086" s="1061"/>
      <c r="F3086" s="1061"/>
      <c r="G3086" s="1056" t="s">
        <v>370</v>
      </c>
      <c r="H3086" s="1057" t="s">
        <v>2665</v>
      </c>
      <c r="I3086" s="1058" t="e">
        <f>VLOOKUP(H3082,'LƯƠNG KT'!$D$15:$R$94,24,0)</f>
        <v>#N/A</v>
      </c>
      <c r="J3086" s="1059" t="e">
        <f>+I3086*$L$6</f>
        <v>#N/A</v>
      </c>
      <c r="K3086" s="1085"/>
      <c r="L3086" s="1085"/>
      <c r="M3086" s="1085"/>
      <c r="N3086" s="1085"/>
      <c r="O3086" s="1085"/>
    </row>
    <row r="3087" spans="1:15" ht="15" customHeight="1">
      <c r="A3087" s="1056" t="s">
        <v>2666</v>
      </c>
      <c r="B3087" s="1057" t="s">
        <v>2667</v>
      </c>
      <c r="C3087" s="1058" t="e">
        <f>VLOOKUP(B3082,'LƯƠNG KT'!$D$15:$R$94,19,0)</f>
        <v>#N/A</v>
      </c>
      <c r="D3087" s="1059" t="e">
        <f>+C3087*$L$8</f>
        <v>#N/A</v>
      </c>
      <c r="E3087" s="1061"/>
      <c r="F3087" s="1061"/>
      <c r="G3087" s="1056" t="s">
        <v>2666</v>
      </c>
      <c r="H3087" s="1057" t="s">
        <v>2667</v>
      </c>
      <c r="I3087" s="1058" t="e">
        <f>VLOOKUP(H3082,'LƯƠNG KT'!$D$15:$R$94,19,0)</f>
        <v>#N/A</v>
      </c>
      <c r="J3087" s="1059" t="e">
        <f>+I3087*$L$8</f>
        <v>#N/A</v>
      </c>
      <c r="K3087" s="1085"/>
      <c r="L3087" s="1085"/>
      <c r="M3087" s="1085"/>
      <c r="N3087" s="1085"/>
      <c r="O3087" s="1085"/>
    </row>
    <row r="3088" spans="1:15" ht="15" customHeight="1">
      <c r="A3088" s="1056" t="s">
        <v>2668</v>
      </c>
      <c r="B3088" s="1062" t="s">
        <v>2669</v>
      </c>
      <c r="C3088" s="1058" t="e">
        <f>VLOOKUP(B3082,'LƯƠNG KT'!$D$15:$R$94,20,0)</f>
        <v>#N/A</v>
      </c>
      <c r="D3088" s="1059" t="e">
        <f>+C3088*$L$9</f>
        <v>#N/A</v>
      </c>
      <c r="E3088" s="1061"/>
      <c r="F3088" s="1061"/>
      <c r="G3088" s="1056" t="s">
        <v>2668</v>
      </c>
      <c r="H3088" s="1062" t="s">
        <v>2669</v>
      </c>
      <c r="I3088" s="1058" t="e">
        <f>VLOOKUP(H3082,'LƯƠNG KT'!$D$15:$R$94,20,0)</f>
        <v>#N/A</v>
      </c>
      <c r="J3088" s="1059" t="e">
        <f>+I3088*$L$9</f>
        <v>#N/A</v>
      </c>
      <c r="K3088" s="1085"/>
      <c r="L3088" s="1085"/>
      <c r="M3088" s="1085"/>
      <c r="N3088" s="1085"/>
      <c r="O3088" s="1085"/>
    </row>
    <row r="3089" spans="1:15" ht="15" customHeight="1">
      <c r="A3089" s="1056" t="s">
        <v>2671</v>
      </c>
      <c r="B3089" s="1057" t="s">
        <v>2672</v>
      </c>
      <c r="C3089" s="1058" t="e">
        <f>VLOOKUP(B3082,'LƯƠNG KT'!$D$15:$R$94,17,0)</f>
        <v>#N/A</v>
      </c>
      <c r="D3089" s="1059" t="e">
        <f>+C3089*$L$10</f>
        <v>#N/A</v>
      </c>
      <c r="E3089" s="1061"/>
      <c r="F3089" s="1061"/>
      <c r="G3089" s="1056" t="s">
        <v>2671</v>
      </c>
      <c r="H3089" s="1057" t="s">
        <v>2672</v>
      </c>
      <c r="I3089" s="1058" t="e">
        <f>VLOOKUP(H3082,'LƯƠNG KT'!$D$15:$R$94,17,0)</f>
        <v>#N/A</v>
      </c>
      <c r="J3089" s="1059" t="e">
        <f>+I3089*$L$10</f>
        <v>#N/A</v>
      </c>
      <c r="K3089" s="1085"/>
      <c r="L3089" s="1085"/>
      <c r="M3089" s="1085"/>
      <c r="N3089" s="1085"/>
      <c r="O3089" s="1085"/>
    </row>
    <row r="3090" spans="1:15" ht="15" customHeight="1">
      <c r="A3090" s="1056" t="s">
        <v>374</v>
      </c>
      <c r="B3090" s="1057" t="s">
        <v>2674</v>
      </c>
      <c r="C3090" s="1058" t="e">
        <f>VLOOKUP(B3082,'LƯƠNG KT'!$D$15:$R$94,12,0)</f>
        <v>#N/A</v>
      </c>
      <c r="D3090" s="1059" t="e">
        <f>VLOOKUP(B3082,'LƯƠNG KT'!$D$15:$R$94,14,0)</f>
        <v>#N/A</v>
      </c>
      <c r="E3090" s="1063"/>
      <c r="F3090" s="1061"/>
      <c r="G3090" s="1056" t="s">
        <v>374</v>
      </c>
      <c r="H3090" s="1057" t="s">
        <v>2674</v>
      </c>
      <c r="I3090" s="1058" t="e">
        <f>VLOOKUP(H3082,'LƯƠNG KT'!$D$15:$R$94,12,0)</f>
        <v>#N/A</v>
      </c>
      <c r="J3090" s="1059" t="e">
        <f>VLOOKUP(H3082,'LƯƠNG KT'!$D$15:$R$94,14,0)</f>
        <v>#N/A</v>
      </c>
      <c r="K3090" s="1085"/>
      <c r="L3090" s="1085"/>
      <c r="M3090" s="1085"/>
      <c r="N3090" s="1085"/>
      <c r="O3090" s="1085"/>
    </row>
    <row r="3091" spans="1:15" ht="15" customHeight="1">
      <c r="A3091" s="1056" t="s">
        <v>2675</v>
      </c>
      <c r="B3091" s="1057" t="s">
        <v>2676</v>
      </c>
      <c r="D3091" s="1064" t="e">
        <f>VLOOKUP(B3082,'LƯƠNG KT'!$D$15:$R$94,13,0)</f>
        <v>#N/A</v>
      </c>
      <c r="E3091" s="1065"/>
      <c r="F3091" s="1065"/>
      <c r="G3091" s="1056" t="s">
        <v>2675</v>
      </c>
      <c r="H3091" s="1057" t="s">
        <v>2676</v>
      </c>
      <c r="J3091" s="1064" t="e">
        <f>VLOOKUP(H3082,'LƯƠNG KT'!$D$15:$R$94,13,0)</f>
        <v>#N/A</v>
      </c>
    </row>
    <row r="3092" spans="1:15" ht="15" customHeight="1">
      <c r="A3092" s="1066"/>
      <c r="B3092" s="869"/>
      <c r="C3092" s="1058"/>
      <c r="D3092" s="1059"/>
      <c r="E3092" s="1063"/>
      <c r="F3092" s="1065"/>
      <c r="G3092" s="1066"/>
      <c r="H3092" s="869"/>
      <c r="I3092" s="1058"/>
      <c r="J3092" s="1059"/>
    </row>
    <row r="3093" spans="1:15" ht="15" customHeight="1">
      <c r="A3093" s="1052"/>
      <c r="B3093" s="869"/>
      <c r="C3093" s="1058"/>
      <c r="D3093" s="1059"/>
      <c r="E3093" s="1067"/>
      <c r="F3093" s="1051"/>
      <c r="G3093" s="1052"/>
      <c r="H3093" s="869"/>
      <c r="I3093" s="1058"/>
      <c r="J3093" s="1059"/>
    </row>
    <row r="3094" spans="1:15" ht="15" customHeight="1">
      <c r="A3094" s="1068" t="s">
        <v>383</v>
      </c>
      <c r="B3094" s="1069" t="s">
        <v>384</v>
      </c>
      <c r="C3094" s="1070"/>
      <c r="D3094" s="1071" t="e">
        <f>SUM(D3083:D3090)-D3093</f>
        <v>#N/A</v>
      </c>
      <c r="E3094" s="1072"/>
      <c r="F3094" s="1073"/>
      <c r="G3094" s="1068" t="s">
        <v>383</v>
      </c>
      <c r="H3094" s="1069" t="s">
        <v>384</v>
      </c>
      <c r="I3094" s="1070"/>
      <c r="J3094" s="1071" t="e">
        <f>SUM(J3083:J3090)-J3093</f>
        <v>#N/A</v>
      </c>
    </row>
    <row r="3095" spans="1:15" ht="18.75" customHeight="1">
      <c r="A3095" s="1074"/>
      <c r="B3095" s="1075"/>
      <c r="C3095" s="1076"/>
      <c r="D3095" s="1077"/>
      <c r="E3095" s="1077"/>
      <c r="F3095" s="1078"/>
      <c r="G3095" s="1074"/>
      <c r="H3095" s="1075"/>
      <c r="I3095" s="1076"/>
      <c r="J3095" s="1077"/>
    </row>
    <row r="3096" spans="1:15" ht="18.75" customHeight="1">
      <c r="A3096" s="1075"/>
      <c r="B3096" s="1075"/>
      <c r="C3096" s="1079"/>
      <c r="D3096" s="1080"/>
      <c r="E3096" s="1075"/>
      <c r="F3096" s="1081"/>
      <c r="G3096" s="1075"/>
      <c r="H3096" s="1075"/>
      <c r="I3096" s="1079"/>
      <c r="J3096" s="1080"/>
    </row>
    <row r="3097" spans="1:15" ht="15" customHeight="1">
      <c r="A3097" s="2242" t="str">
        <f>$K$2</f>
        <v>THÁNG 04/2025</v>
      </c>
      <c r="B3097" s="2242"/>
      <c r="C3097" s="2242"/>
      <c r="D3097" s="2242"/>
      <c r="E3097" s="1050"/>
      <c r="F3097" s="1051"/>
      <c r="G3097" s="2242" t="str">
        <f>$K$2</f>
        <v>THÁNG 04/2025</v>
      </c>
      <c r="H3097" s="2242"/>
      <c r="I3097" s="2242"/>
      <c r="J3097" s="2242"/>
      <c r="K3097" s="624"/>
    </row>
    <row r="3098" spans="1:15" ht="15" customHeight="1">
      <c r="A3098" s="1052" t="s">
        <v>356</v>
      </c>
      <c r="B3098" s="1053" t="s">
        <v>260</v>
      </c>
      <c r="C3098" s="869"/>
      <c r="D3098" s="1049"/>
      <c r="E3098" s="1054"/>
      <c r="F3098" s="1055"/>
      <c r="G3098" s="1052" t="s">
        <v>356</v>
      </c>
      <c r="H3098" s="1053" t="s">
        <v>261</v>
      </c>
      <c r="I3098" s="869"/>
      <c r="J3098" s="1049"/>
      <c r="L3098" s="1088"/>
      <c r="M3098" s="1088"/>
      <c r="N3098" s="1088"/>
      <c r="O3098" s="1088"/>
    </row>
    <row r="3099" spans="1:15" ht="15" customHeight="1">
      <c r="A3099" s="1056" t="s">
        <v>359</v>
      </c>
      <c r="B3099" s="1057" t="s">
        <v>2662</v>
      </c>
      <c r="C3099" s="1058" t="e">
        <f>VLOOKUP(B3098,'LƯƠNG KT'!$D$15:$R$94,4,0)</f>
        <v>#N/A</v>
      </c>
      <c r="D3099" s="1059" t="e">
        <f>+C3099*25000</f>
        <v>#N/A</v>
      </c>
      <c r="E3099" s="1060"/>
      <c r="F3099" s="1060"/>
      <c r="G3099" s="1056" t="s">
        <v>359</v>
      </c>
      <c r="H3099" s="1057" t="s">
        <v>2662</v>
      </c>
      <c r="I3099" s="1058" t="e">
        <f>VLOOKUP(H3098,'LƯƠNG KT'!$D$15:$R$94,4,0)</f>
        <v>#N/A</v>
      </c>
      <c r="J3099" s="1059" t="e">
        <f>+I3099*25000</f>
        <v>#N/A</v>
      </c>
      <c r="K3099" s="1085"/>
      <c r="L3099" s="1085"/>
      <c r="M3099" s="1085"/>
      <c r="N3099" s="1085"/>
      <c r="O3099" s="1085"/>
    </row>
    <row r="3100" spans="1:15" ht="15" customHeight="1">
      <c r="A3100" s="1056" t="s">
        <v>361</v>
      </c>
      <c r="B3100" s="1057" t="s">
        <v>2663</v>
      </c>
      <c r="C3100" s="1058" t="e">
        <f>VLOOKUP(B3098,'LƯƠNG KT'!$D$15:$R$94,15,0)</f>
        <v>#N/A</v>
      </c>
      <c r="D3100" s="1059" t="e">
        <f>C3100*$L$4</f>
        <v>#N/A</v>
      </c>
      <c r="E3100" s="1061"/>
      <c r="F3100" s="1061"/>
      <c r="G3100" s="1056" t="s">
        <v>361</v>
      </c>
      <c r="H3100" s="1057" t="s">
        <v>2663</v>
      </c>
      <c r="I3100" s="1058" t="e">
        <f>VLOOKUP(H3098,'LƯƠNG KT'!$D$15:$R$94,15,0)</f>
        <v>#N/A</v>
      </c>
      <c r="J3100" s="1059" t="e">
        <f>I3100*$L$4</f>
        <v>#N/A</v>
      </c>
      <c r="K3100" s="1085"/>
      <c r="L3100" s="1085"/>
      <c r="M3100" s="1085"/>
      <c r="N3100" s="1085"/>
      <c r="O3100" s="1085"/>
    </row>
    <row r="3101" spans="1:15" ht="15" customHeight="1">
      <c r="A3101" s="1056" t="s">
        <v>364</v>
      </c>
      <c r="B3101" s="1057" t="s">
        <v>2664</v>
      </c>
      <c r="C3101" s="1058" t="e">
        <f>VLOOKUP(B3098,'LƯƠNG KT'!$D$15:$R$94,16,0)</f>
        <v>#N/A</v>
      </c>
      <c r="D3101" s="1059" t="e">
        <f>C3101*$L$5</f>
        <v>#N/A</v>
      </c>
      <c r="E3101" s="1061"/>
      <c r="F3101" s="1061"/>
      <c r="G3101" s="1056" t="s">
        <v>364</v>
      </c>
      <c r="H3101" s="1057" t="s">
        <v>2664</v>
      </c>
      <c r="I3101" s="1058" t="e">
        <f>VLOOKUP(H3098,'LƯƠNG KT'!$D$15:$R$94,16,0)</f>
        <v>#N/A</v>
      </c>
      <c r="J3101" s="1059" t="e">
        <f>I3101*$L$5</f>
        <v>#N/A</v>
      </c>
      <c r="K3101" s="1085"/>
      <c r="L3101" s="1085"/>
      <c r="M3101" s="1085"/>
      <c r="N3101" s="1085"/>
      <c r="O3101" s="1085"/>
    </row>
    <row r="3102" spans="1:15" ht="15" customHeight="1">
      <c r="A3102" s="1056" t="s">
        <v>370</v>
      </c>
      <c r="B3102" s="1057" t="s">
        <v>2665</v>
      </c>
      <c r="C3102" s="1058" t="e">
        <f>VLOOKUP(B3098,'LƯƠNG KT'!$D$15:$R$94,24,0)</f>
        <v>#N/A</v>
      </c>
      <c r="D3102" s="1059" t="e">
        <f>+C3102*$L$6</f>
        <v>#N/A</v>
      </c>
      <c r="E3102" s="1061"/>
      <c r="F3102" s="1061"/>
      <c r="G3102" s="1056" t="s">
        <v>370</v>
      </c>
      <c r="H3102" s="1057" t="s">
        <v>2665</v>
      </c>
      <c r="I3102" s="1058" t="e">
        <f>VLOOKUP(H3098,'LƯƠNG KT'!$D$15:$R$94,24,0)</f>
        <v>#N/A</v>
      </c>
      <c r="J3102" s="1059" t="e">
        <f>+I3102*$L$6</f>
        <v>#N/A</v>
      </c>
      <c r="K3102" s="1085"/>
      <c r="L3102" s="1085"/>
      <c r="M3102" s="1085"/>
      <c r="N3102" s="1085"/>
      <c r="O3102" s="1085"/>
    </row>
    <row r="3103" spans="1:15" ht="15" customHeight="1">
      <c r="A3103" s="1056" t="s">
        <v>2666</v>
      </c>
      <c r="B3103" s="1057" t="s">
        <v>2667</v>
      </c>
      <c r="C3103" s="1058" t="e">
        <f>VLOOKUP(B3098,'LƯƠNG KT'!$D$15:$R$94,19,0)</f>
        <v>#N/A</v>
      </c>
      <c r="D3103" s="1059" t="e">
        <f>+C3103*$L$8</f>
        <v>#N/A</v>
      </c>
      <c r="E3103" s="1061"/>
      <c r="F3103" s="1061"/>
      <c r="G3103" s="1056" t="s">
        <v>2666</v>
      </c>
      <c r="H3103" s="1057" t="s">
        <v>2667</v>
      </c>
      <c r="I3103" s="1058" t="e">
        <f>VLOOKUP(H3098,'LƯƠNG KT'!$D$15:$R$94,19,0)</f>
        <v>#N/A</v>
      </c>
      <c r="J3103" s="1059" t="e">
        <f>+I3103*$L$8</f>
        <v>#N/A</v>
      </c>
      <c r="K3103" s="1085"/>
      <c r="L3103" s="1085"/>
      <c r="M3103" s="1085"/>
      <c r="N3103" s="1085"/>
      <c r="O3103" s="1085"/>
    </row>
    <row r="3104" spans="1:15" ht="15" customHeight="1">
      <c r="A3104" s="1056" t="s">
        <v>2668</v>
      </c>
      <c r="B3104" s="1062" t="s">
        <v>2669</v>
      </c>
      <c r="C3104" s="1058" t="e">
        <f>VLOOKUP(B3098,'LƯƠNG KT'!$D$15:$R$94,20,0)</f>
        <v>#N/A</v>
      </c>
      <c r="D3104" s="1059" t="e">
        <f>+C3104*$L$9</f>
        <v>#N/A</v>
      </c>
      <c r="E3104" s="1061"/>
      <c r="F3104" s="1061"/>
      <c r="G3104" s="1056" t="s">
        <v>2668</v>
      </c>
      <c r="H3104" s="1062" t="s">
        <v>2669</v>
      </c>
      <c r="I3104" s="1058" t="e">
        <f>VLOOKUP(H3098,'LƯƠNG KT'!$D$15:$R$94,20,0)</f>
        <v>#N/A</v>
      </c>
      <c r="J3104" s="1059" t="e">
        <f>+I3104*$L$9</f>
        <v>#N/A</v>
      </c>
      <c r="K3104" s="1085"/>
      <c r="L3104" s="1085"/>
      <c r="M3104" s="1085"/>
      <c r="N3104" s="1085"/>
      <c r="O3104" s="1085"/>
    </row>
    <row r="3105" spans="1:15" ht="15" customHeight="1">
      <c r="A3105" s="1056" t="s">
        <v>2671</v>
      </c>
      <c r="B3105" s="1057" t="s">
        <v>2672</v>
      </c>
      <c r="C3105" s="1058" t="e">
        <f>VLOOKUP(B3098,'LƯƠNG KT'!$D$15:$R$94,17,0)</f>
        <v>#N/A</v>
      </c>
      <c r="D3105" s="1059" t="e">
        <f>+C3105*$L$10</f>
        <v>#N/A</v>
      </c>
      <c r="E3105" s="1061"/>
      <c r="F3105" s="1061"/>
      <c r="G3105" s="1056" t="s">
        <v>2671</v>
      </c>
      <c r="H3105" s="1057" t="s">
        <v>2672</v>
      </c>
      <c r="I3105" s="1058" t="e">
        <f>VLOOKUP(H3098,'LƯƠNG KT'!$D$15:$R$94,17,0)</f>
        <v>#N/A</v>
      </c>
      <c r="J3105" s="1059" t="e">
        <f>+I3105*$L$10</f>
        <v>#N/A</v>
      </c>
      <c r="K3105" s="1085"/>
      <c r="L3105" s="1085"/>
      <c r="M3105" s="1085"/>
      <c r="N3105" s="1085"/>
      <c r="O3105" s="1085"/>
    </row>
    <row r="3106" spans="1:15" ht="15" customHeight="1">
      <c r="A3106" s="1056" t="s">
        <v>374</v>
      </c>
      <c r="B3106" s="1057" t="s">
        <v>2674</v>
      </c>
      <c r="C3106" s="1058" t="e">
        <f>VLOOKUP(B3098,'LƯƠNG KT'!$D$15:$R$94,12,0)</f>
        <v>#N/A</v>
      </c>
      <c r="D3106" s="1059" t="e">
        <f>VLOOKUP(B3098,'LƯƠNG KT'!$D$15:$R$94,14,0)</f>
        <v>#N/A</v>
      </c>
      <c r="E3106" s="1063"/>
      <c r="F3106" s="1061"/>
      <c r="G3106" s="1056" t="s">
        <v>374</v>
      </c>
      <c r="H3106" s="1057" t="s">
        <v>2674</v>
      </c>
      <c r="I3106" s="1058" t="e">
        <f>VLOOKUP(H3098,'LƯƠNG KT'!$D$15:$R$94,12,0)</f>
        <v>#N/A</v>
      </c>
      <c r="J3106" s="1059" t="e">
        <f>VLOOKUP(H3098,'LƯƠNG KT'!$D$15:$R$94,14,0)</f>
        <v>#N/A</v>
      </c>
      <c r="K3106" s="1085"/>
      <c r="L3106" s="1085"/>
      <c r="M3106" s="1085"/>
      <c r="N3106" s="1085"/>
      <c r="O3106" s="1085"/>
    </row>
    <row r="3107" spans="1:15" ht="15" customHeight="1">
      <c r="A3107" s="1056" t="s">
        <v>2675</v>
      </c>
      <c r="B3107" s="1057" t="s">
        <v>2676</v>
      </c>
      <c r="D3107" s="1064" t="e">
        <f>VLOOKUP(B3098,'LƯƠNG KT'!$D$15:$R$94,13,0)</f>
        <v>#N/A</v>
      </c>
      <c r="E3107" s="1065"/>
      <c r="F3107" s="1065"/>
      <c r="G3107" s="1056" t="s">
        <v>2675</v>
      </c>
      <c r="H3107" s="1057" t="s">
        <v>2676</v>
      </c>
      <c r="J3107" s="1064" t="e">
        <f>VLOOKUP(H3098,'LƯƠNG KT'!$D$15:$R$94,13,0)</f>
        <v>#N/A</v>
      </c>
    </row>
    <row r="3108" spans="1:15" ht="15" customHeight="1">
      <c r="A3108" s="1066"/>
      <c r="B3108" s="869"/>
      <c r="C3108" s="1058"/>
      <c r="D3108" s="1059"/>
      <c r="E3108" s="1063"/>
      <c r="F3108" s="1065"/>
      <c r="G3108" s="1066"/>
      <c r="H3108" s="869"/>
      <c r="I3108" s="1058"/>
      <c r="J3108" s="1059"/>
    </row>
    <row r="3109" spans="1:15" ht="15" customHeight="1">
      <c r="A3109" s="1052"/>
      <c r="B3109" s="869"/>
      <c r="C3109" s="1058"/>
      <c r="D3109" s="1059"/>
      <c r="E3109" s="1067"/>
      <c r="F3109" s="1051"/>
      <c r="G3109" s="1052"/>
      <c r="H3109" s="869"/>
      <c r="I3109" s="1058"/>
      <c r="J3109" s="1059"/>
    </row>
    <row r="3110" spans="1:15" ht="15" customHeight="1">
      <c r="A3110" s="1068" t="s">
        <v>383</v>
      </c>
      <c r="B3110" s="1069" t="s">
        <v>384</v>
      </c>
      <c r="C3110" s="1070"/>
      <c r="D3110" s="1071" t="e">
        <f>SUM(D3099:D3106)-D3109</f>
        <v>#N/A</v>
      </c>
      <c r="E3110" s="1072"/>
      <c r="F3110" s="1073"/>
      <c r="G3110" s="1068" t="s">
        <v>383</v>
      </c>
      <c r="H3110" s="1069" t="s">
        <v>384</v>
      </c>
      <c r="I3110" s="1070"/>
      <c r="J3110" s="1071" t="e">
        <f>SUM(J3099:J3106)-J3109</f>
        <v>#N/A</v>
      </c>
    </row>
    <row r="3111" spans="1:15" ht="15.75" customHeight="1">
      <c r="A3111" s="1074"/>
      <c r="B3111" s="1075"/>
      <c r="C3111" s="1076"/>
      <c r="D3111" s="1077"/>
      <c r="E3111" s="1077"/>
      <c r="F3111" s="1078"/>
      <c r="G3111" s="1074"/>
      <c r="H3111" s="1075"/>
      <c r="I3111" s="1076"/>
      <c r="J3111" s="1077"/>
    </row>
    <row r="3113" spans="1:15" ht="130.5" customHeight="1">
      <c r="A3113" s="2243"/>
      <c r="B3113" s="2243"/>
      <c r="C3113" s="2243"/>
      <c r="D3113" s="2243"/>
      <c r="E3113" s="2243"/>
      <c r="F3113" s="2243"/>
      <c r="G3113" s="2243"/>
      <c r="H3113" s="2243"/>
      <c r="I3113" s="2243"/>
      <c r="J3113" s="2243"/>
    </row>
    <row r="3114" spans="1:15" ht="15" customHeight="1">
      <c r="A3114" s="2242" t="str">
        <f>$K$2</f>
        <v>THÁNG 04/2025</v>
      </c>
      <c r="B3114" s="2242"/>
      <c r="C3114" s="2242"/>
      <c r="D3114" s="2242"/>
      <c r="E3114" s="1050"/>
      <c r="F3114" s="1051"/>
      <c r="G3114" s="2242" t="str">
        <f>$K$2</f>
        <v>THÁNG 04/2025</v>
      </c>
      <c r="H3114" s="2242"/>
      <c r="I3114" s="2242"/>
      <c r="J3114" s="2242"/>
      <c r="K3114" s="624"/>
    </row>
    <row r="3115" spans="1:15" ht="15" customHeight="1">
      <c r="A3115" s="1052" t="s">
        <v>356</v>
      </c>
      <c r="B3115" s="1053" t="s">
        <v>262</v>
      </c>
      <c r="C3115" s="869"/>
      <c r="D3115" s="1049"/>
      <c r="E3115" s="1054"/>
      <c r="F3115" s="1055"/>
      <c r="G3115" s="1052" t="s">
        <v>356</v>
      </c>
      <c r="H3115" s="1053" t="s">
        <v>263</v>
      </c>
      <c r="I3115" s="869"/>
      <c r="J3115" s="1049"/>
      <c r="L3115" s="1088"/>
      <c r="M3115" s="1088"/>
      <c r="N3115" s="1088"/>
      <c r="O3115" s="1088"/>
    </row>
    <row r="3116" spans="1:15" ht="15" customHeight="1">
      <c r="A3116" s="1056" t="s">
        <v>359</v>
      </c>
      <c r="B3116" s="1057" t="s">
        <v>2662</v>
      </c>
      <c r="C3116" s="1058" t="e">
        <f>VLOOKUP(B3115,'LƯƠNG KT'!$D$15:$R$94,4,0)</f>
        <v>#N/A</v>
      </c>
      <c r="D3116" s="1059" t="e">
        <f>+C3116*25000</f>
        <v>#N/A</v>
      </c>
      <c r="E3116" s="1060"/>
      <c r="F3116" s="1060"/>
      <c r="G3116" s="1056" t="s">
        <v>359</v>
      </c>
      <c r="H3116" s="1057" t="s">
        <v>2662</v>
      </c>
      <c r="I3116" s="1058" t="e">
        <f>VLOOKUP(H3115,'LƯƠNG KT'!$D$15:$R$94,4,0)</f>
        <v>#N/A</v>
      </c>
      <c r="J3116" s="1059" t="e">
        <f>+I3116*25000</f>
        <v>#N/A</v>
      </c>
      <c r="K3116" s="1084"/>
      <c r="L3116" s="1085"/>
      <c r="M3116" s="1085"/>
      <c r="N3116" s="1085"/>
      <c r="O3116" s="1085"/>
    </row>
    <row r="3117" spans="1:15" ht="15" customHeight="1">
      <c r="A3117" s="1056" t="s">
        <v>361</v>
      </c>
      <c r="B3117" s="1057" t="s">
        <v>2663</v>
      </c>
      <c r="C3117" s="1058" t="e">
        <f>VLOOKUP(B3115,'LƯƠNG KT'!$D$15:$R$94,15,0)</f>
        <v>#N/A</v>
      </c>
      <c r="D3117" s="1059" t="e">
        <f>C3117*$L$4</f>
        <v>#N/A</v>
      </c>
      <c r="E3117" s="1061"/>
      <c r="F3117" s="1061"/>
      <c r="G3117" s="1056" t="s">
        <v>361</v>
      </c>
      <c r="H3117" s="1057" t="s">
        <v>2663</v>
      </c>
      <c r="I3117" s="1058" t="e">
        <f>VLOOKUP(H3115,'LƯƠNG KT'!$D$15:$R$94,15,0)</f>
        <v>#N/A</v>
      </c>
      <c r="J3117" s="1059" t="e">
        <f>I3117*$L$4</f>
        <v>#N/A</v>
      </c>
      <c r="K3117" s="1084"/>
      <c r="L3117" s="1085"/>
      <c r="M3117" s="1085"/>
      <c r="N3117" s="1085"/>
      <c r="O3117" s="1085"/>
    </row>
    <row r="3118" spans="1:15" ht="15" customHeight="1">
      <c r="A3118" s="1056" t="s">
        <v>364</v>
      </c>
      <c r="B3118" s="1057" t="s">
        <v>2664</v>
      </c>
      <c r="C3118" s="1058" t="e">
        <f>VLOOKUP(B3115,'LƯƠNG KT'!$D$15:$R$94,16,0)</f>
        <v>#N/A</v>
      </c>
      <c r="D3118" s="1059" t="e">
        <f>C3118*$L$5</f>
        <v>#N/A</v>
      </c>
      <c r="E3118" s="1061"/>
      <c r="F3118" s="1061"/>
      <c r="G3118" s="1056" t="s">
        <v>364</v>
      </c>
      <c r="H3118" s="1057" t="s">
        <v>2664</v>
      </c>
      <c r="I3118" s="1058" t="e">
        <f>VLOOKUP(H3115,'LƯƠNG KT'!$D$15:$R$94,16,0)</f>
        <v>#N/A</v>
      </c>
      <c r="J3118" s="1059" t="e">
        <f>I3118*$L$5</f>
        <v>#N/A</v>
      </c>
      <c r="K3118" s="1084"/>
      <c r="L3118" s="1085"/>
      <c r="M3118" s="1085"/>
      <c r="N3118" s="1085"/>
      <c r="O3118" s="1085"/>
    </row>
    <row r="3119" spans="1:15" ht="15" customHeight="1">
      <c r="A3119" s="1056" t="s">
        <v>370</v>
      </c>
      <c r="B3119" s="1057" t="s">
        <v>2665</v>
      </c>
      <c r="C3119" s="1058" t="e">
        <f>VLOOKUP(B3115,'LƯƠNG KT'!$D$15:$R$94,24,0)</f>
        <v>#N/A</v>
      </c>
      <c r="D3119" s="1059" t="e">
        <f>+C3119*$L$6</f>
        <v>#N/A</v>
      </c>
      <c r="E3119" s="1061"/>
      <c r="F3119" s="1061"/>
      <c r="G3119" s="1056" t="s">
        <v>370</v>
      </c>
      <c r="H3119" s="1057" t="s">
        <v>2665</v>
      </c>
      <c r="I3119" s="1058" t="e">
        <f>VLOOKUP(H3115,'LƯƠNG KT'!$D$15:$R$94,24,0)</f>
        <v>#N/A</v>
      </c>
      <c r="J3119" s="1059" t="e">
        <f>+I3119*$L$6</f>
        <v>#N/A</v>
      </c>
      <c r="K3119" s="1085"/>
      <c r="L3119" s="1085"/>
      <c r="M3119" s="1085"/>
      <c r="N3119" s="1085"/>
      <c r="O3119" s="1085"/>
    </row>
    <row r="3120" spans="1:15" ht="15" customHeight="1">
      <c r="A3120" s="1056" t="s">
        <v>2666</v>
      </c>
      <c r="B3120" s="1057" t="s">
        <v>2667</v>
      </c>
      <c r="C3120" s="1058" t="e">
        <f>VLOOKUP(B3115,'LƯƠNG KT'!$D$15:$R$94,19,0)</f>
        <v>#N/A</v>
      </c>
      <c r="D3120" s="1059" t="e">
        <f>+C3120*$L$8</f>
        <v>#N/A</v>
      </c>
      <c r="E3120" s="1061"/>
      <c r="F3120" s="1061"/>
      <c r="G3120" s="1056" t="s">
        <v>2666</v>
      </c>
      <c r="H3120" s="1057" t="s">
        <v>2667</v>
      </c>
      <c r="I3120" s="1058" t="e">
        <f>VLOOKUP(H3115,'LƯƠNG KT'!$D$15:$R$94,19,0)</f>
        <v>#N/A</v>
      </c>
      <c r="J3120" s="1059" t="e">
        <f>+I3120*$L$8</f>
        <v>#N/A</v>
      </c>
      <c r="K3120" s="1085"/>
      <c r="L3120" s="1085"/>
      <c r="M3120" s="1085"/>
      <c r="N3120" s="1085"/>
      <c r="O3120" s="1085"/>
    </row>
    <row r="3121" spans="1:15" ht="15" customHeight="1">
      <c r="A3121" s="1056" t="s">
        <v>2668</v>
      </c>
      <c r="B3121" s="1062" t="s">
        <v>2669</v>
      </c>
      <c r="C3121" s="1058" t="e">
        <f>VLOOKUP(B3115,'LƯƠNG KT'!$D$15:$R$94,20,0)</f>
        <v>#N/A</v>
      </c>
      <c r="D3121" s="1059" t="e">
        <f>+C3121*$L$9</f>
        <v>#N/A</v>
      </c>
      <c r="E3121" s="1061"/>
      <c r="F3121" s="1061"/>
      <c r="G3121" s="1056" t="s">
        <v>2668</v>
      </c>
      <c r="H3121" s="1062" t="s">
        <v>2669</v>
      </c>
      <c r="I3121" s="1058" t="e">
        <f>VLOOKUP(H3115,'LƯƠNG KT'!$D$15:$R$94,20,0)</f>
        <v>#N/A</v>
      </c>
      <c r="J3121" s="1059" t="e">
        <f>+I3121*$L$9</f>
        <v>#N/A</v>
      </c>
      <c r="K3121" s="1085"/>
      <c r="L3121" s="1085"/>
      <c r="M3121" s="1085"/>
      <c r="N3121" s="1085"/>
      <c r="O3121" s="1085"/>
    </row>
    <row r="3122" spans="1:15" ht="15" customHeight="1">
      <c r="A3122" s="1056" t="s">
        <v>2671</v>
      </c>
      <c r="B3122" s="1057" t="s">
        <v>2672</v>
      </c>
      <c r="C3122" s="1058" t="e">
        <f>VLOOKUP(B3115,'LƯƠNG KT'!$D$15:$R$94,17,0)</f>
        <v>#N/A</v>
      </c>
      <c r="D3122" s="1059" t="e">
        <f>+C3122*$L$10</f>
        <v>#N/A</v>
      </c>
      <c r="E3122" s="1061"/>
      <c r="F3122" s="1061"/>
      <c r="G3122" s="1056" t="s">
        <v>2671</v>
      </c>
      <c r="H3122" s="1057" t="s">
        <v>2672</v>
      </c>
      <c r="I3122" s="1058" t="e">
        <f>VLOOKUP(H3115,'LƯƠNG KT'!$D$15:$R$94,17,0)</f>
        <v>#N/A</v>
      </c>
      <c r="J3122" s="1059" t="e">
        <f>+I3122*$L$10</f>
        <v>#N/A</v>
      </c>
      <c r="K3122" s="1085"/>
      <c r="L3122" s="1085"/>
      <c r="M3122" s="1085"/>
      <c r="N3122" s="1085"/>
      <c r="O3122" s="1085"/>
    </row>
    <row r="3123" spans="1:15" ht="15" customHeight="1">
      <c r="A3123" s="1056" t="s">
        <v>374</v>
      </c>
      <c r="B3123" s="1057" t="s">
        <v>2674</v>
      </c>
      <c r="C3123" s="1058" t="e">
        <f>VLOOKUP(B3115,'LƯƠNG KT'!$D$15:$R$94,12,0)</f>
        <v>#N/A</v>
      </c>
      <c r="D3123" s="1059" t="e">
        <f>VLOOKUP(B3115,'LƯƠNG KT'!$D$15:$R$94,14,0)</f>
        <v>#N/A</v>
      </c>
      <c r="E3123" s="1063"/>
      <c r="F3123" s="1061"/>
      <c r="G3123" s="1056" t="s">
        <v>374</v>
      </c>
      <c r="H3123" s="1057" t="s">
        <v>2674</v>
      </c>
      <c r="I3123" s="1058" t="e">
        <f>VLOOKUP(H3115,'LƯƠNG KT'!$D$15:$R$94,12,0)</f>
        <v>#N/A</v>
      </c>
      <c r="J3123" s="1059" t="e">
        <f>VLOOKUP(H3115,'LƯƠNG KT'!$D$15:$R$94,14,0)</f>
        <v>#N/A</v>
      </c>
      <c r="K3123" s="1085"/>
      <c r="L3123" s="1085"/>
      <c r="M3123" s="1085"/>
      <c r="N3123" s="1085"/>
      <c r="O3123" s="1085"/>
    </row>
    <row r="3124" spans="1:15" ht="15" customHeight="1">
      <c r="A3124" s="1056" t="s">
        <v>2675</v>
      </c>
      <c r="B3124" s="1057" t="s">
        <v>2676</v>
      </c>
      <c r="D3124" s="1064" t="e">
        <f>VLOOKUP(B3115,'LƯƠNG KT'!$D$15:$R$94,13,0)</f>
        <v>#N/A</v>
      </c>
      <c r="E3124" s="1065"/>
      <c r="F3124" s="1065"/>
      <c r="G3124" s="1056" t="s">
        <v>2675</v>
      </c>
      <c r="H3124" s="1057" t="s">
        <v>2676</v>
      </c>
      <c r="J3124" s="1064" t="e">
        <f>VLOOKUP(H3115,'LƯƠNG KT'!$D$15:$R$94,13,0)</f>
        <v>#N/A</v>
      </c>
    </row>
    <row r="3125" spans="1:15" ht="15" customHeight="1">
      <c r="A3125" s="1066"/>
      <c r="B3125" s="869"/>
      <c r="C3125" s="1058"/>
      <c r="D3125" s="1059"/>
      <c r="E3125" s="1063"/>
      <c r="F3125" s="1065"/>
      <c r="G3125" s="1066"/>
      <c r="H3125" s="869"/>
      <c r="I3125" s="1058"/>
      <c r="J3125" s="1059"/>
    </row>
    <row r="3126" spans="1:15" ht="15" customHeight="1">
      <c r="A3126" s="1052"/>
      <c r="B3126" s="869"/>
      <c r="C3126" s="1058"/>
      <c r="D3126" s="1059"/>
      <c r="E3126" s="1067"/>
      <c r="F3126" s="1051"/>
      <c r="G3126" s="1052"/>
      <c r="H3126" s="869"/>
      <c r="I3126" s="1058"/>
      <c r="J3126" s="1059"/>
    </row>
    <row r="3127" spans="1:15" ht="15" customHeight="1">
      <c r="A3127" s="1068" t="s">
        <v>383</v>
      </c>
      <c r="B3127" s="1069" t="s">
        <v>384</v>
      </c>
      <c r="C3127" s="1070"/>
      <c r="D3127" s="1071" t="e">
        <f>SUM(D3116:D3123)-D3126</f>
        <v>#N/A</v>
      </c>
      <c r="E3127" s="1072"/>
      <c r="F3127" s="1073"/>
      <c r="G3127" s="1068" t="s">
        <v>383</v>
      </c>
      <c r="H3127" s="1069" t="s">
        <v>384</v>
      </c>
      <c r="I3127" s="1070"/>
      <c r="J3127" s="1071" t="e">
        <f>SUM(J3116:J3123)-J3126</f>
        <v>#N/A</v>
      </c>
    </row>
    <row r="3128" spans="1:15" ht="20.25" customHeight="1">
      <c r="A3128" s="1074"/>
      <c r="B3128" s="1075"/>
      <c r="C3128" s="1076"/>
      <c r="D3128" s="1077"/>
      <c r="E3128" s="1077"/>
      <c r="F3128" s="1078"/>
      <c r="G3128" s="1074"/>
      <c r="H3128" s="1075"/>
      <c r="I3128" s="1076"/>
      <c r="J3128" s="1077"/>
    </row>
    <row r="3129" spans="1:15" ht="20.25" customHeight="1">
      <c r="A3129" s="1075"/>
      <c r="B3129" s="1075"/>
      <c r="C3129" s="1079"/>
      <c r="D3129" s="1080"/>
      <c r="E3129" s="1075"/>
      <c r="F3129" s="1081"/>
      <c r="G3129" s="1075"/>
      <c r="H3129" s="1075"/>
      <c r="I3129" s="1079"/>
      <c r="J3129" s="1080"/>
    </row>
    <row r="3130" spans="1:15" ht="15" customHeight="1">
      <c r="A3130" s="2242" t="str">
        <f>$K$2</f>
        <v>THÁNG 04/2025</v>
      </c>
      <c r="B3130" s="2242"/>
      <c r="C3130" s="2242"/>
      <c r="D3130" s="2242"/>
      <c r="E3130" s="1050"/>
      <c r="F3130" s="1051"/>
      <c r="G3130" s="2242" t="str">
        <f>$K$2</f>
        <v>THÁNG 04/2025</v>
      </c>
      <c r="H3130" s="2242"/>
      <c r="I3130" s="2242"/>
      <c r="J3130" s="2242"/>
      <c r="K3130" s="624"/>
    </row>
    <row r="3131" spans="1:15" ht="15" customHeight="1">
      <c r="A3131" s="1052" t="s">
        <v>356</v>
      </c>
      <c r="B3131" s="1053" t="s">
        <v>264</v>
      </c>
      <c r="C3131" s="869"/>
      <c r="D3131" s="1049"/>
      <c r="E3131" s="1054"/>
      <c r="F3131" s="1055"/>
      <c r="G3131" s="1052" t="s">
        <v>356</v>
      </c>
      <c r="H3131" s="1053" t="s">
        <v>265</v>
      </c>
      <c r="I3131" s="869"/>
      <c r="J3131" s="1049"/>
      <c r="L3131" s="1088"/>
      <c r="M3131" s="1088"/>
      <c r="N3131" s="1088"/>
      <c r="O3131" s="1088"/>
    </row>
    <row r="3132" spans="1:15" ht="15" customHeight="1">
      <c r="A3132" s="1056" t="s">
        <v>359</v>
      </c>
      <c r="B3132" s="1057" t="s">
        <v>2662</v>
      </c>
      <c r="C3132" s="1058" t="e">
        <f>VLOOKUP(B3131,'LƯƠNG KT'!$D$15:$R$94,4,0)</f>
        <v>#N/A</v>
      </c>
      <c r="D3132" s="1059" t="e">
        <f>+C3132*25000</f>
        <v>#N/A</v>
      </c>
      <c r="E3132" s="1060"/>
      <c r="F3132" s="1060"/>
      <c r="G3132" s="1056" t="s">
        <v>359</v>
      </c>
      <c r="H3132" s="1057" t="s">
        <v>2662</v>
      </c>
      <c r="I3132" s="1058" t="e">
        <f>VLOOKUP(H3131,'LƯƠNG KT'!$D$15:$R$94,4,0)</f>
        <v>#N/A</v>
      </c>
      <c r="J3132" s="1059" t="e">
        <f>+I3132*25000</f>
        <v>#N/A</v>
      </c>
      <c r="K3132" s="1085"/>
      <c r="L3132" s="1085"/>
      <c r="M3132" s="1085"/>
      <c r="N3132" s="1085"/>
      <c r="O3132" s="1085"/>
    </row>
    <row r="3133" spans="1:15" ht="15" customHeight="1">
      <c r="A3133" s="1056" t="s">
        <v>361</v>
      </c>
      <c r="B3133" s="1057" t="s">
        <v>2663</v>
      </c>
      <c r="C3133" s="1058" t="e">
        <f>VLOOKUP(B3131,'LƯƠNG KT'!$D$15:$R$94,15,0)</f>
        <v>#N/A</v>
      </c>
      <c r="D3133" s="1059" t="e">
        <f>C3133*$L$4</f>
        <v>#N/A</v>
      </c>
      <c r="E3133" s="1061"/>
      <c r="F3133" s="1061"/>
      <c r="G3133" s="1056" t="s">
        <v>361</v>
      </c>
      <c r="H3133" s="1057" t="s">
        <v>2663</v>
      </c>
      <c r="I3133" s="1058" t="e">
        <f>VLOOKUP(H3131,'LƯƠNG KT'!$D$15:$R$94,15,0)</f>
        <v>#N/A</v>
      </c>
      <c r="J3133" s="1059" t="e">
        <f>I3133*$L$4</f>
        <v>#N/A</v>
      </c>
      <c r="K3133" s="1085"/>
      <c r="L3133" s="1085"/>
      <c r="M3133" s="1085"/>
      <c r="N3133" s="1085"/>
      <c r="O3133" s="1085"/>
    </row>
    <row r="3134" spans="1:15" ht="15" customHeight="1">
      <c r="A3134" s="1056" t="s">
        <v>364</v>
      </c>
      <c r="B3134" s="1057" t="s">
        <v>2664</v>
      </c>
      <c r="C3134" s="1058" t="e">
        <f>VLOOKUP(B3131,'LƯƠNG KT'!$D$15:$R$94,16,0)</f>
        <v>#N/A</v>
      </c>
      <c r="D3134" s="1059" t="e">
        <f>C3134*$L$5</f>
        <v>#N/A</v>
      </c>
      <c r="E3134" s="1061"/>
      <c r="F3134" s="1061"/>
      <c r="G3134" s="1056" t="s">
        <v>364</v>
      </c>
      <c r="H3134" s="1057" t="s">
        <v>2664</v>
      </c>
      <c r="I3134" s="1058" t="e">
        <f>VLOOKUP(H3131,'LƯƠNG KT'!$D$15:$R$94,16,0)</f>
        <v>#N/A</v>
      </c>
      <c r="J3134" s="1059" t="e">
        <f>I3134*$L$5</f>
        <v>#N/A</v>
      </c>
      <c r="K3134" s="1085"/>
      <c r="L3134" s="1085"/>
      <c r="M3134" s="1085"/>
      <c r="N3134" s="1085"/>
      <c r="O3134" s="1085"/>
    </row>
    <row r="3135" spans="1:15" ht="15" customHeight="1">
      <c r="A3135" s="1056" t="s">
        <v>370</v>
      </c>
      <c r="B3135" s="1057" t="s">
        <v>2665</v>
      </c>
      <c r="C3135" s="1058" t="e">
        <f>VLOOKUP(B3131,'LƯƠNG KT'!$D$15:$R$94,24,0)</f>
        <v>#N/A</v>
      </c>
      <c r="D3135" s="1059" t="e">
        <f>+C3135*$L$6</f>
        <v>#N/A</v>
      </c>
      <c r="E3135" s="1061"/>
      <c r="F3135" s="1061"/>
      <c r="G3135" s="1056" t="s">
        <v>370</v>
      </c>
      <c r="H3135" s="1057" t="s">
        <v>2665</v>
      </c>
      <c r="I3135" s="1058" t="e">
        <f>VLOOKUP(H3131,'LƯƠNG KT'!$D$15:$R$94,24,0)</f>
        <v>#N/A</v>
      </c>
      <c r="J3135" s="1059" t="e">
        <f>+I3135*$L$6</f>
        <v>#N/A</v>
      </c>
      <c r="K3135" s="1085"/>
      <c r="L3135" s="1085"/>
      <c r="M3135" s="1085"/>
      <c r="N3135" s="1085"/>
      <c r="O3135" s="1085"/>
    </row>
    <row r="3136" spans="1:15" ht="15" customHeight="1">
      <c r="A3136" s="1056" t="s">
        <v>2666</v>
      </c>
      <c r="B3136" s="1057" t="s">
        <v>2667</v>
      </c>
      <c r="C3136" s="1058" t="e">
        <f>VLOOKUP(B3131,'LƯƠNG KT'!$D$15:$R$94,19,0)</f>
        <v>#N/A</v>
      </c>
      <c r="D3136" s="1059" t="e">
        <f>+C3136*$L$8</f>
        <v>#N/A</v>
      </c>
      <c r="E3136" s="1061"/>
      <c r="F3136" s="1061"/>
      <c r="G3136" s="1056" t="s">
        <v>2666</v>
      </c>
      <c r="H3136" s="1057" t="s">
        <v>2667</v>
      </c>
      <c r="I3136" s="1058" t="e">
        <f>VLOOKUP(H3131,'LƯƠNG KT'!$D$15:$R$94,19,0)</f>
        <v>#N/A</v>
      </c>
      <c r="J3136" s="1059" t="e">
        <f>+I3136*$L$8</f>
        <v>#N/A</v>
      </c>
      <c r="K3136" s="1085"/>
      <c r="L3136" s="1085"/>
      <c r="M3136" s="1085"/>
      <c r="N3136" s="1085"/>
      <c r="O3136" s="1085"/>
    </row>
    <row r="3137" spans="1:15" ht="15" customHeight="1">
      <c r="A3137" s="1056" t="s">
        <v>2668</v>
      </c>
      <c r="B3137" s="1062" t="s">
        <v>2669</v>
      </c>
      <c r="C3137" s="1058" t="e">
        <f>VLOOKUP(B3131,'LƯƠNG KT'!$D$15:$R$94,20,0)</f>
        <v>#N/A</v>
      </c>
      <c r="D3137" s="1059" t="e">
        <f>+C3137*$L$9</f>
        <v>#N/A</v>
      </c>
      <c r="E3137" s="1061"/>
      <c r="F3137" s="1061"/>
      <c r="G3137" s="1056" t="s">
        <v>2668</v>
      </c>
      <c r="H3137" s="1062" t="s">
        <v>2669</v>
      </c>
      <c r="I3137" s="1058" t="e">
        <f>VLOOKUP(H3131,'LƯƠNG KT'!$D$15:$R$94,20,0)</f>
        <v>#N/A</v>
      </c>
      <c r="J3137" s="1059" t="e">
        <f>+I3137*$L$9</f>
        <v>#N/A</v>
      </c>
      <c r="K3137" s="1085"/>
      <c r="L3137" s="1085"/>
      <c r="M3137" s="1085"/>
      <c r="N3137" s="1085"/>
      <c r="O3137" s="1085"/>
    </row>
    <row r="3138" spans="1:15" ht="15" customHeight="1">
      <c r="A3138" s="1056" t="s">
        <v>2671</v>
      </c>
      <c r="B3138" s="1057" t="s">
        <v>2672</v>
      </c>
      <c r="C3138" s="1058" t="e">
        <f>VLOOKUP(B3131,'LƯƠNG KT'!$D$15:$R$94,17,0)</f>
        <v>#N/A</v>
      </c>
      <c r="D3138" s="1059" t="e">
        <f>+C3138*$L$10</f>
        <v>#N/A</v>
      </c>
      <c r="E3138" s="1061"/>
      <c r="F3138" s="1061"/>
      <c r="G3138" s="1056" t="s">
        <v>2671</v>
      </c>
      <c r="H3138" s="1057" t="s">
        <v>2672</v>
      </c>
      <c r="I3138" s="1058" t="e">
        <f>VLOOKUP(H3131,'LƯƠNG KT'!$D$15:$R$94,17,0)</f>
        <v>#N/A</v>
      </c>
      <c r="J3138" s="1059" t="e">
        <f>+I3138*$L$10</f>
        <v>#N/A</v>
      </c>
      <c r="K3138" s="1085"/>
      <c r="L3138" s="1085"/>
      <c r="M3138" s="1085"/>
      <c r="N3138" s="1085"/>
      <c r="O3138" s="1085"/>
    </row>
    <row r="3139" spans="1:15" ht="15" customHeight="1">
      <c r="A3139" s="1056" t="s">
        <v>374</v>
      </c>
      <c r="B3139" s="1057" t="s">
        <v>2674</v>
      </c>
      <c r="C3139" s="1058" t="e">
        <f>VLOOKUP(B3131,'LƯƠNG KT'!$D$15:$R$94,12,0)</f>
        <v>#N/A</v>
      </c>
      <c r="D3139" s="1059" t="e">
        <f>VLOOKUP(B3131,'LƯƠNG KT'!$D$15:$R$94,14,0)</f>
        <v>#N/A</v>
      </c>
      <c r="E3139" s="1063"/>
      <c r="F3139" s="1061"/>
      <c r="G3139" s="1056" t="s">
        <v>374</v>
      </c>
      <c r="H3139" s="1057" t="s">
        <v>2674</v>
      </c>
      <c r="I3139" s="1058" t="e">
        <f>VLOOKUP(H3131,'LƯƠNG KT'!$D$15:$R$94,12,0)</f>
        <v>#N/A</v>
      </c>
      <c r="J3139" s="1059" t="e">
        <f>VLOOKUP(H3131,'LƯƠNG KT'!$D$15:$R$94,14,0)</f>
        <v>#N/A</v>
      </c>
      <c r="K3139" s="1085"/>
      <c r="L3139" s="1085"/>
      <c r="M3139" s="1085"/>
      <c r="N3139" s="1085"/>
      <c r="O3139" s="1085"/>
    </row>
    <row r="3140" spans="1:15" ht="15" customHeight="1">
      <c r="A3140" s="1056" t="s">
        <v>2675</v>
      </c>
      <c r="B3140" s="1057" t="s">
        <v>2676</v>
      </c>
      <c r="D3140" s="1064" t="e">
        <f>VLOOKUP(B3131,'LƯƠNG KT'!$D$15:$R$94,13,0)</f>
        <v>#N/A</v>
      </c>
      <c r="E3140" s="1065"/>
      <c r="F3140" s="1065"/>
      <c r="G3140" s="1056" t="s">
        <v>2675</v>
      </c>
      <c r="H3140" s="1057" t="s">
        <v>2676</v>
      </c>
      <c r="J3140" s="1064" t="e">
        <f>VLOOKUP(H3131,'LƯƠNG KT'!$D$15:$R$94,13,0)</f>
        <v>#N/A</v>
      </c>
    </row>
    <row r="3141" spans="1:15" ht="15" customHeight="1">
      <c r="A3141" s="1066"/>
      <c r="B3141" s="869"/>
      <c r="C3141" s="1058"/>
      <c r="D3141" s="1059"/>
      <c r="E3141" s="1063"/>
      <c r="F3141" s="1065"/>
      <c r="G3141" s="1066"/>
      <c r="H3141" s="869"/>
      <c r="I3141" s="1058"/>
      <c r="J3141" s="1059"/>
    </row>
    <row r="3142" spans="1:15" ht="15" customHeight="1">
      <c r="A3142" s="1052"/>
      <c r="B3142" s="869"/>
      <c r="C3142" s="1058"/>
      <c r="D3142" s="1059"/>
      <c r="E3142" s="1067"/>
      <c r="F3142" s="1051"/>
      <c r="G3142" s="1052"/>
      <c r="H3142" s="869"/>
      <c r="I3142" s="1058"/>
      <c r="J3142" s="1059"/>
    </row>
    <row r="3143" spans="1:15" ht="15" customHeight="1">
      <c r="A3143" s="1068" t="s">
        <v>383</v>
      </c>
      <c r="B3143" s="1069" t="s">
        <v>384</v>
      </c>
      <c r="C3143" s="1070"/>
      <c r="D3143" s="1071" t="e">
        <f>SUM(D3132:D3139)-D3142</f>
        <v>#N/A</v>
      </c>
      <c r="E3143" s="1072"/>
      <c r="F3143" s="1073"/>
      <c r="G3143" s="1068" t="s">
        <v>383</v>
      </c>
      <c r="H3143" s="1069" t="s">
        <v>384</v>
      </c>
      <c r="I3143" s="1070"/>
      <c r="J3143" s="1071" t="e">
        <f>SUM(J3132:J3139)-J3142</f>
        <v>#N/A</v>
      </c>
    </row>
    <row r="3144" spans="1:15" ht="18.75" customHeight="1">
      <c r="A3144" s="1074"/>
      <c r="B3144" s="1075"/>
      <c r="C3144" s="1076"/>
      <c r="D3144" s="1077"/>
      <c r="E3144" s="1077"/>
      <c r="F3144" s="1078"/>
      <c r="G3144" s="1074"/>
      <c r="H3144" s="1075"/>
      <c r="I3144" s="1076"/>
      <c r="J3144" s="1077"/>
    </row>
    <row r="3145" spans="1:15" ht="18.75" customHeight="1">
      <c r="A3145" s="1075"/>
      <c r="B3145" s="1075"/>
      <c r="C3145" s="1079"/>
      <c r="D3145" s="1080"/>
      <c r="E3145" s="1075"/>
      <c r="F3145" s="1081"/>
      <c r="G3145" s="1075"/>
      <c r="H3145" s="1075"/>
      <c r="I3145" s="1079"/>
      <c r="J3145" s="1080"/>
    </row>
    <row r="3146" spans="1:15" ht="15" customHeight="1">
      <c r="A3146" s="2242" t="str">
        <f>$K$2</f>
        <v>THÁNG 04/2025</v>
      </c>
      <c r="B3146" s="2242"/>
      <c r="C3146" s="2242"/>
      <c r="D3146" s="2242"/>
      <c r="E3146" s="1050"/>
      <c r="F3146" s="1051"/>
      <c r="G3146" s="2242" t="str">
        <f>$K$2</f>
        <v>THÁNG 04/2025</v>
      </c>
      <c r="H3146" s="2242"/>
      <c r="I3146" s="2242"/>
      <c r="J3146" s="2242"/>
      <c r="K3146" s="624"/>
    </row>
    <row r="3147" spans="1:15" ht="15" customHeight="1">
      <c r="A3147" s="1052" t="s">
        <v>356</v>
      </c>
      <c r="B3147" s="1053" t="s">
        <v>266</v>
      </c>
      <c r="C3147" s="869"/>
      <c r="D3147" s="1049"/>
      <c r="E3147" s="1054"/>
      <c r="F3147" s="1055"/>
      <c r="G3147" s="1052" t="s">
        <v>356</v>
      </c>
      <c r="H3147" s="1053" t="s">
        <v>267</v>
      </c>
      <c r="I3147" s="869"/>
      <c r="J3147" s="1049"/>
      <c r="L3147" s="1088"/>
      <c r="M3147" s="1088"/>
      <c r="N3147" s="1088"/>
      <c r="O3147" s="1088"/>
    </row>
    <row r="3148" spans="1:15" ht="15" customHeight="1">
      <c r="A3148" s="1056" t="s">
        <v>359</v>
      </c>
      <c r="B3148" s="1057" t="s">
        <v>2662</v>
      </c>
      <c r="C3148" s="1058" t="e">
        <f>VLOOKUP(B3147,'LƯƠNG KT'!$D$15:$R$94,4,0)</f>
        <v>#N/A</v>
      </c>
      <c r="D3148" s="1059" t="e">
        <f>+C3148*25000</f>
        <v>#N/A</v>
      </c>
      <c r="E3148" s="1060"/>
      <c r="F3148" s="1060"/>
      <c r="G3148" s="1056" t="s">
        <v>359</v>
      </c>
      <c r="H3148" s="1057" t="s">
        <v>2662</v>
      </c>
      <c r="I3148" s="1058" t="e">
        <f>VLOOKUP(H3147,'LƯƠNG KT'!$D$15:$R$94,4,0)</f>
        <v>#N/A</v>
      </c>
      <c r="J3148" s="1059" t="e">
        <f>+I3148*25000</f>
        <v>#N/A</v>
      </c>
      <c r="K3148" s="1085"/>
      <c r="L3148" s="1085"/>
      <c r="M3148" s="1085"/>
      <c r="N3148" s="1085"/>
      <c r="O3148" s="1085"/>
    </row>
    <row r="3149" spans="1:15" ht="15" customHeight="1">
      <c r="A3149" s="1056" t="s">
        <v>361</v>
      </c>
      <c r="B3149" s="1057" t="s">
        <v>2663</v>
      </c>
      <c r="C3149" s="1058" t="e">
        <f>VLOOKUP(B3147,'LƯƠNG KT'!$D$15:$R$94,15,0)</f>
        <v>#N/A</v>
      </c>
      <c r="D3149" s="1059" t="e">
        <f>C3149*$L$4</f>
        <v>#N/A</v>
      </c>
      <c r="E3149" s="1061"/>
      <c r="F3149" s="1061"/>
      <c r="G3149" s="1056" t="s">
        <v>361</v>
      </c>
      <c r="H3149" s="1057" t="s">
        <v>2663</v>
      </c>
      <c r="I3149" s="1058" t="e">
        <f>VLOOKUP(H3147,'LƯƠNG KT'!$D$15:$R$94,15,0)</f>
        <v>#N/A</v>
      </c>
      <c r="J3149" s="1059" t="e">
        <f>I3149*$L$4</f>
        <v>#N/A</v>
      </c>
      <c r="K3149" s="1085"/>
      <c r="L3149" s="1085"/>
      <c r="M3149" s="1085"/>
      <c r="N3149" s="1085"/>
      <c r="O3149" s="1085"/>
    </row>
    <row r="3150" spans="1:15" ht="15" customHeight="1">
      <c r="A3150" s="1056" t="s">
        <v>364</v>
      </c>
      <c r="B3150" s="1057" t="s">
        <v>2664</v>
      </c>
      <c r="C3150" s="1058" t="e">
        <f>VLOOKUP(B3147,'LƯƠNG KT'!$D$15:$R$94,16,0)</f>
        <v>#N/A</v>
      </c>
      <c r="D3150" s="1059" t="e">
        <f>C3150*$L$5</f>
        <v>#N/A</v>
      </c>
      <c r="E3150" s="1061"/>
      <c r="F3150" s="1061"/>
      <c r="G3150" s="1056" t="s">
        <v>364</v>
      </c>
      <c r="H3150" s="1057" t="s">
        <v>2664</v>
      </c>
      <c r="I3150" s="1058" t="e">
        <f>VLOOKUP(H3147,'LƯƠNG KT'!$D$15:$R$94,16,0)</f>
        <v>#N/A</v>
      </c>
      <c r="J3150" s="1059" t="e">
        <f>I3150*$L$5</f>
        <v>#N/A</v>
      </c>
      <c r="K3150" s="1085"/>
      <c r="L3150" s="1085"/>
      <c r="M3150" s="1085"/>
      <c r="N3150" s="1085"/>
      <c r="O3150" s="1085"/>
    </row>
    <row r="3151" spans="1:15" ht="15" customHeight="1">
      <c r="A3151" s="1056" t="s">
        <v>370</v>
      </c>
      <c r="B3151" s="1057" t="s">
        <v>2665</v>
      </c>
      <c r="C3151" s="1058" t="e">
        <f>VLOOKUP(B3147,'LƯƠNG KT'!$D$15:$R$94,24,0)</f>
        <v>#N/A</v>
      </c>
      <c r="D3151" s="1059" t="e">
        <f>+C3151*$L$6</f>
        <v>#N/A</v>
      </c>
      <c r="E3151" s="1061"/>
      <c r="F3151" s="1061"/>
      <c r="G3151" s="1056" t="s">
        <v>370</v>
      </c>
      <c r="H3151" s="1057" t="s">
        <v>2665</v>
      </c>
      <c r="I3151" s="1058" t="e">
        <f>VLOOKUP(H3147,'LƯƠNG KT'!$D$15:$R$94,24,0)</f>
        <v>#N/A</v>
      </c>
      <c r="J3151" s="1059" t="e">
        <f>+I3151*$L$6</f>
        <v>#N/A</v>
      </c>
      <c r="K3151" s="1085"/>
      <c r="L3151" s="1085"/>
      <c r="M3151" s="1085"/>
      <c r="N3151" s="1085"/>
      <c r="O3151" s="1085"/>
    </row>
    <row r="3152" spans="1:15" ht="15" customHeight="1">
      <c r="A3152" s="1056" t="s">
        <v>2666</v>
      </c>
      <c r="B3152" s="1057" t="s">
        <v>2667</v>
      </c>
      <c r="C3152" s="1058" t="e">
        <f>VLOOKUP(B3147,'LƯƠNG KT'!$D$15:$R$94,19,0)</f>
        <v>#N/A</v>
      </c>
      <c r="D3152" s="1059" t="e">
        <f>+C3152*$L$8</f>
        <v>#N/A</v>
      </c>
      <c r="E3152" s="1061"/>
      <c r="F3152" s="1061"/>
      <c r="G3152" s="1056" t="s">
        <v>2666</v>
      </c>
      <c r="H3152" s="1057" t="s">
        <v>2667</v>
      </c>
      <c r="I3152" s="1058" t="e">
        <f>VLOOKUP(H3147,'LƯƠNG KT'!$D$15:$R$94,19,0)</f>
        <v>#N/A</v>
      </c>
      <c r="J3152" s="1059" t="e">
        <f>+I3152*$L$8</f>
        <v>#N/A</v>
      </c>
      <c r="K3152" s="1085"/>
      <c r="L3152" s="1085"/>
      <c r="M3152" s="1085"/>
      <c r="N3152" s="1085"/>
      <c r="O3152" s="1085"/>
    </row>
    <row r="3153" spans="1:15" ht="15" customHeight="1">
      <c r="A3153" s="1056" t="s">
        <v>2668</v>
      </c>
      <c r="B3153" s="1062" t="s">
        <v>2669</v>
      </c>
      <c r="C3153" s="1058" t="e">
        <f>VLOOKUP(B3147,'LƯƠNG KT'!$D$15:$R$94,20,0)</f>
        <v>#N/A</v>
      </c>
      <c r="D3153" s="1059" t="e">
        <f>+C3153*$L$9</f>
        <v>#N/A</v>
      </c>
      <c r="E3153" s="1061"/>
      <c r="F3153" s="1061"/>
      <c r="G3153" s="1056" t="s">
        <v>2668</v>
      </c>
      <c r="H3153" s="1062" t="s">
        <v>2669</v>
      </c>
      <c r="I3153" s="1058" t="e">
        <f>VLOOKUP(H3147,'LƯƠNG KT'!$D$15:$R$94,20,0)</f>
        <v>#N/A</v>
      </c>
      <c r="J3153" s="1059" t="e">
        <f>+I3153*$L$9</f>
        <v>#N/A</v>
      </c>
      <c r="K3153" s="1085"/>
      <c r="L3153" s="1085"/>
      <c r="M3153" s="1085"/>
      <c r="N3153" s="1085"/>
      <c r="O3153" s="1085"/>
    </row>
    <row r="3154" spans="1:15" ht="15" customHeight="1">
      <c r="A3154" s="1056" t="s">
        <v>2671</v>
      </c>
      <c r="B3154" s="1057" t="s">
        <v>2672</v>
      </c>
      <c r="C3154" s="1058" t="e">
        <f>VLOOKUP(B3147,'LƯƠNG KT'!$D$15:$R$94,17,0)</f>
        <v>#N/A</v>
      </c>
      <c r="D3154" s="1059" t="e">
        <f>+C3154*$L$10</f>
        <v>#N/A</v>
      </c>
      <c r="E3154" s="1061"/>
      <c r="F3154" s="1061"/>
      <c r="G3154" s="1056" t="s">
        <v>2671</v>
      </c>
      <c r="H3154" s="1057" t="s">
        <v>2672</v>
      </c>
      <c r="I3154" s="1058" t="e">
        <f>VLOOKUP(H3147,'LƯƠNG KT'!$D$15:$R$94,17,0)</f>
        <v>#N/A</v>
      </c>
      <c r="J3154" s="1059" t="e">
        <f>+I3154*$L$10</f>
        <v>#N/A</v>
      </c>
      <c r="K3154" s="1085"/>
      <c r="L3154" s="1085"/>
      <c r="M3154" s="1085"/>
      <c r="N3154" s="1085"/>
      <c r="O3154" s="1085"/>
    </row>
    <row r="3155" spans="1:15" ht="15" customHeight="1">
      <c r="A3155" s="1056" t="s">
        <v>374</v>
      </c>
      <c r="B3155" s="1057" t="s">
        <v>2674</v>
      </c>
      <c r="C3155" s="1058" t="e">
        <f>VLOOKUP(B3147,'LƯƠNG KT'!$D$15:$R$94,12,0)</f>
        <v>#N/A</v>
      </c>
      <c r="D3155" s="1059" t="e">
        <f>VLOOKUP(B3147,'LƯƠNG KT'!$D$15:$R$94,14,0)</f>
        <v>#N/A</v>
      </c>
      <c r="E3155" s="1063"/>
      <c r="F3155" s="1061"/>
      <c r="G3155" s="1056" t="s">
        <v>374</v>
      </c>
      <c r="H3155" s="1057" t="s">
        <v>2674</v>
      </c>
      <c r="I3155" s="1058" t="e">
        <f>VLOOKUP(H3147,'LƯƠNG KT'!$D$15:$R$94,12,0)</f>
        <v>#N/A</v>
      </c>
      <c r="J3155" s="1059" t="e">
        <f>VLOOKUP(H3147,'LƯƠNG KT'!$D$15:$R$94,14,0)</f>
        <v>#N/A</v>
      </c>
      <c r="K3155" s="1085"/>
      <c r="L3155" s="1085"/>
      <c r="M3155" s="1085"/>
      <c r="N3155" s="1085"/>
      <c r="O3155" s="1085"/>
    </row>
    <row r="3156" spans="1:15" ht="15" customHeight="1">
      <c r="A3156" s="1056" t="s">
        <v>2675</v>
      </c>
      <c r="B3156" s="1057" t="s">
        <v>2676</v>
      </c>
      <c r="D3156" s="1064" t="e">
        <f>VLOOKUP(B3147,'LƯƠNG KT'!$D$15:$R$94,13,0)</f>
        <v>#N/A</v>
      </c>
      <c r="E3156" s="1065"/>
      <c r="F3156" s="1065"/>
      <c r="G3156" s="1056" t="s">
        <v>2675</v>
      </c>
      <c r="H3156" s="1057" t="s">
        <v>2676</v>
      </c>
      <c r="J3156" s="1064" t="e">
        <f>VLOOKUP(H3147,'LƯƠNG KT'!$D$15:$R$94,13,0)</f>
        <v>#N/A</v>
      </c>
    </row>
    <row r="3157" spans="1:15" ht="15" customHeight="1">
      <c r="A3157" s="1066"/>
      <c r="B3157" s="869"/>
      <c r="C3157" s="1058"/>
      <c r="D3157" s="1059"/>
      <c r="E3157" s="1063"/>
      <c r="F3157" s="1065"/>
      <c r="G3157" s="1066"/>
      <c r="H3157" s="869"/>
      <c r="I3157" s="1058"/>
      <c r="J3157" s="1059"/>
    </row>
    <row r="3158" spans="1:15" ht="15" customHeight="1">
      <c r="A3158" s="1052"/>
      <c r="B3158" s="869"/>
      <c r="C3158" s="1058"/>
      <c r="D3158" s="1059"/>
      <c r="E3158" s="1067"/>
      <c r="F3158" s="1051"/>
      <c r="G3158" s="1052"/>
      <c r="H3158" s="869"/>
      <c r="I3158" s="1058"/>
      <c r="J3158" s="1059"/>
    </row>
    <row r="3159" spans="1:15" ht="15" customHeight="1">
      <c r="A3159" s="1068" t="s">
        <v>383</v>
      </c>
      <c r="B3159" s="1069" t="s">
        <v>384</v>
      </c>
      <c r="C3159" s="1070"/>
      <c r="D3159" s="1071" t="e">
        <f>SUM(D3148:D3155)-D3158</f>
        <v>#N/A</v>
      </c>
      <c r="E3159" s="1072"/>
      <c r="F3159" s="1073"/>
      <c r="G3159" s="1068" t="s">
        <v>383</v>
      </c>
      <c r="H3159" s="1069" t="s">
        <v>384</v>
      </c>
      <c r="I3159" s="1070"/>
      <c r="J3159" s="1071" t="e">
        <f>SUM(J3148:J3155)-J3158</f>
        <v>#N/A</v>
      </c>
    </row>
    <row r="3160" spans="1:15" ht="18.75" customHeight="1">
      <c r="A3160" s="1074"/>
      <c r="B3160" s="1075"/>
      <c r="C3160" s="1076"/>
      <c r="D3160" s="1077"/>
      <c r="E3160" s="1077"/>
      <c r="F3160" s="1078"/>
      <c r="G3160" s="1074"/>
      <c r="H3160" s="1075"/>
      <c r="I3160" s="1076"/>
      <c r="J3160" s="1077"/>
    </row>
    <row r="3161" spans="1:15" ht="120.75" customHeight="1">
      <c r="A3161" s="1075"/>
      <c r="B3161" s="1075"/>
      <c r="C3161" s="1079"/>
      <c r="D3161" s="1080"/>
      <c r="E3161" s="1075"/>
      <c r="F3161" s="1081"/>
      <c r="G3161" s="1075"/>
      <c r="H3161" s="1075"/>
      <c r="I3161" s="1079"/>
      <c r="J3161" s="1080"/>
    </row>
    <row r="3162" spans="1:15" ht="15" customHeight="1">
      <c r="A3162" s="2242" t="str">
        <f>$K$2</f>
        <v>THÁNG 04/2025</v>
      </c>
      <c r="B3162" s="2242"/>
      <c r="C3162" s="2242"/>
      <c r="D3162" s="2242"/>
      <c r="E3162" s="1050"/>
      <c r="F3162" s="1051"/>
      <c r="G3162" s="2242" t="str">
        <f>$K$2</f>
        <v>THÁNG 04/2025</v>
      </c>
      <c r="H3162" s="2242"/>
      <c r="I3162" s="2242"/>
      <c r="J3162" s="2242"/>
      <c r="K3162" s="624"/>
    </row>
    <row r="3163" spans="1:15" ht="15" customHeight="1">
      <c r="A3163" s="1052" t="s">
        <v>356</v>
      </c>
      <c r="B3163" s="1053" t="s">
        <v>268</v>
      </c>
      <c r="C3163" s="869"/>
      <c r="D3163" s="1049"/>
      <c r="E3163" s="1054"/>
      <c r="F3163" s="1055"/>
      <c r="G3163" s="1052" t="s">
        <v>356</v>
      </c>
      <c r="H3163" s="1053" t="s">
        <v>269</v>
      </c>
      <c r="I3163" s="869"/>
      <c r="J3163" s="1049"/>
      <c r="L3163" s="1088"/>
      <c r="M3163" s="1088"/>
      <c r="N3163" s="1088"/>
      <c r="O3163" s="1088"/>
    </row>
    <row r="3164" spans="1:15" ht="15" customHeight="1">
      <c r="A3164" s="1056" t="s">
        <v>359</v>
      </c>
      <c r="B3164" s="1057" t="s">
        <v>2662</v>
      </c>
      <c r="C3164" s="1058" t="e">
        <f>VLOOKUP(B3163,'LƯƠNG KT'!$D$15:$R$94,4,0)</f>
        <v>#N/A</v>
      </c>
      <c r="D3164" s="1059" t="e">
        <f>+C3164*25000</f>
        <v>#N/A</v>
      </c>
      <c r="E3164" s="1060"/>
      <c r="F3164" s="1060"/>
      <c r="G3164" s="1056" t="s">
        <v>359</v>
      </c>
      <c r="H3164" s="1057" t="s">
        <v>2662</v>
      </c>
      <c r="I3164" s="1058" t="e">
        <f>VLOOKUP(H3163,'LƯƠNG KT'!$D$15:$R$94,4,0)</f>
        <v>#N/A</v>
      </c>
      <c r="J3164" s="1059" t="e">
        <f>+I3164*25000</f>
        <v>#N/A</v>
      </c>
      <c r="K3164" s="1085"/>
      <c r="L3164" s="1085"/>
      <c r="M3164" s="1085"/>
      <c r="N3164" s="1085"/>
      <c r="O3164" s="1085"/>
    </row>
    <row r="3165" spans="1:15" ht="15" customHeight="1">
      <c r="A3165" s="1056" t="s">
        <v>361</v>
      </c>
      <c r="B3165" s="1057" t="s">
        <v>2663</v>
      </c>
      <c r="C3165" s="1058" t="e">
        <f>VLOOKUP(B3163,'LƯƠNG KT'!$D$15:$R$94,15,0)</f>
        <v>#N/A</v>
      </c>
      <c r="D3165" s="1059" t="e">
        <f>C3165*$L$4</f>
        <v>#N/A</v>
      </c>
      <c r="E3165" s="1061"/>
      <c r="F3165" s="1061"/>
      <c r="G3165" s="1056" t="s">
        <v>361</v>
      </c>
      <c r="H3165" s="1057" t="s">
        <v>2663</v>
      </c>
      <c r="I3165" s="1058" t="e">
        <f>VLOOKUP(H3163,'LƯƠNG KT'!$D$15:$R$94,15,0)</f>
        <v>#N/A</v>
      </c>
      <c r="J3165" s="1059" t="e">
        <f>I3165*$L$4</f>
        <v>#N/A</v>
      </c>
      <c r="K3165" s="1085"/>
      <c r="L3165" s="1085"/>
      <c r="M3165" s="1085"/>
      <c r="N3165" s="1085"/>
      <c r="O3165" s="1085"/>
    </row>
    <row r="3166" spans="1:15" ht="15" customHeight="1">
      <c r="A3166" s="1056" t="s">
        <v>364</v>
      </c>
      <c r="B3166" s="1057" t="s">
        <v>2664</v>
      </c>
      <c r="C3166" s="1058" t="e">
        <f>VLOOKUP(B3163,'LƯƠNG KT'!$D$15:$R$94,16,0)</f>
        <v>#N/A</v>
      </c>
      <c r="D3166" s="1059" t="e">
        <f>C3166*$L$5</f>
        <v>#N/A</v>
      </c>
      <c r="E3166" s="1061"/>
      <c r="F3166" s="1061"/>
      <c r="G3166" s="1056" t="s">
        <v>364</v>
      </c>
      <c r="H3166" s="1057" t="s">
        <v>2664</v>
      </c>
      <c r="I3166" s="1058" t="e">
        <f>VLOOKUP(H3163,'LƯƠNG KT'!$D$15:$R$94,16,0)</f>
        <v>#N/A</v>
      </c>
      <c r="J3166" s="1059" t="e">
        <f>I3166*$L$5</f>
        <v>#N/A</v>
      </c>
      <c r="K3166" s="1085"/>
      <c r="L3166" s="1085"/>
      <c r="M3166" s="1085"/>
      <c r="N3166" s="1085"/>
      <c r="O3166" s="1085"/>
    </row>
    <row r="3167" spans="1:15" ht="15" customHeight="1">
      <c r="A3167" s="1056" t="s">
        <v>370</v>
      </c>
      <c r="B3167" s="1057" t="s">
        <v>2665</v>
      </c>
      <c r="C3167" s="1058" t="e">
        <f>VLOOKUP(B3163,'LƯƠNG KT'!$D$15:$R$94,24,0)</f>
        <v>#N/A</v>
      </c>
      <c r="D3167" s="1059" t="e">
        <f>+C3167*$L$6</f>
        <v>#N/A</v>
      </c>
      <c r="E3167" s="1061"/>
      <c r="F3167" s="1061"/>
      <c r="G3167" s="1056" t="s">
        <v>370</v>
      </c>
      <c r="H3167" s="1057" t="s">
        <v>2665</v>
      </c>
      <c r="I3167" s="1058" t="e">
        <f>VLOOKUP(H3163,'LƯƠNG KT'!$D$15:$R$94,24,0)</f>
        <v>#N/A</v>
      </c>
      <c r="J3167" s="1059" t="e">
        <f>+I3167*$L$6</f>
        <v>#N/A</v>
      </c>
      <c r="K3167" s="1085"/>
      <c r="L3167" s="1085"/>
      <c r="M3167" s="1085"/>
      <c r="N3167" s="1085"/>
      <c r="O3167" s="1085"/>
    </row>
    <row r="3168" spans="1:15" ht="15" customHeight="1">
      <c r="A3168" s="1056" t="s">
        <v>2666</v>
      </c>
      <c r="B3168" s="1057" t="s">
        <v>2667</v>
      </c>
      <c r="C3168" s="1058" t="e">
        <f>VLOOKUP(B3163,'LƯƠNG KT'!$D$15:$R$94,19,0)</f>
        <v>#N/A</v>
      </c>
      <c r="D3168" s="1059" t="e">
        <f>+C3168*$L$8</f>
        <v>#N/A</v>
      </c>
      <c r="E3168" s="1061"/>
      <c r="F3168" s="1061"/>
      <c r="G3168" s="1056" t="s">
        <v>2666</v>
      </c>
      <c r="H3168" s="1057" t="s">
        <v>2667</v>
      </c>
      <c r="I3168" s="1058" t="e">
        <f>VLOOKUP(H3163,'LƯƠNG KT'!$D$15:$R$94,19,0)</f>
        <v>#N/A</v>
      </c>
      <c r="J3168" s="1059" t="e">
        <f>+I3168*$L$8</f>
        <v>#N/A</v>
      </c>
      <c r="K3168" s="1085"/>
      <c r="L3168" s="1085"/>
      <c r="M3168" s="1085"/>
      <c r="N3168" s="1085"/>
      <c r="O3168" s="1085"/>
    </row>
    <row r="3169" spans="1:15" ht="15" customHeight="1">
      <c r="A3169" s="1056" t="s">
        <v>2668</v>
      </c>
      <c r="B3169" s="1062" t="s">
        <v>2669</v>
      </c>
      <c r="C3169" s="1058" t="e">
        <f>VLOOKUP(B3163,'LƯƠNG KT'!$D$15:$R$94,20,0)</f>
        <v>#N/A</v>
      </c>
      <c r="D3169" s="1059" t="e">
        <f>+C3169*$L$9</f>
        <v>#N/A</v>
      </c>
      <c r="E3169" s="1061"/>
      <c r="F3169" s="1061"/>
      <c r="G3169" s="1056" t="s">
        <v>2668</v>
      </c>
      <c r="H3169" s="1062" t="s">
        <v>2669</v>
      </c>
      <c r="I3169" s="1058" t="e">
        <f>VLOOKUP(H3163,'LƯƠNG KT'!$D$15:$R$94,20,0)</f>
        <v>#N/A</v>
      </c>
      <c r="J3169" s="1059" t="e">
        <f>+I3169*$L$9</f>
        <v>#N/A</v>
      </c>
      <c r="K3169" s="1085"/>
      <c r="L3169" s="1085"/>
      <c r="M3169" s="1085"/>
      <c r="N3169" s="1085"/>
      <c r="O3169" s="1085"/>
    </row>
    <row r="3170" spans="1:15" ht="15" customHeight="1">
      <c r="A3170" s="1056" t="s">
        <v>2671</v>
      </c>
      <c r="B3170" s="1057" t="s">
        <v>2672</v>
      </c>
      <c r="C3170" s="1058" t="e">
        <f>VLOOKUP(B3163,'LƯƠNG KT'!$D$15:$R$94,17,0)</f>
        <v>#N/A</v>
      </c>
      <c r="D3170" s="1059" t="e">
        <f>+C3170*$L$10</f>
        <v>#N/A</v>
      </c>
      <c r="E3170" s="1061"/>
      <c r="F3170" s="1061"/>
      <c r="G3170" s="1056" t="s">
        <v>2671</v>
      </c>
      <c r="H3170" s="1057" t="s">
        <v>2672</v>
      </c>
      <c r="I3170" s="1058" t="e">
        <f>VLOOKUP(H3163,'LƯƠNG KT'!$D$15:$R$94,17,0)</f>
        <v>#N/A</v>
      </c>
      <c r="J3170" s="1059" t="e">
        <f>+I3170*$L$10</f>
        <v>#N/A</v>
      </c>
      <c r="K3170" s="1085"/>
      <c r="L3170" s="1085"/>
      <c r="M3170" s="1085"/>
      <c r="N3170" s="1085"/>
      <c r="O3170" s="1085"/>
    </row>
    <row r="3171" spans="1:15" ht="15" customHeight="1">
      <c r="A3171" s="1056" t="s">
        <v>374</v>
      </c>
      <c r="B3171" s="1057" t="s">
        <v>2674</v>
      </c>
      <c r="C3171" s="1058" t="e">
        <f>VLOOKUP(B3163,'LƯƠNG KT'!$D$15:$R$94,12,0)</f>
        <v>#N/A</v>
      </c>
      <c r="D3171" s="1059" t="e">
        <f>VLOOKUP(B3163,'LƯƠNG KT'!$D$15:$R$94,14,0)</f>
        <v>#N/A</v>
      </c>
      <c r="E3171" s="1063"/>
      <c r="F3171" s="1061"/>
      <c r="G3171" s="1056" t="s">
        <v>374</v>
      </c>
      <c r="H3171" s="1057" t="s">
        <v>2674</v>
      </c>
      <c r="I3171" s="1058" t="e">
        <f>VLOOKUP(H3163,'LƯƠNG KT'!$D$15:$R$94,12,0)</f>
        <v>#N/A</v>
      </c>
      <c r="J3171" s="1059" t="e">
        <f>VLOOKUP(H3163,'LƯƠNG KT'!$D$15:$R$94,14,0)</f>
        <v>#N/A</v>
      </c>
      <c r="K3171" s="1085"/>
      <c r="L3171" s="1085"/>
      <c r="M3171" s="1085"/>
      <c r="N3171" s="1085"/>
      <c r="O3171" s="1085"/>
    </row>
    <row r="3172" spans="1:15" ht="15" customHeight="1">
      <c r="A3172" s="1056" t="s">
        <v>2675</v>
      </c>
      <c r="B3172" s="1057" t="s">
        <v>2676</v>
      </c>
      <c r="D3172" s="1064" t="e">
        <f>VLOOKUP(B3163,'LƯƠNG KT'!$D$15:$R$94,13,0)</f>
        <v>#N/A</v>
      </c>
      <c r="E3172" s="1065"/>
      <c r="F3172" s="1065"/>
      <c r="G3172" s="1056" t="s">
        <v>2675</v>
      </c>
      <c r="H3172" s="1057" t="s">
        <v>2676</v>
      </c>
      <c r="J3172" s="1064" t="e">
        <f>VLOOKUP(H3163,'LƯƠNG KT'!$D$15:$R$94,13,0)</f>
        <v>#N/A</v>
      </c>
    </row>
    <row r="3173" spans="1:15" ht="15" customHeight="1">
      <c r="A3173" s="1066"/>
      <c r="B3173" s="869"/>
      <c r="C3173" s="1058"/>
      <c r="D3173" s="1059"/>
      <c r="E3173" s="1063"/>
      <c r="F3173" s="1065"/>
      <c r="G3173" s="1066"/>
      <c r="H3173" s="869"/>
      <c r="I3173" s="1058"/>
      <c r="J3173" s="1059"/>
    </row>
    <row r="3174" spans="1:15" ht="15" customHeight="1">
      <c r="A3174" s="1052"/>
      <c r="B3174" s="869"/>
      <c r="C3174" s="1058"/>
      <c r="D3174" s="1059"/>
      <c r="E3174" s="1067"/>
      <c r="F3174" s="1051"/>
      <c r="G3174" s="1052"/>
      <c r="H3174" s="869"/>
      <c r="I3174" s="1058"/>
      <c r="J3174" s="1059"/>
    </row>
    <row r="3175" spans="1:15" ht="15" customHeight="1">
      <c r="A3175" s="1068" t="s">
        <v>383</v>
      </c>
      <c r="B3175" s="1069" t="s">
        <v>384</v>
      </c>
      <c r="C3175" s="1070"/>
      <c r="D3175" s="1071" t="e">
        <f>SUM(D3164:D3171)-D3174</f>
        <v>#N/A</v>
      </c>
      <c r="E3175" s="1072"/>
      <c r="F3175" s="1073"/>
      <c r="G3175" s="1068" t="s">
        <v>383</v>
      </c>
      <c r="H3175" s="1069" t="s">
        <v>384</v>
      </c>
      <c r="I3175" s="1070"/>
      <c r="J3175" s="1071" t="e">
        <f>SUM(J3164:J3171)-J3174</f>
        <v>#N/A</v>
      </c>
    </row>
    <row r="3176" spans="1:15" ht="15.75" customHeight="1">
      <c r="A3176" s="1074"/>
      <c r="B3176" s="1075"/>
      <c r="C3176" s="1076"/>
      <c r="D3176" s="1077"/>
      <c r="E3176" s="1077"/>
      <c r="F3176" s="1078"/>
      <c r="G3176" s="1074"/>
      <c r="H3176" s="1075"/>
      <c r="I3176" s="1076"/>
      <c r="J3176" s="1077"/>
    </row>
    <row r="3178" spans="1:15" ht="12" customHeight="1">
      <c r="A3178" s="2243"/>
      <c r="B3178" s="2243"/>
      <c r="C3178" s="2243"/>
      <c r="D3178" s="2243"/>
      <c r="E3178" s="2243"/>
      <c r="F3178" s="2243"/>
      <c r="G3178" s="2243"/>
      <c r="H3178" s="2243"/>
      <c r="I3178" s="2243"/>
      <c r="J3178" s="2243"/>
    </row>
    <row r="3179" spans="1:15" ht="15" customHeight="1">
      <c r="A3179" s="2242" t="str">
        <f>$K$2</f>
        <v>THÁNG 04/2025</v>
      </c>
      <c r="B3179" s="2242"/>
      <c r="C3179" s="2242"/>
      <c r="D3179" s="2242"/>
      <c r="E3179" s="1050"/>
      <c r="F3179" s="1051"/>
      <c r="G3179" s="2242" t="str">
        <f>$K$2</f>
        <v>THÁNG 04/2025</v>
      </c>
      <c r="H3179" s="2242"/>
      <c r="I3179" s="2242"/>
      <c r="J3179" s="2242"/>
      <c r="K3179" s="624"/>
    </row>
    <row r="3180" spans="1:15" ht="15" customHeight="1">
      <c r="A3180" s="1052" t="s">
        <v>356</v>
      </c>
      <c r="B3180" s="1053" t="s">
        <v>271</v>
      </c>
      <c r="C3180" s="869"/>
      <c r="D3180" s="1049"/>
      <c r="E3180" s="1054"/>
      <c r="F3180" s="1055"/>
      <c r="G3180" s="1052" t="s">
        <v>356</v>
      </c>
      <c r="H3180" s="1053" t="s">
        <v>270</v>
      </c>
      <c r="I3180" s="869"/>
      <c r="J3180" s="1049"/>
      <c r="L3180" s="1088"/>
      <c r="M3180" s="1088"/>
      <c r="N3180" s="1088"/>
      <c r="O3180" s="1088"/>
    </row>
    <row r="3181" spans="1:15" ht="15" customHeight="1">
      <c r="A3181" s="1056" t="s">
        <v>359</v>
      </c>
      <c r="B3181" s="1057" t="s">
        <v>2662</v>
      </c>
      <c r="C3181" s="1058" t="e">
        <f>VLOOKUP(B3180,'LƯƠNG KT'!$D$15:$R$94,4,0)</f>
        <v>#N/A</v>
      </c>
      <c r="D3181" s="1059" t="e">
        <f>+C3181*25000</f>
        <v>#N/A</v>
      </c>
      <c r="E3181" s="1060"/>
      <c r="F3181" s="1060"/>
      <c r="G3181" s="1056" t="s">
        <v>359</v>
      </c>
      <c r="H3181" s="1057" t="s">
        <v>2662</v>
      </c>
      <c r="I3181" s="1058" t="e">
        <f>VLOOKUP(H3180,'LƯƠNG KT'!$D$15:$R$94,4,0)</f>
        <v>#N/A</v>
      </c>
      <c r="J3181" s="1059" t="e">
        <f>+I3181*25000</f>
        <v>#N/A</v>
      </c>
      <c r="K3181" s="1084"/>
      <c r="L3181" s="1085"/>
      <c r="M3181" s="1085"/>
      <c r="N3181" s="1085"/>
      <c r="O3181" s="1085"/>
    </row>
    <row r="3182" spans="1:15" ht="15" customHeight="1">
      <c r="A3182" s="1056" t="s">
        <v>361</v>
      </c>
      <c r="B3182" s="1057" t="s">
        <v>2663</v>
      </c>
      <c r="C3182" s="1058" t="e">
        <f>VLOOKUP(B3180,'LƯƠNG KT'!$D$15:$R$94,15,0)</f>
        <v>#N/A</v>
      </c>
      <c r="D3182" s="1059" t="e">
        <f>C3182*$L$4</f>
        <v>#N/A</v>
      </c>
      <c r="E3182" s="1061"/>
      <c r="F3182" s="1061"/>
      <c r="G3182" s="1056" t="s">
        <v>361</v>
      </c>
      <c r="H3182" s="1057" t="s">
        <v>2663</v>
      </c>
      <c r="I3182" s="1058" t="e">
        <f>VLOOKUP(H3180,'LƯƠNG KT'!$D$15:$R$94,15,0)</f>
        <v>#N/A</v>
      </c>
      <c r="J3182" s="1059" t="e">
        <f>I3182*$L$4</f>
        <v>#N/A</v>
      </c>
      <c r="K3182" s="1084"/>
      <c r="L3182" s="1085"/>
      <c r="M3182" s="1085"/>
      <c r="N3182" s="1085"/>
      <c r="O3182" s="1085"/>
    </row>
    <row r="3183" spans="1:15" ht="15" customHeight="1">
      <c r="A3183" s="1056" t="s">
        <v>364</v>
      </c>
      <c r="B3183" s="1057" t="s">
        <v>2664</v>
      </c>
      <c r="C3183" s="1058" t="e">
        <f>VLOOKUP(B3180,'LƯƠNG KT'!$D$15:$R$94,16,0)</f>
        <v>#N/A</v>
      </c>
      <c r="D3183" s="1059" t="e">
        <f>C3183*$L$5</f>
        <v>#N/A</v>
      </c>
      <c r="E3183" s="1061"/>
      <c r="F3183" s="1061"/>
      <c r="G3183" s="1056" t="s">
        <v>364</v>
      </c>
      <c r="H3183" s="1057" t="s">
        <v>2664</v>
      </c>
      <c r="I3183" s="1058" t="e">
        <f>VLOOKUP(H3180,'LƯƠNG KT'!$D$15:$R$94,16,0)</f>
        <v>#N/A</v>
      </c>
      <c r="J3183" s="1059" t="e">
        <f>I3183*$L$5</f>
        <v>#N/A</v>
      </c>
      <c r="K3183" s="1084"/>
      <c r="L3183" s="1085"/>
      <c r="M3183" s="1085"/>
      <c r="N3183" s="1085"/>
      <c r="O3183" s="1085"/>
    </row>
    <row r="3184" spans="1:15" ht="15" customHeight="1">
      <c r="A3184" s="1056" t="s">
        <v>370</v>
      </c>
      <c r="B3184" s="1057" t="s">
        <v>2665</v>
      </c>
      <c r="C3184" s="1058" t="e">
        <f>VLOOKUP(B3180,'LƯƠNG KT'!$D$15:$R$94,24,0)</f>
        <v>#N/A</v>
      </c>
      <c r="D3184" s="1059" t="e">
        <f>+C3184*$L$6</f>
        <v>#N/A</v>
      </c>
      <c r="E3184" s="1061"/>
      <c r="F3184" s="1061"/>
      <c r="G3184" s="1056" t="s">
        <v>370</v>
      </c>
      <c r="H3184" s="1057" t="s">
        <v>2665</v>
      </c>
      <c r="I3184" s="1058" t="e">
        <f>VLOOKUP(H3180,'LƯƠNG KT'!$D$15:$R$94,24,0)</f>
        <v>#N/A</v>
      </c>
      <c r="J3184" s="1059" t="e">
        <f>+I3184*$L$6</f>
        <v>#N/A</v>
      </c>
      <c r="K3184" s="1085"/>
      <c r="L3184" s="1085"/>
      <c r="M3184" s="1085"/>
      <c r="N3184" s="1085"/>
      <c r="O3184" s="1085"/>
    </row>
    <row r="3185" spans="1:15" ht="15" customHeight="1">
      <c r="A3185" s="1056" t="s">
        <v>2666</v>
      </c>
      <c r="B3185" s="1057" t="s">
        <v>2667</v>
      </c>
      <c r="C3185" s="1058" t="e">
        <f>VLOOKUP(B3180,'LƯƠNG KT'!$D$15:$R$94,19,0)</f>
        <v>#N/A</v>
      </c>
      <c r="D3185" s="1059" t="e">
        <f>+C3185*$L$8</f>
        <v>#N/A</v>
      </c>
      <c r="E3185" s="1061"/>
      <c r="F3185" s="1061"/>
      <c r="G3185" s="1056" t="s">
        <v>2666</v>
      </c>
      <c r="H3185" s="1057" t="s">
        <v>2667</v>
      </c>
      <c r="I3185" s="1058" t="e">
        <f>VLOOKUP(H3180,'LƯƠNG KT'!$D$15:$R$94,19,0)</f>
        <v>#N/A</v>
      </c>
      <c r="J3185" s="1059" t="e">
        <f>+I3185*$L$8</f>
        <v>#N/A</v>
      </c>
      <c r="K3185" s="1085"/>
      <c r="L3185" s="1085"/>
      <c r="M3185" s="1085"/>
      <c r="N3185" s="1085"/>
      <c r="O3185" s="1085"/>
    </row>
    <row r="3186" spans="1:15" ht="15" customHeight="1">
      <c r="A3186" s="1056" t="s">
        <v>2668</v>
      </c>
      <c r="B3186" s="1062" t="s">
        <v>2669</v>
      </c>
      <c r="C3186" s="1058" t="e">
        <f>VLOOKUP(B3180,'LƯƠNG KT'!$D$15:$R$94,20,0)</f>
        <v>#N/A</v>
      </c>
      <c r="D3186" s="1059" t="e">
        <f>+C3186*$L$9</f>
        <v>#N/A</v>
      </c>
      <c r="E3186" s="1061"/>
      <c r="F3186" s="1061"/>
      <c r="G3186" s="1056" t="s">
        <v>2668</v>
      </c>
      <c r="H3186" s="1062" t="s">
        <v>2669</v>
      </c>
      <c r="I3186" s="1058" t="e">
        <f>VLOOKUP(H3180,'LƯƠNG KT'!$D$15:$R$94,20,0)</f>
        <v>#N/A</v>
      </c>
      <c r="J3186" s="1059" t="e">
        <f>+I3186*$L$9</f>
        <v>#N/A</v>
      </c>
      <c r="K3186" s="1085"/>
      <c r="L3186" s="1085"/>
      <c r="M3186" s="1085"/>
      <c r="N3186" s="1085"/>
      <c r="O3186" s="1085"/>
    </row>
    <row r="3187" spans="1:15" ht="15" customHeight="1">
      <c r="A3187" s="1056" t="s">
        <v>2671</v>
      </c>
      <c r="B3187" s="1057" t="s">
        <v>2672</v>
      </c>
      <c r="C3187" s="1058" t="e">
        <f>VLOOKUP(B3180,'LƯƠNG KT'!$D$15:$R$94,17,0)</f>
        <v>#N/A</v>
      </c>
      <c r="D3187" s="1059" t="e">
        <f>+C3187*$L$10</f>
        <v>#N/A</v>
      </c>
      <c r="E3187" s="1061"/>
      <c r="F3187" s="1061"/>
      <c r="G3187" s="1056" t="s">
        <v>2671</v>
      </c>
      <c r="H3187" s="1057" t="s">
        <v>2672</v>
      </c>
      <c r="I3187" s="1058" t="e">
        <f>VLOOKUP(H3180,'LƯƠNG KT'!$D$15:$R$94,17,0)</f>
        <v>#N/A</v>
      </c>
      <c r="J3187" s="1059" t="e">
        <f>+I3187*$L$10</f>
        <v>#N/A</v>
      </c>
      <c r="K3187" s="1085"/>
      <c r="L3187" s="1085"/>
      <c r="M3187" s="1085"/>
      <c r="N3187" s="1085"/>
      <c r="O3187" s="1085"/>
    </row>
    <row r="3188" spans="1:15" ht="15" customHeight="1">
      <c r="A3188" s="1056" t="s">
        <v>374</v>
      </c>
      <c r="B3188" s="1057" t="s">
        <v>2674</v>
      </c>
      <c r="C3188" s="1058" t="e">
        <f>VLOOKUP(B3180,'LƯƠNG KT'!$D$15:$R$94,12,0)</f>
        <v>#N/A</v>
      </c>
      <c r="D3188" s="1059" t="e">
        <f>VLOOKUP(B3180,'LƯƠNG KT'!$D$15:$R$94,14,0)</f>
        <v>#N/A</v>
      </c>
      <c r="E3188" s="1063"/>
      <c r="F3188" s="1061"/>
      <c r="G3188" s="1056" t="s">
        <v>374</v>
      </c>
      <c r="H3188" s="1057" t="s">
        <v>2674</v>
      </c>
      <c r="I3188" s="1058" t="e">
        <f>VLOOKUP(H3180,'LƯƠNG KT'!$D$15:$R$94,12,0)</f>
        <v>#N/A</v>
      </c>
      <c r="J3188" s="1059" t="e">
        <f>VLOOKUP(H3180,'LƯƠNG KT'!$D$15:$R$94,14,0)</f>
        <v>#N/A</v>
      </c>
      <c r="K3188" s="1085"/>
      <c r="L3188" s="1085"/>
      <c r="M3188" s="1085"/>
      <c r="N3188" s="1085"/>
      <c r="O3188" s="1085"/>
    </row>
    <row r="3189" spans="1:15" ht="15" customHeight="1">
      <c r="A3189" s="1056" t="s">
        <v>2675</v>
      </c>
      <c r="B3189" s="1057" t="s">
        <v>2676</v>
      </c>
      <c r="D3189" s="1064" t="e">
        <f>VLOOKUP(B3180,'LƯƠNG KT'!$D$15:$R$94,13,0)</f>
        <v>#N/A</v>
      </c>
      <c r="E3189" s="1065"/>
      <c r="F3189" s="1065"/>
      <c r="G3189" s="1056" t="s">
        <v>2675</v>
      </c>
      <c r="H3189" s="1057" t="s">
        <v>2676</v>
      </c>
      <c r="J3189" s="1064" t="e">
        <f>VLOOKUP(H3180,'LƯƠNG KT'!$D$15:$R$94,13,0)</f>
        <v>#N/A</v>
      </c>
    </row>
    <row r="3190" spans="1:15" ht="15" customHeight="1">
      <c r="A3190" s="1066"/>
      <c r="B3190" s="869"/>
      <c r="C3190" s="1058"/>
      <c r="D3190" s="1059"/>
      <c r="E3190" s="1063"/>
      <c r="F3190" s="1065"/>
      <c r="G3190" s="1066"/>
      <c r="H3190" s="869"/>
      <c r="I3190" s="1058"/>
      <c r="J3190" s="1059"/>
    </row>
    <row r="3191" spans="1:15" ht="15" customHeight="1">
      <c r="A3191" s="1052"/>
      <c r="B3191" s="869"/>
      <c r="C3191" s="1058"/>
      <c r="D3191" s="1059"/>
      <c r="E3191" s="1067"/>
      <c r="F3191" s="1051"/>
      <c r="G3191" s="1052"/>
      <c r="H3191" s="869"/>
      <c r="I3191" s="1058"/>
      <c r="J3191" s="1059"/>
    </row>
    <row r="3192" spans="1:15" ht="15" customHeight="1">
      <c r="A3192" s="1068" t="s">
        <v>383</v>
      </c>
      <c r="B3192" s="1069" t="s">
        <v>384</v>
      </c>
      <c r="C3192" s="1070"/>
      <c r="D3192" s="1071" t="e">
        <f>SUM(D3181:D3188)-D3191</f>
        <v>#N/A</v>
      </c>
      <c r="E3192" s="1072"/>
      <c r="F3192" s="1073"/>
      <c r="G3192" s="1068" t="s">
        <v>383</v>
      </c>
      <c r="H3192" s="1069" t="s">
        <v>384</v>
      </c>
      <c r="I3192" s="1070"/>
      <c r="J3192" s="1071" t="e">
        <f>SUM(J3181:J3188)-J3191</f>
        <v>#N/A</v>
      </c>
    </row>
    <row r="3193" spans="1:15" ht="18" customHeight="1">
      <c r="A3193" s="1074"/>
      <c r="B3193" s="1075"/>
      <c r="C3193" s="1076"/>
      <c r="D3193" s="1077"/>
      <c r="E3193" s="1077"/>
      <c r="F3193" s="1078"/>
      <c r="G3193" s="1074"/>
      <c r="H3193" s="1075"/>
      <c r="I3193" s="1076"/>
      <c r="J3193" s="1077"/>
    </row>
    <row r="3194" spans="1:15" ht="18" customHeight="1">
      <c r="A3194" s="1075"/>
      <c r="B3194" s="1075"/>
      <c r="C3194" s="1079"/>
      <c r="D3194" s="1080"/>
      <c r="E3194" s="1075"/>
      <c r="F3194" s="1081"/>
      <c r="G3194" s="1075"/>
      <c r="H3194" s="1075"/>
      <c r="I3194" s="1079"/>
      <c r="J3194" s="1080"/>
    </row>
    <row r="3195" spans="1:15" ht="15" customHeight="1">
      <c r="A3195" s="2242" t="str">
        <f>$K$2</f>
        <v>THÁNG 04/2025</v>
      </c>
      <c r="B3195" s="2242"/>
      <c r="C3195" s="2242"/>
      <c r="D3195" s="2242"/>
      <c r="E3195" s="1050"/>
      <c r="F3195" s="1051"/>
      <c r="G3195" s="2242" t="str">
        <f>$K$2</f>
        <v>THÁNG 04/2025</v>
      </c>
      <c r="H3195" s="2242"/>
      <c r="I3195" s="2242"/>
      <c r="J3195" s="2242"/>
      <c r="K3195" s="624"/>
    </row>
    <row r="3196" spans="1:15" ht="15" customHeight="1">
      <c r="A3196" s="1052" t="s">
        <v>356</v>
      </c>
      <c r="B3196" s="1053" t="s">
        <v>272</v>
      </c>
      <c r="C3196" s="869"/>
      <c r="D3196" s="1049"/>
      <c r="E3196" s="1054"/>
      <c r="F3196" s="1055"/>
      <c r="G3196" s="1052" t="s">
        <v>356</v>
      </c>
      <c r="H3196" s="1053" t="s">
        <v>273</v>
      </c>
      <c r="I3196" s="869"/>
      <c r="J3196" s="1049"/>
      <c r="L3196" s="1088"/>
      <c r="M3196" s="1088"/>
      <c r="N3196" s="1088"/>
      <c r="O3196" s="1088"/>
    </row>
    <row r="3197" spans="1:15" ht="15" customHeight="1">
      <c r="A3197" s="1056" t="s">
        <v>359</v>
      </c>
      <c r="B3197" s="1057" t="s">
        <v>2662</v>
      </c>
      <c r="C3197" s="1058" t="e">
        <f>VLOOKUP(B3196,'LƯƠNG KT'!$D$15:$R$94,4,0)</f>
        <v>#N/A</v>
      </c>
      <c r="D3197" s="1059" t="e">
        <f>+C3197*25000</f>
        <v>#N/A</v>
      </c>
      <c r="E3197" s="1060"/>
      <c r="F3197" s="1060"/>
      <c r="G3197" s="1056" t="s">
        <v>359</v>
      </c>
      <c r="H3197" s="1057" t="s">
        <v>2662</v>
      </c>
      <c r="I3197" s="1058" t="e">
        <f>VLOOKUP(H3196,'LƯƠNG KT'!$D$15:$R$94,4,0)</f>
        <v>#N/A</v>
      </c>
      <c r="J3197" s="1059" t="e">
        <f>+I3197*25000</f>
        <v>#N/A</v>
      </c>
      <c r="K3197" s="1085"/>
      <c r="L3197" s="1085"/>
      <c r="M3197" s="1085"/>
      <c r="N3197" s="1085"/>
      <c r="O3197" s="1085"/>
    </row>
    <row r="3198" spans="1:15" ht="15" customHeight="1">
      <c r="A3198" s="1056" t="s">
        <v>361</v>
      </c>
      <c r="B3198" s="1057" t="s">
        <v>2663</v>
      </c>
      <c r="C3198" s="1058" t="e">
        <f>VLOOKUP(B3196,'LƯƠNG KT'!$D$15:$R$94,15,0)</f>
        <v>#N/A</v>
      </c>
      <c r="D3198" s="1059" t="e">
        <f>C3198*$L$4</f>
        <v>#N/A</v>
      </c>
      <c r="E3198" s="1061"/>
      <c r="F3198" s="1061"/>
      <c r="G3198" s="1056" t="s">
        <v>361</v>
      </c>
      <c r="H3198" s="1057" t="s">
        <v>2663</v>
      </c>
      <c r="I3198" s="1058" t="e">
        <f>VLOOKUP(H3196,'LƯƠNG KT'!$D$15:$R$94,15,0)</f>
        <v>#N/A</v>
      </c>
      <c r="J3198" s="1059" t="e">
        <f>I3198*$L$4</f>
        <v>#N/A</v>
      </c>
      <c r="K3198" s="1085"/>
      <c r="L3198" s="1085"/>
      <c r="M3198" s="1085"/>
      <c r="N3198" s="1085"/>
      <c r="O3198" s="1085"/>
    </row>
    <row r="3199" spans="1:15" ht="15" customHeight="1">
      <c r="A3199" s="1056" t="s">
        <v>364</v>
      </c>
      <c r="B3199" s="1057" t="s">
        <v>2664</v>
      </c>
      <c r="C3199" s="1058" t="e">
        <f>VLOOKUP(B3196,'LƯƠNG KT'!$D$15:$R$94,16,0)</f>
        <v>#N/A</v>
      </c>
      <c r="D3199" s="1059" t="e">
        <f>C3199*$L$5</f>
        <v>#N/A</v>
      </c>
      <c r="E3199" s="1061"/>
      <c r="F3199" s="1061"/>
      <c r="G3199" s="1056" t="s">
        <v>364</v>
      </c>
      <c r="H3199" s="1057" t="s">
        <v>2664</v>
      </c>
      <c r="I3199" s="1058" t="e">
        <f>VLOOKUP(H3196,'LƯƠNG KT'!$D$15:$R$94,16,0)</f>
        <v>#N/A</v>
      </c>
      <c r="J3199" s="1059" t="e">
        <f>I3199*$L$5</f>
        <v>#N/A</v>
      </c>
      <c r="K3199" s="1085"/>
      <c r="L3199" s="1085"/>
      <c r="M3199" s="1085"/>
      <c r="N3199" s="1085"/>
      <c r="O3199" s="1085"/>
    </row>
    <row r="3200" spans="1:15" ht="15" customHeight="1">
      <c r="A3200" s="1056" t="s">
        <v>370</v>
      </c>
      <c r="B3200" s="1057" t="s">
        <v>2665</v>
      </c>
      <c r="C3200" s="1058" t="e">
        <f>VLOOKUP(B3196,'LƯƠNG KT'!$D$15:$R$94,24,0)</f>
        <v>#N/A</v>
      </c>
      <c r="D3200" s="1059" t="e">
        <f>+C3200*$L$6</f>
        <v>#N/A</v>
      </c>
      <c r="E3200" s="1061"/>
      <c r="F3200" s="1061"/>
      <c r="G3200" s="1056" t="s">
        <v>370</v>
      </c>
      <c r="H3200" s="1057" t="s">
        <v>2665</v>
      </c>
      <c r="I3200" s="1058" t="e">
        <f>VLOOKUP(H3196,'LƯƠNG KT'!$D$15:$R$94,24,0)</f>
        <v>#N/A</v>
      </c>
      <c r="J3200" s="1059" t="e">
        <f>+I3200*$L$6</f>
        <v>#N/A</v>
      </c>
      <c r="K3200" s="1085"/>
      <c r="L3200" s="1085"/>
      <c r="M3200" s="1085"/>
      <c r="N3200" s="1085"/>
      <c r="O3200" s="1085"/>
    </row>
    <row r="3201" spans="1:15" ht="15" customHeight="1">
      <c r="A3201" s="1056" t="s">
        <v>2666</v>
      </c>
      <c r="B3201" s="1057" t="s">
        <v>2667</v>
      </c>
      <c r="C3201" s="1058" t="e">
        <f>VLOOKUP(B3196,'LƯƠNG KT'!$D$15:$R$94,19,0)</f>
        <v>#N/A</v>
      </c>
      <c r="D3201" s="1059" t="e">
        <f>+C3201*$L$8</f>
        <v>#N/A</v>
      </c>
      <c r="E3201" s="1061"/>
      <c r="F3201" s="1061"/>
      <c r="G3201" s="1056" t="s">
        <v>2666</v>
      </c>
      <c r="H3201" s="1057" t="s">
        <v>2667</v>
      </c>
      <c r="I3201" s="1058" t="e">
        <f>VLOOKUP(H3196,'LƯƠNG KT'!$D$15:$R$94,19,0)</f>
        <v>#N/A</v>
      </c>
      <c r="J3201" s="1059" t="e">
        <f>+I3201*$L$8</f>
        <v>#N/A</v>
      </c>
      <c r="K3201" s="1085"/>
      <c r="L3201" s="1085"/>
      <c r="M3201" s="1085"/>
      <c r="N3201" s="1085"/>
      <c r="O3201" s="1085"/>
    </row>
    <row r="3202" spans="1:15" ht="15" customHeight="1">
      <c r="A3202" s="1056" t="s">
        <v>2668</v>
      </c>
      <c r="B3202" s="1062" t="s">
        <v>2669</v>
      </c>
      <c r="C3202" s="1058" t="e">
        <f>VLOOKUP(B3196,'LƯƠNG KT'!$D$15:$R$94,20,0)</f>
        <v>#N/A</v>
      </c>
      <c r="D3202" s="1059" t="e">
        <f>+C3202*$L$9</f>
        <v>#N/A</v>
      </c>
      <c r="E3202" s="1061"/>
      <c r="F3202" s="1061"/>
      <c r="G3202" s="1056" t="s">
        <v>2668</v>
      </c>
      <c r="H3202" s="1062" t="s">
        <v>2669</v>
      </c>
      <c r="I3202" s="1058" t="e">
        <f>VLOOKUP(H3196,'LƯƠNG KT'!$D$15:$R$94,20,0)</f>
        <v>#N/A</v>
      </c>
      <c r="J3202" s="1059" t="e">
        <f>+I3202*$L$9</f>
        <v>#N/A</v>
      </c>
      <c r="K3202" s="1085"/>
      <c r="L3202" s="1085"/>
      <c r="M3202" s="1085"/>
      <c r="N3202" s="1085"/>
      <c r="O3202" s="1085"/>
    </row>
    <row r="3203" spans="1:15" ht="15" customHeight="1">
      <c r="A3203" s="1056" t="s">
        <v>2671</v>
      </c>
      <c r="B3203" s="1057" t="s">
        <v>2672</v>
      </c>
      <c r="C3203" s="1058" t="e">
        <f>VLOOKUP(B3196,'LƯƠNG KT'!$D$15:$R$94,17,0)</f>
        <v>#N/A</v>
      </c>
      <c r="D3203" s="1059" t="e">
        <f>+C3203*$L$10</f>
        <v>#N/A</v>
      </c>
      <c r="E3203" s="1061"/>
      <c r="F3203" s="1061"/>
      <c r="G3203" s="1056" t="s">
        <v>2671</v>
      </c>
      <c r="H3203" s="1057" t="s">
        <v>2672</v>
      </c>
      <c r="I3203" s="1058" t="e">
        <f>VLOOKUP(H3196,'LƯƠNG KT'!$D$15:$R$94,17,0)</f>
        <v>#N/A</v>
      </c>
      <c r="J3203" s="1059" t="e">
        <f>+I3203*$L$10</f>
        <v>#N/A</v>
      </c>
      <c r="K3203" s="1085"/>
      <c r="L3203" s="1085"/>
      <c r="M3203" s="1085"/>
      <c r="N3203" s="1085"/>
      <c r="O3203" s="1085"/>
    </row>
    <row r="3204" spans="1:15" ht="15" customHeight="1">
      <c r="A3204" s="1056" t="s">
        <v>374</v>
      </c>
      <c r="B3204" s="1057" t="s">
        <v>2674</v>
      </c>
      <c r="C3204" s="1058" t="e">
        <f>VLOOKUP(B3196,'LƯƠNG KT'!$D$15:$R$94,12,0)</f>
        <v>#N/A</v>
      </c>
      <c r="D3204" s="1059" t="e">
        <f>VLOOKUP(B3196,'LƯƠNG KT'!$D$15:$R$94,14,0)</f>
        <v>#N/A</v>
      </c>
      <c r="E3204" s="1063"/>
      <c r="F3204" s="1061"/>
      <c r="G3204" s="1056" t="s">
        <v>374</v>
      </c>
      <c r="H3204" s="1057" t="s">
        <v>2674</v>
      </c>
      <c r="I3204" s="1058" t="e">
        <f>VLOOKUP(H3196,'LƯƠNG KT'!$D$15:$R$94,12,0)</f>
        <v>#N/A</v>
      </c>
      <c r="J3204" s="1059" t="e">
        <f>VLOOKUP(H3196,'LƯƠNG KT'!$D$15:$R$94,14,0)</f>
        <v>#N/A</v>
      </c>
      <c r="K3204" s="1085"/>
      <c r="L3204" s="1085"/>
      <c r="M3204" s="1085"/>
      <c r="N3204" s="1085"/>
      <c r="O3204" s="1085"/>
    </row>
    <row r="3205" spans="1:15" ht="15" customHeight="1">
      <c r="A3205" s="1056" t="s">
        <v>2675</v>
      </c>
      <c r="B3205" s="1057" t="s">
        <v>2676</v>
      </c>
      <c r="D3205" s="1064" t="e">
        <f>VLOOKUP(B3196,'LƯƠNG KT'!$D$15:$R$94,13,0)</f>
        <v>#N/A</v>
      </c>
      <c r="E3205" s="1065"/>
      <c r="F3205" s="1065"/>
      <c r="G3205" s="1056" t="s">
        <v>2675</v>
      </c>
      <c r="H3205" s="1057" t="s">
        <v>2676</v>
      </c>
      <c r="J3205" s="1064" t="e">
        <f>VLOOKUP(H3196,'LƯƠNG KT'!$D$15:$R$94,13,0)</f>
        <v>#N/A</v>
      </c>
    </row>
    <row r="3206" spans="1:15" ht="15" customHeight="1">
      <c r="A3206" s="1066"/>
      <c r="B3206" s="869"/>
      <c r="C3206" s="1058"/>
      <c r="D3206" s="1059"/>
      <c r="E3206" s="1063"/>
      <c r="F3206" s="1065"/>
      <c r="G3206" s="1066"/>
      <c r="H3206" s="869"/>
      <c r="I3206" s="1058"/>
      <c r="J3206" s="1059"/>
    </row>
    <row r="3207" spans="1:15" ht="15" customHeight="1">
      <c r="A3207" s="1052"/>
      <c r="B3207" s="869"/>
      <c r="C3207" s="1058"/>
      <c r="D3207" s="1059"/>
      <c r="E3207" s="1067"/>
      <c r="F3207" s="1051"/>
      <c r="G3207" s="1052"/>
      <c r="H3207" s="869"/>
      <c r="I3207" s="1058"/>
      <c r="J3207" s="1059"/>
    </row>
    <row r="3208" spans="1:15" ht="15" customHeight="1">
      <c r="A3208" s="1068" t="s">
        <v>383</v>
      </c>
      <c r="B3208" s="1069" t="s">
        <v>384</v>
      </c>
      <c r="C3208" s="1070"/>
      <c r="D3208" s="1071" t="e">
        <f>SUM(D3197:D3204)-D3207</f>
        <v>#N/A</v>
      </c>
      <c r="E3208" s="1072"/>
      <c r="F3208" s="1073"/>
      <c r="G3208" s="1068" t="s">
        <v>383</v>
      </c>
      <c r="H3208" s="1069" t="s">
        <v>384</v>
      </c>
      <c r="I3208" s="1070"/>
      <c r="J3208" s="1071" t="e">
        <f>SUM(J3197:J3204)-J3207</f>
        <v>#N/A</v>
      </c>
    </row>
    <row r="3209" spans="1:15" ht="18.75" customHeight="1">
      <c r="A3209" s="1074"/>
      <c r="B3209" s="1075"/>
      <c r="C3209" s="1076"/>
      <c r="D3209" s="1077"/>
      <c r="E3209" s="1077"/>
      <c r="F3209" s="1078"/>
      <c r="G3209" s="1074"/>
      <c r="H3209" s="1075"/>
      <c r="I3209" s="1076"/>
      <c r="J3209" s="1077"/>
    </row>
    <row r="3210" spans="1:15" ht="12" customHeight="1">
      <c r="A3210" s="1075"/>
      <c r="B3210" s="1075"/>
      <c r="C3210" s="1079"/>
      <c r="D3210" s="1080"/>
      <c r="E3210" s="1075"/>
      <c r="F3210" s="1081"/>
      <c r="G3210" s="1075"/>
      <c r="H3210" s="1075"/>
      <c r="I3210" s="1079"/>
      <c r="J3210" s="1080"/>
    </row>
    <row r="3211" spans="1:15" ht="15" customHeight="1">
      <c r="A3211" s="2242" t="str">
        <f>$K$2</f>
        <v>THÁNG 04/2025</v>
      </c>
      <c r="B3211" s="2242"/>
      <c r="C3211" s="2242"/>
      <c r="D3211" s="2242"/>
      <c r="E3211" s="1050"/>
      <c r="F3211" s="1051"/>
      <c r="G3211" s="2242" t="str">
        <f>$K$2</f>
        <v>THÁNG 04/2025</v>
      </c>
      <c r="H3211" s="2242"/>
      <c r="I3211" s="2242"/>
      <c r="J3211" s="2242"/>
      <c r="K3211" s="624"/>
    </row>
    <row r="3212" spans="1:15" ht="15" customHeight="1">
      <c r="A3212" s="1052" t="s">
        <v>356</v>
      </c>
      <c r="B3212" s="1053" t="s">
        <v>274</v>
      </c>
      <c r="C3212" s="869"/>
      <c r="D3212" s="1049"/>
      <c r="E3212" s="1054"/>
      <c r="F3212" s="1055"/>
      <c r="G3212" s="1052" t="s">
        <v>356</v>
      </c>
      <c r="H3212" s="1053" t="s">
        <v>275</v>
      </c>
      <c r="I3212" s="869"/>
      <c r="J3212" s="1049"/>
      <c r="L3212" s="1088"/>
      <c r="M3212" s="1088"/>
      <c r="N3212" s="1088"/>
      <c r="O3212" s="1088"/>
    </row>
    <row r="3213" spans="1:15" ht="15" customHeight="1">
      <c r="A3213" s="1056" t="s">
        <v>359</v>
      </c>
      <c r="B3213" s="1057" t="s">
        <v>2662</v>
      </c>
      <c r="C3213" s="1058" t="e">
        <f>VLOOKUP(B3212,'LƯƠNG KT'!$D$15:$R$94,4,0)</f>
        <v>#N/A</v>
      </c>
      <c r="D3213" s="1059" t="e">
        <f>+C3213*25000</f>
        <v>#N/A</v>
      </c>
      <c r="E3213" s="1060"/>
      <c r="F3213" s="1060"/>
      <c r="G3213" s="1056" t="s">
        <v>359</v>
      </c>
      <c r="H3213" s="1057" t="s">
        <v>2662</v>
      </c>
      <c r="I3213" s="1058" t="e">
        <f>VLOOKUP(H3212,'LƯƠNG KT'!$D$15:$R$94,4,0)</f>
        <v>#N/A</v>
      </c>
      <c r="J3213" s="1059" t="e">
        <f>+I3213*25000</f>
        <v>#N/A</v>
      </c>
      <c r="K3213" s="1085"/>
      <c r="L3213" s="1085"/>
      <c r="M3213" s="1085"/>
      <c r="N3213" s="1085"/>
      <c r="O3213" s="1085"/>
    </row>
    <row r="3214" spans="1:15" ht="15" customHeight="1">
      <c r="A3214" s="1056" t="s">
        <v>361</v>
      </c>
      <c r="B3214" s="1057" t="s">
        <v>2663</v>
      </c>
      <c r="C3214" s="1058" t="e">
        <f>VLOOKUP(B3212,'LƯƠNG KT'!$D$15:$R$94,15,0)</f>
        <v>#N/A</v>
      </c>
      <c r="D3214" s="1059" t="e">
        <f>C3214*$L$4</f>
        <v>#N/A</v>
      </c>
      <c r="E3214" s="1061"/>
      <c r="F3214" s="1061"/>
      <c r="G3214" s="1056" t="s">
        <v>361</v>
      </c>
      <c r="H3214" s="1057" t="s">
        <v>2663</v>
      </c>
      <c r="I3214" s="1058" t="e">
        <f>VLOOKUP(H3212,'LƯƠNG KT'!$D$15:$R$94,15,0)</f>
        <v>#N/A</v>
      </c>
      <c r="J3214" s="1059" t="e">
        <f>I3214*$L$4</f>
        <v>#N/A</v>
      </c>
      <c r="K3214" s="1085"/>
      <c r="L3214" s="1085"/>
      <c r="M3214" s="1085"/>
      <c r="N3214" s="1085"/>
      <c r="O3214" s="1085"/>
    </row>
    <row r="3215" spans="1:15" ht="15" customHeight="1">
      <c r="A3215" s="1056" t="s">
        <v>364</v>
      </c>
      <c r="B3215" s="1057" t="s">
        <v>2664</v>
      </c>
      <c r="C3215" s="1058" t="e">
        <f>VLOOKUP(B3212,'LƯƠNG KT'!$D$15:$R$94,16,0)</f>
        <v>#N/A</v>
      </c>
      <c r="D3215" s="1059" t="e">
        <f>C3215*$L$5</f>
        <v>#N/A</v>
      </c>
      <c r="E3215" s="1061"/>
      <c r="F3215" s="1061"/>
      <c r="G3215" s="1056" t="s">
        <v>364</v>
      </c>
      <c r="H3215" s="1057" t="s">
        <v>2664</v>
      </c>
      <c r="I3215" s="1058" t="e">
        <f>VLOOKUP(H3212,'LƯƠNG KT'!$D$15:$R$94,16,0)</f>
        <v>#N/A</v>
      </c>
      <c r="J3215" s="1059" t="e">
        <f>I3215*$L$5</f>
        <v>#N/A</v>
      </c>
      <c r="K3215" s="1085"/>
      <c r="L3215" s="1085"/>
      <c r="M3215" s="1085"/>
      <c r="N3215" s="1085"/>
      <c r="O3215" s="1085"/>
    </row>
    <row r="3216" spans="1:15" ht="15" customHeight="1">
      <c r="A3216" s="1056" t="s">
        <v>370</v>
      </c>
      <c r="B3216" s="1057" t="s">
        <v>2665</v>
      </c>
      <c r="C3216" s="1058" t="e">
        <f>VLOOKUP(B3212,'LƯƠNG KT'!$D$15:$R$94,24,0)</f>
        <v>#N/A</v>
      </c>
      <c r="D3216" s="1059" t="e">
        <f>+C3216*$L$6</f>
        <v>#N/A</v>
      </c>
      <c r="E3216" s="1061"/>
      <c r="F3216" s="1061"/>
      <c r="G3216" s="1056" t="s">
        <v>370</v>
      </c>
      <c r="H3216" s="1057" t="s">
        <v>2665</v>
      </c>
      <c r="I3216" s="1058" t="e">
        <f>VLOOKUP(H3212,'LƯƠNG KT'!$D$15:$R$94,24,0)</f>
        <v>#N/A</v>
      </c>
      <c r="J3216" s="1059" t="e">
        <f>+I3216*$L$6</f>
        <v>#N/A</v>
      </c>
      <c r="K3216" s="1085"/>
      <c r="L3216" s="1085"/>
      <c r="M3216" s="1085"/>
      <c r="N3216" s="1085"/>
      <c r="O3216" s="1085"/>
    </row>
    <row r="3217" spans="1:15" ht="15" customHeight="1">
      <c r="A3217" s="1056" t="s">
        <v>2666</v>
      </c>
      <c r="B3217" s="1057" t="s">
        <v>2667</v>
      </c>
      <c r="C3217" s="1058" t="e">
        <f>VLOOKUP(B3212,'LƯƠNG KT'!$D$15:$R$94,19,0)</f>
        <v>#N/A</v>
      </c>
      <c r="D3217" s="1059" t="e">
        <f>+C3217*$L$8</f>
        <v>#N/A</v>
      </c>
      <c r="E3217" s="1061"/>
      <c r="F3217" s="1061"/>
      <c r="G3217" s="1056" t="s">
        <v>2666</v>
      </c>
      <c r="H3217" s="1057" t="s">
        <v>2667</v>
      </c>
      <c r="I3217" s="1058" t="e">
        <f>VLOOKUP(H3212,'LƯƠNG KT'!$D$15:$R$94,19,0)</f>
        <v>#N/A</v>
      </c>
      <c r="J3217" s="1059" t="e">
        <f>+I3217*$L$8</f>
        <v>#N/A</v>
      </c>
      <c r="K3217" s="1085"/>
      <c r="L3217" s="1085"/>
      <c r="M3217" s="1085"/>
      <c r="N3217" s="1085"/>
      <c r="O3217" s="1085"/>
    </row>
    <row r="3218" spans="1:15" ht="15" customHeight="1">
      <c r="A3218" s="1056" t="s">
        <v>2668</v>
      </c>
      <c r="B3218" s="1062" t="s">
        <v>2669</v>
      </c>
      <c r="C3218" s="1058" t="e">
        <f>VLOOKUP(B3212,'LƯƠNG KT'!$D$15:$R$94,20,0)</f>
        <v>#N/A</v>
      </c>
      <c r="D3218" s="1059" t="e">
        <f>+C3218*$L$9</f>
        <v>#N/A</v>
      </c>
      <c r="E3218" s="1061"/>
      <c r="F3218" s="1061"/>
      <c r="G3218" s="1056" t="s">
        <v>2668</v>
      </c>
      <c r="H3218" s="1062" t="s">
        <v>2669</v>
      </c>
      <c r="I3218" s="1058" t="e">
        <f>VLOOKUP(H3212,'LƯƠNG KT'!$D$15:$R$94,20,0)</f>
        <v>#N/A</v>
      </c>
      <c r="J3218" s="1059" t="e">
        <f>+I3218*$L$9</f>
        <v>#N/A</v>
      </c>
      <c r="K3218" s="1085"/>
      <c r="L3218" s="1085"/>
      <c r="M3218" s="1085"/>
      <c r="N3218" s="1085"/>
      <c r="O3218" s="1085"/>
    </row>
    <row r="3219" spans="1:15" ht="15" customHeight="1">
      <c r="A3219" s="1056" t="s">
        <v>2671</v>
      </c>
      <c r="B3219" s="1057" t="s">
        <v>2672</v>
      </c>
      <c r="C3219" s="1058" t="e">
        <f>VLOOKUP(B3212,'LƯƠNG KT'!$D$15:$R$94,17,0)</f>
        <v>#N/A</v>
      </c>
      <c r="D3219" s="1059" t="e">
        <f>+C3219*$L$10</f>
        <v>#N/A</v>
      </c>
      <c r="E3219" s="1061"/>
      <c r="F3219" s="1061"/>
      <c r="G3219" s="1056" t="s">
        <v>2671</v>
      </c>
      <c r="H3219" s="1057" t="s">
        <v>2672</v>
      </c>
      <c r="I3219" s="1058" t="e">
        <f>VLOOKUP(H3212,'LƯƠNG KT'!$D$15:$R$94,17,0)</f>
        <v>#N/A</v>
      </c>
      <c r="J3219" s="1059" t="e">
        <f>+I3219*$L$10</f>
        <v>#N/A</v>
      </c>
      <c r="K3219" s="1085"/>
      <c r="L3219" s="1085"/>
      <c r="M3219" s="1085"/>
      <c r="N3219" s="1085"/>
      <c r="O3219" s="1085"/>
    </row>
    <row r="3220" spans="1:15" ht="15" customHeight="1">
      <c r="A3220" s="1056" t="s">
        <v>374</v>
      </c>
      <c r="B3220" s="1057" t="s">
        <v>2674</v>
      </c>
      <c r="C3220" s="1058" t="e">
        <f>VLOOKUP(B3212,'LƯƠNG KT'!$D$15:$R$94,12,0)</f>
        <v>#N/A</v>
      </c>
      <c r="D3220" s="1059" t="e">
        <f>VLOOKUP(B3212,'LƯƠNG KT'!$D$15:$R$94,14,0)</f>
        <v>#N/A</v>
      </c>
      <c r="E3220" s="1063"/>
      <c r="F3220" s="1061"/>
      <c r="G3220" s="1056" t="s">
        <v>374</v>
      </c>
      <c r="H3220" s="1057" t="s">
        <v>2674</v>
      </c>
      <c r="I3220" s="1058" t="e">
        <f>VLOOKUP(H3212,'LƯƠNG KT'!$D$15:$R$94,12,0)</f>
        <v>#N/A</v>
      </c>
      <c r="J3220" s="1059" t="e">
        <f>VLOOKUP(H3212,'LƯƠNG KT'!$D$15:$R$94,14,0)</f>
        <v>#N/A</v>
      </c>
      <c r="K3220" s="1085"/>
      <c r="L3220" s="1085"/>
      <c r="M3220" s="1085"/>
      <c r="N3220" s="1085"/>
      <c r="O3220" s="1085"/>
    </row>
    <row r="3221" spans="1:15" ht="15" customHeight="1">
      <c r="A3221" s="1056" t="s">
        <v>2675</v>
      </c>
      <c r="B3221" s="1057" t="s">
        <v>2676</v>
      </c>
      <c r="D3221" s="1064" t="e">
        <f>VLOOKUP(B3212,'LƯƠNG KT'!$D$15:$R$94,13,0)</f>
        <v>#N/A</v>
      </c>
      <c r="E3221" s="1065"/>
      <c r="F3221" s="1065"/>
      <c r="G3221" s="1056" t="s">
        <v>2675</v>
      </c>
      <c r="H3221" s="1057" t="s">
        <v>2676</v>
      </c>
      <c r="J3221" s="1064" t="e">
        <f>VLOOKUP(H3212,'LƯƠNG KT'!$D$15:$R$94,13,0)</f>
        <v>#N/A</v>
      </c>
    </row>
    <row r="3222" spans="1:15" ht="15" customHeight="1">
      <c r="A3222" s="1066"/>
      <c r="B3222" s="869"/>
      <c r="C3222" s="1058"/>
      <c r="D3222" s="1059"/>
      <c r="E3222" s="1063"/>
      <c r="F3222" s="1065"/>
      <c r="G3222" s="1066"/>
      <c r="H3222" s="869"/>
      <c r="I3222" s="1058"/>
      <c r="J3222" s="1059"/>
    </row>
    <row r="3223" spans="1:15" ht="15" customHeight="1">
      <c r="A3223" s="1052"/>
      <c r="B3223" s="869"/>
      <c r="C3223" s="1058"/>
      <c r="D3223" s="1059"/>
      <c r="E3223" s="1067"/>
      <c r="F3223" s="1051"/>
      <c r="G3223" s="1052"/>
      <c r="H3223" s="869"/>
      <c r="I3223" s="1058"/>
      <c r="J3223" s="1059"/>
    </row>
    <row r="3224" spans="1:15" ht="15" customHeight="1">
      <c r="A3224" s="1068" t="s">
        <v>383</v>
      </c>
      <c r="B3224" s="1069" t="s">
        <v>384</v>
      </c>
      <c r="C3224" s="1070"/>
      <c r="D3224" s="1071" t="e">
        <f>SUM(D3213:D3220)-D3223</f>
        <v>#N/A</v>
      </c>
      <c r="E3224" s="1072"/>
      <c r="F3224" s="1073"/>
      <c r="G3224" s="1068" t="s">
        <v>383</v>
      </c>
      <c r="H3224" s="1069" t="s">
        <v>384</v>
      </c>
      <c r="I3224" s="1070"/>
      <c r="J3224" s="1071" t="e">
        <f>SUM(J3213:J3220)-J3223</f>
        <v>#N/A</v>
      </c>
    </row>
    <row r="3225" spans="1:15" ht="18.75" customHeight="1">
      <c r="A3225" s="1074"/>
      <c r="B3225" s="1075"/>
      <c r="C3225" s="1076"/>
      <c r="D3225" s="1077"/>
      <c r="E3225" s="1077"/>
      <c r="F3225" s="1078"/>
      <c r="G3225" s="1074"/>
      <c r="H3225" s="1075"/>
      <c r="I3225" s="1076"/>
      <c r="J3225" s="1077"/>
    </row>
    <row r="3226" spans="1:15" ht="18.75" customHeight="1">
      <c r="A3226" s="1075"/>
      <c r="B3226" s="1075"/>
      <c r="C3226" s="1079"/>
      <c r="D3226" s="1080"/>
      <c r="E3226" s="1075"/>
      <c r="F3226" s="1081"/>
      <c r="G3226" s="1075"/>
      <c r="H3226" s="1075"/>
      <c r="I3226" s="1079"/>
      <c r="J3226" s="1080"/>
    </row>
    <row r="3227" spans="1:15" ht="15" customHeight="1">
      <c r="A3227" s="2242" t="str">
        <f>$K$2</f>
        <v>THÁNG 04/2025</v>
      </c>
      <c r="B3227" s="2242"/>
      <c r="C3227" s="2242"/>
      <c r="D3227" s="2242"/>
      <c r="E3227" s="1050"/>
      <c r="F3227" s="1051"/>
      <c r="G3227" s="2242" t="str">
        <f>$K$2</f>
        <v>THÁNG 04/2025</v>
      </c>
      <c r="H3227" s="2242"/>
      <c r="I3227" s="2242"/>
      <c r="J3227" s="2242"/>
      <c r="K3227" s="624"/>
    </row>
    <row r="3228" spans="1:15" ht="15" customHeight="1">
      <c r="A3228" s="1052" t="s">
        <v>356</v>
      </c>
      <c r="B3228" s="1053" t="s">
        <v>276</v>
      </c>
      <c r="C3228" s="869"/>
      <c r="D3228" s="1049"/>
      <c r="E3228" s="1054"/>
      <c r="F3228" s="1055"/>
      <c r="G3228" s="1052" t="s">
        <v>356</v>
      </c>
      <c r="H3228" s="1053" t="s">
        <v>512</v>
      </c>
      <c r="I3228" s="869"/>
      <c r="J3228" s="1049"/>
      <c r="L3228" s="1088"/>
      <c r="M3228" s="1088"/>
      <c r="N3228" s="1088"/>
      <c r="O3228" s="1088"/>
    </row>
    <row r="3229" spans="1:15" ht="15" customHeight="1">
      <c r="A3229" s="1056" t="s">
        <v>359</v>
      </c>
      <c r="B3229" s="1057" t="s">
        <v>2662</v>
      </c>
      <c r="C3229" s="1058" t="e">
        <f>VLOOKUP(B3228,'LƯƠNG KT'!$D$15:$R$94,4,0)</f>
        <v>#N/A</v>
      </c>
      <c r="D3229" s="1059" t="e">
        <f>+C3229*25000</f>
        <v>#N/A</v>
      </c>
      <c r="E3229" s="1060"/>
      <c r="F3229" s="1060"/>
      <c r="G3229" s="1056" t="s">
        <v>359</v>
      </c>
      <c r="H3229" s="1057" t="s">
        <v>2662</v>
      </c>
      <c r="I3229" s="1058"/>
      <c r="J3229" s="1059"/>
      <c r="K3229" s="1085"/>
      <c r="L3229" s="1085"/>
      <c r="M3229" s="1085"/>
      <c r="N3229" s="1085"/>
      <c r="O3229" s="1085"/>
    </row>
    <row r="3230" spans="1:15" ht="15" customHeight="1">
      <c r="A3230" s="1056" t="s">
        <v>361</v>
      </c>
      <c r="B3230" s="1057" t="s">
        <v>2663</v>
      </c>
      <c r="C3230" s="1058" t="e">
        <f>VLOOKUP(B3228,'LƯƠNG KT'!$D$15:$R$94,15,0)</f>
        <v>#N/A</v>
      </c>
      <c r="D3230" s="1059" t="e">
        <f>C3230*$L$4</f>
        <v>#N/A</v>
      </c>
      <c r="E3230" s="1061"/>
      <c r="F3230" s="1061"/>
      <c r="G3230" s="1056" t="s">
        <v>361</v>
      </c>
      <c r="H3230" s="1057" t="s">
        <v>2663</v>
      </c>
      <c r="I3230" s="1058"/>
      <c r="J3230" s="1059"/>
      <c r="K3230" s="1085"/>
      <c r="L3230" s="1085"/>
      <c r="M3230" s="1085"/>
      <c r="N3230" s="1085"/>
      <c r="O3230" s="1085"/>
    </row>
    <row r="3231" spans="1:15" ht="15" customHeight="1">
      <c r="A3231" s="1056" t="s">
        <v>364</v>
      </c>
      <c r="B3231" s="1057" t="s">
        <v>2664</v>
      </c>
      <c r="C3231" s="1058" t="e">
        <f>VLOOKUP(B3228,'LƯƠNG KT'!$D$15:$R$94,16,0)</f>
        <v>#N/A</v>
      </c>
      <c r="D3231" s="1059" t="e">
        <f>C3231*$L$5</f>
        <v>#N/A</v>
      </c>
      <c r="E3231" s="1061"/>
      <c r="F3231" s="1061"/>
      <c r="G3231" s="1056" t="s">
        <v>364</v>
      </c>
      <c r="H3231" s="1057" t="s">
        <v>2664</v>
      </c>
      <c r="I3231" s="1058"/>
      <c r="J3231" s="1059"/>
      <c r="K3231" s="1085"/>
      <c r="L3231" s="1085"/>
      <c r="M3231" s="1085"/>
      <c r="N3231" s="1085"/>
      <c r="O3231" s="1085"/>
    </row>
    <row r="3232" spans="1:15" ht="15" customHeight="1">
      <c r="A3232" s="1056" t="s">
        <v>370</v>
      </c>
      <c r="B3232" s="1057" t="s">
        <v>2665</v>
      </c>
      <c r="C3232" s="1058" t="e">
        <f>VLOOKUP(B3228,'LƯƠNG KT'!$D$15:$R$94,24,0)</f>
        <v>#N/A</v>
      </c>
      <c r="D3232" s="1059" t="e">
        <f>+C3232*$L$6</f>
        <v>#N/A</v>
      </c>
      <c r="E3232" s="1061"/>
      <c r="F3232" s="1061"/>
      <c r="G3232" s="1056" t="s">
        <v>370</v>
      </c>
      <c r="H3232" s="1057" t="s">
        <v>2665</v>
      </c>
      <c r="I3232" s="1058"/>
      <c r="J3232" s="1059"/>
      <c r="K3232" s="1085"/>
      <c r="L3232" s="1085"/>
      <c r="M3232" s="1085"/>
      <c r="N3232" s="1085"/>
      <c r="O3232" s="1085"/>
    </row>
    <row r="3233" spans="1:15" ht="15" customHeight="1">
      <c r="A3233" s="1056" t="s">
        <v>2666</v>
      </c>
      <c r="B3233" s="1057" t="s">
        <v>2667</v>
      </c>
      <c r="C3233" s="1058" t="e">
        <f>VLOOKUP(B3228,'LƯƠNG KT'!$D$15:$R$94,19,0)</f>
        <v>#N/A</v>
      </c>
      <c r="D3233" s="1059" t="e">
        <f>+C3233*$L$8</f>
        <v>#N/A</v>
      </c>
      <c r="E3233" s="1061"/>
      <c r="F3233" s="1061"/>
      <c r="G3233" s="1056" t="s">
        <v>2666</v>
      </c>
      <c r="H3233" s="1057" t="s">
        <v>2667</v>
      </c>
      <c r="I3233" s="1058"/>
      <c r="J3233" s="1059"/>
      <c r="K3233" s="1085"/>
      <c r="L3233" s="1085"/>
      <c r="M3233" s="1085"/>
      <c r="N3233" s="1085"/>
      <c r="O3233" s="1085"/>
    </row>
    <row r="3234" spans="1:15" ht="15" customHeight="1">
      <c r="A3234" s="1056" t="s">
        <v>2668</v>
      </c>
      <c r="B3234" s="1062" t="s">
        <v>2669</v>
      </c>
      <c r="C3234" s="1058" t="e">
        <f>VLOOKUP(B3228,'LƯƠNG KT'!$D$15:$R$94,20,0)</f>
        <v>#N/A</v>
      </c>
      <c r="D3234" s="1059" t="e">
        <f>+C3234*$L$9</f>
        <v>#N/A</v>
      </c>
      <c r="E3234" s="1061"/>
      <c r="F3234" s="1061"/>
      <c r="G3234" s="1056" t="s">
        <v>2668</v>
      </c>
      <c r="H3234" s="1062" t="s">
        <v>2669</v>
      </c>
      <c r="I3234" s="1058"/>
      <c r="J3234" s="1059"/>
      <c r="K3234" s="1085"/>
      <c r="L3234" s="1085"/>
      <c r="M3234" s="1085"/>
      <c r="N3234" s="1085"/>
      <c r="O3234" s="1085"/>
    </row>
    <row r="3235" spans="1:15" ht="15" customHeight="1">
      <c r="A3235" s="1056" t="s">
        <v>2671</v>
      </c>
      <c r="B3235" s="1057" t="s">
        <v>2672</v>
      </c>
      <c r="C3235" s="1058" t="e">
        <f>VLOOKUP(B3228,'LƯƠNG KT'!$D$15:$R$94,17,0)</f>
        <v>#N/A</v>
      </c>
      <c r="D3235" s="1059" t="e">
        <f>+C3235*$L$10</f>
        <v>#N/A</v>
      </c>
      <c r="E3235" s="1061"/>
      <c r="F3235" s="1061"/>
      <c r="G3235" s="1056" t="s">
        <v>2671</v>
      </c>
      <c r="H3235" s="1057" t="s">
        <v>2672</v>
      </c>
      <c r="I3235" s="1058"/>
      <c r="J3235" s="1059"/>
      <c r="K3235" s="1085"/>
      <c r="L3235" s="1085"/>
      <c r="M3235" s="1085"/>
      <c r="N3235" s="1085"/>
      <c r="O3235" s="1085"/>
    </row>
    <row r="3236" spans="1:15" ht="15" customHeight="1">
      <c r="A3236" s="1056" t="s">
        <v>374</v>
      </c>
      <c r="B3236" s="1057" t="s">
        <v>2674</v>
      </c>
      <c r="C3236" s="1058" t="e">
        <f>VLOOKUP(B3228,'LƯƠNG KT'!$D$15:$R$94,12,0)</f>
        <v>#N/A</v>
      </c>
      <c r="D3236" s="1059" t="e">
        <f>VLOOKUP(B3228,'LƯƠNG KT'!$D$15:$R$94,14,0)</f>
        <v>#N/A</v>
      </c>
      <c r="E3236" s="1063"/>
      <c r="F3236" s="1061"/>
      <c r="G3236" s="1056" t="s">
        <v>374</v>
      </c>
      <c r="H3236" s="1057" t="s">
        <v>2674</v>
      </c>
      <c r="I3236" s="1058"/>
      <c r="J3236" s="1059"/>
      <c r="K3236" s="1085"/>
      <c r="L3236" s="1085"/>
      <c r="M3236" s="1085"/>
      <c r="N3236" s="1085"/>
      <c r="O3236" s="1085"/>
    </row>
    <row r="3237" spans="1:15" ht="15" customHeight="1">
      <c r="A3237" s="1056" t="s">
        <v>2675</v>
      </c>
      <c r="B3237" s="1057" t="s">
        <v>2676</v>
      </c>
      <c r="D3237" s="1064" t="e">
        <f>VLOOKUP(B3228,'LƯƠNG KT'!$D$15:$R$94,13,0)</f>
        <v>#N/A</v>
      </c>
      <c r="E3237" s="1065"/>
      <c r="F3237" s="1065"/>
      <c r="G3237" s="1056" t="s">
        <v>2675</v>
      </c>
      <c r="H3237" s="1057" t="s">
        <v>2676</v>
      </c>
      <c r="J3237" s="1064"/>
    </row>
    <row r="3238" spans="1:15" ht="15" customHeight="1">
      <c r="A3238" s="1066"/>
      <c r="B3238" s="869"/>
      <c r="C3238" s="1058"/>
      <c r="D3238" s="1059"/>
      <c r="E3238" s="1063"/>
      <c r="F3238" s="1065"/>
      <c r="G3238" s="1066"/>
      <c r="H3238" s="869"/>
      <c r="I3238" s="1058"/>
      <c r="J3238" s="1059"/>
    </row>
    <row r="3239" spans="1:15" ht="15" customHeight="1">
      <c r="A3239" s="1052"/>
      <c r="B3239" s="869"/>
      <c r="C3239" s="1058"/>
      <c r="D3239" s="1059"/>
      <c r="E3239" s="1067"/>
      <c r="F3239" s="1051"/>
      <c r="G3239" s="1052"/>
      <c r="H3239" s="869"/>
      <c r="I3239" s="1058"/>
      <c r="J3239" s="1059"/>
    </row>
    <row r="3240" spans="1:15" ht="15" customHeight="1">
      <c r="A3240" s="1068" t="s">
        <v>383</v>
      </c>
      <c r="B3240" s="1069" t="s">
        <v>384</v>
      </c>
      <c r="C3240" s="1070"/>
      <c r="D3240" s="1071" t="e">
        <f>SUM(D3229:D3236)-D3239</f>
        <v>#N/A</v>
      </c>
      <c r="E3240" s="1072"/>
      <c r="F3240" s="1073"/>
      <c r="G3240" s="1068" t="s">
        <v>383</v>
      </c>
      <c r="H3240" s="1069" t="s">
        <v>384</v>
      </c>
      <c r="I3240" s="1070"/>
      <c r="J3240" s="1071">
        <f>SUM(J3229:J3236)-J3239</f>
        <v>0</v>
      </c>
    </row>
    <row r="3241" spans="1:15" ht="23.25" customHeight="1">
      <c r="A3241" s="1074"/>
      <c r="B3241" s="1075"/>
      <c r="C3241" s="1076"/>
      <c r="D3241" s="1077"/>
      <c r="E3241" s="1077"/>
      <c r="F3241" s="1078"/>
      <c r="G3241" s="1074"/>
      <c r="H3241" s="1075"/>
      <c r="I3241" s="1076"/>
      <c r="J3241" s="1077"/>
    </row>
    <row r="3243" spans="1:15" ht="12" customHeight="1">
      <c r="A3243" s="2243"/>
      <c r="B3243" s="2243"/>
      <c r="C3243" s="2243"/>
      <c r="D3243" s="2243"/>
      <c r="E3243" s="2243"/>
      <c r="F3243" s="2243"/>
      <c r="G3243" s="2243"/>
      <c r="H3243" s="2243"/>
      <c r="I3243" s="2243"/>
      <c r="J3243" s="2243"/>
    </row>
    <row r="3244" spans="1:15" ht="15" customHeight="1">
      <c r="A3244" s="2242" t="str">
        <f>$K$2</f>
        <v>THÁNG 04/2025</v>
      </c>
      <c r="B3244" s="2242"/>
      <c r="C3244" s="2242"/>
      <c r="D3244" s="2242"/>
      <c r="E3244" s="1050"/>
      <c r="F3244" s="1051"/>
      <c r="G3244" s="2242" t="str">
        <f>$K$2</f>
        <v>THÁNG 04/2025</v>
      </c>
      <c r="H3244" s="2242"/>
      <c r="I3244" s="2242"/>
      <c r="J3244" s="2242"/>
      <c r="K3244" s="624"/>
    </row>
    <row r="3245" spans="1:15" ht="15" customHeight="1">
      <c r="A3245" s="1052" t="s">
        <v>356</v>
      </c>
      <c r="B3245" s="1053" t="s">
        <v>278</v>
      </c>
      <c r="C3245" s="869"/>
      <c r="D3245" s="1049"/>
      <c r="E3245" s="1054"/>
      <c r="F3245" s="1055"/>
      <c r="G3245" s="1052" t="s">
        <v>356</v>
      </c>
      <c r="H3245" s="1053" t="s">
        <v>281</v>
      </c>
      <c r="I3245" s="869"/>
      <c r="J3245" s="1049"/>
      <c r="L3245" s="1088"/>
      <c r="M3245" s="1088"/>
      <c r="N3245" s="1088"/>
      <c r="O3245" s="1088"/>
    </row>
    <row r="3246" spans="1:15" ht="15" customHeight="1">
      <c r="A3246" s="1056" t="s">
        <v>359</v>
      </c>
      <c r="B3246" s="1057" t="s">
        <v>2662</v>
      </c>
      <c r="C3246" s="1058" t="e">
        <f>VLOOKUP(B3245,'LƯƠNG KT'!$D$15:$R$94,4,0)</f>
        <v>#N/A</v>
      </c>
      <c r="D3246" s="1059" t="e">
        <f>+C3246*25000</f>
        <v>#N/A</v>
      </c>
      <c r="E3246" s="1060"/>
      <c r="F3246" s="1060"/>
      <c r="G3246" s="1056" t="s">
        <v>359</v>
      </c>
      <c r="H3246" s="1057" t="s">
        <v>2662</v>
      </c>
      <c r="I3246" s="1058" t="e">
        <f>VLOOKUP(H3245,'LƯƠNG KT'!$D$15:$R$94,4,0)</f>
        <v>#N/A</v>
      </c>
      <c r="J3246" s="1059" t="e">
        <f>+I3246*25000</f>
        <v>#N/A</v>
      </c>
      <c r="K3246" s="1084"/>
      <c r="L3246" s="1085"/>
      <c r="M3246" s="1085"/>
      <c r="N3246" s="1085"/>
      <c r="O3246" s="1085"/>
    </row>
    <row r="3247" spans="1:15" ht="15" customHeight="1">
      <c r="A3247" s="1056" t="s">
        <v>361</v>
      </c>
      <c r="B3247" s="1057" t="s">
        <v>2663</v>
      </c>
      <c r="C3247" s="1058" t="e">
        <f>VLOOKUP(B3245,'LƯƠNG KT'!$D$15:$R$94,15,0)</f>
        <v>#N/A</v>
      </c>
      <c r="D3247" s="1059" t="e">
        <f>C3247*$L$4</f>
        <v>#N/A</v>
      </c>
      <c r="E3247" s="1061"/>
      <c r="F3247" s="1061"/>
      <c r="G3247" s="1056" t="s">
        <v>361</v>
      </c>
      <c r="H3247" s="1057" t="s">
        <v>2663</v>
      </c>
      <c r="I3247" s="1058" t="e">
        <f>VLOOKUP(H3245,'LƯƠNG KT'!$D$15:$R$94,15,0)</f>
        <v>#N/A</v>
      </c>
      <c r="J3247" s="1059" t="e">
        <f>I3247*$L$4</f>
        <v>#N/A</v>
      </c>
      <c r="K3247" s="1084"/>
      <c r="L3247" s="1085"/>
      <c r="M3247" s="1085"/>
      <c r="N3247" s="1085"/>
      <c r="O3247" s="1085"/>
    </row>
    <row r="3248" spans="1:15" ht="15" customHeight="1">
      <c r="A3248" s="1056" t="s">
        <v>364</v>
      </c>
      <c r="B3248" s="1057" t="s">
        <v>2664</v>
      </c>
      <c r="C3248" s="1058" t="e">
        <f>VLOOKUP(B3245,'LƯƠNG KT'!$D$15:$R$94,16,0)</f>
        <v>#N/A</v>
      </c>
      <c r="D3248" s="1059" t="e">
        <f>C3248*$L$5</f>
        <v>#N/A</v>
      </c>
      <c r="E3248" s="1061"/>
      <c r="F3248" s="1061"/>
      <c r="G3248" s="1056" t="s">
        <v>364</v>
      </c>
      <c r="H3248" s="1057" t="s">
        <v>2664</v>
      </c>
      <c r="I3248" s="1058" t="e">
        <f>VLOOKUP(H3245,'LƯƠNG KT'!$D$15:$R$94,16,0)</f>
        <v>#N/A</v>
      </c>
      <c r="J3248" s="1059" t="e">
        <f>I3248*$L$5</f>
        <v>#N/A</v>
      </c>
      <c r="K3248" s="1084"/>
      <c r="L3248" s="1085"/>
      <c r="M3248" s="1085"/>
      <c r="N3248" s="1085"/>
      <c r="O3248" s="1085"/>
    </row>
    <row r="3249" spans="1:15" ht="15" customHeight="1">
      <c r="A3249" s="1056" t="s">
        <v>370</v>
      </c>
      <c r="B3249" s="1057" t="s">
        <v>2665</v>
      </c>
      <c r="C3249" s="1058" t="e">
        <f>VLOOKUP(B3245,'LƯƠNG KT'!$D$15:$R$94,24,0)</f>
        <v>#N/A</v>
      </c>
      <c r="D3249" s="1059" t="e">
        <f>+C3249*$L$6</f>
        <v>#N/A</v>
      </c>
      <c r="E3249" s="1061"/>
      <c r="F3249" s="1061"/>
      <c r="G3249" s="1056" t="s">
        <v>370</v>
      </c>
      <c r="H3249" s="1057" t="s">
        <v>2665</v>
      </c>
      <c r="I3249" s="1058" t="e">
        <f>VLOOKUP(H3245,'LƯƠNG KT'!$D$15:$R$94,24,0)</f>
        <v>#N/A</v>
      </c>
      <c r="J3249" s="1059" t="e">
        <f>+I3249*$L$6</f>
        <v>#N/A</v>
      </c>
      <c r="K3249" s="1085"/>
      <c r="L3249" s="1085"/>
      <c r="M3249" s="1085"/>
      <c r="N3249" s="1085"/>
      <c r="O3249" s="1085"/>
    </row>
    <row r="3250" spans="1:15" ht="15" customHeight="1">
      <c r="A3250" s="1056" t="s">
        <v>2666</v>
      </c>
      <c r="B3250" s="1057" t="s">
        <v>2667</v>
      </c>
      <c r="C3250" s="1058" t="e">
        <f>VLOOKUP(B3245,'LƯƠNG KT'!$D$15:$R$94,19,0)</f>
        <v>#N/A</v>
      </c>
      <c r="D3250" s="1059" t="e">
        <f>+C3250*$L$8</f>
        <v>#N/A</v>
      </c>
      <c r="E3250" s="1061"/>
      <c r="F3250" s="1061"/>
      <c r="G3250" s="1056" t="s">
        <v>2666</v>
      </c>
      <c r="H3250" s="1057" t="s">
        <v>2667</v>
      </c>
      <c r="I3250" s="1058" t="e">
        <f>VLOOKUP(H3245,'LƯƠNG KT'!$D$15:$R$94,19,0)</f>
        <v>#N/A</v>
      </c>
      <c r="J3250" s="1059" t="e">
        <f>+I3250*$L$8</f>
        <v>#N/A</v>
      </c>
      <c r="K3250" s="1085"/>
      <c r="L3250" s="1085"/>
      <c r="M3250" s="1085"/>
      <c r="N3250" s="1085"/>
      <c r="O3250" s="1085"/>
    </row>
    <row r="3251" spans="1:15" ht="15" customHeight="1">
      <c r="A3251" s="1056" t="s">
        <v>2668</v>
      </c>
      <c r="B3251" s="1062" t="s">
        <v>2669</v>
      </c>
      <c r="C3251" s="1058" t="e">
        <f>VLOOKUP(B3245,'LƯƠNG KT'!$D$15:$R$94,20,0)</f>
        <v>#N/A</v>
      </c>
      <c r="D3251" s="1059" t="e">
        <f>+C3251*$L$9</f>
        <v>#N/A</v>
      </c>
      <c r="E3251" s="1061"/>
      <c r="F3251" s="1061"/>
      <c r="G3251" s="1056" t="s">
        <v>2668</v>
      </c>
      <c r="H3251" s="1062" t="s">
        <v>2669</v>
      </c>
      <c r="I3251" s="1058" t="e">
        <f>VLOOKUP(H3245,'LƯƠNG KT'!$D$15:$R$94,20,0)</f>
        <v>#N/A</v>
      </c>
      <c r="J3251" s="1059" t="e">
        <f>+I3251*$L$9</f>
        <v>#N/A</v>
      </c>
      <c r="K3251" s="1085"/>
      <c r="L3251" s="1085"/>
      <c r="M3251" s="1085"/>
      <c r="N3251" s="1085"/>
      <c r="O3251" s="1085"/>
    </row>
    <row r="3252" spans="1:15" ht="15" customHeight="1">
      <c r="A3252" s="1056" t="s">
        <v>2671</v>
      </c>
      <c r="B3252" s="1057" t="s">
        <v>2672</v>
      </c>
      <c r="C3252" s="1058" t="e">
        <f>VLOOKUP(B3245,'LƯƠNG KT'!$D$15:$R$94,17,0)</f>
        <v>#N/A</v>
      </c>
      <c r="D3252" s="1059" t="e">
        <f>+C3252*$L$10</f>
        <v>#N/A</v>
      </c>
      <c r="E3252" s="1061"/>
      <c r="F3252" s="1061"/>
      <c r="G3252" s="1056" t="s">
        <v>2671</v>
      </c>
      <c r="H3252" s="1057" t="s">
        <v>2672</v>
      </c>
      <c r="I3252" s="1058" t="e">
        <f>VLOOKUP(H3245,'LƯƠNG KT'!$D$15:$R$94,17,0)</f>
        <v>#N/A</v>
      </c>
      <c r="J3252" s="1059" t="e">
        <f>+I3252*$L$10</f>
        <v>#N/A</v>
      </c>
      <c r="K3252" s="1085"/>
      <c r="L3252" s="1085"/>
      <c r="M3252" s="1085"/>
      <c r="N3252" s="1085"/>
      <c r="O3252" s="1085"/>
    </row>
    <row r="3253" spans="1:15" ht="15" customHeight="1">
      <c r="A3253" s="1056" t="s">
        <v>374</v>
      </c>
      <c r="B3253" s="1057" t="s">
        <v>2674</v>
      </c>
      <c r="C3253" s="1058" t="e">
        <f>VLOOKUP(B3245,'LƯƠNG KT'!$D$15:$R$94,12,0)</f>
        <v>#N/A</v>
      </c>
      <c r="D3253" s="1059" t="e">
        <f>VLOOKUP(B3245,'LƯƠNG KT'!$D$15:$R$94,14,0)</f>
        <v>#N/A</v>
      </c>
      <c r="E3253" s="1063"/>
      <c r="F3253" s="1061"/>
      <c r="G3253" s="1056" t="s">
        <v>374</v>
      </c>
      <c r="H3253" s="1057" t="s">
        <v>2674</v>
      </c>
      <c r="I3253" s="1058" t="e">
        <f>VLOOKUP(H3245,'LƯƠNG KT'!$D$15:$R$94,12,0)</f>
        <v>#N/A</v>
      </c>
      <c r="J3253" s="1059" t="e">
        <f>VLOOKUP(H3245,'LƯƠNG KT'!$D$15:$R$94,14,0)</f>
        <v>#N/A</v>
      </c>
      <c r="K3253" s="1085"/>
      <c r="L3253" s="1085"/>
      <c r="M3253" s="1085"/>
      <c r="N3253" s="1085"/>
      <c r="O3253" s="1085"/>
    </row>
    <row r="3254" spans="1:15" ht="15" customHeight="1">
      <c r="A3254" s="1056" t="s">
        <v>2675</v>
      </c>
      <c r="B3254" s="1057" t="s">
        <v>2676</v>
      </c>
      <c r="D3254" s="1064" t="e">
        <f>VLOOKUP(B3245,'LƯƠNG KT'!$D$15:$R$94,13,0)</f>
        <v>#N/A</v>
      </c>
      <c r="E3254" s="1065"/>
      <c r="F3254" s="1065"/>
      <c r="G3254" s="1056" t="s">
        <v>2675</v>
      </c>
      <c r="H3254" s="1057" t="s">
        <v>2676</v>
      </c>
      <c r="J3254" s="1064" t="e">
        <f>VLOOKUP(H3245,'LƯƠNG KT'!$D$15:$R$94,13,0)</f>
        <v>#N/A</v>
      </c>
    </row>
    <row r="3255" spans="1:15" ht="15" customHeight="1">
      <c r="A3255" s="1066"/>
      <c r="B3255" s="869"/>
      <c r="C3255" s="1058"/>
      <c r="D3255" s="1059"/>
      <c r="E3255" s="1063"/>
      <c r="F3255" s="1065"/>
      <c r="G3255" s="1066"/>
      <c r="H3255" s="869"/>
      <c r="I3255" s="1058"/>
      <c r="J3255" s="1059"/>
    </row>
    <row r="3256" spans="1:15" ht="15" customHeight="1">
      <c r="A3256" s="1052"/>
      <c r="B3256" s="869"/>
      <c r="C3256" s="1058"/>
      <c r="D3256" s="1059"/>
      <c r="E3256" s="1067"/>
      <c r="F3256" s="1051"/>
      <c r="G3256" s="1052"/>
      <c r="H3256" s="869"/>
      <c r="I3256" s="1058"/>
      <c r="J3256" s="1059"/>
    </row>
    <row r="3257" spans="1:15" ht="15" customHeight="1">
      <c r="A3257" s="1068" t="s">
        <v>383</v>
      </c>
      <c r="B3257" s="1069" t="s">
        <v>384</v>
      </c>
      <c r="C3257" s="1070"/>
      <c r="D3257" s="1071" t="e">
        <f>SUM(D3246:D3253)-D3256</f>
        <v>#N/A</v>
      </c>
      <c r="E3257" s="1072"/>
      <c r="F3257" s="1073"/>
      <c r="G3257" s="1068" t="s">
        <v>383</v>
      </c>
      <c r="H3257" s="1069" t="s">
        <v>384</v>
      </c>
      <c r="I3257" s="1070"/>
      <c r="J3257" s="1071" t="e">
        <f>SUM(J3246:J3253)-J3256</f>
        <v>#N/A</v>
      </c>
    </row>
    <row r="3258" spans="1:15" ht="12.6" customHeight="1">
      <c r="A3258" s="1074"/>
      <c r="B3258" s="1075"/>
      <c r="C3258" s="1076"/>
      <c r="D3258" s="1077"/>
      <c r="E3258" s="1077"/>
      <c r="F3258" s="1078"/>
      <c r="G3258" s="1074"/>
      <c r="H3258" s="1075"/>
      <c r="I3258" s="1076"/>
      <c r="J3258" s="1077"/>
    </row>
    <row r="3259" spans="1:15" ht="136.5" customHeight="1">
      <c r="A3259" s="1075"/>
      <c r="B3259" s="1075"/>
      <c r="C3259" s="1079"/>
      <c r="D3259" s="1080"/>
      <c r="E3259" s="1075"/>
      <c r="F3259" s="1081"/>
      <c r="G3259" s="1075"/>
      <c r="H3259" s="1075"/>
      <c r="I3259" s="1079"/>
      <c r="J3259" s="1080"/>
    </row>
    <row r="3260" spans="1:15" ht="15" customHeight="1">
      <c r="A3260" s="2242" t="str">
        <f>$K$2</f>
        <v>THÁNG 04/2025</v>
      </c>
      <c r="B3260" s="2242"/>
      <c r="C3260" s="2242"/>
      <c r="D3260" s="2242"/>
      <c r="E3260" s="1050"/>
      <c r="F3260" s="1051"/>
      <c r="G3260" s="2242" t="str">
        <f>$K$2</f>
        <v>THÁNG 04/2025</v>
      </c>
      <c r="H3260" s="2242"/>
      <c r="I3260" s="2242"/>
      <c r="J3260" s="2242"/>
      <c r="K3260" s="624"/>
    </row>
    <row r="3261" spans="1:15" ht="15" customHeight="1">
      <c r="A3261" s="1052" t="s">
        <v>356</v>
      </c>
      <c r="B3261" s="1053" t="s">
        <v>283</v>
      </c>
      <c r="C3261" s="869"/>
      <c r="D3261" s="1049"/>
      <c r="E3261" s="1054"/>
      <c r="F3261" s="1055"/>
      <c r="G3261" s="1052" t="s">
        <v>356</v>
      </c>
      <c r="H3261" s="1053" t="s">
        <v>280</v>
      </c>
      <c r="I3261" s="869"/>
      <c r="J3261" s="1049"/>
      <c r="L3261" s="1088"/>
      <c r="M3261" s="1088"/>
      <c r="N3261" s="1088"/>
      <c r="O3261" s="1088"/>
    </row>
    <row r="3262" spans="1:15" ht="15" customHeight="1">
      <c r="A3262" s="1056" t="s">
        <v>359</v>
      </c>
      <c r="B3262" s="1057" t="s">
        <v>2662</v>
      </c>
      <c r="C3262" s="1058" t="e">
        <f>VLOOKUP(B3261,'LƯƠNG KT'!$D$15:$R$94,4,0)</f>
        <v>#N/A</v>
      </c>
      <c r="D3262" s="1059" t="e">
        <f>+C3262*25000</f>
        <v>#N/A</v>
      </c>
      <c r="E3262" s="1060"/>
      <c r="F3262" s="1060"/>
      <c r="G3262" s="1056" t="s">
        <v>359</v>
      </c>
      <c r="H3262" s="1057" t="s">
        <v>2662</v>
      </c>
      <c r="I3262" s="1058" t="e">
        <f>VLOOKUP(H3261,'LƯƠNG KT'!$D$15:$R$94,4,0)</f>
        <v>#N/A</v>
      </c>
      <c r="J3262" s="1059" t="e">
        <f>+I3262*25000</f>
        <v>#N/A</v>
      </c>
      <c r="K3262" s="1085"/>
      <c r="L3262" s="1085"/>
      <c r="M3262" s="1085"/>
      <c r="N3262" s="1085"/>
      <c r="O3262" s="1085"/>
    </row>
    <row r="3263" spans="1:15" ht="15" customHeight="1">
      <c r="A3263" s="1056" t="s">
        <v>361</v>
      </c>
      <c r="B3263" s="1057" t="s">
        <v>2663</v>
      </c>
      <c r="C3263" s="1058" t="e">
        <f>VLOOKUP(B3261,'LƯƠNG KT'!$D$15:$R$94,15,0)</f>
        <v>#N/A</v>
      </c>
      <c r="D3263" s="1059" t="e">
        <f>C3263*$L$4</f>
        <v>#N/A</v>
      </c>
      <c r="E3263" s="1061"/>
      <c r="F3263" s="1061"/>
      <c r="G3263" s="1056" t="s">
        <v>361</v>
      </c>
      <c r="H3263" s="1057" t="s">
        <v>2663</v>
      </c>
      <c r="I3263" s="1058" t="e">
        <f>VLOOKUP(H3261,'LƯƠNG KT'!$D$15:$R$94,15,0)</f>
        <v>#N/A</v>
      </c>
      <c r="J3263" s="1059" t="e">
        <f>I3263*$L$4</f>
        <v>#N/A</v>
      </c>
      <c r="K3263" s="1085"/>
      <c r="L3263" s="1085"/>
      <c r="M3263" s="1085"/>
      <c r="N3263" s="1085"/>
      <c r="O3263" s="1085"/>
    </row>
    <row r="3264" spans="1:15" ht="15" customHeight="1">
      <c r="A3264" s="1056" t="s">
        <v>364</v>
      </c>
      <c r="B3264" s="1057" t="s">
        <v>2664</v>
      </c>
      <c r="C3264" s="1058" t="e">
        <f>VLOOKUP(B3261,'LƯƠNG KT'!$D$15:$R$94,16,0)</f>
        <v>#N/A</v>
      </c>
      <c r="D3264" s="1059" t="e">
        <f>C3264*$L$5</f>
        <v>#N/A</v>
      </c>
      <c r="E3264" s="1061"/>
      <c r="F3264" s="1061"/>
      <c r="G3264" s="1056" t="s">
        <v>364</v>
      </c>
      <c r="H3264" s="1057" t="s">
        <v>2664</v>
      </c>
      <c r="I3264" s="1058" t="e">
        <f>VLOOKUP(H3261,'LƯƠNG KT'!$D$15:$R$94,16,0)</f>
        <v>#N/A</v>
      </c>
      <c r="J3264" s="1059" t="e">
        <f>I3264*$L$5</f>
        <v>#N/A</v>
      </c>
      <c r="K3264" s="1085"/>
      <c r="L3264" s="1085"/>
      <c r="M3264" s="1085"/>
      <c r="N3264" s="1085"/>
      <c r="O3264" s="1085"/>
    </row>
    <row r="3265" spans="1:15" ht="15" customHeight="1">
      <c r="A3265" s="1056" t="s">
        <v>370</v>
      </c>
      <c r="B3265" s="1057" t="s">
        <v>2665</v>
      </c>
      <c r="C3265" s="1058" t="e">
        <f>VLOOKUP(B3261,'LƯƠNG KT'!$D$15:$R$94,24,0)</f>
        <v>#N/A</v>
      </c>
      <c r="D3265" s="1059" t="e">
        <f>+C3265*$L$6</f>
        <v>#N/A</v>
      </c>
      <c r="E3265" s="1061"/>
      <c r="F3265" s="1061"/>
      <c r="G3265" s="1056" t="s">
        <v>370</v>
      </c>
      <c r="H3265" s="1057" t="s">
        <v>2665</v>
      </c>
      <c r="I3265" s="1058" t="e">
        <f>VLOOKUP(H3261,'LƯƠNG KT'!$D$15:$R$94,24,0)</f>
        <v>#N/A</v>
      </c>
      <c r="J3265" s="1059" t="e">
        <f>+I3265*$L$6</f>
        <v>#N/A</v>
      </c>
      <c r="K3265" s="1085"/>
      <c r="L3265" s="1085"/>
      <c r="M3265" s="1085"/>
      <c r="N3265" s="1085"/>
      <c r="O3265" s="1085"/>
    </row>
    <row r="3266" spans="1:15" ht="15" customHeight="1">
      <c r="A3266" s="1056" t="s">
        <v>2666</v>
      </c>
      <c r="B3266" s="1057" t="s">
        <v>2667</v>
      </c>
      <c r="C3266" s="1058" t="e">
        <f>VLOOKUP(B3261,'LƯƠNG KT'!$D$15:$R$94,19,0)</f>
        <v>#N/A</v>
      </c>
      <c r="D3266" s="1059" t="e">
        <f>+C3266*$L$8</f>
        <v>#N/A</v>
      </c>
      <c r="E3266" s="1061"/>
      <c r="F3266" s="1061"/>
      <c r="G3266" s="1056" t="s">
        <v>2666</v>
      </c>
      <c r="H3266" s="1057" t="s">
        <v>2667</v>
      </c>
      <c r="I3266" s="1058" t="e">
        <f>VLOOKUP(H3261,'LƯƠNG KT'!$D$15:$R$94,19,0)</f>
        <v>#N/A</v>
      </c>
      <c r="J3266" s="1059" t="e">
        <f>+I3266*$L$8</f>
        <v>#N/A</v>
      </c>
      <c r="K3266" s="1085"/>
      <c r="L3266" s="1085"/>
      <c r="M3266" s="1085"/>
      <c r="N3266" s="1085"/>
      <c r="O3266" s="1085"/>
    </row>
    <row r="3267" spans="1:15" ht="15" customHeight="1">
      <c r="A3267" s="1056" t="s">
        <v>2668</v>
      </c>
      <c r="B3267" s="1062" t="s">
        <v>2669</v>
      </c>
      <c r="C3267" s="1058" t="e">
        <f>VLOOKUP(B3261,'LƯƠNG KT'!$D$15:$R$94,20,0)</f>
        <v>#N/A</v>
      </c>
      <c r="D3267" s="1059" t="e">
        <f>+C3267*$L$9</f>
        <v>#N/A</v>
      </c>
      <c r="E3267" s="1061"/>
      <c r="F3267" s="1061"/>
      <c r="G3267" s="1056" t="s">
        <v>2668</v>
      </c>
      <c r="H3267" s="1062" t="s">
        <v>2669</v>
      </c>
      <c r="I3267" s="1058" t="e">
        <f>VLOOKUP(H3261,'LƯƠNG KT'!$D$15:$R$94,20,0)</f>
        <v>#N/A</v>
      </c>
      <c r="J3267" s="1059" t="e">
        <f>+I3267*$L$9</f>
        <v>#N/A</v>
      </c>
      <c r="K3267" s="1085"/>
      <c r="L3267" s="1085"/>
      <c r="M3267" s="1085"/>
      <c r="N3267" s="1085"/>
      <c r="O3267" s="1085"/>
    </row>
    <row r="3268" spans="1:15" ht="15" customHeight="1">
      <c r="A3268" s="1056" t="s">
        <v>2671</v>
      </c>
      <c r="B3268" s="1057" t="s">
        <v>2672</v>
      </c>
      <c r="C3268" s="1058" t="e">
        <f>VLOOKUP(B3261,'LƯƠNG KT'!$D$15:$R$94,17,0)</f>
        <v>#N/A</v>
      </c>
      <c r="D3268" s="1059" t="e">
        <f>+C3268*$L$10</f>
        <v>#N/A</v>
      </c>
      <c r="E3268" s="1061"/>
      <c r="F3268" s="1061"/>
      <c r="G3268" s="1056" t="s">
        <v>2671</v>
      </c>
      <c r="H3268" s="1057" t="s">
        <v>2672</v>
      </c>
      <c r="I3268" s="1058" t="e">
        <f>VLOOKUP(H3261,'LƯƠNG KT'!$D$15:$R$94,17,0)</f>
        <v>#N/A</v>
      </c>
      <c r="J3268" s="1059" t="e">
        <f>+I3268*$L$10</f>
        <v>#N/A</v>
      </c>
      <c r="K3268" s="1085"/>
      <c r="L3268" s="1085"/>
      <c r="M3268" s="1085"/>
      <c r="N3268" s="1085"/>
      <c r="O3268" s="1085"/>
    </row>
    <row r="3269" spans="1:15" ht="15" customHeight="1">
      <c r="A3269" s="1056" t="s">
        <v>374</v>
      </c>
      <c r="B3269" s="1057" t="s">
        <v>2674</v>
      </c>
      <c r="C3269" s="1058" t="e">
        <f>VLOOKUP(B3261,'LƯƠNG KT'!$D$15:$R$94,12,0)</f>
        <v>#N/A</v>
      </c>
      <c r="D3269" s="1059" t="e">
        <f>VLOOKUP(B3261,'LƯƠNG KT'!$D$15:$R$94,14,0)</f>
        <v>#N/A</v>
      </c>
      <c r="E3269" s="1063"/>
      <c r="F3269" s="1061"/>
      <c r="G3269" s="1056" t="s">
        <v>374</v>
      </c>
      <c r="H3269" s="1057" t="s">
        <v>2674</v>
      </c>
      <c r="I3269" s="1058" t="e">
        <f>VLOOKUP(H3261,'LƯƠNG KT'!$D$15:$R$94,12,0)</f>
        <v>#N/A</v>
      </c>
      <c r="J3269" s="1059" t="e">
        <f>VLOOKUP(H3261,'LƯƠNG KT'!$D$15:$R$94,14,0)</f>
        <v>#N/A</v>
      </c>
      <c r="K3269" s="1085"/>
      <c r="L3269" s="1085"/>
      <c r="M3269" s="1085"/>
      <c r="N3269" s="1085"/>
      <c r="O3269" s="1085"/>
    </row>
    <row r="3270" spans="1:15" ht="15" customHeight="1">
      <c r="A3270" s="1056" t="s">
        <v>2675</v>
      </c>
      <c r="B3270" s="1057" t="s">
        <v>2676</v>
      </c>
      <c r="D3270" s="1064" t="e">
        <f>VLOOKUP(B3261,'LƯƠNG KT'!$D$15:$R$94,13,0)</f>
        <v>#N/A</v>
      </c>
      <c r="E3270" s="1065"/>
      <c r="F3270" s="1065"/>
      <c r="G3270" s="1056" t="s">
        <v>2675</v>
      </c>
      <c r="H3270" s="1057" t="s">
        <v>2676</v>
      </c>
      <c r="J3270" s="1064" t="e">
        <f>VLOOKUP(H3261,'LƯƠNG KT'!$D$15:$R$94,13,0)</f>
        <v>#N/A</v>
      </c>
    </row>
    <row r="3271" spans="1:15" ht="15" customHeight="1">
      <c r="A3271" s="1066"/>
      <c r="B3271" s="869"/>
      <c r="C3271" s="1058"/>
      <c r="D3271" s="1059"/>
      <c r="E3271" s="1063"/>
      <c r="F3271" s="1065"/>
      <c r="G3271" s="1066"/>
      <c r="H3271" s="869"/>
      <c r="I3271" s="1058"/>
      <c r="J3271" s="1059"/>
    </row>
    <row r="3272" spans="1:15" ht="15" customHeight="1">
      <c r="A3272" s="1052"/>
      <c r="B3272" s="869"/>
      <c r="C3272" s="1058"/>
      <c r="D3272" s="1059"/>
      <c r="E3272" s="1067"/>
      <c r="F3272" s="1051"/>
      <c r="G3272" s="1052"/>
      <c r="H3272" s="869"/>
      <c r="I3272" s="1058"/>
      <c r="J3272" s="1059"/>
    </row>
    <row r="3273" spans="1:15" ht="15" customHeight="1">
      <c r="A3273" s="1068" t="s">
        <v>383</v>
      </c>
      <c r="B3273" s="1069" t="s">
        <v>384</v>
      </c>
      <c r="C3273" s="1070"/>
      <c r="D3273" s="1071" t="e">
        <f>SUM(D3262:D3269)-D3272</f>
        <v>#N/A</v>
      </c>
      <c r="E3273" s="1072"/>
      <c r="F3273" s="1073"/>
      <c r="G3273" s="1068" t="s">
        <v>383</v>
      </c>
      <c r="H3273" s="1069" t="s">
        <v>384</v>
      </c>
      <c r="I3273" s="1070"/>
      <c r="J3273" s="1071" t="e">
        <f>SUM(J3262:J3269)-J3272</f>
        <v>#N/A</v>
      </c>
    </row>
    <row r="3274" spans="1:15" ht="18.75" customHeight="1">
      <c r="A3274" s="1074"/>
      <c r="B3274" s="1075"/>
      <c r="C3274" s="1076"/>
      <c r="D3274" s="1077"/>
      <c r="E3274" s="1077"/>
      <c r="F3274" s="1078"/>
      <c r="G3274" s="1074"/>
      <c r="H3274" s="1075"/>
      <c r="I3274" s="1076"/>
      <c r="J3274" s="1077"/>
    </row>
    <row r="3275" spans="1:15" ht="18.75" customHeight="1">
      <c r="A3275" s="1075"/>
      <c r="B3275" s="1075"/>
      <c r="C3275" s="1079"/>
      <c r="D3275" s="1080"/>
      <c r="E3275" s="1075"/>
      <c r="F3275" s="1081"/>
      <c r="G3275" s="1075"/>
      <c r="H3275" s="1075"/>
      <c r="I3275" s="1079"/>
      <c r="J3275" s="1080"/>
    </row>
    <row r="3276" spans="1:15" ht="15" customHeight="1">
      <c r="A3276" s="2242" t="str">
        <f>$K$2</f>
        <v>THÁNG 04/2025</v>
      </c>
      <c r="B3276" s="2242"/>
      <c r="C3276" s="2242"/>
      <c r="D3276" s="2242"/>
      <c r="E3276" s="1050"/>
      <c r="F3276" s="1051"/>
      <c r="G3276" s="2242" t="str">
        <f>$K$2</f>
        <v>THÁNG 04/2025</v>
      </c>
      <c r="H3276" s="2242"/>
      <c r="I3276" s="2242"/>
      <c r="J3276" s="2242"/>
      <c r="K3276" s="624"/>
    </row>
    <row r="3277" spans="1:15" ht="15" customHeight="1">
      <c r="A3277" s="1052" t="s">
        <v>356</v>
      </c>
      <c r="B3277" s="1053" t="s">
        <v>282</v>
      </c>
      <c r="C3277" s="869"/>
      <c r="D3277" s="1049"/>
      <c r="E3277" s="1054"/>
      <c r="F3277" s="1055"/>
      <c r="G3277" s="1052" t="s">
        <v>356</v>
      </c>
      <c r="H3277" s="1053" t="s">
        <v>284</v>
      </c>
      <c r="I3277" s="869"/>
      <c r="J3277" s="1049"/>
      <c r="L3277" s="1088"/>
      <c r="M3277" s="1088"/>
      <c r="N3277" s="1088"/>
      <c r="O3277" s="1088"/>
    </row>
    <row r="3278" spans="1:15" ht="15" customHeight="1">
      <c r="A3278" s="1056" t="s">
        <v>359</v>
      </c>
      <c r="B3278" s="1057" t="s">
        <v>2662</v>
      </c>
      <c r="C3278" s="1058" t="e">
        <f>VLOOKUP(B3277,'LƯƠNG KT'!$D$15:$R$94,4,0)</f>
        <v>#N/A</v>
      </c>
      <c r="D3278" s="1059" t="e">
        <f>+C3278*25000</f>
        <v>#N/A</v>
      </c>
      <c r="E3278" s="1060"/>
      <c r="F3278" s="1060"/>
      <c r="G3278" s="1056" t="s">
        <v>359</v>
      </c>
      <c r="H3278" s="1057" t="s">
        <v>2662</v>
      </c>
      <c r="I3278" s="1058" t="e">
        <f>VLOOKUP(H3277,'LƯƠNG KT'!$D$15:$R$94,4,0)</f>
        <v>#N/A</v>
      </c>
      <c r="J3278" s="1059" t="e">
        <f>+I3278*25000</f>
        <v>#N/A</v>
      </c>
      <c r="K3278" s="1085"/>
      <c r="L3278" s="1085"/>
      <c r="M3278" s="1085"/>
      <c r="N3278" s="1085"/>
      <c r="O3278" s="1085"/>
    </row>
    <row r="3279" spans="1:15" ht="15" customHeight="1">
      <c r="A3279" s="1056" t="s">
        <v>361</v>
      </c>
      <c r="B3279" s="1057" t="s">
        <v>2663</v>
      </c>
      <c r="C3279" s="1058" t="e">
        <f>VLOOKUP(B3277,'LƯƠNG KT'!$D$15:$R$94,15,0)</f>
        <v>#N/A</v>
      </c>
      <c r="D3279" s="1059" t="e">
        <f>C3279*$L$4</f>
        <v>#N/A</v>
      </c>
      <c r="E3279" s="1061"/>
      <c r="F3279" s="1061"/>
      <c r="G3279" s="1056" t="s">
        <v>361</v>
      </c>
      <c r="H3279" s="1057" t="s">
        <v>2663</v>
      </c>
      <c r="I3279" s="1058" t="e">
        <f>VLOOKUP(H3277,'LƯƠNG KT'!$D$15:$R$94,15,0)</f>
        <v>#N/A</v>
      </c>
      <c r="J3279" s="1059" t="e">
        <f>I3279*$L$4</f>
        <v>#N/A</v>
      </c>
      <c r="K3279" s="1085"/>
      <c r="L3279" s="1085"/>
      <c r="M3279" s="1085"/>
      <c r="N3279" s="1085"/>
      <c r="O3279" s="1085"/>
    </row>
    <row r="3280" spans="1:15" ht="15" customHeight="1">
      <c r="A3280" s="1056" t="s">
        <v>364</v>
      </c>
      <c r="B3280" s="1057" t="s">
        <v>2664</v>
      </c>
      <c r="C3280" s="1058" t="e">
        <f>VLOOKUP(B3277,'LƯƠNG KT'!$D$15:$R$94,16,0)</f>
        <v>#N/A</v>
      </c>
      <c r="D3280" s="1059" t="e">
        <f>C3280*$L$5</f>
        <v>#N/A</v>
      </c>
      <c r="E3280" s="1061"/>
      <c r="F3280" s="1061"/>
      <c r="G3280" s="1056" t="s">
        <v>364</v>
      </c>
      <c r="H3280" s="1057" t="s">
        <v>2664</v>
      </c>
      <c r="I3280" s="1058" t="e">
        <f>VLOOKUP(H3277,'LƯƠNG KT'!$D$15:$R$94,16,0)</f>
        <v>#N/A</v>
      </c>
      <c r="J3280" s="1059" t="e">
        <f>I3280*$L$5</f>
        <v>#N/A</v>
      </c>
      <c r="K3280" s="1085"/>
      <c r="L3280" s="1085"/>
      <c r="M3280" s="1085"/>
      <c r="N3280" s="1085"/>
      <c r="O3280" s="1085"/>
    </row>
    <row r="3281" spans="1:15" ht="15" customHeight="1">
      <c r="A3281" s="1056" t="s">
        <v>370</v>
      </c>
      <c r="B3281" s="1057" t="s">
        <v>2665</v>
      </c>
      <c r="C3281" s="1058" t="e">
        <f>VLOOKUP(B3277,'LƯƠNG KT'!$D$15:$R$94,24,0)</f>
        <v>#N/A</v>
      </c>
      <c r="D3281" s="1059" t="e">
        <f>+C3281*$L$6</f>
        <v>#N/A</v>
      </c>
      <c r="E3281" s="1061"/>
      <c r="F3281" s="1061"/>
      <c r="G3281" s="1056" t="s">
        <v>370</v>
      </c>
      <c r="H3281" s="1057" t="s">
        <v>2665</v>
      </c>
      <c r="I3281" s="1058" t="e">
        <f>VLOOKUP(H3277,'LƯƠNG KT'!$D$15:$R$94,24,0)</f>
        <v>#N/A</v>
      </c>
      <c r="J3281" s="1059" t="e">
        <f>+I3281*$L$6</f>
        <v>#N/A</v>
      </c>
      <c r="K3281" s="1085"/>
      <c r="L3281" s="1085"/>
      <c r="M3281" s="1085"/>
      <c r="N3281" s="1085"/>
      <c r="O3281" s="1085"/>
    </row>
    <row r="3282" spans="1:15" ht="15" customHeight="1">
      <c r="A3282" s="1056" t="s">
        <v>2666</v>
      </c>
      <c r="B3282" s="1057" t="s">
        <v>2667</v>
      </c>
      <c r="C3282" s="1058" t="e">
        <f>VLOOKUP(B3277,'LƯƠNG KT'!$D$15:$R$94,19,0)</f>
        <v>#N/A</v>
      </c>
      <c r="D3282" s="1059" t="e">
        <f>+C3282*$L$8</f>
        <v>#N/A</v>
      </c>
      <c r="E3282" s="1061"/>
      <c r="F3282" s="1061"/>
      <c r="G3282" s="1056" t="s">
        <v>2666</v>
      </c>
      <c r="H3282" s="1057" t="s">
        <v>2667</v>
      </c>
      <c r="I3282" s="1058" t="e">
        <f>VLOOKUP(H3277,'LƯƠNG KT'!$D$15:$R$94,19,0)</f>
        <v>#N/A</v>
      </c>
      <c r="J3282" s="1059" t="e">
        <f>+I3282*$L$8</f>
        <v>#N/A</v>
      </c>
      <c r="K3282" s="1085"/>
      <c r="L3282" s="1085"/>
      <c r="M3282" s="1085"/>
      <c r="N3282" s="1085"/>
      <c r="O3282" s="1085"/>
    </row>
    <row r="3283" spans="1:15" ht="15" customHeight="1">
      <c r="A3283" s="1056" t="s">
        <v>2668</v>
      </c>
      <c r="B3283" s="1062" t="s">
        <v>2669</v>
      </c>
      <c r="C3283" s="1058" t="e">
        <f>VLOOKUP(B3277,'LƯƠNG KT'!$D$15:$R$94,20,0)</f>
        <v>#N/A</v>
      </c>
      <c r="D3283" s="1059" t="e">
        <f>+C3283*$L$9</f>
        <v>#N/A</v>
      </c>
      <c r="E3283" s="1061"/>
      <c r="F3283" s="1061"/>
      <c r="G3283" s="1056" t="s">
        <v>2668</v>
      </c>
      <c r="H3283" s="1062" t="s">
        <v>2669</v>
      </c>
      <c r="I3283" s="1058" t="e">
        <f>VLOOKUP(H3277,'LƯƠNG KT'!$D$15:$R$94,20,0)</f>
        <v>#N/A</v>
      </c>
      <c r="J3283" s="1059" t="e">
        <f>+I3283*$L$9</f>
        <v>#N/A</v>
      </c>
      <c r="K3283" s="1085"/>
      <c r="L3283" s="1085"/>
      <c r="M3283" s="1085"/>
      <c r="N3283" s="1085"/>
      <c r="O3283" s="1085"/>
    </row>
    <row r="3284" spans="1:15" ht="15" customHeight="1">
      <c r="A3284" s="1056" t="s">
        <v>2671</v>
      </c>
      <c r="B3284" s="1057" t="s">
        <v>2672</v>
      </c>
      <c r="C3284" s="1058" t="e">
        <f>VLOOKUP(B3277,'LƯƠNG KT'!$D$15:$R$94,17,0)</f>
        <v>#N/A</v>
      </c>
      <c r="D3284" s="1059" t="e">
        <f>+C3284*$L$10</f>
        <v>#N/A</v>
      </c>
      <c r="E3284" s="1061"/>
      <c r="F3284" s="1061"/>
      <c r="G3284" s="1056" t="s">
        <v>2671</v>
      </c>
      <c r="H3284" s="1057" t="s">
        <v>2672</v>
      </c>
      <c r="I3284" s="1058" t="e">
        <f>VLOOKUP(H3277,'LƯƠNG KT'!$D$15:$R$94,17,0)</f>
        <v>#N/A</v>
      </c>
      <c r="J3284" s="1059" t="e">
        <f>+I3284*$L$10</f>
        <v>#N/A</v>
      </c>
      <c r="K3284" s="1085"/>
      <c r="L3284" s="1085"/>
      <c r="M3284" s="1085"/>
      <c r="N3284" s="1085"/>
      <c r="O3284" s="1085"/>
    </row>
    <row r="3285" spans="1:15" ht="15" customHeight="1">
      <c r="A3285" s="1056" t="s">
        <v>374</v>
      </c>
      <c r="B3285" s="1057" t="s">
        <v>2674</v>
      </c>
      <c r="C3285" s="1058" t="e">
        <f>VLOOKUP(B3277,'LƯƠNG KT'!$D$15:$R$94,12,0)</f>
        <v>#N/A</v>
      </c>
      <c r="D3285" s="1059" t="e">
        <f>VLOOKUP(B3277,'LƯƠNG KT'!$D$15:$R$94,14,0)</f>
        <v>#N/A</v>
      </c>
      <c r="E3285" s="1063"/>
      <c r="F3285" s="1061"/>
      <c r="G3285" s="1056" t="s">
        <v>374</v>
      </c>
      <c r="H3285" s="1057" t="s">
        <v>2674</v>
      </c>
      <c r="I3285" s="1058" t="e">
        <f>VLOOKUP(H3277,'LƯƠNG KT'!$D$15:$R$94,12,0)</f>
        <v>#N/A</v>
      </c>
      <c r="J3285" s="1059" t="e">
        <f>VLOOKUP(H3277,'LƯƠNG KT'!$D$15:$R$94,14,0)</f>
        <v>#N/A</v>
      </c>
      <c r="K3285" s="1085"/>
      <c r="L3285" s="1085"/>
      <c r="M3285" s="1085"/>
      <c r="N3285" s="1085"/>
      <c r="O3285" s="1085"/>
    </row>
    <row r="3286" spans="1:15" ht="15" customHeight="1">
      <c r="A3286" s="1056" t="s">
        <v>2675</v>
      </c>
      <c r="B3286" s="1057" t="s">
        <v>2676</v>
      </c>
      <c r="D3286" s="1064" t="e">
        <f>VLOOKUP(B3277,'LƯƠNG KT'!$D$15:$R$94,13,0)</f>
        <v>#N/A</v>
      </c>
      <c r="E3286" s="1065"/>
      <c r="F3286" s="1065"/>
      <c r="G3286" s="1056" t="s">
        <v>2675</v>
      </c>
      <c r="H3286" s="1057" t="s">
        <v>2676</v>
      </c>
      <c r="J3286" s="1064" t="e">
        <f>VLOOKUP(H3277,'LƯƠNG KT'!$D$15:$R$94,13,0)</f>
        <v>#N/A</v>
      </c>
    </row>
    <row r="3287" spans="1:15" ht="15" customHeight="1">
      <c r="A3287" s="1066"/>
      <c r="B3287" s="869"/>
      <c r="C3287" s="1058"/>
      <c r="D3287" s="1059"/>
      <c r="E3287" s="1063"/>
      <c r="F3287" s="1065"/>
      <c r="G3287" s="1066"/>
      <c r="H3287" s="869"/>
      <c r="I3287" s="1058"/>
      <c r="J3287" s="1059"/>
    </row>
    <row r="3288" spans="1:15" ht="15" customHeight="1">
      <c r="A3288" s="1052"/>
      <c r="B3288" s="869"/>
      <c r="C3288" s="1058"/>
      <c r="D3288" s="1059"/>
      <c r="E3288" s="1067"/>
      <c r="F3288" s="1051"/>
      <c r="G3288" s="1052"/>
      <c r="H3288" s="869"/>
      <c r="I3288" s="1058"/>
      <c r="J3288" s="1059"/>
    </row>
    <row r="3289" spans="1:15" ht="15" customHeight="1">
      <c r="A3289" s="1068" t="s">
        <v>383</v>
      </c>
      <c r="B3289" s="1069" t="s">
        <v>384</v>
      </c>
      <c r="C3289" s="1070"/>
      <c r="D3289" s="1071" t="e">
        <f>SUM(D3278:D3285)-D3288</f>
        <v>#N/A</v>
      </c>
      <c r="E3289" s="1072"/>
      <c r="F3289" s="1073"/>
      <c r="G3289" s="1068" t="s">
        <v>383</v>
      </c>
      <c r="H3289" s="1069" t="s">
        <v>384</v>
      </c>
      <c r="I3289" s="1070"/>
      <c r="J3289" s="1071" t="e">
        <f>SUM(J3278:J3285)-J3288</f>
        <v>#N/A</v>
      </c>
    </row>
    <row r="3290" spans="1:15" ht="18.75" customHeight="1">
      <c r="A3290" s="1074"/>
      <c r="B3290" s="1075"/>
      <c r="C3290" s="1076"/>
      <c r="D3290" s="1077"/>
      <c r="E3290" s="1077"/>
      <c r="F3290" s="1078"/>
      <c r="G3290" s="1074"/>
      <c r="H3290" s="1075"/>
      <c r="I3290" s="1076"/>
      <c r="J3290" s="1077"/>
    </row>
    <row r="3291" spans="1:15" ht="18.75" customHeight="1">
      <c r="A3291" s="1075"/>
      <c r="B3291" s="1075"/>
      <c r="C3291" s="1079"/>
      <c r="D3291" s="1080"/>
      <c r="E3291" s="1075"/>
      <c r="F3291" s="1081"/>
      <c r="G3291" s="1075"/>
      <c r="H3291" s="1075"/>
      <c r="I3291" s="1079"/>
      <c r="J3291" s="1080"/>
    </row>
    <row r="3292" spans="1:15" ht="15" customHeight="1">
      <c r="A3292" s="2242" t="str">
        <f>$K$2</f>
        <v>THÁNG 04/2025</v>
      </c>
      <c r="B3292" s="2242"/>
      <c r="C3292" s="2242"/>
      <c r="D3292" s="2242"/>
      <c r="E3292" s="1050"/>
      <c r="F3292" s="1051"/>
      <c r="G3292" s="2242" t="str">
        <f>$K$2</f>
        <v>THÁNG 04/2025</v>
      </c>
      <c r="H3292" s="2242"/>
      <c r="I3292" s="2242"/>
      <c r="J3292" s="2242"/>
      <c r="K3292" s="624"/>
    </row>
    <row r="3293" spans="1:15" ht="15" customHeight="1">
      <c r="A3293" s="1052" t="s">
        <v>356</v>
      </c>
      <c r="B3293" s="1053" t="s">
        <v>279</v>
      </c>
      <c r="C3293" s="869"/>
      <c r="D3293" s="1049"/>
      <c r="E3293" s="1054"/>
      <c r="F3293" s="1055"/>
      <c r="G3293" s="1052" t="s">
        <v>356</v>
      </c>
      <c r="H3293" s="1053" t="s">
        <v>2691</v>
      </c>
      <c r="I3293" s="869"/>
      <c r="J3293" s="1049"/>
      <c r="L3293" s="1088"/>
      <c r="M3293" s="1088"/>
      <c r="N3293" s="1088"/>
      <c r="O3293" s="1088"/>
    </row>
    <row r="3294" spans="1:15" ht="15" customHeight="1">
      <c r="A3294" s="1056" t="s">
        <v>359</v>
      </c>
      <c r="B3294" s="1057" t="s">
        <v>2662</v>
      </c>
      <c r="C3294" s="1058" t="e">
        <f>VLOOKUP(B3293,'LƯƠNG KT'!$D$15:$R$94,4,0)</f>
        <v>#N/A</v>
      </c>
      <c r="D3294" s="1059" t="e">
        <f>+C3294*25000</f>
        <v>#N/A</v>
      </c>
      <c r="E3294" s="1060"/>
      <c r="F3294" s="1060"/>
      <c r="G3294" s="1056" t="s">
        <v>359</v>
      </c>
      <c r="H3294" s="1057" t="s">
        <v>2662</v>
      </c>
      <c r="I3294" s="1058"/>
      <c r="J3294" s="1059"/>
      <c r="K3294" s="1085"/>
      <c r="L3294" s="1085"/>
      <c r="M3294" s="1085"/>
      <c r="N3294" s="1085"/>
      <c r="O3294" s="1085"/>
    </row>
    <row r="3295" spans="1:15" ht="15" customHeight="1">
      <c r="A3295" s="1056" t="s">
        <v>361</v>
      </c>
      <c r="B3295" s="1057" t="s">
        <v>2663</v>
      </c>
      <c r="C3295" s="1058" t="e">
        <f>VLOOKUP(B3293,'LƯƠNG KT'!$D$15:$R$94,15,0)</f>
        <v>#N/A</v>
      </c>
      <c r="D3295" s="1059" t="e">
        <f>C3295*$L$4</f>
        <v>#N/A</v>
      </c>
      <c r="E3295" s="1061"/>
      <c r="F3295" s="1061"/>
      <c r="G3295" s="1056" t="s">
        <v>361</v>
      </c>
      <c r="H3295" s="1057" t="s">
        <v>2663</v>
      </c>
      <c r="I3295" s="1058"/>
      <c r="J3295" s="1059"/>
      <c r="K3295" s="1085"/>
      <c r="L3295" s="1085"/>
      <c r="M3295" s="1085"/>
      <c r="N3295" s="1085"/>
      <c r="O3295" s="1085"/>
    </row>
    <row r="3296" spans="1:15" ht="15" customHeight="1">
      <c r="A3296" s="1056" t="s">
        <v>364</v>
      </c>
      <c r="B3296" s="1057" t="s">
        <v>2664</v>
      </c>
      <c r="C3296" s="1058" t="e">
        <f>VLOOKUP(B3293,'LƯƠNG KT'!$D$15:$R$94,16,0)</f>
        <v>#N/A</v>
      </c>
      <c r="D3296" s="1059" t="e">
        <f>C3296*$L$5</f>
        <v>#N/A</v>
      </c>
      <c r="E3296" s="1061"/>
      <c r="F3296" s="1061"/>
      <c r="G3296" s="1056" t="s">
        <v>364</v>
      </c>
      <c r="H3296" s="1057" t="s">
        <v>2664</v>
      </c>
      <c r="I3296" s="1058"/>
      <c r="J3296" s="1059"/>
      <c r="K3296" s="1085"/>
      <c r="L3296" s="1085"/>
      <c r="M3296" s="1085"/>
      <c r="N3296" s="1085"/>
      <c r="O3296" s="1085"/>
    </row>
    <row r="3297" spans="1:15" ht="15" customHeight="1">
      <c r="A3297" s="1056" t="s">
        <v>370</v>
      </c>
      <c r="B3297" s="1057" t="s">
        <v>2665</v>
      </c>
      <c r="C3297" s="1058" t="e">
        <f>VLOOKUP(B3293,'LƯƠNG KT'!$D$15:$R$94,24,0)</f>
        <v>#N/A</v>
      </c>
      <c r="D3297" s="1059" t="e">
        <f>+C3297*$L$6</f>
        <v>#N/A</v>
      </c>
      <c r="E3297" s="1061"/>
      <c r="F3297" s="1061"/>
      <c r="G3297" s="1056" t="s">
        <v>370</v>
      </c>
      <c r="H3297" s="1057" t="s">
        <v>2665</v>
      </c>
      <c r="I3297" s="1058"/>
      <c r="J3297" s="1059"/>
      <c r="K3297" s="1085"/>
      <c r="L3297" s="1085"/>
      <c r="M3297" s="1085"/>
      <c r="N3297" s="1085"/>
      <c r="O3297" s="1085"/>
    </row>
    <row r="3298" spans="1:15" ht="15" customHeight="1">
      <c r="A3298" s="1056" t="s">
        <v>2666</v>
      </c>
      <c r="B3298" s="1057" t="s">
        <v>2667</v>
      </c>
      <c r="C3298" s="1058" t="e">
        <f>VLOOKUP(B3293,'LƯƠNG KT'!$D$15:$R$94,19,0)</f>
        <v>#N/A</v>
      </c>
      <c r="D3298" s="1059" t="e">
        <f>+C3298*$L$8</f>
        <v>#N/A</v>
      </c>
      <c r="E3298" s="1061"/>
      <c r="F3298" s="1061"/>
      <c r="G3298" s="1056" t="s">
        <v>2666</v>
      </c>
      <c r="H3298" s="1057" t="s">
        <v>2667</v>
      </c>
      <c r="I3298" s="1058"/>
      <c r="J3298" s="1059"/>
      <c r="K3298" s="1085"/>
      <c r="L3298" s="1085"/>
      <c r="M3298" s="1085"/>
      <c r="N3298" s="1085"/>
      <c r="O3298" s="1085"/>
    </row>
    <row r="3299" spans="1:15" ht="15" customHeight="1">
      <c r="A3299" s="1056" t="s">
        <v>2668</v>
      </c>
      <c r="B3299" s="1062" t="s">
        <v>2669</v>
      </c>
      <c r="C3299" s="1058" t="e">
        <f>VLOOKUP(B3293,'LƯƠNG KT'!$D$15:$R$94,20,0)</f>
        <v>#N/A</v>
      </c>
      <c r="D3299" s="1059" t="e">
        <f>+C3299*$L$9</f>
        <v>#N/A</v>
      </c>
      <c r="E3299" s="1061"/>
      <c r="F3299" s="1061"/>
      <c r="G3299" s="1056" t="s">
        <v>2668</v>
      </c>
      <c r="H3299" s="1062" t="s">
        <v>2669</v>
      </c>
      <c r="I3299" s="1058"/>
      <c r="J3299" s="1059"/>
      <c r="K3299" s="1085"/>
      <c r="L3299" s="1085"/>
      <c r="M3299" s="1085"/>
      <c r="N3299" s="1085"/>
      <c r="O3299" s="1085"/>
    </row>
    <row r="3300" spans="1:15" ht="15" customHeight="1">
      <c r="A3300" s="1056" t="s">
        <v>2671</v>
      </c>
      <c r="B3300" s="1057" t="s">
        <v>2672</v>
      </c>
      <c r="C3300" s="1058" t="e">
        <f>VLOOKUP(B3293,'LƯƠNG KT'!$D$15:$R$94,17,0)</f>
        <v>#N/A</v>
      </c>
      <c r="D3300" s="1059" t="e">
        <f>+C3300*$L$10</f>
        <v>#N/A</v>
      </c>
      <c r="E3300" s="1061"/>
      <c r="F3300" s="1061"/>
      <c r="G3300" s="1056" t="s">
        <v>2671</v>
      </c>
      <c r="H3300" s="1057" t="s">
        <v>2672</v>
      </c>
      <c r="I3300" s="1058"/>
      <c r="J3300" s="1059"/>
      <c r="K3300" s="1085"/>
      <c r="L3300" s="1085"/>
      <c r="M3300" s="1085"/>
      <c r="N3300" s="1085"/>
      <c r="O3300" s="1085"/>
    </row>
    <row r="3301" spans="1:15" ht="15" customHeight="1">
      <c r="A3301" s="1056" t="s">
        <v>374</v>
      </c>
      <c r="B3301" s="1057" t="s">
        <v>2674</v>
      </c>
      <c r="C3301" s="1058" t="e">
        <f>VLOOKUP(B3293,'LƯƠNG KT'!$D$15:$R$94,12,0)</f>
        <v>#N/A</v>
      </c>
      <c r="D3301" s="1059" t="e">
        <f>VLOOKUP(B3293,'LƯƠNG KT'!$D$15:$R$94,14,0)</f>
        <v>#N/A</v>
      </c>
      <c r="E3301" s="1063"/>
      <c r="F3301" s="1061"/>
      <c r="G3301" s="1056" t="s">
        <v>374</v>
      </c>
      <c r="H3301" s="1057" t="s">
        <v>2674</v>
      </c>
      <c r="I3301" s="1058"/>
      <c r="J3301" s="1059"/>
      <c r="K3301" s="1090" t="s">
        <v>509</v>
      </c>
      <c r="L3301" s="1090" t="e">
        <f>D2656+J2656+J2640+D2640+J3305+D3305+D3289+J3289+J3273+D3273+D3257+J3257+J3240+D3240+D3224+J3224+J3208+D3208+D3192+J3192+J3175+D3175+D3159+J3159+J3143+D3143+D3127+J3127+J3110+D3110+D3094+J3094+J3078+D3078+D3062+J3062+D3045+J3045+J3029+D3029+D3013+J3013+J2997+D2997+J2980+D2980+D2964+J2964+J2948+D2948+D2932+J2932+J2915+D2915+J2899+D2899+D2883+J2883+J2867+D2867+D2850+J2850+J2834+D2834+D2818+J2818+J2802+D2802+D2785+J2785+J2769+D2769+D2753+J2753+J2737+D2737+D2720+J2720+J2704+D2704+D2688+J2688+J2672+D2672</f>
        <v>#N/A</v>
      </c>
      <c r="M3301" s="1090"/>
      <c r="N3301" s="1090"/>
      <c r="O3301" s="1090"/>
    </row>
    <row r="3302" spans="1:15" ht="15" customHeight="1">
      <c r="A3302" s="1056" t="s">
        <v>2675</v>
      </c>
      <c r="B3302" s="1057" t="s">
        <v>2676</v>
      </c>
      <c r="D3302" s="1064" t="e">
        <f>VLOOKUP(B3293,'LƯƠNG KT'!$D$15:$R$94,13,0)</f>
        <v>#N/A</v>
      </c>
      <c r="E3302" s="1065"/>
      <c r="F3302" s="1065"/>
      <c r="G3302" s="1056" t="s">
        <v>2675</v>
      </c>
      <c r="H3302" s="1057" t="s">
        <v>2676</v>
      </c>
      <c r="J3302" s="1064"/>
    </row>
    <row r="3303" spans="1:15" ht="15" customHeight="1">
      <c r="A3303" s="1066"/>
      <c r="B3303" s="869"/>
      <c r="C3303" s="1058"/>
      <c r="D3303" s="1059"/>
      <c r="E3303" s="1063"/>
      <c r="F3303" s="1065"/>
      <c r="G3303" s="1066"/>
      <c r="H3303" s="869"/>
      <c r="I3303" s="1058"/>
      <c r="J3303" s="1059"/>
    </row>
    <row r="3304" spans="1:15" ht="15" customHeight="1">
      <c r="A3304" s="1052"/>
      <c r="B3304" s="869"/>
      <c r="C3304" s="1058"/>
      <c r="D3304" s="1059"/>
      <c r="E3304" s="1067"/>
      <c r="F3304" s="1051"/>
      <c r="G3304" s="1052"/>
      <c r="H3304" s="869"/>
      <c r="I3304" s="1058"/>
      <c r="J3304" s="1059"/>
    </row>
    <row r="3305" spans="1:15" ht="15" customHeight="1">
      <c r="A3305" s="1068" t="s">
        <v>383</v>
      </c>
      <c r="B3305" s="1069" t="s">
        <v>384</v>
      </c>
      <c r="C3305" s="1070"/>
      <c r="D3305" s="1071" t="e">
        <f>SUM(D3294:D3301)-D3304</f>
        <v>#N/A</v>
      </c>
      <c r="E3305" s="1072"/>
      <c r="F3305" s="1073"/>
      <c r="G3305" s="1068" t="s">
        <v>383</v>
      </c>
      <c r="H3305" s="1069" t="s">
        <v>384</v>
      </c>
      <c r="I3305" s="1070"/>
      <c r="J3305" s="1071">
        <f>SUM(J3294:J3301)-J3304</f>
        <v>0</v>
      </c>
    </row>
    <row r="3306" spans="1:15" ht="15.75" customHeight="1">
      <c r="A3306" s="1074"/>
      <c r="B3306" s="1075"/>
      <c r="C3306" s="1076"/>
      <c r="D3306" s="1077"/>
      <c r="E3306" s="1077"/>
      <c r="F3306" s="1078"/>
      <c r="G3306" s="1074"/>
      <c r="H3306" s="1075"/>
      <c r="I3306" s="1076"/>
      <c r="J3306" s="1077"/>
    </row>
    <row r="3307" spans="1:15" ht="66" customHeight="1"/>
    <row r="3308" spans="1:15" ht="12" customHeight="1">
      <c r="A3308" s="2244" t="s">
        <v>514</v>
      </c>
      <c r="B3308" s="2244"/>
      <c r="C3308" s="2244"/>
      <c r="D3308" s="2244"/>
      <c r="E3308" s="2244"/>
      <c r="F3308" s="2244"/>
      <c r="G3308" s="2244"/>
      <c r="H3308" s="2244"/>
      <c r="I3308" s="2244"/>
      <c r="J3308" s="2244"/>
    </row>
    <row r="3309" spans="1:15" ht="15" customHeight="1">
      <c r="A3309" s="2242" t="str">
        <f>$K$2</f>
        <v>THÁNG 04/2025</v>
      </c>
      <c r="B3309" s="2242"/>
      <c r="C3309" s="2242"/>
      <c r="D3309" s="2242"/>
      <c r="E3309" s="1050"/>
      <c r="F3309" s="1051"/>
      <c r="G3309" s="2242" t="str">
        <f>$K$2</f>
        <v>THÁNG 04/2025</v>
      </c>
      <c r="H3309" s="2242"/>
      <c r="I3309" s="2242"/>
      <c r="J3309" s="2242"/>
      <c r="K3309" s="1056" t="s">
        <v>359</v>
      </c>
      <c r="L3309" s="1057" t="s">
        <v>2662</v>
      </c>
    </row>
    <row r="3310" spans="1:15" ht="15" customHeight="1">
      <c r="A3310" s="1059" t="s">
        <v>356</v>
      </c>
      <c r="B3310" s="1053" t="s">
        <v>308</v>
      </c>
      <c r="C3310" s="869"/>
      <c r="D3310" s="1049"/>
      <c r="E3310" s="1054"/>
      <c r="F3310" s="1055"/>
      <c r="G3310" s="1052" t="s">
        <v>356</v>
      </c>
      <c r="H3310" s="1053" t="s">
        <v>309</v>
      </c>
      <c r="I3310" s="869"/>
      <c r="J3310" s="1049"/>
      <c r="K3310" s="1056" t="s">
        <v>361</v>
      </c>
      <c r="L3310" s="1057" t="s">
        <v>2663</v>
      </c>
      <c r="M3310" s="1088"/>
      <c r="N3310" s="1088"/>
      <c r="O3310" s="1088"/>
    </row>
    <row r="3311" spans="1:15" ht="15" customHeight="1">
      <c r="A3311" s="1056" t="s">
        <v>359</v>
      </c>
      <c r="B3311" s="1057" t="s">
        <v>2662</v>
      </c>
      <c r="C3311" s="1058" t="e">
        <f>VLOOKUP(B3310,'LƯƠNG KT'!$D$15:$R$94,4,0)</f>
        <v>#N/A</v>
      </c>
      <c r="D3311" s="1059" t="e">
        <f>+C3311*25000</f>
        <v>#N/A</v>
      </c>
      <c r="E3311" s="1060"/>
      <c r="F3311" s="1060"/>
      <c r="G3311" s="1056" t="s">
        <v>359</v>
      </c>
      <c r="H3311" s="1057" t="s">
        <v>2662</v>
      </c>
      <c r="I3311" s="1058" t="e">
        <f>VLOOKUP(H3310,'LƯƠNG KT'!$D$15:$R$94,4,0)</f>
        <v>#N/A</v>
      </c>
      <c r="J3311" s="1059" t="e">
        <f>+I3311*25000</f>
        <v>#N/A</v>
      </c>
      <c r="K3311" s="1056" t="s">
        <v>364</v>
      </c>
      <c r="L3311" s="1057" t="s">
        <v>2664</v>
      </c>
      <c r="M3311" s="1085"/>
      <c r="N3311" s="1085"/>
      <c r="O3311" s="1085"/>
    </row>
    <row r="3312" spans="1:15" ht="15" customHeight="1">
      <c r="A3312" s="1056" t="s">
        <v>361</v>
      </c>
      <c r="B3312" s="1057" t="s">
        <v>2663</v>
      </c>
      <c r="C3312" s="1058" t="e">
        <f>VLOOKUP(B3310,'LƯƠNG KT'!$D$15:$R$94,15,0)</f>
        <v>#N/A</v>
      </c>
      <c r="D3312" s="1059" t="e">
        <f>C3312*$L$4</f>
        <v>#N/A</v>
      </c>
      <c r="E3312" s="1061"/>
      <c r="F3312" s="1061"/>
      <c r="G3312" s="1056" t="s">
        <v>361</v>
      </c>
      <c r="H3312" s="1057" t="s">
        <v>2663</v>
      </c>
      <c r="I3312" s="1058" t="e">
        <f>VLOOKUP(H3310,'LƯƠNG KT'!$D$15:$R$94,15,0)</f>
        <v>#N/A</v>
      </c>
      <c r="J3312" s="1059" t="e">
        <f>I3312*$L$4</f>
        <v>#N/A</v>
      </c>
      <c r="K3312" s="1056" t="s">
        <v>370</v>
      </c>
      <c r="L3312" s="1057" t="s">
        <v>2665</v>
      </c>
      <c r="M3312" s="1085"/>
      <c r="N3312" s="1085"/>
      <c r="O3312" s="1085"/>
    </row>
    <row r="3313" spans="1:15" ht="15" customHeight="1">
      <c r="A3313" s="1056" t="s">
        <v>364</v>
      </c>
      <c r="B3313" s="1057" t="s">
        <v>2664</v>
      </c>
      <c r="C3313" s="1058" t="e">
        <f>VLOOKUP(B3310,'LƯƠNG KT'!$D$15:$R$94,16,0)</f>
        <v>#N/A</v>
      </c>
      <c r="D3313" s="1059" t="e">
        <f>C3313*$L$5</f>
        <v>#N/A</v>
      </c>
      <c r="E3313" s="1061"/>
      <c r="F3313" s="1061"/>
      <c r="G3313" s="1056" t="s">
        <v>364</v>
      </c>
      <c r="H3313" s="1057" t="s">
        <v>2664</v>
      </c>
      <c r="I3313" s="1058" t="e">
        <f>VLOOKUP(H3310,'LƯƠNG KT'!$D$15:$R$94,16,0)</f>
        <v>#N/A</v>
      </c>
      <c r="J3313" s="1059" t="e">
        <f>I3313*$L$5</f>
        <v>#N/A</v>
      </c>
      <c r="K3313" s="1056" t="s">
        <v>2666</v>
      </c>
      <c r="L3313" s="1057" t="s">
        <v>2667</v>
      </c>
      <c r="M3313" s="1085"/>
      <c r="N3313" s="1085"/>
      <c r="O3313" s="1085"/>
    </row>
    <row r="3314" spans="1:15" ht="15" customHeight="1">
      <c r="A3314" s="1056" t="s">
        <v>370</v>
      </c>
      <c r="B3314" s="1057" t="s">
        <v>2665</v>
      </c>
      <c r="C3314" s="1058" t="e">
        <f>VLOOKUP(B3310,'LƯƠNG KT'!$D$15:$R$94,24,0)</f>
        <v>#N/A</v>
      </c>
      <c r="D3314" s="1059" t="e">
        <f>+C3314*$L$6</f>
        <v>#N/A</v>
      </c>
      <c r="E3314" s="1061"/>
      <c r="F3314" s="1061"/>
      <c r="G3314" s="1056" t="s">
        <v>370</v>
      </c>
      <c r="H3314" s="1057" t="s">
        <v>2665</v>
      </c>
      <c r="I3314" s="1058" t="e">
        <f>VLOOKUP(H3310,'LƯƠNG KT'!$D$15:$R$94,24,0)</f>
        <v>#N/A</v>
      </c>
      <c r="J3314" s="1059" t="e">
        <f>+I3314*$L$6</f>
        <v>#N/A</v>
      </c>
      <c r="K3314" s="1056" t="s">
        <v>2668</v>
      </c>
      <c r="L3314" s="1095" t="s">
        <v>2669</v>
      </c>
      <c r="M3314" s="1085"/>
      <c r="N3314" s="1085"/>
      <c r="O3314" s="1085"/>
    </row>
    <row r="3315" spans="1:15" ht="15" customHeight="1">
      <c r="A3315" s="1056" t="s">
        <v>2666</v>
      </c>
      <c r="B3315" s="1057" t="s">
        <v>2667</v>
      </c>
      <c r="C3315" s="1058" t="e">
        <f>VLOOKUP(B3310,'LƯƠNG KT'!$D$15:$R$94,19,0)</f>
        <v>#N/A</v>
      </c>
      <c r="D3315" s="1059" t="e">
        <f>+C3315*$L$8</f>
        <v>#N/A</v>
      </c>
      <c r="E3315" s="1061"/>
      <c r="F3315" s="1061"/>
      <c r="G3315" s="1056" t="s">
        <v>2666</v>
      </c>
      <c r="H3315" s="1057" t="s">
        <v>2667</v>
      </c>
      <c r="I3315" s="1058" t="e">
        <f>VLOOKUP(H3310,'LƯƠNG KT'!$D$15:$R$94,19,0)</f>
        <v>#N/A</v>
      </c>
      <c r="J3315" s="1059" t="e">
        <f>+I3315*$L$8</f>
        <v>#N/A</v>
      </c>
      <c r="K3315" s="1056" t="s">
        <v>2671</v>
      </c>
      <c r="L3315" s="1057" t="s">
        <v>2672</v>
      </c>
      <c r="M3315" s="1085"/>
      <c r="N3315" s="1085"/>
      <c r="O3315" s="1085"/>
    </row>
    <row r="3316" spans="1:15" ht="15" customHeight="1">
      <c r="A3316" s="1056" t="s">
        <v>2668</v>
      </c>
      <c r="B3316" s="1062" t="s">
        <v>2669</v>
      </c>
      <c r="C3316" s="1058" t="e">
        <f>VLOOKUP(B3310,'LƯƠNG KT'!$D$15:$R$94,20,0)</f>
        <v>#N/A</v>
      </c>
      <c r="D3316" s="1059" t="e">
        <f>+C3316*$L$9</f>
        <v>#N/A</v>
      </c>
      <c r="E3316" s="1061"/>
      <c r="F3316" s="1061"/>
      <c r="G3316" s="1056" t="s">
        <v>2668</v>
      </c>
      <c r="H3316" s="1062" t="s">
        <v>2669</v>
      </c>
      <c r="I3316" s="1058" t="e">
        <f>VLOOKUP(H3310,'LƯƠNG KT'!$D$15:$R$94,20,0)</f>
        <v>#N/A</v>
      </c>
      <c r="J3316" s="1059" t="e">
        <f>+I3316*$L$9</f>
        <v>#N/A</v>
      </c>
      <c r="K3316" s="1056" t="s">
        <v>2681</v>
      </c>
      <c r="L3316" s="1062" t="s">
        <v>2692</v>
      </c>
      <c r="M3316" s="1085"/>
      <c r="N3316" s="1085"/>
      <c r="O3316" s="1085"/>
    </row>
    <row r="3317" spans="1:15" ht="15" customHeight="1">
      <c r="A3317" s="1056" t="s">
        <v>2671</v>
      </c>
      <c r="B3317" s="1057" t="s">
        <v>2672</v>
      </c>
      <c r="C3317" s="1058" t="e">
        <f>VLOOKUP(B3310,'LƯƠNG KT'!$D$15:$R$94,17,0)</f>
        <v>#N/A</v>
      </c>
      <c r="D3317" s="1059" t="e">
        <f>+C3317*$L$10</f>
        <v>#N/A</v>
      </c>
      <c r="E3317" s="1061"/>
      <c r="F3317" s="1061"/>
      <c r="G3317" s="1056" t="s">
        <v>2671</v>
      </c>
      <c r="H3317" s="1057" t="s">
        <v>2672</v>
      </c>
      <c r="I3317" s="1058" t="e">
        <f>VLOOKUP(H3310,'LƯƠNG KT'!$D$15:$R$94,17,0)</f>
        <v>#N/A</v>
      </c>
      <c r="J3317" s="1059" t="e">
        <f>+I3317*$L$10</f>
        <v>#N/A</v>
      </c>
      <c r="K3317" s="1056" t="s">
        <v>2683</v>
      </c>
      <c r="L3317" s="1057" t="s">
        <v>2684</v>
      </c>
      <c r="M3317" s="1085"/>
      <c r="N3317" s="1085"/>
      <c r="O3317" s="1085"/>
    </row>
    <row r="3318" spans="1:15" ht="15" customHeight="1">
      <c r="A3318" s="1056" t="s">
        <v>2693</v>
      </c>
      <c r="B3318" s="1062" t="s">
        <v>2692</v>
      </c>
      <c r="C3318" s="1058" t="e">
        <f>VLOOKUP(B3310,'LƯƠNG KT'!$D$15:$R$94,21,0)</f>
        <v>#N/A</v>
      </c>
      <c r="D3318" s="1059" t="e">
        <f>+C3318*$L$7</f>
        <v>#N/A</v>
      </c>
      <c r="E3318" s="1061"/>
      <c r="F3318" s="1061"/>
      <c r="G3318" s="1056" t="s">
        <v>2693</v>
      </c>
      <c r="H3318" s="1062" t="s">
        <v>2692</v>
      </c>
      <c r="I3318" s="1058" t="e">
        <f>VLOOKUP(H3310,'LƯƠNG KT'!$D$15:$R$94,21,0)</f>
        <v>#N/A</v>
      </c>
      <c r="J3318" s="1059" t="e">
        <f>+I3318*$L$7</f>
        <v>#N/A</v>
      </c>
      <c r="K3318" s="1056" t="s">
        <v>374</v>
      </c>
      <c r="L3318" s="1057" t="s">
        <v>2674</v>
      </c>
      <c r="M3318" s="1085"/>
      <c r="N3318" s="1085"/>
      <c r="O3318" s="1085"/>
    </row>
    <row r="3319" spans="1:15" ht="15" customHeight="1">
      <c r="A3319" s="1056" t="s">
        <v>2694</v>
      </c>
      <c r="B3319" s="1057" t="s">
        <v>2684</v>
      </c>
      <c r="C3319" s="1058" t="e">
        <f>VLOOKUP(B3310,'LƯƠNG KT'!$D$15:$R$94,23,0)</f>
        <v>#N/A</v>
      </c>
      <c r="D3319" s="1059" t="e">
        <f>+C3319*20000</f>
        <v>#N/A</v>
      </c>
      <c r="E3319" s="1063"/>
      <c r="F3319" s="1061"/>
      <c r="G3319" s="1056" t="s">
        <v>2694</v>
      </c>
      <c r="H3319" s="1057" t="s">
        <v>2684</v>
      </c>
      <c r="I3319" s="1058" t="e">
        <f>VLOOKUP(H3310,'LƯƠNG KT'!$D$15:$R$94,23,0)</f>
        <v>#N/A</v>
      </c>
      <c r="J3319" s="1059" t="e">
        <f>+I3319*20000</f>
        <v>#N/A</v>
      </c>
      <c r="K3319" s="1056" t="s">
        <v>2675</v>
      </c>
      <c r="L3319" s="1057" t="s">
        <v>2676</v>
      </c>
      <c r="M3319" s="1085"/>
      <c r="N3319" s="1085"/>
      <c r="O3319" s="1085"/>
    </row>
    <row r="3320" spans="1:15" ht="15" customHeight="1">
      <c r="A3320" s="1056" t="s">
        <v>374</v>
      </c>
      <c r="B3320" s="1057" t="s">
        <v>2674</v>
      </c>
      <c r="C3320" s="1058" t="e">
        <f>VLOOKUP(B3310,'LƯƠNG KT'!$D$15:$R$94,12,0)</f>
        <v>#N/A</v>
      </c>
      <c r="D3320" s="1059" t="e">
        <f>VLOOKUP(B3310,'LƯƠNG KT'!$D$15:$R$94,14,0)</f>
        <v>#N/A</v>
      </c>
      <c r="E3320" s="1065"/>
      <c r="F3320" s="1065"/>
      <c r="G3320" s="1056" t="s">
        <v>374</v>
      </c>
      <c r="H3320" s="1057" t="s">
        <v>2674</v>
      </c>
      <c r="I3320" s="1058" t="e">
        <f>VLOOKUP(H3310,'LƯƠNG KT'!$D$15:$R$94,12,0)</f>
        <v>#N/A</v>
      </c>
      <c r="J3320" s="1059" t="e">
        <f>VLOOKUP(H3310,'LƯƠNG KT'!$D$15:$R$94,14,0)</f>
        <v>#N/A</v>
      </c>
    </row>
    <row r="3321" spans="1:15" ht="15" customHeight="1">
      <c r="A3321" s="1056" t="s">
        <v>2675</v>
      </c>
      <c r="B3321" s="1057" t="s">
        <v>2676</v>
      </c>
      <c r="D3321" s="1064" t="e">
        <f>VLOOKUP(B3310,'LƯƠNG KT'!$D$15:$R$94,13,0)</f>
        <v>#N/A</v>
      </c>
      <c r="E3321" s="1063"/>
      <c r="F3321" s="1065"/>
      <c r="G3321" s="1056" t="s">
        <v>2675</v>
      </c>
      <c r="H3321" s="1057" t="s">
        <v>2676</v>
      </c>
      <c r="J3321" s="1064" t="e">
        <f>VLOOKUP(H3310,'LƯƠNG KT'!$D$15:$R$94,13,0)</f>
        <v>#N/A</v>
      </c>
    </row>
    <row r="3322" spans="1:15" ht="15" customHeight="1">
      <c r="A3322" s="1052"/>
      <c r="B3322" s="869"/>
      <c r="C3322" s="1058"/>
      <c r="D3322" s="1059"/>
      <c r="E3322" s="1067"/>
      <c r="F3322" s="1051"/>
      <c r="G3322" s="1052"/>
      <c r="H3322" s="869"/>
      <c r="I3322" s="1058"/>
      <c r="J3322" s="1059"/>
    </row>
    <row r="3323" spans="1:15" ht="15" customHeight="1">
      <c r="A3323" s="1068" t="s">
        <v>383</v>
      </c>
      <c r="B3323" s="1069" t="s">
        <v>384</v>
      </c>
      <c r="C3323" s="1070"/>
      <c r="D3323" s="1071" t="e">
        <f>SUM(D3311:D3320)</f>
        <v>#N/A</v>
      </c>
      <c r="E3323" s="1072"/>
      <c r="F3323" s="1073"/>
      <c r="G3323" s="1068" t="s">
        <v>383</v>
      </c>
      <c r="H3323" s="1069" t="s">
        <v>384</v>
      </c>
      <c r="I3323" s="1070"/>
      <c r="J3323" s="1071" t="e">
        <f>SUM(J3311:J3320)</f>
        <v>#N/A</v>
      </c>
    </row>
    <row r="3324" spans="1:15" ht="22.5" customHeight="1">
      <c r="A3324" s="1074"/>
      <c r="B3324" s="1075"/>
      <c r="C3324" s="1076"/>
      <c r="D3324" s="1077"/>
      <c r="E3324" s="1077"/>
      <c r="F3324" s="1078"/>
      <c r="G3324" s="1074"/>
      <c r="H3324" s="1075"/>
      <c r="I3324" s="1076"/>
      <c r="J3324" s="1077"/>
    </row>
    <row r="3325" spans="1:15" ht="22.5" customHeight="1">
      <c r="A3325" s="1075"/>
      <c r="B3325" s="1075"/>
      <c r="C3325" s="1079"/>
      <c r="D3325" s="1080"/>
      <c r="E3325" s="1075"/>
      <c r="F3325" s="1081"/>
      <c r="G3325" s="1075"/>
      <c r="H3325" s="1075"/>
      <c r="I3325" s="1079"/>
      <c r="J3325" s="1080"/>
    </row>
    <row r="3326" spans="1:15" ht="15" customHeight="1">
      <c r="A3326" s="2242" t="str">
        <f>$K$2</f>
        <v>THÁNG 04/2025</v>
      </c>
      <c r="B3326" s="2242"/>
      <c r="C3326" s="2242"/>
      <c r="D3326" s="2242"/>
      <c r="E3326" s="1050"/>
      <c r="F3326" s="1051"/>
      <c r="G3326" s="2242" t="str">
        <f>$K$2</f>
        <v>THÁNG 04/2025</v>
      </c>
      <c r="H3326" s="2242"/>
      <c r="I3326" s="2242"/>
      <c r="J3326" s="2242"/>
      <c r="K3326" s="624"/>
    </row>
    <row r="3327" spans="1:15" ht="15" customHeight="1">
      <c r="A3327" s="1052" t="s">
        <v>356</v>
      </c>
      <c r="B3327" s="1053" t="s">
        <v>310</v>
      </c>
      <c r="C3327" s="869"/>
      <c r="D3327" s="1049"/>
      <c r="E3327" s="1054"/>
      <c r="F3327" s="1055"/>
      <c r="G3327" s="1052" t="s">
        <v>356</v>
      </c>
      <c r="H3327" s="1053" t="s">
        <v>311</v>
      </c>
      <c r="I3327" s="869"/>
      <c r="J3327" s="1049"/>
      <c r="L3327" s="1088"/>
      <c r="M3327" s="1088"/>
      <c r="N3327" s="1088"/>
      <c r="O3327" s="1088"/>
    </row>
    <row r="3328" spans="1:15" ht="15" customHeight="1">
      <c r="A3328" s="1056" t="s">
        <v>359</v>
      </c>
      <c r="B3328" s="1057" t="s">
        <v>2662</v>
      </c>
      <c r="C3328" s="1058" t="e">
        <f>VLOOKUP(B3327,'LƯƠNG KT'!$D$15:$R$94,4,0)</f>
        <v>#N/A</v>
      </c>
      <c r="D3328" s="1059" t="e">
        <f>+C3328*25000</f>
        <v>#N/A</v>
      </c>
      <c r="E3328" s="1060"/>
      <c r="F3328" s="1060"/>
      <c r="G3328" s="1056" t="s">
        <v>359</v>
      </c>
      <c r="H3328" s="1057" t="s">
        <v>2662</v>
      </c>
      <c r="I3328" s="1058" t="e">
        <f>VLOOKUP(H3327,'LƯƠNG KT'!$D$15:$R$94,4,0)</f>
        <v>#N/A</v>
      </c>
      <c r="J3328" s="1059" t="e">
        <f>+I3328*25000</f>
        <v>#N/A</v>
      </c>
      <c r="K3328" s="1085"/>
      <c r="L3328" s="1085"/>
      <c r="M3328" s="1085"/>
      <c r="N3328" s="1085"/>
      <c r="O3328" s="1085"/>
    </row>
    <row r="3329" spans="1:15" ht="15" customHeight="1">
      <c r="A3329" s="1056" t="s">
        <v>361</v>
      </c>
      <c r="B3329" s="1057" t="s">
        <v>2663</v>
      </c>
      <c r="C3329" s="1058" t="e">
        <f>VLOOKUP(B3327,'LƯƠNG KT'!$D$15:$R$94,15,0)</f>
        <v>#N/A</v>
      </c>
      <c r="D3329" s="1059" t="e">
        <f>C3329*$L$4</f>
        <v>#N/A</v>
      </c>
      <c r="E3329" s="1061"/>
      <c r="F3329" s="1061"/>
      <c r="G3329" s="1056" t="s">
        <v>361</v>
      </c>
      <c r="H3329" s="1057" t="s">
        <v>2663</v>
      </c>
      <c r="I3329" s="1058" t="e">
        <f>VLOOKUP(H3327,'LƯƠNG KT'!$D$15:$R$94,15,0)</f>
        <v>#N/A</v>
      </c>
      <c r="J3329" s="1059" t="e">
        <f>I3329*$L$4</f>
        <v>#N/A</v>
      </c>
      <c r="K3329" s="1085"/>
      <c r="L3329" s="1085"/>
      <c r="M3329" s="1085"/>
      <c r="N3329" s="1085"/>
      <c r="O3329" s="1085"/>
    </row>
    <row r="3330" spans="1:15" ht="15" customHeight="1">
      <c r="A3330" s="1056" t="s">
        <v>364</v>
      </c>
      <c r="B3330" s="1057" t="s">
        <v>2664</v>
      </c>
      <c r="C3330" s="1058" t="e">
        <f>VLOOKUP(B3327,'LƯƠNG KT'!$D$15:$R$94,16,0)</f>
        <v>#N/A</v>
      </c>
      <c r="D3330" s="1059" t="e">
        <f>C3330*$L$5</f>
        <v>#N/A</v>
      </c>
      <c r="E3330" s="1061"/>
      <c r="F3330" s="1061"/>
      <c r="G3330" s="1056" t="s">
        <v>364</v>
      </c>
      <c r="H3330" s="1057" t="s">
        <v>2664</v>
      </c>
      <c r="I3330" s="1058" t="e">
        <f>VLOOKUP(H3327,'LƯƠNG KT'!$D$15:$R$94,16,0)</f>
        <v>#N/A</v>
      </c>
      <c r="J3330" s="1059" t="e">
        <f>I3330*$L$5</f>
        <v>#N/A</v>
      </c>
      <c r="K3330" s="1085"/>
      <c r="L3330" s="1085"/>
      <c r="M3330" s="1085"/>
      <c r="N3330" s="1085"/>
      <c r="O3330" s="1085"/>
    </row>
    <row r="3331" spans="1:15" ht="15" customHeight="1">
      <c r="A3331" s="1056" t="s">
        <v>370</v>
      </c>
      <c r="B3331" s="1057" t="s">
        <v>2665</v>
      </c>
      <c r="C3331" s="1058" t="e">
        <f>VLOOKUP(B3327,'LƯƠNG KT'!$D$15:$R$94,24,0)</f>
        <v>#N/A</v>
      </c>
      <c r="D3331" s="1059" t="e">
        <f>+C3331*$L$6</f>
        <v>#N/A</v>
      </c>
      <c r="E3331" s="1061"/>
      <c r="F3331" s="1061"/>
      <c r="G3331" s="1056" t="s">
        <v>370</v>
      </c>
      <c r="H3331" s="1057" t="s">
        <v>2665</v>
      </c>
      <c r="I3331" s="1058" t="e">
        <f>VLOOKUP(H3327,'LƯƠNG KT'!$D$15:$R$94,24,0)</f>
        <v>#N/A</v>
      </c>
      <c r="J3331" s="1059" t="e">
        <f>+I3331*$L$6</f>
        <v>#N/A</v>
      </c>
      <c r="K3331" s="1085"/>
      <c r="L3331" s="1085"/>
      <c r="M3331" s="1085"/>
      <c r="N3331" s="1085"/>
      <c r="O3331" s="1085"/>
    </row>
    <row r="3332" spans="1:15" ht="15" customHeight="1">
      <c r="A3332" s="1056" t="s">
        <v>2666</v>
      </c>
      <c r="B3332" s="1057" t="s">
        <v>2667</v>
      </c>
      <c r="C3332" s="1058" t="e">
        <f>VLOOKUP(B3327,'LƯƠNG KT'!$D$15:$R$94,19,0)</f>
        <v>#N/A</v>
      </c>
      <c r="D3332" s="1059" t="e">
        <f>+C3332*$L$8</f>
        <v>#N/A</v>
      </c>
      <c r="E3332" s="1061"/>
      <c r="F3332" s="1061"/>
      <c r="G3332" s="1056" t="s">
        <v>2666</v>
      </c>
      <c r="H3332" s="1057" t="s">
        <v>2667</v>
      </c>
      <c r="I3332" s="1058" t="e">
        <f>VLOOKUP(H3327,'LƯƠNG KT'!$D$15:$R$94,19,0)</f>
        <v>#N/A</v>
      </c>
      <c r="J3332" s="1059" t="e">
        <f>+I3332*$L$8</f>
        <v>#N/A</v>
      </c>
      <c r="K3332" s="1085"/>
      <c r="L3332" s="1085"/>
      <c r="M3332" s="1085"/>
      <c r="N3332" s="1085"/>
      <c r="O3332" s="1085"/>
    </row>
    <row r="3333" spans="1:15" ht="15" customHeight="1">
      <c r="A3333" s="1056" t="s">
        <v>2668</v>
      </c>
      <c r="B3333" s="1062" t="s">
        <v>2669</v>
      </c>
      <c r="C3333" s="1058" t="e">
        <f>VLOOKUP(B3327,'LƯƠNG KT'!$D$15:$R$94,20,0)</f>
        <v>#N/A</v>
      </c>
      <c r="D3333" s="1059" t="e">
        <f>+C3333*$L$9</f>
        <v>#N/A</v>
      </c>
      <c r="E3333" s="1061"/>
      <c r="F3333" s="1061"/>
      <c r="G3333" s="1056" t="s">
        <v>2668</v>
      </c>
      <c r="H3333" s="1062" t="s">
        <v>2669</v>
      </c>
      <c r="I3333" s="1058" t="e">
        <f>VLOOKUP(H3327,'LƯƠNG KT'!$D$15:$R$94,20,0)</f>
        <v>#N/A</v>
      </c>
      <c r="J3333" s="1059" t="e">
        <f>+I3333*$L$9</f>
        <v>#N/A</v>
      </c>
      <c r="K3333" s="1085"/>
      <c r="L3333" s="1085"/>
      <c r="M3333" s="1085"/>
      <c r="N3333" s="1085"/>
      <c r="O3333" s="1085"/>
    </row>
    <row r="3334" spans="1:15" ht="15" customHeight="1">
      <c r="A3334" s="1056" t="s">
        <v>2671</v>
      </c>
      <c r="B3334" s="1057" t="s">
        <v>2672</v>
      </c>
      <c r="C3334" s="1058" t="e">
        <f>VLOOKUP(B3327,'LƯƠNG KT'!$D$15:$R$94,17,0)</f>
        <v>#N/A</v>
      </c>
      <c r="D3334" s="1059" t="e">
        <f>+C3334*$L$10</f>
        <v>#N/A</v>
      </c>
      <c r="E3334" s="1061"/>
      <c r="F3334" s="1061"/>
      <c r="G3334" s="1056" t="s">
        <v>2671</v>
      </c>
      <c r="H3334" s="1057" t="s">
        <v>2672</v>
      </c>
      <c r="I3334" s="1058" t="e">
        <f>VLOOKUP(H3327,'LƯƠNG KT'!$D$15:$R$94,17,0)</f>
        <v>#N/A</v>
      </c>
      <c r="J3334" s="1059" t="e">
        <f>+I3334*$L$10</f>
        <v>#N/A</v>
      </c>
      <c r="K3334" s="1085"/>
      <c r="L3334" s="1085"/>
      <c r="M3334" s="1085"/>
      <c r="N3334" s="1085"/>
      <c r="O3334" s="1085"/>
    </row>
    <row r="3335" spans="1:15" ht="15" customHeight="1">
      <c r="A3335" s="1056" t="s">
        <v>2693</v>
      </c>
      <c r="B3335" s="1062" t="s">
        <v>2692</v>
      </c>
      <c r="C3335" s="1058" t="e">
        <f>VLOOKUP(B3327,'LƯƠNG KT'!$D$15:$R$94,21,0)</f>
        <v>#N/A</v>
      </c>
      <c r="D3335" s="1059" t="e">
        <f>+C3335*$L$7</f>
        <v>#N/A</v>
      </c>
      <c r="E3335" s="1061"/>
      <c r="F3335" s="1061"/>
      <c r="G3335" s="1056" t="s">
        <v>2693</v>
      </c>
      <c r="H3335" s="1062" t="s">
        <v>2692</v>
      </c>
      <c r="I3335" s="1058" t="e">
        <f>VLOOKUP(H3327,'LƯƠNG KT'!$D$15:$R$94,21,0)</f>
        <v>#N/A</v>
      </c>
      <c r="J3335" s="1059" t="e">
        <f>+I3335*$L$7</f>
        <v>#N/A</v>
      </c>
      <c r="K3335" s="1085"/>
      <c r="L3335" s="1085"/>
      <c r="M3335" s="1085"/>
      <c r="N3335" s="1085"/>
      <c r="O3335" s="1085"/>
    </row>
    <row r="3336" spans="1:15" ht="15" customHeight="1">
      <c r="A3336" s="1056" t="s">
        <v>2694</v>
      </c>
      <c r="B3336" s="1057" t="s">
        <v>2684</v>
      </c>
      <c r="C3336" s="1058" t="e">
        <f>VLOOKUP(B3327,'LƯƠNG KT'!$D$15:$R$94,23,0)</f>
        <v>#N/A</v>
      </c>
      <c r="D3336" s="1059" t="e">
        <f>+C3336*20000</f>
        <v>#N/A</v>
      </c>
      <c r="E3336" s="1063"/>
      <c r="F3336" s="1061"/>
      <c r="G3336" s="1056" t="s">
        <v>2694</v>
      </c>
      <c r="H3336" s="1057" t="s">
        <v>2684</v>
      </c>
      <c r="I3336" s="1058" t="e">
        <f>VLOOKUP(H3327,'LƯƠNG KT'!$D$15:$R$94,23,0)</f>
        <v>#N/A</v>
      </c>
      <c r="J3336" s="1059" t="e">
        <f>+I3336*20000</f>
        <v>#N/A</v>
      </c>
      <c r="K3336" s="1085"/>
      <c r="L3336" s="1085"/>
      <c r="M3336" s="1085"/>
      <c r="N3336" s="1085"/>
      <c r="O3336" s="1085"/>
    </row>
    <row r="3337" spans="1:15" ht="15" customHeight="1">
      <c r="A3337" s="1056" t="s">
        <v>374</v>
      </c>
      <c r="B3337" s="1057" t="s">
        <v>2674</v>
      </c>
      <c r="C3337" s="1058" t="e">
        <f>VLOOKUP(B3327,'LƯƠNG KT'!$D$15:$R$94,12,0)</f>
        <v>#N/A</v>
      </c>
      <c r="D3337" s="1059" t="e">
        <f>VLOOKUP(B3327,'LƯƠNG KT'!$D$15:$R$94,14,0)</f>
        <v>#N/A</v>
      </c>
      <c r="E3337" s="1065"/>
      <c r="F3337" s="1065"/>
      <c r="G3337" s="1056" t="s">
        <v>374</v>
      </c>
      <c r="H3337" s="1057" t="s">
        <v>2674</v>
      </c>
      <c r="I3337" s="1058" t="e">
        <f>VLOOKUP(H3327,'LƯƠNG KT'!$D$15:$R$94,12,0)</f>
        <v>#N/A</v>
      </c>
      <c r="J3337" s="1059" t="e">
        <f>VLOOKUP(H3327,'LƯƠNG KT'!$D$15:$R$94,14,0)</f>
        <v>#N/A</v>
      </c>
    </row>
    <row r="3338" spans="1:15" ht="15" customHeight="1">
      <c r="A3338" s="1056" t="s">
        <v>2675</v>
      </c>
      <c r="B3338" s="1057" t="s">
        <v>2676</v>
      </c>
      <c r="D3338" s="1064" t="e">
        <f>VLOOKUP(B3327,'LƯƠNG KT'!$D$15:$R$94,13,0)</f>
        <v>#N/A</v>
      </c>
      <c r="E3338" s="1063"/>
      <c r="F3338" s="1065"/>
      <c r="G3338" s="1056" t="s">
        <v>2675</v>
      </c>
      <c r="H3338" s="1057" t="s">
        <v>2676</v>
      </c>
      <c r="J3338" s="1064" t="e">
        <f>VLOOKUP(H3327,'LƯƠNG KT'!$D$15:$R$94,13,0)</f>
        <v>#N/A</v>
      </c>
    </row>
    <row r="3339" spans="1:15" ht="15" customHeight="1">
      <c r="A3339" s="1052"/>
      <c r="B3339" s="869"/>
      <c r="C3339" s="1058"/>
      <c r="D3339" s="1059"/>
      <c r="E3339" s="1067"/>
      <c r="F3339" s="1051"/>
      <c r="G3339" s="1052"/>
      <c r="H3339" s="869"/>
      <c r="I3339" s="1058"/>
      <c r="J3339" s="1059"/>
    </row>
    <row r="3340" spans="1:15" ht="15" customHeight="1">
      <c r="A3340" s="1068" t="s">
        <v>383</v>
      </c>
      <c r="B3340" s="1069" t="s">
        <v>384</v>
      </c>
      <c r="C3340" s="1070"/>
      <c r="D3340" s="1071" t="e">
        <f>SUM(D3328:D3337)</f>
        <v>#N/A</v>
      </c>
      <c r="E3340" s="1072"/>
      <c r="F3340" s="1073"/>
      <c r="G3340" s="1068" t="s">
        <v>383</v>
      </c>
      <c r="H3340" s="1069" t="s">
        <v>384</v>
      </c>
      <c r="I3340" s="1070"/>
      <c r="J3340" s="1071" t="e">
        <f>SUM(J3328:J3337)</f>
        <v>#N/A</v>
      </c>
    </row>
    <row r="3341" spans="1:15" ht="20.25" customHeight="1">
      <c r="A3341" s="1074"/>
      <c r="B3341" s="1075"/>
      <c r="C3341" s="1076"/>
      <c r="D3341" s="1077"/>
      <c r="E3341" s="1077"/>
      <c r="F3341" s="1078"/>
      <c r="G3341" s="1074"/>
      <c r="H3341" s="1075"/>
      <c r="I3341" s="1076"/>
      <c r="J3341" s="1077"/>
    </row>
    <row r="3342" spans="1:15" ht="20.25" customHeight="1">
      <c r="A3342" s="1075"/>
      <c r="B3342" s="1075"/>
      <c r="C3342" s="1079"/>
      <c r="D3342" s="1080"/>
      <c r="E3342" s="1075"/>
      <c r="F3342" s="1081"/>
      <c r="G3342" s="1075"/>
      <c r="H3342" s="1075"/>
      <c r="I3342" s="1079"/>
      <c r="J3342" s="1080"/>
    </row>
    <row r="3343" spans="1:15" ht="15" customHeight="1">
      <c r="A3343" s="2242" t="str">
        <f>$K$2</f>
        <v>THÁNG 04/2025</v>
      </c>
      <c r="B3343" s="2242"/>
      <c r="C3343" s="2242"/>
      <c r="D3343" s="2242"/>
      <c r="E3343" s="1050"/>
      <c r="F3343" s="1051"/>
      <c r="G3343" s="2242" t="str">
        <f>$K$2</f>
        <v>THÁNG 04/2025</v>
      </c>
      <c r="H3343" s="2242"/>
      <c r="I3343" s="2242"/>
      <c r="J3343" s="2242"/>
      <c r="K3343" s="624"/>
    </row>
    <row r="3344" spans="1:15" ht="15" customHeight="1">
      <c r="A3344" s="1052" t="s">
        <v>356</v>
      </c>
      <c r="B3344" s="1053" t="s">
        <v>312</v>
      </c>
      <c r="C3344" s="869"/>
      <c r="D3344" s="1049"/>
      <c r="E3344" s="1054"/>
      <c r="F3344" s="1055"/>
      <c r="G3344" s="1052" t="s">
        <v>356</v>
      </c>
      <c r="H3344" s="1053" t="s">
        <v>313</v>
      </c>
      <c r="I3344" s="869"/>
      <c r="J3344" s="1049"/>
      <c r="L3344" s="1088"/>
      <c r="M3344" s="1088"/>
      <c r="N3344" s="1088"/>
      <c r="O3344" s="1088"/>
    </row>
    <row r="3345" spans="1:15" ht="15" customHeight="1">
      <c r="A3345" s="1056" t="s">
        <v>359</v>
      </c>
      <c r="B3345" s="1057" t="s">
        <v>2662</v>
      </c>
      <c r="C3345" s="1058" t="e">
        <f>VLOOKUP(B3344,'LƯƠNG KT'!$D$15:$R$94,4,0)</f>
        <v>#N/A</v>
      </c>
      <c r="D3345" s="1059" t="e">
        <f>+C3345*25000</f>
        <v>#N/A</v>
      </c>
      <c r="E3345" s="1060"/>
      <c r="F3345" s="1060"/>
      <c r="G3345" s="1056" t="s">
        <v>359</v>
      </c>
      <c r="H3345" s="1057" t="s">
        <v>2662</v>
      </c>
      <c r="I3345" s="1058" t="e">
        <f>VLOOKUP(H3344,'LƯƠNG KT'!$D$15:$R$94,4,0)</f>
        <v>#N/A</v>
      </c>
      <c r="J3345" s="1059" t="e">
        <f>+I3345*25000</f>
        <v>#N/A</v>
      </c>
      <c r="K3345" s="1085"/>
      <c r="L3345" s="1085"/>
      <c r="M3345" s="1085"/>
      <c r="N3345" s="1085"/>
      <c r="O3345" s="1085"/>
    </row>
    <row r="3346" spans="1:15" ht="15" customHeight="1">
      <c r="A3346" s="1056" t="s">
        <v>361</v>
      </c>
      <c r="B3346" s="1057" t="s">
        <v>2663</v>
      </c>
      <c r="C3346" s="1058" t="e">
        <f>VLOOKUP(B3344,'LƯƠNG KT'!$D$15:$R$94,15,0)</f>
        <v>#N/A</v>
      </c>
      <c r="D3346" s="1059" t="e">
        <f>C3346*$L$4</f>
        <v>#N/A</v>
      </c>
      <c r="E3346" s="1061"/>
      <c r="F3346" s="1061"/>
      <c r="G3346" s="1056" t="s">
        <v>361</v>
      </c>
      <c r="H3346" s="1057" t="s">
        <v>2663</v>
      </c>
      <c r="I3346" s="1058" t="e">
        <f>VLOOKUP(H3344,'LƯƠNG KT'!$D$15:$R$94,15,0)</f>
        <v>#N/A</v>
      </c>
      <c r="J3346" s="1059" t="e">
        <f>I3346*$L$4</f>
        <v>#N/A</v>
      </c>
      <c r="K3346" s="1085"/>
      <c r="L3346" s="1085"/>
      <c r="M3346" s="1085"/>
      <c r="N3346" s="1085"/>
      <c r="O3346" s="1085"/>
    </row>
    <row r="3347" spans="1:15" ht="15" customHeight="1">
      <c r="A3347" s="1056" t="s">
        <v>364</v>
      </c>
      <c r="B3347" s="1057" t="s">
        <v>2664</v>
      </c>
      <c r="C3347" s="1058" t="e">
        <f>VLOOKUP(B3344,'LƯƠNG KT'!$D$15:$R$94,16,0)</f>
        <v>#N/A</v>
      </c>
      <c r="D3347" s="1059" t="e">
        <f>C3347*$L$5</f>
        <v>#N/A</v>
      </c>
      <c r="E3347" s="1061"/>
      <c r="F3347" s="1061"/>
      <c r="G3347" s="1056" t="s">
        <v>364</v>
      </c>
      <c r="H3347" s="1057" t="s">
        <v>2664</v>
      </c>
      <c r="I3347" s="1058" t="e">
        <f>VLOOKUP(H3344,'LƯƠNG KT'!$D$15:$R$94,16,0)</f>
        <v>#N/A</v>
      </c>
      <c r="J3347" s="1059" t="e">
        <f>I3347*$L$5</f>
        <v>#N/A</v>
      </c>
      <c r="K3347" s="1085"/>
      <c r="L3347" s="1085"/>
      <c r="M3347" s="1085"/>
      <c r="N3347" s="1085"/>
      <c r="O3347" s="1085"/>
    </row>
    <row r="3348" spans="1:15" ht="15" customHeight="1">
      <c r="A3348" s="1056" t="s">
        <v>370</v>
      </c>
      <c r="B3348" s="1057" t="s">
        <v>2665</v>
      </c>
      <c r="C3348" s="1058" t="e">
        <f>VLOOKUP(B3344,'LƯƠNG KT'!$D$15:$R$94,24,0)</f>
        <v>#N/A</v>
      </c>
      <c r="D3348" s="1059" t="e">
        <f>+C3348*$L$6</f>
        <v>#N/A</v>
      </c>
      <c r="E3348" s="1061"/>
      <c r="F3348" s="1061"/>
      <c r="G3348" s="1056" t="s">
        <v>370</v>
      </c>
      <c r="H3348" s="1057" t="s">
        <v>2665</v>
      </c>
      <c r="I3348" s="1058" t="e">
        <f>VLOOKUP(H3344,'LƯƠNG KT'!$D$15:$R$94,24,0)</f>
        <v>#N/A</v>
      </c>
      <c r="J3348" s="1059" t="e">
        <f>+I3348*$L$6</f>
        <v>#N/A</v>
      </c>
      <c r="K3348" s="1085"/>
      <c r="L3348" s="1085"/>
      <c r="M3348" s="1085"/>
      <c r="N3348" s="1085"/>
      <c r="O3348" s="1085"/>
    </row>
    <row r="3349" spans="1:15" ht="15" customHeight="1">
      <c r="A3349" s="1056" t="s">
        <v>2666</v>
      </c>
      <c r="B3349" s="1057" t="s">
        <v>2667</v>
      </c>
      <c r="C3349" s="1058" t="e">
        <f>VLOOKUP(B3344,'LƯƠNG KT'!$D$15:$R$94,19,0)</f>
        <v>#N/A</v>
      </c>
      <c r="D3349" s="1059" t="e">
        <f>+C3349*$L$8</f>
        <v>#N/A</v>
      </c>
      <c r="E3349" s="1061"/>
      <c r="F3349" s="1061"/>
      <c r="G3349" s="1056" t="s">
        <v>2666</v>
      </c>
      <c r="H3349" s="1057" t="s">
        <v>2667</v>
      </c>
      <c r="I3349" s="1058" t="e">
        <f>VLOOKUP(H3344,'LƯƠNG KT'!$D$15:$R$94,19,0)</f>
        <v>#N/A</v>
      </c>
      <c r="J3349" s="1059" t="e">
        <f>+I3349*$L$8</f>
        <v>#N/A</v>
      </c>
      <c r="K3349" s="1085"/>
      <c r="L3349" s="1085"/>
      <c r="M3349" s="1085"/>
      <c r="N3349" s="1085"/>
      <c r="O3349" s="1085"/>
    </row>
    <row r="3350" spans="1:15" ht="15" customHeight="1">
      <c r="A3350" s="1056" t="s">
        <v>2668</v>
      </c>
      <c r="B3350" s="1062" t="s">
        <v>2669</v>
      </c>
      <c r="C3350" s="1058" t="e">
        <f>VLOOKUP(B3344,'LƯƠNG KT'!$D$15:$R$94,20,0)</f>
        <v>#N/A</v>
      </c>
      <c r="D3350" s="1059" t="e">
        <f>+C3350*$L$9</f>
        <v>#N/A</v>
      </c>
      <c r="E3350" s="1061"/>
      <c r="F3350" s="1061"/>
      <c r="G3350" s="1056" t="s">
        <v>2668</v>
      </c>
      <c r="H3350" s="1062" t="s">
        <v>2669</v>
      </c>
      <c r="I3350" s="1058" t="e">
        <f>VLOOKUP(H3344,'LƯƠNG KT'!$D$15:$R$94,20,0)</f>
        <v>#N/A</v>
      </c>
      <c r="J3350" s="1059" t="e">
        <f>+I3350*$L$9</f>
        <v>#N/A</v>
      </c>
      <c r="K3350" s="1085"/>
      <c r="L3350" s="1085"/>
      <c r="M3350" s="1085"/>
      <c r="N3350" s="1085"/>
      <c r="O3350" s="1085"/>
    </row>
    <row r="3351" spans="1:15" ht="15" customHeight="1">
      <c r="A3351" s="1056" t="s">
        <v>2671</v>
      </c>
      <c r="B3351" s="1057" t="s">
        <v>2672</v>
      </c>
      <c r="C3351" s="1058" t="e">
        <f>VLOOKUP(B3344,'LƯƠNG KT'!$D$15:$R$94,17,0)</f>
        <v>#N/A</v>
      </c>
      <c r="D3351" s="1059" t="e">
        <f>+C3351*$L$10</f>
        <v>#N/A</v>
      </c>
      <c r="E3351" s="1061"/>
      <c r="F3351" s="1061"/>
      <c r="G3351" s="1056" t="s">
        <v>2671</v>
      </c>
      <c r="H3351" s="1057" t="s">
        <v>2672</v>
      </c>
      <c r="I3351" s="1058" t="e">
        <f>VLOOKUP(H3344,'LƯƠNG KT'!$D$15:$R$94,17,0)</f>
        <v>#N/A</v>
      </c>
      <c r="J3351" s="1059" t="e">
        <f>+I3351*$L$10</f>
        <v>#N/A</v>
      </c>
      <c r="K3351" s="1085"/>
      <c r="L3351" s="1085"/>
      <c r="M3351" s="1085"/>
      <c r="N3351" s="1085"/>
      <c r="O3351" s="1085"/>
    </row>
    <row r="3352" spans="1:15" ht="15" customHeight="1">
      <c r="A3352" s="1056" t="s">
        <v>2693</v>
      </c>
      <c r="B3352" s="1062" t="s">
        <v>2692</v>
      </c>
      <c r="C3352" s="1058" t="e">
        <f>VLOOKUP(B3344,'LƯƠNG KT'!$D$15:$R$94,21,0)</f>
        <v>#N/A</v>
      </c>
      <c r="D3352" s="1059" t="e">
        <f>+C3352*$L$7</f>
        <v>#N/A</v>
      </c>
      <c r="E3352" s="1061"/>
      <c r="F3352" s="1061"/>
      <c r="G3352" s="1056" t="s">
        <v>2693</v>
      </c>
      <c r="H3352" s="1062" t="s">
        <v>2692</v>
      </c>
      <c r="I3352" s="1058" t="e">
        <f>VLOOKUP(H3344,'LƯƠNG KT'!$D$15:$R$94,21,0)</f>
        <v>#N/A</v>
      </c>
      <c r="J3352" s="1059" t="e">
        <f>+I3352*$L$7</f>
        <v>#N/A</v>
      </c>
      <c r="K3352" s="1085"/>
      <c r="L3352" s="1085"/>
      <c r="M3352" s="1085"/>
      <c r="N3352" s="1085"/>
      <c r="O3352" s="1085"/>
    </row>
    <row r="3353" spans="1:15" ht="15" customHeight="1">
      <c r="A3353" s="1056" t="s">
        <v>2694</v>
      </c>
      <c r="B3353" s="1057" t="s">
        <v>2684</v>
      </c>
      <c r="C3353" s="1058" t="e">
        <f>VLOOKUP(B3344,'LƯƠNG KT'!$D$15:$R$94,23,0)</f>
        <v>#N/A</v>
      </c>
      <c r="D3353" s="1059" t="e">
        <f>+C3353*20000</f>
        <v>#N/A</v>
      </c>
      <c r="E3353" s="1063"/>
      <c r="F3353" s="1061"/>
      <c r="G3353" s="1056" t="s">
        <v>2694</v>
      </c>
      <c r="H3353" s="1057" t="s">
        <v>2684</v>
      </c>
      <c r="I3353" s="1058" t="e">
        <f>VLOOKUP(H3344,'LƯƠNG KT'!$D$15:$R$94,23,0)</f>
        <v>#N/A</v>
      </c>
      <c r="J3353" s="1059" t="e">
        <f>+I3353*20000</f>
        <v>#N/A</v>
      </c>
      <c r="K3353" s="1085"/>
      <c r="L3353" s="1085"/>
      <c r="M3353" s="1085"/>
      <c r="N3353" s="1085"/>
      <c r="O3353" s="1085"/>
    </row>
    <row r="3354" spans="1:15" ht="15" customHeight="1">
      <c r="A3354" s="1056" t="s">
        <v>374</v>
      </c>
      <c r="B3354" s="1057" t="s">
        <v>2674</v>
      </c>
      <c r="C3354" s="1058" t="e">
        <f>VLOOKUP(B3344,'LƯƠNG KT'!$D$15:$R$94,12,0)</f>
        <v>#N/A</v>
      </c>
      <c r="D3354" s="1059" t="e">
        <f>VLOOKUP(B3344,'LƯƠNG KT'!$D$15:$R$94,14,0)</f>
        <v>#N/A</v>
      </c>
      <c r="E3354" s="1065"/>
      <c r="F3354" s="1065"/>
      <c r="G3354" s="1056" t="s">
        <v>374</v>
      </c>
      <c r="H3354" s="1057" t="s">
        <v>2674</v>
      </c>
      <c r="I3354" s="1058" t="e">
        <f>VLOOKUP(H3344,'LƯƠNG KT'!$D$15:$R$94,12,0)</f>
        <v>#N/A</v>
      </c>
      <c r="J3354" s="1059" t="e">
        <f>VLOOKUP(H3344,'LƯƠNG KT'!$D$15:$R$94,14,0)</f>
        <v>#N/A</v>
      </c>
    </row>
    <row r="3355" spans="1:15" ht="15" customHeight="1">
      <c r="A3355" s="1056" t="s">
        <v>2675</v>
      </c>
      <c r="B3355" s="1057" t="s">
        <v>2676</v>
      </c>
      <c r="D3355" s="1064" t="e">
        <f>VLOOKUP(B3344,'LƯƠNG KT'!$D$15:$R$94,13,0)</f>
        <v>#N/A</v>
      </c>
      <c r="E3355" s="1063"/>
      <c r="F3355" s="1065"/>
      <c r="G3355" s="1056" t="s">
        <v>2675</v>
      </c>
      <c r="H3355" s="1057" t="s">
        <v>2676</v>
      </c>
      <c r="J3355" s="1064" t="e">
        <f>VLOOKUP(H3344,'LƯƠNG KT'!$D$15:$R$94,13,0)</f>
        <v>#N/A</v>
      </c>
    </row>
    <row r="3356" spans="1:15" ht="15" customHeight="1">
      <c r="A3356" s="1052"/>
      <c r="B3356" s="869"/>
      <c r="C3356" s="1058"/>
      <c r="D3356" s="1059"/>
      <c r="E3356" s="1067"/>
      <c r="F3356" s="1051"/>
      <c r="G3356" s="1052"/>
      <c r="H3356" s="869"/>
      <c r="I3356" s="1058"/>
      <c r="J3356" s="1059"/>
    </row>
    <row r="3357" spans="1:15" ht="15" customHeight="1">
      <c r="A3357" s="1068" t="s">
        <v>383</v>
      </c>
      <c r="B3357" s="1069" t="s">
        <v>384</v>
      </c>
      <c r="C3357" s="1070"/>
      <c r="D3357" s="1071" t="e">
        <f>SUM(D3345:D3354)</f>
        <v>#N/A</v>
      </c>
      <c r="E3357" s="1072"/>
      <c r="F3357" s="1073"/>
      <c r="G3357" s="1068" t="s">
        <v>383</v>
      </c>
      <c r="H3357" s="1069" t="s">
        <v>384</v>
      </c>
      <c r="I3357" s="1070"/>
      <c r="J3357" s="1071" t="e">
        <f>SUM(J3345:J3354)</f>
        <v>#N/A</v>
      </c>
    </row>
    <row r="3358" spans="1:15" ht="11.25" customHeight="1">
      <c r="A3358" s="1074"/>
      <c r="B3358" s="1075"/>
      <c r="C3358" s="1076"/>
      <c r="D3358" s="1077"/>
      <c r="E3358" s="1077"/>
      <c r="F3358" s="1078"/>
      <c r="G3358" s="1074"/>
      <c r="H3358" s="1075"/>
      <c r="I3358" s="1076"/>
      <c r="J3358" s="1077"/>
    </row>
    <row r="3359" spans="1:15" ht="92.25" customHeight="1">
      <c r="A3359" s="1075"/>
      <c r="B3359" s="1075"/>
      <c r="C3359" s="1079"/>
      <c r="D3359" s="1080"/>
      <c r="E3359" s="1075"/>
      <c r="F3359" s="1081"/>
      <c r="G3359" s="1075"/>
      <c r="H3359" s="1075"/>
      <c r="I3359" s="1079"/>
      <c r="J3359" s="1080"/>
    </row>
    <row r="3360" spans="1:15" ht="15" customHeight="1">
      <c r="A3360" s="2242" t="str">
        <f>$K$2</f>
        <v>THÁNG 04/2025</v>
      </c>
      <c r="B3360" s="2242"/>
      <c r="C3360" s="2242"/>
      <c r="D3360" s="2242"/>
      <c r="E3360" s="1050"/>
      <c r="F3360" s="1051"/>
      <c r="G3360" s="2242" t="str">
        <f>$K$2</f>
        <v>THÁNG 04/2025</v>
      </c>
      <c r="H3360" s="2242"/>
      <c r="I3360" s="2242"/>
      <c r="J3360" s="2242"/>
      <c r="K3360" s="624"/>
    </row>
    <row r="3361" spans="1:15" ht="15" customHeight="1">
      <c r="A3361" s="1052" t="s">
        <v>356</v>
      </c>
      <c r="B3361" s="1053" t="s">
        <v>314</v>
      </c>
      <c r="C3361" s="869"/>
      <c r="D3361" s="1049"/>
      <c r="E3361" s="1054"/>
      <c r="F3361" s="1055"/>
      <c r="G3361" s="1052" t="s">
        <v>356</v>
      </c>
      <c r="H3361" s="1053" t="s">
        <v>315</v>
      </c>
      <c r="I3361" s="869"/>
      <c r="J3361" s="1049"/>
      <c r="L3361" s="1088"/>
      <c r="M3361" s="1088"/>
      <c r="N3361" s="1088"/>
      <c r="O3361" s="1088"/>
    </row>
    <row r="3362" spans="1:15" ht="15" customHeight="1">
      <c r="A3362" s="1056" t="s">
        <v>359</v>
      </c>
      <c r="B3362" s="1057" t="s">
        <v>2662</v>
      </c>
      <c r="C3362" s="1058" t="e">
        <f>VLOOKUP(B3361,'LƯƠNG KT'!$D$15:$R$94,4,0)</f>
        <v>#N/A</v>
      </c>
      <c r="D3362" s="1059" t="e">
        <f>+C3362*25000</f>
        <v>#N/A</v>
      </c>
      <c r="E3362" s="1060"/>
      <c r="F3362" s="1060"/>
      <c r="G3362" s="1056" t="s">
        <v>359</v>
      </c>
      <c r="H3362" s="1057" t="s">
        <v>2662</v>
      </c>
      <c r="I3362" s="1058" t="e">
        <f>VLOOKUP(H3361,'LƯƠNG KT'!$D$15:$R$94,4,0)</f>
        <v>#N/A</v>
      </c>
      <c r="J3362" s="1059" t="e">
        <f>+I3362*25000</f>
        <v>#N/A</v>
      </c>
      <c r="K3362" s="1085"/>
      <c r="L3362" s="1085"/>
      <c r="M3362" s="1085"/>
      <c r="N3362" s="1085"/>
      <c r="O3362" s="1085"/>
    </row>
    <row r="3363" spans="1:15" ht="15" customHeight="1">
      <c r="A3363" s="1056" t="s">
        <v>361</v>
      </c>
      <c r="B3363" s="1057" t="s">
        <v>2663</v>
      </c>
      <c r="C3363" s="1058" t="e">
        <f>VLOOKUP(B3361,'LƯƠNG KT'!$D$15:$R$94,15,0)</f>
        <v>#N/A</v>
      </c>
      <c r="D3363" s="1059" t="e">
        <f>C3363*$L$4</f>
        <v>#N/A</v>
      </c>
      <c r="E3363" s="1061"/>
      <c r="F3363" s="1061"/>
      <c r="G3363" s="1056" t="s">
        <v>361</v>
      </c>
      <c r="H3363" s="1057" t="s">
        <v>2663</v>
      </c>
      <c r="I3363" s="1058" t="e">
        <f>VLOOKUP(H3361,'LƯƠNG KT'!$D$15:$R$94,15,0)</f>
        <v>#N/A</v>
      </c>
      <c r="J3363" s="1059" t="e">
        <f>I3363*$L$4</f>
        <v>#N/A</v>
      </c>
      <c r="K3363" s="1085"/>
      <c r="L3363" s="1085"/>
      <c r="M3363" s="1085"/>
      <c r="N3363" s="1085"/>
      <c r="O3363" s="1085"/>
    </row>
    <row r="3364" spans="1:15" ht="15" customHeight="1">
      <c r="A3364" s="1056" t="s">
        <v>364</v>
      </c>
      <c r="B3364" s="1057" t="s">
        <v>2664</v>
      </c>
      <c r="C3364" s="1058" t="e">
        <f>VLOOKUP(B3361,'LƯƠNG KT'!$D$15:$R$94,16,0)</f>
        <v>#N/A</v>
      </c>
      <c r="D3364" s="1059" t="e">
        <f>C3364*$L$5</f>
        <v>#N/A</v>
      </c>
      <c r="E3364" s="1061"/>
      <c r="F3364" s="1061"/>
      <c r="G3364" s="1056" t="s">
        <v>364</v>
      </c>
      <c r="H3364" s="1057" t="s">
        <v>2664</v>
      </c>
      <c r="I3364" s="1058" t="e">
        <f>VLOOKUP(H3361,'LƯƠNG KT'!$D$15:$R$94,16,0)</f>
        <v>#N/A</v>
      </c>
      <c r="J3364" s="1059" t="e">
        <f>I3364*$L$5</f>
        <v>#N/A</v>
      </c>
      <c r="K3364" s="1085"/>
      <c r="L3364" s="1085"/>
      <c r="M3364" s="1085"/>
      <c r="N3364" s="1085"/>
      <c r="O3364" s="1085"/>
    </row>
    <row r="3365" spans="1:15" ht="15" customHeight="1">
      <c r="A3365" s="1056" t="s">
        <v>370</v>
      </c>
      <c r="B3365" s="1057" t="s">
        <v>2665</v>
      </c>
      <c r="C3365" s="1058" t="e">
        <f>VLOOKUP(B3361,'LƯƠNG KT'!$D$15:$R$94,24,0)</f>
        <v>#N/A</v>
      </c>
      <c r="D3365" s="1059" t="e">
        <f>+C3365*$L$6</f>
        <v>#N/A</v>
      </c>
      <c r="E3365" s="1061"/>
      <c r="F3365" s="1061"/>
      <c r="G3365" s="1056" t="s">
        <v>370</v>
      </c>
      <c r="H3365" s="1057" t="s">
        <v>2665</v>
      </c>
      <c r="I3365" s="1058" t="e">
        <f>VLOOKUP(H3361,'LƯƠNG KT'!$D$15:$R$94,24,0)</f>
        <v>#N/A</v>
      </c>
      <c r="J3365" s="1059" t="e">
        <f>+I3365*$L$6</f>
        <v>#N/A</v>
      </c>
      <c r="K3365" s="1085"/>
      <c r="L3365" s="1085"/>
      <c r="M3365" s="1085"/>
      <c r="N3365" s="1085"/>
      <c r="O3365" s="1085"/>
    </row>
    <row r="3366" spans="1:15" ht="15" customHeight="1">
      <c r="A3366" s="1056" t="s">
        <v>2666</v>
      </c>
      <c r="B3366" s="1057" t="s">
        <v>2667</v>
      </c>
      <c r="C3366" s="1058" t="e">
        <f>VLOOKUP(B3361,'LƯƠNG KT'!$D$15:$R$94,19,0)</f>
        <v>#N/A</v>
      </c>
      <c r="D3366" s="1059" t="e">
        <f>+C3366*$L$8</f>
        <v>#N/A</v>
      </c>
      <c r="E3366" s="1061"/>
      <c r="F3366" s="1061"/>
      <c r="G3366" s="1056" t="s">
        <v>2666</v>
      </c>
      <c r="H3366" s="1057" t="s">
        <v>2667</v>
      </c>
      <c r="I3366" s="1058" t="e">
        <f>VLOOKUP(H3361,'LƯƠNG KT'!$D$15:$R$94,19,0)</f>
        <v>#N/A</v>
      </c>
      <c r="J3366" s="1059" t="e">
        <f>+I3366*$L$8</f>
        <v>#N/A</v>
      </c>
      <c r="K3366" s="1085"/>
      <c r="L3366" s="1085"/>
      <c r="M3366" s="1085"/>
      <c r="N3366" s="1085"/>
      <c r="O3366" s="1085"/>
    </row>
    <row r="3367" spans="1:15" ht="15" customHeight="1">
      <c r="A3367" s="1056" t="s">
        <v>2668</v>
      </c>
      <c r="B3367" s="1062" t="s">
        <v>2669</v>
      </c>
      <c r="C3367" s="1058" t="e">
        <f>VLOOKUP(B3361,'LƯƠNG KT'!$D$15:$R$94,20,0)</f>
        <v>#N/A</v>
      </c>
      <c r="D3367" s="1059" t="e">
        <f>+C3367*$L$9</f>
        <v>#N/A</v>
      </c>
      <c r="E3367" s="1061"/>
      <c r="F3367" s="1061"/>
      <c r="G3367" s="1056" t="s">
        <v>2668</v>
      </c>
      <c r="H3367" s="1062" t="s">
        <v>2669</v>
      </c>
      <c r="I3367" s="1058" t="e">
        <f>VLOOKUP(H3361,'LƯƠNG KT'!$D$15:$R$94,20,0)</f>
        <v>#N/A</v>
      </c>
      <c r="J3367" s="1059" t="e">
        <f>+I3367*$L$9</f>
        <v>#N/A</v>
      </c>
      <c r="K3367" s="1085"/>
      <c r="L3367" s="1085"/>
      <c r="M3367" s="1085"/>
      <c r="N3367" s="1085"/>
      <c r="O3367" s="1085"/>
    </row>
    <row r="3368" spans="1:15" ht="15" customHeight="1">
      <c r="A3368" s="1056" t="s">
        <v>2671</v>
      </c>
      <c r="B3368" s="1057" t="s">
        <v>2672</v>
      </c>
      <c r="C3368" s="1058" t="e">
        <f>VLOOKUP(B3361,'LƯƠNG KT'!$D$15:$R$94,17,0)</f>
        <v>#N/A</v>
      </c>
      <c r="D3368" s="1059" t="e">
        <f>+C3368*$L$10</f>
        <v>#N/A</v>
      </c>
      <c r="E3368" s="1061"/>
      <c r="F3368" s="1061"/>
      <c r="G3368" s="1056" t="s">
        <v>2671</v>
      </c>
      <c r="H3368" s="1057" t="s">
        <v>2672</v>
      </c>
      <c r="I3368" s="1058" t="e">
        <f>VLOOKUP(H3361,'LƯƠNG KT'!$D$15:$R$94,17,0)</f>
        <v>#N/A</v>
      </c>
      <c r="J3368" s="1059" t="e">
        <f>+I3368*$L$10</f>
        <v>#N/A</v>
      </c>
      <c r="K3368" s="1085"/>
      <c r="L3368" s="1085"/>
      <c r="M3368" s="1085"/>
      <c r="N3368" s="1085"/>
      <c r="O3368" s="1085"/>
    </row>
    <row r="3369" spans="1:15" ht="15" customHeight="1">
      <c r="A3369" s="1056" t="s">
        <v>2693</v>
      </c>
      <c r="B3369" s="1062" t="s">
        <v>2692</v>
      </c>
      <c r="C3369" s="1058" t="e">
        <f>VLOOKUP(B3361,'LƯƠNG KT'!$D$15:$R$94,21,0)</f>
        <v>#N/A</v>
      </c>
      <c r="D3369" s="1059" t="e">
        <f>+C3369*$L$7</f>
        <v>#N/A</v>
      </c>
      <c r="E3369" s="1061"/>
      <c r="F3369" s="1061"/>
      <c r="G3369" s="1056" t="s">
        <v>2693</v>
      </c>
      <c r="H3369" s="1062" t="s">
        <v>2692</v>
      </c>
      <c r="I3369" s="1058" t="e">
        <f>VLOOKUP(H3361,'LƯƠNG KT'!$D$15:$R$94,21,0)</f>
        <v>#N/A</v>
      </c>
      <c r="J3369" s="1059" t="e">
        <f>+I3369*$L$7</f>
        <v>#N/A</v>
      </c>
      <c r="K3369" s="1085"/>
      <c r="L3369" s="1085"/>
      <c r="M3369" s="1085"/>
      <c r="N3369" s="1085"/>
      <c r="O3369" s="1085"/>
    </row>
    <row r="3370" spans="1:15" ht="15" customHeight="1">
      <c r="A3370" s="1056" t="s">
        <v>2694</v>
      </c>
      <c r="B3370" s="1057" t="s">
        <v>2684</v>
      </c>
      <c r="C3370" s="1058" t="e">
        <f>VLOOKUP(B3361,'LƯƠNG KT'!$D$15:$R$94,23,0)</f>
        <v>#N/A</v>
      </c>
      <c r="D3370" s="1059" t="e">
        <f>+C3370*20000</f>
        <v>#N/A</v>
      </c>
      <c r="E3370" s="1063"/>
      <c r="F3370" s="1061"/>
      <c r="G3370" s="1056" t="s">
        <v>2694</v>
      </c>
      <c r="H3370" s="1057" t="s">
        <v>2684</v>
      </c>
      <c r="I3370" s="1058" t="e">
        <f>VLOOKUP(H3361,'LƯƠNG KT'!$D$15:$R$94,23,0)</f>
        <v>#N/A</v>
      </c>
      <c r="J3370" s="1059" t="e">
        <f>+I3370*20000</f>
        <v>#N/A</v>
      </c>
      <c r="K3370" s="1085"/>
      <c r="L3370" s="1085"/>
      <c r="M3370" s="1085"/>
      <c r="N3370" s="1085"/>
      <c r="O3370" s="1085"/>
    </row>
    <row r="3371" spans="1:15" ht="15" customHeight="1">
      <c r="A3371" s="1056" t="s">
        <v>374</v>
      </c>
      <c r="B3371" s="1057" t="s">
        <v>2674</v>
      </c>
      <c r="C3371" s="1058" t="e">
        <f>VLOOKUP(B3361,'LƯƠNG KT'!$D$15:$R$94,12,0)</f>
        <v>#N/A</v>
      </c>
      <c r="D3371" s="1059" t="e">
        <f>VLOOKUP(B3361,'LƯƠNG KT'!$D$15:$R$94,14,0)</f>
        <v>#N/A</v>
      </c>
      <c r="E3371" s="1065"/>
      <c r="F3371" s="1065"/>
      <c r="G3371" s="1056" t="s">
        <v>374</v>
      </c>
      <c r="H3371" s="1057" t="s">
        <v>2674</v>
      </c>
      <c r="I3371" s="1058" t="e">
        <f>VLOOKUP(H3361,'LƯƠNG KT'!$D$15:$R$94,12,0)</f>
        <v>#N/A</v>
      </c>
      <c r="J3371" s="1059" t="e">
        <f>VLOOKUP(H3361,'LƯƠNG KT'!$D$15:$R$94,14,0)</f>
        <v>#N/A</v>
      </c>
    </row>
    <row r="3372" spans="1:15" ht="15" customHeight="1">
      <c r="A3372" s="1056" t="s">
        <v>2675</v>
      </c>
      <c r="B3372" s="1057" t="s">
        <v>2676</v>
      </c>
      <c r="D3372" s="1064" t="e">
        <f>VLOOKUP(B3361,'LƯƠNG KT'!$D$15:$R$94,13,0)</f>
        <v>#N/A</v>
      </c>
      <c r="E3372" s="1063"/>
      <c r="F3372" s="1065"/>
      <c r="G3372" s="1056" t="s">
        <v>2675</v>
      </c>
      <c r="H3372" s="1057" t="s">
        <v>2676</v>
      </c>
      <c r="J3372" s="1064" t="e">
        <f>VLOOKUP(H3361,'LƯƠNG KT'!$D$15:$R$94,13,0)</f>
        <v>#N/A</v>
      </c>
    </row>
    <row r="3373" spans="1:15" ht="15" customHeight="1">
      <c r="A3373" s="1052"/>
      <c r="B3373" s="869"/>
      <c r="C3373" s="1058"/>
      <c r="D3373" s="1059"/>
      <c r="E3373" s="1067"/>
      <c r="F3373" s="1051"/>
      <c r="G3373" s="1052"/>
      <c r="H3373" s="869"/>
      <c r="I3373" s="1058"/>
      <c r="J3373" s="1059"/>
    </row>
    <row r="3374" spans="1:15" ht="18.75" customHeight="1">
      <c r="A3374" s="1068" t="s">
        <v>383</v>
      </c>
      <c r="B3374" s="1069" t="s">
        <v>384</v>
      </c>
      <c r="C3374" s="1070"/>
      <c r="D3374" s="1071" t="e">
        <f>SUM(D3362:D3371)</f>
        <v>#N/A</v>
      </c>
      <c r="E3374" s="1072"/>
      <c r="F3374" s="1073"/>
      <c r="G3374" s="1068" t="s">
        <v>383</v>
      </c>
      <c r="H3374" s="1069" t="s">
        <v>384</v>
      </c>
      <c r="I3374" s="1070"/>
      <c r="J3374" s="1071" t="e">
        <f>SUM(J3362:J3371)</f>
        <v>#N/A</v>
      </c>
    </row>
    <row r="3375" spans="1:15" ht="18.75" customHeight="1">
      <c r="A3375" s="1074"/>
      <c r="B3375" s="1075"/>
      <c r="C3375" s="1076"/>
      <c r="D3375" s="1077"/>
      <c r="E3375" s="1077"/>
      <c r="F3375" s="1078"/>
      <c r="G3375" s="1074"/>
      <c r="H3375" s="1075"/>
      <c r="I3375" s="1076"/>
      <c r="J3375" s="1077"/>
    </row>
    <row r="3376" spans="1:15" ht="12.75" customHeight="1"/>
    <row r="3377" spans="1:15" ht="12.75" customHeight="1">
      <c r="A3377" s="2243"/>
      <c r="B3377" s="2243"/>
      <c r="C3377" s="2243"/>
      <c r="D3377" s="2243"/>
      <c r="E3377" s="2243"/>
      <c r="F3377" s="2243"/>
      <c r="G3377" s="2243"/>
      <c r="H3377" s="2243"/>
      <c r="I3377" s="2243"/>
      <c r="J3377" s="2243"/>
    </row>
    <row r="3378" spans="1:15" ht="15" customHeight="1">
      <c r="A3378" s="2242" t="str">
        <f>$K$2</f>
        <v>THÁNG 04/2025</v>
      </c>
      <c r="B3378" s="2242"/>
      <c r="C3378" s="2242"/>
      <c r="D3378" s="2242"/>
      <c r="E3378" s="1050"/>
      <c r="F3378" s="1051"/>
      <c r="G3378" s="2242" t="str">
        <f>$K$2</f>
        <v>THÁNG 04/2025</v>
      </c>
      <c r="H3378" s="2242"/>
      <c r="I3378" s="2242"/>
      <c r="J3378" s="2242"/>
      <c r="K3378" s="624"/>
    </row>
    <row r="3379" spans="1:15" ht="15" customHeight="1">
      <c r="A3379" s="1052" t="s">
        <v>356</v>
      </c>
      <c r="B3379" s="1053" t="s">
        <v>316</v>
      </c>
      <c r="C3379" s="869"/>
      <c r="D3379" s="1049"/>
      <c r="E3379" s="1054"/>
      <c r="F3379" s="1055"/>
      <c r="G3379" s="1052" t="s">
        <v>356</v>
      </c>
      <c r="H3379" s="1053" t="s">
        <v>317</v>
      </c>
      <c r="I3379" s="869"/>
      <c r="J3379" s="1049"/>
      <c r="L3379" s="1088"/>
      <c r="M3379" s="1088"/>
      <c r="N3379" s="1088"/>
      <c r="O3379" s="1088"/>
    </row>
    <row r="3380" spans="1:15" ht="15" customHeight="1">
      <c r="A3380" s="1056" t="s">
        <v>359</v>
      </c>
      <c r="B3380" s="1057" t="s">
        <v>2662</v>
      </c>
      <c r="C3380" s="1058" t="e">
        <f>VLOOKUP(B3379,'LƯƠNG KT'!$D$15:$R$94,4,0)</f>
        <v>#N/A</v>
      </c>
      <c r="D3380" s="1059" t="e">
        <f>+C3380*25000</f>
        <v>#N/A</v>
      </c>
      <c r="E3380" s="1060"/>
      <c r="F3380" s="1060"/>
      <c r="G3380" s="1056" t="s">
        <v>359</v>
      </c>
      <c r="H3380" s="1057" t="s">
        <v>2662</v>
      </c>
      <c r="I3380" s="1058" t="e">
        <f>VLOOKUP(H3379,'LƯƠNG KT'!$D$15:$R$94,4,0)</f>
        <v>#N/A</v>
      </c>
      <c r="J3380" s="1059" t="e">
        <f>+I3380*25000</f>
        <v>#N/A</v>
      </c>
      <c r="K3380" s="1084"/>
      <c r="L3380" s="1085"/>
      <c r="M3380" s="1085"/>
      <c r="N3380" s="1085"/>
      <c r="O3380" s="1085"/>
    </row>
    <row r="3381" spans="1:15" ht="15" customHeight="1">
      <c r="A3381" s="1056" t="s">
        <v>361</v>
      </c>
      <c r="B3381" s="1057" t="s">
        <v>2663</v>
      </c>
      <c r="C3381" s="1058" t="e">
        <f>VLOOKUP(B3379,'LƯƠNG KT'!$D$15:$R$94,15,0)</f>
        <v>#N/A</v>
      </c>
      <c r="D3381" s="1059" t="e">
        <f>C3381*$L$4</f>
        <v>#N/A</v>
      </c>
      <c r="E3381" s="1061"/>
      <c r="F3381" s="1061"/>
      <c r="G3381" s="1056" t="s">
        <v>361</v>
      </c>
      <c r="H3381" s="1057" t="s">
        <v>2663</v>
      </c>
      <c r="I3381" s="1058" t="e">
        <f>VLOOKUP(H3379,'LƯƠNG KT'!$D$15:$R$94,15,0)</f>
        <v>#N/A</v>
      </c>
      <c r="J3381" s="1059" t="e">
        <f>I3381*$L$4</f>
        <v>#N/A</v>
      </c>
      <c r="K3381" s="1084"/>
      <c r="L3381" s="1085"/>
      <c r="M3381" s="1085"/>
      <c r="N3381" s="1085"/>
      <c r="O3381" s="1085"/>
    </row>
    <row r="3382" spans="1:15" ht="15" customHeight="1">
      <c r="A3382" s="1056" t="s">
        <v>364</v>
      </c>
      <c r="B3382" s="1057" t="s">
        <v>2664</v>
      </c>
      <c r="C3382" s="1058" t="e">
        <f>VLOOKUP(B3379,'LƯƠNG KT'!$D$15:$R$94,16,0)</f>
        <v>#N/A</v>
      </c>
      <c r="D3382" s="1059" t="e">
        <f>C3382*$L$5</f>
        <v>#N/A</v>
      </c>
      <c r="E3382" s="1061"/>
      <c r="F3382" s="1061"/>
      <c r="G3382" s="1056" t="s">
        <v>364</v>
      </c>
      <c r="H3382" s="1057" t="s">
        <v>2664</v>
      </c>
      <c r="I3382" s="1058" t="e">
        <f>VLOOKUP(H3379,'LƯƠNG KT'!$D$15:$R$94,16,0)</f>
        <v>#N/A</v>
      </c>
      <c r="J3382" s="1059" t="e">
        <f>I3382*$L$5</f>
        <v>#N/A</v>
      </c>
      <c r="K3382" s="1084"/>
      <c r="L3382" s="1085"/>
      <c r="M3382" s="1085"/>
      <c r="N3382" s="1085"/>
      <c r="O3382" s="1085"/>
    </row>
    <row r="3383" spans="1:15" ht="15" customHeight="1">
      <c r="A3383" s="1056" t="s">
        <v>370</v>
      </c>
      <c r="B3383" s="1057" t="s">
        <v>2665</v>
      </c>
      <c r="C3383" s="1058" t="e">
        <f>VLOOKUP(B3379,'LƯƠNG KT'!$D$15:$R$94,24,0)</f>
        <v>#N/A</v>
      </c>
      <c r="D3383" s="1059" t="e">
        <f>+C3383*$L$6</f>
        <v>#N/A</v>
      </c>
      <c r="E3383" s="1061"/>
      <c r="F3383" s="1061"/>
      <c r="G3383" s="1056" t="s">
        <v>370</v>
      </c>
      <c r="H3383" s="1057" t="s">
        <v>2665</v>
      </c>
      <c r="I3383" s="1058" t="e">
        <f>VLOOKUP(H3379,'LƯƠNG KT'!$D$15:$R$94,24,0)</f>
        <v>#N/A</v>
      </c>
      <c r="J3383" s="1059" t="e">
        <f>+I3383*$L$6</f>
        <v>#N/A</v>
      </c>
      <c r="K3383" s="1084"/>
      <c r="L3383" s="1085"/>
      <c r="M3383" s="1085"/>
      <c r="N3383" s="1085"/>
      <c r="O3383" s="1085"/>
    </row>
    <row r="3384" spans="1:15" ht="15" customHeight="1">
      <c r="A3384" s="1056" t="s">
        <v>2666</v>
      </c>
      <c r="B3384" s="1057" t="s">
        <v>2667</v>
      </c>
      <c r="C3384" s="1058" t="e">
        <f>VLOOKUP(B3379,'LƯƠNG KT'!$D$15:$R$94,19,0)</f>
        <v>#N/A</v>
      </c>
      <c r="D3384" s="1059" t="e">
        <f>+C3384*$L$8</f>
        <v>#N/A</v>
      </c>
      <c r="E3384" s="1061"/>
      <c r="F3384" s="1061"/>
      <c r="G3384" s="1056" t="s">
        <v>2666</v>
      </c>
      <c r="H3384" s="1057" t="s">
        <v>2667</v>
      </c>
      <c r="I3384" s="1058" t="e">
        <f>VLOOKUP(H3379,'LƯƠNG KT'!$D$15:$R$94,19,0)</f>
        <v>#N/A</v>
      </c>
      <c r="J3384" s="1059" t="e">
        <f>+I3384*$L$8</f>
        <v>#N/A</v>
      </c>
      <c r="K3384" s="1085"/>
      <c r="L3384" s="1085"/>
      <c r="M3384" s="1085"/>
      <c r="N3384" s="1085"/>
      <c r="O3384" s="1085"/>
    </row>
    <row r="3385" spans="1:15" ht="15" customHeight="1">
      <c r="A3385" s="1056" t="s">
        <v>2668</v>
      </c>
      <c r="B3385" s="1062" t="s">
        <v>2669</v>
      </c>
      <c r="C3385" s="1058" t="e">
        <f>VLOOKUP(B3379,'LƯƠNG KT'!$D$15:$R$94,20,0)</f>
        <v>#N/A</v>
      </c>
      <c r="D3385" s="1059" t="e">
        <f>+C3385*$L$9</f>
        <v>#N/A</v>
      </c>
      <c r="E3385" s="1061"/>
      <c r="F3385" s="1061"/>
      <c r="G3385" s="1056" t="s">
        <v>2668</v>
      </c>
      <c r="H3385" s="1062" t="s">
        <v>2669</v>
      </c>
      <c r="I3385" s="1058" t="e">
        <f>VLOOKUP(H3379,'LƯƠNG KT'!$D$15:$R$94,20,0)</f>
        <v>#N/A</v>
      </c>
      <c r="J3385" s="1059" t="e">
        <f>+I3385*$L$9</f>
        <v>#N/A</v>
      </c>
      <c r="K3385" s="1085"/>
      <c r="L3385" s="1085"/>
      <c r="M3385" s="1085"/>
      <c r="N3385" s="1085"/>
      <c r="O3385" s="1085"/>
    </row>
    <row r="3386" spans="1:15" ht="15" customHeight="1">
      <c r="A3386" s="1056" t="s">
        <v>2671</v>
      </c>
      <c r="B3386" s="1057" t="s">
        <v>2672</v>
      </c>
      <c r="C3386" s="1058" t="e">
        <f>VLOOKUP(B3379,'LƯƠNG KT'!$D$15:$R$94,17,0)</f>
        <v>#N/A</v>
      </c>
      <c r="D3386" s="1059" t="e">
        <f>+C3386*$L$10</f>
        <v>#N/A</v>
      </c>
      <c r="E3386" s="1061"/>
      <c r="F3386" s="1061"/>
      <c r="G3386" s="1056" t="s">
        <v>2671</v>
      </c>
      <c r="H3386" s="1057" t="s">
        <v>2672</v>
      </c>
      <c r="I3386" s="1058" t="e">
        <f>VLOOKUP(H3379,'LƯƠNG KT'!$D$15:$R$94,17,0)</f>
        <v>#N/A</v>
      </c>
      <c r="J3386" s="1059" t="e">
        <f>+I3386*$L$10</f>
        <v>#N/A</v>
      </c>
      <c r="K3386" s="1085"/>
      <c r="L3386" s="1085"/>
      <c r="M3386" s="1085"/>
      <c r="N3386" s="1085"/>
      <c r="O3386" s="1085"/>
    </row>
    <row r="3387" spans="1:15" ht="15" customHeight="1">
      <c r="A3387" s="1056" t="s">
        <v>2693</v>
      </c>
      <c r="B3387" s="1057" t="s">
        <v>2682</v>
      </c>
      <c r="C3387" s="1058" t="e">
        <f>VLOOKUP(B3379,'LƯƠNG KT'!$D$15:$R$94,21,0)</f>
        <v>#N/A</v>
      </c>
      <c r="D3387" s="1059" t="e">
        <f>+C3387*$L$7</f>
        <v>#N/A</v>
      </c>
      <c r="E3387" s="1061"/>
      <c r="F3387" s="1061"/>
      <c r="G3387" s="1056" t="s">
        <v>2693</v>
      </c>
      <c r="H3387" s="1057" t="s">
        <v>2682</v>
      </c>
      <c r="I3387" s="1058" t="e">
        <f>VLOOKUP(H3379,'LƯƠNG KT'!$D$15:$R$94,21,0)</f>
        <v>#N/A</v>
      </c>
      <c r="J3387" s="1059" t="e">
        <f>+I3387*$L$7</f>
        <v>#N/A</v>
      </c>
      <c r="K3387" s="1085"/>
      <c r="L3387" s="1085"/>
      <c r="M3387" s="1085"/>
      <c r="N3387" s="1085"/>
      <c r="O3387" s="1085"/>
    </row>
    <row r="3388" spans="1:15" ht="15" customHeight="1">
      <c r="A3388" s="1056" t="s">
        <v>2694</v>
      </c>
      <c r="B3388" s="1057" t="s">
        <v>2684</v>
      </c>
      <c r="C3388" s="1058" t="e">
        <f>VLOOKUP(B3379,'LƯƠNG KT'!$D$15:$R$94,23,0)</f>
        <v>#N/A</v>
      </c>
      <c r="D3388" s="1059" t="e">
        <f>+C3388*20000</f>
        <v>#N/A</v>
      </c>
      <c r="E3388" s="1063"/>
      <c r="F3388" s="1061"/>
      <c r="G3388" s="1056" t="s">
        <v>2694</v>
      </c>
      <c r="H3388" s="1057" t="s">
        <v>2684</v>
      </c>
      <c r="I3388" s="1058" t="e">
        <f>VLOOKUP(H3379,'LƯƠNG KT'!$D$15:$R$94,23,0)</f>
        <v>#N/A</v>
      </c>
      <c r="J3388" s="1059" t="e">
        <f>+I3388*20000</f>
        <v>#N/A</v>
      </c>
      <c r="K3388" s="1085"/>
      <c r="L3388" s="1085"/>
      <c r="M3388" s="1085"/>
      <c r="N3388" s="1085"/>
      <c r="O3388" s="1085"/>
    </row>
    <row r="3389" spans="1:15" ht="15" customHeight="1">
      <c r="A3389" s="1056" t="s">
        <v>374</v>
      </c>
      <c r="B3389" s="1057" t="s">
        <v>2674</v>
      </c>
      <c r="C3389" s="1058" t="e">
        <f>VLOOKUP(B3379,'LƯƠNG KT'!$D$15:$R$94,12,0)</f>
        <v>#N/A</v>
      </c>
      <c r="D3389" s="1059" t="e">
        <f>VLOOKUP(B3379,'LƯƠNG KT'!$D$15:$R$94,14,0)</f>
        <v>#N/A</v>
      </c>
      <c r="E3389" s="1065"/>
      <c r="F3389" s="1065"/>
      <c r="G3389" s="1056" t="s">
        <v>374</v>
      </c>
      <c r="H3389" s="1057" t="s">
        <v>2674</v>
      </c>
      <c r="I3389" s="1058" t="e">
        <f>VLOOKUP(H3379,'LƯƠNG KT'!$D$15:$R$94,12,0)</f>
        <v>#N/A</v>
      </c>
      <c r="J3389" s="1059" t="e">
        <f>VLOOKUP(H3379,'LƯƠNG KT'!$D$15:$R$94,14,0)</f>
        <v>#N/A</v>
      </c>
    </row>
    <row r="3390" spans="1:15" ht="15" customHeight="1">
      <c r="A3390" s="1056" t="s">
        <v>2675</v>
      </c>
      <c r="B3390" s="1057" t="s">
        <v>2676</v>
      </c>
      <c r="D3390" s="1064" t="e">
        <f>VLOOKUP(B3379,'LƯƠNG KT'!$D$15:$R$94,13,0)</f>
        <v>#N/A</v>
      </c>
      <c r="E3390" s="1063"/>
      <c r="F3390" s="1065"/>
      <c r="G3390" s="1056" t="s">
        <v>2675</v>
      </c>
      <c r="H3390" s="1057" t="s">
        <v>2676</v>
      </c>
      <c r="J3390" s="1064" t="e">
        <f>VLOOKUP(H3379,'LƯƠNG KT'!$D$15:$R$94,13,0)</f>
        <v>#N/A</v>
      </c>
    </row>
    <row r="3391" spans="1:15" ht="15" customHeight="1">
      <c r="A3391" s="1052"/>
      <c r="B3391" s="869"/>
      <c r="C3391" s="1058"/>
      <c r="D3391" s="1059"/>
      <c r="E3391" s="1067"/>
      <c r="F3391" s="1051"/>
      <c r="G3391" s="1052"/>
      <c r="H3391" s="869"/>
      <c r="I3391" s="1058"/>
      <c r="J3391" s="1059"/>
    </row>
    <row r="3392" spans="1:15" ht="15" customHeight="1">
      <c r="A3392" s="1068" t="s">
        <v>383</v>
      </c>
      <c r="B3392" s="1069" t="s">
        <v>384</v>
      </c>
      <c r="C3392" s="1070"/>
      <c r="D3392" s="1071" t="e">
        <f>SUM(D3380:D3389)</f>
        <v>#N/A</v>
      </c>
      <c r="E3392" s="1072"/>
      <c r="F3392" s="1073"/>
      <c r="G3392" s="1068" t="s">
        <v>383</v>
      </c>
      <c r="H3392" s="1069" t="s">
        <v>384</v>
      </c>
      <c r="I3392" s="1070"/>
      <c r="J3392" s="1071" t="e">
        <f>SUM(J3380:J3389)</f>
        <v>#N/A</v>
      </c>
    </row>
    <row r="3393" spans="1:15" ht="18" customHeight="1">
      <c r="A3393" s="1074"/>
      <c r="B3393" s="1075"/>
      <c r="C3393" s="1076"/>
      <c r="D3393" s="1077"/>
      <c r="E3393" s="1077"/>
      <c r="F3393" s="1078"/>
      <c r="G3393" s="1074"/>
      <c r="H3393" s="1075"/>
      <c r="I3393" s="1076"/>
      <c r="J3393" s="1077"/>
    </row>
    <row r="3394" spans="1:15" ht="18" customHeight="1">
      <c r="A3394" s="1075"/>
      <c r="B3394" s="1075"/>
      <c r="C3394" s="1079"/>
      <c r="D3394" s="1080"/>
      <c r="E3394" s="1075"/>
      <c r="F3394" s="1081"/>
      <c r="G3394" s="1075"/>
      <c r="H3394" s="1075"/>
      <c r="I3394" s="1079"/>
      <c r="J3394" s="1080"/>
    </row>
    <row r="3395" spans="1:15" ht="15" customHeight="1">
      <c r="A3395" s="2242" t="str">
        <f>$K$2</f>
        <v>THÁNG 04/2025</v>
      </c>
      <c r="B3395" s="2242"/>
      <c r="C3395" s="2242"/>
      <c r="D3395" s="2242"/>
      <c r="E3395" s="1050"/>
      <c r="F3395" s="1051"/>
      <c r="G3395" s="2242" t="str">
        <f>$K$2</f>
        <v>THÁNG 04/2025</v>
      </c>
      <c r="H3395" s="2242"/>
      <c r="I3395" s="2242"/>
      <c r="J3395" s="2242"/>
      <c r="K3395" s="624"/>
    </row>
    <row r="3396" spans="1:15" ht="15" customHeight="1">
      <c r="A3396" s="1052" t="s">
        <v>356</v>
      </c>
      <c r="B3396" s="1053" t="s">
        <v>318</v>
      </c>
      <c r="C3396" s="869"/>
      <c r="D3396" s="1049"/>
      <c r="E3396" s="1054"/>
      <c r="F3396" s="1055"/>
      <c r="G3396" s="1052" t="s">
        <v>356</v>
      </c>
      <c r="H3396" s="1053" t="s">
        <v>319</v>
      </c>
      <c r="I3396" s="869"/>
      <c r="J3396" s="1049"/>
      <c r="L3396" s="1088"/>
      <c r="M3396" s="1088"/>
      <c r="N3396" s="1088"/>
      <c r="O3396" s="1088"/>
    </row>
    <row r="3397" spans="1:15" ht="15" customHeight="1">
      <c r="A3397" s="1056" t="s">
        <v>359</v>
      </c>
      <c r="B3397" s="1057" t="s">
        <v>2662</v>
      </c>
      <c r="C3397" s="1058" t="e">
        <f>VLOOKUP(B3396,'LƯƠNG KT'!$D$15:$R$94,4,0)</f>
        <v>#N/A</v>
      </c>
      <c r="D3397" s="1059" t="e">
        <f>+C3397*25000</f>
        <v>#N/A</v>
      </c>
      <c r="E3397" s="1060"/>
      <c r="F3397" s="1060"/>
      <c r="G3397" s="1056" t="s">
        <v>359</v>
      </c>
      <c r="H3397" s="1057" t="s">
        <v>2662</v>
      </c>
      <c r="I3397" s="1058" t="e">
        <f>VLOOKUP(H3396,'LƯƠNG KT'!$D$15:$R$94,4,0)</f>
        <v>#N/A</v>
      </c>
      <c r="J3397" s="1059" t="e">
        <f>+I3397*25000</f>
        <v>#N/A</v>
      </c>
      <c r="K3397" s="1085"/>
      <c r="L3397" s="1085"/>
      <c r="M3397" s="1085"/>
      <c r="N3397" s="1085"/>
      <c r="O3397" s="1085"/>
    </row>
    <row r="3398" spans="1:15" ht="15" customHeight="1">
      <c r="A3398" s="1056" t="s">
        <v>361</v>
      </c>
      <c r="B3398" s="1057" t="s">
        <v>2663</v>
      </c>
      <c r="C3398" s="1058" t="e">
        <f>VLOOKUP(B3396,'LƯƠNG KT'!$D$15:$R$94,15,0)</f>
        <v>#N/A</v>
      </c>
      <c r="D3398" s="1059" t="e">
        <f>C3398*$L$4</f>
        <v>#N/A</v>
      </c>
      <c r="E3398" s="1061"/>
      <c r="F3398" s="1061"/>
      <c r="G3398" s="1056" t="s">
        <v>361</v>
      </c>
      <c r="H3398" s="1057" t="s">
        <v>2663</v>
      </c>
      <c r="I3398" s="1058" t="e">
        <f>VLOOKUP(H3396,'LƯƠNG KT'!$D$15:$R$94,15,0)</f>
        <v>#N/A</v>
      </c>
      <c r="J3398" s="1059" t="e">
        <f>I3398*$L$4</f>
        <v>#N/A</v>
      </c>
      <c r="K3398" s="1085"/>
      <c r="L3398" s="1085"/>
      <c r="M3398" s="1085"/>
      <c r="N3398" s="1085"/>
      <c r="O3398" s="1085"/>
    </row>
    <row r="3399" spans="1:15" ht="15" customHeight="1">
      <c r="A3399" s="1056" t="s">
        <v>364</v>
      </c>
      <c r="B3399" s="1057" t="s">
        <v>2664</v>
      </c>
      <c r="C3399" s="1058" t="e">
        <f>VLOOKUP(B3396,'LƯƠNG KT'!$D$15:$R$94,16,0)</f>
        <v>#N/A</v>
      </c>
      <c r="D3399" s="1059" t="e">
        <f>C3399*$L$5</f>
        <v>#N/A</v>
      </c>
      <c r="E3399" s="1061"/>
      <c r="F3399" s="1061"/>
      <c r="G3399" s="1056" t="s">
        <v>364</v>
      </c>
      <c r="H3399" s="1057" t="s">
        <v>2664</v>
      </c>
      <c r="I3399" s="1058" t="e">
        <f>VLOOKUP(H3396,'LƯƠNG KT'!$D$15:$R$94,16,0)</f>
        <v>#N/A</v>
      </c>
      <c r="J3399" s="1059" t="e">
        <f>I3399*$L$5</f>
        <v>#N/A</v>
      </c>
      <c r="K3399" s="1085"/>
      <c r="L3399" s="1085"/>
      <c r="M3399" s="1085"/>
      <c r="N3399" s="1085"/>
      <c r="O3399" s="1085"/>
    </row>
    <row r="3400" spans="1:15" ht="15" customHeight="1">
      <c r="A3400" s="1056" t="s">
        <v>370</v>
      </c>
      <c r="B3400" s="1057" t="s">
        <v>2665</v>
      </c>
      <c r="C3400" s="1058" t="e">
        <f>VLOOKUP(B3396,'LƯƠNG KT'!$D$15:$R$94,24,0)</f>
        <v>#N/A</v>
      </c>
      <c r="D3400" s="1059" t="e">
        <f>+C3400*$L$6</f>
        <v>#N/A</v>
      </c>
      <c r="E3400" s="1061"/>
      <c r="F3400" s="1061"/>
      <c r="G3400" s="1056" t="s">
        <v>370</v>
      </c>
      <c r="H3400" s="1057" t="s">
        <v>2665</v>
      </c>
      <c r="I3400" s="1058" t="e">
        <f>VLOOKUP(H3396,'LƯƠNG KT'!$D$15:$R$94,24,0)</f>
        <v>#N/A</v>
      </c>
      <c r="J3400" s="1059" t="e">
        <f>+I3400*$L$6</f>
        <v>#N/A</v>
      </c>
      <c r="K3400" s="1085"/>
      <c r="L3400" s="1085"/>
      <c r="M3400" s="1085"/>
      <c r="N3400" s="1085"/>
      <c r="O3400" s="1085"/>
    </row>
    <row r="3401" spans="1:15" ht="15" customHeight="1">
      <c r="A3401" s="1056" t="s">
        <v>2666</v>
      </c>
      <c r="B3401" s="1057" t="s">
        <v>2667</v>
      </c>
      <c r="C3401" s="1058" t="e">
        <f>VLOOKUP(B3396,'LƯƠNG KT'!$D$15:$R$94,19,0)</f>
        <v>#N/A</v>
      </c>
      <c r="D3401" s="1059" t="e">
        <f>+C3401*$L$8</f>
        <v>#N/A</v>
      </c>
      <c r="E3401" s="1061"/>
      <c r="F3401" s="1061"/>
      <c r="G3401" s="1056" t="s">
        <v>2666</v>
      </c>
      <c r="H3401" s="1057" t="s">
        <v>2667</v>
      </c>
      <c r="I3401" s="1058" t="e">
        <f>VLOOKUP(H3396,'LƯƠNG KT'!$D$15:$R$94,19,0)</f>
        <v>#N/A</v>
      </c>
      <c r="J3401" s="1059" t="e">
        <f>+I3401*$L$8</f>
        <v>#N/A</v>
      </c>
      <c r="K3401" s="1085"/>
      <c r="L3401" s="1085"/>
      <c r="M3401" s="1085"/>
      <c r="N3401" s="1085"/>
      <c r="O3401" s="1085"/>
    </row>
    <row r="3402" spans="1:15" ht="15" customHeight="1">
      <c r="A3402" s="1056" t="s">
        <v>2668</v>
      </c>
      <c r="B3402" s="1062" t="s">
        <v>2669</v>
      </c>
      <c r="C3402" s="1058" t="e">
        <f>VLOOKUP(B3396,'LƯƠNG KT'!$D$15:$R$94,20,0)</f>
        <v>#N/A</v>
      </c>
      <c r="D3402" s="1059" t="e">
        <f>+C3402*$L$9</f>
        <v>#N/A</v>
      </c>
      <c r="E3402" s="1061"/>
      <c r="F3402" s="1061"/>
      <c r="G3402" s="1056" t="s">
        <v>2668</v>
      </c>
      <c r="H3402" s="1062" t="s">
        <v>2669</v>
      </c>
      <c r="I3402" s="1058" t="e">
        <f>VLOOKUP(H3396,'LƯƠNG KT'!$D$15:$R$94,20,0)</f>
        <v>#N/A</v>
      </c>
      <c r="J3402" s="1059" t="e">
        <f>+I3402*$L$9</f>
        <v>#N/A</v>
      </c>
      <c r="K3402" s="1085"/>
      <c r="L3402" s="1085"/>
      <c r="M3402" s="1085"/>
      <c r="N3402" s="1085"/>
      <c r="O3402" s="1085"/>
    </row>
    <row r="3403" spans="1:15" ht="15" customHeight="1">
      <c r="A3403" s="1056" t="s">
        <v>2671</v>
      </c>
      <c r="B3403" s="1057" t="s">
        <v>2672</v>
      </c>
      <c r="C3403" s="1058" t="e">
        <f>VLOOKUP(B3396,'LƯƠNG KT'!$D$15:$R$94,17,0)</f>
        <v>#N/A</v>
      </c>
      <c r="D3403" s="1059" t="e">
        <f>+C3403*$L$10</f>
        <v>#N/A</v>
      </c>
      <c r="E3403" s="1061"/>
      <c r="F3403" s="1061"/>
      <c r="G3403" s="1056" t="s">
        <v>2671</v>
      </c>
      <c r="H3403" s="1057" t="s">
        <v>2672</v>
      </c>
      <c r="I3403" s="1058" t="e">
        <f>VLOOKUP(H3396,'LƯƠNG KT'!$D$15:$R$94,17,0)</f>
        <v>#N/A</v>
      </c>
      <c r="J3403" s="1059" t="e">
        <f>+I3403*$L$10</f>
        <v>#N/A</v>
      </c>
      <c r="K3403" s="1085"/>
      <c r="L3403" s="1085"/>
      <c r="M3403" s="1085"/>
      <c r="N3403" s="1085"/>
      <c r="O3403" s="1085"/>
    </row>
    <row r="3404" spans="1:15" ht="15" customHeight="1">
      <c r="A3404" s="1056" t="s">
        <v>2693</v>
      </c>
      <c r="B3404" s="1062" t="s">
        <v>2692</v>
      </c>
      <c r="C3404" s="1058" t="e">
        <f>VLOOKUP(B3396,'LƯƠNG KT'!$D$15:$R$94,21,0)</f>
        <v>#N/A</v>
      </c>
      <c r="D3404" s="1059" t="e">
        <f>+C3404*$L$7</f>
        <v>#N/A</v>
      </c>
      <c r="E3404" s="1061"/>
      <c r="F3404" s="1061"/>
      <c r="G3404" s="1056" t="s">
        <v>2693</v>
      </c>
      <c r="H3404" s="1062" t="s">
        <v>2692</v>
      </c>
      <c r="I3404" s="1058" t="e">
        <f>VLOOKUP(H3396,'LƯƠNG KT'!$D$15:$R$94,21,0)</f>
        <v>#N/A</v>
      </c>
      <c r="J3404" s="1059" t="e">
        <f>+I3404*$L$7</f>
        <v>#N/A</v>
      </c>
      <c r="K3404" s="1085"/>
      <c r="L3404" s="1085"/>
      <c r="M3404" s="1085"/>
      <c r="N3404" s="1085"/>
      <c r="O3404" s="1085"/>
    </row>
    <row r="3405" spans="1:15" ht="15" customHeight="1">
      <c r="A3405" s="1056" t="s">
        <v>2694</v>
      </c>
      <c r="B3405" s="1057" t="s">
        <v>2684</v>
      </c>
      <c r="C3405" s="1058" t="e">
        <f>VLOOKUP(B3396,'LƯƠNG KT'!$D$15:$R$94,23,0)</f>
        <v>#N/A</v>
      </c>
      <c r="D3405" s="1059" t="e">
        <f>+C3405*20000</f>
        <v>#N/A</v>
      </c>
      <c r="E3405" s="1063"/>
      <c r="F3405" s="1061"/>
      <c r="G3405" s="1056" t="s">
        <v>2694</v>
      </c>
      <c r="H3405" s="1057" t="s">
        <v>2684</v>
      </c>
      <c r="I3405" s="1058" t="e">
        <f>VLOOKUP(H3396,'LƯƠNG KT'!$D$15:$R$94,23,0)</f>
        <v>#N/A</v>
      </c>
      <c r="J3405" s="1059" t="e">
        <f>+I3405*20000</f>
        <v>#N/A</v>
      </c>
      <c r="K3405" s="1085"/>
      <c r="L3405" s="1085"/>
      <c r="M3405" s="1085"/>
      <c r="N3405" s="1085"/>
      <c r="O3405" s="1085"/>
    </row>
    <row r="3406" spans="1:15" ht="15" customHeight="1">
      <c r="A3406" s="1056" t="s">
        <v>374</v>
      </c>
      <c r="B3406" s="1057" t="s">
        <v>2674</v>
      </c>
      <c r="C3406" s="1058" t="e">
        <f>VLOOKUP(B3396,'LƯƠNG KT'!$D$15:$R$94,12,0)</f>
        <v>#N/A</v>
      </c>
      <c r="D3406" s="1059" t="e">
        <f>VLOOKUP(B3396,'LƯƠNG KT'!$D$15:$R$94,14,0)</f>
        <v>#N/A</v>
      </c>
      <c r="E3406" s="1065"/>
      <c r="F3406" s="1065"/>
      <c r="G3406" s="1056" t="s">
        <v>374</v>
      </c>
      <c r="H3406" s="1057" t="s">
        <v>2674</v>
      </c>
      <c r="I3406" s="1058" t="e">
        <f>VLOOKUP(H3396,'LƯƠNG KT'!$D$15:$R$94,12,0)</f>
        <v>#N/A</v>
      </c>
      <c r="J3406" s="1059" t="e">
        <f>VLOOKUP(H3396,'LƯƠNG KT'!$D$15:$R$94,14,0)</f>
        <v>#N/A</v>
      </c>
    </row>
    <row r="3407" spans="1:15" ht="15" customHeight="1">
      <c r="A3407" s="1056" t="s">
        <v>2675</v>
      </c>
      <c r="B3407" s="1057" t="s">
        <v>2676</v>
      </c>
      <c r="D3407" s="1064" t="e">
        <f>VLOOKUP(B3396,'LƯƠNG KT'!$D$15:$R$94,13,0)</f>
        <v>#N/A</v>
      </c>
      <c r="E3407" s="1063"/>
      <c r="F3407" s="1065"/>
      <c r="G3407" s="1056" t="s">
        <v>2675</v>
      </c>
      <c r="H3407" s="1057" t="s">
        <v>2676</v>
      </c>
      <c r="J3407" s="1064" t="e">
        <f>VLOOKUP(H3396,'LƯƠNG KT'!$D$15:$R$94,13,0)</f>
        <v>#N/A</v>
      </c>
    </row>
    <row r="3408" spans="1:15" ht="15" customHeight="1">
      <c r="A3408" s="1052"/>
      <c r="B3408" s="869"/>
      <c r="C3408" s="1058"/>
      <c r="D3408" s="1059"/>
      <c r="E3408" s="1067"/>
      <c r="F3408" s="1051"/>
      <c r="G3408" s="1052"/>
      <c r="H3408" s="869"/>
      <c r="I3408" s="1058"/>
      <c r="J3408" s="1059"/>
    </row>
    <row r="3409" spans="1:15" ht="15" customHeight="1">
      <c r="A3409" s="1068" t="s">
        <v>383</v>
      </c>
      <c r="B3409" s="1069" t="s">
        <v>384</v>
      </c>
      <c r="C3409" s="1070"/>
      <c r="D3409" s="1071" t="e">
        <f>SUM(D3397:D3406)</f>
        <v>#N/A</v>
      </c>
      <c r="E3409" s="1072"/>
      <c r="F3409" s="1073"/>
      <c r="G3409" s="1068" t="s">
        <v>383</v>
      </c>
      <c r="H3409" s="1069" t="s">
        <v>384</v>
      </c>
      <c r="I3409" s="1070"/>
      <c r="J3409" s="1071" t="e">
        <f>SUM(J3397:J3406)</f>
        <v>#N/A</v>
      </c>
    </row>
    <row r="3410" spans="1:15" ht="6.75" customHeight="1">
      <c r="A3410" s="1074"/>
      <c r="B3410" s="1075"/>
      <c r="C3410" s="1076"/>
      <c r="D3410" s="1077"/>
      <c r="E3410" s="1077"/>
      <c r="F3410" s="1078"/>
      <c r="G3410" s="1074"/>
      <c r="H3410" s="1075"/>
      <c r="I3410" s="1076"/>
      <c r="J3410" s="1077"/>
    </row>
    <row r="3411" spans="1:15" ht="90" customHeight="1">
      <c r="A3411" s="1075"/>
      <c r="B3411" s="1075"/>
      <c r="C3411" s="1079"/>
      <c r="D3411" s="1080"/>
      <c r="E3411" s="1075"/>
      <c r="F3411" s="1081"/>
      <c r="G3411" s="1075"/>
      <c r="H3411" s="1075"/>
      <c r="I3411" s="1079"/>
      <c r="J3411" s="1080"/>
    </row>
    <row r="3412" spans="1:15" ht="15" customHeight="1">
      <c r="A3412" s="2242" t="str">
        <f>$K$2</f>
        <v>THÁNG 04/2025</v>
      </c>
      <c r="B3412" s="2242"/>
      <c r="C3412" s="2242"/>
      <c r="D3412" s="2242"/>
      <c r="E3412" s="1050"/>
      <c r="F3412" s="1051"/>
      <c r="G3412" s="2242" t="str">
        <f>$K$2</f>
        <v>THÁNG 04/2025</v>
      </c>
      <c r="H3412" s="2242"/>
      <c r="I3412" s="2242"/>
      <c r="J3412" s="2242"/>
      <c r="K3412" s="624"/>
    </row>
    <row r="3413" spans="1:15" ht="15" customHeight="1">
      <c r="A3413" s="1052" t="s">
        <v>356</v>
      </c>
      <c r="B3413" s="1053" t="s">
        <v>320</v>
      </c>
      <c r="C3413" s="869"/>
      <c r="D3413" s="1049"/>
      <c r="E3413" s="1054"/>
      <c r="F3413" s="1055"/>
      <c r="G3413" s="1052" t="s">
        <v>356</v>
      </c>
      <c r="H3413" s="1053" t="s">
        <v>321</v>
      </c>
      <c r="I3413" s="869"/>
      <c r="J3413" s="1049"/>
      <c r="L3413" s="1088"/>
      <c r="M3413" s="1088"/>
      <c r="N3413" s="1088"/>
      <c r="O3413" s="1088"/>
    </row>
    <row r="3414" spans="1:15" ht="15" customHeight="1">
      <c r="A3414" s="1056" t="s">
        <v>359</v>
      </c>
      <c r="B3414" s="1057" t="s">
        <v>2662</v>
      </c>
      <c r="C3414" s="1058" t="e">
        <f>VLOOKUP(B3413,'LƯƠNG KT'!$D$15:$R$94,4,0)</f>
        <v>#N/A</v>
      </c>
      <c r="D3414" s="1059" t="e">
        <f>+C3414*25000</f>
        <v>#N/A</v>
      </c>
      <c r="E3414" s="1060"/>
      <c r="F3414" s="1060"/>
      <c r="G3414" s="1056" t="s">
        <v>359</v>
      </c>
      <c r="H3414" s="1057" t="s">
        <v>2662</v>
      </c>
      <c r="I3414" s="1058" t="e">
        <f>VLOOKUP(H3413,'LƯƠNG KT'!$D$15:$R$94,4,0)</f>
        <v>#N/A</v>
      </c>
      <c r="J3414" s="1059" t="e">
        <f>+I3414*25000</f>
        <v>#N/A</v>
      </c>
      <c r="K3414" s="1085"/>
      <c r="L3414" s="1085"/>
      <c r="M3414" s="1085"/>
      <c r="N3414" s="1085"/>
      <c r="O3414" s="1085"/>
    </row>
    <row r="3415" spans="1:15" ht="15" customHeight="1">
      <c r="A3415" s="1056" t="s">
        <v>361</v>
      </c>
      <c r="B3415" s="1057" t="s">
        <v>2663</v>
      </c>
      <c r="C3415" s="1058" t="e">
        <f>VLOOKUP(B3413,'LƯƠNG KT'!$D$15:$R$94,15,0)</f>
        <v>#N/A</v>
      </c>
      <c r="D3415" s="1059" t="e">
        <f>C3415*$L$4</f>
        <v>#N/A</v>
      </c>
      <c r="E3415" s="1061"/>
      <c r="F3415" s="1061"/>
      <c r="G3415" s="1056" t="s">
        <v>361</v>
      </c>
      <c r="H3415" s="1057" t="s">
        <v>2663</v>
      </c>
      <c r="I3415" s="1058" t="e">
        <f>VLOOKUP(H3413,'LƯƠNG KT'!$D$15:$R$94,15,0)</f>
        <v>#N/A</v>
      </c>
      <c r="J3415" s="1059" t="e">
        <f>I3415*$L$4</f>
        <v>#N/A</v>
      </c>
      <c r="K3415" s="1085"/>
      <c r="L3415" s="1085"/>
      <c r="M3415" s="1085"/>
      <c r="N3415" s="1085"/>
      <c r="O3415" s="1085"/>
    </row>
    <row r="3416" spans="1:15" ht="15" customHeight="1">
      <c r="A3416" s="1056" t="s">
        <v>364</v>
      </c>
      <c r="B3416" s="1057" t="s">
        <v>2664</v>
      </c>
      <c r="C3416" s="1058" t="e">
        <f>VLOOKUP(B3413,'LƯƠNG KT'!$D$15:$R$94,16,0)</f>
        <v>#N/A</v>
      </c>
      <c r="D3416" s="1059" t="e">
        <f>C3416*$L$5</f>
        <v>#N/A</v>
      </c>
      <c r="E3416" s="1061"/>
      <c r="F3416" s="1061"/>
      <c r="G3416" s="1056" t="s">
        <v>364</v>
      </c>
      <c r="H3416" s="1057" t="s">
        <v>2664</v>
      </c>
      <c r="I3416" s="1058" t="e">
        <f>VLOOKUP(H3413,'LƯƠNG KT'!$D$15:$R$94,16,0)</f>
        <v>#N/A</v>
      </c>
      <c r="J3416" s="1059" t="e">
        <f>I3416*$L$5</f>
        <v>#N/A</v>
      </c>
      <c r="K3416" s="1085"/>
      <c r="L3416" s="1085"/>
      <c r="M3416" s="1085"/>
      <c r="N3416" s="1085"/>
      <c r="O3416" s="1085"/>
    </row>
    <row r="3417" spans="1:15" ht="15" customHeight="1">
      <c r="A3417" s="1056" t="s">
        <v>370</v>
      </c>
      <c r="B3417" s="1057" t="s">
        <v>2665</v>
      </c>
      <c r="C3417" s="1058" t="e">
        <f>VLOOKUP(B3413,'LƯƠNG KT'!$D$15:$R$94,24,0)</f>
        <v>#N/A</v>
      </c>
      <c r="D3417" s="1059" t="e">
        <f>+C3417*$L$6</f>
        <v>#N/A</v>
      </c>
      <c r="E3417" s="1061"/>
      <c r="F3417" s="1061"/>
      <c r="G3417" s="1056" t="s">
        <v>370</v>
      </c>
      <c r="H3417" s="1057" t="s">
        <v>2665</v>
      </c>
      <c r="I3417" s="1058" t="e">
        <f>VLOOKUP(H3413,'LƯƠNG KT'!$D$15:$R$94,24,0)</f>
        <v>#N/A</v>
      </c>
      <c r="J3417" s="1059" t="e">
        <f>+I3417*$L$6</f>
        <v>#N/A</v>
      </c>
      <c r="K3417" s="1085"/>
      <c r="L3417" s="1085"/>
      <c r="M3417" s="1085"/>
      <c r="N3417" s="1085"/>
      <c r="O3417" s="1085"/>
    </row>
    <row r="3418" spans="1:15" ht="15" customHeight="1">
      <c r="A3418" s="1056" t="s">
        <v>2666</v>
      </c>
      <c r="B3418" s="1057" t="s">
        <v>2667</v>
      </c>
      <c r="C3418" s="1058" t="e">
        <f>VLOOKUP(B3413,'LƯƠNG KT'!$D$15:$R$94,19,0)</f>
        <v>#N/A</v>
      </c>
      <c r="D3418" s="1059" t="e">
        <f>+C3418*$L$8</f>
        <v>#N/A</v>
      </c>
      <c r="E3418" s="1061"/>
      <c r="F3418" s="1061"/>
      <c r="G3418" s="1056" t="s">
        <v>2666</v>
      </c>
      <c r="H3418" s="1057" t="s">
        <v>2667</v>
      </c>
      <c r="I3418" s="1058" t="e">
        <f>VLOOKUP(H3413,'LƯƠNG KT'!$D$15:$R$94,19,0)</f>
        <v>#N/A</v>
      </c>
      <c r="J3418" s="1059" t="e">
        <f>+I3418*$L$8</f>
        <v>#N/A</v>
      </c>
      <c r="K3418" s="1085"/>
      <c r="L3418" s="1085"/>
      <c r="M3418" s="1085"/>
      <c r="N3418" s="1085"/>
      <c r="O3418" s="1085"/>
    </row>
    <row r="3419" spans="1:15" ht="15" customHeight="1">
      <c r="A3419" s="1056" t="s">
        <v>2668</v>
      </c>
      <c r="B3419" s="1062" t="s">
        <v>2669</v>
      </c>
      <c r="C3419" s="1058" t="e">
        <f>VLOOKUP(B3413,'LƯƠNG KT'!$D$15:$R$94,20,0)</f>
        <v>#N/A</v>
      </c>
      <c r="D3419" s="1059" t="e">
        <f>+C3419*$L$9</f>
        <v>#N/A</v>
      </c>
      <c r="E3419" s="1061"/>
      <c r="F3419" s="1061"/>
      <c r="G3419" s="1056" t="s">
        <v>2668</v>
      </c>
      <c r="H3419" s="1062" t="s">
        <v>2669</v>
      </c>
      <c r="I3419" s="1058" t="e">
        <f>VLOOKUP(H3413,'LƯƠNG KT'!$D$15:$R$94,20,0)</f>
        <v>#N/A</v>
      </c>
      <c r="J3419" s="1059" t="e">
        <f>+I3419*$L$9</f>
        <v>#N/A</v>
      </c>
      <c r="K3419" s="1085"/>
      <c r="L3419" s="1085"/>
      <c r="M3419" s="1085"/>
      <c r="N3419" s="1085"/>
      <c r="O3419" s="1085"/>
    </row>
    <row r="3420" spans="1:15" ht="15" customHeight="1">
      <c r="A3420" s="1056" t="s">
        <v>2671</v>
      </c>
      <c r="B3420" s="1057" t="s">
        <v>2672</v>
      </c>
      <c r="C3420" s="1058" t="e">
        <f>VLOOKUP(B3413,'LƯƠNG KT'!$D$15:$R$94,17,0)</f>
        <v>#N/A</v>
      </c>
      <c r="D3420" s="1059" t="e">
        <f>+C3420*$L$10</f>
        <v>#N/A</v>
      </c>
      <c r="E3420" s="1061"/>
      <c r="F3420" s="1061"/>
      <c r="G3420" s="1056" t="s">
        <v>2671</v>
      </c>
      <c r="H3420" s="1057" t="s">
        <v>2672</v>
      </c>
      <c r="I3420" s="1058" t="e">
        <f>VLOOKUP(H3413,'LƯƠNG KT'!$D$15:$R$94,17,0)</f>
        <v>#N/A</v>
      </c>
      <c r="J3420" s="1059" t="e">
        <f>+I3420*$L$10</f>
        <v>#N/A</v>
      </c>
      <c r="K3420" s="1085"/>
      <c r="L3420" s="1085"/>
      <c r="M3420" s="1085"/>
      <c r="N3420" s="1085"/>
      <c r="O3420" s="1085"/>
    </row>
    <row r="3421" spans="1:15" ht="15" customHeight="1">
      <c r="A3421" s="1056" t="s">
        <v>2693</v>
      </c>
      <c r="B3421" s="1062" t="s">
        <v>2692</v>
      </c>
      <c r="C3421" s="1058" t="e">
        <f>VLOOKUP(B3413,'LƯƠNG KT'!$D$15:$R$94,21,0)</f>
        <v>#N/A</v>
      </c>
      <c r="D3421" s="1059" t="e">
        <f>+C3421*$L$7</f>
        <v>#N/A</v>
      </c>
      <c r="E3421" s="1061"/>
      <c r="F3421" s="1061"/>
      <c r="G3421" s="1056" t="s">
        <v>2693</v>
      </c>
      <c r="H3421" s="1062" t="s">
        <v>2692</v>
      </c>
      <c r="I3421" s="1058" t="e">
        <f>VLOOKUP(H3413,'LƯƠNG KT'!$D$15:$R$94,21,0)</f>
        <v>#N/A</v>
      </c>
      <c r="J3421" s="1059" t="e">
        <f>+I3421*$L$7</f>
        <v>#N/A</v>
      </c>
      <c r="K3421" s="1085"/>
      <c r="L3421" s="1085"/>
      <c r="M3421" s="1085"/>
      <c r="N3421" s="1085"/>
      <c r="O3421" s="1085"/>
    </row>
    <row r="3422" spans="1:15" ht="15" customHeight="1">
      <c r="A3422" s="1056" t="s">
        <v>2694</v>
      </c>
      <c r="B3422" s="1057" t="s">
        <v>2684</v>
      </c>
      <c r="C3422" s="1058" t="e">
        <f>VLOOKUP(B3413,'LƯƠNG KT'!$D$15:$R$94,23,0)</f>
        <v>#N/A</v>
      </c>
      <c r="D3422" s="1059" t="e">
        <f>+C3422*20000</f>
        <v>#N/A</v>
      </c>
      <c r="E3422" s="1063"/>
      <c r="F3422" s="1061"/>
      <c r="G3422" s="1056" t="s">
        <v>2694</v>
      </c>
      <c r="H3422" s="1057" t="s">
        <v>2684</v>
      </c>
      <c r="I3422" s="1058" t="e">
        <f>VLOOKUP(H3413,'LƯƠNG KT'!$D$15:$R$94,23,0)</f>
        <v>#N/A</v>
      </c>
      <c r="J3422" s="1059" t="e">
        <f>+I3422*20000</f>
        <v>#N/A</v>
      </c>
      <c r="K3422" s="1085"/>
      <c r="L3422" s="1085"/>
      <c r="M3422" s="1085"/>
      <c r="N3422" s="1085"/>
      <c r="O3422" s="1085"/>
    </row>
    <row r="3423" spans="1:15" ht="15" customHeight="1">
      <c r="A3423" s="1056" t="s">
        <v>374</v>
      </c>
      <c r="B3423" s="1057" t="s">
        <v>2674</v>
      </c>
      <c r="C3423" s="1058" t="e">
        <f>VLOOKUP(B3413,'LƯƠNG KT'!$D$15:$R$94,12,0)</f>
        <v>#N/A</v>
      </c>
      <c r="D3423" s="1059" t="e">
        <f>VLOOKUP(B3413,'LƯƠNG KT'!$D$15:$R$94,14,0)</f>
        <v>#N/A</v>
      </c>
      <c r="E3423" s="1065"/>
      <c r="F3423" s="1065"/>
      <c r="G3423" s="1056" t="s">
        <v>374</v>
      </c>
      <c r="H3423" s="1057" t="s">
        <v>2674</v>
      </c>
      <c r="I3423" s="1058" t="e">
        <f>VLOOKUP(H3413,'LƯƠNG KT'!$D$15:$R$94,12,0)</f>
        <v>#N/A</v>
      </c>
      <c r="J3423" s="1059" t="e">
        <f>VLOOKUP(H3413,'LƯƠNG KT'!$D$15:$R$94,14,0)</f>
        <v>#N/A</v>
      </c>
    </row>
    <row r="3424" spans="1:15" ht="15" customHeight="1">
      <c r="A3424" s="1056" t="s">
        <v>2675</v>
      </c>
      <c r="B3424" s="1057" t="s">
        <v>2676</v>
      </c>
      <c r="D3424" s="1064" t="e">
        <f>VLOOKUP(B3413,'LƯƠNG KT'!$D$15:$R$94,13,0)</f>
        <v>#N/A</v>
      </c>
      <c r="E3424" s="1063"/>
      <c r="F3424" s="1065"/>
      <c r="G3424" s="1056" t="s">
        <v>2675</v>
      </c>
      <c r="H3424" s="1057" t="s">
        <v>2676</v>
      </c>
      <c r="J3424" s="1064" t="e">
        <f>VLOOKUP(H3413,'LƯƠNG KT'!$D$15:$R$94,13,0)</f>
        <v>#N/A</v>
      </c>
    </row>
    <row r="3425" spans="1:15" ht="15" customHeight="1">
      <c r="A3425" s="1052"/>
      <c r="B3425" s="869"/>
      <c r="C3425" s="1058"/>
      <c r="D3425" s="1059"/>
      <c r="E3425" s="1067"/>
      <c r="F3425" s="1051"/>
      <c r="G3425" s="1052"/>
      <c r="H3425" s="869"/>
      <c r="I3425" s="1058"/>
      <c r="J3425" s="1059"/>
    </row>
    <row r="3426" spans="1:15" ht="15" customHeight="1">
      <c r="A3426" s="1068" t="s">
        <v>383</v>
      </c>
      <c r="B3426" s="1069" t="s">
        <v>384</v>
      </c>
      <c r="C3426" s="1070"/>
      <c r="D3426" s="1071" t="e">
        <f>SUM(D3414:D3423)</f>
        <v>#N/A</v>
      </c>
      <c r="E3426" s="1072"/>
      <c r="F3426" s="1073"/>
      <c r="G3426" s="1068" t="s">
        <v>383</v>
      </c>
      <c r="H3426" s="1069" t="s">
        <v>384</v>
      </c>
      <c r="I3426" s="1070"/>
      <c r="J3426" s="1071" t="e">
        <f>SUM(J3414:J3423)</f>
        <v>#N/A</v>
      </c>
    </row>
    <row r="3427" spans="1:15" ht="18.75" customHeight="1">
      <c r="A3427" s="1074"/>
      <c r="B3427" s="1075"/>
      <c r="C3427" s="1076"/>
      <c r="D3427" s="1077"/>
      <c r="E3427" s="1077"/>
      <c r="F3427" s="1078"/>
      <c r="G3427" s="1074"/>
      <c r="H3427" s="1075"/>
      <c r="I3427" s="1076"/>
      <c r="J3427" s="1077"/>
    </row>
    <row r="3428" spans="1:15" ht="18.75" customHeight="1">
      <c r="A3428" s="1075"/>
      <c r="B3428" s="1075"/>
      <c r="C3428" s="1079"/>
      <c r="D3428" s="1080"/>
      <c r="E3428" s="1075"/>
      <c r="F3428" s="1081"/>
      <c r="G3428" s="1075"/>
      <c r="H3428" s="1075"/>
      <c r="I3428" s="1079"/>
      <c r="J3428" s="1080"/>
    </row>
    <row r="3429" spans="1:15" ht="15" customHeight="1">
      <c r="A3429" s="2242" t="str">
        <f>$K$2</f>
        <v>THÁNG 04/2025</v>
      </c>
      <c r="B3429" s="2242"/>
      <c r="C3429" s="2242"/>
      <c r="D3429" s="2242"/>
      <c r="E3429" s="1050"/>
      <c r="F3429" s="1051"/>
      <c r="G3429" s="2242" t="str">
        <f>$K$2</f>
        <v>THÁNG 04/2025</v>
      </c>
      <c r="H3429" s="2242"/>
      <c r="I3429" s="2242"/>
      <c r="J3429" s="2242"/>
      <c r="K3429" s="624"/>
    </row>
    <row r="3430" spans="1:15" ht="15" customHeight="1">
      <c r="A3430" s="1052" t="s">
        <v>356</v>
      </c>
      <c r="B3430" s="1053" t="s">
        <v>322</v>
      </c>
      <c r="C3430" s="869"/>
      <c r="D3430" s="1049"/>
      <c r="E3430" s="1054"/>
      <c r="F3430" s="1055"/>
      <c r="G3430" s="1052" t="s">
        <v>356</v>
      </c>
      <c r="H3430" s="1053" t="s">
        <v>323</v>
      </c>
      <c r="I3430" s="869"/>
      <c r="J3430" s="1049"/>
      <c r="L3430" s="1088"/>
      <c r="M3430" s="1088"/>
      <c r="N3430" s="1088"/>
      <c r="O3430" s="1088"/>
    </row>
    <row r="3431" spans="1:15" ht="15" customHeight="1">
      <c r="A3431" s="1056" t="s">
        <v>359</v>
      </c>
      <c r="B3431" s="1057" t="s">
        <v>2662</v>
      </c>
      <c r="C3431" s="1058" t="e">
        <f>VLOOKUP(B3430,'LƯƠNG KT'!$D$15:$R$94,4,0)</f>
        <v>#N/A</v>
      </c>
      <c r="D3431" s="1059" t="e">
        <f>+C3431*25000</f>
        <v>#N/A</v>
      </c>
      <c r="E3431" s="1060"/>
      <c r="F3431" s="1060"/>
      <c r="G3431" s="1056" t="s">
        <v>359</v>
      </c>
      <c r="H3431" s="1057" t="s">
        <v>2662</v>
      </c>
      <c r="I3431" s="1058" t="e">
        <f>VLOOKUP(H3430,'LƯƠNG KT'!$D$15:$R$94,4,0)</f>
        <v>#N/A</v>
      </c>
      <c r="J3431" s="1059" t="e">
        <f>+I3431*25000</f>
        <v>#N/A</v>
      </c>
      <c r="K3431" s="1085"/>
      <c r="L3431" s="1085"/>
      <c r="M3431" s="1085"/>
      <c r="N3431" s="1085"/>
      <c r="O3431" s="1085"/>
    </row>
    <row r="3432" spans="1:15" ht="15" customHeight="1">
      <c r="A3432" s="1056" t="s">
        <v>361</v>
      </c>
      <c r="B3432" s="1057" t="s">
        <v>2663</v>
      </c>
      <c r="C3432" s="1058" t="e">
        <f>VLOOKUP(B3430,'LƯƠNG KT'!$D$15:$R$94,15,0)</f>
        <v>#N/A</v>
      </c>
      <c r="D3432" s="1059" t="e">
        <f>C3432*$L$4</f>
        <v>#N/A</v>
      </c>
      <c r="E3432" s="1061"/>
      <c r="F3432" s="1061"/>
      <c r="G3432" s="1056" t="s">
        <v>361</v>
      </c>
      <c r="H3432" s="1057" t="s">
        <v>2663</v>
      </c>
      <c r="I3432" s="1058" t="e">
        <f>VLOOKUP(H3430,'LƯƠNG KT'!$D$15:$R$94,15,0)</f>
        <v>#N/A</v>
      </c>
      <c r="J3432" s="1059" t="e">
        <f>I3432*$L$4</f>
        <v>#N/A</v>
      </c>
      <c r="K3432" s="1085"/>
      <c r="L3432" s="1085"/>
      <c r="M3432" s="1085"/>
      <c r="N3432" s="1085"/>
      <c r="O3432" s="1085"/>
    </row>
    <row r="3433" spans="1:15" ht="15" customHeight="1">
      <c r="A3433" s="1056" t="s">
        <v>364</v>
      </c>
      <c r="B3433" s="1057" t="s">
        <v>2664</v>
      </c>
      <c r="C3433" s="1058" t="e">
        <f>VLOOKUP(B3430,'LƯƠNG KT'!$D$15:$R$94,16,0)</f>
        <v>#N/A</v>
      </c>
      <c r="D3433" s="1059" t="e">
        <f>C3433*$L$5</f>
        <v>#N/A</v>
      </c>
      <c r="E3433" s="1061"/>
      <c r="F3433" s="1061"/>
      <c r="G3433" s="1056" t="s">
        <v>364</v>
      </c>
      <c r="H3433" s="1057" t="s">
        <v>2664</v>
      </c>
      <c r="I3433" s="1058" t="e">
        <f>VLOOKUP(H3430,'LƯƠNG KT'!$D$15:$R$94,16,0)</f>
        <v>#N/A</v>
      </c>
      <c r="J3433" s="1059" t="e">
        <f>I3433*$L$5</f>
        <v>#N/A</v>
      </c>
      <c r="K3433" s="1085"/>
      <c r="L3433" s="1085"/>
      <c r="M3433" s="1085"/>
      <c r="N3433" s="1085"/>
      <c r="O3433" s="1085"/>
    </row>
    <row r="3434" spans="1:15" ht="15" customHeight="1">
      <c r="A3434" s="1056" t="s">
        <v>370</v>
      </c>
      <c r="B3434" s="1057" t="s">
        <v>2665</v>
      </c>
      <c r="C3434" s="1058" t="e">
        <f>VLOOKUP(B3430,'LƯƠNG KT'!$D$15:$R$94,24,0)</f>
        <v>#N/A</v>
      </c>
      <c r="D3434" s="1059" t="e">
        <f>+C3434*$L$6</f>
        <v>#N/A</v>
      </c>
      <c r="E3434" s="1061"/>
      <c r="F3434" s="1061"/>
      <c r="G3434" s="1056" t="s">
        <v>370</v>
      </c>
      <c r="H3434" s="1057" t="s">
        <v>2665</v>
      </c>
      <c r="I3434" s="1058" t="e">
        <f>VLOOKUP(H3430,'LƯƠNG KT'!$D$15:$R$94,24,0)</f>
        <v>#N/A</v>
      </c>
      <c r="J3434" s="1059" t="e">
        <f>+I3434*$L$6</f>
        <v>#N/A</v>
      </c>
      <c r="K3434" s="1085"/>
      <c r="L3434" s="1085"/>
      <c r="M3434" s="1085"/>
      <c r="N3434" s="1085"/>
      <c r="O3434" s="1085"/>
    </row>
    <row r="3435" spans="1:15" ht="15" customHeight="1">
      <c r="A3435" s="1056" t="s">
        <v>2666</v>
      </c>
      <c r="B3435" s="1057" t="s">
        <v>2667</v>
      </c>
      <c r="C3435" s="1058" t="e">
        <f>VLOOKUP(B3430,'LƯƠNG KT'!$D$15:$R$94,19,0)</f>
        <v>#N/A</v>
      </c>
      <c r="D3435" s="1059" t="e">
        <f>+C3435*$L$8</f>
        <v>#N/A</v>
      </c>
      <c r="E3435" s="1061"/>
      <c r="F3435" s="1061"/>
      <c r="G3435" s="1056" t="s">
        <v>2666</v>
      </c>
      <c r="H3435" s="1057" t="s">
        <v>2667</v>
      </c>
      <c r="I3435" s="1058" t="e">
        <f>VLOOKUP(H3430,'LƯƠNG KT'!$D$15:$R$94,19,0)</f>
        <v>#N/A</v>
      </c>
      <c r="J3435" s="1059" t="e">
        <f>+I3435*$L$8</f>
        <v>#N/A</v>
      </c>
      <c r="K3435" s="1085"/>
      <c r="L3435" s="1085"/>
      <c r="M3435" s="1085"/>
      <c r="N3435" s="1085"/>
      <c r="O3435" s="1085"/>
    </row>
    <row r="3436" spans="1:15" ht="15" customHeight="1">
      <c r="A3436" s="1056" t="s">
        <v>2668</v>
      </c>
      <c r="B3436" s="1062" t="s">
        <v>2669</v>
      </c>
      <c r="C3436" s="1058" t="e">
        <f>VLOOKUP(B3430,'LƯƠNG KT'!$D$15:$R$94,20,0)</f>
        <v>#N/A</v>
      </c>
      <c r="D3436" s="1059" t="e">
        <f>+C3436*$L$9</f>
        <v>#N/A</v>
      </c>
      <c r="E3436" s="1061"/>
      <c r="F3436" s="1061"/>
      <c r="G3436" s="1056" t="s">
        <v>2668</v>
      </c>
      <c r="H3436" s="1062" t="s">
        <v>2669</v>
      </c>
      <c r="I3436" s="1058" t="e">
        <f>VLOOKUP(H3430,'LƯƠNG KT'!$D$15:$R$94,20,0)</f>
        <v>#N/A</v>
      </c>
      <c r="J3436" s="1059" t="e">
        <f>+I3436*$L$9</f>
        <v>#N/A</v>
      </c>
      <c r="K3436" s="1085"/>
      <c r="L3436" s="1085"/>
      <c r="M3436" s="1085"/>
      <c r="N3436" s="1085"/>
      <c r="O3436" s="1085"/>
    </row>
    <row r="3437" spans="1:15" ht="15" customHeight="1">
      <c r="A3437" s="1056" t="s">
        <v>2671</v>
      </c>
      <c r="B3437" s="1057" t="s">
        <v>2672</v>
      </c>
      <c r="C3437" s="1058" t="e">
        <f>VLOOKUP(B3430,'LƯƠNG KT'!$D$15:$R$94,17,0)</f>
        <v>#N/A</v>
      </c>
      <c r="D3437" s="1059" t="e">
        <f>+C3437*$L$10</f>
        <v>#N/A</v>
      </c>
      <c r="E3437" s="1061"/>
      <c r="F3437" s="1061"/>
      <c r="G3437" s="1056" t="s">
        <v>2671</v>
      </c>
      <c r="H3437" s="1057" t="s">
        <v>2672</v>
      </c>
      <c r="I3437" s="1058" t="e">
        <f>VLOOKUP(H3430,'LƯƠNG KT'!$D$15:$R$94,17,0)</f>
        <v>#N/A</v>
      </c>
      <c r="J3437" s="1059" t="e">
        <f>+I3437*$L$10</f>
        <v>#N/A</v>
      </c>
      <c r="K3437" s="1085"/>
      <c r="L3437" s="1085"/>
      <c r="M3437" s="1085"/>
      <c r="N3437" s="1085"/>
      <c r="O3437" s="1085"/>
    </row>
    <row r="3438" spans="1:15" ht="15" customHeight="1">
      <c r="A3438" s="1056" t="s">
        <v>2693</v>
      </c>
      <c r="B3438" s="1062" t="s">
        <v>2692</v>
      </c>
      <c r="C3438" s="1058" t="e">
        <f>VLOOKUP(B3430,'LƯƠNG KT'!$D$15:$R$94,21,0)</f>
        <v>#N/A</v>
      </c>
      <c r="D3438" s="1059" t="e">
        <f>+C3438*$L$7</f>
        <v>#N/A</v>
      </c>
      <c r="E3438" s="1061"/>
      <c r="F3438" s="1061"/>
      <c r="G3438" s="1056" t="s">
        <v>2693</v>
      </c>
      <c r="H3438" s="1062" t="s">
        <v>2692</v>
      </c>
      <c r="I3438" s="1058" t="e">
        <f>VLOOKUP(H3430,'LƯƠNG KT'!$D$15:$R$94,21,0)</f>
        <v>#N/A</v>
      </c>
      <c r="J3438" s="1059" t="e">
        <f>+I3438*$L$7</f>
        <v>#N/A</v>
      </c>
      <c r="K3438" s="1085"/>
      <c r="L3438" s="1085"/>
      <c r="M3438" s="1085"/>
      <c r="N3438" s="1085"/>
      <c r="O3438" s="1085"/>
    </row>
    <row r="3439" spans="1:15" ht="15" customHeight="1">
      <c r="A3439" s="1056" t="s">
        <v>2694</v>
      </c>
      <c r="B3439" s="1057" t="s">
        <v>2684</v>
      </c>
      <c r="C3439" s="1058" t="e">
        <f>VLOOKUP(B3430,'LƯƠNG KT'!$D$15:$R$94,23,0)</f>
        <v>#N/A</v>
      </c>
      <c r="D3439" s="1059" t="e">
        <f>+C3439*20000</f>
        <v>#N/A</v>
      </c>
      <c r="E3439" s="1063"/>
      <c r="F3439" s="1061"/>
      <c r="G3439" s="1056" t="s">
        <v>2694</v>
      </c>
      <c r="H3439" s="1057" t="s">
        <v>2684</v>
      </c>
      <c r="I3439" s="1058" t="e">
        <f>VLOOKUP(H3430,'LƯƠNG KT'!$D$15:$R$94,23,0)</f>
        <v>#N/A</v>
      </c>
      <c r="J3439" s="1059" t="e">
        <f>+I3439*20000</f>
        <v>#N/A</v>
      </c>
      <c r="K3439" s="1085"/>
      <c r="L3439" s="1085"/>
      <c r="M3439" s="1085"/>
      <c r="N3439" s="1085"/>
      <c r="O3439" s="1085"/>
    </row>
    <row r="3440" spans="1:15" ht="15" customHeight="1">
      <c r="A3440" s="1056" t="s">
        <v>374</v>
      </c>
      <c r="B3440" s="1057" t="s">
        <v>2674</v>
      </c>
      <c r="C3440" s="1058" t="e">
        <f>VLOOKUP(B3430,'LƯƠNG KT'!$D$15:$R$94,12,0)</f>
        <v>#N/A</v>
      </c>
      <c r="D3440" s="1059" t="e">
        <f>VLOOKUP(B3430,'LƯƠNG KT'!$D$15:$R$94,14,0)</f>
        <v>#N/A</v>
      </c>
      <c r="E3440" s="1065"/>
      <c r="F3440" s="1065"/>
      <c r="G3440" s="1056" t="s">
        <v>374</v>
      </c>
      <c r="H3440" s="1057" t="s">
        <v>2674</v>
      </c>
      <c r="I3440" s="1058" t="e">
        <f>VLOOKUP(H3430,'LƯƠNG KT'!$D$15:$R$94,12,0)</f>
        <v>#N/A</v>
      </c>
      <c r="J3440" s="1059" t="e">
        <f>VLOOKUP(H3430,'LƯƠNG KT'!$D$15:$R$94,14,0)</f>
        <v>#N/A</v>
      </c>
    </row>
    <row r="3441" spans="1:15" ht="15" customHeight="1">
      <c r="A3441" s="1056" t="s">
        <v>2675</v>
      </c>
      <c r="B3441" s="1057" t="s">
        <v>2676</v>
      </c>
      <c r="D3441" s="1064" t="e">
        <f>VLOOKUP(B3430,'LƯƠNG KT'!$D$15:$R$94,13,0)</f>
        <v>#N/A</v>
      </c>
      <c r="E3441" s="1063"/>
      <c r="F3441" s="1065"/>
      <c r="G3441" s="1056" t="s">
        <v>2675</v>
      </c>
      <c r="H3441" s="1057" t="s">
        <v>2676</v>
      </c>
      <c r="J3441" s="1064" t="e">
        <f>VLOOKUP(H3430,'LƯƠNG KT'!$D$15:$R$94,13,0)</f>
        <v>#N/A</v>
      </c>
    </row>
    <row r="3442" spans="1:15" ht="15" customHeight="1">
      <c r="A3442" s="1052"/>
      <c r="B3442" s="869"/>
      <c r="C3442" s="1058"/>
      <c r="D3442" s="1059"/>
      <c r="E3442" s="1067"/>
      <c r="F3442" s="1051"/>
      <c r="G3442" s="1052"/>
      <c r="H3442" s="869"/>
      <c r="I3442" s="1058"/>
      <c r="J3442" s="1059"/>
    </row>
    <row r="3443" spans="1:15" ht="15" customHeight="1">
      <c r="A3443" s="1068" t="s">
        <v>383</v>
      </c>
      <c r="B3443" s="1069" t="s">
        <v>384</v>
      </c>
      <c r="C3443" s="1070"/>
      <c r="D3443" s="1071" t="e">
        <f>SUM(D3431:D3440)</f>
        <v>#N/A</v>
      </c>
      <c r="E3443" s="1072"/>
      <c r="F3443" s="1073"/>
      <c r="G3443" s="1068" t="s">
        <v>383</v>
      </c>
      <c r="H3443" s="1069" t="s">
        <v>384</v>
      </c>
      <c r="I3443" s="1070"/>
      <c r="J3443" s="1071" t="e">
        <f>SUM(J3431:J3440)</f>
        <v>#N/A</v>
      </c>
    </row>
    <row r="3444" spans="1:15" ht="15.75" customHeight="1">
      <c r="A3444" s="1074"/>
      <c r="B3444" s="1075"/>
      <c r="C3444" s="1076"/>
      <c r="D3444" s="1077"/>
      <c r="E3444" s="1077"/>
      <c r="F3444" s="1078"/>
      <c r="G3444" s="1074"/>
      <c r="H3444" s="1075"/>
      <c r="I3444" s="1076"/>
      <c r="J3444" s="1077"/>
    </row>
    <row r="3445" spans="1:15" ht="6.75" customHeight="1"/>
    <row r="3446" spans="1:15" ht="6.75" customHeight="1">
      <c r="A3446" s="2243"/>
      <c r="B3446" s="2243"/>
      <c r="C3446" s="2243"/>
      <c r="D3446" s="2243"/>
      <c r="E3446" s="2243"/>
      <c r="F3446" s="2243"/>
      <c r="G3446" s="2243"/>
      <c r="H3446" s="2243"/>
      <c r="I3446" s="2243"/>
      <c r="J3446" s="2243"/>
    </row>
    <row r="3447" spans="1:15" ht="15" customHeight="1">
      <c r="A3447" s="2242" t="str">
        <f>$K$2</f>
        <v>THÁNG 04/2025</v>
      </c>
      <c r="B3447" s="2242"/>
      <c r="C3447" s="2242"/>
      <c r="D3447" s="2242"/>
      <c r="E3447" s="1050"/>
      <c r="F3447" s="1051"/>
      <c r="G3447" s="2242" t="str">
        <f>$K$2</f>
        <v>THÁNG 04/2025</v>
      </c>
      <c r="H3447" s="2242"/>
      <c r="I3447" s="2242"/>
      <c r="J3447" s="2242"/>
      <c r="K3447" s="624"/>
    </row>
    <row r="3448" spans="1:15" ht="15" customHeight="1">
      <c r="A3448" s="1052" t="s">
        <v>356</v>
      </c>
      <c r="B3448" s="1053" t="s">
        <v>324</v>
      </c>
      <c r="C3448" s="869"/>
      <c r="D3448" s="1049"/>
      <c r="E3448" s="1054"/>
      <c r="F3448" s="1055"/>
      <c r="G3448" s="1052" t="s">
        <v>356</v>
      </c>
      <c r="H3448" s="1053" t="s">
        <v>325</v>
      </c>
      <c r="I3448" s="869"/>
      <c r="J3448" s="1049"/>
      <c r="L3448" s="1088"/>
      <c r="M3448" s="1088"/>
      <c r="N3448" s="1088"/>
      <c r="O3448" s="1088"/>
    </row>
    <row r="3449" spans="1:15" ht="15" customHeight="1">
      <c r="A3449" s="1056" t="s">
        <v>359</v>
      </c>
      <c r="B3449" s="1057" t="s">
        <v>2662</v>
      </c>
      <c r="C3449" s="1058" t="e">
        <f>VLOOKUP(B3448,'LƯƠNG KT'!$D$15:$R$94,4,0)</f>
        <v>#N/A</v>
      </c>
      <c r="D3449" s="1059" t="e">
        <f>+C3449*25000</f>
        <v>#N/A</v>
      </c>
      <c r="E3449" s="1060"/>
      <c r="F3449" s="1060"/>
      <c r="G3449" s="1056" t="s">
        <v>359</v>
      </c>
      <c r="H3449" s="1057" t="s">
        <v>2662</v>
      </c>
      <c r="I3449" s="1058" t="e">
        <f>VLOOKUP(H3448,'LƯƠNG KT'!$D$15:$R$94,4,0)</f>
        <v>#N/A</v>
      </c>
      <c r="J3449" s="1059" t="e">
        <f>+I3449*25000</f>
        <v>#N/A</v>
      </c>
      <c r="K3449" s="1084"/>
      <c r="L3449" s="1085"/>
      <c r="M3449" s="1085"/>
      <c r="N3449" s="1085"/>
      <c r="O3449" s="1085"/>
    </row>
    <row r="3450" spans="1:15" ht="15" customHeight="1">
      <c r="A3450" s="1056" t="s">
        <v>361</v>
      </c>
      <c r="B3450" s="1057" t="s">
        <v>2663</v>
      </c>
      <c r="C3450" s="1058" t="e">
        <f>VLOOKUP(B3448,'LƯƠNG KT'!$D$15:$R$94,15,0)</f>
        <v>#N/A</v>
      </c>
      <c r="D3450" s="1059" t="e">
        <f>C3450*$L$4</f>
        <v>#N/A</v>
      </c>
      <c r="E3450" s="1061"/>
      <c r="F3450" s="1061"/>
      <c r="G3450" s="1056" t="s">
        <v>361</v>
      </c>
      <c r="H3450" s="1057" t="s">
        <v>2663</v>
      </c>
      <c r="I3450" s="1058" t="e">
        <f>VLOOKUP(H3448,'LƯƠNG KT'!$D$15:$R$94,15,0)</f>
        <v>#N/A</v>
      </c>
      <c r="J3450" s="1059" t="e">
        <f>I3450*$L$4</f>
        <v>#N/A</v>
      </c>
      <c r="K3450" s="1084"/>
      <c r="L3450" s="1085"/>
      <c r="M3450" s="1085"/>
      <c r="N3450" s="1085"/>
      <c r="O3450" s="1085"/>
    </row>
    <row r="3451" spans="1:15" ht="15" customHeight="1">
      <c r="A3451" s="1056" t="s">
        <v>364</v>
      </c>
      <c r="B3451" s="1057" t="s">
        <v>2664</v>
      </c>
      <c r="C3451" s="1058" t="e">
        <f>VLOOKUP(B3448,'LƯƠNG KT'!$D$15:$R$94,16,0)</f>
        <v>#N/A</v>
      </c>
      <c r="D3451" s="1059" t="e">
        <f>C3451*$L$5</f>
        <v>#N/A</v>
      </c>
      <c r="E3451" s="1061"/>
      <c r="F3451" s="1061"/>
      <c r="G3451" s="1056" t="s">
        <v>364</v>
      </c>
      <c r="H3451" s="1057" t="s">
        <v>2664</v>
      </c>
      <c r="I3451" s="1058" t="e">
        <f>VLOOKUP(H3448,'LƯƠNG KT'!$D$15:$R$94,16,0)</f>
        <v>#N/A</v>
      </c>
      <c r="J3451" s="1059" t="e">
        <f>I3451*$L$5</f>
        <v>#N/A</v>
      </c>
      <c r="K3451" s="1084"/>
      <c r="L3451" s="1085"/>
      <c r="M3451" s="1085"/>
      <c r="N3451" s="1085"/>
      <c r="O3451" s="1085"/>
    </row>
    <row r="3452" spans="1:15" ht="15" customHeight="1">
      <c r="A3452" s="1056" t="s">
        <v>370</v>
      </c>
      <c r="B3452" s="1057" t="s">
        <v>2665</v>
      </c>
      <c r="C3452" s="1058" t="e">
        <f>VLOOKUP(B3448,'LƯƠNG KT'!$D$15:$R$94,24,0)</f>
        <v>#N/A</v>
      </c>
      <c r="D3452" s="1059" t="e">
        <f>+C3452*$L$6</f>
        <v>#N/A</v>
      </c>
      <c r="E3452" s="1061"/>
      <c r="F3452" s="1061"/>
      <c r="G3452" s="1056" t="s">
        <v>370</v>
      </c>
      <c r="H3452" s="1057" t="s">
        <v>2665</v>
      </c>
      <c r="I3452" s="1058" t="e">
        <f>VLOOKUP(H3448,'LƯƠNG KT'!$D$15:$R$94,24,0)</f>
        <v>#N/A</v>
      </c>
      <c r="J3452" s="1059" t="e">
        <f>+I3452*$L$6</f>
        <v>#N/A</v>
      </c>
      <c r="K3452" s="1084"/>
      <c r="L3452" s="1085"/>
      <c r="M3452" s="1085"/>
      <c r="N3452" s="1085"/>
      <c r="O3452" s="1085"/>
    </row>
    <row r="3453" spans="1:15" ht="15" customHeight="1">
      <c r="A3453" s="1056" t="s">
        <v>2666</v>
      </c>
      <c r="B3453" s="1057" t="s">
        <v>2667</v>
      </c>
      <c r="C3453" s="1058" t="e">
        <f>VLOOKUP(B3448,'LƯƠNG KT'!$D$15:$R$94,19,0)</f>
        <v>#N/A</v>
      </c>
      <c r="D3453" s="1059" t="e">
        <f>+C3453*$L$8</f>
        <v>#N/A</v>
      </c>
      <c r="E3453" s="1061"/>
      <c r="F3453" s="1061"/>
      <c r="G3453" s="1056" t="s">
        <v>2666</v>
      </c>
      <c r="H3453" s="1057" t="s">
        <v>2667</v>
      </c>
      <c r="I3453" s="1058" t="e">
        <f>VLOOKUP(H3448,'LƯƠNG KT'!$D$15:$R$94,19,0)</f>
        <v>#N/A</v>
      </c>
      <c r="J3453" s="1059" t="e">
        <f>+I3453*$L$8</f>
        <v>#N/A</v>
      </c>
      <c r="K3453" s="1085"/>
      <c r="L3453" s="1085"/>
      <c r="M3453" s="1085"/>
      <c r="N3453" s="1085"/>
      <c r="O3453" s="1085"/>
    </row>
    <row r="3454" spans="1:15" ht="15" customHeight="1">
      <c r="A3454" s="1056" t="s">
        <v>2668</v>
      </c>
      <c r="B3454" s="1062" t="s">
        <v>2669</v>
      </c>
      <c r="C3454" s="1058" t="e">
        <f>VLOOKUP(B3448,'LƯƠNG KT'!$D$15:$R$94,20,0)</f>
        <v>#N/A</v>
      </c>
      <c r="D3454" s="1059" t="e">
        <f>+C3454*$L$9</f>
        <v>#N/A</v>
      </c>
      <c r="E3454" s="1061"/>
      <c r="F3454" s="1061"/>
      <c r="G3454" s="1056" t="s">
        <v>2668</v>
      </c>
      <c r="H3454" s="1062" t="s">
        <v>2669</v>
      </c>
      <c r="I3454" s="1058" t="e">
        <f>VLOOKUP(H3448,'LƯƠNG KT'!$D$15:$R$94,20,0)</f>
        <v>#N/A</v>
      </c>
      <c r="J3454" s="1059" t="e">
        <f>+I3454*$L$9</f>
        <v>#N/A</v>
      </c>
      <c r="K3454" s="1085"/>
      <c r="L3454" s="1085"/>
      <c r="M3454" s="1085"/>
      <c r="N3454" s="1085"/>
      <c r="O3454" s="1085"/>
    </row>
    <row r="3455" spans="1:15" ht="15" customHeight="1">
      <c r="A3455" s="1056" t="s">
        <v>2671</v>
      </c>
      <c r="B3455" s="1057" t="s">
        <v>2672</v>
      </c>
      <c r="C3455" s="1058" t="e">
        <f>VLOOKUP(B3448,'LƯƠNG KT'!$D$15:$R$94,17,0)</f>
        <v>#N/A</v>
      </c>
      <c r="D3455" s="1059" t="e">
        <f>+C3455*$L$10</f>
        <v>#N/A</v>
      </c>
      <c r="E3455" s="1061"/>
      <c r="F3455" s="1061"/>
      <c r="G3455" s="1056" t="s">
        <v>2671</v>
      </c>
      <c r="H3455" s="1057" t="s">
        <v>2672</v>
      </c>
      <c r="I3455" s="1058" t="e">
        <f>VLOOKUP(H3448,'LƯƠNG KT'!$D$15:$R$94,17,0)</f>
        <v>#N/A</v>
      </c>
      <c r="J3455" s="1059" t="e">
        <f>+I3455*$L$10</f>
        <v>#N/A</v>
      </c>
      <c r="K3455" s="1085"/>
      <c r="L3455" s="1085"/>
      <c r="M3455" s="1085"/>
      <c r="N3455" s="1085"/>
      <c r="O3455" s="1085"/>
    </row>
    <row r="3456" spans="1:15" ht="15" customHeight="1">
      <c r="A3456" s="1056" t="s">
        <v>2693</v>
      </c>
      <c r="B3456" s="1062" t="s">
        <v>2692</v>
      </c>
      <c r="C3456" s="1058" t="e">
        <f>VLOOKUP(B3448,'LƯƠNG KT'!$D$15:$R$94,21,0)</f>
        <v>#N/A</v>
      </c>
      <c r="D3456" s="1059" t="e">
        <f>+C3456*$L$7</f>
        <v>#N/A</v>
      </c>
      <c r="E3456" s="1061"/>
      <c r="F3456" s="1061"/>
      <c r="G3456" s="1056" t="s">
        <v>2693</v>
      </c>
      <c r="H3456" s="1062" t="s">
        <v>2692</v>
      </c>
      <c r="I3456" s="1058" t="e">
        <f>VLOOKUP(H3448,'LƯƠNG KT'!$D$15:$R$94,21,0)</f>
        <v>#N/A</v>
      </c>
      <c r="J3456" s="1059" t="e">
        <f>+I3456*$L$7</f>
        <v>#N/A</v>
      </c>
      <c r="K3456" s="1085"/>
      <c r="L3456" s="1085"/>
      <c r="M3456" s="1085"/>
      <c r="N3456" s="1085"/>
      <c r="O3456" s="1085"/>
    </row>
    <row r="3457" spans="1:15" ht="15" customHeight="1">
      <c r="A3457" s="1056" t="s">
        <v>2694</v>
      </c>
      <c r="B3457" s="1057" t="s">
        <v>2684</v>
      </c>
      <c r="C3457" s="1058" t="e">
        <f>VLOOKUP(B3448,'LƯƠNG KT'!$D$15:$R$94,23,0)</f>
        <v>#N/A</v>
      </c>
      <c r="D3457" s="1059" t="e">
        <f>+C3457*20000</f>
        <v>#N/A</v>
      </c>
      <c r="E3457" s="1063"/>
      <c r="F3457" s="1061"/>
      <c r="G3457" s="1056" t="s">
        <v>2694</v>
      </c>
      <c r="H3457" s="1057" t="s">
        <v>2684</v>
      </c>
      <c r="I3457" s="1058" t="e">
        <f>VLOOKUP(H3448,'LƯƠNG KT'!$D$15:$R$94,23,0)</f>
        <v>#N/A</v>
      </c>
      <c r="J3457" s="1059" t="e">
        <f>+I3457*20000</f>
        <v>#N/A</v>
      </c>
      <c r="K3457" s="1085"/>
      <c r="L3457" s="1085"/>
      <c r="M3457" s="1085"/>
      <c r="N3457" s="1085"/>
      <c r="O3457" s="1085"/>
    </row>
    <row r="3458" spans="1:15" ht="15" customHeight="1">
      <c r="A3458" s="1056" t="s">
        <v>374</v>
      </c>
      <c r="B3458" s="1057" t="s">
        <v>2674</v>
      </c>
      <c r="C3458" s="1058" t="e">
        <f>VLOOKUP(B3448,'LƯƠNG KT'!$D$15:$R$94,12,0)</f>
        <v>#N/A</v>
      </c>
      <c r="D3458" s="1059" t="e">
        <f>VLOOKUP(B3448,'LƯƠNG KT'!$D$15:$R$94,14,0)</f>
        <v>#N/A</v>
      </c>
      <c r="E3458" s="1065"/>
      <c r="F3458" s="1065"/>
      <c r="G3458" s="1056" t="s">
        <v>374</v>
      </c>
      <c r="H3458" s="1057" t="s">
        <v>2674</v>
      </c>
      <c r="I3458" s="1058" t="e">
        <f>VLOOKUP(H3448,'LƯƠNG KT'!$D$15:$R$94,12,0)</f>
        <v>#N/A</v>
      </c>
      <c r="J3458" s="1059" t="e">
        <f>VLOOKUP(H3448,'LƯƠNG KT'!$D$15:$R$94,14,0)</f>
        <v>#N/A</v>
      </c>
    </row>
    <row r="3459" spans="1:15" ht="15" customHeight="1">
      <c r="A3459" s="1056" t="s">
        <v>2675</v>
      </c>
      <c r="B3459" s="1057" t="s">
        <v>2676</v>
      </c>
      <c r="D3459" s="1064" t="e">
        <f>VLOOKUP(B3448,'LƯƠNG KT'!$D$15:$R$94,13,0)</f>
        <v>#N/A</v>
      </c>
      <c r="E3459" s="1063"/>
      <c r="F3459" s="1065"/>
      <c r="G3459" s="1056" t="s">
        <v>2675</v>
      </c>
      <c r="H3459" s="1057" t="s">
        <v>2676</v>
      </c>
      <c r="J3459" s="1064" t="e">
        <f>VLOOKUP(H3448,'LƯƠNG KT'!$D$15:$R$94,13,0)</f>
        <v>#N/A</v>
      </c>
    </row>
    <row r="3460" spans="1:15" ht="15" customHeight="1">
      <c r="A3460" s="1052"/>
      <c r="B3460" s="869"/>
      <c r="C3460" s="1058"/>
      <c r="D3460" s="1059"/>
      <c r="E3460" s="1067"/>
      <c r="F3460" s="1051"/>
      <c r="G3460" s="1052"/>
      <c r="H3460" s="869"/>
      <c r="I3460" s="1058"/>
      <c r="J3460" s="1059"/>
    </row>
    <row r="3461" spans="1:15" ht="15" customHeight="1">
      <c r="A3461" s="1068" t="s">
        <v>383</v>
      </c>
      <c r="B3461" s="1069" t="s">
        <v>384</v>
      </c>
      <c r="C3461" s="1070"/>
      <c r="D3461" s="1071" t="e">
        <f>SUM(D3449:D3458)</f>
        <v>#N/A</v>
      </c>
      <c r="E3461" s="1072"/>
      <c r="F3461" s="1073"/>
      <c r="G3461" s="1068" t="s">
        <v>383</v>
      </c>
      <c r="H3461" s="1069" t="s">
        <v>384</v>
      </c>
      <c r="I3461" s="1070"/>
      <c r="J3461" s="1071" t="e">
        <f>SUM(J3449:J3458)</f>
        <v>#N/A</v>
      </c>
    </row>
    <row r="3462" spans="1:15" ht="12.6" customHeight="1">
      <c r="A3462" s="1074"/>
      <c r="B3462" s="1075"/>
      <c r="C3462" s="1076"/>
      <c r="D3462" s="1077"/>
      <c r="E3462" s="1077"/>
      <c r="F3462" s="1078"/>
      <c r="G3462" s="1074"/>
      <c r="H3462" s="1075"/>
      <c r="I3462" s="1076"/>
      <c r="J3462" s="1077"/>
    </row>
    <row r="3463" spans="1:15" ht="69.75" customHeight="1">
      <c r="A3463" s="1075"/>
      <c r="B3463" s="1075"/>
      <c r="C3463" s="1079"/>
      <c r="D3463" s="1080"/>
      <c r="E3463" s="1075"/>
      <c r="F3463" s="1081"/>
      <c r="G3463" s="1075"/>
      <c r="H3463" s="1075"/>
      <c r="I3463" s="1079"/>
      <c r="J3463" s="1080"/>
    </row>
    <row r="3464" spans="1:15" ht="15" customHeight="1">
      <c r="A3464" s="2242" t="str">
        <f>$K$2</f>
        <v>THÁNG 04/2025</v>
      </c>
      <c r="B3464" s="2242"/>
      <c r="C3464" s="2242"/>
      <c r="D3464" s="2242"/>
      <c r="E3464" s="1050"/>
      <c r="F3464" s="1051"/>
      <c r="G3464" s="2242" t="str">
        <f>$K$2</f>
        <v>THÁNG 04/2025</v>
      </c>
      <c r="H3464" s="2242"/>
      <c r="I3464" s="2242"/>
      <c r="J3464" s="2242"/>
      <c r="K3464" s="624"/>
    </row>
    <row r="3465" spans="1:15" ht="15" customHeight="1">
      <c r="A3465" s="1052" t="s">
        <v>356</v>
      </c>
      <c r="B3465" s="1053" t="s">
        <v>326</v>
      </c>
      <c r="C3465" s="869"/>
      <c r="D3465" s="1049"/>
      <c r="E3465" s="1054"/>
      <c r="F3465" s="1055"/>
      <c r="G3465" s="1052" t="s">
        <v>356</v>
      </c>
      <c r="H3465" s="1053" t="s">
        <v>327</v>
      </c>
      <c r="I3465" s="869"/>
      <c r="J3465" s="1049"/>
      <c r="L3465" s="1088"/>
      <c r="M3465" s="1088"/>
      <c r="N3465" s="1088"/>
      <c r="O3465" s="1088"/>
    </row>
    <row r="3466" spans="1:15" ht="15" customHeight="1">
      <c r="A3466" s="1056" t="s">
        <v>359</v>
      </c>
      <c r="B3466" s="1057" t="s">
        <v>2662</v>
      </c>
      <c r="C3466" s="1058" t="e">
        <f>VLOOKUP(B3465,'LƯƠNG KT'!$D$15:$R$94,4,0)</f>
        <v>#N/A</v>
      </c>
      <c r="D3466" s="1059" t="e">
        <f>+C3466*25000</f>
        <v>#N/A</v>
      </c>
      <c r="E3466" s="1060"/>
      <c r="F3466" s="1060"/>
      <c r="G3466" s="1056" t="s">
        <v>359</v>
      </c>
      <c r="H3466" s="1057" t="s">
        <v>2662</v>
      </c>
      <c r="I3466" s="1058" t="e">
        <f>VLOOKUP(H3465,'LƯƠNG KT'!$D$15:$R$94,4,0)</f>
        <v>#N/A</v>
      </c>
      <c r="J3466" s="1059" t="e">
        <f>+I3466*25000</f>
        <v>#N/A</v>
      </c>
      <c r="K3466" s="1085"/>
      <c r="L3466" s="1085"/>
      <c r="M3466" s="1085"/>
      <c r="N3466" s="1085"/>
      <c r="O3466" s="1085"/>
    </row>
    <row r="3467" spans="1:15" ht="15" customHeight="1">
      <c r="A3467" s="1056" t="s">
        <v>361</v>
      </c>
      <c r="B3467" s="1057" t="s">
        <v>2663</v>
      </c>
      <c r="C3467" s="1058" t="e">
        <f>VLOOKUP(B3465,'LƯƠNG KT'!$D$15:$R$94,15,0)</f>
        <v>#N/A</v>
      </c>
      <c r="D3467" s="1059" t="e">
        <f>C3467*$L$4</f>
        <v>#N/A</v>
      </c>
      <c r="E3467" s="1061"/>
      <c r="F3467" s="1061"/>
      <c r="G3467" s="1056" t="s">
        <v>361</v>
      </c>
      <c r="H3467" s="1057" t="s">
        <v>2663</v>
      </c>
      <c r="I3467" s="1058" t="e">
        <f>VLOOKUP(H3465,'LƯƠNG KT'!$D$15:$R$94,15,0)</f>
        <v>#N/A</v>
      </c>
      <c r="J3467" s="1059" t="e">
        <f>I3467*$L$4</f>
        <v>#N/A</v>
      </c>
      <c r="K3467" s="1085"/>
      <c r="L3467" s="1085"/>
      <c r="M3467" s="1085"/>
      <c r="N3467" s="1085"/>
      <c r="O3467" s="1085"/>
    </row>
    <row r="3468" spans="1:15" ht="15" customHeight="1">
      <c r="A3468" s="1056" t="s">
        <v>364</v>
      </c>
      <c r="B3468" s="1057" t="s">
        <v>2664</v>
      </c>
      <c r="C3468" s="1058" t="e">
        <f>VLOOKUP(B3465,'LƯƠNG KT'!$D$15:$R$94,16,0)</f>
        <v>#N/A</v>
      </c>
      <c r="D3468" s="1059" t="e">
        <f>C3468*$L$5</f>
        <v>#N/A</v>
      </c>
      <c r="E3468" s="1061"/>
      <c r="F3468" s="1061"/>
      <c r="G3468" s="1056" t="s">
        <v>364</v>
      </c>
      <c r="H3468" s="1057" t="s">
        <v>2664</v>
      </c>
      <c r="I3468" s="1058" t="e">
        <f>VLOOKUP(H3465,'LƯƠNG KT'!$D$15:$R$94,16,0)</f>
        <v>#N/A</v>
      </c>
      <c r="J3468" s="1059" t="e">
        <f>I3468*$L$5</f>
        <v>#N/A</v>
      </c>
      <c r="K3468" s="1085"/>
      <c r="L3468" s="1085"/>
      <c r="M3468" s="1085"/>
      <c r="N3468" s="1085"/>
      <c r="O3468" s="1085"/>
    </row>
    <row r="3469" spans="1:15" ht="15" customHeight="1">
      <c r="A3469" s="1056" t="s">
        <v>370</v>
      </c>
      <c r="B3469" s="1057" t="s">
        <v>2665</v>
      </c>
      <c r="C3469" s="1058" t="e">
        <f>VLOOKUP(B3465,'LƯƠNG KT'!$D$15:$R$94,24,0)</f>
        <v>#N/A</v>
      </c>
      <c r="D3469" s="1059" t="e">
        <f>+C3469*$L$6</f>
        <v>#N/A</v>
      </c>
      <c r="E3469" s="1061"/>
      <c r="F3469" s="1061"/>
      <c r="G3469" s="1056" t="s">
        <v>370</v>
      </c>
      <c r="H3469" s="1057" t="s">
        <v>2665</v>
      </c>
      <c r="I3469" s="1058" t="e">
        <f>VLOOKUP(H3465,'LƯƠNG KT'!$D$15:$R$94,24,0)</f>
        <v>#N/A</v>
      </c>
      <c r="J3469" s="1059" t="e">
        <f>+I3469*$L$6</f>
        <v>#N/A</v>
      </c>
      <c r="K3469" s="1085"/>
      <c r="L3469" s="1085"/>
      <c r="M3469" s="1085"/>
      <c r="N3469" s="1085"/>
      <c r="O3469" s="1085"/>
    </row>
    <row r="3470" spans="1:15" ht="15" customHeight="1">
      <c r="A3470" s="1056" t="s">
        <v>2666</v>
      </c>
      <c r="B3470" s="1057" t="s">
        <v>2667</v>
      </c>
      <c r="C3470" s="1058" t="e">
        <f>VLOOKUP(B3465,'LƯƠNG KT'!$D$15:$R$94,19,0)</f>
        <v>#N/A</v>
      </c>
      <c r="D3470" s="1059" t="e">
        <f>+C3470*$L$8</f>
        <v>#N/A</v>
      </c>
      <c r="E3470" s="1061"/>
      <c r="F3470" s="1061"/>
      <c r="G3470" s="1056" t="s">
        <v>2666</v>
      </c>
      <c r="H3470" s="1057" t="s">
        <v>2667</v>
      </c>
      <c r="I3470" s="1058" t="e">
        <f>VLOOKUP(H3465,'LƯƠNG KT'!$D$15:$R$94,19,0)</f>
        <v>#N/A</v>
      </c>
      <c r="J3470" s="1059" t="e">
        <f>+I3470*$L$8</f>
        <v>#N/A</v>
      </c>
      <c r="K3470" s="1085"/>
      <c r="L3470" s="1085"/>
      <c r="M3470" s="1085"/>
      <c r="N3470" s="1085"/>
      <c r="O3470" s="1085"/>
    </row>
    <row r="3471" spans="1:15" ht="15" customHeight="1">
      <c r="A3471" s="1056" t="s">
        <v>2668</v>
      </c>
      <c r="B3471" s="1062" t="s">
        <v>2669</v>
      </c>
      <c r="C3471" s="1058" t="e">
        <f>VLOOKUP(B3465,'LƯƠNG KT'!$D$15:$R$94,20,0)</f>
        <v>#N/A</v>
      </c>
      <c r="D3471" s="1059" t="e">
        <f>+C3471*$L$9</f>
        <v>#N/A</v>
      </c>
      <c r="E3471" s="1061"/>
      <c r="F3471" s="1061"/>
      <c r="G3471" s="1056" t="s">
        <v>2668</v>
      </c>
      <c r="H3471" s="1062" t="s">
        <v>2669</v>
      </c>
      <c r="I3471" s="1058" t="e">
        <f>VLOOKUP(H3465,'LƯƠNG KT'!$D$15:$R$94,20,0)</f>
        <v>#N/A</v>
      </c>
      <c r="J3471" s="1059" t="e">
        <f>+I3471*$L$9</f>
        <v>#N/A</v>
      </c>
      <c r="K3471" s="1085"/>
      <c r="L3471" s="1085"/>
      <c r="M3471" s="1085"/>
      <c r="N3471" s="1085"/>
      <c r="O3471" s="1085"/>
    </row>
    <row r="3472" spans="1:15" ht="15" customHeight="1">
      <c r="A3472" s="1056" t="s">
        <v>2671</v>
      </c>
      <c r="B3472" s="1057" t="s">
        <v>2672</v>
      </c>
      <c r="C3472" s="1058" t="e">
        <f>VLOOKUP(B3465,'LƯƠNG KT'!$D$15:$R$94,17,0)</f>
        <v>#N/A</v>
      </c>
      <c r="D3472" s="1059" t="e">
        <f>+C3472*$L$10</f>
        <v>#N/A</v>
      </c>
      <c r="E3472" s="1061"/>
      <c r="F3472" s="1061"/>
      <c r="G3472" s="1056" t="s">
        <v>2671</v>
      </c>
      <c r="H3472" s="1057" t="s">
        <v>2672</v>
      </c>
      <c r="I3472" s="1058" t="e">
        <f>VLOOKUP(H3465,'LƯƠNG KT'!$D$15:$R$94,17,0)</f>
        <v>#N/A</v>
      </c>
      <c r="J3472" s="1059" t="e">
        <f>+I3472*$L$10</f>
        <v>#N/A</v>
      </c>
      <c r="K3472" s="1085"/>
      <c r="L3472" s="1085"/>
      <c r="M3472" s="1085"/>
      <c r="N3472" s="1085"/>
      <c r="O3472" s="1085"/>
    </row>
    <row r="3473" spans="1:15" ht="15" customHeight="1">
      <c r="A3473" s="1056" t="s">
        <v>2693</v>
      </c>
      <c r="B3473" s="1062" t="s">
        <v>2692</v>
      </c>
      <c r="C3473" s="1058" t="e">
        <f>VLOOKUP(B3465,'LƯƠNG KT'!$D$15:$R$94,21,0)</f>
        <v>#N/A</v>
      </c>
      <c r="D3473" s="1059" t="e">
        <f>+C3473*$L$7</f>
        <v>#N/A</v>
      </c>
      <c r="E3473" s="1061"/>
      <c r="F3473" s="1061"/>
      <c r="G3473" s="1056" t="s">
        <v>2693</v>
      </c>
      <c r="H3473" s="1062" t="s">
        <v>2692</v>
      </c>
      <c r="I3473" s="1058" t="e">
        <f>VLOOKUP(H3465,'LƯƠNG KT'!$D$15:$R$94,21,0)</f>
        <v>#N/A</v>
      </c>
      <c r="J3473" s="1059" t="e">
        <f>+I3473*$L$7</f>
        <v>#N/A</v>
      </c>
      <c r="K3473" s="1085"/>
      <c r="L3473" s="1085"/>
      <c r="M3473" s="1085"/>
      <c r="N3473" s="1085"/>
      <c r="O3473" s="1085"/>
    </row>
    <row r="3474" spans="1:15" ht="15" customHeight="1">
      <c r="A3474" s="1056" t="s">
        <v>2694</v>
      </c>
      <c r="B3474" s="1057" t="s">
        <v>2684</v>
      </c>
      <c r="C3474" s="1058" t="e">
        <f>VLOOKUP(B3465,'LƯƠNG KT'!$D$15:$R$94,23,0)</f>
        <v>#N/A</v>
      </c>
      <c r="D3474" s="1059" t="e">
        <f>+C3474*20000</f>
        <v>#N/A</v>
      </c>
      <c r="E3474" s="1063"/>
      <c r="F3474" s="1061"/>
      <c r="G3474" s="1056" t="s">
        <v>2694</v>
      </c>
      <c r="H3474" s="1057" t="s">
        <v>2684</v>
      </c>
      <c r="I3474" s="1058" t="e">
        <f>VLOOKUP(H3465,'LƯƠNG KT'!$D$15:$R$94,23,0)</f>
        <v>#N/A</v>
      </c>
      <c r="J3474" s="1059" t="e">
        <f>+I3474*20000</f>
        <v>#N/A</v>
      </c>
      <c r="K3474" s="1085"/>
      <c r="L3474" s="1085"/>
      <c r="M3474" s="1085"/>
      <c r="N3474" s="1085"/>
      <c r="O3474" s="1085"/>
    </row>
    <row r="3475" spans="1:15" ht="15" customHeight="1">
      <c r="A3475" s="1056" t="s">
        <v>374</v>
      </c>
      <c r="B3475" s="1057" t="s">
        <v>2674</v>
      </c>
      <c r="C3475" s="1058" t="e">
        <f>VLOOKUP(B3465,'LƯƠNG KT'!$D$15:$R$94,12,0)</f>
        <v>#N/A</v>
      </c>
      <c r="D3475" s="1059" t="e">
        <f>VLOOKUP(B3465,'LƯƠNG KT'!$D$15:$R$94,14,0)</f>
        <v>#N/A</v>
      </c>
      <c r="E3475" s="1065"/>
      <c r="F3475" s="1065"/>
      <c r="G3475" s="1056" t="s">
        <v>374</v>
      </c>
      <c r="H3475" s="1057" t="s">
        <v>2674</v>
      </c>
      <c r="I3475" s="1058" t="e">
        <f>VLOOKUP(H3465,'LƯƠNG KT'!$D$15:$R$94,12,0)</f>
        <v>#N/A</v>
      </c>
      <c r="J3475" s="1059" t="e">
        <f>VLOOKUP(H3465,'LƯƠNG KT'!$D$15:$R$94,14,0)</f>
        <v>#N/A</v>
      </c>
    </row>
    <row r="3476" spans="1:15" ht="15" customHeight="1">
      <c r="A3476" s="1056" t="s">
        <v>2675</v>
      </c>
      <c r="B3476" s="1057" t="s">
        <v>2676</v>
      </c>
      <c r="D3476" s="1064" t="e">
        <f>VLOOKUP(B3465,'LƯƠNG KT'!$D$15:$R$94,13,0)</f>
        <v>#N/A</v>
      </c>
      <c r="E3476" s="1063"/>
      <c r="F3476" s="1065"/>
      <c r="G3476" s="1056" t="s">
        <v>2675</v>
      </c>
      <c r="H3476" s="1057" t="s">
        <v>2676</v>
      </c>
      <c r="J3476" s="1064" t="e">
        <f>VLOOKUP(H3465,'LƯƠNG KT'!$D$15:$R$94,13,0)</f>
        <v>#N/A</v>
      </c>
    </row>
    <row r="3477" spans="1:15" ht="15" customHeight="1">
      <c r="A3477" s="1052"/>
      <c r="B3477" s="869"/>
      <c r="C3477" s="1058"/>
      <c r="D3477" s="1059"/>
      <c r="E3477" s="1067"/>
      <c r="F3477" s="1051"/>
      <c r="G3477" s="1052"/>
      <c r="H3477" s="869"/>
      <c r="I3477" s="1058"/>
      <c r="J3477" s="1059"/>
    </row>
    <row r="3478" spans="1:15" ht="15" customHeight="1">
      <c r="A3478" s="1068" t="s">
        <v>383</v>
      </c>
      <c r="B3478" s="1069" t="s">
        <v>384</v>
      </c>
      <c r="C3478" s="1070"/>
      <c r="D3478" s="1071" t="e">
        <f>SUM(D3466:D3475)</f>
        <v>#N/A</v>
      </c>
      <c r="E3478" s="1072"/>
      <c r="F3478" s="1073"/>
      <c r="G3478" s="1068" t="s">
        <v>383</v>
      </c>
      <c r="H3478" s="1069" t="s">
        <v>384</v>
      </c>
      <c r="I3478" s="1070"/>
      <c r="J3478" s="1071" t="e">
        <f>SUM(J3466:J3475)</f>
        <v>#N/A</v>
      </c>
    </row>
    <row r="3479" spans="1:15" ht="29.25" customHeight="1">
      <c r="A3479" s="1074"/>
      <c r="B3479" s="1075"/>
      <c r="C3479" s="1076"/>
      <c r="D3479" s="1077"/>
      <c r="E3479" s="1077"/>
      <c r="F3479" s="1078"/>
      <c r="G3479" s="1074"/>
      <c r="H3479" s="1075"/>
      <c r="I3479" s="1076"/>
      <c r="J3479" s="1077"/>
    </row>
    <row r="3480" spans="1:15" ht="29.25" customHeight="1">
      <c r="A3480" s="1075"/>
      <c r="B3480" s="1075"/>
      <c r="C3480" s="1079"/>
      <c r="D3480" s="1080"/>
      <c r="E3480" s="1075"/>
      <c r="F3480" s="1081"/>
      <c r="G3480" s="1075"/>
      <c r="H3480" s="1075"/>
      <c r="I3480" s="1079"/>
      <c r="J3480" s="1080"/>
    </row>
    <row r="3481" spans="1:15" ht="15" customHeight="1">
      <c r="A3481" s="2242" t="str">
        <f>$K$2</f>
        <v>THÁNG 04/2025</v>
      </c>
      <c r="B3481" s="2242"/>
      <c r="C3481" s="2242"/>
      <c r="D3481" s="2242"/>
      <c r="E3481" s="1050"/>
      <c r="F3481" s="1051"/>
      <c r="G3481" s="2242" t="str">
        <f>$K$2</f>
        <v>THÁNG 04/2025</v>
      </c>
      <c r="H3481" s="2242"/>
      <c r="I3481" s="2242"/>
      <c r="J3481" s="2242"/>
      <c r="K3481" s="624"/>
    </row>
    <row r="3482" spans="1:15" ht="15" customHeight="1">
      <c r="A3482" s="1052" t="s">
        <v>356</v>
      </c>
      <c r="B3482" s="1053" t="s">
        <v>328</v>
      </c>
      <c r="C3482" s="869"/>
      <c r="D3482" s="1049"/>
      <c r="E3482" s="1054"/>
      <c r="F3482" s="1055"/>
      <c r="G3482" s="1052" t="s">
        <v>356</v>
      </c>
      <c r="H3482" s="1053" t="s">
        <v>329</v>
      </c>
      <c r="I3482" s="869"/>
      <c r="J3482" s="1049"/>
      <c r="L3482" s="1088"/>
      <c r="M3482" s="1088"/>
      <c r="N3482" s="1088"/>
      <c r="O3482" s="1088"/>
    </row>
    <row r="3483" spans="1:15" ht="15" customHeight="1">
      <c r="A3483" s="1056" t="s">
        <v>359</v>
      </c>
      <c r="B3483" s="1057" t="s">
        <v>2662</v>
      </c>
      <c r="C3483" s="1058" t="e">
        <f>VLOOKUP(B3482,'LƯƠNG KT'!$D$15:$R$94,4,0)</f>
        <v>#N/A</v>
      </c>
      <c r="D3483" s="1059" t="e">
        <f>+C3483*25000</f>
        <v>#N/A</v>
      </c>
      <c r="E3483" s="1060"/>
      <c r="F3483" s="1060"/>
      <c r="G3483" s="1056" t="s">
        <v>359</v>
      </c>
      <c r="H3483" s="1057" t="s">
        <v>2662</v>
      </c>
      <c r="I3483" s="1058" t="e">
        <f>VLOOKUP(H3482,'LƯƠNG KT'!$D$15:$R$94,4,0)</f>
        <v>#N/A</v>
      </c>
      <c r="J3483" s="1059" t="e">
        <f>+I3483*25000</f>
        <v>#N/A</v>
      </c>
      <c r="K3483" s="1085"/>
      <c r="L3483" s="1085"/>
      <c r="M3483" s="1085"/>
      <c r="N3483" s="1085"/>
      <c r="O3483" s="1085"/>
    </row>
    <row r="3484" spans="1:15" ht="15" customHeight="1">
      <c r="A3484" s="1056" t="s">
        <v>361</v>
      </c>
      <c r="B3484" s="1057" t="s">
        <v>2663</v>
      </c>
      <c r="C3484" s="1058" t="e">
        <f>VLOOKUP(B3482,'LƯƠNG KT'!$D$15:$R$94,15,0)</f>
        <v>#N/A</v>
      </c>
      <c r="D3484" s="1059" t="e">
        <f>C3484*$L$4</f>
        <v>#N/A</v>
      </c>
      <c r="E3484" s="1061"/>
      <c r="F3484" s="1061"/>
      <c r="G3484" s="1056" t="s">
        <v>361</v>
      </c>
      <c r="H3484" s="1057" t="s">
        <v>2663</v>
      </c>
      <c r="I3484" s="1058" t="e">
        <f>VLOOKUP(H3482,'LƯƠNG KT'!$D$15:$R$94,15,0)</f>
        <v>#N/A</v>
      </c>
      <c r="J3484" s="1059" t="e">
        <f>I3484*$L$4</f>
        <v>#N/A</v>
      </c>
      <c r="K3484" s="1085"/>
      <c r="L3484" s="1085"/>
      <c r="M3484" s="1085"/>
      <c r="N3484" s="1085"/>
      <c r="O3484" s="1085"/>
    </row>
    <row r="3485" spans="1:15" ht="15" customHeight="1">
      <c r="A3485" s="1056" t="s">
        <v>364</v>
      </c>
      <c r="B3485" s="1057" t="s">
        <v>2664</v>
      </c>
      <c r="C3485" s="1058" t="e">
        <f>VLOOKUP(B3482,'LƯƠNG KT'!$D$15:$R$94,16,0)</f>
        <v>#N/A</v>
      </c>
      <c r="D3485" s="1059" t="e">
        <f>C3485*$L$5</f>
        <v>#N/A</v>
      </c>
      <c r="E3485" s="1061"/>
      <c r="F3485" s="1061"/>
      <c r="G3485" s="1056" t="s">
        <v>364</v>
      </c>
      <c r="H3485" s="1057" t="s">
        <v>2664</v>
      </c>
      <c r="I3485" s="1058" t="e">
        <f>VLOOKUP(H3482,'LƯƠNG KT'!$D$15:$R$94,16,0)</f>
        <v>#N/A</v>
      </c>
      <c r="J3485" s="1059" t="e">
        <f>I3485*$L$5</f>
        <v>#N/A</v>
      </c>
      <c r="K3485" s="1085"/>
      <c r="L3485" s="1085"/>
      <c r="M3485" s="1085"/>
      <c r="N3485" s="1085"/>
      <c r="O3485" s="1085"/>
    </row>
    <row r="3486" spans="1:15" ht="15" customHeight="1">
      <c r="A3486" s="1056" t="s">
        <v>370</v>
      </c>
      <c r="B3486" s="1057" t="s">
        <v>2665</v>
      </c>
      <c r="C3486" s="1058" t="e">
        <f>VLOOKUP(B3482,'LƯƠNG KT'!$D$15:$R$94,24,0)</f>
        <v>#N/A</v>
      </c>
      <c r="D3486" s="1059" t="e">
        <f>+C3486*$L$6</f>
        <v>#N/A</v>
      </c>
      <c r="E3486" s="1061"/>
      <c r="F3486" s="1061"/>
      <c r="G3486" s="1056" t="s">
        <v>370</v>
      </c>
      <c r="H3486" s="1057" t="s">
        <v>2665</v>
      </c>
      <c r="I3486" s="1058" t="e">
        <f>VLOOKUP(H3482,'LƯƠNG KT'!$D$15:$R$94,24,0)</f>
        <v>#N/A</v>
      </c>
      <c r="J3486" s="1059" t="e">
        <f>+I3486*$L$6</f>
        <v>#N/A</v>
      </c>
      <c r="K3486" s="1085"/>
      <c r="L3486" s="1085"/>
      <c r="M3486" s="1085"/>
      <c r="N3486" s="1085"/>
      <c r="O3486" s="1085"/>
    </row>
    <row r="3487" spans="1:15" ht="15" customHeight="1">
      <c r="A3487" s="1056" t="s">
        <v>2666</v>
      </c>
      <c r="B3487" s="1057" t="s">
        <v>2667</v>
      </c>
      <c r="C3487" s="1058" t="e">
        <f>VLOOKUP(B3482,'LƯƠNG KT'!$D$15:$R$94,19,0)</f>
        <v>#N/A</v>
      </c>
      <c r="D3487" s="1059" t="e">
        <f>+C3487*$L$8</f>
        <v>#N/A</v>
      </c>
      <c r="E3487" s="1061"/>
      <c r="F3487" s="1061"/>
      <c r="G3487" s="1056" t="s">
        <v>2666</v>
      </c>
      <c r="H3487" s="1057" t="s">
        <v>2667</v>
      </c>
      <c r="I3487" s="1058" t="e">
        <f>VLOOKUP(H3482,'LƯƠNG KT'!$D$15:$R$94,19,0)</f>
        <v>#N/A</v>
      </c>
      <c r="J3487" s="1059" t="e">
        <f>+I3487*$L$8</f>
        <v>#N/A</v>
      </c>
      <c r="K3487" s="1085"/>
      <c r="L3487" s="1085"/>
      <c r="M3487" s="1085"/>
      <c r="N3487" s="1085"/>
      <c r="O3487" s="1085"/>
    </row>
    <row r="3488" spans="1:15" ht="15" customHeight="1">
      <c r="A3488" s="1056" t="s">
        <v>2668</v>
      </c>
      <c r="B3488" s="1062" t="s">
        <v>2669</v>
      </c>
      <c r="C3488" s="1058" t="e">
        <f>VLOOKUP(B3482,'LƯƠNG KT'!$D$15:$R$94,20,0)</f>
        <v>#N/A</v>
      </c>
      <c r="D3488" s="1059" t="e">
        <f>+C3488*$L$9</f>
        <v>#N/A</v>
      </c>
      <c r="E3488" s="1061"/>
      <c r="F3488" s="1061"/>
      <c r="G3488" s="1056" t="s">
        <v>2668</v>
      </c>
      <c r="H3488" s="1062" t="s">
        <v>2669</v>
      </c>
      <c r="I3488" s="1058" t="e">
        <f>VLOOKUP(H3482,'LƯƠNG KT'!$D$15:$R$94,20,0)</f>
        <v>#N/A</v>
      </c>
      <c r="J3488" s="1059" t="e">
        <f>+I3488*$L$9</f>
        <v>#N/A</v>
      </c>
      <c r="K3488" s="1085"/>
      <c r="L3488" s="1085"/>
      <c r="M3488" s="1085"/>
      <c r="N3488" s="1085"/>
      <c r="O3488" s="1085"/>
    </row>
    <row r="3489" spans="1:15" ht="15" customHeight="1">
      <c r="A3489" s="1056" t="s">
        <v>2671</v>
      </c>
      <c r="B3489" s="1057" t="s">
        <v>2672</v>
      </c>
      <c r="C3489" s="1058" t="e">
        <f>VLOOKUP(B3482,'LƯƠNG KT'!$D$15:$R$94,17,0)</f>
        <v>#N/A</v>
      </c>
      <c r="D3489" s="1059" t="e">
        <f>+C3489*$L$10</f>
        <v>#N/A</v>
      </c>
      <c r="E3489" s="1061"/>
      <c r="F3489" s="1061"/>
      <c r="G3489" s="1056" t="s">
        <v>2671</v>
      </c>
      <c r="H3489" s="1057" t="s">
        <v>2672</v>
      </c>
      <c r="I3489" s="1058" t="e">
        <f>VLOOKUP(H3482,'LƯƠNG KT'!$D$15:$R$94,17,0)</f>
        <v>#N/A</v>
      </c>
      <c r="J3489" s="1059" t="e">
        <f>+I3489*$L$10</f>
        <v>#N/A</v>
      </c>
      <c r="K3489" s="1085"/>
      <c r="L3489" s="1085"/>
      <c r="M3489" s="1085"/>
      <c r="N3489" s="1085"/>
      <c r="O3489" s="1085"/>
    </row>
    <row r="3490" spans="1:15" ht="15" customHeight="1">
      <c r="A3490" s="1056" t="s">
        <v>2693</v>
      </c>
      <c r="B3490" s="1062" t="s">
        <v>2692</v>
      </c>
      <c r="C3490" s="1058" t="e">
        <f>VLOOKUP(B3482,'LƯƠNG KT'!$D$15:$R$94,21,0)</f>
        <v>#N/A</v>
      </c>
      <c r="D3490" s="1059" t="e">
        <f>+C3490*$L$7</f>
        <v>#N/A</v>
      </c>
      <c r="E3490" s="1061"/>
      <c r="F3490" s="1061"/>
      <c r="G3490" s="1056" t="s">
        <v>2693</v>
      </c>
      <c r="H3490" s="1062" t="s">
        <v>2692</v>
      </c>
      <c r="I3490" s="1058" t="e">
        <f>VLOOKUP(H3482,'LƯƠNG KT'!$D$15:$R$94,21,0)</f>
        <v>#N/A</v>
      </c>
      <c r="J3490" s="1059" t="e">
        <f>+I3490*$L$7</f>
        <v>#N/A</v>
      </c>
      <c r="K3490" s="1085"/>
      <c r="L3490" s="1085"/>
      <c r="M3490" s="1085"/>
      <c r="N3490" s="1085"/>
      <c r="O3490" s="1085"/>
    </row>
    <row r="3491" spans="1:15" ht="15" customHeight="1">
      <c r="A3491" s="1056" t="s">
        <v>2694</v>
      </c>
      <c r="B3491" s="1057" t="s">
        <v>2684</v>
      </c>
      <c r="C3491" s="1058" t="e">
        <f>VLOOKUP(B3482,'LƯƠNG KT'!$D$15:$R$94,23,0)</f>
        <v>#N/A</v>
      </c>
      <c r="D3491" s="1059" t="e">
        <f>+C3491*20000</f>
        <v>#N/A</v>
      </c>
      <c r="E3491" s="1063"/>
      <c r="F3491" s="1061"/>
      <c r="G3491" s="1056" t="s">
        <v>2694</v>
      </c>
      <c r="H3491" s="1057" t="s">
        <v>2684</v>
      </c>
      <c r="I3491" s="1058" t="e">
        <f>VLOOKUP(H3482,'LƯƠNG KT'!$D$15:$R$94,23,0)</f>
        <v>#N/A</v>
      </c>
      <c r="J3491" s="1059" t="e">
        <f>+I3491*20000</f>
        <v>#N/A</v>
      </c>
      <c r="K3491" s="1085"/>
      <c r="L3491" s="1085"/>
      <c r="M3491" s="1085"/>
      <c r="N3491" s="1085"/>
      <c r="O3491" s="1085"/>
    </row>
    <row r="3492" spans="1:15" ht="15" customHeight="1">
      <c r="A3492" s="1056" t="s">
        <v>374</v>
      </c>
      <c r="B3492" s="1057" t="s">
        <v>2674</v>
      </c>
      <c r="C3492" s="1058" t="e">
        <f>VLOOKUP(B3482,'LƯƠNG KT'!$D$15:$R$94,12,0)</f>
        <v>#N/A</v>
      </c>
      <c r="D3492" s="1059" t="e">
        <f>VLOOKUP(B3482,'LƯƠNG KT'!$D$15:$R$94,14,0)</f>
        <v>#N/A</v>
      </c>
      <c r="E3492" s="1065"/>
      <c r="F3492" s="1065"/>
      <c r="G3492" s="1056" t="s">
        <v>374</v>
      </c>
      <c r="H3492" s="1057" t="s">
        <v>2674</v>
      </c>
      <c r="I3492" s="1058" t="e">
        <f>VLOOKUP(H3482,'LƯƠNG KT'!$D$15:$R$94,12,0)</f>
        <v>#N/A</v>
      </c>
      <c r="J3492" s="1059" t="e">
        <f>VLOOKUP(H3482,'LƯƠNG KT'!$D$15:$R$94,14,0)</f>
        <v>#N/A</v>
      </c>
    </row>
    <row r="3493" spans="1:15" ht="15" customHeight="1">
      <c r="A3493" s="1056" t="s">
        <v>2675</v>
      </c>
      <c r="B3493" s="1057" t="s">
        <v>2676</v>
      </c>
      <c r="D3493" s="1064" t="e">
        <f>VLOOKUP(B3482,'LƯƠNG KT'!$D$15:$R$94,13,0)</f>
        <v>#N/A</v>
      </c>
      <c r="E3493" s="1063"/>
      <c r="F3493" s="1065"/>
      <c r="G3493" s="1056" t="s">
        <v>2675</v>
      </c>
      <c r="H3493" s="1057" t="s">
        <v>2676</v>
      </c>
      <c r="J3493" s="1064" t="e">
        <f>VLOOKUP(H3482,'LƯƠNG KT'!$D$15:$R$94,13,0)</f>
        <v>#N/A</v>
      </c>
    </row>
    <row r="3494" spans="1:15" ht="15" customHeight="1">
      <c r="A3494" s="1052"/>
      <c r="B3494" s="869"/>
      <c r="C3494" s="1058"/>
      <c r="D3494" s="1059"/>
      <c r="E3494" s="1067"/>
      <c r="F3494" s="1051"/>
      <c r="G3494" s="1052"/>
      <c r="H3494" s="869"/>
      <c r="I3494" s="1058"/>
      <c r="J3494" s="1059"/>
    </row>
    <row r="3495" spans="1:15" ht="15" customHeight="1">
      <c r="A3495" s="1068" t="s">
        <v>383</v>
      </c>
      <c r="B3495" s="1069" t="s">
        <v>384</v>
      </c>
      <c r="C3495" s="1070"/>
      <c r="D3495" s="1071" t="e">
        <f>SUM(D3483:D3492)</f>
        <v>#N/A</v>
      </c>
      <c r="E3495" s="1072"/>
      <c r="F3495" s="1073"/>
      <c r="G3495" s="1068" t="s">
        <v>383</v>
      </c>
      <c r="H3495" s="1069" t="s">
        <v>384</v>
      </c>
      <c r="I3495" s="1070"/>
      <c r="J3495" s="1071" t="e">
        <f>SUM(J3483:J3492)</f>
        <v>#N/A</v>
      </c>
    </row>
    <row r="3496" spans="1:15" ht="23.25" customHeight="1">
      <c r="A3496" s="1074"/>
      <c r="B3496" s="1075"/>
      <c r="C3496" s="1076"/>
      <c r="D3496" s="1077"/>
      <c r="E3496" s="1077"/>
      <c r="F3496" s="1078"/>
      <c r="G3496" s="1074"/>
      <c r="H3496" s="1075"/>
      <c r="I3496" s="1076"/>
      <c r="J3496" s="1077"/>
    </row>
    <row r="3497" spans="1:15" ht="23.25" customHeight="1">
      <c r="A3497" s="1075"/>
      <c r="B3497" s="1075"/>
      <c r="C3497" s="1079"/>
      <c r="D3497" s="1080"/>
      <c r="E3497" s="1075"/>
      <c r="F3497" s="1081"/>
      <c r="G3497" s="1075"/>
      <c r="H3497" s="1075"/>
      <c r="I3497" s="1079"/>
      <c r="J3497" s="1080"/>
    </row>
    <row r="3498" spans="1:15" ht="15" customHeight="1">
      <c r="A3498" s="2242" t="str">
        <f>$K$2</f>
        <v>THÁNG 04/2025</v>
      </c>
      <c r="B3498" s="2242"/>
      <c r="C3498" s="2242"/>
      <c r="D3498" s="2242"/>
      <c r="E3498" s="1050"/>
      <c r="F3498" s="1051"/>
      <c r="G3498" s="2242" t="str">
        <f>$K$2</f>
        <v>THÁNG 04/2025</v>
      </c>
      <c r="H3498" s="2242"/>
      <c r="I3498" s="2242"/>
      <c r="J3498" s="2242"/>
      <c r="K3498" s="624"/>
    </row>
    <row r="3499" spans="1:15" ht="15" customHeight="1">
      <c r="A3499" s="1052" t="s">
        <v>356</v>
      </c>
      <c r="B3499" s="1053" t="s">
        <v>286</v>
      </c>
      <c r="C3499" s="869"/>
      <c r="D3499" s="1049"/>
      <c r="E3499" s="1054"/>
      <c r="F3499" s="1055"/>
      <c r="G3499" s="1052" t="s">
        <v>356</v>
      </c>
      <c r="H3499" s="1053" t="s">
        <v>287</v>
      </c>
      <c r="I3499" s="869"/>
      <c r="J3499" s="1049"/>
      <c r="L3499" s="1088"/>
      <c r="M3499" s="1088"/>
      <c r="N3499" s="1088"/>
      <c r="O3499" s="1088"/>
    </row>
    <row r="3500" spans="1:15" ht="15" customHeight="1">
      <c r="A3500" s="1056" t="s">
        <v>359</v>
      </c>
      <c r="B3500" s="1057" t="s">
        <v>2662</v>
      </c>
      <c r="C3500" s="1058" t="e">
        <f>VLOOKUP(B3499,'LƯƠNG KT'!$D$15:$R$94,4,0)</f>
        <v>#N/A</v>
      </c>
      <c r="D3500" s="1059" t="e">
        <f>+C3500*25000</f>
        <v>#N/A</v>
      </c>
      <c r="E3500" s="1060"/>
      <c r="F3500" s="1060"/>
      <c r="G3500" s="1056" t="s">
        <v>359</v>
      </c>
      <c r="H3500" s="1057" t="s">
        <v>2662</v>
      </c>
      <c r="I3500" s="1058" t="e">
        <f>VLOOKUP(H3499,'LƯƠNG KT'!$D$15:$R$94,4,0)</f>
        <v>#N/A</v>
      </c>
      <c r="J3500" s="1059" t="e">
        <f>+I3500*25000</f>
        <v>#N/A</v>
      </c>
      <c r="K3500" s="1085"/>
      <c r="L3500" s="1085"/>
      <c r="M3500" s="1085"/>
      <c r="N3500" s="1085"/>
      <c r="O3500" s="1085"/>
    </row>
    <row r="3501" spans="1:15" ht="15" customHeight="1">
      <c r="A3501" s="1056" t="s">
        <v>361</v>
      </c>
      <c r="B3501" s="1057" t="s">
        <v>2663</v>
      </c>
      <c r="C3501" s="1058" t="e">
        <f>VLOOKUP(B3499,'LƯƠNG KT'!$D$15:$R$94,15,0)</f>
        <v>#N/A</v>
      </c>
      <c r="D3501" s="1059" t="e">
        <f>C3501*$L$4</f>
        <v>#N/A</v>
      </c>
      <c r="E3501" s="1061"/>
      <c r="F3501" s="1061"/>
      <c r="G3501" s="1056" t="s">
        <v>361</v>
      </c>
      <c r="H3501" s="1057" t="s">
        <v>2663</v>
      </c>
      <c r="I3501" s="1058" t="e">
        <f>VLOOKUP(H3499,'LƯƠNG KT'!$D$15:$R$94,15,0)</f>
        <v>#N/A</v>
      </c>
      <c r="J3501" s="1059" t="e">
        <f>I3501*$L$4</f>
        <v>#N/A</v>
      </c>
      <c r="K3501" s="1085"/>
      <c r="L3501" s="1085"/>
      <c r="M3501" s="1085"/>
      <c r="N3501" s="1085"/>
      <c r="O3501" s="1085"/>
    </row>
    <row r="3502" spans="1:15" ht="15" customHeight="1">
      <c r="A3502" s="1056" t="s">
        <v>364</v>
      </c>
      <c r="B3502" s="1057" t="s">
        <v>2664</v>
      </c>
      <c r="C3502" s="1058" t="e">
        <f>VLOOKUP(B3499,'LƯƠNG KT'!$D$15:$R$94,16,0)</f>
        <v>#N/A</v>
      </c>
      <c r="D3502" s="1059" t="e">
        <f>C3502*$L$5</f>
        <v>#N/A</v>
      </c>
      <c r="E3502" s="1061"/>
      <c r="F3502" s="1061"/>
      <c r="G3502" s="1056" t="s">
        <v>364</v>
      </c>
      <c r="H3502" s="1057" t="s">
        <v>2664</v>
      </c>
      <c r="I3502" s="1058" t="e">
        <f>VLOOKUP(H3499,'LƯƠNG KT'!$D$15:$R$94,16,0)</f>
        <v>#N/A</v>
      </c>
      <c r="J3502" s="1059" t="e">
        <f>I3502*$L$5</f>
        <v>#N/A</v>
      </c>
      <c r="K3502" s="1085"/>
      <c r="L3502" s="1085"/>
      <c r="M3502" s="1085"/>
      <c r="N3502" s="1085"/>
      <c r="O3502" s="1085"/>
    </row>
    <row r="3503" spans="1:15" ht="15" customHeight="1">
      <c r="A3503" s="1056" t="s">
        <v>370</v>
      </c>
      <c r="B3503" s="1057" t="s">
        <v>2665</v>
      </c>
      <c r="C3503" s="1058" t="e">
        <f>VLOOKUP(B3499,'LƯƠNG KT'!$D$15:$R$94,24,0)</f>
        <v>#N/A</v>
      </c>
      <c r="D3503" s="1059" t="e">
        <f>+C3503*$L$6</f>
        <v>#N/A</v>
      </c>
      <c r="E3503" s="1061"/>
      <c r="F3503" s="1061"/>
      <c r="G3503" s="1056" t="s">
        <v>370</v>
      </c>
      <c r="H3503" s="1057" t="s">
        <v>2665</v>
      </c>
      <c r="I3503" s="1058" t="e">
        <f>VLOOKUP(H3499,'LƯƠNG KT'!$D$15:$R$94,24,0)</f>
        <v>#N/A</v>
      </c>
      <c r="J3503" s="1059" t="e">
        <f>+I3503*$L$6</f>
        <v>#N/A</v>
      </c>
      <c r="K3503" s="1085"/>
      <c r="L3503" s="1085"/>
      <c r="M3503" s="1085"/>
      <c r="N3503" s="1085"/>
      <c r="O3503" s="1085"/>
    </row>
    <row r="3504" spans="1:15" ht="15" customHeight="1">
      <c r="A3504" s="1056" t="s">
        <v>2666</v>
      </c>
      <c r="B3504" s="1057" t="s">
        <v>2667</v>
      </c>
      <c r="C3504" s="1058" t="e">
        <f>VLOOKUP(B3499,'LƯƠNG KT'!$D$15:$R$94,19,0)</f>
        <v>#N/A</v>
      </c>
      <c r="D3504" s="1059" t="e">
        <f>+C3504*$L$8</f>
        <v>#N/A</v>
      </c>
      <c r="E3504" s="1061"/>
      <c r="F3504" s="1061"/>
      <c r="G3504" s="1056" t="s">
        <v>2666</v>
      </c>
      <c r="H3504" s="1057" t="s">
        <v>2667</v>
      </c>
      <c r="I3504" s="1058" t="e">
        <f>VLOOKUP(H3499,'LƯƠNG KT'!$D$15:$R$94,19,0)</f>
        <v>#N/A</v>
      </c>
      <c r="J3504" s="1059" t="e">
        <f>+I3504*$L$8</f>
        <v>#N/A</v>
      </c>
      <c r="K3504" s="1085"/>
      <c r="L3504" s="1085"/>
      <c r="M3504" s="1085"/>
      <c r="N3504" s="1085"/>
      <c r="O3504" s="1085"/>
    </row>
    <row r="3505" spans="1:15" ht="15" customHeight="1">
      <c r="A3505" s="1056" t="s">
        <v>2668</v>
      </c>
      <c r="B3505" s="1062" t="s">
        <v>2669</v>
      </c>
      <c r="C3505" s="1058" t="e">
        <f>VLOOKUP(B3499,'LƯƠNG KT'!$D$15:$R$94,20,0)</f>
        <v>#N/A</v>
      </c>
      <c r="D3505" s="1059" t="e">
        <f>+C3505*$L$9</f>
        <v>#N/A</v>
      </c>
      <c r="E3505" s="1061"/>
      <c r="F3505" s="1061"/>
      <c r="G3505" s="1056" t="s">
        <v>2668</v>
      </c>
      <c r="H3505" s="1062" t="s">
        <v>2669</v>
      </c>
      <c r="I3505" s="1058" t="e">
        <f>VLOOKUP(H3499,'LƯƠNG KT'!$D$15:$R$94,20,0)</f>
        <v>#N/A</v>
      </c>
      <c r="J3505" s="1059" t="e">
        <f>+I3505*$L$9</f>
        <v>#N/A</v>
      </c>
      <c r="K3505" s="1085"/>
      <c r="L3505" s="1085"/>
      <c r="M3505" s="1085"/>
      <c r="N3505" s="1085"/>
      <c r="O3505" s="1085"/>
    </row>
    <row r="3506" spans="1:15" ht="15" customHeight="1">
      <c r="A3506" s="1056" t="s">
        <v>2671</v>
      </c>
      <c r="B3506" s="1057" t="s">
        <v>2672</v>
      </c>
      <c r="C3506" s="1058" t="e">
        <f>VLOOKUP(B3499,'LƯƠNG KT'!$D$15:$R$94,17,0)</f>
        <v>#N/A</v>
      </c>
      <c r="D3506" s="1059" t="e">
        <f>+C3506*$L$10</f>
        <v>#N/A</v>
      </c>
      <c r="E3506" s="1061"/>
      <c r="F3506" s="1061"/>
      <c r="G3506" s="1056" t="s">
        <v>2671</v>
      </c>
      <c r="H3506" s="1057" t="s">
        <v>2672</v>
      </c>
      <c r="I3506" s="1058" t="e">
        <f>VLOOKUP(H3499,'LƯƠNG KT'!$D$15:$R$94,17,0)</f>
        <v>#N/A</v>
      </c>
      <c r="J3506" s="1059" t="e">
        <f>+I3506*$L$10</f>
        <v>#N/A</v>
      </c>
      <c r="K3506" s="1085"/>
      <c r="L3506" s="1085"/>
      <c r="M3506" s="1085"/>
      <c r="N3506" s="1085"/>
      <c r="O3506" s="1085"/>
    </row>
    <row r="3507" spans="1:15" ht="15" customHeight="1">
      <c r="A3507" s="1056" t="s">
        <v>2693</v>
      </c>
      <c r="B3507" s="1062" t="s">
        <v>2692</v>
      </c>
      <c r="C3507" s="1058" t="e">
        <f>VLOOKUP(B3499,'LƯƠNG KT'!$D$15:$R$94,21,0)</f>
        <v>#N/A</v>
      </c>
      <c r="D3507" s="1059" t="e">
        <f>+C3507*$L$7</f>
        <v>#N/A</v>
      </c>
      <c r="E3507" s="1061"/>
      <c r="F3507" s="1061"/>
      <c r="G3507" s="1056" t="s">
        <v>2693</v>
      </c>
      <c r="H3507" s="1062" t="s">
        <v>2692</v>
      </c>
      <c r="I3507" s="1058" t="e">
        <f>VLOOKUP(H3499,'LƯƠNG KT'!$D$15:$R$94,21,0)</f>
        <v>#N/A</v>
      </c>
      <c r="J3507" s="1059" t="e">
        <f>+I3507*$L$7</f>
        <v>#N/A</v>
      </c>
      <c r="K3507" s="1085"/>
      <c r="L3507" s="1085"/>
      <c r="M3507" s="1085"/>
      <c r="N3507" s="1085"/>
      <c r="O3507" s="1085"/>
    </row>
    <row r="3508" spans="1:15" ht="15" customHeight="1">
      <c r="A3508" s="1056" t="s">
        <v>2694</v>
      </c>
      <c r="B3508" s="1057" t="s">
        <v>2684</v>
      </c>
      <c r="C3508" s="1058" t="e">
        <f>VLOOKUP(B3499,'LƯƠNG KT'!$D$15:$R$94,23,0)</f>
        <v>#N/A</v>
      </c>
      <c r="D3508" s="1059" t="e">
        <f>+C3508*20000</f>
        <v>#N/A</v>
      </c>
      <c r="E3508" s="1063"/>
      <c r="F3508" s="1061"/>
      <c r="G3508" s="1056" t="s">
        <v>2694</v>
      </c>
      <c r="H3508" s="1057" t="s">
        <v>2684</v>
      </c>
      <c r="I3508" s="1058" t="e">
        <f>VLOOKUP(H3499,'LƯƠNG KT'!$D$15:$R$94,23,0)</f>
        <v>#N/A</v>
      </c>
      <c r="J3508" s="1059" t="e">
        <f>+I3508*20000</f>
        <v>#N/A</v>
      </c>
      <c r="K3508" s="1085"/>
      <c r="L3508" s="1085"/>
      <c r="M3508" s="1085"/>
      <c r="N3508" s="1085"/>
      <c r="O3508" s="1085"/>
    </row>
    <row r="3509" spans="1:15" ht="15" customHeight="1">
      <c r="A3509" s="1056" t="s">
        <v>374</v>
      </c>
      <c r="B3509" s="1057" t="s">
        <v>2674</v>
      </c>
      <c r="C3509" s="1058" t="e">
        <f>VLOOKUP(B3499,'LƯƠNG KT'!$D$15:$R$94,12,0)</f>
        <v>#N/A</v>
      </c>
      <c r="D3509" s="1059" t="e">
        <f>VLOOKUP(B3499,'LƯƠNG KT'!$D$15:$R$94,14,0)</f>
        <v>#N/A</v>
      </c>
      <c r="E3509" s="1065"/>
      <c r="F3509" s="1065"/>
      <c r="G3509" s="1056" t="s">
        <v>374</v>
      </c>
      <c r="H3509" s="1057" t="s">
        <v>2674</v>
      </c>
      <c r="I3509" s="1058" t="e">
        <f>VLOOKUP(H3499,'LƯƠNG KT'!$D$15:$R$94,12,0)</f>
        <v>#N/A</v>
      </c>
      <c r="J3509" s="1059" t="e">
        <f>VLOOKUP(H3499,'LƯƠNG KT'!$D$15:$R$94,14,0)</f>
        <v>#N/A</v>
      </c>
    </row>
    <row r="3510" spans="1:15" ht="15" customHeight="1">
      <c r="A3510" s="1056" t="s">
        <v>2675</v>
      </c>
      <c r="B3510" s="1057" t="s">
        <v>2676</v>
      </c>
      <c r="D3510" s="1064" t="e">
        <f>VLOOKUP(B3499,'LƯƠNG KT'!$D$15:$R$94,13,0)</f>
        <v>#N/A</v>
      </c>
      <c r="E3510" s="1063"/>
      <c r="F3510" s="1065"/>
      <c r="G3510" s="1056" t="s">
        <v>2675</v>
      </c>
      <c r="H3510" s="1057" t="s">
        <v>2676</v>
      </c>
      <c r="J3510" s="1064" t="e">
        <f>VLOOKUP(H3499,'LƯƠNG KT'!$D$15:$R$94,13,0)</f>
        <v>#N/A</v>
      </c>
    </row>
    <row r="3511" spans="1:15" ht="15" customHeight="1">
      <c r="A3511" s="1052"/>
      <c r="B3511" s="869"/>
      <c r="C3511" s="1058"/>
      <c r="D3511" s="1059"/>
      <c r="E3511" s="1067"/>
      <c r="F3511" s="1051"/>
      <c r="G3511" s="1052"/>
      <c r="H3511" s="869"/>
      <c r="I3511" s="1058"/>
      <c r="J3511" s="1059"/>
    </row>
    <row r="3512" spans="1:15" ht="15" customHeight="1">
      <c r="A3512" s="1068" t="s">
        <v>383</v>
      </c>
      <c r="B3512" s="1069" t="s">
        <v>384</v>
      </c>
      <c r="C3512" s="1070"/>
      <c r="D3512" s="1071" t="e">
        <f>SUM(D3500:D3509)</f>
        <v>#N/A</v>
      </c>
      <c r="E3512" s="1072"/>
      <c r="F3512" s="1073"/>
      <c r="G3512" s="1068" t="s">
        <v>383</v>
      </c>
      <c r="H3512" s="1069" t="s">
        <v>384</v>
      </c>
      <c r="I3512" s="1070"/>
      <c r="J3512" s="1071" t="e">
        <f>SUM(J3500:J3509)</f>
        <v>#N/A</v>
      </c>
    </row>
    <row r="3513" spans="1:15" ht="15.75" customHeight="1">
      <c r="A3513" s="1074"/>
      <c r="B3513" s="1075"/>
      <c r="C3513" s="1076"/>
      <c r="D3513" s="1077"/>
      <c r="E3513" s="1077"/>
      <c r="F3513" s="1078"/>
      <c r="G3513" s="1074"/>
      <c r="H3513" s="1075"/>
      <c r="I3513" s="1076"/>
      <c r="J3513" s="1077"/>
    </row>
    <row r="3515" spans="1:15" ht="76.5" customHeight="1">
      <c r="A3515" s="2243"/>
      <c r="B3515" s="2243"/>
      <c r="C3515" s="2243"/>
      <c r="D3515" s="2243"/>
      <c r="E3515" s="2243"/>
      <c r="F3515" s="2243"/>
      <c r="G3515" s="2243"/>
      <c r="H3515" s="2243"/>
      <c r="I3515" s="2243"/>
      <c r="J3515" s="2243"/>
    </row>
    <row r="3516" spans="1:15" ht="15" customHeight="1">
      <c r="A3516" s="2242" t="str">
        <f>$K$2</f>
        <v>THÁNG 04/2025</v>
      </c>
      <c r="B3516" s="2242"/>
      <c r="C3516" s="2242"/>
      <c r="D3516" s="2242"/>
      <c r="E3516" s="1050"/>
      <c r="F3516" s="1051"/>
      <c r="G3516" s="2242" t="str">
        <f>$K$2</f>
        <v>THÁNG 04/2025</v>
      </c>
      <c r="H3516" s="2242"/>
      <c r="I3516" s="2242"/>
      <c r="J3516" s="2242"/>
      <c r="K3516" s="624"/>
    </row>
    <row r="3517" spans="1:15" ht="15" customHeight="1">
      <c r="A3517" s="1052" t="s">
        <v>356</v>
      </c>
      <c r="B3517" s="1053" t="s">
        <v>288</v>
      </c>
      <c r="C3517" s="869"/>
      <c r="D3517" s="1049"/>
      <c r="E3517" s="1054"/>
      <c r="F3517" s="1055"/>
      <c r="G3517" s="1052" t="s">
        <v>356</v>
      </c>
      <c r="H3517" s="1053" t="s">
        <v>289</v>
      </c>
      <c r="I3517" s="869"/>
      <c r="J3517" s="1049"/>
      <c r="L3517" s="1088"/>
      <c r="M3517" s="1088"/>
      <c r="N3517" s="1088"/>
      <c r="O3517" s="1088"/>
    </row>
    <row r="3518" spans="1:15" ht="15" customHeight="1">
      <c r="A3518" s="1056" t="s">
        <v>359</v>
      </c>
      <c r="B3518" s="1057" t="s">
        <v>2662</v>
      </c>
      <c r="C3518" s="1058" t="e">
        <f>VLOOKUP(B3517,'LƯƠNG KT'!$D$15:$R$94,4,0)</f>
        <v>#N/A</v>
      </c>
      <c r="D3518" s="1059" t="e">
        <f>+C3518*25000</f>
        <v>#N/A</v>
      </c>
      <c r="E3518" s="1060"/>
      <c r="F3518" s="1060"/>
      <c r="G3518" s="1056" t="s">
        <v>359</v>
      </c>
      <c r="H3518" s="1057" t="s">
        <v>2662</v>
      </c>
      <c r="I3518" s="1058" t="e">
        <f>VLOOKUP(H3517,'LƯƠNG KT'!$D$15:$R$94,4,0)</f>
        <v>#N/A</v>
      </c>
      <c r="J3518" s="1059" t="e">
        <f>+I3518*25000</f>
        <v>#N/A</v>
      </c>
      <c r="K3518" s="1084"/>
      <c r="L3518" s="1085"/>
      <c r="M3518" s="1085"/>
      <c r="N3518" s="1085"/>
      <c r="O3518" s="1085"/>
    </row>
    <row r="3519" spans="1:15" ht="15" customHeight="1">
      <c r="A3519" s="1056" t="s">
        <v>361</v>
      </c>
      <c r="B3519" s="1057" t="s">
        <v>2663</v>
      </c>
      <c r="C3519" s="1058" t="e">
        <f>VLOOKUP(B3517,'LƯƠNG KT'!$D$15:$R$94,15,0)</f>
        <v>#N/A</v>
      </c>
      <c r="D3519" s="1059" t="e">
        <f>C3519*$L$4</f>
        <v>#N/A</v>
      </c>
      <c r="E3519" s="1061"/>
      <c r="F3519" s="1061"/>
      <c r="G3519" s="1056" t="s">
        <v>361</v>
      </c>
      <c r="H3519" s="1057" t="s">
        <v>2663</v>
      </c>
      <c r="I3519" s="1058" t="e">
        <f>VLOOKUP(H3517,'LƯƠNG KT'!$D$15:$R$94,15,0)</f>
        <v>#N/A</v>
      </c>
      <c r="J3519" s="1059" t="e">
        <f>I3519*$L$4</f>
        <v>#N/A</v>
      </c>
      <c r="K3519" s="1084"/>
      <c r="L3519" s="1085"/>
      <c r="M3519" s="1085"/>
      <c r="N3519" s="1085"/>
      <c r="O3519" s="1085"/>
    </row>
    <row r="3520" spans="1:15" ht="15" customHeight="1">
      <c r="A3520" s="1056" t="s">
        <v>364</v>
      </c>
      <c r="B3520" s="1057" t="s">
        <v>2664</v>
      </c>
      <c r="C3520" s="1058" t="e">
        <f>VLOOKUP(B3517,'LƯƠNG KT'!$D$15:$R$94,16,0)</f>
        <v>#N/A</v>
      </c>
      <c r="D3520" s="1059" t="e">
        <f>C3520*$L$5</f>
        <v>#N/A</v>
      </c>
      <c r="E3520" s="1061"/>
      <c r="F3520" s="1061"/>
      <c r="G3520" s="1056" t="s">
        <v>364</v>
      </c>
      <c r="H3520" s="1057" t="s">
        <v>2664</v>
      </c>
      <c r="I3520" s="1058" t="e">
        <f>VLOOKUP(H3517,'LƯƠNG KT'!$D$15:$R$94,16,0)</f>
        <v>#N/A</v>
      </c>
      <c r="J3520" s="1059" t="e">
        <f>I3520*$L$5</f>
        <v>#N/A</v>
      </c>
      <c r="K3520" s="1084"/>
      <c r="L3520" s="1085"/>
      <c r="M3520" s="1085"/>
      <c r="N3520" s="1085"/>
      <c r="O3520" s="1085"/>
    </row>
    <row r="3521" spans="1:15" ht="15" customHeight="1">
      <c r="A3521" s="1056" t="s">
        <v>370</v>
      </c>
      <c r="B3521" s="1057" t="s">
        <v>2665</v>
      </c>
      <c r="C3521" s="1058" t="e">
        <f>VLOOKUP(B3517,'LƯƠNG KT'!$D$15:$R$94,24,0)</f>
        <v>#N/A</v>
      </c>
      <c r="D3521" s="1059" t="e">
        <f>+C3521*$L$6</f>
        <v>#N/A</v>
      </c>
      <c r="E3521" s="1061"/>
      <c r="F3521" s="1061"/>
      <c r="G3521" s="1056" t="s">
        <v>370</v>
      </c>
      <c r="H3521" s="1057" t="s">
        <v>2665</v>
      </c>
      <c r="I3521" s="1058" t="e">
        <f>VLOOKUP(H3517,'LƯƠNG KT'!$D$15:$R$94,24,0)</f>
        <v>#N/A</v>
      </c>
      <c r="J3521" s="1059" t="e">
        <f>+I3521*$L$6</f>
        <v>#N/A</v>
      </c>
      <c r="K3521" s="1085"/>
      <c r="L3521" s="1085"/>
      <c r="M3521" s="1085"/>
      <c r="N3521" s="1085"/>
      <c r="O3521" s="1085"/>
    </row>
    <row r="3522" spans="1:15" ht="15" customHeight="1">
      <c r="A3522" s="1056" t="s">
        <v>2666</v>
      </c>
      <c r="B3522" s="1057" t="s">
        <v>2667</v>
      </c>
      <c r="C3522" s="1058" t="e">
        <f>VLOOKUP(B3517,'LƯƠNG KT'!$D$15:$R$94,19,0)</f>
        <v>#N/A</v>
      </c>
      <c r="D3522" s="1059" t="e">
        <f>+C3522*$L$8</f>
        <v>#N/A</v>
      </c>
      <c r="E3522" s="1061"/>
      <c r="F3522" s="1061"/>
      <c r="G3522" s="1056" t="s">
        <v>2666</v>
      </c>
      <c r="H3522" s="1057" t="s">
        <v>2667</v>
      </c>
      <c r="I3522" s="1058" t="e">
        <f>VLOOKUP(H3517,'LƯƠNG KT'!$D$15:$R$94,19,0)</f>
        <v>#N/A</v>
      </c>
      <c r="J3522" s="1059" t="e">
        <f>+I3522*$L$8</f>
        <v>#N/A</v>
      </c>
      <c r="K3522" s="1085"/>
      <c r="L3522" s="1085"/>
      <c r="M3522" s="1085"/>
      <c r="N3522" s="1085"/>
      <c r="O3522" s="1085"/>
    </row>
    <row r="3523" spans="1:15" ht="15" customHeight="1">
      <c r="A3523" s="1056" t="s">
        <v>2668</v>
      </c>
      <c r="B3523" s="1062" t="s">
        <v>2669</v>
      </c>
      <c r="C3523" s="1058" t="e">
        <f>VLOOKUP(B3517,'LƯƠNG KT'!$D$15:$R$94,20,0)</f>
        <v>#N/A</v>
      </c>
      <c r="D3523" s="1059" t="e">
        <f>+C3523*$L$9</f>
        <v>#N/A</v>
      </c>
      <c r="E3523" s="1061"/>
      <c r="F3523" s="1061"/>
      <c r="G3523" s="1056" t="s">
        <v>2668</v>
      </c>
      <c r="H3523" s="1062" t="s">
        <v>2669</v>
      </c>
      <c r="I3523" s="1058" t="e">
        <f>VLOOKUP(H3517,'LƯƠNG KT'!$D$15:$R$94,20,0)</f>
        <v>#N/A</v>
      </c>
      <c r="J3523" s="1059" t="e">
        <f>+I3523*$L$9</f>
        <v>#N/A</v>
      </c>
      <c r="K3523" s="1085"/>
      <c r="L3523" s="1085"/>
      <c r="M3523" s="1085"/>
      <c r="N3523" s="1085"/>
      <c r="O3523" s="1085"/>
    </row>
    <row r="3524" spans="1:15" ht="15" customHeight="1">
      <c r="A3524" s="1056" t="s">
        <v>2671</v>
      </c>
      <c r="B3524" s="1057" t="s">
        <v>2672</v>
      </c>
      <c r="C3524" s="1058" t="e">
        <f>VLOOKUP(B3517,'LƯƠNG KT'!$D$15:$R$94,17,0)</f>
        <v>#N/A</v>
      </c>
      <c r="D3524" s="1059" t="e">
        <f>+C3524*$L$10</f>
        <v>#N/A</v>
      </c>
      <c r="E3524" s="1061"/>
      <c r="F3524" s="1061"/>
      <c r="G3524" s="1056" t="s">
        <v>2671</v>
      </c>
      <c r="H3524" s="1057" t="s">
        <v>2672</v>
      </c>
      <c r="I3524" s="1058" t="e">
        <f>VLOOKUP(H3517,'LƯƠNG KT'!$D$15:$R$94,17,0)</f>
        <v>#N/A</v>
      </c>
      <c r="J3524" s="1059" t="e">
        <f>+I3524*$L$10</f>
        <v>#N/A</v>
      </c>
      <c r="K3524" s="1085"/>
      <c r="L3524" s="1085"/>
      <c r="M3524" s="1085"/>
      <c r="N3524" s="1085"/>
      <c r="O3524" s="1085"/>
    </row>
    <row r="3525" spans="1:15" ht="15" customHeight="1">
      <c r="A3525" s="1056" t="s">
        <v>2693</v>
      </c>
      <c r="B3525" s="1062" t="s">
        <v>2692</v>
      </c>
      <c r="C3525" s="1058" t="e">
        <f>VLOOKUP(B3517,'LƯƠNG KT'!$D$15:$R$94,21,0)</f>
        <v>#N/A</v>
      </c>
      <c r="D3525" s="1059" t="e">
        <f>+C3525*$L$7</f>
        <v>#N/A</v>
      </c>
      <c r="E3525" s="1061"/>
      <c r="F3525" s="1061"/>
      <c r="G3525" s="1056" t="s">
        <v>2693</v>
      </c>
      <c r="H3525" s="1062" t="s">
        <v>2692</v>
      </c>
      <c r="I3525" s="1058" t="e">
        <f>VLOOKUP(H3517,'LƯƠNG KT'!$D$15:$R$94,21,0)</f>
        <v>#N/A</v>
      </c>
      <c r="J3525" s="1059" t="e">
        <f>+I3525*$L$7</f>
        <v>#N/A</v>
      </c>
      <c r="K3525" s="1085"/>
      <c r="L3525" s="1085"/>
      <c r="M3525" s="1085"/>
      <c r="N3525" s="1085"/>
      <c r="O3525" s="1085"/>
    </row>
    <row r="3526" spans="1:15" ht="15" customHeight="1">
      <c r="A3526" s="1056" t="s">
        <v>2694</v>
      </c>
      <c r="B3526" s="1057" t="s">
        <v>2684</v>
      </c>
      <c r="C3526" s="1058" t="e">
        <f>VLOOKUP(B3517,'LƯƠNG KT'!$D$15:$R$94,23,0)</f>
        <v>#N/A</v>
      </c>
      <c r="D3526" s="1059" t="e">
        <f>+C3526*20000</f>
        <v>#N/A</v>
      </c>
      <c r="E3526" s="1063"/>
      <c r="F3526" s="1061"/>
      <c r="G3526" s="1056" t="s">
        <v>2694</v>
      </c>
      <c r="H3526" s="1057" t="s">
        <v>2684</v>
      </c>
      <c r="I3526" s="1058" t="e">
        <f>VLOOKUP(H3517,'LƯƠNG KT'!$D$15:$R$94,23,0)</f>
        <v>#N/A</v>
      </c>
      <c r="J3526" s="1059" t="e">
        <f>+I3526*20000</f>
        <v>#N/A</v>
      </c>
      <c r="K3526" s="1085"/>
      <c r="L3526" s="1085"/>
      <c r="M3526" s="1085"/>
      <c r="N3526" s="1085"/>
      <c r="O3526" s="1085"/>
    </row>
    <row r="3527" spans="1:15" ht="15" customHeight="1">
      <c r="A3527" s="1056" t="s">
        <v>374</v>
      </c>
      <c r="B3527" s="1057" t="s">
        <v>2674</v>
      </c>
      <c r="C3527" s="1058" t="e">
        <f>VLOOKUP(B3517,'LƯƠNG KT'!$D$15:$R$94,12,0)</f>
        <v>#N/A</v>
      </c>
      <c r="D3527" s="1059" t="e">
        <f>VLOOKUP(B3517,'LƯƠNG KT'!$D$15:$R$94,14,0)</f>
        <v>#N/A</v>
      </c>
      <c r="E3527" s="1065"/>
      <c r="F3527" s="1065"/>
      <c r="G3527" s="1056" t="s">
        <v>374</v>
      </c>
      <c r="H3527" s="1057" t="s">
        <v>2674</v>
      </c>
      <c r="I3527" s="1058" t="e">
        <f>VLOOKUP(H3517,'LƯƠNG KT'!$D$15:$R$94,12,0)</f>
        <v>#N/A</v>
      </c>
      <c r="J3527" s="1059" t="e">
        <f>VLOOKUP(H3517,'LƯƠNG KT'!$D$15:$R$94,14,0)</f>
        <v>#N/A</v>
      </c>
    </row>
    <row r="3528" spans="1:15" ht="15" customHeight="1">
      <c r="A3528" s="1056" t="s">
        <v>2675</v>
      </c>
      <c r="B3528" s="1057" t="s">
        <v>2676</v>
      </c>
      <c r="D3528" s="1064" t="e">
        <f>VLOOKUP(B3517,'LƯƠNG KT'!$D$15:$R$94,13,0)</f>
        <v>#N/A</v>
      </c>
      <c r="E3528" s="1063"/>
      <c r="F3528" s="1065"/>
      <c r="G3528" s="1056" t="s">
        <v>2675</v>
      </c>
      <c r="H3528" s="1057" t="s">
        <v>2676</v>
      </c>
      <c r="J3528" s="1064" t="e">
        <f>VLOOKUP(H3517,'LƯƠNG KT'!$D$15:$R$94,13,0)</f>
        <v>#N/A</v>
      </c>
    </row>
    <row r="3529" spans="1:15" ht="15" customHeight="1">
      <c r="A3529" s="1052"/>
      <c r="B3529" s="869"/>
      <c r="C3529" s="1058"/>
      <c r="D3529" s="1059"/>
      <c r="E3529" s="1067"/>
      <c r="F3529" s="1051"/>
      <c r="G3529" s="1052"/>
      <c r="H3529" s="869"/>
      <c r="I3529" s="1058"/>
      <c r="J3529" s="1059"/>
    </row>
    <row r="3530" spans="1:15" ht="15" customHeight="1">
      <c r="A3530" s="1068" t="s">
        <v>383</v>
      </c>
      <c r="B3530" s="1069" t="s">
        <v>384</v>
      </c>
      <c r="C3530" s="1070"/>
      <c r="D3530" s="1071" t="e">
        <f>SUM(D3518:D3527)</f>
        <v>#N/A</v>
      </c>
      <c r="E3530" s="1072"/>
      <c r="F3530" s="1073"/>
      <c r="G3530" s="1068" t="s">
        <v>383</v>
      </c>
      <c r="H3530" s="1069" t="s">
        <v>384</v>
      </c>
      <c r="I3530" s="1070"/>
      <c r="J3530" s="1071" t="e">
        <f>SUM(J3518:J3527)</f>
        <v>#N/A</v>
      </c>
    </row>
    <row r="3531" spans="1:15" ht="18" customHeight="1">
      <c r="A3531" s="1074"/>
      <c r="B3531" s="1075"/>
      <c r="C3531" s="1076"/>
      <c r="D3531" s="1077"/>
      <c r="E3531" s="1077"/>
      <c r="F3531" s="1078"/>
      <c r="G3531" s="1074"/>
      <c r="H3531" s="1075"/>
      <c r="I3531" s="1076"/>
      <c r="J3531" s="1077"/>
    </row>
    <row r="3532" spans="1:15" ht="18" customHeight="1">
      <c r="A3532" s="1075"/>
      <c r="B3532" s="1075"/>
      <c r="C3532" s="1079"/>
      <c r="D3532" s="1080"/>
      <c r="E3532" s="1075"/>
      <c r="F3532" s="1081"/>
      <c r="G3532" s="1075"/>
      <c r="H3532" s="1075"/>
      <c r="I3532" s="1079"/>
      <c r="J3532" s="1080"/>
    </row>
    <row r="3533" spans="1:15" ht="15" customHeight="1">
      <c r="A3533" s="2242" t="str">
        <f>$K$2</f>
        <v>THÁNG 04/2025</v>
      </c>
      <c r="B3533" s="2242"/>
      <c r="C3533" s="2242"/>
      <c r="D3533" s="2242"/>
      <c r="E3533" s="1050"/>
      <c r="F3533" s="1051"/>
      <c r="G3533" s="2242" t="str">
        <f>$K$2</f>
        <v>THÁNG 04/2025</v>
      </c>
      <c r="H3533" s="2242"/>
      <c r="I3533" s="2242"/>
      <c r="J3533" s="2242"/>
      <c r="K3533" s="624"/>
    </row>
    <row r="3534" spans="1:15" ht="15" customHeight="1">
      <c r="A3534" s="1052" t="s">
        <v>356</v>
      </c>
      <c r="B3534" s="1053" t="s">
        <v>290</v>
      </c>
      <c r="C3534" s="869"/>
      <c r="D3534" s="1049"/>
      <c r="E3534" s="1054"/>
      <c r="F3534" s="1055"/>
      <c r="G3534" s="1052" t="s">
        <v>356</v>
      </c>
      <c r="H3534" s="1053" t="s">
        <v>291</v>
      </c>
      <c r="I3534" s="869"/>
      <c r="J3534" s="1049"/>
      <c r="L3534" s="1088"/>
      <c r="M3534" s="1088"/>
      <c r="N3534" s="1088"/>
      <c r="O3534" s="1088"/>
    </row>
    <row r="3535" spans="1:15" ht="15" customHeight="1">
      <c r="A3535" s="1056" t="s">
        <v>359</v>
      </c>
      <c r="B3535" s="1057" t="s">
        <v>2662</v>
      </c>
      <c r="C3535" s="1058" t="e">
        <f>VLOOKUP(B3534,'LƯƠNG KT'!$D$15:$R$94,4,0)</f>
        <v>#N/A</v>
      </c>
      <c r="D3535" s="1059" t="e">
        <f>+C3535*25000</f>
        <v>#N/A</v>
      </c>
      <c r="E3535" s="1060"/>
      <c r="F3535" s="1060"/>
      <c r="G3535" s="1056" t="s">
        <v>359</v>
      </c>
      <c r="H3535" s="1057" t="s">
        <v>2662</v>
      </c>
      <c r="I3535" s="1058" t="e">
        <f>VLOOKUP(H3534,'LƯƠNG KT'!$D$15:$R$94,4,0)</f>
        <v>#N/A</v>
      </c>
      <c r="J3535" s="1059" t="e">
        <f>+I3535*25000</f>
        <v>#N/A</v>
      </c>
      <c r="K3535" s="1085"/>
      <c r="L3535" s="1085"/>
      <c r="M3535" s="1085"/>
      <c r="N3535" s="1085"/>
      <c r="O3535" s="1085"/>
    </row>
    <row r="3536" spans="1:15" ht="15" customHeight="1">
      <c r="A3536" s="1056" t="s">
        <v>361</v>
      </c>
      <c r="B3536" s="1057" t="s">
        <v>2663</v>
      </c>
      <c r="C3536" s="1058" t="e">
        <f>VLOOKUP(B3534,'LƯƠNG KT'!$D$15:$R$94,15,0)</f>
        <v>#N/A</v>
      </c>
      <c r="D3536" s="1059" t="e">
        <f>C3536*$L$4</f>
        <v>#N/A</v>
      </c>
      <c r="E3536" s="1061"/>
      <c r="F3536" s="1061"/>
      <c r="G3536" s="1056" t="s">
        <v>361</v>
      </c>
      <c r="H3536" s="1057" t="s">
        <v>2663</v>
      </c>
      <c r="I3536" s="1058" t="e">
        <f>VLOOKUP(H3534,'LƯƠNG KT'!$D$15:$R$94,15,0)</f>
        <v>#N/A</v>
      </c>
      <c r="J3536" s="1059" t="e">
        <f>I3536*$L$4</f>
        <v>#N/A</v>
      </c>
      <c r="K3536" s="1085"/>
      <c r="L3536" s="1085"/>
      <c r="M3536" s="1085"/>
      <c r="N3536" s="1085"/>
      <c r="O3536" s="1085"/>
    </row>
    <row r="3537" spans="1:15" ht="15" customHeight="1">
      <c r="A3537" s="1056" t="s">
        <v>364</v>
      </c>
      <c r="B3537" s="1057" t="s">
        <v>2664</v>
      </c>
      <c r="C3537" s="1058" t="e">
        <f>VLOOKUP(B3534,'LƯƠNG KT'!$D$15:$R$94,16,0)</f>
        <v>#N/A</v>
      </c>
      <c r="D3537" s="1059" t="e">
        <f>C3537*$L$5</f>
        <v>#N/A</v>
      </c>
      <c r="E3537" s="1061"/>
      <c r="F3537" s="1061"/>
      <c r="G3537" s="1056" t="s">
        <v>364</v>
      </c>
      <c r="H3537" s="1057" t="s">
        <v>2664</v>
      </c>
      <c r="I3537" s="1058" t="e">
        <f>VLOOKUP(H3534,'LƯƠNG KT'!$D$15:$R$94,16,0)</f>
        <v>#N/A</v>
      </c>
      <c r="J3537" s="1059" t="e">
        <f>I3537*$L$5</f>
        <v>#N/A</v>
      </c>
      <c r="K3537" s="1085"/>
      <c r="L3537" s="1085"/>
      <c r="M3537" s="1085"/>
      <c r="N3537" s="1085"/>
      <c r="O3537" s="1085"/>
    </row>
    <row r="3538" spans="1:15" ht="15" customHeight="1">
      <c r="A3538" s="1056" t="s">
        <v>370</v>
      </c>
      <c r="B3538" s="1057" t="s">
        <v>2665</v>
      </c>
      <c r="C3538" s="1058" t="e">
        <f>VLOOKUP(B3534,'LƯƠNG KT'!$D$15:$R$94,24,0)</f>
        <v>#N/A</v>
      </c>
      <c r="D3538" s="1059" t="e">
        <f>+C3538*$L$6</f>
        <v>#N/A</v>
      </c>
      <c r="E3538" s="1061"/>
      <c r="F3538" s="1061"/>
      <c r="G3538" s="1056" t="s">
        <v>370</v>
      </c>
      <c r="H3538" s="1057" t="s">
        <v>2665</v>
      </c>
      <c r="I3538" s="1058" t="e">
        <f>VLOOKUP(H3534,'LƯƠNG KT'!$D$15:$R$94,24,0)</f>
        <v>#N/A</v>
      </c>
      <c r="J3538" s="1059" t="e">
        <f>+I3538*$L$6</f>
        <v>#N/A</v>
      </c>
      <c r="K3538" s="1085"/>
      <c r="L3538" s="1085"/>
      <c r="M3538" s="1085"/>
      <c r="N3538" s="1085"/>
      <c r="O3538" s="1085"/>
    </row>
    <row r="3539" spans="1:15" ht="15" customHeight="1">
      <c r="A3539" s="1056" t="s">
        <v>2666</v>
      </c>
      <c r="B3539" s="1057" t="s">
        <v>2667</v>
      </c>
      <c r="C3539" s="1058" t="e">
        <f>VLOOKUP(B3534,'LƯƠNG KT'!$D$15:$R$94,19,0)</f>
        <v>#N/A</v>
      </c>
      <c r="D3539" s="1059" t="e">
        <f>+C3539*$L$8</f>
        <v>#N/A</v>
      </c>
      <c r="E3539" s="1061"/>
      <c r="F3539" s="1061"/>
      <c r="G3539" s="1056" t="s">
        <v>2666</v>
      </c>
      <c r="H3539" s="1057" t="s">
        <v>2667</v>
      </c>
      <c r="I3539" s="1058" t="e">
        <f>VLOOKUP(H3534,'LƯƠNG KT'!$D$15:$R$94,19,0)</f>
        <v>#N/A</v>
      </c>
      <c r="J3539" s="1059" t="e">
        <f>+I3539*$L$8</f>
        <v>#N/A</v>
      </c>
      <c r="K3539" s="1085"/>
      <c r="L3539" s="1085"/>
      <c r="M3539" s="1085"/>
      <c r="N3539" s="1085"/>
      <c r="O3539" s="1085"/>
    </row>
    <row r="3540" spans="1:15" ht="15" customHeight="1">
      <c r="A3540" s="1056" t="s">
        <v>2668</v>
      </c>
      <c r="B3540" s="1062" t="s">
        <v>2669</v>
      </c>
      <c r="C3540" s="1058" t="e">
        <f>VLOOKUP(B3534,'LƯƠNG KT'!$D$15:$R$94,20,0)</f>
        <v>#N/A</v>
      </c>
      <c r="D3540" s="1059" t="e">
        <f>+C3540*$L$9</f>
        <v>#N/A</v>
      </c>
      <c r="E3540" s="1061"/>
      <c r="F3540" s="1061"/>
      <c r="G3540" s="1056" t="s">
        <v>2668</v>
      </c>
      <c r="H3540" s="1062" t="s">
        <v>2669</v>
      </c>
      <c r="I3540" s="1058" t="e">
        <f>VLOOKUP(H3534,'LƯƠNG KT'!$D$15:$R$94,20,0)</f>
        <v>#N/A</v>
      </c>
      <c r="J3540" s="1059" t="e">
        <f>+I3540*$L$9</f>
        <v>#N/A</v>
      </c>
      <c r="K3540" s="1085"/>
      <c r="L3540" s="1085"/>
      <c r="M3540" s="1085"/>
      <c r="N3540" s="1085"/>
      <c r="O3540" s="1085"/>
    </row>
    <row r="3541" spans="1:15" ht="15" customHeight="1">
      <c r="A3541" s="1056" t="s">
        <v>2671</v>
      </c>
      <c r="B3541" s="1057" t="s">
        <v>2672</v>
      </c>
      <c r="C3541" s="1058" t="e">
        <f>VLOOKUP(B3534,'LƯƠNG KT'!$D$15:$R$94,17,0)</f>
        <v>#N/A</v>
      </c>
      <c r="D3541" s="1059" t="e">
        <f>+C3541*$L$10</f>
        <v>#N/A</v>
      </c>
      <c r="E3541" s="1061"/>
      <c r="F3541" s="1061"/>
      <c r="G3541" s="1056" t="s">
        <v>2671</v>
      </c>
      <c r="H3541" s="1057" t="s">
        <v>2672</v>
      </c>
      <c r="I3541" s="1058" t="e">
        <f>VLOOKUP(H3534,'LƯƠNG KT'!$D$15:$R$94,17,0)</f>
        <v>#N/A</v>
      </c>
      <c r="J3541" s="1059" t="e">
        <f>+I3541*$L$10</f>
        <v>#N/A</v>
      </c>
      <c r="K3541" s="1085"/>
      <c r="L3541" s="1085"/>
      <c r="M3541" s="1085"/>
      <c r="N3541" s="1085"/>
      <c r="O3541" s="1085"/>
    </row>
    <row r="3542" spans="1:15" ht="15" customHeight="1">
      <c r="A3542" s="1056" t="s">
        <v>2693</v>
      </c>
      <c r="B3542" s="1062" t="s">
        <v>2692</v>
      </c>
      <c r="C3542" s="1058" t="e">
        <f>VLOOKUP(B3534,'LƯƠNG KT'!$D$15:$R$94,21,0)</f>
        <v>#N/A</v>
      </c>
      <c r="D3542" s="1059" t="e">
        <f>+C3542*$L$7</f>
        <v>#N/A</v>
      </c>
      <c r="E3542" s="1061"/>
      <c r="F3542" s="1061"/>
      <c r="G3542" s="1056" t="s">
        <v>2693</v>
      </c>
      <c r="H3542" s="1062" t="s">
        <v>2692</v>
      </c>
      <c r="I3542" s="1058" t="e">
        <f>VLOOKUP(H3534,'LƯƠNG KT'!$D$15:$R$94,21,0)</f>
        <v>#N/A</v>
      </c>
      <c r="J3542" s="1059" t="e">
        <f>+I3542*$L$7</f>
        <v>#N/A</v>
      </c>
      <c r="K3542" s="1085"/>
      <c r="L3542" s="1085"/>
      <c r="M3542" s="1085"/>
      <c r="N3542" s="1085"/>
      <c r="O3542" s="1085"/>
    </row>
    <row r="3543" spans="1:15" ht="15" customHeight="1">
      <c r="A3543" s="1056" t="s">
        <v>2694</v>
      </c>
      <c r="B3543" s="1057" t="s">
        <v>2684</v>
      </c>
      <c r="C3543" s="1058" t="e">
        <f>VLOOKUP(B3534,'LƯƠNG KT'!$D$15:$R$94,23,0)</f>
        <v>#N/A</v>
      </c>
      <c r="D3543" s="1059" t="e">
        <f>+C3543*20000</f>
        <v>#N/A</v>
      </c>
      <c r="E3543" s="1063"/>
      <c r="F3543" s="1061"/>
      <c r="G3543" s="1056" t="s">
        <v>2694</v>
      </c>
      <c r="H3543" s="1057" t="s">
        <v>2684</v>
      </c>
      <c r="I3543" s="1058" t="e">
        <f>VLOOKUP(H3534,'LƯƠNG KT'!$D$15:$R$94,23,0)</f>
        <v>#N/A</v>
      </c>
      <c r="J3543" s="1059" t="e">
        <f>+I3543*20000</f>
        <v>#N/A</v>
      </c>
      <c r="K3543" s="1085"/>
      <c r="L3543" s="1085"/>
      <c r="M3543" s="1085"/>
      <c r="N3543" s="1085"/>
      <c r="O3543" s="1085"/>
    </row>
    <row r="3544" spans="1:15" ht="15" customHeight="1">
      <c r="A3544" s="1056" t="s">
        <v>374</v>
      </c>
      <c r="B3544" s="1057" t="s">
        <v>2674</v>
      </c>
      <c r="C3544" s="1058" t="e">
        <f>VLOOKUP(B3534,'LƯƠNG KT'!$D$15:$R$94,12,0)</f>
        <v>#N/A</v>
      </c>
      <c r="D3544" s="1059" t="e">
        <f>VLOOKUP(B3534,'LƯƠNG KT'!$D$15:$R$94,14,0)</f>
        <v>#N/A</v>
      </c>
      <c r="E3544" s="1065"/>
      <c r="F3544" s="1065"/>
      <c r="G3544" s="1056" t="s">
        <v>374</v>
      </c>
      <c r="H3544" s="1057" t="s">
        <v>2674</v>
      </c>
      <c r="I3544" s="1058" t="e">
        <f>VLOOKUP(H3534,'LƯƠNG KT'!$D$15:$R$94,12,0)</f>
        <v>#N/A</v>
      </c>
      <c r="J3544" s="1059" t="e">
        <f>VLOOKUP(H3534,'LƯƠNG KT'!$D$15:$R$94,14,0)</f>
        <v>#N/A</v>
      </c>
    </row>
    <row r="3545" spans="1:15" ht="15" customHeight="1">
      <c r="A3545" s="1056" t="s">
        <v>2675</v>
      </c>
      <c r="B3545" s="1057" t="s">
        <v>2676</v>
      </c>
      <c r="D3545" s="1064" t="e">
        <f>VLOOKUP(B3534,'LƯƠNG KT'!$D$15:$R$94,13,0)</f>
        <v>#N/A</v>
      </c>
      <c r="E3545" s="1063"/>
      <c r="F3545" s="1065"/>
      <c r="G3545" s="1056" t="s">
        <v>2675</v>
      </c>
      <c r="H3545" s="1057" t="s">
        <v>2676</v>
      </c>
      <c r="J3545" s="1064" t="e">
        <f>VLOOKUP(H3534,'LƯƠNG KT'!$D$15:$R$94,13,0)</f>
        <v>#N/A</v>
      </c>
    </row>
    <row r="3546" spans="1:15" ht="15" customHeight="1">
      <c r="A3546" s="1052"/>
      <c r="B3546" s="869"/>
      <c r="C3546" s="1058"/>
      <c r="D3546" s="1059"/>
      <c r="E3546" s="1067"/>
      <c r="F3546" s="1051"/>
      <c r="G3546" s="1052"/>
      <c r="H3546" s="869"/>
      <c r="I3546" s="1058"/>
      <c r="J3546" s="1059"/>
    </row>
    <row r="3547" spans="1:15" ht="15" customHeight="1">
      <c r="A3547" s="1068" t="s">
        <v>383</v>
      </c>
      <c r="B3547" s="1069" t="s">
        <v>384</v>
      </c>
      <c r="C3547" s="1070"/>
      <c r="D3547" s="1071" t="e">
        <f>SUM(D3535:D3544)</f>
        <v>#N/A</v>
      </c>
      <c r="E3547" s="1072"/>
      <c r="F3547" s="1073"/>
      <c r="G3547" s="1068" t="s">
        <v>383</v>
      </c>
      <c r="H3547" s="1069" t="s">
        <v>384</v>
      </c>
      <c r="I3547" s="1070"/>
      <c r="J3547" s="1071" t="e">
        <f>SUM(J3535:J3544)</f>
        <v>#N/A</v>
      </c>
    </row>
    <row r="3548" spans="1:15" ht="21" customHeight="1">
      <c r="A3548" s="1074"/>
      <c r="B3548" s="1075"/>
      <c r="C3548" s="1076"/>
      <c r="D3548" s="1077"/>
      <c r="E3548" s="1077"/>
      <c r="F3548" s="1078"/>
      <c r="G3548" s="1074"/>
      <c r="H3548" s="1075"/>
      <c r="I3548" s="1076"/>
      <c r="J3548" s="1077"/>
    </row>
    <row r="3549" spans="1:15" ht="21" customHeight="1">
      <c r="A3549" s="1075"/>
      <c r="B3549" s="1075"/>
      <c r="C3549" s="1079"/>
      <c r="D3549" s="1080"/>
      <c r="E3549" s="1075"/>
      <c r="F3549" s="1081"/>
      <c r="G3549" s="1075"/>
      <c r="H3549" s="1075"/>
      <c r="I3549" s="1079"/>
      <c r="J3549" s="1080"/>
    </row>
    <row r="3550" spans="1:15" ht="15" customHeight="1">
      <c r="A3550" s="2242" t="str">
        <f>$K$2</f>
        <v>THÁNG 04/2025</v>
      </c>
      <c r="B3550" s="2242"/>
      <c r="C3550" s="2242"/>
      <c r="D3550" s="2242"/>
      <c r="E3550" s="1050"/>
      <c r="F3550" s="1051"/>
      <c r="G3550" s="2242" t="str">
        <f>$K$2</f>
        <v>THÁNG 04/2025</v>
      </c>
      <c r="H3550" s="2242"/>
      <c r="I3550" s="2242"/>
      <c r="J3550" s="2242"/>
      <c r="K3550" s="624"/>
    </row>
    <row r="3551" spans="1:15" ht="15" customHeight="1">
      <c r="A3551" s="1052" t="s">
        <v>356</v>
      </c>
      <c r="B3551" s="1053" t="s">
        <v>292</v>
      </c>
      <c r="C3551" s="869"/>
      <c r="D3551" s="1049"/>
      <c r="E3551" s="1054"/>
      <c r="F3551" s="1055"/>
      <c r="G3551" s="1052" t="s">
        <v>356</v>
      </c>
      <c r="H3551" s="1053" t="s">
        <v>293</v>
      </c>
      <c r="I3551" s="869"/>
      <c r="J3551" s="1049"/>
      <c r="L3551" s="1088"/>
      <c r="M3551" s="1088"/>
      <c r="N3551" s="1088"/>
      <c r="O3551" s="1088"/>
    </row>
    <row r="3552" spans="1:15" ht="15" customHeight="1">
      <c r="A3552" s="1056" t="s">
        <v>359</v>
      </c>
      <c r="B3552" s="1057" t="s">
        <v>2662</v>
      </c>
      <c r="C3552" s="1058" t="e">
        <f>VLOOKUP(B3551,'LƯƠNG KT'!$D$15:$R$94,4,0)</f>
        <v>#N/A</v>
      </c>
      <c r="D3552" s="1059" t="e">
        <f>+C3552*25000</f>
        <v>#N/A</v>
      </c>
      <c r="E3552" s="1060"/>
      <c r="F3552" s="1060"/>
      <c r="G3552" s="1056" t="s">
        <v>359</v>
      </c>
      <c r="H3552" s="1057" t="s">
        <v>2662</v>
      </c>
      <c r="I3552" s="1058" t="e">
        <f>VLOOKUP(H3551,'LƯƠNG KT'!$D$15:$R$94,4,0)</f>
        <v>#N/A</v>
      </c>
      <c r="J3552" s="1059" t="e">
        <f>+I3552*25000</f>
        <v>#N/A</v>
      </c>
      <c r="K3552" s="1085"/>
      <c r="L3552" s="1085"/>
      <c r="M3552" s="1085"/>
      <c r="N3552" s="1085"/>
      <c r="O3552" s="1085"/>
    </row>
    <row r="3553" spans="1:15" ht="15" customHeight="1">
      <c r="A3553" s="1056" t="s">
        <v>361</v>
      </c>
      <c r="B3553" s="1057" t="s">
        <v>2663</v>
      </c>
      <c r="C3553" s="1058" t="e">
        <f>VLOOKUP(B3551,'LƯƠNG KT'!$D$15:$R$94,15,0)</f>
        <v>#N/A</v>
      </c>
      <c r="D3553" s="1059" t="e">
        <f>C3553*$L$4</f>
        <v>#N/A</v>
      </c>
      <c r="E3553" s="1061"/>
      <c r="F3553" s="1061"/>
      <c r="G3553" s="1056" t="s">
        <v>361</v>
      </c>
      <c r="H3553" s="1057" t="s">
        <v>2663</v>
      </c>
      <c r="I3553" s="1058" t="e">
        <f>VLOOKUP(H3551,'LƯƠNG KT'!$D$15:$R$94,15,0)</f>
        <v>#N/A</v>
      </c>
      <c r="J3553" s="1059" t="e">
        <f>I3553*$L$4</f>
        <v>#N/A</v>
      </c>
      <c r="K3553" s="1085"/>
      <c r="L3553" s="1085"/>
      <c r="M3553" s="1085"/>
      <c r="N3553" s="1085"/>
      <c r="O3553" s="1085"/>
    </row>
    <row r="3554" spans="1:15" ht="15" customHeight="1">
      <c r="A3554" s="1056" t="s">
        <v>364</v>
      </c>
      <c r="B3554" s="1057" t="s">
        <v>2664</v>
      </c>
      <c r="C3554" s="1058" t="e">
        <f>VLOOKUP(B3551,'LƯƠNG KT'!$D$15:$R$94,16,0)</f>
        <v>#N/A</v>
      </c>
      <c r="D3554" s="1059" t="e">
        <f>C3554*$L$5</f>
        <v>#N/A</v>
      </c>
      <c r="E3554" s="1061"/>
      <c r="F3554" s="1061"/>
      <c r="G3554" s="1056" t="s">
        <v>364</v>
      </c>
      <c r="H3554" s="1057" t="s">
        <v>2664</v>
      </c>
      <c r="I3554" s="1058" t="e">
        <f>VLOOKUP(H3551,'LƯƠNG KT'!$D$15:$R$94,16,0)</f>
        <v>#N/A</v>
      </c>
      <c r="J3554" s="1059" t="e">
        <f>I3554*$L$5</f>
        <v>#N/A</v>
      </c>
      <c r="K3554" s="1085"/>
      <c r="L3554" s="1085"/>
      <c r="M3554" s="1085"/>
      <c r="N3554" s="1085"/>
      <c r="O3554" s="1085"/>
    </row>
    <row r="3555" spans="1:15" ht="15" customHeight="1">
      <c r="A3555" s="1056" t="s">
        <v>370</v>
      </c>
      <c r="B3555" s="1057" t="s">
        <v>2665</v>
      </c>
      <c r="C3555" s="1058" t="e">
        <f>VLOOKUP(B3551,'LƯƠNG KT'!$D$15:$R$94,24,0)</f>
        <v>#N/A</v>
      </c>
      <c r="D3555" s="1059" t="e">
        <f>+C3555*$L$6</f>
        <v>#N/A</v>
      </c>
      <c r="E3555" s="1061"/>
      <c r="F3555" s="1061"/>
      <c r="G3555" s="1056" t="s">
        <v>370</v>
      </c>
      <c r="H3555" s="1057" t="s">
        <v>2665</v>
      </c>
      <c r="I3555" s="1058" t="e">
        <f>VLOOKUP(H3551,'LƯƠNG KT'!$D$15:$R$94,24,0)</f>
        <v>#N/A</v>
      </c>
      <c r="J3555" s="1059" t="e">
        <f>+I3555*$L$6</f>
        <v>#N/A</v>
      </c>
      <c r="K3555" s="1085"/>
      <c r="L3555" s="1085"/>
      <c r="M3555" s="1085"/>
      <c r="N3555" s="1085"/>
      <c r="O3555" s="1085"/>
    </row>
    <row r="3556" spans="1:15" ht="15" customHeight="1">
      <c r="A3556" s="1056" t="s">
        <v>2666</v>
      </c>
      <c r="B3556" s="1057" t="s">
        <v>2667</v>
      </c>
      <c r="C3556" s="1058" t="e">
        <f>VLOOKUP(B3551,'LƯƠNG KT'!$D$15:$R$94,19,0)</f>
        <v>#N/A</v>
      </c>
      <c r="D3556" s="1059" t="e">
        <f>+C3556*$L$8</f>
        <v>#N/A</v>
      </c>
      <c r="E3556" s="1061"/>
      <c r="F3556" s="1061"/>
      <c r="G3556" s="1056" t="s">
        <v>2666</v>
      </c>
      <c r="H3556" s="1057" t="s">
        <v>2667</v>
      </c>
      <c r="I3556" s="1058" t="e">
        <f>VLOOKUP(H3551,'LƯƠNG KT'!$D$15:$R$94,19,0)</f>
        <v>#N/A</v>
      </c>
      <c r="J3556" s="1059" t="e">
        <f>+I3556*$L$8</f>
        <v>#N/A</v>
      </c>
      <c r="K3556" s="1085"/>
      <c r="L3556" s="1085"/>
      <c r="M3556" s="1085"/>
      <c r="N3556" s="1085"/>
      <c r="O3556" s="1085"/>
    </row>
    <row r="3557" spans="1:15" ht="15" customHeight="1">
      <c r="A3557" s="1056" t="s">
        <v>2668</v>
      </c>
      <c r="B3557" s="1062" t="s">
        <v>2669</v>
      </c>
      <c r="C3557" s="1058" t="e">
        <f>VLOOKUP(B3551,'LƯƠNG KT'!$D$15:$R$94,20,0)</f>
        <v>#N/A</v>
      </c>
      <c r="D3557" s="1059" t="e">
        <f>+C3557*$L$9</f>
        <v>#N/A</v>
      </c>
      <c r="E3557" s="1061"/>
      <c r="F3557" s="1061"/>
      <c r="G3557" s="1056" t="s">
        <v>2668</v>
      </c>
      <c r="H3557" s="1062" t="s">
        <v>2669</v>
      </c>
      <c r="I3557" s="1058" t="e">
        <f>VLOOKUP(H3551,'LƯƠNG KT'!$D$15:$R$94,20,0)</f>
        <v>#N/A</v>
      </c>
      <c r="J3557" s="1059" t="e">
        <f>+I3557*$L$9</f>
        <v>#N/A</v>
      </c>
      <c r="K3557" s="1085"/>
      <c r="L3557" s="1085"/>
      <c r="M3557" s="1085"/>
      <c r="N3557" s="1085"/>
      <c r="O3557" s="1085"/>
    </row>
    <row r="3558" spans="1:15" ht="15" customHeight="1">
      <c r="A3558" s="1056" t="s">
        <v>2671</v>
      </c>
      <c r="B3558" s="1057" t="s">
        <v>2672</v>
      </c>
      <c r="C3558" s="1058" t="e">
        <f>VLOOKUP(B3551,'LƯƠNG KT'!$D$15:$R$94,17,0)</f>
        <v>#N/A</v>
      </c>
      <c r="D3558" s="1059" t="e">
        <f>+C3558*$L$10</f>
        <v>#N/A</v>
      </c>
      <c r="E3558" s="1061"/>
      <c r="F3558" s="1061"/>
      <c r="G3558" s="1056" t="s">
        <v>2671</v>
      </c>
      <c r="H3558" s="1057" t="s">
        <v>2672</v>
      </c>
      <c r="I3558" s="1058" t="e">
        <f>VLOOKUP(H3551,'LƯƠNG KT'!$D$15:$R$94,17,0)</f>
        <v>#N/A</v>
      </c>
      <c r="J3558" s="1059" t="e">
        <f>+I3558*$L$10</f>
        <v>#N/A</v>
      </c>
      <c r="K3558" s="1085"/>
      <c r="L3558" s="1085"/>
      <c r="M3558" s="1085"/>
      <c r="N3558" s="1085"/>
      <c r="O3558" s="1085"/>
    </row>
    <row r="3559" spans="1:15" ht="15" customHeight="1">
      <c r="A3559" s="1056" t="s">
        <v>2693</v>
      </c>
      <c r="B3559" s="1062" t="s">
        <v>2692</v>
      </c>
      <c r="C3559" s="1058" t="e">
        <f>VLOOKUP(B3551,'LƯƠNG KT'!$D$15:$R$94,21,0)</f>
        <v>#N/A</v>
      </c>
      <c r="D3559" s="1059" t="e">
        <f>+C3559*$L$7</f>
        <v>#N/A</v>
      </c>
      <c r="E3559" s="1061"/>
      <c r="F3559" s="1061"/>
      <c r="G3559" s="1056" t="s">
        <v>2693</v>
      </c>
      <c r="H3559" s="1062" t="s">
        <v>2692</v>
      </c>
      <c r="I3559" s="1058" t="e">
        <f>VLOOKUP(H3551,'LƯƠNG KT'!$D$15:$R$94,21,0)</f>
        <v>#N/A</v>
      </c>
      <c r="J3559" s="1059" t="e">
        <f>+I3559*$L$7</f>
        <v>#N/A</v>
      </c>
      <c r="K3559" s="1085"/>
      <c r="L3559" s="1085"/>
      <c r="M3559" s="1085"/>
      <c r="N3559" s="1085"/>
      <c r="O3559" s="1085"/>
    </row>
    <row r="3560" spans="1:15" ht="15" customHeight="1">
      <c r="A3560" s="1056" t="s">
        <v>2694</v>
      </c>
      <c r="B3560" s="1057" t="s">
        <v>2684</v>
      </c>
      <c r="C3560" s="1058" t="e">
        <f>VLOOKUP(B3551,'LƯƠNG KT'!$D$15:$R$94,23,0)</f>
        <v>#N/A</v>
      </c>
      <c r="D3560" s="1059" t="e">
        <f>+C3560*20000</f>
        <v>#N/A</v>
      </c>
      <c r="E3560" s="1063"/>
      <c r="F3560" s="1061"/>
      <c r="G3560" s="1056" t="s">
        <v>2694</v>
      </c>
      <c r="H3560" s="1057" t="s">
        <v>2684</v>
      </c>
      <c r="I3560" s="1058" t="e">
        <f>VLOOKUP(H3551,'LƯƠNG KT'!$D$15:$R$94,23,0)</f>
        <v>#N/A</v>
      </c>
      <c r="J3560" s="1059" t="e">
        <f>+I3560*20000</f>
        <v>#N/A</v>
      </c>
      <c r="K3560" s="1085"/>
      <c r="L3560" s="1085"/>
      <c r="M3560" s="1085"/>
      <c r="N3560" s="1085"/>
      <c r="O3560" s="1085"/>
    </row>
    <row r="3561" spans="1:15" ht="15" customHeight="1">
      <c r="A3561" s="1056" t="s">
        <v>374</v>
      </c>
      <c r="B3561" s="1057" t="s">
        <v>2674</v>
      </c>
      <c r="C3561" s="1058" t="e">
        <f>VLOOKUP(B3551,'LƯƠNG KT'!$D$15:$R$94,12,0)</f>
        <v>#N/A</v>
      </c>
      <c r="D3561" s="1059" t="e">
        <f>VLOOKUP(B3551,'LƯƠNG KT'!$D$15:$R$94,14,0)</f>
        <v>#N/A</v>
      </c>
      <c r="E3561" s="1065"/>
      <c r="F3561" s="1065"/>
      <c r="G3561" s="1056" t="s">
        <v>374</v>
      </c>
      <c r="H3561" s="1057" t="s">
        <v>2674</v>
      </c>
      <c r="I3561" s="1058" t="e">
        <f>VLOOKUP(H3551,'LƯƠNG KT'!$D$15:$R$94,12,0)</f>
        <v>#N/A</v>
      </c>
      <c r="J3561" s="1059" t="e">
        <f>VLOOKUP(H3551,'LƯƠNG KT'!$D$15:$R$94,14,0)</f>
        <v>#N/A</v>
      </c>
    </row>
    <row r="3562" spans="1:15" ht="15" customHeight="1">
      <c r="A3562" s="1056" t="s">
        <v>2675</v>
      </c>
      <c r="B3562" s="1057" t="s">
        <v>2676</v>
      </c>
      <c r="D3562" s="1064" t="e">
        <f>VLOOKUP(B3551,'LƯƠNG KT'!$D$15:$R$94,13,0)</f>
        <v>#N/A</v>
      </c>
      <c r="E3562" s="1063"/>
      <c r="F3562" s="1065"/>
      <c r="G3562" s="1056" t="s">
        <v>2675</v>
      </c>
      <c r="H3562" s="1057" t="s">
        <v>2676</v>
      </c>
      <c r="J3562" s="1064" t="e">
        <f>VLOOKUP(H3551,'LƯƠNG KT'!$D$15:$R$94,13,0)</f>
        <v>#N/A</v>
      </c>
    </row>
    <row r="3563" spans="1:15" ht="15" customHeight="1">
      <c r="A3563" s="1052"/>
      <c r="B3563" s="869"/>
      <c r="C3563" s="1058"/>
      <c r="D3563" s="1059"/>
      <c r="E3563" s="1067"/>
      <c r="F3563" s="1051"/>
      <c r="G3563" s="1052"/>
      <c r="H3563" s="869"/>
      <c r="I3563" s="1058"/>
      <c r="J3563" s="1059"/>
    </row>
    <row r="3564" spans="1:15" ht="15" customHeight="1">
      <c r="A3564" s="1068" t="s">
        <v>383</v>
      </c>
      <c r="B3564" s="1069" t="s">
        <v>384</v>
      </c>
      <c r="C3564" s="1070"/>
      <c r="D3564" s="1071" t="e">
        <f>SUM(D3552:D3561)</f>
        <v>#N/A</v>
      </c>
      <c r="E3564" s="1072"/>
      <c r="F3564" s="1073"/>
      <c r="G3564" s="1068" t="s">
        <v>383</v>
      </c>
      <c r="H3564" s="1069" t="s">
        <v>384</v>
      </c>
      <c r="I3564" s="1070"/>
      <c r="J3564" s="1071" t="e">
        <f>SUM(J3552:J3561)</f>
        <v>#N/A</v>
      </c>
    </row>
    <row r="3565" spans="1:15" ht="11.25" customHeight="1">
      <c r="A3565" s="1074"/>
      <c r="B3565" s="1075"/>
      <c r="C3565" s="1076"/>
      <c r="D3565" s="1077"/>
      <c r="E3565" s="1077"/>
      <c r="F3565" s="1078"/>
      <c r="G3565" s="1074"/>
      <c r="H3565" s="1075"/>
      <c r="I3565" s="1076"/>
      <c r="J3565" s="1077"/>
    </row>
    <row r="3566" spans="1:15" ht="65.25" customHeight="1">
      <c r="A3566" s="1075"/>
      <c r="B3566" s="1075"/>
      <c r="C3566" s="1079"/>
      <c r="D3566" s="1080"/>
      <c r="E3566" s="1075"/>
      <c r="F3566" s="1081"/>
      <c r="G3566" s="1075"/>
      <c r="H3566" s="1075"/>
      <c r="I3566" s="1079"/>
      <c r="J3566" s="1080"/>
    </row>
    <row r="3567" spans="1:15" ht="15" customHeight="1">
      <c r="A3567" s="2242" t="str">
        <f>$K$2</f>
        <v>THÁNG 04/2025</v>
      </c>
      <c r="B3567" s="2242"/>
      <c r="C3567" s="2242"/>
      <c r="D3567" s="2242"/>
      <c r="E3567" s="1050"/>
      <c r="F3567" s="1051"/>
      <c r="G3567" s="2242" t="str">
        <f>$K$2</f>
        <v>THÁNG 04/2025</v>
      </c>
      <c r="H3567" s="2242"/>
      <c r="I3567" s="2242"/>
      <c r="J3567" s="2242"/>
      <c r="K3567" s="624"/>
    </row>
    <row r="3568" spans="1:15" ht="15" customHeight="1">
      <c r="A3568" s="1052" t="s">
        <v>356</v>
      </c>
      <c r="B3568" s="1053" t="s">
        <v>294</v>
      </c>
      <c r="C3568" s="869"/>
      <c r="D3568" s="1049"/>
      <c r="E3568" s="1054"/>
      <c r="F3568" s="1055"/>
      <c r="G3568" s="1052" t="s">
        <v>356</v>
      </c>
      <c r="H3568" s="1053" t="s">
        <v>295</v>
      </c>
      <c r="I3568" s="869"/>
      <c r="J3568" s="1049"/>
      <c r="L3568" s="1088"/>
      <c r="M3568" s="1088"/>
      <c r="N3568" s="1088"/>
      <c r="O3568" s="1088"/>
    </row>
    <row r="3569" spans="1:15" ht="15" customHeight="1">
      <c r="A3569" s="1056" t="s">
        <v>359</v>
      </c>
      <c r="B3569" s="1057" t="s">
        <v>2662</v>
      </c>
      <c r="C3569" s="1058" t="e">
        <f>VLOOKUP(B3568,'LƯƠNG KT'!$D$15:$R$94,4,0)</f>
        <v>#N/A</v>
      </c>
      <c r="D3569" s="1059" t="e">
        <f>+C3569*25000</f>
        <v>#N/A</v>
      </c>
      <c r="E3569" s="1060"/>
      <c r="F3569" s="1060"/>
      <c r="G3569" s="1056" t="s">
        <v>359</v>
      </c>
      <c r="H3569" s="1057" t="s">
        <v>2662</v>
      </c>
      <c r="I3569" s="1058" t="e">
        <f>VLOOKUP(H3568,'LƯƠNG KT'!$D$15:$R$94,4,0)</f>
        <v>#N/A</v>
      </c>
      <c r="J3569" s="1059" t="e">
        <f>+I3569*25000</f>
        <v>#N/A</v>
      </c>
      <c r="K3569" s="1085"/>
      <c r="L3569" s="1085"/>
      <c r="M3569" s="1085"/>
      <c r="N3569" s="1085"/>
      <c r="O3569" s="1085"/>
    </row>
    <row r="3570" spans="1:15" ht="15" customHeight="1">
      <c r="A3570" s="1056" t="s">
        <v>361</v>
      </c>
      <c r="B3570" s="1057" t="s">
        <v>2663</v>
      </c>
      <c r="C3570" s="1058" t="e">
        <f>VLOOKUP(B3568,'LƯƠNG KT'!$D$15:$R$94,15,0)</f>
        <v>#N/A</v>
      </c>
      <c r="D3570" s="1059" t="e">
        <f>C3570*$L$4</f>
        <v>#N/A</v>
      </c>
      <c r="E3570" s="1061"/>
      <c r="F3570" s="1061"/>
      <c r="G3570" s="1056" t="s">
        <v>361</v>
      </c>
      <c r="H3570" s="1057" t="s">
        <v>2663</v>
      </c>
      <c r="I3570" s="1058" t="e">
        <f>VLOOKUP(H3568,'LƯƠNG KT'!$D$15:$R$94,15,0)</f>
        <v>#N/A</v>
      </c>
      <c r="J3570" s="1059" t="e">
        <f>I3570*$L$4</f>
        <v>#N/A</v>
      </c>
      <c r="K3570" s="1085"/>
      <c r="L3570" s="1085"/>
      <c r="M3570" s="1085"/>
      <c r="N3570" s="1085"/>
      <c r="O3570" s="1085"/>
    </row>
    <row r="3571" spans="1:15" ht="15" customHeight="1">
      <c r="A3571" s="1056" t="s">
        <v>364</v>
      </c>
      <c r="B3571" s="1057" t="s">
        <v>2664</v>
      </c>
      <c r="C3571" s="1058" t="e">
        <f>VLOOKUP(B3568,'LƯƠNG KT'!$D$15:$R$94,16,0)</f>
        <v>#N/A</v>
      </c>
      <c r="D3571" s="1059" t="e">
        <f>C3571*$L$5</f>
        <v>#N/A</v>
      </c>
      <c r="E3571" s="1061"/>
      <c r="F3571" s="1061"/>
      <c r="G3571" s="1056" t="s">
        <v>364</v>
      </c>
      <c r="H3571" s="1057" t="s">
        <v>2664</v>
      </c>
      <c r="I3571" s="1058" t="e">
        <f>VLOOKUP(H3568,'LƯƠNG KT'!$D$15:$R$94,16,0)</f>
        <v>#N/A</v>
      </c>
      <c r="J3571" s="1059" t="e">
        <f>I3571*$L$5</f>
        <v>#N/A</v>
      </c>
      <c r="K3571" s="1085"/>
      <c r="L3571" s="1085"/>
      <c r="M3571" s="1085"/>
      <c r="N3571" s="1085"/>
      <c r="O3571" s="1085"/>
    </row>
    <row r="3572" spans="1:15" ht="15" customHeight="1">
      <c r="A3572" s="1056" t="s">
        <v>370</v>
      </c>
      <c r="B3572" s="1057" t="s">
        <v>2665</v>
      </c>
      <c r="C3572" s="1058" t="e">
        <f>VLOOKUP(B3568,'LƯƠNG KT'!$D$15:$R$94,24,0)</f>
        <v>#N/A</v>
      </c>
      <c r="D3572" s="1059" t="e">
        <f>+C3572*$L$6</f>
        <v>#N/A</v>
      </c>
      <c r="E3572" s="1061"/>
      <c r="F3572" s="1061"/>
      <c r="G3572" s="1056" t="s">
        <v>370</v>
      </c>
      <c r="H3572" s="1057" t="s">
        <v>2665</v>
      </c>
      <c r="I3572" s="1058" t="e">
        <f>VLOOKUP(H3568,'LƯƠNG KT'!$D$15:$R$94,24,0)</f>
        <v>#N/A</v>
      </c>
      <c r="J3572" s="1059" t="e">
        <f>+I3572*$L$6</f>
        <v>#N/A</v>
      </c>
      <c r="K3572" s="1085"/>
      <c r="L3572" s="1085"/>
      <c r="M3572" s="1085"/>
      <c r="N3572" s="1085"/>
      <c r="O3572" s="1085"/>
    </row>
    <row r="3573" spans="1:15" ht="15" customHeight="1">
      <c r="A3573" s="1056" t="s">
        <v>2666</v>
      </c>
      <c r="B3573" s="1057" t="s">
        <v>2667</v>
      </c>
      <c r="C3573" s="1058" t="e">
        <f>VLOOKUP(B3568,'LƯƠNG KT'!$D$15:$R$94,19,0)</f>
        <v>#N/A</v>
      </c>
      <c r="D3573" s="1059" t="e">
        <f>+C3573*$L$8</f>
        <v>#N/A</v>
      </c>
      <c r="E3573" s="1061"/>
      <c r="F3573" s="1061"/>
      <c r="G3573" s="1056" t="s">
        <v>2666</v>
      </c>
      <c r="H3573" s="1057" t="s">
        <v>2667</v>
      </c>
      <c r="I3573" s="1058" t="e">
        <f>VLOOKUP(H3568,'LƯƠNG KT'!$D$15:$R$94,19,0)</f>
        <v>#N/A</v>
      </c>
      <c r="J3573" s="1059" t="e">
        <f>+I3573*$L$8</f>
        <v>#N/A</v>
      </c>
      <c r="K3573" s="1085"/>
      <c r="L3573" s="1085"/>
      <c r="M3573" s="1085"/>
      <c r="N3573" s="1085"/>
      <c r="O3573" s="1085"/>
    </row>
    <row r="3574" spans="1:15" ht="15" customHeight="1">
      <c r="A3574" s="1056" t="s">
        <v>2668</v>
      </c>
      <c r="B3574" s="1062" t="s">
        <v>2669</v>
      </c>
      <c r="C3574" s="1058" t="e">
        <f>VLOOKUP(B3568,'LƯƠNG KT'!$D$15:$R$94,20,0)</f>
        <v>#N/A</v>
      </c>
      <c r="D3574" s="1059" t="e">
        <f>+C3574*$L$9</f>
        <v>#N/A</v>
      </c>
      <c r="E3574" s="1061"/>
      <c r="F3574" s="1061"/>
      <c r="G3574" s="1056" t="s">
        <v>2668</v>
      </c>
      <c r="H3574" s="1062" t="s">
        <v>2669</v>
      </c>
      <c r="I3574" s="1058" t="e">
        <f>VLOOKUP(H3568,'LƯƠNG KT'!$D$15:$R$94,20,0)</f>
        <v>#N/A</v>
      </c>
      <c r="J3574" s="1059" t="e">
        <f>+I3574*$L$9</f>
        <v>#N/A</v>
      </c>
      <c r="K3574" s="1085"/>
      <c r="L3574" s="1085"/>
      <c r="M3574" s="1085"/>
      <c r="N3574" s="1085"/>
      <c r="O3574" s="1085"/>
    </row>
    <row r="3575" spans="1:15" ht="15" customHeight="1">
      <c r="A3575" s="1056" t="s">
        <v>2671</v>
      </c>
      <c r="B3575" s="1057" t="s">
        <v>2672</v>
      </c>
      <c r="C3575" s="1058" t="e">
        <f>VLOOKUP(B3568,'LƯƠNG KT'!$D$15:$R$94,17,0)</f>
        <v>#N/A</v>
      </c>
      <c r="D3575" s="1059" t="e">
        <f>+C3575*$L$10</f>
        <v>#N/A</v>
      </c>
      <c r="E3575" s="1061"/>
      <c r="F3575" s="1061"/>
      <c r="G3575" s="1056" t="s">
        <v>2671</v>
      </c>
      <c r="H3575" s="1057" t="s">
        <v>2672</v>
      </c>
      <c r="I3575" s="1058" t="e">
        <f>VLOOKUP(H3568,'LƯƠNG KT'!$D$15:$R$94,17,0)</f>
        <v>#N/A</v>
      </c>
      <c r="J3575" s="1059" t="e">
        <f>+I3575*$L$10</f>
        <v>#N/A</v>
      </c>
      <c r="K3575" s="1085"/>
      <c r="L3575" s="1085"/>
      <c r="M3575" s="1085"/>
      <c r="N3575" s="1085"/>
      <c r="O3575" s="1085"/>
    </row>
    <row r="3576" spans="1:15" ht="15" customHeight="1">
      <c r="A3576" s="1056" t="s">
        <v>2693</v>
      </c>
      <c r="B3576" s="1062" t="s">
        <v>2692</v>
      </c>
      <c r="C3576" s="1058" t="e">
        <f>VLOOKUP(B3568,'LƯƠNG KT'!$D$15:$R$94,21,0)</f>
        <v>#N/A</v>
      </c>
      <c r="D3576" s="1059" t="e">
        <f>+C3576*$L$7</f>
        <v>#N/A</v>
      </c>
      <c r="E3576" s="1061"/>
      <c r="F3576" s="1061"/>
      <c r="G3576" s="1056" t="s">
        <v>2693</v>
      </c>
      <c r="H3576" s="1062" t="s">
        <v>2692</v>
      </c>
      <c r="I3576" s="1058" t="e">
        <f>VLOOKUP(H3568,'LƯƠNG KT'!$D$15:$R$94,21,0)</f>
        <v>#N/A</v>
      </c>
      <c r="J3576" s="1059" t="e">
        <f>+I3576*$L$7</f>
        <v>#N/A</v>
      </c>
      <c r="K3576" s="1085"/>
      <c r="L3576" s="1085"/>
      <c r="M3576" s="1085"/>
      <c r="N3576" s="1085"/>
      <c r="O3576" s="1085"/>
    </row>
    <row r="3577" spans="1:15" ht="15" customHeight="1">
      <c r="A3577" s="1056" t="s">
        <v>2694</v>
      </c>
      <c r="B3577" s="1057" t="s">
        <v>2684</v>
      </c>
      <c r="C3577" s="1058" t="e">
        <f>VLOOKUP(B3568,'LƯƠNG KT'!$D$15:$R$94,23,0)</f>
        <v>#N/A</v>
      </c>
      <c r="D3577" s="1059" t="e">
        <f>+C3577*20000</f>
        <v>#N/A</v>
      </c>
      <c r="E3577" s="1063"/>
      <c r="F3577" s="1061"/>
      <c r="G3577" s="1056" t="s">
        <v>2694</v>
      </c>
      <c r="H3577" s="1057" t="s">
        <v>2684</v>
      </c>
      <c r="I3577" s="1058" t="e">
        <f>VLOOKUP(H3568,'LƯƠNG KT'!$D$15:$R$94,23,0)</f>
        <v>#N/A</v>
      </c>
      <c r="J3577" s="1059" t="e">
        <f>+I3577*20000</f>
        <v>#N/A</v>
      </c>
      <c r="K3577" s="1085"/>
      <c r="L3577" s="1085"/>
      <c r="M3577" s="1085"/>
      <c r="N3577" s="1085"/>
      <c r="O3577" s="1085"/>
    </row>
    <row r="3578" spans="1:15" ht="15" customHeight="1">
      <c r="A3578" s="1056" t="s">
        <v>374</v>
      </c>
      <c r="B3578" s="1057" t="s">
        <v>2674</v>
      </c>
      <c r="C3578" s="1058" t="e">
        <f>VLOOKUP(B3568,'LƯƠNG KT'!$D$15:$R$94,12,0)</f>
        <v>#N/A</v>
      </c>
      <c r="D3578" s="1059" t="e">
        <f>VLOOKUP(B3568,'LƯƠNG KT'!$D$15:$R$94,14,0)</f>
        <v>#N/A</v>
      </c>
      <c r="E3578" s="1065"/>
      <c r="F3578" s="1065"/>
      <c r="G3578" s="1056" t="s">
        <v>374</v>
      </c>
      <c r="H3578" s="1057" t="s">
        <v>2674</v>
      </c>
      <c r="I3578" s="1058" t="e">
        <f>VLOOKUP(H3568,'LƯƠNG KT'!$D$15:$R$94,12,0)</f>
        <v>#N/A</v>
      </c>
      <c r="J3578" s="1059" t="e">
        <f>VLOOKUP(H3568,'LƯƠNG KT'!$D$15:$R$94,14,0)</f>
        <v>#N/A</v>
      </c>
    </row>
    <row r="3579" spans="1:15" ht="15" customHeight="1">
      <c r="A3579" s="1056" t="s">
        <v>2675</v>
      </c>
      <c r="B3579" s="1057" t="s">
        <v>2676</v>
      </c>
      <c r="D3579" s="1064" t="e">
        <f>VLOOKUP(B3568,'LƯƠNG KT'!$D$15:$R$94,13,0)</f>
        <v>#N/A</v>
      </c>
      <c r="E3579" s="1063"/>
      <c r="F3579" s="1065"/>
      <c r="G3579" s="1056" t="s">
        <v>2675</v>
      </c>
      <c r="H3579" s="1057" t="s">
        <v>2676</v>
      </c>
      <c r="J3579" s="1064" t="e">
        <f>VLOOKUP(H3568,'LƯƠNG KT'!$D$15:$R$94,13,0)</f>
        <v>#N/A</v>
      </c>
    </row>
    <row r="3580" spans="1:15" ht="15" customHeight="1">
      <c r="A3580" s="1052"/>
      <c r="B3580" s="869"/>
      <c r="C3580" s="1058"/>
      <c r="D3580" s="1059"/>
      <c r="E3580" s="1067"/>
      <c r="F3580" s="1051"/>
      <c r="G3580" s="1052"/>
      <c r="H3580" s="869"/>
      <c r="I3580" s="1058"/>
      <c r="J3580" s="1059"/>
    </row>
    <row r="3581" spans="1:15" ht="15" customHeight="1">
      <c r="A3581" s="1068" t="s">
        <v>383</v>
      </c>
      <c r="B3581" s="1069" t="s">
        <v>384</v>
      </c>
      <c r="C3581" s="1070"/>
      <c r="D3581" s="1071" t="e">
        <f>SUM(D3569:D3578)</f>
        <v>#N/A</v>
      </c>
      <c r="E3581" s="1072"/>
      <c r="F3581" s="1073"/>
      <c r="G3581" s="1068" t="s">
        <v>383</v>
      </c>
      <c r="H3581" s="1069" t="s">
        <v>384</v>
      </c>
      <c r="I3581" s="1070"/>
      <c r="J3581" s="1071" t="e">
        <f>SUM(J3569:J3578)</f>
        <v>#N/A</v>
      </c>
    </row>
    <row r="3582" spans="1:15" ht="27.75" customHeight="1">
      <c r="A3582" s="1074"/>
      <c r="B3582" s="1075"/>
      <c r="C3582" s="1076"/>
      <c r="D3582" s="1077"/>
      <c r="E3582" s="1077"/>
      <c r="F3582" s="1078"/>
      <c r="G3582" s="1074"/>
      <c r="H3582" s="1075"/>
      <c r="I3582" s="1076"/>
      <c r="J3582" s="1077"/>
    </row>
    <row r="3583" spans="1:15" ht="27.75" customHeight="1">
      <c r="A3583" s="1074"/>
      <c r="B3583" s="1075"/>
      <c r="C3583" s="1076"/>
      <c r="D3583" s="1077"/>
      <c r="E3583" s="1096"/>
      <c r="F3583" s="1072"/>
      <c r="G3583" s="1074"/>
      <c r="H3583" s="1075"/>
      <c r="I3583" s="1076"/>
      <c r="J3583" s="1077"/>
    </row>
    <row r="3584" spans="1:15" ht="15" customHeight="1">
      <c r="A3584" s="2242" t="str">
        <f>$K$2</f>
        <v>THÁNG 04/2025</v>
      </c>
      <c r="B3584" s="2242"/>
      <c r="C3584" s="2242"/>
      <c r="D3584" s="2242"/>
      <c r="E3584" s="1050"/>
      <c r="F3584" s="1051"/>
      <c r="G3584" s="2242" t="str">
        <f>$K$2</f>
        <v>THÁNG 04/2025</v>
      </c>
      <c r="H3584" s="2242"/>
      <c r="I3584" s="2242"/>
      <c r="J3584" s="2242"/>
      <c r="K3584" s="624"/>
    </row>
    <row r="3585" spans="1:15" ht="15" customHeight="1">
      <c r="A3585" s="1052" t="s">
        <v>356</v>
      </c>
      <c r="B3585" s="1053" t="s">
        <v>296</v>
      </c>
      <c r="C3585" s="869"/>
      <c r="D3585" s="1049"/>
      <c r="E3585" s="1054"/>
      <c r="F3585" s="1055"/>
      <c r="G3585" s="1052" t="s">
        <v>356</v>
      </c>
      <c r="H3585" s="1053" t="s">
        <v>297</v>
      </c>
      <c r="I3585" s="869"/>
      <c r="J3585" s="1049"/>
      <c r="L3585" s="1088"/>
      <c r="M3585" s="1088"/>
      <c r="N3585" s="1088"/>
      <c r="O3585" s="1088"/>
    </row>
    <row r="3586" spans="1:15" ht="15" customHeight="1">
      <c r="A3586" s="1056" t="s">
        <v>359</v>
      </c>
      <c r="B3586" s="1057" t="s">
        <v>2662</v>
      </c>
      <c r="C3586" s="1058" t="e">
        <f>VLOOKUP(B3585,'LƯƠNG KT'!$D$15:$R$94,4,0)</f>
        <v>#N/A</v>
      </c>
      <c r="D3586" s="1059" t="e">
        <f>+C3586*25000</f>
        <v>#N/A</v>
      </c>
      <c r="E3586" s="1060"/>
      <c r="F3586" s="1060"/>
      <c r="G3586" s="1056" t="s">
        <v>359</v>
      </c>
      <c r="H3586" s="1057" t="s">
        <v>2662</v>
      </c>
      <c r="I3586" s="1058" t="e">
        <f>VLOOKUP(H3585,'LƯƠNG KT'!$D$15:$R$94,4,0)</f>
        <v>#N/A</v>
      </c>
      <c r="J3586" s="1059" t="e">
        <f>+I3586*25000</f>
        <v>#N/A</v>
      </c>
      <c r="K3586" s="1084"/>
      <c r="L3586" s="1085"/>
      <c r="M3586" s="1085"/>
      <c r="N3586" s="1085"/>
      <c r="O3586" s="1085"/>
    </row>
    <row r="3587" spans="1:15" ht="15" customHeight="1">
      <c r="A3587" s="1056" t="s">
        <v>361</v>
      </c>
      <c r="B3587" s="1057" t="s">
        <v>2663</v>
      </c>
      <c r="C3587" s="1058" t="e">
        <f>VLOOKUP(B3585,'LƯƠNG KT'!$D$15:$R$94,15,0)</f>
        <v>#N/A</v>
      </c>
      <c r="D3587" s="1059" t="e">
        <f>C3587*$L$4</f>
        <v>#N/A</v>
      </c>
      <c r="E3587" s="1061"/>
      <c r="F3587" s="1061"/>
      <c r="G3587" s="1056" t="s">
        <v>361</v>
      </c>
      <c r="H3587" s="1057" t="s">
        <v>2663</v>
      </c>
      <c r="I3587" s="1058" t="e">
        <f>VLOOKUP(H3585,'LƯƠNG KT'!$D$15:$R$94,15,0)</f>
        <v>#N/A</v>
      </c>
      <c r="J3587" s="1059" t="e">
        <f>I3587*$L$4</f>
        <v>#N/A</v>
      </c>
      <c r="K3587" s="1084"/>
      <c r="L3587" s="1085"/>
      <c r="M3587" s="1085"/>
      <c r="N3587" s="1085"/>
      <c r="O3587" s="1085"/>
    </row>
    <row r="3588" spans="1:15" ht="15" customHeight="1">
      <c r="A3588" s="1056" t="s">
        <v>364</v>
      </c>
      <c r="B3588" s="1057" t="s">
        <v>2664</v>
      </c>
      <c r="C3588" s="1058" t="e">
        <f>VLOOKUP(B3585,'LƯƠNG KT'!$D$15:$R$94,16,0)</f>
        <v>#N/A</v>
      </c>
      <c r="D3588" s="1059" t="e">
        <f>C3588*$L$5</f>
        <v>#N/A</v>
      </c>
      <c r="E3588" s="1061"/>
      <c r="F3588" s="1061"/>
      <c r="G3588" s="1056" t="s">
        <v>364</v>
      </c>
      <c r="H3588" s="1057" t="s">
        <v>2664</v>
      </c>
      <c r="I3588" s="1058" t="e">
        <f>VLOOKUP(H3585,'LƯƠNG KT'!$D$15:$R$94,16,0)</f>
        <v>#N/A</v>
      </c>
      <c r="J3588" s="1059" t="e">
        <f>I3588*$L$5</f>
        <v>#N/A</v>
      </c>
      <c r="K3588" s="1084"/>
      <c r="L3588" s="1085"/>
      <c r="M3588" s="1085"/>
      <c r="N3588" s="1085"/>
      <c r="O3588" s="1085"/>
    </row>
    <row r="3589" spans="1:15" ht="15" customHeight="1">
      <c r="A3589" s="1056" t="s">
        <v>370</v>
      </c>
      <c r="B3589" s="1057" t="s">
        <v>2665</v>
      </c>
      <c r="C3589" s="1058" t="e">
        <f>VLOOKUP(B3585,'LƯƠNG KT'!$D$15:$R$94,24,0)</f>
        <v>#N/A</v>
      </c>
      <c r="D3589" s="1059" t="e">
        <f>+C3589*$L$6</f>
        <v>#N/A</v>
      </c>
      <c r="E3589" s="1061"/>
      <c r="F3589" s="1061"/>
      <c r="G3589" s="1056" t="s">
        <v>370</v>
      </c>
      <c r="H3589" s="1057" t="s">
        <v>2665</v>
      </c>
      <c r="I3589" s="1058" t="e">
        <f>VLOOKUP(H3585,'LƯƠNG KT'!$D$15:$R$94,24,0)</f>
        <v>#N/A</v>
      </c>
      <c r="J3589" s="1059" t="e">
        <f>+I3589*$L$6</f>
        <v>#N/A</v>
      </c>
      <c r="K3589" s="1085"/>
      <c r="L3589" s="1085"/>
      <c r="M3589" s="1085"/>
      <c r="N3589" s="1085"/>
      <c r="O3589" s="1085"/>
    </row>
    <row r="3590" spans="1:15" ht="15" customHeight="1">
      <c r="A3590" s="1056" t="s">
        <v>2666</v>
      </c>
      <c r="B3590" s="1057" t="s">
        <v>2667</v>
      </c>
      <c r="C3590" s="1058" t="e">
        <f>VLOOKUP(B3585,'LƯƠNG KT'!$D$15:$R$94,19,0)</f>
        <v>#N/A</v>
      </c>
      <c r="D3590" s="1059" t="e">
        <f>+C3590*$L$8</f>
        <v>#N/A</v>
      </c>
      <c r="E3590" s="1061"/>
      <c r="F3590" s="1061"/>
      <c r="G3590" s="1056" t="s">
        <v>2666</v>
      </c>
      <c r="H3590" s="1057" t="s">
        <v>2667</v>
      </c>
      <c r="I3590" s="1058" t="e">
        <f>VLOOKUP(H3585,'LƯƠNG KT'!$D$15:$R$94,19,0)</f>
        <v>#N/A</v>
      </c>
      <c r="J3590" s="1059" t="e">
        <f>+I3590*$L$8</f>
        <v>#N/A</v>
      </c>
      <c r="K3590" s="1085"/>
      <c r="L3590" s="1085"/>
      <c r="M3590" s="1085"/>
      <c r="N3590" s="1085"/>
      <c r="O3590" s="1085"/>
    </row>
    <row r="3591" spans="1:15" ht="15" customHeight="1">
      <c r="A3591" s="1056" t="s">
        <v>2668</v>
      </c>
      <c r="B3591" s="1062" t="s">
        <v>2669</v>
      </c>
      <c r="C3591" s="1058" t="e">
        <f>VLOOKUP(B3585,'LƯƠNG KT'!$D$15:$R$94,20,0)</f>
        <v>#N/A</v>
      </c>
      <c r="D3591" s="1059" t="e">
        <f>+C3591*$L$9</f>
        <v>#N/A</v>
      </c>
      <c r="E3591" s="1061"/>
      <c r="F3591" s="1061"/>
      <c r="G3591" s="1056" t="s">
        <v>2668</v>
      </c>
      <c r="H3591" s="1062" t="s">
        <v>2669</v>
      </c>
      <c r="I3591" s="1058" t="e">
        <f>VLOOKUP(H3585,'LƯƠNG KT'!$D$15:$R$94,20,0)</f>
        <v>#N/A</v>
      </c>
      <c r="J3591" s="1059" t="e">
        <f>+I3591*$L$9</f>
        <v>#N/A</v>
      </c>
      <c r="K3591" s="1085"/>
      <c r="L3591" s="1085"/>
      <c r="M3591" s="1085"/>
      <c r="N3591" s="1085"/>
      <c r="O3591" s="1085"/>
    </row>
    <row r="3592" spans="1:15" ht="15" customHeight="1">
      <c r="A3592" s="1056" t="s">
        <v>2671</v>
      </c>
      <c r="B3592" s="1057" t="s">
        <v>2672</v>
      </c>
      <c r="C3592" s="1058" t="e">
        <f>VLOOKUP(B3585,'LƯƠNG KT'!$D$15:$R$94,17,0)</f>
        <v>#N/A</v>
      </c>
      <c r="D3592" s="1059" t="e">
        <f>+C3592*$L$10</f>
        <v>#N/A</v>
      </c>
      <c r="E3592" s="1061"/>
      <c r="F3592" s="1061"/>
      <c r="G3592" s="1056" t="s">
        <v>2671</v>
      </c>
      <c r="H3592" s="1057" t="s">
        <v>2672</v>
      </c>
      <c r="I3592" s="1058" t="e">
        <f>VLOOKUP(H3585,'LƯƠNG KT'!$D$15:$R$94,17,0)</f>
        <v>#N/A</v>
      </c>
      <c r="J3592" s="1059" t="e">
        <f>+I3592*$L$10</f>
        <v>#N/A</v>
      </c>
      <c r="K3592" s="1085"/>
      <c r="L3592" s="1085"/>
      <c r="M3592" s="1085"/>
      <c r="N3592" s="1085"/>
      <c r="O3592" s="1085"/>
    </row>
    <row r="3593" spans="1:15" ht="15" customHeight="1">
      <c r="A3593" s="1056" t="s">
        <v>2693</v>
      </c>
      <c r="B3593" s="1062" t="s">
        <v>2692</v>
      </c>
      <c r="C3593" s="1058" t="e">
        <f>VLOOKUP(B3585,'LƯƠNG KT'!$D$15:$R$94,21,0)</f>
        <v>#N/A</v>
      </c>
      <c r="D3593" s="1059" t="e">
        <f>+C3593*$L$7</f>
        <v>#N/A</v>
      </c>
      <c r="E3593" s="1061"/>
      <c r="F3593" s="1061"/>
      <c r="G3593" s="1056" t="s">
        <v>2693</v>
      </c>
      <c r="H3593" s="1062" t="s">
        <v>2692</v>
      </c>
      <c r="I3593" s="1058" t="e">
        <f>VLOOKUP(H3585,'LƯƠNG KT'!$D$15:$R$94,21,0)</f>
        <v>#N/A</v>
      </c>
      <c r="J3593" s="1059" t="e">
        <f>+I3593*$L$7</f>
        <v>#N/A</v>
      </c>
      <c r="K3593" s="1085"/>
      <c r="L3593" s="1085"/>
      <c r="M3593" s="1085"/>
      <c r="N3593" s="1085"/>
      <c r="O3593" s="1085"/>
    </row>
    <row r="3594" spans="1:15" ht="15" customHeight="1">
      <c r="A3594" s="1056" t="s">
        <v>2694</v>
      </c>
      <c r="B3594" s="1057" t="s">
        <v>2684</v>
      </c>
      <c r="C3594" s="1058" t="e">
        <f>VLOOKUP(B3585,'LƯƠNG KT'!$D$15:$R$94,23,0)</f>
        <v>#N/A</v>
      </c>
      <c r="D3594" s="1059" t="e">
        <f>+C3594*20000</f>
        <v>#N/A</v>
      </c>
      <c r="E3594" s="1063"/>
      <c r="F3594" s="1061"/>
      <c r="G3594" s="1056" t="s">
        <v>2694</v>
      </c>
      <c r="H3594" s="1057" t="s">
        <v>2684</v>
      </c>
      <c r="I3594" s="1058" t="e">
        <f>VLOOKUP(H3585,'LƯƠNG KT'!$D$15:$R$94,23,0)</f>
        <v>#N/A</v>
      </c>
      <c r="J3594" s="1059" t="e">
        <f>+I3594*20000</f>
        <v>#N/A</v>
      </c>
      <c r="K3594" s="1085"/>
      <c r="L3594" s="1085"/>
      <c r="M3594" s="1085"/>
      <c r="N3594" s="1085"/>
      <c r="O3594" s="1085"/>
    </row>
    <row r="3595" spans="1:15" ht="15" customHeight="1">
      <c r="A3595" s="1056" t="s">
        <v>374</v>
      </c>
      <c r="B3595" s="1057" t="s">
        <v>2674</v>
      </c>
      <c r="C3595" s="1058" t="e">
        <f>VLOOKUP(B3585,'LƯƠNG KT'!$D$15:$R$94,12,0)</f>
        <v>#N/A</v>
      </c>
      <c r="D3595" s="1059" t="e">
        <f>VLOOKUP(B3585,'LƯƠNG KT'!$D$15:$R$94,14,0)</f>
        <v>#N/A</v>
      </c>
      <c r="E3595" s="1065"/>
      <c r="F3595" s="1065"/>
      <c r="G3595" s="1056" t="s">
        <v>374</v>
      </c>
      <c r="H3595" s="1057" t="s">
        <v>2674</v>
      </c>
      <c r="I3595" s="1058" t="e">
        <f>VLOOKUP(H3585,'LƯƠNG KT'!$D$15:$R$94,12,0)</f>
        <v>#N/A</v>
      </c>
      <c r="J3595" s="1059" t="e">
        <f>VLOOKUP(H3585,'LƯƠNG KT'!$D$15:$R$94,14,0)</f>
        <v>#N/A</v>
      </c>
    </row>
    <row r="3596" spans="1:15" ht="15" customHeight="1">
      <c r="A3596" s="1056" t="s">
        <v>2675</v>
      </c>
      <c r="B3596" s="1057" t="s">
        <v>2676</v>
      </c>
      <c r="D3596" s="1064" t="e">
        <f>VLOOKUP(B3585,'LƯƠNG KT'!$D$15:$R$94,13,0)</f>
        <v>#N/A</v>
      </c>
      <c r="E3596" s="1063"/>
      <c r="F3596" s="1065"/>
      <c r="G3596" s="1056" t="s">
        <v>2675</v>
      </c>
      <c r="H3596" s="1057" t="s">
        <v>2676</v>
      </c>
      <c r="J3596" s="1064" t="e">
        <f>VLOOKUP(H3585,'LƯƠNG KT'!$D$15:$R$94,13,0)</f>
        <v>#N/A</v>
      </c>
    </row>
    <row r="3597" spans="1:15" ht="15" customHeight="1">
      <c r="A3597" s="1052"/>
      <c r="B3597" s="869"/>
      <c r="C3597" s="1058"/>
      <c r="D3597" s="1059"/>
      <c r="E3597" s="1067"/>
      <c r="F3597" s="1051"/>
      <c r="G3597" s="1052"/>
      <c r="H3597" s="869"/>
      <c r="I3597" s="1058"/>
      <c r="J3597" s="1059"/>
    </row>
    <row r="3598" spans="1:15" ht="15" customHeight="1">
      <c r="A3598" s="1068" t="s">
        <v>383</v>
      </c>
      <c r="B3598" s="1069" t="s">
        <v>384</v>
      </c>
      <c r="C3598" s="1070"/>
      <c r="D3598" s="1071" t="e">
        <f>SUM(D3586:D3595)</f>
        <v>#N/A</v>
      </c>
      <c r="E3598" s="1072"/>
      <c r="F3598" s="1073"/>
      <c r="G3598" s="1068" t="s">
        <v>383</v>
      </c>
      <c r="H3598" s="1069" t="s">
        <v>384</v>
      </c>
      <c r="I3598" s="1070"/>
      <c r="J3598" s="1071" t="e">
        <f>SUM(J3586:J3595)</f>
        <v>#N/A</v>
      </c>
    </row>
    <row r="3599" spans="1:15" ht="18" customHeight="1">
      <c r="A3599" s="1074"/>
      <c r="B3599" s="1075"/>
      <c r="C3599" s="1076"/>
      <c r="D3599" s="1077"/>
      <c r="E3599" s="1077"/>
      <c r="F3599" s="1078"/>
      <c r="G3599" s="1074"/>
      <c r="H3599" s="1075"/>
      <c r="I3599" s="1076"/>
      <c r="J3599" s="1077"/>
    </row>
    <row r="3600" spans="1:15" ht="21.75" customHeight="1">
      <c r="A3600" s="1075"/>
      <c r="B3600" s="1075"/>
      <c r="C3600" s="1079"/>
      <c r="D3600" s="1080"/>
      <c r="E3600" s="1075"/>
      <c r="F3600" s="1081"/>
      <c r="G3600" s="1075"/>
      <c r="H3600" s="1075"/>
      <c r="I3600" s="1079"/>
      <c r="J3600" s="1080"/>
    </row>
    <row r="3601" spans="1:15" ht="21.75" customHeight="1">
      <c r="A3601" s="2242" t="str">
        <f>$K$2</f>
        <v>THÁNG 04/2025</v>
      </c>
      <c r="B3601" s="2242"/>
      <c r="C3601" s="2242"/>
      <c r="D3601" s="2242"/>
      <c r="E3601" s="1050"/>
      <c r="F3601" s="1051"/>
      <c r="G3601" s="2242" t="str">
        <f>$K$2</f>
        <v>THÁNG 04/2025</v>
      </c>
      <c r="H3601" s="2242"/>
      <c r="I3601" s="2242"/>
      <c r="J3601" s="2242"/>
      <c r="K3601" s="624"/>
    </row>
    <row r="3602" spans="1:15" ht="15" customHeight="1">
      <c r="A3602" s="1052" t="s">
        <v>356</v>
      </c>
      <c r="B3602" s="1053" t="s">
        <v>518</v>
      </c>
      <c r="C3602" s="869"/>
      <c r="D3602" s="1049"/>
      <c r="E3602" s="1054"/>
      <c r="F3602" s="1055"/>
      <c r="G3602" s="1052" t="s">
        <v>356</v>
      </c>
      <c r="H3602" s="1053" t="s">
        <v>299</v>
      </c>
      <c r="I3602" s="869"/>
      <c r="J3602" s="1049"/>
      <c r="L3602" s="1088"/>
      <c r="M3602" s="1088"/>
      <c r="N3602" s="1088"/>
      <c r="O3602" s="1088"/>
    </row>
    <row r="3603" spans="1:15" ht="15" customHeight="1">
      <c r="A3603" s="1056" t="s">
        <v>359</v>
      </c>
      <c r="B3603" s="1057" t="s">
        <v>2662</v>
      </c>
      <c r="C3603" s="1058" t="e">
        <f>VLOOKUP(B3602,'LƯƠNG KT'!$D$15:$R$94,4,0)</f>
        <v>#N/A</v>
      </c>
      <c r="D3603" s="1059" t="e">
        <f>+C3603*25000</f>
        <v>#N/A</v>
      </c>
      <c r="E3603" s="1060"/>
      <c r="F3603" s="1060"/>
      <c r="G3603" s="1056" t="s">
        <v>359</v>
      </c>
      <c r="H3603" s="1057" t="s">
        <v>2662</v>
      </c>
      <c r="I3603" s="1058" t="e">
        <f>VLOOKUP(H3602,'LƯƠNG KT'!$D$15:$R$94,4,0)</f>
        <v>#N/A</v>
      </c>
      <c r="J3603" s="1059" t="e">
        <f>+I3603*25000</f>
        <v>#N/A</v>
      </c>
      <c r="K3603" s="1085"/>
      <c r="L3603" s="1085"/>
      <c r="M3603" s="1085"/>
      <c r="N3603" s="1085"/>
      <c r="O3603" s="1085"/>
    </row>
    <row r="3604" spans="1:15" ht="15" customHeight="1">
      <c r="A3604" s="1056" t="s">
        <v>361</v>
      </c>
      <c r="B3604" s="1057" t="s">
        <v>2663</v>
      </c>
      <c r="C3604" s="1058" t="e">
        <f>VLOOKUP(B3602,'LƯƠNG KT'!$D$15:$R$94,15,0)</f>
        <v>#N/A</v>
      </c>
      <c r="D3604" s="1059" t="e">
        <f>C3604*$L$4</f>
        <v>#N/A</v>
      </c>
      <c r="E3604" s="1061"/>
      <c r="F3604" s="1061"/>
      <c r="G3604" s="1056" t="s">
        <v>361</v>
      </c>
      <c r="H3604" s="1057" t="s">
        <v>2663</v>
      </c>
      <c r="I3604" s="1058" t="e">
        <f>VLOOKUP(H3602,'LƯƠNG KT'!$D$15:$R$94,15,0)</f>
        <v>#N/A</v>
      </c>
      <c r="J3604" s="1059" t="e">
        <f>I3604*$L$4</f>
        <v>#N/A</v>
      </c>
      <c r="K3604" s="1085"/>
      <c r="L3604" s="1085"/>
      <c r="M3604" s="1085"/>
      <c r="N3604" s="1085"/>
      <c r="O3604" s="1085"/>
    </row>
    <row r="3605" spans="1:15" ht="15" customHeight="1">
      <c r="A3605" s="1056" t="s">
        <v>364</v>
      </c>
      <c r="B3605" s="1057" t="s">
        <v>2664</v>
      </c>
      <c r="C3605" s="1058" t="e">
        <f>VLOOKUP(B3602,'LƯƠNG KT'!$D$15:$R$94,16,0)</f>
        <v>#N/A</v>
      </c>
      <c r="D3605" s="1059" t="e">
        <f>C3605*$L$5</f>
        <v>#N/A</v>
      </c>
      <c r="E3605" s="1061"/>
      <c r="F3605" s="1061"/>
      <c r="G3605" s="1056" t="s">
        <v>364</v>
      </c>
      <c r="H3605" s="1057" t="s">
        <v>2664</v>
      </c>
      <c r="I3605" s="1058" t="e">
        <f>VLOOKUP(H3602,'LƯƠNG KT'!$D$15:$R$94,16,0)</f>
        <v>#N/A</v>
      </c>
      <c r="J3605" s="1059" t="e">
        <f>I3605*$L$5</f>
        <v>#N/A</v>
      </c>
      <c r="K3605" s="1085"/>
      <c r="L3605" s="1085"/>
      <c r="M3605" s="1085"/>
      <c r="N3605" s="1085"/>
      <c r="O3605" s="1085"/>
    </row>
    <row r="3606" spans="1:15" ht="15" customHeight="1">
      <c r="A3606" s="1056" t="s">
        <v>370</v>
      </c>
      <c r="B3606" s="1057" t="s">
        <v>2665</v>
      </c>
      <c r="C3606" s="1058" t="e">
        <f>VLOOKUP(B3602,'LƯƠNG KT'!$D$15:$R$94,24,0)</f>
        <v>#N/A</v>
      </c>
      <c r="D3606" s="1059" t="e">
        <f>+C3606*$L$6</f>
        <v>#N/A</v>
      </c>
      <c r="E3606" s="1061"/>
      <c r="F3606" s="1061"/>
      <c r="G3606" s="1056" t="s">
        <v>370</v>
      </c>
      <c r="H3606" s="1057" t="s">
        <v>2665</v>
      </c>
      <c r="I3606" s="1058" t="e">
        <f>VLOOKUP(H3602,'LƯƠNG KT'!$D$15:$R$94,24,0)</f>
        <v>#N/A</v>
      </c>
      <c r="J3606" s="1059" t="e">
        <f>+I3606*$L$6</f>
        <v>#N/A</v>
      </c>
      <c r="K3606" s="1085"/>
      <c r="L3606" s="1085"/>
      <c r="M3606" s="1085"/>
      <c r="N3606" s="1085"/>
      <c r="O3606" s="1085"/>
    </row>
    <row r="3607" spans="1:15" ht="15" customHeight="1">
      <c r="A3607" s="1056" t="s">
        <v>2666</v>
      </c>
      <c r="B3607" s="1057" t="s">
        <v>2667</v>
      </c>
      <c r="C3607" s="1058" t="e">
        <f>VLOOKUP(B3602,'LƯƠNG KT'!$D$15:$R$94,19,0)</f>
        <v>#N/A</v>
      </c>
      <c r="D3607" s="1059" t="e">
        <f>+C3607*$L$8</f>
        <v>#N/A</v>
      </c>
      <c r="E3607" s="1061"/>
      <c r="F3607" s="1061"/>
      <c r="G3607" s="1056" t="s">
        <v>2666</v>
      </c>
      <c r="H3607" s="1057" t="s">
        <v>2667</v>
      </c>
      <c r="I3607" s="1058" t="e">
        <f>VLOOKUP(H3602,'LƯƠNG KT'!$D$15:$R$94,19,0)</f>
        <v>#N/A</v>
      </c>
      <c r="J3607" s="1059" t="e">
        <f>+I3607*$L$8</f>
        <v>#N/A</v>
      </c>
      <c r="K3607" s="1085"/>
      <c r="L3607" s="1085"/>
      <c r="M3607" s="1085"/>
      <c r="N3607" s="1085"/>
      <c r="O3607" s="1085"/>
    </row>
    <row r="3608" spans="1:15" ht="15" customHeight="1">
      <c r="A3608" s="1056" t="s">
        <v>2668</v>
      </c>
      <c r="B3608" s="1062" t="s">
        <v>2669</v>
      </c>
      <c r="C3608" s="1058" t="e">
        <f>VLOOKUP(B3602,'LƯƠNG KT'!$D$15:$R$94,20,0)</f>
        <v>#N/A</v>
      </c>
      <c r="D3608" s="1059" t="e">
        <f>+C3608*$L$9</f>
        <v>#N/A</v>
      </c>
      <c r="E3608" s="1061"/>
      <c r="F3608" s="1061"/>
      <c r="G3608" s="1056" t="s">
        <v>2668</v>
      </c>
      <c r="H3608" s="1062" t="s">
        <v>2669</v>
      </c>
      <c r="I3608" s="1058" t="e">
        <f>VLOOKUP(H3602,'LƯƠNG KT'!$D$15:$R$94,20,0)</f>
        <v>#N/A</v>
      </c>
      <c r="J3608" s="1059" t="e">
        <f>+I3608*$L$9</f>
        <v>#N/A</v>
      </c>
      <c r="K3608" s="1085"/>
      <c r="L3608" s="1085"/>
      <c r="M3608" s="1085"/>
      <c r="N3608" s="1085"/>
      <c r="O3608" s="1085"/>
    </row>
    <row r="3609" spans="1:15" ht="15" customHeight="1">
      <c r="A3609" s="1056" t="s">
        <v>2671</v>
      </c>
      <c r="B3609" s="1057" t="s">
        <v>2672</v>
      </c>
      <c r="C3609" s="1058" t="e">
        <f>VLOOKUP(B3602,'LƯƠNG KT'!$D$15:$R$94,17,0)</f>
        <v>#N/A</v>
      </c>
      <c r="D3609" s="1059" t="e">
        <f>+C3609*$L$10</f>
        <v>#N/A</v>
      </c>
      <c r="E3609" s="1061"/>
      <c r="F3609" s="1061"/>
      <c r="G3609" s="1056" t="s">
        <v>2671</v>
      </c>
      <c r="H3609" s="1057" t="s">
        <v>2672</v>
      </c>
      <c r="I3609" s="1058" t="e">
        <f>VLOOKUP(H3602,'LƯƠNG KT'!$D$15:$R$94,17,0)</f>
        <v>#N/A</v>
      </c>
      <c r="J3609" s="1059" t="e">
        <f>+I3609*$L$10</f>
        <v>#N/A</v>
      </c>
      <c r="K3609" s="1085"/>
      <c r="L3609" s="1085"/>
      <c r="M3609" s="1085"/>
      <c r="N3609" s="1085"/>
      <c r="O3609" s="1085"/>
    </row>
    <row r="3610" spans="1:15" ht="15" customHeight="1">
      <c r="A3610" s="1056" t="s">
        <v>2693</v>
      </c>
      <c r="B3610" s="1062" t="s">
        <v>2692</v>
      </c>
      <c r="C3610" s="1058" t="e">
        <f>VLOOKUP(B3602,'LƯƠNG KT'!$D$15:$R$94,21,0)</f>
        <v>#N/A</v>
      </c>
      <c r="D3610" s="1059" t="e">
        <f>+C3610*$L$7</f>
        <v>#N/A</v>
      </c>
      <c r="E3610" s="1061"/>
      <c r="F3610" s="1061"/>
      <c r="G3610" s="1056" t="s">
        <v>2693</v>
      </c>
      <c r="H3610" s="1062" t="s">
        <v>2692</v>
      </c>
      <c r="I3610" s="1058" t="e">
        <f>VLOOKUP(H3602,'LƯƠNG KT'!$D$15:$R$94,21,0)</f>
        <v>#N/A</v>
      </c>
      <c r="J3610" s="1059" t="e">
        <f>+I3610*$L$7</f>
        <v>#N/A</v>
      </c>
      <c r="K3610" s="1085"/>
      <c r="L3610" s="1085"/>
      <c r="M3610" s="1085"/>
      <c r="N3610" s="1085"/>
      <c r="O3610" s="1085"/>
    </row>
    <row r="3611" spans="1:15" ht="15" customHeight="1">
      <c r="A3611" s="1056" t="s">
        <v>2694</v>
      </c>
      <c r="B3611" s="1057" t="s">
        <v>2684</v>
      </c>
      <c r="C3611" s="1058" t="e">
        <f>VLOOKUP(B3602,'LƯƠNG KT'!$D$15:$R$94,23,0)</f>
        <v>#N/A</v>
      </c>
      <c r="D3611" s="1059" t="e">
        <f>+C3611*20000</f>
        <v>#N/A</v>
      </c>
      <c r="E3611" s="1063"/>
      <c r="F3611" s="1061"/>
      <c r="G3611" s="1056" t="s">
        <v>2694</v>
      </c>
      <c r="H3611" s="1057" t="s">
        <v>2684</v>
      </c>
      <c r="I3611" s="1058" t="e">
        <f>VLOOKUP(H3602,'LƯƠNG KT'!$D$15:$R$94,23,0)</f>
        <v>#N/A</v>
      </c>
      <c r="J3611" s="1059" t="e">
        <f>+I3611*20000</f>
        <v>#N/A</v>
      </c>
      <c r="K3611" s="1085"/>
      <c r="L3611" s="1085"/>
      <c r="M3611" s="1085"/>
      <c r="N3611" s="1085"/>
      <c r="O3611" s="1085"/>
    </row>
    <row r="3612" spans="1:15" ht="15" customHeight="1">
      <c r="A3612" s="1056" t="s">
        <v>374</v>
      </c>
      <c r="B3612" s="1057" t="s">
        <v>2674</v>
      </c>
      <c r="C3612" s="1058" t="e">
        <f>VLOOKUP(B3602,'LƯƠNG KT'!$D$15:$R$94,12,0)</f>
        <v>#N/A</v>
      </c>
      <c r="D3612" s="1059" t="e">
        <f>VLOOKUP(B3602,'LƯƠNG KT'!$D$15:$R$94,14,0)</f>
        <v>#N/A</v>
      </c>
      <c r="E3612" s="1065"/>
      <c r="F3612" s="1065"/>
      <c r="G3612" s="1056" t="s">
        <v>374</v>
      </c>
      <c r="H3612" s="1057" t="s">
        <v>2674</v>
      </c>
      <c r="I3612" s="1058" t="e">
        <f>VLOOKUP(H3602,'LƯƠNG KT'!$D$15:$R$94,12,0)</f>
        <v>#N/A</v>
      </c>
      <c r="J3612" s="1059" t="e">
        <f>VLOOKUP(H3602,'LƯƠNG KT'!$D$15:$R$94,14,0)</f>
        <v>#N/A</v>
      </c>
    </row>
    <row r="3613" spans="1:15" ht="15" customHeight="1">
      <c r="A3613" s="1056" t="s">
        <v>2675</v>
      </c>
      <c r="B3613" s="1057" t="s">
        <v>2676</v>
      </c>
      <c r="D3613" s="1064" t="e">
        <f>VLOOKUP(B3602,'LƯƠNG KT'!$D$15:$R$94,13,0)</f>
        <v>#N/A</v>
      </c>
      <c r="E3613" s="1063"/>
      <c r="F3613" s="1065"/>
      <c r="G3613" s="1056" t="s">
        <v>2675</v>
      </c>
      <c r="H3613" s="1057" t="s">
        <v>2676</v>
      </c>
      <c r="J3613" s="1064" t="e">
        <f>VLOOKUP(H3602,'LƯƠNG KT'!$D$15:$R$94,13,0)</f>
        <v>#N/A</v>
      </c>
    </row>
    <row r="3614" spans="1:15" ht="15" customHeight="1">
      <c r="A3614" s="1052"/>
      <c r="B3614" s="869"/>
      <c r="C3614" s="1058"/>
      <c r="D3614" s="1059"/>
      <c r="E3614" s="1067"/>
      <c r="F3614" s="1051"/>
      <c r="G3614" s="1052"/>
      <c r="H3614" s="869"/>
      <c r="I3614" s="1058"/>
      <c r="J3614" s="1059"/>
    </row>
    <row r="3615" spans="1:15" ht="15" customHeight="1">
      <c r="A3615" s="1068" t="s">
        <v>383</v>
      </c>
      <c r="B3615" s="1069" t="s">
        <v>384</v>
      </c>
      <c r="C3615" s="1070"/>
      <c r="D3615" s="1071" t="e">
        <f>SUM(D3603:D3612)</f>
        <v>#N/A</v>
      </c>
      <c r="E3615" s="1072"/>
      <c r="F3615" s="1073"/>
      <c r="G3615" s="1068" t="s">
        <v>383</v>
      </c>
      <c r="H3615" s="1069" t="s">
        <v>384</v>
      </c>
      <c r="I3615" s="1070"/>
      <c r="J3615" s="1071" t="e">
        <f>SUM(J3603:J3612)</f>
        <v>#N/A</v>
      </c>
    </row>
    <row r="3616" spans="1:15" ht="11.25" customHeight="1">
      <c r="A3616" s="1074"/>
      <c r="B3616" s="1075"/>
      <c r="C3616" s="1076"/>
      <c r="D3616" s="1077"/>
      <c r="E3616" s="1077"/>
      <c r="F3616" s="1078"/>
      <c r="G3616" s="1074"/>
      <c r="H3616" s="1075"/>
      <c r="I3616" s="1076"/>
      <c r="J3616" s="1077"/>
    </row>
    <row r="3617" spans="1:15" ht="145.5" customHeight="1">
      <c r="A3617" s="1075"/>
      <c r="B3617" s="1075"/>
      <c r="C3617" s="1079"/>
      <c r="D3617" s="1080"/>
      <c r="E3617" s="1075"/>
      <c r="F3617" s="1081"/>
      <c r="G3617" s="1075"/>
      <c r="H3617" s="1075"/>
      <c r="I3617" s="1079"/>
      <c r="J3617" s="1080"/>
    </row>
    <row r="3618" spans="1:15" ht="15" customHeight="1">
      <c r="A3618" s="2242" t="str">
        <f>$K$2</f>
        <v>THÁNG 04/2025</v>
      </c>
      <c r="B3618" s="2242"/>
      <c r="C3618" s="2242"/>
      <c r="D3618" s="2242"/>
      <c r="E3618" s="1050"/>
      <c r="F3618" s="1051"/>
      <c r="G3618" s="2242" t="str">
        <f>$K$2</f>
        <v>THÁNG 04/2025</v>
      </c>
      <c r="H3618" s="2242"/>
      <c r="I3618" s="2242"/>
      <c r="J3618" s="2242"/>
      <c r="K3618" s="624"/>
    </row>
    <row r="3619" spans="1:15" ht="15" customHeight="1">
      <c r="A3619" s="1052" t="s">
        <v>356</v>
      </c>
      <c r="B3619" s="1053" t="s">
        <v>300</v>
      </c>
      <c r="C3619" s="869"/>
      <c r="D3619" s="1049"/>
      <c r="E3619" s="1054"/>
      <c r="F3619" s="1055"/>
      <c r="G3619" s="1052" t="s">
        <v>356</v>
      </c>
      <c r="H3619" s="1053" t="s">
        <v>301</v>
      </c>
      <c r="I3619" s="869"/>
      <c r="J3619" s="1049"/>
      <c r="L3619" s="1088"/>
      <c r="M3619" s="1088"/>
      <c r="N3619" s="1088"/>
      <c r="O3619" s="1088"/>
    </row>
    <row r="3620" spans="1:15" ht="15" customHeight="1">
      <c r="A3620" s="1056" t="s">
        <v>359</v>
      </c>
      <c r="B3620" s="1057" t="s">
        <v>2662</v>
      </c>
      <c r="C3620" s="1058" t="e">
        <f>VLOOKUP(B3619,'LƯƠNG KT'!$D$15:$R$94,4,0)</f>
        <v>#N/A</v>
      </c>
      <c r="D3620" s="1059" t="e">
        <f>+C3620*25000</f>
        <v>#N/A</v>
      </c>
      <c r="E3620" s="1060"/>
      <c r="F3620" s="1060"/>
      <c r="G3620" s="1056" t="s">
        <v>359</v>
      </c>
      <c r="H3620" s="1057" t="s">
        <v>2662</v>
      </c>
      <c r="I3620" s="1058" t="e">
        <f>VLOOKUP(H3619,'LƯƠNG KT'!$D$15:$R$94,4,0)</f>
        <v>#N/A</v>
      </c>
      <c r="J3620" s="1059" t="e">
        <f>+I3620*25000</f>
        <v>#N/A</v>
      </c>
      <c r="K3620" s="1085"/>
      <c r="L3620" s="1085"/>
      <c r="M3620" s="1085"/>
      <c r="N3620" s="1085"/>
      <c r="O3620" s="1085"/>
    </row>
    <row r="3621" spans="1:15" ht="15" customHeight="1">
      <c r="A3621" s="1056" t="s">
        <v>361</v>
      </c>
      <c r="B3621" s="1057" t="s">
        <v>2663</v>
      </c>
      <c r="C3621" s="1058" t="e">
        <f>VLOOKUP(B3619,'LƯƠNG KT'!$D$15:$R$94,15,0)</f>
        <v>#N/A</v>
      </c>
      <c r="D3621" s="1059" t="e">
        <f>C3621*$L$4</f>
        <v>#N/A</v>
      </c>
      <c r="E3621" s="1061"/>
      <c r="F3621" s="1061"/>
      <c r="G3621" s="1056" t="s">
        <v>361</v>
      </c>
      <c r="H3621" s="1057" t="s">
        <v>2663</v>
      </c>
      <c r="I3621" s="1058" t="e">
        <f>VLOOKUP(H3619,'LƯƠNG KT'!$D$15:$R$94,15,0)</f>
        <v>#N/A</v>
      </c>
      <c r="J3621" s="1059" t="e">
        <f>I3621*$L$4</f>
        <v>#N/A</v>
      </c>
      <c r="K3621" s="1085"/>
      <c r="L3621" s="1085"/>
      <c r="M3621" s="1085"/>
      <c r="N3621" s="1085"/>
      <c r="O3621" s="1085"/>
    </row>
    <row r="3622" spans="1:15" ht="15" customHeight="1">
      <c r="A3622" s="1056" t="s">
        <v>364</v>
      </c>
      <c r="B3622" s="1057" t="s">
        <v>2664</v>
      </c>
      <c r="C3622" s="1058" t="e">
        <f>VLOOKUP(B3619,'LƯƠNG KT'!$D$15:$R$94,16,0)</f>
        <v>#N/A</v>
      </c>
      <c r="D3622" s="1059" t="e">
        <f>C3622*$L$5</f>
        <v>#N/A</v>
      </c>
      <c r="E3622" s="1061"/>
      <c r="F3622" s="1061"/>
      <c r="G3622" s="1056" t="s">
        <v>364</v>
      </c>
      <c r="H3622" s="1057" t="s">
        <v>2664</v>
      </c>
      <c r="I3622" s="1058" t="e">
        <f>VLOOKUP(H3619,'LƯƠNG KT'!$D$15:$R$94,16,0)</f>
        <v>#N/A</v>
      </c>
      <c r="J3622" s="1059" t="e">
        <f>I3622*$L$5</f>
        <v>#N/A</v>
      </c>
      <c r="K3622" s="1085"/>
      <c r="L3622" s="1085"/>
      <c r="M3622" s="1085"/>
      <c r="N3622" s="1085"/>
      <c r="O3622" s="1085"/>
    </row>
    <row r="3623" spans="1:15" ht="15" customHeight="1">
      <c r="A3623" s="1056" t="s">
        <v>370</v>
      </c>
      <c r="B3623" s="1057" t="s">
        <v>2665</v>
      </c>
      <c r="C3623" s="1058" t="e">
        <f>VLOOKUP(B3619,'LƯƠNG KT'!$D$15:$R$94,24,0)</f>
        <v>#N/A</v>
      </c>
      <c r="D3623" s="1059" t="e">
        <f>+C3623*$L$6</f>
        <v>#N/A</v>
      </c>
      <c r="E3623" s="1061"/>
      <c r="F3623" s="1061"/>
      <c r="G3623" s="1056" t="s">
        <v>370</v>
      </c>
      <c r="H3623" s="1057" t="s">
        <v>2665</v>
      </c>
      <c r="I3623" s="1058" t="e">
        <f>VLOOKUP(H3619,'LƯƠNG KT'!$D$15:$R$94,24,0)</f>
        <v>#N/A</v>
      </c>
      <c r="J3623" s="1059" t="e">
        <f>+I3623*$L$6</f>
        <v>#N/A</v>
      </c>
      <c r="K3623" s="1085"/>
      <c r="L3623" s="1085"/>
      <c r="M3623" s="1085"/>
      <c r="N3623" s="1085"/>
      <c r="O3623" s="1085"/>
    </row>
    <row r="3624" spans="1:15" ht="15" customHeight="1">
      <c r="A3624" s="1056" t="s">
        <v>2666</v>
      </c>
      <c r="B3624" s="1057" t="s">
        <v>2667</v>
      </c>
      <c r="C3624" s="1058" t="e">
        <f>VLOOKUP(B3619,'LƯƠNG KT'!$D$15:$R$94,19,0)</f>
        <v>#N/A</v>
      </c>
      <c r="D3624" s="1059" t="e">
        <f>+C3624*$L$8</f>
        <v>#N/A</v>
      </c>
      <c r="E3624" s="1061"/>
      <c r="F3624" s="1061"/>
      <c r="G3624" s="1056" t="s">
        <v>2666</v>
      </c>
      <c r="H3624" s="1057" t="s">
        <v>2667</v>
      </c>
      <c r="I3624" s="1058" t="e">
        <f>VLOOKUP(H3619,'LƯƠNG KT'!$D$15:$R$94,19,0)</f>
        <v>#N/A</v>
      </c>
      <c r="J3624" s="1059" t="e">
        <f>+I3624*$L$8</f>
        <v>#N/A</v>
      </c>
      <c r="K3624" s="1085"/>
      <c r="L3624" s="1085"/>
      <c r="M3624" s="1085"/>
      <c r="N3624" s="1085"/>
      <c r="O3624" s="1085"/>
    </row>
    <row r="3625" spans="1:15" ht="15" customHeight="1">
      <c r="A3625" s="1056" t="s">
        <v>2668</v>
      </c>
      <c r="B3625" s="1062" t="s">
        <v>2669</v>
      </c>
      <c r="C3625" s="1058" t="e">
        <f>VLOOKUP(B3619,'LƯƠNG KT'!$D$15:$R$94,20,0)</f>
        <v>#N/A</v>
      </c>
      <c r="D3625" s="1059" t="e">
        <f>+C3625*$L$9</f>
        <v>#N/A</v>
      </c>
      <c r="E3625" s="1061"/>
      <c r="F3625" s="1061"/>
      <c r="G3625" s="1056" t="s">
        <v>2668</v>
      </c>
      <c r="H3625" s="1062" t="s">
        <v>2669</v>
      </c>
      <c r="I3625" s="1058" t="e">
        <f>VLOOKUP(H3619,'LƯƠNG KT'!$D$15:$R$94,20,0)</f>
        <v>#N/A</v>
      </c>
      <c r="J3625" s="1059" t="e">
        <f>+I3625*$L$9</f>
        <v>#N/A</v>
      </c>
      <c r="K3625" s="1085"/>
      <c r="L3625" s="1085"/>
      <c r="M3625" s="1085"/>
      <c r="N3625" s="1085"/>
      <c r="O3625" s="1085"/>
    </row>
    <row r="3626" spans="1:15" ht="15" customHeight="1">
      <c r="A3626" s="1056" t="s">
        <v>2671</v>
      </c>
      <c r="B3626" s="1057" t="s">
        <v>2672</v>
      </c>
      <c r="C3626" s="1058" t="e">
        <f>VLOOKUP(B3619,'LƯƠNG KT'!$D$15:$R$94,17,0)</f>
        <v>#N/A</v>
      </c>
      <c r="D3626" s="1059" t="e">
        <f>+C3626*$L$10</f>
        <v>#N/A</v>
      </c>
      <c r="E3626" s="1061"/>
      <c r="F3626" s="1061"/>
      <c r="G3626" s="1056" t="s">
        <v>2671</v>
      </c>
      <c r="H3626" s="1057" t="s">
        <v>2672</v>
      </c>
      <c r="I3626" s="1058" t="e">
        <f>VLOOKUP(H3619,'LƯƠNG KT'!$D$15:$R$94,17,0)</f>
        <v>#N/A</v>
      </c>
      <c r="J3626" s="1059" t="e">
        <f>+I3626*$L$10</f>
        <v>#N/A</v>
      </c>
      <c r="K3626" s="1085"/>
      <c r="L3626" s="1085"/>
      <c r="M3626" s="1085"/>
      <c r="N3626" s="1085"/>
      <c r="O3626" s="1085"/>
    </row>
    <row r="3627" spans="1:15" ht="15" customHeight="1">
      <c r="A3627" s="1056" t="s">
        <v>2693</v>
      </c>
      <c r="B3627" s="1062" t="s">
        <v>2692</v>
      </c>
      <c r="C3627" s="1058" t="e">
        <f>VLOOKUP(B3619,'LƯƠNG KT'!$D$15:$R$94,21,0)</f>
        <v>#N/A</v>
      </c>
      <c r="D3627" s="1059" t="e">
        <f>+C3627*$L$7</f>
        <v>#N/A</v>
      </c>
      <c r="E3627" s="1061"/>
      <c r="F3627" s="1061"/>
      <c r="G3627" s="1056" t="s">
        <v>2693</v>
      </c>
      <c r="H3627" s="1062" t="s">
        <v>2692</v>
      </c>
      <c r="I3627" s="1058" t="e">
        <f>VLOOKUP(H3619,'LƯƠNG KT'!$D$15:$R$94,21,0)</f>
        <v>#N/A</v>
      </c>
      <c r="J3627" s="1059" t="e">
        <f>+I3627*$L$7</f>
        <v>#N/A</v>
      </c>
      <c r="K3627" s="1085"/>
      <c r="L3627" s="1085"/>
      <c r="M3627" s="1085"/>
      <c r="N3627" s="1085"/>
      <c r="O3627" s="1085"/>
    </row>
    <row r="3628" spans="1:15" ht="15" customHeight="1">
      <c r="A3628" s="1056" t="s">
        <v>2694</v>
      </c>
      <c r="B3628" s="1057" t="s">
        <v>2684</v>
      </c>
      <c r="C3628" s="1058" t="e">
        <f>VLOOKUP(B3619,'LƯƠNG KT'!$D$15:$R$94,23,0)</f>
        <v>#N/A</v>
      </c>
      <c r="D3628" s="1059" t="e">
        <f>+C3628*20000</f>
        <v>#N/A</v>
      </c>
      <c r="E3628" s="1063"/>
      <c r="F3628" s="1061"/>
      <c r="G3628" s="1056" t="s">
        <v>2694</v>
      </c>
      <c r="H3628" s="1057" t="s">
        <v>2684</v>
      </c>
      <c r="I3628" s="1058" t="e">
        <f>VLOOKUP(H3619,'LƯƠNG KT'!$D$15:$R$94,23,0)</f>
        <v>#N/A</v>
      </c>
      <c r="J3628" s="1059" t="e">
        <f>+I3628*20000</f>
        <v>#N/A</v>
      </c>
      <c r="K3628" s="1085"/>
      <c r="L3628" s="1085"/>
      <c r="M3628" s="1085"/>
      <c r="N3628" s="1085"/>
      <c r="O3628" s="1085"/>
    </row>
    <row r="3629" spans="1:15" ht="15" customHeight="1">
      <c r="A3629" s="1056" t="s">
        <v>374</v>
      </c>
      <c r="B3629" s="1057" t="s">
        <v>2674</v>
      </c>
      <c r="C3629" s="1058" t="e">
        <f>VLOOKUP(B3619,'LƯƠNG KT'!$D$15:$R$94,12,0)</f>
        <v>#N/A</v>
      </c>
      <c r="D3629" s="1059" t="e">
        <f>VLOOKUP(B3619,'LƯƠNG KT'!$D$15:$R$94,14,0)</f>
        <v>#N/A</v>
      </c>
      <c r="E3629" s="1065"/>
      <c r="F3629" s="1065"/>
      <c r="G3629" s="1056" t="s">
        <v>374</v>
      </c>
      <c r="H3629" s="1057" t="s">
        <v>2674</v>
      </c>
      <c r="I3629" s="1058" t="e">
        <f>VLOOKUP(H3619,'LƯƠNG KT'!$D$15:$R$94,12,0)</f>
        <v>#N/A</v>
      </c>
      <c r="J3629" s="1059" t="e">
        <f>VLOOKUP(H3619,'LƯƠNG KT'!$D$15:$R$94,14,0)</f>
        <v>#N/A</v>
      </c>
    </row>
    <row r="3630" spans="1:15" ht="15" customHeight="1">
      <c r="A3630" s="1056" t="s">
        <v>2675</v>
      </c>
      <c r="B3630" s="1057" t="s">
        <v>2676</v>
      </c>
      <c r="D3630" s="1064" t="e">
        <f>VLOOKUP(B3619,'LƯƠNG KT'!$D$15:$R$94,13,0)</f>
        <v>#N/A</v>
      </c>
      <c r="E3630" s="1063"/>
      <c r="F3630" s="1065"/>
      <c r="G3630" s="1056" t="s">
        <v>2675</v>
      </c>
      <c r="H3630" s="1057" t="s">
        <v>2676</v>
      </c>
      <c r="J3630" s="1064" t="e">
        <f>VLOOKUP(H3619,'LƯƠNG KT'!$D$15:$R$94,13,0)</f>
        <v>#N/A</v>
      </c>
    </row>
    <row r="3631" spans="1:15" ht="15" customHeight="1">
      <c r="A3631" s="1052"/>
      <c r="B3631" s="869"/>
      <c r="C3631" s="1058"/>
      <c r="D3631" s="1059"/>
      <c r="E3631" s="1067"/>
      <c r="F3631" s="1051"/>
      <c r="G3631" s="1052"/>
      <c r="H3631" s="869"/>
      <c r="I3631" s="1058"/>
      <c r="J3631" s="1059"/>
    </row>
    <row r="3632" spans="1:15" ht="15" customHeight="1">
      <c r="A3632" s="1068" t="s">
        <v>383</v>
      </c>
      <c r="B3632" s="1069" t="s">
        <v>384</v>
      </c>
      <c r="C3632" s="1070"/>
      <c r="D3632" s="1071" t="e">
        <f>SUM(D3620:D3629)</f>
        <v>#N/A</v>
      </c>
      <c r="E3632" s="1072"/>
      <c r="F3632" s="1073"/>
      <c r="G3632" s="1068" t="s">
        <v>383</v>
      </c>
      <c r="H3632" s="1069" t="s">
        <v>384</v>
      </c>
      <c r="I3632" s="1070"/>
      <c r="J3632" s="1071" t="e">
        <f>SUM(J3620:J3629)</f>
        <v>#N/A</v>
      </c>
    </row>
    <row r="3633" spans="1:15" ht="14.25" customHeight="1">
      <c r="A3633" s="1074"/>
      <c r="B3633" s="1075"/>
      <c r="C3633" s="1076"/>
      <c r="D3633" s="1077"/>
      <c r="E3633" s="1077"/>
      <c r="F3633" s="1078"/>
      <c r="G3633" s="1074"/>
      <c r="H3633" s="1075"/>
      <c r="I3633" s="1076"/>
      <c r="J3633" s="1077"/>
    </row>
    <row r="3634" spans="1:15" ht="14.25" customHeight="1">
      <c r="A3634" s="1075"/>
      <c r="B3634" s="1075"/>
      <c r="C3634" s="1079"/>
      <c r="D3634" s="1080"/>
      <c r="E3634" s="1075"/>
      <c r="F3634" s="1081"/>
      <c r="G3634" s="1075"/>
      <c r="H3634" s="1075"/>
      <c r="I3634" s="1079"/>
      <c r="J3634" s="1080"/>
    </row>
    <row r="3635" spans="1:15" ht="15" customHeight="1">
      <c r="A3635" s="2242" t="str">
        <f>$K$2</f>
        <v>THÁNG 04/2025</v>
      </c>
      <c r="B3635" s="2242"/>
      <c r="C3635" s="2242"/>
      <c r="D3635" s="2242"/>
      <c r="E3635" s="1050"/>
      <c r="F3635" s="1051"/>
      <c r="G3635" s="2242" t="str">
        <f>$K$2</f>
        <v>THÁNG 04/2025</v>
      </c>
      <c r="H3635" s="2242"/>
      <c r="I3635" s="2242"/>
      <c r="J3635" s="2242"/>
      <c r="K3635" s="624"/>
    </row>
    <row r="3636" spans="1:15" ht="15" customHeight="1">
      <c r="A3636" s="1052" t="s">
        <v>356</v>
      </c>
      <c r="B3636" s="1053" t="s">
        <v>302</v>
      </c>
      <c r="C3636" s="869"/>
      <c r="D3636" s="1049"/>
      <c r="E3636" s="1054"/>
      <c r="F3636" s="1055"/>
      <c r="G3636" s="1052" t="s">
        <v>356</v>
      </c>
      <c r="H3636" s="1053" t="s">
        <v>303</v>
      </c>
      <c r="I3636" s="869"/>
      <c r="J3636" s="1049"/>
      <c r="L3636" s="1088"/>
      <c r="M3636" s="1088"/>
      <c r="N3636" s="1088"/>
      <c r="O3636" s="1088"/>
    </row>
    <row r="3637" spans="1:15" ht="15" customHeight="1">
      <c r="A3637" s="1056" t="s">
        <v>359</v>
      </c>
      <c r="B3637" s="1057" t="s">
        <v>2662</v>
      </c>
      <c r="C3637" s="1058" t="e">
        <f>VLOOKUP(B3636,'LƯƠNG KT'!$D$15:$R$94,4,0)</f>
        <v>#N/A</v>
      </c>
      <c r="D3637" s="1059" t="e">
        <f>+C3637*25000</f>
        <v>#N/A</v>
      </c>
      <c r="E3637" s="1060"/>
      <c r="F3637" s="1060"/>
      <c r="G3637" s="1056" t="s">
        <v>359</v>
      </c>
      <c r="H3637" s="1057" t="s">
        <v>2662</v>
      </c>
      <c r="I3637" s="1058" t="e">
        <f>VLOOKUP(H3636,'LƯƠNG KT'!$D$15:$R$94,4,0)</f>
        <v>#N/A</v>
      </c>
      <c r="J3637" s="1059" t="e">
        <f>+I3637*25000</f>
        <v>#N/A</v>
      </c>
      <c r="K3637" s="1085"/>
      <c r="L3637" s="1085"/>
      <c r="M3637" s="1085"/>
      <c r="N3637" s="1085"/>
      <c r="O3637" s="1085"/>
    </row>
    <row r="3638" spans="1:15" ht="15" customHeight="1">
      <c r="A3638" s="1056" t="s">
        <v>361</v>
      </c>
      <c r="B3638" s="1057" t="s">
        <v>2663</v>
      </c>
      <c r="C3638" s="1058" t="e">
        <f>VLOOKUP(B3636,'LƯƠNG KT'!$D$15:$R$94,15,0)</f>
        <v>#N/A</v>
      </c>
      <c r="D3638" s="1059" t="e">
        <f>C3638*$L$4</f>
        <v>#N/A</v>
      </c>
      <c r="E3638" s="1061"/>
      <c r="F3638" s="1061"/>
      <c r="G3638" s="1056" t="s">
        <v>361</v>
      </c>
      <c r="H3638" s="1057" t="s">
        <v>2663</v>
      </c>
      <c r="I3638" s="1058" t="e">
        <f>VLOOKUP(H3636,'LƯƠNG KT'!$D$15:$R$94,15,0)</f>
        <v>#N/A</v>
      </c>
      <c r="J3638" s="1059" t="e">
        <f>I3638*$L$4</f>
        <v>#N/A</v>
      </c>
      <c r="K3638" s="1085"/>
      <c r="L3638" s="1085"/>
      <c r="M3638" s="1085"/>
      <c r="N3638" s="1085"/>
      <c r="O3638" s="1085"/>
    </row>
    <row r="3639" spans="1:15" ht="15" customHeight="1">
      <c r="A3639" s="1056" t="s">
        <v>364</v>
      </c>
      <c r="B3639" s="1057" t="s">
        <v>2664</v>
      </c>
      <c r="C3639" s="1058" t="e">
        <f>VLOOKUP(B3636,'LƯƠNG KT'!$D$15:$R$94,16,0)</f>
        <v>#N/A</v>
      </c>
      <c r="D3639" s="1059" t="e">
        <f>C3639*$L$5</f>
        <v>#N/A</v>
      </c>
      <c r="E3639" s="1061"/>
      <c r="F3639" s="1061"/>
      <c r="G3639" s="1056" t="s">
        <v>364</v>
      </c>
      <c r="H3639" s="1057" t="s">
        <v>2664</v>
      </c>
      <c r="I3639" s="1058" t="e">
        <f>VLOOKUP(H3636,'LƯƠNG KT'!$D$15:$R$94,16,0)</f>
        <v>#N/A</v>
      </c>
      <c r="J3639" s="1059" t="e">
        <f>I3639*$L$5</f>
        <v>#N/A</v>
      </c>
      <c r="K3639" s="1085"/>
      <c r="L3639" s="1085"/>
      <c r="M3639" s="1085"/>
      <c r="N3639" s="1085"/>
      <c r="O3639" s="1085"/>
    </row>
    <row r="3640" spans="1:15" ht="15" customHeight="1">
      <c r="A3640" s="1056" t="s">
        <v>370</v>
      </c>
      <c r="B3640" s="1057" t="s">
        <v>2665</v>
      </c>
      <c r="C3640" s="1058" t="e">
        <f>VLOOKUP(B3636,'LƯƠNG KT'!$D$15:$R$94,24,0)</f>
        <v>#N/A</v>
      </c>
      <c r="D3640" s="1059" t="e">
        <f>+C3640*$L$6</f>
        <v>#N/A</v>
      </c>
      <c r="E3640" s="1061"/>
      <c r="F3640" s="1061"/>
      <c r="G3640" s="1056" t="s">
        <v>370</v>
      </c>
      <c r="H3640" s="1057" t="s">
        <v>2665</v>
      </c>
      <c r="I3640" s="1058" t="e">
        <f>VLOOKUP(H3636,'LƯƠNG KT'!$D$15:$R$94,24,0)</f>
        <v>#N/A</v>
      </c>
      <c r="J3640" s="1059" t="e">
        <f>+I3640*$L$6</f>
        <v>#N/A</v>
      </c>
      <c r="K3640" s="1085"/>
      <c r="L3640" s="1085"/>
      <c r="M3640" s="1085"/>
      <c r="N3640" s="1085"/>
      <c r="O3640" s="1085"/>
    </row>
    <row r="3641" spans="1:15" ht="15" customHeight="1">
      <c r="A3641" s="1056" t="s">
        <v>2666</v>
      </c>
      <c r="B3641" s="1057" t="s">
        <v>2667</v>
      </c>
      <c r="C3641" s="1058" t="e">
        <f>VLOOKUP(B3636,'LƯƠNG KT'!$D$15:$R$94,19,0)</f>
        <v>#N/A</v>
      </c>
      <c r="D3641" s="1059" t="e">
        <f>+C3641*$L$8</f>
        <v>#N/A</v>
      </c>
      <c r="E3641" s="1061"/>
      <c r="F3641" s="1061"/>
      <c r="G3641" s="1056" t="s">
        <v>2666</v>
      </c>
      <c r="H3641" s="1057" t="s">
        <v>2667</v>
      </c>
      <c r="I3641" s="1058" t="e">
        <f>VLOOKUP(H3636,'LƯƠNG KT'!$D$15:$R$94,19,0)</f>
        <v>#N/A</v>
      </c>
      <c r="J3641" s="1059" t="e">
        <f>+I3641*$L$8</f>
        <v>#N/A</v>
      </c>
      <c r="K3641" s="1085"/>
      <c r="L3641" s="1085"/>
      <c r="M3641" s="1085"/>
      <c r="N3641" s="1085"/>
      <c r="O3641" s="1085"/>
    </row>
    <row r="3642" spans="1:15" ht="15" customHeight="1">
      <c r="A3642" s="1056" t="s">
        <v>2668</v>
      </c>
      <c r="B3642" s="1062" t="s">
        <v>2669</v>
      </c>
      <c r="C3642" s="1058" t="e">
        <f>VLOOKUP(B3636,'LƯƠNG KT'!$D$15:$R$94,20,0)</f>
        <v>#N/A</v>
      </c>
      <c r="D3642" s="1059" t="e">
        <f>+C3642*$L$9</f>
        <v>#N/A</v>
      </c>
      <c r="E3642" s="1061"/>
      <c r="F3642" s="1061"/>
      <c r="G3642" s="1056" t="s">
        <v>2668</v>
      </c>
      <c r="H3642" s="1062" t="s">
        <v>2669</v>
      </c>
      <c r="I3642" s="1058" t="e">
        <f>VLOOKUP(H3636,'LƯƠNG KT'!$D$15:$R$94,20,0)</f>
        <v>#N/A</v>
      </c>
      <c r="J3642" s="1059" t="e">
        <f>+I3642*$L$9</f>
        <v>#N/A</v>
      </c>
      <c r="K3642" s="1085"/>
      <c r="L3642" s="1085"/>
      <c r="M3642" s="1085"/>
      <c r="N3642" s="1085"/>
      <c r="O3642" s="1085"/>
    </row>
    <row r="3643" spans="1:15" ht="15" customHeight="1">
      <c r="A3643" s="1056" t="s">
        <v>2671</v>
      </c>
      <c r="B3643" s="1057" t="s">
        <v>2672</v>
      </c>
      <c r="C3643" s="1058" t="e">
        <f>VLOOKUP(B3636,'LƯƠNG KT'!$D$15:$R$94,17,0)</f>
        <v>#N/A</v>
      </c>
      <c r="D3643" s="1059" t="e">
        <f>+C3643*$L$10</f>
        <v>#N/A</v>
      </c>
      <c r="E3643" s="1061"/>
      <c r="F3643" s="1061"/>
      <c r="G3643" s="1056" t="s">
        <v>2671</v>
      </c>
      <c r="H3643" s="1057" t="s">
        <v>2672</v>
      </c>
      <c r="I3643" s="1058" t="e">
        <f>VLOOKUP(H3636,'LƯƠNG KT'!$D$15:$R$94,17,0)</f>
        <v>#N/A</v>
      </c>
      <c r="J3643" s="1059" t="e">
        <f>+I3643*$L$10</f>
        <v>#N/A</v>
      </c>
      <c r="K3643" s="1085"/>
      <c r="L3643" s="1085"/>
      <c r="M3643" s="1085"/>
      <c r="N3643" s="1085"/>
      <c r="O3643" s="1085"/>
    </row>
    <row r="3644" spans="1:15" ht="15" customHeight="1">
      <c r="A3644" s="1056" t="s">
        <v>2693</v>
      </c>
      <c r="B3644" s="1062" t="s">
        <v>2692</v>
      </c>
      <c r="C3644" s="1058" t="e">
        <f>VLOOKUP(B3636,'LƯƠNG KT'!$D$15:$R$94,21,0)</f>
        <v>#N/A</v>
      </c>
      <c r="D3644" s="1059" t="e">
        <f>+C3644*$L$7</f>
        <v>#N/A</v>
      </c>
      <c r="E3644" s="1061"/>
      <c r="F3644" s="1061"/>
      <c r="G3644" s="1056" t="s">
        <v>2693</v>
      </c>
      <c r="H3644" s="1062" t="s">
        <v>2692</v>
      </c>
      <c r="I3644" s="1058" t="e">
        <f>VLOOKUP(H3636,'LƯƠNG KT'!$D$15:$R$94,21,0)</f>
        <v>#N/A</v>
      </c>
      <c r="J3644" s="1059" t="e">
        <f>+I3644*$L$7</f>
        <v>#N/A</v>
      </c>
      <c r="K3644" s="1085"/>
      <c r="L3644" s="1085"/>
      <c r="M3644" s="1085"/>
      <c r="N3644" s="1085"/>
      <c r="O3644" s="1085"/>
    </row>
    <row r="3645" spans="1:15" ht="15" customHeight="1">
      <c r="A3645" s="1056" t="s">
        <v>2694</v>
      </c>
      <c r="B3645" s="1057" t="s">
        <v>2684</v>
      </c>
      <c r="C3645" s="1058" t="e">
        <f>VLOOKUP(B3636,'LƯƠNG KT'!$D$15:$R$94,23,0)</f>
        <v>#N/A</v>
      </c>
      <c r="D3645" s="1059" t="e">
        <f>+C3645*20000</f>
        <v>#N/A</v>
      </c>
      <c r="E3645" s="1063"/>
      <c r="F3645" s="1061"/>
      <c r="G3645" s="1056" t="s">
        <v>2694</v>
      </c>
      <c r="H3645" s="1057" t="s">
        <v>2684</v>
      </c>
      <c r="I3645" s="1058" t="e">
        <f>VLOOKUP(H3636,'LƯƠNG KT'!$D$15:$R$94,23,0)</f>
        <v>#N/A</v>
      </c>
      <c r="J3645" s="1059" t="e">
        <f>+I3645*20000</f>
        <v>#N/A</v>
      </c>
      <c r="K3645" s="1085"/>
      <c r="L3645" s="1085"/>
      <c r="M3645" s="1085"/>
      <c r="N3645" s="1085"/>
      <c r="O3645" s="1085"/>
    </row>
    <row r="3646" spans="1:15" ht="15" customHeight="1">
      <c r="A3646" s="1056" t="s">
        <v>374</v>
      </c>
      <c r="B3646" s="1057" t="s">
        <v>2674</v>
      </c>
      <c r="C3646" s="1058" t="e">
        <f>VLOOKUP(B3636,'LƯƠNG KT'!$D$15:$R$94,12,0)</f>
        <v>#N/A</v>
      </c>
      <c r="D3646" s="1059" t="e">
        <f>VLOOKUP(B3636,'LƯƠNG KT'!$D$15:$R$94,14,0)</f>
        <v>#N/A</v>
      </c>
      <c r="E3646" s="1065"/>
      <c r="F3646" s="1065"/>
      <c r="G3646" s="1056" t="s">
        <v>374</v>
      </c>
      <c r="H3646" s="1057" t="s">
        <v>2674</v>
      </c>
      <c r="I3646" s="1058" t="e">
        <f>VLOOKUP(H3636,'LƯƠNG KT'!$D$15:$R$94,12,0)</f>
        <v>#N/A</v>
      </c>
      <c r="J3646" s="1059" t="e">
        <f>VLOOKUP(H3636,'LƯƠNG KT'!$D$15:$R$94,14,0)</f>
        <v>#N/A</v>
      </c>
    </row>
    <row r="3647" spans="1:15" ht="15" customHeight="1">
      <c r="A3647" s="1056" t="s">
        <v>2675</v>
      </c>
      <c r="B3647" s="1057" t="s">
        <v>2676</v>
      </c>
      <c r="D3647" s="1064" t="e">
        <f>VLOOKUP(B3636,'LƯƠNG KT'!$D$15:$R$94,13,0)</f>
        <v>#N/A</v>
      </c>
      <c r="E3647" s="1063"/>
      <c r="F3647" s="1065"/>
      <c r="G3647" s="1056" t="s">
        <v>2675</v>
      </c>
      <c r="H3647" s="1057" t="s">
        <v>2676</v>
      </c>
      <c r="J3647" s="1064" t="e">
        <f>VLOOKUP(H3636,'LƯƠNG KT'!$D$15:$R$94,13,0)</f>
        <v>#N/A</v>
      </c>
    </row>
    <row r="3648" spans="1:15" ht="15" customHeight="1">
      <c r="A3648" s="1052"/>
      <c r="B3648" s="869"/>
      <c r="C3648" s="1058"/>
      <c r="D3648" s="1059"/>
      <c r="E3648" s="1067"/>
      <c r="F3648" s="1051"/>
      <c r="G3648" s="1052"/>
      <c r="H3648" s="869"/>
      <c r="I3648" s="1058"/>
      <c r="J3648" s="1059"/>
    </row>
    <row r="3649" spans="1:15" s="1044" customFormat="1" ht="17.25" customHeight="1">
      <c r="A3649" s="1068" t="s">
        <v>383</v>
      </c>
      <c r="B3649" s="1069" t="s">
        <v>384</v>
      </c>
      <c r="C3649" s="1070"/>
      <c r="D3649" s="1071" t="e">
        <f>SUM(D3637:D3646)</f>
        <v>#N/A</v>
      </c>
      <c r="E3649" s="1072"/>
      <c r="F3649" s="1073"/>
      <c r="G3649" s="1068" t="s">
        <v>383</v>
      </c>
      <c r="H3649" s="1069" t="s">
        <v>384</v>
      </c>
      <c r="I3649" s="1070"/>
      <c r="J3649" s="1071" t="e">
        <f>SUM(J3637:J3646)</f>
        <v>#N/A</v>
      </c>
    </row>
    <row r="3650" spans="1:15" ht="17.25" customHeight="1">
      <c r="A3650" s="624"/>
      <c r="B3650" s="624"/>
      <c r="C3650" s="624"/>
      <c r="E3650" s="624"/>
      <c r="F3650" s="624"/>
      <c r="G3650" s="624"/>
      <c r="H3650" s="624"/>
      <c r="I3650" s="624"/>
    </row>
    <row r="3651" spans="1:15" ht="15" customHeight="1">
      <c r="A3651" s="2242" t="str">
        <f>$K$2</f>
        <v>THÁNG 04/2025</v>
      </c>
      <c r="B3651" s="2242"/>
      <c r="C3651" s="2242"/>
      <c r="D3651" s="2242"/>
      <c r="E3651" s="1050"/>
      <c r="F3651" s="1051"/>
      <c r="G3651" s="2242" t="str">
        <f>$K$2</f>
        <v>THÁNG 04/2025</v>
      </c>
      <c r="H3651" s="2242"/>
      <c r="I3651" s="2242"/>
      <c r="J3651" s="2242"/>
      <c r="K3651" s="624"/>
    </row>
    <row r="3652" spans="1:15" ht="15" customHeight="1">
      <c r="A3652" s="1052" t="s">
        <v>356</v>
      </c>
      <c r="B3652" s="1053" t="s">
        <v>304</v>
      </c>
      <c r="C3652" s="869"/>
      <c r="D3652" s="1049"/>
      <c r="E3652" s="1054"/>
      <c r="F3652" s="1055"/>
      <c r="G3652" s="1052" t="s">
        <v>356</v>
      </c>
      <c r="H3652" s="1053" t="s">
        <v>305</v>
      </c>
      <c r="I3652" s="869"/>
      <c r="J3652" s="1049"/>
      <c r="L3652" s="1088"/>
      <c r="M3652" s="1088"/>
      <c r="N3652" s="1088"/>
      <c r="O3652" s="1088"/>
    </row>
    <row r="3653" spans="1:15" ht="15" customHeight="1">
      <c r="A3653" s="1056" t="s">
        <v>359</v>
      </c>
      <c r="B3653" s="1057" t="s">
        <v>2662</v>
      </c>
      <c r="C3653" s="1058" t="e">
        <f>VLOOKUP(B3652,'LƯƠNG KT'!$D$15:$R$94,4,0)</f>
        <v>#N/A</v>
      </c>
      <c r="D3653" s="1059" t="e">
        <f>+C3653*25000</f>
        <v>#N/A</v>
      </c>
      <c r="E3653" s="1060"/>
      <c r="F3653" s="1060"/>
      <c r="G3653" s="1056" t="s">
        <v>359</v>
      </c>
      <c r="H3653" s="1057" t="s">
        <v>2662</v>
      </c>
      <c r="I3653" s="1058" t="e">
        <f>VLOOKUP(H3652,'LƯƠNG KT'!$D$15:$R$94,4,0)</f>
        <v>#N/A</v>
      </c>
      <c r="J3653" s="1059" t="e">
        <f>+I3653*25000</f>
        <v>#N/A</v>
      </c>
      <c r="K3653" s="1084"/>
      <c r="L3653" s="1085"/>
      <c r="M3653" s="1085"/>
      <c r="N3653" s="1085"/>
      <c r="O3653" s="1085"/>
    </row>
    <row r="3654" spans="1:15" ht="15" customHeight="1">
      <c r="A3654" s="1056" t="s">
        <v>361</v>
      </c>
      <c r="B3654" s="1057" t="s">
        <v>2663</v>
      </c>
      <c r="C3654" s="1058" t="e">
        <f>VLOOKUP(B3652,'LƯƠNG KT'!$D$15:$R$94,15,0)</f>
        <v>#N/A</v>
      </c>
      <c r="D3654" s="1059" t="e">
        <f>C3654*$L$4</f>
        <v>#N/A</v>
      </c>
      <c r="E3654" s="1061"/>
      <c r="F3654" s="1061"/>
      <c r="G3654" s="1056" t="s">
        <v>361</v>
      </c>
      <c r="H3654" s="1057" t="s">
        <v>2663</v>
      </c>
      <c r="I3654" s="1058" t="e">
        <f>VLOOKUP(H3652,'LƯƠNG KT'!$D$15:$R$94,15,0)</f>
        <v>#N/A</v>
      </c>
      <c r="J3654" s="1059" t="e">
        <f>I3654*$L$4</f>
        <v>#N/A</v>
      </c>
      <c r="K3654" s="1084"/>
      <c r="L3654" s="1085"/>
      <c r="M3654" s="1085"/>
      <c r="N3654" s="1085"/>
      <c r="O3654" s="1085"/>
    </row>
    <row r="3655" spans="1:15" ht="15" customHeight="1">
      <c r="A3655" s="1056" t="s">
        <v>364</v>
      </c>
      <c r="B3655" s="1057" t="s">
        <v>2664</v>
      </c>
      <c r="C3655" s="1058" t="e">
        <f>VLOOKUP(B3652,'LƯƠNG KT'!$D$15:$R$94,16,0)</f>
        <v>#N/A</v>
      </c>
      <c r="D3655" s="1059" t="e">
        <f>C3655*$L$5</f>
        <v>#N/A</v>
      </c>
      <c r="E3655" s="1061"/>
      <c r="F3655" s="1061"/>
      <c r="G3655" s="1056" t="s">
        <v>364</v>
      </c>
      <c r="H3655" s="1057" t="s">
        <v>2664</v>
      </c>
      <c r="I3655" s="1058" t="e">
        <f>VLOOKUP(H3652,'LƯƠNG KT'!$D$15:$R$94,16,0)</f>
        <v>#N/A</v>
      </c>
      <c r="J3655" s="1059" t="e">
        <f>I3655*$L$5</f>
        <v>#N/A</v>
      </c>
      <c r="K3655" s="1084"/>
      <c r="L3655" s="1085"/>
      <c r="M3655" s="1085"/>
      <c r="N3655" s="1085"/>
      <c r="O3655" s="1085"/>
    </row>
    <row r="3656" spans="1:15" ht="15" customHeight="1">
      <c r="A3656" s="1056" t="s">
        <v>370</v>
      </c>
      <c r="B3656" s="1057" t="s">
        <v>2665</v>
      </c>
      <c r="C3656" s="1058" t="e">
        <f>VLOOKUP(B3652,'LƯƠNG KT'!$D$15:$R$94,24,0)</f>
        <v>#N/A</v>
      </c>
      <c r="D3656" s="1059" t="e">
        <f>+C3656*$L$6</f>
        <v>#N/A</v>
      </c>
      <c r="E3656" s="1061"/>
      <c r="F3656" s="1061"/>
      <c r="G3656" s="1056" t="s">
        <v>370</v>
      </c>
      <c r="H3656" s="1057" t="s">
        <v>2665</v>
      </c>
      <c r="I3656" s="1058" t="e">
        <f>VLOOKUP(H3652,'LƯƠNG KT'!$D$15:$R$94,24,0)</f>
        <v>#N/A</v>
      </c>
      <c r="J3656" s="1059" t="e">
        <f>+I3656*$L$6</f>
        <v>#N/A</v>
      </c>
      <c r="K3656" s="1085"/>
      <c r="L3656" s="1085"/>
      <c r="M3656" s="1085"/>
      <c r="N3656" s="1085"/>
      <c r="O3656" s="1085"/>
    </row>
    <row r="3657" spans="1:15" ht="15" customHeight="1">
      <c r="A3657" s="1056" t="s">
        <v>2666</v>
      </c>
      <c r="B3657" s="1057" t="s">
        <v>2667</v>
      </c>
      <c r="C3657" s="1058" t="e">
        <f>VLOOKUP(B3652,'LƯƠNG KT'!$D$15:$R$94,19,0)</f>
        <v>#N/A</v>
      </c>
      <c r="D3657" s="1059" t="e">
        <f>+C3657*$L$8</f>
        <v>#N/A</v>
      </c>
      <c r="E3657" s="1061"/>
      <c r="F3657" s="1061"/>
      <c r="G3657" s="1056" t="s">
        <v>2666</v>
      </c>
      <c r="H3657" s="1057" t="s">
        <v>2667</v>
      </c>
      <c r="I3657" s="1058" t="e">
        <f>VLOOKUP(H3652,'LƯƠNG KT'!$D$15:$R$94,19,0)</f>
        <v>#N/A</v>
      </c>
      <c r="J3657" s="1059" t="e">
        <f>+I3657*$L$8</f>
        <v>#N/A</v>
      </c>
      <c r="K3657" s="1085"/>
      <c r="L3657" s="1085"/>
      <c r="M3657" s="1085"/>
      <c r="N3657" s="1085"/>
      <c r="O3657" s="1085"/>
    </row>
    <row r="3658" spans="1:15" ht="15" customHeight="1">
      <c r="A3658" s="1056" t="s">
        <v>2668</v>
      </c>
      <c r="B3658" s="1062" t="s">
        <v>2669</v>
      </c>
      <c r="C3658" s="1058" t="e">
        <f>VLOOKUP(B3652,'LƯƠNG KT'!$D$15:$R$94,20,0)</f>
        <v>#N/A</v>
      </c>
      <c r="D3658" s="1059" t="e">
        <f>+C3658*$L$9</f>
        <v>#N/A</v>
      </c>
      <c r="E3658" s="1061"/>
      <c r="F3658" s="1061"/>
      <c r="G3658" s="1056" t="s">
        <v>2668</v>
      </c>
      <c r="H3658" s="1062" t="s">
        <v>2669</v>
      </c>
      <c r="I3658" s="1058" t="e">
        <f>VLOOKUP(H3652,'LƯƠNG KT'!$D$15:$R$94,20,0)</f>
        <v>#N/A</v>
      </c>
      <c r="J3658" s="1059" t="e">
        <f>+I3658*$L$9</f>
        <v>#N/A</v>
      </c>
      <c r="K3658" s="1085"/>
      <c r="L3658" s="1085"/>
      <c r="M3658" s="1085"/>
      <c r="N3658" s="1085"/>
      <c r="O3658" s="1085"/>
    </row>
    <row r="3659" spans="1:15" ht="15" customHeight="1">
      <c r="A3659" s="1056" t="s">
        <v>2671</v>
      </c>
      <c r="B3659" s="1057" t="s">
        <v>2672</v>
      </c>
      <c r="C3659" s="1058" t="e">
        <f>VLOOKUP(B3652,'LƯƠNG KT'!$D$15:$R$94,17,0)</f>
        <v>#N/A</v>
      </c>
      <c r="D3659" s="1059" t="e">
        <f>+C3659*$L$10</f>
        <v>#N/A</v>
      </c>
      <c r="E3659" s="1061"/>
      <c r="F3659" s="1061"/>
      <c r="G3659" s="1056" t="s">
        <v>2671</v>
      </c>
      <c r="H3659" s="1057" t="s">
        <v>2672</v>
      </c>
      <c r="I3659" s="1058" t="e">
        <f>VLOOKUP(H3652,'LƯƠNG KT'!$D$15:$R$94,17,0)</f>
        <v>#N/A</v>
      </c>
      <c r="J3659" s="1059" t="e">
        <f>+I3659*$L$10</f>
        <v>#N/A</v>
      </c>
      <c r="K3659" s="1085"/>
      <c r="L3659" s="1085"/>
      <c r="M3659" s="1085"/>
      <c r="N3659" s="1085"/>
      <c r="O3659" s="1085"/>
    </row>
    <row r="3660" spans="1:15" ht="15" customHeight="1">
      <c r="A3660" s="1056" t="s">
        <v>2693</v>
      </c>
      <c r="B3660" s="1062" t="s">
        <v>2692</v>
      </c>
      <c r="C3660" s="1058" t="e">
        <f>VLOOKUP(B3652,'LƯƠNG KT'!$D$15:$R$94,21,0)</f>
        <v>#N/A</v>
      </c>
      <c r="D3660" s="1059" t="e">
        <f>+C3660*$L$7</f>
        <v>#N/A</v>
      </c>
      <c r="E3660" s="1061"/>
      <c r="F3660" s="1061"/>
      <c r="G3660" s="1056" t="s">
        <v>2693</v>
      </c>
      <c r="H3660" s="1062" t="s">
        <v>2692</v>
      </c>
      <c r="I3660" s="1058" t="e">
        <f>VLOOKUP(H3652,'LƯƠNG KT'!$D$15:$R$94,21,0)</f>
        <v>#N/A</v>
      </c>
      <c r="J3660" s="1059" t="e">
        <f>+I3660*$L$7</f>
        <v>#N/A</v>
      </c>
      <c r="K3660" s="1085"/>
      <c r="L3660" s="1085"/>
      <c r="M3660" s="1085"/>
      <c r="N3660" s="1085"/>
      <c r="O3660" s="1085"/>
    </row>
    <row r="3661" spans="1:15" ht="15" customHeight="1">
      <c r="A3661" s="1056" t="s">
        <v>2694</v>
      </c>
      <c r="B3661" s="1057" t="s">
        <v>2684</v>
      </c>
      <c r="C3661" s="1058" t="e">
        <f>VLOOKUP(B3652,'LƯƠNG KT'!$D$15:$R$94,23,0)</f>
        <v>#N/A</v>
      </c>
      <c r="D3661" s="1059" t="e">
        <f>+C3661*20000</f>
        <v>#N/A</v>
      </c>
      <c r="E3661" s="1063"/>
      <c r="F3661" s="1061"/>
      <c r="G3661" s="1056" t="s">
        <v>2694</v>
      </c>
      <c r="H3661" s="1057" t="s">
        <v>2684</v>
      </c>
      <c r="I3661" s="1058" t="e">
        <f>VLOOKUP(H3652,'LƯƠNG KT'!$D$15:$R$94,23,0)</f>
        <v>#N/A</v>
      </c>
      <c r="J3661" s="1059" t="e">
        <f>+I3661*20000</f>
        <v>#N/A</v>
      </c>
      <c r="K3661" s="1085"/>
      <c r="L3661" s="1085"/>
      <c r="M3661" s="1085"/>
      <c r="N3661" s="1085"/>
      <c r="O3661" s="1085"/>
    </row>
    <row r="3662" spans="1:15" ht="15" customHeight="1">
      <c r="A3662" s="1056" t="s">
        <v>374</v>
      </c>
      <c r="B3662" s="1057" t="s">
        <v>2674</v>
      </c>
      <c r="C3662" s="1058" t="e">
        <f>VLOOKUP(B3652,'LƯƠNG KT'!$D$15:$R$94,12,0)</f>
        <v>#N/A</v>
      </c>
      <c r="D3662" s="1059" t="e">
        <f>VLOOKUP(B3652,'LƯƠNG KT'!$D$15:$R$94,14,0)</f>
        <v>#N/A</v>
      </c>
      <c r="E3662" s="1065"/>
      <c r="F3662" s="1065"/>
      <c r="G3662" s="1056" t="s">
        <v>374</v>
      </c>
      <c r="H3662" s="1057" t="s">
        <v>2674</v>
      </c>
      <c r="I3662" s="1058" t="e">
        <f>VLOOKUP(H3652,'LƯƠNG KT'!$D$15:$R$94,12,0)</f>
        <v>#N/A</v>
      </c>
      <c r="J3662" s="1059" t="e">
        <f>VLOOKUP(H3652,'LƯƠNG KT'!$D$15:$R$94,14,0)</f>
        <v>#N/A</v>
      </c>
    </row>
    <row r="3663" spans="1:15" ht="15" customHeight="1">
      <c r="A3663" s="1056" t="s">
        <v>2675</v>
      </c>
      <c r="B3663" s="1057" t="s">
        <v>2676</v>
      </c>
      <c r="D3663" s="1064" t="e">
        <f>VLOOKUP(B3652,'LƯƠNG KT'!$D$15:$R$94,13,0)</f>
        <v>#N/A</v>
      </c>
      <c r="E3663" s="1063"/>
      <c r="F3663" s="1065"/>
      <c r="G3663" s="1056" t="s">
        <v>2675</v>
      </c>
      <c r="H3663" s="1057" t="s">
        <v>2676</v>
      </c>
      <c r="J3663" s="1064" t="e">
        <f>VLOOKUP(H3652,'LƯƠNG KT'!$D$15:$R$94,13,0)</f>
        <v>#N/A</v>
      </c>
    </row>
    <row r="3664" spans="1:15" ht="15" customHeight="1">
      <c r="A3664" s="1052"/>
      <c r="B3664" s="869"/>
      <c r="C3664" s="1058"/>
      <c r="D3664" s="1059"/>
      <c r="E3664" s="1067"/>
      <c r="F3664" s="1051"/>
      <c r="G3664" s="1052"/>
      <c r="H3664" s="869"/>
      <c r="I3664" s="1058"/>
      <c r="J3664" s="1059"/>
    </row>
    <row r="3665" spans="1:15" ht="12.6" customHeight="1">
      <c r="A3665" s="1068" t="s">
        <v>383</v>
      </c>
      <c r="B3665" s="1069" t="s">
        <v>384</v>
      </c>
      <c r="C3665" s="1070"/>
      <c r="D3665" s="1071" t="e">
        <f>SUM(D3653:D3662)</f>
        <v>#N/A</v>
      </c>
      <c r="E3665" s="1072"/>
      <c r="F3665" s="1073"/>
      <c r="G3665" s="1068" t="s">
        <v>383</v>
      </c>
      <c r="H3665" s="1069" t="s">
        <v>384</v>
      </c>
      <c r="I3665" s="1070"/>
      <c r="J3665" s="1071" t="e">
        <f>SUM(J3653:J3662)</f>
        <v>#N/A</v>
      </c>
    </row>
    <row r="3666" spans="1:15" ht="107.25" customHeight="1">
      <c r="A3666" s="1075"/>
      <c r="B3666" s="1075"/>
      <c r="C3666" s="1079"/>
      <c r="D3666" s="1080"/>
      <c r="E3666" s="1075"/>
      <c r="F3666" s="1081"/>
      <c r="G3666" s="1075"/>
      <c r="H3666" s="1075"/>
      <c r="I3666" s="1079"/>
      <c r="J3666" s="1080"/>
    </row>
    <row r="3667" spans="1:15" ht="15" customHeight="1">
      <c r="A3667" s="2242" t="str">
        <f>$K$2</f>
        <v>THÁNG 04/2025</v>
      </c>
      <c r="B3667" s="2242"/>
      <c r="C3667" s="2242"/>
      <c r="D3667" s="2242"/>
      <c r="E3667" s="1050"/>
      <c r="F3667" s="1051"/>
      <c r="G3667" s="2242" t="str">
        <f>$K$2</f>
        <v>THÁNG 04/2025</v>
      </c>
      <c r="H3667" s="2242"/>
      <c r="I3667" s="2242"/>
      <c r="J3667" s="2242"/>
      <c r="K3667" s="624"/>
    </row>
    <row r="3668" spans="1:15" ht="15" customHeight="1">
      <c r="A3668" s="1052" t="s">
        <v>356</v>
      </c>
      <c r="B3668" s="1053" t="s">
        <v>331</v>
      </c>
      <c r="C3668" s="869"/>
      <c r="D3668" s="1049"/>
      <c r="E3668" s="1054"/>
      <c r="F3668" s="1055"/>
      <c r="G3668" s="1052" t="s">
        <v>356</v>
      </c>
      <c r="H3668" s="1053" t="s">
        <v>332</v>
      </c>
      <c r="I3668" s="869"/>
      <c r="J3668" s="1049"/>
      <c r="L3668" s="1088"/>
      <c r="M3668" s="1088"/>
      <c r="N3668" s="1088"/>
      <c r="O3668" s="1088"/>
    </row>
    <row r="3669" spans="1:15" ht="15" customHeight="1">
      <c r="A3669" s="1056" t="s">
        <v>359</v>
      </c>
      <c r="B3669" s="1057" t="s">
        <v>2662</v>
      </c>
      <c r="C3669" s="1058" t="e">
        <f>VLOOKUP(B3668,'LƯƠNG KT'!$D$15:$R$94,4,0)</f>
        <v>#N/A</v>
      </c>
      <c r="D3669" s="1059" t="e">
        <f>+C3669*25000</f>
        <v>#N/A</v>
      </c>
      <c r="E3669" s="1060"/>
      <c r="F3669" s="1060"/>
      <c r="G3669" s="1056" t="s">
        <v>359</v>
      </c>
      <c r="H3669" s="1057" t="s">
        <v>2662</v>
      </c>
      <c r="I3669" s="1058" t="e">
        <f>VLOOKUP(H3668,'LƯƠNG KT'!$D$15:$R$94,4,0)</f>
        <v>#N/A</v>
      </c>
      <c r="J3669" s="1059" t="e">
        <f>+I3669*25000</f>
        <v>#N/A</v>
      </c>
      <c r="K3669" s="1085"/>
      <c r="L3669" s="1085"/>
      <c r="M3669" s="1085"/>
      <c r="N3669" s="1085"/>
      <c r="O3669" s="1085"/>
    </row>
    <row r="3670" spans="1:15" ht="15" customHeight="1">
      <c r="A3670" s="1056" t="s">
        <v>361</v>
      </c>
      <c r="B3670" s="1057" t="s">
        <v>2663</v>
      </c>
      <c r="C3670" s="1058" t="e">
        <f>VLOOKUP(B3668,'LƯƠNG KT'!$D$15:$R$94,15,0)</f>
        <v>#N/A</v>
      </c>
      <c r="D3670" s="1059" t="e">
        <f>C3670*$L$4</f>
        <v>#N/A</v>
      </c>
      <c r="E3670" s="1061"/>
      <c r="F3670" s="1061"/>
      <c r="G3670" s="1056" t="s">
        <v>361</v>
      </c>
      <c r="H3670" s="1057" t="s">
        <v>2663</v>
      </c>
      <c r="I3670" s="1058" t="e">
        <f>VLOOKUP(H3668,'LƯƠNG KT'!$D$15:$R$94,15,0)</f>
        <v>#N/A</v>
      </c>
      <c r="J3670" s="1059" t="e">
        <f>I3670*$L$4</f>
        <v>#N/A</v>
      </c>
      <c r="K3670" s="1085"/>
      <c r="L3670" s="1085"/>
      <c r="M3670" s="1085"/>
      <c r="N3670" s="1085"/>
      <c r="O3670" s="1085"/>
    </row>
    <row r="3671" spans="1:15" ht="15" customHeight="1">
      <c r="A3671" s="1056" t="s">
        <v>364</v>
      </c>
      <c r="B3671" s="1057" t="s">
        <v>2664</v>
      </c>
      <c r="C3671" s="1058" t="e">
        <f>VLOOKUP(B3668,'LƯƠNG KT'!$D$15:$R$94,16,0)</f>
        <v>#N/A</v>
      </c>
      <c r="D3671" s="1059" t="e">
        <f>C3671*$L$5</f>
        <v>#N/A</v>
      </c>
      <c r="E3671" s="1061"/>
      <c r="F3671" s="1061"/>
      <c r="G3671" s="1056" t="s">
        <v>364</v>
      </c>
      <c r="H3671" s="1057" t="s">
        <v>2664</v>
      </c>
      <c r="I3671" s="1058" t="e">
        <f>VLOOKUP(H3668,'LƯƠNG KT'!$D$15:$R$94,16,0)</f>
        <v>#N/A</v>
      </c>
      <c r="J3671" s="1059" t="e">
        <f>I3671*$L$5</f>
        <v>#N/A</v>
      </c>
      <c r="K3671" s="1085"/>
      <c r="L3671" s="1085"/>
      <c r="M3671" s="1085"/>
      <c r="N3671" s="1085"/>
      <c r="O3671" s="1085"/>
    </row>
    <row r="3672" spans="1:15" ht="15" customHeight="1">
      <c r="A3672" s="1056" t="s">
        <v>370</v>
      </c>
      <c r="B3672" s="1057" t="s">
        <v>2665</v>
      </c>
      <c r="C3672" s="1058" t="e">
        <f>VLOOKUP(B3668,'LƯƠNG KT'!$D$15:$R$94,24,0)</f>
        <v>#N/A</v>
      </c>
      <c r="D3672" s="1059" t="e">
        <f>+C3672*$L$6</f>
        <v>#N/A</v>
      </c>
      <c r="E3672" s="1061"/>
      <c r="F3672" s="1061"/>
      <c r="G3672" s="1056" t="s">
        <v>370</v>
      </c>
      <c r="H3672" s="1057" t="s">
        <v>2665</v>
      </c>
      <c r="I3672" s="1058" t="e">
        <f>VLOOKUP(H3668,'LƯƠNG KT'!$D$15:$R$94,24,0)</f>
        <v>#N/A</v>
      </c>
      <c r="J3672" s="1059" t="e">
        <f>+I3672*$L$6</f>
        <v>#N/A</v>
      </c>
      <c r="K3672" s="1085"/>
      <c r="L3672" s="1085"/>
      <c r="M3672" s="1085"/>
      <c r="N3672" s="1085"/>
      <c r="O3672" s="1085"/>
    </row>
    <row r="3673" spans="1:15" ht="15" customHeight="1">
      <c r="A3673" s="1056" t="s">
        <v>2666</v>
      </c>
      <c r="B3673" s="1057" t="s">
        <v>2667</v>
      </c>
      <c r="C3673" s="1058" t="e">
        <f>VLOOKUP(B3668,'LƯƠNG KT'!$D$15:$R$94,19,0)</f>
        <v>#N/A</v>
      </c>
      <c r="D3673" s="1059" t="e">
        <f>+C3673*$L$8</f>
        <v>#N/A</v>
      </c>
      <c r="E3673" s="1061"/>
      <c r="F3673" s="1061"/>
      <c r="G3673" s="1056" t="s">
        <v>2666</v>
      </c>
      <c r="H3673" s="1057" t="s">
        <v>2667</v>
      </c>
      <c r="I3673" s="1058" t="e">
        <f>VLOOKUP(H3668,'LƯƠNG KT'!$D$15:$R$94,19,0)</f>
        <v>#N/A</v>
      </c>
      <c r="J3673" s="1059" t="e">
        <f>+I3673*$L$8</f>
        <v>#N/A</v>
      </c>
      <c r="K3673" s="1085"/>
      <c r="L3673" s="1085"/>
      <c r="M3673" s="1085"/>
      <c r="N3673" s="1085"/>
      <c r="O3673" s="1085"/>
    </row>
    <row r="3674" spans="1:15" ht="15" customHeight="1">
      <c r="A3674" s="1056" t="s">
        <v>2668</v>
      </c>
      <c r="B3674" s="1062" t="s">
        <v>2669</v>
      </c>
      <c r="C3674" s="1058" t="e">
        <f>VLOOKUP(B3668,'LƯƠNG KT'!$D$15:$R$94,20,0)</f>
        <v>#N/A</v>
      </c>
      <c r="D3674" s="1059" t="e">
        <f>+C3674*$L$9</f>
        <v>#N/A</v>
      </c>
      <c r="E3674" s="1061"/>
      <c r="F3674" s="1061"/>
      <c r="G3674" s="1056" t="s">
        <v>2668</v>
      </c>
      <c r="H3674" s="1062" t="s">
        <v>2669</v>
      </c>
      <c r="I3674" s="1058" t="e">
        <f>VLOOKUP(H3668,'LƯƠNG KT'!$D$15:$R$94,20,0)</f>
        <v>#N/A</v>
      </c>
      <c r="J3674" s="1059" t="e">
        <f>+I3674*$L$9</f>
        <v>#N/A</v>
      </c>
      <c r="K3674" s="1085"/>
      <c r="L3674" s="1085"/>
      <c r="M3674" s="1085"/>
      <c r="N3674" s="1085"/>
      <c r="O3674" s="1085"/>
    </row>
    <row r="3675" spans="1:15" ht="15" customHeight="1">
      <c r="A3675" s="1056" t="s">
        <v>2671</v>
      </c>
      <c r="B3675" s="1057" t="s">
        <v>2672</v>
      </c>
      <c r="C3675" s="1058" t="e">
        <f>VLOOKUP(B3668,'LƯƠNG KT'!$D$15:$R$94,17,0)</f>
        <v>#N/A</v>
      </c>
      <c r="D3675" s="1059" t="e">
        <f>+C3675*$L$10</f>
        <v>#N/A</v>
      </c>
      <c r="E3675" s="1061"/>
      <c r="F3675" s="1061"/>
      <c r="G3675" s="1056" t="s">
        <v>2671</v>
      </c>
      <c r="H3675" s="1057" t="s">
        <v>2672</v>
      </c>
      <c r="I3675" s="1058" t="e">
        <f>VLOOKUP(H3668,'LƯƠNG KT'!$D$15:$R$94,17,0)</f>
        <v>#N/A</v>
      </c>
      <c r="J3675" s="1059" t="e">
        <f>+I3675*$L$10</f>
        <v>#N/A</v>
      </c>
      <c r="K3675" s="1085"/>
      <c r="L3675" s="1085"/>
      <c r="M3675" s="1085"/>
      <c r="N3675" s="1085"/>
      <c r="O3675" s="1085"/>
    </row>
    <row r="3676" spans="1:15" ht="15" customHeight="1">
      <c r="A3676" s="1056" t="s">
        <v>2693</v>
      </c>
      <c r="B3676" s="1062" t="s">
        <v>2692</v>
      </c>
      <c r="C3676" s="1058" t="e">
        <f>VLOOKUP(B3668,'LƯƠNG KT'!$D$15:$R$94,21,0)</f>
        <v>#N/A</v>
      </c>
      <c r="D3676" s="1059" t="e">
        <f>+C3676*$L$7</f>
        <v>#N/A</v>
      </c>
      <c r="E3676" s="1061"/>
      <c r="F3676" s="1061"/>
      <c r="G3676" s="1056" t="s">
        <v>2693</v>
      </c>
      <c r="H3676" s="1062" t="s">
        <v>2692</v>
      </c>
      <c r="I3676" s="1058" t="e">
        <f>VLOOKUP(H3668,'LƯƠNG KT'!$D$15:$R$94,21,0)</f>
        <v>#N/A</v>
      </c>
      <c r="J3676" s="1059" t="e">
        <f>+I3676*$L$7</f>
        <v>#N/A</v>
      </c>
      <c r="K3676" s="1085"/>
      <c r="L3676" s="1085"/>
      <c r="M3676" s="1085"/>
      <c r="N3676" s="1085"/>
      <c r="O3676" s="1085"/>
    </row>
    <row r="3677" spans="1:15" ht="15" customHeight="1">
      <c r="A3677" s="1056" t="s">
        <v>2694</v>
      </c>
      <c r="B3677" s="1057" t="s">
        <v>2684</v>
      </c>
      <c r="C3677" s="1058" t="e">
        <f>VLOOKUP(B3668,'LƯƠNG KT'!$D$15:$R$94,23,0)</f>
        <v>#N/A</v>
      </c>
      <c r="D3677" s="1059" t="e">
        <f>+C3677*20000</f>
        <v>#N/A</v>
      </c>
      <c r="E3677" s="1063"/>
      <c r="F3677" s="1061"/>
      <c r="G3677" s="1056" t="s">
        <v>2694</v>
      </c>
      <c r="H3677" s="1057" t="s">
        <v>2684</v>
      </c>
      <c r="I3677" s="1058" t="e">
        <f>VLOOKUP(H3668,'LƯƠNG KT'!$D$15:$R$94,23,0)</f>
        <v>#N/A</v>
      </c>
      <c r="J3677" s="1059" t="e">
        <f>+I3677*20000</f>
        <v>#N/A</v>
      </c>
      <c r="K3677" s="1085"/>
      <c r="L3677" s="1085"/>
      <c r="M3677" s="1085"/>
      <c r="N3677" s="1085"/>
      <c r="O3677" s="1085"/>
    </row>
    <row r="3678" spans="1:15" ht="15" customHeight="1">
      <c r="A3678" s="1056" t="s">
        <v>374</v>
      </c>
      <c r="B3678" s="1057" t="s">
        <v>2674</v>
      </c>
      <c r="C3678" s="1058" t="e">
        <f>VLOOKUP(B3668,'LƯƠNG KT'!$D$15:$R$94,12,0)</f>
        <v>#N/A</v>
      </c>
      <c r="D3678" s="1059" t="e">
        <f>VLOOKUP(B3668,'LƯƠNG KT'!$D$15:$R$94,14,0)</f>
        <v>#N/A</v>
      </c>
      <c r="E3678" s="1065"/>
      <c r="F3678" s="1065"/>
      <c r="G3678" s="1056" t="s">
        <v>374</v>
      </c>
      <c r="H3678" s="1057" t="s">
        <v>2674</v>
      </c>
      <c r="I3678" s="1058" t="e">
        <f>VLOOKUP(H3668,'LƯƠNG KT'!$D$15:$R$94,12,0)</f>
        <v>#N/A</v>
      </c>
      <c r="J3678" s="1059" t="e">
        <f>VLOOKUP(H3668,'LƯƠNG KT'!$D$15:$R$94,14,0)</f>
        <v>#N/A</v>
      </c>
      <c r="K3678" s="1085"/>
      <c r="L3678" s="1085"/>
      <c r="M3678" s="1085"/>
      <c r="N3678" s="1085"/>
      <c r="O3678" s="1085"/>
    </row>
    <row r="3679" spans="1:15" ht="15" customHeight="1">
      <c r="A3679" s="1056" t="s">
        <v>2675</v>
      </c>
      <c r="B3679" s="1057" t="s">
        <v>2676</v>
      </c>
      <c r="D3679" s="1064" t="e">
        <f>VLOOKUP(B3668,'LƯƠNG KT'!$D$15:$R$94,13,0)</f>
        <v>#N/A</v>
      </c>
      <c r="E3679" s="1063"/>
      <c r="F3679" s="1065"/>
      <c r="G3679" s="1056" t="s">
        <v>2675</v>
      </c>
      <c r="H3679" s="1057" t="s">
        <v>2676</v>
      </c>
      <c r="J3679" s="1064" t="e">
        <f>VLOOKUP(H3668,'LƯƠNG KT'!$D$15:$R$94,13,0)</f>
        <v>#N/A</v>
      </c>
    </row>
    <row r="3680" spans="1:15" ht="15" customHeight="1">
      <c r="A3680" s="1052"/>
      <c r="B3680" s="869"/>
      <c r="C3680" s="1058"/>
      <c r="D3680" s="1059"/>
      <c r="E3680" s="1067"/>
      <c r="F3680" s="1051"/>
      <c r="G3680" s="1052"/>
      <c r="H3680" s="869"/>
      <c r="I3680" s="1058"/>
      <c r="J3680" s="1059"/>
    </row>
    <row r="3681" spans="1:15" ht="18" customHeight="1">
      <c r="A3681" s="1068" t="s">
        <v>383</v>
      </c>
      <c r="B3681" s="1069" t="s">
        <v>384</v>
      </c>
      <c r="C3681" s="1070"/>
      <c r="D3681" s="1071" t="e">
        <f>SUM(D3669:D3678)</f>
        <v>#N/A</v>
      </c>
      <c r="E3681" s="1072"/>
      <c r="F3681" s="1073"/>
      <c r="G3681" s="1068" t="s">
        <v>383</v>
      </c>
      <c r="H3681" s="1069" t="s">
        <v>384</v>
      </c>
      <c r="I3681" s="1070"/>
      <c r="J3681" s="1071" t="e">
        <f>SUM(J3669:J3678)</f>
        <v>#N/A</v>
      </c>
    </row>
    <row r="3682" spans="1:15" ht="18" customHeight="1">
      <c r="A3682" s="1097"/>
      <c r="B3682" s="1098"/>
      <c r="C3682" s="1099"/>
      <c r="D3682" s="1100"/>
      <c r="E3682" s="1096"/>
      <c r="F3682" s="1072"/>
      <c r="G3682" s="1097"/>
      <c r="H3682" s="1098"/>
      <c r="I3682" s="1099"/>
      <c r="J3682" s="1100"/>
    </row>
    <row r="3683" spans="1:15" ht="20.25" customHeight="1">
      <c r="A3683" s="1075"/>
      <c r="B3683" s="1075"/>
      <c r="C3683" s="1079"/>
      <c r="D3683" s="1080"/>
      <c r="E3683" s="1075"/>
      <c r="F3683" s="1081"/>
      <c r="G3683" s="1075"/>
      <c r="H3683" s="1075"/>
      <c r="I3683" s="1079"/>
      <c r="J3683" s="1080"/>
    </row>
    <row r="3684" spans="1:15" ht="15" customHeight="1">
      <c r="A3684" s="2242" t="str">
        <f>$K$2</f>
        <v>THÁNG 04/2025</v>
      </c>
      <c r="B3684" s="2242"/>
      <c r="C3684" s="2242"/>
      <c r="D3684" s="2242"/>
      <c r="E3684" s="1050"/>
      <c r="F3684" s="1051"/>
      <c r="G3684" s="2242" t="str">
        <f>$K$2</f>
        <v>THÁNG 04/2025</v>
      </c>
      <c r="H3684" s="2242"/>
      <c r="I3684" s="2242"/>
      <c r="J3684" s="2242"/>
      <c r="K3684" s="624"/>
    </row>
    <row r="3685" spans="1:15" ht="15" customHeight="1">
      <c r="A3685" s="1052" t="s">
        <v>356</v>
      </c>
      <c r="B3685" s="1053" t="s">
        <v>333</v>
      </c>
      <c r="C3685" s="869"/>
      <c r="D3685" s="1049"/>
      <c r="E3685" s="1054"/>
      <c r="F3685" s="1055"/>
      <c r="G3685" s="1052" t="s">
        <v>356</v>
      </c>
      <c r="H3685" s="1053" t="s">
        <v>334</v>
      </c>
      <c r="I3685" s="869"/>
      <c r="J3685" s="1049"/>
      <c r="L3685" s="1088"/>
      <c r="M3685" s="1088"/>
      <c r="N3685" s="1088"/>
      <c r="O3685" s="1088"/>
    </row>
    <row r="3686" spans="1:15" ht="15" customHeight="1">
      <c r="A3686" s="1056" t="s">
        <v>359</v>
      </c>
      <c r="B3686" s="1057" t="s">
        <v>2662</v>
      </c>
      <c r="C3686" s="1058" t="e">
        <f>VLOOKUP(B3685,'LƯƠNG KT'!$D$15:$R$94,4,0)</f>
        <v>#N/A</v>
      </c>
      <c r="D3686" s="1059" t="e">
        <f>+C3686*25000</f>
        <v>#N/A</v>
      </c>
      <c r="E3686" s="1060"/>
      <c r="F3686" s="1060"/>
      <c r="G3686" s="1056" t="s">
        <v>359</v>
      </c>
      <c r="H3686" s="1057" t="s">
        <v>2662</v>
      </c>
      <c r="I3686" s="1058" t="e">
        <f>VLOOKUP(H3685,'LƯƠNG KT'!$D$15:$R$94,4,0)</f>
        <v>#N/A</v>
      </c>
      <c r="J3686" s="1059" t="e">
        <f>+I3686*25000</f>
        <v>#N/A</v>
      </c>
      <c r="K3686" s="1085"/>
      <c r="L3686" s="1085"/>
      <c r="M3686" s="1085"/>
      <c r="N3686" s="1085"/>
      <c r="O3686" s="1085"/>
    </row>
    <row r="3687" spans="1:15" ht="15" customHeight="1">
      <c r="A3687" s="1056" t="s">
        <v>361</v>
      </c>
      <c r="B3687" s="1057" t="s">
        <v>2663</v>
      </c>
      <c r="C3687" s="1058" t="e">
        <f>VLOOKUP(B3685,'LƯƠNG KT'!$D$15:$R$94,15,0)</f>
        <v>#N/A</v>
      </c>
      <c r="D3687" s="1059" t="e">
        <f>C3687*$L$4</f>
        <v>#N/A</v>
      </c>
      <c r="E3687" s="1061"/>
      <c r="F3687" s="1061"/>
      <c r="G3687" s="1056" t="s">
        <v>361</v>
      </c>
      <c r="H3687" s="1057" t="s">
        <v>2663</v>
      </c>
      <c r="I3687" s="1058" t="e">
        <f>VLOOKUP(H3685,'LƯƠNG KT'!$D$15:$R$94,15,0)</f>
        <v>#N/A</v>
      </c>
      <c r="J3687" s="1059" t="e">
        <f>I3687*$L$4</f>
        <v>#N/A</v>
      </c>
      <c r="K3687" s="1085"/>
      <c r="L3687" s="1085"/>
      <c r="M3687" s="1085"/>
      <c r="N3687" s="1085"/>
      <c r="O3687" s="1085"/>
    </row>
    <row r="3688" spans="1:15" ht="15" customHeight="1">
      <c r="A3688" s="1056" t="s">
        <v>364</v>
      </c>
      <c r="B3688" s="1057" t="s">
        <v>2664</v>
      </c>
      <c r="C3688" s="1058" t="e">
        <f>VLOOKUP(B3685,'LƯƠNG KT'!$D$15:$R$94,16,0)</f>
        <v>#N/A</v>
      </c>
      <c r="D3688" s="1059" t="e">
        <f>C3688*$L$5</f>
        <v>#N/A</v>
      </c>
      <c r="E3688" s="1061"/>
      <c r="F3688" s="1061"/>
      <c r="G3688" s="1056" t="s">
        <v>364</v>
      </c>
      <c r="H3688" s="1057" t="s">
        <v>2664</v>
      </c>
      <c r="I3688" s="1058" t="e">
        <f>VLOOKUP(H3685,'LƯƠNG KT'!$D$15:$R$94,16,0)</f>
        <v>#N/A</v>
      </c>
      <c r="J3688" s="1059" t="e">
        <f>I3688*$L$5</f>
        <v>#N/A</v>
      </c>
      <c r="K3688" s="1085"/>
      <c r="L3688" s="1085"/>
      <c r="M3688" s="1085"/>
      <c r="N3688" s="1085"/>
      <c r="O3688" s="1085"/>
    </row>
    <row r="3689" spans="1:15" ht="15" customHeight="1">
      <c r="A3689" s="1056" t="s">
        <v>370</v>
      </c>
      <c r="B3689" s="1057" t="s">
        <v>2665</v>
      </c>
      <c r="C3689" s="1058" t="e">
        <f>VLOOKUP(B3685,'LƯƠNG KT'!$D$15:$R$94,24,0)</f>
        <v>#N/A</v>
      </c>
      <c r="D3689" s="1059" t="e">
        <f>+C3689*$L$6</f>
        <v>#N/A</v>
      </c>
      <c r="E3689" s="1061"/>
      <c r="F3689" s="1061"/>
      <c r="G3689" s="1056" t="s">
        <v>370</v>
      </c>
      <c r="H3689" s="1057" t="s">
        <v>2665</v>
      </c>
      <c r="I3689" s="1058" t="e">
        <f>VLOOKUP(H3685,'LƯƠNG KT'!$D$15:$R$94,24,0)</f>
        <v>#N/A</v>
      </c>
      <c r="J3689" s="1059" t="e">
        <f>+I3689*$L$6</f>
        <v>#N/A</v>
      </c>
      <c r="K3689" s="1085"/>
      <c r="L3689" s="1085"/>
      <c r="M3689" s="1085"/>
      <c r="N3689" s="1085"/>
      <c r="O3689" s="1085"/>
    </row>
    <row r="3690" spans="1:15" ht="15" customHeight="1">
      <c r="A3690" s="1056" t="s">
        <v>2666</v>
      </c>
      <c r="B3690" s="1057" t="s">
        <v>2667</v>
      </c>
      <c r="C3690" s="1058" t="e">
        <f>VLOOKUP(B3685,'LƯƠNG KT'!$D$15:$R$94,19,0)</f>
        <v>#N/A</v>
      </c>
      <c r="D3690" s="1059" t="e">
        <f>+C3690*$L$8</f>
        <v>#N/A</v>
      </c>
      <c r="E3690" s="1061"/>
      <c r="F3690" s="1061"/>
      <c r="G3690" s="1056" t="s">
        <v>2666</v>
      </c>
      <c r="H3690" s="1057" t="s">
        <v>2667</v>
      </c>
      <c r="I3690" s="1058" t="e">
        <f>VLOOKUP(H3685,'LƯƠNG KT'!$D$15:$R$94,19,0)</f>
        <v>#N/A</v>
      </c>
      <c r="J3690" s="1059" t="e">
        <f>+I3690*$L$8</f>
        <v>#N/A</v>
      </c>
      <c r="K3690" s="1085"/>
      <c r="L3690" s="1085"/>
      <c r="M3690" s="1085"/>
      <c r="N3690" s="1085"/>
      <c r="O3690" s="1085"/>
    </row>
    <row r="3691" spans="1:15" ht="15" customHeight="1">
      <c r="A3691" s="1056" t="s">
        <v>2668</v>
      </c>
      <c r="B3691" s="1062" t="s">
        <v>2669</v>
      </c>
      <c r="C3691" s="1058" t="e">
        <f>VLOOKUP(B3685,'LƯƠNG KT'!$D$15:$R$94,20,0)</f>
        <v>#N/A</v>
      </c>
      <c r="D3691" s="1059" t="e">
        <f>+C3691*$L$9</f>
        <v>#N/A</v>
      </c>
      <c r="E3691" s="1061"/>
      <c r="F3691" s="1061"/>
      <c r="G3691" s="1056" t="s">
        <v>2668</v>
      </c>
      <c r="H3691" s="1062" t="s">
        <v>2669</v>
      </c>
      <c r="I3691" s="1058" t="e">
        <f>VLOOKUP(H3685,'LƯƠNG KT'!$D$15:$R$94,20,0)</f>
        <v>#N/A</v>
      </c>
      <c r="J3691" s="1059" t="e">
        <f>+I3691*$L$9</f>
        <v>#N/A</v>
      </c>
      <c r="K3691" s="1085"/>
      <c r="L3691" s="1085"/>
      <c r="M3691" s="1085"/>
      <c r="N3691" s="1085"/>
      <c r="O3691" s="1085"/>
    </row>
    <row r="3692" spans="1:15" ht="15" customHeight="1">
      <c r="A3692" s="1056" t="s">
        <v>2671</v>
      </c>
      <c r="B3692" s="1057" t="s">
        <v>2672</v>
      </c>
      <c r="C3692" s="1058" t="e">
        <f>VLOOKUP(B3685,'LƯƠNG KT'!$D$15:$R$94,17,0)</f>
        <v>#N/A</v>
      </c>
      <c r="D3692" s="1059" t="e">
        <f>+C3692*$L$10</f>
        <v>#N/A</v>
      </c>
      <c r="E3692" s="1061"/>
      <c r="F3692" s="1061"/>
      <c r="G3692" s="1056" t="s">
        <v>2671</v>
      </c>
      <c r="H3692" s="1057" t="s">
        <v>2672</v>
      </c>
      <c r="I3692" s="1058" t="e">
        <f>VLOOKUP(H3685,'LƯƠNG KT'!$D$15:$R$94,17,0)</f>
        <v>#N/A</v>
      </c>
      <c r="J3692" s="1059" t="e">
        <f>+I3692*$L$10</f>
        <v>#N/A</v>
      </c>
      <c r="K3692" s="1085"/>
      <c r="L3692" s="1085"/>
      <c r="M3692" s="1085"/>
      <c r="N3692" s="1085"/>
      <c r="O3692" s="1085"/>
    </row>
    <row r="3693" spans="1:15" ht="15" customHeight="1">
      <c r="A3693" s="1056" t="s">
        <v>2693</v>
      </c>
      <c r="B3693" s="1062" t="s">
        <v>2692</v>
      </c>
      <c r="C3693" s="1058" t="e">
        <f>VLOOKUP(B3685,'LƯƠNG KT'!$D$15:$R$94,21,0)</f>
        <v>#N/A</v>
      </c>
      <c r="D3693" s="1059" t="e">
        <f>+C3693*$L$7</f>
        <v>#N/A</v>
      </c>
      <c r="E3693" s="1061"/>
      <c r="F3693" s="1061"/>
      <c r="G3693" s="1056" t="s">
        <v>2693</v>
      </c>
      <c r="H3693" s="1062" t="s">
        <v>2692</v>
      </c>
      <c r="I3693" s="1058" t="e">
        <f>VLOOKUP(H3685,'LƯƠNG KT'!$D$15:$R$94,21,0)</f>
        <v>#N/A</v>
      </c>
      <c r="J3693" s="1059" t="e">
        <f>+I3693*$L$7</f>
        <v>#N/A</v>
      </c>
      <c r="K3693" s="1085"/>
      <c r="L3693" s="1085"/>
      <c r="M3693" s="1085"/>
      <c r="N3693" s="1085"/>
      <c r="O3693" s="1085"/>
    </row>
    <row r="3694" spans="1:15" ht="15" customHeight="1">
      <c r="A3694" s="1056" t="s">
        <v>2694</v>
      </c>
      <c r="B3694" s="1057" t="s">
        <v>2684</v>
      </c>
      <c r="C3694" s="1058" t="e">
        <f>VLOOKUP(B3685,'LƯƠNG KT'!$D$15:$R$94,23,0)</f>
        <v>#N/A</v>
      </c>
      <c r="D3694" s="1059" t="e">
        <f>+C3694*20000</f>
        <v>#N/A</v>
      </c>
      <c r="E3694" s="1063"/>
      <c r="F3694" s="1061"/>
      <c r="G3694" s="1056" t="s">
        <v>2694</v>
      </c>
      <c r="H3694" s="1057" t="s">
        <v>2684</v>
      </c>
      <c r="I3694" s="1058" t="e">
        <f>VLOOKUP(H3685,'LƯƠNG KT'!$D$15:$R$94,23,0)</f>
        <v>#N/A</v>
      </c>
      <c r="J3694" s="1059" t="e">
        <f>+I3694*20000</f>
        <v>#N/A</v>
      </c>
      <c r="K3694" s="1085"/>
      <c r="L3694" s="1085"/>
      <c r="M3694" s="1085"/>
      <c r="N3694" s="1085"/>
      <c r="O3694" s="1085"/>
    </row>
    <row r="3695" spans="1:15" ht="15" customHeight="1">
      <c r="A3695" s="1056" t="s">
        <v>374</v>
      </c>
      <c r="B3695" s="1057" t="s">
        <v>2674</v>
      </c>
      <c r="C3695" s="1058" t="e">
        <f>VLOOKUP(B3685,'LƯƠNG KT'!$D$15:$R$94,12,0)</f>
        <v>#N/A</v>
      </c>
      <c r="D3695" s="1059" t="e">
        <f>VLOOKUP(B3685,'LƯƠNG KT'!$D$15:$R$94,14,0)</f>
        <v>#N/A</v>
      </c>
      <c r="E3695" s="1065"/>
      <c r="F3695" s="1065"/>
      <c r="G3695" s="1056" t="s">
        <v>374</v>
      </c>
      <c r="H3695" s="1057" t="s">
        <v>2674</v>
      </c>
      <c r="I3695" s="1058" t="e">
        <f>VLOOKUP(H3685,'LƯƠNG KT'!$D$15:$R$94,12,0)</f>
        <v>#N/A</v>
      </c>
      <c r="J3695" s="1059" t="e">
        <f>VLOOKUP(H3685,'LƯƠNG KT'!$D$15:$R$94,14,0)</f>
        <v>#N/A</v>
      </c>
      <c r="K3695" s="1085"/>
      <c r="L3695" s="1085"/>
      <c r="M3695" s="1085"/>
      <c r="N3695" s="1085"/>
      <c r="O3695" s="1085"/>
    </row>
    <row r="3696" spans="1:15" ht="15" customHeight="1">
      <c r="A3696" s="1056" t="s">
        <v>2675</v>
      </c>
      <c r="B3696" s="1057" t="s">
        <v>2676</v>
      </c>
      <c r="D3696" s="1064" t="e">
        <f>VLOOKUP(B3685,'LƯƠNG KT'!$D$15:$R$94,13,0)</f>
        <v>#N/A</v>
      </c>
      <c r="E3696" s="1063"/>
      <c r="F3696" s="1065"/>
      <c r="G3696" s="1056" t="s">
        <v>2675</v>
      </c>
      <c r="H3696" s="1057" t="s">
        <v>2676</v>
      </c>
      <c r="J3696" s="1064" t="e">
        <f>VLOOKUP(H3685,'LƯƠNG KT'!$D$15:$R$94,13,0)</f>
        <v>#N/A</v>
      </c>
    </row>
    <row r="3697" spans="1:16" ht="15" customHeight="1">
      <c r="A3697" s="1052"/>
      <c r="B3697" s="869"/>
      <c r="C3697" s="1058"/>
      <c r="D3697" s="1059"/>
      <c r="E3697" s="1067"/>
      <c r="F3697" s="1051"/>
      <c r="G3697" s="1052"/>
      <c r="H3697" s="869"/>
      <c r="I3697" s="1058"/>
      <c r="J3697" s="1059"/>
    </row>
    <row r="3698" spans="1:16" ht="15" customHeight="1">
      <c r="A3698" s="1068" t="s">
        <v>383</v>
      </c>
      <c r="B3698" s="1069" t="s">
        <v>384</v>
      </c>
      <c r="C3698" s="1070"/>
      <c r="D3698" s="1071" t="e">
        <f>SUM(D3686:D3695)</f>
        <v>#N/A</v>
      </c>
      <c r="E3698" s="1072"/>
      <c r="F3698" s="1073"/>
      <c r="G3698" s="1068" t="s">
        <v>383</v>
      </c>
      <c r="H3698" s="1069" t="s">
        <v>384</v>
      </c>
      <c r="I3698" s="1070"/>
      <c r="J3698" s="1071" t="e">
        <f>SUM(J3686:J3695)</f>
        <v>#N/A</v>
      </c>
      <c r="K3698" s="1090" t="s">
        <v>514</v>
      </c>
      <c r="L3698" s="1090" t="e">
        <f>D3816+J3816+D3832+J3798+D3731+J3731+D3748+J3748+D3765+J3765+D3781+J3781+D3798+J3715+D3715+J3698+D3698+D3681+J3681+J3665+D3665+J3649+D3649+D3632+J3632+J3615+D3615+D3598+J3598+J3581+D3581+J3564+D3564+D3547+J3547+J3530+D3530+D3512+J3512+J3495+D3495+D3478+J3478+J3461+D3461+D3443+J3443+J3426+D3426+D3409+J3409+J3392+D3392+D3374+J3374+J3357+D3357+D3340+J3340+J3323+D3323+J3832+D3848</f>
        <v>#N/A</v>
      </c>
      <c r="M3698" s="1090"/>
      <c r="N3698" s="1090"/>
      <c r="O3698" s="1090"/>
    </row>
    <row r="3699" spans="1:16" ht="18.75" customHeight="1">
      <c r="A3699" s="1075"/>
      <c r="B3699" s="1075"/>
      <c r="C3699" s="1079"/>
      <c r="D3699" s="1080"/>
      <c r="E3699" s="1075"/>
      <c r="F3699" s="1081"/>
      <c r="G3699" s="1075"/>
      <c r="H3699" s="1075"/>
      <c r="I3699" s="1079"/>
      <c r="J3699" s="1080"/>
      <c r="L3699" s="1045" t="e">
        <f>+'Đội 6'!AE78-'Đội 6'!#REF!</f>
        <v>#N/A</v>
      </c>
    </row>
    <row r="3700" spans="1:16" ht="18.75" customHeight="1">
      <c r="A3700" s="1075"/>
      <c r="B3700" s="1075"/>
      <c r="C3700" s="1079"/>
      <c r="D3700" s="1080"/>
      <c r="E3700" s="1045"/>
      <c r="G3700" s="1075"/>
      <c r="H3700" s="1075"/>
      <c r="I3700" s="1079"/>
      <c r="J3700" s="1080"/>
      <c r="L3700" s="1045" t="e">
        <f>+L3699-L3698</f>
        <v>#N/A</v>
      </c>
    </row>
    <row r="3701" spans="1:16" ht="15" customHeight="1">
      <c r="A3701" s="2242" t="str">
        <f>$K$2</f>
        <v>THÁNG 04/2025</v>
      </c>
      <c r="B3701" s="2242"/>
      <c r="C3701" s="2242"/>
      <c r="D3701" s="2242"/>
      <c r="E3701" s="1050"/>
      <c r="F3701" s="1051"/>
      <c r="G3701" s="2242" t="str">
        <f>$K$2</f>
        <v>THÁNG 04/2025</v>
      </c>
      <c r="H3701" s="2242"/>
      <c r="I3701" s="2242"/>
      <c r="J3701" s="2242"/>
      <c r="K3701" s="624"/>
    </row>
    <row r="3702" spans="1:16" ht="15" customHeight="1">
      <c r="A3702" s="1052" t="s">
        <v>356</v>
      </c>
      <c r="B3702" s="1053" t="s">
        <v>335</v>
      </c>
      <c r="C3702" s="869"/>
      <c r="D3702" s="1049"/>
      <c r="E3702" s="1054"/>
      <c r="F3702" s="1055"/>
      <c r="G3702" s="1052" t="s">
        <v>356</v>
      </c>
      <c r="H3702" s="1053" t="s">
        <v>336</v>
      </c>
      <c r="I3702" s="869"/>
      <c r="J3702" s="1049"/>
      <c r="K3702" s="1101" t="s">
        <v>427</v>
      </c>
      <c r="L3702" s="1101" t="e">
        <f>+L427</f>
        <v>#N/A</v>
      </c>
      <c r="M3702" s="1101" t="e">
        <f>+#REF!</f>
        <v>#REF!</v>
      </c>
      <c r="N3702" s="1102"/>
      <c r="O3702" s="1102" t="e">
        <f>+L3702-M3702</f>
        <v>#N/A</v>
      </c>
      <c r="P3702" s="1045" t="e">
        <f>+O3702+N3702</f>
        <v>#N/A</v>
      </c>
    </row>
    <row r="3703" spans="1:16" ht="15" customHeight="1">
      <c r="A3703" s="1056" t="s">
        <v>359</v>
      </c>
      <c r="B3703" s="1057" t="s">
        <v>2662</v>
      </c>
      <c r="C3703" s="1058" t="e">
        <f>VLOOKUP(B3702,'LƯƠNG KT'!$D$15:$R$94,4,0)</f>
        <v>#N/A</v>
      </c>
      <c r="D3703" s="1059" t="e">
        <f>+C3703*25000</f>
        <v>#N/A</v>
      </c>
      <c r="E3703" s="1060"/>
      <c r="F3703" s="1060"/>
      <c r="G3703" s="1056" t="s">
        <v>359</v>
      </c>
      <c r="H3703" s="1057" t="s">
        <v>2662</v>
      </c>
      <c r="I3703" s="1058" t="e">
        <f>VLOOKUP(H3702,'LƯƠNG KT'!$D$15:$R$94,4,0)</f>
        <v>#N/A</v>
      </c>
      <c r="J3703" s="1059" t="e">
        <f>+I3703*25000</f>
        <v>#N/A</v>
      </c>
      <c r="K3703" s="1101" t="s">
        <v>520</v>
      </c>
      <c r="L3703" s="1101" t="e">
        <f>+L902</f>
        <v>#N/A</v>
      </c>
      <c r="M3703" s="1101" t="e">
        <f>+#REF!</f>
        <v>#REF!</v>
      </c>
      <c r="N3703" s="1101"/>
      <c r="O3703" s="1102" t="e">
        <f t="shared" ref="O3703:O3710" si="2">+L3703-M3703</f>
        <v>#N/A</v>
      </c>
      <c r="P3703" s="1045" t="e">
        <f t="shared" ref="P3703:P3707" si="3">+O3703+N3703</f>
        <v>#N/A</v>
      </c>
    </row>
    <row r="3704" spans="1:16" ht="15" customHeight="1">
      <c r="A3704" s="1056" t="s">
        <v>361</v>
      </c>
      <c r="B3704" s="1057" t="s">
        <v>2663</v>
      </c>
      <c r="C3704" s="1058" t="e">
        <f>VLOOKUP(B3702,'LƯƠNG KT'!$D$15:$R$94,15,0)</f>
        <v>#N/A</v>
      </c>
      <c r="D3704" s="1059" t="e">
        <f>C3704*$L$4</f>
        <v>#N/A</v>
      </c>
      <c r="E3704" s="1061"/>
      <c r="F3704" s="1061"/>
      <c r="G3704" s="1056" t="s">
        <v>361</v>
      </c>
      <c r="H3704" s="1057" t="s">
        <v>2663</v>
      </c>
      <c r="I3704" s="1058" t="e">
        <f>VLOOKUP(H3702,'LƯƠNG KT'!$D$15:$R$94,15,0)</f>
        <v>#N/A</v>
      </c>
      <c r="J3704" s="1059" t="e">
        <f>I3704*$L$4</f>
        <v>#N/A</v>
      </c>
      <c r="K3704" s="1101" t="s">
        <v>521</v>
      </c>
      <c r="L3704" s="1101" t="e">
        <f>+M1692</f>
        <v>#N/A</v>
      </c>
      <c r="M3704" s="1101" t="e">
        <f>+'Đội 3'!AE101</f>
        <v>#N/A</v>
      </c>
      <c r="N3704" s="1101" t="e">
        <f>+'Đội 3'!#REF!</f>
        <v>#REF!</v>
      </c>
      <c r="O3704" s="1102" t="e">
        <f t="shared" si="2"/>
        <v>#N/A</v>
      </c>
      <c r="P3704" s="1045" t="e">
        <f t="shared" si="3"/>
        <v>#N/A</v>
      </c>
    </row>
    <row r="3705" spans="1:16" ht="15" customHeight="1">
      <c r="A3705" s="1056" t="s">
        <v>364</v>
      </c>
      <c r="B3705" s="1057" t="s">
        <v>2664</v>
      </c>
      <c r="C3705" s="1058" t="e">
        <f>VLOOKUP(B3702,'LƯƠNG KT'!$D$15:$R$94,16,0)</f>
        <v>#N/A</v>
      </c>
      <c r="D3705" s="1059" t="e">
        <f>C3705*$L$5</f>
        <v>#N/A</v>
      </c>
      <c r="E3705" s="1061"/>
      <c r="F3705" s="1061"/>
      <c r="G3705" s="1056" t="s">
        <v>364</v>
      </c>
      <c r="H3705" s="1057" t="s">
        <v>2664</v>
      </c>
      <c r="I3705" s="1058" t="e">
        <f>VLOOKUP(H3702,'LƯƠNG KT'!$D$15:$R$94,16,0)</f>
        <v>#N/A</v>
      </c>
      <c r="J3705" s="1059" t="e">
        <f>I3705*$L$5</f>
        <v>#N/A</v>
      </c>
      <c r="K3705" s="1101" t="s">
        <v>123</v>
      </c>
      <c r="L3705" s="1101" t="e">
        <f>+L2618</f>
        <v>#N/A</v>
      </c>
      <c r="M3705" s="1101" t="e">
        <f>+'Đội 4'!AE99</f>
        <v>#N/A</v>
      </c>
      <c r="N3705" s="1101" t="e">
        <f>'Đội 4'!AE98</f>
        <v>#N/A</v>
      </c>
      <c r="O3705" s="1102" t="e">
        <f t="shared" si="2"/>
        <v>#N/A</v>
      </c>
      <c r="P3705" s="1045" t="e">
        <f t="shared" si="3"/>
        <v>#N/A</v>
      </c>
    </row>
    <row r="3706" spans="1:16" ht="15" customHeight="1">
      <c r="A3706" s="1056" t="s">
        <v>370</v>
      </c>
      <c r="B3706" s="1057" t="s">
        <v>2665</v>
      </c>
      <c r="C3706" s="1058" t="e">
        <f>VLOOKUP(B3702,'LƯƠNG KT'!$D$15:$R$94,24,0)</f>
        <v>#N/A</v>
      </c>
      <c r="D3706" s="1059" t="e">
        <f>+C3706*$L$6</f>
        <v>#N/A</v>
      </c>
      <c r="E3706" s="1061"/>
      <c r="F3706" s="1061"/>
      <c r="G3706" s="1056" t="s">
        <v>370</v>
      </c>
      <c r="H3706" s="1057" t="s">
        <v>2665</v>
      </c>
      <c r="I3706" s="1058" t="e">
        <f>VLOOKUP(H3702,'LƯƠNG KT'!$D$15:$R$94,24,0)</f>
        <v>#N/A</v>
      </c>
      <c r="J3706" s="1059" t="e">
        <f>+I3706*$L$6</f>
        <v>#N/A</v>
      </c>
      <c r="K3706" s="1101" t="s">
        <v>522</v>
      </c>
      <c r="L3706" s="1101" t="e">
        <f>+L3301</f>
        <v>#N/A</v>
      </c>
      <c r="M3706" s="1101" t="e">
        <f>+'Đội 5'!AE85+'Đội 5 - KV71ha'!AE21</f>
        <v>#N/A</v>
      </c>
      <c r="N3706" s="1101" t="e">
        <f>+'Đội 5'!#REF!</f>
        <v>#REF!</v>
      </c>
      <c r="O3706" s="1102" t="e">
        <f t="shared" si="2"/>
        <v>#N/A</v>
      </c>
      <c r="P3706" s="1045" t="e">
        <f t="shared" si="3"/>
        <v>#N/A</v>
      </c>
    </row>
    <row r="3707" spans="1:16" ht="15" customHeight="1">
      <c r="A3707" s="1056" t="s">
        <v>2666</v>
      </c>
      <c r="B3707" s="1057" t="s">
        <v>2667</v>
      </c>
      <c r="C3707" s="1058" t="e">
        <f>VLOOKUP(B3702,'LƯƠNG KT'!$D$15:$R$94,19,0)</f>
        <v>#N/A</v>
      </c>
      <c r="D3707" s="1059" t="e">
        <f>+C3707*$L$8</f>
        <v>#N/A</v>
      </c>
      <c r="E3707" s="1061"/>
      <c r="F3707" s="1061"/>
      <c r="G3707" s="1056" t="s">
        <v>2666</v>
      </c>
      <c r="H3707" s="1057" t="s">
        <v>2667</v>
      </c>
      <c r="I3707" s="1058" t="e">
        <f>VLOOKUP(H3702,'LƯƠNG KT'!$D$15:$R$94,19,0)</f>
        <v>#N/A</v>
      </c>
      <c r="J3707" s="1059" t="e">
        <f>+I3707*$L$8</f>
        <v>#N/A</v>
      </c>
      <c r="K3707" s="1101" t="s">
        <v>285</v>
      </c>
      <c r="L3707" s="1101" t="e">
        <f>+L3698</f>
        <v>#N/A</v>
      </c>
      <c r="M3707" s="1101" t="e">
        <f>+'Đội 6'!AE78</f>
        <v>#N/A</v>
      </c>
      <c r="N3707" s="1101" t="e">
        <f>+'Đội 6'!#REF!</f>
        <v>#REF!</v>
      </c>
      <c r="O3707" s="1102" t="e">
        <f t="shared" si="2"/>
        <v>#N/A</v>
      </c>
      <c r="P3707" s="1045" t="e">
        <f t="shared" si="3"/>
        <v>#N/A</v>
      </c>
    </row>
    <row r="3708" spans="1:16" ht="15" customHeight="1">
      <c r="A3708" s="1056" t="s">
        <v>2668</v>
      </c>
      <c r="B3708" s="1062" t="s">
        <v>2669</v>
      </c>
      <c r="C3708" s="1058" t="e">
        <f>VLOOKUP(B3702,'LƯƠNG KT'!$D$15:$R$94,20,0)</f>
        <v>#N/A</v>
      </c>
      <c r="D3708" s="1059" t="e">
        <f>+C3708*$L$9</f>
        <v>#N/A</v>
      </c>
      <c r="E3708" s="1061"/>
      <c r="F3708" s="1061"/>
      <c r="G3708" s="1056" t="s">
        <v>2668</v>
      </c>
      <c r="H3708" s="1062" t="s">
        <v>2669</v>
      </c>
      <c r="I3708" s="1058" t="e">
        <f>VLOOKUP(H3702,'LƯƠNG KT'!$D$15:$R$94,20,0)</f>
        <v>#N/A</v>
      </c>
      <c r="J3708" s="1059" t="e">
        <f>+I3708*$L$9</f>
        <v>#N/A</v>
      </c>
      <c r="K3708" s="1101" t="s">
        <v>523</v>
      </c>
      <c r="L3708" s="1101" t="e">
        <f>+L1848</f>
        <v>#N/A</v>
      </c>
      <c r="M3708" s="1101" t="e">
        <f>+'Đ3 - XC'!AE21</f>
        <v>#N/A</v>
      </c>
      <c r="N3708" s="1101"/>
      <c r="O3708" s="1102" t="e">
        <f t="shared" si="2"/>
        <v>#N/A</v>
      </c>
    </row>
    <row r="3709" spans="1:16" ht="15" customHeight="1">
      <c r="A3709" s="1056" t="s">
        <v>2671</v>
      </c>
      <c r="B3709" s="1057" t="s">
        <v>2672</v>
      </c>
      <c r="C3709" s="1058" t="e">
        <f>VLOOKUP(B3702,'LƯƠNG KT'!$D$15:$R$94,17,0)</f>
        <v>#N/A</v>
      </c>
      <c r="D3709" s="1059" t="e">
        <f>+C3709*$L$10</f>
        <v>#N/A</v>
      </c>
      <c r="E3709" s="1061"/>
      <c r="F3709" s="1061"/>
      <c r="G3709" s="1056" t="s">
        <v>2671</v>
      </c>
      <c r="H3709" s="1057" t="s">
        <v>2672</v>
      </c>
      <c r="I3709" s="1058" t="e">
        <f>VLOOKUP(H3702,'LƯƠNG KT'!$D$15:$R$94,17,0)</f>
        <v>#N/A</v>
      </c>
      <c r="J3709" s="1059" t="e">
        <f>+I3709*$L$10</f>
        <v>#N/A</v>
      </c>
      <c r="K3709" s="1101" t="s">
        <v>524</v>
      </c>
      <c r="L3709" s="1101" t="e">
        <f>+L1793</f>
        <v>#N/A</v>
      </c>
      <c r="M3709" s="1101" t="e">
        <f>'Đ3 - TC'!AE25</f>
        <v>#N/A</v>
      </c>
      <c r="N3709" s="1101"/>
      <c r="O3709" s="1102" t="e">
        <f t="shared" si="2"/>
        <v>#N/A</v>
      </c>
    </row>
    <row r="3710" spans="1:16" ht="15" customHeight="1">
      <c r="A3710" s="1056" t="s">
        <v>2693</v>
      </c>
      <c r="B3710" s="1062" t="s">
        <v>2692</v>
      </c>
      <c r="C3710" s="1058" t="e">
        <f>VLOOKUP(B3702,'LƯƠNG KT'!$D$15:$R$94,21,0)</f>
        <v>#N/A</v>
      </c>
      <c r="D3710" s="1059" t="e">
        <f>+C3710*$L$7</f>
        <v>#N/A</v>
      </c>
      <c r="E3710" s="1061"/>
      <c r="F3710" s="1061"/>
      <c r="G3710" s="1056" t="s">
        <v>2693</v>
      </c>
      <c r="H3710" s="1062" t="s">
        <v>2692</v>
      </c>
      <c r="I3710" s="1058" t="e">
        <f>VLOOKUP(H3702,'LƯƠNG KT'!$D$15:$R$94,21,0)</f>
        <v>#N/A</v>
      </c>
      <c r="J3710" s="1059" t="e">
        <f>+I3710*$L$7</f>
        <v>#N/A</v>
      </c>
      <c r="K3710" s="1101" t="s">
        <v>525</v>
      </c>
      <c r="L3710" s="1101" t="e">
        <f>SUM(L3702:L3709)</f>
        <v>#N/A</v>
      </c>
      <c r="M3710" s="1101" t="e">
        <f>SUM(M3702:M3709)</f>
        <v>#REF!</v>
      </c>
      <c r="N3710" s="1101" t="e">
        <f>SUM(N3702:N3709)</f>
        <v>#REF!</v>
      </c>
      <c r="O3710" s="1102" t="e">
        <f t="shared" si="2"/>
        <v>#N/A</v>
      </c>
    </row>
    <row r="3711" spans="1:16" ht="15" customHeight="1">
      <c r="A3711" s="1056" t="s">
        <v>2694</v>
      </c>
      <c r="B3711" s="1057" t="s">
        <v>2684</v>
      </c>
      <c r="C3711" s="1058" t="e">
        <f>VLOOKUP(B3702,'LƯƠNG KT'!$D$15:$R$94,23,0)</f>
        <v>#N/A</v>
      </c>
      <c r="D3711" s="1059" t="e">
        <f>+C3711*20000</f>
        <v>#N/A</v>
      </c>
      <c r="E3711" s="1063"/>
      <c r="F3711" s="1061"/>
      <c r="G3711" s="1056" t="s">
        <v>2694</v>
      </c>
      <c r="H3711" s="1057" t="s">
        <v>2684</v>
      </c>
      <c r="I3711" s="1058" t="e">
        <f>VLOOKUP(H3702,'LƯƠNG KT'!$D$15:$R$94,23,0)</f>
        <v>#N/A</v>
      </c>
      <c r="J3711" s="1059" t="e">
        <f>+I3711*20000</f>
        <v>#N/A</v>
      </c>
      <c r="K3711" s="1101"/>
      <c r="L3711" s="1101"/>
      <c r="M3711" s="1101"/>
      <c r="N3711" s="1101"/>
      <c r="O3711" s="1102"/>
    </row>
    <row r="3712" spans="1:16" ht="15" customHeight="1">
      <c r="A3712" s="1056" t="s">
        <v>374</v>
      </c>
      <c r="B3712" s="1057" t="s">
        <v>2674</v>
      </c>
      <c r="C3712" s="1058" t="e">
        <f>VLOOKUP(B3702,'LƯƠNG KT'!$D$15:$R$94,12,0)</f>
        <v>#N/A</v>
      </c>
      <c r="D3712" s="1059" t="e">
        <f>VLOOKUP(B3702,'LƯƠNG KT'!$D$15:$R$94,14,0)</f>
        <v>#N/A</v>
      </c>
      <c r="E3712" s="1065"/>
      <c r="F3712" s="1065"/>
      <c r="G3712" s="1056" t="s">
        <v>374</v>
      </c>
      <c r="H3712" s="1057" t="s">
        <v>2674</v>
      </c>
      <c r="I3712" s="1058" t="e">
        <f>VLOOKUP(H3702,'LƯƠNG KT'!$D$15:$R$94,12,0)</f>
        <v>#N/A</v>
      </c>
      <c r="J3712" s="1059" t="e">
        <f>VLOOKUP(H3702,'LƯƠNG KT'!$D$15:$R$94,14,0)</f>
        <v>#N/A</v>
      </c>
      <c r="M3712" s="1101"/>
      <c r="N3712" s="1101" t="e">
        <f>+M3710-N3710</f>
        <v>#REF!</v>
      </c>
      <c r="O3712" s="1102" t="e">
        <f>+L3710-N3712</f>
        <v>#N/A</v>
      </c>
    </row>
    <row r="3713" spans="1:15" ht="15" customHeight="1">
      <c r="A3713" s="1056" t="s">
        <v>2675</v>
      </c>
      <c r="B3713" s="1057" t="s">
        <v>2676</v>
      </c>
      <c r="D3713" s="1064" t="e">
        <f>VLOOKUP(B3702,'LƯƠNG KT'!$D$15:$R$94,13,0)</f>
        <v>#N/A</v>
      </c>
      <c r="E3713" s="1063"/>
      <c r="F3713" s="1065"/>
      <c r="G3713" s="1056" t="s">
        <v>2675</v>
      </c>
      <c r="H3713" s="1057" t="s">
        <v>2676</v>
      </c>
      <c r="J3713" s="1064" t="e">
        <f>VLOOKUP(H3702,'LƯƠNG KT'!$D$15:$R$94,13,0)</f>
        <v>#N/A</v>
      </c>
    </row>
    <row r="3714" spans="1:15" ht="15" customHeight="1">
      <c r="A3714" s="1052"/>
      <c r="B3714" s="869"/>
      <c r="C3714" s="1058"/>
      <c r="D3714" s="1059"/>
      <c r="E3714" s="1067"/>
      <c r="F3714" s="1051"/>
      <c r="G3714" s="1052"/>
      <c r="H3714" s="869"/>
      <c r="I3714" s="1058"/>
      <c r="J3714" s="1059"/>
      <c r="L3714" s="1045" t="e">
        <f>+#REF!+L3710</f>
        <v>#REF!</v>
      </c>
    </row>
    <row r="3715" spans="1:15" ht="15" customHeight="1">
      <c r="A3715" s="1068" t="s">
        <v>383</v>
      </c>
      <c r="B3715" s="1069" t="s">
        <v>384</v>
      </c>
      <c r="C3715" s="1070"/>
      <c r="D3715" s="1071" t="e">
        <f>SUM(D3703:D3712)</f>
        <v>#N/A</v>
      </c>
      <c r="E3715" s="1072"/>
      <c r="F3715" s="1073"/>
      <c r="G3715" s="1068" t="s">
        <v>383</v>
      </c>
      <c r="H3715" s="1069" t="s">
        <v>384</v>
      </c>
      <c r="I3715" s="1070"/>
      <c r="J3715" s="1071" t="e">
        <f>SUM(J3703:J3712)</f>
        <v>#N/A</v>
      </c>
    </row>
    <row r="3716" spans="1:15" ht="104.25" customHeight="1">
      <c r="A3716" s="1068"/>
      <c r="B3716" s="1069"/>
      <c r="C3716" s="1070"/>
      <c r="D3716" s="1071"/>
      <c r="E3716" s="1096"/>
      <c r="F3716" s="1073"/>
      <c r="G3716" s="1068"/>
      <c r="H3716" s="1069"/>
      <c r="I3716" s="1070"/>
      <c r="J3716" s="1071"/>
    </row>
    <row r="3717" spans="1:15" ht="15" customHeight="1">
      <c r="A3717" s="2242" t="str">
        <f>$K$2</f>
        <v>THÁNG 04/2025</v>
      </c>
      <c r="B3717" s="2242"/>
      <c r="C3717" s="2242"/>
      <c r="D3717" s="2242"/>
      <c r="E3717" s="1050"/>
      <c r="F3717" s="1051"/>
      <c r="G3717" s="2242" t="str">
        <f>$K$2</f>
        <v>THÁNG 04/2025</v>
      </c>
      <c r="H3717" s="2242"/>
      <c r="I3717" s="2242"/>
      <c r="J3717" s="2242"/>
      <c r="K3717" s="624"/>
    </row>
    <row r="3718" spans="1:15" ht="15" customHeight="1">
      <c r="A3718" s="1052" t="s">
        <v>356</v>
      </c>
      <c r="B3718" s="1053" t="s">
        <v>337</v>
      </c>
      <c r="C3718" s="869"/>
      <c r="D3718" s="1049"/>
      <c r="E3718" s="1054"/>
      <c r="F3718" s="1055"/>
      <c r="G3718" s="1052" t="s">
        <v>356</v>
      </c>
      <c r="H3718" s="1053" t="s">
        <v>338</v>
      </c>
      <c r="I3718" s="869"/>
      <c r="J3718" s="1049"/>
      <c r="L3718" s="1088"/>
      <c r="M3718" s="1088"/>
      <c r="N3718" s="1088"/>
      <c r="O3718" s="1088"/>
    </row>
    <row r="3719" spans="1:15" ht="15" customHeight="1">
      <c r="A3719" s="1056" t="s">
        <v>359</v>
      </c>
      <c r="B3719" s="1057" t="s">
        <v>2662</v>
      </c>
      <c r="C3719" s="1058" t="e">
        <f>VLOOKUP(B3718,'LƯƠNG KT'!$D$15:$R$94,4,0)</f>
        <v>#N/A</v>
      </c>
      <c r="D3719" s="1059" t="e">
        <f>+C3719*25000</f>
        <v>#N/A</v>
      </c>
      <c r="E3719" s="1060"/>
      <c r="F3719" s="1060"/>
      <c r="G3719" s="1056" t="s">
        <v>359</v>
      </c>
      <c r="H3719" s="1057" t="s">
        <v>2662</v>
      </c>
      <c r="I3719" s="1058" t="e">
        <f>VLOOKUP(H3718,'LƯƠNG KT'!$D$15:$R$94,4,0)</f>
        <v>#N/A</v>
      </c>
      <c r="J3719" s="1059" t="e">
        <f>+I3719*25000</f>
        <v>#N/A</v>
      </c>
      <c r="K3719" s="1084"/>
      <c r="L3719" s="1085"/>
      <c r="M3719" s="1085"/>
      <c r="N3719" s="1085"/>
      <c r="O3719" s="1085"/>
    </row>
    <row r="3720" spans="1:15" ht="15" customHeight="1">
      <c r="A3720" s="1056" t="s">
        <v>361</v>
      </c>
      <c r="B3720" s="1057" t="s">
        <v>2663</v>
      </c>
      <c r="C3720" s="1058" t="e">
        <f>VLOOKUP(B3718,'LƯƠNG KT'!$D$15:$R$94,15,0)</f>
        <v>#N/A</v>
      </c>
      <c r="D3720" s="1059" t="e">
        <f>C3720*$L$4</f>
        <v>#N/A</v>
      </c>
      <c r="E3720" s="1061"/>
      <c r="F3720" s="1061"/>
      <c r="G3720" s="1056" t="s">
        <v>361</v>
      </c>
      <c r="H3720" s="1057" t="s">
        <v>2663</v>
      </c>
      <c r="I3720" s="1058" t="e">
        <f>VLOOKUP(H3718,'LƯƠNG KT'!$D$15:$R$94,15,0)</f>
        <v>#N/A</v>
      </c>
      <c r="J3720" s="1059" t="e">
        <f>I3720*$L$4</f>
        <v>#N/A</v>
      </c>
      <c r="K3720" s="1084"/>
      <c r="L3720" s="1085"/>
      <c r="M3720" s="1085"/>
      <c r="N3720" s="1085"/>
      <c r="O3720" s="1085"/>
    </row>
    <row r="3721" spans="1:15" ht="15" customHeight="1">
      <c r="A3721" s="1056" t="s">
        <v>364</v>
      </c>
      <c r="B3721" s="1057" t="s">
        <v>2664</v>
      </c>
      <c r="C3721" s="1058" t="e">
        <f>VLOOKUP(B3718,'LƯƠNG KT'!$D$15:$R$94,16,0)</f>
        <v>#N/A</v>
      </c>
      <c r="D3721" s="1059" t="e">
        <f>C3721*$L$5</f>
        <v>#N/A</v>
      </c>
      <c r="E3721" s="1061"/>
      <c r="F3721" s="1061"/>
      <c r="G3721" s="1056" t="s">
        <v>364</v>
      </c>
      <c r="H3721" s="1057" t="s">
        <v>2664</v>
      </c>
      <c r="I3721" s="1058" t="e">
        <f>VLOOKUP(H3718,'LƯƠNG KT'!$D$15:$R$94,16,0)</f>
        <v>#N/A</v>
      </c>
      <c r="J3721" s="1059" t="e">
        <f>I3721*$L$5</f>
        <v>#N/A</v>
      </c>
      <c r="K3721" s="1084"/>
      <c r="L3721" s="1085"/>
      <c r="M3721" s="1085"/>
      <c r="N3721" s="1085"/>
      <c r="O3721" s="1085"/>
    </row>
    <row r="3722" spans="1:15" ht="15" customHeight="1">
      <c r="A3722" s="1056" t="s">
        <v>370</v>
      </c>
      <c r="B3722" s="1057" t="s">
        <v>2665</v>
      </c>
      <c r="C3722" s="1058" t="e">
        <f>VLOOKUP(B3718,'LƯƠNG KT'!$D$15:$R$94,24,0)</f>
        <v>#N/A</v>
      </c>
      <c r="D3722" s="1059" t="e">
        <f>+C3722*$L$6</f>
        <v>#N/A</v>
      </c>
      <c r="E3722" s="1061"/>
      <c r="F3722" s="1061"/>
      <c r="G3722" s="1056" t="s">
        <v>370</v>
      </c>
      <c r="H3722" s="1057" t="s">
        <v>2665</v>
      </c>
      <c r="I3722" s="1058" t="e">
        <f>VLOOKUP(H3718,'LƯƠNG KT'!$D$15:$R$94,24,0)</f>
        <v>#N/A</v>
      </c>
      <c r="J3722" s="1059" t="e">
        <f>+I3722*$L$6</f>
        <v>#N/A</v>
      </c>
      <c r="K3722" s="1085"/>
      <c r="L3722" s="1085"/>
      <c r="M3722" s="1085"/>
      <c r="N3722" s="1085"/>
      <c r="O3722" s="1085"/>
    </row>
    <row r="3723" spans="1:15" ht="15" customHeight="1">
      <c r="A3723" s="1056" t="s">
        <v>2666</v>
      </c>
      <c r="B3723" s="1057" t="s">
        <v>2667</v>
      </c>
      <c r="C3723" s="1058" t="e">
        <f>VLOOKUP(B3718,'LƯƠNG KT'!$D$15:$R$94,19,0)</f>
        <v>#N/A</v>
      </c>
      <c r="D3723" s="1059" t="e">
        <f>+C3723*$L$8</f>
        <v>#N/A</v>
      </c>
      <c r="E3723" s="1061"/>
      <c r="F3723" s="1061"/>
      <c r="G3723" s="1056" t="s">
        <v>2666</v>
      </c>
      <c r="H3723" s="1057" t="s">
        <v>2667</v>
      </c>
      <c r="I3723" s="1058" t="e">
        <f>VLOOKUP(H3718,'LƯƠNG KT'!$D$15:$R$94,19,0)</f>
        <v>#N/A</v>
      </c>
      <c r="J3723" s="1059" t="e">
        <f>+I3723*$L$8</f>
        <v>#N/A</v>
      </c>
      <c r="K3723" s="1085"/>
      <c r="L3723" s="1085"/>
      <c r="M3723" s="1085"/>
      <c r="N3723" s="1085"/>
      <c r="O3723" s="1085"/>
    </row>
    <row r="3724" spans="1:15" ht="15" customHeight="1">
      <c r="A3724" s="1056" t="s">
        <v>2668</v>
      </c>
      <c r="B3724" s="1062" t="s">
        <v>2669</v>
      </c>
      <c r="C3724" s="1058" t="e">
        <f>VLOOKUP(B3718,'LƯƠNG KT'!$D$15:$R$94,20,0)</f>
        <v>#N/A</v>
      </c>
      <c r="D3724" s="1059" t="e">
        <f>+C3724*$L$9</f>
        <v>#N/A</v>
      </c>
      <c r="E3724" s="1061"/>
      <c r="F3724" s="1061"/>
      <c r="G3724" s="1056" t="s">
        <v>2668</v>
      </c>
      <c r="H3724" s="1062" t="s">
        <v>2669</v>
      </c>
      <c r="I3724" s="1058" t="e">
        <f>VLOOKUP(H3718,'LƯƠNG KT'!$D$15:$R$94,20,0)</f>
        <v>#N/A</v>
      </c>
      <c r="J3724" s="1059" t="e">
        <f>+I3724*$L$9</f>
        <v>#N/A</v>
      </c>
      <c r="K3724" s="1085"/>
      <c r="L3724" s="1085"/>
      <c r="M3724" s="1085"/>
      <c r="N3724" s="1085"/>
      <c r="O3724" s="1085"/>
    </row>
    <row r="3725" spans="1:15" ht="15" customHeight="1">
      <c r="A3725" s="1056" t="s">
        <v>2671</v>
      </c>
      <c r="B3725" s="1057" t="s">
        <v>2672</v>
      </c>
      <c r="C3725" s="1058" t="e">
        <f>VLOOKUP(B3718,'LƯƠNG KT'!$D$15:$R$94,17,0)</f>
        <v>#N/A</v>
      </c>
      <c r="D3725" s="1059" t="e">
        <f>+C3725*$L$10</f>
        <v>#N/A</v>
      </c>
      <c r="E3725" s="1061"/>
      <c r="F3725" s="1061"/>
      <c r="G3725" s="1056" t="s">
        <v>2671</v>
      </c>
      <c r="H3725" s="1057" t="s">
        <v>2672</v>
      </c>
      <c r="I3725" s="1058" t="e">
        <f>VLOOKUP(H3718,'LƯƠNG KT'!$D$15:$R$94,17,0)</f>
        <v>#N/A</v>
      </c>
      <c r="J3725" s="1059" t="e">
        <f>+I3725*$L$10</f>
        <v>#N/A</v>
      </c>
      <c r="K3725" s="1085"/>
      <c r="L3725" s="1085"/>
      <c r="M3725" s="1085"/>
      <c r="N3725" s="1085"/>
      <c r="O3725" s="1085"/>
    </row>
    <row r="3726" spans="1:15" ht="15" customHeight="1">
      <c r="A3726" s="1056" t="s">
        <v>2693</v>
      </c>
      <c r="B3726" s="1062" t="s">
        <v>2692</v>
      </c>
      <c r="C3726" s="1058" t="e">
        <f>VLOOKUP(B3718,'LƯƠNG KT'!$D$15:$R$94,21,0)</f>
        <v>#N/A</v>
      </c>
      <c r="D3726" s="1059" t="e">
        <f>+C3726*$L$7</f>
        <v>#N/A</v>
      </c>
      <c r="E3726" s="1061"/>
      <c r="F3726" s="1061"/>
      <c r="G3726" s="1056" t="s">
        <v>2693</v>
      </c>
      <c r="H3726" s="1062" t="s">
        <v>2692</v>
      </c>
      <c r="I3726" s="1058" t="e">
        <f>VLOOKUP(H3718,'LƯƠNG KT'!$D$15:$R$94,21,0)</f>
        <v>#N/A</v>
      </c>
      <c r="J3726" s="1059" t="e">
        <f>+I3726*$L$7</f>
        <v>#N/A</v>
      </c>
      <c r="K3726" s="1085"/>
      <c r="L3726" s="1085"/>
      <c r="M3726" s="1085"/>
      <c r="N3726" s="1085"/>
      <c r="O3726" s="1085"/>
    </row>
    <row r="3727" spans="1:15" ht="15" customHeight="1">
      <c r="A3727" s="1056" t="s">
        <v>2694</v>
      </c>
      <c r="B3727" s="1057" t="s">
        <v>2684</v>
      </c>
      <c r="C3727" s="1058" t="e">
        <f>VLOOKUP(B3718,'LƯƠNG KT'!$D$15:$R$94,23,0)</f>
        <v>#N/A</v>
      </c>
      <c r="D3727" s="1059" t="e">
        <f>+C3727*20000</f>
        <v>#N/A</v>
      </c>
      <c r="E3727" s="1063"/>
      <c r="F3727" s="1061"/>
      <c r="G3727" s="1056" t="s">
        <v>2694</v>
      </c>
      <c r="H3727" s="1057" t="s">
        <v>2684</v>
      </c>
      <c r="I3727" s="1058" t="e">
        <f>VLOOKUP(H3718,'LƯƠNG KT'!$D$15:$R$94,23,0)</f>
        <v>#N/A</v>
      </c>
      <c r="J3727" s="1059" t="e">
        <f>+I3727*20000</f>
        <v>#N/A</v>
      </c>
      <c r="K3727" s="1085"/>
      <c r="L3727" s="1085"/>
      <c r="M3727" s="1085"/>
      <c r="N3727" s="1085"/>
      <c r="O3727" s="1085"/>
    </row>
    <row r="3728" spans="1:15" ht="15" customHeight="1">
      <c r="A3728" s="1056" t="s">
        <v>374</v>
      </c>
      <c r="B3728" s="1057" t="s">
        <v>2674</v>
      </c>
      <c r="C3728" s="1058" t="e">
        <f>VLOOKUP(B3718,'LƯƠNG KT'!$D$15:$R$94,12,0)</f>
        <v>#N/A</v>
      </c>
      <c r="D3728" s="1059" t="e">
        <f>VLOOKUP(B3718,'LƯƠNG KT'!$D$15:$R$94,14,0)</f>
        <v>#N/A</v>
      </c>
      <c r="E3728" s="1065"/>
      <c r="F3728" s="1065"/>
      <c r="G3728" s="1056" t="s">
        <v>374</v>
      </c>
      <c r="H3728" s="1057" t="s">
        <v>2674</v>
      </c>
      <c r="I3728" s="1058" t="e">
        <f>VLOOKUP(H3718,'LƯƠNG KT'!$D$15:$R$94,12,0)</f>
        <v>#N/A</v>
      </c>
      <c r="J3728" s="1059" t="e">
        <f>VLOOKUP(H3718,'LƯƠNG KT'!$D$15:$R$94,14,0)</f>
        <v>#N/A</v>
      </c>
      <c r="K3728" s="1085"/>
      <c r="L3728" s="1085"/>
      <c r="M3728" s="1085"/>
      <c r="N3728" s="1085"/>
      <c r="O3728" s="1085"/>
    </row>
    <row r="3729" spans="1:15" ht="15" customHeight="1">
      <c r="A3729" s="1056" t="s">
        <v>2675</v>
      </c>
      <c r="B3729" s="1057" t="s">
        <v>2676</v>
      </c>
      <c r="D3729" s="1064" t="e">
        <f>VLOOKUP(B3718,'LƯƠNG KT'!$D$15:$R$94,13,0)</f>
        <v>#N/A</v>
      </c>
      <c r="E3729" s="1063"/>
      <c r="F3729" s="1065"/>
      <c r="G3729" s="1056" t="s">
        <v>2675</v>
      </c>
      <c r="H3729" s="1057" t="s">
        <v>2676</v>
      </c>
      <c r="J3729" s="1064" t="e">
        <f>VLOOKUP(H3718,'LƯƠNG KT'!$D$15:$R$94,13,0)</f>
        <v>#N/A</v>
      </c>
    </row>
    <row r="3730" spans="1:15" ht="15" customHeight="1">
      <c r="A3730" s="1052"/>
      <c r="B3730" s="869"/>
      <c r="C3730" s="1058"/>
      <c r="D3730" s="1059"/>
      <c r="E3730" s="1067"/>
      <c r="F3730" s="1051"/>
      <c r="G3730" s="1052"/>
      <c r="H3730" s="869"/>
      <c r="I3730" s="1058"/>
      <c r="J3730" s="1059"/>
    </row>
    <row r="3731" spans="1:15" ht="15" customHeight="1">
      <c r="A3731" s="1068" t="s">
        <v>383</v>
      </c>
      <c r="B3731" s="1069" t="s">
        <v>384</v>
      </c>
      <c r="C3731" s="1070"/>
      <c r="D3731" s="1071" t="e">
        <f>SUM(D3719:D3728)</f>
        <v>#N/A</v>
      </c>
      <c r="E3731" s="1072"/>
      <c r="F3731" s="1073"/>
      <c r="G3731" s="1068" t="s">
        <v>383</v>
      </c>
      <c r="H3731" s="1069" t="s">
        <v>384</v>
      </c>
      <c r="I3731" s="1070"/>
      <c r="J3731" s="1071" t="e">
        <f>SUM(J3719:J3728)</f>
        <v>#N/A</v>
      </c>
    </row>
    <row r="3732" spans="1:15" ht="18" customHeight="1">
      <c r="A3732" s="1074"/>
      <c r="B3732" s="1075"/>
      <c r="C3732" s="1076"/>
      <c r="D3732" s="1077"/>
      <c r="E3732" s="1077"/>
      <c r="F3732" s="1078"/>
      <c r="G3732" s="1074"/>
      <c r="H3732" s="1075"/>
      <c r="I3732" s="1076"/>
      <c r="J3732" s="1077"/>
    </row>
    <row r="3733" spans="1:15" ht="18" customHeight="1">
      <c r="A3733" s="1075"/>
      <c r="B3733" s="1075"/>
      <c r="C3733" s="1079"/>
      <c r="D3733" s="1080"/>
      <c r="E3733" s="1075"/>
      <c r="F3733" s="1081"/>
      <c r="G3733" s="1075"/>
      <c r="H3733" s="1075"/>
      <c r="I3733" s="1079"/>
      <c r="J3733" s="1080"/>
    </row>
    <row r="3734" spans="1:15" ht="15" customHeight="1">
      <c r="A3734" s="2242" t="str">
        <f>$K$2</f>
        <v>THÁNG 04/2025</v>
      </c>
      <c r="B3734" s="2242"/>
      <c r="C3734" s="2242"/>
      <c r="D3734" s="2242"/>
      <c r="E3734" s="1050"/>
      <c r="F3734" s="1051"/>
      <c r="G3734" s="2242" t="str">
        <f>$K$2</f>
        <v>THÁNG 04/2025</v>
      </c>
      <c r="H3734" s="2242"/>
      <c r="I3734" s="2242"/>
      <c r="J3734" s="2242"/>
      <c r="K3734" s="624"/>
    </row>
    <row r="3735" spans="1:15" ht="15" customHeight="1">
      <c r="A3735" s="1052" t="s">
        <v>356</v>
      </c>
      <c r="B3735" s="1053" t="s">
        <v>339</v>
      </c>
      <c r="C3735" s="869"/>
      <c r="D3735" s="1049"/>
      <c r="E3735" s="1054"/>
      <c r="F3735" s="1055"/>
      <c r="G3735" s="1052" t="s">
        <v>356</v>
      </c>
      <c r="H3735" s="1053" t="s">
        <v>340</v>
      </c>
      <c r="I3735" s="869"/>
      <c r="J3735" s="1049"/>
      <c r="L3735" s="1088"/>
      <c r="M3735" s="1088"/>
      <c r="N3735" s="1088"/>
      <c r="O3735" s="1088"/>
    </row>
    <row r="3736" spans="1:15" ht="15" customHeight="1">
      <c r="A3736" s="1056" t="s">
        <v>359</v>
      </c>
      <c r="B3736" s="1057" t="s">
        <v>2662</v>
      </c>
      <c r="C3736" s="1058" t="e">
        <f>VLOOKUP(B3735,'LƯƠNG KT'!$D$15:$R$94,4,0)</f>
        <v>#N/A</v>
      </c>
      <c r="D3736" s="1059" t="e">
        <f>+C3736*25000</f>
        <v>#N/A</v>
      </c>
      <c r="E3736" s="1060"/>
      <c r="F3736" s="1060"/>
      <c r="G3736" s="1056" t="s">
        <v>359</v>
      </c>
      <c r="H3736" s="1057" t="s">
        <v>2662</v>
      </c>
      <c r="I3736" s="1058" t="e">
        <f>VLOOKUP(H3735,'LƯƠNG KT'!$D$15:$R$94,4,0)</f>
        <v>#N/A</v>
      </c>
      <c r="J3736" s="1059" t="e">
        <f>+I3736*25000</f>
        <v>#N/A</v>
      </c>
      <c r="K3736" s="1085"/>
      <c r="L3736" s="1085"/>
      <c r="M3736" s="1085"/>
      <c r="N3736" s="1085"/>
      <c r="O3736" s="1085"/>
    </row>
    <row r="3737" spans="1:15" ht="15" customHeight="1">
      <c r="A3737" s="1056" t="s">
        <v>361</v>
      </c>
      <c r="B3737" s="1057" t="s">
        <v>2663</v>
      </c>
      <c r="C3737" s="1058" t="e">
        <f>VLOOKUP(B3735,'LƯƠNG KT'!$D$15:$R$94,15,0)</f>
        <v>#N/A</v>
      </c>
      <c r="D3737" s="1059" t="e">
        <f>C3737*$L$4</f>
        <v>#N/A</v>
      </c>
      <c r="E3737" s="1061"/>
      <c r="F3737" s="1061"/>
      <c r="G3737" s="1056" t="s">
        <v>361</v>
      </c>
      <c r="H3737" s="1057" t="s">
        <v>2663</v>
      </c>
      <c r="I3737" s="1058" t="e">
        <f>VLOOKUP(H3735,'LƯƠNG KT'!$D$15:$R$94,15,0)</f>
        <v>#N/A</v>
      </c>
      <c r="J3737" s="1059" t="e">
        <f>I3737*$L$4</f>
        <v>#N/A</v>
      </c>
      <c r="K3737" s="1085"/>
      <c r="L3737" s="1085"/>
      <c r="M3737" s="1085"/>
      <c r="N3737" s="1085"/>
      <c r="O3737" s="1085"/>
    </row>
    <row r="3738" spans="1:15" ht="15" customHeight="1">
      <c r="A3738" s="1056" t="s">
        <v>364</v>
      </c>
      <c r="B3738" s="1057" t="s">
        <v>2664</v>
      </c>
      <c r="C3738" s="1058" t="e">
        <f>VLOOKUP(B3735,'LƯƠNG KT'!$D$15:$R$94,16,0)</f>
        <v>#N/A</v>
      </c>
      <c r="D3738" s="1059" t="e">
        <f>C3738*$L$5</f>
        <v>#N/A</v>
      </c>
      <c r="E3738" s="1061"/>
      <c r="F3738" s="1061"/>
      <c r="G3738" s="1056" t="s">
        <v>364</v>
      </c>
      <c r="H3738" s="1057" t="s">
        <v>2664</v>
      </c>
      <c r="I3738" s="1058" t="e">
        <f>VLOOKUP(H3735,'LƯƠNG KT'!$D$15:$R$94,16,0)</f>
        <v>#N/A</v>
      </c>
      <c r="J3738" s="1059" t="e">
        <f>I3738*$L$5</f>
        <v>#N/A</v>
      </c>
      <c r="K3738" s="1085"/>
      <c r="L3738" s="1085"/>
      <c r="M3738" s="1085"/>
      <c r="N3738" s="1085"/>
      <c r="O3738" s="1085"/>
    </row>
    <row r="3739" spans="1:15" ht="15" customHeight="1">
      <c r="A3739" s="1056" t="s">
        <v>370</v>
      </c>
      <c r="B3739" s="1057" t="s">
        <v>2665</v>
      </c>
      <c r="C3739" s="1058" t="e">
        <f>VLOOKUP(B3735,'LƯƠNG KT'!$D$15:$R$94,24,0)</f>
        <v>#N/A</v>
      </c>
      <c r="D3739" s="1059" t="e">
        <f>+C3739*$L$6</f>
        <v>#N/A</v>
      </c>
      <c r="E3739" s="1061"/>
      <c r="F3739" s="1061"/>
      <c r="G3739" s="1056" t="s">
        <v>370</v>
      </c>
      <c r="H3739" s="1057" t="s">
        <v>2665</v>
      </c>
      <c r="I3739" s="1058" t="e">
        <f>VLOOKUP(H3735,'LƯƠNG KT'!$D$15:$R$94,24,0)</f>
        <v>#N/A</v>
      </c>
      <c r="J3739" s="1059" t="e">
        <f>+I3739*$L$6</f>
        <v>#N/A</v>
      </c>
      <c r="K3739" s="1085"/>
      <c r="L3739" s="1085"/>
      <c r="M3739" s="1085"/>
      <c r="N3739" s="1085"/>
      <c r="O3739" s="1085"/>
    </row>
    <row r="3740" spans="1:15" ht="15" customHeight="1">
      <c r="A3740" s="1056" t="s">
        <v>2666</v>
      </c>
      <c r="B3740" s="1057" t="s">
        <v>2667</v>
      </c>
      <c r="C3740" s="1058" t="e">
        <f>VLOOKUP(B3735,'LƯƠNG KT'!$D$15:$R$94,19,0)</f>
        <v>#N/A</v>
      </c>
      <c r="D3740" s="1059" t="e">
        <f>+C3740*$L$8</f>
        <v>#N/A</v>
      </c>
      <c r="E3740" s="1061"/>
      <c r="F3740" s="1061"/>
      <c r="G3740" s="1056" t="s">
        <v>2666</v>
      </c>
      <c r="H3740" s="1057" t="s">
        <v>2667</v>
      </c>
      <c r="I3740" s="1058" t="e">
        <f>VLOOKUP(H3735,'LƯƠNG KT'!$D$15:$R$94,19,0)</f>
        <v>#N/A</v>
      </c>
      <c r="J3740" s="1059" t="e">
        <f>+I3740*$L$8</f>
        <v>#N/A</v>
      </c>
      <c r="K3740" s="1085"/>
      <c r="L3740" s="1085"/>
      <c r="M3740" s="1085"/>
      <c r="N3740" s="1085"/>
      <c r="O3740" s="1085"/>
    </row>
    <row r="3741" spans="1:15" ht="15" customHeight="1">
      <c r="A3741" s="1056" t="s">
        <v>2668</v>
      </c>
      <c r="B3741" s="1062" t="s">
        <v>2669</v>
      </c>
      <c r="C3741" s="1058" t="e">
        <f>VLOOKUP(B3735,'LƯƠNG KT'!$D$15:$R$94,20,0)</f>
        <v>#N/A</v>
      </c>
      <c r="D3741" s="1059" t="e">
        <f>+C3741*$L$9</f>
        <v>#N/A</v>
      </c>
      <c r="E3741" s="1061"/>
      <c r="F3741" s="1061"/>
      <c r="G3741" s="1056" t="s">
        <v>2668</v>
      </c>
      <c r="H3741" s="1062" t="s">
        <v>2669</v>
      </c>
      <c r="I3741" s="1058" t="e">
        <f>VLOOKUP(H3735,'LƯƠNG KT'!$D$15:$R$94,20,0)</f>
        <v>#N/A</v>
      </c>
      <c r="J3741" s="1059" t="e">
        <f>+I3741*$L$9</f>
        <v>#N/A</v>
      </c>
      <c r="K3741" s="1085"/>
      <c r="L3741" s="1085"/>
      <c r="M3741" s="1085"/>
      <c r="N3741" s="1085"/>
      <c r="O3741" s="1085"/>
    </row>
    <row r="3742" spans="1:15" ht="15" customHeight="1">
      <c r="A3742" s="1056" t="s">
        <v>2671</v>
      </c>
      <c r="B3742" s="1057" t="s">
        <v>2672</v>
      </c>
      <c r="C3742" s="1058" t="e">
        <f>VLOOKUP(B3735,'LƯƠNG KT'!$D$15:$R$94,17,0)</f>
        <v>#N/A</v>
      </c>
      <c r="D3742" s="1059" t="e">
        <f>+C3742*$L$10</f>
        <v>#N/A</v>
      </c>
      <c r="E3742" s="1061"/>
      <c r="F3742" s="1061"/>
      <c r="G3742" s="1056" t="s">
        <v>2671</v>
      </c>
      <c r="H3742" s="1057" t="s">
        <v>2672</v>
      </c>
      <c r="I3742" s="1058" t="e">
        <f>VLOOKUP(H3735,'LƯƠNG KT'!$D$15:$R$94,17,0)</f>
        <v>#N/A</v>
      </c>
      <c r="J3742" s="1059" t="e">
        <f>+I3742*$L$10</f>
        <v>#N/A</v>
      </c>
      <c r="K3742" s="1085"/>
      <c r="L3742" s="1085"/>
      <c r="M3742" s="1085"/>
      <c r="N3742" s="1085"/>
      <c r="O3742" s="1085"/>
    </row>
    <row r="3743" spans="1:15" ht="15" customHeight="1">
      <c r="A3743" s="1056" t="s">
        <v>2693</v>
      </c>
      <c r="B3743" s="1062" t="s">
        <v>2692</v>
      </c>
      <c r="C3743" s="1058" t="e">
        <f>VLOOKUP(B3735,'LƯƠNG KT'!$D$15:$R$94,21,0)</f>
        <v>#N/A</v>
      </c>
      <c r="D3743" s="1059" t="e">
        <f>+C3743*$L$7</f>
        <v>#N/A</v>
      </c>
      <c r="E3743" s="1061"/>
      <c r="F3743" s="1061"/>
      <c r="G3743" s="1056" t="s">
        <v>2693</v>
      </c>
      <c r="H3743" s="1062" t="s">
        <v>2692</v>
      </c>
      <c r="I3743" s="1058" t="e">
        <f>VLOOKUP(H3735,'LƯƠNG KT'!$D$15:$R$94,21,0)</f>
        <v>#N/A</v>
      </c>
      <c r="J3743" s="1059" t="e">
        <f>+I3743*$L$7</f>
        <v>#N/A</v>
      </c>
      <c r="K3743" s="1085"/>
      <c r="L3743" s="1085"/>
      <c r="M3743" s="1085"/>
      <c r="N3743" s="1085"/>
      <c r="O3743" s="1085"/>
    </row>
    <row r="3744" spans="1:15" ht="15" customHeight="1">
      <c r="A3744" s="1056" t="s">
        <v>2694</v>
      </c>
      <c r="B3744" s="1057" t="s">
        <v>2684</v>
      </c>
      <c r="C3744" s="1058" t="e">
        <f>VLOOKUP(B3735,'LƯƠNG KT'!$D$15:$R$94,23,0)</f>
        <v>#N/A</v>
      </c>
      <c r="D3744" s="1059" t="e">
        <f>+C3744*20000</f>
        <v>#N/A</v>
      </c>
      <c r="E3744" s="1063"/>
      <c r="F3744" s="1061"/>
      <c r="G3744" s="1056" t="s">
        <v>2694</v>
      </c>
      <c r="H3744" s="1057" t="s">
        <v>2684</v>
      </c>
      <c r="I3744" s="1058" t="e">
        <f>VLOOKUP(H3735,'LƯƠNG KT'!$D$15:$R$94,23,0)</f>
        <v>#N/A</v>
      </c>
      <c r="J3744" s="1059" t="e">
        <f>+I3744*20000</f>
        <v>#N/A</v>
      </c>
      <c r="K3744" s="1085"/>
      <c r="L3744" s="1085"/>
      <c r="M3744" s="1085"/>
      <c r="N3744" s="1085"/>
      <c r="O3744" s="1085"/>
    </row>
    <row r="3745" spans="1:15" ht="15" customHeight="1">
      <c r="A3745" s="1056" t="s">
        <v>374</v>
      </c>
      <c r="B3745" s="1057" t="s">
        <v>2674</v>
      </c>
      <c r="C3745" s="1058" t="e">
        <f>VLOOKUP(B3735,'LƯƠNG KT'!$D$15:$R$94,12,0)</f>
        <v>#N/A</v>
      </c>
      <c r="D3745" s="1059" t="e">
        <f>VLOOKUP(B3735,'LƯƠNG KT'!$D$15:$R$94,14,0)</f>
        <v>#N/A</v>
      </c>
      <c r="E3745" s="1065"/>
      <c r="F3745" s="1065"/>
      <c r="G3745" s="1056" t="s">
        <v>374</v>
      </c>
      <c r="H3745" s="1057" t="s">
        <v>2674</v>
      </c>
      <c r="I3745" s="1058" t="e">
        <f>VLOOKUP(H3735,'LƯƠNG KT'!$D$15:$R$94,12,0)</f>
        <v>#N/A</v>
      </c>
      <c r="J3745" s="1059" t="e">
        <f>VLOOKUP(H3735,'LƯƠNG KT'!$D$15:$R$94,14,0)</f>
        <v>#N/A</v>
      </c>
      <c r="K3745" s="1085"/>
      <c r="L3745" s="1085"/>
      <c r="M3745" s="1085"/>
      <c r="N3745" s="1085"/>
      <c r="O3745" s="1085"/>
    </row>
    <row r="3746" spans="1:15" ht="15" customHeight="1">
      <c r="A3746" s="1056" t="s">
        <v>2675</v>
      </c>
      <c r="B3746" s="1057" t="s">
        <v>2676</v>
      </c>
      <c r="D3746" s="1064" t="e">
        <f>VLOOKUP(B3735,'LƯƠNG KT'!$D$15:$R$94,13,0)</f>
        <v>#N/A</v>
      </c>
      <c r="E3746" s="1063"/>
      <c r="F3746" s="1065"/>
      <c r="G3746" s="1056" t="s">
        <v>2675</v>
      </c>
      <c r="H3746" s="1057" t="s">
        <v>2676</v>
      </c>
      <c r="J3746" s="1064" t="e">
        <f>VLOOKUP(H3735,'LƯƠNG KT'!$D$15:$R$94,13,0)</f>
        <v>#N/A</v>
      </c>
    </row>
    <row r="3747" spans="1:15" ht="15" customHeight="1">
      <c r="A3747" s="1052"/>
      <c r="B3747" s="869"/>
      <c r="C3747" s="1058"/>
      <c r="D3747" s="1059"/>
      <c r="E3747" s="1067"/>
      <c r="F3747" s="1051"/>
      <c r="G3747" s="1052"/>
      <c r="H3747" s="869"/>
      <c r="I3747" s="1058"/>
      <c r="J3747" s="1059"/>
    </row>
    <row r="3748" spans="1:15" ht="15" customHeight="1">
      <c r="A3748" s="1068" t="s">
        <v>383</v>
      </c>
      <c r="B3748" s="1069" t="s">
        <v>384</v>
      </c>
      <c r="C3748" s="1070"/>
      <c r="D3748" s="1071" t="e">
        <f>SUM(D3736:D3745)</f>
        <v>#N/A</v>
      </c>
      <c r="E3748" s="1072"/>
      <c r="F3748" s="1073"/>
      <c r="G3748" s="1068" t="s">
        <v>383</v>
      </c>
      <c r="H3748" s="1069" t="s">
        <v>384</v>
      </c>
      <c r="I3748" s="1070"/>
      <c r="J3748" s="1071" t="e">
        <f>SUM(J3736:J3745)</f>
        <v>#N/A</v>
      </c>
    </row>
    <row r="3749" spans="1:15" ht="15" customHeight="1">
      <c r="A3749" s="1097"/>
      <c r="B3749" s="1098"/>
      <c r="C3749" s="1099"/>
      <c r="D3749" s="1100"/>
      <c r="E3749" s="1096"/>
      <c r="F3749" s="1072"/>
      <c r="G3749" s="1097"/>
      <c r="H3749" s="1098"/>
      <c r="I3749" s="1099"/>
      <c r="J3749" s="1100"/>
    </row>
    <row r="3750" spans="1:15" ht="18.75" customHeight="1">
      <c r="A3750" s="1074"/>
      <c r="B3750" s="1075"/>
      <c r="C3750" s="1076"/>
      <c r="D3750" s="1077"/>
      <c r="E3750" s="1077"/>
      <c r="F3750" s="1078"/>
      <c r="G3750" s="1074"/>
      <c r="H3750" s="1075"/>
      <c r="I3750" s="1076"/>
      <c r="J3750" s="1077"/>
    </row>
    <row r="3751" spans="1:15" ht="15" customHeight="1">
      <c r="A3751" s="2242" t="str">
        <f>$K$2</f>
        <v>THÁNG 04/2025</v>
      </c>
      <c r="B3751" s="2242"/>
      <c r="C3751" s="2242"/>
      <c r="D3751" s="2242"/>
      <c r="E3751" s="1050"/>
      <c r="F3751" s="1051"/>
      <c r="G3751" s="2242" t="str">
        <f>$K$2</f>
        <v>THÁNG 04/2025</v>
      </c>
      <c r="H3751" s="2242"/>
      <c r="I3751" s="2242"/>
      <c r="J3751" s="2242"/>
      <c r="K3751" s="624"/>
    </row>
    <row r="3752" spans="1:15" ht="15" customHeight="1">
      <c r="A3752" s="1052" t="s">
        <v>356</v>
      </c>
      <c r="B3752" s="1053" t="s">
        <v>341</v>
      </c>
      <c r="C3752" s="869"/>
      <c r="D3752" s="1049"/>
      <c r="E3752" s="1054"/>
      <c r="F3752" s="1055"/>
      <c r="G3752" s="1052" t="s">
        <v>356</v>
      </c>
      <c r="H3752" s="1053" t="s">
        <v>342</v>
      </c>
      <c r="I3752" s="869"/>
      <c r="J3752" s="1049"/>
      <c r="L3752" s="1088"/>
      <c r="M3752" s="1088"/>
      <c r="N3752" s="1088"/>
      <c r="O3752" s="1088"/>
    </row>
    <row r="3753" spans="1:15" ht="15" customHeight="1">
      <c r="A3753" s="1056" t="s">
        <v>359</v>
      </c>
      <c r="B3753" s="1057" t="s">
        <v>2662</v>
      </c>
      <c r="C3753" s="1058" t="e">
        <f>VLOOKUP(B3752,'LƯƠNG KT'!$D$15:$R$94,4,0)</f>
        <v>#N/A</v>
      </c>
      <c r="D3753" s="1059" t="e">
        <f>+C3753*25000</f>
        <v>#N/A</v>
      </c>
      <c r="E3753" s="1060"/>
      <c r="F3753" s="1060"/>
      <c r="G3753" s="1056" t="s">
        <v>359</v>
      </c>
      <c r="H3753" s="1057" t="s">
        <v>2662</v>
      </c>
      <c r="I3753" s="1058" t="e">
        <f>VLOOKUP(H3752,'LƯƠNG KT'!$D$15:$R$94,4,0)</f>
        <v>#N/A</v>
      </c>
      <c r="J3753" s="1059" t="e">
        <f>+I3753*25000</f>
        <v>#N/A</v>
      </c>
      <c r="K3753" s="1085"/>
      <c r="L3753" s="1085"/>
      <c r="M3753" s="1085"/>
      <c r="N3753" s="1085"/>
      <c r="O3753" s="1085"/>
    </row>
    <row r="3754" spans="1:15" ht="15" customHeight="1">
      <c r="A3754" s="1056" t="s">
        <v>361</v>
      </c>
      <c r="B3754" s="1057" t="s">
        <v>2663</v>
      </c>
      <c r="C3754" s="1058" t="e">
        <f>VLOOKUP(B3752,'LƯƠNG KT'!$D$15:$R$94,15,0)</f>
        <v>#N/A</v>
      </c>
      <c r="D3754" s="1059" t="e">
        <f>C3754*$L$4</f>
        <v>#N/A</v>
      </c>
      <c r="E3754" s="1061"/>
      <c r="F3754" s="1061"/>
      <c r="G3754" s="1056" t="s">
        <v>361</v>
      </c>
      <c r="H3754" s="1057" t="s">
        <v>2663</v>
      </c>
      <c r="I3754" s="1058" t="e">
        <f>VLOOKUP(H3752,'LƯƠNG KT'!$D$15:$R$94,15,0)</f>
        <v>#N/A</v>
      </c>
      <c r="J3754" s="1059" t="e">
        <f>I3754*$L$4</f>
        <v>#N/A</v>
      </c>
      <c r="K3754" s="1085"/>
      <c r="L3754" s="1085"/>
      <c r="M3754" s="1085"/>
      <c r="N3754" s="1085"/>
      <c r="O3754" s="1085"/>
    </row>
    <row r="3755" spans="1:15" ht="15" customHeight="1">
      <c r="A3755" s="1056" t="s">
        <v>364</v>
      </c>
      <c r="B3755" s="1057" t="s">
        <v>2664</v>
      </c>
      <c r="C3755" s="1058" t="e">
        <f>VLOOKUP(B3752,'LƯƠNG KT'!$D$15:$R$94,16,0)</f>
        <v>#N/A</v>
      </c>
      <c r="D3755" s="1059" t="e">
        <f>C3755*$L$5</f>
        <v>#N/A</v>
      </c>
      <c r="E3755" s="1061"/>
      <c r="F3755" s="1061"/>
      <c r="G3755" s="1056" t="s">
        <v>364</v>
      </c>
      <c r="H3755" s="1057" t="s">
        <v>2664</v>
      </c>
      <c r="I3755" s="1058" t="e">
        <f>VLOOKUP(H3752,'LƯƠNG KT'!$D$15:$R$94,16,0)</f>
        <v>#N/A</v>
      </c>
      <c r="J3755" s="1059" t="e">
        <f>I3755*$L$5</f>
        <v>#N/A</v>
      </c>
      <c r="K3755" s="1085"/>
      <c r="L3755" s="1085"/>
      <c r="M3755" s="1085"/>
      <c r="N3755" s="1085"/>
      <c r="O3755" s="1085"/>
    </row>
    <row r="3756" spans="1:15" ht="15" customHeight="1">
      <c r="A3756" s="1056" t="s">
        <v>370</v>
      </c>
      <c r="B3756" s="1057" t="s">
        <v>2665</v>
      </c>
      <c r="C3756" s="1058" t="e">
        <f>VLOOKUP(B3752,'LƯƠNG KT'!$D$15:$R$94,24,0)</f>
        <v>#N/A</v>
      </c>
      <c r="D3756" s="1059" t="e">
        <f>+C3756*$L$6</f>
        <v>#N/A</v>
      </c>
      <c r="E3756" s="1061"/>
      <c r="F3756" s="1061"/>
      <c r="G3756" s="1056" t="s">
        <v>370</v>
      </c>
      <c r="H3756" s="1057" t="s">
        <v>2665</v>
      </c>
      <c r="I3756" s="1058" t="e">
        <f>VLOOKUP(H3752,'LƯƠNG KT'!$D$15:$R$94,24,0)</f>
        <v>#N/A</v>
      </c>
      <c r="J3756" s="1059" t="e">
        <f>+I3756*$L$6</f>
        <v>#N/A</v>
      </c>
      <c r="K3756" s="1085"/>
      <c r="L3756" s="1085"/>
      <c r="M3756" s="1085"/>
      <c r="N3756" s="1085"/>
      <c r="O3756" s="1085"/>
    </row>
    <row r="3757" spans="1:15" ht="15" customHeight="1">
      <c r="A3757" s="1056" t="s">
        <v>2666</v>
      </c>
      <c r="B3757" s="1057" t="s">
        <v>2667</v>
      </c>
      <c r="C3757" s="1058" t="e">
        <f>VLOOKUP(B3752,'LƯƠNG KT'!$D$15:$R$94,19,0)</f>
        <v>#N/A</v>
      </c>
      <c r="D3757" s="1059" t="e">
        <f>+C3757*$L$8</f>
        <v>#N/A</v>
      </c>
      <c r="E3757" s="1061"/>
      <c r="F3757" s="1061"/>
      <c r="G3757" s="1056" t="s">
        <v>2666</v>
      </c>
      <c r="H3757" s="1057" t="s">
        <v>2667</v>
      </c>
      <c r="I3757" s="1058" t="e">
        <f>VLOOKUP(H3752,'LƯƠNG KT'!$D$15:$R$94,19,0)</f>
        <v>#N/A</v>
      </c>
      <c r="J3757" s="1059" t="e">
        <f>+I3757*$L$8</f>
        <v>#N/A</v>
      </c>
      <c r="K3757" s="1085"/>
      <c r="L3757" s="1085"/>
      <c r="M3757" s="1085"/>
      <c r="N3757" s="1085"/>
      <c r="O3757" s="1085"/>
    </row>
    <row r="3758" spans="1:15" ht="15" customHeight="1">
      <c r="A3758" s="1056" t="s">
        <v>2668</v>
      </c>
      <c r="B3758" s="1062" t="s">
        <v>2669</v>
      </c>
      <c r="C3758" s="1058" t="e">
        <f>VLOOKUP(B3752,'LƯƠNG KT'!$D$15:$R$94,20,0)</f>
        <v>#N/A</v>
      </c>
      <c r="D3758" s="1059" t="e">
        <f>+C3758*$L$9</f>
        <v>#N/A</v>
      </c>
      <c r="E3758" s="1061"/>
      <c r="F3758" s="1061"/>
      <c r="G3758" s="1056" t="s">
        <v>2668</v>
      </c>
      <c r="H3758" s="1062" t="s">
        <v>2669</v>
      </c>
      <c r="I3758" s="1058" t="e">
        <f>VLOOKUP(H3752,'LƯƠNG KT'!$D$15:$R$94,20,0)</f>
        <v>#N/A</v>
      </c>
      <c r="J3758" s="1059" t="e">
        <f>+I3758*$L$9</f>
        <v>#N/A</v>
      </c>
      <c r="K3758" s="1085"/>
      <c r="L3758" s="1085"/>
      <c r="M3758" s="1085"/>
      <c r="N3758" s="1085"/>
      <c r="O3758" s="1085"/>
    </row>
    <row r="3759" spans="1:15" ht="15" customHeight="1">
      <c r="A3759" s="1056" t="s">
        <v>2671</v>
      </c>
      <c r="B3759" s="1057" t="s">
        <v>2672</v>
      </c>
      <c r="C3759" s="1058" t="e">
        <f>VLOOKUP(B3752,'LƯƠNG KT'!$D$15:$R$94,17,0)</f>
        <v>#N/A</v>
      </c>
      <c r="D3759" s="1059" t="e">
        <f>+C3759*$L$10</f>
        <v>#N/A</v>
      </c>
      <c r="E3759" s="1061"/>
      <c r="F3759" s="1061"/>
      <c r="G3759" s="1056" t="s">
        <v>2671</v>
      </c>
      <c r="H3759" s="1057" t="s">
        <v>2672</v>
      </c>
      <c r="I3759" s="1058" t="e">
        <f>VLOOKUP(H3752,'LƯƠNG KT'!$D$15:$R$94,17,0)</f>
        <v>#N/A</v>
      </c>
      <c r="J3759" s="1059" t="e">
        <f>+I3759*$L$10</f>
        <v>#N/A</v>
      </c>
      <c r="K3759" s="1085"/>
      <c r="L3759" s="1085"/>
      <c r="M3759" s="1085"/>
      <c r="N3759" s="1085"/>
      <c r="O3759" s="1085"/>
    </row>
    <row r="3760" spans="1:15" ht="15" customHeight="1">
      <c r="A3760" s="1056" t="s">
        <v>2693</v>
      </c>
      <c r="B3760" s="1062" t="s">
        <v>2692</v>
      </c>
      <c r="C3760" s="1058" t="e">
        <f>VLOOKUP(B3752,'LƯƠNG KT'!$D$15:$R$94,21,0)</f>
        <v>#N/A</v>
      </c>
      <c r="D3760" s="1059" t="e">
        <f>+C3760*$L$7</f>
        <v>#N/A</v>
      </c>
      <c r="E3760" s="1061"/>
      <c r="F3760" s="1061"/>
      <c r="G3760" s="1056" t="s">
        <v>2693</v>
      </c>
      <c r="H3760" s="1062" t="s">
        <v>2692</v>
      </c>
      <c r="I3760" s="1058" t="e">
        <f>VLOOKUP(H3752,'LƯƠNG KT'!$D$15:$R$94,21,0)</f>
        <v>#N/A</v>
      </c>
      <c r="J3760" s="1059" t="e">
        <f>+I3760*$L$7</f>
        <v>#N/A</v>
      </c>
      <c r="K3760" s="1085"/>
      <c r="L3760" s="1085"/>
      <c r="M3760" s="1085"/>
      <c r="N3760" s="1085"/>
      <c r="O3760" s="1085"/>
    </row>
    <row r="3761" spans="1:15" ht="15" customHeight="1">
      <c r="A3761" s="1056" t="s">
        <v>2694</v>
      </c>
      <c r="B3761" s="1057" t="s">
        <v>2684</v>
      </c>
      <c r="C3761" s="1058" t="e">
        <f>VLOOKUP(B3752,'LƯƠNG KT'!$D$15:$R$94,23,0)</f>
        <v>#N/A</v>
      </c>
      <c r="D3761" s="1059" t="e">
        <f>+C3761*20000</f>
        <v>#N/A</v>
      </c>
      <c r="E3761" s="1063"/>
      <c r="F3761" s="1061"/>
      <c r="G3761" s="1056" t="s">
        <v>2694</v>
      </c>
      <c r="H3761" s="1057" t="s">
        <v>2684</v>
      </c>
      <c r="I3761" s="1058" t="e">
        <f>VLOOKUP(H3752,'LƯƠNG KT'!$D$15:$R$94,23,0)</f>
        <v>#N/A</v>
      </c>
      <c r="J3761" s="1059" t="e">
        <f>+I3761*20000</f>
        <v>#N/A</v>
      </c>
      <c r="K3761" s="1085"/>
      <c r="L3761" s="1085"/>
      <c r="M3761" s="1085"/>
      <c r="N3761" s="1085"/>
      <c r="O3761" s="1085"/>
    </row>
    <row r="3762" spans="1:15" ht="15" customHeight="1">
      <c r="A3762" s="1056" t="s">
        <v>374</v>
      </c>
      <c r="B3762" s="1057" t="s">
        <v>2674</v>
      </c>
      <c r="C3762" s="1058" t="e">
        <f>VLOOKUP(B3752,'LƯƠNG KT'!$D$15:$R$94,12,0)</f>
        <v>#N/A</v>
      </c>
      <c r="D3762" s="1059" t="e">
        <f>VLOOKUP(B3752,'LƯƠNG KT'!$D$15:$R$94,14,0)</f>
        <v>#N/A</v>
      </c>
      <c r="E3762" s="1065"/>
      <c r="F3762" s="1065"/>
      <c r="G3762" s="1056" t="s">
        <v>374</v>
      </c>
      <c r="H3762" s="1057" t="s">
        <v>2674</v>
      </c>
      <c r="I3762" s="1058" t="e">
        <f>VLOOKUP(H3752,'LƯƠNG KT'!$D$15:$R$94,12,0)</f>
        <v>#N/A</v>
      </c>
      <c r="J3762" s="1059" t="e">
        <f>VLOOKUP(H3752,'LƯƠNG KT'!$D$15:$R$94,14,0)</f>
        <v>#N/A</v>
      </c>
      <c r="K3762" s="1085"/>
      <c r="L3762" s="1085"/>
      <c r="M3762" s="1085"/>
      <c r="N3762" s="1085"/>
      <c r="O3762" s="1085"/>
    </row>
    <row r="3763" spans="1:15" ht="15" customHeight="1">
      <c r="A3763" s="1056" t="s">
        <v>2675</v>
      </c>
      <c r="B3763" s="1057" t="s">
        <v>2676</v>
      </c>
      <c r="D3763" s="1064" t="e">
        <f>VLOOKUP(B3752,'LƯƠNG KT'!$D$15:$R$94,13,0)</f>
        <v>#N/A</v>
      </c>
      <c r="E3763" s="1063"/>
      <c r="F3763" s="1065"/>
      <c r="G3763" s="1056" t="s">
        <v>2675</v>
      </c>
      <c r="H3763" s="1057" t="s">
        <v>2676</v>
      </c>
      <c r="J3763" s="1064" t="e">
        <f>VLOOKUP(H3752,'LƯƠNG KT'!$D$15:$R$94,13,0)</f>
        <v>#N/A</v>
      </c>
    </row>
    <row r="3764" spans="1:15" ht="15" customHeight="1">
      <c r="A3764" s="1052"/>
      <c r="B3764" s="869"/>
      <c r="C3764" s="1058"/>
      <c r="D3764" s="1059"/>
      <c r="E3764" s="1067"/>
      <c r="F3764" s="1051"/>
      <c r="G3764" s="1052"/>
      <c r="H3764" s="869"/>
      <c r="I3764" s="1058"/>
      <c r="J3764" s="1059"/>
    </row>
    <row r="3765" spans="1:15" ht="15" customHeight="1">
      <c r="A3765" s="1068" t="s">
        <v>383</v>
      </c>
      <c r="B3765" s="1069" t="s">
        <v>384</v>
      </c>
      <c r="C3765" s="1070"/>
      <c r="D3765" s="1071" t="e">
        <f>SUM(D3753:D3762)</f>
        <v>#N/A</v>
      </c>
      <c r="E3765" s="1072"/>
      <c r="F3765" s="1073"/>
      <c r="G3765" s="1068" t="s">
        <v>383</v>
      </c>
      <c r="H3765" s="1069" t="s">
        <v>384</v>
      </c>
      <c r="I3765" s="1070"/>
      <c r="J3765" s="1071" t="e">
        <f>SUM(J3753:J3762)</f>
        <v>#N/A</v>
      </c>
      <c r="K3765" s="1090"/>
      <c r="L3765" s="1090"/>
      <c r="M3765" s="1090"/>
      <c r="N3765" s="1090"/>
      <c r="O3765" s="1090"/>
    </row>
    <row r="3766" spans="1:15" ht="98.25" customHeight="1">
      <c r="A3766" s="1074"/>
      <c r="B3766" s="1075"/>
      <c r="C3766" s="1076"/>
      <c r="D3766" s="1077"/>
      <c r="E3766" s="1077"/>
      <c r="F3766" s="1078"/>
      <c r="G3766" s="1074"/>
      <c r="H3766" s="1075"/>
      <c r="I3766" s="1076"/>
      <c r="J3766" s="1077"/>
    </row>
    <row r="3767" spans="1:15" ht="15" customHeight="1">
      <c r="A3767" s="2242" t="str">
        <f>$K$2</f>
        <v>THÁNG 04/2025</v>
      </c>
      <c r="B3767" s="2242"/>
      <c r="C3767" s="2242"/>
      <c r="D3767" s="2242"/>
      <c r="E3767" s="1050"/>
      <c r="F3767" s="1051"/>
      <c r="G3767" s="2242" t="str">
        <f>$K$2</f>
        <v>THÁNG 04/2025</v>
      </c>
      <c r="H3767" s="2242"/>
      <c r="I3767" s="2242"/>
      <c r="J3767" s="2242"/>
      <c r="K3767" s="624"/>
    </row>
    <row r="3768" spans="1:15" ht="15" customHeight="1">
      <c r="A3768" s="1052" t="s">
        <v>356</v>
      </c>
      <c r="B3768" s="1053" t="s">
        <v>343</v>
      </c>
      <c r="C3768" s="869"/>
      <c r="D3768" s="1049"/>
      <c r="E3768" s="1054"/>
      <c r="F3768" s="1055"/>
      <c r="G3768" s="1052" t="s">
        <v>356</v>
      </c>
      <c r="H3768" s="1053" t="s">
        <v>344</v>
      </c>
      <c r="I3768" s="869"/>
      <c r="J3768" s="1049"/>
      <c r="K3768" s="1101"/>
      <c r="L3768" s="1102"/>
      <c r="M3768" s="1102"/>
      <c r="N3768" s="1102"/>
      <c r="O3768" s="1102"/>
    </row>
    <row r="3769" spans="1:15" ht="15" customHeight="1">
      <c r="A3769" s="1056" t="s">
        <v>359</v>
      </c>
      <c r="B3769" s="1057" t="s">
        <v>2662</v>
      </c>
      <c r="C3769" s="1058" t="e">
        <f>VLOOKUP(B3768,'LƯƠNG KT'!$D$15:$R$94,4,0)</f>
        <v>#N/A</v>
      </c>
      <c r="D3769" s="1059" t="e">
        <f>+C3769*25000</f>
        <v>#N/A</v>
      </c>
      <c r="E3769" s="1060"/>
      <c r="F3769" s="1060"/>
      <c r="G3769" s="1056" t="s">
        <v>359</v>
      </c>
      <c r="H3769" s="1057" t="s">
        <v>2662</v>
      </c>
      <c r="I3769" s="1058" t="e">
        <f>VLOOKUP(H3768,'LƯƠNG KT'!$D$15:$R$94,4,0)</f>
        <v>#N/A</v>
      </c>
      <c r="J3769" s="1059" t="e">
        <f>+I3769*25000</f>
        <v>#N/A</v>
      </c>
      <c r="K3769" s="1101"/>
      <c r="L3769" s="1101"/>
      <c r="M3769" s="1101"/>
      <c r="N3769" s="1101"/>
      <c r="O3769" s="1101"/>
    </row>
    <row r="3770" spans="1:15" ht="15" customHeight="1">
      <c r="A3770" s="1056" t="s">
        <v>361</v>
      </c>
      <c r="B3770" s="1057" t="s">
        <v>2663</v>
      </c>
      <c r="C3770" s="1058" t="e">
        <f>VLOOKUP(B3768,'LƯƠNG KT'!$D$15:$R$94,15,0)</f>
        <v>#N/A</v>
      </c>
      <c r="D3770" s="1059" t="e">
        <f>C3770*$L$4</f>
        <v>#N/A</v>
      </c>
      <c r="E3770" s="1061"/>
      <c r="F3770" s="1061"/>
      <c r="G3770" s="1056" t="s">
        <v>361</v>
      </c>
      <c r="H3770" s="1057" t="s">
        <v>2663</v>
      </c>
      <c r="I3770" s="1058" t="e">
        <f>VLOOKUP(H3768,'LƯƠNG KT'!$D$15:$R$94,15,0)</f>
        <v>#N/A</v>
      </c>
      <c r="J3770" s="1059" t="e">
        <f>I3770*$L$4</f>
        <v>#N/A</v>
      </c>
      <c r="K3770" s="1101"/>
      <c r="L3770" s="1101"/>
      <c r="M3770" s="1101"/>
      <c r="N3770" s="1101"/>
      <c r="O3770" s="1101"/>
    </row>
    <row r="3771" spans="1:15" ht="15" customHeight="1">
      <c r="A3771" s="1056" t="s">
        <v>364</v>
      </c>
      <c r="B3771" s="1057" t="s">
        <v>2664</v>
      </c>
      <c r="C3771" s="1058" t="e">
        <f>VLOOKUP(B3768,'LƯƠNG KT'!$D$15:$R$94,16,0)</f>
        <v>#N/A</v>
      </c>
      <c r="D3771" s="1059" t="e">
        <f>C3771*$L$5</f>
        <v>#N/A</v>
      </c>
      <c r="E3771" s="1061"/>
      <c r="F3771" s="1061"/>
      <c r="G3771" s="1056" t="s">
        <v>364</v>
      </c>
      <c r="H3771" s="1057" t="s">
        <v>2664</v>
      </c>
      <c r="I3771" s="1058" t="e">
        <f>VLOOKUP(H3768,'LƯƠNG KT'!$D$15:$R$94,16,0)</f>
        <v>#N/A</v>
      </c>
      <c r="J3771" s="1059" t="e">
        <f>I3771*$L$5</f>
        <v>#N/A</v>
      </c>
      <c r="K3771" s="1101"/>
      <c r="L3771" s="1101"/>
      <c r="M3771" s="1101"/>
      <c r="N3771" s="1101"/>
      <c r="O3771" s="1101"/>
    </row>
    <row r="3772" spans="1:15" ht="15" customHeight="1">
      <c r="A3772" s="1056" t="s">
        <v>370</v>
      </c>
      <c r="B3772" s="1057" t="s">
        <v>2665</v>
      </c>
      <c r="C3772" s="1058" t="e">
        <f>VLOOKUP(B3768,'LƯƠNG KT'!$D$15:$R$94,24,0)</f>
        <v>#N/A</v>
      </c>
      <c r="D3772" s="1059" t="e">
        <f>+C3772*$L$6</f>
        <v>#N/A</v>
      </c>
      <c r="E3772" s="1061"/>
      <c r="F3772" s="1061"/>
      <c r="G3772" s="1056" t="s">
        <v>370</v>
      </c>
      <c r="H3772" s="1057" t="s">
        <v>2665</v>
      </c>
      <c r="I3772" s="1058" t="e">
        <f>VLOOKUP(H3768,'LƯƠNG KT'!$D$15:$R$94,24,0)</f>
        <v>#N/A</v>
      </c>
      <c r="J3772" s="1059" t="e">
        <f>+I3772*$L$6</f>
        <v>#N/A</v>
      </c>
      <c r="K3772" s="1101"/>
      <c r="L3772" s="1101"/>
      <c r="M3772" s="1101"/>
      <c r="N3772" s="1101"/>
      <c r="O3772" s="1101"/>
    </row>
    <row r="3773" spans="1:15" ht="15" customHeight="1">
      <c r="A3773" s="1056" t="s">
        <v>2666</v>
      </c>
      <c r="B3773" s="1057" t="s">
        <v>2667</v>
      </c>
      <c r="C3773" s="1058" t="e">
        <f>VLOOKUP(B3768,'LƯƠNG KT'!$D$15:$R$94,19,0)</f>
        <v>#N/A</v>
      </c>
      <c r="D3773" s="1059" t="e">
        <f>+C3773*$L$8</f>
        <v>#N/A</v>
      </c>
      <c r="E3773" s="1061"/>
      <c r="F3773" s="1061"/>
      <c r="G3773" s="1056" t="s">
        <v>2666</v>
      </c>
      <c r="H3773" s="1057" t="s">
        <v>2667</v>
      </c>
      <c r="I3773" s="1058" t="e">
        <f>VLOOKUP(H3768,'LƯƠNG KT'!$D$15:$R$94,19,0)</f>
        <v>#N/A</v>
      </c>
      <c r="J3773" s="1059" t="e">
        <f>+I3773*$L$8</f>
        <v>#N/A</v>
      </c>
      <c r="K3773" s="1101"/>
      <c r="L3773" s="1101"/>
      <c r="M3773" s="1101"/>
      <c r="N3773" s="1101"/>
      <c r="O3773" s="1101"/>
    </row>
    <row r="3774" spans="1:15" ht="15" customHeight="1">
      <c r="A3774" s="1056" t="s">
        <v>2668</v>
      </c>
      <c r="B3774" s="1062" t="s">
        <v>2669</v>
      </c>
      <c r="C3774" s="1058" t="e">
        <f>VLOOKUP(B3768,'LƯƠNG KT'!$D$15:$R$94,20,0)</f>
        <v>#N/A</v>
      </c>
      <c r="D3774" s="1059" t="e">
        <f>+C3774*$L$9</f>
        <v>#N/A</v>
      </c>
      <c r="E3774" s="1061"/>
      <c r="F3774" s="1061"/>
      <c r="G3774" s="1056" t="s">
        <v>2668</v>
      </c>
      <c r="H3774" s="1062" t="s">
        <v>2669</v>
      </c>
      <c r="I3774" s="1058" t="e">
        <f>VLOOKUP(H3768,'LƯƠNG KT'!$D$15:$R$94,20,0)</f>
        <v>#N/A</v>
      </c>
      <c r="J3774" s="1059" t="e">
        <f>+I3774*$L$9</f>
        <v>#N/A</v>
      </c>
      <c r="K3774" s="1101"/>
      <c r="L3774" s="1101"/>
      <c r="M3774" s="1101"/>
      <c r="N3774" s="1101"/>
      <c r="O3774" s="1101"/>
    </row>
    <row r="3775" spans="1:15" ht="15" customHeight="1">
      <c r="A3775" s="1056" t="s">
        <v>2671</v>
      </c>
      <c r="B3775" s="1057" t="s">
        <v>2672</v>
      </c>
      <c r="C3775" s="1058" t="e">
        <f>VLOOKUP(B3768,'LƯƠNG KT'!$D$15:$R$94,17,0)</f>
        <v>#N/A</v>
      </c>
      <c r="D3775" s="1059" t="e">
        <f>+C3775*$L$10</f>
        <v>#N/A</v>
      </c>
      <c r="E3775" s="1061"/>
      <c r="F3775" s="1061"/>
      <c r="G3775" s="1056" t="s">
        <v>2671</v>
      </c>
      <c r="H3775" s="1057" t="s">
        <v>2672</v>
      </c>
      <c r="I3775" s="1058" t="e">
        <f>VLOOKUP(H3768,'LƯƠNG KT'!$D$15:$R$94,17,0)</f>
        <v>#N/A</v>
      </c>
      <c r="J3775" s="1059" t="e">
        <f>+I3775*$L$10</f>
        <v>#N/A</v>
      </c>
      <c r="K3775" s="1101"/>
      <c r="L3775" s="1101"/>
      <c r="M3775" s="1101"/>
      <c r="N3775" s="1101"/>
      <c r="O3775" s="1101"/>
    </row>
    <row r="3776" spans="1:15" ht="15" customHeight="1">
      <c r="A3776" s="1056" t="s">
        <v>2693</v>
      </c>
      <c r="B3776" s="1062" t="s">
        <v>2692</v>
      </c>
      <c r="C3776" s="1058" t="e">
        <f>VLOOKUP(B3768,'LƯƠNG KT'!$D$15:$R$94,21,0)</f>
        <v>#N/A</v>
      </c>
      <c r="D3776" s="1059" t="e">
        <f>+C3776*$L$7</f>
        <v>#N/A</v>
      </c>
      <c r="E3776" s="1061"/>
      <c r="F3776" s="1061"/>
      <c r="G3776" s="1056" t="s">
        <v>2693</v>
      </c>
      <c r="H3776" s="1062" t="s">
        <v>2692</v>
      </c>
      <c r="I3776" s="1058" t="e">
        <f>VLOOKUP(H3768,'LƯƠNG KT'!$D$15:$R$94,21,0)</f>
        <v>#N/A</v>
      </c>
      <c r="J3776" s="1059" t="e">
        <f>+I3776*$L$7</f>
        <v>#N/A</v>
      </c>
      <c r="K3776" s="1101"/>
      <c r="L3776" s="1101"/>
      <c r="M3776" s="1101"/>
      <c r="N3776" s="1101"/>
      <c r="O3776" s="1101"/>
    </row>
    <row r="3777" spans="1:15" ht="15" customHeight="1">
      <c r="A3777" s="1056" t="s">
        <v>2694</v>
      </c>
      <c r="B3777" s="1057" t="s">
        <v>2684</v>
      </c>
      <c r="C3777" s="1058" t="e">
        <f>VLOOKUP(B3768,'LƯƠNG KT'!$D$15:$R$94,23,0)</f>
        <v>#N/A</v>
      </c>
      <c r="D3777" s="1059" t="e">
        <f>+C3777*20000</f>
        <v>#N/A</v>
      </c>
      <c r="E3777" s="1063"/>
      <c r="F3777" s="1061"/>
      <c r="G3777" s="1056" t="s">
        <v>2694</v>
      </c>
      <c r="H3777" s="1057" t="s">
        <v>2684</v>
      </c>
      <c r="I3777" s="1058" t="e">
        <f>VLOOKUP(H3768,'LƯƠNG KT'!$D$15:$R$94,23,0)</f>
        <v>#N/A</v>
      </c>
      <c r="J3777" s="1059" t="e">
        <f>+I3777*20000</f>
        <v>#N/A</v>
      </c>
      <c r="K3777" s="1101"/>
      <c r="L3777" s="1101"/>
      <c r="M3777" s="1101"/>
      <c r="N3777" s="1101"/>
      <c r="O3777" s="1101"/>
    </row>
    <row r="3778" spans="1:15" ht="15" customHeight="1">
      <c r="A3778" s="1056" t="s">
        <v>374</v>
      </c>
      <c r="B3778" s="1057" t="s">
        <v>2674</v>
      </c>
      <c r="C3778" s="1058" t="e">
        <f>VLOOKUP(B3768,'LƯƠNG KT'!$D$15:$R$94,12,0)</f>
        <v>#N/A</v>
      </c>
      <c r="D3778" s="1059" t="e">
        <f>VLOOKUP(B3768,'LƯƠNG KT'!$D$15:$R$94,14,0)</f>
        <v>#N/A</v>
      </c>
      <c r="E3778" s="1065"/>
      <c r="F3778" s="1065"/>
      <c r="G3778" s="1056" t="s">
        <v>374</v>
      </c>
      <c r="H3778" s="1057" t="s">
        <v>2674</v>
      </c>
      <c r="I3778" s="1058" t="e">
        <f>VLOOKUP(H3768,'LƯƠNG KT'!$D$15:$R$94,12,0)</f>
        <v>#N/A</v>
      </c>
      <c r="J3778" s="1059" t="e">
        <f>VLOOKUP(H3768,'LƯƠNG KT'!$D$15:$R$94,14,0)</f>
        <v>#N/A</v>
      </c>
      <c r="K3778" s="1101"/>
      <c r="L3778" s="1101"/>
      <c r="M3778" s="1101"/>
      <c r="N3778" s="1101"/>
      <c r="O3778" s="1101"/>
    </row>
    <row r="3779" spans="1:15" ht="15" customHeight="1">
      <c r="A3779" s="1056" t="s">
        <v>2675</v>
      </c>
      <c r="B3779" s="1057" t="s">
        <v>2676</v>
      </c>
      <c r="D3779" s="1064" t="e">
        <f>VLOOKUP(B3768,'LƯƠNG KT'!$D$15:$R$94,13,0)</f>
        <v>#N/A</v>
      </c>
      <c r="E3779" s="1063"/>
      <c r="F3779" s="1065"/>
      <c r="G3779" s="1056" t="s">
        <v>2675</v>
      </c>
      <c r="H3779" s="1057" t="s">
        <v>2676</v>
      </c>
      <c r="J3779" s="1064" t="e">
        <f>VLOOKUP(H3768,'LƯƠNG KT'!$D$15:$R$94,13,0)</f>
        <v>#N/A</v>
      </c>
      <c r="K3779" s="1101"/>
      <c r="L3779" s="1101"/>
      <c r="M3779" s="1101"/>
      <c r="N3779" s="1101"/>
      <c r="O3779" s="1101"/>
    </row>
    <row r="3780" spans="1:15" ht="15" customHeight="1">
      <c r="A3780" s="1052"/>
      <c r="B3780" s="869"/>
      <c r="C3780" s="1058"/>
      <c r="D3780" s="1059"/>
      <c r="E3780" s="1067"/>
      <c r="F3780" s="1051"/>
      <c r="G3780" s="1052"/>
      <c r="H3780" s="869"/>
      <c r="I3780" s="1058"/>
      <c r="J3780" s="1059"/>
      <c r="K3780" s="1101"/>
      <c r="L3780" s="1101"/>
      <c r="M3780" s="1101"/>
      <c r="N3780" s="1101"/>
      <c r="O3780" s="1101"/>
    </row>
    <row r="3781" spans="1:15" ht="15" customHeight="1">
      <c r="A3781" s="1068" t="s">
        <v>383</v>
      </c>
      <c r="B3781" s="1069" t="s">
        <v>384</v>
      </c>
      <c r="C3781" s="1070"/>
      <c r="D3781" s="1071" t="e">
        <f>SUM(D3769:D3778)</f>
        <v>#N/A</v>
      </c>
      <c r="E3781" s="1072"/>
      <c r="F3781" s="1073"/>
      <c r="G3781" s="1068" t="s">
        <v>383</v>
      </c>
      <c r="H3781" s="1069" t="s">
        <v>384</v>
      </c>
      <c r="I3781" s="1070"/>
      <c r="J3781" s="1071" t="e">
        <f>SUM(J3769:J3778)</f>
        <v>#N/A</v>
      </c>
    </row>
    <row r="3782" spans="1:15" ht="15.75" customHeight="1">
      <c r="A3782" s="1074"/>
      <c r="B3782" s="1075"/>
      <c r="C3782" s="1076"/>
      <c r="D3782" s="1077"/>
      <c r="E3782" s="1077"/>
      <c r="F3782" s="1078"/>
      <c r="G3782" s="1074"/>
      <c r="H3782" s="1075"/>
      <c r="I3782" s="1076"/>
      <c r="J3782" s="1077"/>
    </row>
    <row r="3783" spans="1:15" ht="12" customHeight="1">
      <c r="A3783" s="2243"/>
      <c r="B3783" s="2243"/>
      <c r="C3783" s="2243"/>
      <c r="D3783" s="2243"/>
      <c r="E3783" s="2243"/>
      <c r="F3783" s="2243"/>
      <c r="G3783" s="2243"/>
      <c r="H3783" s="2243"/>
      <c r="I3783" s="2243"/>
      <c r="J3783" s="2243"/>
    </row>
    <row r="3784" spans="1:15" ht="15" customHeight="1">
      <c r="A3784" s="2242" t="str">
        <f>$K$2</f>
        <v>THÁNG 04/2025</v>
      </c>
      <c r="B3784" s="2242"/>
      <c r="C3784" s="2242"/>
      <c r="D3784" s="2242"/>
      <c r="E3784" s="1050"/>
      <c r="F3784" s="1051"/>
      <c r="G3784" s="2242" t="str">
        <f>$K$2</f>
        <v>THÁNG 04/2025</v>
      </c>
      <c r="H3784" s="2242"/>
      <c r="I3784" s="2242"/>
      <c r="J3784" s="2242"/>
      <c r="K3784" s="624"/>
    </row>
    <row r="3785" spans="1:15" ht="15" customHeight="1">
      <c r="A3785" s="1052" t="s">
        <v>356</v>
      </c>
      <c r="B3785" s="1053" t="s">
        <v>345</v>
      </c>
      <c r="C3785" s="869"/>
      <c r="D3785" s="1049"/>
      <c r="E3785" s="1054"/>
      <c r="F3785" s="1055"/>
      <c r="G3785" s="1052" t="s">
        <v>356</v>
      </c>
      <c r="H3785" s="1053" t="s">
        <v>346</v>
      </c>
      <c r="I3785" s="869"/>
      <c r="J3785" s="1049"/>
      <c r="L3785" s="1088"/>
      <c r="M3785" s="1088"/>
      <c r="N3785" s="1088"/>
      <c r="O3785" s="1088"/>
    </row>
    <row r="3786" spans="1:15" ht="15" customHeight="1">
      <c r="A3786" s="1056" t="s">
        <v>359</v>
      </c>
      <c r="B3786" s="1057" t="s">
        <v>2662</v>
      </c>
      <c r="C3786" s="1058" t="e">
        <f>VLOOKUP(B3785,'LƯƠNG KT'!$D$15:$R$94,4,0)</f>
        <v>#N/A</v>
      </c>
      <c r="D3786" s="1059" t="e">
        <f>+C3786*25000</f>
        <v>#N/A</v>
      </c>
      <c r="E3786" s="1060"/>
      <c r="F3786" s="1060"/>
      <c r="G3786" s="1056" t="s">
        <v>359</v>
      </c>
      <c r="H3786" s="1057" t="s">
        <v>2662</v>
      </c>
      <c r="I3786" s="1058" t="e">
        <f>VLOOKUP(H3785,'LƯƠNG KT'!$D$15:$R$94,4,0)</f>
        <v>#N/A</v>
      </c>
      <c r="J3786" s="1059" t="e">
        <f>+I3786*25000</f>
        <v>#N/A</v>
      </c>
      <c r="K3786" s="1084"/>
      <c r="L3786" s="1085"/>
      <c r="M3786" s="1085"/>
      <c r="N3786" s="1085"/>
      <c r="O3786" s="1085"/>
    </row>
    <row r="3787" spans="1:15" ht="15" customHeight="1">
      <c r="A3787" s="1056" t="s">
        <v>361</v>
      </c>
      <c r="B3787" s="1057" t="s">
        <v>2663</v>
      </c>
      <c r="C3787" s="1058" t="e">
        <f>VLOOKUP(B3785,'LƯƠNG KT'!$D$15:$R$94,15,0)</f>
        <v>#N/A</v>
      </c>
      <c r="D3787" s="1059" t="e">
        <f>C3787*$L$4</f>
        <v>#N/A</v>
      </c>
      <c r="E3787" s="1061"/>
      <c r="F3787" s="1061"/>
      <c r="G3787" s="1056" t="s">
        <v>361</v>
      </c>
      <c r="H3787" s="1057" t="s">
        <v>2663</v>
      </c>
      <c r="I3787" s="1058" t="e">
        <f>VLOOKUP(H3785,'LƯƠNG KT'!$D$15:$R$94,15,0)</f>
        <v>#N/A</v>
      </c>
      <c r="J3787" s="1059" t="e">
        <f>I3787*$L$4</f>
        <v>#N/A</v>
      </c>
      <c r="K3787" s="1084"/>
      <c r="L3787" s="1085"/>
      <c r="M3787" s="1085"/>
      <c r="N3787" s="1085"/>
      <c r="O3787" s="1085"/>
    </row>
    <row r="3788" spans="1:15" ht="15" customHeight="1">
      <c r="A3788" s="1056" t="s">
        <v>364</v>
      </c>
      <c r="B3788" s="1057" t="s">
        <v>2664</v>
      </c>
      <c r="C3788" s="1058" t="e">
        <f>VLOOKUP(B3785,'LƯƠNG KT'!$D$15:$R$94,16,0)</f>
        <v>#N/A</v>
      </c>
      <c r="D3788" s="1059" t="e">
        <f>C3788*$L$5</f>
        <v>#N/A</v>
      </c>
      <c r="E3788" s="1061"/>
      <c r="F3788" s="1061"/>
      <c r="G3788" s="1056" t="s">
        <v>364</v>
      </c>
      <c r="H3788" s="1057" t="s">
        <v>2664</v>
      </c>
      <c r="I3788" s="1058" t="e">
        <f>VLOOKUP(H3785,'LƯƠNG KT'!$D$15:$R$94,16,0)</f>
        <v>#N/A</v>
      </c>
      <c r="J3788" s="1059" t="e">
        <f>I3788*$L$5</f>
        <v>#N/A</v>
      </c>
      <c r="K3788" s="1084"/>
      <c r="L3788" s="1085"/>
      <c r="M3788" s="1085"/>
      <c r="N3788" s="1085"/>
      <c r="O3788" s="1085"/>
    </row>
    <row r="3789" spans="1:15" ht="15" customHeight="1">
      <c r="A3789" s="1056" t="s">
        <v>370</v>
      </c>
      <c r="B3789" s="1057" t="s">
        <v>2665</v>
      </c>
      <c r="C3789" s="1058" t="e">
        <f>VLOOKUP(B3785,'LƯƠNG KT'!$D$15:$R$94,24,0)</f>
        <v>#N/A</v>
      </c>
      <c r="D3789" s="1059" t="e">
        <f>+C3789*$L$6</f>
        <v>#N/A</v>
      </c>
      <c r="E3789" s="1061"/>
      <c r="F3789" s="1061"/>
      <c r="G3789" s="1056" t="s">
        <v>370</v>
      </c>
      <c r="H3789" s="1057" t="s">
        <v>2665</v>
      </c>
      <c r="I3789" s="1058" t="e">
        <f>VLOOKUP(H3785,'LƯƠNG KT'!$D$15:$R$94,24,0)</f>
        <v>#N/A</v>
      </c>
      <c r="J3789" s="1059" t="e">
        <f>+I3789*$L$6</f>
        <v>#N/A</v>
      </c>
      <c r="K3789" s="1084"/>
      <c r="L3789" s="1085"/>
      <c r="M3789" s="1085"/>
      <c r="N3789" s="1085"/>
      <c r="O3789" s="1085"/>
    </row>
    <row r="3790" spans="1:15" ht="15" customHeight="1">
      <c r="A3790" s="1056" t="s">
        <v>2666</v>
      </c>
      <c r="B3790" s="1057" t="s">
        <v>2667</v>
      </c>
      <c r="C3790" s="1058" t="e">
        <f>VLOOKUP(B3785,'LƯƠNG KT'!$D$15:$R$94,19,0)</f>
        <v>#N/A</v>
      </c>
      <c r="D3790" s="1059" t="e">
        <f>+C3790*$L$8</f>
        <v>#N/A</v>
      </c>
      <c r="E3790" s="1061"/>
      <c r="F3790" s="1061"/>
      <c r="G3790" s="1056" t="s">
        <v>2666</v>
      </c>
      <c r="H3790" s="1057" t="s">
        <v>2667</v>
      </c>
      <c r="I3790" s="1058" t="e">
        <f>VLOOKUP(H3785,'LƯƠNG KT'!$D$15:$R$94,19,0)</f>
        <v>#N/A</v>
      </c>
      <c r="J3790" s="1059" t="e">
        <f>+I3790*$L$8</f>
        <v>#N/A</v>
      </c>
      <c r="K3790" s="1085"/>
      <c r="L3790" s="1085"/>
      <c r="M3790" s="1085"/>
      <c r="N3790" s="1085"/>
      <c r="O3790" s="1085"/>
    </row>
    <row r="3791" spans="1:15" ht="15" customHeight="1">
      <c r="A3791" s="1056" t="s">
        <v>2668</v>
      </c>
      <c r="B3791" s="1062" t="s">
        <v>2669</v>
      </c>
      <c r="C3791" s="1058" t="e">
        <f>VLOOKUP(B3785,'LƯƠNG KT'!$D$15:$R$94,20,0)</f>
        <v>#N/A</v>
      </c>
      <c r="D3791" s="1059" t="e">
        <f>+C3791*$L$9</f>
        <v>#N/A</v>
      </c>
      <c r="E3791" s="1061"/>
      <c r="F3791" s="1061"/>
      <c r="G3791" s="1056" t="s">
        <v>2668</v>
      </c>
      <c r="H3791" s="1062" t="s">
        <v>2669</v>
      </c>
      <c r="I3791" s="1058" t="e">
        <f>VLOOKUP(H3785,'LƯƠNG KT'!$D$15:$R$94,20,0)</f>
        <v>#N/A</v>
      </c>
      <c r="J3791" s="1059" t="e">
        <f>+I3791*$L$9</f>
        <v>#N/A</v>
      </c>
      <c r="K3791" s="1085"/>
      <c r="L3791" s="1085"/>
      <c r="M3791" s="1085"/>
      <c r="N3791" s="1085"/>
      <c r="O3791" s="1085"/>
    </row>
    <row r="3792" spans="1:15" ht="15" customHeight="1">
      <c r="A3792" s="1056" t="s">
        <v>2671</v>
      </c>
      <c r="B3792" s="1057" t="s">
        <v>2672</v>
      </c>
      <c r="C3792" s="1058" t="e">
        <f>VLOOKUP(B3785,'LƯƠNG KT'!$D$15:$R$94,17,0)</f>
        <v>#N/A</v>
      </c>
      <c r="D3792" s="1059" t="e">
        <f>+C3792*$L$10</f>
        <v>#N/A</v>
      </c>
      <c r="E3792" s="1061"/>
      <c r="F3792" s="1061"/>
      <c r="G3792" s="1056" t="s">
        <v>2671</v>
      </c>
      <c r="H3792" s="1057" t="s">
        <v>2672</v>
      </c>
      <c r="I3792" s="1058" t="e">
        <f>VLOOKUP(H3785,'LƯƠNG KT'!$D$15:$R$94,17,0)</f>
        <v>#N/A</v>
      </c>
      <c r="J3792" s="1059" t="e">
        <f>+I3792*$L$10</f>
        <v>#N/A</v>
      </c>
      <c r="K3792" s="1085"/>
      <c r="L3792" s="1085"/>
      <c r="M3792" s="1085"/>
      <c r="N3792" s="1085"/>
      <c r="O3792" s="1085"/>
    </row>
    <row r="3793" spans="1:15" ht="15" customHeight="1">
      <c r="A3793" s="1056" t="s">
        <v>2693</v>
      </c>
      <c r="B3793" s="1062" t="s">
        <v>2692</v>
      </c>
      <c r="C3793" s="1058" t="e">
        <f>VLOOKUP(B3785,'LƯƠNG KT'!$D$15:$R$94,21,0)</f>
        <v>#N/A</v>
      </c>
      <c r="D3793" s="1059" t="e">
        <f>+C3793*$L$7</f>
        <v>#N/A</v>
      </c>
      <c r="E3793" s="1061"/>
      <c r="F3793" s="1061"/>
      <c r="G3793" s="1056" t="s">
        <v>2693</v>
      </c>
      <c r="H3793" s="1062" t="s">
        <v>2692</v>
      </c>
      <c r="I3793" s="1058" t="e">
        <f>VLOOKUP(H3785,'LƯƠNG KT'!$D$15:$R$94,21,0)</f>
        <v>#N/A</v>
      </c>
      <c r="J3793" s="1059" t="e">
        <f>+I3793*$L$7</f>
        <v>#N/A</v>
      </c>
      <c r="K3793" s="1085"/>
      <c r="L3793" s="1085"/>
      <c r="M3793" s="1085"/>
      <c r="N3793" s="1085"/>
      <c r="O3793" s="1085"/>
    </row>
    <row r="3794" spans="1:15" ht="15" customHeight="1">
      <c r="A3794" s="1056" t="s">
        <v>2694</v>
      </c>
      <c r="B3794" s="1057" t="s">
        <v>2684</v>
      </c>
      <c r="C3794" s="1058" t="e">
        <f>VLOOKUP(B3785,'LƯƠNG KT'!$D$15:$R$94,23,0)</f>
        <v>#N/A</v>
      </c>
      <c r="D3794" s="1059" t="e">
        <f>+C3794*20000</f>
        <v>#N/A</v>
      </c>
      <c r="E3794" s="1063"/>
      <c r="F3794" s="1061"/>
      <c r="G3794" s="1056" t="s">
        <v>2694</v>
      </c>
      <c r="H3794" s="1057" t="s">
        <v>2684</v>
      </c>
      <c r="I3794" s="1058" t="e">
        <f>VLOOKUP(H3785,'LƯƠNG KT'!$D$15:$R$94,23,0)</f>
        <v>#N/A</v>
      </c>
      <c r="J3794" s="1059" t="e">
        <f>+I3794*20000</f>
        <v>#N/A</v>
      </c>
      <c r="K3794" s="1085"/>
      <c r="L3794" s="1085"/>
      <c r="M3794" s="1085"/>
      <c r="N3794" s="1085"/>
      <c r="O3794" s="1085"/>
    </row>
    <row r="3795" spans="1:15" ht="15" customHeight="1">
      <c r="A3795" s="1056" t="s">
        <v>374</v>
      </c>
      <c r="B3795" s="1057" t="s">
        <v>2674</v>
      </c>
      <c r="C3795" s="1058" t="e">
        <f>VLOOKUP(B3785,'LƯƠNG KT'!$D$15:$R$94,12,0)</f>
        <v>#N/A</v>
      </c>
      <c r="D3795" s="1059" t="e">
        <f>VLOOKUP(B3785,'LƯƠNG KT'!$D$15:$R$94,14,0)</f>
        <v>#N/A</v>
      </c>
      <c r="E3795" s="1065"/>
      <c r="F3795" s="1065"/>
      <c r="G3795" s="1056" t="s">
        <v>374</v>
      </c>
      <c r="H3795" s="1057" t="s">
        <v>2674</v>
      </c>
      <c r="I3795" s="1058" t="e">
        <f>VLOOKUP(H3785,'LƯƠNG KT'!$D$15:$R$94,12,0)</f>
        <v>#N/A</v>
      </c>
      <c r="J3795" s="1059" t="e">
        <f>VLOOKUP(H3785,'LƯƠNG KT'!$D$15:$R$94,14,0)</f>
        <v>#N/A</v>
      </c>
      <c r="K3795" s="1085"/>
      <c r="L3795" s="1085"/>
      <c r="M3795" s="1085"/>
      <c r="N3795" s="1085"/>
      <c r="O3795" s="1085"/>
    </row>
    <row r="3796" spans="1:15" ht="15" customHeight="1">
      <c r="A3796" s="1056" t="s">
        <v>2675</v>
      </c>
      <c r="B3796" s="1057" t="s">
        <v>2676</v>
      </c>
      <c r="D3796" s="1064" t="e">
        <f>VLOOKUP(B3785,'LƯƠNG KT'!$D$15:$R$94,13,0)</f>
        <v>#N/A</v>
      </c>
      <c r="E3796" s="1063"/>
      <c r="F3796" s="1065"/>
      <c r="G3796" s="1056" t="s">
        <v>2675</v>
      </c>
      <c r="H3796" s="1057" t="s">
        <v>2676</v>
      </c>
      <c r="J3796" s="1064" t="e">
        <f>VLOOKUP(H3785,'LƯƠNG KT'!$D$15:$R$94,13,0)</f>
        <v>#N/A</v>
      </c>
    </row>
    <row r="3797" spans="1:15" ht="15" customHeight="1">
      <c r="A3797" s="1052"/>
      <c r="B3797" s="869"/>
      <c r="C3797" s="1058"/>
      <c r="D3797" s="1059"/>
      <c r="E3797" s="1067"/>
      <c r="F3797" s="1051"/>
      <c r="G3797" s="1052"/>
      <c r="H3797" s="869"/>
      <c r="I3797" s="1058"/>
      <c r="J3797" s="1059"/>
    </row>
    <row r="3798" spans="1:15" ht="15" customHeight="1">
      <c r="A3798" s="1068" t="s">
        <v>383</v>
      </c>
      <c r="B3798" s="1069" t="s">
        <v>384</v>
      </c>
      <c r="C3798" s="1070"/>
      <c r="D3798" s="1071" t="e">
        <f>SUM(D3786:D3795)</f>
        <v>#N/A</v>
      </c>
      <c r="E3798" s="1072"/>
      <c r="F3798" s="1073"/>
      <c r="G3798" s="1068" t="s">
        <v>383</v>
      </c>
      <c r="H3798" s="1069" t="s">
        <v>384</v>
      </c>
      <c r="I3798" s="1070"/>
      <c r="J3798" s="1071" t="e">
        <f>SUM(J3786:J3795)</f>
        <v>#N/A</v>
      </c>
    </row>
    <row r="3799" spans="1:15" ht="12.6" customHeight="1">
      <c r="A3799" s="1074"/>
      <c r="B3799" s="1075"/>
      <c r="C3799" s="1076"/>
      <c r="D3799" s="1077"/>
      <c r="E3799" s="1077"/>
      <c r="F3799" s="1078"/>
      <c r="G3799" s="1074"/>
      <c r="H3799" s="1075"/>
      <c r="I3799" s="1076"/>
      <c r="J3799" s="1077"/>
    </row>
    <row r="3800" spans="1:15" ht="12.6" customHeight="1">
      <c r="A3800" s="1075"/>
      <c r="B3800" s="1075"/>
      <c r="C3800" s="1079"/>
      <c r="D3800" s="1080"/>
      <c r="E3800" s="1075"/>
      <c r="F3800" s="1081"/>
      <c r="G3800" s="1075"/>
      <c r="H3800" s="1075"/>
      <c r="I3800" s="1079"/>
      <c r="J3800" s="1080"/>
    </row>
    <row r="3801" spans="1:15" ht="15" customHeight="1">
      <c r="A3801" s="2242"/>
      <c r="B3801" s="2242"/>
      <c r="C3801" s="2242"/>
      <c r="D3801" s="2242"/>
      <c r="E3801" s="1050"/>
      <c r="F3801" s="1051"/>
      <c r="G3801" s="2242"/>
      <c r="H3801" s="2242"/>
      <c r="I3801" s="2242"/>
      <c r="J3801" s="2242"/>
      <c r="K3801" s="624"/>
    </row>
    <row r="3802" spans="1:15" ht="15" customHeight="1">
      <c r="A3802" s="2242" t="str">
        <f>$K$2</f>
        <v>THÁNG 04/2025</v>
      </c>
      <c r="B3802" s="2242"/>
      <c r="C3802" s="2242"/>
      <c r="D3802" s="2242"/>
      <c r="E3802" s="1054"/>
      <c r="F3802" s="1055"/>
      <c r="G3802" s="2242" t="str">
        <f>$K$2</f>
        <v>THÁNG 04/2025</v>
      </c>
      <c r="H3802" s="2242"/>
      <c r="I3802" s="2242"/>
      <c r="J3802" s="2242"/>
      <c r="L3802" s="1088"/>
      <c r="M3802" s="1088"/>
      <c r="N3802" s="1088"/>
      <c r="O3802" s="1088"/>
    </row>
    <row r="3803" spans="1:15" ht="15" customHeight="1">
      <c r="A3803" s="1052" t="s">
        <v>356</v>
      </c>
      <c r="B3803" s="1053" t="s">
        <v>347</v>
      </c>
      <c r="C3803" s="869"/>
      <c r="D3803" s="1049"/>
      <c r="E3803" s="1060"/>
      <c r="F3803" s="1060"/>
      <c r="G3803" s="1052" t="s">
        <v>356</v>
      </c>
      <c r="H3803" s="1053" t="s">
        <v>348</v>
      </c>
      <c r="I3803" s="869"/>
      <c r="J3803" s="1049"/>
      <c r="K3803" s="1085"/>
      <c r="L3803" s="1085"/>
      <c r="M3803" s="1085"/>
      <c r="N3803" s="1085"/>
      <c r="O3803" s="1085"/>
    </row>
    <row r="3804" spans="1:15" ht="15" customHeight="1">
      <c r="A3804" s="1056" t="s">
        <v>359</v>
      </c>
      <c r="B3804" s="1057" t="s">
        <v>2662</v>
      </c>
      <c r="C3804" s="1058" t="e">
        <f>VLOOKUP(B3803,'LƯƠNG KT'!$D$15:$R$94,4,0)</f>
        <v>#N/A</v>
      </c>
      <c r="D3804" s="1059" t="e">
        <f>+C3804*25000</f>
        <v>#N/A</v>
      </c>
      <c r="E3804" s="1060"/>
      <c r="F3804" s="1060"/>
      <c r="G3804" s="1056" t="s">
        <v>359</v>
      </c>
      <c r="H3804" s="1057" t="s">
        <v>2662</v>
      </c>
      <c r="I3804" s="1058" t="e">
        <f>VLOOKUP(H3803,'LƯƠNG KT'!$D$15:$R$94,4,0)</f>
        <v>#N/A</v>
      </c>
      <c r="J3804" s="1059" t="e">
        <f>+I3804*25000</f>
        <v>#N/A</v>
      </c>
      <c r="K3804" s="1085"/>
      <c r="L3804" s="1085"/>
      <c r="M3804" s="1085"/>
      <c r="N3804" s="1085"/>
      <c r="O3804" s="1085"/>
    </row>
    <row r="3805" spans="1:15" ht="15" customHeight="1">
      <c r="A3805" s="1056" t="s">
        <v>361</v>
      </c>
      <c r="B3805" s="1057" t="s">
        <v>2663</v>
      </c>
      <c r="C3805" s="1058" t="e">
        <f>VLOOKUP(B3803,'LƯƠNG KT'!$D$15:$R$94,15,0)</f>
        <v>#N/A</v>
      </c>
      <c r="D3805" s="1059" t="e">
        <f>C3805*$L$4</f>
        <v>#N/A</v>
      </c>
      <c r="E3805" s="1061"/>
      <c r="F3805" s="1061"/>
      <c r="G3805" s="1056" t="s">
        <v>361</v>
      </c>
      <c r="H3805" s="1057" t="s">
        <v>2663</v>
      </c>
      <c r="I3805" s="1058" t="e">
        <f>VLOOKUP(H3803,'LƯƠNG KT'!$D$15:$R$94,15,0)</f>
        <v>#N/A</v>
      </c>
      <c r="J3805" s="1059" t="e">
        <f>I3805*$L$4</f>
        <v>#N/A</v>
      </c>
      <c r="K3805" s="1085"/>
      <c r="L3805" s="1085"/>
      <c r="M3805" s="1085"/>
      <c r="N3805" s="1085"/>
      <c r="O3805" s="1085"/>
    </row>
    <row r="3806" spans="1:15" ht="15" customHeight="1">
      <c r="A3806" s="1056" t="s">
        <v>364</v>
      </c>
      <c r="B3806" s="1057" t="s">
        <v>2664</v>
      </c>
      <c r="C3806" s="1058" t="e">
        <f>VLOOKUP(B3803,'LƯƠNG KT'!$D$15:$R$94,16,0)</f>
        <v>#N/A</v>
      </c>
      <c r="D3806" s="1059" t="e">
        <f>C3806*$L$5</f>
        <v>#N/A</v>
      </c>
      <c r="E3806" s="1061"/>
      <c r="F3806" s="1061"/>
      <c r="G3806" s="1056" t="s">
        <v>364</v>
      </c>
      <c r="H3806" s="1057" t="s">
        <v>2664</v>
      </c>
      <c r="I3806" s="1058" t="e">
        <f>VLOOKUP(H3803,'LƯƠNG KT'!$D$15:$R$94,16,0)</f>
        <v>#N/A</v>
      </c>
      <c r="J3806" s="1059" t="e">
        <f>I3806*$L$5</f>
        <v>#N/A</v>
      </c>
      <c r="K3806" s="1085"/>
      <c r="L3806" s="1085"/>
      <c r="M3806" s="1085"/>
      <c r="N3806" s="1085"/>
      <c r="O3806" s="1085"/>
    </row>
    <row r="3807" spans="1:15" ht="15" customHeight="1">
      <c r="A3807" s="1056" t="s">
        <v>370</v>
      </c>
      <c r="B3807" s="1057" t="s">
        <v>2665</v>
      </c>
      <c r="C3807" s="1058" t="e">
        <f>VLOOKUP(B3803,'LƯƠNG KT'!$D$15:$R$94,24,0)</f>
        <v>#N/A</v>
      </c>
      <c r="D3807" s="1059" t="e">
        <f>+C3807*$L$6</f>
        <v>#N/A</v>
      </c>
      <c r="E3807" s="1061"/>
      <c r="F3807" s="1061"/>
      <c r="G3807" s="1056" t="s">
        <v>370</v>
      </c>
      <c r="H3807" s="1057" t="s">
        <v>2665</v>
      </c>
      <c r="I3807" s="1058" t="e">
        <f>VLOOKUP(H3803,'LƯƠNG KT'!$D$15:$R$94,24,0)</f>
        <v>#N/A</v>
      </c>
      <c r="J3807" s="1059" t="e">
        <f>+I3807*$L$6</f>
        <v>#N/A</v>
      </c>
      <c r="K3807" s="1085"/>
      <c r="L3807" s="1085"/>
      <c r="M3807" s="1085"/>
      <c r="N3807" s="1085"/>
      <c r="O3807" s="1085"/>
    </row>
    <row r="3808" spans="1:15" ht="15" customHeight="1">
      <c r="A3808" s="1056" t="s">
        <v>2666</v>
      </c>
      <c r="B3808" s="1057" t="s">
        <v>2667</v>
      </c>
      <c r="C3808" s="1058" t="e">
        <f>VLOOKUP(B3803,'LƯƠNG KT'!$D$15:$R$94,19,0)</f>
        <v>#N/A</v>
      </c>
      <c r="D3808" s="1059" t="e">
        <f>+C3808*$L$8</f>
        <v>#N/A</v>
      </c>
      <c r="E3808" s="1061"/>
      <c r="F3808" s="1061"/>
      <c r="G3808" s="1056" t="s">
        <v>2666</v>
      </c>
      <c r="H3808" s="1057" t="s">
        <v>2667</v>
      </c>
      <c r="I3808" s="1058" t="e">
        <f>VLOOKUP(H3803,'LƯƠNG KT'!$D$15:$R$94,19,0)</f>
        <v>#N/A</v>
      </c>
      <c r="J3808" s="1059" t="e">
        <f>+I3808*$L$8</f>
        <v>#N/A</v>
      </c>
      <c r="K3808" s="1085"/>
      <c r="L3808" s="1085"/>
      <c r="M3808" s="1085"/>
      <c r="N3808" s="1085"/>
      <c r="O3808" s="1085"/>
    </row>
    <row r="3809" spans="1:15" ht="15" customHeight="1">
      <c r="A3809" s="1056" t="s">
        <v>2668</v>
      </c>
      <c r="B3809" s="1062" t="s">
        <v>2669</v>
      </c>
      <c r="C3809" s="1058" t="e">
        <f>VLOOKUP(B3803,'LƯƠNG KT'!$D$15:$R$94,20,0)</f>
        <v>#N/A</v>
      </c>
      <c r="D3809" s="1059" t="e">
        <f>+C3809*$L$9</f>
        <v>#N/A</v>
      </c>
      <c r="E3809" s="1061"/>
      <c r="F3809" s="1061"/>
      <c r="G3809" s="1056" t="s">
        <v>2668</v>
      </c>
      <c r="H3809" s="1062" t="s">
        <v>2669</v>
      </c>
      <c r="I3809" s="1058" t="e">
        <f>VLOOKUP(H3803,'LƯƠNG KT'!$D$15:$R$94,20,0)</f>
        <v>#N/A</v>
      </c>
      <c r="J3809" s="1059" t="e">
        <f>+I3809*$L$9</f>
        <v>#N/A</v>
      </c>
      <c r="K3809" s="1085"/>
      <c r="L3809" s="1085"/>
      <c r="M3809" s="1085"/>
      <c r="N3809" s="1085"/>
      <c r="O3809" s="1085"/>
    </row>
    <row r="3810" spans="1:15" ht="15" customHeight="1">
      <c r="A3810" s="1056" t="s">
        <v>2671</v>
      </c>
      <c r="B3810" s="1057" t="s">
        <v>2672</v>
      </c>
      <c r="C3810" s="1058" t="e">
        <f>VLOOKUP(B3803,'LƯƠNG KT'!$D$15:$R$94,17,0)</f>
        <v>#N/A</v>
      </c>
      <c r="D3810" s="1059" t="e">
        <f>+C3810*$L$10</f>
        <v>#N/A</v>
      </c>
      <c r="E3810" s="1061"/>
      <c r="F3810" s="1061"/>
      <c r="G3810" s="1056" t="s">
        <v>2671</v>
      </c>
      <c r="H3810" s="1057" t="s">
        <v>2672</v>
      </c>
      <c r="I3810" s="1058" t="e">
        <f>VLOOKUP(H3803,'LƯƠNG KT'!$D$15:$R$94,17,0)</f>
        <v>#N/A</v>
      </c>
      <c r="J3810" s="1059" t="e">
        <f>+I3810*$L$10</f>
        <v>#N/A</v>
      </c>
      <c r="K3810" s="1085"/>
      <c r="L3810" s="1085"/>
      <c r="M3810" s="1085"/>
      <c r="N3810" s="1085"/>
      <c r="O3810" s="1085"/>
    </row>
    <row r="3811" spans="1:15" ht="15" customHeight="1">
      <c r="A3811" s="1056" t="s">
        <v>2693</v>
      </c>
      <c r="B3811" s="1062" t="s">
        <v>2692</v>
      </c>
      <c r="C3811" s="1058" t="e">
        <f>VLOOKUP(B3803,'LƯƠNG KT'!$D$15:$R$94,21,0)</f>
        <v>#N/A</v>
      </c>
      <c r="D3811" s="1059" t="e">
        <f>+C3811*$L$7</f>
        <v>#N/A</v>
      </c>
      <c r="E3811" s="1061"/>
      <c r="F3811" s="1061"/>
      <c r="G3811" s="1056" t="s">
        <v>2693</v>
      </c>
      <c r="H3811" s="1062" t="s">
        <v>2692</v>
      </c>
      <c r="I3811" s="1058" t="e">
        <f>VLOOKUP(H3803,'LƯƠNG KT'!$D$15:$R$94,21,0)</f>
        <v>#N/A</v>
      </c>
      <c r="J3811" s="1059" t="e">
        <f>+I3811*$L$7</f>
        <v>#N/A</v>
      </c>
    </row>
    <row r="3812" spans="1:15" ht="15" customHeight="1">
      <c r="A3812" s="1056" t="s">
        <v>2694</v>
      </c>
      <c r="B3812" s="1057" t="s">
        <v>2684</v>
      </c>
      <c r="C3812" s="1058" t="e">
        <f>VLOOKUP(B3803,'LƯƠNG KT'!$D$15:$R$94,23,0)</f>
        <v>#N/A</v>
      </c>
      <c r="D3812" s="1059" t="e">
        <f>+C3812*20000</f>
        <v>#N/A</v>
      </c>
      <c r="E3812" s="1063"/>
      <c r="F3812" s="1061"/>
      <c r="G3812" s="1056" t="s">
        <v>2694</v>
      </c>
      <c r="H3812" s="1057" t="s">
        <v>2684</v>
      </c>
      <c r="I3812" s="1058" t="e">
        <f>VLOOKUP(H3803,'LƯƠNG KT'!$D$15:$R$94,23,0)</f>
        <v>#N/A</v>
      </c>
      <c r="J3812" s="1059" t="e">
        <f>+I3812*20000</f>
        <v>#N/A</v>
      </c>
    </row>
    <row r="3813" spans="1:15" ht="15" customHeight="1">
      <c r="A3813" s="1056" t="s">
        <v>374</v>
      </c>
      <c r="B3813" s="1057" t="s">
        <v>2674</v>
      </c>
      <c r="C3813" s="1058" t="e">
        <f>VLOOKUP(B3803,'LƯƠNG KT'!$D$15:$R$94,12,0)</f>
        <v>#N/A</v>
      </c>
      <c r="D3813" s="1059" t="e">
        <f>VLOOKUP(B3803,'LƯƠNG KT'!$D$15:$R$94,14,0)</f>
        <v>#N/A</v>
      </c>
      <c r="E3813" s="1065"/>
      <c r="F3813" s="1065"/>
      <c r="G3813" s="1056" t="s">
        <v>374</v>
      </c>
      <c r="H3813" s="1057" t="s">
        <v>2674</v>
      </c>
      <c r="I3813" s="1058" t="e">
        <f>VLOOKUP(H3803,'LƯƠNG KT'!$D$15:$R$94,12,0)</f>
        <v>#N/A</v>
      </c>
      <c r="J3813" s="1059" t="e">
        <f>VLOOKUP(H3803,'LƯƠNG KT'!$D$15:$R$94,14,0)</f>
        <v>#N/A</v>
      </c>
    </row>
    <row r="3814" spans="1:15" ht="18.75" customHeight="1">
      <c r="A3814" s="1056" t="s">
        <v>2675</v>
      </c>
      <c r="B3814" s="1057" t="s">
        <v>2676</v>
      </c>
      <c r="D3814" s="1064" t="e">
        <f>VLOOKUP(B3803,'LƯƠNG KT'!$D$15:$R$94,13,0)</f>
        <v>#N/A</v>
      </c>
      <c r="E3814" s="1063"/>
      <c r="F3814" s="1065"/>
      <c r="G3814" s="1056" t="s">
        <v>2675</v>
      </c>
      <c r="H3814" s="1057" t="s">
        <v>2676</v>
      </c>
      <c r="J3814" s="1064" t="e">
        <f>VLOOKUP(H3803,'LƯƠNG KT'!$D$15:$R$94,13,0)</f>
        <v>#N/A</v>
      </c>
    </row>
    <row r="3815" spans="1:15" ht="18.75" customHeight="1">
      <c r="A3815" s="1052"/>
      <c r="B3815" s="869"/>
      <c r="C3815" s="1058"/>
      <c r="D3815" s="1059"/>
      <c r="E3815" s="1067"/>
      <c r="F3815" s="1051"/>
      <c r="G3815" s="1052"/>
      <c r="H3815" s="869"/>
      <c r="I3815" s="1058"/>
      <c r="J3815" s="1059"/>
    </row>
    <row r="3816" spans="1:15" ht="15" customHeight="1">
      <c r="A3816" s="1068" t="s">
        <v>383</v>
      </c>
      <c r="B3816" s="1069" t="s">
        <v>384</v>
      </c>
      <c r="C3816" s="1070"/>
      <c r="D3816" s="1071" t="e">
        <f>SUM(D3804:D3813)</f>
        <v>#N/A</v>
      </c>
      <c r="E3816" s="1072"/>
      <c r="F3816" s="1073"/>
      <c r="G3816" s="1068" t="s">
        <v>383</v>
      </c>
      <c r="H3816" s="1069" t="s">
        <v>384</v>
      </c>
      <c r="I3816" s="1070"/>
      <c r="J3816" s="1071" t="e">
        <f>SUM(J3804:J3813)</f>
        <v>#N/A</v>
      </c>
      <c r="K3816" s="624"/>
    </row>
    <row r="3817" spans="1:15" ht="15" customHeight="1">
      <c r="A3817" s="1052"/>
      <c r="B3817" s="1053"/>
      <c r="C3817" s="869"/>
      <c r="D3817" s="1049"/>
      <c r="E3817" s="1054"/>
      <c r="F3817" s="1055"/>
      <c r="G3817" s="1052"/>
      <c r="H3817" s="1053"/>
      <c r="I3817" s="869"/>
      <c r="J3817" s="1049"/>
      <c r="L3817" s="1088"/>
      <c r="M3817" s="1088"/>
      <c r="N3817" s="1088"/>
      <c r="O3817" s="1088"/>
    </row>
    <row r="3818" spans="1:15" ht="15" customHeight="1">
      <c r="A3818" s="2242" t="str">
        <f>$K$2</f>
        <v>THÁNG 04/2025</v>
      </c>
      <c r="B3818" s="2242"/>
      <c r="C3818" s="2242"/>
      <c r="D3818" s="2242"/>
      <c r="E3818" s="1060"/>
      <c r="F3818" s="1060"/>
      <c r="G3818" s="2242" t="str">
        <f>$K$2</f>
        <v>THÁNG 04/2025</v>
      </c>
      <c r="H3818" s="2242"/>
      <c r="I3818" s="2242"/>
      <c r="J3818" s="2242"/>
      <c r="K3818" s="1085"/>
      <c r="L3818" s="1085"/>
      <c r="M3818" s="1085"/>
      <c r="N3818" s="1085"/>
      <c r="O3818" s="1085"/>
    </row>
    <row r="3819" spans="1:15" ht="15" customHeight="1">
      <c r="A3819" s="1052" t="s">
        <v>356</v>
      </c>
      <c r="B3819" s="1053" t="s">
        <v>306</v>
      </c>
      <c r="C3819" s="869"/>
      <c r="D3819" s="1049"/>
      <c r="E3819" s="1061"/>
      <c r="F3819" s="1061"/>
      <c r="G3819" s="1052" t="s">
        <v>356</v>
      </c>
      <c r="H3819" s="1053" t="s">
        <v>307</v>
      </c>
      <c r="I3819" s="869"/>
      <c r="J3819" s="1049"/>
      <c r="K3819" s="1085"/>
      <c r="L3819" s="1085"/>
      <c r="M3819" s="1085"/>
      <c r="N3819" s="1085"/>
      <c r="O3819" s="1085"/>
    </row>
    <row r="3820" spans="1:15" ht="15" customHeight="1">
      <c r="A3820" s="1056" t="s">
        <v>359</v>
      </c>
      <c r="B3820" s="1057" t="s">
        <v>2662</v>
      </c>
      <c r="C3820" s="1058" t="e">
        <f>VLOOKUP(B3819,'LƯƠNG KT'!$D$15:$R$94,4,0)</f>
        <v>#N/A</v>
      </c>
      <c r="D3820" s="1059" t="e">
        <f>+C3820*25000</f>
        <v>#N/A</v>
      </c>
      <c r="E3820" s="1061"/>
      <c r="F3820" s="1061"/>
      <c r="G3820" s="1056" t="s">
        <v>359</v>
      </c>
      <c r="H3820" s="1057" t="s">
        <v>2662</v>
      </c>
      <c r="I3820" s="1058" t="e">
        <f>VLOOKUP(H3819,'LƯƠNG KT'!$D$15:$R$94,4,0)</f>
        <v>#N/A</v>
      </c>
      <c r="J3820" s="1059" t="e">
        <f>+I3820*25000</f>
        <v>#N/A</v>
      </c>
      <c r="K3820" s="1085"/>
      <c r="L3820" s="1085"/>
      <c r="M3820" s="1085"/>
      <c r="N3820" s="1085"/>
      <c r="O3820" s="1085"/>
    </row>
    <row r="3821" spans="1:15" ht="15" customHeight="1">
      <c r="A3821" s="1056" t="s">
        <v>361</v>
      </c>
      <c r="B3821" s="1057" t="s">
        <v>2663</v>
      </c>
      <c r="C3821" s="1058" t="e">
        <f>VLOOKUP(B3819,'LƯƠNG KT'!$D$15:$R$94,15,0)</f>
        <v>#N/A</v>
      </c>
      <c r="D3821" s="1059" t="e">
        <f>C3821*$L$4</f>
        <v>#N/A</v>
      </c>
      <c r="E3821" s="1061"/>
      <c r="F3821" s="1061"/>
      <c r="G3821" s="1056" t="s">
        <v>361</v>
      </c>
      <c r="H3821" s="1057" t="s">
        <v>2663</v>
      </c>
      <c r="I3821" s="1058" t="e">
        <f>VLOOKUP(H3819,'LƯƠNG KT'!$D$15:$R$94,15,0)</f>
        <v>#N/A</v>
      </c>
      <c r="J3821" s="1059" t="e">
        <f>I3821*$L$4</f>
        <v>#N/A</v>
      </c>
      <c r="K3821" s="1085"/>
      <c r="L3821" s="1085"/>
      <c r="M3821" s="1085"/>
      <c r="N3821" s="1085"/>
      <c r="O3821" s="1085"/>
    </row>
    <row r="3822" spans="1:15" ht="15" customHeight="1">
      <c r="A3822" s="1056" t="s">
        <v>364</v>
      </c>
      <c r="B3822" s="1057" t="s">
        <v>2664</v>
      </c>
      <c r="C3822" s="1058" t="e">
        <f>VLOOKUP(B3819,'LƯƠNG KT'!$D$15:$R$94,16,0)</f>
        <v>#N/A</v>
      </c>
      <c r="D3822" s="1059" t="e">
        <f>C3822*$L$5</f>
        <v>#N/A</v>
      </c>
      <c r="E3822" s="1061"/>
      <c r="F3822" s="1061"/>
      <c r="G3822" s="1056" t="s">
        <v>364</v>
      </c>
      <c r="H3822" s="1057" t="s">
        <v>2664</v>
      </c>
      <c r="I3822" s="1058" t="e">
        <f>VLOOKUP(H3819,'LƯƠNG KT'!$D$15:$R$94,16,0)</f>
        <v>#N/A</v>
      </c>
      <c r="J3822" s="1059" t="e">
        <f>I3822*$L$5</f>
        <v>#N/A</v>
      </c>
      <c r="K3822" s="1085"/>
      <c r="L3822" s="1085"/>
      <c r="M3822" s="1085"/>
      <c r="N3822" s="1085"/>
      <c r="O3822" s="1085"/>
    </row>
    <row r="3823" spans="1:15" ht="15" customHeight="1">
      <c r="A3823" s="1056" t="s">
        <v>370</v>
      </c>
      <c r="B3823" s="1057" t="s">
        <v>2665</v>
      </c>
      <c r="C3823" s="1058" t="e">
        <f>VLOOKUP(B3819,'LƯƠNG KT'!$D$15:$R$94,24,0)</f>
        <v>#N/A</v>
      </c>
      <c r="D3823" s="1059" t="e">
        <f>+C3823*$L$6</f>
        <v>#N/A</v>
      </c>
      <c r="E3823" s="1063"/>
      <c r="F3823" s="1061"/>
      <c r="G3823" s="1056" t="s">
        <v>370</v>
      </c>
      <c r="H3823" s="1057" t="s">
        <v>2665</v>
      </c>
      <c r="I3823" s="1058" t="e">
        <f>VLOOKUP(H3819,'LƯƠNG KT'!$D$15:$R$94,24,0)</f>
        <v>#N/A</v>
      </c>
      <c r="J3823" s="1059" t="e">
        <f>+I3823*$L$6</f>
        <v>#N/A</v>
      </c>
      <c r="K3823" s="1085"/>
      <c r="L3823" s="1085"/>
      <c r="M3823" s="1085"/>
      <c r="N3823" s="1085"/>
      <c r="O3823" s="1085"/>
    </row>
    <row r="3824" spans="1:15" ht="15" customHeight="1">
      <c r="A3824" s="1056" t="s">
        <v>2666</v>
      </c>
      <c r="B3824" s="1057" t="s">
        <v>2667</v>
      </c>
      <c r="C3824" s="1058" t="e">
        <f>VLOOKUP(B3819,'LƯƠNG KT'!$D$15:$R$94,19,0)</f>
        <v>#N/A</v>
      </c>
      <c r="D3824" s="1059" t="e">
        <f>+C3824*$L$8</f>
        <v>#N/A</v>
      </c>
      <c r="E3824" s="1065"/>
      <c r="F3824" s="1065"/>
      <c r="G3824" s="1056" t="s">
        <v>2666</v>
      </c>
      <c r="H3824" s="1057" t="s">
        <v>2667</v>
      </c>
      <c r="I3824" s="1058" t="e">
        <f>VLOOKUP(H3819,'LƯƠNG KT'!$D$15:$R$94,19,0)</f>
        <v>#N/A</v>
      </c>
      <c r="J3824" s="1059" t="e">
        <f>+I3824*$L$8</f>
        <v>#N/A</v>
      </c>
    </row>
    <row r="3825" spans="1:15" ht="15" customHeight="1">
      <c r="A3825" s="1056" t="s">
        <v>2668</v>
      </c>
      <c r="B3825" s="1062" t="s">
        <v>2669</v>
      </c>
      <c r="C3825" s="1058" t="e">
        <f>VLOOKUP(B3819,'LƯƠNG KT'!$D$15:$R$94,20,0)</f>
        <v>#N/A</v>
      </c>
      <c r="D3825" s="1059" t="e">
        <f>+C3825*$L$9</f>
        <v>#N/A</v>
      </c>
      <c r="E3825" s="1063"/>
      <c r="F3825" s="1065"/>
      <c r="G3825" s="1056" t="s">
        <v>2668</v>
      </c>
      <c r="H3825" s="1062" t="s">
        <v>2669</v>
      </c>
      <c r="I3825" s="1058" t="e">
        <f>VLOOKUP(H3819,'LƯƠNG KT'!$D$15:$R$94,20,0)</f>
        <v>#N/A</v>
      </c>
      <c r="J3825" s="1059" t="e">
        <f>+I3825*$L$9</f>
        <v>#N/A</v>
      </c>
    </row>
    <row r="3826" spans="1:15" ht="15" customHeight="1">
      <c r="A3826" s="1056" t="s">
        <v>2671</v>
      </c>
      <c r="B3826" s="1057" t="s">
        <v>2672</v>
      </c>
      <c r="C3826" s="1058" t="e">
        <f>VLOOKUP(B3819,'LƯƠNG KT'!$D$15:$R$94,17,0)</f>
        <v>#N/A</v>
      </c>
      <c r="D3826" s="1059" t="e">
        <f>+C3826*$L$10</f>
        <v>#N/A</v>
      </c>
      <c r="E3826" s="1067"/>
      <c r="F3826" s="1051"/>
      <c r="G3826" s="1056" t="s">
        <v>2671</v>
      </c>
      <c r="H3826" s="1057" t="s">
        <v>2672</v>
      </c>
      <c r="I3826" s="1058" t="e">
        <f>VLOOKUP(H3819,'LƯƠNG KT'!$D$15:$R$94,17,0)</f>
        <v>#N/A</v>
      </c>
      <c r="J3826" s="1059" t="e">
        <f>+I3826*$L$10</f>
        <v>#N/A</v>
      </c>
    </row>
    <row r="3827" spans="1:15" ht="15" customHeight="1">
      <c r="A3827" s="1056" t="s">
        <v>2693</v>
      </c>
      <c r="B3827" s="1062" t="s">
        <v>2692</v>
      </c>
      <c r="C3827" s="1058" t="e">
        <f>VLOOKUP(B3819,'LƯƠNG KT'!$D$15:$R$94,21,0)</f>
        <v>#N/A</v>
      </c>
      <c r="D3827" s="1059" t="e">
        <f>+C3827*$L$7</f>
        <v>#N/A</v>
      </c>
      <c r="E3827" s="1072"/>
      <c r="F3827" s="1073"/>
      <c r="G3827" s="1056" t="s">
        <v>2693</v>
      </c>
      <c r="H3827" s="1062" t="s">
        <v>2692</v>
      </c>
      <c r="I3827" s="1058" t="e">
        <f>VLOOKUP(H3819,'LƯƠNG KT'!$D$15:$R$94,21,0)</f>
        <v>#N/A</v>
      </c>
      <c r="J3827" s="1059" t="e">
        <f>+I3827*$L$7</f>
        <v>#N/A</v>
      </c>
      <c r="K3827" s="1090"/>
      <c r="L3827" s="1090"/>
      <c r="M3827" s="1090"/>
      <c r="N3827" s="1090"/>
      <c r="O3827" s="1090"/>
    </row>
    <row r="3828" spans="1:15" ht="18.75" customHeight="1">
      <c r="A3828" s="1056" t="s">
        <v>2694</v>
      </c>
      <c r="B3828" s="1057" t="s">
        <v>2684</v>
      </c>
      <c r="C3828" s="1058" t="e">
        <f>VLOOKUP(B3819,'LƯƠNG KT'!$D$15:$R$94,23,0)</f>
        <v>#N/A</v>
      </c>
      <c r="D3828" s="1059" t="e">
        <f>+C3828*20000</f>
        <v>#N/A</v>
      </c>
      <c r="E3828" s="1077"/>
      <c r="F3828" s="1078"/>
      <c r="G3828" s="1056" t="s">
        <v>2694</v>
      </c>
      <c r="H3828" s="1057" t="s">
        <v>2684</v>
      </c>
      <c r="I3828" s="1058" t="e">
        <f>VLOOKUP(H3819,'LƯƠNG KT'!$D$15:$R$94,23,0)</f>
        <v>#N/A</v>
      </c>
      <c r="J3828" s="1059" t="e">
        <f>+I3828*20000</f>
        <v>#N/A</v>
      </c>
    </row>
    <row r="3829" spans="1:15" ht="18.75" customHeight="1">
      <c r="A3829" s="1056" t="s">
        <v>374</v>
      </c>
      <c r="B3829" s="1057" t="s">
        <v>2674</v>
      </c>
      <c r="C3829" s="1058" t="e">
        <f>VLOOKUP(B3819,'LƯƠNG KT'!$D$15:$R$94,12,0)</f>
        <v>#N/A</v>
      </c>
      <c r="D3829" s="1059" t="e">
        <f>VLOOKUP(B3819,'LƯƠNG KT'!$D$15:$R$94,14,0)</f>
        <v>#N/A</v>
      </c>
      <c r="E3829" s="1075"/>
      <c r="F3829" s="1081"/>
      <c r="G3829" s="1056" t="s">
        <v>374</v>
      </c>
      <c r="H3829" s="1057" t="s">
        <v>2674</v>
      </c>
      <c r="I3829" s="1058" t="e">
        <f>VLOOKUP(H3819,'LƯƠNG KT'!$D$15:$R$94,12,0)</f>
        <v>#N/A</v>
      </c>
      <c r="J3829" s="1059" t="e">
        <f>VLOOKUP(H3819,'LƯƠNG KT'!$D$15:$R$94,14,0)</f>
        <v>#N/A</v>
      </c>
    </row>
    <row r="3830" spans="1:15" ht="18.75" customHeight="1">
      <c r="A3830" s="1056" t="s">
        <v>2675</v>
      </c>
      <c r="B3830" s="1057" t="s">
        <v>2676</v>
      </c>
      <c r="D3830" s="1064" t="e">
        <f>VLOOKUP(B3819,'LƯƠNG KT'!$D$15:$R$94,13,0)</f>
        <v>#N/A</v>
      </c>
      <c r="E3830" s="1075"/>
      <c r="F3830" s="1081"/>
      <c r="G3830" s="1056" t="s">
        <v>2675</v>
      </c>
      <c r="H3830" s="1057" t="s">
        <v>2676</v>
      </c>
      <c r="J3830" s="1064" t="e">
        <f>VLOOKUP(H3819,'LƯƠNG KT'!$D$15:$R$94,13,0)</f>
        <v>#N/A</v>
      </c>
    </row>
    <row r="3831" spans="1:15" ht="15" customHeight="1">
      <c r="A3831" s="1052"/>
      <c r="B3831" s="869"/>
      <c r="C3831" s="1058"/>
      <c r="D3831" s="1059"/>
      <c r="E3831" s="1050"/>
      <c r="F3831" s="1051"/>
      <c r="G3831" s="1052"/>
      <c r="H3831" s="869"/>
      <c r="I3831" s="1058"/>
      <c r="J3831" s="1059"/>
      <c r="K3831" s="624"/>
    </row>
    <row r="3832" spans="1:15" ht="15" customHeight="1">
      <c r="A3832" s="1068" t="s">
        <v>383</v>
      </c>
      <c r="B3832" s="1069" t="s">
        <v>384</v>
      </c>
      <c r="C3832" s="1070"/>
      <c r="D3832" s="1071" t="e">
        <f>SUM(D3820:D3829)</f>
        <v>#N/A</v>
      </c>
      <c r="E3832" s="1054"/>
      <c r="F3832" s="1055"/>
      <c r="G3832" s="1068" t="s">
        <v>383</v>
      </c>
      <c r="H3832" s="1069" t="s">
        <v>384</v>
      </c>
      <c r="I3832" s="1070"/>
      <c r="J3832" s="1071" t="e">
        <f>SUM(J3820:J3829)</f>
        <v>#N/A</v>
      </c>
      <c r="K3832" s="1101"/>
      <c r="L3832" s="1102"/>
      <c r="M3832" s="1102"/>
      <c r="N3832" s="1102"/>
      <c r="O3832" s="1102"/>
    </row>
    <row r="3833" spans="1:15" ht="15" customHeight="1">
      <c r="A3833" s="1052"/>
      <c r="B3833" s="1089"/>
      <c r="C3833" s="1058"/>
      <c r="D3833" s="1059"/>
      <c r="E3833" s="1060"/>
      <c r="F3833" s="1060"/>
      <c r="G3833" s="1052"/>
      <c r="H3833" s="1089"/>
      <c r="I3833" s="1058"/>
      <c r="J3833" s="1059"/>
      <c r="K3833" s="1101"/>
      <c r="L3833" s="1101"/>
      <c r="M3833" s="1101"/>
      <c r="N3833" s="1101"/>
      <c r="O3833" s="1101"/>
    </row>
    <row r="3834" spans="1:15" ht="15" customHeight="1">
      <c r="A3834" s="2242" t="str">
        <f>$K$2</f>
        <v>THÁNG 04/2025</v>
      </c>
      <c r="B3834" s="2242"/>
      <c r="C3834" s="2242"/>
      <c r="D3834" s="2242"/>
      <c r="E3834" s="1060"/>
      <c r="F3834" s="1060"/>
      <c r="G3834" s="2242" t="str">
        <f>$K$2</f>
        <v>THÁNG 04/2025</v>
      </c>
      <c r="H3834" s="2242"/>
      <c r="I3834" s="2242"/>
      <c r="J3834" s="2242"/>
      <c r="K3834" s="1085"/>
      <c r="L3834" s="1085"/>
      <c r="M3834" s="1085"/>
      <c r="N3834" s="1085"/>
      <c r="O3834" s="1085"/>
    </row>
    <row r="3835" spans="1:15" ht="15" customHeight="1">
      <c r="A3835" s="1052" t="s">
        <v>356</v>
      </c>
      <c r="B3835" s="1053" t="s">
        <v>330</v>
      </c>
      <c r="C3835" s="869"/>
      <c r="D3835" s="1049"/>
      <c r="E3835" s="1061"/>
      <c r="F3835" s="1061"/>
      <c r="G3835" s="1052" t="s">
        <v>356</v>
      </c>
      <c r="H3835" s="1053"/>
      <c r="I3835" s="869"/>
      <c r="J3835" s="1049"/>
      <c r="K3835" s="1085"/>
      <c r="L3835" s="1085"/>
      <c r="M3835" s="1085"/>
      <c r="N3835" s="1085"/>
      <c r="O3835" s="1085"/>
    </row>
    <row r="3836" spans="1:15" ht="15" customHeight="1">
      <c r="A3836" s="1056" t="s">
        <v>359</v>
      </c>
      <c r="B3836" s="1057" t="s">
        <v>2662</v>
      </c>
      <c r="C3836" s="1058" t="e">
        <f>VLOOKUP(B3835,'LƯƠNG KT'!$D$15:$R$94,4,0)</f>
        <v>#N/A</v>
      </c>
      <c r="D3836" s="1059" t="e">
        <f>+C3836*25000</f>
        <v>#N/A</v>
      </c>
      <c r="E3836" s="1061"/>
      <c r="F3836" s="1061"/>
      <c r="G3836" s="1056" t="s">
        <v>359</v>
      </c>
      <c r="H3836" s="1057" t="s">
        <v>2662</v>
      </c>
      <c r="I3836" s="1058"/>
      <c r="J3836" s="1059"/>
      <c r="K3836" s="1085"/>
      <c r="L3836" s="1085"/>
      <c r="M3836" s="1085"/>
      <c r="N3836" s="1085"/>
      <c r="O3836" s="1085"/>
    </row>
    <row r="3837" spans="1:15" ht="15" customHeight="1">
      <c r="A3837" s="1056" t="s">
        <v>361</v>
      </c>
      <c r="B3837" s="1057" t="s">
        <v>2663</v>
      </c>
      <c r="C3837" s="1058" t="e">
        <f>VLOOKUP(B3835,'LƯƠNG KT'!$D$15:$R$94,15,0)</f>
        <v>#N/A</v>
      </c>
      <c r="D3837" s="1059" t="e">
        <f>C3837*$L$4</f>
        <v>#N/A</v>
      </c>
      <c r="E3837" s="1061"/>
      <c r="F3837" s="1061"/>
      <c r="G3837" s="1056" t="s">
        <v>361</v>
      </c>
      <c r="H3837" s="1057" t="s">
        <v>2663</v>
      </c>
      <c r="I3837" s="1058"/>
      <c r="J3837" s="1059"/>
      <c r="K3837" s="1085"/>
      <c r="L3837" s="1085"/>
      <c r="M3837" s="1085"/>
      <c r="N3837" s="1085"/>
      <c r="O3837" s="1085"/>
    </row>
    <row r="3838" spans="1:15" ht="15" customHeight="1">
      <c r="A3838" s="1056" t="s">
        <v>364</v>
      </c>
      <c r="B3838" s="1057" t="s">
        <v>2664</v>
      </c>
      <c r="C3838" s="1058" t="e">
        <f>VLOOKUP(B3835,'LƯƠNG KT'!$D$15:$R$94,16,0)</f>
        <v>#N/A</v>
      </c>
      <c r="D3838" s="1059" t="e">
        <f>C3838*$L$5</f>
        <v>#N/A</v>
      </c>
      <c r="E3838" s="1061"/>
      <c r="F3838" s="1061"/>
      <c r="G3838" s="1056" t="s">
        <v>364</v>
      </c>
      <c r="H3838" s="1057" t="s">
        <v>2664</v>
      </c>
      <c r="I3838" s="1058"/>
      <c r="J3838" s="1059"/>
      <c r="K3838" s="1085"/>
      <c r="L3838" s="1085"/>
      <c r="M3838" s="1085"/>
      <c r="N3838" s="1085"/>
      <c r="O3838" s="1085"/>
    </row>
    <row r="3839" spans="1:15" ht="15" customHeight="1">
      <c r="A3839" s="1056" t="s">
        <v>370</v>
      </c>
      <c r="B3839" s="1057" t="s">
        <v>2665</v>
      </c>
      <c r="C3839" s="1058" t="e">
        <f>VLOOKUP(B3835,'LƯƠNG KT'!$D$15:$R$94,24,0)</f>
        <v>#N/A</v>
      </c>
      <c r="D3839" s="1059" t="e">
        <f>+C3839*$L$6</f>
        <v>#N/A</v>
      </c>
      <c r="E3839" s="1063"/>
      <c r="F3839" s="1061"/>
      <c r="G3839" s="1056" t="s">
        <v>370</v>
      </c>
      <c r="H3839" s="1057" t="s">
        <v>2665</v>
      </c>
      <c r="I3839" s="1058"/>
      <c r="J3839" s="1059"/>
      <c r="K3839" s="1085"/>
      <c r="L3839" s="1085"/>
      <c r="M3839" s="1085"/>
      <c r="N3839" s="1085"/>
      <c r="O3839" s="1085"/>
    </row>
    <row r="3840" spans="1:15" ht="15" customHeight="1">
      <c r="A3840" s="1056" t="s">
        <v>2666</v>
      </c>
      <c r="B3840" s="1057" t="s">
        <v>2667</v>
      </c>
      <c r="C3840" s="1058" t="e">
        <f>VLOOKUP(B3835,'LƯƠNG KT'!$D$15:$R$94,19,0)</f>
        <v>#N/A</v>
      </c>
      <c r="D3840" s="1059" t="e">
        <f>+C3840*$L$8</f>
        <v>#N/A</v>
      </c>
      <c r="E3840" s="1065"/>
      <c r="F3840" s="1065"/>
      <c r="G3840" s="1056" t="s">
        <v>2666</v>
      </c>
      <c r="H3840" s="1057" t="s">
        <v>2667</v>
      </c>
      <c r="I3840" s="1058"/>
      <c r="J3840" s="1059"/>
    </row>
    <row r="3841" spans="1:15" ht="15" customHeight="1">
      <c r="A3841" s="1056" t="s">
        <v>2668</v>
      </c>
      <c r="B3841" s="1062" t="s">
        <v>2669</v>
      </c>
      <c r="C3841" s="1058" t="e">
        <f>VLOOKUP(B3835,'LƯƠNG KT'!$D$15:$R$94,20,0)</f>
        <v>#N/A</v>
      </c>
      <c r="D3841" s="1059" t="e">
        <f>+C3841*$L$9</f>
        <v>#N/A</v>
      </c>
      <c r="E3841" s="1063"/>
      <c r="F3841" s="1065"/>
      <c r="G3841" s="1056" t="s">
        <v>2668</v>
      </c>
      <c r="H3841" s="1062" t="s">
        <v>2669</v>
      </c>
      <c r="I3841" s="1058"/>
      <c r="J3841" s="1059"/>
    </row>
    <row r="3842" spans="1:15" ht="15" customHeight="1">
      <c r="A3842" s="1056" t="s">
        <v>2671</v>
      </c>
      <c r="B3842" s="1057" t="s">
        <v>2672</v>
      </c>
      <c r="C3842" s="1058" t="e">
        <f>VLOOKUP(B3835,'LƯƠNG KT'!$D$15:$R$94,17,0)</f>
        <v>#N/A</v>
      </c>
      <c r="D3842" s="1059" t="e">
        <f>+C3842*$L$10</f>
        <v>#N/A</v>
      </c>
      <c r="E3842" s="1067"/>
      <c r="F3842" s="1051"/>
      <c r="G3842" s="1056" t="s">
        <v>2671</v>
      </c>
      <c r="H3842" s="1057" t="s">
        <v>2672</v>
      </c>
      <c r="I3842" s="1058"/>
      <c r="J3842" s="1059"/>
    </row>
    <row r="3843" spans="1:15" ht="15" customHeight="1">
      <c r="A3843" s="1056" t="s">
        <v>2693</v>
      </c>
      <c r="B3843" s="1062" t="s">
        <v>2692</v>
      </c>
      <c r="C3843" s="1058" t="e">
        <f>VLOOKUP(B3835,'LƯƠNG KT'!$D$15:$R$94,21,0)</f>
        <v>#N/A</v>
      </c>
      <c r="D3843" s="1059" t="e">
        <f>+C3843*$L$7</f>
        <v>#N/A</v>
      </c>
      <c r="E3843" s="1072"/>
      <c r="F3843" s="1073"/>
      <c r="G3843" s="1056" t="s">
        <v>2693</v>
      </c>
      <c r="H3843" s="1062" t="s">
        <v>2692</v>
      </c>
      <c r="I3843" s="1058"/>
      <c r="J3843" s="1059"/>
      <c r="K3843" s="1090"/>
      <c r="L3843" s="1090"/>
      <c r="M3843" s="1090"/>
      <c r="N3843" s="1090"/>
      <c r="O3843" s="1090"/>
    </row>
    <row r="3844" spans="1:15" ht="18.75" customHeight="1">
      <c r="A3844" s="1056" t="s">
        <v>2694</v>
      </c>
      <c r="B3844" s="1057" t="s">
        <v>2684</v>
      </c>
      <c r="C3844" s="1058" t="e">
        <f>VLOOKUP(B3835,'LƯƠNG KT'!$D$15:$R$94,23,0)</f>
        <v>#N/A</v>
      </c>
      <c r="D3844" s="1059" t="e">
        <f>+C3844*20000</f>
        <v>#N/A</v>
      </c>
      <c r="E3844" s="1077"/>
      <c r="F3844" s="1078"/>
      <c r="G3844" s="1056" t="s">
        <v>2694</v>
      </c>
      <c r="H3844" s="1057" t="s">
        <v>2684</v>
      </c>
      <c r="I3844" s="1058"/>
      <c r="J3844" s="1059"/>
    </row>
    <row r="3845" spans="1:15" ht="18.75" customHeight="1">
      <c r="A3845" s="1056" t="s">
        <v>374</v>
      </c>
      <c r="B3845" s="1057" t="s">
        <v>2674</v>
      </c>
      <c r="C3845" s="1058" t="e">
        <f>VLOOKUP(B3835,'LƯƠNG KT'!$D$15:$R$94,12,0)</f>
        <v>#N/A</v>
      </c>
      <c r="D3845" s="1059" t="e">
        <f>VLOOKUP(B3835,'LƯƠNG KT'!$D$15:$R$94,14,0)</f>
        <v>#N/A</v>
      </c>
      <c r="E3845" s="1075"/>
      <c r="F3845" s="1081"/>
      <c r="G3845" s="1056" t="s">
        <v>374</v>
      </c>
      <c r="H3845" s="1057" t="s">
        <v>2674</v>
      </c>
      <c r="I3845" s="1058"/>
      <c r="J3845" s="1059"/>
    </row>
    <row r="3846" spans="1:15" ht="18.75" customHeight="1">
      <c r="A3846" s="1056" t="s">
        <v>2675</v>
      </c>
      <c r="B3846" s="1057" t="s">
        <v>2676</v>
      </c>
      <c r="D3846" s="1064" t="e">
        <f>VLOOKUP(B3835,'LƯƠNG KT'!$D$15:$R$94,13,0)</f>
        <v>#N/A</v>
      </c>
      <c r="E3846" s="1075"/>
      <c r="F3846" s="1081"/>
      <c r="G3846" s="1056" t="s">
        <v>2675</v>
      </c>
      <c r="H3846" s="1057" t="s">
        <v>2676</v>
      </c>
      <c r="J3846" s="1064"/>
    </row>
    <row r="3847" spans="1:15" ht="15" customHeight="1">
      <c r="A3847" s="1052"/>
      <c r="B3847" s="869"/>
      <c r="C3847" s="1058"/>
      <c r="D3847" s="1059"/>
      <c r="E3847" s="1050"/>
      <c r="F3847" s="1051"/>
      <c r="G3847" s="1052"/>
      <c r="H3847" s="869"/>
      <c r="I3847" s="1058"/>
      <c r="J3847" s="1059"/>
      <c r="K3847" s="624"/>
    </row>
    <row r="3848" spans="1:15" ht="15" customHeight="1">
      <c r="A3848" s="1068" t="s">
        <v>383</v>
      </c>
      <c r="B3848" s="1069" t="s">
        <v>384</v>
      </c>
      <c r="C3848" s="1070"/>
      <c r="D3848" s="1071" t="e">
        <f>SUM(D3836:D3845)</f>
        <v>#N/A</v>
      </c>
      <c r="E3848" s="1054"/>
      <c r="F3848" s="1055"/>
      <c r="G3848" s="1068" t="s">
        <v>383</v>
      </c>
      <c r="H3848" s="1069" t="s">
        <v>384</v>
      </c>
      <c r="I3848" s="1070"/>
      <c r="J3848" s="1071"/>
      <c r="K3848" s="1101"/>
      <c r="L3848" s="1102"/>
      <c r="M3848" s="1102"/>
      <c r="N3848" s="1102"/>
      <c r="O3848" s="1102"/>
    </row>
    <row r="3849" spans="1:15" ht="15" customHeight="1">
      <c r="A3849" s="1052"/>
      <c r="B3849" s="1089"/>
      <c r="C3849" s="1058"/>
      <c r="D3849" s="1059"/>
      <c r="E3849" s="1060"/>
      <c r="F3849" s="1060"/>
      <c r="G3849" s="1052"/>
      <c r="H3849" s="1089"/>
      <c r="I3849" s="1058"/>
      <c r="J3849" s="1059"/>
      <c r="K3849" s="1101"/>
      <c r="L3849" s="1101"/>
      <c r="M3849" s="1101"/>
      <c r="N3849" s="1101"/>
      <c r="O3849" s="1101"/>
    </row>
  </sheetData>
  <mergeCells count="531">
    <mergeCell ref="A1:J1"/>
    <mergeCell ref="A2:D2"/>
    <mergeCell ref="G2:J2"/>
    <mergeCell ref="A18:D18"/>
    <mergeCell ref="G18:J18"/>
    <mergeCell ref="A34:D34"/>
    <mergeCell ref="G34:J34"/>
    <mergeCell ref="A56:D56"/>
    <mergeCell ref="G56:J56"/>
    <mergeCell ref="A72:J72"/>
    <mergeCell ref="A73:D73"/>
    <mergeCell ref="G73:J73"/>
    <mergeCell ref="A89:D89"/>
    <mergeCell ref="G89:J89"/>
    <mergeCell ref="A112:D112"/>
    <mergeCell ref="G112:J112"/>
    <mergeCell ref="A128:D128"/>
    <mergeCell ref="G128:J128"/>
    <mergeCell ref="A144:J144"/>
    <mergeCell ref="A145:D145"/>
    <mergeCell ref="G145:J145"/>
    <mergeCell ref="A171:D171"/>
    <mergeCell ref="G171:J171"/>
    <mergeCell ref="A187:D187"/>
    <mergeCell ref="G187:J187"/>
    <mergeCell ref="A203:D203"/>
    <mergeCell ref="G203:J203"/>
    <mergeCell ref="A219:J219"/>
    <mergeCell ref="A220:D220"/>
    <mergeCell ref="G220:J220"/>
    <mergeCell ref="A236:D236"/>
    <mergeCell ref="G236:J236"/>
    <mergeCell ref="A252:D252"/>
    <mergeCell ref="G252:J252"/>
    <mergeCell ref="A268:D268"/>
    <mergeCell ref="G268:J268"/>
    <mergeCell ref="A284:J284"/>
    <mergeCell ref="A285:D285"/>
    <mergeCell ref="G285:J285"/>
    <mergeCell ref="A301:D301"/>
    <mergeCell ref="G301:J301"/>
    <mergeCell ref="A317:D317"/>
    <mergeCell ref="G317:J317"/>
    <mergeCell ref="A333:D333"/>
    <mergeCell ref="G333:J333"/>
    <mergeCell ref="A349:J349"/>
    <mergeCell ref="A350:D350"/>
    <mergeCell ref="G350:J350"/>
    <mergeCell ref="A366:D366"/>
    <mergeCell ref="G366:J366"/>
    <mergeCell ref="A382:D382"/>
    <mergeCell ref="G382:J382"/>
    <mergeCell ref="A396:D396"/>
    <mergeCell ref="G396:J396"/>
    <mergeCell ref="A410:J410"/>
    <mergeCell ref="A411:D411"/>
    <mergeCell ref="G411:J411"/>
    <mergeCell ref="A425:D425"/>
    <mergeCell ref="G425:J425"/>
    <mergeCell ref="A438:J438"/>
    <mergeCell ref="A439:D439"/>
    <mergeCell ref="G439:J439"/>
    <mergeCell ref="A454:D454"/>
    <mergeCell ref="G454:J454"/>
    <mergeCell ref="A465:J465"/>
    <mergeCell ref="A466:D466"/>
    <mergeCell ref="G466:J466"/>
    <mergeCell ref="A482:D482"/>
    <mergeCell ref="G482:J482"/>
    <mergeCell ref="A498:D498"/>
    <mergeCell ref="G498:J498"/>
    <mergeCell ref="A514:D514"/>
    <mergeCell ref="G514:J514"/>
    <mergeCell ref="A530:J530"/>
    <mergeCell ref="A531:D531"/>
    <mergeCell ref="G531:J531"/>
    <mergeCell ref="A547:D547"/>
    <mergeCell ref="G547:J547"/>
    <mergeCell ref="A563:D563"/>
    <mergeCell ref="G563:J563"/>
    <mergeCell ref="A579:D579"/>
    <mergeCell ref="G579:J579"/>
    <mergeCell ref="A595:J595"/>
    <mergeCell ref="A596:D596"/>
    <mergeCell ref="G596:J596"/>
    <mergeCell ref="A612:D612"/>
    <mergeCell ref="G612:J612"/>
    <mergeCell ref="A628:D628"/>
    <mergeCell ref="G628:J628"/>
    <mergeCell ref="A644:D644"/>
    <mergeCell ref="G644:J644"/>
    <mergeCell ref="A660:J660"/>
    <mergeCell ref="A661:D661"/>
    <mergeCell ref="G661:J661"/>
    <mergeCell ref="A677:D677"/>
    <mergeCell ref="G677:J677"/>
    <mergeCell ref="A693:D693"/>
    <mergeCell ref="G693:J693"/>
    <mergeCell ref="A709:D709"/>
    <mergeCell ref="G709:J709"/>
    <mergeCell ref="A725:J725"/>
    <mergeCell ref="A726:D726"/>
    <mergeCell ref="G726:J726"/>
    <mergeCell ref="A742:D742"/>
    <mergeCell ref="G742:J742"/>
    <mergeCell ref="A758:D758"/>
    <mergeCell ref="G758:J758"/>
    <mergeCell ref="A774:D774"/>
    <mergeCell ref="G774:J774"/>
    <mergeCell ref="A790:J790"/>
    <mergeCell ref="A791:D791"/>
    <mergeCell ref="G791:J791"/>
    <mergeCell ref="A807:D807"/>
    <mergeCell ref="G807:J807"/>
    <mergeCell ref="A823:D823"/>
    <mergeCell ref="G823:J823"/>
    <mergeCell ref="A839:D839"/>
    <mergeCell ref="G839:J839"/>
    <mergeCell ref="A855:J855"/>
    <mergeCell ref="A856:D856"/>
    <mergeCell ref="G856:J856"/>
    <mergeCell ref="A872:D872"/>
    <mergeCell ref="G872:J872"/>
    <mergeCell ref="A888:D888"/>
    <mergeCell ref="G888:J888"/>
    <mergeCell ref="A904:D904"/>
    <mergeCell ref="G904:J904"/>
    <mergeCell ref="A920:J920"/>
    <mergeCell ref="A921:D921"/>
    <mergeCell ref="G921:J921"/>
    <mergeCell ref="A937:D937"/>
    <mergeCell ref="G937:J937"/>
    <mergeCell ref="A953:D953"/>
    <mergeCell ref="G953:J953"/>
    <mergeCell ref="A969:D969"/>
    <mergeCell ref="G969:J969"/>
    <mergeCell ref="A985:J985"/>
    <mergeCell ref="A986:D986"/>
    <mergeCell ref="G986:J986"/>
    <mergeCell ref="A1002:D1002"/>
    <mergeCell ref="G1002:J1002"/>
    <mergeCell ref="A1018:D1018"/>
    <mergeCell ref="G1018:J1018"/>
    <mergeCell ref="A1034:D1034"/>
    <mergeCell ref="G1034:J1034"/>
    <mergeCell ref="A1050:J1050"/>
    <mergeCell ref="A1051:D1051"/>
    <mergeCell ref="G1051:J1051"/>
    <mergeCell ref="A1067:D1067"/>
    <mergeCell ref="G1067:J1067"/>
    <mergeCell ref="A1083:D1083"/>
    <mergeCell ref="G1083:J1083"/>
    <mergeCell ref="A1099:D1099"/>
    <mergeCell ref="G1099:J1099"/>
    <mergeCell ref="A1115:J1115"/>
    <mergeCell ref="A1116:D1116"/>
    <mergeCell ref="G1116:J1116"/>
    <mergeCell ref="A1132:D1132"/>
    <mergeCell ref="G1132:J1132"/>
    <mergeCell ref="A1148:D1148"/>
    <mergeCell ref="G1148:J1148"/>
    <mergeCell ref="A1164:D1164"/>
    <mergeCell ref="G1164:J1164"/>
    <mergeCell ref="A1180:J1180"/>
    <mergeCell ref="A1181:D1181"/>
    <mergeCell ref="G1181:J1181"/>
    <mergeCell ref="A1197:D1197"/>
    <mergeCell ref="G1197:J1197"/>
    <mergeCell ref="A1213:D1213"/>
    <mergeCell ref="G1213:J1213"/>
    <mergeCell ref="A1229:D1229"/>
    <mergeCell ref="G1229:J1229"/>
    <mergeCell ref="A1245:J1245"/>
    <mergeCell ref="A1246:D1246"/>
    <mergeCell ref="G1246:J1246"/>
    <mergeCell ref="A1262:D1262"/>
    <mergeCell ref="G1262:J1262"/>
    <mergeCell ref="A1278:D1278"/>
    <mergeCell ref="G1278:J1278"/>
    <mergeCell ref="A1294:D1294"/>
    <mergeCell ref="G1294:J1294"/>
    <mergeCell ref="A1310:J1310"/>
    <mergeCell ref="A1311:D1311"/>
    <mergeCell ref="G1311:J1311"/>
    <mergeCell ref="A1327:D1327"/>
    <mergeCell ref="G1327:J1327"/>
    <mergeCell ref="A1343:D1343"/>
    <mergeCell ref="G1343:J1343"/>
    <mergeCell ref="A1359:D1359"/>
    <mergeCell ref="G1359:J1359"/>
    <mergeCell ref="A1375:J1375"/>
    <mergeCell ref="A1376:D1376"/>
    <mergeCell ref="G1376:J1376"/>
    <mergeCell ref="A1392:D1392"/>
    <mergeCell ref="G1392:J1392"/>
    <mergeCell ref="A1408:D1408"/>
    <mergeCell ref="G1408:J1408"/>
    <mergeCell ref="A1424:D1424"/>
    <mergeCell ref="G1424:J1424"/>
    <mergeCell ref="A1440:J1440"/>
    <mergeCell ref="A1441:D1441"/>
    <mergeCell ref="G1441:J1441"/>
    <mergeCell ref="A1457:D1457"/>
    <mergeCell ref="G1457:J1457"/>
    <mergeCell ref="A1473:D1473"/>
    <mergeCell ref="G1473:J1473"/>
    <mergeCell ref="A1489:D1489"/>
    <mergeCell ref="G1489:J1489"/>
    <mergeCell ref="A1505:J1505"/>
    <mergeCell ref="A1506:D1506"/>
    <mergeCell ref="G1506:J1506"/>
    <mergeCell ref="A1522:D1522"/>
    <mergeCell ref="G1522:J1522"/>
    <mergeCell ref="A1538:D1538"/>
    <mergeCell ref="G1538:J1538"/>
    <mergeCell ref="A1554:D1554"/>
    <mergeCell ref="G1554:J1554"/>
    <mergeCell ref="A1570:J1570"/>
    <mergeCell ref="A1571:D1571"/>
    <mergeCell ref="G1571:J1571"/>
    <mergeCell ref="A1587:D1587"/>
    <mergeCell ref="G1587:J1587"/>
    <mergeCell ref="A1603:D1603"/>
    <mergeCell ref="G1603:J1603"/>
    <mergeCell ref="A1619:D1619"/>
    <mergeCell ref="G1619:J1619"/>
    <mergeCell ref="A1635:J1635"/>
    <mergeCell ref="A1636:D1636"/>
    <mergeCell ref="G1636:J1636"/>
    <mergeCell ref="A1652:D1652"/>
    <mergeCell ref="G1652:J1652"/>
    <mergeCell ref="A1668:D1668"/>
    <mergeCell ref="G1668:J1668"/>
    <mergeCell ref="A1684:D1684"/>
    <mergeCell ref="G1684:J1684"/>
    <mergeCell ref="A1700:J1700"/>
    <mergeCell ref="A1701:D1701"/>
    <mergeCell ref="G1701:J1701"/>
    <mergeCell ref="A1717:D1717"/>
    <mergeCell ref="G1717:J1717"/>
    <mergeCell ref="A1733:D1733"/>
    <mergeCell ref="G1733:J1733"/>
    <mergeCell ref="A1749:D1749"/>
    <mergeCell ref="G1749:J1749"/>
    <mergeCell ref="A1765:J1765"/>
    <mergeCell ref="A1766:D1766"/>
    <mergeCell ref="G1766:J1766"/>
    <mergeCell ref="A1782:D1782"/>
    <mergeCell ref="G1782:J1782"/>
    <mergeCell ref="A1798:D1798"/>
    <mergeCell ref="G1798:J1798"/>
    <mergeCell ref="A1814:D1814"/>
    <mergeCell ref="G1814:J1814"/>
    <mergeCell ref="A1830:J1830"/>
    <mergeCell ref="A1831:D1831"/>
    <mergeCell ref="G1831:J1831"/>
    <mergeCell ref="A1847:D1847"/>
    <mergeCell ref="G1847:J1847"/>
    <mergeCell ref="A1863:D1863"/>
    <mergeCell ref="G1863:J1863"/>
    <mergeCell ref="A1877:D1877"/>
    <mergeCell ref="G1877:J1877"/>
    <mergeCell ref="A1891:J1891"/>
    <mergeCell ref="A1892:D1892"/>
    <mergeCell ref="G1892:J1892"/>
    <mergeCell ref="A1908:D1908"/>
    <mergeCell ref="G1908:J1908"/>
    <mergeCell ref="A1924:D1924"/>
    <mergeCell ref="G1924:J1924"/>
    <mergeCell ref="A1940:D1940"/>
    <mergeCell ref="G1940:J1940"/>
    <mergeCell ref="A1956:J1956"/>
    <mergeCell ref="A1957:D1957"/>
    <mergeCell ref="G1957:J1957"/>
    <mergeCell ref="A1973:D1973"/>
    <mergeCell ref="G1973:J1973"/>
    <mergeCell ref="A1989:D1989"/>
    <mergeCell ref="G1989:J1989"/>
    <mergeCell ref="A2005:D2005"/>
    <mergeCell ref="G2005:J2005"/>
    <mergeCell ref="A2021:J2021"/>
    <mergeCell ref="A2022:D2022"/>
    <mergeCell ref="G2022:J2022"/>
    <mergeCell ref="A2038:D2038"/>
    <mergeCell ref="G2038:J2038"/>
    <mergeCell ref="A2054:D2054"/>
    <mergeCell ref="G2054:J2054"/>
    <mergeCell ref="A2070:D2070"/>
    <mergeCell ref="G2070:J2070"/>
    <mergeCell ref="A2086:J2086"/>
    <mergeCell ref="A2087:D2087"/>
    <mergeCell ref="G2087:J2087"/>
    <mergeCell ref="A2103:D2103"/>
    <mergeCell ref="G2103:J2103"/>
    <mergeCell ref="A2119:D2119"/>
    <mergeCell ref="G2119:J2119"/>
    <mergeCell ref="A2135:D2135"/>
    <mergeCell ref="G2135:J2135"/>
    <mergeCell ref="A2151:J2151"/>
    <mergeCell ref="A2152:D2152"/>
    <mergeCell ref="G2152:J2152"/>
    <mergeCell ref="A2168:D2168"/>
    <mergeCell ref="G2168:J2168"/>
    <mergeCell ref="A2184:D2184"/>
    <mergeCell ref="G2184:J2184"/>
    <mergeCell ref="A2200:D2200"/>
    <mergeCell ref="G2200:J2200"/>
    <mergeCell ref="A2216:J2216"/>
    <mergeCell ref="A2217:D2217"/>
    <mergeCell ref="G2217:J2217"/>
    <mergeCell ref="A2233:D2233"/>
    <mergeCell ref="G2233:J2233"/>
    <mergeCell ref="A2249:D2249"/>
    <mergeCell ref="G2249:J2249"/>
    <mergeCell ref="A2265:D2265"/>
    <mergeCell ref="G2265:J2265"/>
    <mergeCell ref="A2281:J2281"/>
    <mergeCell ref="A2282:D2282"/>
    <mergeCell ref="G2282:J2282"/>
    <mergeCell ref="A2298:D2298"/>
    <mergeCell ref="G2298:J2298"/>
    <mergeCell ref="A2314:D2314"/>
    <mergeCell ref="G2314:J2314"/>
    <mergeCell ref="A2330:D2330"/>
    <mergeCell ref="G2330:J2330"/>
    <mergeCell ref="A2346:J2346"/>
    <mergeCell ref="A2347:D2347"/>
    <mergeCell ref="G2347:J2347"/>
    <mergeCell ref="A2363:D2363"/>
    <mergeCell ref="G2363:J2363"/>
    <mergeCell ref="A2379:D2379"/>
    <mergeCell ref="G2379:J2379"/>
    <mergeCell ref="A2395:D2395"/>
    <mergeCell ref="G2395:J2395"/>
    <mergeCell ref="A2411:J2411"/>
    <mergeCell ref="A2412:D2412"/>
    <mergeCell ref="G2412:J2412"/>
    <mergeCell ref="A2428:D2428"/>
    <mergeCell ref="G2428:J2428"/>
    <mergeCell ref="A2444:D2444"/>
    <mergeCell ref="G2444:J2444"/>
    <mergeCell ref="A2460:D2460"/>
    <mergeCell ref="G2460:J2460"/>
    <mergeCell ref="A2476:J2476"/>
    <mergeCell ref="A2477:D2477"/>
    <mergeCell ref="G2477:J2477"/>
    <mergeCell ref="A2493:D2493"/>
    <mergeCell ref="G2493:J2493"/>
    <mergeCell ref="A2509:D2509"/>
    <mergeCell ref="G2509:J2509"/>
    <mergeCell ref="A2525:D2525"/>
    <mergeCell ref="G2525:J2525"/>
    <mergeCell ref="A2541:J2541"/>
    <mergeCell ref="A2542:D2542"/>
    <mergeCell ref="G2542:J2542"/>
    <mergeCell ref="A2558:D2558"/>
    <mergeCell ref="G2558:J2558"/>
    <mergeCell ref="A2574:D2574"/>
    <mergeCell ref="G2574:J2574"/>
    <mergeCell ref="A2590:D2590"/>
    <mergeCell ref="G2590:J2590"/>
    <mergeCell ref="A2606:J2606"/>
    <mergeCell ref="A2607:D2607"/>
    <mergeCell ref="G2607:J2607"/>
    <mergeCell ref="A2621:D2621"/>
    <mergeCell ref="G2621:J2621"/>
    <mergeCell ref="A2624:J2624"/>
    <mergeCell ref="A2627:D2627"/>
    <mergeCell ref="G2627:J2627"/>
    <mergeCell ref="A2643:D2643"/>
    <mergeCell ref="G2643:J2643"/>
    <mergeCell ref="A2659:D2659"/>
    <mergeCell ref="G2659:J2659"/>
    <mergeCell ref="A2675:D2675"/>
    <mergeCell ref="G2675:J2675"/>
    <mergeCell ref="A2691:D2691"/>
    <mergeCell ref="G2691:J2691"/>
    <mergeCell ref="A2707:D2707"/>
    <mergeCell ref="G2707:J2707"/>
    <mergeCell ref="A2723:J2723"/>
    <mergeCell ref="A2724:D2724"/>
    <mergeCell ref="G2724:J2724"/>
    <mergeCell ref="A2740:D2740"/>
    <mergeCell ref="G2740:J2740"/>
    <mergeCell ref="A2756:D2756"/>
    <mergeCell ref="G2756:J2756"/>
    <mergeCell ref="A2772:D2772"/>
    <mergeCell ref="G2772:J2772"/>
    <mergeCell ref="A2788:J2788"/>
    <mergeCell ref="A2789:D2789"/>
    <mergeCell ref="G2789:J2789"/>
    <mergeCell ref="A2805:D2805"/>
    <mergeCell ref="G2805:J2805"/>
    <mergeCell ref="A2821:D2821"/>
    <mergeCell ref="G2821:J2821"/>
    <mergeCell ref="A2837:D2837"/>
    <mergeCell ref="G2837:J2837"/>
    <mergeCell ref="A2853:J2853"/>
    <mergeCell ref="A2854:D2854"/>
    <mergeCell ref="G2854:J2854"/>
    <mergeCell ref="A2870:D2870"/>
    <mergeCell ref="G2870:J2870"/>
    <mergeCell ref="A2886:D2886"/>
    <mergeCell ref="G2886:J2886"/>
    <mergeCell ref="A2902:D2902"/>
    <mergeCell ref="G2902:J2902"/>
    <mergeCell ref="A2918:J2918"/>
    <mergeCell ref="A2919:D2919"/>
    <mergeCell ref="G2919:J2919"/>
    <mergeCell ref="A2935:D2935"/>
    <mergeCell ref="G2935:J2935"/>
    <mergeCell ref="A2951:D2951"/>
    <mergeCell ref="G2951:J2951"/>
    <mergeCell ref="A2967:D2967"/>
    <mergeCell ref="G2967:J2967"/>
    <mergeCell ref="A2983:J2983"/>
    <mergeCell ref="A2984:D2984"/>
    <mergeCell ref="G2984:J2984"/>
    <mergeCell ref="A3000:D3000"/>
    <mergeCell ref="G3000:J3000"/>
    <mergeCell ref="A3016:D3016"/>
    <mergeCell ref="G3016:J3016"/>
    <mergeCell ref="A3032:D3032"/>
    <mergeCell ref="G3032:J3032"/>
    <mergeCell ref="A3048:J3048"/>
    <mergeCell ref="A3049:D3049"/>
    <mergeCell ref="G3049:J3049"/>
    <mergeCell ref="A3065:D3065"/>
    <mergeCell ref="G3065:J3065"/>
    <mergeCell ref="A3081:D3081"/>
    <mergeCell ref="G3081:J3081"/>
    <mergeCell ref="A3097:D3097"/>
    <mergeCell ref="G3097:J3097"/>
    <mergeCell ref="A3113:J3113"/>
    <mergeCell ref="A3114:D3114"/>
    <mergeCell ref="G3114:J3114"/>
    <mergeCell ref="A3130:D3130"/>
    <mergeCell ref="G3130:J3130"/>
    <mergeCell ref="A3146:D3146"/>
    <mergeCell ref="G3146:J3146"/>
    <mergeCell ref="A3162:D3162"/>
    <mergeCell ref="G3162:J3162"/>
    <mergeCell ref="A3178:J3178"/>
    <mergeCell ref="A3179:D3179"/>
    <mergeCell ref="G3179:J3179"/>
    <mergeCell ref="A3195:D3195"/>
    <mergeCell ref="G3195:J3195"/>
    <mergeCell ref="A3211:D3211"/>
    <mergeCell ref="G3211:J3211"/>
    <mergeCell ref="A3227:D3227"/>
    <mergeCell ref="G3227:J3227"/>
    <mergeCell ref="A3243:J3243"/>
    <mergeCell ref="A3244:D3244"/>
    <mergeCell ref="G3244:J3244"/>
    <mergeCell ref="A3260:D3260"/>
    <mergeCell ref="G3260:J3260"/>
    <mergeCell ref="A3276:D3276"/>
    <mergeCell ref="G3276:J3276"/>
    <mergeCell ref="A3292:D3292"/>
    <mergeCell ref="G3292:J3292"/>
    <mergeCell ref="A3308:J3308"/>
    <mergeCell ref="A3309:D3309"/>
    <mergeCell ref="G3309:J3309"/>
    <mergeCell ref="A3326:D3326"/>
    <mergeCell ref="G3326:J3326"/>
    <mergeCell ref="A3343:D3343"/>
    <mergeCell ref="G3343:J3343"/>
    <mergeCell ref="A3360:D3360"/>
    <mergeCell ref="G3360:J3360"/>
    <mergeCell ref="A3377:J3377"/>
    <mergeCell ref="A3378:D3378"/>
    <mergeCell ref="G3378:J3378"/>
    <mergeCell ref="A3395:D3395"/>
    <mergeCell ref="G3395:J3395"/>
    <mergeCell ref="A3412:D3412"/>
    <mergeCell ref="G3412:J3412"/>
    <mergeCell ref="A3429:D3429"/>
    <mergeCell ref="G3429:J3429"/>
    <mergeCell ref="A3446:J3446"/>
    <mergeCell ref="A3447:D3447"/>
    <mergeCell ref="G3447:J3447"/>
    <mergeCell ref="A3464:D3464"/>
    <mergeCell ref="G3464:J3464"/>
    <mergeCell ref="A3481:D3481"/>
    <mergeCell ref="G3481:J3481"/>
    <mergeCell ref="A3498:D3498"/>
    <mergeCell ref="G3498:J3498"/>
    <mergeCell ref="A3515:J3515"/>
    <mergeCell ref="A3516:D3516"/>
    <mergeCell ref="G3516:J3516"/>
    <mergeCell ref="A3533:D3533"/>
    <mergeCell ref="G3533:J3533"/>
    <mergeCell ref="A3550:D3550"/>
    <mergeCell ref="G3550:J3550"/>
    <mergeCell ref="A3567:D3567"/>
    <mergeCell ref="G3567:J3567"/>
    <mergeCell ref="A3584:D3584"/>
    <mergeCell ref="G3584:J3584"/>
    <mergeCell ref="A3601:D3601"/>
    <mergeCell ref="G3601:J3601"/>
    <mergeCell ref="A3618:D3618"/>
    <mergeCell ref="G3618:J3618"/>
    <mergeCell ref="A3635:D3635"/>
    <mergeCell ref="G3635:J3635"/>
    <mergeCell ref="A3651:D3651"/>
    <mergeCell ref="G3651:J3651"/>
    <mergeCell ref="A3667:D3667"/>
    <mergeCell ref="G3667:J3667"/>
    <mergeCell ref="A3684:D3684"/>
    <mergeCell ref="G3684:J3684"/>
    <mergeCell ref="A3701:D3701"/>
    <mergeCell ref="G3701:J3701"/>
    <mergeCell ref="A3717:D3717"/>
    <mergeCell ref="G3717:J3717"/>
    <mergeCell ref="A3734:D3734"/>
    <mergeCell ref="G3734:J3734"/>
    <mergeCell ref="A3751:D3751"/>
    <mergeCell ref="G3751:J3751"/>
    <mergeCell ref="A3818:D3818"/>
    <mergeCell ref="G3818:J3818"/>
    <mergeCell ref="A3834:D3834"/>
    <mergeCell ref="G3834:J3834"/>
    <mergeCell ref="A3767:D3767"/>
    <mergeCell ref="G3767:J3767"/>
    <mergeCell ref="A3783:J3783"/>
    <mergeCell ref="A3784:D3784"/>
    <mergeCell ref="G3784:J3784"/>
    <mergeCell ref="A3801:D3801"/>
    <mergeCell ref="G3801:J3801"/>
    <mergeCell ref="A3802:D3802"/>
    <mergeCell ref="G3802:J3802"/>
  </mergeCells>
  <conditionalFormatting sqref="L3316">
    <cfRule type="duplicateValues" dxfId="63" priority="56"/>
  </conditionalFormatting>
  <conditionalFormatting sqref="B3318">
    <cfRule type="duplicateValues" dxfId="62" priority="58"/>
  </conditionalFormatting>
  <conditionalFormatting sqref="H3318">
    <cfRule type="duplicateValues" dxfId="61" priority="57"/>
  </conditionalFormatting>
  <conditionalFormatting sqref="B3335">
    <cfRule type="duplicateValues" dxfId="60" priority="59"/>
  </conditionalFormatting>
  <conditionalFormatting sqref="H3335">
    <cfRule type="duplicateValues" dxfId="59" priority="60"/>
  </conditionalFormatting>
  <conditionalFormatting sqref="B3352">
    <cfRule type="duplicateValues" dxfId="58" priority="61"/>
  </conditionalFormatting>
  <conditionalFormatting sqref="H3352">
    <cfRule type="duplicateValues" dxfId="57" priority="62"/>
  </conditionalFormatting>
  <conditionalFormatting sqref="H3369">
    <cfRule type="duplicateValues" dxfId="56" priority="63"/>
  </conditionalFormatting>
  <conditionalFormatting sqref="B3404">
    <cfRule type="duplicateValues" dxfId="55" priority="55"/>
  </conditionalFormatting>
  <conditionalFormatting sqref="H3404">
    <cfRule type="duplicateValues" dxfId="54" priority="54"/>
  </conditionalFormatting>
  <conditionalFormatting sqref="B3421">
    <cfRule type="duplicateValues" dxfId="53" priority="53"/>
  </conditionalFormatting>
  <conditionalFormatting sqref="H3421">
    <cfRule type="duplicateValues" dxfId="52" priority="52"/>
  </conditionalFormatting>
  <conditionalFormatting sqref="B3438">
    <cfRule type="duplicateValues" dxfId="51" priority="51"/>
  </conditionalFormatting>
  <conditionalFormatting sqref="H3438">
    <cfRule type="duplicateValues" dxfId="50" priority="50"/>
  </conditionalFormatting>
  <conditionalFormatting sqref="B3456">
    <cfRule type="duplicateValues" dxfId="49" priority="49"/>
  </conditionalFormatting>
  <conditionalFormatting sqref="H3456">
    <cfRule type="duplicateValues" dxfId="48" priority="48"/>
  </conditionalFormatting>
  <conditionalFormatting sqref="B3473">
    <cfRule type="duplicateValues" dxfId="47" priority="47"/>
  </conditionalFormatting>
  <conditionalFormatting sqref="H3473">
    <cfRule type="duplicateValues" dxfId="46" priority="46"/>
  </conditionalFormatting>
  <conditionalFormatting sqref="B3490">
    <cfRule type="duplicateValues" dxfId="45" priority="45"/>
  </conditionalFormatting>
  <conditionalFormatting sqref="H3490">
    <cfRule type="duplicateValues" dxfId="44" priority="44"/>
  </conditionalFormatting>
  <conditionalFormatting sqref="B3507">
    <cfRule type="duplicateValues" dxfId="43" priority="43"/>
  </conditionalFormatting>
  <conditionalFormatting sqref="H3507">
    <cfRule type="duplicateValues" dxfId="42" priority="42"/>
  </conditionalFormatting>
  <conditionalFormatting sqref="B3525">
    <cfRule type="duplicateValues" dxfId="41" priority="41"/>
  </conditionalFormatting>
  <conditionalFormatting sqref="H3525">
    <cfRule type="duplicateValues" dxfId="40" priority="40"/>
  </conditionalFormatting>
  <conditionalFormatting sqref="B3542">
    <cfRule type="duplicateValues" dxfId="39" priority="39"/>
  </conditionalFormatting>
  <conditionalFormatting sqref="H3542">
    <cfRule type="duplicateValues" dxfId="38" priority="38"/>
  </conditionalFormatting>
  <conditionalFormatting sqref="B3559">
    <cfRule type="duplicateValues" dxfId="37" priority="37"/>
  </conditionalFormatting>
  <conditionalFormatting sqref="H3559">
    <cfRule type="duplicateValues" dxfId="36" priority="36"/>
  </conditionalFormatting>
  <conditionalFormatting sqref="B3576">
    <cfRule type="duplicateValues" dxfId="35" priority="35"/>
  </conditionalFormatting>
  <conditionalFormatting sqref="H3576">
    <cfRule type="duplicateValues" dxfId="34" priority="34"/>
  </conditionalFormatting>
  <conditionalFormatting sqref="B3593">
    <cfRule type="duplicateValues" dxfId="33" priority="33"/>
  </conditionalFormatting>
  <conditionalFormatting sqref="H3593">
    <cfRule type="duplicateValues" dxfId="32" priority="32"/>
  </conditionalFormatting>
  <conditionalFormatting sqref="B3610">
    <cfRule type="duplicateValues" dxfId="31" priority="31"/>
  </conditionalFormatting>
  <conditionalFormatting sqref="H3610">
    <cfRule type="duplicateValues" dxfId="30" priority="30"/>
  </conditionalFormatting>
  <conditionalFormatting sqref="B3627">
    <cfRule type="duplicateValues" dxfId="29" priority="29"/>
  </conditionalFormatting>
  <conditionalFormatting sqref="H3627">
    <cfRule type="duplicateValues" dxfId="28" priority="28"/>
  </conditionalFormatting>
  <conditionalFormatting sqref="B3644">
    <cfRule type="duplicateValues" dxfId="27" priority="27"/>
  </conditionalFormatting>
  <conditionalFormatting sqref="H3644">
    <cfRule type="duplicateValues" dxfId="26" priority="26"/>
  </conditionalFormatting>
  <conditionalFormatting sqref="B3660">
    <cfRule type="duplicateValues" dxfId="25" priority="25"/>
  </conditionalFormatting>
  <conditionalFormatting sqref="H3660">
    <cfRule type="duplicateValues" dxfId="24" priority="24"/>
  </conditionalFormatting>
  <conditionalFormatting sqref="B3676">
    <cfRule type="duplicateValues" dxfId="23" priority="23"/>
  </conditionalFormatting>
  <conditionalFormatting sqref="H3676">
    <cfRule type="duplicateValues" dxfId="22" priority="22"/>
  </conditionalFormatting>
  <conditionalFormatting sqref="B3693">
    <cfRule type="duplicateValues" dxfId="21" priority="21"/>
  </conditionalFormatting>
  <conditionalFormatting sqref="H3693">
    <cfRule type="duplicateValues" dxfId="20" priority="20"/>
  </conditionalFormatting>
  <conditionalFormatting sqref="B3710">
    <cfRule type="duplicateValues" dxfId="19" priority="19"/>
  </conditionalFormatting>
  <conditionalFormatting sqref="H3710">
    <cfRule type="duplicateValues" dxfId="18" priority="18"/>
  </conditionalFormatting>
  <conditionalFormatting sqref="B3726">
    <cfRule type="duplicateValues" dxfId="17" priority="17"/>
  </conditionalFormatting>
  <conditionalFormatting sqref="H3726">
    <cfRule type="duplicateValues" dxfId="16" priority="16"/>
  </conditionalFormatting>
  <conditionalFormatting sqref="B3743">
    <cfRule type="duplicateValues" dxfId="15" priority="15"/>
  </conditionalFormatting>
  <conditionalFormatting sqref="H3743">
    <cfRule type="duplicateValues" dxfId="14" priority="14"/>
  </conditionalFormatting>
  <conditionalFormatting sqref="B3760">
    <cfRule type="duplicateValues" dxfId="13" priority="13"/>
  </conditionalFormatting>
  <conditionalFormatting sqref="H3760">
    <cfRule type="duplicateValues" dxfId="12" priority="12"/>
  </conditionalFormatting>
  <conditionalFormatting sqref="B3776">
    <cfRule type="duplicateValues" dxfId="11" priority="11"/>
  </conditionalFormatting>
  <conditionalFormatting sqref="H3776">
    <cfRule type="duplicateValues" dxfId="10" priority="10"/>
  </conditionalFormatting>
  <conditionalFormatting sqref="B3793">
    <cfRule type="duplicateValues" dxfId="9" priority="9"/>
  </conditionalFormatting>
  <conditionalFormatting sqref="H3793">
    <cfRule type="duplicateValues" dxfId="8" priority="8"/>
  </conditionalFormatting>
  <conditionalFormatting sqref="B3811">
    <cfRule type="duplicateValues" dxfId="7" priority="7"/>
  </conditionalFormatting>
  <conditionalFormatting sqref="H3811">
    <cfRule type="duplicateValues" dxfId="6" priority="6"/>
  </conditionalFormatting>
  <conditionalFormatting sqref="B3827">
    <cfRule type="duplicateValues" dxfId="5" priority="3"/>
  </conditionalFormatting>
  <conditionalFormatting sqref="H3827">
    <cfRule type="duplicateValues" dxfId="4" priority="4"/>
  </conditionalFormatting>
  <conditionalFormatting sqref="B3843">
    <cfRule type="duplicateValues" dxfId="3" priority="1"/>
  </conditionalFormatting>
  <conditionalFormatting sqref="H3843">
    <cfRule type="duplicateValues" dxfId="2" priority="2"/>
  </conditionalFormatting>
  <conditionalFormatting sqref="A3362:B3372">
    <cfRule type="duplicateValues" dxfId="1" priority="64"/>
  </conditionalFormatting>
  <pageMargins left="0.39370078740157499" right="0" top="0.39370078740157499" bottom="0" header="0.31496062992126" footer="3.9370078740157501E-2"/>
  <pageSetup scale="89"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BB488"/>
  <sheetViews>
    <sheetView topLeftCell="A7" zoomScale="115" zoomScaleNormal="115" workbookViewId="0">
      <pane xSplit="4" ySplit="6" topLeftCell="E308" activePane="bottomRight" state="frozen"/>
      <selection pane="topRight"/>
      <selection pane="bottomLeft"/>
      <selection pane="bottomRight" activeCell="E303" sqref="E303:M326"/>
    </sheetView>
  </sheetViews>
  <sheetFormatPr defaultColWidth="10.140625" defaultRowHeight="12.75"/>
  <cols>
    <col min="1" max="1" width="9.140625" style="946" customWidth="1"/>
    <col min="2" max="2" width="10.140625" style="946"/>
    <col min="3" max="3" width="17.28515625" style="946" customWidth="1"/>
    <col min="4" max="4" width="10.140625" style="946" customWidth="1"/>
    <col min="5" max="12" width="10" style="946" customWidth="1"/>
    <col min="13" max="20" width="12" style="946" customWidth="1"/>
    <col min="21" max="21" width="13.28515625" style="946" customWidth="1"/>
    <col min="22" max="22" width="12.5703125" style="946" customWidth="1"/>
    <col min="23" max="26" width="10.140625" style="946" customWidth="1"/>
    <col min="27" max="27" width="12.85546875" style="946" customWidth="1"/>
    <col min="28" max="30" width="11.85546875" style="946" customWidth="1"/>
    <col min="31" max="31" width="14.28515625" style="946" customWidth="1"/>
    <col min="32" max="33" width="10.28515625" style="946" customWidth="1"/>
    <col min="34" max="34" width="14.140625" style="946" customWidth="1"/>
    <col min="35" max="36" width="10.140625" style="946" customWidth="1"/>
    <col min="37" max="45" width="10.28515625" style="946" customWidth="1"/>
    <col min="46" max="46" width="10.140625" style="946" customWidth="1"/>
    <col min="47" max="48" width="16.42578125" style="946" customWidth="1"/>
    <col min="49" max="49" width="10.140625" style="946"/>
    <col min="50" max="52" width="10.140625" style="944"/>
    <col min="53" max="16384" width="10.140625" style="946"/>
  </cols>
  <sheetData>
    <row r="1" spans="1:54">
      <c r="A1" s="2637" t="s">
        <v>2562</v>
      </c>
      <c r="B1" s="2637"/>
      <c r="C1" s="2637"/>
      <c r="D1" s="2637"/>
      <c r="E1" s="2637"/>
      <c r="F1" s="2637"/>
      <c r="G1" s="2637"/>
      <c r="H1" s="2637"/>
      <c r="I1" s="2637"/>
      <c r="J1" s="2637"/>
      <c r="K1" s="2637"/>
      <c r="L1" s="2637"/>
      <c r="M1" s="2637"/>
      <c r="N1" s="947"/>
      <c r="O1" s="947"/>
      <c r="P1" s="947"/>
      <c r="Q1" s="947"/>
      <c r="R1" s="947"/>
      <c r="S1" s="947"/>
      <c r="T1" s="947"/>
      <c r="U1" s="2629" t="s">
        <v>0</v>
      </c>
      <c r="V1" s="2629"/>
      <c r="W1" s="2629"/>
      <c r="X1" s="2629"/>
      <c r="Y1" s="2629"/>
      <c r="Z1" s="2629"/>
      <c r="AA1" s="2629"/>
      <c r="AB1" s="2629"/>
      <c r="AC1" s="2629"/>
      <c r="AD1" s="2629"/>
      <c r="AE1" s="2629"/>
      <c r="AF1" s="2629"/>
      <c r="AG1" s="2629"/>
      <c r="AH1" s="2629"/>
      <c r="AI1" s="2629"/>
      <c r="AJ1" s="2629"/>
      <c r="AK1" s="2629"/>
      <c r="AL1" s="2629"/>
      <c r="AM1" s="2629"/>
      <c r="AN1" s="2629"/>
      <c r="AO1" s="2629"/>
      <c r="AP1" s="2629"/>
      <c r="AQ1" s="2629"/>
      <c r="AR1" s="2629"/>
      <c r="AS1" s="2629"/>
      <c r="AT1" s="2629"/>
    </row>
    <row r="2" spans="1:54">
      <c r="A2" s="2637" t="s">
        <v>2563</v>
      </c>
      <c r="B2" s="2637"/>
      <c r="C2" s="2637"/>
      <c r="D2" s="2637"/>
      <c r="E2" s="2637"/>
      <c r="F2" s="2637"/>
      <c r="G2" s="2637"/>
      <c r="H2" s="2637"/>
      <c r="I2" s="2637"/>
      <c r="J2" s="2637"/>
      <c r="K2" s="2637"/>
      <c r="L2" s="2637"/>
      <c r="M2" s="2637"/>
      <c r="N2" s="947"/>
      <c r="O2" s="947"/>
      <c r="P2" s="947"/>
      <c r="Q2" s="947"/>
      <c r="R2" s="947"/>
      <c r="S2" s="947"/>
      <c r="T2" s="947"/>
      <c r="U2" s="2629" t="s">
        <v>1968</v>
      </c>
      <c r="V2" s="2629"/>
      <c r="W2" s="2629"/>
      <c r="X2" s="2629"/>
      <c r="Y2" s="2629"/>
      <c r="Z2" s="2629"/>
      <c r="AA2" s="2629"/>
      <c r="AB2" s="2629"/>
      <c r="AC2" s="2629"/>
      <c r="AD2" s="2629"/>
      <c r="AE2" s="2629"/>
      <c r="AF2" s="2629"/>
      <c r="AG2" s="2629"/>
      <c r="AH2" s="2629"/>
      <c r="AI2" s="2629"/>
      <c r="AJ2" s="2629"/>
      <c r="AK2" s="2629"/>
      <c r="AL2" s="2629"/>
      <c r="AM2" s="2629"/>
      <c r="AN2" s="2629"/>
      <c r="AO2" s="2629"/>
      <c r="AP2" s="2629"/>
      <c r="AQ2" s="2629"/>
      <c r="AR2" s="2629"/>
      <c r="AS2" s="2629"/>
      <c r="AT2" s="2629"/>
    </row>
    <row r="3" spans="1:54">
      <c r="A3" s="948"/>
      <c r="B3" s="948"/>
      <c r="C3" s="948"/>
      <c r="D3" s="948"/>
      <c r="E3" s="948"/>
      <c r="F3" s="948"/>
      <c r="G3" s="948"/>
      <c r="H3" s="948"/>
      <c r="I3" s="948"/>
      <c r="J3" s="948"/>
      <c r="K3" s="948"/>
      <c r="L3" s="948"/>
      <c r="M3" s="948"/>
      <c r="N3" s="948"/>
      <c r="O3" s="948"/>
      <c r="P3" s="948"/>
      <c r="Q3" s="948"/>
      <c r="R3" s="948"/>
      <c r="S3" s="948"/>
      <c r="T3" s="948"/>
      <c r="U3" s="948"/>
      <c r="V3" s="948"/>
      <c r="W3" s="948"/>
      <c r="X3" s="948"/>
      <c r="Y3" s="948"/>
      <c r="Z3" s="948"/>
      <c r="AA3" s="973"/>
      <c r="AB3" s="973"/>
      <c r="AC3" s="973"/>
      <c r="AD3" s="973"/>
      <c r="AE3" s="974"/>
      <c r="AF3" s="974"/>
      <c r="AG3" s="974"/>
      <c r="AH3" s="974"/>
      <c r="AI3" s="974"/>
      <c r="AJ3" s="974"/>
      <c r="AK3" s="974"/>
      <c r="AL3" s="974"/>
      <c r="AM3" s="974"/>
      <c r="AN3" s="974"/>
      <c r="AO3" s="974"/>
      <c r="AP3" s="974"/>
      <c r="AQ3" s="974"/>
      <c r="AR3" s="974"/>
      <c r="AS3" s="974"/>
      <c r="AT3" s="973"/>
    </row>
    <row r="4" spans="1:54">
      <c r="A4" s="2629" t="s">
        <v>2564</v>
      </c>
      <c r="B4" s="2629"/>
      <c r="C4" s="2629"/>
      <c r="D4" s="2629"/>
      <c r="E4" s="2629"/>
      <c r="F4" s="2629"/>
      <c r="G4" s="2629"/>
      <c r="H4" s="2629"/>
      <c r="I4" s="2629"/>
      <c r="J4" s="2629"/>
      <c r="K4" s="2629"/>
      <c r="L4" s="2629"/>
      <c r="M4" s="2629"/>
      <c r="N4" s="2629"/>
      <c r="O4" s="2629"/>
      <c r="P4" s="2629"/>
      <c r="Q4" s="2629"/>
      <c r="R4" s="2629"/>
      <c r="S4" s="2629"/>
      <c r="T4" s="2629"/>
      <c r="U4" s="2629"/>
      <c r="V4" s="2629"/>
      <c r="W4" s="2629"/>
      <c r="X4" s="2629"/>
      <c r="Y4" s="2629"/>
      <c r="Z4" s="2629"/>
      <c r="AA4" s="2629"/>
      <c r="AB4" s="2629"/>
      <c r="AC4" s="2629"/>
      <c r="AD4" s="2629"/>
      <c r="AE4" s="2629"/>
      <c r="AF4" s="2629"/>
      <c r="AG4" s="2629"/>
      <c r="AH4" s="2629"/>
      <c r="AI4" s="2629"/>
      <c r="AJ4" s="2629"/>
      <c r="AK4" s="2629"/>
      <c r="AL4" s="2629"/>
      <c r="AM4" s="2629"/>
      <c r="AN4" s="2629"/>
      <c r="AO4" s="2629"/>
      <c r="AP4" s="2629"/>
      <c r="AQ4" s="2629"/>
      <c r="AR4" s="2629"/>
      <c r="AS4" s="2629"/>
      <c r="AT4" s="2629"/>
    </row>
    <row r="5" spans="1:54">
      <c r="A5" s="2633" t="s">
        <v>2565</v>
      </c>
      <c r="B5" s="2633"/>
      <c r="C5" s="2633"/>
      <c r="D5" s="2633"/>
      <c r="E5" s="2633"/>
      <c r="F5" s="2633"/>
      <c r="G5" s="2633"/>
      <c r="H5" s="2633"/>
      <c r="I5" s="2633"/>
      <c r="J5" s="2633"/>
      <c r="K5" s="2633"/>
      <c r="L5" s="2633"/>
      <c r="M5" s="2633"/>
      <c r="N5" s="2633"/>
      <c r="O5" s="2633"/>
      <c r="P5" s="2633"/>
      <c r="Q5" s="2633"/>
      <c r="R5" s="2633"/>
      <c r="S5" s="2633"/>
      <c r="T5" s="2633"/>
      <c r="U5" s="2633"/>
      <c r="V5" s="2633"/>
      <c r="W5" s="2633"/>
      <c r="X5" s="2633"/>
      <c r="Y5" s="2633"/>
      <c r="Z5" s="2633"/>
      <c r="AA5" s="2633"/>
      <c r="AB5" s="2633"/>
      <c r="AC5" s="2633"/>
      <c r="AD5" s="2633"/>
      <c r="AE5" s="2633"/>
      <c r="AF5" s="2633"/>
      <c r="AG5" s="2633"/>
      <c r="AH5" s="2633"/>
      <c r="AI5" s="2633"/>
      <c r="AJ5" s="2633"/>
      <c r="AK5" s="2633"/>
      <c r="AL5" s="2633"/>
      <c r="AM5" s="2633"/>
      <c r="AN5" s="2633"/>
      <c r="AO5" s="2633"/>
      <c r="AP5" s="2633"/>
      <c r="AQ5" s="2633"/>
      <c r="AR5" s="2633"/>
      <c r="AS5" s="2633"/>
      <c r="AT5" s="2633"/>
    </row>
    <row r="6" spans="1:54">
      <c r="A6" s="950" t="s">
        <v>2566</v>
      </c>
      <c r="B6" s="950" t="s">
        <v>1932</v>
      </c>
      <c r="C6" s="950"/>
      <c r="D6" s="950"/>
      <c r="E6" s="950"/>
      <c r="F6" s="950"/>
      <c r="G6" s="950"/>
      <c r="H6" s="950"/>
      <c r="I6" s="950"/>
      <c r="J6" s="950"/>
      <c r="K6" s="950"/>
      <c r="L6" s="950"/>
      <c r="M6" s="950"/>
      <c r="N6" s="950"/>
      <c r="O6" s="950"/>
      <c r="P6" s="950"/>
      <c r="Q6" s="950"/>
      <c r="R6" s="950"/>
      <c r="S6" s="950"/>
      <c r="T6" s="950"/>
      <c r="U6" s="950"/>
      <c r="V6" s="950"/>
      <c r="W6" s="950"/>
      <c r="X6" s="950"/>
      <c r="Y6" s="950"/>
      <c r="Z6" s="950"/>
      <c r="AA6" s="950"/>
      <c r="AB6" s="950"/>
      <c r="AC6" s="950"/>
      <c r="AD6" s="950"/>
      <c r="AE6" s="950"/>
      <c r="AF6" s="950"/>
      <c r="AG6" s="950"/>
      <c r="AH6" s="950"/>
      <c r="AI6" s="950"/>
      <c r="AJ6" s="2634" t="s">
        <v>2567</v>
      </c>
      <c r="AK6" s="2634"/>
      <c r="AL6" s="2634"/>
      <c r="AM6" s="2634"/>
      <c r="AN6" s="977"/>
      <c r="AO6" s="977"/>
      <c r="AP6" s="977"/>
      <c r="AQ6" s="977"/>
      <c r="AR6" s="977"/>
      <c r="AS6" s="977"/>
      <c r="AT6" s="950">
        <v>40</v>
      </c>
    </row>
    <row r="7" spans="1:54">
      <c r="A7" s="950"/>
      <c r="B7" s="950"/>
      <c r="C7" s="950"/>
      <c r="D7" s="950"/>
      <c r="E7" s="950"/>
      <c r="F7" s="950"/>
      <c r="G7" s="950"/>
      <c r="H7" s="950"/>
      <c r="I7" s="950"/>
      <c r="J7" s="950"/>
      <c r="K7" s="950"/>
      <c r="L7" s="950"/>
      <c r="M7" s="950"/>
      <c r="N7" s="950"/>
      <c r="O7" s="950"/>
      <c r="P7" s="950"/>
      <c r="Q7" s="950"/>
      <c r="R7" s="950"/>
      <c r="S7" s="950"/>
      <c r="T7" s="950"/>
      <c r="U7" s="950"/>
      <c r="V7" s="950"/>
      <c r="W7" s="950"/>
      <c r="X7" s="950"/>
      <c r="Y7" s="950"/>
      <c r="Z7" s="950"/>
      <c r="AA7" s="950"/>
      <c r="AB7" s="950"/>
      <c r="AC7" s="950"/>
      <c r="AD7" s="950"/>
      <c r="AE7" s="950"/>
      <c r="AF7" s="950"/>
      <c r="AG7" s="950"/>
      <c r="AH7" s="950"/>
      <c r="AI7" s="950"/>
      <c r="AJ7" s="2634" t="s">
        <v>2568</v>
      </c>
      <c r="AK7" s="2634"/>
      <c r="AL7" s="2634"/>
      <c r="AM7" s="2634"/>
      <c r="AN7" s="977"/>
      <c r="AO7" s="977"/>
      <c r="AP7" s="977"/>
      <c r="AQ7" s="977"/>
      <c r="AR7" s="977"/>
      <c r="AS7" s="977"/>
      <c r="AT7" s="950">
        <v>50</v>
      </c>
      <c r="AV7" s="978">
        <f>AV9/AV8</f>
        <v>0.42315993931490498</v>
      </c>
    </row>
    <row r="8" spans="1:54" ht="36" customHeight="1">
      <c r="A8" s="2632" t="s">
        <v>6</v>
      </c>
      <c r="B8" s="951"/>
      <c r="C8" s="2632" t="s">
        <v>2569</v>
      </c>
      <c r="D8" s="2632" t="s">
        <v>9</v>
      </c>
      <c r="E8" s="2642"/>
      <c r="F8" s="2643"/>
      <c r="G8" s="2643"/>
      <c r="H8" s="2643"/>
      <c r="I8" s="2643"/>
      <c r="J8" s="2643"/>
      <c r="K8" s="2643"/>
      <c r="L8" s="2643"/>
      <c r="M8" s="2644"/>
      <c r="N8" s="972">
        <v>0.16666666666666699</v>
      </c>
      <c r="O8" s="972">
        <v>0.15625</v>
      </c>
      <c r="P8" s="972">
        <v>0.125</v>
      </c>
      <c r="Q8" s="972">
        <v>0.25</v>
      </c>
      <c r="R8" s="972">
        <f>1/2</f>
        <v>0.5</v>
      </c>
      <c r="S8" s="972">
        <v>0.5</v>
      </c>
      <c r="T8" s="972">
        <v>1</v>
      </c>
      <c r="U8" s="972">
        <v>1</v>
      </c>
      <c r="V8" s="972">
        <v>1</v>
      </c>
      <c r="W8" s="972"/>
      <c r="X8" s="972"/>
      <c r="Y8" s="972"/>
      <c r="Z8" s="972"/>
      <c r="AA8" s="972"/>
      <c r="AB8" s="972"/>
      <c r="AC8" s="972"/>
      <c r="AD8" s="972"/>
      <c r="AE8" s="972"/>
      <c r="AF8" s="972"/>
      <c r="AG8" s="972"/>
      <c r="AH8" s="972"/>
      <c r="AI8" s="972"/>
      <c r="AJ8" s="972"/>
      <c r="AK8" s="972"/>
      <c r="AL8" s="972"/>
      <c r="AM8" s="972"/>
      <c r="AN8" s="972"/>
      <c r="AO8" s="972"/>
      <c r="AP8" s="972"/>
      <c r="AQ8" s="972"/>
      <c r="AR8" s="972"/>
      <c r="AS8" s="972"/>
      <c r="AT8" s="972"/>
      <c r="AU8" s="754" t="s">
        <v>2570</v>
      </c>
      <c r="AV8" s="892">
        <v>562576</v>
      </c>
      <c r="AX8" s="944" t="s">
        <v>2571</v>
      </c>
      <c r="AZ8" s="944" t="s">
        <v>2572</v>
      </c>
    </row>
    <row r="9" spans="1:54" s="943" customFormat="1" ht="63.75">
      <c r="A9" s="2632"/>
      <c r="B9" s="952" t="s">
        <v>1932</v>
      </c>
      <c r="C9" s="2632"/>
      <c r="D9" s="2632"/>
      <c r="E9" s="865" t="s">
        <v>2695</v>
      </c>
      <c r="F9" s="865" t="s">
        <v>2696</v>
      </c>
      <c r="G9" s="865" t="s">
        <v>2697</v>
      </c>
      <c r="H9" s="865" t="s">
        <v>2574</v>
      </c>
      <c r="I9" s="865" t="s">
        <v>2698</v>
      </c>
      <c r="J9" s="865" t="s">
        <v>2699</v>
      </c>
      <c r="K9" s="865" t="s">
        <v>2700</v>
      </c>
      <c r="L9" s="865" t="s">
        <v>2701</v>
      </c>
      <c r="M9" s="865" t="s">
        <v>2702</v>
      </c>
      <c r="N9" s="865" t="s">
        <v>2695</v>
      </c>
      <c r="O9" s="865" t="s">
        <v>2696</v>
      </c>
      <c r="P9" s="865" t="s">
        <v>2697</v>
      </c>
      <c r="Q9" s="865" t="s">
        <v>2574</v>
      </c>
      <c r="R9" s="865" t="s">
        <v>2698</v>
      </c>
      <c r="S9" s="865" t="s">
        <v>2699</v>
      </c>
      <c r="T9" s="865" t="s">
        <v>2700</v>
      </c>
      <c r="U9" s="865" t="s">
        <v>2701</v>
      </c>
      <c r="V9" s="865" t="s">
        <v>2702</v>
      </c>
      <c r="W9" s="865"/>
      <c r="X9" s="865"/>
      <c r="Y9" s="865"/>
      <c r="Z9" s="865"/>
      <c r="AA9" s="865" t="s">
        <v>2585</v>
      </c>
      <c r="AB9" s="865" t="s">
        <v>2586</v>
      </c>
      <c r="AC9" s="865" t="s">
        <v>2587</v>
      </c>
      <c r="AD9" s="865" t="s">
        <v>2588</v>
      </c>
      <c r="AE9" s="865" t="s">
        <v>2589</v>
      </c>
      <c r="AF9" s="865" t="s">
        <v>2590</v>
      </c>
      <c r="AG9" s="865" t="s">
        <v>2591</v>
      </c>
      <c r="AH9" s="865" t="s">
        <v>2592</v>
      </c>
      <c r="AI9" s="865" t="s">
        <v>2593</v>
      </c>
      <c r="AJ9" s="865" t="s">
        <v>2594</v>
      </c>
      <c r="AK9" s="865" t="s">
        <v>2595</v>
      </c>
      <c r="AL9" s="865" t="s">
        <v>2703</v>
      </c>
      <c r="AM9" s="865" t="s">
        <v>2704</v>
      </c>
      <c r="AN9" s="865" t="s">
        <v>369</v>
      </c>
      <c r="AO9" s="865" t="s">
        <v>2598</v>
      </c>
      <c r="AP9" s="865" t="s">
        <v>2599</v>
      </c>
      <c r="AQ9" s="865" t="s">
        <v>2600</v>
      </c>
      <c r="AR9" s="865" t="s">
        <v>370</v>
      </c>
      <c r="AS9" s="865" t="s">
        <v>370</v>
      </c>
      <c r="AT9" s="952" t="s">
        <v>2601</v>
      </c>
      <c r="AU9" s="754" t="s">
        <v>2602</v>
      </c>
      <c r="AV9" s="893">
        <v>238059.626020022</v>
      </c>
      <c r="AX9" s="986"/>
      <c r="AY9" s="986"/>
      <c r="AZ9" s="986"/>
    </row>
    <row r="10" spans="1:54" ht="15.75">
      <c r="A10" s="2636" t="s">
        <v>2603</v>
      </c>
      <c r="B10" s="2636"/>
      <c r="C10" s="2636"/>
      <c r="D10" s="2636"/>
      <c r="E10" s="953" t="e">
        <f>+E381+E302+E219+E114+E56+E11+#REF!</f>
        <v>#REF!</v>
      </c>
      <c r="F10" s="953" t="e">
        <f>+F381+F302+F219+F114+F56+F11+#REF!</f>
        <v>#REF!</v>
      </c>
      <c r="G10" s="953" t="e">
        <f>+G381+G302+G219+G114+G56+G11+#REF!</f>
        <v>#REF!</v>
      </c>
      <c r="H10" s="953" t="e">
        <f>+H381+H302+H219+H114+H56+H11+#REF!</f>
        <v>#REF!</v>
      </c>
      <c r="I10" s="953" t="e">
        <f>+I381+I302+I219+I114+I56+I11+#REF!</f>
        <v>#REF!</v>
      </c>
      <c r="J10" s="953" t="e">
        <f>+J381+J302+J219+J114+J56+J11+#REF!</f>
        <v>#REF!</v>
      </c>
      <c r="K10" s="953" t="e">
        <f>+K381+K302+K219+K114+K56+K11+#REF!</f>
        <v>#REF!</v>
      </c>
      <c r="L10" s="953" t="e">
        <f>+L381+L302+L219+L114+L56+L11+#REF!</f>
        <v>#REF!</v>
      </c>
      <c r="M10" s="953" t="e">
        <f>+M381+M302+M219+M114+M56+M11+#REF!</f>
        <v>#REF!</v>
      </c>
      <c r="N10" s="953" t="e">
        <f>+N381+N302+N219+N114+N56+N11+#REF!</f>
        <v>#REF!</v>
      </c>
      <c r="O10" s="953" t="e">
        <f>+O381+O302+O219+O114+O56+O11+#REF!</f>
        <v>#REF!</v>
      </c>
      <c r="P10" s="953" t="e">
        <f>+P381+P302+P219+P114+P56+P11+#REF!</f>
        <v>#REF!</v>
      </c>
      <c r="Q10" s="953" t="e">
        <f>+Q381+Q302+Q219+Q114+Q56+Q11+#REF!</f>
        <v>#REF!</v>
      </c>
      <c r="R10" s="953" t="e">
        <f>+R381+R302+R219+R114+R56+R11+#REF!</f>
        <v>#REF!</v>
      </c>
      <c r="S10" s="953" t="e">
        <f>+S381+S302+S219+S114+S56+S11+#REF!</f>
        <v>#REF!</v>
      </c>
      <c r="T10" s="953" t="e">
        <f>+T381+T302+T219+T114+T56+T11+#REF!</f>
        <v>#REF!</v>
      </c>
      <c r="U10" s="953" t="e">
        <f>+U381+U302+U219+U114+U56+U11+#REF!</f>
        <v>#REF!</v>
      </c>
      <c r="V10" s="953" t="e">
        <f>+V381+V302+V219+V114+V56+V11+#REF!</f>
        <v>#REF!</v>
      </c>
      <c r="W10" s="953" t="e">
        <f>+W381+W302+W219+W114+W56+W11+#REF!</f>
        <v>#REF!</v>
      </c>
      <c r="X10" s="953" t="e">
        <f>+X381+X302+X219+X114+X56+X11+#REF!</f>
        <v>#REF!</v>
      </c>
      <c r="Y10" s="953" t="e">
        <f>+Y381+Y302+Y219+Y114+Y56+Y11+#REF!</f>
        <v>#REF!</v>
      </c>
      <c r="Z10" s="953" t="e">
        <f>+Z381+Z302+Z219+Z114+Z56+Z11+#REF!</f>
        <v>#REF!</v>
      </c>
      <c r="AA10" s="953" t="e">
        <f>+AA381+AA302+AA219+AA114+AA56+AA11+#REF!</f>
        <v>#REF!</v>
      </c>
      <c r="AB10" s="953" t="e">
        <f>+AB381+AB302+AB219+AB114+AB56+AB11+#REF!</f>
        <v>#N/A</v>
      </c>
      <c r="AC10" s="953" t="e">
        <f>+AC381+AC302+AC219+AC114+AC56+AC11+#REF!</f>
        <v>#REF!</v>
      </c>
      <c r="AD10" s="953" t="e">
        <f>+AD381+AD302+AD219+AD114+AD56+AD11+#REF!</f>
        <v>#N/A</v>
      </c>
      <c r="AE10" s="953" t="e">
        <f>+AE381+AE302+AE219+AE114+AE56+AE11+#REF!</f>
        <v>#N/A</v>
      </c>
      <c r="AF10" s="953" t="e">
        <f>+AF381+AF302+AF219+AF114+AF56+AF11+#REF!</f>
        <v>#REF!</v>
      </c>
      <c r="AG10" s="953" t="e">
        <f>+AG381+AG302+AG219+AG114+AG56+AG11+#REF!</f>
        <v>#REF!</v>
      </c>
      <c r="AH10" s="953" t="e">
        <f>+AH381+AH302+AH219+AH114+AH56+AH11+#REF!</f>
        <v>#N/A</v>
      </c>
      <c r="AI10" s="953" t="e">
        <f>+AI381+AI302+AI219+AI114+AI56+AI11+#REF!</f>
        <v>#N/A</v>
      </c>
      <c r="AJ10" s="953" t="e">
        <f>+AJ381+AJ302+AJ219+AJ114+AJ56+AJ11+#REF!</f>
        <v>#N/A</v>
      </c>
      <c r="AK10" s="953" t="e">
        <f>+AK381+AK302+AK219+AK114+AK56+AK11+#REF!</f>
        <v>#N/A</v>
      </c>
      <c r="AL10" s="953" t="e">
        <f>+AL381+AL302+AL219+AL114+AL56+AL11+#REF!</f>
        <v>#REF!</v>
      </c>
      <c r="AM10" s="953" t="e">
        <f>+AM381+AM302+AM219+AM114+AM56+AM11+#REF!</f>
        <v>#REF!</v>
      </c>
      <c r="AN10" s="953" t="e">
        <f>+AN381+AN302+AN219+AN114+AN56+AN11+#REF!</f>
        <v>#N/A</v>
      </c>
      <c r="AO10" s="953" t="e">
        <f>+AO381+AO302+AO219+AO114+AO56+AO11+#REF!</f>
        <v>#N/A</v>
      </c>
      <c r="AP10" s="953" t="e">
        <f>+AP381+AP302+AP219+AP114+AP56+AP11+#REF!</f>
        <v>#REF!</v>
      </c>
      <c r="AQ10" s="953" t="e">
        <f>+AQ381+AQ302+AQ219+AQ114+AQ56+AQ11+#REF!</f>
        <v>#REF!</v>
      </c>
      <c r="AR10" s="953" t="e">
        <f>+AR381+AR302+AR219+AR114+AR56+AR11+#REF!</f>
        <v>#REF!</v>
      </c>
      <c r="AS10" s="953" t="e">
        <f>+AS381+AS302+AS219+AS114+AS56+AS11+#REF!</f>
        <v>#REF!</v>
      </c>
      <c r="AT10" s="979"/>
      <c r="AU10" s="756" t="s">
        <v>373</v>
      </c>
      <c r="AV10" s="980">
        <v>0.5</v>
      </c>
    </row>
    <row r="11" spans="1:54" ht="15.75">
      <c r="A11" s="954" t="s">
        <v>427</v>
      </c>
      <c r="B11" s="955"/>
      <c r="C11" s="955"/>
      <c r="D11" s="956"/>
      <c r="E11" s="953">
        <f t="shared" ref="E11:AE11" si="0">SUM(E13:E55)</f>
        <v>1</v>
      </c>
      <c r="F11" s="953">
        <f t="shared" si="0"/>
        <v>0</v>
      </c>
      <c r="G11" s="953">
        <f t="shared" si="0"/>
        <v>0</v>
      </c>
      <c r="H11" s="953">
        <f t="shared" si="0"/>
        <v>0</v>
      </c>
      <c r="I11" s="953">
        <f t="shared" si="0"/>
        <v>0</v>
      </c>
      <c r="J11" s="953">
        <f t="shared" si="0"/>
        <v>0</v>
      </c>
      <c r="K11" s="953">
        <f t="shared" si="0"/>
        <v>0</v>
      </c>
      <c r="L11" s="953">
        <f t="shared" si="0"/>
        <v>0</v>
      </c>
      <c r="M11" s="953">
        <f t="shared" si="0"/>
        <v>0</v>
      </c>
      <c r="N11" s="953">
        <f t="shared" si="0"/>
        <v>5.9999999999999902</v>
      </c>
      <c r="O11" s="953">
        <f t="shared" si="0"/>
        <v>0</v>
      </c>
      <c r="P11" s="953">
        <f t="shared" si="0"/>
        <v>0</v>
      </c>
      <c r="Q11" s="953">
        <f t="shared" si="0"/>
        <v>0</v>
      </c>
      <c r="R11" s="953">
        <f t="shared" si="0"/>
        <v>0</v>
      </c>
      <c r="S11" s="953">
        <f t="shared" si="0"/>
        <v>0</v>
      </c>
      <c r="T11" s="953">
        <f t="shared" si="0"/>
        <v>0</v>
      </c>
      <c r="U11" s="953">
        <f t="shared" si="0"/>
        <v>0</v>
      </c>
      <c r="V11" s="953">
        <f t="shared" si="0"/>
        <v>0</v>
      </c>
      <c r="W11" s="953">
        <f t="shared" si="0"/>
        <v>0</v>
      </c>
      <c r="X11" s="953">
        <f t="shared" si="0"/>
        <v>0</v>
      </c>
      <c r="Y11" s="953">
        <f t="shared" si="0"/>
        <v>0</v>
      </c>
      <c r="Z11" s="953">
        <f t="shared" si="0"/>
        <v>0</v>
      </c>
      <c r="AA11" s="953">
        <f t="shared" si="0"/>
        <v>5.9999999999999902</v>
      </c>
      <c r="AB11" s="953">
        <f t="shared" si="0"/>
        <v>0</v>
      </c>
      <c r="AC11" s="953">
        <f t="shared" si="0"/>
        <v>0</v>
      </c>
      <c r="AD11" s="953" t="e">
        <f t="shared" si="0"/>
        <v>#N/A</v>
      </c>
      <c r="AE11" s="953" t="e">
        <f t="shared" si="0"/>
        <v>#N/A</v>
      </c>
      <c r="AF11" s="953"/>
      <c r="AG11" s="953">
        <f t="shared" ref="AG11:AS11" si="1">SUM(AG13:AG55)</f>
        <v>0</v>
      </c>
      <c r="AH11" s="953" t="e">
        <f t="shared" si="1"/>
        <v>#N/A</v>
      </c>
      <c r="AI11" s="953" t="e">
        <f t="shared" si="1"/>
        <v>#N/A</v>
      </c>
      <c r="AJ11" s="953" t="e">
        <f t="shared" si="1"/>
        <v>#N/A</v>
      </c>
      <c r="AK11" s="953" t="e">
        <f t="shared" si="1"/>
        <v>#N/A</v>
      </c>
      <c r="AL11" s="953">
        <f t="shared" si="1"/>
        <v>0</v>
      </c>
      <c r="AM11" s="953">
        <f t="shared" si="1"/>
        <v>0</v>
      </c>
      <c r="AN11" s="953" t="e">
        <f t="shared" si="1"/>
        <v>#N/A</v>
      </c>
      <c r="AO11" s="953" t="e">
        <f t="shared" si="1"/>
        <v>#N/A</v>
      </c>
      <c r="AP11" s="953">
        <f t="shared" si="1"/>
        <v>0</v>
      </c>
      <c r="AQ11" s="953">
        <f t="shared" si="1"/>
        <v>0</v>
      </c>
      <c r="AR11" s="953">
        <f t="shared" si="1"/>
        <v>0</v>
      </c>
      <c r="AS11" s="953">
        <f t="shared" si="1"/>
        <v>0</v>
      </c>
      <c r="AT11" s="979"/>
      <c r="AU11" s="756" t="s">
        <v>2604</v>
      </c>
      <c r="AV11" s="980">
        <v>0.2</v>
      </c>
    </row>
    <row r="12" spans="1:54" ht="15.75">
      <c r="A12" s="954"/>
      <c r="B12" s="955"/>
      <c r="C12" s="955"/>
      <c r="D12" s="956"/>
      <c r="E12" s="953"/>
      <c r="F12" s="953"/>
      <c r="G12" s="953"/>
      <c r="H12" s="953"/>
      <c r="I12" s="953"/>
      <c r="J12" s="953"/>
      <c r="K12" s="953"/>
      <c r="L12" s="953"/>
      <c r="M12" s="953"/>
      <c r="N12" s="953"/>
      <c r="O12" s="953"/>
      <c r="P12" s="953"/>
      <c r="Q12" s="953"/>
      <c r="R12" s="953"/>
      <c r="S12" s="953"/>
      <c r="T12" s="953"/>
      <c r="U12" s="953"/>
      <c r="V12" s="953"/>
      <c r="W12" s="953"/>
      <c r="X12" s="953"/>
      <c r="Y12" s="953"/>
      <c r="Z12" s="953"/>
      <c r="AA12" s="953"/>
      <c r="AB12" s="953"/>
      <c r="AC12" s="953"/>
      <c r="AD12" s="953"/>
      <c r="AE12" s="953"/>
      <c r="AF12" s="953"/>
      <c r="AG12" s="953"/>
      <c r="AH12" s="953"/>
      <c r="AI12" s="953"/>
      <c r="AJ12" s="953"/>
      <c r="AK12" s="953"/>
      <c r="AL12" s="953"/>
      <c r="AM12" s="953"/>
      <c r="AN12" s="953"/>
      <c r="AO12" s="953"/>
      <c r="AP12" s="953"/>
      <c r="AQ12" s="953"/>
      <c r="AR12" s="953"/>
      <c r="AS12" s="953"/>
      <c r="AT12" s="979"/>
      <c r="AW12" s="175" t="s">
        <v>2605</v>
      </c>
      <c r="AX12" s="175" t="s">
        <v>2606</v>
      </c>
    </row>
    <row r="13" spans="1:54" ht="15.75">
      <c r="A13" s="957">
        <v>1</v>
      </c>
      <c r="B13" s="958" t="str">
        <f>VLOOKUP(C13,'[8]DS CN MOI UP'!$B$10:$C$489,2,0)</f>
        <v>02440</v>
      </c>
      <c r="C13" s="959" t="s">
        <v>357</v>
      </c>
      <c r="D13" s="957" t="s">
        <v>15</v>
      </c>
      <c r="E13" s="960"/>
      <c r="F13" s="960"/>
      <c r="G13" s="960"/>
      <c r="H13" s="960"/>
      <c r="I13" s="960"/>
      <c r="J13" s="960"/>
      <c r="K13" s="960"/>
      <c r="L13" s="960"/>
      <c r="M13" s="960"/>
      <c r="N13" s="960">
        <f t="shared" ref="N13:N55" si="2">E13/$N$8</f>
        <v>0</v>
      </c>
      <c r="O13" s="960">
        <f t="shared" ref="O13:O55" si="3">F13/$O$8</f>
        <v>0</v>
      </c>
      <c r="P13" s="960">
        <f t="shared" ref="P13:P55" si="4">G13/$P$8</f>
        <v>0</v>
      </c>
      <c r="Q13" s="960">
        <f t="shared" ref="Q13:Q55" si="5">H13/$Q$8</f>
        <v>0</v>
      </c>
      <c r="R13" s="960">
        <f t="shared" ref="R13:R55" si="6">I13/$R$8</f>
        <v>0</v>
      </c>
      <c r="S13" s="960">
        <f t="shared" ref="S13:S55" si="7">J13/$S$8</f>
        <v>0</v>
      </c>
      <c r="T13" s="960">
        <f t="shared" ref="T13:T55" si="8">K13/$T$8</f>
        <v>0</v>
      </c>
      <c r="U13" s="960">
        <f t="shared" ref="U13:U55" si="9">L13/$U$8</f>
        <v>0</v>
      </c>
      <c r="V13" s="960">
        <f t="shared" ref="V13:V55" si="10">M13/$V$8</f>
        <v>0</v>
      </c>
      <c r="W13" s="960"/>
      <c r="X13" s="960"/>
      <c r="Y13" s="960"/>
      <c r="Z13" s="960"/>
      <c r="AA13" s="975">
        <f t="shared" ref="AA13:AA55" si="11">SUM(N13:Z13)</f>
        <v>0</v>
      </c>
      <c r="AB13" s="975"/>
      <c r="AC13" s="975"/>
      <c r="AD13" s="975">
        <f>VLOOKUP(C13,'[8]MỦ TẠP'!$D$10:$AM$450,36,0)</f>
        <v>0</v>
      </c>
      <c r="AE13" s="976">
        <f>SUM(AB13:AD13)</f>
        <v>0</v>
      </c>
      <c r="AF13" s="975"/>
      <c r="AG13" s="975"/>
      <c r="AH13" s="975">
        <f t="shared" ref="AH13:AH55" si="12">AE13*$AV$13+AF13*$AV$10</f>
        <v>0</v>
      </c>
      <c r="AI13" s="975">
        <f>VLOOKUP(C13,'[8]CHẤM CÔNG '!$F$10:$AM$451,33,0)</f>
        <v>0</v>
      </c>
      <c r="AJ13" s="975">
        <f>VLOOKUP(C13,'[8]CHẤM CÔNG '!$F$10:$AM$451,34,0)</f>
        <v>0</v>
      </c>
      <c r="AK13" s="975"/>
      <c r="AL13" s="975"/>
      <c r="AM13" s="975"/>
      <c r="AN13" s="975">
        <f>VLOOKUP(C13,'[8]CHẤM CÔNG '!$F$10:$AN$451,35,0)</f>
        <v>0</v>
      </c>
      <c r="AO13" s="975">
        <f>VLOOKUP(C13,'[8]CHẤM CÔNG '!$F$10:$AR$451,36,0)</f>
        <v>0</v>
      </c>
      <c r="AP13" s="975"/>
      <c r="AQ13" s="975"/>
      <c r="AR13" s="975"/>
      <c r="AS13" s="981"/>
      <c r="AT13" s="982">
        <f>VLOOKUP(C13,'[8]MỦ TẠP'!$D$10:$AO$450,38,0)</f>
        <v>0</v>
      </c>
      <c r="AU13" s="983" t="s">
        <v>2607</v>
      </c>
      <c r="AV13" s="984">
        <f>AX13/AW13</f>
        <v>0.418396589585113</v>
      </c>
      <c r="AW13" s="755">
        <v>29334</v>
      </c>
      <c r="AX13" s="755">
        <v>12273.245558889699</v>
      </c>
      <c r="AY13" s="987">
        <v>41.8396589585114</v>
      </c>
      <c r="AZ13" s="988"/>
      <c r="BA13" s="946">
        <f>+AX13/AW13*100</f>
        <v>41.839658958511301</v>
      </c>
      <c r="BB13" s="946">
        <f>+AY13-BA13</f>
        <v>1.13686837721616E-13</v>
      </c>
    </row>
    <row r="14" spans="1:54" ht="15.75">
      <c r="A14" s="957">
        <v>2</v>
      </c>
      <c r="B14" s="958" t="str">
        <f>VLOOKUP(C14,'[8]DS CN MOI UP'!$B$10:$C$489,2,0)</f>
        <v>03423</v>
      </c>
      <c r="C14" s="961" t="s">
        <v>358</v>
      </c>
      <c r="D14" s="957" t="s">
        <v>15</v>
      </c>
      <c r="E14" s="960"/>
      <c r="F14" s="960"/>
      <c r="G14" s="960"/>
      <c r="H14" s="960"/>
      <c r="I14" s="960"/>
      <c r="J14" s="960"/>
      <c r="K14" s="960"/>
      <c r="L14" s="960"/>
      <c r="M14" s="960"/>
      <c r="N14" s="960">
        <f t="shared" si="2"/>
        <v>0</v>
      </c>
      <c r="O14" s="960">
        <f t="shared" si="3"/>
        <v>0</v>
      </c>
      <c r="P14" s="960">
        <f t="shared" si="4"/>
        <v>0</v>
      </c>
      <c r="Q14" s="960">
        <f t="shared" si="5"/>
        <v>0</v>
      </c>
      <c r="R14" s="960">
        <f t="shared" si="6"/>
        <v>0</v>
      </c>
      <c r="S14" s="960">
        <f t="shared" si="7"/>
        <v>0</v>
      </c>
      <c r="T14" s="960">
        <f t="shared" si="8"/>
        <v>0</v>
      </c>
      <c r="U14" s="960">
        <f t="shared" si="9"/>
        <v>0</v>
      </c>
      <c r="V14" s="960">
        <f t="shared" si="10"/>
        <v>0</v>
      </c>
      <c r="W14" s="960"/>
      <c r="X14" s="960"/>
      <c r="Y14" s="960"/>
      <c r="Z14" s="960"/>
      <c r="AA14" s="975">
        <f t="shared" si="11"/>
        <v>0</v>
      </c>
      <c r="AB14" s="975"/>
      <c r="AC14" s="975"/>
      <c r="AD14" s="975">
        <f>VLOOKUP(C14,'[8]MỦ TẠP'!$D$10:$AM$450,36,0)</f>
        <v>0</v>
      </c>
      <c r="AE14" s="976">
        <f t="shared" ref="AE14:AE55" si="13">SUM(AB14:AD14)</f>
        <v>0</v>
      </c>
      <c r="AF14" s="975"/>
      <c r="AG14" s="975"/>
      <c r="AH14" s="975">
        <f t="shared" si="12"/>
        <v>0</v>
      </c>
      <c r="AI14" s="975">
        <f>VLOOKUP(C14,'[8]CHẤM CÔNG '!$F$10:$AM$451,33,0)</f>
        <v>0</v>
      </c>
      <c r="AJ14" s="975">
        <f>VLOOKUP(C14,'[8]CHẤM CÔNG '!$F$10:$AM$451,34,0)</f>
        <v>0</v>
      </c>
      <c r="AK14" s="975"/>
      <c r="AL14" s="975"/>
      <c r="AM14" s="975"/>
      <c r="AN14" s="975">
        <f>VLOOKUP(C14,'[8]CHẤM CÔNG '!$F$10:$AN$451,35,0)</f>
        <v>0</v>
      </c>
      <c r="AO14" s="975">
        <f>VLOOKUP(C14,'[8]CHẤM CÔNG '!$F$10:$AR$451,36,0)</f>
        <v>0</v>
      </c>
      <c r="AP14" s="975"/>
      <c r="AQ14" s="975"/>
      <c r="AR14" s="975"/>
      <c r="AS14" s="981"/>
      <c r="AT14" s="982">
        <f>VLOOKUP(C14,'[8]MỦ TẠP'!$D$10:$AO$450,38,0)</f>
        <v>0</v>
      </c>
      <c r="AU14" s="983" t="s">
        <v>2608</v>
      </c>
      <c r="AV14" s="984">
        <f t="shared" ref="AV14:AV21" si="14">AX14/AW14</f>
        <v>0.41431647579105801</v>
      </c>
      <c r="AW14" s="755">
        <v>26604</v>
      </c>
      <c r="AX14" s="755">
        <v>11022.4755219453</v>
      </c>
      <c r="AY14" s="987">
        <v>41.4316475791058</v>
      </c>
      <c r="AZ14" s="988"/>
      <c r="BA14" s="946">
        <f t="shared" ref="BA14:BA21" si="15">+AX14/AW14*100</f>
        <v>41.4316475791058</v>
      </c>
      <c r="BB14" s="946">
        <f t="shared" ref="BB14:BB21" si="16">+AY14-BA14</f>
        <v>0</v>
      </c>
    </row>
    <row r="15" spans="1:54" ht="15.75">
      <c r="A15" s="957">
        <v>3</v>
      </c>
      <c r="B15" s="958" t="str">
        <f>VLOOKUP(C15,'[8]DS CN MOI UP'!$B$10:$C$489,2,0)</f>
        <v>03425</v>
      </c>
      <c r="C15" s="962" t="s">
        <v>385</v>
      </c>
      <c r="D15" s="957" t="s">
        <v>15</v>
      </c>
      <c r="E15" s="960"/>
      <c r="F15" s="960"/>
      <c r="G15" s="960"/>
      <c r="H15" s="960"/>
      <c r="I15" s="960"/>
      <c r="J15" s="960"/>
      <c r="K15" s="960"/>
      <c r="L15" s="960"/>
      <c r="M15" s="960"/>
      <c r="N15" s="960">
        <f t="shared" si="2"/>
        <v>0</v>
      </c>
      <c r="O15" s="960">
        <f t="shared" si="3"/>
        <v>0</v>
      </c>
      <c r="P15" s="960">
        <f t="shared" si="4"/>
        <v>0</v>
      </c>
      <c r="Q15" s="960">
        <f t="shared" si="5"/>
        <v>0</v>
      </c>
      <c r="R15" s="960">
        <f t="shared" si="6"/>
        <v>0</v>
      </c>
      <c r="S15" s="960">
        <f t="shared" si="7"/>
        <v>0</v>
      </c>
      <c r="T15" s="960">
        <f t="shared" si="8"/>
        <v>0</v>
      </c>
      <c r="U15" s="960">
        <f t="shared" si="9"/>
        <v>0</v>
      </c>
      <c r="V15" s="960">
        <f t="shared" si="10"/>
        <v>0</v>
      </c>
      <c r="W15" s="960"/>
      <c r="X15" s="960"/>
      <c r="Y15" s="960"/>
      <c r="Z15" s="960"/>
      <c r="AA15" s="975">
        <f t="shared" si="11"/>
        <v>0</v>
      </c>
      <c r="AB15" s="975"/>
      <c r="AC15" s="975"/>
      <c r="AD15" s="975">
        <f>VLOOKUP(C15,'[8]MỦ TẠP'!$D$10:$AM$450,36,0)</f>
        <v>0</v>
      </c>
      <c r="AE15" s="976">
        <f t="shared" si="13"/>
        <v>0</v>
      </c>
      <c r="AF15" s="975"/>
      <c r="AG15" s="975"/>
      <c r="AH15" s="975">
        <f t="shared" si="12"/>
        <v>0</v>
      </c>
      <c r="AI15" s="975">
        <f>VLOOKUP(C15,'[8]CHẤM CÔNG '!$F$10:$AM$451,33,0)</f>
        <v>0</v>
      </c>
      <c r="AJ15" s="975">
        <f>VLOOKUP(C15,'[8]CHẤM CÔNG '!$F$10:$AM$451,34,0)</f>
        <v>0</v>
      </c>
      <c r="AK15" s="975"/>
      <c r="AL15" s="975"/>
      <c r="AM15" s="975"/>
      <c r="AN15" s="975">
        <f>VLOOKUP(C15,'[8]CHẤM CÔNG '!$F$10:$AN$451,35,0)</f>
        <v>0</v>
      </c>
      <c r="AO15" s="975">
        <f>VLOOKUP(C15,'[8]CHẤM CÔNG '!$F$10:$AR$451,36,0)</f>
        <v>0</v>
      </c>
      <c r="AP15" s="975"/>
      <c r="AQ15" s="975"/>
      <c r="AR15" s="975"/>
      <c r="AS15" s="981"/>
      <c r="AT15" s="982">
        <f>VLOOKUP(C15,'[8]MỦ TẠP'!$D$10:$AO$450,38,0)</f>
        <v>0</v>
      </c>
      <c r="AU15" s="983" t="s">
        <v>2609</v>
      </c>
      <c r="AV15" s="984">
        <f t="shared" si="14"/>
        <v>0.40552284225871099</v>
      </c>
      <c r="AW15" s="755">
        <v>76488</v>
      </c>
      <c r="AX15" s="755">
        <v>31017.6311586843</v>
      </c>
      <c r="AY15" s="987">
        <v>40.552284225871198</v>
      </c>
      <c r="AZ15" s="988"/>
      <c r="BA15" s="946">
        <f t="shared" si="15"/>
        <v>40.552284225871098</v>
      </c>
      <c r="BB15" s="946">
        <f t="shared" si="16"/>
        <v>7.8159700933610995E-14</v>
      </c>
    </row>
    <row r="16" spans="1:54" ht="15.75">
      <c r="A16" s="957">
        <v>4</v>
      </c>
      <c r="B16" s="958" t="e">
        <f>VLOOKUP(C16,'[8]DS CN MOI UP'!$B$10:$C$489,2,0)</f>
        <v>#N/A</v>
      </c>
      <c r="C16" s="962" t="s">
        <v>1936</v>
      </c>
      <c r="D16" s="957" t="s">
        <v>15</v>
      </c>
      <c r="E16" s="960"/>
      <c r="F16" s="960"/>
      <c r="G16" s="960"/>
      <c r="H16" s="960"/>
      <c r="I16" s="960"/>
      <c r="J16" s="960"/>
      <c r="K16" s="960"/>
      <c r="L16" s="960"/>
      <c r="M16" s="960"/>
      <c r="N16" s="960">
        <f t="shared" si="2"/>
        <v>0</v>
      </c>
      <c r="O16" s="960">
        <f t="shared" si="3"/>
        <v>0</v>
      </c>
      <c r="P16" s="960">
        <f t="shared" si="4"/>
        <v>0</v>
      </c>
      <c r="Q16" s="960">
        <f t="shared" si="5"/>
        <v>0</v>
      </c>
      <c r="R16" s="960">
        <f t="shared" si="6"/>
        <v>0</v>
      </c>
      <c r="S16" s="960">
        <f t="shared" si="7"/>
        <v>0</v>
      </c>
      <c r="T16" s="960">
        <f t="shared" si="8"/>
        <v>0</v>
      </c>
      <c r="U16" s="960">
        <f t="shared" si="9"/>
        <v>0</v>
      </c>
      <c r="V16" s="960">
        <f t="shared" si="10"/>
        <v>0</v>
      </c>
      <c r="W16" s="960"/>
      <c r="X16" s="960"/>
      <c r="Y16" s="960"/>
      <c r="Z16" s="960"/>
      <c r="AA16" s="975">
        <f t="shared" si="11"/>
        <v>0</v>
      </c>
      <c r="AB16" s="975"/>
      <c r="AC16" s="975"/>
      <c r="AD16" s="975">
        <f>VLOOKUP(C16,'[8]MỦ TẠP'!$D$10:$AM$450,36,0)</f>
        <v>0</v>
      </c>
      <c r="AE16" s="976">
        <f t="shared" si="13"/>
        <v>0</v>
      </c>
      <c r="AF16" s="975"/>
      <c r="AG16" s="975"/>
      <c r="AH16" s="975">
        <f t="shared" si="12"/>
        <v>0</v>
      </c>
      <c r="AI16" s="975">
        <f>VLOOKUP(C16,'[8]CHẤM CÔNG '!$F$10:$AM$451,33,0)</f>
        <v>0</v>
      </c>
      <c r="AJ16" s="975">
        <f>VLOOKUP(C16,'[8]CHẤM CÔNG '!$F$10:$AM$451,34,0)</f>
        <v>0</v>
      </c>
      <c r="AK16" s="975">
        <f>SUM(AI16:AJ16,AN16)</f>
        <v>0</v>
      </c>
      <c r="AL16" s="975"/>
      <c r="AM16" s="975"/>
      <c r="AN16" s="975">
        <f>VLOOKUP(C16,'[8]CHẤM CÔNG '!$F$10:$AN$451,35,0)</f>
        <v>0</v>
      </c>
      <c r="AO16" s="975">
        <f>VLOOKUP(C16,'[8]CHẤM CÔNG '!$F$10:$AR$451,36,0)</f>
        <v>0</v>
      </c>
      <c r="AP16" s="975"/>
      <c r="AQ16" s="975"/>
      <c r="AR16" s="975"/>
      <c r="AS16" s="981"/>
      <c r="AT16" s="982">
        <f>VLOOKUP(C16,'[8]MỦ TẠP'!$D$10:$AO$450,38,0)</f>
        <v>0</v>
      </c>
      <c r="AU16" s="983" t="s">
        <v>2610</v>
      </c>
      <c r="AV16" s="984">
        <f t="shared" si="14"/>
        <v>0.40863996224284999</v>
      </c>
      <c r="AW16" s="755">
        <v>70074</v>
      </c>
      <c r="AX16" s="755">
        <v>28635.0367142055</v>
      </c>
      <c r="AY16" s="987">
        <v>40.863996224285003</v>
      </c>
      <c r="AZ16" s="988"/>
      <c r="BA16" s="946">
        <f t="shared" si="15"/>
        <v>40.863996224285003</v>
      </c>
      <c r="BB16" s="946">
        <f t="shared" si="16"/>
        <v>0</v>
      </c>
    </row>
    <row r="17" spans="1:54" ht="15.75">
      <c r="A17" s="957">
        <v>5</v>
      </c>
      <c r="B17" s="958" t="str">
        <f>VLOOKUP(C17,'[8]DS CN MOI UP'!$B$10:$C$489,2,0)</f>
        <v>03427</v>
      </c>
      <c r="C17" s="963" t="s">
        <v>387</v>
      </c>
      <c r="D17" s="957" t="s">
        <v>15</v>
      </c>
      <c r="E17" s="960"/>
      <c r="F17" s="960"/>
      <c r="G17" s="960"/>
      <c r="H17" s="960"/>
      <c r="I17" s="960"/>
      <c r="J17" s="960"/>
      <c r="K17" s="960"/>
      <c r="L17" s="960"/>
      <c r="M17" s="960"/>
      <c r="N17" s="960">
        <f t="shared" si="2"/>
        <v>0</v>
      </c>
      <c r="O17" s="960">
        <f t="shared" si="3"/>
        <v>0</v>
      </c>
      <c r="P17" s="960">
        <f t="shared" si="4"/>
        <v>0</v>
      </c>
      <c r="Q17" s="960">
        <f t="shared" si="5"/>
        <v>0</v>
      </c>
      <c r="R17" s="960">
        <f t="shared" si="6"/>
        <v>0</v>
      </c>
      <c r="S17" s="960">
        <f t="shared" si="7"/>
        <v>0</v>
      </c>
      <c r="T17" s="960">
        <f t="shared" si="8"/>
        <v>0</v>
      </c>
      <c r="U17" s="960">
        <f t="shared" si="9"/>
        <v>0</v>
      </c>
      <c r="V17" s="960">
        <f t="shared" si="10"/>
        <v>0</v>
      </c>
      <c r="W17" s="960"/>
      <c r="X17" s="960"/>
      <c r="Y17" s="960"/>
      <c r="Z17" s="960"/>
      <c r="AA17" s="975">
        <f t="shared" si="11"/>
        <v>0</v>
      </c>
      <c r="AB17" s="975"/>
      <c r="AC17" s="975"/>
      <c r="AD17" s="975">
        <f>VLOOKUP(C17,'[8]MỦ TẠP'!$D$10:$AM$450,36,0)</f>
        <v>0</v>
      </c>
      <c r="AE17" s="976">
        <f t="shared" si="13"/>
        <v>0</v>
      </c>
      <c r="AF17" s="975"/>
      <c r="AG17" s="975"/>
      <c r="AH17" s="975">
        <f t="shared" si="12"/>
        <v>0</v>
      </c>
      <c r="AI17" s="975">
        <f>VLOOKUP(C17,'[8]CHẤM CÔNG '!$F$10:$AM$451,33,0)</f>
        <v>0</v>
      </c>
      <c r="AJ17" s="975">
        <f>VLOOKUP(C17,'[8]CHẤM CÔNG '!$F$10:$AM$451,34,0)</f>
        <v>0</v>
      </c>
      <c r="AK17" s="975">
        <f t="shared" ref="AK17" si="17">SUM(AI17:AJ17,AN17)</f>
        <v>0</v>
      </c>
      <c r="AL17" s="975"/>
      <c r="AM17" s="975"/>
      <c r="AN17" s="975">
        <f>VLOOKUP(C17,'[8]CHẤM CÔNG '!$F$10:$AN$451,35,0)</f>
        <v>0</v>
      </c>
      <c r="AO17" s="975">
        <f>VLOOKUP(C17,'[8]CHẤM CÔNG '!$F$10:$AR$451,36,0)</f>
        <v>0</v>
      </c>
      <c r="AP17" s="975"/>
      <c r="AQ17" s="975"/>
      <c r="AR17" s="975"/>
      <c r="AS17" s="981"/>
      <c r="AT17" s="982">
        <f>VLOOKUP(C17,'[8]MỦ TẠP'!$D$10:$AO$450,38,0)</f>
        <v>0</v>
      </c>
      <c r="AU17" s="983" t="s">
        <v>2611</v>
      </c>
      <c r="AV17" s="984">
        <f t="shared" si="14"/>
        <v>0.41347439085117199</v>
      </c>
      <c r="AW17" s="696">
        <v>45982</v>
      </c>
      <c r="AX17" s="696">
        <v>19012.379440118599</v>
      </c>
      <c r="AY17" s="987">
        <v>41.347439085117102</v>
      </c>
      <c r="AZ17" s="988"/>
      <c r="BA17" s="946">
        <f t="shared" si="15"/>
        <v>41.347439085117202</v>
      </c>
      <c r="BB17" s="946">
        <f t="shared" si="16"/>
        <v>-1.13686837721616E-13</v>
      </c>
    </row>
    <row r="18" spans="1:54" ht="15.75">
      <c r="A18" s="957">
        <v>6</v>
      </c>
      <c r="B18" s="958" t="str">
        <f>VLOOKUP(C18,'[8]DS CN MOI UP'!$B$10:$C$489,2,0)</f>
        <v>03428</v>
      </c>
      <c r="C18" s="963" t="s">
        <v>388</v>
      </c>
      <c r="D18" s="957" t="s">
        <v>15</v>
      </c>
      <c r="E18" s="960"/>
      <c r="F18" s="960"/>
      <c r="G18" s="960"/>
      <c r="H18" s="960"/>
      <c r="I18" s="960"/>
      <c r="J18" s="960"/>
      <c r="K18" s="960"/>
      <c r="L18" s="960"/>
      <c r="M18" s="960"/>
      <c r="N18" s="960">
        <f t="shared" si="2"/>
        <v>0</v>
      </c>
      <c r="O18" s="960">
        <f t="shared" si="3"/>
        <v>0</v>
      </c>
      <c r="P18" s="960">
        <f t="shared" si="4"/>
        <v>0</v>
      </c>
      <c r="Q18" s="960">
        <f t="shared" si="5"/>
        <v>0</v>
      </c>
      <c r="R18" s="960">
        <f t="shared" si="6"/>
        <v>0</v>
      </c>
      <c r="S18" s="960">
        <f t="shared" si="7"/>
        <v>0</v>
      </c>
      <c r="T18" s="960">
        <f t="shared" si="8"/>
        <v>0</v>
      </c>
      <c r="U18" s="960">
        <f t="shared" si="9"/>
        <v>0</v>
      </c>
      <c r="V18" s="960">
        <f t="shared" si="10"/>
        <v>0</v>
      </c>
      <c r="W18" s="960"/>
      <c r="X18" s="960"/>
      <c r="Y18" s="960"/>
      <c r="Z18" s="960"/>
      <c r="AA18" s="975">
        <f t="shared" si="11"/>
        <v>0</v>
      </c>
      <c r="AB18" s="975"/>
      <c r="AC18" s="975"/>
      <c r="AD18" s="975">
        <f>VLOOKUP(C18,'[8]MỦ TẠP'!$D$10:$AM$450,36,0)</f>
        <v>0</v>
      </c>
      <c r="AE18" s="976">
        <f t="shared" si="13"/>
        <v>0</v>
      </c>
      <c r="AF18" s="975"/>
      <c r="AG18" s="975"/>
      <c r="AH18" s="975">
        <f t="shared" si="12"/>
        <v>0</v>
      </c>
      <c r="AI18" s="975">
        <f>VLOOKUP(C18,'[8]CHẤM CÔNG '!$F$10:$AM$451,33,0)</f>
        <v>0</v>
      </c>
      <c r="AJ18" s="975">
        <f>VLOOKUP(C18,'[8]CHẤM CÔNG '!$F$10:$AM$451,34,0)</f>
        <v>0</v>
      </c>
      <c r="AK18" s="975"/>
      <c r="AL18" s="975"/>
      <c r="AM18" s="975"/>
      <c r="AN18" s="975">
        <f>VLOOKUP(C18,'[8]CHẤM CÔNG '!$F$10:$AN$451,35,0)</f>
        <v>0</v>
      </c>
      <c r="AO18" s="975">
        <f>VLOOKUP(C18,'[8]CHẤM CÔNG '!$F$10:$AR$451,36,0)</f>
        <v>0</v>
      </c>
      <c r="AP18" s="975"/>
      <c r="AQ18" s="975"/>
      <c r="AR18" s="975"/>
      <c r="AS18" s="981"/>
      <c r="AT18" s="982">
        <f>VLOOKUP(C18,'[8]MỦ TẠP'!$D$10:$AO$450,38,0)</f>
        <v>0</v>
      </c>
      <c r="AU18" s="983" t="s">
        <v>2612</v>
      </c>
      <c r="AV18" s="984">
        <f t="shared" si="14"/>
        <v>0.387915668353424</v>
      </c>
      <c r="AW18" s="696">
        <v>66625</v>
      </c>
      <c r="AX18" s="696">
        <v>25844.881404046901</v>
      </c>
      <c r="AY18" s="987">
        <v>38.7915668353425</v>
      </c>
      <c r="AZ18" s="988"/>
      <c r="BA18" s="946">
        <f t="shared" si="15"/>
        <v>38.791566835342401</v>
      </c>
      <c r="BB18" s="946">
        <f t="shared" si="16"/>
        <v>6.3948846218409004E-14</v>
      </c>
    </row>
    <row r="19" spans="1:54" ht="15.75">
      <c r="A19" s="957">
        <v>7</v>
      </c>
      <c r="B19" s="958" t="str">
        <f>VLOOKUP(C19,'[8]DS CN MOI UP'!$B$10:$C$489,2,0)</f>
        <v>02441</v>
      </c>
      <c r="C19" s="963" t="s">
        <v>389</v>
      </c>
      <c r="D19" s="957" t="s">
        <v>15</v>
      </c>
      <c r="E19" s="960"/>
      <c r="F19" s="960"/>
      <c r="G19" s="960"/>
      <c r="H19" s="960"/>
      <c r="I19" s="960"/>
      <c r="J19" s="960"/>
      <c r="K19" s="960"/>
      <c r="L19" s="960"/>
      <c r="M19" s="960"/>
      <c r="N19" s="960">
        <f t="shared" si="2"/>
        <v>0</v>
      </c>
      <c r="O19" s="960">
        <f t="shared" si="3"/>
        <v>0</v>
      </c>
      <c r="P19" s="960">
        <f t="shared" si="4"/>
        <v>0</v>
      </c>
      <c r="Q19" s="960">
        <f t="shared" si="5"/>
        <v>0</v>
      </c>
      <c r="R19" s="960">
        <f t="shared" si="6"/>
        <v>0</v>
      </c>
      <c r="S19" s="960">
        <f t="shared" si="7"/>
        <v>0</v>
      </c>
      <c r="T19" s="960">
        <f t="shared" si="8"/>
        <v>0</v>
      </c>
      <c r="U19" s="960">
        <f t="shared" si="9"/>
        <v>0</v>
      </c>
      <c r="V19" s="960">
        <f t="shared" si="10"/>
        <v>0</v>
      </c>
      <c r="W19" s="960"/>
      <c r="X19" s="960"/>
      <c r="Y19" s="960"/>
      <c r="Z19" s="960"/>
      <c r="AA19" s="975">
        <f t="shared" si="11"/>
        <v>0</v>
      </c>
      <c r="AB19" s="975"/>
      <c r="AC19" s="975"/>
      <c r="AD19" s="975">
        <f>VLOOKUP(C19,'[8]MỦ TẠP'!$D$10:$AM$450,36,0)</f>
        <v>0</v>
      </c>
      <c r="AE19" s="976">
        <f t="shared" si="13"/>
        <v>0</v>
      </c>
      <c r="AF19" s="975"/>
      <c r="AG19" s="975"/>
      <c r="AH19" s="975">
        <f t="shared" si="12"/>
        <v>0</v>
      </c>
      <c r="AI19" s="975">
        <f>VLOOKUP(C19,'[8]CHẤM CÔNG '!$F$10:$AM$451,33,0)</f>
        <v>0</v>
      </c>
      <c r="AJ19" s="975">
        <f>VLOOKUP(C19,'[8]CHẤM CÔNG '!$F$10:$AM$451,34,0)</f>
        <v>0</v>
      </c>
      <c r="AK19" s="975"/>
      <c r="AL19" s="975"/>
      <c r="AM19" s="975"/>
      <c r="AN19" s="975">
        <f>VLOOKUP(C19,'[8]CHẤM CÔNG '!$F$10:$AN$451,35,0)</f>
        <v>0</v>
      </c>
      <c r="AO19" s="975">
        <f>VLOOKUP(C19,'[8]CHẤM CÔNG '!$F$10:$AR$451,36,0)</f>
        <v>0</v>
      </c>
      <c r="AP19" s="975"/>
      <c r="AQ19" s="975"/>
      <c r="AR19" s="975"/>
      <c r="AS19" s="981"/>
      <c r="AT19" s="982">
        <f>VLOOKUP(C19,'[8]MỦ TẠP'!$D$10:$AO$450,38,0)</f>
        <v>0</v>
      </c>
      <c r="AU19" s="983" t="s">
        <v>2613</v>
      </c>
      <c r="AV19" s="984">
        <f t="shared" si="14"/>
        <v>0.39934748369769701</v>
      </c>
      <c r="AW19" s="696">
        <v>5054</v>
      </c>
      <c r="AX19" s="696">
        <v>2018.3021826081599</v>
      </c>
      <c r="AY19" s="987">
        <v>39.934748369769601</v>
      </c>
      <c r="AZ19" s="988"/>
      <c r="BA19" s="946">
        <f t="shared" si="15"/>
        <v>39.9347483697697</v>
      </c>
      <c r="BB19" s="946">
        <f t="shared" si="16"/>
        <v>-8.5265128291211997E-14</v>
      </c>
    </row>
    <row r="20" spans="1:54" ht="15.75">
      <c r="A20" s="957">
        <v>8</v>
      </c>
      <c r="B20" s="958" t="e">
        <f>VLOOKUP(C20,'[8]DS CN MOI UP'!$B$10:$C$489,2,0)</f>
        <v>#N/A</v>
      </c>
      <c r="C20" s="963" t="s">
        <v>1937</v>
      </c>
      <c r="D20" s="957" t="s">
        <v>15</v>
      </c>
      <c r="E20" s="960"/>
      <c r="F20" s="960"/>
      <c r="G20" s="960"/>
      <c r="H20" s="960"/>
      <c r="I20" s="960"/>
      <c r="J20" s="960"/>
      <c r="K20" s="960"/>
      <c r="L20" s="960"/>
      <c r="M20" s="960"/>
      <c r="N20" s="960">
        <f t="shared" si="2"/>
        <v>0</v>
      </c>
      <c r="O20" s="960">
        <f t="shared" si="3"/>
        <v>0</v>
      </c>
      <c r="P20" s="960">
        <f t="shared" si="4"/>
        <v>0</v>
      </c>
      <c r="Q20" s="960">
        <f t="shared" si="5"/>
        <v>0</v>
      </c>
      <c r="R20" s="960">
        <f t="shared" si="6"/>
        <v>0</v>
      </c>
      <c r="S20" s="960">
        <f t="shared" si="7"/>
        <v>0</v>
      </c>
      <c r="T20" s="960">
        <f t="shared" si="8"/>
        <v>0</v>
      </c>
      <c r="U20" s="960">
        <f t="shared" si="9"/>
        <v>0</v>
      </c>
      <c r="V20" s="960">
        <f t="shared" si="10"/>
        <v>0</v>
      </c>
      <c r="W20" s="960"/>
      <c r="X20" s="960"/>
      <c r="Y20" s="960"/>
      <c r="Z20" s="960"/>
      <c r="AA20" s="975">
        <f t="shared" si="11"/>
        <v>0</v>
      </c>
      <c r="AB20" s="975"/>
      <c r="AC20" s="975"/>
      <c r="AD20" s="975">
        <f>VLOOKUP(C20,'[8]MỦ TẠP'!$D$10:$AM$450,36,0)</f>
        <v>0</v>
      </c>
      <c r="AE20" s="976">
        <f t="shared" si="13"/>
        <v>0</v>
      </c>
      <c r="AF20" s="975"/>
      <c r="AG20" s="975"/>
      <c r="AH20" s="975">
        <f t="shared" si="12"/>
        <v>0</v>
      </c>
      <c r="AI20" s="975">
        <f>VLOOKUP(C20,'[8]CHẤM CÔNG '!$F$10:$AM$451,33,0)</f>
        <v>0</v>
      </c>
      <c r="AJ20" s="975">
        <f>VLOOKUP(C20,'[8]CHẤM CÔNG '!$F$10:$AM$451,34,0)</f>
        <v>0</v>
      </c>
      <c r="AK20" s="975"/>
      <c r="AL20" s="975"/>
      <c r="AM20" s="975"/>
      <c r="AN20" s="975">
        <f>VLOOKUP(C20,'[8]CHẤM CÔNG '!$F$10:$AN$451,35,0)</f>
        <v>0</v>
      </c>
      <c r="AO20" s="975">
        <f>VLOOKUP(C20,'[8]CHẤM CÔNG '!$F$10:$AR$451,36,0)</f>
        <v>0</v>
      </c>
      <c r="AP20" s="975"/>
      <c r="AQ20" s="975"/>
      <c r="AR20" s="975"/>
      <c r="AS20" s="981"/>
      <c r="AT20" s="982">
        <f>VLOOKUP(C20,'[8]MỦ TẠP'!$D$10:$AO$450,38,0)</f>
        <v>0</v>
      </c>
      <c r="AU20" s="983" t="s">
        <v>2614</v>
      </c>
      <c r="AV20" s="984">
        <f t="shared" si="14"/>
        <v>0.41693531082360402</v>
      </c>
      <c r="AW20" s="989">
        <v>6338</v>
      </c>
      <c r="AX20" s="990">
        <v>2642.5360000000001</v>
      </c>
      <c r="AY20" s="987">
        <v>41.693531082360401</v>
      </c>
      <c r="AZ20" s="988"/>
      <c r="BA20" s="946">
        <f t="shared" si="15"/>
        <v>41.693531082360401</v>
      </c>
      <c r="BB20" s="946">
        <f t="shared" si="16"/>
        <v>0</v>
      </c>
    </row>
    <row r="21" spans="1:54" ht="15.75">
      <c r="A21" s="957">
        <v>9</v>
      </c>
      <c r="B21" s="958" t="str">
        <f>VLOOKUP(C21,'[8]DS CN MOI UP'!$B$10:$C$489,2,0)</f>
        <v>02433</v>
      </c>
      <c r="C21" s="963" t="s">
        <v>391</v>
      </c>
      <c r="D21" s="957" t="s">
        <v>15</v>
      </c>
      <c r="E21" s="960"/>
      <c r="F21" s="960"/>
      <c r="G21" s="960"/>
      <c r="H21" s="960"/>
      <c r="I21" s="960"/>
      <c r="J21" s="960"/>
      <c r="K21" s="960"/>
      <c r="L21" s="960"/>
      <c r="M21" s="960"/>
      <c r="N21" s="960">
        <f t="shared" si="2"/>
        <v>0</v>
      </c>
      <c r="O21" s="960">
        <f t="shared" si="3"/>
        <v>0</v>
      </c>
      <c r="P21" s="960">
        <f t="shared" si="4"/>
        <v>0</v>
      </c>
      <c r="Q21" s="960">
        <f t="shared" si="5"/>
        <v>0</v>
      </c>
      <c r="R21" s="960">
        <f t="shared" si="6"/>
        <v>0</v>
      </c>
      <c r="S21" s="960">
        <f t="shared" si="7"/>
        <v>0</v>
      </c>
      <c r="T21" s="960">
        <f t="shared" si="8"/>
        <v>0</v>
      </c>
      <c r="U21" s="960">
        <f t="shared" si="9"/>
        <v>0</v>
      </c>
      <c r="V21" s="960">
        <f t="shared" si="10"/>
        <v>0</v>
      </c>
      <c r="W21" s="960"/>
      <c r="X21" s="960"/>
      <c r="Y21" s="960"/>
      <c r="Z21" s="960"/>
      <c r="AA21" s="975">
        <f t="shared" si="11"/>
        <v>0</v>
      </c>
      <c r="AB21" s="975"/>
      <c r="AC21" s="975"/>
      <c r="AD21" s="975">
        <f>VLOOKUP(C21,'[8]MỦ TẠP'!$D$10:$AM$450,36,0)</f>
        <v>0</v>
      </c>
      <c r="AE21" s="976">
        <f t="shared" si="13"/>
        <v>0</v>
      </c>
      <c r="AF21" s="975"/>
      <c r="AG21" s="975"/>
      <c r="AH21" s="975">
        <f t="shared" si="12"/>
        <v>0</v>
      </c>
      <c r="AI21" s="975">
        <f>VLOOKUP(C21,'[8]CHẤM CÔNG '!$F$10:$AM$451,33,0)</f>
        <v>0</v>
      </c>
      <c r="AJ21" s="975">
        <f>VLOOKUP(C21,'[8]CHẤM CÔNG '!$F$10:$AM$451,34,0)</f>
        <v>0</v>
      </c>
      <c r="AK21" s="975"/>
      <c r="AL21" s="975"/>
      <c r="AM21" s="975"/>
      <c r="AN21" s="975">
        <f>VLOOKUP(C21,'[8]CHẤM CÔNG '!$F$10:$AN$451,35,0)</f>
        <v>0</v>
      </c>
      <c r="AO21" s="975">
        <f>VLOOKUP(C21,'[8]CHẤM CÔNG '!$F$10:$AR$451,36,0)</f>
        <v>0</v>
      </c>
      <c r="AP21" s="975"/>
      <c r="AQ21" s="975"/>
      <c r="AR21" s="975"/>
      <c r="AS21" s="981"/>
      <c r="AT21" s="982">
        <f>VLOOKUP(C21,'[8]MỦ TẠP'!$D$10:$AO$450,38,0)</f>
        <v>0</v>
      </c>
      <c r="AU21" s="983" t="s">
        <v>2615</v>
      </c>
      <c r="AV21" s="984">
        <f t="shared" si="14"/>
        <v>0.36492869444444398</v>
      </c>
      <c r="AW21" s="696">
        <v>14400</v>
      </c>
      <c r="AX21" s="696">
        <v>5254.9732000000004</v>
      </c>
      <c r="AY21" s="987">
        <v>36.492869444444402</v>
      </c>
      <c r="AZ21" s="988"/>
      <c r="BA21" s="946">
        <f t="shared" si="15"/>
        <v>36.492869444444402</v>
      </c>
      <c r="BB21" s="946">
        <f t="shared" si="16"/>
        <v>0</v>
      </c>
    </row>
    <row r="22" spans="1:54" ht="15.75">
      <c r="A22" s="957">
        <v>10</v>
      </c>
      <c r="B22" s="958" t="str">
        <f>VLOOKUP(C22,'[8]DS CN MOI UP'!$B$10:$C$489,2,0)</f>
        <v>03430</v>
      </c>
      <c r="C22" s="963" t="s">
        <v>392</v>
      </c>
      <c r="D22" s="957" t="s">
        <v>15</v>
      </c>
      <c r="E22" s="960"/>
      <c r="F22" s="960"/>
      <c r="G22" s="960"/>
      <c r="H22" s="960"/>
      <c r="I22" s="960"/>
      <c r="J22" s="960"/>
      <c r="K22" s="960"/>
      <c r="L22" s="960"/>
      <c r="M22" s="960"/>
      <c r="N22" s="960">
        <f t="shared" si="2"/>
        <v>0</v>
      </c>
      <c r="O22" s="960">
        <f t="shared" si="3"/>
        <v>0</v>
      </c>
      <c r="P22" s="960">
        <f t="shared" si="4"/>
        <v>0</v>
      </c>
      <c r="Q22" s="960">
        <f t="shared" si="5"/>
        <v>0</v>
      </c>
      <c r="R22" s="960">
        <f t="shared" si="6"/>
        <v>0</v>
      </c>
      <c r="S22" s="960">
        <f t="shared" si="7"/>
        <v>0</v>
      </c>
      <c r="T22" s="960">
        <f t="shared" si="8"/>
        <v>0</v>
      </c>
      <c r="U22" s="960">
        <f t="shared" si="9"/>
        <v>0</v>
      </c>
      <c r="V22" s="960">
        <f t="shared" si="10"/>
        <v>0</v>
      </c>
      <c r="W22" s="960"/>
      <c r="X22" s="960"/>
      <c r="Y22" s="960"/>
      <c r="Z22" s="960"/>
      <c r="AA22" s="975">
        <f t="shared" si="11"/>
        <v>0</v>
      </c>
      <c r="AB22" s="975"/>
      <c r="AC22" s="975"/>
      <c r="AD22" s="975">
        <f>VLOOKUP(C22,'[8]MỦ TẠP'!$D$10:$AM$450,36,0)</f>
        <v>0</v>
      </c>
      <c r="AE22" s="976">
        <f t="shared" si="13"/>
        <v>0</v>
      </c>
      <c r="AF22" s="975"/>
      <c r="AG22" s="975"/>
      <c r="AH22" s="975">
        <f t="shared" si="12"/>
        <v>0</v>
      </c>
      <c r="AI22" s="975">
        <f>VLOOKUP(C22,'[8]CHẤM CÔNG '!$F$10:$AM$451,33,0)</f>
        <v>0</v>
      </c>
      <c r="AJ22" s="975">
        <f>VLOOKUP(C22,'[8]CHẤM CÔNG '!$F$10:$AM$451,34,0)</f>
        <v>0</v>
      </c>
      <c r="AK22" s="975"/>
      <c r="AL22" s="975"/>
      <c r="AM22" s="975"/>
      <c r="AN22" s="975">
        <f>VLOOKUP(C22,'[8]CHẤM CÔNG '!$F$10:$AN$451,35,0)</f>
        <v>0</v>
      </c>
      <c r="AO22" s="975">
        <f>VLOOKUP(C22,'[8]CHẤM CÔNG '!$F$10:$AR$451,36,0)</f>
        <v>0</v>
      </c>
      <c r="AP22" s="975"/>
      <c r="AQ22" s="975"/>
      <c r="AR22" s="975"/>
      <c r="AS22" s="981"/>
      <c r="AT22" s="982">
        <f>VLOOKUP(C22,'[8]MỦ TẠP'!$D$10:$AO$450,38,0)</f>
        <v>0</v>
      </c>
      <c r="AU22" s="946" t="s">
        <v>2616</v>
      </c>
      <c r="AV22" s="978">
        <f t="shared" ref="AV22:AV24" si="18">AX22</f>
        <v>0.276484848484848</v>
      </c>
      <c r="AW22" s="946">
        <v>27.648484848484799</v>
      </c>
      <c r="AX22" s="944">
        <f>AW22/100</f>
        <v>0.276484848484848</v>
      </c>
    </row>
    <row r="23" spans="1:54" ht="15.75">
      <c r="A23" s="957">
        <v>11</v>
      </c>
      <c r="B23" s="958" t="str">
        <f>VLOOKUP(C23,'[8]DS CN MOI UP'!$B$10:$C$489,2,0)</f>
        <v>03431</v>
      </c>
      <c r="C23" s="963" t="s">
        <v>393</v>
      </c>
      <c r="D23" s="957" t="s">
        <v>15</v>
      </c>
      <c r="E23" s="960"/>
      <c r="F23" s="960"/>
      <c r="G23" s="960"/>
      <c r="H23" s="960"/>
      <c r="I23" s="960"/>
      <c r="J23" s="960"/>
      <c r="K23" s="960"/>
      <c r="L23" s="960"/>
      <c r="M23" s="960"/>
      <c r="N23" s="960">
        <f t="shared" si="2"/>
        <v>0</v>
      </c>
      <c r="O23" s="960">
        <f t="shared" si="3"/>
        <v>0</v>
      </c>
      <c r="P23" s="960">
        <f t="shared" si="4"/>
        <v>0</v>
      </c>
      <c r="Q23" s="960">
        <f t="shared" si="5"/>
        <v>0</v>
      </c>
      <c r="R23" s="960">
        <f t="shared" si="6"/>
        <v>0</v>
      </c>
      <c r="S23" s="960">
        <f t="shared" si="7"/>
        <v>0</v>
      </c>
      <c r="T23" s="960">
        <f t="shared" si="8"/>
        <v>0</v>
      </c>
      <c r="U23" s="960">
        <f t="shared" si="9"/>
        <v>0</v>
      </c>
      <c r="V23" s="960">
        <f t="shared" si="10"/>
        <v>0</v>
      </c>
      <c r="W23" s="960"/>
      <c r="X23" s="960"/>
      <c r="Y23" s="960"/>
      <c r="Z23" s="960"/>
      <c r="AA23" s="975">
        <f t="shared" si="11"/>
        <v>0</v>
      </c>
      <c r="AB23" s="975"/>
      <c r="AC23" s="975"/>
      <c r="AD23" s="975">
        <f>VLOOKUP(C23,'[8]MỦ TẠP'!$D$10:$AM$450,36,0)</f>
        <v>0</v>
      </c>
      <c r="AE23" s="976">
        <f t="shared" si="13"/>
        <v>0</v>
      </c>
      <c r="AF23" s="975"/>
      <c r="AG23" s="975"/>
      <c r="AH23" s="975">
        <f t="shared" si="12"/>
        <v>0</v>
      </c>
      <c r="AI23" s="975">
        <f>VLOOKUP(C23,'[8]CHẤM CÔNG '!$F$10:$AM$451,33,0)</f>
        <v>0</v>
      </c>
      <c r="AJ23" s="975">
        <f>VLOOKUP(C23,'[8]CHẤM CÔNG '!$F$10:$AM$451,34,0)</f>
        <v>0</v>
      </c>
      <c r="AK23" s="975">
        <f>SUM(AI23:AJ23,AN23)</f>
        <v>0</v>
      </c>
      <c r="AL23" s="975"/>
      <c r="AM23" s="975"/>
      <c r="AN23" s="975">
        <f>VLOOKUP(C23,'[8]CHẤM CÔNG '!$F$10:$AN$451,35,0)</f>
        <v>0</v>
      </c>
      <c r="AO23" s="975">
        <f>VLOOKUP(C23,'[8]CHẤM CÔNG '!$F$10:$AR$451,36,0)</f>
        <v>0</v>
      </c>
      <c r="AP23" s="975"/>
      <c r="AQ23" s="975"/>
      <c r="AR23" s="975"/>
      <c r="AS23" s="981"/>
      <c r="AT23" s="982">
        <f>VLOOKUP(C23,'[8]MỦ TẠP'!$D$10:$AO$450,38,0)</f>
        <v>0</v>
      </c>
      <c r="AU23" s="946" t="s">
        <v>2617</v>
      </c>
      <c r="AV23" s="978">
        <f t="shared" si="18"/>
        <v>0</v>
      </c>
      <c r="AX23" s="944">
        <f t="shared" ref="AX23:AX28" si="19">AW23/100</f>
        <v>0</v>
      </c>
    </row>
    <row r="24" spans="1:54" ht="15.75">
      <c r="A24" s="957">
        <v>12</v>
      </c>
      <c r="B24" s="958" t="str">
        <f>VLOOKUP(C24,'[8]DS CN MOI UP'!$B$10:$C$489,2,0)</f>
        <v>03432</v>
      </c>
      <c r="C24" s="963" t="s">
        <v>394</v>
      </c>
      <c r="D24" s="957" t="s">
        <v>15</v>
      </c>
      <c r="E24" s="960"/>
      <c r="F24" s="960"/>
      <c r="G24" s="960"/>
      <c r="H24" s="960"/>
      <c r="I24" s="960"/>
      <c r="J24" s="960"/>
      <c r="K24" s="960"/>
      <c r="L24" s="960"/>
      <c r="M24" s="960"/>
      <c r="N24" s="960">
        <f t="shared" si="2"/>
        <v>0</v>
      </c>
      <c r="O24" s="960">
        <f t="shared" si="3"/>
        <v>0</v>
      </c>
      <c r="P24" s="960">
        <f t="shared" si="4"/>
        <v>0</v>
      </c>
      <c r="Q24" s="960">
        <f t="shared" si="5"/>
        <v>0</v>
      </c>
      <c r="R24" s="960">
        <f t="shared" si="6"/>
        <v>0</v>
      </c>
      <c r="S24" s="960">
        <f t="shared" si="7"/>
        <v>0</v>
      </c>
      <c r="T24" s="960">
        <f t="shared" si="8"/>
        <v>0</v>
      </c>
      <c r="U24" s="960">
        <f t="shared" si="9"/>
        <v>0</v>
      </c>
      <c r="V24" s="960">
        <f t="shared" si="10"/>
        <v>0</v>
      </c>
      <c r="W24" s="960"/>
      <c r="X24" s="960"/>
      <c r="Y24" s="960"/>
      <c r="Z24" s="960"/>
      <c r="AA24" s="975">
        <f t="shared" si="11"/>
        <v>0</v>
      </c>
      <c r="AB24" s="975"/>
      <c r="AC24" s="975"/>
      <c r="AD24" s="975">
        <f>VLOOKUP(C24,'[8]MỦ TẠP'!$D$10:$AM$450,36,0)</f>
        <v>0</v>
      </c>
      <c r="AE24" s="976">
        <f t="shared" si="13"/>
        <v>0</v>
      </c>
      <c r="AF24" s="975"/>
      <c r="AG24" s="975"/>
      <c r="AH24" s="975">
        <f t="shared" si="12"/>
        <v>0</v>
      </c>
      <c r="AI24" s="975">
        <f>VLOOKUP(C24,'[8]CHẤM CÔNG '!$F$10:$AM$451,33,0)</f>
        <v>0</v>
      </c>
      <c r="AJ24" s="975">
        <f>VLOOKUP(C24,'[8]CHẤM CÔNG '!$F$10:$AM$451,34,0)</f>
        <v>0</v>
      </c>
      <c r="AK24" s="975"/>
      <c r="AL24" s="975"/>
      <c r="AM24" s="975"/>
      <c r="AN24" s="975">
        <f>VLOOKUP(C24,'[8]CHẤM CÔNG '!$F$10:$AN$451,35,0)</f>
        <v>0</v>
      </c>
      <c r="AO24" s="975">
        <f>VLOOKUP(C24,'[8]CHẤM CÔNG '!$F$10:$AR$451,36,0)</f>
        <v>0</v>
      </c>
      <c r="AP24" s="975"/>
      <c r="AQ24" s="975"/>
      <c r="AR24" s="975"/>
      <c r="AS24" s="981"/>
      <c r="AT24" s="982">
        <f>VLOOKUP(C24,'[8]MỦ TẠP'!$D$10:$AO$450,38,0)</f>
        <v>0</v>
      </c>
      <c r="AU24" s="946" t="s">
        <v>1961</v>
      </c>
      <c r="AV24" s="978">
        <f t="shared" si="18"/>
        <v>0.20035234474017699</v>
      </c>
      <c r="AW24" s="946">
        <v>20.035234474017699</v>
      </c>
      <c r="AX24" s="944">
        <f t="shared" si="19"/>
        <v>0.20035234474017699</v>
      </c>
    </row>
    <row r="25" spans="1:54" ht="15.75">
      <c r="A25" s="957">
        <v>13</v>
      </c>
      <c r="B25" s="958" t="str">
        <f>VLOOKUP(C25,'[8]DS CN MOI UP'!$B$10:$C$489,2,0)</f>
        <v>03433</v>
      </c>
      <c r="C25" s="963" t="s">
        <v>537</v>
      </c>
      <c r="D25" s="957" t="s">
        <v>15</v>
      </c>
      <c r="E25" s="960"/>
      <c r="F25" s="960"/>
      <c r="G25" s="960"/>
      <c r="H25" s="960"/>
      <c r="I25" s="960"/>
      <c r="J25" s="960"/>
      <c r="K25" s="960"/>
      <c r="L25" s="960"/>
      <c r="M25" s="960"/>
      <c r="N25" s="960">
        <f t="shared" si="2"/>
        <v>0</v>
      </c>
      <c r="O25" s="960">
        <f t="shared" si="3"/>
        <v>0</v>
      </c>
      <c r="P25" s="960">
        <f t="shared" si="4"/>
        <v>0</v>
      </c>
      <c r="Q25" s="960">
        <f t="shared" si="5"/>
        <v>0</v>
      </c>
      <c r="R25" s="960">
        <f t="shared" si="6"/>
        <v>0</v>
      </c>
      <c r="S25" s="960">
        <f t="shared" si="7"/>
        <v>0</v>
      </c>
      <c r="T25" s="960">
        <f t="shared" si="8"/>
        <v>0</v>
      </c>
      <c r="U25" s="960">
        <f t="shared" si="9"/>
        <v>0</v>
      </c>
      <c r="V25" s="960">
        <f t="shared" si="10"/>
        <v>0</v>
      </c>
      <c r="W25" s="960"/>
      <c r="X25" s="960"/>
      <c r="Y25" s="960"/>
      <c r="Z25" s="960"/>
      <c r="AA25" s="975">
        <f t="shared" si="11"/>
        <v>0</v>
      </c>
      <c r="AB25" s="975"/>
      <c r="AC25" s="975"/>
      <c r="AD25" s="975">
        <f>VLOOKUP(C25,'[8]MỦ TẠP'!$D$10:$AM$450,36,0)</f>
        <v>0</v>
      </c>
      <c r="AE25" s="976">
        <f t="shared" si="13"/>
        <v>0</v>
      </c>
      <c r="AF25" s="975"/>
      <c r="AG25" s="975"/>
      <c r="AH25" s="975">
        <f t="shared" si="12"/>
        <v>0</v>
      </c>
      <c r="AI25" s="975">
        <f>VLOOKUP(C25,'[8]CHẤM CÔNG '!$F$10:$AM$451,33,0)</f>
        <v>0</v>
      </c>
      <c r="AJ25" s="975">
        <f>VLOOKUP(C25,'[8]CHẤM CÔNG '!$F$10:$AM$451,34,0)</f>
        <v>0</v>
      </c>
      <c r="AK25" s="975"/>
      <c r="AL25" s="975"/>
      <c r="AM25" s="975"/>
      <c r="AN25" s="975">
        <f>VLOOKUP(C25,'[8]CHẤM CÔNG '!$F$10:$AN$451,35,0)</f>
        <v>0</v>
      </c>
      <c r="AO25" s="975">
        <f>VLOOKUP(C25,'[8]CHẤM CÔNG '!$F$10:$AR$451,36,0)</f>
        <v>0</v>
      </c>
      <c r="AP25" s="975"/>
      <c r="AQ25" s="975"/>
      <c r="AR25" s="975"/>
      <c r="AS25" s="981"/>
      <c r="AT25" s="982">
        <f>VLOOKUP(C25,'[8]MỦ TẠP'!$D$10:$AO$450,38,0)</f>
        <v>0</v>
      </c>
      <c r="AU25" s="946" t="s">
        <v>1962</v>
      </c>
      <c r="AV25" s="978">
        <f t="shared" ref="AV25:AV27" si="20">AX25</f>
        <v>0.40358918918918901</v>
      </c>
      <c r="AW25" s="946">
        <v>40.358918918918903</v>
      </c>
      <c r="AX25" s="944">
        <f t="shared" si="19"/>
        <v>0.40358918918918901</v>
      </c>
    </row>
    <row r="26" spans="1:54" ht="15.75">
      <c r="A26" s="957">
        <v>14</v>
      </c>
      <c r="B26" s="958" t="e">
        <f>VLOOKUP(C26,'[8]DS CN MOI UP'!$B$10:$C$489,2,0)</f>
        <v>#N/A</v>
      </c>
      <c r="C26" s="964" t="s">
        <v>2618</v>
      </c>
      <c r="D26" s="957" t="s">
        <v>15</v>
      </c>
      <c r="E26" s="960"/>
      <c r="F26" s="960"/>
      <c r="G26" s="960"/>
      <c r="H26" s="960"/>
      <c r="I26" s="960"/>
      <c r="J26" s="960"/>
      <c r="K26" s="960"/>
      <c r="L26" s="960"/>
      <c r="M26" s="960"/>
      <c r="N26" s="960">
        <f t="shared" si="2"/>
        <v>0</v>
      </c>
      <c r="O26" s="960">
        <f t="shared" si="3"/>
        <v>0</v>
      </c>
      <c r="P26" s="960">
        <f t="shared" si="4"/>
        <v>0</v>
      </c>
      <c r="Q26" s="960">
        <f t="shared" si="5"/>
        <v>0</v>
      </c>
      <c r="R26" s="960">
        <f t="shared" si="6"/>
        <v>0</v>
      </c>
      <c r="S26" s="960">
        <f t="shared" si="7"/>
        <v>0</v>
      </c>
      <c r="T26" s="960">
        <f t="shared" si="8"/>
        <v>0</v>
      </c>
      <c r="U26" s="960">
        <f t="shared" si="9"/>
        <v>0</v>
      </c>
      <c r="V26" s="960">
        <f t="shared" si="10"/>
        <v>0</v>
      </c>
      <c r="W26" s="960"/>
      <c r="X26" s="960"/>
      <c r="Y26" s="960"/>
      <c r="Z26" s="960"/>
      <c r="AA26" s="975">
        <f t="shared" si="11"/>
        <v>0</v>
      </c>
      <c r="AB26" s="975"/>
      <c r="AC26" s="975"/>
      <c r="AD26" s="975">
        <f>VLOOKUP(C26,'[8]MỦ TẠP'!$D$10:$AM$450,36,0)</f>
        <v>0</v>
      </c>
      <c r="AE26" s="976">
        <f t="shared" si="13"/>
        <v>0</v>
      </c>
      <c r="AF26" s="975"/>
      <c r="AG26" s="975"/>
      <c r="AH26" s="975">
        <f t="shared" si="12"/>
        <v>0</v>
      </c>
      <c r="AI26" s="975">
        <f>VLOOKUP(C26,'[8]CHẤM CÔNG '!$F$10:$AM$451,33,0)</f>
        <v>0</v>
      </c>
      <c r="AJ26" s="975">
        <f>VLOOKUP(C26,'[8]CHẤM CÔNG '!$F$10:$AM$451,34,0)</f>
        <v>0</v>
      </c>
      <c r="AK26" s="975"/>
      <c r="AL26" s="975"/>
      <c r="AM26" s="975"/>
      <c r="AN26" s="975">
        <f>VLOOKUP(C26,'[8]CHẤM CÔNG '!$F$10:$AN$451,35,0)</f>
        <v>0</v>
      </c>
      <c r="AO26" s="975">
        <f>VLOOKUP(C26,'[8]CHẤM CÔNG '!$F$10:$AR$451,36,0)</f>
        <v>0</v>
      </c>
      <c r="AP26" s="975"/>
      <c r="AQ26" s="975"/>
      <c r="AR26" s="975"/>
      <c r="AS26" s="981"/>
      <c r="AT26" s="982">
        <f>VLOOKUP(C26,'[8]MỦ TẠP'!$D$10:$AO$450,38,0)</f>
        <v>0</v>
      </c>
      <c r="AU26" s="946" t="s">
        <v>1963</v>
      </c>
      <c r="AV26" s="978">
        <f t="shared" si="20"/>
        <v>0.51981754385964896</v>
      </c>
      <c r="AW26" s="946">
        <v>51.981754385964898</v>
      </c>
      <c r="AX26" s="944">
        <f t="shared" si="19"/>
        <v>0.51981754385964896</v>
      </c>
    </row>
    <row r="27" spans="1:54" ht="15.75">
      <c r="A27" s="957">
        <v>15</v>
      </c>
      <c r="B27" s="958" t="str">
        <f>VLOOKUP(C27,'[8]DS CN MOI UP'!$B$10:$C$489,2,0)</f>
        <v>03435</v>
      </c>
      <c r="C27" s="963" t="s">
        <v>397</v>
      </c>
      <c r="D27" s="957" t="s">
        <v>15</v>
      </c>
      <c r="E27" s="960"/>
      <c r="F27" s="960"/>
      <c r="G27" s="960"/>
      <c r="H27" s="960"/>
      <c r="I27" s="960"/>
      <c r="J27" s="960"/>
      <c r="K27" s="960"/>
      <c r="L27" s="960"/>
      <c r="M27" s="960"/>
      <c r="N27" s="960">
        <f t="shared" si="2"/>
        <v>0</v>
      </c>
      <c r="O27" s="960">
        <f t="shared" si="3"/>
        <v>0</v>
      </c>
      <c r="P27" s="960">
        <f t="shared" si="4"/>
        <v>0</v>
      </c>
      <c r="Q27" s="960">
        <f t="shared" si="5"/>
        <v>0</v>
      </c>
      <c r="R27" s="960">
        <f t="shared" si="6"/>
        <v>0</v>
      </c>
      <c r="S27" s="960">
        <f t="shared" si="7"/>
        <v>0</v>
      </c>
      <c r="T27" s="960">
        <f t="shared" si="8"/>
        <v>0</v>
      </c>
      <c r="U27" s="960">
        <f t="shared" si="9"/>
        <v>0</v>
      </c>
      <c r="V27" s="960">
        <f t="shared" si="10"/>
        <v>0</v>
      </c>
      <c r="W27" s="960"/>
      <c r="X27" s="960"/>
      <c r="Y27" s="960"/>
      <c r="Z27" s="960"/>
      <c r="AA27" s="975">
        <f t="shared" si="11"/>
        <v>0</v>
      </c>
      <c r="AB27" s="975"/>
      <c r="AC27" s="975"/>
      <c r="AD27" s="975">
        <f>VLOOKUP(C27,'[8]MỦ TẠP'!$D$10:$AM$450,36,0)</f>
        <v>0</v>
      </c>
      <c r="AE27" s="976">
        <f t="shared" si="13"/>
        <v>0</v>
      </c>
      <c r="AF27" s="975"/>
      <c r="AG27" s="975"/>
      <c r="AH27" s="975">
        <f t="shared" si="12"/>
        <v>0</v>
      </c>
      <c r="AI27" s="975">
        <f>VLOOKUP(C27,'[8]CHẤM CÔNG '!$F$10:$AM$451,33,0)</f>
        <v>0</v>
      </c>
      <c r="AJ27" s="975">
        <f>VLOOKUP(C27,'[8]CHẤM CÔNG '!$F$10:$AM$451,34,0)</f>
        <v>0</v>
      </c>
      <c r="AK27" s="975"/>
      <c r="AL27" s="975"/>
      <c r="AM27" s="975"/>
      <c r="AN27" s="975">
        <f>VLOOKUP(C27,'[8]CHẤM CÔNG '!$F$10:$AN$451,35,0)</f>
        <v>0</v>
      </c>
      <c r="AO27" s="975">
        <f>VLOOKUP(C27,'[8]CHẤM CÔNG '!$F$10:$AR$451,36,0)</f>
        <v>0</v>
      </c>
      <c r="AP27" s="975"/>
      <c r="AQ27" s="975"/>
      <c r="AR27" s="975"/>
      <c r="AS27" s="981"/>
      <c r="AT27" s="982">
        <f>VLOOKUP(C27,'[8]MỦ TẠP'!$D$10:$AO$450,38,0)</f>
        <v>0</v>
      </c>
      <c r="AU27" s="946" t="s">
        <v>2619</v>
      </c>
      <c r="AV27" s="978">
        <f t="shared" si="20"/>
        <v>0</v>
      </c>
      <c r="AX27" s="944">
        <f t="shared" si="19"/>
        <v>0</v>
      </c>
    </row>
    <row r="28" spans="1:54" ht="15.75">
      <c r="A28" s="957">
        <v>16</v>
      </c>
      <c r="B28" s="958" t="e">
        <f>VLOOKUP(C28,'[8]DS CN MOI UP'!$B$10:$C$489,2,0)</f>
        <v>#N/A</v>
      </c>
      <c r="C28" s="963" t="s">
        <v>1938</v>
      </c>
      <c r="D28" s="957" t="s">
        <v>15</v>
      </c>
      <c r="E28" s="960"/>
      <c r="F28" s="960"/>
      <c r="G28" s="960"/>
      <c r="H28" s="960"/>
      <c r="I28" s="960"/>
      <c r="J28" s="960"/>
      <c r="K28" s="960"/>
      <c r="L28" s="960"/>
      <c r="M28" s="960"/>
      <c r="N28" s="960">
        <f t="shared" si="2"/>
        <v>0</v>
      </c>
      <c r="O28" s="960">
        <f t="shared" si="3"/>
        <v>0</v>
      </c>
      <c r="P28" s="960">
        <f t="shared" si="4"/>
        <v>0</v>
      </c>
      <c r="Q28" s="960">
        <f t="shared" si="5"/>
        <v>0</v>
      </c>
      <c r="R28" s="960">
        <f t="shared" si="6"/>
        <v>0</v>
      </c>
      <c r="S28" s="960">
        <f t="shared" si="7"/>
        <v>0</v>
      </c>
      <c r="T28" s="960">
        <f t="shared" si="8"/>
        <v>0</v>
      </c>
      <c r="U28" s="960">
        <f t="shared" si="9"/>
        <v>0</v>
      </c>
      <c r="V28" s="960">
        <f t="shared" si="10"/>
        <v>0</v>
      </c>
      <c r="W28" s="960"/>
      <c r="X28" s="960"/>
      <c r="Y28" s="960"/>
      <c r="Z28" s="960"/>
      <c r="AA28" s="975">
        <f t="shared" si="11"/>
        <v>0</v>
      </c>
      <c r="AB28" s="975"/>
      <c r="AC28" s="975"/>
      <c r="AD28" s="975">
        <f>VLOOKUP(C28,'[8]MỦ TẠP'!$D$10:$AM$450,36,0)</f>
        <v>0</v>
      </c>
      <c r="AE28" s="976">
        <f t="shared" si="13"/>
        <v>0</v>
      </c>
      <c r="AF28" s="975"/>
      <c r="AG28" s="975"/>
      <c r="AH28" s="975">
        <f t="shared" si="12"/>
        <v>0</v>
      </c>
      <c r="AI28" s="975">
        <f>VLOOKUP(C28,'[8]CHẤM CÔNG '!$F$10:$AM$451,33,0)</f>
        <v>0</v>
      </c>
      <c r="AJ28" s="975">
        <f>VLOOKUP(C28,'[8]CHẤM CÔNG '!$F$10:$AM$451,34,0)</f>
        <v>0</v>
      </c>
      <c r="AK28" s="975"/>
      <c r="AL28" s="975"/>
      <c r="AM28" s="975"/>
      <c r="AN28" s="975">
        <f>VLOOKUP(C28,'[8]CHẤM CÔNG '!$F$10:$AN$451,35,0)</f>
        <v>0</v>
      </c>
      <c r="AO28" s="975">
        <f>VLOOKUP(C28,'[8]CHẤM CÔNG '!$F$10:$AR$451,36,0)</f>
        <v>0</v>
      </c>
      <c r="AP28" s="975"/>
      <c r="AQ28" s="975"/>
      <c r="AR28" s="975"/>
      <c r="AS28" s="981"/>
      <c r="AT28" s="982">
        <f>VLOOKUP(C28,'[8]MỦ TẠP'!$D$10:$AO$450,38,0)</f>
        <v>0</v>
      </c>
      <c r="AX28" s="944">
        <f t="shared" si="19"/>
        <v>0</v>
      </c>
    </row>
    <row r="29" spans="1:54" ht="15.75">
      <c r="A29" s="957">
        <v>17</v>
      </c>
      <c r="B29" s="958" t="str">
        <f>VLOOKUP(C29,'[8]DS CN MOI UP'!$B$10:$C$489,2,0)</f>
        <v>03437</v>
      </c>
      <c r="C29" s="963" t="s">
        <v>399</v>
      </c>
      <c r="D29" s="957" t="s">
        <v>15</v>
      </c>
      <c r="E29" s="960"/>
      <c r="F29" s="960"/>
      <c r="G29" s="960"/>
      <c r="H29" s="960"/>
      <c r="I29" s="960"/>
      <c r="J29" s="960"/>
      <c r="K29" s="960"/>
      <c r="L29" s="960"/>
      <c r="M29" s="960"/>
      <c r="N29" s="960">
        <f t="shared" si="2"/>
        <v>0</v>
      </c>
      <c r="O29" s="960">
        <f t="shared" si="3"/>
        <v>0</v>
      </c>
      <c r="P29" s="960">
        <f t="shared" si="4"/>
        <v>0</v>
      </c>
      <c r="Q29" s="960">
        <f t="shared" si="5"/>
        <v>0</v>
      </c>
      <c r="R29" s="960">
        <f t="shared" si="6"/>
        <v>0</v>
      </c>
      <c r="S29" s="960">
        <f t="shared" si="7"/>
        <v>0</v>
      </c>
      <c r="T29" s="960">
        <f t="shared" si="8"/>
        <v>0</v>
      </c>
      <c r="U29" s="960">
        <f t="shared" si="9"/>
        <v>0</v>
      </c>
      <c r="V29" s="960">
        <f t="shared" si="10"/>
        <v>0</v>
      </c>
      <c r="W29" s="960"/>
      <c r="X29" s="960"/>
      <c r="Y29" s="960"/>
      <c r="Z29" s="960"/>
      <c r="AA29" s="975">
        <f t="shared" si="11"/>
        <v>0</v>
      </c>
      <c r="AB29" s="975"/>
      <c r="AC29" s="975"/>
      <c r="AD29" s="975">
        <f>VLOOKUP(C29,'[8]MỦ TẠP'!$D$10:$AM$450,36,0)</f>
        <v>0</v>
      </c>
      <c r="AE29" s="976">
        <f t="shared" si="13"/>
        <v>0</v>
      </c>
      <c r="AF29" s="975"/>
      <c r="AG29" s="975"/>
      <c r="AH29" s="975">
        <f t="shared" si="12"/>
        <v>0</v>
      </c>
      <c r="AI29" s="975">
        <f>VLOOKUP(C29,'[8]CHẤM CÔNG '!$F$10:$AM$451,33,0)</f>
        <v>0</v>
      </c>
      <c r="AJ29" s="975">
        <f>VLOOKUP(C29,'[8]CHẤM CÔNG '!$F$10:$AM$451,34,0)</f>
        <v>0</v>
      </c>
      <c r="AK29" s="975"/>
      <c r="AL29" s="975"/>
      <c r="AM29" s="975"/>
      <c r="AN29" s="975">
        <f>VLOOKUP(C29,'[8]CHẤM CÔNG '!$F$10:$AN$451,35,0)</f>
        <v>0</v>
      </c>
      <c r="AO29" s="975">
        <f>VLOOKUP(C29,'[8]CHẤM CÔNG '!$F$10:$AR$451,36,0)</f>
        <v>0</v>
      </c>
      <c r="AP29" s="975"/>
      <c r="AQ29" s="975"/>
      <c r="AR29" s="975"/>
      <c r="AS29" s="981"/>
      <c r="AT29" s="982">
        <f>VLOOKUP(C29,'[8]MỦ TẠP'!$D$10:$AO$450,38,0)</f>
        <v>0</v>
      </c>
    </row>
    <row r="30" spans="1:54" ht="15.75">
      <c r="A30" s="957">
        <v>18</v>
      </c>
      <c r="B30" s="958" t="str">
        <f>VLOOKUP(C30,'[8]DS CN MOI UP'!$B$10:$C$489,2,0)</f>
        <v>03438</v>
      </c>
      <c r="C30" s="964" t="s">
        <v>400</v>
      </c>
      <c r="D30" s="957" t="s">
        <v>15</v>
      </c>
      <c r="E30" s="960">
        <v>1</v>
      </c>
      <c r="F30" s="960"/>
      <c r="G30" s="960"/>
      <c r="H30" s="960"/>
      <c r="I30" s="960"/>
      <c r="J30" s="960"/>
      <c r="K30" s="960"/>
      <c r="L30" s="960"/>
      <c r="M30" s="960"/>
      <c r="N30" s="960">
        <f t="shared" si="2"/>
        <v>5.9999999999999902</v>
      </c>
      <c r="O30" s="960">
        <f t="shared" si="3"/>
        <v>0</v>
      </c>
      <c r="P30" s="960">
        <f t="shared" si="4"/>
        <v>0</v>
      </c>
      <c r="Q30" s="960">
        <f t="shared" si="5"/>
        <v>0</v>
      </c>
      <c r="R30" s="960">
        <f t="shared" si="6"/>
        <v>0</v>
      </c>
      <c r="S30" s="960">
        <f t="shared" si="7"/>
        <v>0</v>
      </c>
      <c r="T30" s="960">
        <f t="shared" si="8"/>
        <v>0</v>
      </c>
      <c r="U30" s="960">
        <f t="shared" si="9"/>
        <v>0</v>
      </c>
      <c r="V30" s="960">
        <f t="shared" si="10"/>
        <v>0</v>
      </c>
      <c r="W30" s="960"/>
      <c r="X30" s="960"/>
      <c r="Y30" s="960"/>
      <c r="Z30" s="960"/>
      <c r="AA30" s="975">
        <f t="shared" si="11"/>
        <v>5.9999999999999902</v>
      </c>
      <c r="AB30" s="975"/>
      <c r="AC30" s="975"/>
      <c r="AD30" s="975">
        <f>VLOOKUP(C30,'[8]MỦ TẠP'!$D$10:$AM$450,36,0)</f>
        <v>0</v>
      </c>
      <c r="AE30" s="976">
        <f t="shared" si="13"/>
        <v>0</v>
      </c>
      <c r="AF30" s="975"/>
      <c r="AG30" s="975"/>
      <c r="AH30" s="975">
        <f t="shared" si="12"/>
        <v>0</v>
      </c>
      <c r="AI30" s="975">
        <f>VLOOKUP(C30,'[8]CHẤM CÔNG '!$F$10:$AM$451,33,0)</f>
        <v>0</v>
      </c>
      <c r="AJ30" s="975">
        <f>VLOOKUP(C30,'[8]CHẤM CÔNG '!$F$10:$AM$451,34,0)</f>
        <v>0</v>
      </c>
      <c r="AK30" s="975"/>
      <c r="AL30" s="975"/>
      <c r="AM30" s="975"/>
      <c r="AN30" s="975">
        <f>VLOOKUP(C30,'[8]CHẤM CÔNG '!$F$10:$AN$451,35,0)</f>
        <v>0</v>
      </c>
      <c r="AO30" s="975">
        <f>VLOOKUP(C30,'[8]CHẤM CÔNG '!$F$10:$AR$451,36,0)</f>
        <v>0</v>
      </c>
      <c r="AP30" s="975"/>
      <c r="AQ30" s="975"/>
      <c r="AR30" s="975"/>
      <c r="AS30" s="981"/>
      <c r="AT30" s="982">
        <f>VLOOKUP(C30,'[8]MỦ TẠP'!$D$10:$AO$450,38,0)</f>
        <v>0</v>
      </c>
    </row>
    <row r="31" spans="1:54" ht="15.75">
      <c r="A31" s="957">
        <v>19</v>
      </c>
      <c r="B31" s="958" t="str">
        <f>VLOOKUP(C31,'[8]DS CN MOI UP'!$B$10:$C$489,2,0)</f>
        <v>03439</v>
      </c>
      <c r="C31" s="964" t="s">
        <v>401</v>
      </c>
      <c r="D31" s="957" t="s">
        <v>15</v>
      </c>
      <c r="E31" s="960"/>
      <c r="F31" s="960"/>
      <c r="G31" s="960"/>
      <c r="H31" s="960"/>
      <c r="I31" s="960"/>
      <c r="J31" s="960"/>
      <c r="K31" s="960"/>
      <c r="L31" s="960"/>
      <c r="M31" s="960"/>
      <c r="N31" s="960">
        <f t="shared" si="2"/>
        <v>0</v>
      </c>
      <c r="O31" s="960">
        <f t="shared" si="3"/>
        <v>0</v>
      </c>
      <c r="P31" s="960">
        <f t="shared" si="4"/>
        <v>0</v>
      </c>
      <c r="Q31" s="960">
        <f t="shared" si="5"/>
        <v>0</v>
      </c>
      <c r="R31" s="960">
        <f t="shared" si="6"/>
        <v>0</v>
      </c>
      <c r="S31" s="960">
        <f t="shared" si="7"/>
        <v>0</v>
      </c>
      <c r="T31" s="960">
        <f t="shared" si="8"/>
        <v>0</v>
      </c>
      <c r="U31" s="960">
        <f t="shared" si="9"/>
        <v>0</v>
      </c>
      <c r="V31" s="960">
        <f t="shared" si="10"/>
        <v>0</v>
      </c>
      <c r="W31" s="960"/>
      <c r="X31" s="960"/>
      <c r="Y31" s="960"/>
      <c r="Z31" s="960"/>
      <c r="AA31" s="975">
        <f t="shared" si="11"/>
        <v>0</v>
      </c>
      <c r="AB31" s="975"/>
      <c r="AC31" s="975"/>
      <c r="AD31" s="975">
        <f>VLOOKUP(C31,'[8]MỦ TẠP'!$D$10:$AM$450,36,0)</f>
        <v>0</v>
      </c>
      <c r="AE31" s="976">
        <f t="shared" si="13"/>
        <v>0</v>
      </c>
      <c r="AF31" s="975"/>
      <c r="AG31" s="975"/>
      <c r="AH31" s="975">
        <f t="shared" si="12"/>
        <v>0</v>
      </c>
      <c r="AI31" s="975">
        <f>VLOOKUP(C31,'[8]CHẤM CÔNG '!$F$10:$AM$451,33,0)</f>
        <v>0</v>
      </c>
      <c r="AJ31" s="975">
        <f>VLOOKUP(C31,'[8]CHẤM CÔNG '!$F$10:$AM$451,34,0)</f>
        <v>0</v>
      </c>
      <c r="AK31" s="975"/>
      <c r="AL31" s="975"/>
      <c r="AM31" s="975"/>
      <c r="AN31" s="975">
        <f>VLOOKUP(C31,'[8]CHẤM CÔNG '!$F$10:$AN$451,35,0)</f>
        <v>0</v>
      </c>
      <c r="AO31" s="975">
        <f>VLOOKUP(C31,'[8]CHẤM CÔNG '!$F$10:$AR$451,36,0)</f>
        <v>0</v>
      </c>
      <c r="AP31" s="975"/>
      <c r="AQ31" s="975"/>
      <c r="AR31" s="975"/>
      <c r="AS31" s="981"/>
      <c r="AT31" s="982">
        <f>VLOOKUP(C31,'[8]MỦ TẠP'!$D$10:$AO$450,38,0)</f>
        <v>0</v>
      </c>
    </row>
    <row r="32" spans="1:54" ht="15.75">
      <c r="A32" s="957">
        <v>20</v>
      </c>
      <c r="B32" s="958" t="str">
        <f>VLOOKUP(C32,'[8]DS CN MOI UP'!$B$10:$C$489,2,0)</f>
        <v>02429</v>
      </c>
      <c r="C32" s="964" t="s">
        <v>402</v>
      </c>
      <c r="D32" s="957" t="s">
        <v>15</v>
      </c>
      <c r="E32" s="960"/>
      <c r="F32" s="960"/>
      <c r="G32" s="960"/>
      <c r="H32" s="960"/>
      <c r="I32" s="960"/>
      <c r="J32" s="960"/>
      <c r="K32" s="960"/>
      <c r="L32" s="960"/>
      <c r="M32" s="960"/>
      <c r="N32" s="960">
        <f t="shared" si="2"/>
        <v>0</v>
      </c>
      <c r="O32" s="960">
        <f t="shared" si="3"/>
        <v>0</v>
      </c>
      <c r="P32" s="960">
        <f t="shared" si="4"/>
        <v>0</v>
      </c>
      <c r="Q32" s="960">
        <f t="shared" si="5"/>
        <v>0</v>
      </c>
      <c r="R32" s="960">
        <f t="shared" si="6"/>
        <v>0</v>
      </c>
      <c r="S32" s="960">
        <f t="shared" si="7"/>
        <v>0</v>
      </c>
      <c r="T32" s="960">
        <f t="shared" si="8"/>
        <v>0</v>
      </c>
      <c r="U32" s="960">
        <f t="shared" si="9"/>
        <v>0</v>
      </c>
      <c r="V32" s="960">
        <f t="shared" si="10"/>
        <v>0</v>
      </c>
      <c r="W32" s="960"/>
      <c r="X32" s="960"/>
      <c r="Y32" s="960"/>
      <c r="Z32" s="960"/>
      <c r="AA32" s="975">
        <f t="shared" si="11"/>
        <v>0</v>
      </c>
      <c r="AB32" s="975"/>
      <c r="AC32" s="975"/>
      <c r="AD32" s="975">
        <f>VLOOKUP(C32,'[8]MỦ TẠP'!$D$10:$AM$450,36,0)</f>
        <v>0</v>
      </c>
      <c r="AE32" s="976">
        <f t="shared" si="13"/>
        <v>0</v>
      </c>
      <c r="AF32" s="975"/>
      <c r="AG32" s="975"/>
      <c r="AH32" s="975">
        <f t="shared" si="12"/>
        <v>0</v>
      </c>
      <c r="AI32" s="975">
        <f>VLOOKUP(C32,'[8]CHẤM CÔNG '!$F$10:$AM$451,33,0)</f>
        <v>0</v>
      </c>
      <c r="AJ32" s="975">
        <f>VLOOKUP(C32,'[8]CHẤM CÔNG '!$F$10:$AM$451,34,0)</f>
        <v>0</v>
      </c>
      <c r="AK32" s="975"/>
      <c r="AL32" s="975"/>
      <c r="AM32" s="975"/>
      <c r="AN32" s="975">
        <f>VLOOKUP(C32,'[8]CHẤM CÔNG '!$F$10:$AN$451,35,0)</f>
        <v>0</v>
      </c>
      <c r="AO32" s="975">
        <f>VLOOKUP(C32,'[8]CHẤM CÔNG '!$F$10:$AR$451,36,0)</f>
        <v>0</v>
      </c>
      <c r="AP32" s="975"/>
      <c r="AQ32" s="975"/>
      <c r="AR32" s="975"/>
      <c r="AS32" s="981"/>
      <c r="AT32" s="982">
        <f>VLOOKUP(C32,'[8]MỦ TẠP'!$D$10:$AO$450,38,0)</f>
        <v>0</v>
      </c>
    </row>
    <row r="33" spans="1:47" ht="15.75">
      <c r="A33" s="957">
        <v>21</v>
      </c>
      <c r="B33" s="958" t="e">
        <f>VLOOKUP(C33,'[8]DS CN MOI UP'!$B$10:$C$489,2,0)</f>
        <v>#N/A</v>
      </c>
      <c r="C33" s="964" t="s">
        <v>2620</v>
      </c>
      <c r="D33" s="957" t="s">
        <v>15</v>
      </c>
      <c r="E33" s="960"/>
      <c r="F33" s="960"/>
      <c r="G33" s="960"/>
      <c r="H33" s="960"/>
      <c r="I33" s="960"/>
      <c r="J33" s="960"/>
      <c r="K33" s="960"/>
      <c r="L33" s="960"/>
      <c r="M33" s="960"/>
      <c r="N33" s="960">
        <f t="shared" si="2"/>
        <v>0</v>
      </c>
      <c r="O33" s="960">
        <f t="shared" si="3"/>
        <v>0</v>
      </c>
      <c r="P33" s="960">
        <f t="shared" si="4"/>
        <v>0</v>
      </c>
      <c r="Q33" s="960">
        <f t="shared" si="5"/>
        <v>0</v>
      </c>
      <c r="R33" s="960">
        <f t="shared" si="6"/>
        <v>0</v>
      </c>
      <c r="S33" s="960">
        <f t="shared" si="7"/>
        <v>0</v>
      </c>
      <c r="T33" s="960">
        <f t="shared" si="8"/>
        <v>0</v>
      </c>
      <c r="U33" s="960">
        <f t="shared" si="9"/>
        <v>0</v>
      </c>
      <c r="V33" s="960">
        <f t="shared" si="10"/>
        <v>0</v>
      </c>
      <c r="W33" s="960"/>
      <c r="X33" s="960"/>
      <c r="Y33" s="960"/>
      <c r="Z33" s="960"/>
      <c r="AA33" s="975">
        <f t="shared" si="11"/>
        <v>0</v>
      </c>
      <c r="AB33" s="975"/>
      <c r="AC33" s="975"/>
      <c r="AD33" s="975">
        <f>VLOOKUP(C33,'[8]MỦ TẠP'!$D$10:$AM$450,36,0)</f>
        <v>0</v>
      </c>
      <c r="AE33" s="976">
        <f t="shared" si="13"/>
        <v>0</v>
      </c>
      <c r="AF33" s="975"/>
      <c r="AG33" s="975"/>
      <c r="AH33" s="975">
        <f t="shared" si="12"/>
        <v>0</v>
      </c>
      <c r="AI33" s="975">
        <f>VLOOKUP(C33,'[8]CHẤM CÔNG '!$F$10:$AM$451,33,0)</f>
        <v>0</v>
      </c>
      <c r="AJ33" s="975">
        <f>VLOOKUP(C33,'[8]CHẤM CÔNG '!$F$10:$AM$451,34,0)</f>
        <v>0</v>
      </c>
      <c r="AK33" s="975"/>
      <c r="AL33" s="975"/>
      <c r="AM33" s="975"/>
      <c r="AN33" s="975">
        <f>VLOOKUP(C33,'[8]CHẤM CÔNG '!$F$10:$AN$451,35,0)</f>
        <v>0</v>
      </c>
      <c r="AO33" s="975">
        <f>VLOOKUP(C33,'[8]CHẤM CÔNG '!$F$10:$AR$451,36,0)</f>
        <v>0</v>
      </c>
      <c r="AP33" s="975"/>
      <c r="AQ33" s="975"/>
      <c r="AR33" s="975"/>
      <c r="AS33" s="981"/>
      <c r="AT33" s="982">
        <f>VLOOKUP(C33,'[8]MỦ TẠP'!$D$10:$AO$450,38,0)</f>
        <v>0</v>
      </c>
    </row>
    <row r="34" spans="1:47" ht="15.75">
      <c r="A34" s="957">
        <v>22</v>
      </c>
      <c r="B34" s="958" t="str">
        <f>VLOOKUP(C34,'[8]DS CN MOI UP'!$B$10:$C$489,2,0)</f>
        <v>03441</v>
      </c>
      <c r="C34" s="964" t="s">
        <v>404</v>
      </c>
      <c r="D34" s="957" t="s">
        <v>15</v>
      </c>
      <c r="E34" s="960"/>
      <c r="F34" s="960"/>
      <c r="G34" s="960"/>
      <c r="H34" s="960"/>
      <c r="I34" s="960"/>
      <c r="J34" s="960"/>
      <c r="K34" s="960"/>
      <c r="L34" s="960"/>
      <c r="M34" s="960"/>
      <c r="N34" s="960">
        <f t="shared" si="2"/>
        <v>0</v>
      </c>
      <c r="O34" s="960">
        <f t="shared" si="3"/>
        <v>0</v>
      </c>
      <c r="P34" s="960">
        <f t="shared" si="4"/>
        <v>0</v>
      </c>
      <c r="Q34" s="960">
        <f t="shared" si="5"/>
        <v>0</v>
      </c>
      <c r="R34" s="960">
        <f t="shared" si="6"/>
        <v>0</v>
      </c>
      <c r="S34" s="960">
        <f t="shared" si="7"/>
        <v>0</v>
      </c>
      <c r="T34" s="960">
        <f t="shared" si="8"/>
        <v>0</v>
      </c>
      <c r="U34" s="960">
        <f t="shared" si="9"/>
        <v>0</v>
      </c>
      <c r="V34" s="960">
        <f t="shared" si="10"/>
        <v>0</v>
      </c>
      <c r="W34" s="960"/>
      <c r="X34" s="960"/>
      <c r="Y34" s="960"/>
      <c r="Z34" s="960"/>
      <c r="AA34" s="975">
        <f t="shared" si="11"/>
        <v>0</v>
      </c>
      <c r="AB34" s="975"/>
      <c r="AC34" s="975"/>
      <c r="AD34" s="975">
        <f>VLOOKUP(C34,'[8]MỦ TẠP'!$D$10:$AM$450,36,0)</f>
        <v>0</v>
      </c>
      <c r="AE34" s="976">
        <f t="shared" si="13"/>
        <v>0</v>
      </c>
      <c r="AF34" s="975"/>
      <c r="AG34" s="975"/>
      <c r="AH34" s="975">
        <f t="shared" si="12"/>
        <v>0</v>
      </c>
      <c r="AI34" s="975">
        <f>VLOOKUP(C34,'[8]CHẤM CÔNG '!$F$10:$AM$451,33,0)</f>
        <v>0</v>
      </c>
      <c r="AJ34" s="975">
        <f>VLOOKUP(C34,'[8]CHẤM CÔNG '!$F$10:$AM$451,34,0)</f>
        <v>0</v>
      </c>
      <c r="AK34" s="975"/>
      <c r="AL34" s="975"/>
      <c r="AM34" s="975"/>
      <c r="AN34" s="975">
        <f>VLOOKUP(C34,'[8]CHẤM CÔNG '!$F$10:$AN$451,35,0)</f>
        <v>0</v>
      </c>
      <c r="AO34" s="975">
        <f>VLOOKUP(C34,'[8]CHẤM CÔNG '!$F$10:$AR$451,36,0)</f>
        <v>0</v>
      </c>
      <c r="AP34" s="975"/>
      <c r="AQ34" s="975"/>
      <c r="AR34" s="975"/>
      <c r="AS34" s="981"/>
      <c r="AT34" s="982">
        <f>VLOOKUP(C34,'[8]MỦ TẠP'!$D$10:$AO$450,38,0)</f>
        <v>0</v>
      </c>
    </row>
    <row r="35" spans="1:47" ht="15.75">
      <c r="A35" s="957">
        <v>23</v>
      </c>
      <c r="B35" s="958" t="s">
        <v>2621</v>
      </c>
      <c r="C35" s="964" t="s">
        <v>664</v>
      </c>
      <c r="D35" s="957" t="s">
        <v>15</v>
      </c>
      <c r="E35" s="960"/>
      <c r="F35" s="960"/>
      <c r="G35" s="960"/>
      <c r="H35" s="960"/>
      <c r="I35" s="960"/>
      <c r="J35" s="960"/>
      <c r="K35" s="960"/>
      <c r="L35" s="960"/>
      <c r="M35" s="960"/>
      <c r="N35" s="960">
        <f t="shared" si="2"/>
        <v>0</v>
      </c>
      <c r="O35" s="960">
        <f t="shared" si="3"/>
        <v>0</v>
      </c>
      <c r="P35" s="960">
        <f t="shared" si="4"/>
        <v>0</v>
      </c>
      <c r="Q35" s="960">
        <f t="shared" si="5"/>
        <v>0</v>
      </c>
      <c r="R35" s="960">
        <f t="shared" si="6"/>
        <v>0</v>
      </c>
      <c r="S35" s="960">
        <f t="shared" si="7"/>
        <v>0</v>
      </c>
      <c r="T35" s="960">
        <f t="shared" si="8"/>
        <v>0</v>
      </c>
      <c r="U35" s="960">
        <f t="shared" si="9"/>
        <v>0</v>
      </c>
      <c r="V35" s="960">
        <f t="shared" si="10"/>
        <v>0</v>
      </c>
      <c r="W35" s="960"/>
      <c r="X35" s="960"/>
      <c r="Y35" s="960"/>
      <c r="Z35" s="960"/>
      <c r="AA35" s="975">
        <f t="shared" si="11"/>
        <v>0</v>
      </c>
      <c r="AB35" s="975"/>
      <c r="AC35" s="975"/>
      <c r="AD35" s="975">
        <f>VLOOKUP(C35,'[8]MỦ TẠP'!$D$10:$AM$450,36,0)</f>
        <v>0</v>
      </c>
      <c r="AE35" s="976">
        <f t="shared" si="13"/>
        <v>0</v>
      </c>
      <c r="AF35" s="975"/>
      <c r="AG35" s="975"/>
      <c r="AH35" s="975">
        <f t="shared" si="12"/>
        <v>0</v>
      </c>
      <c r="AI35" s="975">
        <f>VLOOKUP(C35,'[8]CHẤM CÔNG '!$F$10:$AM$451,33,0)</f>
        <v>0</v>
      </c>
      <c r="AJ35" s="975">
        <f>VLOOKUP(C35,'[8]CHẤM CÔNG '!$F$10:$AM$451,34,0)</f>
        <v>0</v>
      </c>
      <c r="AK35" s="975">
        <f>SUM(AI35:AJ35,AN35)</f>
        <v>0</v>
      </c>
      <c r="AL35" s="975"/>
      <c r="AM35" s="975"/>
      <c r="AN35" s="975">
        <f>VLOOKUP(C35,'[8]CHẤM CÔNG '!$F$10:$AN$451,35,0)</f>
        <v>0</v>
      </c>
      <c r="AO35" s="975">
        <f>VLOOKUP(C35,'[8]CHẤM CÔNG '!$F$10:$AR$451,36,0)</f>
        <v>0</v>
      </c>
      <c r="AP35" s="975"/>
      <c r="AQ35" s="975"/>
      <c r="AR35" s="975"/>
      <c r="AS35" s="981"/>
      <c r="AT35" s="982">
        <f>VLOOKUP(C35,'[8]MỦ TẠP'!$D$10:$AO$450,38,0)</f>
        <v>0</v>
      </c>
    </row>
    <row r="36" spans="1:47" ht="15.75">
      <c r="A36" s="957">
        <v>24</v>
      </c>
      <c r="B36" s="958" t="str">
        <f>VLOOKUP(C36,'[8]DS CN MOI UP'!$B$10:$C$489,2,0)</f>
        <v>03442</v>
      </c>
      <c r="C36" s="964" t="s">
        <v>406</v>
      </c>
      <c r="D36" s="957" t="s">
        <v>15</v>
      </c>
      <c r="E36" s="960"/>
      <c r="F36" s="960"/>
      <c r="G36" s="960"/>
      <c r="H36" s="960"/>
      <c r="I36" s="960"/>
      <c r="J36" s="960"/>
      <c r="K36" s="960"/>
      <c r="L36" s="960"/>
      <c r="M36" s="960"/>
      <c r="N36" s="960">
        <f t="shared" si="2"/>
        <v>0</v>
      </c>
      <c r="O36" s="960">
        <f t="shared" si="3"/>
        <v>0</v>
      </c>
      <c r="P36" s="960">
        <f t="shared" si="4"/>
        <v>0</v>
      </c>
      <c r="Q36" s="960">
        <f t="shared" si="5"/>
        <v>0</v>
      </c>
      <c r="R36" s="960">
        <f t="shared" si="6"/>
        <v>0</v>
      </c>
      <c r="S36" s="960">
        <f t="shared" si="7"/>
        <v>0</v>
      </c>
      <c r="T36" s="960">
        <f t="shared" si="8"/>
        <v>0</v>
      </c>
      <c r="U36" s="960">
        <f t="shared" si="9"/>
        <v>0</v>
      </c>
      <c r="V36" s="960">
        <f t="shared" si="10"/>
        <v>0</v>
      </c>
      <c r="W36" s="960"/>
      <c r="X36" s="960"/>
      <c r="Y36" s="960"/>
      <c r="Z36" s="960"/>
      <c r="AA36" s="975">
        <f t="shared" si="11"/>
        <v>0</v>
      </c>
      <c r="AB36" s="975"/>
      <c r="AC36" s="975"/>
      <c r="AD36" s="975">
        <f>VLOOKUP(C36,'[8]MỦ TẠP'!$D$10:$AM$450,36,0)</f>
        <v>0</v>
      </c>
      <c r="AE36" s="976">
        <f t="shared" si="13"/>
        <v>0</v>
      </c>
      <c r="AF36" s="975"/>
      <c r="AG36" s="975"/>
      <c r="AH36" s="975">
        <f t="shared" si="12"/>
        <v>0</v>
      </c>
      <c r="AI36" s="975">
        <f>VLOOKUP(C36,'[8]CHẤM CÔNG '!$F$10:$AM$451,33,0)</f>
        <v>0</v>
      </c>
      <c r="AJ36" s="975">
        <f>VLOOKUP(C36,'[8]CHẤM CÔNG '!$F$10:$AM$451,34,0)</f>
        <v>0</v>
      </c>
      <c r="AK36" s="975"/>
      <c r="AL36" s="975"/>
      <c r="AM36" s="975"/>
      <c r="AN36" s="975">
        <f>VLOOKUP(C36,'[8]CHẤM CÔNG '!$F$10:$AN$451,35,0)</f>
        <v>0</v>
      </c>
      <c r="AO36" s="975">
        <f>VLOOKUP(C36,'[8]CHẤM CÔNG '!$F$10:$AR$451,36,0)</f>
        <v>0</v>
      </c>
      <c r="AP36" s="975"/>
      <c r="AQ36" s="975"/>
      <c r="AR36" s="975"/>
      <c r="AS36" s="981"/>
      <c r="AT36" s="982">
        <f>VLOOKUP(C36,'[8]MỦ TẠP'!$D$10:$AO$450,38,0)</f>
        <v>0</v>
      </c>
    </row>
    <row r="37" spans="1:47" ht="15.75">
      <c r="A37" s="957">
        <v>25</v>
      </c>
      <c r="B37" s="958" t="str">
        <f>VLOOKUP(C37,'[8]DS CN MOI UP'!$B$10:$C$489,2,0)</f>
        <v>03443</v>
      </c>
      <c r="C37" s="964" t="s">
        <v>407</v>
      </c>
      <c r="D37" s="957" t="s">
        <v>15</v>
      </c>
      <c r="E37" s="960"/>
      <c r="F37" s="960"/>
      <c r="G37" s="960"/>
      <c r="H37" s="960"/>
      <c r="I37" s="960"/>
      <c r="J37" s="960"/>
      <c r="K37" s="960"/>
      <c r="L37" s="960"/>
      <c r="M37" s="960"/>
      <c r="N37" s="960">
        <f t="shared" si="2"/>
        <v>0</v>
      </c>
      <c r="O37" s="960">
        <f t="shared" si="3"/>
        <v>0</v>
      </c>
      <c r="P37" s="960">
        <f t="shared" si="4"/>
        <v>0</v>
      </c>
      <c r="Q37" s="960">
        <f t="shared" si="5"/>
        <v>0</v>
      </c>
      <c r="R37" s="960">
        <f t="shared" si="6"/>
        <v>0</v>
      </c>
      <c r="S37" s="960">
        <f t="shared" si="7"/>
        <v>0</v>
      </c>
      <c r="T37" s="960">
        <f t="shared" si="8"/>
        <v>0</v>
      </c>
      <c r="U37" s="960">
        <f t="shared" si="9"/>
        <v>0</v>
      </c>
      <c r="V37" s="960">
        <f t="shared" si="10"/>
        <v>0</v>
      </c>
      <c r="W37" s="960"/>
      <c r="X37" s="960"/>
      <c r="Y37" s="960"/>
      <c r="Z37" s="960"/>
      <c r="AA37" s="975">
        <f t="shared" si="11"/>
        <v>0</v>
      </c>
      <c r="AB37" s="975"/>
      <c r="AC37" s="975"/>
      <c r="AD37" s="975">
        <f>VLOOKUP(C37,'[8]MỦ TẠP'!$D$10:$AM$450,36,0)</f>
        <v>0</v>
      </c>
      <c r="AE37" s="976">
        <f t="shared" si="13"/>
        <v>0</v>
      </c>
      <c r="AF37" s="975"/>
      <c r="AG37" s="975"/>
      <c r="AH37" s="975">
        <f t="shared" si="12"/>
        <v>0</v>
      </c>
      <c r="AI37" s="975">
        <f>VLOOKUP(C37,'[8]CHẤM CÔNG '!$F$10:$AM$451,33,0)</f>
        <v>0</v>
      </c>
      <c r="AJ37" s="975">
        <f>VLOOKUP(C37,'[8]CHẤM CÔNG '!$F$10:$AM$451,34,0)</f>
        <v>0</v>
      </c>
      <c r="AK37" s="975"/>
      <c r="AL37" s="975"/>
      <c r="AM37" s="975"/>
      <c r="AN37" s="975">
        <f>VLOOKUP(C37,'[8]CHẤM CÔNG '!$F$10:$AN$451,35,0)</f>
        <v>0</v>
      </c>
      <c r="AO37" s="975">
        <f>VLOOKUP(C37,'[8]CHẤM CÔNG '!$F$10:$AR$451,36,0)</f>
        <v>0</v>
      </c>
      <c r="AP37" s="975"/>
      <c r="AQ37" s="975"/>
      <c r="AR37" s="975"/>
      <c r="AS37" s="981"/>
      <c r="AT37" s="982">
        <f>VLOOKUP(C37,'[8]MỦ TẠP'!$D$10:$AO$450,38,0)</f>
        <v>0</v>
      </c>
    </row>
    <row r="38" spans="1:47" ht="15.75">
      <c r="A38" s="957">
        <v>26</v>
      </c>
      <c r="B38" s="958" t="str">
        <f>VLOOKUP(C38,'[8]DS CN MOI UP'!$B$10:$C$489,2,0)</f>
        <v>03444</v>
      </c>
      <c r="C38" s="964" t="s">
        <v>408</v>
      </c>
      <c r="D38" s="957" t="s">
        <v>15</v>
      </c>
      <c r="E38" s="960"/>
      <c r="F38" s="960"/>
      <c r="G38" s="960"/>
      <c r="H38" s="960"/>
      <c r="I38" s="960"/>
      <c r="J38" s="960"/>
      <c r="K38" s="960"/>
      <c r="L38" s="960"/>
      <c r="M38" s="960"/>
      <c r="N38" s="960">
        <f t="shared" si="2"/>
        <v>0</v>
      </c>
      <c r="O38" s="960">
        <f t="shared" si="3"/>
        <v>0</v>
      </c>
      <c r="P38" s="960">
        <f t="shared" si="4"/>
        <v>0</v>
      </c>
      <c r="Q38" s="960">
        <f t="shared" si="5"/>
        <v>0</v>
      </c>
      <c r="R38" s="960">
        <f t="shared" si="6"/>
        <v>0</v>
      </c>
      <c r="S38" s="960">
        <f t="shared" si="7"/>
        <v>0</v>
      </c>
      <c r="T38" s="960">
        <f t="shared" si="8"/>
        <v>0</v>
      </c>
      <c r="U38" s="960">
        <f t="shared" si="9"/>
        <v>0</v>
      </c>
      <c r="V38" s="960">
        <f t="shared" si="10"/>
        <v>0</v>
      </c>
      <c r="W38" s="960"/>
      <c r="X38" s="960"/>
      <c r="Y38" s="960"/>
      <c r="Z38" s="960"/>
      <c r="AA38" s="975">
        <f t="shared" si="11"/>
        <v>0</v>
      </c>
      <c r="AB38" s="975"/>
      <c r="AC38" s="975"/>
      <c r="AD38" s="975">
        <f>VLOOKUP(C38,'[8]MỦ TẠP'!$D$10:$AM$450,36,0)</f>
        <v>0</v>
      </c>
      <c r="AE38" s="976">
        <f t="shared" si="13"/>
        <v>0</v>
      </c>
      <c r="AF38" s="975"/>
      <c r="AG38" s="975"/>
      <c r="AH38" s="975">
        <f t="shared" si="12"/>
        <v>0</v>
      </c>
      <c r="AI38" s="975">
        <f>VLOOKUP(C38,'[8]CHẤM CÔNG '!$F$10:$AM$451,33,0)</f>
        <v>0</v>
      </c>
      <c r="AJ38" s="975">
        <f>VLOOKUP(C38,'[8]CHẤM CÔNG '!$F$10:$AM$451,34,0)</f>
        <v>0</v>
      </c>
      <c r="AK38" s="975"/>
      <c r="AL38" s="975"/>
      <c r="AM38" s="975"/>
      <c r="AN38" s="975">
        <f>VLOOKUP(C38,'[8]CHẤM CÔNG '!$F$10:$AN$451,35,0)</f>
        <v>0</v>
      </c>
      <c r="AO38" s="975">
        <f>VLOOKUP(C38,'[8]CHẤM CÔNG '!$F$10:$AR$451,36,0)</f>
        <v>0</v>
      </c>
      <c r="AP38" s="975"/>
      <c r="AQ38" s="975"/>
      <c r="AR38" s="975"/>
      <c r="AS38" s="981"/>
      <c r="AT38" s="982">
        <f>VLOOKUP(C38,'[8]MỦ TẠP'!$D$10:$AO$450,38,0)</f>
        <v>0</v>
      </c>
    </row>
    <row r="39" spans="1:47" ht="15.75">
      <c r="A39" s="957">
        <v>27</v>
      </c>
      <c r="B39" s="958" t="e">
        <f>VLOOKUP(C39,'[8]DS CN MOI UP'!$B$10:$C$489,2,0)</f>
        <v>#N/A</v>
      </c>
      <c r="C39" s="964" t="s">
        <v>1939</v>
      </c>
      <c r="D39" s="957" t="s">
        <v>15</v>
      </c>
      <c r="E39" s="960"/>
      <c r="F39" s="960"/>
      <c r="G39" s="960"/>
      <c r="H39" s="960"/>
      <c r="I39" s="960"/>
      <c r="J39" s="960"/>
      <c r="K39" s="960"/>
      <c r="L39" s="960"/>
      <c r="M39" s="960"/>
      <c r="N39" s="960">
        <f t="shared" si="2"/>
        <v>0</v>
      </c>
      <c r="O39" s="960">
        <f t="shared" si="3"/>
        <v>0</v>
      </c>
      <c r="P39" s="960">
        <f t="shared" si="4"/>
        <v>0</v>
      </c>
      <c r="Q39" s="960">
        <f t="shared" si="5"/>
        <v>0</v>
      </c>
      <c r="R39" s="960">
        <f t="shared" si="6"/>
        <v>0</v>
      </c>
      <c r="S39" s="960">
        <f t="shared" si="7"/>
        <v>0</v>
      </c>
      <c r="T39" s="960">
        <f t="shared" si="8"/>
        <v>0</v>
      </c>
      <c r="U39" s="960">
        <f t="shared" si="9"/>
        <v>0</v>
      </c>
      <c r="V39" s="960">
        <f t="shared" si="10"/>
        <v>0</v>
      </c>
      <c r="W39" s="960"/>
      <c r="X39" s="960"/>
      <c r="Y39" s="960"/>
      <c r="Z39" s="960"/>
      <c r="AA39" s="975">
        <f t="shared" si="11"/>
        <v>0</v>
      </c>
      <c r="AB39" s="975"/>
      <c r="AC39" s="975"/>
      <c r="AD39" s="975">
        <f>VLOOKUP(C39,'[8]MỦ TẠP'!$D$10:$AM$450,36,0)</f>
        <v>0</v>
      </c>
      <c r="AE39" s="976">
        <f t="shared" si="13"/>
        <v>0</v>
      </c>
      <c r="AF39" s="975"/>
      <c r="AG39" s="975"/>
      <c r="AH39" s="975">
        <f t="shared" si="12"/>
        <v>0</v>
      </c>
      <c r="AI39" s="975">
        <f>VLOOKUP(C39,'[8]CHẤM CÔNG '!$F$10:$AM$451,33,0)</f>
        <v>0</v>
      </c>
      <c r="AJ39" s="975">
        <f>VLOOKUP(C39,'[8]CHẤM CÔNG '!$F$10:$AM$451,34,0)</f>
        <v>0</v>
      </c>
      <c r="AK39" s="975"/>
      <c r="AL39" s="975"/>
      <c r="AM39" s="975"/>
      <c r="AN39" s="975">
        <f>VLOOKUP(C39,'[8]CHẤM CÔNG '!$F$10:$AN$451,35,0)</f>
        <v>0</v>
      </c>
      <c r="AO39" s="975">
        <f>VLOOKUP(C39,'[8]CHẤM CÔNG '!$F$10:$AR$451,36,0)</f>
        <v>0</v>
      </c>
      <c r="AP39" s="975"/>
      <c r="AQ39" s="975"/>
      <c r="AR39" s="975"/>
      <c r="AS39" s="981"/>
      <c r="AT39" s="982">
        <f>VLOOKUP(C39,'[8]MỦ TẠP'!$D$10:$AO$450,38,0)</f>
        <v>0</v>
      </c>
    </row>
    <row r="40" spans="1:47" ht="15.75">
      <c r="A40" s="957">
        <v>28</v>
      </c>
      <c r="B40" s="958" t="str">
        <f>VLOOKUP(C40,'[8]DS CN MOI UP'!$B$10:$C$489,2,0)</f>
        <v>03454</v>
      </c>
      <c r="C40" s="964" t="s">
        <v>424</v>
      </c>
      <c r="D40" s="957" t="s">
        <v>15</v>
      </c>
      <c r="E40" s="960"/>
      <c r="F40" s="960"/>
      <c r="G40" s="960"/>
      <c r="H40" s="960"/>
      <c r="I40" s="960"/>
      <c r="J40" s="960"/>
      <c r="K40" s="960"/>
      <c r="L40" s="960"/>
      <c r="M40" s="960"/>
      <c r="N40" s="960">
        <f t="shared" si="2"/>
        <v>0</v>
      </c>
      <c r="O40" s="960">
        <f t="shared" si="3"/>
        <v>0</v>
      </c>
      <c r="P40" s="960">
        <f t="shared" si="4"/>
        <v>0</v>
      </c>
      <c r="Q40" s="960">
        <f t="shared" si="5"/>
        <v>0</v>
      </c>
      <c r="R40" s="960">
        <f t="shared" si="6"/>
        <v>0</v>
      </c>
      <c r="S40" s="960">
        <f t="shared" si="7"/>
        <v>0</v>
      </c>
      <c r="T40" s="960">
        <f t="shared" si="8"/>
        <v>0</v>
      </c>
      <c r="U40" s="960">
        <f t="shared" si="9"/>
        <v>0</v>
      </c>
      <c r="V40" s="960">
        <f t="shared" si="10"/>
        <v>0</v>
      </c>
      <c r="W40" s="960"/>
      <c r="X40" s="960"/>
      <c r="Y40" s="960"/>
      <c r="Z40" s="960"/>
      <c r="AA40" s="975">
        <f t="shared" si="11"/>
        <v>0</v>
      </c>
      <c r="AB40" s="975"/>
      <c r="AC40" s="975"/>
      <c r="AD40" s="975">
        <f>VLOOKUP(C40,'[8]MỦ TẠP'!$D$10:$AM$450,36,0)</f>
        <v>0</v>
      </c>
      <c r="AE40" s="976">
        <f t="shared" si="13"/>
        <v>0</v>
      </c>
      <c r="AF40" s="975"/>
      <c r="AG40" s="975"/>
      <c r="AH40" s="975">
        <f t="shared" si="12"/>
        <v>0</v>
      </c>
      <c r="AI40" s="975">
        <f>VLOOKUP(C40,'[8]CHẤM CÔNG '!$F$10:$AM$451,33,0)</f>
        <v>0</v>
      </c>
      <c r="AJ40" s="975">
        <f>VLOOKUP(C40,'[8]CHẤM CÔNG '!$F$10:$AM$451,34,0)</f>
        <v>0</v>
      </c>
      <c r="AK40" s="975"/>
      <c r="AL40" s="975"/>
      <c r="AM40" s="975"/>
      <c r="AN40" s="975">
        <f>VLOOKUP(C40,'[8]CHẤM CÔNG '!$F$10:$AN$451,35,0)</f>
        <v>0</v>
      </c>
      <c r="AO40" s="975">
        <f>VLOOKUP(C40,'[8]CHẤM CÔNG '!$F$10:$AR$451,36,0)</f>
        <v>0</v>
      </c>
      <c r="AP40" s="975"/>
      <c r="AQ40" s="975"/>
      <c r="AR40" s="975"/>
      <c r="AS40" s="981"/>
      <c r="AT40" s="982">
        <f>VLOOKUP(C40,'[8]MỦ TẠP'!$D$10:$AO$450,38,0)</f>
        <v>0</v>
      </c>
      <c r="AU40" s="985"/>
    </row>
    <row r="41" spans="1:47" ht="15.75">
      <c r="A41" s="957">
        <v>29</v>
      </c>
      <c r="B41" s="958" t="str">
        <f>VLOOKUP(C41,'[8]DS CN MOI UP'!$B$10:$C$489,2,0)</f>
        <v>03445</v>
      </c>
      <c r="C41" s="964" t="s">
        <v>411</v>
      </c>
      <c r="D41" s="957" t="s">
        <v>15</v>
      </c>
      <c r="E41" s="960"/>
      <c r="F41" s="960"/>
      <c r="G41" s="960"/>
      <c r="H41" s="960"/>
      <c r="I41" s="960"/>
      <c r="J41" s="960"/>
      <c r="K41" s="960"/>
      <c r="L41" s="960"/>
      <c r="M41" s="960"/>
      <c r="N41" s="960">
        <f t="shared" si="2"/>
        <v>0</v>
      </c>
      <c r="O41" s="960">
        <f t="shared" si="3"/>
        <v>0</v>
      </c>
      <c r="P41" s="960">
        <f t="shared" si="4"/>
        <v>0</v>
      </c>
      <c r="Q41" s="960">
        <f t="shared" si="5"/>
        <v>0</v>
      </c>
      <c r="R41" s="960">
        <f t="shared" si="6"/>
        <v>0</v>
      </c>
      <c r="S41" s="960">
        <f t="shared" si="7"/>
        <v>0</v>
      </c>
      <c r="T41" s="960">
        <f t="shared" si="8"/>
        <v>0</v>
      </c>
      <c r="U41" s="960">
        <f t="shared" si="9"/>
        <v>0</v>
      </c>
      <c r="V41" s="960">
        <f t="shared" si="10"/>
        <v>0</v>
      </c>
      <c r="W41" s="960"/>
      <c r="X41" s="960"/>
      <c r="Y41" s="960"/>
      <c r="Z41" s="960"/>
      <c r="AA41" s="975">
        <f t="shared" si="11"/>
        <v>0</v>
      </c>
      <c r="AB41" s="975"/>
      <c r="AC41" s="975"/>
      <c r="AD41" s="975">
        <f>VLOOKUP(C41,'[8]MỦ TẠP'!$D$10:$AM$450,36,0)</f>
        <v>0</v>
      </c>
      <c r="AE41" s="976">
        <f t="shared" si="13"/>
        <v>0</v>
      </c>
      <c r="AF41" s="975"/>
      <c r="AG41" s="975"/>
      <c r="AH41" s="975">
        <f t="shared" si="12"/>
        <v>0</v>
      </c>
      <c r="AI41" s="975">
        <f>VLOOKUP(C41,'[8]CHẤM CÔNG '!$F$10:$AM$451,33,0)</f>
        <v>0</v>
      </c>
      <c r="AJ41" s="975">
        <f>VLOOKUP(C41,'[8]CHẤM CÔNG '!$F$10:$AM$451,34,0)</f>
        <v>0</v>
      </c>
      <c r="AK41" s="975"/>
      <c r="AL41" s="975"/>
      <c r="AM41" s="975"/>
      <c r="AN41" s="975">
        <f>VLOOKUP(C41,'[8]CHẤM CÔNG '!$F$10:$AN$451,35,0)</f>
        <v>0</v>
      </c>
      <c r="AO41" s="975">
        <f>VLOOKUP(C41,'[8]CHẤM CÔNG '!$F$10:$AR$451,36,0)</f>
        <v>0</v>
      </c>
      <c r="AP41" s="975"/>
      <c r="AQ41" s="975"/>
      <c r="AR41" s="975"/>
      <c r="AS41" s="981"/>
      <c r="AT41" s="982">
        <f>VLOOKUP(C41,'[8]MỦ TẠP'!$D$10:$AO$450,38,0)</f>
        <v>0</v>
      </c>
    </row>
    <row r="42" spans="1:47" ht="15.75">
      <c r="A42" s="957">
        <v>30</v>
      </c>
      <c r="B42" s="958" t="str">
        <f>VLOOKUP(C42,'[8]DS CN MOI UP'!$B$10:$C$489,2,0)</f>
        <v>03446</v>
      </c>
      <c r="C42" s="964" t="s">
        <v>412</v>
      </c>
      <c r="D42" s="957" t="s">
        <v>15</v>
      </c>
      <c r="E42" s="960"/>
      <c r="F42" s="960"/>
      <c r="G42" s="960"/>
      <c r="H42" s="960"/>
      <c r="I42" s="960"/>
      <c r="J42" s="960"/>
      <c r="K42" s="960"/>
      <c r="L42" s="960"/>
      <c r="M42" s="960"/>
      <c r="N42" s="960">
        <f t="shared" si="2"/>
        <v>0</v>
      </c>
      <c r="O42" s="960">
        <f t="shared" si="3"/>
        <v>0</v>
      </c>
      <c r="P42" s="960">
        <f t="shared" si="4"/>
        <v>0</v>
      </c>
      <c r="Q42" s="960">
        <f t="shared" si="5"/>
        <v>0</v>
      </c>
      <c r="R42" s="960">
        <f t="shared" si="6"/>
        <v>0</v>
      </c>
      <c r="S42" s="960">
        <f t="shared" si="7"/>
        <v>0</v>
      </c>
      <c r="T42" s="960">
        <f t="shared" si="8"/>
        <v>0</v>
      </c>
      <c r="U42" s="960">
        <f t="shared" si="9"/>
        <v>0</v>
      </c>
      <c r="V42" s="960">
        <f t="shared" si="10"/>
        <v>0</v>
      </c>
      <c r="W42" s="960"/>
      <c r="X42" s="960"/>
      <c r="Y42" s="960"/>
      <c r="Z42" s="960"/>
      <c r="AA42" s="975">
        <f t="shared" si="11"/>
        <v>0</v>
      </c>
      <c r="AB42" s="975"/>
      <c r="AC42" s="975"/>
      <c r="AD42" s="975">
        <f>VLOOKUP(C42,'[8]MỦ TẠP'!$D$10:$AM$450,36,0)</f>
        <v>0</v>
      </c>
      <c r="AE42" s="976">
        <f t="shared" si="13"/>
        <v>0</v>
      </c>
      <c r="AF42" s="975"/>
      <c r="AG42" s="975"/>
      <c r="AH42" s="975">
        <f t="shared" si="12"/>
        <v>0</v>
      </c>
      <c r="AI42" s="975">
        <f>VLOOKUP(C42,'[8]CHẤM CÔNG '!$F$10:$AM$451,33,0)</f>
        <v>0</v>
      </c>
      <c r="AJ42" s="975">
        <f>VLOOKUP(C42,'[8]CHẤM CÔNG '!$F$10:$AM$451,34,0)</f>
        <v>0</v>
      </c>
      <c r="AK42" s="975"/>
      <c r="AL42" s="975"/>
      <c r="AM42" s="975"/>
      <c r="AN42" s="975">
        <f>VLOOKUP(C42,'[8]CHẤM CÔNG '!$F$10:$AN$451,35,0)</f>
        <v>0</v>
      </c>
      <c r="AO42" s="975">
        <f>VLOOKUP(C42,'[8]CHẤM CÔNG '!$F$10:$AR$451,36,0)</f>
        <v>0</v>
      </c>
      <c r="AP42" s="975"/>
      <c r="AQ42" s="975"/>
      <c r="AR42" s="975"/>
      <c r="AS42" s="981"/>
      <c r="AT42" s="982">
        <f>VLOOKUP(C42,'[8]MỦ TẠP'!$D$10:$AO$450,38,0)</f>
        <v>0</v>
      </c>
    </row>
    <row r="43" spans="1:47" ht="15.75">
      <c r="A43" s="957">
        <v>31</v>
      </c>
      <c r="B43" s="958" t="str">
        <f>VLOOKUP(C43,'[8]DS CN MOI UP'!$B$10:$C$489,2,0)</f>
        <v>03447</v>
      </c>
      <c r="C43" s="964" t="s">
        <v>413</v>
      </c>
      <c r="D43" s="957" t="s">
        <v>15</v>
      </c>
      <c r="E43" s="960"/>
      <c r="F43" s="960"/>
      <c r="G43" s="960"/>
      <c r="H43" s="960"/>
      <c r="I43" s="960"/>
      <c r="J43" s="960"/>
      <c r="K43" s="960"/>
      <c r="L43" s="960"/>
      <c r="M43" s="960"/>
      <c r="N43" s="960">
        <f t="shared" si="2"/>
        <v>0</v>
      </c>
      <c r="O43" s="960">
        <f t="shared" si="3"/>
        <v>0</v>
      </c>
      <c r="P43" s="960">
        <f t="shared" si="4"/>
        <v>0</v>
      </c>
      <c r="Q43" s="960">
        <f t="shared" si="5"/>
        <v>0</v>
      </c>
      <c r="R43" s="960">
        <f t="shared" si="6"/>
        <v>0</v>
      </c>
      <c r="S43" s="960">
        <f t="shared" si="7"/>
        <v>0</v>
      </c>
      <c r="T43" s="960">
        <f t="shared" si="8"/>
        <v>0</v>
      </c>
      <c r="U43" s="960">
        <f t="shared" si="9"/>
        <v>0</v>
      </c>
      <c r="V43" s="960">
        <f t="shared" si="10"/>
        <v>0</v>
      </c>
      <c r="W43" s="960"/>
      <c r="X43" s="960"/>
      <c r="Y43" s="960"/>
      <c r="Z43" s="960"/>
      <c r="AA43" s="975">
        <f t="shared" si="11"/>
        <v>0</v>
      </c>
      <c r="AB43" s="975"/>
      <c r="AC43" s="975"/>
      <c r="AD43" s="975">
        <f>VLOOKUP(C43,'[8]MỦ TẠP'!$D$10:$AM$450,36,0)</f>
        <v>0</v>
      </c>
      <c r="AE43" s="976">
        <f t="shared" si="13"/>
        <v>0</v>
      </c>
      <c r="AF43" s="975"/>
      <c r="AG43" s="975"/>
      <c r="AH43" s="975">
        <f t="shared" si="12"/>
        <v>0</v>
      </c>
      <c r="AI43" s="975">
        <f>VLOOKUP(C43,'[8]CHẤM CÔNG '!$F$10:$AM$451,33,0)</f>
        <v>0</v>
      </c>
      <c r="AJ43" s="975">
        <f>VLOOKUP(C43,'[8]CHẤM CÔNG '!$F$10:$AM$451,34,0)</f>
        <v>0</v>
      </c>
      <c r="AK43" s="975"/>
      <c r="AL43" s="975"/>
      <c r="AM43" s="975"/>
      <c r="AN43" s="975">
        <f>VLOOKUP(C43,'[8]CHẤM CÔNG '!$F$10:$AN$451,35,0)</f>
        <v>0</v>
      </c>
      <c r="AO43" s="975">
        <f>VLOOKUP(C43,'[8]CHẤM CÔNG '!$F$10:$AR$451,36,0)</f>
        <v>0</v>
      </c>
      <c r="AP43" s="975"/>
      <c r="AQ43" s="975"/>
      <c r="AR43" s="975"/>
      <c r="AS43" s="981"/>
      <c r="AT43" s="982">
        <f>VLOOKUP(C43,'[8]MỦ TẠP'!$D$10:$AO$450,38,0)</f>
        <v>0</v>
      </c>
    </row>
    <row r="44" spans="1:47" ht="15.75">
      <c r="A44" s="957">
        <v>32</v>
      </c>
      <c r="B44" s="958" t="e">
        <f>VLOOKUP(C44,'[8]DS CN MOI UP'!$B$10:$C$489,2,0)</f>
        <v>#N/A</v>
      </c>
      <c r="C44" s="964" t="s">
        <v>414</v>
      </c>
      <c r="D44" s="957" t="s">
        <v>15</v>
      </c>
      <c r="E44" s="960"/>
      <c r="F44" s="960"/>
      <c r="G44" s="960"/>
      <c r="H44" s="960"/>
      <c r="I44" s="960"/>
      <c r="J44" s="960"/>
      <c r="K44" s="960"/>
      <c r="L44" s="960"/>
      <c r="M44" s="960"/>
      <c r="N44" s="960">
        <f t="shared" si="2"/>
        <v>0</v>
      </c>
      <c r="O44" s="960">
        <f t="shared" si="3"/>
        <v>0</v>
      </c>
      <c r="P44" s="960">
        <f t="shared" si="4"/>
        <v>0</v>
      </c>
      <c r="Q44" s="960">
        <f t="shared" si="5"/>
        <v>0</v>
      </c>
      <c r="R44" s="960">
        <f t="shared" si="6"/>
        <v>0</v>
      </c>
      <c r="S44" s="960">
        <f t="shared" si="7"/>
        <v>0</v>
      </c>
      <c r="T44" s="960">
        <f t="shared" si="8"/>
        <v>0</v>
      </c>
      <c r="U44" s="960">
        <f t="shared" si="9"/>
        <v>0</v>
      </c>
      <c r="V44" s="960">
        <f t="shared" si="10"/>
        <v>0</v>
      </c>
      <c r="W44" s="960"/>
      <c r="X44" s="960"/>
      <c r="Y44" s="960"/>
      <c r="Z44" s="960"/>
      <c r="AA44" s="975">
        <f t="shared" si="11"/>
        <v>0</v>
      </c>
      <c r="AB44" s="975"/>
      <c r="AC44" s="975"/>
      <c r="AD44" s="975" t="e">
        <f>VLOOKUP(C44,'[8]MỦ TẠP'!$D$10:$AM$450,36,0)</f>
        <v>#N/A</v>
      </c>
      <c r="AE44" s="976" t="e">
        <f t="shared" si="13"/>
        <v>#N/A</v>
      </c>
      <c r="AF44" s="975"/>
      <c r="AG44" s="975"/>
      <c r="AH44" s="975" t="e">
        <f t="shared" si="12"/>
        <v>#N/A</v>
      </c>
      <c r="AI44" s="975" t="e">
        <f>VLOOKUP(C44,'[8]CHẤM CÔNG '!$F$10:$AM$451,33,0)</f>
        <v>#N/A</v>
      </c>
      <c r="AJ44" s="975" t="e">
        <f>VLOOKUP(C44,'[8]CHẤM CÔNG '!$F$10:$AM$451,34,0)</f>
        <v>#N/A</v>
      </c>
      <c r="AK44" s="975" t="e">
        <f>SUM(AI44:AJ44,AN44)</f>
        <v>#N/A</v>
      </c>
      <c r="AL44" s="975"/>
      <c r="AM44" s="975"/>
      <c r="AN44" s="975" t="e">
        <f>VLOOKUP(C44,'[8]CHẤM CÔNG '!$F$10:$AN$451,35,0)</f>
        <v>#N/A</v>
      </c>
      <c r="AO44" s="975" t="e">
        <f>VLOOKUP(C44,'[8]CHẤM CÔNG '!$F$10:$AR$451,36,0)</f>
        <v>#N/A</v>
      </c>
      <c r="AP44" s="975"/>
      <c r="AQ44" s="975"/>
      <c r="AR44" s="975"/>
      <c r="AS44" s="981"/>
      <c r="AT44" s="982" t="e">
        <f>VLOOKUP(C44,'[8]MỦ TẠP'!$D$10:$AO$450,38,0)</f>
        <v>#N/A</v>
      </c>
    </row>
    <row r="45" spans="1:47" ht="15.75">
      <c r="A45" s="957">
        <v>33</v>
      </c>
      <c r="B45" s="958" t="str">
        <f>VLOOKUP(C45,'[8]DS CN MOI UP'!$B$10:$C$489,2,0)</f>
        <v>02439</v>
      </c>
      <c r="C45" s="964" t="s">
        <v>415</v>
      </c>
      <c r="D45" s="957" t="s">
        <v>15</v>
      </c>
      <c r="E45" s="960"/>
      <c r="F45" s="960"/>
      <c r="G45" s="960"/>
      <c r="H45" s="960"/>
      <c r="I45" s="960"/>
      <c r="J45" s="960"/>
      <c r="K45" s="960"/>
      <c r="L45" s="960"/>
      <c r="M45" s="960"/>
      <c r="N45" s="960">
        <f t="shared" si="2"/>
        <v>0</v>
      </c>
      <c r="O45" s="960">
        <f t="shared" si="3"/>
        <v>0</v>
      </c>
      <c r="P45" s="960">
        <f t="shared" si="4"/>
        <v>0</v>
      </c>
      <c r="Q45" s="960">
        <f t="shared" si="5"/>
        <v>0</v>
      </c>
      <c r="R45" s="960">
        <f t="shared" si="6"/>
        <v>0</v>
      </c>
      <c r="S45" s="960">
        <f t="shared" si="7"/>
        <v>0</v>
      </c>
      <c r="T45" s="960">
        <f t="shared" si="8"/>
        <v>0</v>
      </c>
      <c r="U45" s="960">
        <f t="shared" si="9"/>
        <v>0</v>
      </c>
      <c r="V45" s="960">
        <f t="shared" si="10"/>
        <v>0</v>
      </c>
      <c r="W45" s="960"/>
      <c r="X45" s="960"/>
      <c r="Y45" s="960"/>
      <c r="Z45" s="960"/>
      <c r="AA45" s="975">
        <f t="shared" si="11"/>
        <v>0</v>
      </c>
      <c r="AB45" s="975"/>
      <c r="AC45" s="975"/>
      <c r="AD45" s="975">
        <f>VLOOKUP(C45,'[8]MỦ TẠP'!$D$10:$AM$450,36,0)</f>
        <v>0</v>
      </c>
      <c r="AE45" s="976">
        <f t="shared" si="13"/>
        <v>0</v>
      </c>
      <c r="AF45" s="975"/>
      <c r="AG45" s="975"/>
      <c r="AH45" s="975">
        <f t="shared" si="12"/>
        <v>0</v>
      </c>
      <c r="AI45" s="975">
        <f>VLOOKUP(C45,'[8]CHẤM CÔNG '!$F$10:$AM$451,33,0)</f>
        <v>0</v>
      </c>
      <c r="AJ45" s="975">
        <f>VLOOKUP(C45,'[8]CHẤM CÔNG '!$F$10:$AM$451,34,0)</f>
        <v>0</v>
      </c>
      <c r="AK45" s="975"/>
      <c r="AL45" s="975"/>
      <c r="AM45" s="975"/>
      <c r="AN45" s="975">
        <f>VLOOKUP(C45,'[8]CHẤM CÔNG '!$F$10:$AN$451,35,0)</f>
        <v>0</v>
      </c>
      <c r="AO45" s="975">
        <f>VLOOKUP(C45,'[8]CHẤM CÔNG '!$F$10:$AR$451,36,0)</f>
        <v>0</v>
      </c>
      <c r="AP45" s="975"/>
      <c r="AQ45" s="975"/>
      <c r="AR45" s="975"/>
      <c r="AS45" s="981"/>
      <c r="AT45" s="982">
        <f>VLOOKUP(C45,'[8]MỦ TẠP'!$D$10:$AO$450,38,0)</f>
        <v>0</v>
      </c>
    </row>
    <row r="46" spans="1:47" ht="15.75">
      <c r="A46" s="957">
        <v>34</v>
      </c>
      <c r="B46" s="958" t="e">
        <f>VLOOKUP(C46,'[8]DS CN MOI UP'!$B$10:$C$489,2,0)</f>
        <v>#N/A</v>
      </c>
      <c r="C46" s="964" t="s">
        <v>1940</v>
      </c>
      <c r="D46" s="957" t="s">
        <v>15</v>
      </c>
      <c r="E46" s="960"/>
      <c r="F46" s="960"/>
      <c r="G46" s="960"/>
      <c r="H46" s="960"/>
      <c r="I46" s="960"/>
      <c r="J46" s="960"/>
      <c r="K46" s="960"/>
      <c r="L46" s="960"/>
      <c r="M46" s="960"/>
      <c r="N46" s="960">
        <f t="shared" si="2"/>
        <v>0</v>
      </c>
      <c r="O46" s="960">
        <f t="shared" si="3"/>
        <v>0</v>
      </c>
      <c r="P46" s="960">
        <f t="shared" si="4"/>
        <v>0</v>
      </c>
      <c r="Q46" s="960">
        <f t="shared" si="5"/>
        <v>0</v>
      </c>
      <c r="R46" s="960">
        <f t="shared" si="6"/>
        <v>0</v>
      </c>
      <c r="S46" s="960">
        <f t="shared" si="7"/>
        <v>0</v>
      </c>
      <c r="T46" s="960">
        <f t="shared" si="8"/>
        <v>0</v>
      </c>
      <c r="U46" s="960">
        <f t="shared" si="9"/>
        <v>0</v>
      </c>
      <c r="V46" s="960">
        <f t="shared" si="10"/>
        <v>0</v>
      </c>
      <c r="W46" s="960"/>
      <c r="X46" s="960"/>
      <c r="Y46" s="960"/>
      <c r="Z46" s="960"/>
      <c r="AA46" s="975">
        <f t="shared" si="11"/>
        <v>0</v>
      </c>
      <c r="AB46" s="975"/>
      <c r="AC46" s="975"/>
      <c r="AD46" s="975">
        <f>VLOOKUP(C46,'[8]MỦ TẠP'!$D$10:$AM$450,36,0)</f>
        <v>0</v>
      </c>
      <c r="AE46" s="976">
        <f t="shared" si="13"/>
        <v>0</v>
      </c>
      <c r="AF46" s="975"/>
      <c r="AG46" s="975"/>
      <c r="AH46" s="975">
        <f t="shared" si="12"/>
        <v>0</v>
      </c>
      <c r="AI46" s="975">
        <f>VLOOKUP(C46,'[8]CHẤM CÔNG '!$F$10:$AM$451,33,0)</f>
        <v>0</v>
      </c>
      <c r="AJ46" s="975">
        <f>VLOOKUP(C46,'[8]CHẤM CÔNG '!$F$10:$AM$451,34,0)</f>
        <v>0</v>
      </c>
      <c r="AK46" s="975"/>
      <c r="AL46" s="975"/>
      <c r="AM46" s="975"/>
      <c r="AN46" s="975">
        <f>VLOOKUP(C46,'[8]CHẤM CÔNG '!$F$10:$AN$451,35,0)</f>
        <v>0</v>
      </c>
      <c r="AO46" s="975">
        <f>VLOOKUP(C46,'[8]CHẤM CÔNG '!$F$10:$AR$451,36,0)</f>
        <v>0</v>
      </c>
      <c r="AP46" s="975"/>
      <c r="AQ46" s="975"/>
      <c r="AR46" s="975"/>
      <c r="AS46" s="981"/>
      <c r="AT46" s="982">
        <f>VLOOKUP(C46,'[8]MỦ TẠP'!$D$10:$AO$450,38,0)</f>
        <v>0</v>
      </c>
    </row>
    <row r="47" spans="1:47" ht="15.75">
      <c r="A47" s="957">
        <v>35</v>
      </c>
      <c r="B47" s="958" t="str">
        <f>VLOOKUP(C47,'[8]DS CN MOI UP'!$B$10:$C$489,2,0)</f>
        <v>03450</v>
      </c>
      <c r="C47" s="964" t="s">
        <v>417</v>
      </c>
      <c r="D47" s="957" t="s">
        <v>15</v>
      </c>
      <c r="E47" s="960"/>
      <c r="F47" s="960"/>
      <c r="G47" s="960"/>
      <c r="H47" s="960"/>
      <c r="I47" s="960"/>
      <c r="J47" s="960"/>
      <c r="K47" s="960"/>
      <c r="L47" s="960"/>
      <c r="M47" s="960"/>
      <c r="N47" s="960">
        <f t="shared" si="2"/>
        <v>0</v>
      </c>
      <c r="O47" s="960">
        <f t="shared" si="3"/>
        <v>0</v>
      </c>
      <c r="P47" s="960">
        <f t="shared" si="4"/>
        <v>0</v>
      </c>
      <c r="Q47" s="960">
        <f t="shared" si="5"/>
        <v>0</v>
      </c>
      <c r="R47" s="960">
        <f t="shared" si="6"/>
        <v>0</v>
      </c>
      <c r="S47" s="960">
        <f t="shared" si="7"/>
        <v>0</v>
      </c>
      <c r="T47" s="960">
        <f t="shared" si="8"/>
        <v>0</v>
      </c>
      <c r="U47" s="960">
        <f t="shared" si="9"/>
        <v>0</v>
      </c>
      <c r="V47" s="960">
        <f t="shared" si="10"/>
        <v>0</v>
      </c>
      <c r="W47" s="960"/>
      <c r="X47" s="960"/>
      <c r="Y47" s="960"/>
      <c r="Z47" s="960"/>
      <c r="AA47" s="975">
        <f t="shared" si="11"/>
        <v>0</v>
      </c>
      <c r="AB47" s="975"/>
      <c r="AC47" s="975"/>
      <c r="AD47" s="975">
        <f>VLOOKUP(C47,'[8]MỦ TẠP'!$D$10:$AM$450,36,0)</f>
        <v>0</v>
      </c>
      <c r="AE47" s="976">
        <f t="shared" si="13"/>
        <v>0</v>
      </c>
      <c r="AF47" s="975"/>
      <c r="AG47" s="975"/>
      <c r="AH47" s="975">
        <f t="shared" si="12"/>
        <v>0</v>
      </c>
      <c r="AI47" s="975">
        <f>VLOOKUP(C47,'[8]CHẤM CÔNG '!$F$10:$AM$451,33,0)</f>
        <v>0</v>
      </c>
      <c r="AJ47" s="975">
        <f>VLOOKUP(C47,'[8]CHẤM CÔNG '!$F$10:$AM$451,34,0)</f>
        <v>0</v>
      </c>
      <c r="AK47" s="975"/>
      <c r="AL47" s="975"/>
      <c r="AM47" s="975"/>
      <c r="AN47" s="975">
        <f>VLOOKUP(C47,'[8]CHẤM CÔNG '!$F$10:$AN$451,35,0)</f>
        <v>0</v>
      </c>
      <c r="AO47" s="975">
        <f>VLOOKUP(C47,'[8]CHẤM CÔNG '!$F$10:$AR$451,36,0)</f>
        <v>0</v>
      </c>
      <c r="AP47" s="975"/>
      <c r="AQ47" s="975"/>
      <c r="AR47" s="975"/>
      <c r="AS47" s="981"/>
      <c r="AT47" s="982">
        <f>VLOOKUP(C47,'[8]MỦ TẠP'!$D$10:$AO$450,38,0)</f>
        <v>0</v>
      </c>
    </row>
    <row r="48" spans="1:47" ht="15.75">
      <c r="A48" s="957">
        <v>36</v>
      </c>
      <c r="B48" s="958" t="str">
        <f>VLOOKUP(C48,'[8]DS CN MOI UP'!$B$10:$C$489,2,0)</f>
        <v>03451</v>
      </c>
      <c r="C48" s="964" t="s">
        <v>418</v>
      </c>
      <c r="D48" s="957" t="s">
        <v>15</v>
      </c>
      <c r="E48" s="960"/>
      <c r="F48" s="960"/>
      <c r="G48" s="960"/>
      <c r="H48" s="960"/>
      <c r="I48" s="960"/>
      <c r="J48" s="960"/>
      <c r="K48" s="960"/>
      <c r="L48" s="960"/>
      <c r="M48" s="960"/>
      <c r="N48" s="960">
        <f t="shared" si="2"/>
        <v>0</v>
      </c>
      <c r="O48" s="960">
        <f t="shared" si="3"/>
        <v>0</v>
      </c>
      <c r="P48" s="960">
        <f t="shared" si="4"/>
        <v>0</v>
      </c>
      <c r="Q48" s="960">
        <f t="shared" si="5"/>
        <v>0</v>
      </c>
      <c r="R48" s="960">
        <f t="shared" si="6"/>
        <v>0</v>
      </c>
      <c r="S48" s="960">
        <f t="shared" si="7"/>
        <v>0</v>
      </c>
      <c r="T48" s="960">
        <f t="shared" si="8"/>
        <v>0</v>
      </c>
      <c r="U48" s="960">
        <f t="shared" si="9"/>
        <v>0</v>
      </c>
      <c r="V48" s="960">
        <f t="shared" si="10"/>
        <v>0</v>
      </c>
      <c r="W48" s="960"/>
      <c r="X48" s="960"/>
      <c r="Y48" s="960"/>
      <c r="Z48" s="960"/>
      <c r="AA48" s="975">
        <f t="shared" si="11"/>
        <v>0</v>
      </c>
      <c r="AB48" s="975"/>
      <c r="AC48" s="975"/>
      <c r="AD48" s="975">
        <f>VLOOKUP(C48,'[8]MỦ TẠP'!$D$10:$AM$450,36,0)</f>
        <v>0</v>
      </c>
      <c r="AE48" s="976">
        <f t="shared" si="13"/>
        <v>0</v>
      </c>
      <c r="AF48" s="975"/>
      <c r="AG48" s="975"/>
      <c r="AH48" s="975">
        <f t="shared" si="12"/>
        <v>0</v>
      </c>
      <c r="AI48" s="975">
        <f>VLOOKUP(C48,'[8]CHẤM CÔNG '!$F$10:$AM$451,33,0)</f>
        <v>0</v>
      </c>
      <c r="AJ48" s="975">
        <f>VLOOKUP(C48,'[8]CHẤM CÔNG '!$F$10:$AM$451,34,0)</f>
        <v>0</v>
      </c>
      <c r="AK48" s="975"/>
      <c r="AL48" s="975"/>
      <c r="AM48" s="975"/>
      <c r="AN48" s="975">
        <f>VLOOKUP(C48,'[8]CHẤM CÔNG '!$F$10:$AN$451,35,0)</f>
        <v>0</v>
      </c>
      <c r="AO48" s="975">
        <f>VLOOKUP(C48,'[8]CHẤM CÔNG '!$F$10:$AR$451,36,0)</f>
        <v>0</v>
      </c>
      <c r="AP48" s="975"/>
      <c r="AQ48" s="975"/>
      <c r="AR48" s="975"/>
      <c r="AS48" s="981"/>
      <c r="AT48" s="982">
        <f>VLOOKUP(C48,'[8]MỦ TẠP'!$D$10:$AO$450,38,0)</f>
        <v>0</v>
      </c>
    </row>
    <row r="49" spans="1:46" ht="15.75">
      <c r="A49" s="957">
        <v>37</v>
      </c>
      <c r="B49" s="958" t="str">
        <f>VLOOKUP(C49,'[8]DS CN MOI UP'!$B$10:$C$489,2,0)</f>
        <v>02438</v>
      </c>
      <c r="C49" s="964" t="s">
        <v>419</v>
      </c>
      <c r="D49" s="957" t="s">
        <v>15</v>
      </c>
      <c r="E49" s="960"/>
      <c r="F49" s="960"/>
      <c r="G49" s="960"/>
      <c r="H49" s="960"/>
      <c r="I49" s="960"/>
      <c r="J49" s="960"/>
      <c r="K49" s="960"/>
      <c r="L49" s="960"/>
      <c r="M49" s="960"/>
      <c r="N49" s="960">
        <f t="shared" si="2"/>
        <v>0</v>
      </c>
      <c r="O49" s="960">
        <f t="shared" si="3"/>
        <v>0</v>
      </c>
      <c r="P49" s="960">
        <f t="shared" si="4"/>
        <v>0</v>
      </c>
      <c r="Q49" s="960">
        <f t="shared" si="5"/>
        <v>0</v>
      </c>
      <c r="R49" s="960">
        <f t="shared" si="6"/>
        <v>0</v>
      </c>
      <c r="S49" s="960">
        <f t="shared" si="7"/>
        <v>0</v>
      </c>
      <c r="T49" s="960">
        <f t="shared" si="8"/>
        <v>0</v>
      </c>
      <c r="U49" s="960">
        <f t="shared" si="9"/>
        <v>0</v>
      </c>
      <c r="V49" s="960">
        <f t="shared" si="10"/>
        <v>0</v>
      </c>
      <c r="W49" s="960"/>
      <c r="X49" s="960"/>
      <c r="Y49" s="960"/>
      <c r="Z49" s="960"/>
      <c r="AA49" s="975">
        <f t="shared" si="11"/>
        <v>0</v>
      </c>
      <c r="AB49" s="975"/>
      <c r="AC49" s="975"/>
      <c r="AD49" s="975">
        <f>VLOOKUP(C49,'[8]MỦ TẠP'!$D$10:$AM$450,36,0)</f>
        <v>0</v>
      </c>
      <c r="AE49" s="976">
        <f t="shared" si="13"/>
        <v>0</v>
      </c>
      <c r="AF49" s="975"/>
      <c r="AG49" s="975"/>
      <c r="AH49" s="975">
        <f t="shared" si="12"/>
        <v>0</v>
      </c>
      <c r="AI49" s="975">
        <f>VLOOKUP(C49,'[8]CHẤM CÔNG '!$F$10:$AM$451,33,0)</f>
        <v>0</v>
      </c>
      <c r="AJ49" s="975">
        <f>VLOOKUP(C49,'[8]CHẤM CÔNG '!$F$10:$AM$451,34,0)</f>
        <v>0</v>
      </c>
      <c r="AK49" s="975"/>
      <c r="AL49" s="975"/>
      <c r="AM49" s="975"/>
      <c r="AN49" s="975">
        <f>VLOOKUP(C49,'[8]CHẤM CÔNG '!$F$10:$AN$451,35,0)</f>
        <v>0</v>
      </c>
      <c r="AO49" s="975">
        <f>VLOOKUP(C49,'[8]CHẤM CÔNG '!$F$10:$AR$451,36,0)</f>
        <v>0</v>
      </c>
      <c r="AP49" s="975"/>
      <c r="AQ49" s="975"/>
      <c r="AR49" s="975"/>
      <c r="AS49" s="981"/>
      <c r="AT49" s="982">
        <f>VLOOKUP(C49,'[8]MỦ TẠP'!$D$10:$AO$450,38,0)</f>
        <v>0</v>
      </c>
    </row>
    <row r="50" spans="1:46" ht="15.75">
      <c r="A50" s="957">
        <v>38</v>
      </c>
      <c r="B50" s="958" t="str">
        <f>VLOOKUP(C50,'[8]DS CN MOI UP'!$B$10:$C$489,2,0)</f>
        <v>02442</v>
      </c>
      <c r="C50" s="964" t="s">
        <v>420</v>
      </c>
      <c r="D50" s="957" t="s">
        <v>15</v>
      </c>
      <c r="E50" s="960"/>
      <c r="F50" s="960"/>
      <c r="G50" s="960"/>
      <c r="H50" s="960"/>
      <c r="I50" s="960"/>
      <c r="J50" s="960"/>
      <c r="K50" s="960"/>
      <c r="L50" s="960"/>
      <c r="M50" s="960"/>
      <c r="N50" s="960">
        <f t="shared" si="2"/>
        <v>0</v>
      </c>
      <c r="O50" s="960">
        <f t="shared" si="3"/>
        <v>0</v>
      </c>
      <c r="P50" s="960">
        <f t="shared" si="4"/>
        <v>0</v>
      </c>
      <c r="Q50" s="960">
        <f t="shared" si="5"/>
        <v>0</v>
      </c>
      <c r="R50" s="960">
        <f t="shared" si="6"/>
        <v>0</v>
      </c>
      <c r="S50" s="960">
        <f t="shared" si="7"/>
        <v>0</v>
      </c>
      <c r="T50" s="960">
        <f t="shared" si="8"/>
        <v>0</v>
      </c>
      <c r="U50" s="960">
        <f t="shared" si="9"/>
        <v>0</v>
      </c>
      <c r="V50" s="960">
        <f t="shared" si="10"/>
        <v>0</v>
      </c>
      <c r="W50" s="960"/>
      <c r="X50" s="960"/>
      <c r="Y50" s="960"/>
      <c r="Z50" s="960"/>
      <c r="AA50" s="975">
        <f t="shared" si="11"/>
        <v>0</v>
      </c>
      <c r="AB50" s="975"/>
      <c r="AC50" s="975"/>
      <c r="AD50" s="975">
        <f>VLOOKUP(C50,'[8]MỦ TẠP'!$D$10:$AM$450,36,0)</f>
        <v>0</v>
      </c>
      <c r="AE50" s="976">
        <f t="shared" si="13"/>
        <v>0</v>
      </c>
      <c r="AF50" s="975"/>
      <c r="AG50" s="975"/>
      <c r="AH50" s="975">
        <f t="shared" si="12"/>
        <v>0</v>
      </c>
      <c r="AI50" s="975">
        <f>VLOOKUP(C50,'[8]CHẤM CÔNG '!$F$10:$AM$451,33,0)</f>
        <v>0</v>
      </c>
      <c r="AJ50" s="975">
        <f>VLOOKUP(C50,'[8]CHẤM CÔNG '!$F$10:$AM$451,34,0)</f>
        <v>0</v>
      </c>
      <c r="AK50" s="975"/>
      <c r="AL50" s="975"/>
      <c r="AM50" s="975"/>
      <c r="AN50" s="975">
        <f>VLOOKUP(C50,'[8]CHẤM CÔNG '!$F$10:$AN$451,35,0)</f>
        <v>0</v>
      </c>
      <c r="AO50" s="975">
        <f>VLOOKUP(C50,'[8]CHẤM CÔNG '!$F$10:$AR$451,36,0)</f>
        <v>0</v>
      </c>
      <c r="AP50" s="975"/>
      <c r="AQ50" s="975"/>
      <c r="AR50" s="975"/>
      <c r="AS50" s="981"/>
      <c r="AT50" s="982">
        <f>VLOOKUP(C50,'[8]MỦ TẠP'!$D$10:$AO$450,38,0)</f>
        <v>0</v>
      </c>
    </row>
    <row r="51" spans="1:46" ht="15.75">
      <c r="A51" s="957">
        <v>39</v>
      </c>
      <c r="B51" s="958" t="str">
        <f>VLOOKUP(C51,'[8]DS CN MOI UP'!$B$10:$C$489,2,0)</f>
        <v>02427</v>
      </c>
      <c r="C51" s="964" t="s">
        <v>421</v>
      </c>
      <c r="D51" s="957" t="s">
        <v>15</v>
      </c>
      <c r="E51" s="960"/>
      <c r="F51" s="960"/>
      <c r="G51" s="960"/>
      <c r="H51" s="960"/>
      <c r="I51" s="960"/>
      <c r="J51" s="960"/>
      <c r="K51" s="960"/>
      <c r="L51" s="960"/>
      <c r="M51" s="960"/>
      <c r="N51" s="960">
        <f t="shared" si="2"/>
        <v>0</v>
      </c>
      <c r="O51" s="960">
        <f t="shared" si="3"/>
        <v>0</v>
      </c>
      <c r="P51" s="960">
        <f t="shared" si="4"/>
        <v>0</v>
      </c>
      <c r="Q51" s="960">
        <f t="shared" si="5"/>
        <v>0</v>
      </c>
      <c r="R51" s="960">
        <f t="shared" si="6"/>
        <v>0</v>
      </c>
      <c r="S51" s="960">
        <f t="shared" si="7"/>
        <v>0</v>
      </c>
      <c r="T51" s="960">
        <f t="shared" si="8"/>
        <v>0</v>
      </c>
      <c r="U51" s="960">
        <f t="shared" si="9"/>
        <v>0</v>
      </c>
      <c r="V51" s="960">
        <f t="shared" si="10"/>
        <v>0</v>
      </c>
      <c r="W51" s="960"/>
      <c r="X51" s="960"/>
      <c r="Y51" s="960"/>
      <c r="Z51" s="960"/>
      <c r="AA51" s="975">
        <f t="shared" si="11"/>
        <v>0</v>
      </c>
      <c r="AB51" s="975"/>
      <c r="AC51" s="975"/>
      <c r="AD51" s="975">
        <f>VLOOKUP(C51,'[8]MỦ TẠP'!$D$10:$AM$450,36,0)</f>
        <v>0</v>
      </c>
      <c r="AE51" s="976">
        <f t="shared" si="13"/>
        <v>0</v>
      </c>
      <c r="AF51" s="975"/>
      <c r="AG51" s="975"/>
      <c r="AH51" s="975">
        <f t="shared" si="12"/>
        <v>0</v>
      </c>
      <c r="AI51" s="975">
        <f>VLOOKUP(C51,'[8]CHẤM CÔNG '!$F$10:$AM$451,33,0)</f>
        <v>0</v>
      </c>
      <c r="AJ51" s="975">
        <f>VLOOKUP(C51,'[8]CHẤM CÔNG '!$F$10:$AM$451,34,0)</f>
        <v>0</v>
      </c>
      <c r="AK51" s="975">
        <f>SUM(AI51:AJ51,AN51)</f>
        <v>0</v>
      </c>
      <c r="AL51" s="975"/>
      <c r="AM51" s="975"/>
      <c r="AN51" s="975">
        <f>VLOOKUP(C51,'[8]CHẤM CÔNG '!$F$10:$AN$451,35,0)</f>
        <v>0</v>
      </c>
      <c r="AO51" s="975">
        <f>VLOOKUP(C51,'[8]CHẤM CÔNG '!$F$10:$AR$451,36,0)</f>
        <v>0</v>
      </c>
      <c r="AP51" s="975"/>
      <c r="AQ51" s="975"/>
      <c r="AR51" s="975"/>
      <c r="AS51" s="981"/>
      <c r="AT51" s="982">
        <f>VLOOKUP(C51,'[8]MỦ TẠP'!$D$10:$AO$450,38,0)</f>
        <v>0</v>
      </c>
    </row>
    <row r="52" spans="1:46" ht="15.75">
      <c r="A52" s="957">
        <v>40</v>
      </c>
      <c r="B52" s="958" t="str">
        <f>VLOOKUP(C52,'[8]DS CN MOI UP'!$B$10:$C$489,2,0)</f>
        <v>03452</v>
      </c>
      <c r="C52" s="964" t="s">
        <v>422</v>
      </c>
      <c r="D52" s="957" t="s">
        <v>15</v>
      </c>
      <c r="E52" s="960"/>
      <c r="F52" s="960"/>
      <c r="G52" s="960"/>
      <c r="H52" s="960"/>
      <c r="I52" s="960"/>
      <c r="J52" s="960"/>
      <c r="K52" s="960"/>
      <c r="L52" s="960"/>
      <c r="M52" s="960"/>
      <c r="N52" s="960">
        <f t="shared" si="2"/>
        <v>0</v>
      </c>
      <c r="O52" s="960">
        <f t="shared" si="3"/>
        <v>0</v>
      </c>
      <c r="P52" s="960">
        <f t="shared" si="4"/>
        <v>0</v>
      </c>
      <c r="Q52" s="960">
        <f t="shared" si="5"/>
        <v>0</v>
      </c>
      <c r="R52" s="960">
        <f t="shared" si="6"/>
        <v>0</v>
      </c>
      <c r="S52" s="960">
        <f t="shared" si="7"/>
        <v>0</v>
      </c>
      <c r="T52" s="960">
        <f t="shared" si="8"/>
        <v>0</v>
      </c>
      <c r="U52" s="960">
        <f t="shared" si="9"/>
        <v>0</v>
      </c>
      <c r="V52" s="960">
        <f t="shared" si="10"/>
        <v>0</v>
      </c>
      <c r="W52" s="960"/>
      <c r="X52" s="960"/>
      <c r="Y52" s="960"/>
      <c r="Z52" s="960"/>
      <c r="AA52" s="975">
        <f t="shared" si="11"/>
        <v>0</v>
      </c>
      <c r="AB52" s="975"/>
      <c r="AC52" s="975"/>
      <c r="AD52" s="975">
        <f>VLOOKUP(C52,'[8]MỦ TẠP'!$D$10:$AM$450,36,0)</f>
        <v>0</v>
      </c>
      <c r="AE52" s="976">
        <f t="shared" si="13"/>
        <v>0</v>
      </c>
      <c r="AF52" s="975"/>
      <c r="AG52" s="975"/>
      <c r="AH52" s="975">
        <f t="shared" si="12"/>
        <v>0</v>
      </c>
      <c r="AI52" s="975">
        <f>VLOOKUP(C52,'[8]CHẤM CÔNG '!$F$10:$AM$451,33,0)</f>
        <v>0</v>
      </c>
      <c r="AJ52" s="975">
        <f>VLOOKUP(C52,'[8]CHẤM CÔNG '!$F$10:$AM$451,34,0)</f>
        <v>0</v>
      </c>
      <c r="AK52" s="975"/>
      <c r="AL52" s="975"/>
      <c r="AM52" s="975"/>
      <c r="AN52" s="975">
        <f>VLOOKUP(C52,'[8]CHẤM CÔNG '!$F$10:$AN$451,35,0)</f>
        <v>0</v>
      </c>
      <c r="AO52" s="975">
        <f>VLOOKUP(C52,'[8]CHẤM CÔNG '!$F$10:$AR$451,36,0)</f>
        <v>0</v>
      </c>
      <c r="AP52" s="975"/>
      <c r="AQ52" s="975"/>
      <c r="AR52" s="975"/>
      <c r="AS52" s="981"/>
      <c r="AT52" s="982">
        <f>VLOOKUP(C52,'[8]MỦ TẠP'!$D$10:$AO$450,38,0)</f>
        <v>0</v>
      </c>
    </row>
    <row r="53" spans="1:46" ht="15.75">
      <c r="A53" s="957">
        <v>41</v>
      </c>
      <c r="B53" s="958" t="str">
        <f>VLOOKUP(C53,'[8]DS CN MOI UP'!$B$10:$C$489,2,0)</f>
        <v>03453</v>
      </c>
      <c r="C53" s="964" t="s">
        <v>423</v>
      </c>
      <c r="D53" s="957" t="s">
        <v>15</v>
      </c>
      <c r="E53" s="960"/>
      <c r="F53" s="960"/>
      <c r="G53" s="960"/>
      <c r="H53" s="960"/>
      <c r="I53" s="960"/>
      <c r="J53" s="960"/>
      <c r="K53" s="960"/>
      <c r="L53" s="960"/>
      <c r="M53" s="960"/>
      <c r="N53" s="960">
        <f t="shared" si="2"/>
        <v>0</v>
      </c>
      <c r="O53" s="960">
        <f t="shared" si="3"/>
        <v>0</v>
      </c>
      <c r="P53" s="960">
        <f t="shared" si="4"/>
        <v>0</v>
      </c>
      <c r="Q53" s="960">
        <f t="shared" si="5"/>
        <v>0</v>
      </c>
      <c r="R53" s="960">
        <f t="shared" si="6"/>
        <v>0</v>
      </c>
      <c r="S53" s="960">
        <f t="shared" si="7"/>
        <v>0</v>
      </c>
      <c r="T53" s="960">
        <f t="shared" si="8"/>
        <v>0</v>
      </c>
      <c r="U53" s="960">
        <f t="shared" si="9"/>
        <v>0</v>
      </c>
      <c r="V53" s="960">
        <f t="shared" si="10"/>
        <v>0</v>
      </c>
      <c r="W53" s="960"/>
      <c r="X53" s="960"/>
      <c r="Y53" s="960"/>
      <c r="Z53" s="960"/>
      <c r="AA53" s="975">
        <f t="shared" si="11"/>
        <v>0</v>
      </c>
      <c r="AB53" s="975"/>
      <c r="AC53" s="975"/>
      <c r="AD53" s="975">
        <f>VLOOKUP(C53,'[8]MỦ TẠP'!$D$10:$AM$450,36,0)</f>
        <v>0</v>
      </c>
      <c r="AE53" s="976">
        <f t="shared" si="13"/>
        <v>0</v>
      </c>
      <c r="AF53" s="975"/>
      <c r="AG53" s="975"/>
      <c r="AH53" s="975">
        <f t="shared" si="12"/>
        <v>0</v>
      </c>
      <c r="AI53" s="975">
        <f>VLOOKUP(C53,'[8]CHẤM CÔNG '!$F$10:$AM$451,33,0)</f>
        <v>0</v>
      </c>
      <c r="AJ53" s="975">
        <f>VLOOKUP(C53,'[8]CHẤM CÔNG '!$F$10:$AM$451,34,0)</f>
        <v>0</v>
      </c>
      <c r="AK53" s="975"/>
      <c r="AL53" s="975"/>
      <c r="AM53" s="975"/>
      <c r="AN53" s="975">
        <f>VLOOKUP(C53,'[8]CHẤM CÔNG '!$F$10:$AN$451,35,0)</f>
        <v>0</v>
      </c>
      <c r="AO53" s="975">
        <f>VLOOKUP(C53,'[8]CHẤM CÔNG '!$F$10:$AR$451,36,0)</f>
        <v>0</v>
      </c>
      <c r="AP53" s="975"/>
      <c r="AQ53" s="975"/>
      <c r="AR53" s="975"/>
      <c r="AS53" s="981"/>
      <c r="AT53" s="982">
        <f>VLOOKUP(C53,'[8]MỦ TẠP'!$D$10:$AO$450,38,0)</f>
        <v>0</v>
      </c>
    </row>
    <row r="54" spans="1:46" ht="15.75">
      <c r="A54" s="957">
        <v>42</v>
      </c>
      <c r="B54" s="958" t="e">
        <f>VLOOKUP(C54,'[8]DS CN MOI UP'!$B$10:$C$489,2,0)</f>
        <v>#N/A</v>
      </c>
      <c r="C54" s="964" t="s">
        <v>2622</v>
      </c>
      <c r="D54" s="957" t="s">
        <v>15</v>
      </c>
      <c r="E54" s="960"/>
      <c r="F54" s="960"/>
      <c r="G54" s="960"/>
      <c r="H54" s="960"/>
      <c r="I54" s="960"/>
      <c r="J54" s="960"/>
      <c r="K54" s="960"/>
      <c r="L54" s="960"/>
      <c r="M54" s="960"/>
      <c r="N54" s="960">
        <f t="shared" si="2"/>
        <v>0</v>
      </c>
      <c r="O54" s="960">
        <f t="shared" si="3"/>
        <v>0</v>
      </c>
      <c r="P54" s="960">
        <f t="shared" si="4"/>
        <v>0</v>
      </c>
      <c r="Q54" s="960">
        <f t="shared" si="5"/>
        <v>0</v>
      </c>
      <c r="R54" s="960">
        <f t="shared" si="6"/>
        <v>0</v>
      </c>
      <c r="S54" s="960">
        <f t="shared" si="7"/>
        <v>0</v>
      </c>
      <c r="T54" s="960">
        <f t="shared" si="8"/>
        <v>0</v>
      </c>
      <c r="U54" s="960">
        <f t="shared" si="9"/>
        <v>0</v>
      </c>
      <c r="V54" s="960">
        <f t="shared" si="10"/>
        <v>0</v>
      </c>
      <c r="W54" s="960"/>
      <c r="X54" s="960"/>
      <c r="Y54" s="960"/>
      <c r="Z54" s="960"/>
      <c r="AA54" s="975">
        <f t="shared" si="11"/>
        <v>0</v>
      </c>
      <c r="AB54" s="975"/>
      <c r="AC54" s="975"/>
      <c r="AD54" s="975">
        <f>VLOOKUP(C54,'[8]MỦ TẠP'!$D$10:$AM$450,36,0)</f>
        <v>0</v>
      </c>
      <c r="AE54" s="976">
        <f t="shared" si="13"/>
        <v>0</v>
      </c>
      <c r="AF54" s="975"/>
      <c r="AG54" s="975"/>
      <c r="AH54" s="975">
        <f t="shared" si="12"/>
        <v>0</v>
      </c>
      <c r="AI54" s="975">
        <f>VLOOKUP(C54,'[8]CHẤM CÔNG '!$F$10:$AM$451,33,0)</f>
        <v>0</v>
      </c>
      <c r="AJ54" s="975">
        <f>VLOOKUP(C54,'[8]CHẤM CÔNG '!$F$10:$AM$451,34,0)</f>
        <v>0</v>
      </c>
      <c r="AK54" s="975"/>
      <c r="AL54" s="975"/>
      <c r="AM54" s="975"/>
      <c r="AN54" s="975">
        <f>VLOOKUP(C54,'[8]CHẤM CÔNG '!$F$10:$AN$451,35,0)</f>
        <v>0</v>
      </c>
      <c r="AO54" s="975">
        <f>VLOOKUP(C54,'[8]CHẤM CÔNG '!$F$10:$AR$451,36,0)</f>
        <v>0</v>
      </c>
      <c r="AP54" s="975"/>
      <c r="AQ54" s="975"/>
      <c r="AR54" s="975"/>
      <c r="AS54" s="981"/>
      <c r="AT54" s="982">
        <f>VLOOKUP(C54,'[8]MỦ TẠP'!$D$10:$AO$450,38,0)</f>
        <v>0</v>
      </c>
    </row>
    <row r="55" spans="1:46" ht="15.75">
      <c r="A55" s="957">
        <v>43</v>
      </c>
      <c r="B55" s="958" t="str">
        <f>VLOOKUP(C55,'[8]DS CN MOI UP'!$B$10:$C$489,2,0)</f>
        <v>03455</v>
      </c>
      <c r="C55" s="964" t="s">
        <v>425</v>
      </c>
      <c r="D55" s="957" t="s">
        <v>15</v>
      </c>
      <c r="E55" s="960"/>
      <c r="F55" s="960"/>
      <c r="G55" s="960"/>
      <c r="H55" s="960"/>
      <c r="I55" s="960"/>
      <c r="J55" s="960"/>
      <c r="K55" s="960"/>
      <c r="L55" s="960"/>
      <c r="M55" s="960"/>
      <c r="N55" s="960">
        <f t="shared" si="2"/>
        <v>0</v>
      </c>
      <c r="O55" s="960">
        <f t="shared" si="3"/>
        <v>0</v>
      </c>
      <c r="P55" s="960">
        <f t="shared" si="4"/>
        <v>0</v>
      </c>
      <c r="Q55" s="960">
        <f t="shared" si="5"/>
        <v>0</v>
      </c>
      <c r="R55" s="960">
        <f t="shared" si="6"/>
        <v>0</v>
      </c>
      <c r="S55" s="960">
        <f t="shared" si="7"/>
        <v>0</v>
      </c>
      <c r="T55" s="960">
        <f t="shared" si="8"/>
        <v>0</v>
      </c>
      <c r="U55" s="960">
        <f t="shared" si="9"/>
        <v>0</v>
      </c>
      <c r="V55" s="960">
        <f t="shared" si="10"/>
        <v>0</v>
      </c>
      <c r="W55" s="960"/>
      <c r="X55" s="960"/>
      <c r="Y55" s="960"/>
      <c r="Z55" s="960"/>
      <c r="AA55" s="975">
        <f t="shared" si="11"/>
        <v>0</v>
      </c>
      <c r="AB55" s="975"/>
      <c r="AC55" s="975"/>
      <c r="AD55" s="975">
        <f>VLOOKUP(C55,'[8]MỦ TẠP'!$D$10:$AM$450,36,0)</f>
        <v>0</v>
      </c>
      <c r="AE55" s="976">
        <f t="shared" si="13"/>
        <v>0</v>
      </c>
      <c r="AF55" s="975"/>
      <c r="AG55" s="975"/>
      <c r="AH55" s="975">
        <f t="shared" si="12"/>
        <v>0</v>
      </c>
      <c r="AI55" s="975">
        <f>VLOOKUP(C55,'[8]CHẤM CÔNG '!$F$10:$AM$451,33,0)</f>
        <v>0</v>
      </c>
      <c r="AJ55" s="975">
        <f>VLOOKUP(C55,'[8]CHẤM CÔNG '!$F$10:$AM$451,34,0)</f>
        <v>0</v>
      </c>
      <c r="AK55" s="975">
        <f>SUM(AI55:AJ55,AN55)</f>
        <v>0</v>
      </c>
      <c r="AL55" s="975"/>
      <c r="AM55" s="975"/>
      <c r="AN55" s="975">
        <f>VLOOKUP(C55,'[8]CHẤM CÔNG '!$F$10:$AN$451,35,0)</f>
        <v>0</v>
      </c>
      <c r="AO55" s="975">
        <f>VLOOKUP(C55,'[8]CHẤM CÔNG '!$F$10:$AR$451,36,0)</f>
        <v>0</v>
      </c>
      <c r="AP55" s="975"/>
      <c r="AQ55" s="975"/>
      <c r="AR55" s="975"/>
      <c r="AS55" s="981"/>
      <c r="AT55" s="982">
        <f>VLOOKUP(C55,'[8]MỦ TẠP'!$D$10:$AO$450,38,0)</f>
        <v>0</v>
      </c>
    </row>
    <row r="56" spans="1:46">
      <c r="A56" s="965" t="s">
        <v>520</v>
      </c>
      <c r="B56" s="958"/>
      <c r="C56" s="966"/>
      <c r="D56" s="967"/>
      <c r="E56" s="968">
        <f t="shared" ref="E56:AE56" si="21">SUM(E57:E113)</f>
        <v>0</v>
      </c>
      <c r="F56" s="968">
        <f t="shared" si="21"/>
        <v>0</v>
      </c>
      <c r="G56" s="968">
        <f t="shared" si="21"/>
        <v>0</v>
      </c>
      <c r="H56" s="968">
        <f t="shared" si="21"/>
        <v>0</v>
      </c>
      <c r="I56" s="968">
        <f t="shared" si="21"/>
        <v>0</v>
      </c>
      <c r="J56" s="968">
        <f t="shared" si="21"/>
        <v>0</v>
      </c>
      <c r="K56" s="968">
        <f t="shared" si="21"/>
        <v>0</v>
      </c>
      <c r="L56" s="968">
        <f t="shared" si="21"/>
        <v>0</v>
      </c>
      <c r="M56" s="968">
        <f t="shared" si="21"/>
        <v>0</v>
      </c>
      <c r="N56" s="968">
        <f t="shared" si="21"/>
        <v>0</v>
      </c>
      <c r="O56" s="968">
        <f t="shared" si="21"/>
        <v>0</v>
      </c>
      <c r="P56" s="968">
        <f t="shared" si="21"/>
        <v>0</v>
      </c>
      <c r="Q56" s="968">
        <f t="shared" si="21"/>
        <v>0</v>
      </c>
      <c r="R56" s="968">
        <f t="shared" si="21"/>
        <v>0</v>
      </c>
      <c r="S56" s="968">
        <f t="shared" si="21"/>
        <v>0</v>
      </c>
      <c r="T56" s="968">
        <f t="shared" si="21"/>
        <v>0</v>
      </c>
      <c r="U56" s="968">
        <f t="shared" si="21"/>
        <v>0</v>
      </c>
      <c r="V56" s="968">
        <f t="shared" si="21"/>
        <v>0</v>
      </c>
      <c r="W56" s="968">
        <f t="shared" si="21"/>
        <v>0</v>
      </c>
      <c r="X56" s="968">
        <f t="shared" si="21"/>
        <v>0</v>
      </c>
      <c r="Y56" s="968">
        <f t="shared" si="21"/>
        <v>0</v>
      </c>
      <c r="Z56" s="968">
        <f t="shared" si="21"/>
        <v>0</v>
      </c>
      <c r="AA56" s="968">
        <f t="shared" si="21"/>
        <v>0</v>
      </c>
      <c r="AB56" s="968">
        <f t="shared" si="21"/>
        <v>0</v>
      </c>
      <c r="AC56" s="968">
        <f t="shared" si="21"/>
        <v>0</v>
      </c>
      <c r="AD56" s="968">
        <f t="shared" si="21"/>
        <v>0</v>
      </c>
      <c r="AE56" s="968">
        <f t="shared" si="21"/>
        <v>0</v>
      </c>
      <c r="AF56" s="968"/>
      <c r="AG56" s="968">
        <f>SUM(AG57:AG113)</f>
        <v>0</v>
      </c>
      <c r="AH56" s="968">
        <f>SUM(AH57:AH113)</f>
        <v>0</v>
      </c>
      <c r="AI56" s="968">
        <f>SUM(AI57:AI113)</f>
        <v>0</v>
      </c>
      <c r="AJ56" s="968">
        <f>SUM(AJ57:AJ113)</f>
        <v>0</v>
      </c>
      <c r="AK56" s="968">
        <f>SUM(AK57:AK113)</f>
        <v>0</v>
      </c>
      <c r="AL56" s="968"/>
      <c r="AM56" s="968">
        <f t="shared" ref="AM56:AT56" si="22">SUM(AM57:AM113)</f>
        <v>0</v>
      </c>
      <c r="AN56" s="968">
        <f t="shared" si="22"/>
        <v>0</v>
      </c>
      <c r="AO56" s="968">
        <f t="shared" si="22"/>
        <v>0</v>
      </c>
      <c r="AP56" s="968">
        <f t="shared" si="22"/>
        <v>0</v>
      </c>
      <c r="AQ56" s="968">
        <f t="shared" si="22"/>
        <v>0</v>
      </c>
      <c r="AR56" s="968">
        <f t="shared" si="22"/>
        <v>0</v>
      </c>
      <c r="AS56" s="968">
        <f t="shared" si="22"/>
        <v>0</v>
      </c>
      <c r="AT56" s="968">
        <f t="shared" si="22"/>
        <v>0</v>
      </c>
    </row>
    <row r="57" spans="1:46" ht="15.75">
      <c r="A57" s="969">
        <v>1</v>
      </c>
      <c r="B57" s="958" t="e">
        <f>VLOOKUP(C57,'[8]DS CN MOI UP'!$B$10:$C$489,2,0)</f>
        <v>#N/A</v>
      </c>
      <c r="C57" s="970" t="s">
        <v>2623</v>
      </c>
      <c r="D57" s="971" t="s">
        <v>15</v>
      </c>
      <c r="E57" s="960"/>
      <c r="F57" s="960"/>
      <c r="G57" s="960"/>
      <c r="H57" s="960"/>
      <c r="I57" s="960"/>
      <c r="J57" s="960"/>
      <c r="K57" s="960"/>
      <c r="L57" s="960"/>
      <c r="M57" s="960"/>
      <c r="N57" s="960">
        <f t="shared" ref="N57:N113" si="23">E57/$N$8</f>
        <v>0</v>
      </c>
      <c r="O57" s="960">
        <f t="shared" ref="O57:O113" si="24">F57/$O$8</f>
        <v>0</v>
      </c>
      <c r="P57" s="960">
        <f t="shared" ref="P57:P113" si="25">G57/$P$8</f>
        <v>0</v>
      </c>
      <c r="Q57" s="960">
        <f t="shared" ref="Q57:Q113" si="26">H57/$Q$8</f>
        <v>0</v>
      </c>
      <c r="R57" s="960">
        <f t="shared" ref="R57:R113" si="27">I57/$R$8</f>
        <v>0</v>
      </c>
      <c r="S57" s="960">
        <f t="shared" ref="S57:S113" si="28">J57/$S$8</f>
        <v>0</v>
      </c>
      <c r="T57" s="960">
        <f t="shared" ref="T57:T113" si="29">K57/$T$8</f>
        <v>0</v>
      </c>
      <c r="U57" s="960">
        <f t="shared" ref="U57:U113" si="30">L57/$U$8</f>
        <v>0</v>
      </c>
      <c r="V57" s="960">
        <f t="shared" ref="V57:V113" si="31">M57/$V$8</f>
        <v>0</v>
      </c>
      <c r="W57" s="960"/>
      <c r="X57" s="960"/>
      <c r="Y57" s="960"/>
      <c r="Z57" s="960"/>
      <c r="AA57" s="975">
        <f t="shared" ref="AA57:AA113" si="32">SUM(N57:Z57)</f>
        <v>0</v>
      </c>
      <c r="AB57" s="975">
        <f>VLOOKUP(C57,'[8]MỦ TẠP'!$D$10:$AM$450,33,0)</f>
        <v>0</v>
      </c>
      <c r="AC57" s="975">
        <f>VLOOKUP(C57,'[8]MỦ TẠP'!$D$10:$AM$450,34,0)</f>
        <v>0</v>
      </c>
      <c r="AD57" s="975">
        <f>VLOOKUP(C57,'[8]MỦ TẠP'!$D$10:$AM$450,35,0)</f>
        <v>0</v>
      </c>
      <c r="AE57" s="975">
        <f>SUM(AB57:AD57)</f>
        <v>0</v>
      </c>
      <c r="AF57" s="975"/>
      <c r="AG57" s="975"/>
      <c r="AH57" s="975">
        <f t="shared" ref="AH57:AH113" si="33">AE57*$AV$14+AF57*$AV$10</f>
        <v>0</v>
      </c>
      <c r="AI57" s="975">
        <f>VLOOKUP(C57,'[8]CHẤM CÔNG '!$F$10:$AM$451,33,0)</f>
        <v>0</v>
      </c>
      <c r="AJ57" s="975">
        <f>VLOOKUP(C57,'[8]CHẤM CÔNG '!$F$10:$AM$451,34,0)</f>
        <v>0</v>
      </c>
      <c r="AK57" s="975"/>
      <c r="AL57" s="975"/>
      <c r="AM57" s="975"/>
      <c r="AN57" s="975">
        <f>VLOOKUP(C57,'[8]CHẤM CÔNG '!$F$10:$AN$451,35,0)</f>
        <v>0</v>
      </c>
      <c r="AO57" s="975">
        <f>VLOOKUP(C57,'[8]CHẤM CÔNG '!$F$10:$AR$451,36,0)</f>
        <v>0</v>
      </c>
      <c r="AP57" s="975"/>
      <c r="AQ57" s="975"/>
      <c r="AR57" s="975"/>
      <c r="AS57" s="981"/>
      <c r="AT57" s="982">
        <f>VLOOKUP(C57,'[8]MỦ TẠP'!$D$10:$AO$450,38,0)</f>
        <v>0</v>
      </c>
    </row>
    <row r="58" spans="1:46" ht="15.75">
      <c r="A58" s="969">
        <v>2</v>
      </c>
      <c r="B58" s="958" t="e">
        <f>VLOOKUP(C58,'[8]DS CN MOI UP'!$B$10:$C$489,2,0)</f>
        <v>#N/A</v>
      </c>
      <c r="C58" s="970" t="s">
        <v>1050</v>
      </c>
      <c r="D58" s="971" t="s">
        <v>15</v>
      </c>
      <c r="E58" s="960"/>
      <c r="F58" s="960"/>
      <c r="G58" s="960"/>
      <c r="H58" s="960"/>
      <c r="I58" s="960"/>
      <c r="J58" s="960"/>
      <c r="K58" s="960"/>
      <c r="L58" s="960"/>
      <c r="M58" s="960"/>
      <c r="N58" s="960">
        <f t="shared" si="23"/>
        <v>0</v>
      </c>
      <c r="O58" s="960">
        <f t="shared" si="24"/>
        <v>0</v>
      </c>
      <c r="P58" s="960">
        <f t="shared" si="25"/>
        <v>0</v>
      </c>
      <c r="Q58" s="960">
        <f t="shared" si="26"/>
        <v>0</v>
      </c>
      <c r="R58" s="960">
        <f t="shared" si="27"/>
        <v>0</v>
      </c>
      <c r="S58" s="960">
        <f t="shared" si="28"/>
        <v>0</v>
      </c>
      <c r="T58" s="960">
        <f t="shared" si="29"/>
        <v>0</v>
      </c>
      <c r="U58" s="960">
        <f t="shared" si="30"/>
        <v>0</v>
      </c>
      <c r="V58" s="960">
        <f t="shared" si="31"/>
        <v>0</v>
      </c>
      <c r="W58" s="960"/>
      <c r="X58" s="960"/>
      <c r="Y58" s="960"/>
      <c r="Z58" s="960"/>
      <c r="AA58" s="975">
        <f t="shared" si="32"/>
        <v>0</v>
      </c>
      <c r="AB58" s="975">
        <f>VLOOKUP(C58,'[8]MỦ TẠP'!$D$10:$AM$450,33,0)</f>
        <v>0</v>
      </c>
      <c r="AC58" s="975">
        <f>VLOOKUP(C58,'[8]MỦ TẠP'!$D$10:$AM$450,34,0)</f>
        <v>0</v>
      </c>
      <c r="AD58" s="975">
        <f>VLOOKUP(C58,'[8]MỦ TẠP'!$D$10:$AM$450,35,0)</f>
        <v>0</v>
      </c>
      <c r="AE58" s="975">
        <f t="shared" ref="AE58:AE113" si="34">SUM(AB58:AD58)</f>
        <v>0</v>
      </c>
      <c r="AF58" s="975"/>
      <c r="AG58" s="975"/>
      <c r="AH58" s="975">
        <f t="shared" si="33"/>
        <v>0</v>
      </c>
      <c r="AI58" s="975">
        <f>VLOOKUP(C58,'[8]CHẤM CÔNG '!$F$10:$AM$451,33,0)</f>
        <v>0</v>
      </c>
      <c r="AJ58" s="975">
        <f>VLOOKUP(C58,'[8]CHẤM CÔNG '!$F$10:$AM$451,34,0)</f>
        <v>0</v>
      </c>
      <c r="AK58" s="975"/>
      <c r="AL58" s="975"/>
      <c r="AM58" s="975"/>
      <c r="AN58" s="975">
        <f>VLOOKUP(C58,'[8]CHẤM CÔNG '!$F$10:$AN$451,35,0)</f>
        <v>0</v>
      </c>
      <c r="AO58" s="975">
        <f>VLOOKUP(C58,'[8]CHẤM CÔNG '!$F$10:$AR$451,36,0)</f>
        <v>0</v>
      </c>
      <c r="AP58" s="975"/>
      <c r="AQ58" s="975"/>
      <c r="AR58" s="975"/>
      <c r="AS58" s="981"/>
      <c r="AT58" s="982">
        <f>VLOOKUP(C58,'[8]MỦ TẠP'!$D$10:$AO$450,38,0)</f>
        <v>0</v>
      </c>
    </row>
    <row r="59" spans="1:46" ht="15.75">
      <c r="A59" s="969">
        <v>3</v>
      </c>
      <c r="B59" s="958" t="str">
        <f>VLOOKUP(C59,'[8]DS CN MOI UP'!$B$10:$C$489,2,0)</f>
        <v>03273</v>
      </c>
      <c r="C59" s="970" t="s">
        <v>432</v>
      </c>
      <c r="D59" s="971" t="s">
        <v>15</v>
      </c>
      <c r="E59" s="960"/>
      <c r="F59" s="960"/>
      <c r="G59" s="960"/>
      <c r="H59" s="960"/>
      <c r="I59" s="960"/>
      <c r="J59" s="960"/>
      <c r="K59" s="960"/>
      <c r="L59" s="960"/>
      <c r="M59" s="960"/>
      <c r="N59" s="960">
        <f t="shared" si="23"/>
        <v>0</v>
      </c>
      <c r="O59" s="960">
        <f t="shared" si="24"/>
        <v>0</v>
      </c>
      <c r="P59" s="960">
        <f t="shared" si="25"/>
        <v>0</v>
      </c>
      <c r="Q59" s="960">
        <f t="shared" si="26"/>
        <v>0</v>
      </c>
      <c r="R59" s="960">
        <f t="shared" si="27"/>
        <v>0</v>
      </c>
      <c r="S59" s="960">
        <f t="shared" si="28"/>
        <v>0</v>
      </c>
      <c r="T59" s="960">
        <f t="shared" si="29"/>
        <v>0</v>
      </c>
      <c r="U59" s="960">
        <f t="shared" si="30"/>
        <v>0</v>
      </c>
      <c r="V59" s="960">
        <f t="shared" si="31"/>
        <v>0</v>
      </c>
      <c r="W59" s="960"/>
      <c r="X59" s="960"/>
      <c r="Y59" s="960"/>
      <c r="Z59" s="960"/>
      <c r="AA59" s="975">
        <f t="shared" si="32"/>
        <v>0</v>
      </c>
      <c r="AB59" s="975">
        <f>VLOOKUP(C59,'[8]MỦ TẠP'!$D$10:$AM$450,33,0)</f>
        <v>0</v>
      </c>
      <c r="AC59" s="975">
        <f>VLOOKUP(C59,'[8]MỦ TẠP'!$D$10:$AM$450,34,0)</f>
        <v>0</v>
      </c>
      <c r="AD59" s="975">
        <f>VLOOKUP(C59,'[8]MỦ TẠP'!$D$10:$AM$450,35,0)</f>
        <v>0</v>
      </c>
      <c r="AE59" s="975">
        <f t="shared" si="34"/>
        <v>0</v>
      </c>
      <c r="AF59" s="975"/>
      <c r="AG59" s="975"/>
      <c r="AH59" s="975">
        <f t="shared" si="33"/>
        <v>0</v>
      </c>
      <c r="AI59" s="975">
        <f>VLOOKUP(C59,'[8]CHẤM CÔNG '!$F$10:$AM$451,33,0)</f>
        <v>0</v>
      </c>
      <c r="AJ59" s="975">
        <f>VLOOKUP(C59,'[8]CHẤM CÔNG '!$F$10:$AM$451,34,0)</f>
        <v>0</v>
      </c>
      <c r="AK59" s="975"/>
      <c r="AL59" s="975"/>
      <c r="AM59" s="975"/>
      <c r="AN59" s="975">
        <f>VLOOKUP(C59,'[8]CHẤM CÔNG '!$F$10:$AN$451,35,0)</f>
        <v>0</v>
      </c>
      <c r="AO59" s="975">
        <f>VLOOKUP(C59,'[8]CHẤM CÔNG '!$F$10:$AR$451,36,0)</f>
        <v>0</v>
      </c>
      <c r="AP59" s="975"/>
      <c r="AQ59" s="975"/>
      <c r="AR59" s="975"/>
      <c r="AS59" s="981"/>
      <c r="AT59" s="982">
        <f>VLOOKUP(C59,'[8]MỦ TẠP'!$D$10:$AO$450,38,0)</f>
        <v>0</v>
      </c>
    </row>
    <row r="60" spans="1:46" ht="15.75">
      <c r="A60" s="969">
        <v>4</v>
      </c>
      <c r="B60" s="958" t="str">
        <f>VLOOKUP(C60,'[8]DS CN MOI UP'!$B$10:$C$489,2,0)</f>
        <v>03274</v>
      </c>
      <c r="C60" s="970" t="s">
        <v>433</v>
      </c>
      <c r="D60" s="971" t="s">
        <v>15</v>
      </c>
      <c r="E60" s="960"/>
      <c r="F60" s="960"/>
      <c r="G60" s="960"/>
      <c r="H60" s="960"/>
      <c r="I60" s="960"/>
      <c r="J60" s="960"/>
      <c r="K60" s="960"/>
      <c r="L60" s="960"/>
      <c r="M60" s="960"/>
      <c r="N60" s="960">
        <f t="shared" si="23"/>
        <v>0</v>
      </c>
      <c r="O60" s="960">
        <f t="shared" si="24"/>
        <v>0</v>
      </c>
      <c r="P60" s="960">
        <f t="shared" si="25"/>
        <v>0</v>
      </c>
      <c r="Q60" s="960">
        <f t="shared" si="26"/>
        <v>0</v>
      </c>
      <c r="R60" s="960">
        <f t="shared" si="27"/>
        <v>0</v>
      </c>
      <c r="S60" s="960">
        <f t="shared" si="28"/>
        <v>0</v>
      </c>
      <c r="T60" s="960">
        <f t="shared" si="29"/>
        <v>0</v>
      </c>
      <c r="U60" s="960">
        <f t="shared" si="30"/>
        <v>0</v>
      </c>
      <c r="V60" s="960">
        <f t="shared" si="31"/>
        <v>0</v>
      </c>
      <c r="W60" s="960"/>
      <c r="X60" s="960"/>
      <c r="Y60" s="960"/>
      <c r="Z60" s="960"/>
      <c r="AA60" s="975">
        <f t="shared" si="32"/>
        <v>0</v>
      </c>
      <c r="AB60" s="975">
        <f>VLOOKUP(C60,'[8]MỦ TẠP'!$D$10:$AM$450,33,0)</f>
        <v>0</v>
      </c>
      <c r="AC60" s="975">
        <f>VLOOKUP(C60,'[8]MỦ TẠP'!$D$10:$AM$450,34,0)</f>
        <v>0</v>
      </c>
      <c r="AD60" s="975">
        <f>VLOOKUP(C60,'[8]MỦ TẠP'!$D$10:$AM$450,35,0)</f>
        <v>0</v>
      </c>
      <c r="AE60" s="975">
        <f t="shared" si="34"/>
        <v>0</v>
      </c>
      <c r="AF60" s="975"/>
      <c r="AG60" s="975"/>
      <c r="AH60" s="975">
        <f t="shared" si="33"/>
        <v>0</v>
      </c>
      <c r="AI60" s="975">
        <f>VLOOKUP(C60,'[8]CHẤM CÔNG '!$F$10:$AM$451,33,0)</f>
        <v>0</v>
      </c>
      <c r="AJ60" s="975">
        <f>VLOOKUP(C60,'[8]CHẤM CÔNG '!$F$10:$AM$451,34,0)</f>
        <v>0</v>
      </c>
      <c r="AK60" s="975"/>
      <c r="AL60" s="975"/>
      <c r="AM60" s="975"/>
      <c r="AN60" s="975">
        <f>VLOOKUP(C60,'[8]CHẤM CÔNG '!$F$10:$AN$451,35,0)</f>
        <v>0</v>
      </c>
      <c r="AO60" s="975">
        <f>VLOOKUP(C60,'[8]CHẤM CÔNG '!$F$10:$AR$451,36,0)</f>
        <v>0</v>
      </c>
      <c r="AP60" s="975"/>
      <c r="AQ60" s="975"/>
      <c r="AR60" s="975"/>
      <c r="AS60" s="981"/>
      <c r="AT60" s="982">
        <f>VLOOKUP(C60,'[8]MỦ TẠP'!$D$10:$AO$450,38,0)</f>
        <v>0</v>
      </c>
    </row>
    <row r="61" spans="1:46" ht="15.75">
      <c r="A61" s="969">
        <v>5</v>
      </c>
      <c r="B61" s="958" t="str">
        <f>VLOOKUP(C61,'[8]DS CN MOI UP'!$B$10:$C$489,2,0)</f>
        <v>03275</v>
      </c>
      <c r="C61" s="970" t="s">
        <v>434</v>
      </c>
      <c r="D61" s="971" t="s">
        <v>15</v>
      </c>
      <c r="E61" s="960"/>
      <c r="F61" s="960"/>
      <c r="G61" s="960"/>
      <c r="H61" s="960"/>
      <c r="I61" s="960"/>
      <c r="J61" s="960"/>
      <c r="K61" s="960"/>
      <c r="L61" s="960"/>
      <c r="M61" s="960"/>
      <c r="N61" s="960">
        <f t="shared" si="23"/>
        <v>0</v>
      </c>
      <c r="O61" s="960">
        <f t="shared" si="24"/>
        <v>0</v>
      </c>
      <c r="P61" s="960">
        <f t="shared" si="25"/>
        <v>0</v>
      </c>
      <c r="Q61" s="960">
        <f t="shared" si="26"/>
        <v>0</v>
      </c>
      <c r="R61" s="960">
        <f t="shared" si="27"/>
        <v>0</v>
      </c>
      <c r="S61" s="960">
        <f t="shared" si="28"/>
        <v>0</v>
      </c>
      <c r="T61" s="960">
        <f t="shared" si="29"/>
        <v>0</v>
      </c>
      <c r="U61" s="960">
        <f t="shared" si="30"/>
        <v>0</v>
      </c>
      <c r="V61" s="960">
        <f t="shared" si="31"/>
        <v>0</v>
      </c>
      <c r="W61" s="960"/>
      <c r="X61" s="960"/>
      <c r="Y61" s="960"/>
      <c r="Z61" s="960"/>
      <c r="AA61" s="975">
        <f t="shared" si="32"/>
        <v>0</v>
      </c>
      <c r="AB61" s="975">
        <f>VLOOKUP(C61,'[8]MỦ TẠP'!$D$10:$AM$450,33,0)</f>
        <v>0</v>
      </c>
      <c r="AC61" s="975">
        <f>VLOOKUP(C61,'[8]MỦ TẠP'!$D$10:$AM$450,34,0)</f>
        <v>0</v>
      </c>
      <c r="AD61" s="975">
        <f>VLOOKUP(C61,'[8]MỦ TẠP'!$D$10:$AM$450,35,0)</f>
        <v>0</v>
      </c>
      <c r="AE61" s="975">
        <f t="shared" si="34"/>
        <v>0</v>
      </c>
      <c r="AF61" s="975"/>
      <c r="AG61" s="975"/>
      <c r="AH61" s="975">
        <f t="shared" si="33"/>
        <v>0</v>
      </c>
      <c r="AI61" s="975">
        <f>VLOOKUP(C61,'[8]CHẤM CÔNG '!$F$10:$AM$451,33,0)</f>
        <v>0</v>
      </c>
      <c r="AJ61" s="975">
        <f>VLOOKUP(C61,'[8]CHẤM CÔNG '!$F$10:$AM$451,34,0)</f>
        <v>0</v>
      </c>
      <c r="AK61" s="975"/>
      <c r="AL61" s="975"/>
      <c r="AM61" s="975"/>
      <c r="AN61" s="975">
        <f>VLOOKUP(C61,'[8]CHẤM CÔNG '!$F$10:$AN$451,35,0)</f>
        <v>0</v>
      </c>
      <c r="AO61" s="975">
        <f>VLOOKUP(C61,'[8]CHẤM CÔNG '!$F$10:$AR$451,36,0)</f>
        <v>0</v>
      </c>
      <c r="AP61" s="975"/>
      <c r="AQ61" s="975"/>
      <c r="AR61" s="975"/>
      <c r="AS61" s="981"/>
      <c r="AT61" s="982">
        <f>VLOOKUP(C61,'[8]MỦ TẠP'!$D$10:$AO$450,38,0)</f>
        <v>0</v>
      </c>
    </row>
    <row r="62" spans="1:46" ht="15.75">
      <c r="A62" s="969">
        <v>6</v>
      </c>
      <c r="B62" s="958" t="str">
        <f>VLOOKUP(C62,'[8]DS CN MOI UP'!$B$10:$C$489,2,0)</f>
        <v>02666</v>
      </c>
      <c r="C62" s="970" t="s">
        <v>435</v>
      </c>
      <c r="D62" s="971" t="s">
        <v>15</v>
      </c>
      <c r="E62" s="960"/>
      <c r="F62" s="960"/>
      <c r="G62" s="960"/>
      <c r="H62" s="960"/>
      <c r="I62" s="960"/>
      <c r="J62" s="960"/>
      <c r="K62" s="960"/>
      <c r="L62" s="960"/>
      <c r="M62" s="960"/>
      <c r="N62" s="960">
        <f t="shared" si="23"/>
        <v>0</v>
      </c>
      <c r="O62" s="960">
        <f t="shared" si="24"/>
        <v>0</v>
      </c>
      <c r="P62" s="960">
        <f t="shared" si="25"/>
        <v>0</v>
      </c>
      <c r="Q62" s="960">
        <f t="shared" si="26"/>
        <v>0</v>
      </c>
      <c r="R62" s="960">
        <f t="shared" si="27"/>
        <v>0</v>
      </c>
      <c r="S62" s="960">
        <f t="shared" si="28"/>
        <v>0</v>
      </c>
      <c r="T62" s="960">
        <f t="shared" si="29"/>
        <v>0</v>
      </c>
      <c r="U62" s="960">
        <f t="shared" si="30"/>
        <v>0</v>
      </c>
      <c r="V62" s="960">
        <f t="shared" si="31"/>
        <v>0</v>
      </c>
      <c r="W62" s="960"/>
      <c r="X62" s="960"/>
      <c r="Y62" s="960"/>
      <c r="Z62" s="960"/>
      <c r="AA62" s="975">
        <f t="shared" si="32"/>
        <v>0</v>
      </c>
      <c r="AB62" s="975">
        <f>VLOOKUP(C62,'[8]MỦ TẠP'!$D$10:$AM$450,33,0)</f>
        <v>0</v>
      </c>
      <c r="AC62" s="975">
        <f>VLOOKUP(C62,'[8]MỦ TẠP'!$D$10:$AM$450,34,0)</f>
        <v>0</v>
      </c>
      <c r="AD62" s="975">
        <f>VLOOKUP(C62,'[8]MỦ TẠP'!$D$10:$AM$450,35,0)</f>
        <v>0</v>
      </c>
      <c r="AE62" s="975">
        <f t="shared" si="34"/>
        <v>0</v>
      </c>
      <c r="AF62" s="975"/>
      <c r="AG62" s="975"/>
      <c r="AH62" s="975">
        <f t="shared" si="33"/>
        <v>0</v>
      </c>
      <c r="AI62" s="975">
        <f>VLOOKUP(C62,'[8]CHẤM CÔNG '!$F$10:$AM$451,33,0)</f>
        <v>0</v>
      </c>
      <c r="AJ62" s="975">
        <f>VLOOKUP(C62,'[8]CHẤM CÔNG '!$F$10:$AM$451,34,0)</f>
        <v>0</v>
      </c>
      <c r="AK62" s="975"/>
      <c r="AL62" s="975"/>
      <c r="AM62" s="975"/>
      <c r="AN62" s="975">
        <f>VLOOKUP(C62,'[8]CHẤM CÔNG '!$F$10:$AN$451,35,0)</f>
        <v>0</v>
      </c>
      <c r="AO62" s="975">
        <f>VLOOKUP(C62,'[8]CHẤM CÔNG '!$F$10:$AR$451,36,0)</f>
        <v>0</v>
      </c>
      <c r="AP62" s="975"/>
      <c r="AQ62" s="975"/>
      <c r="AR62" s="975"/>
      <c r="AS62" s="981"/>
      <c r="AT62" s="982">
        <f>VLOOKUP(C62,'[8]MỦ TẠP'!$D$10:$AO$450,38,0)</f>
        <v>0</v>
      </c>
    </row>
    <row r="63" spans="1:46" ht="15.75">
      <c r="A63" s="969">
        <v>7</v>
      </c>
      <c r="B63" s="958" t="str">
        <f>VLOOKUP(C63,'[8]DS CN MOI UP'!$B$10:$C$489,2,0)</f>
        <v>03276</v>
      </c>
      <c r="C63" s="970" t="s">
        <v>436</v>
      </c>
      <c r="D63" s="971" t="s">
        <v>15</v>
      </c>
      <c r="E63" s="960"/>
      <c r="F63" s="960"/>
      <c r="G63" s="960"/>
      <c r="H63" s="960"/>
      <c r="I63" s="960"/>
      <c r="J63" s="960"/>
      <c r="K63" s="960"/>
      <c r="L63" s="960"/>
      <c r="M63" s="960"/>
      <c r="N63" s="960">
        <f t="shared" si="23"/>
        <v>0</v>
      </c>
      <c r="O63" s="960">
        <f t="shared" si="24"/>
        <v>0</v>
      </c>
      <c r="P63" s="960">
        <f t="shared" si="25"/>
        <v>0</v>
      </c>
      <c r="Q63" s="960">
        <f t="shared" si="26"/>
        <v>0</v>
      </c>
      <c r="R63" s="960">
        <f t="shared" si="27"/>
        <v>0</v>
      </c>
      <c r="S63" s="960">
        <f t="shared" si="28"/>
        <v>0</v>
      </c>
      <c r="T63" s="960">
        <f t="shared" si="29"/>
        <v>0</v>
      </c>
      <c r="U63" s="960">
        <f t="shared" si="30"/>
        <v>0</v>
      </c>
      <c r="V63" s="960">
        <f t="shared" si="31"/>
        <v>0</v>
      </c>
      <c r="W63" s="960"/>
      <c r="X63" s="960"/>
      <c r="Y63" s="960"/>
      <c r="Z63" s="960"/>
      <c r="AA63" s="975">
        <f t="shared" si="32"/>
        <v>0</v>
      </c>
      <c r="AB63" s="975">
        <f>VLOOKUP(C63,'[8]MỦ TẠP'!$D$10:$AM$450,33,0)</f>
        <v>0</v>
      </c>
      <c r="AC63" s="975">
        <f>VLOOKUP(C63,'[8]MỦ TẠP'!$D$10:$AM$450,34,0)</f>
        <v>0</v>
      </c>
      <c r="AD63" s="975">
        <f>VLOOKUP(C63,'[8]MỦ TẠP'!$D$10:$AM$450,35,0)</f>
        <v>0</v>
      </c>
      <c r="AE63" s="975">
        <f t="shared" si="34"/>
        <v>0</v>
      </c>
      <c r="AF63" s="975"/>
      <c r="AG63" s="975"/>
      <c r="AH63" s="975">
        <f t="shared" si="33"/>
        <v>0</v>
      </c>
      <c r="AI63" s="975">
        <f>VLOOKUP(C63,'[8]CHẤM CÔNG '!$F$10:$AM$451,33,0)</f>
        <v>0</v>
      </c>
      <c r="AJ63" s="975">
        <f>VLOOKUP(C63,'[8]CHẤM CÔNG '!$F$10:$AM$451,34,0)</f>
        <v>0</v>
      </c>
      <c r="AK63" s="975"/>
      <c r="AL63" s="975"/>
      <c r="AM63" s="975"/>
      <c r="AN63" s="975">
        <f>VLOOKUP(C63,'[8]CHẤM CÔNG '!$F$10:$AN$451,35,0)</f>
        <v>0</v>
      </c>
      <c r="AO63" s="975">
        <f>VLOOKUP(C63,'[8]CHẤM CÔNG '!$F$10:$AR$451,36,0)</f>
        <v>0</v>
      </c>
      <c r="AP63" s="975"/>
      <c r="AQ63" s="975"/>
      <c r="AR63" s="975"/>
      <c r="AS63" s="981"/>
      <c r="AT63" s="982">
        <f>VLOOKUP(C63,'[8]MỦ TẠP'!$D$10:$AO$450,38,0)</f>
        <v>0</v>
      </c>
    </row>
    <row r="64" spans="1:46" ht="15.75">
      <c r="A64" s="969">
        <v>8</v>
      </c>
      <c r="B64" s="958" t="str">
        <f>VLOOKUP(C64,'[8]DS CN MOI UP'!$B$10:$C$489,2,0)</f>
        <v>03277</v>
      </c>
      <c r="C64" s="970" t="s">
        <v>437</v>
      </c>
      <c r="D64" s="971" t="s">
        <v>15</v>
      </c>
      <c r="E64" s="960"/>
      <c r="F64" s="960"/>
      <c r="G64" s="960"/>
      <c r="H64" s="960"/>
      <c r="I64" s="960"/>
      <c r="J64" s="960"/>
      <c r="K64" s="960"/>
      <c r="L64" s="960"/>
      <c r="M64" s="960"/>
      <c r="N64" s="960">
        <f t="shared" si="23"/>
        <v>0</v>
      </c>
      <c r="O64" s="960">
        <f t="shared" si="24"/>
        <v>0</v>
      </c>
      <c r="P64" s="960">
        <f t="shared" si="25"/>
        <v>0</v>
      </c>
      <c r="Q64" s="960">
        <f t="shared" si="26"/>
        <v>0</v>
      </c>
      <c r="R64" s="960">
        <f t="shared" si="27"/>
        <v>0</v>
      </c>
      <c r="S64" s="960">
        <f t="shared" si="28"/>
        <v>0</v>
      </c>
      <c r="T64" s="960">
        <f t="shared" si="29"/>
        <v>0</v>
      </c>
      <c r="U64" s="960">
        <f t="shared" si="30"/>
        <v>0</v>
      </c>
      <c r="V64" s="960">
        <f t="shared" si="31"/>
        <v>0</v>
      </c>
      <c r="W64" s="960"/>
      <c r="X64" s="960"/>
      <c r="Y64" s="960"/>
      <c r="Z64" s="960"/>
      <c r="AA64" s="975">
        <f t="shared" si="32"/>
        <v>0</v>
      </c>
      <c r="AB64" s="975">
        <f>VLOOKUP(C64,'[8]MỦ TẠP'!$D$10:$AM$450,33,0)</f>
        <v>0</v>
      </c>
      <c r="AC64" s="975">
        <f>VLOOKUP(C64,'[8]MỦ TẠP'!$D$10:$AM$450,34,0)</f>
        <v>0</v>
      </c>
      <c r="AD64" s="975">
        <f>VLOOKUP(C64,'[8]MỦ TẠP'!$D$10:$AM$450,35,0)</f>
        <v>0</v>
      </c>
      <c r="AE64" s="975">
        <f t="shared" si="34"/>
        <v>0</v>
      </c>
      <c r="AF64" s="975"/>
      <c r="AG64" s="975"/>
      <c r="AH64" s="975">
        <f t="shared" si="33"/>
        <v>0</v>
      </c>
      <c r="AI64" s="975">
        <f>VLOOKUP(C64,'[8]CHẤM CÔNG '!$F$10:$AM$451,33,0)</f>
        <v>0</v>
      </c>
      <c r="AJ64" s="975">
        <f>VLOOKUP(C64,'[8]CHẤM CÔNG '!$F$10:$AM$451,34,0)</f>
        <v>0</v>
      </c>
      <c r="AK64" s="975"/>
      <c r="AL64" s="975"/>
      <c r="AM64" s="975"/>
      <c r="AN64" s="975">
        <f>VLOOKUP(C64,'[8]CHẤM CÔNG '!$F$10:$AN$451,35,0)</f>
        <v>0</v>
      </c>
      <c r="AO64" s="975">
        <f>VLOOKUP(C64,'[8]CHẤM CÔNG '!$F$10:$AR$451,36,0)</f>
        <v>0</v>
      </c>
      <c r="AP64" s="975"/>
      <c r="AQ64" s="975"/>
      <c r="AR64" s="975"/>
      <c r="AS64" s="981"/>
      <c r="AT64" s="982">
        <f>VLOOKUP(C64,'[8]MỦ TẠP'!$D$10:$AO$450,38,0)</f>
        <v>0</v>
      </c>
    </row>
    <row r="65" spans="1:46" ht="15.75">
      <c r="A65" s="969">
        <v>9</v>
      </c>
      <c r="B65" s="958" t="str">
        <f>VLOOKUP(C65,'[8]DS CN MOI UP'!$B$10:$C$489,2,0)</f>
        <v>07014</v>
      </c>
      <c r="C65" s="970" t="s">
        <v>2382</v>
      </c>
      <c r="D65" s="971" t="s">
        <v>15</v>
      </c>
      <c r="E65" s="960"/>
      <c r="F65" s="960"/>
      <c r="G65" s="960"/>
      <c r="H65" s="960"/>
      <c r="I65" s="960"/>
      <c r="J65" s="960"/>
      <c r="K65" s="960"/>
      <c r="L65" s="960"/>
      <c r="M65" s="960"/>
      <c r="N65" s="960">
        <f t="shared" si="23"/>
        <v>0</v>
      </c>
      <c r="O65" s="960">
        <f t="shared" si="24"/>
        <v>0</v>
      </c>
      <c r="P65" s="960">
        <f t="shared" si="25"/>
        <v>0</v>
      </c>
      <c r="Q65" s="960">
        <f t="shared" si="26"/>
        <v>0</v>
      </c>
      <c r="R65" s="960">
        <f t="shared" si="27"/>
        <v>0</v>
      </c>
      <c r="S65" s="960">
        <f t="shared" si="28"/>
        <v>0</v>
      </c>
      <c r="T65" s="960">
        <f t="shared" si="29"/>
        <v>0</v>
      </c>
      <c r="U65" s="960">
        <f t="shared" si="30"/>
        <v>0</v>
      </c>
      <c r="V65" s="960">
        <f t="shared" si="31"/>
        <v>0</v>
      </c>
      <c r="W65" s="960"/>
      <c r="X65" s="960"/>
      <c r="Y65" s="960"/>
      <c r="Z65" s="960"/>
      <c r="AA65" s="975">
        <f t="shared" si="32"/>
        <v>0</v>
      </c>
      <c r="AB65" s="975">
        <f>VLOOKUP(C65,'[8]MỦ TẠP'!$D$10:$AM$450,33,0)</f>
        <v>0</v>
      </c>
      <c r="AC65" s="975">
        <f>VLOOKUP(C65,'[8]MỦ TẠP'!$D$10:$AM$450,34,0)</f>
        <v>0</v>
      </c>
      <c r="AD65" s="975">
        <f>VLOOKUP(C65,'[8]MỦ TẠP'!$D$10:$AM$450,35,0)</f>
        <v>0</v>
      </c>
      <c r="AE65" s="975">
        <f t="shared" si="34"/>
        <v>0</v>
      </c>
      <c r="AF65" s="975"/>
      <c r="AG65" s="975"/>
      <c r="AH65" s="975">
        <f t="shared" si="33"/>
        <v>0</v>
      </c>
      <c r="AI65" s="975">
        <f>VLOOKUP(C65,'[8]CHẤM CÔNG '!$F$10:$AM$451,33,0)</f>
        <v>0</v>
      </c>
      <c r="AJ65" s="975">
        <f>VLOOKUP(C65,'[8]CHẤM CÔNG '!$F$10:$AM$451,34,0)</f>
        <v>0</v>
      </c>
      <c r="AK65" s="975"/>
      <c r="AL65" s="975"/>
      <c r="AM65" s="975"/>
      <c r="AN65" s="975">
        <f>VLOOKUP(C65,'[8]CHẤM CÔNG '!$F$10:$AN$451,35,0)</f>
        <v>0</v>
      </c>
      <c r="AO65" s="975">
        <f>VLOOKUP(C65,'[8]CHẤM CÔNG '!$F$10:$AR$451,36,0)</f>
        <v>0</v>
      </c>
      <c r="AP65" s="975"/>
      <c r="AQ65" s="975"/>
      <c r="AR65" s="975"/>
      <c r="AS65" s="981"/>
      <c r="AT65" s="982">
        <f>VLOOKUP(C65,'[8]MỦ TẠP'!$D$10:$AO$450,38,0)</f>
        <v>0</v>
      </c>
    </row>
    <row r="66" spans="1:46" ht="15.75">
      <c r="A66" s="969">
        <v>10</v>
      </c>
      <c r="B66" s="958" t="str">
        <f>VLOOKUP(C66,'[8]DS CN MOI UP'!$B$10:$C$489,2,0)</f>
        <v>03278</v>
      </c>
      <c r="C66" s="970" t="s">
        <v>439</v>
      </c>
      <c r="D66" s="971" t="s">
        <v>15</v>
      </c>
      <c r="E66" s="960"/>
      <c r="F66" s="960"/>
      <c r="G66" s="960"/>
      <c r="H66" s="960"/>
      <c r="I66" s="960"/>
      <c r="J66" s="960"/>
      <c r="K66" s="960"/>
      <c r="L66" s="960"/>
      <c r="M66" s="960"/>
      <c r="N66" s="960">
        <f t="shared" si="23"/>
        <v>0</v>
      </c>
      <c r="O66" s="960">
        <f t="shared" si="24"/>
        <v>0</v>
      </c>
      <c r="P66" s="960">
        <f t="shared" si="25"/>
        <v>0</v>
      </c>
      <c r="Q66" s="960">
        <f t="shared" si="26"/>
        <v>0</v>
      </c>
      <c r="R66" s="960">
        <f t="shared" si="27"/>
        <v>0</v>
      </c>
      <c r="S66" s="960">
        <f t="shared" si="28"/>
        <v>0</v>
      </c>
      <c r="T66" s="960">
        <f t="shared" si="29"/>
        <v>0</v>
      </c>
      <c r="U66" s="960">
        <f t="shared" si="30"/>
        <v>0</v>
      </c>
      <c r="V66" s="960">
        <f t="shared" si="31"/>
        <v>0</v>
      </c>
      <c r="W66" s="960"/>
      <c r="X66" s="960"/>
      <c r="Y66" s="960"/>
      <c r="Z66" s="960"/>
      <c r="AA66" s="975">
        <f t="shared" si="32"/>
        <v>0</v>
      </c>
      <c r="AB66" s="975">
        <f>VLOOKUP(C66,'[8]MỦ TẠP'!$D$10:$AM$450,33,0)</f>
        <v>0</v>
      </c>
      <c r="AC66" s="975">
        <f>VLOOKUP(C66,'[8]MỦ TẠP'!$D$10:$AM$450,34,0)</f>
        <v>0</v>
      </c>
      <c r="AD66" s="975">
        <f>VLOOKUP(C66,'[8]MỦ TẠP'!$D$10:$AM$450,35,0)</f>
        <v>0</v>
      </c>
      <c r="AE66" s="975">
        <f t="shared" si="34"/>
        <v>0</v>
      </c>
      <c r="AF66" s="975"/>
      <c r="AG66" s="975"/>
      <c r="AH66" s="975">
        <f t="shared" si="33"/>
        <v>0</v>
      </c>
      <c r="AI66" s="975">
        <f>VLOOKUP(C66,'[8]CHẤM CÔNG '!$F$10:$AM$451,33,0)</f>
        <v>0</v>
      </c>
      <c r="AJ66" s="975">
        <f>VLOOKUP(C66,'[8]CHẤM CÔNG '!$F$10:$AM$451,34,0)</f>
        <v>0</v>
      </c>
      <c r="AK66" s="975"/>
      <c r="AL66" s="975"/>
      <c r="AM66" s="975"/>
      <c r="AN66" s="975">
        <f>VLOOKUP(C66,'[8]CHẤM CÔNG '!$F$10:$AN$451,35,0)</f>
        <v>0</v>
      </c>
      <c r="AO66" s="975">
        <f>VLOOKUP(C66,'[8]CHẤM CÔNG '!$F$10:$AR$451,36,0)</f>
        <v>0</v>
      </c>
      <c r="AP66" s="975"/>
      <c r="AQ66" s="975"/>
      <c r="AR66" s="975"/>
      <c r="AS66" s="981"/>
      <c r="AT66" s="982">
        <f>VLOOKUP(C66,'[8]MỦ TẠP'!$D$10:$AO$450,38,0)</f>
        <v>0</v>
      </c>
    </row>
    <row r="67" spans="1:46" ht="15.75">
      <c r="A67" s="969">
        <v>11</v>
      </c>
      <c r="B67" s="958" t="str">
        <f>VLOOKUP(C67,'[8]DS CN MOI UP'!$B$10:$C$489,2,0)</f>
        <v>03279</v>
      </c>
      <c r="C67" s="970" t="s">
        <v>440</v>
      </c>
      <c r="D67" s="971" t="s">
        <v>15</v>
      </c>
      <c r="E67" s="960"/>
      <c r="F67" s="960"/>
      <c r="G67" s="960"/>
      <c r="H67" s="960"/>
      <c r="I67" s="960"/>
      <c r="J67" s="960"/>
      <c r="K67" s="960"/>
      <c r="L67" s="960"/>
      <c r="M67" s="960"/>
      <c r="N67" s="960">
        <f t="shared" si="23"/>
        <v>0</v>
      </c>
      <c r="O67" s="960">
        <f t="shared" si="24"/>
        <v>0</v>
      </c>
      <c r="P67" s="960">
        <f t="shared" si="25"/>
        <v>0</v>
      </c>
      <c r="Q67" s="960">
        <f t="shared" si="26"/>
        <v>0</v>
      </c>
      <c r="R67" s="960">
        <f t="shared" si="27"/>
        <v>0</v>
      </c>
      <c r="S67" s="960">
        <f t="shared" si="28"/>
        <v>0</v>
      </c>
      <c r="T67" s="960">
        <f t="shared" si="29"/>
        <v>0</v>
      </c>
      <c r="U67" s="960">
        <f t="shared" si="30"/>
        <v>0</v>
      </c>
      <c r="V67" s="960">
        <f t="shared" si="31"/>
        <v>0</v>
      </c>
      <c r="W67" s="960"/>
      <c r="X67" s="960"/>
      <c r="Y67" s="960"/>
      <c r="Z67" s="960"/>
      <c r="AA67" s="975">
        <f t="shared" si="32"/>
        <v>0</v>
      </c>
      <c r="AB67" s="975">
        <f>VLOOKUP(C67,'[8]MỦ TẠP'!$D$10:$AM$450,33,0)</f>
        <v>0</v>
      </c>
      <c r="AC67" s="975">
        <f>VLOOKUP(C67,'[8]MỦ TẠP'!$D$10:$AM$450,34,0)</f>
        <v>0</v>
      </c>
      <c r="AD67" s="975">
        <f>VLOOKUP(C67,'[8]MỦ TẠP'!$D$10:$AM$450,35,0)</f>
        <v>0</v>
      </c>
      <c r="AE67" s="975">
        <f t="shared" si="34"/>
        <v>0</v>
      </c>
      <c r="AF67" s="975"/>
      <c r="AG67" s="975"/>
      <c r="AH67" s="975">
        <f t="shared" si="33"/>
        <v>0</v>
      </c>
      <c r="AI67" s="975">
        <f>VLOOKUP(C67,'[8]CHẤM CÔNG '!$F$10:$AM$451,33,0)</f>
        <v>0</v>
      </c>
      <c r="AJ67" s="975">
        <f>VLOOKUP(C67,'[8]CHẤM CÔNG '!$F$10:$AM$451,34,0)</f>
        <v>0</v>
      </c>
      <c r="AK67" s="975"/>
      <c r="AL67" s="975"/>
      <c r="AM67" s="975"/>
      <c r="AN67" s="975">
        <f>VLOOKUP(C67,'[8]CHẤM CÔNG '!$F$10:$AN$451,35,0)</f>
        <v>0</v>
      </c>
      <c r="AO67" s="975">
        <f>VLOOKUP(C67,'[8]CHẤM CÔNG '!$F$10:$AR$451,36,0)</f>
        <v>0</v>
      </c>
      <c r="AP67" s="975"/>
      <c r="AQ67" s="975"/>
      <c r="AR67" s="975"/>
      <c r="AS67" s="981"/>
      <c r="AT67" s="982">
        <f>VLOOKUP(C67,'[8]MỦ TẠP'!$D$10:$AO$450,38,0)</f>
        <v>0</v>
      </c>
    </row>
    <row r="68" spans="1:46" ht="15.75">
      <c r="A68" s="969">
        <v>12</v>
      </c>
      <c r="B68" s="958" t="str">
        <f>VLOOKUP(C68,'[8]DS CN MOI UP'!$B$10:$C$489,2,0)</f>
        <v>03280</v>
      </c>
      <c r="C68" s="970" t="s">
        <v>441</v>
      </c>
      <c r="D68" s="971" t="s">
        <v>15</v>
      </c>
      <c r="E68" s="960"/>
      <c r="F68" s="960"/>
      <c r="G68" s="960"/>
      <c r="H68" s="960"/>
      <c r="I68" s="960"/>
      <c r="J68" s="960"/>
      <c r="K68" s="960"/>
      <c r="L68" s="960"/>
      <c r="M68" s="960"/>
      <c r="N68" s="960">
        <f t="shared" si="23"/>
        <v>0</v>
      </c>
      <c r="O68" s="960">
        <f t="shared" si="24"/>
        <v>0</v>
      </c>
      <c r="P68" s="960">
        <f t="shared" si="25"/>
        <v>0</v>
      </c>
      <c r="Q68" s="960">
        <f t="shared" si="26"/>
        <v>0</v>
      </c>
      <c r="R68" s="960">
        <f t="shared" si="27"/>
        <v>0</v>
      </c>
      <c r="S68" s="960">
        <f t="shared" si="28"/>
        <v>0</v>
      </c>
      <c r="T68" s="960">
        <f t="shared" si="29"/>
        <v>0</v>
      </c>
      <c r="U68" s="960">
        <f t="shared" si="30"/>
        <v>0</v>
      </c>
      <c r="V68" s="960">
        <f t="shared" si="31"/>
        <v>0</v>
      </c>
      <c r="W68" s="960"/>
      <c r="X68" s="960"/>
      <c r="Y68" s="960"/>
      <c r="Z68" s="960"/>
      <c r="AA68" s="975">
        <f t="shared" si="32"/>
        <v>0</v>
      </c>
      <c r="AB68" s="975">
        <f>VLOOKUP(C68,'[8]MỦ TẠP'!$D$10:$AM$450,33,0)</f>
        <v>0</v>
      </c>
      <c r="AC68" s="975">
        <f>VLOOKUP(C68,'[8]MỦ TẠP'!$D$10:$AM$450,34,0)</f>
        <v>0</v>
      </c>
      <c r="AD68" s="975">
        <f>VLOOKUP(C68,'[8]MỦ TẠP'!$D$10:$AM$450,35,0)</f>
        <v>0</v>
      </c>
      <c r="AE68" s="975">
        <f t="shared" si="34"/>
        <v>0</v>
      </c>
      <c r="AF68" s="975"/>
      <c r="AG68" s="975"/>
      <c r="AH68" s="975">
        <f t="shared" si="33"/>
        <v>0</v>
      </c>
      <c r="AI68" s="975">
        <f>VLOOKUP(C68,'[8]CHẤM CÔNG '!$F$10:$AM$451,33,0)</f>
        <v>0</v>
      </c>
      <c r="AJ68" s="975">
        <f>VLOOKUP(C68,'[8]CHẤM CÔNG '!$F$10:$AM$451,34,0)</f>
        <v>0</v>
      </c>
      <c r="AK68" s="975"/>
      <c r="AL68" s="975"/>
      <c r="AM68" s="975"/>
      <c r="AN68" s="975">
        <f>VLOOKUP(C68,'[8]CHẤM CÔNG '!$F$10:$AN$451,35,0)</f>
        <v>0</v>
      </c>
      <c r="AO68" s="975">
        <f>VLOOKUP(C68,'[8]CHẤM CÔNG '!$F$10:$AR$451,36,0)</f>
        <v>0</v>
      </c>
      <c r="AP68" s="975"/>
      <c r="AQ68" s="975"/>
      <c r="AR68" s="975"/>
      <c r="AS68" s="981"/>
      <c r="AT68" s="982">
        <f>VLOOKUP(C68,'[8]MỦ TẠP'!$D$10:$AO$450,38,0)</f>
        <v>0</v>
      </c>
    </row>
    <row r="69" spans="1:46" ht="15.75">
      <c r="A69" s="969">
        <v>13</v>
      </c>
      <c r="B69" s="958" t="str">
        <f>VLOOKUP(C69,'[8]DS CN MOI UP'!$B$10:$C$489,2,0)</f>
        <v>03281</v>
      </c>
      <c r="C69" s="970" t="s">
        <v>442</v>
      </c>
      <c r="D69" s="971" t="s">
        <v>15</v>
      </c>
      <c r="E69" s="960"/>
      <c r="F69" s="960"/>
      <c r="G69" s="960"/>
      <c r="H69" s="960"/>
      <c r="I69" s="960"/>
      <c r="J69" s="960"/>
      <c r="K69" s="960"/>
      <c r="L69" s="960"/>
      <c r="M69" s="960"/>
      <c r="N69" s="960">
        <f t="shared" si="23"/>
        <v>0</v>
      </c>
      <c r="O69" s="960">
        <f t="shared" si="24"/>
        <v>0</v>
      </c>
      <c r="P69" s="960">
        <f t="shared" si="25"/>
        <v>0</v>
      </c>
      <c r="Q69" s="960">
        <f t="shared" si="26"/>
        <v>0</v>
      </c>
      <c r="R69" s="960">
        <f t="shared" si="27"/>
        <v>0</v>
      </c>
      <c r="S69" s="960">
        <f t="shared" si="28"/>
        <v>0</v>
      </c>
      <c r="T69" s="960">
        <f t="shared" si="29"/>
        <v>0</v>
      </c>
      <c r="U69" s="960">
        <f t="shared" si="30"/>
        <v>0</v>
      </c>
      <c r="V69" s="960">
        <f t="shared" si="31"/>
        <v>0</v>
      </c>
      <c r="W69" s="960"/>
      <c r="X69" s="960"/>
      <c r="Y69" s="960"/>
      <c r="Z69" s="960"/>
      <c r="AA69" s="975">
        <f t="shared" si="32"/>
        <v>0</v>
      </c>
      <c r="AB69" s="975">
        <f>VLOOKUP(C69,'[8]MỦ TẠP'!$D$10:$AM$450,33,0)</f>
        <v>0</v>
      </c>
      <c r="AC69" s="975">
        <f>VLOOKUP(C69,'[8]MỦ TẠP'!$D$10:$AM$450,34,0)</f>
        <v>0</v>
      </c>
      <c r="AD69" s="975">
        <f>VLOOKUP(C69,'[8]MỦ TẠP'!$D$10:$AM$450,35,0)</f>
        <v>0</v>
      </c>
      <c r="AE69" s="975">
        <f t="shared" si="34"/>
        <v>0</v>
      </c>
      <c r="AF69" s="975"/>
      <c r="AG69" s="975"/>
      <c r="AH69" s="975">
        <f t="shared" si="33"/>
        <v>0</v>
      </c>
      <c r="AI69" s="975">
        <f>VLOOKUP(C69,'[8]CHẤM CÔNG '!$F$10:$AM$451,33,0)</f>
        <v>0</v>
      </c>
      <c r="AJ69" s="975">
        <f>VLOOKUP(C69,'[8]CHẤM CÔNG '!$F$10:$AM$451,34,0)</f>
        <v>0</v>
      </c>
      <c r="AK69" s="975"/>
      <c r="AL69" s="975"/>
      <c r="AM69" s="975"/>
      <c r="AN69" s="975">
        <f>VLOOKUP(C69,'[8]CHẤM CÔNG '!$F$10:$AN$451,35,0)</f>
        <v>0</v>
      </c>
      <c r="AO69" s="975">
        <f>VLOOKUP(C69,'[8]CHẤM CÔNG '!$F$10:$AR$451,36,0)</f>
        <v>0</v>
      </c>
      <c r="AP69" s="975"/>
      <c r="AQ69" s="975"/>
      <c r="AR69" s="975"/>
      <c r="AS69" s="981"/>
      <c r="AT69" s="982">
        <f>VLOOKUP(C69,'[8]MỦ TẠP'!$D$10:$AO$450,38,0)</f>
        <v>0</v>
      </c>
    </row>
    <row r="70" spans="1:46" ht="15.75">
      <c r="A70" s="969">
        <v>14</v>
      </c>
      <c r="B70" s="958" t="str">
        <f>VLOOKUP(C70,'[8]DS CN MOI UP'!$B$10:$C$489,2,0)</f>
        <v>03282</v>
      </c>
      <c r="C70" s="970" t="s">
        <v>443</v>
      </c>
      <c r="D70" s="971" t="s">
        <v>15</v>
      </c>
      <c r="E70" s="960"/>
      <c r="F70" s="960"/>
      <c r="G70" s="960"/>
      <c r="H70" s="960"/>
      <c r="I70" s="960"/>
      <c r="J70" s="960"/>
      <c r="K70" s="960"/>
      <c r="L70" s="960"/>
      <c r="M70" s="960"/>
      <c r="N70" s="960">
        <f t="shared" si="23"/>
        <v>0</v>
      </c>
      <c r="O70" s="960">
        <f t="shared" si="24"/>
        <v>0</v>
      </c>
      <c r="P70" s="960">
        <f t="shared" si="25"/>
        <v>0</v>
      </c>
      <c r="Q70" s="960">
        <f t="shared" si="26"/>
        <v>0</v>
      </c>
      <c r="R70" s="960">
        <f t="shared" si="27"/>
        <v>0</v>
      </c>
      <c r="S70" s="960">
        <f t="shared" si="28"/>
        <v>0</v>
      </c>
      <c r="T70" s="960">
        <f t="shared" si="29"/>
        <v>0</v>
      </c>
      <c r="U70" s="960">
        <f t="shared" si="30"/>
        <v>0</v>
      </c>
      <c r="V70" s="960">
        <f t="shared" si="31"/>
        <v>0</v>
      </c>
      <c r="W70" s="960"/>
      <c r="X70" s="960"/>
      <c r="Y70" s="960"/>
      <c r="Z70" s="960"/>
      <c r="AA70" s="975">
        <f t="shared" si="32"/>
        <v>0</v>
      </c>
      <c r="AB70" s="975">
        <f>VLOOKUP(C70,'[8]MỦ TẠP'!$D$10:$AM$450,33,0)</f>
        <v>0</v>
      </c>
      <c r="AC70" s="975">
        <f>VLOOKUP(C70,'[8]MỦ TẠP'!$D$10:$AM$450,34,0)</f>
        <v>0</v>
      </c>
      <c r="AD70" s="975">
        <f>VLOOKUP(C70,'[8]MỦ TẠP'!$D$10:$AM$450,35,0)</f>
        <v>0</v>
      </c>
      <c r="AE70" s="975">
        <f t="shared" si="34"/>
        <v>0</v>
      </c>
      <c r="AF70" s="975"/>
      <c r="AG70" s="975"/>
      <c r="AH70" s="975">
        <f t="shared" si="33"/>
        <v>0</v>
      </c>
      <c r="AI70" s="975">
        <f>VLOOKUP(C70,'[8]CHẤM CÔNG '!$F$10:$AM$451,33,0)</f>
        <v>0</v>
      </c>
      <c r="AJ70" s="975">
        <f>VLOOKUP(C70,'[8]CHẤM CÔNG '!$F$10:$AM$451,34,0)</f>
        <v>0</v>
      </c>
      <c r="AK70" s="975"/>
      <c r="AL70" s="975"/>
      <c r="AM70" s="975"/>
      <c r="AN70" s="975">
        <f>VLOOKUP(C70,'[8]CHẤM CÔNG '!$F$10:$AN$451,35,0)</f>
        <v>0</v>
      </c>
      <c r="AO70" s="975">
        <f>VLOOKUP(C70,'[8]CHẤM CÔNG '!$F$10:$AR$451,36,0)</f>
        <v>0</v>
      </c>
      <c r="AP70" s="975"/>
      <c r="AQ70" s="975"/>
      <c r="AR70" s="975"/>
      <c r="AS70" s="981"/>
      <c r="AT70" s="982">
        <f>VLOOKUP(C70,'[8]MỦ TẠP'!$D$10:$AO$450,38,0)</f>
        <v>0</v>
      </c>
    </row>
    <row r="71" spans="1:46" ht="15.75">
      <c r="A71" s="969">
        <v>15</v>
      </c>
      <c r="B71" s="958" t="e">
        <f>VLOOKUP(C71,'[8]DS CN MOI UP'!$B$10:$C$489,2,0)</f>
        <v>#N/A</v>
      </c>
      <c r="C71" s="970" t="s">
        <v>2624</v>
      </c>
      <c r="D71" s="971" t="s">
        <v>15</v>
      </c>
      <c r="E71" s="960"/>
      <c r="F71" s="960"/>
      <c r="G71" s="960"/>
      <c r="H71" s="960"/>
      <c r="I71" s="960"/>
      <c r="J71" s="960"/>
      <c r="K71" s="960"/>
      <c r="L71" s="960"/>
      <c r="M71" s="960"/>
      <c r="N71" s="960">
        <f t="shared" si="23"/>
        <v>0</v>
      </c>
      <c r="O71" s="960">
        <f t="shared" si="24"/>
        <v>0</v>
      </c>
      <c r="P71" s="960">
        <f t="shared" si="25"/>
        <v>0</v>
      </c>
      <c r="Q71" s="960">
        <f t="shared" si="26"/>
        <v>0</v>
      </c>
      <c r="R71" s="960">
        <f t="shared" si="27"/>
        <v>0</v>
      </c>
      <c r="S71" s="960">
        <f t="shared" si="28"/>
        <v>0</v>
      </c>
      <c r="T71" s="960">
        <f t="shared" si="29"/>
        <v>0</v>
      </c>
      <c r="U71" s="960">
        <f t="shared" si="30"/>
        <v>0</v>
      </c>
      <c r="V71" s="960">
        <f t="shared" si="31"/>
        <v>0</v>
      </c>
      <c r="W71" s="960"/>
      <c r="X71" s="960"/>
      <c r="Y71" s="960"/>
      <c r="Z71" s="960"/>
      <c r="AA71" s="975">
        <f t="shared" si="32"/>
        <v>0</v>
      </c>
      <c r="AB71" s="975">
        <f>VLOOKUP(C71,'[8]MỦ TẠP'!$D$10:$AM$450,33,0)</f>
        <v>0</v>
      </c>
      <c r="AC71" s="975">
        <f>VLOOKUP(C71,'[8]MỦ TẠP'!$D$10:$AM$450,34,0)</f>
        <v>0</v>
      </c>
      <c r="AD71" s="975">
        <f>VLOOKUP(C71,'[8]MỦ TẠP'!$D$10:$AM$450,35,0)</f>
        <v>0</v>
      </c>
      <c r="AE71" s="975">
        <f t="shared" si="34"/>
        <v>0</v>
      </c>
      <c r="AF71" s="975"/>
      <c r="AG71" s="975"/>
      <c r="AH71" s="975">
        <f t="shared" si="33"/>
        <v>0</v>
      </c>
      <c r="AI71" s="975">
        <f>VLOOKUP(C71,'[8]CHẤM CÔNG '!$F$10:$AM$451,33,0)</f>
        <v>0</v>
      </c>
      <c r="AJ71" s="975">
        <f>VLOOKUP(C71,'[8]CHẤM CÔNG '!$F$10:$AM$451,34,0)</f>
        <v>0</v>
      </c>
      <c r="AK71" s="975"/>
      <c r="AL71" s="975"/>
      <c r="AM71" s="975"/>
      <c r="AN71" s="975">
        <f>VLOOKUP(C71,'[8]CHẤM CÔNG '!$F$10:$AN$451,35,0)</f>
        <v>0</v>
      </c>
      <c r="AO71" s="975">
        <f>VLOOKUP(C71,'[8]CHẤM CÔNG '!$F$10:$AR$451,36,0)</f>
        <v>0</v>
      </c>
      <c r="AP71" s="975"/>
      <c r="AQ71" s="975"/>
      <c r="AR71" s="975"/>
      <c r="AS71" s="981"/>
      <c r="AT71" s="982">
        <f>VLOOKUP(C71,'[8]MỦ TẠP'!$D$10:$AO$450,38,0)</f>
        <v>0</v>
      </c>
    </row>
    <row r="72" spans="1:46" ht="15.75">
      <c r="A72" s="969">
        <v>16</v>
      </c>
      <c r="B72" s="958" t="str">
        <f>VLOOKUP(C72,'[8]DS CN MOI UP'!$B$10:$C$489,2,0)</f>
        <v>03848</v>
      </c>
      <c r="C72" s="970" t="s">
        <v>445</v>
      </c>
      <c r="D72" s="971" t="s">
        <v>15</v>
      </c>
      <c r="E72" s="960"/>
      <c r="F72" s="960"/>
      <c r="G72" s="960"/>
      <c r="H72" s="960"/>
      <c r="I72" s="960"/>
      <c r="J72" s="960"/>
      <c r="K72" s="960"/>
      <c r="L72" s="960"/>
      <c r="M72" s="960"/>
      <c r="N72" s="960">
        <f t="shared" si="23"/>
        <v>0</v>
      </c>
      <c r="O72" s="960">
        <f t="shared" si="24"/>
        <v>0</v>
      </c>
      <c r="P72" s="960">
        <f t="shared" si="25"/>
        <v>0</v>
      </c>
      <c r="Q72" s="960">
        <f t="shared" si="26"/>
        <v>0</v>
      </c>
      <c r="R72" s="960">
        <f t="shared" si="27"/>
        <v>0</v>
      </c>
      <c r="S72" s="960">
        <f t="shared" si="28"/>
        <v>0</v>
      </c>
      <c r="T72" s="960">
        <f t="shared" si="29"/>
        <v>0</v>
      </c>
      <c r="U72" s="960">
        <f t="shared" si="30"/>
        <v>0</v>
      </c>
      <c r="V72" s="960">
        <f t="shared" si="31"/>
        <v>0</v>
      </c>
      <c r="W72" s="960"/>
      <c r="X72" s="960"/>
      <c r="Y72" s="960"/>
      <c r="Z72" s="960"/>
      <c r="AA72" s="975">
        <f t="shared" si="32"/>
        <v>0</v>
      </c>
      <c r="AB72" s="975">
        <f>VLOOKUP(C72,'[8]MỦ TẠP'!$D$10:$AM$450,33,0)</f>
        <v>0</v>
      </c>
      <c r="AC72" s="975">
        <f>VLOOKUP(C72,'[8]MỦ TẠP'!$D$10:$AM$450,34,0)</f>
        <v>0</v>
      </c>
      <c r="AD72" s="975">
        <f>VLOOKUP(C72,'[8]MỦ TẠP'!$D$10:$AM$450,35,0)</f>
        <v>0</v>
      </c>
      <c r="AE72" s="975">
        <f t="shared" si="34"/>
        <v>0</v>
      </c>
      <c r="AF72" s="975"/>
      <c r="AG72" s="975"/>
      <c r="AH72" s="975">
        <f t="shared" si="33"/>
        <v>0</v>
      </c>
      <c r="AI72" s="975">
        <f>VLOOKUP(C72,'[8]CHẤM CÔNG '!$F$10:$AM$451,33,0)</f>
        <v>0</v>
      </c>
      <c r="AJ72" s="975">
        <f>VLOOKUP(C72,'[8]CHẤM CÔNG '!$F$10:$AM$451,34,0)</f>
        <v>0</v>
      </c>
      <c r="AK72" s="975"/>
      <c r="AL72" s="975"/>
      <c r="AM72" s="975"/>
      <c r="AN72" s="975">
        <f>VLOOKUP(C72,'[8]CHẤM CÔNG '!$F$10:$AN$451,35,0)</f>
        <v>0</v>
      </c>
      <c r="AO72" s="975">
        <f>VLOOKUP(C72,'[8]CHẤM CÔNG '!$F$10:$AR$451,36,0)</f>
        <v>0</v>
      </c>
      <c r="AP72" s="975"/>
      <c r="AQ72" s="975"/>
      <c r="AR72" s="975"/>
      <c r="AS72" s="981"/>
      <c r="AT72" s="982">
        <f>VLOOKUP(C72,'[8]MỦ TẠP'!$D$10:$AO$450,38,0)</f>
        <v>0</v>
      </c>
    </row>
    <row r="73" spans="1:46" ht="15.75">
      <c r="A73" s="969">
        <v>17</v>
      </c>
      <c r="B73" s="958" t="e">
        <f>VLOOKUP(C73,'[8]DS CN MOI UP'!$B$10:$C$489,2,0)</f>
        <v>#N/A</v>
      </c>
      <c r="C73" s="970" t="s">
        <v>2625</v>
      </c>
      <c r="D73" s="971" t="s">
        <v>15</v>
      </c>
      <c r="E73" s="960"/>
      <c r="F73" s="960"/>
      <c r="G73" s="960"/>
      <c r="H73" s="960"/>
      <c r="I73" s="960"/>
      <c r="J73" s="960"/>
      <c r="K73" s="960"/>
      <c r="L73" s="960"/>
      <c r="M73" s="960"/>
      <c r="N73" s="960">
        <f t="shared" si="23"/>
        <v>0</v>
      </c>
      <c r="O73" s="960">
        <f t="shared" si="24"/>
        <v>0</v>
      </c>
      <c r="P73" s="960">
        <f t="shared" si="25"/>
        <v>0</v>
      </c>
      <c r="Q73" s="960">
        <f t="shared" si="26"/>
        <v>0</v>
      </c>
      <c r="R73" s="960">
        <f t="shared" si="27"/>
        <v>0</v>
      </c>
      <c r="S73" s="960">
        <f t="shared" si="28"/>
        <v>0</v>
      </c>
      <c r="T73" s="960">
        <f t="shared" si="29"/>
        <v>0</v>
      </c>
      <c r="U73" s="960">
        <f t="shared" si="30"/>
        <v>0</v>
      </c>
      <c r="V73" s="960">
        <f t="shared" si="31"/>
        <v>0</v>
      </c>
      <c r="W73" s="960"/>
      <c r="X73" s="960"/>
      <c r="Y73" s="960"/>
      <c r="Z73" s="960"/>
      <c r="AA73" s="975">
        <f t="shared" si="32"/>
        <v>0</v>
      </c>
      <c r="AB73" s="975">
        <f>VLOOKUP(C73,'[8]MỦ TẠP'!$D$10:$AM$450,33,0)</f>
        <v>0</v>
      </c>
      <c r="AC73" s="975">
        <f>VLOOKUP(C73,'[8]MỦ TẠP'!$D$10:$AM$450,34,0)</f>
        <v>0</v>
      </c>
      <c r="AD73" s="975">
        <f>VLOOKUP(C73,'[8]MỦ TẠP'!$D$10:$AM$450,35,0)</f>
        <v>0</v>
      </c>
      <c r="AE73" s="975">
        <f t="shared" si="34"/>
        <v>0</v>
      </c>
      <c r="AF73" s="975"/>
      <c r="AG73" s="975"/>
      <c r="AH73" s="975">
        <f t="shared" si="33"/>
        <v>0</v>
      </c>
      <c r="AI73" s="975">
        <f>VLOOKUP(C73,'[8]CHẤM CÔNG '!$F$10:$AM$451,33,0)</f>
        <v>0</v>
      </c>
      <c r="AJ73" s="975">
        <f>VLOOKUP(C73,'[8]CHẤM CÔNG '!$F$10:$AM$451,34,0)</f>
        <v>0</v>
      </c>
      <c r="AK73" s="975"/>
      <c r="AL73" s="975"/>
      <c r="AM73" s="975"/>
      <c r="AN73" s="975">
        <f>VLOOKUP(C73,'[8]CHẤM CÔNG '!$F$10:$AN$451,35,0)</f>
        <v>0</v>
      </c>
      <c r="AO73" s="975">
        <f>VLOOKUP(C73,'[8]CHẤM CÔNG '!$F$10:$AR$451,36,0)</f>
        <v>0</v>
      </c>
      <c r="AP73" s="975"/>
      <c r="AQ73" s="975"/>
      <c r="AR73" s="975"/>
      <c r="AS73" s="981"/>
      <c r="AT73" s="982">
        <f>VLOOKUP(C73,'[8]MỦ TẠP'!$D$10:$AO$450,38,0)</f>
        <v>0</v>
      </c>
    </row>
    <row r="74" spans="1:46" ht="15.75">
      <c r="A74" s="969">
        <v>18</v>
      </c>
      <c r="B74" s="958" t="e">
        <f>VLOOKUP(C74,'[8]DS CN MOI UP'!$B$10:$C$489,2,0)</f>
        <v>#N/A</v>
      </c>
      <c r="C74" s="970" t="s">
        <v>2626</v>
      </c>
      <c r="D74" s="971" t="s">
        <v>15</v>
      </c>
      <c r="E74" s="960"/>
      <c r="F74" s="960"/>
      <c r="G74" s="960"/>
      <c r="H74" s="960"/>
      <c r="I74" s="960"/>
      <c r="J74" s="960"/>
      <c r="K74" s="960"/>
      <c r="L74" s="960"/>
      <c r="M74" s="960"/>
      <c r="N74" s="960">
        <f t="shared" si="23"/>
        <v>0</v>
      </c>
      <c r="O74" s="960">
        <f t="shared" si="24"/>
        <v>0</v>
      </c>
      <c r="P74" s="960">
        <f t="shared" si="25"/>
        <v>0</v>
      </c>
      <c r="Q74" s="960">
        <f t="shared" si="26"/>
        <v>0</v>
      </c>
      <c r="R74" s="960">
        <f t="shared" si="27"/>
        <v>0</v>
      </c>
      <c r="S74" s="960">
        <f t="shared" si="28"/>
        <v>0</v>
      </c>
      <c r="T74" s="960">
        <f t="shared" si="29"/>
        <v>0</v>
      </c>
      <c r="U74" s="960">
        <f t="shared" si="30"/>
        <v>0</v>
      </c>
      <c r="V74" s="960">
        <f t="shared" si="31"/>
        <v>0</v>
      </c>
      <c r="W74" s="960"/>
      <c r="X74" s="960"/>
      <c r="Y74" s="960"/>
      <c r="Z74" s="960"/>
      <c r="AA74" s="975">
        <f t="shared" si="32"/>
        <v>0</v>
      </c>
      <c r="AB74" s="975">
        <f>VLOOKUP(C74,'[8]MỦ TẠP'!$D$10:$AM$450,33,0)</f>
        <v>0</v>
      </c>
      <c r="AC74" s="975">
        <f>VLOOKUP(C74,'[8]MỦ TẠP'!$D$10:$AM$450,34,0)</f>
        <v>0</v>
      </c>
      <c r="AD74" s="975">
        <f>VLOOKUP(C74,'[8]MỦ TẠP'!$D$10:$AM$450,35,0)</f>
        <v>0</v>
      </c>
      <c r="AE74" s="975">
        <f t="shared" si="34"/>
        <v>0</v>
      </c>
      <c r="AF74" s="975"/>
      <c r="AG74" s="975"/>
      <c r="AH74" s="975">
        <f t="shared" si="33"/>
        <v>0</v>
      </c>
      <c r="AI74" s="975">
        <f>VLOOKUP(C74,'[8]CHẤM CÔNG '!$F$10:$AM$451,33,0)</f>
        <v>0</v>
      </c>
      <c r="AJ74" s="975">
        <f>VLOOKUP(C74,'[8]CHẤM CÔNG '!$F$10:$AM$451,34,0)</f>
        <v>0</v>
      </c>
      <c r="AK74" s="975"/>
      <c r="AL74" s="975"/>
      <c r="AM74" s="975"/>
      <c r="AN74" s="975">
        <f>VLOOKUP(C74,'[8]CHẤM CÔNG '!$F$10:$AN$451,35,0)</f>
        <v>0</v>
      </c>
      <c r="AO74" s="975">
        <f>VLOOKUP(C74,'[8]CHẤM CÔNG '!$F$10:$AR$451,36,0)</f>
        <v>0</v>
      </c>
      <c r="AP74" s="975"/>
      <c r="AQ74" s="975"/>
      <c r="AR74" s="975"/>
      <c r="AS74" s="981"/>
      <c r="AT74" s="982">
        <f>VLOOKUP(C74,'[8]MỦ TẠP'!$D$10:$AO$450,38,0)</f>
        <v>0</v>
      </c>
    </row>
    <row r="75" spans="1:46" ht="15.75">
      <c r="A75" s="969">
        <v>19</v>
      </c>
      <c r="B75" s="958" t="str">
        <f>VLOOKUP(C75,'[8]DS CN MOI UP'!$B$10:$C$489,2,0)</f>
        <v>03287</v>
      </c>
      <c r="C75" s="970" t="s">
        <v>447</v>
      </c>
      <c r="D75" s="971" t="s">
        <v>15</v>
      </c>
      <c r="E75" s="960"/>
      <c r="F75" s="960"/>
      <c r="G75" s="960"/>
      <c r="H75" s="960"/>
      <c r="I75" s="960"/>
      <c r="J75" s="960"/>
      <c r="K75" s="960"/>
      <c r="L75" s="960"/>
      <c r="M75" s="960"/>
      <c r="N75" s="960">
        <f t="shared" si="23"/>
        <v>0</v>
      </c>
      <c r="O75" s="960">
        <f t="shared" si="24"/>
        <v>0</v>
      </c>
      <c r="P75" s="960">
        <f t="shared" si="25"/>
        <v>0</v>
      </c>
      <c r="Q75" s="960">
        <f t="shared" si="26"/>
        <v>0</v>
      </c>
      <c r="R75" s="960">
        <f t="shared" si="27"/>
        <v>0</v>
      </c>
      <c r="S75" s="960">
        <f t="shared" si="28"/>
        <v>0</v>
      </c>
      <c r="T75" s="960">
        <f t="shared" si="29"/>
        <v>0</v>
      </c>
      <c r="U75" s="960">
        <f t="shared" si="30"/>
        <v>0</v>
      </c>
      <c r="V75" s="960">
        <f t="shared" si="31"/>
        <v>0</v>
      </c>
      <c r="W75" s="960"/>
      <c r="X75" s="960"/>
      <c r="Y75" s="960"/>
      <c r="Z75" s="960"/>
      <c r="AA75" s="975">
        <f t="shared" si="32"/>
        <v>0</v>
      </c>
      <c r="AB75" s="975">
        <f>VLOOKUP(C75,'[8]MỦ TẠP'!$D$10:$AM$450,33,0)</f>
        <v>0</v>
      </c>
      <c r="AC75" s="975">
        <f>VLOOKUP(C75,'[8]MỦ TẠP'!$D$10:$AM$450,34,0)</f>
        <v>0</v>
      </c>
      <c r="AD75" s="975">
        <f>VLOOKUP(C75,'[8]MỦ TẠP'!$D$10:$AM$450,35,0)</f>
        <v>0</v>
      </c>
      <c r="AE75" s="975">
        <f t="shared" si="34"/>
        <v>0</v>
      </c>
      <c r="AF75" s="975"/>
      <c r="AG75" s="975"/>
      <c r="AH75" s="975">
        <f t="shared" si="33"/>
        <v>0</v>
      </c>
      <c r="AI75" s="975">
        <f>VLOOKUP(C75,'[8]CHẤM CÔNG '!$F$10:$AM$451,33,0)</f>
        <v>0</v>
      </c>
      <c r="AJ75" s="975">
        <f>VLOOKUP(C75,'[8]CHẤM CÔNG '!$F$10:$AM$451,34,0)</f>
        <v>0</v>
      </c>
      <c r="AK75" s="975"/>
      <c r="AL75" s="975"/>
      <c r="AM75" s="975"/>
      <c r="AN75" s="975">
        <f>VLOOKUP(C75,'[8]CHẤM CÔNG '!$F$10:$AN$451,35,0)</f>
        <v>0</v>
      </c>
      <c r="AO75" s="975">
        <f>VLOOKUP(C75,'[8]CHẤM CÔNG '!$F$10:$AR$451,36,0)</f>
        <v>0</v>
      </c>
      <c r="AP75" s="975"/>
      <c r="AQ75" s="975"/>
      <c r="AR75" s="975"/>
      <c r="AS75" s="981"/>
      <c r="AT75" s="982">
        <f>VLOOKUP(C75,'[8]MỦ TẠP'!$D$10:$AO$450,38,0)</f>
        <v>0</v>
      </c>
    </row>
    <row r="76" spans="1:46" ht="15.75">
      <c r="A76" s="969">
        <v>20</v>
      </c>
      <c r="B76" s="958" t="e">
        <f>VLOOKUP(C76,'[8]DS CN MOI UP'!$B$10:$C$489,2,0)</f>
        <v>#N/A</v>
      </c>
      <c r="C76" s="970" t="s">
        <v>2627</v>
      </c>
      <c r="D76" s="971" t="s">
        <v>15</v>
      </c>
      <c r="E76" s="960"/>
      <c r="F76" s="960"/>
      <c r="G76" s="960"/>
      <c r="H76" s="960"/>
      <c r="I76" s="960"/>
      <c r="J76" s="960"/>
      <c r="K76" s="960"/>
      <c r="L76" s="960"/>
      <c r="M76" s="960"/>
      <c r="N76" s="960">
        <f t="shared" si="23"/>
        <v>0</v>
      </c>
      <c r="O76" s="960">
        <f t="shared" si="24"/>
        <v>0</v>
      </c>
      <c r="P76" s="960">
        <f t="shared" si="25"/>
        <v>0</v>
      </c>
      <c r="Q76" s="960">
        <f t="shared" si="26"/>
        <v>0</v>
      </c>
      <c r="R76" s="960">
        <f t="shared" si="27"/>
        <v>0</v>
      </c>
      <c r="S76" s="960">
        <f t="shared" si="28"/>
        <v>0</v>
      </c>
      <c r="T76" s="960">
        <f t="shared" si="29"/>
        <v>0</v>
      </c>
      <c r="U76" s="960">
        <f t="shared" si="30"/>
        <v>0</v>
      </c>
      <c r="V76" s="960">
        <f t="shared" si="31"/>
        <v>0</v>
      </c>
      <c r="W76" s="960"/>
      <c r="X76" s="960"/>
      <c r="Y76" s="960"/>
      <c r="Z76" s="960"/>
      <c r="AA76" s="975">
        <f t="shared" si="32"/>
        <v>0</v>
      </c>
      <c r="AB76" s="975">
        <f>VLOOKUP(C76,'[8]MỦ TẠP'!$D$10:$AM$450,33,0)</f>
        <v>0</v>
      </c>
      <c r="AC76" s="975">
        <f>VLOOKUP(C76,'[8]MỦ TẠP'!$D$10:$AM$450,34,0)</f>
        <v>0</v>
      </c>
      <c r="AD76" s="975">
        <f>VLOOKUP(C76,'[8]MỦ TẠP'!$D$10:$AM$450,35,0)</f>
        <v>0</v>
      </c>
      <c r="AE76" s="975">
        <f t="shared" si="34"/>
        <v>0</v>
      </c>
      <c r="AF76" s="975"/>
      <c r="AG76" s="975"/>
      <c r="AH76" s="975">
        <f t="shared" si="33"/>
        <v>0</v>
      </c>
      <c r="AI76" s="975">
        <f>VLOOKUP(C76,'[8]CHẤM CÔNG '!$F$10:$AM$451,33,0)</f>
        <v>0</v>
      </c>
      <c r="AJ76" s="975">
        <f>VLOOKUP(C76,'[8]CHẤM CÔNG '!$F$10:$AM$451,34,0)</f>
        <v>0</v>
      </c>
      <c r="AK76" s="975"/>
      <c r="AL76" s="975"/>
      <c r="AM76" s="975"/>
      <c r="AN76" s="975">
        <f>VLOOKUP(C76,'[8]CHẤM CÔNG '!$F$10:$AN$451,35,0)</f>
        <v>0</v>
      </c>
      <c r="AO76" s="975">
        <f>VLOOKUP(C76,'[8]CHẤM CÔNG '!$F$10:$AR$451,36,0)</f>
        <v>0</v>
      </c>
      <c r="AP76" s="975"/>
      <c r="AQ76" s="975"/>
      <c r="AR76" s="975"/>
      <c r="AS76" s="981"/>
      <c r="AT76" s="982">
        <f>VLOOKUP(C76,'[8]MỦ TẠP'!$D$10:$AO$450,38,0)</f>
        <v>0</v>
      </c>
    </row>
    <row r="77" spans="1:46" ht="15.75">
      <c r="A77" s="969">
        <v>21</v>
      </c>
      <c r="B77" s="958" t="str">
        <f>VLOOKUP(C77,'[8]DS CN MOI UP'!$B$10:$C$489,2,0)</f>
        <v>03306</v>
      </c>
      <c r="C77" s="970" t="s">
        <v>470</v>
      </c>
      <c r="D77" s="971" t="s">
        <v>15</v>
      </c>
      <c r="E77" s="960"/>
      <c r="F77" s="960"/>
      <c r="G77" s="960"/>
      <c r="H77" s="960"/>
      <c r="I77" s="960"/>
      <c r="J77" s="960"/>
      <c r="K77" s="960"/>
      <c r="L77" s="960"/>
      <c r="M77" s="960"/>
      <c r="N77" s="960">
        <f t="shared" si="23"/>
        <v>0</v>
      </c>
      <c r="O77" s="960">
        <f t="shared" si="24"/>
        <v>0</v>
      </c>
      <c r="P77" s="960">
        <f t="shared" si="25"/>
        <v>0</v>
      </c>
      <c r="Q77" s="960">
        <f t="shared" si="26"/>
        <v>0</v>
      </c>
      <c r="R77" s="960">
        <f t="shared" si="27"/>
        <v>0</v>
      </c>
      <c r="S77" s="960">
        <f t="shared" si="28"/>
        <v>0</v>
      </c>
      <c r="T77" s="960">
        <f t="shared" si="29"/>
        <v>0</v>
      </c>
      <c r="U77" s="960">
        <f t="shared" si="30"/>
        <v>0</v>
      </c>
      <c r="V77" s="960">
        <f t="shared" si="31"/>
        <v>0</v>
      </c>
      <c r="W77" s="960"/>
      <c r="X77" s="960"/>
      <c r="Y77" s="960"/>
      <c r="Z77" s="960"/>
      <c r="AA77" s="975">
        <f t="shared" si="32"/>
        <v>0</v>
      </c>
      <c r="AB77" s="975">
        <f>VLOOKUP(C77,'[8]MỦ TẠP'!$D$10:$AM$450,33,0)</f>
        <v>0</v>
      </c>
      <c r="AC77" s="975">
        <f>VLOOKUP(C77,'[8]MỦ TẠP'!$D$10:$AM$450,34,0)</f>
        <v>0</v>
      </c>
      <c r="AD77" s="975">
        <f>VLOOKUP(C77,'[8]MỦ TẠP'!$D$10:$AM$450,35,0)</f>
        <v>0</v>
      </c>
      <c r="AE77" s="975">
        <f t="shared" si="34"/>
        <v>0</v>
      </c>
      <c r="AF77" s="975"/>
      <c r="AG77" s="975"/>
      <c r="AH77" s="975">
        <f t="shared" si="33"/>
        <v>0</v>
      </c>
      <c r="AI77" s="975">
        <f>VLOOKUP(C77,'[8]CHẤM CÔNG '!$F$10:$AM$451,33,0)</f>
        <v>0</v>
      </c>
      <c r="AJ77" s="975">
        <f>VLOOKUP(C77,'[8]CHẤM CÔNG '!$F$10:$AM$451,34,0)</f>
        <v>0</v>
      </c>
      <c r="AK77" s="975"/>
      <c r="AL77" s="975"/>
      <c r="AM77" s="975"/>
      <c r="AN77" s="975">
        <f>VLOOKUP(C77,'[8]CHẤM CÔNG '!$F$10:$AN$451,35,0)</f>
        <v>0</v>
      </c>
      <c r="AO77" s="975">
        <f>VLOOKUP(C77,'[8]CHẤM CÔNG '!$F$10:$AR$451,36,0)</f>
        <v>0</v>
      </c>
      <c r="AP77" s="975"/>
      <c r="AQ77" s="975"/>
      <c r="AR77" s="975"/>
      <c r="AS77" s="981"/>
      <c r="AT77" s="982">
        <f>VLOOKUP(C77,'[8]MỦ TẠP'!$D$10:$AO$450,38,0)</f>
        <v>0</v>
      </c>
    </row>
    <row r="78" spans="1:46" ht="15.75">
      <c r="A78" s="969">
        <v>22</v>
      </c>
      <c r="B78" s="958" t="e">
        <f>VLOOKUP(C78,'[8]DS CN MOI UP'!$B$10:$C$489,2,0)</f>
        <v>#N/A</v>
      </c>
      <c r="C78" s="970" t="s">
        <v>2628</v>
      </c>
      <c r="D78" s="971" t="s">
        <v>15</v>
      </c>
      <c r="E78" s="960"/>
      <c r="F78" s="960"/>
      <c r="G78" s="960"/>
      <c r="H78" s="960"/>
      <c r="I78" s="960"/>
      <c r="J78" s="960"/>
      <c r="K78" s="960"/>
      <c r="L78" s="960"/>
      <c r="M78" s="960"/>
      <c r="N78" s="960">
        <f t="shared" si="23"/>
        <v>0</v>
      </c>
      <c r="O78" s="960">
        <f t="shared" si="24"/>
        <v>0</v>
      </c>
      <c r="P78" s="960">
        <f t="shared" si="25"/>
        <v>0</v>
      </c>
      <c r="Q78" s="960">
        <f t="shared" si="26"/>
        <v>0</v>
      </c>
      <c r="R78" s="960">
        <f t="shared" si="27"/>
        <v>0</v>
      </c>
      <c r="S78" s="960">
        <f t="shared" si="28"/>
        <v>0</v>
      </c>
      <c r="T78" s="960">
        <f t="shared" si="29"/>
        <v>0</v>
      </c>
      <c r="U78" s="960">
        <f t="shared" si="30"/>
        <v>0</v>
      </c>
      <c r="V78" s="960">
        <f t="shared" si="31"/>
        <v>0</v>
      </c>
      <c r="W78" s="960"/>
      <c r="X78" s="960"/>
      <c r="Y78" s="960"/>
      <c r="Z78" s="960"/>
      <c r="AA78" s="975">
        <f t="shared" si="32"/>
        <v>0</v>
      </c>
      <c r="AB78" s="975">
        <f>VLOOKUP(C78,'[8]MỦ TẠP'!$D$10:$AM$450,33,0)</f>
        <v>0</v>
      </c>
      <c r="AC78" s="975">
        <f>VLOOKUP(C78,'[8]MỦ TẠP'!$D$10:$AM$450,34,0)</f>
        <v>0</v>
      </c>
      <c r="AD78" s="975">
        <f>VLOOKUP(C78,'[8]MỦ TẠP'!$D$10:$AM$450,35,0)</f>
        <v>0</v>
      </c>
      <c r="AE78" s="975">
        <f t="shared" si="34"/>
        <v>0</v>
      </c>
      <c r="AF78" s="975"/>
      <c r="AG78" s="975"/>
      <c r="AH78" s="975">
        <f t="shared" si="33"/>
        <v>0</v>
      </c>
      <c r="AI78" s="975">
        <f>VLOOKUP(C78,'[8]CHẤM CÔNG '!$F$10:$AM$451,33,0)</f>
        <v>0</v>
      </c>
      <c r="AJ78" s="975">
        <f>VLOOKUP(C78,'[8]CHẤM CÔNG '!$F$10:$AM$451,34,0)</f>
        <v>0</v>
      </c>
      <c r="AK78" s="975"/>
      <c r="AL78" s="975"/>
      <c r="AM78" s="975"/>
      <c r="AN78" s="975">
        <f>VLOOKUP(C78,'[8]CHẤM CÔNG '!$F$10:$AN$451,35,0)</f>
        <v>0</v>
      </c>
      <c r="AO78" s="975">
        <f>VLOOKUP(C78,'[8]CHẤM CÔNG '!$F$10:$AR$451,36,0)</f>
        <v>0</v>
      </c>
      <c r="AP78" s="975"/>
      <c r="AQ78" s="975"/>
      <c r="AR78" s="975"/>
      <c r="AS78" s="981"/>
      <c r="AT78" s="982">
        <f>VLOOKUP(C78,'[8]MỦ TẠP'!$D$10:$AO$450,38,0)</f>
        <v>0</v>
      </c>
    </row>
    <row r="79" spans="1:46" ht="15.75">
      <c r="A79" s="969">
        <v>23</v>
      </c>
      <c r="B79" s="958" t="str">
        <f>VLOOKUP(C79,'[8]DS CN MOI UP'!$B$10:$C$489,2,0)</f>
        <v>03289</v>
      </c>
      <c r="C79" s="970" t="s">
        <v>451</v>
      </c>
      <c r="D79" s="971" t="s">
        <v>15</v>
      </c>
      <c r="E79" s="960"/>
      <c r="F79" s="960"/>
      <c r="G79" s="960"/>
      <c r="H79" s="960"/>
      <c r="I79" s="960"/>
      <c r="J79" s="960"/>
      <c r="K79" s="960"/>
      <c r="L79" s="960"/>
      <c r="M79" s="960"/>
      <c r="N79" s="960">
        <f t="shared" si="23"/>
        <v>0</v>
      </c>
      <c r="O79" s="960">
        <f t="shared" si="24"/>
        <v>0</v>
      </c>
      <c r="P79" s="960">
        <f t="shared" si="25"/>
        <v>0</v>
      </c>
      <c r="Q79" s="960">
        <f t="shared" si="26"/>
        <v>0</v>
      </c>
      <c r="R79" s="960">
        <f t="shared" si="27"/>
        <v>0</v>
      </c>
      <c r="S79" s="960">
        <f t="shared" si="28"/>
        <v>0</v>
      </c>
      <c r="T79" s="960">
        <f t="shared" si="29"/>
        <v>0</v>
      </c>
      <c r="U79" s="960">
        <f t="shared" si="30"/>
        <v>0</v>
      </c>
      <c r="V79" s="960">
        <f t="shared" si="31"/>
        <v>0</v>
      </c>
      <c r="W79" s="960"/>
      <c r="X79" s="960"/>
      <c r="Y79" s="960"/>
      <c r="Z79" s="960"/>
      <c r="AA79" s="975">
        <f t="shared" si="32"/>
        <v>0</v>
      </c>
      <c r="AB79" s="975">
        <f>VLOOKUP(C79,'[8]MỦ TẠP'!$D$10:$AM$450,33,0)</f>
        <v>0</v>
      </c>
      <c r="AC79" s="975">
        <f>VLOOKUP(C79,'[8]MỦ TẠP'!$D$10:$AM$450,34,0)</f>
        <v>0</v>
      </c>
      <c r="AD79" s="975">
        <f>VLOOKUP(C79,'[8]MỦ TẠP'!$D$10:$AM$450,35,0)</f>
        <v>0</v>
      </c>
      <c r="AE79" s="975">
        <f t="shared" si="34"/>
        <v>0</v>
      </c>
      <c r="AF79" s="975"/>
      <c r="AG79" s="975"/>
      <c r="AH79" s="975">
        <f t="shared" si="33"/>
        <v>0</v>
      </c>
      <c r="AI79" s="975">
        <f>VLOOKUP(C79,'[8]CHẤM CÔNG '!$F$10:$AM$451,33,0)</f>
        <v>0</v>
      </c>
      <c r="AJ79" s="975">
        <f>VLOOKUP(C79,'[8]CHẤM CÔNG '!$F$10:$AM$451,34,0)</f>
        <v>0</v>
      </c>
      <c r="AK79" s="975"/>
      <c r="AL79" s="975"/>
      <c r="AM79" s="975"/>
      <c r="AN79" s="975">
        <f>VLOOKUP(C79,'[8]CHẤM CÔNG '!$F$10:$AN$451,35,0)</f>
        <v>0</v>
      </c>
      <c r="AO79" s="975">
        <f>VLOOKUP(C79,'[8]CHẤM CÔNG '!$F$10:$AR$451,36,0)</f>
        <v>0</v>
      </c>
      <c r="AP79" s="975"/>
      <c r="AQ79" s="975"/>
      <c r="AR79" s="975"/>
      <c r="AS79" s="981"/>
      <c r="AT79" s="982">
        <f>VLOOKUP(C79,'[8]MỦ TẠP'!$D$10:$AO$450,38,0)</f>
        <v>0</v>
      </c>
    </row>
    <row r="80" spans="1:46" ht="15.75">
      <c r="A80" s="969">
        <v>24</v>
      </c>
      <c r="B80" s="958" t="str">
        <f>VLOOKUP(C80,'[8]DS CN MOI UP'!$B$10:$C$489,2,0)</f>
        <v>03290</v>
      </c>
      <c r="C80" s="970" t="s">
        <v>452</v>
      </c>
      <c r="D80" s="971" t="s">
        <v>15</v>
      </c>
      <c r="E80" s="960"/>
      <c r="F80" s="960"/>
      <c r="G80" s="960"/>
      <c r="H80" s="960"/>
      <c r="I80" s="960"/>
      <c r="J80" s="960"/>
      <c r="K80" s="960"/>
      <c r="L80" s="960"/>
      <c r="M80" s="960"/>
      <c r="N80" s="960">
        <f t="shared" si="23"/>
        <v>0</v>
      </c>
      <c r="O80" s="960">
        <f t="shared" si="24"/>
        <v>0</v>
      </c>
      <c r="P80" s="960">
        <f t="shared" si="25"/>
        <v>0</v>
      </c>
      <c r="Q80" s="960">
        <f t="shared" si="26"/>
        <v>0</v>
      </c>
      <c r="R80" s="960">
        <f t="shared" si="27"/>
        <v>0</v>
      </c>
      <c r="S80" s="960">
        <f t="shared" si="28"/>
        <v>0</v>
      </c>
      <c r="T80" s="960">
        <f t="shared" si="29"/>
        <v>0</v>
      </c>
      <c r="U80" s="960">
        <f t="shared" si="30"/>
        <v>0</v>
      </c>
      <c r="V80" s="960">
        <f t="shared" si="31"/>
        <v>0</v>
      </c>
      <c r="W80" s="960"/>
      <c r="X80" s="960"/>
      <c r="Y80" s="960"/>
      <c r="Z80" s="960"/>
      <c r="AA80" s="975">
        <f t="shared" si="32"/>
        <v>0</v>
      </c>
      <c r="AB80" s="975">
        <f>VLOOKUP(C80,'[8]MỦ TẠP'!$D$10:$AM$450,33,0)</f>
        <v>0</v>
      </c>
      <c r="AC80" s="975">
        <f>VLOOKUP(C80,'[8]MỦ TẠP'!$D$10:$AM$450,34,0)</f>
        <v>0</v>
      </c>
      <c r="AD80" s="975">
        <f>VLOOKUP(C80,'[8]MỦ TẠP'!$D$10:$AM$450,35,0)</f>
        <v>0</v>
      </c>
      <c r="AE80" s="975">
        <f t="shared" si="34"/>
        <v>0</v>
      </c>
      <c r="AF80" s="975"/>
      <c r="AG80" s="975"/>
      <c r="AH80" s="975">
        <f t="shared" si="33"/>
        <v>0</v>
      </c>
      <c r="AI80" s="975">
        <f>VLOOKUP(C80,'[8]CHẤM CÔNG '!$F$10:$AM$451,33,0)</f>
        <v>0</v>
      </c>
      <c r="AJ80" s="975">
        <f>VLOOKUP(C80,'[8]CHẤM CÔNG '!$F$10:$AM$451,34,0)</f>
        <v>0</v>
      </c>
      <c r="AK80" s="975"/>
      <c r="AL80" s="975"/>
      <c r="AM80" s="975"/>
      <c r="AN80" s="975">
        <f>VLOOKUP(C80,'[8]CHẤM CÔNG '!$F$10:$AN$451,35,0)</f>
        <v>0</v>
      </c>
      <c r="AO80" s="975">
        <f>VLOOKUP(C80,'[8]CHẤM CÔNG '!$F$10:$AR$451,36,0)</f>
        <v>0</v>
      </c>
      <c r="AP80" s="975"/>
      <c r="AQ80" s="975"/>
      <c r="AR80" s="975"/>
      <c r="AS80" s="981"/>
      <c r="AT80" s="982">
        <f>VLOOKUP(C80,'[8]MỦ TẠP'!$D$10:$AO$450,38,0)</f>
        <v>0</v>
      </c>
    </row>
    <row r="81" spans="1:46" ht="15.75">
      <c r="A81" s="969">
        <v>25</v>
      </c>
      <c r="B81" s="958" t="str">
        <f>VLOOKUP(C81,'[8]DS CN MOI UP'!$B$10:$C$489,2,0)</f>
        <v>02671</v>
      </c>
      <c r="C81" s="970" t="s">
        <v>453</v>
      </c>
      <c r="D81" s="971" t="s">
        <v>15</v>
      </c>
      <c r="E81" s="960"/>
      <c r="F81" s="960"/>
      <c r="G81" s="960"/>
      <c r="H81" s="960"/>
      <c r="I81" s="960"/>
      <c r="J81" s="960"/>
      <c r="K81" s="960"/>
      <c r="L81" s="960"/>
      <c r="M81" s="960"/>
      <c r="N81" s="960">
        <f t="shared" si="23"/>
        <v>0</v>
      </c>
      <c r="O81" s="960">
        <f t="shared" si="24"/>
        <v>0</v>
      </c>
      <c r="P81" s="960">
        <f t="shared" si="25"/>
        <v>0</v>
      </c>
      <c r="Q81" s="960">
        <f t="shared" si="26"/>
        <v>0</v>
      </c>
      <c r="R81" s="960">
        <f t="shared" si="27"/>
        <v>0</v>
      </c>
      <c r="S81" s="960">
        <f t="shared" si="28"/>
        <v>0</v>
      </c>
      <c r="T81" s="960">
        <f t="shared" si="29"/>
        <v>0</v>
      </c>
      <c r="U81" s="960">
        <f t="shared" si="30"/>
        <v>0</v>
      </c>
      <c r="V81" s="960">
        <f t="shared" si="31"/>
        <v>0</v>
      </c>
      <c r="W81" s="960"/>
      <c r="X81" s="960"/>
      <c r="Y81" s="960"/>
      <c r="Z81" s="960"/>
      <c r="AA81" s="975">
        <f t="shared" si="32"/>
        <v>0</v>
      </c>
      <c r="AB81" s="975">
        <f>VLOOKUP(C81,'[8]MỦ TẠP'!$D$10:$AM$450,33,0)</f>
        <v>0</v>
      </c>
      <c r="AC81" s="975">
        <f>VLOOKUP(C81,'[8]MỦ TẠP'!$D$10:$AM$450,34,0)</f>
        <v>0</v>
      </c>
      <c r="AD81" s="975">
        <f>VLOOKUP(C81,'[8]MỦ TẠP'!$D$10:$AM$450,35,0)</f>
        <v>0</v>
      </c>
      <c r="AE81" s="975">
        <f t="shared" si="34"/>
        <v>0</v>
      </c>
      <c r="AF81" s="975"/>
      <c r="AG81" s="975"/>
      <c r="AH81" s="975">
        <f t="shared" si="33"/>
        <v>0</v>
      </c>
      <c r="AI81" s="975">
        <f>VLOOKUP(C81,'[8]CHẤM CÔNG '!$F$10:$AM$451,33,0)</f>
        <v>0</v>
      </c>
      <c r="AJ81" s="975">
        <f>VLOOKUP(C81,'[8]CHẤM CÔNG '!$F$10:$AM$451,34,0)</f>
        <v>0</v>
      </c>
      <c r="AK81" s="975"/>
      <c r="AL81" s="975"/>
      <c r="AM81" s="975"/>
      <c r="AN81" s="975">
        <f>VLOOKUP(C81,'[8]CHẤM CÔNG '!$F$10:$AN$451,35,0)</f>
        <v>0</v>
      </c>
      <c r="AO81" s="975">
        <f>VLOOKUP(C81,'[8]CHẤM CÔNG '!$F$10:$AR$451,36,0)</f>
        <v>0</v>
      </c>
      <c r="AP81" s="975"/>
      <c r="AQ81" s="975"/>
      <c r="AR81" s="975"/>
      <c r="AS81" s="981"/>
      <c r="AT81" s="982">
        <f>VLOOKUP(C81,'[8]MỦ TẠP'!$D$10:$AO$450,38,0)</f>
        <v>0</v>
      </c>
    </row>
    <row r="82" spans="1:46" ht="15.75">
      <c r="A82" s="969">
        <v>26</v>
      </c>
      <c r="B82" s="958" t="str">
        <f>VLOOKUP(C82,'[8]DS CN MOI UP'!$B$10:$C$489,2,0)</f>
        <v>03291</v>
      </c>
      <c r="C82" s="970" t="s">
        <v>454</v>
      </c>
      <c r="D82" s="971" t="s">
        <v>15</v>
      </c>
      <c r="E82" s="960"/>
      <c r="F82" s="960"/>
      <c r="G82" s="960"/>
      <c r="H82" s="960"/>
      <c r="I82" s="960"/>
      <c r="J82" s="960"/>
      <c r="K82" s="960"/>
      <c r="L82" s="960"/>
      <c r="M82" s="960"/>
      <c r="N82" s="960">
        <f t="shared" si="23"/>
        <v>0</v>
      </c>
      <c r="O82" s="960">
        <f t="shared" si="24"/>
        <v>0</v>
      </c>
      <c r="P82" s="960">
        <f t="shared" si="25"/>
        <v>0</v>
      </c>
      <c r="Q82" s="960">
        <f t="shared" si="26"/>
        <v>0</v>
      </c>
      <c r="R82" s="960">
        <f t="shared" si="27"/>
        <v>0</v>
      </c>
      <c r="S82" s="960">
        <f t="shared" si="28"/>
        <v>0</v>
      </c>
      <c r="T82" s="960">
        <f t="shared" si="29"/>
        <v>0</v>
      </c>
      <c r="U82" s="960">
        <f t="shared" si="30"/>
        <v>0</v>
      </c>
      <c r="V82" s="960">
        <f t="shared" si="31"/>
        <v>0</v>
      </c>
      <c r="W82" s="960"/>
      <c r="X82" s="960"/>
      <c r="Y82" s="960"/>
      <c r="Z82" s="960"/>
      <c r="AA82" s="975">
        <f t="shared" si="32"/>
        <v>0</v>
      </c>
      <c r="AB82" s="975">
        <f>VLOOKUP(C82,'[8]MỦ TẠP'!$D$10:$AM$450,33,0)</f>
        <v>0</v>
      </c>
      <c r="AC82" s="975">
        <f>VLOOKUP(C82,'[8]MỦ TẠP'!$D$10:$AM$450,34,0)</f>
        <v>0</v>
      </c>
      <c r="AD82" s="975">
        <f>VLOOKUP(C82,'[8]MỦ TẠP'!$D$10:$AM$450,35,0)</f>
        <v>0</v>
      </c>
      <c r="AE82" s="975">
        <f t="shared" si="34"/>
        <v>0</v>
      </c>
      <c r="AF82" s="975"/>
      <c r="AG82" s="975"/>
      <c r="AH82" s="975">
        <f t="shared" si="33"/>
        <v>0</v>
      </c>
      <c r="AI82" s="975">
        <f>VLOOKUP(C82,'[8]CHẤM CÔNG '!$F$10:$AM$451,33,0)</f>
        <v>0</v>
      </c>
      <c r="AJ82" s="975">
        <f>VLOOKUP(C82,'[8]CHẤM CÔNG '!$F$10:$AM$451,34,0)</f>
        <v>0</v>
      </c>
      <c r="AK82" s="975"/>
      <c r="AL82" s="975"/>
      <c r="AM82" s="975"/>
      <c r="AN82" s="975">
        <f>VLOOKUP(C82,'[8]CHẤM CÔNG '!$F$10:$AN$451,35,0)</f>
        <v>0</v>
      </c>
      <c r="AO82" s="975">
        <f>VLOOKUP(C82,'[8]CHẤM CÔNG '!$F$10:$AR$451,36,0)</f>
        <v>0</v>
      </c>
      <c r="AP82" s="975"/>
      <c r="AQ82" s="975"/>
      <c r="AR82" s="975"/>
      <c r="AS82" s="981"/>
      <c r="AT82" s="982">
        <f>VLOOKUP(C82,'[8]MỦ TẠP'!$D$10:$AO$450,38,0)</f>
        <v>0</v>
      </c>
    </row>
    <row r="83" spans="1:46" ht="15.75">
      <c r="A83" s="969">
        <v>27</v>
      </c>
      <c r="B83" s="958" t="e">
        <f>VLOOKUP(C83,'[8]DS CN MOI UP'!$B$10:$C$489,2,0)</f>
        <v>#N/A</v>
      </c>
      <c r="C83" s="970" t="s">
        <v>911</v>
      </c>
      <c r="D83" s="971" t="s">
        <v>15</v>
      </c>
      <c r="E83" s="960"/>
      <c r="F83" s="960"/>
      <c r="G83" s="960"/>
      <c r="H83" s="960"/>
      <c r="I83" s="960"/>
      <c r="J83" s="960"/>
      <c r="K83" s="960"/>
      <c r="L83" s="960"/>
      <c r="M83" s="960"/>
      <c r="N83" s="960">
        <f t="shared" si="23"/>
        <v>0</v>
      </c>
      <c r="O83" s="960">
        <f t="shared" si="24"/>
        <v>0</v>
      </c>
      <c r="P83" s="960">
        <f t="shared" si="25"/>
        <v>0</v>
      </c>
      <c r="Q83" s="960">
        <f t="shared" si="26"/>
        <v>0</v>
      </c>
      <c r="R83" s="960">
        <f t="shared" si="27"/>
        <v>0</v>
      </c>
      <c r="S83" s="960">
        <f t="shared" si="28"/>
        <v>0</v>
      </c>
      <c r="T83" s="960">
        <f t="shared" si="29"/>
        <v>0</v>
      </c>
      <c r="U83" s="960">
        <f t="shared" si="30"/>
        <v>0</v>
      </c>
      <c r="V83" s="960">
        <f t="shared" si="31"/>
        <v>0</v>
      </c>
      <c r="W83" s="960"/>
      <c r="X83" s="960"/>
      <c r="Y83" s="960"/>
      <c r="Z83" s="960"/>
      <c r="AA83" s="975">
        <f t="shared" si="32"/>
        <v>0</v>
      </c>
      <c r="AB83" s="975">
        <f>VLOOKUP(C83,'[8]MỦ TẠP'!$D$10:$AM$450,33,0)</f>
        <v>0</v>
      </c>
      <c r="AC83" s="975">
        <f>VLOOKUP(C83,'[8]MỦ TẠP'!$D$10:$AM$450,34,0)</f>
        <v>0</v>
      </c>
      <c r="AD83" s="975">
        <f>VLOOKUP(C83,'[8]MỦ TẠP'!$D$10:$AM$450,35,0)</f>
        <v>0</v>
      </c>
      <c r="AE83" s="975">
        <f t="shared" si="34"/>
        <v>0</v>
      </c>
      <c r="AF83" s="975"/>
      <c r="AG83" s="975"/>
      <c r="AH83" s="975">
        <f t="shared" si="33"/>
        <v>0</v>
      </c>
      <c r="AI83" s="975">
        <f>VLOOKUP(C83,'[8]CHẤM CÔNG '!$F$10:$AM$451,33,0)</f>
        <v>0</v>
      </c>
      <c r="AJ83" s="975">
        <f>VLOOKUP(C83,'[8]CHẤM CÔNG '!$F$10:$AM$451,34,0)</f>
        <v>0</v>
      </c>
      <c r="AK83" s="975"/>
      <c r="AL83" s="975"/>
      <c r="AM83" s="975"/>
      <c r="AN83" s="975">
        <f>VLOOKUP(C83,'[8]CHẤM CÔNG '!$F$10:$AN$451,35,0)</f>
        <v>0</v>
      </c>
      <c r="AO83" s="975">
        <f>VLOOKUP(C83,'[8]CHẤM CÔNG '!$F$10:$AR$451,36,0)</f>
        <v>0</v>
      </c>
      <c r="AP83" s="975"/>
      <c r="AQ83" s="975"/>
      <c r="AR83" s="975"/>
      <c r="AS83" s="981"/>
      <c r="AT83" s="982">
        <f>VLOOKUP(C83,'[8]MỦ TẠP'!$D$10:$AO$450,38,0)</f>
        <v>0</v>
      </c>
    </row>
    <row r="84" spans="1:46" ht="15.75">
      <c r="A84" s="969">
        <v>28</v>
      </c>
      <c r="B84" s="958" t="e">
        <f>VLOOKUP(C84,'[8]DS CN MOI UP'!$B$10:$C$489,2,0)</f>
        <v>#N/A</v>
      </c>
      <c r="C84" s="970" t="s">
        <v>2629</v>
      </c>
      <c r="D84" s="971" t="s">
        <v>15</v>
      </c>
      <c r="E84" s="960"/>
      <c r="F84" s="960"/>
      <c r="G84" s="960"/>
      <c r="H84" s="960"/>
      <c r="I84" s="960"/>
      <c r="J84" s="960"/>
      <c r="K84" s="960"/>
      <c r="L84" s="960"/>
      <c r="M84" s="960"/>
      <c r="N84" s="960">
        <f t="shared" si="23"/>
        <v>0</v>
      </c>
      <c r="O84" s="960">
        <f t="shared" si="24"/>
        <v>0</v>
      </c>
      <c r="P84" s="960">
        <f t="shared" si="25"/>
        <v>0</v>
      </c>
      <c r="Q84" s="960">
        <f t="shared" si="26"/>
        <v>0</v>
      </c>
      <c r="R84" s="960">
        <f t="shared" si="27"/>
        <v>0</v>
      </c>
      <c r="S84" s="960">
        <f t="shared" si="28"/>
        <v>0</v>
      </c>
      <c r="T84" s="960">
        <f t="shared" si="29"/>
        <v>0</v>
      </c>
      <c r="U84" s="960">
        <f t="shared" si="30"/>
        <v>0</v>
      </c>
      <c r="V84" s="960">
        <f t="shared" si="31"/>
        <v>0</v>
      </c>
      <c r="W84" s="960"/>
      <c r="X84" s="960"/>
      <c r="Y84" s="960"/>
      <c r="Z84" s="960"/>
      <c r="AA84" s="975">
        <f t="shared" si="32"/>
        <v>0</v>
      </c>
      <c r="AB84" s="975">
        <f>VLOOKUP(C84,'[8]MỦ TẠP'!$D$10:$AM$450,33,0)</f>
        <v>0</v>
      </c>
      <c r="AC84" s="975">
        <f>VLOOKUP(C84,'[8]MỦ TẠP'!$D$10:$AM$450,34,0)</f>
        <v>0</v>
      </c>
      <c r="AD84" s="975">
        <f>VLOOKUP(C84,'[8]MỦ TẠP'!$D$10:$AM$450,35,0)</f>
        <v>0</v>
      </c>
      <c r="AE84" s="975">
        <f t="shared" si="34"/>
        <v>0</v>
      </c>
      <c r="AF84" s="975"/>
      <c r="AG84" s="975"/>
      <c r="AH84" s="975">
        <f t="shared" si="33"/>
        <v>0</v>
      </c>
      <c r="AI84" s="975">
        <f>VLOOKUP(C84,'[8]CHẤM CÔNG '!$F$10:$AM$451,33,0)</f>
        <v>0</v>
      </c>
      <c r="AJ84" s="975">
        <f>VLOOKUP(C84,'[8]CHẤM CÔNG '!$F$10:$AM$451,34,0)</f>
        <v>0</v>
      </c>
      <c r="AK84" s="975"/>
      <c r="AL84" s="975"/>
      <c r="AM84" s="975"/>
      <c r="AN84" s="975">
        <f>VLOOKUP(C84,'[8]CHẤM CÔNG '!$F$10:$AN$451,35,0)</f>
        <v>0</v>
      </c>
      <c r="AO84" s="975">
        <f>VLOOKUP(C84,'[8]CHẤM CÔNG '!$F$10:$AR$451,36,0)</f>
        <v>0</v>
      </c>
      <c r="AP84" s="975"/>
      <c r="AQ84" s="975"/>
      <c r="AR84" s="975"/>
      <c r="AS84" s="981"/>
      <c r="AT84" s="982">
        <f>VLOOKUP(C84,'[8]MỦ TẠP'!$D$10:$AO$450,38,0)</f>
        <v>0</v>
      </c>
    </row>
    <row r="85" spans="1:46" ht="15.75">
      <c r="A85" s="969">
        <v>29</v>
      </c>
      <c r="B85" s="958" t="str">
        <f>VLOOKUP(C85,'[8]DS CN MOI UP'!$B$10:$C$489,2,0)</f>
        <v>03294</v>
      </c>
      <c r="C85" s="970" t="s">
        <v>457</v>
      </c>
      <c r="D85" s="971" t="s">
        <v>15</v>
      </c>
      <c r="E85" s="960"/>
      <c r="F85" s="960"/>
      <c r="G85" s="960"/>
      <c r="H85" s="960"/>
      <c r="I85" s="960"/>
      <c r="J85" s="960"/>
      <c r="K85" s="960"/>
      <c r="L85" s="960"/>
      <c r="M85" s="960"/>
      <c r="N85" s="960">
        <f t="shared" si="23"/>
        <v>0</v>
      </c>
      <c r="O85" s="960">
        <f t="shared" si="24"/>
        <v>0</v>
      </c>
      <c r="P85" s="960">
        <f t="shared" si="25"/>
        <v>0</v>
      </c>
      <c r="Q85" s="960">
        <f t="shared" si="26"/>
        <v>0</v>
      </c>
      <c r="R85" s="960">
        <f t="shared" si="27"/>
        <v>0</v>
      </c>
      <c r="S85" s="960">
        <f t="shared" si="28"/>
        <v>0</v>
      </c>
      <c r="T85" s="960">
        <f t="shared" si="29"/>
        <v>0</v>
      </c>
      <c r="U85" s="960">
        <f t="shared" si="30"/>
        <v>0</v>
      </c>
      <c r="V85" s="960">
        <f t="shared" si="31"/>
        <v>0</v>
      </c>
      <c r="W85" s="960"/>
      <c r="X85" s="960"/>
      <c r="Y85" s="960"/>
      <c r="Z85" s="960"/>
      <c r="AA85" s="975">
        <f t="shared" si="32"/>
        <v>0</v>
      </c>
      <c r="AB85" s="975">
        <f>VLOOKUP(C85,'[8]MỦ TẠP'!$D$10:$AM$450,33,0)</f>
        <v>0</v>
      </c>
      <c r="AC85" s="975">
        <f>VLOOKUP(C85,'[8]MỦ TẠP'!$D$10:$AM$450,34,0)</f>
        <v>0</v>
      </c>
      <c r="AD85" s="975">
        <f>VLOOKUP(C85,'[8]MỦ TẠP'!$D$10:$AM$450,35,0)</f>
        <v>0</v>
      </c>
      <c r="AE85" s="975">
        <f t="shared" si="34"/>
        <v>0</v>
      </c>
      <c r="AF85" s="975"/>
      <c r="AG85" s="975"/>
      <c r="AH85" s="975">
        <f t="shared" si="33"/>
        <v>0</v>
      </c>
      <c r="AI85" s="975">
        <f>VLOOKUP(C85,'[8]CHẤM CÔNG '!$F$10:$AM$451,33,0)</f>
        <v>0</v>
      </c>
      <c r="AJ85" s="975">
        <f>VLOOKUP(C85,'[8]CHẤM CÔNG '!$F$10:$AM$451,34,0)</f>
        <v>0</v>
      </c>
      <c r="AK85" s="975"/>
      <c r="AL85" s="975"/>
      <c r="AM85" s="975"/>
      <c r="AN85" s="975">
        <f>VLOOKUP(C85,'[8]CHẤM CÔNG '!$F$10:$AN$451,35,0)</f>
        <v>0</v>
      </c>
      <c r="AO85" s="975">
        <f>VLOOKUP(C85,'[8]CHẤM CÔNG '!$F$10:$AR$451,36,0)</f>
        <v>0</v>
      </c>
      <c r="AP85" s="975"/>
      <c r="AQ85" s="975"/>
      <c r="AR85" s="975"/>
      <c r="AS85" s="981"/>
      <c r="AT85" s="982">
        <f>VLOOKUP(C85,'[8]MỦ TẠP'!$D$10:$AO$450,38,0)</f>
        <v>0</v>
      </c>
    </row>
    <row r="86" spans="1:46" ht="15.75">
      <c r="A86" s="969">
        <v>30</v>
      </c>
      <c r="B86" s="958" t="str">
        <f>VLOOKUP(C86,'[8]DS CN MOI UP'!$B$10:$C$489,2,0)</f>
        <v>03304</v>
      </c>
      <c r="C86" s="970" t="s">
        <v>467</v>
      </c>
      <c r="D86" s="971" t="s">
        <v>15</v>
      </c>
      <c r="E86" s="960"/>
      <c r="F86" s="960"/>
      <c r="G86" s="960"/>
      <c r="H86" s="960"/>
      <c r="I86" s="960"/>
      <c r="J86" s="960"/>
      <c r="K86" s="960"/>
      <c r="L86" s="960"/>
      <c r="M86" s="960"/>
      <c r="N86" s="960">
        <f t="shared" si="23"/>
        <v>0</v>
      </c>
      <c r="O86" s="960">
        <f t="shared" si="24"/>
        <v>0</v>
      </c>
      <c r="P86" s="960">
        <f t="shared" si="25"/>
        <v>0</v>
      </c>
      <c r="Q86" s="960">
        <f t="shared" si="26"/>
        <v>0</v>
      </c>
      <c r="R86" s="960">
        <f t="shared" si="27"/>
        <v>0</v>
      </c>
      <c r="S86" s="960">
        <f t="shared" si="28"/>
        <v>0</v>
      </c>
      <c r="T86" s="960">
        <f t="shared" si="29"/>
        <v>0</v>
      </c>
      <c r="U86" s="960">
        <f t="shared" si="30"/>
        <v>0</v>
      </c>
      <c r="V86" s="960">
        <f t="shared" si="31"/>
        <v>0</v>
      </c>
      <c r="W86" s="960"/>
      <c r="X86" s="960"/>
      <c r="Y86" s="960"/>
      <c r="Z86" s="960"/>
      <c r="AA86" s="975">
        <f t="shared" si="32"/>
        <v>0</v>
      </c>
      <c r="AB86" s="975">
        <f>VLOOKUP(C86,'[8]MỦ TẠP'!$D$10:$AM$450,33,0)</f>
        <v>0</v>
      </c>
      <c r="AC86" s="975">
        <f>VLOOKUP(C86,'[8]MỦ TẠP'!$D$10:$AM$450,34,0)</f>
        <v>0</v>
      </c>
      <c r="AD86" s="975">
        <f>VLOOKUP(C86,'[8]MỦ TẠP'!$D$10:$AM$450,35,0)</f>
        <v>0</v>
      </c>
      <c r="AE86" s="975">
        <f t="shared" si="34"/>
        <v>0</v>
      </c>
      <c r="AF86" s="975"/>
      <c r="AG86" s="975"/>
      <c r="AH86" s="975">
        <f t="shared" si="33"/>
        <v>0</v>
      </c>
      <c r="AI86" s="975">
        <f>VLOOKUP(C86,'[8]CHẤM CÔNG '!$F$10:$AM$451,33,0)</f>
        <v>0</v>
      </c>
      <c r="AJ86" s="975">
        <f>VLOOKUP(C86,'[8]CHẤM CÔNG '!$F$10:$AM$451,34,0)</f>
        <v>0</v>
      </c>
      <c r="AK86" s="975"/>
      <c r="AL86" s="975"/>
      <c r="AM86" s="975"/>
      <c r="AN86" s="975">
        <f>VLOOKUP(C86,'[8]CHẤM CÔNG '!$F$10:$AN$451,35,0)</f>
        <v>0</v>
      </c>
      <c r="AO86" s="975">
        <f>VLOOKUP(C86,'[8]CHẤM CÔNG '!$F$10:$AR$451,36,0)</f>
        <v>0</v>
      </c>
      <c r="AP86" s="975"/>
      <c r="AQ86" s="975"/>
      <c r="AR86" s="975"/>
      <c r="AS86" s="981"/>
      <c r="AT86" s="982">
        <f>VLOOKUP(C86,'[8]MỦ TẠP'!$D$10:$AO$450,38,0)</f>
        <v>0</v>
      </c>
    </row>
    <row r="87" spans="1:46" ht="15.75">
      <c r="A87" s="969">
        <v>31</v>
      </c>
      <c r="B87" s="958" t="str">
        <f>VLOOKUP(C87,'[8]DS CN MOI UP'!$B$10:$C$489,2,0)</f>
        <v>03296</v>
      </c>
      <c r="C87" s="970" t="s">
        <v>459</v>
      </c>
      <c r="D87" s="971" t="s">
        <v>15</v>
      </c>
      <c r="E87" s="960"/>
      <c r="F87" s="960"/>
      <c r="G87" s="960"/>
      <c r="H87" s="960"/>
      <c r="I87" s="960"/>
      <c r="J87" s="960"/>
      <c r="K87" s="960"/>
      <c r="L87" s="960"/>
      <c r="M87" s="960"/>
      <c r="N87" s="960">
        <f t="shared" si="23"/>
        <v>0</v>
      </c>
      <c r="O87" s="960">
        <f t="shared" si="24"/>
        <v>0</v>
      </c>
      <c r="P87" s="960">
        <f t="shared" si="25"/>
        <v>0</v>
      </c>
      <c r="Q87" s="960">
        <f t="shared" si="26"/>
        <v>0</v>
      </c>
      <c r="R87" s="960">
        <f t="shared" si="27"/>
        <v>0</v>
      </c>
      <c r="S87" s="960">
        <f t="shared" si="28"/>
        <v>0</v>
      </c>
      <c r="T87" s="960">
        <f t="shared" si="29"/>
        <v>0</v>
      </c>
      <c r="U87" s="960">
        <f t="shared" si="30"/>
        <v>0</v>
      </c>
      <c r="V87" s="960">
        <f t="shared" si="31"/>
        <v>0</v>
      </c>
      <c r="W87" s="960"/>
      <c r="X87" s="960"/>
      <c r="Y87" s="960"/>
      <c r="Z87" s="960"/>
      <c r="AA87" s="975">
        <f t="shared" si="32"/>
        <v>0</v>
      </c>
      <c r="AB87" s="975">
        <f>VLOOKUP(C87,'[8]MỦ TẠP'!$D$10:$AM$450,33,0)</f>
        <v>0</v>
      </c>
      <c r="AC87" s="975">
        <f>VLOOKUP(C87,'[8]MỦ TẠP'!$D$10:$AM$450,34,0)</f>
        <v>0</v>
      </c>
      <c r="AD87" s="975">
        <f>VLOOKUP(C87,'[8]MỦ TẠP'!$D$10:$AM$450,35,0)</f>
        <v>0</v>
      </c>
      <c r="AE87" s="975">
        <f t="shared" si="34"/>
        <v>0</v>
      </c>
      <c r="AF87" s="975"/>
      <c r="AG87" s="975"/>
      <c r="AH87" s="975">
        <f t="shared" si="33"/>
        <v>0</v>
      </c>
      <c r="AI87" s="975">
        <f>VLOOKUP(C87,'[8]CHẤM CÔNG '!$F$10:$AM$451,33,0)</f>
        <v>0</v>
      </c>
      <c r="AJ87" s="975">
        <f>VLOOKUP(C87,'[8]CHẤM CÔNG '!$F$10:$AM$451,34,0)</f>
        <v>0</v>
      </c>
      <c r="AK87" s="975"/>
      <c r="AL87" s="975"/>
      <c r="AM87" s="975"/>
      <c r="AN87" s="975">
        <f>VLOOKUP(C87,'[8]CHẤM CÔNG '!$F$10:$AN$451,35,0)</f>
        <v>0</v>
      </c>
      <c r="AO87" s="975">
        <f>VLOOKUP(C87,'[8]CHẤM CÔNG '!$F$10:$AR$451,36,0)</f>
        <v>0</v>
      </c>
      <c r="AP87" s="975"/>
      <c r="AQ87" s="975"/>
      <c r="AR87" s="975"/>
      <c r="AS87" s="981"/>
      <c r="AT87" s="982">
        <f>VLOOKUP(C87,'[8]MỦ TẠP'!$D$10:$AO$450,38,0)</f>
        <v>0</v>
      </c>
    </row>
    <row r="88" spans="1:46" ht="15.75">
      <c r="A88" s="969">
        <v>32</v>
      </c>
      <c r="B88" s="958" t="str">
        <f>VLOOKUP(C88,'[8]DS CN MOI UP'!$B$10:$C$489,2,0)</f>
        <v>03297</v>
      </c>
      <c r="C88" s="970" t="s">
        <v>460</v>
      </c>
      <c r="D88" s="971" t="s">
        <v>15</v>
      </c>
      <c r="E88" s="960"/>
      <c r="F88" s="960"/>
      <c r="G88" s="960"/>
      <c r="H88" s="960"/>
      <c r="I88" s="960"/>
      <c r="J88" s="960"/>
      <c r="K88" s="960"/>
      <c r="L88" s="960"/>
      <c r="M88" s="960"/>
      <c r="N88" s="960">
        <f t="shared" si="23"/>
        <v>0</v>
      </c>
      <c r="O88" s="960">
        <f t="shared" si="24"/>
        <v>0</v>
      </c>
      <c r="P88" s="960">
        <f t="shared" si="25"/>
        <v>0</v>
      </c>
      <c r="Q88" s="960">
        <f t="shared" si="26"/>
        <v>0</v>
      </c>
      <c r="R88" s="960">
        <f t="shared" si="27"/>
        <v>0</v>
      </c>
      <c r="S88" s="960">
        <f t="shared" si="28"/>
        <v>0</v>
      </c>
      <c r="T88" s="960">
        <f t="shared" si="29"/>
        <v>0</v>
      </c>
      <c r="U88" s="960">
        <f t="shared" si="30"/>
        <v>0</v>
      </c>
      <c r="V88" s="960">
        <f t="shared" si="31"/>
        <v>0</v>
      </c>
      <c r="W88" s="960"/>
      <c r="X88" s="960"/>
      <c r="Y88" s="960"/>
      <c r="Z88" s="960"/>
      <c r="AA88" s="975">
        <f t="shared" si="32"/>
        <v>0</v>
      </c>
      <c r="AB88" s="975">
        <f>VLOOKUP(C88,'[8]MỦ TẠP'!$D$10:$AM$450,33,0)</f>
        <v>0</v>
      </c>
      <c r="AC88" s="975">
        <f>VLOOKUP(C88,'[8]MỦ TẠP'!$D$10:$AM$450,34,0)</f>
        <v>0</v>
      </c>
      <c r="AD88" s="975">
        <f>VLOOKUP(C88,'[8]MỦ TẠP'!$D$10:$AM$450,35,0)</f>
        <v>0</v>
      </c>
      <c r="AE88" s="975">
        <f t="shared" si="34"/>
        <v>0</v>
      </c>
      <c r="AF88" s="975"/>
      <c r="AG88" s="975"/>
      <c r="AH88" s="975">
        <f t="shared" si="33"/>
        <v>0</v>
      </c>
      <c r="AI88" s="975">
        <f>VLOOKUP(C88,'[8]CHẤM CÔNG '!$F$10:$AM$451,33,0)</f>
        <v>0</v>
      </c>
      <c r="AJ88" s="975">
        <f>VLOOKUP(C88,'[8]CHẤM CÔNG '!$F$10:$AM$451,34,0)</f>
        <v>0</v>
      </c>
      <c r="AK88" s="975"/>
      <c r="AL88" s="975"/>
      <c r="AM88" s="975"/>
      <c r="AN88" s="975">
        <f>VLOOKUP(C88,'[8]CHẤM CÔNG '!$F$10:$AN$451,35,0)</f>
        <v>0</v>
      </c>
      <c r="AO88" s="975">
        <f>VLOOKUP(C88,'[8]CHẤM CÔNG '!$F$10:$AR$451,36,0)</f>
        <v>0</v>
      </c>
      <c r="AP88" s="975"/>
      <c r="AQ88" s="975"/>
      <c r="AR88" s="975"/>
      <c r="AS88" s="981"/>
      <c r="AT88" s="982">
        <f>VLOOKUP(C88,'[8]MỦ TẠP'!$D$10:$AO$450,38,0)</f>
        <v>0</v>
      </c>
    </row>
    <row r="89" spans="1:46" ht="15.75">
      <c r="A89" s="969">
        <v>33</v>
      </c>
      <c r="B89" s="958" t="str">
        <f>VLOOKUP(C89,'[8]DS CN MOI UP'!$B$10:$C$489,2,0)</f>
        <v>03298</v>
      </c>
      <c r="C89" s="970" t="s">
        <v>461</v>
      </c>
      <c r="D89" s="971" t="s">
        <v>15</v>
      </c>
      <c r="E89" s="960"/>
      <c r="F89" s="960"/>
      <c r="G89" s="960"/>
      <c r="H89" s="960"/>
      <c r="I89" s="960"/>
      <c r="J89" s="960"/>
      <c r="K89" s="960"/>
      <c r="L89" s="960"/>
      <c r="M89" s="960"/>
      <c r="N89" s="960">
        <f t="shared" si="23"/>
        <v>0</v>
      </c>
      <c r="O89" s="960">
        <f t="shared" si="24"/>
        <v>0</v>
      </c>
      <c r="P89" s="960">
        <f t="shared" si="25"/>
        <v>0</v>
      </c>
      <c r="Q89" s="960">
        <f t="shared" si="26"/>
        <v>0</v>
      </c>
      <c r="R89" s="960">
        <f t="shared" si="27"/>
        <v>0</v>
      </c>
      <c r="S89" s="960">
        <f t="shared" si="28"/>
        <v>0</v>
      </c>
      <c r="T89" s="960">
        <f t="shared" si="29"/>
        <v>0</v>
      </c>
      <c r="U89" s="960">
        <f t="shared" si="30"/>
        <v>0</v>
      </c>
      <c r="V89" s="960">
        <f t="shared" si="31"/>
        <v>0</v>
      </c>
      <c r="W89" s="960"/>
      <c r="X89" s="960"/>
      <c r="Y89" s="960"/>
      <c r="Z89" s="960"/>
      <c r="AA89" s="975">
        <f t="shared" si="32"/>
        <v>0</v>
      </c>
      <c r="AB89" s="975">
        <f>VLOOKUP(C89,'[8]MỦ TẠP'!$D$10:$AM$450,33,0)</f>
        <v>0</v>
      </c>
      <c r="AC89" s="975">
        <f>VLOOKUP(C89,'[8]MỦ TẠP'!$D$10:$AM$450,34,0)</f>
        <v>0</v>
      </c>
      <c r="AD89" s="975">
        <f>VLOOKUP(C89,'[8]MỦ TẠP'!$D$10:$AM$450,35,0)</f>
        <v>0</v>
      </c>
      <c r="AE89" s="975">
        <f t="shared" si="34"/>
        <v>0</v>
      </c>
      <c r="AF89" s="975"/>
      <c r="AG89" s="975"/>
      <c r="AH89" s="975">
        <f t="shared" si="33"/>
        <v>0</v>
      </c>
      <c r="AI89" s="975">
        <f>VLOOKUP(C89,'[8]CHẤM CÔNG '!$F$10:$AM$451,33,0)</f>
        <v>0</v>
      </c>
      <c r="AJ89" s="975">
        <f>VLOOKUP(C89,'[8]CHẤM CÔNG '!$F$10:$AM$451,34,0)</f>
        <v>0</v>
      </c>
      <c r="AK89" s="975"/>
      <c r="AL89" s="975"/>
      <c r="AM89" s="975"/>
      <c r="AN89" s="975">
        <f>VLOOKUP(C89,'[8]CHẤM CÔNG '!$F$10:$AN$451,35,0)</f>
        <v>0</v>
      </c>
      <c r="AO89" s="975">
        <f>VLOOKUP(C89,'[8]CHẤM CÔNG '!$F$10:$AR$451,36,0)</f>
        <v>0</v>
      </c>
      <c r="AP89" s="975"/>
      <c r="AQ89" s="975"/>
      <c r="AR89" s="975"/>
      <c r="AS89" s="981"/>
      <c r="AT89" s="982">
        <f>VLOOKUP(C89,'[8]MỦ TẠP'!$D$10:$AO$450,38,0)</f>
        <v>0</v>
      </c>
    </row>
    <row r="90" spans="1:46" ht="15.75">
      <c r="A90" s="969">
        <v>34</v>
      </c>
      <c r="B90" s="958" t="e">
        <f>VLOOKUP(C90,'[8]DS CN MOI UP'!$B$10:$C$489,2,0)</f>
        <v>#N/A</v>
      </c>
      <c r="C90" s="970" t="s">
        <v>2630</v>
      </c>
      <c r="D90" s="971" t="s">
        <v>15</v>
      </c>
      <c r="E90" s="960"/>
      <c r="F90" s="960"/>
      <c r="G90" s="960"/>
      <c r="H90" s="960"/>
      <c r="I90" s="960"/>
      <c r="J90" s="960"/>
      <c r="K90" s="960"/>
      <c r="L90" s="960"/>
      <c r="M90" s="960"/>
      <c r="N90" s="960">
        <f t="shared" si="23"/>
        <v>0</v>
      </c>
      <c r="O90" s="960">
        <f t="shared" si="24"/>
        <v>0</v>
      </c>
      <c r="P90" s="960">
        <f t="shared" si="25"/>
        <v>0</v>
      </c>
      <c r="Q90" s="960">
        <f t="shared" si="26"/>
        <v>0</v>
      </c>
      <c r="R90" s="960">
        <f t="shared" si="27"/>
        <v>0</v>
      </c>
      <c r="S90" s="960">
        <f t="shared" si="28"/>
        <v>0</v>
      </c>
      <c r="T90" s="960">
        <f t="shared" si="29"/>
        <v>0</v>
      </c>
      <c r="U90" s="960">
        <f t="shared" si="30"/>
        <v>0</v>
      </c>
      <c r="V90" s="960">
        <f t="shared" si="31"/>
        <v>0</v>
      </c>
      <c r="W90" s="960"/>
      <c r="X90" s="960"/>
      <c r="Y90" s="960"/>
      <c r="Z90" s="960"/>
      <c r="AA90" s="975">
        <f t="shared" si="32"/>
        <v>0</v>
      </c>
      <c r="AB90" s="975">
        <f>VLOOKUP(C90,'[8]MỦ TẠP'!$D$10:$AM$450,33,0)</f>
        <v>0</v>
      </c>
      <c r="AC90" s="975">
        <f>VLOOKUP(C90,'[8]MỦ TẠP'!$D$10:$AM$450,34,0)</f>
        <v>0</v>
      </c>
      <c r="AD90" s="975">
        <f>VLOOKUP(C90,'[8]MỦ TẠP'!$D$10:$AM$450,35,0)</f>
        <v>0</v>
      </c>
      <c r="AE90" s="975">
        <f t="shared" si="34"/>
        <v>0</v>
      </c>
      <c r="AF90" s="975"/>
      <c r="AG90" s="975"/>
      <c r="AH90" s="975">
        <f t="shared" si="33"/>
        <v>0</v>
      </c>
      <c r="AI90" s="975">
        <f>VLOOKUP(C90,'[8]CHẤM CÔNG '!$F$10:$AM$451,33,0)</f>
        <v>0</v>
      </c>
      <c r="AJ90" s="975">
        <f>VLOOKUP(C90,'[8]CHẤM CÔNG '!$F$10:$AM$451,34,0)</f>
        <v>0</v>
      </c>
      <c r="AK90" s="975"/>
      <c r="AL90" s="975"/>
      <c r="AM90" s="975"/>
      <c r="AN90" s="975">
        <f>VLOOKUP(C90,'[8]CHẤM CÔNG '!$F$10:$AN$451,35,0)</f>
        <v>0</v>
      </c>
      <c r="AO90" s="975">
        <f>VLOOKUP(C90,'[8]CHẤM CÔNG '!$F$10:$AR$451,36,0)</f>
        <v>0</v>
      </c>
      <c r="AP90" s="975"/>
      <c r="AQ90" s="975"/>
      <c r="AR90" s="975"/>
      <c r="AS90" s="981"/>
      <c r="AT90" s="982">
        <f>VLOOKUP(C90,'[8]MỦ TẠP'!$D$10:$AO$450,38,0)</f>
        <v>0</v>
      </c>
    </row>
    <row r="91" spans="1:46" ht="15.75">
      <c r="A91" s="969">
        <v>35</v>
      </c>
      <c r="B91" s="958" t="str">
        <f>VLOOKUP(C91,'[8]DS CN MOI UP'!$B$10:$C$489,2,0)</f>
        <v>03300</v>
      </c>
      <c r="C91" s="970" t="s">
        <v>463</v>
      </c>
      <c r="D91" s="971" t="s">
        <v>15</v>
      </c>
      <c r="E91" s="960"/>
      <c r="F91" s="960"/>
      <c r="G91" s="960"/>
      <c r="H91" s="960"/>
      <c r="I91" s="960"/>
      <c r="J91" s="960"/>
      <c r="K91" s="960"/>
      <c r="L91" s="960"/>
      <c r="M91" s="960"/>
      <c r="N91" s="960">
        <f t="shared" si="23"/>
        <v>0</v>
      </c>
      <c r="O91" s="960">
        <f t="shared" si="24"/>
        <v>0</v>
      </c>
      <c r="P91" s="960">
        <f t="shared" si="25"/>
        <v>0</v>
      </c>
      <c r="Q91" s="960">
        <f t="shared" si="26"/>
        <v>0</v>
      </c>
      <c r="R91" s="960">
        <f t="shared" si="27"/>
        <v>0</v>
      </c>
      <c r="S91" s="960">
        <f t="shared" si="28"/>
        <v>0</v>
      </c>
      <c r="T91" s="960">
        <f t="shared" si="29"/>
        <v>0</v>
      </c>
      <c r="U91" s="960">
        <f t="shared" si="30"/>
        <v>0</v>
      </c>
      <c r="V91" s="960">
        <f t="shared" si="31"/>
        <v>0</v>
      </c>
      <c r="W91" s="960"/>
      <c r="X91" s="960"/>
      <c r="Y91" s="960"/>
      <c r="Z91" s="960"/>
      <c r="AA91" s="975">
        <f t="shared" si="32"/>
        <v>0</v>
      </c>
      <c r="AB91" s="975">
        <f>VLOOKUP(C91,'[8]MỦ TẠP'!$D$10:$AM$450,33,0)</f>
        <v>0</v>
      </c>
      <c r="AC91" s="975">
        <f>VLOOKUP(C91,'[8]MỦ TẠP'!$D$10:$AM$450,34,0)</f>
        <v>0</v>
      </c>
      <c r="AD91" s="975">
        <f>VLOOKUP(C91,'[8]MỦ TẠP'!$D$10:$AM$450,35,0)</f>
        <v>0</v>
      </c>
      <c r="AE91" s="975">
        <f t="shared" si="34"/>
        <v>0</v>
      </c>
      <c r="AF91" s="975"/>
      <c r="AG91" s="975"/>
      <c r="AH91" s="975">
        <f t="shared" si="33"/>
        <v>0</v>
      </c>
      <c r="AI91" s="975">
        <f>VLOOKUP(C91,'[8]CHẤM CÔNG '!$F$10:$AM$451,33,0)</f>
        <v>0</v>
      </c>
      <c r="AJ91" s="975">
        <f>VLOOKUP(C91,'[8]CHẤM CÔNG '!$F$10:$AM$451,34,0)</f>
        <v>0</v>
      </c>
      <c r="AK91" s="975"/>
      <c r="AL91" s="975"/>
      <c r="AM91" s="975"/>
      <c r="AN91" s="975">
        <f>VLOOKUP(C91,'[8]CHẤM CÔNG '!$F$10:$AN$451,35,0)</f>
        <v>0</v>
      </c>
      <c r="AO91" s="975">
        <f>VLOOKUP(C91,'[8]CHẤM CÔNG '!$F$10:$AR$451,36,0)</f>
        <v>0</v>
      </c>
      <c r="AP91" s="975"/>
      <c r="AQ91" s="975"/>
      <c r="AR91" s="975"/>
      <c r="AS91" s="981"/>
      <c r="AT91" s="982">
        <f>VLOOKUP(C91,'[8]MỦ TẠP'!$D$10:$AO$450,38,0)</f>
        <v>0</v>
      </c>
    </row>
    <row r="92" spans="1:46" ht="15.75">
      <c r="A92" s="969">
        <v>36</v>
      </c>
      <c r="B92" s="958" t="str">
        <f>VLOOKUP(C92,'[8]DS CN MOI UP'!$B$10:$C$489,2,0)</f>
        <v>03301</v>
      </c>
      <c r="C92" s="970" t="s">
        <v>464</v>
      </c>
      <c r="D92" s="971" t="s">
        <v>15</v>
      </c>
      <c r="E92" s="960"/>
      <c r="F92" s="960"/>
      <c r="G92" s="960"/>
      <c r="H92" s="960"/>
      <c r="I92" s="960"/>
      <c r="J92" s="960"/>
      <c r="K92" s="960"/>
      <c r="L92" s="960"/>
      <c r="M92" s="960"/>
      <c r="N92" s="960">
        <f t="shared" si="23"/>
        <v>0</v>
      </c>
      <c r="O92" s="960">
        <f t="shared" si="24"/>
        <v>0</v>
      </c>
      <c r="P92" s="960">
        <f t="shared" si="25"/>
        <v>0</v>
      </c>
      <c r="Q92" s="960">
        <f t="shared" si="26"/>
        <v>0</v>
      </c>
      <c r="R92" s="960">
        <f t="shared" si="27"/>
        <v>0</v>
      </c>
      <c r="S92" s="960">
        <f t="shared" si="28"/>
        <v>0</v>
      </c>
      <c r="T92" s="960">
        <f t="shared" si="29"/>
        <v>0</v>
      </c>
      <c r="U92" s="960">
        <f t="shared" si="30"/>
        <v>0</v>
      </c>
      <c r="V92" s="960">
        <f t="shared" si="31"/>
        <v>0</v>
      </c>
      <c r="W92" s="960"/>
      <c r="X92" s="960"/>
      <c r="Y92" s="960"/>
      <c r="Z92" s="960"/>
      <c r="AA92" s="975">
        <f t="shared" si="32"/>
        <v>0</v>
      </c>
      <c r="AB92" s="975">
        <f>VLOOKUP(C92,'[8]MỦ TẠP'!$D$10:$AM$450,33,0)</f>
        <v>0</v>
      </c>
      <c r="AC92" s="975">
        <f>VLOOKUP(C92,'[8]MỦ TẠP'!$D$10:$AM$450,34,0)</f>
        <v>0</v>
      </c>
      <c r="AD92" s="975">
        <f>VLOOKUP(C92,'[8]MỦ TẠP'!$D$10:$AM$450,35,0)</f>
        <v>0</v>
      </c>
      <c r="AE92" s="975">
        <f t="shared" si="34"/>
        <v>0</v>
      </c>
      <c r="AF92" s="975"/>
      <c r="AG92" s="975"/>
      <c r="AH92" s="975">
        <f t="shared" si="33"/>
        <v>0</v>
      </c>
      <c r="AI92" s="975">
        <f>VLOOKUP(C92,'[8]CHẤM CÔNG '!$F$10:$AM$451,33,0)</f>
        <v>0</v>
      </c>
      <c r="AJ92" s="975">
        <f>VLOOKUP(C92,'[8]CHẤM CÔNG '!$F$10:$AM$451,34,0)</f>
        <v>0</v>
      </c>
      <c r="AK92" s="975"/>
      <c r="AL92" s="975"/>
      <c r="AM92" s="975"/>
      <c r="AN92" s="975">
        <f>VLOOKUP(C92,'[8]CHẤM CÔNG '!$F$10:$AN$451,35,0)</f>
        <v>0</v>
      </c>
      <c r="AO92" s="975">
        <f>VLOOKUP(C92,'[8]CHẤM CÔNG '!$F$10:$AR$451,36,0)</f>
        <v>0</v>
      </c>
      <c r="AP92" s="975"/>
      <c r="AQ92" s="975"/>
      <c r="AR92" s="975"/>
      <c r="AS92" s="981"/>
      <c r="AT92" s="982">
        <f>VLOOKUP(C92,'[8]MỦ TẠP'!$D$10:$AO$450,38,0)</f>
        <v>0</v>
      </c>
    </row>
    <row r="93" spans="1:46" ht="15.75">
      <c r="A93" s="969">
        <v>37</v>
      </c>
      <c r="B93" s="958" t="str">
        <f>VLOOKUP(C93,'[8]DS CN MOI UP'!$B$10:$C$489,2,0)</f>
        <v>03302</v>
      </c>
      <c r="C93" s="970" t="s">
        <v>465</v>
      </c>
      <c r="D93" s="971" t="s">
        <v>15</v>
      </c>
      <c r="E93" s="960"/>
      <c r="F93" s="960"/>
      <c r="G93" s="960"/>
      <c r="H93" s="960"/>
      <c r="I93" s="960"/>
      <c r="J93" s="960"/>
      <c r="K93" s="960"/>
      <c r="L93" s="960"/>
      <c r="M93" s="960"/>
      <c r="N93" s="960">
        <f t="shared" si="23"/>
        <v>0</v>
      </c>
      <c r="O93" s="960">
        <f t="shared" si="24"/>
        <v>0</v>
      </c>
      <c r="P93" s="960">
        <f t="shared" si="25"/>
        <v>0</v>
      </c>
      <c r="Q93" s="960">
        <f t="shared" si="26"/>
        <v>0</v>
      </c>
      <c r="R93" s="960">
        <f t="shared" si="27"/>
        <v>0</v>
      </c>
      <c r="S93" s="960">
        <f t="shared" si="28"/>
        <v>0</v>
      </c>
      <c r="T93" s="960">
        <f t="shared" si="29"/>
        <v>0</v>
      </c>
      <c r="U93" s="960">
        <f t="shared" si="30"/>
        <v>0</v>
      </c>
      <c r="V93" s="960">
        <f t="shared" si="31"/>
        <v>0</v>
      </c>
      <c r="W93" s="960"/>
      <c r="X93" s="960"/>
      <c r="Y93" s="960"/>
      <c r="Z93" s="960"/>
      <c r="AA93" s="975">
        <f t="shared" si="32"/>
        <v>0</v>
      </c>
      <c r="AB93" s="975">
        <f>VLOOKUP(C93,'[8]MỦ TẠP'!$D$10:$AM$450,33,0)</f>
        <v>0</v>
      </c>
      <c r="AC93" s="975">
        <f>VLOOKUP(C93,'[8]MỦ TẠP'!$D$10:$AM$450,34,0)</f>
        <v>0</v>
      </c>
      <c r="AD93" s="975">
        <f>VLOOKUP(C93,'[8]MỦ TẠP'!$D$10:$AM$450,35,0)</f>
        <v>0</v>
      </c>
      <c r="AE93" s="975">
        <f t="shared" si="34"/>
        <v>0</v>
      </c>
      <c r="AF93" s="975"/>
      <c r="AG93" s="975"/>
      <c r="AH93" s="975">
        <f t="shared" si="33"/>
        <v>0</v>
      </c>
      <c r="AI93" s="975">
        <f>VLOOKUP(C93,'[8]CHẤM CÔNG '!$F$10:$AM$451,33,0)</f>
        <v>0</v>
      </c>
      <c r="AJ93" s="975">
        <f>VLOOKUP(C93,'[8]CHẤM CÔNG '!$F$10:$AM$451,34,0)</f>
        <v>0</v>
      </c>
      <c r="AK93" s="975"/>
      <c r="AL93" s="975"/>
      <c r="AM93" s="975"/>
      <c r="AN93" s="975">
        <f>VLOOKUP(C93,'[8]CHẤM CÔNG '!$F$10:$AN$451,35,0)</f>
        <v>0</v>
      </c>
      <c r="AO93" s="975">
        <f>VLOOKUP(C93,'[8]CHẤM CÔNG '!$F$10:$AR$451,36,0)</f>
        <v>0</v>
      </c>
      <c r="AP93" s="975"/>
      <c r="AQ93" s="975"/>
      <c r="AR93" s="975"/>
      <c r="AS93" s="981"/>
      <c r="AT93" s="982">
        <f>VLOOKUP(C93,'[8]MỦ TẠP'!$D$10:$AO$450,38,0)</f>
        <v>0</v>
      </c>
    </row>
    <row r="94" spans="1:46" ht="15.75">
      <c r="A94" s="969">
        <v>38</v>
      </c>
      <c r="B94" s="958" t="str">
        <f>VLOOKUP(C94,'[8]DS CN MOI UP'!$B$10:$C$489,2,0)</f>
        <v>03303</v>
      </c>
      <c r="C94" s="991" t="s">
        <v>466</v>
      </c>
      <c r="D94" s="971" t="s">
        <v>15</v>
      </c>
      <c r="E94" s="960"/>
      <c r="F94" s="960"/>
      <c r="G94" s="960"/>
      <c r="H94" s="960"/>
      <c r="I94" s="960"/>
      <c r="J94" s="960"/>
      <c r="K94" s="960"/>
      <c r="L94" s="960"/>
      <c r="M94" s="960"/>
      <c r="N94" s="960">
        <f t="shared" si="23"/>
        <v>0</v>
      </c>
      <c r="O94" s="960">
        <f t="shared" si="24"/>
        <v>0</v>
      </c>
      <c r="P94" s="960">
        <f t="shared" si="25"/>
        <v>0</v>
      </c>
      <c r="Q94" s="960">
        <f t="shared" si="26"/>
        <v>0</v>
      </c>
      <c r="R94" s="960">
        <f t="shared" si="27"/>
        <v>0</v>
      </c>
      <c r="S94" s="960">
        <f t="shared" si="28"/>
        <v>0</v>
      </c>
      <c r="T94" s="960">
        <f t="shared" si="29"/>
        <v>0</v>
      </c>
      <c r="U94" s="960">
        <f t="shared" si="30"/>
        <v>0</v>
      </c>
      <c r="V94" s="960">
        <f t="shared" si="31"/>
        <v>0</v>
      </c>
      <c r="W94" s="960"/>
      <c r="X94" s="960"/>
      <c r="Y94" s="960"/>
      <c r="Z94" s="960"/>
      <c r="AA94" s="975">
        <f t="shared" si="32"/>
        <v>0</v>
      </c>
      <c r="AB94" s="975">
        <f>VLOOKUP(C94,'[8]MỦ TẠP'!$D$10:$AM$450,33,0)</f>
        <v>0</v>
      </c>
      <c r="AC94" s="975">
        <f>VLOOKUP(C94,'[8]MỦ TẠP'!$D$10:$AM$450,34,0)</f>
        <v>0</v>
      </c>
      <c r="AD94" s="975">
        <f>VLOOKUP(C94,'[8]MỦ TẠP'!$D$10:$AM$450,35,0)</f>
        <v>0</v>
      </c>
      <c r="AE94" s="975">
        <f t="shared" si="34"/>
        <v>0</v>
      </c>
      <c r="AF94" s="975"/>
      <c r="AG94" s="975"/>
      <c r="AH94" s="975">
        <f t="shared" si="33"/>
        <v>0</v>
      </c>
      <c r="AI94" s="975">
        <f>VLOOKUP(C94,'[8]CHẤM CÔNG '!$F$10:$AM$451,33,0)</f>
        <v>0</v>
      </c>
      <c r="AJ94" s="975">
        <f>VLOOKUP(C94,'[8]CHẤM CÔNG '!$F$10:$AM$451,34,0)</f>
        <v>0</v>
      </c>
      <c r="AK94" s="975"/>
      <c r="AL94" s="975"/>
      <c r="AM94" s="975"/>
      <c r="AN94" s="975">
        <f>VLOOKUP(C94,'[8]CHẤM CÔNG '!$F$10:$AN$451,35,0)</f>
        <v>0</v>
      </c>
      <c r="AO94" s="975">
        <f>VLOOKUP(C94,'[8]CHẤM CÔNG '!$F$10:$AR$451,36,0)</f>
        <v>0</v>
      </c>
      <c r="AP94" s="975"/>
      <c r="AQ94" s="975"/>
      <c r="AR94" s="975"/>
      <c r="AS94" s="981"/>
      <c r="AT94" s="982">
        <f>VLOOKUP(C94,'[8]MỦ TẠP'!$D$10:$AO$450,38,0)</f>
        <v>0</v>
      </c>
    </row>
    <row r="95" spans="1:46" ht="15.75">
      <c r="A95" s="969">
        <v>39</v>
      </c>
      <c r="B95" s="958" t="e">
        <f>VLOOKUP(C95,'[8]DS CN MOI UP'!$B$10:$C$489,2,0)</f>
        <v>#N/A</v>
      </c>
      <c r="C95" s="970" t="s">
        <v>2631</v>
      </c>
      <c r="D95" s="971" t="s">
        <v>15</v>
      </c>
      <c r="E95" s="960"/>
      <c r="F95" s="960"/>
      <c r="G95" s="960"/>
      <c r="H95" s="960"/>
      <c r="I95" s="960"/>
      <c r="J95" s="960"/>
      <c r="K95" s="960"/>
      <c r="L95" s="960"/>
      <c r="M95" s="960"/>
      <c r="N95" s="960">
        <f t="shared" si="23"/>
        <v>0</v>
      </c>
      <c r="O95" s="960">
        <f t="shared" si="24"/>
        <v>0</v>
      </c>
      <c r="P95" s="960">
        <f t="shared" si="25"/>
        <v>0</v>
      </c>
      <c r="Q95" s="960">
        <f t="shared" si="26"/>
        <v>0</v>
      </c>
      <c r="R95" s="960">
        <f t="shared" si="27"/>
        <v>0</v>
      </c>
      <c r="S95" s="960">
        <f t="shared" si="28"/>
        <v>0</v>
      </c>
      <c r="T95" s="960">
        <f t="shared" si="29"/>
        <v>0</v>
      </c>
      <c r="U95" s="960">
        <f t="shared" si="30"/>
        <v>0</v>
      </c>
      <c r="V95" s="960">
        <f t="shared" si="31"/>
        <v>0</v>
      </c>
      <c r="W95" s="960"/>
      <c r="X95" s="960"/>
      <c r="Y95" s="960"/>
      <c r="Z95" s="960"/>
      <c r="AA95" s="975">
        <f t="shared" si="32"/>
        <v>0</v>
      </c>
      <c r="AB95" s="975">
        <f>VLOOKUP(C95,'[8]MỦ TẠP'!$D$10:$AM$450,33,0)</f>
        <v>0</v>
      </c>
      <c r="AC95" s="975">
        <f>VLOOKUP(C95,'[8]MỦ TẠP'!$D$10:$AM$450,34,0)</f>
        <v>0</v>
      </c>
      <c r="AD95" s="975">
        <f>VLOOKUP(C95,'[8]MỦ TẠP'!$D$10:$AM$450,35,0)</f>
        <v>0</v>
      </c>
      <c r="AE95" s="975">
        <f t="shared" si="34"/>
        <v>0</v>
      </c>
      <c r="AF95" s="975"/>
      <c r="AG95" s="975"/>
      <c r="AH95" s="975">
        <f t="shared" si="33"/>
        <v>0</v>
      </c>
      <c r="AI95" s="975">
        <f>VLOOKUP(C95,'[8]CHẤM CÔNG '!$F$10:$AM$451,33,0)</f>
        <v>0</v>
      </c>
      <c r="AJ95" s="975">
        <f>VLOOKUP(C95,'[8]CHẤM CÔNG '!$F$10:$AM$451,34,0)</f>
        <v>0</v>
      </c>
      <c r="AK95" s="975"/>
      <c r="AL95" s="975"/>
      <c r="AM95" s="975"/>
      <c r="AN95" s="975">
        <f>VLOOKUP(C95,'[8]CHẤM CÔNG '!$F$10:$AN$451,35,0)</f>
        <v>0</v>
      </c>
      <c r="AO95" s="975">
        <f>VLOOKUP(C95,'[8]CHẤM CÔNG '!$F$10:$AR$451,36,0)</f>
        <v>0</v>
      </c>
      <c r="AP95" s="975"/>
      <c r="AQ95" s="975"/>
      <c r="AR95" s="975"/>
      <c r="AS95" s="981"/>
      <c r="AT95" s="982">
        <f>VLOOKUP(C95,'[8]MỦ TẠP'!$D$10:$AO$450,38,0)</f>
        <v>0</v>
      </c>
    </row>
    <row r="96" spans="1:46" ht="15.75">
      <c r="A96" s="969">
        <v>40</v>
      </c>
      <c r="B96" s="958" t="e">
        <f>VLOOKUP(C96,'[8]DS CN MOI UP'!$B$10:$C$489,2,0)</f>
        <v>#N/A</v>
      </c>
      <c r="C96" s="970" t="s">
        <v>2632</v>
      </c>
      <c r="D96" s="971" t="s">
        <v>15</v>
      </c>
      <c r="E96" s="960"/>
      <c r="F96" s="960"/>
      <c r="G96" s="960"/>
      <c r="H96" s="960"/>
      <c r="I96" s="960"/>
      <c r="J96" s="960"/>
      <c r="K96" s="960"/>
      <c r="L96" s="960"/>
      <c r="M96" s="960"/>
      <c r="N96" s="960">
        <f t="shared" si="23"/>
        <v>0</v>
      </c>
      <c r="O96" s="960">
        <f t="shared" si="24"/>
        <v>0</v>
      </c>
      <c r="P96" s="960">
        <f t="shared" si="25"/>
        <v>0</v>
      </c>
      <c r="Q96" s="960">
        <f t="shared" si="26"/>
        <v>0</v>
      </c>
      <c r="R96" s="960">
        <f t="shared" si="27"/>
        <v>0</v>
      </c>
      <c r="S96" s="960">
        <f t="shared" si="28"/>
        <v>0</v>
      </c>
      <c r="T96" s="960">
        <f t="shared" si="29"/>
        <v>0</v>
      </c>
      <c r="U96" s="960">
        <f t="shared" si="30"/>
        <v>0</v>
      </c>
      <c r="V96" s="960">
        <f t="shared" si="31"/>
        <v>0</v>
      </c>
      <c r="W96" s="960"/>
      <c r="X96" s="960"/>
      <c r="Y96" s="960"/>
      <c r="Z96" s="960"/>
      <c r="AA96" s="975">
        <f t="shared" si="32"/>
        <v>0</v>
      </c>
      <c r="AB96" s="975">
        <f>VLOOKUP(C96,'[8]MỦ TẠP'!$D$10:$AM$450,33,0)</f>
        <v>0</v>
      </c>
      <c r="AC96" s="975">
        <f>VLOOKUP(C96,'[8]MỦ TẠP'!$D$10:$AM$450,34,0)</f>
        <v>0</v>
      </c>
      <c r="AD96" s="975">
        <f>VLOOKUP(C96,'[8]MỦ TẠP'!$D$10:$AM$450,35,0)</f>
        <v>0</v>
      </c>
      <c r="AE96" s="975">
        <f t="shared" si="34"/>
        <v>0</v>
      </c>
      <c r="AF96" s="975"/>
      <c r="AG96" s="975"/>
      <c r="AH96" s="975">
        <f t="shared" si="33"/>
        <v>0</v>
      </c>
      <c r="AI96" s="975">
        <f>VLOOKUP(C96,'[8]CHẤM CÔNG '!$F$10:$AM$451,33,0)</f>
        <v>0</v>
      </c>
      <c r="AJ96" s="975">
        <f>VLOOKUP(C96,'[8]CHẤM CÔNG '!$F$10:$AM$451,34,0)</f>
        <v>0</v>
      </c>
      <c r="AK96" s="975"/>
      <c r="AL96" s="975"/>
      <c r="AM96" s="975"/>
      <c r="AN96" s="975">
        <f>VLOOKUP(C96,'[8]CHẤM CÔNG '!$F$10:$AN$451,35,0)</f>
        <v>0</v>
      </c>
      <c r="AO96" s="975">
        <f>VLOOKUP(C96,'[8]CHẤM CÔNG '!$F$10:$AR$451,36,0)</f>
        <v>0</v>
      </c>
      <c r="AP96" s="975"/>
      <c r="AQ96" s="975"/>
      <c r="AR96" s="975"/>
      <c r="AS96" s="981"/>
      <c r="AT96" s="982">
        <f>VLOOKUP(C96,'[8]MỦ TẠP'!$D$10:$AO$450,38,0)</f>
        <v>0</v>
      </c>
    </row>
    <row r="97" spans="1:46" ht="15.75">
      <c r="A97" s="969">
        <v>41</v>
      </c>
      <c r="B97" s="958" t="e">
        <f>VLOOKUP(C97,'[8]DS CN MOI UP'!$B$10:$C$489,2,0)</f>
        <v>#N/A</v>
      </c>
      <c r="C97" s="970" t="s">
        <v>895</v>
      </c>
      <c r="D97" s="971" t="s">
        <v>15</v>
      </c>
      <c r="E97" s="960"/>
      <c r="F97" s="960"/>
      <c r="G97" s="960"/>
      <c r="H97" s="960"/>
      <c r="I97" s="960"/>
      <c r="J97" s="960"/>
      <c r="K97" s="960"/>
      <c r="L97" s="960"/>
      <c r="M97" s="960"/>
      <c r="N97" s="960">
        <f t="shared" si="23"/>
        <v>0</v>
      </c>
      <c r="O97" s="960">
        <f t="shared" si="24"/>
        <v>0</v>
      </c>
      <c r="P97" s="960">
        <f t="shared" si="25"/>
        <v>0</v>
      </c>
      <c r="Q97" s="960">
        <f t="shared" si="26"/>
        <v>0</v>
      </c>
      <c r="R97" s="960">
        <f t="shared" si="27"/>
        <v>0</v>
      </c>
      <c r="S97" s="960">
        <f t="shared" si="28"/>
        <v>0</v>
      </c>
      <c r="T97" s="960">
        <f t="shared" si="29"/>
        <v>0</v>
      </c>
      <c r="U97" s="960">
        <f t="shared" si="30"/>
        <v>0</v>
      </c>
      <c r="V97" s="960">
        <f t="shared" si="31"/>
        <v>0</v>
      </c>
      <c r="W97" s="960"/>
      <c r="X97" s="960"/>
      <c r="Y97" s="960"/>
      <c r="Z97" s="960"/>
      <c r="AA97" s="975">
        <f t="shared" si="32"/>
        <v>0</v>
      </c>
      <c r="AB97" s="975">
        <f>VLOOKUP(C97,'[8]MỦ TẠP'!$D$10:$AM$450,33,0)</f>
        <v>0</v>
      </c>
      <c r="AC97" s="975">
        <f>VLOOKUP(C97,'[8]MỦ TẠP'!$D$10:$AM$450,34,0)</f>
        <v>0</v>
      </c>
      <c r="AD97" s="975">
        <f>VLOOKUP(C97,'[8]MỦ TẠP'!$D$10:$AM$450,35,0)</f>
        <v>0</v>
      </c>
      <c r="AE97" s="975">
        <f t="shared" si="34"/>
        <v>0</v>
      </c>
      <c r="AF97" s="975"/>
      <c r="AG97" s="975"/>
      <c r="AH97" s="975">
        <f t="shared" si="33"/>
        <v>0</v>
      </c>
      <c r="AI97" s="975">
        <f>VLOOKUP(C97,'[8]CHẤM CÔNG '!$F$10:$AM$451,33,0)</f>
        <v>0</v>
      </c>
      <c r="AJ97" s="975">
        <f>VLOOKUP(C97,'[8]CHẤM CÔNG '!$F$10:$AM$451,34,0)</f>
        <v>0</v>
      </c>
      <c r="AK97" s="975"/>
      <c r="AL97" s="975"/>
      <c r="AM97" s="975"/>
      <c r="AN97" s="975">
        <f>VLOOKUP(C97,'[8]CHẤM CÔNG '!$F$10:$AN$451,35,0)</f>
        <v>0</v>
      </c>
      <c r="AO97" s="975">
        <f>VLOOKUP(C97,'[8]CHẤM CÔNG '!$F$10:$AR$451,36,0)</f>
        <v>0</v>
      </c>
      <c r="AP97" s="975"/>
      <c r="AQ97" s="975"/>
      <c r="AR97" s="975"/>
      <c r="AS97" s="981"/>
      <c r="AT97" s="982">
        <f>VLOOKUP(C97,'[8]MỦ TẠP'!$D$10:$AO$450,38,0)</f>
        <v>0</v>
      </c>
    </row>
    <row r="98" spans="1:46" ht="15.75">
      <c r="A98" s="969">
        <v>42</v>
      </c>
      <c r="B98" s="958" t="e">
        <f>VLOOKUP(C98,'[8]DS CN MOI UP'!$B$10:$C$489,2,0)</f>
        <v>#N/A</v>
      </c>
      <c r="C98" s="970" t="s">
        <v>2633</v>
      </c>
      <c r="D98" s="971" t="s">
        <v>15</v>
      </c>
      <c r="E98" s="960"/>
      <c r="F98" s="960"/>
      <c r="G98" s="960"/>
      <c r="H98" s="960"/>
      <c r="I98" s="960"/>
      <c r="J98" s="960"/>
      <c r="K98" s="960"/>
      <c r="L98" s="960"/>
      <c r="M98" s="960"/>
      <c r="N98" s="960">
        <f t="shared" si="23"/>
        <v>0</v>
      </c>
      <c r="O98" s="960">
        <f t="shared" si="24"/>
        <v>0</v>
      </c>
      <c r="P98" s="960">
        <f t="shared" si="25"/>
        <v>0</v>
      </c>
      <c r="Q98" s="960">
        <f t="shared" si="26"/>
        <v>0</v>
      </c>
      <c r="R98" s="960">
        <f t="shared" si="27"/>
        <v>0</v>
      </c>
      <c r="S98" s="960">
        <f t="shared" si="28"/>
        <v>0</v>
      </c>
      <c r="T98" s="960">
        <f t="shared" si="29"/>
        <v>0</v>
      </c>
      <c r="U98" s="960">
        <f t="shared" si="30"/>
        <v>0</v>
      </c>
      <c r="V98" s="960">
        <f t="shared" si="31"/>
        <v>0</v>
      </c>
      <c r="W98" s="960"/>
      <c r="X98" s="960"/>
      <c r="Y98" s="960"/>
      <c r="Z98" s="960"/>
      <c r="AA98" s="975">
        <f t="shared" si="32"/>
        <v>0</v>
      </c>
      <c r="AB98" s="975">
        <f>VLOOKUP(C98,'[8]MỦ TẠP'!$D$10:$AM$450,33,0)</f>
        <v>0</v>
      </c>
      <c r="AC98" s="975">
        <f>VLOOKUP(C98,'[8]MỦ TẠP'!$D$10:$AM$450,34,0)</f>
        <v>0</v>
      </c>
      <c r="AD98" s="975">
        <f>VLOOKUP(C98,'[8]MỦ TẠP'!$D$10:$AM$450,35,0)</f>
        <v>0</v>
      </c>
      <c r="AE98" s="975">
        <f t="shared" si="34"/>
        <v>0</v>
      </c>
      <c r="AF98" s="975"/>
      <c r="AG98" s="975"/>
      <c r="AH98" s="975">
        <f t="shared" si="33"/>
        <v>0</v>
      </c>
      <c r="AI98" s="975">
        <f>VLOOKUP(C98,'[8]CHẤM CÔNG '!$F$10:$AM$451,33,0)</f>
        <v>0</v>
      </c>
      <c r="AJ98" s="975">
        <f>VLOOKUP(C98,'[8]CHẤM CÔNG '!$F$10:$AM$451,34,0)</f>
        <v>0</v>
      </c>
      <c r="AK98" s="975"/>
      <c r="AL98" s="975"/>
      <c r="AM98" s="975"/>
      <c r="AN98" s="975">
        <f>VLOOKUP(C98,'[8]CHẤM CÔNG '!$F$10:$AN$451,35,0)</f>
        <v>0</v>
      </c>
      <c r="AO98" s="975">
        <f>VLOOKUP(C98,'[8]CHẤM CÔNG '!$F$10:$AR$451,36,0)</f>
        <v>0</v>
      </c>
      <c r="AP98" s="975"/>
      <c r="AQ98" s="975"/>
      <c r="AR98" s="975"/>
      <c r="AS98" s="981"/>
      <c r="AT98" s="982">
        <f>VLOOKUP(C98,'[8]MỦ TẠP'!$D$10:$AO$450,38,0)</f>
        <v>0</v>
      </c>
    </row>
    <row r="99" spans="1:46" ht="15.75">
      <c r="A99" s="969">
        <v>43</v>
      </c>
      <c r="B99" s="958" t="e">
        <f>VLOOKUP(C99,'[8]DS CN MOI UP'!$B$10:$C$489,2,0)</f>
        <v>#N/A</v>
      </c>
      <c r="C99" s="970" t="s">
        <v>2634</v>
      </c>
      <c r="D99" s="971" t="s">
        <v>15</v>
      </c>
      <c r="E99" s="960"/>
      <c r="F99" s="960"/>
      <c r="G99" s="960"/>
      <c r="H99" s="960"/>
      <c r="I99" s="960"/>
      <c r="J99" s="960"/>
      <c r="K99" s="960"/>
      <c r="L99" s="960"/>
      <c r="M99" s="960"/>
      <c r="N99" s="960">
        <f t="shared" si="23"/>
        <v>0</v>
      </c>
      <c r="O99" s="960">
        <f t="shared" si="24"/>
        <v>0</v>
      </c>
      <c r="P99" s="960">
        <f t="shared" si="25"/>
        <v>0</v>
      </c>
      <c r="Q99" s="960">
        <f t="shared" si="26"/>
        <v>0</v>
      </c>
      <c r="R99" s="960">
        <f t="shared" si="27"/>
        <v>0</v>
      </c>
      <c r="S99" s="960">
        <f t="shared" si="28"/>
        <v>0</v>
      </c>
      <c r="T99" s="960">
        <f t="shared" si="29"/>
        <v>0</v>
      </c>
      <c r="U99" s="960">
        <f t="shared" si="30"/>
        <v>0</v>
      </c>
      <c r="V99" s="960">
        <f t="shared" si="31"/>
        <v>0</v>
      </c>
      <c r="W99" s="960"/>
      <c r="X99" s="960"/>
      <c r="Y99" s="960"/>
      <c r="Z99" s="960"/>
      <c r="AA99" s="975">
        <f t="shared" si="32"/>
        <v>0</v>
      </c>
      <c r="AB99" s="975">
        <f>VLOOKUP(C99,'[8]MỦ TẠP'!$D$10:$AM$450,33,0)</f>
        <v>0</v>
      </c>
      <c r="AC99" s="975">
        <f>VLOOKUP(C99,'[8]MỦ TẠP'!$D$10:$AM$450,34,0)</f>
        <v>0</v>
      </c>
      <c r="AD99" s="975">
        <f>VLOOKUP(C99,'[8]MỦ TẠP'!$D$10:$AM$450,35,0)</f>
        <v>0</v>
      </c>
      <c r="AE99" s="975">
        <f t="shared" si="34"/>
        <v>0</v>
      </c>
      <c r="AF99" s="975"/>
      <c r="AG99" s="975"/>
      <c r="AH99" s="975">
        <f t="shared" si="33"/>
        <v>0</v>
      </c>
      <c r="AI99" s="975">
        <f>VLOOKUP(C99,'[8]CHẤM CÔNG '!$F$10:$AM$451,33,0)</f>
        <v>0</v>
      </c>
      <c r="AJ99" s="975">
        <f>VLOOKUP(C99,'[8]CHẤM CÔNG '!$F$10:$AM$451,34,0)</f>
        <v>0</v>
      </c>
      <c r="AK99" s="975"/>
      <c r="AL99" s="975"/>
      <c r="AM99" s="975"/>
      <c r="AN99" s="975">
        <f>VLOOKUP(C99,'[8]CHẤM CÔNG '!$F$10:$AN$451,35,0)</f>
        <v>0</v>
      </c>
      <c r="AO99" s="975">
        <f>VLOOKUP(C99,'[8]CHẤM CÔNG '!$F$10:$AR$451,36,0)</f>
        <v>0</v>
      </c>
      <c r="AP99" s="975"/>
      <c r="AQ99" s="975"/>
      <c r="AR99" s="975"/>
      <c r="AS99" s="981"/>
      <c r="AT99" s="982">
        <f>VLOOKUP(C99,'[8]MỦ TẠP'!$D$10:$AO$450,38,0)</f>
        <v>0</v>
      </c>
    </row>
    <row r="100" spans="1:46" ht="15.75">
      <c r="A100" s="969">
        <v>44</v>
      </c>
      <c r="B100" s="958" t="str">
        <f>VLOOKUP(C100,'[8]DS CN MOI UP'!$B$10:$C$489,2,0)</f>
        <v>03308</v>
      </c>
      <c r="C100" s="970" t="s">
        <v>472</v>
      </c>
      <c r="D100" s="971" t="s">
        <v>15</v>
      </c>
      <c r="E100" s="960"/>
      <c r="F100" s="960"/>
      <c r="G100" s="960"/>
      <c r="H100" s="960"/>
      <c r="I100" s="960"/>
      <c r="J100" s="960"/>
      <c r="K100" s="960"/>
      <c r="L100" s="960"/>
      <c r="M100" s="960"/>
      <c r="N100" s="960">
        <f t="shared" si="23"/>
        <v>0</v>
      </c>
      <c r="O100" s="960">
        <f t="shared" si="24"/>
        <v>0</v>
      </c>
      <c r="P100" s="960">
        <f t="shared" si="25"/>
        <v>0</v>
      </c>
      <c r="Q100" s="960">
        <f t="shared" si="26"/>
        <v>0</v>
      </c>
      <c r="R100" s="960">
        <f t="shared" si="27"/>
        <v>0</v>
      </c>
      <c r="S100" s="960">
        <f t="shared" si="28"/>
        <v>0</v>
      </c>
      <c r="T100" s="960">
        <f t="shared" si="29"/>
        <v>0</v>
      </c>
      <c r="U100" s="960">
        <f t="shared" si="30"/>
        <v>0</v>
      </c>
      <c r="V100" s="960">
        <f t="shared" si="31"/>
        <v>0</v>
      </c>
      <c r="W100" s="960"/>
      <c r="X100" s="960"/>
      <c r="Y100" s="960"/>
      <c r="Z100" s="960"/>
      <c r="AA100" s="975">
        <f t="shared" si="32"/>
        <v>0</v>
      </c>
      <c r="AB100" s="975">
        <f>VLOOKUP(C100,'[8]MỦ TẠP'!$D$10:$AM$450,33,0)</f>
        <v>0</v>
      </c>
      <c r="AC100" s="975">
        <f>VLOOKUP(C100,'[8]MỦ TẠP'!$D$10:$AM$450,34,0)</f>
        <v>0</v>
      </c>
      <c r="AD100" s="975">
        <f>VLOOKUP(C100,'[8]MỦ TẠP'!$D$10:$AM$450,35,0)</f>
        <v>0</v>
      </c>
      <c r="AE100" s="975">
        <f t="shared" si="34"/>
        <v>0</v>
      </c>
      <c r="AF100" s="975"/>
      <c r="AG100" s="975"/>
      <c r="AH100" s="975">
        <f t="shared" si="33"/>
        <v>0</v>
      </c>
      <c r="AI100" s="975">
        <f>VLOOKUP(C100,'[8]CHẤM CÔNG '!$F$10:$AM$451,33,0)</f>
        <v>0</v>
      </c>
      <c r="AJ100" s="975">
        <f>VLOOKUP(C100,'[8]CHẤM CÔNG '!$F$10:$AM$451,34,0)</f>
        <v>0</v>
      </c>
      <c r="AK100" s="975"/>
      <c r="AL100" s="975"/>
      <c r="AM100" s="975"/>
      <c r="AN100" s="975">
        <f>VLOOKUP(C100,'[8]CHẤM CÔNG '!$F$10:$AN$451,35,0)</f>
        <v>0</v>
      </c>
      <c r="AO100" s="975">
        <f>VLOOKUP(C100,'[8]CHẤM CÔNG '!$F$10:$AR$451,36,0)</f>
        <v>0</v>
      </c>
      <c r="AP100" s="975"/>
      <c r="AQ100" s="975"/>
      <c r="AR100" s="975"/>
      <c r="AS100" s="981"/>
      <c r="AT100" s="982">
        <f>VLOOKUP(C100,'[8]MỦ TẠP'!$D$10:$AO$450,38,0)</f>
        <v>0</v>
      </c>
    </row>
    <row r="101" spans="1:46" ht="15.75">
      <c r="A101" s="969">
        <v>45</v>
      </c>
      <c r="B101" s="958" t="str">
        <f>VLOOKUP(C101,'[8]DS CN MOI UP'!$B$10:$C$489,2,0)</f>
        <v>03309</v>
      </c>
      <c r="C101" s="970" t="s">
        <v>473</v>
      </c>
      <c r="D101" s="971" t="s">
        <v>15</v>
      </c>
      <c r="E101" s="960"/>
      <c r="F101" s="960"/>
      <c r="G101" s="960"/>
      <c r="H101" s="960"/>
      <c r="I101" s="960"/>
      <c r="J101" s="960"/>
      <c r="K101" s="960"/>
      <c r="L101" s="960"/>
      <c r="M101" s="960"/>
      <c r="N101" s="960">
        <f t="shared" si="23"/>
        <v>0</v>
      </c>
      <c r="O101" s="960">
        <f t="shared" si="24"/>
        <v>0</v>
      </c>
      <c r="P101" s="960">
        <f t="shared" si="25"/>
        <v>0</v>
      </c>
      <c r="Q101" s="960">
        <f t="shared" si="26"/>
        <v>0</v>
      </c>
      <c r="R101" s="960">
        <f t="shared" si="27"/>
        <v>0</v>
      </c>
      <c r="S101" s="960">
        <f t="shared" si="28"/>
        <v>0</v>
      </c>
      <c r="T101" s="960">
        <f t="shared" si="29"/>
        <v>0</v>
      </c>
      <c r="U101" s="960">
        <f t="shared" si="30"/>
        <v>0</v>
      </c>
      <c r="V101" s="960">
        <f t="shared" si="31"/>
        <v>0</v>
      </c>
      <c r="W101" s="960"/>
      <c r="X101" s="960"/>
      <c r="Y101" s="960"/>
      <c r="Z101" s="960"/>
      <c r="AA101" s="975">
        <f t="shared" si="32"/>
        <v>0</v>
      </c>
      <c r="AB101" s="975">
        <f>VLOOKUP(C101,'[8]MỦ TẠP'!$D$10:$AM$450,33,0)</f>
        <v>0</v>
      </c>
      <c r="AC101" s="975">
        <f>VLOOKUP(C101,'[8]MỦ TẠP'!$D$10:$AM$450,34,0)</f>
        <v>0</v>
      </c>
      <c r="AD101" s="975">
        <f>VLOOKUP(C101,'[8]MỦ TẠP'!$D$10:$AM$450,35,0)</f>
        <v>0</v>
      </c>
      <c r="AE101" s="975">
        <f t="shared" si="34"/>
        <v>0</v>
      </c>
      <c r="AF101" s="975"/>
      <c r="AG101" s="975"/>
      <c r="AH101" s="975">
        <f t="shared" si="33"/>
        <v>0</v>
      </c>
      <c r="AI101" s="975">
        <f>VLOOKUP(C101,'[8]CHẤM CÔNG '!$F$10:$AM$451,33,0)</f>
        <v>0</v>
      </c>
      <c r="AJ101" s="975">
        <f>VLOOKUP(C101,'[8]CHẤM CÔNG '!$F$10:$AM$451,34,0)</f>
        <v>0</v>
      </c>
      <c r="AK101" s="975"/>
      <c r="AL101" s="975"/>
      <c r="AM101" s="975"/>
      <c r="AN101" s="975">
        <f>VLOOKUP(C101,'[8]CHẤM CÔNG '!$F$10:$AN$451,35,0)</f>
        <v>0</v>
      </c>
      <c r="AO101" s="975">
        <f>VLOOKUP(C101,'[8]CHẤM CÔNG '!$F$10:$AR$451,36,0)</f>
        <v>0</v>
      </c>
      <c r="AP101" s="975"/>
      <c r="AQ101" s="975"/>
      <c r="AR101" s="975"/>
      <c r="AS101" s="981"/>
      <c r="AT101" s="982">
        <f>VLOOKUP(C101,'[8]MỦ TẠP'!$D$10:$AO$450,38,0)</f>
        <v>0</v>
      </c>
    </row>
    <row r="102" spans="1:46" ht="15.75">
      <c r="A102" s="969">
        <v>46</v>
      </c>
      <c r="B102" s="958" t="e">
        <f>VLOOKUP(C102,'[8]DS CN MOI UP'!$B$10:$C$489,2,0)</f>
        <v>#N/A</v>
      </c>
      <c r="C102" s="970" t="s">
        <v>2635</v>
      </c>
      <c r="D102" s="971" t="s">
        <v>15</v>
      </c>
      <c r="E102" s="960"/>
      <c r="F102" s="960"/>
      <c r="G102" s="960"/>
      <c r="H102" s="960"/>
      <c r="I102" s="960"/>
      <c r="J102" s="960"/>
      <c r="K102" s="960"/>
      <c r="L102" s="960"/>
      <c r="M102" s="960"/>
      <c r="N102" s="960">
        <f t="shared" si="23"/>
        <v>0</v>
      </c>
      <c r="O102" s="960">
        <f t="shared" si="24"/>
        <v>0</v>
      </c>
      <c r="P102" s="960">
        <f t="shared" si="25"/>
        <v>0</v>
      </c>
      <c r="Q102" s="960">
        <f t="shared" si="26"/>
        <v>0</v>
      </c>
      <c r="R102" s="960">
        <f t="shared" si="27"/>
        <v>0</v>
      </c>
      <c r="S102" s="960">
        <f t="shared" si="28"/>
        <v>0</v>
      </c>
      <c r="T102" s="960">
        <f t="shared" si="29"/>
        <v>0</v>
      </c>
      <c r="U102" s="960">
        <f t="shared" si="30"/>
        <v>0</v>
      </c>
      <c r="V102" s="960">
        <f t="shared" si="31"/>
        <v>0</v>
      </c>
      <c r="W102" s="960"/>
      <c r="X102" s="960"/>
      <c r="Y102" s="960"/>
      <c r="Z102" s="960"/>
      <c r="AA102" s="975">
        <f t="shared" si="32"/>
        <v>0</v>
      </c>
      <c r="AB102" s="975">
        <f>VLOOKUP(C102,'[8]MỦ TẠP'!$D$10:$AM$450,33,0)</f>
        <v>0</v>
      </c>
      <c r="AC102" s="975">
        <f>VLOOKUP(C102,'[8]MỦ TẠP'!$D$10:$AM$450,34,0)</f>
        <v>0</v>
      </c>
      <c r="AD102" s="975">
        <f>VLOOKUP(C102,'[8]MỦ TẠP'!$D$10:$AM$450,35,0)</f>
        <v>0</v>
      </c>
      <c r="AE102" s="975">
        <f t="shared" si="34"/>
        <v>0</v>
      </c>
      <c r="AF102" s="975"/>
      <c r="AG102" s="975"/>
      <c r="AH102" s="975">
        <f t="shared" si="33"/>
        <v>0</v>
      </c>
      <c r="AI102" s="975">
        <f>VLOOKUP(C102,'[8]CHẤM CÔNG '!$F$10:$AM$451,33,0)</f>
        <v>0</v>
      </c>
      <c r="AJ102" s="975">
        <f>VLOOKUP(C102,'[8]CHẤM CÔNG '!$F$10:$AM$451,34,0)</f>
        <v>0</v>
      </c>
      <c r="AK102" s="975"/>
      <c r="AL102" s="975"/>
      <c r="AM102" s="975"/>
      <c r="AN102" s="975">
        <f>VLOOKUP(C102,'[8]CHẤM CÔNG '!$F$10:$AN$451,35,0)</f>
        <v>0</v>
      </c>
      <c r="AO102" s="975">
        <f>VLOOKUP(C102,'[8]CHẤM CÔNG '!$F$10:$AR$451,36,0)</f>
        <v>0</v>
      </c>
      <c r="AP102" s="975"/>
      <c r="AQ102" s="975"/>
      <c r="AR102" s="975"/>
      <c r="AS102" s="981"/>
      <c r="AT102" s="982">
        <f>VLOOKUP(C102,'[8]MỦ TẠP'!$D$10:$AO$450,38,0)</f>
        <v>0</v>
      </c>
    </row>
    <row r="103" spans="1:46" ht="15.75">
      <c r="A103" s="969">
        <v>47</v>
      </c>
      <c r="B103" s="958" t="str">
        <f>VLOOKUP(C103,'[8]DS CN MOI UP'!$B$10:$C$489,2,0)</f>
        <v>03311</v>
      </c>
      <c r="C103" s="970" t="s">
        <v>475</v>
      </c>
      <c r="D103" s="971" t="s">
        <v>15</v>
      </c>
      <c r="E103" s="960"/>
      <c r="F103" s="960"/>
      <c r="G103" s="960"/>
      <c r="H103" s="960"/>
      <c r="I103" s="960"/>
      <c r="J103" s="960"/>
      <c r="K103" s="960"/>
      <c r="L103" s="960"/>
      <c r="M103" s="960"/>
      <c r="N103" s="960">
        <f t="shared" si="23"/>
        <v>0</v>
      </c>
      <c r="O103" s="960">
        <f t="shared" si="24"/>
        <v>0</v>
      </c>
      <c r="P103" s="960">
        <f t="shared" si="25"/>
        <v>0</v>
      </c>
      <c r="Q103" s="960">
        <f t="shared" si="26"/>
        <v>0</v>
      </c>
      <c r="R103" s="960">
        <f t="shared" si="27"/>
        <v>0</v>
      </c>
      <c r="S103" s="960">
        <f t="shared" si="28"/>
        <v>0</v>
      </c>
      <c r="T103" s="960">
        <f t="shared" si="29"/>
        <v>0</v>
      </c>
      <c r="U103" s="960">
        <f t="shared" si="30"/>
        <v>0</v>
      </c>
      <c r="V103" s="960">
        <f t="shared" si="31"/>
        <v>0</v>
      </c>
      <c r="W103" s="960"/>
      <c r="X103" s="960"/>
      <c r="Y103" s="960"/>
      <c r="Z103" s="960"/>
      <c r="AA103" s="975">
        <f t="shared" si="32"/>
        <v>0</v>
      </c>
      <c r="AB103" s="975">
        <f>VLOOKUP(C103,'[8]MỦ TẠP'!$D$10:$AM$450,33,0)</f>
        <v>0</v>
      </c>
      <c r="AC103" s="975">
        <f>VLOOKUP(C103,'[8]MỦ TẠP'!$D$10:$AM$450,34,0)</f>
        <v>0</v>
      </c>
      <c r="AD103" s="975">
        <f>VLOOKUP(C103,'[8]MỦ TẠP'!$D$10:$AM$450,35,0)</f>
        <v>0</v>
      </c>
      <c r="AE103" s="975">
        <f t="shared" si="34"/>
        <v>0</v>
      </c>
      <c r="AF103" s="975"/>
      <c r="AG103" s="975"/>
      <c r="AH103" s="975">
        <f t="shared" si="33"/>
        <v>0</v>
      </c>
      <c r="AI103" s="975">
        <f>VLOOKUP(C103,'[8]CHẤM CÔNG '!$F$10:$AM$451,33,0)</f>
        <v>0</v>
      </c>
      <c r="AJ103" s="975">
        <f>VLOOKUP(C103,'[8]CHẤM CÔNG '!$F$10:$AM$451,34,0)</f>
        <v>0</v>
      </c>
      <c r="AK103" s="975"/>
      <c r="AL103" s="975"/>
      <c r="AM103" s="975"/>
      <c r="AN103" s="975">
        <f>VLOOKUP(C103,'[8]CHẤM CÔNG '!$F$10:$AN$451,35,0)</f>
        <v>0</v>
      </c>
      <c r="AO103" s="975">
        <f>VLOOKUP(C103,'[8]CHẤM CÔNG '!$F$10:$AR$451,36,0)</f>
        <v>0</v>
      </c>
      <c r="AP103" s="975"/>
      <c r="AQ103" s="975"/>
      <c r="AR103" s="975"/>
      <c r="AS103" s="981"/>
      <c r="AT103" s="982">
        <f>VLOOKUP(C103,'[8]MỦ TẠP'!$D$10:$AO$450,38,0)</f>
        <v>0</v>
      </c>
    </row>
    <row r="104" spans="1:46" ht="15.75">
      <c r="A104" s="969">
        <v>48</v>
      </c>
      <c r="B104" s="958" t="str">
        <f>VLOOKUP(C104,'[8]DS CN MOI UP'!$B$10:$C$489,2,0)</f>
        <v>03312</v>
      </c>
      <c r="C104" s="991" t="s">
        <v>476</v>
      </c>
      <c r="D104" s="971" t="s">
        <v>15</v>
      </c>
      <c r="E104" s="960"/>
      <c r="F104" s="960"/>
      <c r="G104" s="960"/>
      <c r="H104" s="960"/>
      <c r="I104" s="960"/>
      <c r="J104" s="960"/>
      <c r="K104" s="960"/>
      <c r="L104" s="960"/>
      <c r="M104" s="960"/>
      <c r="N104" s="960">
        <f t="shared" si="23"/>
        <v>0</v>
      </c>
      <c r="O104" s="960">
        <f t="shared" si="24"/>
        <v>0</v>
      </c>
      <c r="P104" s="960">
        <f t="shared" si="25"/>
        <v>0</v>
      </c>
      <c r="Q104" s="960">
        <f t="shared" si="26"/>
        <v>0</v>
      </c>
      <c r="R104" s="960">
        <f t="shared" si="27"/>
        <v>0</v>
      </c>
      <c r="S104" s="960">
        <f t="shared" si="28"/>
        <v>0</v>
      </c>
      <c r="T104" s="960">
        <f t="shared" si="29"/>
        <v>0</v>
      </c>
      <c r="U104" s="960">
        <f t="shared" si="30"/>
        <v>0</v>
      </c>
      <c r="V104" s="960">
        <f t="shared" si="31"/>
        <v>0</v>
      </c>
      <c r="W104" s="960"/>
      <c r="X104" s="960"/>
      <c r="Y104" s="960"/>
      <c r="Z104" s="960"/>
      <c r="AA104" s="975">
        <f t="shared" si="32"/>
        <v>0</v>
      </c>
      <c r="AB104" s="975">
        <f>VLOOKUP(C104,'[8]MỦ TẠP'!$D$10:$AM$450,33,0)</f>
        <v>0</v>
      </c>
      <c r="AC104" s="975">
        <f>VLOOKUP(C104,'[8]MỦ TẠP'!$D$10:$AM$450,34,0)</f>
        <v>0</v>
      </c>
      <c r="AD104" s="975">
        <f>VLOOKUP(C104,'[8]MỦ TẠP'!$D$10:$AM$450,35,0)</f>
        <v>0</v>
      </c>
      <c r="AE104" s="975">
        <f t="shared" si="34"/>
        <v>0</v>
      </c>
      <c r="AF104" s="975"/>
      <c r="AG104" s="975"/>
      <c r="AH104" s="975">
        <f t="shared" si="33"/>
        <v>0</v>
      </c>
      <c r="AI104" s="975">
        <f>VLOOKUP(C104,'[8]CHẤM CÔNG '!$F$10:$AM$451,33,0)</f>
        <v>0</v>
      </c>
      <c r="AJ104" s="975">
        <f>VLOOKUP(C104,'[8]CHẤM CÔNG '!$F$10:$AM$451,34,0)</f>
        <v>0</v>
      </c>
      <c r="AK104" s="975"/>
      <c r="AL104" s="975"/>
      <c r="AM104" s="975"/>
      <c r="AN104" s="975">
        <f>VLOOKUP(C104,'[8]CHẤM CÔNG '!$F$10:$AN$451,35,0)</f>
        <v>0</v>
      </c>
      <c r="AO104" s="975">
        <f>VLOOKUP(C104,'[8]CHẤM CÔNG '!$F$10:$AR$451,36,0)</f>
        <v>0</v>
      </c>
      <c r="AP104" s="975"/>
      <c r="AQ104" s="975"/>
      <c r="AR104" s="975"/>
      <c r="AS104" s="981"/>
      <c r="AT104" s="982">
        <f>VLOOKUP(C104,'[8]MỦ TẠP'!$D$10:$AO$450,38,0)</f>
        <v>0</v>
      </c>
    </row>
    <row r="105" spans="1:46" ht="15.75">
      <c r="A105" s="969">
        <v>49</v>
      </c>
      <c r="B105" s="958" t="e">
        <f>VLOOKUP(C105,'[8]DS CN MOI UP'!$B$10:$C$489,2,0)</f>
        <v>#N/A</v>
      </c>
      <c r="C105" s="970" t="s">
        <v>2636</v>
      </c>
      <c r="D105" s="971" t="s">
        <v>15</v>
      </c>
      <c r="E105" s="960"/>
      <c r="F105" s="960"/>
      <c r="G105" s="960"/>
      <c r="H105" s="960"/>
      <c r="I105" s="960"/>
      <c r="J105" s="960"/>
      <c r="K105" s="960"/>
      <c r="L105" s="960"/>
      <c r="M105" s="960"/>
      <c r="N105" s="960">
        <f t="shared" si="23"/>
        <v>0</v>
      </c>
      <c r="O105" s="960">
        <f t="shared" si="24"/>
        <v>0</v>
      </c>
      <c r="P105" s="960">
        <f t="shared" si="25"/>
        <v>0</v>
      </c>
      <c r="Q105" s="960">
        <f t="shared" si="26"/>
        <v>0</v>
      </c>
      <c r="R105" s="960">
        <f t="shared" si="27"/>
        <v>0</v>
      </c>
      <c r="S105" s="960">
        <f t="shared" si="28"/>
        <v>0</v>
      </c>
      <c r="T105" s="960">
        <f t="shared" si="29"/>
        <v>0</v>
      </c>
      <c r="U105" s="960">
        <f t="shared" si="30"/>
        <v>0</v>
      </c>
      <c r="V105" s="960">
        <f t="shared" si="31"/>
        <v>0</v>
      </c>
      <c r="W105" s="960"/>
      <c r="X105" s="960"/>
      <c r="Y105" s="960"/>
      <c r="Z105" s="960"/>
      <c r="AA105" s="975">
        <f t="shared" si="32"/>
        <v>0</v>
      </c>
      <c r="AB105" s="975">
        <f>VLOOKUP(C105,'[8]MỦ TẠP'!$D$10:$AM$450,33,0)</f>
        <v>0</v>
      </c>
      <c r="AC105" s="975">
        <f>VLOOKUP(C105,'[8]MỦ TẠP'!$D$10:$AM$450,34,0)</f>
        <v>0</v>
      </c>
      <c r="AD105" s="975">
        <f>VLOOKUP(C105,'[8]MỦ TẠP'!$D$10:$AM$450,35,0)</f>
        <v>0</v>
      </c>
      <c r="AE105" s="975">
        <f t="shared" si="34"/>
        <v>0</v>
      </c>
      <c r="AF105" s="975"/>
      <c r="AG105" s="975"/>
      <c r="AH105" s="975">
        <f t="shared" si="33"/>
        <v>0</v>
      </c>
      <c r="AI105" s="975">
        <f>VLOOKUP(C105,'[8]CHẤM CÔNG '!$F$10:$AM$451,33,0)</f>
        <v>0</v>
      </c>
      <c r="AJ105" s="975">
        <f>VLOOKUP(C105,'[8]CHẤM CÔNG '!$F$10:$AM$451,34,0)</f>
        <v>0</v>
      </c>
      <c r="AK105" s="975"/>
      <c r="AL105" s="975"/>
      <c r="AM105" s="975"/>
      <c r="AN105" s="975">
        <f>VLOOKUP(C105,'[8]CHẤM CÔNG '!$F$10:$AN$451,35,0)</f>
        <v>0</v>
      </c>
      <c r="AO105" s="975">
        <f>VLOOKUP(C105,'[8]CHẤM CÔNG '!$F$10:$AR$451,36,0)</f>
        <v>0</v>
      </c>
      <c r="AP105" s="975"/>
      <c r="AQ105" s="975"/>
      <c r="AR105" s="975"/>
      <c r="AS105" s="981"/>
      <c r="AT105" s="982">
        <f>VLOOKUP(C105,'[8]MỦ TẠP'!$D$10:$AO$450,38,0)</f>
        <v>0</v>
      </c>
    </row>
    <row r="106" spans="1:46" ht="15.75">
      <c r="A106" s="969">
        <v>50</v>
      </c>
      <c r="B106" s="958" t="str">
        <f>VLOOKUP(C106,'[8]DS CN MOI UP'!$B$10:$C$489,2,0)</f>
        <v>03314</v>
      </c>
      <c r="C106" s="970" t="s">
        <v>909</v>
      </c>
      <c r="D106" s="971" t="s">
        <v>15</v>
      </c>
      <c r="E106" s="960"/>
      <c r="F106" s="960"/>
      <c r="G106" s="960"/>
      <c r="H106" s="960"/>
      <c r="I106" s="960"/>
      <c r="J106" s="960"/>
      <c r="K106" s="960"/>
      <c r="L106" s="960"/>
      <c r="M106" s="960"/>
      <c r="N106" s="960">
        <f t="shared" si="23"/>
        <v>0</v>
      </c>
      <c r="O106" s="960">
        <f t="shared" si="24"/>
        <v>0</v>
      </c>
      <c r="P106" s="960">
        <f t="shared" si="25"/>
        <v>0</v>
      </c>
      <c r="Q106" s="960">
        <f t="shared" si="26"/>
        <v>0</v>
      </c>
      <c r="R106" s="960">
        <f t="shared" si="27"/>
        <v>0</v>
      </c>
      <c r="S106" s="960">
        <f t="shared" si="28"/>
        <v>0</v>
      </c>
      <c r="T106" s="960">
        <f t="shared" si="29"/>
        <v>0</v>
      </c>
      <c r="U106" s="960">
        <f t="shared" si="30"/>
        <v>0</v>
      </c>
      <c r="V106" s="960">
        <f t="shared" si="31"/>
        <v>0</v>
      </c>
      <c r="W106" s="960"/>
      <c r="X106" s="960"/>
      <c r="Y106" s="960"/>
      <c r="Z106" s="960"/>
      <c r="AA106" s="975">
        <f t="shared" si="32"/>
        <v>0</v>
      </c>
      <c r="AB106" s="975">
        <f>VLOOKUP(C106,'[8]MỦ TẠP'!$D$10:$AM$450,33,0)</f>
        <v>0</v>
      </c>
      <c r="AC106" s="975">
        <f>VLOOKUP(C106,'[8]MỦ TẠP'!$D$10:$AM$450,34,0)</f>
        <v>0</v>
      </c>
      <c r="AD106" s="975">
        <f>VLOOKUP(C106,'[8]MỦ TẠP'!$D$10:$AM$450,35,0)</f>
        <v>0</v>
      </c>
      <c r="AE106" s="975">
        <f t="shared" si="34"/>
        <v>0</v>
      </c>
      <c r="AF106" s="975"/>
      <c r="AG106" s="975"/>
      <c r="AH106" s="975">
        <f t="shared" si="33"/>
        <v>0</v>
      </c>
      <c r="AI106" s="975">
        <f>VLOOKUP(C106,'[8]CHẤM CÔNG '!$F$10:$AM$451,33,0)</f>
        <v>0</v>
      </c>
      <c r="AJ106" s="975">
        <f>VLOOKUP(C106,'[8]CHẤM CÔNG '!$F$10:$AM$451,34,0)</f>
        <v>0</v>
      </c>
      <c r="AK106" s="975"/>
      <c r="AL106" s="975"/>
      <c r="AM106" s="975"/>
      <c r="AN106" s="975">
        <f>VLOOKUP(C106,'[8]CHẤM CÔNG '!$F$10:$AN$451,35,0)</f>
        <v>0</v>
      </c>
      <c r="AO106" s="975">
        <f>VLOOKUP(C106,'[8]CHẤM CÔNG '!$F$10:$AR$451,36,0)</f>
        <v>0</v>
      </c>
      <c r="AP106" s="975"/>
      <c r="AQ106" s="975"/>
      <c r="AR106" s="975"/>
      <c r="AS106" s="981"/>
      <c r="AT106" s="982">
        <f>VLOOKUP(C106,'[8]MỦ TẠP'!$D$10:$AO$450,38,0)</f>
        <v>0</v>
      </c>
    </row>
    <row r="107" spans="1:46" ht="15.75">
      <c r="A107" s="969">
        <v>51</v>
      </c>
      <c r="B107" s="958" t="str">
        <f>VLOOKUP(C107,'[8]DS CN MOI UP'!$B$10:$C$489,2,0)</f>
        <v>03315</v>
      </c>
      <c r="C107" s="970" t="s">
        <v>479</v>
      </c>
      <c r="D107" s="971" t="s">
        <v>15</v>
      </c>
      <c r="E107" s="960"/>
      <c r="F107" s="960"/>
      <c r="G107" s="960"/>
      <c r="H107" s="960"/>
      <c r="I107" s="960"/>
      <c r="J107" s="960"/>
      <c r="K107" s="960"/>
      <c r="L107" s="960"/>
      <c r="M107" s="960"/>
      <c r="N107" s="960">
        <f t="shared" si="23"/>
        <v>0</v>
      </c>
      <c r="O107" s="960">
        <f t="shared" si="24"/>
        <v>0</v>
      </c>
      <c r="P107" s="960">
        <f t="shared" si="25"/>
        <v>0</v>
      </c>
      <c r="Q107" s="960">
        <f t="shared" si="26"/>
        <v>0</v>
      </c>
      <c r="R107" s="960">
        <f t="shared" si="27"/>
        <v>0</v>
      </c>
      <c r="S107" s="960">
        <f t="shared" si="28"/>
        <v>0</v>
      </c>
      <c r="T107" s="960">
        <f t="shared" si="29"/>
        <v>0</v>
      </c>
      <c r="U107" s="960">
        <f t="shared" si="30"/>
        <v>0</v>
      </c>
      <c r="V107" s="960">
        <f t="shared" si="31"/>
        <v>0</v>
      </c>
      <c r="W107" s="960"/>
      <c r="X107" s="960"/>
      <c r="Y107" s="960"/>
      <c r="Z107" s="960"/>
      <c r="AA107" s="975">
        <f t="shared" si="32"/>
        <v>0</v>
      </c>
      <c r="AB107" s="975">
        <f>VLOOKUP(C107,'[8]MỦ TẠP'!$D$10:$AM$450,33,0)</f>
        <v>0</v>
      </c>
      <c r="AC107" s="975">
        <f>VLOOKUP(C107,'[8]MỦ TẠP'!$D$10:$AM$450,34,0)</f>
        <v>0</v>
      </c>
      <c r="AD107" s="975">
        <f>VLOOKUP(C107,'[8]MỦ TẠP'!$D$10:$AM$450,35,0)</f>
        <v>0</v>
      </c>
      <c r="AE107" s="975">
        <f t="shared" si="34"/>
        <v>0</v>
      </c>
      <c r="AF107" s="975"/>
      <c r="AG107" s="975"/>
      <c r="AH107" s="975">
        <f t="shared" si="33"/>
        <v>0</v>
      </c>
      <c r="AI107" s="975">
        <f>VLOOKUP(C107,'[8]CHẤM CÔNG '!$F$10:$AM$451,33,0)</f>
        <v>0</v>
      </c>
      <c r="AJ107" s="975">
        <f>VLOOKUP(C107,'[8]CHẤM CÔNG '!$F$10:$AM$451,34,0)</f>
        <v>0</v>
      </c>
      <c r="AK107" s="975"/>
      <c r="AL107" s="975"/>
      <c r="AM107" s="975"/>
      <c r="AN107" s="975">
        <f>VLOOKUP(C107,'[8]CHẤM CÔNG '!$F$10:$AN$451,35,0)</f>
        <v>0</v>
      </c>
      <c r="AO107" s="975">
        <f>VLOOKUP(C107,'[8]CHẤM CÔNG '!$F$10:$AR$451,36,0)</f>
        <v>0</v>
      </c>
      <c r="AP107" s="975"/>
      <c r="AQ107" s="975"/>
      <c r="AR107" s="975"/>
      <c r="AS107" s="981"/>
      <c r="AT107" s="982">
        <f>VLOOKUP(C107,'[8]MỦ TẠP'!$D$10:$AO$450,38,0)</f>
        <v>0</v>
      </c>
    </row>
    <row r="108" spans="1:46" ht="15.75">
      <c r="A108" s="969">
        <v>52</v>
      </c>
      <c r="B108" s="958" t="e">
        <f>VLOOKUP(C108,'[8]DS CN MOI UP'!$B$10:$C$489,2,0)</f>
        <v>#N/A</v>
      </c>
      <c r="C108" s="970" t="s">
        <v>2637</v>
      </c>
      <c r="D108" s="971" t="s">
        <v>15</v>
      </c>
      <c r="E108" s="960"/>
      <c r="F108" s="960"/>
      <c r="G108" s="960"/>
      <c r="H108" s="960"/>
      <c r="I108" s="960"/>
      <c r="J108" s="960"/>
      <c r="K108" s="960"/>
      <c r="L108" s="960"/>
      <c r="M108" s="960"/>
      <c r="N108" s="960">
        <f t="shared" si="23"/>
        <v>0</v>
      </c>
      <c r="O108" s="960">
        <f t="shared" si="24"/>
        <v>0</v>
      </c>
      <c r="P108" s="960">
        <f t="shared" si="25"/>
        <v>0</v>
      </c>
      <c r="Q108" s="960">
        <f t="shared" si="26"/>
        <v>0</v>
      </c>
      <c r="R108" s="960">
        <f t="shared" si="27"/>
        <v>0</v>
      </c>
      <c r="S108" s="960">
        <f t="shared" si="28"/>
        <v>0</v>
      </c>
      <c r="T108" s="960">
        <f t="shared" si="29"/>
        <v>0</v>
      </c>
      <c r="U108" s="960">
        <f t="shared" si="30"/>
        <v>0</v>
      </c>
      <c r="V108" s="960">
        <f t="shared" si="31"/>
        <v>0</v>
      </c>
      <c r="W108" s="960"/>
      <c r="X108" s="960"/>
      <c r="Y108" s="960"/>
      <c r="Z108" s="960"/>
      <c r="AA108" s="975">
        <f t="shared" si="32"/>
        <v>0</v>
      </c>
      <c r="AB108" s="975">
        <f>VLOOKUP(C108,'[8]MỦ TẠP'!$D$10:$AM$450,33,0)</f>
        <v>0</v>
      </c>
      <c r="AC108" s="975">
        <f>VLOOKUP(C108,'[8]MỦ TẠP'!$D$10:$AM$450,34,0)</f>
        <v>0</v>
      </c>
      <c r="AD108" s="975">
        <f>VLOOKUP(C108,'[8]MỦ TẠP'!$D$10:$AM$450,35,0)</f>
        <v>0</v>
      </c>
      <c r="AE108" s="975">
        <f t="shared" si="34"/>
        <v>0</v>
      </c>
      <c r="AF108" s="975"/>
      <c r="AG108" s="975"/>
      <c r="AH108" s="975">
        <f t="shared" si="33"/>
        <v>0</v>
      </c>
      <c r="AI108" s="975">
        <f>VLOOKUP(C108,'[8]CHẤM CÔNG '!$F$10:$AM$451,33,0)</f>
        <v>0</v>
      </c>
      <c r="AJ108" s="975">
        <f>VLOOKUP(C108,'[8]CHẤM CÔNG '!$F$10:$AM$451,34,0)</f>
        <v>0</v>
      </c>
      <c r="AK108" s="975"/>
      <c r="AL108" s="975"/>
      <c r="AM108" s="975"/>
      <c r="AN108" s="975">
        <f>VLOOKUP(C108,'[8]CHẤM CÔNG '!$F$10:$AN$451,35,0)</f>
        <v>0</v>
      </c>
      <c r="AO108" s="975">
        <f>VLOOKUP(C108,'[8]CHẤM CÔNG '!$F$10:$AR$451,36,0)</f>
        <v>0</v>
      </c>
      <c r="AP108" s="975"/>
      <c r="AQ108" s="975"/>
      <c r="AR108" s="975"/>
      <c r="AS108" s="981"/>
      <c r="AT108" s="982">
        <f>VLOOKUP(C108,'[8]MỦ TẠP'!$D$10:$AO$450,38,0)</f>
        <v>0</v>
      </c>
    </row>
    <row r="109" spans="1:46" ht="15.75">
      <c r="A109" s="969">
        <v>53</v>
      </c>
      <c r="B109" s="958" t="e">
        <f>VLOOKUP(C109,'[8]DS CN MOI UP'!$B$10:$C$489,2,0)</f>
        <v>#N/A</v>
      </c>
      <c r="C109" s="970" t="s">
        <v>2638</v>
      </c>
      <c r="D109" s="971" t="s">
        <v>15</v>
      </c>
      <c r="E109" s="960"/>
      <c r="F109" s="960"/>
      <c r="G109" s="960"/>
      <c r="H109" s="960"/>
      <c r="I109" s="960"/>
      <c r="J109" s="960"/>
      <c r="K109" s="960"/>
      <c r="L109" s="960"/>
      <c r="M109" s="960"/>
      <c r="N109" s="960">
        <f t="shared" si="23"/>
        <v>0</v>
      </c>
      <c r="O109" s="960">
        <f t="shared" si="24"/>
        <v>0</v>
      </c>
      <c r="P109" s="960">
        <f t="shared" si="25"/>
        <v>0</v>
      </c>
      <c r="Q109" s="960">
        <f t="shared" si="26"/>
        <v>0</v>
      </c>
      <c r="R109" s="960">
        <f t="shared" si="27"/>
        <v>0</v>
      </c>
      <c r="S109" s="960">
        <f t="shared" si="28"/>
        <v>0</v>
      </c>
      <c r="T109" s="960">
        <f t="shared" si="29"/>
        <v>0</v>
      </c>
      <c r="U109" s="960">
        <f t="shared" si="30"/>
        <v>0</v>
      </c>
      <c r="V109" s="960">
        <f t="shared" si="31"/>
        <v>0</v>
      </c>
      <c r="W109" s="960"/>
      <c r="X109" s="960"/>
      <c r="Y109" s="960"/>
      <c r="Z109" s="960"/>
      <c r="AA109" s="975">
        <f t="shared" si="32"/>
        <v>0</v>
      </c>
      <c r="AB109" s="975">
        <f>VLOOKUP(C109,'[8]MỦ TẠP'!$D$10:$AM$450,33,0)</f>
        <v>0</v>
      </c>
      <c r="AC109" s="975">
        <f>VLOOKUP(C109,'[8]MỦ TẠP'!$D$10:$AM$450,34,0)</f>
        <v>0</v>
      </c>
      <c r="AD109" s="975">
        <f>VLOOKUP(C109,'[8]MỦ TẠP'!$D$10:$AM$450,35,0)</f>
        <v>0</v>
      </c>
      <c r="AE109" s="975">
        <f t="shared" si="34"/>
        <v>0</v>
      </c>
      <c r="AF109" s="975"/>
      <c r="AG109" s="975"/>
      <c r="AH109" s="975">
        <f t="shared" si="33"/>
        <v>0</v>
      </c>
      <c r="AI109" s="975">
        <f>VLOOKUP(C109,'[8]CHẤM CÔNG '!$F$10:$AM$451,33,0)</f>
        <v>0</v>
      </c>
      <c r="AJ109" s="975">
        <f>VLOOKUP(C109,'[8]CHẤM CÔNG '!$F$10:$AM$451,34,0)</f>
        <v>0</v>
      </c>
      <c r="AK109" s="975"/>
      <c r="AL109" s="975"/>
      <c r="AM109" s="975"/>
      <c r="AN109" s="975">
        <f>VLOOKUP(C109,'[8]CHẤM CÔNG '!$F$10:$AN$451,35,0)</f>
        <v>0</v>
      </c>
      <c r="AO109" s="975">
        <f>VLOOKUP(C109,'[8]CHẤM CÔNG '!$F$10:$AR$451,36,0)</f>
        <v>0</v>
      </c>
      <c r="AP109" s="975"/>
      <c r="AQ109" s="975"/>
      <c r="AR109" s="975"/>
      <c r="AS109" s="981"/>
      <c r="AT109" s="982">
        <f>VLOOKUP(C109,'[8]MỦ TẠP'!$D$10:$AO$450,38,0)</f>
        <v>0</v>
      </c>
    </row>
    <row r="110" spans="1:46" ht="15.75">
      <c r="A110" s="969">
        <v>54</v>
      </c>
      <c r="B110" s="958" t="str">
        <f>VLOOKUP(C110,'[8]DS CN MOI UP'!$B$10:$C$489,2,0)</f>
        <v>02665</v>
      </c>
      <c r="C110" s="970" t="s">
        <v>482</v>
      </c>
      <c r="D110" s="971" t="s">
        <v>15</v>
      </c>
      <c r="E110" s="960"/>
      <c r="F110" s="960"/>
      <c r="G110" s="960"/>
      <c r="H110" s="960"/>
      <c r="I110" s="960"/>
      <c r="J110" s="960"/>
      <c r="K110" s="960"/>
      <c r="L110" s="960"/>
      <c r="M110" s="960"/>
      <c r="N110" s="960">
        <f t="shared" si="23"/>
        <v>0</v>
      </c>
      <c r="O110" s="960">
        <f t="shared" si="24"/>
        <v>0</v>
      </c>
      <c r="P110" s="960">
        <f t="shared" si="25"/>
        <v>0</v>
      </c>
      <c r="Q110" s="960">
        <f t="shared" si="26"/>
        <v>0</v>
      </c>
      <c r="R110" s="960">
        <f t="shared" si="27"/>
        <v>0</v>
      </c>
      <c r="S110" s="960">
        <f t="shared" si="28"/>
        <v>0</v>
      </c>
      <c r="T110" s="960">
        <f t="shared" si="29"/>
        <v>0</v>
      </c>
      <c r="U110" s="960">
        <f t="shared" si="30"/>
        <v>0</v>
      </c>
      <c r="V110" s="960">
        <f t="shared" si="31"/>
        <v>0</v>
      </c>
      <c r="W110" s="960"/>
      <c r="X110" s="960"/>
      <c r="Y110" s="960"/>
      <c r="Z110" s="960"/>
      <c r="AA110" s="975">
        <f t="shared" si="32"/>
        <v>0</v>
      </c>
      <c r="AB110" s="975">
        <f>VLOOKUP(C110,'[8]MỦ TẠP'!$D$10:$AM$450,33,0)</f>
        <v>0</v>
      </c>
      <c r="AC110" s="975">
        <f>VLOOKUP(C110,'[8]MỦ TẠP'!$D$10:$AM$450,34,0)</f>
        <v>0</v>
      </c>
      <c r="AD110" s="975">
        <f>VLOOKUP(C110,'[8]MỦ TẠP'!$D$10:$AM$450,35,0)</f>
        <v>0</v>
      </c>
      <c r="AE110" s="975">
        <f t="shared" si="34"/>
        <v>0</v>
      </c>
      <c r="AF110" s="975"/>
      <c r="AG110" s="975"/>
      <c r="AH110" s="975">
        <f t="shared" si="33"/>
        <v>0</v>
      </c>
      <c r="AI110" s="975">
        <f>VLOOKUP(C110,'[8]CHẤM CÔNG '!$F$10:$AM$451,33,0)</f>
        <v>0</v>
      </c>
      <c r="AJ110" s="975">
        <f>VLOOKUP(C110,'[8]CHẤM CÔNG '!$F$10:$AM$451,34,0)</f>
        <v>0</v>
      </c>
      <c r="AK110" s="975"/>
      <c r="AL110" s="975"/>
      <c r="AM110" s="975"/>
      <c r="AN110" s="975">
        <f>VLOOKUP(C110,'[8]CHẤM CÔNG '!$F$10:$AN$451,35,0)</f>
        <v>0</v>
      </c>
      <c r="AO110" s="975">
        <f>VLOOKUP(C110,'[8]CHẤM CÔNG '!$F$10:$AR$451,36,0)</f>
        <v>0</v>
      </c>
      <c r="AP110" s="975"/>
      <c r="AQ110" s="975"/>
      <c r="AR110" s="975"/>
      <c r="AS110" s="981"/>
      <c r="AT110" s="982">
        <f>VLOOKUP(C110,'[8]MỦ TẠP'!$D$10:$AO$450,38,0)</f>
        <v>0</v>
      </c>
    </row>
    <row r="111" spans="1:46" ht="15.75">
      <c r="A111" s="969">
        <v>55</v>
      </c>
      <c r="B111" s="958" t="str">
        <f>VLOOKUP(C111,'[8]DS CN MOI UP'!$B$10:$C$489,2,0)</f>
        <v>03850</v>
      </c>
      <c r="C111" s="970" t="s">
        <v>449</v>
      </c>
      <c r="D111" s="971" t="s">
        <v>15</v>
      </c>
      <c r="E111" s="960"/>
      <c r="F111" s="960"/>
      <c r="G111" s="960"/>
      <c r="H111" s="960"/>
      <c r="I111" s="960"/>
      <c r="J111" s="960"/>
      <c r="K111" s="960"/>
      <c r="L111" s="960"/>
      <c r="M111" s="960"/>
      <c r="N111" s="960">
        <f t="shared" si="23"/>
        <v>0</v>
      </c>
      <c r="O111" s="960">
        <f t="shared" si="24"/>
        <v>0</v>
      </c>
      <c r="P111" s="960">
        <f t="shared" si="25"/>
        <v>0</v>
      </c>
      <c r="Q111" s="960">
        <f t="shared" si="26"/>
        <v>0</v>
      </c>
      <c r="R111" s="960">
        <f t="shared" si="27"/>
        <v>0</v>
      </c>
      <c r="S111" s="960">
        <f t="shared" si="28"/>
        <v>0</v>
      </c>
      <c r="T111" s="960">
        <f t="shared" si="29"/>
        <v>0</v>
      </c>
      <c r="U111" s="960">
        <f t="shared" si="30"/>
        <v>0</v>
      </c>
      <c r="V111" s="960">
        <f t="shared" si="31"/>
        <v>0</v>
      </c>
      <c r="W111" s="960"/>
      <c r="X111" s="960"/>
      <c r="Y111" s="960"/>
      <c r="Z111" s="960"/>
      <c r="AA111" s="975">
        <f t="shared" si="32"/>
        <v>0</v>
      </c>
      <c r="AB111" s="975">
        <f>VLOOKUP(C111,'[8]MỦ TẠP'!$D$10:$AM$450,33,0)</f>
        <v>0</v>
      </c>
      <c r="AC111" s="975">
        <f>VLOOKUP(C111,'[8]MỦ TẠP'!$D$10:$AM$450,34,0)</f>
        <v>0</v>
      </c>
      <c r="AD111" s="975">
        <f>VLOOKUP(C111,'[8]MỦ TẠP'!$D$10:$AM$450,35,0)</f>
        <v>0</v>
      </c>
      <c r="AE111" s="975">
        <f t="shared" si="34"/>
        <v>0</v>
      </c>
      <c r="AF111" s="975"/>
      <c r="AG111" s="975"/>
      <c r="AH111" s="975">
        <f t="shared" si="33"/>
        <v>0</v>
      </c>
      <c r="AI111" s="975">
        <f>VLOOKUP(C111,'[8]CHẤM CÔNG '!$F$10:$AM$451,33,0)</f>
        <v>0</v>
      </c>
      <c r="AJ111" s="975">
        <f>VLOOKUP(C111,'[8]CHẤM CÔNG '!$F$10:$AM$451,34,0)</f>
        <v>0</v>
      </c>
      <c r="AK111" s="975"/>
      <c r="AL111" s="975"/>
      <c r="AM111" s="975"/>
      <c r="AN111" s="975">
        <f>VLOOKUP(C111,'[8]CHẤM CÔNG '!$F$10:$AN$451,35,0)</f>
        <v>0</v>
      </c>
      <c r="AO111" s="975">
        <f>VLOOKUP(C111,'[8]CHẤM CÔNG '!$F$10:$AR$451,36,0)</f>
        <v>0</v>
      </c>
      <c r="AP111" s="975"/>
      <c r="AQ111" s="975"/>
      <c r="AR111" s="975"/>
      <c r="AS111" s="981"/>
      <c r="AT111" s="982">
        <f>VLOOKUP(C111,'[8]MỦ TẠP'!$D$10:$AO$450,38,0)</f>
        <v>0</v>
      </c>
    </row>
    <row r="112" spans="1:46" ht="15.75">
      <c r="A112" s="969">
        <v>56</v>
      </c>
      <c r="B112" s="958" t="e">
        <f>VLOOKUP(C112,'[8]DS CN MOI UP'!$B$10:$C$489,2,0)</f>
        <v>#N/A</v>
      </c>
      <c r="C112" s="970" t="s">
        <v>2560</v>
      </c>
      <c r="D112" s="971" t="s">
        <v>15</v>
      </c>
      <c r="E112" s="960"/>
      <c r="F112" s="960"/>
      <c r="G112" s="960"/>
      <c r="H112" s="960"/>
      <c r="I112" s="960"/>
      <c r="J112" s="960"/>
      <c r="K112" s="960"/>
      <c r="L112" s="960"/>
      <c r="M112" s="960"/>
      <c r="N112" s="960">
        <f t="shared" si="23"/>
        <v>0</v>
      </c>
      <c r="O112" s="960">
        <f t="shared" si="24"/>
        <v>0</v>
      </c>
      <c r="P112" s="960">
        <f t="shared" si="25"/>
        <v>0</v>
      </c>
      <c r="Q112" s="960">
        <f t="shared" si="26"/>
        <v>0</v>
      </c>
      <c r="R112" s="960">
        <f t="shared" si="27"/>
        <v>0</v>
      </c>
      <c r="S112" s="960">
        <f t="shared" si="28"/>
        <v>0</v>
      </c>
      <c r="T112" s="960">
        <f t="shared" si="29"/>
        <v>0</v>
      </c>
      <c r="U112" s="960">
        <f t="shared" si="30"/>
        <v>0</v>
      </c>
      <c r="V112" s="960">
        <f t="shared" si="31"/>
        <v>0</v>
      </c>
      <c r="W112" s="960"/>
      <c r="X112" s="960"/>
      <c r="Y112" s="960"/>
      <c r="Z112" s="960"/>
      <c r="AA112" s="975">
        <f t="shared" si="32"/>
        <v>0</v>
      </c>
      <c r="AB112" s="975">
        <f>VLOOKUP(C112,'[8]MỦ TẠP'!$D$10:$AM$450,33,0)</f>
        <v>0</v>
      </c>
      <c r="AC112" s="975">
        <f>VLOOKUP(C112,'[8]MỦ TẠP'!$D$10:$AM$450,34,0)</f>
        <v>0</v>
      </c>
      <c r="AD112" s="975">
        <f>VLOOKUP(C112,'[8]MỦ TẠP'!$D$10:$AM$450,35,0)</f>
        <v>0</v>
      </c>
      <c r="AE112" s="975">
        <f t="shared" si="34"/>
        <v>0</v>
      </c>
      <c r="AF112" s="975"/>
      <c r="AG112" s="975"/>
      <c r="AH112" s="975">
        <f t="shared" si="33"/>
        <v>0</v>
      </c>
      <c r="AI112" s="975">
        <f>VLOOKUP(C112,'[8]CHẤM CÔNG '!$F$10:$AM$451,33,0)</f>
        <v>0</v>
      </c>
      <c r="AJ112" s="975">
        <f>VLOOKUP(C112,'[8]CHẤM CÔNG '!$F$10:$AM$451,34,0)</f>
        <v>0</v>
      </c>
      <c r="AK112" s="975"/>
      <c r="AL112" s="975"/>
      <c r="AM112" s="975"/>
      <c r="AN112" s="975">
        <f>VLOOKUP(C112,'[8]CHẤM CÔNG '!$F$10:$AN$451,35,0)</f>
        <v>0</v>
      </c>
      <c r="AO112" s="975">
        <f>VLOOKUP(C112,'[8]CHẤM CÔNG '!$F$10:$AR$451,36,0)</f>
        <v>0</v>
      </c>
      <c r="AP112" s="975"/>
      <c r="AQ112" s="975"/>
      <c r="AR112" s="975"/>
      <c r="AS112" s="981"/>
      <c r="AT112" s="982" t="s">
        <v>1958</v>
      </c>
    </row>
    <row r="113" spans="1:52" ht="15.75">
      <c r="A113" s="969">
        <v>57</v>
      </c>
      <c r="B113" s="958" t="e">
        <f>VLOOKUP(C113,'[8]DS CN MOI UP'!$B$10:$C$489,2,0)</f>
        <v>#N/A</v>
      </c>
      <c r="C113" s="970" t="s">
        <v>2561</v>
      </c>
      <c r="D113" s="971" t="s">
        <v>15</v>
      </c>
      <c r="E113" s="960"/>
      <c r="F113" s="960"/>
      <c r="G113" s="960"/>
      <c r="H113" s="960"/>
      <c r="I113" s="960"/>
      <c r="J113" s="960"/>
      <c r="K113" s="960"/>
      <c r="L113" s="960"/>
      <c r="M113" s="960"/>
      <c r="N113" s="960">
        <f t="shared" si="23"/>
        <v>0</v>
      </c>
      <c r="O113" s="960">
        <f t="shared" si="24"/>
        <v>0</v>
      </c>
      <c r="P113" s="960">
        <f t="shared" si="25"/>
        <v>0</v>
      </c>
      <c r="Q113" s="960">
        <f t="shared" si="26"/>
        <v>0</v>
      </c>
      <c r="R113" s="960">
        <f t="shared" si="27"/>
        <v>0</v>
      </c>
      <c r="S113" s="960">
        <f t="shared" si="28"/>
        <v>0</v>
      </c>
      <c r="T113" s="960">
        <f t="shared" si="29"/>
        <v>0</v>
      </c>
      <c r="U113" s="960">
        <f t="shared" si="30"/>
        <v>0</v>
      </c>
      <c r="V113" s="960">
        <f t="shared" si="31"/>
        <v>0</v>
      </c>
      <c r="W113" s="960"/>
      <c r="X113" s="960"/>
      <c r="Y113" s="960"/>
      <c r="Z113" s="960"/>
      <c r="AA113" s="975">
        <f t="shared" si="32"/>
        <v>0</v>
      </c>
      <c r="AB113" s="975">
        <f>VLOOKUP(C113,'[8]MỦ TẠP'!$D$10:$AM$450,33,0)</f>
        <v>0</v>
      </c>
      <c r="AC113" s="975">
        <f>VLOOKUP(C113,'[8]MỦ TẠP'!$D$10:$AM$450,34,0)</f>
        <v>0</v>
      </c>
      <c r="AD113" s="975">
        <f>VLOOKUP(C113,'[8]MỦ TẠP'!$D$10:$AM$450,35,0)</f>
        <v>0</v>
      </c>
      <c r="AE113" s="975">
        <f t="shared" si="34"/>
        <v>0</v>
      </c>
      <c r="AF113" s="975"/>
      <c r="AG113" s="975"/>
      <c r="AH113" s="975">
        <f t="shared" si="33"/>
        <v>0</v>
      </c>
      <c r="AI113" s="975">
        <f>VLOOKUP(C113,'[8]CHẤM CÔNG '!$F$10:$AM$451,33,0)</f>
        <v>0</v>
      </c>
      <c r="AJ113" s="975">
        <f>VLOOKUP(C113,'[8]CHẤM CÔNG '!$F$10:$AM$451,34,0)</f>
        <v>0</v>
      </c>
      <c r="AK113" s="975"/>
      <c r="AL113" s="975"/>
      <c r="AM113" s="975"/>
      <c r="AN113" s="975">
        <f>VLOOKUP(C113,'[8]CHẤM CÔNG '!$F$10:$AN$451,35,0)</f>
        <v>0</v>
      </c>
      <c r="AO113" s="975">
        <f>VLOOKUP(C113,'[8]CHẤM CÔNG '!$F$10:$AR$451,36,0)</f>
        <v>0</v>
      </c>
      <c r="AP113" s="975"/>
      <c r="AQ113" s="975"/>
      <c r="AR113" s="975"/>
      <c r="AS113" s="981"/>
      <c r="AT113" s="982" t="s">
        <v>1958</v>
      </c>
    </row>
    <row r="114" spans="1:52">
      <c r="A114" s="965" t="s">
        <v>2705</v>
      </c>
      <c r="B114" s="958"/>
      <c r="C114" s="966"/>
      <c r="D114" s="967"/>
      <c r="E114" s="968">
        <f>SUM(E115:E218)</f>
        <v>0</v>
      </c>
      <c r="F114" s="968">
        <f t="shared" ref="F114:AO114" si="35">SUM(F115:F218)</f>
        <v>0</v>
      </c>
      <c r="G114" s="968">
        <f t="shared" si="35"/>
        <v>0</v>
      </c>
      <c r="H114" s="968">
        <f t="shared" si="35"/>
        <v>0</v>
      </c>
      <c r="I114" s="968">
        <f t="shared" si="35"/>
        <v>0</v>
      </c>
      <c r="J114" s="968">
        <f t="shared" si="35"/>
        <v>0</v>
      </c>
      <c r="K114" s="968">
        <f t="shared" si="35"/>
        <v>0</v>
      </c>
      <c r="L114" s="968">
        <f t="shared" si="35"/>
        <v>0</v>
      </c>
      <c r="M114" s="968">
        <f t="shared" si="35"/>
        <v>0</v>
      </c>
      <c r="N114" s="968">
        <f t="shared" si="35"/>
        <v>0</v>
      </c>
      <c r="O114" s="968">
        <f t="shared" si="35"/>
        <v>0</v>
      </c>
      <c r="P114" s="968">
        <f t="shared" si="35"/>
        <v>0</v>
      </c>
      <c r="Q114" s="968">
        <f t="shared" si="35"/>
        <v>0</v>
      </c>
      <c r="R114" s="968">
        <f t="shared" si="35"/>
        <v>0</v>
      </c>
      <c r="S114" s="968">
        <f t="shared" si="35"/>
        <v>0</v>
      </c>
      <c r="T114" s="968">
        <f t="shared" si="35"/>
        <v>0</v>
      </c>
      <c r="U114" s="968">
        <f t="shared" si="35"/>
        <v>0</v>
      </c>
      <c r="V114" s="968">
        <f t="shared" si="35"/>
        <v>0</v>
      </c>
      <c r="W114" s="968">
        <f t="shared" si="35"/>
        <v>0</v>
      </c>
      <c r="X114" s="968">
        <f t="shared" si="35"/>
        <v>0</v>
      </c>
      <c r="Y114" s="968">
        <f t="shared" si="35"/>
        <v>0</v>
      </c>
      <c r="Z114" s="968">
        <f t="shared" si="35"/>
        <v>0</v>
      </c>
      <c r="AA114" s="968">
        <f t="shared" si="35"/>
        <v>0</v>
      </c>
      <c r="AB114" s="968" t="e">
        <f t="shared" si="35"/>
        <v>#N/A</v>
      </c>
      <c r="AC114" s="968">
        <f t="shared" si="35"/>
        <v>0</v>
      </c>
      <c r="AD114" s="968">
        <f t="shared" si="35"/>
        <v>0</v>
      </c>
      <c r="AE114" s="968" t="e">
        <f t="shared" si="35"/>
        <v>#N/A</v>
      </c>
      <c r="AF114" s="968">
        <f t="shared" si="35"/>
        <v>0</v>
      </c>
      <c r="AG114" s="968">
        <f t="shared" si="35"/>
        <v>0</v>
      </c>
      <c r="AH114" s="968" t="e">
        <f t="shared" si="35"/>
        <v>#N/A</v>
      </c>
      <c r="AI114" s="968" t="e">
        <f t="shared" si="35"/>
        <v>#N/A</v>
      </c>
      <c r="AJ114" s="968" t="e">
        <f t="shared" si="35"/>
        <v>#N/A</v>
      </c>
      <c r="AK114" s="968">
        <f t="shared" si="35"/>
        <v>0</v>
      </c>
      <c r="AL114" s="968">
        <f t="shared" si="35"/>
        <v>0</v>
      </c>
      <c r="AM114" s="968">
        <f t="shared" si="35"/>
        <v>0</v>
      </c>
      <c r="AN114" s="968" t="e">
        <f t="shared" si="35"/>
        <v>#N/A</v>
      </c>
      <c r="AO114" s="968" t="e">
        <f t="shared" si="35"/>
        <v>#N/A</v>
      </c>
      <c r="AP114" s="968">
        <f t="shared" ref="AP114:AT114" si="36">SUM(AP115:AP195)</f>
        <v>0</v>
      </c>
      <c r="AQ114" s="968">
        <f t="shared" si="36"/>
        <v>0</v>
      </c>
      <c r="AR114" s="968">
        <f t="shared" si="36"/>
        <v>0</v>
      </c>
      <c r="AS114" s="968">
        <f t="shared" si="36"/>
        <v>0</v>
      </c>
      <c r="AT114" s="968" t="e">
        <f t="shared" si="36"/>
        <v>#N/A</v>
      </c>
    </row>
    <row r="115" spans="1:52" ht="15.75">
      <c r="A115" s="957">
        <v>1</v>
      </c>
      <c r="B115" s="958" t="e">
        <f>VLOOKUP(C115,'[8]DS CN MOI UP'!$B$10:$C$489,2,0)</f>
        <v>#N/A</v>
      </c>
      <c r="C115" s="991" t="s">
        <v>2643</v>
      </c>
      <c r="D115" s="957" t="s">
        <v>15</v>
      </c>
      <c r="E115" s="960"/>
      <c r="F115" s="960"/>
      <c r="G115" s="960"/>
      <c r="H115" s="960"/>
      <c r="I115" s="960"/>
      <c r="J115" s="960"/>
      <c r="K115" s="960"/>
      <c r="L115" s="960"/>
      <c r="M115" s="960"/>
      <c r="N115" s="960">
        <f t="shared" ref="N115:N178" si="37">E115/$N$8</f>
        <v>0</v>
      </c>
      <c r="O115" s="960">
        <f t="shared" ref="O115:O178" si="38">F115/$O$8</f>
        <v>0</v>
      </c>
      <c r="P115" s="960">
        <f t="shared" ref="P115:P178" si="39">G115/$P$8</f>
        <v>0</v>
      </c>
      <c r="Q115" s="960">
        <f t="shared" ref="Q115:Q178" si="40">H115/$Q$8</f>
        <v>0</v>
      </c>
      <c r="R115" s="960">
        <f t="shared" ref="R115:R178" si="41">I115/$R$8</f>
        <v>0</v>
      </c>
      <c r="S115" s="960">
        <f t="shared" ref="S115:S178" si="42">J115/$S$8</f>
        <v>0</v>
      </c>
      <c r="T115" s="960">
        <f t="shared" ref="T115:T178" si="43">K115/$T$8</f>
        <v>0</v>
      </c>
      <c r="U115" s="960">
        <f t="shared" ref="U115:U178" si="44">L115/$U$8</f>
        <v>0</v>
      </c>
      <c r="V115" s="960">
        <f t="shared" ref="V115:V178" si="45">M115/$V$8</f>
        <v>0</v>
      </c>
      <c r="W115" s="960"/>
      <c r="X115" s="960"/>
      <c r="Y115" s="960"/>
      <c r="Z115" s="960"/>
      <c r="AA115" s="975">
        <f t="shared" ref="AA115:AA178" si="46">SUM(N115:Z115)</f>
        <v>0</v>
      </c>
      <c r="AB115" s="975">
        <f>VLOOKUP(C115,'[8]MỦ TẠP'!$D$10:$AM$450,36,0)</f>
        <v>0</v>
      </c>
      <c r="AC115" s="975"/>
      <c r="AD115" s="975"/>
      <c r="AE115" s="975">
        <f>VLOOKUP(C115,'[8]MỦ TẠP'!$D$10:$AM$450,36,0)</f>
        <v>0</v>
      </c>
      <c r="AF115" s="975"/>
      <c r="AG115" s="975"/>
      <c r="AH115" s="975">
        <f t="shared" ref="AH115:AH174" si="47">AE115*$AV$15+AF115*$AV$10</f>
        <v>0</v>
      </c>
      <c r="AI115" s="975">
        <f>VLOOKUP(C115,'[8]CHẤM CÔNG '!$F$10:$AM$451,33,0)</f>
        <v>0</v>
      </c>
      <c r="AJ115" s="975">
        <f>VLOOKUP(C115,'[8]CHẤM CÔNG '!$F$10:$AM$451,34,0)</f>
        <v>0</v>
      </c>
      <c r="AK115" s="975"/>
      <c r="AL115" s="975"/>
      <c r="AM115" s="975"/>
      <c r="AN115" s="975">
        <f>VLOOKUP(C115,'[8]CHẤM CÔNG '!$F$10:$AN$451,35,0)</f>
        <v>0</v>
      </c>
      <c r="AO115" s="975">
        <f>VLOOKUP(C115,'[8]CHẤM CÔNG '!$F$10:$AR$451,36,0)</f>
        <v>0</v>
      </c>
      <c r="AP115" s="975"/>
      <c r="AQ115" s="975"/>
      <c r="AR115" s="975"/>
      <c r="AS115" s="981"/>
      <c r="AT115" s="982">
        <f>VLOOKUP(C115,'[8]MỦ TẠP'!$D$10:$AO$450,38,0)</f>
        <v>0</v>
      </c>
      <c r="AX115" s="944">
        <v>1</v>
      </c>
      <c r="AZ115" s="944">
        <v>2</v>
      </c>
    </row>
    <row r="116" spans="1:52" ht="15.75">
      <c r="A116" s="957">
        <v>2</v>
      </c>
      <c r="B116" s="958" t="str">
        <f>VLOOKUP(C116,'[8]DS CN MOI UP'!$B$10:$C$489,2,0)</f>
        <v>02510</v>
      </c>
      <c r="C116" s="991" t="s">
        <v>43</v>
      </c>
      <c r="D116" s="957" t="s">
        <v>15</v>
      </c>
      <c r="E116" s="960"/>
      <c r="F116" s="960"/>
      <c r="G116" s="960"/>
      <c r="H116" s="960"/>
      <c r="I116" s="960"/>
      <c r="J116" s="960"/>
      <c r="K116" s="960"/>
      <c r="L116" s="960"/>
      <c r="M116" s="960"/>
      <c r="N116" s="960">
        <f t="shared" si="37"/>
        <v>0</v>
      </c>
      <c r="O116" s="960">
        <f t="shared" si="38"/>
        <v>0</v>
      </c>
      <c r="P116" s="960">
        <f t="shared" si="39"/>
        <v>0</v>
      </c>
      <c r="Q116" s="960">
        <f t="shared" si="40"/>
        <v>0</v>
      </c>
      <c r="R116" s="960">
        <f t="shared" si="41"/>
        <v>0</v>
      </c>
      <c r="S116" s="960">
        <f t="shared" si="42"/>
        <v>0</v>
      </c>
      <c r="T116" s="960">
        <f t="shared" si="43"/>
        <v>0</v>
      </c>
      <c r="U116" s="960">
        <f t="shared" si="44"/>
        <v>0</v>
      </c>
      <c r="V116" s="960">
        <f t="shared" si="45"/>
        <v>0</v>
      </c>
      <c r="W116" s="960"/>
      <c r="X116" s="960"/>
      <c r="Y116" s="960"/>
      <c r="Z116" s="960"/>
      <c r="AA116" s="975">
        <f t="shared" si="46"/>
        <v>0</v>
      </c>
      <c r="AB116" s="975">
        <f>VLOOKUP(C116,'[8]MỦ TẠP'!$D$10:$AM$450,36,0)</f>
        <v>0</v>
      </c>
      <c r="AC116" s="975"/>
      <c r="AD116" s="975"/>
      <c r="AE116" s="975">
        <f>VLOOKUP(C116,'[8]MỦ TẠP'!$D$10:$AM$450,36,0)</f>
        <v>0</v>
      </c>
      <c r="AF116" s="975"/>
      <c r="AG116" s="975"/>
      <c r="AH116" s="975">
        <f t="shared" si="47"/>
        <v>0</v>
      </c>
      <c r="AI116" s="975">
        <f>VLOOKUP(C116,'[8]CHẤM CÔNG '!$F$10:$AM$451,33,0)</f>
        <v>0</v>
      </c>
      <c r="AJ116" s="975">
        <f>VLOOKUP(C116,'[8]CHẤM CÔNG '!$F$10:$AM$451,34,0)</f>
        <v>0</v>
      </c>
      <c r="AK116" s="975"/>
      <c r="AL116" s="975"/>
      <c r="AM116" s="975"/>
      <c r="AN116" s="975">
        <f>VLOOKUP(C116,'[8]CHẤM CÔNG '!$F$10:$AN$451,35,0)</f>
        <v>0</v>
      </c>
      <c r="AO116" s="975">
        <f>VLOOKUP(C116,'[8]CHẤM CÔNG '!$F$10:$AR$451,36,0)</f>
        <v>0</v>
      </c>
      <c r="AP116" s="975"/>
      <c r="AQ116" s="975"/>
      <c r="AR116" s="975"/>
      <c r="AS116" s="981"/>
      <c r="AT116" s="982">
        <f>VLOOKUP(C116,'[8]MỦ TẠP'!$D$10:$AO$450,38,0)</f>
        <v>0</v>
      </c>
      <c r="AZ116" s="944">
        <v>3</v>
      </c>
    </row>
    <row r="117" spans="1:52" ht="15.75">
      <c r="A117" s="957">
        <v>3</v>
      </c>
      <c r="B117" s="958" t="str">
        <f>VLOOKUP(C117,'[8]DS CN MOI UP'!$B$10:$C$489,2,0)</f>
        <v>02450</v>
      </c>
      <c r="C117" s="991" t="s">
        <v>70</v>
      </c>
      <c r="D117" s="957" t="s">
        <v>15</v>
      </c>
      <c r="E117" s="960"/>
      <c r="F117" s="960"/>
      <c r="G117" s="960"/>
      <c r="H117" s="960"/>
      <c r="I117" s="960"/>
      <c r="J117" s="960"/>
      <c r="K117" s="960"/>
      <c r="L117" s="960"/>
      <c r="M117" s="960"/>
      <c r="N117" s="960">
        <f t="shared" si="37"/>
        <v>0</v>
      </c>
      <c r="O117" s="960">
        <f t="shared" si="38"/>
        <v>0</v>
      </c>
      <c r="P117" s="960">
        <f t="shared" si="39"/>
        <v>0</v>
      </c>
      <c r="Q117" s="960">
        <f t="shared" si="40"/>
        <v>0</v>
      </c>
      <c r="R117" s="960">
        <f t="shared" si="41"/>
        <v>0</v>
      </c>
      <c r="S117" s="960">
        <f t="shared" si="42"/>
        <v>0</v>
      </c>
      <c r="T117" s="960">
        <f t="shared" si="43"/>
        <v>0</v>
      </c>
      <c r="U117" s="960">
        <f t="shared" si="44"/>
        <v>0</v>
      </c>
      <c r="V117" s="960">
        <f t="shared" si="45"/>
        <v>0</v>
      </c>
      <c r="W117" s="960"/>
      <c r="X117" s="960"/>
      <c r="Y117" s="960"/>
      <c r="Z117" s="960"/>
      <c r="AA117" s="975">
        <f t="shared" si="46"/>
        <v>0</v>
      </c>
      <c r="AB117" s="975">
        <f>VLOOKUP(C117,'[8]MỦ TẠP'!$D$10:$AM$450,36,0)</f>
        <v>0</v>
      </c>
      <c r="AC117" s="975"/>
      <c r="AD117" s="975"/>
      <c r="AE117" s="975">
        <f>VLOOKUP(C117,'[8]MỦ TẠP'!$D$10:$AM$450,36,0)</f>
        <v>0</v>
      </c>
      <c r="AF117" s="975"/>
      <c r="AG117" s="975"/>
      <c r="AH117" s="975">
        <f t="shared" si="47"/>
        <v>0</v>
      </c>
      <c r="AI117" s="975">
        <f>VLOOKUP(C117,'[8]CHẤM CÔNG '!$F$10:$AM$451,33,0)</f>
        <v>0</v>
      </c>
      <c r="AJ117" s="975">
        <f>VLOOKUP(C117,'[8]CHẤM CÔNG '!$F$10:$AM$451,34,0)</f>
        <v>0</v>
      </c>
      <c r="AK117" s="975"/>
      <c r="AL117" s="975"/>
      <c r="AM117" s="975"/>
      <c r="AN117" s="975">
        <f>VLOOKUP(C117,'[8]CHẤM CÔNG '!$F$10:$AN$451,35,0)</f>
        <v>0</v>
      </c>
      <c r="AO117" s="975">
        <f>VLOOKUP(C117,'[8]CHẤM CÔNG '!$F$10:$AR$451,36,0)</f>
        <v>0</v>
      </c>
      <c r="AP117" s="975"/>
      <c r="AQ117" s="975"/>
      <c r="AR117" s="975"/>
      <c r="AS117" s="981"/>
      <c r="AT117" s="982">
        <f>VLOOKUP(C117,'[8]MỦ TẠP'!$D$10:$AO$450,38,0)</f>
        <v>0</v>
      </c>
      <c r="AX117" s="944">
        <v>1</v>
      </c>
      <c r="AZ117" s="944">
        <v>2</v>
      </c>
    </row>
    <row r="118" spans="1:52" ht="15.75">
      <c r="A118" s="957">
        <v>4</v>
      </c>
      <c r="B118" s="958" t="str">
        <f>VLOOKUP(C118,'[8]DS CN MOI UP'!$B$10:$C$489,2,0)</f>
        <v>02454</v>
      </c>
      <c r="C118" s="963" t="s">
        <v>71</v>
      </c>
      <c r="D118" s="957" t="s">
        <v>15</v>
      </c>
      <c r="E118" s="960"/>
      <c r="F118" s="960"/>
      <c r="G118" s="960"/>
      <c r="H118" s="960"/>
      <c r="I118" s="960"/>
      <c r="J118" s="960"/>
      <c r="K118" s="960"/>
      <c r="L118" s="960"/>
      <c r="M118" s="960"/>
      <c r="N118" s="960">
        <f t="shared" si="37"/>
        <v>0</v>
      </c>
      <c r="O118" s="960">
        <f t="shared" si="38"/>
        <v>0</v>
      </c>
      <c r="P118" s="960">
        <f t="shared" si="39"/>
        <v>0</v>
      </c>
      <c r="Q118" s="960">
        <f t="shared" si="40"/>
        <v>0</v>
      </c>
      <c r="R118" s="960">
        <f t="shared" si="41"/>
        <v>0</v>
      </c>
      <c r="S118" s="960">
        <f t="shared" si="42"/>
        <v>0</v>
      </c>
      <c r="T118" s="960">
        <f t="shared" si="43"/>
        <v>0</v>
      </c>
      <c r="U118" s="960">
        <f t="shared" si="44"/>
        <v>0</v>
      </c>
      <c r="V118" s="960">
        <f t="shared" si="45"/>
        <v>0</v>
      </c>
      <c r="W118" s="960"/>
      <c r="X118" s="960"/>
      <c r="Y118" s="960"/>
      <c r="Z118" s="960"/>
      <c r="AA118" s="975">
        <f t="shared" si="46"/>
        <v>0</v>
      </c>
      <c r="AB118" s="975">
        <f>VLOOKUP(C118,'[8]MỦ TẠP'!$D$10:$AM$450,36,0)</f>
        <v>0</v>
      </c>
      <c r="AC118" s="975"/>
      <c r="AD118" s="975"/>
      <c r="AE118" s="975">
        <f>VLOOKUP(C118,'[8]MỦ TẠP'!$D$10:$AM$450,36,0)</f>
        <v>0</v>
      </c>
      <c r="AF118" s="975"/>
      <c r="AG118" s="975"/>
      <c r="AH118" s="975">
        <f t="shared" si="47"/>
        <v>0</v>
      </c>
      <c r="AI118" s="975">
        <f>VLOOKUP(C118,'[8]CHẤM CÔNG '!$F$10:$AM$451,33,0)</f>
        <v>0</v>
      </c>
      <c r="AJ118" s="975">
        <f>VLOOKUP(C118,'[8]CHẤM CÔNG '!$F$10:$AM$451,34,0)</f>
        <v>0</v>
      </c>
      <c r="AK118" s="975"/>
      <c r="AL118" s="975"/>
      <c r="AM118" s="975"/>
      <c r="AN118" s="975">
        <f>VLOOKUP(C118,'[8]CHẤM CÔNG '!$F$10:$AN$451,35,0)</f>
        <v>0</v>
      </c>
      <c r="AO118" s="975">
        <f>VLOOKUP(C118,'[8]CHẤM CÔNG '!$F$10:$AR$451,36,0)</f>
        <v>0</v>
      </c>
      <c r="AP118" s="975"/>
      <c r="AQ118" s="975"/>
      <c r="AR118" s="975"/>
      <c r="AS118" s="981"/>
      <c r="AT118" s="982">
        <f>VLOOKUP(C118,'[8]MỦ TẠP'!$D$10:$AO$450,38,0)</f>
        <v>0</v>
      </c>
      <c r="AX118" s="944">
        <v>1</v>
      </c>
      <c r="AZ118" s="944">
        <v>2</v>
      </c>
    </row>
    <row r="119" spans="1:52" ht="15.75">
      <c r="A119" s="957">
        <v>5</v>
      </c>
      <c r="B119" s="958" t="str">
        <f>VLOOKUP(C119,'[8]DS CN MOI UP'!$B$10:$C$489,2,0)</f>
        <v>03331</v>
      </c>
      <c r="C119" s="991" t="s">
        <v>486</v>
      </c>
      <c r="D119" s="957" t="s">
        <v>15</v>
      </c>
      <c r="E119" s="960"/>
      <c r="F119" s="960"/>
      <c r="G119" s="960"/>
      <c r="H119" s="960"/>
      <c r="I119" s="960"/>
      <c r="J119" s="960"/>
      <c r="K119" s="960"/>
      <c r="L119" s="960"/>
      <c r="M119" s="960"/>
      <c r="N119" s="960">
        <f t="shared" si="37"/>
        <v>0</v>
      </c>
      <c r="O119" s="960">
        <f t="shared" si="38"/>
        <v>0</v>
      </c>
      <c r="P119" s="960">
        <f t="shared" si="39"/>
        <v>0</v>
      </c>
      <c r="Q119" s="960">
        <f t="shared" si="40"/>
        <v>0</v>
      </c>
      <c r="R119" s="960">
        <f t="shared" si="41"/>
        <v>0</v>
      </c>
      <c r="S119" s="960">
        <f t="shared" si="42"/>
        <v>0</v>
      </c>
      <c r="T119" s="960">
        <f t="shared" si="43"/>
        <v>0</v>
      </c>
      <c r="U119" s="960">
        <f t="shared" si="44"/>
        <v>0</v>
      </c>
      <c r="V119" s="960">
        <f t="shared" si="45"/>
        <v>0</v>
      </c>
      <c r="W119" s="960"/>
      <c r="X119" s="960"/>
      <c r="Y119" s="960"/>
      <c r="Z119" s="960"/>
      <c r="AA119" s="975">
        <f t="shared" si="46"/>
        <v>0</v>
      </c>
      <c r="AB119" s="975">
        <f>VLOOKUP(C119,'[8]MỦ TẠP'!$D$10:$AM$450,36,0)</f>
        <v>0</v>
      </c>
      <c r="AC119" s="975"/>
      <c r="AD119" s="975"/>
      <c r="AE119" s="975">
        <f>VLOOKUP(C119,'[8]MỦ TẠP'!$D$10:$AM$450,36,0)</f>
        <v>0</v>
      </c>
      <c r="AF119" s="975"/>
      <c r="AG119" s="975"/>
      <c r="AH119" s="975">
        <f t="shared" si="47"/>
        <v>0</v>
      </c>
      <c r="AI119" s="975">
        <f>VLOOKUP(C119,'[8]CHẤM CÔNG '!$F$10:$AM$451,33,0)</f>
        <v>0</v>
      </c>
      <c r="AJ119" s="975">
        <f>VLOOKUP(C119,'[8]CHẤM CÔNG '!$F$10:$AM$451,34,0)</f>
        <v>0</v>
      </c>
      <c r="AK119" s="975"/>
      <c r="AL119" s="975"/>
      <c r="AM119" s="975"/>
      <c r="AN119" s="975">
        <f>VLOOKUP(C119,'[8]CHẤM CÔNG '!$F$10:$AN$451,35,0)</f>
        <v>0</v>
      </c>
      <c r="AO119" s="975">
        <f>VLOOKUP(C119,'[8]CHẤM CÔNG '!$F$10:$AR$451,36,0)</f>
        <v>0</v>
      </c>
      <c r="AP119" s="975"/>
      <c r="AQ119" s="975"/>
      <c r="AR119" s="975"/>
      <c r="AS119" s="981"/>
      <c r="AT119" s="982">
        <f>VLOOKUP(C119,'[8]MỦ TẠP'!$D$10:$AO$450,38,0)</f>
        <v>0</v>
      </c>
      <c r="AX119" s="944">
        <v>2</v>
      </c>
      <c r="AZ119" s="944">
        <v>1</v>
      </c>
    </row>
    <row r="120" spans="1:52" ht="15.75">
      <c r="A120" s="957">
        <v>6</v>
      </c>
      <c r="B120" s="958" t="str">
        <f>VLOOKUP(C120,'[8]DS CN MOI UP'!$B$10:$C$489,2,0)</f>
        <v>02474</v>
      </c>
      <c r="C120" s="991" t="s">
        <v>57</v>
      </c>
      <c r="D120" s="957" t="s">
        <v>15</v>
      </c>
      <c r="E120" s="960"/>
      <c r="F120" s="960"/>
      <c r="G120" s="960"/>
      <c r="H120" s="960"/>
      <c r="I120" s="960"/>
      <c r="J120" s="960"/>
      <c r="K120" s="960"/>
      <c r="L120" s="960"/>
      <c r="M120" s="960"/>
      <c r="N120" s="960">
        <f t="shared" si="37"/>
        <v>0</v>
      </c>
      <c r="O120" s="960">
        <f t="shared" si="38"/>
        <v>0</v>
      </c>
      <c r="P120" s="960">
        <f t="shared" si="39"/>
        <v>0</v>
      </c>
      <c r="Q120" s="960">
        <f t="shared" si="40"/>
        <v>0</v>
      </c>
      <c r="R120" s="960">
        <f t="shared" si="41"/>
        <v>0</v>
      </c>
      <c r="S120" s="960">
        <f t="shared" si="42"/>
        <v>0</v>
      </c>
      <c r="T120" s="960">
        <f t="shared" si="43"/>
        <v>0</v>
      </c>
      <c r="U120" s="960">
        <f t="shared" si="44"/>
        <v>0</v>
      </c>
      <c r="V120" s="960">
        <f t="shared" si="45"/>
        <v>0</v>
      </c>
      <c r="W120" s="960"/>
      <c r="X120" s="960"/>
      <c r="Y120" s="960"/>
      <c r="Z120" s="960"/>
      <c r="AA120" s="975">
        <f t="shared" si="46"/>
        <v>0</v>
      </c>
      <c r="AB120" s="975">
        <f>VLOOKUP(C120,'[8]MỦ TẠP'!$D$10:$AM$450,36,0)</f>
        <v>0</v>
      </c>
      <c r="AC120" s="975"/>
      <c r="AD120" s="975"/>
      <c r="AE120" s="975">
        <f>VLOOKUP(C120,'[8]MỦ TẠP'!$D$10:$AM$450,36,0)</f>
        <v>0</v>
      </c>
      <c r="AF120" s="975"/>
      <c r="AG120" s="975"/>
      <c r="AH120" s="975">
        <f t="shared" si="47"/>
        <v>0</v>
      </c>
      <c r="AI120" s="975">
        <f>VLOOKUP(C120,'[8]CHẤM CÔNG '!$F$10:$AM$451,33,0)</f>
        <v>0</v>
      </c>
      <c r="AJ120" s="975">
        <f>VLOOKUP(C120,'[8]CHẤM CÔNG '!$F$10:$AM$451,34,0)</f>
        <v>0</v>
      </c>
      <c r="AK120" s="975"/>
      <c r="AL120" s="975"/>
      <c r="AM120" s="975"/>
      <c r="AN120" s="975">
        <f>VLOOKUP(C120,'[8]CHẤM CÔNG '!$F$10:$AN$451,35,0)</f>
        <v>0</v>
      </c>
      <c r="AO120" s="975">
        <f>VLOOKUP(C120,'[8]CHẤM CÔNG '!$F$10:$AR$451,36,0)</f>
        <v>0</v>
      </c>
      <c r="AP120" s="975"/>
      <c r="AQ120" s="975"/>
      <c r="AR120" s="975"/>
      <c r="AS120" s="981"/>
      <c r="AT120" s="982">
        <f>VLOOKUP(C120,'[8]MỦ TẠP'!$D$10:$AO$450,38,0)</f>
        <v>0</v>
      </c>
      <c r="AX120" s="944">
        <v>2</v>
      </c>
      <c r="AZ120" s="944">
        <v>1</v>
      </c>
    </row>
    <row r="121" spans="1:52" ht="15.75">
      <c r="A121" s="957">
        <v>7</v>
      </c>
      <c r="B121" s="958" t="e">
        <f>VLOOKUP(C121,'[8]DS CN MOI UP'!$B$10:$C$489,2,0)</f>
        <v>#N/A</v>
      </c>
      <c r="C121" s="991" t="s">
        <v>2644</v>
      </c>
      <c r="D121" s="957" t="s">
        <v>15</v>
      </c>
      <c r="E121" s="960"/>
      <c r="F121" s="960"/>
      <c r="G121" s="960"/>
      <c r="H121" s="960"/>
      <c r="I121" s="960"/>
      <c r="J121" s="960"/>
      <c r="K121" s="960"/>
      <c r="L121" s="960"/>
      <c r="M121" s="960"/>
      <c r="N121" s="960">
        <f t="shared" si="37"/>
        <v>0</v>
      </c>
      <c r="O121" s="960">
        <f t="shared" si="38"/>
        <v>0</v>
      </c>
      <c r="P121" s="960">
        <f t="shared" si="39"/>
        <v>0</v>
      </c>
      <c r="Q121" s="960">
        <f t="shared" si="40"/>
        <v>0</v>
      </c>
      <c r="R121" s="960">
        <f t="shared" si="41"/>
        <v>0</v>
      </c>
      <c r="S121" s="960">
        <f t="shared" si="42"/>
        <v>0</v>
      </c>
      <c r="T121" s="960">
        <f t="shared" si="43"/>
        <v>0</v>
      </c>
      <c r="U121" s="960">
        <f t="shared" si="44"/>
        <v>0</v>
      </c>
      <c r="V121" s="960">
        <f t="shared" si="45"/>
        <v>0</v>
      </c>
      <c r="W121" s="960"/>
      <c r="X121" s="960"/>
      <c r="Y121" s="960"/>
      <c r="Z121" s="960"/>
      <c r="AA121" s="975">
        <f t="shared" si="46"/>
        <v>0</v>
      </c>
      <c r="AB121" s="975">
        <f>VLOOKUP(C121,'[8]MỦ TẠP'!$D$10:$AM$450,36,0)</f>
        <v>0</v>
      </c>
      <c r="AC121" s="975"/>
      <c r="AD121" s="975"/>
      <c r="AE121" s="975">
        <f>VLOOKUP(C121,'[8]MỦ TẠP'!$D$10:$AM$450,36,0)</f>
        <v>0</v>
      </c>
      <c r="AF121" s="975"/>
      <c r="AG121" s="975"/>
      <c r="AH121" s="975">
        <f t="shared" si="47"/>
        <v>0</v>
      </c>
      <c r="AI121" s="975">
        <f>VLOOKUP(C121,'[8]CHẤM CÔNG '!$F$10:$AM$451,33,0)</f>
        <v>0</v>
      </c>
      <c r="AJ121" s="975">
        <f>VLOOKUP(C121,'[8]CHẤM CÔNG '!$F$10:$AM$451,34,0)</f>
        <v>0</v>
      </c>
      <c r="AK121" s="975"/>
      <c r="AL121" s="975"/>
      <c r="AM121" s="975"/>
      <c r="AN121" s="975">
        <f>VLOOKUP(C121,'[8]CHẤM CÔNG '!$F$10:$AN$451,35,0)</f>
        <v>0</v>
      </c>
      <c r="AO121" s="975">
        <f>VLOOKUP(C121,'[8]CHẤM CÔNG '!$F$10:$AR$451,36,0)</f>
        <v>0</v>
      </c>
      <c r="AP121" s="975"/>
      <c r="AQ121" s="975"/>
      <c r="AR121" s="975"/>
      <c r="AS121" s="981"/>
      <c r="AT121" s="982">
        <f>VLOOKUP(C121,'[8]MỦ TẠP'!$D$10:$AO$450,38,0)</f>
        <v>0</v>
      </c>
      <c r="AX121" s="944">
        <v>1</v>
      </c>
      <c r="AZ121" s="944">
        <v>2</v>
      </c>
    </row>
    <row r="122" spans="1:52" ht="15.75">
      <c r="A122" s="957">
        <v>8</v>
      </c>
      <c r="B122" s="958" t="str">
        <f>VLOOKUP(C122,'[8]DS CN MOI UP'!$B$10:$C$489,2,0)</f>
        <v>02471</v>
      </c>
      <c r="C122" s="991" t="s">
        <v>18</v>
      </c>
      <c r="D122" s="957" t="s">
        <v>15</v>
      </c>
      <c r="E122" s="960"/>
      <c r="F122" s="960"/>
      <c r="G122" s="960"/>
      <c r="H122" s="960"/>
      <c r="I122" s="960"/>
      <c r="J122" s="960"/>
      <c r="K122" s="960"/>
      <c r="L122" s="960"/>
      <c r="M122" s="960"/>
      <c r="N122" s="960">
        <f t="shared" si="37"/>
        <v>0</v>
      </c>
      <c r="O122" s="960">
        <f t="shared" si="38"/>
        <v>0</v>
      </c>
      <c r="P122" s="960">
        <f t="shared" si="39"/>
        <v>0</v>
      </c>
      <c r="Q122" s="960">
        <f t="shared" si="40"/>
        <v>0</v>
      </c>
      <c r="R122" s="960">
        <f t="shared" si="41"/>
        <v>0</v>
      </c>
      <c r="S122" s="960">
        <f t="shared" si="42"/>
        <v>0</v>
      </c>
      <c r="T122" s="960">
        <f t="shared" si="43"/>
        <v>0</v>
      </c>
      <c r="U122" s="960">
        <f t="shared" si="44"/>
        <v>0</v>
      </c>
      <c r="V122" s="960">
        <f t="shared" si="45"/>
        <v>0</v>
      </c>
      <c r="W122" s="960"/>
      <c r="X122" s="960"/>
      <c r="Y122" s="960"/>
      <c r="Z122" s="960"/>
      <c r="AA122" s="975">
        <f t="shared" si="46"/>
        <v>0</v>
      </c>
      <c r="AB122" s="975">
        <f>VLOOKUP(C122,'[8]MỦ TẠP'!$D$10:$AM$450,36,0)</f>
        <v>0</v>
      </c>
      <c r="AC122" s="975"/>
      <c r="AD122" s="975"/>
      <c r="AE122" s="975">
        <f>VLOOKUP(C122,'[8]MỦ TẠP'!$D$10:$AM$450,36,0)</f>
        <v>0</v>
      </c>
      <c r="AF122" s="975"/>
      <c r="AG122" s="975"/>
      <c r="AH122" s="975">
        <f t="shared" si="47"/>
        <v>0</v>
      </c>
      <c r="AI122" s="975">
        <f>VLOOKUP(C122,'[8]CHẤM CÔNG '!$F$10:$AM$451,33,0)</f>
        <v>0</v>
      </c>
      <c r="AJ122" s="975">
        <f>VLOOKUP(C122,'[8]CHẤM CÔNG '!$F$10:$AM$451,34,0)</f>
        <v>0</v>
      </c>
      <c r="AK122" s="975"/>
      <c r="AL122" s="975"/>
      <c r="AM122" s="975"/>
      <c r="AN122" s="975">
        <f>VLOOKUP(C122,'[8]CHẤM CÔNG '!$F$10:$AN$451,35,0)</f>
        <v>0</v>
      </c>
      <c r="AO122" s="975">
        <f>VLOOKUP(C122,'[8]CHẤM CÔNG '!$F$10:$AR$451,36,0)</f>
        <v>0</v>
      </c>
      <c r="AP122" s="975"/>
      <c r="AQ122" s="975"/>
      <c r="AR122" s="975"/>
      <c r="AS122" s="981"/>
      <c r="AT122" s="982">
        <f>VLOOKUP(C122,'[8]MỦ TẠP'!$D$10:$AO$450,38,0)</f>
        <v>0</v>
      </c>
      <c r="AX122" s="944">
        <v>1</v>
      </c>
      <c r="AZ122" s="944">
        <v>2</v>
      </c>
    </row>
    <row r="123" spans="1:52" ht="15.75">
      <c r="A123" s="957">
        <v>9</v>
      </c>
      <c r="B123" s="958" t="str">
        <f>VLOOKUP(C123,'[8]DS CN MOI UP'!$B$10:$C$489,2,0)</f>
        <v>02488</v>
      </c>
      <c r="C123" s="991" t="s">
        <v>35</v>
      </c>
      <c r="D123" s="957" t="s">
        <v>15</v>
      </c>
      <c r="E123" s="960"/>
      <c r="F123" s="960"/>
      <c r="G123" s="960"/>
      <c r="H123" s="960"/>
      <c r="I123" s="960"/>
      <c r="J123" s="960"/>
      <c r="K123" s="960"/>
      <c r="L123" s="960"/>
      <c r="M123" s="960"/>
      <c r="N123" s="960">
        <f t="shared" si="37"/>
        <v>0</v>
      </c>
      <c r="O123" s="960">
        <f t="shared" si="38"/>
        <v>0</v>
      </c>
      <c r="P123" s="960">
        <f t="shared" si="39"/>
        <v>0</v>
      </c>
      <c r="Q123" s="960">
        <f t="shared" si="40"/>
        <v>0</v>
      </c>
      <c r="R123" s="960">
        <f t="shared" si="41"/>
        <v>0</v>
      </c>
      <c r="S123" s="960">
        <f t="shared" si="42"/>
        <v>0</v>
      </c>
      <c r="T123" s="960">
        <f t="shared" si="43"/>
        <v>0</v>
      </c>
      <c r="U123" s="960">
        <f t="shared" si="44"/>
        <v>0</v>
      </c>
      <c r="V123" s="960">
        <f t="shared" si="45"/>
        <v>0</v>
      </c>
      <c r="W123" s="960"/>
      <c r="X123" s="960"/>
      <c r="Y123" s="960"/>
      <c r="Z123" s="960"/>
      <c r="AA123" s="975">
        <f t="shared" si="46"/>
        <v>0</v>
      </c>
      <c r="AB123" s="975">
        <f>VLOOKUP(C123,'[8]MỦ TẠP'!$D$10:$AM$450,36,0)</f>
        <v>0</v>
      </c>
      <c r="AC123" s="975"/>
      <c r="AD123" s="975"/>
      <c r="AE123" s="975">
        <f>VLOOKUP(C123,'[8]MỦ TẠP'!$D$10:$AM$450,36,0)</f>
        <v>0</v>
      </c>
      <c r="AF123" s="975"/>
      <c r="AG123" s="975"/>
      <c r="AH123" s="975">
        <f t="shared" si="47"/>
        <v>0</v>
      </c>
      <c r="AI123" s="975">
        <f>VLOOKUP(C123,'[8]CHẤM CÔNG '!$F$10:$AM$451,33,0)</f>
        <v>0</v>
      </c>
      <c r="AJ123" s="975">
        <f>VLOOKUP(C123,'[8]CHẤM CÔNG '!$F$10:$AM$451,34,0)</f>
        <v>0</v>
      </c>
      <c r="AK123" s="975"/>
      <c r="AL123" s="975"/>
      <c r="AM123" s="975"/>
      <c r="AN123" s="975">
        <f>VLOOKUP(C123,'[8]CHẤM CÔNG '!$F$10:$AN$451,35,0)</f>
        <v>0</v>
      </c>
      <c r="AO123" s="975">
        <f>VLOOKUP(C123,'[8]CHẤM CÔNG '!$F$10:$AR$451,36,0)</f>
        <v>0</v>
      </c>
      <c r="AP123" s="975"/>
      <c r="AQ123" s="975"/>
      <c r="AR123" s="975"/>
      <c r="AS123" s="981"/>
      <c r="AT123" s="982">
        <f>VLOOKUP(C123,'[8]MỦ TẠP'!$D$10:$AO$450,38,0)</f>
        <v>0</v>
      </c>
      <c r="AX123" s="944">
        <v>1</v>
      </c>
      <c r="AZ123" s="944">
        <v>2</v>
      </c>
    </row>
    <row r="124" spans="1:52" ht="15.75">
      <c r="A124" s="957">
        <v>10</v>
      </c>
      <c r="B124" s="958" t="e">
        <f>VLOOKUP(C124,'[8]DS CN MOI UP'!$B$10:$C$489,2,0)</f>
        <v>#N/A</v>
      </c>
      <c r="C124" s="991" t="s">
        <v>1336</v>
      </c>
      <c r="D124" s="957" t="s">
        <v>15</v>
      </c>
      <c r="E124" s="960"/>
      <c r="F124" s="960"/>
      <c r="G124" s="960"/>
      <c r="H124" s="960"/>
      <c r="I124" s="960"/>
      <c r="J124" s="960"/>
      <c r="K124" s="960"/>
      <c r="L124" s="960"/>
      <c r="M124" s="960"/>
      <c r="N124" s="960">
        <f t="shared" si="37"/>
        <v>0</v>
      </c>
      <c r="O124" s="960">
        <f t="shared" si="38"/>
        <v>0</v>
      </c>
      <c r="P124" s="960">
        <f t="shared" si="39"/>
        <v>0</v>
      </c>
      <c r="Q124" s="960">
        <f t="shared" si="40"/>
        <v>0</v>
      </c>
      <c r="R124" s="960">
        <f t="shared" si="41"/>
        <v>0</v>
      </c>
      <c r="S124" s="960">
        <f t="shared" si="42"/>
        <v>0</v>
      </c>
      <c r="T124" s="960">
        <f t="shared" si="43"/>
        <v>0</v>
      </c>
      <c r="U124" s="960">
        <f t="shared" si="44"/>
        <v>0</v>
      </c>
      <c r="V124" s="960">
        <f t="shared" si="45"/>
        <v>0</v>
      </c>
      <c r="W124" s="960"/>
      <c r="X124" s="960"/>
      <c r="Y124" s="960"/>
      <c r="Z124" s="960"/>
      <c r="AA124" s="975">
        <f t="shared" si="46"/>
        <v>0</v>
      </c>
      <c r="AB124" s="975">
        <f>VLOOKUP(C124,'[8]MỦ TẠP'!$D$10:$AM$450,36,0)</f>
        <v>0</v>
      </c>
      <c r="AC124" s="975"/>
      <c r="AD124" s="975"/>
      <c r="AE124" s="975">
        <f>VLOOKUP(C124,'[8]MỦ TẠP'!$D$10:$AM$450,36,0)</f>
        <v>0</v>
      </c>
      <c r="AF124" s="975"/>
      <c r="AG124" s="975"/>
      <c r="AH124" s="975">
        <f t="shared" si="47"/>
        <v>0</v>
      </c>
      <c r="AI124" s="975">
        <f>VLOOKUP(C124,'[8]CHẤM CÔNG '!$F$10:$AM$451,33,0)</f>
        <v>0</v>
      </c>
      <c r="AJ124" s="975">
        <f>VLOOKUP(C124,'[8]CHẤM CÔNG '!$F$10:$AM$451,34,0)</f>
        <v>0</v>
      </c>
      <c r="AK124" s="975"/>
      <c r="AL124" s="975"/>
      <c r="AM124" s="975"/>
      <c r="AN124" s="975">
        <f>VLOOKUP(C124,'[8]CHẤM CÔNG '!$F$10:$AN$451,35,0)</f>
        <v>0</v>
      </c>
      <c r="AO124" s="975">
        <f>VLOOKUP(C124,'[8]CHẤM CÔNG '!$F$10:$AR$451,36,0)</f>
        <v>0</v>
      </c>
      <c r="AP124" s="975"/>
      <c r="AQ124" s="975"/>
      <c r="AR124" s="975"/>
      <c r="AS124" s="981"/>
      <c r="AT124" s="982">
        <f>VLOOKUP(C124,'[8]MỦ TẠP'!$D$10:$AO$450,38,0)</f>
        <v>0</v>
      </c>
      <c r="AX124" s="944">
        <v>1</v>
      </c>
      <c r="AZ124" s="944">
        <v>2</v>
      </c>
    </row>
    <row r="125" spans="1:52" ht="15.75">
      <c r="A125" s="957">
        <v>11</v>
      </c>
      <c r="B125" s="958" t="e">
        <f>VLOOKUP(C125,'[8]DS CN MOI UP'!$B$10:$C$489,2,0)</f>
        <v>#N/A</v>
      </c>
      <c r="C125" s="991" t="s">
        <v>85</v>
      </c>
      <c r="D125" s="957" t="s">
        <v>15</v>
      </c>
      <c r="E125" s="960"/>
      <c r="F125" s="960"/>
      <c r="G125" s="960"/>
      <c r="H125" s="960"/>
      <c r="I125" s="960"/>
      <c r="J125" s="960"/>
      <c r="K125" s="960"/>
      <c r="L125" s="960"/>
      <c r="M125" s="960"/>
      <c r="N125" s="960">
        <f t="shared" si="37"/>
        <v>0</v>
      </c>
      <c r="O125" s="960">
        <f t="shared" si="38"/>
        <v>0</v>
      </c>
      <c r="P125" s="960">
        <f t="shared" si="39"/>
        <v>0</v>
      </c>
      <c r="Q125" s="960">
        <f t="shared" si="40"/>
        <v>0</v>
      </c>
      <c r="R125" s="960">
        <f t="shared" si="41"/>
        <v>0</v>
      </c>
      <c r="S125" s="960">
        <f t="shared" si="42"/>
        <v>0</v>
      </c>
      <c r="T125" s="960">
        <f t="shared" si="43"/>
        <v>0</v>
      </c>
      <c r="U125" s="960">
        <f t="shared" si="44"/>
        <v>0</v>
      </c>
      <c r="V125" s="960">
        <f t="shared" si="45"/>
        <v>0</v>
      </c>
      <c r="W125" s="960"/>
      <c r="X125" s="960"/>
      <c r="Y125" s="960"/>
      <c r="Z125" s="960"/>
      <c r="AA125" s="975">
        <f t="shared" si="46"/>
        <v>0</v>
      </c>
      <c r="AB125" s="975" t="e">
        <f>VLOOKUP(C125,'[8]MỦ TẠP'!$D$10:$AM$450,36,0)</f>
        <v>#N/A</v>
      </c>
      <c r="AC125" s="975"/>
      <c r="AD125" s="975"/>
      <c r="AE125" s="975" t="e">
        <f>VLOOKUP(C125,'[8]MỦ TẠP'!$D$10:$AM$450,36,0)</f>
        <v>#N/A</v>
      </c>
      <c r="AF125" s="975"/>
      <c r="AG125" s="975"/>
      <c r="AH125" s="975" t="e">
        <f t="shared" si="47"/>
        <v>#N/A</v>
      </c>
      <c r="AI125" s="975" t="e">
        <f>VLOOKUP(C125,'[8]CHẤM CÔNG '!$F$10:$AM$451,33,0)</f>
        <v>#N/A</v>
      </c>
      <c r="AJ125" s="975" t="e">
        <f>VLOOKUP(C125,'[8]CHẤM CÔNG '!$F$10:$AM$451,34,0)</f>
        <v>#N/A</v>
      </c>
      <c r="AK125" s="975"/>
      <c r="AL125" s="975"/>
      <c r="AM125" s="975"/>
      <c r="AN125" s="975" t="e">
        <f>VLOOKUP(C125,'[8]CHẤM CÔNG '!$F$10:$AN$451,35,0)</f>
        <v>#N/A</v>
      </c>
      <c r="AO125" s="975" t="e">
        <f>VLOOKUP(C125,'[8]CHẤM CÔNG '!$F$10:$AR$451,36,0)</f>
        <v>#N/A</v>
      </c>
      <c r="AP125" s="975"/>
      <c r="AQ125" s="975"/>
      <c r="AR125" s="975"/>
      <c r="AS125" s="981"/>
      <c r="AT125" s="982" t="e">
        <f>VLOOKUP(C125,'[8]MỦ TẠP'!$D$10:$AO$450,38,0)</f>
        <v>#N/A</v>
      </c>
      <c r="AX125" s="944">
        <v>1</v>
      </c>
      <c r="AZ125" s="944">
        <v>2</v>
      </c>
    </row>
    <row r="126" spans="1:52" ht="15.75">
      <c r="A126" s="957">
        <v>12</v>
      </c>
      <c r="B126" s="958" t="e">
        <f>VLOOKUP(C126,'[8]DS CN MOI UP'!$B$10:$C$489,2,0)</f>
        <v>#N/A</v>
      </c>
      <c r="C126" s="991" t="s">
        <v>556</v>
      </c>
      <c r="D126" s="957" t="s">
        <v>15</v>
      </c>
      <c r="E126" s="960"/>
      <c r="F126" s="960"/>
      <c r="G126" s="960"/>
      <c r="H126" s="960"/>
      <c r="I126" s="960"/>
      <c r="J126" s="960"/>
      <c r="K126" s="960"/>
      <c r="L126" s="960"/>
      <c r="M126" s="960"/>
      <c r="N126" s="960">
        <f t="shared" si="37"/>
        <v>0</v>
      </c>
      <c r="O126" s="960">
        <f t="shared" si="38"/>
        <v>0</v>
      </c>
      <c r="P126" s="960">
        <f t="shared" si="39"/>
        <v>0</v>
      </c>
      <c r="Q126" s="960">
        <f t="shared" si="40"/>
        <v>0</v>
      </c>
      <c r="R126" s="960">
        <f t="shared" si="41"/>
        <v>0</v>
      </c>
      <c r="S126" s="960">
        <f t="shared" si="42"/>
        <v>0</v>
      </c>
      <c r="T126" s="960">
        <f t="shared" si="43"/>
        <v>0</v>
      </c>
      <c r="U126" s="960">
        <f t="shared" si="44"/>
        <v>0</v>
      </c>
      <c r="V126" s="960">
        <f t="shared" si="45"/>
        <v>0</v>
      </c>
      <c r="W126" s="960"/>
      <c r="X126" s="960"/>
      <c r="Y126" s="960"/>
      <c r="Z126" s="960"/>
      <c r="AA126" s="975">
        <f t="shared" si="46"/>
        <v>0</v>
      </c>
      <c r="AB126" s="975">
        <f>VLOOKUP(C126,'[8]MỦ TẠP'!$D$10:$AM$450,36,0)</f>
        <v>0</v>
      </c>
      <c r="AC126" s="975"/>
      <c r="AD126" s="975"/>
      <c r="AE126" s="975">
        <f>VLOOKUP(C126,'[8]MỦ TẠP'!$D$10:$AM$450,36,0)</f>
        <v>0</v>
      </c>
      <c r="AF126" s="975"/>
      <c r="AG126" s="975"/>
      <c r="AH126" s="975">
        <f t="shared" si="47"/>
        <v>0</v>
      </c>
      <c r="AI126" s="975">
        <f>VLOOKUP(C126,'[8]CHẤM CÔNG '!$F$10:$AM$451,33,0)</f>
        <v>0</v>
      </c>
      <c r="AJ126" s="975">
        <f>VLOOKUP(C126,'[8]CHẤM CÔNG '!$F$10:$AM$451,34,0)</f>
        <v>0</v>
      </c>
      <c r="AK126" s="975"/>
      <c r="AL126" s="975"/>
      <c r="AM126" s="975"/>
      <c r="AN126" s="975">
        <f>VLOOKUP(C126,'[8]CHẤM CÔNG '!$F$10:$AN$451,35,0)</f>
        <v>0</v>
      </c>
      <c r="AO126" s="975">
        <f>VLOOKUP(C126,'[8]CHẤM CÔNG '!$F$10:$AR$451,36,0)</f>
        <v>0</v>
      </c>
      <c r="AP126" s="975"/>
      <c r="AQ126" s="975"/>
      <c r="AR126" s="975"/>
      <c r="AS126" s="981"/>
      <c r="AT126" s="982">
        <f>VLOOKUP(C126,'[8]MỦ TẠP'!$D$10:$AO$450,38,0)</f>
        <v>0</v>
      </c>
      <c r="AX126" s="944">
        <v>1</v>
      </c>
      <c r="AZ126" s="944">
        <v>2</v>
      </c>
    </row>
    <row r="127" spans="1:52" ht="15.75">
      <c r="A127" s="957">
        <v>13</v>
      </c>
      <c r="B127" s="958" t="e">
        <f>VLOOKUP(C127,'[8]DS CN MOI UP'!$B$10:$C$489,2,0)</f>
        <v>#N/A</v>
      </c>
      <c r="C127" s="991" t="s">
        <v>2645</v>
      </c>
      <c r="D127" s="957" t="s">
        <v>15</v>
      </c>
      <c r="E127" s="960"/>
      <c r="F127" s="960"/>
      <c r="G127" s="960"/>
      <c r="H127" s="960"/>
      <c r="I127" s="960"/>
      <c r="J127" s="960"/>
      <c r="K127" s="960"/>
      <c r="L127" s="960"/>
      <c r="M127" s="960"/>
      <c r="N127" s="960">
        <f t="shared" si="37"/>
        <v>0</v>
      </c>
      <c r="O127" s="960">
        <f t="shared" si="38"/>
        <v>0</v>
      </c>
      <c r="P127" s="960">
        <f t="shared" si="39"/>
        <v>0</v>
      </c>
      <c r="Q127" s="960">
        <f t="shared" si="40"/>
        <v>0</v>
      </c>
      <c r="R127" s="960">
        <f t="shared" si="41"/>
        <v>0</v>
      </c>
      <c r="S127" s="960">
        <f t="shared" si="42"/>
        <v>0</v>
      </c>
      <c r="T127" s="960">
        <f t="shared" si="43"/>
        <v>0</v>
      </c>
      <c r="U127" s="960">
        <f t="shared" si="44"/>
        <v>0</v>
      </c>
      <c r="V127" s="960">
        <f t="shared" si="45"/>
        <v>0</v>
      </c>
      <c r="W127" s="960"/>
      <c r="X127" s="960"/>
      <c r="Y127" s="960"/>
      <c r="Z127" s="960"/>
      <c r="AA127" s="975">
        <f t="shared" si="46"/>
        <v>0</v>
      </c>
      <c r="AB127" s="975">
        <f>VLOOKUP(C127,'[8]MỦ TẠP'!$D$10:$AM$450,36,0)</f>
        <v>0</v>
      </c>
      <c r="AC127" s="975"/>
      <c r="AD127" s="975"/>
      <c r="AE127" s="975">
        <f>VLOOKUP(C127,'[8]MỦ TẠP'!$D$10:$AM$450,36,0)</f>
        <v>0</v>
      </c>
      <c r="AF127" s="975"/>
      <c r="AG127" s="975"/>
      <c r="AH127" s="975">
        <f t="shared" si="47"/>
        <v>0</v>
      </c>
      <c r="AI127" s="975">
        <f>VLOOKUP(C127,'[8]CHẤM CÔNG '!$F$10:$AM$451,33,0)</f>
        <v>0</v>
      </c>
      <c r="AJ127" s="975">
        <f>VLOOKUP(C127,'[8]CHẤM CÔNG '!$F$10:$AM$451,34,0)</f>
        <v>0</v>
      </c>
      <c r="AK127" s="975"/>
      <c r="AL127" s="975"/>
      <c r="AM127" s="975"/>
      <c r="AN127" s="975">
        <f>VLOOKUP(C127,'[8]CHẤM CÔNG '!$F$10:$AN$451,35,0)</f>
        <v>0</v>
      </c>
      <c r="AO127" s="975">
        <f>VLOOKUP(C127,'[8]CHẤM CÔNG '!$F$10:$AR$451,36,0)</f>
        <v>0</v>
      </c>
      <c r="AP127" s="975"/>
      <c r="AQ127" s="975"/>
      <c r="AR127" s="975"/>
      <c r="AS127" s="981"/>
      <c r="AT127" s="982">
        <f>VLOOKUP(C127,'[8]MỦ TẠP'!$D$10:$AO$450,38,0)</f>
        <v>0</v>
      </c>
      <c r="AX127" s="944">
        <v>1</v>
      </c>
      <c r="AZ127" s="944">
        <v>2</v>
      </c>
    </row>
    <row r="128" spans="1:52" ht="15.75">
      <c r="A128" s="957">
        <v>14</v>
      </c>
      <c r="B128" s="958" t="str">
        <f>VLOOKUP(C128,'[8]DS CN MOI UP'!$B$10:$C$489,2,0)</f>
        <v>02500</v>
      </c>
      <c r="C128" s="991" t="s">
        <v>59</v>
      </c>
      <c r="D128" s="957" t="s">
        <v>15</v>
      </c>
      <c r="E128" s="960"/>
      <c r="F128" s="960"/>
      <c r="G128" s="960"/>
      <c r="H128" s="960"/>
      <c r="I128" s="960"/>
      <c r="J128" s="960"/>
      <c r="K128" s="960"/>
      <c r="L128" s="960"/>
      <c r="M128" s="960"/>
      <c r="N128" s="960">
        <f t="shared" si="37"/>
        <v>0</v>
      </c>
      <c r="O128" s="960">
        <f t="shared" si="38"/>
        <v>0</v>
      </c>
      <c r="P128" s="960">
        <f t="shared" si="39"/>
        <v>0</v>
      </c>
      <c r="Q128" s="960">
        <f t="shared" si="40"/>
        <v>0</v>
      </c>
      <c r="R128" s="960">
        <f t="shared" si="41"/>
        <v>0</v>
      </c>
      <c r="S128" s="960">
        <f t="shared" si="42"/>
        <v>0</v>
      </c>
      <c r="T128" s="960">
        <f t="shared" si="43"/>
        <v>0</v>
      </c>
      <c r="U128" s="960">
        <f t="shared" si="44"/>
        <v>0</v>
      </c>
      <c r="V128" s="960">
        <f t="shared" si="45"/>
        <v>0</v>
      </c>
      <c r="W128" s="960"/>
      <c r="X128" s="960"/>
      <c r="Y128" s="960"/>
      <c r="Z128" s="960"/>
      <c r="AA128" s="975">
        <f t="shared" si="46"/>
        <v>0</v>
      </c>
      <c r="AB128" s="975">
        <f>VLOOKUP(C128,'[8]MỦ TẠP'!$D$10:$AM$450,36,0)</f>
        <v>0</v>
      </c>
      <c r="AC128" s="975"/>
      <c r="AD128" s="975"/>
      <c r="AE128" s="975">
        <f>VLOOKUP(C128,'[8]MỦ TẠP'!$D$10:$AM$450,36,0)</f>
        <v>0</v>
      </c>
      <c r="AF128" s="975"/>
      <c r="AG128" s="975"/>
      <c r="AH128" s="975">
        <f t="shared" si="47"/>
        <v>0</v>
      </c>
      <c r="AI128" s="975">
        <f>VLOOKUP(C128,'[8]CHẤM CÔNG '!$F$10:$AM$451,33,0)</f>
        <v>0</v>
      </c>
      <c r="AJ128" s="975">
        <f>VLOOKUP(C128,'[8]CHẤM CÔNG '!$F$10:$AM$451,34,0)</f>
        <v>0</v>
      </c>
      <c r="AK128" s="975"/>
      <c r="AL128" s="975"/>
      <c r="AM128" s="975"/>
      <c r="AN128" s="975">
        <f>VLOOKUP(C128,'[8]CHẤM CÔNG '!$F$10:$AN$451,35,0)</f>
        <v>0</v>
      </c>
      <c r="AO128" s="975">
        <f>VLOOKUP(C128,'[8]CHẤM CÔNG '!$F$10:$AR$451,36,0)</f>
        <v>0</v>
      </c>
      <c r="AP128" s="975"/>
      <c r="AQ128" s="975"/>
      <c r="AR128" s="975"/>
      <c r="AS128" s="981"/>
      <c r="AT128" s="982">
        <f>VLOOKUP(C128,'[8]MỦ TẠP'!$D$10:$AO$450,38,0)</f>
        <v>0</v>
      </c>
      <c r="AX128" s="944">
        <v>1</v>
      </c>
      <c r="AZ128" s="944">
        <v>2</v>
      </c>
    </row>
    <row r="129" spans="1:52" ht="15.75">
      <c r="A129" s="957">
        <v>15</v>
      </c>
      <c r="B129" s="958" t="str">
        <f>VLOOKUP(C129,'[8]DS CN MOI UP'!$B$10:$C$489,2,0)</f>
        <v>02466</v>
      </c>
      <c r="C129" s="991" t="s">
        <v>25</v>
      </c>
      <c r="D129" s="957" t="s">
        <v>15</v>
      </c>
      <c r="E129" s="960"/>
      <c r="F129" s="960"/>
      <c r="G129" s="960"/>
      <c r="H129" s="960"/>
      <c r="I129" s="960"/>
      <c r="J129" s="960"/>
      <c r="K129" s="960"/>
      <c r="L129" s="960"/>
      <c r="M129" s="960"/>
      <c r="N129" s="960">
        <f t="shared" si="37"/>
        <v>0</v>
      </c>
      <c r="O129" s="960">
        <f t="shared" si="38"/>
        <v>0</v>
      </c>
      <c r="P129" s="960">
        <f t="shared" si="39"/>
        <v>0</v>
      </c>
      <c r="Q129" s="960">
        <f t="shared" si="40"/>
        <v>0</v>
      </c>
      <c r="R129" s="960">
        <f t="shared" si="41"/>
        <v>0</v>
      </c>
      <c r="S129" s="960">
        <f t="shared" si="42"/>
        <v>0</v>
      </c>
      <c r="T129" s="960">
        <f t="shared" si="43"/>
        <v>0</v>
      </c>
      <c r="U129" s="960">
        <f t="shared" si="44"/>
        <v>0</v>
      </c>
      <c r="V129" s="960">
        <f t="shared" si="45"/>
        <v>0</v>
      </c>
      <c r="W129" s="960"/>
      <c r="X129" s="960"/>
      <c r="Y129" s="960"/>
      <c r="Z129" s="960"/>
      <c r="AA129" s="975">
        <f t="shared" si="46"/>
        <v>0</v>
      </c>
      <c r="AB129" s="975">
        <f>VLOOKUP(C129,'[8]MỦ TẠP'!$D$10:$AM$450,36,0)</f>
        <v>0</v>
      </c>
      <c r="AC129" s="975"/>
      <c r="AD129" s="975"/>
      <c r="AE129" s="975">
        <f>VLOOKUP(C129,'[8]MỦ TẠP'!$D$10:$AM$450,36,0)</f>
        <v>0</v>
      </c>
      <c r="AF129" s="975"/>
      <c r="AG129" s="975"/>
      <c r="AH129" s="975">
        <f t="shared" si="47"/>
        <v>0</v>
      </c>
      <c r="AI129" s="975">
        <f>VLOOKUP(C129,'[8]CHẤM CÔNG '!$F$10:$AM$451,33,0)</f>
        <v>0</v>
      </c>
      <c r="AJ129" s="975">
        <f>VLOOKUP(C129,'[8]CHẤM CÔNG '!$F$10:$AM$451,34,0)</f>
        <v>0</v>
      </c>
      <c r="AK129" s="975"/>
      <c r="AL129" s="975"/>
      <c r="AM129" s="975"/>
      <c r="AN129" s="975">
        <f>VLOOKUP(C129,'[8]CHẤM CÔNG '!$F$10:$AN$451,35,0)</f>
        <v>0</v>
      </c>
      <c r="AO129" s="975">
        <f>VLOOKUP(C129,'[8]CHẤM CÔNG '!$F$10:$AR$451,36,0)</f>
        <v>0</v>
      </c>
      <c r="AP129" s="975"/>
      <c r="AQ129" s="975"/>
      <c r="AR129" s="975"/>
      <c r="AS129" s="981"/>
      <c r="AT129" s="982">
        <f>VLOOKUP(C129,'[8]MỦ TẠP'!$D$10:$AO$450,38,0)</f>
        <v>0</v>
      </c>
      <c r="AZ129" s="944">
        <v>3</v>
      </c>
    </row>
    <row r="130" spans="1:52" ht="15.75">
      <c r="A130" s="957">
        <v>16</v>
      </c>
      <c r="B130" s="958" t="str">
        <f>VLOOKUP(C130,'[8]DS CN MOI UP'!$B$10:$C$489,2,0)</f>
        <v>02451</v>
      </c>
      <c r="C130" s="991" t="s">
        <v>60</v>
      </c>
      <c r="D130" s="957" t="s">
        <v>15</v>
      </c>
      <c r="E130" s="960"/>
      <c r="F130" s="960"/>
      <c r="G130" s="960"/>
      <c r="H130" s="960"/>
      <c r="I130" s="960"/>
      <c r="J130" s="960"/>
      <c r="K130" s="960"/>
      <c r="L130" s="960"/>
      <c r="M130" s="960"/>
      <c r="N130" s="960">
        <f t="shared" si="37"/>
        <v>0</v>
      </c>
      <c r="O130" s="960">
        <f t="shared" si="38"/>
        <v>0</v>
      </c>
      <c r="P130" s="960">
        <f t="shared" si="39"/>
        <v>0</v>
      </c>
      <c r="Q130" s="960">
        <f t="shared" si="40"/>
        <v>0</v>
      </c>
      <c r="R130" s="960">
        <f t="shared" si="41"/>
        <v>0</v>
      </c>
      <c r="S130" s="960">
        <f t="shared" si="42"/>
        <v>0</v>
      </c>
      <c r="T130" s="960">
        <f t="shared" si="43"/>
        <v>0</v>
      </c>
      <c r="U130" s="960">
        <f t="shared" si="44"/>
        <v>0</v>
      </c>
      <c r="V130" s="960">
        <f t="shared" si="45"/>
        <v>0</v>
      </c>
      <c r="W130" s="960"/>
      <c r="X130" s="960"/>
      <c r="Y130" s="960"/>
      <c r="Z130" s="960"/>
      <c r="AA130" s="975">
        <f t="shared" si="46"/>
        <v>0</v>
      </c>
      <c r="AB130" s="975">
        <f>VLOOKUP(C130,'[8]MỦ TẠP'!$D$10:$AM$450,36,0)</f>
        <v>0</v>
      </c>
      <c r="AC130" s="975"/>
      <c r="AD130" s="975"/>
      <c r="AE130" s="975">
        <f>VLOOKUP(C130,'[8]MỦ TẠP'!$D$10:$AM$450,36,0)</f>
        <v>0</v>
      </c>
      <c r="AF130" s="975"/>
      <c r="AG130" s="975"/>
      <c r="AH130" s="975">
        <f t="shared" si="47"/>
        <v>0</v>
      </c>
      <c r="AI130" s="975">
        <f>VLOOKUP(C130,'[8]CHẤM CÔNG '!$F$10:$AM$451,33,0)</f>
        <v>0</v>
      </c>
      <c r="AJ130" s="975">
        <f>VLOOKUP(C130,'[8]CHẤM CÔNG '!$F$10:$AM$451,34,0)</f>
        <v>0</v>
      </c>
      <c r="AK130" s="975"/>
      <c r="AL130" s="975"/>
      <c r="AM130" s="975"/>
      <c r="AN130" s="975">
        <f>VLOOKUP(C130,'[8]CHẤM CÔNG '!$F$10:$AN$451,35,0)</f>
        <v>0</v>
      </c>
      <c r="AO130" s="975">
        <f>VLOOKUP(C130,'[8]CHẤM CÔNG '!$F$10:$AR$451,36,0)</f>
        <v>0</v>
      </c>
      <c r="AP130" s="975"/>
      <c r="AQ130" s="975"/>
      <c r="AR130" s="975"/>
      <c r="AS130" s="981"/>
      <c r="AT130" s="982">
        <f>VLOOKUP(C130,'[8]MỦ TẠP'!$D$10:$AO$450,38,0)</f>
        <v>0</v>
      </c>
      <c r="AX130" s="944">
        <v>2</v>
      </c>
      <c r="AZ130" s="944">
        <v>1</v>
      </c>
    </row>
    <row r="131" spans="1:52" ht="15.75">
      <c r="A131" s="957">
        <v>17</v>
      </c>
      <c r="B131" s="958" t="e">
        <f>VLOOKUP(C131,'[8]DS CN MOI UP'!$B$10:$C$489,2,0)</f>
        <v>#N/A</v>
      </c>
      <c r="C131" s="991" t="s">
        <v>2024</v>
      </c>
      <c r="D131" s="957" t="s">
        <v>15</v>
      </c>
      <c r="E131" s="960"/>
      <c r="F131" s="960"/>
      <c r="G131" s="960"/>
      <c r="H131" s="960"/>
      <c r="I131" s="960"/>
      <c r="J131" s="960"/>
      <c r="K131" s="960"/>
      <c r="L131" s="960"/>
      <c r="M131" s="960"/>
      <c r="N131" s="960">
        <f t="shared" si="37"/>
        <v>0</v>
      </c>
      <c r="O131" s="960">
        <f t="shared" si="38"/>
        <v>0</v>
      </c>
      <c r="P131" s="960">
        <f t="shared" si="39"/>
        <v>0</v>
      </c>
      <c r="Q131" s="960">
        <f t="shared" si="40"/>
        <v>0</v>
      </c>
      <c r="R131" s="960">
        <f t="shared" si="41"/>
        <v>0</v>
      </c>
      <c r="S131" s="960">
        <f t="shared" si="42"/>
        <v>0</v>
      </c>
      <c r="T131" s="960">
        <f t="shared" si="43"/>
        <v>0</v>
      </c>
      <c r="U131" s="960">
        <f t="shared" si="44"/>
        <v>0</v>
      </c>
      <c r="V131" s="960">
        <f t="shared" si="45"/>
        <v>0</v>
      </c>
      <c r="W131" s="960"/>
      <c r="X131" s="960"/>
      <c r="Y131" s="960"/>
      <c r="Z131" s="960"/>
      <c r="AA131" s="975">
        <f t="shared" si="46"/>
        <v>0</v>
      </c>
      <c r="AB131" s="975">
        <f>VLOOKUP(C131,'[8]MỦ TẠP'!$D$10:$AM$450,36,0)</f>
        <v>0</v>
      </c>
      <c r="AC131" s="975"/>
      <c r="AD131" s="975"/>
      <c r="AE131" s="975">
        <f>VLOOKUP(C131,'[8]MỦ TẠP'!$D$10:$AM$450,36,0)</f>
        <v>0</v>
      </c>
      <c r="AF131" s="975"/>
      <c r="AG131" s="975"/>
      <c r="AH131" s="975">
        <f t="shared" si="47"/>
        <v>0</v>
      </c>
      <c r="AI131" s="975">
        <f>VLOOKUP(C131,'[8]CHẤM CÔNG '!$F$10:$AM$451,33,0)</f>
        <v>0</v>
      </c>
      <c r="AJ131" s="975">
        <f>VLOOKUP(C131,'[8]CHẤM CÔNG '!$F$10:$AM$451,34,0)</f>
        <v>0</v>
      </c>
      <c r="AK131" s="975"/>
      <c r="AL131" s="975"/>
      <c r="AM131" s="975"/>
      <c r="AN131" s="975">
        <f>VLOOKUP(C131,'[8]CHẤM CÔNG '!$F$10:$AN$451,35,0)</f>
        <v>0</v>
      </c>
      <c r="AO131" s="975">
        <f>VLOOKUP(C131,'[8]CHẤM CÔNG '!$F$10:$AR$451,36,0)</f>
        <v>0</v>
      </c>
      <c r="AP131" s="975"/>
      <c r="AQ131" s="975"/>
      <c r="AR131" s="975"/>
      <c r="AS131" s="981"/>
      <c r="AT131" s="982">
        <f>VLOOKUP(C131,'[8]MỦ TẠP'!$D$10:$AO$450,38,0)</f>
        <v>0</v>
      </c>
      <c r="AX131" s="944">
        <v>1</v>
      </c>
      <c r="AZ131" s="944">
        <v>2</v>
      </c>
    </row>
    <row r="132" spans="1:52" ht="15.75">
      <c r="A132" s="957">
        <v>18</v>
      </c>
      <c r="B132" s="958" t="str">
        <f>VLOOKUP(C132,'[8]DS CN MOI UP'!$B$10:$C$489,2,0)</f>
        <v>02467</v>
      </c>
      <c r="C132" s="991" t="s">
        <v>52</v>
      </c>
      <c r="D132" s="957" t="s">
        <v>15</v>
      </c>
      <c r="E132" s="960"/>
      <c r="F132" s="960"/>
      <c r="G132" s="960"/>
      <c r="H132" s="960"/>
      <c r="I132" s="960"/>
      <c r="J132" s="960"/>
      <c r="K132" s="960"/>
      <c r="L132" s="960"/>
      <c r="M132" s="960"/>
      <c r="N132" s="960">
        <f t="shared" si="37"/>
        <v>0</v>
      </c>
      <c r="O132" s="960">
        <f t="shared" si="38"/>
        <v>0</v>
      </c>
      <c r="P132" s="960">
        <f t="shared" si="39"/>
        <v>0</v>
      </c>
      <c r="Q132" s="960">
        <f t="shared" si="40"/>
        <v>0</v>
      </c>
      <c r="R132" s="960">
        <f t="shared" si="41"/>
        <v>0</v>
      </c>
      <c r="S132" s="960">
        <f t="shared" si="42"/>
        <v>0</v>
      </c>
      <c r="T132" s="960">
        <f t="shared" si="43"/>
        <v>0</v>
      </c>
      <c r="U132" s="960">
        <f t="shared" si="44"/>
        <v>0</v>
      </c>
      <c r="V132" s="960">
        <f t="shared" si="45"/>
        <v>0</v>
      </c>
      <c r="W132" s="960"/>
      <c r="X132" s="960"/>
      <c r="Y132" s="960"/>
      <c r="Z132" s="960"/>
      <c r="AA132" s="975">
        <f t="shared" si="46"/>
        <v>0</v>
      </c>
      <c r="AB132" s="975">
        <f>VLOOKUP(C132,'[8]MỦ TẠP'!$D$10:$AM$450,36,0)</f>
        <v>0</v>
      </c>
      <c r="AC132" s="975"/>
      <c r="AD132" s="975"/>
      <c r="AE132" s="975">
        <f>VLOOKUP(C132,'[8]MỦ TẠP'!$D$10:$AM$450,36,0)</f>
        <v>0</v>
      </c>
      <c r="AF132" s="975"/>
      <c r="AG132" s="975"/>
      <c r="AH132" s="975">
        <f t="shared" si="47"/>
        <v>0</v>
      </c>
      <c r="AI132" s="975">
        <f>VLOOKUP(C132,'[8]CHẤM CÔNG '!$F$10:$AM$451,33,0)</f>
        <v>0</v>
      </c>
      <c r="AJ132" s="975">
        <f>VLOOKUP(C132,'[8]CHẤM CÔNG '!$F$10:$AM$451,34,0)</f>
        <v>0</v>
      </c>
      <c r="AK132" s="975"/>
      <c r="AL132" s="975"/>
      <c r="AM132" s="975"/>
      <c r="AN132" s="975">
        <f>VLOOKUP(C132,'[8]CHẤM CÔNG '!$F$10:$AN$451,35,0)</f>
        <v>0</v>
      </c>
      <c r="AO132" s="975">
        <f>VLOOKUP(C132,'[8]CHẤM CÔNG '!$F$10:$AR$451,36,0)</f>
        <v>0</v>
      </c>
      <c r="AP132" s="975"/>
      <c r="AQ132" s="975"/>
      <c r="AR132" s="975"/>
      <c r="AS132" s="981"/>
      <c r="AT132" s="982">
        <f>VLOOKUP(C132,'[8]MỦ TẠP'!$D$10:$AO$450,38,0)</f>
        <v>0</v>
      </c>
      <c r="AX132" s="944">
        <v>1</v>
      </c>
      <c r="AZ132" s="944">
        <v>2</v>
      </c>
    </row>
    <row r="133" spans="1:52" ht="15.75">
      <c r="A133" s="957">
        <v>19</v>
      </c>
      <c r="B133" s="958" t="str">
        <f>VLOOKUP(C133,'[8]DS CN MOI UP'!$B$10:$C$489,2,0)</f>
        <v>02494</v>
      </c>
      <c r="C133" s="991" t="s">
        <v>96</v>
      </c>
      <c r="D133" s="957" t="s">
        <v>15</v>
      </c>
      <c r="E133" s="960"/>
      <c r="F133" s="960"/>
      <c r="G133" s="960"/>
      <c r="H133" s="960"/>
      <c r="I133" s="960"/>
      <c r="J133" s="960"/>
      <c r="K133" s="960"/>
      <c r="L133" s="960"/>
      <c r="M133" s="960"/>
      <c r="N133" s="960">
        <f t="shared" si="37"/>
        <v>0</v>
      </c>
      <c r="O133" s="960">
        <f t="shared" si="38"/>
        <v>0</v>
      </c>
      <c r="P133" s="960">
        <f t="shared" si="39"/>
        <v>0</v>
      </c>
      <c r="Q133" s="960">
        <f t="shared" si="40"/>
        <v>0</v>
      </c>
      <c r="R133" s="960">
        <f t="shared" si="41"/>
        <v>0</v>
      </c>
      <c r="S133" s="960">
        <f t="shared" si="42"/>
        <v>0</v>
      </c>
      <c r="T133" s="960">
        <f t="shared" si="43"/>
        <v>0</v>
      </c>
      <c r="U133" s="960">
        <f t="shared" si="44"/>
        <v>0</v>
      </c>
      <c r="V133" s="960">
        <f t="shared" si="45"/>
        <v>0</v>
      </c>
      <c r="W133" s="960"/>
      <c r="X133" s="960"/>
      <c r="Y133" s="960"/>
      <c r="Z133" s="960"/>
      <c r="AA133" s="975">
        <f t="shared" si="46"/>
        <v>0</v>
      </c>
      <c r="AB133" s="975">
        <f>VLOOKUP(C133,'[8]MỦ TẠP'!$D$10:$AM$450,36,0)</f>
        <v>0</v>
      </c>
      <c r="AC133" s="975"/>
      <c r="AD133" s="975"/>
      <c r="AE133" s="975">
        <f>VLOOKUP(C133,'[8]MỦ TẠP'!$D$10:$AM$450,36,0)</f>
        <v>0</v>
      </c>
      <c r="AF133" s="975"/>
      <c r="AG133" s="975"/>
      <c r="AH133" s="975">
        <f t="shared" si="47"/>
        <v>0</v>
      </c>
      <c r="AI133" s="975">
        <f>VLOOKUP(C133,'[8]CHẤM CÔNG '!$F$10:$AM$451,33,0)</f>
        <v>0</v>
      </c>
      <c r="AJ133" s="975">
        <f>VLOOKUP(C133,'[8]CHẤM CÔNG '!$F$10:$AM$451,34,0)</f>
        <v>0</v>
      </c>
      <c r="AK133" s="975"/>
      <c r="AL133" s="975"/>
      <c r="AM133" s="975"/>
      <c r="AN133" s="975">
        <f>VLOOKUP(C133,'[8]CHẤM CÔNG '!$F$10:$AN$451,35,0)</f>
        <v>0</v>
      </c>
      <c r="AO133" s="975">
        <f>VLOOKUP(C133,'[8]CHẤM CÔNG '!$F$10:$AR$451,36,0)</f>
        <v>0</v>
      </c>
      <c r="AP133" s="975"/>
      <c r="AQ133" s="975"/>
      <c r="AR133" s="975"/>
      <c r="AS133" s="981"/>
      <c r="AT133" s="982">
        <f>VLOOKUP(C133,'[8]MỦ TẠP'!$D$10:$AO$450,38,0)</f>
        <v>0</v>
      </c>
      <c r="AX133" s="944">
        <v>1</v>
      </c>
      <c r="AZ133" s="944">
        <v>2</v>
      </c>
    </row>
    <row r="134" spans="1:52" ht="15.75">
      <c r="A134" s="957">
        <v>20</v>
      </c>
      <c r="B134" s="958" t="str">
        <f>VLOOKUP(C134,'[8]DS CN MOI UP'!$B$10:$C$489,2,0)</f>
        <v>02476</v>
      </c>
      <c r="C134" s="991" t="s">
        <v>97</v>
      </c>
      <c r="D134" s="957" t="s">
        <v>15</v>
      </c>
      <c r="E134" s="960"/>
      <c r="F134" s="960"/>
      <c r="G134" s="960"/>
      <c r="H134" s="960"/>
      <c r="I134" s="960"/>
      <c r="J134" s="960"/>
      <c r="K134" s="960"/>
      <c r="L134" s="960"/>
      <c r="M134" s="960"/>
      <c r="N134" s="960">
        <f t="shared" si="37"/>
        <v>0</v>
      </c>
      <c r="O134" s="960">
        <f t="shared" si="38"/>
        <v>0</v>
      </c>
      <c r="P134" s="960">
        <f t="shared" si="39"/>
        <v>0</v>
      </c>
      <c r="Q134" s="960">
        <f t="shared" si="40"/>
        <v>0</v>
      </c>
      <c r="R134" s="960">
        <f t="shared" si="41"/>
        <v>0</v>
      </c>
      <c r="S134" s="960">
        <f t="shared" si="42"/>
        <v>0</v>
      </c>
      <c r="T134" s="960">
        <f t="shared" si="43"/>
        <v>0</v>
      </c>
      <c r="U134" s="960">
        <f t="shared" si="44"/>
        <v>0</v>
      </c>
      <c r="V134" s="960">
        <f t="shared" si="45"/>
        <v>0</v>
      </c>
      <c r="W134" s="960"/>
      <c r="X134" s="960"/>
      <c r="Y134" s="960"/>
      <c r="Z134" s="960"/>
      <c r="AA134" s="975">
        <f t="shared" si="46"/>
        <v>0</v>
      </c>
      <c r="AB134" s="975">
        <f>VLOOKUP(C134,'[8]MỦ TẠP'!$D$10:$AM$450,36,0)</f>
        <v>0</v>
      </c>
      <c r="AC134" s="975"/>
      <c r="AD134" s="975"/>
      <c r="AE134" s="975">
        <f>VLOOKUP(C134,'[8]MỦ TẠP'!$D$10:$AM$450,36,0)</f>
        <v>0</v>
      </c>
      <c r="AF134" s="975"/>
      <c r="AG134" s="975"/>
      <c r="AH134" s="975">
        <f t="shared" si="47"/>
        <v>0</v>
      </c>
      <c r="AI134" s="975">
        <f>VLOOKUP(C134,'[8]CHẤM CÔNG '!$F$10:$AM$451,33,0)</f>
        <v>0</v>
      </c>
      <c r="AJ134" s="975">
        <f>VLOOKUP(C134,'[8]CHẤM CÔNG '!$F$10:$AM$451,34,0)</f>
        <v>0</v>
      </c>
      <c r="AK134" s="975"/>
      <c r="AL134" s="975"/>
      <c r="AM134" s="975"/>
      <c r="AN134" s="975">
        <f>VLOOKUP(C134,'[8]CHẤM CÔNG '!$F$10:$AN$451,35,0)</f>
        <v>0</v>
      </c>
      <c r="AO134" s="975">
        <f>VLOOKUP(C134,'[8]CHẤM CÔNG '!$F$10:$AR$451,36,0)</f>
        <v>0</v>
      </c>
      <c r="AP134" s="975"/>
      <c r="AQ134" s="975"/>
      <c r="AR134" s="975"/>
      <c r="AS134" s="981"/>
      <c r="AT134" s="982">
        <f>VLOOKUP(C134,'[8]MỦ TẠP'!$D$10:$AO$450,38,0)</f>
        <v>0</v>
      </c>
      <c r="AX134" s="944">
        <v>2</v>
      </c>
      <c r="AZ134" s="944">
        <v>1</v>
      </c>
    </row>
    <row r="135" spans="1:52" ht="15.75">
      <c r="A135" s="957">
        <v>21</v>
      </c>
      <c r="B135" s="958" t="str">
        <f>VLOOKUP(C135,'[8]DS CN MOI UP'!$B$10:$C$489,2,0)</f>
        <v>02513</v>
      </c>
      <c r="C135" s="991" t="s">
        <v>42</v>
      </c>
      <c r="D135" s="957" t="s">
        <v>15</v>
      </c>
      <c r="E135" s="960"/>
      <c r="F135" s="960"/>
      <c r="G135" s="960"/>
      <c r="H135" s="960"/>
      <c r="I135" s="960"/>
      <c r="J135" s="960"/>
      <c r="K135" s="960"/>
      <c r="L135" s="960"/>
      <c r="M135" s="960"/>
      <c r="N135" s="960">
        <f t="shared" si="37"/>
        <v>0</v>
      </c>
      <c r="O135" s="960">
        <f t="shared" si="38"/>
        <v>0</v>
      </c>
      <c r="P135" s="960">
        <f t="shared" si="39"/>
        <v>0</v>
      </c>
      <c r="Q135" s="960">
        <f t="shared" si="40"/>
        <v>0</v>
      </c>
      <c r="R135" s="960">
        <f t="shared" si="41"/>
        <v>0</v>
      </c>
      <c r="S135" s="960">
        <f t="shared" si="42"/>
        <v>0</v>
      </c>
      <c r="T135" s="960">
        <f t="shared" si="43"/>
        <v>0</v>
      </c>
      <c r="U135" s="960">
        <f t="shared" si="44"/>
        <v>0</v>
      </c>
      <c r="V135" s="960">
        <f t="shared" si="45"/>
        <v>0</v>
      </c>
      <c r="W135" s="960"/>
      <c r="X135" s="960"/>
      <c r="Y135" s="960"/>
      <c r="Z135" s="960"/>
      <c r="AA135" s="975">
        <f t="shared" si="46"/>
        <v>0</v>
      </c>
      <c r="AB135" s="975">
        <f>VLOOKUP(C135,'[8]MỦ TẠP'!$D$10:$AM$450,36,0)</f>
        <v>0</v>
      </c>
      <c r="AC135" s="975"/>
      <c r="AD135" s="975"/>
      <c r="AE135" s="975">
        <f>VLOOKUP(C135,'[8]MỦ TẠP'!$D$10:$AM$450,36,0)</f>
        <v>0</v>
      </c>
      <c r="AF135" s="975"/>
      <c r="AG135" s="975"/>
      <c r="AH135" s="975">
        <f t="shared" si="47"/>
        <v>0</v>
      </c>
      <c r="AI135" s="975">
        <f>VLOOKUP(C135,'[8]CHẤM CÔNG '!$F$10:$AM$451,33,0)</f>
        <v>0</v>
      </c>
      <c r="AJ135" s="975">
        <f>VLOOKUP(C135,'[8]CHẤM CÔNG '!$F$10:$AM$451,34,0)</f>
        <v>0</v>
      </c>
      <c r="AK135" s="975"/>
      <c r="AL135" s="975"/>
      <c r="AM135" s="975"/>
      <c r="AN135" s="975">
        <f>VLOOKUP(C135,'[8]CHẤM CÔNG '!$F$10:$AN$451,35,0)</f>
        <v>0</v>
      </c>
      <c r="AO135" s="975">
        <f>VLOOKUP(C135,'[8]CHẤM CÔNG '!$F$10:$AR$451,36,0)</f>
        <v>0</v>
      </c>
      <c r="AP135" s="975"/>
      <c r="AQ135" s="975"/>
      <c r="AR135" s="975"/>
      <c r="AS135" s="981"/>
      <c r="AT135" s="982">
        <f>VLOOKUP(C135,'[8]MỦ TẠP'!$D$10:$AO$450,38,0)</f>
        <v>0</v>
      </c>
      <c r="AZ135" s="944">
        <v>3</v>
      </c>
    </row>
    <row r="136" spans="1:52" ht="15.75">
      <c r="A136" s="957">
        <v>22</v>
      </c>
      <c r="B136" s="958" t="str">
        <f>VLOOKUP(C136,'[8]DS CN MOI UP'!$B$10:$C$489,2,0)</f>
        <v>02512</v>
      </c>
      <c r="C136" s="991" t="s">
        <v>54</v>
      </c>
      <c r="D136" s="957" t="s">
        <v>15</v>
      </c>
      <c r="E136" s="960"/>
      <c r="F136" s="960"/>
      <c r="G136" s="960"/>
      <c r="H136" s="960"/>
      <c r="I136" s="960"/>
      <c r="J136" s="960"/>
      <c r="K136" s="960"/>
      <c r="L136" s="960"/>
      <c r="M136" s="960"/>
      <c r="N136" s="960">
        <f t="shared" si="37"/>
        <v>0</v>
      </c>
      <c r="O136" s="960">
        <f t="shared" si="38"/>
        <v>0</v>
      </c>
      <c r="P136" s="960">
        <f t="shared" si="39"/>
        <v>0</v>
      </c>
      <c r="Q136" s="960">
        <f t="shared" si="40"/>
        <v>0</v>
      </c>
      <c r="R136" s="960">
        <f t="shared" si="41"/>
        <v>0</v>
      </c>
      <c r="S136" s="960">
        <f t="shared" si="42"/>
        <v>0</v>
      </c>
      <c r="T136" s="960">
        <f t="shared" si="43"/>
        <v>0</v>
      </c>
      <c r="U136" s="960">
        <f t="shared" si="44"/>
        <v>0</v>
      </c>
      <c r="V136" s="960">
        <f t="shared" si="45"/>
        <v>0</v>
      </c>
      <c r="W136" s="960"/>
      <c r="X136" s="960"/>
      <c r="Y136" s="960"/>
      <c r="Z136" s="960"/>
      <c r="AA136" s="975">
        <f t="shared" si="46"/>
        <v>0</v>
      </c>
      <c r="AB136" s="975">
        <f>VLOOKUP(C136,'[8]MỦ TẠP'!$D$10:$AM$450,36,0)</f>
        <v>0</v>
      </c>
      <c r="AC136" s="975"/>
      <c r="AD136" s="975"/>
      <c r="AE136" s="975">
        <f>VLOOKUP(C136,'[8]MỦ TẠP'!$D$10:$AM$450,36,0)</f>
        <v>0</v>
      </c>
      <c r="AF136" s="975"/>
      <c r="AG136" s="975"/>
      <c r="AH136" s="975">
        <f t="shared" si="47"/>
        <v>0</v>
      </c>
      <c r="AI136" s="975">
        <f>VLOOKUP(C136,'[8]CHẤM CÔNG '!$F$10:$AM$451,33,0)</f>
        <v>0</v>
      </c>
      <c r="AJ136" s="975">
        <f>VLOOKUP(C136,'[8]CHẤM CÔNG '!$F$10:$AM$451,34,0)</f>
        <v>0</v>
      </c>
      <c r="AK136" s="975"/>
      <c r="AL136" s="975"/>
      <c r="AM136" s="975"/>
      <c r="AN136" s="975">
        <f>VLOOKUP(C136,'[8]CHẤM CÔNG '!$F$10:$AN$451,35,0)</f>
        <v>0</v>
      </c>
      <c r="AO136" s="975">
        <f>VLOOKUP(C136,'[8]CHẤM CÔNG '!$F$10:$AR$451,36,0)</f>
        <v>0</v>
      </c>
      <c r="AP136" s="975"/>
      <c r="AQ136" s="975"/>
      <c r="AR136" s="975"/>
      <c r="AS136" s="981"/>
      <c r="AT136" s="982">
        <f>VLOOKUP(C136,'[8]MỦ TẠP'!$D$10:$AO$450,38,0)</f>
        <v>0</v>
      </c>
      <c r="AZ136" s="944">
        <v>3</v>
      </c>
    </row>
    <row r="137" spans="1:52" ht="15.75">
      <c r="A137" s="957">
        <v>23</v>
      </c>
      <c r="B137" s="958" t="str">
        <f>VLOOKUP(C137,'[8]DS CN MOI UP'!$B$10:$C$489,2,0)</f>
        <v>03332</v>
      </c>
      <c r="C137" s="991" t="s">
        <v>2646</v>
      </c>
      <c r="D137" s="957" t="s">
        <v>15</v>
      </c>
      <c r="E137" s="960"/>
      <c r="F137" s="960"/>
      <c r="G137" s="960"/>
      <c r="H137" s="960"/>
      <c r="I137" s="960"/>
      <c r="J137" s="960"/>
      <c r="K137" s="960"/>
      <c r="L137" s="960"/>
      <c r="M137" s="960"/>
      <c r="N137" s="960">
        <f t="shared" si="37"/>
        <v>0</v>
      </c>
      <c r="O137" s="960">
        <f t="shared" si="38"/>
        <v>0</v>
      </c>
      <c r="P137" s="960">
        <f t="shared" si="39"/>
        <v>0</v>
      </c>
      <c r="Q137" s="960">
        <f t="shared" si="40"/>
        <v>0</v>
      </c>
      <c r="R137" s="960">
        <f t="shared" si="41"/>
        <v>0</v>
      </c>
      <c r="S137" s="960">
        <f t="shared" si="42"/>
        <v>0</v>
      </c>
      <c r="T137" s="960">
        <f t="shared" si="43"/>
        <v>0</v>
      </c>
      <c r="U137" s="960">
        <f t="shared" si="44"/>
        <v>0</v>
      </c>
      <c r="V137" s="960">
        <f t="shared" si="45"/>
        <v>0</v>
      </c>
      <c r="W137" s="960"/>
      <c r="X137" s="960"/>
      <c r="Y137" s="960"/>
      <c r="Z137" s="960"/>
      <c r="AA137" s="975">
        <f t="shared" si="46"/>
        <v>0</v>
      </c>
      <c r="AB137" s="975">
        <f>VLOOKUP(C137,'[8]MỦ TẠP'!$D$10:$AM$450,36,0)</f>
        <v>0</v>
      </c>
      <c r="AC137" s="975"/>
      <c r="AD137" s="975"/>
      <c r="AE137" s="975">
        <f>VLOOKUP(C137,'[8]MỦ TẠP'!$D$10:$AM$450,36,0)</f>
        <v>0</v>
      </c>
      <c r="AF137" s="975"/>
      <c r="AG137" s="975"/>
      <c r="AH137" s="975">
        <f t="shared" si="47"/>
        <v>0</v>
      </c>
      <c r="AI137" s="975">
        <f>VLOOKUP(C137,'[8]CHẤM CÔNG '!$F$10:$AM$451,33,0)</f>
        <v>0</v>
      </c>
      <c r="AJ137" s="975">
        <f>VLOOKUP(C137,'[8]CHẤM CÔNG '!$F$10:$AM$451,34,0)</f>
        <v>0</v>
      </c>
      <c r="AK137" s="975"/>
      <c r="AL137" s="975"/>
      <c r="AM137" s="975"/>
      <c r="AN137" s="975">
        <f>VLOOKUP(C137,'[8]CHẤM CÔNG '!$F$10:$AN$451,35,0)</f>
        <v>0</v>
      </c>
      <c r="AO137" s="975">
        <f>VLOOKUP(C137,'[8]CHẤM CÔNG '!$F$10:$AR$451,36,0)</f>
        <v>0</v>
      </c>
      <c r="AP137" s="975"/>
      <c r="AQ137" s="975"/>
      <c r="AR137" s="975"/>
      <c r="AS137" s="981"/>
      <c r="AT137" s="982">
        <f>VLOOKUP(C137,'[8]MỦ TẠP'!$D$10:$AO$450,38,0)</f>
        <v>0</v>
      </c>
      <c r="AX137" s="944">
        <v>2</v>
      </c>
      <c r="AZ137" s="944">
        <v>1</v>
      </c>
    </row>
    <row r="138" spans="1:52" ht="15.75">
      <c r="A138" s="957">
        <v>24</v>
      </c>
      <c r="B138" s="958" t="str">
        <f>VLOOKUP(C138,'[8]DS CN MOI UP'!$B$10:$C$489,2,0)</f>
        <v>02509</v>
      </c>
      <c r="C138" s="991" t="s">
        <v>491</v>
      </c>
      <c r="D138" s="957" t="s">
        <v>15</v>
      </c>
      <c r="E138" s="960"/>
      <c r="F138" s="960"/>
      <c r="G138" s="960"/>
      <c r="H138" s="960"/>
      <c r="I138" s="960"/>
      <c r="J138" s="960"/>
      <c r="K138" s="960"/>
      <c r="L138" s="960"/>
      <c r="M138" s="960"/>
      <c r="N138" s="960">
        <f t="shared" si="37"/>
        <v>0</v>
      </c>
      <c r="O138" s="960">
        <f t="shared" si="38"/>
        <v>0</v>
      </c>
      <c r="P138" s="960">
        <f t="shared" si="39"/>
        <v>0</v>
      </c>
      <c r="Q138" s="960">
        <f t="shared" si="40"/>
        <v>0</v>
      </c>
      <c r="R138" s="960">
        <f t="shared" si="41"/>
        <v>0</v>
      </c>
      <c r="S138" s="960">
        <f t="shared" si="42"/>
        <v>0</v>
      </c>
      <c r="T138" s="960">
        <f t="shared" si="43"/>
        <v>0</v>
      </c>
      <c r="U138" s="960">
        <f t="shared" si="44"/>
        <v>0</v>
      </c>
      <c r="V138" s="960">
        <f t="shared" si="45"/>
        <v>0</v>
      </c>
      <c r="W138" s="960"/>
      <c r="X138" s="960"/>
      <c r="Y138" s="960"/>
      <c r="Z138" s="960"/>
      <c r="AA138" s="975">
        <f t="shared" si="46"/>
        <v>0</v>
      </c>
      <c r="AB138" s="975">
        <f>VLOOKUP(C138,'[8]MỦ TẠP'!$D$10:$AM$450,36,0)</f>
        <v>0</v>
      </c>
      <c r="AC138" s="975"/>
      <c r="AD138" s="975"/>
      <c r="AE138" s="975">
        <f>VLOOKUP(C138,'[8]MỦ TẠP'!$D$10:$AM$450,36,0)</f>
        <v>0</v>
      </c>
      <c r="AF138" s="975"/>
      <c r="AG138" s="975"/>
      <c r="AH138" s="975">
        <f t="shared" si="47"/>
        <v>0</v>
      </c>
      <c r="AI138" s="975">
        <f>VLOOKUP(C138,'[8]CHẤM CÔNG '!$F$10:$AM$451,33,0)</f>
        <v>0</v>
      </c>
      <c r="AJ138" s="975">
        <f>VLOOKUP(C138,'[8]CHẤM CÔNG '!$F$10:$AM$451,34,0)</f>
        <v>0</v>
      </c>
      <c r="AK138" s="975"/>
      <c r="AL138" s="975"/>
      <c r="AM138" s="975"/>
      <c r="AN138" s="975">
        <f>VLOOKUP(C138,'[8]CHẤM CÔNG '!$F$10:$AN$451,35,0)</f>
        <v>0</v>
      </c>
      <c r="AO138" s="975">
        <f>VLOOKUP(C138,'[8]CHẤM CÔNG '!$F$10:$AR$451,36,0)</f>
        <v>0</v>
      </c>
      <c r="AP138" s="975"/>
      <c r="AQ138" s="975"/>
      <c r="AR138" s="975"/>
      <c r="AS138" s="981"/>
      <c r="AT138" s="982">
        <f>VLOOKUP(C138,'[8]MỦ TẠP'!$D$10:$AO$450,38,0)</f>
        <v>0</v>
      </c>
      <c r="AX138" s="944">
        <v>2</v>
      </c>
      <c r="AZ138" s="944">
        <v>1</v>
      </c>
    </row>
    <row r="139" spans="1:52" ht="15.75">
      <c r="A139" s="957">
        <v>25</v>
      </c>
      <c r="B139" s="958" t="str">
        <f>VLOOKUP(C139,'[8]DS CN MOI UP'!$B$10:$C$489,2,0)</f>
        <v>03323</v>
      </c>
      <c r="C139" s="991" t="s">
        <v>24</v>
      </c>
      <c r="D139" s="957" t="s">
        <v>15</v>
      </c>
      <c r="E139" s="960"/>
      <c r="F139" s="960"/>
      <c r="G139" s="960"/>
      <c r="H139" s="960"/>
      <c r="I139" s="960"/>
      <c r="J139" s="960"/>
      <c r="K139" s="960"/>
      <c r="L139" s="960"/>
      <c r="M139" s="960"/>
      <c r="N139" s="960">
        <f t="shared" si="37"/>
        <v>0</v>
      </c>
      <c r="O139" s="960">
        <f t="shared" si="38"/>
        <v>0</v>
      </c>
      <c r="P139" s="960">
        <f t="shared" si="39"/>
        <v>0</v>
      </c>
      <c r="Q139" s="960">
        <f t="shared" si="40"/>
        <v>0</v>
      </c>
      <c r="R139" s="960">
        <f t="shared" si="41"/>
        <v>0</v>
      </c>
      <c r="S139" s="960">
        <f t="shared" si="42"/>
        <v>0</v>
      </c>
      <c r="T139" s="960">
        <f t="shared" si="43"/>
        <v>0</v>
      </c>
      <c r="U139" s="960">
        <f t="shared" si="44"/>
        <v>0</v>
      </c>
      <c r="V139" s="960">
        <f t="shared" si="45"/>
        <v>0</v>
      </c>
      <c r="W139" s="960"/>
      <c r="X139" s="960"/>
      <c r="Y139" s="960"/>
      <c r="Z139" s="960"/>
      <c r="AA139" s="975">
        <f t="shared" si="46"/>
        <v>0</v>
      </c>
      <c r="AB139" s="975">
        <f>VLOOKUP(C139,'[8]MỦ TẠP'!$D$10:$AM$450,36,0)</f>
        <v>0</v>
      </c>
      <c r="AC139" s="975"/>
      <c r="AD139" s="975"/>
      <c r="AE139" s="975">
        <f>VLOOKUP(C139,'[8]MỦ TẠP'!$D$10:$AM$450,36,0)</f>
        <v>0</v>
      </c>
      <c r="AF139" s="975"/>
      <c r="AG139" s="975"/>
      <c r="AH139" s="975">
        <f t="shared" si="47"/>
        <v>0</v>
      </c>
      <c r="AI139" s="975">
        <f>VLOOKUP(C139,'[8]CHẤM CÔNG '!$F$10:$AM$451,33,0)</f>
        <v>0</v>
      </c>
      <c r="AJ139" s="975">
        <f>VLOOKUP(C139,'[8]CHẤM CÔNG '!$F$10:$AM$451,34,0)</f>
        <v>0</v>
      </c>
      <c r="AK139" s="975"/>
      <c r="AL139" s="975"/>
      <c r="AM139" s="975"/>
      <c r="AN139" s="975">
        <f>VLOOKUP(C139,'[8]CHẤM CÔNG '!$F$10:$AN$451,35,0)</f>
        <v>0</v>
      </c>
      <c r="AO139" s="975">
        <f>VLOOKUP(C139,'[8]CHẤM CÔNG '!$F$10:$AR$451,36,0)</f>
        <v>0</v>
      </c>
      <c r="AP139" s="975"/>
      <c r="AQ139" s="975"/>
      <c r="AR139" s="975"/>
      <c r="AS139" s="981"/>
      <c r="AT139" s="982">
        <f>VLOOKUP(C139,'[8]MỦ TẠP'!$D$10:$AO$450,38,0)</f>
        <v>0</v>
      </c>
      <c r="AX139" s="944">
        <v>2</v>
      </c>
      <c r="AZ139" s="944">
        <v>1</v>
      </c>
    </row>
    <row r="140" spans="1:52" ht="15.75">
      <c r="A140" s="957">
        <v>26</v>
      </c>
      <c r="B140" s="958" t="str">
        <f>VLOOKUP(C140,'[8]DS CN MOI UP'!$B$10:$C$489,2,0)</f>
        <v>03337</v>
      </c>
      <c r="C140" s="991" t="s">
        <v>2647</v>
      </c>
      <c r="D140" s="957" t="s">
        <v>15</v>
      </c>
      <c r="E140" s="960"/>
      <c r="F140" s="960"/>
      <c r="G140" s="960"/>
      <c r="H140" s="960"/>
      <c r="I140" s="960"/>
      <c r="J140" s="960"/>
      <c r="K140" s="960"/>
      <c r="L140" s="960"/>
      <c r="M140" s="960"/>
      <c r="N140" s="960">
        <f t="shared" si="37"/>
        <v>0</v>
      </c>
      <c r="O140" s="960">
        <f t="shared" si="38"/>
        <v>0</v>
      </c>
      <c r="P140" s="960">
        <f t="shared" si="39"/>
        <v>0</v>
      </c>
      <c r="Q140" s="960">
        <f t="shared" si="40"/>
        <v>0</v>
      </c>
      <c r="R140" s="960">
        <f t="shared" si="41"/>
        <v>0</v>
      </c>
      <c r="S140" s="960">
        <f t="shared" si="42"/>
        <v>0</v>
      </c>
      <c r="T140" s="960">
        <f t="shared" si="43"/>
        <v>0</v>
      </c>
      <c r="U140" s="960">
        <f t="shared" si="44"/>
        <v>0</v>
      </c>
      <c r="V140" s="960">
        <f t="shared" si="45"/>
        <v>0</v>
      </c>
      <c r="W140" s="960"/>
      <c r="X140" s="960"/>
      <c r="Y140" s="960"/>
      <c r="Z140" s="960"/>
      <c r="AA140" s="975">
        <f t="shared" si="46"/>
        <v>0</v>
      </c>
      <c r="AB140" s="975">
        <f>VLOOKUP(C140,'[8]MỦ TẠP'!$D$10:$AM$450,36,0)</f>
        <v>0</v>
      </c>
      <c r="AC140" s="975"/>
      <c r="AD140" s="975"/>
      <c r="AE140" s="975">
        <f>VLOOKUP(C140,'[8]MỦ TẠP'!$D$10:$AM$450,36,0)</f>
        <v>0</v>
      </c>
      <c r="AF140" s="975"/>
      <c r="AG140" s="975"/>
      <c r="AH140" s="975">
        <f t="shared" si="47"/>
        <v>0</v>
      </c>
      <c r="AI140" s="975">
        <f>VLOOKUP(C140,'[8]CHẤM CÔNG '!$F$10:$AM$451,33,0)</f>
        <v>0</v>
      </c>
      <c r="AJ140" s="975">
        <f>VLOOKUP(C140,'[8]CHẤM CÔNG '!$F$10:$AM$451,34,0)</f>
        <v>0</v>
      </c>
      <c r="AK140" s="975"/>
      <c r="AL140" s="975"/>
      <c r="AM140" s="975"/>
      <c r="AN140" s="975">
        <f>VLOOKUP(C140,'[8]CHẤM CÔNG '!$F$10:$AN$451,35,0)</f>
        <v>0</v>
      </c>
      <c r="AO140" s="975">
        <f>VLOOKUP(C140,'[8]CHẤM CÔNG '!$F$10:$AR$451,36,0)</f>
        <v>0</v>
      </c>
      <c r="AP140" s="975"/>
      <c r="AQ140" s="975"/>
      <c r="AR140" s="975"/>
      <c r="AS140" s="981"/>
      <c r="AT140" s="982">
        <f>VLOOKUP(C140,'[8]MỦ TẠP'!$D$10:$AO$450,38,0)</f>
        <v>0</v>
      </c>
      <c r="AX140" s="944">
        <v>2</v>
      </c>
      <c r="AZ140" s="944">
        <v>1</v>
      </c>
    </row>
    <row r="141" spans="1:52" ht="15.75">
      <c r="A141" s="957">
        <v>27</v>
      </c>
      <c r="B141" s="958" t="str">
        <f>VLOOKUP(C141,'[8]DS CN MOI UP'!$B$10:$C$489,2,0)</f>
        <v>02482</v>
      </c>
      <c r="C141" s="991" t="s">
        <v>83</v>
      </c>
      <c r="D141" s="957" t="s">
        <v>15</v>
      </c>
      <c r="E141" s="960"/>
      <c r="F141" s="960"/>
      <c r="G141" s="960"/>
      <c r="H141" s="960"/>
      <c r="I141" s="960"/>
      <c r="J141" s="960"/>
      <c r="K141" s="960"/>
      <c r="L141" s="960"/>
      <c r="M141" s="960"/>
      <c r="N141" s="960">
        <f t="shared" si="37"/>
        <v>0</v>
      </c>
      <c r="O141" s="960">
        <f t="shared" si="38"/>
        <v>0</v>
      </c>
      <c r="P141" s="960">
        <f t="shared" si="39"/>
        <v>0</v>
      </c>
      <c r="Q141" s="960">
        <f t="shared" si="40"/>
        <v>0</v>
      </c>
      <c r="R141" s="960">
        <f t="shared" si="41"/>
        <v>0</v>
      </c>
      <c r="S141" s="960">
        <f t="shared" si="42"/>
        <v>0</v>
      </c>
      <c r="T141" s="960">
        <f t="shared" si="43"/>
        <v>0</v>
      </c>
      <c r="U141" s="960">
        <f t="shared" si="44"/>
        <v>0</v>
      </c>
      <c r="V141" s="960">
        <f t="shared" si="45"/>
        <v>0</v>
      </c>
      <c r="W141" s="960"/>
      <c r="X141" s="960"/>
      <c r="Y141" s="960"/>
      <c r="Z141" s="960"/>
      <c r="AA141" s="975">
        <f t="shared" si="46"/>
        <v>0</v>
      </c>
      <c r="AB141" s="975">
        <f>VLOOKUP(C141,'[8]MỦ TẠP'!$D$10:$AM$450,36,0)</f>
        <v>0</v>
      </c>
      <c r="AC141" s="975"/>
      <c r="AD141" s="975"/>
      <c r="AE141" s="975">
        <f>VLOOKUP(C141,'[8]MỦ TẠP'!$D$10:$AM$450,36,0)</f>
        <v>0</v>
      </c>
      <c r="AF141" s="975"/>
      <c r="AG141" s="975"/>
      <c r="AH141" s="975">
        <f t="shared" si="47"/>
        <v>0</v>
      </c>
      <c r="AI141" s="975">
        <f>VLOOKUP(C141,'[8]CHẤM CÔNG '!$F$10:$AM$451,33,0)</f>
        <v>0</v>
      </c>
      <c r="AJ141" s="975">
        <f>VLOOKUP(C141,'[8]CHẤM CÔNG '!$F$10:$AM$451,34,0)</f>
        <v>0</v>
      </c>
      <c r="AK141" s="975"/>
      <c r="AL141" s="975"/>
      <c r="AM141" s="975"/>
      <c r="AN141" s="975">
        <f>VLOOKUP(C141,'[8]CHẤM CÔNG '!$F$10:$AN$451,35,0)</f>
        <v>0</v>
      </c>
      <c r="AO141" s="975">
        <f>VLOOKUP(C141,'[8]CHẤM CÔNG '!$F$10:$AR$451,36,0)</f>
        <v>0</v>
      </c>
      <c r="AP141" s="975"/>
      <c r="AQ141" s="975"/>
      <c r="AR141" s="975"/>
      <c r="AS141" s="981"/>
      <c r="AT141" s="982">
        <f>VLOOKUP(C141,'[8]MỦ TẠP'!$D$10:$AO$450,38,0)</f>
        <v>0</v>
      </c>
      <c r="AX141" s="944">
        <v>1</v>
      </c>
      <c r="AZ141" s="944">
        <v>2</v>
      </c>
    </row>
    <row r="142" spans="1:52" ht="15.75">
      <c r="A142" s="957">
        <v>28</v>
      </c>
      <c r="B142" s="958" t="str">
        <f>VLOOKUP(C142,'[8]DS CN MOI UP'!$B$10:$C$489,2,0)</f>
        <v>03322</v>
      </c>
      <c r="C142" s="991" t="s">
        <v>21</v>
      </c>
      <c r="D142" s="957" t="s">
        <v>15</v>
      </c>
      <c r="E142" s="960"/>
      <c r="F142" s="960"/>
      <c r="G142" s="960"/>
      <c r="H142" s="960"/>
      <c r="I142" s="960"/>
      <c r="J142" s="960"/>
      <c r="K142" s="960"/>
      <c r="L142" s="960"/>
      <c r="M142" s="960"/>
      <c r="N142" s="960">
        <f t="shared" si="37"/>
        <v>0</v>
      </c>
      <c r="O142" s="960">
        <f t="shared" si="38"/>
        <v>0</v>
      </c>
      <c r="P142" s="960">
        <f t="shared" si="39"/>
        <v>0</v>
      </c>
      <c r="Q142" s="960">
        <f t="shared" si="40"/>
        <v>0</v>
      </c>
      <c r="R142" s="960">
        <f t="shared" si="41"/>
        <v>0</v>
      </c>
      <c r="S142" s="960">
        <f t="shared" si="42"/>
        <v>0</v>
      </c>
      <c r="T142" s="960">
        <f t="shared" si="43"/>
        <v>0</v>
      </c>
      <c r="U142" s="960">
        <f t="shared" si="44"/>
        <v>0</v>
      </c>
      <c r="V142" s="960">
        <f t="shared" si="45"/>
        <v>0</v>
      </c>
      <c r="W142" s="960"/>
      <c r="X142" s="960"/>
      <c r="Y142" s="960"/>
      <c r="Z142" s="960"/>
      <c r="AA142" s="975">
        <f t="shared" si="46"/>
        <v>0</v>
      </c>
      <c r="AB142" s="975">
        <f>VLOOKUP(C142,'[8]MỦ TẠP'!$D$10:$AM$450,36,0)</f>
        <v>0</v>
      </c>
      <c r="AC142" s="975"/>
      <c r="AD142" s="975"/>
      <c r="AE142" s="975">
        <f>VLOOKUP(C142,'[8]MỦ TẠP'!$D$10:$AM$450,36,0)</f>
        <v>0</v>
      </c>
      <c r="AF142" s="975"/>
      <c r="AG142" s="975"/>
      <c r="AH142" s="975">
        <f t="shared" si="47"/>
        <v>0</v>
      </c>
      <c r="AI142" s="975">
        <f>VLOOKUP(C142,'[8]CHẤM CÔNG '!$F$10:$AM$451,33,0)</f>
        <v>0</v>
      </c>
      <c r="AJ142" s="975">
        <f>VLOOKUP(C142,'[8]CHẤM CÔNG '!$F$10:$AM$451,34,0)</f>
        <v>0</v>
      </c>
      <c r="AK142" s="975"/>
      <c r="AL142" s="975"/>
      <c r="AM142" s="975"/>
      <c r="AN142" s="975">
        <f>VLOOKUP(C142,'[8]CHẤM CÔNG '!$F$10:$AN$451,35,0)</f>
        <v>0</v>
      </c>
      <c r="AO142" s="975">
        <f>VLOOKUP(C142,'[8]CHẤM CÔNG '!$F$10:$AR$451,36,0)</f>
        <v>0</v>
      </c>
      <c r="AP142" s="975"/>
      <c r="AQ142" s="975"/>
      <c r="AR142" s="975"/>
      <c r="AS142" s="981"/>
      <c r="AT142" s="982">
        <f>VLOOKUP(C142,'[8]MỦ TẠP'!$D$10:$AO$450,38,0)</f>
        <v>0</v>
      </c>
      <c r="AX142" s="944">
        <v>1</v>
      </c>
      <c r="AZ142" s="944">
        <v>2</v>
      </c>
    </row>
    <row r="143" spans="1:52" ht="15.75">
      <c r="A143" s="957">
        <v>29</v>
      </c>
      <c r="B143" s="958" t="str">
        <f>VLOOKUP(C143,'[8]DS CN MOI UP'!$B$10:$C$489,2,0)</f>
        <v>02483</v>
      </c>
      <c r="C143" s="991" t="s">
        <v>53</v>
      </c>
      <c r="D143" s="957" t="s">
        <v>15</v>
      </c>
      <c r="E143" s="960"/>
      <c r="F143" s="960"/>
      <c r="G143" s="960"/>
      <c r="H143" s="960"/>
      <c r="I143" s="960"/>
      <c r="J143" s="960"/>
      <c r="K143" s="960"/>
      <c r="L143" s="960"/>
      <c r="M143" s="960"/>
      <c r="N143" s="960">
        <f t="shared" si="37"/>
        <v>0</v>
      </c>
      <c r="O143" s="960">
        <f t="shared" si="38"/>
        <v>0</v>
      </c>
      <c r="P143" s="960">
        <f t="shared" si="39"/>
        <v>0</v>
      </c>
      <c r="Q143" s="960">
        <f t="shared" si="40"/>
        <v>0</v>
      </c>
      <c r="R143" s="960">
        <f t="shared" si="41"/>
        <v>0</v>
      </c>
      <c r="S143" s="960">
        <f t="shared" si="42"/>
        <v>0</v>
      </c>
      <c r="T143" s="960">
        <f t="shared" si="43"/>
        <v>0</v>
      </c>
      <c r="U143" s="960">
        <f t="shared" si="44"/>
        <v>0</v>
      </c>
      <c r="V143" s="960">
        <f t="shared" si="45"/>
        <v>0</v>
      </c>
      <c r="W143" s="960"/>
      <c r="X143" s="960"/>
      <c r="Y143" s="960"/>
      <c r="Z143" s="960"/>
      <c r="AA143" s="975">
        <f t="shared" si="46"/>
        <v>0</v>
      </c>
      <c r="AB143" s="975">
        <f>VLOOKUP(C143,'[8]MỦ TẠP'!$D$10:$AM$450,36,0)</f>
        <v>0</v>
      </c>
      <c r="AC143" s="975"/>
      <c r="AD143" s="975"/>
      <c r="AE143" s="975">
        <f>VLOOKUP(C143,'[8]MỦ TẠP'!$D$10:$AM$450,36,0)</f>
        <v>0</v>
      </c>
      <c r="AF143" s="975"/>
      <c r="AG143" s="975"/>
      <c r="AH143" s="975">
        <f t="shared" si="47"/>
        <v>0</v>
      </c>
      <c r="AI143" s="975">
        <f>VLOOKUP(C143,'[8]CHẤM CÔNG '!$F$10:$AM$451,33,0)</f>
        <v>0</v>
      </c>
      <c r="AJ143" s="975">
        <f>VLOOKUP(C143,'[8]CHẤM CÔNG '!$F$10:$AM$451,34,0)</f>
        <v>0</v>
      </c>
      <c r="AK143" s="975"/>
      <c r="AL143" s="975"/>
      <c r="AM143" s="975"/>
      <c r="AN143" s="975">
        <f>VLOOKUP(C143,'[8]CHẤM CÔNG '!$F$10:$AN$451,35,0)</f>
        <v>0</v>
      </c>
      <c r="AO143" s="975">
        <f>VLOOKUP(C143,'[8]CHẤM CÔNG '!$F$10:$AR$451,36,0)</f>
        <v>0</v>
      </c>
      <c r="AP143" s="975"/>
      <c r="AQ143" s="975"/>
      <c r="AR143" s="975"/>
      <c r="AS143" s="981"/>
      <c r="AT143" s="982">
        <f>VLOOKUP(C143,'[8]MỦ TẠP'!$D$10:$AO$450,38,0)</f>
        <v>0</v>
      </c>
      <c r="AX143" s="944">
        <v>2</v>
      </c>
      <c r="AZ143" s="944">
        <v>1</v>
      </c>
    </row>
    <row r="144" spans="1:52" ht="15.75">
      <c r="A144" s="957">
        <v>30</v>
      </c>
      <c r="B144" s="958" t="str">
        <f>VLOOKUP(C144,'[8]DS CN MOI UP'!$B$10:$C$489,2,0)</f>
        <v>02484</v>
      </c>
      <c r="C144" s="991" t="s">
        <v>490</v>
      </c>
      <c r="D144" s="957" t="s">
        <v>15</v>
      </c>
      <c r="E144" s="960"/>
      <c r="F144" s="960"/>
      <c r="G144" s="960"/>
      <c r="H144" s="960"/>
      <c r="I144" s="960"/>
      <c r="J144" s="960"/>
      <c r="K144" s="960"/>
      <c r="L144" s="960"/>
      <c r="M144" s="960"/>
      <c r="N144" s="960">
        <f t="shared" si="37"/>
        <v>0</v>
      </c>
      <c r="O144" s="960">
        <f t="shared" si="38"/>
        <v>0</v>
      </c>
      <c r="P144" s="960">
        <f t="shared" si="39"/>
        <v>0</v>
      </c>
      <c r="Q144" s="960">
        <f t="shared" si="40"/>
        <v>0</v>
      </c>
      <c r="R144" s="960">
        <f t="shared" si="41"/>
        <v>0</v>
      </c>
      <c r="S144" s="960">
        <f t="shared" si="42"/>
        <v>0</v>
      </c>
      <c r="T144" s="960">
        <f t="shared" si="43"/>
        <v>0</v>
      </c>
      <c r="U144" s="960">
        <f t="shared" si="44"/>
        <v>0</v>
      </c>
      <c r="V144" s="960">
        <f t="shared" si="45"/>
        <v>0</v>
      </c>
      <c r="W144" s="960"/>
      <c r="X144" s="960"/>
      <c r="Y144" s="960"/>
      <c r="Z144" s="960"/>
      <c r="AA144" s="975">
        <f t="shared" si="46"/>
        <v>0</v>
      </c>
      <c r="AB144" s="975">
        <f>VLOOKUP(C144,'[8]MỦ TẠP'!$D$10:$AM$450,36,0)</f>
        <v>0</v>
      </c>
      <c r="AC144" s="975"/>
      <c r="AD144" s="975"/>
      <c r="AE144" s="975">
        <f>VLOOKUP(C144,'[8]MỦ TẠP'!$D$10:$AM$450,36,0)</f>
        <v>0</v>
      </c>
      <c r="AF144" s="975"/>
      <c r="AG144" s="975"/>
      <c r="AH144" s="975">
        <f t="shared" si="47"/>
        <v>0</v>
      </c>
      <c r="AI144" s="975">
        <f>VLOOKUP(C144,'[8]CHẤM CÔNG '!$F$10:$AM$451,33,0)</f>
        <v>0</v>
      </c>
      <c r="AJ144" s="975">
        <f>VLOOKUP(C144,'[8]CHẤM CÔNG '!$F$10:$AM$451,34,0)</f>
        <v>0</v>
      </c>
      <c r="AK144" s="975"/>
      <c r="AL144" s="975"/>
      <c r="AM144" s="975"/>
      <c r="AN144" s="975">
        <f>VLOOKUP(C144,'[8]CHẤM CÔNG '!$F$10:$AN$451,35,0)</f>
        <v>0</v>
      </c>
      <c r="AO144" s="975">
        <f>VLOOKUP(C144,'[8]CHẤM CÔNG '!$F$10:$AR$451,36,0)</f>
        <v>0</v>
      </c>
      <c r="AP144" s="975"/>
      <c r="AQ144" s="975"/>
      <c r="AR144" s="975"/>
      <c r="AS144" s="981"/>
      <c r="AT144" s="982">
        <f>VLOOKUP(C144,'[8]MỦ TẠP'!$D$10:$AO$450,38,0)</f>
        <v>0</v>
      </c>
      <c r="AU144" s="946" t="e">
        <f>+AE10*0.4+AF10*0.5+AG10*0.25</f>
        <v>#N/A</v>
      </c>
      <c r="AX144" s="944">
        <v>1</v>
      </c>
      <c r="AZ144" s="944">
        <v>2</v>
      </c>
    </row>
    <row r="145" spans="1:52" ht="15.75">
      <c r="A145" s="957">
        <v>31</v>
      </c>
      <c r="B145" s="958" t="str">
        <f>VLOOKUP(C145,'[8]DS CN MOI UP'!$B$10:$C$489,2,0)</f>
        <v>03341</v>
      </c>
      <c r="C145" s="991" t="s">
        <v>487</v>
      </c>
      <c r="D145" s="957" t="s">
        <v>15</v>
      </c>
      <c r="E145" s="960"/>
      <c r="F145" s="960"/>
      <c r="G145" s="960"/>
      <c r="H145" s="960"/>
      <c r="I145" s="960"/>
      <c r="J145" s="960"/>
      <c r="K145" s="960"/>
      <c r="L145" s="960"/>
      <c r="M145" s="960"/>
      <c r="N145" s="960">
        <f t="shared" si="37"/>
        <v>0</v>
      </c>
      <c r="O145" s="960">
        <f t="shared" si="38"/>
        <v>0</v>
      </c>
      <c r="P145" s="960">
        <f t="shared" si="39"/>
        <v>0</v>
      </c>
      <c r="Q145" s="960">
        <f t="shared" si="40"/>
        <v>0</v>
      </c>
      <c r="R145" s="960">
        <f t="shared" si="41"/>
        <v>0</v>
      </c>
      <c r="S145" s="960">
        <f t="shared" si="42"/>
        <v>0</v>
      </c>
      <c r="T145" s="960">
        <f t="shared" si="43"/>
        <v>0</v>
      </c>
      <c r="U145" s="960">
        <f t="shared" si="44"/>
        <v>0</v>
      </c>
      <c r="V145" s="960">
        <f t="shared" si="45"/>
        <v>0</v>
      </c>
      <c r="W145" s="960"/>
      <c r="X145" s="960"/>
      <c r="Y145" s="960"/>
      <c r="Z145" s="960"/>
      <c r="AA145" s="975">
        <f t="shared" si="46"/>
        <v>0</v>
      </c>
      <c r="AB145" s="975">
        <f>VLOOKUP(C145,'[8]MỦ TẠP'!$D$10:$AM$450,36,0)</f>
        <v>0</v>
      </c>
      <c r="AC145" s="975"/>
      <c r="AD145" s="975"/>
      <c r="AE145" s="975">
        <f>VLOOKUP(C145,'[8]MỦ TẠP'!$D$10:$AM$450,36,0)</f>
        <v>0</v>
      </c>
      <c r="AF145" s="975"/>
      <c r="AG145" s="975"/>
      <c r="AH145" s="975">
        <f t="shared" si="47"/>
        <v>0</v>
      </c>
      <c r="AI145" s="975">
        <f>VLOOKUP(C145,'[8]CHẤM CÔNG '!$F$10:$AM$451,33,0)</f>
        <v>0</v>
      </c>
      <c r="AJ145" s="975">
        <f>VLOOKUP(C145,'[8]CHẤM CÔNG '!$F$10:$AM$451,34,0)</f>
        <v>0</v>
      </c>
      <c r="AK145" s="975"/>
      <c r="AL145" s="975"/>
      <c r="AM145" s="975"/>
      <c r="AN145" s="975">
        <f>VLOOKUP(C145,'[8]CHẤM CÔNG '!$F$10:$AN$451,35,0)</f>
        <v>0</v>
      </c>
      <c r="AO145" s="975">
        <f>VLOOKUP(C145,'[8]CHẤM CÔNG '!$F$10:$AR$451,36,0)</f>
        <v>0</v>
      </c>
      <c r="AP145" s="975"/>
      <c r="AQ145" s="975"/>
      <c r="AR145" s="975"/>
      <c r="AS145" s="981"/>
      <c r="AT145" s="982">
        <f>VLOOKUP(C145,'[8]MỦ TẠP'!$D$10:$AO$450,38,0)</f>
        <v>0</v>
      </c>
      <c r="AX145" s="944">
        <v>2</v>
      </c>
      <c r="AZ145" s="944">
        <v>1</v>
      </c>
    </row>
    <row r="146" spans="1:52" ht="15.75">
      <c r="A146" s="957">
        <v>32</v>
      </c>
      <c r="B146" s="958" t="str">
        <f>VLOOKUP(C146,'[8]DS CN MOI UP'!$B$10:$C$489,2,0)</f>
        <v>02485</v>
      </c>
      <c r="C146" s="991" t="s">
        <v>31</v>
      </c>
      <c r="D146" s="957" t="s">
        <v>15</v>
      </c>
      <c r="E146" s="960"/>
      <c r="F146" s="960"/>
      <c r="G146" s="960"/>
      <c r="H146" s="960"/>
      <c r="I146" s="960"/>
      <c r="J146" s="960"/>
      <c r="K146" s="960"/>
      <c r="L146" s="960"/>
      <c r="M146" s="960"/>
      <c r="N146" s="960">
        <f t="shared" si="37"/>
        <v>0</v>
      </c>
      <c r="O146" s="960">
        <f t="shared" si="38"/>
        <v>0</v>
      </c>
      <c r="P146" s="960">
        <f t="shared" si="39"/>
        <v>0</v>
      </c>
      <c r="Q146" s="960">
        <f t="shared" si="40"/>
        <v>0</v>
      </c>
      <c r="R146" s="960">
        <f t="shared" si="41"/>
        <v>0</v>
      </c>
      <c r="S146" s="960">
        <f t="shared" si="42"/>
        <v>0</v>
      </c>
      <c r="T146" s="960">
        <f t="shared" si="43"/>
        <v>0</v>
      </c>
      <c r="U146" s="960">
        <f t="shared" si="44"/>
        <v>0</v>
      </c>
      <c r="V146" s="960">
        <f t="shared" si="45"/>
        <v>0</v>
      </c>
      <c r="W146" s="960"/>
      <c r="X146" s="960"/>
      <c r="Y146" s="960"/>
      <c r="Z146" s="960"/>
      <c r="AA146" s="975">
        <f t="shared" si="46"/>
        <v>0</v>
      </c>
      <c r="AB146" s="975">
        <f>VLOOKUP(C146,'[8]MỦ TẠP'!$D$10:$AM$450,36,0)</f>
        <v>0</v>
      </c>
      <c r="AC146" s="975"/>
      <c r="AD146" s="975"/>
      <c r="AE146" s="975">
        <f>VLOOKUP(C146,'[8]MỦ TẠP'!$D$10:$AM$450,36,0)</f>
        <v>0</v>
      </c>
      <c r="AF146" s="975"/>
      <c r="AG146" s="975"/>
      <c r="AH146" s="975">
        <f t="shared" si="47"/>
        <v>0</v>
      </c>
      <c r="AI146" s="975">
        <f>VLOOKUP(C146,'[8]CHẤM CÔNG '!$F$10:$AM$451,33,0)</f>
        <v>0</v>
      </c>
      <c r="AJ146" s="975">
        <f>VLOOKUP(C146,'[8]CHẤM CÔNG '!$F$10:$AM$451,34,0)</f>
        <v>0</v>
      </c>
      <c r="AK146" s="975"/>
      <c r="AL146" s="975"/>
      <c r="AM146" s="975"/>
      <c r="AN146" s="975">
        <f>VLOOKUP(C146,'[8]CHẤM CÔNG '!$F$10:$AN$451,35,0)</f>
        <v>0</v>
      </c>
      <c r="AO146" s="975">
        <f>VLOOKUP(C146,'[8]CHẤM CÔNG '!$F$10:$AR$451,36,0)</f>
        <v>0</v>
      </c>
      <c r="AP146" s="975"/>
      <c r="AQ146" s="975"/>
      <c r="AR146" s="975"/>
      <c r="AS146" s="981"/>
      <c r="AT146" s="982">
        <f>VLOOKUP(C146,'[8]MỦ TẠP'!$D$10:$AO$450,38,0)</f>
        <v>0</v>
      </c>
      <c r="AX146" s="944">
        <v>1</v>
      </c>
      <c r="AZ146" s="944">
        <v>2</v>
      </c>
    </row>
    <row r="147" spans="1:52" ht="15.75">
      <c r="A147" s="957">
        <v>33</v>
      </c>
      <c r="B147" s="958" t="str">
        <f>VLOOKUP(C147,'[8]DS CN MOI UP'!$B$10:$C$489,2,0)</f>
        <v>02487</v>
      </c>
      <c r="C147" s="991" t="s">
        <v>32</v>
      </c>
      <c r="D147" s="957" t="s">
        <v>15</v>
      </c>
      <c r="E147" s="960"/>
      <c r="F147" s="960"/>
      <c r="G147" s="960"/>
      <c r="H147" s="960"/>
      <c r="I147" s="960"/>
      <c r="J147" s="960"/>
      <c r="K147" s="960"/>
      <c r="L147" s="960"/>
      <c r="M147" s="960"/>
      <c r="N147" s="960">
        <f t="shared" si="37"/>
        <v>0</v>
      </c>
      <c r="O147" s="960">
        <f t="shared" si="38"/>
        <v>0</v>
      </c>
      <c r="P147" s="960">
        <f t="shared" si="39"/>
        <v>0</v>
      </c>
      <c r="Q147" s="960">
        <f t="shared" si="40"/>
        <v>0</v>
      </c>
      <c r="R147" s="960">
        <f t="shared" si="41"/>
        <v>0</v>
      </c>
      <c r="S147" s="960">
        <f t="shared" si="42"/>
        <v>0</v>
      </c>
      <c r="T147" s="960">
        <f t="shared" si="43"/>
        <v>0</v>
      </c>
      <c r="U147" s="960">
        <f t="shared" si="44"/>
        <v>0</v>
      </c>
      <c r="V147" s="960">
        <f t="shared" si="45"/>
        <v>0</v>
      </c>
      <c r="W147" s="960"/>
      <c r="X147" s="960"/>
      <c r="Y147" s="960"/>
      <c r="Z147" s="960"/>
      <c r="AA147" s="975">
        <f t="shared" si="46"/>
        <v>0</v>
      </c>
      <c r="AB147" s="975">
        <f>VLOOKUP(C147,'[8]MỦ TẠP'!$D$10:$AM$450,36,0)</f>
        <v>0</v>
      </c>
      <c r="AC147" s="975"/>
      <c r="AD147" s="975"/>
      <c r="AE147" s="975">
        <f>VLOOKUP(C147,'[8]MỦ TẠP'!$D$10:$AM$450,36,0)</f>
        <v>0</v>
      </c>
      <c r="AF147" s="975"/>
      <c r="AG147" s="975"/>
      <c r="AH147" s="975">
        <f t="shared" si="47"/>
        <v>0</v>
      </c>
      <c r="AI147" s="975">
        <f>VLOOKUP(C147,'[8]CHẤM CÔNG '!$F$10:$AM$451,33,0)</f>
        <v>0</v>
      </c>
      <c r="AJ147" s="975">
        <f>VLOOKUP(C147,'[8]CHẤM CÔNG '!$F$10:$AM$451,34,0)</f>
        <v>0</v>
      </c>
      <c r="AK147" s="975"/>
      <c r="AL147" s="975"/>
      <c r="AM147" s="975"/>
      <c r="AN147" s="975">
        <f>VLOOKUP(C147,'[8]CHẤM CÔNG '!$F$10:$AN$451,35,0)</f>
        <v>0</v>
      </c>
      <c r="AO147" s="975">
        <f>VLOOKUP(C147,'[8]CHẤM CÔNG '!$F$10:$AR$451,36,0)</f>
        <v>0</v>
      </c>
      <c r="AP147" s="975"/>
      <c r="AQ147" s="975"/>
      <c r="AR147" s="975"/>
      <c r="AS147" s="981"/>
      <c r="AT147" s="982">
        <f>VLOOKUP(C147,'[8]MỦ TẠP'!$D$10:$AO$450,38,0)</f>
        <v>0</v>
      </c>
      <c r="AX147" s="944">
        <v>1</v>
      </c>
      <c r="AZ147" s="944">
        <v>2</v>
      </c>
    </row>
    <row r="148" spans="1:52" ht="15.75">
      <c r="A148" s="957">
        <v>34</v>
      </c>
      <c r="B148" s="958" t="str">
        <f>VLOOKUP(C148,'[8]DS CN MOI UP'!$B$10:$C$489,2,0)</f>
        <v>03319</v>
      </c>
      <c r="C148" s="991" t="s">
        <v>14</v>
      </c>
      <c r="D148" s="957" t="s">
        <v>15</v>
      </c>
      <c r="E148" s="960"/>
      <c r="F148" s="960"/>
      <c r="G148" s="960"/>
      <c r="H148" s="960"/>
      <c r="I148" s="960"/>
      <c r="J148" s="960"/>
      <c r="K148" s="960"/>
      <c r="L148" s="960"/>
      <c r="M148" s="960"/>
      <c r="N148" s="960">
        <f t="shared" si="37"/>
        <v>0</v>
      </c>
      <c r="O148" s="960">
        <f t="shared" si="38"/>
        <v>0</v>
      </c>
      <c r="P148" s="960">
        <f t="shared" si="39"/>
        <v>0</v>
      </c>
      <c r="Q148" s="960">
        <f t="shared" si="40"/>
        <v>0</v>
      </c>
      <c r="R148" s="960">
        <f t="shared" si="41"/>
        <v>0</v>
      </c>
      <c r="S148" s="960">
        <f t="shared" si="42"/>
        <v>0</v>
      </c>
      <c r="T148" s="960">
        <f t="shared" si="43"/>
        <v>0</v>
      </c>
      <c r="U148" s="960">
        <f t="shared" si="44"/>
        <v>0</v>
      </c>
      <c r="V148" s="960">
        <f t="shared" si="45"/>
        <v>0</v>
      </c>
      <c r="W148" s="960"/>
      <c r="X148" s="960"/>
      <c r="Y148" s="960"/>
      <c r="Z148" s="960"/>
      <c r="AA148" s="975">
        <f t="shared" si="46"/>
        <v>0</v>
      </c>
      <c r="AB148" s="975">
        <f>VLOOKUP(C148,'[8]MỦ TẠP'!$D$10:$AM$450,36,0)</f>
        <v>0</v>
      </c>
      <c r="AC148" s="975"/>
      <c r="AD148" s="975"/>
      <c r="AE148" s="975">
        <f>VLOOKUP(C148,'[8]MỦ TẠP'!$D$10:$AM$450,36,0)</f>
        <v>0</v>
      </c>
      <c r="AF148" s="975"/>
      <c r="AG148" s="975"/>
      <c r="AH148" s="975">
        <f t="shared" si="47"/>
        <v>0</v>
      </c>
      <c r="AI148" s="975">
        <f>VLOOKUP(C148,'[8]CHẤM CÔNG '!$F$10:$AM$451,33,0)</f>
        <v>0</v>
      </c>
      <c r="AJ148" s="975">
        <f>VLOOKUP(C148,'[8]CHẤM CÔNG '!$F$10:$AM$451,34,0)</f>
        <v>0</v>
      </c>
      <c r="AK148" s="975"/>
      <c r="AL148" s="975"/>
      <c r="AM148" s="975"/>
      <c r="AN148" s="975">
        <f>VLOOKUP(C148,'[8]CHẤM CÔNG '!$F$10:$AN$451,35,0)</f>
        <v>0</v>
      </c>
      <c r="AO148" s="975">
        <f>VLOOKUP(C148,'[8]CHẤM CÔNG '!$F$10:$AR$451,36,0)</f>
        <v>0</v>
      </c>
      <c r="AP148" s="975"/>
      <c r="AQ148" s="975"/>
      <c r="AR148" s="975"/>
      <c r="AS148" s="981"/>
      <c r="AT148" s="982">
        <f>VLOOKUP(C148,'[8]MỦ TẠP'!$D$10:$AO$450,38,0)</f>
        <v>0</v>
      </c>
      <c r="AX148" s="944">
        <v>2</v>
      </c>
      <c r="AZ148" s="944">
        <v>1</v>
      </c>
    </row>
    <row r="149" spans="1:52" ht="15.75">
      <c r="A149" s="957">
        <v>35</v>
      </c>
      <c r="B149" s="958" t="str">
        <f>VLOOKUP(C149,'[8]DS CN MOI UP'!$B$10:$C$489,2,0)</f>
        <v>02452</v>
      </c>
      <c r="C149" s="991" t="s">
        <v>22</v>
      </c>
      <c r="D149" s="957" t="s">
        <v>15</v>
      </c>
      <c r="E149" s="960"/>
      <c r="F149" s="960"/>
      <c r="G149" s="960"/>
      <c r="H149" s="960"/>
      <c r="I149" s="960"/>
      <c r="J149" s="960"/>
      <c r="K149" s="960"/>
      <c r="L149" s="960"/>
      <c r="M149" s="960"/>
      <c r="N149" s="960">
        <f t="shared" si="37"/>
        <v>0</v>
      </c>
      <c r="O149" s="960">
        <f t="shared" si="38"/>
        <v>0</v>
      </c>
      <c r="P149" s="960">
        <f t="shared" si="39"/>
        <v>0</v>
      </c>
      <c r="Q149" s="960">
        <f t="shared" si="40"/>
        <v>0</v>
      </c>
      <c r="R149" s="960">
        <f t="shared" si="41"/>
        <v>0</v>
      </c>
      <c r="S149" s="960">
        <f t="shared" si="42"/>
        <v>0</v>
      </c>
      <c r="T149" s="960">
        <f t="shared" si="43"/>
        <v>0</v>
      </c>
      <c r="U149" s="960">
        <f t="shared" si="44"/>
        <v>0</v>
      </c>
      <c r="V149" s="960">
        <f t="shared" si="45"/>
        <v>0</v>
      </c>
      <c r="W149" s="960"/>
      <c r="X149" s="960"/>
      <c r="Y149" s="960"/>
      <c r="Z149" s="960"/>
      <c r="AA149" s="975">
        <f t="shared" si="46"/>
        <v>0</v>
      </c>
      <c r="AB149" s="975">
        <f>VLOOKUP(C149,'[8]MỦ TẠP'!$D$10:$AM$450,36,0)</f>
        <v>0</v>
      </c>
      <c r="AC149" s="975"/>
      <c r="AD149" s="975"/>
      <c r="AE149" s="975">
        <f>VLOOKUP(C149,'[8]MỦ TẠP'!$D$10:$AM$450,36,0)</f>
        <v>0</v>
      </c>
      <c r="AF149" s="975"/>
      <c r="AG149" s="975"/>
      <c r="AH149" s="975">
        <f t="shared" si="47"/>
        <v>0</v>
      </c>
      <c r="AI149" s="975">
        <f>VLOOKUP(C149,'[8]CHẤM CÔNG '!$F$10:$AM$451,33,0)</f>
        <v>0</v>
      </c>
      <c r="AJ149" s="975">
        <f>VLOOKUP(C149,'[8]CHẤM CÔNG '!$F$10:$AM$451,34,0)</f>
        <v>0</v>
      </c>
      <c r="AK149" s="975"/>
      <c r="AL149" s="975"/>
      <c r="AM149" s="975"/>
      <c r="AN149" s="975">
        <f>VLOOKUP(C149,'[8]CHẤM CÔNG '!$F$10:$AN$451,35,0)</f>
        <v>0</v>
      </c>
      <c r="AO149" s="975">
        <f>VLOOKUP(C149,'[8]CHẤM CÔNG '!$F$10:$AR$451,36,0)</f>
        <v>0</v>
      </c>
      <c r="AP149" s="975"/>
      <c r="AQ149" s="975"/>
      <c r="AR149" s="975"/>
      <c r="AS149" s="981"/>
      <c r="AT149" s="982">
        <f>VLOOKUP(C149,'[8]MỦ TẠP'!$D$10:$AO$450,38,0)</f>
        <v>0</v>
      </c>
      <c r="AX149" s="944">
        <v>2</v>
      </c>
      <c r="AZ149" s="944">
        <v>1</v>
      </c>
    </row>
    <row r="150" spans="1:52" ht="15.75">
      <c r="A150" s="957">
        <v>36</v>
      </c>
      <c r="B150" s="958" t="str">
        <f>VLOOKUP(C150,'[8]DS CN MOI UP'!$B$10:$C$489,2,0)</f>
        <v>02508</v>
      </c>
      <c r="C150" s="991" t="s">
        <v>23</v>
      </c>
      <c r="D150" s="957" t="s">
        <v>15</v>
      </c>
      <c r="E150" s="960"/>
      <c r="F150" s="960"/>
      <c r="G150" s="960"/>
      <c r="H150" s="960"/>
      <c r="I150" s="960"/>
      <c r="J150" s="960"/>
      <c r="K150" s="960"/>
      <c r="L150" s="960"/>
      <c r="M150" s="960"/>
      <c r="N150" s="960">
        <f t="shared" si="37"/>
        <v>0</v>
      </c>
      <c r="O150" s="960">
        <f t="shared" si="38"/>
        <v>0</v>
      </c>
      <c r="P150" s="960">
        <f t="shared" si="39"/>
        <v>0</v>
      </c>
      <c r="Q150" s="960">
        <f t="shared" si="40"/>
        <v>0</v>
      </c>
      <c r="R150" s="960">
        <f t="shared" si="41"/>
        <v>0</v>
      </c>
      <c r="S150" s="960">
        <f t="shared" si="42"/>
        <v>0</v>
      </c>
      <c r="T150" s="960">
        <f t="shared" si="43"/>
        <v>0</v>
      </c>
      <c r="U150" s="960">
        <f t="shared" si="44"/>
        <v>0</v>
      </c>
      <c r="V150" s="960">
        <f t="shared" si="45"/>
        <v>0</v>
      </c>
      <c r="W150" s="960"/>
      <c r="X150" s="960"/>
      <c r="Y150" s="960"/>
      <c r="Z150" s="960"/>
      <c r="AA150" s="975">
        <f t="shared" si="46"/>
        <v>0</v>
      </c>
      <c r="AB150" s="975">
        <f>VLOOKUP(C150,'[8]MỦ TẠP'!$D$10:$AM$450,36,0)</f>
        <v>0</v>
      </c>
      <c r="AC150" s="975"/>
      <c r="AD150" s="975"/>
      <c r="AE150" s="975">
        <f>VLOOKUP(C150,'[8]MỦ TẠP'!$D$10:$AM$450,36,0)</f>
        <v>0</v>
      </c>
      <c r="AF150" s="975"/>
      <c r="AG150" s="975"/>
      <c r="AH150" s="975">
        <f t="shared" si="47"/>
        <v>0</v>
      </c>
      <c r="AI150" s="975">
        <f>VLOOKUP(C150,'[8]CHẤM CÔNG '!$F$10:$AM$451,33,0)</f>
        <v>0</v>
      </c>
      <c r="AJ150" s="975">
        <f>VLOOKUP(C150,'[8]CHẤM CÔNG '!$F$10:$AM$451,34,0)</f>
        <v>0</v>
      </c>
      <c r="AK150" s="975"/>
      <c r="AL150" s="975"/>
      <c r="AM150" s="975"/>
      <c r="AN150" s="975">
        <f>VLOOKUP(C150,'[8]CHẤM CÔNG '!$F$10:$AN$451,35,0)</f>
        <v>0</v>
      </c>
      <c r="AO150" s="975">
        <f>VLOOKUP(C150,'[8]CHẤM CÔNG '!$F$10:$AR$451,36,0)</f>
        <v>0</v>
      </c>
      <c r="AP150" s="975"/>
      <c r="AQ150" s="975"/>
      <c r="AR150" s="975"/>
      <c r="AS150" s="981"/>
      <c r="AT150" s="982">
        <f>VLOOKUP(C150,'[8]MỦ TẠP'!$D$10:$AO$450,38,0)</f>
        <v>0</v>
      </c>
      <c r="AX150" s="944">
        <v>2</v>
      </c>
      <c r="AZ150" s="944">
        <v>1</v>
      </c>
    </row>
    <row r="151" spans="1:52" ht="15.75">
      <c r="A151" s="957">
        <v>37</v>
      </c>
      <c r="B151" s="958" t="str">
        <f>VLOOKUP(C151,'[8]DS CN MOI UP'!$B$10:$C$489,2,0)</f>
        <v>02679</v>
      </c>
      <c r="C151" s="991" t="s">
        <v>36</v>
      </c>
      <c r="D151" s="957" t="s">
        <v>15</v>
      </c>
      <c r="E151" s="960"/>
      <c r="F151" s="960"/>
      <c r="G151" s="960"/>
      <c r="H151" s="960"/>
      <c r="I151" s="960"/>
      <c r="J151" s="960"/>
      <c r="K151" s="960"/>
      <c r="L151" s="960"/>
      <c r="M151" s="960"/>
      <c r="N151" s="960">
        <f t="shared" si="37"/>
        <v>0</v>
      </c>
      <c r="O151" s="960">
        <f t="shared" si="38"/>
        <v>0</v>
      </c>
      <c r="P151" s="960">
        <f t="shared" si="39"/>
        <v>0</v>
      </c>
      <c r="Q151" s="960">
        <f t="shared" si="40"/>
        <v>0</v>
      </c>
      <c r="R151" s="960">
        <f t="shared" si="41"/>
        <v>0</v>
      </c>
      <c r="S151" s="960">
        <f t="shared" si="42"/>
        <v>0</v>
      </c>
      <c r="T151" s="960">
        <f t="shared" si="43"/>
        <v>0</v>
      </c>
      <c r="U151" s="960">
        <f t="shared" si="44"/>
        <v>0</v>
      </c>
      <c r="V151" s="960">
        <f t="shared" si="45"/>
        <v>0</v>
      </c>
      <c r="W151" s="960"/>
      <c r="X151" s="960"/>
      <c r="Y151" s="960"/>
      <c r="Z151" s="960"/>
      <c r="AA151" s="975">
        <f t="shared" si="46"/>
        <v>0</v>
      </c>
      <c r="AB151" s="975">
        <f>VLOOKUP(C151,'[8]MỦ TẠP'!$D$10:$AM$450,36,0)</f>
        <v>0</v>
      </c>
      <c r="AC151" s="975"/>
      <c r="AD151" s="975"/>
      <c r="AE151" s="975">
        <f>VLOOKUP(C151,'[8]MỦ TẠP'!$D$10:$AM$450,36,0)</f>
        <v>0</v>
      </c>
      <c r="AF151" s="975"/>
      <c r="AG151" s="975"/>
      <c r="AH151" s="975">
        <f t="shared" si="47"/>
        <v>0</v>
      </c>
      <c r="AI151" s="975">
        <f>VLOOKUP(C151,'[8]CHẤM CÔNG '!$F$10:$AM$451,33,0)</f>
        <v>0</v>
      </c>
      <c r="AJ151" s="975">
        <f>VLOOKUP(C151,'[8]CHẤM CÔNG '!$F$10:$AM$451,34,0)</f>
        <v>0</v>
      </c>
      <c r="AK151" s="975"/>
      <c r="AL151" s="975"/>
      <c r="AM151" s="975"/>
      <c r="AN151" s="975">
        <f>VLOOKUP(C151,'[8]CHẤM CÔNG '!$F$10:$AN$451,35,0)</f>
        <v>0</v>
      </c>
      <c r="AO151" s="975">
        <f>VLOOKUP(C151,'[8]CHẤM CÔNG '!$F$10:$AR$451,36,0)</f>
        <v>0</v>
      </c>
      <c r="AP151" s="975"/>
      <c r="AQ151" s="975"/>
      <c r="AR151" s="975"/>
      <c r="AS151" s="981"/>
      <c r="AT151" s="982">
        <f>VLOOKUP(C151,'[8]MỦ TẠP'!$D$10:$AO$450,38,0)</f>
        <v>0</v>
      </c>
      <c r="AZ151" s="944">
        <v>3</v>
      </c>
    </row>
    <row r="152" spans="1:52" ht="15.75">
      <c r="A152" s="957">
        <v>38</v>
      </c>
      <c r="B152" s="958" t="str">
        <f>VLOOKUP(C152,'[8]DS CN MOI UP'!$B$10:$C$489,2,0)</f>
        <v>02457</v>
      </c>
      <c r="C152" s="991" t="s">
        <v>63</v>
      </c>
      <c r="D152" s="957" t="s">
        <v>15</v>
      </c>
      <c r="E152" s="960"/>
      <c r="F152" s="960"/>
      <c r="G152" s="960"/>
      <c r="H152" s="960"/>
      <c r="I152" s="960"/>
      <c r="J152" s="960"/>
      <c r="K152" s="960"/>
      <c r="L152" s="960"/>
      <c r="M152" s="960"/>
      <c r="N152" s="960">
        <f t="shared" si="37"/>
        <v>0</v>
      </c>
      <c r="O152" s="960">
        <f t="shared" si="38"/>
        <v>0</v>
      </c>
      <c r="P152" s="960">
        <f t="shared" si="39"/>
        <v>0</v>
      </c>
      <c r="Q152" s="960">
        <f t="shared" si="40"/>
        <v>0</v>
      </c>
      <c r="R152" s="960">
        <f t="shared" si="41"/>
        <v>0</v>
      </c>
      <c r="S152" s="960">
        <f t="shared" si="42"/>
        <v>0</v>
      </c>
      <c r="T152" s="960">
        <f t="shared" si="43"/>
        <v>0</v>
      </c>
      <c r="U152" s="960">
        <f t="shared" si="44"/>
        <v>0</v>
      </c>
      <c r="V152" s="960">
        <f t="shared" si="45"/>
        <v>0</v>
      </c>
      <c r="W152" s="960"/>
      <c r="X152" s="960"/>
      <c r="Y152" s="960"/>
      <c r="Z152" s="960"/>
      <c r="AA152" s="975">
        <f t="shared" si="46"/>
        <v>0</v>
      </c>
      <c r="AB152" s="975">
        <f>VLOOKUP(C152,'[8]MỦ TẠP'!$D$10:$AM$450,36,0)</f>
        <v>0</v>
      </c>
      <c r="AC152" s="975"/>
      <c r="AD152" s="975"/>
      <c r="AE152" s="975">
        <f>VLOOKUP(C152,'[8]MỦ TẠP'!$D$10:$AM$450,36,0)</f>
        <v>0</v>
      </c>
      <c r="AF152" s="975"/>
      <c r="AG152" s="975"/>
      <c r="AH152" s="975">
        <f t="shared" si="47"/>
        <v>0</v>
      </c>
      <c r="AI152" s="975">
        <f>VLOOKUP(C152,'[8]CHẤM CÔNG '!$F$10:$AM$451,33,0)</f>
        <v>0</v>
      </c>
      <c r="AJ152" s="975">
        <f>VLOOKUP(C152,'[8]CHẤM CÔNG '!$F$10:$AM$451,34,0)</f>
        <v>0</v>
      </c>
      <c r="AK152" s="975"/>
      <c r="AL152" s="975"/>
      <c r="AM152" s="975"/>
      <c r="AN152" s="975">
        <f>VLOOKUP(C152,'[8]CHẤM CÔNG '!$F$10:$AN$451,35,0)</f>
        <v>0</v>
      </c>
      <c r="AO152" s="975">
        <f>VLOOKUP(C152,'[8]CHẤM CÔNG '!$F$10:$AR$451,36,0)</f>
        <v>0</v>
      </c>
      <c r="AP152" s="975"/>
      <c r="AQ152" s="975"/>
      <c r="AR152" s="975"/>
      <c r="AS152" s="981"/>
      <c r="AT152" s="982">
        <f>VLOOKUP(C152,'[8]MỦ TẠP'!$D$10:$AO$450,38,0)</f>
        <v>0</v>
      </c>
      <c r="AX152" s="944">
        <v>1</v>
      </c>
      <c r="AZ152" s="944">
        <v>2</v>
      </c>
    </row>
    <row r="153" spans="1:52" ht="15.75">
      <c r="A153" s="957">
        <v>39</v>
      </c>
      <c r="B153" s="958" t="e">
        <f>VLOOKUP(C153,'[8]DS CN MOI UP'!$B$10:$C$489,2,0)</f>
        <v>#N/A</v>
      </c>
      <c r="C153" s="991" t="s">
        <v>2648</v>
      </c>
      <c r="D153" s="957" t="s">
        <v>15</v>
      </c>
      <c r="E153" s="960"/>
      <c r="F153" s="960"/>
      <c r="G153" s="960"/>
      <c r="H153" s="960"/>
      <c r="I153" s="960"/>
      <c r="J153" s="960"/>
      <c r="K153" s="960"/>
      <c r="L153" s="960"/>
      <c r="M153" s="960"/>
      <c r="N153" s="960">
        <f t="shared" si="37"/>
        <v>0</v>
      </c>
      <c r="O153" s="960">
        <f t="shared" si="38"/>
        <v>0</v>
      </c>
      <c r="P153" s="960">
        <f t="shared" si="39"/>
        <v>0</v>
      </c>
      <c r="Q153" s="960">
        <f t="shared" si="40"/>
        <v>0</v>
      </c>
      <c r="R153" s="960">
        <f t="shared" si="41"/>
        <v>0</v>
      </c>
      <c r="S153" s="960">
        <f t="shared" si="42"/>
        <v>0</v>
      </c>
      <c r="T153" s="960">
        <f t="shared" si="43"/>
        <v>0</v>
      </c>
      <c r="U153" s="960">
        <f t="shared" si="44"/>
        <v>0</v>
      </c>
      <c r="V153" s="960">
        <f t="shared" si="45"/>
        <v>0</v>
      </c>
      <c r="W153" s="960"/>
      <c r="X153" s="960"/>
      <c r="Y153" s="960"/>
      <c r="Z153" s="960"/>
      <c r="AA153" s="975">
        <f t="shared" si="46"/>
        <v>0</v>
      </c>
      <c r="AB153" s="975">
        <f>VLOOKUP(C153,'[8]MỦ TẠP'!$D$10:$AM$450,36,0)</f>
        <v>0</v>
      </c>
      <c r="AC153" s="975"/>
      <c r="AD153" s="975"/>
      <c r="AE153" s="975">
        <f>VLOOKUP(C153,'[8]MỦ TẠP'!$D$10:$AM$450,36,0)</f>
        <v>0</v>
      </c>
      <c r="AF153" s="975"/>
      <c r="AG153" s="975"/>
      <c r="AH153" s="975">
        <f t="shared" si="47"/>
        <v>0</v>
      </c>
      <c r="AI153" s="975">
        <f>VLOOKUP(C153,'[8]CHẤM CÔNG '!$F$10:$AM$451,33,0)</f>
        <v>0</v>
      </c>
      <c r="AJ153" s="975">
        <f>VLOOKUP(C153,'[8]CHẤM CÔNG '!$F$10:$AM$451,34,0)</f>
        <v>0</v>
      </c>
      <c r="AK153" s="975"/>
      <c r="AL153" s="975"/>
      <c r="AM153" s="975"/>
      <c r="AN153" s="975">
        <f>VLOOKUP(C153,'[8]CHẤM CÔNG '!$F$10:$AN$451,35,0)</f>
        <v>0</v>
      </c>
      <c r="AO153" s="975">
        <f>VLOOKUP(C153,'[8]CHẤM CÔNG '!$F$10:$AR$451,36,0)</f>
        <v>0</v>
      </c>
      <c r="AP153" s="975"/>
      <c r="AQ153" s="975"/>
      <c r="AR153" s="975"/>
      <c r="AS153" s="981"/>
      <c r="AT153" s="982">
        <f>VLOOKUP(C153,'[8]MỦ TẠP'!$D$10:$AO$450,38,0)</f>
        <v>0</v>
      </c>
      <c r="AX153" s="944">
        <v>1</v>
      </c>
      <c r="AZ153" s="944">
        <v>2</v>
      </c>
    </row>
    <row r="154" spans="1:52" ht="15.75">
      <c r="A154" s="957">
        <v>40</v>
      </c>
      <c r="B154" s="958" t="str">
        <f>VLOOKUP(C154,'[8]DS CN MOI UP'!$B$10:$C$489,2,0)</f>
        <v>03336</v>
      </c>
      <c r="C154" s="991" t="s">
        <v>81</v>
      </c>
      <c r="D154" s="957" t="s">
        <v>15</v>
      </c>
      <c r="E154" s="960"/>
      <c r="F154" s="960"/>
      <c r="G154" s="960"/>
      <c r="H154" s="960"/>
      <c r="I154" s="960"/>
      <c r="J154" s="960"/>
      <c r="K154" s="960"/>
      <c r="L154" s="960"/>
      <c r="M154" s="960"/>
      <c r="N154" s="960">
        <f t="shared" si="37"/>
        <v>0</v>
      </c>
      <c r="O154" s="960">
        <f t="shared" si="38"/>
        <v>0</v>
      </c>
      <c r="P154" s="960">
        <f t="shared" si="39"/>
        <v>0</v>
      </c>
      <c r="Q154" s="960">
        <f t="shared" si="40"/>
        <v>0</v>
      </c>
      <c r="R154" s="960">
        <f t="shared" si="41"/>
        <v>0</v>
      </c>
      <c r="S154" s="960">
        <f t="shared" si="42"/>
        <v>0</v>
      </c>
      <c r="T154" s="960">
        <f t="shared" si="43"/>
        <v>0</v>
      </c>
      <c r="U154" s="960">
        <f t="shared" si="44"/>
        <v>0</v>
      </c>
      <c r="V154" s="960">
        <f t="shared" si="45"/>
        <v>0</v>
      </c>
      <c r="W154" s="960"/>
      <c r="X154" s="960"/>
      <c r="Y154" s="960"/>
      <c r="Z154" s="960"/>
      <c r="AA154" s="975">
        <f t="shared" si="46"/>
        <v>0</v>
      </c>
      <c r="AB154" s="975">
        <f>VLOOKUP(C154,'[8]MỦ TẠP'!$D$10:$AM$450,36,0)</f>
        <v>0</v>
      </c>
      <c r="AC154" s="975"/>
      <c r="AD154" s="975"/>
      <c r="AE154" s="975">
        <f>VLOOKUP(C154,'[8]MỦ TẠP'!$D$10:$AM$450,36,0)</f>
        <v>0</v>
      </c>
      <c r="AF154" s="975"/>
      <c r="AG154" s="975"/>
      <c r="AH154" s="975">
        <f t="shared" si="47"/>
        <v>0</v>
      </c>
      <c r="AI154" s="975">
        <f>VLOOKUP(C154,'[8]CHẤM CÔNG '!$F$10:$AM$451,33,0)</f>
        <v>0</v>
      </c>
      <c r="AJ154" s="975">
        <f>VLOOKUP(C154,'[8]CHẤM CÔNG '!$F$10:$AM$451,34,0)</f>
        <v>0</v>
      </c>
      <c r="AK154" s="975"/>
      <c r="AL154" s="975"/>
      <c r="AM154" s="975"/>
      <c r="AN154" s="975">
        <f>VLOOKUP(C154,'[8]CHẤM CÔNG '!$F$10:$AN$451,35,0)</f>
        <v>0</v>
      </c>
      <c r="AO154" s="975">
        <f>VLOOKUP(C154,'[8]CHẤM CÔNG '!$F$10:$AR$451,36,0)</f>
        <v>0</v>
      </c>
      <c r="AP154" s="975"/>
      <c r="AQ154" s="975"/>
      <c r="AR154" s="975"/>
      <c r="AS154" s="981"/>
      <c r="AT154" s="982">
        <f>VLOOKUP(C154,'[8]MỦ TẠP'!$D$10:$AO$450,38,0)</f>
        <v>0</v>
      </c>
      <c r="AX154" s="944">
        <v>1</v>
      </c>
      <c r="AZ154" s="944">
        <v>2</v>
      </c>
    </row>
    <row r="155" spans="1:52" ht="15.75">
      <c r="A155" s="957">
        <v>41</v>
      </c>
      <c r="B155" s="958" t="str">
        <f>VLOOKUP(C155,'[8]DS CN MOI UP'!$B$10:$C$489,2,0)</f>
        <v>02682</v>
      </c>
      <c r="C155" s="991" t="s">
        <v>82</v>
      </c>
      <c r="D155" s="957" t="s">
        <v>15</v>
      </c>
      <c r="E155" s="960"/>
      <c r="F155" s="960"/>
      <c r="G155" s="960"/>
      <c r="H155" s="960"/>
      <c r="I155" s="960"/>
      <c r="J155" s="960"/>
      <c r="K155" s="960"/>
      <c r="L155" s="960"/>
      <c r="M155" s="960"/>
      <c r="N155" s="960">
        <f t="shared" si="37"/>
        <v>0</v>
      </c>
      <c r="O155" s="960">
        <f t="shared" si="38"/>
        <v>0</v>
      </c>
      <c r="P155" s="960">
        <f t="shared" si="39"/>
        <v>0</v>
      </c>
      <c r="Q155" s="960">
        <f t="shared" si="40"/>
        <v>0</v>
      </c>
      <c r="R155" s="960">
        <f t="shared" si="41"/>
        <v>0</v>
      </c>
      <c r="S155" s="960">
        <f t="shared" si="42"/>
        <v>0</v>
      </c>
      <c r="T155" s="960">
        <f t="shared" si="43"/>
        <v>0</v>
      </c>
      <c r="U155" s="960">
        <f t="shared" si="44"/>
        <v>0</v>
      </c>
      <c r="V155" s="960">
        <f t="shared" si="45"/>
        <v>0</v>
      </c>
      <c r="W155" s="960"/>
      <c r="X155" s="960"/>
      <c r="Y155" s="960"/>
      <c r="Z155" s="960"/>
      <c r="AA155" s="975">
        <f t="shared" si="46"/>
        <v>0</v>
      </c>
      <c r="AB155" s="975">
        <f>VLOOKUP(C155,'[8]MỦ TẠP'!$D$10:$AM$450,36,0)</f>
        <v>0</v>
      </c>
      <c r="AC155" s="975"/>
      <c r="AD155" s="975"/>
      <c r="AE155" s="975">
        <f>VLOOKUP(C155,'[8]MỦ TẠP'!$D$10:$AM$450,36,0)</f>
        <v>0</v>
      </c>
      <c r="AF155" s="975"/>
      <c r="AG155" s="975"/>
      <c r="AH155" s="975">
        <f t="shared" si="47"/>
        <v>0</v>
      </c>
      <c r="AI155" s="975">
        <f>VLOOKUP(C155,'[8]CHẤM CÔNG '!$F$10:$AM$451,33,0)</f>
        <v>0</v>
      </c>
      <c r="AJ155" s="975">
        <f>VLOOKUP(C155,'[8]CHẤM CÔNG '!$F$10:$AM$451,34,0)</f>
        <v>0</v>
      </c>
      <c r="AK155" s="975"/>
      <c r="AL155" s="975"/>
      <c r="AM155" s="975"/>
      <c r="AN155" s="975">
        <f>VLOOKUP(C155,'[8]CHẤM CÔNG '!$F$10:$AN$451,35,0)</f>
        <v>0</v>
      </c>
      <c r="AO155" s="975">
        <f>VLOOKUP(C155,'[8]CHẤM CÔNG '!$F$10:$AR$451,36,0)</f>
        <v>0</v>
      </c>
      <c r="AP155" s="975"/>
      <c r="AQ155" s="975"/>
      <c r="AR155" s="975"/>
      <c r="AS155" s="981"/>
      <c r="AT155" s="982">
        <f>VLOOKUP(C155,'[8]MỦ TẠP'!$D$10:$AO$450,38,0)</f>
        <v>0</v>
      </c>
      <c r="AX155" s="944">
        <v>2</v>
      </c>
      <c r="AZ155" s="944">
        <v>1</v>
      </c>
    </row>
    <row r="156" spans="1:52" ht="15.75">
      <c r="A156" s="957">
        <v>42</v>
      </c>
      <c r="B156" s="958" t="str">
        <f>VLOOKUP(C156,'[8]DS CN MOI UP'!$B$10:$C$489,2,0)</f>
        <v>02506</v>
      </c>
      <c r="C156" s="991" t="s">
        <v>49</v>
      </c>
      <c r="D156" s="957" t="s">
        <v>15</v>
      </c>
      <c r="E156" s="960"/>
      <c r="F156" s="960"/>
      <c r="G156" s="960"/>
      <c r="H156" s="960"/>
      <c r="I156" s="960"/>
      <c r="J156" s="960"/>
      <c r="K156" s="960"/>
      <c r="L156" s="960"/>
      <c r="M156" s="960"/>
      <c r="N156" s="960">
        <f t="shared" si="37"/>
        <v>0</v>
      </c>
      <c r="O156" s="960">
        <f t="shared" si="38"/>
        <v>0</v>
      </c>
      <c r="P156" s="960">
        <f t="shared" si="39"/>
        <v>0</v>
      </c>
      <c r="Q156" s="960">
        <f t="shared" si="40"/>
        <v>0</v>
      </c>
      <c r="R156" s="960">
        <f t="shared" si="41"/>
        <v>0</v>
      </c>
      <c r="S156" s="960">
        <f t="shared" si="42"/>
        <v>0</v>
      </c>
      <c r="T156" s="960">
        <f t="shared" si="43"/>
        <v>0</v>
      </c>
      <c r="U156" s="960">
        <f t="shared" si="44"/>
        <v>0</v>
      </c>
      <c r="V156" s="960">
        <f t="shared" si="45"/>
        <v>0</v>
      </c>
      <c r="W156" s="960"/>
      <c r="X156" s="960"/>
      <c r="Y156" s="960"/>
      <c r="Z156" s="960"/>
      <c r="AA156" s="975">
        <f t="shared" si="46"/>
        <v>0</v>
      </c>
      <c r="AB156" s="975">
        <f>VLOOKUP(C156,'[8]MỦ TẠP'!$D$10:$AM$450,36,0)</f>
        <v>0</v>
      </c>
      <c r="AC156" s="975"/>
      <c r="AD156" s="975"/>
      <c r="AE156" s="975">
        <f>VLOOKUP(C156,'[8]MỦ TẠP'!$D$10:$AM$450,36,0)</f>
        <v>0</v>
      </c>
      <c r="AF156" s="975"/>
      <c r="AG156" s="975"/>
      <c r="AH156" s="975">
        <f t="shared" si="47"/>
        <v>0</v>
      </c>
      <c r="AI156" s="975">
        <f>VLOOKUP(C156,'[8]CHẤM CÔNG '!$F$10:$AM$451,33,0)</f>
        <v>0</v>
      </c>
      <c r="AJ156" s="975">
        <f>VLOOKUP(C156,'[8]CHẤM CÔNG '!$F$10:$AM$451,34,0)</f>
        <v>0</v>
      </c>
      <c r="AK156" s="975"/>
      <c r="AL156" s="975"/>
      <c r="AM156" s="975"/>
      <c r="AN156" s="975">
        <f>VLOOKUP(C156,'[8]CHẤM CÔNG '!$F$10:$AN$451,35,0)</f>
        <v>0</v>
      </c>
      <c r="AO156" s="975">
        <f>VLOOKUP(C156,'[8]CHẤM CÔNG '!$F$10:$AR$451,36,0)</f>
        <v>0</v>
      </c>
      <c r="AP156" s="975"/>
      <c r="AQ156" s="975"/>
      <c r="AR156" s="975"/>
      <c r="AS156" s="981"/>
      <c r="AT156" s="982">
        <f>VLOOKUP(C156,'[8]MỦ TẠP'!$D$10:$AO$450,38,0)</f>
        <v>0</v>
      </c>
      <c r="AX156" s="944">
        <v>2</v>
      </c>
      <c r="AZ156" s="944">
        <v>1</v>
      </c>
    </row>
    <row r="157" spans="1:52" ht="15.75">
      <c r="A157" s="957">
        <v>43</v>
      </c>
      <c r="B157" s="958" t="str">
        <f>VLOOKUP(C157,'[8]DS CN MOI UP'!$B$10:$C$489,2,0)</f>
        <v>02507</v>
      </c>
      <c r="C157" s="991" t="s">
        <v>50</v>
      </c>
      <c r="D157" s="957" t="s">
        <v>15</v>
      </c>
      <c r="E157" s="960"/>
      <c r="F157" s="960"/>
      <c r="G157" s="960"/>
      <c r="H157" s="960"/>
      <c r="I157" s="960"/>
      <c r="J157" s="960"/>
      <c r="K157" s="960"/>
      <c r="L157" s="960"/>
      <c r="M157" s="960"/>
      <c r="N157" s="960">
        <f t="shared" si="37"/>
        <v>0</v>
      </c>
      <c r="O157" s="960">
        <f t="shared" si="38"/>
        <v>0</v>
      </c>
      <c r="P157" s="960">
        <f t="shared" si="39"/>
        <v>0</v>
      </c>
      <c r="Q157" s="960">
        <f t="shared" si="40"/>
        <v>0</v>
      </c>
      <c r="R157" s="960">
        <f t="shared" si="41"/>
        <v>0</v>
      </c>
      <c r="S157" s="960">
        <f t="shared" si="42"/>
        <v>0</v>
      </c>
      <c r="T157" s="960">
        <f t="shared" si="43"/>
        <v>0</v>
      </c>
      <c r="U157" s="960">
        <f t="shared" si="44"/>
        <v>0</v>
      </c>
      <c r="V157" s="960">
        <f t="shared" si="45"/>
        <v>0</v>
      </c>
      <c r="W157" s="960"/>
      <c r="X157" s="960"/>
      <c r="Y157" s="960"/>
      <c r="Z157" s="960"/>
      <c r="AA157" s="975">
        <f t="shared" si="46"/>
        <v>0</v>
      </c>
      <c r="AB157" s="975">
        <f>VLOOKUP(C157,'[8]MỦ TẠP'!$D$10:$AM$450,36,0)</f>
        <v>0</v>
      </c>
      <c r="AC157" s="975"/>
      <c r="AD157" s="975"/>
      <c r="AE157" s="975">
        <f>VLOOKUP(C157,'[8]MỦ TẠP'!$D$10:$AM$450,36,0)</f>
        <v>0</v>
      </c>
      <c r="AF157" s="975"/>
      <c r="AG157" s="975"/>
      <c r="AH157" s="975">
        <f t="shared" si="47"/>
        <v>0</v>
      </c>
      <c r="AI157" s="975">
        <f>VLOOKUP(C157,'[8]CHẤM CÔNG '!$F$10:$AM$451,33,0)</f>
        <v>0</v>
      </c>
      <c r="AJ157" s="975">
        <f>VLOOKUP(C157,'[8]CHẤM CÔNG '!$F$10:$AM$451,34,0)</f>
        <v>0</v>
      </c>
      <c r="AK157" s="975"/>
      <c r="AL157" s="975"/>
      <c r="AM157" s="975"/>
      <c r="AN157" s="975">
        <f>VLOOKUP(C157,'[8]CHẤM CÔNG '!$F$10:$AN$451,35,0)</f>
        <v>0</v>
      </c>
      <c r="AO157" s="975">
        <f>VLOOKUP(C157,'[8]CHẤM CÔNG '!$F$10:$AR$451,36,0)</f>
        <v>0</v>
      </c>
      <c r="AP157" s="975"/>
      <c r="AQ157" s="975"/>
      <c r="AR157" s="975"/>
      <c r="AS157" s="981"/>
      <c r="AT157" s="982">
        <f>VLOOKUP(C157,'[8]MỦ TẠP'!$D$10:$AO$450,38,0)</f>
        <v>0</v>
      </c>
      <c r="AZ157" s="944">
        <v>3</v>
      </c>
    </row>
    <row r="158" spans="1:52" ht="15.75">
      <c r="A158" s="957">
        <v>44</v>
      </c>
      <c r="B158" s="958" t="str">
        <f>VLOOKUP(C158,'[8]DS CN MOI UP'!$B$10:$C$489,2,0)</f>
        <v>02498</v>
      </c>
      <c r="C158" s="991" t="s">
        <v>68</v>
      </c>
      <c r="D158" s="957" t="s">
        <v>15</v>
      </c>
      <c r="E158" s="960"/>
      <c r="F158" s="960"/>
      <c r="G158" s="960"/>
      <c r="H158" s="960"/>
      <c r="I158" s="960"/>
      <c r="J158" s="960"/>
      <c r="K158" s="960"/>
      <c r="L158" s="960"/>
      <c r="M158" s="960"/>
      <c r="N158" s="960">
        <f t="shared" si="37"/>
        <v>0</v>
      </c>
      <c r="O158" s="960">
        <f t="shared" si="38"/>
        <v>0</v>
      </c>
      <c r="P158" s="960">
        <f t="shared" si="39"/>
        <v>0</v>
      </c>
      <c r="Q158" s="960">
        <f t="shared" si="40"/>
        <v>0</v>
      </c>
      <c r="R158" s="960">
        <f t="shared" si="41"/>
        <v>0</v>
      </c>
      <c r="S158" s="960">
        <f t="shared" si="42"/>
        <v>0</v>
      </c>
      <c r="T158" s="960">
        <f t="shared" si="43"/>
        <v>0</v>
      </c>
      <c r="U158" s="960">
        <f t="shared" si="44"/>
        <v>0</v>
      </c>
      <c r="V158" s="960">
        <f t="shared" si="45"/>
        <v>0</v>
      </c>
      <c r="W158" s="960"/>
      <c r="X158" s="960"/>
      <c r="Y158" s="960"/>
      <c r="Z158" s="960"/>
      <c r="AA158" s="975">
        <f t="shared" si="46"/>
        <v>0</v>
      </c>
      <c r="AB158" s="975">
        <f>VLOOKUP(C158,'[8]MỦ TẠP'!$D$10:$AM$450,36,0)</f>
        <v>0</v>
      </c>
      <c r="AC158" s="975"/>
      <c r="AD158" s="975"/>
      <c r="AE158" s="975">
        <f>VLOOKUP(C158,'[8]MỦ TẠP'!$D$10:$AM$450,36,0)</f>
        <v>0</v>
      </c>
      <c r="AF158" s="975"/>
      <c r="AG158" s="975"/>
      <c r="AH158" s="975">
        <f t="shared" si="47"/>
        <v>0</v>
      </c>
      <c r="AI158" s="975">
        <f>VLOOKUP(C158,'[8]CHẤM CÔNG '!$F$10:$AM$451,33,0)</f>
        <v>0</v>
      </c>
      <c r="AJ158" s="975">
        <f>VLOOKUP(C158,'[8]CHẤM CÔNG '!$F$10:$AM$451,34,0)</f>
        <v>0</v>
      </c>
      <c r="AK158" s="975"/>
      <c r="AL158" s="975"/>
      <c r="AM158" s="975"/>
      <c r="AN158" s="975">
        <f>VLOOKUP(C158,'[8]CHẤM CÔNG '!$F$10:$AN$451,35,0)</f>
        <v>0</v>
      </c>
      <c r="AO158" s="975">
        <f>VLOOKUP(C158,'[8]CHẤM CÔNG '!$F$10:$AR$451,36,0)</f>
        <v>0</v>
      </c>
      <c r="AP158" s="975"/>
      <c r="AQ158" s="975"/>
      <c r="AR158" s="975"/>
      <c r="AS158" s="981"/>
      <c r="AT158" s="982">
        <f>VLOOKUP(C158,'[8]MỦ TẠP'!$D$10:$AO$450,38,0)</f>
        <v>0</v>
      </c>
      <c r="AX158" s="944">
        <v>2</v>
      </c>
      <c r="AZ158" s="944">
        <v>1</v>
      </c>
    </row>
    <row r="159" spans="1:52" ht="15.75">
      <c r="A159" s="957">
        <v>45</v>
      </c>
      <c r="B159" s="958" t="str">
        <f>VLOOKUP(C159,'[8]DS CN MOI UP'!$B$10:$C$489,2,0)</f>
        <v>02685</v>
      </c>
      <c r="C159" s="991" t="s">
        <v>69</v>
      </c>
      <c r="D159" s="957" t="s">
        <v>15</v>
      </c>
      <c r="E159" s="960"/>
      <c r="F159" s="960"/>
      <c r="G159" s="960"/>
      <c r="H159" s="960"/>
      <c r="I159" s="960"/>
      <c r="J159" s="960"/>
      <c r="K159" s="960"/>
      <c r="L159" s="960"/>
      <c r="M159" s="960"/>
      <c r="N159" s="960">
        <f t="shared" si="37"/>
        <v>0</v>
      </c>
      <c r="O159" s="960">
        <f t="shared" si="38"/>
        <v>0</v>
      </c>
      <c r="P159" s="960">
        <f t="shared" si="39"/>
        <v>0</v>
      </c>
      <c r="Q159" s="960">
        <f t="shared" si="40"/>
        <v>0</v>
      </c>
      <c r="R159" s="960">
        <f t="shared" si="41"/>
        <v>0</v>
      </c>
      <c r="S159" s="960">
        <f t="shared" si="42"/>
        <v>0</v>
      </c>
      <c r="T159" s="960">
        <f t="shared" si="43"/>
        <v>0</v>
      </c>
      <c r="U159" s="960">
        <f t="shared" si="44"/>
        <v>0</v>
      </c>
      <c r="V159" s="960">
        <f t="shared" si="45"/>
        <v>0</v>
      </c>
      <c r="W159" s="960"/>
      <c r="X159" s="960"/>
      <c r="Y159" s="960"/>
      <c r="Z159" s="960"/>
      <c r="AA159" s="975">
        <f t="shared" si="46"/>
        <v>0</v>
      </c>
      <c r="AB159" s="975">
        <f>VLOOKUP(C159,'[8]MỦ TẠP'!$D$10:$AM$450,36,0)</f>
        <v>0</v>
      </c>
      <c r="AC159" s="975"/>
      <c r="AD159" s="975"/>
      <c r="AE159" s="975">
        <f>VLOOKUP(C159,'[8]MỦ TẠP'!$D$10:$AM$450,36,0)</f>
        <v>0</v>
      </c>
      <c r="AF159" s="975"/>
      <c r="AG159" s="975"/>
      <c r="AH159" s="975">
        <f t="shared" si="47"/>
        <v>0</v>
      </c>
      <c r="AI159" s="975">
        <f>VLOOKUP(C159,'[8]CHẤM CÔNG '!$F$10:$AM$451,33,0)</f>
        <v>0</v>
      </c>
      <c r="AJ159" s="975">
        <f>VLOOKUP(C159,'[8]CHẤM CÔNG '!$F$10:$AM$451,34,0)</f>
        <v>0</v>
      </c>
      <c r="AK159" s="975"/>
      <c r="AL159" s="975"/>
      <c r="AM159" s="975"/>
      <c r="AN159" s="975">
        <f>VLOOKUP(C159,'[8]CHẤM CÔNG '!$F$10:$AN$451,35,0)</f>
        <v>0</v>
      </c>
      <c r="AO159" s="975">
        <f>VLOOKUP(C159,'[8]CHẤM CÔNG '!$F$10:$AR$451,36,0)</f>
        <v>0</v>
      </c>
      <c r="AP159" s="975"/>
      <c r="AQ159" s="975"/>
      <c r="AR159" s="975"/>
      <c r="AS159" s="981"/>
      <c r="AT159" s="982">
        <f>VLOOKUP(C159,'[8]MỦ TẠP'!$D$10:$AO$450,38,0)</f>
        <v>0</v>
      </c>
      <c r="AX159" s="944">
        <v>2</v>
      </c>
      <c r="AZ159" s="944">
        <v>1</v>
      </c>
    </row>
    <row r="160" spans="1:52" ht="15.75">
      <c r="A160" s="957">
        <v>46</v>
      </c>
      <c r="B160" s="958" t="str">
        <f>VLOOKUP(C160,'[8]DS CN MOI UP'!$B$10:$C$489,2,0)</f>
        <v>02468</v>
      </c>
      <c r="C160" s="991" t="s">
        <v>94</v>
      </c>
      <c r="D160" s="957" t="s">
        <v>15</v>
      </c>
      <c r="E160" s="960"/>
      <c r="F160" s="960"/>
      <c r="G160" s="960"/>
      <c r="H160" s="960"/>
      <c r="I160" s="960"/>
      <c r="J160" s="960"/>
      <c r="K160" s="960"/>
      <c r="L160" s="960"/>
      <c r="M160" s="960"/>
      <c r="N160" s="960">
        <f t="shared" si="37"/>
        <v>0</v>
      </c>
      <c r="O160" s="960">
        <f t="shared" si="38"/>
        <v>0</v>
      </c>
      <c r="P160" s="960">
        <f t="shared" si="39"/>
        <v>0</v>
      </c>
      <c r="Q160" s="960">
        <f t="shared" si="40"/>
        <v>0</v>
      </c>
      <c r="R160" s="960">
        <f t="shared" si="41"/>
        <v>0</v>
      </c>
      <c r="S160" s="960">
        <f t="shared" si="42"/>
        <v>0</v>
      </c>
      <c r="T160" s="960">
        <f t="shared" si="43"/>
        <v>0</v>
      </c>
      <c r="U160" s="960">
        <f t="shared" si="44"/>
        <v>0</v>
      </c>
      <c r="V160" s="960">
        <f t="shared" si="45"/>
        <v>0</v>
      </c>
      <c r="W160" s="960"/>
      <c r="X160" s="960"/>
      <c r="Y160" s="960"/>
      <c r="Z160" s="960"/>
      <c r="AA160" s="975">
        <f t="shared" si="46"/>
        <v>0</v>
      </c>
      <c r="AB160" s="975">
        <f>VLOOKUP(C160,'[8]MỦ TẠP'!$D$10:$AM$450,36,0)</f>
        <v>0</v>
      </c>
      <c r="AC160" s="975"/>
      <c r="AD160" s="975"/>
      <c r="AE160" s="975">
        <f>VLOOKUP(C160,'[8]MỦ TẠP'!$D$10:$AM$450,36,0)</f>
        <v>0</v>
      </c>
      <c r="AF160" s="975"/>
      <c r="AG160" s="975"/>
      <c r="AH160" s="975">
        <f t="shared" si="47"/>
        <v>0</v>
      </c>
      <c r="AI160" s="975">
        <f>VLOOKUP(C160,'[8]CHẤM CÔNG '!$F$10:$AM$451,33,0)</f>
        <v>0</v>
      </c>
      <c r="AJ160" s="975">
        <f>VLOOKUP(C160,'[8]CHẤM CÔNG '!$F$10:$AM$451,34,0)</f>
        <v>0</v>
      </c>
      <c r="AK160" s="975"/>
      <c r="AL160" s="975"/>
      <c r="AM160" s="975"/>
      <c r="AN160" s="975">
        <f>VLOOKUP(C160,'[8]CHẤM CÔNG '!$F$10:$AN$451,35,0)</f>
        <v>0</v>
      </c>
      <c r="AO160" s="975">
        <f>VLOOKUP(C160,'[8]CHẤM CÔNG '!$F$10:$AR$451,36,0)</f>
        <v>0</v>
      </c>
      <c r="AP160" s="975"/>
      <c r="AQ160" s="975"/>
      <c r="AR160" s="975"/>
      <c r="AS160" s="981"/>
      <c r="AT160" s="982">
        <f>VLOOKUP(C160,'[8]MỦ TẠP'!$D$10:$AO$450,38,0)</f>
        <v>0</v>
      </c>
      <c r="AX160" s="944">
        <v>2</v>
      </c>
      <c r="AZ160" s="944">
        <v>1</v>
      </c>
    </row>
    <row r="161" spans="1:52" ht="15.75">
      <c r="A161" s="957">
        <v>47</v>
      </c>
      <c r="B161" s="958" t="str">
        <f>VLOOKUP(C161,'[8]DS CN MOI UP'!$B$10:$C$489,2,0)</f>
        <v>03339</v>
      </c>
      <c r="C161" s="991" t="s">
        <v>95</v>
      </c>
      <c r="D161" s="957" t="s">
        <v>15</v>
      </c>
      <c r="E161" s="960"/>
      <c r="F161" s="960"/>
      <c r="G161" s="960"/>
      <c r="H161" s="960"/>
      <c r="I161" s="960"/>
      <c r="J161" s="960"/>
      <c r="K161" s="960"/>
      <c r="L161" s="960"/>
      <c r="M161" s="960"/>
      <c r="N161" s="960">
        <f t="shared" si="37"/>
        <v>0</v>
      </c>
      <c r="O161" s="960">
        <f t="shared" si="38"/>
        <v>0</v>
      </c>
      <c r="P161" s="960">
        <f t="shared" si="39"/>
        <v>0</v>
      </c>
      <c r="Q161" s="960">
        <f t="shared" si="40"/>
        <v>0</v>
      </c>
      <c r="R161" s="960">
        <f t="shared" si="41"/>
        <v>0</v>
      </c>
      <c r="S161" s="960">
        <f t="shared" si="42"/>
        <v>0</v>
      </c>
      <c r="T161" s="960">
        <f t="shared" si="43"/>
        <v>0</v>
      </c>
      <c r="U161" s="960">
        <f t="shared" si="44"/>
        <v>0</v>
      </c>
      <c r="V161" s="960">
        <f t="shared" si="45"/>
        <v>0</v>
      </c>
      <c r="W161" s="960"/>
      <c r="X161" s="960"/>
      <c r="Y161" s="960"/>
      <c r="Z161" s="960"/>
      <c r="AA161" s="975">
        <f t="shared" si="46"/>
        <v>0</v>
      </c>
      <c r="AB161" s="975">
        <f>VLOOKUP(C161,'[8]MỦ TẠP'!$D$10:$AM$450,36,0)</f>
        <v>0</v>
      </c>
      <c r="AC161" s="975"/>
      <c r="AD161" s="975"/>
      <c r="AE161" s="975">
        <f>VLOOKUP(C161,'[8]MỦ TẠP'!$D$10:$AM$450,36,0)</f>
        <v>0</v>
      </c>
      <c r="AF161" s="975"/>
      <c r="AG161" s="975"/>
      <c r="AH161" s="975">
        <f t="shared" si="47"/>
        <v>0</v>
      </c>
      <c r="AI161" s="975">
        <f>VLOOKUP(C161,'[8]CHẤM CÔNG '!$F$10:$AM$451,33,0)</f>
        <v>0</v>
      </c>
      <c r="AJ161" s="975">
        <f>VLOOKUP(C161,'[8]CHẤM CÔNG '!$F$10:$AM$451,34,0)</f>
        <v>0</v>
      </c>
      <c r="AK161" s="975"/>
      <c r="AL161" s="975"/>
      <c r="AM161" s="975"/>
      <c r="AN161" s="975">
        <f>VLOOKUP(C161,'[8]CHẤM CÔNG '!$F$10:$AN$451,35,0)</f>
        <v>0</v>
      </c>
      <c r="AO161" s="975">
        <f>VLOOKUP(C161,'[8]CHẤM CÔNG '!$F$10:$AR$451,36,0)</f>
        <v>0</v>
      </c>
      <c r="AP161" s="975"/>
      <c r="AQ161" s="975"/>
      <c r="AR161" s="975"/>
      <c r="AS161" s="981"/>
      <c r="AT161" s="982">
        <f>VLOOKUP(C161,'[8]MỦ TẠP'!$D$10:$AO$450,38,0)</f>
        <v>0</v>
      </c>
      <c r="AX161" s="944">
        <v>1</v>
      </c>
      <c r="AZ161" s="944">
        <v>2</v>
      </c>
    </row>
    <row r="162" spans="1:52" ht="15.75">
      <c r="A162" s="957">
        <v>48</v>
      </c>
      <c r="B162" s="958" t="str">
        <f>VLOOKUP(C162,'[8]DS CN MOI UP'!$B$10:$C$489,2,0)</f>
        <v>03320</v>
      </c>
      <c r="C162" s="991" t="s">
        <v>16</v>
      </c>
      <c r="D162" s="957" t="s">
        <v>15</v>
      </c>
      <c r="E162" s="960"/>
      <c r="F162" s="960"/>
      <c r="G162" s="960"/>
      <c r="H162" s="960"/>
      <c r="I162" s="960"/>
      <c r="J162" s="960"/>
      <c r="K162" s="960"/>
      <c r="L162" s="960"/>
      <c r="M162" s="960"/>
      <c r="N162" s="960">
        <f t="shared" si="37"/>
        <v>0</v>
      </c>
      <c r="O162" s="960">
        <f t="shared" si="38"/>
        <v>0</v>
      </c>
      <c r="P162" s="960">
        <f t="shared" si="39"/>
        <v>0</v>
      </c>
      <c r="Q162" s="960">
        <f t="shared" si="40"/>
        <v>0</v>
      </c>
      <c r="R162" s="960">
        <f t="shared" si="41"/>
        <v>0</v>
      </c>
      <c r="S162" s="960">
        <f t="shared" si="42"/>
        <v>0</v>
      </c>
      <c r="T162" s="960">
        <f t="shared" si="43"/>
        <v>0</v>
      </c>
      <c r="U162" s="960">
        <f t="shared" si="44"/>
        <v>0</v>
      </c>
      <c r="V162" s="960">
        <f t="shared" si="45"/>
        <v>0</v>
      </c>
      <c r="W162" s="960"/>
      <c r="X162" s="960"/>
      <c r="Y162" s="960"/>
      <c r="Z162" s="960"/>
      <c r="AA162" s="975">
        <f t="shared" si="46"/>
        <v>0</v>
      </c>
      <c r="AB162" s="975">
        <f>VLOOKUP(C162,'[8]MỦ TẠP'!$D$10:$AM$450,36,0)</f>
        <v>0</v>
      </c>
      <c r="AC162" s="975"/>
      <c r="AD162" s="975"/>
      <c r="AE162" s="975">
        <f>VLOOKUP(C162,'[8]MỦ TẠP'!$D$10:$AM$450,36,0)</f>
        <v>0</v>
      </c>
      <c r="AF162" s="975"/>
      <c r="AG162" s="975"/>
      <c r="AH162" s="975">
        <f t="shared" si="47"/>
        <v>0</v>
      </c>
      <c r="AI162" s="975">
        <f>VLOOKUP(C162,'[8]CHẤM CÔNG '!$F$10:$AM$451,33,0)</f>
        <v>0</v>
      </c>
      <c r="AJ162" s="975">
        <f>VLOOKUP(C162,'[8]CHẤM CÔNG '!$F$10:$AM$451,34,0)</f>
        <v>0</v>
      </c>
      <c r="AK162" s="975"/>
      <c r="AL162" s="975"/>
      <c r="AM162" s="975"/>
      <c r="AN162" s="975">
        <f>VLOOKUP(C162,'[8]CHẤM CÔNG '!$F$10:$AN$451,35,0)</f>
        <v>0</v>
      </c>
      <c r="AO162" s="975">
        <f>VLOOKUP(C162,'[8]CHẤM CÔNG '!$F$10:$AR$451,36,0)</f>
        <v>0</v>
      </c>
      <c r="AP162" s="975"/>
      <c r="AQ162" s="975"/>
      <c r="AR162" s="975"/>
      <c r="AS162" s="981"/>
      <c r="AT162" s="982">
        <f>VLOOKUP(C162,'[8]MỦ TẠP'!$D$10:$AO$450,38,0)</f>
        <v>0</v>
      </c>
      <c r="AX162" s="944">
        <v>1</v>
      </c>
      <c r="AZ162" s="944">
        <v>2</v>
      </c>
    </row>
    <row r="163" spans="1:52" ht="15.75">
      <c r="A163" s="957">
        <v>49</v>
      </c>
      <c r="B163" s="958" t="str">
        <f>VLOOKUP(C163,'[8]DS CN MOI UP'!$B$10:$C$489,2,0)</f>
        <v>02455</v>
      </c>
      <c r="C163" s="991" t="s">
        <v>47</v>
      </c>
      <c r="D163" s="957" t="s">
        <v>15</v>
      </c>
      <c r="E163" s="960"/>
      <c r="F163" s="960"/>
      <c r="G163" s="960"/>
      <c r="H163" s="960"/>
      <c r="I163" s="960"/>
      <c r="J163" s="960"/>
      <c r="K163" s="960"/>
      <c r="L163" s="960"/>
      <c r="M163" s="960"/>
      <c r="N163" s="960">
        <f t="shared" si="37"/>
        <v>0</v>
      </c>
      <c r="O163" s="960">
        <f t="shared" si="38"/>
        <v>0</v>
      </c>
      <c r="P163" s="960">
        <f t="shared" si="39"/>
        <v>0</v>
      </c>
      <c r="Q163" s="960">
        <f t="shared" si="40"/>
        <v>0</v>
      </c>
      <c r="R163" s="960">
        <f t="shared" si="41"/>
        <v>0</v>
      </c>
      <c r="S163" s="960">
        <f t="shared" si="42"/>
        <v>0</v>
      </c>
      <c r="T163" s="960">
        <f t="shared" si="43"/>
        <v>0</v>
      </c>
      <c r="U163" s="960">
        <f t="shared" si="44"/>
        <v>0</v>
      </c>
      <c r="V163" s="960">
        <f t="shared" si="45"/>
        <v>0</v>
      </c>
      <c r="W163" s="960"/>
      <c r="X163" s="960"/>
      <c r="Y163" s="960"/>
      <c r="Z163" s="960"/>
      <c r="AA163" s="975">
        <f t="shared" si="46"/>
        <v>0</v>
      </c>
      <c r="AB163" s="975">
        <f>VLOOKUP(C163,'[8]MỦ TẠP'!$D$10:$AM$450,36,0)</f>
        <v>0</v>
      </c>
      <c r="AC163" s="975"/>
      <c r="AD163" s="975"/>
      <c r="AE163" s="975">
        <f>VLOOKUP(C163,'[8]MỦ TẠP'!$D$10:$AM$450,36,0)</f>
        <v>0</v>
      </c>
      <c r="AF163" s="975"/>
      <c r="AG163" s="975"/>
      <c r="AH163" s="975">
        <f t="shared" si="47"/>
        <v>0</v>
      </c>
      <c r="AI163" s="975">
        <f>VLOOKUP(C163,'[8]CHẤM CÔNG '!$F$10:$AM$451,33,0)</f>
        <v>0</v>
      </c>
      <c r="AJ163" s="975">
        <f>VLOOKUP(C163,'[8]CHẤM CÔNG '!$F$10:$AM$451,34,0)</f>
        <v>0</v>
      </c>
      <c r="AK163" s="975"/>
      <c r="AL163" s="975"/>
      <c r="AM163" s="975"/>
      <c r="AN163" s="975">
        <f>VLOOKUP(C163,'[8]CHẤM CÔNG '!$F$10:$AN$451,35,0)</f>
        <v>0</v>
      </c>
      <c r="AO163" s="975">
        <f>VLOOKUP(C163,'[8]CHẤM CÔNG '!$F$10:$AR$451,36,0)</f>
        <v>0</v>
      </c>
      <c r="AP163" s="975"/>
      <c r="AQ163" s="975"/>
      <c r="AR163" s="975"/>
      <c r="AS163" s="981"/>
      <c r="AT163" s="982">
        <f>VLOOKUP(C163,'[8]MỦ TẠP'!$D$10:$AO$450,38,0)</f>
        <v>0</v>
      </c>
      <c r="AZ163" s="944">
        <v>3</v>
      </c>
    </row>
    <row r="164" spans="1:52" ht="15.75">
      <c r="A164" s="957">
        <v>50</v>
      </c>
      <c r="B164" s="958" t="str">
        <f>VLOOKUP(C164,'[8]DS CN MOI UP'!$B$10:$C$489,2,0)</f>
        <v>02463</v>
      </c>
      <c r="C164" s="991" t="s">
        <v>87</v>
      </c>
      <c r="D164" s="957" t="s">
        <v>15</v>
      </c>
      <c r="E164" s="960"/>
      <c r="F164" s="960"/>
      <c r="G164" s="960"/>
      <c r="H164" s="960"/>
      <c r="I164" s="960"/>
      <c r="J164" s="960"/>
      <c r="K164" s="960"/>
      <c r="L164" s="960"/>
      <c r="M164" s="960"/>
      <c r="N164" s="960">
        <f t="shared" si="37"/>
        <v>0</v>
      </c>
      <c r="O164" s="960">
        <f t="shared" si="38"/>
        <v>0</v>
      </c>
      <c r="P164" s="960">
        <f t="shared" si="39"/>
        <v>0</v>
      </c>
      <c r="Q164" s="960">
        <f t="shared" si="40"/>
        <v>0</v>
      </c>
      <c r="R164" s="960">
        <f t="shared" si="41"/>
        <v>0</v>
      </c>
      <c r="S164" s="960">
        <f t="shared" si="42"/>
        <v>0</v>
      </c>
      <c r="T164" s="960">
        <f t="shared" si="43"/>
        <v>0</v>
      </c>
      <c r="U164" s="960">
        <f t="shared" si="44"/>
        <v>0</v>
      </c>
      <c r="V164" s="960">
        <f t="shared" si="45"/>
        <v>0</v>
      </c>
      <c r="W164" s="960"/>
      <c r="X164" s="960"/>
      <c r="Y164" s="960"/>
      <c r="Z164" s="960"/>
      <c r="AA164" s="975">
        <f t="shared" si="46"/>
        <v>0</v>
      </c>
      <c r="AB164" s="975">
        <f>VLOOKUP(C164,'[8]MỦ TẠP'!$D$10:$AM$450,36,0)</f>
        <v>0</v>
      </c>
      <c r="AC164" s="975"/>
      <c r="AD164" s="975"/>
      <c r="AE164" s="975">
        <f>VLOOKUP(C164,'[8]MỦ TẠP'!$D$10:$AM$450,36,0)</f>
        <v>0</v>
      </c>
      <c r="AF164" s="975"/>
      <c r="AG164" s="975"/>
      <c r="AH164" s="975">
        <f t="shared" si="47"/>
        <v>0</v>
      </c>
      <c r="AI164" s="975">
        <f>VLOOKUP(C164,'[8]CHẤM CÔNG '!$F$10:$AM$451,33,0)</f>
        <v>0</v>
      </c>
      <c r="AJ164" s="975">
        <f>VLOOKUP(C164,'[8]CHẤM CÔNG '!$F$10:$AM$451,34,0)</f>
        <v>0</v>
      </c>
      <c r="AK164" s="975"/>
      <c r="AL164" s="975"/>
      <c r="AM164" s="975"/>
      <c r="AN164" s="975">
        <f>VLOOKUP(C164,'[8]CHẤM CÔNG '!$F$10:$AN$451,35,0)</f>
        <v>0</v>
      </c>
      <c r="AO164" s="975">
        <f>VLOOKUP(C164,'[8]CHẤM CÔNG '!$F$10:$AR$451,36,0)</f>
        <v>0</v>
      </c>
      <c r="AP164" s="975"/>
      <c r="AQ164" s="975"/>
      <c r="AR164" s="975"/>
      <c r="AS164" s="981"/>
      <c r="AT164" s="982">
        <f>VLOOKUP(C164,'[8]MỦ TẠP'!$D$10:$AO$450,38,0)</f>
        <v>0</v>
      </c>
      <c r="AX164" s="944">
        <v>1</v>
      </c>
      <c r="AZ164" s="944">
        <v>2</v>
      </c>
    </row>
    <row r="165" spans="1:52" ht="15.75">
      <c r="A165" s="957">
        <v>51</v>
      </c>
      <c r="B165" s="958" t="str">
        <f>VLOOKUP(C165,'[8]DS CN MOI UP'!$B$10:$C$489,2,0)</f>
        <v>02491</v>
      </c>
      <c r="C165" s="991" t="s">
        <v>62</v>
      </c>
      <c r="D165" s="957" t="s">
        <v>15</v>
      </c>
      <c r="E165" s="960"/>
      <c r="F165" s="960"/>
      <c r="G165" s="960"/>
      <c r="H165" s="960"/>
      <c r="I165" s="960"/>
      <c r="J165" s="960"/>
      <c r="K165" s="960"/>
      <c r="L165" s="960"/>
      <c r="M165" s="960"/>
      <c r="N165" s="960">
        <f t="shared" si="37"/>
        <v>0</v>
      </c>
      <c r="O165" s="960">
        <f t="shared" si="38"/>
        <v>0</v>
      </c>
      <c r="P165" s="960">
        <f t="shared" si="39"/>
        <v>0</v>
      </c>
      <c r="Q165" s="960">
        <f t="shared" si="40"/>
        <v>0</v>
      </c>
      <c r="R165" s="960">
        <f t="shared" si="41"/>
        <v>0</v>
      </c>
      <c r="S165" s="960">
        <f t="shared" si="42"/>
        <v>0</v>
      </c>
      <c r="T165" s="960">
        <f t="shared" si="43"/>
        <v>0</v>
      </c>
      <c r="U165" s="960">
        <f t="shared" si="44"/>
        <v>0</v>
      </c>
      <c r="V165" s="960">
        <f t="shared" si="45"/>
        <v>0</v>
      </c>
      <c r="W165" s="960"/>
      <c r="X165" s="960"/>
      <c r="Y165" s="960"/>
      <c r="Z165" s="960"/>
      <c r="AA165" s="975">
        <f t="shared" si="46"/>
        <v>0</v>
      </c>
      <c r="AB165" s="975">
        <f>VLOOKUP(C165,'[8]MỦ TẠP'!$D$10:$AM$450,36,0)</f>
        <v>0</v>
      </c>
      <c r="AC165" s="975"/>
      <c r="AD165" s="975"/>
      <c r="AE165" s="975">
        <f>VLOOKUP(C165,'[8]MỦ TẠP'!$D$10:$AM$450,36,0)</f>
        <v>0</v>
      </c>
      <c r="AF165" s="975"/>
      <c r="AG165" s="975"/>
      <c r="AH165" s="975">
        <f t="shared" si="47"/>
        <v>0</v>
      </c>
      <c r="AI165" s="975">
        <f>VLOOKUP(C165,'[8]CHẤM CÔNG '!$F$10:$AM$451,33,0)</f>
        <v>0</v>
      </c>
      <c r="AJ165" s="975">
        <f>VLOOKUP(C165,'[8]CHẤM CÔNG '!$F$10:$AM$451,34,0)</f>
        <v>0</v>
      </c>
      <c r="AK165" s="975"/>
      <c r="AL165" s="975"/>
      <c r="AM165" s="975"/>
      <c r="AN165" s="975">
        <f>VLOOKUP(C165,'[8]CHẤM CÔNG '!$F$10:$AN$451,35,0)</f>
        <v>0</v>
      </c>
      <c r="AO165" s="975">
        <f>VLOOKUP(C165,'[8]CHẤM CÔNG '!$F$10:$AR$451,36,0)</f>
        <v>0</v>
      </c>
      <c r="AP165" s="975"/>
      <c r="AQ165" s="975"/>
      <c r="AR165" s="975"/>
      <c r="AS165" s="981"/>
      <c r="AT165" s="982">
        <f>VLOOKUP(C165,'[8]MỦ TẠP'!$D$10:$AO$450,38,0)</f>
        <v>0</v>
      </c>
      <c r="AX165" s="944">
        <v>1</v>
      </c>
      <c r="AZ165" s="944">
        <v>2</v>
      </c>
    </row>
    <row r="166" spans="1:52" ht="15.75">
      <c r="A166" s="957">
        <v>52</v>
      </c>
      <c r="B166" s="958" t="str">
        <f>VLOOKUP(C166,'[8]DS CN MOI UP'!$B$10:$C$489,2,0)</f>
        <v>02478</v>
      </c>
      <c r="C166" s="963" t="s">
        <v>79</v>
      </c>
      <c r="D166" s="957" t="s">
        <v>15</v>
      </c>
      <c r="E166" s="960"/>
      <c r="F166" s="960"/>
      <c r="G166" s="960"/>
      <c r="H166" s="960"/>
      <c r="I166" s="960"/>
      <c r="J166" s="960"/>
      <c r="K166" s="960"/>
      <c r="L166" s="960"/>
      <c r="M166" s="960"/>
      <c r="N166" s="960">
        <f t="shared" si="37"/>
        <v>0</v>
      </c>
      <c r="O166" s="960">
        <f t="shared" si="38"/>
        <v>0</v>
      </c>
      <c r="P166" s="960">
        <f t="shared" si="39"/>
        <v>0</v>
      </c>
      <c r="Q166" s="960">
        <f t="shared" si="40"/>
        <v>0</v>
      </c>
      <c r="R166" s="960">
        <f t="shared" si="41"/>
        <v>0</v>
      </c>
      <c r="S166" s="960">
        <f t="shared" si="42"/>
        <v>0</v>
      </c>
      <c r="T166" s="960">
        <f t="shared" si="43"/>
        <v>0</v>
      </c>
      <c r="U166" s="960">
        <f t="shared" si="44"/>
        <v>0</v>
      </c>
      <c r="V166" s="960">
        <f t="shared" si="45"/>
        <v>0</v>
      </c>
      <c r="W166" s="960"/>
      <c r="X166" s="960"/>
      <c r="Y166" s="960"/>
      <c r="Z166" s="960"/>
      <c r="AA166" s="975">
        <f t="shared" si="46"/>
        <v>0</v>
      </c>
      <c r="AB166" s="975">
        <f>VLOOKUP(C166,'[8]MỦ TẠP'!$D$10:$AM$450,36,0)</f>
        <v>0</v>
      </c>
      <c r="AC166" s="975"/>
      <c r="AD166" s="975"/>
      <c r="AE166" s="975">
        <f>VLOOKUP(C166,'[8]MỦ TẠP'!$D$10:$AM$450,36,0)</f>
        <v>0</v>
      </c>
      <c r="AF166" s="975"/>
      <c r="AG166" s="975"/>
      <c r="AH166" s="975">
        <f t="shared" si="47"/>
        <v>0</v>
      </c>
      <c r="AI166" s="975">
        <f>VLOOKUP(C166,'[8]CHẤM CÔNG '!$F$10:$AM$451,33,0)</f>
        <v>0</v>
      </c>
      <c r="AJ166" s="975">
        <f>VLOOKUP(C166,'[8]CHẤM CÔNG '!$F$10:$AM$451,34,0)</f>
        <v>0</v>
      </c>
      <c r="AK166" s="975"/>
      <c r="AL166" s="975"/>
      <c r="AM166" s="975"/>
      <c r="AN166" s="975">
        <f>VLOOKUP(C166,'[8]CHẤM CÔNG '!$F$10:$AN$451,35,0)</f>
        <v>0</v>
      </c>
      <c r="AO166" s="975">
        <f>VLOOKUP(C166,'[8]CHẤM CÔNG '!$F$10:$AR$451,36,0)</f>
        <v>0</v>
      </c>
      <c r="AP166" s="975"/>
      <c r="AQ166" s="975"/>
      <c r="AR166" s="975"/>
      <c r="AS166" s="981"/>
      <c r="AT166" s="982">
        <f>VLOOKUP(C166,'[8]MỦ TẠP'!$D$10:$AO$450,38,0)</f>
        <v>0</v>
      </c>
      <c r="AX166" s="944">
        <v>1</v>
      </c>
      <c r="AZ166" s="944">
        <v>2</v>
      </c>
    </row>
    <row r="167" spans="1:52" ht="15.75">
      <c r="A167" s="957">
        <v>53</v>
      </c>
      <c r="B167" s="958" t="str">
        <f>VLOOKUP(C167,'[8]DS CN MOI UP'!$B$10:$C$489,2,0)</f>
        <v>03324</v>
      </c>
      <c r="C167" s="963" t="s">
        <v>27</v>
      </c>
      <c r="D167" s="957" t="s">
        <v>15</v>
      </c>
      <c r="E167" s="960"/>
      <c r="F167" s="960"/>
      <c r="G167" s="960"/>
      <c r="H167" s="960"/>
      <c r="I167" s="960"/>
      <c r="J167" s="960"/>
      <c r="K167" s="960"/>
      <c r="L167" s="960"/>
      <c r="M167" s="960"/>
      <c r="N167" s="960">
        <f t="shared" si="37"/>
        <v>0</v>
      </c>
      <c r="O167" s="960">
        <f t="shared" si="38"/>
        <v>0</v>
      </c>
      <c r="P167" s="960">
        <f t="shared" si="39"/>
        <v>0</v>
      </c>
      <c r="Q167" s="960">
        <f t="shared" si="40"/>
        <v>0</v>
      </c>
      <c r="R167" s="960">
        <f t="shared" si="41"/>
        <v>0</v>
      </c>
      <c r="S167" s="960">
        <f t="shared" si="42"/>
        <v>0</v>
      </c>
      <c r="T167" s="960">
        <f t="shared" si="43"/>
        <v>0</v>
      </c>
      <c r="U167" s="960">
        <f t="shared" si="44"/>
        <v>0</v>
      </c>
      <c r="V167" s="960">
        <f t="shared" si="45"/>
        <v>0</v>
      </c>
      <c r="W167" s="960"/>
      <c r="X167" s="960"/>
      <c r="Y167" s="960"/>
      <c r="Z167" s="960"/>
      <c r="AA167" s="975">
        <f t="shared" si="46"/>
        <v>0</v>
      </c>
      <c r="AB167" s="975">
        <f>VLOOKUP(C167,'[8]MỦ TẠP'!$D$10:$AM$450,36,0)</f>
        <v>0</v>
      </c>
      <c r="AC167" s="975"/>
      <c r="AD167" s="975"/>
      <c r="AE167" s="975">
        <f>VLOOKUP(C167,'[8]MỦ TẠP'!$D$10:$AM$450,36,0)</f>
        <v>0</v>
      </c>
      <c r="AF167" s="975"/>
      <c r="AG167" s="975"/>
      <c r="AH167" s="975">
        <f t="shared" si="47"/>
        <v>0</v>
      </c>
      <c r="AI167" s="975">
        <f>VLOOKUP(C167,'[8]CHẤM CÔNG '!$F$10:$AM$451,33,0)</f>
        <v>0</v>
      </c>
      <c r="AJ167" s="975">
        <f>VLOOKUP(C167,'[8]CHẤM CÔNG '!$F$10:$AM$451,34,0)</f>
        <v>0</v>
      </c>
      <c r="AK167" s="975"/>
      <c r="AL167" s="975"/>
      <c r="AM167" s="975"/>
      <c r="AN167" s="975">
        <f>VLOOKUP(C167,'[8]CHẤM CÔNG '!$F$10:$AN$451,35,0)</f>
        <v>0</v>
      </c>
      <c r="AO167" s="975">
        <f>VLOOKUP(C167,'[8]CHẤM CÔNG '!$F$10:$AR$451,36,0)</f>
        <v>0</v>
      </c>
      <c r="AP167" s="975"/>
      <c r="AQ167" s="975"/>
      <c r="AR167" s="975"/>
      <c r="AS167" s="981"/>
      <c r="AT167" s="982">
        <f>VLOOKUP(C167,'[8]MỦ TẠP'!$D$10:$AO$450,38,0)</f>
        <v>0</v>
      </c>
      <c r="AX167" s="944">
        <v>1</v>
      </c>
      <c r="AZ167" s="944">
        <v>2</v>
      </c>
    </row>
    <row r="168" spans="1:52" ht="15.75">
      <c r="A168" s="957">
        <v>54</v>
      </c>
      <c r="B168" s="958" t="str">
        <f>VLOOKUP(C168,'[8]DS CN MOI UP'!$B$10:$C$489,2,0)</f>
        <v>03325</v>
      </c>
      <c r="C168" s="963" t="s">
        <v>28</v>
      </c>
      <c r="D168" s="957" t="s">
        <v>15</v>
      </c>
      <c r="E168" s="960"/>
      <c r="F168" s="960"/>
      <c r="G168" s="960"/>
      <c r="H168" s="960"/>
      <c r="I168" s="960"/>
      <c r="J168" s="960"/>
      <c r="K168" s="960"/>
      <c r="L168" s="960"/>
      <c r="M168" s="960"/>
      <c r="N168" s="960">
        <f t="shared" si="37"/>
        <v>0</v>
      </c>
      <c r="O168" s="960">
        <f t="shared" si="38"/>
        <v>0</v>
      </c>
      <c r="P168" s="960">
        <f t="shared" si="39"/>
        <v>0</v>
      </c>
      <c r="Q168" s="960">
        <f t="shared" si="40"/>
        <v>0</v>
      </c>
      <c r="R168" s="960">
        <f t="shared" si="41"/>
        <v>0</v>
      </c>
      <c r="S168" s="960">
        <f t="shared" si="42"/>
        <v>0</v>
      </c>
      <c r="T168" s="960">
        <f t="shared" si="43"/>
        <v>0</v>
      </c>
      <c r="U168" s="960">
        <f t="shared" si="44"/>
        <v>0</v>
      </c>
      <c r="V168" s="960">
        <f t="shared" si="45"/>
        <v>0</v>
      </c>
      <c r="W168" s="960"/>
      <c r="X168" s="960"/>
      <c r="Y168" s="960"/>
      <c r="Z168" s="960"/>
      <c r="AA168" s="975">
        <f t="shared" si="46"/>
        <v>0</v>
      </c>
      <c r="AB168" s="975">
        <f>VLOOKUP(C168,'[8]MỦ TẠP'!$D$10:$AM$450,36,0)</f>
        <v>0</v>
      </c>
      <c r="AC168" s="975"/>
      <c r="AD168" s="975"/>
      <c r="AE168" s="975">
        <f>VLOOKUP(C168,'[8]MỦ TẠP'!$D$10:$AM$450,36,0)</f>
        <v>0</v>
      </c>
      <c r="AF168" s="975"/>
      <c r="AG168" s="975"/>
      <c r="AH168" s="975">
        <f t="shared" si="47"/>
        <v>0</v>
      </c>
      <c r="AI168" s="975">
        <f>VLOOKUP(C168,'[8]CHẤM CÔNG '!$F$10:$AM$451,33,0)</f>
        <v>0</v>
      </c>
      <c r="AJ168" s="975">
        <f>VLOOKUP(C168,'[8]CHẤM CÔNG '!$F$10:$AM$451,34,0)</f>
        <v>0</v>
      </c>
      <c r="AK168" s="975"/>
      <c r="AL168" s="975"/>
      <c r="AM168" s="975"/>
      <c r="AN168" s="975">
        <f>VLOOKUP(C168,'[8]CHẤM CÔNG '!$F$10:$AN$451,35,0)</f>
        <v>0</v>
      </c>
      <c r="AO168" s="975">
        <f>VLOOKUP(C168,'[8]CHẤM CÔNG '!$F$10:$AR$451,36,0)</f>
        <v>0</v>
      </c>
      <c r="AP168" s="975"/>
      <c r="AQ168" s="975"/>
      <c r="AR168" s="975"/>
      <c r="AS168" s="981"/>
      <c r="AT168" s="982">
        <f>VLOOKUP(C168,'[8]MỦ TẠP'!$D$10:$AO$450,38,0)</f>
        <v>0</v>
      </c>
      <c r="AX168" s="944">
        <v>1</v>
      </c>
      <c r="AZ168" s="944">
        <v>2</v>
      </c>
    </row>
    <row r="169" spans="1:52" ht="15.75">
      <c r="A169" s="957">
        <v>55</v>
      </c>
      <c r="B169" s="958" t="str">
        <f>VLOOKUP(C169,'[8]DS CN MOI UP'!$B$10:$C$489,2,0)</f>
        <v>02510</v>
      </c>
      <c r="C169" s="963" t="s">
        <v>41</v>
      </c>
      <c r="D169" s="957" t="s">
        <v>15</v>
      </c>
      <c r="E169" s="960"/>
      <c r="F169" s="960"/>
      <c r="G169" s="960"/>
      <c r="H169" s="960"/>
      <c r="I169" s="960"/>
      <c r="J169" s="960"/>
      <c r="K169" s="960"/>
      <c r="L169" s="960"/>
      <c r="M169" s="960"/>
      <c r="N169" s="960">
        <f t="shared" si="37"/>
        <v>0</v>
      </c>
      <c r="O169" s="960">
        <f t="shared" si="38"/>
        <v>0</v>
      </c>
      <c r="P169" s="960">
        <f t="shared" si="39"/>
        <v>0</v>
      </c>
      <c r="Q169" s="960">
        <f t="shared" si="40"/>
        <v>0</v>
      </c>
      <c r="R169" s="960">
        <f t="shared" si="41"/>
        <v>0</v>
      </c>
      <c r="S169" s="960">
        <f t="shared" si="42"/>
        <v>0</v>
      </c>
      <c r="T169" s="960">
        <f t="shared" si="43"/>
        <v>0</v>
      </c>
      <c r="U169" s="960">
        <f t="shared" si="44"/>
        <v>0</v>
      </c>
      <c r="V169" s="960">
        <f t="shared" si="45"/>
        <v>0</v>
      </c>
      <c r="W169" s="960"/>
      <c r="X169" s="960"/>
      <c r="Y169" s="960"/>
      <c r="Z169" s="960"/>
      <c r="AA169" s="975">
        <f t="shared" si="46"/>
        <v>0</v>
      </c>
      <c r="AB169" s="975">
        <f>VLOOKUP(C169,'[8]MỦ TẠP'!$D$10:$AM$450,36,0)</f>
        <v>0</v>
      </c>
      <c r="AC169" s="975"/>
      <c r="AD169" s="975"/>
      <c r="AE169" s="975">
        <f>VLOOKUP(C169,'[8]MỦ TẠP'!$D$10:$AM$450,36,0)</f>
        <v>0</v>
      </c>
      <c r="AF169" s="975"/>
      <c r="AG169" s="975"/>
      <c r="AH169" s="975">
        <f t="shared" si="47"/>
        <v>0</v>
      </c>
      <c r="AI169" s="975">
        <f>VLOOKUP(C169,'[8]CHẤM CÔNG '!$F$10:$AM$451,33,0)</f>
        <v>0</v>
      </c>
      <c r="AJ169" s="975">
        <f>VLOOKUP(C169,'[8]CHẤM CÔNG '!$F$10:$AM$451,34,0)</f>
        <v>0</v>
      </c>
      <c r="AK169" s="975"/>
      <c r="AL169" s="975"/>
      <c r="AM169" s="975"/>
      <c r="AN169" s="975">
        <f>VLOOKUP(C169,'[8]CHẤM CÔNG '!$F$10:$AN$451,35,0)</f>
        <v>0</v>
      </c>
      <c r="AO169" s="975">
        <f>VLOOKUP(C169,'[8]CHẤM CÔNG '!$F$10:$AR$451,36,0)</f>
        <v>0</v>
      </c>
      <c r="AP169" s="975"/>
      <c r="AQ169" s="975"/>
      <c r="AR169" s="975"/>
      <c r="AS169" s="981"/>
      <c r="AT169" s="982">
        <f>VLOOKUP(C169,'[8]MỦ TẠP'!$D$10:$AO$450,38,0)</f>
        <v>0</v>
      </c>
      <c r="AX169" s="944">
        <v>1</v>
      </c>
      <c r="AZ169" s="944">
        <v>2</v>
      </c>
    </row>
    <row r="170" spans="1:52" ht="15.75">
      <c r="A170" s="957">
        <v>56</v>
      </c>
      <c r="B170" s="958" t="str">
        <f>VLOOKUP(C170,'[8]DS CN MOI UP'!$B$10:$C$489,2,0)</f>
        <v>02469</v>
      </c>
      <c r="C170" s="963" t="s">
        <v>38</v>
      </c>
      <c r="D170" s="957" t="s">
        <v>15</v>
      </c>
      <c r="E170" s="960"/>
      <c r="F170" s="960"/>
      <c r="G170" s="960"/>
      <c r="H170" s="960"/>
      <c r="I170" s="960"/>
      <c r="J170" s="960"/>
      <c r="K170" s="960"/>
      <c r="L170" s="960"/>
      <c r="M170" s="960"/>
      <c r="N170" s="960">
        <f t="shared" si="37"/>
        <v>0</v>
      </c>
      <c r="O170" s="960">
        <f t="shared" si="38"/>
        <v>0</v>
      </c>
      <c r="P170" s="960">
        <f t="shared" si="39"/>
        <v>0</v>
      </c>
      <c r="Q170" s="960">
        <f t="shared" si="40"/>
        <v>0</v>
      </c>
      <c r="R170" s="960">
        <f t="shared" si="41"/>
        <v>0</v>
      </c>
      <c r="S170" s="960">
        <f t="shared" si="42"/>
        <v>0</v>
      </c>
      <c r="T170" s="960">
        <f t="shared" si="43"/>
        <v>0</v>
      </c>
      <c r="U170" s="960">
        <f t="shared" si="44"/>
        <v>0</v>
      </c>
      <c r="V170" s="960">
        <f t="shared" si="45"/>
        <v>0</v>
      </c>
      <c r="W170" s="960"/>
      <c r="X170" s="960"/>
      <c r="Y170" s="960"/>
      <c r="Z170" s="960"/>
      <c r="AA170" s="975">
        <f t="shared" si="46"/>
        <v>0</v>
      </c>
      <c r="AB170" s="975">
        <f>VLOOKUP(C170,'[8]MỦ TẠP'!$D$10:$AM$450,36,0)</f>
        <v>0</v>
      </c>
      <c r="AC170" s="975"/>
      <c r="AD170" s="975"/>
      <c r="AE170" s="975">
        <f>VLOOKUP(C170,'[8]MỦ TẠP'!$D$10:$AM$450,36,0)</f>
        <v>0</v>
      </c>
      <c r="AF170" s="975"/>
      <c r="AG170" s="975"/>
      <c r="AH170" s="975">
        <f t="shared" si="47"/>
        <v>0</v>
      </c>
      <c r="AI170" s="975">
        <f>VLOOKUP(C170,'[8]CHẤM CÔNG '!$F$10:$AM$451,33,0)</f>
        <v>0</v>
      </c>
      <c r="AJ170" s="975">
        <f>VLOOKUP(C170,'[8]CHẤM CÔNG '!$F$10:$AM$451,34,0)</f>
        <v>0</v>
      </c>
      <c r="AK170" s="975"/>
      <c r="AL170" s="975"/>
      <c r="AM170" s="975"/>
      <c r="AN170" s="975">
        <f>VLOOKUP(C170,'[8]CHẤM CÔNG '!$F$10:$AN$451,35,0)</f>
        <v>0</v>
      </c>
      <c r="AO170" s="975">
        <f>VLOOKUP(C170,'[8]CHẤM CÔNG '!$F$10:$AR$451,36,0)</f>
        <v>0</v>
      </c>
      <c r="AP170" s="975"/>
      <c r="AQ170" s="975"/>
      <c r="AR170" s="975"/>
      <c r="AS170" s="981"/>
      <c r="AT170" s="982">
        <f>VLOOKUP(C170,'[8]MỦ TẠP'!$D$10:$AO$450,38,0)</f>
        <v>0</v>
      </c>
      <c r="AX170" s="944">
        <v>1</v>
      </c>
      <c r="AZ170" s="944">
        <v>2</v>
      </c>
    </row>
    <row r="171" spans="1:52" ht="15.75">
      <c r="A171" s="957">
        <v>57</v>
      </c>
      <c r="B171" s="958" t="str">
        <f>VLOOKUP(C171,'[8]DS CN MOI UP'!$B$10:$C$489,2,0)</f>
        <v>02475</v>
      </c>
      <c r="C171" s="992" t="s">
        <v>39</v>
      </c>
      <c r="D171" s="957" t="s">
        <v>15</v>
      </c>
      <c r="E171" s="960"/>
      <c r="F171" s="960"/>
      <c r="G171" s="960"/>
      <c r="H171" s="960"/>
      <c r="I171" s="960"/>
      <c r="J171" s="960"/>
      <c r="K171" s="960"/>
      <c r="L171" s="960"/>
      <c r="M171" s="960"/>
      <c r="N171" s="960">
        <f t="shared" si="37"/>
        <v>0</v>
      </c>
      <c r="O171" s="960">
        <f t="shared" si="38"/>
        <v>0</v>
      </c>
      <c r="P171" s="960">
        <f t="shared" si="39"/>
        <v>0</v>
      </c>
      <c r="Q171" s="960">
        <f t="shared" si="40"/>
        <v>0</v>
      </c>
      <c r="R171" s="960">
        <f t="shared" si="41"/>
        <v>0</v>
      </c>
      <c r="S171" s="960">
        <f t="shared" si="42"/>
        <v>0</v>
      </c>
      <c r="T171" s="960">
        <f t="shared" si="43"/>
        <v>0</v>
      </c>
      <c r="U171" s="960">
        <f t="shared" si="44"/>
        <v>0</v>
      </c>
      <c r="V171" s="960">
        <f t="shared" si="45"/>
        <v>0</v>
      </c>
      <c r="W171" s="960"/>
      <c r="X171" s="960"/>
      <c r="Y171" s="960"/>
      <c r="Z171" s="960"/>
      <c r="AA171" s="975">
        <f t="shared" si="46"/>
        <v>0</v>
      </c>
      <c r="AB171" s="975">
        <f>VLOOKUP(C171,'[8]MỦ TẠP'!$D$10:$AM$450,36,0)</f>
        <v>0</v>
      </c>
      <c r="AC171" s="975"/>
      <c r="AD171" s="975"/>
      <c r="AE171" s="975">
        <f>VLOOKUP(C171,'[8]MỦ TẠP'!$D$10:$AM$450,36,0)</f>
        <v>0</v>
      </c>
      <c r="AF171" s="975"/>
      <c r="AG171" s="975"/>
      <c r="AH171" s="975">
        <f t="shared" si="47"/>
        <v>0</v>
      </c>
      <c r="AI171" s="975">
        <f>VLOOKUP(C171,'[8]CHẤM CÔNG '!$F$10:$AM$451,33,0)</f>
        <v>0</v>
      </c>
      <c r="AJ171" s="975">
        <f>VLOOKUP(C171,'[8]CHẤM CÔNG '!$F$10:$AM$451,34,0)</f>
        <v>0</v>
      </c>
      <c r="AK171" s="975"/>
      <c r="AL171" s="975"/>
      <c r="AM171" s="975"/>
      <c r="AN171" s="975">
        <f>VLOOKUP(C171,'[8]CHẤM CÔNG '!$F$10:$AN$451,35,0)</f>
        <v>0</v>
      </c>
      <c r="AO171" s="975">
        <f>VLOOKUP(C171,'[8]CHẤM CÔNG '!$F$10:$AR$451,36,0)</f>
        <v>0</v>
      </c>
      <c r="AP171" s="975"/>
      <c r="AQ171" s="975"/>
      <c r="AR171" s="975"/>
      <c r="AS171" s="981"/>
      <c r="AT171" s="982">
        <f>VLOOKUP(C171,'[8]MỦ TẠP'!$D$10:$AO$450,38,0)</f>
        <v>0</v>
      </c>
      <c r="AX171" s="944">
        <v>1</v>
      </c>
      <c r="AZ171" s="944">
        <v>2</v>
      </c>
    </row>
    <row r="172" spans="1:52" ht="15.75">
      <c r="A172" s="957">
        <v>58</v>
      </c>
      <c r="B172" s="958" t="str">
        <f>VLOOKUP(C172,'[8]DS CN MOI UP'!$B$10:$C$489,2,0)</f>
        <v>02496</v>
      </c>
      <c r="C172" s="992" t="s">
        <v>98</v>
      </c>
      <c r="D172" s="957" t="s">
        <v>15</v>
      </c>
      <c r="E172" s="960"/>
      <c r="F172" s="960"/>
      <c r="G172" s="960"/>
      <c r="H172" s="960"/>
      <c r="I172" s="960"/>
      <c r="J172" s="960"/>
      <c r="K172" s="960"/>
      <c r="L172" s="960"/>
      <c r="M172" s="960"/>
      <c r="N172" s="960">
        <f t="shared" si="37"/>
        <v>0</v>
      </c>
      <c r="O172" s="960">
        <f t="shared" si="38"/>
        <v>0</v>
      </c>
      <c r="P172" s="960">
        <f t="shared" si="39"/>
        <v>0</v>
      </c>
      <c r="Q172" s="960">
        <f t="shared" si="40"/>
        <v>0</v>
      </c>
      <c r="R172" s="960">
        <f t="shared" si="41"/>
        <v>0</v>
      </c>
      <c r="S172" s="960">
        <f t="shared" si="42"/>
        <v>0</v>
      </c>
      <c r="T172" s="960">
        <f t="shared" si="43"/>
        <v>0</v>
      </c>
      <c r="U172" s="960">
        <f t="shared" si="44"/>
        <v>0</v>
      </c>
      <c r="V172" s="960">
        <f t="shared" si="45"/>
        <v>0</v>
      </c>
      <c r="W172" s="960"/>
      <c r="X172" s="960"/>
      <c r="Y172" s="960"/>
      <c r="Z172" s="960"/>
      <c r="AA172" s="975">
        <f t="shared" si="46"/>
        <v>0</v>
      </c>
      <c r="AB172" s="975">
        <f>VLOOKUP(C172,'[8]MỦ TẠP'!$D$10:$AM$450,36,0)</f>
        <v>0</v>
      </c>
      <c r="AC172" s="975"/>
      <c r="AD172" s="975"/>
      <c r="AE172" s="975">
        <f>VLOOKUP(C172,'[8]MỦ TẠP'!$D$10:$AM$450,36,0)</f>
        <v>0</v>
      </c>
      <c r="AF172" s="975"/>
      <c r="AG172" s="975"/>
      <c r="AH172" s="975">
        <f t="shared" si="47"/>
        <v>0</v>
      </c>
      <c r="AI172" s="975">
        <f>VLOOKUP(C172,'[8]CHẤM CÔNG '!$F$10:$AM$451,33,0)</f>
        <v>0</v>
      </c>
      <c r="AJ172" s="975">
        <f>VLOOKUP(C172,'[8]CHẤM CÔNG '!$F$10:$AM$451,34,0)</f>
        <v>0</v>
      </c>
      <c r="AK172" s="975"/>
      <c r="AL172" s="975"/>
      <c r="AM172" s="975"/>
      <c r="AN172" s="975">
        <f>VLOOKUP(C172,'[8]CHẤM CÔNG '!$F$10:$AN$451,35,0)</f>
        <v>0</v>
      </c>
      <c r="AO172" s="975">
        <f>VLOOKUP(C172,'[8]CHẤM CÔNG '!$F$10:$AR$451,36,0)</f>
        <v>0</v>
      </c>
      <c r="AP172" s="975"/>
      <c r="AQ172" s="975"/>
      <c r="AR172" s="975"/>
      <c r="AS172" s="981"/>
      <c r="AT172" s="982">
        <f>VLOOKUP(C172,'[8]MỦ TẠP'!$D$10:$AO$450,38,0)</f>
        <v>0</v>
      </c>
      <c r="AX172" s="944">
        <v>1</v>
      </c>
      <c r="AZ172" s="944">
        <v>2</v>
      </c>
    </row>
    <row r="173" spans="1:52" ht="15.75">
      <c r="A173" s="957">
        <v>59</v>
      </c>
      <c r="B173" s="958" t="e">
        <f>VLOOKUP(C173,'[8]DS CN MOI UP'!$B$10:$C$489,2,0)</f>
        <v>#N/A</v>
      </c>
      <c r="C173" s="992" t="s">
        <v>2649</v>
      </c>
      <c r="D173" s="957" t="s">
        <v>15</v>
      </c>
      <c r="E173" s="960"/>
      <c r="F173" s="960"/>
      <c r="G173" s="960"/>
      <c r="H173" s="960"/>
      <c r="I173" s="960"/>
      <c r="J173" s="960"/>
      <c r="K173" s="960"/>
      <c r="L173" s="960"/>
      <c r="M173" s="960"/>
      <c r="N173" s="960">
        <f t="shared" si="37"/>
        <v>0</v>
      </c>
      <c r="O173" s="960">
        <f t="shared" si="38"/>
        <v>0</v>
      </c>
      <c r="P173" s="960">
        <f t="shared" si="39"/>
        <v>0</v>
      </c>
      <c r="Q173" s="960">
        <f t="shared" si="40"/>
        <v>0</v>
      </c>
      <c r="R173" s="960">
        <f t="shared" si="41"/>
        <v>0</v>
      </c>
      <c r="S173" s="960">
        <f t="shared" si="42"/>
        <v>0</v>
      </c>
      <c r="T173" s="960">
        <f t="shared" si="43"/>
        <v>0</v>
      </c>
      <c r="U173" s="960">
        <f t="shared" si="44"/>
        <v>0</v>
      </c>
      <c r="V173" s="960">
        <f t="shared" si="45"/>
        <v>0</v>
      </c>
      <c r="W173" s="960"/>
      <c r="X173" s="960"/>
      <c r="Y173" s="960"/>
      <c r="Z173" s="960"/>
      <c r="AA173" s="975">
        <f t="shared" si="46"/>
        <v>0</v>
      </c>
      <c r="AB173" s="975">
        <f>VLOOKUP(C173,'[8]MỦ TẠP'!$D$10:$AM$450,36,0)</f>
        <v>0</v>
      </c>
      <c r="AC173" s="975"/>
      <c r="AD173" s="975"/>
      <c r="AE173" s="975">
        <f>VLOOKUP(C173,'[8]MỦ TẠP'!$D$10:$AM$450,36,0)</f>
        <v>0</v>
      </c>
      <c r="AF173" s="975"/>
      <c r="AG173" s="975"/>
      <c r="AH173" s="975">
        <f t="shared" si="47"/>
        <v>0</v>
      </c>
      <c r="AI173" s="975">
        <f>VLOOKUP(C173,'[8]CHẤM CÔNG '!$F$10:$AM$451,33,0)</f>
        <v>0</v>
      </c>
      <c r="AJ173" s="975">
        <f>VLOOKUP(C173,'[8]CHẤM CÔNG '!$F$10:$AM$451,34,0)</f>
        <v>0</v>
      </c>
      <c r="AK173" s="975"/>
      <c r="AL173" s="975"/>
      <c r="AM173" s="975"/>
      <c r="AN173" s="975">
        <f>VLOOKUP(C173,'[8]CHẤM CÔNG '!$F$10:$AN$451,35,0)</f>
        <v>0</v>
      </c>
      <c r="AO173" s="975">
        <f>VLOOKUP(C173,'[8]CHẤM CÔNG '!$F$10:$AR$451,36,0)</f>
        <v>0</v>
      </c>
      <c r="AP173" s="975"/>
      <c r="AQ173" s="975"/>
      <c r="AR173" s="975"/>
      <c r="AS173" s="981"/>
      <c r="AT173" s="982">
        <f>VLOOKUP(C173,'[8]MỦ TẠP'!$D$10:$AO$450,38,0)</f>
        <v>0</v>
      </c>
      <c r="AX173" s="944">
        <v>1</v>
      </c>
      <c r="AZ173" s="944">
        <v>2</v>
      </c>
    </row>
    <row r="174" spans="1:52" ht="15.75">
      <c r="A174" s="957">
        <v>60</v>
      </c>
      <c r="B174" s="958" t="str">
        <f>VLOOKUP(C174,'[8]DS CN MOI UP'!$B$10:$C$489,2,0)</f>
        <v>03326</v>
      </c>
      <c r="C174" s="992" t="s">
        <v>29</v>
      </c>
      <c r="D174" s="957" t="s">
        <v>15</v>
      </c>
      <c r="E174" s="960"/>
      <c r="F174" s="960"/>
      <c r="G174" s="960"/>
      <c r="H174" s="960"/>
      <c r="I174" s="960"/>
      <c r="J174" s="960"/>
      <c r="K174" s="960"/>
      <c r="L174" s="960"/>
      <c r="M174" s="960"/>
      <c r="N174" s="960">
        <f t="shared" si="37"/>
        <v>0</v>
      </c>
      <c r="O174" s="960">
        <f t="shared" si="38"/>
        <v>0</v>
      </c>
      <c r="P174" s="960">
        <f t="shared" si="39"/>
        <v>0</v>
      </c>
      <c r="Q174" s="960">
        <f t="shared" si="40"/>
        <v>0</v>
      </c>
      <c r="R174" s="960">
        <f t="shared" si="41"/>
        <v>0</v>
      </c>
      <c r="S174" s="960">
        <f t="shared" si="42"/>
        <v>0</v>
      </c>
      <c r="T174" s="960">
        <f t="shared" si="43"/>
        <v>0</v>
      </c>
      <c r="U174" s="960">
        <f t="shared" si="44"/>
        <v>0</v>
      </c>
      <c r="V174" s="960">
        <f t="shared" si="45"/>
        <v>0</v>
      </c>
      <c r="W174" s="960"/>
      <c r="X174" s="960"/>
      <c r="Y174" s="960"/>
      <c r="Z174" s="960"/>
      <c r="AA174" s="975">
        <f t="shared" si="46"/>
        <v>0</v>
      </c>
      <c r="AB174" s="975">
        <f>VLOOKUP(C174,'[8]MỦ TẠP'!$D$10:$AM$450,36,0)</f>
        <v>0</v>
      </c>
      <c r="AC174" s="975"/>
      <c r="AD174" s="975"/>
      <c r="AE174" s="975">
        <f>VLOOKUP(C174,'[8]MỦ TẠP'!$D$10:$AM$450,36,0)</f>
        <v>0</v>
      </c>
      <c r="AF174" s="975"/>
      <c r="AG174" s="975"/>
      <c r="AH174" s="975">
        <f t="shared" si="47"/>
        <v>0</v>
      </c>
      <c r="AI174" s="975">
        <f>VLOOKUP(C174,'[8]CHẤM CÔNG '!$F$10:$AM$451,33,0)</f>
        <v>0</v>
      </c>
      <c r="AJ174" s="975">
        <f>VLOOKUP(C174,'[8]CHẤM CÔNG '!$F$10:$AM$451,34,0)</f>
        <v>0</v>
      </c>
      <c r="AK174" s="975"/>
      <c r="AL174" s="975"/>
      <c r="AM174" s="975"/>
      <c r="AN174" s="975">
        <f>VLOOKUP(C174,'[8]CHẤM CÔNG '!$F$10:$AN$451,35,0)</f>
        <v>0</v>
      </c>
      <c r="AO174" s="975">
        <f>VLOOKUP(C174,'[8]CHẤM CÔNG '!$F$10:$AR$451,36,0)</f>
        <v>0</v>
      </c>
      <c r="AP174" s="975"/>
      <c r="AQ174" s="975"/>
      <c r="AR174" s="975"/>
      <c r="AS174" s="981"/>
      <c r="AT174" s="982">
        <f>VLOOKUP(C174,'[8]MỦ TẠP'!$D$10:$AO$450,38,0)</f>
        <v>0</v>
      </c>
      <c r="AX174" s="944">
        <v>1</v>
      </c>
      <c r="AZ174" s="944">
        <v>2</v>
      </c>
    </row>
    <row r="175" spans="1:52" ht="15.75">
      <c r="A175" s="957">
        <v>61</v>
      </c>
      <c r="B175" s="958"/>
      <c r="C175" s="992" t="s">
        <v>2064</v>
      </c>
      <c r="D175" s="957" t="s">
        <v>15</v>
      </c>
      <c r="E175" s="960"/>
      <c r="F175" s="960"/>
      <c r="G175" s="960"/>
      <c r="H175" s="960"/>
      <c r="I175" s="960"/>
      <c r="J175" s="960"/>
      <c r="K175" s="960"/>
      <c r="L175" s="960"/>
      <c r="M175" s="960"/>
      <c r="N175" s="960">
        <f t="shared" si="37"/>
        <v>0</v>
      </c>
      <c r="O175" s="960">
        <f t="shared" si="38"/>
        <v>0</v>
      </c>
      <c r="P175" s="960">
        <f t="shared" si="39"/>
        <v>0</v>
      </c>
      <c r="Q175" s="960">
        <f t="shared" si="40"/>
        <v>0</v>
      </c>
      <c r="R175" s="960">
        <f t="shared" si="41"/>
        <v>0</v>
      </c>
      <c r="S175" s="960">
        <f t="shared" si="42"/>
        <v>0</v>
      </c>
      <c r="T175" s="960">
        <f t="shared" si="43"/>
        <v>0</v>
      </c>
      <c r="U175" s="960">
        <f t="shared" si="44"/>
        <v>0</v>
      </c>
      <c r="V175" s="960">
        <f t="shared" si="45"/>
        <v>0</v>
      </c>
      <c r="W175" s="960"/>
      <c r="X175" s="960"/>
      <c r="Y175" s="960"/>
      <c r="Z175" s="960"/>
      <c r="AA175" s="975">
        <f t="shared" si="46"/>
        <v>0</v>
      </c>
      <c r="AB175" s="975"/>
      <c r="AC175" s="975"/>
      <c r="AD175" s="975"/>
      <c r="AE175" s="975"/>
      <c r="AF175" s="975"/>
      <c r="AG175" s="975"/>
      <c r="AH175" s="975"/>
      <c r="AI175" s="975"/>
      <c r="AJ175" s="975"/>
      <c r="AK175" s="975"/>
      <c r="AL175" s="975"/>
      <c r="AM175" s="975"/>
      <c r="AN175" s="975"/>
      <c r="AO175" s="975"/>
      <c r="AP175" s="975"/>
      <c r="AQ175" s="975"/>
      <c r="AR175" s="975"/>
      <c r="AS175" s="981"/>
      <c r="AT175" s="982"/>
    </row>
    <row r="176" spans="1:52" ht="15.75">
      <c r="A176" s="957">
        <v>62</v>
      </c>
      <c r="B176" s="958"/>
      <c r="C176" s="992" t="s">
        <v>100</v>
      </c>
      <c r="D176" s="957" t="s">
        <v>15</v>
      </c>
      <c r="E176" s="960"/>
      <c r="F176" s="960"/>
      <c r="G176" s="960"/>
      <c r="H176" s="960"/>
      <c r="I176" s="960"/>
      <c r="J176" s="960"/>
      <c r="K176" s="960"/>
      <c r="L176" s="960"/>
      <c r="M176" s="960"/>
      <c r="N176" s="960">
        <f t="shared" si="37"/>
        <v>0</v>
      </c>
      <c r="O176" s="960">
        <f t="shared" si="38"/>
        <v>0</v>
      </c>
      <c r="P176" s="960">
        <f t="shared" si="39"/>
        <v>0</v>
      </c>
      <c r="Q176" s="960">
        <f t="shared" si="40"/>
        <v>0</v>
      </c>
      <c r="R176" s="960">
        <f t="shared" si="41"/>
        <v>0</v>
      </c>
      <c r="S176" s="960">
        <f t="shared" si="42"/>
        <v>0</v>
      </c>
      <c r="T176" s="960">
        <f t="shared" si="43"/>
        <v>0</v>
      </c>
      <c r="U176" s="960">
        <f t="shared" si="44"/>
        <v>0</v>
      </c>
      <c r="V176" s="960">
        <f t="shared" si="45"/>
        <v>0</v>
      </c>
      <c r="W176" s="960"/>
      <c r="X176" s="960"/>
      <c r="Y176" s="960"/>
      <c r="Z176" s="960"/>
      <c r="AA176" s="975">
        <f t="shared" si="46"/>
        <v>0</v>
      </c>
      <c r="AB176" s="975"/>
      <c r="AC176" s="975"/>
      <c r="AD176" s="975"/>
      <c r="AE176" s="975"/>
      <c r="AF176" s="975"/>
      <c r="AG176" s="975"/>
      <c r="AH176" s="975"/>
      <c r="AI176" s="975"/>
      <c r="AJ176" s="975"/>
      <c r="AK176" s="975"/>
      <c r="AL176" s="975"/>
      <c r="AM176" s="975"/>
      <c r="AN176" s="975"/>
      <c r="AO176" s="975"/>
      <c r="AP176" s="975"/>
      <c r="AQ176" s="975"/>
      <c r="AR176" s="975"/>
      <c r="AS176" s="981"/>
      <c r="AT176" s="982"/>
    </row>
    <row r="177" spans="1:46" ht="15.75">
      <c r="A177" s="957">
        <v>63</v>
      </c>
      <c r="B177" s="958"/>
      <c r="C177" s="992" t="s">
        <v>92</v>
      </c>
      <c r="D177" s="957" t="s">
        <v>15</v>
      </c>
      <c r="E177" s="960"/>
      <c r="F177" s="960"/>
      <c r="G177" s="960"/>
      <c r="H177" s="960"/>
      <c r="I177" s="960"/>
      <c r="J177" s="960"/>
      <c r="K177" s="960"/>
      <c r="L177" s="960"/>
      <c r="M177" s="960"/>
      <c r="N177" s="960">
        <f t="shared" si="37"/>
        <v>0</v>
      </c>
      <c r="O177" s="960">
        <f t="shared" si="38"/>
        <v>0</v>
      </c>
      <c r="P177" s="960">
        <f t="shared" si="39"/>
        <v>0</v>
      </c>
      <c r="Q177" s="960">
        <f t="shared" si="40"/>
        <v>0</v>
      </c>
      <c r="R177" s="960">
        <f t="shared" si="41"/>
        <v>0</v>
      </c>
      <c r="S177" s="960">
        <f t="shared" si="42"/>
        <v>0</v>
      </c>
      <c r="T177" s="960">
        <f t="shared" si="43"/>
        <v>0</v>
      </c>
      <c r="U177" s="960">
        <f t="shared" si="44"/>
        <v>0</v>
      </c>
      <c r="V177" s="960">
        <f t="shared" si="45"/>
        <v>0</v>
      </c>
      <c r="W177" s="960"/>
      <c r="X177" s="960"/>
      <c r="Y177" s="960"/>
      <c r="Z177" s="960"/>
      <c r="AA177" s="975">
        <f t="shared" si="46"/>
        <v>0</v>
      </c>
      <c r="AB177" s="975"/>
      <c r="AC177" s="975"/>
      <c r="AD177" s="975"/>
      <c r="AE177" s="975"/>
      <c r="AF177" s="975"/>
      <c r="AG177" s="975"/>
      <c r="AH177" s="975"/>
      <c r="AI177" s="975"/>
      <c r="AJ177" s="975"/>
      <c r="AK177" s="975"/>
      <c r="AL177" s="975"/>
      <c r="AM177" s="975"/>
      <c r="AN177" s="975"/>
      <c r="AO177" s="975"/>
      <c r="AP177" s="975"/>
      <c r="AQ177" s="975"/>
      <c r="AR177" s="975"/>
      <c r="AS177" s="981"/>
      <c r="AT177" s="982"/>
    </row>
    <row r="178" spans="1:46" ht="15.75">
      <c r="A178" s="957">
        <v>64</v>
      </c>
      <c r="B178" s="958"/>
      <c r="C178" s="992" t="s">
        <v>165</v>
      </c>
      <c r="D178" s="957" t="s">
        <v>15</v>
      </c>
      <c r="E178" s="960"/>
      <c r="F178" s="960"/>
      <c r="G178" s="960"/>
      <c r="H178" s="960"/>
      <c r="I178" s="960"/>
      <c r="J178" s="960"/>
      <c r="K178" s="960"/>
      <c r="L178" s="960"/>
      <c r="M178" s="960"/>
      <c r="N178" s="960">
        <f t="shared" si="37"/>
        <v>0</v>
      </c>
      <c r="O178" s="960">
        <f t="shared" si="38"/>
        <v>0</v>
      </c>
      <c r="P178" s="960">
        <f t="shared" si="39"/>
        <v>0</v>
      </c>
      <c r="Q178" s="960">
        <f t="shared" si="40"/>
        <v>0</v>
      </c>
      <c r="R178" s="960">
        <f t="shared" si="41"/>
        <v>0</v>
      </c>
      <c r="S178" s="960">
        <f t="shared" si="42"/>
        <v>0</v>
      </c>
      <c r="T178" s="960">
        <f t="shared" si="43"/>
        <v>0</v>
      </c>
      <c r="U178" s="960">
        <f t="shared" si="44"/>
        <v>0</v>
      </c>
      <c r="V178" s="960">
        <f t="shared" si="45"/>
        <v>0</v>
      </c>
      <c r="W178" s="960"/>
      <c r="X178" s="960"/>
      <c r="Y178" s="960"/>
      <c r="Z178" s="960"/>
      <c r="AA178" s="975">
        <f t="shared" si="46"/>
        <v>0</v>
      </c>
      <c r="AB178" s="975"/>
      <c r="AC178" s="975"/>
      <c r="AD178" s="975"/>
      <c r="AE178" s="975"/>
      <c r="AF178" s="975"/>
      <c r="AG178" s="975"/>
      <c r="AH178" s="975"/>
      <c r="AI178" s="975"/>
      <c r="AJ178" s="975"/>
      <c r="AK178" s="975"/>
      <c r="AL178" s="975"/>
      <c r="AM178" s="975"/>
      <c r="AN178" s="975"/>
      <c r="AO178" s="975"/>
      <c r="AP178" s="975"/>
      <c r="AQ178" s="975"/>
      <c r="AR178" s="975"/>
      <c r="AS178" s="981"/>
      <c r="AT178" s="982"/>
    </row>
    <row r="179" spans="1:46" ht="15.75">
      <c r="A179" s="957">
        <v>65</v>
      </c>
      <c r="B179" s="958"/>
      <c r="C179" s="992" t="s">
        <v>75</v>
      </c>
      <c r="D179" s="957" t="s">
        <v>15</v>
      </c>
      <c r="E179" s="960"/>
      <c r="F179" s="960"/>
      <c r="G179" s="960"/>
      <c r="H179" s="960"/>
      <c r="I179" s="960"/>
      <c r="J179" s="960"/>
      <c r="K179" s="960"/>
      <c r="L179" s="960"/>
      <c r="M179" s="960"/>
      <c r="N179" s="960">
        <f t="shared" ref="N179:N195" si="48">E179/$N$8</f>
        <v>0</v>
      </c>
      <c r="O179" s="960">
        <f t="shared" ref="O179:O195" si="49">F179/$O$8</f>
        <v>0</v>
      </c>
      <c r="P179" s="960">
        <f t="shared" ref="P179:P195" si="50">G179/$P$8</f>
        <v>0</v>
      </c>
      <c r="Q179" s="960">
        <f t="shared" ref="Q179:Q195" si="51">H179/$Q$8</f>
        <v>0</v>
      </c>
      <c r="R179" s="960">
        <f t="shared" ref="R179:R195" si="52">I179/$R$8</f>
        <v>0</v>
      </c>
      <c r="S179" s="960">
        <f t="shared" ref="S179:S195" si="53">J179/$S$8</f>
        <v>0</v>
      </c>
      <c r="T179" s="960">
        <f t="shared" ref="T179:T195" si="54">K179/$T$8</f>
        <v>0</v>
      </c>
      <c r="U179" s="960">
        <f t="shared" ref="U179:U195" si="55">L179/$U$8</f>
        <v>0</v>
      </c>
      <c r="V179" s="960">
        <f t="shared" ref="V179:V195" si="56">M179/$V$8</f>
        <v>0</v>
      </c>
      <c r="W179" s="960"/>
      <c r="X179" s="960"/>
      <c r="Y179" s="960"/>
      <c r="Z179" s="960"/>
      <c r="AA179" s="975">
        <f t="shared" ref="AA179:AA195" si="57">SUM(N179:Z179)</f>
        <v>0</v>
      </c>
      <c r="AB179" s="975"/>
      <c r="AC179" s="975"/>
      <c r="AD179" s="975"/>
      <c r="AE179" s="975"/>
      <c r="AF179" s="975"/>
      <c r="AG179" s="975"/>
      <c r="AH179" s="975"/>
      <c r="AI179" s="975"/>
      <c r="AJ179" s="975"/>
      <c r="AK179" s="975"/>
      <c r="AL179" s="975"/>
      <c r="AM179" s="975"/>
      <c r="AN179" s="975"/>
      <c r="AO179" s="975"/>
      <c r="AP179" s="975"/>
      <c r="AQ179" s="975"/>
      <c r="AR179" s="975"/>
      <c r="AS179" s="981"/>
      <c r="AT179" s="982"/>
    </row>
    <row r="180" spans="1:46" ht="15.75">
      <c r="A180" s="957">
        <v>66</v>
      </c>
      <c r="B180" s="958"/>
      <c r="C180" s="992" t="s">
        <v>1276</v>
      </c>
      <c r="D180" s="957" t="s">
        <v>15</v>
      </c>
      <c r="E180" s="960"/>
      <c r="F180" s="960"/>
      <c r="G180" s="960"/>
      <c r="H180" s="960"/>
      <c r="I180" s="960"/>
      <c r="J180" s="960"/>
      <c r="K180" s="960"/>
      <c r="L180" s="960"/>
      <c r="M180" s="960"/>
      <c r="N180" s="960">
        <f t="shared" si="48"/>
        <v>0</v>
      </c>
      <c r="O180" s="960">
        <f t="shared" si="49"/>
        <v>0</v>
      </c>
      <c r="P180" s="960">
        <f t="shared" si="50"/>
        <v>0</v>
      </c>
      <c r="Q180" s="960">
        <f t="shared" si="51"/>
        <v>0</v>
      </c>
      <c r="R180" s="960">
        <f t="shared" si="52"/>
        <v>0</v>
      </c>
      <c r="S180" s="960">
        <f t="shared" si="53"/>
        <v>0</v>
      </c>
      <c r="T180" s="960">
        <f t="shared" si="54"/>
        <v>0</v>
      </c>
      <c r="U180" s="960">
        <f t="shared" si="55"/>
        <v>0</v>
      </c>
      <c r="V180" s="960">
        <f t="shared" si="56"/>
        <v>0</v>
      </c>
      <c r="W180" s="960"/>
      <c r="X180" s="960"/>
      <c r="Y180" s="960"/>
      <c r="Z180" s="960"/>
      <c r="AA180" s="975">
        <f t="shared" si="57"/>
        <v>0</v>
      </c>
      <c r="AB180" s="975"/>
      <c r="AC180" s="975"/>
      <c r="AD180" s="975"/>
      <c r="AE180" s="975"/>
      <c r="AF180" s="975"/>
      <c r="AG180" s="975"/>
      <c r="AH180" s="975"/>
      <c r="AI180" s="975"/>
      <c r="AJ180" s="975"/>
      <c r="AK180" s="975"/>
      <c r="AL180" s="975"/>
      <c r="AM180" s="975"/>
      <c r="AN180" s="975"/>
      <c r="AO180" s="975"/>
      <c r="AP180" s="975"/>
      <c r="AQ180" s="975"/>
      <c r="AR180" s="975"/>
      <c r="AS180" s="981"/>
      <c r="AT180" s="982"/>
    </row>
    <row r="181" spans="1:46" ht="15.75">
      <c r="A181" s="957">
        <v>67</v>
      </c>
      <c r="B181" s="958"/>
      <c r="C181" s="992" t="s">
        <v>56</v>
      </c>
      <c r="D181" s="957" t="s">
        <v>15</v>
      </c>
      <c r="E181" s="960"/>
      <c r="F181" s="960"/>
      <c r="G181" s="960"/>
      <c r="H181" s="960"/>
      <c r="I181" s="960"/>
      <c r="J181" s="960"/>
      <c r="K181" s="960"/>
      <c r="L181" s="960"/>
      <c r="M181" s="960"/>
      <c r="N181" s="960">
        <f t="shared" si="48"/>
        <v>0</v>
      </c>
      <c r="O181" s="960">
        <f t="shared" si="49"/>
        <v>0</v>
      </c>
      <c r="P181" s="960">
        <f t="shared" si="50"/>
        <v>0</v>
      </c>
      <c r="Q181" s="960">
        <f t="shared" si="51"/>
        <v>0</v>
      </c>
      <c r="R181" s="960">
        <f t="shared" si="52"/>
        <v>0</v>
      </c>
      <c r="S181" s="960">
        <f t="shared" si="53"/>
        <v>0</v>
      </c>
      <c r="T181" s="960">
        <f t="shared" si="54"/>
        <v>0</v>
      </c>
      <c r="U181" s="960">
        <f t="shared" si="55"/>
        <v>0</v>
      </c>
      <c r="V181" s="960">
        <f t="shared" si="56"/>
        <v>0</v>
      </c>
      <c r="W181" s="960"/>
      <c r="X181" s="960"/>
      <c r="Y181" s="960"/>
      <c r="Z181" s="960"/>
      <c r="AA181" s="975">
        <f t="shared" si="57"/>
        <v>0</v>
      </c>
      <c r="AB181" s="975"/>
      <c r="AC181" s="975"/>
      <c r="AD181" s="975"/>
      <c r="AE181" s="975"/>
      <c r="AF181" s="975"/>
      <c r="AG181" s="975"/>
      <c r="AH181" s="975"/>
      <c r="AI181" s="975"/>
      <c r="AJ181" s="975"/>
      <c r="AK181" s="975"/>
      <c r="AL181" s="975"/>
      <c r="AM181" s="975"/>
      <c r="AN181" s="975"/>
      <c r="AO181" s="975"/>
      <c r="AP181" s="975"/>
      <c r="AQ181" s="975"/>
      <c r="AR181" s="975"/>
      <c r="AS181" s="981"/>
      <c r="AT181" s="982"/>
    </row>
    <row r="182" spans="1:46" ht="15.75">
      <c r="A182" s="957">
        <v>68</v>
      </c>
      <c r="B182" s="958"/>
      <c r="C182" s="992" t="s">
        <v>78</v>
      </c>
      <c r="D182" s="957" t="s">
        <v>15</v>
      </c>
      <c r="E182" s="960"/>
      <c r="F182" s="960"/>
      <c r="G182" s="960"/>
      <c r="H182" s="960"/>
      <c r="I182" s="960"/>
      <c r="J182" s="960"/>
      <c r="K182" s="960"/>
      <c r="L182" s="960"/>
      <c r="M182" s="960"/>
      <c r="N182" s="960">
        <f t="shared" si="48"/>
        <v>0</v>
      </c>
      <c r="O182" s="960">
        <f t="shared" si="49"/>
        <v>0</v>
      </c>
      <c r="P182" s="960">
        <f t="shared" si="50"/>
        <v>0</v>
      </c>
      <c r="Q182" s="960">
        <f t="shared" si="51"/>
        <v>0</v>
      </c>
      <c r="R182" s="960">
        <f t="shared" si="52"/>
        <v>0</v>
      </c>
      <c r="S182" s="960">
        <f t="shared" si="53"/>
        <v>0</v>
      </c>
      <c r="T182" s="960">
        <f t="shared" si="54"/>
        <v>0</v>
      </c>
      <c r="U182" s="960">
        <f t="shared" si="55"/>
        <v>0</v>
      </c>
      <c r="V182" s="960">
        <f t="shared" si="56"/>
        <v>0</v>
      </c>
      <c r="W182" s="960"/>
      <c r="X182" s="960"/>
      <c r="Y182" s="960"/>
      <c r="Z182" s="960"/>
      <c r="AA182" s="975">
        <f t="shared" si="57"/>
        <v>0</v>
      </c>
      <c r="AB182" s="975"/>
      <c r="AC182" s="975"/>
      <c r="AD182" s="975"/>
      <c r="AE182" s="975"/>
      <c r="AF182" s="975"/>
      <c r="AG182" s="975"/>
      <c r="AH182" s="975"/>
      <c r="AI182" s="975"/>
      <c r="AJ182" s="975"/>
      <c r="AK182" s="975"/>
      <c r="AL182" s="975"/>
      <c r="AM182" s="975"/>
      <c r="AN182" s="975"/>
      <c r="AO182" s="975"/>
      <c r="AP182" s="975"/>
      <c r="AQ182" s="975"/>
      <c r="AR182" s="975"/>
      <c r="AS182" s="981"/>
      <c r="AT182" s="982"/>
    </row>
    <row r="183" spans="1:46" ht="15.75">
      <c r="A183" s="957">
        <v>69</v>
      </c>
      <c r="B183" s="958"/>
      <c r="C183" s="992" t="s">
        <v>2651</v>
      </c>
      <c r="D183" s="957" t="s">
        <v>15</v>
      </c>
      <c r="E183" s="960"/>
      <c r="F183" s="960"/>
      <c r="G183" s="960"/>
      <c r="H183" s="960"/>
      <c r="I183" s="960"/>
      <c r="J183" s="960"/>
      <c r="K183" s="960"/>
      <c r="L183" s="960"/>
      <c r="M183" s="960"/>
      <c r="N183" s="960">
        <f t="shared" si="48"/>
        <v>0</v>
      </c>
      <c r="O183" s="960">
        <f t="shared" si="49"/>
        <v>0</v>
      </c>
      <c r="P183" s="960">
        <f t="shared" si="50"/>
        <v>0</v>
      </c>
      <c r="Q183" s="960">
        <f t="shared" si="51"/>
        <v>0</v>
      </c>
      <c r="R183" s="960">
        <f t="shared" si="52"/>
        <v>0</v>
      </c>
      <c r="S183" s="960">
        <f t="shared" si="53"/>
        <v>0</v>
      </c>
      <c r="T183" s="960">
        <f t="shared" si="54"/>
        <v>0</v>
      </c>
      <c r="U183" s="960">
        <f t="shared" si="55"/>
        <v>0</v>
      </c>
      <c r="V183" s="960">
        <f t="shared" si="56"/>
        <v>0</v>
      </c>
      <c r="W183" s="960"/>
      <c r="X183" s="960"/>
      <c r="Y183" s="960"/>
      <c r="Z183" s="960"/>
      <c r="AA183" s="975">
        <f t="shared" si="57"/>
        <v>0</v>
      </c>
      <c r="AB183" s="975"/>
      <c r="AC183" s="975"/>
      <c r="AD183" s="975"/>
      <c r="AE183" s="975"/>
      <c r="AF183" s="975"/>
      <c r="AG183" s="975"/>
      <c r="AH183" s="975"/>
      <c r="AI183" s="975"/>
      <c r="AJ183" s="975"/>
      <c r="AK183" s="975"/>
      <c r="AL183" s="975"/>
      <c r="AM183" s="975"/>
      <c r="AN183" s="975"/>
      <c r="AO183" s="975"/>
      <c r="AP183" s="975"/>
      <c r="AQ183" s="975"/>
      <c r="AR183" s="975"/>
      <c r="AS183" s="981"/>
      <c r="AT183" s="982"/>
    </row>
    <row r="184" spans="1:46" ht="15.75">
      <c r="A184" s="957">
        <v>70</v>
      </c>
      <c r="B184" s="958"/>
      <c r="C184" s="992" t="s">
        <v>492</v>
      </c>
      <c r="D184" s="957" t="s">
        <v>15</v>
      </c>
      <c r="E184" s="960"/>
      <c r="F184" s="960"/>
      <c r="G184" s="960"/>
      <c r="H184" s="960"/>
      <c r="I184" s="960"/>
      <c r="J184" s="960"/>
      <c r="K184" s="960"/>
      <c r="L184" s="960"/>
      <c r="M184" s="960"/>
      <c r="N184" s="960">
        <f t="shared" si="48"/>
        <v>0</v>
      </c>
      <c r="O184" s="960">
        <f t="shared" si="49"/>
        <v>0</v>
      </c>
      <c r="P184" s="960">
        <f t="shared" si="50"/>
        <v>0</v>
      </c>
      <c r="Q184" s="960">
        <f t="shared" si="51"/>
        <v>0</v>
      </c>
      <c r="R184" s="960">
        <f t="shared" si="52"/>
        <v>0</v>
      </c>
      <c r="S184" s="960">
        <f t="shared" si="53"/>
        <v>0</v>
      </c>
      <c r="T184" s="960">
        <f t="shared" si="54"/>
        <v>0</v>
      </c>
      <c r="U184" s="960">
        <f t="shared" si="55"/>
        <v>0</v>
      </c>
      <c r="V184" s="960">
        <f t="shared" si="56"/>
        <v>0</v>
      </c>
      <c r="W184" s="960"/>
      <c r="X184" s="960"/>
      <c r="Y184" s="960"/>
      <c r="Z184" s="960"/>
      <c r="AA184" s="975">
        <f t="shared" si="57"/>
        <v>0</v>
      </c>
      <c r="AB184" s="975"/>
      <c r="AC184" s="975"/>
      <c r="AD184" s="975"/>
      <c r="AE184" s="975"/>
      <c r="AF184" s="975"/>
      <c r="AG184" s="975"/>
      <c r="AH184" s="975"/>
      <c r="AI184" s="975"/>
      <c r="AJ184" s="975"/>
      <c r="AK184" s="975"/>
      <c r="AL184" s="975"/>
      <c r="AM184" s="975"/>
      <c r="AN184" s="975"/>
      <c r="AO184" s="975"/>
      <c r="AP184" s="975"/>
      <c r="AQ184" s="975"/>
      <c r="AR184" s="975"/>
      <c r="AS184" s="981"/>
      <c r="AT184" s="982"/>
    </row>
    <row r="185" spans="1:46" ht="15.75">
      <c r="A185" s="957">
        <v>71</v>
      </c>
      <c r="B185" s="958"/>
      <c r="C185" s="992" t="s">
        <v>493</v>
      </c>
      <c r="D185" s="957" t="s">
        <v>15</v>
      </c>
      <c r="E185" s="960"/>
      <c r="F185" s="960"/>
      <c r="G185" s="960"/>
      <c r="H185" s="960"/>
      <c r="I185" s="960"/>
      <c r="J185" s="960"/>
      <c r="K185" s="960"/>
      <c r="L185" s="960"/>
      <c r="M185" s="960"/>
      <c r="N185" s="960">
        <f t="shared" si="48"/>
        <v>0</v>
      </c>
      <c r="O185" s="960">
        <f t="shared" si="49"/>
        <v>0</v>
      </c>
      <c r="P185" s="960">
        <f t="shared" si="50"/>
        <v>0</v>
      </c>
      <c r="Q185" s="960">
        <f t="shared" si="51"/>
        <v>0</v>
      </c>
      <c r="R185" s="960">
        <f t="shared" si="52"/>
        <v>0</v>
      </c>
      <c r="S185" s="960">
        <f t="shared" si="53"/>
        <v>0</v>
      </c>
      <c r="T185" s="960">
        <f t="shared" si="54"/>
        <v>0</v>
      </c>
      <c r="U185" s="960">
        <f t="shared" si="55"/>
        <v>0</v>
      </c>
      <c r="V185" s="960">
        <f t="shared" si="56"/>
        <v>0</v>
      </c>
      <c r="W185" s="960"/>
      <c r="X185" s="960"/>
      <c r="Y185" s="960"/>
      <c r="Z185" s="960"/>
      <c r="AA185" s="975">
        <f t="shared" si="57"/>
        <v>0</v>
      </c>
      <c r="AB185" s="975"/>
      <c r="AC185" s="975"/>
      <c r="AD185" s="975"/>
      <c r="AE185" s="975"/>
      <c r="AF185" s="975"/>
      <c r="AG185" s="975"/>
      <c r="AH185" s="975"/>
      <c r="AI185" s="975"/>
      <c r="AJ185" s="975"/>
      <c r="AK185" s="975"/>
      <c r="AL185" s="975"/>
      <c r="AM185" s="975"/>
      <c r="AN185" s="975"/>
      <c r="AO185" s="975"/>
      <c r="AP185" s="975"/>
      <c r="AQ185" s="975"/>
      <c r="AR185" s="975"/>
      <c r="AS185" s="981"/>
      <c r="AT185" s="982"/>
    </row>
    <row r="186" spans="1:46" ht="15.75">
      <c r="A186" s="957">
        <v>72</v>
      </c>
      <c r="B186" s="958"/>
      <c r="C186" s="992" t="s">
        <v>89</v>
      </c>
      <c r="D186" s="957" t="s">
        <v>15</v>
      </c>
      <c r="E186" s="960"/>
      <c r="F186" s="960"/>
      <c r="G186" s="960"/>
      <c r="H186" s="960"/>
      <c r="I186" s="960"/>
      <c r="J186" s="960"/>
      <c r="K186" s="960"/>
      <c r="L186" s="960"/>
      <c r="M186" s="960"/>
      <c r="N186" s="960">
        <f t="shared" si="48"/>
        <v>0</v>
      </c>
      <c r="O186" s="960">
        <f t="shared" si="49"/>
        <v>0</v>
      </c>
      <c r="P186" s="960">
        <f t="shared" si="50"/>
        <v>0</v>
      </c>
      <c r="Q186" s="960">
        <f t="shared" si="51"/>
        <v>0</v>
      </c>
      <c r="R186" s="960">
        <f t="shared" si="52"/>
        <v>0</v>
      </c>
      <c r="S186" s="960">
        <f t="shared" si="53"/>
        <v>0</v>
      </c>
      <c r="T186" s="960">
        <f t="shared" si="54"/>
        <v>0</v>
      </c>
      <c r="U186" s="960">
        <f t="shared" si="55"/>
        <v>0</v>
      </c>
      <c r="V186" s="960">
        <f t="shared" si="56"/>
        <v>0</v>
      </c>
      <c r="W186" s="960"/>
      <c r="X186" s="960"/>
      <c r="Y186" s="960"/>
      <c r="Z186" s="960"/>
      <c r="AA186" s="975">
        <f t="shared" si="57"/>
        <v>0</v>
      </c>
      <c r="AB186" s="975"/>
      <c r="AC186" s="975"/>
      <c r="AD186" s="975"/>
      <c r="AE186" s="975"/>
      <c r="AF186" s="975"/>
      <c r="AG186" s="975"/>
      <c r="AH186" s="975"/>
      <c r="AI186" s="975"/>
      <c r="AJ186" s="975"/>
      <c r="AK186" s="975"/>
      <c r="AL186" s="975"/>
      <c r="AM186" s="975"/>
      <c r="AN186" s="975"/>
      <c r="AO186" s="975"/>
      <c r="AP186" s="975"/>
      <c r="AQ186" s="975"/>
      <c r="AR186" s="975"/>
      <c r="AS186" s="981"/>
      <c r="AT186" s="982"/>
    </row>
    <row r="187" spans="1:46" ht="15.75">
      <c r="A187" s="957">
        <v>73</v>
      </c>
      <c r="B187" s="958"/>
      <c r="C187" s="992" t="s">
        <v>90</v>
      </c>
      <c r="D187" s="957" t="s">
        <v>15</v>
      </c>
      <c r="E187" s="960"/>
      <c r="F187" s="960"/>
      <c r="G187" s="960"/>
      <c r="H187" s="960"/>
      <c r="I187" s="960"/>
      <c r="J187" s="960"/>
      <c r="K187" s="960"/>
      <c r="L187" s="960"/>
      <c r="M187" s="960"/>
      <c r="N187" s="960">
        <f t="shared" si="48"/>
        <v>0</v>
      </c>
      <c r="O187" s="960">
        <f t="shared" si="49"/>
        <v>0</v>
      </c>
      <c r="P187" s="960">
        <f t="shared" si="50"/>
        <v>0</v>
      </c>
      <c r="Q187" s="960">
        <f t="shared" si="51"/>
        <v>0</v>
      </c>
      <c r="R187" s="960">
        <f t="shared" si="52"/>
        <v>0</v>
      </c>
      <c r="S187" s="960">
        <f t="shared" si="53"/>
        <v>0</v>
      </c>
      <c r="T187" s="960">
        <f t="shared" si="54"/>
        <v>0</v>
      </c>
      <c r="U187" s="960">
        <f t="shared" si="55"/>
        <v>0</v>
      </c>
      <c r="V187" s="960">
        <f t="shared" si="56"/>
        <v>0</v>
      </c>
      <c r="W187" s="960"/>
      <c r="X187" s="960"/>
      <c r="Y187" s="960"/>
      <c r="Z187" s="960"/>
      <c r="AA187" s="975">
        <f t="shared" si="57"/>
        <v>0</v>
      </c>
      <c r="AB187" s="975"/>
      <c r="AC187" s="975"/>
      <c r="AD187" s="975"/>
      <c r="AE187" s="975"/>
      <c r="AF187" s="975"/>
      <c r="AG187" s="975"/>
      <c r="AH187" s="975"/>
      <c r="AI187" s="975"/>
      <c r="AJ187" s="975"/>
      <c r="AK187" s="975"/>
      <c r="AL187" s="975"/>
      <c r="AM187" s="975"/>
      <c r="AN187" s="975"/>
      <c r="AO187" s="975"/>
      <c r="AP187" s="975"/>
      <c r="AQ187" s="975"/>
      <c r="AR187" s="975"/>
      <c r="AS187" s="981"/>
      <c r="AT187" s="982"/>
    </row>
    <row r="188" spans="1:46" ht="15.75">
      <c r="A188" s="957">
        <v>74</v>
      </c>
      <c r="B188" s="958"/>
      <c r="C188" s="992" t="s">
        <v>1671</v>
      </c>
      <c r="D188" s="957" t="s">
        <v>15</v>
      </c>
      <c r="E188" s="960"/>
      <c r="F188" s="960"/>
      <c r="G188" s="960"/>
      <c r="H188" s="960"/>
      <c r="I188" s="960"/>
      <c r="J188" s="960"/>
      <c r="K188" s="960"/>
      <c r="L188" s="960"/>
      <c r="M188" s="960"/>
      <c r="N188" s="960">
        <f t="shared" si="48"/>
        <v>0</v>
      </c>
      <c r="O188" s="960">
        <f t="shared" si="49"/>
        <v>0</v>
      </c>
      <c r="P188" s="960">
        <f t="shared" si="50"/>
        <v>0</v>
      </c>
      <c r="Q188" s="960">
        <f t="shared" si="51"/>
        <v>0</v>
      </c>
      <c r="R188" s="960">
        <f t="shared" si="52"/>
        <v>0</v>
      </c>
      <c r="S188" s="960">
        <f t="shared" si="53"/>
        <v>0</v>
      </c>
      <c r="T188" s="960">
        <f t="shared" si="54"/>
        <v>0</v>
      </c>
      <c r="U188" s="960">
        <f t="shared" si="55"/>
        <v>0</v>
      </c>
      <c r="V188" s="960">
        <f t="shared" si="56"/>
        <v>0</v>
      </c>
      <c r="W188" s="960"/>
      <c r="X188" s="960"/>
      <c r="Y188" s="960"/>
      <c r="Z188" s="960"/>
      <c r="AA188" s="975">
        <f t="shared" si="57"/>
        <v>0</v>
      </c>
      <c r="AB188" s="975"/>
      <c r="AC188" s="975"/>
      <c r="AD188" s="975"/>
      <c r="AE188" s="975"/>
      <c r="AF188" s="975"/>
      <c r="AG188" s="975"/>
      <c r="AH188" s="975"/>
      <c r="AI188" s="975"/>
      <c r="AJ188" s="975"/>
      <c r="AK188" s="975"/>
      <c r="AL188" s="975"/>
      <c r="AM188" s="975"/>
      <c r="AN188" s="975"/>
      <c r="AO188" s="975"/>
      <c r="AP188" s="975"/>
      <c r="AQ188" s="975"/>
      <c r="AR188" s="975"/>
      <c r="AS188" s="981"/>
      <c r="AT188" s="982"/>
    </row>
    <row r="189" spans="1:46" ht="15.75">
      <c r="A189" s="957">
        <v>75</v>
      </c>
      <c r="B189" s="958"/>
      <c r="C189" s="992" t="s">
        <v>64</v>
      </c>
      <c r="D189" s="957" t="s">
        <v>15</v>
      </c>
      <c r="E189" s="960"/>
      <c r="F189" s="960"/>
      <c r="G189" s="960"/>
      <c r="H189" s="960"/>
      <c r="I189" s="960"/>
      <c r="J189" s="960"/>
      <c r="K189" s="960"/>
      <c r="L189" s="960"/>
      <c r="M189" s="960"/>
      <c r="N189" s="960">
        <f t="shared" si="48"/>
        <v>0</v>
      </c>
      <c r="O189" s="960">
        <f t="shared" si="49"/>
        <v>0</v>
      </c>
      <c r="P189" s="960">
        <f t="shared" si="50"/>
        <v>0</v>
      </c>
      <c r="Q189" s="960">
        <f t="shared" si="51"/>
        <v>0</v>
      </c>
      <c r="R189" s="960">
        <f t="shared" si="52"/>
        <v>0</v>
      </c>
      <c r="S189" s="960">
        <f t="shared" si="53"/>
        <v>0</v>
      </c>
      <c r="T189" s="960">
        <f t="shared" si="54"/>
        <v>0</v>
      </c>
      <c r="U189" s="960">
        <f t="shared" si="55"/>
        <v>0</v>
      </c>
      <c r="V189" s="960">
        <f t="shared" si="56"/>
        <v>0</v>
      </c>
      <c r="W189" s="960"/>
      <c r="X189" s="960"/>
      <c r="Y189" s="960"/>
      <c r="Z189" s="960"/>
      <c r="AA189" s="975">
        <f t="shared" si="57"/>
        <v>0</v>
      </c>
      <c r="AB189" s="975"/>
      <c r="AC189" s="975"/>
      <c r="AD189" s="975"/>
      <c r="AE189" s="975"/>
      <c r="AF189" s="975"/>
      <c r="AG189" s="975"/>
      <c r="AH189" s="975"/>
      <c r="AI189" s="975"/>
      <c r="AJ189" s="975"/>
      <c r="AK189" s="975"/>
      <c r="AL189" s="975"/>
      <c r="AM189" s="975"/>
      <c r="AN189" s="975"/>
      <c r="AO189" s="975"/>
      <c r="AP189" s="975"/>
      <c r="AQ189" s="975"/>
      <c r="AR189" s="975"/>
      <c r="AS189" s="981"/>
      <c r="AT189" s="982"/>
    </row>
    <row r="190" spans="1:46" ht="15.75">
      <c r="A190" s="957">
        <v>76</v>
      </c>
      <c r="B190" s="958"/>
      <c r="C190" s="992" t="s">
        <v>65</v>
      </c>
      <c r="D190" s="957" t="s">
        <v>15</v>
      </c>
      <c r="E190" s="960"/>
      <c r="F190" s="960"/>
      <c r="G190" s="960"/>
      <c r="H190" s="960"/>
      <c r="I190" s="960"/>
      <c r="J190" s="960"/>
      <c r="K190" s="960"/>
      <c r="L190" s="960"/>
      <c r="M190" s="960"/>
      <c r="N190" s="960">
        <f t="shared" si="48"/>
        <v>0</v>
      </c>
      <c r="O190" s="960">
        <f t="shared" si="49"/>
        <v>0</v>
      </c>
      <c r="P190" s="960">
        <f t="shared" si="50"/>
        <v>0</v>
      </c>
      <c r="Q190" s="960">
        <f t="shared" si="51"/>
        <v>0</v>
      </c>
      <c r="R190" s="960">
        <f t="shared" si="52"/>
        <v>0</v>
      </c>
      <c r="S190" s="960">
        <f t="shared" si="53"/>
        <v>0</v>
      </c>
      <c r="T190" s="960">
        <f t="shared" si="54"/>
        <v>0</v>
      </c>
      <c r="U190" s="960">
        <f t="shared" si="55"/>
        <v>0</v>
      </c>
      <c r="V190" s="960">
        <f t="shared" si="56"/>
        <v>0</v>
      </c>
      <c r="W190" s="960"/>
      <c r="X190" s="960"/>
      <c r="Y190" s="960"/>
      <c r="Z190" s="960"/>
      <c r="AA190" s="975">
        <f t="shared" si="57"/>
        <v>0</v>
      </c>
      <c r="AB190" s="975"/>
      <c r="AC190" s="975"/>
      <c r="AD190" s="975"/>
      <c r="AE190" s="975"/>
      <c r="AF190" s="975"/>
      <c r="AG190" s="975"/>
      <c r="AH190" s="975"/>
      <c r="AI190" s="975"/>
      <c r="AJ190" s="975"/>
      <c r="AK190" s="975"/>
      <c r="AL190" s="975"/>
      <c r="AM190" s="975"/>
      <c r="AN190" s="975"/>
      <c r="AO190" s="975"/>
      <c r="AP190" s="975"/>
      <c r="AQ190" s="975"/>
      <c r="AR190" s="975"/>
      <c r="AS190" s="981"/>
      <c r="AT190" s="982"/>
    </row>
    <row r="191" spans="1:46" ht="15.75">
      <c r="A191" s="957">
        <v>77</v>
      </c>
      <c r="B191" s="958"/>
      <c r="C191" s="992" t="s">
        <v>91</v>
      </c>
      <c r="D191" s="957" t="s">
        <v>15</v>
      </c>
      <c r="E191" s="960"/>
      <c r="F191" s="960"/>
      <c r="G191" s="960"/>
      <c r="H191" s="960"/>
      <c r="I191" s="960"/>
      <c r="J191" s="960"/>
      <c r="K191" s="960"/>
      <c r="L191" s="960"/>
      <c r="M191" s="960"/>
      <c r="N191" s="960">
        <f t="shared" si="48"/>
        <v>0</v>
      </c>
      <c r="O191" s="960">
        <f t="shared" si="49"/>
        <v>0</v>
      </c>
      <c r="P191" s="960">
        <f t="shared" si="50"/>
        <v>0</v>
      </c>
      <c r="Q191" s="960">
        <f t="shared" si="51"/>
        <v>0</v>
      </c>
      <c r="R191" s="960">
        <f t="shared" si="52"/>
        <v>0</v>
      </c>
      <c r="S191" s="960">
        <f t="shared" si="53"/>
        <v>0</v>
      </c>
      <c r="T191" s="960">
        <f t="shared" si="54"/>
        <v>0</v>
      </c>
      <c r="U191" s="960">
        <f t="shared" si="55"/>
        <v>0</v>
      </c>
      <c r="V191" s="960">
        <f t="shared" si="56"/>
        <v>0</v>
      </c>
      <c r="W191" s="960"/>
      <c r="X191" s="960"/>
      <c r="Y191" s="960"/>
      <c r="Z191" s="960"/>
      <c r="AA191" s="975">
        <f t="shared" si="57"/>
        <v>0</v>
      </c>
      <c r="AB191" s="975"/>
      <c r="AC191" s="975"/>
      <c r="AD191" s="975"/>
      <c r="AE191" s="975"/>
      <c r="AF191" s="975"/>
      <c r="AG191" s="975"/>
      <c r="AH191" s="975"/>
      <c r="AI191" s="975"/>
      <c r="AJ191" s="975"/>
      <c r="AK191" s="975"/>
      <c r="AL191" s="975"/>
      <c r="AM191" s="975"/>
      <c r="AN191" s="975"/>
      <c r="AO191" s="975"/>
      <c r="AP191" s="975"/>
      <c r="AQ191" s="975"/>
      <c r="AR191" s="975"/>
      <c r="AS191" s="981"/>
      <c r="AT191" s="982"/>
    </row>
    <row r="192" spans="1:46" ht="15.75">
      <c r="A192" s="957">
        <v>78</v>
      </c>
      <c r="B192" s="958"/>
      <c r="C192" s="992" t="s">
        <v>102</v>
      </c>
      <c r="D192" s="957" t="s">
        <v>15</v>
      </c>
      <c r="E192" s="960"/>
      <c r="F192" s="960"/>
      <c r="G192" s="960"/>
      <c r="H192" s="960"/>
      <c r="I192" s="960"/>
      <c r="J192" s="960"/>
      <c r="K192" s="960"/>
      <c r="L192" s="960"/>
      <c r="M192" s="960"/>
      <c r="N192" s="960">
        <f t="shared" si="48"/>
        <v>0</v>
      </c>
      <c r="O192" s="960">
        <f t="shared" si="49"/>
        <v>0</v>
      </c>
      <c r="P192" s="960">
        <f t="shared" si="50"/>
        <v>0</v>
      </c>
      <c r="Q192" s="960">
        <f t="shared" si="51"/>
        <v>0</v>
      </c>
      <c r="R192" s="960">
        <f t="shared" si="52"/>
        <v>0</v>
      </c>
      <c r="S192" s="960">
        <f t="shared" si="53"/>
        <v>0</v>
      </c>
      <c r="T192" s="960">
        <f t="shared" si="54"/>
        <v>0</v>
      </c>
      <c r="U192" s="960">
        <f t="shared" si="55"/>
        <v>0</v>
      </c>
      <c r="V192" s="960">
        <f t="shared" si="56"/>
        <v>0</v>
      </c>
      <c r="W192" s="960"/>
      <c r="X192" s="960"/>
      <c r="Y192" s="960"/>
      <c r="Z192" s="960"/>
      <c r="AA192" s="975">
        <f t="shared" si="57"/>
        <v>0</v>
      </c>
      <c r="AB192" s="975"/>
      <c r="AC192" s="975"/>
      <c r="AD192" s="975"/>
      <c r="AE192" s="975"/>
      <c r="AF192" s="975"/>
      <c r="AG192" s="975"/>
      <c r="AH192" s="975"/>
      <c r="AI192" s="975"/>
      <c r="AJ192" s="975"/>
      <c r="AK192" s="975"/>
      <c r="AL192" s="975"/>
      <c r="AM192" s="975"/>
      <c r="AN192" s="975"/>
      <c r="AO192" s="975"/>
      <c r="AP192" s="975"/>
      <c r="AQ192" s="975"/>
      <c r="AR192" s="975"/>
      <c r="AS192" s="981"/>
      <c r="AT192" s="982"/>
    </row>
    <row r="193" spans="1:46" ht="15.75">
      <c r="A193" s="957">
        <v>79</v>
      </c>
      <c r="B193" s="958"/>
      <c r="C193" s="992" t="s">
        <v>88</v>
      </c>
      <c r="D193" s="957" t="s">
        <v>15</v>
      </c>
      <c r="E193" s="960"/>
      <c r="F193" s="960"/>
      <c r="G193" s="960"/>
      <c r="H193" s="960"/>
      <c r="I193" s="960"/>
      <c r="J193" s="960"/>
      <c r="K193" s="960"/>
      <c r="L193" s="960"/>
      <c r="M193" s="960"/>
      <c r="N193" s="960">
        <f t="shared" si="48"/>
        <v>0</v>
      </c>
      <c r="O193" s="960">
        <f t="shared" si="49"/>
        <v>0</v>
      </c>
      <c r="P193" s="960">
        <f t="shared" si="50"/>
        <v>0</v>
      </c>
      <c r="Q193" s="960">
        <f t="shared" si="51"/>
        <v>0</v>
      </c>
      <c r="R193" s="960">
        <f t="shared" si="52"/>
        <v>0</v>
      </c>
      <c r="S193" s="960">
        <f t="shared" si="53"/>
        <v>0</v>
      </c>
      <c r="T193" s="960">
        <f t="shared" si="54"/>
        <v>0</v>
      </c>
      <c r="U193" s="960">
        <f t="shared" si="55"/>
        <v>0</v>
      </c>
      <c r="V193" s="960">
        <f t="shared" si="56"/>
        <v>0</v>
      </c>
      <c r="W193" s="960"/>
      <c r="X193" s="960"/>
      <c r="Y193" s="960"/>
      <c r="Z193" s="960"/>
      <c r="AA193" s="975">
        <f t="shared" si="57"/>
        <v>0</v>
      </c>
      <c r="AB193" s="975"/>
      <c r="AC193" s="975"/>
      <c r="AD193" s="975"/>
      <c r="AE193" s="975"/>
      <c r="AF193" s="975"/>
      <c r="AG193" s="975"/>
      <c r="AH193" s="975"/>
      <c r="AI193" s="975"/>
      <c r="AJ193" s="975"/>
      <c r="AK193" s="975"/>
      <c r="AL193" s="975"/>
      <c r="AM193" s="975"/>
      <c r="AN193" s="975"/>
      <c r="AO193" s="975"/>
      <c r="AP193" s="975"/>
      <c r="AQ193" s="975"/>
      <c r="AR193" s="975"/>
      <c r="AS193" s="981"/>
      <c r="AT193" s="982"/>
    </row>
    <row r="194" spans="1:46" ht="15.75">
      <c r="A194" s="957">
        <v>80</v>
      </c>
      <c r="B194" s="958"/>
      <c r="C194" s="992" t="s">
        <v>1292</v>
      </c>
      <c r="D194" s="957" t="s">
        <v>15</v>
      </c>
      <c r="E194" s="960"/>
      <c r="F194" s="960"/>
      <c r="G194" s="960"/>
      <c r="H194" s="960"/>
      <c r="I194" s="960"/>
      <c r="J194" s="960"/>
      <c r="K194" s="960"/>
      <c r="L194" s="960"/>
      <c r="M194" s="960"/>
      <c r="N194" s="960">
        <f t="shared" si="48"/>
        <v>0</v>
      </c>
      <c r="O194" s="960">
        <f t="shared" si="49"/>
        <v>0</v>
      </c>
      <c r="P194" s="960">
        <f t="shared" si="50"/>
        <v>0</v>
      </c>
      <c r="Q194" s="960">
        <f t="shared" si="51"/>
        <v>0</v>
      </c>
      <c r="R194" s="960">
        <f t="shared" si="52"/>
        <v>0</v>
      </c>
      <c r="S194" s="960">
        <f t="shared" si="53"/>
        <v>0</v>
      </c>
      <c r="T194" s="960">
        <f t="shared" si="54"/>
        <v>0</v>
      </c>
      <c r="U194" s="960">
        <f t="shared" si="55"/>
        <v>0</v>
      </c>
      <c r="V194" s="960">
        <f t="shared" si="56"/>
        <v>0</v>
      </c>
      <c r="W194" s="960"/>
      <c r="X194" s="960"/>
      <c r="Y194" s="960"/>
      <c r="Z194" s="960"/>
      <c r="AA194" s="975">
        <f t="shared" si="57"/>
        <v>0</v>
      </c>
      <c r="AB194" s="975"/>
      <c r="AC194" s="975"/>
      <c r="AD194" s="975"/>
      <c r="AE194" s="975"/>
      <c r="AF194" s="975"/>
      <c r="AG194" s="975"/>
      <c r="AH194" s="975"/>
      <c r="AI194" s="975"/>
      <c r="AJ194" s="975"/>
      <c r="AK194" s="975"/>
      <c r="AL194" s="975"/>
      <c r="AM194" s="975"/>
      <c r="AN194" s="975"/>
      <c r="AO194" s="975"/>
      <c r="AP194" s="975"/>
      <c r="AQ194" s="975"/>
      <c r="AR194" s="975"/>
      <c r="AS194" s="981"/>
      <c r="AT194" s="982"/>
    </row>
    <row r="195" spans="1:46" ht="15.75">
      <c r="A195" s="957">
        <v>81</v>
      </c>
      <c r="B195" s="958"/>
      <c r="C195" s="992" t="s">
        <v>74</v>
      </c>
      <c r="D195" s="957" t="s">
        <v>15</v>
      </c>
      <c r="E195" s="960"/>
      <c r="F195" s="960"/>
      <c r="G195" s="960"/>
      <c r="H195" s="960"/>
      <c r="I195" s="960"/>
      <c r="J195" s="960"/>
      <c r="K195" s="960"/>
      <c r="L195" s="960"/>
      <c r="M195" s="960"/>
      <c r="N195" s="960">
        <f t="shared" si="48"/>
        <v>0</v>
      </c>
      <c r="O195" s="960">
        <f t="shared" si="49"/>
        <v>0</v>
      </c>
      <c r="P195" s="960">
        <f t="shared" si="50"/>
        <v>0</v>
      </c>
      <c r="Q195" s="960">
        <f t="shared" si="51"/>
        <v>0</v>
      </c>
      <c r="R195" s="960">
        <f t="shared" si="52"/>
        <v>0</v>
      </c>
      <c r="S195" s="960">
        <f t="shared" si="53"/>
        <v>0</v>
      </c>
      <c r="T195" s="960">
        <f t="shared" si="54"/>
        <v>0</v>
      </c>
      <c r="U195" s="960">
        <f t="shared" si="55"/>
        <v>0</v>
      </c>
      <c r="V195" s="960">
        <f t="shared" si="56"/>
        <v>0</v>
      </c>
      <c r="W195" s="960"/>
      <c r="X195" s="960"/>
      <c r="Y195" s="960"/>
      <c r="Z195" s="960"/>
      <c r="AA195" s="975">
        <f t="shared" si="57"/>
        <v>0</v>
      </c>
      <c r="AB195" s="975"/>
      <c r="AC195" s="975"/>
      <c r="AD195" s="975"/>
      <c r="AE195" s="975"/>
      <c r="AF195" s="975"/>
      <c r="AG195" s="975"/>
      <c r="AH195" s="975"/>
      <c r="AI195" s="975"/>
      <c r="AJ195" s="975"/>
      <c r="AK195" s="975"/>
      <c r="AL195" s="975"/>
      <c r="AM195" s="975"/>
      <c r="AN195" s="975"/>
      <c r="AO195" s="975"/>
      <c r="AP195" s="975"/>
      <c r="AQ195" s="975"/>
      <c r="AR195" s="975"/>
      <c r="AS195" s="981"/>
      <c r="AT195" s="982"/>
    </row>
    <row r="196" spans="1:46" ht="15.75">
      <c r="A196" s="957">
        <v>1</v>
      </c>
      <c r="B196" s="958" t="str">
        <f>VLOOKUP(C196,'[8]DS CN MOI UP'!$B$10:$C$489,2,0)</f>
        <v>02504</v>
      </c>
      <c r="C196" s="992" t="s">
        <v>77</v>
      </c>
      <c r="D196" s="957" t="s">
        <v>15</v>
      </c>
      <c r="E196" s="960"/>
      <c r="F196" s="960"/>
      <c r="G196" s="960"/>
      <c r="H196" s="960"/>
      <c r="I196" s="960"/>
      <c r="J196" s="960"/>
      <c r="K196" s="960"/>
      <c r="L196" s="960"/>
      <c r="M196" s="960"/>
      <c r="N196" s="960">
        <f t="shared" ref="N196:N218" si="58">E196/$N$8</f>
        <v>0</v>
      </c>
      <c r="O196" s="960">
        <f t="shared" ref="O196:O218" si="59">F196/$O$8</f>
        <v>0</v>
      </c>
      <c r="P196" s="960">
        <f t="shared" ref="P196:P218" si="60">G196/$P$8</f>
        <v>0</v>
      </c>
      <c r="Q196" s="960">
        <f t="shared" ref="Q196:Q218" si="61">H196/$Q$8</f>
        <v>0</v>
      </c>
      <c r="R196" s="960">
        <f t="shared" ref="R196:R218" si="62">I196/$R$8</f>
        <v>0</v>
      </c>
      <c r="S196" s="960">
        <f t="shared" ref="S196:S218" si="63">J196/$S$8</f>
        <v>0</v>
      </c>
      <c r="T196" s="960">
        <f t="shared" ref="T196:T218" si="64">K196/$T$8</f>
        <v>0</v>
      </c>
      <c r="U196" s="960">
        <f t="shared" ref="U196:U218" si="65">L196/$U$8</f>
        <v>0</v>
      </c>
      <c r="V196" s="960">
        <f t="shared" ref="V196:V218" si="66">M196/$V$8</f>
        <v>0</v>
      </c>
      <c r="W196" s="960"/>
      <c r="X196" s="960"/>
      <c r="Y196" s="960"/>
      <c r="Z196" s="960"/>
      <c r="AA196" s="975">
        <f t="shared" ref="AA196:AA218" si="67">SUM(N196:Z196)</f>
        <v>0</v>
      </c>
      <c r="AB196" s="975">
        <f>VLOOKUP(C196,'[8]MỦ TẠP'!$D$10:$AM$450,36,0)</f>
        <v>0</v>
      </c>
      <c r="AC196" s="975"/>
      <c r="AD196" s="975"/>
      <c r="AE196" s="976">
        <f>SUM(AB196:AD196)</f>
        <v>0</v>
      </c>
      <c r="AF196" s="975"/>
      <c r="AG196" s="975"/>
      <c r="AH196" s="975">
        <f t="shared" ref="AH196:AH218" si="68">AE196*$AV$20+AF196*$AV$10+$AV$11*AG196</f>
        <v>0</v>
      </c>
      <c r="AI196" s="975">
        <f>VLOOKUP(C196,'[8]CHẤM CÔNG '!$F$10:$AM$451,33,0)</f>
        <v>0</v>
      </c>
      <c r="AJ196" s="975">
        <f>VLOOKUP(C196,'[8]CHẤM CÔNG '!$F$10:$AM$451,34,0)</f>
        <v>0</v>
      </c>
      <c r="AK196" s="975"/>
      <c r="AL196" s="975"/>
      <c r="AM196" s="975"/>
      <c r="AN196" s="975">
        <f>VLOOKUP(C196,'[8]CHẤM CÔNG '!$F$10:$AN$451,35,0)</f>
        <v>0</v>
      </c>
      <c r="AO196" s="975">
        <f>VLOOKUP(C196,'[8]CHẤM CÔNG '!$F$10:$AR$451,36,0)</f>
        <v>0</v>
      </c>
      <c r="AP196" s="975"/>
      <c r="AQ196" s="975"/>
      <c r="AR196" s="975"/>
      <c r="AS196" s="981"/>
      <c r="AT196" s="982">
        <f>VLOOKUP(C196,'[8]MỦ TẠP'!$D$10:$AO$450,38,0)</f>
        <v>0</v>
      </c>
    </row>
    <row r="197" spans="1:46" ht="15.75">
      <c r="A197" s="957">
        <v>2</v>
      </c>
      <c r="B197" s="958" t="str">
        <f>VLOOKUP(C197,'[8]DS CN MOI UP'!$B$10:$C$489,2,0)</f>
        <v>02481</v>
      </c>
      <c r="C197" s="992" t="s">
        <v>86</v>
      </c>
      <c r="D197" s="957" t="s">
        <v>15</v>
      </c>
      <c r="E197" s="960"/>
      <c r="F197" s="960"/>
      <c r="G197" s="960"/>
      <c r="H197" s="960"/>
      <c r="I197" s="960"/>
      <c r="J197" s="960"/>
      <c r="K197" s="960"/>
      <c r="L197" s="960"/>
      <c r="M197" s="960"/>
      <c r="N197" s="960">
        <f t="shared" si="58"/>
        <v>0</v>
      </c>
      <c r="O197" s="960">
        <f t="shared" si="59"/>
        <v>0</v>
      </c>
      <c r="P197" s="960">
        <f t="shared" si="60"/>
        <v>0</v>
      </c>
      <c r="Q197" s="960">
        <f t="shared" si="61"/>
        <v>0</v>
      </c>
      <c r="R197" s="960">
        <f t="shared" si="62"/>
        <v>0</v>
      </c>
      <c r="S197" s="960">
        <f t="shared" si="63"/>
        <v>0</v>
      </c>
      <c r="T197" s="960">
        <f t="shared" si="64"/>
        <v>0</v>
      </c>
      <c r="U197" s="960">
        <f t="shared" si="65"/>
        <v>0</v>
      </c>
      <c r="V197" s="960">
        <f t="shared" si="66"/>
        <v>0</v>
      </c>
      <c r="W197" s="960"/>
      <c r="X197" s="960"/>
      <c r="Y197" s="960"/>
      <c r="Z197" s="960"/>
      <c r="AA197" s="975">
        <f t="shared" si="67"/>
        <v>0</v>
      </c>
      <c r="AB197" s="975">
        <f>VLOOKUP(C197,'[8]MỦ TẠP'!$D$10:$AM$450,36,0)</f>
        <v>0</v>
      </c>
      <c r="AC197" s="975"/>
      <c r="AD197" s="975"/>
      <c r="AE197" s="976">
        <f t="shared" ref="AE197:AE218" si="69">SUM(AB197:AD197)</f>
        <v>0</v>
      </c>
      <c r="AF197" s="975"/>
      <c r="AG197" s="975"/>
      <c r="AH197" s="975">
        <f t="shared" si="68"/>
        <v>0</v>
      </c>
      <c r="AI197" s="975">
        <f>VLOOKUP(C197,'[8]CHẤM CÔNG '!$F$10:$AM$451,33,0)</f>
        <v>0</v>
      </c>
      <c r="AJ197" s="975">
        <f>VLOOKUP(C197,'[8]CHẤM CÔNG '!$F$10:$AM$451,34,0)</f>
        <v>0</v>
      </c>
      <c r="AK197" s="975"/>
      <c r="AL197" s="975"/>
      <c r="AM197" s="975"/>
      <c r="AN197" s="975">
        <f>VLOOKUP(C197,'[8]CHẤM CÔNG '!$F$10:$AN$451,35,0)</f>
        <v>0</v>
      </c>
      <c r="AO197" s="975">
        <f>VLOOKUP(C197,'[8]CHẤM CÔNG '!$F$10:$AR$451,36,0)</f>
        <v>0</v>
      </c>
      <c r="AP197" s="975"/>
      <c r="AQ197" s="975"/>
      <c r="AR197" s="975"/>
      <c r="AS197" s="981"/>
      <c r="AT197" s="982">
        <f>VLOOKUP(C197,'[8]MỦ TẠP'!$D$10:$AO$450,38,0)</f>
        <v>0</v>
      </c>
    </row>
    <row r="198" spans="1:46" ht="15.75">
      <c r="A198" s="957">
        <v>3</v>
      </c>
      <c r="B198" s="958" t="str">
        <f>VLOOKUP(C198,'[8]DS CN MOI UP'!$B$10:$C$489,2,0)</f>
        <v>02492</v>
      </c>
      <c r="C198" s="992" t="s">
        <v>30</v>
      </c>
      <c r="D198" s="957" t="s">
        <v>15</v>
      </c>
      <c r="E198" s="960"/>
      <c r="F198" s="960"/>
      <c r="G198" s="960"/>
      <c r="H198" s="960"/>
      <c r="I198" s="960"/>
      <c r="J198" s="960"/>
      <c r="K198" s="960"/>
      <c r="L198" s="960"/>
      <c r="M198" s="960"/>
      <c r="N198" s="960">
        <f t="shared" si="58"/>
        <v>0</v>
      </c>
      <c r="O198" s="960">
        <f t="shared" si="59"/>
        <v>0</v>
      </c>
      <c r="P198" s="960">
        <f t="shared" si="60"/>
        <v>0</v>
      </c>
      <c r="Q198" s="960">
        <f t="shared" si="61"/>
        <v>0</v>
      </c>
      <c r="R198" s="960">
        <f t="shared" si="62"/>
        <v>0</v>
      </c>
      <c r="S198" s="960">
        <f t="shared" si="63"/>
        <v>0</v>
      </c>
      <c r="T198" s="960">
        <f t="shared" si="64"/>
        <v>0</v>
      </c>
      <c r="U198" s="960">
        <f t="shared" si="65"/>
        <v>0</v>
      </c>
      <c r="V198" s="960">
        <f t="shared" si="66"/>
        <v>0</v>
      </c>
      <c r="W198" s="960"/>
      <c r="X198" s="960"/>
      <c r="Y198" s="960"/>
      <c r="Z198" s="960"/>
      <c r="AA198" s="975">
        <f t="shared" si="67"/>
        <v>0</v>
      </c>
      <c r="AB198" s="975">
        <f>VLOOKUP(C198,'[8]MỦ TẠP'!$D$10:$AM$450,36,0)</f>
        <v>0</v>
      </c>
      <c r="AC198" s="975"/>
      <c r="AD198" s="975"/>
      <c r="AE198" s="976">
        <f t="shared" si="69"/>
        <v>0</v>
      </c>
      <c r="AF198" s="975"/>
      <c r="AG198" s="975"/>
      <c r="AH198" s="975">
        <f t="shared" si="68"/>
        <v>0</v>
      </c>
      <c r="AI198" s="975">
        <f>VLOOKUP(C198,'[8]CHẤM CÔNG '!$F$10:$AM$451,33,0)</f>
        <v>0</v>
      </c>
      <c r="AJ198" s="975">
        <f>VLOOKUP(C198,'[8]CHẤM CÔNG '!$F$10:$AM$451,34,0)</f>
        <v>0</v>
      </c>
      <c r="AK198" s="975"/>
      <c r="AL198" s="975"/>
      <c r="AM198" s="975"/>
      <c r="AN198" s="975">
        <f>VLOOKUP(C198,'[8]CHẤM CÔNG '!$F$10:$AN$451,35,0)</f>
        <v>0</v>
      </c>
      <c r="AO198" s="975">
        <f>VLOOKUP(C198,'[8]CHẤM CÔNG '!$F$10:$AR$451,36,0)</f>
        <v>0</v>
      </c>
      <c r="AP198" s="975"/>
      <c r="AQ198" s="975"/>
      <c r="AR198" s="975"/>
      <c r="AS198" s="981"/>
      <c r="AT198" s="982">
        <f>VLOOKUP(C198,'[8]MỦ TẠP'!$D$10:$AO$450,38,0)</f>
        <v>0</v>
      </c>
    </row>
    <row r="199" spans="1:46" ht="15.75">
      <c r="A199" s="957">
        <v>4</v>
      </c>
      <c r="B199" s="958" t="str">
        <f>VLOOKUP(C199,'[8]DS CN MOI UP'!$B$10:$C$489,2,0)</f>
        <v>02470</v>
      </c>
      <c r="C199" s="992" t="s">
        <v>44</v>
      </c>
      <c r="D199" s="957" t="s">
        <v>15</v>
      </c>
      <c r="E199" s="960"/>
      <c r="F199" s="960"/>
      <c r="G199" s="960"/>
      <c r="H199" s="960"/>
      <c r="I199" s="960"/>
      <c r="J199" s="960"/>
      <c r="K199" s="960"/>
      <c r="L199" s="960"/>
      <c r="M199" s="960"/>
      <c r="N199" s="960">
        <f t="shared" si="58"/>
        <v>0</v>
      </c>
      <c r="O199" s="960">
        <f t="shared" si="59"/>
        <v>0</v>
      </c>
      <c r="P199" s="960">
        <f t="shared" si="60"/>
        <v>0</v>
      </c>
      <c r="Q199" s="960">
        <f t="shared" si="61"/>
        <v>0</v>
      </c>
      <c r="R199" s="960">
        <f t="shared" si="62"/>
        <v>0</v>
      </c>
      <c r="S199" s="960">
        <f t="shared" si="63"/>
        <v>0</v>
      </c>
      <c r="T199" s="960">
        <f t="shared" si="64"/>
        <v>0</v>
      </c>
      <c r="U199" s="960">
        <f t="shared" si="65"/>
        <v>0</v>
      </c>
      <c r="V199" s="960">
        <f t="shared" si="66"/>
        <v>0</v>
      </c>
      <c r="W199" s="960"/>
      <c r="X199" s="960"/>
      <c r="Y199" s="960"/>
      <c r="Z199" s="960"/>
      <c r="AA199" s="975">
        <f t="shared" si="67"/>
        <v>0</v>
      </c>
      <c r="AB199" s="975">
        <f>VLOOKUP(C199,'[8]MỦ TẠP'!$D$10:$AM$450,36,0)</f>
        <v>0</v>
      </c>
      <c r="AC199" s="975"/>
      <c r="AD199" s="975"/>
      <c r="AE199" s="976">
        <f t="shared" si="69"/>
        <v>0</v>
      </c>
      <c r="AF199" s="975"/>
      <c r="AG199" s="975"/>
      <c r="AH199" s="975">
        <f t="shared" si="68"/>
        <v>0</v>
      </c>
      <c r="AI199" s="975">
        <f>VLOOKUP(C199,'[8]CHẤM CÔNG '!$F$10:$AM$451,33,0)</f>
        <v>0</v>
      </c>
      <c r="AJ199" s="975">
        <f>VLOOKUP(C199,'[8]CHẤM CÔNG '!$F$10:$AM$451,34,0)</f>
        <v>0</v>
      </c>
      <c r="AK199" s="975"/>
      <c r="AL199" s="975"/>
      <c r="AM199" s="975"/>
      <c r="AN199" s="975">
        <f>VLOOKUP(C199,'[8]CHẤM CÔNG '!$F$10:$AN$451,35,0)</f>
        <v>0</v>
      </c>
      <c r="AO199" s="975">
        <f>VLOOKUP(C199,'[8]CHẤM CÔNG '!$F$10:$AR$451,36,0)</f>
        <v>0</v>
      </c>
      <c r="AP199" s="975"/>
      <c r="AQ199" s="975"/>
      <c r="AR199" s="975"/>
      <c r="AS199" s="981"/>
      <c r="AT199" s="982">
        <f>VLOOKUP(C199,'[8]MỦ TẠP'!$D$10:$AO$450,38,0)</f>
        <v>0</v>
      </c>
    </row>
    <row r="200" spans="1:46" ht="15.75">
      <c r="A200" s="957">
        <v>5</v>
      </c>
      <c r="B200" s="958" t="str">
        <f>VLOOKUP(C200,'[8]DS CN MOI UP'!$B$10:$C$489,2,0)</f>
        <v>03330</v>
      </c>
      <c r="C200" s="992" t="s">
        <v>46</v>
      </c>
      <c r="D200" s="957" t="s">
        <v>15</v>
      </c>
      <c r="E200" s="960"/>
      <c r="F200" s="960"/>
      <c r="G200" s="960"/>
      <c r="H200" s="960"/>
      <c r="I200" s="960"/>
      <c r="J200" s="960"/>
      <c r="K200" s="960"/>
      <c r="L200" s="960"/>
      <c r="M200" s="960"/>
      <c r="N200" s="960">
        <f t="shared" si="58"/>
        <v>0</v>
      </c>
      <c r="O200" s="960">
        <f t="shared" si="59"/>
        <v>0</v>
      </c>
      <c r="P200" s="960">
        <f t="shared" si="60"/>
        <v>0</v>
      </c>
      <c r="Q200" s="960">
        <f t="shared" si="61"/>
        <v>0</v>
      </c>
      <c r="R200" s="960">
        <f t="shared" si="62"/>
        <v>0</v>
      </c>
      <c r="S200" s="960">
        <f t="shared" si="63"/>
        <v>0</v>
      </c>
      <c r="T200" s="960">
        <f t="shared" si="64"/>
        <v>0</v>
      </c>
      <c r="U200" s="960">
        <f t="shared" si="65"/>
        <v>0</v>
      </c>
      <c r="V200" s="960">
        <f t="shared" si="66"/>
        <v>0</v>
      </c>
      <c r="W200" s="960"/>
      <c r="X200" s="960"/>
      <c r="Y200" s="960"/>
      <c r="Z200" s="960"/>
      <c r="AA200" s="975">
        <f t="shared" si="67"/>
        <v>0</v>
      </c>
      <c r="AB200" s="975">
        <f>VLOOKUP(C200,'[8]MỦ TẠP'!$D$10:$AM$450,36,0)</f>
        <v>0</v>
      </c>
      <c r="AC200" s="975"/>
      <c r="AD200" s="975"/>
      <c r="AE200" s="976">
        <f t="shared" si="69"/>
        <v>0</v>
      </c>
      <c r="AF200" s="975"/>
      <c r="AG200" s="975"/>
      <c r="AH200" s="975">
        <f t="shared" si="68"/>
        <v>0</v>
      </c>
      <c r="AI200" s="975">
        <f>VLOOKUP(C200,'[8]CHẤM CÔNG '!$F$10:$AM$451,33,0)</f>
        <v>0</v>
      </c>
      <c r="AJ200" s="975">
        <f>VLOOKUP(C200,'[8]CHẤM CÔNG '!$F$10:$AM$451,34,0)</f>
        <v>0</v>
      </c>
      <c r="AK200" s="975"/>
      <c r="AL200" s="975"/>
      <c r="AM200" s="975"/>
      <c r="AN200" s="975">
        <f>VLOOKUP(C200,'[8]CHẤM CÔNG '!$F$10:$AN$451,35,0)</f>
        <v>0</v>
      </c>
      <c r="AO200" s="975">
        <f>VLOOKUP(C200,'[8]CHẤM CÔNG '!$F$10:$AR$451,36,0)</f>
        <v>0</v>
      </c>
      <c r="AP200" s="975"/>
      <c r="AQ200" s="975"/>
      <c r="AR200" s="975"/>
      <c r="AS200" s="981"/>
      <c r="AT200" s="982">
        <f>VLOOKUP(C200,'[8]MỦ TẠP'!$D$10:$AO$450,38,0)</f>
        <v>0</v>
      </c>
    </row>
    <row r="201" spans="1:46" ht="15.75">
      <c r="A201" s="957">
        <v>6</v>
      </c>
      <c r="B201" s="958" t="e">
        <f>VLOOKUP(C201,'[8]DS CN MOI UP'!$B$10:$C$489,2,0)</f>
        <v>#N/A</v>
      </c>
      <c r="C201" s="992" t="s">
        <v>104</v>
      </c>
      <c r="D201" s="957" t="s">
        <v>15</v>
      </c>
      <c r="E201" s="960"/>
      <c r="F201" s="960"/>
      <c r="G201" s="960"/>
      <c r="H201" s="960"/>
      <c r="I201" s="960"/>
      <c r="J201" s="960"/>
      <c r="K201" s="960"/>
      <c r="L201" s="960"/>
      <c r="M201" s="960"/>
      <c r="N201" s="960">
        <f t="shared" si="58"/>
        <v>0</v>
      </c>
      <c r="O201" s="960">
        <f t="shared" si="59"/>
        <v>0</v>
      </c>
      <c r="P201" s="960">
        <f t="shared" si="60"/>
        <v>0</v>
      </c>
      <c r="Q201" s="960">
        <f t="shared" si="61"/>
        <v>0</v>
      </c>
      <c r="R201" s="960">
        <f t="shared" si="62"/>
        <v>0</v>
      </c>
      <c r="S201" s="960">
        <f t="shared" si="63"/>
        <v>0</v>
      </c>
      <c r="T201" s="960">
        <f t="shared" si="64"/>
        <v>0</v>
      </c>
      <c r="U201" s="960">
        <f t="shared" si="65"/>
        <v>0</v>
      </c>
      <c r="V201" s="960">
        <f t="shared" si="66"/>
        <v>0</v>
      </c>
      <c r="W201" s="960"/>
      <c r="X201" s="960"/>
      <c r="Y201" s="960"/>
      <c r="Z201" s="960"/>
      <c r="AA201" s="975">
        <f t="shared" si="67"/>
        <v>0</v>
      </c>
      <c r="AB201" s="975" t="e">
        <f>VLOOKUP(C201,'[8]MỦ TẠP'!$D$10:$AM$450,36,0)</f>
        <v>#N/A</v>
      </c>
      <c r="AC201" s="975"/>
      <c r="AD201" s="975"/>
      <c r="AE201" s="976" t="e">
        <f t="shared" si="69"/>
        <v>#N/A</v>
      </c>
      <c r="AF201" s="975"/>
      <c r="AG201" s="975"/>
      <c r="AH201" s="975" t="e">
        <f t="shared" si="68"/>
        <v>#N/A</v>
      </c>
      <c r="AI201" s="975" t="e">
        <f>VLOOKUP(C201,'[8]CHẤM CÔNG '!$F$10:$AM$451,33,0)</f>
        <v>#N/A</v>
      </c>
      <c r="AJ201" s="975" t="e">
        <f>VLOOKUP(C201,'[8]CHẤM CÔNG '!$F$10:$AM$451,34,0)</f>
        <v>#N/A</v>
      </c>
      <c r="AK201" s="975"/>
      <c r="AL201" s="975"/>
      <c r="AM201" s="975"/>
      <c r="AN201" s="975" t="e">
        <f>VLOOKUP(C201,'[8]CHẤM CÔNG '!$F$10:$AN$451,35,0)</f>
        <v>#N/A</v>
      </c>
      <c r="AO201" s="975" t="e">
        <f>VLOOKUP(C201,'[8]CHẤM CÔNG '!$F$10:$AR$451,36,0)</f>
        <v>#N/A</v>
      </c>
      <c r="AP201" s="975"/>
      <c r="AQ201" s="975"/>
      <c r="AR201" s="975"/>
      <c r="AS201" s="981"/>
      <c r="AT201" s="982" t="e">
        <f>VLOOKUP(C201,'[8]MỦ TẠP'!$D$10:$AO$450,38,0)</f>
        <v>#N/A</v>
      </c>
    </row>
    <row r="202" spans="1:46" ht="15.75">
      <c r="A202" s="957">
        <v>7</v>
      </c>
      <c r="B202" s="958" t="str">
        <f>VLOOKUP(C202,'[8]DS CN MOI UP'!$B$10:$C$489,2,0)</f>
        <v>02444</v>
      </c>
      <c r="C202" s="992" t="s">
        <v>105</v>
      </c>
      <c r="D202" s="957" t="s">
        <v>15</v>
      </c>
      <c r="E202" s="960"/>
      <c r="F202" s="960"/>
      <c r="G202" s="960"/>
      <c r="H202" s="960"/>
      <c r="I202" s="960"/>
      <c r="J202" s="960"/>
      <c r="K202" s="960"/>
      <c r="L202" s="960"/>
      <c r="M202" s="960"/>
      <c r="N202" s="960">
        <f t="shared" si="58"/>
        <v>0</v>
      </c>
      <c r="O202" s="960">
        <f t="shared" si="59"/>
        <v>0</v>
      </c>
      <c r="P202" s="960">
        <f t="shared" si="60"/>
        <v>0</v>
      </c>
      <c r="Q202" s="960">
        <f t="shared" si="61"/>
        <v>0</v>
      </c>
      <c r="R202" s="960">
        <f t="shared" si="62"/>
        <v>0</v>
      </c>
      <c r="S202" s="960">
        <f t="shared" si="63"/>
        <v>0</v>
      </c>
      <c r="T202" s="960">
        <f t="shared" si="64"/>
        <v>0</v>
      </c>
      <c r="U202" s="960">
        <f t="shared" si="65"/>
        <v>0</v>
      </c>
      <c r="V202" s="960">
        <f t="shared" si="66"/>
        <v>0</v>
      </c>
      <c r="W202" s="960"/>
      <c r="X202" s="960"/>
      <c r="Y202" s="960"/>
      <c r="Z202" s="960"/>
      <c r="AA202" s="975">
        <f t="shared" si="67"/>
        <v>0</v>
      </c>
      <c r="AB202" s="975">
        <f>VLOOKUP(C202,'[8]MỦ TẠP'!$D$10:$AM$450,36,0)</f>
        <v>0</v>
      </c>
      <c r="AC202" s="975"/>
      <c r="AD202" s="975"/>
      <c r="AE202" s="976">
        <f t="shared" si="69"/>
        <v>0</v>
      </c>
      <c r="AF202" s="975"/>
      <c r="AG202" s="975"/>
      <c r="AH202" s="975">
        <f t="shared" si="68"/>
        <v>0</v>
      </c>
      <c r="AI202" s="975">
        <f>VLOOKUP(C202,'[8]CHẤM CÔNG '!$F$10:$AM$451,33,0)</f>
        <v>0</v>
      </c>
      <c r="AJ202" s="975">
        <f>VLOOKUP(C202,'[8]CHẤM CÔNG '!$F$10:$AM$451,34,0)</f>
        <v>0</v>
      </c>
      <c r="AK202" s="975"/>
      <c r="AL202" s="975"/>
      <c r="AM202" s="975"/>
      <c r="AN202" s="975">
        <f>VLOOKUP(C202,'[8]CHẤM CÔNG '!$F$10:$AN$451,35,0)</f>
        <v>0</v>
      </c>
      <c r="AO202" s="975">
        <f>VLOOKUP(C202,'[8]CHẤM CÔNG '!$F$10:$AR$451,36,0)</f>
        <v>0</v>
      </c>
      <c r="AP202" s="975"/>
      <c r="AQ202" s="975"/>
      <c r="AR202" s="975"/>
      <c r="AS202" s="981"/>
      <c r="AT202" s="982">
        <f>VLOOKUP(C202,'[8]MỦ TẠP'!$D$10:$AO$450,38,0)</f>
        <v>0</v>
      </c>
    </row>
    <row r="203" spans="1:46" ht="15.75">
      <c r="A203" s="957">
        <v>8</v>
      </c>
      <c r="B203" s="958" t="e">
        <f>VLOOKUP(C203,'[8]DS CN MOI UP'!$B$10:$C$489,2,0)</f>
        <v>#N/A</v>
      </c>
      <c r="C203" s="992" t="s">
        <v>106</v>
      </c>
      <c r="D203" s="957" t="s">
        <v>15</v>
      </c>
      <c r="E203" s="960"/>
      <c r="F203" s="960"/>
      <c r="G203" s="960"/>
      <c r="H203" s="960"/>
      <c r="I203" s="960"/>
      <c r="J203" s="960"/>
      <c r="K203" s="960"/>
      <c r="L203" s="960"/>
      <c r="M203" s="960"/>
      <c r="N203" s="960">
        <f t="shared" si="58"/>
        <v>0</v>
      </c>
      <c r="O203" s="960">
        <f t="shared" si="59"/>
        <v>0</v>
      </c>
      <c r="P203" s="960">
        <f t="shared" si="60"/>
        <v>0</v>
      </c>
      <c r="Q203" s="960">
        <f t="shared" si="61"/>
        <v>0</v>
      </c>
      <c r="R203" s="960">
        <f t="shared" si="62"/>
        <v>0</v>
      </c>
      <c r="S203" s="960">
        <f t="shared" si="63"/>
        <v>0</v>
      </c>
      <c r="T203" s="960">
        <f t="shared" si="64"/>
        <v>0</v>
      </c>
      <c r="U203" s="960">
        <f t="shared" si="65"/>
        <v>0</v>
      </c>
      <c r="V203" s="960">
        <f t="shared" si="66"/>
        <v>0</v>
      </c>
      <c r="W203" s="960"/>
      <c r="X203" s="960"/>
      <c r="Y203" s="960"/>
      <c r="Z203" s="960"/>
      <c r="AA203" s="975">
        <f t="shared" si="67"/>
        <v>0</v>
      </c>
      <c r="AB203" s="975">
        <f>VLOOKUP(C203,'[8]MỦ TẠP'!$D$10:$AM$450,36,0)</f>
        <v>0</v>
      </c>
      <c r="AC203" s="975"/>
      <c r="AD203" s="975"/>
      <c r="AE203" s="976">
        <f t="shared" si="69"/>
        <v>0</v>
      </c>
      <c r="AF203" s="975"/>
      <c r="AG203" s="975"/>
      <c r="AH203" s="975">
        <f t="shared" si="68"/>
        <v>0</v>
      </c>
      <c r="AI203" s="975">
        <f>VLOOKUP(C203,'[8]CHẤM CÔNG '!$F$10:$AM$451,33,0)</f>
        <v>0</v>
      </c>
      <c r="AJ203" s="975">
        <f>VLOOKUP(C203,'[8]CHẤM CÔNG '!$F$10:$AM$451,34,0)</f>
        <v>0</v>
      </c>
      <c r="AK203" s="975"/>
      <c r="AL203" s="975"/>
      <c r="AM203" s="975"/>
      <c r="AN203" s="975">
        <f>VLOOKUP(C203,'[8]CHẤM CÔNG '!$F$10:$AN$451,35,0)</f>
        <v>0</v>
      </c>
      <c r="AO203" s="975">
        <f>VLOOKUP(C203,'[8]CHẤM CÔNG '!$F$10:$AR$451,36,0)</f>
        <v>0</v>
      </c>
      <c r="AP203" s="975"/>
      <c r="AQ203" s="975"/>
      <c r="AR203" s="975"/>
      <c r="AS203" s="981"/>
      <c r="AT203" s="982">
        <f>VLOOKUP(C203,'[8]MỦ TẠP'!$D$10:$AO$450,38,0)</f>
        <v>0</v>
      </c>
    </row>
    <row r="204" spans="1:46" ht="15.75">
      <c r="A204" s="957">
        <v>9</v>
      </c>
      <c r="B204" s="958" t="e">
        <f>VLOOKUP(C204,'[8]DS CN MOI UP'!$B$10:$C$489,2,0)</f>
        <v>#N/A</v>
      </c>
      <c r="C204" s="992" t="s">
        <v>107</v>
      </c>
      <c r="D204" s="957" t="s">
        <v>15</v>
      </c>
      <c r="E204" s="960"/>
      <c r="F204" s="960"/>
      <c r="G204" s="960"/>
      <c r="H204" s="960"/>
      <c r="I204" s="960"/>
      <c r="J204" s="960"/>
      <c r="K204" s="960"/>
      <c r="L204" s="960"/>
      <c r="M204" s="960"/>
      <c r="N204" s="960">
        <f t="shared" si="58"/>
        <v>0</v>
      </c>
      <c r="O204" s="960">
        <f t="shared" si="59"/>
        <v>0</v>
      </c>
      <c r="P204" s="960">
        <f t="shared" si="60"/>
        <v>0</v>
      </c>
      <c r="Q204" s="960">
        <f t="shared" si="61"/>
        <v>0</v>
      </c>
      <c r="R204" s="960">
        <f t="shared" si="62"/>
        <v>0</v>
      </c>
      <c r="S204" s="960">
        <f t="shared" si="63"/>
        <v>0</v>
      </c>
      <c r="T204" s="960">
        <f t="shared" si="64"/>
        <v>0</v>
      </c>
      <c r="U204" s="960">
        <f t="shared" si="65"/>
        <v>0</v>
      </c>
      <c r="V204" s="960">
        <f t="shared" si="66"/>
        <v>0</v>
      </c>
      <c r="W204" s="960"/>
      <c r="X204" s="960"/>
      <c r="Y204" s="960"/>
      <c r="Z204" s="960"/>
      <c r="AA204" s="975">
        <f t="shared" si="67"/>
        <v>0</v>
      </c>
      <c r="AB204" s="975" t="e">
        <f>VLOOKUP(C204,'[8]MỦ TẠP'!$D$10:$AM$450,36,0)</f>
        <v>#N/A</v>
      </c>
      <c r="AC204" s="975"/>
      <c r="AD204" s="975"/>
      <c r="AE204" s="976" t="e">
        <f t="shared" si="69"/>
        <v>#N/A</v>
      </c>
      <c r="AF204" s="975"/>
      <c r="AG204" s="975"/>
      <c r="AH204" s="975" t="e">
        <f t="shared" si="68"/>
        <v>#N/A</v>
      </c>
      <c r="AI204" s="975">
        <f>VLOOKUP(C204,'[8]CHẤM CÔNG '!$F$10:$AM$451,33,0)</f>
        <v>0</v>
      </c>
      <c r="AJ204" s="975">
        <f>VLOOKUP(C204,'[8]CHẤM CÔNG '!$F$10:$AM$451,34,0)</f>
        <v>0</v>
      </c>
      <c r="AK204" s="975"/>
      <c r="AL204" s="975"/>
      <c r="AM204" s="975"/>
      <c r="AN204" s="975">
        <f>VLOOKUP(C204,'[8]CHẤM CÔNG '!$F$10:$AN$451,35,0)</f>
        <v>0</v>
      </c>
      <c r="AO204" s="975">
        <f>VLOOKUP(C204,'[8]CHẤM CÔNG '!$F$10:$AR$451,36,0)</f>
        <v>0</v>
      </c>
      <c r="AP204" s="975"/>
      <c r="AQ204" s="975"/>
      <c r="AR204" s="975"/>
      <c r="AS204" s="981"/>
      <c r="AT204" s="982" t="e">
        <f>VLOOKUP(C204,'[8]MỦ TẠP'!$D$10:$AO$450,38,0)</f>
        <v>#N/A</v>
      </c>
    </row>
    <row r="205" spans="1:46" ht="15.75">
      <c r="A205" s="957">
        <v>10</v>
      </c>
      <c r="B205" s="958" t="str">
        <f>VLOOKUP(C205,'[8]DS CN MOI UP'!$B$10:$C$489,2,0)</f>
        <v>02449</v>
      </c>
      <c r="C205" s="992" t="s">
        <v>108</v>
      </c>
      <c r="D205" s="957" t="s">
        <v>15</v>
      </c>
      <c r="E205" s="960"/>
      <c r="F205" s="960"/>
      <c r="G205" s="960"/>
      <c r="H205" s="960"/>
      <c r="I205" s="960"/>
      <c r="J205" s="960"/>
      <c r="K205" s="960"/>
      <c r="L205" s="960"/>
      <c r="M205" s="960"/>
      <c r="N205" s="960">
        <f t="shared" si="58"/>
        <v>0</v>
      </c>
      <c r="O205" s="960">
        <f t="shared" si="59"/>
        <v>0</v>
      </c>
      <c r="P205" s="960">
        <f t="shared" si="60"/>
        <v>0</v>
      </c>
      <c r="Q205" s="960">
        <f t="shared" si="61"/>
        <v>0</v>
      </c>
      <c r="R205" s="960">
        <f t="shared" si="62"/>
        <v>0</v>
      </c>
      <c r="S205" s="960">
        <f t="shared" si="63"/>
        <v>0</v>
      </c>
      <c r="T205" s="960">
        <f t="shared" si="64"/>
        <v>0</v>
      </c>
      <c r="U205" s="960">
        <f t="shared" si="65"/>
        <v>0</v>
      </c>
      <c r="V205" s="960">
        <f t="shared" si="66"/>
        <v>0</v>
      </c>
      <c r="W205" s="960"/>
      <c r="X205" s="960"/>
      <c r="Y205" s="960"/>
      <c r="Z205" s="960"/>
      <c r="AA205" s="975">
        <f t="shared" si="67"/>
        <v>0</v>
      </c>
      <c r="AB205" s="975"/>
      <c r="AC205" s="975"/>
      <c r="AD205" s="975"/>
      <c r="AE205" s="976">
        <f t="shared" si="69"/>
        <v>0</v>
      </c>
      <c r="AF205" s="975"/>
      <c r="AG205" s="975"/>
      <c r="AH205" s="975">
        <f t="shared" si="68"/>
        <v>0</v>
      </c>
      <c r="AI205" s="975">
        <f>VLOOKUP(C205,'[8]CHẤM CÔNG '!$F$10:$AM$451,33,0)</f>
        <v>0</v>
      </c>
      <c r="AJ205" s="975">
        <f>VLOOKUP(C205,'[8]CHẤM CÔNG '!$F$10:$AM$451,34,0)</f>
        <v>0</v>
      </c>
      <c r="AK205" s="975"/>
      <c r="AL205" s="975"/>
      <c r="AM205" s="975"/>
      <c r="AN205" s="975">
        <f>VLOOKUP(C205,'[8]CHẤM CÔNG '!$F$10:$AN$451,35,0)</f>
        <v>0</v>
      </c>
      <c r="AO205" s="975">
        <f>VLOOKUP(C205,'[8]CHẤM CÔNG '!$F$10:$AR$451,36,0)</f>
        <v>0</v>
      </c>
      <c r="AP205" s="975"/>
      <c r="AQ205" s="975"/>
      <c r="AR205" s="975"/>
      <c r="AS205" s="981"/>
      <c r="AT205" s="982">
        <f>VLOOKUP(C205,'[8]MỦ TẠP'!$D$10:$AO$450,38,0)</f>
        <v>0</v>
      </c>
    </row>
    <row r="206" spans="1:46" ht="15.75">
      <c r="A206" s="957">
        <v>11</v>
      </c>
      <c r="B206" s="958" t="str">
        <f>VLOOKUP(C206,'[8]DS CN MOI UP'!$B$10:$C$489,2,0)</f>
        <v>02445</v>
      </c>
      <c r="C206" s="992" t="s">
        <v>109</v>
      </c>
      <c r="D206" s="957" t="s">
        <v>15</v>
      </c>
      <c r="E206" s="960"/>
      <c r="F206" s="960"/>
      <c r="G206" s="960"/>
      <c r="H206" s="960"/>
      <c r="I206" s="960"/>
      <c r="J206" s="960"/>
      <c r="K206" s="960"/>
      <c r="L206" s="960"/>
      <c r="M206" s="960"/>
      <c r="N206" s="960">
        <f t="shared" si="58"/>
        <v>0</v>
      </c>
      <c r="O206" s="960">
        <f t="shared" si="59"/>
        <v>0</v>
      </c>
      <c r="P206" s="960">
        <f t="shared" si="60"/>
        <v>0</v>
      </c>
      <c r="Q206" s="960">
        <f t="shared" si="61"/>
        <v>0</v>
      </c>
      <c r="R206" s="960">
        <f t="shared" si="62"/>
        <v>0</v>
      </c>
      <c r="S206" s="960">
        <f t="shared" si="63"/>
        <v>0</v>
      </c>
      <c r="T206" s="960">
        <f t="shared" si="64"/>
        <v>0</v>
      </c>
      <c r="U206" s="960">
        <f t="shared" si="65"/>
        <v>0</v>
      </c>
      <c r="V206" s="960">
        <f t="shared" si="66"/>
        <v>0</v>
      </c>
      <c r="W206" s="960"/>
      <c r="X206" s="960"/>
      <c r="Y206" s="960"/>
      <c r="Z206" s="960"/>
      <c r="AA206" s="975">
        <f t="shared" si="67"/>
        <v>0</v>
      </c>
      <c r="AB206" s="975"/>
      <c r="AC206" s="975"/>
      <c r="AD206" s="975"/>
      <c r="AE206" s="976">
        <f t="shared" si="69"/>
        <v>0</v>
      </c>
      <c r="AF206" s="975"/>
      <c r="AG206" s="975"/>
      <c r="AH206" s="975">
        <f t="shared" si="68"/>
        <v>0</v>
      </c>
      <c r="AI206" s="975">
        <f>VLOOKUP(C206,'[8]CHẤM CÔNG '!$F$10:$AM$451,33,0)</f>
        <v>0</v>
      </c>
      <c r="AJ206" s="975">
        <f>VLOOKUP(C206,'[8]CHẤM CÔNG '!$F$10:$AM$451,34,0)</f>
        <v>0</v>
      </c>
      <c r="AK206" s="975"/>
      <c r="AL206" s="975"/>
      <c r="AM206" s="975"/>
      <c r="AN206" s="975">
        <f>VLOOKUP(C206,'[8]CHẤM CÔNG '!$F$10:$AN$451,35,0)</f>
        <v>0</v>
      </c>
      <c r="AO206" s="975">
        <f>VLOOKUP(C206,'[8]CHẤM CÔNG '!$F$10:$AR$451,36,0)</f>
        <v>0</v>
      </c>
      <c r="AP206" s="975"/>
      <c r="AQ206" s="975"/>
      <c r="AR206" s="975"/>
      <c r="AS206" s="981"/>
      <c r="AT206" s="982">
        <f>VLOOKUP(C206,'[8]MỦ TẠP'!$D$10:$AO$450,38,0)</f>
        <v>0</v>
      </c>
    </row>
    <row r="207" spans="1:46" ht="15.75">
      <c r="A207" s="957">
        <v>12</v>
      </c>
      <c r="B207" s="958" t="str">
        <f>VLOOKUP(C207,'[8]DS CN MOI UP'!$B$10:$C$489,2,0)</f>
        <v>02446</v>
      </c>
      <c r="C207" s="992" t="s">
        <v>110</v>
      </c>
      <c r="D207" s="957" t="s">
        <v>15</v>
      </c>
      <c r="E207" s="960"/>
      <c r="F207" s="960"/>
      <c r="G207" s="960"/>
      <c r="H207" s="960"/>
      <c r="I207" s="960"/>
      <c r="J207" s="960"/>
      <c r="K207" s="960"/>
      <c r="L207" s="960"/>
      <c r="M207" s="960"/>
      <c r="N207" s="960">
        <f t="shared" si="58"/>
        <v>0</v>
      </c>
      <c r="O207" s="960">
        <f t="shared" si="59"/>
        <v>0</v>
      </c>
      <c r="P207" s="960">
        <f t="shared" si="60"/>
        <v>0</v>
      </c>
      <c r="Q207" s="960">
        <f t="shared" si="61"/>
        <v>0</v>
      </c>
      <c r="R207" s="960">
        <f t="shared" si="62"/>
        <v>0</v>
      </c>
      <c r="S207" s="960">
        <f t="shared" si="63"/>
        <v>0</v>
      </c>
      <c r="T207" s="960">
        <f t="shared" si="64"/>
        <v>0</v>
      </c>
      <c r="U207" s="960">
        <f t="shared" si="65"/>
        <v>0</v>
      </c>
      <c r="V207" s="960">
        <f t="shared" si="66"/>
        <v>0</v>
      </c>
      <c r="W207" s="960"/>
      <c r="X207" s="960"/>
      <c r="Y207" s="960"/>
      <c r="Z207" s="960"/>
      <c r="AA207" s="975">
        <f t="shared" si="67"/>
        <v>0</v>
      </c>
      <c r="AB207" s="975">
        <f>VLOOKUP(C207,'[8]MỦ TẠP'!$D$10:$AM$450,36,0)</f>
        <v>0</v>
      </c>
      <c r="AC207" s="975"/>
      <c r="AD207" s="975"/>
      <c r="AE207" s="976">
        <f t="shared" si="69"/>
        <v>0</v>
      </c>
      <c r="AF207" s="975"/>
      <c r="AG207" s="975"/>
      <c r="AH207" s="975">
        <f t="shared" si="68"/>
        <v>0</v>
      </c>
      <c r="AI207" s="975">
        <f>VLOOKUP(C207,'[8]CHẤM CÔNG '!$F$10:$AM$451,33,0)</f>
        <v>0</v>
      </c>
      <c r="AJ207" s="975">
        <f>VLOOKUP(C207,'[8]CHẤM CÔNG '!$F$10:$AM$451,34,0)</f>
        <v>0</v>
      </c>
      <c r="AK207" s="975"/>
      <c r="AL207" s="975"/>
      <c r="AM207" s="975"/>
      <c r="AN207" s="975">
        <f>VLOOKUP(C207,'[8]CHẤM CÔNG '!$F$10:$AN$451,35,0)</f>
        <v>0</v>
      </c>
      <c r="AO207" s="975">
        <f>VLOOKUP(C207,'[8]CHẤM CÔNG '!$F$10:$AR$451,36,0)</f>
        <v>0</v>
      </c>
      <c r="AP207" s="975"/>
      <c r="AQ207" s="975"/>
      <c r="AR207" s="975"/>
      <c r="AS207" s="981"/>
      <c r="AT207" s="982">
        <f>VLOOKUP(C207,'[8]MỦ TẠP'!$D$10:$AO$450,38,0)</f>
        <v>0</v>
      </c>
    </row>
    <row r="208" spans="1:46" ht="15.75">
      <c r="A208" s="957">
        <v>13</v>
      </c>
      <c r="B208" s="958" t="str">
        <f>VLOOKUP(C208,'[8]DS CN MOI UP'!$B$10:$C$489,2,0)</f>
        <v>03345</v>
      </c>
      <c r="C208" s="992" t="s">
        <v>111</v>
      </c>
      <c r="D208" s="957" t="s">
        <v>15</v>
      </c>
      <c r="E208" s="960"/>
      <c r="F208" s="960"/>
      <c r="G208" s="960"/>
      <c r="H208" s="960"/>
      <c r="I208" s="960"/>
      <c r="J208" s="960"/>
      <c r="K208" s="960"/>
      <c r="L208" s="960"/>
      <c r="M208" s="960"/>
      <c r="N208" s="960">
        <f t="shared" si="58"/>
        <v>0</v>
      </c>
      <c r="O208" s="960">
        <f t="shared" si="59"/>
        <v>0</v>
      </c>
      <c r="P208" s="960">
        <f t="shared" si="60"/>
        <v>0</v>
      </c>
      <c r="Q208" s="960">
        <f t="shared" si="61"/>
        <v>0</v>
      </c>
      <c r="R208" s="960">
        <f t="shared" si="62"/>
        <v>0</v>
      </c>
      <c r="S208" s="960">
        <f t="shared" si="63"/>
        <v>0</v>
      </c>
      <c r="T208" s="960">
        <f t="shared" si="64"/>
        <v>0</v>
      </c>
      <c r="U208" s="960">
        <f t="shared" si="65"/>
        <v>0</v>
      </c>
      <c r="V208" s="960">
        <f t="shared" si="66"/>
        <v>0</v>
      </c>
      <c r="W208" s="960"/>
      <c r="X208" s="960"/>
      <c r="Y208" s="960"/>
      <c r="Z208" s="960"/>
      <c r="AA208" s="975">
        <f t="shared" si="67"/>
        <v>0</v>
      </c>
      <c r="AB208" s="975">
        <f>VLOOKUP(C208,'[8]MỦ TẠP'!$D$10:$AM$450,36,0)</f>
        <v>0</v>
      </c>
      <c r="AC208" s="975"/>
      <c r="AD208" s="975"/>
      <c r="AE208" s="976">
        <f t="shared" si="69"/>
        <v>0</v>
      </c>
      <c r="AF208" s="975"/>
      <c r="AG208" s="975"/>
      <c r="AH208" s="975">
        <f t="shared" si="68"/>
        <v>0</v>
      </c>
      <c r="AI208" s="975">
        <f>VLOOKUP(C208,'[8]CHẤM CÔNG '!$F$10:$AM$451,33,0)</f>
        <v>0</v>
      </c>
      <c r="AJ208" s="975">
        <f>VLOOKUP(C208,'[8]CHẤM CÔNG '!$F$10:$AM$451,34,0)</f>
        <v>0</v>
      </c>
      <c r="AK208" s="975"/>
      <c r="AL208" s="975"/>
      <c r="AM208" s="975"/>
      <c r="AN208" s="975">
        <f>VLOOKUP(C208,'[8]CHẤM CÔNG '!$F$10:$AN$451,35,0)</f>
        <v>0</v>
      </c>
      <c r="AO208" s="975">
        <f>VLOOKUP(C208,'[8]CHẤM CÔNG '!$F$10:$AR$451,36,0)</f>
        <v>0</v>
      </c>
      <c r="AP208" s="975"/>
      <c r="AQ208" s="975"/>
      <c r="AR208" s="975"/>
      <c r="AS208" s="981"/>
      <c r="AT208" s="982">
        <f>VLOOKUP(C208,'[8]MỦ TẠP'!$D$10:$AO$450,38,0)</f>
        <v>0</v>
      </c>
    </row>
    <row r="209" spans="1:52" ht="15.75">
      <c r="A209" s="957">
        <v>14</v>
      </c>
      <c r="B209" s="958" t="str">
        <f>VLOOKUP(C209,'[8]DS CN MOI UP'!$B$10:$C$489,2,0)</f>
        <v>03854</v>
      </c>
      <c r="C209" s="992" t="s">
        <v>112</v>
      </c>
      <c r="D209" s="957" t="s">
        <v>15</v>
      </c>
      <c r="E209" s="960"/>
      <c r="F209" s="960"/>
      <c r="G209" s="960"/>
      <c r="H209" s="960"/>
      <c r="I209" s="960"/>
      <c r="J209" s="960"/>
      <c r="K209" s="960"/>
      <c r="L209" s="960"/>
      <c r="M209" s="960"/>
      <c r="N209" s="960">
        <f t="shared" si="58"/>
        <v>0</v>
      </c>
      <c r="O209" s="960">
        <f t="shared" si="59"/>
        <v>0</v>
      </c>
      <c r="P209" s="960">
        <f t="shared" si="60"/>
        <v>0</v>
      </c>
      <c r="Q209" s="960">
        <f t="shared" si="61"/>
        <v>0</v>
      </c>
      <c r="R209" s="960">
        <f t="shared" si="62"/>
        <v>0</v>
      </c>
      <c r="S209" s="960">
        <f t="shared" si="63"/>
        <v>0</v>
      </c>
      <c r="T209" s="960">
        <f t="shared" si="64"/>
        <v>0</v>
      </c>
      <c r="U209" s="960">
        <f t="shared" si="65"/>
        <v>0</v>
      </c>
      <c r="V209" s="960">
        <f t="shared" si="66"/>
        <v>0</v>
      </c>
      <c r="W209" s="960"/>
      <c r="X209" s="960"/>
      <c r="Y209" s="960"/>
      <c r="Z209" s="960"/>
      <c r="AA209" s="975">
        <f t="shared" si="67"/>
        <v>0</v>
      </c>
      <c r="AB209" s="975">
        <f>VLOOKUP(C209,'[8]MỦ TẠP'!$D$10:$AM$450,36,0)</f>
        <v>0</v>
      </c>
      <c r="AC209" s="975"/>
      <c r="AD209" s="975"/>
      <c r="AE209" s="976">
        <f t="shared" si="69"/>
        <v>0</v>
      </c>
      <c r="AF209" s="975"/>
      <c r="AG209" s="975"/>
      <c r="AH209" s="975">
        <f t="shared" si="68"/>
        <v>0</v>
      </c>
      <c r="AI209" s="975">
        <f>VLOOKUP(C209,'[8]CHẤM CÔNG '!$F$10:$AM$451,33,0)</f>
        <v>0</v>
      </c>
      <c r="AJ209" s="975">
        <f>VLOOKUP(C209,'[8]CHẤM CÔNG '!$F$10:$AM$451,34,0)</f>
        <v>0</v>
      </c>
      <c r="AK209" s="975"/>
      <c r="AL209" s="975"/>
      <c r="AM209" s="975"/>
      <c r="AN209" s="975">
        <f>VLOOKUP(C209,'[8]CHẤM CÔNG '!$F$10:$AN$451,35,0)</f>
        <v>0</v>
      </c>
      <c r="AO209" s="975">
        <f>VLOOKUP(C209,'[8]CHẤM CÔNG '!$F$10:$AR$451,36,0)</f>
        <v>0</v>
      </c>
      <c r="AP209" s="975"/>
      <c r="AQ209" s="975"/>
      <c r="AR209" s="975"/>
      <c r="AS209" s="981"/>
      <c r="AT209" s="982">
        <f>VLOOKUP(C209,'[8]MỦ TẠP'!$D$10:$AO$450,38,0)</f>
        <v>0</v>
      </c>
    </row>
    <row r="210" spans="1:52" ht="15.75">
      <c r="A210" s="957">
        <v>15</v>
      </c>
      <c r="B210" s="958" t="str">
        <f>VLOOKUP(C210,'[8]DS CN MOI UP'!$B$10:$C$489,2,0)</f>
        <v>03855</v>
      </c>
      <c r="C210" s="992" t="s">
        <v>113</v>
      </c>
      <c r="D210" s="957" t="s">
        <v>15</v>
      </c>
      <c r="E210" s="960"/>
      <c r="F210" s="960"/>
      <c r="G210" s="960"/>
      <c r="H210" s="960"/>
      <c r="I210" s="960"/>
      <c r="J210" s="960"/>
      <c r="K210" s="960"/>
      <c r="L210" s="960"/>
      <c r="M210" s="960"/>
      <c r="N210" s="960">
        <f t="shared" si="58"/>
        <v>0</v>
      </c>
      <c r="O210" s="960">
        <f t="shared" si="59"/>
        <v>0</v>
      </c>
      <c r="P210" s="960">
        <f t="shared" si="60"/>
        <v>0</v>
      </c>
      <c r="Q210" s="960">
        <f t="shared" si="61"/>
        <v>0</v>
      </c>
      <c r="R210" s="960">
        <f t="shared" si="62"/>
        <v>0</v>
      </c>
      <c r="S210" s="960">
        <f t="shared" si="63"/>
        <v>0</v>
      </c>
      <c r="T210" s="960">
        <f t="shared" si="64"/>
        <v>0</v>
      </c>
      <c r="U210" s="960">
        <f t="shared" si="65"/>
        <v>0</v>
      </c>
      <c r="V210" s="960">
        <f t="shared" si="66"/>
        <v>0</v>
      </c>
      <c r="W210" s="960"/>
      <c r="X210" s="960"/>
      <c r="Y210" s="960"/>
      <c r="Z210" s="960"/>
      <c r="AA210" s="975">
        <f t="shared" si="67"/>
        <v>0</v>
      </c>
      <c r="AB210" s="975">
        <f>VLOOKUP(C210,'[8]MỦ TẠP'!$D$10:$AM$450,36,0)</f>
        <v>0</v>
      </c>
      <c r="AC210" s="975"/>
      <c r="AD210" s="975"/>
      <c r="AE210" s="976">
        <f t="shared" si="69"/>
        <v>0</v>
      </c>
      <c r="AF210" s="975"/>
      <c r="AG210" s="975"/>
      <c r="AH210" s="975">
        <f t="shared" si="68"/>
        <v>0</v>
      </c>
      <c r="AI210" s="975">
        <f>VLOOKUP(C210,'[8]CHẤM CÔNG '!$F$10:$AM$451,33,0)</f>
        <v>0</v>
      </c>
      <c r="AJ210" s="975">
        <f>VLOOKUP(C210,'[8]CHẤM CÔNG '!$F$10:$AM$451,34,0)</f>
        <v>0</v>
      </c>
      <c r="AK210" s="975"/>
      <c r="AL210" s="975"/>
      <c r="AM210" s="975"/>
      <c r="AN210" s="975">
        <f>VLOOKUP(C210,'[8]CHẤM CÔNG '!$F$10:$AN$451,35,0)</f>
        <v>0</v>
      </c>
      <c r="AO210" s="975">
        <f>VLOOKUP(C210,'[8]CHẤM CÔNG '!$F$10:$AR$451,36,0)</f>
        <v>0</v>
      </c>
      <c r="AP210" s="975"/>
      <c r="AQ210" s="975"/>
      <c r="AR210" s="975"/>
      <c r="AS210" s="981"/>
      <c r="AT210" s="982">
        <f>VLOOKUP(C210,'[8]MỦ TẠP'!$D$10:$AO$450,38,0)</f>
        <v>0</v>
      </c>
    </row>
    <row r="211" spans="1:52" ht="15.75">
      <c r="A211" s="957">
        <v>16</v>
      </c>
      <c r="B211" s="958" t="e">
        <f>VLOOKUP(C211,'[8]DS CN MOI UP'!$B$10:$C$489,2,0)</f>
        <v>#N/A</v>
      </c>
      <c r="C211" s="992" t="s">
        <v>114</v>
      </c>
      <c r="D211" s="957" t="s">
        <v>15</v>
      </c>
      <c r="E211" s="960"/>
      <c r="F211" s="960"/>
      <c r="G211" s="960"/>
      <c r="H211" s="960"/>
      <c r="I211" s="960"/>
      <c r="J211" s="960"/>
      <c r="K211" s="960"/>
      <c r="L211" s="960"/>
      <c r="M211" s="960"/>
      <c r="N211" s="960">
        <f t="shared" si="58"/>
        <v>0</v>
      </c>
      <c r="O211" s="960">
        <f t="shared" si="59"/>
        <v>0</v>
      </c>
      <c r="P211" s="960">
        <f t="shared" si="60"/>
        <v>0</v>
      </c>
      <c r="Q211" s="960">
        <f t="shared" si="61"/>
        <v>0</v>
      </c>
      <c r="R211" s="960">
        <f t="shared" si="62"/>
        <v>0</v>
      </c>
      <c r="S211" s="960">
        <f t="shared" si="63"/>
        <v>0</v>
      </c>
      <c r="T211" s="960">
        <f t="shared" si="64"/>
        <v>0</v>
      </c>
      <c r="U211" s="960">
        <f t="shared" si="65"/>
        <v>0</v>
      </c>
      <c r="V211" s="960">
        <f t="shared" si="66"/>
        <v>0</v>
      </c>
      <c r="W211" s="960"/>
      <c r="X211" s="960"/>
      <c r="Y211" s="960"/>
      <c r="Z211" s="960"/>
      <c r="AA211" s="975">
        <f t="shared" si="67"/>
        <v>0</v>
      </c>
      <c r="AB211" s="975">
        <f>VLOOKUP(C211,'[8]MỦ TẠP'!$D$10:$AM$450,36,0)</f>
        <v>0</v>
      </c>
      <c r="AC211" s="975"/>
      <c r="AD211" s="975"/>
      <c r="AE211" s="976">
        <f t="shared" si="69"/>
        <v>0</v>
      </c>
      <c r="AF211" s="975"/>
      <c r="AG211" s="975"/>
      <c r="AH211" s="975">
        <f t="shared" si="68"/>
        <v>0</v>
      </c>
      <c r="AI211" s="975">
        <f>VLOOKUP(C211,'[8]CHẤM CÔNG '!$F$10:$AM$451,33,0)</f>
        <v>0</v>
      </c>
      <c r="AJ211" s="975">
        <f>VLOOKUP(C211,'[8]CHẤM CÔNG '!$F$10:$AM$451,34,0)</f>
        <v>0</v>
      </c>
      <c r="AK211" s="975"/>
      <c r="AL211" s="975"/>
      <c r="AM211" s="975"/>
      <c r="AN211" s="975">
        <f>VLOOKUP(C211,'[8]CHẤM CÔNG '!$F$10:$AN$451,35,0)</f>
        <v>0</v>
      </c>
      <c r="AO211" s="975">
        <f>VLOOKUP(C211,'[8]CHẤM CÔNG '!$F$10:$AR$451,36,0)</f>
        <v>0</v>
      </c>
      <c r="AP211" s="975"/>
      <c r="AQ211" s="975"/>
      <c r="AR211" s="975"/>
      <c r="AS211" s="981"/>
      <c r="AT211" s="982">
        <f>VLOOKUP(C211,'[8]MỦ TẠP'!$D$10:$AO$450,38,0)</f>
        <v>0</v>
      </c>
    </row>
    <row r="212" spans="1:52" ht="15.75">
      <c r="A212" s="957">
        <v>17</v>
      </c>
      <c r="B212" s="958" t="e">
        <f>VLOOKUP(C212,'[8]DS CN MOI UP'!$B$10:$C$489,2,0)</f>
        <v>#N/A</v>
      </c>
      <c r="C212" s="992" t="s">
        <v>116</v>
      </c>
      <c r="D212" s="957" t="s">
        <v>15</v>
      </c>
      <c r="E212" s="960"/>
      <c r="F212" s="960"/>
      <c r="G212" s="960"/>
      <c r="H212" s="960"/>
      <c r="I212" s="960"/>
      <c r="J212" s="960"/>
      <c r="K212" s="960"/>
      <c r="L212" s="960"/>
      <c r="M212" s="960"/>
      <c r="N212" s="960">
        <f t="shared" si="58"/>
        <v>0</v>
      </c>
      <c r="O212" s="960">
        <f t="shared" si="59"/>
        <v>0</v>
      </c>
      <c r="P212" s="960">
        <f t="shared" si="60"/>
        <v>0</v>
      </c>
      <c r="Q212" s="960">
        <f t="shared" si="61"/>
        <v>0</v>
      </c>
      <c r="R212" s="960">
        <f t="shared" si="62"/>
        <v>0</v>
      </c>
      <c r="S212" s="960">
        <f t="shared" si="63"/>
        <v>0</v>
      </c>
      <c r="T212" s="960">
        <f t="shared" si="64"/>
        <v>0</v>
      </c>
      <c r="U212" s="960">
        <f t="shared" si="65"/>
        <v>0</v>
      </c>
      <c r="V212" s="960">
        <f t="shared" si="66"/>
        <v>0</v>
      </c>
      <c r="W212" s="960"/>
      <c r="X212" s="960"/>
      <c r="Y212" s="960"/>
      <c r="Z212" s="960"/>
      <c r="AA212" s="975">
        <f t="shared" si="67"/>
        <v>0</v>
      </c>
      <c r="AB212" s="975">
        <f>VLOOKUP(C212,'[8]MỦ TẠP'!$D$10:$AM$450,36,0)</f>
        <v>0</v>
      </c>
      <c r="AC212" s="975"/>
      <c r="AD212" s="975"/>
      <c r="AE212" s="976">
        <f t="shared" si="69"/>
        <v>0</v>
      </c>
      <c r="AF212" s="975"/>
      <c r="AG212" s="975"/>
      <c r="AH212" s="975">
        <f t="shared" si="68"/>
        <v>0</v>
      </c>
      <c r="AI212" s="975">
        <f>VLOOKUP(C212,'[8]CHẤM CÔNG '!$F$10:$AM$451,33,0)</f>
        <v>0</v>
      </c>
      <c r="AJ212" s="975">
        <f>VLOOKUP(C212,'[8]CHẤM CÔNG '!$F$10:$AM$451,34,0)</f>
        <v>0</v>
      </c>
      <c r="AK212" s="975"/>
      <c r="AL212" s="975"/>
      <c r="AM212" s="975"/>
      <c r="AN212" s="975">
        <f>VLOOKUP(C212,'[8]CHẤM CÔNG '!$F$10:$AN$451,35,0)</f>
        <v>0</v>
      </c>
      <c r="AO212" s="975">
        <f>VLOOKUP(C212,'[8]CHẤM CÔNG '!$F$10:$AR$451,36,0)</f>
        <v>0</v>
      </c>
      <c r="AP212" s="975"/>
      <c r="AQ212" s="975"/>
      <c r="AR212" s="975"/>
      <c r="AS212" s="981"/>
      <c r="AT212" s="982">
        <f>VLOOKUP(C212,'[8]MỦ TẠP'!$D$10:$AO$450,38,0)</f>
        <v>0</v>
      </c>
    </row>
    <row r="213" spans="1:52" ht="15.75">
      <c r="A213" s="957">
        <v>18</v>
      </c>
      <c r="B213" s="958" t="str">
        <f>VLOOKUP(C213,'[8]DS CN MOI UP'!$B$10:$C$489,2,0)</f>
        <v>02505</v>
      </c>
      <c r="C213" s="992" t="s">
        <v>117</v>
      </c>
      <c r="D213" s="957" t="s">
        <v>15</v>
      </c>
      <c r="E213" s="960"/>
      <c r="F213" s="960"/>
      <c r="G213" s="960"/>
      <c r="H213" s="960"/>
      <c r="I213" s="960"/>
      <c r="J213" s="960"/>
      <c r="K213" s="960"/>
      <c r="L213" s="960"/>
      <c r="M213" s="960"/>
      <c r="N213" s="960">
        <f t="shared" si="58"/>
        <v>0</v>
      </c>
      <c r="O213" s="960">
        <f t="shared" si="59"/>
        <v>0</v>
      </c>
      <c r="P213" s="960">
        <f t="shared" si="60"/>
        <v>0</v>
      </c>
      <c r="Q213" s="960">
        <f t="shared" si="61"/>
        <v>0</v>
      </c>
      <c r="R213" s="960">
        <f t="shared" si="62"/>
        <v>0</v>
      </c>
      <c r="S213" s="960">
        <f t="shared" si="63"/>
        <v>0</v>
      </c>
      <c r="T213" s="960">
        <f t="shared" si="64"/>
        <v>0</v>
      </c>
      <c r="U213" s="960">
        <f t="shared" si="65"/>
        <v>0</v>
      </c>
      <c r="V213" s="960">
        <f t="shared" si="66"/>
        <v>0</v>
      </c>
      <c r="W213" s="960"/>
      <c r="X213" s="960"/>
      <c r="Y213" s="960"/>
      <c r="Z213" s="960"/>
      <c r="AA213" s="975">
        <f t="shared" si="67"/>
        <v>0</v>
      </c>
      <c r="AB213" s="975">
        <f>VLOOKUP(C213,'[8]MỦ TẠP'!$D$10:$AM$450,36,0)</f>
        <v>0</v>
      </c>
      <c r="AC213" s="975"/>
      <c r="AD213" s="975"/>
      <c r="AE213" s="976">
        <f t="shared" si="69"/>
        <v>0</v>
      </c>
      <c r="AF213" s="975"/>
      <c r="AG213" s="975"/>
      <c r="AH213" s="975">
        <f t="shared" si="68"/>
        <v>0</v>
      </c>
      <c r="AI213" s="975">
        <f>VLOOKUP(C213,'[8]CHẤM CÔNG '!$F$10:$AM$451,33,0)</f>
        <v>0</v>
      </c>
      <c r="AJ213" s="975">
        <f>VLOOKUP(C213,'[8]CHẤM CÔNG '!$F$10:$AM$451,34,0)</f>
        <v>0</v>
      </c>
      <c r="AK213" s="975"/>
      <c r="AL213" s="975"/>
      <c r="AM213" s="975"/>
      <c r="AN213" s="975">
        <f>VLOOKUP(C213,'[8]CHẤM CÔNG '!$F$10:$AN$451,35,0)</f>
        <v>0</v>
      </c>
      <c r="AO213" s="975">
        <f>VLOOKUP(C213,'[8]CHẤM CÔNG '!$F$10:$AR$451,36,0)</f>
        <v>0</v>
      </c>
      <c r="AP213" s="975"/>
      <c r="AQ213" s="975"/>
      <c r="AR213" s="975"/>
      <c r="AS213" s="981"/>
      <c r="AT213" s="982">
        <f>VLOOKUP(C213,'[8]MỦ TẠP'!$D$10:$AO$450,38,0)</f>
        <v>0</v>
      </c>
    </row>
    <row r="214" spans="1:52" ht="15.75">
      <c r="A214" s="957">
        <v>19</v>
      </c>
      <c r="B214" s="958" t="e">
        <f>VLOOKUP(C214,'[8]DS CN MOI UP'!$B$10:$C$489,2,0)</f>
        <v>#N/A</v>
      </c>
      <c r="C214" s="992" t="s">
        <v>118</v>
      </c>
      <c r="D214" s="957" t="s">
        <v>15</v>
      </c>
      <c r="E214" s="960"/>
      <c r="F214" s="960"/>
      <c r="G214" s="960"/>
      <c r="H214" s="960"/>
      <c r="I214" s="960"/>
      <c r="J214" s="960"/>
      <c r="K214" s="960"/>
      <c r="L214" s="960"/>
      <c r="M214" s="960"/>
      <c r="N214" s="960">
        <f t="shared" si="58"/>
        <v>0</v>
      </c>
      <c r="O214" s="960">
        <f t="shared" si="59"/>
        <v>0</v>
      </c>
      <c r="P214" s="960">
        <f t="shared" si="60"/>
        <v>0</v>
      </c>
      <c r="Q214" s="960">
        <f t="shared" si="61"/>
        <v>0</v>
      </c>
      <c r="R214" s="960">
        <f t="shared" si="62"/>
        <v>0</v>
      </c>
      <c r="S214" s="960">
        <f t="shared" si="63"/>
        <v>0</v>
      </c>
      <c r="T214" s="960">
        <f t="shared" si="64"/>
        <v>0</v>
      </c>
      <c r="U214" s="960">
        <f t="shared" si="65"/>
        <v>0</v>
      </c>
      <c r="V214" s="960">
        <f t="shared" si="66"/>
        <v>0</v>
      </c>
      <c r="W214" s="960"/>
      <c r="X214" s="960"/>
      <c r="Y214" s="960"/>
      <c r="Z214" s="960"/>
      <c r="AA214" s="975">
        <f t="shared" si="67"/>
        <v>0</v>
      </c>
      <c r="AB214" s="975"/>
      <c r="AC214" s="975"/>
      <c r="AD214" s="975"/>
      <c r="AE214" s="976">
        <f t="shared" si="69"/>
        <v>0</v>
      </c>
      <c r="AF214" s="975"/>
      <c r="AG214" s="975"/>
      <c r="AH214" s="975">
        <f t="shared" si="68"/>
        <v>0</v>
      </c>
      <c r="AI214" s="975" t="e">
        <f>VLOOKUP(C214,'[8]CHẤM CÔNG '!$F$10:$AM$451,33,0)</f>
        <v>#N/A</v>
      </c>
      <c r="AJ214" s="975" t="e">
        <f>VLOOKUP(C214,'[8]CHẤM CÔNG '!$F$10:$AM$451,34,0)</f>
        <v>#N/A</v>
      </c>
      <c r="AK214" s="975"/>
      <c r="AL214" s="975"/>
      <c r="AM214" s="975"/>
      <c r="AN214" s="975" t="e">
        <f>VLOOKUP(C214,'[8]CHẤM CÔNG '!$F$10:$AN$451,35,0)</f>
        <v>#N/A</v>
      </c>
      <c r="AO214" s="975" t="e">
        <f>VLOOKUP(C214,'[8]CHẤM CÔNG '!$F$10:$AR$451,36,0)</f>
        <v>#N/A</v>
      </c>
      <c r="AP214" s="975"/>
      <c r="AQ214" s="975"/>
      <c r="AR214" s="975"/>
      <c r="AS214" s="981"/>
      <c r="AT214" s="982" t="e">
        <f>VLOOKUP(C214,'[8]MỦ TẠP'!$D$10:$AO$450,38,0)</f>
        <v>#N/A</v>
      </c>
    </row>
    <row r="215" spans="1:52" ht="15.75">
      <c r="A215" s="957">
        <v>20</v>
      </c>
      <c r="B215" s="958" t="str">
        <f>VLOOKUP(C215,'[8]DS CN MOI UP'!$B$10:$C$489,2,0)</f>
        <v>02477</v>
      </c>
      <c r="C215" s="992" t="s">
        <v>119</v>
      </c>
      <c r="D215" s="957" t="s">
        <v>15</v>
      </c>
      <c r="E215" s="960"/>
      <c r="F215" s="960"/>
      <c r="G215" s="960"/>
      <c r="H215" s="960"/>
      <c r="I215" s="960"/>
      <c r="J215" s="960"/>
      <c r="K215" s="960"/>
      <c r="L215" s="960"/>
      <c r="M215" s="960"/>
      <c r="N215" s="960">
        <f t="shared" si="58"/>
        <v>0</v>
      </c>
      <c r="O215" s="960">
        <f t="shared" si="59"/>
        <v>0</v>
      </c>
      <c r="P215" s="960">
        <f t="shared" si="60"/>
        <v>0</v>
      </c>
      <c r="Q215" s="960">
        <f t="shared" si="61"/>
        <v>0</v>
      </c>
      <c r="R215" s="960">
        <f t="shared" si="62"/>
        <v>0</v>
      </c>
      <c r="S215" s="960">
        <f t="shared" si="63"/>
        <v>0</v>
      </c>
      <c r="T215" s="960">
        <f t="shared" si="64"/>
        <v>0</v>
      </c>
      <c r="U215" s="960">
        <f t="shared" si="65"/>
        <v>0</v>
      </c>
      <c r="V215" s="960">
        <f t="shared" si="66"/>
        <v>0</v>
      </c>
      <c r="W215" s="960"/>
      <c r="X215" s="960"/>
      <c r="Y215" s="960"/>
      <c r="Z215" s="960"/>
      <c r="AA215" s="975">
        <f t="shared" si="67"/>
        <v>0</v>
      </c>
      <c r="AB215" s="975"/>
      <c r="AC215" s="975"/>
      <c r="AD215" s="975"/>
      <c r="AE215" s="976">
        <f t="shared" si="69"/>
        <v>0</v>
      </c>
      <c r="AF215" s="975"/>
      <c r="AG215" s="975"/>
      <c r="AH215" s="975">
        <f t="shared" si="68"/>
        <v>0</v>
      </c>
      <c r="AI215" s="975">
        <f>VLOOKUP(C215,'[8]CHẤM CÔNG '!$F$10:$AM$451,33,0)</f>
        <v>0</v>
      </c>
      <c r="AJ215" s="975">
        <f>VLOOKUP(C215,'[8]CHẤM CÔNG '!$F$10:$AM$451,34,0)</f>
        <v>0</v>
      </c>
      <c r="AK215" s="975"/>
      <c r="AL215" s="975"/>
      <c r="AM215" s="975"/>
      <c r="AN215" s="975">
        <f>VLOOKUP(C215,'[8]CHẤM CÔNG '!$F$10:$AN$451,35,0)</f>
        <v>0</v>
      </c>
      <c r="AO215" s="975">
        <f>VLOOKUP(C215,'[8]CHẤM CÔNG '!$F$10:$AR$451,36,0)</f>
        <v>0</v>
      </c>
      <c r="AP215" s="975"/>
      <c r="AQ215" s="975"/>
      <c r="AR215" s="975"/>
      <c r="AS215" s="981"/>
      <c r="AT215" s="982">
        <f>VLOOKUP(C215,'[8]MỦ TẠP'!$D$10:$AO$450,38,0)</f>
        <v>0</v>
      </c>
    </row>
    <row r="216" spans="1:52" ht="15.75">
      <c r="A216" s="957">
        <v>21</v>
      </c>
      <c r="B216" s="958" t="str">
        <f>VLOOKUP(C216,'[8]DS CN MOI UP'!$B$10:$C$489,2,0)</f>
        <v>02495</v>
      </c>
      <c r="C216" s="992" t="s">
        <v>120</v>
      </c>
      <c r="D216" s="957" t="s">
        <v>15</v>
      </c>
      <c r="E216" s="960"/>
      <c r="F216" s="960"/>
      <c r="G216" s="960"/>
      <c r="H216" s="960"/>
      <c r="I216" s="960"/>
      <c r="J216" s="960"/>
      <c r="K216" s="960"/>
      <c r="L216" s="960"/>
      <c r="M216" s="960"/>
      <c r="N216" s="960">
        <f t="shared" si="58"/>
        <v>0</v>
      </c>
      <c r="O216" s="960">
        <f t="shared" si="59"/>
        <v>0</v>
      </c>
      <c r="P216" s="960">
        <f t="shared" si="60"/>
        <v>0</v>
      </c>
      <c r="Q216" s="960">
        <f t="shared" si="61"/>
        <v>0</v>
      </c>
      <c r="R216" s="960">
        <f t="shared" si="62"/>
        <v>0</v>
      </c>
      <c r="S216" s="960">
        <f t="shared" si="63"/>
        <v>0</v>
      </c>
      <c r="T216" s="960">
        <f t="shared" si="64"/>
        <v>0</v>
      </c>
      <c r="U216" s="960">
        <f t="shared" si="65"/>
        <v>0</v>
      </c>
      <c r="V216" s="960">
        <f t="shared" si="66"/>
        <v>0</v>
      </c>
      <c r="W216" s="960"/>
      <c r="X216" s="960"/>
      <c r="Y216" s="960"/>
      <c r="Z216" s="960"/>
      <c r="AA216" s="975">
        <f t="shared" si="67"/>
        <v>0</v>
      </c>
      <c r="AB216" s="975">
        <f>VLOOKUP(C216,'[8]MỦ TẠP'!$D$10:$AM$450,36,0)</f>
        <v>0</v>
      </c>
      <c r="AC216" s="975"/>
      <c r="AD216" s="975"/>
      <c r="AE216" s="976">
        <f t="shared" si="69"/>
        <v>0</v>
      </c>
      <c r="AF216" s="975"/>
      <c r="AG216" s="975"/>
      <c r="AH216" s="975">
        <f t="shared" si="68"/>
        <v>0</v>
      </c>
      <c r="AI216" s="975">
        <f>VLOOKUP(C216,'[8]CHẤM CÔNG '!$F$10:$AM$451,33,0)</f>
        <v>0</v>
      </c>
      <c r="AJ216" s="975">
        <f>VLOOKUP(C216,'[8]CHẤM CÔNG '!$F$10:$AM$451,34,0)</f>
        <v>0</v>
      </c>
      <c r="AK216" s="975"/>
      <c r="AL216" s="975"/>
      <c r="AM216" s="975"/>
      <c r="AN216" s="975">
        <f>VLOOKUP(C216,'[8]CHẤM CÔNG '!$F$10:$AN$451,35,0)</f>
        <v>0</v>
      </c>
      <c r="AO216" s="975">
        <f>VLOOKUP(C216,'[8]CHẤM CÔNG '!$F$10:$AR$451,36,0)</f>
        <v>0</v>
      </c>
      <c r="AP216" s="975"/>
      <c r="AQ216" s="975"/>
      <c r="AR216" s="975"/>
      <c r="AS216" s="981"/>
      <c r="AT216" s="982">
        <f>VLOOKUP(C216,'[8]MỦ TẠP'!$D$10:$AO$450,38,0)</f>
        <v>0</v>
      </c>
    </row>
    <row r="217" spans="1:52" ht="15.75">
      <c r="A217" s="957">
        <v>22</v>
      </c>
      <c r="B217" s="958" t="str">
        <f>VLOOKUP(C217,'[8]DS CN MOI UP'!$B$10:$C$489,2,0)</f>
        <v>03347</v>
      </c>
      <c r="C217" s="992" t="s">
        <v>121</v>
      </c>
      <c r="D217" s="957" t="s">
        <v>15</v>
      </c>
      <c r="E217" s="960"/>
      <c r="F217" s="960"/>
      <c r="G217" s="960"/>
      <c r="H217" s="960"/>
      <c r="I217" s="960"/>
      <c r="J217" s="960"/>
      <c r="K217" s="960"/>
      <c r="L217" s="960"/>
      <c r="M217" s="960"/>
      <c r="N217" s="960">
        <f t="shared" si="58"/>
        <v>0</v>
      </c>
      <c r="O217" s="960">
        <f t="shared" si="59"/>
        <v>0</v>
      </c>
      <c r="P217" s="960">
        <f t="shared" si="60"/>
        <v>0</v>
      </c>
      <c r="Q217" s="960">
        <f t="shared" si="61"/>
        <v>0</v>
      </c>
      <c r="R217" s="960">
        <f t="shared" si="62"/>
        <v>0</v>
      </c>
      <c r="S217" s="960">
        <f t="shared" si="63"/>
        <v>0</v>
      </c>
      <c r="T217" s="960">
        <f t="shared" si="64"/>
        <v>0</v>
      </c>
      <c r="U217" s="960">
        <f t="shared" si="65"/>
        <v>0</v>
      </c>
      <c r="V217" s="960">
        <f t="shared" si="66"/>
        <v>0</v>
      </c>
      <c r="W217" s="960"/>
      <c r="X217" s="960"/>
      <c r="Y217" s="960"/>
      <c r="Z217" s="960"/>
      <c r="AA217" s="975">
        <f t="shared" si="67"/>
        <v>0</v>
      </c>
      <c r="AB217" s="975">
        <f>VLOOKUP(C217,'[8]MỦ TẠP'!$D$10:$AM$450,36,0)</f>
        <v>0</v>
      </c>
      <c r="AC217" s="975"/>
      <c r="AD217" s="975"/>
      <c r="AE217" s="976">
        <f t="shared" si="69"/>
        <v>0</v>
      </c>
      <c r="AF217" s="975"/>
      <c r="AG217" s="975"/>
      <c r="AH217" s="975">
        <f t="shared" si="68"/>
        <v>0</v>
      </c>
      <c r="AI217" s="975">
        <f>VLOOKUP(C217,'[8]CHẤM CÔNG '!$F$10:$AM$451,33,0)</f>
        <v>0</v>
      </c>
      <c r="AJ217" s="975">
        <f>VLOOKUP(C217,'[8]CHẤM CÔNG '!$F$10:$AM$451,34,0)</f>
        <v>0</v>
      </c>
      <c r="AK217" s="975"/>
      <c r="AL217" s="975"/>
      <c r="AM217" s="975"/>
      <c r="AN217" s="975">
        <f>VLOOKUP(C217,'[8]CHẤM CÔNG '!$F$10:$AN$451,35,0)</f>
        <v>0</v>
      </c>
      <c r="AO217" s="975">
        <f>VLOOKUP(C217,'[8]CHẤM CÔNG '!$F$10:$AR$451,36,0)</f>
        <v>0</v>
      </c>
      <c r="AP217" s="975"/>
      <c r="AQ217" s="975"/>
      <c r="AR217" s="975"/>
      <c r="AS217" s="981"/>
      <c r="AT217" s="982">
        <f>VLOOKUP(C217,'[8]MỦ TẠP'!$D$10:$AO$450,38,0)</f>
        <v>0</v>
      </c>
    </row>
    <row r="218" spans="1:52" ht="15.75">
      <c r="A218" s="957">
        <v>23</v>
      </c>
      <c r="B218" s="958" t="str">
        <f>VLOOKUP(C218,'[8]DS CN MOI UP'!$B$10:$C$489,2,0)</f>
        <v>02516</v>
      </c>
      <c r="C218" s="992" t="s">
        <v>122</v>
      </c>
      <c r="D218" s="957" t="s">
        <v>15</v>
      </c>
      <c r="E218" s="960"/>
      <c r="F218" s="960"/>
      <c r="G218" s="960"/>
      <c r="H218" s="960"/>
      <c r="I218" s="960"/>
      <c r="J218" s="960"/>
      <c r="K218" s="960"/>
      <c r="L218" s="960"/>
      <c r="M218" s="960"/>
      <c r="N218" s="960">
        <f t="shared" si="58"/>
        <v>0</v>
      </c>
      <c r="O218" s="960">
        <f t="shared" si="59"/>
        <v>0</v>
      </c>
      <c r="P218" s="960">
        <f t="shared" si="60"/>
        <v>0</v>
      </c>
      <c r="Q218" s="960">
        <f t="shared" si="61"/>
        <v>0</v>
      </c>
      <c r="R218" s="960">
        <f t="shared" si="62"/>
        <v>0</v>
      </c>
      <c r="S218" s="960">
        <f t="shared" si="63"/>
        <v>0</v>
      </c>
      <c r="T218" s="960">
        <f t="shared" si="64"/>
        <v>0</v>
      </c>
      <c r="U218" s="960">
        <f t="shared" si="65"/>
        <v>0</v>
      </c>
      <c r="V218" s="960">
        <f t="shared" si="66"/>
        <v>0</v>
      </c>
      <c r="W218" s="960"/>
      <c r="X218" s="960"/>
      <c r="Y218" s="960"/>
      <c r="Z218" s="960"/>
      <c r="AA218" s="975">
        <f t="shared" si="67"/>
        <v>0</v>
      </c>
      <c r="AB218" s="975">
        <f>VLOOKUP(C218,'[8]MỦ TẠP'!$D$10:$AM$450,36,0)</f>
        <v>0</v>
      </c>
      <c r="AC218" s="975"/>
      <c r="AD218" s="975"/>
      <c r="AE218" s="976">
        <f t="shared" si="69"/>
        <v>0</v>
      </c>
      <c r="AF218" s="975"/>
      <c r="AG218" s="975"/>
      <c r="AH218" s="975">
        <f t="shared" si="68"/>
        <v>0</v>
      </c>
      <c r="AI218" s="975">
        <f>VLOOKUP(C218,'[8]CHẤM CÔNG '!$F$10:$AM$451,33,0)</f>
        <v>0</v>
      </c>
      <c r="AJ218" s="975">
        <f>VLOOKUP(C218,'[8]CHẤM CÔNG '!$F$10:$AM$451,34,0)</f>
        <v>0</v>
      </c>
      <c r="AK218" s="975"/>
      <c r="AL218" s="975"/>
      <c r="AM218" s="975"/>
      <c r="AN218" s="975">
        <f>VLOOKUP(C218,'[8]CHẤM CÔNG '!$F$10:$AN$451,35,0)</f>
        <v>0</v>
      </c>
      <c r="AO218" s="975">
        <f>VLOOKUP(C218,'[8]CHẤM CÔNG '!$F$10:$AR$451,36,0)</f>
        <v>0</v>
      </c>
      <c r="AP218" s="975"/>
      <c r="AQ218" s="975"/>
      <c r="AR218" s="975"/>
      <c r="AS218" s="981"/>
      <c r="AT218" s="982">
        <f>VLOOKUP(C218,'[8]MỦ TẠP'!$D$10:$AO$450,38,0)</f>
        <v>0</v>
      </c>
    </row>
    <row r="219" spans="1:52">
      <c r="A219" s="993" t="s">
        <v>123</v>
      </c>
      <c r="B219" s="958"/>
      <c r="C219" s="994"/>
      <c r="D219" s="995"/>
      <c r="E219" s="968">
        <f>SUM(E220:E301)</f>
        <v>0</v>
      </c>
      <c r="F219" s="968">
        <f>SUM(F220:F301)</f>
        <v>0</v>
      </c>
      <c r="G219" s="968">
        <f>SUM(G220:G301)</f>
        <v>0</v>
      </c>
      <c r="H219" s="968">
        <f>SUM(H220:H301)</f>
        <v>0</v>
      </c>
      <c r="I219" s="968"/>
      <c r="J219" s="968">
        <f t="shared" ref="J219:AE219" si="70">SUM(J220:J301)</f>
        <v>0</v>
      </c>
      <c r="K219" s="968">
        <f t="shared" si="70"/>
        <v>0</v>
      </c>
      <c r="L219" s="968">
        <f t="shared" si="70"/>
        <v>0</v>
      </c>
      <c r="M219" s="968">
        <f t="shared" si="70"/>
        <v>0</v>
      </c>
      <c r="N219" s="968">
        <f t="shared" si="70"/>
        <v>0</v>
      </c>
      <c r="O219" s="968">
        <f t="shared" si="70"/>
        <v>0</v>
      </c>
      <c r="P219" s="968">
        <f t="shared" si="70"/>
        <v>0</v>
      </c>
      <c r="Q219" s="968">
        <f t="shared" si="70"/>
        <v>0</v>
      </c>
      <c r="R219" s="968">
        <f t="shared" si="70"/>
        <v>0</v>
      </c>
      <c r="S219" s="968">
        <f t="shared" si="70"/>
        <v>0</v>
      </c>
      <c r="T219" s="968">
        <f t="shared" si="70"/>
        <v>0</v>
      </c>
      <c r="U219" s="968">
        <f t="shared" si="70"/>
        <v>0</v>
      </c>
      <c r="V219" s="968">
        <f t="shared" si="70"/>
        <v>0</v>
      </c>
      <c r="W219" s="968">
        <f t="shared" si="70"/>
        <v>0</v>
      </c>
      <c r="X219" s="968">
        <f t="shared" si="70"/>
        <v>0</v>
      </c>
      <c r="Y219" s="968">
        <f t="shared" si="70"/>
        <v>0</v>
      </c>
      <c r="Z219" s="968">
        <f t="shared" si="70"/>
        <v>0</v>
      </c>
      <c r="AA219" s="968">
        <f t="shared" si="70"/>
        <v>0</v>
      </c>
      <c r="AB219" s="968" t="e">
        <f t="shared" si="70"/>
        <v>#N/A</v>
      </c>
      <c r="AC219" s="968">
        <f t="shared" si="70"/>
        <v>0</v>
      </c>
      <c r="AD219" s="968">
        <f t="shared" si="70"/>
        <v>0</v>
      </c>
      <c r="AE219" s="968" t="e">
        <f t="shared" si="70"/>
        <v>#N/A</v>
      </c>
      <c r="AF219" s="968"/>
      <c r="AG219" s="968">
        <f>SUM(AG220:AG301)</f>
        <v>0</v>
      </c>
      <c r="AH219" s="968" t="e">
        <f>SUM(AH220:AH301)</f>
        <v>#N/A</v>
      </c>
      <c r="AI219" s="968" t="e">
        <f>SUM(AI220:AI301)</f>
        <v>#N/A</v>
      </c>
      <c r="AJ219" s="968" t="e">
        <f>SUM(AJ220:AJ301)</f>
        <v>#N/A</v>
      </c>
      <c r="AK219" s="968">
        <f>SUM(AK220:AK301)</f>
        <v>0</v>
      </c>
      <c r="AL219" s="968"/>
      <c r="AM219" s="968">
        <f t="shared" ref="AM219:AZ219" si="71">SUM(AM220:AM301)</f>
        <v>0</v>
      </c>
      <c r="AN219" s="968" t="e">
        <f t="shared" si="71"/>
        <v>#N/A</v>
      </c>
      <c r="AO219" s="968" t="e">
        <f t="shared" si="71"/>
        <v>#N/A</v>
      </c>
      <c r="AP219" s="968">
        <f t="shared" si="71"/>
        <v>0</v>
      </c>
      <c r="AQ219" s="968">
        <f t="shared" si="71"/>
        <v>0</v>
      </c>
      <c r="AR219" s="968">
        <f t="shared" si="71"/>
        <v>0</v>
      </c>
      <c r="AS219" s="968">
        <f t="shared" si="71"/>
        <v>0</v>
      </c>
      <c r="AT219" s="968" t="e">
        <f t="shared" si="71"/>
        <v>#N/A</v>
      </c>
      <c r="AU219" s="968">
        <f t="shared" si="71"/>
        <v>127951</v>
      </c>
      <c r="AV219" s="968" t="e">
        <f t="shared" si="71"/>
        <v>#N/A</v>
      </c>
      <c r="AW219" s="968">
        <f t="shared" si="71"/>
        <v>0</v>
      </c>
      <c r="AX219" s="968">
        <f t="shared" si="71"/>
        <v>194</v>
      </c>
      <c r="AY219" s="968">
        <f t="shared" si="71"/>
        <v>0</v>
      </c>
      <c r="AZ219" s="968">
        <f t="shared" si="71"/>
        <v>52</v>
      </c>
    </row>
    <row r="220" spans="1:52" ht="15.75">
      <c r="A220" s="996">
        <v>1</v>
      </c>
      <c r="B220" s="958" t="str">
        <f>VLOOKUP(C220,'[8]DS CN MOI UP'!$B$10:$C$489,2,0)</f>
        <v>03348</v>
      </c>
      <c r="C220" s="963" t="s">
        <v>124</v>
      </c>
      <c r="D220" s="997" t="s">
        <v>15</v>
      </c>
      <c r="E220" s="960"/>
      <c r="F220" s="960"/>
      <c r="G220" s="960"/>
      <c r="H220" s="960"/>
      <c r="I220" s="960"/>
      <c r="J220" s="960"/>
      <c r="K220" s="960"/>
      <c r="L220" s="960"/>
      <c r="M220" s="960"/>
      <c r="N220" s="960">
        <f t="shared" ref="N220:N283" si="72">E220/$N$8</f>
        <v>0</v>
      </c>
      <c r="O220" s="960">
        <f t="shared" ref="O220:O283" si="73">F220/$O$8</f>
        <v>0</v>
      </c>
      <c r="P220" s="960">
        <f t="shared" ref="P220:P283" si="74">G220/$P$8</f>
        <v>0</v>
      </c>
      <c r="Q220" s="960">
        <f t="shared" ref="Q220:Q283" si="75">H220/$Q$8</f>
        <v>0</v>
      </c>
      <c r="R220" s="960">
        <f t="shared" ref="R220:R283" si="76">I220/$R$8</f>
        <v>0</v>
      </c>
      <c r="S220" s="960">
        <f t="shared" ref="S220:S283" si="77">J220/$S$8</f>
        <v>0</v>
      </c>
      <c r="T220" s="960">
        <f t="shared" ref="T220:T283" si="78">K220/$T$8</f>
        <v>0</v>
      </c>
      <c r="U220" s="960">
        <f t="shared" ref="U220:U283" si="79">L220/$U$8</f>
        <v>0</v>
      </c>
      <c r="V220" s="960">
        <f t="shared" ref="V220:V283" si="80">M220/$V$8</f>
        <v>0</v>
      </c>
      <c r="W220" s="960"/>
      <c r="X220" s="960"/>
      <c r="Y220" s="960"/>
      <c r="Z220" s="960"/>
      <c r="AA220" s="975">
        <f t="shared" ref="AA220:AA283" si="81">SUM(N220:Z220)</f>
        <v>0</v>
      </c>
      <c r="AB220" s="975">
        <f>VLOOKUP(C220,'[8]MỦ TẠP'!$D$10:$AM$450,36,0)</f>
        <v>0</v>
      </c>
      <c r="AC220" s="975"/>
      <c r="AD220" s="975"/>
      <c r="AE220" s="975">
        <f>VLOOKUP(C220,'[8]MỦ TẠP'!$D$10:$AM$450,36,0)</f>
        <v>0</v>
      </c>
      <c r="AF220" s="975"/>
      <c r="AG220" s="975"/>
      <c r="AH220" s="975">
        <f t="shared" ref="AH220:AH283" si="82">AE220*$AV$16+AF220*$AV$10+$AV$11*AG220</f>
        <v>0</v>
      </c>
      <c r="AI220" s="975">
        <f>VLOOKUP(C220,'[8]CHẤM CÔNG '!$F$10:$AM$451,33,0)</f>
        <v>0</v>
      </c>
      <c r="AJ220" s="975">
        <f>VLOOKUP(C220,'[8]CHẤM CÔNG '!$F$10:$AM$451,34,0)</f>
        <v>0</v>
      </c>
      <c r="AK220" s="975"/>
      <c r="AL220" s="975"/>
      <c r="AM220" s="975"/>
      <c r="AN220" s="975">
        <f>VLOOKUP(C220,'[8]CHẤM CÔNG '!$F$10:$AN$451,35,0)</f>
        <v>0</v>
      </c>
      <c r="AO220" s="975">
        <f>VLOOKUP(C220,'[8]CHẤM CÔNG '!$F$10:$AR$451,36,0)</f>
        <v>0</v>
      </c>
      <c r="AP220" s="975"/>
      <c r="AQ220" s="975"/>
      <c r="AR220" s="975"/>
      <c r="AS220" s="981"/>
      <c r="AT220" s="982">
        <f>VLOOKUP(C220,'[8]MỦ TẠP'!$D$10:$AO$450,38,0)</f>
        <v>0</v>
      </c>
      <c r="AU220" s="946">
        <v>1478</v>
      </c>
      <c r="AV220" s="976">
        <f t="shared" ref="AV220:AV283" si="83">+AE220-AU220</f>
        <v>-1478</v>
      </c>
      <c r="AX220" s="944">
        <f>3-AZ220</f>
        <v>3</v>
      </c>
    </row>
    <row r="221" spans="1:52" ht="15.75">
      <c r="A221" s="996">
        <v>2</v>
      </c>
      <c r="B221" s="958" t="str">
        <f>VLOOKUP(C221,'[8]DS CN MOI UP'!$B$10:$C$489,2,0)</f>
        <v>03349</v>
      </c>
      <c r="C221" s="963" t="s">
        <v>125</v>
      </c>
      <c r="D221" s="997" t="s">
        <v>15</v>
      </c>
      <c r="E221" s="960"/>
      <c r="F221" s="960"/>
      <c r="G221" s="960"/>
      <c r="H221" s="960"/>
      <c r="I221" s="960"/>
      <c r="J221" s="960"/>
      <c r="K221" s="960"/>
      <c r="L221" s="960"/>
      <c r="M221" s="960"/>
      <c r="N221" s="960">
        <f t="shared" si="72"/>
        <v>0</v>
      </c>
      <c r="O221" s="960">
        <f t="shared" si="73"/>
        <v>0</v>
      </c>
      <c r="P221" s="960">
        <f t="shared" si="74"/>
        <v>0</v>
      </c>
      <c r="Q221" s="960">
        <f t="shared" si="75"/>
        <v>0</v>
      </c>
      <c r="R221" s="960">
        <f t="shared" si="76"/>
        <v>0</v>
      </c>
      <c r="S221" s="960">
        <f t="shared" si="77"/>
        <v>0</v>
      </c>
      <c r="T221" s="960">
        <f t="shared" si="78"/>
        <v>0</v>
      </c>
      <c r="U221" s="960">
        <f t="shared" si="79"/>
        <v>0</v>
      </c>
      <c r="V221" s="960">
        <f t="shared" si="80"/>
        <v>0</v>
      </c>
      <c r="W221" s="960"/>
      <c r="X221" s="960"/>
      <c r="Y221" s="960"/>
      <c r="Z221" s="960"/>
      <c r="AA221" s="975">
        <f t="shared" si="81"/>
        <v>0</v>
      </c>
      <c r="AB221" s="975">
        <f>VLOOKUP(C221,'[8]MỦ TẠP'!$D$10:$AM$450,36,0)</f>
        <v>0</v>
      </c>
      <c r="AC221" s="975"/>
      <c r="AD221" s="975"/>
      <c r="AE221" s="975">
        <f>VLOOKUP(C221,'[8]MỦ TẠP'!$D$10:$AM$450,36,0)</f>
        <v>0</v>
      </c>
      <c r="AF221" s="975"/>
      <c r="AG221" s="975"/>
      <c r="AH221" s="975">
        <f t="shared" si="82"/>
        <v>0</v>
      </c>
      <c r="AI221" s="975">
        <f>VLOOKUP(C221,'[8]CHẤM CÔNG '!$F$10:$AM$451,33,0)</f>
        <v>0</v>
      </c>
      <c r="AJ221" s="975">
        <f>VLOOKUP(C221,'[8]CHẤM CÔNG '!$F$10:$AM$451,34,0)</f>
        <v>0</v>
      </c>
      <c r="AK221" s="975"/>
      <c r="AL221" s="975"/>
      <c r="AM221" s="975"/>
      <c r="AN221" s="975">
        <f>VLOOKUP(C221,'[8]CHẤM CÔNG '!$F$10:$AN$451,35,0)</f>
        <v>0</v>
      </c>
      <c r="AO221" s="975">
        <f>VLOOKUP(C221,'[8]CHẤM CÔNG '!$F$10:$AR$451,36,0)</f>
        <v>0</v>
      </c>
      <c r="AP221" s="975"/>
      <c r="AQ221" s="975"/>
      <c r="AR221" s="975"/>
      <c r="AS221" s="981"/>
      <c r="AT221" s="982">
        <f>VLOOKUP(C221,'[8]MỦ TẠP'!$D$10:$AO$450,38,0)</f>
        <v>0</v>
      </c>
      <c r="AU221" s="946">
        <v>1129</v>
      </c>
      <c r="AV221" s="976">
        <f t="shared" si="83"/>
        <v>-1129</v>
      </c>
      <c r="AX221" s="944">
        <f t="shared" ref="AX221:AX284" si="84">3-AZ221</f>
        <v>3</v>
      </c>
    </row>
    <row r="222" spans="1:52" ht="15.75">
      <c r="A222" s="996">
        <v>3</v>
      </c>
      <c r="B222" s="958" t="str">
        <f>VLOOKUP(C222,'[8]DS CN MOI UP'!$B$10:$C$489,2,0)</f>
        <v>02545</v>
      </c>
      <c r="C222" s="963" t="s">
        <v>126</v>
      </c>
      <c r="D222" s="997" t="s">
        <v>15</v>
      </c>
      <c r="E222" s="960"/>
      <c r="F222" s="960"/>
      <c r="G222" s="960"/>
      <c r="H222" s="960"/>
      <c r="I222" s="960"/>
      <c r="J222" s="960"/>
      <c r="K222" s="960"/>
      <c r="L222" s="960"/>
      <c r="M222" s="960"/>
      <c r="N222" s="960">
        <f t="shared" si="72"/>
        <v>0</v>
      </c>
      <c r="O222" s="960">
        <f t="shared" si="73"/>
        <v>0</v>
      </c>
      <c r="P222" s="960">
        <f t="shared" si="74"/>
        <v>0</v>
      </c>
      <c r="Q222" s="960">
        <f t="shared" si="75"/>
        <v>0</v>
      </c>
      <c r="R222" s="960">
        <f t="shared" si="76"/>
        <v>0</v>
      </c>
      <c r="S222" s="960">
        <f t="shared" si="77"/>
        <v>0</v>
      </c>
      <c r="T222" s="960">
        <f t="shared" si="78"/>
        <v>0</v>
      </c>
      <c r="U222" s="960">
        <f t="shared" si="79"/>
        <v>0</v>
      </c>
      <c r="V222" s="960">
        <f t="shared" si="80"/>
        <v>0</v>
      </c>
      <c r="W222" s="960"/>
      <c r="X222" s="960"/>
      <c r="Y222" s="960"/>
      <c r="Z222" s="960"/>
      <c r="AA222" s="975">
        <f t="shared" si="81"/>
        <v>0</v>
      </c>
      <c r="AB222" s="975">
        <f>VLOOKUP(C222,'[8]MỦ TẠP'!$D$10:$AM$450,36,0)</f>
        <v>0</v>
      </c>
      <c r="AC222" s="975"/>
      <c r="AD222" s="975"/>
      <c r="AE222" s="975">
        <f>VLOOKUP(C222,'[8]MỦ TẠP'!$D$10:$AM$450,36,0)</f>
        <v>0</v>
      </c>
      <c r="AF222" s="975"/>
      <c r="AG222" s="975"/>
      <c r="AH222" s="975">
        <f t="shared" si="82"/>
        <v>0</v>
      </c>
      <c r="AI222" s="975">
        <f>VLOOKUP(C222,'[8]CHẤM CÔNG '!$F$10:$AM$451,33,0)</f>
        <v>0</v>
      </c>
      <c r="AJ222" s="975">
        <f>VLOOKUP(C222,'[8]CHẤM CÔNG '!$F$10:$AM$451,34,0)</f>
        <v>0</v>
      </c>
      <c r="AK222" s="975"/>
      <c r="AL222" s="975"/>
      <c r="AM222" s="975"/>
      <c r="AN222" s="975">
        <f>VLOOKUP(C222,'[8]CHẤM CÔNG '!$F$10:$AN$451,35,0)</f>
        <v>0</v>
      </c>
      <c r="AO222" s="975">
        <f>VLOOKUP(C222,'[8]CHẤM CÔNG '!$F$10:$AR$451,36,0)</f>
        <v>0</v>
      </c>
      <c r="AP222" s="975"/>
      <c r="AQ222" s="975"/>
      <c r="AR222" s="975"/>
      <c r="AS222" s="981"/>
      <c r="AT222" s="982">
        <f>VLOOKUP(C222,'[8]MỦ TẠP'!$D$10:$AO$450,38,0)</f>
        <v>0</v>
      </c>
      <c r="AU222" s="946">
        <v>1255</v>
      </c>
      <c r="AV222" s="976">
        <f t="shared" si="83"/>
        <v>-1255</v>
      </c>
      <c r="AX222" s="944">
        <f t="shared" si="84"/>
        <v>3</v>
      </c>
    </row>
    <row r="223" spans="1:52" ht="15.75">
      <c r="A223" s="996">
        <v>4</v>
      </c>
      <c r="B223" s="958" t="str">
        <f>VLOOKUP(C223,'[8]DS CN MOI UP'!$B$10:$C$489,2,0)</f>
        <v>02693</v>
      </c>
      <c r="C223" s="963" t="s">
        <v>127</v>
      </c>
      <c r="D223" s="997" t="s">
        <v>15</v>
      </c>
      <c r="E223" s="960"/>
      <c r="F223" s="960"/>
      <c r="G223" s="960"/>
      <c r="H223" s="960"/>
      <c r="I223" s="960"/>
      <c r="J223" s="960"/>
      <c r="K223" s="960"/>
      <c r="L223" s="960"/>
      <c r="M223" s="960"/>
      <c r="N223" s="960">
        <f t="shared" si="72"/>
        <v>0</v>
      </c>
      <c r="O223" s="960">
        <f t="shared" si="73"/>
        <v>0</v>
      </c>
      <c r="P223" s="960">
        <f t="shared" si="74"/>
        <v>0</v>
      </c>
      <c r="Q223" s="960">
        <f t="shared" si="75"/>
        <v>0</v>
      </c>
      <c r="R223" s="960">
        <f t="shared" si="76"/>
        <v>0</v>
      </c>
      <c r="S223" s="960">
        <f t="shared" si="77"/>
        <v>0</v>
      </c>
      <c r="T223" s="960">
        <f t="shared" si="78"/>
        <v>0</v>
      </c>
      <c r="U223" s="960">
        <f t="shared" si="79"/>
        <v>0</v>
      </c>
      <c r="V223" s="960">
        <f t="shared" si="80"/>
        <v>0</v>
      </c>
      <c r="W223" s="960"/>
      <c r="X223" s="960"/>
      <c r="Y223" s="960"/>
      <c r="Z223" s="960"/>
      <c r="AA223" s="975">
        <f t="shared" si="81"/>
        <v>0</v>
      </c>
      <c r="AB223" s="975">
        <f>VLOOKUP(C223,'[8]MỦ TẠP'!$D$10:$AM$450,36,0)</f>
        <v>0</v>
      </c>
      <c r="AC223" s="975"/>
      <c r="AD223" s="975"/>
      <c r="AE223" s="975">
        <f>VLOOKUP(C223,'[8]MỦ TẠP'!$D$10:$AM$450,36,0)</f>
        <v>0</v>
      </c>
      <c r="AF223" s="975"/>
      <c r="AG223" s="975"/>
      <c r="AH223" s="975">
        <f t="shared" si="82"/>
        <v>0</v>
      </c>
      <c r="AI223" s="975">
        <f>VLOOKUP(C223,'[8]CHẤM CÔNG '!$F$10:$AM$451,33,0)</f>
        <v>0</v>
      </c>
      <c r="AJ223" s="975">
        <f>VLOOKUP(C223,'[8]CHẤM CÔNG '!$F$10:$AM$451,34,0)</f>
        <v>0</v>
      </c>
      <c r="AK223" s="975"/>
      <c r="AL223" s="975"/>
      <c r="AM223" s="975"/>
      <c r="AN223" s="975">
        <f>VLOOKUP(C223,'[8]CHẤM CÔNG '!$F$10:$AN$451,35,0)</f>
        <v>0</v>
      </c>
      <c r="AO223" s="975">
        <f>VLOOKUP(C223,'[8]CHẤM CÔNG '!$F$10:$AR$451,36,0)</f>
        <v>0</v>
      </c>
      <c r="AP223" s="975"/>
      <c r="AQ223" s="975"/>
      <c r="AR223" s="975"/>
      <c r="AS223" s="981"/>
      <c r="AT223" s="982">
        <f>VLOOKUP(C223,'[8]MỦ TẠP'!$D$10:$AO$450,38,0)</f>
        <v>0</v>
      </c>
      <c r="AU223" s="946">
        <v>1574</v>
      </c>
      <c r="AV223" s="976">
        <f t="shared" si="83"/>
        <v>-1574</v>
      </c>
      <c r="AX223" s="944">
        <f t="shared" si="84"/>
        <v>3</v>
      </c>
    </row>
    <row r="224" spans="1:52" ht="15.75">
      <c r="A224" s="996">
        <v>5</v>
      </c>
      <c r="B224" s="958" t="str">
        <f>VLOOKUP(C224,'[8]DS CN MOI UP'!$B$10:$C$489,2,0)</f>
        <v>03350</v>
      </c>
      <c r="C224" s="963" t="s">
        <v>128</v>
      </c>
      <c r="D224" s="997" t="s">
        <v>15</v>
      </c>
      <c r="E224" s="960"/>
      <c r="F224" s="960"/>
      <c r="G224" s="960"/>
      <c r="H224" s="960"/>
      <c r="I224" s="960"/>
      <c r="J224" s="960"/>
      <c r="K224" s="960"/>
      <c r="L224" s="960"/>
      <c r="M224" s="960"/>
      <c r="N224" s="960">
        <f t="shared" si="72"/>
        <v>0</v>
      </c>
      <c r="O224" s="960">
        <f t="shared" si="73"/>
        <v>0</v>
      </c>
      <c r="P224" s="960">
        <f t="shared" si="74"/>
        <v>0</v>
      </c>
      <c r="Q224" s="960">
        <f t="shared" si="75"/>
        <v>0</v>
      </c>
      <c r="R224" s="960">
        <f t="shared" si="76"/>
        <v>0</v>
      </c>
      <c r="S224" s="960">
        <f t="shared" si="77"/>
        <v>0</v>
      </c>
      <c r="T224" s="960">
        <f t="shared" si="78"/>
        <v>0</v>
      </c>
      <c r="U224" s="960">
        <f t="shared" si="79"/>
        <v>0</v>
      </c>
      <c r="V224" s="960">
        <f t="shared" si="80"/>
        <v>0</v>
      </c>
      <c r="W224" s="960"/>
      <c r="X224" s="960"/>
      <c r="Y224" s="960"/>
      <c r="Z224" s="960"/>
      <c r="AA224" s="975">
        <f t="shared" si="81"/>
        <v>0</v>
      </c>
      <c r="AB224" s="975">
        <f>VLOOKUP(C224,'[8]MỦ TẠP'!$D$10:$AM$450,36,0)</f>
        <v>0</v>
      </c>
      <c r="AC224" s="975"/>
      <c r="AD224" s="975"/>
      <c r="AE224" s="975">
        <f>VLOOKUP(C224,'[8]MỦ TẠP'!$D$10:$AM$450,36,0)</f>
        <v>0</v>
      </c>
      <c r="AF224" s="975"/>
      <c r="AG224" s="975"/>
      <c r="AH224" s="975">
        <f t="shared" si="82"/>
        <v>0</v>
      </c>
      <c r="AI224" s="975">
        <f>VLOOKUP(C224,'[8]CHẤM CÔNG '!$F$10:$AM$451,33,0)</f>
        <v>0</v>
      </c>
      <c r="AJ224" s="975">
        <f>VLOOKUP(C224,'[8]CHẤM CÔNG '!$F$10:$AM$451,34,0)</f>
        <v>0</v>
      </c>
      <c r="AK224" s="975"/>
      <c r="AL224" s="975"/>
      <c r="AM224" s="975"/>
      <c r="AN224" s="975">
        <f>VLOOKUP(C224,'[8]CHẤM CÔNG '!$F$10:$AN$451,35,0)</f>
        <v>0</v>
      </c>
      <c r="AO224" s="975">
        <f>VLOOKUP(C224,'[8]CHẤM CÔNG '!$F$10:$AR$451,36,0)</f>
        <v>0</v>
      </c>
      <c r="AP224" s="975"/>
      <c r="AQ224" s="975"/>
      <c r="AR224" s="975"/>
      <c r="AS224" s="981"/>
      <c r="AT224" s="982">
        <f>VLOOKUP(C224,'[8]MỦ TẠP'!$D$10:$AO$450,38,0)</f>
        <v>0</v>
      </c>
      <c r="AU224" s="946">
        <v>1198</v>
      </c>
      <c r="AV224" s="976">
        <f t="shared" si="83"/>
        <v>-1198</v>
      </c>
      <c r="AX224" s="944">
        <f t="shared" si="84"/>
        <v>3</v>
      </c>
    </row>
    <row r="225" spans="1:52" ht="15.75">
      <c r="A225" s="996">
        <v>6</v>
      </c>
      <c r="B225" s="958" t="str">
        <f>VLOOKUP(C225,'[8]DS CN MOI UP'!$B$10:$C$489,2,0)</f>
        <v>02526</v>
      </c>
      <c r="C225" s="963" t="s">
        <v>129</v>
      </c>
      <c r="D225" s="997" t="s">
        <v>15</v>
      </c>
      <c r="E225" s="960"/>
      <c r="F225" s="960"/>
      <c r="G225" s="960"/>
      <c r="H225" s="960"/>
      <c r="I225" s="960"/>
      <c r="J225" s="960"/>
      <c r="K225" s="960"/>
      <c r="L225" s="960"/>
      <c r="M225" s="960"/>
      <c r="N225" s="960">
        <f t="shared" si="72"/>
        <v>0</v>
      </c>
      <c r="O225" s="960">
        <f t="shared" si="73"/>
        <v>0</v>
      </c>
      <c r="P225" s="960">
        <f t="shared" si="74"/>
        <v>0</v>
      </c>
      <c r="Q225" s="960">
        <f t="shared" si="75"/>
        <v>0</v>
      </c>
      <c r="R225" s="960">
        <f t="shared" si="76"/>
        <v>0</v>
      </c>
      <c r="S225" s="960">
        <f t="shared" si="77"/>
        <v>0</v>
      </c>
      <c r="T225" s="960">
        <f t="shared" si="78"/>
        <v>0</v>
      </c>
      <c r="U225" s="960">
        <f t="shared" si="79"/>
        <v>0</v>
      </c>
      <c r="V225" s="960">
        <f t="shared" si="80"/>
        <v>0</v>
      </c>
      <c r="W225" s="960"/>
      <c r="X225" s="960"/>
      <c r="Y225" s="960"/>
      <c r="Z225" s="960"/>
      <c r="AA225" s="975">
        <f t="shared" si="81"/>
        <v>0</v>
      </c>
      <c r="AB225" s="975">
        <f>VLOOKUP(C225,'[8]MỦ TẠP'!$D$10:$AM$450,36,0)</f>
        <v>0</v>
      </c>
      <c r="AC225" s="975"/>
      <c r="AD225" s="975"/>
      <c r="AE225" s="975">
        <f>VLOOKUP(C225,'[8]MỦ TẠP'!$D$10:$AM$450,36,0)</f>
        <v>0</v>
      </c>
      <c r="AF225" s="975"/>
      <c r="AG225" s="975"/>
      <c r="AH225" s="975">
        <f t="shared" si="82"/>
        <v>0</v>
      </c>
      <c r="AI225" s="975">
        <f>VLOOKUP(C225,'[8]CHẤM CÔNG '!$F$10:$AM$451,33,0)</f>
        <v>0</v>
      </c>
      <c r="AJ225" s="975">
        <f>VLOOKUP(C225,'[8]CHẤM CÔNG '!$F$10:$AM$451,34,0)</f>
        <v>0</v>
      </c>
      <c r="AK225" s="975"/>
      <c r="AL225" s="975"/>
      <c r="AM225" s="975"/>
      <c r="AN225" s="975">
        <f>VLOOKUP(C225,'[8]CHẤM CÔNG '!$F$10:$AN$451,35,0)</f>
        <v>0</v>
      </c>
      <c r="AO225" s="975">
        <f>VLOOKUP(C225,'[8]CHẤM CÔNG '!$F$10:$AR$451,36,0)</f>
        <v>0</v>
      </c>
      <c r="AP225" s="975"/>
      <c r="AQ225" s="975"/>
      <c r="AR225" s="975"/>
      <c r="AS225" s="981"/>
      <c r="AT225" s="982">
        <f>VLOOKUP(C225,'[8]MỦ TẠP'!$D$10:$AO$450,38,0)</f>
        <v>0</v>
      </c>
      <c r="AU225" s="946">
        <v>1241</v>
      </c>
      <c r="AV225" s="976">
        <f t="shared" si="83"/>
        <v>-1241</v>
      </c>
      <c r="AX225" s="944">
        <f t="shared" si="84"/>
        <v>2</v>
      </c>
      <c r="AZ225" s="944">
        <v>1</v>
      </c>
    </row>
    <row r="226" spans="1:52" ht="15.75">
      <c r="A226" s="996">
        <v>7</v>
      </c>
      <c r="B226" s="958" t="str">
        <f>VLOOKUP(C226,'[8]DS CN MOI UP'!$B$10:$C$489,2,0)</f>
        <v>03351</v>
      </c>
      <c r="C226" s="963" t="s">
        <v>130</v>
      </c>
      <c r="D226" s="997" t="s">
        <v>15</v>
      </c>
      <c r="E226" s="960"/>
      <c r="F226" s="960"/>
      <c r="G226" s="960"/>
      <c r="H226" s="960"/>
      <c r="I226" s="960"/>
      <c r="J226" s="960"/>
      <c r="K226" s="960"/>
      <c r="L226" s="960"/>
      <c r="M226" s="960"/>
      <c r="N226" s="960">
        <f t="shared" si="72"/>
        <v>0</v>
      </c>
      <c r="O226" s="960">
        <f t="shared" si="73"/>
        <v>0</v>
      </c>
      <c r="P226" s="960">
        <f t="shared" si="74"/>
        <v>0</v>
      </c>
      <c r="Q226" s="960">
        <f t="shared" si="75"/>
        <v>0</v>
      </c>
      <c r="R226" s="960">
        <f t="shared" si="76"/>
        <v>0</v>
      </c>
      <c r="S226" s="960">
        <f t="shared" si="77"/>
        <v>0</v>
      </c>
      <c r="T226" s="960">
        <f t="shared" si="78"/>
        <v>0</v>
      </c>
      <c r="U226" s="960">
        <f t="shared" si="79"/>
        <v>0</v>
      </c>
      <c r="V226" s="960">
        <f t="shared" si="80"/>
        <v>0</v>
      </c>
      <c r="W226" s="960"/>
      <c r="X226" s="960"/>
      <c r="Y226" s="960"/>
      <c r="Z226" s="960"/>
      <c r="AA226" s="975">
        <f t="shared" si="81"/>
        <v>0</v>
      </c>
      <c r="AB226" s="975">
        <f>VLOOKUP(C226,'[8]MỦ TẠP'!$D$10:$AM$450,36,0)</f>
        <v>0</v>
      </c>
      <c r="AC226" s="975"/>
      <c r="AD226" s="975"/>
      <c r="AE226" s="975">
        <f>VLOOKUP(C226,'[8]MỦ TẠP'!$D$10:$AM$450,36,0)</f>
        <v>0</v>
      </c>
      <c r="AF226" s="975"/>
      <c r="AG226" s="975"/>
      <c r="AH226" s="975">
        <f t="shared" si="82"/>
        <v>0</v>
      </c>
      <c r="AI226" s="975">
        <f>VLOOKUP(C226,'[8]CHẤM CÔNG '!$F$10:$AM$451,33,0)</f>
        <v>0</v>
      </c>
      <c r="AJ226" s="975">
        <f>VLOOKUP(C226,'[8]CHẤM CÔNG '!$F$10:$AM$451,34,0)</f>
        <v>0</v>
      </c>
      <c r="AK226" s="975"/>
      <c r="AL226" s="975"/>
      <c r="AM226" s="975"/>
      <c r="AN226" s="975">
        <f>VLOOKUP(C226,'[8]CHẤM CÔNG '!$F$10:$AN$451,35,0)</f>
        <v>0</v>
      </c>
      <c r="AO226" s="975">
        <f>VLOOKUP(C226,'[8]CHẤM CÔNG '!$F$10:$AR$451,36,0)</f>
        <v>0</v>
      </c>
      <c r="AP226" s="975"/>
      <c r="AQ226" s="975"/>
      <c r="AR226" s="975"/>
      <c r="AS226" s="981"/>
      <c r="AT226" s="982">
        <f>VLOOKUP(C226,'[8]MỦ TẠP'!$D$10:$AO$450,38,0)</f>
        <v>0</v>
      </c>
      <c r="AU226" s="946">
        <v>2064</v>
      </c>
      <c r="AV226" s="976">
        <f t="shared" si="83"/>
        <v>-2064</v>
      </c>
      <c r="AX226" s="944">
        <f t="shared" si="84"/>
        <v>2</v>
      </c>
      <c r="AZ226" s="944">
        <v>1</v>
      </c>
    </row>
    <row r="227" spans="1:52" ht="15.75">
      <c r="A227" s="996">
        <v>8</v>
      </c>
      <c r="B227" s="958" t="str">
        <f>VLOOKUP(C227,'[8]DS CN MOI UP'!$B$10:$C$489,2,0)</f>
        <v>03352</v>
      </c>
      <c r="C227" s="963" t="s">
        <v>131</v>
      </c>
      <c r="D227" s="997" t="s">
        <v>15</v>
      </c>
      <c r="E227" s="960"/>
      <c r="F227" s="960"/>
      <c r="G227" s="960"/>
      <c r="H227" s="960"/>
      <c r="I227" s="960"/>
      <c r="J227" s="960"/>
      <c r="K227" s="960"/>
      <c r="L227" s="960"/>
      <c r="M227" s="960"/>
      <c r="N227" s="960">
        <f t="shared" si="72"/>
        <v>0</v>
      </c>
      <c r="O227" s="960">
        <f t="shared" si="73"/>
        <v>0</v>
      </c>
      <c r="P227" s="960">
        <f t="shared" si="74"/>
        <v>0</v>
      </c>
      <c r="Q227" s="960">
        <f t="shared" si="75"/>
        <v>0</v>
      </c>
      <c r="R227" s="960">
        <f t="shared" si="76"/>
        <v>0</v>
      </c>
      <c r="S227" s="960">
        <f t="shared" si="77"/>
        <v>0</v>
      </c>
      <c r="T227" s="960">
        <f t="shared" si="78"/>
        <v>0</v>
      </c>
      <c r="U227" s="960">
        <f t="shared" si="79"/>
        <v>0</v>
      </c>
      <c r="V227" s="960">
        <f t="shared" si="80"/>
        <v>0</v>
      </c>
      <c r="W227" s="960"/>
      <c r="X227" s="960"/>
      <c r="Y227" s="960"/>
      <c r="Z227" s="960"/>
      <c r="AA227" s="975">
        <f t="shared" si="81"/>
        <v>0</v>
      </c>
      <c r="AB227" s="975">
        <f>VLOOKUP(C227,'[8]MỦ TẠP'!$D$10:$AM$450,36,0)</f>
        <v>0</v>
      </c>
      <c r="AC227" s="975"/>
      <c r="AD227" s="975"/>
      <c r="AE227" s="975">
        <f>VLOOKUP(C227,'[8]MỦ TẠP'!$D$10:$AM$450,36,0)</f>
        <v>0</v>
      </c>
      <c r="AF227" s="975"/>
      <c r="AG227" s="975"/>
      <c r="AH227" s="975">
        <f t="shared" si="82"/>
        <v>0</v>
      </c>
      <c r="AI227" s="975">
        <f>VLOOKUP(C227,'[8]CHẤM CÔNG '!$F$10:$AM$451,33,0)</f>
        <v>0</v>
      </c>
      <c r="AJ227" s="975">
        <f>VLOOKUP(C227,'[8]CHẤM CÔNG '!$F$10:$AM$451,34,0)</f>
        <v>0</v>
      </c>
      <c r="AK227" s="975"/>
      <c r="AL227" s="975"/>
      <c r="AM227" s="975"/>
      <c r="AN227" s="975">
        <f>VLOOKUP(C227,'[8]CHẤM CÔNG '!$F$10:$AN$451,35,0)</f>
        <v>0</v>
      </c>
      <c r="AO227" s="975">
        <f>VLOOKUP(C227,'[8]CHẤM CÔNG '!$F$10:$AR$451,36,0)</f>
        <v>0</v>
      </c>
      <c r="AP227" s="975"/>
      <c r="AQ227" s="975"/>
      <c r="AR227" s="975"/>
      <c r="AS227" s="981"/>
      <c r="AT227" s="982">
        <f>VLOOKUP(C227,'[8]MỦ TẠP'!$D$10:$AO$450,38,0)</f>
        <v>0</v>
      </c>
      <c r="AU227" s="946">
        <v>2408</v>
      </c>
      <c r="AV227" s="976">
        <f t="shared" si="83"/>
        <v>-2408</v>
      </c>
      <c r="AX227" s="944">
        <f t="shared" si="84"/>
        <v>2</v>
      </c>
      <c r="AZ227" s="944">
        <v>1</v>
      </c>
    </row>
    <row r="228" spans="1:52" ht="15.75">
      <c r="A228" s="996">
        <v>9</v>
      </c>
      <c r="B228" s="958" t="str">
        <f>VLOOKUP(C228,'[8]DS CN MOI UP'!$B$10:$C$489,2,0)</f>
        <v>02567</v>
      </c>
      <c r="C228" s="963" t="s">
        <v>132</v>
      </c>
      <c r="D228" s="997" t="s">
        <v>15</v>
      </c>
      <c r="E228" s="960"/>
      <c r="F228" s="960"/>
      <c r="G228" s="960"/>
      <c r="H228" s="960"/>
      <c r="I228" s="960"/>
      <c r="J228" s="960"/>
      <c r="K228" s="960"/>
      <c r="L228" s="960"/>
      <c r="M228" s="960"/>
      <c r="N228" s="960">
        <f t="shared" si="72"/>
        <v>0</v>
      </c>
      <c r="O228" s="960">
        <f t="shared" si="73"/>
        <v>0</v>
      </c>
      <c r="P228" s="960">
        <f t="shared" si="74"/>
        <v>0</v>
      </c>
      <c r="Q228" s="960">
        <f t="shared" si="75"/>
        <v>0</v>
      </c>
      <c r="R228" s="960">
        <f t="shared" si="76"/>
        <v>0</v>
      </c>
      <c r="S228" s="960">
        <f t="shared" si="77"/>
        <v>0</v>
      </c>
      <c r="T228" s="960">
        <f t="shared" si="78"/>
        <v>0</v>
      </c>
      <c r="U228" s="960">
        <f t="shared" si="79"/>
        <v>0</v>
      </c>
      <c r="V228" s="960">
        <f t="shared" si="80"/>
        <v>0</v>
      </c>
      <c r="W228" s="960"/>
      <c r="X228" s="960"/>
      <c r="Y228" s="960"/>
      <c r="Z228" s="960"/>
      <c r="AA228" s="975">
        <f t="shared" si="81"/>
        <v>0</v>
      </c>
      <c r="AB228" s="975">
        <f>VLOOKUP(C228,'[8]MỦ TẠP'!$D$10:$AM$450,36,0)</f>
        <v>0</v>
      </c>
      <c r="AC228" s="975"/>
      <c r="AD228" s="975"/>
      <c r="AE228" s="975">
        <f>VLOOKUP(C228,'[8]MỦ TẠP'!$D$10:$AM$450,36,0)</f>
        <v>0</v>
      </c>
      <c r="AF228" s="975"/>
      <c r="AG228" s="975"/>
      <c r="AH228" s="975">
        <f t="shared" si="82"/>
        <v>0</v>
      </c>
      <c r="AI228" s="975">
        <f>VLOOKUP(C228,'[8]CHẤM CÔNG '!$F$10:$AM$451,33,0)</f>
        <v>0</v>
      </c>
      <c r="AJ228" s="975">
        <f>VLOOKUP(C228,'[8]CHẤM CÔNG '!$F$10:$AM$451,34,0)</f>
        <v>0</v>
      </c>
      <c r="AK228" s="975"/>
      <c r="AL228" s="975"/>
      <c r="AM228" s="975"/>
      <c r="AN228" s="975">
        <f>VLOOKUP(C228,'[8]CHẤM CÔNG '!$F$10:$AN$451,35,0)</f>
        <v>0</v>
      </c>
      <c r="AO228" s="975">
        <f>VLOOKUP(C228,'[8]CHẤM CÔNG '!$F$10:$AR$451,36,0)</f>
        <v>0</v>
      </c>
      <c r="AP228" s="975"/>
      <c r="AQ228" s="975"/>
      <c r="AR228" s="975"/>
      <c r="AS228" s="981"/>
      <c r="AT228" s="982">
        <f>VLOOKUP(C228,'[8]MỦ TẠP'!$D$10:$AO$450,38,0)</f>
        <v>0</v>
      </c>
      <c r="AU228" s="946">
        <v>1648</v>
      </c>
      <c r="AV228" s="976">
        <f t="shared" si="83"/>
        <v>-1648</v>
      </c>
      <c r="AX228" s="944">
        <f t="shared" si="84"/>
        <v>2</v>
      </c>
      <c r="AZ228" s="944">
        <v>1</v>
      </c>
    </row>
    <row r="229" spans="1:52" ht="15.75">
      <c r="A229" s="996">
        <v>10</v>
      </c>
      <c r="B229" s="958" t="str">
        <f>VLOOKUP(C229,'[8]DS CN MOI UP'!$B$10:$C$489,2,0)</f>
        <v>02564</v>
      </c>
      <c r="C229" s="963" t="s">
        <v>133</v>
      </c>
      <c r="D229" s="997" t="s">
        <v>15</v>
      </c>
      <c r="E229" s="960"/>
      <c r="F229" s="960"/>
      <c r="G229" s="960"/>
      <c r="H229" s="960"/>
      <c r="I229" s="960"/>
      <c r="J229" s="960"/>
      <c r="K229" s="960"/>
      <c r="L229" s="960"/>
      <c r="M229" s="960"/>
      <c r="N229" s="960">
        <f t="shared" si="72"/>
        <v>0</v>
      </c>
      <c r="O229" s="960">
        <f t="shared" si="73"/>
        <v>0</v>
      </c>
      <c r="P229" s="960">
        <f t="shared" si="74"/>
        <v>0</v>
      </c>
      <c r="Q229" s="960">
        <f t="shared" si="75"/>
        <v>0</v>
      </c>
      <c r="R229" s="960">
        <f t="shared" si="76"/>
        <v>0</v>
      </c>
      <c r="S229" s="960">
        <f t="shared" si="77"/>
        <v>0</v>
      </c>
      <c r="T229" s="960">
        <f t="shared" si="78"/>
        <v>0</v>
      </c>
      <c r="U229" s="960">
        <f t="shared" si="79"/>
        <v>0</v>
      </c>
      <c r="V229" s="960">
        <f t="shared" si="80"/>
        <v>0</v>
      </c>
      <c r="W229" s="960"/>
      <c r="X229" s="960"/>
      <c r="Y229" s="960"/>
      <c r="Z229" s="960"/>
      <c r="AA229" s="975">
        <f t="shared" si="81"/>
        <v>0</v>
      </c>
      <c r="AB229" s="975">
        <f>VLOOKUP(C229,'[8]MỦ TẠP'!$D$10:$AM$450,36,0)</f>
        <v>0</v>
      </c>
      <c r="AC229" s="975"/>
      <c r="AD229" s="975"/>
      <c r="AE229" s="975">
        <f>VLOOKUP(C229,'[8]MỦ TẠP'!$D$10:$AM$450,36,0)</f>
        <v>0</v>
      </c>
      <c r="AF229" s="975"/>
      <c r="AG229" s="975"/>
      <c r="AH229" s="975">
        <f t="shared" si="82"/>
        <v>0</v>
      </c>
      <c r="AI229" s="975">
        <f>VLOOKUP(C229,'[8]CHẤM CÔNG '!$F$10:$AM$451,33,0)</f>
        <v>0</v>
      </c>
      <c r="AJ229" s="975">
        <f>VLOOKUP(C229,'[8]CHẤM CÔNG '!$F$10:$AM$451,34,0)</f>
        <v>0</v>
      </c>
      <c r="AK229" s="975"/>
      <c r="AL229" s="975"/>
      <c r="AM229" s="975"/>
      <c r="AN229" s="975">
        <f>VLOOKUP(C229,'[8]CHẤM CÔNG '!$F$10:$AN$451,35,0)</f>
        <v>0</v>
      </c>
      <c r="AO229" s="975">
        <f>VLOOKUP(C229,'[8]CHẤM CÔNG '!$F$10:$AR$451,36,0)</f>
        <v>0</v>
      </c>
      <c r="AP229" s="975"/>
      <c r="AQ229" s="975"/>
      <c r="AR229" s="975"/>
      <c r="AS229" s="981"/>
      <c r="AT229" s="982">
        <f>VLOOKUP(C229,'[8]MỦ TẠP'!$D$10:$AO$450,38,0)</f>
        <v>0</v>
      </c>
      <c r="AU229" s="946">
        <v>1746</v>
      </c>
      <c r="AV229" s="976">
        <f t="shared" si="83"/>
        <v>-1746</v>
      </c>
      <c r="AX229" s="944">
        <f t="shared" si="84"/>
        <v>2</v>
      </c>
      <c r="AZ229" s="944">
        <v>1</v>
      </c>
    </row>
    <row r="230" spans="1:52" ht="15.75">
      <c r="A230" s="996">
        <v>11</v>
      </c>
      <c r="B230" s="958" t="str">
        <f>VLOOKUP(C230,'[8]DS CN MOI UP'!$B$10:$C$489,2,0)</f>
        <v>03353</v>
      </c>
      <c r="C230" s="963" t="s">
        <v>134</v>
      </c>
      <c r="D230" s="997" t="s">
        <v>15</v>
      </c>
      <c r="E230" s="960"/>
      <c r="F230" s="960"/>
      <c r="G230" s="960"/>
      <c r="H230" s="960"/>
      <c r="I230" s="960"/>
      <c r="J230" s="960"/>
      <c r="K230" s="960"/>
      <c r="L230" s="960"/>
      <c r="M230" s="960"/>
      <c r="N230" s="960">
        <f t="shared" si="72"/>
        <v>0</v>
      </c>
      <c r="O230" s="960">
        <f t="shared" si="73"/>
        <v>0</v>
      </c>
      <c r="P230" s="960">
        <f t="shared" si="74"/>
        <v>0</v>
      </c>
      <c r="Q230" s="960">
        <f t="shared" si="75"/>
        <v>0</v>
      </c>
      <c r="R230" s="960">
        <f t="shared" si="76"/>
        <v>0</v>
      </c>
      <c r="S230" s="960">
        <f t="shared" si="77"/>
        <v>0</v>
      </c>
      <c r="T230" s="960">
        <f t="shared" si="78"/>
        <v>0</v>
      </c>
      <c r="U230" s="960">
        <f t="shared" si="79"/>
        <v>0</v>
      </c>
      <c r="V230" s="960">
        <f t="shared" si="80"/>
        <v>0</v>
      </c>
      <c r="W230" s="960"/>
      <c r="X230" s="960"/>
      <c r="Y230" s="960"/>
      <c r="Z230" s="960"/>
      <c r="AA230" s="975">
        <f t="shared" si="81"/>
        <v>0</v>
      </c>
      <c r="AB230" s="975">
        <f>VLOOKUP(C230,'[8]MỦ TẠP'!$D$10:$AM$450,36,0)</f>
        <v>0</v>
      </c>
      <c r="AC230" s="975"/>
      <c r="AD230" s="975"/>
      <c r="AE230" s="975">
        <f>VLOOKUP(C230,'[8]MỦ TẠP'!$D$10:$AM$450,36,0)</f>
        <v>0</v>
      </c>
      <c r="AF230" s="975"/>
      <c r="AG230" s="975"/>
      <c r="AH230" s="975">
        <f t="shared" si="82"/>
        <v>0</v>
      </c>
      <c r="AI230" s="975">
        <f>VLOOKUP(C230,'[8]CHẤM CÔNG '!$F$10:$AM$451,33,0)</f>
        <v>0</v>
      </c>
      <c r="AJ230" s="975">
        <f>VLOOKUP(C230,'[8]CHẤM CÔNG '!$F$10:$AM$451,34,0)</f>
        <v>0</v>
      </c>
      <c r="AK230" s="975"/>
      <c r="AL230" s="975"/>
      <c r="AM230" s="975"/>
      <c r="AN230" s="975">
        <f>VLOOKUP(C230,'[8]CHẤM CÔNG '!$F$10:$AN$451,35,0)</f>
        <v>0</v>
      </c>
      <c r="AO230" s="975">
        <f>VLOOKUP(C230,'[8]CHẤM CÔNG '!$F$10:$AR$451,36,0)</f>
        <v>0</v>
      </c>
      <c r="AP230" s="975"/>
      <c r="AQ230" s="975"/>
      <c r="AR230" s="975"/>
      <c r="AS230" s="981"/>
      <c r="AT230" s="982">
        <f>VLOOKUP(C230,'[8]MỦ TẠP'!$D$10:$AO$450,38,0)</f>
        <v>0</v>
      </c>
      <c r="AU230" s="946">
        <v>1937</v>
      </c>
      <c r="AV230" s="976">
        <f t="shared" si="83"/>
        <v>-1937</v>
      </c>
      <c r="AX230" s="944">
        <f t="shared" si="84"/>
        <v>2</v>
      </c>
      <c r="AZ230" s="944">
        <v>1</v>
      </c>
    </row>
    <row r="231" spans="1:52" ht="15.75">
      <c r="A231" s="996">
        <v>12</v>
      </c>
      <c r="B231" s="958" t="str">
        <f>VLOOKUP(C231,'[8]DS CN MOI UP'!$B$10:$C$489,2,0)</f>
        <v>02518</v>
      </c>
      <c r="C231" s="963" t="s">
        <v>135</v>
      </c>
      <c r="D231" s="997" t="s">
        <v>15</v>
      </c>
      <c r="E231" s="960"/>
      <c r="F231" s="960"/>
      <c r="G231" s="960"/>
      <c r="H231" s="960"/>
      <c r="I231" s="960"/>
      <c r="J231" s="960"/>
      <c r="K231" s="960"/>
      <c r="L231" s="960"/>
      <c r="M231" s="960"/>
      <c r="N231" s="960">
        <f t="shared" si="72"/>
        <v>0</v>
      </c>
      <c r="O231" s="960">
        <f t="shared" si="73"/>
        <v>0</v>
      </c>
      <c r="P231" s="960">
        <f t="shared" si="74"/>
        <v>0</v>
      </c>
      <c r="Q231" s="960">
        <f t="shared" si="75"/>
        <v>0</v>
      </c>
      <c r="R231" s="960">
        <f t="shared" si="76"/>
        <v>0</v>
      </c>
      <c r="S231" s="960">
        <f t="shared" si="77"/>
        <v>0</v>
      </c>
      <c r="T231" s="960">
        <f t="shared" si="78"/>
        <v>0</v>
      </c>
      <c r="U231" s="960">
        <f t="shared" si="79"/>
        <v>0</v>
      </c>
      <c r="V231" s="960">
        <f t="shared" si="80"/>
        <v>0</v>
      </c>
      <c r="W231" s="960"/>
      <c r="X231" s="960"/>
      <c r="Y231" s="960"/>
      <c r="Z231" s="960"/>
      <c r="AA231" s="975">
        <f t="shared" si="81"/>
        <v>0</v>
      </c>
      <c r="AB231" s="975">
        <f>VLOOKUP(C231,'[8]MỦ TẠP'!$D$10:$AM$450,36,0)</f>
        <v>0</v>
      </c>
      <c r="AC231" s="975"/>
      <c r="AD231" s="975"/>
      <c r="AE231" s="975">
        <f>VLOOKUP(C231,'[8]MỦ TẠP'!$D$10:$AM$450,36,0)</f>
        <v>0</v>
      </c>
      <c r="AF231" s="975"/>
      <c r="AG231" s="975"/>
      <c r="AH231" s="975">
        <f t="shared" si="82"/>
        <v>0</v>
      </c>
      <c r="AI231" s="975">
        <f>VLOOKUP(C231,'[8]CHẤM CÔNG '!$F$10:$AM$451,33,0)</f>
        <v>0</v>
      </c>
      <c r="AJ231" s="975">
        <f>VLOOKUP(C231,'[8]CHẤM CÔNG '!$F$10:$AM$451,34,0)</f>
        <v>0</v>
      </c>
      <c r="AK231" s="975"/>
      <c r="AL231" s="975"/>
      <c r="AM231" s="975"/>
      <c r="AN231" s="975">
        <f>VLOOKUP(C231,'[8]CHẤM CÔNG '!$F$10:$AN$451,35,0)</f>
        <v>0</v>
      </c>
      <c r="AO231" s="975">
        <f>VLOOKUP(C231,'[8]CHẤM CÔNG '!$F$10:$AR$451,36,0)</f>
        <v>0</v>
      </c>
      <c r="AP231" s="975"/>
      <c r="AQ231" s="975"/>
      <c r="AR231" s="975"/>
      <c r="AS231" s="981"/>
      <c r="AT231" s="982">
        <f>VLOOKUP(C231,'[8]MỦ TẠP'!$D$10:$AO$450,38,0)</f>
        <v>0</v>
      </c>
      <c r="AU231" s="946">
        <v>1832</v>
      </c>
      <c r="AV231" s="976">
        <f t="shared" si="83"/>
        <v>-1832</v>
      </c>
      <c r="AX231" s="944">
        <f t="shared" si="84"/>
        <v>2</v>
      </c>
      <c r="AZ231" s="944">
        <v>1</v>
      </c>
    </row>
    <row r="232" spans="1:52" ht="15.75">
      <c r="A232" s="996">
        <v>13</v>
      </c>
      <c r="B232" s="958" t="str">
        <f>VLOOKUP(C232,'[8]DS CN MOI UP'!$B$10:$C$489,2,0)</f>
        <v>03355</v>
      </c>
      <c r="C232" s="963" t="s">
        <v>136</v>
      </c>
      <c r="D232" s="997" t="s">
        <v>15</v>
      </c>
      <c r="E232" s="960"/>
      <c r="F232" s="960"/>
      <c r="G232" s="960"/>
      <c r="H232" s="960"/>
      <c r="I232" s="960"/>
      <c r="J232" s="960"/>
      <c r="K232" s="960"/>
      <c r="L232" s="960"/>
      <c r="M232" s="960"/>
      <c r="N232" s="960">
        <f t="shared" si="72"/>
        <v>0</v>
      </c>
      <c r="O232" s="960">
        <f t="shared" si="73"/>
        <v>0</v>
      </c>
      <c r="P232" s="960">
        <f t="shared" si="74"/>
        <v>0</v>
      </c>
      <c r="Q232" s="960">
        <f t="shared" si="75"/>
        <v>0</v>
      </c>
      <c r="R232" s="960">
        <f t="shared" si="76"/>
        <v>0</v>
      </c>
      <c r="S232" s="960">
        <f t="shared" si="77"/>
        <v>0</v>
      </c>
      <c r="T232" s="960">
        <f t="shared" si="78"/>
        <v>0</v>
      </c>
      <c r="U232" s="960">
        <f t="shared" si="79"/>
        <v>0</v>
      </c>
      <c r="V232" s="960">
        <f t="shared" si="80"/>
        <v>0</v>
      </c>
      <c r="W232" s="960"/>
      <c r="X232" s="960"/>
      <c r="Y232" s="960"/>
      <c r="Z232" s="960"/>
      <c r="AA232" s="975">
        <f t="shared" si="81"/>
        <v>0</v>
      </c>
      <c r="AB232" s="975">
        <f>VLOOKUP(C232,'[8]MỦ TẠP'!$D$10:$AM$450,36,0)</f>
        <v>0</v>
      </c>
      <c r="AC232" s="975"/>
      <c r="AD232" s="975"/>
      <c r="AE232" s="975">
        <f>VLOOKUP(C232,'[8]MỦ TẠP'!$D$10:$AM$450,36,0)</f>
        <v>0</v>
      </c>
      <c r="AF232" s="975"/>
      <c r="AG232" s="975"/>
      <c r="AH232" s="975">
        <f t="shared" si="82"/>
        <v>0</v>
      </c>
      <c r="AI232" s="975">
        <f>VLOOKUP(C232,'[8]CHẤM CÔNG '!$F$10:$AM$451,33,0)</f>
        <v>0</v>
      </c>
      <c r="AJ232" s="975">
        <f>VLOOKUP(C232,'[8]CHẤM CÔNG '!$F$10:$AM$451,34,0)</f>
        <v>0</v>
      </c>
      <c r="AK232" s="975"/>
      <c r="AL232" s="975"/>
      <c r="AM232" s="975"/>
      <c r="AN232" s="975">
        <f>VLOOKUP(C232,'[8]CHẤM CÔNG '!$F$10:$AN$451,35,0)</f>
        <v>0</v>
      </c>
      <c r="AO232" s="975">
        <f>VLOOKUP(C232,'[8]CHẤM CÔNG '!$F$10:$AR$451,36,0)</f>
        <v>0</v>
      </c>
      <c r="AP232" s="975"/>
      <c r="AQ232" s="975"/>
      <c r="AR232" s="975"/>
      <c r="AS232" s="981"/>
      <c r="AT232" s="982">
        <f>VLOOKUP(C232,'[8]MỦ TẠP'!$D$10:$AO$450,38,0)</f>
        <v>0</v>
      </c>
      <c r="AU232" s="946">
        <v>1305</v>
      </c>
      <c r="AV232" s="976">
        <f t="shared" si="83"/>
        <v>-1305</v>
      </c>
      <c r="AX232" s="944">
        <f t="shared" si="84"/>
        <v>2</v>
      </c>
      <c r="AZ232" s="944">
        <v>1</v>
      </c>
    </row>
    <row r="233" spans="1:52" ht="15.75">
      <c r="A233" s="996">
        <v>14</v>
      </c>
      <c r="B233" s="958" t="str">
        <f>VLOOKUP(C233,'[8]DS CN MOI UP'!$B$10:$C$489,2,0)</f>
        <v>02521</v>
      </c>
      <c r="C233" s="963" t="s">
        <v>137</v>
      </c>
      <c r="D233" s="997" t="s">
        <v>15</v>
      </c>
      <c r="E233" s="960"/>
      <c r="F233" s="960"/>
      <c r="G233" s="960"/>
      <c r="H233" s="960"/>
      <c r="I233" s="960"/>
      <c r="J233" s="960"/>
      <c r="K233" s="960"/>
      <c r="L233" s="960"/>
      <c r="M233" s="960"/>
      <c r="N233" s="960">
        <f t="shared" si="72"/>
        <v>0</v>
      </c>
      <c r="O233" s="960">
        <f t="shared" si="73"/>
        <v>0</v>
      </c>
      <c r="P233" s="960">
        <f t="shared" si="74"/>
        <v>0</v>
      </c>
      <c r="Q233" s="960">
        <f t="shared" si="75"/>
        <v>0</v>
      </c>
      <c r="R233" s="960">
        <f t="shared" si="76"/>
        <v>0</v>
      </c>
      <c r="S233" s="960">
        <f t="shared" si="77"/>
        <v>0</v>
      </c>
      <c r="T233" s="960">
        <f t="shared" si="78"/>
        <v>0</v>
      </c>
      <c r="U233" s="960">
        <f t="shared" si="79"/>
        <v>0</v>
      </c>
      <c r="V233" s="960">
        <f t="shared" si="80"/>
        <v>0</v>
      </c>
      <c r="W233" s="960"/>
      <c r="X233" s="960"/>
      <c r="Y233" s="960"/>
      <c r="Z233" s="960"/>
      <c r="AA233" s="975">
        <f t="shared" si="81"/>
        <v>0</v>
      </c>
      <c r="AB233" s="975">
        <f>VLOOKUP(C233,'[8]MỦ TẠP'!$D$10:$AM$450,36,0)</f>
        <v>0</v>
      </c>
      <c r="AC233" s="975"/>
      <c r="AD233" s="975"/>
      <c r="AE233" s="975">
        <f>VLOOKUP(C233,'[8]MỦ TẠP'!$D$10:$AM$450,36,0)</f>
        <v>0</v>
      </c>
      <c r="AF233" s="975"/>
      <c r="AG233" s="975"/>
      <c r="AH233" s="975">
        <f t="shared" si="82"/>
        <v>0</v>
      </c>
      <c r="AI233" s="975">
        <f>VLOOKUP(C233,'[8]CHẤM CÔNG '!$F$10:$AM$451,33,0)</f>
        <v>0</v>
      </c>
      <c r="AJ233" s="975">
        <f>VLOOKUP(C233,'[8]CHẤM CÔNG '!$F$10:$AM$451,34,0)</f>
        <v>0</v>
      </c>
      <c r="AK233" s="975"/>
      <c r="AL233" s="975"/>
      <c r="AM233" s="975"/>
      <c r="AN233" s="975">
        <f>VLOOKUP(C233,'[8]CHẤM CÔNG '!$F$10:$AN$451,35,0)</f>
        <v>0</v>
      </c>
      <c r="AO233" s="975">
        <f>VLOOKUP(C233,'[8]CHẤM CÔNG '!$F$10:$AR$451,36,0)</f>
        <v>0</v>
      </c>
      <c r="AP233" s="975"/>
      <c r="AQ233" s="975"/>
      <c r="AR233" s="975"/>
      <c r="AS233" s="981"/>
      <c r="AT233" s="982">
        <f>VLOOKUP(C233,'[8]MỦ TẠP'!$D$10:$AO$450,38,0)</f>
        <v>0</v>
      </c>
      <c r="AU233" s="946">
        <v>1722</v>
      </c>
      <c r="AV233" s="976">
        <f t="shared" si="83"/>
        <v>-1722</v>
      </c>
      <c r="AX233" s="944">
        <f t="shared" si="84"/>
        <v>2</v>
      </c>
      <c r="AZ233" s="944">
        <v>1</v>
      </c>
    </row>
    <row r="234" spans="1:52" ht="15.75">
      <c r="A234" s="996">
        <v>15</v>
      </c>
      <c r="B234" s="958" t="str">
        <f>VLOOKUP(C234,'[8]DS CN MOI UP'!$B$10:$C$489,2,0)</f>
        <v>03356</v>
      </c>
      <c r="C234" s="963" t="s">
        <v>138</v>
      </c>
      <c r="D234" s="997" t="s">
        <v>15</v>
      </c>
      <c r="E234" s="960"/>
      <c r="F234" s="960"/>
      <c r="G234" s="960"/>
      <c r="H234" s="960"/>
      <c r="I234" s="960"/>
      <c r="J234" s="960"/>
      <c r="K234" s="960"/>
      <c r="L234" s="960"/>
      <c r="M234" s="960"/>
      <c r="N234" s="960">
        <f t="shared" si="72"/>
        <v>0</v>
      </c>
      <c r="O234" s="960">
        <f t="shared" si="73"/>
        <v>0</v>
      </c>
      <c r="P234" s="960">
        <f t="shared" si="74"/>
        <v>0</v>
      </c>
      <c r="Q234" s="960">
        <f t="shared" si="75"/>
        <v>0</v>
      </c>
      <c r="R234" s="960">
        <f t="shared" si="76"/>
        <v>0</v>
      </c>
      <c r="S234" s="960">
        <f t="shared" si="77"/>
        <v>0</v>
      </c>
      <c r="T234" s="960">
        <f t="shared" si="78"/>
        <v>0</v>
      </c>
      <c r="U234" s="960">
        <f t="shared" si="79"/>
        <v>0</v>
      </c>
      <c r="V234" s="960">
        <f t="shared" si="80"/>
        <v>0</v>
      </c>
      <c r="W234" s="960"/>
      <c r="X234" s="960"/>
      <c r="Y234" s="960"/>
      <c r="Z234" s="960"/>
      <c r="AA234" s="975">
        <f t="shared" si="81"/>
        <v>0</v>
      </c>
      <c r="AB234" s="975">
        <f>VLOOKUP(C234,'[8]MỦ TẠP'!$D$10:$AM$450,36,0)</f>
        <v>0</v>
      </c>
      <c r="AC234" s="975"/>
      <c r="AD234" s="975"/>
      <c r="AE234" s="975">
        <f>VLOOKUP(C234,'[8]MỦ TẠP'!$D$10:$AM$450,36,0)</f>
        <v>0</v>
      </c>
      <c r="AF234" s="975"/>
      <c r="AG234" s="975"/>
      <c r="AH234" s="975">
        <f t="shared" si="82"/>
        <v>0</v>
      </c>
      <c r="AI234" s="975">
        <f>VLOOKUP(C234,'[8]CHẤM CÔNG '!$F$10:$AM$451,33,0)</f>
        <v>0</v>
      </c>
      <c r="AJ234" s="975">
        <f>VLOOKUP(C234,'[8]CHẤM CÔNG '!$F$10:$AM$451,34,0)</f>
        <v>0</v>
      </c>
      <c r="AK234" s="975"/>
      <c r="AL234" s="975"/>
      <c r="AM234" s="975"/>
      <c r="AN234" s="975">
        <f>VLOOKUP(C234,'[8]CHẤM CÔNG '!$F$10:$AN$451,35,0)</f>
        <v>0</v>
      </c>
      <c r="AO234" s="975">
        <f>VLOOKUP(C234,'[8]CHẤM CÔNG '!$F$10:$AR$451,36,0)</f>
        <v>0</v>
      </c>
      <c r="AP234" s="975"/>
      <c r="AQ234" s="975"/>
      <c r="AR234" s="975"/>
      <c r="AS234" s="981"/>
      <c r="AT234" s="982">
        <f>VLOOKUP(C234,'[8]MỦ TẠP'!$D$10:$AO$450,38,0)</f>
        <v>0</v>
      </c>
      <c r="AU234" s="946">
        <v>1304</v>
      </c>
      <c r="AV234" s="976">
        <f t="shared" si="83"/>
        <v>-1304</v>
      </c>
      <c r="AX234" s="944">
        <f t="shared" si="84"/>
        <v>2</v>
      </c>
      <c r="AZ234" s="944">
        <v>1</v>
      </c>
    </row>
    <row r="235" spans="1:52" ht="15.75">
      <c r="A235" s="996">
        <v>16</v>
      </c>
      <c r="B235" s="958" t="str">
        <f>VLOOKUP(C235,'[8]DS CN MOI UP'!$B$10:$C$489,2,0)</f>
        <v>02524</v>
      </c>
      <c r="C235" s="963" t="s">
        <v>139</v>
      </c>
      <c r="D235" s="997" t="s">
        <v>15</v>
      </c>
      <c r="E235" s="960"/>
      <c r="F235" s="960"/>
      <c r="G235" s="960"/>
      <c r="H235" s="960"/>
      <c r="I235" s="960"/>
      <c r="J235" s="960"/>
      <c r="K235" s="960"/>
      <c r="L235" s="960"/>
      <c r="M235" s="960"/>
      <c r="N235" s="960">
        <f t="shared" si="72"/>
        <v>0</v>
      </c>
      <c r="O235" s="960">
        <f t="shared" si="73"/>
        <v>0</v>
      </c>
      <c r="P235" s="960">
        <f t="shared" si="74"/>
        <v>0</v>
      </c>
      <c r="Q235" s="960">
        <f t="shared" si="75"/>
        <v>0</v>
      </c>
      <c r="R235" s="960">
        <f t="shared" si="76"/>
        <v>0</v>
      </c>
      <c r="S235" s="960">
        <f t="shared" si="77"/>
        <v>0</v>
      </c>
      <c r="T235" s="960">
        <f t="shared" si="78"/>
        <v>0</v>
      </c>
      <c r="U235" s="960">
        <f t="shared" si="79"/>
        <v>0</v>
      </c>
      <c r="V235" s="960">
        <f t="shared" si="80"/>
        <v>0</v>
      </c>
      <c r="W235" s="960"/>
      <c r="X235" s="960"/>
      <c r="Y235" s="960"/>
      <c r="Z235" s="960"/>
      <c r="AA235" s="975">
        <f t="shared" si="81"/>
        <v>0</v>
      </c>
      <c r="AB235" s="975">
        <f>VLOOKUP(C235,'[8]MỦ TẠP'!$D$10:$AM$450,36,0)</f>
        <v>0</v>
      </c>
      <c r="AC235" s="975"/>
      <c r="AD235" s="975"/>
      <c r="AE235" s="975">
        <f>VLOOKUP(C235,'[8]MỦ TẠP'!$D$10:$AM$450,36,0)</f>
        <v>0</v>
      </c>
      <c r="AF235" s="975"/>
      <c r="AG235" s="975"/>
      <c r="AH235" s="975">
        <f t="shared" si="82"/>
        <v>0</v>
      </c>
      <c r="AI235" s="975">
        <f>VLOOKUP(C235,'[8]CHẤM CÔNG '!$F$10:$AM$451,33,0)</f>
        <v>0</v>
      </c>
      <c r="AJ235" s="975">
        <f>VLOOKUP(C235,'[8]CHẤM CÔNG '!$F$10:$AM$451,34,0)</f>
        <v>0</v>
      </c>
      <c r="AK235" s="975"/>
      <c r="AL235" s="975"/>
      <c r="AM235" s="975"/>
      <c r="AN235" s="975">
        <f>VLOOKUP(C235,'[8]CHẤM CÔNG '!$F$10:$AN$451,35,0)</f>
        <v>0</v>
      </c>
      <c r="AO235" s="975">
        <f>VLOOKUP(C235,'[8]CHẤM CÔNG '!$F$10:$AR$451,36,0)</f>
        <v>0</v>
      </c>
      <c r="AP235" s="975"/>
      <c r="AQ235" s="975"/>
      <c r="AR235" s="975"/>
      <c r="AS235" s="981"/>
      <c r="AT235" s="982">
        <f>VLOOKUP(C235,'[8]MỦ TẠP'!$D$10:$AO$450,38,0)</f>
        <v>0</v>
      </c>
      <c r="AU235" s="946">
        <v>2276</v>
      </c>
      <c r="AV235" s="976">
        <f t="shared" si="83"/>
        <v>-2276</v>
      </c>
      <c r="AX235" s="944">
        <f t="shared" si="84"/>
        <v>2</v>
      </c>
      <c r="AZ235" s="944">
        <v>1</v>
      </c>
    </row>
    <row r="236" spans="1:52" ht="15.75">
      <c r="A236" s="996">
        <v>17</v>
      </c>
      <c r="B236" s="958" t="str">
        <f>VLOOKUP(C236,'[8]DS CN MOI UP'!$B$10:$C$489,2,0)</f>
        <v>03357</v>
      </c>
      <c r="C236" s="963" t="s">
        <v>140</v>
      </c>
      <c r="D236" s="997" t="s">
        <v>15</v>
      </c>
      <c r="E236" s="960"/>
      <c r="F236" s="960"/>
      <c r="G236" s="960"/>
      <c r="H236" s="960"/>
      <c r="I236" s="960"/>
      <c r="J236" s="960"/>
      <c r="K236" s="960"/>
      <c r="L236" s="960"/>
      <c r="M236" s="960"/>
      <c r="N236" s="960">
        <f t="shared" si="72"/>
        <v>0</v>
      </c>
      <c r="O236" s="960">
        <f t="shared" si="73"/>
        <v>0</v>
      </c>
      <c r="P236" s="960">
        <f t="shared" si="74"/>
        <v>0</v>
      </c>
      <c r="Q236" s="960">
        <f t="shared" si="75"/>
        <v>0</v>
      </c>
      <c r="R236" s="960">
        <f t="shared" si="76"/>
        <v>0</v>
      </c>
      <c r="S236" s="960">
        <f t="shared" si="77"/>
        <v>0</v>
      </c>
      <c r="T236" s="960">
        <f t="shared" si="78"/>
        <v>0</v>
      </c>
      <c r="U236" s="960">
        <f t="shared" si="79"/>
        <v>0</v>
      </c>
      <c r="V236" s="960">
        <f t="shared" si="80"/>
        <v>0</v>
      </c>
      <c r="W236" s="960"/>
      <c r="X236" s="960"/>
      <c r="Y236" s="960"/>
      <c r="Z236" s="960"/>
      <c r="AA236" s="975">
        <f t="shared" si="81"/>
        <v>0</v>
      </c>
      <c r="AB236" s="975">
        <f>VLOOKUP(C236,'[8]MỦ TẠP'!$D$10:$AM$450,36,0)</f>
        <v>0</v>
      </c>
      <c r="AC236" s="975"/>
      <c r="AD236" s="975"/>
      <c r="AE236" s="975">
        <f>VLOOKUP(C236,'[8]MỦ TẠP'!$D$10:$AM$450,36,0)</f>
        <v>0</v>
      </c>
      <c r="AF236" s="975"/>
      <c r="AG236" s="975"/>
      <c r="AH236" s="975">
        <f t="shared" si="82"/>
        <v>0</v>
      </c>
      <c r="AI236" s="975">
        <f>VLOOKUP(C236,'[8]CHẤM CÔNG '!$F$10:$AM$451,33,0)</f>
        <v>0</v>
      </c>
      <c r="AJ236" s="975">
        <f>VLOOKUP(C236,'[8]CHẤM CÔNG '!$F$10:$AM$451,34,0)</f>
        <v>0</v>
      </c>
      <c r="AK236" s="975"/>
      <c r="AL236" s="975"/>
      <c r="AM236" s="975"/>
      <c r="AN236" s="975">
        <f>VLOOKUP(C236,'[8]CHẤM CÔNG '!$F$10:$AN$451,35,0)</f>
        <v>0</v>
      </c>
      <c r="AO236" s="975">
        <f>VLOOKUP(C236,'[8]CHẤM CÔNG '!$F$10:$AR$451,36,0)</f>
        <v>0</v>
      </c>
      <c r="AP236" s="975"/>
      <c r="AQ236" s="975"/>
      <c r="AR236" s="975"/>
      <c r="AS236" s="981"/>
      <c r="AT236" s="982">
        <f>VLOOKUP(C236,'[8]MỦ TẠP'!$D$10:$AO$450,38,0)</f>
        <v>0</v>
      </c>
      <c r="AU236" s="946">
        <v>2274</v>
      </c>
      <c r="AV236" s="976">
        <f t="shared" si="83"/>
        <v>-2274</v>
      </c>
      <c r="AX236" s="944">
        <f t="shared" si="84"/>
        <v>2</v>
      </c>
      <c r="AZ236" s="944">
        <v>1</v>
      </c>
    </row>
    <row r="237" spans="1:52" ht="15.75">
      <c r="A237" s="996">
        <v>18</v>
      </c>
      <c r="B237" s="958" t="str">
        <f>VLOOKUP(C237,'[8]DS CN MOI UP'!$B$10:$C$489,2,0)</f>
        <v>03358</v>
      </c>
      <c r="C237" s="963" t="s">
        <v>141</v>
      </c>
      <c r="D237" s="997" t="s">
        <v>15</v>
      </c>
      <c r="E237" s="960"/>
      <c r="F237" s="960"/>
      <c r="G237" s="960"/>
      <c r="H237" s="960"/>
      <c r="I237" s="960"/>
      <c r="J237" s="960"/>
      <c r="K237" s="960"/>
      <c r="L237" s="960"/>
      <c r="M237" s="960"/>
      <c r="N237" s="960">
        <f t="shared" si="72"/>
        <v>0</v>
      </c>
      <c r="O237" s="960">
        <f t="shared" si="73"/>
        <v>0</v>
      </c>
      <c r="P237" s="960">
        <f t="shared" si="74"/>
        <v>0</v>
      </c>
      <c r="Q237" s="960">
        <f t="shared" si="75"/>
        <v>0</v>
      </c>
      <c r="R237" s="960">
        <f t="shared" si="76"/>
        <v>0</v>
      </c>
      <c r="S237" s="960">
        <f t="shared" si="77"/>
        <v>0</v>
      </c>
      <c r="T237" s="960">
        <f t="shared" si="78"/>
        <v>0</v>
      </c>
      <c r="U237" s="960">
        <f t="shared" si="79"/>
        <v>0</v>
      </c>
      <c r="V237" s="960">
        <f t="shared" si="80"/>
        <v>0</v>
      </c>
      <c r="W237" s="960"/>
      <c r="X237" s="960"/>
      <c r="Y237" s="960"/>
      <c r="Z237" s="960"/>
      <c r="AA237" s="975">
        <f t="shared" si="81"/>
        <v>0</v>
      </c>
      <c r="AB237" s="975">
        <f>VLOOKUP(C237,'[8]MỦ TẠP'!$D$10:$AM$450,36,0)</f>
        <v>0</v>
      </c>
      <c r="AC237" s="975"/>
      <c r="AD237" s="975"/>
      <c r="AE237" s="975">
        <f>VLOOKUP(C237,'[8]MỦ TẠP'!$D$10:$AM$450,36,0)</f>
        <v>0</v>
      </c>
      <c r="AF237" s="975"/>
      <c r="AG237" s="975"/>
      <c r="AH237" s="975">
        <f t="shared" si="82"/>
        <v>0</v>
      </c>
      <c r="AI237" s="975">
        <f>VLOOKUP(C237,'[8]CHẤM CÔNG '!$F$10:$AM$451,33,0)</f>
        <v>0</v>
      </c>
      <c r="AJ237" s="975">
        <f>VLOOKUP(C237,'[8]CHẤM CÔNG '!$F$10:$AM$451,34,0)</f>
        <v>0</v>
      </c>
      <c r="AK237" s="975"/>
      <c r="AL237" s="975"/>
      <c r="AM237" s="975"/>
      <c r="AN237" s="975">
        <f>VLOOKUP(C237,'[8]CHẤM CÔNG '!$F$10:$AN$451,35,0)</f>
        <v>0</v>
      </c>
      <c r="AO237" s="975">
        <f>VLOOKUP(C237,'[8]CHẤM CÔNG '!$F$10:$AR$451,36,0)</f>
        <v>0</v>
      </c>
      <c r="AP237" s="975"/>
      <c r="AQ237" s="975"/>
      <c r="AR237" s="975"/>
      <c r="AS237" s="981"/>
      <c r="AT237" s="982">
        <f>VLOOKUP(C237,'[8]MỦ TẠP'!$D$10:$AO$450,38,0)</f>
        <v>0</v>
      </c>
      <c r="AU237" s="946">
        <v>1965</v>
      </c>
      <c r="AV237" s="976">
        <f t="shared" si="83"/>
        <v>-1965</v>
      </c>
      <c r="AX237" s="944">
        <f t="shared" si="84"/>
        <v>3</v>
      </c>
    </row>
    <row r="238" spans="1:52" ht="15.75">
      <c r="A238" s="996">
        <v>19</v>
      </c>
      <c r="B238" s="958" t="str">
        <f>VLOOKUP(C238,'[8]DS CN MOI UP'!$B$10:$C$489,2,0)</f>
        <v>02556</v>
      </c>
      <c r="C238" s="963" t="s">
        <v>142</v>
      </c>
      <c r="D238" s="997" t="s">
        <v>15</v>
      </c>
      <c r="E238" s="960"/>
      <c r="F238" s="960"/>
      <c r="G238" s="960"/>
      <c r="H238" s="960"/>
      <c r="I238" s="960"/>
      <c r="J238" s="960"/>
      <c r="K238" s="960"/>
      <c r="L238" s="960"/>
      <c r="M238" s="960"/>
      <c r="N238" s="960">
        <f t="shared" si="72"/>
        <v>0</v>
      </c>
      <c r="O238" s="960">
        <f t="shared" si="73"/>
        <v>0</v>
      </c>
      <c r="P238" s="960">
        <f t="shared" si="74"/>
        <v>0</v>
      </c>
      <c r="Q238" s="960">
        <f t="shared" si="75"/>
        <v>0</v>
      </c>
      <c r="R238" s="960">
        <f t="shared" si="76"/>
        <v>0</v>
      </c>
      <c r="S238" s="960">
        <f t="shared" si="77"/>
        <v>0</v>
      </c>
      <c r="T238" s="960">
        <f t="shared" si="78"/>
        <v>0</v>
      </c>
      <c r="U238" s="960">
        <f t="shared" si="79"/>
        <v>0</v>
      </c>
      <c r="V238" s="960">
        <f t="shared" si="80"/>
        <v>0</v>
      </c>
      <c r="W238" s="960"/>
      <c r="X238" s="960"/>
      <c r="Y238" s="960"/>
      <c r="Z238" s="960"/>
      <c r="AA238" s="975">
        <f t="shared" si="81"/>
        <v>0</v>
      </c>
      <c r="AB238" s="975">
        <f>VLOOKUP(C238,'[8]MỦ TẠP'!$D$10:$AM$450,36,0)</f>
        <v>0</v>
      </c>
      <c r="AC238" s="975"/>
      <c r="AD238" s="975"/>
      <c r="AE238" s="975">
        <f>VLOOKUP(C238,'[8]MỦ TẠP'!$D$10:$AM$450,36,0)</f>
        <v>0</v>
      </c>
      <c r="AF238" s="975"/>
      <c r="AG238" s="975"/>
      <c r="AH238" s="975">
        <f t="shared" si="82"/>
        <v>0</v>
      </c>
      <c r="AI238" s="975">
        <f>VLOOKUP(C238,'[8]CHẤM CÔNG '!$F$10:$AM$451,33,0)</f>
        <v>0</v>
      </c>
      <c r="AJ238" s="975">
        <f>VLOOKUP(C238,'[8]CHẤM CÔNG '!$F$10:$AM$451,34,0)</f>
        <v>0</v>
      </c>
      <c r="AK238" s="975"/>
      <c r="AL238" s="975"/>
      <c r="AM238" s="975"/>
      <c r="AN238" s="975">
        <f>VLOOKUP(C238,'[8]CHẤM CÔNG '!$F$10:$AN$451,35,0)</f>
        <v>0</v>
      </c>
      <c r="AO238" s="975">
        <f>VLOOKUP(C238,'[8]CHẤM CÔNG '!$F$10:$AR$451,36,0)</f>
        <v>0</v>
      </c>
      <c r="AP238" s="975"/>
      <c r="AQ238" s="975"/>
      <c r="AR238" s="975"/>
      <c r="AS238" s="981"/>
      <c r="AT238" s="982">
        <f>VLOOKUP(C238,'[8]MỦ TẠP'!$D$10:$AO$450,38,0)</f>
        <v>0</v>
      </c>
      <c r="AU238" s="946">
        <v>797</v>
      </c>
      <c r="AV238" s="976">
        <f t="shared" si="83"/>
        <v>-797</v>
      </c>
      <c r="AX238" s="944">
        <f t="shared" si="84"/>
        <v>3</v>
      </c>
    </row>
    <row r="239" spans="1:52" ht="15.75">
      <c r="A239" s="996">
        <v>20</v>
      </c>
      <c r="B239" s="958" t="e">
        <f>VLOOKUP(C239,'[8]DS CN MOI UP'!$B$10:$C$489,2,0)</f>
        <v>#N/A</v>
      </c>
      <c r="C239" s="963" t="s">
        <v>143</v>
      </c>
      <c r="D239" s="997" t="s">
        <v>15</v>
      </c>
      <c r="E239" s="960"/>
      <c r="F239" s="960"/>
      <c r="G239" s="960"/>
      <c r="H239" s="960"/>
      <c r="I239" s="960"/>
      <c r="J239" s="960"/>
      <c r="K239" s="960"/>
      <c r="L239" s="960"/>
      <c r="M239" s="960"/>
      <c r="N239" s="960">
        <f t="shared" si="72"/>
        <v>0</v>
      </c>
      <c r="O239" s="960">
        <f t="shared" si="73"/>
        <v>0</v>
      </c>
      <c r="P239" s="960">
        <f t="shared" si="74"/>
        <v>0</v>
      </c>
      <c r="Q239" s="960">
        <f t="shared" si="75"/>
        <v>0</v>
      </c>
      <c r="R239" s="960">
        <f t="shared" si="76"/>
        <v>0</v>
      </c>
      <c r="S239" s="960">
        <f t="shared" si="77"/>
        <v>0</v>
      </c>
      <c r="T239" s="960">
        <f t="shared" si="78"/>
        <v>0</v>
      </c>
      <c r="U239" s="960">
        <f t="shared" si="79"/>
        <v>0</v>
      </c>
      <c r="V239" s="960">
        <f t="shared" si="80"/>
        <v>0</v>
      </c>
      <c r="W239" s="960"/>
      <c r="X239" s="960"/>
      <c r="Y239" s="960"/>
      <c r="Z239" s="960"/>
      <c r="AA239" s="975">
        <f t="shared" si="81"/>
        <v>0</v>
      </c>
      <c r="AB239" s="975" t="e">
        <f>VLOOKUP(C239,'[8]MỦ TẠP'!$D$10:$AM$450,36,0)</f>
        <v>#N/A</v>
      </c>
      <c r="AC239" s="975"/>
      <c r="AD239" s="975"/>
      <c r="AE239" s="975" t="e">
        <f>VLOOKUP(C239,'[8]MỦ TẠP'!$D$10:$AM$450,36,0)</f>
        <v>#N/A</v>
      </c>
      <c r="AF239" s="975"/>
      <c r="AG239" s="975"/>
      <c r="AH239" s="975" t="e">
        <f t="shared" si="82"/>
        <v>#N/A</v>
      </c>
      <c r="AI239" s="975" t="e">
        <f>VLOOKUP(C239,'[8]CHẤM CÔNG '!$F$10:$AM$451,33,0)</f>
        <v>#N/A</v>
      </c>
      <c r="AJ239" s="975" t="e">
        <f>VLOOKUP(C239,'[8]CHẤM CÔNG '!$F$10:$AM$451,34,0)</f>
        <v>#N/A</v>
      </c>
      <c r="AK239" s="975"/>
      <c r="AL239" s="975"/>
      <c r="AM239" s="975"/>
      <c r="AN239" s="975" t="e">
        <f>VLOOKUP(C239,'[8]CHẤM CÔNG '!$F$10:$AN$451,35,0)</f>
        <v>#N/A</v>
      </c>
      <c r="AO239" s="975" t="e">
        <f>VLOOKUP(C239,'[8]CHẤM CÔNG '!$F$10:$AR$451,36,0)</f>
        <v>#N/A</v>
      </c>
      <c r="AP239" s="975"/>
      <c r="AQ239" s="975"/>
      <c r="AR239" s="975"/>
      <c r="AS239" s="981"/>
      <c r="AT239" s="982" t="e">
        <f>VLOOKUP(C239,'[8]MỦ TẠP'!$D$10:$AO$450,38,0)</f>
        <v>#N/A</v>
      </c>
      <c r="AU239" s="946">
        <v>1518</v>
      </c>
      <c r="AV239" s="976" t="e">
        <f t="shared" si="83"/>
        <v>#N/A</v>
      </c>
      <c r="AX239" s="944">
        <f t="shared" si="84"/>
        <v>3</v>
      </c>
    </row>
    <row r="240" spans="1:52" ht="15.75">
      <c r="A240" s="996">
        <v>21</v>
      </c>
      <c r="B240" s="958" t="str">
        <f>VLOOKUP(C240,'[8]DS CN MOI UP'!$B$10:$C$489,2,0)</f>
        <v>03359</v>
      </c>
      <c r="C240" s="963" t="s">
        <v>144</v>
      </c>
      <c r="D240" s="997" t="s">
        <v>15</v>
      </c>
      <c r="E240" s="960"/>
      <c r="F240" s="960"/>
      <c r="G240" s="960"/>
      <c r="H240" s="960"/>
      <c r="I240" s="960"/>
      <c r="J240" s="960"/>
      <c r="K240" s="960"/>
      <c r="L240" s="960"/>
      <c r="M240" s="960"/>
      <c r="N240" s="960">
        <f t="shared" si="72"/>
        <v>0</v>
      </c>
      <c r="O240" s="960">
        <f t="shared" si="73"/>
        <v>0</v>
      </c>
      <c r="P240" s="960">
        <f t="shared" si="74"/>
        <v>0</v>
      </c>
      <c r="Q240" s="960">
        <f t="shared" si="75"/>
        <v>0</v>
      </c>
      <c r="R240" s="960">
        <f t="shared" si="76"/>
        <v>0</v>
      </c>
      <c r="S240" s="960">
        <f t="shared" si="77"/>
        <v>0</v>
      </c>
      <c r="T240" s="960">
        <f t="shared" si="78"/>
        <v>0</v>
      </c>
      <c r="U240" s="960">
        <f t="shared" si="79"/>
        <v>0</v>
      </c>
      <c r="V240" s="960">
        <f t="shared" si="80"/>
        <v>0</v>
      </c>
      <c r="W240" s="960"/>
      <c r="X240" s="960"/>
      <c r="Y240" s="960"/>
      <c r="Z240" s="960"/>
      <c r="AA240" s="975">
        <f t="shared" si="81"/>
        <v>0</v>
      </c>
      <c r="AB240" s="975">
        <f>VLOOKUP(C240,'[8]MỦ TẠP'!$D$10:$AM$450,36,0)</f>
        <v>0</v>
      </c>
      <c r="AC240" s="975"/>
      <c r="AD240" s="975"/>
      <c r="AE240" s="975">
        <f>VLOOKUP(C240,'[8]MỦ TẠP'!$D$10:$AM$450,36,0)</f>
        <v>0</v>
      </c>
      <c r="AF240" s="975"/>
      <c r="AG240" s="975"/>
      <c r="AH240" s="975">
        <f t="shared" si="82"/>
        <v>0</v>
      </c>
      <c r="AI240" s="975">
        <f>VLOOKUP(C240,'[8]CHẤM CÔNG '!$F$10:$AM$451,33,0)</f>
        <v>0</v>
      </c>
      <c r="AJ240" s="975">
        <f>VLOOKUP(C240,'[8]CHẤM CÔNG '!$F$10:$AM$451,34,0)</f>
        <v>0</v>
      </c>
      <c r="AK240" s="975"/>
      <c r="AL240" s="975"/>
      <c r="AM240" s="975"/>
      <c r="AN240" s="975">
        <f>VLOOKUP(C240,'[8]CHẤM CÔNG '!$F$10:$AN$451,35,0)</f>
        <v>0</v>
      </c>
      <c r="AO240" s="975">
        <f>VLOOKUP(C240,'[8]CHẤM CÔNG '!$F$10:$AR$451,36,0)</f>
        <v>0</v>
      </c>
      <c r="AP240" s="975"/>
      <c r="AQ240" s="975"/>
      <c r="AR240" s="975"/>
      <c r="AS240" s="981"/>
      <c r="AT240" s="982">
        <f>VLOOKUP(C240,'[8]MỦ TẠP'!$D$10:$AO$450,38,0)</f>
        <v>0</v>
      </c>
      <c r="AU240" s="946">
        <v>1263</v>
      </c>
      <c r="AV240" s="976">
        <f t="shared" si="83"/>
        <v>-1263</v>
      </c>
      <c r="AX240" s="944">
        <f t="shared" si="84"/>
        <v>3</v>
      </c>
    </row>
    <row r="241" spans="1:52" ht="15.75">
      <c r="A241" s="996">
        <v>22</v>
      </c>
      <c r="B241" s="958" t="str">
        <f>VLOOKUP(C241,'[8]DS CN MOI UP'!$B$10:$C$489,2,0)</f>
        <v>03360</v>
      </c>
      <c r="C241" s="963" t="s">
        <v>145</v>
      </c>
      <c r="D241" s="997" t="s">
        <v>15</v>
      </c>
      <c r="E241" s="960"/>
      <c r="F241" s="960"/>
      <c r="G241" s="960"/>
      <c r="H241" s="960"/>
      <c r="I241" s="960"/>
      <c r="J241" s="960"/>
      <c r="K241" s="960"/>
      <c r="L241" s="960"/>
      <c r="M241" s="960"/>
      <c r="N241" s="960">
        <f t="shared" si="72"/>
        <v>0</v>
      </c>
      <c r="O241" s="960">
        <f t="shared" si="73"/>
        <v>0</v>
      </c>
      <c r="P241" s="960">
        <f t="shared" si="74"/>
        <v>0</v>
      </c>
      <c r="Q241" s="960">
        <f t="shared" si="75"/>
        <v>0</v>
      </c>
      <c r="R241" s="960">
        <f t="shared" si="76"/>
        <v>0</v>
      </c>
      <c r="S241" s="960">
        <f t="shared" si="77"/>
        <v>0</v>
      </c>
      <c r="T241" s="960">
        <f t="shared" si="78"/>
        <v>0</v>
      </c>
      <c r="U241" s="960">
        <f t="shared" si="79"/>
        <v>0</v>
      </c>
      <c r="V241" s="960">
        <f t="shared" si="80"/>
        <v>0</v>
      </c>
      <c r="W241" s="960"/>
      <c r="X241" s="960"/>
      <c r="Y241" s="960"/>
      <c r="Z241" s="960"/>
      <c r="AA241" s="975">
        <f t="shared" si="81"/>
        <v>0</v>
      </c>
      <c r="AB241" s="975">
        <f>VLOOKUP(C241,'[8]MỦ TẠP'!$D$10:$AM$450,36,0)</f>
        <v>0</v>
      </c>
      <c r="AC241" s="975"/>
      <c r="AD241" s="975"/>
      <c r="AE241" s="975">
        <f>VLOOKUP(C241,'[8]MỦ TẠP'!$D$10:$AM$450,36,0)</f>
        <v>0</v>
      </c>
      <c r="AF241" s="975"/>
      <c r="AG241" s="975"/>
      <c r="AH241" s="975">
        <f t="shared" si="82"/>
        <v>0</v>
      </c>
      <c r="AI241" s="975">
        <f>VLOOKUP(C241,'[8]CHẤM CÔNG '!$F$10:$AM$451,33,0)</f>
        <v>0</v>
      </c>
      <c r="AJ241" s="975">
        <f>VLOOKUP(C241,'[8]CHẤM CÔNG '!$F$10:$AM$451,34,0)</f>
        <v>0</v>
      </c>
      <c r="AK241" s="975"/>
      <c r="AL241" s="975"/>
      <c r="AM241" s="975"/>
      <c r="AN241" s="975">
        <f>VLOOKUP(C241,'[8]CHẤM CÔNG '!$F$10:$AN$451,35,0)</f>
        <v>0</v>
      </c>
      <c r="AO241" s="975">
        <f>VLOOKUP(C241,'[8]CHẤM CÔNG '!$F$10:$AR$451,36,0)</f>
        <v>0</v>
      </c>
      <c r="AP241" s="975"/>
      <c r="AQ241" s="975"/>
      <c r="AR241" s="975"/>
      <c r="AS241" s="981"/>
      <c r="AT241" s="982">
        <f>VLOOKUP(C241,'[8]MỦ TẠP'!$D$10:$AO$450,38,0)</f>
        <v>0</v>
      </c>
      <c r="AU241" s="946">
        <v>1497</v>
      </c>
      <c r="AV241" s="976">
        <f t="shared" si="83"/>
        <v>-1497</v>
      </c>
      <c r="AX241" s="944">
        <f t="shared" si="84"/>
        <v>3</v>
      </c>
    </row>
    <row r="242" spans="1:52" ht="15.75">
      <c r="A242" s="996">
        <v>23</v>
      </c>
      <c r="B242" s="958" t="str">
        <f>VLOOKUP(C242,'[8]DS CN MOI UP'!$B$10:$C$489,2,0)</f>
        <v>03413</v>
      </c>
      <c r="C242" s="963" t="s">
        <v>146</v>
      </c>
      <c r="D242" s="997" t="s">
        <v>15</v>
      </c>
      <c r="E242" s="960"/>
      <c r="F242" s="960"/>
      <c r="G242" s="960"/>
      <c r="H242" s="960"/>
      <c r="I242" s="960"/>
      <c r="J242" s="960"/>
      <c r="K242" s="960"/>
      <c r="L242" s="960"/>
      <c r="M242" s="960"/>
      <c r="N242" s="960">
        <f t="shared" si="72"/>
        <v>0</v>
      </c>
      <c r="O242" s="960">
        <f t="shared" si="73"/>
        <v>0</v>
      </c>
      <c r="P242" s="960">
        <f t="shared" si="74"/>
        <v>0</v>
      </c>
      <c r="Q242" s="960">
        <f t="shared" si="75"/>
        <v>0</v>
      </c>
      <c r="R242" s="960">
        <f t="shared" si="76"/>
        <v>0</v>
      </c>
      <c r="S242" s="960">
        <f t="shared" si="77"/>
        <v>0</v>
      </c>
      <c r="T242" s="960">
        <f t="shared" si="78"/>
        <v>0</v>
      </c>
      <c r="U242" s="960">
        <f t="shared" si="79"/>
        <v>0</v>
      </c>
      <c r="V242" s="960">
        <f t="shared" si="80"/>
        <v>0</v>
      </c>
      <c r="W242" s="960"/>
      <c r="X242" s="960"/>
      <c r="Y242" s="960"/>
      <c r="Z242" s="960"/>
      <c r="AA242" s="975">
        <f t="shared" si="81"/>
        <v>0</v>
      </c>
      <c r="AB242" s="975">
        <f>VLOOKUP(C242,'[8]MỦ TẠP'!$D$10:$AM$450,36,0)</f>
        <v>0</v>
      </c>
      <c r="AC242" s="975"/>
      <c r="AD242" s="975"/>
      <c r="AE242" s="975">
        <f>VLOOKUP(C242,'[8]MỦ TẠP'!$D$10:$AM$450,36,0)</f>
        <v>0</v>
      </c>
      <c r="AF242" s="975"/>
      <c r="AG242" s="975"/>
      <c r="AH242" s="975">
        <f t="shared" si="82"/>
        <v>0</v>
      </c>
      <c r="AI242" s="975">
        <f>VLOOKUP(C242,'[8]CHẤM CÔNG '!$F$10:$AM$451,33,0)</f>
        <v>0</v>
      </c>
      <c r="AJ242" s="975">
        <f>VLOOKUP(C242,'[8]CHẤM CÔNG '!$F$10:$AM$451,34,0)</f>
        <v>0</v>
      </c>
      <c r="AK242" s="975"/>
      <c r="AL242" s="975"/>
      <c r="AM242" s="975"/>
      <c r="AN242" s="975">
        <f>VLOOKUP(C242,'[8]CHẤM CÔNG '!$F$10:$AN$451,35,0)</f>
        <v>0</v>
      </c>
      <c r="AO242" s="975">
        <f>VLOOKUP(C242,'[8]CHẤM CÔNG '!$F$10:$AR$451,36,0)</f>
        <v>0</v>
      </c>
      <c r="AP242" s="975"/>
      <c r="AQ242" s="975"/>
      <c r="AR242" s="975"/>
      <c r="AS242" s="981"/>
      <c r="AT242" s="982">
        <f>VLOOKUP(C242,'[8]MỦ TẠP'!$D$10:$AO$450,38,0)</f>
        <v>0</v>
      </c>
      <c r="AU242" s="946">
        <v>836</v>
      </c>
      <c r="AV242" s="976">
        <f t="shared" si="83"/>
        <v>-836</v>
      </c>
      <c r="AX242" s="944">
        <f t="shared" si="84"/>
        <v>3</v>
      </c>
    </row>
    <row r="243" spans="1:52" ht="15.75">
      <c r="A243" s="996">
        <v>24</v>
      </c>
      <c r="B243" s="958" t="str">
        <f>VLOOKUP(C243,'[8]DS CN MOI UP'!$B$10:$C$489,2,0)</f>
        <v>03361</v>
      </c>
      <c r="C243" s="963" t="s">
        <v>147</v>
      </c>
      <c r="D243" s="997" t="s">
        <v>15</v>
      </c>
      <c r="E243" s="960"/>
      <c r="F243" s="960"/>
      <c r="G243" s="960"/>
      <c r="H243" s="960"/>
      <c r="I243" s="960"/>
      <c r="J243" s="960"/>
      <c r="K243" s="960"/>
      <c r="L243" s="960"/>
      <c r="M243" s="960"/>
      <c r="N243" s="960">
        <f t="shared" si="72"/>
        <v>0</v>
      </c>
      <c r="O243" s="960">
        <f t="shared" si="73"/>
        <v>0</v>
      </c>
      <c r="P243" s="960">
        <f t="shared" si="74"/>
        <v>0</v>
      </c>
      <c r="Q243" s="960">
        <f t="shared" si="75"/>
        <v>0</v>
      </c>
      <c r="R243" s="960">
        <f t="shared" si="76"/>
        <v>0</v>
      </c>
      <c r="S243" s="960">
        <f t="shared" si="77"/>
        <v>0</v>
      </c>
      <c r="T243" s="960">
        <f t="shared" si="78"/>
        <v>0</v>
      </c>
      <c r="U243" s="960">
        <f t="shared" si="79"/>
        <v>0</v>
      </c>
      <c r="V243" s="960">
        <f t="shared" si="80"/>
        <v>0</v>
      </c>
      <c r="W243" s="960"/>
      <c r="X243" s="960"/>
      <c r="Y243" s="960"/>
      <c r="Z243" s="960"/>
      <c r="AA243" s="975">
        <f t="shared" si="81"/>
        <v>0</v>
      </c>
      <c r="AB243" s="975">
        <f>VLOOKUP(C243,'[8]MỦ TẠP'!$D$10:$AM$450,36,0)</f>
        <v>0</v>
      </c>
      <c r="AC243" s="975"/>
      <c r="AD243" s="975"/>
      <c r="AE243" s="975">
        <f>VLOOKUP(C243,'[8]MỦ TẠP'!$D$10:$AM$450,36,0)</f>
        <v>0</v>
      </c>
      <c r="AF243" s="975"/>
      <c r="AG243" s="975"/>
      <c r="AH243" s="975">
        <f t="shared" si="82"/>
        <v>0</v>
      </c>
      <c r="AI243" s="975">
        <f>VLOOKUP(C243,'[8]CHẤM CÔNG '!$F$10:$AM$451,33,0)</f>
        <v>0</v>
      </c>
      <c r="AJ243" s="975">
        <f>VLOOKUP(C243,'[8]CHẤM CÔNG '!$F$10:$AM$451,34,0)</f>
        <v>0</v>
      </c>
      <c r="AK243" s="975"/>
      <c r="AL243" s="975"/>
      <c r="AM243" s="975"/>
      <c r="AN243" s="975">
        <f>VLOOKUP(C243,'[8]CHẤM CÔNG '!$F$10:$AN$451,35,0)</f>
        <v>0</v>
      </c>
      <c r="AO243" s="975">
        <f>VLOOKUP(C243,'[8]CHẤM CÔNG '!$F$10:$AR$451,36,0)</f>
        <v>0</v>
      </c>
      <c r="AP243" s="975"/>
      <c r="AQ243" s="975"/>
      <c r="AR243" s="975"/>
      <c r="AS243" s="981"/>
      <c r="AT243" s="982">
        <f>VLOOKUP(C243,'[8]MỦ TẠP'!$D$10:$AO$450,38,0)</f>
        <v>0</v>
      </c>
      <c r="AU243" s="946">
        <v>2568</v>
      </c>
      <c r="AV243" s="976">
        <f t="shared" si="83"/>
        <v>-2568</v>
      </c>
      <c r="AX243" s="944">
        <f t="shared" si="84"/>
        <v>3</v>
      </c>
    </row>
    <row r="244" spans="1:52" ht="15.75">
      <c r="A244" s="996">
        <v>25</v>
      </c>
      <c r="B244" s="958" t="str">
        <f>VLOOKUP(C244,'[8]DS CN MOI UP'!$B$10:$C$489,2,0)</f>
        <v>02554</v>
      </c>
      <c r="C244" s="963" t="s">
        <v>148</v>
      </c>
      <c r="D244" s="997" t="s">
        <v>15</v>
      </c>
      <c r="E244" s="960"/>
      <c r="F244" s="960"/>
      <c r="G244" s="960"/>
      <c r="H244" s="960"/>
      <c r="I244" s="960"/>
      <c r="J244" s="960"/>
      <c r="K244" s="960"/>
      <c r="L244" s="960"/>
      <c r="M244" s="960"/>
      <c r="N244" s="960">
        <f t="shared" si="72"/>
        <v>0</v>
      </c>
      <c r="O244" s="960">
        <f t="shared" si="73"/>
        <v>0</v>
      </c>
      <c r="P244" s="960">
        <f t="shared" si="74"/>
        <v>0</v>
      </c>
      <c r="Q244" s="960">
        <f t="shared" si="75"/>
        <v>0</v>
      </c>
      <c r="R244" s="960">
        <f t="shared" si="76"/>
        <v>0</v>
      </c>
      <c r="S244" s="960">
        <f t="shared" si="77"/>
        <v>0</v>
      </c>
      <c r="T244" s="960">
        <f t="shared" si="78"/>
        <v>0</v>
      </c>
      <c r="U244" s="960">
        <f t="shared" si="79"/>
        <v>0</v>
      </c>
      <c r="V244" s="960">
        <f t="shared" si="80"/>
        <v>0</v>
      </c>
      <c r="W244" s="960"/>
      <c r="X244" s="960"/>
      <c r="Y244" s="960"/>
      <c r="Z244" s="960"/>
      <c r="AA244" s="975">
        <f t="shared" si="81"/>
        <v>0</v>
      </c>
      <c r="AB244" s="975">
        <f>VLOOKUP(C244,'[8]MỦ TẠP'!$D$10:$AM$450,36,0)</f>
        <v>0</v>
      </c>
      <c r="AC244" s="975"/>
      <c r="AD244" s="975"/>
      <c r="AE244" s="975">
        <f>VLOOKUP(C244,'[8]MỦ TẠP'!$D$10:$AM$450,36,0)</f>
        <v>0</v>
      </c>
      <c r="AF244" s="975"/>
      <c r="AG244" s="975"/>
      <c r="AH244" s="975">
        <f t="shared" si="82"/>
        <v>0</v>
      </c>
      <c r="AI244" s="975">
        <f>VLOOKUP(C244,'[8]CHẤM CÔNG '!$F$10:$AM$451,33,0)</f>
        <v>0</v>
      </c>
      <c r="AJ244" s="975">
        <f>VLOOKUP(C244,'[8]CHẤM CÔNG '!$F$10:$AM$451,34,0)</f>
        <v>0</v>
      </c>
      <c r="AK244" s="975"/>
      <c r="AL244" s="975"/>
      <c r="AM244" s="975"/>
      <c r="AN244" s="975">
        <f>VLOOKUP(C244,'[8]CHẤM CÔNG '!$F$10:$AN$451,35,0)</f>
        <v>0</v>
      </c>
      <c r="AO244" s="975">
        <f>VLOOKUP(C244,'[8]CHẤM CÔNG '!$F$10:$AR$451,36,0)</f>
        <v>0</v>
      </c>
      <c r="AP244" s="975"/>
      <c r="AQ244" s="975"/>
      <c r="AR244" s="975"/>
      <c r="AS244" s="981"/>
      <c r="AT244" s="982">
        <f>VLOOKUP(C244,'[8]MỦ TẠP'!$D$10:$AO$450,38,0)</f>
        <v>0</v>
      </c>
      <c r="AU244" s="946">
        <v>1275</v>
      </c>
      <c r="AV244" s="976">
        <f t="shared" si="83"/>
        <v>-1275</v>
      </c>
      <c r="AX244" s="944">
        <f t="shared" si="84"/>
        <v>3</v>
      </c>
    </row>
    <row r="245" spans="1:52" ht="15.75">
      <c r="A245" s="996">
        <v>26</v>
      </c>
      <c r="B245" s="958" t="str">
        <f>VLOOKUP(C245,'[8]DS CN MOI UP'!$B$10:$C$489,2,0)</f>
        <v>02534</v>
      </c>
      <c r="C245" s="963" t="s">
        <v>149</v>
      </c>
      <c r="D245" s="997" t="s">
        <v>15</v>
      </c>
      <c r="E245" s="960"/>
      <c r="F245" s="960"/>
      <c r="G245" s="960"/>
      <c r="H245" s="960"/>
      <c r="I245" s="960"/>
      <c r="J245" s="960"/>
      <c r="K245" s="960"/>
      <c r="L245" s="960"/>
      <c r="M245" s="960"/>
      <c r="N245" s="960">
        <f t="shared" si="72"/>
        <v>0</v>
      </c>
      <c r="O245" s="960">
        <f t="shared" si="73"/>
        <v>0</v>
      </c>
      <c r="P245" s="960">
        <f t="shared" si="74"/>
        <v>0</v>
      </c>
      <c r="Q245" s="960">
        <f t="shared" si="75"/>
        <v>0</v>
      </c>
      <c r="R245" s="960">
        <f t="shared" si="76"/>
        <v>0</v>
      </c>
      <c r="S245" s="960">
        <f t="shared" si="77"/>
        <v>0</v>
      </c>
      <c r="T245" s="960">
        <f t="shared" si="78"/>
        <v>0</v>
      </c>
      <c r="U245" s="960">
        <f t="shared" si="79"/>
        <v>0</v>
      </c>
      <c r="V245" s="960">
        <f t="shared" si="80"/>
        <v>0</v>
      </c>
      <c r="W245" s="960"/>
      <c r="X245" s="960"/>
      <c r="Y245" s="960"/>
      <c r="Z245" s="960"/>
      <c r="AA245" s="975">
        <f t="shared" si="81"/>
        <v>0</v>
      </c>
      <c r="AB245" s="975">
        <f>VLOOKUP(C245,'[8]MỦ TẠP'!$D$10:$AM$450,36,0)</f>
        <v>0</v>
      </c>
      <c r="AC245" s="975"/>
      <c r="AD245" s="975"/>
      <c r="AE245" s="975">
        <f>VLOOKUP(C245,'[8]MỦ TẠP'!$D$10:$AM$450,36,0)</f>
        <v>0</v>
      </c>
      <c r="AF245" s="975"/>
      <c r="AG245" s="975"/>
      <c r="AH245" s="975">
        <f t="shared" si="82"/>
        <v>0</v>
      </c>
      <c r="AI245" s="975">
        <f>VLOOKUP(C245,'[8]CHẤM CÔNG '!$F$10:$AM$451,33,0)</f>
        <v>0</v>
      </c>
      <c r="AJ245" s="975">
        <f>VLOOKUP(C245,'[8]CHẤM CÔNG '!$F$10:$AM$451,34,0)</f>
        <v>0</v>
      </c>
      <c r="AK245" s="975"/>
      <c r="AL245" s="975"/>
      <c r="AM245" s="975"/>
      <c r="AN245" s="975">
        <f>VLOOKUP(C245,'[8]CHẤM CÔNG '!$F$10:$AN$451,35,0)</f>
        <v>0</v>
      </c>
      <c r="AO245" s="975">
        <f>VLOOKUP(C245,'[8]CHẤM CÔNG '!$F$10:$AR$451,36,0)</f>
        <v>0</v>
      </c>
      <c r="AP245" s="975"/>
      <c r="AQ245" s="975"/>
      <c r="AR245" s="975"/>
      <c r="AS245" s="981"/>
      <c r="AT245" s="982">
        <f>VLOOKUP(C245,'[8]MỦ TẠP'!$D$10:$AO$450,38,0)</f>
        <v>0</v>
      </c>
      <c r="AU245" s="946">
        <v>2116</v>
      </c>
      <c r="AV245" s="976">
        <f t="shared" si="83"/>
        <v>-2116</v>
      </c>
      <c r="AX245" s="944">
        <f t="shared" si="84"/>
        <v>3</v>
      </c>
    </row>
    <row r="246" spans="1:52" ht="15.75">
      <c r="A246" s="996">
        <v>27</v>
      </c>
      <c r="B246" s="958" t="str">
        <f>VLOOKUP(C246,'[8]DS CN MOI UP'!$B$10:$C$489,2,0)</f>
        <v>02538</v>
      </c>
      <c r="C246" s="963" t="s">
        <v>150</v>
      </c>
      <c r="D246" s="997" t="s">
        <v>15</v>
      </c>
      <c r="E246" s="960"/>
      <c r="F246" s="960"/>
      <c r="G246" s="960"/>
      <c r="H246" s="960"/>
      <c r="I246" s="960"/>
      <c r="J246" s="960"/>
      <c r="K246" s="960"/>
      <c r="L246" s="960"/>
      <c r="M246" s="960"/>
      <c r="N246" s="960">
        <f t="shared" si="72"/>
        <v>0</v>
      </c>
      <c r="O246" s="960">
        <f t="shared" si="73"/>
        <v>0</v>
      </c>
      <c r="P246" s="960">
        <f t="shared" si="74"/>
        <v>0</v>
      </c>
      <c r="Q246" s="960">
        <f t="shared" si="75"/>
        <v>0</v>
      </c>
      <c r="R246" s="960">
        <f t="shared" si="76"/>
        <v>0</v>
      </c>
      <c r="S246" s="960">
        <f t="shared" si="77"/>
        <v>0</v>
      </c>
      <c r="T246" s="960">
        <f t="shared" si="78"/>
        <v>0</v>
      </c>
      <c r="U246" s="960">
        <f t="shared" si="79"/>
        <v>0</v>
      </c>
      <c r="V246" s="960">
        <f t="shared" si="80"/>
        <v>0</v>
      </c>
      <c r="W246" s="960"/>
      <c r="X246" s="960"/>
      <c r="Y246" s="960"/>
      <c r="Z246" s="960"/>
      <c r="AA246" s="975">
        <f t="shared" si="81"/>
        <v>0</v>
      </c>
      <c r="AB246" s="975">
        <f>VLOOKUP(C246,'[8]MỦ TẠP'!$D$10:$AM$450,36,0)</f>
        <v>0</v>
      </c>
      <c r="AC246" s="975"/>
      <c r="AD246" s="975"/>
      <c r="AE246" s="975">
        <f>VLOOKUP(C246,'[8]MỦ TẠP'!$D$10:$AM$450,36,0)</f>
        <v>0</v>
      </c>
      <c r="AF246" s="975"/>
      <c r="AG246" s="975"/>
      <c r="AH246" s="975">
        <f t="shared" si="82"/>
        <v>0</v>
      </c>
      <c r="AI246" s="975">
        <f>VLOOKUP(C246,'[8]CHẤM CÔNG '!$F$10:$AM$451,33,0)</f>
        <v>0</v>
      </c>
      <c r="AJ246" s="975">
        <f>VLOOKUP(C246,'[8]CHẤM CÔNG '!$F$10:$AM$451,34,0)</f>
        <v>0</v>
      </c>
      <c r="AK246" s="975"/>
      <c r="AL246" s="975"/>
      <c r="AM246" s="975"/>
      <c r="AN246" s="975">
        <f>VLOOKUP(C246,'[8]CHẤM CÔNG '!$F$10:$AN$451,35,0)</f>
        <v>0</v>
      </c>
      <c r="AO246" s="975">
        <f>VLOOKUP(C246,'[8]CHẤM CÔNG '!$F$10:$AR$451,36,0)</f>
        <v>0</v>
      </c>
      <c r="AP246" s="975"/>
      <c r="AQ246" s="975"/>
      <c r="AR246" s="975"/>
      <c r="AS246" s="981"/>
      <c r="AT246" s="982">
        <f>VLOOKUP(C246,'[8]MỦ TẠP'!$D$10:$AO$450,38,0)</f>
        <v>0</v>
      </c>
      <c r="AU246" s="946">
        <v>1599</v>
      </c>
      <c r="AV246" s="976">
        <f t="shared" si="83"/>
        <v>-1599</v>
      </c>
      <c r="AX246" s="944">
        <f t="shared" si="84"/>
        <v>3</v>
      </c>
    </row>
    <row r="247" spans="1:52" ht="15.75">
      <c r="A247" s="996">
        <v>28</v>
      </c>
      <c r="B247" s="958" t="str">
        <f>VLOOKUP(C247,'[8]DS CN MOI UP'!$B$10:$C$489,2,0)</f>
        <v>03362</v>
      </c>
      <c r="C247" s="963" t="s">
        <v>151</v>
      </c>
      <c r="D247" s="997" t="s">
        <v>15</v>
      </c>
      <c r="E247" s="960"/>
      <c r="F247" s="960"/>
      <c r="G247" s="960"/>
      <c r="H247" s="960"/>
      <c r="I247" s="960"/>
      <c r="J247" s="960"/>
      <c r="K247" s="960"/>
      <c r="L247" s="960"/>
      <c r="M247" s="960"/>
      <c r="N247" s="960">
        <f t="shared" si="72"/>
        <v>0</v>
      </c>
      <c r="O247" s="960">
        <f t="shared" si="73"/>
        <v>0</v>
      </c>
      <c r="P247" s="960">
        <f t="shared" si="74"/>
        <v>0</v>
      </c>
      <c r="Q247" s="960">
        <f t="shared" si="75"/>
        <v>0</v>
      </c>
      <c r="R247" s="960">
        <f t="shared" si="76"/>
        <v>0</v>
      </c>
      <c r="S247" s="960">
        <f t="shared" si="77"/>
        <v>0</v>
      </c>
      <c r="T247" s="960">
        <f t="shared" si="78"/>
        <v>0</v>
      </c>
      <c r="U247" s="960">
        <f t="shared" si="79"/>
        <v>0</v>
      </c>
      <c r="V247" s="960">
        <f t="shared" si="80"/>
        <v>0</v>
      </c>
      <c r="W247" s="960"/>
      <c r="X247" s="960"/>
      <c r="Y247" s="960"/>
      <c r="Z247" s="960"/>
      <c r="AA247" s="975">
        <f t="shared" si="81"/>
        <v>0</v>
      </c>
      <c r="AB247" s="975">
        <f>VLOOKUP(C247,'[8]MỦ TẠP'!$D$10:$AM$450,36,0)</f>
        <v>0</v>
      </c>
      <c r="AC247" s="975"/>
      <c r="AD247" s="975"/>
      <c r="AE247" s="975">
        <f>VLOOKUP(C247,'[8]MỦ TẠP'!$D$10:$AM$450,36,0)</f>
        <v>0</v>
      </c>
      <c r="AF247" s="975"/>
      <c r="AG247" s="975"/>
      <c r="AH247" s="975">
        <f t="shared" si="82"/>
        <v>0</v>
      </c>
      <c r="AI247" s="975">
        <f>VLOOKUP(C247,'[8]CHẤM CÔNG '!$F$10:$AM$451,33,0)</f>
        <v>0</v>
      </c>
      <c r="AJ247" s="975">
        <f>VLOOKUP(C247,'[8]CHẤM CÔNG '!$F$10:$AM$451,34,0)</f>
        <v>0</v>
      </c>
      <c r="AK247" s="975"/>
      <c r="AL247" s="975"/>
      <c r="AM247" s="975"/>
      <c r="AN247" s="975">
        <f>VLOOKUP(C247,'[8]CHẤM CÔNG '!$F$10:$AN$451,35,0)</f>
        <v>0</v>
      </c>
      <c r="AO247" s="975">
        <f>VLOOKUP(C247,'[8]CHẤM CÔNG '!$F$10:$AR$451,36,0)</f>
        <v>0</v>
      </c>
      <c r="AP247" s="975"/>
      <c r="AQ247" s="975"/>
      <c r="AR247" s="975"/>
      <c r="AS247" s="981"/>
      <c r="AT247" s="982">
        <f>VLOOKUP(C247,'[8]MỦ TẠP'!$D$10:$AO$450,38,0)</f>
        <v>0</v>
      </c>
      <c r="AU247" s="946">
        <v>1622</v>
      </c>
      <c r="AV247" s="976">
        <f t="shared" si="83"/>
        <v>-1622</v>
      </c>
      <c r="AX247" s="944">
        <f t="shared" si="84"/>
        <v>3</v>
      </c>
    </row>
    <row r="248" spans="1:52" ht="15.75">
      <c r="A248" s="996">
        <v>29</v>
      </c>
      <c r="B248" s="958" t="str">
        <f>VLOOKUP(C248,'[8]DS CN MOI UP'!$B$10:$C$489,2,0)</f>
        <v>02530</v>
      </c>
      <c r="C248" s="963" t="s">
        <v>152</v>
      </c>
      <c r="D248" s="997" t="s">
        <v>15</v>
      </c>
      <c r="E248" s="960"/>
      <c r="F248" s="960"/>
      <c r="G248" s="960"/>
      <c r="H248" s="960"/>
      <c r="I248" s="960"/>
      <c r="J248" s="960"/>
      <c r="K248" s="960"/>
      <c r="L248" s="960"/>
      <c r="M248" s="960"/>
      <c r="N248" s="960">
        <f t="shared" si="72"/>
        <v>0</v>
      </c>
      <c r="O248" s="960">
        <f t="shared" si="73"/>
        <v>0</v>
      </c>
      <c r="P248" s="960">
        <f t="shared" si="74"/>
        <v>0</v>
      </c>
      <c r="Q248" s="960">
        <f t="shared" si="75"/>
        <v>0</v>
      </c>
      <c r="R248" s="960">
        <f t="shared" si="76"/>
        <v>0</v>
      </c>
      <c r="S248" s="960">
        <f t="shared" si="77"/>
        <v>0</v>
      </c>
      <c r="T248" s="960">
        <f t="shared" si="78"/>
        <v>0</v>
      </c>
      <c r="U248" s="960">
        <f t="shared" si="79"/>
        <v>0</v>
      </c>
      <c r="V248" s="960">
        <f t="shared" si="80"/>
        <v>0</v>
      </c>
      <c r="W248" s="960"/>
      <c r="X248" s="960"/>
      <c r="Y248" s="960"/>
      <c r="Z248" s="960"/>
      <c r="AA248" s="975">
        <f t="shared" si="81"/>
        <v>0</v>
      </c>
      <c r="AB248" s="975">
        <f>VLOOKUP(C248,'[8]MỦ TẠP'!$D$10:$AM$450,36,0)</f>
        <v>0</v>
      </c>
      <c r="AC248" s="975"/>
      <c r="AD248" s="975"/>
      <c r="AE248" s="975">
        <f>VLOOKUP(C248,'[8]MỦ TẠP'!$D$10:$AM$450,36,0)</f>
        <v>0</v>
      </c>
      <c r="AF248" s="975"/>
      <c r="AG248" s="975"/>
      <c r="AH248" s="975">
        <f t="shared" si="82"/>
        <v>0</v>
      </c>
      <c r="AI248" s="975">
        <f>VLOOKUP(C248,'[8]CHẤM CÔNG '!$F$10:$AM$451,33,0)</f>
        <v>0</v>
      </c>
      <c r="AJ248" s="975">
        <f>VLOOKUP(C248,'[8]CHẤM CÔNG '!$F$10:$AM$451,34,0)</f>
        <v>0</v>
      </c>
      <c r="AK248" s="975"/>
      <c r="AL248" s="975"/>
      <c r="AM248" s="975"/>
      <c r="AN248" s="975">
        <f>VLOOKUP(C248,'[8]CHẤM CÔNG '!$F$10:$AN$451,35,0)</f>
        <v>0</v>
      </c>
      <c r="AO248" s="975">
        <f>VLOOKUP(C248,'[8]CHẤM CÔNG '!$F$10:$AR$451,36,0)</f>
        <v>0</v>
      </c>
      <c r="AP248" s="975"/>
      <c r="AQ248" s="975"/>
      <c r="AR248" s="975"/>
      <c r="AS248" s="981"/>
      <c r="AT248" s="982">
        <f>VLOOKUP(C248,'[8]MỦ TẠP'!$D$10:$AO$450,38,0)</f>
        <v>0</v>
      </c>
      <c r="AU248" s="946">
        <v>1925</v>
      </c>
      <c r="AV248" s="976">
        <f t="shared" si="83"/>
        <v>-1925</v>
      </c>
      <c r="AX248" s="944">
        <f t="shared" si="84"/>
        <v>3</v>
      </c>
    </row>
    <row r="249" spans="1:52" ht="15.75">
      <c r="A249" s="996">
        <v>30</v>
      </c>
      <c r="B249" s="958" t="str">
        <f>VLOOKUP(C249,'[8]DS CN MOI UP'!$B$10:$C$489,2,0)</f>
        <v>03363</v>
      </c>
      <c r="C249" s="963" t="s">
        <v>153</v>
      </c>
      <c r="D249" s="997" t="s">
        <v>15</v>
      </c>
      <c r="E249" s="960"/>
      <c r="F249" s="960"/>
      <c r="G249" s="960"/>
      <c r="H249" s="960"/>
      <c r="I249" s="960"/>
      <c r="J249" s="960"/>
      <c r="K249" s="960"/>
      <c r="L249" s="960"/>
      <c r="M249" s="960"/>
      <c r="N249" s="960">
        <f t="shared" si="72"/>
        <v>0</v>
      </c>
      <c r="O249" s="960">
        <f t="shared" si="73"/>
        <v>0</v>
      </c>
      <c r="P249" s="960">
        <f t="shared" si="74"/>
        <v>0</v>
      </c>
      <c r="Q249" s="960">
        <f t="shared" si="75"/>
        <v>0</v>
      </c>
      <c r="R249" s="960">
        <f t="shared" si="76"/>
        <v>0</v>
      </c>
      <c r="S249" s="960">
        <f t="shared" si="77"/>
        <v>0</v>
      </c>
      <c r="T249" s="960">
        <f t="shared" si="78"/>
        <v>0</v>
      </c>
      <c r="U249" s="960">
        <f t="shared" si="79"/>
        <v>0</v>
      </c>
      <c r="V249" s="960">
        <f t="shared" si="80"/>
        <v>0</v>
      </c>
      <c r="W249" s="960"/>
      <c r="X249" s="960"/>
      <c r="Y249" s="960"/>
      <c r="Z249" s="960"/>
      <c r="AA249" s="975">
        <f t="shared" si="81"/>
        <v>0</v>
      </c>
      <c r="AB249" s="975">
        <f>VLOOKUP(C249,'[8]MỦ TẠP'!$D$10:$AM$450,36,0)</f>
        <v>0</v>
      </c>
      <c r="AC249" s="975"/>
      <c r="AD249" s="975"/>
      <c r="AE249" s="975">
        <f>VLOOKUP(C249,'[8]MỦ TẠP'!$D$10:$AM$450,36,0)</f>
        <v>0</v>
      </c>
      <c r="AF249" s="975"/>
      <c r="AG249" s="975"/>
      <c r="AH249" s="975">
        <f t="shared" si="82"/>
        <v>0</v>
      </c>
      <c r="AI249" s="975">
        <f>VLOOKUP(C249,'[8]CHẤM CÔNG '!$F$10:$AM$451,33,0)</f>
        <v>0</v>
      </c>
      <c r="AJ249" s="975">
        <f>VLOOKUP(C249,'[8]CHẤM CÔNG '!$F$10:$AM$451,34,0)</f>
        <v>0</v>
      </c>
      <c r="AK249" s="975"/>
      <c r="AL249" s="975"/>
      <c r="AM249" s="975"/>
      <c r="AN249" s="975">
        <f>VLOOKUP(C249,'[8]CHẤM CÔNG '!$F$10:$AN$451,35,0)</f>
        <v>0</v>
      </c>
      <c r="AO249" s="975">
        <f>VLOOKUP(C249,'[8]CHẤM CÔNG '!$F$10:$AR$451,36,0)</f>
        <v>0</v>
      </c>
      <c r="AP249" s="975"/>
      <c r="AQ249" s="975"/>
      <c r="AR249" s="975"/>
      <c r="AS249" s="981"/>
      <c r="AT249" s="982">
        <f>VLOOKUP(C249,'[8]MỦ TẠP'!$D$10:$AO$450,38,0)</f>
        <v>0</v>
      </c>
      <c r="AU249" s="946">
        <v>991</v>
      </c>
      <c r="AV249" s="976">
        <f t="shared" si="83"/>
        <v>-991</v>
      </c>
      <c r="AX249" s="944">
        <f t="shared" si="84"/>
        <v>3</v>
      </c>
    </row>
    <row r="250" spans="1:52" ht="15.75">
      <c r="A250" s="996">
        <v>31</v>
      </c>
      <c r="B250" s="958" t="str">
        <f>VLOOKUP(C250,'[8]DS CN MOI UP'!$B$10:$C$489,2,0)</f>
        <v>03364</v>
      </c>
      <c r="C250" s="963" t="s">
        <v>154</v>
      </c>
      <c r="D250" s="997" t="s">
        <v>15</v>
      </c>
      <c r="E250" s="960"/>
      <c r="F250" s="960"/>
      <c r="G250" s="960"/>
      <c r="H250" s="960"/>
      <c r="I250" s="960"/>
      <c r="J250" s="960"/>
      <c r="K250" s="960"/>
      <c r="L250" s="960"/>
      <c r="M250" s="960"/>
      <c r="N250" s="960">
        <f t="shared" si="72"/>
        <v>0</v>
      </c>
      <c r="O250" s="960">
        <f t="shared" si="73"/>
        <v>0</v>
      </c>
      <c r="P250" s="960">
        <f t="shared" si="74"/>
        <v>0</v>
      </c>
      <c r="Q250" s="960">
        <f t="shared" si="75"/>
        <v>0</v>
      </c>
      <c r="R250" s="960">
        <f t="shared" si="76"/>
        <v>0</v>
      </c>
      <c r="S250" s="960">
        <f t="shared" si="77"/>
        <v>0</v>
      </c>
      <c r="T250" s="960">
        <f t="shared" si="78"/>
        <v>0</v>
      </c>
      <c r="U250" s="960">
        <f t="shared" si="79"/>
        <v>0</v>
      </c>
      <c r="V250" s="960">
        <f t="shared" si="80"/>
        <v>0</v>
      </c>
      <c r="W250" s="960"/>
      <c r="X250" s="960"/>
      <c r="Y250" s="960"/>
      <c r="Z250" s="960"/>
      <c r="AA250" s="975">
        <f t="shared" si="81"/>
        <v>0</v>
      </c>
      <c r="AB250" s="975">
        <f>VLOOKUP(C250,'[8]MỦ TẠP'!$D$10:$AM$450,36,0)</f>
        <v>0</v>
      </c>
      <c r="AC250" s="975"/>
      <c r="AD250" s="975"/>
      <c r="AE250" s="975">
        <f>VLOOKUP(C250,'[8]MỦ TẠP'!$D$10:$AM$450,36,0)</f>
        <v>0</v>
      </c>
      <c r="AF250" s="975"/>
      <c r="AG250" s="975"/>
      <c r="AH250" s="975">
        <f t="shared" si="82"/>
        <v>0</v>
      </c>
      <c r="AI250" s="975">
        <f>VLOOKUP(C250,'[8]CHẤM CÔNG '!$F$10:$AM$451,33,0)</f>
        <v>0</v>
      </c>
      <c r="AJ250" s="975">
        <f>VLOOKUP(C250,'[8]CHẤM CÔNG '!$F$10:$AM$451,34,0)</f>
        <v>0</v>
      </c>
      <c r="AK250" s="975"/>
      <c r="AL250" s="975"/>
      <c r="AM250" s="975"/>
      <c r="AN250" s="975">
        <f>VLOOKUP(C250,'[8]CHẤM CÔNG '!$F$10:$AN$451,35,0)</f>
        <v>0</v>
      </c>
      <c r="AO250" s="975">
        <f>VLOOKUP(C250,'[8]CHẤM CÔNG '!$F$10:$AR$451,36,0)</f>
        <v>0</v>
      </c>
      <c r="AP250" s="975"/>
      <c r="AQ250" s="975"/>
      <c r="AR250" s="975"/>
      <c r="AS250" s="981"/>
      <c r="AT250" s="982">
        <f>VLOOKUP(C250,'[8]MỦ TẠP'!$D$10:$AO$450,38,0)</f>
        <v>0</v>
      </c>
      <c r="AU250" s="946">
        <v>2524</v>
      </c>
      <c r="AV250" s="976">
        <f t="shared" si="83"/>
        <v>-2524</v>
      </c>
      <c r="AX250" s="944">
        <f t="shared" si="84"/>
        <v>3</v>
      </c>
    </row>
    <row r="251" spans="1:52" ht="15.75">
      <c r="A251" s="996">
        <v>32</v>
      </c>
      <c r="B251" s="958" t="str">
        <f>VLOOKUP(C251,'[8]DS CN MOI UP'!$B$10:$C$489,2,0)</f>
        <v>02536</v>
      </c>
      <c r="C251" s="963" t="s">
        <v>155</v>
      </c>
      <c r="D251" s="997" t="s">
        <v>15</v>
      </c>
      <c r="E251" s="960"/>
      <c r="F251" s="960"/>
      <c r="G251" s="960"/>
      <c r="H251" s="960"/>
      <c r="I251" s="960"/>
      <c r="J251" s="960"/>
      <c r="K251" s="960"/>
      <c r="L251" s="960"/>
      <c r="M251" s="960"/>
      <c r="N251" s="960">
        <f t="shared" si="72"/>
        <v>0</v>
      </c>
      <c r="O251" s="960">
        <f t="shared" si="73"/>
        <v>0</v>
      </c>
      <c r="P251" s="960">
        <f t="shared" si="74"/>
        <v>0</v>
      </c>
      <c r="Q251" s="960">
        <f t="shared" si="75"/>
        <v>0</v>
      </c>
      <c r="R251" s="960">
        <f t="shared" si="76"/>
        <v>0</v>
      </c>
      <c r="S251" s="960">
        <f t="shared" si="77"/>
        <v>0</v>
      </c>
      <c r="T251" s="960">
        <f t="shared" si="78"/>
        <v>0</v>
      </c>
      <c r="U251" s="960">
        <f t="shared" si="79"/>
        <v>0</v>
      </c>
      <c r="V251" s="960">
        <f t="shared" si="80"/>
        <v>0</v>
      </c>
      <c r="W251" s="960"/>
      <c r="X251" s="960"/>
      <c r="Y251" s="960"/>
      <c r="Z251" s="960"/>
      <c r="AA251" s="975">
        <f t="shared" si="81"/>
        <v>0</v>
      </c>
      <c r="AB251" s="975">
        <f>VLOOKUP(C251,'[8]MỦ TẠP'!$D$10:$AM$450,36,0)</f>
        <v>0</v>
      </c>
      <c r="AC251" s="975"/>
      <c r="AD251" s="975"/>
      <c r="AE251" s="975">
        <f>VLOOKUP(C251,'[8]MỦ TẠP'!$D$10:$AM$450,36,0)</f>
        <v>0</v>
      </c>
      <c r="AF251" s="975"/>
      <c r="AG251" s="975"/>
      <c r="AH251" s="975">
        <f t="shared" si="82"/>
        <v>0</v>
      </c>
      <c r="AI251" s="975">
        <f>VLOOKUP(C251,'[8]CHẤM CÔNG '!$F$10:$AM$451,33,0)</f>
        <v>0</v>
      </c>
      <c r="AJ251" s="975">
        <f>VLOOKUP(C251,'[8]CHẤM CÔNG '!$F$10:$AM$451,34,0)</f>
        <v>0</v>
      </c>
      <c r="AK251" s="975"/>
      <c r="AL251" s="975"/>
      <c r="AM251" s="975"/>
      <c r="AN251" s="975">
        <f>VLOOKUP(C251,'[8]CHẤM CÔNG '!$F$10:$AN$451,35,0)</f>
        <v>0</v>
      </c>
      <c r="AO251" s="975">
        <f>VLOOKUP(C251,'[8]CHẤM CÔNG '!$F$10:$AR$451,36,0)</f>
        <v>0</v>
      </c>
      <c r="AP251" s="975"/>
      <c r="AQ251" s="975"/>
      <c r="AR251" s="975"/>
      <c r="AS251" s="981"/>
      <c r="AT251" s="982">
        <f>VLOOKUP(C251,'[8]MỦ TẠP'!$D$10:$AO$450,38,0)</f>
        <v>0</v>
      </c>
      <c r="AU251" s="946">
        <v>1610</v>
      </c>
      <c r="AV251" s="976">
        <f t="shared" si="83"/>
        <v>-1610</v>
      </c>
      <c r="AX251" s="944">
        <f t="shared" si="84"/>
        <v>3</v>
      </c>
    </row>
    <row r="252" spans="1:52" ht="15.75">
      <c r="A252" s="996">
        <v>33</v>
      </c>
      <c r="B252" s="958" t="str">
        <f>VLOOKUP(C252,'[8]DS CN MOI UP'!$B$10:$C$489,2,0)</f>
        <v>02527</v>
      </c>
      <c r="C252" s="963" t="s">
        <v>156</v>
      </c>
      <c r="D252" s="997" t="s">
        <v>15</v>
      </c>
      <c r="E252" s="960"/>
      <c r="F252" s="960"/>
      <c r="G252" s="960"/>
      <c r="H252" s="960"/>
      <c r="I252" s="960"/>
      <c r="J252" s="960"/>
      <c r="K252" s="960"/>
      <c r="L252" s="960"/>
      <c r="M252" s="960"/>
      <c r="N252" s="960">
        <f t="shared" si="72"/>
        <v>0</v>
      </c>
      <c r="O252" s="960">
        <f t="shared" si="73"/>
        <v>0</v>
      </c>
      <c r="P252" s="960">
        <f t="shared" si="74"/>
        <v>0</v>
      </c>
      <c r="Q252" s="960">
        <f t="shared" si="75"/>
        <v>0</v>
      </c>
      <c r="R252" s="960">
        <f t="shared" si="76"/>
        <v>0</v>
      </c>
      <c r="S252" s="960">
        <f t="shared" si="77"/>
        <v>0</v>
      </c>
      <c r="T252" s="960">
        <f t="shared" si="78"/>
        <v>0</v>
      </c>
      <c r="U252" s="960">
        <f t="shared" si="79"/>
        <v>0</v>
      </c>
      <c r="V252" s="960">
        <f t="shared" si="80"/>
        <v>0</v>
      </c>
      <c r="W252" s="960"/>
      <c r="X252" s="960"/>
      <c r="Y252" s="960"/>
      <c r="Z252" s="960"/>
      <c r="AA252" s="975">
        <f t="shared" si="81"/>
        <v>0</v>
      </c>
      <c r="AB252" s="975">
        <f>VLOOKUP(C252,'[8]MỦ TẠP'!$D$10:$AM$450,36,0)</f>
        <v>0</v>
      </c>
      <c r="AC252" s="975"/>
      <c r="AD252" s="975"/>
      <c r="AE252" s="975">
        <f>VLOOKUP(C252,'[8]MỦ TẠP'!$D$10:$AM$450,36,0)</f>
        <v>0</v>
      </c>
      <c r="AF252" s="975"/>
      <c r="AG252" s="975"/>
      <c r="AH252" s="975">
        <f t="shared" si="82"/>
        <v>0</v>
      </c>
      <c r="AI252" s="975">
        <f>VLOOKUP(C252,'[8]CHẤM CÔNG '!$F$10:$AM$451,33,0)</f>
        <v>0</v>
      </c>
      <c r="AJ252" s="975">
        <f>VLOOKUP(C252,'[8]CHẤM CÔNG '!$F$10:$AM$451,34,0)</f>
        <v>0</v>
      </c>
      <c r="AK252" s="975"/>
      <c r="AL252" s="975"/>
      <c r="AM252" s="975"/>
      <c r="AN252" s="975">
        <f>VLOOKUP(C252,'[8]CHẤM CÔNG '!$F$10:$AN$451,35,0)</f>
        <v>0</v>
      </c>
      <c r="AO252" s="975">
        <f>VLOOKUP(C252,'[8]CHẤM CÔNG '!$F$10:$AR$451,36,0)</f>
        <v>0</v>
      </c>
      <c r="AP252" s="975"/>
      <c r="AQ252" s="975"/>
      <c r="AR252" s="975"/>
      <c r="AS252" s="981"/>
      <c r="AT252" s="982">
        <f>VLOOKUP(C252,'[8]MỦ TẠP'!$D$10:$AO$450,38,0)</f>
        <v>0</v>
      </c>
      <c r="AU252" s="946">
        <v>1710</v>
      </c>
      <c r="AV252" s="976">
        <f t="shared" si="83"/>
        <v>-1710</v>
      </c>
      <c r="AX252" s="944">
        <f t="shared" si="84"/>
        <v>3</v>
      </c>
    </row>
    <row r="253" spans="1:52" ht="15.75">
      <c r="A253" s="996">
        <v>34</v>
      </c>
      <c r="B253" s="958" t="str">
        <f>VLOOKUP(C253,'[8]DS CN MOI UP'!$B$10:$C$489,2,0)</f>
        <v>03366</v>
      </c>
      <c r="C253" s="963" t="s">
        <v>157</v>
      </c>
      <c r="D253" s="997" t="s">
        <v>15</v>
      </c>
      <c r="E253" s="960"/>
      <c r="F253" s="960"/>
      <c r="G253" s="960"/>
      <c r="H253" s="960"/>
      <c r="I253" s="960"/>
      <c r="J253" s="960"/>
      <c r="K253" s="960"/>
      <c r="L253" s="960"/>
      <c r="M253" s="960"/>
      <c r="N253" s="960">
        <f t="shared" si="72"/>
        <v>0</v>
      </c>
      <c r="O253" s="960">
        <f t="shared" si="73"/>
        <v>0</v>
      </c>
      <c r="P253" s="960">
        <f t="shared" si="74"/>
        <v>0</v>
      </c>
      <c r="Q253" s="960">
        <f t="shared" si="75"/>
        <v>0</v>
      </c>
      <c r="R253" s="960">
        <f t="shared" si="76"/>
        <v>0</v>
      </c>
      <c r="S253" s="960">
        <f t="shared" si="77"/>
        <v>0</v>
      </c>
      <c r="T253" s="960">
        <f t="shared" si="78"/>
        <v>0</v>
      </c>
      <c r="U253" s="960">
        <f t="shared" si="79"/>
        <v>0</v>
      </c>
      <c r="V253" s="960">
        <f t="shared" si="80"/>
        <v>0</v>
      </c>
      <c r="W253" s="960"/>
      <c r="X253" s="960"/>
      <c r="Y253" s="960"/>
      <c r="Z253" s="960"/>
      <c r="AA253" s="975">
        <f t="shared" si="81"/>
        <v>0</v>
      </c>
      <c r="AB253" s="975">
        <f>VLOOKUP(C253,'[8]MỦ TẠP'!$D$10:$AM$450,36,0)</f>
        <v>0</v>
      </c>
      <c r="AC253" s="975"/>
      <c r="AD253" s="975"/>
      <c r="AE253" s="975">
        <f>VLOOKUP(C253,'[8]MỦ TẠP'!$D$10:$AM$450,36,0)</f>
        <v>0</v>
      </c>
      <c r="AF253" s="975"/>
      <c r="AG253" s="975"/>
      <c r="AH253" s="975">
        <f t="shared" si="82"/>
        <v>0</v>
      </c>
      <c r="AI253" s="975">
        <f>VLOOKUP(C253,'[8]CHẤM CÔNG '!$F$10:$AM$451,33,0)</f>
        <v>0</v>
      </c>
      <c r="AJ253" s="975">
        <f>VLOOKUP(C253,'[8]CHẤM CÔNG '!$F$10:$AM$451,34,0)</f>
        <v>0</v>
      </c>
      <c r="AK253" s="975"/>
      <c r="AL253" s="975"/>
      <c r="AM253" s="975"/>
      <c r="AN253" s="975">
        <f>VLOOKUP(C253,'[8]CHẤM CÔNG '!$F$10:$AN$451,35,0)</f>
        <v>0</v>
      </c>
      <c r="AO253" s="975">
        <f>VLOOKUP(C253,'[8]CHẤM CÔNG '!$F$10:$AR$451,36,0)</f>
        <v>0</v>
      </c>
      <c r="AP253" s="975"/>
      <c r="AQ253" s="975"/>
      <c r="AR253" s="975"/>
      <c r="AS253" s="981"/>
      <c r="AT253" s="982">
        <f>VLOOKUP(C253,'[8]MỦ TẠP'!$D$10:$AO$450,38,0)</f>
        <v>0</v>
      </c>
      <c r="AU253" s="946">
        <v>1050</v>
      </c>
      <c r="AV253" s="976">
        <f t="shared" si="83"/>
        <v>-1050</v>
      </c>
      <c r="AX253" s="944">
        <f t="shared" si="84"/>
        <v>2</v>
      </c>
      <c r="AZ253" s="944">
        <v>1</v>
      </c>
    </row>
    <row r="254" spans="1:52" ht="15.75">
      <c r="A254" s="996">
        <v>35</v>
      </c>
      <c r="B254" s="958" t="str">
        <f>VLOOKUP(C254,'[8]DS CN MOI UP'!$B$10:$C$489,2,0)</f>
        <v>02532</v>
      </c>
      <c r="C254" s="963" t="s">
        <v>158</v>
      </c>
      <c r="D254" s="997" t="s">
        <v>15</v>
      </c>
      <c r="E254" s="960"/>
      <c r="F254" s="960"/>
      <c r="G254" s="960"/>
      <c r="H254" s="960"/>
      <c r="I254" s="960"/>
      <c r="J254" s="960"/>
      <c r="K254" s="960"/>
      <c r="L254" s="960"/>
      <c r="M254" s="960"/>
      <c r="N254" s="960">
        <f t="shared" si="72"/>
        <v>0</v>
      </c>
      <c r="O254" s="960">
        <f t="shared" si="73"/>
        <v>0</v>
      </c>
      <c r="P254" s="960">
        <f t="shared" si="74"/>
        <v>0</v>
      </c>
      <c r="Q254" s="960">
        <f t="shared" si="75"/>
        <v>0</v>
      </c>
      <c r="R254" s="960">
        <f t="shared" si="76"/>
        <v>0</v>
      </c>
      <c r="S254" s="960">
        <f t="shared" si="77"/>
        <v>0</v>
      </c>
      <c r="T254" s="960">
        <f t="shared" si="78"/>
        <v>0</v>
      </c>
      <c r="U254" s="960">
        <f t="shared" si="79"/>
        <v>0</v>
      </c>
      <c r="V254" s="960">
        <f t="shared" si="80"/>
        <v>0</v>
      </c>
      <c r="W254" s="960"/>
      <c r="X254" s="960"/>
      <c r="Y254" s="960"/>
      <c r="Z254" s="960"/>
      <c r="AA254" s="975">
        <f t="shared" si="81"/>
        <v>0</v>
      </c>
      <c r="AB254" s="975">
        <f>VLOOKUP(C254,'[8]MỦ TẠP'!$D$10:$AM$450,36,0)</f>
        <v>0</v>
      </c>
      <c r="AC254" s="975"/>
      <c r="AD254" s="975"/>
      <c r="AE254" s="975">
        <f>VLOOKUP(C254,'[8]MỦ TẠP'!$D$10:$AM$450,36,0)</f>
        <v>0</v>
      </c>
      <c r="AF254" s="975"/>
      <c r="AG254" s="975"/>
      <c r="AH254" s="975">
        <f t="shared" si="82"/>
        <v>0</v>
      </c>
      <c r="AI254" s="975">
        <f>VLOOKUP(C254,'[8]CHẤM CÔNG '!$F$10:$AM$451,33,0)</f>
        <v>0</v>
      </c>
      <c r="AJ254" s="975">
        <f>VLOOKUP(C254,'[8]CHẤM CÔNG '!$F$10:$AM$451,34,0)</f>
        <v>0</v>
      </c>
      <c r="AK254" s="975"/>
      <c r="AL254" s="975"/>
      <c r="AM254" s="975"/>
      <c r="AN254" s="975">
        <f>VLOOKUP(C254,'[8]CHẤM CÔNG '!$F$10:$AN$451,35,0)</f>
        <v>0</v>
      </c>
      <c r="AO254" s="975">
        <f>VLOOKUP(C254,'[8]CHẤM CÔNG '!$F$10:$AR$451,36,0)</f>
        <v>0</v>
      </c>
      <c r="AP254" s="975"/>
      <c r="AQ254" s="975"/>
      <c r="AR254" s="975"/>
      <c r="AS254" s="981"/>
      <c r="AT254" s="982">
        <f>VLOOKUP(C254,'[8]MỦ TẠP'!$D$10:$AO$450,38,0)</f>
        <v>0</v>
      </c>
      <c r="AU254" s="946">
        <v>1529</v>
      </c>
      <c r="AV254" s="976">
        <f t="shared" si="83"/>
        <v>-1529</v>
      </c>
      <c r="AX254" s="944">
        <f t="shared" si="84"/>
        <v>2</v>
      </c>
      <c r="AZ254" s="944">
        <v>1</v>
      </c>
    </row>
    <row r="255" spans="1:52" ht="15.75">
      <c r="A255" s="996">
        <v>36</v>
      </c>
      <c r="B255" s="958" t="str">
        <f>VLOOKUP(C255,'[8]DS CN MOI UP'!$B$10:$C$489,2,0)</f>
        <v>02528</v>
      </c>
      <c r="C255" s="963" t="s">
        <v>159</v>
      </c>
      <c r="D255" s="997" t="s">
        <v>15</v>
      </c>
      <c r="E255" s="960"/>
      <c r="F255" s="960"/>
      <c r="G255" s="960"/>
      <c r="H255" s="960"/>
      <c r="I255" s="960"/>
      <c r="J255" s="960"/>
      <c r="K255" s="960"/>
      <c r="L255" s="960"/>
      <c r="M255" s="960"/>
      <c r="N255" s="960">
        <f t="shared" si="72"/>
        <v>0</v>
      </c>
      <c r="O255" s="960">
        <f t="shared" si="73"/>
        <v>0</v>
      </c>
      <c r="P255" s="960">
        <f t="shared" si="74"/>
        <v>0</v>
      </c>
      <c r="Q255" s="960">
        <f t="shared" si="75"/>
        <v>0</v>
      </c>
      <c r="R255" s="960">
        <f t="shared" si="76"/>
        <v>0</v>
      </c>
      <c r="S255" s="960">
        <f t="shared" si="77"/>
        <v>0</v>
      </c>
      <c r="T255" s="960">
        <f t="shared" si="78"/>
        <v>0</v>
      </c>
      <c r="U255" s="960">
        <f t="shared" si="79"/>
        <v>0</v>
      </c>
      <c r="V255" s="960">
        <f t="shared" si="80"/>
        <v>0</v>
      </c>
      <c r="W255" s="960"/>
      <c r="X255" s="960"/>
      <c r="Y255" s="960"/>
      <c r="Z255" s="960"/>
      <c r="AA255" s="975">
        <f t="shared" si="81"/>
        <v>0</v>
      </c>
      <c r="AB255" s="975">
        <f>VLOOKUP(C255,'[8]MỦ TẠP'!$D$10:$AM$450,36,0)</f>
        <v>0</v>
      </c>
      <c r="AC255" s="975"/>
      <c r="AD255" s="975"/>
      <c r="AE255" s="975">
        <f>VLOOKUP(C255,'[8]MỦ TẠP'!$D$10:$AM$450,36,0)</f>
        <v>0</v>
      </c>
      <c r="AF255" s="975"/>
      <c r="AG255" s="975"/>
      <c r="AH255" s="975">
        <f t="shared" si="82"/>
        <v>0</v>
      </c>
      <c r="AI255" s="975">
        <f>VLOOKUP(C255,'[8]CHẤM CÔNG '!$F$10:$AM$451,33,0)</f>
        <v>0</v>
      </c>
      <c r="AJ255" s="975">
        <f>VLOOKUP(C255,'[8]CHẤM CÔNG '!$F$10:$AM$451,34,0)</f>
        <v>0</v>
      </c>
      <c r="AK255" s="975"/>
      <c r="AL255" s="975"/>
      <c r="AM255" s="975"/>
      <c r="AN255" s="975">
        <f>VLOOKUP(C255,'[8]CHẤM CÔNG '!$F$10:$AN$451,35,0)</f>
        <v>0</v>
      </c>
      <c r="AO255" s="975">
        <f>VLOOKUP(C255,'[8]CHẤM CÔNG '!$F$10:$AR$451,36,0)</f>
        <v>0</v>
      </c>
      <c r="AP255" s="975"/>
      <c r="AQ255" s="975"/>
      <c r="AR255" s="975"/>
      <c r="AS255" s="981"/>
      <c r="AT255" s="982">
        <f>VLOOKUP(C255,'[8]MỦ TẠP'!$D$10:$AO$450,38,0)</f>
        <v>0</v>
      </c>
      <c r="AU255" s="946">
        <v>1261</v>
      </c>
      <c r="AV255" s="976">
        <f t="shared" si="83"/>
        <v>-1261</v>
      </c>
      <c r="AX255" s="944">
        <f t="shared" si="84"/>
        <v>2</v>
      </c>
      <c r="AZ255" s="944">
        <v>1</v>
      </c>
    </row>
    <row r="256" spans="1:52" ht="15.75">
      <c r="A256" s="996">
        <v>37</v>
      </c>
      <c r="B256" s="958" t="str">
        <f>VLOOKUP(C256,'[8]DS CN MOI UP'!$B$10:$C$489,2,0)</f>
        <v>03367</v>
      </c>
      <c r="C256" s="963" t="s">
        <v>160</v>
      </c>
      <c r="D256" s="997" t="s">
        <v>15</v>
      </c>
      <c r="E256" s="960"/>
      <c r="F256" s="960"/>
      <c r="G256" s="960"/>
      <c r="H256" s="960"/>
      <c r="I256" s="960"/>
      <c r="J256" s="960"/>
      <c r="K256" s="960"/>
      <c r="L256" s="960"/>
      <c r="M256" s="960"/>
      <c r="N256" s="960">
        <f t="shared" si="72"/>
        <v>0</v>
      </c>
      <c r="O256" s="960">
        <f t="shared" si="73"/>
        <v>0</v>
      </c>
      <c r="P256" s="960">
        <f t="shared" si="74"/>
        <v>0</v>
      </c>
      <c r="Q256" s="960">
        <f t="shared" si="75"/>
        <v>0</v>
      </c>
      <c r="R256" s="960">
        <f t="shared" si="76"/>
        <v>0</v>
      </c>
      <c r="S256" s="960">
        <f t="shared" si="77"/>
        <v>0</v>
      </c>
      <c r="T256" s="960">
        <f t="shared" si="78"/>
        <v>0</v>
      </c>
      <c r="U256" s="960">
        <f t="shared" si="79"/>
        <v>0</v>
      </c>
      <c r="V256" s="960">
        <f t="shared" si="80"/>
        <v>0</v>
      </c>
      <c r="W256" s="960"/>
      <c r="X256" s="960"/>
      <c r="Y256" s="960"/>
      <c r="Z256" s="960"/>
      <c r="AA256" s="975">
        <f t="shared" si="81"/>
        <v>0</v>
      </c>
      <c r="AB256" s="975">
        <f>VLOOKUP(C256,'[8]MỦ TẠP'!$D$10:$AM$450,36,0)</f>
        <v>0</v>
      </c>
      <c r="AC256" s="975"/>
      <c r="AD256" s="975"/>
      <c r="AE256" s="975">
        <f>VLOOKUP(C256,'[8]MỦ TẠP'!$D$10:$AM$450,36,0)</f>
        <v>0</v>
      </c>
      <c r="AF256" s="975"/>
      <c r="AG256" s="975"/>
      <c r="AH256" s="975">
        <f t="shared" si="82"/>
        <v>0</v>
      </c>
      <c r="AI256" s="975">
        <f>VLOOKUP(C256,'[8]CHẤM CÔNG '!$F$10:$AM$451,33,0)</f>
        <v>0</v>
      </c>
      <c r="AJ256" s="975">
        <f>VLOOKUP(C256,'[8]CHẤM CÔNG '!$F$10:$AM$451,34,0)</f>
        <v>0</v>
      </c>
      <c r="AK256" s="975"/>
      <c r="AL256" s="975"/>
      <c r="AM256" s="975"/>
      <c r="AN256" s="975">
        <f>VLOOKUP(C256,'[8]CHẤM CÔNG '!$F$10:$AN$451,35,0)</f>
        <v>0</v>
      </c>
      <c r="AO256" s="975">
        <f>VLOOKUP(C256,'[8]CHẤM CÔNG '!$F$10:$AR$451,36,0)</f>
        <v>0</v>
      </c>
      <c r="AP256" s="975"/>
      <c r="AQ256" s="975"/>
      <c r="AR256" s="975"/>
      <c r="AS256" s="981"/>
      <c r="AT256" s="982">
        <f>VLOOKUP(C256,'[8]MỦ TẠP'!$D$10:$AO$450,38,0)</f>
        <v>0</v>
      </c>
      <c r="AU256" s="946">
        <v>1995</v>
      </c>
      <c r="AV256" s="976">
        <f t="shared" si="83"/>
        <v>-1995</v>
      </c>
      <c r="AX256" s="944">
        <f t="shared" si="84"/>
        <v>2</v>
      </c>
      <c r="AZ256" s="944">
        <v>1</v>
      </c>
    </row>
    <row r="257" spans="1:52" ht="15.75">
      <c r="A257" s="996">
        <v>38</v>
      </c>
      <c r="B257" s="958" t="str">
        <f>VLOOKUP(C257,'[8]DS CN MOI UP'!$B$10:$C$489,2,0)</f>
        <v>02517</v>
      </c>
      <c r="C257" s="963" t="s">
        <v>161</v>
      </c>
      <c r="D257" s="997" t="s">
        <v>15</v>
      </c>
      <c r="E257" s="960"/>
      <c r="F257" s="960"/>
      <c r="G257" s="960"/>
      <c r="H257" s="960"/>
      <c r="I257" s="960"/>
      <c r="J257" s="960"/>
      <c r="K257" s="960"/>
      <c r="L257" s="960"/>
      <c r="M257" s="960"/>
      <c r="N257" s="960">
        <f t="shared" si="72"/>
        <v>0</v>
      </c>
      <c r="O257" s="960">
        <f t="shared" si="73"/>
        <v>0</v>
      </c>
      <c r="P257" s="960">
        <f t="shared" si="74"/>
        <v>0</v>
      </c>
      <c r="Q257" s="960">
        <f t="shared" si="75"/>
        <v>0</v>
      </c>
      <c r="R257" s="960">
        <f t="shared" si="76"/>
        <v>0</v>
      </c>
      <c r="S257" s="960">
        <f t="shared" si="77"/>
        <v>0</v>
      </c>
      <c r="T257" s="960">
        <f t="shared" si="78"/>
        <v>0</v>
      </c>
      <c r="U257" s="960">
        <f t="shared" si="79"/>
        <v>0</v>
      </c>
      <c r="V257" s="960">
        <f t="shared" si="80"/>
        <v>0</v>
      </c>
      <c r="W257" s="960"/>
      <c r="X257" s="960"/>
      <c r="Y257" s="960"/>
      <c r="Z257" s="960"/>
      <c r="AA257" s="975">
        <f t="shared" si="81"/>
        <v>0</v>
      </c>
      <c r="AB257" s="975">
        <f>VLOOKUP(C257,'[8]MỦ TẠP'!$D$10:$AM$450,36,0)</f>
        <v>0</v>
      </c>
      <c r="AC257" s="975"/>
      <c r="AD257" s="975"/>
      <c r="AE257" s="975">
        <f>VLOOKUP(C257,'[8]MỦ TẠP'!$D$10:$AM$450,36,0)</f>
        <v>0</v>
      </c>
      <c r="AF257" s="975"/>
      <c r="AG257" s="975"/>
      <c r="AH257" s="975">
        <f t="shared" si="82"/>
        <v>0</v>
      </c>
      <c r="AI257" s="975">
        <f>VLOOKUP(C257,'[8]CHẤM CÔNG '!$F$10:$AM$451,33,0)</f>
        <v>0</v>
      </c>
      <c r="AJ257" s="975">
        <f>VLOOKUP(C257,'[8]CHẤM CÔNG '!$F$10:$AM$451,34,0)</f>
        <v>0</v>
      </c>
      <c r="AK257" s="975"/>
      <c r="AL257" s="975"/>
      <c r="AM257" s="975"/>
      <c r="AN257" s="975">
        <f>VLOOKUP(C257,'[8]CHẤM CÔNG '!$F$10:$AN$451,35,0)</f>
        <v>0</v>
      </c>
      <c r="AO257" s="975">
        <f>VLOOKUP(C257,'[8]CHẤM CÔNG '!$F$10:$AR$451,36,0)</f>
        <v>0</v>
      </c>
      <c r="AP257" s="975"/>
      <c r="AQ257" s="975"/>
      <c r="AR257" s="975"/>
      <c r="AS257" s="981"/>
      <c r="AT257" s="982">
        <f>VLOOKUP(C257,'[8]MỦ TẠP'!$D$10:$AO$450,38,0)</f>
        <v>0</v>
      </c>
      <c r="AU257" s="946">
        <v>994</v>
      </c>
      <c r="AV257" s="976">
        <f t="shared" si="83"/>
        <v>-994</v>
      </c>
      <c r="AX257" s="944">
        <f t="shared" si="84"/>
        <v>2</v>
      </c>
      <c r="AZ257" s="944">
        <v>1</v>
      </c>
    </row>
    <row r="258" spans="1:52" ht="15.75">
      <c r="A258" s="996">
        <v>39</v>
      </c>
      <c r="B258" s="958" t="str">
        <f>VLOOKUP(C258,'[8]DS CN MOI UP'!$B$10:$C$489,2,0)</f>
        <v>02522</v>
      </c>
      <c r="C258" s="963" t="s">
        <v>162</v>
      </c>
      <c r="D258" s="997" t="s">
        <v>15</v>
      </c>
      <c r="E258" s="960"/>
      <c r="F258" s="960"/>
      <c r="G258" s="960"/>
      <c r="H258" s="960"/>
      <c r="I258" s="960"/>
      <c r="J258" s="960"/>
      <c r="K258" s="960"/>
      <c r="L258" s="960"/>
      <c r="M258" s="960"/>
      <c r="N258" s="960">
        <f t="shared" si="72"/>
        <v>0</v>
      </c>
      <c r="O258" s="960">
        <f t="shared" si="73"/>
        <v>0</v>
      </c>
      <c r="P258" s="960">
        <f t="shared" si="74"/>
        <v>0</v>
      </c>
      <c r="Q258" s="960">
        <f t="shared" si="75"/>
        <v>0</v>
      </c>
      <c r="R258" s="960">
        <f t="shared" si="76"/>
        <v>0</v>
      </c>
      <c r="S258" s="960">
        <f t="shared" si="77"/>
        <v>0</v>
      </c>
      <c r="T258" s="960">
        <f t="shared" si="78"/>
        <v>0</v>
      </c>
      <c r="U258" s="960">
        <f t="shared" si="79"/>
        <v>0</v>
      </c>
      <c r="V258" s="960">
        <f t="shared" si="80"/>
        <v>0</v>
      </c>
      <c r="W258" s="960"/>
      <c r="X258" s="960"/>
      <c r="Y258" s="960"/>
      <c r="Z258" s="960"/>
      <c r="AA258" s="975">
        <f t="shared" si="81"/>
        <v>0</v>
      </c>
      <c r="AB258" s="975">
        <f>VLOOKUP(C258,'[8]MỦ TẠP'!$D$10:$AM$450,36,0)</f>
        <v>0</v>
      </c>
      <c r="AC258" s="975"/>
      <c r="AD258" s="975"/>
      <c r="AE258" s="975">
        <f>VLOOKUP(C258,'[8]MỦ TẠP'!$D$10:$AM$450,36,0)</f>
        <v>0</v>
      </c>
      <c r="AF258" s="975"/>
      <c r="AG258" s="975"/>
      <c r="AH258" s="975">
        <f t="shared" si="82"/>
        <v>0</v>
      </c>
      <c r="AI258" s="975">
        <f>VLOOKUP(C258,'[8]CHẤM CÔNG '!$F$10:$AM$451,33,0)</f>
        <v>0</v>
      </c>
      <c r="AJ258" s="975">
        <f>VLOOKUP(C258,'[8]CHẤM CÔNG '!$F$10:$AM$451,34,0)</f>
        <v>0</v>
      </c>
      <c r="AK258" s="975"/>
      <c r="AL258" s="975"/>
      <c r="AM258" s="975"/>
      <c r="AN258" s="975">
        <f>VLOOKUP(C258,'[8]CHẤM CÔNG '!$F$10:$AN$451,35,0)</f>
        <v>0</v>
      </c>
      <c r="AO258" s="975">
        <f>VLOOKUP(C258,'[8]CHẤM CÔNG '!$F$10:$AR$451,36,0)</f>
        <v>0</v>
      </c>
      <c r="AP258" s="975"/>
      <c r="AQ258" s="975"/>
      <c r="AR258" s="975"/>
      <c r="AS258" s="981"/>
      <c r="AT258" s="982">
        <f>VLOOKUP(C258,'[8]MỦ TẠP'!$D$10:$AO$450,38,0)</f>
        <v>0</v>
      </c>
      <c r="AU258" s="946">
        <v>1108</v>
      </c>
      <c r="AV258" s="976">
        <f t="shared" si="83"/>
        <v>-1108</v>
      </c>
      <c r="AX258" s="944">
        <f t="shared" si="84"/>
        <v>2</v>
      </c>
      <c r="AZ258" s="944">
        <v>1</v>
      </c>
    </row>
    <row r="259" spans="1:52" ht="15.75">
      <c r="A259" s="996">
        <v>40</v>
      </c>
      <c r="B259" s="958" t="str">
        <f>VLOOKUP(C259,'[8]DS CN MOI UP'!$B$10:$C$489,2,0)</f>
        <v>02565</v>
      </c>
      <c r="C259" s="963" t="s">
        <v>163</v>
      </c>
      <c r="D259" s="997" t="s">
        <v>15</v>
      </c>
      <c r="E259" s="960"/>
      <c r="F259" s="960"/>
      <c r="G259" s="960"/>
      <c r="H259" s="960"/>
      <c r="I259" s="960"/>
      <c r="J259" s="960"/>
      <c r="K259" s="960"/>
      <c r="L259" s="960"/>
      <c r="M259" s="960"/>
      <c r="N259" s="960">
        <f t="shared" si="72"/>
        <v>0</v>
      </c>
      <c r="O259" s="960">
        <f t="shared" si="73"/>
        <v>0</v>
      </c>
      <c r="P259" s="960">
        <f t="shared" si="74"/>
        <v>0</v>
      </c>
      <c r="Q259" s="960">
        <f t="shared" si="75"/>
        <v>0</v>
      </c>
      <c r="R259" s="960">
        <f t="shared" si="76"/>
        <v>0</v>
      </c>
      <c r="S259" s="960">
        <f t="shared" si="77"/>
        <v>0</v>
      </c>
      <c r="T259" s="960">
        <f t="shared" si="78"/>
        <v>0</v>
      </c>
      <c r="U259" s="960">
        <f t="shared" si="79"/>
        <v>0</v>
      </c>
      <c r="V259" s="960">
        <f t="shared" si="80"/>
        <v>0</v>
      </c>
      <c r="W259" s="960"/>
      <c r="X259" s="960"/>
      <c r="Y259" s="960"/>
      <c r="Z259" s="960"/>
      <c r="AA259" s="975">
        <f t="shared" si="81"/>
        <v>0</v>
      </c>
      <c r="AB259" s="975">
        <f>VLOOKUP(C259,'[8]MỦ TẠP'!$D$10:$AM$450,36,0)</f>
        <v>0</v>
      </c>
      <c r="AC259" s="975"/>
      <c r="AD259" s="975"/>
      <c r="AE259" s="975">
        <f>VLOOKUP(C259,'[8]MỦ TẠP'!$D$10:$AM$450,36,0)</f>
        <v>0</v>
      </c>
      <c r="AF259" s="975"/>
      <c r="AG259" s="975"/>
      <c r="AH259" s="975">
        <f t="shared" si="82"/>
        <v>0</v>
      </c>
      <c r="AI259" s="975">
        <f>VLOOKUP(C259,'[8]CHẤM CÔNG '!$F$10:$AM$451,33,0)</f>
        <v>0</v>
      </c>
      <c r="AJ259" s="975">
        <f>VLOOKUP(C259,'[8]CHẤM CÔNG '!$F$10:$AM$451,34,0)</f>
        <v>0</v>
      </c>
      <c r="AK259" s="975"/>
      <c r="AL259" s="975"/>
      <c r="AM259" s="975"/>
      <c r="AN259" s="975">
        <f>VLOOKUP(C259,'[8]CHẤM CÔNG '!$F$10:$AN$451,35,0)</f>
        <v>0</v>
      </c>
      <c r="AO259" s="975">
        <f>VLOOKUP(C259,'[8]CHẤM CÔNG '!$F$10:$AR$451,36,0)</f>
        <v>0</v>
      </c>
      <c r="AP259" s="975"/>
      <c r="AQ259" s="975"/>
      <c r="AR259" s="975"/>
      <c r="AS259" s="981"/>
      <c r="AT259" s="982">
        <f>VLOOKUP(C259,'[8]MỦ TẠP'!$D$10:$AO$450,38,0)</f>
        <v>0</v>
      </c>
      <c r="AU259" s="946">
        <v>1806</v>
      </c>
      <c r="AV259" s="976">
        <f t="shared" si="83"/>
        <v>-1806</v>
      </c>
      <c r="AX259" s="944">
        <f t="shared" si="84"/>
        <v>2</v>
      </c>
      <c r="AZ259" s="944">
        <v>1</v>
      </c>
    </row>
    <row r="260" spans="1:52" ht="15.75">
      <c r="A260" s="996">
        <v>41</v>
      </c>
      <c r="B260" s="958" t="str">
        <f>VLOOKUP(C260,'[8]DS CN MOI UP'!$B$10:$C$489,2,0)</f>
        <v>03368</v>
      </c>
      <c r="C260" s="963" t="s">
        <v>164</v>
      </c>
      <c r="D260" s="997" t="s">
        <v>15</v>
      </c>
      <c r="E260" s="960"/>
      <c r="F260" s="960"/>
      <c r="G260" s="960"/>
      <c r="H260" s="960"/>
      <c r="I260" s="960"/>
      <c r="J260" s="960"/>
      <c r="K260" s="960"/>
      <c r="L260" s="960"/>
      <c r="M260" s="960"/>
      <c r="N260" s="960">
        <f t="shared" si="72"/>
        <v>0</v>
      </c>
      <c r="O260" s="960">
        <f t="shared" si="73"/>
        <v>0</v>
      </c>
      <c r="P260" s="960">
        <f t="shared" si="74"/>
        <v>0</v>
      </c>
      <c r="Q260" s="960">
        <f t="shared" si="75"/>
        <v>0</v>
      </c>
      <c r="R260" s="960">
        <f t="shared" si="76"/>
        <v>0</v>
      </c>
      <c r="S260" s="960">
        <f t="shared" si="77"/>
        <v>0</v>
      </c>
      <c r="T260" s="960">
        <f t="shared" si="78"/>
        <v>0</v>
      </c>
      <c r="U260" s="960">
        <f t="shared" si="79"/>
        <v>0</v>
      </c>
      <c r="V260" s="960">
        <f t="shared" si="80"/>
        <v>0</v>
      </c>
      <c r="W260" s="960"/>
      <c r="X260" s="960"/>
      <c r="Y260" s="960"/>
      <c r="Z260" s="960"/>
      <c r="AA260" s="975">
        <f t="shared" si="81"/>
        <v>0</v>
      </c>
      <c r="AB260" s="975">
        <f>VLOOKUP(C260,'[8]MỦ TẠP'!$D$10:$AM$450,36,0)</f>
        <v>0</v>
      </c>
      <c r="AC260" s="975"/>
      <c r="AD260" s="975"/>
      <c r="AE260" s="975">
        <f>VLOOKUP(C260,'[8]MỦ TẠP'!$D$10:$AM$450,36,0)</f>
        <v>0</v>
      </c>
      <c r="AF260" s="975"/>
      <c r="AG260" s="975"/>
      <c r="AH260" s="975">
        <f t="shared" si="82"/>
        <v>0</v>
      </c>
      <c r="AI260" s="975">
        <f>VLOOKUP(C260,'[8]CHẤM CÔNG '!$F$10:$AM$451,33,0)</f>
        <v>0</v>
      </c>
      <c r="AJ260" s="975">
        <f>VLOOKUP(C260,'[8]CHẤM CÔNG '!$F$10:$AM$451,34,0)</f>
        <v>0</v>
      </c>
      <c r="AK260" s="975"/>
      <c r="AL260" s="975"/>
      <c r="AM260" s="975"/>
      <c r="AN260" s="975">
        <f>VLOOKUP(C260,'[8]CHẤM CÔNG '!$F$10:$AN$451,35,0)</f>
        <v>0</v>
      </c>
      <c r="AO260" s="975">
        <f>VLOOKUP(C260,'[8]CHẤM CÔNG '!$F$10:$AR$451,36,0)</f>
        <v>0</v>
      </c>
      <c r="AP260" s="975"/>
      <c r="AQ260" s="975"/>
      <c r="AR260" s="975"/>
      <c r="AS260" s="981"/>
      <c r="AT260" s="982">
        <f>VLOOKUP(C260,'[8]MỦ TẠP'!$D$10:$AO$450,38,0)</f>
        <v>0</v>
      </c>
      <c r="AU260" s="946">
        <v>2342</v>
      </c>
      <c r="AV260" s="976">
        <f t="shared" si="83"/>
        <v>-2342</v>
      </c>
      <c r="AX260" s="944">
        <f t="shared" si="84"/>
        <v>2</v>
      </c>
      <c r="AZ260" s="944">
        <v>1</v>
      </c>
    </row>
    <row r="261" spans="1:52" ht="15.75">
      <c r="A261" s="996">
        <v>42</v>
      </c>
      <c r="B261" s="958" t="str">
        <f>VLOOKUP(C261,'[8]DS CN MOI UP'!$B$10:$C$489,2,0)</f>
        <v>02535</v>
      </c>
      <c r="C261" s="963" t="s">
        <v>165</v>
      </c>
      <c r="D261" s="997" t="s">
        <v>15</v>
      </c>
      <c r="E261" s="960"/>
      <c r="F261" s="960"/>
      <c r="G261" s="960"/>
      <c r="H261" s="960"/>
      <c r="I261" s="960"/>
      <c r="J261" s="960"/>
      <c r="K261" s="960"/>
      <c r="L261" s="960"/>
      <c r="M261" s="960"/>
      <c r="N261" s="960">
        <f t="shared" si="72"/>
        <v>0</v>
      </c>
      <c r="O261" s="960">
        <f t="shared" si="73"/>
        <v>0</v>
      </c>
      <c r="P261" s="960">
        <f t="shared" si="74"/>
        <v>0</v>
      </c>
      <c r="Q261" s="960">
        <f t="shared" si="75"/>
        <v>0</v>
      </c>
      <c r="R261" s="960">
        <f t="shared" si="76"/>
        <v>0</v>
      </c>
      <c r="S261" s="960">
        <f t="shared" si="77"/>
        <v>0</v>
      </c>
      <c r="T261" s="960">
        <f t="shared" si="78"/>
        <v>0</v>
      </c>
      <c r="U261" s="960">
        <f t="shared" si="79"/>
        <v>0</v>
      </c>
      <c r="V261" s="960">
        <f t="shared" si="80"/>
        <v>0</v>
      </c>
      <c r="W261" s="960"/>
      <c r="X261" s="960"/>
      <c r="Y261" s="960"/>
      <c r="Z261" s="960"/>
      <c r="AA261" s="975">
        <f t="shared" si="81"/>
        <v>0</v>
      </c>
      <c r="AB261" s="975">
        <f>VLOOKUP(C261,'[8]MỦ TẠP'!$D$10:$AM$450,36,0)</f>
        <v>0</v>
      </c>
      <c r="AC261" s="975"/>
      <c r="AD261" s="975"/>
      <c r="AE261" s="975">
        <f>VLOOKUP(C261,'[8]MỦ TẠP'!$D$10:$AM$450,36,0)</f>
        <v>0</v>
      </c>
      <c r="AF261" s="975"/>
      <c r="AG261" s="975"/>
      <c r="AH261" s="975">
        <f t="shared" si="82"/>
        <v>0</v>
      </c>
      <c r="AI261" s="975">
        <f>VLOOKUP(C261,'[8]CHẤM CÔNG '!$F$10:$AM$451,33,0)</f>
        <v>0</v>
      </c>
      <c r="AJ261" s="975">
        <f>VLOOKUP(C261,'[8]CHẤM CÔNG '!$F$10:$AM$451,34,0)</f>
        <v>0</v>
      </c>
      <c r="AK261" s="975"/>
      <c r="AL261" s="975"/>
      <c r="AM261" s="975"/>
      <c r="AN261" s="975">
        <f>VLOOKUP(C261,'[8]CHẤM CÔNG '!$F$10:$AN$451,35,0)</f>
        <v>0</v>
      </c>
      <c r="AO261" s="975">
        <f>VLOOKUP(C261,'[8]CHẤM CÔNG '!$F$10:$AR$451,36,0)</f>
        <v>0</v>
      </c>
      <c r="AP261" s="975"/>
      <c r="AQ261" s="975"/>
      <c r="AR261" s="975"/>
      <c r="AS261" s="981"/>
      <c r="AT261" s="982">
        <f>VLOOKUP(C261,'[8]MỦ TẠP'!$D$10:$AO$450,38,0)</f>
        <v>0</v>
      </c>
      <c r="AU261" s="946">
        <v>1634</v>
      </c>
      <c r="AV261" s="976">
        <f t="shared" si="83"/>
        <v>-1634</v>
      </c>
      <c r="AX261" s="944">
        <f t="shared" si="84"/>
        <v>2</v>
      </c>
      <c r="AZ261" s="944">
        <v>1</v>
      </c>
    </row>
    <row r="262" spans="1:52" ht="15.75">
      <c r="A262" s="996">
        <v>43</v>
      </c>
      <c r="B262" s="958" t="str">
        <f>VLOOKUP(C262,'[8]DS CN MOI UP'!$B$10:$C$489,2,0)</f>
        <v>02563</v>
      </c>
      <c r="C262" s="991" t="s">
        <v>166</v>
      </c>
      <c r="D262" s="997" t="s">
        <v>15</v>
      </c>
      <c r="E262" s="960"/>
      <c r="F262" s="960"/>
      <c r="G262" s="960"/>
      <c r="H262" s="960"/>
      <c r="I262" s="960"/>
      <c r="J262" s="960"/>
      <c r="K262" s="960"/>
      <c r="L262" s="960"/>
      <c r="M262" s="960"/>
      <c r="N262" s="960">
        <f t="shared" si="72"/>
        <v>0</v>
      </c>
      <c r="O262" s="960">
        <f t="shared" si="73"/>
        <v>0</v>
      </c>
      <c r="P262" s="960">
        <f t="shared" si="74"/>
        <v>0</v>
      </c>
      <c r="Q262" s="960">
        <f t="shared" si="75"/>
        <v>0</v>
      </c>
      <c r="R262" s="960">
        <f t="shared" si="76"/>
        <v>0</v>
      </c>
      <c r="S262" s="960">
        <f t="shared" si="77"/>
        <v>0</v>
      </c>
      <c r="T262" s="960">
        <f t="shared" si="78"/>
        <v>0</v>
      </c>
      <c r="U262" s="960">
        <f t="shared" si="79"/>
        <v>0</v>
      </c>
      <c r="V262" s="960">
        <f t="shared" si="80"/>
        <v>0</v>
      </c>
      <c r="W262" s="960"/>
      <c r="X262" s="960"/>
      <c r="Y262" s="960"/>
      <c r="Z262" s="960"/>
      <c r="AA262" s="975">
        <f t="shared" si="81"/>
        <v>0</v>
      </c>
      <c r="AB262" s="975">
        <f>VLOOKUP(C262,'[8]MỦ TẠP'!$D$10:$AM$450,36,0)</f>
        <v>0</v>
      </c>
      <c r="AC262" s="975"/>
      <c r="AD262" s="975"/>
      <c r="AE262" s="975">
        <f>VLOOKUP(C262,'[8]MỦ TẠP'!$D$10:$AM$450,36,0)</f>
        <v>0</v>
      </c>
      <c r="AF262" s="975"/>
      <c r="AG262" s="975"/>
      <c r="AH262" s="975">
        <f t="shared" si="82"/>
        <v>0</v>
      </c>
      <c r="AI262" s="975">
        <f>VLOOKUP(C262,'[8]CHẤM CÔNG '!$F$10:$AM$451,33,0)</f>
        <v>0</v>
      </c>
      <c r="AJ262" s="975">
        <f>VLOOKUP(C262,'[8]CHẤM CÔNG '!$F$10:$AM$451,34,0)</f>
        <v>0</v>
      </c>
      <c r="AK262" s="975"/>
      <c r="AL262" s="975"/>
      <c r="AM262" s="975"/>
      <c r="AN262" s="975">
        <f>VLOOKUP(C262,'[8]CHẤM CÔNG '!$F$10:$AN$451,35,0)</f>
        <v>0</v>
      </c>
      <c r="AO262" s="975">
        <f>VLOOKUP(C262,'[8]CHẤM CÔNG '!$F$10:$AR$451,36,0)</f>
        <v>0</v>
      </c>
      <c r="AP262" s="975"/>
      <c r="AQ262" s="975"/>
      <c r="AR262" s="975"/>
      <c r="AS262" s="981"/>
      <c r="AT262" s="982">
        <f>VLOOKUP(C262,'[8]MỦ TẠP'!$D$10:$AO$450,38,0)</f>
        <v>0</v>
      </c>
      <c r="AU262" s="946">
        <v>1250</v>
      </c>
      <c r="AV262" s="976">
        <f t="shared" si="83"/>
        <v>-1250</v>
      </c>
      <c r="AX262" s="944">
        <f t="shared" si="84"/>
        <v>2</v>
      </c>
      <c r="AZ262" s="944">
        <v>1</v>
      </c>
    </row>
    <row r="263" spans="1:52" ht="15.75">
      <c r="A263" s="996">
        <v>44</v>
      </c>
      <c r="B263" s="958" t="str">
        <f>VLOOKUP(C263,'[8]DS CN MOI UP'!$B$10:$C$489,2,0)</f>
        <v>02688</v>
      </c>
      <c r="C263" s="991" t="s">
        <v>167</v>
      </c>
      <c r="D263" s="997" t="s">
        <v>15</v>
      </c>
      <c r="E263" s="960"/>
      <c r="F263" s="960"/>
      <c r="G263" s="960"/>
      <c r="H263" s="960"/>
      <c r="I263" s="960"/>
      <c r="J263" s="960"/>
      <c r="K263" s="960"/>
      <c r="L263" s="960"/>
      <c r="M263" s="960"/>
      <c r="N263" s="960">
        <f t="shared" si="72"/>
        <v>0</v>
      </c>
      <c r="O263" s="960">
        <f t="shared" si="73"/>
        <v>0</v>
      </c>
      <c r="P263" s="960">
        <f t="shared" si="74"/>
        <v>0</v>
      </c>
      <c r="Q263" s="960">
        <f t="shared" si="75"/>
        <v>0</v>
      </c>
      <c r="R263" s="960">
        <f t="shared" si="76"/>
        <v>0</v>
      </c>
      <c r="S263" s="960">
        <f t="shared" si="77"/>
        <v>0</v>
      </c>
      <c r="T263" s="960">
        <f t="shared" si="78"/>
        <v>0</v>
      </c>
      <c r="U263" s="960">
        <f t="shared" si="79"/>
        <v>0</v>
      </c>
      <c r="V263" s="960">
        <f t="shared" si="80"/>
        <v>0</v>
      </c>
      <c r="W263" s="960"/>
      <c r="X263" s="960"/>
      <c r="Y263" s="960"/>
      <c r="Z263" s="960"/>
      <c r="AA263" s="975">
        <f t="shared" si="81"/>
        <v>0</v>
      </c>
      <c r="AB263" s="975">
        <f>VLOOKUP(C263,'[8]MỦ TẠP'!$D$10:$AM$450,36,0)</f>
        <v>0</v>
      </c>
      <c r="AC263" s="975"/>
      <c r="AD263" s="975"/>
      <c r="AE263" s="975">
        <f>VLOOKUP(C263,'[8]MỦ TẠP'!$D$10:$AM$450,36,0)</f>
        <v>0</v>
      </c>
      <c r="AF263" s="975"/>
      <c r="AG263" s="975"/>
      <c r="AH263" s="975">
        <f t="shared" si="82"/>
        <v>0</v>
      </c>
      <c r="AI263" s="975">
        <f>VLOOKUP(C263,'[8]CHẤM CÔNG '!$F$10:$AM$451,33,0)</f>
        <v>0</v>
      </c>
      <c r="AJ263" s="975">
        <f>VLOOKUP(C263,'[8]CHẤM CÔNG '!$F$10:$AM$451,34,0)</f>
        <v>0</v>
      </c>
      <c r="AK263" s="975"/>
      <c r="AL263" s="975"/>
      <c r="AM263" s="975"/>
      <c r="AN263" s="975">
        <f>VLOOKUP(C263,'[8]CHẤM CÔNG '!$F$10:$AN$451,35,0)</f>
        <v>0</v>
      </c>
      <c r="AO263" s="975">
        <f>VLOOKUP(C263,'[8]CHẤM CÔNG '!$F$10:$AR$451,36,0)</f>
        <v>0</v>
      </c>
      <c r="AP263" s="975"/>
      <c r="AQ263" s="975"/>
      <c r="AR263" s="975"/>
      <c r="AS263" s="981"/>
      <c r="AT263" s="982">
        <f>VLOOKUP(C263,'[8]MỦ TẠP'!$D$10:$AO$450,38,0)</f>
        <v>0</v>
      </c>
      <c r="AU263" s="946">
        <v>915</v>
      </c>
      <c r="AV263" s="976">
        <f t="shared" si="83"/>
        <v>-915</v>
      </c>
      <c r="AX263" s="944">
        <f t="shared" si="84"/>
        <v>2</v>
      </c>
      <c r="AZ263" s="944">
        <v>1</v>
      </c>
    </row>
    <row r="264" spans="1:52" ht="15.75">
      <c r="A264" s="996">
        <v>45</v>
      </c>
      <c r="B264" s="958" t="str">
        <f>VLOOKUP(C264,'[8]DS CN MOI UP'!$B$10:$C$489,2,0)</f>
        <v>02551</v>
      </c>
      <c r="C264" s="998" t="s">
        <v>168</v>
      </c>
      <c r="D264" s="997" t="s">
        <v>15</v>
      </c>
      <c r="E264" s="960"/>
      <c r="F264" s="960"/>
      <c r="G264" s="960"/>
      <c r="H264" s="960"/>
      <c r="I264" s="960"/>
      <c r="J264" s="960"/>
      <c r="K264" s="960"/>
      <c r="L264" s="960"/>
      <c r="M264" s="960"/>
      <c r="N264" s="960">
        <f t="shared" si="72"/>
        <v>0</v>
      </c>
      <c r="O264" s="960">
        <f t="shared" si="73"/>
        <v>0</v>
      </c>
      <c r="P264" s="960">
        <f t="shared" si="74"/>
        <v>0</v>
      </c>
      <c r="Q264" s="960">
        <f t="shared" si="75"/>
        <v>0</v>
      </c>
      <c r="R264" s="960">
        <f t="shared" si="76"/>
        <v>0</v>
      </c>
      <c r="S264" s="960">
        <f t="shared" si="77"/>
        <v>0</v>
      </c>
      <c r="T264" s="960">
        <f t="shared" si="78"/>
        <v>0</v>
      </c>
      <c r="U264" s="960">
        <f t="shared" si="79"/>
        <v>0</v>
      </c>
      <c r="V264" s="960">
        <f t="shared" si="80"/>
        <v>0</v>
      </c>
      <c r="W264" s="960"/>
      <c r="X264" s="960"/>
      <c r="Y264" s="960"/>
      <c r="Z264" s="960"/>
      <c r="AA264" s="975">
        <f t="shared" si="81"/>
        <v>0</v>
      </c>
      <c r="AB264" s="975">
        <f>VLOOKUP(C264,'[8]MỦ TẠP'!$D$10:$AM$450,36,0)</f>
        <v>0</v>
      </c>
      <c r="AC264" s="975"/>
      <c r="AD264" s="975"/>
      <c r="AE264" s="975">
        <f>VLOOKUP(C264,'[8]MỦ TẠP'!$D$10:$AM$450,36,0)</f>
        <v>0</v>
      </c>
      <c r="AF264" s="975"/>
      <c r="AG264" s="975"/>
      <c r="AH264" s="975">
        <f t="shared" si="82"/>
        <v>0</v>
      </c>
      <c r="AI264" s="975">
        <f>VLOOKUP(C264,'[8]CHẤM CÔNG '!$F$10:$AM$451,33,0)</f>
        <v>0</v>
      </c>
      <c r="AJ264" s="975">
        <f>VLOOKUP(C264,'[8]CHẤM CÔNG '!$F$10:$AM$451,34,0)</f>
        <v>0</v>
      </c>
      <c r="AK264" s="975"/>
      <c r="AL264" s="975"/>
      <c r="AM264" s="975"/>
      <c r="AN264" s="975">
        <f>VLOOKUP(C264,'[8]CHẤM CÔNG '!$F$10:$AN$451,35,0)</f>
        <v>0</v>
      </c>
      <c r="AO264" s="975">
        <f>VLOOKUP(C264,'[8]CHẤM CÔNG '!$F$10:$AR$451,36,0)</f>
        <v>0</v>
      </c>
      <c r="AP264" s="975"/>
      <c r="AQ264" s="975"/>
      <c r="AR264" s="975"/>
      <c r="AS264" s="981"/>
      <c r="AT264" s="982">
        <f>VLOOKUP(C264,'[8]MỦ TẠP'!$D$10:$AO$450,38,0)</f>
        <v>0</v>
      </c>
      <c r="AU264" s="946">
        <v>1376</v>
      </c>
      <c r="AV264" s="976">
        <f t="shared" si="83"/>
        <v>-1376</v>
      </c>
      <c r="AX264" s="944">
        <f t="shared" si="84"/>
        <v>2</v>
      </c>
      <c r="AZ264" s="944">
        <v>1</v>
      </c>
    </row>
    <row r="265" spans="1:52" ht="15.75">
      <c r="A265" s="996">
        <v>46</v>
      </c>
      <c r="B265" s="958" t="str">
        <f>VLOOKUP(C265,'[8]DS CN MOI UP'!$B$10:$C$489,2,0)</f>
        <v>02523</v>
      </c>
      <c r="C265" s="992" t="s">
        <v>169</v>
      </c>
      <c r="D265" s="997" t="s">
        <v>15</v>
      </c>
      <c r="E265" s="960"/>
      <c r="F265" s="960"/>
      <c r="G265" s="960"/>
      <c r="H265" s="960"/>
      <c r="I265" s="960"/>
      <c r="J265" s="960"/>
      <c r="K265" s="960"/>
      <c r="L265" s="960"/>
      <c r="M265" s="960"/>
      <c r="N265" s="960">
        <f t="shared" si="72"/>
        <v>0</v>
      </c>
      <c r="O265" s="960">
        <f t="shared" si="73"/>
        <v>0</v>
      </c>
      <c r="P265" s="960">
        <f t="shared" si="74"/>
        <v>0</v>
      </c>
      <c r="Q265" s="960">
        <f t="shared" si="75"/>
        <v>0</v>
      </c>
      <c r="R265" s="960">
        <f t="shared" si="76"/>
        <v>0</v>
      </c>
      <c r="S265" s="960">
        <f t="shared" si="77"/>
        <v>0</v>
      </c>
      <c r="T265" s="960">
        <f t="shared" si="78"/>
        <v>0</v>
      </c>
      <c r="U265" s="960">
        <f t="shared" si="79"/>
        <v>0</v>
      </c>
      <c r="V265" s="960">
        <f t="shared" si="80"/>
        <v>0</v>
      </c>
      <c r="W265" s="960"/>
      <c r="X265" s="960"/>
      <c r="Y265" s="960"/>
      <c r="Z265" s="960"/>
      <c r="AA265" s="975">
        <f t="shared" si="81"/>
        <v>0</v>
      </c>
      <c r="AB265" s="975">
        <f>VLOOKUP(C265,'[8]MỦ TẠP'!$D$10:$AM$450,36,0)</f>
        <v>0</v>
      </c>
      <c r="AC265" s="975"/>
      <c r="AD265" s="975"/>
      <c r="AE265" s="975">
        <f>VLOOKUP(C265,'[8]MỦ TẠP'!$D$10:$AM$450,36,0)</f>
        <v>0</v>
      </c>
      <c r="AF265" s="975"/>
      <c r="AG265" s="975"/>
      <c r="AH265" s="975">
        <f t="shared" si="82"/>
        <v>0</v>
      </c>
      <c r="AI265" s="975">
        <f>VLOOKUP(C265,'[8]CHẤM CÔNG '!$F$10:$AM$451,33,0)</f>
        <v>0</v>
      </c>
      <c r="AJ265" s="975">
        <f>VLOOKUP(C265,'[8]CHẤM CÔNG '!$F$10:$AM$451,34,0)</f>
        <v>0</v>
      </c>
      <c r="AK265" s="975"/>
      <c r="AL265" s="975"/>
      <c r="AM265" s="975"/>
      <c r="AN265" s="975">
        <f>VLOOKUP(C265,'[8]CHẤM CÔNG '!$F$10:$AN$451,35,0)</f>
        <v>0</v>
      </c>
      <c r="AO265" s="975">
        <f>VLOOKUP(C265,'[8]CHẤM CÔNG '!$F$10:$AR$451,36,0)</f>
        <v>0</v>
      </c>
      <c r="AP265" s="975"/>
      <c r="AQ265" s="975"/>
      <c r="AR265" s="975"/>
      <c r="AS265" s="981"/>
      <c r="AT265" s="982">
        <f>VLOOKUP(C265,'[8]MỦ TẠP'!$D$10:$AO$450,38,0)</f>
        <v>0</v>
      </c>
      <c r="AU265" s="946">
        <v>1452</v>
      </c>
      <c r="AV265" s="976">
        <f t="shared" si="83"/>
        <v>-1452</v>
      </c>
      <c r="AX265" s="944">
        <f t="shared" si="84"/>
        <v>2</v>
      </c>
      <c r="AZ265" s="944">
        <v>1</v>
      </c>
    </row>
    <row r="266" spans="1:52" ht="15.75">
      <c r="A266" s="996">
        <v>47</v>
      </c>
      <c r="B266" s="958" t="str">
        <f>VLOOKUP(C266,'[8]DS CN MOI UP'!$B$10:$C$489,2,0)</f>
        <v>03369</v>
      </c>
      <c r="C266" s="992" t="s">
        <v>170</v>
      </c>
      <c r="D266" s="997" t="s">
        <v>15</v>
      </c>
      <c r="E266" s="960"/>
      <c r="F266" s="960"/>
      <c r="G266" s="960"/>
      <c r="H266" s="960"/>
      <c r="I266" s="960"/>
      <c r="J266" s="960"/>
      <c r="K266" s="960"/>
      <c r="L266" s="960"/>
      <c r="M266" s="960"/>
      <c r="N266" s="960">
        <f t="shared" si="72"/>
        <v>0</v>
      </c>
      <c r="O266" s="960">
        <f t="shared" si="73"/>
        <v>0</v>
      </c>
      <c r="P266" s="960">
        <f t="shared" si="74"/>
        <v>0</v>
      </c>
      <c r="Q266" s="960">
        <f t="shared" si="75"/>
        <v>0</v>
      </c>
      <c r="R266" s="960">
        <f t="shared" si="76"/>
        <v>0</v>
      </c>
      <c r="S266" s="960">
        <f t="shared" si="77"/>
        <v>0</v>
      </c>
      <c r="T266" s="960">
        <f t="shared" si="78"/>
        <v>0</v>
      </c>
      <c r="U266" s="960">
        <f t="shared" si="79"/>
        <v>0</v>
      </c>
      <c r="V266" s="960">
        <f t="shared" si="80"/>
        <v>0</v>
      </c>
      <c r="W266" s="960"/>
      <c r="X266" s="960"/>
      <c r="Y266" s="960"/>
      <c r="Z266" s="960"/>
      <c r="AA266" s="975">
        <f t="shared" si="81"/>
        <v>0</v>
      </c>
      <c r="AB266" s="975">
        <f>VLOOKUP(C266,'[8]MỦ TẠP'!$D$10:$AM$450,36,0)</f>
        <v>0</v>
      </c>
      <c r="AC266" s="975"/>
      <c r="AD266" s="975"/>
      <c r="AE266" s="975">
        <f>VLOOKUP(C266,'[8]MỦ TẠP'!$D$10:$AM$450,36,0)</f>
        <v>0</v>
      </c>
      <c r="AF266" s="975"/>
      <c r="AG266" s="975"/>
      <c r="AH266" s="975">
        <f t="shared" si="82"/>
        <v>0</v>
      </c>
      <c r="AI266" s="975">
        <f>VLOOKUP(C266,'[8]CHẤM CÔNG '!$F$10:$AM$451,33,0)</f>
        <v>0</v>
      </c>
      <c r="AJ266" s="975">
        <f>VLOOKUP(C266,'[8]CHẤM CÔNG '!$F$10:$AM$451,34,0)</f>
        <v>0</v>
      </c>
      <c r="AK266" s="975"/>
      <c r="AL266" s="975"/>
      <c r="AM266" s="975"/>
      <c r="AN266" s="975">
        <f>VLOOKUP(C266,'[8]CHẤM CÔNG '!$F$10:$AN$451,35,0)</f>
        <v>0</v>
      </c>
      <c r="AO266" s="975">
        <f>VLOOKUP(C266,'[8]CHẤM CÔNG '!$F$10:$AR$451,36,0)</f>
        <v>0</v>
      </c>
      <c r="AP266" s="975"/>
      <c r="AQ266" s="975"/>
      <c r="AR266" s="975"/>
      <c r="AS266" s="981"/>
      <c r="AT266" s="982">
        <f>VLOOKUP(C266,'[8]MỦ TẠP'!$D$10:$AO$450,38,0)</f>
        <v>0</v>
      </c>
      <c r="AU266" s="946">
        <v>2448</v>
      </c>
      <c r="AV266" s="976">
        <f t="shared" si="83"/>
        <v>-2448</v>
      </c>
      <c r="AX266" s="944">
        <f t="shared" si="84"/>
        <v>2</v>
      </c>
      <c r="AZ266" s="944">
        <v>1</v>
      </c>
    </row>
    <row r="267" spans="1:52" ht="15.75">
      <c r="A267" s="996">
        <v>48</v>
      </c>
      <c r="B267" s="958" t="str">
        <f>VLOOKUP(C267,'[8]DS CN MOI UP'!$B$10:$C$489,2,0)</f>
        <v>03345</v>
      </c>
      <c r="C267" s="992" t="s">
        <v>171</v>
      </c>
      <c r="D267" s="997" t="s">
        <v>15</v>
      </c>
      <c r="E267" s="960"/>
      <c r="F267" s="960"/>
      <c r="G267" s="960"/>
      <c r="H267" s="960"/>
      <c r="I267" s="960"/>
      <c r="J267" s="960"/>
      <c r="K267" s="960"/>
      <c r="L267" s="960"/>
      <c r="M267" s="960"/>
      <c r="N267" s="960">
        <f t="shared" si="72"/>
        <v>0</v>
      </c>
      <c r="O267" s="960">
        <f t="shared" si="73"/>
        <v>0</v>
      </c>
      <c r="P267" s="960">
        <f t="shared" si="74"/>
        <v>0</v>
      </c>
      <c r="Q267" s="960">
        <f t="shared" si="75"/>
        <v>0</v>
      </c>
      <c r="R267" s="960">
        <f t="shared" si="76"/>
        <v>0</v>
      </c>
      <c r="S267" s="960">
        <f t="shared" si="77"/>
        <v>0</v>
      </c>
      <c r="T267" s="960">
        <f t="shared" si="78"/>
        <v>0</v>
      </c>
      <c r="U267" s="960">
        <f t="shared" si="79"/>
        <v>0</v>
      </c>
      <c r="V267" s="960">
        <f t="shared" si="80"/>
        <v>0</v>
      </c>
      <c r="W267" s="960"/>
      <c r="X267" s="960"/>
      <c r="Y267" s="960"/>
      <c r="Z267" s="960"/>
      <c r="AA267" s="975">
        <f t="shared" si="81"/>
        <v>0</v>
      </c>
      <c r="AB267" s="975">
        <f>VLOOKUP(C267,'[8]MỦ TẠP'!$D$10:$AM$450,36,0)</f>
        <v>0</v>
      </c>
      <c r="AC267" s="975"/>
      <c r="AD267" s="975"/>
      <c r="AE267" s="975">
        <f>VLOOKUP(C267,'[8]MỦ TẠP'!$D$10:$AM$450,36,0)</f>
        <v>0</v>
      </c>
      <c r="AF267" s="975"/>
      <c r="AG267" s="975"/>
      <c r="AH267" s="975">
        <f t="shared" si="82"/>
        <v>0</v>
      </c>
      <c r="AI267" s="975">
        <f>VLOOKUP(C267,'[8]CHẤM CÔNG '!$F$10:$AM$451,33,0)</f>
        <v>0</v>
      </c>
      <c r="AJ267" s="975">
        <f>VLOOKUP(C267,'[8]CHẤM CÔNG '!$F$10:$AM$451,34,0)</f>
        <v>0</v>
      </c>
      <c r="AK267" s="975"/>
      <c r="AL267" s="975"/>
      <c r="AM267" s="975"/>
      <c r="AN267" s="975">
        <f>VLOOKUP(C267,'[8]CHẤM CÔNG '!$F$10:$AN$451,35,0)</f>
        <v>0</v>
      </c>
      <c r="AO267" s="975">
        <f>VLOOKUP(C267,'[8]CHẤM CÔNG '!$F$10:$AR$451,36,0)</f>
        <v>0</v>
      </c>
      <c r="AP267" s="975"/>
      <c r="AQ267" s="975"/>
      <c r="AR267" s="975"/>
      <c r="AS267" s="981"/>
      <c r="AT267" s="982">
        <f>VLOOKUP(C267,'[8]MỦ TẠP'!$D$10:$AO$450,38,0)</f>
        <v>0</v>
      </c>
      <c r="AU267" s="946">
        <v>1884</v>
      </c>
      <c r="AV267" s="976">
        <f t="shared" si="83"/>
        <v>-1884</v>
      </c>
      <c r="AX267" s="944">
        <f t="shared" si="84"/>
        <v>2</v>
      </c>
      <c r="AZ267" s="944">
        <v>1</v>
      </c>
    </row>
    <row r="268" spans="1:52" ht="15.75">
      <c r="A268" s="996">
        <v>49</v>
      </c>
      <c r="B268" s="958" t="str">
        <f>VLOOKUP(C268,'[8]DS CN MOI UP'!$B$10:$C$489,2,0)</f>
        <v>03371</v>
      </c>
      <c r="C268" s="999" t="s">
        <v>172</v>
      </c>
      <c r="D268" s="997" t="s">
        <v>15</v>
      </c>
      <c r="E268" s="960"/>
      <c r="F268" s="960"/>
      <c r="G268" s="960"/>
      <c r="H268" s="960"/>
      <c r="I268" s="960"/>
      <c r="J268" s="960"/>
      <c r="K268" s="960"/>
      <c r="L268" s="960"/>
      <c r="M268" s="960"/>
      <c r="N268" s="960">
        <f t="shared" si="72"/>
        <v>0</v>
      </c>
      <c r="O268" s="960">
        <f t="shared" si="73"/>
        <v>0</v>
      </c>
      <c r="P268" s="960">
        <f t="shared" si="74"/>
        <v>0</v>
      </c>
      <c r="Q268" s="960">
        <f t="shared" si="75"/>
        <v>0</v>
      </c>
      <c r="R268" s="960">
        <f t="shared" si="76"/>
        <v>0</v>
      </c>
      <c r="S268" s="960">
        <f t="shared" si="77"/>
        <v>0</v>
      </c>
      <c r="T268" s="960">
        <f t="shared" si="78"/>
        <v>0</v>
      </c>
      <c r="U268" s="960">
        <f t="shared" si="79"/>
        <v>0</v>
      </c>
      <c r="V268" s="960">
        <f t="shared" si="80"/>
        <v>0</v>
      </c>
      <c r="W268" s="960"/>
      <c r="X268" s="960"/>
      <c r="Y268" s="960"/>
      <c r="Z268" s="960"/>
      <c r="AA268" s="975">
        <f t="shared" si="81"/>
        <v>0</v>
      </c>
      <c r="AB268" s="975">
        <f>VLOOKUP(C268,'[8]MỦ TẠP'!$D$10:$AM$450,36,0)</f>
        <v>0</v>
      </c>
      <c r="AC268" s="975"/>
      <c r="AD268" s="975"/>
      <c r="AE268" s="975">
        <f>VLOOKUP(C268,'[8]MỦ TẠP'!$D$10:$AM$450,36,0)</f>
        <v>0</v>
      </c>
      <c r="AF268" s="975"/>
      <c r="AG268" s="975"/>
      <c r="AH268" s="975">
        <f t="shared" si="82"/>
        <v>0</v>
      </c>
      <c r="AI268" s="975">
        <f>VLOOKUP(C268,'[8]CHẤM CÔNG '!$F$10:$AM$451,33,0)</f>
        <v>0</v>
      </c>
      <c r="AJ268" s="975">
        <f>VLOOKUP(C268,'[8]CHẤM CÔNG '!$F$10:$AM$451,34,0)</f>
        <v>0</v>
      </c>
      <c r="AK268" s="975"/>
      <c r="AL268" s="975"/>
      <c r="AM268" s="975"/>
      <c r="AN268" s="975">
        <f>VLOOKUP(C268,'[8]CHẤM CÔNG '!$F$10:$AN$451,35,0)</f>
        <v>0</v>
      </c>
      <c r="AO268" s="975">
        <f>VLOOKUP(C268,'[8]CHẤM CÔNG '!$F$10:$AR$451,36,0)</f>
        <v>0</v>
      </c>
      <c r="AP268" s="975"/>
      <c r="AQ268" s="975"/>
      <c r="AR268" s="975"/>
      <c r="AS268" s="981"/>
      <c r="AT268" s="982">
        <f>VLOOKUP(C268,'[8]MỦ TẠP'!$D$10:$AO$450,38,0)</f>
        <v>0</v>
      </c>
      <c r="AU268" s="946">
        <v>1797</v>
      </c>
      <c r="AV268" s="976">
        <f t="shared" si="83"/>
        <v>-1797</v>
      </c>
      <c r="AX268" s="944">
        <f t="shared" si="84"/>
        <v>2</v>
      </c>
      <c r="AZ268" s="944">
        <v>1</v>
      </c>
    </row>
    <row r="269" spans="1:52" ht="15.75">
      <c r="A269" s="996">
        <v>50</v>
      </c>
      <c r="B269" s="958" t="str">
        <f>VLOOKUP(C269,'[8]DS CN MOI UP'!$B$10:$C$489,2,0)</f>
        <v>02519</v>
      </c>
      <c r="C269" s="1000" t="s">
        <v>173</v>
      </c>
      <c r="D269" s="997" t="s">
        <v>15</v>
      </c>
      <c r="E269" s="960"/>
      <c r="F269" s="960"/>
      <c r="G269" s="960"/>
      <c r="H269" s="960"/>
      <c r="I269" s="960"/>
      <c r="J269" s="960"/>
      <c r="K269" s="960"/>
      <c r="L269" s="960"/>
      <c r="M269" s="960"/>
      <c r="N269" s="960">
        <f t="shared" si="72"/>
        <v>0</v>
      </c>
      <c r="O269" s="960">
        <f t="shared" si="73"/>
        <v>0</v>
      </c>
      <c r="P269" s="960">
        <f t="shared" si="74"/>
        <v>0</v>
      </c>
      <c r="Q269" s="960">
        <f t="shared" si="75"/>
        <v>0</v>
      </c>
      <c r="R269" s="960">
        <f t="shared" si="76"/>
        <v>0</v>
      </c>
      <c r="S269" s="960">
        <f t="shared" si="77"/>
        <v>0</v>
      </c>
      <c r="T269" s="960">
        <f t="shared" si="78"/>
        <v>0</v>
      </c>
      <c r="U269" s="960">
        <f t="shared" si="79"/>
        <v>0</v>
      </c>
      <c r="V269" s="960">
        <f t="shared" si="80"/>
        <v>0</v>
      </c>
      <c r="W269" s="960"/>
      <c r="X269" s="960"/>
      <c r="Y269" s="960"/>
      <c r="Z269" s="960"/>
      <c r="AA269" s="975">
        <f t="shared" si="81"/>
        <v>0</v>
      </c>
      <c r="AB269" s="975">
        <f>VLOOKUP(C269,'[8]MỦ TẠP'!$D$10:$AM$450,36,0)</f>
        <v>0</v>
      </c>
      <c r="AC269" s="975"/>
      <c r="AD269" s="975"/>
      <c r="AE269" s="975">
        <f>VLOOKUP(C269,'[8]MỦ TẠP'!$D$10:$AM$450,36,0)</f>
        <v>0</v>
      </c>
      <c r="AF269" s="975"/>
      <c r="AG269" s="975"/>
      <c r="AH269" s="975">
        <f t="shared" si="82"/>
        <v>0</v>
      </c>
      <c r="AI269" s="975">
        <f>VLOOKUP(C269,'[8]CHẤM CÔNG '!$F$10:$AM$451,33,0)</f>
        <v>0</v>
      </c>
      <c r="AJ269" s="975">
        <f>VLOOKUP(C269,'[8]CHẤM CÔNG '!$F$10:$AM$451,34,0)</f>
        <v>0</v>
      </c>
      <c r="AK269" s="975"/>
      <c r="AL269" s="975"/>
      <c r="AM269" s="975"/>
      <c r="AN269" s="975">
        <f>VLOOKUP(C269,'[8]CHẤM CÔNG '!$F$10:$AN$451,35,0)</f>
        <v>0</v>
      </c>
      <c r="AO269" s="975">
        <f>VLOOKUP(C269,'[8]CHẤM CÔNG '!$F$10:$AR$451,36,0)</f>
        <v>0</v>
      </c>
      <c r="AP269" s="975"/>
      <c r="AQ269" s="975"/>
      <c r="AR269" s="975"/>
      <c r="AS269" s="981"/>
      <c r="AT269" s="982">
        <f>VLOOKUP(C269,'[8]MỦ TẠP'!$D$10:$AO$450,38,0)</f>
        <v>0</v>
      </c>
      <c r="AU269" s="946">
        <v>2261</v>
      </c>
      <c r="AV269" s="976">
        <f t="shared" si="83"/>
        <v>-2261</v>
      </c>
      <c r="AX269" s="944">
        <f t="shared" si="84"/>
        <v>2</v>
      </c>
      <c r="AZ269" s="944">
        <v>1</v>
      </c>
    </row>
    <row r="270" spans="1:52" ht="15.75">
      <c r="A270" s="996">
        <v>51</v>
      </c>
      <c r="B270" s="958" t="str">
        <f>VLOOKUP(C270,'[8]DS CN MOI UP'!$B$10:$C$489,2,0)</f>
        <v>02692</v>
      </c>
      <c r="C270" s="970" t="s">
        <v>174</v>
      </c>
      <c r="D270" s="997" t="s">
        <v>15</v>
      </c>
      <c r="E270" s="960"/>
      <c r="F270" s="960"/>
      <c r="G270" s="960"/>
      <c r="H270" s="960"/>
      <c r="I270" s="960"/>
      <c r="J270" s="960"/>
      <c r="K270" s="960"/>
      <c r="L270" s="960"/>
      <c r="M270" s="960"/>
      <c r="N270" s="960">
        <f t="shared" si="72"/>
        <v>0</v>
      </c>
      <c r="O270" s="960">
        <f t="shared" si="73"/>
        <v>0</v>
      </c>
      <c r="P270" s="960">
        <f t="shared" si="74"/>
        <v>0</v>
      </c>
      <c r="Q270" s="960">
        <f t="shared" si="75"/>
        <v>0</v>
      </c>
      <c r="R270" s="960">
        <f t="shared" si="76"/>
        <v>0</v>
      </c>
      <c r="S270" s="960">
        <f t="shared" si="77"/>
        <v>0</v>
      </c>
      <c r="T270" s="960">
        <f t="shared" si="78"/>
        <v>0</v>
      </c>
      <c r="U270" s="960">
        <f t="shared" si="79"/>
        <v>0</v>
      </c>
      <c r="V270" s="960">
        <f t="shared" si="80"/>
        <v>0</v>
      </c>
      <c r="W270" s="960"/>
      <c r="X270" s="960"/>
      <c r="Y270" s="960"/>
      <c r="Z270" s="960"/>
      <c r="AA270" s="975">
        <f t="shared" si="81"/>
        <v>0</v>
      </c>
      <c r="AB270" s="975">
        <f>VLOOKUP(C270,'[8]MỦ TẠP'!$D$10:$AM$450,36,0)</f>
        <v>0</v>
      </c>
      <c r="AC270" s="975"/>
      <c r="AD270" s="975"/>
      <c r="AE270" s="975">
        <f>VLOOKUP(C270,'[8]MỦ TẠP'!$D$10:$AM$450,36,0)</f>
        <v>0</v>
      </c>
      <c r="AF270" s="975"/>
      <c r="AG270" s="975"/>
      <c r="AH270" s="975">
        <f t="shared" si="82"/>
        <v>0</v>
      </c>
      <c r="AI270" s="975">
        <f>VLOOKUP(C270,'[8]CHẤM CÔNG '!$F$10:$AM$451,33,0)</f>
        <v>0</v>
      </c>
      <c r="AJ270" s="975">
        <f>VLOOKUP(C270,'[8]CHẤM CÔNG '!$F$10:$AM$451,34,0)</f>
        <v>0</v>
      </c>
      <c r="AK270" s="975"/>
      <c r="AL270" s="975"/>
      <c r="AM270" s="975"/>
      <c r="AN270" s="975">
        <f>VLOOKUP(C270,'[8]CHẤM CÔNG '!$F$10:$AN$451,35,0)</f>
        <v>0</v>
      </c>
      <c r="AO270" s="975">
        <f>VLOOKUP(C270,'[8]CHẤM CÔNG '!$F$10:$AR$451,36,0)</f>
        <v>0</v>
      </c>
      <c r="AP270" s="975"/>
      <c r="AQ270" s="975"/>
      <c r="AR270" s="975"/>
      <c r="AS270" s="981"/>
      <c r="AT270" s="982">
        <f>VLOOKUP(C270,'[8]MỦ TẠP'!$D$10:$AO$450,38,0)</f>
        <v>0</v>
      </c>
      <c r="AU270" s="946">
        <v>1682</v>
      </c>
      <c r="AV270" s="976">
        <f t="shared" si="83"/>
        <v>-1682</v>
      </c>
      <c r="AX270" s="944">
        <f t="shared" si="84"/>
        <v>2</v>
      </c>
      <c r="AZ270" s="944">
        <v>1</v>
      </c>
    </row>
    <row r="271" spans="1:52" ht="15.75">
      <c r="A271" s="996">
        <v>52</v>
      </c>
      <c r="B271" s="958" t="str">
        <f>VLOOKUP(C271,'[8]DS CN MOI UP'!$B$10:$C$489,2,0)</f>
        <v>03372</v>
      </c>
      <c r="C271" s="970" t="s">
        <v>175</v>
      </c>
      <c r="D271" s="997" t="s">
        <v>15</v>
      </c>
      <c r="E271" s="960"/>
      <c r="F271" s="960"/>
      <c r="G271" s="960"/>
      <c r="H271" s="960"/>
      <c r="I271" s="960"/>
      <c r="J271" s="960"/>
      <c r="K271" s="960"/>
      <c r="L271" s="960"/>
      <c r="M271" s="960"/>
      <c r="N271" s="960">
        <f t="shared" si="72"/>
        <v>0</v>
      </c>
      <c r="O271" s="960">
        <f t="shared" si="73"/>
        <v>0</v>
      </c>
      <c r="P271" s="960">
        <f t="shared" si="74"/>
        <v>0</v>
      </c>
      <c r="Q271" s="960">
        <f t="shared" si="75"/>
        <v>0</v>
      </c>
      <c r="R271" s="960">
        <f t="shared" si="76"/>
        <v>0</v>
      </c>
      <c r="S271" s="960">
        <f t="shared" si="77"/>
        <v>0</v>
      </c>
      <c r="T271" s="960">
        <f t="shared" si="78"/>
        <v>0</v>
      </c>
      <c r="U271" s="960">
        <f t="shared" si="79"/>
        <v>0</v>
      </c>
      <c r="V271" s="960">
        <f t="shared" si="80"/>
        <v>0</v>
      </c>
      <c r="W271" s="960"/>
      <c r="X271" s="960"/>
      <c r="Y271" s="960"/>
      <c r="Z271" s="960"/>
      <c r="AA271" s="975">
        <f t="shared" si="81"/>
        <v>0</v>
      </c>
      <c r="AB271" s="975">
        <f>VLOOKUP(C271,'[8]MỦ TẠP'!$D$10:$AM$450,36,0)</f>
        <v>0</v>
      </c>
      <c r="AC271" s="975"/>
      <c r="AD271" s="975"/>
      <c r="AE271" s="975">
        <f>VLOOKUP(C271,'[8]MỦ TẠP'!$D$10:$AM$450,36,0)</f>
        <v>0</v>
      </c>
      <c r="AF271" s="975"/>
      <c r="AG271" s="975"/>
      <c r="AH271" s="975">
        <f t="shared" si="82"/>
        <v>0</v>
      </c>
      <c r="AI271" s="975">
        <f>VLOOKUP(C271,'[8]CHẤM CÔNG '!$F$10:$AM$451,33,0)</f>
        <v>0</v>
      </c>
      <c r="AJ271" s="975">
        <f>VLOOKUP(C271,'[8]CHẤM CÔNG '!$F$10:$AM$451,34,0)</f>
        <v>0</v>
      </c>
      <c r="AK271" s="975"/>
      <c r="AL271" s="975"/>
      <c r="AM271" s="975"/>
      <c r="AN271" s="975">
        <f>VLOOKUP(C271,'[8]CHẤM CÔNG '!$F$10:$AN$451,35,0)</f>
        <v>0</v>
      </c>
      <c r="AO271" s="975">
        <f>VLOOKUP(C271,'[8]CHẤM CÔNG '!$F$10:$AR$451,36,0)</f>
        <v>0</v>
      </c>
      <c r="AP271" s="975"/>
      <c r="AQ271" s="975"/>
      <c r="AR271" s="975"/>
      <c r="AS271" s="981"/>
      <c r="AT271" s="982">
        <f>VLOOKUP(C271,'[8]MỦ TẠP'!$D$10:$AO$450,38,0)</f>
        <v>0</v>
      </c>
      <c r="AU271" s="946">
        <v>1211</v>
      </c>
      <c r="AV271" s="976">
        <f t="shared" si="83"/>
        <v>-1211</v>
      </c>
      <c r="AX271" s="944">
        <f t="shared" si="84"/>
        <v>2</v>
      </c>
      <c r="AZ271" s="944">
        <v>1</v>
      </c>
    </row>
    <row r="272" spans="1:52" ht="15.75">
      <c r="A272" s="996">
        <v>53</v>
      </c>
      <c r="B272" s="958" t="str">
        <f>VLOOKUP(C272,'[8]DS CN MOI UP'!$B$10:$C$489,2,0)</f>
        <v>03365</v>
      </c>
      <c r="C272" s="970" t="s">
        <v>176</v>
      </c>
      <c r="D272" s="997" t="s">
        <v>15</v>
      </c>
      <c r="E272" s="960"/>
      <c r="F272" s="960"/>
      <c r="G272" s="960"/>
      <c r="H272" s="960"/>
      <c r="I272" s="960"/>
      <c r="J272" s="960"/>
      <c r="K272" s="960"/>
      <c r="L272" s="960"/>
      <c r="M272" s="960"/>
      <c r="N272" s="960">
        <f t="shared" si="72"/>
        <v>0</v>
      </c>
      <c r="O272" s="960">
        <f t="shared" si="73"/>
        <v>0</v>
      </c>
      <c r="P272" s="960">
        <f t="shared" si="74"/>
        <v>0</v>
      </c>
      <c r="Q272" s="960">
        <f t="shared" si="75"/>
        <v>0</v>
      </c>
      <c r="R272" s="960">
        <f t="shared" si="76"/>
        <v>0</v>
      </c>
      <c r="S272" s="960">
        <f t="shared" si="77"/>
        <v>0</v>
      </c>
      <c r="T272" s="960">
        <f t="shared" si="78"/>
        <v>0</v>
      </c>
      <c r="U272" s="960">
        <f t="shared" si="79"/>
        <v>0</v>
      </c>
      <c r="V272" s="960">
        <f t="shared" si="80"/>
        <v>0</v>
      </c>
      <c r="W272" s="960"/>
      <c r="X272" s="960"/>
      <c r="Y272" s="960"/>
      <c r="Z272" s="960"/>
      <c r="AA272" s="975">
        <f t="shared" si="81"/>
        <v>0</v>
      </c>
      <c r="AB272" s="975">
        <f>VLOOKUP(C272,'[8]MỦ TẠP'!$D$10:$AM$450,36,0)</f>
        <v>0</v>
      </c>
      <c r="AC272" s="975"/>
      <c r="AD272" s="975"/>
      <c r="AE272" s="975">
        <f>VLOOKUP(C272,'[8]MỦ TẠP'!$D$10:$AM$450,36,0)</f>
        <v>0</v>
      </c>
      <c r="AF272" s="975"/>
      <c r="AG272" s="975"/>
      <c r="AH272" s="975">
        <f t="shared" si="82"/>
        <v>0</v>
      </c>
      <c r="AI272" s="975">
        <f>VLOOKUP(C272,'[8]CHẤM CÔNG '!$F$10:$AM$451,33,0)</f>
        <v>0</v>
      </c>
      <c r="AJ272" s="975">
        <f>VLOOKUP(C272,'[8]CHẤM CÔNG '!$F$10:$AM$451,34,0)</f>
        <v>0</v>
      </c>
      <c r="AK272" s="975"/>
      <c r="AL272" s="975"/>
      <c r="AM272" s="975"/>
      <c r="AN272" s="975">
        <f>VLOOKUP(C272,'[8]CHẤM CÔNG '!$F$10:$AN$451,35,0)</f>
        <v>0</v>
      </c>
      <c r="AO272" s="975">
        <f>VLOOKUP(C272,'[8]CHẤM CÔNG '!$F$10:$AR$451,36,0)</f>
        <v>0</v>
      </c>
      <c r="AP272" s="975"/>
      <c r="AQ272" s="975"/>
      <c r="AR272" s="975"/>
      <c r="AS272" s="981"/>
      <c r="AT272" s="982">
        <f>VLOOKUP(C272,'[8]MỦ TẠP'!$D$10:$AO$450,38,0)</f>
        <v>0</v>
      </c>
      <c r="AU272" s="946">
        <v>1239</v>
      </c>
      <c r="AV272" s="976">
        <f t="shared" si="83"/>
        <v>-1239</v>
      </c>
      <c r="AX272" s="944">
        <f t="shared" si="84"/>
        <v>2</v>
      </c>
      <c r="AZ272" s="944">
        <v>1</v>
      </c>
    </row>
    <row r="273" spans="1:52" ht="15.75">
      <c r="A273" s="996">
        <v>54</v>
      </c>
      <c r="B273" s="958" t="str">
        <f>VLOOKUP(C273,'[8]DS CN MOI UP'!$B$10:$C$489,2,0)</f>
        <v>03373</v>
      </c>
      <c r="C273" s="970" t="s">
        <v>177</v>
      </c>
      <c r="D273" s="997" t="s">
        <v>15</v>
      </c>
      <c r="E273" s="960"/>
      <c r="F273" s="960"/>
      <c r="G273" s="960"/>
      <c r="H273" s="960"/>
      <c r="I273" s="960"/>
      <c r="J273" s="960"/>
      <c r="K273" s="960"/>
      <c r="L273" s="960"/>
      <c r="M273" s="960"/>
      <c r="N273" s="960">
        <f t="shared" si="72"/>
        <v>0</v>
      </c>
      <c r="O273" s="960">
        <f t="shared" si="73"/>
        <v>0</v>
      </c>
      <c r="P273" s="960">
        <f t="shared" si="74"/>
        <v>0</v>
      </c>
      <c r="Q273" s="960">
        <f t="shared" si="75"/>
        <v>0</v>
      </c>
      <c r="R273" s="960">
        <f t="shared" si="76"/>
        <v>0</v>
      </c>
      <c r="S273" s="960">
        <f t="shared" si="77"/>
        <v>0</v>
      </c>
      <c r="T273" s="960">
        <f t="shared" si="78"/>
        <v>0</v>
      </c>
      <c r="U273" s="960">
        <f t="shared" si="79"/>
        <v>0</v>
      </c>
      <c r="V273" s="960">
        <f t="shared" si="80"/>
        <v>0</v>
      </c>
      <c r="W273" s="960"/>
      <c r="X273" s="960"/>
      <c r="Y273" s="960"/>
      <c r="Z273" s="960"/>
      <c r="AA273" s="975">
        <f t="shared" si="81"/>
        <v>0</v>
      </c>
      <c r="AB273" s="975">
        <f>VLOOKUP(C273,'[8]MỦ TẠP'!$D$10:$AM$450,36,0)</f>
        <v>0</v>
      </c>
      <c r="AC273" s="975"/>
      <c r="AD273" s="975"/>
      <c r="AE273" s="975">
        <f>VLOOKUP(C273,'[8]MỦ TẠP'!$D$10:$AM$450,36,0)</f>
        <v>0</v>
      </c>
      <c r="AF273" s="975"/>
      <c r="AG273" s="975"/>
      <c r="AH273" s="975">
        <f t="shared" si="82"/>
        <v>0</v>
      </c>
      <c r="AI273" s="975">
        <f>VLOOKUP(C273,'[8]CHẤM CÔNG '!$F$10:$AM$451,33,0)</f>
        <v>0</v>
      </c>
      <c r="AJ273" s="975">
        <f>VLOOKUP(C273,'[8]CHẤM CÔNG '!$F$10:$AM$451,34,0)</f>
        <v>0</v>
      </c>
      <c r="AK273" s="975"/>
      <c r="AL273" s="975"/>
      <c r="AM273" s="975"/>
      <c r="AN273" s="975">
        <f>VLOOKUP(C273,'[8]CHẤM CÔNG '!$F$10:$AN$451,35,0)</f>
        <v>0</v>
      </c>
      <c r="AO273" s="975">
        <f>VLOOKUP(C273,'[8]CHẤM CÔNG '!$F$10:$AR$451,36,0)</f>
        <v>0</v>
      </c>
      <c r="AP273" s="975"/>
      <c r="AQ273" s="975"/>
      <c r="AR273" s="975"/>
      <c r="AS273" s="981"/>
      <c r="AT273" s="982">
        <f>VLOOKUP(C273,'[8]MỦ TẠP'!$D$10:$AO$450,38,0)</f>
        <v>0</v>
      </c>
      <c r="AU273" s="946">
        <v>1196</v>
      </c>
      <c r="AV273" s="976">
        <f t="shared" si="83"/>
        <v>-1196</v>
      </c>
      <c r="AX273" s="944">
        <f t="shared" si="84"/>
        <v>2</v>
      </c>
      <c r="AZ273" s="944">
        <v>1</v>
      </c>
    </row>
    <row r="274" spans="1:52" ht="15.75">
      <c r="A274" s="996">
        <v>55</v>
      </c>
      <c r="B274" s="958" t="str">
        <f>VLOOKUP(C274,'[8]DS CN MOI UP'!$B$10:$C$489,2,0)</f>
        <v>03374</v>
      </c>
      <c r="C274" s="970" t="s">
        <v>178</v>
      </c>
      <c r="D274" s="997" t="s">
        <v>15</v>
      </c>
      <c r="E274" s="960"/>
      <c r="F274" s="960"/>
      <c r="G274" s="960"/>
      <c r="H274" s="960"/>
      <c r="I274" s="960"/>
      <c r="J274" s="960"/>
      <c r="K274" s="960"/>
      <c r="L274" s="960"/>
      <c r="M274" s="960"/>
      <c r="N274" s="960">
        <f t="shared" si="72"/>
        <v>0</v>
      </c>
      <c r="O274" s="960">
        <f t="shared" si="73"/>
        <v>0</v>
      </c>
      <c r="P274" s="960">
        <f t="shared" si="74"/>
        <v>0</v>
      </c>
      <c r="Q274" s="960">
        <f t="shared" si="75"/>
        <v>0</v>
      </c>
      <c r="R274" s="960">
        <f t="shared" si="76"/>
        <v>0</v>
      </c>
      <c r="S274" s="960">
        <f t="shared" si="77"/>
        <v>0</v>
      </c>
      <c r="T274" s="960">
        <f t="shared" si="78"/>
        <v>0</v>
      </c>
      <c r="U274" s="960">
        <f t="shared" si="79"/>
        <v>0</v>
      </c>
      <c r="V274" s="960">
        <f t="shared" si="80"/>
        <v>0</v>
      </c>
      <c r="W274" s="960"/>
      <c r="X274" s="960"/>
      <c r="Y274" s="960"/>
      <c r="Z274" s="960"/>
      <c r="AA274" s="975">
        <f t="shared" si="81"/>
        <v>0</v>
      </c>
      <c r="AB274" s="975">
        <f>VLOOKUP(C274,'[8]MỦ TẠP'!$D$10:$AM$450,36,0)</f>
        <v>0</v>
      </c>
      <c r="AC274" s="975"/>
      <c r="AD274" s="975"/>
      <c r="AE274" s="975">
        <f>VLOOKUP(C274,'[8]MỦ TẠP'!$D$10:$AM$450,36,0)</f>
        <v>0</v>
      </c>
      <c r="AF274" s="975"/>
      <c r="AG274" s="975"/>
      <c r="AH274" s="975">
        <f t="shared" si="82"/>
        <v>0</v>
      </c>
      <c r="AI274" s="975">
        <f>VLOOKUP(C274,'[8]CHẤM CÔNG '!$F$10:$AM$451,33,0)</f>
        <v>0</v>
      </c>
      <c r="AJ274" s="975">
        <f>VLOOKUP(C274,'[8]CHẤM CÔNG '!$F$10:$AM$451,34,0)</f>
        <v>0</v>
      </c>
      <c r="AK274" s="975"/>
      <c r="AL274" s="975"/>
      <c r="AM274" s="975"/>
      <c r="AN274" s="975">
        <f>VLOOKUP(C274,'[8]CHẤM CÔNG '!$F$10:$AN$451,35,0)</f>
        <v>0</v>
      </c>
      <c r="AO274" s="975">
        <f>VLOOKUP(C274,'[8]CHẤM CÔNG '!$F$10:$AR$451,36,0)</f>
        <v>0</v>
      </c>
      <c r="AP274" s="975"/>
      <c r="AQ274" s="975"/>
      <c r="AR274" s="975"/>
      <c r="AS274" s="981"/>
      <c r="AT274" s="982">
        <f>VLOOKUP(C274,'[8]MỦ TẠP'!$D$10:$AO$450,38,0)</f>
        <v>0</v>
      </c>
      <c r="AU274" s="946">
        <v>1120</v>
      </c>
      <c r="AV274" s="976">
        <f t="shared" si="83"/>
        <v>-1120</v>
      </c>
      <c r="AX274" s="944">
        <f t="shared" si="84"/>
        <v>2</v>
      </c>
      <c r="AZ274" s="944">
        <v>1</v>
      </c>
    </row>
    <row r="275" spans="1:52" ht="15.75">
      <c r="A275" s="996">
        <v>56</v>
      </c>
      <c r="B275" s="958" t="str">
        <f>VLOOKUP(C275,'[8]DS CN MOI UP'!$B$10:$C$489,2,0)</f>
        <v>02557</v>
      </c>
      <c r="C275" s="970" t="s">
        <v>179</v>
      </c>
      <c r="D275" s="997" t="s">
        <v>15</v>
      </c>
      <c r="E275" s="960"/>
      <c r="F275" s="960"/>
      <c r="G275" s="960"/>
      <c r="H275" s="960"/>
      <c r="I275" s="960"/>
      <c r="J275" s="960"/>
      <c r="K275" s="960"/>
      <c r="L275" s="960"/>
      <c r="M275" s="960"/>
      <c r="N275" s="960">
        <f t="shared" si="72"/>
        <v>0</v>
      </c>
      <c r="O275" s="960">
        <f t="shared" si="73"/>
        <v>0</v>
      </c>
      <c r="P275" s="960">
        <f t="shared" si="74"/>
        <v>0</v>
      </c>
      <c r="Q275" s="960">
        <f t="shared" si="75"/>
        <v>0</v>
      </c>
      <c r="R275" s="960">
        <f t="shared" si="76"/>
        <v>0</v>
      </c>
      <c r="S275" s="960">
        <f t="shared" si="77"/>
        <v>0</v>
      </c>
      <c r="T275" s="960">
        <f t="shared" si="78"/>
        <v>0</v>
      </c>
      <c r="U275" s="960">
        <f t="shared" si="79"/>
        <v>0</v>
      </c>
      <c r="V275" s="960">
        <f t="shared" si="80"/>
        <v>0</v>
      </c>
      <c r="W275" s="960"/>
      <c r="X275" s="960"/>
      <c r="Y275" s="960"/>
      <c r="Z275" s="960"/>
      <c r="AA275" s="975">
        <f t="shared" si="81"/>
        <v>0</v>
      </c>
      <c r="AB275" s="975">
        <f>VLOOKUP(C275,'[8]MỦ TẠP'!$D$10:$AM$450,36,0)</f>
        <v>0</v>
      </c>
      <c r="AC275" s="975"/>
      <c r="AD275" s="975"/>
      <c r="AE275" s="975">
        <f>VLOOKUP(C275,'[8]MỦ TẠP'!$D$10:$AM$450,36,0)</f>
        <v>0</v>
      </c>
      <c r="AF275" s="975"/>
      <c r="AG275" s="975"/>
      <c r="AH275" s="975">
        <f t="shared" si="82"/>
        <v>0</v>
      </c>
      <c r="AI275" s="975">
        <f>VLOOKUP(C275,'[8]CHẤM CÔNG '!$F$10:$AM$451,33,0)</f>
        <v>0</v>
      </c>
      <c r="AJ275" s="975">
        <f>VLOOKUP(C275,'[8]CHẤM CÔNG '!$F$10:$AM$451,34,0)</f>
        <v>0</v>
      </c>
      <c r="AK275" s="975"/>
      <c r="AL275" s="975"/>
      <c r="AM275" s="975"/>
      <c r="AN275" s="975">
        <f>VLOOKUP(C275,'[8]CHẤM CÔNG '!$F$10:$AN$451,35,0)</f>
        <v>0</v>
      </c>
      <c r="AO275" s="975">
        <f>VLOOKUP(C275,'[8]CHẤM CÔNG '!$F$10:$AR$451,36,0)</f>
        <v>0</v>
      </c>
      <c r="AP275" s="975"/>
      <c r="AQ275" s="975"/>
      <c r="AR275" s="975"/>
      <c r="AS275" s="981"/>
      <c r="AT275" s="982">
        <f>VLOOKUP(C275,'[8]MỦ TẠP'!$D$10:$AO$450,38,0)</f>
        <v>0</v>
      </c>
      <c r="AU275" s="946">
        <v>1471</v>
      </c>
      <c r="AV275" s="976">
        <f t="shared" si="83"/>
        <v>-1471</v>
      </c>
      <c r="AX275" s="944">
        <f t="shared" si="84"/>
        <v>2</v>
      </c>
      <c r="AZ275" s="944">
        <v>1</v>
      </c>
    </row>
    <row r="276" spans="1:52" ht="15.75">
      <c r="A276" s="996">
        <v>57</v>
      </c>
      <c r="B276" s="958" t="str">
        <f>VLOOKUP(C276,'[8]DS CN MOI UP'!$B$10:$C$489,2,0)</f>
        <v>02525</v>
      </c>
      <c r="C276" s="970" t="s">
        <v>180</v>
      </c>
      <c r="D276" s="997" t="s">
        <v>15</v>
      </c>
      <c r="E276" s="960"/>
      <c r="F276" s="960"/>
      <c r="G276" s="960"/>
      <c r="H276" s="960"/>
      <c r="I276" s="960"/>
      <c r="J276" s="960"/>
      <c r="K276" s="960"/>
      <c r="L276" s="960"/>
      <c r="M276" s="960"/>
      <c r="N276" s="960">
        <f t="shared" si="72"/>
        <v>0</v>
      </c>
      <c r="O276" s="960">
        <f t="shared" si="73"/>
        <v>0</v>
      </c>
      <c r="P276" s="960">
        <f t="shared" si="74"/>
        <v>0</v>
      </c>
      <c r="Q276" s="960">
        <f t="shared" si="75"/>
        <v>0</v>
      </c>
      <c r="R276" s="960">
        <f t="shared" si="76"/>
        <v>0</v>
      </c>
      <c r="S276" s="960">
        <f t="shared" si="77"/>
        <v>0</v>
      </c>
      <c r="T276" s="960">
        <f t="shared" si="78"/>
        <v>0</v>
      </c>
      <c r="U276" s="960">
        <f t="shared" si="79"/>
        <v>0</v>
      </c>
      <c r="V276" s="960">
        <f t="shared" si="80"/>
        <v>0</v>
      </c>
      <c r="W276" s="960"/>
      <c r="X276" s="960"/>
      <c r="Y276" s="960"/>
      <c r="Z276" s="960"/>
      <c r="AA276" s="975">
        <f t="shared" si="81"/>
        <v>0</v>
      </c>
      <c r="AB276" s="975">
        <f>VLOOKUP(C276,'[8]MỦ TẠP'!$D$10:$AM$450,36,0)</f>
        <v>0</v>
      </c>
      <c r="AC276" s="975"/>
      <c r="AD276" s="975"/>
      <c r="AE276" s="975">
        <f>VLOOKUP(C276,'[8]MỦ TẠP'!$D$10:$AM$450,36,0)</f>
        <v>0</v>
      </c>
      <c r="AF276" s="975"/>
      <c r="AG276" s="975"/>
      <c r="AH276" s="975">
        <f t="shared" si="82"/>
        <v>0</v>
      </c>
      <c r="AI276" s="975">
        <f>VLOOKUP(C276,'[8]CHẤM CÔNG '!$F$10:$AM$451,33,0)</f>
        <v>0</v>
      </c>
      <c r="AJ276" s="975">
        <f>VLOOKUP(C276,'[8]CHẤM CÔNG '!$F$10:$AM$451,34,0)</f>
        <v>0</v>
      </c>
      <c r="AK276" s="975"/>
      <c r="AL276" s="975"/>
      <c r="AM276" s="975"/>
      <c r="AN276" s="975">
        <f>VLOOKUP(C276,'[8]CHẤM CÔNG '!$F$10:$AN$451,35,0)</f>
        <v>0</v>
      </c>
      <c r="AO276" s="975">
        <f>VLOOKUP(C276,'[8]CHẤM CÔNG '!$F$10:$AR$451,36,0)</f>
        <v>0</v>
      </c>
      <c r="AP276" s="975"/>
      <c r="AQ276" s="975"/>
      <c r="AR276" s="975"/>
      <c r="AS276" s="981"/>
      <c r="AT276" s="982">
        <f>VLOOKUP(C276,'[8]MỦ TẠP'!$D$10:$AO$450,38,0)</f>
        <v>0</v>
      </c>
      <c r="AU276" s="946">
        <v>2106</v>
      </c>
      <c r="AV276" s="976">
        <f t="shared" si="83"/>
        <v>-2106</v>
      </c>
      <c r="AX276" s="944">
        <f t="shared" si="84"/>
        <v>2</v>
      </c>
      <c r="AZ276" s="944">
        <v>1</v>
      </c>
    </row>
    <row r="277" spans="1:52" ht="15.75">
      <c r="A277" s="996">
        <v>58</v>
      </c>
      <c r="B277" s="958" t="str">
        <f>VLOOKUP(C277,'[8]DS CN MOI UP'!$B$10:$C$489,2,0)</f>
        <v>03375</v>
      </c>
      <c r="C277" s="970" t="s">
        <v>181</v>
      </c>
      <c r="D277" s="997" t="s">
        <v>2654</v>
      </c>
      <c r="E277" s="960"/>
      <c r="F277" s="960"/>
      <c r="G277" s="960"/>
      <c r="H277" s="960"/>
      <c r="I277" s="960"/>
      <c r="J277" s="960"/>
      <c r="K277" s="960"/>
      <c r="L277" s="960"/>
      <c r="M277" s="960"/>
      <c r="N277" s="960">
        <f t="shared" si="72"/>
        <v>0</v>
      </c>
      <c r="O277" s="960">
        <f t="shared" si="73"/>
        <v>0</v>
      </c>
      <c r="P277" s="960">
        <f t="shared" si="74"/>
        <v>0</v>
      </c>
      <c r="Q277" s="960">
        <f t="shared" si="75"/>
        <v>0</v>
      </c>
      <c r="R277" s="960">
        <f t="shared" si="76"/>
        <v>0</v>
      </c>
      <c r="S277" s="960">
        <f t="shared" si="77"/>
        <v>0</v>
      </c>
      <c r="T277" s="960">
        <f t="shared" si="78"/>
        <v>0</v>
      </c>
      <c r="U277" s="960">
        <f t="shared" si="79"/>
        <v>0</v>
      </c>
      <c r="V277" s="960">
        <f t="shared" si="80"/>
        <v>0</v>
      </c>
      <c r="W277" s="960"/>
      <c r="X277" s="960"/>
      <c r="Y277" s="960"/>
      <c r="Z277" s="960"/>
      <c r="AA277" s="975">
        <f t="shared" si="81"/>
        <v>0</v>
      </c>
      <c r="AB277" s="975">
        <f>VLOOKUP(C277,'[8]MỦ TẠP'!$D$10:$AM$450,36,0)</f>
        <v>0</v>
      </c>
      <c r="AC277" s="975"/>
      <c r="AD277" s="975"/>
      <c r="AE277" s="975">
        <f>VLOOKUP(C277,'[8]MỦ TẠP'!$D$10:$AM$450,36,0)</f>
        <v>0</v>
      </c>
      <c r="AF277" s="975"/>
      <c r="AG277" s="975"/>
      <c r="AH277" s="975">
        <f t="shared" si="82"/>
        <v>0</v>
      </c>
      <c r="AI277" s="975">
        <f>VLOOKUP(C277,'[8]CHẤM CÔNG '!$F$10:$AM$451,33,0)</f>
        <v>0</v>
      </c>
      <c r="AJ277" s="975">
        <f>VLOOKUP(C277,'[8]CHẤM CÔNG '!$F$10:$AM$451,34,0)</f>
        <v>0</v>
      </c>
      <c r="AK277" s="975"/>
      <c r="AL277" s="975"/>
      <c r="AM277" s="975"/>
      <c r="AN277" s="975">
        <f>VLOOKUP(C277,'[8]CHẤM CÔNG '!$F$10:$AN$451,35,0)</f>
        <v>0</v>
      </c>
      <c r="AO277" s="975">
        <f>VLOOKUP(C277,'[8]CHẤM CÔNG '!$F$10:$AR$451,36,0)</f>
        <v>0</v>
      </c>
      <c r="AP277" s="975"/>
      <c r="AQ277" s="975"/>
      <c r="AR277" s="975"/>
      <c r="AS277" s="981"/>
      <c r="AT277" s="982">
        <f>VLOOKUP(C277,'[8]MỦ TẠP'!$D$10:$AO$450,38,0)</f>
        <v>0</v>
      </c>
      <c r="AU277" s="946">
        <v>1647</v>
      </c>
      <c r="AV277" s="976">
        <f t="shared" si="83"/>
        <v>-1647</v>
      </c>
      <c r="AX277" s="944">
        <f t="shared" si="84"/>
        <v>2</v>
      </c>
      <c r="AZ277" s="944">
        <v>1</v>
      </c>
    </row>
    <row r="278" spans="1:52" ht="15.75">
      <c r="A278" s="996">
        <v>59</v>
      </c>
      <c r="B278" s="958" t="str">
        <f>VLOOKUP(C278,'[8]DS CN MOI UP'!$B$10:$C$489,2,0)</f>
        <v>02691</v>
      </c>
      <c r="C278" s="970" t="s">
        <v>182</v>
      </c>
      <c r="D278" s="997" t="s">
        <v>2654</v>
      </c>
      <c r="E278" s="960"/>
      <c r="F278" s="960"/>
      <c r="G278" s="960"/>
      <c r="H278" s="960"/>
      <c r="I278" s="960"/>
      <c r="J278" s="960"/>
      <c r="K278" s="960"/>
      <c r="L278" s="960"/>
      <c r="M278" s="960"/>
      <c r="N278" s="960">
        <f t="shared" si="72"/>
        <v>0</v>
      </c>
      <c r="O278" s="960">
        <f t="shared" si="73"/>
        <v>0</v>
      </c>
      <c r="P278" s="960">
        <f t="shared" si="74"/>
        <v>0</v>
      </c>
      <c r="Q278" s="960">
        <f t="shared" si="75"/>
        <v>0</v>
      </c>
      <c r="R278" s="960">
        <f t="shared" si="76"/>
        <v>0</v>
      </c>
      <c r="S278" s="960">
        <f t="shared" si="77"/>
        <v>0</v>
      </c>
      <c r="T278" s="960">
        <f t="shared" si="78"/>
        <v>0</v>
      </c>
      <c r="U278" s="960">
        <f t="shared" si="79"/>
        <v>0</v>
      </c>
      <c r="V278" s="960">
        <f t="shared" si="80"/>
        <v>0</v>
      </c>
      <c r="W278" s="960"/>
      <c r="X278" s="960"/>
      <c r="Y278" s="960"/>
      <c r="Z278" s="960"/>
      <c r="AA278" s="975">
        <f t="shared" si="81"/>
        <v>0</v>
      </c>
      <c r="AB278" s="975">
        <f>VLOOKUP(C278,'[8]MỦ TẠP'!$D$10:$AM$450,36,0)</f>
        <v>0</v>
      </c>
      <c r="AC278" s="975"/>
      <c r="AD278" s="975"/>
      <c r="AE278" s="975">
        <f>VLOOKUP(C278,'[8]MỦ TẠP'!$D$10:$AM$450,36,0)</f>
        <v>0</v>
      </c>
      <c r="AF278" s="975"/>
      <c r="AG278" s="975"/>
      <c r="AH278" s="975">
        <f t="shared" si="82"/>
        <v>0</v>
      </c>
      <c r="AI278" s="975">
        <f>VLOOKUP(C278,'[8]CHẤM CÔNG '!$F$10:$AM$451,33,0)</f>
        <v>0</v>
      </c>
      <c r="AJ278" s="975">
        <f>VLOOKUP(C278,'[8]CHẤM CÔNG '!$F$10:$AM$451,34,0)</f>
        <v>0</v>
      </c>
      <c r="AK278" s="975"/>
      <c r="AL278" s="975"/>
      <c r="AM278" s="975"/>
      <c r="AN278" s="975">
        <f>VLOOKUP(C278,'[8]CHẤM CÔNG '!$F$10:$AN$451,35,0)</f>
        <v>0</v>
      </c>
      <c r="AO278" s="975">
        <f>VLOOKUP(C278,'[8]CHẤM CÔNG '!$F$10:$AR$451,36,0)</f>
        <v>0</v>
      </c>
      <c r="AP278" s="975"/>
      <c r="AQ278" s="975"/>
      <c r="AR278" s="975"/>
      <c r="AS278" s="981"/>
      <c r="AT278" s="982">
        <f>VLOOKUP(C278,'[8]MỦ TẠP'!$D$10:$AO$450,38,0)</f>
        <v>0</v>
      </c>
      <c r="AU278" s="946">
        <v>2045</v>
      </c>
      <c r="AV278" s="976">
        <f t="shared" si="83"/>
        <v>-2045</v>
      </c>
      <c r="AX278" s="944">
        <f t="shared" si="84"/>
        <v>2</v>
      </c>
      <c r="AZ278" s="944">
        <v>1</v>
      </c>
    </row>
    <row r="279" spans="1:52" ht="15.75">
      <c r="A279" s="996">
        <v>60</v>
      </c>
      <c r="B279" s="958" t="str">
        <f>VLOOKUP(C279,'[8]DS CN MOI UP'!$B$10:$C$489,2,0)</f>
        <v>03376</v>
      </c>
      <c r="C279" s="970" t="s">
        <v>183</v>
      </c>
      <c r="D279" s="997" t="s">
        <v>15</v>
      </c>
      <c r="E279" s="960"/>
      <c r="F279" s="960"/>
      <c r="G279" s="960"/>
      <c r="H279" s="960"/>
      <c r="I279" s="960"/>
      <c r="J279" s="960"/>
      <c r="K279" s="960"/>
      <c r="L279" s="960"/>
      <c r="M279" s="960"/>
      <c r="N279" s="960">
        <f t="shared" si="72"/>
        <v>0</v>
      </c>
      <c r="O279" s="960">
        <f t="shared" si="73"/>
        <v>0</v>
      </c>
      <c r="P279" s="960">
        <f t="shared" si="74"/>
        <v>0</v>
      </c>
      <c r="Q279" s="960">
        <f t="shared" si="75"/>
        <v>0</v>
      </c>
      <c r="R279" s="960">
        <f t="shared" si="76"/>
        <v>0</v>
      </c>
      <c r="S279" s="960">
        <f t="shared" si="77"/>
        <v>0</v>
      </c>
      <c r="T279" s="960">
        <f t="shared" si="78"/>
        <v>0</v>
      </c>
      <c r="U279" s="960">
        <f t="shared" si="79"/>
        <v>0</v>
      </c>
      <c r="V279" s="960">
        <f t="shared" si="80"/>
        <v>0</v>
      </c>
      <c r="W279" s="960"/>
      <c r="X279" s="960"/>
      <c r="Y279" s="960"/>
      <c r="Z279" s="960"/>
      <c r="AA279" s="975">
        <f t="shared" si="81"/>
        <v>0</v>
      </c>
      <c r="AB279" s="975">
        <f>VLOOKUP(C279,'[8]MỦ TẠP'!$D$10:$AM$450,36,0)</f>
        <v>0</v>
      </c>
      <c r="AC279" s="975"/>
      <c r="AD279" s="975"/>
      <c r="AE279" s="975">
        <f>VLOOKUP(C279,'[8]MỦ TẠP'!$D$10:$AM$450,36,0)</f>
        <v>0</v>
      </c>
      <c r="AF279" s="975"/>
      <c r="AG279" s="975"/>
      <c r="AH279" s="975">
        <f t="shared" si="82"/>
        <v>0</v>
      </c>
      <c r="AI279" s="975">
        <f>VLOOKUP(C279,'[8]CHẤM CÔNG '!$F$10:$AM$451,33,0)</f>
        <v>0</v>
      </c>
      <c r="AJ279" s="975">
        <f>VLOOKUP(C279,'[8]CHẤM CÔNG '!$F$10:$AM$451,34,0)</f>
        <v>0</v>
      </c>
      <c r="AK279" s="975"/>
      <c r="AL279" s="975"/>
      <c r="AM279" s="975"/>
      <c r="AN279" s="975">
        <f>VLOOKUP(C279,'[8]CHẤM CÔNG '!$F$10:$AN$451,35,0)</f>
        <v>0</v>
      </c>
      <c r="AO279" s="975">
        <f>VLOOKUP(C279,'[8]CHẤM CÔNG '!$F$10:$AR$451,36,0)</f>
        <v>0</v>
      </c>
      <c r="AP279" s="975"/>
      <c r="AQ279" s="975"/>
      <c r="AR279" s="975"/>
      <c r="AS279" s="981"/>
      <c r="AT279" s="982">
        <f>VLOOKUP(C279,'[8]MỦ TẠP'!$D$10:$AO$450,38,0)</f>
        <v>0</v>
      </c>
      <c r="AU279" s="946">
        <v>1973</v>
      </c>
      <c r="AV279" s="976">
        <f t="shared" si="83"/>
        <v>-1973</v>
      </c>
      <c r="AX279" s="944">
        <f t="shared" si="84"/>
        <v>2</v>
      </c>
      <c r="AZ279" s="944">
        <v>1</v>
      </c>
    </row>
    <row r="280" spans="1:52" ht="15.75">
      <c r="A280" s="996">
        <v>61</v>
      </c>
      <c r="B280" s="958" t="str">
        <f>VLOOKUP(C280,'[8]DS CN MOI UP'!$B$10:$C$489,2,0)</f>
        <v>03377</v>
      </c>
      <c r="C280" s="970" t="s">
        <v>184</v>
      </c>
      <c r="D280" s="997" t="s">
        <v>15</v>
      </c>
      <c r="E280" s="960"/>
      <c r="F280" s="960"/>
      <c r="G280" s="960"/>
      <c r="H280" s="960"/>
      <c r="I280" s="960"/>
      <c r="J280" s="960"/>
      <c r="K280" s="960"/>
      <c r="L280" s="960"/>
      <c r="M280" s="960"/>
      <c r="N280" s="960">
        <f t="shared" si="72"/>
        <v>0</v>
      </c>
      <c r="O280" s="960">
        <f t="shared" si="73"/>
        <v>0</v>
      </c>
      <c r="P280" s="960">
        <f t="shared" si="74"/>
        <v>0</v>
      </c>
      <c r="Q280" s="960">
        <f t="shared" si="75"/>
        <v>0</v>
      </c>
      <c r="R280" s="960">
        <f t="shared" si="76"/>
        <v>0</v>
      </c>
      <c r="S280" s="960">
        <f t="shared" si="77"/>
        <v>0</v>
      </c>
      <c r="T280" s="960">
        <f t="shared" si="78"/>
        <v>0</v>
      </c>
      <c r="U280" s="960">
        <f t="shared" si="79"/>
        <v>0</v>
      </c>
      <c r="V280" s="960">
        <f t="shared" si="80"/>
        <v>0</v>
      </c>
      <c r="W280" s="960"/>
      <c r="X280" s="960"/>
      <c r="Y280" s="960"/>
      <c r="Z280" s="960"/>
      <c r="AA280" s="975">
        <f t="shared" si="81"/>
        <v>0</v>
      </c>
      <c r="AB280" s="975">
        <f>VLOOKUP(C280,'[8]MỦ TẠP'!$D$10:$AM$450,36,0)</f>
        <v>0</v>
      </c>
      <c r="AC280" s="975"/>
      <c r="AD280" s="975"/>
      <c r="AE280" s="975">
        <f>VLOOKUP(C280,'[8]MỦ TẠP'!$D$10:$AM$450,36,0)</f>
        <v>0</v>
      </c>
      <c r="AF280" s="975"/>
      <c r="AG280" s="975"/>
      <c r="AH280" s="975">
        <f t="shared" si="82"/>
        <v>0</v>
      </c>
      <c r="AI280" s="975">
        <f>VLOOKUP(C280,'[8]CHẤM CÔNG '!$F$10:$AM$451,33,0)</f>
        <v>0</v>
      </c>
      <c r="AJ280" s="975">
        <f>VLOOKUP(C280,'[8]CHẤM CÔNG '!$F$10:$AM$451,34,0)</f>
        <v>0</v>
      </c>
      <c r="AK280" s="975"/>
      <c r="AL280" s="975"/>
      <c r="AM280" s="975"/>
      <c r="AN280" s="975">
        <f>VLOOKUP(C280,'[8]CHẤM CÔNG '!$F$10:$AN$451,35,0)</f>
        <v>0</v>
      </c>
      <c r="AO280" s="975">
        <f>VLOOKUP(C280,'[8]CHẤM CÔNG '!$F$10:$AR$451,36,0)</f>
        <v>0</v>
      </c>
      <c r="AP280" s="975"/>
      <c r="AQ280" s="975"/>
      <c r="AR280" s="975"/>
      <c r="AS280" s="981"/>
      <c r="AT280" s="982">
        <f>VLOOKUP(C280,'[8]MỦ TẠP'!$D$10:$AO$450,38,0)</f>
        <v>0</v>
      </c>
      <c r="AU280" s="946">
        <v>1648</v>
      </c>
      <c r="AV280" s="976">
        <f t="shared" si="83"/>
        <v>-1648</v>
      </c>
      <c r="AX280" s="944">
        <f t="shared" si="84"/>
        <v>2</v>
      </c>
      <c r="AZ280" s="944">
        <v>1</v>
      </c>
    </row>
    <row r="281" spans="1:52" ht="15.75">
      <c r="A281" s="996">
        <v>62</v>
      </c>
      <c r="B281" s="958" t="str">
        <f>VLOOKUP(C281,'[8]DS CN MOI UP'!$B$10:$C$489,2,0)</f>
        <v>02541</v>
      </c>
      <c r="C281" s="970" t="s">
        <v>185</v>
      </c>
      <c r="D281" s="997" t="s">
        <v>15</v>
      </c>
      <c r="E281" s="960"/>
      <c r="F281" s="960"/>
      <c r="G281" s="960"/>
      <c r="H281" s="960"/>
      <c r="I281" s="960"/>
      <c r="J281" s="960"/>
      <c r="K281" s="960"/>
      <c r="L281" s="960"/>
      <c r="M281" s="960"/>
      <c r="N281" s="960">
        <f t="shared" si="72"/>
        <v>0</v>
      </c>
      <c r="O281" s="960">
        <f t="shared" si="73"/>
        <v>0</v>
      </c>
      <c r="P281" s="960">
        <f t="shared" si="74"/>
        <v>0</v>
      </c>
      <c r="Q281" s="960">
        <f t="shared" si="75"/>
        <v>0</v>
      </c>
      <c r="R281" s="960">
        <f t="shared" si="76"/>
        <v>0</v>
      </c>
      <c r="S281" s="960">
        <f t="shared" si="77"/>
        <v>0</v>
      </c>
      <c r="T281" s="960">
        <f t="shared" si="78"/>
        <v>0</v>
      </c>
      <c r="U281" s="960">
        <f t="shared" si="79"/>
        <v>0</v>
      </c>
      <c r="V281" s="960">
        <f t="shared" si="80"/>
        <v>0</v>
      </c>
      <c r="W281" s="960"/>
      <c r="X281" s="960"/>
      <c r="Y281" s="960"/>
      <c r="Z281" s="960"/>
      <c r="AA281" s="975">
        <f t="shared" si="81"/>
        <v>0</v>
      </c>
      <c r="AB281" s="975">
        <f>VLOOKUP(C281,'[8]MỦ TẠP'!$D$10:$AM$450,36,0)</f>
        <v>0</v>
      </c>
      <c r="AC281" s="975"/>
      <c r="AD281" s="975"/>
      <c r="AE281" s="975">
        <f>VLOOKUP(C281,'[8]MỦ TẠP'!$D$10:$AM$450,36,0)</f>
        <v>0</v>
      </c>
      <c r="AF281" s="975"/>
      <c r="AG281" s="975"/>
      <c r="AH281" s="975">
        <f t="shared" si="82"/>
        <v>0</v>
      </c>
      <c r="AI281" s="975">
        <f>VLOOKUP(C281,'[8]CHẤM CÔNG '!$F$10:$AM$451,33,0)</f>
        <v>0</v>
      </c>
      <c r="AJ281" s="975">
        <f>VLOOKUP(C281,'[8]CHẤM CÔNG '!$F$10:$AM$451,34,0)</f>
        <v>0</v>
      </c>
      <c r="AK281" s="975"/>
      <c r="AL281" s="975"/>
      <c r="AM281" s="975"/>
      <c r="AN281" s="975">
        <f>VLOOKUP(C281,'[8]CHẤM CÔNG '!$F$10:$AN$451,35,0)</f>
        <v>0</v>
      </c>
      <c r="AO281" s="975">
        <f>VLOOKUP(C281,'[8]CHẤM CÔNG '!$F$10:$AR$451,36,0)</f>
        <v>0</v>
      </c>
      <c r="AP281" s="975"/>
      <c r="AQ281" s="975"/>
      <c r="AR281" s="975"/>
      <c r="AS281" s="981"/>
      <c r="AT281" s="982">
        <f>VLOOKUP(C281,'[8]MỦ TẠP'!$D$10:$AO$450,38,0)</f>
        <v>0</v>
      </c>
      <c r="AU281" s="946">
        <v>979</v>
      </c>
      <c r="AV281" s="976">
        <f t="shared" si="83"/>
        <v>-979</v>
      </c>
      <c r="AX281" s="944">
        <f t="shared" si="84"/>
        <v>2</v>
      </c>
      <c r="AZ281" s="944">
        <v>1</v>
      </c>
    </row>
    <row r="282" spans="1:52" ht="15.75">
      <c r="A282" s="996">
        <v>63</v>
      </c>
      <c r="B282" s="958" t="str">
        <f>VLOOKUP(C282,'[8]DS CN MOI UP'!$B$10:$C$489,2,0)</f>
        <v>02690</v>
      </c>
      <c r="C282" s="970" t="s">
        <v>186</v>
      </c>
      <c r="D282" s="997" t="s">
        <v>15</v>
      </c>
      <c r="E282" s="960"/>
      <c r="F282" s="960"/>
      <c r="G282" s="960"/>
      <c r="H282" s="960"/>
      <c r="I282" s="960"/>
      <c r="J282" s="960"/>
      <c r="K282" s="960"/>
      <c r="L282" s="960"/>
      <c r="M282" s="960"/>
      <c r="N282" s="960">
        <f t="shared" si="72"/>
        <v>0</v>
      </c>
      <c r="O282" s="960">
        <f t="shared" si="73"/>
        <v>0</v>
      </c>
      <c r="P282" s="960">
        <f t="shared" si="74"/>
        <v>0</v>
      </c>
      <c r="Q282" s="960">
        <f t="shared" si="75"/>
        <v>0</v>
      </c>
      <c r="R282" s="960">
        <f t="shared" si="76"/>
        <v>0</v>
      </c>
      <c r="S282" s="960">
        <f t="shared" si="77"/>
        <v>0</v>
      </c>
      <c r="T282" s="960">
        <f t="shared" si="78"/>
        <v>0</v>
      </c>
      <c r="U282" s="960">
        <f t="shared" si="79"/>
        <v>0</v>
      </c>
      <c r="V282" s="960">
        <f t="shared" si="80"/>
        <v>0</v>
      </c>
      <c r="W282" s="960"/>
      <c r="X282" s="960"/>
      <c r="Y282" s="960"/>
      <c r="Z282" s="960"/>
      <c r="AA282" s="975">
        <f t="shared" si="81"/>
        <v>0</v>
      </c>
      <c r="AB282" s="975">
        <f>VLOOKUP(C282,'[8]MỦ TẠP'!$D$10:$AM$450,36,0)</f>
        <v>0</v>
      </c>
      <c r="AC282" s="975"/>
      <c r="AD282" s="975"/>
      <c r="AE282" s="975">
        <f>VLOOKUP(C282,'[8]MỦ TẠP'!$D$10:$AM$450,36,0)</f>
        <v>0</v>
      </c>
      <c r="AF282" s="975"/>
      <c r="AG282" s="975"/>
      <c r="AH282" s="975">
        <f t="shared" si="82"/>
        <v>0</v>
      </c>
      <c r="AI282" s="975">
        <f>VLOOKUP(C282,'[8]CHẤM CÔNG '!$F$10:$AM$451,33,0)</f>
        <v>0</v>
      </c>
      <c r="AJ282" s="975">
        <f>VLOOKUP(C282,'[8]CHẤM CÔNG '!$F$10:$AM$451,34,0)</f>
        <v>0</v>
      </c>
      <c r="AK282" s="975"/>
      <c r="AL282" s="975"/>
      <c r="AM282" s="975"/>
      <c r="AN282" s="975">
        <f>VLOOKUP(C282,'[8]CHẤM CÔNG '!$F$10:$AN$451,35,0)</f>
        <v>0</v>
      </c>
      <c r="AO282" s="975">
        <f>VLOOKUP(C282,'[8]CHẤM CÔNG '!$F$10:$AR$451,36,0)</f>
        <v>0</v>
      </c>
      <c r="AP282" s="975"/>
      <c r="AQ282" s="975"/>
      <c r="AR282" s="975"/>
      <c r="AS282" s="981"/>
      <c r="AT282" s="982">
        <f>VLOOKUP(C282,'[8]MỦ TẠP'!$D$10:$AO$450,38,0)</f>
        <v>0</v>
      </c>
      <c r="AU282" s="946">
        <v>1455</v>
      </c>
      <c r="AV282" s="976">
        <f t="shared" si="83"/>
        <v>-1455</v>
      </c>
      <c r="AX282" s="944">
        <f t="shared" si="84"/>
        <v>2</v>
      </c>
      <c r="AZ282" s="944">
        <v>1</v>
      </c>
    </row>
    <row r="283" spans="1:52" ht="15.75">
      <c r="A283" s="996">
        <v>64</v>
      </c>
      <c r="B283" s="958" t="str">
        <f>VLOOKUP(C283,'[8]DS CN MOI UP'!$B$10:$C$489,2,0)</f>
        <v>03378</v>
      </c>
      <c r="C283" s="970" t="s">
        <v>187</v>
      </c>
      <c r="D283" s="997" t="s">
        <v>15</v>
      </c>
      <c r="E283" s="960"/>
      <c r="F283" s="960"/>
      <c r="G283" s="960"/>
      <c r="H283" s="960"/>
      <c r="I283" s="960"/>
      <c r="J283" s="960"/>
      <c r="K283" s="960"/>
      <c r="L283" s="960"/>
      <c r="M283" s="960"/>
      <c r="N283" s="960">
        <f t="shared" si="72"/>
        <v>0</v>
      </c>
      <c r="O283" s="960">
        <f t="shared" si="73"/>
        <v>0</v>
      </c>
      <c r="P283" s="960">
        <f t="shared" si="74"/>
        <v>0</v>
      </c>
      <c r="Q283" s="960">
        <f t="shared" si="75"/>
        <v>0</v>
      </c>
      <c r="R283" s="960">
        <f t="shared" si="76"/>
        <v>0</v>
      </c>
      <c r="S283" s="960">
        <f t="shared" si="77"/>
        <v>0</v>
      </c>
      <c r="T283" s="960">
        <f t="shared" si="78"/>
        <v>0</v>
      </c>
      <c r="U283" s="960">
        <f t="shared" si="79"/>
        <v>0</v>
      </c>
      <c r="V283" s="960">
        <f t="shared" si="80"/>
        <v>0</v>
      </c>
      <c r="W283" s="960"/>
      <c r="X283" s="960"/>
      <c r="Y283" s="960"/>
      <c r="Z283" s="960"/>
      <c r="AA283" s="975">
        <f t="shared" si="81"/>
        <v>0</v>
      </c>
      <c r="AB283" s="975">
        <f>VLOOKUP(C283,'[8]MỦ TẠP'!$D$10:$AM$450,36,0)</f>
        <v>0</v>
      </c>
      <c r="AC283" s="975"/>
      <c r="AD283" s="975"/>
      <c r="AE283" s="975">
        <f>VLOOKUP(C283,'[8]MỦ TẠP'!$D$10:$AM$450,36,0)</f>
        <v>0</v>
      </c>
      <c r="AF283" s="975"/>
      <c r="AG283" s="975"/>
      <c r="AH283" s="975">
        <f t="shared" si="82"/>
        <v>0</v>
      </c>
      <c r="AI283" s="975">
        <f>VLOOKUP(C283,'[8]CHẤM CÔNG '!$F$10:$AM$451,33,0)</f>
        <v>0</v>
      </c>
      <c r="AJ283" s="975">
        <f>VLOOKUP(C283,'[8]CHẤM CÔNG '!$F$10:$AM$451,34,0)</f>
        <v>0</v>
      </c>
      <c r="AK283" s="975"/>
      <c r="AL283" s="975"/>
      <c r="AM283" s="975"/>
      <c r="AN283" s="975">
        <f>VLOOKUP(C283,'[8]CHẤM CÔNG '!$F$10:$AN$451,35,0)</f>
        <v>0</v>
      </c>
      <c r="AO283" s="975">
        <f>VLOOKUP(C283,'[8]CHẤM CÔNG '!$F$10:$AR$451,36,0)</f>
        <v>0</v>
      </c>
      <c r="AP283" s="975"/>
      <c r="AQ283" s="975"/>
      <c r="AR283" s="975"/>
      <c r="AS283" s="981"/>
      <c r="AT283" s="982">
        <f>VLOOKUP(C283,'[8]MỦ TẠP'!$D$10:$AO$450,38,0)</f>
        <v>0</v>
      </c>
      <c r="AU283" s="946">
        <v>1428</v>
      </c>
      <c r="AV283" s="976">
        <f t="shared" si="83"/>
        <v>-1428</v>
      </c>
      <c r="AX283" s="944">
        <f t="shared" si="84"/>
        <v>2</v>
      </c>
      <c r="AZ283" s="944">
        <v>1</v>
      </c>
    </row>
    <row r="284" spans="1:52" ht="15.75">
      <c r="A284" s="996">
        <v>65</v>
      </c>
      <c r="B284" s="958" t="str">
        <f>VLOOKUP(C284,'[8]DS CN MOI UP'!$B$10:$C$489,2,0)</f>
        <v>02520</v>
      </c>
      <c r="C284" s="970" t="s">
        <v>188</v>
      </c>
      <c r="D284" s="997" t="s">
        <v>15</v>
      </c>
      <c r="E284" s="960"/>
      <c r="F284" s="960"/>
      <c r="G284" s="960"/>
      <c r="H284" s="960"/>
      <c r="I284" s="960"/>
      <c r="J284" s="960"/>
      <c r="K284" s="960"/>
      <c r="L284" s="960"/>
      <c r="M284" s="960"/>
      <c r="N284" s="960">
        <f t="shared" ref="N284:N301" si="85">E284/$N$8</f>
        <v>0</v>
      </c>
      <c r="O284" s="960">
        <f t="shared" ref="O284:O301" si="86">F284/$O$8</f>
        <v>0</v>
      </c>
      <c r="P284" s="960">
        <f t="shared" ref="P284:P301" si="87">G284/$P$8</f>
        <v>0</v>
      </c>
      <c r="Q284" s="960">
        <f t="shared" ref="Q284:Q301" si="88">H284/$Q$8</f>
        <v>0</v>
      </c>
      <c r="R284" s="960">
        <f t="shared" ref="R284:R301" si="89">I284/$R$8</f>
        <v>0</v>
      </c>
      <c r="S284" s="960">
        <f t="shared" ref="S284:S301" si="90">J284/$S$8</f>
        <v>0</v>
      </c>
      <c r="T284" s="960">
        <f t="shared" ref="T284:T301" si="91">K284/$T$8</f>
        <v>0</v>
      </c>
      <c r="U284" s="960">
        <f t="shared" ref="U284:U301" si="92">L284/$U$8</f>
        <v>0</v>
      </c>
      <c r="V284" s="960">
        <f t="shared" ref="V284:V301" si="93">M284/$V$8</f>
        <v>0</v>
      </c>
      <c r="W284" s="960"/>
      <c r="X284" s="960"/>
      <c r="Y284" s="960"/>
      <c r="Z284" s="960"/>
      <c r="AA284" s="975">
        <f t="shared" ref="AA284:AA301" si="94">SUM(N284:Z284)</f>
        <v>0</v>
      </c>
      <c r="AB284" s="975">
        <f>VLOOKUP(C284,'[8]MỦ TẠP'!$D$10:$AM$450,36,0)</f>
        <v>0</v>
      </c>
      <c r="AC284" s="975"/>
      <c r="AD284" s="975"/>
      <c r="AE284" s="975">
        <f>VLOOKUP(C284,'[8]MỦ TẠP'!$D$10:$AM$450,36,0)</f>
        <v>0</v>
      </c>
      <c r="AF284" s="975"/>
      <c r="AG284" s="975"/>
      <c r="AH284" s="975">
        <f t="shared" ref="AH284:AH301" si="95">AE284*$AV$16+AF284*$AV$10+$AV$11*AG284</f>
        <v>0</v>
      </c>
      <c r="AI284" s="975">
        <f>VLOOKUP(C284,'[8]CHẤM CÔNG '!$F$10:$AM$451,33,0)</f>
        <v>0</v>
      </c>
      <c r="AJ284" s="975">
        <f>VLOOKUP(C284,'[8]CHẤM CÔNG '!$F$10:$AM$451,34,0)</f>
        <v>0</v>
      </c>
      <c r="AK284" s="975"/>
      <c r="AL284" s="975"/>
      <c r="AM284" s="975"/>
      <c r="AN284" s="975">
        <f>VLOOKUP(C284,'[8]CHẤM CÔNG '!$F$10:$AN$451,35,0)</f>
        <v>0</v>
      </c>
      <c r="AO284" s="975">
        <f>VLOOKUP(C284,'[8]CHẤM CÔNG '!$F$10:$AR$451,36,0)</f>
        <v>0</v>
      </c>
      <c r="AP284" s="975"/>
      <c r="AQ284" s="975"/>
      <c r="AR284" s="975"/>
      <c r="AS284" s="981"/>
      <c r="AT284" s="982">
        <f>VLOOKUP(C284,'[8]MỦ TẠP'!$D$10:$AO$450,38,0)</f>
        <v>0</v>
      </c>
      <c r="AU284" s="946">
        <v>1508</v>
      </c>
      <c r="AV284" s="976">
        <f t="shared" ref="AV284:AV301" si="96">+AE284-AU284</f>
        <v>-1508</v>
      </c>
      <c r="AX284" s="944">
        <f t="shared" si="84"/>
        <v>2</v>
      </c>
      <c r="AZ284" s="944">
        <v>1</v>
      </c>
    </row>
    <row r="285" spans="1:52" ht="15.75">
      <c r="A285" s="996">
        <v>66</v>
      </c>
      <c r="B285" s="958" t="str">
        <f>VLOOKUP(C285,'[8]DS CN MOI UP'!$B$10:$C$489,2,0)</f>
        <v>02543</v>
      </c>
      <c r="C285" s="970" t="s">
        <v>189</v>
      </c>
      <c r="D285" s="997" t="s">
        <v>15</v>
      </c>
      <c r="E285" s="960"/>
      <c r="F285" s="960"/>
      <c r="G285" s="960"/>
      <c r="H285" s="960"/>
      <c r="I285" s="960"/>
      <c r="J285" s="960"/>
      <c r="K285" s="960"/>
      <c r="L285" s="960"/>
      <c r="M285" s="960"/>
      <c r="N285" s="960">
        <f t="shared" si="85"/>
        <v>0</v>
      </c>
      <c r="O285" s="960">
        <f t="shared" si="86"/>
        <v>0</v>
      </c>
      <c r="P285" s="960">
        <f t="shared" si="87"/>
        <v>0</v>
      </c>
      <c r="Q285" s="960">
        <f t="shared" si="88"/>
        <v>0</v>
      </c>
      <c r="R285" s="960">
        <f t="shared" si="89"/>
        <v>0</v>
      </c>
      <c r="S285" s="960">
        <f t="shared" si="90"/>
        <v>0</v>
      </c>
      <c r="T285" s="960">
        <f t="shared" si="91"/>
        <v>0</v>
      </c>
      <c r="U285" s="960">
        <f t="shared" si="92"/>
        <v>0</v>
      </c>
      <c r="V285" s="960">
        <f t="shared" si="93"/>
        <v>0</v>
      </c>
      <c r="W285" s="960"/>
      <c r="X285" s="960"/>
      <c r="Y285" s="960"/>
      <c r="Z285" s="960"/>
      <c r="AA285" s="975">
        <f t="shared" si="94"/>
        <v>0</v>
      </c>
      <c r="AB285" s="975">
        <f>VLOOKUP(C285,'[8]MỦ TẠP'!$D$10:$AM$450,36,0)</f>
        <v>0</v>
      </c>
      <c r="AC285" s="975"/>
      <c r="AD285" s="975"/>
      <c r="AE285" s="975">
        <f>VLOOKUP(C285,'[8]MỦ TẠP'!$D$10:$AM$450,36,0)</f>
        <v>0</v>
      </c>
      <c r="AF285" s="975"/>
      <c r="AG285" s="975"/>
      <c r="AH285" s="975">
        <f t="shared" si="95"/>
        <v>0</v>
      </c>
      <c r="AI285" s="975">
        <f>VLOOKUP(C285,'[8]CHẤM CÔNG '!$F$10:$AM$451,33,0)</f>
        <v>0</v>
      </c>
      <c r="AJ285" s="975">
        <f>VLOOKUP(C285,'[8]CHẤM CÔNG '!$F$10:$AM$451,34,0)</f>
        <v>0</v>
      </c>
      <c r="AK285" s="975"/>
      <c r="AL285" s="975"/>
      <c r="AM285" s="975"/>
      <c r="AN285" s="975">
        <f>VLOOKUP(C285,'[8]CHẤM CÔNG '!$F$10:$AN$451,35,0)</f>
        <v>0</v>
      </c>
      <c r="AO285" s="975">
        <f>VLOOKUP(C285,'[8]CHẤM CÔNG '!$F$10:$AR$451,36,0)</f>
        <v>0</v>
      </c>
      <c r="AP285" s="975"/>
      <c r="AQ285" s="975"/>
      <c r="AR285" s="975"/>
      <c r="AS285" s="981"/>
      <c r="AT285" s="982">
        <f>VLOOKUP(C285,'[8]MỦ TẠP'!$D$10:$AO$450,38,0)</f>
        <v>0</v>
      </c>
      <c r="AU285" s="946">
        <v>1464</v>
      </c>
      <c r="AV285" s="976">
        <f t="shared" si="96"/>
        <v>-1464</v>
      </c>
      <c r="AX285" s="944">
        <f t="shared" ref="AX285:AX301" si="97">3-AZ285</f>
        <v>2</v>
      </c>
      <c r="AZ285" s="944">
        <v>1</v>
      </c>
    </row>
    <row r="286" spans="1:52" ht="15.75">
      <c r="A286" s="996">
        <v>67</v>
      </c>
      <c r="B286" s="958" t="str">
        <f>VLOOKUP(C286,'[8]DS CN MOI UP'!$B$10:$C$489,2,0)</f>
        <v>03379</v>
      </c>
      <c r="C286" s="970" t="s">
        <v>190</v>
      </c>
      <c r="D286" s="997" t="s">
        <v>15</v>
      </c>
      <c r="E286" s="960"/>
      <c r="F286" s="960"/>
      <c r="G286" s="960"/>
      <c r="H286" s="960"/>
      <c r="I286" s="960"/>
      <c r="J286" s="960"/>
      <c r="K286" s="960"/>
      <c r="L286" s="960"/>
      <c r="M286" s="960"/>
      <c r="N286" s="960">
        <f t="shared" si="85"/>
        <v>0</v>
      </c>
      <c r="O286" s="960">
        <f t="shared" si="86"/>
        <v>0</v>
      </c>
      <c r="P286" s="960">
        <f t="shared" si="87"/>
        <v>0</v>
      </c>
      <c r="Q286" s="960">
        <f t="shared" si="88"/>
        <v>0</v>
      </c>
      <c r="R286" s="960">
        <f t="shared" si="89"/>
        <v>0</v>
      </c>
      <c r="S286" s="960">
        <f t="shared" si="90"/>
        <v>0</v>
      </c>
      <c r="T286" s="960">
        <f t="shared" si="91"/>
        <v>0</v>
      </c>
      <c r="U286" s="960">
        <f t="shared" si="92"/>
        <v>0</v>
      </c>
      <c r="V286" s="960">
        <f t="shared" si="93"/>
        <v>0</v>
      </c>
      <c r="W286" s="960"/>
      <c r="X286" s="960"/>
      <c r="Y286" s="960"/>
      <c r="Z286" s="960"/>
      <c r="AA286" s="975">
        <f t="shared" si="94"/>
        <v>0</v>
      </c>
      <c r="AB286" s="975">
        <f>VLOOKUP(C286,'[8]MỦ TẠP'!$D$10:$AM$450,36,0)</f>
        <v>0</v>
      </c>
      <c r="AC286" s="975"/>
      <c r="AD286" s="975"/>
      <c r="AE286" s="975">
        <f>VLOOKUP(C286,'[8]MỦ TẠP'!$D$10:$AM$450,36,0)</f>
        <v>0</v>
      </c>
      <c r="AF286" s="975"/>
      <c r="AG286" s="975"/>
      <c r="AH286" s="975">
        <f t="shared" si="95"/>
        <v>0</v>
      </c>
      <c r="AI286" s="975">
        <f>VLOOKUP(C286,'[8]CHẤM CÔNG '!$F$10:$AM$451,33,0)</f>
        <v>0</v>
      </c>
      <c r="AJ286" s="975">
        <f>VLOOKUP(C286,'[8]CHẤM CÔNG '!$F$10:$AM$451,34,0)</f>
        <v>0</v>
      </c>
      <c r="AK286" s="975"/>
      <c r="AL286" s="975"/>
      <c r="AM286" s="975"/>
      <c r="AN286" s="975">
        <f>VLOOKUP(C286,'[8]CHẤM CÔNG '!$F$10:$AN$451,35,0)</f>
        <v>0</v>
      </c>
      <c r="AO286" s="975">
        <f>VLOOKUP(C286,'[8]CHẤM CÔNG '!$F$10:$AR$451,36,0)</f>
        <v>0</v>
      </c>
      <c r="AP286" s="975"/>
      <c r="AQ286" s="975"/>
      <c r="AR286" s="975"/>
      <c r="AS286" s="981"/>
      <c r="AT286" s="982">
        <f>VLOOKUP(C286,'[8]MỦ TẠP'!$D$10:$AO$450,38,0)</f>
        <v>0</v>
      </c>
      <c r="AU286" s="946">
        <v>1416</v>
      </c>
      <c r="AV286" s="976">
        <f t="shared" si="96"/>
        <v>-1416</v>
      </c>
      <c r="AX286" s="944">
        <f t="shared" si="97"/>
        <v>2</v>
      </c>
      <c r="AZ286" s="944">
        <v>1</v>
      </c>
    </row>
    <row r="287" spans="1:52" ht="15.75">
      <c r="A287" s="996">
        <v>68</v>
      </c>
      <c r="B287" s="958" t="str">
        <f>VLOOKUP(C287,'[8]DS CN MOI UP'!$B$10:$C$489,2,0)</f>
        <v>03354</v>
      </c>
      <c r="C287" s="970" t="s">
        <v>191</v>
      </c>
      <c r="D287" s="997" t="s">
        <v>15</v>
      </c>
      <c r="E287" s="960"/>
      <c r="F287" s="960"/>
      <c r="G287" s="960"/>
      <c r="H287" s="960"/>
      <c r="I287" s="960"/>
      <c r="J287" s="960"/>
      <c r="K287" s="960"/>
      <c r="L287" s="960"/>
      <c r="M287" s="960"/>
      <c r="N287" s="960">
        <f t="shared" si="85"/>
        <v>0</v>
      </c>
      <c r="O287" s="960">
        <f t="shared" si="86"/>
        <v>0</v>
      </c>
      <c r="P287" s="960">
        <f t="shared" si="87"/>
        <v>0</v>
      </c>
      <c r="Q287" s="960">
        <f t="shared" si="88"/>
        <v>0</v>
      </c>
      <c r="R287" s="960">
        <f t="shared" si="89"/>
        <v>0</v>
      </c>
      <c r="S287" s="960">
        <f t="shared" si="90"/>
        <v>0</v>
      </c>
      <c r="T287" s="960">
        <f t="shared" si="91"/>
        <v>0</v>
      </c>
      <c r="U287" s="960">
        <f t="shared" si="92"/>
        <v>0</v>
      </c>
      <c r="V287" s="960">
        <f t="shared" si="93"/>
        <v>0</v>
      </c>
      <c r="W287" s="960"/>
      <c r="X287" s="960"/>
      <c r="Y287" s="960"/>
      <c r="Z287" s="960"/>
      <c r="AA287" s="975">
        <f t="shared" si="94"/>
        <v>0</v>
      </c>
      <c r="AB287" s="975">
        <f>VLOOKUP(C287,'[8]MỦ TẠP'!$D$10:$AM$450,36,0)</f>
        <v>0</v>
      </c>
      <c r="AC287" s="975"/>
      <c r="AD287" s="975"/>
      <c r="AE287" s="975">
        <f>VLOOKUP(C287,'[8]MỦ TẠP'!$D$10:$AM$450,36,0)</f>
        <v>0</v>
      </c>
      <c r="AF287" s="975"/>
      <c r="AG287" s="975"/>
      <c r="AH287" s="975">
        <f t="shared" si="95"/>
        <v>0</v>
      </c>
      <c r="AI287" s="975">
        <f>VLOOKUP(C287,'[8]CHẤM CÔNG '!$F$10:$AM$451,33,0)</f>
        <v>0</v>
      </c>
      <c r="AJ287" s="975">
        <f>VLOOKUP(C287,'[8]CHẤM CÔNG '!$F$10:$AM$451,34,0)</f>
        <v>0</v>
      </c>
      <c r="AK287" s="975"/>
      <c r="AL287" s="975"/>
      <c r="AM287" s="975"/>
      <c r="AN287" s="975">
        <f>VLOOKUP(C287,'[8]CHẤM CÔNG '!$F$10:$AN$451,35,0)</f>
        <v>0</v>
      </c>
      <c r="AO287" s="975">
        <f>VLOOKUP(C287,'[8]CHẤM CÔNG '!$F$10:$AR$451,36,0)</f>
        <v>0</v>
      </c>
      <c r="AP287" s="975"/>
      <c r="AQ287" s="975"/>
      <c r="AR287" s="975"/>
      <c r="AS287" s="981"/>
      <c r="AT287" s="982">
        <f>VLOOKUP(C287,'[8]MỦ TẠP'!$D$10:$AO$450,38,0)</f>
        <v>0</v>
      </c>
      <c r="AU287" s="946">
        <v>1417</v>
      </c>
      <c r="AV287" s="976">
        <f t="shared" si="96"/>
        <v>-1417</v>
      </c>
      <c r="AX287" s="944">
        <f t="shared" si="97"/>
        <v>2</v>
      </c>
      <c r="AZ287" s="944">
        <v>1</v>
      </c>
    </row>
    <row r="288" spans="1:52" ht="15.75">
      <c r="A288" s="996">
        <v>69</v>
      </c>
      <c r="B288" s="958" t="e">
        <f>VLOOKUP(C288,'[8]DS CN MOI UP'!$B$10:$C$489,2,0)</f>
        <v>#N/A</v>
      </c>
      <c r="C288" s="970" t="s">
        <v>192</v>
      </c>
      <c r="D288" s="997" t="s">
        <v>15</v>
      </c>
      <c r="E288" s="960"/>
      <c r="F288" s="960"/>
      <c r="G288" s="960"/>
      <c r="H288" s="960"/>
      <c r="I288" s="960"/>
      <c r="J288" s="960"/>
      <c r="K288" s="960"/>
      <c r="L288" s="960"/>
      <c r="M288" s="960"/>
      <c r="N288" s="960">
        <f t="shared" si="85"/>
        <v>0</v>
      </c>
      <c r="O288" s="960">
        <f t="shared" si="86"/>
        <v>0</v>
      </c>
      <c r="P288" s="960">
        <f t="shared" si="87"/>
        <v>0</v>
      </c>
      <c r="Q288" s="960">
        <f t="shared" si="88"/>
        <v>0</v>
      </c>
      <c r="R288" s="960">
        <f t="shared" si="89"/>
        <v>0</v>
      </c>
      <c r="S288" s="960">
        <f t="shared" si="90"/>
        <v>0</v>
      </c>
      <c r="T288" s="960">
        <f t="shared" si="91"/>
        <v>0</v>
      </c>
      <c r="U288" s="960">
        <f t="shared" si="92"/>
        <v>0</v>
      </c>
      <c r="V288" s="960">
        <f t="shared" si="93"/>
        <v>0</v>
      </c>
      <c r="W288" s="960"/>
      <c r="X288" s="960"/>
      <c r="Y288" s="960"/>
      <c r="Z288" s="960"/>
      <c r="AA288" s="975">
        <f t="shared" si="94"/>
        <v>0</v>
      </c>
      <c r="AB288" s="975">
        <f>VLOOKUP(C288,'[8]MỦ TẠP'!$D$10:$AM$450,36,0)</f>
        <v>0</v>
      </c>
      <c r="AC288" s="975"/>
      <c r="AD288" s="975"/>
      <c r="AE288" s="975">
        <f>VLOOKUP(C288,'[8]MỦ TẠP'!$D$10:$AM$450,36,0)</f>
        <v>0</v>
      </c>
      <c r="AF288" s="975"/>
      <c r="AG288" s="975"/>
      <c r="AH288" s="975">
        <f t="shared" si="95"/>
        <v>0</v>
      </c>
      <c r="AI288" s="975">
        <f>VLOOKUP(C288,'[8]CHẤM CÔNG '!$F$10:$AM$451,33,0)</f>
        <v>0</v>
      </c>
      <c r="AJ288" s="975">
        <f>VLOOKUP(C288,'[8]CHẤM CÔNG '!$F$10:$AM$451,34,0)</f>
        <v>0</v>
      </c>
      <c r="AK288" s="975"/>
      <c r="AL288" s="975"/>
      <c r="AM288" s="975"/>
      <c r="AN288" s="975">
        <f>VLOOKUP(C288,'[8]CHẤM CÔNG '!$F$10:$AN$451,35,0)</f>
        <v>0</v>
      </c>
      <c r="AO288" s="975">
        <f>VLOOKUP(C288,'[8]CHẤM CÔNG '!$F$10:$AR$451,36,0)</f>
        <v>0</v>
      </c>
      <c r="AP288" s="975"/>
      <c r="AQ288" s="975"/>
      <c r="AR288" s="975"/>
      <c r="AS288" s="981"/>
      <c r="AT288" s="982">
        <f>VLOOKUP(C288,'[8]MỦ TẠP'!$D$10:$AO$450,38,0)</f>
        <v>0</v>
      </c>
      <c r="AU288" s="946">
        <v>1442</v>
      </c>
      <c r="AV288" s="976">
        <f t="shared" si="96"/>
        <v>-1442</v>
      </c>
      <c r="AX288" s="944">
        <f t="shared" si="97"/>
        <v>2</v>
      </c>
      <c r="AZ288" s="944">
        <v>1</v>
      </c>
    </row>
    <row r="289" spans="1:52" ht="15.75">
      <c r="A289" s="996">
        <v>70</v>
      </c>
      <c r="B289" s="958" t="str">
        <f>VLOOKUP(C289,'[8]DS CN MOI UP'!$B$10:$C$489,2,0)</f>
        <v>02529</v>
      </c>
      <c r="C289" s="970" t="s">
        <v>193</v>
      </c>
      <c r="D289" s="997" t="s">
        <v>15</v>
      </c>
      <c r="E289" s="960"/>
      <c r="F289" s="960"/>
      <c r="G289" s="960"/>
      <c r="H289" s="960"/>
      <c r="I289" s="960"/>
      <c r="J289" s="960"/>
      <c r="K289" s="960"/>
      <c r="L289" s="960"/>
      <c r="M289" s="960"/>
      <c r="N289" s="960">
        <f t="shared" si="85"/>
        <v>0</v>
      </c>
      <c r="O289" s="960">
        <f t="shared" si="86"/>
        <v>0</v>
      </c>
      <c r="P289" s="960">
        <f t="shared" si="87"/>
        <v>0</v>
      </c>
      <c r="Q289" s="960">
        <f t="shared" si="88"/>
        <v>0</v>
      </c>
      <c r="R289" s="960">
        <f t="shared" si="89"/>
        <v>0</v>
      </c>
      <c r="S289" s="960">
        <f t="shared" si="90"/>
        <v>0</v>
      </c>
      <c r="T289" s="960">
        <f t="shared" si="91"/>
        <v>0</v>
      </c>
      <c r="U289" s="960">
        <f t="shared" si="92"/>
        <v>0</v>
      </c>
      <c r="V289" s="960">
        <f t="shared" si="93"/>
        <v>0</v>
      </c>
      <c r="W289" s="960"/>
      <c r="X289" s="960"/>
      <c r="Y289" s="960"/>
      <c r="Z289" s="960"/>
      <c r="AA289" s="975">
        <f t="shared" si="94"/>
        <v>0</v>
      </c>
      <c r="AB289" s="975">
        <f>VLOOKUP(C289,'[8]MỦ TẠP'!$D$10:$AM$450,36,0)</f>
        <v>0</v>
      </c>
      <c r="AC289" s="975"/>
      <c r="AD289" s="975"/>
      <c r="AE289" s="975">
        <f>VLOOKUP(C289,'[8]MỦ TẠP'!$D$10:$AM$450,36,0)</f>
        <v>0</v>
      </c>
      <c r="AF289" s="975"/>
      <c r="AG289" s="975"/>
      <c r="AH289" s="975">
        <f t="shared" si="95"/>
        <v>0</v>
      </c>
      <c r="AI289" s="975">
        <f>VLOOKUP(C289,'[8]CHẤM CÔNG '!$F$10:$AM$451,33,0)</f>
        <v>0</v>
      </c>
      <c r="AJ289" s="975">
        <f>VLOOKUP(C289,'[8]CHẤM CÔNG '!$F$10:$AM$451,34,0)</f>
        <v>0</v>
      </c>
      <c r="AK289" s="975"/>
      <c r="AL289" s="975"/>
      <c r="AM289" s="975"/>
      <c r="AN289" s="975">
        <f>VLOOKUP(C289,'[8]CHẤM CÔNG '!$F$10:$AN$451,35,0)</f>
        <v>0</v>
      </c>
      <c r="AO289" s="975">
        <f>VLOOKUP(C289,'[8]CHẤM CÔNG '!$F$10:$AR$451,36,0)</f>
        <v>0</v>
      </c>
      <c r="AP289" s="975"/>
      <c r="AQ289" s="975"/>
      <c r="AR289" s="975"/>
      <c r="AS289" s="981"/>
      <c r="AT289" s="982">
        <f>VLOOKUP(C289,'[8]MỦ TẠP'!$D$10:$AO$450,38,0)</f>
        <v>0</v>
      </c>
      <c r="AU289" s="946">
        <v>1476</v>
      </c>
      <c r="AV289" s="976">
        <f t="shared" si="96"/>
        <v>-1476</v>
      </c>
      <c r="AX289" s="944">
        <f t="shared" si="97"/>
        <v>2</v>
      </c>
      <c r="AZ289" s="944">
        <v>1</v>
      </c>
    </row>
    <row r="290" spans="1:52" ht="15.75">
      <c r="A290" s="996">
        <v>71</v>
      </c>
      <c r="B290" s="958" t="str">
        <f>VLOOKUP(C290,'[8]DS CN MOI UP'!$B$10:$C$489,2,0)</f>
        <v>02531</v>
      </c>
      <c r="C290" s="970" t="s">
        <v>194</v>
      </c>
      <c r="D290" s="997" t="s">
        <v>15</v>
      </c>
      <c r="E290" s="960"/>
      <c r="F290" s="960"/>
      <c r="G290" s="960"/>
      <c r="H290" s="960"/>
      <c r="I290" s="960"/>
      <c r="J290" s="960"/>
      <c r="K290" s="960"/>
      <c r="L290" s="960"/>
      <c r="M290" s="960"/>
      <c r="N290" s="960">
        <f t="shared" si="85"/>
        <v>0</v>
      </c>
      <c r="O290" s="960">
        <f t="shared" si="86"/>
        <v>0</v>
      </c>
      <c r="P290" s="960">
        <f t="shared" si="87"/>
        <v>0</v>
      </c>
      <c r="Q290" s="960">
        <f t="shared" si="88"/>
        <v>0</v>
      </c>
      <c r="R290" s="960">
        <f t="shared" si="89"/>
        <v>0</v>
      </c>
      <c r="S290" s="960">
        <f t="shared" si="90"/>
        <v>0</v>
      </c>
      <c r="T290" s="960">
        <f t="shared" si="91"/>
        <v>0</v>
      </c>
      <c r="U290" s="960">
        <f t="shared" si="92"/>
        <v>0</v>
      </c>
      <c r="V290" s="960">
        <f t="shared" si="93"/>
        <v>0</v>
      </c>
      <c r="W290" s="960"/>
      <c r="X290" s="960"/>
      <c r="Y290" s="960"/>
      <c r="Z290" s="960"/>
      <c r="AA290" s="975">
        <f t="shared" si="94"/>
        <v>0</v>
      </c>
      <c r="AB290" s="975">
        <f>VLOOKUP(C290,'[8]MỦ TẠP'!$D$10:$AM$450,36,0)</f>
        <v>0</v>
      </c>
      <c r="AC290" s="975"/>
      <c r="AD290" s="975"/>
      <c r="AE290" s="975">
        <f>VLOOKUP(C290,'[8]MỦ TẠP'!$D$10:$AM$450,36,0)</f>
        <v>0</v>
      </c>
      <c r="AF290" s="975"/>
      <c r="AG290" s="975"/>
      <c r="AH290" s="975">
        <f t="shared" si="95"/>
        <v>0</v>
      </c>
      <c r="AI290" s="975">
        <f>VLOOKUP(C290,'[8]CHẤM CÔNG '!$F$10:$AM$451,33,0)</f>
        <v>0</v>
      </c>
      <c r="AJ290" s="975">
        <f>VLOOKUP(C290,'[8]CHẤM CÔNG '!$F$10:$AM$451,34,0)</f>
        <v>0</v>
      </c>
      <c r="AK290" s="975"/>
      <c r="AL290" s="975"/>
      <c r="AM290" s="975"/>
      <c r="AN290" s="975">
        <f>VLOOKUP(C290,'[8]CHẤM CÔNG '!$F$10:$AN$451,35,0)</f>
        <v>0</v>
      </c>
      <c r="AO290" s="975">
        <f>VLOOKUP(C290,'[8]CHẤM CÔNG '!$F$10:$AR$451,36,0)</f>
        <v>0</v>
      </c>
      <c r="AP290" s="975"/>
      <c r="AQ290" s="975"/>
      <c r="AR290" s="975"/>
      <c r="AS290" s="981"/>
      <c r="AT290" s="982">
        <f>VLOOKUP(C290,'[8]MỦ TẠP'!$D$10:$AO$450,38,0)</f>
        <v>0</v>
      </c>
      <c r="AU290" s="946">
        <v>1366</v>
      </c>
      <c r="AV290" s="976">
        <f t="shared" si="96"/>
        <v>-1366</v>
      </c>
      <c r="AX290" s="944">
        <f t="shared" si="97"/>
        <v>2</v>
      </c>
      <c r="AZ290" s="944">
        <v>1</v>
      </c>
    </row>
    <row r="291" spans="1:52" ht="15.75">
      <c r="A291" s="996">
        <v>72</v>
      </c>
      <c r="B291" s="958" t="str">
        <f>VLOOKUP(C291,'[8]DS CN MOI UP'!$B$10:$C$489,2,0)</f>
        <v>02539</v>
      </c>
      <c r="C291" s="970" t="s">
        <v>195</v>
      </c>
      <c r="D291" s="997" t="s">
        <v>15</v>
      </c>
      <c r="E291" s="960"/>
      <c r="F291" s="960"/>
      <c r="G291" s="960"/>
      <c r="H291" s="960"/>
      <c r="I291" s="960"/>
      <c r="J291" s="960"/>
      <c r="K291" s="960"/>
      <c r="L291" s="960"/>
      <c r="M291" s="960"/>
      <c r="N291" s="960">
        <f t="shared" si="85"/>
        <v>0</v>
      </c>
      <c r="O291" s="960">
        <f t="shared" si="86"/>
        <v>0</v>
      </c>
      <c r="P291" s="960">
        <f t="shared" si="87"/>
        <v>0</v>
      </c>
      <c r="Q291" s="960">
        <f t="shared" si="88"/>
        <v>0</v>
      </c>
      <c r="R291" s="960">
        <f t="shared" si="89"/>
        <v>0</v>
      </c>
      <c r="S291" s="960">
        <f t="shared" si="90"/>
        <v>0</v>
      </c>
      <c r="T291" s="960">
        <f t="shared" si="91"/>
        <v>0</v>
      </c>
      <c r="U291" s="960">
        <f t="shared" si="92"/>
        <v>0</v>
      </c>
      <c r="V291" s="960">
        <f t="shared" si="93"/>
        <v>0</v>
      </c>
      <c r="W291" s="960"/>
      <c r="X291" s="960"/>
      <c r="Y291" s="960"/>
      <c r="Z291" s="960"/>
      <c r="AA291" s="975">
        <f t="shared" si="94"/>
        <v>0</v>
      </c>
      <c r="AB291" s="975">
        <f>VLOOKUP(C291,'[8]MỦ TẠP'!$D$10:$AM$450,36,0)</f>
        <v>0</v>
      </c>
      <c r="AC291" s="975"/>
      <c r="AD291" s="975"/>
      <c r="AE291" s="975">
        <f>VLOOKUP(C291,'[8]MỦ TẠP'!$D$10:$AM$450,36,0)</f>
        <v>0</v>
      </c>
      <c r="AF291" s="975"/>
      <c r="AG291" s="975"/>
      <c r="AH291" s="975">
        <f t="shared" si="95"/>
        <v>0</v>
      </c>
      <c r="AI291" s="975">
        <f>VLOOKUP(C291,'[8]CHẤM CÔNG '!$F$10:$AM$451,33,0)</f>
        <v>0</v>
      </c>
      <c r="AJ291" s="975">
        <f>VLOOKUP(C291,'[8]CHẤM CÔNG '!$F$10:$AM$451,34,0)</f>
        <v>0</v>
      </c>
      <c r="AK291" s="975"/>
      <c r="AL291" s="975"/>
      <c r="AM291" s="975"/>
      <c r="AN291" s="975">
        <f>VLOOKUP(C291,'[8]CHẤM CÔNG '!$F$10:$AN$451,35,0)</f>
        <v>0</v>
      </c>
      <c r="AO291" s="975">
        <f>VLOOKUP(C291,'[8]CHẤM CÔNG '!$F$10:$AR$451,36,0)</f>
        <v>0</v>
      </c>
      <c r="AP291" s="975"/>
      <c r="AQ291" s="975"/>
      <c r="AR291" s="975"/>
      <c r="AS291" s="981"/>
      <c r="AT291" s="982">
        <f>VLOOKUP(C291,'[8]MỦ TẠP'!$D$10:$AO$450,38,0)</f>
        <v>0</v>
      </c>
      <c r="AU291" s="946">
        <v>1500</v>
      </c>
      <c r="AV291" s="976">
        <f t="shared" si="96"/>
        <v>-1500</v>
      </c>
      <c r="AX291" s="944">
        <f t="shared" si="97"/>
        <v>2</v>
      </c>
      <c r="AZ291" s="944">
        <v>1</v>
      </c>
    </row>
    <row r="292" spans="1:52" ht="15.75">
      <c r="A292" s="996">
        <v>73</v>
      </c>
      <c r="B292" s="958" t="str">
        <f>VLOOKUP(C292,'[8]DS CN MOI UP'!$B$10:$C$489,2,0)</f>
        <v>03380</v>
      </c>
      <c r="C292" s="970" t="s">
        <v>196</v>
      </c>
      <c r="D292" s="997" t="s">
        <v>15</v>
      </c>
      <c r="E292" s="960"/>
      <c r="F292" s="960"/>
      <c r="G292" s="960"/>
      <c r="H292" s="960"/>
      <c r="I292" s="960"/>
      <c r="J292" s="960"/>
      <c r="K292" s="960"/>
      <c r="L292" s="960"/>
      <c r="M292" s="960"/>
      <c r="N292" s="960">
        <f t="shared" si="85"/>
        <v>0</v>
      </c>
      <c r="O292" s="960">
        <f t="shared" si="86"/>
        <v>0</v>
      </c>
      <c r="P292" s="960">
        <f t="shared" si="87"/>
        <v>0</v>
      </c>
      <c r="Q292" s="960">
        <f t="shared" si="88"/>
        <v>0</v>
      </c>
      <c r="R292" s="960">
        <f t="shared" si="89"/>
        <v>0</v>
      </c>
      <c r="S292" s="960">
        <f t="shared" si="90"/>
        <v>0</v>
      </c>
      <c r="T292" s="960">
        <f t="shared" si="91"/>
        <v>0</v>
      </c>
      <c r="U292" s="960">
        <f t="shared" si="92"/>
        <v>0</v>
      </c>
      <c r="V292" s="960">
        <f t="shared" si="93"/>
        <v>0</v>
      </c>
      <c r="W292" s="960"/>
      <c r="X292" s="960"/>
      <c r="Y292" s="960"/>
      <c r="Z292" s="960"/>
      <c r="AA292" s="975">
        <f t="shared" si="94"/>
        <v>0</v>
      </c>
      <c r="AB292" s="975">
        <f>VLOOKUP(C292,'[8]MỦ TẠP'!$D$10:$AM$450,36,0)</f>
        <v>0</v>
      </c>
      <c r="AC292" s="975"/>
      <c r="AD292" s="975"/>
      <c r="AE292" s="975">
        <f>VLOOKUP(C292,'[8]MỦ TẠP'!$D$10:$AM$450,36,0)</f>
        <v>0</v>
      </c>
      <c r="AF292" s="975"/>
      <c r="AG292" s="975"/>
      <c r="AH292" s="975">
        <f t="shared" si="95"/>
        <v>0</v>
      </c>
      <c r="AI292" s="975">
        <f>VLOOKUP(C292,'[8]CHẤM CÔNG '!$F$10:$AM$451,33,0)</f>
        <v>0</v>
      </c>
      <c r="AJ292" s="975">
        <f>VLOOKUP(C292,'[8]CHẤM CÔNG '!$F$10:$AM$451,34,0)</f>
        <v>0</v>
      </c>
      <c r="AK292" s="975"/>
      <c r="AL292" s="975"/>
      <c r="AM292" s="975"/>
      <c r="AN292" s="975">
        <f>VLOOKUP(C292,'[8]CHẤM CÔNG '!$F$10:$AN$451,35,0)</f>
        <v>0</v>
      </c>
      <c r="AO292" s="975">
        <f>VLOOKUP(C292,'[8]CHẤM CÔNG '!$F$10:$AR$451,36,0)</f>
        <v>0</v>
      </c>
      <c r="AP292" s="975"/>
      <c r="AQ292" s="975"/>
      <c r="AR292" s="975"/>
      <c r="AS292" s="981"/>
      <c r="AT292" s="982">
        <f>VLOOKUP(C292,'[8]MỦ TẠP'!$D$10:$AO$450,38,0)</f>
        <v>0</v>
      </c>
      <c r="AU292" s="946">
        <v>914</v>
      </c>
      <c r="AV292" s="976">
        <f t="shared" si="96"/>
        <v>-914</v>
      </c>
      <c r="AX292" s="944">
        <f t="shared" si="97"/>
        <v>2</v>
      </c>
      <c r="AZ292" s="944">
        <v>1</v>
      </c>
    </row>
    <row r="293" spans="1:52" ht="15.75">
      <c r="A293" s="996">
        <v>74</v>
      </c>
      <c r="B293" s="958" t="str">
        <f>VLOOKUP(C293,'[8]DS CN MOI UP'!$B$10:$C$489,2,0)</f>
        <v>02561</v>
      </c>
      <c r="C293" s="970" t="s">
        <v>197</v>
      </c>
      <c r="D293" s="997" t="s">
        <v>15</v>
      </c>
      <c r="E293" s="960"/>
      <c r="F293" s="960"/>
      <c r="G293" s="960"/>
      <c r="H293" s="960"/>
      <c r="I293" s="960"/>
      <c r="J293" s="960"/>
      <c r="K293" s="960"/>
      <c r="L293" s="960"/>
      <c r="M293" s="960"/>
      <c r="N293" s="960">
        <f t="shared" si="85"/>
        <v>0</v>
      </c>
      <c r="O293" s="960">
        <f t="shared" si="86"/>
        <v>0</v>
      </c>
      <c r="P293" s="960">
        <f t="shared" si="87"/>
        <v>0</v>
      </c>
      <c r="Q293" s="960">
        <f t="shared" si="88"/>
        <v>0</v>
      </c>
      <c r="R293" s="960">
        <f t="shared" si="89"/>
        <v>0</v>
      </c>
      <c r="S293" s="960">
        <f t="shared" si="90"/>
        <v>0</v>
      </c>
      <c r="T293" s="960">
        <f t="shared" si="91"/>
        <v>0</v>
      </c>
      <c r="U293" s="960">
        <f t="shared" si="92"/>
        <v>0</v>
      </c>
      <c r="V293" s="960">
        <f t="shared" si="93"/>
        <v>0</v>
      </c>
      <c r="W293" s="960"/>
      <c r="X293" s="960"/>
      <c r="Y293" s="960"/>
      <c r="Z293" s="960"/>
      <c r="AA293" s="975">
        <f t="shared" si="94"/>
        <v>0</v>
      </c>
      <c r="AB293" s="975">
        <f>VLOOKUP(C293,'[8]MỦ TẠP'!$D$10:$AM$450,36,0)</f>
        <v>0</v>
      </c>
      <c r="AC293" s="975"/>
      <c r="AD293" s="975"/>
      <c r="AE293" s="975">
        <f>VLOOKUP(C293,'[8]MỦ TẠP'!$D$10:$AM$450,36,0)</f>
        <v>0</v>
      </c>
      <c r="AF293" s="975"/>
      <c r="AG293" s="975"/>
      <c r="AH293" s="975">
        <f t="shared" si="95"/>
        <v>0</v>
      </c>
      <c r="AI293" s="975">
        <f>VLOOKUP(C293,'[8]CHẤM CÔNG '!$F$10:$AM$451,33,0)</f>
        <v>0</v>
      </c>
      <c r="AJ293" s="975">
        <f>VLOOKUP(C293,'[8]CHẤM CÔNG '!$F$10:$AM$451,34,0)</f>
        <v>0</v>
      </c>
      <c r="AK293" s="975"/>
      <c r="AL293" s="975"/>
      <c r="AM293" s="975"/>
      <c r="AN293" s="975">
        <f>VLOOKUP(C293,'[8]CHẤM CÔNG '!$F$10:$AN$451,35,0)</f>
        <v>0</v>
      </c>
      <c r="AO293" s="975">
        <f>VLOOKUP(C293,'[8]CHẤM CÔNG '!$F$10:$AR$451,36,0)</f>
        <v>0</v>
      </c>
      <c r="AP293" s="975"/>
      <c r="AQ293" s="975"/>
      <c r="AR293" s="975"/>
      <c r="AS293" s="981"/>
      <c r="AT293" s="982">
        <f>VLOOKUP(C293,'[8]MỦ TẠP'!$D$10:$AO$450,38,0)</f>
        <v>0</v>
      </c>
      <c r="AU293" s="946">
        <v>1563</v>
      </c>
      <c r="AV293" s="976">
        <f t="shared" si="96"/>
        <v>-1563</v>
      </c>
      <c r="AX293" s="944">
        <f t="shared" si="97"/>
        <v>3</v>
      </c>
    </row>
    <row r="294" spans="1:52" ht="15.75">
      <c r="A294" s="996">
        <v>75</v>
      </c>
      <c r="B294" s="958" t="str">
        <f>VLOOKUP(C294,'[8]DS CN MOI UP'!$B$10:$C$489,2,0)</f>
        <v>02533</v>
      </c>
      <c r="C294" s="970" t="s">
        <v>198</v>
      </c>
      <c r="D294" s="997" t="s">
        <v>15</v>
      </c>
      <c r="E294" s="960"/>
      <c r="F294" s="960"/>
      <c r="G294" s="960"/>
      <c r="H294" s="960"/>
      <c r="I294" s="960"/>
      <c r="J294" s="960"/>
      <c r="K294" s="960"/>
      <c r="L294" s="960"/>
      <c r="M294" s="960"/>
      <c r="N294" s="960">
        <f t="shared" si="85"/>
        <v>0</v>
      </c>
      <c r="O294" s="960">
        <f t="shared" si="86"/>
        <v>0</v>
      </c>
      <c r="P294" s="960">
        <f t="shared" si="87"/>
        <v>0</v>
      </c>
      <c r="Q294" s="960">
        <f t="shared" si="88"/>
        <v>0</v>
      </c>
      <c r="R294" s="960">
        <f t="shared" si="89"/>
        <v>0</v>
      </c>
      <c r="S294" s="960">
        <f t="shared" si="90"/>
        <v>0</v>
      </c>
      <c r="T294" s="960">
        <f t="shared" si="91"/>
        <v>0</v>
      </c>
      <c r="U294" s="960">
        <f t="shared" si="92"/>
        <v>0</v>
      </c>
      <c r="V294" s="960">
        <f t="shared" si="93"/>
        <v>0</v>
      </c>
      <c r="W294" s="960"/>
      <c r="X294" s="960"/>
      <c r="Y294" s="960"/>
      <c r="Z294" s="960"/>
      <c r="AA294" s="975">
        <f t="shared" si="94"/>
        <v>0</v>
      </c>
      <c r="AB294" s="975">
        <f>VLOOKUP(C294,'[8]MỦ TẠP'!$D$10:$AM$450,36,0)</f>
        <v>0</v>
      </c>
      <c r="AC294" s="975"/>
      <c r="AD294" s="975"/>
      <c r="AE294" s="975">
        <f>VLOOKUP(C294,'[8]MỦ TẠP'!$D$10:$AM$450,36,0)</f>
        <v>0</v>
      </c>
      <c r="AF294" s="975"/>
      <c r="AG294" s="975"/>
      <c r="AH294" s="975">
        <f t="shared" si="95"/>
        <v>0</v>
      </c>
      <c r="AI294" s="975">
        <f>VLOOKUP(C294,'[8]CHẤM CÔNG '!$F$10:$AM$451,33,0)</f>
        <v>0</v>
      </c>
      <c r="AJ294" s="975">
        <f>VLOOKUP(C294,'[8]CHẤM CÔNG '!$F$10:$AM$451,34,0)</f>
        <v>0</v>
      </c>
      <c r="AK294" s="975"/>
      <c r="AL294" s="975"/>
      <c r="AM294" s="975"/>
      <c r="AN294" s="975">
        <f>VLOOKUP(C294,'[8]CHẤM CÔNG '!$F$10:$AN$451,35,0)</f>
        <v>0</v>
      </c>
      <c r="AO294" s="975">
        <f>VLOOKUP(C294,'[8]CHẤM CÔNG '!$F$10:$AR$451,36,0)</f>
        <v>0</v>
      </c>
      <c r="AP294" s="975"/>
      <c r="AQ294" s="975"/>
      <c r="AR294" s="975"/>
      <c r="AS294" s="981"/>
      <c r="AT294" s="982">
        <f>VLOOKUP(C294,'[8]MỦ TẠP'!$D$10:$AO$450,38,0)</f>
        <v>0</v>
      </c>
      <c r="AU294" s="946">
        <v>1431</v>
      </c>
      <c r="AV294" s="976">
        <f t="shared" si="96"/>
        <v>-1431</v>
      </c>
      <c r="AX294" s="944">
        <f t="shared" si="97"/>
        <v>3</v>
      </c>
    </row>
    <row r="295" spans="1:52" ht="15.75">
      <c r="A295" s="996">
        <v>76</v>
      </c>
      <c r="B295" s="958" t="str">
        <f>VLOOKUP(C295,'[8]DS CN MOI UP'!$B$10:$C$489,2,0)</f>
        <v>02547</v>
      </c>
      <c r="C295" s="970" t="s">
        <v>199</v>
      </c>
      <c r="D295" s="997" t="s">
        <v>15</v>
      </c>
      <c r="E295" s="960"/>
      <c r="F295" s="960"/>
      <c r="G295" s="960"/>
      <c r="H295" s="960"/>
      <c r="I295" s="960"/>
      <c r="J295" s="960"/>
      <c r="K295" s="960"/>
      <c r="L295" s="960"/>
      <c r="M295" s="960"/>
      <c r="N295" s="960">
        <f t="shared" si="85"/>
        <v>0</v>
      </c>
      <c r="O295" s="960">
        <f t="shared" si="86"/>
        <v>0</v>
      </c>
      <c r="P295" s="960">
        <f t="shared" si="87"/>
        <v>0</v>
      </c>
      <c r="Q295" s="960">
        <f t="shared" si="88"/>
        <v>0</v>
      </c>
      <c r="R295" s="960">
        <f t="shared" si="89"/>
        <v>0</v>
      </c>
      <c r="S295" s="960">
        <f t="shared" si="90"/>
        <v>0</v>
      </c>
      <c r="T295" s="960">
        <f t="shared" si="91"/>
        <v>0</v>
      </c>
      <c r="U295" s="960">
        <f t="shared" si="92"/>
        <v>0</v>
      </c>
      <c r="V295" s="960">
        <f t="shared" si="93"/>
        <v>0</v>
      </c>
      <c r="W295" s="960"/>
      <c r="X295" s="960"/>
      <c r="Y295" s="960"/>
      <c r="Z295" s="960"/>
      <c r="AA295" s="975">
        <f t="shared" si="94"/>
        <v>0</v>
      </c>
      <c r="AB295" s="975">
        <f>VLOOKUP(C295,'[8]MỦ TẠP'!$D$10:$AM$450,36,0)</f>
        <v>0</v>
      </c>
      <c r="AC295" s="975"/>
      <c r="AD295" s="975"/>
      <c r="AE295" s="975">
        <f>VLOOKUP(C295,'[8]MỦ TẠP'!$D$10:$AM$450,36,0)</f>
        <v>0</v>
      </c>
      <c r="AF295" s="975"/>
      <c r="AG295" s="975"/>
      <c r="AH295" s="975">
        <f t="shared" si="95"/>
        <v>0</v>
      </c>
      <c r="AI295" s="975">
        <f>VLOOKUP(C295,'[8]CHẤM CÔNG '!$F$10:$AM$451,33,0)</f>
        <v>0</v>
      </c>
      <c r="AJ295" s="975">
        <f>VLOOKUP(C295,'[8]CHẤM CÔNG '!$F$10:$AM$451,34,0)</f>
        <v>0</v>
      </c>
      <c r="AK295" s="975"/>
      <c r="AL295" s="975"/>
      <c r="AM295" s="975"/>
      <c r="AN295" s="975">
        <f>VLOOKUP(C295,'[8]CHẤM CÔNG '!$F$10:$AN$451,35,0)</f>
        <v>0</v>
      </c>
      <c r="AO295" s="975">
        <f>VLOOKUP(C295,'[8]CHẤM CÔNG '!$F$10:$AR$451,36,0)</f>
        <v>0</v>
      </c>
      <c r="AP295" s="975"/>
      <c r="AQ295" s="975"/>
      <c r="AR295" s="975"/>
      <c r="AS295" s="981"/>
      <c r="AT295" s="982">
        <f>VLOOKUP(C295,'[8]MỦ TẠP'!$D$10:$AO$450,38,0)</f>
        <v>0</v>
      </c>
      <c r="AU295" s="946">
        <v>1355</v>
      </c>
      <c r="AV295" s="976">
        <f t="shared" si="96"/>
        <v>-1355</v>
      </c>
      <c r="AX295" s="944">
        <f t="shared" si="97"/>
        <v>3</v>
      </c>
    </row>
    <row r="296" spans="1:52" ht="15.75">
      <c r="A296" s="996">
        <v>77</v>
      </c>
      <c r="B296" s="958" t="str">
        <f>VLOOKUP(C296,'[8]DS CN MOI UP'!$B$10:$C$489,2,0)</f>
        <v>02550</v>
      </c>
      <c r="C296" s="970" t="s">
        <v>200</v>
      </c>
      <c r="D296" s="997" t="s">
        <v>15</v>
      </c>
      <c r="E296" s="960"/>
      <c r="F296" s="960"/>
      <c r="G296" s="960"/>
      <c r="H296" s="960"/>
      <c r="I296" s="960"/>
      <c r="J296" s="960"/>
      <c r="K296" s="960"/>
      <c r="L296" s="960"/>
      <c r="M296" s="960"/>
      <c r="N296" s="960">
        <f t="shared" si="85"/>
        <v>0</v>
      </c>
      <c r="O296" s="960">
        <f t="shared" si="86"/>
        <v>0</v>
      </c>
      <c r="P296" s="960">
        <f t="shared" si="87"/>
        <v>0</v>
      </c>
      <c r="Q296" s="960">
        <f t="shared" si="88"/>
        <v>0</v>
      </c>
      <c r="R296" s="960">
        <f t="shared" si="89"/>
        <v>0</v>
      </c>
      <c r="S296" s="960">
        <f t="shared" si="90"/>
        <v>0</v>
      </c>
      <c r="T296" s="960">
        <f t="shared" si="91"/>
        <v>0</v>
      </c>
      <c r="U296" s="960">
        <f t="shared" si="92"/>
        <v>0</v>
      </c>
      <c r="V296" s="960">
        <f t="shared" si="93"/>
        <v>0</v>
      </c>
      <c r="W296" s="960"/>
      <c r="X296" s="960"/>
      <c r="Y296" s="960"/>
      <c r="Z296" s="960"/>
      <c r="AA296" s="975">
        <f t="shared" si="94"/>
        <v>0</v>
      </c>
      <c r="AB296" s="975">
        <f>VLOOKUP(C296,'[8]MỦ TẠP'!$D$10:$AM$450,36,0)</f>
        <v>0</v>
      </c>
      <c r="AC296" s="975"/>
      <c r="AD296" s="975"/>
      <c r="AE296" s="975">
        <f>VLOOKUP(C296,'[8]MỦ TẠP'!$D$10:$AM$450,36,0)</f>
        <v>0</v>
      </c>
      <c r="AF296" s="975"/>
      <c r="AG296" s="975"/>
      <c r="AH296" s="975">
        <f t="shared" si="95"/>
        <v>0</v>
      </c>
      <c r="AI296" s="975">
        <f>VLOOKUP(C296,'[8]CHẤM CÔNG '!$F$10:$AM$451,33,0)</f>
        <v>0</v>
      </c>
      <c r="AJ296" s="975">
        <f>VLOOKUP(C296,'[8]CHẤM CÔNG '!$F$10:$AM$451,34,0)</f>
        <v>0</v>
      </c>
      <c r="AK296" s="975"/>
      <c r="AL296" s="975"/>
      <c r="AM296" s="975"/>
      <c r="AN296" s="975">
        <f>VLOOKUP(C296,'[8]CHẤM CÔNG '!$F$10:$AN$451,35,0)</f>
        <v>0</v>
      </c>
      <c r="AO296" s="975">
        <f>VLOOKUP(C296,'[8]CHẤM CÔNG '!$F$10:$AR$451,36,0)</f>
        <v>0</v>
      </c>
      <c r="AP296" s="975"/>
      <c r="AQ296" s="975"/>
      <c r="AR296" s="975"/>
      <c r="AS296" s="981"/>
      <c r="AT296" s="982">
        <f>VLOOKUP(C296,'[8]MỦ TẠP'!$D$10:$AO$450,38,0)</f>
        <v>0</v>
      </c>
      <c r="AU296" s="946">
        <v>1915</v>
      </c>
      <c r="AV296" s="976">
        <f t="shared" si="96"/>
        <v>-1915</v>
      </c>
      <c r="AX296" s="944">
        <f t="shared" si="97"/>
        <v>3</v>
      </c>
    </row>
    <row r="297" spans="1:52" ht="15.75">
      <c r="A297" s="996">
        <v>78</v>
      </c>
      <c r="B297" s="958" t="str">
        <f>VLOOKUP(C297,'[8]DS CN MOI UP'!$B$10:$C$489,2,0)</f>
        <v>02566</v>
      </c>
      <c r="C297" s="970" t="s">
        <v>201</v>
      </c>
      <c r="D297" s="997" t="s">
        <v>15</v>
      </c>
      <c r="E297" s="960"/>
      <c r="F297" s="960"/>
      <c r="G297" s="960"/>
      <c r="H297" s="960"/>
      <c r="I297" s="960"/>
      <c r="J297" s="960"/>
      <c r="K297" s="960"/>
      <c r="L297" s="960"/>
      <c r="M297" s="960"/>
      <c r="N297" s="960">
        <f t="shared" si="85"/>
        <v>0</v>
      </c>
      <c r="O297" s="960">
        <f t="shared" si="86"/>
        <v>0</v>
      </c>
      <c r="P297" s="960">
        <f t="shared" si="87"/>
        <v>0</v>
      </c>
      <c r="Q297" s="960">
        <f t="shared" si="88"/>
        <v>0</v>
      </c>
      <c r="R297" s="960">
        <f t="shared" si="89"/>
        <v>0</v>
      </c>
      <c r="S297" s="960">
        <f t="shared" si="90"/>
        <v>0</v>
      </c>
      <c r="T297" s="960">
        <f t="shared" si="91"/>
        <v>0</v>
      </c>
      <c r="U297" s="960">
        <f t="shared" si="92"/>
        <v>0</v>
      </c>
      <c r="V297" s="960">
        <f t="shared" si="93"/>
        <v>0</v>
      </c>
      <c r="W297" s="960"/>
      <c r="X297" s="960"/>
      <c r="Y297" s="960"/>
      <c r="Z297" s="960"/>
      <c r="AA297" s="975">
        <f t="shared" si="94"/>
        <v>0</v>
      </c>
      <c r="AB297" s="975">
        <f>VLOOKUP(C297,'[8]MỦ TẠP'!$D$10:$AM$450,36,0)</f>
        <v>0</v>
      </c>
      <c r="AC297" s="975"/>
      <c r="AD297" s="975"/>
      <c r="AE297" s="975">
        <f>VLOOKUP(C297,'[8]MỦ TẠP'!$D$10:$AM$450,36,0)</f>
        <v>0</v>
      </c>
      <c r="AF297" s="975"/>
      <c r="AG297" s="975"/>
      <c r="AH297" s="975">
        <f t="shared" si="95"/>
        <v>0</v>
      </c>
      <c r="AI297" s="975">
        <f>VLOOKUP(C297,'[8]CHẤM CÔNG '!$F$10:$AM$451,33,0)</f>
        <v>0</v>
      </c>
      <c r="AJ297" s="975">
        <f>VLOOKUP(C297,'[8]CHẤM CÔNG '!$F$10:$AM$451,34,0)</f>
        <v>0</v>
      </c>
      <c r="AK297" s="975"/>
      <c r="AL297" s="975"/>
      <c r="AM297" s="975"/>
      <c r="AN297" s="975">
        <f>VLOOKUP(C297,'[8]CHẤM CÔNG '!$F$10:$AN$451,35,0)</f>
        <v>0</v>
      </c>
      <c r="AO297" s="975">
        <f>VLOOKUP(C297,'[8]CHẤM CÔNG '!$F$10:$AR$451,36,0)</f>
        <v>0</v>
      </c>
      <c r="AP297" s="975"/>
      <c r="AQ297" s="975"/>
      <c r="AR297" s="975"/>
      <c r="AS297" s="981"/>
      <c r="AT297" s="982">
        <f>VLOOKUP(C297,'[8]MỦ TẠP'!$D$10:$AO$450,38,0)</f>
        <v>0</v>
      </c>
      <c r="AU297" s="946">
        <v>1006</v>
      </c>
      <c r="AV297" s="976">
        <f t="shared" si="96"/>
        <v>-1006</v>
      </c>
      <c r="AX297" s="944">
        <f t="shared" si="97"/>
        <v>3</v>
      </c>
    </row>
    <row r="298" spans="1:52" ht="15.75">
      <c r="A298" s="996">
        <v>79</v>
      </c>
      <c r="B298" s="958" t="str">
        <f>VLOOKUP(C298,'[8]DS CN MOI UP'!$B$10:$C$489,2,0)</f>
        <v>03381</v>
      </c>
      <c r="C298" s="970" t="s">
        <v>202</v>
      </c>
      <c r="D298" s="997" t="s">
        <v>15</v>
      </c>
      <c r="E298" s="960"/>
      <c r="F298" s="960"/>
      <c r="G298" s="960"/>
      <c r="H298" s="960"/>
      <c r="I298" s="960"/>
      <c r="J298" s="960"/>
      <c r="K298" s="960"/>
      <c r="L298" s="960"/>
      <c r="M298" s="960"/>
      <c r="N298" s="960">
        <f t="shared" si="85"/>
        <v>0</v>
      </c>
      <c r="O298" s="960">
        <f t="shared" si="86"/>
        <v>0</v>
      </c>
      <c r="P298" s="960">
        <f t="shared" si="87"/>
        <v>0</v>
      </c>
      <c r="Q298" s="960">
        <f t="shared" si="88"/>
        <v>0</v>
      </c>
      <c r="R298" s="960">
        <f t="shared" si="89"/>
        <v>0</v>
      </c>
      <c r="S298" s="960">
        <f t="shared" si="90"/>
        <v>0</v>
      </c>
      <c r="T298" s="960">
        <f t="shared" si="91"/>
        <v>0</v>
      </c>
      <c r="U298" s="960">
        <f t="shared" si="92"/>
        <v>0</v>
      </c>
      <c r="V298" s="960">
        <f t="shared" si="93"/>
        <v>0</v>
      </c>
      <c r="W298" s="960"/>
      <c r="X298" s="960"/>
      <c r="Y298" s="960"/>
      <c r="Z298" s="960"/>
      <c r="AA298" s="975">
        <f t="shared" si="94"/>
        <v>0</v>
      </c>
      <c r="AB298" s="975">
        <f>VLOOKUP(C298,'[8]MỦ TẠP'!$D$10:$AM$450,36,0)</f>
        <v>0</v>
      </c>
      <c r="AC298" s="975"/>
      <c r="AD298" s="975"/>
      <c r="AE298" s="975">
        <f>VLOOKUP(C298,'[8]MỦ TẠP'!$D$10:$AM$450,36,0)</f>
        <v>0</v>
      </c>
      <c r="AF298" s="975"/>
      <c r="AG298" s="975"/>
      <c r="AH298" s="975">
        <f t="shared" si="95"/>
        <v>0</v>
      </c>
      <c r="AI298" s="975">
        <f>VLOOKUP(C298,'[8]CHẤM CÔNG '!$F$10:$AM$451,33,0)</f>
        <v>0</v>
      </c>
      <c r="AJ298" s="975">
        <f>VLOOKUP(C298,'[8]CHẤM CÔNG '!$F$10:$AM$451,34,0)</f>
        <v>0</v>
      </c>
      <c r="AK298" s="975"/>
      <c r="AL298" s="975"/>
      <c r="AM298" s="975"/>
      <c r="AN298" s="975">
        <f>VLOOKUP(C298,'[8]CHẤM CÔNG '!$F$10:$AN$451,35,0)</f>
        <v>0</v>
      </c>
      <c r="AO298" s="975">
        <f>VLOOKUP(C298,'[8]CHẤM CÔNG '!$F$10:$AR$451,36,0)</f>
        <v>0</v>
      </c>
      <c r="AP298" s="975"/>
      <c r="AQ298" s="975"/>
      <c r="AR298" s="975"/>
      <c r="AS298" s="981"/>
      <c r="AT298" s="982">
        <f>VLOOKUP(C298,'[8]MỦ TẠP'!$D$10:$AO$450,38,0)</f>
        <v>0</v>
      </c>
      <c r="AU298" s="946">
        <v>1099</v>
      </c>
      <c r="AV298" s="976">
        <f t="shared" si="96"/>
        <v>-1099</v>
      </c>
      <c r="AX298" s="944">
        <f t="shared" si="97"/>
        <v>3</v>
      </c>
    </row>
    <row r="299" spans="1:52" ht="15.75">
      <c r="A299" s="996">
        <v>80</v>
      </c>
      <c r="B299" s="958" t="str">
        <f>VLOOKUP(C299,'[8]DS CN MOI UP'!$B$10:$C$489,2,0)</f>
        <v>02689</v>
      </c>
      <c r="C299" s="970" t="s">
        <v>203</v>
      </c>
      <c r="D299" s="997" t="s">
        <v>15</v>
      </c>
      <c r="E299" s="960"/>
      <c r="F299" s="960"/>
      <c r="G299" s="960"/>
      <c r="H299" s="960"/>
      <c r="I299" s="960"/>
      <c r="J299" s="960"/>
      <c r="K299" s="960"/>
      <c r="L299" s="960"/>
      <c r="M299" s="960"/>
      <c r="N299" s="960">
        <f t="shared" si="85"/>
        <v>0</v>
      </c>
      <c r="O299" s="960">
        <f t="shared" si="86"/>
        <v>0</v>
      </c>
      <c r="P299" s="960">
        <f t="shared" si="87"/>
        <v>0</v>
      </c>
      <c r="Q299" s="960">
        <f t="shared" si="88"/>
        <v>0</v>
      </c>
      <c r="R299" s="960">
        <f t="shared" si="89"/>
        <v>0</v>
      </c>
      <c r="S299" s="960">
        <f t="shared" si="90"/>
        <v>0</v>
      </c>
      <c r="T299" s="960">
        <f t="shared" si="91"/>
        <v>0</v>
      </c>
      <c r="U299" s="960">
        <f t="shared" si="92"/>
        <v>0</v>
      </c>
      <c r="V299" s="960">
        <f t="shared" si="93"/>
        <v>0</v>
      </c>
      <c r="W299" s="960"/>
      <c r="X299" s="960"/>
      <c r="Y299" s="960"/>
      <c r="Z299" s="960"/>
      <c r="AA299" s="975">
        <f t="shared" si="94"/>
        <v>0</v>
      </c>
      <c r="AB299" s="975">
        <f>VLOOKUP(C299,'[8]MỦ TẠP'!$D$10:$AM$450,36,0)</f>
        <v>0</v>
      </c>
      <c r="AC299" s="975"/>
      <c r="AD299" s="975"/>
      <c r="AE299" s="975">
        <f>VLOOKUP(C299,'[8]MỦ TẠP'!$D$10:$AM$450,36,0)</f>
        <v>0</v>
      </c>
      <c r="AF299" s="975"/>
      <c r="AG299" s="975"/>
      <c r="AH299" s="975">
        <f t="shared" si="95"/>
        <v>0</v>
      </c>
      <c r="AI299" s="975">
        <f>VLOOKUP(C299,'[8]CHẤM CÔNG '!$F$10:$AM$451,33,0)</f>
        <v>0</v>
      </c>
      <c r="AJ299" s="975">
        <f>VLOOKUP(C299,'[8]CHẤM CÔNG '!$F$10:$AM$451,34,0)</f>
        <v>0</v>
      </c>
      <c r="AK299" s="975"/>
      <c r="AL299" s="975"/>
      <c r="AM299" s="975"/>
      <c r="AN299" s="975">
        <f>VLOOKUP(C299,'[8]CHẤM CÔNG '!$F$10:$AN$451,35,0)</f>
        <v>0</v>
      </c>
      <c r="AO299" s="975">
        <f>VLOOKUP(C299,'[8]CHẤM CÔNG '!$F$10:$AR$451,36,0)</f>
        <v>0</v>
      </c>
      <c r="AP299" s="975"/>
      <c r="AQ299" s="975"/>
      <c r="AR299" s="975"/>
      <c r="AS299" s="981"/>
      <c r="AT299" s="982">
        <f>VLOOKUP(C299,'[8]MỦ TẠP'!$D$10:$AO$450,38,0)</f>
        <v>0</v>
      </c>
      <c r="AU299" s="946">
        <v>947</v>
      </c>
      <c r="AV299" s="976">
        <f t="shared" si="96"/>
        <v>-947</v>
      </c>
      <c r="AX299" s="944">
        <f t="shared" si="97"/>
        <v>3</v>
      </c>
    </row>
    <row r="300" spans="1:52" ht="15.75">
      <c r="A300" s="996">
        <v>81</v>
      </c>
      <c r="B300" s="958" t="str">
        <f>VLOOKUP(C300,'[8]DS CN MOI UP'!$B$10:$C$489,2,0)</f>
        <v>02546</v>
      </c>
      <c r="C300" s="970" t="s">
        <v>204</v>
      </c>
      <c r="D300" s="997" t="s">
        <v>15</v>
      </c>
      <c r="E300" s="960"/>
      <c r="F300" s="960"/>
      <c r="G300" s="960"/>
      <c r="H300" s="960"/>
      <c r="I300" s="960"/>
      <c r="J300" s="960"/>
      <c r="K300" s="960"/>
      <c r="L300" s="960"/>
      <c r="M300" s="960"/>
      <c r="N300" s="960">
        <f t="shared" si="85"/>
        <v>0</v>
      </c>
      <c r="O300" s="960">
        <f t="shared" si="86"/>
        <v>0</v>
      </c>
      <c r="P300" s="960">
        <f t="shared" si="87"/>
        <v>0</v>
      </c>
      <c r="Q300" s="960">
        <f t="shared" si="88"/>
        <v>0</v>
      </c>
      <c r="R300" s="960">
        <f t="shared" si="89"/>
        <v>0</v>
      </c>
      <c r="S300" s="960">
        <f t="shared" si="90"/>
        <v>0</v>
      </c>
      <c r="T300" s="960">
        <f t="shared" si="91"/>
        <v>0</v>
      </c>
      <c r="U300" s="960">
        <f t="shared" si="92"/>
        <v>0</v>
      </c>
      <c r="V300" s="960">
        <f t="shared" si="93"/>
        <v>0</v>
      </c>
      <c r="W300" s="960"/>
      <c r="X300" s="960"/>
      <c r="Y300" s="960"/>
      <c r="Z300" s="960"/>
      <c r="AA300" s="975">
        <f t="shared" si="94"/>
        <v>0</v>
      </c>
      <c r="AB300" s="975">
        <f>VLOOKUP(C300,'[8]MỦ TẠP'!$D$10:$AM$450,36,0)</f>
        <v>0</v>
      </c>
      <c r="AC300" s="975"/>
      <c r="AD300" s="975"/>
      <c r="AE300" s="975">
        <f>VLOOKUP(C300,'[8]MỦ TẠP'!$D$10:$AM$450,36,0)</f>
        <v>0</v>
      </c>
      <c r="AF300" s="975"/>
      <c r="AG300" s="975"/>
      <c r="AH300" s="975">
        <f t="shared" si="95"/>
        <v>0</v>
      </c>
      <c r="AI300" s="975">
        <f>VLOOKUP(C300,'[8]CHẤM CÔNG '!$F$10:$AM$451,33,0)</f>
        <v>0</v>
      </c>
      <c r="AJ300" s="975">
        <f>VLOOKUP(C300,'[8]CHẤM CÔNG '!$F$10:$AM$451,34,0)</f>
        <v>0</v>
      </c>
      <c r="AK300" s="975"/>
      <c r="AL300" s="975"/>
      <c r="AM300" s="975"/>
      <c r="AN300" s="975">
        <f>VLOOKUP(C300,'[8]CHẤM CÔNG '!$F$10:$AN$451,35,0)</f>
        <v>0</v>
      </c>
      <c r="AO300" s="975">
        <f>VLOOKUP(C300,'[8]CHẤM CÔNG '!$F$10:$AR$451,36,0)</f>
        <v>0</v>
      </c>
      <c r="AP300" s="975"/>
      <c r="AQ300" s="975"/>
      <c r="AR300" s="975"/>
      <c r="AS300" s="981"/>
      <c r="AT300" s="982">
        <f>VLOOKUP(C300,'[8]MỦ TẠP'!$D$10:$AO$450,38,0)</f>
        <v>0</v>
      </c>
      <c r="AU300" s="946">
        <v>1771</v>
      </c>
      <c r="AV300" s="976">
        <f t="shared" si="96"/>
        <v>-1771</v>
      </c>
      <c r="AX300" s="944">
        <f t="shared" si="97"/>
        <v>3</v>
      </c>
    </row>
    <row r="301" spans="1:52" ht="15.75">
      <c r="A301" s="996">
        <v>82</v>
      </c>
      <c r="B301" s="958" t="str">
        <f>VLOOKUP(C301,'[8]DS CN MOI UP'!$B$10:$C$489,2,0)</f>
        <v>02559</v>
      </c>
      <c r="C301" s="970" t="s">
        <v>205</v>
      </c>
      <c r="D301" s="997" t="s">
        <v>15</v>
      </c>
      <c r="E301" s="960"/>
      <c r="F301" s="960"/>
      <c r="G301" s="960"/>
      <c r="H301" s="960"/>
      <c r="I301" s="960"/>
      <c r="J301" s="960"/>
      <c r="K301" s="960"/>
      <c r="L301" s="960"/>
      <c r="M301" s="960"/>
      <c r="N301" s="960">
        <f t="shared" si="85"/>
        <v>0</v>
      </c>
      <c r="O301" s="960">
        <f t="shared" si="86"/>
        <v>0</v>
      </c>
      <c r="P301" s="960">
        <f t="shared" si="87"/>
        <v>0</v>
      </c>
      <c r="Q301" s="960">
        <f t="shared" si="88"/>
        <v>0</v>
      </c>
      <c r="R301" s="960">
        <f t="shared" si="89"/>
        <v>0</v>
      </c>
      <c r="S301" s="960">
        <f t="shared" si="90"/>
        <v>0</v>
      </c>
      <c r="T301" s="960">
        <f t="shared" si="91"/>
        <v>0</v>
      </c>
      <c r="U301" s="960">
        <f t="shared" si="92"/>
        <v>0</v>
      </c>
      <c r="V301" s="960">
        <f t="shared" si="93"/>
        <v>0</v>
      </c>
      <c r="W301" s="960"/>
      <c r="X301" s="960"/>
      <c r="Y301" s="960"/>
      <c r="Z301" s="960"/>
      <c r="AA301" s="975">
        <f t="shared" si="94"/>
        <v>0</v>
      </c>
      <c r="AB301" s="975">
        <f>VLOOKUP(C301,'[8]MỦ TẠP'!$D$10:$AM$450,36,0)</f>
        <v>0</v>
      </c>
      <c r="AC301" s="975"/>
      <c r="AD301" s="975"/>
      <c r="AE301" s="975">
        <f>VLOOKUP(C301,'[8]MỦ TẠP'!$D$10:$AM$450,36,0)</f>
        <v>0</v>
      </c>
      <c r="AF301" s="975"/>
      <c r="AG301" s="975"/>
      <c r="AH301" s="975">
        <f t="shared" si="95"/>
        <v>0</v>
      </c>
      <c r="AI301" s="975">
        <f>VLOOKUP(C301,'[8]CHẤM CÔNG '!$F$10:$AM$451,33,0)</f>
        <v>0</v>
      </c>
      <c r="AJ301" s="975">
        <f>VLOOKUP(C301,'[8]CHẤM CÔNG '!$F$10:$AM$451,34,0)</f>
        <v>0</v>
      </c>
      <c r="AK301" s="975"/>
      <c r="AL301" s="975"/>
      <c r="AM301" s="975"/>
      <c r="AN301" s="975">
        <f>VLOOKUP(C301,'[8]CHẤM CÔNG '!$F$10:$AN$451,35,0)</f>
        <v>0</v>
      </c>
      <c r="AO301" s="975">
        <f>VLOOKUP(C301,'[8]CHẤM CÔNG '!$F$10:$AR$451,36,0)</f>
        <v>0</v>
      </c>
      <c r="AP301" s="975"/>
      <c r="AQ301" s="975"/>
      <c r="AR301" s="975"/>
      <c r="AS301" s="981"/>
      <c r="AT301" s="982">
        <f>VLOOKUP(C301,'[8]MỦ TẠP'!$D$10:$AO$450,38,0)</f>
        <v>0</v>
      </c>
      <c r="AU301" s="946">
        <v>1852</v>
      </c>
      <c r="AV301" s="976">
        <f t="shared" si="96"/>
        <v>-1852</v>
      </c>
      <c r="AX301" s="944">
        <f t="shared" si="97"/>
        <v>3</v>
      </c>
    </row>
    <row r="302" spans="1:52">
      <c r="A302" s="993" t="s">
        <v>522</v>
      </c>
      <c r="B302" s="958"/>
      <c r="C302" s="994"/>
      <c r="D302" s="995"/>
      <c r="E302" s="968">
        <f t="shared" ref="E302:AE302" si="98">SUM(E303:E380)</f>
        <v>6</v>
      </c>
      <c r="F302" s="968">
        <f t="shared" si="98"/>
        <v>189</v>
      </c>
      <c r="G302" s="968">
        <f t="shared" si="98"/>
        <v>46</v>
      </c>
      <c r="H302" s="968">
        <f t="shared" si="98"/>
        <v>241</v>
      </c>
      <c r="I302" s="968">
        <f t="shared" si="98"/>
        <v>0</v>
      </c>
      <c r="J302" s="968">
        <f t="shared" si="98"/>
        <v>69</v>
      </c>
      <c r="K302" s="968">
        <f t="shared" si="98"/>
        <v>235</v>
      </c>
      <c r="L302" s="968">
        <f t="shared" si="98"/>
        <v>235</v>
      </c>
      <c r="M302" s="968">
        <f t="shared" si="98"/>
        <v>69</v>
      </c>
      <c r="N302" s="968">
        <f t="shared" si="98"/>
        <v>35.999999999999901</v>
      </c>
      <c r="O302" s="968">
        <f t="shared" si="98"/>
        <v>1209.5999999999999</v>
      </c>
      <c r="P302" s="968">
        <f t="shared" si="98"/>
        <v>368</v>
      </c>
      <c r="Q302" s="968">
        <f t="shared" si="98"/>
        <v>964</v>
      </c>
      <c r="R302" s="968">
        <f t="shared" si="98"/>
        <v>0</v>
      </c>
      <c r="S302" s="968">
        <f t="shared" si="98"/>
        <v>138</v>
      </c>
      <c r="T302" s="968">
        <f t="shared" si="98"/>
        <v>235</v>
      </c>
      <c r="U302" s="968">
        <f t="shared" si="98"/>
        <v>235</v>
      </c>
      <c r="V302" s="968">
        <f t="shared" si="98"/>
        <v>69</v>
      </c>
      <c r="W302" s="968">
        <f t="shared" si="98"/>
        <v>0</v>
      </c>
      <c r="X302" s="968">
        <f t="shared" si="98"/>
        <v>0</v>
      </c>
      <c r="Y302" s="968">
        <f t="shared" si="98"/>
        <v>0</v>
      </c>
      <c r="Z302" s="968">
        <f t="shared" si="98"/>
        <v>0</v>
      </c>
      <c r="AA302" s="968">
        <f t="shared" si="98"/>
        <v>3254.6</v>
      </c>
      <c r="AB302" s="968" t="e">
        <f t="shared" si="98"/>
        <v>#N/A</v>
      </c>
      <c r="AC302" s="968">
        <f t="shared" si="98"/>
        <v>0</v>
      </c>
      <c r="AD302" s="968">
        <f t="shared" si="98"/>
        <v>0</v>
      </c>
      <c r="AE302" s="968" t="e">
        <f t="shared" si="98"/>
        <v>#N/A</v>
      </c>
      <c r="AF302" s="968"/>
      <c r="AG302" s="968">
        <f>SUM(AG303:AG380)</f>
        <v>0</v>
      </c>
      <c r="AH302" s="968" t="e">
        <f>SUM(AH303:AH380)</f>
        <v>#N/A</v>
      </c>
      <c r="AI302" s="968" t="e">
        <f>SUM(AI303:AI380)</f>
        <v>#N/A</v>
      </c>
      <c r="AJ302" s="968" t="e">
        <f>SUM(AJ303:AJ380)</f>
        <v>#N/A</v>
      </c>
      <c r="AK302" s="975"/>
      <c r="AL302" s="968"/>
      <c r="AM302" s="968">
        <f t="shared" ref="AM302:AZ302" si="99">SUM(AM303:AM380)</f>
        <v>0</v>
      </c>
      <c r="AN302" s="968" t="e">
        <f t="shared" si="99"/>
        <v>#N/A</v>
      </c>
      <c r="AO302" s="968" t="e">
        <f t="shared" si="99"/>
        <v>#N/A</v>
      </c>
      <c r="AP302" s="968">
        <f t="shared" si="99"/>
        <v>0</v>
      </c>
      <c r="AQ302" s="968">
        <f t="shared" si="99"/>
        <v>0</v>
      </c>
      <c r="AR302" s="968">
        <f t="shared" si="99"/>
        <v>0</v>
      </c>
      <c r="AS302" s="968">
        <f t="shared" si="99"/>
        <v>0</v>
      </c>
      <c r="AT302" s="968" t="e">
        <f t="shared" si="99"/>
        <v>#N/A</v>
      </c>
      <c r="AU302" s="968" t="e">
        <f t="shared" si="99"/>
        <v>#N/A</v>
      </c>
      <c r="AV302" s="968">
        <f t="shared" si="99"/>
        <v>0</v>
      </c>
      <c r="AW302" s="968" t="e">
        <f t="shared" si="99"/>
        <v>#N/A</v>
      </c>
      <c r="AX302" s="968" t="e">
        <f t="shared" si="99"/>
        <v>#N/A</v>
      </c>
      <c r="AY302" s="968" t="e">
        <f t="shared" si="99"/>
        <v>#N/A</v>
      </c>
      <c r="AZ302" s="968">
        <f t="shared" si="99"/>
        <v>63</v>
      </c>
    </row>
    <row r="303" spans="1:52" ht="15.75">
      <c r="A303" s="996">
        <v>1</v>
      </c>
      <c r="B303" s="958" t="str">
        <f>VLOOKUP(C303,'[8]DS CN MOI UP'!$B$10:$C$489,2,0)</f>
        <v>02615</v>
      </c>
      <c r="C303" s="1001" t="s">
        <v>206</v>
      </c>
      <c r="D303" s="1002" t="s">
        <v>15</v>
      </c>
      <c r="E303" s="960"/>
      <c r="F303" s="960">
        <v>3</v>
      </c>
      <c r="G303" s="960"/>
      <c r="H303" s="960">
        <v>3</v>
      </c>
      <c r="I303" s="960"/>
      <c r="J303" s="960">
        <v>1</v>
      </c>
      <c r="K303" s="960">
        <v>3</v>
      </c>
      <c r="L303" s="960">
        <v>3</v>
      </c>
      <c r="M303" s="960">
        <v>1</v>
      </c>
      <c r="N303" s="960">
        <f t="shared" ref="N303:N366" si="100">E303/$N$8</f>
        <v>0</v>
      </c>
      <c r="O303" s="960">
        <f t="shared" ref="O303:O366" si="101">F303/$O$8</f>
        <v>19.2</v>
      </c>
      <c r="P303" s="960">
        <f t="shared" ref="P303:P366" si="102">G303/$P$8</f>
        <v>0</v>
      </c>
      <c r="Q303" s="960">
        <f t="shared" ref="Q303:Q366" si="103">H303/$Q$8</f>
        <v>12</v>
      </c>
      <c r="R303" s="960">
        <f t="shared" ref="R303:R366" si="104">I303/$R$8</f>
        <v>0</v>
      </c>
      <c r="S303" s="960">
        <f t="shared" ref="S303:S366" si="105">J303/$S$8</f>
        <v>2</v>
      </c>
      <c r="T303" s="960">
        <f t="shared" ref="T303:T366" si="106">K303/$T$8</f>
        <v>3</v>
      </c>
      <c r="U303" s="960">
        <f t="shared" ref="U303:U366" si="107">L303/$U$8</f>
        <v>3</v>
      </c>
      <c r="V303" s="960">
        <f t="shared" ref="V303:V366" si="108">M303/$V$8</f>
        <v>1</v>
      </c>
      <c r="W303" s="960"/>
      <c r="X303" s="960"/>
      <c r="Y303" s="960"/>
      <c r="Z303" s="960"/>
      <c r="AA303" s="975">
        <f t="shared" ref="AA303:AA366" si="109">SUM(N303:Z303)</f>
        <v>40.200000000000003</v>
      </c>
      <c r="AB303" s="975">
        <f>VLOOKUP(C303,'[8]MỦ TẠP'!$D$10:$AM$450,36,0)</f>
        <v>0</v>
      </c>
      <c r="AC303" s="975"/>
      <c r="AD303" s="975"/>
      <c r="AE303" s="975">
        <f>VLOOKUP(C303,'[8]MỦ TẠP'!$D$10:$AM$450,36,0)</f>
        <v>0</v>
      </c>
      <c r="AF303" s="975"/>
      <c r="AG303" s="975"/>
      <c r="AH303" s="975">
        <f t="shared" ref="AH303:AH366" si="110">AE303*$AV$17+AF303*$AV$10+$AV$11*AG303</f>
        <v>0</v>
      </c>
      <c r="AI303" s="975">
        <f>VLOOKUP(C303,'[8]CHẤM CÔNG '!$F$10:$AM$451,33,0)</f>
        <v>0</v>
      </c>
      <c r="AJ303" s="975">
        <f>VLOOKUP(C303,'[8]CHẤM CÔNG '!$F$10:$AM$451,34,0)</f>
        <v>0</v>
      </c>
      <c r="AK303" s="975"/>
      <c r="AL303" s="975"/>
      <c r="AM303" s="975"/>
      <c r="AN303" s="975">
        <f>VLOOKUP(C303,'[8]CHẤM CÔNG '!$F$10:$AN$451,35,0)</f>
        <v>0</v>
      </c>
      <c r="AO303" s="975">
        <f>VLOOKUP(C303,'[8]CHẤM CÔNG '!$F$10:$AR$451,36,0)</f>
        <v>0</v>
      </c>
      <c r="AP303" s="975"/>
      <c r="AQ303" s="975"/>
      <c r="AR303" s="975"/>
      <c r="AS303" s="981"/>
      <c r="AT303" s="982">
        <f>VLOOKUP(C303,'[8]MỦ TẠP'!$D$10:$AO$450,38,0)</f>
        <v>0</v>
      </c>
      <c r="AU303" s="976" t="e">
        <f>SUM(AE303:AE373)</f>
        <v>#N/A</v>
      </c>
      <c r="AV303" s="976">
        <f>SUM(AF303:AF373)</f>
        <v>0</v>
      </c>
      <c r="AW303" s="976" t="e">
        <f>SUM(AH303:AH373)</f>
        <v>#N/A</v>
      </c>
      <c r="AX303" s="976" t="e">
        <f>SUM(AI303:AI373)</f>
        <v>#N/A</v>
      </c>
      <c r="AY303" s="976" t="e">
        <f>SUM(AJ303:AJ373)</f>
        <v>#N/A</v>
      </c>
      <c r="AZ303" s="976">
        <f>SUM(AK303:AK373)</f>
        <v>0</v>
      </c>
    </row>
    <row r="304" spans="1:52" ht="15.75">
      <c r="A304" s="996">
        <v>2</v>
      </c>
      <c r="B304" s="958" t="str">
        <f>VLOOKUP(C304,'[8]DS CN MOI UP'!$B$10:$C$489,2,0)</f>
        <v>02594</v>
      </c>
      <c r="C304" s="1001" t="s">
        <v>207</v>
      </c>
      <c r="D304" s="1002" t="s">
        <v>15</v>
      </c>
      <c r="E304" s="960"/>
      <c r="F304" s="960">
        <v>3</v>
      </c>
      <c r="G304" s="960"/>
      <c r="H304" s="960">
        <v>3</v>
      </c>
      <c r="I304" s="960"/>
      <c r="J304" s="960">
        <v>1</v>
      </c>
      <c r="K304" s="960">
        <v>3</v>
      </c>
      <c r="L304" s="960">
        <v>3</v>
      </c>
      <c r="M304" s="960">
        <v>1</v>
      </c>
      <c r="N304" s="960">
        <f t="shared" si="100"/>
        <v>0</v>
      </c>
      <c r="O304" s="960">
        <f t="shared" si="101"/>
        <v>19.2</v>
      </c>
      <c r="P304" s="960">
        <f t="shared" si="102"/>
        <v>0</v>
      </c>
      <c r="Q304" s="960">
        <f t="shared" si="103"/>
        <v>12</v>
      </c>
      <c r="R304" s="960">
        <f t="shared" si="104"/>
        <v>0</v>
      </c>
      <c r="S304" s="960">
        <f t="shared" si="105"/>
        <v>2</v>
      </c>
      <c r="T304" s="960">
        <f t="shared" si="106"/>
        <v>3</v>
      </c>
      <c r="U304" s="960">
        <f t="shared" si="107"/>
        <v>3</v>
      </c>
      <c r="V304" s="960">
        <f t="shared" si="108"/>
        <v>1</v>
      </c>
      <c r="W304" s="960"/>
      <c r="X304" s="960"/>
      <c r="Y304" s="960"/>
      <c r="Z304" s="960"/>
      <c r="AA304" s="975">
        <f t="shared" si="109"/>
        <v>40.200000000000003</v>
      </c>
      <c r="AB304" s="975">
        <f>VLOOKUP(C304,'[8]MỦ TẠP'!$D$10:$AM$450,36,0)</f>
        <v>0</v>
      </c>
      <c r="AC304" s="975"/>
      <c r="AD304" s="975"/>
      <c r="AE304" s="975">
        <f>VLOOKUP(C304,'[8]MỦ TẠP'!$D$10:$AM$450,36,0)</f>
        <v>0</v>
      </c>
      <c r="AF304" s="975"/>
      <c r="AG304" s="975"/>
      <c r="AH304" s="975">
        <f t="shared" si="110"/>
        <v>0</v>
      </c>
      <c r="AI304" s="975">
        <f>VLOOKUP(C304,'[8]CHẤM CÔNG '!$F$10:$AM$451,33,0)</f>
        <v>0</v>
      </c>
      <c r="AJ304" s="975">
        <f>VLOOKUP(C304,'[8]CHẤM CÔNG '!$F$10:$AM$451,34,0)</f>
        <v>0</v>
      </c>
      <c r="AK304" s="975"/>
      <c r="AL304" s="975"/>
      <c r="AM304" s="975"/>
      <c r="AN304" s="975">
        <f>VLOOKUP(C304,'[8]CHẤM CÔNG '!$F$10:$AN$451,35,0)</f>
        <v>0</v>
      </c>
      <c r="AO304" s="975">
        <f>VLOOKUP(C304,'[8]CHẤM CÔNG '!$F$10:$AR$451,36,0)</f>
        <v>0</v>
      </c>
      <c r="AP304" s="975"/>
      <c r="AQ304" s="975"/>
      <c r="AR304" s="975"/>
      <c r="AS304" s="981"/>
      <c r="AT304" s="982">
        <f>VLOOKUP(C304,'[8]MỦ TẠP'!$D$10:$AO$450,38,0)</f>
        <v>0</v>
      </c>
      <c r="AU304" s="976" t="e">
        <f>+AE302-AU303</f>
        <v>#N/A</v>
      </c>
      <c r="AV304" s="976">
        <f>+AF302-AV303</f>
        <v>0</v>
      </c>
      <c r="AW304" s="976" t="e">
        <f>+AH302-AW303</f>
        <v>#N/A</v>
      </c>
      <c r="AX304" s="976" t="e">
        <f>+AI302-AX303</f>
        <v>#N/A</v>
      </c>
      <c r="AY304" s="976" t="e">
        <f>+AJ302-AY303</f>
        <v>#N/A</v>
      </c>
    </row>
    <row r="305" spans="1:52" ht="15.75">
      <c r="A305" s="996">
        <v>3</v>
      </c>
      <c r="B305" s="958" t="str">
        <f>VLOOKUP(C305,'[8]DS CN MOI UP'!$B$10:$C$489,2,0)</f>
        <v>02596</v>
      </c>
      <c r="C305" s="1001" t="s">
        <v>208</v>
      </c>
      <c r="D305" s="1002" t="s">
        <v>15</v>
      </c>
      <c r="E305" s="960"/>
      <c r="F305" s="960">
        <v>3</v>
      </c>
      <c r="G305" s="960"/>
      <c r="H305" s="960">
        <v>3</v>
      </c>
      <c r="I305" s="960"/>
      <c r="J305" s="960">
        <v>1</v>
      </c>
      <c r="K305" s="960">
        <v>3</v>
      </c>
      <c r="L305" s="960">
        <v>3</v>
      </c>
      <c r="M305" s="960">
        <v>1</v>
      </c>
      <c r="N305" s="960">
        <f t="shared" si="100"/>
        <v>0</v>
      </c>
      <c r="O305" s="960">
        <f t="shared" si="101"/>
        <v>19.2</v>
      </c>
      <c r="P305" s="960">
        <f t="shared" si="102"/>
        <v>0</v>
      </c>
      <c r="Q305" s="960">
        <f t="shared" si="103"/>
        <v>12</v>
      </c>
      <c r="R305" s="960">
        <f t="shared" si="104"/>
        <v>0</v>
      </c>
      <c r="S305" s="960">
        <f t="shared" si="105"/>
        <v>2</v>
      </c>
      <c r="T305" s="960">
        <f t="shared" si="106"/>
        <v>3</v>
      </c>
      <c r="U305" s="960">
        <f t="shared" si="107"/>
        <v>3</v>
      </c>
      <c r="V305" s="960">
        <f t="shared" si="108"/>
        <v>1</v>
      </c>
      <c r="W305" s="960"/>
      <c r="X305" s="960"/>
      <c r="Y305" s="960"/>
      <c r="Z305" s="960"/>
      <c r="AA305" s="975">
        <f t="shared" si="109"/>
        <v>40.200000000000003</v>
      </c>
      <c r="AB305" s="975">
        <f>VLOOKUP(C305,'[8]MỦ TẠP'!$D$10:$AM$450,36,0)</f>
        <v>0</v>
      </c>
      <c r="AC305" s="975"/>
      <c r="AD305" s="975"/>
      <c r="AE305" s="975">
        <f>VLOOKUP(C305,'[8]MỦ TẠP'!$D$10:$AM$450,36,0)</f>
        <v>0</v>
      </c>
      <c r="AF305" s="975"/>
      <c r="AG305" s="975"/>
      <c r="AH305" s="975">
        <f t="shared" si="110"/>
        <v>0</v>
      </c>
      <c r="AI305" s="975">
        <f>VLOOKUP(C305,'[8]CHẤM CÔNG '!$F$10:$AM$451,33,0)</f>
        <v>0</v>
      </c>
      <c r="AJ305" s="975">
        <f>VLOOKUP(C305,'[8]CHẤM CÔNG '!$F$10:$AM$451,34,0)</f>
        <v>0</v>
      </c>
      <c r="AK305" s="975"/>
      <c r="AL305" s="975"/>
      <c r="AM305" s="975"/>
      <c r="AN305" s="975">
        <f>VLOOKUP(C305,'[8]CHẤM CÔNG '!$F$10:$AN$451,35,0)</f>
        <v>0</v>
      </c>
      <c r="AO305" s="975">
        <f>VLOOKUP(C305,'[8]CHẤM CÔNG '!$F$10:$AR$451,36,0)</f>
        <v>0</v>
      </c>
      <c r="AP305" s="975"/>
      <c r="AQ305" s="975"/>
      <c r="AR305" s="975"/>
      <c r="AS305" s="981"/>
      <c r="AT305" s="982">
        <f>VLOOKUP(C305,'[8]MỦ TẠP'!$D$10:$AO$450,38,0)</f>
        <v>0</v>
      </c>
      <c r="AX305" s="944">
        <f t="shared" ref="AX305:AX368" si="111">3-AZ305</f>
        <v>3</v>
      </c>
    </row>
    <row r="306" spans="1:52" ht="15.75">
      <c r="A306" s="996">
        <v>4</v>
      </c>
      <c r="B306" s="958" t="str">
        <f>VLOOKUP(C306,'[8]DS CN MOI UP'!$B$10:$C$489,2,0)</f>
        <v>02601</v>
      </c>
      <c r="C306" s="1001" t="s">
        <v>209</v>
      </c>
      <c r="D306" s="1002" t="s">
        <v>15</v>
      </c>
      <c r="E306" s="960"/>
      <c r="F306" s="960">
        <v>3</v>
      </c>
      <c r="G306" s="960"/>
      <c r="H306" s="960">
        <v>3</v>
      </c>
      <c r="I306" s="960"/>
      <c r="J306" s="960">
        <v>1</v>
      </c>
      <c r="K306" s="960">
        <v>3</v>
      </c>
      <c r="L306" s="960">
        <v>3</v>
      </c>
      <c r="M306" s="960">
        <v>1</v>
      </c>
      <c r="N306" s="960">
        <f t="shared" si="100"/>
        <v>0</v>
      </c>
      <c r="O306" s="960">
        <f t="shared" si="101"/>
        <v>19.2</v>
      </c>
      <c r="P306" s="960">
        <f t="shared" si="102"/>
        <v>0</v>
      </c>
      <c r="Q306" s="960">
        <f t="shared" si="103"/>
        <v>12</v>
      </c>
      <c r="R306" s="960">
        <f t="shared" si="104"/>
        <v>0</v>
      </c>
      <c r="S306" s="960">
        <f t="shared" si="105"/>
        <v>2</v>
      </c>
      <c r="T306" s="960">
        <f t="shared" si="106"/>
        <v>3</v>
      </c>
      <c r="U306" s="960">
        <f t="shared" si="107"/>
        <v>3</v>
      </c>
      <c r="V306" s="960">
        <f t="shared" si="108"/>
        <v>1</v>
      </c>
      <c r="W306" s="960"/>
      <c r="X306" s="960"/>
      <c r="Y306" s="960"/>
      <c r="Z306" s="960"/>
      <c r="AA306" s="975">
        <f t="shared" si="109"/>
        <v>40.200000000000003</v>
      </c>
      <c r="AB306" s="975">
        <f>VLOOKUP(C306,'[8]MỦ TẠP'!$D$10:$AM$450,36,0)</f>
        <v>0</v>
      </c>
      <c r="AC306" s="975"/>
      <c r="AD306" s="975"/>
      <c r="AE306" s="975">
        <f>VLOOKUP(C306,'[8]MỦ TẠP'!$D$10:$AM$450,36,0)</f>
        <v>0</v>
      </c>
      <c r="AF306" s="975"/>
      <c r="AG306" s="975"/>
      <c r="AH306" s="975">
        <f t="shared" si="110"/>
        <v>0</v>
      </c>
      <c r="AI306" s="975">
        <f>VLOOKUP(C306,'[8]CHẤM CÔNG '!$F$10:$AM$451,33,0)</f>
        <v>0</v>
      </c>
      <c r="AJ306" s="975">
        <f>VLOOKUP(C306,'[8]CHẤM CÔNG '!$F$10:$AM$451,34,0)</f>
        <v>0</v>
      </c>
      <c r="AK306" s="975"/>
      <c r="AL306" s="975"/>
      <c r="AM306" s="975"/>
      <c r="AN306" s="975">
        <f>VLOOKUP(C306,'[8]CHẤM CÔNG '!$F$10:$AN$451,35,0)</f>
        <v>0</v>
      </c>
      <c r="AO306" s="975">
        <f>VLOOKUP(C306,'[8]CHẤM CÔNG '!$F$10:$AR$451,36,0)</f>
        <v>0</v>
      </c>
      <c r="AP306" s="975"/>
      <c r="AQ306" s="975"/>
      <c r="AR306" s="975"/>
      <c r="AS306" s="981"/>
      <c r="AT306" s="982">
        <f>VLOOKUP(C306,'[8]MỦ TẠP'!$D$10:$AO$450,38,0)</f>
        <v>0</v>
      </c>
      <c r="AX306" s="944">
        <f t="shared" si="111"/>
        <v>3</v>
      </c>
    </row>
    <row r="307" spans="1:52" ht="15.75">
      <c r="A307" s="996">
        <v>5</v>
      </c>
      <c r="B307" s="958" t="str">
        <f>VLOOKUP(C307,'[8]DS CN MOI UP'!$B$10:$C$489,2,0)</f>
        <v>02697</v>
      </c>
      <c r="C307" s="1001" t="s">
        <v>210</v>
      </c>
      <c r="D307" s="1002" t="s">
        <v>15</v>
      </c>
      <c r="E307" s="960"/>
      <c r="F307" s="960">
        <v>3</v>
      </c>
      <c r="G307" s="960"/>
      <c r="H307" s="960">
        <v>3</v>
      </c>
      <c r="I307" s="960"/>
      <c r="J307" s="960">
        <v>1</v>
      </c>
      <c r="K307" s="960">
        <v>3</v>
      </c>
      <c r="L307" s="960">
        <v>3</v>
      </c>
      <c r="M307" s="960">
        <v>1</v>
      </c>
      <c r="N307" s="960">
        <f t="shared" si="100"/>
        <v>0</v>
      </c>
      <c r="O307" s="960">
        <f t="shared" si="101"/>
        <v>19.2</v>
      </c>
      <c r="P307" s="960">
        <f t="shared" si="102"/>
        <v>0</v>
      </c>
      <c r="Q307" s="960">
        <f t="shared" si="103"/>
        <v>12</v>
      </c>
      <c r="R307" s="960">
        <f t="shared" si="104"/>
        <v>0</v>
      </c>
      <c r="S307" s="960">
        <f t="shared" si="105"/>
        <v>2</v>
      </c>
      <c r="T307" s="960">
        <f t="shared" si="106"/>
        <v>3</v>
      </c>
      <c r="U307" s="960">
        <f t="shared" si="107"/>
        <v>3</v>
      </c>
      <c r="V307" s="960">
        <f t="shared" si="108"/>
        <v>1</v>
      </c>
      <c r="W307" s="960"/>
      <c r="X307" s="960"/>
      <c r="Y307" s="960"/>
      <c r="Z307" s="960"/>
      <c r="AA307" s="975">
        <f t="shared" si="109"/>
        <v>40.200000000000003</v>
      </c>
      <c r="AB307" s="975">
        <f>VLOOKUP(C307,'[8]MỦ TẠP'!$D$10:$AM$450,36,0)</f>
        <v>0</v>
      </c>
      <c r="AC307" s="975"/>
      <c r="AD307" s="975"/>
      <c r="AE307" s="975">
        <f>VLOOKUP(C307,'[8]MỦ TẠP'!$D$10:$AM$450,36,0)</f>
        <v>0</v>
      </c>
      <c r="AF307" s="975"/>
      <c r="AG307" s="975"/>
      <c r="AH307" s="975">
        <f t="shared" si="110"/>
        <v>0</v>
      </c>
      <c r="AI307" s="975">
        <f>VLOOKUP(C307,'[8]CHẤM CÔNG '!$F$10:$AM$451,33,0)</f>
        <v>0</v>
      </c>
      <c r="AJ307" s="975">
        <f>VLOOKUP(C307,'[8]CHẤM CÔNG '!$F$10:$AM$451,34,0)</f>
        <v>0</v>
      </c>
      <c r="AK307" s="975"/>
      <c r="AL307" s="975"/>
      <c r="AM307" s="975"/>
      <c r="AN307" s="975">
        <f>VLOOKUP(C307,'[8]CHẤM CÔNG '!$F$10:$AN$451,35,0)</f>
        <v>0</v>
      </c>
      <c r="AO307" s="975">
        <f>VLOOKUP(C307,'[8]CHẤM CÔNG '!$F$10:$AR$451,36,0)</f>
        <v>0</v>
      </c>
      <c r="AP307" s="975"/>
      <c r="AQ307" s="975"/>
      <c r="AR307" s="975"/>
      <c r="AS307" s="981"/>
      <c r="AT307" s="982">
        <f>VLOOKUP(C307,'[8]MỦ TẠP'!$D$10:$AO$450,38,0)</f>
        <v>0</v>
      </c>
      <c r="AX307" s="944">
        <f t="shared" si="111"/>
        <v>3</v>
      </c>
    </row>
    <row r="308" spans="1:52" ht="15.75">
      <c r="A308" s="996">
        <v>6</v>
      </c>
      <c r="B308" s="958" t="str">
        <f>VLOOKUP(C308,'[8]DS CN MOI UP'!$B$10:$C$489,2,0)</f>
        <v>02610</v>
      </c>
      <c r="C308" s="1001" t="s">
        <v>211</v>
      </c>
      <c r="D308" s="1002" t="s">
        <v>15</v>
      </c>
      <c r="E308" s="960"/>
      <c r="F308" s="960">
        <v>3</v>
      </c>
      <c r="G308" s="960"/>
      <c r="H308" s="960">
        <v>3</v>
      </c>
      <c r="I308" s="960"/>
      <c r="J308" s="960">
        <v>1</v>
      </c>
      <c r="K308" s="960">
        <v>3</v>
      </c>
      <c r="L308" s="960">
        <v>3</v>
      </c>
      <c r="M308" s="960">
        <v>1</v>
      </c>
      <c r="N308" s="960">
        <f t="shared" si="100"/>
        <v>0</v>
      </c>
      <c r="O308" s="960">
        <f t="shared" si="101"/>
        <v>19.2</v>
      </c>
      <c r="P308" s="960">
        <f t="shared" si="102"/>
        <v>0</v>
      </c>
      <c r="Q308" s="960">
        <f t="shared" si="103"/>
        <v>12</v>
      </c>
      <c r="R308" s="960">
        <f t="shared" si="104"/>
        <v>0</v>
      </c>
      <c r="S308" s="960">
        <f t="shared" si="105"/>
        <v>2</v>
      </c>
      <c r="T308" s="960">
        <f t="shared" si="106"/>
        <v>3</v>
      </c>
      <c r="U308" s="960">
        <f t="shared" si="107"/>
        <v>3</v>
      </c>
      <c r="V308" s="960">
        <f t="shared" si="108"/>
        <v>1</v>
      </c>
      <c r="W308" s="960"/>
      <c r="X308" s="960"/>
      <c r="Y308" s="960"/>
      <c r="Z308" s="960"/>
      <c r="AA308" s="975">
        <f t="shared" si="109"/>
        <v>40.200000000000003</v>
      </c>
      <c r="AB308" s="975">
        <f>VLOOKUP(C308,'[8]MỦ TẠP'!$D$10:$AM$450,36,0)</f>
        <v>0</v>
      </c>
      <c r="AC308" s="975"/>
      <c r="AD308" s="975"/>
      <c r="AE308" s="975">
        <f>VLOOKUP(C308,'[8]MỦ TẠP'!$D$10:$AM$450,36,0)</f>
        <v>0</v>
      </c>
      <c r="AF308" s="975"/>
      <c r="AG308" s="975"/>
      <c r="AH308" s="975">
        <f t="shared" si="110"/>
        <v>0</v>
      </c>
      <c r="AI308" s="975">
        <f>VLOOKUP(C308,'[8]CHẤM CÔNG '!$F$10:$AM$451,33,0)</f>
        <v>0</v>
      </c>
      <c r="AJ308" s="975">
        <f>VLOOKUP(C308,'[8]CHẤM CÔNG '!$F$10:$AM$451,34,0)</f>
        <v>0</v>
      </c>
      <c r="AK308" s="975"/>
      <c r="AL308" s="975"/>
      <c r="AM308" s="975"/>
      <c r="AN308" s="975">
        <f>VLOOKUP(C308,'[8]CHẤM CÔNG '!$F$10:$AN$451,35,0)</f>
        <v>0</v>
      </c>
      <c r="AO308" s="975">
        <f>VLOOKUP(C308,'[8]CHẤM CÔNG '!$F$10:$AR$451,36,0)</f>
        <v>0</v>
      </c>
      <c r="AP308" s="975"/>
      <c r="AQ308" s="975"/>
      <c r="AR308" s="975"/>
      <c r="AS308" s="981"/>
      <c r="AT308" s="982">
        <f>VLOOKUP(C308,'[8]MỦ TẠP'!$D$10:$AO$450,38,0)</f>
        <v>0</v>
      </c>
      <c r="AX308" s="944">
        <f t="shared" si="111"/>
        <v>3</v>
      </c>
    </row>
    <row r="309" spans="1:52" ht="15.75">
      <c r="A309" s="996">
        <v>7</v>
      </c>
      <c r="B309" s="958" t="str">
        <f>VLOOKUP(C309,'[8]DS CN MOI UP'!$B$10:$C$489,2,0)</f>
        <v>02611</v>
      </c>
      <c r="C309" s="1001" t="s">
        <v>212</v>
      </c>
      <c r="D309" s="1002" t="s">
        <v>15</v>
      </c>
      <c r="E309" s="960"/>
      <c r="F309" s="960">
        <v>3</v>
      </c>
      <c r="G309" s="960"/>
      <c r="H309" s="960">
        <v>3</v>
      </c>
      <c r="I309" s="960"/>
      <c r="J309" s="960">
        <v>1</v>
      </c>
      <c r="K309" s="960">
        <v>3</v>
      </c>
      <c r="L309" s="960">
        <v>3</v>
      </c>
      <c r="M309" s="960">
        <v>1</v>
      </c>
      <c r="N309" s="960">
        <f t="shared" si="100"/>
        <v>0</v>
      </c>
      <c r="O309" s="960">
        <f t="shared" si="101"/>
        <v>19.2</v>
      </c>
      <c r="P309" s="960">
        <f t="shared" si="102"/>
        <v>0</v>
      </c>
      <c r="Q309" s="960">
        <f t="shared" si="103"/>
        <v>12</v>
      </c>
      <c r="R309" s="960">
        <f t="shared" si="104"/>
        <v>0</v>
      </c>
      <c r="S309" s="960">
        <f t="shared" si="105"/>
        <v>2</v>
      </c>
      <c r="T309" s="960">
        <f t="shared" si="106"/>
        <v>3</v>
      </c>
      <c r="U309" s="960">
        <f t="shared" si="107"/>
        <v>3</v>
      </c>
      <c r="V309" s="960">
        <f t="shared" si="108"/>
        <v>1</v>
      </c>
      <c r="W309" s="960"/>
      <c r="X309" s="960"/>
      <c r="Y309" s="960"/>
      <c r="Z309" s="960"/>
      <c r="AA309" s="975">
        <f t="shared" si="109"/>
        <v>40.200000000000003</v>
      </c>
      <c r="AB309" s="975">
        <f>VLOOKUP(C309,'[8]MỦ TẠP'!$D$10:$AM$450,36,0)</f>
        <v>0</v>
      </c>
      <c r="AC309" s="975"/>
      <c r="AD309" s="975"/>
      <c r="AE309" s="975">
        <f>VLOOKUP(C309,'[8]MỦ TẠP'!$D$10:$AM$450,36,0)</f>
        <v>0</v>
      </c>
      <c r="AF309" s="975"/>
      <c r="AG309" s="975"/>
      <c r="AH309" s="975">
        <f t="shared" si="110"/>
        <v>0</v>
      </c>
      <c r="AI309" s="975">
        <f>VLOOKUP(C309,'[8]CHẤM CÔNG '!$F$10:$AM$451,33,0)</f>
        <v>0</v>
      </c>
      <c r="AJ309" s="975">
        <f>VLOOKUP(C309,'[8]CHẤM CÔNG '!$F$10:$AM$451,34,0)</f>
        <v>0</v>
      </c>
      <c r="AK309" s="975"/>
      <c r="AL309" s="975"/>
      <c r="AM309" s="975"/>
      <c r="AN309" s="975">
        <f>VLOOKUP(C309,'[8]CHẤM CÔNG '!$F$10:$AN$451,35,0)</f>
        <v>0</v>
      </c>
      <c r="AO309" s="975">
        <f>VLOOKUP(C309,'[8]CHẤM CÔNG '!$F$10:$AR$451,36,0)</f>
        <v>0</v>
      </c>
      <c r="AP309" s="975"/>
      <c r="AQ309" s="975"/>
      <c r="AR309" s="975"/>
      <c r="AS309" s="981"/>
      <c r="AT309" s="982">
        <f>VLOOKUP(C309,'[8]MỦ TẠP'!$D$10:$AO$450,38,0)</f>
        <v>0</v>
      </c>
      <c r="AX309" s="944">
        <f t="shared" si="111"/>
        <v>2</v>
      </c>
      <c r="AZ309" s="944">
        <v>1</v>
      </c>
    </row>
    <row r="310" spans="1:52" ht="15.75">
      <c r="A310" s="996">
        <v>8</v>
      </c>
      <c r="B310" s="958" t="str">
        <f>VLOOKUP(C310,'[8]DS CN MOI UP'!$B$10:$C$489,2,0)</f>
        <v>02602</v>
      </c>
      <c r="C310" s="1001" t="s">
        <v>213</v>
      </c>
      <c r="D310" s="1002" t="s">
        <v>15</v>
      </c>
      <c r="E310" s="960"/>
      <c r="F310" s="960">
        <v>3</v>
      </c>
      <c r="G310" s="960"/>
      <c r="H310" s="960">
        <v>3</v>
      </c>
      <c r="I310" s="960"/>
      <c r="J310" s="960">
        <v>1</v>
      </c>
      <c r="K310" s="960">
        <v>3</v>
      </c>
      <c r="L310" s="960">
        <v>3</v>
      </c>
      <c r="M310" s="960">
        <v>1</v>
      </c>
      <c r="N310" s="960">
        <f t="shared" si="100"/>
        <v>0</v>
      </c>
      <c r="O310" s="960">
        <f t="shared" si="101"/>
        <v>19.2</v>
      </c>
      <c r="P310" s="960">
        <f t="shared" si="102"/>
        <v>0</v>
      </c>
      <c r="Q310" s="960">
        <f t="shared" si="103"/>
        <v>12</v>
      </c>
      <c r="R310" s="960">
        <f t="shared" si="104"/>
        <v>0</v>
      </c>
      <c r="S310" s="960">
        <f t="shared" si="105"/>
        <v>2</v>
      </c>
      <c r="T310" s="960">
        <f t="shared" si="106"/>
        <v>3</v>
      </c>
      <c r="U310" s="960">
        <f t="shared" si="107"/>
        <v>3</v>
      </c>
      <c r="V310" s="960">
        <f t="shared" si="108"/>
        <v>1</v>
      </c>
      <c r="W310" s="960"/>
      <c r="X310" s="960"/>
      <c r="Y310" s="960"/>
      <c r="Z310" s="960"/>
      <c r="AA310" s="975">
        <f t="shared" si="109"/>
        <v>40.200000000000003</v>
      </c>
      <c r="AB310" s="975">
        <f>VLOOKUP(C310,'[8]MỦ TẠP'!$D$10:$AM$450,36,0)</f>
        <v>0</v>
      </c>
      <c r="AC310" s="975"/>
      <c r="AD310" s="975"/>
      <c r="AE310" s="975">
        <f>VLOOKUP(C310,'[8]MỦ TẠP'!$D$10:$AM$450,36,0)</f>
        <v>0</v>
      </c>
      <c r="AF310" s="975"/>
      <c r="AG310" s="975"/>
      <c r="AH310" s="975">
        <f t="shared" si="110"/>
        <v>0</v>
      </c>
      <c r="AI310" s="975">
        <f>VLOOKUP(C310,'[8]CHẤM CÔNG '!$F$10:$AM$451,33,0)</f>
        <v>0</v>
      </c>
      <c r="AJ310" s="975">
        <f>VLOOKUP(C310,'[8]CHẤM CÔNG '!$F$10:$AM$451,34,0)</f>
        <v>0</v>
      </c>
      <c r="AK310" s="975"/>
      <c r="AL310" s="975"/>
      <c r="AM310" s="975"/>
      <c r="AN310" s="975">
        <f>VLOOKUP(C310,'[8]CHẤM CÔNG '!$F$10:$AN$451,35,0)</f>
        <v>0</v>
      </c>
      <c r="AO310" s="975">
        <f>VLOOKUP(C310,'[8]CHẤM CÔNG '!$F$10:$AR$451,36,0)</f>
        <v>0</v>
      </c>
      <c r="AP310" s="975"/>
      <c r="AQ310" s="975"/>
      <c r="AR310" s="975"/>
      <c r="AS310" s="981"/>
      <c r="AT310" s="982">
        <f>VLOOKUP(C310,'[8]MỦ TẠP'!$D$10:$AO$450,38,0)</f>
        <v>0</v>
      </c>
      <c r="AX310" s="944">
        <f t="shared" si="111"/>
        <v>3</v>
      </c>
    </row>
    <row r="311" spans="1:52" ht="15.75">
      <c r="A311" s="996">
        <v>9</v>
      </c>
      <c r="B311" s="958" t="str">
        <f>VLOOKUP(C311,'[8]DS CN MOI UP'!$B$10:$C$489,2,0)</f>
        <v>02609</v>
      </c>
      <c r="C311" s="1001" t="s">
        <v>214</v>
      </c>
      <c r="D311" s="1002" t="s">
        <v>15</v>
      </c>
      <c r="E311" s="960"/>
      <c r="F311" s="960">
        <v>3</v>
      </c>
      <c r="G311" s="960"/>
      <c r="H311" s="960">
        <v>3</v>
      </c>
      <c r="I311" s="960"/>
      <c r="J311" s="960">
        <v>1</v>
      </c>
      <c r="K311" s="960">
        <v>3</v>
      </c>
      <c r="L311" s="960">
        <v>3</v>
      </c>
      <c r="M311" s="960">
        <v>1</v>
      </c>
      <c r="N311" s="960">
        <f t="shared" si="100"/>
        <v>0</v>
      </c>
      <c r="O311" s="960">
        <f t="shared" si="101"/>
        <v>19.2</v>
      </c>
      <c r="P311" s="960">
        <f t="shared" si="102"/>
        <v>0</v>
      </c>
      <c r="Q311" s="960">
        <f t="shared" si="103"/>
        <v>12</v>
      </c>
      <c r="R311" s="960">
        <f t="shared" si="104"/>
        <v>0</v>
      </c>
      <c r="S311" s="960">
        <f t="shared" si="105"/>
        <v>2</v>
      </c>
      <c r="T311" s="960">
        <f t="shared" si="106"/>
        <v>3</v>
      </c>
      <c r="U311" s="960">
        <f t="shared" si="107"/>
        <v>3</v>
      </c>
      <c r="V311" s="960">
        <f t="shared" si="108"/>
        <v>1</v>
      </c>
      <c r="W311" s="960"/>
      <c r="X311" s="960"/>
      <c r="Y311" s="960"/>
      <c r="Z311" s="960"/>
      <c r="AA311" s="975">
        <f t="shared" si="109"/>
        <v>40.200000000000003</v>
      </c>
      <c r="AB311" s="975">
        <f>VLOOKUP(C311,'[8]MỦ TẠP'!$D$10:$AM$450,36,0)</f>
        <v>0</v>
      </c>
      <c r="AC311" s="975"/>
      <c r="AD311" s="975"/>
      <c r="AE311" s="975">
        <f>VLOOKUP(C311,'[8]MỦ TẠP'!$D$10:$AM$450,36,0)</f>
        <v>0</v>
      </c>
      <c r="AF311" s="975"/>
      <c r="AG311" s="975"/>
      <c r="AH311" s="975">
        <f t="shared" si="110"/>
        <v>0</v>
      </c>
      <c r="AI311" s="975">
        <f>VLOOKUP(C311,'[8]CHẤM CÔNG '!$F$10:$AM$451,33,0)</f>
        <v>0</v>
      </c>
      <c r="AJ311" s="975">
        <f>VLOOKUP(C311,'[8]CHẤM CÔNG '!$F$10:$AM$451,34,0)</f>
        <v>0</v>
      </c>
      <c r="AK311" s="975"/>
      <c r="AL311" s="975"/>
      <c r="AM311" s="975"/>
      <c r="AN311" s="975">
        <f>VLOOKUP(C311,'[8]CHẤM CÔNG '!$F$10:$AN$451,35,0)</f>
        <v>0</v>
      </c>
      <c r="AO311" s="975">
        <f>VLOOKUP(C311,'[8]CHẤM CÔNG '!$F$10:$AR$451,36,0)</f>
        <v>0</v>
      </c>
      <c r="AP311" s="975"/>
      <c r="AQ311" s="975"/>
      <c r="AR311" s="975"/>
      <c r="AS311" s="981"/>
      <c r="AT311" s="982">
        <f>VLOOKUP(C311,'[8]MỦ TẠP'!$D$10:$AO$450,38,0)</f>
        <v>0</v>
      </c>
      <c r="AX311" s="944">
        <f t="shared" si="111"/>
        <v>3</v>
      </c>
    </row>
    <row r="312" spans="1:52" ht="15.75">
      <c r="A312" s="996">
        <v>10</v>
      </c>
      <c r="B312" s="958" t="str">
        <f>VLOOKUP(C312,'[8]DS CN MOI UP'!$B$10:$C$489,2,0)</f>
        <v>02569</v>
      </c>
      <c r="C312" s="1001" t="s">
        <v>215</v>
      </c>
      <c r="D312" s="1002" t="s">
        <v>15</v>
      </c>
      <c r="E312" s="960"/>
      <c r="F312" s="960">
        <v>3</v>
      </c>
      <c r="G312" s="960"/>
      <c r="H312" s="960">
        <v>3</v>
      </c>
      <c r="I312" s="960"/>
      <c r="J312" s="960">
        <v>1</v>
      </c>
      <c r="K312" s="960">
        <v>3</v>
      </c>
      <c r="L312" s="960">
        <v>3</v>
      </c>
      <c r="M312" s="960">
        <v>1</v>
      </c>
      <c r="N312" s="960">
        <f t="shared" si="100"/>
        <v>0</v>
      </c>
      <c r="O312" s="960">
        <f t="shared" si="101"/>
        <v>19.2</v>
      </c>
      <c r="P312" s="960">
        <f t="shared" si="102"/>
        <v>0</v>
      </c>
      <c r="Q312" s="960">
        <f t="shared" si="103"/>
        <v>12</v>
      </c>
      <c r="R312" s="960">
        <f t="shared" si="104"/>
        <v>0</v>
      </c>
      <c r="S312" s="960">
        <f t="shared" si="105"/>
        <v>2</v>
      </c>
      <c r="T312" s="960">
        <f t="shared" si="106"/>
        <v>3</v>
      </c>
      <c r="U312" s="960">
        <f t="shared" si="107"/>
        <v>3</v>
      </c>
      <c r="V312" s="960">
        <f t="shared" si="108"/>
        <v>1</v>
      </c>
      <c r="W312" s="960"/>
      <c r="X312" s="960"/>
      <c r="Y312" s="960"/>
      <c r="Z312" s="960"/>
      <c r="AA312" s="975">
        <f t="shared" si="109"/>
        <v>40.200000000000003</v>
      </c>
      <c r="AB312" s="975">
        <f>VLOOKUP(C312,'[8]MỦ TẠP'!$D$10:$AM$450,36,0)</f>
        <v>0</v>
      </c>
      <c r="AC312" s="975"/>
      <c r="AD312" s="975"/>
      <c r="AE312" s="975">
        <f>VLOOKUP(C312,'[8]MỦ TẠP'!$D$10:$AM$450,36,0)</f>
        <v>0</v>
      </c>
      <c r="AF312" s="975"/>
      <c r="AG312" s="975"/>
      <c r="AH312" s="975">
        <f t="shared" si="110"/>
        <v>0</v>
      </c>
      <c r="AI312" s="975">
        <f>VLOOKUP(C312,'[8]CHẤM CÔNG '!$F$10:$AM$451,33,0)</f>
        <v>0</v>
      </c>
      <c r="AJ312" s="975">
        <f>VLOOKUP(C312,'[8]CHẤM CÔNG '!$F$10:$AM$451,34,0)</f>
        <v>0</v>
      </c>
      <c r="AK312" s="975"/>
      <c r="AL312" s="975"/>
      <c r="AM312" s="975"/>
      <c r="AN312" s="975">
        <f>VLOOKUP(C312,'[8]CHẤM CÔNG '!$F$10:$AN$451,35,0)</f>
        <v>0</v>
      </c>
      <c r="AO312" s="975">
        <f>VLOOKUP(C312,'[8]CHẤM CÔNG '!$F$10:$AR$451,36,0)</f>
        <v>0</v>
      </c>
      <c r="AP312" s="975"/>
      <c r="AQ312" s="975"/>
      <c r="AR312" s="975"/>
      <c r="AS312" s="981"/>
      <c r="AT312" s="982">
        <f>VLOOKUP(C312,'[8]MỦ TẠP'!$D$10:$AO$450,38,0)</f>
        <v>0</v>
      </c>
      <c r="AX312" s="944">
        <f t="shared" si="111"/>
        <v>2</v>
      </c>
      <c r="AZ312" s="944">
        <v>1</v>
      </c>
    </row>
    <row r="313" spans="1:52" ht="15.75">
      <c r="A313" s="996">
        <v>11</v>
      </c>
      <c r="B313" s="958" t="e">
        <f>VLOOKUP(C313,'[8]DS CN MOI UP'!$B$10:$C$489,2,0)</f>
        <v>#N/A</v>
      </c>
      <c r="C313" s="1001" t="s">
        <v>216</v>
      </c>
      <c r="D313" s="1002" t="s">
        <v>15</v>
      </c>
      <c r="E313" s="960"/>
      <c r="F313" s="960">
        <v>3</v>
      </c>
      <c r="G313" s="960"/>
      <c r="H313" s="960">
        <v>3</v>
      </c>
      <c r="I313" s="960"/>
      <c r="J313" s="960">
        <v>1</v>
      </c>
      <c r="K313" s="960">
        <v>3</v>
      </c>
      <c r="L313" s="960">
        <v>3</v>
      </c>
      <c r="M313" s="960">
        <v>1</v>
      </c>
      <c r="N313" s="960">
        <f t="shared" si="100"/>
        <v>0</v>
      </c>
      <c r="O313" s="960">
        <f t="shared" si="101"/>
        <v>19.2</v>
      </c>
      <c r="P313" s="960">
        <f t="shared" si="102"/>
        <v>0</v>
      </c>
      <c r="Q313" s="960">
        <f t="shared" si="103"/>
        <v>12</v>
      </c>
      <c r="R313" s="960">
        <f t="shared" si="104"/>
        <v>0</v>
      </c>
      <c r="S313" s="960">
        <f t="shared" si="105"/>
        <v>2</v>
      </c>
      <c r="T313" s="960">
        <f t="shared" si="106"/>
        <v>3</v>
      </c>
      <c r="U313" s="960">
        <f t="shared" si="107"/>
        <v>3</v>
      </c>
      <c r="V313" s="960">
        <f t="shared" si="108"/>
        <v>1</v>
      </c>
      <c r="W313" s="960"/>
      <c r="X313" s="960"/>
      <c r="Y313" s="960"/>
      <c r="Z313" s="960"/>
      <c r="AA313" s="975">
        <f t="shared" si="109"/>
        <v>40.200000000000003</v>
      </c>
      <c r="AB313" s="975" t="e">
        <f>VLOOKUP(C313,'[8]MỦ TẠP'!$D$10:$AM$450,36,0)</f>
        <v>#N/A</v>
      </c>
      <c r="AC313" s="975"/>
      <c r="AD313" s="975"/>
      <c r="AE313" s="975" t="e">
        <f>VLOOKUP(C313,'[8]MỦ TẠP'!$D$10:$AM$450,36,0)</f>
        <v>#N/A</v>
      </c>
      <c r="AF313" s="975"/>
      <c r="AG313" s="975"/>
      <c r="AH313" s="975" t="e">
        <f t="shared" si="110"/>
        <v>#N/A</v>
      </c>
      <c r="AI313" s="975" t="e">
        <f>VLOOKUP(C313,'[8]CHẤM CÔNG '!$F$10:$AM$451,33,0)</f>
        <v>#N/A</v>
      </c>
      <c r="AJ313" s="975" t="e">
        <f>VLOOKUP(C313,'[8]CHẤM CÔNG '!$F$10:$AM$451,34,0)</f>
        <v>#N/A</v>
      </c>
      <c r="AK313" s="975"/>
      <c r="AL313" s="975"/>
      <c r="AM313" s="975"/>
      <c r="AN313" s="975" t="e">
        <f>VLOOKUP(C313,'[8]CHẤM CÔNG '!$F$10:$AN$451,35,0)</f>
        <v>#N/A</v>
      </c>
      <c r="AO313" s="975" t="e">
        <f>VLOOKUP(C313,'[8]CHẤM CÔNG '!$F$10:$AR$451,36,0)</f>
        <v>#N/A</v>
      </c>
      <c r="AP313" s="975"/>
      <c r="AQ313" s="975"/>
      <c r="AR313" s="975"/>
      <c r="AS313" s="981"/>
      <c r="AT313" s="982" t="e">
        <f>VLOOKUP(C313,'[8]MỦ TẠP'!$D$10:$AO$450,38,0)</f>
        <v>#N/A</v>
      </c>
      <c r="AX313" s="944">
        <f t="shared" si="111"/>
        <v>2</v>
      </c>
      <c r="AZ313" s="944">
        <v>1</v>
      </c>
    </row>
    <row r="314" spans="1:52" ht="15.75">
      <c r="A314" s="996">
        <v>12</v>
      </c>
      <c r="B314" s="958" t="str">
        <f>VLOOKUP(C314,'[8]DS CN MOI UP'!$B$10:$C$489,2,0)</f>
        <v>02604</v>
      </c>
      <c r="C314" s="1001" t="s">
        <v>217</v>
      </c>
      <c r="D314" s="1002" t="s">
        <v>15</v>
      </c>
      <c r="E314" s="960"/>
      <c r="F314" s="960">
        <v>3</v>
      </c>
      <c r="G314" s="960"/>
      <c r="H314" s="960">
        <v>3</v>
      </c>
      <c r="I314" s="960"/>
      <c r="J314" s="960">
        <v>1</v>
      </c>
      <c r="K314" s="960">
        <v>3</v>
      </c>
      <c r="L314" s="960">
        <v>3</v>
      </c>
      <c r="M314" s="960">
        <v>1</v>
      </c>
      <c r="N314" s="960">
        <f t="shared" si="100"/>
        <v>0</v>
      </c>
      <c r="O314" s="960">
        <f t="shared" si="101"/>
        <v>19.2</v>
      </c>
      <c r="P314" s="960">
        <f t="shared" si="102"/>
        <v>0</v>
      </c>
      <c r="Q314" s="960">
        <f t="shared" si="103"/>
        <v>12</v>
      </c>
      <c r="R314" s="960">
        <f t="shared" si="104"/>
        <v>0</v>
      </c>
      <c r="S314" s="960">
        <f t="shared" si="105"/>
        <v>2</v>
      </c>
      <c r="T314" s="960">
        <f t="shared" si="106"/>
        <v>3</v>
      </c>
      <c r="U314" s="960">
        <f t="shared" si="107"/>
        <v>3</v>
      </c>
      <c r="V314" s="960">
        <f t="shared" si="108"/>
        <v>1</v>
      </c>
      <c r="W314" s="960"/>
      <c r="X314" s="960"/>
      <c r="Y314" s="960"/>
      <c r="Z314" s="960"/>
      <c r="AA314" s="975">
        <f t="shared" si="109"/>
        <v>40.200000000000003</v>
      </c>
      <c r="AB314" s="975">
        <f>VLOOKUP(C314,'[8]MỦ TẠP'!$D$10:$AM$450,36,0)</f>
        <v>0</v>
      </c>
      <c r="AC314" s="975"/>
      <c r="AD314" s="975"/>
      <c r="AE314" s="975">
        <f>VLOOKUP(C314,'[8]MỦ TẠP'!$D$10:$AM$450,36,0)</f>
        <v>0</v>
      </c>
      <c r="AF314" s="975"/>
      <c r="AG314" s="975"/>
      <c r="AH314" s="975">
        <f t="shared" si="110"/>
        <v>0</v>
      </c>
      <c r="AI314" s="975">
        <f>VLOOKUP(C314,'[8]CHẤM CÔNG '!$F$10:$AM$451,33,0)</f>
        <v>0</v>
      </c>
      <c r="AJ314" s="975">
        <f>VLOOKUP(C314,'[8]CHẤM CÔNG '!$F$10:$AM$451,34,0)</f>
        <v>0</v>
      </c>
      <c r="AK314" s="975"/>
      <c r="AL314" s="975"/>
      <c r="AM314" s="975"/>
      <c r="AN314" s="975">
        <f>VLOOKUP(C314,'[8]CHẤM CÔNG '!$F$10:$AN$451,35,0)</f>
        <v>0</v>
      </c>
      <c r="AO314" s="975">
        <f>VLOOKUP(C314,'[8]CHẤM CÔNG '!$F$10:$AR$451,36,0)</f>
        <v>0</v>
      </c>
      <c r="AP314" s="975"/>
      <c r="AQ314" s="975"/>
      <c r="AR314" s="975"/>
      <c r="AS314" s="981"/>
      <c r="AT314" s="982">
        <f>VLOOKUP(C314,'[8]MỦ TẠP'!$D$10:$AO$450,38,0)</f>
        <v>0</v>
      </c>
      <c r="AX314" s="944">
        <f t="shared" si="111"/>
        <v>2</v>
      </c>
      <c r="AZ314" s="944">
        <v>1</v>
      </c>
    </row>
    <row r="315" spans="1:52" ht="15.75">
      <c r="A315" s="996">
        <v>13</v>
      </c>
      <c r="B315" s="958" t="str">
        <f>VLOOKUP(C315,'[8]DS CN MOI UP'!$B$10:$C$489,2,0)</f>
        <v>02600</v>
      </c>
      <c r="C315" s="1001" t="s">
        <v>218</v>
      </c>
      <c r="D315" s="1002" t="s">
        <v>15</v>
      </c>
      <c r="E315" s="960"/>
      <c r="F315" s="960">
        <v>3</v>
      </c>
      <c r="G315" s="960"/>
      <c r="H315" s="960">
        <v>3</v>
      </c>
      <c r="I315" s="960"/>
      <c r="J315" s="960">
        <v>1</v>
      </c>
      <c r="K315" s="960">
        <v>3</v>
      </c>
      <c r="L315" s="960">
        <v>3</v>
      </c>
      <c r="M315" s="960">
        <v>1</v>
      </c>
      <c r="N315" s="960">
        <f t="shared" si="100"/>
        <v>0</v>
      </c>
      <c r="O315" s="960">
        <f t="shared" si="101"/>
        <v>19.2</v>
      </c>
      <c r="P315" s="960">
        <f t="shared" si="102"/>
        <v>0</v>
      </c>
      <c r="Q315" s="960">
        <f t="shared" si="103"/>
        <v>12</v>
      </c>
      <c r="R315" s="960">
        <f t="shared" si="104"/>
        <v>0</v>
      </c>
      <c r="S315" s="960">
        <f t="shared" si="105"/>
        <v>2</v>
      </c>
      <c r="T315" s="960">
        <f t="shared" si="106"/>
        <v>3</v>
      </c>
      <c r="U315" s="960">
        <f t="shared" si="107"/>
        <v>3</v>
      </c>
      <c r="V315" s="960">
        <f t="shared" si="108"/>
        <v>1</v>
      </c>
      <c r="W315" s="960"/>
      <c r="X315" s="960"/>
      <c r="Y315" s="960"/>
      <c r="Z315" s="960"/>
      <c r="AA315" s="975">
        <f t="shared" si="109"/>
        <v>40.200000000000003</v>
      </c>
      <c r="AB315" s="975">
        <f>VLOOKUP(C315,'[8]MỦ TẠP'!$D$10:$AM$450,36,0)</f>
        <v>0</v>
      </c>
      <c r="AC315" s="975"/>
      <c r="AD315" s="975"/>
      <c r="AE315" s="975">
        <f>VLOOKUP(C315,'[8]MỦ TẠP'!$D$10:$AM$450,36,0)</f>
        <v>0</v>
      </c>
      <c r="AF315" s="975"/>
      <c r="AG315" s="975"/>
      <c r="AH315" s="975">
        <f t="shared" si="110"/>
        <v>0</v>
      </c>
      <c r="AI315" s="975">
        <f>VLOOKUP(C315,'[8]CHẤM CÔNG '!$F$10:$AM$451,33,0)</f>
        <v>0</v>
      </c>
      <c r="AJ315" s="975">
        <f>VLOOKUP(C315,'[8]CHẤM CÔNG '!$F$10:$AM$451,34,0)</f>
        <v>0</v>
      </c>
      <c r="AK315" s="975"/>
      <c r="AL315" s="975"/>
      <c r="AM315" s="975"/>
      <c r="AN315" s="975">
        <f>VLOOKUP(C315,'[8]CHẤM CÔNG '!$F$10:$AN$451,35,0)</f>
        <v>0</v>
      </c>
      <c r="AO315" s="975">
        <f>VLOOKUP(C315,'[8]CHẤM CÔNG '!$F$10:$AR$451,36,0)</f>
        <v>0</v>
      </c>
      <c r="AP315" s="975"/>
      <c r="AQ315" s="975"/>
      <c r="AR315" s="975"/>
      <c r="AS315" s="981"/>
      <c r="AT315" s="982">
        <f>VLOOKUP(C315,'[8]MỦ TẠP'!$D$10:$AO$450,38,0)</f>
        <v>0</v>
      </c>
      <c r="AX315" s="944">
        <f t="shared" si="111"/>
        <v>2</v>
      </c>
      <c r="AZ315" s="944">
        <v>1</v>
      </c>
    </row>
    <row r="316" spans="1:52" ht="15.75">
      <c r="A316" s="996">
        <v>14</v>
      </c>
      <c r="B316" s="958" t="str">
        <f>VLOOKUP(C316,'[8]DS CN MOI UP'!$B$10:$C$489,2,0)</f>
        <v>03382</v>
      </c>
      <c r="C316" s="1001" t="s">
        <v>219</v>
      </c>
      <c r="D316" s="1002" t="s">
        <v>15</v>
      </c>
      <c r="E316" s="960"/>
      <c r="F316" s="960">
        <v>3</v>
      </c>
      <c r="G316" s="960"/>
      <c r="H316" s="960">
        <v>3</v>
      </c>
      <c r="I316" s="960"/>
      <c r="J316" s="960">
        <v>1</v>
      </c>
      <c r="K316" s="960">
        <v>3</v>
      </c>
      <c r="L316" s="960">
        <v>3</v>
      </c>
      <c r="M316" s="960">
        <v>1</v>
      </c>
      <c r="N316" s="960">
        <f t="shared" si="100"/>
        <v>0</v>
      </c>
      <c r="O316" s="960">
        <f t="shared" si="101"/>
        <v>19.2</v>
      </c>
      <c r="P316" s="960">
        <f t="shared" si="102"/>
        <v>0</v>
      </c>
      <c r="Q316" s="960">
        <f t="shared" si="103"/>
        <v>12</v>
      </c>
      <c r="R316" s="960">
        <f t="shared" si="104"/>
        <v>0</v>
      </c>
      <c r="S316" s="960">
        <f t="shared" si="105"/>
        <v>2</v>
      </c>
      <c r="T316" s="960">
        <f t="shared" si="106"/>
        <v>3</v>
      </c>
      <c r="U316" s="960">
        <f t="shared" si="107"/>
        <v>3</v>
      </c>
      <c r="V316" s="960">
        <f t="shared" si="108"/>
        <v>1</v>
      </c>
      <c r="W316" s="960"/>
      <c r="X316" s="960"/>
      <c r="Y316" s="960"/>
      <c r="Z316" s="960"/>
      <c r="AA316" s="975">
        <f t="shared" si="109"/>
        <v>40.200000000000003</v>
      </c>
      <c r="AB316" s="975">
        <f>VLOOKUP(C316,'[8]MỦ TẠP'!$D$10:$AM$450,36,0)</f>
        <v>0</v>
      </c>
      <c r="AC316" s="975"/>
      <c r="AD316" s="975"/>
      <c r="AE316" s="975">
        <f>VLOOKUP(C316,'[8]MỦ TẠP'!$D$10:$AM$450,36,0)</f>
        <v>0</v>
      </c>
      <c r="AF316" s="975"/>
      <c r="AG316" s="975"/>
      <c r="AH316" s="975">
        <f t="shared" si="110"/>
        <v>0</v>
      </c>
      <c r="AI316" s="975">
        <f>VLOOKUP(C316,'[8]CHẤM CÔNG '!$F$10:$AM$451,33,0)</f>
        <v>0</v>
      </c>
      <c r="AJ316" s="975">
        <f>VLOOKUP(C316,'[8]CHẤM CÔNG '!$F$10:$AM$451,34,0)</f>
        <v>0</v>
      </c>
      <c r="AK316" s="975"/>
      <c r="AL316" s="975"/>
      <c r="AM316" s="975"/>
      <c r="AN316" s="975">
        <f>VLOOKUP(C316,'[8]CHẤM CÔNG '!$F$10:$AN$451,35,0)</f>
        <v>0</v>
      </c>
      <c r="AO316" s="975">
        <f>VLOOKUP(C316,'[8]CHẤM CÔNG '!$F$10:$AR$451,36,0)</f>
        <v>0</v>
      </c>
      <c r="AP316" s="975"/>
      <c r="AQ316" s="975"/>
      <c r="AR316" s="975"/>
      <c r="AS316" s="981"/>
      <c r="AT316" s="982">
        <f>VLOOKUP(C316,'[8]MỦ TẠP'!$D$10:$AO$450,38,0)</f>
        <v>0</v>
      </c>
      <c r="AX316" s="944">
        <f t="shared" si="111"/>
        <v>2</v>
      </c>
      <c r="AZ316" s="944">
        <v>1</v>
      </c>
    </row>
    <row r="317" spans="1:52" ht="15.75">
      <c r="A317" s="996">
        <v>15</v>
      </c>
      <c r="B317" s="958" t="str">
        <f>VLOOKUP(C317,'[8]DS CN MOI UP'!$B$10:$C$489,2,0)</f>
        <v>02571</v>
      </c>
      <c r="C317" s="1001" t="s">
        <v>220</v>
      </c>
      <c r="D317" s="1002" t="s">
        <v>15</v>
      </c>
      <c r="E317" s="960"/>
      <c r="F317" s="960">
        <v>3</v>
      </c>
      <c r="G317" s="960"/>
      <c r="H317" s="960">
        <v>3</v>
      </c>
      <c r="I317" s="960"/>
      <c r="J317" s="960">
        <v>1</v>
      </c>
      <c r="K317" s="960">
        <v>3</v>
      </c>
      <c r="L317" s="960">
        <v>3</v>
      </c>
      <c r="M317" s="960">
        <v>1</v>
      </c>
      <c r="N317" s="960">
        <f t="shared" si="100"/>
        <v>0</v>
      </c>
      <c r="O317" s="960">
        <f t="shared" si="101"/>
        <v>19.2</v>
      </c>
      <c r="P317" s="960">
        <f t="shared" si="102"/>
        <v>0</v>
      </c>
      <c r="Q317" s="960">
        <f t="shared" si="103"/>
        <v>12</v>
      </c>
      <c r="R317" s="960">
        <f t="shared" si="104"/>
        <v>0</v>
      </c>
      <c r="S317" s="960">
        <f t="shared" si="105"/>
        <v>2</v>
      </c>
      <c r="T317" s="960">
        <f t="shared" si="106"/>
        <v>3</v>
      </c>
      <c r="U317" s="960">
        <f t="shared" si="107"/>
        <v>3</v>
      </c>
      <c r="V317" s="960">
        <f t="shared" si="108"/>
        <v>1</v>
      </c>
      <c r="W317" s="960"/>
      <c r="X317" s="960"/>
      <c r="Y317" s="960"/>
      <c r="Z317" s="960"/>
      <c r="AA317" s="975">
        <f t="shared" si="109"/>
        <v>40.200000000000003</v>
      </c>
      <c r="AB317" s="975">
        <f>VLOOKUP(C317,'[8]MỦ TẠP'!$D$10:$AM$450,36,0)</f>
        <v>0</v>
      </c>
      <c r="AC317" s="975"/>
      <c r="AD317" s="975"/>
      <c r="AE317" s="975">
        <f>VLOOKUP(C317,'[8]MỦ TẠP'!$D$10:$AM$450,36,0)</f>
        <v>0</v>
      </c>
      <c r="AF317" s="975"/>
      <c r="AG317" s="975"/>
      <c r="AH317" s="975">
        <f t="shared" si="110"/>
        <v>0</v>
      </c>
      <c r="AI317" s="975">
        <f>VLOOKUP(C317,'[8]CHẤM CÔNG '!$F$10:$AM$451,33,0)</f>
        <v>0</v>
      </c>
      <c r="AJ317" s="975">
        <f>VLOOKUP(C317,'[8]CHẤM CÔNG '!$F$10:$AM$451,34,0)</f>
        <v>0</v>
      </c>
      <c r="AK317" s="975"/>
      <c r="AL317" s="975"/>
      <c r="AM317" s="975"/>
      <c r="AN317" s="975">
        <f>VLOOKUP(C317,'[8]CHẤM CÔNG '!$F$10:$AN$451,35,0)</f>
        <v>0</v>
      </c>
      <c r="AO317" s="975">
        <f>VLOOKUP(C317,'[8]CHẤM CÔNG '!$F$10:$AR$451,36,0)</f>
        <v>0</v>
      </c>
      <c r="AP317" s="975"/>
      <c r="AQ317" s="975"/>
      <c r="AR317" s="975"/>
      <c r="AS317" s="981"/>
      <c r="AT317" s="982">
        <f>VLOOKUP(C317,'[8]MỦ TẠP'!$D$10:$AO$450,38,0)</f>
        <v>0</v>
      </c>
      <c r="AX317" s="944">
        <f t="shared" si="111"/>
        <v>2</v>
      </c>
      <c r="AZ317" s="944">
        <v>1</v>
      </c>
    </row>
    <row r="318" spans="1:52" ht="15.75">
      <c r="A318" s="996">
        <v>16</v>
      </c>
      <c r="B318" s="958" t="str">
        <f>VLOOKUP(C318,'[8]DS CN MOI UP'!$B$10:$C$489,2,0)</f>
        <v>02570</v>
      </c>
      <c r="C318" s="1001" t="s">
        <v>221</v>
      </c>
      <c r="D318" s="1002" t="s">
        <v>15</v>
      </c>
      <c r="E318" s="960"/>
      <c r="F318" s="960">
        <v>3</v>
      </c>
      <c r="G318" s="960"/>
      <c r="H318" s="960">
        <v>3</v>
      </c>
      <c r="I318" s="960"/>
      <c r="J318" s="960">
        <v>1</v>
      </c>
      <c r="K318" s="960">
        <v>3</v>
      </c>
      <c r="L318" s="960">
        <v>3</v>
      </c>
      <c r="M318" s="960">
        <v>1</v>
      </c>
      <c r="N318" s="960">
        <f t="shared" si="100"/>
        <v>0</v>
      </c>
      <c r="O318" s="960">
        <f t="shared" si="101"/>
        <v>19.2</v>
      </c>
      <c r="P318" s="960">
        <f t="shared" si="102"/>
        <v>0</v>
      </c>
      <c r="Q318" s="960">
        <f t="shared" si="103"/>
        <v>12</v>
      </c>
      <c r="R318" s="960">
        <f t="shared" si="104"/>
        <v>0</v>
      </c>
      <c r="S318" s="960">
        <f t="shared" si="105"/>
        <v>2</v>
      </c>
      <c r="T318" s="960">
        <f t="shared" si="106"/>
        <v>3</v>
      </c>
      <c r="U318" s="960">
        <f t="shared" si="107"/>
        <v>3</v>
      </c>
      <c r="V318" s="960">
        <f t="shared" si="108"/>
        <v>1</v>
      </c>
      <c r="W318" s="960"/>
      <c r="X318" s="960"/>
      <c r="Y318" s="960"/>
      <c r="Z318" s="960"/>
      <c r="AA318" s="975">
        <f t="shared" si="109"/>
        <v>40.200000000000003</v>
      </c>
      <c r="AB318" s="975">
        <f>VLOOKUP(C318,'[8]MỦ TẠP'!$D$10:$AM$450,36,0)</f>
        <v>0</v>
      </c>
      <c r="AC318" s="975"/>
      <c r="AD318" s="975"/>
      <c r="AE318" s="975">
        <f>VLOOKUP(C318,'[8]MỦ TẠP'!$D$10:$AM$450,36,0)</f>
        <v>0</v>
      </c>
      <c r="AF318" s="975"/>
      <c r="AG318" s="975"/>
      <c r="AH318" s="975">
        <f t="shared" si="110"/>
        <v>0</v>
      </c>
      <c r="AI318" s="975">
        <f>VLOOKUP(C318,'[8]CHẤM CÔNG '!$F$10:$AM$451,33,0)</f>
        <v>0</v>
      </c>
      <c r="AJ318" s="975">
        <f>VLOOKUP(C318,'[8]CHẤM CÔNG '!$F$10:$AM$451,34,0)</f>
        <v>0</v>
      </c>
      <c r="AK318" s="975"/>
      <c r="AL318" s="975"/>
      <c r="AM318" s="975"/>
      <c r="AN318" s="975">
        <f>VLOOKUP(C318,'[8]CHẤM CÔNG '!$F$10:$AN$451,35,0)</f>
        <v>0</v>
      </c>
      <c r="AO318" s="975">
        <f>VLOOKUP(C318,'[8]CHẤM CÔNG '!$F$10:$AR$451,36,0)</f>
        <v>0</v>
      </c>
      <c r="AP318" s="975"/>
      <c r="AQ318" s="975"/>
      <c r="AR318" s="975"/>
      <c r="AS318" s="981"/>
      <c r="AT318" s="982">
        <f>VLOOKUP(C318,'[8]MỦ TẠP'!$D$10:$AO$450,38,0)</f>
        <v>0</v>
      </c>
      <c r="AX318" s="944">
        <f t="shared" si="111"/>
        <v>2</v>
      </c>
      <c r="AZ318" s="944">
        <v>1</v>
      </c>
    </row>
    <row r="319" spans="1:52" ht="15.75">
      <c r="A319" s="996">
        <v>17</v>
      </c>
      <c r="B319" s="958" t="str">
        <f>VLOOKUP(C319,'[8]DS CN MOI UP'!$B$10:$C$489,2,0)</f>
        <v>02573</v>
      </c>
      <c r="C319" s="1001" t="s">
        <v>222</v>
      </c>
      <c r="D319" s="1002" t="s">
        <v>15</v>
      </c>
      <c r="E319" s="960"/>
      <c r="F319" s="960">
        <v>2</v>
      </c>
      <c r="G319" s="960">
        <v>1</v>
      </c>
      <c r="H319" s="960">
        <v>3</v>
      </c>
      <c r="I319" s="960"/>
      <c r="J319" s="960">
        <v>1</v>
      </c>
      <c r="K319" s="960">
        <v>3</v>
      </c>
      <c r="L319" s="960">
        <v>3</v>
      </c>
      <c r="M319" s="960">
        <v>1</v>
      </c>
      <c r="N319" s="960">
        <f t="shared" si="100"/>
        <v>0</v>
      </c>
      <c r="O319" s="960">
        <f t="shared" si="101"/>
        <v>12.8</v>
      </c>
      <c r="P319" s="960">
        <f t="shared" si="102"/>
        <v>8</v>
      </c>
      <c r="Q319" s="960">
        <f t="shared" si="103"/>
        <v>12</v>
      </c>
      <c r="R319" s="960">
        <f t="shared" si="104"/>
        <v>0</v>
      </c>
      <c r="S319" s="960">
        <f t="shared" si="105"/>
        <v>2</v>
      </c>
      <c r="T319" s="960">
        <f t="shared" si="106"/>
        <v>3</v>
      </c>
      <c r="U319" s="960">
        <f t="shared" si="107"/>
        <v>3</v>
      </c>
      <c r="V319" s="960">
        <f t="shared" si="108"/>
        <v>1</v>
      </c>
      <c r="W319" s="960"/>
      <c r="X319" s="960"/>
      <c r="Y319" s="960"/>
      <c r="Z319" s="960"/>
      <c r="AA319" s="975">
        <f t="shared" si="109"/>
        <v>41.8</v>
      </c>
      <c r="AB319" s="975">
        <f>VLOOKUP(C319,'[8]MỦ TẠP'!$D$10:$AM$450,36,0)</f>
        <v>0</v>
      </c>
      <c r="AC319" s="975"/>
      <c r="AD319" s="975"/>
      <c r="AE319" s="975">
        <f>VLOOKUP(C319,'[8]MỦ TẠP'!$D$10:$AM$450,36,0)</f>
        <v>0</v>
      </c>
      <c r="AF319" s="975"/>
      <c r="AG319" s="975"/>
      <c r="AH319" s="975">
        <f t="shared" si="110"/>
        <v>0</v>
      </c>
      <c r="AI319" s="975">
        <f>VLOOKUP(C319,'[8]CHẤM CÔNG '!$F$10:$AM$451,33,0)</f>
        <v>0</v>
      </c>
      <c r="AJ319" s="975">
        <f>VLOOKUP(C319,'[8]CHẤM CÔNG '!$F$10:$AM$451,34,0)</f>
        <v>0</v>
      </c>
      <c r="AK319" s="975"/>
      <c r="AL319" s="975"/>
      <c r="AM319" s="975"/>
      <c r="AN319" s="975">
        <f>VLOOKUP(C319,'[8]CHẤM CÔNG '!$F$10:$AN$451,35,0)</f>
        <v>0</v>
      </c>
      <c r="AO319" s="975">
        <f>VLOOKUP(C319,'[8]CHẤM CÔNG '!$F$10:$AR$451,36,0)</f>
        <v>0</v>
      </c>
      <c r="AP319" s="975"/>
      <c r="AQ319" s="975"/>
      <c r="AR319" s="975"/>
      <c r="AS319" s="981"/>
      <c r="AT319" s="982">
        <f>VLOOKUP(C319,'[8]MỦ TẠP'!$D$10:$AO$450,38,0)</f>
        <v>0</v>
      </c>
      <c r="AX319" s="944">
        <f t="shared" si="111"/>
        <v>2</v>
      </c>
      <c r="AZ319" s="944">
        <v>1</v>
      </c>
    </row>
    <row r="320" spans="1:52" ht="15.75">
      <c r="A320" s="996">
        <v>18</v>
      </c>
      <c r="B320" s="958" t="str">
        <f>VLOOKUP(C320,'[8]DS CN MOI UP'!$B$10:$C$489,2,0)</f>
        <v>02695</v>
      </c>
      <c r="C320" s="1001" t="s">
        <v>223</v>
      </c>
      <c r="D320" s="1002" t="s">
        <v>15</v>
      </c>
      <c r="E320" s="960"/>
      <c r="F320" s="960">
        <v>2</v>
      </c>
      <c r="G320" s="960">
        <v>1</v>
      </c>
      <c r="H320" s="960">
        <v>3</v>
      </c>
      <c r="I320" s="960"/>
      <c r="J320" s="960">
        <v>1</v>
      </c>
      <c r="K320" s="960">
        <v>3</v>
      </c>
      <c r="L320" s="960">
        <v>3</v>
      </c>
      <c r="M320" s="960">
        <v>1</v>
      </c>
      <c r="N320" s="960">
        <f t="shared" si="100"/>
        <v>0</v>
      </c>
      <c r="O320" s="960">
        <f t="shared" si="101"/>
        <v>12.8</v>
      </c>
      <c r="P320" s="960">
        <f t="shared" si="102"/>
        <v>8</v>
      </c>
      <c r="Q320" s="960">
        <f t="shared" si="103"/>
        <v>12</v>
      </c>
      <c r="R320" s="960">
        <f t="shared" si="104"/>
        <v>0</v>
      </c>
      <c r="S320" s="960">
        <f t="shared" si="105"/>
        <v>2</v>
      </c>
      <c r="T320" s="960">
        <f t="shared" si="106"/>
        <v>3</v>
      </c>
      <c r="U320" s="960">
        <f t="shared" si="107"/>
        <v>3</v>
      </c>
      <c r="V320" s="960">
        <f t="shared" si="108"/>
        <v>1</v>
      </c>
      <c r="W320" s="960"/>
      <c r="X320" s="960"/>
      <c r="Y320" s="960"/>
      <c r="Z320" s="960"/>
      <c r="AA320" s="975">
        <f t="shared" si="109"/>
        <v>41.8</v>
      </c>
      <c r="AB320" s="975">
        <f>VLOOKUP(C320,'[8]MỦ TẠP'!$D$10:$AM$450,36,0)</f>
        <v>0</v>
      </c>
      <c r="AC320" s="975"/>
      <c r="AD320" s="975"/>
      <c r="AE320" s="975">
        <f>VLOOKUP(C320,'[8]MỦ TẠP'!$D$10:$AM$450,36,0)</f>
        <v>0</v>
      </c>
      <c r="AF320" s="975"/>
      <c r="AG320" s="975"/>
      <c r="AH320" s="975">
        <f t="shared" si="110"/>
        <v>0</v>
      </c>
      <c r="AI320" s="975">
        <f>VLOOKUP(C320,'[8]CHẤM CÔNG '!$F$10:$AM$451,33,0)</f>
        <v>0</v>
      </c>
      <c r="AJ320" s="975">
        <f>VLOOKUP(C320,'[8]CHẤM CÔNG '!$F$10:$AM$451,34,0)</f>
        <v>0</v>
      </c>
      <c r="AK320" s="975"/>
      <c r="AL320" s="975"/>
      <c r="AM320" s="975"/>
      <c r="AN320" s="975">
        <f>VLOOKUP(C320,'[8]CHẤM CÔNG '!$F$10:$AN$451,35,0)</f>
        <v>0</v>
      </c>
      <c r="AO320" s="975">
        <f>VLOOKUP(C320,'[8]CHẤM CÔNG '!$F$10:$AR$451,36,0)</f>
        <v>0</v>
      </c>
      <c r="AP320" s="975"/>
      <c r="AQ320" s="975"/>
      <c r="AR320" s="975"/>
      <c r="AS320" s="981"/>
      <c r="AT320" s="982">
        <f>VLOOKUP(C320,'[8]MỦ TẠP'!$D$10:$AO$450,38,0)</f>
        <v>0</v>
      </c>
      <c r="AX320" s="944">
        <f t="shared" si="111"/>
        <v>2</v>
      </c>
      <c r="AZ320" s="944">
        <v>1</v>
      </c>
    </row>
    <row r="321" spans="1:52" ht="15.75">
      <c r="A321" s="996">
        <v>19</v>
      </c>
      <c r="B321" s="958" t="str">
        <f>VLOOKUP(C321,'[8]DS CN MOI UP'!$B$10:$C$489,2,0)</f>
        <v>02599</v>
      </c>
      <c r="C321" s="1001" t="s">
        <v>224</v>
      </c>
      <c r="D321" s="1002" t="s">
        <v>15</v>
      </c>
      <c r="E321" s="960"/>
      <c r="F321" s="960">
        <v>2</v>
      </c>
      <c r="G321" s="960">
        <v>1</v>
      </c>
      <c r="H321" s="960">
        <v>3</v>
      </c>
      <c r="I321" s="960"/>
      <c r="J321" s="960">
        <v>1</v>
      </c>
      <c r="K321" s="960">
        <v>3</v>
      </c>
      <c r="L321" s="960">
        <v>3</v>
      </c>
      <c r="M321" s="960">
        <v>1</v>
      </c>
      <c r="N321" s="960">
        <f t="shared" si="100"/>
        <v>0</v>
      </c>
      <c r="O321" s="960">
        <f t="shared" si="101"/>
        <v>12.8</v>
      </c>
      <c r="P321" s="960">
        <f t="shared" si="102"/>
        <v>8</v>
      </c>
      <c r="Q321" s="960">
        <f t="shared" si="103"/>
        <v>12</v>
      </c>
      <c r="R321" s="960">
        <f t="shared" si="104"/>
        <v>0</v>
      </c>
      <c r="S321" s="960">
        <f t="shared" si="105"/>
        <v>2</v>
      </c>
      <c r="T321" s="960">
        <f t="shared" si="106"/>
        <v>3</v>
      </c>
      <c r="U321" s="960">
        <f t="shared" si="107"/>
        <v>3</v>
      </c>
      <c r="V321" s="960">
        <f t="shared" si="108"/>
        <v>1</v>
      </c>
      <c r="W321" s="960"/>
      <c r="X321" s="960"/>
      <c r="Y321" s="960"/>
      <c r="Z321" s="960"/>
      <c r="AA321" s="975">
        <f t="shared" si="109"/>
        <v>41.8</v>
      </c>
      <c r="AB321" s="975">
        <f>VLOOKUP(C321,'[8]MỦ TẠP'!$D$10:$AM$450,36,0)</f>
        <v>0</v>
      </c>
      <c r="AC321" s="975"/>
      <c r="AD321" s="975"/>
      <c r="AE321" s="975">
        <f>VLOOKUP(C321,'[8]MỦ TẠP'!$D$10:$AM$450,36,0)</f>
        <v>0</v>
      </c>
      <c r="AF321" s="975"/>
      <c r="AG321" s="975"/>
      <c r="AH321" s="975">
        <f t="shared" si="110"/>
        <v>0</v>
      </c>
      <c r="AI321" s="975">
        <f>VLOOKUP(C321,'[8]CHẤM CÔNG '!$F$10:$AM$451,33,0)</f>
        <v>0</v>
      </c>
      <c r="AJ321" s="975">
        <f>VLOOKUP(C321,'[8]CHẤM CÔNG '!$F$10:$AM$451,34,0)</f>
        <v>0</v>
      </c>
      <c r="AK321" s="975"/>
      <c r="AL321" s="975"/>
      <c r="AM321" s="975"/>
      <c r="AN321" s="975">
        <f>VLOOKUP(C321,'[8]CHẤM CÔNG '!$F$10:$AN$451,35,0)</f>
        <v>0</v>
      </c>
      <c r="AO321" s="975">
        <f>VLOOKUP(C321,'[8]CHẤM CÔNG '!$F$10:$AR$451,36,0)</f>
        <v>0</v>
      </c>
      <c r="AP321" s="975"/>
      <c r="AQ321" s="975"/>
      <c r="AR321" s="975"/>
      <c r="AS321" s="981"/>
      <c r="AT321" s="982">
        <f>VLOOKUP(C321,'[8]MỦ TẠP'!$D$10:$AO$450,38,0)</f>
        <v>0</v>
      </c>
      <c r="AX321" s="944">
        <f t="shared" si="111"/>
        <v>2</v>
      </c>
      <c r="AZ321" s="944">
        <v>1</v>
      </c>
    </row>
    <row r="322" spans="1:52" ht="15.75">
      <c r="A322" s="996">
        <v>20</v>
      </c>
      <c r="B322" s="958" t="str">
        <f>VLOOKUP(C322,'[8]DS CN MOI UP'!$B$10:$C$489,2,0)</f>
        <v>03383</v>
      </c>
      <c r="C322" s="1001" t="s">
        <v>225</v>
      </c>
      <c r="D322" s="1002" t="s">
        <v>15</v>
      </c>
      <c r="E322" s="960"/>
      <c r="F322" s="960">
        <v>2</v>
      </c>
      <c r="G322" s="960">
        <v>1</v>
      </c>
      <c r="H322" s="960">
        <v>3</v>
      </c>
      <c r="I322" s="960"/>
      <c r="J322" s="960">
        <v>1</v>
      </c>
      <c r="K322" s="960">
        <v>3</v>
      </c>
      <c r="L322" s="960">
        <v>3</v>
      </c>
      <c r="M322" s="960">
        <v>1</v>
      </c>
      <c r="N322" s="960">
        <f t="shared" si="100"/>
        <v>0</v>
      </c>
      <c r="O322" s="960">
        <f t="shared" si="101"/>
        <v>12.8</v>
      </c>
      <c r="P322" s="960">
        <f t="shared" si="102"/>
        <v>8</v>
      </c>
      <c r="Q322" s="960">
        <f t="shared" si="103"/>
        <v>12</v>
      </c>
      <c r="R322" s="960">
        <f t="shared" si="104"/>
        <v>0</v>
      </c>
      <c r="S322" s="960">
        <f t="shared" si="105"/>
        <v>2</v>
      </c>
      <c r="T322" s="960">
        <f t="shared" si="106"/>
        <v>3</v>
      </c>
      <c r="U322" s="960">
        <f t="shared" si="107"/>
        <v>3</v>
      </c>
      <c r="V322" s="960">
        <f t="shared" si="108"/>
        <v>1</v>
      </c>
      <c r="W322" s="960"/>
      <c r="X322" s="960"/>
      <c r="Y322" s="960"/>
      <c r="Z322" s="960"/>
      <c r="AA322" s="975">
        <f t="shared" si="109"/>
        <v>41.8</v>
      </c>
      <c r="AB322" s="975">
        <f>VLOOKUP(C322,'[8]MỦ TẠP'!$D$10:$AM$450,36,0)</f>
        <v>0</v>
      </c>
      <c r="AC322" s="975"/>
      <c r="AD322" s="975"/>
      <c r="AE322" s="975">
        <f>VLOOKUP(C322,'[8]MỦ TẠP'!$D$10:$AM$450,36,0)</f>
        <v>0</v>
      </c>
      <c r="AF322" s="975"/>
      <c r="AG322" s="975"/>
      <c r="AH322" s="975">
        <f t="shared" si="110"/>
        <v>0</v>
      </c>
      <c r="AI322" s="975">
        <f>VLOOKUP(C322,'[8]CHẤM CÔNG '!$F$10:$AM$451,33,0)</f>
        <v>0</v>
      </c>
      <c r="AJ322" s="975">
        <f>VLOOKUP(C322,'[8]CHẤM CÔNG '!$F$10:$AM$451,34,0)</f>
        <v>0</v>
      </c>
      <c r="AK322" s="975"/>
      <c r="AL322" s="975"/>
      <c r="AM322" s="975"/>
      <c r="AN322" s="975">
        <f>VLOOKUP(C322,'[8]CHẤM CÔNG '!$F$10:$AN$451,35,0)</f>
        <v>0</v>
      </c>
      <c r="AO322" s="975">
        <f>VLOOKUP(C322,'[8]CHẤM CÔNG '!$F$10:$AR$451,36,0)</f>
        <v>0</v>
      </c>
      <c r="AP322" s="975"/>
      <c r="AQ322" s="975"/>
      <c r="AR322" s="975"/>
      <c r="AS322" s="981"/>
      <c r="AT322" s="982">
        <f>VLOOKUP(C322,'[8]MỦ TẠP'!$D$10:$AO$450,38,0)</f>
        <v>0</v>
      </c>
      <c r="AX322" s="944">
        <f t="shared" si="111"/>
        <v>2</v>
      </c>
      <c r="AZ322" s="944">
        <v>1</v>
      </c>
    </row>
    <row r="323" spans="1:52" ht="15.75">
      <c r="A323" s="996">
        <v>21</v>
      </c>
      <c r="B323" s="958" t="str">
        <f>VLOOKUP(C323,'[8]DS CN MOI UP'!$B$10:$C$489,2,0)</f>
        <v>03384</v>
      </c>
      <c r="C323" s="1001" t="s">
        <v>226</v>
      </c>
      <c r="D323" s="1002" t="s">
        <v>15</v>
      </c>
      <c r="E323" s="960"/>
      <c r="F323" s="960">
        <v>2</v>
      </c>
      <c r="G323" s="960">
        <v>1</v>
      </c>
      <c r="H323" s="960">
        <v>3</v>
      </c>
      <c r="I323" s="960"/>
      <c r="J323" s="960">
        <v>1</v>
      </c>
      <c r="K323" s="960">
        <v>3</v>
      </c>
      <c r="L323" s="960">
        <v>3</v>
      </c>
      <c r="M323" s="960">
        <v>1</v>
      </c>
      <c r="N323" s="960">
        <f t="shared" si="100"/>
        <v>0</v>
      </c>
      <c r="O323" s="960">
        <f t="shared" si="101"/>
        <v>12.8</v>
      </c>
      <c r="P323" s="960">
        <f t="shared" si="102"/>
        <v>8</v>
      </c>
      <c r="Q323" s="960">
        <f t="shared" si="103"/>
        <v>12</v>
      </c>
      <c r="R323" s="960">
        <f t="shared" si="104"/>
        <v>0</v>
      </c>
      <c r="S323" s="960">
        <f t="shared" si="105"/>
        <v>2</v>
      </c>
      <c r="T323" s="960">
        <f t="shared" si="106"/>
        <v>3</v>
      </c>
      <c r="U323" s="960">
        <f t="shared" si="107"/>
        <v>3</v>
      </c>
      <c r="V323" s="960">
        <f t="shared" si="108"/>
        <v>1</v>
      </c>
      <c r="W323" s="960"/>
      <c r="X323" s="960"/>
      <c r="Y323" s="960"/>
      <c r="Z323" s="960"/>
      <c r="AA323" s="975">
        <f t="shared" si="109"/>
        <v>41.8</v>
      </c>
      <c r="AB323" s="975">
        <f>VLOOKUP(C323,'[8]MỦ TẠP'!$D$10:$AM$450,36,0)</f>
        <v>0</v>
      </c>
      <c r="AC323" s="975"/>
      <c r="AD323" s="975"/>
      <c r="AE323" s="975">
        <f>VLOOKUP(C323,'[8]MỦ TẠP'!$D$10:$AM$450,36,0)</f>
        <v>0</v>
      </c>
      <c r="AF323" s="975"/>
      <c r="AG323" s="975"/>
      <c r="AH323" s="975">
        <f t="shared" si="110"/>
        <v>0</v>
      </c>
      <c r="AI323" s="975">
        <f>VLOOKUP(C323,'[8]CHẤM CÔNG '!$F$10:$AM$451,33,0)</f>
        <v>0</v>
      </c>
      <c r="AJ323" s="975">
        <f>VLOOKUP(C323,'[8]CHẤM CÔNG '!$F$10:$AM$451,34,0)</f>
        <v>0</v>
      </c>
      <c r="AK323" s="975"/>
      <c r="AL323" s="975"/>
      <c r="AM323" s="975"/>
      <c r="AN323" s="975">
        <f>VLOOKUP(C323,'[8]CHẤM CÔNG '!$F$10:$AN$451,35,0)</f>
        <v>0</v>
      </c>
      <c r="AO323" s="975">
        <f>VLOOKUP(C323,'[8]CHẤM CÔNG '!$F$10:$AR$451,36,0)</f>
        <v>0</v>
      </c>
      <c r="AP323" s="975"/>
      <c r="AQ323" s="975"/>
      <c r="AR323" s="975"/>
      <c r="AS323" s="981"/>
      <c r="AT323" s="982">
        <f>VLOOKUP(C323,'[8]MỦ TẠP'!$D$10:$AO$450,38,0)</f>
        <v>0</v>
      </c>
      <c r="AX323" s="944">
        <f t="shared" si="111"/>
        <v>2</v>
      </c>
      <c r="AZ323" s="944">
        <v>1</v>
      </c>
    </row>
    <row r="324" spans="1:52" ht="15.75">
      <c r="A324" s="996">
        <v>22</v>
      </c>
      <c r="B324" s="958" t="str">
        <f>VLOOKUP(C324,'[8]DS CN MOI UP'!$B$10:$C$489,2,0)</f>
        <v>02608</v>
      </c>
      <c r="C324" s="1001" t="s">
        <v>227</v>
      </c>
      <c r="D324" s="1002" t="s">
        <v>15</v>
      </c>
      <c r="E324" s="960"/>
      <c r="F324" s="960">
        <v>2</v>
      </c>
      <c r="G324" s="960">
        <v>1</v>
      </c>
      <c r="H324" s="960">
        <v>3</v>
      </c>
      <c r="I324" s="960"/>
      <c r="J324" s="960">
        <v>1</v>
      </c>
      <c r="K324" s="960">
        <v>3</v>
      </c>
      <c r="L324" s="960">
        <v>3</v>
      </c>
      <c r="M324" s="960">
        <v>1</v>
      </c>
      <c r="N324" s="960">
        <f t="shared" si="100"/>
        <v>0</v>
      </c>
      <c r="O324" s="960">
        <f t="shared" si="101"/>
        <v>12.8</v>
      </c>
      <c r="P324" s="960">
        <f t="shared" si="102"/>
        <v>8</v>
      </c>
      <c r="Q324" s="960">
        <f t="shared" si="103"/>
        <v>12</v>
      </c>
      <c r="R324" s="960">
        <f t="shared" si="104"/>
        <v>0</v>
      </c>
      <c r="S324" s="960">
        <f t="shared" si="105"/>
        <v>2</v>
      </c>
      <c r="T324" s="960">
        <f t="shared" si="106"/>
        <v>3</v>
      </c>
      <c r="U324" s="960">
        <f t="shared" si="107"/>
        <v>3</v>
      </c>
      <c r="V324" s="960">
        <f t="shared" si="108"/>
        <v>1</v>
      </c>
      <c r="W324" s="960"/>
      <c r="X324" s="960"/>
      <c r="Y324" s="960"/>
      <c r="Z324" s="960"/>
      <c r="AA324" s="975">
        <f t="shared" si="109"/>
        <v>41.8</v>
      </c>
      <c r="AB324" s="975">
        <f>VLOOKUP(C324,'[8]MỦ TẠP'!$D$10:$AM$450,36,0)</f>
        <v>0</v>
      </c>
      <c r="AC324" s="975"/>
      <c r="AD324" s="975"/>
      <c r="AE324" s="975">
        <f>VLOOKUP(C324,'[8]MỦ TẠP'!$D$10:$AM$450,36,0)</f>
        <v>0</v>
      </c>
      <c r="AF324" s="975"/>
      <c r="AG324" s="975"/>
      <c r="AH324" s="975">
        <f t="shared" si="110"/>
        <v>0</v>
      </c>
      <c r="AI324" s="975">
        <f>VLOOKUP(C324,'[8]CHẤM CÔNG '!$F$10:$AM$451,33,0)</f>
        <v>0</v>
      </c>
      <c r="AJ324" s="975">
        <f>VLOOKUP(C324,'[8]CHẤM CÔNG '!$F$10:$AM$451,34,0)</f>
        <v>0</v>
      </c>
      <c r="AK324" s="975"/>
      <c r="AL324" s="975"/>
      <c r="AM324" s="975"/>
      <c r="AN324" s="975">
        <f>VLOOKUP(C324,'[8]CHẤM CÔNG '!$F$10:$AN$451,35,0)</f>
        <v>0</v>
      </c>
      <c r="AO324" s="975">
        <f>VLOOKUP(C324,'[8]CHẤM CÔNG '!$F$10:$AR$451,36,0)</f>
        <v>0</v>
      </c>
      <c r="AP324" s="975"/>
      <c r="AQ324" s="975"/>
      <c r="AR324" s="975"/>
      <c r="AS324" s="981"/>
      <c r="AT324" s="982">
        <f>VLOOKUP(C324,'[8]MỦ TẠP'!$D$10:$AO$450,38,0)</f>
        <v>0</v>
      </c>
      <c r="AX324" s="944">
        <f t="shared" si="111"/>
        <v>2</v>
      </c>
      <c r="AZ324" s="944">
        <v>1</v>
      </c>
    </row>
    <row r="325" spans="1:52" ht="15.75">
      <c r="A325" s="996">
        <v>23</v>
      </c>
      <c r="B325" s="958" t="str">
        <f>VLOOKUP(C325,'[8]DS CN MOI UP'!$B$10:$C$489,2,0)</f>
        <v>02603</v>
      </c>
      <c r="C325" s="1001" t="s">
        <v>228</v>
      </c>
      <c r="D325" s="1002" t="s">
        <v>15</v>
      </c>
      <c r="E325" s="960"/>
      <c r="F325" s="960">
        <v>2</v>
      </c>
      <c r="G325" s="960">
        <v>1</v>
      </c>
      <c r="H325" s="960">
        <v>3</v>
      </c>
      <c r="I325" s="960"/>
      <c r="J325" s="960">
        <v>1</v>
      </c>
      <c r="K325" s="960">
        <v>3</v>
      </c>
      <c r="L325" s="960">
        <v>3</v>
      </c>
      <c r="M325" s="960">
        <v>1</v>
      </c>
      <c r="N325" s="960">
        <f t="shared" si="100"/>
        <v>0</v>
      </c>
      <c r="O325" s="960">
        <f t="shared" si="101"/>
        <v>12.8</v>
      </c>
      <c r="P325" s="960">
        <f t="shared" si="102"/>
        <v>8</v>
      </c>
      <c r="Q325" s="960">
        <f t="shared" si="103"/>
        <v>12</v>
      </c>
      <c r="R325" s="960">
        <f t="shared" si="104"/>
        <v>0</v>
      </c>
      <c r="S325" s="960">
        <f t="shared" si="105"/>
        <v>2</v>
      </c>
      <c r="T325" s="960">
        <f t="shared" si="106"/>
        <v>3</v>
      </c>
      <c r="U325" s="960">
        <f t="shared" si="107"/>
        <v>3</v>
      </c>
      <c r="V325" s="960">
        <f t="shared" si="108"/>
        <v>1</v>
      </c>
      <c r="W325" s="960"/>
      <c r="X325" s="960"/>
      <c r="Y325" s="960"/>
      <c r="Z325" s="960"/>
      <c r="AA325" s="975">
        <f t="shared" si="109"/>
        <v>41.8</v>
      </c>
      <c r="AB325" s="975">
        <f>VLOOKUP(C325,'[8]MỦ TẠP'!$D$10:$AM$450,36,0)</f>
        <v>0</v>
      </c>
      <c r="AC325" s="975"/>
      <c r="AD325" s="975"/>
      <c r="AE325" s="975">
        <f>VLOOKUP(C325,'[8]MỦ TẠP'!$D$10:$AM$450,36,0)</f>
        <v>0</v>
      </c>
      <c r="AF325" s="975"/>
      <c r="AG325" s="975"/>
      <c r="AH325" s="975">
        <f t="shared" si="110"/>
        <v>0</v>
      </c>
      <c r="AI325" s="975">
        <f>VLOOKUP(C325,'[8]CHẤM CÔNG '!$F$10:$AM$451,33,0)</f>
        <v>0</v>
      </c>
      <c r="AJ325" s="975">
        <f>VLOOKUP(C325,'[8]CHẤM CÔNG '!$F$10:$AM$451,34,0)</f>
        <v>0</v>
      </c>
      <c r="AK325" s="975"/>
      <c r="AL325" s="975"/>
      <c r="AM325" s="975"/>
      <c r="AN325" s="975">
        <f>VLOOKUP(C325,'[8]CHẤM CÔNG '!$F$10:$AN$451,35,0)</f>
        <v>0</v>
      </c>
      <c r="AO325" s="975">
        <f>VLOOKUP(C325,'[8]CHẤM CÔNG '!$F$10:$AR$451,36,0)</f>
        <v>0</v>
      </c>
      <c r="AP325" s="975"/>
      <c r="AQ325" s="975"/>
      <c r="AR325" s="975"/>
      <c r="AS325" s="981"/>
      <c r="AT325" s="982">
        <f>VLOOKUP(C325,'[8]MỦ TẠP'!$D$10:$AO$450,38,0)</f>
        <v>0</v>
      </c>
      <c r="AX325" s="944">
        <f t="shared" si="111"/>
        <v>2</v>
      </c>
      <c r="AZ325" s="944">
        <v>1</v>
      </c>
    </row>
    <row r="326" spans="1:52" ht="15.75">
      <c r="A326" s="996">
        <v>24</v>
      </c>
      <c r="B326" s="958" t="str">
        <f>VLOOKUP(C326,'[8]DS CN MOI UP'!$B$10:$C$489,2,0)</f>
        <v>03385</v>
      </c>
      <c r="C326" s="1001" t="s">
        <v>229</v>
      </c>
      <c r="D326" s="1002" t="s">
        <v>15</v>
      </c>
      <c r="E326" s="960"/>
      <c r="F326" s="960">
        <v>2</v>
      </c>
      <c r="G326" s="960">
        <v>1</v>
      </c>
      <c r="H326" s="960">
        <v>3</v>
      </c>
      <c r="I326" s="960"/>
      <c r="J326" s="960">
        <v>1</v>
      </c>
      <c r="K326" s="960">
        <v>3</v>
      </c>
      <c r="L326" s="960">
        <v>3</v>
      </c>
      <c r="M326" s="960">
        <v>1</v>
      </c>
      <c r="N326" s="960">
        <f t="shared" si="100"/>
        <v>0</v>
      </c>
      <c r="O326" s="960">
        <f t="shared" si="101"/>
        <v>12.8</v>
      </c>
      <c r="P326" s="960">
        <f t="shared" si="102"/>
        <v>8</v>
      </c>
      <c r="Q326" s="960">
        <f t="shared" si="103"/>
        <v>12</v>
      </c>
      <c r="R326" s="960">
        <f t="shared" si="104"/>
        <v>0</v>
      </c>
      <c r="S326" s="960">
        <f t="shared" si="105"/>
        <v>2</v>
      </c>
      <c r="T326" s="960">
        <f t="shared" si="106"/>
        <v>3</v>
      </c>
      <c r="U326" s="960">
        <f t="shared" si="107"/>
        <v>3</v>
      </c>
      <c r="V326" s="960">
        <f t="shared" si="108"/>
        <v>1</v>
      </c>
      <c r="W326" s="960"/>
      <c r="X326" s="960"/>
      <c r="Y326" s="960"/>
      <c r="Z326" s="960"/>
      <c r="AA326" s="975">
        <f t="shared" si="109"/>
        <v>41.8</v>
      </c>
      <c r="AB326" s="975">
        <f>VLOOKUP(C326,'[8]MỦ TẠP'!$D$10:$AM$450,36,0)</f>
        <v>0</v>
      </c>
      <c r="AC326" s="975"/>
      <c r="AD326" s="975"/>
      <c r="AE326" s="975">
        <f>VLOOKUP(C326,'[8]MỦ TẠP'!$D$10:$AM$450,36,0)</f>
        <v>0</v>
      </c>
      <c r="AF326" s="975"/>
      <c r="AG326" s="975"/>
      <c r="AH326" s="975">
        <f t="shared" si="110"/>
        <v>0</v>
      </c>
      <c r="AI326" s="975">
        <f>VLOOKUP(C326,'[8]CHẤM CÔNG '!$F$10:$AM$451,33,0)</f>
        <v>0</v>
      </c>
      <c r="AJ326" s="975">
        <f>VLOOKUP(C326,'[8]CHẤM CÔNG '!$F$10:$AM$451,34,0)</f>
        <v>0</v>
      </c>
      <c r="AK326" s="975"/>
      <c r="AL326" s="975"/>
      <c r="AM326" s="975"/>
      <c r="AN326" s="975">
        <f>VLOOKUP(C326,'[8]CHẤM CÔNG '!$F$10:$AN$451,35,0)</f>
        <v>0</v>
      </c>
      <c r="AO326" s="975">
        <f>VLOOKUP(C326,'[8]CHẤM CÔNG '!$F$10:$AR$451,36,0)</f>
        <v>0</v>
      </c>
      <c r="AP326" s="975"/>
      <c r="AQ326" s="975"/>
      <c r="AR326" s="975"/>
      <c r="AS326" s="981"/>
      <c r="AT326" s="982">
        <f>VLOOKUP(C326,'[8]MỦ TẠP'!$D$10:$AO$450,38,0)</f>
        <v>0</v>
      </c>
      <c r="AX326" s="944">
        <f t="shared" si="111"/>
        <v>2</v>
      </c>
      <c r="AZ326" s="944">
        <v>1</v>
      </c>
    </row>
    <row r="327" spans="1:52" ht="15.75">
      <c r="A327" s="996">
        <v>25</v>
      </c>
      <c r="B327" s="958" t="str">
        <f>VLOOKUP(C327,'[8]DS CN MOI UP'!$B$10:$C$489,2,0)</f>
        <v>02586</v>
      </c>
      <c r="C327" s="1001" t="s">
        <v>230</v>
      </c>
      <c r="D327" s="1002" t="s">
        <v>15</v>
      </c>
      <c r="E327" s="960"/>
      <c r="F327" s="960">
        <v>2</v>
      </c>
      <c r="G327" s="960">
        <v>1</v>
      </c>
      <c r="H327" s="960">
        <v>3</v>
      </c>
      <c r="I327" s="960"/>
      <c r="J327" s="960">
        <v>1</v>
      </c>
      <c r="K327" s="960">
        <v>3</v>
      </c>
      <c r="L327" s="960">
        <v>3</v>
      </c>
      <c r="M327" s="960">
        <v>1</v>
      </c>
      <c r="N327" s="960">
        <f t="shared" si="100"/>
        <v>0</v>
      </c>
      <c r="O327" s="960">
        <f t="shared" si="101"/>
        <v>12.8</v>
      </c>
      <c r="P327" s="960">
        <f t="shared" si="102"/>
        <v>8</v>
      </c>
      <c r="Q327" s="960">
        <f t="shared" si="103"/>
        <v>12</v>
      </c>
      <c r="R327" s="960">
        <f t="shared" si="104"/>
        <v>0</v>
      </c>
      <c r="S327" s="960">
        <f t="shared" si="105"/>
        <v>2</v>
      </c>
      <c r="T327" s="960">
        <f t="shared" si="106"/>
        <v>3</v>
      </c>
      <c r="U327" s="960">
        <f t="shared" si="107"/>
        <v>3</v>
      </c>
      <c r="V327" s="960">
        <f t="shared" si="108"/>
        <v>1</v>
      </c>
      <c r="W327" s="960"/>
      <c r="X327" s="960"/>
      <c r="Y327" s="960"/>
      <c r="Z327" s="960"/>
      <c r="AA327" s="975">
        <f t="shared" si="109"/>
        <v>41.8</v>
      </c>
      <c r="AB327" s="975">
        <f>VLOOKUP(C327,'[8]MỦ TẠP'!$D$10:$AM$450,36,0)</f>
        <v>0</v>
      </c>
      <c r="AC327" s="975"/>
      <c r="AD327" s="975"/>
      <c r="AE327" s="975">
        <f>VLOOKUP(C327,'[8]MỦ TẠP'!$D$10:$AM$450,36,0)</f>
        <v>0</v>
      </c>
      <c r="AF327" s="975"/>
      <c r="AG327" s="975"/>
      <c r="AH327" s="975">
        <f t="shared" si="110"/>
        <v>0</v>
      </c>
      <c r="AI327" s="975">
        <f>VLOOKUP(C327,'[8]CHẤM CÔNG '!$F$10:$AM$451,33,0)</f>
        <v>0</v>
      </c>
      <c r="AJ327" s="975">
        <f>VLOOKUP(C327,'[8]CHẤM CÔNG '!$F$10:$AM$451,34,0)</f>
        <v>0</v>
      </c>
      <c r="AK327" s="975"/>
      <c r="AL327" s="975"/>
      <c r="AM327" s="975"/>
      <c r="AN327" s="975">
        <f>VLOOKUP(C327,'[8]CHẤM CÔNG '!$F$10:$AN$451,35,0)</f>
        <v>0</v>
      </c>
      <c r="AO327" s="975">
        <f>VLOOKUP(C327,'[8]CHẤM CÔNG '!$F$10:$AR$451,36,0)</f>
        <v>0</v>
      </c>
      <c r="AP327" s="975"/>
      <c r="AQ327" s="975"/>
      <c r="AR327" s="975"/>
      <c r="AS327" s="981"/>
      <c r="AT327" s="982">
        <f>VLOOKUP(C327,'[8]MỦ TẠP'!$D$10:$AO$450,38,0)</f>
        <v>0</v>
      </c>
      <c r="AX327" s="944">
        <f t="shared" si="111"/>
        <v>2</v>
      </c>
      <c r="AZ327" s="944">
        <v>1</v>
      </c>
    </row>
    <row r="328" spans="1:52" ht="15.75">
      <c r="A328" s="996">
        <v>26</v>
      </c>
      <c r="B328" s="958" t="str">
        <f>VLOOKUP(C328,'[8]DS CN MOI UP'!$B$10:$C$489,2,0)</f>
        <v>02614</v>
      </c>
      <c r="C328" s="1001" t="s">
        <v>231</v>
      </c>
      <c r="D328" s="1002" t="s">
        <v>15</v>
      </c>
      <c r="E328" s="960"/>
      <c r="F328" s="960">
        <v>2</v>
      </c>
      <c r="G328" s="960">
        <v>1</v>
      </c>
      <c r="H328" s="960">
        <v>3</v>
      </c>
      <c r="I328" s="960"/>
      <c r="J328" s="960">
        <v>1</v>
      </c>
      <c r="K328" s="960">
        <v>3</v>
      </c>
      <c r="L328" s="960">
        <v>3</v>
      </c>
      <c r="M328" s="960">
        <v>1</v>
      </c>
      <c r="N328" s="960">
        <f t="shared" si="100"/>
        <v>0</v>
      </c>
      <c r="O328" s="960">
        <f t="shared" si="101"/>
        <v>12.8</v>
      </c>
      <c r="P328" s="960">
        <f t="shared" si="102"/>
        <v>8</v>
      </c>
      <c r="Q328" s="960">
        <f t="shared" si="103"/>
        <v>12</v>
      </c>
      <c r="R328" s="960">
        <f t="shared" si="104"/>
        <v>0</v>
      </c>
      <c r="S328" s="960">
        <f t="shared" si="105"/>
        <v>2</v>
      </c>
      <c r="T328" s="960">
        <f t="shared" si="106"/>
        <v>3</v>
      </c>
      <c r="U328" s="960">
        <f t="shared" si="107"/>
        <v>3</v>
      </c>
      <c r="V328" s="960">
        <f t="shared" si="108"/>
        <v>1</v>
      </c>
      <c r="W328" s="960"/>
      <c r="X328" s="960"/>
      <c r="Y328" s="960"/>
      <c r="Z328" s="960"/>
      <c r="AA328" s="975">
        <f t="shared" si="109"/>
        <v>41.8</v>
      </c>
      <c r="AB328" s="975">
        <f>VLOOKUP(C328,'[8]MỦ TẠP'!$D$10:$AM$450,36,0)</f>
        <v>0</v>
      </c>
      <c r="AC328" s="975"/>
      <c r="AD328" s="975"/>
      <c r="AE328" s="975">
        <f>VLOOKUP(C328,'[8]MỦ TẠP'!$D$10:$AM$450,36,0)</f>
        <v>0</v>
      </c>
      <c r="AF328" s="975"/>
      <c r="AG328" s="975"/>
      <c r="AH328" s="975">
        <f t="shared" si="110"/>
        <v>0</v>
      </c>
      <c r="AI328" s="975">
        <f>VLOOKUP(C328,'[8]CHẤM CÔNG '!$F$10:$AM$451,33,0)</f>
        <v>0</v>
      </c>
      <c r="AJ328" s="975">
        <f>VLOOKUP(C328,'[8]CHẤM CÔNG '!$F$10:$AM$451,34,0)</f>
        <v>0</v>
      </c>
      <c r="AK328" s="975"/>
      <c r="AL328" s="975"/>
      <c r="AM328" s="975"/>
      <c r="AN328" s="975">
        <f>VLOOKUP(C328,'[8]CHẤM CÔNG '!$F$10:$AN$451,35,0)</f>
        <v>0</v>
      </c>
      <c r="AO328" s="975">
        <f>VLOOKUP(C328,'[8]CHẤM CÔNG '!$F$10:$AR$451,36,0)</f>
        <v>0</v>
      </c>
      <c r="AP328" s="975"/>
      <c r="AQ328" s="975"/>
      <c r="AR328" s="975"/>
      <c r="AS328" s="981"/>
      <c r="AT328" s="982">
        <f>VLOOKUP(C328,'[8]MỦ TẠP'!$D$10:$AO$450,38,0)</f>
        <v>0</v>
      </c>
      <c r="AX328" s="944">
        <f t="shared" si="111"/>
        <v>2</v>
      </c>
      <c r="AZ328" s="944">
        <v>1</v>
      </c>
    </row>
    <row r="329" spans="1:52" ht="15.75">
      <c r="A329" s="996">
        <v>27</v>
      </c>
      <c r="B329" s="958" t="str">
        <f>VLOOKUP(C329,'[8]DS CN MOI UP'!$B$10:$C$489,2,0)</f>
        <v>02581</v>
      </c>
      <c r="C329" s="1001" t="s">
        <v>232</v>
      </c>
      <c r="D329" s="1002" t="s">
        <v>15</v>
      </c>
      <c r="E329" s="960"/>
      <c r="F329" s="960">
        <v>2</v>
      </c>
      <c r="G329" s="960">
        <v>1</v>
      </c>
      <c r="H329" s="960">
        <v>3</v>
      </c>
      <c r="I329" s="960"/>
      <c r="J329" s="960">
        <v>1</v>
      </c>
      <c r="K329" s="960">
        <v>3</v>
      </c>
      <c r="L329" s="960">
        <v>3</v>
      </c>
      <c r="M329" s="960">
        <v>1</v>
      </c>
      <c r="N329" s="960">
        <f t="shared" si="100"/>
        <v>0</v>
      </c>
      <c r="O329" s="960">
        <f t="shared" si="101"/>
        <v>12.8</v>
      </c>
      <c r="P329" s="960">
        <f t="shared" si="102"/>
        <v>8</v>
      </c>
      <c r="Q329" s="960">
        <f t="shared" si="103"/>
        <v>12</v>
      </c>
      <c r="R329" s="960">
        <f t="shared" si="104"/>
        <v>0</v>
      </c>
      <c r="S329" s="960">
        <f t="shared" si="105"/>
        <v>2</v>
      </c>
      <c r="T329" s="960">
        <f t="shared" si="106"/>
        <v>3</v>
      </c>
      <c r="U329" s="960">
        <f t="shared" si="107"/>
        <v>3</v>
      </c>
      <c r="V329" s="960">
        <f t="shared" si="108"/>
        <v>1</v>
      </c>
      <c r="W329" s="960"/>
      <c r="X329" s="960"/>
      <c r="Y329" s="960"/>
      <c r="Z329" s="960"/>
      <c r="AA329" s="975">
        <f t="shared" si="109"/>
        <v>41.8</v>
      </c>
      <c r="AB329" s="975">
        <f>VLOOKUP(C329,'[8]MỦ TẠP'!$D$10:$AM$450,36,0)</f>
        <v>0</v>
      </c>
      <c r="AC329" s="975"/>
      <c r="AD329" s="975"/>
      <c r="AE329" s="975">
        <f>VLOOKUP(C329,'[8]MỦ TẠP'!$D$10:$AM$450,36,0)</f>
        <v>0</v>
      </c>
      <c r="AF329" s="975"/>
      <c r="AG329" s="975"/>
      <c r="AH329" s="975">
        <f t="shared" si="110"/>
        <v>0</v>
      </c>
      <c r="AI329" s="975">
        <f>VLOOKUP(C329,'[8]CHẤM CÔNG '!$F$10:$AM$451,33,0)</f>
        <v>0</v>
      </c>
      <c r="AJ329" s="975">
        <f>VLOOKUP(C329,'[8]CHẤM CÔNG '!$F$10:$AM$451,34,0)</f>
        <v>0</v>
      </c>
      <c r="AK329" s="975"/>
      <c r="AL329" s="975"/>
      <c r="AM329" s="975"/>
      <c r="AN329" s="975">
        <f>VLOOKUP(C329,'[8]CHẤM CÔNG '!$F$10:$AN$451,35,0)</f>
        <v>0</v>
      </c>
      <c r="AO329" s="975">
        <f>VLOOKUP(C329,'[8]CHẤM CÔNG '!$F$10:$AR$451,36,0)</f>
        <v>0</v>
      </c>
      <c r="AP329" s="975"/>
      <c r="AQ329" s="975"/>
      <c r="AR329" s="975"/>
      <c r="AS329" s="981"/>
      <c r="AT329" s="982">
        <f>VLOOKUP(C329,'[8]MỦ TẠP'!$D$10:$AO$450,38,0)</f>
        <v>0</v>
      </c>
      <c r="AX329" s="944">
        <f t="shared" si="111"/>
        <v>2</v>
      </c>
      <c r="AZ329" s="944">
        <v>1</v>
      </c>
    </row>
    <row r="330" spans="1:52" ht="15.75">
      <c r="A330" s="996">
        <v>28</v>
      </c>
      <c r="B330" s="958" t="str">
        <f>VLOOKUP(C330,'[8]DS CN MOI UP'!$B$10:$C$489,2,0)</f>
        <v>02613</v>
      </c>
      <c r="C330" s="1001" t="s">
        <v>233</v>
      </c>
      <c r="D330" s="1002" t="s">
        <v>15</v>
      </c>
      <c r="E330" s="960"/>
      <c r="F330" s="960">
        <v>2</v>
      </c>
      <c r="G330" s="960">
        <v>1</v>
      </c>
      <c r="H330" s="960">
        <v>3</v>
      </c>
      <c r="I330" s="960"/>
      <c r="J330" s="960">
        <v>1</v>
      </c>
      <c r="K330" s="960">
        <v>3</v>
      </c>
      <c r="L330" s="960">
        <v>3</v>
      </c>
      <c r="M330" s="960">
        <v>1</v>
      </c>
      <c r="N330" s="960">
        <f t="shared" si="100"/>
        <v>0</v>
      </c>
      <c r="O330" s="960">
        <f t="shared" si="101"/>
        <v>12.8</v>
      </c>
      <c r="P330" s="960">
        <f t="shared" si="102"/>
        <v>8</v>
      </c>
      <c r="Q330" s="960">
        <f t="shared" si="103"/>
        <v>12</v>
      </c>
      <c r="R330" s="960">
        <f t="shared" si="104"/>
        <v>0</v>
      </c>
      <c r="S330" s="960">
        <f t="shared" si="105"/>
        <v>2</v>
      </c>
      <c r="T330" s="960">
        <f t="shared" si="106"/>
        <v>3</v>
      </c>
      <c r="U330" s="960">
        <f t="shared" si="107"/>
        <v>3</v>
      </c>
      <c r="V330" s="960">
        <f t="shared" si="108"/>
        <v>1</v>
      </c>
      <c r="W330" s="960"/>
      <c r="X330" s="960"/>
      <c r="Y330" s="960"/>
      <c r="Z330" s="960"/>
      <c r="AA330" s="975">
        <f t="shared" si="109"/>
        <v>41.8</v>
      </c>
      <c r="AB330" s="975">
        <f>VLOOKUP(C330,'[8]MỦ TẠP'!$D$10:$AM$450,36,0)</f>
        <v>0</v>
      </c>
      <c r="AC330" s="975"/>
      <c r="AD330" s="975"/>
      <c r="AE330" s="975">
        <f>VLOOKUP(C330,'[8]MỦ TẠP'!$D$10:$AM$450,36,0)</f>
        <v>0</v>
      </c>
      <c r="AF330" s="975"/>
      <c r="AG330" s="975"/>
      <c r="AH330" s="975">
        <f t="shared" si="110"/>
        <v>0</v>
      </c>
      <c r="AI330" s="975">
        <f>VLOOKUP(C330,'[8]CHẤM CÔNG '!$F$10:$AM$451,33,0)</f>
        <v>0</v>
      </c>
      <c r="AJ330" s="975">
        <f>VLOOKUP(C330,'[8]CHẤM CÔNG '!$F$10:$AM$451,34,0)</f>
        <v>0</v>
      </c>
      <c r="AK330" s="975"/>
      <c r="AL330" s="975"/>
      <c r="AM330" s="975"/>
      <c r="AN330" s="975">
        <f>VLOOKUP(C330,'[8]CHẤM CÔNG '!$F$10:$AN$451,35,0)</f>
        <v>0</v>
      </c>
      <c r="AO330" s="975">
        <f>VLOOKUP(C330,'[8]CHẤM CÔNG '!$F$10:$AR$451,36,0)</f>
        <v>0</v>
      </c>
      <c r="AP330" s="975"/>
      <c r="AQ330" s="975"/>
      <c r="AR330" s="975"/>
      <c r="AS330" s="981"/>
      <c r="AT330" s="982">
        <f>VLOOKUP(C330,'[8]MỦ TẠP'!$D$10:$AO$450,38,0)</f>
        <v>0</v>
      </c>
      <c r="AX330" s="944">
        <f t="shared" si="111"/>
        <v>2</v>
      </c>
      <c r="AZ330" s="944">
        <v>1</v>
      </c>
    </row>
    <row r="331" spans="1:52" ht="15.75">
      <c r="A331" s="996">
        <v>29</v>
      </c>
      <c r="B331" s="958" t="str">
        <f>VLOOKUP(C331,'[8]DS CN MOI UP'!$B$10:$C$489,2,0)</f>
        <v>03386</v>
      </c>
      <c r="C331" s="1001" t="s">
        <v>234</v>
      </c>
      <c r="D331" s="1002" t="s">
        <v>15</v>
      </c>
      <c r="E331" s="960"/>
      <c r="F331" s="960">
        <v>2</v>
      </c>
      <c r="G331" s="960">
        <v>1</v>
      </c>
      <c r="H331" s="960">
        <v>3</v>
      </c>
      <c r="I331" s="960"/>
      <c r="J331" s="960">
        <v>1</v>
      </c>
      <c r="K331" s="960">
        <v>3</v>
      </c>
      <c r="L331" s="960">
        <v>3</v>
      </c>
      <c r="M331" s="960">
        <v>1</v>
      </c>
      <c r="N331" s="960">
        <f t="shared" si="100"/>
        <v>0</v>
      </c>
      <c r="O331" s="960">
        <f t="shared" si="101"/>
        <v>12.8</v>
      </c>
      <c r="P331" s="960">
        <f t="shared" si="102"/>
        <v>8</v>
      </c>
      <c r="Q331" s="960">
        <f t="shared" si="103"/>
        <v>12</v>
      </c>
      <c r="R331" s="960">
        <f t="shared" si="104"/>
        <v>0</v>
      </c>
      <c r="S331" s="960">
        <f t="shared" si="105"/>
        <v>2</v>
      </c>
      <c r="T331" s="960">
        <f t="shared" si="106"/>
        <v>3</v>
      </c>
      <c r="U331" s="960">
        <f t="shared" si="107"/>
        <v>3</v>
      </c>
      <c r="V331" s="960">
        <f t="shared" si="108"/>
        <v>1</v>
      </c>
      <c r="W331" s="960"/>
      <c r="X331" s="960"/>
      <c r="Y331" s="960"/>
      <c r="Z331" s="960"/>
      <c r="AA331" s="975">
        <f t="shared" si="109"/>
        <v>41.8</v>
      </c>
      <c r="AB331" s="975">
        <f>VLOOKUP(C331,'[8]MỦ TẠP'!$D$10:$AM$450,36,0)</f>
        <v>0</v>
      </c>
      <c r="AC331" s="975"/>
      <c r="AD331" s="975"/>
      <c r="AE331" s="975">
        <f>VLOOKUP(C331,'[8]MỦ TẠP'!$D$10:$AM$450,36,0)</f>
        <v>0</v>
      </c>
      <c r="AF331" s="975"/>
      <c r="AG331" s="975"/>
      <c r="AH331" s="975">
        <f t="shared" si="110"/>
        <v>0</v>
      </c>
      <c r="AI331" s="975">
        <f>VLOOKUP(C331,'[8]CHẤM CÔNG '!$F$10:$AM$451,33,0)</f>
        <v>0</v>
      </c>
      <c r="AJ331" s="975">
        <f>VLOOKUP(C331,'[8]CHẤM CÔNG '!$F$10:$AM$451,34,0)</f>
        <v>0</v>
      </c>
      <c r="AK331" s="975"/>
      <c r="AL331" s="975"/>
      <c r="AM331" s="975"/>
      <c r="AN331" s="975">
        <f>VLOOKUP(C331,'[8]CHẤM CÔNG '!$F$10:$AN$451,35,0)</f>
        <v>0</v>
      </c>
      <c r="AO331" s="975">
        <f>VLOOKUP(C331,'[8]CHẤM CÔNG '!$F$10:$AR$451,36,0)</f>
        <v>0</v>
      </c>
      <c r="AP331" s="975"/>
      <c r="AQ331" s="975"/>
      <c r="AR331" s="975"/>
      <c r="AS331" s="981"/>
      <c r="AT331" s="982">
        <f>VLOOKUP(C331,'[8]MỦ TẠP'!$D$10:$AO$450,38,0)</f>
        <v>0</v>
      </c>
      <c r="AX331" s="944">
        <f t="shared" si="111"/>
        <v>2</v>
      </c>
      <c r="AZ331" s="944">
        <v>1</v>
      </c>
    </row>
    <row r="332" spans="1:52" ht="15.75">
      <c r="A332" s="996">
        <v>30</v>
      </c>
      <c r="B332" s="958" t="str">
        <f>VLOOKUP(C332,'[8]DS CN MOI UP'!$B$10:$C$489,2,0)</f>
        <v>03387</v>
      </c>
      <c r="C332" s="1001" t="s">
        <v>235</v>
      </c>
      <c r="D332" s="1002" t="s">
        <v>15</v>
      </c>
      <c r="E332" s="960"/>
      <c r="F332" s="960">
        <v>2</v>
      </c>
      <c r="G332" s="960">
        <v>1</v>
      </c>
      <c r="H332" s="960">
        <v>3</v>
      </c>
      <c r="I332" s="960"/>
      <c r="J332" s="960">
        <v>1</v>
      </c>
      <c r="K332" s="960">
        <v>3</v>
      </c>
      <c r="L332" s="960">
        <v>3</v>
      </c>
      <c r="M332" s="960">
        <v>1</v>
      </c>
      <c r="N332" s="960">
        <f t="shared" si="100"/>
        <v>0</v>
      </c>
      <c r="O332" s="960">
        <f t="shared" si="101"/>
        <v>12.8</v>
      </c>
      <c r="P332" s="960">
        <f t="shared" si="102"/>
        <v>8</v>
      </c>
      <c r="Q332" s="960">
        <f t="shared" si="103"/>
        <v>12</v>
      </c>
      <c r="R332" s="960">
        <f t="shared" si="104"/>
        <v>0</v>
      </c>
      <c r="S332" s="960">
        <f t="shared" si="105"/>
        <v>2</v>
      </c>
      <c r="T332" s="960">
        <f t="shared" si="106"/>
        <v>3</v>
      </c>
      <c r="U332" s="960">
        <f t="shared" si="107"/>
        <v>3</v>
      </c>
      <c r="V332" s="960">
        <f t="shared" si="108"/>
        <v>1</v>
      </c>
      <c r="W332" s="960"/>
      <c r="X332" s="960"/>
      <c r="Y332" s="960"/>
      <c r="Z332" s="960"/>
      <c r="AA332" s="975">
        <f t="shared" si="109"/>
        <v>41.8</v>
      </c>
      <c r="AB332" s="975">
        <f>VLOOKUP(C332,'[8]MỦ TẠP'!$D$10:$AM$450,36,0)</f>
        <v>0</v>
      </c>
      <c r="AC332" s="975"/>
      <c r="AD332" s="975"/>
      <c r="AE332" s="975">
        <f>VLOOKUP(C332,'[8]MỦ TẠP'!$D$10:$AM$450,36,0)</f>
        <v>0</v>
      </c>
      <c r="AF332" s="975"/>
      <c r="AG332" s="975"/>
      <c r="AH332" s="975">
        <f t="shared" si="110"/>
        <v>0</v>
      </c>
      <c r="AI332" s="975">
        <f>VLOOKUP(C332,'[8]CHẤM CÔNG '!$F$10:$AM$451,33,0)</f>
        <v>0</v>
      </c>
      <c r="AJ332" s="975">
        <f>VLOOKUP(C332,'[8]CHẤM CÔNG '!$F$10:$AM$451,34,0)</f>
        <v>0</v>
      </c>
      <c r="AK332" s="975"/>
      <c r="AL332" s="975"/>
      <c r="AM332" s="975"/>
      <c r="AN332" s="975">
        <f>VLOOKUP(C332,'[8]CHẤM CÔNG '!$F$10:$AN$451,35,0)</f>
        <v>0</v>
      </c>
      <c r="AO332" s="975">
        <f>VLOOKUP(C332,'[8]CHẤM CÔNG '!$F$10:$AR$451,36,0)</f>
        <v>0</v>
      </c>
      <c r="AP332" s="975"/>
      <c r="AQ332" s="975"/>
      <c r="AR332" s="975"/>
      <c r="AS332" s="981"/>
      <c r="AT332" s="982">
        <f>VLOOKUP(C332,'[8]MỦ TẠP'!$D$10:$AO$450,38,0)</f>
        <v>0</v>
      </c>
      <c r="AX332" s="944">
        <f t="shared" si="111"/>
        <v>2</v>
      </c>
      <c r="AZ332" s="944">
        <v>1</v>
      </c>
    </row>
    <row r="333" spans="1:52" ht="15.75">
      <c r="A333" s="996">
        <v>31</v>
      </c>
      <c r="B333" s="958" t="str">
        <f>VLOOKUP(C333,'[8]DS CN MOI UP'!$B$10:$C$489,2,0)</f>
        <v>03388</v>
      </c>
      <c r="C333" s="1001" t="s">
        <v>236</v>
      </c>
      <c r="D333" s="1002" t="s">
        <v>15</v>
      </c>
      <c r="E333" s="960"/>
      <c r="F333" s="960">
        <v>2</v>
      </c>
      <c r="G333" s="960">
        <v>1</v>
      </c>
      <c r="H333" s="960">
        <v>3</v>
      </c>
      <c r="I333" s="960"/>
      <c r="J333" s="960">
        <v>1</v>
      </c>
      <c r="K333" s="960">
        <v>3</v>
      </c>
      <c r="L333" s="960">
        <v>3</v>
      </c>
      <c r="M333" s="960">
        <v>1</v>
      </c>
      <c r="N333" s="960">
        <f t="shared" si="100"/>
        <v>0</v>
      </c>
      <c r="O333" s="960">
        <f t="shared" si="101"/>
        <v>12.8</v>
      </c>
      <c r="P333" s="960">
        <f t="shared" si="102"/>
        <v>8</v>
      </c>
      <c r="Q333" s="960">
        <f t="shared" si="103"/>
        <v>12</v>
      </c>
      <c r="R333" s="960">
        <f t="shared" si="104"/>
        <v>0</v>
      </c>
      <c r="S333" s="960">
        <f t="shared" si="105"/>
        <v>2</v>
      </c>
      <c r="T333" s="960">
        <f t="shared" si="106"/>
        <v>3</v>
      </c>
      <c r="U333" s="960">
        <f t="shared" si="107"/>
        <v>3</v>
      </c>
      <c r="V333" s="960">
        <f t="shared" si="108"/>
        <v>1</v>
      </c>
      <c r="W333" s="960"/>
      <c r="X333" s="960"/>
      <c r="Y333" s="960"/>
      <c r="Z333" s="960"/>
      <c r="AA333" s="975">
        <f t="shared" si="109"/>
        <v>41.8</v>
      </c>
      <c r="AB333" s="975">
        <f>VLOOKUP(C333,'[8]MỦ TẠP'!$D$10:$AM$450,36,0)</f>
        <v>0</v>
      </c>
      <c r="AC333" s="975"/>
      <c r="AD333" s="975"/>
      <c r="AE333" s="975">
        <f>VLOOKUP(C333,'[8]MỦ TẠP'!$D$10:$AM$450,36,0)</f>
        <v>0</v>
      </c>
      <c r="AF333" s="975"/>
      <c r="AG333" s="975"/>
      <c r="AH333" s="975">
        <f t="shared" si="110"/>
        <v>0</v>
      </c>
      <c r="AI333" s="975">
        <f>VLOOKUP(C333,'[8]CHẤM CÔNG '!$F$10:$AM$451,33,0)</f>
        <v>0</v>
      </c>
      <c r="AJ333" s="975">
        <f>VLOOKUP(C333,'[8]CHẤM CÔNG '!$F$10:$AM$451,34,0)</f>
        <v>0</v>
      </c>
      <c r="AK333" s="975"/>
      <c r="AL333" s="975"/>
      <c r="AM333" s="975"/>
      <c r="AN333" s="975">
        <f>VLOOKUP(C333,'[8]CHẤM CÔNG '!$F$10:$AN$451,35,0)</f>
        <v>0</v>
      </c>
      <c r="AO333" s="975">
        <f>VLOOKUP(C333,'[8]CHẤM CÔNG '!$F$10:$AR$451,36,0)</f>
        <v>0</v>
      </c>
      <c r="AP333" s="975"/>
      <c r="AQ333" s="975"/>
      <c r="AR333" s="975"/>
      <c r="AS333" s="981"/>
      <c r="AT333" s="982">
        <f>VLOOKUP(C333,'[8]MỦ TẠP'!$D$10:$AO$450,38,0)</f>
        <v>0</v>
      </c>
      <c r="AX333" s="944">
        <f t="shared" si="111"/>
        <v>2</v>
      </c>
      <c r="AZ333" s="944">
        <v>1</v>
      </c>
    </row>
    <row r="334" spans="1:52" ht="15.75">
      <c r="A334" s="996">
        <v>32</v>
      </c>
      <c r="B334" s="958" t="str">
        <f>VLOOKUP(C334,'[8]DS CN MOI UP'!$B$10:$C$489,2,0)</f>
        <v>03389</v>
      </c>
      <c r="C334" s="1001" t="s">
        <v>237</v>
      </c>
      <c r="D334" s="1002" t="s">
        <v>15</v>
      </c>
      <c r="E334" s="960"/>
      <c r="F334" s="960">
        <v>2</v>
      </c>
      <c r="G334" s="960">
        <v>1</v>
      </c>
      <c r="H334" s="960">
        <v>3</v>
      </c>
      <c r="I334" s="960"/>
      <c r="J334" s="960">
        <v>1</v>
      </c>
      <c r="K334" s="960">
        <v>3</v>
      </c>
      <c r="L334" s="960">
        <v>3</v>
      </c>
      <c r="M334" s="960">
        <v>1</v>
      </c>
      <c r="N334" s="960">
        <f t="shared" si="100"/>
        <v>0</v>
      </c>
      <c r="O334" s="960">
        <f t="shared" si="101"/>
        <v>12.8</v>
      </c>
      <c r="P334" s="960">
        <f t="shared" si="102"/>
        <v>8</v>
      </c>
      <c r="Q334" s="960">
        <f t="shared" si="103"/>
        <v>12</v>
      </c>
      <c r="R334" s="960">
        <f t="shared" si="104"/>
        <v>0</v>
      </c>
      <c r="S334" s="960">
        <f t="shared" si="105"/>
        <v>2</v>
      </c>
      <c r="T334" s="960">
        <f t="shared" si="106"/>
        <v>3</v>
      </c>
      <c r="U334" s="960">
        <f t="shared" si="107"/>
        <v>3</v>
      </c>
      <c r="V334" s="960">
        <f t="shared" si="108"/>
        <v>1</v>
      </c>
      <c r="W334" s="960"/>
      <c r="X334" s="960"/>
      <c r="Y334" s="960"/>
      <c r="Z334" s="960"/>
      <c r="AA334" s="975">
        <f t="shared" si="109"/>
        <v>41.8</v>
      </c>
      <c r="AB334" s="975">
        <f>VLOOKUP(C334,'[8]MỦ TẠP'!$D$10:$AM$450,36,0)</f>
        <v>0</v>
      </c>
      <c r="AC334" s="975"/>
      <c r="AD334" s="975"/>
      <c r="AE334" s="975">
        <f>VLOOKUP(C334,'[8]MỦ TẠP'!$D$10:$AM$450,36,0)</f>
        <v>0</v>
      </c>
      <c r="AF334" s="975"/>
      <c r="AG334" s="975"/>
      <c r="AH334" s="975">
        <f t="shared" si="110"/>
        <v>0</v>
      </c>
      <c r="AI334" s="975">
        <f>VLOOKUP(C334,'[8]CHẤM CÔNG '!$F$10:$AM$451,33,0)</f>
        <v>0</v>
      </c>
      <c r="AJ334" s="975">
        <f>VLOOKUP(C334,'[8]CHẤM CÔNG '!$F$10:$AM$451,34,0)</f>
        <v>0</v>
      </c>
      <c r="AK334" s="975"/>
      <c r="AL334" s="975"/>
      <c r="AM334" s="975"/>
      <c r="AN334" s="975">
        <f>VLOOKUP(C334,'[8]CHẤM CÔNG '!$F$10:$AN$451,35,0)</f>
        <v>0</v>
      </c>
      <c r="AO334" s="975">
        <f>VLOOKUP(C334,'[8]CHẤM CÔNG '!$F$10:$AR$451,36,0)</f>
        <v>0</v>
      </c>
      <c r="AP334" s="975"/>
      <c r="AQ334" s="975"/>
      <c r="AR334" s="975"/>
      <c r="AS334" s="981"/>
      <c r="AT334" s="982">
        <f>VLOOKUP(C334,'[8]MỦ TẠP'!$D$10:$AO$450,38,0)</f>
        <v>0</v>
      </c>
      <c r="AX334" s="944">
        <f t="shared" si="111"/>
        <v>2</v>
      </c>
      <c r="AZ334" s="944">
        <v>1</v>
      </c>
    </row>
    <row r="335" spans="1:52" ht="15.75">
      <c r="A335" s="996">
        <v>33</v>
      </c>
      <c r="B335" s="958" t="str">
        <f>VLOOKUP(C335,'[8]DS CN MOI UP'!$B$10:$C$489,2,0)</f>
        <v>03390</v>
      </c>
      <c r="C335" s="1001" t="s">
        <v>238</v>
      </c>
      <c r="D335" s="1002" t="s">
        <v>15</v>
      </c>
      <c r="E335" s="960"/>
      <c r="F335" s="960">
        <v>2</v>
      </c>
      <c r="G335" s="960">
        <v>1</v>
      </c>
      <c r="H335" s="960">
        <v>3</v>
      </c>
      <c r="I335" s="960"/>
      <c r="J335" s="960">
        <v>1</v>
      </c>
      <c r="K335" s="960">
        <v>3</v>
      </c>
      <c r="L335" s="960">
        <v>3</v>
      </c>
      <c r="M335" s="960">
        <v>1</v>
      </c>
      <c r="N335" s="960">
        <f t="shared" si="100"/>
        <v>0</v>
      </c>
      <c r="O335" s="960">
        <f t="shared" si="101"/>
        <v>12.8</v>
      </c>
      <c r="P335" s="960">
        <f t="shared" si="102"/>
        <v>8</v>
      </c>
      <c r="Q335" s="960">
        <f t="shared" si="103"/>
        <v>12</v>
      </c>
      <c r="R335" s="960">
        <f t="shared" si="104"/>
        <v>0</v>
      </c>
      <c r="S335" s="960">
        <f t="shared" si="105"/>
        <v>2</v>
      </c>
      <c r="T335" s="960">
        <f t="shared" si="106"/>
        <v>3</v>
      </c>
      <c r="U335" s="960">
        <f t="shared" si="107"/>
        <v>3</v>
      </c>
      <c r="V335" s="960">
        <f t="shared" si="108"/>
        <v>1</v>
      </c>
      <c r="W335" s="960"/>
      <c r="X335" s="960"/>
      <c r="Y335" s="960"/>
      <c r="Z335" s="960"/>
      <c r="AA335" s="975">
        <f t="shared" si="109"/>
        <v>41.8</v>
      </c>
      <c r="AB335" s="975">
        <f>VLOOKUP(C335,'[8]MỦ TẠP'!$D$10:$AM$450,36,0)</f>
        <v>0</v>
      </c>
      <c r="AC335" s="975"/>
      <c r="AD335" s="975"/>
      <c r="AE335" s="975">
        <f>VLOOKUP(C335,'[8]MỦ TẠP'!$D$10:$AM$450,36,0)</f>
        <v>0</v>
      </c>
      <c r="AF335" s="975"/>
      <c r="AG335" s="975"/>
      <c r="AH335" s="975">
        <f t="shared" si="110"/>
        <v>0</v>
      </c>
      <c r="AI335" s="975">
        <f>VLOOKUP(C335,'[8]CHẤM CÔNG '!$F$10:$AM$451,33,0)</f>
        <v>0</v>
      </c>
      <c r="AJ335" s="975">
        <f>VLOOKUP(C335,'[8]CHẤM CÔNG '!$F$10:$AM$451,34,0)</f>
        <v>0</v>
      </c>
      <c r="AK335" s="975"/>
      <c r="AL335" s="975"/>
      <c r="AM335" s="975"/>
      <c r="AN335" s="975">
        <f>VLOOKUP(C335,'[8]CHẤM CÔNG '!$F$10:$AN$451,35,0)</f>
        <v>0</v>
      </c>
      <c r="AO335" s="975">
        <f>VLOOKUP(C335,'[8]CHẤM CÔNG '!$F$10:$AR$451,36,0)</f>
        <v>0</v>
      </c>
      <c r="AP335" s="975"/>
      <c r="AQ335" s="975"/>
      <c r="AR335" s="975"/>
      <c r="AS335" s="981"/>
      <c r="AT335" s="982">
        <f>VLOOKUP(C335,'[8]MỦ TẠP'!$D$10:$AO$450,38,0)</f>
        <v>0</v>
      </c>
      <c r="AX335" s="944">
        <f t="shared" si="111"/>
        <v>2</v>
      </c>
      <c r="AZ335" s="944">
        <v>1</v>
      </c>
    </row>
    <row r="336" spans="1:52" ht="15.75">
      <c r="A336" s="996">
        <v>34</v>
      </c>
      <c r="B336" s="958" t="str">
        <f>VLOOKUP(C336,'[8]DS CN MOI UP'!$B$10:$C$489,2,0)</f>
        <v>03391</v>
      </c>
      <c r="C336" s="1001" t="s">
        <v>239</v>
      </c>
      <c r="D336" s="1002" t="s">
        <v>15</v>
      </c>
      <c r="E336" s="960"/>
      <c r="F336" s="960">
        <v>2</v>
      </c>
      <c r="G336" s="960">
        <v>1</v>
      </c>
      <c r="H336" s="960">
        <v>3</v>
      </c>
      <c r="I336" s="960"/>
      <c r="J336" s="960">
        <v>1</v>
      </c>
      <c r="K336" s="960">
        <v>3</v>
      </c>
      <c r="L336" s="960">
        <v>3</v>
      </c>
      <c r="M336" s="960">
        <v>1</v>
      </c>
      <c r="N336" s="960">
        <f t="shared" si="100"/>
        <v>0</v>
      </c>
      <c r="O336" s="960">
        <f t="shared" si="101"/>
        <v>12.8</v>
      </c>
      <c r="P336" s="960">
        <f t="shared" si="102"/>
        <v>8</v>
      </c>
      <c r="Q336" s="960">
        <f t="shared" si="103"/>
        <v>12</v>
      </c>
      <c r="R336" s="960">
        <f t="shared" si="104"/>
        <v>0</v>
      </c>
      <c r="S336" s="960">
        <f t="shared" si="105"/>
        <v>2</v>
      </c>
      <c r="T336" s="960">
        <f t="shared" si="106"/>
        <v>3</v>
      </c>
      <c r="U336" s="960">
        <f t="shared" si="107"/>
        <v>3</v>
      </c>
      <c r="V336" s="960">
        <f t="shared" si="108"/>
        <v>1</v>
      </c>
      <c r="W336" s="960"/>
      <c r="X336" s="960"/>
      <c r="Y336" s="960"/>
      <c r="Z336" s="960"/>
      <c r="AA336" s="975">
        <f t="shared" si="109"/>
        <v>41.8</v>
      </c>
      <c r="AB336" s="975">
        <f>VLOOKUP(C336,'[8]MỦ TẠP'!$D$10:$AM$450,36,0)</f>
        <v>0</v>
      </c>
      <c r="AC336" s="975"/>
      <c r="AD336" s="975"/>
      <c r="AE336" s="975">
        <f>VLOOKUP(C336,'[8]MỦ TẠP'!$D$10:$AM$450,36,0)</f>
        <v>0</v>
      </c>
      <c r="AF336" s="975"/>
      <c r="AG336" s="975"/>
      <c r="AH336" s="975">
        <f t="shared" si="110"/>
        <v>0</v>
      </c>
      <c r="AI336" s="975">
        <f>VLOOKUP(C336,'[8]CHẤM CÔNG '!$F$10:$AM$451,33,0)</f>
        <v>0</v>
      </c>
      <c r="AJ336" s="975">
        <f>VLOOKUP(C336,'[8]CHẤM CÔNG '!$F$10:$AM$451,34,0)</f>
        <v>0</v>
      </c>
      <c r="AK336" s="975"/>
      <c r="AL336" s="975"/>
      <c r="AM336" s="975"/>
      <c r="AN336" s="975">
        <f>VLOOKUP(C336,'[8]CHẤM CÔNG '!$F$10:$AN$451,35,0)</f>
        <v>0</v>
      </c>
      <c r="AO336" s="975">
        <f>VLOOKUP(C336,'[8]CHẤM CÔNG '!$F$10:$AR$451,36,0)</f>
        <v>0</v>
      </c>
      <c r="AP336" s="975"/>
      <c r="AQ336" s="975"/>
      <c r="AR336" s="975"/>
      <c r="AS336" s="981"/>
      <c r="AT336" s="982">
        <f>VLOOKUP(C336,'[8]MỦ TẠP'!$D$10:$AO$450,38,0)</f>
        <v>0</v>
      </c>
      <c r="AX336" s="944">
        <f t="shared" si="111"/>
        <v>2</v>
      </c>
      <c r="AZ336" s="944">
        <v>1</v>
      </c>
    </row>
    <row r="337" spans="1:52" ht="15.75">
      <c r="A337" s="996">
        <v>35</v>
      </c>
      <c r="B337" s="958" t="str">
        <f>VLOOKUP(C337,'[8]DS CN MOI UP'!$B$10:$C$489,2,0)</f>
        <v>02589</v>
      </c>
      <c r="C337" s="1001" t="s">
        <v>240</v>
      </c>
      <c r="D337" s="1002" t="s">
        <v>15</v>
      </c>
      <c r="E337" s="960"/>
      <c r="F337" s="960">
        <v>3</v>
      </c>
      <c r="G337" s="960"/>
      <c r="H337" s="960">
        <v>3</v>
      </c>
      <c r="I337" s="960"/>
      <c r="J337" s="960">
        <v>1</v>
      </c>
      <c r="K337" s="960">
        <v>3</v>
      </c>
      <c r="L337" s="960">
        <v>3</v>
      </c>
      <c r="M337" s="960">
        <v>1</v>
      </c>
      <c r="N337" s="960">
        <f t="shared" si="100"/>
        <v>0</v>
      </c>
      <c r="O337" s="960">
        <f t="shared" si="101"/>
        <v>19.2</v>
      </c>
      <c r="P337" s="960">
        <f t="shared" si="102"/>
        <v>0</v>
      </c>
      <c r="Q337" s="960">
        <f t="shared" si="103"/>
        <v>12</v>
      </c>
      <c r="R337" s="960">
        <f t="shared" si="104"/>
        <v>0</v>
      </c>
      <c r="S337" s="960">
        <f t="shared" si="105"/>
        <v>2</v>
      </c>
      <c r="T337" s="960">
        <f t="shared" si="106"/>
        <v>3</v>
      </c>
      <c r="U337" s="960">
        <f t="shared" si="107"/>
        <v>3</v>
      </c>
      <c r="V337" s="960">
        <f t="shared" si="108"/>
        <v>1</v>
      </c>
      <c r="W337" s="960"/>
      <c r="X337" s="960"/>
      <c r="Y337" s="960"/>
      <c r="Z337" s="960"/>
      <c r="AA337" s="975">
        <f t="shared" si="109"/>
        <v>40.200000000000003</v>
      </c>
      <c r="AB337" s="975">
        <f>VLOOKUP(C337,'[8]MỦ TẠP'!$D$10:$AM$450,36,0)</f>
        <v>0</v>
      </c>
      <c r="AC337" s="975"/>
      <c r="AD337" s="975"/>
      <c r="AE337" s="975">
        <f>VLOOKUP(C337,'[8]MỦ TẠP'!$D$10:$AM$450,36,0)</f>
        <v>0</v>
      </c>
      <c r="AF337" s="975"/>
      <c r="AG337" s="975"/>
      <c r="AH337" s="975">
        <f t="shared" si="110"/>
        <v>0</v>
      </c>
      <c r="AI337" s="975">
        <f>VLOOKUP(C337,'[8]CHẤM CÔNG '!$F$10:$AM$451,33,0)</f>
        <v>0</v>
      </c>
      <c r="AJ337" s="975">
        <f>VLOOKUP(C337,'[8]CHẤM CÔNG '!$F$10:$AM$451,34,0)</f>
        <v>0</v>
      </c>
      <c r="AK337" s="975"/>
      <c r="AL337" s="975"/>
      <c r="AM337" s="975"/>
      <c r="AN337" s="975">
        <f>VLOOKUP(C337,'[8]CHẤM CÔNG '!$F$10:$AN$451,35,0)</f>
        <v>0</v>
      </c>
      <c r="AO337" s="975">
        <f>VLOOKUP(C337,'[8]CHẤM CÔNG '!$F$10:$AR$451,36,0)</f>
        <v>0</v>
      </c>
      <c r="AP337" s="975"/>
      <c r="AQ337" s="975"/>
      <c r="AR337" s="975"/>
      <c r="AS337" s="981"/>
      <c r="AT337" s="982">
        <f>VLOOKUP(C337,'[8]MỦ TẠP'!$D$10:$AO$450,38,0)</f>
        <v>0</v>
      </c>
      <c r="AX337" s="944">
        <f t="shared" si="111"/>
        <v>2</v>
      </c>
      <c r="AZ337" s="944">
        <v>1</v>
      </c>
    </row>
    <row r="338" spans="1:52" ht="15.75">
      <c r="A338" s="996">
        <v>36</v>
      </c>
      <c r="B338" s="958" t="str">
        <f>VLOOKUP(C338,'[8]DS CN MOI UP'!$B$10:$C$489,2,0)</f>
        <v>03392</v>
      </c>
      <c r="C338" s="1001" t="s">
        <v>241</v>
      </c>
      <c r="D338" s="1002" t="s">
        <v>15</v>
      </c>
      <c r="E338" s="960"/>
      <c r="F338" s="960">
        <v>3</v>
      </c>
      <c r="G338" s="960"/>
      <c r="H338" s="960">
        <v>3</v>
      </c>
      <c r="I338" s="960"/>
      <c r="J338" s="960">
        <v>1</v>
      </c>
      <c r="K338" s="960">
        <v>3</v>
      </c>
      <c r="L338" s="960">
        <v>3</v>
      </c>
      <c r="M338" s="960">
        <v>1</v>
      </c>
      <c r="N338" s="960">
        <f t="shared" si="100"/>
        <v>0</v>
      </c>
      <c r="O338" s="960">
        <f t="shared" si="101"/>
        <v>19.2</v>
      </c>
      <c r="P338" s="960">
        <f t="shared" si="102"/>
        <v>0</v>
      </c>
      <c r="Q338" s="960">
        <f t="shared" si="103"/>
        <v>12</v>
      </c>
      <c r="R338" s="960">
        <f t="shared" si="104"/>
        <v>0</v>
      </c>
      <c r="S338" s="960">
        <f t="shared" si="105"/>
        <v>2</v>
      </c>
      <c r="T338" s="960">
        <f t="shared" si="106"/>
        <v>3</v>
      </c>
      <c r="U338" s="960">
        <f t="shared" si="107"/>
        <v>3</v>
      </c>
      <c r="V338" s="960">
        <f t="shared" si="108"/>
        <v>1</v>
      </c>
      <c r="W338" s="960"/>
      <c r="X338" s="960"/>
      <c r="Y338" s="960"/>
      <c r="Z338" s="960"/>
      <c r="AA338" s="975">
        <f t="shared" si="109"/>
        <v>40.200000000000003</v>
      </c>
      <c r="AB338" s="975">
        <f>VLOOKUP(C338,'[8]MỦ TẠP'!$D$10:$AM$450,36,0)</f>
        <v>0</v>
      </c>
      <c r="AC338" s="975"/>
      <c r="AD338" s="975"/>
      <c r="AE338" s="975">
        <f>VLOOKUP(C338,'[8]MỦ TẠP'!$D$10:$AM$450,36,0)</f>
        <v>0</v>
      </c>
      <c r="AF338" s="975"/>
      <c r="AG338" s="975"/>
      <c r="AH338" s="975">
        <f t="shared" si="110"/>
        <v>0</v>
      </c>
      <c r="AI338" s="975">
        <f>VLOOKUP(C338,'[8]CHẤM CÔNG '!$F$10:$AM$451,33,0)</f>
        <v>0</v>
      </c>
      <c r="AJ338" s="975">
        <f>VLOOKUP(C338,'[8]CHẤM CÔNG '!$F$10:$AM$451,34,0)</f>
        <v>0</v>
      </c>
      <c r="AK338" s="975"/>
      <c r="AL338" s="975"/>
      <c r="AM338" s="975"/>
      <c r="AN338" s="975">
        <f>VLOOKUP(C338,'[8]CHẤM CÔNG '!$F$10:$AN$451,35,0)</f>
        <v>0</v>
      </c>
      <c r="AO338" s="975">
        <f>VLOOKUP(C338,'[8]CHẤM CÔNG '!$F$10:$AR$451,36,0)</f>
        <v>0</v>
      </c>
      <c r="AP338" s="975"/>
      <c r="AQ338" s="975"/>
      <c r="AR338" s="975"/>
      <c r="AS338" s="981"/>
      <c r="AT338" s="982">
        <f>VLOOKUP(C338,'[8]MỦ TẠP'!$D$10:$AO$450,38,0)</f>
        <v>0</v>
      </c>
      <c r="AX338" s="944">
        <f t="shared" si="111"/>
        <v>2</v>
      </c>
      <c r="AZ338" s="944">
        <v>1</v>
      </c>
    </row>
    <row r="339" spans="1:52" ht="15.75">
      <c r="A339" s="996">
        <v>37</v>
      </c>
      <c r="B339" s="958" t="str">
        <f>VLOOKUP(C339,'[8]DS CN MOI UP'!$B$10:$C$489,2,0)</f>
        <v>03393</v>
      </c>
      <c r="C339" s="1001" t="s">
        <v>242</v>
      </c>
      <c r="D339" s="1002" t="s">
        <v>15</v>
      </c>
      <c r="E339" s="960"/>
      <c r="F339" s="960">
        <v>3</v>
      </c>
      <c r="G339" s="960"/>
      <c r="H339" s="960">
        <v>3</v>
      </c>
      <c r="I339" s="960"/>
      <c r="J339" s="960">
        <v>1</v>
      </c>
      <c r="K339" s="960">
        <v>3</v>
      </c>
      <c r="L339" s="960">
        <v>3</v>
      </c>
      <c r="M339" s="960">
        <v>1</v>
      </c>
      <c r="N339" s="960">
        <f t="shared" si="100"/>
        <v>0</v>
      </c>
      <c r="O339" s="960">
        <f t="shared" si="101"/>
        <v>19.2</v>
      </c>
      <c r="P339" s="960">
        <f t="shared" si="102"/>
        <v>0</v>
      </c>
      <c r="Q339" s="960">
        <f t="shared" si="103"/>
        <v>12</v>
      </c>
      <c r="R339" s="960">
        <f t="shared" si="104"/>
        <v>0</v>
      </c>
      <c r="S339" s="960">
        <f t="shared" si="105"/>
        <v>2</v>
      </c>
      <c r="T339" s="960">
        <f t="shared" si="106"/>
        <v>3</v>
      </c>
      <c r="U339" s="960">
        <f t="shared" si="107"/>
        <v>3</v>
      </c>
      <c r="V339" s="960">
        <f t="shared" si="108"/>
        <v>1</v>
      </c>
      <c r="W339" s="960"/>
      <c r="X339" s="960"/>
      <c r="Y339" s="960"/>
      <c r="Z339" s="960"/>
      <c r="AA339" s="975">
        <f t="shared" si="109"/>
        <v>40.200000000000003</v>
      </c>
      <c r="AB339" s="975">
        <f>VLOOKUP(C339,'[8]MỦ TẠP'!$D$10:$AM$450,36,0)</f>
        <v>0</v>
      </c>
      <c r="AC339" s="975"/>
      <c r="AD339" s="975"/>
      <c r="AE339" s="975">
        <f>VLOOKUP(C339,'[8]MỦ TẠP'!$D$10:$AM$450,36,0)</f>
        <v>0</v>
      </c>
      <c r="AF339" s="975"/>
      <c r="AG339" s="975"/>
      <c r="AH339" s="975">
        <f t="shared" si="110"/>
        <v>0</v>
      </c>
      <c r="AI339" s="975">
        <f>VLOOKUP(C339,'[8]CHẤM CÔNG '!$F$10:$AM$451,33,0)</f>
        <v>0</v>
      </c>
      <c r="AJ339" s="975">
        <f>VLOOKUP(C339,'[8]CHẤM CÔNG '!$F$10:$AM$451,34,0)</f>
        <v>0</v>
      </c>
      <c r="AK339" s="975"/>
      <c r="AL339" s="975"/>
      <c r="AM339" s="975"/>
      <c r="AN339" s="975">
        <f>VLOOKUP(C339,'[8]CHẤM CÔNG '!$F$10:$AN$451,35,0)</f>
        <v>0</v>
      </c>
      <c r="AO339" s="975">
        <f>VLOOKUP(C339,'[8]CHẤM CÔNG '!$F$10:$AR$451,36,0)</f>
        <v>0</v>
      </c>
      <c r="AP339" s="975"/>
      <c r="AQ339" s="975"/>
      <c r="AR339" s="975"/>
      <c r="AS339" s="981"/>
      <c r="AT339" s="982">
        <f>VLOOKUP(C339,'[8]MỦ TẠP'!$D$10:$AO$450,38,0)</f>
        <v>0</v>
      </c>
      <c r="AX339" s="944">
        <f t="shared" si="111"/>
        <v>2</v>
      </c>
      <c r="AZ339" s="944">
        <v>1</v>
      </c>
    </row>
    <row r="340" spans="1:52" ht="15.75">
      <c r="A340" s="996">
        <v>38</v>
      </c>
      <c r="B340" s="958" t="str">
        <f>VLOOKUP(C340,'[8]DS CN MOI UP'!$B$10:$C$489,2,0)</f>
        <v>03394</v>
      </c>
      <c r="C340" s="1001" t="s">
        <v>243</v>
      </c>
      <c r="D340" s="1002" t="s">
        <v>15</v>
      </c>
      <c r="E340" s="960"/>
      <c r="F340" s="960">
        <v>3</v>
      </c>
      <c r="G340" s="960"/>
      <c r="H340" s="960">
        <v>3</v>
      </c>
      <c r="I340" s="960"/>
      <c r="J340" s="960">
        <v>1</v>
      </c>
      <c r="K340" s="960">
        <v>3</v>
      </c>
      <c r="L340" s="960">
        <v>3</v>
      </c>
      <c r="M340" s="960">
        <v>1</v>
      </c>
      <c r="N340" s="960">
        <f t="shared" si="100"/>
        <v>0</v>
      </c>
      <c r="O340" s="960">
        <f t="shared" si="101"/>
        <v>19.2</v>
      </c>
      <c r="P340" s="960">
        <f t="shared" si="102"/>
        <v>0</v>
      </c>
      <c r="Q340" s="960">
        <f t="shared" si="103"/>
        <v>12</v>
      </c>
      <c r="R340" s="960">
        <f t="shared" si="104"/>
        <v>0</v>
      </c>
      <c r="S340" s="960">
        <f t="shared" si="105"/>
        <v>2</v>
      </c>
      <c r="T340" s="960">
        <f t="shared" si="106"/>
        <v>3</v>
      </c>
      <c r="U340" s="960">
        <f t="shared" si="107"/>
        <v>3</v>
      </c>
      <c r="V340" s="960">
        <f t="shared" si="108"/>
        <v>1</v>
      </c>
      <c r="W340" s="960"/>
      <c r="X340" s="960"/>
      <c r="Y340" s="960"/>
      <c r="Z340" s="960"/>
      <c r="AA340" s="975">
        <f t="shared" si="109"/>
        <v>40.200000000000003</v>
      </c>
      <c r="AB340" s="975">
        <f>VLOOKUP(C340,'[8]MỦ TẠP'!$D$10:$AM$450,36,0)</f>
        <v>0</v>
      </c>
      <c r="AC340" s="975"/>
      <c r="AD340" s="975"/>
      <c r="AE340" s="975">
        <f>VLOOKUP(C340,'[8]MỦ TẠP'!$D$10:$AM$450,36,0)</f>
        <v>0</v>
      </c>
      <c r="AF340" s="975"/>
      <c r="AG340" s="975"/>
      <c r="AH340" s="975">
        <f t="shared" si="110"/>
        <v>0</v>
      </c>
      <c r="AI340" s="975">
        <f>VLOOKUP(C340,'[8]CHẤM CÔNG '!$F$10:$AM$451,33,0)</f>
        <v>0</v>
      </c>
      <c r="AJ340" s="975">
        <f>VLOOKUP(C340,'[8]CHẤM CÔNG '!$F$10:$AM$451,34,0)</f>
        <v>0</v>
      </c>
      <c r="AK340" s="975"/>
      <c r="AL340" s="975"/>
      <c r="AM340" s="975"/>
      <c r="AN340" s="975">
        <f>VLOOKUP(C340,'[8]CHẤM CÔNG '!$F$10:$AN$451,35,0)</f>
        <v>0</v>
      </c>
      <c r="AO340" s="975">
        <f>VLOOKUP(C340,'[8]CHẤM CÔNG '!$F$10:$AR$451,36,0)</f>
        <v>0</v>
      </c>
      <c r="AP340" s="975"/>
      <c r="AQ340" s="975"/>
      <c r="AR340" s="975"/>
      <c r="AS340" s="981"/>
      <c r="AT340" s="982">
        <f>VLOOKUP(C340,'[8]MỦ TẠP'!$D$10:$AO$450,38,0)</f>
        <v>0</v>
      </c>
      <c r="AX340" s="944">
        <f t="shared" si="111"/>
        <v>2</v>
      </c>
      <c r="AZ340" s="944">
        <v>1</v>
      </c>
    </row>
    <row r="341" spans="1:52" ht="15.75">
      <c r="A341" s="996">
        <v>39</v>
      </c>
      <c r="B341" s="958" t="str">
        <f>VLOOKUP(C341,'[8]DS CN MOI UP'!$B$10:$C$489,2,0)</f>
        <v>03395</v>
      </c>
      <c r="C341" s="1001" t="s">
        <v>244</v>
      </c>
      <c r="D341" s="1002" t="s">
        <v>15</v>
      </c>
      <c r="E341" s="960"/>
      <c r="F341" s="960">
        <v>2</v>
      </c>
      <c r="G341" s="960">
        <v>1</v>
      </c>
      <c r="H341" s="960">
        <v>3</v>
      </c>
      <c r="I341" s="960"/>
      <c r="J341" s="960">
        <v>1</v>
      </c>
      <c r="K341" s="960">
        <v>3</v>
      </c>
      <c r="L341" s="960">
        <v>3</v>
      </c>
      <c r="M341" s="960">
        <v>1</v>
      </c>
      <c r="N341" s="960">
        <f t="shared" si="100"/>
        <v>0</v>
      </c>
      <c r="O341" s="960">
        <f t="shared" si="101"/>
        <v>12.8</v>
      </c>
      <c r="P341" s="960">
        <f t="shared" si="102"/>
        <v>8</v>
      </c>
      <c r="Q341" s="960">
        <f t="shared" si="103"/>
        <v>12</v>
      </c>
      <c r="R341" s="960">
        <f t="shared" si="104"/>
        <v>0</v>
      </c>
      <c r="S341" s="960">
        <f t="shared" si="105"/>
        <v>2</v>
      </c>
      <c r="T341" s="960">
        <f t="shared" si="106"/>
        <v>3</v>
      </c>
      <c r="U341" s="960">
        <f t="shared" si="107"/>
        <v>3</v>
      </c>
      <c r="V341" s="960">
        <f t="shared" si="108"/>
        <v>1</v>
      </c>
      <c r="W341" s="960"/>
      <c r="X341" s="960"/>
      <c r="Y341" s="960"/>
      <c r="Z341" s="960"/>
      <c r="AA341" s="975">
        <f t="shared" si="109"/>
        <v>41.8</v>
      </c>
      <c r="AB341" s="975">
        <f>VLOOKUP(C341,'[8]MỦ TẠP'!$D$10:$AM$450,36,0)</f>
        <v>0</v>
      </c>
      <c r="AC341" s="975"/>
      <c r="AD341" s="975"/>
      <c r="AE341" s="975">
        <f>VLOOKUP(C341,'[8]MỦ TẠP'!$D$10:$AM$450,36,0)</f>
        <v>0</v>
      </c>
      <c r="AF341" s="975"/>
      <c r="AG341" s="975"/>
      <c r="AH341" s="975">
        <f t="shared" si="110"/>
        <v>0</v>
      </c>
      <c r="AI341" s="975">
        <f>VLOOKUP(C341,'[8]CHẤM CÔNG '!$F$10:$AM$451,33,0)</f>
        <v>0</v>
      </c>
      <c r="AJ341" s="975">
        <f>VLOOKUP(C341,'[8]CHẤM CÔNG '!$F$10:$AM$451,34,0)</f>
        <v>0</v>
      </c>
      <c r="AK341" s="975"/>
      <c r="AL341" s="975"/>
      <c r="AM341" s="975"/>
      <c r="AN341" s="975">
        <f>VLOOKUP(C341,'[8]CHẤM CÔNG '!$F$10:$AN$451,35,0)</f>
        <v>0</v>
      </c>
      <c r="AO341" s="975">
        <f>VLOOKUP(C341,'[8]CHẤM CÔNG '!$F$10:$AR$451,36,0)</f>
        <v>0</v>
      </c>
      <c r="AP341" s="975"/>
      <c r="AQ341" s="975"/>
      <c r="AR341" s="975"/>
      <c r="AS341" s="981"/>
      <c r="AT341" s="982">
        <f>VLOOKUP(C341,'[8]MỦ TẠP'!$D$10:$AO$450,38,0)</f>
        <v>0</v>
      </c>
      <c r="AX341" s="944">
        <f t="shared" si="111"/>
        <v>2</v>
      </c>
      <c r="AZ341" s="944">
        <v>1</v>
      </c>
    </row>
    <row r="342" spans="1:52" ht="15.75">
      <c r="A342" s="996">
        <v>40</v>
      </c>
      <c r="B342" s="958" t="str">
        <f>VLOOKUP(C342,'[8]DS CN MOI UP'!$B$10:$C$489,2,0)</f>
        <v>03396</v>
      </c>
      <c r="C342" s="1001" t="s">
        <v>245</v>
      </c>
      <c r="D342" s="1002" t="s">
        <v>15</v>
      </c>
      <c r="E342" s="960"/>
      <c r="F342" s="960">
        <v>2</v>
      </c>
      <c r="G342" s="960">
        <v>1</v>
      </c>
      <c r="H342" s="960">
        <v>3</v>
      </c>
      <c r="I342" s="960"/>
      <c r="J342" s="960">
        <v>1</v>
      </c>
      <c r="K342" s="960">
        <v>3</v>
      </c>
      <c r="L342" s="960">
        <v>3</v>
      </c>
      <c r="M342" s="960">
        <v>1</v>
      </c>
      <c r="N342" s="960">
        <f t="shared" si="100"/>
        <v>0</v>
      </c>
      <c r="O342" s="960">
        <f t="shared" si="101"/>
        <v>12.8</v>
      </c>
      <c r="P342" s="960">
        <f t="shared" si="102"/>
        <v>8</v>
      </c>
      <c r="Q342" s="960">
        <f t="shared" si="103"/>
        <v>12</v>
      </c>
      <c r="R342" s="960">
        <f t="shared" si="104"/>
        <v>0</v>
      </c>
      <c r="S342" s="960">
        <f t="shared" si="105"/>
        <v>2</v>
      </c>
      <c r="T342" s="960">
        <f t="shared" si="106"/>
        <v>3</v>
      </c>
      <c r="U342" s="960">
        <f t="shared" si="107"/>
        <v>3</v>
      </c>
      <c r="V342" s="960">
        <f t="shared" si="108"/>
        <v>1</v>
      </c>
      <c r="W342" s="960"/>
      <c r="X342" s="960"/>
      <c r="Y342" s="960"/>
      <c r="Z342" s="960"/>
      <c r="AA342" s="975">
        <f t="shared" si="109"/>
        <v>41.8</v>
      </c>
      <c r="AB342" s="975">
        <f>VLOOKUP(C342,'[8]MỦ TẠP'!$D$10:$AM$450,36,0)</f>
        <v>0</v>
      </c>
      <c r="AC342" s="975"/>
      <c r="AD342" s="975"/>
      <c r="AE342" s="975">
        <f>VLOOKUP(C342,'[8]MỦ TẠP'!$D$10:$AM$450,36,0)</f>
        <v>0</v>
      </c>
      <c r="AF342" s="975"/>
      <c r="AG342" s="975"/>
      <c r="AH342" s="975">
        <f t="shared" si="110"/>
        <v>0</v>
      </c>
      <c r="AI342" s="975">
        <f>VLOOKUP(C342,'[8]CHẤM CÔNG '!$F$10:$AM$451,33,0)</f>
        <v>0</v>
      </c>
      <c r="AJ342" s="975">
        <f>VLOOKUP(C342,'[8]CHẤM CÔNG '!$F$10:$AM$451,34,0)</f>
        <v>0</v>
      </c>
      <c r="AK342" s="975"/>
      <c r="AL342" s="975"/>
      <c r="AM342" s="975"/>
      <c r="AN342" s="975">
        <f>VLOOKUP(C342,'[8]CHẤM CÔNG '!$F$10:$AN$451,35,0)</f>
        <v>0</v>
      </c>
      <c r="AO342" s="975">
        <f>VLOOKUP(C342,'[8]CHẤM CÔNG '!$F$10:$AR$451,36,0)</f>
        <v>0</v>
      </c>
      <c r="AP342" s="975"/>
      <c r="AQ342" s="975"/>
      <c r="AR342" s="975"/>
      <c r="AS342" s="981"/>
      <c r="AT342" s="982">
        <f>VLOOKUP(C342,'[8]MỦ TẠP'!$D$10:$AO$450,38,0)</f>
        <v>0</v>
      </c>
      <c r="AX342" s="944">
        <f t="shared" si="111"/>
        <v>2</v>
      </c>
      <c r="AZ342" s="944">
        <v>1</v>
      </c>
    </row>
    <row r="343" spans="1:52" ht="15.75">
      <c r="A343" s="996">
        <v>41</v>
      </c>
      <c r="B343" s="958" t="str">
        <f>VLOOKUP(C343,'[8]DS CN MOI UP'!$B$10:$C$489,2,0)</f>
        <v>02593</v>
      </c>
      <c r="C343" s="1001" t="s">
        <v>246</v>
      </c>
      <c r="D343" s="1002" t="s">
        <v>15</v>
      </c>
      <c r="E343" s="960"/>
      <c r="F343" s="960">
        <v>2</v>
      </c>
      <c r="G343" s="960">
        <v>1</v>
      </c>
      <c r="H343" s="960">
        <v>3</v>
      </c>
      <c r="I343" s="960"/>
      <c r="J343" s="960">
        <v>1</v>
      </c>
      <c r="K343" s="960">
        <v>3</v>
      </c>
      <c r="L343" s="960">
        <v>3</v>
      </c>
      <c r="M343" s="960">
        <v>1</v>
      </c>
      <c r="N343" s="960">
        <f t="shared" si="100"/>
        <v>0</v>
      </c>
      <c r="O343" s="960">
        <f t="shared" si="101"/>
        <v>12.8</v>
      </c>
      <c r="P343" s="960">
        <f t="shared" si="102"/>
        <v>8</v>
      </c>
      <c r="Q343" s="960">
        <f t="shared" si="103"/>
        <v>12</v>
      </c>
      <c r="R343" s="960">
        <f t="shared" si="104"/>
        <v>0</v>
      </c>
      <c r="S343" s="960">
        <f t="shared" si="105"/>
        <v>2</v>
      </c>
      <c r="T343" s="960">
        <f t="shared" si="106"/>
        <v>3</v>
      </c>
      <c r="U343" s="960">
        <f t="shared" si="107"/>
        <v>3</v>
      </c>
      <c r="V343" s="960">
        <f t="shared" si="108"/>
        <v>1</v>
      </c>
      <c r="W343" s="960"/>
      <c r="X343" s="960"/>
      <c r="Y343" s="960"/>
      <c r="Z343" s="960"/>
      <c r="AA343" s="975">
        <f t="shared" si="109"/>
        <v>41.8</v>
      </c>
      <c r="AB343" s="975">
        <f>VLOOKUP(C343,'[8]MỦ TẠP'!$D$10:$AM$450,36,0)</f>
        <v>0</v>
      </c>
      <c r="AC343" s="975"/>
      <c r="AD343" s="975"/>
      <c r="AE343" s="975">
        <f>VLOOKUP(C343,'[8]MỦ TẠP'!$D$10:$AM$450,36,0)</f>
        <v>0</v>
      </c>
      <c r="AF343" s="975"/>
      <c r="AG343" s="975"/>
      <c r="AH343" s="975">
        <f t="shared" si="110"/>
        <v>0</v>
      </c>
      <c r="AI343" s="975">
        <f>VLOOKUP(C343,'[8]CHẤM CÔNG '!$F$10:$AM$451,33,0)</f>
        <v>0</v>
      </c>
      <c r="AJ343" s="975">
        <f>VLOOKUP(C343,'[8]CHẤM CÔNG '!$F$10:$AM$451,34,0)</f>
        <v>0</v>
      </c>
      <c r="AK343" s="975"/>
      <c r="AL343" s="975"/>
      <c r="AM343" s="975"/>
      <c r="AN343" s="975">
        <f>VLOOKUP(C343,'[8]CHẤM CÔNG '!$F$10:$AN$451,35,0)</f>
        <v>0</v>
      </c>
      <c r="AO343" s="975">
        <f>VLOOKUP(C343,'[8]CHẤM CÔNG '!$F$10:$AR$451,36,0)</f>
        <v>0</v>
      </c>
      <c r="AP343" s="975"/>
      <c r="AQ343" s="975"/>
      <c r="AR343" s="975"/>
      <c r="AS343" s="981"/>
      <c r="AT343" s="982">
        <f>VLOOKUP(C343,'[8]MỦ TẠP'!$D$10:$AO$450,38,0)</f>
        <v>0</v>
      </c>
      <c r="AX343" s="944">
        <f t="shared" si="111"/>
        <v>2</v>
      </c>
      <c r="AZ343" s="944">
        <v>1</v>
      </c>
    </row>
    <row r="344" spans="1:52" ht="15.75">
      <c r="A344" s="996">
        <v>42</v>
      </c>
      <c r="B344" s="958" t="str">
        <f>VLOOKUP(C344,'[8]DS CN MOI UP'!$B$10:$C$489,2,0)</f>
        <v>02696</v>
      </c>
      <c r="C344" s="1001" t="s">
        <v>247</v>
      </c>
      <c r="D344" s="1002" t="s">
        <v>15</v>
      </c>
      <c r="E344" s="960"/>
      <c r="F344" s="960">
        <v>2</v>
      </c>
      <c r="G344" s="960">
        <v>1</v>
      </c>
      <c r="H344" s="960">
        <v>3</v>
      </c>
      <c r="I344" s="960"/>
      <c r="J344" s="960">
        <v>1</v>
      </c>
      <c r="K344" s="960">
        <v>3</v>
      </c>
      <c r="L344" s="960">
        <v>3</v>
      </c>
      <c r="M344" s="960">
        <v>1</v>
      </c>
      <c r="N344" s="960">
        <f t="shared" si="100"/>
        <v>0</v>
      </c>
      <c r="O344" s="960">
        <f t="shared" si="101"/>
        <v>12.8</v>
      </c>
      <c r="P344" s="960">
        <f t="shared" si="102"/>
        <v>8</v>
      </c>
      <c r="Q344" s="960">
        <f t="shared" si="103"/>
        <v>12</v>
      </c>
      <c r="R344" s="960">
        <f t="shared" si="104"/>
        <v>0</v>
      </c>
      <c r="S344" s="960">
        <f t="shared" si="105"/>
        <v>2</v>
      </c>
      <c r="T344" s="960">
        <f t="shared" si="106"/>
        <v>3</v>
      </c>
      <c r="U344" s="960">
        <f t="shared" si="107"/>
        <v>3</v>
      </c>
      <c r="V344" s="960">
        <f t="shared" si="108"/>
        <v>1</v>
      </c>
      <c r="W344" s="960"/>
      <c r="X344" s="960"/>
      <c r="Y344" s="960"/>
      <c r="Z344" s="960"/>
      <c r="AA344" s="975">
        <f t="shared" si="109"/>
        <v>41.8</v>
      </c>
      <c r="AB344" s="975">
        <f>VLOOKUP(C344,'[8]MỦ TẠP'!$D$10:$AM$450,36,0)</f>
        <v>0</v>
      </c>
      <c r="AC344" s="975"/>
      <c r="AD344" s="975"/>
      <c r="AE344" s="975">
        <f>VLOOKUP(C344,'[8]MỦ TẠP'!$D$10:$AM$450,36,0)</f>
        <v>0</v>
      </c>
      <c r="AF344" s="975"/>
      <c r="AG344" s="975"/>
      <c r="AH344" s="975">
        <f t="shared" si="110"/>
        <v>0</v>
      </c>
      <c r="AI344" s="975">
        <f>VLOOKUP(C344,'[8]CHẤM CÔNG '!$F$10:$AM$451,33,0)</f>
        <v>0</v>
      </c>
      <c r="AJ344" s="975">
        <f>VLOOKUP(C344,'[8]CHẤM CÔNG '!$F$10:$AM$451,34,0)</f>
        <v>0</v>
      </c>
      <c r="AK344" s="975"/>
      <c r="AL344" s="975"/>
      <c r="AM344" s="975"/>
      <c r="AN344" s="975">
        <f>VLOOKUP(C344,'[8]CHẤM CÔNG '!$F$10:$AN$451,35,0)</f>
        <v>0</v>
      </c>
      <c r="AO344" s="975">
        <f>VLOOKUP(C344,'[8]CHẤM CÔNG '!$F$10:$AR$451,36,0)</f>
        <v>0</v>
      </c>
      <c r="AP344" s="975"/>
      <c r="AQ344" s="975"/>
      <c r="AR344" s="975"/>
      <c r="AS344" s="981"/>
      <c r="AT344" s="982">
        <f>VLOOKUP(C344,'[8]MỦ TẠP'!$D$10:$AO$450,38,0)</f>
        <v>0</v>
      </c>
      <c r="AX344" s="944">
        <f t="shared" si="111"/>
        <v>2</v>
      </c>
      <c r="AZ344" s="944">
        <v>1</v>
      </c>
    </row>
    <row r="345" spans="1:52" ht="15.75">
      <c r="A345" s="996">
        <v>43</v>
      </c>
      <c r="B345" s="958" t="str">
        <f>VLOOKUP(C345,'[8]DS CN MOI UP'!$B$10:$C$489,2,0)</f>
        <v>03397</v>
      </c>
      <c r="C345" s="1001" t="s">
        <v>248</v>
      </c>
      <c r="D345" s="1002" t="s">
        <v>15</v>
      </c>
      <c r="E345" s="960"/>
      <c r="F345" s="960">
        <v>2</v>
      </c>
      <c r="G345" s="960">
        <v>1</v>
      </c>
      <c r="H345" s="960">
        <v>3</v>
      </c>
      <c r="I345" s="960"/>
      <c r="J345" s="960">
        <v>1</v>
      </c>
      <c r="K345" s="960">
        <v>3</v>
      </c>
      <c r="L345" s="960">
        <v>3</v>
      </c>
      <c r="M345" s="960">
        <v>1</v>
      </c>
      <c r="N345" s="960">
        <f t="shared" si="100"/>
        <v>0</v>
      </c>
      <c r="O345" s="960">
        <f t="shared" si="101"/>
        <v>12.8</v>
      </c>
      <c r="P345" s="960">
        <f t="shared" si="102"/>
        <v>8</v>
      </c>
      <c r="Q345" s="960">
        <f t="shared" si="103"/>
        <v>12</v>
      </c>
      <c r="R345" s="960">
        <f t="shared" si="104"/>
        <v>0</v>
      </c>
      <c r="S345" s="960">
        <f t="shared" si="105"/>
        <v>2</v>
      </c>
      <c r="T345" s="960">
        <f t="shared" si="106"/>
        <v>3</v>
      </c>
      <c r="U345" s="960">
        <f t="shared" si="107"/>
        <v>3</v>
      </c>
      <c r="V345" s="960">
        <f t="shared" si="108"/>
        <v>1</v>
      </c>
      <c r="W345" s="960"/>
      <c r="X345" s="960"/>
      <c r="Y345" s="960"/>
      <c r="Z345" s="960"/>
      <c r="AA345" s="975">
        <f t="shared" si="109"/>
        <v>41.8</v>
      </c>
      <c r="AB345" s="975">
        <f>VLOOKUP(C345,'[8]MỦ TẠP'!$D$10:$AM$450,36,0)</f>
        <v>0</v>
      </c>
      <c r="AC345" s="975"/>
      <c r="AD345" s="975"/>
      <c r="AE345" s="975">
        <f>VLOOKUP(C345,'[8]MỦ TẠP'!$D$10:$AM$450,36,0)</f>
        <v>0</v>
      </c>
      <c r="AF345" s="975"/>
      <c r="AG345" s="975"/>
      <c r="AH345" s="975">
        <f t="shared" si="110"/>
        <v>0</v>
      </c>
      <c r="AI345" s="975">
        <f>VLOOKUP(C345,'[8]CHẤM CÔNG '!$F$10:$AM$451,33,0)</f>
        <v>0</v>
      </c>
      <c r="AJ345" s="975">
        <f>VLOOKUP(C345,'[8]CHẤM CÔNG '!$F$10:$AM$451,34,0)</f>
        <v>0</v>
      </c>
      <c r="AK345" s="975"/>
      <c r="AL345" s="975"/>
      <c r="AM345" s="975"/>
      <c r="AN345" s="975">
        <f>VLOOKUP(C345,'[8]CHẤM CÔNG '!$F$10:$AN$451,35,0)</f>
        <v>0</v>
      </c>
      <c r="AO345" s="975">
        <f>VLOOKUP(C345,'[8]CHẤM CÔNG '!$F$10:$AR$451,36,0)</f>
        <v>0</v>
      </c>
      <c r="AP345" s="975"/>
      <c r="AQ345" s="975"/>
      <c r="AR345" s="975"/>
      <c r="AS345" s="981"/>
      <c r="AT345" s="982">
        <f>VLOOKUP(C345,'[8]MỦ TẠP'!$D$10:$AO$450,38,0)</f>
        <v>0</v>
      </c>
      <c r="AX345" s="944">
        <f t="shared" si="111"/>
        <v>2</v>
      </c>
      <c r="AZ345" s="944">
        <v>1</v>
      </c>
    </row>
    <row r="346" spans="1:52" ht="15.75">
      <c r="A346" s="996">
        <v>44</v>
      </c>
      <c r="B346" s="958" t="str">
        <f>VLOOKUP(C346,'[8]DS CN MOI UP'!$B$10:$C$489,2,0)</f>
        <v>03398</v>
      </c>
      <c r="C346" s="1001" t="s">
        <v>249</v>
      </c>
      <c r="D346" s="1002" t="s">
        <v>15</v>
      </c>
      <c r="E346" s="960"/>
      <c r="F346" s="960">
        <v>2</v>
      </c>
      <c r="G346" s="960">
        <v>1</v>
      </c>
      <c r="H346" s="960">
        <v>3</v>
      </c>
      <c r="I346" s="960"/>
      <c r="J346" s="960">
        <v>1</v>
      </c>
      <c r="K346" s="960">
        <v>3</v>
      </c>
      <c r="L346" s="960">
        <v>3</v>
      </c>
      <c r="M346" s="960">
        <v>1</v>
      </c>
      <c r="N346" s="960">
        <f t="shared" si="100"/>
        <v>0</v>
      </c>
      <c r="O346" s="960">
        <f t="shared" si="101"/>
        <v>12.8</v>
      </c>
      <c r="P346" s="960">
        <f t="shared" si="102"/>
        <v>8</v>
      </c>
      <c r="Q346" s="960">
        <f t="shared" si="103"/>
        <v>12</v>
      </c>
      <c r="R346" s="960">
        <f t="shared" si="104"/>
        <v>0</v>
      </c>
      <c r="S346" s="960">
        <f t="shared" si="105"/>
        <v>2</v>
      </c>
      <c r="T346" s="960">
        <f t="shared" si="106"/>
        <v>3</v>
      </c>
      <c r="U346" s="960">
        <f t="shared" si="107"/>
        <v>3</v>
      </c>
      <c r="V346" s="960">
        <f t="shared" si="108"/>
        <v>1</v>
      </c>
      <c r="W346" s="960"/>
      <c r="X346" s="960"/>
      <c r="Y346" s="960"/>
      <c r="Z346" s="960"/>
      <c r="AA346" s="975">
        <f t="shared" si="109"/>
        <v>41.8</v>
      </c>
      <c r="AB346" s="975">
        <f>VLOOKUP(C346,'[8]MỦ TẠP'!$D$10:$AM$450,36,0)</f>
        <v>0</v>
      </c>
      <c r="AC346" s="975"/>
      <c r="AD346" s="975"/>
      <c r="AE346" s="975">
        <f>VLOOKUP(C346,'[8]MỦ TẠP'!$D$10:$AM$450,36,0)</f>
        <v>0</v>
      </c>
      <c r="AF346" s="975"/>
      <c r="AG346" s="975"/>
      <c r="AH346" s="975">
        <f t="shared" si="110"/>
        <v>0</v>
      </c>
      <c r="AI346" s="975">
        <f>VLOOKUP(C346,'[8]CHẤM CÔNG '!$F$10:$AM$451,33,0)</f>
        <v>0</v>
      </c>
      <c r="AJ346" s="975">
        <f>VLOOKUP(C346,'[8]CHẤM CÔNG '!$F$10:$AM$451,34,0)</f>
        <v>0</v>
      </c>
      <c r="AK346" s="975"/>
      <c r="AL346" s="975"/>
      <c r="AM346" s="975"/>
      <c r="AN346" s="975">
        <f>VLOOKUP(C346,'[8]CHẤM CÔNG '!$F$10:$AN$451,35,0)</f>
        <v>0</v>
      </c>
      <c r="AO346" s="975">
        <f>VLOOKUP(C346,'[8]CHẤM CÔNG '!$F$10:$AR$451,36,0)</f>
        <v>0</v>
      </c>
      <c r="AP346" s="975"/>
      <c r="AQ346" s="975"/>
      <c r="AR346" s="975"/>
      <c r="AS346" s="981"/>
      <c r="AT346" s="982">
        <f>VLOOKUP(C346,'[8]MỦ TẠP'!$D$10:$AO$450,38,0)</f>
        <v>0</v>
      </c>
      <c r="AX346" s="944">
        <f t="shared" si="111"/>
        <v>2</v>
      </c>
      <c r="AZ346" s="944">
        <v>1</v>
      </c>
    </row>
    <row r="347" spans="1:52" ht="15.75">
      <c r="A347" s="996">
        <v>45</v>
      </c>
      <c r="B347" s="958" t="str">
        <f>VLOOKUP(C347,'[8]DS CN MOI UP'!$B$10:$C$489,2,0)</f>
        <v>02592</v>
      </c>
      <c r="C347" s="1001" t="s">
        <v>250</v>
      </c>
      <c r="D347" s="1002" t="s">
        <v>15</v>
      </c>
      <c r="E347" s="960"/>
      <c r="F347" s="960">
        <v>2</v>
      </c>
      <c r="G347" s="960">
        <v>1</v>
      </c>
      <c r="H347" s="960">
        <v>3</v>
      </c>
      <c r="I347" s="960"/>
      <c r="J347" s="960">
        <v>1</v>
      </c>
      <c r="K347" s="960">
        <v>3</v>
      </c>
      <c r="L347" s="960">
        <v>3</v>
      </c>
      <c r="M347" s="960">
        <v>1</v>
      </c>
      <c r="N347" s="960">
        <f t="shared" si="100"/>
        <v>0</v>
      </c>
      <c r="O347" s="960">
        <f t="shared" si="101"/>
        <v>12.8</v>
      </c>
      <c r="P347" s="960">
        <f t="shared" si="102"/>
        <v>8</v>
      </c>
      <c r="Q347" s="960">
        <f t="shared" si="103"/>
        <v>12</v>
      </c>
      <c r="R347" s="960">
        <f t="shared" si="104"/>
        <v>0</v>
      </c>
      <c r="S347" s="960">
        <f t="shared" si="105"/>
        <v>2</v>
      </c>
      <c r="T347" s="960">
        <f t="shared" si="106"/>
        <v>3</v>
      </c>
      <c r="U347" s="960">
        <f t="shared" si="107"/>
        <v>3</v>
      </c>
      <c r="V347" s="960">
        <f t="shared" si="108"/>
        <v>1</v>
      </c>
      <c r="W347" s="960"/>
      <c r="X347" s="960"/>
      <c r="Y347" s="960"/>
      <c r="Z347" s="960"/>
      <c r="AA347" s="975">
        <f t="shared" si="109"/>
        <v>41.8</v>
      </c>
      <c r="AB347" s="975">
        <f>VLOOKUP(C347,'[8]MỦ TẠP'!$D$10:$AM$450,36,0)</f>
        <v>0</v>
      </c>
      <c r="AC347" s="975"/>
      <c r="AD347" s="975"/>
      <c r="AE347" s="975">
        <f>VLOOKUP(C347,'[8]MỦ TẠP'!$D$10:$AM$450,36,0)</f>
        <v>0</v>
      </c>
      <c r="AF347" s="975"/>
      <c r="AG347" s="975"/>
      <c r="AH347" s="975">
        <f t="shared" si="110"/>
        <v>0</v>
      </c>
      <c r="AI347" s="975">
        <f>VLOOKUP(C347,'[8]CHẤM CÔNG '!$F$10:$AM$451,33,0)</f>
        <v>0</v>
      </c>
      <c r="AJ347" s="975">
        <f>VLOOKUP(C347,'[8]CHẤM CÔNG '!$F$10:$AM$451,34,0)</f>
        <v>0</v>
      </c>
      <c r="AK347" s="975"/>
      <c r="AL347" s="975"/>
      <c r="AM347" s="975"/>
      <c r="AN347" s="975">
        <f>VLOOKUP(C347,'[8]CHẤM CÔNG '!$F$10:$AN$451,35,0)</f>
        <v>0</v>
      </c>
      <c r="AO347" s="975">
        <f>VLOOKUP(C347,'[8]CHẤM CÔNG '!$F$10:$AR$451,36,0)</f>
        <v>0</v>
      </c>
      <c r="AP347" s="975"/>
      <c r="AQ347" s="975"/>
      <c r="AR347" s="975"/>
      <c r="AS347" s="981"/>
      <c r="AT347" s="982">
        <f>VLOOKUP(C347,'[8]MỦ TẠP'!$D$10:$AO$450,38,0)</f>
        <v>0</v>
      </c>
      <c r="AX347" s="944">
        <f t="shared" si="111"/>
        <v>2</v>
      </c>
      <c r="AZ347" s="944">
        <v>1</v>
      </c>
    </row>
    <row r="348" spans="1:52" ht="15.75">
      <c r="A348" s="996">
        <v>46</v>
      </c>
      <c r="B348" s="958" t="str">
        <f>VLOOKUP(C348,'[8]DS CN MOI UP'!$B$10:$C$489,2,0)</f>
        <v>02598</v>
      </c>
      <c r="C348" s="1001" t="s">
        <v>251</v>
      </c>
      <c r="D348" s="1002" t="s">
        <v>15</v>
      </c>
      <c r="E348" s="960"/>
      <c r="F348" s="960">
        <v>2</v>
      </c>
      <c r="G348" s="960">
        <v>1</v>
      </c>
      <c r="H348" s="960">
        <v>3</v>
      </c>
      <c r="I348" s="960"/>
      <c r="J348" s="960">
        <v>1</v>
      </c>
      <c r="K348" s="960">
        <v>3</v>
      </c>
      <c r="L348" s="960">
        <v>3</v>
      </c>
      <c r="M348" s="960">
        <v>1</v>
      </c>
      <c r="N348" s="960">
        <f t="shared" si="100"/>
        <v>0</v>
      </c>
      <c r="O348" s="960">
        <f t="shared" si="101"/>
        <v>12.8</v>
      </c>
      <c r="P348" s="960">
        <f t="shared" si="102"/>
        <v>8</v>
      </c>
      <c r="Q348" s="960">
        <f t="shared" si="103"/>
        <v>12</v>
      </c>
      <c r="R348" s="960">
        <f t="shared" si="104"/>
        <v>0</v>
      </c>
      <c r="S348" s="960">
        <f t="shared" si="105"/>
        <v>2</v>
      </c>
      <c r="T348" s="960">
        <f t="shared" si="106"/>
        <v>3</v>
      </c>
      <c r="U348" s="960">
        <f t="shared" si="107"/>
        <v>3</v>
      </c>
      <c r="V348" s="960">
        <f t="shared" si="108"/>
        <v>1</v>
      </c>
      <c r="W348" s="960"/>
      <c r="X348" s="960"/>
      <c r="Y348" s="960"/>
      <c r="Z348" s="960"/>
      <c r="AA348" s="975">
        <f t="shared" si="109"/>
        <v>41.8</v>
      </c>
      <c r="AB348" s="975">
        <f>VLOOKUP(C348,'[8]MỦ TẠP'!$D$10:$AM$450,36,0)</f>
        <v>0</v>
      </c>
      <c r="AC348" s="975"/>
      <c r="AD348" s="975"/>
      <c r="AE348" s="975">
        <f>VLOOKUP(C348,'[8]MỦ TẠP'!$D$10:$AM$450,36,0)</f>
        <v>0</v>
      </c>
      <c r="AF348" s="975"/>
      <c r="AG348" s="975"/>
      <c r="AH348" s="975">
        <f t="shared" si="110"/>
        <v>0</v>
      </c>
      <c r="AI348" s="975">
        <f>VLOOKUP(C348,'[8]CHẤM CÔNG '!$F$10:$AM$451,33,0)</f>
        <v>0</v>
      </c>
      <c r="AJ348" s="975">
        <f>VLOOKUP(C348,'[8]CHẤM CÔNG '!$F$10:$AM$451,34,0)</f>
        <v>0</v>
      </c>
      <c r="AK348" s="975"/>
      <c r="AL348" s="975"/>
      <c r="AM348" s="975"/>
      <c r="AN348" s="975">
        <f>VLOOKUP(C348,'[8]CHẤM CÔNG '!$F$10:$AN$451,35,0)</f>
        <v>0</v>
      </c>
      <c r="AO348" s="975">
        <f>VLOOKUP(C348,'[8]CHẤM CÔNG '!$F$10:$AR$451,36,0)</f>
        <v>0</v>
      </c>
      <c r="AP348" s="975"/>
      <c r="AQ348" s="975"/>
      <c r="AR348" s="975"/>
      <c r="AS348" s="981"/>
      <c r="AT348" s="982">
        <f>VLOOKUP(C348,'[8]MỦ TẠP'!$D$10:$AO$450,38,0)</f>
        <v>0</v>
      </c>
      <c r="AX348" s="944">
        <f t="shared" si="111"/>
        <v>2</v>
      </c>
      <c r="AZ348" s="944">
        <v>1</v>
      </c>
    </row>
    <row r="349" spans="1:52" ht="15.75">
      <c r="A349" s="996">
        <v>47</v>
      </c>
      <c r="B349" s="958" t="str">
        <f>VLOOKUP(C349,'[8]DS CN MOI UP'!$B$10:$C$489,2,0)</f>
        <v>02575</v>
      </c>
      <c r="C349" s="1001" t="s">
        <v>252</v>
      </c>
      <c r="D349" s="1002" t="s">
        <v>15</v>
      </c>
      <c r="E349" s="960"/>
      <c r="F349" s="960">
        <v>2</v>
      </c>
      <c r="G349" s="960">
        <v>1</v>
      </c>
      <c r="H349" s="960">
        <v>3</v>
      </c>
      <c r="I349" s="960"/>
      <c r="J349" s="960">
        <v>1</v>
      </c>
      <c r="K349" s="960">
        <v>3</v>
      </c>
      <c r="L349" s="960">
        <v>3</v>
      </c>
      <c r="M349" s="960">
        <v>1</v>
      </c>
      <c r="N349" s="960">
        <f t="shared" si="100"/>
        <v>0</v>
      </c>
      <c r="O349" s="960">
        <f t="shared" si="101"/>
        <v>12.8</v>
      </c>
      <c r="P349" s="960">
        <f t="shared" si="102"/>
        <v>8</v>
      </c>
      <c r="Q349" s="960">
        <f t="shared" si="103"/>
        <v>12</v>
      </c>
      <c r="R349" s="960">
        <f t="shared" si="104"/>
        <v>0</v>
      </c>
      <c r="S349" s="960">
        <f t="shared" si="105"/>
        <v>2</v>
      </c>
      <c r="T349" s="960">
        <f t="shared" si="106"/>
        <v>3</v>
      </c>
      <c r="U349" s="960">
        <f t="shared" si="107"/>
        <v>3</v>
      </c>
      <c r="V349" s="960">
        <f t="shared" si="108"/>
        <v>1</v>
      </c>
      <c r="W349" s="960"/>
      <c r="X349" s="960"/>
      <c r="Y349" s="960"/>
      <c r="Z349" s="960"/>
      <c r="AA349" s="975">
        <f t="shared" si="109"/>
        <v>41.8</v>
      </c>
      <c r="AB349" s="975">
        <f>VLOOKUP(C349,'[8]MỦ TẠP'!$D$10:$AM$450,36,0)</f>
        <v>0</v>
      </c>
      <c r="AC349" s="975"/>
      <c r="AD349" s="975"/>
      <c r="AE349" s="975">
        <f>VLOOKUP(C349,'[8]MỦ TẠP'!$D$10:$AM$450,36,0)</f>
        <v>0</v>
      </c>
      <c r="AF349" s="975"/>
      <c r="AG349" s="975"/>
      <c r="AH349" s="975">
        <f t="shared" si="110"/>
        <v>0</v>
      </c>
      <c r="AI349" s="975">
        <f>VLOOKUP(C349,'[8]CHẤM CÔNG '!$F$10:$AM$451,33,0)</f>
        <v>0</v>
      </c>
      <c r="AJ349" s="975">
        <f>VLOOKUP(C349,'[8]CHẤM CÔNG '!$F$10:$AM$451,34,0)</f>
        <v>0</v>
      </c>
      <c r="AK349" s="975"/>
      <c r="AL349" s="975"/>
      <c r="AM349" s="975"/>
      <c r="AN349" s="975">
        <f>VLOOKUP(C349,'[8]CHẤM CÔNG '!$F$10:$AN$451,35,0)</f>
        <v>0</v>
      </c>
      <c r="AO349" s="975">
        <f>VLOOKUP(C349,'[8]CHẤM CÔNG '!$F$10:$AR$451,36,0)</f>
        <v>0</v>
      </c>
      <c r="AP349" s="975"/>
      <c r="AQ349" s="975"/>
      <c r="AR349" s="975"/>
      <c r="AS349" s="981"/>
      <c r="AT349" s="982">
        <f>VLOOKUP(C349,'[8]MỦ TẠP'!$D$10:$AO$450,38,0)</f>
        <v>0</v>
      </c>
      <c r="AX349" s="944">
        <f t="shared" si="111"/>
        <v>2</v>
      </c>
      <c r="AZ349" s="944">
        <v>1</v>
      </c>
    </row>
    <row r="350" spans="1:52" ht="15.75">
      <c r="A350" s="996">
        <v>48</v>
      </c>
      <c r="B350" s="958" t="str">
        <f>VLOOKUP(C350,'[8]DS CN MOI UP'!$B$10:$C$489,2,0)</f>
        <v>02606</v>
      </c>
      <c r="C350" s="1001" t="s">
        <v>253</v>
      </c>
      <c r="D350" s="1002" t="s">
        <v>15</v>
      </c>
      <c r="E350" s="960"/>
      <c r="F350" s="960">
        <v>2</v>
      </c>
      <c r="G350" s="960">
        <v>1</v>
      </c>
      <c r="H350" s="960">
        <v>3</v>
      </c>
      <c r="I350" s="960"/>
      <c r="J350" s="960">
        <v>1</v>
      </c>
      <c r="K350" s="960">
        <v>3</v>
      </c>
      <c r="L350" s="960">
        <v>3</v>
      </c>
      <c r="M350" s="960">
        <v>1</v>
      </c>
      <c r="N350" s="960">
        <f t="shared" si="100"/>
        <v>0</v>
      </c>
      <c r="O350" s="960">
        <f t="shared" si="101"/>
        <v>12.8</v>
      </c>
      <c r="P350" s="960">
        <f t="shared" si="102"/>
        <v>8</v>
      </c>
      <c r="Q350" s="960">
        <f t="shared" si="103"/>
        <v>12</v>
      </c>
      <c r="R350" s="960">
        <f t="shared" si="104"/>
        <v>0</v>
      </c>
      <c r="S350" s="960">
        <f t="shared" si="105"/>
        <v>2</v>
      </c>
      <c r="T350" s="960">
        <f t="shared" si="106"/>
        <v>3</v>
      </c>
      <c r="U350" s="960">
        <f t="shared" si="107"/>
        <v>3</v>
      </c>
      <c r="V350" s="960">
        <f t="shared" si="108"/>
        <v>1</v>
      </c>
      <c r="W350" s="960"/>
      <c r="X350" s="960"/>
      <c r="Y350" s="960"/>
      <c r="Z350" s="960"/>
      <c r="AA350" s="975">
        <f t="shared" si="109"/>
        <v>41.8</v>
      </c>
      <c r="AB350" s="975">
        <f>VLOOKUP(C350,'[8]MỦ TẠP'!$D$10:$AM$450,36,0)</f>
        <v>0</v>
      </c>
      <c r="AC350" s="975"/>
      <c r="AD350" s="975"/>
      <c r="AE350" s="975">
        <f>VLOOKUP(C350,'[8]MỦ TẠP'!$D$10:$AM$450,36,0)</f>
        <v>0</v>
      </c>
      <c r="AF350" s="975"/>
      <c r="AG350" s="975"/>
      <c r="AH350" s="975">
        <f t="shared" si="110"/>
        <v>0</v>
      </c>
      <c r="AI350" s="975">
        <f>VLOOKUP(C350,'[8]CHẤM CÔNG '!$F$10:$AM$451,33,0)</f>
        <v>0</v>
      </c>
      <c r="AJ350" s="975">
        <f>VLOOKUP(C350,'[8]CHẤM CÔNG '!$F$10:$AM$451,34,0)</f>
        <v>0</v>
      </c>
      <c r="AK350" s="975"/>
      <c r="AL350" s="975"/>
      <c r="AM350" s="975"/>
      <c r="AN350" s="975">
        <f>VLOOKUP(C350,'[8]CHẤM CÔNG '!$F$10:$AN$451,35,0)</f>
        <v>0</v>
      </c>
      <c r="AO350" s="975">
        <f>VLOOKUP(C350,'[8]CHẤM CÔNG '!$F$10:$AR$451,36,0)</f>
        <v>0</v>
      </c>
      <c r="AP350" s="975"/>
      <c r="AQ350" s="975"/>
      <c r="AR350" s="975"/>
      <c r="AS350" s="981"/>
      <c r="AT350" s="982">
        <f>VLOOKUP(C350,'[8]MỦ TẠP'!$D$10:$AO$450,38,0)</f>
        <v>0</v>
      </c>
      <c r="AX350" s="944">
        <f t="shared" si="111"/>
        <v>2</v>
      </c>
      <c r="AZ350" s="944">
        <v>1</v>
      </c>
    </row>
    <row r="351" spans="1:52" ht="15.75">
      <c r="A351" s="996">
        <v>49</v>
      </c>
      <c r="B351" s="958" t="str">
        <f>VLOOKUP(C351,'[8]DS CN MOI UP'!$B$10:$C$489,2,0)</f>
        <v>02607</v>
      </c>
      <c r="C351" s="1001" t="s">
        <v>254</v>
      </c>
      <c r="D351" s="1002" t="s">
        <v>15</v>
      </c>
      <c r="E351" s="960"/>
      <c r="F351" s="960">
        <v>2</v>
      </c>
      <c r="G351" s="960">
        <v>1</v>
      </c>
      <c r="H351" s="960">
        <v>3</v>
      </c>
      <c r="I351" s="960"/>
      <c r="J351" s="960">
        <v>1</v>
      </c>
      <c r="K351" s="960">
        <v>3</v>
      </c>
      <c r="L351" s="960">
        <v>3</v>
      </c>
      <c r="M351" s="960">
        <v>1</v>
      </c>
      <c r="N351" s="960">
        <f t="shared" si="100"/>
        <v>0</v>
      </c>
      <c r="O351" s="960">
        <f t="shared" si="101"/>
        <v>12.8</v>
      </c>
      <c r="P351" s="960">
        <f t="shared" si="102"/>
        <v>8</v>
      </c>
      <c r="Q351" s="960">
        <f t="shared" si="103"/>
        <v>12</v>
      </c>
      <c r="R351" s="960">
        <f t="shared" si="104"/>
        <v>0</v>
      </c>
      <c r="S351" s="960">
        <f t="shared" si="105"/>
        <v>2</v>
      </c>
      <c r="T351" s="960">
        <f t="shared" si="106"/>
        <v>3</v>
      </c>
      <c r="U351" s="960">
        <f t="shared" si="107"/>
        <v>3</v>
      </c>
      <c r="V351" s="960">
        <f t="shared" si="108"/>
        <v>1</v>
      </c>
      <c r="W351" s="960"/>
      <c r="X351" s="960"/>
      <c r="Y351" s="960"/>
      <c r="Z351" s="960"/>
      <c r="AA351" s="975">
        <f t="shared" si="109"/>
        <v>41.8</v>
      </c>
      <c r="AB351" s="975">
        <f>VLOOKUP(C351,'[8]MỦ TẠP'!$D$10:$AM$450,36,0)</f>
        <v>0</v>
      </c>
      <c r="AC351" s="975"/>
      <c r="AD351" s="975"/>
      <c r="AE351" s="975">
        <f>VLOOKUP(C351,'[8]MỦ TẠP'!$D$10:$AM$450,36,0)</f>
        <v>0</v>
      </c>
      <c r="AF351" s="975"/>
      <c r="AG351" s="975"/>
      <c r="AH351" s="975">
        <f t="shared" si="110"/>
        <v>0</v>
      </c>
      <c r="AI351" s="975">
        <f>VLOOKUP(C351,'[8]CHẤM CÔNG '!$F$10:$AM$451,33,0)</f>
        <v>0</v>
      </c>
      <c r="AJ351" s="975">
        <f>VLOOKUP(C351,'[8]CHẤM CÔNG '!$F$10:$AM$451,34,0)</f>
        <v>0</v>
      </c>
      <c r="AK351" s="975"/>
      <c r="AL351" s="975"/>
      <c r="AM351" s="975"/>
      <c r="AN351" s="975">
        <f>VLOOKUP(C351,'[8]CHẤM CÔNG '!$F$10:$AN$451,35,0)</f>
        <v>0</v>
      </c>
      <c r="AO351" s="975">
        <f>VLOOKUP(C351,'[8]CHẤM CÔNG '!$F$10:$AR$451,36,0)</f>
        <v>0</v>
      </c>
      <c r="AP351" s="975"/>
      <c r="AQ351" s="975"/>
      <c r="AR351" s="975"/>
      <c r="AS351" s="981"/>
      <c r="AT351" s="982">
        <f>VLOOKUP(C351,'[8]MỦ TẠP'!$D$10:$AO$450,38,0)</f>
        <v>0</v>
      </c>
      <c r="AX351" s="944">
        <f t="shared" si="111"/>
        <v>2</v>
      </c>
      <c r="AZ351" s="944">
        <v>1</v>
      </c>
    </row>
    <row r="352" spans="1:52" ht="15.75">
      <c r="A352" s="996">
        <v>50</v>
      </c>
      <c r="B352" s="958" t="str">
        <f>VLOOKUP(C352,'[8]DS CN MOI UP'!$B$10:$C$489,2,0)</f>
        <v>02612</v>
      </c>
      <c r="C352" s="1001" t="s">
        <v>255</v>
      </c>
      <c r="D352" s="1002" t="s">
        <v>15</v>
      </c>
      <c r="E352" s="960"/>
      <c r="F352" s="960">
        <v>3</v>
      </c>
      <c r="G352" s="960"/>
      <c r="H352" s="960">
        <v>3</v>
      </c>
      <c r="I352" s="960"/>
      <c r="J352" s="960">
        <v>1</v>
      </c>
      <c r="K352" s="960">
        <v>3</v>
      </c>
      <c r="L352" s="960">
        <v>3</v>
      </c>
      <c r="M352" s="960">
        <v>1</v>
      </c>
      <c r="N352" s="960">
        <f t="shared" si="100"/>
        <v>0</v>
      </c>
      <c r="O352" s="960">
        <f t="shared" si="101"/>
        <v>19.2</v>
      </c>
      <c r="P352" s="960">
        <f t="shared" si="102"/>
        <v>0</v>
      </c>
      <c r="Q352" s="960">
        <f t="shared" si="103"/>
        <v>12</v>
      </c>
      <c r="R352" s="960">
        <f t="shared" si="104"/>
        <v>0</v>
      </c>
      <c r="S352" s="960">
        <f t="shared" si="105"/>
        <v>2</v>
      </c>
      <c r="T352" s="960">
        <f t="shared" si="106"/>
        <v>3</v>
      </c>
      <c r="U352" s="960">
        <f t="shared" si="107"/>
        <v>3</v>
      </c>
      <c r="V352" s="960">
        <f t="shared" si="108"/>
        <v>1</v>
      </c>
      <c r="W352" s="960"/>
      <c r="X352" s="960"/>
      <c r="Y352" s="960"/>
      <c r="Z352" s="960"/>
      <c r="AA352" s="975">
        <f t="shared" si="109"/>
        <v>40.200000000000003</v>
      </c>
      <c r="AB352" s="975">
        <f>VLOOKUP(C352,'[8]MỦ TẠP'!$D$10:$AM$450,36,0)</f>
        <v>0</v>
      </c>
      <c r="AC352" s="975"/>
      <c r="AD352" s="975"/>
      <c r="AE352" s="975">
        <f>VLOOKUP(C352,'[8]MỦ TẠP'!$D$10:$AM$450,36,0)</f>
        <v>0</v>
      </c>
      <c r="AF352" s="975"/>
      <c r="AG352" s="975"/>
      <c r="AH352" s="975">
        <f t="shared" si="110"/>
        <v>0</v>
      </c>
      <c r="AI352" s="975">
        <f>VLOOKUP(C352,'[8]CHẤM CÔNG '!$F$10:$AM$451,33,0)</f>
        <v>0</v>
      </c>
      <c r="AJ352" s="975">
        <f>VLOOKUP(C352,'[8]CHẤM CÔNG '!$F$10:$AM$451,34,0)</f>
        <v>0</v>
      </c>
      <c r="AK352" s="975"/>
      <c r="AL352" s="975"/>
      <c r="AM352" s="975"/>
      <c r="AN352" s="975">
        <f>VLOOKUP(C352,'[8]CHẤM CÔNG '!$F$10:$AN$451,35,0)</f>
        <v>0</v>
      </c>
      <c r="AO352" s="975">
        <f>VLOOKUP(C352,'[8]CHẤM CÔNG '!$F$10:$AR$451,36,0)</f>
        <v>0</v>
      </c>
      <c r="AP352" s="975"/>
      <c r="AQ352" s="975"/>
      <c r="AR352" s="975"/>
      <c r="AS352" s="981"/>
      <c r="AT352" s="982">
        <f>VLOOKUP(C352,'[8]MỦ TẠP'!$D$10:$AO$450,38,0)</f>
        <v>0</v>
      </c>
      <c r="AX352" s="944">
        <f t="shared" si="111"/>
        <v>2</v>
      </c>
      <c r="AZ352" s="944">
        <v>1</v>
      </c>
    </row>
    <row r="353" spans="1:52" ht="15.75">
      <c r="A353" s="996">
        <v>51</v>
      </c>
      <c r="B353" s="958" t="str">
        <f>VLOOKUP(C353,'[8]DS CN MOI UP'!$B$10:$C$489,2,0)</f>
        <v>02574</v>
      </c>
      <c r="C353" s="1001" t="s">
        <v>256</v>
      </c>
      <c r="D353" s="1002" t="s">
        <v>15</v>
      </c>
      <c r="E353" s="960"/>
      <c r="F353" s="960">
        <v>2</v>
      </c>
      <c r="G353" s="960">
        <v>1</v>
      </c>
      <c r="H353" s="960">
        <v>3</v>
      </c>
      <c r="I353" s="960"/>
      <c r="J353" s="960">
        <v>1</v>
      </c>
      <c r="K353" s="960">
        <v>3</v>
      </c>
      <c r="L353" s="960">
        <v>3</v>
      </c>
      <c r="M353" s="960">
        <v>1</v>
      </c>
      <c r="N353" s="960">
        <f t="shared" si="100"/>
        <v>0</v>
      </c>
      <c r="O353" s="960">
        <f t="shared" si="101"/>
        <v>12.8</v>
      </c>
      <c r="P353" s="960">
        <f t="shared" si="102"/>
        <v>8</v>
      </c>
      <c r="Q353" s="960">
        <f t="shared" si="103"/>
        <v>12</v>
      </c>
      <c r="R353" s="960">
        <f t="shared" si="104"/>
        <v>0</v>
      </c>
      <c r="S353" s="960">
        <f t="shared" si="105"/>
        <v>2</v>
      </c>
      <c r="T353" s="960">
        <f t="shared" si="106"/>
        <v>3</v>
      </c>
      <c r="U353" s="960">
        <f t="shared" si="107"/>
        <v>3</v>
      </c>
      <c r="V353" s="960">
        <f t="shared" si="108"/>
        <v>1</v>
      </c>
      <c r="W353" s="960"/>
      <c r="X353" s="960"/>
      <c r="Y353" s="960"/>
      <c r="Z353" s="960"/>
      <c r="AA353" s="975">
        <f t="shared" si="109"/>
        <v>41.8</v>
      </c>
      <c r="AB353" s="975">
        <f>VLOOKUP(C353,'[8]MỦ TẠP'!$D$10:$AM$450,36,0)</f>
        <v>0</v>
      </c>
      <c r="AC353" s="975"/>
      <c r="AD353" s="975"/>
      <c r="AE353" s="975">
        <f>VLOOKUP(C353,'[8]MỦ TẠP'!$D$10:$AM$450,36,0)</f>
        <v>0</v>
      </c>
      <c r="AF353" s="975"/>
      <c r="AG353" s="975"/>
      <c r="AH353" s="975">
        <f t="shared" si="110"/>
        <v>0</v>
      </c>
      <c r="AI353" s="975">
        <f>VLOOKUP(C353,'[8]CHẤM CÔNG '!$F$10:$AM$451,33,0)</f>
        <v>0</v>
      </c>
      <c r="AJ353" s="975">
        <f>VLOOKUP(C353,'[8]CHẤM CÔNG '!$F$10:$AM$451,34,0)</f>
        <v>0</v>
      </c>
      <c r="AK353" s="975"/>
      <c r="AL353" s="975"/>
      <c r="AM353" s="975"/>
      <c r="AN353" s="975">
        <f>VLOOKUP(C353,'[8]CHẤM CÔNG '!$F$10:$AN$451,35,0)</f>
        <v>0</v>
      </c>
      <c r="AO353" s="975">
        <f>VLOOKUP(C353,'[8]CHẤM CÔNG '!$F$10:$AR$451,36,0)</f>
        <v>0</v>
      </c>
      <c r="AP353" s="975"/>
      <c r="AQ353" s="975"/>
      <c r="AR353" s="975"/>
      <c r="AS353" s="981"/>
      <c r="AT353" s="982">
        <f>VLOOKUP(C353,'[8]MỦ TẠP'!$D$10:$AO$450,38,0)</f>
        <v>0</v>
      </c>
      <c r="AX353" s="944">
        <f t="shared" si="111"/>
        <v>2</v>
      </c>
      <c r="AZ353" s="944">
        <v>1</v>
      </c>
    </row>
    <row r="354" spans="1:52" ht="15.75">
      <c r="A354" s="996">
        <v>52</v>
      </c>
      <c r="B354" s="958" t="str">
        <f>VLOOKUP(C354,'[8]DS CN MOI UP'!$B$10:$C$489,2,0)</f>
        <v>02577</v>
      </c>
      <c r="C354" s="1001" t="s">
        <v>257</v>
      </c>
      <c r="D354" s="1002" t="s">
        <v>15</v>
      </c>
      <c r="E354" s="960"/>
      <c r="F354" s="960">
        <v>2</v>
      </c>
      <c r="G354" s="960">
        <v>1</v>
      </c>
      <c r="H354" s="960">
        <v>3</v>
      </c>
      <c r="I354" s="960"/>
      <c r="J354" s="960">
        <v>1</v>
      </c>
      <c r="K354" s="960">
        <v>3</v>
      </c>
      <c r="L354" s="960">
        <v>3</v>
      </c>
      <c r="M354" s="960">
        <v>1</v>
      </c>
      <c r="N354" s="960">
        <f t="shared" si="100"/>
        <v>0</v>
      </c>
      <c r="O354" s="960">
        <f t="shared" si="101"/>
        <v>12.8</v>
      </c>
      <c r="P354" s="960">
        <f t="shared" si="102"/>
        <v>8</v>
      </c>
      <c r="Q354" s="960">
        <f t="shared" si="103"/>
        <v>12</v>
      </c>
      <c r="R354" s="960">
        <f t="shared" si="104"/>
        <v>0</v>
      </c>
      <c r="S354" s="960">
        <f t="shared" si="105"/>
        <v>2</v>
      </c>
      <c r="T354" s="960">
        <f t="shared" si="106"/>
        <v>3</v>
      </c>
      <c r="U354" s="960">
        <f t="shared" si="107"/>
        <v>3</v>
      </c>
      <c r="V354" s="960">
        <f t="shared" si="108"/>
        <v>1</v>
      </c>
      <c r="W354" s="960"/>
      <c r="X354" s="960"/>
      <c r="Y354" s="960"/>
      <c r="Z354" s="960"/>
      <c r="AA354" s="975">
        <f t="shared" si="109"/>
        <v>41.8</v>
      </c>
      <c r="AB354" s="975">
        <f>VLOOKUP(C354,'[8]MỦ TẠP'!$D$10:$AM$450,36,0)</f>
        <v>0</v>
      </c>
      <c r="AC354" s="975"/>
      <c r="AD354" s="975"/>
      <c r="AE354" s="975">
        <f>VLOOKUP(C354,'[8]MỦ TẠP'!$D$10:$AM$450,36,0)</f>
        <v>0</v>
      </c>
      <c r="AF354" s="975"/>
      <c r="AG354" s="975"/>
      <c r="AH354" s="975">
        <f t="shared" si="110"/>
        <v>0</v>
      </c>
      <c r="AI354" s="975">
        <f>VLOOKUP(C354,'[8]CHẤM CÔNG '!$F$10:$AM$451,33,0)</f>
        <v>0</v>
      </c>
      <c r="AJ354" s="975">
        <f>VLOOKUP(C354,'[8]CHẤM CÔNG '!$F$10:$AM$451,34,0)</f>
        <v>0</v>
      </c>
      <c r="AK354" s="975"/>
      <c r="AL354" s="975"/>
      <c r="AM354" s="975"/>
      <c r="AN354" s="975">
        <f>VLOOKUP(C354,'[8]CHẤM CÔNG '!$F$10:$AN$451,35,0)</f>
        <v>0</v>
      </c>
      <c r="AO354" s="975">
        <f>VLOOKUP(C354,'[8]CHẤM CÔNG '!$F$10:$AR$451,36,0)</f>
        <v>0</v>
      </c>
      <c r="AP354" s="975"/>
      <c r="AQ354" s="975"/>
      <c r="AR354" s="975"/>
      <c r="AS354" s="981"/>
      <c r="AT354" s="982">
        <f>VLOOKUP(C354,'[8]MỦ TẠP'!$D$10:$AO$450,38,0)</f>
        <v>0</v>
      </c>
      <c r="AX354" s="944">
        <f t="shared" si="111"/>
        <v>2</v>
      </c>
      <c r="AZ354" s="944">
        <v>1</v>
      </c>
    </row>
    <row r="355" spans="1:52" ht="15.75">
      <c r="A355" s="996">
        <v>53</v>
      </c>
      <c r="B355" s="958" t="str">
        <f>VLOOKUP(C355,'[8]DS CN MOI UP'!$B$10:$C$489,2,0)</f>
        <v>02605</v>
      </c>
      <c r="C355" s="1001" t="s">
        <v>258</v>
      </c>
      <c r="D355" s="1002" t="s">
        <v>15</v>
      </c>
      <c r="E355" s="960"/>
      <c r="F355" s="960">
        <v>2</v>
      </c>
      <c r="G355" s="960">
        <v>1</v>
      </c>
      <c r="H355" s="960">
        <v>3</v>
      </c>
      <c r="I355" s="960"/>
      <c r="J355" s="960">
        <v>1</v>
      </c>
      <c r="K355" s="960">
        <v>3</v>
      </c>
      <c r="L355" s="960">
        <v>3</v>
      </c>
      <c r="M355" s="960">
        <v>1</v>
      </c>
      <c r="N355" s="960">
        <f t="shared" si="100"/>
        <v>0</v>
      </c>
      <c r="O355" s="960">
        <f t="shared" si="101"/>
        <v>12.8</v>
      </c>
      <c r="P355" s="960">
        <f t="shared" si="102"/>
        <v>8</v>
      </c>
      <c r="Q355" s="960">
        <f t="shared" si="103"/>
        <v>12</v>
      </c>
      <c r="R355" s="960">
        <f t="shared" si="104"/>
        <v>0</v>
      </c>
      <c r="S355" s="960">
        <f t="shared" si="105"/>
        <v>2</v>
      </c>
      <c r="T355" s="960">
        <f t="shared" si="106"/>
        <v>3</v>
      </c>
      <c r="U355" s="960">
        <f t="shared" si="107"/>
        <v>3</v>
      </c>
      <c r="V355" s="960">
        <f t="shared" si="108"/>
        <v>1</v>
      </c>
      <c r="W355" s="960"/>
      <c r="X355" s="960"/>
      <c r="Y355" s="960"/>
      <c r="Z355" s="960"/>
      <c r="AA355" s="975">
        <f t="shared" si="109"/>
        <v>41.8</v>
      </c>
      <c r="AB355" s="975">
        <f>VLOOKUP(C355,'[8]MỦ TẠP'!$D$10:$AM$450,36,0)</f>
        <v>0</v>
      </c>
      <c r="AC355" s="975"/>
      <c r="AD355" s="975"/>
      <c r="AE355" s="975">
        <f>VLOOKUP(C355,'[8]MỦ TẠP'!$D$10:$AM$450,36,0)</f>
        <v>0</v>
      </c>
      <c r="AF355" s="975"/>
      <c r="AG355" s="975"/>
      <c r="AH355" s="975">
        <f t="shared" si="110"/>
        <v>0</v>
      </c>
      <c r="AI355" s="975">
        <f>VLOOKUP(C355,'[8]CHẤM CÔNG '!$F$10:$AM$451,33,0)</f>
        <v>0</v>
      </c>
      <c r="AJ355" s="975">
        <f>VLOOKUP(C355,'[8]CHẤM CÔNG '!$F$10:$AM$451,34,0)</f>
        <v>0</v>
      </c>
      <c r="AK355" s="975"/>
      <c r="AL355" s="975"/>
      <c r="AM355" s="975"/>
      <c r="AN355" s="975">
        <f>VLOOKUP(C355,'[8]CHẤM CÔNG '!$F$10:$AN$451,35,0)</f>
        <v>0</v>
      </c>
      <c r="AO355" s="975">
        <f>VLOOKUP(C355,'[8]CHẤM CÔNG '!$F$10:$AR$451,36,0)</f>
        <v>0</v>
      </c>
      <c r="AP355" s="975"/>
      <c r="AQ355" s="975"/>
      <c r="AR355" s="975"/>
      <c r="AS355" s="981"/>
      <c r="AT355" s="982">
        <f>VLOOKUP(C355,'[8]MỦ TẠP'!$D$10:$AO$450,38,0)</f>
        <v>0</v>
      </c>
      <c r="AX355" s="944">
        <f t="shared" si="111"/>
        <v>2</v>
      </c>
      <c r="AZ355" s="944">
        <v>1</v>
      </c>
    </row>
    <row r="356" spans="1:52" ht="15.75">
      <c r="A356" s="996">
        <v>54</v>
      </c>
      <c r="B356" s="958" t="str">
        <f>VLOOKUP(C356,'[8]DS CN MOI UP'!$B$10:$C$489,2,0)</f>
        <v>02588</v>
      </c>
      <c r="C356" s="1001" t="s">
        <v>259</v>
      </c>
      <c r="D356" s="1002" t="s">
        <v>15</v>
      </c>
      <c r="E356" s="960"/>
      <c r="F356" s="960">
        <v>3</v>
      </c>
      <c r="G356" s="960"/>
      <c r="H356" s="960">
        <v>3</v>
      </c>
      <c r="I356" s="960"/>
      <c r="J356" s="960">
        <v>1</v>
      </c>
      <c r="K356" s="960">
        <v>3</v>
      </c>
      <c r="L356" s="960">
        <v>3</v>
      </c>
      <c r="M356" s="960">
        <v>1</v>
      </c>
      <c r="N356" s="960">
        <f t="shared" si="100"/>
        <v>0</v>
      </c>
      <c r="O356" s="960">
        <f t="shared" si="101"/>
        <v>19.2</v>
      </c>
      <c r="P356" s="960">
        <f t="shared" si="102"/>
        <v>0</v>
      </c>
      <c r="Q356" s="960">
        <f t="shared" si="103"/>
        <v>12</v>
      </c>
      <c r="R356" s="960">
        <f t="shared" si="104"/>
        <v>0</v>
      </c>
      <c r="S356" s="960">
        <f t="shared" si="105"/>
        <v>2</v>
      </c>
      <c r="T356" s="960">
        <f t="shared" si="106"/>
        <v>3</v>
      </c>
      <c r="U356" s="960">
        <f t="shared" si="107"/>
        <v>3</v>
      </c>
      <c r="V356" s="960">
        <f t="shared" si="108"/>
        <v>1</v>
      </c>
      <c r="W356" s="960"/>
      <c r="X356" s="960"/>
      <c r="Y356" s="960"/>
      <c r="Z356" s="960"/>
      <c r="AA356" s="975">
        <f t="shared" si="109"/>
        <v>40.200000000000003</v>
      </c>
      <c r="AB356" s="975">
        <f>VLOOKUP(C356,'[8]MỦ TẠP'!$D$10:$AM$450,36,0)</f>
        <v>0</v>
      </c>
      <c r="AC356" s="975"/>
      <c r="AD356" s="975"/>
      <c r="AE356" s="975">
        <f>VLOOKUP(C356,'[8]MỦ TẠP'!$D$10:$AM$450,36,0)</f>
        <v>0</v>
      </c>
      <c r="AF356" s="975"/>
      <c r="AG356" s="975"/>
      <c r="AH356" s="975">
        <f t="shared" si="110"/>
        <v>0</v>
      </c>
      <c r="AI356" s="975">
        <f>VLOOKUP(C356,'[8]CHẤM CÔNG '!$F$10:$AM$451,33,0)</f>
        <v>0</v>
      </c>
      <c r="AJ356" s="975">
        <f>VLOOKUP(C356,'[8]CHẤM CÔNG '!$F$10:$AM$451,34,0)</f>
        <v>0</v>
      </c>
      <c r="AK356" s="975"/>
      <c r="AL356" s="975"/>
      <c r="AM356" s="975"/>
      <c r="AN356" s="975">
        <f>VLOOKUP(C356,'[8]CHẤM CÔNG '!$F$10:$AN$451,35,0)</f>
        <v>0</v>
      </c>
      <c r="AO356" s="975">
        <f>VLOOKUP(C356,'[8]CHẤM CÔNG '!$F$10:$AR$451,36,0)</f>
        <v>0</v>
      </c>
      <c r="AP356" s="975"/>
      <c r="AQ356" s="975"/>
      <c r="AR356" s="975"/>
      <c r="AS356" s="981"/>
      <c r="AT356" s="982">
        <f>VLOOKUP(C356,'[8]MỦ TẠP'!$D$10:$AO$450,38,0)</f>
        <v>0</v>
      </c>
      <c r="AX356" s="944">
        <f t="shared" si="111"/>
        <v>2</v>
      </c>
      <c r="AZ356" s="944">
        <v>1</v>
      </c>
    </row>
    <row r="357" spans="1:52" ht="15.75">
      <c r="A357" s="996">
        <v>55</v>
      </c>
      <c r="B357" s="958" t="str">
        <f>VLOOKUP(C357,'[8]DS CN MOI UP'!$B$10:$C$489,2,0)</f>
        <v>03857</v>
      </c>
      <c r="C357" s="1001" t="s">
        <v>260</v>
      </c>
      <c r="D357" s="1002" t="s">
        <v>15</v>
      </c>
      <c r="E357" s="960"/>
      <c r="F357" s="960">
        <v>3</v>
      </c>
      <c r="G357" s="960"/>
      <c r="H357" s="960">
        <v>3</v>
      </c>
      <c r="I357" s="960"/>
      <c r="J357" s="960">
        <v>1</v>
      </c>
      <c r="K357" s="960">
        <v>3</v>
      </c>
      <c r="L357" s="960">
        <v>3</v>
      </c>
      <c r="M357" s="960">
        <v>1</v>
      </c>
      <c r="N357" s="960">
        <f t="shared" si="100"/>
        <v>0</v>
      </c>
      <c r="O357" s="960">
        <f t="shared" si="101"/>
        <v>19.2</v>
      </c>
      <c r="P357" s="960">
        <f t="shared" si="102"/>
        <v>0</v>
      </c>
      <c r="Q357" s="960">
        <f t="shared" si="103"/>
        <v>12</v>
      </c>
      <c r="R357" s="960">
        <f t="shared" si="104"/>
        <v>0</v>
      </c>
      <c r="S357" s="960">
        <f t="shared" si="105"/>
        <v>2</v>
      </c>
      <c r="T357" s="960">
        <f t="shared" si="106"/>
        <v>3</v>
      </c>
      <c r="U357" s="960">
        <f t="shared" si="107"/>
        <v>3</v>
      </c>
      <c r="V357" s="960">
        <f t="shared" si="108"/>
        <v>1</v>
      </c>
      <c r="W357" s="960"/>
      <c r="X357" s="960"/>
      <c r="Y357" s="960"/>
      <c r="Z357" s="960"/>
      <c r="AA357" s="975">
        <f t="shared" si="109"/>
        <v>40.200000000000003</v>
      </c>
      <c r="AB357" s="975">
        <f>VLOOKUP(C357,'[8]MỦ TẠP'!$D$10:$AM$450,36,0)</f>
        <v>0</v>
      </c>
      <c r="AC357" s="975"/>
      <c r="AD357" s="975"/>
      <c r="AE357" s="975">
        <f>VLOOKUP(C357,'[8]MỦ TẠP'!$D$10:$AM$450,36,0)</f>
        <v>0</v>
      </c>
      <c r="AF357" s="975"/>
      <c r="AG357" s="975"/>
      <c r="AH357" s="975">
        <f t="shared" si="110"/>
        <v>0</v>
      </c>
      <c r="AI357" s="975">
        <f>VLOOKUP(C357,'[8]CHẤM CÔNG '!$F$10:$AM$451,33,0)</f>
        <v>0</v>
      </c>
      <c r="AJ357" s="975">
        <f>VLOOKUP(C357,'[8]CHẤM CÔNG '!$F$10:$AM$451,34,0)</f>
        <v>0</v>
      </c>
      <c r="AK357" s="975"/>
      <c r="AL357" s="975"/>
      <c r="AM357" s="975"/>
      <c r="AN357" s="975">
        <f>VLOOKUP(C357,'[8]CHẤM CÔNG '!$F$10:$AN$451,35,0)</f>
        <v>0</v>
      </c>
      <c r="AO357" s="975">
        <f>VLOOKUP(C357,'[8]CHẤM CÔNG '!$F$10:$AR$451,36,0)</f>
        <v>0</v>
      </c>
      <c r="AP357" s="975"/>
      <c r="AQ357" s="975"/>
      <c r="AR357" s="975"/>
      <c r="AS357" s="981"/>
      <c r="AT357" s="982">
        <f>VLOOKUP(C357,'[8]MỦ TẠP'!$D$10:$AO$450,38,0)</f>
        <v>0</v>
      </c>
      <c r="AX357" s="944">
        <f t="shared" si="111"/>
        <v>2</v>
      </c>
      <c r="AZ357" s="944">
        <v>1</v>
      </c>
    </row>
    <row r="358" spans="1:52" ht="15.75">
      <c r="A358" s="996">
        <v>56</v>
      </c>
      <c r="B358" s="958" t="str">
        <f>VLOOKUP(C358,'[8]DS CN MOI UP'!$B$10:$C$489,2,0)</f>
        <v>02597</v>
      </c>
      <c r="C358" s="1001" t="s">
        <v>261</v>
      </c>
      <c r="D358" s="1002" t="s">
        <v>15</v>
      </c>
      <c r="E358" s="960"/>
      <c r="F358" s="960">
        <v>2</v>
      </c>
      <c r="G358" s="960">
        <v>1</v>
      </c>
      <c r="H358" s="960">
        <v>3</v>
      </c>
      <c r="I358" s="960"/>
      <c r="J358" s="960">
        <v>1</v>
      </c>
      <c r="K358" s="960">
        <v>3</v>
      </c>
      <c r="L358" s="960">
        <v>3</v>
      </c>
      <c r="M358" s="960">
        <v>1</v>
      </c>
      <c r="N358" s="960">
        <f t="shared" si="100"/>
        <v>0</v>
      </c>
      <c r="O358" s="960">
        <f t="shared" si="101"/>
        <v>12.8</v>
      </c>
      <c r="P358" s="960">
        <f t="shared" si="102"/>
        <v>8</v>
      </c>
      <c r="Q358" s="960">
        <f t="shared" si="103"/>
        <v>12</v>
      </c>
      <c r="R358" s="960">
        <f t="shared" si="104"/>
        <v>0</v>
      </c>
      <c r="S358" s="960">
        <f t="shared" si="105"/>
        <v>2</v>
      </c>
      <c r="T358" s="960">
        <f t="shared" si="106"/>
        <v>3</v>
      </c>
      <c r="U358" s="960">
        <f t="shared" si="107"/>
        <v>3</v>
      </c>
      <c r="V358" s="960">
        <f t="shared" si="108"/>
        <v>1</v>
      </c>
      <c r="W358" s="960"/>
      <c r="X358" s="960"/>
      <c r="Y358" s="960"/>
      <c r="Z358" s="960"/>
      <c r="AA358" s="975">
        <f t="shared" si="109"/>
        <v>41.8</v>
      </c>
      <c r="AB358" s="975">
        <f>VLOOKUP(C358,'[8]MỦ TẠP'!$D$10:$AM$450,36,0)</f>
        <v>0</v>
      </c>
      <c r="AC358" s="975"/>
      <c r="AD358" s="975"/>
      <c r="AE358" s="975">
        <f>VLOOKUP(C358,'[8]MỦ TẠP'!$D$10:$AM$450,36,0)</f>
        <v>0</v>
      </c>
      <c r="AF358" s="975"/>
      <c r="AG358" s="975"/>
      <c r="AH358" s="975">
        <f t="shared" si="110"/>
        <v>0</v>
      </c>
      <c r="AI358" s="975">
        <f>VLOOKUP(C358,'[8]CHẤM CÔNG '!$F$10:$AM$451,33,0)</f>
        <v>0</v>
      </c>
      <c r="AJ358" s="975">
        <f>VLOOKUP(C358,'[8]CHẤM CÔNG '!$F$10:$AM$451,34,0)</f>
        <v>0</v>
      </c>
      <c r="AK358" s="975"/>
      <c r="AL358" s="975"/>
      <c r="AM358" s="975"/>
      <c r="AN358" s="975">
        <f>VLOOKUP(C358,'[8]CHẤM CÔNG '!$F$10:$AN$451,35,0)</f>
        <v>0</v>
      </c>
      <c r="AO358" s="975">
        <f>VLOOKUP(C358,'[8]CHẤM CÔNG '!$F$10:$AR$451,36,0)</f>
        <v>0</v>
      </c>
      <c r="AP358" s="975"/>
      <c r="AQ358" s="975"/>
      <c r="AR358" s="975"/>
      <c r="AS358" s="981"/>
      <c r="AT358" s="982">
        <f>VLOOKUP(C358,'[8]MỦ TẠP'!$D$10:$AO$450,38,0)</f>
        <v>0</v>
      </c>
      <c r="AX358" s="944">
        <f t="shared" si="111"/>
        <v>2</v>
      </c>
      <c r="AZ358" s="944">
        <v>1</v>
      </c>
    </row>
    <row r="359" spans="1:52" ht="15.75">
      <c r="A359" s="996">
        <v>57</v>
      </c>
      <c r="B359" s="958" t="str">
        <f>VLOOKUP(C359,'[8]DS CN MOI UP'!$B$10:$C$489,2,0)</f>
        <v>02590</v>
      </c>
      <c r="C359" s="1001" t="s">
        <v>262</v>
      </c>
      <c r="D359" s="1002" t="s">
        <v>15</v>
      </c>
      <c r="E359" s="960"/>
      <c r="F359" s="960">
        <v>2</v>
      </c>
      <c r="G359" s="960">
        <v>1</v>
      </c>
      <c r="H359" s="960">
        <v>3</v>
      </c>
      <c r="I359" s="960"/>
      <c r="J359" s="960">
        <v>1</v>
      </c>
      <c r="K359" s="960">
        <v>3</v>
      </c>
      <c r="L359" s="960">
        <v>3</v>
      </c>
      <c r="M359" s="960">
        <v>1</v>
      </c>
      <c r="N359" s="960">
        <f t="shared" si="100"/>
        <v>0</v>
      </c>
      <c r="O359" s="960">
        <f t="shared" si="101"/>
        <v>12.8</v>
      </c>
      <c r="P359" s="960">
        <f t="shared" si="102"/>
        <v>8</v>
      </c>
      <c r="Q359" s="960">
        <f t="shared" si="103"/>
        <v>12</v>
      </c>
      <c r="R359" s="960">
        <f t="shared" si="104"/>
        <v>0</v>
      </c>
      <c r="S359" s="960">
        <f t="shared" si="105"/>
        <v>2</v>
      </c>
      <c r="T359" s="960">
        <f t="shared" si="106"/>
        <v>3</v>
      </c>
      <c r="U359" s="960">
        <f t="shared" si="107"/>
        <v>3</v>
      </c>
      <c r="V359" s="960">
        <f t="shared" si="108"/>
        <v>1</v>
      </c>
      <c r="W359" s="960"/>
      <c r="X359" s="960"/>
      <c r="Y359" s="960"/>
      <c r="Z359" s="960"/>
      <c r="AA359" s="975">
        <f t="shared" si="109"/>
        <v>41.8</v>
      </c>
      <c r="AB359" s="975">
        <f>VLOOKUP(C359,'[8]MỦ TẠP'!$D$10:$AM$450,36,0)</f>
        <v>0</v>
      </c>
      <c r="AC359" s="975"/>
      <c r="AD359" s="975"/>
      <c r="AE359" s="975">
        <f>VLOOKUP(C359,'[8]MỦ TẠP'!$D$10:$AM$450,36,0)</f>
        <v>0</v>
      </c>
      <c r="AF359" s="975"/>
      <c r="AG359" s="975"/>
      <c r="AH359" s="975">
        <f t="shared" si="110"/>
        <v>0</v>
      </c>
      <c r="AI359" s="975">
        <f>VLOOKUP(C359,'[8]CHẤM CÔNG '!$F$10:$AM$451,33,0)</f>
        <v>0</v>
      </c>
      <c r="AJ359" s="975">
        <f>VLOOKUP(C359,'[8]CHẤM CÔNG '!$F$10:$AM$451,34,0)</f>
        <v>0</v>
      </c>
      <c r="AK359" s="975"/>
      <c r="AL359" s="975"/>
      <c r="AM359" s="975"/>
      <c r="AN359" s="975">
        <f>VLOOKUP(C359,'[8]CHẤM CÔNG '!$F$10:$AN$451,35,0)</f>
        <v>0</v>
      </c>
      <c r="AO359" s="975">
        <f>VLOOKUP(C359,'[8]CHẤM CÔNG '!$F$10:$AR$451,36,0)</f>
        <v>0</v>
      </c>
      <c r="AP359" s="975"/>
      <c r="AQ359" s="975"/>
      <c r="AR359" s="975"/>
      <c r="AS359" s="981"/>
      <c r="AT359" s="982">
        <f>VLOOKUP(C359,'[8]MỦ TẠP'!$D$10:$AO$450,38,0)</f>
        <v>0</v>
      </c>
      <c r="AX359" s="944">
        <f t="shared" si="111"/>
        <v>2</v>
      </c>
      <c r="AZ359" s="944">
        <v>1</v>
      </c>
    </row>
    <row r="360" spans="1:52" ht="15.75">
      <c r="A360" s="996">
        <v>58</v>
      </c>
      <c r="B360" s="958" t="str">
        <f>VLOOKUP(C360,'[8]DS CN MOI UP'!$B$10:$C$489,2,0)</f>
        <v>02585</v>
      </c>
      <c r="C360" s="1001" t="s">
        <v>263</v>
      </c>
      <c r="D360" s="1002" t="s">
        <v>15</v>
      </c>
      <c r="E360" s="960"/>
      <c r="F360" s="960">
        <v>2</v>
      </c>
      <c r="G360" s="960">
        <v>1</v>
      </c>
      <c r="H360" s="960">
        <v>3</v>
      </c>
      <c r="I360" s="960"/>
      <c r="J360" s="960">
        <v>1</v>
      </c>
      <c r="K360" s="960">
        <v>3</v>
      </c>
      <c r="L360" s="960">
        <v>3</v>
      </c>
      <c r="M360" s="960">
        <v>1</v>
      </c>
      <c r="N360" s="960">
        <f t="shared" si="100"/>
        <v>0</v>
      </c>
      <c r="O360" s="960">
        <f t="shared" si="101"/>
        <v>12.8</v>
      </c>
      <c r="P360" s="960">
        <f t="shared" si="102"/>
        <v>8</v>
      </c>
      <c r="Q360" s="960">
        <f t="shared" si="103"/>
        <v>12</v>
      </c>
      <c r="R360" s="960">
        <f t="shared" si="104"/>
        <v>0</v>
      </c>
      <c r="S360" s="960">
        <f t="shared" si="105"/>
        <v>2</v>
      </c>
      <c r="T360" s="960">
        <f t="shared" si="106"/>
        <v>3</v>
      </c>
      <c r="U360" s="960">
        <f t="shared" si="107"/>
        <v>3</v>
      </c>
      <c r="V360" s="960">
        <f t="shared" si="108"/>
        <v>1</v>
      </c>
      <c r="W360" s="960"/>
      <c r="X360" s="960"/>
      <c r="Y360" s="960"/>
      <c r="Z360" s="960"/>
      <c r="AA360" s="975">
        <f t="shared" si="109"/>
        <v>41.8</v>
      </c>
      <c r="AB360" s="975">
        <f>VLOOKUP(C360,'[8]MỦ TẠP'!$D$10:$AM$450,36,0)</f>
        <v>0</v>
      </c>
      <c r="AC360" s="975"/>
      <c r="AD360" s="975"/>
      <c r="AE360" s="975">
        <f>VLOOKUP(C360,'[8]MỦ TẠP'!$D$10:$AM$450,36,0)</f>
        <v>0</v>
      </c>
      <c r="AF360" s="975"/>
      <c r="AG360" s="975"/>
      <c r="AH360" s="975">
        <f t="shared" si="110"/>
        <v>0</v>
      </c>
      <c r="AI360" s="975">
        <f>VLOOKUP(C360,'[8]CHẤM CÔNG '!$F$10:$AM$451,33,0)</f>
        <v>0</v>
      </c>
      <c r="AJ360" s="975">
        <f>VLOOKUP(C360,'[8]CHẤM CÔNG '!$F$10:$AM$451,34,0)</f>
        <v>0</v>
      </c>
      <c r="AK360" s="975"/>
      <c r="AL360" s="975"/>
      <c r="AM360" s="975"/>
      <c r="AN360" s="975">
        <f>VLOOKUP(C360,'[8]CHẤM CÔNG '!$F$10:$AN$451,35,0)</f>
        <v>0</v>
      </c>
      <c r="AO360" s="975">
        <f>VLOOKUP(C360,'[8]CHẤM CÔNG '!$F$10:$AR$451,36,0)</f>
        <v>0</v>
      </c>
      <c r="AP360" s="975"/>
      <c r="AQ360" s="975"/>
      <c r="AR360" s="975"/>
      <c r="AS360" s="981"/>
      <c r="AT360" s="982">
        <f>VLOOKUP(C360,'[8]MỦ TẠP'!$D$10:$AO$450,38,0)</f>
        <v>0</v>
      </c>
      <c r="AX360" s="944">
        <f t="shared" si="111"/>
        <v>2</v>
      </c>
      <c r="AZ360" s="944">
        <v>1</v>
      </c>
    </row>
    <row r="361" spans="1:52" ht="15.75">
      <c r="A361" s="996">
        <v>59</v>
      </c>
      <c r="B361" s="958" t="str">
        <f>VLOOKUP(C361,'[8]DS CN MOI UP'!$B$10:$C$489,2,0)</f>
        <v>03399</v>
      </c>
      <c r="C361" s="1001" t="s">
        <v>264</v>
      </c>
      <c r="D361" s="1002" t="s">
        <v>15</v>
      </c>
      <c r="E361" s="960"/>
      <c r="F361" s="960">
        <v>2</v>
      </c>
      <c r="G361" s="960">
        <v>1</v>
      </c>
      <c r="H361" s="960">
        <v>3</v>
      </c>
      <c r="I361" s="960"/>
      <c r="J361" s="960">
        <v>1</v>
      </c>
      <c r="K361" s="960">
        <v>3</v>
      </c>
      <c r="L361" s="960">
        <v>3</v>
      </c>
      <c r="M361" s="960">
        <v>1</v>
      </c>
      <c r="N361" s="960">
        <f t="shared" si="100"/>
        <v>0</v>
      </c>
      <c r="O361" s="960">
        <f t="shared" si="101"/>
        <v>12.8</v>
      </c>
      <c r="P361" s="960">
        <f t="shared" si="102"/>
        <v>8</v>
      </c>
      <c r="Q361" s="960">
        <f t="shared" si="103"/>
        <v>12</v>
      </c>
      <c r="R361" s="960">
        <f t="shared" si="104"/>
        <v>0</v>
      </c>
      <c r="S361" s="960">
        <f t="shared" si="105"/>
        <v>2</v>
      </c>
      <c r="T361" s="960">
        <f t="shared" si="106"/>
        <v>3</v>
      </c>
      <c r="U361" s="960">
        <f t="shared" si="107"/>
        <v>3</v>
      </c>
      <c r="V361" s="960">
        <f t="shared" si="108"/>
        <v>1</v>
      </c>
      <c r="W361" s="960"/>
      <c r="X361" s="960"/>
      <c r="Y361" s="960"/>
      <c r="Z361" s="960"/>
      <c r="AA361" s="975">
        <f t="shared" si="109"/>
        <v>41.8</v>
      </c>
      <c r="AB361" s="975">
        <f>VLOOKUP(C361,'[8]MỦ TẠP'!$D$10:$AM$450,36,0)</f>
        <v>0</v>
      </c>
      <c r="AC361" s="975"/>
      <c r="AD361" s="975"/>
      <c r="AE361" s="975">
        <f>VLOOKUP(C361,'[8]MỦ TẠP'!$D$10:$AM$450,36,0)</f>
        <v>0</v>
      </c>
      <c r="AF361" s="975"/>
      <c r="AG361" s="975"/>
      <c r="AH361" s="975">
        <f t="shared" si="110"/>
        <v>0</v>
      </c>
      <c r="AI361" s="975">
        <f>VLOOKUP(C361,'[8]CHẤM CÔNG '!$F$10:$AM$451,33,0)</f>
        <v>0</v>
      </c>
      <c r="AJ361" s="975">
        <f>VLOOKUP(C361,'[8]CHẤM CÔNG '!$F$10:$AM$451,34,0)</f>
        <v>0</v>
      </c>
      <c r="AK361" s="975"/>
      <c r="AL361" s="975"/>
      <c r="AM361" s="975"/>
      <c r="AN361" s="975">
        <f>VLOOKUP(C361,'[8]CHẤM CÔNG '!$F$10:$AN$451,35,0)</f>
        <v>0</v>
      </c>
      <c r="AO361" s="975">
        <f>VLOOKUP(C361,'[8]CHẤM CÔNG '!$F$10:$AR$451,36,0)</f>
        <v>0</v>
      </c>
      <c r="AP361" s="975"/>
      <c r="AQ361" s="975"/>
      <c r="AR361" s="975"/>
      <c r="AS361" s="981"/>
      <c r="AT361" s="982">
        <f>VLOOKUP(C361,'[8]MỦ TẠP'!$D$10:$AO$450,38,0)</f>
        <v>0</v>
      </c>
      <c r="AX361" s="944">
        <f t="shared" si="111"/>
        <v>2</v>
      </c>
      <c r="AZ361" s="944">
        <v>1</v>
      </c>
    </row>
    <row r="362" spans="1:52" ht="15.75">
      <c r="A362" s="996">
        <v>60</v>
      </c>
      <c r="B362" s="958" t="str">
        <f>VLOOKUP(C362,'[8]DS CN MOI UP'!$B$10:$C$489,2,0)</f>
        <v>02584</v>
      </c>
      <c r="C362" s="1001" t="s">
        <v>265</v>
      </c>
      <c r="D362" s="1002" t="s">
        <v>15</v>
      </c>
      <c r="E362" s="960"/>
      <c r="F362" s="960">
        <v>2</v>
      </c>
      <c r="G362" s="960">
        <v>1</v>
      </c>
      <c r="H362" s="960">
        <v>3</v>
      </c>
      <c r="I362" s="960"/>
      <c r="J362" s="960">
        <v>1</v>
      </c>
      <c r="K362" s="960">
        <v>3</v>
      </c>
      <c r="L362" s="960">
        <v>3</v>
      </c>
      <c r="M362" s="960">
        <v>1</v>
      </c>
      <c r="N362" s="960">
        <f t="shared" si="100"/>
        <v>0</v>
      </c>
      <c r="O362" s="960">
        <f t="shared" si="101"/>
        <v>12.8</v>
      </c>
      <c r="P362" s="960">
        <f t="shared" si="102"/>
        <v>8</v>
      </c>
      <c r="Q362" s="960">
        <f t="shared" si="103"/>
        <v>12</v>
      </c>
      <c r="R362" s="960">
        <f t="shared" si="104"/>
        <v>0</v>
      </c>
      <c r="S362" s="960">
        <f t="shared" si="105"/>
        <v>2</v>
      </c>
      <c r="T362" s="960">
        <f t="shared" si="106"/>
        <v>3</v>
      </c>
      <c r="U362" s="960">
        <f t="shared" si="107"/>
        <v>3</v>
      </c>
      <c r="V362" s="960">
        <f t="shared" si="108"/>
        <v>1</v>
      </c>
      <c r="W362" s="960"/>
      <c r="X362" s="960"/>
      <c r="Y362" s="960"/>
      <c r="Z362" s="960"/>
      <c r="AA362" s="975">
        <f t="shared" si="109"/>
        <v>41.8</v>
      </c>
      <c r="AB362" s="975">
        <f>VLOOKUP(C362,'[8]MỦ TẠP'!$D$10:$AM$450,36,0)</f>
        <v>0</v>
      </c>
      <c r="AC362" s="975"/>
      <c r="AD362" s="975"/>
      <c r="AE362" s="975">
        <f>VLOOKUP(C362,'[8]MỦ TẠP'!$D$10:$AM$450,36,0)</f>
        <v>0</v>
      </c>
      <c r="AF362" s="975"/>
      <c r="AG362" s="975"/>
      <c r="AH362" s="975">
        <f t="shared" si="110"/>
        <v>0</v>
      </c>
      <c r="AI362" s="975">
        <f>VLOOKUP(C362,'[8]CHẤM CÔNG '!$F$10:$AM$451,33,0)</f>
        <v>0</v>
      </c>
      <c r="AJ362" s="975">
        <f>VLOOKUP(C362,'[8]CHẤM CÔNG '!$F$10:$AM$451,34,0)</f>
        <v>0</v>
      </c>
      <c r="AK362" s="975"/>
      <c r="AL362" s="975"/>
      <c r="AM362" s="975"/>
      <c r="AN362" s="975">
        <f>VLOOKUP(C362,'[8]CHẤM CÔNG '!$F$10:$AN$451,35,0)</f>
        <v>0</v>
      </c>
      <c r="AO362" s="975">
        <f>VLOOKUP(C362,'[8]CHẤM CÔNG '!$F$10:$AR$451,36,0)</f>
        <v>0</v>
      </c>
      <c r="AP362" s="975"/>
      <c r="AQ362" s="975"/>
      <c r="AR362" s="975"/>
      <c r="AS362" s="981"/>
      <c r="AT362" s="982">
        <f>VLOOKUP(C362,'[8]MỦ TẠP'!$D$10:$AO$450,38,0)</f>
        <v>0</v>
      </c>
      <c r="AX362" s="944">
        <f t="shared" si="111"/>
        <v>2</v>
      </c>
      <c r="AZ362" s="944">
        <v>1</v>
      </c>
    </row>
    <row r="363" spans="1:52" ht="15.75">
      <c r="A363" s="996">
        <v>61</v>
      </c>
      <c r="B363" s="958" t="str">
        <f>VLOOKUP(C363,'[8]DS CN MOI UP'!$B$10:$C$489,2,0)</f>
        <v>02698</v>
      </c>
      <c r="C363" s="1001" t="s">
        <v>266</v>
      </c>
      <c r="D363" s="1002" t="s">
        <v>15</v>
      </c>
      <c r="E363" s="960"/>
      <c r="F363" s="960">
        <v>2</v>
      </c>
      <c r="G363" s="960">
        <v>1</v>
      </c>
      <c r="H363" s="960">
        <v>3</v>
      </c>
      <c r="I363" s="960"/>
      <c r="J363" s="960">
        <v>1</v>
      </c>
      <c r="K363" s="960">
        <v>3</v>
      </c>
      <c r="L363" s="960">
        <v>3</v>
      </c>
      <c r="M363" s="960">
        <v>1</v>
      </c>
      <c r="N363" s="960">
        <f t="shared" si="100"/>
        <v>0</v>
      </c>
      <c r="O363" s="960">
        <f t="shared" si="101"/>
        <v>12.8</v>
      </c>
      <c r="P363" s="960">
        <f t="shared" si="102"/>
        <v>8</v>
      </c>
      <c r="Q363" s="960">
        <f t="shared" si="103"/>
        <v>12</v>
      </c>
      <c r="R363" s="960">
        <f t="shared" si="104"/>
        <v>0</v>
      </c>
      <c r="S363" s="960">
        <f t="shared" si="105"/>
        <v>2</v>
      </c>
      <c r="T363" s="960">
        <f t="shared" si="106"/>
        <v>3</v>
      </c>
      <c r="U363" s="960">
        <f t="shared" si="107"/>
        <v>3</v>
      </c>
      <c r="V363" s="960">
        <f t="shared" si="108"/>
        <v>1</v>
      </c>
      <c r="W363" s="960"/>
      <c r="X363" s="960"/>
      <c r="Y363" s="960"/>
      <c r="Z363" s="960"/>
      <c r="AA363" s="975">
        <f t="shared" si="109"/>
        <v>41.8</v>
      </c>
      <c r="AB363" s="975">
        <f>VLOOKUP(C363,'[8]MỦ TẠP'!$D$10:$AM$450,36,0)</f>
        <v>0</v>
      </c>
      <c r="AC363" s="975"/>
      <c r="AD363" s="975"/>
      <c r="AE363" s="975">
        <f>VLOOKUP(C363,'[8]MỦ TẠP'!$D$10:$AM$450,36,0)</f>
        <v>0</v>
      </c>
      <c r="AF363" s="975"/>
      <c r="AG363" s="975"/>
      <c r="AH363" s="975">
        <f t="shared" si="110"/>
        <v>0</v>
      </c>
      <c r="AI363" s="975">
        <f>VLOOKUP(C363,'[8]CHẤM CÔNG '!$F$10:$AM$451,33,0)</f>
        <v>0</v>
      </c>
      <c r="AJ363" s="975">
        <f>VLOOKUP(C363,'[8]CHẤM CÔNG '!$F$10:$AM$451,34,0)</f>
        <v>0</v>
      </c>
      <c r="AK363" s="975"/>
      <c r="AL363" s="975"/>
      <c r="AM363" s="975"/>
      <c r="AN363" s="975">
        <f>VLOOKUP(C363,'[8]CHẤM CÔNG '!$F$10:$AN$451,35,0)</f>
        <v>0</v>
      </c>
      <c r="AO363" s="975">
        <f>VLOOKUP(C363,'[8]CHẤM CÔNG '!$F$10:$AR$451,36,0)</f>
        <v>0</v>
      </c>
      <c r="AP363" s="975"/>
      <c r="AQ363" s="975"/>
      <c r="AR363" s="975"/>
      <c r="AS363" s="981"/>
      <c r="AT363" s="982">
        <f>VLOOKUP(C363,'[8]MỦ TẠP'!$D$10:$AO$450,38,0)</f>
        <v>0</v>
      </c>
      <c r="AX363" s="944">
        <f t="shared" si="111"/>
        <v>2</v>
      </c>
      <c r="AZ363" s="944">
        <v>1</v>
      </c>
    </row>
    <row r="364" spans="1:52" ht="15.75">
      <c r="A364" s="996">
        <v>62</v>
      </c>
      <c r="B364" s="958" t="str">
        <f>VLOOKUP(C364,'[8]DS CN MOI UP'!$B$10:$C$489,2,0)</f>
        <v>03858</v>
      </c>
      <c r="C364" s="1001" t="s">
        <v>267</v>
      </c>
      <c r="D364" s="1002" t="s">
        <v>15</v>
      </c>
      <c r="E364" s="960"/>
      <c r="F364" s="960">
        <v>2</v>
      </c>
      <c r="G364" s="960">
        <v>1</v>
      </c>
      <c r="H364" s="960">
        <v>3</v>
      </c>
      <c r="I364" s="960"/>
      <c r="J364" s="960">
        <v>1</v>
      </c>
      <c r="K364" s="960">
        <v>3</v>
      </c>
      <c r="L364" s="960">
        <v>3</v>
      </c>
      <c r="M364" s="960">
        <v>1</v>
      </c>
      <c r="N364" s="960">
        <f t="shared" si="100"/>
        <v>0</v>
      </c>
      <c r="O364" s="960">
        <f t="shared" si="101"/>
        <v>12.8</v>
      </c>
      <c r="P364" s="960">
        <f t="shared" si="102"/>
        <v>8</v>
      </c>
      <c r="Q364" s="960">
        <f t="shared" si="103"/>
        <v>12</v>
      </c>
      <c r="R364" s="960">
        <f t="shared" si="104"/>
        <v>0</v>
      </c>
      <c r="S364" s="960">
        <f t="shared" si="105"/>
        <v>2</v>
      </c>
      <c r="T364" s="960">
        <f t="shared" si="106"/>
        <v>3</v>
      </c>
      <c r="U364" s="960">
        <f t="shared" si="107"/>
        <v>3</v>
      </c>
      <c r="V364" s="960">
        <f t="shared" si="108"/>
        <v>1</v>
      </c>
      <c r="W364" s="960"/>
      <c r="X364" s="960"/>
      <c r="Y364" s="960"/>
      <c r="Z364" s="960"/>
      <c r="AA364" s="975">
        <f t="shared" si="109"/>
        <v>41.8</v>
      </c>
      <c r="AB364" s="975">
        <f>VLOOKUP(C364,'[8]MỦ TẠP'!$D$10:$AM$450,36,0)</f>
        <v>0</v>
      </c>
      <c r="AC364" s="975"/>
      <c r="AD364" s="975"/>
      <c r="AE364" s="975">
        <f>VLOOKUP(C364,'[8]MỦ TẠP'!$D$10:$AM$450,36,0)</f>
        <v>0</v>
      </c>
      <c r="AF364" s="975"/>
      <c r="AG364" s="975"/>
      <c r="AH364" s="975">
        <f t="shared" si="110"/>
        <v>0</v>
      </c>
      <c r="AI364" s="975">
        <f>VLOOKUP(C364,'[8]CHẤM CÔNG '!$F$10:$AM$451,33,0)</f>
        <v>0</v>
      </c>
      <c r="AJ364" s="975">
        <f>VLOOKUP(C364,'[8]CHẤM CÔNG '!$F$10:$AM$451,34,0)</f>
        <v>0</v>
      </c>
      <c r="AK364" s="975"/>
      <c r="AL364" s="975"/>
      <c r="AM364" s="975"/>
      <c r="AN364" s="975">
        <f>VLOOKUP(C364,'[8]CHẤM CÔNG '!$F$10:$AN$451,35,0)</f>
        <v>0</v>
      </c>
      <c r="AO364" s="975">
        <f>VLOOKUP(C364,'[8]CHẤM CÔNG '!$F$10:$AR$451,36,0)</f>
        <v>0</v>
      </c>
      <c r="AP364" s="975"/>
      <c r="AQ364" s="975"/>
      <c r="AR364" s="975"/>
      <c r="AS364" s="981"/>
      <c r="AT364" s="982">
        <f>VLOOKUP(C364,'[8]MỦ TẠP'!$D$10:$AO$450,38,0)</f>
        <v>0</v>
      </c>
      <c r="AX364" s="944">
        <f t="shared" si="111"/>
        <v>2</v>
      </c>
      <c r="AZ364" s="944">
        <v>1</v>
      </c>
    </row>
    <row r="365" spans="1:52" ht="15.75">
      <c r="A365" s="996">
        <v>63</v>
      </c>
      <c r="B365" s="958" t="str">
        <f>VLOOKUP(C365,'[8]DS CN MOI UP'!$B$10:$C$489,2,0)</f>
        <v>02591</v>
      </c>
      <c r="C365" s="1001" t="s">
        <v>268</v>
      </c>
      <c r="D365" s="1002" t="s">
        <v>15</v>
      </c>
      <c r="E365" s="960"/>
      <c r="F365" s="960">
        <v>2</v>
      </c>
      <c r="G365" s="960">
        <v>1</v>
      </c>
      <c r="H365" s="960">
        <v>3</v>
      </c>
      <c r="I365" s="960"/>
      <c r="J365" s="960">
        <v>1</v>
      </c>
      <c r="K365" s="960">
        <v>3</v>
      </c>
      <c r="L365" s="960">
        <v>3</v>
      </c>
      <c r="M365" s="960">
        <v>1</v>
      </c>
      <c r="N365" s="960">
        <f t="shared" si="100"/>
        <v>0</v>
      </c>
      <c r="O365" s="960">
        <f t="shared" si="101"/>
        <v>12.8</v>
      </c>
      <c r="P365" s="960">
        <f t="shared" si="102"/>
        <v>8</v>
      </c>
      <c r="Q365" s="960">
        <f t="shared" si="103"/>
        <v>12</v>
      </c>
      <c r="R365" s="960">
        <f t="shared" si="104"/>
        <v>0</v>
      </c>
      <c r="S365" s="960">
        <f t="shared" si="105"/>
        <v>2</v>
      </c>
      <c r="T365" s="960">
        <f t="shared" si="106"/>
        <v>3</v>
      </c>
      <c r="U365" s="960">
        <f t="shared" si="107"/>
        <v>3</v>
      </c>
      <c r="V365" s="960">
        <f t="shared" si="108"/>
        <v>1</v>
      </c>
      <c r="W365" s="960"/>
      <c r="X365" s="960"/>
      <c r="Y365" s="960"/>
      <c r="Z365" s="960"/>
      <c r="AA365" s="975">
        <f t="shared" si="109"/>
        <v>41.8</v>
      </c>
      <c r="AB365" s="975">
        <f>VLOOKUP(C365,'[8]MỦ TẠP'!$D$10:$AM$450,36,0)</f>
        <v>0</v>
      </c>
      <c r="AC365" s="975"/>
      <c r="AD365" s="975"/>
      <c r="AE365" s="975">
        <f>VLOOKUP(C365,'[8]MỦ TẠP'!$D$10:$AM$450,36,0)</f>
        <v>0</v>
      </c>
      <c r="AF365" s="975"/>
      <c r="AG365" s="975"/>
      <c r="AH365" s="975">
        <f t="shared" si="110"/>
        <v>0</v>
      </c>
      <c r="AI365" s="975">
        <f>VLOOKUP(C365,'[8]CHẤM CÔNG '!$F$10:$AM$451,33,0)</f>
        <v>0</v>
      </c>
      <c r="AJ365" s="975">
        <f>VLOOKUP(C365,'[8]CHẤM CÔNG '!$F$10:$AM$451,34,0)</f>
        <v>0</v>
      </c>
      <c r="AK365" s="975"/>
      <c r="AL365" s="975"/>
      <c r="AM365" s="975"/>
      <c r="AN365" s="975">
        <f>VLOOKUP(C365,'[8]CHẤM CÔNG '!$F$10:$AN$451,35,0)</f>
        <v>0</v>
      </c>
      <c r="AO365" s="975">
        <f>VLOOKUP(C365,'[8]CHẤM CÔNG '!$F$10:$AR$451,36,0)</f>
        <v>0</v>
      </c>
      <c r="AP365" s="975"/>
      <c r="AQ365" s="975"/>
      <c r="AR365" s="975"/>
      <c r="AS365" s="981"/>
      <c r="AT365" s="982">
        <f>VLOOKUP(C365,'[8]MỦ TẠP'!$D$10:$AO$450,38,0)</f>
        <v>0</v>
      </c>
      <c r="AX365" s="944">
        <f t="shared" si="111"/>
        <v>2</v>
      </c>
      <c r="AZ365" s="944">
        <v>1</v>
      </c>
    </row>
    <row r="366" spans="1:52" ht="15.75">
      <c r="A366" s="996">
        <v>64</v>
      </c>
      <c r="B366" s="958" t="str">
        <f>VLOOKUP(C366,'[8]DS CN MOI UP'!$B$10:$C$489,2,0)</f>
        <v>02595</v>
      </c>
      <c r="C366" s="1001" t="s">
        <v>269</v>
      </c>
      <c r="D366" s="1002" t="s">
        <v>15</v>
      </c>
      <c r="E366" s="960"/>
      <c r="F366" s="960">
        <v>2</v>
      </c>
      <c r="G366" s="960">
        <v>1</v>
      </c>
      <c r="H366" s="960">
        <v>3</v>
      </c>
      <c r="I366" s="960"/>
      <c r="J366" s="960">
        <v>1</v>
      </c>
      <c r="K366" s="960">
        <v>3</v>
      </c>
      <c r="L366" s="960">
        <v>3</v>
      </c>
      <c r="M366" s="960">
        <v>1</v>
      </c>
      <c r="N366" s="960">
        <f t="shared" si="100"/>
        <v>0</v>
      </c>
      <c r="O366" s="960">
        <f t="shared" si="101"/>
        <v>12.8</v>
      </c>
      <c r="P366" s="960">
        <f t="shared" si="102"/>
        <v>8</v>
      </c>
      <c r="Q366" s="960">
        <f t="shared" si="103"/>
        <v>12</v>
      </c>
      <c r="R366" s="960">
        <f t="shared" si="104"/>
        <v>0</v>
      </c>
      <c r="S366" s="960">
        <f t="shared" si="105"/>
        <v>2</v>
      </c>
      <c r="T366" s="960">
        <f t="shared" si="106"/>
        <v>3</v>
      </c>
      <c r="U366" s="960">
        <f t="shared" si="107"/>
        <v>3</v>
      </c>
      <c r="V366" s="960">
        <f t="shared" si="108"/>
        <v>1</v>
      </c>
      <c r="W366" s="960"/>
      <c r="X366" s="960"/>
      <c r="Y366" s="960"/>
      <c r="Z366" s="960"/>
      <c r="AA366" s="975">
        <f t="shared" si="109"/>
        <v>41.8</v>
      </c>
      <c r="AB366" s="975">
        <f>VLOOKUP(C366,'[8]MỦ TẠP'!$D$10:$AM$450,36,0)</f>
        <v>0</v>
      </c>
      <c r="AC366" s="975"/>
      <c r="AD366" s="975"/>
      <c r="AE366" s="975">
        <f>VLOOKUP(C366,'[8]MỦ TẠP'!$D$10:$AM$450,36,0)</f>
        <v>0</v>
      </c>
      <c r="AF366" s="975"/>
      <c r="AG366" s="975"/>
      <c r="AH366" s="975">
        <f t="shared" si="110"/>
        <v>0</v>
      </c>
      <c r="AI366" s="975">
        <f>VLOOKUP(C366,'[8]CHẤM CÔNG '!$F$10:$AM$451,33,0)</f>
        <v>0</v>
      </c>
      <c r="AJ366" s="975">
        <f>VLOOKUP(C366,'[8]CHẤM CÔNG '!$F$10:$AM$451,34,0)</f>
        <v>0</v>
      </c>
      <c r="AK366" s="975"/>
      <c r="AL366" s="975"/>
      <c r="AM366" s="975"/>
      <c r="AN366" s="975">
        <f>VLOOKUP(C366,'[8]CHẤM CÔNG '!$F$10:$AN$451,35,0)</f>
        <v>0</v>
      </c>
      <c r="AO366" s="975">
        <f>VLOOKUP(C366,'[8]CHẤM CÔNG '!$F$10:$AR$451,36,0)</f>
        <v>0</v>
      </c>
      <c r="AP366" s="975"/>
      <c r="AQ366" s="975"/>
      <c r="AR366" s="975"/>
      <c r="AS366" s="981"/>
      <c r="AT366" s="982">
        <f>VLOOKUP(C366,'[8]MỦ TẠP'!$D$10:$AO$450,38,0)</f>
        <v>0</v>
      </c>
      <c r="AX366" s="944">
        <f t="shared" si="111"/>
        <v>2</v>
      </c>
      <c r="AZ366" s="944">
        <v>1</v>
      </c>
    </row>
    <row r="367" spans="1:52" ht="15.75">
      <c r="A367" s="996">
        <v>65</v>
      </c>
      <c r="B367" s="958" t="str">
        <f>VLOOKUP(C367,'[8]DS CN MOI UP'!$B$10:$C$489,2,0)</f>
        <v>02582</v>
      </c>
      <c r="C367" s="1001" t="s">
        <v>270</v>
      </c>
      <c r="D367" s="1002" t="s">
        <v>15</v>
      </c>
      <c r="E367" s="960"/>
      <c r="F367" s="960">
        <v>2</v>
      </c>
      <c r="G367" s="960">
        <v>1</v>
      </c>
      <c r="H367" s="960">
        <v>3</v>
      </c>
      <c r="I367" s="960"/>
      <c r="J367" s="960">
        <v>1</v>
      </c>
      <c r="K367" s="960">
        <v>3</v>
      </c>
      <c r="L367" s="960">
        <v>3</v>
      </c>
      <c r="M367" s="960">
        <v>1</v>
      </c>
      <c r="N367" s="960">
        <f t="shared" ref="N367:N380" si="112">E367/$N$8</f>
        <v>0</v>
      </c>
      <c r="O367" s="960">
        <f t="shared" ref="O367:O380" si="113">F367/$O$8</f>
        <v>12.8</v>
      </c>
      <c r="P367" s="960">
        <f t="shared" ref="P367:P380" si="114">G367/$P$8</f>
        <v>8</v>
      </c>
      <c r="Q367" s="960">
        <f t="shared" ref="Q367:Q380" si="115">H367/$Q$8</f>
        <v>12</v>
      </c>
      <c r="R367" s="960">
        <f t="shared" ref="R367:R380" si="116">I367/$R$8</f>
        <v>0</v>
      </c>
      <c r="S367" s="960">
        <f t="shared" ref="S367:S380" si="117">J367/$S$8</f>
        <v>2</v>
      </c>
      <c r="T367" s="960">
        <f t="shared" ref="T367:T380" si="118">K367/$T$8</f>
        <v>3</v>
      </c>
      <c r="U367" s="960">
        <f t="shared" ref="U367:U380" si="119">L367/$U$8</f>
        <v>3</v>
      </c>
      <c r="V367" s="960">
        <f t="shared" ref="V367:V380" si="120">M367/$V$8</f>
        <v>1</v>
      </c>
      <c r="W367" s="960"/>
      <c r="X367" s="960"/>
      <c r="Y367" s="960"/>
      <c r="Z367" s="960"/>
      <c r="AA367" s="975">
        <f t="shared" ref="AA367:AA380" si="121">SUM(N367:Z367)</f>
        <v>41.8</v>
      </c>
      <c r="AB367" s="975">
        <f>VLOOKUP(C367,'[8]MỦ TẠP'!$D$10:$AM$450,36,0)</f>
        <v>0</v>
      </c>
      <c r="AC367" s="975"/>
      <c r="AD367" s="975"/>
      <c r="AE367" s="975">
        <f>VLOOKUP(C367,'[8]MỦ TẠP'!$D$10:$AM$450,36,0)</f>
        <v>0</v>
      </c>
      <c r="AF367" s="975"/>
      <c r="AG367" s="975"/>
      <c r="AH367" s="975">
        <f t="shared" ref="AH367:AH371" si="122">AE367*$AV$17+AF367*$AV$10+$AV$11*AG367</f>
        <v>0</v>
      </c>
      <c r="AI367" s="975">
        <f>VLOOKUP(C367,'[8]CHẤM CÔNG '!$F$10:$AM$451,33,0)</f>
        <v>0</v>
      </c>
      <c r="AJ367" s="975">
        <f>VLOOKUP(C367,'[8]CHẤM CÔNG '!$F$10:$AM$451,34,0)</f>
        <v>0</v>
      </c>
      <c r="AK367" s="975"/>
      <c r="AL367" s="975"/>
      <c r="AM367" s="975"/>
      <c r="AN367" s="975">
        <f>VLOOKUP(C367,'[8]CHẤM CÔNG '!$F$10:$AN$451,35,0)</f>
        <v>0</v>
      </c>
      <c r="AO367" s="975">
        <f>VLOOKUP(C367,'[8]CHẤM CÔNG '!$F$10:$AR$451,36,0)</f>
        <v>0</v>
      </c>
      <c r="AP367" s="975"/>
      <c r="AQ367" s="975"/>
      <c r="AR367" s="975"/>
      <c r="AS367" s="981"/>
      <c r="AT367" s="982">
        <f>VLOOKUP(C367,'[8]MỦ TẠP'!$D$10:$AO$450,38,0)</f>
        <v>0</v>
      </c>
      <c r="AX367" s="944">
        <f t="shared" si="111"/>
        <v>2</v>
      </c>
      <c r="AZ367" s="944">
        <v>1</v>
      </c>
    </row>
    <row r="368" spans="1:52" ht="15.75">
      <c r="A368" s="996">
        <v>66</v>
      </c>
      <c r="B368" s="958" t="str">
        <f>VLOOKUP(C368,'[8]DS CN MOI UP'!$B$10:$C$489,2,0)</f>
        <v>02572</v>
      </c>
      <c r="C368" s="1001" t="s">
        <v>271</v>
      </c>
      <c r="D368" s="1002" t="s">
        <v>15</v>
      </c>
      <c r="E368" s="960"/>
      <c r="F368" s="960">
        <v>2</v>
      </c>
      <c r="G368" s="960">
        <v>1</v>
      </c>
      <c r="H368" s="960">
        <v>3</v>
      </c>
      <c r="I368" s="960"/>
      <c r="J368" s="960">
        <v>1</v>
      </c>
      <c r="K368" s="960">
        <v>3</v>
      </c>
      <c r="L368" s="960">
        <v>3</v>
      </c>
      <c r="M368" s="960">
        <v>1</v>
      </c>
      <c r="N368" s="960">
        <f t="shared" si="112"/>
        <v>0</v>
      </c>
      <c r="O368" s="960">
        <f t="shared" si="113"/>
        <v>12.8</v>
      </c>
      <c r="P368" s="960">
        <f t="shared" si="114"/>
        <v>8</v>
      </c>
      <c r="Q368" s="960">
        <f t="shared" si="115"/>
        <v>12</v>
      </c>
      <c r="R368" s="960">
        <f t="shared" si="116"/>
        <v>0</v>
      </c>
      <c r="S368" s="960">
        <f t="shared" si="117"/>
        <v>2</v>
      </c>
      <c r="T368" s="960">
        <f t="shared" si="118"/>
        <v>3</v>
      </c>
      <c r="U368" s="960">
        <f t="shared" si="119"/>
        <v>3</v>
      </c>
      <c r="V368" s="960">
        <f t="shared" si="120"/>
        <v>1</v>
      </c>
      <c r="W368" s="960"/>
      <c r="X368" s="960"/>
      <c r="Y368" s="960"/>
      <c r="Z368" s="960"/>
      <c r="AA368" s="975">
        <f t="shared" si="121"/>
        <v>41.8</v>
      </c>
      <c r="AB368" s="975">
        <f>VLOOKUP(C368,'[8]MỦ TẠP'!$D$10:$AM$450,36,0)</f>
        <v>0</v>
      </c>
      <c r="AC368" s="975"/>
      <c r="AD368" s="975"/>
      <c r="AE368" s="975">
        <f>VLOOKUP(C368,'[8]MỦ TẠP'!$D$10:$AM$450,36,0)</f>
        <v>0</v>
      </c>
      <c r="AF368" s="975"/>
      <c r="AG368" s="975"/>
      <c r="AH368" s="975">
        <f t="shared" si="122"/>
        <v>0</v>
      </c>
      <c r="AI368" s="975">
        <f>VLOOKUP(C368,'[8]CHẤM CÔNG '!$F$10:$AM$451,33,0)</f>
        <v>0</v>
      </c>
      <c r="AJ368" s="975">
        <f>VLOOKUP(C368,'[8]CHẤM CÔNG '!$F$10:$AM$451,34,0)</f>
        <v>0</v>
      </c>
      <c r="AK368" s="975"/>
      <c r="AL368" s="975"/>
      <c r="AM368" s="975"/>
      <c r="AN368" s="975">
        <f>VLOOKUP(C368,'[8]CHẤM CÔNG '!$F$10:$AN$451,35,0)</f>
        <v>0</v>
      </c>
      <c r="AO368" s="975">
        <f>VLOOKUP(C368,'[8]CHẤM CÔNG '!$F$10:$AR$451,36,0)</f>
        <v>0</v>
      </c>
      <c r="AP368" s="975"/>
      <c r="AQ368" s="975"/>
      <c r="AR368" s="975"/>
      <c r="AS368" s="981"/>
      <c r="AT368" s="982">
        <f>VLOOKUP(C368,'[8]MỦ TẠP'!$D$10:$AO$450,38,0)</f>
        <v>0</v>
      </c>
      <c r="AX368" s="944">
        <f t="shared" si="111"/>
        <v>2</v>
      </c>
      <c r="AZ368" s="944">
        <v>1</v>
      </c>
    </row>
    <row r="369" spans="1:52" ht="15.75">
      <c r="A369" s="996">
        <v>67</v>
      </c>
      <c r="B369" s="958" t="str">
        <f>VLOOKUP(C369,'[8]DS CN MOI UP'!$B$10:$C$489,2,0)</f>
        <v>02694</v>
      </c>
      <c r="C369" s="1001" t="s">
        <v>272</v>
      </c>
      <c r="D369" s="1002" t="s">
        <v>15</v>
      </c>
      <c r="E369" s="960"/>
      <c r="F369" s="960">
        <v>2</v>
      </c>
      <c r="G369" s="960">
        <v>1</v>
      </c>
      <c r="H369" s="960">
        <v>3</v>
      </c>
      <c r="I369" s="960"/>
      <c r="J369" s="960">
        <v>1</v>
      </c>
      <c r="K369" s="960">
        <v>3</v>
      </c>
      <c r="L369" s="960">
        <v>3</v>
      </c>
      <c r="M369" s="960">
        <v>1</v>
      </c>
      <c r="N369" s="960">
        <f t="shared" si="112"/>
        <v>0</v>
      </c>
      <c r="O369" s="960">
        <f t="shared" si="113"/>
        <v>12.8</v>
      </c>
      <c r="P369" s="960">
        <f t="shared" si="114"/>
        <v>8</v>
      </c>
      <c r="Q369" s="960">
        <f t="shared" si="115"/>
        <v>12</v>
      </c>
      <c r="R369" s="960">
        <f t="shared" si="116"/>
        <v>0</v>
      </c>
      <c r="S369" s="960">
        <f t="shared" si="117"/>
        <v>2</v>
      </c>
      <c r="T369" s="960">
        <f t="shared" si="118"/>
        <v>3</v>
      </c>
      <c r="U369" s="960">
        <f t="shared" si="119"/>
        <v>3</v>
      </c>
      <c r="V369" s="960">
        <f t="shared" si="120"/>
        <v>1</v>
      </c>
      <c r="W369" s="960"/>
      <c r="X369" s="960"/>
      <c r="Y369" s="960"/>
      <c r="Z369" s="960"/>
      <c r="AA369" s="975">
        <f t="shared" si="121"/>
        <v>41.8</v>
      </c>
      <c r="AB369" s="975">
        <f>VLOOKUP(C369,'[8]MỦ TẠP'!$D$10:$AM$450,36,0)</f>
        <v>0</v>
      </c>
      <c r="AC369" s="975"/>
      <c r="AD369" s="975"/>
      <c r="AE369" s="975">
        <f>VLOOKUP(C369,'[8]MỦ TẠP'!$D$10:$AM$450,36,0)</f>
        <v>0</v>
      </c>
      <c r="AF369" s="975"/>
      <c r="AG369" s="975"/>
      <c r="AH369" s="975">
        <f t="shared" si="122"/>
        <v>0</v>
      </c>
      <c r="AI369" s="975">
        <f>VLOOKUP(C369,'[8]CHẤM CÔNG '!$F$10:$AM$451,33,0)</f>
        <v>0</v>
      </c>
      <c r="AJ369" s="975">
        <f>VLOOKUP(C369,'[8]CHẤM CÔNG '!$F$10:$AM$451,34,0)</f>
        <v>0</v>
      </c>
      <c r="AK369" s="975"/>
      <c r="AL369" s="975"/>
      <c r="AM369" s="975"/>
      <c r="AN369" s="975">
        <f>VLOOKUP(C369,'[8]CHẤM CÔNG '!$F$10:$AN$451,35,0)</f>
        <v>0</v>
      </c>
      <c r="AO369" s="975">
        <f>VLOOKUP(C369,'[8]CHẤM CÔNG '!$F$10:$AR$451,36,0)</f>
        <v>0</v>
      </c>
      <c r="AP369" s="975"/>
      <c r="AQ369" s="975"/>
      <c r="AR369" s="975"/>
      <c r="AS369" s="981"/>
      <c r="AT369" s="982">
        <f>VLOOKUP(C369,'[8]MỦ TẠP'!$D$10:$AO$450,38,0)</f>
        <v>0</v>
      </c>
      <c r="AX369" s="944">
        <f t="shared" ref="AX369:AX373" si="123">3-AZ369</f>
        <v>2</v>
      </c>
      <c r="AZ369" s="944">
        <v>1</v>
      </c>
    </row>
    <row r="370" spans="1:52" ht="15.75">
      <c r="A370" s="996">
        <v>68</v>
      </c>
      <c r="B370" s="958" t="str">
        <f>VLOOKUP(C370,'[8]DS CN MOI UP'!$B$10:$C$489,2,0)</f>
        <v>02699</v>
      </c>
      <c r="C370" s="1001" t="s">
        <v>273</v>
      </c>
      <c r="D370" s="1002" t="s">
        <v>15</v>
      </c>
      <c r="E370" s="960"/>
      <c r="F370" s="960">
        <v>2</v>
      </c>
      <c r="G370" s="960">
        <v>1</v>
      </c>
      <c r="H370" s="960">
        <v>3</v>
      </c>
      <c r="I370" s="960"/>
      <c r="J370" s="960">
        <v>1</v>
      </c>
      <c r="K370" s="960">
        <v>3</v>
      </c>
      <c r="L370" s="960">
        <v>3</v>
      </c>
      <c r="M370" s="960">
        <v>1</v>
      </c>
      <c r="N370" s="960">
        <f t="shared" si="112"/>
        <v>0</v>
      </c>
      <c r="O370" s="960">
        <f t="shared" si="113"/>
        <v>12.8</v>
      </c>
      <c r="P370" s="960">
        <f t="shared" si="114"/>
        <v>8</v>
      </c>
      <c r="Q370" s="960">
        <f t="shared" si="115"/>
        <v>12</v>
      </c>
      <c r="R370" s="960">
        <f t="shared" si="116"/>
        <v>0</v>
      </c>
      <c r="S370" s="960">
        <f t="shared" si="117"/>
        <v>2</v>
      </c>
      <c r="T370" s="960">
        <f t="shared" si="118"/>
        <v>3</v>
      </c>
      <c r="U370" s="960">
        <f t="shared" si="119"/>
        <v>3</v>
      </c>
      <c r="V370" s="960">
        <f t="shared" si="120"/>
        <v>1</v>
      </c>
      <c r="W370" s="960"/>
      <c r="X370" s="960"/>
      <c r="Y370" s="960"/>
      <c r="Z370" s="960"/>
      <c r="AA370" s="975">
        <f t="shared" si="121"/>
        <v>41.8</v>
      </c>
      <c r="AB370" s="975">
        <f>VLOOKUP(C370,'[8]MỦ TẠP'!$D$10:$AM$450,36,0)</f>
        <v>0</v>
      </c>
      <c r="AC370" s="975"/>
      <c r="AD370" s="975"/>
      <c r="AE370" s="975">
        <f>VLOOKUP(C370,'[8]MỦ TẠP'!$D$10:$AM$450,36,0)</f>
        <v>0</v>
      </c>
      <c r="AF370" s="975"/>
      <c r="AG370" s="975"/>
      <c r="AH370" s="975">
        <f t="shared" si="122"/>
        <v>0</v>
      </c>
      <c r="AI370" s="975">
        <f>VLOOKUP(C370,'[8]CHẤM CÔNG '!$F$10:$AM$451,33,0)</f>
        <v>0</v>
      </c>
      <c r="AJ370" s="975">
        <f>VLOOKUP(C370,'[8]CHẤM CÔNG '!$F$10:$AM$451,34,0)</f>
        <v>0</v>
      </c>
      <c r="AK370" s="975"/>
      <c r="AL370" s="975"/>
      <c r="AM370" s="975"/>
      <c r="AN370" s="975">
        <f>VLOOKUP(C370,'[8]CHẤM CÔNG '!$F$10:$AN$451,35,0)</f>
        <v>0</v>
      </c>
      <c r="AO370" s="975">
        <f>VLOOKUP(C370,'[8]CHẤM CÔNG '!$F$10:$AR$451,36,0)</f>
        <v>0</v>
      </c>
      <c r="AP370" s="975"/>
      <c r="AQ370" s="975"/>
      <c r="AR370" s="975"/>
      <c r="AS370" s="981"/>
      <c r="AT370" s="982">
        <f>VLOOKUP(C370,'[8]MỦ TẠP'!$D$10:$AO$450,38,0)</f>
        <v>0</v>
      </c>
      <c r="AX370" s="944">
        <f t="shared" si="123"/>
        <v>2</v>
      </c>
      <c r="AZ370" s="944">
        <v>1</v>
      </c>
    </row>
    <row r="371" spans="1:52" ht="15.75">
      <c r="A371" s="996">
        <v>69</v>
      </c>
      <c r="B371" s="958" t="str">
        <f>VLOOKUP(C371,'[8]DS CN MOI UP'!$B$10:$C$489,2,0)</f>
        <v>03400</v>
      </c>
      <c r="C371" s="1001" t="s">
        <v>274</v>
      </c>
      <c r="D371" s="1002" t="s">
        <v>15</v>
      </c>
      <c r="E371" s="960"/>
      <c r="F371" s="960">
        <v>2</v>
      </c>
      <c r="G371" s="960">
        <v>1</v>
      </c>
      <c r="H371" s="960">
        <v>3</v>
      </c>
      <c r="I371" s="960"/>
      <c r="J371" s="960">
        <v>1</v>
      </c>
      <c r="K371" s="960">
        <v>3</v>
      </c>
      <c r="L371" s="960">
        <v>3</v>
      </c>
      <c r="M371" s="960">
        <v>1</v>
      </c>
      <c r="N371" s="960">
        <f t="shared" si="112"/>
        <v>0</v>
      </c>
      <c r="O371" s="960">
        <f t="shared" si="113"/>
        <v>12.8</v>
      </c>
      <c r="P371" s="960">
        <f t="shared" si="114"/>
        <v>8</v>
      </c>
      <c r="Q371" s="960">
        <f t="shared" si="115"/>
        <v>12</v>
      </c>
      <c r="R371" s="960">
        <f t="shared" si="116"/>
        <v>0</v>
      </c>
      <c r="S371" s="960">
        <f t="shared" si="117"/>
        <v>2</v>
      </c>
      <c r="T371" s="960">
        <f t="shared" si="118"/>
        <v>3</v>
      </c>
      <c r="U371" s="960">
        <f t="shared" si="119"/>
        <v>3</v>
      </c>
      <c r="V371" s="960">
        <f t="shared" si="120"/>
        <v>1</v>
      </c>
      <c r="W371" s="960"/>
      <c r="X371" s="960"/>
      <c r="Y371" s="960"/>
      <c r="Z371" s="960"/>
      <c r="AA371" s="975">
        <f t="shared" si="121"/>
        <v>41.8</v>
      </c>
      <c r="AB371" s="975">
        <f>VLOOKUP(C371,'[8]MỦ TẠP'!$D$10:$AM$450,36,0)</f>
        <v>0</v>
      </c>
      <c r="AC371" s="975"/>
      <c r="AD371" s="975"/>
      <c r="AE371" s="975">
        <f>VLOOKUP(C371,'[8]MỦ TẠP'!$D$10:$AM$450,36,0)</f>
        <v>0</v>
      </c>
      <c r="AF371" s="975"/>
      <c r="AG371" s="975"/>
      <c r="AH371" s="975">
        <f t="shared" si="122"/>
        <v>0</v>
      </c>
      <c r="AI371" s="975">
        <f>VLOOKUP(C371,'[8]CHẤM CÔNG '!$F$10:$AM$451,33,0)</f>
        <v>0</v>
      </c>
      <c r="AJ371" s="975">
        <f>VLOOKUP(C371,'[8]CHẤM CÔNG '!$F$10:$AM$451,34,0)</f>
        <v>0</v>
      </c>
      <c r="AK371" s="975"/>
      <c r="AL371" s="975"/>
      <c r="AM371" s="975"/>
      <c r="AN371" s="975">
        <f>VLOOKUP(C371,'[8]CHẤM CÔNG '!$F$10:$AN$451,35,0)</f>
        <v>0</v>
      </c>
      <c r="AO371" s="975">
        <f>VLOOKUP(C371,'[8]CHẤM CÔNG '!$F$10:$AR$451,36,0)</f>
        <v>0</v>
      </c>
      <c r="AP371" s="975"/>
      <c r="AQ371" s="975"/>
      <c r="AR371" s="975"/>
      <c r="AS371" s="981"/>
      <c r="AT371" s="982">
        <f>VLOOKUP(C371,'[8]MỦ TẠP'!$D$10:$AO$450,38,0)</f>
        <v>0</v>
      </c>
      <c r="AX371" s="944">
        <f t="shared" si="123"/>
        <v>2</v>
      </c>
      <c r="AZ371" s="944">
        <v>1</v>
      </c>
    </row>
    <row r="372" spans="1:52" ht="15.75">
      <c r="A372" s="996">
        <v>70</v>
      </c>
      <c r="B372" s="958" t="e">
        <f>VLOOKUP(C372,'[8]DS CN MOI UP'!$B$10:$C$489,2,0)</f>
        <v>#N/A</v>
      </c>
      <c r="C372" s="1001" t="s">
        <v>275</v>
      </c>
      <c r="D372" s="1002" t="s">
        <v>15</v>
      </c>
      <c r="E372" s="960">
        <v>3</v>
      </c>
      <c r="F372" s="960"/>
      <c r="G372" s="960"/>
      <c r="H372" s="960">
        <v>3</v>
      </c>
      <c r="I372" s="960"/>
      <c r="J372" s="960"/>
      <c r="K372" s="960"/>
      <c r="L372" s="960"/>
      <c r="M372" s="960"/>
      <c r="N372" s="960">
        <f t="shared" si="112"/>
        <v>18</v>
      </c>
      <c r="O372" s="960">
        <f t="shared" si="113"/>
        <v>0</v>
      </c>
      <c r="P372" s="960">
        <f t="shared" si="114"/>
        <v>0</v>
      </c>
      <c r="Q372" s="960">
        <f t="shared" si="115"/>
        <v>12</v>
      </c>
      <c r="R372" s="960">
        <f t="shared" si="116"/>
        <v>0</v>
      </c>
      <c r="S372" s="960">
        <f t="shared" si="117"/>
        <v>0</v>
      </c>
      <c r="T372" s="960">
        <f t="shared" si="118"/>
        <v>0</v>
      </c>
      <c r="U372" s="960">
        <f t="shared" si="119"/>
        <v>0</v>
      </c>
      <c r="V372" s="960">
        <f t="shared" si="120"/>
        <v>0</v>
      </c>
      <c r="W372" s="960"/>
      <c r="X372" s="960"/>
      <c r="Y372" s="960"/>
      <c r="Z372" s="960"/>
      <c r="AA372" s="975">
        <f t="shared" si="121"/>
        <v>30</v>
      </c>
      <c r="AB372" s="975">
        <f>VLOOKUP(C372,'[8]MỦ TẠP'!$D$10:$AM$450,36,0)</f>
        <v>0</v>
      </c>
      <c r="AC372" s="975"/>
      <c r="AD372" s="975"/>
      <c r="AE372" s="975">
        <f>VLOOKUP(C372,'[8]MỦ TẠP'!$D$10:$AM$450,36,0)</f>
        <v>0</v>
      </c>
      <c r="AF372" s="975"/>
      <c r="AG372" s="975"/>
      <c r="AH372" s="975">
        <f>AE372*$AV$9/$AV$8+AF372*$AV$10+$AV$11*AG372</f>
        <v>0</v>
      </c>
      <c r="AI372" s="975">
        <f>VLOOKUP(C372,'[8]CHẤM CÔNG '!$F$10:$AM$451,33,0)</f>
        <v>0</v>
      </c>
      <c r="AJ372" s="975">
        <f>VLOOKUP(C372,'[8]CHẤM CÔNG '!$F$10:$AM$451,34,0)</f>
        <v>0</v>
      </c>
      <c r="AK372" s="975"/>
      <c r="AL372" s="975"/>
      <c r="AM372" s="975"/>
      <c r="AN372" s="975">
        <f>VLOOKUP(C372,'[8]CHẤM CÔNG '!$F$10:$AN$451,35,0)</f>
        <v>0</v>
      </c>
      <c r="AO372" s="975">
        <f>VLOOKUP(C372,'[8]CHẤM CÔNG '!$F$10:$AR$451,36,0)</f>
        <v>0</v>
      </c>
      <c r="AP372" s="975"/>
      <c r="AQ372" s="975"/>
      <c r="AR372" s="975"/>
      <c r="AS372" s="981"/>
      <c r="AT372" s="982">
        <f>VLOOKUP(C372,'[8]MỦ TẠP'!$D$10:$AO$450,38,0)</f>
        <v>0</v>
      </c>
      <c r="AX372" s="944">
        <f t="shared" si="123"/>
        <v>2</v>
      </c>
      <c r="AZ372" s="944">
        <v>1</v>
      </c>
    </row>
    <row r="373" spans="1:52" ht="15.75">
      <c r="A373" s="996">
        <v>71</v>
      </c>
      <c r="B373" s="958" t="e">
        <f>VLOOKUP(C373,'[8]DS CN MOI UP'!$B$10:$C$489,2,0)</f>
        <v>#N/A</v>
      </c>
      <c r="C373" s="1001" t="s">
        <v>276</v>
      </c>
      <c r="D373" s="1002" t="s">
        <v>15</v>
      </c>
      <c r="E373" s="960">
        <v>3</v>
      </c>
      <c r="F373" s="960"/>
      <c r="G373" s="960"/>
      <c r="H373" s="960">
        <v>3</v>
      </c>
      <c r="I373" s="960"/>
      <c r="J373" s="960"/>
      <c r="K373" s="960"/>
      <c r="L373" s="960"/>
      <c r="M373" s="960"/>
      <c r="N373" s="960">
        <f t="shared" si="112"/>
        <v>18</v>
      </c>
      <c r="O373" s="960">
        <f t="shared" si="113"/>
        <v>0</v>
      </c>
      <c r="P373" s="960">
        <f t="shared" si="114"/>
        <v>0</v>
      </c>
      <c r="Q373" s="960">
        <f t="shared" si="115"/>
        <v>12</v>
      </c>
      <c r="R373" s="960">
        <f t="shared" si="116"/>
        <v>0</v>
      </c>
      <c r="S373" s="960">
        <f t="shared" si="117"/>
        <v>0</v>
      </c>
      <c r="T373" s="960">
        <f t="shared" si="118"/>
        <v>0</v>
      </c>
      <c r="U373" s="960">
        <f t="shared" si="119"/>
        <v>0</v>
      </c>
      <c r="V373" s="960">
        <f t="shared" si="120"/>
        <v>0</v>
      </c>
      <c r="W373" s="960"/>
      <c r="X373" s="960"/>
      <c r="Y373" s="960"/>
      <c r="Z373" s="960"/>
      <c r="AA373" s="975">
        <f t="shared" si="121"/>
        <v>30</v>
      </c>
      <c r="AB373" s="975">
        <f>VLOOKUP(C373,'[8]MỦ TẠP'!$D$10:$AM$450,36,0)</f>
        <v>0</v>
      </c>
      <c r="AC373" s="975"/>
      <c r="AD373" s="975"/>
      <c r="AE373" s="975">
        <f>VLOOKUP(C373,'[8]MỦ TẠP'!$D$10:$AM$450,36,0)</f>
        <v>0</v>
      </c>
      <c r="AF373" s="975"/>
      <c r="AG373" s="975"/>
      <c r="AH373" s="975">
        <f>AE373*$AV$9/$AV$8+AF373*$AV$10+$AV$11*AG373</f>
        <v>0</v>
      </c>
      <c r="AI373" s="975">
        <f>VLOOKUP(C373,'[8]CHẤM CÔNG '!$F$10:$AM$451,33,0)</f>
        <v>0</v>
      </c>
      <c r="AJ373" s="975">
        <f>VLOOKUP(C373,'[8]CHẤM CÔNG '!$F$10:$AM$451,34,0)</f>
        <v>0</v>
      </c>
      <c r="AK373" s="975"/>
      <c r="AL373" s="975"/>
      <c r="AM373" s="975"/>
      <c r="AN373" s="975">
        <f>VLOOKUP(C373,'[8]CHẤM CÔNG '!$F$10:$AN$451,35,0)</f>
        <v>0</v>
      </c>
      <c r="AO373" s="975">
        <f>VLOOKUP(C373,'[8]CHẤM CÔNG '!$F$10:$AR$451,36,0)</f>
        <v>0</v>
      </c>
      <c r="AP373" s="975"/>
      <c r="AQ373" s="975"/>
      <c r="AR373" s="975"/>
      <c r="AS373" s="981"/>
      <c r="AT373" s="982">
        <f>VLOOKUP(C373,'[8]MỦ TẠP'!$D$10:$AO$450,38,0)</f>
        <v>0</v>
      </c>
      <c r="AX373" s="944">
        <f t="shared" si="123"/>
        <v>2</v>
      </c>
      <c r="AZ373" s="944">
        <v>1</v>
      </c>
    </row>
    <row r="374" spans="1:52" ht="15.75">
      <c r="A374" s="996">
        <v>72</v>
      </c>
      <c r="B374" s="958" t="str">
        <f>VLOOKUP(C374,'[8]DS CN MOI UP'!$B$10:$C$489,2,0)</f>
        <v>02658</v>
      </c>
      <c r="C374" s="992" t="s">
        <v>278</v>
      </c>
      <c r="D374" s="1002" t="s">
        <v>15</v>
      </c>
      <c r="E374" s="960"/>
      <c r="F374" s="960">
        <v>4</v>
      </c>
      <c r="G374" s="960"/>
      <c r="H374" s="960">
        <v>4</v>
      </c>
      <c r="I374" s="960"/>
      <c r="J374" s="960"/>
      <c r="K374" s="960">
        <v>4</v>
      </c>
      <c r="L374" s="960">
        <v>4</v>
      </c>
      <c r="M374" s="960"/>
      <c r="N374" s="960">
        <f t="shared" si="112"/>
        <v>0</v>
      </c>
      <c r="O374" s="960">
        <f t="shared" si="113"/>
        <v>25.6</v>
      </c>
      <c r="P374" s="960">
        <f t="shared" si="114"/>
        <v>0</v>
      </c>
      <c r="Q374" s="960">
        <f t="shared" si="115"/>
        <v>16</v>
      </c>
      <c r="R374" s="960">
        <f t="shared" si="116"/>
        <v>0</v>
      </c>
      <c r="S374" s="960">
        <f t="shared" si="117"/>
        <v>0</v>
      </c>
      <c r="T374" s="960">
        <f t="shared" si="118"/>
        <v>4</v>
      </c>
      <c r="U374" s="960">
        <f t="shared" si="119"/>
        <v>4</v>
      </c>
      <c r="V374" s="960">
        <f t="shared" si="120"/>
        <v>0</v>
      </c>
      <c r="W374" s="960"/>
      <c r="X374" s="960"/>
      <c r="Y374" s="960"/>
      <c r="Z374" s="960"/>
      <c r="AA374" s="975">
        <f t="shared" si="121"/>
        <v>49.6</v>
      </c>
      <c r="AB374" s="975">
        <f>VLOOKUP(C374,'[8]MỦ TẠP'!$D$10:$AM$450,36,0)</f>
        <v>0</v>
      </c>
      <c r="AC374" s="975"/>
      <c r="AD374" s="975"/>
      <c r="AE374" s="975">
        <f>VLOOKUP(C374,'[8]MỦ TẠP'!$D$10:$AM$450,36,0)</f>
        <v>0</v>
      </c>
      <c r="AF374" s="975"/>
      <c r="AG374" s="975"/>
      <c r="AH374" s="975">
        <f t="shared" ref="AH374:AH380" si="124">AE374*$AV$21+AF374*$AV$10+$AV$11*AG374</f>
        <v>0</v>
      </c>
      <c r="AI374" s="975">
        <f>VLOOKUP(C374,'[8]CHẤM CÔNG '!$F$10:$AM$451,33,0)</f>
        <v>0</v>
      </c>
      <c r="AJ374" s="975">
        <f>VLOOKUP(C374,'[8]CHẤM CÔNG '!$F$10:$AM$451,34,0)</f>
        <v>0</v>
      </c>
      <c r="AK374" s="975"/>
      <c r="AL374" s="975"/>
      <c r="AM374" s="975"/>
      <c r="AN374" s="975">
        <f>VLOOKUP(C374,'[8]CHẤM CÔNG '!$F$10:$AN$451,35,0)</f>
        <v>0</v>
      </c>
      <c r="AO374" s="975">
        <f>VLOOKUP(C374,'[8]CHẤM CÔNG '!$F$10:$AR$451,36,0)</f>
        <v>0</v>
      </c>
      <c r="AP374" s="975"/>
      <c r="AQ374" s="975"/>
      <c r="AR374" s="975"/>
      <c r="AS374" s="981"/>
      <c r="AT374" s="982">
        <f>VLOOKUP(C374,'[8]MỦ TẠP'!$D$10:$AO$450,38,0)</f>
        <v>0</v>
      </c>
      <c r="AX374" s="944">
        <v>4</v>
      </c>
    </row>
    <row r="375" spans="1:52" ht="15.75">
      <c r="A375" s="996">
        <v>73</v>
      </c>
      <c r="B375" s="958" t="str">
        <f>VLOOKUP(C375,'[8]DS CN MOI UP'!$B$10:$C$489,2,0)</f>
        <v>02705</v>
      </c>
      <c r="C375" s="992" t="s">
        <v>279</v>
      </c>
      <c r="D375" s="1002" t="s">
        <v>15</v>
      </c>
      <c r="E375" s="960"/>
      <c r="F375" s="960">
        <v>4</v>
      </c>
      <c r="G375" s="960"/>
      <c r="H375" s="960">
        <v>4</v>
      </c>
      <c r="I375" s="960"/>
      <c r="J375" s="960"/>
      <c r="K375" s="960">
        <v>4</v>
      </c>
      <c r="L375" s="960">
        <v>4</v>
      </c>
      <c r="M375" s="960"/>
      <c r="N375" s="960">
        <f t="shared" si="112"/>
        <v>0</v>
      </c>
      <c r="O375" s="960">
        <f t="shared" si="113"/>
        <v>25.6</v>
      </c>
      <c r="P375" s="960">
        <f t="shared" si="114"/>
        <v>0</v>
      </c>
      <c r="Q375" s="960">
        <f t="shared" si="115"/>
        <v>16</v>
      </c>
      <c r="R375" s="960">
        <f t="shared" si="116"/>
        <v>0</v>
      </c>
      <c r="S375" s="960">
        <f t="shared" si="117"/>
        <v>0</v>
      </c>
      <c r="T375" s="960">
        <f t="shared" si="118"/>
        <v>4</v>
      </c>
      <c r="U375" s="960">
        <f t="shared" si="119"/>
        <v>4</v>
      </c>
      <c r="V375" s="960">
        <f t="shared" si="120"/>
        <v>0</v>
      </c>
      <c r="W375" s="960"/>
      <c r="X375" s="960"/>
      <c r="Y375" s="960"/>
      <c r="Z375" s="960"/>
      <c r="AA375" s="975">
        <f t="shared" si="121"/>
        <v>49.6</v>
      </c>
      <c r="AB375" s="975">
        <f>VLOOKUP(C375,'[8]MỦ TẠP'!$D$10:$AM$450,36,0)</f>
        <v>0</v>
      </c>
      <c r="AC375" s="975"/>
      <c r="AD375" s="975"/>
      <c r="AE375" s="975">
        <f>VLOOKUP(C375,'[8]MỦ TẠP'!$D$10:$AM$450,36,0)</f>
        <v>0</v>
      </c>
      <c r="AF375" s="975"/>
      <c r="AG375" s="975"/>
      <c r="AH375" s="975">
        <f t="shared" si="124"/>
        <v>0</v>
      </c>
      <c r="AI375" s="975">
        <f>VLOOKUP(C375,'[8]CHẤM CÔNG '!$F$10:$AM$451,33,0)</f>
        <v>0</v>
      </c>
      <c r="AJ375" s="975">
        <f>VLOOKUP(C375,'[8]CHẤM CÔNG '!$F$10:$AM$451,34,0)</f>
        <v>0</v>
      </c>
      <c r="AK375" s="975"/>
      <c r="AL375" s="975"/>
      <c r="AM375" s="975"/>
      <c r="AN375" s="975">
        <f>VLOOKUP(C375,'[8]CHẤM CÔNG '!$F$10:$AN$451,35,0)</f>
        <v>0</v>
      </c>
      <c r="AO375" s="975">
        <f>VLOOKUP(C375,'[8]CHẤM CÔNG '!$F$10:$AR$451,36,0)</f>
        <v>0</v>
      </c>
      <c r="AP375" s="975"/>
      <c r="AQ375" s="975"/>
      <c r="AR375" s="975"/>
      <c r="AS375" s="981"/>
      <c r="AT375" s="982">
        <f>VLOOKUP(C375,'[8]MỦ TẠP'!$D$10:$AO$450,38,0)</f>
        <v>0</v>
      </c>
      <c r="AX375" s="944">
        <v>4</v>
      </c>
    </row>
    <row r="376" spans="1:52" ht="15.75">
      <c r="A376" s="996">
        <v>74</v>
      </c>
      <c r="B376" s="958" t="str">
        <f>VLOOKUP(C376,'[8]DS CN MOI UP'!$B$10:$C$489,2,0)</f>
        <v>02659</v>
      </c>
      <c r="C376" s="992" t="s">
        <v>280</v>
      </c>
      <c r="D376" s="1002" t="s">
        <v>15</v>
      </c>
      <c r="E376" s="960"/>
      <c r="F376" s="960">
        <v>4</v>
      </c>
      <c r="G376" s="960"/>
      <c r="H376" s="960">
        <v>4</v>
      </c>
      <c r="I376" s="960"/>
      <c r="J376" s="960"/>
      <c r="K376" s="960">
        <v>4</v>
      </c>
      <c r="L376" s="960">
        <v>4</v>
      </c>
      <c r="M376" s="960"/>
      <c r="N376" s="960">
        <f t="shared" si="112"/>
        <v>0</v>
      </c>
      <c r="O376" s="960">
        <f t="shared" si="113"/>
        <v>25.6</v>
      </c>
      <c r="P376" s="960">
        <f t="shared" si="114"/>
        <v>0</v>
      </c>
      <c r="Q376" s="960">
        <f t="shared" si="115"/>
        <v>16</v>
      </c>
      <c r="R376" s="960">
        <f t="shared" si="116"/>
        <v>0</v>
      </c>
      <c r="S376" s="960">
        <f t="shared" si="117"/>
        <v>0</v>
      </c>
      <c r="T376" s="960">
        <f t="shared" si="118"/>
        <v>4</v>
      </c>
      <c r="U376" s="960">
        <f t="shared" si="119"/>
        <v>4</v>
      </c>
      <c r="V376" s="960">
        <f t="shared" si="120"/>
        <v>0</v>
      </c>
      <c r="W376" s="960"/>
      <c r="X376" s="960"/>
      <c r="Y376" s="960"/>
      <c r="Z376" s="960"/>
      <c r="AA376" s="975">
        <f t="shared" si="121"/>
        <v>49.6</v>
      </c>
      <c r="AB376" s="975">
        <f>VLOOKUP(C376,'[8]MỦ TẠP'!$D$10:$AM$450,36,0)</f>
        <v>0</v>
      </c>
      <c r="AC376" s="975"/>
      <c r="AD376" s="975"/>
      <c r="AE376" s="975">
        <f>VLOOKUP(C376,'[8]MỦ TẠP'!$D$10:$AM$450,36,0)</f>
        <v>0</v>
      </c>
      <c r="AF376" s="975"/>
      <c r="AG376" s="975"/>
      <c r="AH376" s="975">
        <f t="shared" si="124"/>
        <v>0</v>
      </c>
      <c r="AI376" s="975">
        <f>VLOOKUP(C376,'[8]CHẤM CÔNG '!$F$10:$AM$451,33,0)</f>
        <v>0</v>
      </c>
      <c r="AJ376" s="975">
        <f>VLOOKUP(C376,'[8]CHẤM CÔNG '!$F$10:$AM$451,34,0)</f>
        <v>0</v>
      </c>
      <c r="AK376" s="975"/>
      <c r="AL376" s="975"/>
      <c r="AM376" s="975"/>
      <c r="AN376" s="975">
        <f>VLOOKUP(C376,'[8]CHẤM CÔNG '!$F$10:$AN$451,35,0)</f>
        <v>0</v>
      </c>
      <c r="AO376" s="975">
        <f>VLOOKUP(C376,'[8]CHẤM CÔNG '!$F$10:$AR$451,36,0)</f>
        <v>0</v>
      </c>
      <c r="AP376" s="975"/>
      <c r="AQ376" s="975"/>
      <c r="AR376" s="975"/>
      <c r="AS376" s="981"/>
      <c r="AT376" s="982">
        <f>VLOOKUP(C376,'[8]MỦ TẠP'!$D$10:$AO$450,38,0)</f>
        <v>0</v>
      </c>
      <c r="AX376" s="944">
        <v>4</v>
      </c>
    </row>
    <row r="377" spans="1:52" ht="15.75">
      <c r="A377" s="996">
        <v>75</v>
      </c>
      <c r="B377" s="958" t="str">
        <f>VLOOKUP(C377,'[8]DS CN MOI UP'!$B$10:$C$489,2,0)</f>
        <v>02660</v>
      </c>
      <c r="C377" s="992" t="s">
        <v>281</v>
      </c>
      <c r="D377" s="1002" t="s">
        <v>15</v>
      </c>
      <c r="E377" s="960"/>
      <c r="F377" s="960">
        <v>4</v>
      </c>
      <c r="G377" s="960"/>
      <c r="H377" s="960">
        <v>4</v>
      </c>
      <c r="I377" s="960"/>
      <c r="J377" s="960"/>
      <c r="K377" s="960">
        <v>4</v>
      </c>
      <c r="L377" s="960">
        <v>4</v>
      </c>
      <c r="M377" s="960"/>
      <c r="N377" s="960">
        <f t="shared" si="112"/>
        <v>0</v>
      </c>
      <c r="O377" s="960">
        <f t="shared" si="113"/>
        <v>25.6</v>
      </c>
      <c r="P377" s="960">
        <f t="shared" si="114"/>
        <v>0</v>
      </c>
      <c r="Q377" s="960">
        <f t="shared" si="115"/>
        <v>16</v>
      </c>
      <c r="R377" s="960">
        <f t="shared" si="116"/>
        <v>0</v>
      </c>
      <c r="S377" s="960">
        <f t="shared" si="117"/>
        <v>0</v>
      </c>
      <c r="T377" s="960">
        <f t="shared" si="118"/>
        <v>4</v>
      </c>
      <c r="U377" s="960">
        <f t="shared" si="119"/>
        <v>4</v>
      </c>
      <c r="V377" s="960">
        <f t="shared" si="120"/>
        <v>0</v>
      </c>
      <c r="W377" s="960"/>
      <c r="X377" s="960"/>
      <c r="Y377" s="960"/>
      <c r="Z377" s="960"/>
      <c r="AA377" s="975">
        <f t="shared" si="121"/>
        <v>49.6</v>
      </c>
      <c r="AB377" s="975">
        <f>VLOOKUP(C377,'[8]MỦ TẠP'!$D$10:$AM$450,36,0)</f>
        <v>0</v>
      </c>
      <c r="AC377" s="975"/>
      <c r="AD377" s="975"/>
      <c r="AE377" s="975">
        <f>VLOOKUP(C377,'[8]MỦ TẠP'!$D$10:$AM$450,36,0)</f>
        <v>0</v>
      </c>
      <c r="AF377" s="975"/>
      <c r="AG377" s="975"/>
      <c r="AH377" s="975">
        <f t="shared" si="124"/>
        <v>0</v>
      </c>
      <c r="AI377" s="975">
        <f>VLOOKUP(C377,'[8]CHẤM CÔNG '!$F$10:$AM$451,33,0)</f>
        <v>0</v>
      </c>
      <c r="AJ377" s="975">
        <f>VLOOKUP(C377,'[8]CHẤM CÔNG '!$F$10:$AM$451,34,0)</f>
        <v>0</v>
      </c>
      <c r="AK377" s="975"/>
      <c r="AL377" s="975"/>
      <c r="AM377" s="975"/>
      <c r="AN377" s="975">
        <f>VLOOKUP(C377,'[8]CHẤM CÔNG '!$F$10:$AN$451,35,0)</f>
        <v>0</v>
      </c>
      <c r="AO377" s="975">
        <f>VLOOKUP(C377,'[8]CHẤM CÔNG '!$F$10:$AR$451,36,0)</f>
        <v>0</v>
      </c>
      <c r="AP377" s="975"/>
      <c r="AQ377" s="975"/>
      <c r="AR377" s="975"/>
      <c r="AS377" s="981"/>
      <c r="AT377" s="982">
        <f>VLOOKUP(C377,'[8]MỦ TẠP'!$D$10:$AO$450,38,0)</f>
        <v>0</v>
      </c>
      <c r="AX377" s="944">
        <v>4</v>
      </c>
    </row>
    <row r="378" spans="1:52" ht="15.75">
      <c r="A378" s="996">
        <v>76</v>
      </c>
      <c r="B378" s="958" t="str">
        <f>VLOOKUP(C378,'[8]DS CN MOI UP'!$B$10:$C$489,2,0)</f>
        <v>02662</v>
      </c>
      <c r="C378" s="992" t="s">
        <v>282</v>
      </c>
      <c r="D378" s="1002" t="s">
        <v>15</v>
      </c>
      <c r="E378" s="960"/>
      <c r="F378" s="960">
        <v>4</v>
      </c>
      <c r="G378" s="960"/>
      <c r="H378" s="960">
        <v>4</v>
      </c>
      <c r="I378" s="960"/>
      <c r="J378" s="960"/>
      <c r="K378" s="960">
        <v>4</v>
      </c>
      <c r="L378" s="960">
        <v>4</v>
      </c>
      <c r="M378" s="960"/>
      <c r="N378" s="960">
        <f t="shared" si="112"/>
        <v>0</v>
      </c>
      <c r="O378" s="960">
        <f t="shared" si="113"/>
        <v>25.6</v>
      </c>
      <c r="P378" s="960">
        <f t="shared" si="114"/>
        <v>0</v>
      </c>
      <c r="Q378" s="960">
        <f t="shared" si="115"/>
        <v>16</v>
      </c>
      <c r="R378" s="960">
        <f t="shared" si="116"/>
        <v>0</v>
      </c>
      <c r="S378" s="960">
        <f t="shared" si="117"/>
        <v>0</v>
      </c>
      <c r="T378" s="960">
        <f t="shared" si="118"/>
        <v>4</v>
      </c>
      <c r="U378" s="960">
        <f t="shared" si="119"/>
        <v>4</v>
      </c>
      <c r="V378" s="960">
        <f t="shared" si="120"/>
        <v>0</v>
      </c>
      <c r="W378" s="960"/>
      <c r="X378" s="960"/>
      <c r="Y378" s="960"/>
      <c r="Z378" s="960"/>
      <c r="AA378" s="975">
        <f t="shared" si="121"/>
        <v>49.6</v>
      </c>
      <c r="AB378" s="975">
        <f>VLOOKUP(C378,'[8]MỦ TẠP'!$D$10:$AM$450,36,0)</f>
        <v>0</v>
      </c>
      <c r="AC378" s="975"/>
      <c r="AD378" s="975"/>
      <c r="AE378" s="975">
        <f>VLOOKUP(C378,'[8]MỦ TẠP'!$D$10:$AM$450,36,0)</f>
        <v>0</v>
      </c>
      <c r="AF378" s="975"/>
      <c r="AG378" s="975"/>
      <c r="AH378" s="975">
        <f t="shared" si="124"/>
        <v>0</v>
      </c>
      <c r="AI378" s="975">
        <f>VLOOKUP(C378,'[8]CHẤM CÔNG '!$F$10:$AM$451,33,0)</f>
        <v>0</v>
      </c>
      <c r="AJ378" s="975">
        <f>VLOOKUP(C378,'[8]CHẤM CÔNG '!$F$10:$AM$451,34,0)</f>
        <v>0</v>
      </c>
      <c r="AK378" s="975"/>
      <c r="AL378" s="975"/>
      <c r="AM378" s="975"/>
      <c r="AN378" s="975">
        <f>VLOOKUP(C378,'[8]CHẤM CÔNG '!$F$10:$AN$451,35,0)</f>
        <v>0</v>
      </c>
      <c r="AO378" s="975">
        <f>VLOOKUP(C378,'[8]CHẤM CÔNG '!$F$10:$AR$451,36,0)</f>
        <v>0</v>
      </c>
      <c r="AP378" s="975"/>
      <c r="AQ378" s="975"/>
      <c r="AR378" s="975"/>
      <c r="AS378" s="981"/>
      <c r="AT378" s="982">
        <f>VLOOKUP(C378,'[8]MỦ TẠP'!$D$10:$AO$450,38,0)</f>
        <v>0</v>
      </c>
      <c r="AX378" s="944">
        <v>4</v>
      </c>
    </row>
    <row r="379" spans="1:52" ht="15.75">
      <c r="A379" s="996">
        <v>77</v>
      </c>
      <c r="B379" s="958" t="str">
        <f>VLOOKUP(C379,'[8]DS CN MOI UP'!$B$10:$C$489,2,0)</f>
        <v>02657</v>
      </c>
      <c r="C379" s="992" t="s">
        <v>283</v>
      </c>
      <c r="D379" s="1002" t="s">
        <v>15</v>
      </c>
      <c r="E379" s="960"/>
      <c r="F379" s="960">
        <v>4</v>
      </c>
      <c r="G379" s="960"/>
      <c r="H379" s="960">
        <v>4</v>
      </c>
      <c r="I379" s="960"/>
      <c r="J379" s="960"/>
      <c r="K379" s="960">
        <v>4</v>
      </c>
      <c r="L379" s="960">
        <v>4</v>
      </c>
      <c r="M379" s="960"/>
      <c r="N379" s="960">
        <f t="shared" si="112"/>
        <v>0</v>
      </c>
      <c r="O379" s="960">
        <f t="shared" si="113"/>
        <v>25.6</v>
      </c>
      <c r="P379" s="960">
        <f t="shared" si="114"/>
        <v>0</v>
      </c>
      <c r="Q379" s="960">
        <f t="shared" si="115"/>
        <v>16</v>
      </c>
      <c r="R379" s="960">
        <f t="shared" si="116"/>
        <v>0</v>
      </c>
      <c r="S379" s="960">
        <f t="shared" si="117"/>
        <v>0</v>
      </c>
      <c r="T379" s="960">
        <f t="shared" si="118"/>
        <v>4</v>
      </c>
      <c r="U379" s="960">
        <f t="shared" si="119"/>
        <v>4</v>
      </c>
      <c r="V379" s="960">
        <f t="shared" si="120"/>
        <v>0</v>
      </c>
      <c r="W379" s="960"/>
      <c r="X379" s="960"/>
      <c r="Y379" s="960"/>
      <c r="Z379" s="960"/>
      <c r="AA379" s="975">
        <f t="shared" si="121"/>
        <v>49.6</v>
      </c>
      <c r="AB379" s="975">
        <f>VLOOKUP(C379,'[8]MỦ TẠP'!$D$10:$AM$450,36,0)</f>
        <v>0</v>
      </c>
      <c r="AC379" s="975"/>
      <c r="AD379" s="975"/>
      <c r="AE379" s="975">
        <f>VLOOKUP(C379,'[8]MỦ TẠP'!$D$10:$AM$450,36,0)</f>
        <v>0</v>
      </c>
      <c r="AF379" s="975"/>
      <c r="AG379" s="975"/>
      <c r="AH379" s="975">
        <f t="shared" si="124"/>
        <v>0</v>
      </c>
      <c r="AI379" s="975">
        <f>VLOOKUP(C379,'[8]CHẤM CÔNG '!$F$10:$AM$451,33,0)</f>
        <v>0</v>
      </c>
      <c r="AJ379" s="975">
        <f>VLOOKUP(C379,'[8]CHẤM CÔNG '!$F$10:$AM$451,34,0)</f>
        <v>0</v>
      </c>
      <c r="AK379" s="975"/>
      <c r="AL379" s="975"/>
      <c r="AM379" s="975"/>
      <c r="AN379" s="975">
        <f>VLOOKUP(C379,'[8]CHẤM CÔNG '!$F$10:$AN$451,35,0)</f>
        <v>0</v>
      </c>
      <c r="AO379" s="975">
        <f>VLOOKUP(C379,'[8]CHẤM CÔNG '!$F$10:$AR$451,36,0)</f>
        <v>0</v>
      </c>
      <c r="AP379" s="975"/>
      <c r="AQ379" s="975"/>
      <c r="AR379" s="975"/>
      <c r="AS379" s="981"/>
      <c r="AT379" s="982">
        <f>VLOOKUP(C379,'[8]MỦ TẠP'!$D$10:$AO$450,38,0)</f>
        <v>0</v>
      </c>
      <c r="AX379" s="944">
        <v>4</v>
      </c>
    </row>
    <row r="380" spans="1:52" ht="15.75">
      <c r="A380" s="996">
        <v>78</v>
      </c>
      <c r="B380" s="958" t="str">
        <f>VLOOKUP(C380,'[8]DS CN MOI UP'!$B$10:$C$489,2,0)</f>
        <v>02661</v>
      </c>
      <c r="C380" s="992" t="s">
        <v>284</v>
      </c>
      <c r="D380" s="1002" t="s">
        <v>15</v>
      </c>
      <c r="E380" s="960"/>
      <c r="F380" s="960">
        <v>4</v>
      </c>
      <c r="G380" s="960"/>
      <c r="H380" s="960">
        <v>4</v>
      </c>
      <c r="I380" s="960"/>
      <c r="J380" s="960"/>
      <c r="K380" s="960">
        <v>4</v>
      </c>
      <c r="L380" s="960">
        <v>4</v>
      </c>
      <c r="M380" s="960"/>
      <c r="N380" s="960">
        <f t="shared" si="112"/>
        <v>0</v>
      </c>
      <c r="O380" s="960">
        <f t="shared" si="113"/>
        <v>25.6</v>
      </c>
      <c r="P380" s="960">
        <f t="shared" si="114"/>
        <v>0</v>
      </c>
      <c r="Q380" s="960">
        <f t="shared" si="115"/>
        <v>16</v>
      </c>
      <c r="R380" s="960">
        <f t="shared" si="116"/>
        <v>0</v>
      </c>
      <c r="S380" s="960">
        <f t="shared" si="117"/>
        <v>0</v>
      </c>
      <c r="T380" s="960">
        <f t="shared" si="118"/>
        <v>4</v>
      </c>
      <c r="U380" s="960">
        <f t="shared" si="119"/>
        <v>4</v>
      </c>
      <c r="V380" s="960">
        <f t="shared" si="120"/>
        <v>0</v>
      </c>
      <c r="W380" s="960"/>
      <c r="X380" s="960"/>
      <c r="Y380" s="960"/>
      <c r="Z380" s="960"/>
      <c r="AA380" s="975">
        <f t="shared" si="121"/>
        <v>49.6</v>
      </c>
      <c r="AB380" s="975">
        <f>VLOOKUP(C380,'[8]MỦ TẠP'!$D$10:$AM$450,36,0)</f>
        <v>0</v>
      </c>
      <c r="AC380" s="975"/>
      <c r="AD380" s="975"/>
      <c r="AE380" s="975">
        <f>VLOOKUP(C380,'[8]MỦ TẠP'!$D$10:$AM$450,36,0)</f>
        <v>0</v>
      </c>
      <c r="AF380" s="975"/>
      <c r="AG380" s="975"/>
      <c r="AH380" s="975">
        <f t="shared" si="124"/>
        <v>0</v>
      </c>
      <c r="AI380" s="975">
        <f>VLOOKUP(C380,'[8]CHẤM CÔNG '!$F$10:$AM$451,33,0)</f>
        <v>0</v>
      </c>
      <c r="AJ380" s="975">
        <f>VLOOKUP(C380,'[8]CHẤM CÔNG '!$F$10:$AM$451,34,0)</f>
        <v>0</v>
      </c>
      <c r="AK380" s="975"/>
      <c r="AL380" s="975"/>
      <c r="AM380" s="975"/>
      <c r="AN380" s="975">
        <f>VLOOKUP(C380,'[8]CHẤM CÔNG '!$F$10:$AN$451,35,0)</f>
        <v>0</v>
      </c>
      <c r="AO380" s="975">
        <f>VLOOKUP(C380,'[8]CHẤM CÔNG '!$F$10:$AR$451,36,0)</f>
        <v>0</v>
      </c>
      <c r="AP380" s="975"/>
      <c r="AQ380" s="975"/>
      <c r="AR380" s="975"/>
      <c r="AS380" s="981"/>
      <c r="AT380" s="982">
        <f>VLOOKUP(C380,'[8]MỦ TẠP'!$D$10:$AO$450,38,0)</f>
        <v>0</v>
      </c>
      <c r="AX380" s="944">
        <v>4</v>
      </c>
    </row>
    <row r="381" spans="1:52" s="943" customFormat="1">
      <c r="A381" s="954" t="s">
        <v>285</v>
      </c>
      <c r="B381" s="958"/>
      <c r="C381" s="955"/>
      <c r="D381" s="956"/>
      <c r="E381" s="1003">
        <f t="shared" ref="E381:Z381" si="125">SUM(E382:E444)</f>
        <v>252</v>
      </c>
      <c r="F381" s="1003">
        <f t="shared" si="125"/>
        <v>0</v>
      </c>
      <c r="G381" s="1003">
        <f t="shared" si="125"/>
        <v>0</v>
      </c>
      <c r="H381" s="1003">
        <f t="shared" si="125"/>
        <v>252</v>
      </c>
      <c r="I381" s="1003">
        <f t="shared" si="125"/>
        <v>0</v>
      </c>
      <c r="J381" s="1003">
        <f t="shared" si="125"/>
        <v>236</v>
      </c>
      <c r="K381" s="1003">
        <f t="shared" si="125"/>
        <v>236</v>
      </c>
      <c r="L381" s="1003">
        <f t="shared" si="125"/>
        <v>236</v>
      </c>
      <c r="M381" s="1003">
        <f t="shared" si="125"/>
        <v>0</v>
      </c>
      <c r="N381" s="1003">
        <f t="shared" si="125"/>
        <v>1512</v>
      </c>
      <c r="O381" s="1003">
        <f t="shared" si="125"/>
        <v>0</v>
      </c>
      <c r="P381" s="1003">
        <f t="shared" si="125"/>
        <v>0</v>
      </c>
      <c r="Q381" s="1003">
        <f t="shared" si="125"/>
        <v>1008</v>
      </c>
      <c r="R381" s="1003">
        <f t="shared" si="125"/>
        <v>0</v>
      </c>
      <c r="S381" s="1003">
        <f t="shared" si="125"/>
        <v>472</v>
      </c>
      <c r="T381" s="1003">
        <f t="shared" si="125"/>
        <v>236</v>
      </c>
      <c r="U381" s="1003">
        <f t="shared" si="125"/>
        <v>236</v>
      </c>
      <c r="V381" s="1003">
        <f t="shared" si="125"/>
        <v>0</v>
      </c>
      <c r="W381" s="1003">
        <f t="shared" si="125"/>
        <v>0</v>
      </c>
      <c r="X381" s="1003">
        <f t="shared" si="125"/>
        <v>0</v>
      </c>
      <c r="Y381" s="1003">
        <f t="shared" si="125"/>
        <v>0</v>
      </c>
      <c r="Z381" s="1003">
        <f t="shared" si="125"/>
        <v>0</v>
      </c>
      <c r="AA381" s="1003">
        <f>+SUM(AA382:AA444)</f>
        <v>3464</v>
      </c>
      <c r="AB381" s="1003" t="e">
        <f>+SUM(AB382:AB444)</f>
        <v>#N/A</v>
      </c>
      <c r="AC381" s="1003">
        <f>+SUM(AC382:AC444)</f>
        <v>0</v>
      </c>
      <c r="AD381" s="1003">
        <f>+SUM(AD382:AD444)</f>
        <v>0</v>
      </c>
      <c r="AE381" s="1003" t="e">
        <f>+SUM(AE382:AE444)</f>
        <v>#N/A</v>
      </c>
      <c r="AF381" s="1003"/>
      <c r="AG381" s="1003">
        <f>+SUM(AG382:AG444)</f>
        <v>0</v>
      </c>
      <c r="AH381" s="1003" t="e">
        <f>+SUM(AH382:AH444)</f>
        <v>#N/A</v>
      </c>
      <c r="AI381" s="1003" t="e">
        <f>+SUM(AI382:AI444)</f>
        <v>#N/A</v>
      </c>
      <c r="AJ381" s="1003" t="e">
        <f>+SUM(AJ382:AJ444)</f>
        <v>#N/A</v>
      </c>
      <c r="AK381" s="1003">
        <f>+SUM(AK382:AK444)</f>
        <v>0</v>
      </c>
      <c r="AL381" s="1003"/>
      <c r="AM381" s="1003">
        <f t="shared" ref="AM381:AS381" si="126">+SUM(AM382:AM444)</f>
        <v>0</v>
      </c>
      <c r="AN381" s="1003" t="e">
        <f t="shared" si="126"/>
        <v>#N/A</v>
      </c>
      <c r="AO381" s="1003" t="e">
        <f t="shared" si="126"/>
        <v>#N/A</v>
      </c>
      <c r="AP381" s="1003">
        <f t="shared" si="126"/>
        <v>0</v>
      </c>
      <c r="AQ381" s="1003">
        <f t="shared" si="126"/>
        <v>0</v>
      </c>
      <c r="AR381" s="1003">
        <f t="shared" si="126"/>
        <v>0</v>
      </c>
      <c r="AS381" s="1003">
        <f t="shared" si="126"/>
        <v>0</v>
      </c>
      <c r="AT381" s="982"/>
      <c r="AX381" s="986"/>
      <c r="AY381" s="986"/>
      <c r="AZ381" s="986"/>
    </row>
    <row r="382" spans="1:52" ht="15.75">
      <c r="A382" s="957">
        <v>1</v>
      </c>
      <c r="B382" s="958" t="e">
        <f>VLOOKUP(C382,'[8]DS CN MOI UP'!$B$10:$C$489,2,0)</f>
        <v>#N/A</v>
      </c>
      <c r="C382" s="992" t="s">
        <v>286</v>
      </c>
      <c r="D382" s="957" t="s">
        <v>15</v>
      </c>
      <c r="E382" s="960">
        <v>4</v>
      </c>
      <c r="F382" s="960"/>
      <c r="G382" s="960"/>
      <c r="H382" s="960">
        <v>4</v>
      </c>
      <c r="I382" s="960"/>
      <c r="J382" s="960">
        <v>4</v>
      </c>
      <c r="K382" s="960">
        <v>4</v>
      </c>
      <c r="L382" s="960">
        <v>4</v>
      </c>
      <c r="M382" s="960"/>
      <c r="N382" s="960">
        <f t="shared" ref="N382:N444" si="127">E382/$N$8</f>
        <v>24</v>
      </c>
      <c r="O382" s="960">
        <f t="shared" ref="O382:O444" si="128">F382/$O$8</f>
        <v>0</v>
      </c>
      <c r="P382" s="960">
        <f t="shared" ref="P382:P444" si="129">G382/$P$8</f>
        <v>0</v>
      </c>
      <c r="Q382" s="960">
        <f t="shared" ref="Q382:Q444" si="130">H382/$Q$8</f>
        <v>16</v>
      </c>
      <c r="R382" s="960">
        <f t="shared" ref="R382:R444" si="131">I382/$R$8</f>
        <v>0</v>
      </c>
      <c r="S382" s="960">
        <f t="shared" ref="S382:S444" si="132">J382/$S$8</f>
        <v>8</v>
      </c>
      <c r="T382" s="960">
        <f t="shared" ref="T382:T444" si="133">K382/$T$8</f>
        <v>4</v>
      </c>
      <c r="U382" s="960">
        <f t="shared" ref="U382:U444" si="134">L382/$U$8</f>
        <v>4</v>
      </c>
      <c r="V382" s="960">
        <f t="shared" ref="V382:V444" si="135">M382/$V$8</f>
        <v>0</v>
      </c>
      <c r="W382" s="960"/>
      <c r="X382" s="960"/>
      <c r="Y382" s="960"/>
      <c r="Z382" s="960"/>
      <c r="AA382" s="975">
        <f>SUM(N382:Z382)</f>
        <v>56</v>
      </c>
      <c r="AB382" s="975">
        <f>VLOOKUP(C382,'[8]MỦ TẠP'!$D$10:$AM$450,36,0)</f>
        <v>0</v>
      </c>
      <c r="AC382" s="975"/>
      <c r="AD382" s="975"/>
      <c r="AE382" s="976">
        <f t="shared" ref="AE382:AE444" si="136">SUM(AB382:AD382)</f>
        <v>0</v>
      </c>
      <c r="AF382" s="975"/>
      <c r="AG382" s="975"/>
      <c r="AH382" s="975">
        <f t="shared" ref="AH382:AH444" si="137">AE382*$AV$18+AF382*$AV$10+$AV$11*AG382</f>
        <v>0</v>
      </c>
      <c r="AI382" s="975">
        <f>VLOOKUP(C382,'[8]CHẤM CÔNG '!$F$10:$AM$451,33,0)</f>
        <v>0</v>
      </c>
      <c r="AJ382" s="975">
        <f>VLOOKUP(C382,'[8]CHẤM CÔNG '!$F$10:$AM$451,34,0)</f>
        <v>0</v>
      </c>
      <c r="AK382" s="975"/>
      <c r="AL382" s="975"/>
      <c r="AM382" s="975"/>
      <c r="AN382" s="975">
        <f>VLOOKUP(C382,'[8]CHẤM CÔNG '!$F$10:$AN$451,35,0)</f>
        <v>0</v>
      </c>
      <c r="AO382" s="975">
        <f>VLOOKUP(C382,'[8]CHẤM CÔNG '!$F$10:$AR$451,36,0)</f>
        <v>0</v>
      </c>
      <c r="AP382" s="975"/>
      <c r="AQ382" s="975"/>
      <c r="AR382" s="975"/>
      <c r="AS382" s="981"/>
      <c r="AT382" s="982">
        <f>VLOOKUP(C382,'[8]MỦ TẠP'!$D$10:$AO$450,38,0)</f>
        <v>0</v>
      </c>
    </row>
    <row r="383" spans="1:52" ht="15.75">
      <c r="A383" s="957">
        <v>2</v>
      </c>
      <c r="B383" s="958" t="str">
        <f>VLOOKUP(C383,'[8]DS CN MOI UP'!$B$10:$C$489,2,0)</f>
        <v>02637</v>
      </c>
      <c r="C383" s="992" t="s">
        <v>287</v>
      </c>
      <c r="D383" s="957" t="s">
        <v>15</v>
      </c>
      <c r="E383" s="960">
        <v>4</v>
      </c>
      <c r="F383" s="960"/>
      <c r="G383" s="960"/>
      <c r="H383" s="960">
        <v>4</v>
      </c>
      <c r="I383" s="960"/>
      <c r="J383" s="960">
        <v>4</v>
      </c>
      <c r="K383" s="960">
        <v>4</v>
      </c>
      <c r="L383" s="960">
        <v>4</v>
      </c>
      <c r="M383" s="960"/>
      <c r="N383" s="960">
        <f t="shared" si="127"/>
        <v>24</v>
      </c>
      <c r="O383" s="960">
        <f t="shared" si="128"/>
        <v>0</v>
      </c>
      <c r="P383" s="960">
        <f t="shared" si="129"/>
        <v>0</v>
      </c>
      <c r="Q383" s="960">
        <f t="shared" si="130"/>
        <v>16</v>
      </c>
      <c r="R383" s="960">
        <f t="shared" si="131"/>
        <v>0</v>
      </c>
      <c r="S383" s="960">
        <f t="shared" si="132"/>
        <v>8</v>
      </c>
      <c r="T383" s="960">
        <f t="shared" si="133"/>
        <v>4</v>
      </c>
      <c r="U383" s="960">
        <f t="shared" si="134"/>
        <v>4</v>
      </c>
      <c r="V383" s="960">
        <f t="shared" si="135"/>
        <v>0</v>
      </c>
      <c r="W383" s="960"/>
      <c r="X383" s="960"/>
      <c r="Y383" s="960"/>
      <c r="Z383" s="960"/>
      <c r="AA383" s="975">
        <f t="shared" ref="AA383:AA444" si="138">SUM(N383:Z383)</f>
        <v>56</v>
      </c>
      <c r="AB383" s="975">
        <f>VLOOKUP(C383,'[8]MỦ TẠP'!$D$10:$AM$450,36,0)</f>
        <v>0</v>
      </c>
      <c r="AC383" s="975"/>
      <c r="AD383" s="975"/>
      <c r="AE383" s="976">
        <f t="shared" si="136"/>
        <v>0</v>
      </c>
      <c r="AF383" s="975"/>
      <c r="AG383" s="975"/>
      <c r="AH383" s="975">
        <f t="shared" si="137"/>
        <v>0</v>
      </c>
      <c r="AI383" s="975">
        <f>VLOOKUP(C383,'[8]CHẤM CÔNG '!$F$10:$AM$451,33,0)</f>
        <v>0</v>
      </c>
      <c r="AJ383" s="975">
        <f>VLOOKUP(C383,'[8]CHẤM CÔNG '!$F$10:$AM$451,34,0)</f>
        <v>0</v>
      </c>
      <c r="AK383" s="975"/>
      <c r="AL383" s="975"/>
      <c r="AM383" s="975"/>
      <c r="AN383" s="975">
        <f>VLOOKUP(C383,'[8]CHẤM CÔNG '!$F$10:$AN$451,35,0)</f>
        <v>0</v>
      </c>
      <c r="AO383" s="975">
        <f>VLOOKUP(C383,'[8]CHẤM CÔNG '!$F$10:$AR$451,36,0)</f>
        <v>0</v>
      </c>
      <c r="AP383" s="975"/>
      <c r="AQ383" s="975"/>
      <c r="AR383" s="975"/>
      <c r="AS383" s="981"/>
      <c r="AT383" s="982">
        <f>VLOOKUP(C383,'[8]MỦ TẠP'!$D$10:$AO$450,38,0)</f>
        <v>0</v>
      </c>
    </row>
    <row r="384" spans="1:52" ht="15.75">
      <c r="A384" s="957">
        <v>3</v>
      </c>
      <c r="B384" s="958" t="e">
        <f>VLOOKUP(C384,'[8]DS CN MOI UP'!$B$10:$C$489,2,0)</f>
        <v>#N/A</v>
      </c>
      <c r="C384" s="992" t="s">
        <v>288</v>
      </c>
      <c r="D384" s="957" t="s">
        <v>15</v>
      </c>
      <c r="E384" s="960">
        <v>4</v>
      </c>
      <c r="F384" s="960"/>
      <c r="G384" s="960"/>
      <c r="H384" s="960">
        <v>4</v>
      </c>
      <c r="I384" s="960"/>
      <c r="J384" s="960">
        <v>4</v>
      </c>
      <c r="K384" s="960">
        <v>4</v>
      </c>
      <c r="L384" s="960">
        <v>4</v>
      </c>
      <c r="M384" s="960"/>
      <c r="N384" s="960">
        <f t="shared" si="127"/>
        <v>24</v>
      </c>
      <c r="O384" s="960">
        <f t="shared" si="128"/>
        <v>0</v>
      </c>
      <c r="P384" s="960">
        <f t="shared" si="129"/>
        <v>0</v>
      </c>
      <c r="Q384" s="960">
        <f t="shared" si="130"/>
        <v>16</v>
      </c>
      <c r="R384" s="960">
        <f t="shared" si="131"/>
        <v>0</v>
      </c>
      <c r="S384" s="960">
        <f t="shared" si="132"/>
        <v>8</v>
      </c>
      <c r="T384" s="960">
        <f t="shared" si="133"/>
        <v>4</v>
      </c>
      <c r="U384" s="960">
        <f t="shared" si="134"/>
        <v>4</v>
      </c>
      <c r="V384" s="960">
        <f t="shared" si="135"/>
        <v>0</v>
      </c>
      <c r="W384" s="960"/>
      <c r="X384" s="960"/>
      <c r="Y384" s="960"/>
      <c r="Z384" s="960"/>
      <c r="AA384" s="975">
        <f t="shared" si="138"/>
        <v>56</v>
      </c>
      <c r="AB384" s="975" t="e">
        <f>VLOOKUP(C384,'[8]MỦ TẠP'!$D$10:$AM$450,36,0)</f>
        <v>#N/A</v>
      </c>
      <c r="AC384" s="975"/>
      <c r="AD384" s="975"/>
      <c r="AE384" s="976" t="e">
        <f t="shared" si="136"/>
        <v>#N/A</v>
      </c>
      <c r="AF384" s="975"/>
      <c r="AG384" s="975"/>
      <c r="AH384" s="975" t="e">
        <f t="shared" si="137"/>
        <v>#N/A</v>
      </c>
      <c r="AI384" s="975" t="e">
        <f>VLOOKUP(C384,'[8]CHẤM CÔNG '!$F$10:$AM$451,33,0)</f>
        <v>#N/A</v>
      </c>
      <c r="AJ384" s="975" t="e">
        <f>VLOOKUP(C384,'[8]CHẤM CÔNG '!$F$10:$AM$451,34,0)</f>
        <v>#N/A</v>
      </c>
      <c r="AK384" s="975"/>
      <c r="AL384" s="975"/>
      <c r="AM384" s="975"/>
      <c r="AN384" s="975" t="e">
        <f>VLOOKUP(C384,'[8]CHẤM CÔNG '!$F$10:$AN$451,35,0)</f>
        <v>#N/A</v>
      </c>
      <c r="AO384" s="975" t="e">
        <f>VLOOKUP(C384,'[8]CHẤM CÔNG '!$F$10:$AR$451,36,0)</f>
        <v>#N/A</v>
      </c>
      <c r="AP384" s="975"/>
      <c r="AQ384" s="975"/>
      <c r="AR384" s="975"/>
      <c r="AS384" s="981"/>
      <c r="AT384" s="982" t="e">
        <f>VLOOKUP(C384,'[8]MỦ TẠP'!$D$10:$AO$450,38,0)</f>
        <v>#N/A</v>
      </c>
    </row>
    <row r="385" spans="1:46" ht="15.75">
      <c r="A385" s="957">
        <v>4</v>
      </c>
      <c r="B385" s="958" t="str">
        <f>VLOOKUP(C385,'[8]DS CN MOI UP'!$B$10:$C$489,2,0)</f>
        <v>02639</v>
      </c>
      <c r="C385" s="992" t="s">
        <v>289</v>
      </c>
      <c r="D385" s="957" t="s">
        <v>15</v>
      </c>
      <c r="E385" s="960">
        <v>4</v>
      </c>
      <c r="F385" s="960"/>
      <c r="G385" s="960"/>
      <c r="H385" s="960">
        <v>4</v>
      </c>
      <c r="I385" s="960"/>
      <c r="J385" s="960">
        <v>4</v>
      </c>
      <c r="K385" s="960">
        <v>4</v>
      </c>
      <c r="L385" s="960">
        <v>4</v>
      </c>
      <c r="M385" s="960"/>
      <c r="N385" s="960">
        <f t="shared" si="127"/>
        <v>24</v>
      </c>
      <c r="O385" s="960">
        <f t="shared" si="128"/>
        <v>0</v>
      </c>
      <c r="P385" s="960">
        <f t="shared" si="129"/>
        <v>0</v>
      </c>
      <c r="Q385" s="960">
        <f t="shared" si="130"/>
        <v>16</v>
      </c>
      <c r="R385" s="960">
        <f t="shared" si="131"/>
        <v>0</v>
      </c>
      <c r="S385" s="960">
        <f t="shared" si="132"/>
        <v>8</v>
      </c>
      <c r="T385" s="960">
        <f t="shared" si="133"/>
        <v>4</v>
      </c>
      <c r="U385" s="960">
        <f t="shared" si="134"/>
        <v>4</v>
      </c>
      <c r="V385" s="960">
        <f t="shared" si="135"/>
        <v>0</v>
      </c>
      <c r="W385" s="960"/>
      <c r="X385" s="960"/>
      <c r="Y385" s="960"/>
      <c r="Z385" s="960"/>
      <c r="AA385" s="975">
        <f t="shared" si="138"/>
        <v>56</v>
      </c>
      <c r="AB385" s="975">
        <f>VLOOKUP(C385,'[8]MỦ TẠP'!$D$10:$AM$450,36,0)</f>
        <v>0</v>
      </c>
      <c r="AC385" s="975"/>
      <c r="AD385" s="975"/>
      <c r="AE385" s="976">
        <f t="shared" si="136"/>
        <v>0</v>
      </c>
      <c r="AF385" s="975"/>
      <c r="AG385" s="975"/>
      <c r="AH385" s="975">
        <f t="shared" si="137"/>
        <v>0</v>
      </c>
      <c r="AI385" s="975">
        <f>VLOOKUP(C385,'[8]CHẤM CÔNG '!$F$10:$AM$451,33,0)</f>
        <v>0</v>
      </c>
      <c r="AJ385" s="975">
        <f>VLOOKUP(C385,'[8]CHẤM CÔNG '!$F$10:$AM$451,34,0)</f>
        <v>0</v>
      </c>
      <c r="AK385" s="975"/>
      <c r="AL385" s="975"/>
      <c r="AM385" s="975"/>
      <c r="AN385" s="975">
        <f>VLOOKUP(C385,'[8]CHẤM CÔNG '!$F$10:$AN$451,35,0)</f>
        <v>0</v>
      </c>
      <c r="AO385" s="975">
        <f>VLOOKUP(C385,'[8]CHẤM CÔNG '!$F$10:$AR$451,36,0)</f>
        <v>0</v>
      </c>
      <c r="AP385" s="975"/>
      <c r="AQ385" s="975"/>
      <c r="AR385" s="975"/>
      <c r="AS385" s="981"/>
      <c r="AT385" s="982">
        <f>VLOOKUP(C385,'[8]MỦ TẠP'!$D$10:$AO$450,38,0)</f>
        <v>0</v>
      </c>
    </row>
    <row r="386" spans="1:46" ht="15.75">
      <c r="A386" s="957">
        <v>5</v>
      </c>
      <c r="B386" s="958" t="e">
        <f>VLOOKUP(C386,'[8]DS CN MOI UP'!$B$10:$C$489,2,0)</f>
        <v>#N/A</v>
      </c>
      <c r="C386" s="992" t="s">
        <v>290</v>
      </c>
      <c r="D386" s="957" t="s">
        <v>15</v>
      </c>
      <c r="E386" s="960">
        <v>4</v>
      </c>
      <c r="F386" s="960"/>
      <c r="G386" s="960"/>
      <c r="H386" s="960">
        <v>4</v>
      </c>
      <c r="I386" s="960"/>
      <c r="J386" s="960">
        <v>4</v>
      </c>
      <c r="K386" s="960">
        <v>4</v>
      </c>
      <c r="L386" s="960">
        <v>4</v>
      </c>
      <c r="M386" s="960"/>
      <c r="N386" s="960">
        <f t="shared" si="127"/>
        <v>24</v>
      </c>
      <c r="O386" s="960">
        <f t="shared" si="128"/>
        <v>0</v>
      </c>
      <c r="P386" s="960">
        <f t="shared" si="129"/>
        <v>0</v>
      </c>
      <c r="Q386" s="960">
        <f t="shared" si="130"/>
        <v>16</v>
      </c>
      <c r="R386" s="960">
        <f t="shared" si="131"/>
        <v>0</v>
      </c>
      <c r="S386" s="960">
        <f t="shared" si="132"/>
        <v>8</v>
      </c>
      <c r="T386" s="960">
        <f t="shared" si="133"/>
        <v>4</v>
      </c>
      <c r="U386" s="960">
        <f t="shared" si="134"/>
        <v>4</v>
      </c>
      <c r="V386" s="960">
        <f t="shared" si="135"/>
        <v>0</v>
      </c>
      <c r="W386" s="960"/>
      <c r="X386" s="960"/>
      <c r="Y386" s="960"/>
      <c r="Z386" s="960"/>
      <c r="AA386" s="975">
        <f t="shared" si="138"/>
        <v>56</v>
      </c>
      <c r="AB386" s="975">
        <f>VLOOKUP(C386,'[8]MỦ TẠP'!$D$10:$AM$450,36,0)</f>
        <v>0</v>
      </c>
      <c r="AC386" s="975"/>
      <c r="AD386" s="975"/>
      <c r="AE386" s="976">
        <f t="shared" si="136"/>
        <v>0</v>
      </c>
      <c r="AF386" s="975"/>
      <c r="AG386" s="975"/>
      <c r="AH386" s="975">
        <f t="shared" si="137"/>
        <v>0</v>
      </c>
      <c r="AI386" s="975">
        <f>VLOOKUP(C386,'[8]CHẤM CÔNG '!$F$10:$AM$451,33,0)</f>
        <v>0</v>
      </c>
      <c r="AJ386" s="975">
        <f>VLOOKUP(C386,'[8]CHẤM CÔNG '!$F$10:$AM$451,34,0)</f>
        <v>0</v>
      </c>
      <c r="AK386" s="975"/>
      <c r="AL386" s="975"/>
      <c r="AM386" s="975"/>
      <c r="AN386" s="975">
        <f>VLOOKUP(C386,'[8]CHẤM CÔNG '!$F$10:$AN$451,35,0)</f>
        <v>0</v>
      </c>
      <c r="AO386" s="975">
        <f>VLOOKUP(C386,'[8]CHẤM CÔNG '!$F$10:$AR$451,36,0)</f>
        <v>0</v>
      </c>
      <c r="AP386" s="975"/>
      <c r="AQ386" s="975"/>
      <c r="AR386" s="975"/>
      <c r="AS386" s="981"/>
      <c r="AT386" s="982">
        <f>VLOOKUP(C386,'[8]MỦ TẠP'!$D$10:$AO$450,38,0)</f>
        <v>0</v>
      </c>
    </row>
    <row r="387" spans="1:46" ht="15.75">
      <c r="A387" s="957">
        <v>6</v>
      </c>
      <c r="B387" s="958" t="str">
        <f>VLOOKUP(C387,'[8]DS CN MOI UP'!$B$10:$C$489,2,0)</f>
        <v>02641</v>
      </c>
      <c r="C387" s="992" t="s">
        <v>291</v>
      </c>
      <c r="D387" s="957" t="s">
        <v>15</v>
      </c>
      <c r="E387" s="960">
        <v>4</v>
      </c>
      <c r="F387" s="960"/>
      <c r="G387" s="960"/>
      <c r="H387" s="960">
        <v>4</v>
      </c>
      <c r="I387" s="960"/>
      <c r="J387" s="960">
        <v>4</v>
      </c>
      <c r="K387" s="960">
        <v>4</v>
      </c>
      <c r="L387" s="960">
        <v>4</v>
      </c>
      <c r="M387" s="960"/>
      <c r="N387" s="960">
        <f t="shared" si="127"/>
        <v>24</v>
      </c>
      <c r="O387" s="960">
        <f t="shared" si="128"/>
        <v>0</v>
      </c>
      <c r="P387" s="960">
        <f t="shared" si="129"/>
        <v>0</v>
      </c>
      <c r="Q387" s="960">
        <f t="shared" si="130"/>
        <v>16</v>
      </c>
      <c r="R387" s="960">
        <f t="shared" si="131"/>
        <v>0</v>
      </c>
      <c r="S387" s="960">
        <f t="shared" si="132"/>
        <v>8</v>
      </c>
      <c r="T387" s="960">
        <f t="shared" si="133"/>
        <v>4</v>
      </c>
      <c r="U387" s="960">
        <f t="shared" si="134"/>
        <v>4</v>
      </c>
      <c r="V387" s="960">
        <f t="shared" si="135"/>
        <v>0</v>
      </c>
      <c r="W387" s="960"/>
      <c r="X387" s="960"/>
      <c r="Y387" s="960"/>
      <c r="Z387" s="960"/>
      <c r="AA387" s="975">
        <f t="shared" si="138"/>
        <v>56</v>
      </c>
      <c r="AB387" s="975">
        <f>VLOOKUP(C387,'[8]MỦ TẠP'!$D$10:$AM$450,36,0)</f>
        <v>0</v>
      </c>
      <c r="AC387" s="975"/>
      <c r="AD387" s="975"/>
      <c r="AE387" s="976">
        <f t="shared" si="136"/>
        <v>0</v>
      </c>
      <c r="AF387" s="975"/>
      <c r="AG387" s="975"/>
      <c r="AH387" s="975">
        <f t="shared" si="137"/>
        <v>0</v>
      </c>
      <c r="AI387" s="975">
        <f>VLOOKUP(C387,'[8]CHẤM CÔNG '!$F$10:$AM$451,33,0)</f>
        <v>0</v>
      </c>
      <c r="AJ387" s="975">
        <f>VLOOKUP(C387,'[8]CHẤM CÔNG '!$F$10:$AM$451,34,0)</f>
        <v>0</v>
      </c>
      <c r="AK387" s="975"/>
      <c r="AL387" s="975"/>
      <c r="AM387" s="975"/>
      <c r="AN387" s="975">
        <f>VLOOKUP(C387,'[8]CHẤM CÔNG '!$F$10:$AN$451,35,0)</f>
        <v>0</v>
      </c>
      <c r="AO387" s="975">
        <f>VLOOKUP(C387,'[8]CHẤM CÔNG '!$F$10:$AR$451,36,0)</f>
        <v>0</v>
      </c>
      <c r="AP387" s="975"/>
      <c r="AQ387" s="975"/>
      <c r="AR387" s="975"/>
      <c r="AS387" s="981"/>
      <c r="AT387" s="982">
        <f>VLOOKUP(C387,'[8]MỦ TẠP'!$D$10:$AO$450,38,0)</f>
        <v>0</v>
      </c>
    </row>
    <row r="388" spans="1:46" ht="15.75">
      <c r="A388" s="957">
        <v>7</v>
      </c>
      <c r="B388" s="958" t="str">
        <f>VLOOKUP(C388,'[8]DS CN MOI UP'!$B$10:$C$489,2,0)</f>
        <v>03406</v>
      </c>
      <c r="C388" s="992" t="s">
        <v>292</v>
      </c>
      <c r="D388" s="957" t="s">
        <v>15</v>
      </c>
      <c r="E388" s="960">
        <v>4</v>
      </c>
      <c r="F388" s="960"/>
      <c r="G388" s="960"/>
      <c r="H388" s="960">
        <v>4</v>
      </c>
      <c r="I388" s="960"/>
      <c r="J388" s="960">
        <v>4</v>
      </c>
      <c r="K388" s="960">
        <v>4</v>
      </c>
      <c r="L388" s="960">
        <v>4</v>
      </c>
      <c r="M388" s="960"/>
      <c r="N388" s="960">
        <f t="shared" si="127"/>
        <v>24</v>
      </c>
      <c r="O388" s="960">
        <f t="shared" si="128"/>
        <v>0</v>
      </c>
      <c r="P388" s="960">
        <f t="shared" si="129"/>
        <v>0</v>
      </c>
      <c r="Q388" s="960">
        <f t="shared" si="130"/>
        <v>16</v>
      </c>
      <c r="R388" s="960">
        <f t="shared" si="131"/>
        <v>0</v>
      </c>
      <c r="S388" s="960">
        <f t="shared" si="132"/>
        <v>8</v>
      </c>
      <c r="T388" s="960">
        <f t="shared" si="133"/>
        <v>4</v>
      </c>
      <c r="U388" s="960">
        <f t="shared" si="134"/>
        <v>4</v>
      </c>
      <c r="V388" s="960">
        <f t="shared" si="135"/>
        <v>0</v>
      </c>
      <c r="W388" s="960"/>
      <c r="X388" s="960"/>
      <c r="Y388" s="960"/>
      <c r="Z388" s="960"/>
      <c r="AA388" s="975">
        <f t="shared" si="138"/>
        <v>56</v>
      </c>
      <c r="AB388" s="975">
        <f>VLOOKUP(C388,'[8]MỦ TẠP'!$D$10:$AM$450,36,0)</f>
        <v>0</v>
      </c>
      <c r="AC388" s="975"/>
      <c r="AD388" s="975"/>
      <c r="AE388" s="976">
        <f t="shared" si="136"/>
        <v>0</v>
      </c>
      <c r="AF388" s="975"/>
      <c r="AG388" s="975"/>
      <c r="AH388" s="975">
        <f t="shared" si="137"/>
        <v>0</v>
      </c>
      <c r="AI388" s="975">
        <f>VLOOKUP(C388,'[8]CHẤM CÔNG '!$F$10:$AM$451,33,0)</f>
        <v>0</v>
      </c>
      <c r="AJ388" s="975">
        <f>VLOOKUP(C388,'[8]CHẤM CÔNG '!$F$10:$AM$451,34,0)</f>
        <v>0</v>
      </c>
      <c r="AK388" s="975"/>
      <c r="AL388" s="975"/>
      <c r="AM388" s="975"/>
      <c r="AN388" s="975">
        <f>VLOOKUP(C388,'[8]CHẤM CÔNG '!$F$10:$AN$451,35,0)</f>
        <v>0</v>
      </c>
      <c r="AO388" s="975">
        <f>VLOOKUP(C388,'[8]CHẤM CÔNG '!$F$10:$AR$451,36,0)</f>
        <v>0</v>
      </c>
      <c r="AP388" s="975"/>
      <c r="AQ388" s="975"/>
      <c r="AR388" s="975"/>
      <c r="AS388" s="981"/>
      <c r="AT388" s="982">
        <f>VLOOKUP(C388,'[8]MỦ TẠP'!$D$10:$AO$450,38,0)</f>
        <v>0</v>
      </c>
    </row>
    <row r="389" spans="1:46" ht="15.75">
      <c r="A389" s="957">
        <v>8</v>
      </c>
      <c r="B389" s="958" t="str">
        <f>VLOOKUP(C389,'[8]DS CN MOI UP'!$B$10:$C$489,2,0)</f>
        <v>02643</v>
      </c>
      <c r="C389" s="992" t="s">
        <v>293</v>
      </c>
      <c r="D389" s="957" t="s">
        <v>15</v>
      </c>
      <c r="E389" s="960">
        <v>4</v>
      </c>
      <c r="F389" s="960"/>
      <c r="G389" s="960"/>
      <c r="H389" s="960">
        <v>4</v>
      </c>
      <c r="I389" s="960"/>
      <c r="J389" s="960">
        <v>4</v>
      </c>
      <c r="K389" s="960">
        <v>4</v>
      </c>
      <c r="L389" s="960">
        <v>4</v>
      </c>
      <c r="M389" s="960"/>
      <c r="N389" s="960">
        <f t="shared" si="127"/>
        <v>24</v>
      </c>
      <c r="O389" s="960">
        <f t="shared" si="128"/>
        <v>0</v>
      </c>
      <c r="P389" s="960">
        <f t="shared" si="129"/>
        <v>0</v>
      </c>
      <c r="Q389" s="960">
        <f t="shared" si="130"/>
        <v>16</v>
      </c>
      <c r="R389" s="960">
        <f t="shared" si="131"/>
        <v>0</v>
      </c>
      <c r="S389" s="960">
        <f t="shared" si="132"/>
        <v>8</v>
      </c>
      <c r="T389" s="960">
        <f t="shared" si="133"/>
        <v>4</v>
      </c>
      <c r="U389" s="960">
        <f t="shared" si="134"/>
        <v>4</v>
      </c>
      <c r="V389" s="960">
        <f t="shared" si="135"/>
        <v>0</v>
      </c>
      <c r="W389" s="960"/>
      <c r="X389" s="960"/>
      <c r="Y389" s="960"/>
      <c r="Z389" s="960"/>
      <c r="AA389" s="975">
        <f t="shared" si="138"/>
        <v>56</v>
      </c>
      <c r="AB389" s="975">
        <f>VLOOKUP(C389,'[8]MỦ TẠP'!$D$10:$AM$450,36,0)</f>
        <v>0</v>
      </c>
      <c r="AC389" s="975"/>
      <c r="AD389" s="975"/>
      <c r="AE389" s="976">
        <f t="shared" si="136"/>
        <v>0</v>
      </c>
      <c r="AF389" s="975"/>
      <c r="AG389" s="975"/>
      <c r="AH389" s="975">
        <f t="shared" si="137"/>
        <v>0</v>
      </c>
      <c r="AI389" s="975">
        <f>VLOOKUP(C389,'[8]CHẤM CÔNG '!$F$10:$AM$451,33,0)</f>
        <v>0</v>
      </c>
      <c r="AJ389" s="975">
        <f>VLOOKUP(C389,'[8]CHẤM CÔNG '!$F$10:$AM$451,34,0)</f>
        <v>0</v>
      </c>
      <c r="AK389" s="975"/>
      <c r="AL389" s="975"/>
      <c r="AM389" s="975"/>
      <c r="AN389" s="975">
        <f>VLOOKUP(C389,'[8]CHẤM CÔNG '!$F$10:$AN$451,35,0)</f>
        <v>0</v>
      </c>
      <c r="AO389" s="975">
        <f>VLOOKUP(C389,'[8]CHẤM CÔNG '!$F$10:$AR$451,36,0)</f>
        <v>0</v>
      </c>
      <c r="AP389" s="975"/>
      <c r="AQ389" s="975"/>
      <c r="AR389" s="975"/>
      <c r="AS389" s="981"/>
      <c r="AT389" s="982">
        <f>VLOOKUP(C389,'[8]MỦ TẠP'!$D$10:$AO$450,38,0)</f>
        <v>0</v>
      </c>
    </row>
    <row r="390" spans="1:46" ht="15.75">
      <c r="A390" s="957">
        <v>9</v>
      </c>
      <c r="B390" s="958" t="str">
        <f>VLOOKUP(C390,'[8]DS CN MOI UP'!$B$10:$C$489,2,0)</f>
        <v>03407</v>
      </c>
      <c r="C390" s="992" t="s">
        <v>294</v>
      </c>
      <c r="D390" s="957" t="s">
        <v>15</v>
      </c>
      <c r="E390" s="960">
        <v>4</v>
      </c>
      <c r="F390" s="960"/>
      <c r="G390" s="960"/>
      <c r="H390" s="960">
        <v>4</v>
      </c>
      <c r="I390" s="960"/>
      <c r="J390" s="960">
        <v>4</v>
      </c>
      <c r="K390" s="960">
        <v>4</v>
      </c>
      <c r="L390" s="960">
        <v>4</v>
      </c>
      <c r="M390" s="960"/>
      <c r="N390" s="960">
        <f t="shared" si="127"/>
        <v>24</v>
      </c>
      <c r="O390" s="960">
        <f t="shared" si="128"/>
        <v>0</v>
      </c>
      <c r="P390" s="960">
        <f t="shared" si="129"/>
        <v>0</v>
      </c>
      <c r="Q390" s="960">
        <f t="shared" si="130"/>
        <v>16</v>
      </c>
      <c r="R390" s="960">
        <f t="shared" si="131"/>
        <v>0</v>
      </c>
      <c r="S390" s="960">
        <f t="shared" si="132"/>
        <v>8</v>
      </c>
      <c r="T390" s="960">
        <f t="shared" si="133"/>
        <v>4</v>
      </c>
      <c r="U390" s="960">
        <f t="shared" si="134"/>
        <v>4</v>
      </c>
      <c r="V390" s="960">
        <f t="shared" si="135"/>
        <v>0</v>
      </c>
      <c r="W390" s="960"/>
      <c r="X390" s="960"/>
      <c r="Y390" s="960"/>
      <c r="Z390" s="960"/>
      <c r="AA390" s="975">
        <f t="shared" si="138"/>
        <v>56</v>
      </c>
      <c r="AB390" s="975">
        <f>VLOOKUP(C390,'[8]MỦ TẠP'!$D$10:$AM$450,36,0)</f>
        <v>0</v>
      </c>
      <c r="AC390" s="975"/>
      <c r="AD390" s="975"/>
      <c r="AE390" s="976">
        <f t="shared" si="136"/>
        <v>0</v>
      </c>
      <c r="AF390" s="975"/>
      <c r="AG390" s="975"/>
      <c r="AH390" s="975">
        <f t="shared" si="137"/>
        <v>0</v>
      </c>
      <c r="AI390" s="975">
        <f>VLOOKUP(C390,'[8]CHẤM CÔNG '!$F$10:$AM$451,33,0)</f>
        <v>0</v>
      </c>
      <c r="AJ390" s="975">
        <f>VLOOKUP(C390,'[8]CHẤM CÔNG '!$F$10:$AM$451,34,0)</f>
        <v>0</v>
      </c>
      <c r="AK390" s="975"/>
      <c r="AL390" s="975"/>
      <c r="AM390" s="975"/>
      <c r="AN390" s="975">
        <f>VLOOKUP(C390,'[8]CHẤM CÔNG '!$F$10:$AN$451,35,0)</f>
        <v>0</v>
      </c>
      <c r="AO390" s="975">
        <f>VLOOKUP(C390,'[8]CHẤM CÔNG '!$F$10:$AR$451,36,0)</f>
        <v>0</v>
      </c>
      <c r="AP390" s="975"/>
      <c r="AQ390" s="975"/>
      <c r="AR390" s="975"/>
      <c r="AS390" s="981"/>
      <c r="AT390" s="982">
        <f>VLOOKUP(C390,'[8]MỦ TẠP'!$D$10:$AO$450,38,0)</f>
        <v>0</v>
      </c>
    </row>
    <row r="391" spans="1:46" ht="15.75">
      <c r="A391" s="957">
        <v>10</v>
      </c>
      <c r="B391" s="958" t="str">
        <f>VLOOKUP(C391,'[8]DS CN MOI UP'!$B$10:$C$489,2,0)</f>
        <v>03408</v>
      </c>
      <c r="C391" s="992" t="s">
        <v>295</v>
      </c>
      <c r="D391" s="957" t="s">
        <v>15</v>
      </c>
      <c r="E391" s="960">
        <v>4</v>
      </c>
      <c r="F391" s="960"/>
      <c r="G391" s="960"/>
      <c r="H391" s="960">
        <v>4</v>
      </c>
      <c r="I391" s="960"/>
      <c r="J391" s="960">
        <v>4</v>
      </c>
      <c r="K391" s="960">
        <v>4</v>
      </c>
      <c r="L391" s="960">
        <v>4</v>
      </c>
      <c r="M391" s="960"/>
      <c r="N391" s="960">
        <f t="shared" si="127"/>
        <v>24</v>
      </c>
      <c r="O391" s="960">
        <f t="shared" si="128"/>
        <v>0</v>
      </c>
      <c r="P391" s="960">
        <f t="shared" si="129"/>
        <v>0</v>
      </c>
      <c r="Q391" s="960">
        <f t="shared" si="130"/>
        <v>16</v>
      </c>
      <c r="R391" s="960">
        <f t="shared" si="131"/>
        <v>0</v>
      </c>
      <c r="S391" s="960">
        <f t="shared" si="132"/>
        <v>8</v>
      </c>
      <c r="T391" s="960">
        <f t="shared" si="133"/>
        <v>4</v>
      </c>
      <c r="U391" s="960">
        <f t="shared" si="134"/>
        <v>4</v>
      </c>
      <c r="V391" s="960">
        <f t="shared" si="135"/>
        <v>0</v>
      </c>
      <c r="W391" s="960"/>
      <c r="X391" s="960"/>
      <c r="Y391" s="960"/>
      <c r="Z391" s="960"/>
      <c r="AA391" s="975">
        <f t="shared" si="138"/>
        <v>56</v>
      </c>
      <c r="AB391" s="975">
        <f>VLOOKUP(C391,'[8]MỦ TẠP'!$D$10:$AM$450,36,0)</f>
        <v>0</v>
      </c>
      <c r="AC391" s="975"/>
      <c r="AD391" s="975"/>
      <c r="AE391" s="976">
        <f t="shared" si="136"/>
        <v>0</v>
      </c>
      <c r="AF391" s="975"/>
      <c r="AG391" s="975"/>
      <c r="AH391" s="975">
        <f t="shared" si="137"/>
        <v>0</v>
      </c>
      <c r="AI391" s="975">
        <f>VLOOKUP(C391,'[8]CHẤM CÔNG '!$F$10:$AM$451,33,0)</f>
        <v>0</v>
      </c>
      <c r="AJ391" s="975">
        <f>VLOOKUP(C391,'[8]CHẤM CÔNG '!$F$10:$AM$451,34,0)</f>
        <v>0</v>
      </c>
      <c r="AK391" s="975"/>
      <c r="AL391" s="975"/>
      <c r="AM391" s="975"/>
      <c r="AN391" s="975">
        <f>VLOOKUP(C391,'[8]CHẤM CÔNG '!$F$10:$AN$451,35,0)</f>
        <v>0</v>
      </c>
      <c r="AO391" s="975">
        <f>VLOOKUP(C391,'[8]CHẤM CÔNG '!$F$10:$AR$451,36,0)</f>
        <v>0</v>
      </c>
      <c r="AP391" s="975"/>
      <c r="AQ391" s="975"/>
      <c r="AR391" s="975"/>
      <c r="AS391" s="981"/>
      <c r="AT391" s="982">
        <f>VLOOKUP(C391,'[8]MỦ TẠP'!$D$10:$AO$450,38,0)</f>
        <v>0</v>
      </c>
    </row>
    <row r="392" spans="1:46" ht="15.75">
      <c r="A392" s="957">
        <v>11</v>
      </c>
      <c r="B392" s="958" t="str">
        <f>VLOOKUP(C392,'[8]DS CN MOI UP'!$B$10:$C$489,2,0)</f>
        <v>02646</v>
      </c>
      <c r="C392" s="992" t="s">
        <v>296</v>
      </c>
      <c r="D392" s="957" t="s">
        <v>15</v>
      </c>
      <c r="E392" s="960">
        <v>4</v>
      </c>
      <c r="F392" s="960"/>
      <c r="G392" s="960"/>
      <c r="H392" s="960">
        <v>4</v>
      </c>
      <c r="I392" s="960"/>
      <c r="J392" s="960">
        <v>4</v>
      </c>
      <c r="K392" s="960">
        <v>4</v>
      </c>
      <c r="L392" s="960">
        <v>4</v>
      </c>
      <c r="M392" s="960"/>
      <c r="N392" s="960">
        <f t="shared" si="127"/>
        <v>24</v>
      </c>
      <c r="O392" s="960">
        <f t="shared" si="128"/>
        <v>0</v>
      </c>
      <c r="P392" s="960">
        <f t="shared" si="129"/>
        <v>0</v>
      </c>
      <c r="Q392" s="960">
        <f t="shared" si="130"/>
        <v>16</v>
      </c>
      <c r="R392" s="960">
        <f t="shared" si="131"/>
        <v>0</v>
      </c>
      <c r="S392" s="960">
        <f t="shared" si="132"/>
        <v>8</v>
      </c>
      <c r="T392" s="960">
        <f t="shared" si="133"/>
        <v>4</v>
      </c>
      <c r="U392" s="960">
        <f t="shared" si="134"/>
        <v>4</v>
      </c>
      <c r="V392" s="960">
        <f t="shared" si="135"/>
        <v>0</v>
      </c>
      <c r="W392" s="960"/>
      <c r="X392" s="960"/>
      <c r="Y392" s="960"/>
      <c r="Z392" s="960"/>
      <c r="AA392" s="975">
        <f t="shared" si="138"/>
        <v>56</v>
      </c>
      <c r="AB392" s="975">
        <f>VLOOKUP(C392,'[8]MỦ TẠP'!$D$10:$AM$450,36,0)</f>
        <v>0</v>
      </c>
      <c r="AC392" s="975"/>
      <c r="AD392" s="975"/>
      <c r="AE392" s="976">
        <f t="shared" si="136"/>
        <v>0</v>
      </c>
      <c r="AF392" s="975"/>
      <c r="AG392" s="975"/>
      <c r="AH392" s="975">
        <f t="shared" si="137"/>
        <v>0</v>
      </c>
      <c r="AI392" s="975">
        <f>VLOOKUP(C392,'[8]CHẤM CÔNG '!$F$10:$AM$451,33,0)</f>
        <v>0</v>
      </c>
      <c r="AJ392" s="975">
        <f>VLOOKUP(C392,'[8]CHẤM CÔNG '!$F$10:$AM$451,34,0)</f>
        <v>0</v>
      </c>
      <c r="AK392" s="975"/>
      <c r="AL392" s="975"/>
      <c r="AM392" s="975"/>
      <c r="AN392" s="975">
        <f>VLOOKUP(C392,'[8]CHẤM CÔNG '!$F$10:$AN$451,35,0)</f>
        <v>0</v>
      </c>
      <c r="AO392" s="975">
        <f>VLOOKUP(C392,'[8]CHẤM CÔNG '!$F$10:$AR$451,36,0)</f>
        <v>0</v>
      </c>
      <c r="AP392" s="975"/>
      <c r="AQ392" s="975"/>
      <c r="AR392" s="975"/>
      <c r="AS392" s="981"/>
      <c r="AT392" s="982">
        <f>VLOOKUP(C392,'[8]MỦ TẠP'!$D$10:$AO$450,38,0)</f>
        <v>0</v>
      </c>
    </row>
    <row r="393" spans="1:46" ht="15.75">
      <c r="A393" s="957">
        <v>12</v>
      </c>
      <c r="B393" s="958" t="e">
        <f>VLOOKUP(C393,'[8]DS CN MOI UP'!$B$10:$C$489,2,0)</f>
        <v>#N/A</v>
      </c>
      <c r="C393" s="992" t="s">
        <v>297</v>
      </c>
      <c r="D393" s="957" t="s">
        <v>15</v>
      </c>
      <c r="E393" s="960">
        <v>4</v>
      </c>
      <c r="F393" s="960"/>
      <c r="G393" s="960"/>
      <c r="H393" s="960">
        <v>4</v>
      </c>
      <c r="I393" s="960"/>
      <c r="J393" s="960">
        <v>4</v>
      </c>
      <c r="K393" s="960">
        <v>4</v>
      </c>
      <c r="L393" s="960">
        <v>4</v>
      </c>
      <c r="M393" s="960"/>
      <c r="N393" s="960">
        <f t="shared" si="127"/>
        <v>24</v>
      </c>
      <c r="O393" s="960">
        <f t="shared" si="128"/>
        <v>0</v>
      </c>
      <c r="P393" s="960">
        <f t="shared" si="129"/>
        <v>0</v>
      </c>
      <c r="Q393" s="960">
        <f t="shared" si="130"/>
        <v>16</v>
      </c>
      <c r="R393" s="960">
        <f t="shared" si="131"/>
        <v>0</v>
      </c>
      <c r="S393" s="960">
        <f t="shared" si="132"/>
        <v>8</v>
      </c>
      <c r="T393" s="960">
        <f t="shared" si="133"/>
        <v>4</v>
      </c>
      <c r="U393" s="960">
        <f t="shared" si="134"/>
        <v>4</v>
      </c>
      <c r="V393" s="960">
        <f t="shared" si="135"/>
        <v>0</v>
      </c>
      <c r="W393" s="960"/>
      <c r="X393" s="960"/>
      <c r="Y393" s="960"/>
      <c r="Z393" s="960"/>
      <c r="AA393" s="975">
        <f t="shared" si="138"/>
        <v>56</v>
      </c>
      <c r="AB393" s="975" t="e">
        <f>VLOOKUP(C393,'[8]MỦ TẠP'!$D$10:$AM$450,36,0)</f>
        <v>#N/A</v>
      </c>
      <c r="AC393" s="975"/>
      <c r="AD393" s="975"/>
      <c r="AE393" s="976" t="e">
        <f t="shared" si="136"/>
        <v>#N/A</v>
      </c>
      <c r="AF393" s="975"/>
      <c r="AG393" s="975"/>
      <c r="AH393" s="975" t="e">
        <f t="shared" si="137"/>
        <v>#N/A</v>
      </c>
      <c r="AI393" s="975" t="e">
        <f>VLOOKUP(C393,'[8]CHẤM CÔNG '!$F$10:$AM$451,33,0)</f>
        <v>#N/A</v>
      </c>
      <c r="AJ393" s="975" t="e">
        <f>VLOOKUP(C393,'[8]CHẤM CÔNG '!$F$10:$AM$451,34,0)</f>
        <v>#N/A</v>
      </c>
      <c r="AK393" s="975"/>
      <c r="AL393" s="975"/>
      <c r="AM393" s="975"/>
      <c r="AN393" s="975" t="e">
        <f>VLOOKUP(C393,'[8]CHẤM CÔNG '!$F$10:$AN$451,35,0)</f>
        <v>#N/A</v>
      </c>
      <c r="AO393" s="975" t="e">
        <f>VLOOKUP(C393,'[8]CHẤM CÔNG '!$F$10:$AR$451,36,0)</f>
        <v>#N/A</v>
      </c>
      <c r="AP393" s="975"/>
      <c r="AQ393" s="975"/>
      <c r="AR393" s="975"/>
      <c r="AS393" s="981"/>
      <c r="AT393" s="982" t="e">
        <f>VLOOKUP(C393,'[8]MỦ TẠP'!$D$10:$AO$450,38,0)</f>
        <v>#N/A</v>
      </c>
    </row>
    <row r="394" spans="1:46" ht="15.75">
      <c r="A394" s="957">
        <v>13</v>
      </c>
      <c r="B394" s="958" t="str">
        <f>VLOOKUP(C394,'[8]DS CN MOI UP'!$B$10:$C$489,2,0)</f>
        <v>02648</v>
      </c>
      <c r="C394" s="992" t="s">
        <v>298</v>
      </c>
      <c r="D394" s="957" t="s">
        <v>15</v>
      </c>
      <c r="E394" s="960">
        <v>4</v>
      </c>
      <c r="F394" s="960"/>
      <c r="G394" s="960"/>
      <c r="H394" s="960">
        <v>4</v>
      </c>
      <c r="I394" s="960"/>
      <c r="J394" s="960">
        <v>4</v>
      </c>
      <c r="K394" s="960">
        <v>4</v>
      </c>
      <c r="L394" s="960">
        <v>4</v>
      </c>
      <c r="M394" s="960"/>
      <c r="N394" s="960">
        <f t="shared" si="127"/>
        <v>24</v>
      </c>
      <c r="O394" s="960">
        <f t="shared" si="128"/>
        <v>0</v>
      </c>
      <c r="P394" s="960">
        <f t="shared" si="129"/>
        <v>0</v>
      </c>
      <c r="Q394" s="960">
        <f t="shared" si="130"/>
        <v>16</v>
      </c>
      <c r="R394" s="960">
        <f t="shared" si="131"/>
        <v>0</v>
      </c>
      <c r="S394" s="960">
        <f t="shared" si="132"/>
        <v>8</v>
      </c>
      <c r="T394" s="960">
        <f t="shared" si="133"/>
        <v>4</v>
      </c>
      <c r="U394" s="960">
        <f t="shared" si="134"/>
        <v>4</v>
      </c>
      <c r="V394" s="960">
        <f t="shared" si="135"/>
        <v>0</v>
      </c>
      <c r="W394" s="960"/>
      <c r="X394" s="960"/>
      <c r="Y394" s="960"/>
      <c r="Z394" s="960"/>
      <c r="AA394" s="975">
        <f t="shared" si="138"/>
        <v>56</v>
      </c>
      <c r="AB394" s="975">
        <f>VLOOKUP(C394,'[8]MỦ TẠP'!$D$10:$AM$450,36,0)</f>
        <v>0</v>
      </c>
      <c r="AC394" s="975"/>
      <c r="AD394" s="975"/>
      <c r="AE394" s="976">
        <f t="shared" si="136"/>
        <v>0</v>
      </c>
      <c r="AF394" s="975"/>
      <c r="AG394" s="975"/>
      <c r="AH394" s="975">
        <f t="shared" si="137"/>
        <v>0</v>
      </c>
      <c r="AI394" s="975">
        <f>VLOOKUP(C394,'[8]CHẤM CÔNG '!$F$10:$AM$451,33,0)</f>
        <v>0</v>
      </c>
      <c r="AJ394" s="975">
        <f>VLOOKUP(C394,'[8]CHẤM CÔNG '!$F$10:$AM$451,34,0)</f>
        <v>0</v>
      </c>
      <c r="AK394" s="975"/>
      <c r="AL394" s="975"/>
      <c r="AM394" s="975"/>
      <c r="AN394" s="975">
        <f>VLOOKUP(C394,'[8]CHẤM CÔNG '!$F$10:$AN$451,35,0)</f>
        <v>0</v>
      </c>
      <c r="AO394" s="975">
        <f>VLOOKUP(C394,'[8]CHẤM CÔNG '!$F$10:$AR$451,36,0)</f>
        <v>0</v>
      </c>
      <c r="AP394" s="975"/>
      <c r="AQ394" s="975"/>
      <c r="AR394" s="975"/>
      <c r="AS394" s="981"/>
      <c r="AT394" s="982">
        <f>VLOOKUP(C394,'[8]MỦ TẠP'!$D$10:$AO$450,38,0)</f>
        <v>0</v>
      </c>
    </row>
    <row r="395" spans="1:46" ht="15.75">
      <c r="A395" s="957">
        <v>14</v>
      </c>
      <c r="B395" s="958" t="e">
        <f>VLOOKUP(C395,'[8]DS CN MOI UP'!$B$10:$C$489,2,0)</f>
        <v>#N/A</v>
      </c>
      <c r="C395" s="992" t="s">
        <v>299</v>
      </c>
      <c r="D395" s="957" t="s">
        <v>15</v>
      </c>
      <c r="E395" s="960">
        <v>4</v>
      </c>
      <c r="F395" s="960"/>
      <c r="G395" s="960"/>
      <c r="H395" s="960">
        <v>4</v>
      </c>
      <c r="I395" s="960"/>
      <c r="J395" s="960">
        <v>4</v>
      </c>
      <c r="K395" s="960">
        <v>4</v>
      </c>
      <c r="L395" s="960">
        <v>4</v>
      </c>
      <c r="M395" s="960"/>
      <c r="N395" s="960">
        <f t="shared" si="127"/>
        <v>24</v>
      </c>
      <c r="O395" s="960">
        <f t="shared" si="128"/>
        <v>0</v>
      </c>
      <c r="P395" s="960">
        <f t="shared" si="129"/>
        <v>0</v>
      </c>
      <c r="Q395" s="960">
        <f t="shared" si="130"/>
        <v>16</v>
      </c>
      <c r="R395" s="960">
        <f t="shared" si="131"/>
        <v>0</v>
      </c>
      <c r="S395" s="960">
        <f t="shared" si="132"/>
        <v>8</v>
      </c>
      <c r="T395" s="960">
        <f t="shared" si="133"/>
        <v>4</v>
      </c>
      <c r="U395" s="960">
        <f t="shared" si="134"/>
        <v>4</v>
      </c>
      <c r="V395" s="960">
        <f t="shared" si="135"/>
        <v>0</v>
      </c>
      <c r="W395" s="960"/>
      <c r="X395" s="960"/>
      <c r="Y395" s="960"/>
      <c r="Z395" s="960"/>
      <c r="AA395" s="975">
        <f t="shared" si="138"/>
        <v>56</v>
      </c>
      <c r="AB395" s="975" t="e">
        <f>VLOOKUP(C395,'[8]MỦ TẠP'!$D$10:$AM$450,36,0)</f>
        <v>#N/A</v>
      </c>
      <c r="AC395" s="975"/>
      <c r="AD395" s="975"/>
      <c r="AE395" s="976" t="e">
        <f t="shared" si="136"/>
        <v>#N/A</v>
      </c>
      <c r="AF395" s="975"/>
      <c r="AG395" s="975"/>
      <c r="AH395" s="975" t="e">
        <f t="shared" si="137"/>
        <v>#N/A</v>
      </c>
      <c r="AI395" s="975" t="e">
        <f>VLOOKUP(C395,'[8]CHẤM CÔNG '!$F$10:$AM$451,33,0)</f>
        <v>#N/A</v>
      </c>
      <c r="AJ395" s="975" t="e">
        <f>VLOOKUP(C395,'[8]CHẤM CÔNG '!$F$10:$AM$451,34,0)</f>
        <v>#N/A</v>
      </c>
      <c r="AK395" s="975"/>
      <c r="AL395" s="975"/>
      <c r="AM395" s="975"/>
      <c r="AN395" s="975" t="e">
        <f>VLOOKUP(C395,'[8]CHẤM CÔNG '!$F$10:$AN$451,35,0)</f>
        <v>#N/A</v>
      </c>
      <c r="AO395" s="975" t="e">
        <f>VLOOKUP(C395,'[8]CHẤM CÔNG '!$F$10:$AR$451,36,0)</f>
        <v>#N/A</v>
      </c>
      <c r="AP395" s="975"/>
      <c r="AQ395" s="975"/>
      <c r="AR395" s="975"/>
      <c r="AS395" s="981"/>
      <c r="AT395" s="982" t="e">
        <f>VLOOKUP(C395,'[8]MỦ TẠP'!$D$10:$AO$450,38,0)</f>
        <v>#N/A</v>
      </c>
    </row>
    <row r="396" spans="1:46" ht="15.75">
      <c r="A396" s="957">
        <v>15</v>
      </c>
      <c r="B396" s="958" t="str">
        <f>VLOOKUP(C396,'[8]DS CN MOI UP'!$B$10:$C$489,2,0)</f>
        <v>02650</v>
      </c>
      <c r="C396" s="992" t="s">
        <v>300</v>
      </c>
      <c r="D396" s="957" t="s">
        <v>15</v>
      </c>
      <c r="E396" s="960">
        <v>4</v>
      </c>
      <c r="F396" s="960"/>
      <c r="G396" s="960"/>
      <c r="H396" s="960">
        <v>4</v>
      </c>
      <c r="I396" s="960"/>
      <c r="J396" s="960">
        <v>4</v>
      </c>
      <c r="K396" s="960">
        <v>4</v>
      </c>
      <c r="L396" s="960">
        <v>4</v>
      </c>
      <c r="M396" s="960"/>
      <c r="N396" s="960">
        <f t="shared" si="127"/>
        <v>24</v>
      </c>
      <c r="O396" s="960">
        <f t="shared" si="128"/>
        <v>0</v>
      </c>
      <c r="P396" s="960">
        <f t="shared" si="129"/>
        <v>0</v>
      </c>
      <c r="Q396" s="960">
        <f t="shared" si="130"/>
        <v>16</v>
      </c>
      <c r="R396" s="960">
        <f t="shared" si="131"/>
        <v>0</v>
      </c>
      <c r="S396" s="960">
        <f t="shared" si="132"/>
        <v>8</v>
      </c>
      <c r="T396" s="960">
        <f t="shared" si="133"/>
        <v>4</v>
      </c>
      <c r="U396" s="960">
        <f t="shared" si="134"/>
        <v>4</v>
      </c>
      <c r="V396" s="960">
        <f t="shared" si="135"/>
        <v>0</v>
      </c>
      <c r="W396" s="960"/>
      <c r="X396" s="960"/>
      <c r="Y396" s="960"/>
      <c r="Z396" s="960"/>
      <c r="AA396" s="975">
        <f t="shared" si="138"/>
        <v>56</v>
      </c>
      <c r="AB396" s="975">
        <f>VLOOKUP(C396,'[8]MỦ TẠP'!$D$10:$AM$450,36,0)</f>
        <v>0</v>
      </c>
      <c r="AC396" s="975"/>
      <c r="AD396" s="975"/>
      <c r="AE396" s="976">
        <f t="shared" si="136"/>
        <v>0</v>
      </c>
      <c r="AF396" s="975"/>
      <c r="AG396" s="975"/>
      <c r="AH396" s="975">
        <f t="shared" si="137"/>
        <v>0</v>
      </c>
      <c r="AI396" s="975">
        <f>VLOOKUP(C396,'[8]CHẤM CÔNG '!$F$10:$AM$451,33,0)</f>
        <v>0</v>
      </c>
      <c r="AJ396" s="975">
        <f>VLOOKUP(C396,'[8]CHẤM CÔNG '!$F$10:$AM$451,34,0)</f>
        <v>0</v>
      </c>
      <c r="AK396" s="975"/>
      <c r="AL396" s="975"/>
      <c r="AM396" s="975"/>
      <c r="AN396" s="975">
        <f>VLOOKUP(C396,'[8]CHẤM CÔNG '!$F$10:$AN$451,35,0)</f>
        <v>0</v>
      </c>
      <c r="AO396" s="975">
        <f>VLOOKUP(C396,'[8]CHẤM CÔNG '!$F$10:$AR$451,36,0)</f>
        <v>0</v>
      </c>
      <c r="AP396" s="975"/>
      <c r="AQ396" s="975"/>
      <c r="AR396" s="975"/>
      <c r="AS396" s="981"/>
      <c r="AT396" s="982">
        <f>VLOOKUP(C396,'[8]MỦ TẠP'!$D$10:$AO$450,38,0)</f>
        <v>0</v>
      </c>
    </row>
    <row r="397" spans="1:46" ht="15.75">
      <c r="A397" s="957">
        <v>16</v>
      </c>
      <c r="B397" s="958" t="str">
        <f>VLOOKUP(C397,'[8]DS CN MOI UP'!$B$10:$C$489,2,0)</f>
        <v>02651</v>
      </c>
      <c r="C397" s="992" t="s">
        <v>301</v>
      </c>
      <c r="D397" s="957" t="s">
        <v>15</v>
      </c>
      <c r="E397" s="960">
        <v>4</v>
      </c>
      <c r="F397" s="960"/>
      <c r="G397" s="960"/>
      <c r="H397" s="960">
        <v>4</v>
      </c>
      <c r="I397" s="960"/>
      <c r="J397" s="960">
        <v>4</v>
      </c>
      <c r="K397" s="960">
        <v>4</v>
      </c>
      <c r="L397" s="960">
        <v>4</v>
      </c>
      <c r="M397" s="960"/>
      <c r="N397" s="960">
        <f t="shared" si="127"/>
        <v>24</v>
      </c>
      <c r="O397" s="960">
        <f t="shared" si="128"/>
        <v>0</v>
      </c>
      <c r="P397" s="960">
        <f t="shared" si="129"/>
        <v>0</v>
      </c>
      <c r="Q397" s="960">
        <f t="shared" si="130"/>
        <v>16</v>
      </c>
      <c r="R397" s="960">
        <f t="shared" si="131"/>
        <v>0</v>
      </c>
      <c r="S397" s="960">
        <f t="shared" si="132"/>
        <v>8</v>
      </c>
      <c r="T397" s="960">
        <f t="shared" si="133"/>
        <v>4</v>
      </c>
      <c r="U397" s="960">
        <f t="shared" si="134"/>
        <v>4</v>
      </c>
      <c r="V397" s="960">
        <f t="shared" si="135"/>
        <v>0</v>
      </c>
      <c r="W397" s="960"/>
      <c r="X397" s="960"/>
      <c r="Y397" s="960"/>
      <c r="Z397" s="960"/>
      <c r="AA397" s="975">
        <f t="shared" si="138"/>
        <v>56</v>
      </c>
      <c r="AB397" s="975">
        <f>VLOOKUP(C397,'[8]MỦ TẠP'!$D$10:$AM$450,36,0)</f>
        <v>0</v>
      </c>
      <c r="AC397" s="975"/>
      <c r="AD397" s="975"/>
      <c r="AE397" s="976">
        <f t="shared" si="136"/>
        <v>0</v>
      </c>
      <c r="AF397" s="975"/>
      <c r="AG397" s="975"/>
      <c r="AH397" s="975">
        <f t="shared" si="137"/>
        <v>0</v>
      </c>
      <c r="AI397" s="975">
        <f>VLOOKUP(C397,'[8]CHẤM CÔNG '!$F$10:$AM$451,33,0)</f>
        <v>0</v>
      </c>
      <c r="AJ397" s="975">
        <f>VLOOKUP(C397,'[8]CHẤM CÔNG '!$F$10:$AM$451,34,0)</f>
        <v>0</v>
      </c>
      <c r="AK397" s="975"/>
      <c r="AL397" s="975"/>
      <c r="AM397" s="975"/>
      <c r="AN397" s="975">
        <f>VLOOKUP(C397,'[8]CHẤM CÔNG '!$F$10:$AN$451,35,0)</f>
        <v>0</v>
      </c>
      <c r="AO397" s="975">
        <f>VLOOKUP(C397,'[8]CHẤM CÔNG '!$F$10:$AR$451,36,0)</f>
        <v>0</v>
      </c>
      <c r="AP397" s="975"/>
      <c r="AQ397" s="975"/>
      <c r="AR397" s="975"/>
      <c r="AS397" s="981"/>
      <c r="AT397" s="982">
        <f>VLOOKUP(C397,'[8]MỦ TẠP'!$D$10:$AO$450,38,0)</f>
        <v>0</v>
      </c>
    </row>
    <row r="398" spans="1:46" ht="15.75">
      <c r="A398" s="957">
        <v>17</v>
      </c>
      <c r="B398" s="958" t="str">
        <f>VLOOKUP(C398,'[8]DS CN MOI UP'!$B$10:$C$489,2,0)</f>
        <v>02652</v>
      </c>
      <c r="C398" s="992" t="s">
        <v>302</v>
      </c>
      <c r="D398" s="957" t="s">
        <v>15</v>
      </c>
      <c r="E398" s="960">
        <v>4</v>
      </c>
      <c r="F398" s="960"/>
      <c r="G398" s="960"/>
      <c r="H398" s="960">
        <v>4</v>
      </c>
      <c r="I398" s="960"/>
      <c r="J398" s="960">
        <v>4</v>
      </c>
      <c r="K398" s="960">
        <v>4</v>
      </c>
      <c r="L398" s="960">
        <v>4</v>
      </c>
      <c r="M398" s="960"/>
      <c r="N398" s="960">
        <f t="shared" si="127"/>
        <v>24</v>
      </c>
      <c r="O398" s="960">
        <f t="shared" si="128"/>
        <v>0</v>
      </c>
      <c r="P398" s="960">
        <f t="shared" si="129"/>
        <v>0</v>
      </c>
      <c r="Q398" s="960">
        <f t="shared" si="130"/>
        <v>16</v>
      </c>
      <c r="R398" s="960">
        <f t="shared" si="131"/>
        <v>0</v>
      </c>
      <c r="S398" s="960">
        <f t="shared" si="132"/>
        <v>8</v>
      </c>
      <c r="T398" s="960">
        <f t="shared" si="133"/>
        <v>4</v>
      </c>
      <c r="U398" s="960">
        <f t="shared" si="134"/>
        <v>4</v>
      </c>
      <c r="V398" s="960">
        <f t="shared" si="135"/>
        <v>0</v>
      </c>
      <c r="W398" s="960"/>
      <c r="X398" s="960"/>
      <c r="Y398" s="960"/>
      <c r="Z398" s="960"/>
      <c r="AA398" s="975">
        <f t="shared" si="138"/>
        <v>56</v>
      </c>
      <c r="AB398" s="975">
        <f>VLOOKUP(C398,'[8]MỦ TẠP'!$D$10:$AM$450,36,0)</f>
        <v>0</v>
      </c>
      <c r="AC398" s="975"/>
      <c r="AD398" s="975"/>
      <c r="AE398" s="976">
        <f t="shared" si="136"/>
        <v>0</v>
      </c>
      <c r="AF398" s="975"/>
      <c r="AG398" s="975"/>
      <c r="AH398" s="975">
        <f t="shared" si="137"/>
        <v>0</v>
      </c>
      <c r="AI398" s="975">
        <f>VLOOKUP(C398,'[8]CHẤM CÔNG '!$F$10:$AM$451,33,0)</f>
        <v>0</v>
      </c>
      <c r="AJ398" s="975">
        <f>VLOOKUP(C398,'[8]CHẤM CÔNG '!$F$10:$AM$451,34,0)</f>
        <v>0</v>
      </c>
      <c r="AK398" s="975"/>
      <c r="AL398" s="975"/>
      <c r="AM398" s="975"/>
      <c r="AN398" s="975">
        <f>VLOOKUP(C398,'[8]CHẤM CÔNG '!$F$10:$AN$451,35,0)</f>
        <v>0</v>
      </c>
      <c r="AO398" s="975">
        <f>VLOOKUP(C398,'[8]CHẤM CÔNG '!$F$10:$AR$451,36,0)</f>
        <v>0</v>
      </c>
      <c r="AP398" s="975"/>
      <c r="AQ398" s="975"/>
      <c r="AR398" s="975"/>
      <c r="AS398" s="981"/>
      <c r="AT398" s="982">
        <f>VLOOKUP(C398,'[8]MỦ TẠP'!$D$10:$AO$450,38,0)</f>
        <v>0</v>
      </c>
    </row>
    <row r="399" spans="1:46" ht="15.75">
      <c r="A399" s="957">
        <v>18</v>
      </c>
      <c r="B399" s="958" t="e">
        <f>VLOOKUP(C399,'[8]DS CN MOI UP'!$B$10:$C$489,2,0)</f>
        <v>#N/A</v>
      </c>
      <c r="C399" s="992" t="s">
        <v>303</v>
      </c>
      <c r="D399" s="957" t="s">
        <v>15</v>
      </c>
      <c r="E399" s="960">
        <v>4</v>
      </c>
      <c r="F399" s="960"/>
      <c r="G399" s="960"/>
      <c r="H399" s="960">
        <v>4</v>
      </c>
      <c r="I399" s="960"/>
      <c r="J399" s="960">
        <v>4</v>
      </c>
      <c r="K399" s="960">
        <v>4</v>
      </c>
      <c r="L399" s="960">
        <v>4</v>
      </c>
      <c r="M399" s="960"/>
      <c r="N399" s="960">
        <f t="shared" si="127"/>
        <v>24</v>
      </c>
      <c r="O399" s="960">
        <f t="shared" si="128"/>
        <v>0</v>
      </c>
      <c r="P399" s="960">
        <f t="shared" si="129"/>
        <v>0</v>
      </c>
      <c r="Q399" s="960">
        <f t="shared" si="130"/>
        <v>16</v>
      </c>
      <c r="R399" s="960">
        <f t="shared" si="131"/>
        <v>0</v>
      </c>
      <c r="S399" s="960">
        <f t="shared" si="132"/>
        <v>8</v>
      </c>
      <c r="T399" s="960">
        <f t="shared" si="133"/>
        <v>4</v>
      </c>
      <c r="U399" s="960">
        <f t="shared" si="134"/>
        <v>4</v>
      </c>
      <c r="V399" s="960">
        <f t="shared" si="135"/>
        <v>0</v>
      </c>
      <c r="W399" s="960"/>
      <c r="X399" s="960"/>
      <c r="Y399" s="960"/>
      <c r="Z399" s="960"/>
      <c r="AA399" s="975">
        <f t="shared" si="138"/>
        <v>56</v>
      </c>
      <c r="AB399" s="975">
        <f>VLOOKUP(C399,'[8]MỦ TẠP'!$D$10:$AM$450,36,0)</f>
        <v>0</v>
      </c>
      <c r="AC399" s="975"/>
      <c r="AD399" s="975"/>
      <c r="AE399" s="976">
        <f t="shared" si="136"/>
        <v>0</v>
      </c>
      <c r="AF399" s="975"/>
      <c r="AG399" s="975"/>
      <c r="AH399" s="975">
        <f t="shared" si="137"/>
        <v>0</v>
      </c>
      <c r="AI399" s="975">
        <f>VLOOKUP(C399,'[8]CHẤM CÔNG '!$F$10:$AM$451,33,0)</f>
        <v>0</v>
      </c>
      <c r="AJ399" s="975">
        <f>VLOOKUP(C399,'[8]CHẤM CÔNG '!$F$10:$AM$451,34,0)</f>
        <v>0</v>
      </c>
      <c r="AK399" s="975"/>
      <c r="AL399" s="975"/>
      <c r="AM399" s="975"/>
      <c r="AN399" s="975">
        <f>VLOOKUP(C399,'[8]CHẤM CÔNG '!$F$10:$AN$451,35,0)</f>
        <v>0</v>
      </c>
      <c r="AO399" s="975">
        <f>VLOOKUP(C399,'[8]CHẤM CÔNG '!$F$10:$AR$451,36,0)</f>
        <v>0</v>
      </c>
      <c r="AP399" s="975"/>
      <c r="AQ399" s="975"/>
      <c r="AR399" s="975"/>
      <c r="AS399" s="981"/>
      <c r="AT399" s="982">
        <f>VLOOKUP(C399,'[8]MỦ TẠP'!$D$10:$AO$450,38,0)</f>
        <v>0</v>
      </c>
    </row>
    <row r="400" spans="1:46" ht="15.75">
      <c r="A400" s="957">
        <v>19</v>
      </c>
      <c r="B400" s="958" t="str">
        <f>VLOOKUP(C400,'[8]DS CN MOI UP'!$B$10:$C$489,2,0)</f>
        <v>02654</v>
      </c>
      <c r="C400" s="992" t="s">
        <v>304</v>
      </c>
      <c r="D400" s="957" t="s">
        <v>15</v>
      </c>
      <c r="E400" s="960">
        <v>4</v>
      </c>
      <c r="F400" s="960"/>
      <c r="G400" s="960"/>
      <c r="H400" s="960">
        <v>4</v>
      </c>
      <c r="I400" s="960"/>
      <c r="J400" s="960">
        <v>4</v>
      </c>
      <c r="K400" s="960">
        <v>4</v>
      </c>
      <c r="L400" s="960">
        <v>4</v>
      </c>
      <c r="M400" s="960"/>
      <c r="N400" s="960">
        <f t="shared" si="127"/>
        <v>24</v>
      </c>
      <c r="O400" s="960">
        <f t="shared" si="128"/>
        <v>0</v>
      </c>
      <c r="P400" s="960">
        <f t="shared" si="129"/>
        <v>0</v>
      </c>
      <c r="Q400" s="960">
        <f t="shared" si="130"/>
        <v>16</v>
      </c>
      <c r="R400" s="960">
        <f t="shared" si="131"/>
        <v>0</v>
      </c>
      <c r="S400" s="960">
        <f t="shared" si="132"/>
        <v>8</v>
      </c>
      <c r="T400" s="960">
        <f t="shared" si="133"/>
        <v>4</v>
      </c>
      <c r="U400" s="960">
        <f t="shared" si="134"/>
        <v>4</v>
      </c>
      <c r="V400" s="960">
        <f t="shared" si="135"/>
        <v>0</v>
      </c>
      <c r="W400" s="960"/>
      <c r="X400" s="960"/>
      <c r="Y400" s="960"/>
      <c r="Z400" s="960"/>
      <c r="AA400" s="975">
        <f t="shared" si="138"/>
        <v>56</v>
      </c>
      <c r="AB400" s="975">
        <f>VLOOKUP(C400,'[8]MỦ TẠP'!$D$10:$AM$450,36,0)</f>
        <v>0</v>
      </c>
      <c r="AC400" s="975"/>
      <c r="AD400" s="975"/>
      <c r="AE400" s="976">
        <f t="shared" si="136"/>
        <v>0</v>
      </c>
      <c r="AF400" s="975"/>
      <c r="AG400" s="975"/>
      <c r="AH400" s="975">
        <f t="shared" si="137"/>
        <v>0</v>
      </c>
      <c r="AI400" s="975">
        <f>VLOOKUP(C400,'[8]CHẤM CÔNG '!$F$10:$AM$451,33,0)</f>
        <v>0</v>
      </c>
      <c r="AJ400" s="975">
        <f>VLOOKUP(C400,'[8]CHẤM CÔNG '!$F$10:$AM$451,34,0)</f>
        <v>0</v>
      </c>
      <c r="AK400" s="975"/>
      <c r="AL400" s="975"/>
      <c r="AM400" s="975"/>
      <c r="AN400" s="975">
        <f>VLOOKUP(C400,'[8]CHẤM CÔNG '!$F$10:$AN$451,35,0)</f>
        <v>0</v>
      </c>
      <c r="AO400" s="975">
        <f>VLOOKUP(C400,'[8]CHẤM CÔNG '!$F$10:$AR$451,36,0)</f>
        <v>0</v>
      </c>
      <c r="AP400" s="975"/>
      <c r="AQ400" s="975"/>
      <c r="AR400" s="975"/>
      <c r="AS400" s="981"/>
      <c r="AT400" s="982">
        <f>VLOOKUP(C400,'[8]MỦ TẠP'!$D$10:$AO$450,38,0)</f>
        <v>0</v>
      </c>
    </row>
    <row r="401" spans="1:46" ht="15.75">
      <c r="A401" s="957">
        <v>20</v>
      </c>
      <c r="B401" s="958" t="str">
        <f>VLOOKUP(C401,'[8]DS CN MOI UP'!$B$10:$C$489,2,0)</f>
        <v>03861</v>
      </c>
      <c r="C401" s="992" t="s">
        <v>305</v>
      </c>
      <c r="D401" s="957" t="s">
        <v>15</v>
      </c>
      <c r="E401" s="960">
        <v>4</v>
      </c>
      <c r="F401" s="960"/>
      <c r="G401" s="960"/>
      <c r="H401" s="960">
        <v>4</v>
      </c>
      <c r="I401" s="960"/>
      <c r="J401" s="960">
        <v>4</v>
      </c>
      <c r="K401" s="960">
        <v>4</v>
      </c>
      <c r="L401" s="960">
        <v>4</v>
      </c>
      <c r="M401" s="960"/>
      <c r="N401" s="960">
        <f t="shared" si="127"/>
        <v>24</v>
      </c>
      <c r="O401" s="960">
        <f t="shared" si="128"/>
        <v>0</v>
      </c>
      <c r="P401" s="960">
        <f t="shared" si="129"/>
        <v>0</v>
      </c>
      <c r="Q401" s="960">
        <f t="shared" si="130"/>
        <v>16</v>
      </c>
      <c r="R401" s="960">
        <f t="shared" si="131"/>
        <v>0</v>
      </c>
      <c r="S401" s="960">
        <f t="shared" si="132"/>
        <v>8</v>
      </c>
      <c r="T401" s="960">
        <f t="shared" si="133"/>
        <v>4</v>
      </c>
      <c r="U401" s="960">
        <f t="shared" si="134"/>
        <v>4</v>
      </c>
      <c r="V401" s="960">
        <f t="shared" si="135"/>
        <v>0</v>
      </c>
      <c r="W401" s="960"/>
      <c r="X401" s="960"/>
      <c r="Y401" s="960"/>
      <c r="Z401" s="960"/>
      <c r="AA401" s="975">
        <f t="shared" si="138"/>
        <v>56</v>
      </c>
      <c r="AB401" s="975">
        <f>VLOOKUP(C401,'[8]MỦ TẠP'!$D$10:$AM$450,36,0)</f>
        <v>0</v>
      </c>
      <c r="AC401" s="975"/>
      <c r="AD401" s="975"/>
      <c r="AE401" s="976">
        <f t="shared" si="136"/>
        <v>0</v>
      </c>
      <c r="AF401" s="975"/>
      <c r="AG401" s="975"/>
      <c r="AH401" s="975">
        <f t="shared" si="137"/>
        <v>0</v>
      </c>
      <c r="AI401" s="975">
        <f>VLOOKUP(C401,'[8]CHẤM CÔNG '!$F$10:$AM$451,33,0)</f>
        <v>0</v>
      </c>
      <c r="AJ401" s="975">
        <f>VLOOKUP(C401,'[8]CHẤM CÔNG '!$F$10:$AM$451,34,0)</f>
        <v>0</v>
      </c>
      <c r="AK401" s="975"/>
      <c r="AL401" s="975"/>
      <c r="AM401" s="975"/>
      <c r="AN401" s="975">
        <f>VLOOKUP(C401,'[8]CHẤM CÔNG '!$F$10:$AN$451,35,0)</f>
        <v>0</v>
      </c>
      <c r="AO401" s="975">
        <f>VLOOKUP(C401,'[8]CHẤM CÔNG '!$F$10:$AR$451,36,0)</f>
        <v>0</v>
      </c>
      <c r="AP401" s="975"/>
      <c r="AQ401" s="975"/>
      <c r="AR401" s="975"/>
      <c r="AS401" s="981"/>
      <c r="AT401" s="982">
        <f>VLOOKUP(C401,'[8]MỦ TẠP'!$D$10:$AO$450,38,0)</f>
        <v>0</v>
      </c>
    </row>
    <row r="402" spans="1:46" ht="15.75">
      <c r="A402" s="957">
        <v>21</v>
      </c>
      <c r="B402" s="958" t="e">
        <f>VLOOKUP(C402,'[8]DS CN MOI UP'!$B$10:$C$489,2,0)</f>
        <v>#N/A</v>
      </c>
      <c r="C402" s="992" t="s">
        <v>306</v>
      </c>
      <c r="D402" s="957" t="s">
        <v>15</v>
      </c>
      <c r="E402" s="960">
        <v>4</v>
      </c>
      <c r="F402" s="960"/>
      <c r="G402" s="960"/>
      <c r="H402" s="960">
        <v>4</v>
      </c>
      <c r="I402" s="960"/>
      <c r="J402" s="960"/>
      <c r="K402" s="960"/>
      <c r="L402" s="960"/>
      <c r="M402" s="960"/>
      <c r="N402" s="960">
        <f t="shared" si="127"/>
        <v>24</v>
      </c>
      <c r="O402" s="960">
        <f t="shared" si="128"/>
        <v>0</v>
      </c>
      <c r="P402" s="960">
        <f t="shared" si="129"/>
        <v>0</v>
      </c>
      <c r="Q402" s="960">
        <f t="shared" si="130"/>
        <v>16</v>
      </c>
      <c r="R402" s="960">
        <f t="shared" si="131"/>
        <v>0</v>
      </c>
      <c r="S402" s="960">
        <f t="shared" si="132"/>
        <v>0</v>
      </c>
      <c r="T402" s="960">
        <f t="shared" si="133"/>
        <v>0</v>
      </c>
      <c r="U402" s="960">
        <f t="shared" si="134"/>
        <v>0</v>
      </c>
      <c r="V402" s="960">
        <f t="shared" si="135"/>
        <v>0</v>
      </c>
      <c r="W402" s="960"/>
      <c r="X402" s="960"/>
      <c r="Y402" s="960"/>
      <c r="Z402" s="960"/>
      <c r="AA402" s="975">
        <f t="shared" si="138"/>
        <v>40</v>
      </c>
      <c r="AB402" s="975">
        <f>VLOOKUP(C402,'[8]MỦ TẠP'!$D$10:$AM$450,36,0)</f>
        <v>0</v>
      </c>
      <c r="AC402" s="975"/>
      <c r="AD402" s="975"/>
      <c r="AE402" s="976">
        <f t="shared" si="136"/>
        <v>0</v>
      </c>
      <c r="AF402" s="975"/>
      <c r="AG402" s="975"/>
      <c r="AH402" s="975">
        <f t="shared" si="137"/>
        <v>0</v>
      </c>
      <c r="AI402" s="975">
        <f>VLOOKUP(C402,'[8]CHẤM CÔNG '!$F$10:$AM$451,33,0)</f>
        <v>0</v>
      </c>
      <c r="AJ402" s="975">
        <f>VLOOKUP(C402,'[8]CHẤM CÔNG '!$F$10:$AM$451,34,0)</f>
        <v>0</v>
      </c>
      <c r="AK402" s="975"/>
      <c r="AL402" s="975"/>
      <c r="AM402" s="975"/>
      <c r="AN402" s="975">
        <f>VLOOKUP(C402,'[8]CHẤM CÔNG '!$F$10:$AN$451,35,0)</f>
        <v>0</v>
      </c>
      <c r="AO402" s="975">
        <f>VLOOKUP(C402,'[8]CHẤM CÔNG '!$F$10:$AR$451,36,0)</f>
        <v>0</v>
      </c>
      <c r="AP402" s="975"/>
      <c r="AQ402" s="975"/>
      <c r="AR402" s="975"/>
      <c r="AS402" s="981"/>
      <c r="AT402" s="982">
        <f>VLOOKUP(C402,'[8]MỦ TẠP'!$D$10:$AO$450,38,0)</f>
        <v>0</v>
      </c>
    </row>
    <row r="403" spans="1:46" ht="15.75">
      <c r="A403" s="957">
        <v>22</v>
      </c>
      <c r="B403" s="958" t="e">
        <f>VLOOKUP(C403,'[8]DS CN MOI UP'!$B$10:$C$489,2,0)</f>
        <v>#N/A</v>
      </c>
      <c r="C403" s="992" t="s">
        <v>307</v>
      </c>
      <c r="D403" s="957" t="s">
        <v>15</v>
      </c>
      <c r="E403" s="960">
        <v>4</v>
      </c>
      <c r="F403" s="960"/>
      <c r="G403" s="960"/>
      <c r="H403" s="960">
        <v>4</v>
      </c>
      <c r="I403" s="960"/>
      <c r="J403" s="960">
        <v>4</v>
      </c>
      <c r="K403" s="960">
        <v>4</v>
      </c>
      <c r="L403" s="960">
        <v>4</v>
      </c>
      <c r="M403" s="960"/>
      <c r="N403" s="960">
        <f t="shared" si="127"/>
        <v>24</v>
      </c>
      <c r="O403" s="960">
        <f t="shared" si="128"/>
        <v>0</v>
      </c>
      <c r="P403" s="960">
        <f t="shared" si="129"/>
        <v>0</v>
      </c>
      <c r="Q403" s="960">
        <f t="shared" si="130"/>
        <v>16</v>
      </c>
      <c r="R403" s="960">
        <f t="shared" si="131"/>
        <v>0</v>
      </c>
      <c r="S403" s="960">
        <f t="shared" si="132"/>
        <v>8</v>
      </c>
      <c r="T403" s="960">
        <f t="shared" si="133"/>
        <v>4</v>
      </c>
      <c r="U403" s="960">
        <f t="shared" si="134"/>
        <v>4</v>
      </c>
      <c r="V403" s="960">
        <f t="shared" si="135"/>
        <v>0</v>
      </c>
      <c r="W403" s="960"/>
      <c r="X403" s="960"/>
      <c r="Y403" s="960"/>
      <c r="Z403" s="960"/>
      <c r="AA403" s="975">
        <f t="shared" si="138"/>
        <v>56</v>
      </c>
      <c r="AB403" s="975" t="e">
        <f>VLOOKUP(C403,'[8]MỦ TẠP'!$D$10:$AM$450,36,0)</f>
        <v>#N/A</v>
      </c>
      <c r="AC403" s="975"/>
      <c r="AD403" s="975"/>
      <c r="AE403" s="976" t="e">
        <f t="shared" si="136"/>
        <v>#N/A</v>
      </c>
      <c r="AF403" s="975"/>
      <c r="AG403" s="975"/>
      <c r="AH403" s="975" t="e">
        <f t="shared" si="137"/>
        <v>#N/A</v>
      </c>
      <c r="AI403" s="975">
        <f>VLOOKUP(C403,'[8]CHẤM CÔNG '!$F$10:$AM$451,33,0)</f>
        <v>0</v>
      </c>
      <c r="AJ403" s="975">
        <f>VLOOKUP(C403,'[8]CHẤM CÔNG '!$F$10:$AM$451,34,0)</f>
        <v>0</v>
      </c>
      <c r="AK403" s="975"/>
      <c r="AL403" s="975"/>
      <c r="AM403" s="975"/>
      <c r="AN403" s="975">
        <f>VLOOKUP(C403,'[8]CHẤM CÔNG '!$F$10:$AN$451,35,0)</f>
        <v>0</v>
      </c>
      <c r="AO403" s="975">
        <f>VLOOKUP(C403,'[8]CHẤM CÔNG '!$F$10:$AR$451,36,0)</f>
        <v>0</v>
      </c>
      <c r="AP403" s="975"/>
      <c r="AQ403" s="975"/>
      <c r="AR403" s="975"/>
      <c r="AS403" s="981"/>
      <c r="AT403" s="982" t="e">
        <f>VLOOKUP(C403,'[8]MỦ TẠP'!$D$10:$AO$450,38,0)</f>
        <v>#N/A</v>
      </c>
    </row>
    <row r="404" spans="1:46" ht="15.75">
      <c r="A404" s="957">
        <v>23</v>
      </c>
      <c r="B404" s="958" t="str">
        <f>VLOOKUP(C404,'[8]DS CN MOI UP'!$B$10:$C$489,2,0)</f>
        <v>02616</v>
      </c>
      <c r="C404" s="992" t="s">
        <v>308</v>
      </c>
      <c r="D404" s="957" t="s">
        <v>15</v>
      </c>
      <c r="E404" s="960">
        <v>4</v>
      </c>
      <c r="F404" s="960"/>
      <c r="G404" s="960"/>
      <c r="H404" s="960">
        <v>4</v>
      </c>
      <c r="I404" s="960"/>
      <c r="J404" s="960">
        <v>4</v>
      </c>
      <c r="K404" s="960">
        <v>4</v>
      </c>
      <c r="L404" s="960">
        <v>4</v>
      </c>
      <c r="M404" s="960"/>
      <c r="N404" s="960">
        <f t="shared" si="127"/>
        <v>24</v>
      </c>
      <c r="O404" s="960">
        <f t="shared" si="128"/>
        <v>0</v>
      </c>
      <c r="P404" s="960">
        <f t="shared" si="129"/>
        <v>0</v>
      </c>
      <c r="Q404" s="960">
        <f t="shared" si="130"/>
        <v>16</v>
      </c>
      <c r="R404" s="960">
        <f t="shared" si="131"/>
        <v>0</v>
      </c>
      <c r="S404" s="960">
        <f t="shared" si="132"/>
        <v>8</v>
      </c>
      <c r="T404" s="960">
        <f t="shared" si="133"/>
        <v>4</v>
      </c>
      <c r="U404" s="960">
        <f t="shared" si="134"/>
        <v>4</v>
      </c>
      <c r="V404" s="960">
        <f t="shared" si="135"/>
        <v>0</v>
      </c>
      <c r="W404" s="960"/>
      <c r="X404" s="960"/>
      <c r="Y404" s="960"/>
      <c r="Z404" s="960"/>
      <c r="AA404" s="975">
        <f t="shared" si="138"/>
        <v>56</v>
      </c>
      <c r="AB404" s="975">
        <f>VLOOKUP(C404,'[8]MỦ TẠP'!$D$10:$AM$450,36,0)</f>
        <v>0</v>
      </c>
      <c r="AC404" s="975"/>
      <c r="AD404" s="975"/>
      <c r="AE404" s="976">
        <f t="shared" si="136"/>
        <v>0</v>
      </c>
      <c r="AF404" s="975"/>
      <c r="AG404" s="975"/>
      <c r="AH404" s="975">
        <f t="shared" si="137"/>
        <v>0</v>
      </c>
      <c r="AI404" s="975">
        <f>VLOOKUP(C404,'[8]CHẤM CÔNG '!$F$10:$AM$451,33,0)</f>
        <v>0</v>
      </c>
      <c r="AJ404" s="975">
        <f>VLOOKUP(C404,'[8]CHẤM CÔNG '!$F$10:$AM$451,34,0)</f>
        <v>0</v>
      </c>
      <c r="AK404" s="975"/>
      <c r="AL404" s="975"/>
      <c r="AM404" s="975"/>
      <c r="AN404" s="975">
        <f>VLOOKUP(C404,'[8]CHẤM CÔNG '!$F$10:$AN$451,35,0)</f>
        <v>0</v>
      </c>
      <c r="AO404" s="975">
        <f>VLOOKUP(C404,'[8]CHẤM CÔNG '!$F$10:$AR$451,36,0)</f>
        <v>0</v>
      </c>
      <c r="AP404" s="975"/>
      <c r="AQ404" s="975"/>
      <c r="AR404" s="975"/>
      <c r="AS404" s="981"/>
      <c r="AT404" s="982">
        <f>VLOOKUP(C404,'[8]MỦ TẠP'!$D$10:$AO$450,38,0)</f>
        <v>0</v>
      </c>
    </row>
    <row r="405" spans="1:46" ht="15.75">
      <c r="A405" s="957">
        <v>24</v>
      </c>
      <c r="B405" s="958" t="str">
        <f>VLOOKUP(C405,'[8]DS CN MOI UP'!$B$10:$C$489,2,0)</f>
        <v>02617</v>
      </c>
      <c r="C405" s="992" t="s">
        <v>309</v>
      </c>
      <c r="D405" s="957" t="s">
        <v>15</v>
      </c>
      <c r="E405" s="960">
        <v>4</v>
      </c>
      <c r="F405" s="960"/>
      <c r="G405" s="960"/>
      <c r="H405" s="960">
        <v>4</v>
      </c>
      <c r="I405" s="960"/>
      <c r="J405" s="960">
        <v>4</v>
      </c>
      <c r="K405" s="960">
        <v>4</v>
      </c>
      <c r="L405" s="960">
        <v>4</v>
      </c>
      <c r="M405" s="960"/>
      <c r="N405" s="960">
        <f t="shared" si="127"/>
        <v>24</v>
      </c>
      <c r="O405" s="960">
        <f t="shared" si="128"/>
        <v>0</v>
      </c>
      <c r="P405" s="960">
        <f t="shared" si="129"/>
        <v>0</v>
      </c>
      <c r="Q405" s="960">
        <f t="shared" si="130"/>
        <v>16</v>
      </c>
      <c r="R405" s="960">
        <f t="shared" si="131"/>
        <v>0</v>
      </c>
      <c r="S405" s="960">
        <f t="shared" si="132"/>
        <v>8</v>
      </c>
      <c r="T405" s="960">
        <f t="shared" si="133"/>
        <v>4</v>
      </c>
      <c r="U405" s="960">
        <f t="shared" si="134"/>
        <v>4</v>
      </c>
      <c r="V405" s="960">
        <f t="shared" si="135"/>
        <v>0</v>
      </c>
      <c r="W405" s="960"/>
      <c r="X405" s="960"/>
      <c r="Y405" s="960"/>
      <c r="Z405" s="960"/>
      <c r="AA405" s="975">
        <f t="shared" si="138"/>
        <v>56</v>
      </c>
      <c r="AB405" s="975">
        <f>VLOOKUP(C405,'[8]MỦ TẠP'!$D$10:$AM$450,36,0)</f>
        <v>0</v>
      </c>
      <c r="AC405" s="975"/>
      <c r="AD405" s="975"/>
      <c r="AE405" s="976">
        <f t="shared" si="136"/>
        <v>0</v>
      </c>
      <c r="AF405" s="975"/>
      <c r="AG405" s="975"/>
      <c r="AH405" s="975">
        <f t="shared" si="137"/>
        <v>0</v>
      </c>
      <c r="AI405" s="975">
        <f>VLOOKUP(C405,'[8]CHẤM CÔNG '!$F$10:$AM$451,33,0)</f>
        <v>0</v>
      </c>
      <c r="AJ405" s="975">
        <f>VLOOKUP(C405,'[8]CHẤM CÔNG '!$F$10:$AM$451,34,0)</f>
        <v>0</v>
      </c>
      <c r="AK405" s="975"/>
      <c r="AL405" s="975"/>
      <c r="AM405" s="975"/>
      <c r="AN405" s="975">
        <f>VLOOKUP(C405,'[8]CHẤM CÔNG '!$F$10:$AN$451,35,0)</f>
        <v>0</v>
      </c>
      <c r="AO405" s="975">
        <f>VLOOKUP(C405,'[8]CHẤM CÔNG '!$F$10:$AR$451,36,0)</f>
        <v>0</v>
      </c>
      <c r="AP405" s="975"/>
      <c r="AQ405" s="975"/>
      <c r="AR405" s="975"/>
      <c r="AS405" s="981"/>
      <c r="AT405" s="982">
        <f>VLOOKUP(C405,'[8]MỦ TẠP'!$D$10:$AO$450,38,0)</f>
        <v>0</v>
      </c>
    </row>
    <row r="406" spans="1:46" ht="15.75">
      <c r="A406" s="957">
        <v>25</v>
      </c>
      <c r="B406" s="958" t="str">
        <f>VLOOKUP(C406,'[8]DS CN MOI UP'!$B$10:$C$489,2,0)</f>
        <v>02618</v>
      </c>
      <c r="C406" s="992" t="s">
        <v>310</v>
      </c>
      <c r="D406" s="957" t="s">
        <v>15</v>
      </c>
      <c r="E406" s="960">
        <v>4</v>
      </c>
      <c r="F406" s="960"/>
      <c r="G406" s="960"/>
      <c r="H406" s="960">
        <v>4</v>
      </c>
      <c r="I406" s="960"/>
      <c r="J406" s="960">
        <v>4</v>
      </c>
      <c r="K406" s="960">
        <v>4</v>
      </c>
      <c r="L406" s="960">
        <v>4</v>
      </c>
      <c r="M406" s="960"/>
      <c r="N406" s="960">
        <f t="shared" si="127"/>
        <v>24</v>
      </c>
      <c r="O406" s="960">
        <f t="shared" si="128"/>
        <v>0</v>
      </c>
      <c r="P406" s="960">
        <f t="shared" si="129"/>
        <v>0</v>
      </c>
      <c r="Q406" s="960">
        <f t="shared" si="130"/>
        <v>16</v>
      </c>
      <c r="R406" s="960">
        <f t="shared" si="131"/>
        <v>0</v>
      </c>
      <c r="S406" s="960">
        <f t="shared" si="132"/>
        <v>8</v>
      </c>
      <c r="T406" s="960">
        <f t="shared" si="133"/>
        <v>4</v>
      </c>
      <c r="U406" s="960">
        <f t="shared" si="134"/>
        <v>4</v>
      </c>
      <c r="V406" s="960">
        <f t="shared" si="135"/>
        <v>0</v>
      </c>
      <c r="W406" s="960"/>
      <c r="X406" s="960"/>
      <c r="Y406" s="960"/>
      <c r="Z406" s="960"/>
      <c r="AA406" s="975">
        <f t="shared" si="138"/>
        <v>56</v>
      </c>
      <c r="AB406" s="975">
        <f>VLOOKUP(C406,'[8]MỦ TẠP'!$D$10:$AM$450,36,0)</f>
        <v>0</v>
      </c>
      <c r="AC406" s="975"/>
      <c r="AD406" s="975"/>
      <c r="AE406" s="976">
        <f t="shared" si="136"/>
        <v>0</v>
      </c>
      <c r="AF406" s="975"/>
      <c r="AG406" s="975"/>
      <c r="AH406" s="975">
        <f t="shared" si="137"/>
        <v>0</v>
      </c>
      <c r="AI406" s="975">
        <f>VLOOKUP(C406,'[8]CHẤM CÔNG '!$F$10:$AM$451,33,0)</f>
        <v>0</v>
      </c>
      <c r="AJ406" s="975">
        <f>VLOOKUP(C406,'[8]CHẤM CÔNG '!$F$10:$AM$451,34,0)</f>
        <v>0</v>
      </c>
      <c r="AK406" s="975"/>
      <c r="AL406" s="975"/>
      <c r="AM406" s="975"/>
      <c r="AN406" s="975">
        <f>VLOOKUP(C406,'[8]CHẤM CÔNG '!$F$10:$AN$451,35,0)</f>
        <v>0</v>
      </c>
      <c r="AO406" s="975">
        <f>VLOOKUP(C406,'[8]CHẤM CÔNG '!$F$10:$AR$451,36,0)</f>
        <v>0</v>
      </c>
      <c r="AP406" s="975"/>
      <c r="AQ406" s="975"/>
      <c r="AR406" s="975"/>
      <c r="AS406" s="981"/>
      <c r="AT406" s="982">
        <f>VLOOKUP(C406,'[8]MỦ TẠP'!$D$10:$AO$450,38,0)</f>
        <v>0</v>
      </c>
    </row>
    <row r="407" spans="1:46" ht="15.75">
      <c r="A407" s="957">
        <v>26</v>
      </c>
      <c r="B407" s="958" t="str">
        <f>VLOOKUP(C407,'[8]DS CN MOI UP'!$B$10:$C$489,2,0)</f>
        <v>03401</v>
      </c>
      <c r="C407" s="992" t="s">
        <v>311</v>
      </c>
      <c r="D407" s="957" t="s">
        <v>15</v>
      </c>
      <c r="E407" s="960">
        <v>4</v>
      </c>
      <c r="F407" s="960"/>
      <c r="G407" s="960"/>
      <c r="H407" s="960">
        <v>4</v>
      </c>
      <c r="I407" s="960"/>
      <c r="J407" s="960">
        <v>4</v>
      </c>
      <c r="K407" s="960">
        <v>4</v>
      </c>
      <c r="L407" s="960">
        <v>4</v>
      </c>
      <c r="M407" s="960"/>
      <c r="N407" s="960">
        <f t="shared" si="127"/>
        <v>24</v>
      </c>
      <c r="O407" s="960">
        <f t="shared" si="128"/>
        <v>0</v>
      </c>
      <c r="P407" s="960">
        <f t="shared" si="129"/>
        <v>0</v>
      </c>
      <c r="Q407" s="960">
        <f t="shared" si="130"/>
        <v>16</v>
      </c>
      <c r="R407" s="960">
        <f t="shared" si="131"/>
        <v>0</v>
      </c>
      <c r="S407" s="960">
        <f t="shared" si="132"/>
        <v>8</v>
      </c>
      <c r="T407" s="960">
        <f t="shared" si="133"/>
        <v>4</v>
      </c>
      <c r="U407" s="960">
        <f t="shared" si="134"/>
        <v>4</v>
      </c>
      <c r="V407" s="960">
        <f t="shared" si="135"/>
        <v>0</v>
      </c>
      <c r="W407" s="960"/>
      <c r="X407" s="960"/>
      <c r="Y407" s="960"/>
      <c r="Z407" s="960"/>
      <c r="AA407" s="975">
        <f t="shared" si="138"/>
        <v>56</v>
      </c>
      <c r="AB407" s="975">
        <f>VLOOKUP(C407,'[8]MỦ TẠP'!$D$10:$AM$450,36,0)</f>
        <v>0</v>
      </c>
      <c r="AC407" s="975"/>
      <c r="AD407" s="975"/>
      <c r="AE407" s="976">
        <f t="shared" si="136"/>
        <v>0</v>
      </c>
      <c r="AF407" s="975"/>
      <c r="AG407" s="975"/>
      <c r="AH407" s="975">
        <f t="shared" si="137"/>
        <v>0</v>
      </c>
      <c r="AI407" s="975">
        <f>VLOOKUP(C407,'[8]CHẤM CÔNG '!$F$10:$AM$451,33,0)</f>
        <v>0</v>
      </c>
      <c r="AJ407" s="975">
        <f>VLOOKUP(C407,'[8]CHẤM CÔNG '!$F$10:$AM$451,34,0)</f>
        <v>0</v>
      </c>
      <c r="AK407" s="975"/>
      <c r="AL407" s="975"/>
      <c r="AM407" s="975"/>
      <c r="AN407" s="975">
        <f>VLOOKUP(C407,'[8]CHẤM CÔNG '!$F$10:$AN$451,35,0)</f>
        <v>0</v>
      </c>
      <c r="AO407" s="975">
        <f>VLOOKUP(C407,'[8]CHẤM CÔNG '!$F$10:$AR$451,36,0)</f>
        <v>0</v>
      </c>
      <c r="AP407" s="975"/>
      <c r="AQ407" s="975"/>
      <c r="AR407" s="975"/>
      <c r="AS407" s="981"/>
      <c r="AT407" s="982">
        <f>VLOOKUP(C407,'[8]MỦ TẠP'!$D$10:$AO$450,38,0)</f>
        <v>0</v>
      </c>
    </row>
    <row r="408" spans="1:46" ht="15.75">
      <c r="A408" s="957">
        <v>27</v>
      </c>
      <c r="B408" s="958" t="str">
        <f>VLOOKUP(C408,'[8]DS CN MOI UP'!$B$10:$C$489,2,0)</f>
        <v>03402</v>
      </c>
      <c r="C408" s="992" t="s">
        <v>312</v>
      </c>
      <c r="D408" s="957" t="s">
        <v>15</v>
      </c>
      <c r="E408" s="960">
        <v>4</v>
      </c>
      <c r="F408" s="960"/>
      <c r="G408" s="960"/>
      <c r="H408" s="960">
        <v>4</v>
      </c>
      <c r="I408" s="960"/>
      <c r="J408" s="960">
        <v>4</v>
      </c>
      <c r="K408" s="960">
        <v>4</v>
      </c>
      <c r="L408" s="960">
        <v>4</v>
      </c>
      <c r="M408" s="960"/>
      <c r="N408" s="960">
        <f t="shared" si="127"/>
        <v>24</v>
      </c>
      <c r="O408" s="960">
        <f t="shared" si="128"/>
        <v>0</v>
      </c>
      <c r="P408" s="960">
        <f t="shared" si="129"/>
        <v>0</v>
      </c>
      <c r="Q408" s="960">
        <f t="shared" si="130"/>
        <v>16</v>
      </c>
      <c r="R408" s="960">
        <f t="shared" si="131"/>
        <v>0</v>
      </c>
      <c r="S408" s="960">
        <f t="shared" si="132"/>
        <v>8</v>
      </c>
      <c r="T408" s="960">
        <f t="shared" si="133"/>
        <v>4</v>
      </c>
      <c r="U408" s="960">
        <f t="shared" si="134"/>
        <v>4</v>
      </c>
      <c r="V408" s="960">
        <f t="shared" si="135"/>
        <v>0</v>
      </c>
      <c r="W408" s="960"/>
      <c r="X408" s="960"/>
      <c r="Y408" s="960"/>
      <c r="Z408" s="960"/>
      <c r="AA408" s="975">
        <f t="shared" si="138"/>
        <v>56</v>
      </c>
      <c r="AB408" s="975">
        <f>VLOOKUP(C408,'[8]MỦ TẠP'!$D$10:$AM$450,36,0)</f>
        <v>0</v>
      </c>
      <c r="AC408" s="975"/>
      <c r="AD408" s="975"/>
      <c r="AE408" s="976">
        <f t="shared" si="136"/>
        <v>0</v>
      </c>
      <c r="AF408" s="975"/>
      <c r="AG408" s="975"/>
      <c r="AH408" s="975">
        <f t="shared" si="137"/>
        <v>0</v>
      </c>
      <c r="AI408" s="975">
        <f>VLOOKUP(C408,'[8]CHẤM CÔNG '!$F$10:$AM$451,33,0)</f>
        <v>0</v>
      </c>
      <c r="AJ408" s="975">
        <f>VLOOKUP(C408,'[8]CHẤM CÔNG '!$F$10:$AM$451,34,0)</f>
        <v>0</v>
      </c>
      <c r="AK408" s="975"/>
      <c r="AL408" s="975"/>
      <c r="AM408" s="975"/>
      <c r="AN408" s="975">
        <f>VLOOKUP(C408,'[8]CHẤM CÔNG '!$F$10:$AN$451,35,0)</f>
        <v>0</v>
      </c>
      <c r="AO408" s="975">
        <f>VLOOKUP(C408,'[8]CHẤM CÔNG '!$F$10:$AR$451,36,0)</f>
        <v>0</v>
      </c>
      <c r="AP408" s="975"/>
      <c r="AQ408" s="975"/>
      <c r="AR408" s="975"/>
      <c r="AS408" s="981"/>
      <c r="AT408" s="982">
        <f>VLOOKUP(C408,'[8]MỦ TẠP'!$D$10:$AO$450,38,0)</f>
        <v>0</v>
      </c>
    </row>
    <row r="409" spans="1:46" ht="15.75">
      <c r="A409" s="957">
        <v>28</v>
      </c>
      <c r="B409" s="958" t="str">
        <f>VLOOKUP(C409,'[8]DS CN MOI UP'!$B$10:$C$489,2,0)</f>
        <v>02621</v>
      </c>
      <c r="C409" s="992" t="s">
        <v>313</v>
      </c>
      <c r="D409" s="957" t="s">
        <v>15</v>
      </c>
      <c r="E409" s="960">
        <v>4</v>
      </c>
      <c r="F409" s="960"/>
      <c r="G409" s="960"/>
      <c r="H409" s="960">
        <v>4</v>
      </c>
      <c r="I409" s="960"/>
      <c r="J409" s="960">
        <v>4</v>
      </c>
      <c r="K409" s="960">
        <v>4</v>
      </c>
      <c r="L409" s="960">
        <v>4</v>
      </c>
      <c r="M409" s="960"/>
      <c r="N409" s="960">
        <f t="shared" si="127"/>
        <v>24</v>
      </c>
      <c r="O409" s="960">
        <f t="shared" si="128"/>
        <v>0</v>
      </c>
      <c r="P409" s="960">
        <f t="shared" si="129"/>
        <v>0</v>
      </c>
      <c r="Q409" s="960">
        <f t="shared" si="130"/>
        <v>16</v>
      </c>
      <c r="R409" s="960">
        <f t="shared" si="131"/>
        <v>0</v>
      </c>
      <c r="S409" s="960">
        <f t="shared" si="132"/>
        <v>8</v>
      </c>
      <c r="T409" s="960">
        <f t="shared" si="133"/>
        <v>4</v>
      </c>
      <c r="U409" s="960">
        <f t="shared" si="134"/>
        <v>4</v>
      </c>
      <c r="V409" s="960">
        <f t="shared" si="135"/>
        <v>0</v>
      </c>
      <c r="W409" s="960"/>
      <c r="X409" s="960"/>
      <c r="Y409" s="960"/>
      <c r="Z409" s="960"/>
      <c r="AA409" s="975">
        <f t="shared" si="138"/>
        <v>56</v>
      </c>
      <c r="AB409" s="975">
        <f>VLOOKUP(C409,'[8]MỦ TẠP'!$D$10:$AM$450,36,0)</f>
        <v>0</v>
      </c>
      <c r="AC409" s="975"/>
      <c r="AD409" s="975"/>
      <c r="AE409" s="976">
        <f t="shared" si="136"/>
        <v>0</v>
      </c>
      <c r="AF409" s="975"/>
      <c r="AG409" s="975"/>
      <c r="AH409" s="975">
        <f t="shared" si="137"/>
        <v>0</v>
      </c>
      <c r="AI409" s="975">
        <f>VLOOKUP(C409,'[8]CHẤM CÔNG '!$F$10:$AM$451,33,0)</f>
        <v>0</v>
      </c>
      <c r="AJ409" s="975">
        <f>VLOOKUP(C409,'[8]CHẤM CÔNG '!$F$10:$AM$451,34,0)</f>
        <v>0</v>
      </c>
      <c r="AK409" s="975"/>
      <c r="AL409" s="975"/>
      <c r="AM409" s="975"/>
      <c r="AN409" s="975">
        <f>VLOOKUP(C409,'[8]CHẤM CÔNG '!$F$10:$AN$451,35,0)</f>
        <v>0</v>
      </c>
      <c r="AO409" s="975">
        <f>VLOOKUP(C409,'[8]CHẤM CÔNG '!$F$10:$AR$451,36,0)</f>
        <v>0</v>
      </c>
      <c r="AP409" s="975"/>
      <c r="AQ409" s="975"/>
      <c r="AR409" s="975"/>
      <c r="AS409" s="981"/>
      <c r="AT409" s="982">
        <f>VLOOKUP(C409,'[8]MỦ TẠP'!$D$10:$AO$450,38,0)</f>
        <v>0</v>
      </c>
    </row>
    <row r="410" spans="1:46" ht="15.75">
      <c r="A410" s="957">
        <v>29</v>
      </c>
      <c r="B410" s="958" t="str">
        <f>VLOOKUP(C410,'[8]DS CN MOI UP'!$B$10:$C$489,2,0)</f>
        <v>02622</v>
      </c>
      <c r="C410" s="992" t="s">
        <v>314</v>
      </c>
      <c r="D410" s="957" t="s">
        <v>15</v>
      </c>
      <c r="E410" s="960">
        <v>4</v>
      </c>
      <c r="F410" s="960"/>
      <c r="G410" s="960"/>
      <c r="H410" s="960">
        <v>4</v>
      </c>
      <c r="I410" s="960"/>
      <c r="J410" s="960">
        <v>4</v>
      </c>
      <c r="K410" s="960">
        <v>4</v>
      </c>
      <c r="L410" s="960">
        <v>4</v>
      </c>
      <c r="M410" s="960"/>
      <c r="N410" s="960">
        <f t="shared" si="127"/>
        <v>24</v>
      </c>
      <c r="O410" s="960">
        <f t="shared" si="128"/>
        <v>0</v>
      </c>
      <c r="P410" s="960">
        <f t="shared" si="129"/>
        <v>0</v>
      </c>
      <c r="Q410" s="960">
        <f t="shared" si="130"/>
        <v>16</v>
      </c>
      <c r="R410" s="960">
        <f t="shared" si="131"/>
        <v>0</v>
      </c>
      <c r="S410" s="960">
        <f t="shared" si="132"/>
        <v>8</v>
      </c>
      <c r="T410" s="960">
        <f t="shared" si="133"/>
        <v>4</v>
      </c>
      <c r="U410" s="960">
        <f t="shared" si="134"/>
        <v>4</v>
      </c>
      <c r="V410" s="960">
        <f t="shared" si="135"/>
        <v>0</v>
      </c>
      <c r="W410" s="960"/>
      <c r="X410" s="960"/>
      <c r="Y410" s="960"/>
      <c r="Z410" s="960"/>
      <c r="AA410" s="975">
        <f t="shared" si="138"/>
        <v>56</v>
      </c>
      <c r="AB410" s="975">
        <f>VLOOKUP(C410,'[8]MỦ TẠP'!$D$10:$AM$450,36,0)</f>
        <v>0</v>
      </c>
      <c r="AC410" s="975"/>
      <c r="AD410" s="975"/>
      <c r="AE410" s="976">
        <f t="shared" si="136"/>
        <v>0</v>
      </c>
      <c r="AF410" s="975"/>
      <c r="AG410" s="975"/>
      <c r="AH410" s="975">
        <f t="shared" si="137"/>
        <v>0</v>
      </c>
      <c r="AI410" s="975">
        <f>VLOOKUP(C410,'[8]CHẤM CÔNG '!$F$10:$AM$451,33,0)</f>
        <v>0</v>
      </c>
      <c r="AJ410" s="975">
        <f>VLOOKUP(C410,'[8]CHẤM CÔNG '!$F$10:$AM$451,34,0)</f>
        <v>0</v>
      </c>
      <c r="AK410" s="975"/>
      <c r="AL410" s="975"/>
      <c r="AM410" s="975"/>
      <c r="AN410" s="975">
        <f>VLOOKUP(C410,'[8]CHẤM CÔNG '!$F$10:$AN$451,35,0)</f>
        <v>0</v>
      </c>
      <c r="AO410" s="975">
        <f>VLOOKUP(C410,'[8]CHẤM CÔNG '!$F$10:$AR$451,36,0)</f>
        <v>0</v>
      </c>
      <c r="AP410" s="975"/>
      <c r="AQ410" s="975"/>
      <c r="AR410" s="975"/>
      <c r="AS410" s="981"/>
      <c r="AT410" s="982">
        <f>VLOOKUP(C410,'[8]MỦ TẠP'!$D$10:$AO$450,38,0)</f>
        <v>0</v>
      </c>
    </row>
    <row r="411" spans="1:46" ht="15.75">
      <c r="A411" s="957">
        <v>30</v>
      </c>
      <c r="B411" s="958" t="e">
        <f>VLOOKUP(C411,'[8]DS CN MOI UP'!$B$10:$C$489,2,0)</f>
        <v>#N/A</v>
      </c>
      <c r="C411" s="992" t="s">
        <v>315</v>
      </c>
      <c r="D411" s="957" t="s">
        <v>15</v>
      </c>
      <c r="E411" s="960">
        <v>4</v>
      </c>
      <c r="F411" s="960"/>
      <c r="G411" s="960"/>
      <c r="H411" s="960">
        <v>4</v>
      </c>
      <c r="I411" s="960"/>
      <c r="J411" s="960">
        <v>4</v>
      </c>
      <c r="K411" s="960">
        <v>4</v>
      </c>
      <c r="L411" s="960">
        <v>4</v>
      </c>
      <c r="M411" s="960"/>
      <c r="N411" s="960">
        <f t="shared" si="127"/>
        <v>24</v>
      </c>
      <c r="O411" s="960">
        <f t="shared" si="128"/>
        <v>0</v>
      </c>
      <c r="P411" s="960">
        <f t="shared" si="129"/>
        <v>0</v>
      </c>
      <c r="Q411" s="960">
        <f t="shared" si="130"/>
        <v>16</v>
      </c>
      <c r="R411" s="960">
        <f t="shared" si="131"/>
        <v>0</v>
      </c>
      <c r="S411" s="960">
        <f t="shared" si="132"/>
        <v>8</v>
      </c>
      <c r="T411" s="960">
        <f t="shared" si="133"/>
        <v>4</v>
      </c>
      <c r="U411" s="960">
        <f t="shared" si="134"/>
        <v>4</v>
      </c>
      <c r="V411" s="960">
        <f t="shared" si="135"/>
        <v>0</v>
      </c>
      <c r="W411" s="960"/>
      <c r="X411" s="960"/>
      <c r="Y411" s="960"/>
      <c r="Z411" s="960"/>
      <c r="AA411" s="975">
        <f t="shared" si="138"/>
        <v>56</v>
      </c>
      <c r="AB411" s="975">
        <f>VLOOKUP(C411,'[8]MỦ TẠP'!$D$10:$AM$450,36,0)</f>
        <v>0</v>
      </c>
      <c r="AC411" s="975"/>
      <c r="AD411" s="975"/>
      <c r="AE411" s="976">
        <f t="shared" si="136"/>
        <v>0</v>
      </c>
      <c r="AF411" s="975"/>
      <c r="AG411" s="975"/>
      <c r="AH411" s="975">
        <f t="shared" si="137"/>
        <v>0</v>
      </c>
      <c r="AI411" s="975">
        <f>VLOOKUP(C411,'[8]CHẤM CÔNG '!$F$10:$AM$451,33,0)</f>
        <v>0</v>
      </c>
      <c r="AJ411" s="975">
        <f>VLOOKUP(C411,'[8]CHẤM CÔNG '!$F$10:$AM$451,34,0)</f>
        <v>0</v>
      </c>
      <c r="AK411" s="975"/>
      <c r="AL411" s="975"/>
      <c r="AM411" s="975"/>
      <c r="AN411" s="975">
        <f>VLOOKUP(C411,'[8]CHẤM CÔNG '!$F$10:$AN$451,35,0)</f>
        <v>0</v>
      </c>
      <c r="AO411" s="975">
        <f>VLOOKUP(C411,'[8]CHẤM CÔNG '!$F$10:$AR$451,36,0)</f>
        <v>0</v>
      </c>
      <c r="AP411" s="975"/>
      <c r="AQ411" s="975"/>
      <c r="AR411" s="975"/>
      <c r="AS411" s="981"/>
      <c r="AT411" s="982">
        <f>VLOOKUP(C411,'[8]MỦ TẠP'!$D$10:$AO$450,38,0)</f>
        <v>0</v>
      </c>
    </row>
    <row r="412" spans="1:46" ht="15.75">
      <c r="A412" s="957">
        <v>31</v>
      </c>
      <c r="B412" s="958" t="str">
        <f>VLOOKUP(C412,'[8]DS CN MOI UP'!$B$10:$C$489,2,0)</f>
        <v>02623</v>
      </c>
      <c r="C412" s="992" t="s">
        <v>316</v>
      </c>
      <c r="D412" s="957" t="s">
        <v>15</v>
      </c>
      <c r="E412" s="960">
        <v>4</v>
      </c>
      <c r="F412" s="960"/>
      <c r="G412" s="960"/>
      <c r="H412" s="960">
        <v>4</v>
      </c>
      <c r="I412" s="960"/>
      <c r="J412" s="960">
        <v>4</v>
      </c>
      <c r="K412" s="960">
        <v>4</v>
      </c>
      <c r="L412" s="960">
        <v>4</v>
      </c>
      <c r="M412" s="960"/>
      <c r="N412" s="960">
        <f t="shared" si="127"/>
        <v>24</v>
      </c>
      <c r="O412" s="960">
        <f t="shared" si="128"/>
        <v>0</v>
      </c>
      <c r="P412" s="960">
        <f t="shared" si="129"/>
        <v>0</v>
      </c>
      <c r="Q412" s="960">
        <f t="shared" si="130"/>
        <v>16</v>
      </c>
      <c r="R412" s="960">
        <f t="shared" si="131"/>
        <v>0</v>
      </c>
      <c r="S412" s="960">
        <f t="shared" si="132"/>
        <v>8</v>
      </c>
      <c r="T412" s="960">
        <f t="shared" si="133"/>
        <v>4</v>
      </c>
      <c r="U412" s="960">
        <f t="shared" si="134"/>
        <v>4</v>
      </c>
      <c r="V412" s="960">
        <f t="shared" si="135"/>
        <v>0</v>
      </c>
      <c r="W412" s="960"/>
      <c r="X412" s="960"/>
      <c r="Y412" s="960"/>
      <c r="Z412" s="960"/>
      <c r="AA412" s="975">
        <f t="shared" si="138"/>
        <v>56</v>
      </c>
      <c r="AB412" s="975">
        <f>VLOOKUP(C412,'[8]MỦ TẠP'!$D$10:$AM$450,36,0)</f>
        <v>0</v>
      </c>
      <c r="AC412" s="975"/>
      <c r="AD412" s="975"/>
      <c r="AE412" s="976">
        <f t="shared" si="136"/>
        <v>0</v>
      </c>
      <c r="AF412" s="975"/>
      <c r="AG412" s="975"/>
      <c r="AH412" s="975">
        <f t="shared" si="137"/>
        <v>0</v>
      </c>
      <c r="AI412" s="975">
        <f>VLOOKUP(C412,'[8]CHẤM CÔNG '!$F$10:$AM$451,33,0)</f>
        <v>0</v>
      </c>
      <c r="AJ412" s="975">
        <f>VLOOKUP(C412,'[8]CHẤM CÔNG '!$F$10:$AM$451,34,0)</f>
        <v>0</v>
      </c>
      <c r="AK412" s="975"/>
      <c r="AL412" s="975"/>
      <c r="AM412" s="975"/>
      <c r="AN412" s="975">
        <f>VLOOKUP(C412,'[8]CHẤM CÔNG '!$F$10:$AN$451,35,0)</f>
        <v>0</v>
      </c>
      <c r="AO412" s="975">
        <f>VLOOKUP(C412,'[8]CHẤM CÔNG '!$F$10:$AR$451,36,0)</f>
        <v>0</v>
      </c>
      <c r="AP412" s="975"/>
      <c r="AQ412" s="975"/>
      <c r="AR412" s="975"/>
      <c r="AS412" s="981"/>
      <c r="AT412" s="982">
        <f>VLOOKUP(C412,'[8]MỦ TẠP'!$D$10:$AO$450,38,0)</f>
        <v>0</v>
      </c>
    </row>
    <row r="413" spans="1:46" ht="15.75">
      <c r="A413" s="957">
        <v>32</v>
      </c>
      <c r="B413" s="958" t="str">
        <f>VLOOKUP(C413,'[8]DS CN MOI UP'!$B$10:$C$489,2,0)</f>
        <v>02624</v>
      </c>
      <c r="C413" s="992" t="s">
        <v>317</v>
      </c>
      <c r="D413" s="957" t="s">
        <v>15</v>
      </c>
      <c r="E413" s="960">
        <v>4</v>
      </c>
      <c r="F413" s="960"/>
      <c r="G413" s="960"/>
      <c r="H413" s="960">
        <v>4</v>
      </c>
      <c r="I413" s="960"/>
      <c r="J413" s="960">
        <v>4</v>
      </c>
      <c r="K413" s="960">
        <v>4</v>
      </c>
      <c r="L413" s="960">
        <v>4</v>
      </c>
      <c r="M413" s="960"/>
      <c r="N413" s="960">
        <f t="shared" si="127"/>
        <v>24</v>
      </c>
      <c r="O413" s="960">
        <f t="shared" si="128"/>
        <v>0</v>
      </c>
      <c r="P413" s="960">
        <f t="shared" si="129"/>
        <v>0</v>
      </c>
      <c r="Q413" s="960">
        <f t="shared" si="130"/>
        <v>16</v>
      </c>
      <c r="R413" s="960">
        <f t="shared" si="131"/>
        <v>0</v>
      </c>
      <c r="S413" s="960">
        <f t="shared" si="132"/>
        <v>8</v>
      </c>
      <c r="T413" s="960">
        <f t="shared" si="133"/>
        <v>4</v>
      </c>
      <c r="U413" s="960">
        <f t="shared" si="134"/>
        <v>4</v>
      </c>
      <c r="V413" s="960">
        <f t="shared" si="135"/>
        <v>0</v>
      </c>
      <c r="W413" s="960"/>
      <c r="X413" s="960"/>
      <c r="Y413" s="960"/>
      <c r="Z413" s="960"/>
      <c r="AA413" s="975">
        <f t="shared" si="138"/>
        <v>56</v>
      </c>
      <c r="AB413" s="975">
        <f>VLOOKUP(C413,'[8]MỦ TẠP'!$D$10:$AM$450,36,0)</f>
        <v>0</v>
      </c>
      <c r="AC413" s="975"/>
      <c r="AD413" s="975"/>
      <c r="AE413" s="976">
        <f t="shared" si="136"/>
        <v>0</v>
      </c>
      <c r="AF413" s="975"/>
      <c r="AG413" s="975"/>
      <c r="AH413" s="975">
        <f t="shared" si="137"/>
        <v>0</v>
      </c>
      <c r="AI413" s="975">
        <f>VLOOKUP(C413,'[8]CHẤM CÔNG '!$F$10:$AM$451,33,0)</f>
        <v>0</v>
      </c>
      <c r="AJ413" s="975">
        <f>VLOOKUP(C413,'[8]CHẤM CÔNG '!$F$10:$AM$451,34,0)</f>
        <v>0</v>
      </c>
      <c r="AK413" s="975"/>
      <c r="AL413" s="975"/>
      <c r="AM413" s="975"/>
      <c r="AN413" s="975">
        <f>VLOOKUP(C413,'[8]CHẤM CÔNG '!$F$10:$AN$451,35,0)</f>
        <v>0</v>
      </c>
      <c r="AO413" s="975">
        <f>VLOOKUP(C413,'[8]CHẤM CÔNG '!$F$10:$AR$451,36,0)</f>
        <v>0</v>
      </c>
      <c r="AP413" s="975"/>
      <c r="AQ413" s="975"/>
      <c r="AR413" s="975"/>
      <c r="AS413" s="981"/>
      <c r="AT413" s="982">
        <f>VLOOKUP(C413,'[8]MỦ TẠP'!$D$10:$AO$450,38,0)</f>
        <v>0</v>
      </c>
    </row>
    <row r="414" spans="1:46" ht="15.75">
      <c r="A414" s="957">
        <v>33</v>
      </c>
      <c r="B414" s="958" t="str">
        <f>VLOOKUP(C414,'[8]DS CN MOI UP'!$B$10:$C$489,2,0)</f>
        <v>03404</v>
      </c>
      <c r="C414" s="992" t="s">
        <v>318</v>
      </c>
      <c r="D414" s="957" t="s">
        <v>15</v>
      </c>
      <c r="E414" s="960">
        <v>4</v>
      </c>
      <c r="F414" s="960"/>
      <c r="G414" s="960"/>
      <c r="H414" s="960">
        <v>4</v>
      </c>
      <c r="I414" s="960"/>
      <c r="J414" s="960">
        <v>4</v>
      </c>
      <c r="K414" s="960">
        <v>4</v>
      </c>
      <c r="L414" s="960">
        <v>4</v>
      </c>
      <c r="M414" s="960"/>
      <c r="N414" s="960">
        <f t="shared" si="127"/>
        <v>24</v>
      </c>
      <c r="O414" s="960">
        <f t="shared" si="128"/>
        <v>0</v>
      </c>
      <c r="P414" s="960">
        <f t="shared" si="129"/>
        <v>0</v>
      </c>
      <c r="Q414" s="960">
        <f t="shared" si="130"/>
        <v>16</v>
      </c>
      <c r="R414" s="960">
        <f t="shared" si="131"/>
        <v>0</v>
      </c>
      <c r="S414" s="960">
        <f t="shared" si="132"/>
        <v>8</v>
      </c>
      <c r="T414" s="960">
        <f t="shared" si="133"/>
        <v>4</v>
      </c>
      <c r="U414" s="960">
        <f t="shared" si="134"/>
        <v>4</v>
      </c>
      <c r="V414" s="960">
        <f t="shared" si="135"/>
        <v>0</v>
      </c>
      <c r="W414" s="960"/>
      <c r="X414" s="960"/>
      <c r="Y414" s="960"/>
      <c r="Z414" s="960"/>
      <c r="AA414" s="975">
        <f t="shared" si="138"/>
        <v>56</v>
      </c>
      <c r="AB414" s="975">
        <f>VLOOKUP(C414,'[8]MỦ TẠP'!$D$10:$AM$450,36,0)</f>
        <v>0</v>
      </c>
      <c r="AC414" s="975"/>
      <c r="AD414" s="975"/>
      <c r="AE414" s="976">
        <f t="shared" si="136"/>
        <v>0</v>
      </c>
      <c r="AF414" s="975"/>
      <c r="AG414" s="975"/>
      <c r="AH414" s="975">
        <f t="shared" si="137"/>
        <v>0</v>
      </c>
      <c r="AI414" s="975">
        <f>VLOOKUP(C414,'[8]CHẤM CÔNG '!$F$10:$AM$451,33,0)</f>
        <v>0</v>
      </c>
      <c r="AJ414" s="975">
        <f>VLOOKUP(C414,'[8]CHẤM CÔNG '!$F$10:$AM$451,34,0)</f>
        <v>0</v>
      </c>
      <c r="AK414" s="975"/>
      <c r="AL414" s="975"/>
      <c r="AM414" s="975"/>
      <c r="AN414" s="975">
        <f>VLOOKUP(C414,'[8]CHẤM CÔNG '!$F$10:$AN$451,35,0)</f>
        <v>0</v>
      </c>
      <c r="AO414" s="975">
        <f>VLOOKUP(C414,'[8]CHẤM CÔNG '!$F$10:$AR$451,36,0)</f>
        <v>0</v>
      </c>
      <c r="AP414" s="975"/>
      <c r="AQ414" s="975"/>
      <c r="AR414" s="975"/>
      <c r="AS414" s="981"/>
      <c r="AT414" s="982">
        <f>VLOOKUP(C414,'[8]MỦ TẠP'!$D$10:$AO$450,38,0)</f>
        <v>0</v>
      </c>
    </row>
    <row r="415" spans="1:46" ht="15.75">
      <c r="A415" s="957">
        <v>34</v>
      </c>
      <c r="B415" s="958" t="str">
        <f>VLOOKUP(C415,'[8]DS CN MOI UP'!$B$10:$C$489,2,0)</f>
        <v>02626</v>
      </c>
      <c r="C415" s="992" t="s">
        <v>319</v>
      </c>
      <c r="D415" s="957" t="s">
        <v>15</v>
      </c>
      <c r="E415" s="960">
        <v>4</v>
      </c>
      <c r="F415" s="960"/>
      <c r="G415" s="960"/>
      <c r="H415" s="960">
        <v>4</v>
      </c>
      <c r="I415" s="960"/>
      <c r="J415" s="960">
        <v>4</v>
      </c>
      <c r="K415" s="960">
        <v>4</v>
      </c>
      <c r="L415" s="960">
        <v>4</v>
      </c>
      <c r="M415" s="960"/>
      <c r="N415" s="960">
        <f t="shared" si="127"/>
        <v>24</v>
      </c>
      <c r="O415" s="960">
        <f t="shared" si="128"/>
        <v>0</v>
      </c>
      <c r="P415" s="960">
        <f t="shared" si="129"/>
        <v>0</v>
      </c>
      <c r="Q415" s="960">
        <f t="shared" si="130"/>
        <v>16</v>
      </c>
      <c r="R415" s="960">
        <f t="shared" si="131"/>
        <v>0</v>
      </c>
      <c r="S415" s="960">
        <f t="shared" si="132"/>
        <v>8</v>
      </c>
      <c r="T415" s="960">
        <f t="shared" si="133"/>
        <v>4</v>
      </c>
      <c r="U415" s="960">
        <f t="shared" si="134"/>
        <v>4</v>
      </c>
      <c r="V415" s="960">
        <f t="shared" si="135"/>
        <v>0</v>
      </c>
      <c r="W415" s="960"/>
      <c r="X415" s="960"/>
      <c r="Y415" s="960"/>
      <c r="Z415" s="960"/>
      <c r="AA415" s="975">
        <f t="shared" si="138"/>
        <v>56</v>
      </c>
      <c r="AB415" s="975">
        <f>VLOOKUP(C415,'[8]MỦ TẠP'!$D$10:$AM$450,36,0)</f>
        <v>0</v>
      </c>
      <c r="AC415" s="975"/>
      <c r="AD415" s="975"/>
      <c r="AE415" s="976">
        <f t="shared" si="136"/>
        <v>0</v>
      </c>
      <c r="AF415" s="975"/>
      <c r="AG415" s="975"/>
      <c r="AH415" s="975">
        <f t="shared" si="137"/>
        <v>0</v>
      </c>
      <c r="AI415" s="975">
        <f>VLOOKUP(C415,'[8]CHẤM CÔNG '!$F$10:$AM$451,33,0)</f>
        <v>0</v>
      </c>
      <c r="AJ415" s="975">
        <f>VLOOKUP(C415,'[8]CHẤM CÔNG '!$F$10:$AM$451,34,0)</f>
        <v>0</v>
      </c>
      <c r="AK415" s="975"/>
      <c r="AL415" s="975"/>
      <c r="AM415" s="975"/>
      <c r="AN415" s="975">
        <f>VLOOKUP(C415,'[8]CHẤM CÔNG '!$F$10:$AN$451,35,0)</f>
        <v>0</v>
      </c>
      <c r="AO415" s="975">
        <f>VLOOKUP(C415,'[8]CHẤM CÔNG '!$F$10:$AR$451,36,0)</f>
        <v>0</v>
      </c>
      <c r="AP415" s="975"/>
      <c r="AQ415" s="975"/>
      <c r="AR415" s="975"/>
      <c r="AS415" s="981"/>
      <c r="AT415" s="982">
        <f>VLOOKUP(C415,'[8]MỦ TẠP'!$D$10:$AO$450,38,0)</f>
        <v>0</v>
      </c>
    </row>
    <row r="416" spans="1:46" ht="15.75">
      <c r="A416" s="957">
        <v>35</v>
      </c>
      <c r="B416" s="958" t="str">
        <f>VLOOKUP(C416,'[8]DS CN MOI UP'!$B$10:$C$489,2,0)</f>
        <v>02627</v>
      </c>
      <c r="C416" s="992" t="s">
        <v>320</v>
      </c>
      <c r="D416" s="957" t="s">
        <v>15</v>
      </c>
      <c r="E416" s="960">
        <v>4</v>
      </c>
      <c r="F416" s="960"/>
      <c r="G416" s="960"/>
      <c r="H416" s="960">
        <v>4</v>
      </c>
      <c r="I416" s="960"/>
      <c r="J416" s="960">
        <v>4</v>
      </c>
      <c r="K416" s="960">
        <v>4</v>
      </c>
      <c r="L416" s="960">
        <v>4</v>
      </c>
      <c r="M416" s="960"/>
      <c r="N416" s="960">
        <f t="shared" si="127"/>
        <v>24</v>
      </c>
      <c r="O416" s="960">
        <f t="shared" si="128"/>
        <v>0</v>
      </c>
      <c r="P416" s="960">
        <f t="shared" si="129"/>
        <v>0</v>
      </c>
      <c r="Q416" s="960">
        <f t="shared" si="130"/>
        <v>16</v>
      </c>
      <c r="R416" s="960">
        <f t="shared" si="131"/>
        <v>0</v>
      </c>
      <c r="S416" s="960">
        <f t="shared" si="132"/>
        <v>8</v>
      </c>
      <c r="T416" s="960">
        <f t="shared" si="133"/>
        <v>4</v>
      </c>
      <c r="U416" s="960">
        <f t="shared" si="134"/>
        <v>4</v>
      </c>
      <c r="V416" s="960">
        <f t="shared" si="135"/>
        <v>0</v>
      </c>
      <c r="W416" s="960"/>
      <c r="X416" s="960"/>
      <c r="Y416" s="960"/>
      <c r="Z416" s="960"/>
      <c r="AA416" s="975">
        <f t="shared" si="138"/>
        <v>56</v>
      </c>
      <c r="AB416" s="975">
        <f>VLOOKUP(C416,'[8]MỦ TẠP'!$D$10:$AM$450,36,0)</f>
        <v>0</v>
      </c>
      <c r="AC416" s="975"/>
      <c r="AD416" s="975"/>
      <c r="AE416" s="976">
        <f t="shared" si="136"/>
        <v>0</v>
      </c>
      <c r="AF416" s="975"/>
      <c r="AG416" s="975"/>
      <c r="AH416" s="975">
        <f t="shared" si="137"/>
        <v>0</v>
      </c>
      <c r="AI416" s="975">
        <f>VLOOKUP(C416,'[8]CHẤM CÔNG '!$F$10:$AM$451,33,0)</f>
        <v>0</v>
      </c>
      <c r="AJ416" s="975">
        <f>VLOOKUP(C416,'[8]CHẤM CÔNG '!$F$10:$AM$451,34,0)</f>
        <v>0</v>
      </c>
      <c r="AK416" s="975"/>
      <c r="AL416" s="975"/>
      <c r="AM416" s="975"/>
      <c r="AN416" s="975">
        <f>VLOOKUP(C416,'[8]CHẤM CÔNG '!$F$10:$AN$451,35,0)</f>
        <v>0</v>
      </c>
      <c r="AO416" s="975">
        <f>VLOOKUP(C416,'[8]CHẤM CÔNG '!$F$10:$AR$451,36,0)</f>
        <v>0</v>
      </c>
      <c r="AP416" s="975"/>
      <c r="AQ416" s="975"/>
      <c r="AR416" s="975"/>
      <c r="AS416" s="981"/>
      <c r="AT416" s="982">
        <f>VLOOKUP(C416,'[8]MỦ TẠP'!$D$10:$AO$450,38,0)</f>
        <v>0</v>
      </c>
    </row>
    <row r="417" spans="1:46" ht="15.75">
      <c r="A417" s="957">
        <v>36</v>
      </c>
      <c r="B417" s="958" t="str">
        <f>VLOOKUP(C417,'[8]DS CN MOI UP'!$B$10:$C$489,2,0)</f>
        <v>02628</v>
      </c>
      <c r="C417" s="992" t="s">
        <v>321</v>
      </c>
      <c r="D417" s="957" t="s">
        <v>15</v>
      </c>
      <c r="E417" s="960">
        <v>4</v>
      </c>
      <c r="F417" s="960"/>
      <c r="G417" s="960"/>
      <c r="H417" s="960">
        <v>4</v>
      </c>
      <c r="I417" s="960"/>
      <c r="J417" s="960">
        <v>4</v>
      </c>
      <c r="K417" s="960">
        <v>4</v>
      </c>
      <c r="L417" s="960">
        <v>4</v>
      </c>
      <c r="M417" s="960"/>
      <c r="N417" s="960">
        <f t="shared" si="127"/>
        <v>24</v>
      </c>
      <c r="O417" s="960">
        <f t="shared" si="128"/>
        <v>0</v>
      </c>
      <c r="P417" s="960">
        <f t="shared" si="129"/>
        <v>0</v>
      </c>
      <c r="Q417" s="960">
        <f t="shared" si="130"/>
        <v>16</v>
      </c>
      <c r="R417" s="960">
        <f t="shared" si="131"/>
        <v>0</v>
      </c>
      <c r="S417" s="960">
        <f t="shared" si="132"/>
        <v>8</v>
      </c>
      <c r="T417" s="960">
        <f t="shared" si="133"/>
        <v>4</v>
      </c>
      <c r="U417" s="960">
        <f t="shared" si="134"/>
        <v>4</v>
      </c>
      <c r="V417" s="960">
        <f t="shared" si="135"/>
        <v>0</v>
      </c>
      <c r="W417" s="960"/>
      <c r="X417" s="960"/>
      <c r="Y417" s="960"/>
      <c r="Z417" s="960"/>
      <c r="AA417" s="975">
        <f t="shared" si="138"/>
        <v>56</v>
      </c>
      <c r="AB417" s="975">
        <f>VLOOKUP(C417,'[8]MỦ TẠP'!$D$10:$AM$450,36,0)</f>
        <v>0</v>
      </c>
      <c r="AC417" s="975"/>
      <c r="AD417" s="975"/>
      <c r="AE417" s="976">
        <f t="shared" si="136"/>
        <v>0</v>
      </c>
      <c r="AF417" s="975"/>
      <c r="AG417" s="975"/>
      <c r="AH417" s="975">
        <f t="shared" si="137"/>
        <v>0</v>
      </c>
      <c r="AI417" s="975">
        <f>VLOOKUP(C417,'[8]CHẤM CÔNG '!$F$10:$AM$451,33,0)</f>
        <v>0</v>
      </c>
      <c r="AJ417" s="975">
        <f>VLOOKUP(C417,'[8]CHẤM CÔNG '!$F$10:$AM$451,34,0)</f>
        <v>0</v>
      </c>
      <c r="AK417" s="975"/>
      <c r="AL417" s="975"/>
      <c r="AM417" s="975"/>
      <c r="AN417" s="975">
        <f>VLOOKUP(C417,'[8]CHẤM CÔNG '!$F$10:$AN$451,35,0)</f>
        <v>0</v>
      </c>
      <c r="AO417" s="975">
        <f>VLOOKUP(C417,'[8]CHẤM CÔNG '!$F$10:$AR$451,36,0)</f>
        <v>0</v>
      </c>
      <c r="AP417" s="975"/>
      <c r="AQ417" s="975"/>
      <c r="AR417" s="975"/>
      <c r="AS417" s="981"/>
      <c r="AT417" s="982">
        <f>VLOOKUP(C417,'[8]MỦ TẠP'!$D$10:$AO$450,38,0)</f>
        <v>0</v>
      </c>
    </row>
    <row r="418" spans="1:46" ht="15.75">
      <c r="A418" s="957">
        <v>37</v>
      </c>
      <c r="B418" s="958" t="str">
        <f>VLOOKUP(C418,'[8]DS CN MOI UP'!$B$10:$C$489,2,0)</f>
        <v>03405</v>
      </c>
      <c r="C418" s="992" t="s">
        <v>322</v>
      </c>
      <c r="D418" s="957" t="s">
        <v>15</v>
      </c>
      <c r="E418" s="960">
        <v>4</v>
      </c>
      <c r="F418" s="960"/>
      <c r="G418" s="960"/>
      <c r="H418" s="960">
        <v>4</v>
      </c>
      <c r="I418" s="960"/>
      <c r="J418" s="960">
        <v>4</v>
      </c>
      <c r="K418" s="960">
        <v>4</v>
      </c>
      <c r="L418" s="960">
        <v>4</v>
      </c>
      <c r="M418" s="960"/>
      <c r="N418" s="960">
        <f t="shared" si="127"/>
        <v>24</v>
      </c>
      <c r="O418" s="960">
        <f t="shared" si="128"/>
        <v>0</v>
      </c>
      <c r="P418" s="960">
        <f t="shared" si="129"/>
        <v>0</v>
      </c>
      <c r="Q418" s="960">
        <f t="shared" si="130"/>
        <v>16</v>
      </c>
      <c r="R418" s="960">
        <f t="shared" si="131"/>
        <v>0</v>
      </c>
      <c r="S418" s="960">
        <f t="shared" si="132"/>
        <v>8</v>
      </c>
      <c r="T418" s="960">
        <f t="shared" si="133"/>
        <v>4</v>
      </c>
      <c r="U418" s="960">
        <f t="shared" si="134"/>
        <v>4</v>
      </c>
      <c r="V418" s="960">
        <f t="shared" si="135"/>
        <v>0</v>
      </c>
      <c r="W418" s="960"/>
      <c r="X418" s="960"/>
      <c r="Y418" s="960"/>
      <c r="Z418" s="960"/>
      <c r="AA418" s="975">
        <f t="shared" si="138"/>
        <v>56</v>
      </c>
      <c r="AB418" s="975">
        <f>VLOOKUP(C418,'[8]MỦ TẠP'!$D$10:$AM$450,36,0)</f>
        <v>0</v>
      </c>
      <c r="AC418" s="975"/>
      <c r="AD418" s="975"/>
      <c r="AE418" s="976">
        <f t="shared" si="136"/>
        <v>0</v>
      </c>
      <c r="AF418" s="975"/>
      <c r="AG418" s="975"/>
      <c r="AH418" s="975">
        <f t="shared" si="137"/>
        <v>0</v>
      </c>
      <c r="AI418" s="975">
        <f>VLOOKUP(C418,'[8]CHẤM CÔNG '!$F$10:$AM$451,33,0)</f>
        <v>0</v>
      </c>
      <c r="AJ418" s="975">
        <f>VLOOKUP(C418,'[8]CHẤM CÔNG '!$F$10:$AM$451,34,0)</f>
        <v>0</v>
      </c>
      <c r="AK418" s="975"/>
      <c r="AL418" s="975"/>
      <c r="AM418" s="975"/>
      <c r="AN418" s="975">
        <f>VLOOKUP(C418,'[8]CHẤM CÔNG '!$F$10:$AN$451,35,0)</f>
        <v>0</v>
      </c>
      <c r="AO418" s="975">
        <f>VLOOKUP(C418,'[8]CHẤM CÔNG '!$F$10:$AR$451,36,0)</f>
        <v>0</v>
      </c>
      <c r="AP418" s="975"/>
      <c r="AQ418" s="975"/>
      <c r="AR418" s="975"/>
      <c r="AS418" s="981"/>
      <c r="AT418" s="982">
        <f>VLOOKUP(C418,'[8]MỦ TẠP'!$D$10:$AO$450,38,0)</f>
        <v>0</v>
      </c>
    </row>
    <row r="419" spans="1:46" ht="15.75">
      <c r="A419" s="957">
        <v>38</v>
      </c>
      <c r="B419" s="958" t="str">
        <f>VLOOKUP(C419,'[8]DS CN MOI UP'!$B$10:$C$489,2,0)</f>
        <v>02629</v>
      </c>
      <c r="C419" s="992" t="s">
        <v>323</v>
      </c>
      <c r="D419" s="957" t="s">
        <v>15</v>
      </c>
      <c r="E419" s="960">
        <v>4</v>
      </c>
      <c r="F419" s="960"/>
      <c r="G419" s="960"/>
      <c r="H419" s="960">
        <v>4</v>
      </c>
      <c r="I419" s="960"/>
      <c r="J419" s="960">
        <v>4</v>
      </c>
      <c r="K419" s="960">
        <v>4</v>
      </c>
      <c r="L419" s="960">
        <v>4</v>
      </c>
      <c r="M419" s="960"/>
      <c r="N419" s="960">
        <f t="shared" si="127"/>
        <v>24</v>
      </c>
      <c r="O419" s="960">
        <f t="shared" si="128"/>
        <v>0</v>
      </c>
      <c r="P419" s="960">
        <f t="shared" si="129"/>
        <v>0</v>
      </c>
      <c r="Q419" s="960">
        <f t="shared" si="130"/>
        <v>16</v>
      </c>
      <c r="R419" s="960">
        <f t="shared" si="131"/>
        <v>0</v>
      </c>
      <c r="S419" s="960">
        <f t="shared" si="132"/>
        <v>8</v>
      </c>
      <c r="T419" s="960">
        <f t="shared" si="133"/>
        <v>4</v>
      </c>
      <c r="U419" s="960">
        <f t="shared" si="134"/>
        <v>4</v>
      </c>
      <c r="V419" s="960">
        <f t="shared" si="135"/>
        <v>0</v>
      </c>
      <c r="W419" s="960"/>
      <c r="X419" s="960"/>
      <c r="Y419" s="960"/>
      <c r="Z419" s="960"/>
      <c r="AA419" s="975">
        <f t="shared" si="138"/>
        <v>56</v>
      </c>
      <c r="AB419" s="975">
        <f>VLOOKUP(C419,'[8]MỦ TẠP'!$D$10:$AM$450,36,0)</f>
        <v>0</v>
      </c>
      <c r="AC419" s="975"/>
      <c r="AD419" s="975"/>
      <c r="AE419" s="976">
        <f t="shared" si="136"/>
        <v>0</v>
      </c>
      <c r="AF419" s="975"/>
      <c r="AG419" s="975"/>
      <c r="AH419" s="975">
        <f t="shared" si="137"/>
        <v>0</v>
      </c>
      <c r="AI419" s="975">
        <f>VLOOKUP(C419,'[8]CHẤM CÔNG '!$F$10:$AM$451,33,0)</f>
        <v>0</v>
      </c>
      <c r="AJ419" s="975">
        <f>VLOOKUP(C419,'[8]CHẤM CÔNG '!$F$10:$AM$451,34,0)</f>
        <v>0</v>
      </c>
      <c r="AK419" s="975"/>
      <c r="AL419" s="975"/>
      <c r="AM419" s="975"/>
      <c r="AN419" s="975">
        <f>VLOOKUP(C419,'[8]CHẤM CÔNG '!$F$10:$AN$451,35,0)</f>
        <v>0</v>
      </c>
      <c r="AO419" s="975">
        <f>VLOOKUP(C419,'[8]CHẤM CÔNG '!$F$10:$AR$451,36,0)</f>
        <v>0</v>
      </c>
      <c r="AP419" s="975"/>
      <c r="AQ419" s="975"/>
      <c r="AR419" s="975"/>
      <c r="AS419" s="981"/>
      <c r="AT419" s="982">
        <f>VLOOKUP(C419,'[8]MỦ TẠP'!$D$10:$AO$450,38,0)</f>
        <v>0</v>
      </c>
    </row>
    <row r="420" spans="1:46" ht="15.75">
      <c r="A420" s="957">
        <v>39</v>
      </c>
      <c r="B420" s="958" t="str">
        <f>VLOOKUP(C420,'[8]DS CN MOI UP'!$B$10:$C$489,2,0)</f>
        <v>02630</v>
      </c>
      <c r="C420" s="992" t="s">
        <v>324</v>
      </c>
      <c r="D420" s="957" t="s">
        <v>15</v>
      </c>
      <c r="E420" s="960">
        <v>4</v>
      </c>
      <c r="F420" s="960"/>
      <c r="G420" s="960"/>
      <c r="H420" s="960">
        <v>4</v>
      </c>
      <c r="I420" s="960"/>
      <c r="J420" s="960">
        <v>4</v>
      </c>
      <c r="K420" s="960">
        <v>4</v>
      </c>
      <c r="L420" s="960">
        <v>4</v>
      </c>
      <c r="M420" s="960"/>
      <c r="N420" s="960">
        <f t="shared" si="127"/>
        <v>24</v>
      </c>
      <c r="O420" s="960">
        <f t="shared" si="128"/>
        <v>0</v>
      </c>
      <c r="P420" s="960">
        <f t="shared" si="129"/>
        <v>0</v>
      </c>
      <c r="Q420" s="960">
        <f t="shared" si="130"/>
        <v>16</v>
      </c>
      <c r="R420" s="960">
        <f t="shared" si="131"/>
        <v>0</v>
      </c>
      <c r="S420" s="960">
        <f t="shared" si="132"/>
        <v>8</v>
      </c>
      <c r="T420" s="960">
        <f t="shared" si="133"/>
        <v>4</v>
      </c>
      <c r="U420" s="960">
        <f t="shared" si="134"/>
        <v>4</v>
      </c>
      <c r="V420" s="960">
        <f t="shared" si="135"/>
        <v>0</v>
      </c>
      <c r="W420" s="960"/>
      <c r="X420" s="960"/>
      <c r="Y420" s="960"/>
      <c r="Z420" s="960"/>
      <c r="AA420" s="975">
        <f t="shared" si="138"/>
        <v>56</v>
      </c>
      <c r="AB420" s="975">
        <f>VLOOKUP(C420,'[8]MỦ TẠP'!$D$10:$AM$450,36,0)</f>
        <v>0</v>
      </c>
      <c r="AC420" s="975"/>
      <c r="AD420" s="975"/>
      <c r="AE420" s="976">
        <f t="shared" si="136"/>
        <v>0</v>
      </c>
      <c r="AF420" s="975"/>
      <c r="AG420" s="975"/>
      <c r="AH420" s="975">
        <f t="shared" si="137"/>
        <v>0</v>
      </c>
      <c r="AI420" s="975">
        <f>VLOOKUP(C420,'[8]CHẤM CÔNG '!$F$10:$AM$451,33,0)</f>
        <v>0</v>
      </c>
      <c r="AJ420" s="975">
        <f>VLOOKUP(C420,'[8]CHẤM CÔNG '!$F$10:$AM$451,34,0)</f>
        <v>0</v>
      </c>
      <c r="AK420" s="975"/>
      <c r="AL420" s="975"/>
      <c r="AM420" s="975"/>
      <c r="AN420" s="975">
        <f>VLOOKUP(C420,'[8]CHẤM CÔNG '!$F$10:$AN$451,35,0)</f>
        <v>0</v>
      </c>
      <c r="AO420" s="975">
        <f>VLOOKUP(C420,'[8]CHẤM CÔNG '!$F$10:$AR$451,36,0)</f>
        <v>0</v>
      </c>
      <c r="AP420" s="975"/>
      <c r="AQ420" s="975"/>
      <c r="AR420" s="975"/>
      <c r="AS420" s="981"/>
      <c r="AT420" s="982">
        <f>VLOOKUP(C420,'[8]MỦ TẠP'!$D$10:$AO$450,38,0)</f>
        <v>0</v>
      </c>
    </row>
    <row r="421" spans="1:46" ht="15.75">
      <c r="A421" s="957">
        <v>40</v>
      </c>
      <c r="B421" s="958" t="str">
        <f>VLOOKUP(C421,'[8]DS CN MOI UP'!$B$10:$C$489,2,0)</f>
        <v>02631</v>
      </c>
      <c r="C421" s="992" t="s">
        <v>325</v>
      </c>
      <c r="D421" s="957" t="s">
        <v>15</v>
      </c>
      <c r="E421" s="960">
        <v>4</v>
      </c>
      <c r="F421" s="960"/>
      <c r="G421" s="960"/>
      <c r="H421" s="960">
        <v>4</v>
      </c>
      <c r="I421" s="960"/>
      <c r="J421" s="960">
        <v>4</v>
      </c>
      <c r="K421" s="960">
        <v>4</v>
      </c>
      <c r="L421" s="960">
        <v>4</v>
      </c>
      <c r="M421" s="960"/>
      <c r="N421" s="960">
        <f t="shared" si="127"/>
        <v>24</v>
      </c>
      <c r="O421" s="960">
        <f t="shared" si="128"/>
        <v>0</v>
      </c>
      <c r="P421" s="960">
        <f t="shared" si="129"/>
        <v>0</v>
      </c>
      <c r="Q421" s="960">
        <f t="shared" si="130"/>
        <v>16</v>
      </c>
      <c r="R421" s="960">
        <f t="shared" si="131"/>
        <v>0</v>
      </c>
      <c r="S421" s="960">
        <f t="shared" si="132"/>
        <v>8</v>
      </c>
      <c r="T421" s="960">
        <f t="shared" si="133"/>
        <v>4</v>
      </c>
      <c r="U421" s="960">
        <f t="shared" si="134"/>
        <v>4</v>
      </c>
      <c r="V421" s="960">
        <f t="shared" si="135"/>
        <v>0</v>
      </c>
      <c r="W421" s="960"/>
      <c r="X421" s="960"/>
      <c r="Y421" s="960"/>
      <c r="Z421" s="960"/>
      <c r="AA421" s="975">
        <f t="shared" si="138"/>
        <v>56</v>
      </c>
      <c r="AB421" s="975">
        <f>VLOOKUP(C421,'[8]MỦ TẠP'!$D$10:$AM$450,36,0)</f>
        <v>0</v>
      </c>
      <c r="AC421" s="975"/>
      <c r="AD421" s="975"/>
      <c r="AE421" s="976">
        <f t="shared" si="136"/>
        <v>0</v>
      </c>
      <c r="AF421" s="975"/>
      <c r="AG421" s="975"/>
      <c r="AH421" s="975">
        <f t="shared" si="137"/>
        <v>0</v>
      </c>
      <c r="AI421" s="975">
        <f>VLOOKUP(C421,'[8]CHẤM CÔNG '!$F$10:$AM$451,33,0)</f>
        <v>0</v>
      </c>
      <c r="AJ421" s="975">
        <f>VLOOKUP(C421,'[8]CHẤM CÔNG '!$F$10:$AM$451,34,0)</f>
        <v>0</v>
      </c>
      <c r="AK421" s="975"/>
      <c r="AL421" s="975"/>
      <c r="AM421" s="975"/>
      <c r="AN421" s="975">
        <f>VLOOKUP(C421,'[8]CHẤM CÔNG '!$F$10:$AN$451,35,0)</f>
        <v>0</v>
      </c>
      <c r="AO421" s="975">
        <f>VLOOKUP(C421,'[8]CHẤM CÔNG '!$F$10:$AR$451,36,0)</f>
        <v>0</v>
      </c>
      <c r="AP421" s="975"/>
      <c r="AQ421" s="975"/>
      <c r="AR421" s="975"/>
      <c r="AS421" s="981"/>
      <c r="AT421" s="982">
        <f>VLOOKUP(C421,'[8]MỦ TẠP'!$D$10:$AO$450,38,0)</f>
        <v>0</v>
      </c>
    </row>
    <row r="422" spans="1:46" ht="15.75">
      <c r="A422" s="957">
        <v>41</v>
      </c>
      <c r="B422" s="958" t="str">
        <f>VLOOKUP(C422,'[8]DS CN MOI UP'!$B$10:$C$489,2,0)</f>
        <v>02632</v>
      </c>
      <c r="C422" s="992" t="s">
        <v>326</v>
      </c>
      <c r="D422" s="957" t="s">
        <v>15</v>
      </c>
      <c r="E422" s="960">
        <v>4</v>
      </c>
      <c r="F422" s="960"/>
      <c r="G422" s="960"/>
      <c r="H422" s="960">
        <v>4</v>
      </c>
      <c r="I422" s="960"/>
      <c r="J422" s="960">
        <v>4</v>
      </c>
      <c r="K422" s="960">
        <v>4</v>
      </c>
      <c r="L422" s="960">
        <v>4</v>
      </c>
      <c r="M422" s="960"/>
      <c r="N422" s="960">
        <f t="shared" si="127"/>
        <v>24</v>
      </c>
      <c r="O422" s="960">
        <f t="shared" si="128"/>
        <v>0</v>
      </c>
      <c r="P422" s="960">
        <f t="shared" si="129"/>
        <v>0</v>
      </c>
      <c r="Q422" s="960">
        <f t="shared" si="130"/>
        <v>16</v>
      </c>
      <c r="R422" s="960">
        <f t="shared" si="131"/>
        <v>0</v>
      </c>
      <c r="S422" s="960">
        <f t="shared" si="132"/>
        <v>8</v>
      </c>
      <c r="T422" s="960">
        <f t="shared" si="133"/>
        <v>4</v>
      </c>
      <c r="U422" s="960">
        <f t="shared" si="134"/>
        <v>4</v>
      </c>
      <c r="V422" s="960">
        <f t="shared" si="135"/>
        <v>0</v>
      </c>
      <c r="W422" s="960"/>
      <c r="X422" s="960"/>
      <c r="Y422" s="960"/>
      <c r="Z422" s="960"/>
      <c r="AA422" s="975">
        <f t="shared" si="138"/>
        <v>56</v>
      </c>
      <c r="AB422" s="975">
        <f>VLOOKUP(C422,'[8]MỦ TẠP'!$D$10:$AM$450,36,0)</f>
        <v>0</v>
      </c>
      <c r="AC422" s="975"/>
      <c r="AD422" s="975"/>
      <c r="AE422" s="976">
        <f t="shared" si="136"/>
        <v>0</v>
      </c>
      <c r="AF422" s="975"/>
      <c r="AG422" s="975"/>
      <c r="AH422" s="975">
        <f t="shared" si="137"/>
        <v>0</v>
      </c>
      <c r="AI422" s="975">
        <f>VLOOKUP(C422,'[8]CHẤM CÔNG '!$F$10:$AM$451,33,0)</f>
        <v>0</v>
      </c>
      <c r="AJ422" s="975">
        <f>VLOOKUP(C422,'[8]CHẤM CÔNG '!$F$10:$AM$451,34,0)</f>
        <v>0</v>
      </c>
      <c r="AK422" s="975"/>
      <c r="AL422" s="975"/>
      <c r="AM422" s="975"/>
      <c r="AN422" s="975">
        <f>VLOOKUP(C422,'[8]CHẤM CÔNG '!$F$10:$AN$451,35,0)</f>
        <v>0</v>
      </c>
      <c r="AO422" s="975">
        <f>VLOOKUP(C422,'[8]CHẤM CÔNG '!$F$10:$AR$451,36,0)</f>
        <v>0</v>
      </c>
      <c r="AP422" s="975"/>
      <c r="AQ422" s="975"/>
      <c r="AR422" s="975"/>
      <c r="AS422" s="981"/>
      <c r="AT422" s="982">
        <f>VLOOKUP(C422,'[8]MỦ TẠP'!$D$10:$AO$450,38,0)</f>
        <v>0</v>
      </c>
    </row>
    <row r="423" spans="1:46" ht="15.75">
      <c r="A423" s="957">
        <v>42</v>
      </c>
      <c r="B423" s="958" t="str">
        <f>VLOOKUP(C423,'[8]DS CN MOI UP'!$B$10:$C$489,2,0)</f>
        <v>02633</v>
      </c>
      <c r="C423" s="992" t="s">
        <v>327</v>
      </c>
      <c r="D423" s="957" t="s">
        <v>15</v>
      </c>
      <c r="E423" s="960">
        <v>4</v>
      </c>
      <c r="F423" s="960"/>
      <c r="G423" s="960"/>
      <c r="H423" s="960">
        <v>4</v>
      </c>
      <c r="I423" s="960"/>
      <c r="J423" s="960">
        <v>4</v>
      </c>
      <c r="K423" s="960">
        <v>4</v>
      </c>
      <c r="L423" s="960">
        <v>4</v>
      </c>
      <c r="M423" s="960"/>
      <c r="N423" s="960">
        <f t="shared" si="127"/>
        <v>24</v>
      </c>
      <c r="O423" s="960">
        <f t="shared" si="128"/>
        <v>0</v>
      </c>
      <c r="P423" s="960">
        <f t="shared" si="129"/>
        <v>0</v>
      </c>
      <c r="Q423" s="960">
        <f t="shared" si="130"/>
        <v>16</v>
      </c>
      <c r="R423" s="960">
        <f t="shared" si="131"/>
        <v>0</v>
      </c>
      <c r="S423" s="960">
        <f t="shared" si="132"/>
        <v>8</v>
      </c>
      <c r="T423" s="960">
        <f t="shared" si="133"/>
        <v>4</v>
      </c>
      <c r="U423" s="960">
        <f t="shared" si="134"/>
        <v>4</v>
      </c>
      <c r="V423" s="960">
        <f t="shared" si="135"/>
        <v>0</v>
      </c>
      <c r="W423" s="960"/>
      <c r="X423" s="960"/>
      <c r="Y423" s="960"/>
      <c r="Z423" s="960"/>
      <c r="AA423" s="975">
        <f t="shared" si="138"/>
        <v>56</v>
      </c>
      <c r="AB423" s="975">
        <f>VLOOKUP(C423,'[8]MỦ TẠP'!$D$10:$AM$450,36,0)</f>
        <v>0</v>
      </c>
      <c r="AC423" s="975"/>
      <c r="AD423" s="975"/>
      <c r="AE423" s="976">
        <f t="shared" si="136"/>
        <v>0</v>
      </c>
      <c r="AF423" s="975"/>
      <c r="AG423" s="975"/>
      <c r="AH423" s="975">
        <f t="shared" si="137"/>
        <v>0</v>
      </c>
      <c r="AI423" s="975">
        <f>VLOOKUP(C423,'[8]CHẤM CÔNG '!$F$10:$AM$451,33,0)</f>
        <v>0</v>
      </c>
      <c r="AJ423" s="975">
        <f>VLOOKUP(C423,'[8]CHẤM CÔNG '!$F$10:$AM$451,34,0)</f>
        <v>0</v>
      </c>
      <c r="AK423" s="975"/>
      <c r="AL423" s="975"/>
      <c r="AM423" s="975"/>
      <c r="AN423" s="975">
        <f>VLOOKUP(C423,'[8]CHẤM CÔNG '!$F$10:$AN$451,35,0)</f>
        <v>0</v>
      </c>
      <c r="AO423" s="975">
        <f>VLOOKUP(C423,'[8]CHẤM CÔNG '!$F$10:$AR$451,36,0)</f>
        <v>0</v>
      </c>
      <c r="AP423" s="975"/>
      <c r="AQ423" s="975"/>
      <c r="AR423" s="975"/>
      <c r="AS423" s="981"/>
      <c r="AT423" s="982">
        <f>VLOOKUP(C423,'[8]MỦ TẠP'!$D$10:$AO$450,38,0)</f>
        <v>0</v>
      </c>
    </row>
    <row r="424" spans="1:46" ht="15.75">
      <c r="A424" s="957">
        <v>43</v>
      </c>
      <c r="B424" s="958">
        <f>VLOOKUP(C424,'[8]DS CN MOI UP'!$B$10:$C$489,2,0)</f>
        <v>3863</v>
      </c>
      <c r="C424" s="992" t="s">
        <v>328</v>
      </c>
      <c r="D424" s="957" t="s">
        <v>15</v>
      </c>
      <c r="E424" s="960">
        <v>4</v>
      </c>
      <c r="F424" s="960"/>
      <c r="G424" s="960"/>
      <c r="H424" s="960">
        <v>4</v>
      </c>
      <c r="I424" s="960"/>
      <c r="J424" s="960">
        <v>4</v>
      </c>
      <c r="K424" s="960">
        <v>4</v>
      </c>
      <c r="L424" s="960">
        <v>4</v>
      </c>
      <c r="M424" s="960"/>
      <c r="N424" s="960">
        <f t="shared" si="127"/>
        <v>24</v>
      </c>
      <c r="O424" s="960">
        <f t="shared" si="128"/>
        <v>0</v>
      </c>
      <c r="P424" s="960">
        <f t="shared" si="129"/>
        <v>0</v>
      </c>
      <c r="Q424" s="960">
        <f t="shared" si="130"/>
        <v>16</v>
      </c>
      <c r="R424" s="960">
        <f t="shared" si="131"/>
        <v>0</v>
      </c>
      <c r="S424" s="960">
        <f t="shared" si="132"/>
        <v>8</v>
      </c>
      <c r="T424" s="960">
        <f t="shared" si="133"/>
        <v>4</v>
      </c>
      <c r="U424" s="960">
        <f t="shared" si="134"/>
        <v>4</v>
      </c>
      <c r="V424" s="960">
        <f t="shared" si="135"/>
        <v>0</v>
      </c>
      <c r="W424" s="960"/>
      <c r="X424" s="960"/>
      <c r="Y424" s="960"/>
      <c r="Z424" s="960"/>
      <c r="AA424" s="975">
        <f t="shared" si="138"/>
        <v>56</v>
      </c>
      <c r="AB424" s="975">
        <f>VLOOKUP(C424,'[8]MỦ TẠP'!$D$10:$AM$450,36,0)</f>
        <v>0</v>
      </c>
      <c r="AC424" s="975"/>
      <c r="AD424" s="975"/>
      <c r="AE424" s="976">
        <f t="shared" si="136"/>
        <v>0</v>
      </c>
      <c r="AF424" s="975"/>
      <c r="AG424" s="975"/>
      <c r="AH424" s="975">
        <f t="shared" si="137"/>
        <v>0</v>
      </c>
      <c r="AI424" s="975">
        <f>VLOOKUP(C424,'[8]CHẤM CÔNG '!$F$10:$AM$451,33,0)</f>
        <v>0</v>
      </c>
      <c r="AJ424" s="975">
        <f>VLOOKUP(C424,'[8]CHẤM CÔNG '!$F$10:$AM$451,34,0)</f>
        <v>0</v>
      </c>
      <c r="AK424" s="975"/>
      <c r="AL424" s="975"/>
      <c r="AM424" s="975"/>
      <c r="AN424" s="975">
        <f>VLOOKUP(C424,'[8]CHẤM CÔNG '!$F$10:$AN$451,35,0)</f>
        <v>0</v>
      </c>
      <c r="AO424" s="975">
        <f>VLOOKUP(C424,'[8]CHẤM CÔNG '!$F$10:$AR$451,36,0)</f>
        <v>0</v>
      </c>
      <c r="AP424" s="975"/>
      <c r="AQ424" s="975"/>
      <c r="AR424" s="975"/>
      <c r="AS424" s="981"/>
      <c r="AT424" s="982">
        <f>VLOOKUP(C424,'[8]MỦ TẠP'!$D$10:$AO$450,38,0)</f>
        <v>0</v>
      </c>
    </row>
    <row r="425" spans="1:46" ht="15.75">
      <c r="A425" s="957">
        <v>44</v>
      </c>
      <c r="B425" s="958" t="str">
        <f>VLOOKUP(C425,'[8]DS CN MOI UP'!$B$10:$C$489,2,0)</f>
        <v>02635</v>
      </c>
      <c r="C425" s="992" t="s">
        <v>329</v>
      </c>
      <c r="D425" s="957" t="s">
        <v>15</v>
      </c>
      <c r="E425" s="960">
        <v>4</v>
      </c>
      <c r="F425" s="960"/>
      <c r="G425" s="960"/>
      <c r="H425" s="960">
        <v>4</v>
      </c>
      <c r="I425" s="960"/>
      <c r="J425" s="960"/>
      <c r="K425" s="960"/>
      <c r="L425" s="960"/>
      <c r="M425" s="960"/>
      <c r="N425" s="960">
        <f t="shared" si="127"/>
        <v>24</v>
      </c>
      <c r="O425" s="960">
        <f t="shared" si="128"/>
        <v>0</v>
      </c>
      <c r="P425" s="960">
        <f t="shared" si="129"/>
        <v>0</v>
      </c>
      <c r="Q425" s="960">
        <f t="shared" si="130"/>
        <v>16</v>
      </c>
      <c r="R425" s="960">
        <f t="shared" si="131"/>
        <v>0</v>
      </c>
      <c r="S425" s="960">
        <f t="shared" si="132"/>
        <v>0</v>
      </c>
      <c r="T425" s="960">
        <f t="shared" si="133"/>
        <v>0</v>
      </c>
      <c r="U425" s="960">
        <f t="shared" si="134"/>
        <v>0</v>
      </c>
      <c r="V425" s="960">
        <f t="shared" si="135"/>
        <v>0</v>
      </c>
      <c r="W425" s="960"/>
      <c r="X425" s="960"/>
      <c r="Y425" s="960"/>
      <c r="Z425" s="960"/>
      <c r="AA425" s="975">
        <f t="shared" si="138"/>
        <v>40</v>
      </c>
      <c r="AB425" s="975">
        <f>VLOOKUP(C425,'[8]MỦ TẠP'!$D$10:$AM$450,36,0)</f>
        <v>0</v>
      </c>
      <c r="AC425" s="975"/>
      <c r="AD425" s="975"/>
      <c r="AE425" s="976">
        <f t="shared" si="136"/>
        <v>0</v>
      </c>
      <c r="AF425" s="975"/>
      <c r="AG425" s="975"/>
      <c r="AH425" s="975">
        <f t="shared" si="137"/>
        <v>0</v>
      </c>
      <c r="AI425" s="975">
        <f>VLOOKUP(C425,'[8]CHẤM CÔNG '!$F$10:$AM$451,33,0)</f>
        <v>0</v>
      </c>
      <c r="AJ425" s="975">
        <f>VLOOKUP(C425,'[8]CHẤM CÔNG '!$F$10:$AM$451,34,0)</f>
        <v>0</v>
      </c>
      <c r="AK425" s="975"/>
      <c r="AL425" s="975"/>
      <c r="AM425" s="975"/>
      <c r="AN425" s="975">
        <f>VLOOKUP(C425,'[8]CHẤM CÔNG '!$F$10:$AN$451,35,0)</f>
        <v>0</v>
      </c>
      <c r="AO425" s="975">
        <f>VLOOKUP(C425,'[8]CHẤM CÔNG '!$F$10:$AR$451,36,0)</f>
        <v>0</v>
      </c>
      <c r="AP425" s="975"/>
      <c r="AQ425" s="975"/>
      <c r="AR425" s="975"/>
      <c r="AS425" s="981"/>
      <c r="AT425" s="982">
        <f>VLOOKUP(C425,'[8]MỦ TẠP'!$D$10:$AO$450,38,0)</f>
        <v>0</v>
      </c>
    </row>
    <row r="426" spans="1:46" ht="15.75">
      <c r="A426" s="957">
        <v>45</v>
      </c>
      <c r="B426" s="958" t="str">
        <f>VLOOKUP(C426,'[8]DS CN MOI UP'!$B$10:$C$489,2,0)</f>
        <v>07002</v>
      </c>
      <c r="C426" s="992" t="s">
        <v>330</v>
      </c>
      <c r="D426" s="957" t="s">
        <v>15</v>
      </c>
      <c r="E426" s="960">
        <v>4</v>
      </c>
      <c r="F426" s="960"/>
      <c r="G426" s="960"/>
      <c r="H426" s="960">
        <v>4</v>
      </c>
      <c r="I426" s="960"/>
      <c r="J426" s="960">
        <v>4</v>
      </c>
      <c r="K426" s="960">
        <v>4</v>
      </c>
      <c r="L426" s="960">
        <v>4</v>
      </c>
      <c r="M426" s="960"/>
      <c r="N426" s="960">
        <f t="shared" si="127"/>
        <v>24</v>
      </c>
      <c r="O426" s="960">
        <f t="shared" si="128"/>
        <v>0</v>
      </c>
      <c r="P426" s="960">
        <f t="shared" si="129"/>
        <v>0</v>
      </c>
      <c r="Q426" s="960">
        <f t="shared" si="130"/>
        <v>16</v>
      </c>
      <c r="R426" s="960">
        <f t="shared" si="131"/>
        <v>0</v>
      </c>
      <c r="S426" s="960">
        <f t="shared" si="132"/>
        <v>8</v>
      </c>
      <c r="T426" s="960">
        <f t="shared" si="133"/>
        <v>4</v>
      </c>
      <c r="U426" s="960">
        <f t="shared" si="134"/>
        <v>4</v>
      </c>
      <c r="V426" s="960">
        <f t="shared" si="135"/>
        <v>0</v>
      </c>
      <c r="W426" s="960"/>
      <c r="X426" s="960"/>
      <c r="Y426" s="960"/>
      <c r="Z426" s="960"/>
      <c r="AA426" s="975">
        <f t="shared" si="138"/>
        <v>56</v>
      </c>
      <c r="AB426" s="975">
        <f>VLOOKUP(C426,'[8]MỦ TẠP'!$D$10:$AM$450,36,0)</f>
        <v>0</v>
      </c>
      <c r="AC426" s="975"/>
      <c r="AD426" s="975"/>
      <c r="AE426" s="976">
        <f t="shared" si="136"/>
        <v>0</v>
      </c>
      <c r="AF426" s="975"/>
      <c r="AG426" s="975"/>
      <c r="AH426" s="975">
        <f t="shared" si="137"/>
        <v>0</v>
      </c>
      <c r="AI426" s="975">
        <f>VLOOKUP(C426,'[8]CHẤM CÔNG '!$F$10:$AM$451,33,0)</f>
        <v>0</v>
      </c>
      <c r="AJ426" s="975">
        <f>VLOOKUP(C426,'[8]CHẤM CÔNG '!$F$10:$AM$451,34,0)</f>
        <v>0</v>
      </c>
      <c r="AK426" s="975"/>
      <c r="AL426" s="975"/>
      <c r="AM426" s="975"/>
      <c r="AN426" s="975">
        <f>VLOOKUP(C426,'[8]CHẤM CÔNG '!$F$10:$AN$451,35,0)</f>
        <v>0</v>
      </c>
      <c r="AO426" s="975">
        <f>VLOOKUP(C426,'[8]CHẤM CÔNG '!$F$10:$AR$451,36,0)</f>
        <v>0</v>
      </c>
      <c r="AP426" s="975"/>
      <c r="AQ426" s="975"/>
      <c r="AR426" s="975"/>
      <c r="AS426" s="981"/>
      <c r="AT426" s="982">
        <f>VLOOKUP(C426,'[8]MỦ TẠP'!$D$10:$AO$450,38,0)</f>
        <v>0</v>
      </c>
    </row>
    <row r="427" spans="1:46" ht="15.75">
      <c r="A427" s="957">
        <v>46</v>
      </c>
      <c r="B427" s="958" t="str">
        <f>VLOOKUP(C427,'[8]DS CN MOI UP'!$B$10:$C$489,2,0)</f>
        <v>03859</v>
      </c>
      <c r="C427" s="992" t="s">
        <v>331</v>
      </c>
      <c r="D427" s="957" t="s">
        <v>15</v>
      </c>
      <c r="E427" s="960">
        <v>4</v>
      </c>
      <c r="F427" s="960"/>
      <c r="G427" s="960"/>
      <c r="H427" s="960">
        <v>4</v>
      </c>
      <c r="I427" s="960"/>
      <c r="J427" s="960">
        <v>4</v>
      </c>
      <c r="K427" s="960">
        <v>4</v>
      </c>
      <c r="L427" s="960">
        <v>4</v>
      </c>
      <c r="M427" s="960"/>
      <c r="N427" s="960">
        <f t="shared" si="127"/>
        <v>24</v>
      </c>
      <c r="O427" s="960">
        <f t="shared" si="128"/>
        <v>0</v>
      </c>
      <c r="P427" s="960">
        <f t="shared" si="129"/>
        <v>0</v>
      </c>
      <c r="Q427" s="960">
        <f t="shared" si="130"/>
        <v>16</v>
      </c>
      <c r="R427" s="960">
        <f t="shared" si="131"/>
        <v>0</v>
      </c>
      <c r="S427" s="960">
        <f t="shared" si="132"/>
        <v>8</v>
      </c>
      <c r="T427" s="960">
        <f t="shared" si="133"/>
        <v>4</v>
      </c>
      <c r="U427" s="960">
        <f t="shared" si="134"/>
        <v>4</v>
      </c>
      <c r="V427" s="960">
        <f t="shared" si="135"/>
        <v>0</v>
      </c>
      <c r="W427" s="960"/>
      <c r="X427" s="960"/>
      <c r="Y427" s="960"/>
      <c r="Z427" s="960"/>
      <c r="AA427" s="975">
        <f t="shared" si="138"/>
        <v>56</v>
      </c>
      <c r="AB427" s="975">
        <f>VLOOKUP(C427,'[8]MỦ TẠP'!$D$10:$AM$450,36,0)</f>
        <v>0</v>
      </c>
      <c r="AC427" s="975"/>
      <c r="AD427" s="975"/>
      <c r="AE427" s="976">
        <f t="shared" si="136"/>
        <v>0</v>
      </c>
      <c r="AF427" s="975"/>
      <c r="AG427" s="975"/>
      <c r="AH427" s="975">
        <f t="shared" si="137"/>
        <v>0</v>
      </c>
      <c r="AI427" s="975">
        <f>VLOOKUP(C427,'[8]CHẤM CÔNG '!$F$10:$AM$451,33,0)</f>
        <v>0</v>
      </c>
      <c r="AJ427" s="975">
        <f>VLOOKUP(C427,'[8]CHẤM CÔNG '!$F$10:$AM$451,34,0)</f>
        <v>0</v>
      </c>
      <c r="AK427" s="975"/>
      <c r="AL427" s="975"/>
      <c r="AM427" s="975"/>
      <c r="AN427" s="975">
        <f>VLOOKUP(C427,'[8]CHẤM CÔNG '!$F$10:$AN$451,35,0)</f>
        <v>0</v>
      </c>
      <c r="AO427" s="975">
        <f>VLOOKUP(C427,'[8]CHẤM CÔNG '!$F$10:$AR$451,36,0)</f>
        <v>0</v>
      </c>
      <c r="AP427" s="975"/>
      <c r="AQ427" s="975"/>
      <c r="AR427" s="975"/>
      <c r="AS427" s="981"/>
      <c r="AT427" s="982">
        <f>VLOOKUP(C427,'[8]MỦ TẠP'!$D$10:$AO$450,38,0)</f>
        <v>0</v>
      </c>
    </row>
    <row r="428" spans="1:46" ht="15.75">
      <c r="A428" s="957">
        <v>47</v>
      </c>
      <c r="B428" s="958" t="str">
        <f>VLOOKUP(C428,'[8]DS CN MOI UP'!$B$10:$C$489,2,0)</f>
        <v>03411</v>
      </c>
      <c r="C428" s="992" t="s">
        <v>332</v>
      </c>
      <c r="D428" s="957" t="s">
        <v>15</v>
      </c>
      <c r="E428" s="960">
        <v>4</v>
      </c>
      <c r="F428" s="960"/>
      <c r="G428" s="960"/>
      <c r="H428" s="960">
        <v>4</v>
      </c>
      <c r="I428" s="960"/>
      <c r="J428" s="960">
        <v>4</v>
      </c>
      <c r="K428" s="960">
        <v>4</v>
      </c>
      <c r="L428" s="960">
        <v>4</v>
      </c>
      <c r="M428" s="960"/>
      <c r="N428" s="960">
        <f t="shared" si="127"/>
        <v>24</v>
      </c>
      <c r="O428" s="960">
        <f t="shared" si="128"/>
        <v>0</v>
      </c>
      <c r="P428" s="960">
        <f t="shared" si="129"/>
        <v>0</v>
      </c>
      <c r="Q428" s="960">
        <f t="shared" si="130"/>
        <v>16</v>
      </c>
      <c r="R428" s="960">
        <f t="shared" si="131"/>
        <v>0</v>
      </c>
      <c r="S428" s="960">
        <f t="shared" si="132"/>
        <v>8</v>
      </c>
      <c r="T428" s="960">
        <f t="shared" si="133"/>
        <v>4</v>
      </c>
      <c r="U428" s="960">
        <f t="shared" si="134"/>
        <v>4</v>
      </c>
      <c r="V428" s="960">
        <f t="shared" si="135"/>
        <v>0</v>
      </c>
      <c r="W428" s="960"/>
      <c r="X428" s="960"/>
      <c r="Y428" s="960"/>
      <c r="Z428" s="960"/>
      <c r="AA428" s="975">
        <f t="shared" si="138"/>
        <v>56</v>
      </c>
      <c r="AB428" s="975">
        <f>VLOOKUP(C428,'[8]MỦ TẠP'!$D$10:$AM$450,36,0)</f>
        <v>0</v>
      </c>
      <c r="AC428" s="975"/>
      <c r="AD428" s="975"/>
      <c r="AE428" s="976">
        <f t="shared" si="136"/>
        <v>0</v>
      </c>
      <c r="AF428" s="975"/>
      <c r="AG428" s="975"/>
      <c r="AH428" s="975">
        <f t="shared" si="137"/>
        <v>0</v>
      </c>
      <c r="AI428" s="975">
        <f>VLOOKUP(C428,'[8]CHẤM CÔNG '!$F$10:$AM$451,33,0)</f>
        <v>0</v>
      </c>
      <c r="AJ428" s="975">
        <f>VLOOKUP(C428,'[8]CHẤM CÔNG '!$F$10:$AM$451,34,0)</f>
        <v>0</v>
      </c>
      <c r="AK428" s="975"/>
      <c r="AL428" s="975"/>
      <c r="AM428" s="975"/>
      <c r="AN428" s="975">
        <f>VLOOKUP(C428,'[8]CHẤM CÔNG '!$F$10:$AN$451,35,0)</f>
        <v>0</v>
      </c>
      <c r="AO428" s="975">
        <f>VLOOKUP(C428,'[8]CHẤM CÔNG '!$F$10:$AR$451,36,0)</f>
        <v>0</v>
      </c>
      <c r="AP428" s="975"/>
      <c r="AQ428" s="975"/>
      <c r="AR428" s="975"/>
      <c r="AS428" s="981"/>
      <c r="AT428" s="982">
        <f>VLOOKUP(C428,'[8]MỦ TẠP'!$D$10:$AO$450,38,0)</f>
        <v>0</v>
      </c>
    </row>
    <row r="429" spans="1:46" ht="15.75">
      <c r="A429" s="957">
        <v>48</v>
      </c>
      <c r="B429" s="958" t="e">
        <f>VLOOKUP(C429,'[8]DS CN MOI UP'!$B$10:$C$489,2,0)</f>
        <v>#N/A</v>
      </c>
      <c r="C429" s="992" t="s">
        <v>333</v>
      </c>
      <c r="D429" s="957" t="s">
        <v>15</v>
      </c>
      <c r="E429" s="960">
        <v>4</v>
      </c>
      <c r="F429" s="960"/>
      <c r="G429" s="960"/>
      <c r="H429" s="960">
        <v>4</v>
      </c>
      <c r="I429" s="960"/>
      <c r="J429" s="960">
        <v>4</v>
      </c>
      <c r="K429" s="960">
        <v>4</v>
      </c>
      <c r="L429" s="960">
        <v>4</v>
      </c>
      <c r="M429" s="960"/>
      <c r="N429" s="960">
        <f t="shared" si="127"/>
        <v>24</v>
      </c>
      <c r="O429" s="960">
        <f t="shared" si="128"/>
        <v>0</v>
      </c>
      <c r="P429" s="960">
        <f t="shared" si="129"/>
        <v>0</v>
      </c>
      <c r="Q429" s="960">
        <f t="shared" si="130"/>
        <v>16</v>
      </c>
      <c r="R429" s="960">
        <f t="shared" si="131"/>
        <v>0</v>
      </c>
      <c r="S429" s="960">
        <f t="shared" si="132"/>
        <v>8</v>
      </c>
      <c r="T429" s="960">
        <f t="shared" si="133"/>
        <v>4</v>
      </c>
      <c r="U429" s="960">
        <f t="shared" si="134"/>
        <v>4</v>
      </c>
      <c r="V429" s="960">
        <f t="shared" si="135"/>
        <v>0</v>
      </c>
      <c r="W429" s="960"/>
      <c r="X429" s="960"/>
      <c r="Y429" s="960"/>
      <c r="Z429" s="960"/>
      <c r="AA429" s="975">
        <f t="shared" si="138"/>
        <v>56</v>
      </c>
      <c r="AB429" s="975">
        <f>VLOOKUP(C429,'[8]MỦ TẠP'!$D$10:$AM$450,36,0)</f>
        <v>0</v>
      </c>
      <c r="AC429" s="975"/>
      <c r="AD429" s="975"/>
      <c r="AE429" s="976">
        <f t="shared" si="136"/>
        <v>0</v>
      </c>
      <c r="AF429" s="975"/>
      <c r="AG429" s="975"/>
      <c r="AH429" s="975">
        <f t="shared" si="137"/>
        <v>0</v>
      </c>
      <c r="AI429" s="975">
        <f>VLOOKUP(C429,'[8]CHẤM CÔNG '!$F$10:$AM$451,33,0)</f>
        <v>0</v>
      </c>
      <c r="AJ429" s="975">
        <f>VLOOKUP(C429,'[8]CHẤM CÔNG '!$F$10:$AM$451,34,0)</f>
        <v>0</v>
      </c>
      <c r="AK429" s="975"/>
      <c r="AL429" s="975"/>
      <c r="AM429" s="975"/>
      <c r="AN429" s="975">
        <f>VLOOKUP(C429,'[8]CHẤM CÔNG '!$F$10:$AN$451,35,0)</f>
        <v>0</v>
      </c>
      <c r="AO429" s="975">
        <f>VLOOKUP(C429,'[8]CHẤM CÔNG '!$F$10:$AR$451,36,0)</f>
        <v>0</v>
      </c>
      <c r="AP429" s="975"/>
      <c r="AQ429" s="975"/>
      <c r="AR429" s="975"/>
      <c r="AS429" s="981"/>
      <c r="AT429" s="982">
        <f>VLOOKUP(C429,'[8]MỦ TẠP'!$D$10:$AO$450,38,0)</f>
        <v>0</v>
      </c>
    </row>
    <row r="430" spans="1:46" ht="15.75">
      <c r="A430" s="957">
        <v>49</v>
      </c>
      <c r="B430" s="958" t="str">
        <f>VLOOKUP(C430,'[8]DS CN MOI UP'!$B$10:$C$489,2,0)</f>
        <v>02625</v>
      </c>
      <c r="C430" s="992" t="s">
        <v>334</v>
      </c>
      <c r="D430" s="957" t="s">
        <v>15</v>
      </c>
      <c r="E430" s="960">
        <v>4</v>
      </c>
      <c r="F430" s="960"/>
      <c r="G430" s="960"/>
      <c r="H430" s="960">
        <v>4</v>
      </c>
      <c r="I430" s="960"/>
      <c r="J430" s="960">
        <v>4</v>
      </c>
      <c r="K430" s="960">
        <v>4</v>
      </c>
      <c r="L430" s="960">
        <v>4</v>
      </c>
      <c r="M430" s="960"/>
      <c r="N430" s="960">
        <f t="shared" si="127"/>
        <v>24</v>
      </c>
      <c r="O430" s="960">
        <f t="shared" si="128"/>
        <v>0</v>
      </c>
      <c r="P430" s="960">
        <f t="shared" si="129"/>
        <v>0</v>
      </c>
      <c r="Q430" s="960">
        <f t="shared" si="130"/>
        <v>16</v>
      </c>
      <c r="R430" s="960">
        <f t="shared" si="131"/>
        <v>0</v>
      </c>
      <c r="S430" s="960">
        <f t="shared" si="132"/>
        <v>8</v>
      </c>
      <c r="T430" s="960">
        <f t="shared" si="133"/>
        <v>4</v>
      </c>
      <c r="U430" s="960">
        <f t="shared" si="134"/>
        <v>4</v>
      </c>
      <c r="V430" s="960">
        <f t="shared" si="135"/>
        <v>0</v>
      </c>
      <c r="W430" s="960"/>
      <c r="X430" s="960"/>
      <c r="Y430" s="960"/>
      <c r="Z430" s="960"/>
      <c r="AA430" s="975">
        <f t="shared" si="138"/>
        <v>56</v>
      </c>
      <c r="AB430" s="975">
        <f>VLOOKUP(C430,'[8]MỦ TẠP'!$D$10:$AM$450,36,0)</f>
        <v>0</v>
      </c>
      <c r="AC430" s="975"/>
      <c r="AD430" s="975"/>
      <c r="AE430" s="976">
        <f t="shared" si="136"/>
        <v>0</v>
      </c>
      <c r="AF430" s="975"/>
      <c r="AG430" s="975"/>
      <c r="AH430" s="975">
        <f t="shared" si="137"/>
        <v>0</v>
      </c>
      <c r="AI430" s="975">
        <f>VLOOKUP(C430,'[8]CHẤM CÔNG '!$F$10:$AM$451,33,0)</f>
        <v>0</v>
      </c>
      <c r="AJ430" s="975">
        <f>VLOOKUP(C430,'[8]CHẤM CÔNG '!$F$10:$AM$451,34,0)</f>
        <v>0</v>
      </c>
      <c r="AK430" s="975"/>
      <c r="AL430" s="975"/>
      <c r="AM430" s="975"/>
      <c r="AN430" s="975">
        <f>VLOOKUP(C430,'[8]CHẤM CÔNG '!$F$10:$AN$451,35,0)</f>
        <v>0</v>
      </c>
      <c r="AO430" s="975">
        <f>VLOOKUP(C430,'[8]CHẤM CÔNG '!$F$10:$AR$451,36,0)</f>
        <v>0</v>
      </c>
      <c r="AP430" s="975"/>
      <c r="AQ430" s="975"/>
      <c r="AR430" s="975"/>
      <c r="AS430" s="981"/>
      <c r="AT430" s="982">
        <f>VLOOKUP(C430,'[8]MỦ TẠP'!$D$10:$AO$450,38,0)</f>
        <v>0</v>
      </c>
    </row>
    <row r="431" spans="1:46" ht="15.75">
      <c r="A431" s="957">
        <v>50</v>
      </c>
      <c r="B431" s="958" t="str">
        <f>VLOOKUP(C431,'[8]DS CN MOI UP'!$B$10:$C$489,2,0)</f>
        <v>03862</v>
      </c>
      <c r="C431" s="992" t="s">
        <v>335</v>
      </c>
      <c r="D431" s="957" t="s">
        <v>15</v>
      </c>
      <c r="E431" s="960">
        <v>4</v>
      </c>
      <c r="F431" s="960"/>
      <c r="G431" s="960"/>
      <c r="H431" s="960">
        <v>4</v>
      </c>
      <c r="I431" s="960"/>
      <c r="J431" s="960">
        <v>4</v>
      </c>
      <c r="K431" s="960">
        <v>4</v>
      </c>
      <c r="L431" s="960">
        <v>4</v>
      </c>
      <c r="M431" s="960"/>
      <c r="N431" s="960">
        <f t="shared" si="127"/>
        <v>24</v>
      </c>
      <c r="O431" s="960">
        <f t="shared" si="128"/>
        <v>0</v>
      </c>
      <c r="P431" s="960">
        <f t="shared" si="129"/>
        <v>0</v>
      </c>
      <c r="Q431" s="960">
        <f t="shared" si="130"/>
        <v>16</v>
      </c>
      <c r="R431" s="960">
        <f t="shared" si="131"/>
        <v>0</v>
      </c>
      <c r="S431" s="960">
        <f t="shared" si="132"/>
        <v>8</v>
      </c>
      <c r="T431" s="960">
        <f t="shared" si="133"/>
        <v>4</v>
      </c>
      <c r="U431" s="960">
        <f t="shared" si="134"/>
        <v>4</v>
      </c>
      <c r="V431" s="960">
        <f t="shared" si="135"/>
        <v>0</v>
      </c>
      <c r="W431" s="960"/>
      <c r="X431" s="960"/>
      <c r="Y431" s="960"/>
      <c r="Z431" s="960"/>
      <c r="AA431" s="975">
        <f t="shared" si="138"/>
        <v>56</v>
      </c>
      <c r="AB431" s="975">
        <f>VLOOKUP(C431,'[8]MỦ TẠP'!$D$10:$AM$450,36,0)</f>
        <v>0</v>
      </c>
      <c r="AC431" s="975"/>
      <c r="AD431" s="975"/>
      <c r="AE431" s="976">
        <f t="shared" si="136"/>
        <v>0</v>
      </c>
      <c r="AF431" s="975"/>
      <c r="AG431" s="975"/>
      <c r="AH431" s="975">
        <f t="shared" si="137"/>
        <v>0</v>
      </c>
      <c r="AI431" s="975">
        <f>VLOOKUP(C431,'[8]CHẤM CÔNG '!$F$10:$AM$451,33,0)</f>
        <v>0</v>
      </c>
      <c r="AJ431" s="975">
        <f>VLOOKUP(C431,'[8]CHẤM CÔNG '!$F$10:$AM$451,34,0)</f>
        <v>0</v>
      </c>
      <c r="AK431" s="975"/>
      <c r="AL431" s="975"/>
      <c r="AM431" s="975"/>
      <c r="AN431" s="975">
        <f>VLOOKUP(C431,'[8]CHẤM CÔNG '!$F$10:$AN$451,35,0)</f>
        <v>0</v>
      </c>
      <c r="AO431" s="975">
        <f>VLOOKUP(C431,'[8]CHẤM CÔNG '!$F$10:$AR$451,36,0)</f>
        <v>0</v>
      </c>
      <c r="AP431" s="975"/>
      <c r="AQ431" s="975"/>
      <c r="AR431" s="975"/>
      <c r="AS431" s="981"/>
      <c r="AT431" s="982">
        <f>VLOOKUP(C431,'[8]MỦ TẠP'!$D$10:$AO$450,38,0)</f>
        <v>0</v>
      </c>
    </row>
    <row r="432" spans="1:46" ht="15.75">
      <c r="A432" s="957">
        <v>51</v>
      </c>
      <c r="B432" s="958" t="str">
        <f>VLOOKUP(C432,'[8]DS CN MOI UP'!$B$10:$C$489,2,0)</f>
        <v>03413</v>
      </c>
      <c r="C432" s="992" t="s">
        <v>336</v>
      </c>
      <c r="D432" s="957" t="s">
        <v>15</v>
      </c>
      <c r="E432" s="960">
        <v>4</v>
      </c>
      <c r="F432" s="960"/>
      <c r="G432" s="960"/>
      <c r="H432" s="960">
        <v>4</v>
      </c>
      <c r="I432" s="960"/>
      <c r="J432" s="960">
        <v>4</v>
      </c>
      <c r="K432" s="960">
        <v>4</v>
      </c>
      <c r="L432" s="960">
        <v>4</v>
      </c>
      <c r="M432" s="960"/>
      <c r="N432" s="960">
        <f t="shared" si="127"/>
        <v>24</v>
      </c>
      <c r="O432" s="960">
        <f t="shared" si="128"/>
        <v>0</v>
      </c>
      <c r="P432" s="960">
        <f t="shared" si="129"/>
        <v>0</v>
      </c>
      <c r="Q432" s="960">
        <f t="shared" si="130"/>
        <v>16</v>
      </c>
      <c r="R432" s="960">
        <f t="shared" si="131"/>
        <v>0</v>
      </c>
      <c r="S432" s="960">
        <f t="shared" si="132"/>
        <v>8</v>
      </c>
      <c r="T432" s="960">
        <f t="shared" si="133"/>
        <v>4</v>
      </c>
      <c r="U432" s="960">
        <f t="shared" si="134"/>
        <v>4</v>
      </c>
      <c r="V432" s="960">
        <f t="shared" si="135"/>
        <v>0</v>
      </c>
      <c r="W432" s="960"/>
      <c r="X432" s="960"/>
      <c r="Y432" s="960"/>
      <c r="Z432" s="960"/>
      <c r="AA432" s="975">
        <f t="shared" si="138"/>
        <v>56</v>
      </c>
      <c r="AB432" s="975">
        <f>VLOOKUP(C432,'[8]MỦ TẠP'!$D$10:$AM$450,36,0)</f>
        <v>0</v>
      </c>
      <c r="AC432" s="975"/>
      <c r="AD432" s="975"/>
      <c r="AE432" s="976">
        <f t="shared" si="136"/>
        <v>0</v>
      </c>
      <c r="AF432" s="975"/>
      <c r="AG432" s="975"/>
      <c r="AH432" s="975">
        <f t="shared" si="137"/>
        <v>0</v>
      </c>
      <c r="AI432" s="975">
        <f>VLOOKUP(C432,'[8]CHẤM CÔNG '!$F$10:$AM$451,33,0)</f>
        <v>0</v>
      </c>
      <c r="AJ432" s="975">
        <f>VLOOKUP(C432,'[8]CHẤM CÔNG '!$F$10:$AM$451,34,0)</f>
        <v>0</v>
      </c>
      <c r="AK432" s="975"/>
      <c r="AL432" s="975"/>
      <c r="AM432" s="975"/>
      <c r="AN432" s="975">
        <f>VLOOKUP(C432,'[8]CHẤM CÔNG '!$F$10:$AN$451,35,0)</f>
        <v>0</v>
      </c>
      <c r="AO432" s="975">
        <f>VLOOKUP(C432,'[8]CHẤM CÔNG '!$F$10:$AR$451,36,0)</f>
        <v>0</v>
      </c>
      <c r="AP432" s="975"/>
      <c r="AQ432" s="975"/>
      <c r="AR432" s="975"/>
      <c r="AS432" s="981"/>
      <c r="AT432" s="982">
        <f>VLOOKUP(C432,'[8]MỦ TẠP'!$D$10:$AO$450,38,0)</f>
        <v>0</v>
      </c>
    </row>
    <row r="433" spans="1:52" ht="15.75">
      <c r="A433" s="957">
        <v>52</v>
      </c>
      <c r="B433" s="958" t="str">
        <f>VLOOKUP(C433,'[8]DS CN MOI UP'!$B$10:$C$489,2,0)</f>
        <v>03414</v>
      </c>
      <c r="C433" s="992" t="s">
        <v>337</v>
      </c>
      <c r="D433" s="957" t="s">
        <v>15</v>
      </c>
      <c r="E433" s="960">
        <v>4</v>
      </c>
      <c r="F433" s="960"/>
      <c r="G433" s="960"/>
      <c r="H433" s="960">
        <v>4</v>
      </c>
      <c r="I433" s="960"/>
      <c r="J433" s="960">
        <v>4</v>
      </c>
      <c r="K433" s="960">
        <v>4</v>
      </c>
      <c r="L433" s="960">
        <v>4</v>
      </c>
      <c r="M433" s="960"/>
      <c r="N433" s="960">
        <f t="shared" si="127"/>
        <v>24</v>
      </c>
      <c r="O433" s="960">
        <f t="shared" si="128"/>
        <v>0</v>
      </c>
      <c r="P433" s="960">
        <f t="shared" si="129"/>
        <v>0</v>
      </c>
      <c r="Q433" s="960">
        <f t="shared" si="130"/>
        <v>16</v>
      </c>
      <c r="R433" s="960">
        <f t="shared" si="131"/>
        <v>0</v>
      </c>
      <c r="S433" s="960">
        <f t="shared" si="132"/>
        <v>8</v>
      </c>
      <c r="T433" s="960">
        <f t="shared" si="133"/>
        <v>4</v>
      </c>
      <c r="U433" s="960">
        <f t="shared" si="134"/>
        <v>4</v>
      </c>
      <c r="V433" s="960">
        <f t="shared" si="135"/>
        <v>0</v>
      </c>
      <c r="W433" s="960"/>
      <c r="X433" s="960"/>
      <c r="Y433" s="960"/>
      <c r="Z433" s="960"/>
      <c r="AA433" s="975">
        <f t="shared" si="138"/>
        <v>56</v>
      </c>
      <c r="AB433" s="975">
        <f>VLOOKUP(C433,'[8]MỦ TẠP'!$D$10:$AM$450,36,0)</f>
        <v>0</v>
      </c>
      <c r="AC433" s="975"/>
      <c r="AD433" s="975"/>
      <c r="AE433" s="976">
        <f t="shared" si="136"/>
        <v>0</v>
      </c>
      <c r="AF433" s="975"/>
      <c r="AG433" s="975"/>
      <c r="AH433" s="975">
        <f t="shared" si="137"/>
        <v>0</v>
      </c>
      <c r="AI433" s="975">
        <f>VLOOKUP(C433,'[8]CHẤM CÔNG '!$F$10:$AM$451,33,0)</f>
        <v>0</v>
      </c>
      <c r="AJ433" s="975">
        <f>VLOOKUP(C433,'[8]CHẤM CÔNG '!$F$10:$AM$451,34,0)</f>
        <v>0</v>
      </c>
      <c r="AK433" s="975"/>
      <c r="AL433" s="975"/>
      <c r="AM433" s="975"/>
      <c r="AN433" s="975">
        <f>VLOOKUP(C433,'[8]CHẤM CÔNG '!$F$10:$AN$451,35,0)</f>
        <v>0</v>
      </c>
      <c r="AO433" s="975">
        <f>VLOOKUP(C433,'[8]CHẤM CÔNG '!$F$10:$AR$451,36,0)</f>
        <v>0</v>
      </c>
      <c r="AP433" s="975"/>
      <c r="AQ433" s="975"/>
      <c r="AR433" s="975"/>
      <c r="AS433" s="981"/>
      <c r="AT433" s="982">
        <f>VLOOKUP(C433,'[8]MỦ TẠP'!$D$10:$AO$450,38,0)</f>
        <v>0</v>
      </c>
    </row>
    <row r="434" spans="1:52" ht="15.75">
      <c r="A434" s="957">
        <v>53</v>
      </c>
      <c r="B434" s="958" t="str">
        <f>VLOOKUP(C434,'[8]DS CN MOI UP'!$B$10:$C$489,2,0)</f>
        <v>03415</v>
      </c>
      <c r="C434" s="992" t="s">
        <v>338</v>
      </c>
      <c r="D434" s="957" t="s">
        <v>15</v>
      </c>
      <c r="E434" s="960">
        <v>4</v>
      </c>
      <c r="F434" s="960"/>
      <c r="G434" s="960"/>
      <c r="H434" s="960">
        <v>4</v>
      </c>
      <c r="I434" s="960"/>
      <c r="J434" s="960">
        <v>4</v>
      </c>
      <c r="K434" s="960">
        <v>4</v>
      </c>
      <c r="L434" s="960">
        <v>4</v>
      </c>
      <c r="M434" s="960"/>
      <c r="N434" s="960">
        <f t="shared" si="127"/>
        <v>24</v>
      </c>
      <c r="O434" s="960">
        <f t="shared" si="128"/>
        <v>0</v>
      </c>
      <c r="P434" s="960">
        <f t="shared" si="129"/>
        <v>0</v>
      </c>
      <c r="Q434" s="960">
        <f t="shared" si="130"/>
        <v>16</v>
      </c>
      <c r="R434" s="960">
        <f t="shared" si="131"/>
        <v>0</v>
      </c>
      <c r="S434" s="960">
        <f t="shared" si="132"/>
        <v>8</v>
      </c>
      <c r="T434" s="960">
        <f t="shared" si="133"/>
        <v>4</v>
      </c>
      <c r="U434" s="960">
        <f t="shared" si="134"/>
        <v>4</v>
      </c>
      <c r="V434" s="960">
        <f t="shared" si="135"/>
        <v>0</v>
      </c>
      <c r="W434" s="960"/>
      <c r="X434" s="960"/>
      <c r="Y434" s="960"/>
      <c r="Z434" s="960"/>
      <c r="AA434" s="975">
        <f t="shared" si="138"/>
        <v>56</v>
      </c>
      <c r="AB434" s="975">
        <f>VLOOKUP(C434,'[8]MỦ TẠP'!$D$10:$AM$450,36,0)</f>
        <v>0</v>
      </c>
      <c r="AC434" s="975"/>
      <c r="AD434" s="975"/>
      <c r="AE434" s="976">
        <f t="shared" si="136"/>
        <v>0</v>
      </c>
      <c r="AF434" s="975"/>
      <c r="AG434" s="975"/>
      <c r="AH434" s="975">
        <f t="shared" si="137"/>
        <v>0</v>
      </c>
      <c r="AI434" s="975">
        <f>VLOOKUP(C434,'[8]CHẤM CÔNG '!$F$10:$AM$451,33,0)</f>
        <v>0</v>
      </c>
      <c r="AJ434" s="975">
        <f>VLOOKUP(C434,'[8]CHẤM CÔNG '!$F$10:$AM$451,34,0)</f>
        <v>0</v>
      </c>
      <c r="AK434" s="975"/>
      <c r="AL434" s="975"/>
      <c r="AM434" s="975"/>
      <c r="AN434" s="975">
        <f>VLOOKUP(C434,'[8]CHẤM CÔNG '!$F$10:$AN$451,35,0)</f>
        <v>0</v>
      </c>
      <c r="AO434" s="975">
        <f>VLOOKUP(C434,'[8]CHẤM CÔNG '!$F$10:$AR$451,36,0)</f>
        <v>0</v>
      </c>
      <c r="AP434" s="975"/>
      <c r="AQ434" s="975"/>
      <c r="AR434" s="975"/>
      <c r="AS434" s="981"/>
      <c r="AT434" s="982">
        <f>VLOOKUP(C434,'[8]MỦ TẠP'!$D$10:$AO$450,38,0)</f>
        <v>0</v>
      </c>
    </row>
    <row r="435" spans="1:52" ht="15.75">
      <c r="A435" s="957">
        <v>54</v>
      </c>
      <c r="B435" s="958" t="e">
        <f>VLOOKUP(C435,'[8]DS CN MOI UP'!$B$10:$C$489,2,0)</f>
        <v>#N/A</v>
      </c>
      <c r="C435" s="992" t="s">
        <v>339</v>
      </c>
      <c r="D435" s="957" t="s">
        <v>15</v>
      </c>
      <c r="E435" s="960">
        <v>4</v>
      </c>
      <c r="F435" s="960"/>
      <c r="G435" s="960"/>
      <c r="H435" s="960">
        <v>4</v>
      </c>
      <c r="I435" s="960"/>
      <c r="J435" s="960">
        <v>4</v>
      </c>
      <c r="K435" s="960">
        <v>4</v>
      </c>
      <c r="L435" s="960">
        <v>4</v>
      </c>
      <c r="M435" s="960"/>
      <c r="N435" s="960">
        <f t="shared" si="127"/>
        <v>24</v>
      </c>
      <c r="O435" s="960">
        <f t="shared" si="128"/>
        <v>0</v>
      </c>
      <c r="P435" s="960">
        <f t="shared" si="129"/>
        <v>0</v>
      </c>
      <c r="Q435" s="960">
        <f t="shared" si="130"/>
        <v>16</v>
      </c>
      <c r="R435" s="960">
        <f t="shared" si="131"/>
        <v>0</v>
      </c>
      <c r="S435" s="960">
        <f t="shared" si="132"/>
        <v>8</v>
      </c>
      <c r="T435" s="960">
        <f t="shared" si="133"/>
        <v>4</v>
      </c>
      <c r="U435" s="960">
        <f t="shared" si="134"/>
        <v>4</v>
      </c>
      <c r="V435" s="960">
        <f t="shared" si="135"/>
        <v>0</v>
      </c>
      <c r="W435" s="960"/>
      <c r="X435" s="960"/>
      <c r="Y435" s="960"/>
      <c r="Z435" s="960"/>
      <c r="AA435" s="975">
        <f t="shared" si="138"/>
        <v>56</v>
      </c>
      <c r="AB435" s="975">
        <f>VLOOKUP(C435,'[8]MỦ TẠP'!$D$10:$AM$450,36,0)</f>
        <v>0</v>
      </c>
      <c r="AC435" s="975"/>
      <c r="AD435" s="975"/>
      <c r="AE435" s="976">
        <f t="shared" si="136"/>
        <v>0</v>
      </c>
      <c r="AF435" s="975"/>
      <c r="AG435" s="975"/>
      <c r="AH435" s="975">
        <f t="shared" si="137"/>
        <v>0</v>
      </c>
      <c r="AI435" s="975">
        <f>VLOOKUP(C435,'[8]CHẤM CÔNG '!$F$10:$AM$451,33,0)</f>
        <v>0</v>
      </c>
      <c r="AJ435" s="975">
        <f>VLOOKUP(C435,'[8]CHẤM CÔNG '!$F$10:$AM$451,34,0)</f>
        <v>0</v>
      </c>
      <c r="AK435" s="975"/>
      <c r="AL435" s="975"/>
      <c r="AM435" s="975"/>
      <c r="AN435" s="975">
        <f>VLOOKUP(C435,'[8]CHẤM CÔNG '!$F$10:$AN$451,35,0)</f>
        <v>0</v>
      </c>
      <c r="AO435" s="975">
        <f>VLOOKUP(C435,'[8]CHẤM CÔNG '!$F$10:$AR$451,36,0)</f>
        <v>0</v>
      </c>
      <c r="AP435" s="975"/>
      <c r="AQ435" s="975"/>
      <c r="AR435" s="975"/>
      <c r="AS435" s="981"/>
      <c r="AT435" s="982">
        <f>VLOOKUP(C435,'[8]MỦ TẠP'!$D$10:$AO$450,38,0)</f>
        <v>0</v>
      </c>
    </row>
    <row r="436" spans="1:52" ht="15.75">
      <c r="A436" s="957">
        <v>55</v>
      </c>
      <c r="B436" s="958" t="str">
        <f>VLOOKUP(C436,'[8]DS CN MOI UP'!$B$10:$C$489,2,0)</f>
        <v>03417</v>
      </c>
      <c r="C436" s="992" t="s">
        <v>340</v>
      </c>
      <c r="D436" s="957" t="s">
        <v>15</v>
      </c>
      <c r="E436" s="960">
        <v>4</v>
      </c>
      <c r="F436" s="960"/>
      <c r="G436" s="960"/>
      <c r="H436" s="960">
        <v>4</v>
      </c>
      <c r="I436" s="960"/>
      <c r="J436" s="960">
        <v>4</v>
      </c>
      <c r="K436" s="960">
        <v>4</v>
      </c>
      <c r="L436" s="960">
        <v>4</v>
      </c>
      <c r="M436" s="960"/>
      <c r="N436" s="960">
        <f t="shared" si="127"/>
        <v>24</v>
      </c>
      <c r="O436" s="960">
        <f t="shared" si="128"/>
        <v>0</v>
      </c>
      <c r="P436" s="960">
        <f t="shared" si="129"/>
        <v>0</v>
      </c>
      <c r="Q436" s="960">
        <f t="shared" si="130"/>
        <v>16</v>
      </c>
      <c r="R436" s="960">
        <f t="shared" si="131"/>
        <v>0</v>
      </c>
      <c r="S436" s="960">
        <f t="shared" si="132"/>
        <v>8</v>
      </c>
      <c r="T436" s="960">
        <f t="shared" si="133"/>
        <v>4</v>
      </c>
      <c r="U436" s="960">
        <f t="shared" si="134"/>
        <v>4</v>
      </c>
      <c r="V436" s="960">
        <f t="shared" si="135"/>
        <v>0</v>
      </c>
      <c r="W436" s="960"/>
      <c r="X436" s="960"/>
      <c r="Y436" s="960"/>
      <c r="Z436" s="960"/>
      <c r="AA436" s="975">
        <f t="shared" si="138"/>
        <v>56</v>
      </c>
      <c r="AB436" s="975">
        <f>VLOOKUP(C436,'[8]MỦ TẠP'!$D$10:$AM$450,36,0)</f>
        <v>0</v>
      </c>
      <c r="AC436" s="975"/>
      <c r="AD436" s="975"/>
      <c r="AE436" s="976">
        <f t="shared" si="136"/>
        <v>0</v>
      </c>
      <c r="AF436" s="975"/>
      <c r="AG436" s="975"/>
      <c r="AH436" s="975">
        <f t="shared" si="137"/>
        <v>0</v>
      </c>
      <c r="AI436" s="975">
        <f>VLOOKUP(C436,'[8]CHẤM CÔNG '!$F$10:$AM$451,33,0)</f>
        <v>0</v>
      </c>
      <c r="AJ436" s="975">
        <f>VLOOKUP(C436,'[8]CHẤM CÔNG '!$F$10:$AM$451,34,0)</f>
        <v>0</v>
      </c>
      <c r="AK436" s="975"/>
      <c r="AL436" s="975"/>
      <c r="AM436" s="975"/>
      <c r="AN436" s="975">
        <f>VLOOKUP(C436,'[8]CHẤM CÔNG '!$F$10:$AN$451,35,0)</f>
        <v>0</v>
      </c>
      <c r="AO436" s="975">
        <f>VLOOKUP(C436,'[8]CHẤM CÔNG '!$F$10:$AR$451,36,0)</f>
        <v>0</v>
      </c>
      <c r="AP436" s="975"/>
      <c r="AQ436" s="975"/>
      <c r="AR436" s="975"/>
      <c r="AS436" s="981"/>
      <c r="AT436" s="982">
        <f>VLOOKUP(C436,'[8]MỦ TẠP'!$D$10:$AO$450,38,0)</f>
        <v>0</v>
      </c>
    </row>
    <row r="437" spans="1:52" ht="15.75">
      <c r="A437" s="957">
        <v>56</v>
      </c>
      <c r="B437" s="958" t="str">
        <f>VLOOKUP(C437,'[8]DS CN MOI UP'!$B$10:$C$489,2,0)</f>
        <v>03418</v>
      </c>
      <c r="C437" s="992" t="s">
        <v>341</v>
      </c>
      <c r="D437" s="957" t="s">
        <v>15</v>
      </c>
      <c r="E437" s="960">
        <v>4</v>
      </c>
      <c r="F437" s="960"/>
      <c r="G437" s="960"/>
      <c r="H437" s="960">
        <v>4</v>
      </c>
      <c r="I437" s="960"/>
      <c r="J437" s="960">
        <v>4</v>
      </c>
      <c r="K437" s="960">
        <v>4</v>
      </c>
      <c r="L437" s="960">
        <v>4</v>
      </c>
      <c r="M437" s="960"/>
      <c r="N437" s="960">
        <f t="shared" si="127"/>
        <v>24</v>
      </c>
      <c r="O437" s="960">
        <f t="shared" si="128"/>
        <v>0</v>
      </c>
      <c r="P437" s="960">
        <f t="shared" si="129"/>
        <v>0</v>
      </c>
      <c r="Q437" s="960">
        <f t="shared" si="130"/>
        <v>16</v>
      </c>
      <c r="R437" s="960">
        <f t="shared" si="131"/>
        <v>0</v>
      </c>
      <c r="S437" s="960">
        <f t="shared" si="132"/>
        <v>8</v>
      </c>
      <c r="T437" s="960">
        <f t="shared" si="133"/>
        <v>4</v>
      </c>
      <c r="U437" s="960">
        <f t="shared" si="134"/>
        <v>4</v>
      </c>
      <c r="V437" s="960">
        <f t="shared" si="135"/>
        <v>0</v>
      </c>
      <c r="W437" s="960"/>
      <c r="X437" s="960"/>
      <c r="Y437" s="960"/>
      <c r="Z437" s="960"/>
      <c r="AA437" s="975">
        <f t="shared" si="138"/>
        <v>56</v>
      </c>
      <c r="AB437" s="975">
        <f>VLOOKUP(C437,'[8]MỦ TẠP'!$D$10:$AM$450,36,0)</f>
        <v>0</v>
      </c>
      <c r="AC437" s="975"/>
      <c r="AD437" s="975"/>
      <c r="AE437" s="976">
        <f t="shared" si="136"/>
        <v>0</v>
      </c>
      <c r="AF437" s="975"/>
      <c r="AG437" s="975"/>
      <c r="AH437" s="975">
        <f t="shared" si="137"/>
        <v>0</v>
      </c>
      <c r="AI437" s="975">
        <f>VLOOKUP(C437,'[8]CHẤM CÔNG '!$F$10:$AM$451,33,0)</f>
        <v>0</v>
      </c>
      <c r="AJ437" s="975">
        <f>VLOOKUP(C437,'[8]CHẤM CÔNG '!$F$10:$AM$451,34,0)</f>
        <v>0</v>
      </c>
      <c r="AK437" s="975"/>
      <c r="AL437" s="975"/>
      <c r="AM437" s="975"/>
      <c r="AN437" s="975">
        <f>VLOOKUP(C437,'[8]CHẤM CÔNG '!$F$10:$AN$451,35,0)</f>
        <v>0</v>
      </c>
      <c r="AO437" s="975">
        <f>VLOOKUP(C437,'[8]CHẤM CÔNG '!$F$10:$AR$451,36,0)</f>
        <v>0</v>
      </c>
      <c r="AP437" s="975"/>
      <c r="AQ437" s="975"/>
      <c r="AR437" s="975"/>
      <c r="AS437" s="981"/>
      <c r="AT437" s="982">
        <f>VLOOKUP(C437,'[8]MỦ TẠP'!$D$10:$AO$450,38,0)</f>
        <v>0</v>
      </c>
    </row>
    <row r="438" spans="1:52" ht="15.75">
      <c r="A438" s="957">
        <v>57</v>
      </c>
      <c r="B438" s="958" t="str">
        <f>VLOOKUP(C438,'[8]DS CN MOI UP'!$B$10:$C$489,2,0)</f>
        <v>03419</v>
      </c>
      <c r="C438" s="992" t="s">
        <v>342</v>
      </c>
      <c r="D438" s="957" t="s">
        <v>15</v>
      </c>
      <c r="E438" s="960">
        <v>4</v>
      </c>
      <c r="F438" s="960"/>
      <c r="G438" s="960"/>
      <c r="H438" s="960">
        <v>4</v>
      </c>
      <c r="I438" s="960"/>
      <c r="J438" s="960">
        <v>4</v>
      </c>
      <c r="K438" s="960">
        <v>4</v>
      </c>
      <c r="L438" s="960">
        <v>4</v>
      </c>
      <c r="M438" s="960"/>
      <c r="N438" s="960">
        <f t="shared" si="127"/>
        <v>24</v>
      </c>
      <c r="O438" s="960">
        <f t="shared" si="128"/>
        <v>0</v>
      </c>
      <c r="P438" s="960">
        <f t="shared" si="129"/>
        <v>0</v>
      </c>
      <c r="Q438" s="960">
        <f t="shared" si="130"/>
        <v>16</v>
      </c>
      <c r="R438" s="960">
        <f t="shared" si="131"/>
        <v>0</v>
      </c>
      <c r="S438" s="960">
        <f t="shared" si="132"/>
        <v>8</v>
      </c>
      <c r="T438" s="960">
        <f t="shared" si="133"/>
        <v>4</v>
      </c>
      <c r="U438" s="960">
        <f t="shared" si="134"/>
        <v>4</v>
      </c>
      <c r="V438" s="960">
        <f t="shared" si="135"/>
        <v>0</v>
      </c>
      <c r="W438" s="960"/>
      <c r="X438" s="960"/>
      <c r="Y438" s="960"/>
      <c r="Z438" s="960"/>
      <c r="AA438" s="975">
        <f t="shared" si="138"/>
        <v>56</v>
      </c>
      <c r="AB438" s="975">
        <f>VLOOKUP(C438,'[8]MỦ TẠP'!$D$10:$AM$450,36,0)</f>
        <v>0</v>
      </c>
      <c r="AC438" s="975"/>
      <c r="AD438" s="975"/>
      <c r="AE438" s="976">
        <f t="shared" si="136"/>
        <v>0</v>
      </c>
      <c r="AF438" s="975"/>
      <c r="AG438" s="975"/>
      <c r="AH438" s="975">
        <f t="shared" si="137"/>
        <v>0</v>
      </c>
      <c r="AI438" s="975">
        <f>VLOOKUP(C438,'[8]CHẤM CÔNG '!$F$10:$AM$451,33,0)</f>
        <v>0</v>
      </c>
      <c r="AJ438" s="975">
        <f>VLOOKUP(C438,'[8]CHẤM CÔNG '!$F$10:$AM$451,34,0)</f>
        <v>0</v>
      </c>
      <c r="AK438" s="975"/>
      <c r="AL438" s="975"/>
      <c r="AM438" s="975"/>
      <c r="AN438" s="975">
        <f>VLOOKUP(C438,'[8]CHẤM CÔNG '!$F$10:$AN$451,35,0)</f>
        <v>0</v>
      </c>
      <c r="AO438" s="975">
        <f>VLOOKUP(C438,'[8]CHẤM CÔNG '!$F$10:$AR$451,36,0)</f>
        <v>0</v>
      </c>
      <c r="AP438" s="975"/>
      <c r="AQ438" s="975"/>
      <c r="AR438" s="975"/>
      <c r="AS438" s="981"/>
      <c r="AT438" s="982">
        <f>VLOOKUP(C438,'[8]MỦ TẠP'!$D$10:$AO$450,38,0)</f>
        <v>0</v>
      </c>
    </row>
    <row r="439" spans="1:52" ht="15.75">
      <c r="A439" s="957">
        <v>58</v>
      </c>
      <c r="B439" s="958" t="str">
        <f>VLOOKUP(C439,'[8]DS CN MOI UP'!$B$10:$C$489,2,0)</f>
        <v>03420</v>
      </c>
      <c r="C439" s="992" t="s">
        <v>343</v>
      </c>
      <c r="D439" s="957" t="s">
        <v>15</v>
      </c>
      <c r="E439" s="960">
        <v>4</v>
      </c>
      <c r="F439" s="960"/>
      <c r="G439" s="960"/>
      <c r="H439" s="960">
        <v>4</v>
      </c>
      <c r="I439" s="960"/>
      <c r="J439" s="960">
        <v>4</v>
      </c>
      <c r="K439" s="960">
        <v>4</v>
      </c>
      <c r="L439" s="960">
        <v>4</v>
      </c>
      <c r="M439" s="960"/>
      <c r="N439" s="960">
        <f t="shared" si="127"/>
        <v>24</v>
      </c>
      <c r="O439" s="960">
        <f t="shared" si="128"/>
        <v>0</v>
      </c>
      <c r="P439" s="960">
        <f t="shared" si="129"/>
        <v>0</v>
      </c>
      <c r="Q439" s="960">
        <f t="shared" si="130"/>
        <v>16</v>
      </c>
      <c r="R439" s="960">
        <f t="shared" si="131"/>
        <v>0</v>
      </c>
      <c r="S439" s="960">
        <f t="shared" si="132"/>
        <v>8</v>
      </c>
      <c r="T439" s="960">
        <f t="shared" si="133"/>
        <v>4</v>
      </c>
      <c r="U439" s="960">
        <f t="shared" si="134"/>
        <v>4</v>
      </c>
      <c r="V439" s="960">
        <f t="shared" si="135"/>
        <v>0</v>
      </c>
      <c r="W439" s="960"/>
      <c r="X439" s="960"/>
      <c r="Y439" s="960"/>
      <c r="Z439" s="960"/>
      <c r="AA439" s="975">
        <f t="shared" si="138"/>
        <v>56</v>
      </c>
      <c r="AB439" s="975">
        <f>VLOOKUP(C439,'[8]MỦ TẠP'!$D$10:$AM$450,36,0)</f>
        <v>0</v>
      </c>
      <c r="AC439" s="975"/>
      <c r="AD439" s="975"/>
      <c r="AE439" s="976">
        <f t="shared" si="136"/>
        <v>0</v>
      </c>
      <c r="AF439" s="975"/>
      <c r="AG439" s="975"/>
      <c r="AH439" s="975">
        <f t="shared" si="137"/>
        <v>0</v>
      </c>
      <c r="AI439" s="975">
        <f>VLOOKUP(C439,'[8]CHẤM CÔNG '!$F$10:$AM$451,33,0)</f>
        <v>0</v>
      </c>
      <c r="AJ439" s="975">
        <f>VLOOKUP(C439,'[8]CHẤM CÔNG '!$F$10:$AM$451,34,0)</f>
        <v>0</v>
      </c>
      <c r="AK439" s="975"/>
      <c r="AL439" s="975"/>
      <c r="AM439" s="975"/>
      <c r="AN439" s="975">
        <f>VLOOKUP(C439,'[8]CHẤM CÔNG '!$F$10:$AN$451,35,0)</f>
        <v>0</v>
      </c>
      <c r="AO439" s="975">
        <f>VLOOKUP(C439,'[8]CHẤM CÔNG '!$F$10:$AR$451,36,0)</f>
        <v>0</v>
      </c>
      <c r="AP439" s="975"/>
      <c r="AQ439" s="975"/>
      <c r="AR439" s="975"/>
      <c r="AS439" s="981"/>
      <c r="AT439" s="982">
        <f>VLOOKUP(C439,'[8]MỦ TẠP'!$D$10:$AO$450,38,0)</f>
        <v>0</v>
      </c>
    </row>
    <row r="440" spans="1:52" ht="15.75">
      <c r="A440" s="957">
        <v>59</v>
      </c>
      <c r="B440" s="958" t="str">
        <f>VLOOKUP(C440,'[8]DS CN MOI UP'!$B$10:$C$489,2,0)</f>
        <v>03385</v>
      </c>
      <c r="C440" s="992" t="s">
        <v>344</v>
      </c>
      <c r="D440" s="957" t="s">
        <v>15</v>
      </c>
      <c r="E440" s="960">
        <v>4</v>
      </c>
      <c r="F440" s="960"/>
      <c r="G440" s="960"/>
      <c r="H440" s="960">
        <v>4</v>
      </c>
      <c r="I440" s="960"/>
      <c r="J440" s="960">
        <v>4</v>
      </c>
      <c r="K440" s="960">
        <v>4</v>
      </c>
      <c r="L440" s="960">
        <v>4</v>
      </c>
      <c r="M440" s="960"/>
      <c r="N440" s="960">
        <f t="shared" si="127"/>
        <v>24</v>
      </c>
      <c r="O440" s="960">
        <f t="shared" si="128"/>
        <v>0</v>
      </c>
      <c r="P440" s="960">
        <f t="shared" si="129"/>
        <v>0</v>
      </c>
      <c r="Q440" s="960">
        <f t="shared" si="130"/>
        <v>16</v>
      </c>
      <c r="R440" s="960">
        <f t="shared" si="131"/>
        <v>0</v>
      </c>
      <c r="S440" s="960">
        <f t="shared" si="132"/>
        <v>8</v>
      </c>
      <c r="T440" s="960">
        <f t="shared" si="133"/>
        <v>4</v>
      </c>
      <c r="U440" s="960">
        <f t="shared" si="134"/>
        <v>4</v>
      </c>
      <c r="V440" s="960">
        <f t="shared" si="135"/>
        <v>0</v>
      </c>
      <c r="W440" s="960"/>
      <c r="X440" s="960"/>
      <c r="Y440" s="960"/>
      <c r="Z440" s="960"/>
      <c r="AA440" s="975">
        <f t="shared" si="138"/>
        <v>56</v>
      </c>
      <c r="AB440" s="975"/>
      <c r="AC440" s="975"/>
      <c r="AD440" s="975"/>
      <c r="AE440" s="976">
        <f t="shared" si="136"/>
        <v>0</v>
      </c>
      <c r="AF440" s="975"/>
      <c r="AG440" s="975"/>
      <c r="AH440" s="975">
        <f t="shared" si="137"/>
        <v>0</v>
      </c>
      <c r="AI440" s="975">
        <f>VLOOKUP(C440,'[8]CHẤM CÔNG '!$F$10:$AM$451,33,0)</f>
        <v>0</v>
      </c>
      <c r="AJ440" s="975">
        <f>VLOOKUP(C440,'[8]CHẤM CÔNG '!$F$10:$AM$451,34,0)</f>
        <v>0</v>
      </c>
      <c r="AK440" s="975"/>
      <c r="AL440" s="975"/>
      <c r="AM440" s="975"/>
      <c r="AN440" s="975">
        <f>VLOOKUP(C440,'[8]CHẤM CÔNG '!$F$10:$AN$451,35,0)</f>
        <v>0</v>
      </c>
      <c r="AO440" s="975">
        <f>VLOOKUP(C440,'[8]CHẤM CÔNG '!$F$10:$AR$451,36,0)</f>
        <v>0</v>
      </c>
      <c r="AP440" s="975"/>
      <c r="AQ440" s="975"/>
      <c r="AR440" s="975"/>
      <c r="AS440" s="981"/>
      <c r="AT440" s="982"/>
    </row>
    <row r="441" spans="1:52" ht="15.75">
      <c r="A441" s="957">
        <v>60</v>
      </c>
      <c r="B441" s="958" t="str">
        <f>VLOOKUP(C441,'[8]DS CN MOI UP'!$B$10:$C$489,2,0)</f>
        <v>03422</v>
      </c>
      <c r="C441" s="992" t="s">
        <v>345</v>
      </c>
      <c r="D441" s="957" t="s">
        <v>15</v>
      </c>
      <c r="E441" s="960">
        <v>4</v>
      </c>
      <c r="F441" s="960"/>
      <c r="G441" s="960"/>
      <c r="H441" s="960">
        <v>4</v>
      </c>
      <c r="I441" s="960"/>
      <c r="J441" s="960">
        <v>4</v>
      </c>
      <c r="K441" s="960">
        <v>4</v>
      </c>
      <c r="L441" s="960">
        <v>4</v>
      </c>
      <c r="M441" s="960"/>
      <c r="N441" s="960">
        <f t="shared" ref="N441:N443" si="139">E441/$N$8</f>
        <v>24</v>
      </c>
      <c r="O441" s="960">
        <f t="shared" ref="O441:O443" si="140">F441/$O$8</f>
        <v>0</v>
      </c>
      <c r="P441" s="960">
        <f t="shared" ref="P441:P443" si="141">G441/$P$8</f>
        <v>0</v>
      </c>
      <c r="Q441" s="960">
        <f t="shared" ref="Q441:Q443" si="142">H441/$Q$8</f>
        <v>16</v>
      </c>
      <c r="R441" s="960">
        <f t="shared" ref="R441:R443" si="143">I441/$R$8</f>
        <v>0</v>
      </c>
      <c r="S441" s="960">
        <f t="shared" ref="S441:S443" si="144">J441/$S$8</f>
        <v>8</v>
      </c>
      <c r="T441" s="960">
        <f t="shared" ref="T441:T443" si="145">K441/$T$8</f>
        <v>4</v>
      </c>
      <c r="U441" s="960">
        <f t="shared" ref="U441:U443" si="146">L441/$U$8</f>
        <v>4</v>
      </c>
      <c r="V441" s="960">
        <f t="shared" ref="V441:V443" si="147">M441/$V$8</f>
        <v>0</v>
      </c>
      <c r="W441" s="960"/>
      <c r="X441" s="960"/>
      <c r="Y441" s="960"/>
      <c r="Z441" s="960"/>
      <c r="AA441" s="975">
        <f t="shared" ref="AA441:AA443" si="148">SUM(N441:Z441)</f>
        <v>56</v>
      </c>
      <c r="AB441" s="975"/>
      <c r="AC441" s="975"/>
      <c r="AD441" s="975"/>
      <c r="AE441" s="976">
        <f t="shared" ref="AE441:AE443" si="149">SUM(AB441:AD441)</f>
        <v>0</v>
      </c>
      <c r="AF441" s="975"/>
      <c r="AG441" s="975"/>
      <c r="AH441" s="975">
        <f t="shared" ref="AH441:AH443" si="150">AE441*$AV$18+AF441*$AV$10+$AV$11*AG441</f>
        <v>0</v>
      </c>
      <c r="AI441" s="975">
        <f>VLOOKUP(C441,'[8]CHẤM CÔNG '!$F$10:$AM$451,33,0)</f>
        <v>0</v>
      </c>
      <c r="AJ441" s="975">
        <f>VLOOKUP(C441,'[8]CHẤM CÔNG '!$F$10:$AM$451,34,0)</f>
        <v>0</v>
      </c>
      <c r="AK441" s="975"/>
      <c r="AL441" s="975"/>
      <c r="AM441" s="975"/>
      <c r="AN441" s="975">
        <f>VLOOKUP(C441,'[8]CHẤM CÔNG '!$F$10:$AN$451,35,0)</f>
        <v>0</v>
      </c>
      <c r="AO441" s="975">
        <f>VLOOKUP(C441,'[8]CHẤM CÔNG '!$F$10:$AR$451,36,0)</f>
        <v>0</v>
      </c>
      <c r="AP441" s="975"/>
      <c r="AQ441" s="975"/>
      <c r="AR441" s="975"/>
      <c r="AS441" s="981"/>
      <c r="AT441" s="982"/>
    </row>
    <row r="442" spans="1:52" ht="15.75">
      <c r="A442" s="957">
        <v>61</v>
      </c>
      <c r="B442" s="958" t="e">
        <f>VLOOKUP(C442,'[8]DS CN MOI UP'!$B$10:$C$489,2,0)</f>
        <v>#N/A</v>
      </c>
      <c r="C442" s="992" t="s">
        <v>346</v>
      </c>
      <c r="D442" s="957" t="s">
        <v>15</v>
      </c>
      <c r="E442" s="960">
        <v>4</v>
      </c>
      <c r="F442" s="960"/>
      <c r="G442" s="960"/>
      <c r="H442" s="960">
        <v>4</v>
      </c>
      <c r="I442" s="960"/>
      <c r="J442" s="960"/>
      <c r="K442" s="960"/>
      <c r="L442" s="960"/>
      <c r="M442" s="960"/>
      <c r="N442" s="960">
        <f t="shared" si="139"/>
        <v>24</v>
      </c>
      <c r="O442" s="960">
        <f t="shared" si="140"/>
        <v>0</v>
      </c>
      <c r="P442" s="960">
        <f t="shared" si="141"/>
        <v>0</v>
      </c>
      <c r="Q442" s="960">
        <f t="shared" si="142"/>
        <v>16</v>
      </c>
      <c r="R442" s="960">
        <f t="shared" si="143"/>
        <v>0</v>
      </c>
      <c r="S442" s="960">
        <f t="shared" si="144"/>
        <v>0</v>
      </c>
      <c r="T442" s="960">
        <f t="shared" si="145"/>
        <v>0</v>
      </c>
      <c r="U442" s="960">
        <f t="shared" si="146"/>
        <v>0</v>
      </c>
      <c r="V442" s="960">
        <f t="shared" si="147"/>
        <v>0</v>
      </c>
      <c r="W442" s="960"/>
      <c r="X442" s="960"/>
      <c r="Y442" s="960"/>
      <c r="Z442" s="960"/>
      <c r="AA442" s="975">
        <f t="shared" si="148"/>
        <v>40</v>
      </c>
      <c r="AB442" s="975"/>
      <c r="AC442" s="975"/>
      <c r="AD442" s="975"/>
      <c r="AE442" s="976">
        <f t="shared" si="149"/>
        <v>0</v>
      </c>
      <c r="AF442" s="975"/>
      <c r="AG442" s="975"/>
      <c r="AH442" s="975">
        <f t="shared" si="150"/>
        <v>0</v>
      </c>
      <c r="AI442" s="975">
        <f>VLOOKUP(C442,'[8]CHẤM CÔNG '!$F$10:$AM$451,33,0)</f>
        <v>0</v>
      </c>
      <c r="AJ442" s="975">
        <f>VLOOKUP(C442,'[8]CHẤM CÔNG '!$F$10:$AM$451,34,0)</f>
        <v>0</v>
      </c>
      <c r="AK442" s="975"/>
      <c r="AL442" s="975"/>
      <c r="AM442" s="975"/>
      <c r="AN442" s="975">
        <f>VLOOKUP(C442,'[8]CHẤM CÔNG '!$F$10:$AN$451,35,0)</f>
        <v>0</v>
      </c>
      <c r="AO442" s="975">
        <f>VLOOKUP(C442,'[8]CHẤM CÔNG '!$F$10:$AR$451,36,0)</f>
        <v>0</v>
      </c>
      <c r="AP442" s="975"/>
      <c r="AQ442" s="975"/>
      <c r="AR442" s="975"/>
      <c r="AS442" s="981"/>
      <c r="AT442" s="982"/>
    </row>
    <row r="443" spans="1:52" ht="15.75">
      <c r="A443" s="957">
        <v>62</v>
      </c>
      <c r="B443" s="958" t="e">
        <f>VLOOKUP(C443,'[8]DS CN MOI UP'!$B$10:$C$489,2,0)</f>
        <v>#N/A</v>
      </c>
      <c r="C443" s="992" t="s">
        <v>347</v>
      </c>
      <c r="D443" s="957" t="s">
        <v>15</v>
      </c>
      <c r="E443" s="960">
        <v>4</v>
      </c>
      <c r="F443" s="960"/>
      <c r="G443" s="960"/>
      <c r="H443" s="960">
        <v>4</v>
      </c>
      <c r="I443" s="960"/>
      <c r="J443" s="960"/>
      <c r="K443" s="960"/>
      <c r="L443" s="960"/>
      <c r="M443" s="960"/>
      <c r="N443" s="960">
        <f t="shared" si="139"/>
        <v>24</v>
      </c>
      <c r="O443" s="960">
        <f t="shared" si="140"/>
        <v>0</v>
      </c>
      <c r="P443" s="960">
        <f t="shared" si="141"/>
        <v>0</v>
      </c>
      <c r="Q443" s="960">
        <f t="shared" si="142"/>
        <v>16</v>
      </c>
      <c r="R443" s="960">
        <f t="shared" si="143"/>
        <v>0</v>
      </c>
      <c r="S443" s="960">
        <f t="shared" si="144"/>
        <v>0</v>
      </c>
      <c r="T443" s="960">
        <f t="shared" si="145"/>
        <v>0</v>
      </c>
      <c r="U443" s="960">
        <f t="shared" si="146"/>
        <v>0</v>
      </c>
      <c r="V443" s="960">
        <f t="shared" si="147"/>
        <v>0</v>
      </c>
      <c r="W443" s="960"/>
      <c r="X443" s="960"/>
      <c r="Y443" s="960"/>
      <c r="Z443" s="960"/>
      <c r="AA443" s="975">
        <f t="shared" si="148"/>
        <v>40</v>
      </c>
      <c r="AB443" s="975"/>
      <c r="AC443" s="975"/>
      <c r="AD443" s="975"/>
      <c r="AE443" s="976">
        <f t="shared" si="149"/>
        <v>0</v>
      </c>
      <c r="AF443" s="975"/>
      <c r="AG443" s="975"/>
      <c r="AH443" s="975">
        <f t="shared" si="150"/>
        <v>0</v>
      </c>
      <c r="AI443" s="975">
        <f>VLOOKUP(C443,'[8]CHẤM CÔNG '!$F$10:$AM$451,33,0)</f>
        <v>0</v>
      </c>
      <c r="AJ443" s="975">
        <f>VLOOKUP(C443,'[8]CHẤM CÔNG '!$F$10:$AM$451,34,0)</f>
        <v>0</v>
      </c>
      <c r="AK443" s="975"/>
      <c r="AL443" s="975"/>
      <c r="AM443" s="975"/>
      <c r="AN443" s="975">
        <f>VLOOKUP(C443,'[8]CHẤM CÔNG '!$F$10:$AN$451,35,0)</f>
        <v>0</v>
      </c>
      <c r="AO443" s="975">
        <f>VLOOKUP(C443,'[8]CHẤM CÔNG '!$F$10:$AR$451,36,0)</f>
        <v>0</v>
      </c>
      <c r="AP443" s="975"/>
      <c r="AQ443" s="975"/>
      <c r="AR443" s="975"/>
      <c r="AS443" s="981"/>
      <c r="AT443" s="982"/>
    </row>
    <row r="444" spans="1:52" ht="15.75">
      <c r="A444" s="957">
        <v>60</v>
      </c>
      <c r="B444" s="958" t="str">
        <f>VLOOKUP(C444,'[8]DS CN MOI UP'!$B$10:$C$489,2,0)</f>
        <v>03849</v>
      </c>
      <c r="C444" s="992" t="s">
        <v>348</v>
      </c>
      <c r="D444" s="957" t="s">
        <v>15</v>
      </c>
      <c r="E444" s="960">
        <v>4</v>
      </c>
      <c r="F444" s="960"/>
      <c r="G444" s="960"/>
      <c r="H444" s="960">
        <v>4</v>
      </c>
      <c r="I444" s="960"/>
      <c r="J444" s="960">
        <v>4</v>
      </c>
      <c r="K444" s="960">
        <v>4</v>
      </c>
      <c r="L444" s="960">
        <v>4</v>
      </c>
      <c r="M444" s="960"/>
      <c r="N444" s="960">
        <f t="shared" si="127"/>
        <v>24</v>
      </c>
      <c r="O444" s="960">
        <f t="shared" si="128"/>
        <v>0</v>
      </c>
      <c r="P444" s="960">
        <f t="shared" si="129"/>
        <v>0</v>
      </c>
      <c r="Q444" s="960">
        <f t="shared" si="130"/>
        <v>16</v>
      </c>
      <c r="R444" s="960">
        <f t="shared" si="131"/>
        <v>0</v>
      </c>
      <c r="S444" s="960">
        <f t="shared" si="132"/>
        <v>8</v>
      </c>
      <c r="T444" s="960">
        <f t="shared" si="133"/>
        <v>4</v>
      </c>
      <c r="U444" s="960">
        <f t="shared" si="134"/>
        <v>4</v>
      </c>
      <c r="V444" s="960">
        <f t="shared" si="135"/>
        <v>0</v>
      </c>
      <c r="W444" s="960"/>
      <c r="X444" s="960"/>
      <c r="Y444" s="960"/>
      <c r="Z444" s="960"/>
      <c r="AA444" s="975">
        <f t="shared" si="138"/>
        <v>56</v>
      </c>
      <c r="AB444" s="975"/>
      <c r="AC444" s="975"/>
      <c r="AD444" s="975"/>
      <c r="AE444" s="976">
        <f t="shared" si="136"/>
        <v>0</v>
      </c>
      <c r="AF444" s="975"/>
      <c r="AG444" s="975"/>
      <c r="AH444" s="975">
        <f t="shared" si="137"/>
        <v>0</v>
      </c>
      <c r="AI444" s="975">
        <f>VLOOKUP(C444,'[8]CHẤM CÔNG '!$F$10:$AM$451,33,0)</f>
        <v>0</v>
      </c>
      <c r="AJ444" s="975">
        <f>VLOOKUP(C444,'[8]CHẤM CÔNG '!$F$10:$AM$451,34,0)</f>
        <v>0</v>
      </c>
      <c r="AK444" s="975"/>
      <c r="AL444" s="975"/>
      <c r="AM444" s="975"/>
      <c r="AN444" s="975">
        <f>VLOOKUP(C444,'[8]CHẤM CÔNG '!$F$10:$AN$451,35,0)</f>
        <v>0</v>
      </c>
      <c r="AO444" s="975">
        <f>VLOOKUP(C444,'[8]CHẤM CÔNG '!$F$10:$AR$451,36,0)</f>
        <v>0</v>
      </c>
      <c r="AP444" s="975"/>
      <c r="AQ444" s="975"/>
      <c r="AR444" s="975"/>
      <c r="AS444" s="981"/>
      <c r="AT444" s="982"/>
    </row>
    <row r="445" spans="1:52">
      <c r="A445" s="2628" t="s">
        <v>349</v>
      </c>
      <c r="B445" s="2628"/>
      <c r="C445" s="2628"/>
      <c r="D445" s="2628"/>
      <c r="E445" s="1004" t="e">
        <f t="shared" ref="E445:AS445" si="151">+E10</f>
        <v>#REF!</v>
      </c>
      <c r="F445" s="1005" t="e">
        <f t="shared" si="151"/>
        <v>#REF!</v>
      </c>
      <c r="G445" s="1005" t="e">
        <f t="shared" si="151"/>
        <v>#REF!</v>
      </c>
      <c r="H445" s="1005" t="e">
        <f t="shared" si="151"/>
        <v>#REF!</v>
      </c>
      <c r="I445" s="1004" t="e">
        <f t="shared" si="151"/>
        <v>#REF!</v>
      </c>
      <c r="J445" s="1005" t="e">
        <f t="shared" si="151"/>
        <v>#REF!</v>
      </c>
      <c r="K445" s="1005" t="e">
        <f t="shared" si="151"/>
        <v>#REF!</v>
      </c>
      <c r="L445" s="1005" t="e">
        <f t="shared" si="151"/>
        <v>#REF!</v>
      </c>
      <c r="M445" s="1005" t="e">
        <f t="shared" si="151"/>
        <v>#REF!</v>
      </c>
      <c r="N445" s="1005" t="e">
        <f t="shared" si="151"/>
        <v>#REF!</v>
      </c>
      <c r="O445" s="1005" t="e">
        <f t="shared" si="151"/>
        <v>#REF!</v>
      </c>
      <c r="P445" s="1005" t="e">
        <f t="shared" si="151"/>
        <v>#REF!</v>
      </c>
      <c r="Q445" s="1005" t="e">
        <f t="shared" si="151"/>
        <v>#REF!</v>
      </c>
      <c r="R445" s="1005" t="e">
        <f t="shared" si="151"/>
        <v>#REF!</v>
      </c>
      <c r="S445" s="1005" t="e">
        <f t="shared" si="151"/>
        <v>#REF!</v>
      </c>
      <c r="T445" s="1005" t="e">
        <f t="shared" si="151"/>
        <v>#REF!</v>
      </c>
      <c r="U445" s="1005" t="e">
        <f t="shared" si="151"/>
        <v>#REF!</v>
      </c>
      <c r="V445" s="1005" t="e">
        <f t="shared" si="151"/>
        <v>#REF!</v>
      </c>
      <c r="W445" s="1005" t="e">
        <f t="shared" si="151"/>
        <v>#REF!</v>
      </c>
      <c r="X445" s="1005" t="e">
        <f t="shared" si="151"/>
        <v>#REF!</v>
      </c>
      <c r="Y445" s="1005" t="e">
        <f t="shared" si="151"/>
        <v>#REF!</v>
      </c>
      <c r="Z445" s="1005" t="e">
        <f t="shared" si="151"/>
        <v>#REF!</v>
      </c>
      <c r="AA445" s="1005" t="e">
        <f t="shared" si="151"/>
        <v>#REF!</v>
      </c>
      <c r="AB445" s="1005" t="e">
        <f t="shared" si="151"/>
        <v>#N/A</v>
      </c>
      <c r="AC445" s="1005" t="e">
        <f t="shared" si="151"/>
        <v>#REF!</v>
      </c>
      <c r="AD445" s="1005" t="e">
        <f t="shared" si="151"/>
        <v>#N/A</v>
      </c>
      <c r="AE445" s="1015" t="e">
        <f t="shared" si="151"/>
        <v>#N/A</v>
      </c>
      <c r="AF445" s="1005" t="e">
        <f t="shared" si="151"/>
        <v>#REF!</v>
      </c>
      <c r="AG445" s="1005" t="e">
        <f t="shared" si="151"/>
        <v>#REF!</v>
      </c>
      <c r="AH445" s="1005" t="e">
        <f t="shared" si="151"/>
        <v>#N/A</v>
      </c>
      <c r="AI445" s="1005" t="e">
        <f t="shared" si="151"/>
        <v>#N/A</v>
      </c>
      <c r="AJ445" s="1005" t="e">
        <f t="shared" si="151"/>
        <v>#N/A</v>
      </c>
      <c r="AK445" s="1005" t="e">
        <f t="shared" si="151"/>
        <v>#N/A</v>
      </c>
      <c r="AL445" s="1005" t="e">
        <f t="shared" si="151"/>
        <v>#REF!</v>
      </c>
      <c r="AM445" s="1005" t="e">
        <f t="shared" si="151"/>
        <v>#REF!</v>
      </c>
      <c r="AN445" s="1005" t="e">
        <f t="shared" si="151"/>
        <v>#N/A</v>
      </c>
      <c r="AO445" s="1005" t="e">
        <f t="shared" si="151"/>
        <v>#N/A</v>
      </c>
      <c r="AP445" s="1005" t="e">
        <f t="shared" si="151"/>
        <v>#REF!</v>
      </c>
      <c r="AQ445" s="1005" t="e">
        <f t="shared" si="151"/>
        <v>#REF!</v>
      </c>
      <c r="AR445" s="1005" t="e">
        <f t="shared" si="151"/>
        <v>#REF!</v>
      </c>
      <c r="AS445" s="1005" t="e">
        <f t="shared" si="151"/>
        <v>#REF!</v>
      </c>
      <c r="AT445" s="1021"/>
      <c r="AU445" s="976" t="e">
        <f>SUM(#REF!,AE372:AE373,#REF!,#REF!,#REF!)</f>
        <v>#REF!</v>
      </c>
      <c r="AV445" s="976" t="e">
        <f>SUM(#REF!,AF372:AF373,#REF!,#REF!,#REF!)</f>
        <v>#REF!</v>
      </c>
    </row>
    <row r="446" spans="1:52">
      <c r="G446" s="1006"/>
      <c r="J446" s="1012"/>
      <c r="M446" s="1013"/>
      <c r="N446" s="1013"/>
      <c r="O446" s="1013"/>
      <c r="P446" s="1013"/>
      <c r="Q446" s="1013"/>
      <c r="R446" s="1013"/>
      <c r="S446" s="1013"/>
      <c r="T446" s="1013"/>
      <c r="U446" s="1013"/>
      <c r="AA446" s="1016"/>
      <c r="AB446" s="1016"/>
      <c r="AC446" s="1016"/>
      <c r="AD446" s="1016"/>
      <c r="AE446" s="1016"/>
      <c r="AF446" s="1017"/>
      <c r="AG446" s="1017"/>
      <c r="AX446" s="1022"/>
      <c r="AY446" s="1022"/>
      <c r="AZ446" s="1022"/>
    </row>
    <row r="447" spans="1:52" s="944" customFormat="1" ht="15" customHeight="1">
      <c r="A447" s="1007"/>
      <c r="B447" s="1007"/>
      <c r="C447" s="986"/>
      <c r="D447" s="986"/>
      <c r="E447" s="1008"/>
      <c r="F447" s="1008"/>
      <c r="G447" s="1009"/>
      <c r="H447" s="976"/>
      <c r="I447" s="976"/>
      <c r="J447" s="1006"/>
      <c r="K447" s="1006"/>
      <c r="L447" s="1006"/>
      <c r="M447" s="1006"/>
      <c r="N447" s="1006"/>
      <c r="O447" s="1006"/>
      <c r="P447" s="1006"/>
      <c r="Q447" s="1006"/>
      <c r="R447" s="1006"/>
      <c r="S447" s="1006"/>
      <c r="T447" s="1006"/>
      <c r="U447" s="1006"/>
      <c r="V447" s="946"/>
      <c r="W447" s="1014"/>
      <c r="X447" s="1014"/>
      <c r="Y447" s="1014"/>
      <c r="Z447" s="1014"/>
      <c r="AA447" s="1014"/>
      <c r="AB447" s="1018"/>
      <c r="AC447" s="1018"/>
      <c r="AD447" s="1018"/>
      <c r="AE447" s="1019"/>
      <c r="AF447" s="1019"/>
      <c r="AG447" s="1019"/>
      <c r="AH447" s="1019"/>
      <c r="AI447" s="1019"/>
      <c r="AJ447" s="1019"/>
      <c r="AK447" s="1019"/>
      <c r="AL447" s="1019"/>
      <c r="AM447" s="1019"/>
      <c r="AN447" s="1019"/>
      <c r="AO447" s="1019"/>
      <c r="AP447" s="1019"/>
      <c r="AQ447" s="1019"/>
      <c r="AR447" s="1019"/>
      <c r="AS447" s="1019"/>
      <c r="AT447" s="1019"/>
    </row>
    <row r="448" spans="1:52" ht="15" customHeight="1">
      <c r="C448" s="943"/>
      <c r="D448" s="943"/>
      <c r="E448" s="1010">
        <v>15</v>
      </c>
      <c r="F448" s="1011">
        <v>372</v>
      </c>
      <c r="G448" s="1011">
        <v>93</v>
      </c>
      <c r="H448" s="1010">
        <v>15</v>
      </c>
      <c r="I448" s="1011">
        <v>172</v>
      </c>
      <c r="J448" s="1010">
        <v>156</v>
      </c>
      <c r="K448" s="1010">
        <v>156</v>
      </c>
      <c r="L448" s="1010">
        <v>156</v>
      </c>
      <c r="M448" s="1011">
        <v>104</v>
      </c>
      <c r="N448" s="1010"/>
      <c r="O448" s="1010"/>
      <c r="P448" s="1010"/>
      <c r="Q448" s="1010"/>
      <c r="R448" s="1010"/>
      <c r="S448" s="1010"/>
      <c r="T448" s="1010"/>
      <c r="U448" s="1010"/>
      <c r="V448" s="1010"/>
      <c r="W448" s="1010"/>
      <c r="X448" s="1010"/>
      <c r="Y448" s="1010"/>
      <c r="Z448" s="1010"/>
      <c r="AA448" s="1010"/>
      <c r="AB448" s="1020"/>
      <c r="AC448" s="1020"/>
      <c r="AD448" s="1020"/>
      <c r="AE448" s="2629"/>
      <c r="AF448" s="2629"/>
      <c r="AG448" s="2629"/>
      <c r="AH448" s="2629"/>
      <c r="AI448" s="2629"/>
      <c r="AJ448" s="2629"/>
      <c r="AK448" s="2629"/>
      <c r="AL448" s="2629"/>
      <c r="AM448" s="2629"/>
      <c r="AN448" s="2629"/>
      <c r="AO448" s="2629"/>
      <c r="AP448" s="2629"/>
      <c r="AQ448" s="2629"/>
      <c r="AR448" s="2629"/>
      <c r="AS448" s="2629"/>
      <c r="AT448" s="2629"/>
      <c r="AX448" s="1023"/>
      <c r="AY448" s="1023"/>
      <c r="AZ448" s="1023"/>
    </row>
    <row r="449" spans="3:52" ht="15" customHeight="1">
      <c r="E449" s="1010">
        <v>164</v>
      </c>
      <c r="F449" s="1010">
        <v>401</v>
      </c>
      <c r="G449" s="1010">
        <v>50</v>
      </c>
      <c r="H449" s="1010">
        <v>164</v>
      </c>
      <c r="I449" s="1010"/>
      <c r="J449" s="1010">
        <v>32</v>
      </c>
      <c r="K449" s="1010">
        <v>32</v>
      </c>
      <c r="L449" s="1010">
        <v>32</v>
      </c>
      <c r="M449" s="1010">
        <v>100</v>
      </c>
      <c r="N449" s="1010"/>
      <c r="O449" s="1010"/>
      <c r="P449" s="1010"/>
      <c r="Q449" s="1010"/>
      <c r="R449" s="1010"/>
      <c r="S449" s="1010"/>
      <c r="T449" s="1010"/>
      <c r="U449" s="1010"/>
      <c r="V449" s="1010"/>
      <c r="W449" s="1010"/>
      <c r="X449" s="1010"/>
      <c r="Y449" s="1010"/>
      <c r="Z449" s="1010"/>
      <c r="AA449" s="1010"/>
      <c r="AB449" s="1027"/>
      <c r="AC449" s="1027"/>
      <c r="AD449" s="1027"/>
      <c r="AE449" s="1028"/>
      <c r="AF449" s="976"/>
      <c r="AG449" s="976"/>
      <c r="AH449" s="976"/>
      <c r="AM449" s="1039"/>
      <c r="AO449" s="1039"/>
      <c r="AP449" s="1039"/>
      <c r="AQ449" s="1039"/>
      <c r="AR449" s="1039"/>
      <c r="AS449" s="1039"/>
    </row>
    <row r="450" spans="3:52">
      <c r="E450" s="1010">
        <v>36</v>
      </c>
      <c r="F450" s="1010">
        <v>168</v>
      </c>
      <c r="G450" s="1010">
        <v>46</v>
      </c>
      <c r="H450" s="1010">
        <v>36</v>
      </c>
      <c r="I450" s="1010"/>
      <c r="J450" s="1010">
        <v>44</v>
      </c>
      <c r="K450" s="1010">
        <v>44</v>
      </c>
      <c r="L450" s="1010">
        <v>44</v>
      </c>
      <c r="M450" s="1010">
        <v>80</v>
      </c>
      <c r="N450" s="1010"/>
      <c r="O450" s="1010"/>
      <c r="P450" s="1010"/>
      <c r="Q450" s="1010"/>
      <c r="R450" s="1010"/>
      <c r="S450" s="1010"/>
      <c r="T450" s="1010"/>
      <c r="U450" s="1010"/>
      <c r="V450" s="1010"/>
      <c r="W450" s="1010"/>
      <c r="X450" s="1010"/>
      <c r="Y450" s="1010"/>
      <c r="Z450" s="1010"/>
      <c r="AA450" s="1010"/>
      <c r="AB450" s="1027"/>
      <c r="AC450" s="1027"/>
      <c r="AD450" s="1027"/>
      <c r="AE450" s="976"/>
      <c r="AH450" s="978"/>
      <c r="AI450" s="1029"/>
      <c r="AJ450" s="1029"/>
      <c r="AK450" s="1029"/>
      <c r="AL450" s="1029"/>
      <c r="AM450" s="1029"/>
      <c r="AN450" s="1029"/>
      <c r="AO450" s="1029"/>
      <c r="AP450" s="1029"/>
      <c r="AQ450" s="1029"/>
      <c r="AR450" s="1029"/>
      <c r="AS450" s="1029"/>
    </row>
    <row r="451" spans="3:52">
      <c r="C451" s="1013"/>
      <c r="E451" s="1010">
        <v>46</v>
      </c>
      <c r="F451" s="1010"/>
      <c r="G451" s="1010"/>
      <c r="H451" s="1010">
        <v>46</v>
      </c>
      <c r="I451" s="1010"/>
      <c r="J451" s="1011">
        <v>81</v>
      </c>
      <c r="K451" s="1011">
        <v>567</v>
      </c>
      <c r="L451" s="1011">
        <v>471</v>
      </c>
      <c r="M451" s="1010"/>
      <c r="N451" s="1010"/>
      <c r="O451" s="1010"/>
      <c r="P451" s="1010"/>
      <c r="Q451" s="1010"/>
      <c r="R451" s="1010"/>
      <c r="S451" s="1010"/>
      <c r="T451" s="1010"/>
      <c r="U451" s="1010"/>
      <c r="V451" s="1010"/>
      <c r="W451" s="1010"/>
      <c r="X451" s="1010"/>
      <c r="Y451" s="1010"/>
      <c r="Z451" s="1010"/>
      <c r="AA451" s="1010"/>
      <c r="AB451" s="1027"/>
      <c r="AC451" s="1027"/>
      <c r="AD451" s="1027"/>
      <c r="AE451" s="1029"/>
      <c r="AF451" s="976"/>
      <c r="AG451" s="976"/>
    </row>
    <row r="452" spans="3:52">
      <c r="E452" s="1010"/>
      <c r="F452" s="1010"/>
      <c r="G452" s="1010"/>
      <c r="H452" s="1011">
        <v>293</v>
      </c>
      <c r="I452" s="1010"/>
      <c r="J452" s="1010">
        <v>100</v>
      </c>
      <c r="K452" s="1010">
        <v>561</v>
      </c>
      <c r="L452" s="1010">
        <v>466</v>
      </c>
      <c r="M452" s="1010"/>
      <c r="N452" s="1010"/>
      <c r="O452" s="1010"/>
      <c r="P452" s="1010"/>
      <c r="Q452" s="1010"/>
      <c r="R452" s="1010"/>
      <c r="S452" s="1010"/>
      <c r="T452" s="1010"/>
      <c r="U452" s="1010"/>
      <c r="V452" s="1010"/>
      <c r="W452" s="1010"/>
      <c r="X452" s="1010"/>
      <c r="Y452" s="1010"/>
      <c r="Z452" s="1010"/>
      <c r="AA452" s="1010"/>
      <c r="AB452" s="1006"/>
      <c r="AC452" s="1006"/>
      <c r="AD452" s="1006"/>
      <c r="AE452" s="1030"/>
      <c r="AF452" s="976"/>
      <c r="AG452" s="976"/>
      <c r="AH452" s="1006"/>
    </row>
    <row r="453" spans="3:52">
      <c r="E453" s="1010"/>
      <c r="F453" s="1010"/>
      <c r="G453" s="1010"/>
      <c r="H453" s="1010">
        <v>451</v>
      </c>
      <c r="I453" s="1010"/>
      <c r="J453" s="1010">
        <v>80</v>
      </c>
      <c r="K453" s="1010">
        <v>308</v>
      </c>
      <c r="L453" s="1010">
        <v>214</v>
      </c>
      <c r="M453" s="1010"/>
      <c r="N453" s="1010"/>
      <c r="O453" s="1010"/>
      <c r="P453" s="1010"/>
      <c r="Q453" s="1010"/>
      <c r="R453" s="1010"/>
      <c r="S453" s="1010"/>
      <c r="T453" s="1010"/>
      <c r="U453" s="1010"/>
      <c r="V453" s="1010"/>
      <c r="W453" s="1010"/>
      <c r="X453" s="1010"/>
      <c r="Y453" s="1010"/>
      <c r="Z453" s="1010"/>
      <c r="AA453" s="1010"/>
      <c r="AB453" s="1012"/>
      <c r="AC453" s="1012"/>
      <c r="AD453" s="1012"/>
      <c r="AE453" s="1031"/>
      <c r="AF453" s="1031"/>
      <c r="AG453" s="1031"/>
      <c r="AI453" s="943"/>
      <c r="AJ453" s="943"/>
      <c r="AK453" s="943"/>
      <c r="AL453" s="943"/>
      <c r="AM453" s="943"/>
      <c r="AN453" s="943"/>
      <c r="AO453" s="943"/>
      <c r="AP453" s="943"/>
      <c r="AQ453" s="943"/>
      <c r="AR453" s="943"/>
      <c r="AS453" s="943"/>
      <c r="AT453" s="943"/>
    </row>
    <row r="454" spans="3:52">
      <c r="C454" s="555"/>
      <c r="D454" s="555"/>
      <c r="E454" s="1010"/>
      <c r="F454" s="1010"/>
      <c r="G454" s="1010"/>
      <c r="H454" s="1010">
        <v>214</v>
      </c>
      <c r="I454" s="1010"/>
      <c r="J454" s="1010"/>
      <c r="K454" s="1010"/>
      <c r="L454" s="1010"/>
      <c r="M454" s="1010"/>
      <c r="N454" s="1010"/>
      <c r="O454" s="1010"/>
      <c r="P454" s="1010"/>
      <c r="Q454" s="1010"/>
      <c r="R454" s="1010"/>
      <c r="S454" s="1010"/>
      <c r="T454" s="1010"/>
      <c r="U454" s="1010"/>
      <c r="V454" s="1010"/>
      <c r="W454" s="1010"/>
      <c r="X454" s="1010"/>
      <c r="Y454" s="1010"/>
      <c r="Z454" s="1010"/>
      <c r="AA454" s="1010"/>
      <c r="AB454" s="1012"/>
      <c r="AC454" s="1012"/>
      <c r="AD454" s="1032"/>
      <c r="AE454" s="1033"/>
      <c r="AF454" s="1034"/>
      <c r="AG454" s="1037"/>
      <c r="AH454" s="555"/>
      <c r="AI454" s="555"/>
      <c r="AJ454" s="1040"/>
      <c r="AK454" s="555"/>
      <c r="AL454" s="555"/>
      <c r="AM454" s="555"/>
      <c r="AN454" s="555"/>
      <c r="AO454" s="555"/>
      <c r="AP454" s="555"/>
      <c r="AQ454" s="555"/>
      <c r="AR454" s="555"/>
      <c r="AS454" s="555"/>
      <c r="AT454" s="555"/>
    </row>
    <row r="455" spans="3:52">
      <c r="E455" s="1010">
        <f>SUM(E448:E454)</f>
        <v>261</v>
      </c>
      <c r="F455" s="1010">
        <f t="shared" ref="F455:M455" si="152">SUM(F448:F454)</f>
        <v>941</v>
      </c>
      <c r="G455" s="1010">
        <f t="shared" si="152"/>
        <v>189</v>
      </c>
      <c r="H455" s="1010">
        <f t="shared" si="152"/>
        <v>1219</v>
      </c>
      <c r="I455" s="1010">
        <f t="shared" si="152"/>
        <v>172</v>
      </c>
      <c r="J455" s="1010">
        <f t="shared" si="152"/>
        <v>493</v>
      </c>
      <c r="K455" s="1010">
        <f t="shared" si="152"/>
        <v>1668</v>
      </c>
      <c r="L455" s="1010">
        <f t="shared" si="152"/>
        <v>1383</v>
      </c>
      <c r="M455" s="1010">
        <f t="shared" si="152"/>
        <v>284</v>
      </c>
      <c r="N455" s="1010"/>
      <c r="O455" s="1010"/>
      <c r="P455" s="1010"/>
      <c r="Q455" s="1010"/>
      <c r="R455" s="1010"/>
      <c r="S455" s="1010"/>
      <c r="T455" s="1010"/>
      <c r="U455" s="1010"/>
      <c r="V455" s="1010"/>
      <c r="W455" s="1010"/>
      <c r="X455" s="1010"/>
      <c r="Y455" s="1010"/>
      <c r="Z455" s="1010"/>
      <c r="AA455" s="1010"/>
      <c r="AB455" s="1006"/>
      <c r="AC455" s="1006"/>
      <c r="AD455" s="1032"/>
      <c r="AE455" s="1035"/>
      <c r="AF455" s="1036"/>
      <c r="AG455" s="1041"/>
    </row>
    <row r="456" spans="3:52">
      <c r="E456" s="1010" t="e">
        <f>+E445-E455</f>
        <v>#REF!</v>
      </c>
      <c r="F456" s="1010" t="e">
        <f t="shared" ref="F456:M456" si="153">+F445-F455</f>
        <v>#REF!</v>
      </c>
      <c r="G456" s="1010" t="e">
        <f t="shared" si="153"/>
        <v>#REF!</v>
      </c>
      <c r="H456" s="1010" t="e">
        <f t="shared" si="153"/>
        <v>#REF!</v>
      </c>
      <c r="I456" s="1010" t="e">
        <f t="shared" si="153"/>
        <v>#REF!</v>
      </c>
      <c r="J456" s="1010" t="e">
        <f t="shared" si="153"/>
        <v>#REF!</v>
      </c>
      <c r="K456" s="1010" t="e">
        <f t="shared" si="153"/>
        <v>#REF!</v>
      </c>
      <c r="L456" s="1010" t="e">
        <f t="shared" si="153"/>
        <v>#REF!</v>
      </c>
      <c r="M456" s="1010" t="e">
        <f t="shared" si="153"/>
        <v>#REF!</v>
      </c>
      <c r="N456" s="1010"/>
      <c r="O456" s="1010"/>
      <c r="P456" s="1010"/>
      <c r="Q456" s="1010"/>
      <c r="R456" s="1010"/>
      <c r="S456" s="1010"/>
      <c r="T456" s="1010"/>
      <c r="U456" s="1010"/>
      <c r="V456" s="1010"/>
      <c r="W456" s="1010"/>
      <c r="X456" s="1010"/>
      <c r="Y456" s="1010"/>
      <c r="Z456" s="1010"/>
      <c r="AA456" s="1010"/>
      <c r="AB456" s="1006"/>
      <c r="AC456" s="1006"/>
      <c r="AD456" s="1032"/>
      <c r="AE456" s="1035"/>
      <c r="AF456" s="1036"/>
      <c r="AG456" s="1041"/>
    </row>
    <row r="457" spans="3:52">
      <c r="D457" s="950">
        <v>1</v>
      </c>
      <c r="E457" s="1010">
        <v>1</v>
      </c>
      <c r="F457" s="1010">
        <v>172</v>
      </c>
      <c r="G457" s="1010"/>
      <c r="H457" s="1010">
        <v>1</v>
      </c>
      <c r="I457" s="1010">
        <v>172</v>
      </c>
      <c r="J457" s="1010">
        <v>1</v>
      </c>
      <c r="K457" s="1010">
        <v>173</v>
      </c>
      <c r="L457" s="1010">
        <f>43*4</f>
        <v>172</v>
      </c>
      <c r="M457" s="1010"/>
      <c r="N457" s="1010"/>
      <c r="O457" s="1010"/>
      <c r="P457" s="1010"/>
      <c r="Q457" s="1010"/>
      <c r="R457" s="1010"/>
      <c r="S457" s="1010"/>
      <c r="T457" s="1010"/>
      <c r="U457" s="1010"/>
      <c r="V457" s="1010"/>
      <c r="W457" s="1010"/>
      <c r="X457" s="1010"/>
      <c r="Y457" s="1010"/>
      <c r="Z457" s="1010"/>
      <c r="AA457" s="1010"/>
      <c r="AB457" s="1006"/>
      <c r="AC457" s="1006"/>
      <c r="AD457" s="1006"/>
      <c r="AF457" s="1037"/>
      <c r="AG457" s="1037"/>
      <c r="AI457" s="976"/>
      <c r="AJ457" s="976"/>
    </row>
    <row r="458" spans="3:52" s="945" customFormat="1">
      <c r="D458" s="1024">
        <v>2</v>
      </c>
      <c r="E458" s="1025">
        <v>6</v>
      </c>
      <c r="F458" s="1025">
        <v>165</v>
      </c>
      <c r="G458" s="1025"/>
      <c r="H458" s="1025">
        <f>6+165</f>
        <v>171</v>
      </c>
      <c r="I458" s="1025"/>
      <c r="J458" s="1025">
        <v>20</v>
      </c>
      <c r="K458" s="1025">
        <f>165+22</f>
        <v>187</v>
      </c>
      <c r="L458" s="1025">
        <v>165</v>
      </c>
      <c r="M458" s="1025">
        <v>22</v>
      </c>
      <c r="N458" s="1025"/>
      <c r="O458" s="1025"/>
      <c r="P458" s="1025"/>
      <c r="Q458" s="1025"/>
      <c r="R458" s="1025"/>
      <c r="S458" s="1025"/>
      <c r="T458" s="1025"/>
      <c r="U458" s="1025"/>
      <c r="V458" s="1025"/>
      <c r="W458" s="1025"/>
      <c r="X458" s="1025"/>
      <c r="Y458" s="1025"/>
      <c r="Z458" s="1025"/>
      <c r="AA458" s="1025"/>
      <c r="AB458" s="1038"/>
      <c r="AC458" s="1038"/>
      <c r="AD458" s="1038"/>
      <c r="AG458" s="1042"/>
      <c r="AX458" s="1043"/>
      <c r="AY458" s="1043"/>
      <c r="AZ458" s="1043"/>
    </row>
    <row r="459" spans="3:52">
      <c r="D459" s="1642" t="s">
        <v>2706</v>
      </c>
      <c r="E459" s="1010"/>
      <c r="F459" s="1010">
        <f>240-21</f>
        <v>219</v>
      </c>
      <c r="G459" s="1010">
        <f>72+21</f>
        <v>93</v>
      </c>
      <c r="H459" s="1010">
        <v>312</v>
      </c>
      <c r="I459" s="1010"/>
      <c r="J459" s="1010">
        <v>71</v>
      </c>
      <c r="K459" s="1010">
        <f>279+111</f>
        <v>390</v>
      </c>
      <c r="L459" s="1010">
        <v>279</v>
      </c>
      <c r="M459" s="1010">
        <v>93</v>
      </c>
      <c r="N459" s="1010"/>
      <c r="O459" s="1010"/>
      <c r="P459" s="1010"/>
      <c r="Q459" s="1010"/>
      <c r="R459" s="1010"/>
      <c r="S459" s="1010"/>
      <c r="T459" s="1010"/>
      <c r="U459" s="1010"/>
      <c r="V459" s="1010"/>
      <c r="W459" s="1010"/>
      <c r="X459" s="1010"/>
      <c r="Y459" s="1010"/>
      <c r="Z459" s="1010"/>
      <c r="AA459" s="1010"/>
      <c r="AB459" s="1006"/>
      <c r="AC459" s="1006"/>
      <c r="AD459" s="1006"/>
      <c r="AF459" s="1037"/>
      <c r="AG459" s="1037"/>
      <c r="AH459" s="1006"/>
    </row>
    <row r="460" spans="3:52">
      <c r="D460" s="1642" t="s">
        <v>2707</v>
      </c>
      <c r="E460" s="1010"/>
      <c r="F460" s="1010"/>
      <c r="G460" s="1010"/>
      <c r="H460" s="1010"/>
      <c r="I460" s="1010"/>
      <c r="J460" s="1010">
        <v>11</v>
      </c>
      <c r="K460" s="1010">
        <v>33</v>
      </c>
      <c r="L460" s="1010">
        <v>33</v>
      </c>
      <c r="M460" s="1010">
        <v>11</v>
      </c>
      <c r="N460" s="1010"/>
      <c r="O460" s="1010"/>
      <c r="P460" s="1010"/>
      <c r="Q460" s="1010"/>
      <c r="R460" s="1010"/>
      <c r="S460" s="1010"/>
      <c r="T460" s="1010"/>
      <c r="U460" s="1010"/>
      <c r="V460" s="1010"/>
      <c r="W460" s="1010"/>
      <c r="X460" s="1010"/>
      <c r="Y460" s="1010"/>
      <c r="Z460" s="1010"/>
      <c r="AA460" s="1010"/>
      <c r="AB460" s="1006"/>
      <c r="AC460" s="1006"/>
      <c r="AD460" s="1006"/>
      <c r="AF460" s="1006"/>
      <c r="AG460" s="1006"/>
    </row>
    <row r="461" spans="3:52">
      <c r="D461" s="1026"/>
      <c r="E461" s="1010"/>
      <c r="F461" s="1010"/>
      <c r="G461" s="1010"/>
      <c r="H461" s="1010"/>
      <c r="I461" s="1010"/>
      <c r="J461" s="1010">
        <v>7</v>
      </c>
      <c r="K461" s="1010">
        <v>21</v>
      </c>
      <c r="L461" s="1010">
        <v>21</v>
      </c>
      <c r="M461" s="1010">
        <v>7</v>
      </c>
      <c r="N461" s="1010"/>
      <c r="O461" s="1010"/>
      <c r="P461" s="1010"/>
      <c r="Q461" s="1010"/>
      <c r="R461" s="1010"/>
      <c r="S461" s="1010"/>
      <c r="T461" s="1010"/>
      <c r="U461" s="1010"/>
      <c r="V461" s="1010"/>
      <c r="W461" s="1010"/>
      <c r="X461" s="1010"/>
      <c r="Y461" s="1010"/>
      <c r="Z461" s="1010"/>
      <c r="AA461" s="1010"/>
      <c r="AB461" s="1006"/>
      <c r="AC461" s="1006"/>
      <c r="AD461" s="1006"/>
      <c r="AF461" s="1006"/>
      <c r="AG461" s="1006"/>
    </row>
    <row r="462" spans="3:52">
      <c r="D462" s="950">
        <v>4</v>
      </c>
      <c r="E462" s="1010"/>
      <c r="F462" s="1010">
        <v>196</v>
      </c>
      <c r="G462" s="1010">
        <v>50</v>
      </c>
      <c r="H462" s="1010">
        <v>246</v>
      </c>
      <c r="I462" s="1010"/>
      <c r="J462" s="1010">
        <v>82</v>
      </c>
      <c r="K462" s="1010">
        <f>82+246</f>
        <v>328</v>
      </c>
      <c r="L462" s="1010">
        <v>246</v>
      </c>
      <c r="M462" s="1010">
        <v>82</v>
      </c>
      <c r="N462" s="1010"/>
      <c r="O462" s="1010"/>
      <c r="P462" s="1010"/>
      <c r="Q462" s="1010"/>
      <c r="R462" s="1010"/>
      <c r="S462" s="1010"/>
      <c r="T462" s="1010"/>
      <c r="U462" s="1010"/>
      <c r="V462" s="1010"/>
      <c r="W462" s="1010"/>
      <c r="X462" s="1010"/>
      <c r="Y462" s="1010"/>
      <c r="Z462" s="1010"/>
      <c r="AA462" s="1010"/>
    </row>
    <row r="463" spans="3:52">
      <c r="D463" s="950">
        <v>5</v>
      </c>
      <c r="E463" s="946">
        <v>6</v>
      </c>
      <c r="F463" s="946">
        <v>161</v>
      </c>
      <c r="G463" s="1013">
        <v>46</v>
      </c>
      <c r="H463" s="946">
        <v>213</v>
      </c>
      <c r="J463" s="946">
        <v>69</v>
      </c>
      <c r="K463" s="946">
        <v>276</v>
      </c>
      <c r="L463" s="946">
        <v>207</v>
      </c>
      <c r="M463" s="946">
        <v>69</v>
      </c>
      <c r="W463" s="976">
        <f>+E448-17477.12</f>
        <v>-17462.12</v>
      </c>
    </row>
    <row r="464" spans="3:52">
      <c r="D464" s="950">
        <v>6</v>
      </c>
      <c r="E464" s="946">
        <v>248</v>
      </c>
      <c r="H464" s="946">
        <v>248</v>
      </c>
      <c r="J464" s="946">
        <v>232</v>
      </c>
      <c r="K464" s="946">
        <v>232</v>
      </c>
      <c r="L464" s="946">
        <v>232</v>
      </c>
    </row>
    <row r="465" spans="3:34">
      <c r="D465" s="950" t="s">
        <v>2346</v>
      </c>
      <c r="F465" s="946">
        <v>28</v>
      </c>
      <c r="H465" s="946">
        <v>28</v>
      </c>
      <c r="K465" s="946">
        <v>28</v>
      </c>
      <c r="L465" s="946">
        <v>28</v>
      </c>
    </row>
    <row r="466" spans="3:34">
      <c r="E466" s="976">
        <f t="shared" ref="E466:M466" si="154">SUM(E457:E465)</f>
        <v>261</v>
      </c>
      <c r="F466" s="976">
        <f t="shared" si="154"/>
        <v>941</v>
      </c>
      <c r="G466" s="976">
        <f t="shared" si="154"/>
        <v>189</v>
      </c>
      <c r="H466" s="976">
        <f t="shared" si="154"/>
        <v>1219</v>
      </c>
      <c r="I466" s="976">
        <f t="shared" si="154"/>
        <v>172</v>
      </c>
      <c r="J466" s="976">
        <f t="shared" si="154"/>
        <v>493</v>
      </c>
      <c r="K466" s="976">
        <f t="shared" si="154"/>
        <v>1668</v>
      </c>
      <c r="L466" s="976">
        <f t="shared" si="154"/>
        <v>1383</v>
      </c>
      <c r="M466" s="976">
        <f t="shared" si="154"/>
        <v>284</v>
      </c>
    </row>
    <row r="467" spans="3:34" ht="15" customHeight="1">
      <c r="C467" s="2633" t="s">
        <v>2708</v>
      </c>
      <c r="D467" s="2633"/>
      <c r="E467" s="976">
        <f>+E466-E455</f>
        <v>0</v>
      </c>
      <c r="F467" s="976">
        <f t="shared" ref="F467:M467" si="155">+F466-F455</f>
        <v>0</v>
      </c>
      <c r="G467" s="976">
        <f t="shared" si="155"/>
        <v>0</v>
      </c>
      <c r="H467" s="976">
        <f t="shared" si="155"/>
        <v>0</v>
      </c>
      <c r="I467" s="976">
        <f t="shared" si="155"/>
        <v>0</v>
      </c>
      <c r="J467" s="976">
        <f t="shared" si="155"/>
        <v>0</v>
      </c>
      <c r="K467" s="976">
        <f t="shared" si="155"/>
        <v>0</v>
      </c>
      <c r="L467" s="976">
        <f t="shared" si="155"/>
        <v>0</v>
      </c>
      <c r="M467" s="976">
        <f t="shared" si="155"/>
        <v>0</v>
      </c>
    </row>
    <row r="469" spans="3:34">
      <c r="E469" s="946">
        <v>0.16666666666666699</v>
      </c>
      <c r="F469" s="946">
        <v>0.15625</v>
      </c>
      <c r="G469" s="946">
        <v>0.125</v>
      </c>
      <c r="H469" s="946">
        <v>0.25</v>
      </c>
      <c r="I469" s="946">
        <v>0.5</v>
      </c>
      <c r="J469" s="946">
        <v>0.5</v>
      </c>
      <c r="K469" s="946">
        <v>1</v>
      </c>
      <c r="L469" s="946">
        <v>1</v>
      </c>
      <c r="M469" s="946">
        <v>1</v>
      </c>
    </row>
    <row r="470" spans="3:34">
      <c r="E470" s="946">
        <f>E466/E469</f>
        <v>1566</v>
      </c>
      <c r="F470" s="946">
        <f t="shared" ref="F470:M470" si="156">F466/F469</f>
        <v>6022.4</v>
      </c>
      <c r="G470" s="946">
        <f t="shared" si="156"/>
        <v>1512</v>
      </c>
      <c r="H470" s="946">
        <f t="shared" si="156"/>
        <v>4876</v>
      </c>
      <c r="I470" s="946">
        <f t="shared" si="156"/>
        <v>344</v>
      </c>
      <c r="J470" s="946">
        <f t="shared" si="156"/>
        <v>986</v>
      </c>
      <c r="K470" s="946">
        <f t="shared" si="156"/>
        <v>1668</v>
      </c>
      <c r="L470" s="946">
        <f t="shared" si="156"/>
        <v>1383</v>
      </c>
      <c r="M470" s="946">
        <f t="shared" si="156"/>
        <v>284</v>
      </c>
      <c r="N470" s="946">
        <f>SUM(E470:M470)</f>
        <v>18641.400000000001</v>
      </c>
    </row>
    <row r="473" spans="3:34">
      <c r="AH473" s="992" t="s">
        <v>331</v>
      </c>
    </row>
    <row r="474" spans="3:34">
      <c r="AH474" s="992" t="s">
        <v>332</v>
      </c>
    </row>
    <row r="475" spans="3:34">
      <c r="AH475" s="992" t="s">
        <v>333</v>
      </c>
    </row>
    <row r="476" spans="3:34">
      <c r="AH476" s="992" t="s">
        <v>334</v>
      </c>
    </row>
    <row r="477" spans="3:34">
      <c r="AH477" s="992" t="s">
        <v>335</v>
      </c>
    </row>
    <row r="478" spans="3:34">
      <c r="AH478" s="992" t="s">
        <v>336</v>
      </c>
    </row>
    <row r="479" spans="3:34">
      <c r="AH479" s="992" t="s">
        <v>337</v>
      </c>
    </row>
    <row r="480" spans="3:34">
      <c r="AH480" s="992" t="s">
        <v>338</v>
      </c>
    </row>
    <row r="481" spans="31:34">
      <c r="AH481" s="992" t="s">
        <v>339</v>
      </c>
    </row>
    <row r="482" spans="31:34">
      <c r="AH482" s="992" t="s">
        <v>340</v>
      </c>
    </row>
    <row r="483" spans="31:34">
      <c r="AH483" s="992" t="s">
        <v>341</v>
      </c>
    </row>
    <row r="484" spans="31:34">
      <c r="AE484" s="1013"/>
      <c r="AH484" s="992" t="s">
        <v>342</v>
      </c>
    </row>
    <row r="485" spans="31:34">
      <c r="AH485" s="992" t="s">
        <v>343</v>
      </c>
    </row>
    <row r="486" spans="31:34">
      <c r="AH486" s="992" t="s">
        <v>344</v>
      </c>
    </row>
    <row r="487" spans="31:34">
      <c r="AH487" s="992" t="s">
        <v>345</v>
      </c>
    </row>
    <row r="488" spans="31:34">
      <c r="AH488" s="946" t="s">
        <v>346</v>
      </c>
    </row>
  </sheetData>
  <autoFilter ref="A12:AZ467"/>
  <mergeCells count="16">
    <mergeCell ref="A1:M1"/>
    <mergeCell ref="U1:AT1"/>
    <mergeCell ref="A2:M2"/>
    <mergeCell ref="U2:AT2"/>
    <mergeCell ref="A4:AT4"/>
    <mergeCell ref="A5:AT5"/>
    <mergeCell ref="AJ6:AM6"/>
    <mergeCell ref="AJ7:AM7"/>
    <mergeCell ref="E8:M8"/>
    <mergeCell ref="A10:D10"/>
    <mergeCell ref="A445:D445"/>
    <mergeCell ref="AE448:AT448"/>
    <mergeCell ref="C467:D467"/>
    <mergeCell ref="A8:A9"/>
    <mergeCell ref="C8:C9"/>
    <mergeCell ref="D8:D9"/>
  </mergeCells>
  <printOptions horizontalCentered="1"/>
  <pageMargins left="0" right="0" top="0.196850393700787" bottom="0.39370078740157499" header="0.31496062992126" footer="0.31496062992126"/>
  <pageSetup paperSize="9" scale="120" orientation="portrait"/>
  <headerFooter>
    <oddFooter>&amp;R&amp;P</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AL151"/>
  <sheetViews>
    <sheetView showZeros="0" topLeftCell="A90" zoomScale="130" zoomScaleNormal="130" workbookViewId="0">
      <selection activeCell="AA29" sqref="AA29"/>
    </sheetView>
  </sheetViews>
  <sheetFormatPr defaultColWidth="18.85546875" defaultRowHeight="18.75"/>
  <cols>
    <col min="1" max="1" width="3.28515625" style="197" customWidth="1"/>
    <col min="2" max="2" width="11.28515625" style="197" hidden="1" customWidth="1"/>
    <col min="3" max="3" width="13" style="601" customWidth="1"/>
    <col min="4" max="4" width="8.140625" style="346" customWidth="1"/>
    <col min="5" max="5" width="13.5703125" style="346" customWidth="1"/>
    <col min="6" max="6" width="8.42578125" style="602" customWidth="1"/>
    <col min="7" max="7" width="11.140625" style="346" customWidth="1"/>
    <col min="8" max="10" width="10.5703125" style="346" hidden="1" customWidth="1"/>
    <col min="11" max="11" width="7" style="684" customWidth="1"/>
    <col min="12" max="12" width="7.5703125" style="685" hidden="1" customWidth="1"/>
    <col min="13" max="13" width="8" style="685" customWidth="1"/>
    <col min="14" max="14" width="9.7109375" style="685" hidden="1" customWidth="1"/>
    <col min="15" max="15" width="9.7109375" style="685" customWidth="1"/>
    <col min="16" max="16" width="7" style="686" customWidth="1"/>
    <col min="17" max="17" width="10" style="687" customWidth="1"/>
    <col min="18" max="19" width="7" style="346" customWidth="1"/>
    <col min="20" max="22" width="7" style="346" hidden="1" customWidth="1"/>
    <col min="23" max="23" width="6.28515625" style="346" hidden="1" customWidth="1"/>
    <col min="24" max="24" width="6.28515625" style="346" customWidth="1"/>
    <col min="25" max="25" width="7" style="346" customWidth="1"/>
    <col min="26" max="26" width="6.28515625" style="346" customWidth="1"/>
    <col min="27" max="27" width="7" style="346" customWidth="1"/>
    <col min="28" max="28" width="7" style="346" hidden="1" customWidth="1"/>
    <col min="29" max="29" width="10.7109375" style="346" customWidth="1"/>
    <col min="30" max="30" width="10.42578125" style="346" customWidth="1"/>
    <col min="31" max="31" width="10.7109375" style="346" customWidth="1"/>
    <col min="32" max="32" width="13.28515625" style="346" customWidth="1"/>
    <col min="33" max="33" width="13.140625" style="603" customWidth="1"/>
    <col min="34" max="34" width="19.7109375" style="346" customWidth="1"/>
    <col min="35" max="35" width="14.5703125" style="604" customWidth="1"/>
    <col min="36" max="228" width="9.140625" style="346" customWidth="1"/>
    <col min="229" max="229" width="5.5703125" style="346" customWidth="1"/>
    <col min="230" max="230" width="16.140625" style="346" customWidth="1"/>
    <col min="231" max="16384" width="18.85546875" style="346"/>
  </cols>
  <sheetData>
    <row r="1" spans="1:37" s="598" customFormat="1" ht="15.75">
      <c r="B1" s="2672" t="s">
        <v>0</v>
      </c>
      <c r="C1" s="2672"/>
      <c r="D1" s="2672"/>
      <c r="E1" s="2672"/>
      <c r="F1" s="2672"/>
      <c r="G1" s="2672"/>
      <c r="H1" s="2672"/>
      <c r="I1" s="2672"/>
      <c r="J1" s="2672"/>
      <c r="K1" s="2672"/>
      <c r="L1" s="2672"/>
      <c r="M1" s="2672"/>
      <c r="N1" s="2672"/>
      <c r="O1" s="2672"/>
      <c r="P1" s="2672"/>
      <c r="Q1" s="2672"/>
      <c r="R1" s="2672"/>
      <c r="S1" s="2672"/>
      <c r="T1" s="2672"/>
      <c r="U1" s="2672"/>
      <c r="V1" s="2672"/>
      <c r="W1" s="2672"/>
      <c r="X1" s="2672"/>
      <c r="Y1" s="2672"/>
      <c r="Z1" s="2672"/>
      <c r="AA1" s="2672"/>
      <c r="AB1" s="2672"/>
      <c r="AC1" s="2672"/>
      <c r="AD1" s="2672"/>
      <c r="AE1" s="2672"/>
    </row>
    <row r="2" spans="1:37" s="598" customFormat="1" ht="15.75">
      <c r="B2" s="2672" t="s">
        <v>1968</v>
      </c>
      <c r="C2" s="2672"/>
      <c r="D2" s="2672"/>
      <c r="E2" s="2672"/>
      <c r="F2" s="2672"/>
      <c r="G2" s="2672"/>
      <c r="H2" s="2672"/>
      <c r="I2" s="2672"/>
      <c r="J2" s="2672"/>
      <c r="K2" s="2672"/>
      <c r="L2" s="2672"/>
      <c r="M2" s="2672"/>
      <c r="N2" s="2672"/>
      <c r="O2" s="2672"/>
      <c r="P2" s="2672"/>
      <c r="Q2" s="2672"/>
      <c r="R2" s="2672"/>
      <c r="S2" s="2672"/>
      <c r="T2" s="2672"/>
      <c r="U2" s="2672"/>
      <c r="V2" s="2672"/>
      <c r="W2" s="2672"/>
      <c r="X2" s="2672"/>
      <c r="Y2" s="2672"/>
      <c r="Z2" s="2672"/>
      <c r="AA2" s="2672"/>
      <c r="AB2" s="2672"/>
      <c r="AC2" s="2672"/>
      <c r="AD2" s="2672"/>
      <c r="AE2" s="2672"/>
    </row>
    <row r="3" spans="1:37" s="598" customFormat="1" ht="15.75">
      <c r="C3" s="2673" t="s">
        <v>619</v>
      </c>
      <c r="D3" s="2672"/>
      <c r="E3" s="2672"/>
      <c r="F3" s="2672"/>
      <c r="G3" s="2672"/>
      <c r="H3" s="2672"/>
      <c r="I3" s="2672"/>
      <c r="J3" s="2672"/>
      <c r="K3" s="2672"/>
      <c r="L3" s="2672"/>
      <c r="M3" s="2672"/>
      <c r="N3" s="2672"/>
      <c r="O3" s="2672"/>
      <c r="P3" s="2672"/>
      <c r="Q3" s="2672"/>
      <c r="R3" s="2672"/>
      <c r="S3" s="2672"/>
      <c r="T3" s="2672"/>
      <c r="U3" s="2672"/>
      <c r="V3" s="2672"/>
      <c r="W3" s="2672"/>
      <c r="X3" s="2672"/>
      <c r="Y3" s="2672"/>
      <c r="Z3" s="2672"/>
      <c r="AA3" s="2672"/>
      <c r="AB3" s="2672"/>
      <c r="AC3" s="2672"/>
      <c r="AD3" s="2672"/>
      <c r="AE3" s="2672"/>
    </row>
    <row r="4" spans="1:37" s="598" customFormat="1" ht="15.75">
      <c r="C4" s="2674" t="s">
        <v>2738</v>
      </c>
      <c r="D4" s="2675"/>
      <c r="E4" s="2675"/>
      <c r="F4" s="2675"/>
      <c r="G4" s="2675"/>
      <c r="H4" s="2675"/>
      <c r="I4" s="2675"/>
      <c r="J4" s="2675"/>
      <c r="K4" s="2675"/>
      <c r="L4" s="700"/>
      <c r="M4" s="700"/>
      <c r="N4" s="700"/>
      <c r="O4" s="700"/>
      <c r="P4" s="605"/>
      <c r="Q4" s="605"/>
      <c r="R4" s="605"/>
      <c r="S4" s="605"/>
      <c r="T4" s="605"/>
      <c r="U4" s="605"/>
      <c r="V4" s="605"/>
      <c r="W4" s="605"/>
      <c r="X4" s="605"/>
      <c r="Y4" s="605"/>
      <c r="Z4" s="605"/>
      <c r="AA4" s="605"/>
      <c r="AB4" s="605"/>
      <c r="AC4" s="605"/>
    </row>
    <row r="5" spans="1:37" s="28" customFormat="1" ht="16.5">
      <c r="C5" s="2676" t="s">
        <v>620</v>
      </c>
      <c r="D5" s="2676"/>
      <c r="E5" s="2676"/>
      <c r="F5" s="2676"/>
      <c r="G5" s="2676"/>
      <c r="H5" s="2676"/>
      <c r="I5" s="2676"/>
      <c r="J5" s="2676"/>
      <c r="K5" s="2676"/>
      <c r="L5" s="876"/>
      <c r="M5" s="876"/>
      <c r="N5" s="702"/>
      <c r="O5" s="702"/>
      <c r="P5" s="76"/>
      <c r="R5" s="76"/>
      <c r="S5" s="76"/>
      <c r="T5" s="80"/>
      <c r="U5" s="80"/>
      <c r="V5" s="81"/>
      <c r="W5" s="81"/>
      <c r="X5" s="81"/>
      <c r="Y5" s="80"/>
      <c r="Z5" s="81"/>
      <c r="AA5" s="81"/>
      <c r="AB5" s="81"/>
      <c r="AC5" s="82"/>
    </row>
    <row r="6" spans="1:37" ht="15.75">
      <c r="A6" s="175"/>
      <c r="B6" s="175"/>
      <c r="C6" s="175"/>
      <c r="D6" s="175"/>
      <c r="E6" s="175"/>
      <c r="F6" s="175"/>
      <c r="G6" s="175"/>
      <c r="H6" s="175"/>
      <c r="I6" s="175"/>
      <c r="J6" s="175"/>
      <c r="K6" s="689"/>
      <c r="L6" s="703"/>
      <c r="M6" s="703"/>
      <c r="N6" s="703"/>
      <c r="O6" s="703"/>
      <c r="P6" s="704"/>
      <c r="Q6" s="705"/>
      <c r="R6" s="175"/>
      <c r="S6" s="175"/>
      <c r="T6" s="175"/>
      <c r="U6" s="175"/>
      <c r="V6" s="175"/>
      <c r="W6" s="175"/>
      <c r="X6" s="175"/>
      <c r="Y6" s="175"/>
      <c r="Z6" s="175"/>
      <c r="AA6" s="175"/>
      <c r="AB6" s="175"/>
      <c r="AC6" s="175"/>
      <c r="AD6" s="175"/>
      <c r="AE6" s="175"/>
      <c r="AF6" s="176"/>
      <c r="AH6" s="555" t="s">
        <v>1952</v>
      </c>
      <c r="AI6" s="475">
        <f>AI8/AI7</f>
        <v>0.50833693372589595</v>
      </c>
    </row>
    <row r="7" spans="1:37" s="176" customFormat="1" ht="27" customHeight="1">
      <c r="A7" s="2290" t="s">
        <v>2739</v>
      </c>
      <c r="B7" s="2290"/>
      <c r="C7" s="2290"/>
      <c r="D7" s="2290"/>
      <c r="E7" s="2290"/>
      <c r="F7" s="2290"/>
      <c r="G7" s="2290"/>
      <c r="H7" s="2290"/>
      <c r="I7" s="2290"/>
      <c r="J7" s="2290"/>
      <c r="K7" s="2290"/>
      <c r="L7" s="2290"/>
      <c r="M7" s="2290"/>
      <c r="N7" s="2290"/>
      <c r="O7" s="2290"/>
      <c r="P7" s="2290"/>
      <c r="Q7" s="2290"/>
      <c r="R7" s="2290"/>
      <c r="S7" s="2290"/>
      <c r="T7" s="2290"/>
      <c r="U7" s="2290"/>
      <c r="V7" s="2290"/>
      <c r="W7" s="2290"/>
      <c r="X7" s="2290"/>
      <c r="Y7" s="2290"/>
      <c r="Z7" s="2290"/>
      <c r="AA7" s="2290"/>
      <c r="AB7" s="2290"/>
      <c r="AC7" s="2290"/>
      <c r="AD7" s="2290"/>
      <c r="AE7" s="2290"/>
      <c r="AF7" s="2290"/>
      <c r="AG7" s="622"/>
      <c r="AH7" s="917" t="s">
        <v>2570</v>
      </c>
      <c r="AI7" s="918">
        <f>THCKT!AO15</f>
        <v>9286</v>
      </c>
      <c r="AJ7" s="176">
        <v>194009</v>
      </c>
      <c r="AK7" s="176">
        <v>86085.735056939404</v>
      </c>
    </row>
    <row r="8" spans="1:37" s="176" customFormat="1" ht="24.6" customHeight="1">
      <c r="A8" s="2660" t="s">
        <v>2710</v>
      </c>
      <c r="B8" s="2660"/>
      <c r="C8" s="2660"/>
      <c r="D8" s="2660"/>
      <c r="E8" s="175"/>
      <c r="F8" s="158">
        <f>'LƯƠNG KT'!F8</f>
        <v>668.84</v>
      </c>
      <c r="G8" s="175"/>
      <c r="H8" s="175"/>
      <c r="I8" s="175"/>
      <c r="J8" s="175"/>
      <c r="K8" s="175"/>
      <c r="L8" s="706"/>
      <c r="M8" s="706"/>
      <c r="N8" s="706"/>
      <c r="O8" s="706"/>
      <c r="P8" s="175"/>
      <c r="Q8" s="175"/>
      <c r="R8" s="175"/>
      <c r="S8" s="175"/>
      <c r="T8" s="175"/>
      <c r="U8" s="175"/>
      <c r="V8" s="175"/>
      <c r="W8" s="175"/>
      <c r="X8" s="175"/>
      <c r="Y8" s="175"/>
      <c r="Z8" s="175"/>
      <c r="AA8" s="175"/>
      <c r="AB8" s="175"/>
      <c r="AC8" s="175"/>
      <c r="AD8" s="175"/>
      <c r="AE8" s="175"/>
      <c r="AF8" s="175"/>
      <c r="AG8" s="622"/>
      <c r="AH8" s="917" t="s">
        <v>2602</v>
      </c>
      <c r="AI8" s="919">
        <f>THCKT!AP15</f>
        <v>4720.4167665786699</v>
      </c>
    </row>
    <row r="9" spans="1:37" s="176" customFormat="1" ht="18.75" customHeight="1">
      <c r="A9" s="608"/>
      <c r="B9" s="608"/>
      <c r="C9" s="172"/>
      <c r="D9" s="608"/>
      <c r="E9" s="608"/>
      <c r="F9" s="609" t="e">
        <f>#REF!</f>
        <v>#REF!</v>
      </c>
      <c r="G9" s="175"/>
      <c r="H9" s="175"/>
      <c r="I9" s="175"/>
      <c r="J9" s="175"/>
      <c r="K9" s="175"/>
      <c r="L9" s="706"/>
      <c r="M9" s="706"/>
      <c r="N9" s="706"/>
      <c r="O9" s="706"/>
      <c r="P9" s="175"/>
      <c r="Q9" s="175"/>
      <c r="R9" s="175"/>
      <c r="S9" s="175"/>
      <c r="T9" s="175"/>
      <c r="U9" s="175"/>
      <c r="V9" s="175"/>
      <c r="W9" s="175"/>
      <c r="X9" s="175"/>
      <c r="Y9" s="175"/>
      <c r="Z9" s="175"/>
      <c r="AA9" s="175"/>
      <c r="AB9" s="175"/>
      <c r="AC9" s="175"/>
      <c r="AF9" s="175"/>
      <c r="AG9" s="622"/>
      <c r="AH9" s="920" t="s">
        <v>373</v>
      </c>
      <c r="AI9" s="921">
        <v>0.5</v>
      </c>
    </row>
    <row r="10" spans="1:37" s="175" customFormat="1" ht="17.25" customHeight="1">
      <c r="A10" s="2666" t="s">
        <v>623</v>
      </c>
      <c r="B10" s="2666" t="s">
        <v>624</v>
      </c>
      <c r="C10" s="2668" t="s">
        <v>356</v>
      </c>
      <c r="D10" s="2666" t="s">
        <v>2711</v>
      </c>
      <c r="E10" s="2664" t="s">
        <v>531</v>
      </c>
      <c r="F10" s="2661" t="s">
        <v>2712</v>
      </c>
      <c r="G10" s="2662"/>
      <c r="H10" s="2662"/>
      <c r="I10" s="2662"/>
      <c r="J10" s="2662"/>
      <c r="K10" s="2662"/>
      <c r="L10" s="2662"/>
      <c r="M10" s="2662"/>
      <c r="N10" s="2662"/>
      <c r="O10" s="2662"/>
      <c r="P10" s="2662"/>
      <c r="Q10" s="2662"/>
      <c r="R10" s="2662"/>
      <c r="S10" s="2662"/>
      <c r="T10" s="2662"/>
      <c r="U10" s="2662"/>
      <c r="V10" s="2662"/>
      <c r="W10" s="2662"/>
      <c r="X10" s="2662"/>
      <c r="Y10" s="2662"/>
      <c r="Z10" s="2662"/>
      <c r="AA10" s="2662"/>
      <c r="AB10" s="2662"/>
      <c r="AC10" s="2663"/>
      <c r="AD10" s="2664" t="s">
        <v>2713</v>
      </c>
      <c r="AE10" s="2664" t="s">
        <v>2714</v>
      </c>
      <c r="AF10" s="2671" t="s">
        <v>2715</v>
      </c>
      <c r="AG10" s="623"/>
      <c r="AH10" s="920" t="s">
        <v>2604</v>
      </c>
      <c r="AI10" s="921">
        <v>0.175047445255474</v>
      </c>
    </row>
    <row r="11" spans="1:37" s="175" customFormat="1" ht="28.5" customHeight="1">
      <c r="A11" s="2666"/>
      <c r="B11" s="2666"/>
      <c r="C11" s="2669"/>
      <c r="D11" s="2666"/>
      <c r="E11" s="2664"/>
      <c r="F11" s="2275" t="s">
        <v>2716</v>
      </c>
      <c r="G11" s="2275"/>
      <c r="H11" s="862"/>
      <c r="I11" s="862"/>
      <c r="J11" s="862"/>
      <c r="K11" s="2664" t="s">
        <v>2717</v>
      </c>
      <c r="L11" s="2664"/>
      <c r="M11" s="2664"/>
      <c r="N11" s="2664"/>
      <c r="O11" s="2664"/>
      <c r="P11" s="2664"/>
      <c r="Q11" s="2664"/>
      <c r="R11" s="2665" t="s">
        <v>2718</v>
      </c>
      <c r="S11" s="2665"/>
      <c r="T11" s="2665"/>
      <c r="U11" s="2665"/>
      <c r="V11" s="2665"/>
      <c r="W11" s="2665"/>
      <c r="X11" s="2665"/>
      <c r="Y11" s="2665"/>
      <c r="Z11" s="2665"/>
      <c r="AA11" s="2665"/>
      <c r="AB11" s="2665"/>
      <c r="AC11" s="2665"/>
      <c r="AD11" s="2664"/>
      <c r="AE11" s="2664"/>
      <c r="AF11" s="2671"/>
      <c r="AG11" s="623"/>
      <c r="AI11" s="604"/>
    </row>
    <row r="12" spans="1:37" s="599" customFormat="1" ht="51" customHeight="1">
      <c r="A12" s="2667"/>
      <c r="B12" s="2666"/>
      <c r="C12" s="2670"/>
      <c r="D12" s="2667"/>
      <c r="E12" s="2664"/>
      <c r="F12" s="864" t="s">
        <v>2593</v>
      </c>
      <c r="G12" s="178" t="s">
        <v>2719</v>
      </c>
      <c r="H12" s="910" t="s">
        <v>2586</v>
      </c>
      <c r="I12" s="910" t="s">
        <v>2587</v>
      </c>
      <c r="J12" s="910" t="s">
        <v>2588</v>
      </c>
      <c r="K12" s="877" t="s">
        <v>2720</v>
      </c>
      <c r="L12" s="878" t="s">
        <v>2740</v>
      </c>
      <c r="M12" s="878" t="s">
        <v>2721</v>
      </c>
      <c r="N12" s="878" t="s">
        <v>2741</v>
      </c>
      <c r="O12" s="878" t="s">
        <v>2722</v>
      </c>
      <c r="P12" s="879" t="s">
        <v>2742</v>
      </c>
      <c r="Q12" s="860" t="s">
        <v>2724</v>
      </c>
      <c r="R12" s="885" t="s">
        <v>2743</v>
      </c>
      <c r="S12" s="885" t="s">
        <v>2744</v>
      </c>
      <c r="T12" s="885" t="s">
        <v>2745</v>
      </c>
      <c r="U12" s="885" t="s">
        <v>369</v>
      </c>
      <c r="V12" s="885" t="s">
        <v>2666</v>
      </c>
      <c r="W12" s="885" t="s">
        <v>2680</v>
      </c>
      <c r="X12" s="886" t="s">
        <v>2746</v>
      </c>
      <c r="Y12" s="885" t="s">
        <v>2747</v>
      </c>
      <c r="Z12" s="885" t="s">
        <v>2683</v>
      </c>
      <c r="AA12" s="886" t="s">
        <v>2748</v>
      </c>
      <c r="AB12" s="885"/>
      <c r="AC12" s="860" t="s">
        <v>2727</v>
      </c>
      <c r="AD12" s="2664"/>
      <c r="AE12" s="2664"/>
      <c r="AF12" s="2671"/>
      <c r="AG12" s="624" t="s">
        <v>2728</v>
      </c>
      <c r="AI12" s="637"/>
    </row>
    <row r="13" spans="1:37" s="29" customFormat="1" ht="34.15" hidden="1" customHeight="1">
      <c r="A13" s="866" t="s">
        <v>636</v>
      </c>
      <c r="B13" s="866"/>
      <c r="C13" s="863" t="s">
        <v>638</v>
      </c>
      <c r="D13" s="866" t="s">
        <v>639</v>
      </c>
      <c r="E13" s="863" t="s">
        <v>2729</v>
      </c>
      <c r="F13" s="866" t="s">
        <v>640</v>
      </c>
      <c r="G13" s="866" t="s">
        <v>2730</v>
      </c>
      <c r="H13" s="866"/>
      <c r="I13" s="866"/>
      <c r="J13" s="866"/>
      <c r="K13" s="880" t="s">
        <v>2731</v>
      </c>
      <c r="L13" s="881" t="s">
        <v>2731</v>
      </c>
      <c r="M13" s="881" t="s">
        <v>2731</v>
      </c>
      <c r="N13" s="881" t="s">
        <v>2731</v>
      </c>
      <c r="O13" s="881" t="s">
        <v>2731</v>
      </c>
      <c r="P13" s="866" t="s">
        <v>2732</v>
      </c>
      <c r="Q13" s="866" t="s">
        <v>2730</v>
      </c>
      <c r="R13" s="866" t="s">
        <v>2733</v>
      </c>
      <c r="S13" s="866" t="s">
        <v>2734</v>
      </c>
      <c r="T13" s="866" t="s">
        <v>2734</v>
      </c>
      <c r="U13" s="866" t="s">
        <v>2734</v>
      </c>
      <c r="V13" s="866" t="s">
        <v>2734</v>
      </c>
      <c r="W13" s="866" t="s">
        <v>2734</v>
      </c>
      <c r="X13" s="866" t="s">
        <v>2734</v>
      </c>
      <c r="Y13" s="866" t="s">
        <v>2734</v>
      </c>
      <c r="Z13" s="866" t="s">
        <v>2734</v>
      </c>
      <c r="AA13" s="866" t="s">
        <v>2734</v>
      </c>
      <c r="AB13" s="866" t="s">
        <v>2734</v>
      </c>
      <c r="AC13" s="866" t="s">
        <v>2730</v>
      </c>
      <c r="AD13" s="888" t="s">
        <v>643</v>
      </c>
      <c r="AE13" s="863" t="s">
        <v>644</v>
      </c>
      <c r="AF13" s="626" t="s">
        <v>2735</v>
      </c>
      <c r="AG13" s="627" t="s">
        <v>2736</v>
      </c>
      <c r="AI13" s="637"/>
    </row>
    <row r="14" spans="1:37" s="859" customFormat="1" ht="15.95" hidden="1" customHeight="1">
      <c r="A14" s="867">
        <v>1</v>
      </c>
      <c r="B14" s="867">
        <v>2</v>
      </c>
      <c r="C14" s="867">
        <v>2</v>
      </c>
      <c r="D14" s="867">
        <v>3</v>
      </c>
      <c r="E14" s="867">
        <v>17</v>
      </c>
      <c r="F14" s="867">
        <v>4</v>
      </c>
      <c r="G14" s="867">
        <v>5</v>
      </c>
      <c r="H14" s="867"/>
      <c r="I14" s="867"/>
      <c r="J14" s="867"/>
      <c r="K14" s="867">
        <v>6</v>
      </c>
      <c r="L14" s="882">
        <v>7</v>
      </c>
      <c r="M14" s="882">
        <v>7</v>
      </c>
      <c r="N14" s="882">
        <v>8</v>
      </c>
      <c r="O14" s="882">
        <v>8</v>
      </c>
      <c r="P14" s="867">
        <v>9</v>
      </c>
      <c r="Q14" s="867">
        <v>10</v>
      </c>
      <c r="R14" s="867">
        <v>11</v>
      </c>
      <c r="S14" s="867">
        <v>12</v>
      </c>
      <c r="T14" s="867">
        <v>13</v>
      </c>
      <c r="U14" s="867">
        <v>14</v>
      </c>
      <c r="V14" s="867">
        <v>14</v>
      </c>
      <c r="W14" s="867">
        <v>14</v>
      </c>
      <c r="X14" s="867">
        <v>14</v>
      </c>
      <c r="Y14" s="867">
        <v>14</v>
      </c>
      <c r="Z14" s="867">
        <v>14</v>
      </c>
      <c r="AA14" s="867">
        <v>14</v>
      </c>
      <c r="AB14" s="867">
        <v>14</v>
      </c>
      <c r="AC14" s="867">
        <v>14</v>
      </c>
      <c r="AD14" s="867">
        <v>15</v>
      </c>
      <c r="AE14" s="867">
        <v>16</v>
      </c>
      <c r="AF14" s="940">
        <v>23</v>
      </c>
      <c r="AG14" s="890"/>
      <c r="AI14" s="604"/>
    </row>
    <row r="15" spans="1:37" s="540" customFormat="1" ht="21" customHeight="1">
      <c r="A15" s="868">
        <v>1</v>
      </c>
      <c r="B15" s="869" t="e">
        <f>VLOOKUP(C15,'DS CN MOI UP'!$B$10:$C$389,2,0)</f>
        <v>#N/A</v>
      </c>
      <c r="C15" s="875" t="s">
        <v>2643</v>
      </c>
      <c r="D15" s="875" t="s">
        <v>15</v>
      </c>
      <c r="E15" s="872"/>
      <c r="F15" s="873">
        <f>+VLOOKUP(C15,THCKT!$C$13:$AE$460,17,0)</f>
        <v>24</v>
      </c>
      <c r="G15" s="874">
        <f t="shared" ref="G15:G78" si="0">F15*25000</f>
        <v>600000</v>
      </c>
      <c r="H15" s="874"/>
      <c r="I15" s="874"/>
      <c r="J15" s="874"/>
      <c r="K15" s="874" t="e">
        <f>VLOOKUP(C15,THCKT!$C$13:$AL$460,21,0)</f>
        <v>#N/A</v>
      </c>
      <c r="L15" s="883">
        <f>VLOOKUP(C15,THCKT!$C$13:$AL$460,22,0)</f>
        <v>0</v>
      </c>
      <c r="M15" s="883">
        <f>VLOOKUP(C15,THCKT!$C$13:$AL$460,23,0)</f>
        <v>0</v>
      </c>
      <c r="N15" s="883" t="e">
        <f t="shared" ref="N15:N46" si="1">$AI$8/$AI$7*K15+L15*$AI$9+M15*$AI$10</f>
        <v>#N/A</v>
      </c>
      <c r="O15" s="883" t="e">
        <f>Q15/((Q15/(N15*$F$9)*$F$8))</f>
        <v>#N/A</v>
      </c>
      <c r="P15" s="884" t="e">
        <f>VLOOKUP(C15,THCKT!$C$13:$AL$460,36,0)</f>
        <v>#N/A</v>
      </c>
      <c r="Q15" s="887" t="e">
        <f>ROUND((IF(P15="A",(K15*$AI$6*6.1),IF(P15="B",(K15*$AI$6*5.8),IF(P15="C",(K15*$AI$6*5.5),IF(P15="D",(K15*$AI$6*5.2),0))))*$F$9+(L15*$AI$9*$F$9*6.1)+M15*$F$9*$AI$10*6.1),0)</f>
        <v>#N/A</v>
      </c>
      <c r="R15" s="874" t="e">
        <f>VLOOKUP(C15,'LƯƠNG KT'!$D$15:$P$94,16,0)</f>
        <v>#N/A</v>
      </c>
      <c r="S15" s="874" t="e">
        <f>VLOOKUP(C15,'LƯƠNG KT'!$D$15:$P$94,17,0)</f>
        <v>#N/A</v>
      </c>
      <c r="T15" s="874" t="e">
        <f>VLOOKUP(C15,'LƯƠNG KT'!$D$15:$P$94,18,0)</f>
        <v>#N/A</v>
      </c>
      <c r="U15" s="874" t="e">
        <f>VLOOKUP(C15,'LƯƠNG KT'!$D$15:$P$94,18,0)</f>
        <v>#N/A</v>
      </c>
      <c r="V15" s="874" t="e">
        <f>VLOOKUP(C15,'LƯƠNG KT'!$D$15:$P$94,19,0)</f>
        <v>#N/A</v>
      </c>
      <c r="W15" s="874" t="e">
        <f>VLOOKUP(C15,'LƯƠNG KT'!$D$15:$P$94,20,0)</f>
        <v>#N/A</v>
      </c>
      <c r="X15" s="874" t="e">
        <f>VLOOKUP(C15,'LƯƠNG KT'!$D$15:$P$94,21,0)</f>
        <v>#N/A</v>
      </c>
      <c r="Y15" s="874" t="e">
        <f>VLOOKUP(C15,'LƯƠNG KT'!$D$15:$P$94,23,0)</f>
        <v>#N/A</v>
      </c>
      <c r="Z15" s="874" t="e">
        <f>VLOOKUP(C15,'LƯƠNG KT'!$D$15:$P$94,24,0)</f>
        <v>#N/A</v>
      </c>
      <c r="AA15" s="874">
        <v>20</v>
      </c>
      <c r="AB15" s="874"/>
      <c r="AC15" s="889" t="e">
        <f>ROUND((((R15*46.1)+(S15*76.9)+(X15*30.7)+(U15*46.1*2)+(V15*46.1*2)+(W15*76.9*2))*$F$8),0)+T15*10000+Y15*20000+Z15*20000+AA15*25000</f>
        <v>#N/A</v>
      </c>
      <c r="AD15" s="889" t="e">
        <f t="shared" ref="AD15:AD46" si="2">+AC15+Q15+G15</f>
        <v>#N/A</v>
      </c>
      <c r="AE15" s="889" t="e">
        <f t="shared" ref="AE15:AE85" si="3">AD15</f>
        <v>#N/A</v>
      </c>
      <c r="AF15" s="915"/>
      <c r="AG15" s="891"/>
      <c r="AH15" s="540" t="s">
        <v>2749</v>
      </c>
      <c r="AI15" s="637"/>
    </row>
    <row r="16" spans="1:37" s="540" customFormat="1" ht="21" customHeight="1">
      <c r="A16" s="868">
        <v>2</v>
      </c>
      <c r="B16" s="1644" t="str">
        <f>VLOOKUP(C16,'DS CN MOI UP'!$B$10:$C$389,2,0)</f>
        <v>02510</v>
      </c>
      <c r="C16" s="875" t="s">
        <v>43</v>
      </c>
      <c r="D16" s="875" t="s">
        <v>15</v>
      </c>
      <c r="E16" s="872"/>
      <c r="F16" s="873">
        <f>+VLOOKUP(C16,THCKT!$C$13:$AE$460,17,0)</f>
        <v>24</v>
      </c>
      <c r="G16" s="874">
        <f t="shared" si="0"/>
        <v>600000</v>
      </c>
      <c r="H16" s="874"/>
      <c r="I16" s="874"/>
      <c r="J16" s="874"/>
      <c r="K16" s="874" t="e">
        <f>VLOOKUP(C16,THCKT!$C$13:$AL$460,21,0)</f>
        <v>#N/A</v>
      </c>
      <c r="L16" s="883">
        <f>VLOOKUP(C16,THCKT!$C$13:$AL$460,22,0)</f>
        <v>0</v>
      </c>
      <c r="M16" s="883">
        <f>VLOOKUP(C16,THCKT!$C$13:$AL$460,23,0)</f>
        <v>0</v>
      </c>
      <c r="N16" s="883" t="e">
        <f t="shared" si="1"/>
        <v>#N/A</v>
      </c>
      <c r="O16" s="883" t="e">
        <f t="shared" ref="O16:O79" si="4">Q16/((Q16/(N16*$F$9)*$F$8))</f>
        <v>#N/A</v>
      </c>
      <c r="P16" s="884" t="e">
        <f>VLOOKUP(C16,THCKT!$C$13:$AL$460,36,0)</f>
        <v>#N/A</v>
      </c>
      <c r="Q16" s="887" t="e">
        <f t="shared" ref="Q16:Q79" si="5">ROUND((IF(P16="A",(K16*$AI$6*6.1),IF(P16="B",(K16*$AI$6*5.8),IF(P16="C",(K16*$AI$6*5.5),IF(P16="D",(K16*$AI$6*5.2),0))))*$F$9+(L16*$AI$9*$F$9*6.1)+M16*$F$9*$AI$10*6.1),0)</f>
        <v>#N/A</v>
      </c>
      <c r="R16" s="874" t="e">
        <f>VLOOKUP(C16,'LƯƠNG KT'!$D$15:$P$94,16,0)</f>
        <v>#N/A</v>
      </c>
      <c r="S16" s="874" t="e">
        <f>VLOOKUP(C16,'LƯƠNG KT'!$D$15:$P$94,17,0)</f>
        <v>#N/A</v>
      </c>
      <c r="T16" s="874" t="e">
        <f>VLOOKUP(C16,'LƯƠNG KT'!$D$15:$P$94,18,0)</f>
        <v>#N/A</v>
      </c>
      <c r="U16" s="874" t="e">
        <f>VLOOKUP(C16,'LƯƠNG KT'!$D$15:$P$94,18,0)</f>
        <v>#N/A</v>
      </c>
      <c r="V16" s="874" t="e">
        <f>VLOOKUP(C16,'LƯƠNG KT'!$D$15:$P$94,19,0)</f>
        <v>#N/A</v>
      </c>
      <c r="W16" s="874" t="e">
        <f>VLOOKUP(C16,'LƯƠNG KT'!$D$15:$P$94,20,0)</f>
        <v>#N/A</v>
      </c>
      <c r="X16" s="874" t="e">
        <f>VLOOKUP(C16,'LƯƠNG KT'!$D$15:$P$94,21,0)</f>
        <v>#N/A</v>
      </c>
      <c r="Y16" s="874" t="e">
        <f>VLOOKUP(C16,'LƯƠNG KT'!$D$15:$P$94,23,0)</f>
        <v>#N/A</v>
      </c>
      <c r="Z16" s="874" t="e">
        <f>VLOOKUP(C16,'LƯƠNG KT'!$D$15:$P$94,24,0)</f>
        <v>#N/A</v>
      </c>
      <c r="AA16" s="874">
        <v>20</v>
      </c>
      <c r="AB16" s="874"/>
      <c r="AC16" s="889" t="e">
        <f t="shared" ref="AC16:AC79" si="6">ROUND((((R16*46.1)+(S16*76.9)+(X16*30.7)+(U16*46.1*2)+(V16*46.1*2)+(W16*76.9*2))*$F$8),0)+T16*10000+Y16*20000+Z16*20000+AA16*25000</f>
        <v>#N/A</v>
      </c>
      <c r="AD16" s="889" t="e">
        <f t="shared" si="2"/>
        <v>#N/A</v>
      </c>
      <c r="AE16" s="889" t="e">
        <f t="shared" si="3"/>
        <v>#N/A</v>
      </c>
      <c r="AF16" s="915"/>
      <c r="AG16" s="891"/>
      <c r="AH16" s="941" t="s">
        <v>2749</v>
      </c>
      <c r="AI16" s="637" t="e">
        <f>+K101*AI6</f>
        <v>#N/A</v>
      </c>
    </row>
    <row r="17" spans="1:35" s="540" customFormat="1" ht="21" customHeight="1">
      <c r="A17" s="868">
        <v>3</v>
      </c>
      <c r="B17" s="1644" t="str">
        <f>VLOOKUP(C17,'DS CN MOI UP'!$B$10:$C$389,2,0)</f>
        <v>02450</v>
      </c>
      <c r="C17" s="875" t="s">
        <v>70</v>
      </c>
      <c r="D17" s="875" t="s">
        <v>15</v>
      </c>
      <c r="E17" s="872"/>
      <c r="F17" s="873">
        <f>+VLOOKUP(C17,THCKT!$C$13:$AE$460,17,0)</f>
        <v>24</v>
      </c>
      <c r="G17" s="874">
        <f t="shared" si="0"/>
        <v>600000</v>
      </c>
      <c r="H17" s="874"/>
      <c r="I17" s="874"/>
      <c r="J17" s="874"/>
      <c r="K17" s="874" t="e">
        <f>VLOOKUP(C17,THCKT!$C$13:$AL$460,21,0)</f>
        <v>#N/A</v>
      </c>
      <c r="L17" s="883">
        <f>VLOOKUP(C17,THCKT!$C$13:$AL$460,22,0)</f>
        <v>0</v>
      </c>
      <c r="M17" s="883">
        <f>VLOOKUP(C17,THCKT!$C$13:$AL$460,23,0)</f>
        <v>0</v>
      </c>
      <c r="N17" s="883" t="e">
        <f t="shared" si="1"/>
        <v>#N/A</v>
      </c>
      <c r="O17" s="883" t="e">
        <f t="shared" si="4"/>
        <v>#N/A</v>
      </c>
      <c r="P17" s="884" t="e">
        <f>VLOOKUP(C17,THCKT!$C$13:$AL$460,36,0)</f>
        <v>#N/A</v>
      </c>
      <c r="Q17" s="887" t="e">
        <f t="shared" si="5"/>
        <v>#N/A</v>
      </c>
      <c r="R17" s="874" t="e">
        <f>VLOOKUP(C17,'LƯƠNG KT'!$D$15:$P$94,16,0)</f>
        <v>#N/A</v>
      </c>
      <c r="S17" s="874" t="e">
        <f>VLOOKUP(C17,'LƯƠNG KT'!$D$15:$P$94,17,0)</f>
        <v>#N/A</v>
      </c>
      <c r="T17" s="874" t="e">
        <f>VLOOKUP(C17,'LƯƠNG KT'!$D$15:$P$94,18,0)</f>
        <v>#N/A</v>
      </c>
      <c r="U17" s="874" t="e">
        <f>VLOOKUP(C17,'LƯƠNG KT'!$D$15:$P$94,18,0)</f>
        <v>#N/A</v>
      </c>
      <c r="V17" s="874" t="e">
        <f>VLOOKUP(C17,'LƯƠNG KT'!$D$15:$P$94,19,0)</f>
        <v>#N/A</v>
      </c>
      <c r="W17" s="874" t="e">
        <f>VLOOKUP(C17,'LƯƠNG KT'!$D$15:$P$94,20,0)</f>
        <v>#N/A</v>
      </c>
      <c r="X17" s="874" t="e">
        <f>VLOOKUP(C17,'LƯƠNG KT'!$D$15:$P$94,21,0)</f>
        <v>#N/A</v>
      </c>
      <c r="Y17" s="874" t="e">
        <f>VLOOKUP(C17,'LƯƠNG KT'!$D$15:$P$94,23,0)</f>
        <v>#N/A</v>
      </c>
      <c r="Z17" s="874" t="e">
        <f>VLOOKUP(C17,'LƯƠNG KT'!$D$15:$P$94,24,0)</f>
        <v>#N/A</v>
      </c>
      <c r="AA17" s="874">
        <v>20</v>
      </c>
      <c r="AB17" s="874"/>
      <c r="AC17" s="889" t="e">
        <f t="shared" si="6"/>
        <v>#N/A</v>
      </c>
      <c r="AD17" s="889" t="e">
        <f t="shared" si="2"/>
        <v>#N/A</v>
      </c>
      <c r="AE17" s="889" t="e">
        <f t="shared" si="3"/>
        <v>#N/A</v>
      </c>
      <c r="AF17" s="915"/>
      <c r="AG17" s="891"/>
      <c r="AH17" s="540" t="s">
        <v>2749</v>
      </c>
      <c r="AI17" s="637"/>
    </row>
    <row r="18" spans="1:35" s="540" customFormat="1" ht="21" customHeight="1">
      <c r="A18" s="868">
        <v>4</v>
      </c>
      <c r="B18" s="1644" t="str">
        <f>VLOOKUP(C18,'DS CN MOI UP'!$B$10:$C$389,2,0)</f>
        <v>02454</v>
      </c>
      <c r="C18" s="875" t="s">
        <v>71</v>
      </c>
      <c r="D18" s="875" t="s">
        <v>15</v>
      </c>
      <c r="E18" s="872"/>
      <c r="F18" s="873">
        <f>+VLOOKUP(C18,THCKT!$C$13:$AE$460,17,0)</f>
        <v>24</v>
      </c>
      <c r="G18" s="874">
        <f t="shared" si="0"/>
        <v>600000</v>
      </c>
      <c r="H18" s="874"/>
      <c r="I18" s="874"/>
      <c r="J18" s="874"/>
      <c r="K18" s="874" t="e">
        <f>VLOOKUP(C18,THCKT!$C$13:$AL$460,21,0)</f>
        <v>#N/A</v>
      </c>
      <c r="L18" s="883">
        <f>VLOOKUP(C18,THCKT!$C$13:$AL$460,22,0)</f>
        <v>0</v>
      </c>
      <c r="M18" s="883">
        <f>VLOOKUP(C18,THCKT!$C$13:$AL$460,23,0)</f>
        <v>0</v>
      </c>
      <c r="N18" s="883" t="e">
        <f t="shared" si="1"/>
        <v>#N/A</v>
      </c>
      <c r="O18" s="883" t="e">
        <f t="shared" si="4"/>
        <v>#N/A</v>
      </c>
      <c r="P18" s="884" t="e">
        <f>VLOOKUP(C18,THCKT!$C$13:$AL$460,36,0)</f>
        <v>#N/A</v>
      </c>
      <c r="Q18" s="887" t="e">
        <f t="shared" si="5"/>
        <v>#N/A</v>
      </c>
      <c r="R18" s="874" t="e">
        <f>VLOOKUP(C18,'LƯƠNG KT'!$D$15:$P$94,16,0)</f>
        <v>#N/A</v>
      </c>
      <c r="S18" s="874" t="e">
        <f>VLOOKUP(C18,'LƯƠNG KT'!$D$15:$P$94,17,0)</f>
        <v>#N/A</v>
      </c>
      <c r="T18" s="874" t="e">
        <f>VLOOKUP(C18,'LƯƠNG KT'!$D$15:$P$94,18,0)</f>
        <v>#N/A</v>
      </c>
      <c r="U18" s="874" t="e">
        <f>VLOOKUP(C18,'LƯƠNG KT'!$D$15:$P$94,18,0)</f>
        <v>#N/A</v>
      </c>
      <c r="V18" s="874" t="e">
        <f>VLOOKUP(C18,'LƯƠNG KT'!$D$15:$P$94,19,0)</f>
        <v>#N/A</v>
      </c>
      <c r="W18" s="874" t="e">
        <f>VLOOKUP(C18,'LƯƠNG KT'!$D$15:$P$94,20,0)</f>
        <v>#N/A</v>
      </c>
      <c r="X18" s="874" t="e">
        <f>VLOOKUP(C18,'LƯƠNG KT'!$D$15:$P$94,21,0)</f>
        <v>#N/A</v>
      </c>
      <c r="Y18" s="874" t="e">
        <f>VLOOKUP(C18,'LƯƠNG KT'!$D$15:$P$94,23,0)</f>
        <v>#N/A</v>
      </c>
      <c r="Z18" s="874" t="e">
        <f>VLOOKUP(C18,'LƯƠNG KT'!$D$15:$P$94,24,0)</f>
        <v>#N/A</v>
      </c>
      <c r="AA18" s="874">
        <v>20</v>
      </c>
      <c r="AB18" s="874"/>
      <c r="AC18" s="889" t="e">
        <f t="shared" si="6"/>
        <v>#N/A</v>
      </c>
      <c r="AD18" s="889" t="e">
        <f t="shared" si="2"/>
        <v>#N/A</v>
      </c>
      <c r="AE18" s="889" t="e">
        <f t="shared" si="3"/>
        <v>#N/A</v>
      </c>
      <c r="AF18" s="915"/>
      <c r="AG18" s="891"/>
      <c r="AH18" s="941" t="s">
        <v>2749</v>
      </c>
      <c r="AI18" s="637"/>
    </row>
    <row r="19" spans="1:35" s="540" customFormat="1" ht="21" customHeight="1">
      <c r="A19" s="868">
        <v>5</v>
      </c>
      <c r="B19" s="1644" t="str">
        <f>VLOOKUP(C19,'DS CN MOI UP'!$B$10:$C$389,2,0)</f>
        <v>03331</v>
      </c>
      <c r="C19" s="875" t="s">
        <v>486</v>
      </c>
      <c r="D19" s="875" t="s">
        <v>15</v>
      </c>
      <c r="E19" s="872"/>
      <c r="F19" s="873">
        <f>+VLOOKUP(C19,THCKT!$C$13:$AE$460,17,0)</f>
        <v>24</v>
      </c>
      <c r="G19" s="874">
        <f t="shared" si="0"/>
        <v>600000</v>
      </c>
      <c r="H19" s="874"/>
      <c r="I19" s="874"/>
      <c r="J19" s="874"/>
      <c r="K19" s="874" t="e">
        <f>VLOOKUP(C19,THCKT!$C$13:$AL$460,21,0)</f>
        <v>#N/A</v>
      </c>
      <c r="L19" s="883">
        <f>VLOOKUP(C19,THCKT!$C$13:$AL$460,22,0)</f>
        <v>0</v>
      </c>
      <c r="M19" s="883">
        <f>VLOOKUP(C19,THCKT!$C$13:$AL$460,23,0)</f>
        <v>0</v>
      </c>
      <c r="N19" s="883" t="e">
        <f t="shared" si="1"/>
        <v>#N/A</v>
      </c>
      <c r="O19" s="883" t="e">
        <f t="shared" si="4"/>
        <v>#N/A</v>
      </c>
      <c r="P19" s="884" t="e">
        <f>VLOOKUP(C19,THCKT!$C$13:$AL$460,36,0)</f>
        <v>#N/A</v>
      </c>
      <c r="Q19" s="887" t="e">
        <f t="shared" si="5"/>
        <v>#N/A</v>
      </c>
      <c r="R19" s="874" t="e">
        <f>VLOOKUP(C19,'LƯƠNG KT'!$D$15:$P$94,16,0)</f>
        <v>#N/A</v>
      </c>
      <c r="S19" s="874" t="e">
        <f>VLOOKUP(C19,'LƯƠNG KT'!$D$15:$P$94,17,0)</f>
        <v>#N/A</v>
      </c>
      <c r="T19" s="874" t="e">
        <f>VLOOKUP(C19,'LƯƠNG KT'!$D$15:$P$94,18,0)</f>
        <v>#N/A</v>
      </c>
      <c r="U19" s="874" t="e">
        <f>VLOOKUP(C19,'LƯƠNG KT'!$D$15:$P$94,18,0)</f>
        <v>#N/A</v>
      </c>
      <c r="V19" s="874" t="e">
        <f>VLOOKUP(C19,'LƯƠNG KT'!$D$15:$P$94,19,0)</f>
        <v>#N/A</v>
      </c>
      <c r="W19" s="874" t="e">
        <f>VLOOKUP(C19,'LƯƠNG KT'!$D$15:$P$94,20,0)</f>
        <v>#N/A</v>
      </c>
      <c r="X19" s="874" t="e">
        <f>VLOOKUP(C19,'LƯƠNG KT'!$D$15:$P$94,21,0)</f>
        <v>#N/A</v>
      </c>
      <c r="Y19" s="874" t="e">
        <f>VLOOKUP(C19,'LƯƠNG KT'!$D$15:$P$94,23,0)</f>
        <v>#N/A</v>
      </c>
      <c r="Z19" s="874" t="e">
        <f>VLOOKUP(C19,'LƯƠNG KT'!$D$15:$P$94,24,0)</f>
        <v>#N/A</v>
      </c>
      <c r="AA19" s="874">
        <v>20</v>
      </c>
      <c r="AB19" s="874"/>
      <c r="AC19" s="889" t="e">
        <f t="shared" si="6"/>
        <v>#N/A</v>
      </c>
      <c r="AD19" s="889" t="e">
        <f t="shared" si="2"/>
        <v>#N/A</v>
      </c>
      <c r="AE19" s="889" t="e">
        <f t="shared" si="3"/>
        <v>#N/A</v>
      </c>
      <c r="AF19" s="915"/>
      <c r="AG19" s="891"/>
      <c r="AH19" s="540" t="s">
        <v>2749</v>
      </c>
      <c r="AI19" s="637"/>
    </row>
    <row r="20" spans="1:35" s="540" customFormat="1" ht="21" customHeight="1">
      <c r="A20" s="868">
        <v>6</v>
      </c>
      <c r="B20" s="1644" t="str">
        <f>VLOOKUP(C20,'DS CN MOI UP'!$B$10:$C$389,2,0)</f>
        <v>02474</v>
      </c>
      <c r="C20" s="875" t="s">
        <v>57</v>
      </c>
      <c r="D20" s="875" t="s">
        <v>15</v>
      </c>
      <c r="E20" s="872"/>
      <c r="F20" s="873">
        <f>+VLOOKUP(C20,THCKT!$C$13:$AE$460,17,0)</f>
        <v>24</v>
      </c>
      <c r="G20" s="874">
        <f t="shared" si="0"/>
        <v>600000</v>
      </c>
      <c r="H20" s="874"/>
      <c r="I20" s="874"/>
      <c r="J20" s="874"/>
      <c r="K20" s="874" t="e">
        <f>VLOOKUP(C20,THCKT!$C$13:$AL$460,21,0)</f>
        <v>#N/A</v>
      </c>
      <c r="L20" s="883">
        <f>VLOOKUP(C20,THCKT!$C$13:$AL$460,22,0)</f>
        <v>0</v>
      </c>
      <c r="M20" s="883">
        <f>VLOOKUP(C20,THCKT!$C$13:$AL$460,23,0)</f>
        <v>0</v>
      </c>
      <c r="N20" s="883" t="e">
        <f t="shared" si="1"/>
        <v>#N/A</v>
      </c>
      <c r="O20" s="883" t="e">
        <f t="shared" si="4"/>
        <v>#N/A</v>
      </c>
      <c r="P20" s="884" t="e">
        <f>VLOOKUP(C20,THCKT!$C$13:$AL$460,36,0)</f>
        <v>#N/A</v>
      </c>
      <c r="Q20" s="887" t="e">
        <f t="shared" si="5"/>
        <v>#N/A</v>
      </c>
      <c r="R20" s="874" t="e">
        <f>VLOOKUP(C20,'LƯƠNG KT'!$D$15:$P$94,16,0)</f>
        <v>#N/A</v>
      </c>
      <c r="S20" s="874" t="e">
        <f>VLOOKUP(C20,'LƯƠNG KT'!$D$15:$P$94,17,0)</f>
        <v>#N/A</v>
      </c>
      <c r="T20" s="874" t="e">
        <f>VLOOKUP(C20,'LƯƠNG KT'!$D$15:$P$94,18,0)</f>
        <v>#N/A</v>
      </c>
      <c r="U20" s="874" t="e">
        <f>VLOOKUP(C20,'LƯƠNG KT'!$D$15:$P$94,18,0)</f>
        <v>#N/A</v>
      </c>
      <c r="V20" s="874" t="e">
        <f>VLOOKUP(C20,'LƯƠNG KT'!$D$15:$P$94,19,0)</f>
        <v>#N/A</v>
      </c>
      <c r="W20" s="874" t="e">
        <f>VLOOKUP(C20,'LƯƠNG KT'!$D$15:$P$94,20,0)</f>
        <v>#N/A</v>
      </c>
      <c r="X20" s="874" t="e">
        <f>VLOOKUP(C20,'LƯƠNG KT'!$D$15:$P$94,21,0)</f>
        <v>#N/A</v>
      </c>
      <c r="Y20" s="874" t="e">
        <f>VLOOKUP(C20,'LƯƠNG KT'!$D$15:$P$94,23,0)</f>
        <v>#N/A</v>
      </c>
      <c r="Z20" s="874" t="e">
        <f>VLOOKUP(C20,'LƯƠNG KT'!$D$15:$P$94,24,0)</f>
        <v>#N/A</v>
      </c>
      <c r="AA20" s="874">
        <v>20</v>
      </c>
      <c r="AB20" s="874"/>
      <c r="AC20" s="889" t="e">
        <f t="shared" si="6"/>
        <v>#N/A</v>
      </c>
      <c r="AD20" s="889" t="e">
        <f t="shared" si="2"/>
        <v>#N/A</v>
      </c>
      <c r="AE20" s="889" t="e">
        <f t="shared" si="3"/>
        <v>#N/A</v>
      </c>
      <c r="AF20" s="915"/>
      <c r="AG20" s="891"/>
      <c r="AH20" s="941" t="s">
        <v>2749</v>
      </c>
      <c r="AI20" s="637"/>
    </row>
    <row r="21" spans="1:35" s="540" customFormat="1" ht="21" customHeight="1">
      <c r="A21" s="868">
        <v>7</v>
      </c>
      <c r="B21" s="869" t="e">
        <f>VLOOKUP(C21,'DS CN MOI UP'!$B$10:$C$389,2,0)</f>
        <v>#N/A</v>
      </c>
      <c r="C21" s="875" t="s">
        <v>2644</v>
      </c>
      <c r="D21" s="875" t="s">
        <v>15</v>
      </c>
      <c r="E21" s="872"/>
      <c r="F21" s="873">
        <f>+VLOOKUP(C21,THCKT!$C$13:$AE$460,17,0)</f>
        <v>24</v>
      </c>
      <c r="G21" s="874">
        <f t="shared" si="0"/>
        <v>600000</v>
      </c>
      <c r="H21" s="874"/>
      <c r="I21" s="874"/>
      <c r="J21" s="874"/>
      <c r="K21" s="874" t="e">
        <f>VLOOKUP(C21,THCKT!$C$13:$AL$460,21,0)</f>
        <v>#N/A</v>
      </c>
      <c r="L21" s="883">
        <f>VLOOKUP(C21,THCKT!$C$13:$AL$460,22,0)</f>
        <v>0</v>
      </c>
      <c r="M21" s="883">
        <f>VLOOKUP(C21,THCKT!$C$13:$AL$460,23,0)</f>
        <v>0</v>
      </c>
      <c r="N21" s="883" t="e">
        <f t="shared" si="1"/>
        <v>#N/A</v>
      </c>
      <c r="O21" s="883" t="e">
        <f t="shared" si="4"/>
        <v>#N/A</v>
      </c>
      <c r="P21" s="884" t="e">
        <f>VLOOKUP(C21,THCKT!$C$13:$AL$460,36,0)</f>
        <v>#N/A</v>
      </c>
      <c r="Q21" s="887" t="e">
        <f t="shared" si="5"/>
        <v>#N/A</v>
      </c>
      <c r="R21" s="874" t="e">
        <f>VLOOKUP(C21,'LƯƠNG KT'!$D$15:$P$94,16,0)</f>
        <v>#N/A</v>
      </c>
      <c r="S21" s="874" t="e">
        <f>VLOOKUP(C21,'LƯƠNG KT'!$D$15:$P$94,17,0)</f>
        <v>#N/A</v>
      </c>
      <c r="T21" s="874" t="e">
        <f>VLOOKUP(C21,'LƯƠNG KT'!$D$15:$P$94,18,0)</f>
        <v>#N/A</v>
      </c>
      <c r="U21" s="874" t="e">
        <f>VLOOKUP(C21,'LƯƠNG KT'!$D$15:$P$94,18,0)</f>
        <v>#N/A</v>
      </c>
      <c r="V21" s="874" t="e">
        <f>VLOOKUP(C21,'LƯƠNG KT'!$D$15:$P$94,19,0)</f>
        <v>#N/A</v>
      </c>
      <c r="W21" s="874" t="e">
        <f>VLOOKUP(C21,'LƯƠNG KT'!$D$15:$P$94,20,0)</f>
        <v>#N/A</v>
      </c>
      <c r="X21" s="874" t="e">
        <f>VLOOKUP(C21,'LƯƠNG KT'!$D$15:$P$94,21,0)</f>
        <v>#N/A</v>
      </c>
      <c r="Y21" s="874" t="e">
        <f>VLOOKUP(C21,'LƯƠNG KT'!$D$15:$P$94,23,0)</f>
        <v>#N/A</v>
      </c>
      <c r="Z21" s="874" t="e">
        <f>VLOOKUP(C21,'LƯƠNG KT'!$D$15:$P$94,24,0)</f>
        <v>#N/A</v>
      </c>
      <c r="AA21" s="874">
        <v>20</v>
      </c>
      <c r="AB21" s="874"/>
      <c r="AC21" s="889" t="e">
        <f t="shared" si="6"/>
        <v>#N/A</v>
      </c>
      <c r="AD21" s="889" t="e">
        <f t="shared" si="2"/>
        <v>#N/A</v>
      </c>
      <c r="AE21" s="889" t="e">
        <f t="shared" si="3"/>
        <v>#N/A</v>
      </c>
      <c r="AF21" s="915"/>
      <c r="AG21" s="891"/>
      <c r="AH21" s="540" t="s">
        <v>2749</v>
      </c>
      <c r="AI21" s="637"/>
    </row>
    <row r="22" spans="1:35" s="540" customFormat="1" ht="21" customHeight="1">
      <c r="A22" s="868">
        <v>8</v>
      </c>
      <c r="B22" s="1644" t="str">
        <f>VLOOKUP(C22,'DS CN MOI UP'!$B$10:$C$389,2,0)</f>
        <v>02471</v>
      </c>
      <c r="C22" s="875" t="s">
        <v>18</v>
      </c>
      <c r="D22" s="875" t="s">
        <v>15</v>
      </c>
      <c r="E22" s="872"/>
      <c r="F22" s="873">
        <f>+VLOOKUP(C22,THCKT!$C$13:$AE$460,17,0)</f>
        <v>24</v>
      </c>
      <c r="G22" s="874">
        <f t="shared" si="0"/>
        <v>600000</v>
      </c>
      <c r="H22" s="874"/>
      <c r="I22" s="874"/>
      <c r="J22" s="874"/>
      <c r="K22" s="874" t="e">
        <f>VLOOKUP(C22,THCKT!$C$13:$AL$460,21,0)</f>
        <v>#N/A</v>
      </c>
      <c r="L22" s="883">
        <f>VLOOKUP(C22,THCKT!$C$13:$AL$460,22,0)</f>
        <v>0</v>
      </c>
      <c r="M22" s="883">
        <f>VLOOKUP(C22,THCKT!$C$13:$AL$460,23,0)</f>
        <v>0</v>
      </c>
      <c r="N22" s="883" t="e">
        <f t="shared" si="1"/>
        <v>#N/A</v>
      </c>
      <c r="O22" s="883" t="e">
        <f t="shared" si="4"/>
        <v>#N/A</v>
      </c>
      <c r="P22" s="884" t="e">
        <f>VLOOKUP(C22,THCKT!$C$13:$AL$460,36,0)</f>
        <v>#N/A</v>
      </c>
      <c r="Q22" s="887" t="e">
        <f t="shared" si="5"/>
        <v>#N/A</v>
      </c>
      <c r="R22" s="874" t="e">
        <f>VLOOKUP(C22,'LƯƠNG KT'!$D$15:$P$94,16,0)</f>
        <v>#N/A</v>
      </c>
      <c r="S22" s="874" t="e">
        <f>VLOOKUP(C22,'LƯƠNG KT'!$D$15:$P$94,17,0)</f>
        <v>#N/A</v>
      </c>
      <c r="T22" s="874" t="e">
        <f>VLOOKUP(C22,'LƯƠNG KT'!$D$15:$P$94,18,0)</f>
        <v>#N/A</v>
      </c>
      <c r="U22" s="874" t="e">
        <f>VLOOKUP(C22,'LƯƠNG KT'!$D$15:$P$94,18,0)</f>
        <v>#N/A</v>
      </c>
      <c r="V22" s="874" t="e">
        <f>VLOOKUP(C22,'LƯƠNG KT'!$D$15:$P$94,19,0)</f>
        <v>#N/A</v>
      </c>
      <c r="W22" s="874" t="e">
        <f>VLOOKUP(C22,'LƯƠNG KT'!$D$15:$P$94,20,0)</f>
        <v>#N/A</v>
      </c>
      <c r="X22" s="874" t="e">
        <f>VLOOKUP(C22,'LƯƠNG KT'!$D$15:$P$94,21,0)</f>
        <v>#N/A</v>
      </c>
      <c r="Y22" s="874" t="e">
        <f>VLOOKUP(C22,'LƯƠNG KT'!$D$15:$P$94,23,0)</f>
        <v>#N/A</v>
      </c>
      <c r="Z22" s="874" t="e">
        <f>VLOOKUP(C22,'LƯƠNG KT'!$D$15:$P$94,24,0)</f>
        <v>#N/A</v>
      </c>
      <c r="AA22" s="874">
        <v>20</v>
      </c>
      <c r="AB22" s="874"/>
      <c r="AC22" s="889" t="e">
        <f t="shared" si="6"/>
        <v>#N/A</v>
      </c>
      <c r="AD22" s="889" t="e">
        <f t="shared" si="2"/>
        <v>#N/A</v>
      </c>
      <c r="AE22" s="889" t="e">
        <f t="shared" si="3"/>
        <v>#N/A</v>
      </c>
      <c r="AF22" s="915"/>
      <c r="AG22" s="891"/>
      <c r="AH22" s="941" t="s">
        <v>2749</v>
      </c>
      <c r="AI22" s="637"/>
    </row>
    <row r="23" spans="1:35" s="540" customFormat="1" ht="21" customHeight="1">
      <c r="A23" s="868">
        <v>9</v>
      </c>
      <c r="B23" s="1644" t="str">
        <f>VLOOKUP(C23,'DS CN MOI UP'!$B$10:$C$389,2,0)</f>
        <v>02488</v>
      </c>
      <c r="C23" s="875" t="s">
        <v>35</v>
      </c>
      <c r="D23" s="875" t="s">
        <v>15</v>
      </c>
      <c r="E23" s="872"/>
      <c r="F23" s="873">
        <f>+VLOOKUP(C23,THCKT!$C$13:$AE$460,17,0)</f>
        <v>24</v>
      </c>
      <c r="G23" s="874">
        <f t="shared" si="0"/>
        <v>600000</v>
      </c>
      <c r="H23" s="874"/>
      <c r="I23" s="874"/>
      <c r="J23" s="874"/>
      <c r="K23" s="874" t="e">
        <f>VLOOKUP(C23,THCKT!$C$13:$AL$460,21,0)</f>
        <v>#N/A</v>
      </c>
      <c r="L23" s="883">
        <f>VLOOKUP(C23,THCKT!$C$13:$AL$460,22,0)</f>
        <v>0</v>
      </c>
      <c r="M23" s="883">
        <f>VLOOKUP(C23,THCKT!$C$13:$AL$460,23,0)</f>
        <v>0</v>
      </c>
      <c r="N23" s="883" t="e">
        <f t="shared" si="1"/>
        <v>#N/A</v>
      </c>
      <c r="O23" s="883"/>
      <c r="P23" s="884" t="e">
        <f>VLOOKUP(C23,THCKT!$C$13:$AL$460,36,0)</f>
        <v>#N/A</v>
      </c>
      <c r="Q23" s="887" t="e">
        <f t="shared" si="5"/>
        <v>#N/A</v>
      </c>
      <c r="R23" s="874" t="e">
        <f>VLOOKUP(C23,'LƯƠNG KT'!$D$15:$P$94,16,0)</f>
        <v>#N/A</v>
      </c>
      <c r="S23" s="874" t="e">
        <f>VLOOKUP(C23,'LƯƠNG KT'!$D$15:$P$94,17,0)</f>
        <v>#N/A</v>
      </c>
      <c r="T23" s="874" t="e">
        <f>VLOOKUP(C23,'LƯƠNG KT'!$D$15:$P$94,18,0)</f>
        <v>#N/A</v>
      </c>
      <c r="U23" s="874" t="e">
        <f>VLOOKUP(C23,'LƯƠNG KT'!$D$15:$P$94,18,0)</f>
        <v>#N/A</v>
      </c>
      <c r="V23" s="874" t="e">
        <f>VLOOKUP(C23,'LƯƠNG KT'!$D$15:$P$94,19,0)</f>
        <v>#N/A</v>
      </c>
      <c r="W23" s="874" t="e">
        <f>VLOOKUP(C23,'LƯƠNG KT'!$D$15:$P$94,20,0)</f>
        <v>#N/A</v>
      </c>
      <c r="X23" s="874" t="e">
        <f>VLOOKUP(C23,'LƯƠNG KT'!$D$15:$P$94,21,0)</f>
        <v>#N/A</v>
      </c>
      <c r="Y23" s="874" t="e">
        <f>VLOOKUP(C23,'LƯƠNG KT'!$D$15:$P$94,23,0)</f>
        <v>#N/A</v>
      </c>
      <c r="Z23" s="874" t="e">
        <f>VLOOKUP(C23,'LƯƠNG KT'!$D$15:$P$94,24,0)</f>
        <v>#N/A</v>
      </c>
      <c r="AA23" s="874">
        <v>20</v>
      </c>
      <c r="AB23" s="874"/>
      <c r="AC23" s="889" t="e">
        <f t="shared" si="6"/>
        <v>#N/A</v>
      </c>
      <c r="AD23" s="889" t="e">
        <f t="shared" si="2"/>
        <v>#N/A</v>
      </c>
      <c r="AE23" s="889" t="e">
        <f t="shared" si="3"/>
        <v>#N/A</v>
      </c>
      <c r="AF23" s="915"/>
      <c r="AG23" s="891"/>
      <c r="AH23" s="540" t="s">
        <v>2749</v>
      </c>
      <c r="AI23" s="637"/>
    </row>
    <row r="24" spans="1:35" s="540" customFormat="1" ht="21" customHeight="1">
      <c r="A24" s="868">
        <v>10</v>
      </c>
      <c r="B24" s="869" t="e">
        <f>VLOOKUP(C24,'DS CN MOI UP'!$B$10:$C$389,2,0)</f>
        <v>#N/A</v>
      </c>
      <c r="C24" s="875" t="s">
        <v>1336</v>
      </c>
      <c r="D24" s="875" t="s">
        <v>15</v>
      </c>
      <c r="E24" s="872"/>
      <c r="F24" s="873">
        <f>+VLOOKUP(C24,THCKT!$C$13:$AE$460,17,0)</f>
        <v>24</v>
      </c>
      <c r="G24" s="874">
        <f t="shared" si="0"/>
        <v>600000</v>
      </c>
      <c r="H24" s="874"/>
      <c r="I24" s="874"/>
      <c r="J24" s="874"/>
      <c r="K24" s="874" t="e">
        <f>VLOOKUP(C24,THCKT!$C$13:$AL$460,21,0)</f>
        <v>#N/A</v>
      </c>
      <c r="L24" s="883">
        <f>VLOOKUP(C24,THCKT!$C$13:$AL$460,22,0)</f>
        <v>0</v>
      </c>
      <c r="M24" s="883">
        <f>VLOOKUP(C24,THCKT!$C$13:$AL$460,23,0)</f>
        <v>0</v>
      </c>
      <c r="N24" s="883" t="e">
        <f t="shared" si="1"/>
        <v>#N/A</v>
      </c>
      <c r="O24" s="883" t="e">
        <f t="shared" si="4"/>
        <v>#N/A</v>
      </c>
      <c r="P24" s="884" t="e">
        <f>VLOOKUP(C24,THCKT!$C$13:$AL$460,36,0)</f>
        <v>#N/A</v>
      </c>
      <c r="Q24" s="887" t="e">
        <f t="shared" si="5"/>
        <v>#N/A</v>
      </c>
      <c r="R24" s="874" t="e">
        <f>VLOOKUP(C24,'LƯƠNG KT'!$D$15:$P$94,16,0)</f>
        <v>#N/A</v>
      </c>
      <c r="S24" s="874" t="e">
        <f>VLOOKUP(C24,'LƯƠNG KT'!$D$15:$P$94,17,0)</f>
        <v>#N/A</v>
      </c>
      <c r="T24" s="874" t="e">
        <f>VLOOKUP(C24,'LƯƠNG KT'!$D$15:$P$94,18,0)</f>
        <v>#N/A</v>
      </c>
      <c r="U24" s="874" t="e">
        <f>VLOOKUP(C24,'LƯƠNG KT'!$D$15:$P$94,18,0)</f>
        <v>#N/A</v>
      </c>
      <c r="V24" s="874" t="e">
        <f>VLOOKUP(C24,'LƯƠNG KT'!$D$15:$P$94,19,0)</f>
        <v>#N/A</v>
      </c>
      <c r="W24" s="874" t="e">
        <f>VLOOKUP(C24,'LƯƠNG KT'!$D$15:$P$94,20,0)</f>
        <v>#N/A</v>
      </c>
      <c r="X24" s="874" t="e">
        <f>VLOOKUP(C24,'LƯƠNG KT'!$D$15:$P$94,21,0)</f>
        <v>#N/A</v>
      </c>
      <c r="Y24" s="874" t="e">
        <f>VLOOKUP(C24,'LƯƠNG KT'!$D$15:$P$94,23,0)</f>
        <v>#N/A</v>
      </c>
      <c r="Z24" s="874" t="e">
        <f>VLOOKUP(C24,'LƯƠNG KT'!$D$15:$P$94,24,0)</f>
        <v>#N/A</v>
      </c>
      <c r="AA24" s="874">
        <v>20</v>
      </c>
      <c r="AB24" s="874"/>
      <c r="AC24" s="889" t="e">
        <f t="shared" si="6"/>
        <v>#N/A</v>
      </c>
      <c r="AD24" s="889" t="e">
        <f t="shared" si="2"/>
        <v>#N/A</v>
      </c>
      <c r="AE24" s="889" t="e">
        <f t="shared" si="3"/>
        <v>#N/A</v>
      </c>
      <c r="AF24" s="915"/>
      <c r="AG24" s="891"/>
      <c r="AH24" s="941" t="s">
        <v>2749</v>
      </c>
      <c r="AI24" s="637"/>
    </row>
    <row r="25" spans="1:35" s="540" customFormat="1" ht="21" customHeight="1">
      <c r="A25" s="868">
        <v>11</v>
      </c>
      <c r="B25" s="1644" t="str">
        <f>VLOOKUP(C25,'DS CN MOI UP'!$B$10:$C$389,2,0)</f>
        <v>03338</v>
      </c>
      <c r="C25" s="875" t="s">
        <v>85</v>
      </c>
      <c r="D25" s="875" t="s">
        <v>15</v>
      </c>
      <c r="E25" s="872"/>
      <c r="F25" s="873">
        <f>+VLOOKUP(C25,THCKT!$C$13:$AE$460,17,0)</f>
        <v>24</v>
      </c>
      <c r="G25" s="874">
        <f t="shared" si="0"/>
        <v>600000</v>
      </c>
      <c r="H25" s="874"/>
      <c r="I25" s="874"/>
      <c r="J25" s="874"/>
      <c r="K25" s="874" t="e">
        <f>VLOOKUP(C25,THCKT!$C$13:$AL$460,21,0)</f>
        <v>#N/A</v>
      </c>
      <c r="L25" s="883">
        <f>VLOOKUP(C25,THCKT!$C$13:$AL$460,22,0)</f>
        <v>0</v>
      </c>
      <c r="M25" s="883">
        <f>VLOOKUP(C25,THCKT!$C$13:$AL$460,23,0)</f>
        <v>0</v>
      </c>
      <c r="N25" s="883" t="e">
        <f t="shared" si="1"/>
        <v>#N/A</v>
      </c>
      <c r="O25" s="883" t="e">
        <f t="shared" si="4"/>
        <v>#N/A</v>
      </c>
      <c r="P25" s="884" t="e">
        <f>VLOOKUP(C25,THCKT!$C$13:$AL$460,36,0)</f>
        <v>#N/A</v>
      </c>
      <c r="Q25" s="887" t="e">
        <f t="shared" si="5"/>
        <v>#N/A</v>
      </c>
      <c r="R25" s="874" t="e">
        <f>VLOOKUP(C25,'LƯƠNG KT'!$D$15:$P$94,16,0)</f>
        <v>#N/A</v>
      </c>
      <c r="S25" s="874" t="e">
        <f>VLOOKUP(C25,'LƯƠNG KT'!$D$15:$P$94,17,0)</f>
        <v>#N/A</v>
      </c>
      <c r="T25" s="874" t="e">
        <f>VLOOKUP(C25,'LƯƠNG KT'!$D$15:$P$94,18,0)</f>
        <v>#N/A</v>
      </c>
      <c r="U25" s="874" t="e">
        <f>VLOOKUP(C25,'LƯƠNG KT'!$D$15:$P$94,18,0)</f>
        <v>#N/A</v>
      </c>
      <c r="V25" s="874" t="e">
        <f>VLOOKUP(C25,'LƯƠNG KT'!$D$15:$P$94,19,0)</f>
        <v>#N/A</v>
      </c>
      <c r="W25" s="874" t="e">
        <f>VLOOKUP(C25,'LƯƠNG KT'!$D$15:$P$94,20,0)</f>
        <v>#N/A</v>
      </c>
      <c r="X25" s="874" t="e">
        <f>VLOOKUP(C25,'LƯƠNG KT'!$D$15:$P$94,21,0)</f>
        <v>#N/A</v>
      </c>
      <c r="Y25" s="874" t="e">
        <f>VLOOKUP(C25,'LƯƠNG KT'!$D$15:$P$94,23,0)</f>
        <v>#N/A</v>
      </c>
      <c r="Z25" s="874" t="e">
        <f>VLOOKUP(C25,'LƯƠNG KT'!$D$15:$P$94,24,0)</f>
        <v>#N/A</v>
      </c>
      <c r="AA25" s="874">
        <v>20</v>
      </c>
      <c r="AB25" s="874"/>
      <c r="AC25" s="889" t="e">
        <f t="shared" si="6"/>
        <v>#N/A</v>
      </c>
      <c r="AD25" s="889" t="e">
        <f t="shared" si="2"/>
        <v>#N/A</v>
      </c>
      <c r="AE25" s="889" t="e">
        <f t="shared" si="3"/>
        <v>#N/A</v>
      </c>
      <c r="AF25" s="915"/>
      <c r="AG25" s="891"/>
      <c r="AH25" s="540" t="s">
        <v>2749</v>
      </c>
      <c r="AI25" s="637"/>
    </row>
    <row r="26" spans="1:35" s="540" customFormat="1" ht="21" customHeight="1">
      <c r="A26" s="868">
        <v>12</v>
      </c>
      <c r="B26" s="869" t="e">
        <f>VLOOKUP(C26,'DS CN MOI UP'!$B$10:$C$389,2,0)</f>
        <v>#N/A</v>
      </c>
      <c r="C26" s="875" t="s">
        <v>556</v>
      </c>
      <c r="D26" s="875" t="s">
        <v>15</v>
      </c>
      <c r="E26" s="872"/>
      <c r="F26" s="873">
        <f>+VLOOKUP(C26,THCKT!$C$13:$AE$460,17,0)</f>
        <v>24</v>
      </c>
      <c r="G26" s="874">
        <f t="shared" si="0"/>
        <v>600000</v>
      </c>
      <c r="H26" s="874"/>
      <c r="I26" s="874"/>
      <c r="J26" s="874"/>
      <c r="K26" s="874" t="e">
        <f>VLOOKUP(C26,THCKT!$C$13:$AL$460,21,0)</f>
        <v>#N/A</v>
      </c>
      <c r="L26" s="883">
        <f>VLOOKUP(C26,THCKT!$C$13:$AL$460,22,0)</f>
        <v>0</v>
      </c>
      <c r="M26" s="883">
        <f>VLOOKUP(C26,THCKT!$C$13:$AL$460,23,0)</f>
        <v>0</v>
      </c>
      <c r="N26" s="883" t="e">
        <f t="shared" si="1"/>
        <v>#N/A</v>
      </c>
      <c r="O26" s="883" t="e">
        <f t="shared" si="4"/>
        <v>#N/A</v>
      </c>
      <c r="P26" s="884" t="e">
        <f>VLOOKUP(C26,THCKT!$C$13:$AL$460,36,0)</f>
        <v>#N/A</v>
      </c>
      <c r="Q26" s="887" t="e">
        <f t="shared" si="5"/>
        <v>#N/A</v>
      </c>
      <c r="R26" s="874" t="e">
        <f>VLOOKUP(C26,'LƯƠNG KT'!$D$15:$P$94,16,0)</f>
        <v>#N/A</v>
      </c>
      <c r="S26" s="874" t="e">
        <f>VLOOKUP(C26,'LƯƠNG KT'!$D$15:$P$94,17,0)</f>
        <v>#N/A</v>
      </c>
      <c r="T26" s="874" t="e">
        <f>VLOOKUP(C26,'LƯƠNG KT'!$D$15:$P$94,18,0)</f>
        <v>#N/A</v>
      </c>
      <c r="U26" s="874" t="e">
        <f>VLOOKUP(C26,'LƯƠNG KT'!$D$15:$P$94,18,0)</f>
        <v>#N/A</v>
      </c>
      <c r="V26" s="874" t="e">
        <f>VLOOKUP(C26,'LƯƠNG KT'!$D$15:$P$94,19,0)</f>
        <v>#N/A</v>
      </c>
      <c r="W26" s="874" t="e">
        <f>VLOOKUP(C26,'LƯƠNG KT'!$D$15:$P$94,20,0)</f>
        <v>#N/A</v>
      </c>
      <c r="X26" s="874" t="e">
        <f>VLOOKUP(C26,'LƯƠNG KT'!$D$15:$P$94,21,0)</f>
        <v>#N/A</v>
      </c>
      <c r="Y26" s="874" t="e">
        <f>VLOOKUP(C26,'LƯƠNG KT'!$D$15:$P$94,23,0)</f>
        <v>#N/A</v>
      </c>
      <c r="Z26" s="874" t="e">
        <f>VLOOKUP(C26,'LƯƠNG KT'!$D$15:$P$94,24,0)</f>
        <v>#N/A</v>
      </c>
      <c r="AA26" s="874">
        <v>20</v>
      </c>
      <c r="AB26" s="874"/>
      <c r="AC26" s="889" t="e">
        <f t="shared" si="6"/>
        <v>#N/A</v>
      </c>
      <c r="AD26" s="889" t="e">
        <f t="shared" si="2"/>
        <v>#N/A</v>
      </c>
      <c r="AE26" s="889" t="e">
        <f t="shared" si="3"/>
        <v>#N/A</v>
      </c>
      <c r="AF26" s="915"/>
      <c r="AG26" s="891"/>
      <c r="AH26" s="941" t="s">
        <v>2749</v>
      </c>
      <c r="AI26" s="637"/>
    </row>
    <row r="27" spans="1:35" s="540" customFormat="1" ht="21" customHeight="1">
      <c r="A27" s="868">
        <v>13</v>
      </c>
      <c r="B27" s="869" t="e">
        <f>VLOOKUP(C27,'DS CN MOI UP'!$B$10:$C$389,2,0)</f>
        <v>#N/A</v>
      </c>
      <c r="C27" s="875" t="s">
        <v>2645</v>
      </c>
      <c r="D27" s="875" t="s">
        <v>15</v>
      </c>
      <c r="E27" s="872"/>
      <c r="F27" s="873">
        <f>+VLOOKUP(C27,THCKT!$C$13:$AE$460,17,0)</f>
        <v>24</v>
      </c>
      <c r="G27" s="874">
        <f t="shared" si="0"/>
        <v>600000</v>
      </c>
      <c r="H27" s="874"/>
      <c r="I27" s="874"/>
      <c r="J27" s="874"/>
      <c r="K27" s="874" t="e">
        <f>VLOOKUP(C27,THCKT!$C$13:$AL$460,21,0)</f>
        <v>#N/A</v>
      </c>
      <c r="L27" s="883">
        <f>VLOOKUP(C27,THCKT!$C$13:$AL$460,22,0)</f>
        <v>0</v>
      </c>
      <c r="M27" s="883">
        <f>VLOOKUP(C27,THCKT!$C$13:$AL$460,23,0)</f>
        <v>0</v>
      </c>
      <c r="N27" s="883" t="e">
        <f t="shared" si="1"/>
        <v>#N/A</v>
      </c>
      <c r="O27" s="883" t="e">
        <f t="shared" si="4"/>
        <v>#N/A</v>
      </c>
      <c r="P27" s="884" t="e">
        <f>VLOOKUP(C27,THCKT!$C$13:$AL$460,36,0)</f>
        <v>#N/A</v>
      </c>
      <c r="Q27" s="887" t="e">
        <f t="shared" si="5"/>
        <v>#N/A</v>
      </c>
      <c r="R27" s="874" t="e">
        <f>VLOOKUP(C27,'LƯƠNG KT'!$D$15:$P$94,16,0)</f>
        <v>#N/A</v>
      </c>
      <c r="S27" s="874" t="e">
        <f>VLOOKUP(C27,'LƯƠNG KT'!$D$15:$P$94,17,0)</f>
        <v>#N/A</v>
      </c>
      <c r="T27" s="874" t="e">
        <f>VLOOKUP(C27,'LƯƠNG KT'!$D$15:$P$94,18,0)</f>
        <v>#N/A</v>
      </c>
      <c r="U27" s="874" t="e">
        <f>VLOOKUP(C27,'LƯƠNG KT'!$D$15:$P$94,18,0)</f>
        <v>#N/A</v>
      </c>
      <c r="V27" s="874" t="e">
        <f>VLOOKUP(C27,'LƯƠNG KT'!$D$15:$P$94,19,0)</f>
        <v>#N/A</v>
      </c>
      <c r="W27" s="874" t="e">
        <f>VLOOKUP(C27,'LƯƠNG KT'!$D$15:$P$94,20,0)</f>
        <v>#N/A</v>
      </c>
      <c r="X27" s="874" t="e">
        <f>VLOOKUP(C27,'LƯƠNG KT'!$D$15:$P$94,21,0)</f>
        <v>#N/A</v>
      </c>
      <c r="Y27" s="874" t="e">
        <f>VLOOKUP(C27,'LƯƠNG KT'!$D$15:$P$94,23,0)</f>
        <v>#N/A</v>
      </c>
      <c r="Z27" s="874" t="e">
        <f>VLOOKUP(C27,'LƯƠNG KT'!$D$15:$P$94,24,0)</f>
        <v>#N/A</v>
      </c>
      <c r="AA27" s="874">
        <v>20</v>
      </c>
      <c r="AB27" s="874"/>
      <c r="AC27" s="889" t="e">
        <f t="shared" si="6"/>
        <v>#N/A</v>
      </c>
      <c r="AD27" s="889" t="e">
        <f t="shared" si="2"/>
        <v>#N/A</v>
      </c>
      <c r="AE27" s="889" t="e">
        <f t="shared" si="3"/>
        <v>#N/A</v>
      </c>
      <c r="AF27" s="915"/>
      <c r="AG27" s="891"/>
      <c r="AH27" s="540" t="s">
        <v>2749</v>
      </c>
      <c r="AI27" s="637"/>
    </row>
    <row r="28" spans="1:35" s="540" customFormat="1" ht="21" customHeight="1">
      <c r="A28" s="868">
        <v>14</v>
      </c>
      <c r="B28" s="1644" t="str">
        <f>VLOOKUP(C28,'DS CN MOI UP'!$B$10:$C$389,2,0)</f>
        <v>02500</v>
      </c>
      <c r="C28" s="875" t="s">
        <v>59</v>
      </c>
      <c r="D28" s="875" t="s">
        <v>15</v>
      </c>
      <c r="E28" s="872"/>
      <c r="F28" s="873">
        <f>+VLOOKUP(C28,THCKT!$C$13:$AE$460,17,0)</f>
        <v>24</v>
      </c>
      <c r="G28" s="874">
        <f t="shared" si="0"/>
        <v>600000</v>
      </c>
      <c r="H28" s="874"/>
      <c r="I28" s="874"/>
      <c r="J28" s="874"/>
      <c r="K28" s="874" t="e">
        <f>VLOOKUP(C28,THCKT!$C$13:$AL$460,21,0)</f>
        <v>#N/A</v>
      </c>
      <c r="L28" s="883">
        <f>VLOOKUP(C28,THCKT!$C$13:$AL$460,22,0)</f>
        <v>0</v>
      </c>
      <c r="M28" s="883">
        <f>VLOOKUP(C28,THCKT!$C$13:$AL$460,23,0)</f>
        <v>0</v>
      </c>
      <c r="N28" s="883" t="e">
        <f t="shared" si="1"/>
        <v>#N/A</v>
      </c>
      <c r="O28" s="883" t="e">
        <f t="shared" si="4"/>
        <v>#N/A</v>
      </c>
      <c r="P28" s="884" t="e">
        <f>VLOOKUP(C28,THCKT!$C$13:$AL$460,36,0)</f>
        <v>#N/A</v>
      </c>
      <c r="Q28" s="887" t="e">
        <f t="shared" si="5"/>
        <v>#N/A</v>
      </c>
      <c r="R28" s="874" t="e">
        <f>VLOOKUP(C28,'LƯƠNG KT'!$D$15:$P$94,16,0)</f>
        <v>#N/A</v>
      </c>
      <c r="S28" s="874" t="e">
        <f>VLOOKUP(C28,'LƯƠNG KT'!$D$15:$P$94,17,0)</f>
        <v>#N/A</v>
      </c>
      <c r="T28" s="874" t="e">
        <f>VLOOKUP(C28,'LƯƠNG KT'!$D$15:$P$94,18,0)</f>
        <v>#N/A</v>
      </c>
      <c r="U28" s="874" t="e">
        <f>VLOOKUP(C28,'LƯƠNG KT'!$D$15:$P$94,18,0)</f>
        <v>#N/A</v>
      </c>
      <c r="V28" s="874" t="e">
        <f>VLOOKUP(C28,'LƯƠNG KT'!$D$15:$P$94,19,0)</f>
        <v>#N/A</v>
      </c>
      <c r="W28" s="874" t="e">
        <f>VLOOKUP(C28,'LƯƠNG KT'!$D$15:$P$94,20,0)</f>
        <v>#N/A</v>
      </c>
      <c r="X28" s="874" t="e">
        <f>VLOOKUP(C28,'LƯƠNG KT'!$D$15:$P$94,21,0)</f>
        <v>#N/A</v>
      </c>
      <c r="Y28" s="874" t="e">
        <f>VLOOKUP(C28,'LƯƠNG KT'!$D$15:$P$94,23,0)</f>
        <v>#N/A</v>
      </c>
      <c r="Z28" s="874" t="e">
        <f>VLOOKUP(C28,'LƯƠNG KT'!$D$15:$P$94,24,0)</f>
        <v>#N/A</v>
      </c>
      <c r="AA28" s="874">
        <v>20</v>
      </c>
      <c r="AB28" s="874"/>
      <c r="AC28" s="889" t="e">
        <f t="shared" si="6"/>
        <v>#N/A</v>
      </c>
      <c r="AD28" s="889" t="e">
        <f t="shared" si="2"/>
        <v>#N/A</v>
      </c>
      <c r="AE28" s="889" t="e">
        <f t="shared" si="3"/>
        <v>#N/A</v>
      </c>
      <c r="AF28" s="915"/>
      <c r="AG28" s="891"/>
      <c r="AH28" s="941" t="s">
        <v>2749</v>
      </c>
      <c r="AI28" s="637"/>
    </row>
    <row r="29" spans="1:35" s="540" customFormat="1" ht="21" customHeight="1">
      <c r="A29" s="868">
        <v>15</v>
      </c>
      <c r="B29" s="1644" t="str">
        <f>VLOOKUP(C29,'DS CN MOI UP'!$B$10:$C$389,2,0)</f>
        <v>02466</v>
      </c>
      <c r="C29" s="875" t="s">
        <v>25</v>
      </c>
      <c r="D29" s="875" t="s">
        <v>15</v>
      </c>
      <c r="E29" s="872"/>
      <c r="F29" s="873">
        <f>+VLOOKUP(C29,THCKT!$C$13:$AE$460,17,0)</f>
        <v>24</v>
      </c>
      <c r="G29" s="874">
        <f t="shared" si="0"/>
        <v>600000</v>
      </c>
      <c r="H29" s="874"/>
      <c r="I29" s="874"/>
      <c r="J29" s="874"/>
      <c r="K29" s="874" t="e">
        <f>VLOOKUP(C29,THCKT!$C$13:$AL$460,21,0)</f>
        <v>#N/A</v>
      </c>
      <c r="L29" s="883">
        <f>VLOOKUP(C29,THCKT!$C$13:$AL$460,22,0)</f>
        <v>0</v>
      </c>
      <c r="M29" s="883">
        <f>VLOOKUP(C29,THCKT!$C$13:$AL$460,23,0)</f>
        <v>0</v>
      </c>
      <c r="N29" s="883" t="e">
        <f t="shared" si="1"/>
        <v>#N/A</v>
      </c>
      <c r="O29" s="883" t="e">
        <f t="shared" si="4"/>
        <v>#N/A</v>
      </c>
      <c r="P29" s="884" t="e">
        <f>VLOOKUP(C29,THCKT!$C$13:$AL$460,36,0)</f>
        <v>#N/A</v>
      </c>
      <c r="Q29" s="887" t="e">
        <f t="shared" si="5"/>
        <v>#N/A</v>
      </c>
      <c r="R29" s="874" t="e">
        <f>VLOOKUP(C29,'LƯƠNG KT'!$D$15:$P$94,16,0)</f>
        <v>#N/A</v>
      </c>
      <c r="S29" s="874" t="e">
        <f>VLOOKUP(C29,'LƯƠNG KT'!$D$15:$P$94,17,0)</f>
        <v>#N/A</v>
      </c>
      <c r="T29" s="874" t="e">
        <f>VLOOKUP(C29,'LƯƠNG KT'!$D$15:$P$94,18,0)</f>
        <v>#N/A</v>
      </c>
      <c r="U29" s="874" t="e">
        <f>VLOOKUP(C29,'LƯƠNG KT'!$D$15:$P$94,18,0)</f>
        <v>#N/A</v>
      </c>
      <c r="V29" s="874" t="e">
        <f>VLOOKUP(C29,'LƯƠNG KT'!$D$15:$P$94,19,0)</f>
        <v>#N/A</v>
      </c>
      <c r="W29" s="874" t="e">
        <f>VLOOKUP(C29,'LƯƠNG KT'!$D$15:$P$94,20,0)</f>
        <v>#N/A</v>
      </c>
      <c r="X29" s="874" t="e">
        <f>VLOOKUP(C29,'LƯƠNG KT'!$D$15:$P$94,21,0)</f>
        <v>#N/A</v>
      </c>
      <c r="Y29" s="874" t="e">
        <f>VLOOKUP(C29,'LƯƠNG KT'!$D$15:$P$94,23,0)</f>
        <v>#N/A</v>
      </c>
      <c r="Z29" s="874" t="e">
        <f>VLOOKUP(C29,'LƯƠNG KT'!$D$15:$P$94,24,0)</f>
        <v>#N/A</v>
      </c>
      <c r="AA29" s="874">
        <v>20</v>
      </c>
      <c r="AB29" s="874"/>
      <c r="AC29" s="889" t="e">
        <f t="shared" si="6"/>
        <v>#N/A</v>
      </c>
      <c r="AD29" s="889" t="e">
        <f t="shared" si="2"/>
        <v>#N/A</v>
      </c>
      <c r="AE29" s="889" t="e">
        <f t="shared" si="3"/>
        <v>#N/A</v>
      </c>
      <c r="AF29" s="915"/>
      <c r="AG29" s="891"/>
      <c r="AH29" s="540" t="s">
        <v>2749</v>
      </c>
      <c r="AI29" s="637"/>
    </row>
    <row r="30" spans="1:35" s="540" customFormat="1" ht="21" customHeight="1">
      <c r="A30" s="868">
        <v>16</v>
      </c>
      <c r="B30" s="1644" t="str">
        <f>VLOOKUP(C30,'DS CN MOI UP'!$B$10:$C$389,2,0)</f>
        <v>02451</v>
      </c>
      <c r="C30" s="875" t="s">
        <v>60</v>
      </c>
      <c r="D30" s="875" t="s">
        <v>15</v>
      </c>
      <c r="E30" s="872"/>
      <c r="F30" s="873">
        <f>+VLOOKUP(C30,THCKT!$C$13:$AE$460,17,0)</f>
        <v>24</v>
      </c>
      <c r="G30" s="874">
        <f t="shared" si="0"/>
        <v>600000</v>
      </c>
      <c r="H30" s="874"/>
      <c r="I30" s="874"/>
      <c r="J30" s="874"/>
      <c r="K30" s="874" t="e">
        <f>VLOOKUP(C30,THCKT!$C$13:$AL$460,21,0)</f>
        <v>#N/A</v>
      </c>
      <c r="L30" s="883">
        <f>VLOOKUP(C30,THCKT!$C$13:$AL$460,22,0)</f>
        <v>0</v>
      </c>
      <c r="M30" s="883">
        <f>VLOOKUP(C30,THCKT!$C$13:$AL$460,23,0)</f>
        <v>0</v>
      </c>
      <c r="N30" s="883" t="e">
        <f t="shared" si="1"/>
        <v>#N/A</v>
      </c>
      <c r="O30" s="883" t="e">
        <f t="shared" si="4"/>
        <v>#N/A</v>
      </c>
      <c r="P30" s="884" t="e">
        <f>VLOOKUP(C30,THCKT!$C$13:$AL$460,36,0)</f>
        <v>#N/A</v>
      </c>
      <c r="Q30" s="887" t="e">
        <f t="shared" si="5"/>
        <v>#N/A</v>
      </c>
      <c r="R30" s="874" t="e">
        <f>VLOOKUP(C30,'LƯƠNG KT'!$D$15:$P$94,16,0)</f>
        <v>#N/A</v>
      </c>
      <c r="S30" s="874" t="e">
        <f>VLOOKUP(C30,'LƯƠNG KT'!$D$15:$P$94,17,0)</f>
        <v>#N/A</v>
      </c>
      <c r="T30" s="874" t="e">
        <f>VLOOKUP(C30,'LƯƠNG KT'!$D$15:$P$94,18,0)</f>
        <v>#N/A</v>
      </c>
      <c r="U30" s="874" t="e">
        <f>VLOOKUP(C30,'LƯƠNG KT'!$D$15:$P$94,18,0)</f>
        <v>#N/A</v>
      </c>
      <c r="V30" s="874" t="e">
        <f>VLOOKUP(C30,'LƯƠNG KT'!$D$15:$P$94,19,0)</f>
        <v>#N/A</v>
      </c>
      <c r="W30" s="874" t="e">
        <f>VLOOKUP(C30,'LƯƠNG KT'!$D$15:$P$94,20,0)</f>
        <v>#N/A</v>
      </c>
      <c r="X30" s="874" t="e">
        <f>VLOOKUP(C30,'LƯƠNG KT'!$D$15:$P$94,21,0)</f>
        <v>#N/A</v>
      </c>
      <c r="Y30" s="874" t="e">
        <f>VLOOKUP(C30,'LƯƠNG KT'!$D$15:$P$94,23,0)</f>
        <v>#N/A</v>
      </c>
      <c r="Z30" s="874" t="e">
        <f>VLOOKUP(C30,'LƯƠNG KT'!$D$15:$P$94,24,0)</f>
        <v>#N/A</v>
      </c>
      <c r="AA30" s="874">
        <v>20</v>
      </c>
      <c r="AB30" s="874"/>
      <c r="AC30" s="889" t="e">
        <f t="shared" si="6"/>
        <v>#N/A</v>
      </c>
      <c r="AD30" s="889" t="e">
        <f t="shared" si="2"/>
        <v>#N/A</v>
      </c>
      <c r="AE30" s="889" t="e">
        <f t="shared" si="3"/>
        <v>#N/A</v>
      </c>
      <c r="AF30" s="915"/>
      <c r="AG30" s="891"/>
      <c r="AH30" s="941" t="s">
        <v>2749</v>
      </c>
      <c r="AI30" s="637"/>
    </row>
    <row r="31" spans="1:35" s="540" customFormat="1" ht="21" customHeight="1">
      <c r="A31" s="868">
        <v>17</v>
      </c>
      <c r="B31" s="1644" t="str">
        <f>VLOOKUP(C31,'DS CN MOI UP'!$B$10:$C$389,2,0)</f>
        <v>02462</v>
      </c>
      <c r="C31" s="875" t="s">
        <v>2024</v>
      </c>
      <c r="D31" s="875" t="s">
        <v>15</v>
      </c>
      <c r="E31" s="872"/>
      <c r="F31" s="873">
        <f>+VLOOKUP(C31,THCKT!$C$13:$AE$460,17,0)</f>
        <v>24</v>
      </c>
      <c r="G31" s="874">
        <f t="shared" si="0"/>
        <v>600000</v>
      </c>
      <c r="H31" s="874"/>
      <c r="I31" s="874"/>
      <c r="J31" s="874"/>
      <c r="K31" s="874" t="e">
        <f>VLOOKUP(C31,THCKT!$C$13:$AL$460,21,0)</f>
        <v>#N/A</v>
      </c>
      <c r="L31" s="883">
        <f>VLOOKUP(C31,THCKT!$C$13:$AL$460,22,0)</f>
        <v>0</v>
      </c>
      <c r="M31" s="883">
        <f>VLOOKUP(C31,THCKT!$C$13:$AL$460,23,0)</f>
        <v>0</v>
      </c>
      <c r="N31" s="883" t="e">
        <f t="shared" si="1"/>
        <v>#N/A</v>
      </c>
      <c r="O31" s="883" t="e">
        <f t="shared" si="4"/>
        <v>#N/A</v>
      </c>
      <c r="P31" s="884" t="e">
        <f>VLOOKUP(C31,THCKT!$C$13:$AL$460,36,0)</f>
        <v>#N/A</v>
      </c>
      <c r="Q31" s="887" t="e">
        <f t="shared" si="5"/>
        <v>#N/A</v>
      </c>
      <c r="R31" s="874" t="e">
        <f>VLOOKUP(C31,'LƯƠNG KT'!$D$15:$P$94,16,0)</f>
        <v>#N/A</v>
      </c>
      <c r="S31" s="874" t="e">
        <f>VLOOKUP(C31,'LƯƠNG KT'!$D$15:$P$94,17,0)</f>
        <v>#N/A</v>
      </c>
      <c r="T31" s="874" t="e">
        <f>VLOOKUP(C31,'LƯƠNG KT'!$D$15:$P$94,18,0)</f>
        <v>#N/A</v>
      </c>
      <c r="U31" s="874" t="e">
        <f>VLOOKUP(C31,'LƯƠNG KT'!$D$15:$P$94,18,0)</f>
        <v>#N/A</v>
      </c>
      <c r="V31" s="874" t="e">
        <f>VLOOKUP(C31,'LƯƠNG KT'!$D$15:$P$94,19,0)</f>
        <v>#N/A</v>
      </c>
      <c r="W31" s="874" t="e">
        <f>VLOOKUP(C31,'LƯƠNG KT'!$D$15:$P$94,20,0)</f>
        <v>#N/A</v>
      </c>
      <c r="X31" s="874" t="e">
        <f>VLOOKUP(C31,'LƯƠNG KT'!$D$15:$P$94,21,0)</f>
        <v>#N/A</v>
      </c>
      <c r="Y31" s="874" t="e">
        <f>VLOOKUP(C31,'LƯƠNG KT'!$D$15:$P$94,23,0)</f>
        <v>#N/A</v>
      </c>
      <c r="Z31" s="874" t="e">
        <f>VLOOKUP(C31,'LƯƠNG KT'!$D$15:$P$94,24,0)</f>
        <v>#N/A</v>
      </c>
      <c r="AA31" s="874">
        <v>20</v>
      </c>
      <c r="AB31" s="874"/>
      <c r="AC31" s="889" t="e">
        <f t="shared" si="6"/>
        <v>#N/A</v>
      </c>
      <c r="AD31" s="889" t="e">
        <f t="shared" si="2"/>
        <v>#N/A</v>
      </c>
      <c r="AE31" s="889" t="e">
        <f t="shared" si="3"/>
        <v>#N/A</v>
      </c>
      <c r="AF31" s="915"/>
      <c r="AG31" s="891"/>
      <c r="AH31" s="540" t="s">
        <v>2749</v>
      </c>
      <c r="AI31" s="637"/>
    </row>
    <row r="32" spans="1:35" s="540" customFormat="1" ht="21" customHeight="1">
      <c r="A32" s="868">
        <v>18</v>
      </c>
      <c r="B32" s="1644" t="str">
        <f>VLOOKUP(C32,'DS CN MOI UP'!$B$10:$C$389,2,0)</f>
        <v>02467</v>
      </c>
      <c r="C32" s="875" t="s">
        <v>52</v>
      </c>
      <c r="D32" s="875" t="s">
        <v>15</v>
      </c>
      <c r="E32" s="872"/>
      <c r="F32" s="873">
        <f>+VLOOKUP(C32,THCKT!$C$13:$AE$460,17,0)</f>
        <v>24</v>
      </c>
      <c r="G32" s="874">
        <f t="shared" si="0"/>
        <v>600000</v>
      </c>
      <c r="H32" s="874"/>
      <c r="I32" s="874"/>
      <c r="J32" s="874"/>
      <c r="K32" s="874" t="e">
        <f>VLOOKUP(C32,THCKT!$C$13:$AL$460,21,0)</f>
        <v>#N/A</v>
      </c>
      <c r="L32" s="883">
        <f>VLOOKUP(C32,THCKT!$C$13:$AL$460,22,0)</f>
        <v>0</v>
      </c>
      <c r="M32" s="883">
        <f>VLOOKUP(C32,THCKT!$C$13:$AL$460,23,0)</f>
        <v>0</v>
      </c>
      <c r="N32" s="883" t="e">
        <f t="shared" si="1"/>
        <v>#N/A</v>
      </c>
      <c r="O32" s="883" t="e">
        <f t="shared" si="4"/>
        <v>#N/A</v>
      </c>
      <c r="P32" s="884" t="e">
        <f>VLOOKUP(C32,THCKT!$C$13:$AL$460,36,0)</f>
        <v>#N/A</v>
      </c>
      <c r="Q32" s="887" t="e">
        <f t="shared" si="5"/>
        <v>#N/A</v>
      </c>
      <c r="R32" s="874" t="e">
        <f>VLOOKUP(C32,'LƯƠNG KT'!$D$15:$P$94,16,0)</f>
        <v>#N/A</v>
      </c>
      <c r="S32" s="874" t="e">
        <f>VLOOKUP(C32,'LƯƠNG KT'!$D$15:$P$94,17,0)</f>
        <v>#N/A</v>
      </c>
      <c r="T32" s="874" t="e">
        <f>VLOOKUP(C32,'LƯƠNG KT'!$D$15:$P$94,18,0)</f>
        <v>#N/A</v>
      </c>
      <c r="U32" s="874" t="e">
        <f>VLOOKUP(C32,'LƯƠNG KT'!$D$15:$P$94,18,0)</f>
        <v>#N/A</v>
      </c>
      <c r="V32" s="874" t="e">
        <f>VLOOKUP(C32,'LƯƠNG KT'!$D$15:$P$94,19,0)</f>
        <v>#N/A</v>
      </c>
      <c r="W32" s="874" t="e">
        <f>VLOOKUP(C32,'LƯƠNG KT'!$D$15:$P$94,20,0)</f>
        <v>#N/A</v>
      </c>
      <c r="X32" s="874" t="e">
        <f>VLOOKUP(C32,'LƯƠNG KT'!$D$15:$P$94,21,0)</f>
        <v>#N/A</v>
      </c>
      <c r="Y32" s="874" t="e">
        <f>VLOOKUP(C32,'LƯƠNG KT'!$D$15:$P$94,23,0)</f>
        <v>#N/A</v>
      </c>
      <c r="Z32" s="874" t="e">
        <f>VLOOKUP(C32,'LƯƠNG KT'!$D$15:$P$94,24,0)</f>
        <v>#N/A</v>
      </c>
      <c r="AA32" s="874">
        <v>20</v>
      </c>
      <c r="AB32" s="874"/>
      <c r="AC32" s="889" t="e">
        <f t="shared" si="6"/>
        <v>#N/A</v>
      </c>
      <c r="AD32" s="889" t="e">
        <f t="shared" si="2"/>
        <v>#N/A</v>
      </c>
      <c r="AE32" s="889" t="e">
        <f t="shared" si="3"/>
        <v>#N/A</v>
      </c>
      <c r="AF32" s="915"/>
      <c r="AG32" s="891"/>
      <c r="AH32" s="941" t="s">
        <v>2749</v>
      </c>
      <c r="AI32" s="637"/>
    </row>
    <row r="33" spans="1:35" s="540" customFormat="1" ht="21" customHeight="1">
      <c r="A33" s="868">
        <v>19</v>
      </c>
      <c r="B33" s="1644" t="str">
        <f>VLOOKUP(C33,'DS CN MOI UP'!$B$10:$C$389,2,0)</f>
        <v>02494</v>
      </c>
      <c r="C33" s="875" t="s">
        <v>96</v>
      </c>
      <c r="D33" s="875" t="s">
        <v>15</v>
      </c>
      <c r="E33" s="872"/>
      <c r="F33" s="873">
        <f>+VLOOKUP(C33,THCKT!$C$13:$AE$460,17,0)</f>
        <v>24</v>
      </c>
      <c r="G33" s="874">
        <f t="shared" si="0"/>
        <v>600000</v>
      </c>
      <c r="H33" s="874"/>
      <c r="I33" s="874"/>
      <c r="J33" s="874"/>
      <c r="K33" s="874" t="e">
        <f>VLOOKUP(C33,THCKT!$C$13:$AL$460,21,0)</f>
        <v>#N/A</v>
      </c>
      <c r="L33" s="883">
        <f>VLOOKUP(C33,THCKT!$C$13:$AL$460,22,0)</f>
        <v>0</v>
      </c>
      <c r="M33" s="883">
        <f>VLOOKUP(C33,THCKT!$C$13:$AL$460,23,0)</f>
        <v>0</v>
      </c>
      <c r="N33" s="883" t="e">
        <f t="shared" si="1"/>
        <v>#N/A</v>
      </c>
      <c r="O33" s="883" t="e">
        <f t="shared" si="4"/>
        <v>#N/A</v>
      </c>
      <c r="P33" s="884" t="e">
        <f>VLOOKUP(C33,THCKT!$C$13:$AL$460,36,0)</f>
        <v>#N/A</v>
      </c>
      <c r="Q33" s="887" t="e">
        <f t="shared" si="5"/>
        <v>#N/A</v>
      </c>
      <c r="R33" s="874" t="e">
        <f>VLOOKUP(C33,'LƯƠNG KT'!$D$15:$P$94,16,0)</f>
        <v>#N/A</v>
      </c>
      <c r="S33" s="874" t="e">
        <f>VLOOKUP(C33,'LƯƠNG KT'!$D$15:$P$94,17,0)</f>
        <v>#N/A</v>
      </c>
      <c r="T33" s="874" t="e">
        <f>VLOOKUP(C33,'LƯƠNG KT'!$D$15:$P$94,18,0)</f>
        <v>#N/A</v>
      </c>
      <c r="U33" s="874" t="e">
        <f>VLOOKUP(C33,'LƯƠNG KT'!$D$15:$P$94,18,0)</f>
        <v>#N/A</v>
      </c>
      <c r="V33" s="874" t="e">
        <f>VLOOKUP(C33,'LƯƠNG KT'!$D$15:$P$94,19,0)</f>
        <v>#N/A</v>
      </c>
      <c r="W33" s="874" t="e">
        <f>VLOOKUP(C33,'LƯƠNG KT'!$D$15:$P$94,20,0)</f>
        <v>#N/A</v>
      </c>
      <c r="X33" s="874" t="e">
        <f>VLOOKUP(C33,'LƯƠNG KT'!$D$15:$P$94,21,0)</f>
        <v>#N/A</v>
      </c>
      <c r="Y33" s="874" t="e">
        <f>VLOOKUP(C33,'LƯƠNG KT'!$D$15:$P$94,23,0)</f>
        <v>#N/A</v>
      </c>
      <c r="Z33" s="874" t="e">
        <f>VLOOKUP(C33,'LƯƠNG KT'!$D$15:$P$94,24,0)</f>
        <v>#N/A</v>
      </c>
      <c r="AA33" s="874">
        <v>20</v>
      </c>
      <c r="AB33" s="874"/>
      <c r="AC33" s="889" t="e">
        <f t="shared" si="6"/>
        <v>#N/A</v>
      </c>
      <c r="AD33" s="889" t="e">
        <f t="shared" si="2"/>
        <v>#N/A</v>
      </c>
      <c r="AE33" s="889" t="e">
        <f t="shared" si="3"/>
        <v>#N/A</v>
      </c>
      <c r="AF33" s="915"/>
      <c r="AG33" s="891"/>
      <c r="AH33" s="540" t="s">
        <v>2749</v>
      </c>
      <c r="AI33" s="637"/>
    </row>
    <row r="34" spans="1:35" s="540" customFormat="1" ht="21" customHeight="1">
      <c r="A34" s="868">
        <v>20</v>
      </c>
      <c r="B34" s="1644" t="str">
        <f>VLOOKUP(C34,'DS CN MOI UP'!$B$10:$C$389,2,0)</f>
        <v>02476</v>
      </c>
      <c r="C34" s="875" t="s">
        <v>97</v>
      </c>
      <c r="D34" s="875" t="s">
        <v>15</v>
      </c>
      <c r="E34" s="872"/>
      <c r="F34" s="873">
        <f>+VLOOKUP(C34,THCKT!$C$13:$AE$460,17,0)</f>
        <v>24</v>
      </c>
      <c r="G34" s="874">
        <f t="shared" si="0"/>
        <v>600000</v>
      </c>
      <c r="H34" s="874"/>
      <c r="I34" s="874"/>
      <c r="J34" s="874"/>
      <c r="K34" s="874" t="e">
        <f>VLOOKUP(C34,THCKT!$C$13:$AL$460,21,0)</f>
        <v>#N/A</v>
      </c>
      <c r="L34" s="883">
        <f>VLOOKUP(C34,THCKT!$C$13:$AL$460,22,0)</f>
        <v>0</v>
      </c>
      <c r="M34" s="883">
        <f>VLOOKUP(C34,THCKT!$C$13:$AL$460,23,0)</f>
        <v>0</v>
      </c>
      <c r="N34" s="883" t="e">
        <f t="shared" si="1"/>
        <v>#N/A</v>
      </c>
      <c r="O34" s="883" t="e">
        <f t="shared" si="4"/>
        <v>#N/A</v>
      </c>
      <c r="P34" s="884" t="e">
        <f>VLOOKUP(C34,THCKT!$C$13:$AL$460,36,0)</f>
        <v>#N/A</v>
      </c>
      <c r="Q34" s="887" t="e">
        <f t="shared" si="5"/>
        <v>#N/A</v>
      </c>
      <c r="R34" s="874" t="e">
        <f>VLOOKUP(C34,'LƯƠNG KT'!$D$15:$P$94,16,0)</f>
        <v>#N/A</v>
      </c>
      <c r="S34" s="874" t="e">
        <f>VLOOKUP(C34,'LƯƠNG KT'!$D$15:$P$94,17,0)</f>
        <v>#N/A</v>
      </c>
      <c r="T34" s="874" t="e">
        <f>VLOOKUP(C34,'LƯƠNG KT'!$D$15:$P$94,18,0)</f>
        <v>#N/A</v>
      </c>
      <c r="U34" s="874" t="e">
        <f>VLOOKUP(C34,'LƯƠNG KT'!$D$15:$P$94,18,0)</f>
        <v>#N/A</v>
      </c>
      <c r="V34" s="874" t="e">
        <f>VLOOKUP(C34,'LƯƠNG KT'!$D$15:$P$94,19,0)</f>
        <v>#N/A</v>
      </c>
      <c r="W34" s="874" t="e">
        <f>VLOOKUP(C34,'LƯƠNG KT'!$D$15:$P$94,20,0)</f>
        <v>#N/A</v>
      </c>
      <c r="X34" s="874" t="e">
        <f>VLOOKUP(C34,'LƯƠNG KT'!$D$15:$P$94,21,0)</f>
        <v>#N/A</v>
      </c>
      <c r="Y34" s="874" t="e">
        <f>VLOOKUP(C34,'LƯƠNG KT'!$D$15:$P$94,23,0)</f>
        <v>#N/A</v>
      </c>
      <c r="Z34" s="874" t="e">
        <f>VLOOKUP(C34,'LƯƠNG KT'!$D$15:$P$94,24,0)</f>
        <v>#N/A</v>
      </c>
      <c r="AA34" s="874">
        <v>20</v>
      </c>
      <c r="AB34" s="874"/>
      <c r="AC34" s="889" t="e">
        <f t="shared" si="6"/>
        <v>#N/A</v>
      </c>
      <c r="AD34" s="889" t="e">
        <f t="shared" si="2"/>
        <v>#N/A</v>
      </c>
      <c r="AE34" s="889" t="e">
        <f t="shared" si="3"/>
        <v>#N/A</v>
      </c>
      <c r="AF34" s="915"/>
      <c r="AG34" s="891"/>
      <c r="AH34" s="941" t="s">
        <v>2749</v>
      </c>
      <c r="AI34" s="637"/>
    </row>
    <row r="35" spans="1:35" s="540" customFormat="1" ht="21" customHeight="1">
      <c r="A35" s="868">
        <v>21</v>
      </c>
      <c r="B35" s="1644" t="str">
        <f>VLOOKUP(C35,'DS CN MOI UP'!$B$10:$C$389,2,0)</f>
        <v>02513</v>
      </c>
      <c r="C35" s="875" t="s">
        <v>42</v>
      </c>
      <c r="D35" s="875" t="s">
        <v>15</v>
      </c>
      <c r="E35" s="872"/>
      <c r="F35" s="873">
        <f>+VLOOKUP(C35,THCKT!$C$13:$AE$460,17,0)</f>
        <v>24</v>
      </c>
      <c r="G35" s="874">
        <f t="shared" si="0"/>
        <v>600000</v>
      </c>
      <c r="H35" s="874"/>
      <c r="I35" s="874"/>
      <c r="J35" s="874"/>
      <c r="K35" s="874" t="e">
        <f>VLOOKUP(C35,THCKT!$C$13:$AL$460,21,0)</f>
        <v>#N/A</v>
      </c>
      <c r="L35" s="883">
        <f>VLOOKUP(C35,THCKT!$C$13:$AL$460,22,0)</f>
        <v>0</v>
      </c>
      <c r="M35" s="883">
        <f>VLOOKUP(C35,THCKT!$C$13:$AL$460,23,0)</f>
        <v>0</v>
      </c>
      <c r="N35" s="883" t="e">
        <f t="shared" si="1"/>
        <v>#N/A</v>
      </c>
      <c r="O35" s="883" t="e">
        <f t="shared" si="4"/>
        <v>#N/A</v>
      </c>
      <c r="P35" s="884" t="e">
        <f>VLOOKUP(C35,THCKT!$C$13:$AL$460,36,0)</f>
        <v>#N/A</v>
      </c>
      <c r="Q35" s="887" t="e">
        <f t="shared" si="5"/>
        <v>#N/A</v>
      </c>
      <c r="R35" s="874" t="e">
        <f>VLOOKUP(C35,'LƯƠNG KT'!$D$15:$P$94,16,0)</f>
        <v>#N/A</v>
      </c>
      <c r="S35" s="874" t="e">
        <f>VLOOKUP(C35,'LƯƠNG KT'!$D$15:$P$94,17,0)</f>
        <v>#N/A</v>
      </c>
      <c r="T35" s="874" t="e">
        <f>VLOOKUP(C35,'LƯƠNG KT'!$D$15:$P$94,18,0)</f>
        <v>#N/A</v>
      </c>
      <c r="U35" s="874" t="e">
        <f>VLOOKUP(C35,'LƯƠNG KT'!$D$15:$P$94,18,0)</f>
        <v>#N/A</v>
      </c>
      <c r="V35" s="874" t="e">
        <f>VLOOKUP(C35,'LƯƠNG KT'!$D$15:$P$94,19,0)</f>
        <v>#N/A</v>
      </c>
      <c r="W35" s="874" t="e">
        <f>VLOOKUP(C35,'LƯƠNG KT'!$D$15:$P$94,20,0)</f>
        <v>#N/A</v>
      </c>
      <c r="X35" s="874" t="e">
        <f>VLOOKUP(C35,'LƯƠNG KT'!$D$15:$P$94,21,0)</f>
        <v>#N/A</v>
      </c>
      <c r="Y35" s="874" t="e">
        <f>VLOOKUP(C35,'LƯƠNG KT'!$D$15:$P$94,23,0)</f>
        <v>#N/A</v>
      </c>
      <c r="Z35" s="874" t="e">
        <f>VLOOKUP(C35,'LƯƠNG KT'!$D$15:$P$94,24,0)</f>
        <v>#N/A</v>
      </c>
      <c r="AA35" s="874">
        <v>20</v>
      </c>
      <c r="AB35" s="874"/>
      <c r="AC35" s="889" t="e">
        <f t="shared" si="6"/>
        <v>#N/A</v>
      </c>
      <c r="AD35" s="889" t="e">
        <f t="shared" si="2"/>
        <v>#N/A</v>
      </c>
      <c r="AE35" s="889" t="e">
        <f t="shared" si="3"/>
        <v>#N/A</v>
      </c>
      <c r="AF35" s="915"/>
      <c r="AG35" s="891"/>
      <c r="AH35" s="540" t="s">
        <v>2749</v>
      </c>
      <c r="AI35" s="637"/>
    </row>
    <row r="36" spans="1:35" s="540" customFormat="1" ht="21" customHeight="1">
      <c r="A36" s="868">
        <v>22</v>
      </c>
      <c r="B36" s="1644" t="str">
        <f>VLOOKUP(C36,'DS CN MOI UP'!$B$10:$C$389,2,0)</f>
        <v>02512</v>
      </c>
      <c r="C36" s="875" t="s">
        <v>54</v>
      </c>
      <c r="D36" s="875" t="s">
        <v>15</v>
      </c>
      <c r="E36" s="872"/>
      <c r="F36" s="873">
        <f>+VLOOKUP(C36,THCKT!$C$13:$AE$460,17,0)</f>
        <v>24</v>
      </c>
      <c r="G36" s="874">
        <f t="shared" si="0"/>
        <v>600000</v>
      </c>
      <c r="H36" s="874"/>
      <c r="I36" s="874"/>
      <c r="J36" s="874"/>
      <c r="K36" s="874" t="e">
        <f>VLOOKUP(C36,THCKT!$C$13:$AL$460,21,0)</f>
        <v>#N/A</v>
      </c>
      <c r="L36" s="883">
        <f>VLOOKUP(C36,THCKT!$C$13:$AL$460,22,0)</f>
        <v>0</v>
      </c>
      <c r="M36" s="883">
        <f>VLOOKUP(C36,THCKT!$C$13:$AL$460,23,0)</f>
        <v>0</v>
      </c>
      <c r="N36" s="883" t="e">
        <f t="shared" si="1"/>
        <v>#N/A</v>
      </c>
      <c r="O36" s="883" t="e">
        <f t="shared" si="4"/>
        <v>#N/A</v>
      </c>
      <c r="P36" s="884" t="e">
        <f>VLOOKUP(C36,THCKT!$C$13:$AL$460,36,0)</f>
        <v>#N/A</v>
      </c>
      <c r="Q36" s="887" t="e">
        <f t="shared" si="5"/>
        <v>#N/A</v>
      </c>
      <c r="R36" s="874" t="e">
        <f>VLOOKUP(C36,'LƯƠNG KT'!$D$15:$P$94,16,0)</f>
        <v>#N/A</v>
      </c>
      <c r="S36" s="874" t="e">
        <f>VLOOKUP(C36,'LƯƠNG KT'!$D$15:$P$94,17,0)</f>
        <v>#N/A</v>
      </c>
      <c r="T36" s="874" t="e">
        <f>VLOOKUP(C36,'LƯƠNG KT'!$D$15:$P$94,18,0)</f>
        <v>#N/A</v>
      </c>
      <c r="U36" s="874" t="e">
        <f>VLOOKUP(C36,'LƯƠNG KT'!$D$15:$P$94,18,0)</f>
        <v>#N/A</v>
      </c>
      <c r="V36" s="874" t="e">
        <f>VLOOKUP(C36,'LƯƠNG KT'!$D$15:$P$94,19,0)</f>
        <v>#N/A</v>
      </c>
      <c r="W36" s="874" t="e">
        <f>VLOOKUP(C36,'LƯƠNG KT'!$D$15:$P$94,20,0)</f>
        <v>#N/A</v>
      </c>
      <c r="X36" s="874" t="e">
        <f>VLOOKUP(C36,'LƯƠNG KT'!$D$15:$P$94,21,0)</f>
        <v>#N/A</v>
      </c>
      <c r="Y36" s="874" t="e">
        <f>VLOOKUP(C36,'LƯƠNG KT'!$D$15:$P$94,23,0)</f>
        <v>#N/A</v>
      </c>
      <c r="Z36" s="874" t="e">
        <f>VLOOKUP(C36,'LƯƠNG KT'!$D$15:$P$94,24,0)</f>
        <v>#N/A</v>
      </c>
      <c r="AA36" s="874">
        <v>20</v>
      </c>
      <c r="AB36" s="874"/>
      <c r="AC36" s="889" t="e">
        <f t="shared" si="6"/>
        <v>#N/A</v>
      </c>
      <c r="AD36" s="889" t="e">
        <f t="shared" si="2"/>
        <v>#N/A</v>
      </c>
      <c r="AE36" s="889" t="e">
        <f t="shared" si="3"/>
        <v>#N/A</v>
      </c>
      <c r="AF36" s="915"/>
      <c r="AG36" s="891"/>
      <c r="AH36" s="941" t="s">
        <v>2749</v>
      </c>
      <c r="AI36" s="637"/>
    </row>
    <row r="37" spans="1:35" s="540" customFormat="1" ht="21" customHeight="1">
      <c r="A37" s="868">
        <v>23</v>
      </c>
      <c r="B37" s="1644" t="str">
        <f>VLOOKUP(C37,'DS CN MOI UP'!$B$10:$C$389,2,0)</f>
        <v>03332</v>
      </c>
      <c r="C37" s="875" t="s">
        <v>2646</v>
      </c>
      <c r="D37" s="875" t="s">
        <v>15</v>
      </c>
      <c r="E37" s="872"/>
      <c r="F37" s="873">
        <f>+VLOOKUP(C37,THCKT!$C$13:$AE$460,17,0)</f>
        <v>24</v>
      </c>
      <c r="G37" s="874">
        <f t="shared" si="0"/>
        <v>600000</v>
      </c>
      <c r="H37" s="874"/>
      <c r="I37" s="874"/>
      <c r="J37" s="874"/>
      <c r="K37" s="874" t="e">
        <f>VLOOKUP(C37,THCKT!$C$13:$AL$460,21,0)</f>
        <v>#N/A</v>
      </c>
      <c r="L37" s="883">
        <f>VLOOKUP(C37,THCKT!$C$13:$AL$460,22,0)</f>
        <v>0</v>
      </c>
      <c r="M37" s="883">
        <f>VLOOKUP(C37,THCKT!$C$13:$AL$460,23,0)</f>
        <v>0</v>
      </c>
      <c r="N37" s="883" t="e">
        <f t="shared" si="1"/>
        <v>#N/A</v>
      </c>
      <c r="O37" s="883" t="e">
        <f t="shared" si="4"/>
        <v>#N/A</v>
      </c>
      <c r="P37" s="884" t="e">
        <f>VLOOKUP(C37,THCKT!$C$13:$AL$460,36,0)</f>
        <v>#N/A</v>
      </c>
      <c r="Q37" s="887" t="e">
        <f t="shared" si="5"/>
        <v>#N/A</v>
      </c>
      <c r="R37" s="874" t="e">
        <f>VLOOKUP(C37,'LƯƠNG KT'!$D$15:$P$94,16,0)</f>
        <v>#N/A</v>
      </c>
      <c r="S37" s="874" t="e">
        <f>VLOOKUP(C37,'LƯƠNG KT'!$D$15:$P$94,17,0)</f>
        <v>#N/A</v>
      </c>
      <c r="T37" s="874" t="e">
        <f>VLOOKUP(C37,'LƯƠNG KT'!$D$15:$P$94,18,0)</f>
        <v>#N/A</v>
      </c>
      <c r="U37" s="874" t="e">
        <f>VLOOKUP(C37,'LƯƠNG KT'!$D$15:$P$94,18,0)</f>
        <v>#N/A</v>
      </c>
      <c r="V37" s="874" t="e">
        <f>VLOOKUP(C37,'LƯƠNG KT'!$D$15:$P$94,19,0)</f>
        <v>#N/A</v>
      </c>
      <c r="W37" s="874" t="e">
        <f>VLOOKUP(C37,'LƯƠNG KT'!$D$15:$P$94,20,0)</f>
        <v>#N/A</v>
      </c>
      <c r="X37" s="874" t="e">
        <f>VLOOKUP(C37,'LƯƠNG KT'!$D$15:$P$94,21,0)</f>
        <v>#N/A</v>
      </c>
      <c r="Y37" s="874" t="e">
        <f>VLOOKUP(C37,'LƯƠNG KT'!$D$15:$P$94,23,0)</f>
        <v>#N/A</v>
      </c>
      <c r="Z37" s="874" t="e">
        <f>VLOOKUP(C37,'LƯƠNG KT'!$D$15:$P$94,24,0)</f>
        <v>#N/A</v>
      </c>
      <c r="AA37" s="874">
        <v>20</v>
      </c>
      <c r="AB37" s="874"/>
      <c r="AC37" s="889" t="e">
        <f t="shared" si="6"/>
        <v>#N/A</v>
      </c>
      <c r="AD37" s="889" t="e">
        <f t="shared" si="2"/>
        <v>#N/A</v>
      </c>
      <c r="AE37" s="889" t="e">
        <f t="shared" si="3"/>
        <v>#N/A</v>
      </c>
      <c r="AF37" s="915"/>
      <c r="AG37" s="891"/>
      <c r="AH37" s="540" t="s">
        <v>2749</v>
      </c>
      <c r="AI37" s="637"/>
    </row>
    <row r="38" spans="1:35" s="540" customFormat="1" ht="21" customHeight="1">
      <c r="A38" s="868">
        <v>24</v>
      </c>
      <c r="B38" s="1644" t="str">
        <f>VLOOKUP(C38,'DS CN MOI UP'!$B$10:$C$389,2,0)</f>
        <v>02509</v>
      </c>
      <c r="C38" s="875" t="s">
        <v>491</v>
      </c>
      <c r="D38" s="875" t="s">
        <v>15</v>
      </c>
      <c r="E38" s="872"/>
      <c r="F38" s="873">
        <f>+VLOOKUP(C38,THCKT!$C$13:$AE$460,17,0)</f>
        <v>24</v>
      </c>
      <c r="G38" s="874">
        <f t="shared" si="0"/>
        <v>600000</v>
      </c>
      <c r="H38" s="874"/>
      <c r="I38" s="874"/>
      <c r="J38" s="874"/>
      <c r="K38" s="874" t="e">
        <f>VLOOKUP(C38,THCKT!$C$13:$AL$460,21,0)</f>
        <v>#N/A</v>
      </c>
      <c r="L38" s="883">
        <f>VLOOKUP(C38,THCKT!$C$13:$AL$460,22,0)</f>
        <v>0</v>
      </c>
      <c r="M38" s="883">
        <f>VLOOKUP(C38,THCKT!$C$13:$AL$460,23,0)</f>
        <v>0</v>
      </c>
      <c r="N38" s="883" t="e">
        <f t="shared" si="1"/>
        <v>#N/A</v>
      </c>
      <c r="O38" s="883" t="e">
        <f t="shared" si="4"/>
        <v>#N/A</v>
      </c>
      <c r="P38" s="884" t="e">
        <f>VLOOKUP(C38,THCKT!$C$13:$AL$460,36,0)</f>
        <v>#N/A</v>
      </c>
      <c r="Q38" s="887" t="e">
        <f t="shared" si="5"/>
        <v>#N/A</v>
      </c>
      <c r="R38" s="874" t="e">
        <f>VLOOKUP(C38,'LƯƠNG KT'!$D$15:$P$94,16,0)</f>
        <v>#N/A</v>
      </c>
      <c r="S38" s="874" t="e">
        <f>VLOOKUP(C38,'LƯƠNG KT'!$D$15:$P$94,17,0)</f>
        <v>#N/A</v>
      </c>
      <c r="T38" s="874" t="e">
        <f>VLOOKUP(C38,'LƯƠNG KT'!$D$15:$P$94,18,0)</f>
        <v>#N/A</v>
      </c>
      <c r="U38" s="874" t="e">
        <f>VLOOKUP(C38,'LƯƠNG KT'!$D$15:$P$94,18,0)</f>
        <v>#N/A</v>
      </c>
      <c r="V38" s="874" t="e">
        <f>VLOOKUP(C38,'LƯƠNG KT'!$D$15:$P$94,19,0)</f>
        <v>#N/A</v>
      </c>
      <c r="W38" s="874" t="e">
        <f>VLOOKUP(C38,'LƯƠNG KT'!$D$15:$P$94,20,0)</f>
        <v>#N/A</v>
      </c>
      <c r="X38" s="874" t="e">
        <f>VLOOKUP(C38,'LƯƠNG KT'!$D$15:$P$94,21,0)</f>
        <v>#N/A</v>
      </c>
      <c r="Y38" s="874" t="e">
        <f>VLOOKUP(C38,'LƯƠNG KT'!$D$15:$P$94,23,0)</f>
        <v>#N/A</v>
      </c>
      <c r="Z38" s="874" t="e">
        <f>VLOOKUP(C38,'LƯƠNG KT'!$D$15:$P$94,24,0)</f>
        <v>#N/A</v>
      </c>
      <c r="AA38" s="874">
        <v>20</v>
      </c>
      <c r="AB38" s="874"/>
      <c r="AC38" s="889" t="e">
        <f t="shared" si="6"/>
        <v>#N/A</v>
      </c>
      <c r="AD38" s="889" t="e">
        <f t="shared" si="2"/>
        <v>#N/A</v>
      </c>
      <c r="AE38" s="889" t="e">
        <f t="shared" si="3"/>
        <v>#N/A</v>
      </c>
      <c r="AF38" s="915"/>
      <c r="AG38" s="891"/>
      <c r="AH38" s="941" t="s">
        <v>2749</v>
      </c>
      <c r="AI38" s="637"/>
    </row>
    <row r="39" spans="1:35" s="540" customFormat="1" ht="21" customHeight="1">
      <c r="A39" s="868">
        <v>25</v>
      </c>
      <c r="B39" s="1644" t="str">
        <f>VLOOKUP(C39,'DS CN MOI UP'!$B$10:$C$389,2,0)</f>
        <v>03323</v>
      </c>
      <c r="C39" s="875" t="s">
        <v>24</v>
      </c>
      <c r="D39" s="875" t="s">
        <v>15</v>
      </c>
      <c r="E39" s="872"/>
      <c r="F39" s="873">
        <f>+VLOOKUP(C39,THCKT!$C$13:$AE$460,17,0)</f>
        <v>24</v>
      </c>
      <c r="G39" s="874">
        <f t="shared" si="0"/>
        <v>600000</v>
      </c>
      <c r="H39" s="874"/>
      <c r="I39" s="874"/>
      <c r="J39" s="874"/>
      <c r="K39" s="874" t="e">
        <f>VLOOKUP(C39,THCKT!$C$13:$AL$460,21,0)</f>
        <v>#N/A</v>
      </c>
      <c r="L39" s="883">
        <f>VLOOKUP(C39,THCKT!$C$13:$AL$460,22,0)</f>
        <v>0</v>
      </c>
      <c r="M39" s="883">
        <f>VLOOKUP(C39,THCKT!$C$13:$AL$460,23,0)</f>
        <v>0</v>
      </c>
      <c r="N39" s="883" t="e">
        <f t="shared" si="1"/>
        <v>#N/A</v>
      </c>
      <c r="O39" s="883" t="e">
        <f t="shared" si="4"/>
        <v>#N/A</v>
      </c>
      <c r="P39" s="884" t="e">
        <f>VLOOKUP(C39,THCKT!$C$13:$AL$460,36,0)</f>
        <v>#N/A</v>
      </c>
      <c r="Q39" s="887" t="e">
        <f t="shared" si="5"/>
        <v>#N/A</v>
      </c>
      <c r="R39" s="874" t="e">
        <f>VLOOKUP(C39,'LƯƠNG KT'!$D$15:$P$94,16,0)</f>
        <v>#N/A</v>
      </c>
      <c r="S39" s="874" t="e">
        <f>VLOOKUP(C39,'LƯƠNG KT'!$D$15:$P$94,17,0)</f>
        <v>#N/A</v>
      </c>
      <c r="T39" s="874" t="e">
        <f>VLOOKUP(C39,'LƯƠNG KT'!$D$15:$P$94,18,0)</f>
        <v>#N/A</v>
      </c>
      <c r="U39" s="874" t="e">
        <f>VLOOKUP(C39,'LƯƠNG KT'!$D$15:$P$94,18,0)</f>
        <v>#N/A</v>
      </c>
      <c r="V39" s="874" t="e">
        <f>VLOOKUP(C39,'LƯƠNG KT'!$D$15:$P$94,19,0)</f>
        <v>#N/A</v>
      </c>
      <c r="W39" s="874" t="e">
        <f>VLOOKUP(C39,'LƯƠNG KT'!$D$15:$P$94,20,0)</f>
        <v>#N/A</v>
      </c>
      <c r="X39" s="874" t="e">
        <f>VLOOKUP(C39,'LƯƠNG KT'!$D$15:$P$94,21,0)</f>
        <v>#N/A</v>
      </c>
      <c r="Y39" s="874" t="e">
        <f>VLOOKUP(C39,'LƯƠNG KT'!$D$15:$P$94,23,0)</f>
        <v>#N/A</v>
      </c>
      <c r="Z39" s="874" t="e">
        <f>VLOOKUP(C39,'LƯƠNG KT'!$D$15:$P$94,24,0)</f>
        <v>#N/A</v>
      </c>
      <c r="AA39" s="874">
        <v>20</v>
      </c>
      <c r="AB39" s="874"/>
      <c r="AC39" s="889" t="e">
        <f t="shared" si="6"/>
        <v>#N/A</v>
      </c>
      <c r="AD39" s="889" t="e">
        <f t="shared" si="2"/>
        <v>#N/A</v>
      </c>
      <c r="AE39" s="889" t="e">
        <f t="shared" si="3"/>
        <v>#N/A</v>
      </c>
      <c r="AF39" s="915"/>
      <c r="AG39" s="891"/>
      <c r="AH39" s="540" t="s">
        <v>2749</v>
      </c>
      <c r="AI39" s="637"/>
    </row>
    <row r="40" spans="1:35" s="540" customFormat="1" ht="21" customHeight="1">
      <c r="A40" s="868">
        <v>26</v>
      </c>
      <c r="B40" s="1644" t="str">
        <f>VLOOKUP(C40,'DS CN MOI UP'!$B$10:$C$389,2,0)</f>
        <v>03337</v>
      </c>
      <c r="C40" s="875" t="s">
        <v>2647</v>
      </c>
      <c r="D40" s="875" t="s">
        <v>15</v>
      </c>
      <c r="E40" s="872"/>
      <c r="F40" s="873">
        <f>+VLOOKUP(C40,THCKT!$C$13:$AE$460,17,0)</f>
        <v>24</v>
      </c>
      <c r="G40" s="874">
        <f t="shared" si="0"/>
        <v>600000</v>
      </c>
      <c r="H40" s="874"/>
      <c r="I40" s="874"/>
      <c r="J40" s="874"/>
      <c r="K40" s="874" t="e">
        <f>VLOOKUP(C40,THCKT!$C$13:$AL$460,21,0)</f>
        <v>#N/A</v>
      </c>
      <c r="L40" s="883">
        <f>VLOOKUP(C40,THCKT!$C$13:$AL$460,22,0)</f>
        <v>0</v>
      </c>
      <c r="M40" s="883">
        <f>VLOOKUP(C40,THCKT!$C$13:$AL$460,23,0)</f>
        <v>0</v>
      </c>
      <c r="N40" s="883" t="e">
        <f t="shared" si="1"/>
        <v>#N/A</v>
      </c>
      <c r="O40" s="883" t="e">
        <f t="shared" si="4"/>
        <v>#N/A</v>
      </c>
      <c r="P40" s="884" t="e">
        <f>VLOOKUP(C40,THCKT!$C$13:$AL$460,36,0)</f>
        <v>#N/A</v>
      </c>
      <c r="Q40" s="887" t="e">
        <f t="shared" si="5"/>
        <v>#N/A</v>
      </c>
      <c r="R40" s="874" t="e">
        <f>VLOOKUP(C40,'LƯƠNG KT'!$D$15:$P$94,16,0)</f>
        <v>#N/A</v>
      </c>
      <c r="S40" s="874" t="e">
        <f>VLOOKUP(C40,'LƯƠNG KT'!$D$15:$P$94,17,0)</f>
        <v>#N/A</v>
      </c>
      <c r="T40" s="874" t="e">
        <f>VLOOKUP(C40,'LƯƠNG KT'!$D$15:$P$94,18,0)</f>
        <v>#N/A</v>
      </c>
      <c r="U40" s="874" t="e">
        <f>VLOOKUP(C40,'LƯƠNG KT'!$D$15:$P$94,18,0)</f>
        <v>#N/A</v>
      </c>
      <c r="V40" s="874" t="e">
        <f>VLOOKUP(C40,'LƯƠNG KT'!$D$15:$P$94,19,0)</f>
        <v>#N/A</v>
      </c>
      <c r="W40" s="874" t="e">
        <f>VLOOKUP(C40,'LƯƠNG KT'!$D$15:$P$94,20,0)</f>
        <v>#N/A</v>
      </c>
      <c r="X40" s="874" t="e">
        <f>VLOOKUP(C40,'LƯƠNG KT'!$D$15:$P$94,21,0)</f>
        <v>#N/A</v>
      </c>
      <c r="Y40" s="874" t="e">
        <f>VLOOKUP(C40,'LƯƠNG KT'!$D$15:$P$94,23,0)</f>
        <v>#N/A</v>
      </c>
      <c r="Z40" s="874" t="e">
        <f>VLOOKUP(C40,'LƯƠNG KT'!$D$15:$P$94,24,0)</f>
        <v>#N/A</v>
      </c>
      <c r="AA40" s="874">
        <v>20</v>
      </c>
      <c r="AB40" s="874"/>
      <c r="AC40" s="889" t="e">
        <f t="shared" si="6"/>
        <v>#N/A</v>
      </c>
      <c r="AD40" s="889" t="e">
        <f t="shared" si="2"/>
        <v>#N/A</v>
      </c>
      <c r="AE40" s="889" t="e">
        <f t="shared" si="3"/>
        <v>#N/A</v>
      </c>
      <c r="AF40" s="915"/>
      <c r="AG40" s="891"/>
      <c r="AH40" s="941" t="s">
        <v>2749</v>
      </c>
      <c r="AI40" s="637"/>
    </row>
    <row r="41" spans="1:35" s="540" customFormat="1" ht="21" customHeight="1">
      <c r="A41" s="868">
        <v>27</v>
      </c>
      <c r="B41" s="1644" t="str">
        <f>VLOOKUP(C41,'DS CN MOI UP'!$B$10:$C$389,2,0)</f>
        <v>02482</v>
      </c>
      <c r="C41" s="875" t="s">
        <v>83</v>
      </c>
      <c r="D41" s="875" t="s">
        <v>15</v>
      </c>
      <c r="E41" s="872"/>
      <c r="F41" s="873">
        <f>+VLOOKUP(C41,THCKT!$C$13:$AE$460,17,0)</f>
        <v>24</v>
      </c>
      <c r="G41" s="874">
        <f t="shared" si="0"/>
        <v>600000</v>
      </c>
      <c r="H41" s="874"/>
      <c r="I41" s="874"/>
      <c r="J41" s="874"/>
      <c r="K41" s="874" t="e">
        <f>VLOOKUP(C41,THCKT!$C$13:$AL$460,21,0)</f>
        <v>#N/A</v>
      </c>
      <c r="L41" s="883">
        <f>VLOOKUP(C41,THCKT!$C$13:$AL$460,22,0)</f>
        <v>0</v>
      </c>
      <c r="M41" s="883">
        <f>VLOOKUP(C41,THCKT!$C$13:$AL$460,23,0)</f>
        <v>0</v>
      </c>
      <c r="N41" s="883" t="e">
        <f t="shared" si="1"/>
        <v>#N/A</v>
      </c>
      <c r="O41" s="883" t="e">
        <f t="shared" si="4"/>
        <v>#N/A</v>
      </c>
      <c r="P41" s="884" t="e">
        <f>VLOOKUP(C41,THCKT!$C$13:$AL$460,36,0)</f>
        <v>#N/A</v>
      </c>
      <c r="Q41" s="887" t="e">
        <f t="shared" si="5"/>
        <v>#N/A</v>
      </c>
      <c r="R41" s="874" t="e">
        <f>VLOOKUP(C41,'LƯƠNG KT'!$D$15:$P$94,16,0)</f>
        <v>#N/A</v>
      </c>
      <c r="S41" s="874" t="e">
        <f>VLOOKUP(C41,'LƯƠNG KT'!$D$15:$P$94,17,0)</f>
        <v>#N/A</v>
      </c>
      <c r="T41" s="874" t="e">
        <f>VLOOKUP(C41,'LƯƠNG KT'!$D$15:$P$94,18,0)</f>
        <v>#N/A</v>
      </c>
      <c r="U41" s="874" t="e">
        <f>VLOOKUP(C41,'LƯƠNG KT'!$D$15:$P$94,18,0)</f>
        <v>#N/A</v>
      </c>
      <c r="V41" s="874" t="e">
        <f>VLOOKUP(C41,'LƯƠNG KT'!$D$15:$P$94,19,0)</f>
        <v>#N/A</v>
      </c>
      <c r="W41" s="874" t="e">
        <f>VLOOKUP(C41,'LƯƠNG KT'!$D$15:$P$94,20,0)</f>
        <v>#N/A</v>
      </c>
      <c r="X41" s="874" t="e">
        <f>VLOOKUP(C41,'LƯƠNG KT'!$D$15:$P$94,21,0)</f>
        <v>#N/A</v>
      </c>
      <c r="Y41" s="874" t="e">
        <f>VLOOKUP(C41,'LƯƠNG KT'!$D$15:$P$94,23,0)</f>
        <v>#N/A</v>
      </c>
      <c r="Z41" s="874" t="e">
        <f>VLOOKUP(C41,'LƯƠNG KT'!$D$15:$P$94,24,0)</f>
        <v>#N/A</v>
      </c>
      <c r="AA41" s="874">
        <v>20</v>
      </c>
      <c r="AB41" s="874"/>
      <c r="AC41" s="889" t="e">
        <f t="shared" si="6"/>
        <v>#N/A</v>
      </c>
      <c r="AD41" s="889" t="e">
        <f t="shared" si="2"/>
        <v>#N/A</v>
      </c>
      <c r="AE41" s="889" t="e">
        <f t="shared" si="3"/>
        <v>#N/A</v>
      </c>
      <c r="AF41" s="915"/>
      <c r="AG41" s="891"/>
      <c r="AH41" s="540" t="s">
        <v>2749</v>
      </c>
      <c r="AI41" s="637"/>
    </row>
    <row r="42" spans="1:35" s="540" customFormat="1" ht="21" customHeight="1">
      <c r="A42" s="868">
        <v>28</v>
      </c>
      <c r="B42" s="1644" t="str">
        <f>VLOOKUP(C42,'DS CN MOI UP'!$B$10:$C$389,2,0)</f>
        <v>03322</v>
      </c>
      <c r="C42" s="875" t="s">
        <v>21</v>
      </c>
      <c r="D42" s="875" t="s">
        <v>15</v>
      </c>
      <c r="E42" s="872"/>
      <c r="F42" s="873">
        <f>+VLOOKUP(C42,THCKT!$C$13:$AE$460,17,0)</f>
        <v>24</v>
      </c>
      <c r="G42" s="874">
        <f t="shared" si="0"/>
        <v>600000</v>
      </c>
      <c r="H42" s="874"/>
      <c r="I42" s="874"/>
      <c r="J42" s="874"/>
      <c r="K42" s="874" t="e">
        <f>VLOOKUP(C42,THCKT!$C$13:$AL$460,21,0)</f>
        <v>#N/A</v>
      </c>
      <c r="L42" s="883">
        <f>VLOOKUP(C42,THCKT!$C$13:$AL$460,22,0)</f>
        <v>0</v>
      </c>
      <c r="M42" s="883">
        <f>VLOOKUP(C42,THCKT!$C$13:$AL$460,23,0)</f>
        <v>0</v>
      </c>
      <c r="N42" s="883" t="e">
        <f t="shared" si="1"/>
        <v>#N/A</v>
      </c>
      <c r="O42" s="883" t="e">
        <f t="shared" si="4"/>
        <v>#N/A</v>
      </c>
      <c r="P42" s="884" t="e">
        <f>VLOOKUP(C42,THCKT!$C$13:$AL$460,36,0)</f>
        <v>#N/A</v>
      </c>
      <c r="Q42" s="887" t="e">
        <f t="shared" si="5"/>
        <v>#N/A</v>
      </c>
      <c r="R42" s="874" t="e">
        <f>VLOOKUP(C42,'LƯƠNG KT'!$D$15:$P$94,16,0)</f>
        <v>#N/A</v>
      </c>
      <c r="S42" s="874" t="e">
        <f>VLOOKUP(C42,'LƯƠNG KT'!$D$15:$P$94,17,0)</f>
        <v>#N/A</v>
      </c>
      <c r="T42" s="874" t="e">
        <f>VLOOKUP(C42,'LƯƠNG KT'!$D$15:$P$94,18,0)</f>
        <v>#N/A</v>
      </c>
      <c r="U42" s="874" t="e">
        <f>VLOOKUP(C42,'LƯƠNG KT'!$D$15:$P$94,18,0)</f>
        <v>#N/A</v>
      </c>
      <c r="V42" s="874" t="e">
        <f>VLOOKUP(C42,'LƯƠNG KT'!$D$15:$P$94,19,0)</f>
        <v>#N/A</v>
      </c>
      <c r="W42" s="874" t="e">
        <f>VLOOKUP(C42,'LƯƠNG KT'!$D$15:$P$94,20,0)</f>
        <v>#N/A</v>
      </c>
      <c r="X42" s="874" t="e">
        <f>VLOOKUP(C42,'LƯƠNG KT'!$D$15:$P$94,21,0)</f>
        <v>#N/A</v>
      </c>
      <c r="Y42" s="874" t="e">
        <f>VLOOKUP(C42,'LƯƠNG KT'!$D$15:$P$94,23,0)</f>
        <v>#N/A</v>
      </c>
      <c r="Z42" s="874" t="e">
        <f>VLOOKUP(C42,'LƯƠNG KT'!$D$15:$P$94,24,0)</f>
        <v>#N/A</v>
      </c>
      <c r="AA42" s="874">
        <v>20</v>
      </c>
      <c r="AB42" s="874"/>
      <c r="AC42" s="889" t="e">
        <f t="shared" si="6"/>
        <v>#N/A</v>
      </c>
      <c r="AD42" s="889" t="e">
        <f t="shared" si="2"/>
        <v>#N/A</v>
      </c>
      <c r="AE42" s="889" t="e">
        <f t="shared" si="3"/>
        <v>#N/A</v>
      </c>
      <c r="AF42" s="915"/>
      <c r="AG42" s="891"/>
      <c r="AH42" s="941" t="s">
        <v>2749</v>
      </c>
      <c r="AI42" s="637"/>
    </row>
    <row r="43" spans="1:35" s="540" customFormat="1" ht="21" customHeight="1">
      <c r="A43" s="868">
        <v>29</v>
      </c>
      <c r="B43" s="1644" t="str">
        <f>VLOOKUP(C43,'DS CN MOI UP'!$B$10:$C$389,2,0)</f>
        <v>02483</v>
      </c>
      <c r="C43" s="875" t="s">
        <v>53</v>
      </c>
      <c r="D43" s="875" t="s">
        <v>15</v>
      </c>
      <c r="E43" s="872"/>
      <c r="F43" s="873">
        <f>+VLOOKUP(C43,THCKT!$C$13:$AE$460,17,0)</f>
        <v>24</v>
      </c>
      <c r="G43" s="874">
        <f t="shared" si="0"/>
        <v>600000</v>
      </c>
      <c r="H43" s="874"/>
      <c r="I43" s="874"/>
      <c r="J43" s="874"/>
      <c r="K43" s="874" t="e">
        <f>VLOOKUP(C43,THCKT!$C$13:$AL$460,21,0)</f>
        <v>#N/A</v>
      </c>
      <c r="L43" s="883">
        <f>VLOOKUP(C43,THCKT!$C$13:$AL$460,22,0)</f>
        <v>0</v>
      </c>
      <c r="M43" s="883">
        <f>VLOOKUP(C43,THCKT!$C$13:$AL$460,23,0)</f>
        <v>0</v>
      </c>
      <c r="N43" s="883" t="e">
        <f t="shared" si="1"/>
        <v>#N/A</v>
      </c>
      <c r="O43" s="883" t="e">
        <f t="shared" si="4"/>
        <v>#N/A</v>
      </c>
      <c r="P43" s="884" t="e">
        <f>VLOOKUP(C43,THCKT!$C$13:$AL$460,36,0)</f>
        <v>#N/A</v>
      </c>
      <c r="Q43" s="887" t="e">
        <f t="shared" si="5"/>
        <v>#N/A</v>
      </c>
      <c r="R43" s="874" t="e">
        <f>VLOOKUP(C43,'LƯƠNG KT'!$D$15:$P$94,16,0)</f>
        <v>#N/A</v>
      </c>
      <c r="S43" s="874" t="e">
        <f>VLOOKUP(C43,'LƯƠNG KT'!$D$15:$P$94,17,0)</f>
        <v>#N/A</v>
      </c>
      <c r="T43" s="874" t="e">
        <f>VLOOKUP(C43,'LƯƠNG KT'!$D$15:$P$94,18,0)</f>
        <v>#N/A</v>
      </c>
      <c r="U43" s="874" t="e">
        <f>VLOOKUP(C43,'LƯƠNG KT'!$D$15:$P$94,18,0)</f>
        <v>#N/A</v>
      </c>
      <c r="V43" s="874" t="e">
        <f>VLOOKUP(C43,'LƯƠNG KT'!$D$15:$P$94,19,0)</f>
        <v>#N/A</v>
      </c>
      <c r="W43" s="874" t="e">
        <f>VLOOKUP(C43,'LƯƠNG KT'!$D$15:$P$94,20,0)</f>
        <v>#N/A</v>
      </c>
      <c r="X43" s="874" t="e">
        <f>VLOOKUP(C43,'LƯƠNG KT'!$D$15:$P$94,21,0)</f>
        <v>#N/A</v>
      </c>
      <c r="Y43" s="874" t="e">
        <f>VLOOKUP(C43,'LƯƠNG KT'!$D$15:$P$94,23,0)</f>
        <v>#N/A</v>
      </c>
      <c r="Z43" s="874" t="e">
        <f>VLOOKUP(C43,'LƯƠNG KT'!$D$15:$P$94,24,0)</f>
        <v>#N/A</v>
      </c>
      <c r="AA43" s="874">
        <v>20</v>
      </c>
      <c r="AB43" s="874"/>
      <c r="AC43" s="889" t="e">
        <f t="shared" si="6"/>
        <v>#N/A</v>
      </c>
      <c r="AD43" s="889" t="e">
        <f t="shared" si="2"/>
        <v>#N/A</v>
      </c>
      <c r="AE43" s="889" t="e">
        <f t="shared" si="3"/>
        <v>#N/A</v>
      </c>
      <c r="AF43" s="915"/>
      <c r="AG43" s="891"/>
      <c r="AH43" s="540" t="s">
        <v>2749</v>
      </c>
      <c r="AI43" s="637"/>
    </row>
    <row r="44" spans="1:35" s="540" customFormat="1" ht="21" customHeight="1">
      <c r="A44" s="868">
        <v>30</v>
      </c>
      <c r="B44" s="1644" t="str">
        <f>VLOOKUP(C44,'DS CN MOI UP'!$B$10:$C$389,2,0)</f>
        <v>02484</v>
      </c>
      <c r="C44" s="875" t="s">
        <v>490</v>
      </c>
      <c r="D44" s="875" t="s">
        <v>15</v>
      </c>
      <c r="E44" s="872"/>
      <c r="F44" s="873">
        <f>+VLOOKUP(C44,THCKT!$C$13:$AE$460,17,0)</f>
        <v>24</v>
      </c>
      <c r="G44" s="874">
        <f t="shared" si="0"/>
        <v>600000</v>
      </c>
      <c r="H44" s="874"/>
      <c r="I44" s="874"/>
      <c r="J44" s="874"/>
      <c r="K44" s="874" t="e">
        <f>VLOOKUP(C44,THCKT!$C$13:$AL$460,21,0)</f>
        <v>#N/A</v>
      </c>
      <c r="L44" s="883">
        <f>VLOOKUP(C44,THCKT!$C$13:$AL$460,22,0)</f>
        <v>0</v>
      </c>
      <c r="M44" s="883">
        <f>VLOOKUP(C44,THCKT!$C$13:$AL$460,23,0)</f>
        <v>0</v>
      </c>
      <c r="N44" s="883" t="e">
        <f t="shared" si="1"/>
        <v>#N/A</v>
      </c>
      <c r="O44" s="883" t="e">
        <f t="shared" si="4"/>
        <v>#N/A</v>
      </c>
      <c r="P44" s="884" t="e">
        <f>VLOOKUP(C44,THCKT!$C$13:$AL$460,36,0)</f>
        <v>#N/A</v>
      </c>
      <c r="Q44" s="887" t="e">
        <f t="shared" si="5"/>
        <v>#N/A</v>
      </c>
      <c r="R44" s="874" t="e">
        <f>VLOOKUP(C44,'LƯƠNG KT'!$D$15:$P$94,16,0)</f>
        <v>#N/A</v>
      </c>
      <c r="S44" s="874" t="e">
        <f>VLOOKUP(C44,'LƯƠNG KT'!$D$15:$P$94,17,0)</f>
        <v>#N/A</v>
      </c>
      <c r="T44" s="874" t="e">
        <f>VLOOKUP(C44,'LƯƠNG KT'!$D$15:$P$94,18,0)</f>
        <v>#N/A</v>
      </c>
      <c r="U44" s="874" t="e">
        <f>VLOOKUP(C44,'LƯƠNG KT'!$D$15:$P$94,18,0)</f>
        <v>#N/A</v>
      </c>
      <c r="V44" s="874" t="e">
        <f>VLOOKUP(C44,'LƯƠNG KT'!$D$15:$P$94,19,0)</f>
        <v>#N/A</v>
      </c>
      <c r="W44" s="874" t="e">
        <f>VLOOKUP(C44,'LƯƠNG KT'!$D$15:$P$94,20,0)</f>
        <v>#N/A</v>
      </c>
      <c r="X44" s="874" t="e">
        <f>VLOOKUP(C44,'LƯƠNG KT'!$D$15:$P$94,21,0)</f>
        <v>#N/A</v>
      </c>
      <c r="Y44" s="874" t="e">
        <f>VLOOKUP(C44,'LƯƠNG KT'!$D$15:$P$94,23,0)</f>
        <v>#N/A</v>
      </c>
      <c r="Z44" s="874" t="e">
        <f>VLOOKUP(C44,'LƯƠNG KT'!$D$15:$P$94,24,0)</f>
        <v>#N/A</v>
      </c>
      <c r="AA44" s="874">
        <v>20</v>
      </c>
      <c r="AB44" s="874"/>
      <c r="AC44" s="889" t="e">
        <f t="shared" si="6"/>
        <v>#N/A</v>
      </c>
      <c r="AD44" s="889" t="e">
        <f t="shared" si="2"/>
        <v>#N/A</v>
      </c>
      <c r="AE44" s="889" t="e">
        <f t="shared" si="3"/>
        <v>#N/A</v>
      </c>
      <c r="AF44" s="915"/>
      <c r="AG44" s="891"/>
      <c r="AH44" s="941" t="s">
        <v>2749</v>
      </c>
      <c r="AI44" s="637"/>
    </row>
    <row r="45" spans="1:35" s="540" customFormat="1" ht="21" customHeight="1">
      <c r="A45" s="868">
        <v>31</v>
      </c>
      <c r="B45" s="1644" t="str">
        <f>VLOOKUP(C45,'DS CN MOI UP'!$B$10:$C$389,2,0)</f>
        <v>03341</v>
      </c>
      <c r="C45" s="875" t="s">
        <v>487</v>
      </c>
      <c r="D45" s="875" t="s">
        <v>15</v>
      </c>
      <c r="E45" s="872"/>
      <c r="F45" s="873">
        <f>+VLOOKUP(C45,THCKT!$C$13:$AE$460,17,0)</f>
        <v>24</v>
      </c>
      <c r="G45" s="874">
        <f t="shared" si="0"/>
        <v>600000</v>
      </c>
      <c r="H45" s="874"/>
      <c r="I45" s="874"/>
      <c r="J45" s="874"/>
      <c r="K45" s="874" t="e">
        <f>VLOOKUP(C45,THCKT!$C$13:$AL$460,21,0)</f>
        <v>#N/A</v>
      </c>
      <c r="L45" s="883">
        <f>VLOOKUP(C45,THCKT!$C$13:$AL$460,22,0)</f>
        <v>0</v>
      </c>
      <c r="M45" s="883">
        <f>VLOOKUP(C45,THCKT!$C$13:$AL$460,23,0)</f>
        <v>0</v>
      </c>
      <c r="N45" s="883" t="e">
        <f t="shared" si="1"/>
        <v>#N/A</v>
      </c>
      <c r="O45" s="883" t="e">
        <f t="shared" si="4"/>
        <v>#N/A</v>
      </c>
      <c r="P45" s="884" t="e">
        <f>VLOOKUP(C45,THCKT!$C$13:$AL$460,36,0)</f>
        <v>#N/A</v>
      </c>
      <c r="Q45" s="887" t="e">
        <f t="shared" si="5"/>
        <v>#N/A</v>
      </c>
      <c r="R45" s="874" t="e">
        <f>VLOOKUP(C45,'LƯƠNG KT'!$D$15:$P$94,16,0)</f>
        <v>#N/A</v>
      </c>
      <c r="S45" s="874" t="e">
        <f>VLOOKUP(C45,'LƯƠNG KT'!$D$15:$P$94,17,0)</f>
        <v>#N/A</v>
      </c>
      <c r="T45" s="874" t="e">
        <f>VLOOKUP(C45,'LƯƠNG KT'!$D$15:$P$94,18,0)</f>
        <v>#N/A</v>
      </c>
      <c r="U45" s="874" t="e">
        <f>VLOOKUP(C45,'LƯƠNG KT'!$D$15:$P$94,18,0)</f>
        <v>#N/A</v>
      </c>
      <c r="V45" s="874" t="e">
        <f>VLOOKUP(C45,'LƯƠNG KT'!$D$15:$P$94,19,0)</f>
        <v>#N/A</v>
      </c>
      <c r="W45" s="874" t="e">
        <f>VLOOKUP(C45,'LƯƠNG KT'!$D$15:$P$94,20,0)</f>
        <v>#N/A</v>
      </c>
      <c r="X45" s="874" t="e">
        <f>VLOOKUP(C45,'LƯƠNG KT'!$D$15:$P$94,21,0)</f>
        <v>#N/A</v>
      </c>
      <c r="Y45" s="874" t="e">
        <f>VLOOKUP(C45,'LƯƠNG KT'!$D$15:$P$94,23,0)</f>
        <v>#N/A</v>
      </c>
      <c r="Z45" s="874" t="e">
        <f>VLOOKUP(C45,'LƯƠNG KT'!$D$15:$P$94,24,0)</f>
        <v>#N/A</v>
      </c>
      <c r="AA45" s="874">
        <v>20</v>
      </c>
      <c r="AB45" s="874"/>
      <c r="AC45" s="889" t="e">
        <f t="shared" si="6"/>
        <v>#N/A</v>
      </c>
      <c r="AD45" s="889" t="e">
        <f t="shared" si="2"/>
        <v>#N/A</v>
      </c>
      <c r="AE45" s="889" t="e">
        <f t="shared" si="3"/>
        <v>#N/A</v>
      </c>
      <c r="AF45" s="915"/>
      <c r="AG45" s="891"/>
      <c r="AH45" s="540" t="s">
        <v>2749</v>
      </c>
      <c r="AI45" s="637"/>
    </row>
    <row r="46" spans="1:35" s="540" customFormat="1" ht="21" customHeight="1">
      <c r="A46" s="868">
        <v>32</v>
      </c>
      <c r="B46" s="1644" t="str">
        <f>VLOOKUP(C46,'DS CN MOI UP'!$B$10:$C$389,2,0)</f>
        <v>02485</v>
      </c>
      <c r="C46" s="875" t="s">
        <v>31</v>
      </c>
      <c r="D46" s="875" t="s">
        <v>15</v>
      </c>
      <c r="E46" s="872"/>
      <c r="F46" s="873">
        <f>+VLOOKUP(C46,THCKT!$C$13:$AE$460,17,0)</f>
        <v>24</v>
      </c>
      <c r="G46" s="874">
        <f t="shared" si="0"/>
        <v>600000</v>
      </c>
      <c r="H46" s="874"/>
      <c r="I46" s="874"/>
      <c r="J46" s="874"/>
      <c r="K46" s="874" t="e">
        <f>VLOOKUP(C46,THCKT!$C$13:$AL$460,21,0)</f>
        <v>#N/A</v>
      </c>
      <c r="L46" s="883">
        <f>VLOOKUP(C46,THCKT!$C$13:$AL$460,22,0)</f>
        <v>0</v>
      </c>
      <c r="M46" s="883">
        <f>VLOOKUP(C46,THCKT!$C$13:$AL$460,23,0)</f>
        <v>0</v>
      </c>
      <c r="N46" s="883" t="e">
        <f t="shared" si="1"/>
        <v>#N/A</v>
      </c>
      <c r="O46" s="883" t="e">
        <f t="shared" si="4"/>
        <v>#N/A</v>
      </c>
      <c r="P46" s="884" t="e">
        <f>VLOOKUP(C46,THCKT!$C$13:$AL$460,36,0)</f>
        <v>#N/A</v>
      </c>
      <c r="Q46" s="887" t="e">
        <f t="shared" si="5"/>
        <v>#N/A</v>
      </c>
      <c r="R46" s="874" t="e">
        <f>VLOOKUP(C46,'LƯƠNG KT'!$D$15:$P$94,16,0)</f>
        <v>#N/A</v>
      </c>
      <c r="S46" s="874" t="e">
        <f>VLOOKUP(C46,'LƯƠNG KT'!$D$15:$P$94,17,0)</f>
        <v>#N/A</v>
      </c>
      <c r="T46" s="874" t="e">
        <f>VLOOKUP(C46,'LƯƠNG KT'!$D$15:$P$94,18,0)</f>
        <v>#N/A</v>
      </c>
      <c r="U46" s="874" t="e">
        <f>VLOOKUP(C46,'LƯƠNG KT'!$D$15:$P$94,18,0)</f>
        <v>#N/A</v>
      </c>
      <c r="V46" s="874" t="e">
        <f>VLOOKUP(C46,'LƯƠNG KT'!$D$15:$P$94,19,0)</f>
        <v>#N/A</v>
      </c>
      <c r="W46" s="874" t="e">
        <f>VLOOKUP(C46,'LƯƠNG KT'!$D$15:$P$94,20,0)</f>
        <v>#N/A</v>
      </c>
      <c r="X46" s="874" t="e">
        <f>VLOOKUP(C46,'LƯƠNG KT'!$D$15:$P$94,21,0)</f>
        <v>#N/A</v>
      </c>
      <c r="Y46" s="874" t="e">
        <f>VLOOKUP(C46,'LƯƠNG KT'!$D$15:$P$94,23,0)</f>
        <v>#N/A</v>
      </c>
      <c r="Z46" s="874" t="e">
        <f>VLOOKUP(C46,'LƯƠNG KT'!$D$15:$P$94,24,0)</f>
        <v>#N/A</v>
      </c>
      <c r="AA46" s="874">
        <v>20</v>
      </c>
      <c r="AB46" s="874"/>
      <c r="AC46" s="889" t="e">
        <f t="shared" si="6"/>
        <v>#N/A</v>
      </c>
      <c r="AD46" s="889" t="e">
        <f t="shared" si="2"/>
        <v>#N/A</v>
      </c>
      <c r="AE46" s="889" t="e">
        <f t="shared" si="3"/>
        <v>#N/A</v>
      </c>
      <c r="AF46" s="915"/>
      <c r="AG46" s="891"/>
      <c r="AH46" s="941" t="s">
        <v>2749</v>
      </c>
      <c r="AI46" s="637"/>
    </row>
    <row r="47" spans="1:35" s="540" customFormat="1" ht="21" customHeight="1">
      <c r="A47" s="868">
        <v>33</v>
      </c>
      <c r="B47" s="1644" t="str">
        <f>VLOOKUP(C47,'DS CN MOI UP'!$B$10:$C$389,2,0)</f>
        <v>02487</v>
      </c>
      <c r="C47" s="875" t="s">
        <v>32</v>
      </c>
      <c r="D47" s="875" t="s">
        <v>15</v>
      </c>
      <c r="E47" s="872"/>
      <c r="F47" s="873">
        <f>+VLOOKUP(C47,THCKT!$C$13:$AE$460,17,0)</f>
        <v>24</v>
      </c>
      <c r="G47" s="874">
        <f t="shared" si="0"/>
        <v>600000</v>
      </c>
      <c r="H47" s="874"/>
      <c r="I47" s="874"/>
      <c r="J47" s="874"/>
      <c r="K47" s="874" t="e">
        <f>VLOOKUP(C47,THCKT!$C$13:$AL$460,21,0)</f>
        <v>#N/A</v>
      </c>
      <c r="L47" s="883">
        <f>VLOOKUP(C47,THCKT!$C$13:$AL$460,22,0)</f>
        <v>0</v>
      </c>
      <c r="M47" s="883">
        <f>VLOOKUP(C47,THCKT!$C$13:$AL$460,23,0)</f>
        <v>0</v>
      </c>
      <c r="N47" s="883" t="e">
        <f t="shared" ref="N47:N78" si="7">$AI$8/$AI$7*K47+L47*$AI$9+M47*$AI$10</f>
        <v>#N/A</v>
      </c>
      <c r="O47" s="883" t="e">
        <f t="shared" si="4"/>
        <v>#N/A</v>
      </c>
      <c r="P47" s="884" t="e">
        <f>VLOOKUP(C47,THCKT!$C$13:$AL$460,36,0)</f>
        <v>#N/A</v>
      </c>
      <c r="Q47" s="887" t="e">
        <f t="shared" si="5"/>
        <v>#N/A</v>
      </c>
      <c r="R47" s="874" t="e">
        <f>VLOOKUP(C47,'LƯƠNG KT'!$D$15:$P$94,16,0)</f>
        <v>#N/A</v>
      </c>
      <c r="S47" s="874" t="e">
        <f>VLOOKUP(C47,'LƯƠNG KT'!$D$15:$P$94,17,0)</f>
        <v>#N/A</v>
      </c>
      <c r="T47" s="874" t="e">
        <f>VLOOKUP(C47,'LƯƠNG KT'!$D$15:$P$94,18,0)</f>
        <v>#N/A</v>
      </c>
      <c r="U47" s="874" t="e">
        <f>VLOOKUP(C47,'LƯƠNG KT'!$D$15:$P$94,18,0)</f>
        <v>#N/A</v>
      </c>
      <c r="V47" s="874" t="e">
        <f>VLOOKUP(C47,'LƯƠNG KT'!$D$15:$P$94,19,0)</f>
        <v>#N/A</v>
      </c>
      <c r="W47" s="874" t="e">
        <f>VLOOKUP(C47,'LƯƠNG KT'!$D$15:$P$94,20,0)</f>
        <v>#N/A</v>
      </c>
      <c r="X47" s="874" t="e">
        <f>VLOOKUP(C47,'LƯƠNG KT'!$D$15:$P$94,21,0)</f>
        <v>#N/A</v>
      </c>
      <c r="Y47" s="874" t="e">
        <f>VLOOKUP(C47,'LƯƠNG KT'!$D$15:$P$94,23,0)</f>
        <v>#N/A</v>
      </c>
      <c r="Z47" s="874" t="e">
        <f>VLOOKUP(C47,'LƯƠNG KT'!$D$15:$P$94,24,0)</f>
        <v>#N/A</v>
      </c>
      <c r="AA47" s="874">
        <v>20</v>
      </c>
      <c r="AB47" s="874"/>
      <c r="AC47" s="889" t="e">
        <f t="shared" si="6"/>
        <v>#N/A</v>
      </c>
      <c r="AD47" s="889" t="e">
        <f t="shared" ref="AD47:AD78" si="8">+AC47+Q47+G47</f>
        <v>#N/A</v>
      </c>
      <c r="AE47" s="889" t="e">
        <f t="shared" si="3"/>
        <v>#N/A</v>
      </c>
      <c r="AF47" s="915"/>
      <c r="AG47" s="891"/>
      <c r="AH47" s="540" t="s">
        <v>2749</v>
      </c>
      <c r="AI47" s="637"/>
    </row>
    <row r="48" spans="1:35" s="540" customFormat="1" ht="21" customHeight="1">
      <c r="A48" s="868">
        <v>34</v>
      </c>
      <c r="B48" s="1644" t="str">
        <f>VLOOKUP(C48,'DS CN MOI UP'!$B$10:$C$389,2,0)</f>
        <v>03319</v>
      </c>
      <c r="C48" s="875" t="s">
        <v>14</v>
      </c>
      <c r="D48" s="875" t="s">
        <v>15</v>
      </c>
      <c r="E48" s="872"/>
      <c r="F48" s="873">
        <f>+VLOOKUP(C48,THCKT!$C$13:$AE$460,17,0)</f>
        <v>24</v>
      </c>
      <c r="G48" s="874">
        <f t="shared" si="0"/>
        <v>600000</v>
      </c>
      <c r="H48" s="874"/>
      <c r="I48" s="874"/>
      <c r="J48" s="874"/>
      <c r="K48" s="874" t="e">
        <f>VLOOKUP(C48,THCKT!$C$13:$AL$460,21,0)</f>
        <v>#N/A</v>
      </c>
      <c r="L48" s="883">
        <f>VLOOKUP(C48,THCKT!$C$13:$AL$460,22,0)</f>
        <v>0</v>
      </c>
      <c r="M48" s="883">
        <f>VLOOKUP(C48,THCKT!$C$13:$AL$460,23,0)</f>
        <v>0</v>
      </c>
      <c r="N48" s="883" t="e">
        <f t="shared" si="7"/>
        <v>#N/A</v>
      </c>
      <c r="O48" s="883" t="e">
        <f t="shared" si="4"/>
        <v>#N/A</v>
      </c>
      <c r="P48" s="884" t="e">
        <f>VLOOKUP(C48,THCKT!$C$13:$AL$460,36,0)</f>
        <v>#N/A</v>
      </c>
      <c r="Q48" s="887" t="e">
        <f t="shared" si="5"/>
        <v>#N/A</v>
      </c>
      <c r="R48" s="874" t="e">
        <f>VLOOKUP(C48,'LƯƠNG KT'!$D$15:$P$94,16,0)</f>
        <v>#N/A</v>
      </c>
      <c r="S48" s="874" t="e">
        <f>VLOOKUP(C48,'LƯƠNG KT'!$D$15:$P$94,17,0)</f>
        <v>#N/A</v>
      </c>
      <c r="T48" s="874" t="e">
        <f>VLOOKUP(C48,'LƯƠNG KT'!$D$15:$P$94,18,0)</f>
        <v>#N/A</v>
      </c>
      <c r="U48" s="874" t="e">
        <f>VLOOKUP(C48,'LƯƠNG KT'!$D$15:$P$94,18,0)</f>
        <v>#N/A</v>
      </c>
      <c r="V48" s="874" t="e">
        <f>VLOOKUP(C48,'LƯƠNG KT'!$D$15:$P$94,19,0)</f>
        <v>#N/A</v>
      </c>
      <c r="W48" s="874" t="e">
        <f>VLOOKUP(C48,'LƯƠNG KT'!$D$15:$P$94,20,0)</f>
        <v>#N/A</v>
      </c>
      <c r="X48" s="874" t="e">
        <f>VLOOKUP(C48,'LƯƠNG KT'!$D$15:$P$94,21,0)</f>
        <v>#N/A</v>
      </c>
      <c r="Y48" s="874" t="e">
        <f>VLOOKUP(C48,'LƯƠNG KT'!$D$15:$P$94,23,0)</f>
        <v>#N/A</v>
      </c>
      <c r="Z48" s="874" t="e">
        <f>VLOOKUP(C48,'LƯƠNG KT'!$D$15:$P$94,24,0)</f>
        <v>#N/A</v>
      </c>
      <c r="AA48" s="874">
        <v>20</v>
      </c>
      <c r="AB48" s="874"/>
      <c r="AC48" s="889" t="e">
        <f t="shared" si="6"/>
        <v>#N/A</v>
      </c>
      <c r="AD48" s="889" t="e">
        <f t="shared" si="8"/>
        <v>#N/A</v>
      </c>
      <c r="AE48" s="889" t="e">
        <f t="shared" si="3"/>
        <v>#N/A</v>
      </c>
      <c r="AF48" s="915"/>
      <c r="AG48" s="891"/>
      <c r="AH48" s="941" t="s">
        <v>2749</v>
      </c>
      <c r="AI48" s="637"/>
    </row>
    <row r="49" spans="1:35" s="540" customFormat="1" ht="21" customHeight="1">
      <c r="A49" s="868">
        <v>35</v>
      </c>
      <c r="B49" s="1644" t="str">
        <f>VLOOKUP(C49,'DS CN MOI UP'!$B$10:$C$389,2,0)</f>
        <v>02452</v>
      </c>
      <c r="C49" s="875" t="s">
        <v>22</v>
      </c>
      <c r="D49" s="875" t="s">
        <v>15</v>
      </c>
      <c r="E49" s="872"/>
      <c r="F49" s="873">
        <f>+VLOOKUP(C49,THCKT!$C$13:$AE$460,17,0)</f>
        <v>24</v>
      </c>
      <c r="G49" s="874">
        <f t="shared" si="0"/>
        <v>600000</v>
      </c>
      <c r="H49" s="874"/>
      <c r="I49" s="874"/>
      <c r="J49" s="874"/>
      <c r="K49" s="874" t="e">
        <f>VLOOKUP(C49,THCKT!$C$13:$AL$460,21,0)</f>
        <v>#N/A</v>
      </c>
      <c r="L49" s="883">
        <f>VLOOKUP(C49,THCKT!$C$13:$AL$460,22,0)</f>
        <v>0</v>
      </c>
      <c r="M49" s="883">
        <f>VLOOKUP(C49,THCKT!$C$13:$AL$460,23,0)</f>
        <v>0</v>
      </c>
      <c r="N49" s="883" t="e">
        <f t="shared" si="7"/>
        <v>#N/A</v>
      </c>
      <c r="O49" s="883" t="e">
        <f t="shared" si="4"/>
        <v>#N/A</v>
      </c>
      <c r="P49" s="884" t="e">
        <f>VLOOKUP(C49,THCKT!$C$13:$AL$460,36,0)</f>
        <v>#N/A</v>
      </c>
      <c r="Q49" s="887" t="e">
        <f t="shared" si="5"/>
        <v>#N/A</v>
      </c>
      <c r="R49" s="874" t="e">
        <f>VLOOKUP(C49,'LƯƠNG KT'!$D$15:$P$94,16,0)</f>
        <v>#N/A</v>
      </c>
      <c r="S49" s="874" t="e">
        <f>VLOOKUP(C49,'LƯƠNG KT'!$D$15:$P$94,17,0)</f>
        <v>#N/A</v>
      </c>
      <c r="T49" s="874" t="e">
        <f>VLOOKUP(C49,'LƯƠNG KT'!$D$15:$P$94,18,0)</f>
        <v>#N/A</v>
      </c>
      <c r="U49" s="874" t="e">
        <f>VLOOKUP(C49,'LƯƠNG KT'!$D$15:$P$94,18,0)</f>
        <v>#N/A</v>
      </c>
      <c r="V49" s="874" t="e">
        <f>VLOOKUP(C49,'LƯƠNG KT'!$D$15:$P$94,19,0)</f>
        <v>#N/A</v>
      </c>
      <c r="W49" s="874" t="e">
        <f>VLOOKUP(C49,'LƯƠNG KT'!$D$15:$P$94,20,0)</f>
        <v>#N/A</v>
      </c>
      <c r="X49" s="874" t="e">
        <f>VLOOKUP(C49,'LƯƠNG KT'!$D$15:$P$94,21,0)</f>
        <v>#N/A</v>
      </c>
      <c r="Y49" s="874" t="e">
        <f>VLOOKUP(C49,'LƯƠNG KT'!$D$15:$P$94,23,0)</f>
        <v>#N/A</v>
      </c>
      <c r="Z49" s="874" t="e">
        <f>VLOOKUP(C49,'LƯƠNG KT'!$D$15:$P$94,24,0)</f>
        <v>#N/A</v>
      </c>
      <c r="AA49" s="874">
        <v>20</v>
      </c>
      <c r="AB49" s="874"/>
      <c r="AC49" s="889" t="e">
        <f t="shared" si="6"/>
        <v>#N/A</v>
      </c>
      <c r="AD49" s="889" t="e">
        <f t="shared" si="8"/>
        <v>#N/A</v>
      </c>
      <c r="AE49" s="889" t="e">
        <f t="shared" si="3"/>
        <v>#N/A</v>
      </c>
      <c r="AF49" s="915"/>
      <c r="AG49" s="891"/>
      <c r="AH49" s="540" t="s">
        <v>2749</v>
      </c>
      <c r="AI49" s="637"/>
    </row>
    <row r="50" spans="1:35" s="540" customFormat="1" ht="21" customHeight="1">
      <c r="A50" s="868">
        <v>36</v>
      </c>
      <c r="B50" s="1644" t="str">
        <f>VLOOKUP(C50,'DS CN MOI UP'!$B$10:$C$389,2,0)</f>
        <v>02508</v>
      </c>
      <c r="C50" s="875" t="s">
        <v>23</v>
      </c>
      <c r="D50" s="875" t="s">
        <v>15</v>
      </c>
      <c r="E50" s="872"/>
      <c r="F50" s="873">
        <f>+VLOOKUP(C50,THCKT!$C$13:$AE$460,17,0)</f>
        <v>24</v>
      </c>
      <c r="G50" s="874">
        <f t="shared" si="0"/>
        <v>600000</v>
      </c>
      <c r="H50" s="874"/>
      <c r="I50" s="874"/>
      <c r="J50" s="874"/>
      <c r="K50" s="874" t="e">
        <f>VLOOKUP(C50,THCKT!$C$13:$AL$460,21,0)</f>
        <v>#N/A</v>
      </c>
      <c r="L50" s="883">
        <f>VLOOKUP(C50,THCKT!$C$13:$AL$460,22,0)</f>
        <v>0</v>
      </c>
      <c r="M50" s="883">
        <f>VLOOKUP(C50,THCKT!$C$13:$AL$460,23,0)</f>
        <v>0</v>
      </c>
      <c r="N50" s="883" t="e">
        <f t="shared" si="7"/>
        <v>#N/A</v>
      </c>
      <c r="O50" s="883" t="e">
        <f t="shared" si="4"/>
        <v>#N/A</v>
      </c>
      <c r="P50" s="884" t="e">
        <f>VLOOKUP(C50,THCKT!$C$13:$AL$460,36,0)</f>
        <v>#N/A</v>
      </c>
      <c r="Q50" s="887" t="e">
        <f t="shared" si="5"/>
        <v>#N/A</v>
      </c>
      <c r="R50" s="874" t="e">
        <f>VLOOKUP(C50,'LƯƠNG KT'!$D$15:$P$94,16,0)</f>
        <v>#N/A</v>
      </c>
      <c r="S50" s="874" t="e">
        <f>VLOOKUP(C50,'LƯƠNG KT'!$D$15:$P$94,17,0)</f>
        <v>#N/A</v>
      </c>
      <c r="T50" s="874" t="e">
        <f>VLOOKUP(C50,'LƯƠNG KT'!$D$15:$P$94,18,0)</f>
        <v>#N/A</v>
      </c>
      <c r="U50" s="874" t="e">
        <f>VLOOKUP(C50,'LƯƠNG KT'!$D$15:$P$94,18,0)</f>
        <v>#N/A</v>
      </c>
      <c r="V50" s="874" t="e">
        <f>VLOOKUP(C50,'LƯƠNG KT'!$D$15:$P$94,19,0)</f>
        <v>#N/A</v>
      </c>
      <c r="W50" s="874" t="e">
        <f>VLOOKUP(C50,'LƯƠNG KT'!$D$15:$P$94,20,0)</f>
        <v>#N/A</v>
      </c>
      <c r="X50" s="874" t="e">
        <f>VLOOKUP(C50,'LƯƠNG KT'!$D$15:$P$94,21,0)</f>
        <v>#N/A</v>
      </c>
      <c r="Y50" s="874" t="e">
        <f>VLOOKUP(C50,'LƯƠNG KT'!$D$15:$P$94,23,0)</f>
        <v>#N/A</v>
      </c>
      <c r="Z50" s="874" t="e">
        <f>VLOOKUP(C50,'LƯƠNG KT'!$D$15:$P$94,24,0)</f>
        <v>#N/A</v>
      </c>
      <c r="AA50" s="874">
        <v>20</v>
      </c>
      <c r="AB50" s="874"/>
      <c r="AC50" s="889" t="e">
        <f t="shared" si="6"/>
        <v>#N/A</v>
      </c>
      <c r="AD50" s="889" t="e">
        <f t="shared" si="8"/>
        <v>#N/A</v>
      </c>
      <c r="AE50" s="889" t="e">
        <f t="shared" si="3"/>
        <v>#N/A</v>
      </c>
      <c r="AF50" s="915"/>
      <c r="AG50" s="891"/>
      <c r="AH50" s="941" t="s">
        <v>2749</v>
      </c>
      <c r="AI50" s="637"/>
    </row>
    <row r="51" spans="1:35" s="540" customFormat="1" ht="21" customHeight="1">
      <c r="A51" s="868">
        <v>37</v>
      </c>
      <c r="B51" s="1644" t="str">
        <f>VLOOKUP(C51,'DS CN MOI UP'!$B$10:$C$389,2,0)</f>
        <v>02679</v>
      </c>
      <c r="C51" s="875" t="s">
        <v>36</v>
      </c>
      <c r="D51" s="875" t="s">
        <v>15</v>
      </c>
      <c r="E51" s="872"/>
      <c r="F51" s="873">
        <f>+VLOOKUP(C51,THCKT!$C$13:$AE$460,17,0)</f>
        <v>24</v>
      </c>
      <c r="G51" s="874">
        <f t="shared" si="0"/>
        <v>600000</v>
      </c>
      <c r="H51" s="874"/>
      <c r="I51" s="874"/>
      <c r="J51" s="874"/>
      <c r="K51" s="874" t="e">
        <f>VLOOKUP(C51,THCKT!$C$13:$AL$460,21,0)</f>
        <v>#N/A</v>
      </c>
      <c r="L51" s="883">
        <f>VLOOKUP(C51,THCKT!$C$13:$AL$460,22,0)</f>
        <v>0</v>
      </c>
      <c r="M51" s="883">
        <f>VLOOKUP(C51,THCKT!$C$13:$AL$460,23,0)</f>
        <v>0</v>
      </c>
      <c r="N51" s="883" t="e">
        <f t="shared" si="7"/>
        <v>#N/A</v>
      </c>
      <c r="O51" s="883" t="e">
        <f t="shared" si="4"/>
        <v>#N/A</v>
      </c>
      <c r="P51" s="884" t="e">
        <f>VLOOKUP(C51,THCKT!$C$13:$AL$460,36,0)</f>
        <v>#N/A</v>
      </c>
      <c r="Q51" s="887" t="e">
        <f t="shared" si="5"/>
        <v>#N/A</v>
      </c>
      <c r="R51" s="874" t="e">
        <f>VLOOKUP(C51,'LƯƠNG KT'!$D$15:$P$94,16,0)</f>
        <v>#N/A</v>
      </c>
      <c r="S51" s="874" t="e">
        <f>VLOOKUP(C51,'LƯƠNG KT'!$D$15:$P$94,17,0)</f>
        <v>#N/A</v>
      </c>
      <c r="T51" s="874" t="e">
        <f>VLOOKUP(C51,'LƯƠNG KT'!$D$15:$P$94,18,0)</f>
        <v>#N/A</v>
      </c>
      <c r="U51" s="874" t="e">
        <f>VLOOKUP(C51,'LƯƠNG KT'!$D$15:$P$94,18,0)</f>
        <v>#N/A</v>
      </c>
      <c r="V51" s="874" t="e">
        <f>VLOOKUP(C51,'LƯƠNG KT'!$D$15:$P$94,19,0)</f>
        <v>#N/A</v>
      </c>
      <c r="W51" s="874" t="e">
        <f>VLOOKUP(C51,'LƯƠNG KT'!$D$15:$P$94,20,0)</f>
        <v>#N/A</v>
      </c>
      <c r="X51" s="874" t="e">
        <f>VLOOKUP(C51,'LƯƠNG KT'!$D$15:$P$94,21,0)</f>
        <v>#N/A</v>
      </c>
      <c r="Y51" s="874" t="e">
        <f>VLOOKUP(C51,'LƯƠNG KT'!$D$15:$P$94,23,0)</f>
        <v>#N/A</v>
      </c>
      <c r="Z51" s="874" t="e">
        <f>VLOOKUP(C51,'LƯƠNG KT'!$D$15:$P$94,24,0)</f>
        <v>#N/A</v>
      </c>
      <c r="AA51" s="874">
        <v>20</v>
      </c>
      <c r="AB51" s="874"/>
      <c r="AC51" s="889" t="e">
        <f t="shared" si="6"/>
        <v>#N/A</v>
      </c>
      <c r="AD51" s="889" t="e">
        <f t="shared" si="8"/>
        <v>#N/A</v>
      </c>
      <c r="AE51" s="889" t="e">
        <f t="shared" si="3"/>
        <v>#N/A</v>
      </c>
      <c r="AF51" s="915"/>
      <c r="AG51" s="891"/>
      <c r="AH51" s="540" t="s">
        <v>2749</v>
      </c>
      <c r="AI51" s="637"/>
    </row>
    <row r="52" spans="1:35" s="540" customFormat="1" ht="21" customHeight="1">
      <c r="A52" s="868">
        <v>38</v>
      </c>
      <c r="B52" s="1644" t="str">
        <f>VLOOKUP(C52,'DS CN MOI UP'!$B$10:$C$389,2,0)</f>
        <v>02457</v>
      </c>
      <c r="C52" s="875" t="s">
        <v>63</v>
      </c>
      <c r="D52" s="875" t="s">
        <v>15</v>
      </c>
      <c r="E52" s="872"/>
      <c r="F52" s="873">
        <f>+VLOOKUP(C52,THCKT!$C$13:$AE$460,17,0)</f>
        <v>24</v>
      </c>
      <c r="G52" s="874">
        <f t="shared" si="0"/>
        <v>600000</v>
      </c>
      <c r="H52" s="874"/>
      <c r="I52" s="874"/>
      <c r="J52" s="874"/>
      <c r="K52" s="874" t="e">
        <f>VLOOKUP(C52,THCKT!$C$13:$AL$460,21,0)</f>
        <v>#N/A</v>
      </c>
      <c r="L52" s="883">
        <f>VLOOKUP(C52,THCKT!$C$13:$AL$460,22,0)</f>
        <v>0</v>
      </c>
      <c r="M52" s="883">
        <f>VLOOKUP(C52,THCKT!$C$13:$AL$460,23,0)</f>
        <v>0</v>
      </c>
      <c r="N52" s="883" t="e">
        <f t="shared" si="7"/>
        <v>#N/A</v>
      </c>
      <c r="O52" s="883" t="e">
        <f t="shared" si="4"/>
        <v>#N/A</v>
      </c>
      <c r="P52" s="884" t="e">
        <f>VLOOKUP(C52,THCKT!$C$13:$AL$460,36,0)</f>
        <v>#N/A</v>
      </c>
      <c r="Q52" s="887" t="e">
        <f t="shared" si="5"/>
        <v>#N/A</v>
      </c>
      <c r="R52" s="874" t="e">
        <f>VLOOKUP(C52,'LƯƠNG KT'!$D$15:$P$94,16,0)</f>
        <v>#N/A</v>
      </c>
      <c r="S52" s="874" t="e">
        <f>VLOOKUP(C52,'LƯƠNG KT'!$D$15:$P$94,17,0)</f>
        <v>#N/A</v>
      </c>
      <c r="T52" s="874" t="e">
        <f>VLOOKUP(C52,'LƯƠNG KT'!$D$15:$P$94,18,0)</f>
        <v>#N/A</v>
      </c>
      <c r="U52" s="874" t="e">
        <f>VLOOKUP(C52,'LƯƠNG KT'!$D$15:$P$94,18,0)</f>
        <v>#N/A</v>
      </c>
      <c r="V52" s="874" t="e">
        <f>VLOOKUP(C52,'LƯƠNG KT'!$D$15:$P$94,19,0)</f>
        <v>#N/A</v>
      </c>
      <c r="W52" s="874" t="e">
        <f>VLOOKUP(C52,'LƯƠNG KT'!$D$15:$P$94,20,0)</f>
        <v>#N/A</v>
      </c>
      <c r="X52" s="874" t="e">
        <f>VLOOKUP(C52,'LƯƠNG KT'!$D$15:$P$94,21,0)</f>
        <v>#N/A</v>
      </c>
      <c r="Y52" s="874" t="e">
        <f>VLOOKUP(C52,'LƯƠNG KT'!$D$15:$P$94,23,0)</f>
        <v>#N/A</v>
      </c>
      <c r="Z52" s="874" t="e">
        <f>VLOOKUP(C52,'LƯƠNG KT'!$D$15:$P$94,24,0)</f>
        <v>#N/A</v>
      </c>
      <c r="AA52" s="874">
        <v>20</v>
      </c>
      <c r="AB52" s="874"/>
      <c r="AC52" s="889" t="e">
        <f t="shared" si="6"/>
        <v>#N/A</v>
      </c>
      <c r="AD52" s="889" t="e">
        <f t="shared" si="8"/>
        <v>#N/A</v>
      </c>
      <c r="AE52" s="889" t="e">
        <f t="shared" si="3"/>
        <v>#N/A</v>
      </c>
      <c r="AF52" s="915"/>
      <c r="AG52" s="891"/>
      <c r="AH52" s="540" t="s">
        <v>2749</v>
      </c>
      <c r="AI52" s="637"/>
    </row>
    <row r="53" spans="1:35" s="540" customFormat="1" ht="21" customHeight="1">
      <c r="A53" s="868">
        <v>39</v>
      </c>
      <c r="B53" s="869" t="e">
        <f>VLOOKUP(C53,'DS CN MOI UP'!$B$10:$C$389,2,0)</f>
        <v>#N/A</v>
      </c>
      <c r="C53" s="875" t="s">
        <v>2648</v>
      </c>
      <c r="D53" s="875" t="s">
        <v>15</v>
      </c>
      <c r="E53" s="872"/>
      <c r="F53" s="873">
        <f>+VLOOKUP(C53,THCKT!$C$13:$AE$460,17,0)</f>
        <v>24</v>
      </c>
      <c r="G53" s="874">
        <f t="shared" si="0"/>
        <v>600000</v>
      </c>
      <c r="H53" s="874"/>
      <c r="I53" s="874"/>
      <c r="J53" s="874"/>
      <c r="K53" s="874" t="e">
        <f>VLOOKUP(C53,THCKT!$C$13:$AL$460,21,0)</f>
        <v>#N/A</v>
      </c>
      <c r="L53" s="883">
        <f>VLOOKUP(C53,THCKT!$C$13:$AL$460,22,0)</f>
        <v>0</v>
      </c>
      <c r="M53" s="883">
        <f>VLOOKUP(C53,THCKT!$C$13:$AL$460,23,0)</f>
        <v>0</v>
      </c>
      <c r="N53" s="883" t="e">
        <f t="shared" si="7"/>
        <v>#N/A</v>
      </c>
      <c r="O53" s="883" t="e">
        <f t="shared" si="4"/>
        <v>#N/A</v>
      </c>
      <c r="P53" s="884" t="e">
        <f>VLOOKUP(C53,THCKT!$C$13:$AL$460,36,0)</f>
        <v>#N/A</v>
      </c>
      <c r="Q53" s="887" t="e">
        <f t="shared" si="5"/>
        <v>#N/A</v>
      </c>
      <c r="R53" s="874" t="e">
        <f>VLOOKUP(C53,'LƯƠNG KT'!$D$15:$P$94,16,0)</f>
        <v>#N/A</v>
      </c>
      <c r="S53" s="874" t="e">
        <f>VLOOKUP(C53,'LƯƠNG KT'!$D$15:$P$94,17,0)</f>
        <v>#N/A</v>
      </c>
      <c r="T53" s="874" t="e">
        <f>VLOOKUP(C53,'LƯƠNG KT'!$D$15:$P$94,18,0)</f>
        <v>#N/A</v>
      </c>
      <c r="U53" s="874" t="e">
        <f>VLOOKUP(C53,'LƯƠNG KT'!$D$15:$P$94,18,0)</f>
        <v>#N/A</v>
      </c>
      <c r="V53" s="874" t="e">
        <f>VLOOKUP(C53,'LƯƠNG KT'!$D$15:$P$94,19,0)</f>
        <v>#N/A</v>
      </c>
      <c r="W53" s="874" t="e">
        <f>VLOOKUP(C53,'LƯƠNG KT'!$D$15:$P$94,20,0)</f>
        <v>#N/A</v>
      </c>
      <c r="X53" s="874" t="e">
        <f>VLOOKUP(C53,'LƯƠNG KT'!$D$15:$P$94,21,0)</f>
        <v>#N/A</v>
      </c>
      <c r="Y53" s="874" t="e">
        <f>VLOOKUP(C53,'LƯƠNG KT'!$D$15:$P$94,23,0)</f>
        <v>#N/A</v>
      </c>
      <c r="Z53" s="874" t="e">
        <f>VLOOKUP(C53,'LƯƠNG KT'!$D$15:$P$94,24,0)</f>
        <v>#N/A</v>
      </c>
      <c r="AA53" s="874">
        <v>20</v>
      </c>
      <c r="AB53" s="874"/>
      <c r="AC53" s="889" t="e">
        <f t="shared" si="6"/>
        <v>#N/A</v>
      </c>
      <c r="AD53" s="889" t="e">
        <f t="shared" si="8"/>
        <v>#N/A</v>
      </c>
      <c r="AE53" s="889" t="e">
        <f t="shared" si="3"/>
        <v>#N/A</v>
      </c>
      <c r="AF53" s="915"/>
      <c r="AG53" s="891"/>
      <c r="AH53" s="540" t="s">
        <v>2749</v>
      </c>
      <c r="AI53" s="637"/>
    </row>
    <row r="54" spans="1:35" s="540" customFormat="1" ht="21" customHeight="1">
      <c r="A54" s="868">
        <v>40</v>
      </c>
      <c r="B54" s="1644" t="str">
        <f>VLOOKUP(C54,'DS CN MOI UP'!$B$10:$C$389,2,0)</f>
        <v>03336</v>
      </c>
      <c r="C54" s="875" t="s">
        <v>81</v>
      </c>
      <c r="D54" s="875" t="s">
        <v>15</v>
      </c>
      <c r="E54" s="872"/>
      <c r="F54" s="873">
        <f>+VLOOKUP(C54,THCKT!$C$13:$AE$460,17,0)</f>
        <v>24</v>
      </c>
      <c r="G54" s="874">
        <f t="shared" si="0"/>
        <v>600000</v>
      </c>
      <c r="H54" s="874"/>
      <c r="I54" s="874"/>
      <c r="J54" s="874"/>
      <c r="K54" s="874" t="e">
        <f>VLOOKUP(C54,THCKT!$C$13:$AL$460,21,0)</f>
        <v>#N/A</v>
      </c>
      <c r="L54" s="883">
        <f>VLOOKUP(C54,THCKT!$C$13:$AL$460,22,0)</f>
        <v>0</v>
      </c>
      <c r="M54" s="883">
        <f>VLOOKUP(C54,THCKT!$C$13:$AL$460,23,0)</f>
        <v>0</v>
      </c>
      <c r="N54" s="883" t="e">
        <f t="shared" si="7"/>
        <v>#N/A</v>
      </c>
      <c r="O54" s="883" t="e">
        <f t="shared" si="4"/>
        <v>#N/A</v>
      </c>
      <c r="P54" s="884" t="e">
        <f>VLOOKUP(C54,THCKT!$C$13:$AL$460,36,0)</f>
        <v>#N/A</v>
      </c>
      <c r="Q54" s="887" t="e">
        <f t="shared" si="5"/>
        <v>#N/A</v>
      </c>
      <c r="R54" s="874" t="e">
        <f>VLOOKUP(C54,'LƯƠNG KT'!$D$15:$P$94,16,0)</f>
        <v>#N/A</v>
      </c>
      <c r="S54" s="874" t="e">
        <f>VLOOKUP(C54,'LƯƠNG KT'!$D$15:$P$94,17,0)</f>
        <v>#N/A</v>
      </c>
      <c r="T54" s="874" t="e">
        <f>VLOOKUP(C54,'LƯƠNG KT'!$D$15:$P$94,18,0)</f>
        <v>#N/A</v>
      </c>
      <c r="U54" s="874" t="e">
        <f>VLOOKUP(C54,'LƯƠNG KT'!$D$15:$P$94,18,0)</f>
        <v>#N/A</v>
      </c>
      <c r="V54" s="874" t="e">
        <f>VLOOKUP(C54,'LƯƠNG KT'!$D$15:$P$94,19,0)</f>
        <v>#N/A</v>
      </c>
      <c r="W54" s="874" t="e">
        <f>VLOOKUP(C54,'LƯƠNG KT'!$D$15:$P$94,20,0)</f>
        <v>#N/A</v>
      </c>
      <c r="X54" s="874" t="e">
        <f>VLOOKUP(C54,'LƯƠNG KT'!$D$15:$P$94,21,0)</f>
        <v>#N/A</v>
      </c>
      <c r="Y54" s="874" t="e">
        <f>VLOOKUP(C54,'LƯƠNG KT'!$D$15:$P$94,23,0)</f>
        <v>#N/A</v>
      </c>
      <c r="Z54" s="874" t="e">
        <f>VLOOKUP(C54,'LƯƠNG KT'!$D$15:$P$94,24,0)</f>
        <v>#N/A</v>
      </c>
      <c r="AA54" s="874">
        <v>20</v>
      </c>
      <c r="AB54" s="874"/>
      <c r="AC54" s="889" t="e">
        <f t="shared" si="6"/>
        <v>#N/A</v>
      </c>
      <c r="AD54" s="889" t="e">
        <f t="shared" si="8"/>
        <v>#N/A</v>
      </c>
      <c r="AE54" s="889" t="e">
        <f t="shared" si="3"/>
        <v>#N/A</v>
      </c>
      <c r="AF54" s="915"/>
      <c r="AG54" s="891"/>
      <c r="AH54" s="540" t="s">
        <v>2749</v>
      </c>
      <c r="AI54" s="637"/>
    </row>
    <row r="55" spans="1:35" s="540" customFormat="1" ht="21" customHeight="1">
      <c r="A55" s="868">
        <v>41</v>
      </c>
      <c r="B55" s="1644" t="str">
        <f>VLOOKUP(C55,'DS CN MOI UP'!$B$10:$C$389,2,0)</f>
        <v>02682</v>
      </c>
      <c r="C55" s="875" t="s">
        <v>82</v>
      </c>
      <c r="D55" s="875" t="s">
        <v>15</v>
      </c>
      <c r="E55" s="872"/>
      <c r="F55" s="873">
        <f>+VLOOKUP(C55,THCKT!$C$13:$AE$460,17,0)</f>
        <v>24</v>
      </c>
      <c r="G55" s="874">
        <f t="shared" si="0"/>
        <v>600000</v>
      </c>
      <c r="H55" s="874"/>
      <c r="I55" s="874"/>
      <c r="J55" s="874"/>
      <c r="K55" s="874" t="e">
        <f>VLOOKUP(C55,THCKT!$C$13:$AL$460,21,0)</f>
        <v>#N/A</v>
      </c>
      <c r="L55" s="883">
        <f>VLOOKUP(C55,THCKT!$C$13:$AL$460,22,0)</f>
        <v>0</v>
      </c>
      <c r="M55" s="883">
        <f>VLOOKUP(C55,THCKT!$C$13:$AL$460,23,0)</f>
        <v>0</v>
      </c>
      <c r="N55" s="883" t="e">
        <f t="shared" si="7"/>
        <v>#N/A</v>
      </c>
      <c r="O55" s="883" t="e">
        <f t="shared" si="4"/>
        <v>#N/A</v>
      </c>
      <c r="P55" s="884" t="e">
        <f>VLOOKUP(C55,THCKT!$C$13:$AL$460,36,0)</f>
        <v>#N/A</v>
      </c>
      <c r="Q55" s="887" t="e">
        <f t="shared" si="5"/>
        <v>#N/A</v>
      </c>
      <c r="R55" s="874" t="e">
        <f>VLOOKUP(C55,'LƯƠNG KT'!$D$15:$P$94,16,0)</f>
        <v>#N/A</v>
      </c>
      <c r="S55" s="874" t="e">
        <f>VLOOKUP(C55,'LƯƠNG KT'!$D$15:$P$94,17,0)</f>
        <v>#N/A</v>
      </c>
      <c r="T55" s="874" t="e">
        <f>VLOOKUP(C55,'LƯƠNG KT'!$D$15:$P$94,18,0)</f>
        <v>#N/A</v>
      </c>
      <c r="U55" s="874" t="e">
        <f>VLOOKUP(C55,'LƯƠNG KT'!$D$15:$P$94,18,0)</f>
        <v>#N/A</v>
      </c>
      <c r="V55" s="874" t="e">
        <f>VLOOKUP(C55,'LƯƠNG KT'!$D$15:$P$94,19,0)</f>
        <v>#N/A</v>
      </c>
      <c r="W55" s="874" t="e">
        <f>VLOOKUP(C55,'LƯƠNG KT'!$D$15:$P$94,20,0)</f>
        <v>#N/A</v>
      </c>
      <c r="X55" s="874" t="e">
        <f>VLOOKUP(C55,'LƯƠNG KT'!$D$15:$P$94,21,0)</f>
        <v>#N/A</v>
      </c>
      <c r="Y55" s="874" t="e">
        <f>VLOOKUP(C55,'LƯƠNG KT'!$D$15:$P$94,23,0)</f>
        <v>#N/A</v>
      </c>
      <c r="Z55" s="874" t="e">
        <f>VLOOKUP(C55,'LƯƠNG KT'!$D$15:$P$94,24,0)</f>
        <v>#N/A</v>
      </c>
      <c r="AA55" s="874">
        <v>20</v>
      </c>
      <c r="AB55" s="874"/>
      <c r="AC55" s="889" t="e">
        <f t="shared" si="6"/>
        <v>#N/A</v>
      </c>
      <c r="AD55" s="889" t="e">
        <f t="shared" si="8"/>
        <v>#N/A</v>
      </c>
      <c r="AE55" s="889" t="e">
        <f t="shared" si="3"/>
        <v>#N/A</v>
      </c>
      <c r="AF55" s="915"/>
      <c r="AG55" s="891"/>
      <c r="AH55" s="540" t="s">
        <v>2749</v>
      </c>
      <c r="AI55" s="637"/>
    </row>
    <row r="56" spans="1:35" s="540" customFormat="1" ht="21" customHeight="1">
      <c r="A56" s="868">
        <v>42</v>
      </c>
      <c r="B56" s="1644" t="str">
        <f>VLOOKUP(C56,'DS CN MOI UP'!$B$10:$C$389,2,0)</f>
        <v>02506</v>
      </c>
      <c r="C56" s="875" t="s">
        <v>49</v>
      </c>
      <c r="D56" s="875" t="s">
        <v>15</v>
      </c>
      <c r="E56" s="872"/>
      <c r="F56" s="873">
        <f>+VLOOKUP(C56,THCKT!$C$13:$AE$460,17,0)</f>
        <v>24</v>
      </c>
      <c r="G56" s="874">
        <f t="shared" si="0"/>
        <v>600000</v>
      </c>
      <c r="H56" s="874"/>
      <c r="I56" s="874"/>
      <c r="J56" s="874"/>
      <c r="K56" s="874" t="e">
        <f>VLOOKUP(C56,THCKT!$C$13:$AL$460,21,0)</f>
        <v>#N/A</v>
      </c>
      <c r="L56" s="883">
        <f>VLOOKUP(C56,THCKT!$C$13:$AL$460,22,0)</f>
        <v>0</v>
      </c>
      <c r="M56" s="883">
        <f>VLOOKUP(C56,THCKT!$C$13:$AL$460,23,0)</f>
        <v>0</v>
      </c>
      <c r="N56" s="883" t="e">
        <f t="shared" si="7"/>
        <v>#N/A</v>
      </c>
      <c r="O56" s="883" t="e">
        <f t="shared" si="4"/>
        <v>#N/A</v>
      </c>
      <c r="P56" s="884" t="e">
        <f>VLOOKUP(C56,THCKT!$C$13:$AL$460,36,0)</f>
        <v>#N/A</v>
      </c>
      <c r="Q56" s="887" t="e">
        <f t="shared" si="5"/>
        <v>#N/A</v>
      </c>
      <c r="R56" s="874" t="e">
        <f>VLOOKUP(C56,'LƯƠNG KT'!$D$15:$P$94,16,0)</f>
        <v>#N/A</v>
      </c>
      <c r="S56" s="874" t="e">
        <f>VLOOKUP(C56,'LƯƠNG KT'!$D$15:$P$94,17,0)</f>
        <v>#N/A</v>
      </c>
      <c r="T56" s="874" t="e">
        <f>VLOOKUP(C56,'LƯƠNG KT'!$D$15:$P$94,18,0)</f>
        <v>#N/A</v>
      </c>
      <c r="U56" s="874" t="e">
        <f>VLOOKUP(C56,'LƯƠNG KT'!$D$15:$P$94,18,0)</f>
        <v>#N/A</v>
      </c>
      <c r="V56" s="874" t="e">
        <f>VLOOKUP(C56,'LƯƠNG KT'!$D$15:$P$94,19,0)</f>
        <v>#N/A</v>
      </c>
      <c r="W56" s="874" t="e">
        <f>VLOOKUP(C56,'LƯƠNG KT'!$D$15:$P$94,20,0)</f>
        <v>#N/A</v>
      </c>
      <c r="X56" s="874" t="e">
        <f>VLOOKUP(C56,'LƯƠNG KT'!$D$15:$P$94,21,0)</f>
        <v>#N/A</v>
      </c>
      <c r="Y56" s="874" t="e">
        <f>VLOOKUP(C56,'LƯƠNG KT'!$D$15:$P$94,23,0)</f>
        <v>#N/A</v>
      </c>
      <c r="Z56" s="874" t="e">
        <f>VLOOKUP(C56,'LƯƠNG KT'!$D$15:$P$94,24,0)</f>
        <v>#N/A</v>
      </c>
      <c r="AA56" s="874">
        <v>20</v>
      </c>
      <c r="AB56" s="874"/>
      <c r="AC56" s="889" t="e">
        <f t="shared" si="6"/>
        <v>#N/A</v>
      </c>
      <c r="AD56" s="889" t="e">
        <f t="shared" si="8"/>
        <v>#N/A</v>
      </c>
      <c r="AE56" s="889" t="e">
        <f t="shared" si="3"/>
        <v>#N/A</v>
      </c>
      <c r="AF56" s="915"/>
      <c r="AG56" s="891"/>
      <c r="AH56" s="540" t="s">
        <v>2749</v>
      </c>
      <c r="AI56" s="637"/>
    </row>
    <row r="57" spans="1:35" s="540" customFormat="1" ht="21" customHeight="1">
      <c r="A57" s="868">
        <v>43</v>
      </c>
      <c r="B57" s="1644" t="str">
        <f>VLOOKUP(C57,'DS CN MOI UP'!$B$10:$C$389,2,0)</f>
        <v>02507</v>
      </c>
      <c r="C57" s="875" t="s">
        <v>50</v>
      </c>
      <c r="D57" s="875" t="s">
        <v>15</v>
      </c>
      <c r="E57" s="872"/>
      <c r="F57" s="873">
        <f>+VLOOKUP(C57,THCKT!$C$13:$AE$460,17,0)</f>
        <v>24</v>
      </c>
      <c r="G57" s="874">
        <f t="shared" si="0"/>
        <v>600000</v>
      </c>
      <c r="H57" s="874"/>
      <c r="I57" s="874"/>
      <c r="J57" s="874"/>
      <c r="K57" s="874" t="e">
        <f>VLOOKUP(C57,THCKT!$C$13:$AL$460,21,0)</f>
        <v>#N/A</v>
      </c>
      <c r="L57" s="883">
        <f>VLOOKUP(C57,THCKT!$C$13:$AL$460,22,0)</f>
        <v>0</v>
      </c>
      <c r="M57" s="883">
        <f>VLOOKUP(C57,THCKT!$C$13:$AL$460,23,0)</f>
        <v>0</v>
      </c>
      <c r="N57" s="883" t="e">
        <f t="shared" si="7"/>
        <v>#N/A</v>
      </c>
      <c r="O57" s="883" t="e">
        <f t="shared" si="4"/>
        <v>#N/A</v>
      </c>
      <c r="P57" s="884" t="e">
        <f>VLOOKUP(C57,THCKT!$C$13:$AL$460,36,0)</f>
        <v>#N/A</v>
      </c>
      <c r="Q57" s="887" t="e">
        <f t="shared" si="5"/>
        <v>#N/A</v>
      </c>
      <c r="R57" s="874" t="e">
        <f>VLOOKUP(C57,'LƯƠNG KT'!$D$15:$P$94,16,0)</f>
        <v>#N/A</v>
      </c>
      <c r="S57" s="874" t="e">
        <f>VLOOKUP(C57,'LƯƠNG KT'!$D$15:$P$94,17,0)</f>
        <v>#N/A</v>
      </c>
      <c r="T57" s="874" t="e">
        <f>VLOOKUP(C57,'LƯƠNG KT'!$D$15:$P$94,18,0)</f>
        <v>#N/A</v>
      </c>
      <c r="U57" s="874" t="e">
        <f>VLOOKUP(C57,'LƯƠNG KT'!$D$15:$P$94,18,0)</f>
        <v>#N/A</v>
      </c>
      <c r="V57" s="874" t="e">
        <f>VLOOKUP(C57,'LƯƠNG KT'!$D$15:$P$94,19,0)</f>
        <v>#N/A</v>
      </c>
      <c r="W57" s="874" t="e">
        <f>VLOOKUP(C57,'LƯƠNG KT'!$D$15:$P$94,20,0)</f>
        <v>#N/A</v>
      </c>
      <c r="X57" s="874" t="e">
        <f>VLOOKUP(C57,'LƯƠNG KT'!$D$15:$P$94,21,0)</f>
        <v>#N/A</v>
      </c>
      <c r="Y57" s="874" t="e">
        <f>VLOOKUP(C57,'LƯƠNG KT'!$D$15:$P$94,23,0)</f>
        <v>#N/A</v>
      </c>
      <c r="Z57" s="874" t="e">
        <f>VLOOKUP(C57,'LƯƠNG KT'!$D$15:$P$94,24,0)</f>
        <v>#N/A</v>
      </c>
      <c r="AA57" s="874">
        <v>20</v>
      </c>
      <c r="AB57" s="874"/>
      <c r="AC57" s="889" t="e">
        <f t="shared" si="6"/>
        <v>#N/A</v>
      </c>
      <c r="AD57" s="889" t="e">
        <f t="shared" si="8"/>
        <v>#N/A</v>
      </c>
      <c r="AE57" s="889" t="e">
        <f t="shared" si="3"/>
        <v>#N/A</v>
      </c>
      <c r="AF57" s="915"/>
      <c r="AG57" s="891"/>
      <c r="AH57" s="540" t="s">
        <v>2749</v>
      </c>
      <c r="AI57" s="637"/>
    </row>
    <row r="58" spans="1:35" s="540" customFormat="1" ht="21" customHeight="1">
      <c r="A58" s="868">
        <v>44</v>
      </c>
      <c r="B58" s="1644" t="str">
        <f>VLOOKUP(C58,'DS CN MOI UP'!$B$10:$C$389,2,0)</f>
        <v>02498</v>
      </c>
      <c r="C58" s="875" t="s">
        <v>68</v>
      </c>
      <c r="D58" s="875" t="s">
        <v>15</v>
      </c>
      <c r="E58" s="872"/>
      <c r="F58" s="873">
        <f>+VLOOKUP(C58,THCKT!$C$13:$AE$460,17,0)</f>
        <v>24</v>
      </c>
      <c r="G58" s="874">
        <f t="shared" si="0"/>
        <v>600000</v>
      </c>
      <c r="H58" s="874"/>
      <c r="I58" s="874"/>
      <c r="J58" s="874"/>
      <c r="K58" s="874" t="e">
        <f>VLOOKUP(C58,THCKT!$C$13:$AL$460,21,0)</f>
        <v>#N/A</v>
      </c>
      <c r="L58" s="883">
        <f>VLOOKUP(C58,THCKT!$C$13:$AL$460,22,0)</f>
        <v>0</v>
      </c>
      <c r="M58" s="883">
        <f>VLOOKUP(C58,THCKT!$C$13:$AL$460,23,0)</f>
        <v>0</v>
      </c>
      <c r="N58" s="883" t="e">
        <f t="shared" si="7"/>
        <v>#N/A</v>
      </c>
      <c r="O58" s="883" t="e">
        <f t="shared" si="4"/>
        <v>#N/A</v>
      </c>
      <c r="P58" s="884" t="e">
        <f>VLOOKUP(C58,THCKT!$C$13:$AL$460,36,0)</f>
        <v>#N/A</v>
      </c>
      <c r="Q58" s="887" t="e">
        <f t="shared" si="5"/>
        <v>#N/A</v>
      </c>
      <c r="R58" s="874" t="e">
        <f>VLOOKUP(C58,'LƯƠNG KT'!$D$15:$P$94,16,0)</f>
        <v>#N/A</v>
      </c>
      <c r="S58" s="874" t="e">
        <f>VLOOKUP(C58,'LƯƠNG KT'!$D$15:$P$94,17,0)</f>
        <v>#N/A</v>
      </c>
      <c r="T58" s="874" t="e">
        <f>VLOOKUP(C58,'LƯƠNG KT'!$D$15:$P$94,18,0)</f>
        <v>#N/A</v>
      </c>
      <c r="U58" s="874" t="e">
        <f>VLOOKUP(C58,'LƯƠNG KT'!$D$15:$P$94,18,0)</f>
        <v>#N/A</v>
      </c>
      <c r="V58" s="874" t="e">
        <f>VLOOKUP(C58,'LƯƠNG KT'!$D$15:$P$94,19,0)</f>
        <v>#N/A</v>
      </c>
      <c r="W58" s="874" t="e">
        <f>VLOOKUP(C58,'LƯƠNG KT'!$D$15:$P$94,20,0)</f>
        <v>#N/A</v>
      </c>
      <c r="X58" s="874" t="e">
        <f>VLOOKUP(C58,'LƯƠNG KT'!$D$15:$P$94,21,0)</f>
        <v>#N/A</v>
      </c>
      <c r="Y58" s="874" t="e">
        <f>VLOOKUP(C58,'LƯƠNG KT'!$D$15:$P$94,23,0)</f>
        <v>#N/A</v>
      </c>
      <c r="Z58" s="874" t="e">
        <f>VLOOKUP(C58,'LƯƠNG KT'!$D$15:$P$94,24,0)</f>
        <v>#N/A</v>
      </c>
      <c r="AA58" s="874">
        <v>20</v>
      </c>
      <c r="AB58" s="874"/>
      <c r="AC58" s="889" t="e">
        <f t="shared" si="6"/>
        <v>#N/A</v>
      </c>
      <c r="AD58" s="889" t="e">
        <f t="shared" si="8"/>
        <v>#N/A</v>
      </c>
      <c r="AE58" s="889" t="e">
        <f t="shared" si="3"/>
        <v>#N/A</v>
      </c>
      <c r="AF58" s="915"/>
      <c r="AG58" s="891"/>
      <c r="AH58" s="540" t="s">
        <v>2749</v>
      </c>
      <c r="AI58" s="637"/>
    </row>
    <row r="59" spans="1:35" s="540" customFormat="1" ht="21" customHeight="1">
      <c r="A59" s="868">
        <v>45</v>
      </c>
      <c r="B59" s="1644" t="str">
        <f>VLOOKUP(C59,'DS CN MOI UP'!$B$10:$C$389,2,0)</f>
        <v>02685</v>
      </c>
      <c r="C59" s="875" t="s">
        <v>69</v>
      </c>
      <c r="D59" s="875" t="s">
        <v>15</v>
      </c>
      <c r="E59" s="872"/>
      <c r="F59" s="873">
        <f>+VLOOKUP(C59,THCKT!$C$13:$AE$460,17,0)</f>
        <v>24</v>
      </c>
      <c r="G59" s="874">
        <f t="shared" si="0"/>
        <v>600000</v>
      </c>
      <c r="H59" s="874"/>
      <c r="I59" s="874"/>
      <c r="J59" s="874"/>
      <c r="K59" s="874" t="e">
        <f>VLOOKUP(C59,THCKT!$C$13:$AL$460,21,0)</f>
        <v>#N/A</v>
      </c>
      <c r="L59" s="883">
        <f>VLOOKUP(C59,THCKT!$C$13:$AL$460,22,0)</f>
        <v>0</v>
      </c>
      <c r="M59" s="883">
        <f>VLOOKUP(C59,THCKT!$C$13:$AL$460,23,0)</f>
        <v>0</v>
      </c>
      <c r="N59" s="883" t="e">
        <f t="shared" si="7"/>
        <v>#N/A</v>
      </c>
      <c r="O59" s="883" t="e">
        <f t="shared" si="4"/>
        <v>#N/A</v>
      </c>
      <c r="P59" s="884" t="e">
        <f>VLOOKUP(C59,THCKT!$C$13:$AL$460,36,0)</f>
        <v>#N/A</v>
      </c>
      <c r="Q59" s="887" t="e">
        <f t="shared" si="5"/>
        <v>#N/A</v>
      </c>
      <c r="R59" s="874" t="e">
        <f>VLOOKUP(C59,'LƯƠNG KT'!$D$15:$P$94,16,0)</f>
        <v>#N/A</v>
      </c>
      <c r="S59" s="874" t="e">
        <f>VLOOKUP(C59,'LƯƠNG KT'!$D$15:$P$94,17,0)</f>
        <v>#N/A</v>
      </c>
      <c r="T59" s="874" t="e">
        <f>VLOOKUP(C59,'LƯƠNG KT'!$D$15:$P$94,18,0)</f>
        <v>#N/A</v>
      </c>
      <c r="U59" s="874" t="e">
        <f>VLOOKUP(C59,'LƯƠNG KT'!$D$15:$P$94,18,0)</f>
        <v>#N/A</v>
      </c>
      <c r="V59" s="874" t="e">
        <f>VLOOKUP(C59,'LƯƠNG KT'!$D$15:$P$94,19,0)</f>
        <v>#N/A</v>
      </c>
      <c r="W59" s="874" t="e">
        <f>VLOOKUP(C59,'LƯƠNG KT'!$D$15:$P$94,20,0)</f>
        <v>#N/A</v>
      </c>
      <c r="X59" s="874" t="e">
        <f>VLOOKUP(C59,'LƯƠNG KT'!$D$15:$P$94,21,0)</f>
        <v>#N/A</v>
      </c>
      <c r="Y59" s="874" t="e">
        <f>VLOOKUP(C59,'LƯƠNG KT'!$D$15:$P$94,23,0)</f>
        <v>#N/A</v>
      </c>
      <c r="Z59" s="874" t="e">
        <f>VLOOKUP(C59,'LƯƠNG KT'!$D$15:$P$94,24,0)</f>
        <v>#N/A</v>
      </c>
      <c r="AA59" s="874">
        <v>20</v>
      </c>
      <c r="AB59" s="874"/>
      <c r="AC59" s="889" t="e">
        <f t="shared" si="6"/>
        <v>#N/A</v>
      </c>
      <c r="AD59" s="889" t="e">
        <f t="shared" si="8"/>
        <v>#N/A</v>
      </c>
      <c r="AE59" s="889" t="e">
        <f t="shared" si="3"/>
        <v>#N/A</v>
      </c>
      <c r="AF59" s="915"/>
      <c r="AG59" s="891"/>
      <c r="AH59" s="540" t="s">
        <v>2749</v>
      </c>
      <c r="AI59" s="637"/>
    </row>
    <row r="60" spans="1:35" s="540" customFormat="1" ht="21" customHeight="1">
      <c r="A60" s="868">
        <v>46</v>
      </c>
      <c r="B60" s="1644" t="str">
        <f>VLOOKUP(C60,'DS CN MOI UP'!$B$10:$C$389,2,0)</f>
        <v>02468</v>
      </c>
      <c r="C60" s="875" t="s">
        <v>94</v>
      </c>
      <c r="D60" s="875" t="s">
        <v>15</v>
      </c>
      <c r="E60" s="872"/>
      <c r="F60" s="873">
        <f>+VLOOKUP(C60,THCKT!$C$13:$AE$460,17,0)</f>
        <v>24</v>
      </c>
      <c r="G60" s="874">
        <f t="shared" si="0"/>
        <v>600000</v>
      </c>
      <c r="H60" s="874"/>
      <c r="I60" s="874"/>
      <c r="J60" s="874"/>
      <c r="K60" s="874" t="e">
        <f>VLOOKUP(C60,THCKT!$C$13:$AL$460,21,0)</f>
        <v>#N/A</v>
      </c>
      <c r="L60" s="883">
        <f>VLOOKUP(C60,THCKT!$C$13:$AL$460,22,0)</f>
        <v>0</v>
      </c>
      <c r="M60" s="883">
        <f>VLOOKUP(C60,THCKT!$C$13:$AL$460,23,0)</f>
        <v>0</v>
      </c>
      <c r="N60" s="883" t="e">
        <f t="shared" si="7"/>
        <v>#N/A</v>
      </c>
      <c r="O60" s="883" t="e">
        <f t="shared" si="4"/>
        <v>#N/A</v>
      </c>
      <c r="P60" s="884" t="e">
        <f>VLOOKUP(C60,THCKT!$C$13:$AL$460,36,0)</f>
        <v>#N/A</v>
      </c>
      <c r="Q60" s="887" t="e">
        <f t="shared" si="5"/>
        <v>#N/A</v>
      </c>
      <c r="R60" s="874" t="e">
        <f>VLOOKUP(C60,'LƯƠNG KT'!$D$15:$P$94,16,0)</f>
        <v>#N/A</v>
      </c>
      <c r="S60" s="874" t="e">
        <f>VLOOKUP(C60,'LƯƠNG KT'!$D$15:$P$94,17,0)</f>
        <v>#N/A</v>
      </c>
      <c r="T60" s="874" t="e">
        <f>VLOOKUP(C60,'LƯƠNG KT'!$D$15:$P$94,18,0)</f>
        <v>#N/A</v>
      </c>
      <c r="U60" s="874" t="e">
        <f>VLOOKUP(C60,'LƯƠNG KT'!$D$15:$P$94,18,0)</f>
        <v>#N/A</v>
      </c>
      <c r="V60" s="874" t="e">
        <f>VLOOKUP(C60,'LƯƠNG KT'!$D$15:$P$94,19,0)</f>
        <v>#N/A</v>
      </c>
      <c r="W60" s="874" t="e">
        <f>VLOOKUP(C60,'LƯƠNG KT'!$D$15:$P$94,20,0)</f>
        <v>#N/A</v>
      </c>
      <c r="X60" s="874" t="e">
        <f>VLOOKUP(C60,'LƯƠNG KT'!$D$15:$P$94,21,0)</f>
        <v>#N/A</v>
      </c>
      <c r="Y60" s="874" t="e">
        <f>VLOOKUP(C60,'LƯƠNG KT'!$D$15:$P$94,23,0)</f>
        <v>#N/A</v>
      </c>
      <c r="Z60" s="874" t="e">
        <f>VLOOKUP(C60,'LƯƠNG KT'!$D$15:$P$94,24,0)</f>
        <v>#N/A</v>
      </c>
      <c r="AA60" s="874">
        <v>20</v>
      </c>
      <c r="AB60" s="874"/>
      <c r="AC60" s="889" t="e">
        <f t="shared" si="6"/>
        <v>#N/A</v>
      </c>
      <c r="AD60" s="889" t="e">
        <f t="shared" si="8"/>
        <v>#N/A</v>
      </c>
      <c r="AE60" s="889" t="e">
        <f t="shared" si="3"/>
        <v>#N/A</v>
      </c>
      <c r="AF60" s="915"/>
      <c r="AG60" s="891"/>
      <c r="AH60" s="941" t="s">
        <v>2749</v>
      </c>
      <c r="AI60" s="637"/>
    </row>
    <row r="61" spans="1:35" s="540" customFormat="1" ht="21" customHeight="1">
      <c r="A61" s="868">
        <v>47</v>
      </c>
      <c r="B61" s="1644" t="str">
        <f>VLOOKUP(C61,'DS CN MOI UP'!$B$10:$C$389,2,0)</f>
        <v>03339</v>
      </c>
      <c r="C61" s="875" t="s">
        <v>95</v>
      </c>
      <c r="D61" s="875" t="s">
        <v>15</v>
      </c>
      <c r="E61" s="872"/>
      <c r="F61" s="873">
        <f>+VLOOKUP(C61,THCKT!$C$13:$AE$460,17,0)</f>
        <v>24</v>
      </c>
      <c r="G61" s="874">
        <f t="shared" si="0"/>
        <v>600000</v>
      </c>
      <c r="H61" s="874"/>
      <c r="I61" s="874"/>
      <c r="J61" s="874"/>
      <c r="K61" s="874" t="e">
        <f>VLOOKUP(C61,THCKT!$C$13:$AL$460,21,0)</f>
        <v>#N/A</v>
      </c>
      <c r="L61" s="883">
        <f>VLOOKUP(C61,THCKT!$C$13:$AL$460,22,0)</f>
        <v>0</v>
      </c>
      <c r="M61" s="883">
        <f>VLOOKUP(C61,THCKT!$C$13:$AL$460,23,0)</f>
        <v>0</v>
      </c>
      <c r="N61" s="883" t="e">
        <f t="shared" si="7"/>
        <v>#N/A</v>
      </c>
      <c r="O61" s="883" t="e">
        <f t="shared" si="4"/>
        <v>#N/A</v>
      </c>
      <c r="P61" s="884" t="e">
        <f>VLOOKUP(C61,THCKT!$C$13:$AL$460,36,0)</f>
        <v>#N/A</v>
      </c>
      <c r="Q61" s="887" t="e">
        <f t="shared" si="5"/>
        <v>#N/A</v>
      </c>
      <c r="R61" s="874" t="e">
        <f>VLOOKUP(C61,'LƯƠNG KT'!$D$15:$P$94,16,0)</f>
        <v>#N/A</v>
      </c>
      <c r="S61" s="874" t="e">
        <f>VLOOKUP(C61,'LƯƠNG KT'!$D$15:$P$94,17,0)</f>
        <v>#N/A</v>
      </c>
      <c r="T61" s="874" t="e">
        <f>VLOOKUP(C61,'LƯƠNG KT'!$D$15:$P$94,18,0)</f>
        <v>#N/A</v>
      </c>
      <c r="U61" s="874" t="e">
        <f>VLOOKUP(C61,'LƯƠNG KT'!$D$15:$P$94,18,0)</f>
        <v>#N/A</v>
      </c>
      <c r="V61" s="874" t="e">
        <f>VLOOKUP(C61,'LƯƠNG KT'!$D$15:$P$94,19,0)</f>
        <v>#N/A</v>
      </c>
      <c r="W61" s="874" t="e">
        <f>VLOOKUP(C61,'LƯƠNG KT'!$D$15:$P$94,20,0)</f>
        <v>#N/A</v>
      </c>
      <c r="X61" s="874" t="e">
        <f>VLOOKUP(C61,'LƯƠNG KT'!$D$15:$P$94,21,0)</f>
        <v>#N/A</v>
      </c>
      <c r="Y61" s="874" t="e">
        <f>VLOOKUP(C61,'LƯƠNG KT'!$D$15:$P$94,23,0)</f>
        <v>#N/A</v>
      </c>
      <c r="Z61" s="874" t="e">
        <f>VLOOKUP(C61,'LƯƠNG KT'!$D$15:$P$94,24,0)</f>
        <v>#N/A</v>
      </c>
      <c r="AA61" s="874">
        <v>20</v>
      </c>
      <c r="AB61" s="874"/>
      <c r="AC61" s="889" t="e">
        <f t="shared" si="6"/>
        <v>#N/A</v>
      </c>
      <c r="AD61" s="889" t="e">
        <f t="shared" si="8"/>
        <v>#N/A</v>
      </c>
      <c r="AE61" s="889" t="e">
        <f t="shared" si="3"/>
        <v>#N/A</v>
      </c>
      <c r="AF61" s="915"/>
      <c r="AG61" s="891"/>
      <c r="AH61" s="540" t="s">
        <v>2749</v>
      </c>
      <c r="AI61" s="637"/>
    </row>
    <row r="62" spans="1:35" s="540" customFormat="1" ht="21" customHeight="1">
      <c r="A62" s="868">
        <v>48</v>
      </c>
      <c r="B62" s="1644" t="str">
        <f>VLOOKUP(C62,'DS CN MOI UP'!$B$10:$C$389,2,0)</f>
        <v>03320</v>
      </c>
      <c r="C62" s="875" t="s">
        <v>16</v>
      </c>
      <c r="D62" s="875" t="s">
        <v>15</v>
      </c>
      <c r="E62" s="872"/>
      <c r="F62" s="873">
        <f>+VLOOKUP(C62,THCKT!$C$13:$AE$460,17,0)</f>
        <v>24</v>
      </c>
      <c r="G62" s="874">
        <f t="shared" si="0"/>
        <v>600000</v>
      </c>
      <c r="H62" s="874"/>
      <c r="I62" s="874"/>
      <c r="J62" s="874"/>
      <c r="K62" s="874" t="e">
        <f>VLOOKUP(C62,THCKT!$C$13:$AL$460,21,0)</f>
        <v>#N/A</v>
      </c>
      <c r="L62" s="883">
        <f>VLOOKUP(C62,THCKT!$C$13:$AL$460,22,0)</f>
        <v>0</v>
      </c>
      <c r="M62" s="883">
        <f>VLOOKUP(C62,THCKT!$C$13:$AL$460,23,0)</f>
        <v>0</v>
      </c>
      <c r="N62" s="883" t="e">
        <f t="shared" si="7"/>
        <v>#N/A</v>
      </c>
      <c r="O62" s="883" t="e">
        <f t="shared" si="4"/>
        <v>#N/A</v>
      </c>
      <c r="P62" s="884" t="e">
        <f>VLOOKUP(C62,THCKT!$C$13:$AL$460,36,0)</f>
        <v>#N/A</v>
      </c>
      <c r="Q62" s="887" t="e">
        <f t="shared" si="5"/>
        <v>#N/A</v>
      </c>
      <c r="R62" s="874" t="e">
        <f>VLOOKUP(C62,'LƯƠNG KT'!$D$15:$P$94,16,0)</f>
        <v>#N/A</v>
      </c>
      <c r="S62" s="874" t="e">
        <f>VLOOKUP(C62,'LƯƠNG KT'!$D$15:$P$94,17,0)</f>
        <v>#N/A</v>
      </c>
      <c r="T62" s="874" t="e">
        <f>VLOOKUP(C62,'LƯƠNG KT'!$D$15:$P$94,18,0)</f>
        <v>#N/A</v>
      </c>
      <c r="U62" s="874" t="e">
        <f>VLOOKUP(C62,'LƯƠNG KT'!$D$15:$P$94,18,0)</f>
        <v>#N/A</v>
      </c>
      <c r="V62" s="874" t="e">
        <f>VLOOKUP(C62,'LƯƠNG KT'!$D$15:$P$94,19,0)</f>
        <v>#N/A</v>
      </c>
      <c r="W62" s="874" t="e">
        <f>VLOOKUP(C62,'LƯƠNG KT'!$D$15:$P$94,20,0)</f>
        <v>#N/A</v>
      </c>
      <c r="X62" s="874" t="e">
        <f>VLOOKUP(C62,'LƯƠNG KT'!$D$15:$P$94,21,0)</f>
        <v>#N/A</v>
      </c>
      <c r="Y62" s="874" t="e">
        <f>VLOOKUP(C62,'LƯƠNG KT'!$D$15:$P$94,23,0)</f>
        <v>#N/A</v>
      </c>
      <c r="Z62" s="874" t="e">
        <f>VLOOKUP(C62,'LƯƠNG KT'!$D$15:$P$94,24,0)</f>
        <v>#N/A</v>
      </c>
      <c r="AA62" s="874">
        <v>20</v>
      </c>
      <c r="AB62" s="874"/>
      <c r="AC62" s="889" t="e">
        <f t="shared" si="6"/>
        <v>#N/A</v>
      </c>
      <c r="AD62" s="889" t="e">
        <f t="shared" si="8"/>
        <v>#N/A</v>
      </c>
      <c r="AE62" s="889" t="e">
        <f t="shared" si="3"/>
        <v>#N/A</v>
      </c>
      <c r="AF62" s="915"/>
      <c r="AG62" s="891"/>
      <c r="AH62" s="941" t="s">
        <v>2749</v>
      </c>
      <c r="AI62" s="637"/>
    </row>
    <row r="63" spans="1:35" s="540" customFormat="1" ht="21" customHeight="1">
      <c r="A63" s="868">
        <v>49</v>
      </c>
      <c r="B63" s="1644" t="str">
        <f>VLOOKUP(C63,'DS CN MOI UP'!$B$10:$C$389,2,0)</f>
        <v>02455</v>
      </c>
      <c r="C63" s="875" t="s">
        <v>47</v>
      </c>
      <c r="D63" s="875" t="s">
        <v>15</v>
      </c>
      <c r="E63" s="872"/>
      <c r="F63" s="873">
        <f>+VLOOKUP(C63,THCKT!$C$13:$AE$460,17,0)</f>
        <v>24</v>
      </c>
      <c r="G63" s="874">
        <f t="shared" si="0"/>
        <v>600000</v>
      </c>
      <c r="H63" s="874"/>
      <c r="I63" s="874"/>
      <c r="J63" s="874"/>
      <c r="K63" s="874" t="e">
        <f>VLOOKUP(C63,THCKT!$C$13:$AL$460,21,0)</f>
        <v>#N/A</v>
      </c>
      <c r="L63" s="883">
        <f>VLOOKUP(C63,THCKT!$C$13:$AL$460,22,0)</f>
        <v>0</v>
      </c>
      <c r="M63" s="883">
        <f>VLOOKUP(C63,THCKT!$C$13:$AL$460,23,0)</f>
        <v>0</v>
      </c>
      <c r="N63" s="883" t="e">
        <f t="shared" si="7"/>
        <v>#N/A</v>
      </c>
      <c r="O63" s="883" t="e">
        <f t="shared" si="4"/>
        <v>#N/A</v>
      </c>
      <c r="P63" s="884" t="e">
        <f>VLOOKUP(C63,THCKT!$C$13:$AL$460,36,0)</f>
        <v>#N/A</v>
      </c>
      <c r="Q63" s="887" t="e">
        <f t="shared" si="5"/>
        <v>#N/A</v>
      </c>
      <c r="R63" s="874" t="e">
        <f>VLOOKUP(C63,'LƯƠNG KT'!$D$15:$P$94,16,0)</f>
        <v>#N/A</v>
      </c>
      <c r="S63" s="874" t="e">
        <f>VLOOKUP(C63,'LƯƠNG KT'!$D$15:$P$94,17,0)</f>
        <v>#N/A</v>
      </c>
      <c r="T63" s="874" t="e">
        <f>VLOOKUP(C63,'LƯƠNG KT'!$D$15:$P$94,18,0)</f>
        <v>#N/A</v>
      </c>
      <c r="U63" s="874" t="e">
        <f>VLOOKUP(C63,'LƯƠNG KT'!$D$15:$P$94,18,0)</f>
        <v>#N/A</v>
      </c>
      <c r="V63" s="874" t="e">
        <f>VLOOKUP(C63,'LƯƠNG KT'!$D$15:$P$94,19,0)</f>
        <v>#N/A</v>
      </c>
      <c r="W63" s="874" t="e">
        <f>VLOOKUP(C63,'LƯƠNG KT'!$D$15:$P$94,20,0)</f>
        <v>#N/A</v>
      </c>
      <c r="X63" s="874" t="e">
        <f>VLOOKUP(C63,'LƯƠNG KT'!$D$15:$P$94,21,0)</f>
        <v>#N/A</v>
      </c>
      <c r="Y63" s="874" t="e">
        <f>VLOOKUP(C63,'LƯƠNG KT'!$D$15:$P$94,23,0)</f>
        <v>#N/A</v>
      </c>
      <c r="Z63" s="874" t="e">
        <f>VLOOKUP(C63,'LƯƠNG KT'!$D$15:$P$94,24,0)</f>
        <v>#N/A</v>
      </c>
      <c r="AA63" s="874">
        <v>20</v>
      </c>
      <c r="AB63" s="874"/>
      <c r="AC63" s="889" t="e">
        <f t="shared" si="6"/>
        <v>#N/A</v>
      </c>
      <c r="AD63" s="889" t="e">
        <f t="shared" si="8"/>
        <v>#N/A</v>
      </c>
      <c r="AE63" s="889" t="e">
        <f t="shared" si="3"/>
        <v>#N/A</v>
      </c>
      <c r="AF63" s="915"/>
      <c r="AG63" s="891"/>
      <c r="AH63" s="540" t="s">
        <v>2749</v>
      </c>
      <c r="AI63" s="637"/>
    </row>
    <row r="64" spans="1:35" s="540" customFormat="1" ht="21" customHeight="1">
      <c r="A64" s="868">
        <v>50</v>
      </c>
      <c r="B64" s="1644" t="str">
        <f>VLOOKUP(C64,'DS CN MOI UP'!$B$10:$C$389,2,0)</f>
        <v>02463</v>
      </c>
      <c r="C64" s="875" t="s">
        <v>87</v>
      </c>
      <c r="D64" s="875" t="s">
        <v>15</v>
      </c>
      <c r="E64" s="872"/>
      <c r="F64" s="873">
        <f>+VLOOKUP(C64,THCKT!$C$13:$AE$460,17,0)</f>
        <v>24</v>
      </c>
      <c r="G64" s="874">
        <f t="shared" si="0"/>
        <v>600000</v>
      </c>
      <c r="H64" s="874"/>
      <c r="I64" s="874"/>
      <c r="J64" s="874"/>
      <c r="K64" s="874" t="e">
        <f>VLOOKUP(C64,THCKT!$C$13:$AL$460,21,0)</f>
        <v>#N/A</v>
      </c>
      <c r="L64" s="883">
        <f>VLOOKUP(C64,THCKT!$C$13:$AL$460,22,0)</f>
        <v>0</v>
      </c>
      <c r="M64" s="883">
        <f>VLOOKUP(C64,THCKT!$C$13:$AL$460,23,0)</f>
        <v>0</v>
      </c>
      <c r="N64" s="883" t="e">
        <f t="shared" si="7"/>
        <v>#N/A</v>
      </c>
      <c r="O64" s="883" t="e">
        <f t="shared" si="4"/>
        <v>#N/A</v>
      </c>
      <c r="P64" s="884" t="e">
        <f>VLOOKUP(C64,THCKT!$C$13:$AL$460,36,0)</f>
        <v>#N/A</v>
      </c>
      <c r="Q64" s="887" t="e">
        <f t="shared" si="5"/>
        <v>#N/A</v>
      </c>
      <c r="R64" s="874" t="e">
        <f>VLOOKUP(C64,'LƯƠNG KT'!$D$15:$P$94,16,0)</f>
        <v>#N/A</v>
      </c>
      <c r="S64" s="874" t="e">
        <f>VLOOKUP(C64,'LƯƠNG KT'!$D$15:$P$94,17,0)</f>
        <v>#N/A</v>
      </c>
      <c r="T64" s="874" t="e">
        <f>VLOOKUP(C64,'LƯƠNG KT'!$D$15:$P$94,18,0)</f>
        <v>#N/A</v>
      </c>
      <c r="U64" s="874" t="e">
        <f>VLOOKUP(C64,'LƯƠNG KT'!$D$15:$P$94,18,0)</f>
        <v>#N/A</v>
      </c>
      <c r="V64" s="874" t="e">
        <f>VLOOKUP(C64,'LƯƠNG KT'!$D$15:$P$94,19,0)</f>
        <v>#N/A</v>
      </c>
      <c r="W64" s="874" t="e">
        <f>VLOOKUP(C64,'LƯƠNG KT'!$D$15:$P$94,20,0)</f>
        <v>#N/A</v>
      </c>
      <c r="X64" s="874" t="e">
        <f>VLOOKUP(C64,'LƯƠNG KT'!$D$15:$P$94,21,0)</f>
        <v>#N/A</v>
      </c>
      <c r="Y64" s="874" t="e">
        <f>VLOOKUP(C64,'LƯƠNG KT'!$D$15:$P$94,23,0)</f>
        <v>#N/A</v>
      </c>
      <c r="Z64" s="874" t="e">
        <f>VLOOKUP(C64,'LƯƠNG KT'!$D$15:$P$94,24,0)</f>
        <v>#N/A</v>
      </c>
      <c r="AA64" s="874">
        <v>20</v>
      </c>
      <c r="AB64" s="874"/>
      <c r="AC64" s="889" t="e">
        <f t="shared" si="6"/>
        <v>#N/A</v>
      </c>
      <c r="AD64" s="889" t="e">
        <f t="shared" si="8"/>
        <v>#N/A</v>
      </c>
      <c r="AE64" s="889" t="e">
        <f t="shared" si="3"/>
        <v>#N/A</v>
      </c>
      <c r="AF64" s="915"/>
      <c r="AG64" s="891"/>
      <c r="AH64" s="941" t="s">
        <v>2749</v>
      </c>
      <c r="AI64" s="637"/>
    </row>
    <row r="65" spans="1:35" s="540" customFormat="1" ht="21" customHeight="1">
      <c r="A65" s="868">
        <v>51</v>
      </c>
      <c r="B65" s="1644" t="str">
        <f>VLOOKUP(C65,'DS CN MOI UP'!$B$10:$C$389,2,0)</f>
        <v>02491</v>
      </c>
      <c r="C65" s="875" t="s">
        <v>62</v>
      </c>
      <c r="D65" s="875" t="s">
        <v>15</v>
      </c>
      <c r="E65" s="872"/>
      <c r="F65" s="873">
        <f>+VLOOKUP(C65,THCKT!$C$13:$AE$460,17,0)</f>
        <v>24</v>
      </c>
      <c r="G65" s="874">
        <f t="shared" si="0"/>
        <v>600000</v>
      </c>
      <c r="H65" s="874"/>
      <c r="I65" s="874"/>
      <c r="J65" s="874"/>
      <c r="K65" s="874" t="e">
        <f>VLOOKUP(C65,THCKT!$C$13:$AL$460,21,0)</f>
        <v>#N/A</v>
      </c>
      <c r="L65" s="883">
        <f>VLOOKUP(C65,THCKT!$C$13:$AL$460,22,0)</f>
        <v>0</v>
      </c>
      <c r="M65" s="883">
        <f>VLOOKUP(C65,THCKT!$C$13:$AL$460,23,0)</f>
        <v>0</v>
      </c>
      <c r="N65" s="883" t="e">
        <f t="shared" si="7"/>
        <v>#N/A</v>
      </c>
      <c r="O65" s="883" t="e">
        <f t="shared" si="4"/>
        <v>#N/A</v>
      </c>
      <c r="P65" s="884" t="e">
        <f>VLOOKUP(C65,THCKT!$C$13:$AL$460,36,0)</f>
        <v>#N/A</v>
      </c>
      <c r="Q65" s="887" t="e">
        <f t="shared" si="5"/>
        <v>#N/A</v>
      </c>
      <c r="R65" s="874" t="e">
        <f>VLOOKUP(C65,'LƯƠNG KT'!$D$15:$P$94,16,0)</f>
        <v>#N/A</v>
      </c>
      <c r="S65" s="874" t="e">
        <f>VLOOKUP(C65,'LƯƠNG KT'!$D$15:$P$94,17,0)</f>
        <v>#N/A</v>
      </c>
      <c r="T65" s="874" t="e">
        <f>VLOOKUP(C65,'LƯƠNG KT'!$D$15:$P$94,18,0)</f>
        <v>#N/A</v>
      </c>
      <c r="U65" s="874" t="e">
        <f>VLOOKUP(C65,'LƯƠNG KT'!$D$15:$P$94,18,0)</f>
        <v>#N/A</v>
      </c>
      <c r="V65" s="874" t="e">
        <f>VLOOKUP(C65,'LƯƠNG KT'!$D$15:$P$94,19,0)</f>
        <v>#N/A</v>
      </c>
      <c r="W65" s="874" t="e">
        <f>VLOOKUP(C65,'LƯƠNG KT'!$D$15:$P$94,20,0)</f>
        <v>#N/A</v>
      </c>
      <c r="X65" s="874" t="e">
        <f>VLOOKUP(C65,'LƯƠNG KT'!$D$15:$P$94,21,0)</f>
        <v>#N/A</v>
      </c>
      <c r="Y65" s="874" t="e">
        <f>VLOOKUP(C65,'LƯƠNG KT'!$D$15:$P$94,23,0)</f>
        <v>#N/A</v>
      </c>
      <c r="Z65" s="874" t="e">
        <f>VLOOKUP(C65,'LƯƠNG KT'!$D$15:$P$94,24,0)</f>
        <v>#N/A</v>
      </c>
      <c r="AA65" s="874">
        <v>20</v>
      </c>
      <c r="AB65" s="874"/>
      <c r="AC65" s="889" t="e">
        <f t="shared" si="6"/>
        <v>#N/A</v>
      </c>
      <c r="AD65" s="889" t="e">
        <f t="shared" si="8"/>
        <v>#N/A</v>
      </c>
      <c r="AE65" s="889" t="e">
        <f t="shared" si="3"/>
        <v>#N/A</v>
      </c>
      <c r="AF65" s="915"/>
      <c r="AG65" s="891"/>
      <c r="AH65" s="540" t="s">
        <v>2749</v>
      </c>
      <c r="AI65" s="637"/>
    </row>
    <row r="66" spans="1:35" s="540" customFormat="1" ht="21" customHeight="1">
      <c r="A66" s="868">
        <v>52</v>
      </c>
      <c r="B66" s="1644" t="str">
        <f>VLOOKUP(C66,'DS CN MOI UP'!$B$10:$C$389,2,0)</f>
        <v>02478</v>
      </c>
      <c r="C66" s="875" t="s">
        <v>79</v>
      </c>
      <c r="D66" s="875" t="s">
        <v>15</v>
      </c>
      <c r="E66" s="872"/>
      <c r="F66" s="873">
        <f>+VLOOKUP(C66,THCKT!$C$13:$AE$460,17,0)</f>
        <v>24</v>
      </c>
      <c r="G66" s="874">
        <f t="shared" si="0"/>
        <v>600000</v>
      </c>
      <c r="H66" s="874"/>
      <c r="I66" s="874"/>
      <c r="J66" s="874"/>
      <c r="K66" s="874" t="e">
        <f>VLOOKUP(C66,THCKT!$C$13:$AL$460,21,0)</f>
        <v>#N/A</v>
      </c>
      <c r="L66" s="883">
        <f>VLOOKUP(C66,THCKT!$C$13:$AL$460,22,0)</f>
        <v>0</v>
      </c>
      <c r="M66" s="883">
        <f>VLOOKUP(C66,THCKT!$C$13:$AL$460,23,0)</f>
        <v>0</v>
      </c>
      <c r="N66" s="883" t="e">
        <f t="shared" si="7"/>
        <v>#N/A</v>
      </c>
      <c r="O66" s="883" t="e">
        <f t="shared" si="4"/>
        <v>#N/A</v>
      </c>
      <c r="P66" s="884" t="e">
        <f>VLOOKUP(C66,THCKT!$C$13:$AL$460,36,0)</f>
        <v>#N/A</v>
      </c>
      <c r="Q66" s="887" t="e">
        <f t="shared" si="5"/>
        <v>#N/A</v>
      </c>
      <c r="R66" s="874" t="e">
        <f>VLOOKUP(C66,'LƯƠNG KT'!$D$15:$P$94,16,0)</f>
        <v>#N/A</v>
      </c>
      <c r="S66" s="874" t="e">
        <f>VLOOKUP(C66,'LƯƠNG KT'!$D$15:$P$94,17,0)</f>
        <v>#N/A</v>
      </c>
      <c r="T66" s="874" t="e">
        <f>VLOOKUP(C66,'LƯƠNG KT'!$D$15:$P$94,18,0)</f>
        <v>#N/A</v>
      </c>
      <c r="U66" s="874" t="e">
        <f>VLOOKUP(C66,'LƯƠNG KT'!$D$15:$P$94,18,0)</f>
        <v>#N/A</v>
      </c>
      <c r="V66" s="874" t="e">
        <f>VLOOKUP(C66,'LƯƠNG KT'!$D$15:$P$94,19,0)</f>
        <v>#N/A</v>
      </c>
      <c r="W66" s="874" t="e">
        <f>VLOOKUP(C66,'LƯƠNG KT'!$D$15:$P$94,20,0)</f>
        <v>#N/A</v>
      </c>
      <c r="X66" s="874" t="e">
        <f>VLOOKUP(C66,'LƯƠNG KT'!$D$15:$P$94,21,0)</f>
        <v>#N/A</v>
      </c>
      <c r="Y66" s="874" t="e">
        <f>VLOOKUP(C66,'LƯƠNG KT'!$D$15:$P$94,23,0)</f>
        <v>#N/A</v>
      </c>
      <c r="Z66" s="874" t="e">
        <f>VLOOKUP(C66,'LƯƠNG KT'!$D$15:$P$94,24,0)</f>
        <v>#N/A</v>
      </c>
      <c r="AA66" s="874">
        <v>20</v>
      </c>
      <c r="AB66" s="874"/>
      <c r="AC66" s="889" t="e">
        <f t="shared" si="6"/>
        <v>#N/A</v>
      </c>
      <c r="AD66" s="889" t="e">
        <f t="shared" si="8"/>
        <v>#N/A</v>
      </c>
      <c r="AE66" s="889" t="e">
        <f t="shared" si="3"/>
        <v>#N/A</v>
      </c>
      <c r="AF66" s="915"/>
      <c r="AG66" s="891"/>
      <c r="AH66" s="941" t="s">
        <v>2749</v>
      </c>
      <c r="AI66" s="637"/>
    </row>
    <row r="67" spans="1:35" s="540" customFormat="1" ht="21" customHeight="1">
      <c r="A67" s="868">
        <v>53</v>
      </c>
      <c r="B67" s="1644" t="str">
        <f>VLOOKUP(C67,'DS CN MOI UP'!$B$10:$C$389,2,0)</f>
        <v>03324</v>
      </c>
      <c r="C67" s="875" t="s">
        <v>27</v>
      </c>
      <c r="D67" s="875" t="s">
        <v>15</v>
      </c>
      <c r="E67" s="872"/>
      <c r="F67" s="873">
        <f>+VLOOKUP(C67,THCKT!$C$13:$AE$460,17,0)</f>
        <v>24</v>
      </c>
      <c r="G67" s="874">
        <f t="shared" si="0"/>
        <v>600000</v>
      </c>
      <c r="H67" s="874"/>
      <c r="I67" s="874"/>
      <c r="J67" s="874"/>
      <c r="K67" s="874" t="e">
        <f>VLOOKUP(C67,THCKT!$C$13:$AL$460,21,0)</f>
        <v>#N/A</v>
      </c>
      <c r="L67" s="883">
        <f>VLOOKUP(C67,THCKT!$C$13:$AL$460,22,0)</f>
        <v>0</v>
      </c>
      <c r="M67" s="883">
        <f>VLOOKUP(C67,THCKT!$C$13:$AL$460,23,0)</f>
        <v>0</v>
      </c>
      <c r="N67" s="883" t="e">
        <f t="shared" si="7"/>
        <v>#N/A</v>
      </c>
      <c r="O67" s="883" t="e">
        <f t="shared" si="4"/>
        <v>#N/A</v>
      </c>
      <c r="P67" s="884" t="e">
        <f>VLOOKUP(C67,THCKT!$C$13:$AL$460,36,0)</f>
        <v>#N/A</v>
      </c>
      <c r="Q67" s="887" t="e">
        <f t="shared" si="5"/>
        <v>#N/A</v>
      </c>
      <c r="R67" s="874" t="e">
        <f>VLOOKUP(C67,'LƯƠNG KT'!$D$15:$P$94,16,0)</f>
        <v>#N/A</v>
      </c>
      <c r="S67" s="874" t="e">
        <f>VLOOKUP(C67,'LƯƠNG KT'!$D$15:$P$94,17,0)</f>
        <v>#N/A</v>
      </c>
      <c r="T67" s="874" t="e">
        <f>VLOOKUP(C67,'LƯƠNG KT'!$D$15:$P$94,18,0)</f>
        <v>#N/A</v>
      </c>
      <c r="U67" s="874" t="e">
        <f>VLOOKUP(C67,'LƯƠNG KT'!$D$15:$P$94,18,0)</f>
        <v>#N/A</v>
      </c>
      <c r="V67" s="874" t="e">
        <f>VLOOKUP(C67,'LƯƠNG KT'!$D$15:$P$94,19,0)</f>
        <v>#N/A</v>
      </c>
      <c r="W67" s="874" t="e">
        <f>VLOOKUP(C67,'LƯƠNG KT'!$D$15:$P$94,20,0)</f>
        <v>#N/A</v>
      </c>
      <c r="X67" s="874" t="e">
        <f>VLOOKUP(C67,'LƯƠNG KT'!$D$15:$P$94,21,0)</f>
        <v>#N/A</v>
      </c>
      <c r="Y67" s="874" t="e">
        <f>VLOOKUP(C67,'LƯƠNG KT'!$D$15:$P$94,23,0)</f>
        <v>#N/A</v>
      </c>
      <c r="Z67" s="874" t="e">
        <f>VLOOKUP(C67,'LƯƠNG KT'!$D$15:$P$94,24,0)</f>
        <v>#N/A</v>
      </c>
      <c r="AA67" s="874">
        <v>20</v>
      </c>
      <c r="AB67" s="874"/>
      <c r="AC67" s="889" t="e">
        <f t="shared" si="6"/>
        <v>#N/A</v>
      </c>
      <c r="AD67" s="889" t="e">
        <f t="shared" si="8"/>
        <v>#N/A</v>
      </c>
      <c r="AE67" s="889" t="e">
        <f t="shared" si="3"/>
        <v>#N/A</v>
      </c>
      <c r="AF67" s="915"/>
      <c r="AG67" s="891"/>
      <c r="AH67" s="540" t="s">
        <v>2749</v>
      </c>
      <c r="AI67" s="637"/>
    </row>
    <row r="68" spans="1:35" s="540" customFormat="1" ht="21" customHeight="1">
      <c r="A68" s="868">
        <v>54</v>
      </c>
      <c r="B68" s="1644" t="str">
        <f>VLOOKUP(C68,'DS CN MOI UP'!$B$10:$C$389,2,0)</f>
        <v>03325</v>
      </c>
      <c r="C68" s="875" t="s">
        <v>28</v>
      </c>
      <c r="D68" s="875" t="s">
        <v>15</v>
      </c>
      <c r="E68" s="872"/>
      <c r="F68" s="873">
        <f>+VLOOKUP(C68,THCKT!$C$13:$AE$460,17,0)</f>
        <v>24</v>
      </c>
      <c r="G68" s="874">
        <f t="shared" si="0"/>
        <v>600000</v>
      </c>
      <c r="H68" s="874"/>
      <c r="I68" s="874"/>
      <c r="J68" s="874"/>
      <c r="K68" s="874" t="e">
        <f>VLOOKUP(C68,THCKT!$C$13:$AL$460,21,0)</f>
        <v>#N/A</v>
      </c>
      <c r="L68" s="883">
        <f>VLOOKUP(C68,THCKT!$C$13:$AL$460,22,0)</f>
        <v>0</v>
      </c>
      <c r="M68" s="883">
        <f>VLOOKUP(C68,THCKT!$C$13:$AL$460,23,0)</f>
        <v>0</v>
      </c>
      <c r="N68" s="883" t="e">
        <f t="shared" si="7"/>
        <v>#N/A</v>
      </c>
      <c r="O68" s="883" t="e">
        <f t="shared" si="4"/>
        <v>#N/A</v>
      </c>
      <c r="P68" s="884" t="e">
        <f>VLOOKUP(C68,THCKT!$C$13:$AL$460,36,0)</f>
        <v>#N/A</v>
      </c>
      <c r="Q68" s="887" t="e">
        <f t="shared" si="5"/>
        <v>#N/A</v>
      </c>
      <c r="R68" s="874" t="e">
        <f>VLOOKUP(C68,'LƯƠNG KT'!$D$15:$P$94,16,0)</f>
        <v>#N/A</v>
      </c>
      <c r="S68" s="874" t="e">
        <f>VLOOKUP(C68,'LƯƠNG KT'!$D$15:$P$94,17,0)</f>
        <v>#N/A</v>
      </c>
      <c r="T68" s="874" t="e">
        <f>VLOOKUP(C68,'LƯƠNG KT'!$D$15:$P$94,18,0)</f>
        <v>#N/A</v>
      </c>
      <c r="U68" s="874" t="e">
        <f>VLOOKUP(C68,'LƯƠNG KT'!$D$15:$P$94,18,0)</f>
        <v>#N/A</v>
      </c>
      <c r="V68" s="874" t="e">
        <f>VLOOKUP(C68,'LƯƠNG KT'!$D$15:$P$94,19,0)</f>
        <v>#N/A</v>
      </c>
      <c r="W68" s="874" t="e">
        <f>VLOOKUP(C68,'LƯƠNG KT'!$D$15:$P$94,20,0)</f>
        <v>#N/A</v>
      </c>
      <c r="X68" s="874" t="e">
        <f>VLOOKUP(C68,'LƯƠNG KT'!$D$15:$P$94,21,0)</f>
        <v>#N/A</v>
      </c>
      <c r="Y68" s="874" t="e">
        <f>VLOOKUP(C68,'LƯƠNG KT'!$D$15:$P$94,23,0)</f>
        <v>#N/A</v>
      </c>
      <c r="Z68" s="874" t="e">
        <f>VLOOKUP(C68,'LƯƠNG KT'!$D$15:$P$94,24,0)</f>
        <v>#N/A</v>
      </c>
      <c r="AA68" s="874">
        <v>20</v>
      </c>
      <c r="AB68" s="874"/>
      <c r="AC68" s="889" t="e">
        <f t="shared" si="6"/>
        <v>#N/A</v>
      </c>
      <c r="AD68" s="889" t="e">
        <f t="shared" si="8"/>
        <v>#N/A</v>
      </c>
      <c r="AE68" s="889" t="e">
        <f t="shared" si="3"/>
        <v>#N/A</v>
      </c>
      <c r="AF68" s="915"/>
      <c r="AG68" s="891"/>
      <c r="AH68" s="941" t="s">
        <v>2749</v>
      </c>
      <c r="AI68" s="637"/>
    </row>
    <row r="69" spans="1:35" s="540" customFormat="1" ht="21" customHeight="1">
      <c r="A69" s="868">
        <v>55</v>
      </c>
      <c r="B69" s="1644" t="str">
        <f>VLOOKUP(C69,'DS CN MOI UP'!$B$10:$C$389,2,0)</f>
        <v>02510</v>
      </c>
      <c r="C69" s="875" t="s">
        <v>41</v>
      </c>
      <c r="D69" s="875" t="s">
        <v>15</v>
      </c>
      <c r="E69" s="872"/>
      <c r="F69" s="873">
        <f>+VLOOKUP(C69,THCKT!$C$13:$AE$460,17,0)</f>
        <v>24</v>
      </c>
      <c r="G69" s="874">
        <f t="shared" si="0"/>
        <v>600000</v>
      </c>
      <c r="H69" s="874"/>
      <c r="I69" s="874"/>
      <c r="J69" s="874"/>
      <c r="K69" s="874" t="e">
        <f>VLOOKUP(C69,THCKT!$C$13:$AL$460,21,0)</f>
        <v>#N/A</v>
      </c>
      <c r="L69" s="883">
        <f>VLOOKUP(C69,THCKT!$C$13:$AL$460,22,0)</f>
        <v>0</v>
      </c>
      <c r="M69" s="883">
        <f>VLOOKUP(C69,THCKT!$C$13:$AL$460,23,0)</f>
        <v>0</v>
      </c>
      <c r="N69" s="883" t="e">
        <f t="shared" si="7"/>
        <v>#N/A</v>
      </c>
      <c r="O69" s="883" t="e">
        <f t="shared" si="4"/>
        <v>#N/A</v>
      </c>
      <c r="P69" s="884" t="e">
        <f>VLOOKUP(C69,THCKT!$C$13:$AL$460,36,0)</f>
        <v>#N/A</v>
      </c>
      <c r="Q69" s="887" t="e">
        <f t="shared" si="5"/>
        <v>#N/A</v>
      </c>
      <c r="R69" s="874" t="e">
        <f>VLOOKUP(C69,'LƯƠNG KT'!$D$15:$P$94,16,0)</f>
        <v>#N/A</v>
      </c>
      <c r="S69" s="874" t="e">
        <f>VLOOKUP(C69,'LƯƠNG KT'!$D$15:$P$94,17,0)</f>
        <v>#N/A</v>
      </c>
      <c r="T69" s="874" t="e">
        <f>VLOOKUP(C69,'LƯƠNG KT'!$D$15:$P$94,18,0)</f>
        <v>#N/A</v>
      </c>
      <c r="U69" s="874" t="e">
        <f>VLOOKUP(C69,'LƯƠNG KT'!$D$15:$P$94,18,0)</f>
        <v>#N/A</v>
      </c>
      <c r="V69" s="874" t="e">
        <f>VLOOKUP(C69,'LƯƠNG KT'!$D$15:$P$94,19,0)</f>
        <v>#N/A</v>
      </c>
      <c r="W69" s="874" t="e">
        <f>VLOOKUP(C69,'LƯƠNG KT'!$D$15:$P$94,20,0)</f>
        <v>#N/A</v>
      </c>
      <c r="X69" s="874" t="e">
        <f>VLOOKUP(C69,'LƯƠNG KT'!$D$15:$P$94,21,0)</f>
        <v>#N/A</v>
      </c>
      <c r="Y69" s="874" t="e">
        <f>VLOOKUP(C69,'LƯƠNG KT'!$D$15:$P$94,23,0)</f>
        <v>#N/A</v>
      </c>
      <c r="Z69" s="874" t="e">
        <f>VLOOKUP(C69,'LƯƠNG KT'!$D$15:$P$94,24,0)</f>
        <v>#N/A</v>
      </c>
      <c r="AA69" s="874">
        <v>20</v>
      </c>
      <c r="AB69" s="874"/>
      <c r="AC69" s="889" t="e">
        <f t="shared" si="6"/>
        <v>#N/A</v>
      </c>
      <c r="AD69" s="889" t="e">
        <f t="shared" si="8"/>
        <v>#N/A</v>
      </c>
      <c r="AE69" s="889" t="e">
        <f t="shared" si="3"/>
        <v>#N/A</v>
      </c>
      <c r="AF69" s="915"/>
      <c r="AG69" s="891"/>
      <c r="AH69" s="540" t="s">
        <v>2749</v>
      </c>
      <c r="AI69" s="637"/>
    </row>
    <row r="70" spans="1:35" s="540" customFormat="1" ht="21" customHeight="1">
      <c r="A70" s="868">
        <v>56</v>
      </c>
      <c r="B70" s="1644" t="str">
        <f>VLOOKUP(C70,'DS CN MOI UP'!$B$10:$C$389,2,0)</f>
        <v>02469</v>
      </c>
      <c r="C70" s="875" t="s">
        <v>38</v>
      </c>
      <c r="D70" s="875" t="s">
        <v>15</v>
      </c>
      <c r="E70" s="872"/>
      <c r="F70" s="873">
        <f>+VLOOKUP(C70,THCKT!$C$13:$AE$460,17,0)</f>
        <v>24</v>
      </c>
      <c r="G70" s="874">
        <f t="shared" si="0"/>
        <v>600000</v>
      </c>
      <c r="H70" s="874"/>
      <c r="I70" s="874"/>
      <c r="J70" s="874"/>
      <c r="K70" s="874" t="e">
        <f>VLOOKUP(C70,THCKT!$C$13:$AL$460,21,0)</f>
        <v>#N/A</v>
      </c>
      <c r="L70" s="883">
        <f>VLOOKUP(C70,THCKT!$C$13:$AL$460,22,0)</f>
        <v>0</v>
      </c>
      <c r="M70" s="883">
        <f>VLOOKUP(C70,THCKT!$C$13:$AL$460,23,0)</f>
        <v>0</v>
      </c>
      <c r="N70" s="883" t="e">
        <f t="shared" si="7"/>
        <v>#N/A</v>
      </c>
      <c r="O70" s="883" t="e">
        <f t="shared" si="4"/>
        <v>#N/A</v>
      </c>
      <c r="P70" s="884" t="e">
        <f>VLOOKUP(C70,THCKT!$C$13:$AL$460,36,0)</f>
        <v>#N/A</v>
      </c>
      <c r="Q70" s="887" t="e">
        <f t="shared" si="5"/>
        <v>#N/A</v>
      </c>
      <c r="R70" s="874" t="e">
        <f>VLOOKUP(C70,'LƯƠNG KT'!$D$15:$P$94,16,0)</f>
        <v>#N/A</v>
      </c>
      <c r="S70" s="874" t="e">
        <f>VLOOKUP(C70,'LƯƠNG KT'!$D$15:$P$94,17,0)</f>
        <v>#N/A</v>
      </c>
      <c r="T70" s="874" t="e">
        <f>VLOOKUP(C70,'LƯƠNG KT'!$D$15:$P$94,18,0)</f>
        <v>#N/A</v>
      </c>
      <c r="U70" s="874" t="e">
        <f>VLOOKUP(C70,'LƯƠNG KT'!$D$15:$P$94,18,0)</f>
        <v>#N/A</v>
      </c>
      <c r="V70" s="874" t="e">
        <f>VLOOKUP(C70,'LƯƠNG KT'!$D$15:$P$94,19,0)</f>
        <v>#N/A</v>
      </c>
      <c r="W70" s="874" t="e">
        <f>VLOOKUP(C70,'LƯƠNG KT'!$D$15:$P$94,20,0)</f>
        <v>#N/A</v>
      </c>
      <c r="X70" s="874" t="e">
        <f>VLOOKUP(C70,'LƯƠNG KT'!$D$15:$P$94,21,0)</f>
        <v>#N/A</v>
      </c>
      <c r="Y70" s="874" t="e">
        <f>VLOOKUP(C70,'LƯƠNG KT'!$D$15:$P$94,23,0)</f>
        <v>#N/A</v>
      </c>
      <c r="Z70" s="874" t="e">
        <f>VLOOKUP(C70,'LƯƠNG KT'!$D$15:$P$94,24,0)</f>
        <v>#N/A</v>
      </c>
      <c r="AA70" s="874">
        <v>20</v>
      </c>
      <c r="AB70" s="874"/>
      <c r="AC70" s="889" t="e">
        <f t="shared" si="6"/>
        <v>#N/A</v>
      </c>
      <c r="AD70" s="889" t="e">
        <f t="shared" si="8"/>
        <v>#N/A</v>
      </c>
      <c r="AE70" s="889" t="e">
        <f t="shared" si="3"/>
        <v>#N/A</v>
      </c>
      <c r="AF70" s="915"/>
      <c r="AG70" s="891"/>
      <c r="AH70" s="941" t="s">
        <v>2749</v>
      </c>
      <c r="AI70" s="637"/>
    </row>
    <row r="71" spans="1:35" s="540" customFormat="1" ht="21" customHeight="1">
      <c r="A71" s="868">
        <v>57</v>
      </c>
      <c r="B71" s="1644" t="str">
        <f>VLOOKUP(C71,'DS CN MOI UP'!$B$10:$C$389,2,0)</f>
        <v>02475</v>
      </c>
      <c r="C71" s="875" t="s">
        <v>39</v>
      </c>
      <c r="D71" s="875" t="s">
        <v>15</v>
      </c>
      <c r="E71" s="872"/>
      <c r="F71" s="873">
        <f>+VLOOKUP(C71,THCKT!$C$13:$AE$460,17,0)</f>
        <v>24</v>
      </c>
      <c r="G71" s="874">
        <f t="shared" si="0"/>
        <v>600000</v>
      </c>
      <c r="H71" s="874"/>
      <c r="I71" s="874"/>
      <c r="J71" s="874"/>
      <c r="K71" s="874" t="e">
        <f>VLOOKUP(C71,THCKT!$C$13:$AL$460,21,0)</f>
        <v>#N/A</v>
      </c>
      <c r="L71" s="883">
        <f>VLOOKUP(C71,THCKT!$C$13:$AL$460,22,0)</f>
        <v>0</v>
      </c>
      <c r="M71" s="883">
        <f>VLOOKUP(C71,THCKT!$C$13:$AL$460,23,0)</f>
        <v>0</v>
      </c>
      <c r="N71" s="883" t="e">
        <f t="shared" si="7"/>
        <v>#N/A</v>
      </c>
      <c r="O71" s="883" t="e">
        <f t="shared" si="4"/>
        <v>#N/A</v>
      </c>
      <c r="P71" s="884" t="e">
        <f>VLOOKUP(C71,THCKT!$C$13:$AL$460,36,0)</f>
        <v>#N/A</v>
      </c>
      <c r="Q71" s="887" t="e">
        <f t="shared" si="5"/>
        <v>#N/A</v>
      </c>
      <c r="R71" s="874" t="e">
        <f>VLOOKUP(C71,'LƯƠNG KT'!$D$15:$P$94,16,0)</f>
        <v>#N/A</v>
      </c>
      <c r="S71" s="874" t="e">
        <f>VLOOKUP(C71,'LƯƠNG KT'!$D$15:$P$94,17,0)</f>
        <v>#N/A</v>
      </c>
      <c r="T71" s="874" t="e">
        <f>VLOOKUP(C71,'LƯƠNG KT'!$D$15:$P$94,18,0)</f>
        <v>#N/A</v>
      </c>
      <c r="U71" s="874" t="e">
        <f>VLOOKUP(C71,'LƯƠNG KT'!$D$15:$P$94,18,0)</f>
        <v>#N/A</v>
      </c>
      <c r="V71" s="874" t="e">
        <f>VLOOKUP(C71,'LƯƠNG KT'!$D$15:$P$94,19,0)</f>
        <v>#N/A</v>
      </c>
      <c r="W71" s="874" t="e">
        <f>VLOOKUP(C71,'LƯƠNG KT'!$D$15:$P$94,20,0)</f>
        <v>#N/A</v>
      </c>
      <c r="X71" s="874" t="e">
        <f>VLOOKUP(C71,'LƯƠNG KT'!$D$15:$P$94,21,0)</f>
        <v>#N/A</v>
      </c>
      <c r="Y71" s="874" t="e">
        <f>VLOOKUP(C71,'LƯƠNG KT'!$D$15:$P$94,23,0)</f>
        <v>#N/A</v>
      </c>
      <c r="Z71" s="874" t="e">
        <f>VLOOKUP(C71,'LƯƠNG KT'!$D$15:$P$94,24,0)</f>
        <v>#N/A</v>
      </c>
      <c r="AA71" s="874">
        <v>20</v>
      </c>
      <c r="AB71" s="874"/>
      <c r="AC71" s="889" t="e">
        <f t="shared" si="6"/>
        <v>#N/A</v>
      </c>
      <c r="AD71" s="889" t="e">
        <f t="shared" si="8"/>
        <v>#N/A</v>
      </c>
      <c r="AE71" s="889" t="e">
        <f t="shared" si="3"/>
        <v>#N/A</v>
      </c>
      <c r="AF71" s="915"/>
      <c r="AG71" s="891"/>
      <c r="AH71" s="540" t="s">
        <v>2749</v>
      </c>
      <c r="AI71" s="637"/>
    </row>
    <row r="72" spans="1:35" s="540" customFormat="1" ht="21" customHeight="1">
      <c r="A72" s="868">
        <v>58</v>
      </c>
      <c r="B72" s="1644" t="str">
        <f>VLOOKUP(C72,'DS CN MOI UP'!$B$10:$C$389,2,0)</f>
        <v>02496</v>
      </c>
      <c r="C72" s="875" t="s">
        <v>98</v>
      </c>
      <c r="D72" s="875" t="s">
        <v>15</v>
      </c>
      <c r="E72" s="872"/>
      <c r="F72" s="873">
        <f>+VLOOKUP(C72,THCKT!$C$13:$AE$460,17,0)</f>
        <v>24</v>
      </c>
      <c r="G72" s="874">
        <f t="shared" si="0"/>
        <v>600000</v>
      </c>
      <c r="H72" s="874"/>
      <c r="I72" s="874"/>
      <c r="J72" s="874"/>
      <c r="K72" s="874" t="e">
        <f>VLOOKUP(C72,THCKT!$C$13:$AL$460,21,0)</f>
        <v>#N/A</v>
      </c>
      <c r="L72" s="883">
        <f>VLOOKUP(C72,THCKT!$C$13:$AL$460,22,0)</f>
        <v>0</v>
      </c>
      <c r="M72" s="883">
        <f>VLOOKUP(C72,THCKT!$C$13:$AL$460,23,0)</f>
        <v>0</v>
      </c>
      <c r="N72" s="883" t="e">
        <f t="shared" si="7"/>
        <v>#N/A</v>
      </c>
      <c r="O72" s="883" t="e">
        <f t="shared" si="4"/>
        <v>#N/A</v>
      </c>
      <c r="P72" s="884" t="e">
        <f>VLOOKUP(C72,THCKT!$C$13:$AL$460,36,0)</f>
        <v>#N/A</v>
      </c>
      <c r="Q72" s="887" t="e">
        <f t="shared" si="5"/>
        <v>#N/A</v>
      </c>
      <c r="R72" s="874" t="e">
        <f>VLOOKUP(C72,'LƯƠNG KT'!$D$15:$P$94,16,0)</f>
        <v>#N/A</v>
      </c>
      <c r="S72" s="874" t="e">
        <f>VLOOKUP(C72,'LƯƠNG KT'!$D$15:$P$94,17,0)</f>
        <v>#N/A</v>
      </c>
      <c r="T72" s="874" t="e">
        <f>VLOOKUP(C72,'LƯƠNG KT'!$D$15:$P$94,18,0)</f>
        <v>#N/A</v>
      </c>
      <c r="U72" s="874" t="e">
        <f>VLOOKUP(C72,'LƯƠNG KT'!$D$15:$P$94,18,0)</f>
        <v>#N/A</v>
      </c>
      <c r="V72" s="874" t="e">
        <f>VLOOKUP(C72,'LƯƠNG KT'!$D$15:$P$94,19,0)</f>
        <v>#N/A</v>
      </c>
      <c r="W72" s="874" t="e">
        <f>VLOOKUP(C72,'LƯƠNG KT'!$D$15:$P$94,20,0)</f>
        <v>#N/A</v>
      </c>
      <c r="X72" s="874" t="e">
        <f>VLOOKUP(C72,'LƯƠNG KT'!$D$15:$P$94,21,0)</f>
        <v>#N/A</v>
      </c>
      <c r="Y72" s="874" t="e">
        <f>VLOOKUP(C72,'LƯƠNG KT'!$D$15:$P$94,23,0)</f>
        <v>#N/A</v>
      </c>
      <c r="Z72" s="874" t="e">
        <f>VLOOKUP(C72,'LƯƠNG KT'!$D$15:$P$94,24,0)</f>
        <v>#N/A</v>
      </c>
      <c r="AA72" s="874">
        <v>20</v>
      </c>
      <c r="AB72" s="874"/>
      <c r="AC72" s="889" t="e">
        <f t="shared" si="6"/>
        <v>#N/A</v>
      </c>
      <c r="AD72" s="889" t="e">
        <f t="shared" si="8"/>
        <v>#N/A</v>
      </c>
      <c r="AE72" s="889" t="e">
        <f t="shared" si="3"/>
        <v>#N/A</v>
      </c>
      <c r="AF72" s="915"/>
      <c r="AG72" s="891"/>
      <c r="AH72" s="941" t="s">
        <v>2749</v>
      </c>
      <c r="AI72" s="637"/>
    </row>
    <row r="73" spans="1:35" s="540" customFormat="1" ht="21" customHeight="1">
      <c r="A73" s="868">
        <v>59</v>
      </c>
      <c r="B73" s="869" t="e">
        <f>VLOOKUP(C73,'DS CN MOI UP'!$B$10:$C$389,2,0)</f>
        <v>#N/A</v>
      </c>
      <c r="C73" s="875" t="s">
        <v>2649</v>
      </c>
      <c r="D73" s="875" t="s">
        <v>15</v>
      </c>
      <c r="E73" s="872"/>
      <c r="F73" s="873">
        <f>+VLOOKUP(C73,THCKT!$C$13:$AE$460,17,0)</f>
        <v>24</v>
      </c>
      <c r="G73" s="874">
        <f t="shared" si="0"/>
        <v>600000</v>
      </c>
      <c r="H73" s="874"/>
      <c r="I73" s="874"/>
      <c r="J73" s="874"/>
      <c r="K73" s="874" t="e">
        <f>VLOOKUP(C73,THCKT!$C$13:$AL$460,21,0)</f>
        <v>#N/A</v>
      </c>
      <c r="L73" s="883">
        <f>VLOOKUP(C73,THCKT!$C$13:$AL$460,22,0)</f>
        <v>0</v>
      </c>
      <c r="M73" s="883">
        <f>VLOOKUP(C73,THCKT!$C$13:$AL$460,23,0)</f>
        <v>0</v>
      </c>
      <c r="N73" s="883" t="e">
        <f t="shared" si="7"/>
        <v>#N/A</v>
      </c>
      <c r="O73" s="883" t="e">
        <f t="shared" si="4"/>
        <v>#N/A</v>
      </c>
      <c r="P73" s="884" t="e">
        <f>VLOOKUP(C73,THCKT!$C$13:$AL$460,36,0)</f>
        <v>#N/A</v>
      </c>
      <c r="Q73" s="887" t="e">
        <f t="shared" si="5"/>
        <v>#N/A</v>
      </c>
      <c r="R73" s="874" t="e">
        <f>VLOOKUP(C73,'LƯƠNG KT'!$D$15:$P$94,16,0)</f>
        <v>#N/A</v>
      </c>
      <c r="S73" s="874" t="e">
        <f>VLOOKUP(C73,'LƯƠNG KT'!$D$15:$P$94,17,0)</f>
        <v>#N/A</v>
      </c>
      <c r="T73" s="874" t="e">
        <f>VLOOKUP(C73,'LƯƠNG KT'!$D$15:$P$94,18,0)</f>
        <v>#N/A</v>
      </c>
      <c r="U73" s="874" t="e">
        <f>VLOOKUP(C73,'LƯƠNG KT'!$D$15:$P$94,18,0)</f>
        <v>#N/A</v>
      </c>
      <c r="V73" s="874" t="e">
        <f>VLOOKUP(C73,'LƯƠNG KT'!$D$15:$P$94,19,0)</f>
        <v>#N/A</v>
      </c>
      <c r="W73" s="874" t="e">
        <f>VLOOKUP(C73,'LƯƠNG KT'!$D$15:$P$94,20,0)</f>
        <v>#N/A</v>
      </c>
      <c r="X73" s="874" t="e">
        <f>VLOOKUP(C73,'LƯƠNG KT'!$D$15:$P$94,21,0)</f>
        <v>#N/A</v>
      </c>
      <c r="Y73" s="874" t="e">
        <f>VLOOKUP(C73,'LƯƠNG KT'!$D$15:$P$94,23,0)</f>
        <v>#N/A</v>
      </c>
      <c r="Z73" s="874" t="e">
        <f>VLOOKUP(C73,'LƯƠNG KT'!$D$15:$P$94,24,0)</f>
        <v>#N/A</v>
      </c>
      <c r="AA73" s="874">
        <v>20</v>
      </c>
      <c r="AB73" s="874"/>
      <c r="AC73" s="889" t="e">
        <f t="shared" si="6"/>
        <v>#N/A</v>
      </c>
      <c r="AD73" s="889" t="e">
        <f t="shared" si="8"/>
        <v>#N/A</v>
      </c>
      <c r="AE73" s="889" t="e">
        <f t="shared" si="3"/>
        <v>#N/A</v>
      </c>
      <c r="AF73" s="915"/>
      <c r="AG73" s="891"/>
      <c r="AH73" s="540" t="s">
        <v>2749</v>
      </c>
      <c r="AI73" s="637"/>
    </row>
    <row r="74" spans="1:35" s="540" customFormat="1" ht="21" customHeight="1">
      <c r="A74" s="868">
        <v>60</v>
      </c>
      <c r="B74" s="1644" t="str">
        <f>VLOOKUP(C74,'DS CN MOI UP'!$B$10:$C$389,2,0)</f>
        <v>03326</v>
      </c>
      <c r="C74" s="875" t="s">
        <v>29</v>
      </c>
      <c r="D74" s="875" t="s">
        <v>15</v>
      </c>
      <c r="E74" s="872"/>
      <c r="F74" s="873">
        <f>+VLOOKUP(C74,THCKT!$C$13:$AE$460,17,0)</f>
        <v>24</v>
      </c>
      <c r="G74" s="874">
        <f t="shared" si="0"/>
        <v>600000</v>
      </c>
      <c r="H74" s="874"/>
      <c r="I74" s="874"/>
      <c r="J74" s="874"/>
      <c r="K74" s="874" t="e">
        <f>VLOOKUP(C74,THCKT!$C$13:$AL$460,21,0)</f>
        <v>#N/A</v>
      </c>
      <c r="L74" s="883">
        <f>VLOOKUP(C74,THCKT!$C$13:$AL$460,22,0)</f>
        <v>0</v>
      </c>
      <c r="M74" s="883">
        <f>VLOOKUP(C74,THCKT!$C$13:$AL$460,23,0)</f>
        <v>0</v>
      </c>
      <c r="N74" s="883" t="e">
        <f t="shared" si="7"/>
        <v>#N/A</v>
      </c>
      <c r="O74" s="883" t="e">
        <f t="shared" si="4"/>
        <v>#N/A</v>
      </c>
      <c r="P74" s="884" t="e">
        <f>VLOOKUP(C74,THCKT!$C$13:$AL$460,36,0)</f>
        <v>#N/A</v>
      </c>
      <c r="Q74" s="887" t="e">
        <f t="shared" si="5"/>
        <v>#N/A</v>
      </c>
      <c r="R74" s="874" t="e">
        <f>VLOOKUP(C74,'LƯƠNG KT'!$D$15:$P$94,16,0)</f>
        <v>#N/A</v>
      </c>
      <c r="S74" s="874" t="e">
        <f>VLOOKUP(C74,'LƯƠNG KT'!$D$15:$P$94,17,0)</f>
        <v>#N/A</v>
      </c>
      <c r="T74" s="874" t="e">
        <f>VLOOKUP(C74,'LƯƠNG KT'!$D$15:$P$94,18,0)</f>
        <v>#N/A</v>
      </c>
      <c r="U74" s="874" t="e">
        <f>VLOOKUP(C74,'LƯƠNG KT'!$D$15:$P$94,18,0)</f>
        <v>#N/A</v>
      </c>
      <c r="V74" s="874" t="e">
        <f>VLOOKUP(C74,'LƯƠNG KT'!$D$15:$P$94,19,0)</f>
        <v>#N/A</v>
      </c>
      <c r="W74" s="874" t="e">
        <f>VLOOKUP(C74,'LƯƠNG KT'!$D$15:$P$94,20,0)</f>
        <v>#N/A</v>
      </c>
      <c r="X74" s="874" t="e">
        <f>VLOOKUP(C74,'LƯƠNG KT'!$D$15:$P$94,21,0)</f>
        <v>#N/A</v>
      </c>
      <c r="Y74" s="874" t="e">
        <f>VLOOKUP(C74,'LƯƠNG KT'!$D$15:$P$94,23,0)</f>
        <v>#N/A</v>
      </c>
      <c r="Z74" s="874" t="e">
        <f>VLOOKUP(C74,'LƯƠNG KT'!$D$15:$P$94,24,0)</f>
        <v>#N/A</v>
      </c>
      <c r="AA74" s="874">
        <v>20</v>
      </c>
      <c r="AB74" s="874"/>
      <c r="AC74" s="889" t="e">
        <f t="shared" si="6"/>
        <v>#N/A</v>
      </c>
      <c r="AD74" s="889" t="e">
        <f t="shared" si="8"/>
        <v>#N/A</v>
      </c>
      <c r="AE74" s="889" t="e">
        <f t="shared" si="3"/>
        <v>#N/A</v>
      </c>
      <c r="AF74" s="915"/>
      <c r="AG74" s="891"/>
      <c r="AH74" s="941" t="s">
        <v>2749</v>
      </c>
      <c r="AI74" s="637"/>
    </row>
    <row r="75" spans="1:35" s="540" customFormat="1" ht="21" customHeight="1">
      <c r="A75" s="868">
        <v>61</v>
      </c>
      <c r="B75" s="1644" t="str">
        <f>VLOOKUP(C75,'DS CN MOI UP'!$B$10:$C$389,2,0)</f>
        <v>02502</v>
      </c>
      <c r="C75" s="875" t="s">
        <v>2064</v>
      </c>
      <c r="D75" s="875" t="s">
        <v>15</v>
      </c>
      <c r="E75" s="872"/>
      <c r="F75" s="873">
        <f>+VLOOKUP(C75,THCKT!$C$13:$AE$460,17,0)</f>
        <v>24</v>
      </c>
      <c r="G75" s="874">
        <f t="shared" si="0"/>
        <v>600000</v>
      </c>
      <c r="H75" s="874"/>
      <c r="I75" s="874"/>
      <c r="J75" s="874"/>
      <c r="K75" s="874" t="e">
        <f>VLOOKUP(C75,THCKT!$C$13:$AL$460,21,0)</f>
        <v>#N/A</v>
      </c>
      <c r="L75" s="883">
        <f>VLOOKUP(C75,THCKT!$C$13:$AL$460,22,0)</f>
        <v>0</v>
      </c>
      <c r="M75" s="883">
        <f>VLOOKUP(C75,THCKT!$C$13:$AL$460,23,0)</f>
        <v>0</v>
      </c>
      <c r="N75" s="883" t="e">
        <f t="shared" si="7"/>
        <v>#N/A</v>
      </c>
      <c r="O75" s="883" t="e">
        <f t="shared" si="4"/>
        <v>#N/A</v>
      </c>
      <c r="P75" s="884" t="e">
        <f>VLOOKUP(C75,THCKT!$C$13:$AL$460,36,0)</f>
        <v>#N/A</v>
      </c>
      <c r="Q75" s="887" t="e">
        <f t="shared" si="5"/>
        <v>#N/A</v>
      </c>
      <c r="R75" s="874" t="e">
        <f>VLOOKUP(C75,'LƯƠNG KT'!$D$15:$P$94,16,0)</f>
        <v>#N/A</v>
      </c>
      <c r="S75" s="874" t="e">
        <f>VLOOKUP(C75,'LƯƠNG KT'!$D$15:$P$94,17,0)</f>
        <v>#N/A</v>
      </c>
      <c r="T75" s="874" t="e">
        <f>VLOOKUP(C75,'LƯƠNG KT'!$D$15:$P$94,18,0)</f>
        <v>#N/A</v>
      </c>
      <c r="U75" s="874" t="e">
        <f>VLOOKUP(C75,'LƯƠNG KT'!$D$15:$P$94,18,0)</f>
        <v>#N/A</v>
      </c>
      <c r="V75" s="874" t="e">
        <f>VLOOKUP(C75,'LƯƠNG KT'!$D$15:$P$94,19,0)</f>
        <v>#N/A</v>
      </c>
      <c r="W75" s="874" t="e">
        <f>VLOOKUP(C75,'LƯƠNG KT'!$D$15:$P$94,20,0)</f>
        <v>#N/A</v>
      </c>
      <c r="X75" s="874" t="e">
        <f>VLOOKUP(C75,'LƯƠNG KT'!$D$15:$P$94,21,0)</f>
        <v>#N/A</v>
      </c>
      <c r="Y75" s="874" t="e">
        <f>VLOOKUP(C75,'LƯƠNG KT'!$D$15:$P$94,23,0)</f>
        <v>#N/A</v>
      </c>
      <c r="Z75" s="874" t="e">
        <f>VLOOKUP(C75,'LƯƠNG KT'!$D$15:$P$94,24,0)</f>
        <v>#N/A</v>
      </c>
      <c r="AA75" s="874">
        <v>20</v>
      </c>
      <c r="AB75" s="874"/>
      <c r="AC75" s="889" t="e">
        <f t="shared" si="6"/>
        <v>#N/A</v>
      </c>
      <c r="AD75" s="889" t="e">
        <f t="shared" si="8"/>
        <v>#N/A</v>
      </c>
      <c r="AE75" s="889" t="e">
        <f t="shared" si="3"/>
        <v>#N/A</v>
      </c>
      <c r="AF75" s="915"/>
      <c r="AG75" s="891"/>
      <c r="AH75" s="540" t="s">
        <v>2749</v>
      </c>
      <c r="AI75" s="637"/>
    </row>
    <row r="76" spans="1:35" s="540" customFormat="1" ht="21" customHeight="1">
      <c r="A76" s="868">
        <v>62</v>
      </c>
      <c r="B76" s="1644" t="str">
        <f>VLOOKUP(C76,'DS CN MOI UP'!$B$10:$C$389,2,0)</f>
        <v>02514</v>
      </c>
      <c r="C76" s="875" t="s">
        <v>100</v>
      </c>
      <c r="D76" s="875" t="s">
        <v>15</v>
      </c>
      <c r="E76" s="872"/>
      <c r="F76" s="873">
        <f>+VLOOKUP(C76,THCKT!$C$13:$AE$460,17,0)</f>
        <v>24</v>
      </c>
      <c r="G76" s="874">
        <f t="shared" si="0"/>
        <v>600000</v>
      </c>
      <c r="H76" s="874"/>
      <c r="I76" s="874"/>
      <c r="J76" s="874"/>
      <c r="K76" s="874" t="e">
        <f>VLOOKUP(C76,THCKT!$C$13:$AL$460,21,0)</f>
        <v>#N/A</v>
      </c>
      <c r="L76" s="883">
        <f>VLOOKUP(C76,THCKT!$C$13:$AL$460,22,0)</f>
        <v>0</v>
      </c>
      <c r="M76" s="883">
        <f>VLOOKUP(C76,THCKT!$C$13:$AL$460,23,0)</f>
        <v>0</v>
      </c>
      <c r="N76" s="883" t="e">
        <f t="shared" si="7"/>
        <v>#N/A</v>
      </c>
      <c r="O76" s="883" t="e">
        <f t="shared" si="4"/>
        <v>#N/A</v>
      </c>
      <c r="P76" s="884" t="e">
        <f>VLOOKUP(C76,THCKT!$C$13:$AL$460,36,0)</f>
        <v>#N/A</v>
      </c>
      <c r="Q76" s="887" t="e">
        <f t="shared" si="5"/>
        <v>#N/A</v>
      </c>
      <c r="R76" s="874" t="e">
        <f>VLOOKUP(C76,'LƯƠNG KT'!$D$15:$P$94,16,0)</f>
        <v>#N/A</v>
      </c>
      <c r="S76" s="874" t="e">
        <f>VLOOKUP(C76,'LƯƠNG KT'!$D$15:$P$94,17,0)</f>
        <v>#N/A</v>
      </c>
      <c r="T76" s="874" t="e">
        <f>VLOOKUP(C76,'LƯƠNG KT'!$D$15:$P$94,18,0)</f>
        <v>#N/A</v>
      </c>
      <c r="U76" s="874" t="e">
        <f>VLOOKUP(C76,'LƯƠNG KT'!$D$15:$P$94,18,0)</f>
        <v>#N/A</v>
      </c>
      <c r="V76" s="874" t="e">
        <f>VLOOKUP(C76,'LƯƠNG KT'!$D$15:$P$94,19,0)</f>
        <v>#N/A</v>
      </c>
      <c r="W76" s="874" t="e">
        <f>VLOOKUP(C76,'LƯƠNG KT'!$D$15:$P$94,20,0)</f>
        <v>#N/A</v>
      </c>
      <c r="X76" s="874" t="e">
        <f>VLOOKUP(C76,'LƯƠNG KT'!$D$15:$P$94,21,0)</f>
        <v>#N/A</v>
      </c>
      <c r="Y76" s="874" t="e">
        <f>VLOOKUP(C76,'LƯƠNG KT'!$D$15:$P$94,23,0)</f>
        <v>#N/A</v>
      </c>
      <c r="Z76" s="874" t="e">
        <f>VLOOKUP(C76,'LƯƠNG KT'!$D$15:$P$94,24,0)</f>
        <v>#N/A</v>
      </c>
      <c r="AA76" s="874">
        <v>20</v>
      </c>
      <c r="AB76" s="874"/>
      <c r="AC76" s="889" t="e">
        <f t="shared" si="6"/>
        <v>#N/A</v>
      </c>
      <c r="AD76" s="889" t="e">
        <f t="shared" si="8"/>
        <v>#N/A</v>
      </c>
      <c r="AE76" s="889" t="e">
        <f t="shared" si="3"/>
        <v>#N/A</v>
      </c>
      <c r="AF76" s="915"/>
      <c r="AG76" s="891"/>
      <c r="AH76" s="941" t="s">
        <v>2749</v>
      </c>
      <c r="AI76" s="637"/>
    </row>
    <row r="77" spans="1:35" s="540" customFormat="1" ht="21" customHeight="1">
      <c r="A77" s="868">
        <v>63</v>
      </c>
      <c r="B77" s="1644" t="str">
        <f>VLOOKUP(C77,'DS CN MOI UP'!$B$10:$C$389,2,0)</f>
        <v>02501</v>
      </c>
      <c r="C77" s="875" t="s">
        <v>92</v>
      </c>
      <c r="D77" s="875" t="s">
        <v>15</v>
      </c>
      <c r="E77" s="872"/>
      <c r="F77" s="873">
        <f>+VLOOKUP(C77,THCKT!$C$13:$AE$460,17,0)</f>
        <v>24</v>
      </c>
      <c r="G77" s="874">
        <f t="shared" si="0"/>
        <v>600000</v>
      </c>
      <c r="H77" s="874"/>
      <c r="I77" s="874"/>
      <c r="J77" s="874"/>
      <c r="K77" s="874" t="e">
        <f>VLOOKUP(C77,THCKT!$C$13:$AL$460,21,0)</f>
        <v>#N/A</v>
      </c>
      <c r="L77" s="883">
        <f>VLOOKUP(C77,THCKT!$C$13:$AL$460,22,0)</f>
        <v>0</v>
      </c>
      <c r="M77" s="883">
        <f>VLOOKUP(C77,THCKT!$C$13:$AL$460,23,0)</f>
        <v>0</v>
      </c>
      <c r="N77" s="883" t="e">
        <f t="shared" si="7"/>
        <v>#N/A</v>
      </c>
      <c r="O77" s="883" t="e">
        <f t="shared" si="4"/>
        <v>#N/A</v>
      </c>
      <c r="P77" s="884" t="e">
        <f>VLOOKUP(C77,THCKT!$C$13:$AL$460,36,0)</f>
        <v>#N/A</v>
      </c>
      <c r="Q77" s="887" t="e">
        <f t="shared" si="5"/>
        <v>#N/A</v>
      </c>
      <c r="R77" s="874" t="e">
        <f>VLOOKUP(C77,'LƯƠNG KT'!$D$15:$P$94,16,0)</f>
        <v>#N/A</v>
      </c>
      <c r="S77" s="874" t="e">
        <f>VLOOKUP(C77,'LƯƠNG KT'!$D$15:$P$94,17,0)</f>
        <v>#N/A</v>
      </c>
      <c r="T77" s="874" t="e">
        <f>VLOOKUP(C77,'LƯƠNG KT'!$D$15:$P$94,18,0)</f>
        <v>#N/A</v>
      </c>
      <c r="U77" s="874" t="e">
        <f>VLOOKUP(C77,'LƯƠNG KT'!$D$15:$P$94,18,0)</f>
        <v>#N/A</v>
      </c>
      <c r="V77" s="874" t="e">
        <f>VLOOKUP(C77,'LƯƠNG KT'!$D$15:$P$94,19,0)</f>
        <v>#N/A</v>
      </c>
      <c r="W77" s="874" t="e">
        <f>VLOOKUP(C77,'LƯƠNG KT'!$D$15:$P$94,20,0)</f>
        <v>#N/A</v>
      </c>
      <c r="X77" s="874" t="e">
        <f>VLOOKUP(C77,'LƯƠNG KT'!$D$15:$P$94,21,0)</f>
        <v>#N/A</v>
      </c>
      <c r="Y77" s="874" t="e">
        <f>VLOOKUP(C77,'LƯƠNG KT'!$D$15:$P$94,23,0)</f>
        <v>#N/A</v>
      </c>
      <c r="Z77" s="874" t="e">
        <f>VLOOKUP(C77,'LƯƠNG KT'!$D$15:$P$94,24,0)</f>
        <v>#N/A</v>
      </c>
      <c r="AA77" s="874">
        <v>20</v>
      </c>
      <c r="AB77" s="874"/>
      <c r="AC77" s="889" t="e">
        <f t="shared" si="6"/>
        <v>#N/A</v>
      </c>
      <c r="AD77" s="889" t="e">
        <f t="shared" si="8"/>
        <v>#N/A</v>
      </c>
      <c r="AE77" s="889" t="e">
        <f t="shared" si="3"/>
        <v>#N/A</v>
      </c>
      <c r="AF77" s="915"/>
      <c r="AG77" s="891"/>
      <c r="AH77" s="540" t="s">
        <v>2749</v>
      </c>
      <c r="AI77" s="637"/>
    </row>
    <row r="78" spans="1:35" s="540" customFormat="1" ht="21" customHeight="1">
      <c r="A78" s="868">
        <v>64</v>
      </c>
      <c r="B78" s="869" t="e">
        <f>VLOOKUP(C78,'DS CN MOI UP'!$B$10:$C$389,2,0)</f>
        <v>#N/A</v>
      </c>
      <c r="C78" s="870" t="s">
        <v>2650</v>
      </c>
      <c r="D78" s="875" t="s">
        <v>15</v>
      </c>
      <c r="E78" s="872"/>
      <c r="F78" s="873">
        <f>+VLOOKUP(C78,THCKT!$C$13:$AE$460,17,0)</f>
        <v>24</v>
      </c>
      <c r="G78" s="874">
        <f t="shared" si="0"/>
        <v>600000</v>
      </c>
      <c r="H78" s="874"/>
      <c r="I78" s="874"/>
      <c r="J78" s="874"/>
      <c r="K78" s="874" t="e">
        <f>VLOOKUP(C78,THCKT!$C$13:$AL$460,21,0)</f>
        <v>#N/A</v>
      </c>
      <c r="L78" s="883">
        <f>VLOOKUP(C78,THCKT!$C$13:$AL$460,22,0)</f>
        <v>0</v>
      </c>
      <c r="M78" s="883">
        <f>VLOOKUP(C78,THCKT!$C$13:$AL$460,23,0)</f>
        <v>0</v>
      </c>
      <c r="N78" s="883" t="e">
        <f t="shared" si="7"/>
        <v>#N/A</v>
      </c>
      <c r="O78" s="883" t="e">
        <f t="shared" si="4"/>
        <v>#N/A</v>
      </c>
      <c r="P78" s="884" t="e">
        <f>VLOOKUP(C78,THCKT!$C$13:$AL$460,36,0)</f>
        <v>#N/A</v>
      </c>
      <c r="Q78" s="887" t="e">
        <f t="shared" si="5"/>
        <v>#N/A</v>
      </c>
      <c r="R78" s="874" t="e">
        <f>VLOOKUP(C78,'LƯƠNG KT'!$D$15:$P$94,16,0)</f>
        <v>#N/A</v>
      </c>
      <c r="S78" s="874" t="e">
        <f>VLOOKUP(C78,'LƯƠNG KT'!$D$15:$P$94,17,0)</f>
        <v>#N/A</v>
      </c>
      <c r="T78" s="874" t="e">
        <f>VLOOKUP(C78,'LƯƠNG KT'!$D$15:$P$94,18,0)</f>
        <v>#N/A</v>
      </c>
      <c r="U78" s="874" t="e">
        <f>VLOOKUP(C78,'LƯƠNG KT'!$D$15:$P$94,18,0)</f>
        <v>#N/A</v>
      </c>
      <c r="V78" s="874" t="e">
        <f>VLOOKUP(C78,'LƯƠNG KT'!$D$15:$P$94,19,0)</f>
        <v>#N/A</v>
      </c>
      <c r="W78" s="874" t="e">
        <f>VLOOKUP(C78,'LƯƠNG KT'!$D$15:$P$94,20,0)</f>
        <v>#N/A</v>
      </c>
      <c r="X78" s="874" t="e">
        <f>VLOOKUP(C78,'LƯƠNG KT'!$D$15:$P$94,21,0)</f>
        <v>#N/A</v>
      </c>
      <c r="Y78" s="874" t="e">
        <f>VLOOKUP(C78,'LƯƠNG KT'!$D$15:$P$94,23,0)</f>
        <v>#N/A</v>
      </c>
      <c r="Z78" s="874" t="e">
        <f>VLOOKUP(C78,'LƯƠNG KT'!$D$15:$P$94,24,0)</f>
        <v>#N/A</v>
      </c>
      <c r="AA78" s="874">
        <v>20</v>
      </c>
      <c r="AB78" s="874"/>
      <c r="AC78" s="889" t="e">
        <f t="shared" si="6"/>
        <v>#N/A</v>
      </c>
      <c r="AD78" s="889" t="e">
        <f t="shared" si="8"/>
        <v>#N/A</v>
      </c>
      <c r="AE78" s="889" t="e">
        <f t="shared" si="3"/>
        <v>#N/A</v>
      </c>
      <c r="AF78" s="915"/>
      <c r="AG78" s="891"/>
      <c r="AH78" s="941" t="s">
        <v>2749</v>
      </c>
      <c r="AI78" s="637"/>
    </row>
    <row r="79" spans="1:35" s="540" customFormat="1" ht="21" customHeight="1">
      <c r="A79" s="868">
        <v>65</v>
      </c>
      <c r="B79" s="1644" t="str">
        <f>VLOOKUP(C79,'DS CN MOI UP'!$B$10:$C$389,2,0)</f>
        <v>02683</v>
      </c>
      <c r="C79" s="870" t="s">
        <v>75</v>
      </c>
      <c r="D79" s="875" t="s">
        <v>15</v>
      </c>
      <c r="E79" s="872"/>
      <c r="F79" s="873">
        <f>+VLOOKUP(C79,THCKT!$C$13:$AE$460,17,0)</f>
        <v>24</v>
      </c>
      <c r="G79" s="874">
        <f t="shared" ref="G79:G100" si="9">F79*25000</f>
        <v>600000</v>
      </c>
      <c r="H79" s="874"/>
      <c r="I79" s="874"/>
      <c r="J79" s="874"/>
      <c r="K79" s="874" t="e">
        <f>VLOOKUP(C79,THCKT!$C$13:$AL$460,21,0)</f>
        <v>#N/A</v>
      </c>
      <c r="L79" s="883">
        <f>VLOOKUP(C79,THCKT!$C$13:$AL$460,22,0)</f>
        <v>0</v>
      </c>
      <c r="M79" s="883">
        <f>VLOOKUP(C79,THCKT!$C$13:$AL$460,23,0)</f>
        <v>0</v>
      </c>
      <c r="N79" s="883" t="e">
        <f t="shared" ref="N79:N100" si="10">$AI$8/$AI$7*K79+L79*$AI$9+M79*$AI$10</f>
        <v>#N/A</v>
      </c>
      <c r="O79" s="883" t="e">
        <f t="shared" si="4"/>
        <v>#N/A</v>
      </c>
      <c r="P79" s="884" t="e">
        <f>VLOOKUP(C79,THCKT!$C$13:$AL$460,36,0)</f>
        <v>#N/A</v>
      </c>
      <c r="Q79" s="887" t="e">
        <f t="shared" si="5"/>
        <v>#N/A</v>
      </c>
      <c r="R79" s="874" t="e">
        <f>VLOOKUP(C79,'LƯƠNG KT'!$D$15:$P$94,16,0)</f>
        <v>#N/A</v>
      </c>
      <c r="S79" s="874" t="e">
        <f>VLOOKUP(C79,'LƯƠNG KT'!$D$15:$P$94,17,0)</f>
        <v>#N/A</v>
      </c>
      <c r="T79" s="874" t="e">
        <f>VLOOKUP(C79,'LƯƠNG KT'!$D$15:$P$94,18,0)</f>
        <v>#N/A</v>
      </c>
      <c r="U79" s="874" t="e">
        <f>VLOOKUP(C79,'LƯƠNG KT'!$D$15:$P$94,18,0)</f>
        <v>#N/A</v>
      </c>
      <c r="V79" s="874" t="e">
        <f>VLOOKUP(C79,'LƯƠNG KT'!$D$15:$P$94,19,0)</f>
        <v>#N/A</v>
      </c>
      <c r="W79" s="874" t="e">
        <f>VLOOKUP(C79,'LƯƠNG KT'!$D$15:$P$94,20,0)</f>
        <v>#N/A</v>
      </c>
      <c r="X79" s="874" t="e">
        <f>VLOOKUP(C79,'LƯƠNG KT'!$D$15:$P$94,21,0)</f>
        <v>#N/A</v>
      </c>
      <c r="Y79" s="874" t="e">
        <f>VLOOKUP(C79,'LƯƠNG KT'!$D$15:$P$94,23,0)</f>
        <v>#N/A</v>
      </c>
      <c r="Z79" s="874" t="e">
        <f>VLOOKUP(C79,'LƯƠNG KT'!$D$15:$P$94,24,0)</f>
        <v>#N/A</v>
      </c>
      <c r="AA79" s="874">
        <v>20</v>
      </c>
      <c r="AB79" s="874"/>
      <c r="AC79" s="889" t="e">
        <f t="shared" si="6"/>
        <v>#N/A</v>
      </c>
      <c r="AD79" s="889" t="e">
        <f t="shared" ref="AD79:AD100" si="11">+AC79+Q79+G79</f>
        <v>#N/A</v>
      </c>
      <c r="AE79" s="889" t="e">
        <f t="shared" si="3"/>
        <v>#N/A</v>
      </c>
      <c r="AF79" s="915"/>
      <c r="AG79" s="891"/>
      <c r="AH79" s="540" t="s">
        <v>2749</v>
      </c>
      <c r="AI79" s="637"/>
    </row>
    <row r="80" spans="1:35" s="540" customFormat="1" ht="21" customHeight="1">
      <c r="A80" s="868">
        <v>66</v>
      </c>
      <c r="B80" s="869" t="e">
        <f>VLOOKUP(C80,'DS CN MOI UP'!$B$10:$C$389,2,0)</f>
        <v>#N/A</v>
      </c>
      <c r="C80" s="870" t="s">
        <v>1276</v>
      </c>
      <c r="D80" s="875" t="s">
        <v>15</v>
      </c>
      <c r="E80" s="872"/>
      <c r="F80" s="873">
        <f>+VLOOKUP(C80,THCKT!$C$13:$AE$460,17,0)</f>
        <v>24</v>
      </c>
      <c r="G80" s="874">
        <f t="shared" si="9"/>
        <v>600000</v>
      </c>
      <c r="H80" s="874"/>
      <c r="I80" s="874"/>
      <c r="J80" s="874"/>
      <c r="K80" s="874" t="e">
        <f>VLOOKUP(C80,THCKT!$C$13:$AL$460,21,0)</f>
        <v>#N/A</v>
      </c>
      <c r="L80" s="883">
        <f>VLOOKUP(C80,THCKT!$C$13:$AL$460,22,0)</f>
        <v>0</v>
      </c>
      <c r="M80" s="883">
        <f>VLOOKUP(C80,THCKT!$C$13:$AL$460,23,0)</f>
        <v>0</v>
      </c>
      <c r="N80" s="883" t="e">
        <f t="shared" si="10"/>
        <v>#N/A</v>
      </c>
      <c r="O80" s="883" t="e">
        <f t="shared" ref="O80:O100" si="12">Q80/((Q80/(N80*$F$9)*$F$8))</f>
        <v>#N/A</v>
      </c>
      <c r="P80" s="884" t="e">
        <f>VLOOKUP(C80,THCKT!$C$13:$AL$460,36,0)</f>
        <v>#N/A</v>
      </c>
      <c r="Q80" s="887" t="e">
        <f t="shared" ref="Q80:Q100" si="13">ROUND((IF(P80="A",(K80*$AI$6*6.1),IF(P80="B",(K80*$AI$6*5.8),IF(P80="C",(K80*$AI$6*5.5),IF(P80="D",(K80*$AI$6*5.2),0))))*$F$9+(L80*$AI$9*$F$9*6.1)+M80*$F$9*$AI$10*6.1),0)</f>
        <v>#N/A</v>
      </c>
      <c r="R80" s="874" t="e">
        <f>VLOOKUP(C80,'LƯƠNG KT'!$D$15:$P$94,16,0)</f>
        <v>#N/A</v>
      </c>
      <c r="S80" s="874" t="e">
        <f>VLOOKUP(C80,'LƯƠNG KT'!$D$15:$P$94,17,0)</f>
        <v>#N/A</v>
      </c>
      <c r="T80" s="874" t="e">
        <f>VLOOKUP(C80,'LƯƠNG KT'!$D$15:$P$94,18,0)</f>
        <v>#N/A</v>
      </c>
      <c r="U80" s="874" t="e">
        <f>VLOOKUP(C80,'LƯƠNG KT'!$D$15:$P$94,18,0)</f>
        <v>#N/A</v>
      </c>
      <c r="V80" s="874" t="e">
        <f>VLOOKUP(C80,'LƯƠNG KT'!$D$15:$P$94,19,0)</f>
        <v>#N/A</v>
      </c>
      <c r="W80" s="874" t="e">
        <f>VLOOKUP(C80,'LƯƠNG KT'!$D$15:$P$94,20,0)</f>
        <v>#N/A</v>
      </c>
      <c r="X80" s="874" t="e">
        <f>VLOOKUP(C80,'LƯƠNG KT'!$D$15:$P$94,21,0)</f>
        <v>#N/A</v>
      </c>
      <c r="Y80" s="874" t="e">
        <f>VLOOKUP(C80,'LƯƠNG KT'!$D$15:$P$94,23,0)</f>
        <v>#N/A</v>
      </c>
      <c r="Z80" s="874" t="e">
        <f>VLOOKUP(C80,'LƯƠNG KT'!$D$15:$P$94,24,0)</f>
        <v>#N/A</v>
      </c>
      <c r="AA80" s="874">
        <v>20</v>
      </c>
      <c r="AB80" s="874"/>
      <c r="AC80" s="889" t="e">
        <f t="shared" ref="AC80:AC100" si="14">ROUND((((R80*46.1)+(S80*76.9)+(X80*30.7)+(U80*46.1*2)+(V80*46.1*2)+(W80*76.9*2))*$F$8),0)+T80*10000+Y80*20000+Z80*20000+AA80*25000</f>
        <v>#N/A</v>
      </c>
      <c r="AD80" s="889" t="e">
        <f t="shared" si="11"/>
        <v>#N/A</v>
      </c>
      <c r="AE80" s="889" t="e">
        <f t="shared" si="3"/>
        <v>#N/A</v>
      </c>
      <c r="AF80" s="915"/>
      <c r="AG80" s="891"/>
      <c r="AH80" s="941" t="s">
        <v>2749</v>
      </c>
      <c r="AI80" s="637"/>
    </row>
    <row r="81" spans="1:35" s="540" customFormat="1" ht="21" customHeight="1">
      <c r="A81" s="868">
        <v>67</v>
      </c>
      <c r="B81" s="1644" t="str">
        <f>VLOOKUP(C81,'DS CN MOI UP'!$B$10:$C$389,2,0)</f>
        <v>03333</v>
      </c>
      <c r="C81" s="870" t="s">
        <v>56</v>
      </c>
      <c r="D81" s="875" t="s">
        <v>15</v>
      </c>
      <c r="E81" s="872"/>
      <c r="F81" s="873">
        <f>+VLOOKUP(C81,THCKT!$C$13:$AE$460,17,0)</f>
        <v>24</v>
      </c>
      <c r="G81" s="874">
        <f t="shared" si="9"/>
        <v>600000</v>
      </c>
      <c r="H81" s="874"/>
      <c r="I81" s="874"/>
      <c r="J81" s="874"/>
      <c r="K81" s="874" t="e">
        <f>VLOOKUP(C81,THCKT!$C$13:$AL$460,21,0)</f>
        <v>#N/A</v>
      </c>
      <c r="L81" s="883">
        <f>VLOOKUP(C81,THCKT!$C$13:$AL$460,22,0)</f>
        <v>0</v>
      </c>
      <c r="M81" s="883">
        <f>VLOOKUP(C81,THCKT!$C$13:$AL$460,23,0)</f>
        <v>0</v>
      </c>
      <c r="N81" s="883" t="e">
        <f t="shared" si="10"/>
        <v>#N/A</v>
      </c>
      <c r="O81" s="883" t="e">
        <f t="shared" si="12"/>
        <v>#N/A</v>
      </c>
      <c r="P81" s="884" t="e">
        <f>VLOOKUP(C81,THCKT!$C$13:$AL$460,36,0)</f>
        <v>#N/A</v>
      </c>
      <c r="Q81" s="887" t="e">
        <f t="shared" si="13"/>
        <v>#N/A</v>
      </c>
      <c r="R81" s="874" t="e">
        <f>VLOOKUP(C81,'LƯƠNG KT'!$D$15:$P$94,16,0)</f>
        <v>#N/A</v>
      </c>
      <c r="S81" s="874" t="e">
        <f>VLOOKUP(C81,'LƯƠNG KT'!$D$15:$P$94,17,0)</f>
        <v>#N/A</v>
      </c>
      <c r="T81" s="874" t="e">
        <f>VLOOKUP(C81,'LƯƠNG KT'!$D$15:$P$94,18,0)</f>
        <v>#N/A</v>
      </c>
      <c r="U81" s="874" t="e">
        <f>VLOOKUP(C81,'LƯƠNG KT'!$D$15:$P$94,18,0)</f>
        <v>#N/A</v>
      </c>
      <c r="V81" s="874" t="e">
        <f>VLOOKUP(C81,'LƯƠNG KT'!$D$15:$P$94,19,0)</f>
        <v>#N/A</v>
      </c>
      <c r="W81" s="874" t="e">
        <f>VLOOKUP(C81,'LƯƠNG KT'!$D$15:$P$94,20,0)</f>
        <v>#N/A</v>
      </c>
      <c r="X81" s="874" t="e">
        <f>VLOOKUP(C81,'LƯƠNG KT'!$D$15:$P$94,21,0)</f>
        <v>#N/A</v>
      </c>
      <c r="Y81" s="874" t="e">
        <f>VLOOKUP(C81,'LƯƠNG KT'!$D$15:$P$94,23,0)</f>
        <v>#N/A</v>
      </c>
      <c r="Z81" s="874" t="e">
        <f>VLOOKUP(C81,'LƯƠNG KT'!$D$15:$P$94,24,0)</f>
        <v>#N/A</v>
      </c>
      <c r="AA81" s="874">
        <v>20</v>
      </c>
      <c r="AB81" s="874"/>
      <c r="AC81" s="889" t="e">
        <f t="shared" si="14"/>
        <v>#N/A</v>
      </c>
      <c r="AD81" s="889" t="e">
        <f t="shared" si="11"/>
        <v>#N/A</v>
      </c>
      <c r="AE81" s="889" t="e">
        <f t="shared" si="3"/>
        <v>#N/A</v>
      </c>
      <c r="AF81" s="915"/>
      <c r="AG81" s="891"/>
      <c r="AH81" s="540" t="s">
        <v>2749</v>
      </c>
      <c r="AI81" s="637"/>
    </row>
    <row r="82" spans="1:35" s="540" customFormat="1" ht="21" customHeight="1">
      <c r="A82" s="868">
        <v>68</v>
      </c>
      <c r="B82" s="1644" t="str">
        <f>VLOOKUP(C82,'DS CN MOI UP'!$B$10:$C$389,2,0)</f>
        <v>02686</v>
      </c>
      <c r="C82" s="870" t="s">
        <v>78</v>
      </c>
      <c r="D82" s="875" t="s">
        <v>15</v>
      </c>
      <c r="E82" s="872"/>
      <c r="F82" s="873">
        <f>+VLOOKUP(C82,THCKT!$C$13:$AE$460,17,0)</f>
        <v>24</v>
      </c>
      <c r="G82" s="874">
        <f t="shared" si="9"/>
        <v>600000</v>
      </c>
      <c r="H82" s="874"/>
      <c r="I82" s="874"/>
      <c r="J82" s="874"/>
      <c r="K82" s="874" t="e">
        <f>VLOOKUP(C82,THCKT!$C$13:$AL$460,21,0)</f>
        <v>#N/A</v>
      </c>
      <c r="L82" s="883">
        <f>VLOOKUP(C82,THCKT!$C$13:$AL$460,22,0)</f>
        <v>0</v>
      </c>
      <c r="M82" s="883">
        <f>VLOOKUP(C82,THCKT!$C$13:$AL$460,23,0)</f>
        <v>0</v>
      </c>
      <c r="N82" s="883" t="e">
        <f t="shared" si="10"/>
        <v>#N/A</v>
      </c>
      <c r="O82" s="883" t="e">
        <f t="shared" si="12"/>
        <v>#N/A</v>
      </c>
      <c r="P82" s="884" t="e">
        <f>VLOOKUP(C82,THCKT!$C$13:$AL$460,36,0)</f>
        <v>#N/A</v>
      </c>
      <c r="Q82" s="887" t="e">
        <f t="shared" si="13"/>
        <v>#N/A</v>
      </c>
      <c r="R82" s="874" t="e">
        <f>VLOOKUP(C82,'LƯƠNG KT'!$D$15:$P$94,16,0)</f>
        <v>#N/A</v>
      </c>
      <c r="S82" s="874" t="e">
        <f>VLOOKUP(C82,'LƯƠNG KT'!$D$15:$P$94,17,0)</f>
        <v>#N/A</v>
      </c>
      <c r="T82" s="874" t="e">
        <f>VLOOKUP(C82,'LƯƠNG KT'!$D$15:$P$94,18,0)</f>
        <v>#N/A</v>
      </c>
      <c r="U82" s="874" t="e">
        <f>VLOOKUP(C82,'LƯƠNG KT'!$D$15:$P$94,18,0)</f>
        <v>#N/A</v>
      </c>
      <c r="V82" s="874" t="e">
        <f>VLOOKUP(C82,'LƯƠNG KT'!$D$15:$P$94,19,0)</f>
        <v>#N/A</v>
      </c>
      <c r="W82" s="874" t="e">
        <f>VLOOKUP(C82,'LƯƠNG KT'!$D$15:$P$94,20,0)</f>
        <v>#N/A</v>
      </c>
      <c r="X82" s="874" t="e">
        <f>VLOOKUP(C82,'LƯƠNG KT'!$D$15:$P$94,21,0)</f>
        <v>#N/A</v>
      </c>
      <c r="Y82" s="874" t="e">
        <f>VLOOKUP(C82,'LƯƠNG KT'!$D$15:$P$94,23,0)</f>
        <v>#N/A</v>
      </c>
      <c r="Z82" s="874" t="e">
        <f>VLOOKUP(C82,'LƯƠNG KT'!$D$15:$P$94,24,0)</f>
        <v>#N/A</v>
      </c>
      <c r="AA82" s="874">
        <v>20</v>
      </c>
      <c r="AB82" s="874"/>
      <c r="AC82" s="889" t="e">
        <f t="shared" si="14"/>
        <v>#N/A</v>
      </c>
      <c r="AD82" s="889" t="e">
        <f t="shared" si="11"/>
        <v>#N/A</v>
      </c>
      <c r="AE82" s="889" t="e">
        <f t="shared" si="3"/>
        <v>#N/A</v>
      </c>
      <c r="AF82" s="915"/>
      <c r="AG82" s="891"/>
      <c r="AH82" s="941" t="s">
        <v>2749</v>
      </c>
      <c r="AI82" s="637"/>
    </row>
    <row r="83" spans="1:35" s="540" customFormat="1" ht="21" customHeight="1">
      <c r="A83" s="868">
        <v>69</v>
      </c>
      <c r="B83" s="869" t="e">
        <f>VLOOKUP(C83,'DS CN MOI UP'!$B$10:$C$389,2,0)</f>
        <v>#N/A</v>
      </c>
      <c r="C83" s="870" t="s">
        <v>2651</v>
      </c>
      <c r="D83" s="875" t="s">
        <v>15</v>
      </c>
      <c r="E83" s="872"/>
      <c r="F83" s="873">
        <f>+VLOOKUP(C83,THCKT!$C$13:$AE$460,17,0)</f>
        <v>24</v>
      </c>
      <c r="G83" s="874">
        <f t="shared" si="9"/>
        <v>600000</v>
      </c>
      <c r="H83" s="874"/>
      <c r="I83" s="874"/>
      <c r="J83" s="874"/>
      <c r="K83" s="874" t="e">
        <f>VLOOKUP(C83,THCKT!$C$13:$AL$460,21,0)</f>
        <v>#N/A</v>
      </c>
      <c r="L83" s="883">
        <f>VLOOKUP(C83,THCKT!$C$13:$AL$460,22,0)</f>
        <v>0</v>
      </c>
      <c r="M83" s="883">
        <f>VLOOKUP(C83,THCKT!$C$13:$AL$460,23,0)</f>
        <v>0</v>
      </c>
      <c r="N83" s="883" t="e">
        <f t="shared" si="10"/>
        <v>#N/A</v>
      </c>
      <c r="O83" s="883" t="e">
        <f t="shared" si="12"/>
        <v>#N/A</v>
      </c>
      <c r="P83" s="884" t="e">
        <f>VLOOKUP(C83,THCKT!$C$13:$AL$460,36,0)</f>
        <v>#N/A</v>
      </c>
      <c r="Q83" s="887" t="e">
        <f t="shared" si="13"/>
        <v>#N/A</v>
      </c>
      <c r="R83" s="874" t="e">
        <f>VLOOKUP(C83,'LƯƠNG KT'!$D$15:$P$94,16,0)</f>
        <v>#N/A</v>
      </c>
      <c r="S83" s="874" t="e">
        <f>VLOOKUP(C83,'LƯƠNG KT'!$D$15:$P$94,17,0)</f>
        <v>#N/A</v>
      </c>
      <c r="T83" s="874" t="e">
        <f>VLOOKUP(C83,'LƯƠNG KT'!$D$15:$P$94,18,0)</f>
        <v>#N/A</v>
      </c>
      <c r="U83" s="874" t="e">
        <f>VLOOKUP(C83,'LƯƠNG KT'!$D$15:$P$94,18,0)</f>
        <v>#N/A</v>
      </c>
      <c r="V83" s="874" t="e">
        <f>VLOOKUP(C83,'LƯƠNG KT'!$D$15:$P$94,19,0)</f>
        <v>#N/A</v>
      </c>
      <c r="W83" s="874" t="e">
        <f>VLOOKUP(C83,'LƯƠNG KT'!$D$15:$P$94,20,0)</f>
        <v>#N/A</v>
      </c>
      <c r="X83" s="874" t="e">
        <f>VLOOKUP(C83,'LƯƠNG KT'!$D$15:$P$94,21,0)</f>
        <v>#N/A</v>
      </c>
      <c r="Y83" s="874" t="e">
        <f>VLOOKUP(C83,'LƯƠNG KT'!$D$15:$P$94,23,0)</f>
        <v>#N/A</v>
      </c>
      <c r="Z83" s="874" t="e">
        <f>VLOOKUP(C83,'LƯƠNG KT'!$D$15:$P$94,24,0)</f>
        <v>#N/A</v>
      </c>
      <c r="AA83" s="874">
        <v>20</v>
      </c>
      <c r="AB83" s="874"/>
      <c r="AC83" s="889" t="e">
        <f t="shared" si="14"/>
        <v>#N/A</v>
      </c>
      <c r="AD83" s="889" t="e">
        <f t="shared" si="11"/>
        <v>#N/A</v>
      </c>
      <c r="AE83" s="889" t="e">
        <f t="shared" si="3"/>
        <v>#N/A</v>
      </c>
      <c r="AF83" s="915"/>
      <c r="AG83" s="891"/>
      <c r="AH83" s="540" t="s">
        <v>2749</v>
      </c>
      <c r="AI83" s="637"/>
    </row>
    <row r="84" spans="1:35" s="540" customFormat="1" ht="21" customHeight="1">
      <c r="A84" s="868">
        <v>70</v>
      </c>
      <c r="B84" s="1644" t="str">
        <f>VLOOKUP(C84,'DS CN MOI UP'!$B$10:$C$389,2,0)</f>
        <v>02458</v>
      </c>
      <c r="C84" s="870" t="s">
        <v>492</v>
      </c>
      <c r="D84" s="875" t="s">
        <v>15</v>
      </c>
      <c r="E84" s="872"/>
      <c r="F84" s="873">
        <f>+VLOOKUP(C84,THCKT!$C$13:$AE$460,17,0)</f>
        <v>24</v>
      </c>
      <c r="G84" s="874">
        <f t="shared" si="9"/>
        <v>600000</v>
      </c>
      <c r="H84" s="874"/>
      <c r="I84" s="874"/>
      <c r="J84" s="874"/>
      <c r="K84" s="874" t="e">
        <f>VLOOKUP(C84,THCKT!$C$13:$AL$460,21,0)</f>
        <v>#N/A</v>
      </c>
      <c r="L84" s="883">
        <f>VLOOKUP(C84,THCKT!$C$13:$AL$460,22,0)</f>
        <v>0</v>
      </c>
      <c r="M84" s="883">
        <f>VLOOKUP(C84,THCKT!$C$13:$AL$460,23,0)</f>
        <v>0</v>
      </c>
      <c r="N84" s="883" t="e">
        <f t="shared" si="10"/>
        <v>#N/A</v>
      </c>
      <c r="O84" s="883" t="e">
        <f t="shared" si="12"/>
        <v>#N/A</v>
      </c>
      <c r="P84" s="884" t="e">
        <f>VLOOKUP(C84,THCKT!$C$13:$AL$460,36,0)</f>
        <v>#N/A</v>
      </c>
      <c r="Q84" s="887" t="e">
        <f t="shared" si="13"/>
        <v>#N/A</v>
      </c>
      <c r="R84" s="874" t="e">
        <f>VLOOKUP(C84,'LƯƠNG KT'!$D$15:$P$94,16,0)</f>
        <v>#N/A</v>
      </c>
      <c r="S84" s="874" t="e">
        <f>VLOOKUP(C84,'LƯƠNG KT'!$D$15:$P$94,17,0)</f>
        <v>#N/A</v>
      </c>
      <c r="T84" s="874" t="e">
        <f>VLOOKUP(C84,'LƯƠNG KT'!$D$15:$P$94,18,0)</f>
        <v>#N/A</v>
      </c>
      <c r="U84" s="874" t="e">
        <f>VLOOKUP(C84,'LƯƠNG KT'!$D$15:$P$94,18,0)</f>
        <v>#N/A</v>
      </c>
      <c r="V84" s="874" t="e">
        <f>VLOOKUP(C84,'LƯƠNG KT'!$D$15:$P$94,19,0)</f>
        <v>#N/A</v>
      </c>
      <c r="W84" s="874" t="e">
        <f>VLOOKUP(C84,'LƯƠNG KT'!$D$15:$P$94,20,0)</f>
        <v>#N/A</v>
      </c>
      <c r="X84" s="874" t="e">
        <f>VLOOKUP(C84,'LƯƠNG KT'!$D$15:$P$94,21,0)</f>
        <v>#N/A</v>
      </c>
      <c r="Y84" s="874" t="e">
        <f>VLOOKUP(C84,'LƯƠNG KT'!$D$15:$P$94,23,0)</f>
        <v>#N/A</v>
      </c>
      <c r="Z84" s="874" t="e">
        <f>VLOOKUP(C84,'LƯƠNG KT'!$D$15:$P$94,24,0)</f>
        <v>#N/A</v>
      </c>
      <c r="AA84" s="874">
        <v>20</v>
      </c>
      <c r="AB84" s="874"/>
      <c r="AC84" s="889" t="e">
        <f t="shared" si="14"/>
        <v>#N/A</v>
      </c>
      <c r="AD84" s="889" t="e">
        <f t="shared" si="11"/>
        <v>#N/A</v>
      </c>
      <c r="AE84" s="889" t="e">
        <f t="shared" si="3"/>
        <v>#N/A</v>
      </c>
      <c r="AF84" s="915"/>
      <c r="AG84" s="891"/>
      <c r="AH84" s="941" t="s">
        <v>2749</v>
      </c>
      <c r="AI84" s="637"/>
    </row>
    <row r="85" spans="1:35" s="540" customFormat="1" ht="21" customHeight="1">
      <c r="A85" s="868">
        <v>71</v>
      </c>
      <c r="B85" s="1644" t="str">
        <f>VLOOKUP(C85,'DS CN MOI UP'!$B$10:$C$389,2,0)</f>
        <v>02480</v>
      </c>
      <c r="C85" s="870" t="s">
        <v>493</v>
      </c>
      <c r="D85" s="875" t="s">
        <v>15</v>
      </c>
      <c r="E85" s="872"/>
      <c r="F85" s="873">
        <f>+VLOOKUP(C85,THCKT!$C$13:$AE$460,17,0)</f>
        <v>24</v>
      </c>
      <c r="G85" s="874">
        <f t="shared" si="9"/>
        <v>600000</v>
      </c>
      <c r="H85" s="874"/>
      <c r="I85" s="874"/>
      <c r="J85" s="874"/>
      <c r="K85" s="874" t="e">
        <f>VLOOKUP(C85,THCKT!$C$13:$AL$460,21,0)</f>
        <v>#N/A</v>
      </c>
      <c r="L85" s="883">
        <f>VLOOKUP(C85,THCKT!$C$13:$AL$460,22,0)</f>
        <v>0</v>
      </c>
      <c r="M85" s="883">
        <f>VLOOKUP(C85,THCKT!$C$13:$AL$460,23,0)</f>
        <v>0</v>
      </c>
      <c r="N85" s="883" t="e">
        <f t="shared" si="10"/>
        <v>#N/A</v>
      </c>
      <c r="O85" s="883" t="e">
        <f t="shared" si="12"/>
        <v>#N/A</v>
      </c>
      <c r="P85" s="884" t="e">
        <f>VLOOKUP(C85,THCKT!$C$13:$AL$460,36,0)</f>
        <v>#N/A</v>
      </c>
      <c r="Q85" s="887" t="e">
        <f t="shared" si="13"/>
        <v>#N/A</v>
      </c>
      <c r="R85" s="874" t="e">
        <f>VLOOKUP(C85,'LƯƠNG KT'!$D$15:$P$94,16,0)</f>
        <v>#N/A</v>
      </c>
      <c r="S85" s="874" t="e">
        <f>VLOOKUP(C85,'LƯƠNG KT'!$D$15:$P$94,17,0)</f>
        <v>#N/A</v>
      </c>
      <c r="T85" s="874" t="e">
        <f>VLOOKUP(C85,'LƯƠNG KT'!$D$15:$P$94,18,0)</f>
        <v>#N/A</v>
      </c>
      <c r="U85" s="874" t="e">
        <f>VLOOKUP(C85,'LƯƠNG KT'!$D$15:$P$94,18,0)</f>
        <v>#N/A</v>
      </c>
      <c r="V85" s="874" t="e">
        <f>VLOOKUP(C85,'LƯƠNG KT'!$D$15:$P$94,19,0)</f>
        <v>#N/A</v>
      </c>
      <c r="W85" s="874" t="e">
        <f>VLOOKUP(C85,'LƯƠNG KT'!$D$15:$P$94,20,0)</f>
        <v>#N/A</v>
      </c>
      <c r="X85" s="874" t="e">
        <f>VLOOKUP(C85,'LƯƠNG KT'!$D$15:$P$94,21,0)</f>
        <v>#N/A</v>
      </c>
      <c r="Y85" s="874" t="e">
        <f>VLOOKUP(C85,'LƯƠNG KT'!$D$15:$P$94,23,0)</f>
        <v>#N/A</v>
      </c>
      <c r="Z85" s="874" t="e">
        <f>VLOOKUP(C85,'LƯƠNG KT'!$D$15:$P$94,24,0)</f>
        <v>#N/A</v>
      </c>
      <c r="AA85" s="874">
        <v>20</v>
      </c>
      <c r="AB85" s="874"/>
      <c r="AC85" s="889" t="e">
        <f t="shared" si="14"/>
        <v>#N/A</v>
      </c>
      <c r="AD85" s="889" t="e">
        <f t="shared" si="11"/>
        <v>#N/A</v>
      </c>
      <c r="AE85" s="889" t="e">
        <f t="shared" si="3"/>
        <v>#N/A</v>
      </c>
      <c r="AF85" s="915"/>
      <c r="AG85" s="891"/>
      <c r="AH85" s="540" t="s">
        <v>2749</v>
      </c>
      <c r="AI85" s="637"/>
    </row>
    <row r="86" spans="1:35" s="540" customFormat="1" ht="21" customHeight="1">
      <c r="A86" s="868">
        <v>72</v>
      </c>
      <c r="B86" s="1644" t="str">
        <f>VLOOKUP(C86,'DS CN MOI UP'!$B$10:$C$389,2,0)</f>
        <v>02456</v>
      </c>
      <c r="C86" s="870" t="s">
        <v>89</v>
      </c>
      <c r="D86" s="875" t="s">
        <v>15</v>
      </c>
      <c r="E86" s="872"/>
      <c r="F86" s="873">
        <f>+VLOOKUP(C86,THCKT!$C$13:$AE$460,17,0)</f>
        <v>24</v>
      </c>
      <c r="G86" s="874">
        <f t="shared" si="9"/>
        <v>600000</v>
      </c>
      <c r="H86" s="874"/>
      <c r="I86" s="874"/>
      <c r="J86" s="874"/>
      <c r="K86" s="874" t="e">
        <f>VLOOKUP(C86,THCKT!$C$13:$AL$460,21,0)</f>
        <v>#N/A</v>
      </c>
      <c r="L86" s="883">
        <f>VLOOKUP(C86,THCKT!$C$13:$AL$460,22,0)</f>
        <v>0</v>
      </c>
      <c r="M86" s="883">
        <f>VLOOKUP(C86,THCKT!$C$13:$AL$460,23,0)</f>
        <v>0</v>
      </c>
      <c r="N86" s="883" t="e">
        <f t="shared" si="10"/>
        <v>#N/A</v>
      </c>
      <c r="O86" s="883" t="e">
        <f t="shared" si="12"/>
        <v>#N/A</v>
      </c>
      <c r="P86" s="884" t="e">
        <f>VLOOKUP(C86,THCKT!$C$13:$AL$460,36,0)</f>
        <v>#N/A</v>
      </c>
      <c r="Q86" s="887" t="e">
        <f t="shared" si="13"/>
        <v>#N/A</v>
      </c>
      <c r="R86" s="874" t="e">
        <f>VLOOKUP(C86,'LƯƠNG KT'!$D$15:$P$94,16,0)</f>
        <v>#N/A</v>
      </c>
      <c r="S86" s="874" t="e">
        <f>VLOOKUP(C86,'LƯƠNG KT'!$D$15:$P$94,17,0)</f>
        <v>#N/A</v>
      </c>
      <c r="T86" s="874" t="e">
        <f>VLOOKUP(C86,'LƯƠNG KT'!$D$15:$P$94,18,0)</f>
        <v>#N/A</v>
      </c>
      <c r="U86" s="874" t="e">
        <f>VLOOKUP(C86,'LƯƠNG KT'!$D$15:$P$94,18,0)</f>
        <v>#N/A</v>
      </c>
      <c r="V86" s="874" t="e">
        <f>VLOOKUP(C86,'LƯƠNG KT'!$D$15:$P$94,19,0)</f>
        <v>#N/A</v>
      </c>
      <c r="W86" s="874" t="e">
        <f>VLOOKUP(C86,'LƯƠNG KT'!$D$15:$P$94,20,0)</f>
        <v>#N/A</v>
      </c>
      <c r="X86" s="874" t="e">
        <f>VLOOKUP(C86,'LƯƠNG KT'!$D$15:$P$94,21,0)</f>
        <v>#N/A</v>
      </c>
      <c r="Y86" s="874" t="e">
        <f>VLOOKUP(C86,'LƯƠNG KT'!$D$15:$P$94,23,0)</f>
        <v>#N/A</v>
      </c>
      <c r="Z86" s="874" t="e">
        <f>VLOOKUP(C86,'LƯƠNG KT'!$D$15:$P$94,24,0)</f>
        <v>#N/A</v>
      </c>
      <c r="AA86" s="874">
        <v>20</v>
      </c>
      <c r="AB86" s="874"/>
      <c r="AC86" s="889" t="e">
        <f t="shared" si="14"/>
        <v>#N/A</v>
      </c>
      <c r="AD86" s="889" t="e">
        <f t="shared" si="11"/>
        <v>#N/A</v>
      </c>
      <c r="AE86" s="889" t="e">
        <f t="shared" ref="AE86:AE95" si="15">AD86</f>
        <v>#N/A</v>
      </c>
      <c r="AF86" s="915"/>
      <c r="AG86" s="891"/>
      <c r="AH86" s="941" t="s">
        <v>2749</v>
      </c>
      <c r="AI86" s="637"/>
    </row>
    <row r="87" spans="1:35" s="540" customFormat="1" ht="21" customHeight="1">
      <c r="A87" s="868">
        <v>73</v>
      </c>
      <c r="B87" s="1644" t="str">
        <f>VLOOKUP(C87,'DS CN MOI UP'!$B$10:$C$389,2,0)</f>
        <v>02461</v>
      </c>
      <c r="C87" s="870" t="s">
        <v>90</v>
      </c>
      <c r="D87" s="875" t="s">
        <v>15</v>
      </c>
      <c r="E87" s="872"/>
      <c r="F87" s="873">
        <f>+VLOOKUP(C87,THCKT!$C$13:$AE$460,17,0)</f>
        <v>24</v>
      </c>
      <c r="G87" s="874">
        <f t="shared" si="9"/>
        <v>600000</v>
      </c>
      <c r="H87" s="874"/>
      <c r="I87" s="874"/>
      <c r="J87" s="874"/>
      <c r="K87" s="874" t="e">
        <f>VLOOKUP(C87,THCKT!$C$13:$AL$460,21,0)</f>
        <v>#N/A</v>
      </c>
      <c r="L87" s="883">
        <f>VLOOKUP(C87,THCKT!$C$13:$AL$460,22,0)</f>
        <v>0</v>
      </c>
      <c r="M87" s="883">
        <f>VLOOKUP(C87,THCKT!$C$13:$AL$460,23,0)</f>
        <v>0</v>
      </c>
      <c r="N87" s="883" t="e">
        <f t="shared" si="10"/>
        <v>#N/A</v>
      </c>
      <c r="O87" s="883" t="e">
        <f t="shared" si="12"/>
        <v>#N/A</v>
      </c>
      <c r="P87" s="884" t="e">
        <f>VLOOKUP(C87,THCKT!$C$13:$AL$460,36,0)</f>
        <v>#N/A</v>
      </c>
      <c r="Q87" s="887" t="e">
        <f t="shared" si="13"/>
        <v>#N/A</v>
      </c>
      <c r="R87" s="874" t="e">
        <f>VLOOKUP(C87,'LƯƠNG KT'!$D$15:$P$94,16,0)</f>
        <v>#N/A</v>
      </c>
      <c r="S87" s="874" t="e">
        <f>VLOOKUP(C87,'LƯƠNG KT'!$D$15:$P$94,17,0)</f>
        <v>#N/A</v>
      </c>
      <c r="T87" s="874" t="e">
        <f>VLOOKUP(C87,'LƯƠNG KT'!$D$15:$P$94,18,0)</f>
        <v>#N/A</v>
      </c>
      <c r="U87" s="874" t="e">
        <f>VLOOKUP(C87,'LƯƠNG KT'!$D$15:$P$94,18,0)</f>
        <v>#N/A</v>
      </c>
      <c r="V87" s="874" t="e">
        <f>VLOOKUP(C87,'LƯƠNG KT'!$D$15:$P$94,19,0)</f>
        <v>#N/A</v>
      </c>
      <c r="W87" s="874" t="e">
        <f>VLOOKUP(C87,'LƯƠNG KT'!$D$15:$P$94,20,0)</f>
        <v>#N/A</v>
      </c>
      <c r="X87" s="874" t="e">
        <f>VLOOKUP(C87,'LƯƠNG KT'!$D$15:$P$94,21,0)</f>
        <v>#N/A</v>
      </c>
      <c r="Y87" s="874" t="e">
        <f>VLOOKUP(C87,'LƯƠNG KT'!$D$15:$P$94,23,0)</f>
        <v>#N/A</v>
      </c>
      <c r="Z87" s="874" t="e">
        <f>VLOOKUP(C87,'LƯƠNG KT'!$D$15:$P$94,24,0)</f>
        <v>#N/A</v>
      </c>
      <c r="AA87" s="874">
        <v>20</v>
      </c>
      <c r="AB87" s="874"/>
      <c r="AC87" s="889" t="e">
        <f t="shared" si="14"/>
        <v>#N/A</v>
      </c>
      <c r="AD87" s="889" t="e">
        <f t="shared" si="11"/>
        <v>#N/A</v>
      </c>
      <c r="AE87" s="889" t="e">
        <f t="shared" si="15"/>
        <v>#N/A</v>
      </c>
      <c r="AF87" s="915"/>
      <c r="AG87" s="891"/>
      <c r="AH87" s="540" t="s">
        <v>2749</v>
      </c>
      <c r="AI87" s="637"/>
    </row>
    <row r="88" spans="1:35" s="540" customFormat="1" ht="21" customHeight="1">
      <c r="A88" s="868">
        <v>74</v>
      </c>
      <c r="B88" s="869" t="e">
        <f>VLOOKUP(C88,'DS CN MOI UP'!$B$10:$C$389,2,0)</f>
        <v>#N/A</v>
      </c>
      <c r="C88" s="870" t="s">
        <v>1671</v>
      </c>
      <c r="D88" s="875" t="s">
        <v>15</v>
      </c>
      <c r="E88" s="872"/>
      <c r="F88" s="873">
        <f>+VLOOKUP(C88,THCKT!$C$13:$AE$460,17,0)</f>
        <v>24</v>
      </c>
      <c r="G88" s="874">
        <f t="shared" si="9"/>
        <v>600000</v>
      </c>
      <c r="H88" s="874"/>
      <c r="I88" s="874"/>
      <c r="J88" s="874"/>
      <c r="K88" s="874" t="e">
        <f>VLOOKUP(C88,THCKT!$C$13:$AL$460,21,0)</f>
        <v>#N/A</v>
      </c>
      <c r="L88" s="883">
        <f>VLOOKUP(C88,THCKT!$C$13:$AL$460,22,0)</f>
        <v>0</v>
      </c>
      <c r="M88" s="883">
        <f>VLOOKUP(C88,THCKT!$C$13:$AL$460,23,0)</f>
        <v>0</v>
      </c>
      <c r="N88" s="883" t="e">
        <f t="shared" si="10"/>
        <v>#N/A</v>
      </c>
      <c r="O88" s="883" t="e">
        <f t="shared" si="12"/>
        <v>#N/A</v>
      </c>
      <c r="P88" s="884" t="e">
        <f>VLOOKUP(C88,THCKT!$C$13:$AL$460,36,0)</f>
        <v>#N/A</v>
      </c>
      <c r="Q88" s="887" t="e">
        <f t="shared" si="13"/>
        <v>#N/A</v>
      </c>
      <c r="R88" s="874" t="e">
        <f>VLOOKUP(C88,'LƯƠNG KT'!$D$15:$P$94,16,0)</f>
        <v>#N/A</v>
      </c>
      <c r="S88" s="874" t="e">
        <f>VLOOKUP(C88,'LƯƠNG KT'!$D$15:$P$94,17,0)</f>
        <v>#N/A</v>
      </c>
      <c r="T88" s="874" t="e">
        <f>VLOOKUP(C88,'LƯƠNG KT'!$D$15:$P$94,18,0)</f>
        <v>#N/A</v>
      </c>
      <c r="U88" s="874" t="e">
        <f>VLOOKUP(C88,'LƯƠNG KT'!$D$15:$P$94,18,0)</f>
        <v>#N/A</v>
      </c>
      <c r="V88" s="874" t="e">
        <f>VLOOKUP(C88,'LƯƠNG KT'!$D$15:$P$94,19,0)</f>
        <v>#N/A</v>
      </c>
      <c r="W88" s="874" t="e">
        <f>VLOOKUP(C88,'LƯƠNG KT'!$D$15:$P$94,20,0)</f>
        <v>#N/A</v>
      </c>
      <c r="X88" s="874" t="e">
        <f>VLOOKUP(C88,'LƯƠNG KT'!$D$15:$P$94,21,0)</f>
        <v>#N/A</v>
      </c>
      <c r="Y88" s="874" t="e">
        <f>VLOOKUP(C88,'LƯƠNG KT'!$D$15:$P$94,23,0)</f>
        <v>#N/A</v>
      </c>
      <c r="Z88" s="874" t="e">
        <f>VLOOKUP(C88,'LƯƠNG KT'!$D$15:$P$94,24,0)</f>
        <v>#N/A</v>
      </c>
      <c r="AA88" s="874">
        <v>20</v>
      </c>
      <c r="AB88" s="874"/>
      <c r="AC88" s="889" t="e">
        <f t="shared" si="14"/>
        <v>#N/A</v>
      </c>
      <c r="AD88" s="889" t="e">
        <f t="shared" si="11"/>
        <v>#N/A</v>
      </c>
      <c r="AE88" s="889" t="e">
        <f t="shared" si="15"/>
        <v>#N/A</v>
      </c>
      <c r="AF88" s="915"/>
      <c r="AG88" s="891"/>
      <c r="AH88" s="941" t="s">
        <v>2749</v>
      </c>
      <c r="AI88" s="637"/>
    </row>
    <row r="89" spans="1:35" s="540" customFormat="1" ht="21" customHeight="1">
      <c r="A89" s="868">
        <v>75</v>
      </c>
      <c r="B89" s="1644" t="str">
        <f>VLOOKUP(C89,'DS CN MOI UP'!$B$10:$C$389,2,0)</f>
        <v>03334</v>
      </c>
      <c r="C89" s="870" t="s">
        <v>64</v>
      </c>
      <c r="D89" s="875" t="s">
        <v>15</v>
      </c>
      <c r="E89" s="872"/>
      <c r="F89" s="873">
        <f>+VLOOKUP(C89,THCKT!$C$13:$AE$460,17,0)</f>
        <v>24</v>
      </c>
      <c r="G89" s="874">
        <f t="shared" si="9"/>
        <v>600000</v>
      </c>
      <c r="H89" s="874"/>
      <c r="I89" s="874"/>
      <c r="J89" s="874"/>
      <c r="K89" s="874" t="e">
        <f>VLOOKUP(C89,THCKT!$C$13:$AL$460,21,0)</f>
        <v>#N/A</v>
      </c>
      <c r="L89" s="883">
        <f>VLOOKUP(C89,THCKT!$C$13:$AL$460,22,0)</f>
        <v>0</v>
      </c>
      <c r="M89" s="883">
        <f>VLOOKUP(C89,THCKT!$C$13:$AL$460,23,0)</f>
        <v>0</v>
      </c>
      <c r="N89" s="883" t="e">
        <f t="shared" si="10"/>
        <v>#N/A</v>
      </c>
      <c r="O89" s="883" t="e">
        <f t="shared" si="12"/>
        <v>#N/A</v>
      </c>
      <c r="P89" s="884" t="e">
        <f>VLOOKUP(C89,THCKT!$C$13:$AL$460,36,0)</f>
        <v>#N/A</v>
      </c>
      <c r="Q89" s="887" t="e">
        <f t="shared" si="13"/>
        <v>#N/A</v>
      </c>
      <c r="R89" s="874" t="e">
        <f>VLOOKUP(C89,'LƯƠNG KT'!$D$15:$P$94,16,0)</f>
        <v>#N/A</v>
      </c>
      <c r="S89" s="874" t="e">
        <f>VLOOKUP(C89,'LƯƠNG KT'!$D$15:$P$94,17,0)</f>
        <v>#N/A</v>
      </c>
      <c r="T89" s="874" t="e">
        <f>VLOOKUP(C89,'LƯƠNG KT'!$D$15:$P$94,18,0)</f>
        <v>#N/A</v>
      </c>
      <c r="U89" s="874" t="e">
        <f>VLOOKUP(C89,'LƯƠNG KT'!$D$15:$P$94,18,0)</f>
        <v>#N/A</v>
      </c>
      <c r="V89" s="874" t="e">
        <f>VLOOKUP(C89,'LƯƠNG KT'!$D$15:$P$94,19,0)</f>
        <v>#N/A</v>
      </c>
      <c r="W89" s="874" t="e">
        <f>VLOOKUP(C89,'LƯƠNG KT'!$D$15:$P$94,20,0)</f>
        <v>#N/A</v>
      </c>
      <c r="X89" s="874" t="e">
        <f>VLOOKUP(C89,'LƯƠNG KT'!$D$15:$P$94,21,0)</f>
        <v>#N/A</v>
      </c>
      <c r="Y89" s="874" t="e">
        <f>VLOOKUP(C89,'LƯƠNG KT'!$D$15:$P$94,23,0)</f>
        <v>#N/A</v>
      </c>
      <c r="Z89" s="874" t="e">
        <f>VLOOKUP(C89,'LƯƠNG KT'!$D$15:$P$94,24,0)</f>
        <v>#N/A</v>
      </c>
      <c r="AA89" s="874">
        <v>20</v>
      </c>
      <c r="AB89" s="874"/>
      <c r="AC89" s="889" t="e">
        <f t="shared" si="14"/>
        <v>#N/A</v>
      </c>
      <c r="AD89" s="889" t="e">
        <f t="shared" si="11"/>
        <v>#N/A</v>
      </c>
      <c r="AE89" s="889" t="e">
        <f t="shared" si="15"/>
        <v>#N/A</v>
      </c>
      <c r="AF89" s="915"/>
      <c r="AG89" s="891"/>
      <c r="AH89" s="540" t="s">
        <v>2749</v>
      </c>
      <c r="AI89" s="637"/>
    </row>
    <row r="90" spans="1:35" s="540" customFormat="1" ht="21" customHeight="1">
      <c r="A90" s="868">
        <v>76</v>
      </c>
      <c r="B90" s="1644" t="str">
        <f>VLOOKUP(C90,'DS CN MOI UP'!$B$10:$C$389,2,0)</f>
        <v>02486</v>
      </c>
      <c r="C90" s="870" t="s">
        <v>65</v>
      </c>
      <c r="D90" s="875" t="s">
        <v>15</v>
      </c>
      <c r="E90" s="872"/>
      <c r="F90" s="873">
        <f>+VLOOKUP(C90,THCKT!$C$13:$AE$460,17,0)</f>
        <v>24</v>
      </c>
      <c r="G90" s="874">
        <f t="shared" si="9"/>
        <v>600000</v>
      </c>
      <c r="H90" s="874"/>
      <c r="I90" s="874"/>
      <c r="J90" s="874"/>
      <c r="K90" s="874" t="e">
        <f>VLOOKUP(C90,THCKT!$C$13:$AL$460,21,0)</f>
        <v>#N/A</v>
      </c>
      <c r="L90" s="883">
        <f>VLOOKUP(C90,THCKT!$C$13:$AL$460,22,0)</f>
        <v>0</v>
      </c>
      <c r="M90" s="883">
        <f>VLOOKUP(C90,THCKT!$C$13:$AL$460,23,0)</f>
        <v>0</v>
      </c>
      <c r="N90" s="883" t="e">
        <f t="shared" si="10"/>
        <v>#N/A</v>
      </c>
      <c r="O90" s="883" t="e">
        <f t="shared" si="12"/>
        <v>#N/A</v>
      </c>
      <c r="P90" s="884" t="e">
        <f>VLOOKUP(C90,THCKT!$C$13:$AL$460,36,0)</f>
        <v>#N/A</v>
      </c>
      <c r="Q90" s="887" t="e">
        <f t="shared" si="13"/>
        <v>#N/A</v>
      </c>
      <c r="R90" s="874" t="e">
        <f>VLOOKUP(C90,'LƯƠNG KT'!$D$15:$P$94,16,0)</f>
        <v>#N/A</v>
      </c>
      <c r="S90" s="874" t="e">
        <f>VLOOKUP(C90,'LƯƠNG KT'!$D$15:$P$94,17,0)</f>
        <v>#N/A</v>
      </c>
      <c r="T90" s="874" t="e">
        <f>VLOOKUP(C90,'LƯƠNG KT'!$D$15:$P$94,18,0)</f>
        <v>#N/A</v>
      </c>
      <c r="U90" s="874" t="e">
        <f>VLOOKUP(C90,'LƯƠNG KT'!$D$15:$P$94,18,0)</f>
        <v>#N/A</v>
      </c>
      <c r="V90" s="874" t="e">
        <f>VLOOKUP(C90,'LƯƠNG KT'!$D$15:$P$94,19,0)</f>
        <v>#N/A</v>
      </c>
      <c r="W90" s="874" t="e">
        <f>VLOOKUP(C90,'LƯƠNG KT'!$D$15:$P$94,20,0)</f>
        <v>#N/A</v>
      </c>
      <c r="X90" s="874" t="e">
        <f>VLOOKUP(C90,'LƯƠNG KT'!$D$15:$P$94,21,0)</f>
        <v>#N/A</v>
      </c>
      <c r="Y90" s="874" t="e">
        <f>VLOOKUP(C90,'LƯƠNG KT'!$D$15:$P$94,23,0)</f>
        <v>#N/A</v>
      </c>
      <c r="Z90" s="874" t="e">
        <f>VLOOKUP(C90,'LƯƠNG KT'!$D$15:$P$94,24,0)</f>
        <v>#N/A</v>
      </c>
      <c r="AA90" s="874">
        <v>20</v>
      </c>
      <c r="AB90" s="874"/>
      <c r="AC90" s="889" t="e">
        <f t="shared" si="14"/>
        <v>#N/A</v>
      </c>
      <c r="AD90" s="889" t="e">
        <f t="shared" si="11"/>
        <v>#N/A</v>
      </c>
      <c r="AE90" s="889" t="e">
        <f t="shared" si="15"/>
        <v>#N/A</v>
      </c>
      <c r="AF90" s="915"/>
      <c r="AG90" s="891"/>
      <c r="AH90" s="941" t="s">
        <v>2749</v>
      </c>
      <c r="AI90" s="637"/>
    </row>
    <row r="91" spans="1:35" s="540" customFormat="1" ht="21" customHeight="1">
      <c r="A91" s="868">
        <v>77</v>
      </c>
      <c r="B91" s="1644" t="str">
        <f>VLOOKUP(C91,'DS CN MOI UP'!$B$10:$C$389,2,0)</f>
        <v>02680</v>
      </c>
      <c r="C91" s="870" t="s">
        <v>91</v>
      </c>
      <c r="D91" s="875" t="s">
        <v>15</v>
      </c>
      <c r="E91" s="872"/>
      <c r="F91" s="873">
        <f>+VLOOKUP(C91,THCKT!$C$13:$AE$460,17,0)</f>
        <v>24</v>
      </c>
      <c r="G91" s="874">
        <f t="shared" si="9"/>
        <v>600000</v>
      </c>
      <c r="H91" s="874"/>
      <c r="I91" s="874"/>
      <c r="J91" s="874"/>
      <c r="K91" s="874" t="e">
        <f>VLOOKUP(C91,THCKT!$C$13:$AL$460,21,0)</f>
        <v>#N/A</v>
      </c>
      <c r="L91" s="883">
        <f>VLOOKUP(C91,THCKT!$C$13:$AL$460,22,0)</f>
        <v>0</v>
      </c>
      <c r="M91" s="883">
        <f>VLOOKUP(C91,THCKT!$C$13:$AL$460,23,0)</f>
        <v>0</v>
      </c>
      <c r="N91" s="883" t="e">
        <f t="shared" si="10"/>
        <v>#N/A</v>
      </c>
      <c r="O91" s="883" t="e">
        <f t="shared" si="12"/>
        <v>#N/A</v>
      </c>
      <c r="P91" s="884" t="e">
        <f>VLOOKUP(C91,THCKT!$C$13:$AL$460,36,0)</f>
        <v>#N/A</v>
      </c>
      <c r="Q91" s="887" t="e">
        <f t="shared" si="13"/>
        <v>#N/A</v>
      </c>
      <c r="R91" s="874" t="e">
        <f>VLOOKUP(C91,'LƯƠNG KT'!$D$15:$P$94,16,0)</f>
        <v>#N/A</v>
      </c>
      <c r="S91" s="874" t="e">
        <f>VLOOKUP(C91,'LƯƠNG KT'!$D$15:$P$94,17,0)</f>
        <v>#N/A</v>
      </c>
      <c r="T91" s="874" t="e">
        <f>VLOOKUP(C91,'LƯƠNG KT'!$D$15:$P$94,18,0)</f>
        <v>#N/A</v>
      </c>
      <c r="U91" s="874" t="e">
        <f>VLOOKUP(C91,'LƯƠNG KT'!$D$15:$P$94,18,0)</f>
        <v>#N/A</v>
      </c>
      <c r="V91" s="874" t="e">
        <f>VLOOKUP(C91,'LƯƠNG KT'!$D$15:$P$94,19,0)</f>
        <v>#N/A</v>
      </c>
      <c r="W91" s="874" t="e">
        <f>VLOOKUP(C91,'LƯƠNG KT'!$D$15:$P$94,20,0)</f>
        <v>#N/A</v>
      </c>
      <c r="X91" s="874" t="e">
        <f>VLOOKUP(C91,'LƯƠNG KT'!$D$15:$P$94,21,0)</f>
        <v>#N/A</v>
      </c>
      <c r="Y91" s="874" t="e">
        <f>VLOOKUP(C91,'LƯƠNG KT'!$D$15:$P$94,23,0)</f>
        <v>#N/A</v>
      </c>
      <c r="Z91" s="874" t="e">
        <f>VLOOKUP(C91,'LƯƠNG KT'!$D$15:$P$94,24,0)</f>
        <v>#N/A</v>
      </c>
      <c r="AA91" s="874">
        <v>20</v>
      </c>
      <c r="AB91" s="874"/>
      <c r="AC91" s="889" t="e">
        <f t="shared" si="14"/>
        <v>#N/A</v>
      </c>
      <c r="AD91" s="889" t="e">
        <f t="shared" si="11"/>
        <v>#N/A</v>
      </c>
      <c r="AE91" s="889" t="e">
        <f t="shared" si="15"/>
        <v>#N/A</v>
      </c>
      <c r="AF91" s="915"/>
      <c r="AG91" s="891"/>
      <c r="AH91" s="540" t="s">
        <v>2749</v>
      </c>
      <c r="AI91" s="637"/>
    </row>
    <row r="92" spans="1:35" s="540" customFormat="1" ht="21" customHeight="1">
      <c r="A92" s="868">
        <v>78</v>
      </c>
      <c r="B92" s="1644" t="str">
        <f>VLOOKUP(C92,'DS CN MOI UP'!$B$10:$C$389,2,0)</f>
        <v>02497</v>
      </c>
      <c r="C92" s="870" t="s">
        <v>102</v>
      </c>
      <c r="D92" s="875" t="s">
        <v>15</v>
      </c>
      <c r="E92" s="872"/>
      <c r="F92" s="873">
        <f>+VLOOKUP(C92,THCKT!$C$13:$AE$460,17,0)</f>
        <v>24</v>
      </c>
      <c r="G92" s="874">
        <f t="shared" si="9"/>
        <v>600000</v>
      </c>
      <c r="H92" s="874"/>
      <c r="I92" s="874"/>
      <c r="J92" s="874"/>
      <c r="K92" s="874" t="e">
        <f>VLOOKUP(C92,THCKT!$C$13:$AL$460,21,0)</f>
        <v>#N/A</v>
      </c>
      <c r="L92" s="883">
        <f>VLOOKUP(C92,THCKT!$C$13:$AL$460,22,0)</f>
        <v>0</v>
      </c>
      <c r="M92" s="883">
        <f>VLOOKUP(C92,THCKT!$C$13:$AL$460,23,0)</f>
        <v>0</v>
      </c>
      <c r="N92" s="883" t="e">
        <f t="shared" si="10"/>
        <v>#N/A</v>
      </c>
      <c r="O92" s="883" t="e">
        <f t="shared" si="12"/>
        <v>#N/A</v>
      </c>
      <c r="P92" s="884" t="e">
        <f>VLOOKUP(C92,THCKT!$C$13:$AL$460,36,0)</f>
        <v>#N/A</v>
      </c>
      <c r="Q92" s="887" t="e">
        <f t="shared" si="13"/>
        <v>#N/A</v>
      </c>
      <c r="R92" s="874" t="e">
        <f>VLOOKUP(C92,'LƯƠNG KT'!$D$15:$P$94,16,0)</f>
        <v>#N/A</v>
      </c>
      <c r="S92" s="874" t="e">
        <f>VLOOKUP(C92,'LƯƠNG KT'!$D$15:$P$94,17,0)</f>
        <v>#N/A</v>
      </c>
      <c r="T92" s="874" t="e">
        <f>VLOOKUP(C92,'LƯƠNG KT'!$D$15:$P$94,18,0)</f>
        <v>#N/A</v>
      </c>
      <c r="U92" s="874" t="e">
        <f>VLOOKUP(C92,'LƯƠNG KT'!$D$15:$P$94,18,0)</f>
        <v>#N/A</v>
      </c>
      <c r="V92" s="874" t="e">
        <f>VLOOKUP(C92,'LƯƠNG KT'!$D$15:$P$94,19,0)</f>
        <v>#N/A</v>
      </c>
      <c r="W92" s="874" t="e">
        <f>VLOOKUP(C92,'LƯƠNG KT'!$D$15:$P$94,20,0)</f>
        <v>#N/A</v>
      </c>
      <c r="X92" s="874" t="e">
        <f>VLOOKUP(C92,'LƯƠNG KT'!$D$15:$P$94,21,0)</f>
        <v>#N/A</v>
      </c>
      <c r="Y92" s="874" t="e">
        <f>VLOOKUP(C92,'LƯƠNG KT'!$D$15:$P$94,23,0)</f>
        <v>#N/A</v>
      </c>
      <c r="Z92" s="874" t="e">
        <f>VLOOKUP(C92,'LƯƠNG KT'!$D$15:$P$94,24,0)</f>
        <v>#N/A</v>
      </c>
      <c r="AA92" s="874">
        <v>20</v>
      </c>
      <c r="AB92" s="874"/>
      <c r="AC92" s="889" t="e">
        <f t="shared" si="14"/>
        <v>#N/A</v>
      </c>
      <c r="AD92" s="889" t="e">
        <f t="shared" si="11"/>
        <v>#N/A</v>
      </c>
      <c r="AE92" s="889" t="e">
        <f t="shared" si="15"/>
        <v>#N/A</v>
      </c>
      <c r="AF92" s="915"/>
      <c r="AG92" s="891"/>
      <c r="AH92" s="941" t="s">
        <v>2749</v>
      </c>
      <c r="AI92" s="637"/>
    </row>
    <row r="93" spans="1:35" s="540" customFormat="1" ht="21" customHeight="1">
      <c r="A93" s="868">
        <v>79</v>
      </c>
      <c r="B93" s="1644" t="str">
        <f>VLOOKUP(C93,'DS CN MOI UP'!$B$10:$C$389,2,0)</f>
        <v>02464</v>
      </c>
      <c r="C93" s="870" t="s">
        <v>88</v>
      </c>
      <c r="D93" s="875" t="s">
        <v>15</v>
      </c>
      <c r="E93" s="872"/>
      <c r="F93" s="873">
        <f>+VLOOKUP(C93,THCKT!$C$13:$AE$460,17,0)</f>
        <v>24</v>
      </c>
      <c r="G93" s="874">
        <f t="shared" si="9"/>
        <v>600000</v>
      </c>
      <c r="H93" s="874"/>
      <c r="I93" s="874"/>
      <c r="J93" s="874"/>
      <c r="K93" s="874" t="e">
        <f>VLOOKUP(C93,THCKT!$C$13:$AL$460,21,0)</f>
        <v>#N/A</v>
      </c>
      <c r="L93" s="883">
        <f>VLOOKUP(C93,THCKT!$C$13:$AL$460,22,0)</f>
        <v>0</v>
      </c>
      <c r="M93" s="883">
        <f>VLOOKUP(C93,THCKT!$C$13:$AL$460,23,0)</f>
        <v>0</v>
      </c>
      <c r="N93" s="883" t="e">
        <f t="shared" si="10"/>
        <v>#N/A</v>
      </c>
      <c r="O93" s="883" t="e">
        <f t="shared" si="12"/>
        <v>#N/A</v>
      </c>
      <c r="P93" s="884" t="e">
        <f>VLOOKUP(C93,THCKT!$C$13:$AL$460,36,0)</f>
        <v>#N/A</v>
      </c>
      <c r="Q93" s="887" t="e">
        <f t="shared" si="13"/>
        <v>#N/A</v>
      </c>
      <c r="R93" s="874" t="e">
        <f>VLOOKUP(C93,'LƯƠNG KT'!$D$15:$P$94,16,0)</f>
        <v>#N/A</v>
      </c>
      <c r="S93" s="874" t="e">
        <f>VLOOKUP(C93,'LƯƠNG KT'!$D$15:$P$94,17,0)</f>
        <v>#N/A</v>
      </c>
      <c r="T93" s="874" t="e">
        <f>VLOOKUP(C93,'LƯƠNG KT'!$D$15:$P$94,18,0)</f>
        <v>#N/A</v>
      </c>
      <c r="U93" s="874" t="e">
        <f>VLOOKUP(C93,'LƯƠNG KT'!$D$15:$P$94,18,0)</f>
        <v>#N/A</v>
      </c>
      <c r="V93" s="874" t="e">
        <f>VLOOKUP(C93,'LƯƠNG KT'!$D$15:$P$94,19,0)</f>
        <v>#N/A</v>
      </c>
      <c r="W93" s="874" t="e">
        <f>VLOOKUP(C93,'LƯƠNG KT'!$D$15:$P$94,20,0)</f>
        <v>#N/A</v>
      </c>
      <c r="X93" s="874" t="e">
        <f>VLOOKUP(C93,'LƯƠNG KT'!$D$15:$P$94,21,0)</f>
        <v>#N/A</v>
      </c>
      <c r="Y93" s="874" t="e">
        <f>VLOOKUP(C93,'LƯƠNG KT'!$D$15:$P$94,23,0)</f>
        <v>#N/A</v>
      </c>
      <c r="Z93" s="874" t="e">
        <f>VLOOKUP(C93,'LƯƠNG KT'!$D$15:$P$94,24,0)</f>
        <v>#N/A</v>
      </c>
      <c r="AA93" s="874">
        <v>20</v>
      </c>
      <c r="AB93" s="874"/>
      <c r="AC93" s="889" t="e">
        <f t="shared" si="14"/>
        <v>#N/A</v>
      </c>
      <c r="AD93" s="889" t="e">
        <f t="shared" si="11"/>
        <v>#N/A</v>
      </c>
      <c r="AE93" s="889" t="e">
        <f t="shared" si="15"/>
        <v>#N/A</v>
      </c>
      <c r="AF93" s="915"/>
      <c r="AG93" s="891"/>
      <c r="AH93" s="540" t="s">
        <v>2749</v>
      </c>
      <c r="AI93" s="637"/>
    </row>
    <row r="94" spans="1:35" s="540" customFormat="1" ht="21" customHeight="1">
      <c r="A94" s="868">
        <v>80</v>
      </c>
      <c r="B94" s="869" t="e">
        <f>VLOOKUP(C94,'DS CN MOI UP'!$B$10:$C$389,2,0)</f>
        <v>#N/A</v>
      </c>
      <c r="C94" s="870" t="s">
        <v>1292</v>
      </c>
      <c r="D94" s="875" t="s">
        <v>15</v>
      </c>
      <c r="E94" s="872"/>
      <c r="F94" s="873">
        <f>+VLOOKUP(C94,THCKT!$C$13:$AE$460,17,0)</f>
        <v>24</v>
      </c>
      <c r="G94" s="874">
        <f t="shared" si="9"/>
        <v>600000</v>
      </c>
      <c r="H94" s="874"/>
      <c r="I94" s="874"/>
      <c r="J94" s="874"/>
      <c r="K94" s="874" t="e">
        <f>VLOOKUP(C94,THCKT!$C$13:$AL$460,21,0)</f>
        <v>#N/A</v>
      </c>
      <c r="L94" s="883">
        <f>VLOOKUP(C94,THCKT!$C$13:$AL$460,22,0)</f>
        <v>0</v>
      </c>
      <c r="M94" s="883">
        <f>VLOOKUP(C94,THCKT!$C$13:$AL$460,23,0)</f>
        <v>0</v>
      </c>
      <c r="N94" s="883" t="e">
        <f t="shared" si="10"/>
        <v>#N/A</v>
      </c>
      <c r="O94" s="883" t="e">
        <f t="shared" si="12"/>
        <v>#N/A</v>
      </c>
      <c r="P94" s="884" t="e">
        <f>VLOOKUP(C94,THCKT!$C$13:$AL$460,36,0)</f>
        <v>#N/A</v>
      </c>
      <c r="Q94" s="887" t="e">
        <f t="shared" si="13"/>
        <v>#N/A</v>
      </c>
      <c r="R94" s="874" t="e">
        <f>VLOOKUP(C94,'LƯƠNG KT'!$D$15:$P$94,16,0)</f>
        <v>#N/A</v>
      </c>
      <c r="S94" s="874" t="e">
        <f>VLOOKUP(C94,'LƯƠNG KT'!$D$15:$P$94,17,0)</f>
        <v>#N/A</v>
      </c>
      <c r="T94" s="874" t="e">
        <f>VLOOKUP(C94,'LƯƠNG KT'!$D$15:$P$94,18,0)</f>
        <v>#N/A</v>
      </c>
      <c r="U94" s="874" t="e">
        <f>VLOOKUP(C94,'LƯƠNG KT'!$D$15:$P$94,18,0)</f>
        <v>#N/A</v>
      </c>
      <c r="V94" s="874" t="e">
        <f>VLOOKUP(C94,'LƯƠNG KT'!$D$15:$P$94,19,0)</f>
        <v>#N/A</v>
      </c>
      <c r="W94" s="874" t="e">
        <f>VLOOKUP(C94,'LƯƠNG KT'!$D$15:$P$94,20,0)</f>
        <v>#N/A</v>
      </c>
      <c r="X94" s="874" t="e">
        <f>VLOOKUP(C94,'LƯƠNG KT'!$D$15:$P$94,21,0)</f>
        <v>#N/A</v>
      </c>
      <c r="Y94" s="874" t="e">
        <f>VLOOKUP(C94,'LƯƠNG KT'!$D$15:$P$94,23,0)</f>
        <v>#N/A</v>
      </c>
      <c r="Z94" s="874" t="e">
        <f>VLOOKUP(C94,'LƯƠNG KT'!$D$15:$P$94,24,0)</f>
        <v>#N/A</v>
      </c>
      <c r="AA94" s="874">
        <v>20</v>
      </c>
      <c r="AB94" s="874"/>
      <c r="AC94" s="889" t="e">
        <f t="shared" si="14"/>
        <v>#N/A</v>
      </c>
      <c r="AD94" s="889" t="e">
        <f t="shared" si="11"/>
        <v>#N/A</v>
      </c>
      <c r="AE94" s="889" t="e">
        <f t="shared" si="15"/>
        <v>#N/A</v>
      </c>
      <c r="AF94" s="915"/>
      <c r="AG94" s="891"/>
      <c r="AH94" s="941" t="s">
        <v>2749</v>
      </c>
      <c r="AI94" s="637"/>
    </row>
    <row r="95" spans="1:35" s="540" customFormat="1" ht="21" customHeight="1">
      <c r="A95" s="868">
        <v>81</v>
      </c>
      <c r="B95" s="1644" t="str">
        <f>VLOOKUP(C95,'DS CN MOI UP'!$B$10:$C$389,2,0)</f>
        <v>02460</v>
      </c>
      <c r="C95" s="870" t="s">
        <v>74</v>
      </c>
      <c r="D95" s="875" t="s">
        <v>15</v>
      </c>
      <c r="E95" s="872"/>
      <c r="F95" s="873">
        <f>+VLOOKUP(C95,THCKT!$C$13:$AE$460,17,0)</f>
        <v>24</v>
      </c>
      <c r="G95" s="874">
        <f t="shared" si="9"/>
        <v>600000</v>
      </c>
      <c r="H95" s="874"/>
      <c r="I95" s="874"/>
      <c r="J95" s="874"/>
      <c r="K95" s="874" t="e">
        <f>VLOOKUP(C95,THCKT!$C$13:$AL$460,21,0)</f>
        <v>#N/A</v>
      </c>
      <c r="L95" s="883">
        <f>VLOOKUP(C95,THCKT!$C$13:$AL$460,22,0)</f>
        <v>0</v>
      </c>
      <c r="M95" s="883">
        <f>VLOOKUP(C95,THCKT!$C$13:$AL$460,23,0)</f>
        <v>0</v>
      </c>
      <c r="N95" s="883" t="e">
        <f t="shared" si="10"/>
        <v>#N/A</v>
      </c>
      <c r="O95" s="883" t="e">
        <f t="shared" si="12"/>
        <v>#N/A</v>
      </c>
      <c r="P95" s="884" t="e">
        <f>VLOOKUP(C95,THCKT!$C$13:$AL$460,36,0)</f>
        <v>#N/A</v>
      </c>
      <c r="Q95" s="887" t="e">
        <f t="shared" si="13"/>
        <v>#N/A</v>
      </c>
      <c r="R95" s="874" t="e">
        <f>VLOOKUP(C95,'LƯƠNG KT'!$D$15:$P$94,16,0)</f>
        <v>#N/A</v>
      </c>
      <c r="S95" s="874" t="e">
        <f>VLOOKUP(C95,'LƯƠNG KT'!$D$15:$P$94,17,0)</f>
        <v>#N/A</v>
      </c>
      <c r="T95" s="874" t="e">
        <f>VLOOKUP(C95,'LƯƠNG KT'!$D$15:$P$94,18,0)</f>
        <v>#N/A</v>
      </c>
      <c r="U95" s="874" t="e">
        <f>VLOOKUP(C95,'LƯƠNG KT'!$D$15:$P$94,18,0)</f>
        <v>#N/A</v>
      </c>
      <c r="V95" s="874" t="e">
        <f>VLOOKUP(C95,'LƯƠNG KT'!$D$15:$P$94,19,0)</f>
        <v>#N/A</v>
      </c>
      <c r="W95" s="874" t="e">
        <f>VLOOKUP(C95,'LƯƠNG KT'!$D$15:$P$94,20,0)</f>
        <v>#N/A</v>
      </c>
      <c r="X95" s="874" t="e">
        <f>VLOOKUP(C95,'LƯƠNG KT'!$D$15:$P$94,21,0)</f>
        <v>#N/A</v>
      </c>
      <c r="Y95" s="874" t="e">
        <f>VLOOKUP(C95,'LƯƠNG KT'!$D$15:$P$94,23,0)</f>
        <v>#N/A</v>
      </c>
      <c r="Z95" s="874" t="e">
        <f>VLOOKUP(C95,'LƯƠNG KT'!$D$15:$P$94,24,0)</f>
        <v>#N/A</v>
      </c>
      <c r="AA95" s="874">
        <v>20</v>
      </c>
      <c r="AB95" s="874"/>
      <c r="AC95" s="889" t="e">
        <f t="shared" si="14"/>
        <v>#N/A</v>
      </c>
      <c r="AD95" s="889" t="e">
        <f t="shared" si="11"/>
        <v>#N/A</v>
      </c>
      <c r="AE95" s="889" t="e">
        <f t="shared" si="15"/>
        <v>#N/A</v>
      </c>
      <c r="AF95" s="915"/>
      <c r="AG95" s="891"/>
      <c r="AH95" s="540" t="s">
        <v>2749</v>
      </c>
      <c r="AI95" s="637"/>
    </row>
    <row r="96" spans="1:35" s="540" customFormat="1" ht="21" customHeight="1">
      <c r="A96" s="868">
        <v>82</v>
      </c>
      <c r="B96" s="1644" t="str">
        <f>VLOOKUP(C96,'DS CN MOI UP'!$B$10:$C$389,2,0)</f>
        <v>02504</v>
      </c>
      <c r="C96" s="870" t="s">
        <v>77</v>
      </c>
      <c r="D96" s="875" t="s">
        <v>15</v>
      </c>
      <c r="E96" s="872"/>
      <c r="F96" s="873">
        <f>+VLOOKUP(C96,THCKT!$C$13:$AE$460,17,0)</f>
        <v>24</v>
      </c>
      <c r="G96" s="874">
        <f t="shared" si="9"/>
        <v>600000</v>
      </c>
      <c r="H96" s="874"/>
      <c r="I96" s="874"/>
      <c r="J96" s="874"/>
      <c r="K96" s="874" t="e">
        <f>VLOOKUP(C96,THCKT!$C$13:$AL$460,21,0)</f>
        <v>#N/A</v>
      </c>
      <c r="L96" s="883">
        <f>VLOOKUP(C96,THCKT!$C$13:$AL$460,22,0)</f>
        <v>0</v>
      </c>
      <c r="M96" s="883">
        <f>VLOOKUP(C96,THCKT!$C$13:$AL$460,23,0)</f>
        <v>0</v>
      </c>
      <c r="N96" s="883" t="e">
        <f t="shared" si="10"/>
        <v>#N/A</v>
      </c>
      <c r="O96" s="883" t="e">
        <f t="shared" si="12"/>
        <v>#N/A</v>
      </c>
      <c r="P96" s="884" t="e">
        <f>VLOOKUP(C96,THCKT!$C$13:$AL$460,36,0)</f>
        <v>#N/A</v>
      </c>
      <c r="Q96" s="887" t="e">
        <f t="shared" si="13"/>
        <v>#N/A</v>
      </c>
      <c r="R96" s="874" t="e">
        <f>VLOOKUP(C96,'LƯƠNG KT'!$D$15:$P$94,16,0)</f>
        <v>#N/A</v>
      </c>
      <c r="S96" s="874" t="e">
        <f>VLOOKUP(C96,'LƯƠNG KT'!$D$15:$P$94,17,0)</f>
        <v>#N/A</v>
      </c>
      <c r="T96" s="874" t="e">
        <f>VLOOKUP(C96,'LƯƠNG KT'!$D$15:$P$94,18,0)</f>
        <v>#N/A</v>
      </c>
      <c r="U96" s="874" t="e">
        <f>VLOOKUP(C96,'LƯƠNG KT'!$D$15:$P$94,18,0)</f>
        <v>#N/A</v>
      </c>
      <c r="V96" s="874" t="e">
        <f>VLOOKUP(C96,'LƯƠNG KT'!$D$15:$P$94,19,0)</f>
        <v>#N/A</v>
      </c>
      <c r="W96" s="874" t="e">
        <f>VLOOKUP(C96,'LƯƠNG KT'!$D$15:$P$94,20,0)</f>
        <v>#N/A</v>
      </c>
      <c r="X96" s="874" t="e">
        <f>VLOOKUP(C96,'LƯƠNG KT'!$D$15:$P$94,21,0)</f>
        <v>#N/A</v>
      </c>
      <c r="Y96" s="874" t="e">
        <f>VLOOKUP(C96,'LƯƠNG KT'!$D$15:$P$94,23,0)</f>
        <v>#N/A</v>
      </c>
      <c r="Z96" s="874" t="e">
        <f>VLOOKUP(C96,'LƯƠNG KT'!$D$15:$P$94,24,0)</f>
        <v>#N/A</v>
      </c>
      <c r="AA96" s="874">
        <v>20</v>
      </c>
      <c r="AB96" s="874"/>
      <c r="AC96" s="889" t="e">
        <f t="shared" si="14"/>
        <v>#N/A</v>
      </c>
      <c r="AD96" s="889" t="e">
        <f t="shared" si="11"/>
        <v>#N/A</v>
      </c>
      <c r="AE96" s="889" t="e">
        <f t="shared" ref="AE96:AE100" si="16">AD96</f>
        <v>#N/A</v>
      </c>
      <c r="AF96" s="915"/>
      <c r="AG96" s="891"/>
      <c r="AH96" s="540" t="s">
        <v>2749</v>
      </c>
      <c r="AI96" s="637"/>
    </row>
    <row r="97" spans="1:38" s="540" customFormat="1" ht="21" customHeight="1">
      <c r="A97" s="868">
        <v>83</v>
      </c>
      <c r="B97" s="1644" t="str">
        <f>VLOOKUP(C97,'DS CN MOI UP'!$B$10:$C$389,2,0)</f>
        <v>02481</v>
      </c>
      <c r="C97" s="870" t="s">
        <v>86</v>
      </c>
      <c r="D97" s="875" t="s">
        <v>15</v>
      </c>
      <c r="E97" s="872"/>
      <c r="F97" s="873">
        <f>+VLOOKUP(C97,THCKT!$C$13:$AE$460,17,0)</f>
        <v>24</v>
      </c>
      <c r="G97" s="874">
        <f t="shared" si="9"/>
        <v>600000</v>
      </c>
      <c r="H97" s="874"/>
      <c r="I97" s="874"/>
      <c r="J97" s="874"/>
      <c r="K97" s="874" t="e">
        <f>VLOOKUP(C97,THCKT!$C$13:$AL$460,21,0)</f>
        <v>#N/A</v>
      </c>
      <c r="L97" s="883">
        <f>VLOOKUP(C97,THCKT!$C$13:$AL$460,22,0)</f>
        <v>0</v>
      </c>
      <c r="M97" s="883">
        <f>VLOOKUP(C97,THCKT!$C$13:$AL$460,23,0)</f>
        <v>0</v>
      </c>
      <c r="N97" s="883" t="e">
        <f t="shared" si="10"/>
        <v>#N/A</v>
      </c>
      <c r="O97" s="883" t="e">
        <f t="shared" si="12"/>
        <v>#N/A</v>
      </c>
      <c r="P97" s="884" t="e">
        <f>VLOOKUP(C97,THCKT!$C$13:$AL$460,36,0)</f>
        <v>#N/A</v>
      </c>
      <c r="Q97" s="887" t="e">
        <f t="shared" si="13"/>
        <v>#N/A</v>
      </c>
      <c r="R97" s="874" t="e">
        <f>VLOOKUP(C97,'LƯƠNG KT'!$D$15:$P$94,16,0)</f>
        <v>#N/A</v>
      </c>
      <c r="S97" s="874" t="e">
        <f>VLOOKUP(C97,'LƯƠNG KT'!$D$15:$P$94,17,0)</f>
        <v>#N/A</v>
      </c>
      <c r="T97" s="874" t="e">
        <f>VLOOKUP(C97,'LƯƠNG KT'!$D$15:$P$94,18,0)</f>
        <v>#N/A</v>
      </c>
      <c r="U97" s="874" t="e">
        <f>VLOOKUP(C97,'LƯƠNG KT'!$D$15:$P$94,18,0)</f>
        <v>#N/A</v>
      </c>
      <c r="V97" s="874" t="e">
        <f>VLOOKUP(C97,'LƯƠNG KT'!$D$15:$P$94,19,0)</f>
        <v>#N/A</v>
      </c>
      <c r="W97" s="874" t="e">
        <f>VLOOKUP(C97,'LƯƠNG KT'!$D$15:$P$94,20,0)</f>
        <v>#N/A</v>
      </c>
      <c r="X97" s="874" t="e">
        <f>VLOOKUP(C97,'LƯƠNG KT'!$D$15:$P$94,21,0)</f>
        <v>#N/A</v>
      </c>
      <c r="Y97" s="874" t="e">
        <f>VLOOKUP(C97,'LƯƠNG KT'!$D$15:$P$94,23,0)</f>
        <v>#N/A</v>
      </c>
      <c r="Z97" s="874" t="e">
        <f>VLOOKUP(C97,'LƯƠNG KT'!$D$15:$P$94,24,0)</f>
        <v>#N/A</v>
      </c>
      <c r="AA97" s="874">
        <v>20</v>
      </c>
      <c r="AB97" s="874"/>
      <c r="AC97" s="889" t="e">
        <f t="shared" si="14"/>
        <v>#N/A</v>
      </c>
      <c r="AD97" s="889" t="e">
        <f t="shared" si="11"/>
        <v>#N/A</v>
      </c>
      <c r="AE97" s="889" t="e">
        <f t="shared" si="16"/>
        <v>#N/A</v>
      </c>
      <c r="AF97" s="915"/>
      <c r="AG97" s="891"/>
      <c r="AH97" s="540" t="s">
        <v>2749</v>
      </c>
      <c r="AI97" s="637"/>
    </row>
    <row r="98" spans="1:38" s="540" customFormat="1" ht="21" customHeight="1">
      <c r="A98" s="868">
        <v>84</v>
      </c>
      <c r="B98" s="1644" t="str">
        <f>VLOOKUP(C98,'DS CN MOI UP'!$B$10:$C$389,2,0)</f>
        <v>02492</v>
      </c>
      <c r="C98" s="870" t="s">
        <v>30</v>
      </c>
      <c r="D98" s="875" t="s">
        <v>15</v>
      </c>
      <c r="E98" s="872"/>
      <c r="F98" s="873">
        <f>+VLOOKUP(C98,THCKT!$C$13:$AE$460,17,0)</f>
        <v>24</v>
      </c>
      <c r="G98" s="874">
        <f t="shared" si="9"/>
        <v>600000</v>
      </c>
      <c r="H98" s="874"/>
      <c r="I98" s="874"/>
      <c r="J98" s="874"/>
      <c r="K98" s="874" t="e">
        <f>VLOOKUP(C98,THCKT!$C$13:$AL$460,21,0)</f>
        <v>#N/A</v>
      </c>
      <c r="L98" s="883">
        <f>VLOOKUP(C98,THCKT!$C$13:$AL$460,22,0)</f>
        <v>0</v>
      </c>
      <c r="M98" s="883">
        <f>VLOOKUP(C98,THCKT!$C$13:$AL$460,23,0)</f>
        <v>0</v>
      </c>
      <c r="N98" s="883" t="e">
        <f t="shared" si="10"/>
        <v>#N/A</v>
      </c>
      <c r="O98" s="883" t="e">
        <f t="shared" si="12"/>
        <v>#N/A</v>
      </c>
      <c r="P98" s="884" t="e">
        <f>VLOOKUP(C98,THCKT!$C$13:$AL$460,36,0)</f>
        <v>#N/A</v>
      </c>
      <c r="Q98" s="887" t="e">
        <f t="shared" si="13"/>
        <v>#N/A</v>
      </c>
      <c r="R98" s="874" t="e">
        <f>VLOOKUP(C98,'LƯƠNG KT'!$D$15:$P$94,16,0)</f>
        <v>#N/A</v>
      </c>
      <c r="S98" s="874" t="e">
        <f>VLOOKUP(C98,'LƯƠNG KT'!$D$15:$P$94,17,0)</f>
        <v>#N/A</v>
      </c>
      <c r="T98" s="874" t="e">
        <f>VLOOKUP(C98,'LƯƠNG KT'!$D$15:$P$94,18,0)</f>
        <v>#N/A</v>
      </c>
      <c r="U98" s="874" t="e">
        <f>VLOOKUP(C98,'LƯƠNG KT'!$D$15:$P$94,18,0)</f>
        <v>#N/A</v>
      </c>
      <c r="V98" s="874" t="e">
        <f>VLOOKUP(C98,'LƯƠNG KT'!$D$15:$P$94,19,0)</f>
        <v>#N/A</v>
      </c>
      <c r="W98" s="874" t="e">
        <f>VLOOKUP(C98,'LƯƠNG KT'!$D$15:$P$94,20,0)</f>
        <v>#N/A</v>
      </c>
      <c r="X98" s="874" t="e">
        <f>VLOOKUP(C98,'LƯƠNG KT'!$D$15:$P$94,21,0)</f>
        <v>#N/A</v>
      </c>
      <c r="Y98" s="874" t="e">
        <f>VLOOKUP(C98,'LƯƠNG KT'!$D$15:$P$94,23,0)</f>
        <v>#N/A</v>
      </c>
      <c r="Z98" s="874" t="e">
        <f>VLOOKUP(C98,'LƯƠNG KT'!$D$15:$P$94,24,0)</f>
        <v>#N/A</v>
      </c>
      <c r="AA98" s="874">
        <v>20</v>
      </c>
      <c r="AB98" s="874"/>
      <c r="AC98" s="889" t="e">
        <f t="shared" si="14"/>
        <v>#N/A</v>
      </c>
      <c r="AD98" s="889" t="e">
        <f t="shared" si="11"/>
        <v>#N/A</v>
      </c>
      <c r="AE98" s="889" t="e">
        <f t="shared" si="16"/>
        <v>#N/A</v>
      </c>
      <c r="AF98" s="915"/>
      <c r="AG98" s="891"/>
      <c r="AH98" s="540" t="s">
        <v>2749</v>
      </c>
      <c r="AI98" s="637"/>
    </row>
    <row r="99" spans="1:38" s="540" customFormat="1" ht="21" customHeight="1">
      <c r="A99" s="868">
        <v>85</v>
      </c>
      <c r="B99" s="1644" t="str">
        <f>VLOOKUP(C99,'DS CN MOI UP'!$B$10:$C$389,2,0)</f>
        <v>02470</v>
      </c>
      <c r="C99" s="870" t="s">
        <v>44</v>
      </c>
      <c r="D99" s="875" t="s">
        <v>15</v>
      </c>
      <c r="E99" s="872"/>
      <c r="F99" s="873">
        <f>+VLOOKUP(C99,THCKT!$C$13:$AE$460,17,0)</f>
        <v>24</v>
      </c>
      <c r="G99" s="874">
        <f t="shared" si="9"/>
        <v>600000</v>
      </c>
      <c r="H99" s="874"/>
      <c r="I99" s="874"/>
      <c r="J99" s="874"/>
      <c r="K99" s="874" t="e">
        <f>VLOOKUP(C99,THCKT!$C$13:$AL$460,21,0)</f>
        <v>#N/A</v>
      </c>
      <c r="L99" s="883">
        <f>VLOOKUP(C99,THCKT!$C$13:$AL$460,22,0)</f>
        <v>0</v>
      </c>
      <c r="M99" s="883">
        <f>VLOOKUP(C99,THCKT!$C$13:$AL$460,23,0)</f>
        <v>0</v>
      </c>
      <c r="N99" s="883" t="e">
        <f t="shared" si="10"/>
        <v>#N/A</v>
      </c>
      <c r="O99" s="883" t="e">
        <f t="shared" si="12"/>
        <v>#N/A</v>
      </c>
      <c r="P99" s="884" t="e">
        <f>VLOOKUP(C99,THCKT!$C$13:$AL$460,36,0)</f>
        <v>#N/A</v>
      </c>
      <c r="Q99" s="887" t="e">
        <f t="shared" si="13"/>
        <v>#N/A</v>
      </c>
      <c r="R99" s="874" t="e">
        <f>VLOOKUP(C99,'LƯƠNG KT'!$D$15:$P$94,16,0)</f>
        <v>#N/A</v>
      </c>
      <c r="S99" s="874" t="e">
        <f>VLOOKUP(C99,'LƯƠNG KT'!$D$15:$P$94,17,0)</f>
        <v>#N/A</v>
      </c>
      <c r="T99" s="874" t="e">
        <f>VLOOKUP(C99,'LƯƠNG KT'!$D$15:$P$94,18,0)</f>
        <v>#N/A</v>
      </c>
      <c r="U99" s="874" t="e">
        <f>VLOOKUP(C99,'LƯƠNG KT'!$D$15:$P$94,18,0)</f>
        <v>#N/A</v>
      </c>
      <c r="V99" s="874" t="e">
        <f>VLOOKUP(C99,'LƯƠNG KT'!$D$15:$P$94,19,0)</f>
        <v>#N/A</v>
      </c>
      <c r="W99" s="874" t="e">
        <f>VLOOKUP(C99,'LƯƠNG KT'!$D$15:$P$94,20,0)</f>
        <v>#N/A</v>
      </c>
      <c r="X99" s="874" t="e">
        <f>VLOOKUP(C99,'LƯƠNG KT'!$D$15:$P$94,21,0)</f>
        <v>#N/A</v>
      </c>
      <c r="Y99" s="874" t="e">
        <f>VLOOKUP(C99,'LƯƠNG KT'!$D$15:$P$94,23,0)</f>
        <v>#N/A</v>
      </c>
      <c r="Z99" s="874" t="e">
        <f>VLOOKUP(C99,'LƯƠNG KT'!$D$15:$P$94,24,0)</f>
        <v>#N/A</v>
      </c>
      <c r="AA99" s="874">
        <v>20</v>
      </c>
      <c r="AB99" s="874"/>
      <c r="AC99" s="889" t="e">
        <f t="shared" si="14"/>
        <v>#N/A</v>
      </c>
      <c r="AD99" s="889" t="e">
        <f t="shared" si="11"/>
        <v>#N/A</v>
      </c>
      <c r="AE99" s="889" t="e">
        <f t="shared" si="16"/>
        <v>#N/A</v>
      </c>
      <c r="AF99" s="915"/>
      <c r="AG99" s="891"/>
      <c r="AH99" s="540" t="s">
        <v>2749</v>
      </c>
      <c r="AI99" s="637"/>
    </row>
    <row r="100" spans="1:38" s="540" customFormat="1" ht="21" customHeight="1">
      <c r="A100" s="868">
        <v>86</v>
      </c>
      <c r="B100" s="1644" t="str">
        <f>VLOOKUP(C100,'DS CN MOI UP'!$B$10:$C$389,2,0)</f>
        <v>03330</v>
      </c>
      <c r="C100" s="870" t="s">
        <v>46</v>
      </c>
      <c r="D100" s="875" t="s">
        <v>15</v>
      </c>
      <c r="E100" s="872"/>
      <c r="F100" s="873">
        <f>+VLOOKUP(C100,THCKT!$C$13:$AE$460,17,0)</f>
        <v>24</v>
      </c>
      <c r="G100" s="874">
        <f t="shared" si="9"/>
        <v>600000</v>
      </c>
      <c r="H100" s="874"/>
      <c r="I100" s="874"/>
      <c r="J100" s="874"/>
      <c r="K100" s="874" t="e">
        <f>VLOOKUP(C100,THCKT!$C$13:$AL$460,21,0)</f>
        <v>#N/A</v>
      </c>
      <c r="L100" s="883">
        <f>VLOOKUP(C100,THCKT!$C$13:$AL$460,22,0)</f>
        <v>0</v>
      </c>
      <c r="M100" s="883">
        <f>VLOOKUP(C100,THCKT!$C$13:$AL$460,23,0)</f>
        <v>0</v>
      </c>
      <c r="N100" s="883" t="e">
        <f t="shared" si="10"/>
        <v>#N/A</v>
      </c>
      <c r="O100" s="883" t="e">
        <f t="shared" si="12"/>
        <v>#N/A</v>
      </c>
      <c r="P100" s="884" t="e">
        <f>VLOOKUP(C100,THCKT!$C$13:$AL$460,36,0)</f>
        <v>#N/A</v>
      </c>
      <c r="Q100" s="887" t="e">
        <f t="shared" si="13"/>
        <v>#N/A</v>
      </c>
      <c r="R100" s="874" t="e">
        <f>VLOOKUP(C100,'LƯƠNG KT'!$D$15:$P$94,16,0)</f>
        <v>#N/A</v>
      </c>
      <c r="S100" s="874" t="e">
        <f>VLOOKUP(C100,'LƯƠNG KT'!$D$15:$P$94,17,0)</f>
        <v>#N/A</v>
      </c>
      <c r="T100" s="874" t="e">
        <f>VLOOKUP(C100,'LƯƠNG KT'!$D$15:$P$94,18,0)</f>
        <v>#N/A</v>
      </c>
      <c r="U100" s="874" t="e">
        <f>VLOOKUP(C100,'LƯƠNG KT'!$D$15:$P$94,18,0)</f>
        <v>#N/A</v>
      </c>
      <c r="V100" s="874" t="e">
        <f>VLOOKUP(C100,'LƯƠNG KT'!$D$15:$P$94,19,0)</f>
        <v>#N/A</v>
      </c>
      <c r="W100" s="874" t="e">
        <f>VLOOKUP(C100,'LƯƠNG KT'!$D$15:$P$94,20,0)</f>
        <v>#N/A</v>
      </c>
      <c r="X100" s="874" t="e">
        <f>VLOOKUP(C100,'LƯƠNG KT'!$D$15:$P$94,21,0)</f>
        <v>#N/A</v>
      </c>
      <c r="Y100" s="874" t="e">
        <f>VLOOKUP(C100,'LƯƠNG KT'!$D$15:$P$94,23,0)</f>
        <v>#N/A</v>
      </c>
      <c r="Z100" s="874" t="e">
        <f>VLOOKUP(C100,'LƯƠNG KT'!$D$15:$P$94,24,0)</f>
        <v>#N/A</v>
      </c>
      <c r="AA100" s="874">
        <v>20</v>
      </c>
      <c r="AB100" s="874"/>
      <c r="AC100" s="889" t="e">
        <f t="shared" si="14"/>
        <v>#N/A</v>
      </c>
      <c r="AD100" s="889" t="e">
        <f t="shared" si="11"/>
        <v>#N/A</v>
      </c>
      <c r="AE100" s="889" t="e">
        <f t="shared" si="16"/>
        <v>#N/A</v>
      </c>
      <c r="AF100" s="915"/>
      <c r="AG100" s="891"/>
      <c r="AH100" s="540" t="s">
        <v>2749</v>
      </c>
      <c r="AI100" s="637"/>
    </row>
    <row r="101" spans="1:38" s="540" customFormat="1" ht="21" customHeight="1">
      <c r="A101" s="911" t="s">
        <v>2750</v>
      </c>
      <c r="B101" s="911"/>
      <c r="C101" s="933"/>
      <c r="D101" s="933"/>
      <c r="E101" s="934"/>
      <c r="F101" s="935">
        <f t="shared" ref="F101:AE101" si="17">SUM(F15:F100)</f>
        <v>2064</v>
      </c>
      <c r="G101" s="934">
        <f t="shared" si="17"/>
        <v>51600000</v>
      </c>
      <c r="H101" s="934">
        <f t="shared" si="17"/>
        <v>0</v>
      </c>
      <c r="I101" s="934">
        <f t="shared" si="17"/>
        <v>0</v>
      </c>
      <c r="J101" s="934">
        <f t="shared" si="17"/>
        <v>0</v>
      </c>
      <c r="K101" s="934" t="e">
        <f t="shared" si="17"/>
        <v>#N/A</v>
      </c>
      <c r="L101" s="934">
        <f t="shared" si="17"/>
        <v>0</v>
      </c>
      <c r="M101" s="934">
        <f t="shared" si="17"/>
        <v>0</v>
      </c>
      <c r="N101" s="934" t="e">
        <f t="shared" si="17"/>
        <v>#N/A</v>
      </c>
      <c r="O101" s="934" t="e">
        <f t="shared" ref="O101" si="18">SUM(O15:O100)</f>
        <v>#N/A</v>
      </c>
      <c r="P101" s="934" t="e">
        <f t="shared" si="17"/>
        <v>#N/A</v>
      </c>
      <c r="Q101" s="934" t="e">
        <f t="shared" si="17"/>
        <v>#N/A</v>
      </c>
      <c r="R101" s="934" t="e">
        <f t="shared" si="17"/>
        <v>#N/A</v>
      </c>
      <c r="S101" s="934" t="e">
        <f t="shared" si="17"/>
        <v>#N/A</v>
      </c>
      <c r="T101" s="934" t="e">
        <f t="shared" si="17"/>
        <v>#N/A</v>
      </c>
      <c r="U101" s="934" t="e">
        <f t="shared" si="17"/>
        <v>#N/A</v>
      </c>
      <c r="V101" s="934" t="e">
        <f t="shared" si="17"/>
        <v>#N/A</v>
      </c>
      <c r="W101" s="934" t="e">
        <f t="shared" si="17"/>
        <v>#N/A</v>
      </c>
      <c r="X101" s="934" t="e">
        <f t="shared" si="17"/>
        <v>#N/A</v>
      </c>
      <c r="Y101" s="934" t="e">
        <f t="shared" si="17"/>
        <v>#N/A</v>
      </c>
      <c r="Z101" s="934" t="e">
        <f t="shared" si="17"/>
        <v>#N/A</v>
      </c>
      <c r="AA101" s="934">
        <f t="shared" si="17"/>
        <v>1720</v>
      </c>
      <c r="AB101" s="934">
        <f t="shared" si="17"/>
        <v>0</v>
      </c>
      <c r="AC101" s="934" t="e">
        <f t="shared" si="17"/>
        <v>#N/A</v>
      </c>
      <c r="AD101" s="934" t="e">
        <f t="shared" si="17"/>
        <v>#N/A</v>
      </c>
      <c r="AE101" s="934" t="e">
        <f t="shared" si="17"/>
        <v>#N/A</v>
      </c>
      <c r="AF101" s="937" t="e">
        <f>+'LƯƠNG KT'!#REF!</f>
        <v>#REF!</v>
      </c>
      <c r="AG101" s="938" t="e">
        <f>+AF101-AE101</f>
        <v>#REF!</v>
      </c>
      <c r="AH101" s="540" t="s">
        <v>2751</v>
      </c>
      <c r="AI101" s="637"/>
    </row>
    <row r="102" spans="1:38" s="541" customFormat="1" ht="21" customHeight="1">
      <c r="A102" s="2658" t="s">
        <v>2752</v>
      </c>
      <c r="B102" s="2658"/>
      <c r="C102" s="2658"/>
      <c r="D102" s="2658"/>
      <c r="E102" s="2658"/>
      <c r="F102" s="2658"/>
      <c r="G102" s="2658"/>
      <c r="H102" s="2658"/>
      <c r="I102" s="2658"/>
      <c r="J102" s="2658"/>
      <c r="K102" s="2658"/>
      <c r="L102" s="2658"/>
      <c r="M102" s="2658"/>
      <c r="N102" s="2658"/>
      <c r="O102" s="2658"/>
      <c r="P102" s="2658"/>
      <c r="Q102" s="2658"/>
      <c r="R102" s="2658"/>
      <c r="S102" s="2658"/>
      <c r="T102" s="2658"/>
      <c r="U102" s="2658"/>
      <c r="V102" s="2658"/>
      <c r="W102" s="2658"/>
      <c r="X102" s="2658"/>
      <c r="Y102" s="2658"/>
      <c r="Z102" s="2658"/>
      <c r="AA102" s="2658"/>
      <c r="AB102" s="2658"/>
      <c r="AC102" s="2658"/>
      <c r="AD102" s="2658"/>
      <c r="AE102" s="2658"/>
      <c r="AF102" s="630"/>
      <c r="AG102" s="631"/>
      <c r="AH102" s="629" t="e">
        <f>+#REF!+'LƯƠNG BV9THUC'!J13</f>
        <v>#REF!</v>
      </c>
      <c r="AI102" s="638" t="e">
        <f>+#REF!-#REF!</f>
        <v>#REF!</v>
      </c>
      <c r="AJ102" s="612"/>
      <c r="AK102" s="612"/>
    </row>
    <row r="103" spans="1:38" s="600" customFormat="1" ht="24" customHeight="1">
      <c r="A103" s="899"/>
      <c r="B103" s="899"/>
      <c r="C103" s="900"/>
      <c r="F103" s="901"/>
      <c r="G103" s="902"/>
      <c r="H103" s="902"/>
      <c r="I103" s="902"/>
      <c r="J103" s="902"/>
      <c r="K103" s="902"/>
      <c r="L103" s="903"/>
      <c r="M103" s="903"/>
      <c r="N103" s="903"/>
      <c r="O103" s="903"/>
      <c r="P103" s="904"/>
      <c r="Q103" s="902"/>
      <c r="R103" s="906"/>
      <c r="S103" s="907"/>
      <c r="T103" s="907"/>
      <c r="U103" s="907"/>
      <c r="V103" s="907"/>
      <c r="W103" s="907"/>
      <c r="X103" s="907"/>
      <c r="Y103" s="907"/>
      <c r="Z103" s="907"/>
      <c r="AA103" s="907"/>
      <c r="AB103" s="907"/>
      <c r="AC103" s="2659" t="s">
        <v>2753</v>
      </c>
      <c r="AD103" s="2659"/>
      <c r="AE103" s="2659"/>
      <c r="AF103" s="632" t="e">
        <f>+AE101-#REF!</f>
        <v>#N/A</v>
      </c>
      <c r="AG103" s="632"/>
      <c r="AH103" s="633" t="e">
        <f>+AH102-'BẢNG PHÂN TOÁN'!#REF!</f>
        <v>#REF!</v>
      </c>
      <c r="AI103" s="639" t="e">
        <f>SUM(#REF!)</f>
        <v>#REF!</v>
      </c>
    </row>
    <row r="104" spans="1:38" s="157" customFormat="1" ht="15.95" customHeight="1">
      <c r="C104" s="2335" t="s">
        <v>1921</v>
      </c>
      <c r="D104" s="2335"/>
      <c r="E104" s="2335"/>
      <c r="F104" s="2335"/>
      <c r="G104" s="2335" t="s">
        <v>616</v>
      </c>
      <c r="H104" s="2335"/>
      <c r="I104" s="2335"/>
      <c r="J104" s="2335"/>
      <c r="K104" s="2335"/>
      <c r="L104" s="2335"/>
      <c r="M104" s="2335"/>
      <c r="N104" s="2335"/>
      <c r="O104" s="2335"/>
      <c r="P104" s="2335"/>
      <c r="Q104" s="2335" t="s">
        <v>2391</v>
      </c>
      <c r="R104" s="2335"/>
      <c r="S104" s="2335"/>
      <c r="T104" s="2335"/>
      <c r="U104" s="2335"/>
      <c r="V104" s="2335"/>
      <c r="W104" s="2335"/>
      <c r="X104" s="2335"/>
      <c r="Y104" s="2335"/>
      <c r="Z104" s="2335"/>
      <c r="AA104" s="2335"/>
      <c r="AB104" s="2335"/>
      <c r="AC104" s="2335"/>
      <c r="AD104" s="2335" t="s">
        <v>612</v>
      </c>
      <c r="AE104" s="2335"/>
      <c r="AH104" s="926" t="e">
        <f>+#REF!+#REF!+#REF!+#REF!+#REF!+#REF!</f>
        <v>#REF!</v>
      </c>
      <c r="AI104" s="635" t="e">
        <f>+AI103+#REF!</f>
        <v>#REF!</v>
      </c>
      <c r="AJ104" s="158"/>
      <c r="AK104" s="158"/>
      <c r="AL104" s="200"/>
    </row>
    <row r="105" spans="1:38" s="158" customFormat="1" ht="15">
      <c r="D105" s="611"/>
      <c r="E105" s="620"/>
      <c r="F105" s="611"/>
      <c r="G105" s="613"/>
      <c r="H105" s="613"/>
      <c r="I105" s="613"/>
      <c r="J105" s="613"/>
      <c r="K105" s="726"/>
      <c r="L105" s="734"/>
      <c r="M105" s="734"/>
      <c r="N105" s="734"/>
      <c r="O105" s="734"/>
      <c r="P105" s="201"/>
      <c r="Q105" s="201"/>
      <c r="R105" s="201"/>
      <c r="AC105" s="745"/>
      <c r="AD105" s="200"/>
      <c r="AG105" s="620"/>
      <c r="AH105" s="620"/>
      <c r="AI105" s="620" t="e">
        <f>+AI104-#REF!</f>
        <v>#REF!</v>
      </c>
      <c r="AL105" s="200"/>
    </row>
    <row r="106" spans="1:38" s="158" customFormat="1" ht="15">
      <c r="D106" s="611"/>
      <c r="E106" s="620"/>
      <c r="F106" s="614"/>
      <c r="G106" s="613"/>
      <c r="H106" s="613"/>
      <c r="I106" s="613"/>
      <c r="J106" s="613"/>
      <c r="K106" s="726"/>
      <c r="L106" s="734"/>
      <c r="M106" s="734"/>
      <c r="N106" s="734"/>
      <c r="O106" s="734"/>
      <c r="P106" s="201"/>
      <c r="Q106" s="201"/>
      <c r="R106" s="201"/>
      <c r="AC106" s="745"/>
      <c r="AD106" s="200"/>
      <c r="AF106" s="200" t="e">
        <f>+AE101-#REF!</f>
        <v>#N/A</v>
      </c>
      <c r="AG106" s="620"/>
      <c r="AH106" s="620"/>
      <c r="AL106" s="200"/>
    </row>
    <row r="107" spans="1:38" s="158" customFormat="1" ht="53.25" customHeight="1">
      <c r="D107" s="200"/>
      <c r="E107" s="200"/>
      <c r="F107" s="615"/>
      <c r="G107" s="613"/>
      <c r="H107" s="613"/>
      <c r="I107" s="613"/>
      <c r="J107" s="613"/>
      <c r="K107" s="2654"/>
      <c r="L107" s="2654"/>
      <c r="M107" s="2654"/>
      <c r="N107" s="2654"/>
      <c r="O107" s="905"/>
      <c r="P107" s="2655"/>
      <c r="Q107" s="2655"/>
      <c r="S107" s="748"/>
      <c r="T107" s="748"/>
      <c r="U107" s="748"/>
      <c r="V107" s="748"/>
      <c r="W107" s="748"/>
      <c r="X107" s="748"/>
      <c r="Y107" s="748"/>
      <c r="Z107" s="748"/>
      <c r="AA107" s="748"/>
      <c r="AB107" s="748"/>
      <c r="AC107" s="745"/>
      <c r="AD107" s="2656"/>
      <c r="AE107" s="2656"/>
      <c r="AG107" s="620"/>
      <c r="AH107" s="635"/>
      <c r="AI107" s="604"/>
    </row>
    <row r="108" spans="1:38" s="158" customFormat="1">
      <c r="D108" s="616"/>
      <c r="E108" s="172"/>
      <c r="F108" s="615"/>
      <c r="G108" s="200"/>
      <c r="H108" s="200"/>
      <c r="I108" s="200"/>
      <c r="J108" s="200"/>
      <c r="K108" s="2656"/>
      <c r="L108" s="2656"/>
      <c r="M108" s="634"/>
      <c r="N108" s="734"/>
      <c r="O108" s="734"/>
      <c r="P108" s="2657"/>
      <c r="Q108" s="2657"/>
      <c r="R108" s="2657"/>
      <c r="S108" s="908"/>
      <c r="T108" s="908"/>
      <c r="U108" s="908"/>
      <c r="V108" s="908"/>
      <c r="W108" s="908"/>
      <c r="X108" s="908"/>
      <c r="Y108" s="908"/>
      <c r="Z108" s="908"/>
      <c r="AA108" s="908"/>
      <c r="AB108" s="908"/>
      <c r="AC108" s="2656"/>
      <c r="AD108" s="2656"/>
      <c r="AG108" s="620"/>
      <c r="AI108" s="604"/>
    </row>
    <row r="109" spans="1:38" s="158" customFormat="1">
      <c r="C109" s="2335" t="s">
        <v>1924</v>
      </c>
      <c r="D109" s="2335"/>
      <c r="E109" s="2335"/>
      <c r="F109" s="2335"/>
      <c r="G109" s="2649" t="s">
        <v>2754</v>
      </c>
      <c r="H109" s="2649"/>
      <c r="I109" s="2649"/>
      <c r="J109" s="2649"/>
      <c r="K109" s="2649"/>
      <c r="L109" s="2649"/>
      <c r="M109" s="2649"/>
      <c r="N109" s="2649"/>
      <c r="O109" s="2649"/>
      <c r="P109" s="2649"/>
      <c r="Q109" s="201"/>
      <c r="R109" s="201"/>
      <c r="S109" s="747"/>
      <c r="T109" s="747"/>
      <c r="U109" s="747"/>
      <c r="V109" s="747"/>
      <c r="W109" s="747"/>
      <c r="X109" s="747"/>
      <c r="Y109" s="747"/>
      <c r="Z109" s="747"/>
      <c r="AA109" s="747"/>
      <c r="AB109" s="747"/>
      <c r="AC109" s="745"/>
      <c r="AD109" s="2650" t="s">
        <v>613</v>
      </c>
      <c r="AE109" s="2650"/>
      <c r="AG109" s="620"/>
      <c r="AH109" s="200"/>
      <c r="AI109" s="604"/>
    </row>
    <row r="110" spans="1:38" s="158" customFormat="1" ht="14.25" customHeight="1">
      <c r="C110" s="617"/>
      <c r="D110" s="617"/>
      <c r="E110" s="617"/>
      <c r="F110" s="2651"/>
      <c r="G110" s="2651"/>
      <c r="H110" s="2651"/>
      <c r="I110" s="2651"/>
      <c r="J110" s="2651"/>
      <c r="K110" s="2651"/>
      <c r="L110" s="2652"/>
      <c r="M110" s="2652"/>
      <c r="N110" s="2652"/>
      <c r="O110" s="749"/>
      <c r="P110" s="2653"/>
      <c r="Q110" s="2653"/>
      <c r="R110" s="201"/>
      <c r="AC110" s="745"/>
      <c r="AD110" s="200"/>
      <c r="AE110" s="172"/>
      <c r="AG110" s="620"/>
      <c r="AI110" s="604"/>
    </row>
    <row r="111" spans="1:38" s="158" customFormat="1">
      <c r="C111" s="618"/>
      <c r="E111" s="200"/>
      <c r="F111" s="2647"/>
      <c r="G111" s="2647"/>
      <c r="H111" s="2647"/>
      <c r="I111" s="2647"/>
      <c r="J111" s="2647"/>
      <c r="K111" s="2647"/>
      <c r="L111" s="750"/>
      <c r="M111" s="750"/>
      <c r="N111" s="2648"/>
      <c r="O111" s="2648"/>
      <c r="P111" s="2648"/>
      <c r="Q111" s="2646"/>
      <c r="R111" s="2646"/>
      <c r="S111" s="201"/>
      <c r="T111" s="201"/>
      <c r="U111" s="201"/>
      <c r="V111" s="201"/>
      <c r="W111" s="201"/>
      <c r="X111" s="201"/>
      <c r="Y111" s="201"/>
      <c r="Z111" s="201"/>
      <c r="AA111" s="201"/>
      <c r="AB111" s="201"/>
      <c r="AC111" s="745"/>
      <c r="AD111" s="200"/>
      <c r="AE111" s="734"/>
      <c r="AG111" s="620"/>
      <c r="AI111" s="604"/>
    </row>
    <row r="112" spans="1:38" s="158" customFormat="1">
      <c r="E112" s="200"/>
      <c r="F112" s="619"/>
      <c r="G112" s="2645"/>
      <c r="H112" s="2645"/>
      <c r="I112" s="2645"/>
      <c r="J112" s="2645"/>
      <c r="K112" s="2645"/>
      <c r="L112" s="750"/>
      <c r="M112" s="750"/>
      <c r="N112" s="750"/>
      <c r="O112" s="750"/>
      <c r="P112" s="201"/>
      <c r="Q112" s="2646"/>
      <c r="R112" s="2646"/>
      <c r="AC112" s="745"/>
      <c r="AD112" s="200"/>
      <c r="AG112" s="620"/>
      <c r="AH112" s="618" t="e">
        <f>+#REF!+#REF!+#REF!+#REF!+#REF!+#REF!</f>
        <v>#REF!</v>
      </c>
      <c r="AI112" s="604"/>
    </row>
    <row r="113" spans="3:35" s="158" customFormat="1">
      <c r="C113" s="200"/>
      <c r="E113" s="200"/>
      <c r="F113" s="619"/>
      <c r="G113" s="2645"/>
      <c r="H113" s="2645"/>
      <c r="I113" s="2645"/>
      <c r="J113" s="2645"/>
      <c r="K113" s="2645"/>
      <c r="L113" s="750"/>
      <c r="M113" s="750"/>
      <c r="N113" s="750"/>
      <c r="O113" s="750"/>
      <c r="P113" s="201"/>
      <c r="Q113" s="2646"/>
      <c r="R113" s="2646"/>
      <c r="S113" s="618"/>
      <c r="T113" s="618"/>
      <c r="U113" s="618"/>
      <c r="V113" s="618"/>
      <c r="W113" s="618"/>
      <c r="X113" s="618"/>
      <c r="Y113" s="618"/>
      <c r="Z113" s="618"/>
      <c r="AA113" s="618"/>
      <c r="AB113" s="618"/>
      <c r="AC113" s="745"/>
      <c r="AD113" s="200"/>
      <c r="AG113" s="620"/>
      <c r="AI113" s="604"/>
    </row>
    <row r="114" spans="3:35" s="158" customFormat="1">
      <c r="E114" s="200"/>
      <c r="F114" s="619"/>
      <c r="G114" s="2645"/>
      <c r="H114" s="2645"/>
      <c r="I114" s="2645"/>
      <c r="J114" s="2645"/>
      <c r="K114" s="2645"/>
      <c r="L114" s="750"/>
      <c r="M114" s="750"/>
      <c r="N114" s="750"/>
      <c r="O114" s="750"/>
      <c r="P114" s="201"/>
      <c r="Q114" s="2646"/>
      <c r="R114" s="2646"/>
      <c r="S114" s="200"/>
      <c r="T114" s="200"/>
      <c r="U114" s="200"/>
      <c r="V114" s="200"/>
      <c r="W114" s="200"/>
      <c r="X114" s="200"/>
      <c r="Y114" s="200"/>
      <c r="Z114" s="200"/>
      <c r="AA114" s="200"/>
      <c r="AB114" s="200"/>
      <c r="AC114" s="745"/>
      <c r="AD114" s="200"/>
      <c r="AG114" s="620"/>
      <c r="AI114" s="604"/>
    </row>
    <row r="115" spans="3:35" s="158" customFormat="1">
      <c r="E115" s="200"/>
      <c r="F115" s="619"/>
      <c r="G115" s="2645"/>
      <c r="H115" s="2645"/>
      <c r="I115" s="2645"/>
      <c r="J115" s="2645"/>
      <c r="K115" s="2645"/>
      <c r="L115" s="750"/>
      <c r="M115" s="750"/>
      <c r="N115" s="750"/>
      <c r="O115" s="750"/>
      <c r="P115" s="201"/>
      <c r="Q115" s="2646"/>
      <c r="R115" s="2646"/>
      <c r="S115" s="200"/>
      <c r="T115" s="200"/>
      <c r="U115" s="200"/>
      <c r="V115" s="200"/>
      <c r="W115" s="200"/>
      <c r="X115" s="200"/>
      <c r="Y115" s="200"/>
      <c r="Z115" s="200"/>
      <c r="AA115" s="200"/>
      <c r="AB115" s="200"/>
      <c r="AC115" s="745"/>
      <c r="AD115" s="200"/>
      <c r="AG115" s="620"/>
      <c r="AI115" s="604"/>
    </row>
    <row r="116" spans="3:35" s="158" customFormat="1">
      <c r="E116" s="200"/>
      <c r="F116" s="619"/>
      <c r="G116" s="613"/>
      <c r="H116" s="613"/>
      <c r="I116" s="613"/>
      <c r="J116" s="613"/>
      <c r="K116" s="746"/>
      <c r="L116" s="752"/>
      <c r="M116" s="752"/>
      <c r="N116" s="752"/>
      <c r="O116" s="752"/>
      <c r="P116" s="201"/>
      <c r="Q116" s="201"/>
      <c r="R116" s="201"/>
      <c r="AC116" s="745"/>
      <c r="AD116" s="200"/>
      <c r="AG116" s="620"/>
      <c r="AI116" s="604"/>
    </row>
    <row r="117" spans="3:35" s="158" customFormat="1">
      <c r="C117" s="620"/>
      <c r="E117" s="200"/>
      <c r="F117" s="619"/>
      <c r="G117" s="613"/>
      <c r="H117" s="613"/>
      <c r="I117" s="613"/>
      <c r="J117" s="613"/>
      <c r="K117" s="726"/>
      <c r="L117" s="734"/>
      <c r="M117" s="734"/>
      <c r="N117" s="734"/>
      <c r="O117" s="734"/>
      <c r="P117" s="201"/>
      <c r="Q117" s="201"/>
      <c r="R117" s="201"/>
      <c r="AC117" s="745"/>
      <c r="AD117" s="200"/>
      <c r="AG117" s="620"/>
      <c r="AI117" s="604"/>
    </row>
    <row r="118" spans="3:35" s="158" customFormat="1">
      <c r="E118" s="200"/>
      <c r="F118" s="621"/>
      <c r="G118" s="613"/>
      <c r="H118" s="613"/>
      <c r="I118" s="613"/>
      <c r="J118" s="613"/>
      <c r="K118" s="726"/>
      <c r="L118" s="734"/>
      <c r="M118" s="734"/>
      <c r="N118" s="734"/>
      <c r="O118" s="734"/>
      <c r="P118" s="201"/>
      <c r="Q118" s="201"/>
      <c r="R118" s="201"/>
      <c r="S118" s="746"/>
      <c r="T118" s="746"/>
      <c r="U118" s="746"/>
      <c r="V118" s="746"/>
      <c r="W118" s="746"/>
      <c r="X118" s="746"/>
      <c r="Y118" s="746"/>
      <c r="Z118" s="746"/>
      <c r="AA118" s="746"/>
      <c r="AB118" s="746"/>
      <c r="AC118" s="745"/>
      <c r="AD118" s="200"/>
      <c r="AG118" s="620"/>
      <c r="AI118" s="604"/>
    </row>
    <row r="119" spans="3:35" s="158" customFormat="1">
      <c r="E119" s="200"/>
      <c r="F119" s="621"/>
      <c r="G119" s="613"/>
      <c r="H119" s="613"/>
      <c r="I119" s="613"/>
      <c r="J119" s="613"/>
      <c r="K119" s="726"/>
      <c r="L119" s="734"/>
      <c r="M119" s="734"/>
      <c r="N119" s="734"/>
      <c r="O119" s="734"/>
      <c r="P119" s="201"/>
      <c r="Q119" s="201"/>
      <c r="R119" s="201"/>
      <c r="S119" s="909"/>
      <c r="T119" s="909"/>
      <c r="U119" s="909"/>
      <c r="V119" s="909"/>
      <c r="W119" s="909"/>
      <c r="X119" s="909"/>
      <c r="Y119" s="909"/>
      <c r="Z119" s="909"/>
      <c r="AA119" s="909"/>
      <c r="AB119" s="909"/>
      <c r="AC119" s="745"/>
      <c r="AD119" s="200"/>
      <c r="AG119" s="620"/>
      <c r="AI119" s="604"/>
    </row>
    <row r="120" spans="3:35" s="158" customFormat="1">
      <c r="E120" s="200"/>
      <c r="F120" s="621"/>
      <c r="G120" s="613"/>
      <c r="H120" s="613"/>
      <c r="I120" s="613"/>
      <c r="J120" s="613"/>
      <c r="K120" s="726"/>
      <c r="L120" s="734"/>
      <c r="M120" s="734"/>
      <c r="N120" s="734"/>
      <c r="O120" s="734"/>
      <c r="P120" s="201"/>
      <c r="Q120" s="201"/>
      <c r="R120" s="201"/>
      <c r="AC120" s="745"/>
      <c r="AD120" s="200"/>
      <c r="AG120" s="620"/>
      <c r="AI120" s="604"/>
    </row>
    <row r="121" spans="3:35" s="158" customFormat="1">
      <c r="E121" s="200"/>
      <c r="F121" s="621"/>
      <c r="G121" s="613"/>
      <c r="H121" s="613"/>
      <c r="I121" s="613"/>
      <c r="J121" s="613"/>
      <c r="K121" s="726"/>
      <c r="L121" s="734"/>
      <c r="M121" s="734"/>
      <c r="N121" s="734"/>
      <c r="O121" s="734"/>
      <c r="P121" s="201"/>
      <c r="Q121" s="201"/>
      <c r="R121" s="201"/>
      <c r="AC121" s="745"/>
      <c r="AD121" s="200"/>
      <c r="AG121" s="620"/>
      <c r="AI121" s="604"/>
    </row>
    <row r="122" spans="3:35" s="158" customFormat="1">
      <c r="E122" s="200"/>
      <c r="F122" s="621"/>
      <c r="G122" s="613"/>
      <c r="H122" s="613"/>
      <c r="I122" s="613"/>
      <c r="J122" s="613"/>
      <c r="K122" s="726"/>
      <c r="L122" s="734"/>
      <c r="M122" s="734"/>
      <c r="N122" s="734"/>
      <c r="O122" s="734"/>
      <c r="P122" s="201"/>
      <c r="Q122" s="201"/>
      <c r="R122" s="201"/>
      <c r="AC122" s="745"/>
      <c r="AD122" s="200"/>
      <c r="AG122" s="620"/>
      <c r="AI122" s="604"/>
    </row>
    <row r="123" spans="3:35" s="158" customFormat="1">
      <c r="E123" s="200"/>
      <c r="F123" s="621"/>
      <c r="G123" s="613"/>
      <c r="H123" s="613"/>
      <c r="I123" s="613"/>
      <c r="J123" s="613"/>
      <c r="K123" s="726"/>
      <c r="L123" s="734"/>
      <c r="M123" s="734"/>
      <c r="N123" s="734"/>
      <c r="O123" s="734"/>
      <c r="P123" s="201"/>
      <c r="Q123" s="201"/>
      <c r="R123" s="201"/>
      <c r="AC123" s="745"/>
      <c r="AD123" s="200"/>
      <c r="AG123" s="620"/>
      <c r="AI123" s="604"/>
    </row>
    <row r="124" spans="3:35" s="158" customFormat="1">
      <c r="E124" s="200"/>
      <c r="F124" s="621"/>
      <c r="G124" s="613"/>
      <c r="H124" s="613"/>
      <c r="I124" s="613"/>
      <c r="J124" s="613"/>
      <c r="K124" s="726"/>
      <c r="L124" s="734"/>
      <c r="M124" s="734"/>
      <c r="N124" s="734"/>
      <c r="O124" s="734"/>
      <c r="P124" s="201"/>
      <c r="Q124" s="201"/>
      <c r="R124" s="201"/>
      <c r="AC124" s="745"/>
      <c r="AD124" s="200"/>
      <c r="AG124" s="620"/>
      <c r="AI124" s="604"/>
    </row>
    <row r="125" spans="3:35" s="158" customFormat="1">
      <c r="E125" s="200"/>
      <c r="F125" s="621"/>
      <c r="G125" s="613"/>
      <c r="H125" s="613"/>
      <c r="I125" s="613"/>
      <c r="J125" s="613"/>
      <c r="K125" s="726"/>
      <c r="L125" s="734"/>
      <c r="M125" s="734"/>
      <c r="N125" s="734"/>
      <c r="O125" s="734"/>
      <c r="P125" s="201"/>
      <c r="Q125" s="201"/>
      <c r="R125" s="201"/>
      <c r="AC125" s="745"/>
      <c r="AD125" s="200"/>
      <c r="AG125" s="620"/>
      <c r="AI125" s="604"/>
    </row>
    <row r="126" spans="3:35" s="158" customFormat="1">
      <c r="E126" s="200"/>
      <c r="F126" s="621"/>
      <c r="G126" s="613"/>
      <c r="H126" s="613"/>
      <c r="I126" s="613"/>
      <c r="J126" s="613"/>
      <c r="K126" s="726"/>
      <c r="L126" s="734"/>
      <c r="M126" s="734"/>
      <c r="N126" s="734"/>
      <c r="O126" s="734"/>
      <c r="P126" s="201"/>
      <c r="Q126" s="201"/>
      <c r="R126" s="201"/>
      <c r="AC126" s="745"/>
      <c r="AD126" s="200"/>
      <c r="AG126" s="620"/>
      <c r="AI126" s="604"/>
    </row>
    <row r="127" spans="3:35" s="158" customFormat="1">
      <c r="E127" s="200"/>
      <c r="F127" s="621"/>
      <c r="G127" s="613"/>
      <c r="H127" s="613"/>
      <c r="I127" s="613"/>
      <c r="J127" s="613"/>
      <c r="K127" s="726"/>
      <c r="L127" s="734"/>
      <c r="M127" s="734"/>
      <c r="N127" s="734"/>
      <c r="O127" s="734"/>
      <c r="P127" s="201"/>
      <c r="Q127" s="201"/>
      <c r="R127" s="201"/>
      <c r="AC127" s="745"/>
      <c r="AD127" s="200"/>
      <c r="AG127" s="620"/>
      <c r="AI127" s="604"/>
    </row>
    <row r="128" spans="3:35" s="158" customFormat="1">
      <c r="E128" s="200"/>
      <c r="F128" s="621"/>
      <c r="G128" s="613"/>
      <c r="H128" s="613"/>
      <c r="I128" s="613"/>
      <c r="J128" s="613"/>
      <c r="K128" s="726"/>
      <c r="L128" s="734"/>
      <c r="M128" s="734"/>
      <c r="N128" s="734"/>
      <c r="O128" s="734"/>
      <c r="P128" s="201"/>
      <c r="Q128" s="201"/>
      <c r="R128" s="201"/>
      <c r="AC128" s="745"/>
      <c r="AD128" s="200"/>
      <c r="AG128" s="620"/>
      <c r="AI128" s="604"/>
    </row>
    <row r="129" spans="5:35" s="158" customFormat="1">
      <c r="E129" s="200"/>
      <c r="F129" s="621"/>
      <c r="G129" s="613"/>
      <c r="H129" s="613"/>
      <c r="I129" s="613"/>
      <c r="J129" s="613"/>
      <c r="K129" s="726"/>
      <c r="L129" s="734"/>
      <c r="M129" s="734"/>
      <c r="N129" s="734"/>
      <c r="O129" s="734"/>
      <c r="P129" s="201"/>
      <c r="Q129" s="201"/>
      <c r="R129" s="201"/>
      <c r="AC129" s="745"/>
      <c r="AD129" s="200"/>
      <c r="AG129" s="620"/>
      <c r="AI129" s="604"/>
    </row>
    <row r="130" spans="5:35" s="158" customFormat="1">
      <c r="E130" s="200"/>
      <c r="F130" s="621"/>
      <c r="G130" s="613"/>
      <c r="H130" s="613"/>
      <c r="I130" s="613"/>
      <c r="J130" s="613"/>
      <c r="K130" s="726"/>
      <c r="L130" s="734"/>
      <c r="M130" s="734"/>
      <c r="N130" s="734"/>
      <c r="O130" s="734"/>
      <c r="P130" s="201"/>
      <c r="Q130" s="201"/>
      <c r="R130" s="201"/>
      <c r="AC130" s="745"/>
      <c r="AD130" s="200"/>
      <c r="AG130" s="620"/>
      <c r="AI130" s="604"/>
    </row>
    <row r="131" spans="5:35" s="158" customFormat="1">
      <c r="E131" s="200"/>
      <c r="F131" s="621"/>
      <c r="G131" s="613"/>
      <c r="H131" s="613"/>
      <c r="I131" s="613"/>
      <c r="J131" s="613"/>
      <c r="K131" s="726"/>
      <c r="L131" s="734"/>
      <c r="M131" s="734"/>
      <c r="N131" s="734"/>
      <c r="O131" s="734"/>
      <c r="P131" s="201"/>
      <c r="Q131" s="201"/>
      <c r="R131" s="201"/>
      <c r="AC131" s="745"/>
      <c r="AD131" s="200"/>
      <c r="AG131" s="620"/>
      <c r="AI131" s="604"/>
    </row>
    <row r="132" spans="5:35" s="158" customFormat="1">
      <c r="E132" s="200"/>
      <c r="F132" s="621"/>
      <c r="G132" s="613"/>
      <c r="H132" s="613"/>
      <c r="I132" s="613"/>
      <c r="J132" s="613"/>
      <c r="K132" s="726"/>
      <c r="L132" s="734"/>
      <c r="M132" s="734"/>
      <c r="N132" s="734"/>
      <c r="O132" s="734"/>
      <c r="P132" s="201"/>
      <c r="Q132" s="201"/>
      <c r="R132" s="201"/>
      <c r="AC132" s="745"/>
      <c r="AD132" s="200"/>
      <c r="AG132" s="620"/>
      <c r="AI132" s="604"/>
    </row>
    <row r="133" spans="5:35" s="158" customFormat="1">
      <c r="E133" s="200"/>
      <c r="F133" s="621"/>
      <c r="G133" s="613"/>
      <c r="H133" s="613"/>
      <c r="I133" s="613"/>
      <c r="J133" s="613"/>
      <c r="K133" s="726"/>
      <c r="L133" s="734"/>
      <c r="M133" s="734"/>
      <c r="N133" s="734"/>
      <c r="O133" s="734"/>
      <c r="P133" s="201"/>
      <c r="Q133" s="201"/>
      <c r="R133" s="201"/>
      <c r="AC133" s="745"/>
      <c r="AD133" s="200"/>
      <c r="AG133" s="620"/>
      <c r="AI133" s="604"/>
    </row>
    <row r="134" spans="5:35" s="158" customFormat="1">
      <c r="E134" s="200"/>
      <c r="F134" s="621"/>
      <c r="G134" s="613"/>
      <c r="H134" s="613"/>
      <c r="I134" s="613"/>
      <c r="J134" s="613"/>
      <c r="K134" s="726"/>
      <c r="L134" s="734"/>
      <c r="M134" s="734"/>
      <c r="N134" s="734"/>
      <c r="O134" s="734"/>
      <c r="P134" s="201"/>
      <c r="Q134" s="201"/>
      <c r="R134" s="201"/>
      <c r="AC134" s="745"/>
      <c r="AD134" s="200"/>
      <c r="AG134" s="620"/>
      <c r="AI134" s="604"/>
    </row>
    <row r="135" spans="5:35" s="158" customFormat="1">
      <c r="E135" s="200"/>
      <c r="F135" s="621"/>
      <c r="G135" s="613"/>
      <c r="H135" s="613"/>
      <c r="I135" s="613"/>
      <c r="J135" s="613"/>
      <c r="K135" s="726"/>
      <c r="L135" s="734"/>
      <c r="M135" s="734"/>
      <c r="N135" s="734"/>
      <c r="O135" s="734"/>
      <c r="P135" s="201"/>
      <c r="Q135" s="201"/>
      <c r="R135" s="201"/>
      <c r="AC135" s="745"/>
      <c r="AD135" s="200"/>
      <c r="AG135" s="620"/>
      <c r="AI135" s="604"/>
    </row>
    <row r="136" spans="5:35" s="158" customFormat="1">
      <c r="E136" s="200"/>
      <c r="F136" s="621"/>
      <c r="G136" s="613"/>
      <c r="H136" s="613"/>
      <c r="I136" s="613"/>
      <c r="J136" s="613"/>
      <c r="K136" s="726"/>
      <c r="L136" s="734"/>
      <c r="M136" s="734"/>
      <c r="N136" s="734"/>
      <c r="O136" s="734"/>
      <c r="P136" s="201"/>
      <c r="Q136" s="201"/>
      <c r="R136" s="201"/>
      <c r="AC136" s="745"/>
      <c r="AD136" s="200"/>
      <c r="AG136" s="620"/>
      <c r="AI136" s="604"/>
    </row>
    <row r="137" spans="5:35" s="158" customFormat="1">
      <c r="E137" s="200"/>
      <c r="F137" s="621"/>
      <c r="G137" s="613"/>
      <c r="H137" s="613"/>
      <c r="I137" s="613"/>
      <c r="J137" s="613"/>
      <c r="K137" s="726"/>
      <c r="L137" s="734"/>
      <c r="M137" s="734"/>
      <c r="N137" s="734"/>
      <c r="O137" s="734"/>
      <c r="P137" s="201"/>
      <c r="Q137" s="201"/>
      <c r="R137" s="201"/>
      <c r="AC137" s="745"/>
      <c r="AD137" s="200"/>
      <c r="AG137" s="620"/>
      <c r="AI137" s="604"/>
    </row>
    <row r="138" spans="5:35" s="158" customFormat="1">
      <c r="E138" s="200"/>
      <c r="F138" s="621"/>
      <c r="G138" s="613"/>
      <c r="H138" s="613"/>
      <c r="I138" s="613"/>
      <c r="J138" s="613"/>
      <c r="K138" s="726"/>
      <c r="L138" s="734"/>
      <c r="M138" s="734"/>
      <c r="N138" s="734"/>
      <c r="O138" s="734"/>
      <c r="P138" s="201"/>
      <c r="Q138" s="201"/>
      <c r="R138" s="201"/>
      <c r="AC138" s="745"/>
      <c r="AD138" s="200"/>
      <c r="AG138" s="620"/>
      <c r="AI138" s="604"/>
    </row>
    <row r="139" spans="5:35" s="158" customFormat="1">
      <c r="E139" s="200"/>
      <c r="F139" s="621"/>
      <c r="G139" s="613"/>
      <c r="H139" s="613"/>
      <c r="I139" s="613"/>
      <c r="J139" s="613"/>
      <c r="K139" s="726"/>
      <c r="L139" s="734"/>
      <c r="M139" s="734"/>
      <c r="N139" s="734"/>
      <c r="O139" s="734"/>
      <c r="P139" s="201"/>
      <c r="Q139" s="201"/>
      <c r="R139" s="201"/>
      <c r="AC139" s="745"/>
      <c r="AD139" s="200"/>
      <c r="AG139" s="620"/>
      <c r="AI139" s="604"/>
    </row>
    <row r="140" spans="5:35" s="158" customFormat="1">
      <c r="E140" s="200"/>
      <c r="F140" s="621"/>
      <c r="G140" s="613"/>
      <c r="H140" s="613"/>
      <c r="I140" s="613"/>
      <c r="J140" s="613"/>
      <c r="K140" s="726"/>
      <c r="L140" s="734"/>
      <c r="M140" s="734"/>
      <c r="N140" s="734"/>
      <c r="O140" s="734"/>
      <c r="P140" s="201"/>
      <c r="Q140" s="201"/>
      <c r="R140" s="201"/>
      <c r="AC140" s="745"/>
      <c r="AD140" s="200"/>
      <c r="AG140" s="620"/>
      <c r="AI140" s="604"/>
    </row>
    <row r="141" spans="5:35" s="158" customFormat="1">
      <c r="E141" s="200"/>
      <c r="F141" s="621"/>
      <c r="G141" s="613"/>
      <c r="H141" s="613"/>
      <c r="I141" s="613"/>
      <c r="J141" s="613"/>
      <c r="K141" s="726"/>
      <c r="L141" s="734"/>
      <c r="M141" s="734"/>
      <c r="N141" s="734"/>
      <c r="O141" s="734"/>
      <c r="P141" s="201"/>
      <c r="Q141" s="201"/>
      <c r="R141" s="201"/>
      <c r="AC141" s="745"/>
      <c r="AD141" s="200"/>
      <c r="AG141" s="620"/>
      <c r="AI141" s="604"/>
    </row>
    <row r="142" spans="5:35" s="158" customFormat="1">
      <c r="E142" s="200"/>
      <c r="F142" s="621"/>
      <c r="G142" s="613"/>
      <c r="H142" s="613"/>
      <c r="I142" s="613"/>
      <c r="J142" s="613"/>
      <c r="K142" s="726"/>
      <c r="L142" s="734"/>
      <c r="M142" s="734"/>
      <c r="N142" s="734"/>
      <c r="O142" s="734"/>
      <c r="P142" s="201"/>
      <c r="Q142" s="201"/>
      <c r="R142" s="201"/>
      <c r="AC142" s="745"/>
      <c r="AD142" s="200"/>
      <c r="AG142" s="620"/>
      <c r="AI142" s="604"/>
    </row>
    <row r="143" spans="5:35" s="158" customFormat="1">
      <c r="E143" s="200"/>
      <c r="F143" s="621"/>
      <c r="G143" s="613"/>
      <c r="H143" s="613"/>
      <c r="I143" s="613"/>
      <c r="J143" s="613"/>
      <c r="K143" s="726"/>
      <c r="L143" s="734"/>
      <c r="M143" s="734"/>
      <c r="N143" s="734"/>
      <c r="O143" s="734"/>
      <c r="P143" s="201"/>
      <c r="Q143" s="201"/>
      <c r="R143" s="201"/>
      <c r="AC143" s="745"/>
      <c r="AD143" s="200"/>
      <c r="AG143" s="620"/>
      <c r="AI143" s="604"/>
    </row>
    <row r="144" spans="5:35" s="158" customFormat="1">
      <c r="E144" s="200"/>
      <c r="F144" s="621"/>
      <c r="G144" s="613"/>
      <c r="H144" s="613"/>
      <c r="I144" s="613"/>
      <c r="J144" s="613"/>
      <c r="K144" s="726"/>
      <c r="L144" s="734"/>
      <c r="M144" s="734"/>
      <c r="N144" s="734"/>
      <c r="O144" s="734"/>
      <c r="P144" s="201"/>
      <c r="Q144" s="201"/>
      <c r="R144" s="201"/>
      <c r="AC144" s="745"/>
      <c r="AD144" s="200"/>
      <c r="AG144" s="620"/>
      <c r="AI144" s="604"/>
    </row>
    <row r="145" spans="5:35" s="158" customFormat="1">
      <c r="E145" s="200"/>
      <c r="F145" s="621"/>
      <c r="G145" s="613"/>
      <c r="H145" s="613"/>
      <c r="I145" s="613"/>
      <c r="J145" s="613"/>
      <c r="K145" s="726"/>
      <c r="L145" s="734"/>
      <c r="M145" s="734"/>
      <c r="N145" s="734"/>
      <c r="O145" s="734"/>
      <c r="P145" s="201"/>
      <c r="Q145" s="201"/>
      <c r="R145" s="201"/>
      <c r="AC145" s="745"/>
      <c r="AD145" s="200"/>
      <c r="AG145" s="620"/>
      <c r="AI145" s="604"/>
    </row>
    <row r="146" spans="5:35" s="158" customFormat="1">
      <c r="E146" s="200"/>
      <c r="F146" s="621"/>
      <c r="G146" s="613"/>
      <c r="H146" s="613"/>
      <c r="I146" s="613"/>
      <c r="J146" s="613"/>
      <c r="K146" s="726"/>
      <c r="L146" s="734"/>
      <c r="M146" s="734"/>
      <c r="N146" s="734"/>
      <c r="O146" s="734"/>
      <c r="P146" s="201"/>
      <c r="Q146" s="201"/>
      <c r="R146" s="201"/>
      <c r="AC146" s="745"/>
      <c r="AD146" s="200"/>
      <c r="AG146" s="620"/>
      <c r="AI146" s="604"/>
    </row>
    <row r="147" spans="5:35" s="158" customFormat="1">
      <c r="E147" s="200"/>
      <c r="F147" s="621"/>
      <c r="G147" s="613"/>
      <c r="H147" s="613"/>
      <c r="I147" s="613"/>
      <c r="J147" s="613"/>
      <c r="K147" s="726"/>
      <c r="L147" s="734"/>
      <c r="M147" s="734"/>
      <c r="N147" s="734"/>
      <c r="O147" s="734"/>
      <c r="P147" s="201"/>
      <c r="Q147" s="201"/>
      <c r="R147" s="201"/>
      <c r="AC147" s="745"/>
      <c r="AD147" s="200"/>
      <c r="AG147" s="620"/>
      <c r="AI147" s="604"/>
    </row>
    <row r="148" spans="5:35" s="158" customFormat="1">
      <c r="E148" s="200"/>
      <c r="F148" s="621"/>
      <c r="G148" s="613"/>
      <c r="H148" s="613"/>
      <c r="I148" s="613"/>
      <c r="J148" s="613"/>
      <c r="K148" s="726"/>
      <c r="L148" s="734"/>
      <c r="M148" s="734"/>
      <c r="N148" s="734"/>
      <c r="O148" s="734"/>
      <c r="P148" s="201"/>
      <c r="Q148" s="201"/>
      <c r="R148" s="201"/>
      <c r="AC148" s="745"/>
      <c r="AD148" s="200"/>
      <c r="AG148" s="620"/>
      <c r="AI148" s="604"/>
    </row>
    <row r="149" spans="5:35" s="158" customFormat="1">
      <c r="E149" s="200"/>
      <c r="F149" s="621"/>
      <c r="G149" s="613"/>
      <c r="H149" s="613"/>
      <c r="I149" s="613"/>
      <c r="J149" s="613"/>
      <c r="K149" s="726"/>
      <c r="L149" s="734"/>
      <c r="M149" s="734"/>
      <c r="N149" s="734"/>
      <c r="O149" s="734"/>
      <c r="P149" s="201"/>
      <c r="Q149" s="201"/>
      <c r="R149" s="201"/>
      <c r="AC149" s="745"/>
      <c r="AD149" s="200"/>
      <c r="AG149" s="620"/>
      <c r="AI149" s="604"/>
    </row>
    <row r="150" spans="5:35" s="158" customFormat="1">
      <c r="E150" s="200"/>
      <c r="F150" s="621"/>
      <c r="G150" s="613"/>
      <c r="H150" s="613"/>
      <c r="I150" s="613"/>
      <c r="J150" s="613"/>
      <c r="K150" s="726"/>
      <c r="L150" s="734"/>
      <c r="M150" s="734"/>
      <c r="N150" s="734"/>
      <c r="O150" s="734"/>
      <c r="P150" s="201"/>
      <c r="Q150" s="201"/>
      <c r="R150" s="201"/>
      <c r="AC150" s="745"/>
      <c r="AD150" s="200"/>
      <c r="AG150" s="620"/>
      <c r="AI150" s="604"/>
    </row>
    <row r="151" spans="5:35" s="158" customFormat="1">
      <c r="E151" s="200"/>
      <c r="F151" s="621"/>
      <c r="G151" s="613"/>
      <c r="H151" s="613"/>
      <c r="I151" s="613"/>
      <c r="J151" s="613"/>
      <c r="K151" s="726"/>
      <c r="L151" s="734"/>
      <c r="M151" s="734"/>
      <c r="N151" s="734"/>
      <c r="O151" s="734"/>
      <c r="P151" s="201"/>
      <c r="Q151" s="201"/>
      <c r="R151" s="201"/>
      <c r="AC151" s="745"/>
      <c r="AD151" s="200"/>
      <c r="AG151" s="620"/>
      <c r="AI151" s="604"/>
    </row>
  </sheetData>
  <autoFilter ref="A14:AL107"/>
  <mergeCells count="48">
    <mergeCell ref="B1:AE1"/>
    <mergeCell ref="B2:AE2"/>
    <mergeCell ref="C3:AE3"/>
    <mergeCell ref="C4:K4"/>
    <mergeCell ref="C5:K5"/>
    <mergeCell ref="A7:AF7"/>
    <mergeCell ref="A8:D8"/>
    <mergeCell ref="F10:AC10"/>
    <mergeCell ref="F11:G11"/>
    <mergeCell ref="K11:Q11"/>
    <mergeCell ref="R11:AC11"/>
    <mergeCell ref="A10:A12"/>
    <mergeCell ref="B10:B12"/>
    <mergeCell ref="C10:C12"/>
    <mergeCell ref="D10:D12"/>
    <mergeCell ref="E10:E12"/>
    <mergeCell ref="AD10:AD12"/>
    <mergeCell ref="AE10:AE12"/>
    <mergeCell ref="AF10:AF12"/>
    <mergeCell ref="A102:AE102"/>
    <mergeCell ref="AC103:AE103"/>
    <mergeCell ref="C104:F104"/>
    <mergeCell ref="G104:P104"/>
    <mergeCell ref="Q104:AC104"/>
    <mergeCell ref="AD104:AE104"/>
    <mergeCell ref="K107:N107"/>
    <mergeCell ref="P107:Q107"/>
    <mergeCell ref="AD107:AE107"/>
    <mergeCell ref="K108:L108"/>
    <mergeCell ref="P108:R108"/>
    <mergeCell ref="AC108:AD108"/>
    <mergeCell ref="C109:F109"/>
    <mergeCell ref="G109:P109"/>
    <mergeCell ref="AD109:AE109"/>
    <mergeCell ref="F110:K110"/>
    <mergeCell ref="L110:N110"/>
    <mergeCell ref="P110:Q110"/>
    <mergeCell ref="F111:K111"/>
    <mergeCell ref="N111:P111"/>
    <mergeCell ref="Q111:R111"/>
    <mergeCell ref="G112:K112"/>
    <mergeCell ref="Q112:R112"/>
    <mergeCell ref="G113:K113"/>
    <mergeCell ref="Q113:R113"/>
    <mergeCell ref="G114:K114"/>
    <mergeCell ref="Q114:R114"/>
    <mergeCell ref="G115:K115"/>
    <mergeCell ref="Q115:R115"/>
  </mergeCells>
  <printOptions horizontalCentered="1"/>
  <pageMargins left="0" right="0" top="0.511811023622047" bottom="0.511811023622047" header="0.31496062992126" footer="0.31496062992126"/>
  <pageSetup paperSize="9" scale="80" orientation="landscape"/>
  <headerFooter>
    <oddFooter>&amp;R&amp;P/4</oddFooter>
  </headerFooter>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AL111"/>
  <sheetViews>
    <sheetView showZeros="0" topLeftCell="A11" zoomScale="130" zoomScaleNormal="130" workbookViewId="0">
      <selection activeCell="Q37" sqref="Q37:R37"/>
    </sheetView>
  </sheetViews>
  <sheetFormatPr defaultColWidth="18.85546875" defaultRowHeight="18.75"/>
  <cols>
    <col min="1" max="1" width="3.28515625" style="197" customWidth="1"/>
    <col min="2" max="2" width="11.28515625" style="197" hidden="1" customWidth="1"/>
    <col min="3" max="3" width="13" style="601" customWidth="1"/>
    <col min="4" max="4" width="8.140625" style="346" customWidth="1"/>
    <col min="5" max="5" width="13.5703125" style="346" customWidth="1"/>
    <col min="6" max="6" width="8.42578125" style="602" customWidth="1"/>
    <col min="7" max="7" width="11.140625" style="346" customWidth="1"/>
    <col min="8" max="10" width="10.5703125" style="346" hidden="1" customWidth="1"/>
    <col min="11" max="11" width="7" style="684" customWidth="1"/>
    <col min="12" max="12" width="8.7109375" style="685" hidden="1" customWidth="1"/>
    <col min="13" max="13" width="6.42578125" style="685" customWidth="1"/>
    <col min="14" max="14" width="9.7109375" style="685" hidden="1" customWidth="1"/>
    <col min="15" max="15" width="9.7109375" style="685" customWidth="1"/>
    <col min="16" max="16" width="7" style="686" customWidth="1"/>
    <col min="17" max="17" width="10" style="687" customWidth="1"/>
    <col min="18" max="19" width="7" style="346" customWidth="1"/>
    <col min="20" max="22" width="7" style="346" hidden="1" customWidth="1"/>
    <col min="23" max="23" width="6.28515625" style="346" hidden="1" customWidth="1"/>
    <col min="24" max="24" width="6.28515625" style="346" customWidth="1"/>
    <col min="25" max="25" width="7.140625" style="346" customWidth="1"/>
    <col min="26" max="26" width="6.28515625" style="346" customWidth="1"/>
    <col min="27" max="27" width="7" style="346" customWidth="1"/>
    <col min="28" max="28" width="7" style="346" hidden="1" customWidth="1"/>
    <col min="29" max="30" width="10.7109375" style="346" customWidth="1"/>
    <col min="31" max="31" width="11" style="346" customWidth="1"/>
    <col min="32" max="32" width="13.28515625" style="346" customWidth="1"/>
    <col min="33" max="33" width="9.5703125" style="603" customWidth="1"/>
    <col min="34" max="34" width="19.7109375" style="346" customWidth="1"/>
    <col min="35" max="35" width="14.5703125" style="604" customWidth="1"/>
    <col min="36" max="228" width="9.140625" style="346" customWidth="1"/>
    <col min="229" max="229" width="5.5703125" style="346" customWidth="1"/>
    <col min="230" max="230" width="16.140625" style="346" customWidth="1"/>
    <col min="231" max="16384" width="18.85546875" style="346"/>
  </cols>
  <sheetData>
    <row r="1" spans="1:37" s="598" customFormat="1" ht="15.75">
      <c r="B1" s="2672" t="s">
        <v>0</v>
      </c>
      <c r="C1" s="2672"/>
      <c r="D1" s="2672"/>
      <c r="E1" s="2672"/>
      <c r="F1" s="2672"/>
      <c r="G1" s="2672"/>
      <c r="H1" s="2672"/>
      <c r="I1" s="2672"/>
      <c r="J1" s="2672"/>
      <c r="K1" s="2672"/>
      <c r="L1" s="2672"/>
      <c r="M1" s="2672"/>
      <c r="N1" s="2672"/>
      <c r="O1" s="2672"/>
      <c r="P1" s="2672"/>
      <c r="Q1" s="2672"/>
      <c r="R1" s="2672"/>
      <c r="S1" s="2672"/>
      <c r="T1" s="2672"/>
      <c r="U1" s="2672"/>
      <c r="V1" s="2672"/>
      <c r="W1" s="2672"/>
      <c r="X1" s="2672"/>
      <c r="Y1" s="2672"/>
      <c r="Z1" s="2672"/>
      <c r="AA1" s="2672"/>
      <c r="AB1" s="2672"/>
      <c r="AC1" s="2672"/>
      <c r="AD1" s="2672"/>
      <c r="AE1" s="2672"/>
    </row>
    <row r="2" spans="1:37" s="598" customFormat="1" ht="15.75">
      <c r="B2" s="2672" t="s">
        <v>1968</v>
      </c>
      <c r="C2" s="2672"/>
      <c r="D2" s="2672"/>
      <c r="E2" s="2672"/>
      <c r="F2" s="2672"/>
      <c r="G2" s="2672"/>
      <c r="H2" s="2672"/>
      <c r="I2" s="2672"/>
      <c r="J2" s="2672"/>
      <c r="K2" s="2672"/>
      <c r="L2" s="2672"/>
      <c r="M2" s="2672"/>
      <c r="N2" s="2672"/>
      <c r="O2" s="2672"/>
      <c r="P2" s="2672"/>
      <c r="Q2" s="2672"/>
      <c r="R2" s="2672"/>
      <c r="S2" s="2672"/>
      <c r="T2" s="2672"/>
      <c r="U2" s="2672"/>
      <c r="V2" s="2672"/>
      <c r="W2" s="2672"/>
      <c r="X2" s="2672"/>
      <c r="Y2" s="2672"/>
      <c r="Z2" s="2672"/>
      <c r="AA2" s="2672"/>
      <c r="AB2" s="2672"/>
      <c r="AC2" s="2672"/>
      <c r="AD2" s="2672"/>
      <c r="AE2" s="2672"/>
    </row>
    <row r="3" spans="1:37" s="598" customFormat="1" ht="15.75">
      <c r="C3" s="2673" t="s">
        <v>619</v>
      </c>
      <c r="D3" s="2672"/>
      <c r="E3" s="2672"/>
      <c r="F3" s="2672"/>
      <c r="G3" s="2672"/>
      <c r="H3" s="2672"/>
      <c r="I3" s="2672"/>
      <c r="J3" s="2672"/>
      <c r="K3" s="2672"/>
      <c r="L3" s="2672"/>
      <c r="M3" s="2672"/>
      <c r="N3" s="2672"/>
      <c r="O3" s="2672"/>
      <c r="P3" s="2672"/>
      <c r="Q3" s="2672"/>
      <c r="R3" s="2672"/>
      <c r="S3" s="2672"/>
      <c r="T3" s="2672"/>
      <c r="U3" s="2672"/>
      <c r="V3" s="2672"/>
      <c r="W3" s="2672"/>
      <c r="X3" s="2672"/>
      <c r="Y3" s="2672"/>
      <c r="Z3" s="2672"/>
      <c r="AA3" s="2672"/>
      <c r="AB3" s="2672"/>
      <c r="AC3" s="2672"/>
      <c r="AD3" s="2672"/>
      <c r="AE3" s="2672"/>
    </row>
    <row r="4" spans="1:37" s="598" customFormat="1" ht="15.75">
      <c r="C4" s="2674" t="s">
        <v>2738</v>
      </c>
      <c r="D4" s="2675"/>
      <c r="E4" s="2675"/>
      <c r="F4" s="2675"/>
      <c r="G4" s="2675"/>
      <c r="H4" s="2675"/>
      <c r="I4" s="2675"/>
      <c r="J4" s="2675"/>
      <c r="K4" s="2675"/>
      <c r="L4" s="700"/>
      <c r="M4" s="700"/>
      <c r="N4" s="700"/>
      <c r="O4" s="700"/>
      <c r="P4" s="605"/>
      <c r="Q4" s="605"/>
      <c r="R4" s="605"/>
      <c r="S4" s="605"/>
      <c r="T4" s="605"/>
      <c r="U4" s="605"/>
      <c r="V4" s="605"/>
      <c r="W4" s="605"/>
      <c r="X4" s="605"/>
      <c r="Y4" s="605"/>
      <c r="Z4" s="605"/>
      <c r="AA4" s="605"/>
      <c r="AB4" s="605"/>
      <c r="AC4" s="605"/>
    </row>
    <row r="5" spans="1:37" s="28" customFormat="1" ht="16.5">
      <c r="C5" s="2676" t="s">
        <v>620</v>
      </c>
      <c r="D5" s="2676"/>
      <c r="E5" s="2676"/>
      <c r="F5" s="2676"/>
      <c r="G5" s="2676"/>
      <c r="H5" s="2676"/>
      <c r="I5" s="2676"/>
      <c r="J5" s="2676"/>
      <c r="K5" s="2676"/>
      <c r="L5" s="876"/>
      <c r="M5" s="876"/>
      <c r="N5" s="702"/>
      <c r="O5" s="702"/>
      <c r="P5" s="76"/>
      <c r="R5" s="76"/>
      <c r="S5" s="76"/>
      <c r="T5" s="80"/>
      <c r="U5" s="81"/>
      <c r="V5" s="81"/>
      <c r="W5" s="81"/>
      <c r="X5" s="80"/>
      <c r="Y5" s="81"/>
      <c r="Z5" s="81"/>
      <c r="AA5" s="81"/>
      <c r="AC5" s="82"/>
    </row>
    <row r="6" spans="1:37" ht="15.75">
      <c r="A6" s="175"/>
      <c r="B6" s="175"/>
      <c r="C6" s="175"/>
      <c r="D6" s="175"/>
      <c r="E6" s="175"/>
      <c r="F6" s="175"/>
      <c r="G6" s="175"/>
      <c r="H6" s="175"/>
      <c r="I6" s="175"/>
      <c r="J6" s="175"/>
      <c r="K6" s="689"/>
      <c r="L6" s="703"/>
      <c r="M6" s="703"/>
      <c r="N6" s="703"/>
      <c r="O6" s="703"/>
      <c r="P6" s="704"/>
      <c r="Q6" s="705"/>
      <c r="R6" s="175"/>
      <c r="S6" s="175"/>
      <c r="T6" s="175"/>
      <c r="U6" s="175"/>
      <c r="V6" s="175"/>
      <c r="W6" s="175"/>
      <c r="X6" s="175"/>
      <c r="Y6" s="175"/>
      <c r="Z6" s="175"/>
      <c r="AA6" s="175"/>
      <c r="AB6" s="175"/>
      <c r="AC6" s="175"/>
      <c r="AD6" s="175"/>
      <c r="AE6" s="175"/>
      <c r="AF6" s="176"/>
      <c r="AH6" s="555" t="s">
        <v>1952</v>
      </c>
      <c r="AI6" s="475" t="e">
        <f>AI8/AI7</f>
        <v>#DIV/0!</v>
      </c>
    </row>
    <row r="7" spans="1:37" s="176" customFormat="1" ht="27" customHeight="1">
      <c r="A7" s="2290" t="s">
        <v>2755</v>
      </c>
      <c r="B7" s="2290"/>
      <c r="C7" s="2290"/>
      <c r="D7" s="2290"/>
      <c r="E7" s="2290"/>
      <c r="F7" s="2290"/>
      <c r="G7" s="2290"/>
      <c r="H7" s="2290"/>
      <c r="I7" s="2290"/>
      <c r="J7" s="2290"/>
      <c r="K7" s="2290"/>
      <c r="L7" s="2290"/>
      <c r="M7" s="2290"/>
      <c r="N7" s="2290"/>
      <c r="O7" s="2290"/>
      <c r="P7" s="2290"/>
      <c r="Q7" s="2290"/>
      <c r="R7" s="2290"/>
      <c r="S7" s="2290"/>
      <c r="T7" s="2290"/>
      <c r="U7" s="2290"/>
      <c r="V7" s="2290"/>
      <c r="W7" s="2290"/>
      <c r="X7" s="2290"/>
      <c r="Y7" s="2290"/>
      <c r="Z7" s="2290"/>
      <c r="AA7" s="2290"/>
      <c r="AB7" s="2290"/>
      <c r="AC7" s="2290"/>
      <c r="AD7" s="2290"/>
      <c r="AE7" s="2290"/>
      <c r="AF7" s="2290"/>
      <c r="AG7" s="622"/>
      <c r="AH7" s="917" t="s">
        <v>2570</v>
      </c>
      <c r="AI7" s="918">
        <f>THCKT!AO20</f>
        <v>0</v>
      </c>
      <c r="AJ7" s="176">
        <v>14931</v>
      </c>
      <c r="AK7" s="176">
        <v>6494.81629251089</v>
      </c>
    </row>
    <row r="8" spans="1:37" s="176" customFormat="1" ht="24.6" customHeight="1">
      <c r="A8" s="2660" t="s">
        <v>2710</v>
      </c>
      <c r="B8" s="2660"/>
      <c r="C8" s="2660"/>
      <c r="D8" s="2660"/>
      <c r="E8" s="175"/>
      <c r="F8" s="158">
        <f>'LƯƠNG KT'!F8</f>
        <v>668.84</v>
      </c>
      <c r="G8" s="175"/>
      <c r="H8" s="175"/>
      <c r="I8" s="175"/>
      <c r="J8" s="175"/>
      <c r="K8" s="175"/>
      <c r="L8" s="706"/>
      <c r="M8" s="706"/>
      <c r="N8" s="706"/>
      <c r="O8" s="706"/>
      <c r="P8" s="175"/>
      <c r="Q8" s="175"/>
      <c r="R8" s="175"/>
      <c r="S8" s="175"/>
      <c r="T8" s="175"/>
      <c r="U8" s="175"/>
      <c r="V8" s="175"/>
      <c r="W8" s="175"/>
      <c r="X8" s="175"/>
      <c r="Y8" s="175"/>
      <c r="Z8" s="175"/>
      <c r="AA8" s="175"/>
      <c r="AB8" s="175"/>
      <c r="AC8" s="175"/>
      <c r="AD8" s="175"/>
      <c r="AE8" s="175"/>
      <c r="AF8" s="175"/>
      <c r="AG8" s="622"/>
      <c r="AH8" s="917" t="s">
        <v>2602</v>
      </c>
      <c r="AI8" s="919">
        <f>THCKT!AP20</f>
        <v>0</v>
      </c>
    </row>
    <row r="9" spans="1:37" s="176" customFormat="1" ht="18.75" customHeight="1">
      <c r="A9" s="608"/>
      <c r="B9" s="608"/>
      <c r="C9" s="172"/>
      <c r="D9" s="608"/>
      <c r="E9" s="608"/>
      <c r="F9" s="609"/>
      <c r="G9" s="175"/>
      <c r="H9" s="175"/>
      <c r="I9" s="175"/>
      <c r="J9" s="175"/>
      <c r="K9" s="175"/>
      <c r="L9" s="706"/>
      <c r="M9" s="706"/>
      <c r="N9" s="706"/>
      <c r="O9" s="706"/>
      <c r="P9" s="175"/>
      <c r="Q9" s="175"/>
      <c r="R9" s="175"/>
      <c r="S9" s="175"/>
      <c r="T9" s="175"/>
      <c r="U9" s="175"/>
      <c r="V9" s="175"/>
      <c r="W9" s="175"/>
      <c r="X9" s="175"/>
      <c r="Y9" s="175"/>
      <c r="Z9" s="175"/>
      <c r="AA9" s="175"/>
      <c r="AB9" s="175"/>
      <c r="AC9" s="175"/>
      <c r="AF9" s="175"/>
      <c r="AG9" s="622"/>
      <c r="AH9" s="920" t="s">
        <v>373</v>
      </c>
      <c r="AI9" s="921">
        <v>0.5</v>
      </c>
    </row>
    <row r="10" spans="1:37" s="175" customFormat="1" ht="17.25" customHeight="1">
      <c r="A10" s="2666" t="s">
        <v>623</v>
      </c>
      <c r="B10" s="2666" t="s">
        <v>624</v>
      </c>
      <c r="C10" s="2668" t="s">
        <v>356</v>
      </c>
      <c r="D10" s="2666" t="s">
        <v>2711</v>
      </c>
      <c r="E10" s="2664" t="s">
        <v>531</v>
      </c>
      <c r="F10" s="2661" t="s">
        <v>2712</v>
      </c>
      <c r="G10" s="2662"/>
      <c r="H10" s="2662"/>
      <c r="I10" s="2662"/>
      <c r="J10" s="2662"/>
      <c r="K10" s="2662"/>
      <c r="L10" s="2662"/>
      <c r="M10" s="2662"/>
      <c r="N10" s="2662"/>
      <c r="O10" s="2662"/>
      <c r="P10" s="2662"/>
      <c r="Q10" s="2662"/>
      <c r="R10" s="2662"/>
      <c r="S10" s="2662"/>
      <c r="T10" s="2662"/>
      <c r="U10" s="2662"/>
      <c r="V10" s="2662"/>
      <c r="W10" s="2662"/>
      <c r="X10" s="2662"/>
      <c r="Y10" s="2662"/>
      <c r="Z10" s="2662"/>
      <c r="AA10" s="2662"/>
      <c r="AB10" s="2662"/>
      <c r="AC10" s="2663"/>
      <c r="AD10" s="2664" t="s">
        <v>2713</v>
      </c>
      <c r="AE10" s="2664" t="s">
        <v>2714</v>
      </c>
      <c r="AF10" s="2671" t="s">
        <v>2715</v>
      </c>
      <c r="AG10" s="623"/>
      <c r="AH10" s="920" t="s">
        <v>2604</v>
      </c>
      <c r="AI10" s="921">
        <v>0.2</v>
      </c>
    </row>
    <row r="11" spans="1:37" s="175" customFormat="1" ht="28.5" customHeight="1">
      <c r="A11" s="2666"/>
      <c r="B11" s="2666"/>
      <c r="C11" s="2669"/>
      <c r="D11" s="2666"/>
      <c r="E11" s="2664"/>
      <c r="F11" s="2666" t="s">
        <v>2716</v>
      </c>
      <c r="G11" s="2666"/>
      <c r="H11" s="862"/>
      <c r="I11" s="862"/>
      <c r="J11" s="862"/>
      <c r="K11" s="2664" t="s">
        <v>2717</v>
      </c>
      <c r="L11" s="2664"/>
      <c r="M11" s="2664"/>
      <c r="N11" s="2664"/>
      <c r="O11" s="2664"/>
      <c r="P11" s="2664"/>
      <c r="Q11" s="2664"/>
      <c r="R11" s="2665" t="s">
        <v>2718</v>
      </c>
      <c r="S11" s="2665"/>
      <c r="T11" s="2665"/>
      <c r="U11" s="2665"/>
      <c r="V11" s="2665"/>
      <c r="W11" s="2665"/>
      <c r="X11" s="2665"/>
      <c r="Y11" s="2665"/>
      <c r="Z11" s="2665"/>
      <c r="AA11" s="2665"/>
      <c r="AB11" s="2665"/>
      <c r="AC11" s="2665"/>
      <c r="AD11" s="2664"/>
      <c r="AE11" s="2664"/>
      <c r="AF11" s="2671"/>
      <c r="AG11" s="623"/>
      <c r="AI11" s="604"/>
    </row>
    <row r="12" spans="1:37" s="599" customFormat="1" ht="51" customHeight="1">
      <c r="A12" s="2667"/>
      <c r="B12" s="2666"/>
      <c r="C12" s="2670"/>
      <c r="D12" s="2667"/>
      <c r="E12" s="2664"/>
      <c r="F12" s="864" t="s">
        <v>2593</v>
      </c>
      <c r="G12" s="178" t="s">
        <v>2719</v>
      </c>
      <c r="H12" s="910" t="s">
        <v>2586</v>
      </c>
      <c r="I12" s="910" t="s">
        <v>2587</v>
      </c>
      <c r="J12" s="910" t="s">
        <v>2588</v>
      </c>
      <c r="K12" s="877" t="s">
        <v>2720</v>
      </c>
      <c r="L12" s="878" t="s">
        <v>2740</v>
      </c>
      <c r="M12" s="878" t="s">
        <v>2721</v>
      </c>
      <c r="N12" s="878" t="s">
        <v>2741</v>
      </c>
      <c r="O12" s="878" t="s">
        <v>2722</v>
      </c>
      <c r="P12" s="879" t="s">
        <v>2742</v>
      </c>
      <c r="Q12" s="860" t="s">
        <v>2724</v>
      </c>
      <c r="R12" s="885" t="s">
        <v>2743</v>
      </c>
      <c r="S12" s="885" t="s">
        <v>2744</v>
      </c>
      <c r="T12" s="885" t="s">
        <v>2745</v>
      </c>
      <c r="U12" s="885" t="s">
        <v>369</v>
      </c>
      <c r="V12" s="885" t="s">
        <v>2666</v>
      </c>
      <c r="W12" s="885" t="s">
        <v>2680</v>
      </c>
      <c r="X12" s="886" t="s">
        <v>2746</v>
      </c>
      <c r="Y12" s="885" t="s">
        <v>2747</v>
      </c>
      <c r="Z12" s="885" t="s">
        <v>2683</v>
      </c>
      <c r="AA12" s="886" t="s">
        <v>2748</v>
      </c>
      <c r="AB12" s="885"/>
      <c r="AC12" s="860" t="s">
        <v>2727</v>
      </c>
      <c r="AD12" s="2664"/>
      <c r="AE12" s="2664"/>
      <c r="AF12" s="2671"/>
      <c r="AG12" s="624" t="s">
        <v>2728</v>
      </c>
      <c r="AI12" s="637"/>
    </row>
    <row r="13" spans="1:37" s="29" customFormat="1" ht="34.15" hidden="1" customHeight="1">
      <c r="A13" s="866" t="s">
        <v>636</v>
      </c>
      <c r="B13" s="866"/>
      <c r="C13" s="863" t="s">
        <v>638</v>
      </c>
      <c r="D13" s="866" t="s">
        <v>639</v>
      </c>
      <c r="E13" s="863" t="s">
        <v>2729</v>
      </c>
      <c r="F13" s="866" t="s">
        <v>640</v>
      </c>
      <c r="G13" s="866" t="s">
        <v>2730</v>
      </c>
      <c r="H13" s="866"/>
      <c r="I13" s="866"/>
      <c r="J13" s="866"/>
      <c r="K13" s="880" t="s">
        <v>2731</v>
      </c>
      <c r="L13" s="881" t="s">
        <v>2731</v>
      </c>
      <c r="M13" s="881" t="s">
        <v>2731</v>
      </c>
      <c r="N13" s="881" t="s">
        <v>2731</v>
      </c>
      <c r="O13" s="881" t="s">
        <v>2731</v>
      </c>
      <c r="P13" s="866" t="s">
        <v>2732</v>
      </c>
      <c r="Q13" s="866" t="s">
        <v>2730</v>
      </c>
      <c r="R13" s="866" t="s">
        <v>2733</v>
      </c>
      <c r="S13" s="866" t="s">
        <v>2734</v>
      </c>
      <c r="T13" s="866" t="s">
        <v>2734</v>
      </c>
      <c r="U13" s="866" t="s">
        <v>2734</v>
      </c>
      <c r="V13" s="866" t="s">
        <v>2734</v>
      </c>
      <c r="W13" s="866" t="s">
        <v>2734</v>
      </c>
      <c r="X13" s="866" t="s">
        <v>2734</v>
      </c>
      <c r="Y13" s="866" t="s">
        <v>2734</v>
      </c>
      <c r="Z13" s="866" t="s">
        <v>2734</v>
      </c>
      <c r="AA13" s="866" t="s">
        <v>2734</v>
      </c>
      <c r="AB13" s="866" t="s">
        <v>2734</v>
      </c>
      <c r="AC13" s="866" t="s">
        <v>2730</v>
      </c>
      <c r="AD13" s="888" t="s">
        <v>643</v>
      </c>
      <c r="AE13" s="863" t="s">
        <v>644</v>
      </c>
      <c r="AF13" s="626" t="s">
        <v>2735</v>
      </c>
      <c r="AG13" s="627" t="s">
        <v>2736</v>
      </c>
      <c r="AI13" s="637"/>
    </row>
    <row r="14" spans="1:37" s="540" customFormat="1">
      <c r="A14" s="868">
        <v>1</v>
      </c>
      <c r="B14" s="869" t="e">
        <f>VLOOKUP(C14,'DS CN MOI UP'!$B$10:$C$389,2,0)</f>
        <v>#N/A</v>
      </c>
      <c r="C14" s="875" t="s">
        <v>104</v>
      </c>
      <c r="D14" s="875" t="s">
        <v>15</v>
      </c>
      <c r="E14" s="872"/>
      <c r="F14" s="873">
        <f>+VLOOKUP(C14,THCKT!$C$13:$AE$460,17,0)</f>
        <v>24</v>
      </c>
      <c r="G14" s="874">
        <f t="shared" ref="G14:G24" si="0">F14*25000</f>
        <v>600000</v>
      </c>
      <c r="H14" s="874"/>
      <c r="I14" s="874"/>
      <c r="J14" s="874"/>
      <c r="K14" s="874" t="e">
        <f>VLOOKUP(C14,THCKT!$C$13:$AL$460,21,0)</f>
        <v>#N/A</v>
      </c>
      <c r="L14" s="883">
        <f>VLOOKUP(C14,THCKT!$C$13:$AL$460,22,0)</f>
        <v>0</v>
      </c>
      <c r="M14" s="883">
        <f>VLOOKUP(C14,THCKT!$C$13:$AL$460,23,0)</f>
        <v>0</v>
      </c>
      <c r="N14" s="883"/>
      <c r="O14" s="883"/>
      <c r="P14" s="884" t="e">
        <f>VLOOKUP(C14,THCKT!$C$13:$AL$460,36,0)</f>
        <v>#N/A</v>
      </c>
      <c r="Q14" s="887" t="e">
        <f t="shared" ref="Q14:Q22" si="1">IF(P14="A",(K14*$AI$6*6.7),IF(P14="B",(K14*$AI$6*6.4),IF(P14="C",(K14*$AI$6*6.1),IF(P14="D",(K14*$AI$6*5.8),0))))*$F$8+(L14*$F$8*6.1*$AI$9)+M14*6.1*$F$8*$AI$10</f>
        <v>#N/A</v>
      </c>
      <c r="R14" s="874" t="e">
        <f>VLOOKUP(C14,'LƯƠNG KT'!$D$15:$P$94,16,0)</f>
        <v>#N/A</v>
      </c>
      <c r="S14" s="874" t="e">
        <f>VLOOKUP(C14,'LƯƠNG KT'!$D$15:$P$94,17,0)</f>
        <v>#N/A</v>
      </c>
      <c r="T14" s="874" t="e">
        <f>VLOOKUP(C14,'LƯƠNG KT'!$D$15:$P$94,18,0)</f>
        <v>#N/A</v>
      </c>
      <c r="U14" s="874" t="e">
        <f>VLOOKUP(C14,'LƯƠNG KT'!$D$15:$P$94,18,0)</f>
        <v>#N/A</v>
      </c>
      <c r="V14" s="874" t="e">
        <f>VLOOKUP(C14,'LƯƠNG KT'!$D$15:$P$94,19,0)</f>
        <v>#N/A</v>
      </c>
      <c r="W14" s="874" t="e">
        <f>VLOOKUP(C14,'LƯƠNG KT'!$D$15:$P$94,20,0)</f>
        <v>#N/A</v>
      </c>
      <c r="X14" s="874" t="e">
        <f>VLOOKUP(C14,'LƯƠNG KT'!$D$15:$P$94,21,0)</f>
        <v>#N/A</v>
      </c>
      <c r="Y14" s="874" t="e">
        <f>VLOOKUP(C14,'LƯƠNG KT'!$D$15:$P$94,23,0)</f>
        <v>#N/A</v>
      </c>
      <c r="Z14" s="874" t="e">
        <f>VLOOKUP(C14,'LƯƠNG KT'!$D$15:$P$94,24,0)</f>
        <v>#N/A</v>
      </c>
      <c r="AA14" s="874">
        <v>20</v>
      </c>
      <c r="AB14" s="874"/>
      <c r="AC14" s="889" t="e">
        <f>((R14*46.1)+(S14*76.9)+(X14*30.7)+(U14*46.1*2)+(V14*46.1*2)+(W14*76.9*2))*$F$8+T14*10000+Y14*20000+Z14*20000+AA14*25000</f>
        <v>#N/A</v>
      </c>
      <c r="AD14" s="889" t="e">
        <f t="shared" ref="AD14:AD24" si="2">AC14+Q14+G14</f>
        <v>#N/A</v>
      </c>
      <c r="AE14" s="889" t="e">
        <f t="shared" ref="AE14:AE24" si="3">AD14</f>
        <v>#N/A</v>
      </c>
      <c r="AF14" s="927"/>
      <c r="AG14" s="891"/>
      <c r="AH14" s="922" t="s">
        <v>2751</v>
      </c>
      <c r="AI14" s="637"/>
    </row>
    <row r="15" spans="1:37" s="540" customFormat="1">
      <c r="A15" s="868">
        <v>2</v>
      </c>
      <c r="B15" s="1644" t="str">
        <f>VLOOKUP(C15,'DS CN MOI UP'!$B$10:$C$389,2,0)</f>
        <v>02444</v>
      </c>
      <c r="C15" s="875" t="s">
        <v>105</v>
      </c>
      <c r="D15" s="875" t="s">
        <v>15</v>
      </c>
      <c r="E15" s="872"/>
      <c r="F15" s="873">
        <f>+VLOOKUP(C15,THCKT!$C$13:$AE$460,17,0)</f>
        <v>24</v>
      </c>
      <c r="G15" s="874">
        <f t="shared" si="0"/>
        <v>600000</v>
      </c>
      <c r="H15" s="874"/>
      <c r="I15" s="874"/>
      <c r="J15" s="874"/>
      <c r="K15" s="874" t="e">
        <f>VLOOKUP(C15,THCKT!$C$13:$AL$460,21,0)</f>
        <v>#N/A</v>
      </c>
      <c r="L15" s="883">
        <f>VLOOKUP(C15,THCKT!$C$13:$AL$460,22,0)</f>
        <v>0</v>
      </c>
      <c r="M15" s="883">
        <f>VLOOKUP(C15,THCKT!$C$13:$AL$460,23,0)</f>
        <v>0</v>
      </c>
      <c r="N15" s="883"/>
      <c r="O15" s="883"/>
      <c r="P15" s="884" t="e">
        <f>VLOOKUP(C15,THCKT!$C$13:$AL$460,36,0)</f>
        <v>#N/A</v>
      </c>
      <c r="Q15" s="887" t="e">
        <f t="shared" si="1"/>
        <v>#N/A</v>
      </c>
      <c r="R15" s="874" t="e">
        <f>VLOOKUP(C15,'LƯƠNG KT'!$D$15:$P$94,16,0)</f>
        <v>#N/A</v>
      </c>
      <c r="S15" s="874" t="e">
        <f>VLOOKUP(C15,'LƯƠNG KT'!$D$15:$P$94,17,0)</f>
        <v>#N/A</v>
      </c>
      <c r="T15" s="874" t="e">
        <f>VLOOKUP(C15,'LƯƠNG KT'!$D$15:$P$94,18,0)</f>
        <v>#N/A</v>
      </c>
      <c r="U15" s="874" t="e">
        <f>VLOOKUP(C15,'LƯƠNG KT'!$D$15:$P$94,18,0)</f>
        <v>#N/A</v>
      </c>
      <c r="V15" s="874" t="e">
        <f>VLOOKUP(C15,'LƯƠNG KT'!$D$15:$P$94,19,0)</f>
        <v>#N/A</v>
      </c>
      <c r="W15" s="874" t="e">
        <f>VLOOKUP(C15,'LƯƠNG KT'!$D$15:$P$94,20,0)</f>
        <v>#N/A</v>
      </c>
      <c r="X15" s="874" t="e">
        <f>VLOOKUP(C15,'LƯƠNG KT'!$D$15:$P$94,21,0)</f>
        <v>#N/A</v>
      </c>
      <c r="Y15" s="874" t="e">
        <f>VLOOKUP(C15,'LƯƠNG KT'!$D$15:$P$94,23,0)</f>
        <v>#N/A</v>
      </c>
      <c r="Z15" s="874" t="e">
        <f>VLOOKUP(C15,'LƯƠNG KT'!$D$15:$P$94,24,0)</f>
        <v>#N/A</v>
      </c>
      <c r="AA15" s="874">
        <v>20</v>
      </c>
      <c r="AB15" s="874"/>
      <c r="AC15" s="889" t="e">
        <f t="shared" ref="AC15:AC24" si="4">((R15*46.1)+(S15*76.9)+(X15*30.7)+(U15*46.1*2)+(V15*46.1*2)+(W15*76.9*2))*$F$8+T15*10000+Y15*20000+Z15*20000+AA15*25000</f>
        <v>#N/A</v>
      </c>
      <c r="AD15" s="889" t="e">
        <f t="shared" si="2"/>
        <v>#N/A</v>
      </c>
      <c r="AE15" s="889" t="e">
        <f t="shared" si="3"/>
        <v>#N/A</v>
      </c>
      <c r="AF15" s="915"/>
      <c r="AG15" s="891"/>
      <c r="AH15" s="540" t="s">
        <v>2751</v>
      </c>
      <c r="AI15" s="637" t="e">
        <f>#REF!+#REF!</f>
        <v>#REF!</v>
      </c>
    </row>
    <row r="16" spans="1:37" s="540" customFormat="1">
      <c r="A16" s="868">
        <v>3</v>
      </c>
      <c r="B16" s="869" t="e">
        <f>VLOOKUP(C16,'DS CN MOI UP'!$B$10:$C$389,2,0)</f>
        <v>#N/A</v>
      </c>
      <c r="C16" s="875" t="s">
        <v>106</v>
      </c>
      <c r="D16" s="875" t="s">
        <v>15</v>
      </c>
      <c r="E16" s="872"/>
      <c r="F16" s="873">
        <f>+VLOOKUP(C16,THCKT!$C$13:$AE$460,17,0)</f>
        <v>24</v>
      </c>
      <c r="G16" s="874">
        <f t="shared" si="0"/>
        <v>600000</v>
      </c>
      <c r="H16" s="874"/>
      <c r="I16" s="874"/>
      <c r="J16" s="874"/>
      <c r="K16" s="874" t="e">
        <f>VLOOKUP(C16,THCKT!$C$13:$AL$460,21,0)</f>
        <v>#N/A</v>
      </c>
      <c r="L16" s="883">
        <f>VLOOKUP(C16,THCKT!$C$13:$AL$460,22,0)</f>
        <v>0</v>
      </c>
      <c r="M16" s="883">
        <f>VLOOKUP(C16,THCKT!$C$13:$AL$460,23,0)</f>
        <v>0</v>
      </c>
      <c r="N16" s="883"/>
      <c r="O16" s="883"/>
      <c r="P16" s="884" t="e">
        <f>VLOOKUP(C16,THCKT!$C$13:$AL$460,36,0)</f>
        <v>#N/A</v>
      </c>
      <c r="Q16" s="887" t="e">
        <f t="shared" si="1"/>
        <v>#N/A</v>
      </c>
      <c r="R16" s="874" t="e">
        <f>VLOOKUP(C16,'LƯƠNG KT'!$D$15:$P$94,16,0)</f>
        <v>#N/A</v>
      </c>
      <c r="S16" s="874" t="e">
        <f>VLOOKUP(C16,'LƯƠNG KT'!$D$15:$P$94,17,0)</f>
        <v>#N/A</v>
      </c>
      <c r="T16" s="874" t="e">
        <f>VLOOKUP(C16,'LƯƠNG KT'!$D$15:$P$94,18,0)</f>
        <v>#N/A</v>
      </c>
      <c r="U16" s="874" t="e">
        <f>VLOOKUP(C16,'LƯƠNG KT'!$D$15:$P$94,18,0)</f>
        <v>#N/A</v>
      </c>
      <c r="V16" s="874" t="e">
        <f>VLOOKUP(C16,'LƯƠNG KT'!$D$15:$P$94,19,0)</f>
        <v>#N/A</v>
      </c>
      <c r="W16" s="874" t="e">
        <f>VLOOKUP(C16,'LƯƠNG KT'!$D$15:$P$94,20,0)</f>
        <v>#N/A</v>
      </c>
      <c r="X16" s="874" t="e">
        <f>VLOOKUP(C16,'LƯƠNG KT'!$D$15:$P$94,21,0)</f>
        <v>#N/A</v>
      </c>
      <c r="Y16" s="874" t="e">
        <f>VLOOKUP(C16,'LƯƠNG KT'!$D$15:$P$94,23,0)</f>
        <v>#N/A</v>
      </c>
      <c r="Z16" s="874" t="e">
        <f>VLOOKUP(C16,'LƯƠNG KT'!$D$15:$P$94,24,0)</f>
        <v>#N/A</v>
      </c>
      <c r="AA16" s="874">
        <v>20</v>
      </c>
      <c r="AB16" s="874"/>
      <c r="AC16" s="889" t="e">
        <f t="shared" si="4"/>
        <v>#N/A</v>
      </c>
      <c r="AD16" s="889" t="e">
        <f t="shared" si="2"/>
        <v>#N/A</v>
      </c>
      <c r="AE16" s="889" t="e">
        <f t="shared" si="3"/>
        <v>#N/A</v>
      </c>
      <c r="AF16" s="915"/>
      <c r="AG16" s="891"/>
      <c r="AH16" s="922" t="s">
        <v>2751</v>
      </c>
      <c r="AI16" s="637"/>
    </row>
    <row r="17" spans="1:38" s="540" customFormat="1">
      <c r="A17" s="868">
        <v>4</v>
      </c>
      <c r="B17" s="869" t="e">
        <f>VLOOKUP(C17,'DS CN MOI UP'!$B$10:$C$389,2,0)</f>
        <v>#N/A</v>
      </c>
      <c r="C17" s="875" t="s">
        <v>107</v>
      </c>
      <c r="D17" s="875" t="s">
        <v>15</v>
      </c>
      <c r="E17" s="872"/>
      <c r="F17" s="873">
        <f>+VLOOKUP(C17,THCKT!$C$13:$AE$460,17,0)</f>
        <v>24</v>
      </c>
      <c r="G17" s="874">
        <f t="shared" si="0"/>
        <v>600000</v>
      </c>
      <c r="H17" s="874"/>
      <c r="I17" s="874"/>
      <c r="J17" s="874"/>
      <c r="K17" s="874" t="e">
        <f>VLOOKUP(C17,THCKT!$C$13:$AL$460,21,0)</f>
        <v>#N/A</v>
      </c>
      <c r="L17" s="883">
        <f>VLOOKUP(C17,THCKT!$C$13:$AL$460,22,0)</f>
        <v>0</v>
      </c>
      <c r="M17" s="883">
        <f>VLOOKUP(C17,THCKT!$C$13:$AL$460,23,0)</f>
        <v>0</v>
      </c>
      <c r="N17" s="883"/>
      <c r="O17" s="883"/>
      <c r="P17" s="884" t="e">
        <f>VLOOKUP(C17,THCKT!$C$13:$AL$460,36,0)</f>
        <v>#N/A</v>
      </c>
      <c r="Q17" s="887" t="e">
        <f t="shared" si="1"/>
        <v>#N/A</v>
      </c>
      <c r="R17" s="874" t="e">
        <f>VLOOKUP(C17,'LƯƠNG KT'!$D$15:$P$94,16,0)</f>
        <v>#N/A</v>
      </c>
      <c r="S17" s="874" t="e">
        <f>VLOOKUP(C17,'LƯƠNG KT'!$D$15:$P$94,17,0)</f>
        <v>#N/A</v>
      </c>
      <c r="T17" s="874" t="e">
        <f>VLOOKUP(C17,'LƯƠNG KT'!$D$15:$P$94,18,0)</f>
        <v>#N/A</v>
      </c>
      <c r="U17" s="874" t="e">
        <f>VLOOKUP(C17,'LƯƠNG KT'!$D$15:$P$94,18,0)</f>
        <v>#N/A</v>
      </c>
      <c r="V17" s="874" t="e">
        <f>VLOOKUP(C17,'LƯƠNG KT'!$D$15:$P$94,19,0)</f>
        <v>#N/A</v>
      </c>
      <c r="W17" s="874" t="e">
        <f>VLOOKUP(C17,'LƯƠNG KT'!$D$15:$P$94,20,0)</f>
        <v>#N/A</v>
      </c>
      <c r="X17" s="874" t="e">
        <f>VLOOKUP(C17,'LƯƠNG KT'!$D$15:$P$94,21,0)</f>
        <v>#N/A</v>
      </c>
      <c r="Y17" s="874" t="e">
        <f>VLOOKUP(C17,'LƯƠNG KT'!$D$15:$P$94,23,0)</f>
        <v>#N/A</v>
      </c>
      <c r="Z17" s="874" t="e">
        <f>VLOOKUP(C17,'LƯƠNG KT'!$D$15:$P$94,24,0)</f>
        <v>#N/A</v>
      </c>
      <c r="AA17" s="874">
        <v>20</v>
      </c>
      <c r="AB17" s="874"/>
      <c r="AC17" s="889" t="e">
        <f t="shared" si="4"/>
        <v>#N/A</v>
      </c>
      <c r="AD17" s="889" t="e">
        <f t="shared" si="2"/>
        <v>#N/A</v>
      </c>
      <c r="AE17" s="889" t="e">
        <f t="shared" si="3"/>
        <v>#N/A</v>
      </c>
      <c r="AF17" s="915"/>
      <c r="AG17" s="891"/>
      <c r="AH17" s="540" t="s">
        <v>2751</v>
      </c>
      <c r="AI17" s="637"/>
    </row>
    <row r="18" spans="1:38" s="540" customFormat="1">
      <c r="A18" s="868">
        <v>5</v>
      </c>
      <c r="B18" s="1644" t="str">
        <f>VLOOKUP(C18,'DS CN MOI UP'!$B$10:$C$389,2,0)</f>
        <v>02449</v>
      </c>
      <c r="C18" s="875" t="s">
        <v>108</v>
      </c>
      <c r="D18" s="875" t="s">
        <v>15</v>
      </c>
      <c r="E18" s="872"/>
      <c r="F18" s="873">
        <f>+VLOOKUP(C18,THCKT!$C$13:$AE$460,17,0)</f>
        <v>24</v>
      </c>
      <c r="G18" s="874">
        <f t="shared" si="0"/>
        <v>600000</v>
      </c>
      <c r="H18" s="874"/>
      <c r="I18" s="874"/>
      <c r="J18" s="874"/>
      <c r="K18" s="874" t="e">
        <f>VLOOKUP(C18,THCKT!$C$13:$AL$460,21,0)</f>
        <v>#N/A</v>
      </c>
      <c r="L18" s="883">
        <f>VLOOKUP(C18,THCKT!$C$13:$AL$460,22,0)</f>
        <v>0</v>
      </c>
      <c r="M18" s="883">
        <f>VLOOKUP(C18,THCKT!$C$13:$AL$460,23,0)</f>
        <v>0</v>
      </c>
      <c r="N18" s="883"/>
      <c r="O18" s="883"/>
      <c r="P18" s="884" t="e">
        <f>VLOOKUP(C18,THCKT!$C$13:$AL$460,36,0)</f>
        <v>#N/A</v>
      </c>
      <c r="Q18" s="887" t="e">
        <f t="shared" si="1"/>
        <v>#N/A</v>
      </c>
      <c r="R18" s="874" t="e">
        <f>VLOOKUP(C18,'LƯƠNG KT'!$D$15:$P$94,16,0)</f>
        <v>#N/A</v>
      </c>
      <c r="S18" s="874" t="e">
        <f>VLOOKUP(C18,'LƯƠNG KT'!$D$15:$P$94,17,0)</f>
        <v>#N/A</v>
      </c>
      <c r="T18" s="874" t="e">
        <f>VLOOKUP(C18,'LƯƠNG KT'!$D$15:$P$94,18,0)</f>
        <v>#N/A</v>
      </c>
      <c r="U18" s="874" t="e">
        <f>VLOOKUP(C18,'LƯƠNG KT'!$D$15:$P$94,18,0)</f>
        <v>#N/A</v>
      </c>
      <c r="V18" s="874" t="e">
        <f>VLOOKUP(C18,'LƯƠNG KT'!$D$15:$P$94,19,0)</f>
        <v>#N/A</v>
      </c>
      <c r="W18" s="874" t="e">
        <f>VLOOKUP(C18,'LƯƠNG KT'!$D$15:$P$94,20,0)</f>
        <v>#N/A</v>
      </c>
      <c r="X18" s="874" t="e">
        <f>VLOOKUP(C18,'LƯƠNG KT'!$D$15:$P$94,21,0)</f>
        <v>#N/A</v>
      </c>
      <c r="Y18" s="874" t="e">
        <f>VLOOKUP(C18,'LƯƠNG KT'!$D$15:$P$94,23,0)</f>
        <v>#N/A</v>
      </c>
      <c r="Z18" s="874" t="e">
        <f>VLOOKUP(C18,'LƯƠNG KT'!$D$15:$P$94,24,0)</f>
        <v>#N/A</v>
      </c>
      <c r="AA18" s="874">
        <v>20</v>
      </c>
      <c r="AB18" s="874"/>
      <c r="AC18" s="889" t="e">
        <f t="shared" si="4"/>
        <v>#N/A</v>
      </c>
      <c r="AD18" s="889" t="e">
        <f t="shared" si="2"/>
        <v>#N/A</v>
      </c>
      <c r="AE18" s="889" t="e">
        <f t="shared" si="3"/>
        <v>#N/A</v>
      </c>
      <c r="AF18" s="915"/>
      <c r="AG18" s="891"/>
      <c r="AH18" s="922" t="s">
        <v>2751</v>
      </c>
      <c r="AI18" s="637"/>
    </row>
    <row r="19" spans="1:38" s="540" customFormat="1">
      <c r="A19" s="868">
        <v>6</v>
      </c>
      <c r="B19" s="1644" t="str">
        <f>VLOOKUP(C19,'DS CN MOI UP'!$B$10:$C$389,2,0)</f>
        <v>02445</v>
      </c>
      <c r="C19" s="875" t="s">
        <v>109</v>
      </c>
      <c r="D19" s="875" t="s">
        <v>15</v>
      </c>
      <c r="E19" s="872"/>
      <c r="F19" s="873">
        <f>+VLOOKUP(C19,THCKT!$C$13:$AE$460,17,0)</f>
        <v>24</v>
      </c>
      <c r="G19" s="874">
        <f t="shared" si="0"/>
        <v>600000</v>
      </c>
      <c r="H19" s="874"/>
      <c r="I19" s="874"/>
      <c r="J19" s="874"/>
      <c r="K19" s="874" t="e">
        <f>VLOOKUP(C19,THCKT!$C$13:$AL$460,21,0)</f>
        <v>#N/A</v>
      </c>
      <c r="L19" s="883">
        <f>VLOOKUP(C19,THCKT!$C$13:$AL$460,22,0)</f>
        <v>0</v>
      </c>
      <c r="M19" s="883">
        <f>VLOOKUP(C19,THCKT!$C$13:$AL$460,23,0)</f>
        <v>0</v>
      </c>
      <c r="N19" s="883"/>
      <c r="O19" s="883"/>
      <c r="P19" s="884" t="e">
        <f>VLOOKUP(C19,THCKT!$C$13:$AL$460,36,0)</f>
        <v>#N/A</v>
      </c>
      <c r="Q19" s="887" t="e">
        <f t="shared" si="1"/>
        <v>#N/A</v>
      </c>
      <c r="R19" s="874" t="e">
        <f>VLOOKUP(C19,'LƯƠNG KT'!$D$15:$P$94,16,0)</f>
        <v>#N/A</v>
      </c>
      <c r="S19" s="874" t="e">
        <f>VLOOKUP(C19,'LƯƠNG KT'!$D$15:$P$94,17,0)</f>
        <v>#N/A</v>
      </c>
      <c r="T19" s="874" t="e">
        <f>VLOOKUP(C19,'LƯƠNG KT'!$D$15:$P$94,18,0)</f>
        <v>#N/A</v>
      </c>
      <c r="U19" s="874" t="e">
        <f>VLOOKUP(C19,'LƯƠNG KT'!$D$15:$P$94,18,0)</f>
        <v>#N/A</v>
      </c>
      <c r="V19" s="874" t="e">
        <f>VLOOKUP(C19,'LƯƠNG KT'!$D$15:$P$94,19,0)</f>
        <v>#N/A</v>
      </c>
      <c r="W19" s="874" t="e">
        <f>VLOOKUP(C19,'LƯƠNG KT'!$D$15:$P$94,20,0)</f>
        <v>#N/A</v>
      </c>
      <c r="X19" s="874" t="e">
        <f>VLOOKUP(C19,'LƯƠNG KT'!$D$15:$P$94,21,0)</f>
        <v>#N/A</v>
      </c>
      <c r="Y19" s="874" t="e">
        <f>VLOOKUP(C19,'LƯƠNG KT'!$D$15:$P$94,23,0)</f>
        <v>#N/A</v>
      </c>
      <c r="Z19" s="874" t="e">
        <f>VLOOKUP(C19,'LƯƠNG KT'!$D$15:$P$94,24,0)</f>
        <v>#N/A</v>
      </c>
      <c r="AA19" s="874">
        <v>20</v>
      </c>
      <c r="AB19" s="874"/>
      <c r="AC19" s="889" t="e">
        <f t="shared" si="4"/>
        <v>#N/A</v>
      </c>
      <c r="AD19" s="889" t="e">
        <f t="shared" si="2"/>
        <v>#N/A</v>
      </c>
      <c r="AE19" s="889" t="e">
        <f t="shared" si="3"/>
        <v>#N/A</v>
      </c>
      <c r="AF19" s="915"/>
      <c r="AG19" s="891"/>
      <c r="AH19" s="540" t="s">
        <v>2751</v>
      </c>
      <c r="AI19" s="637"/>
    </row>
    <row r="20" spans="1:38" s="540" customFormat="1">
      <c r="A20" s="868">
        <v>7</v>
      </c>
      <c r="B20" s="1644" t="str">
        <f>VLOOKUP(C20,'DS CN MOI UP'!$B$10:$C$389,2,0)</f>
        <v>02446</v>
      </c>
      <c r="C20" s="875" t="s">
        <v>110</v>
      </c>
      <c r="D20" s="875" t="s">
        <v>15</v>
      </c>
      <c r="E20" s="872"/>
      <c r="F20" s="873">
        <f>+VLOOKUP(C20,THCKT!$C$13:$AE$460,17,0)</f>
        <v>24</v>
      </c>
      <c r="G20" s="874">
        <f t="shared" si="0"/>
        <v>600000</v>
      </c>
      <c r="H20" s="874"/>
      <c r="I20" s="874"/>
      <c r="J20" s="874"/>
      <c r="K20" s="874" t="e">
        <f>VLOOKUP(C20,THCKT!$C$13:$AL$460,21,0)</f>
        <v>#N/A</v>
      </c>
      <c r="L20" s="883">
        <f>VLOOKUP(C20,THCKT!$C$13:$AL$460,22,0)</f>
        <v>0</v>
      </c>
      <c r="M20" s="883">
        <f>VLOOKUP(C20,THCKT!$C$13:$AL$460,23,0)</f>
        <v>0</v>
      </c>
      <c r="N20" s="883"/>
      <c r="O20" s="883"/>
      <c r="P20" s="884" t="e">
        <f>VLOOKUP(C20,THCKT!$C$13:$AL$460,36,0)</f>
        <v>#N/A</v>
      </c>
      <c r="Q20" s="887" t="e">
        <f t="shared" si="1"/>
        <v>#N/A</v>
      </c>
      <c r="R20" s="874" t="e">
        <f>VLOOKUP(C20,'LƯƠNG KT'!$D$15:$P$94,16,0)</f>
        <v>#N/A</v>
      </c>
      <c r="S20" s="874" t="e">
        <f>VLOOKUP(C20,'LƯƠNG KT'!$D$15:$P$94,17,0)</f>
        <v>#N/A</v>
      </c>
      <c r="T20" s="874" t="e">
        <f>VLOOKUP(C20,'LƯƠNG KT'!$D$15:$P$94,18,0)</f>
        <v>#N/A</v>
      </c>
      <c r="U20" s="874" t="e">
        <f>VLOOKUP(C20,'LƯƠNG KT'!$D$15:$P$94,18,0)</f>
        <v>#N/A</v>
      </c>
      <c r="V20" s="874" t="e">
        <f>VLOOKUP(C20,'LƯƠNG KT'!$D$15:$P$94,19,0)</f>
        <v>#N/A</v>
      </c>
      <c r="W20" s="874" t="e">
        <f>VLOOKUP(C20,'LƯƠNG KT'!$D$15:$P$94,20,0)</f>
        <v>#N/A</v>
      </c>
      <c r="X20" s="874" t="e">
        <f>VLOOKUP(C20,'LƯƠNG KT'!$D$15:$P$94,21,0)</f>
        <v>#N/A</v>
      </c>
      <c r="Y20" s="874" t="e">
        <f>VLOOKUP(C20,'LƯƠNG KT'!$D$15:$P$94,23,0)</f>
        <v>#N/A</v>
      </c>
      <c r="Z20" s="874" t="e">
        <f>VLOOKUP(C20,'LƯƠNG KT'!$D$15:$P$94,24,0)</f>
        <v>#N/A</v>
      </c>
      <c r="AA20" s="874">
        <v>20</v>
      </c>
      <c r="AB20" s="874"/>
      <c r="AC20" s="889" t="e">
        <f t="shared" si="4"/>
        <v>#N/A</v>
      </c>
      <c r="AD20" s="889" t="e">
        <f t="shared" si="2"/>
        <v>#N/A</v>
      </c>
      <c r="AE20" s="889" t="e">
        <f t="shared" si="3"/>
        <v>#N/A</v>
      </c>
      <c r="AF20" s="915"/>
      <c r="AG20" s="891"/>
      <c r="AH20" s="922" t="s">
        <v>2751</v>
      </c>
      <c r="AI20" s="637"/>
    </row>
    <row r="21" spans="1:38" s="540" customFormat="1">
      <c r="A21" s="868">
        <v>8</v>
      </c>
      <c r="B21" s="1644" t="str">
        <f>VLOOKUP(C21,'DS CN MOI UP'!$B$10:$C$389,2,0)</f>
        <v>03345</v>
      </c>
      <c r="C21" s="875" t="s">
        <v>111</v>
      </c>
      <c r="D21" s="875" t="s">
        <v>15</v>
      </c>
      <c r="E21" s="872"/>
      <c r="F21" s="873">
        <f>+VLOOKUP(C21,THCKT!$C$13:$AE$460,17,0)</f>
        <v>24</v>
      </c>
      <c r="G21" s="874">
        <f t="shared" si="0"/>
        <v>600000</v>
      </c>
      <c r="H21" s="874"/>
      <c r="I21" s="874"/>
      <c r="J21" s="874"/>
      <c r="K21" s="874" t="e">
        <f>VLOOKUP(C21,THCKT!$C$13:$AL$460,21,0)</f>
        <v>#N/A</v>
      </c>
      <c r="L21" s="883">
        <f>VLOOKUP(C21,THCKT!$C$13:$AL$460,22,0)</f>
        <v>0</v>
      </c>
      <c r="M21" s="883">
        <f>VLOOKUP(C21,THCKT!$C$13:$AL$460,23,0)</f>
        <v>0</v>
      </c>
      <c r="N21" s="883"/>
      <c r="O21" s="883"/>
      <c r="P21" s="884" t="e">
        <f>VLOOKUP(C21,THCKT!$C$13:$AL$460,36,0)</f>
        <v>#N/A</v>
      </c>
      <c r="Q21" s="887" t="e">
        <f t="shared" si="1"/>
        <v>#N/A</v>
      </c>
      <c r="R21" s="874" t="e">
        <f>VLOOKUP(C21,'LƯƠNG KT'!$D$15:$P$94,16,0)</f>
        <v>#N/A</v>
      </c>
      <c r="S21" s="874" t="e">
        <f>VLOOKUP(C21,'LƯƠNG KT'!$D$15:$P$94,17,0)</f>
        <v>#N/A</v>
      </c>
      <c r="T21" s="874" t="e">
        <f>VLOOKUP(C21,'LƯƠNG KT'!$D$15:$P$94,18,0)</f>
        <v>#N/A</v>
      </c>
      <c r="U21" s="874" t="e">
        <f>VLOOKUP(C21,'LƯƠNG KT'!$D$15:$P$94,18,0)</f>
        <v>#N/A</v>
      </c>
      <c r="V21" s="874" t="e">
        <f>VLOOKUP(C21,'LƯƠNG KT'!$D$15:$P$94,19,0)</f>
        <v>#N/A</v>
      </c>
      <c r="W21" s="874" t="e">
        <f>VLOOKUP(C21,'LƯƠNG KT'!$D$15:$P$94,20,0)</f>
        <v>#N/A</v>
      </c>
      <c r="X21" s="874" t="e">
        <f>VLOOKUP(C21,'LƯƠNG KT'!$D$15:$P$94,21,0)</f>
        <v>#N/A</v>
      </c>
      <c r="Y21" s="874" t="e">
        <f>VLOOKUP(C21,'LƯƠNG KT'!$D$15:$P$94,23,0)</f>
        <v>#N/A</v>
      </c>
      <c r="Z21" s="874" t="e">
        <f>VLOOKUP(C21,'LƯƠNG KT'!$D$15:$P$94,24,0)</f>
        <v>#N/A</v>
      </c>
      <c r="AA21" s="874">
        <v>20</v>
      </c>
      <c r="AB21" s="874"/>
      <c r="AC21" s="889" t="e">
        <f t="shared" si="4"/>
        <v>#N/A</v>
      </c>
      <c r="AD21" s="889" t="e">
        <f t="shared" si="2"/>
        <v>#N/A</v>
      </c>
      <c r="AE21" s="889" t="e">
        <f t="shared" si="3"/>
        <v>#N/A</v>
      </c>
      <c r="AF21" s="915"/>
      <c r="AG21" s="891"/>
      <c r="AH21" s="540" t="s">
        <v>2751</v>
      </c>
      <c r="AI21" s="637"/>
    </row>
    <row r="22" spans="1:38" s="540" customFormat="1">
      <c r="A22" s="868">
        <v>9</v>
      </c>
      <c r="B22" s="1644" t="str">
        <f>VLOOKUP(C22,'DS CN MOI UP'!$B$10:$C$389,2,0)</f>
        <v>03854</v>
      </c>
      <c r="C22" s="875" t="s">
        <v>112</v>
      </c>
      <c r="D22" s="875" t="s">
        <v>15</v>
      </c>
      <c r="E22" s="872"/>
      <c r="F22" s="873">
        <f>+VLOOKUP(C22,THCKT!$C$13:$AE$460,17,0)</f>
        <v>24</v>
      </c>
      <c r="G22" s="874">
        <f t="shared" si="0"/>
        <v>600000</v>
      </c>
      <c r="H22" s="874"/>
      <c r="I22" s="874"/>
      <c r="J22" s="874"/>
      <c r="K22" s="874" t="e">
        <f>VLOOKUP(C22,THCKT!$C$13:$AL$460,21,0)</f>
        <v>#N/A</v>
      </c>
      <c r="L22" s="883">
        <f>VLOOKUP(C22,THCKT!$C$13:$AL$460,22,0)</f>
        <v>0</v>
      </c>
      <c r="M22" s="883">
        <f>VLOOKUP(C22,THCKT!$C$13:$AL$460,23,0)</f>
        <v>0</v>
      </c>
      <c r="N22" s="883"/>
      <c r="O22" s="883"/>
      <c r="P22" s="884" t="e">
        <f>VLOOKUP(C22,THCKT!$C$13:$AL$460,36,0)</f>
        <v>#N/A</v>
      </c>
      <c r="Q22" s="887" t="e">
        <f t="shared" si="1"/>
        <v>#N/A</v>
      </c>
      <c r="R22" s="874" t="e">
        <f>VLOOKUP(C22,'LƯƠNG KT'!$D$15:$P$94,16,0)</f>
        <v>#N/A</v>
      </c>
      <c r="S22" s="874" t="e">
        <f>VLOOKUP(C22,'LƯƠNG KT'!$D$15:$P$94,17,0)</f>
        <v>#N/A</v>
      </c>
      <c r="T22" s="874" t="e">
        <f>VLOOKUP(C22,'LƯƠNG KT'!$D$15:$P$94,18,0)</f>
        <v>#N/A</v>
      </c>
      <c r="U22" s="874" t="e">
        <f>VLOOKUP(C22,'LƯƠNG KT'!$D$15:$P$94,18,0)</f>
        <v>#N/A</v>
      </c>
      <c r="V22" s="874" t="e">
        <f>VLOOKUP(C22,'LƯƠNG KT'!$D$15:$P$94,19,0)</f>
        <v>#N/A</v>
      </c>
      <c r="W22" s="874" t="e">
        <f>VLOOKUP(C22,'LƯƠNG KT'!$D$15:$P$94,20,0)</f>
        <v>#N/A</v>
      </c>
      <c r="X22" s="874" t="e">
        <f>VLOOKUP(C22,'LƯƠNG KT'!$D$15:$P$94,21,0)</f>
        <v>#N/A</v>
      </c>
      <c r="Y22" s="874" t="e">
        <f>VLOOKUP(C22,'LƯƠNG KT'!$D$15:$P$94,23,0)</f>
        <v>#N/A</v>
      </c>
      <c r="Z22" s="874" t="e">
        <f>VLOOKUP(C22,'LƯƠNG KT'!$D$15:$P$94,24,0)</f>
        <v>#N/A</v>
      </c>
      <c r="AA22" s="874">
        <v>20</v>
      </c>
      <c r="AB22" s="874"/>
      <c r="AC22" s="889" t="e">
        <f t="shared" si="4"/>
        <v>#N/A</v>
      </c>
      <c r="AD22" s="889" t="e">
        <f t="shared" si="2"/>
        <v>#N/A</v>
      </c>
      <c r="AE22" s="889" t="e">
        <f t="shared" si="3"/>
        <v>#N/A</v>
      </c>
      <c r="AF22" s="915"/>
      <c r="AG22" s="891"/>
      <c r="AH22" s="540" t="s">
        <v>2751</v>
      </c>
      <c r="AI22" s="637"/>
    </row>
    <row r="23" spans="1:38" s="540" customFormat="1">
      <c r="A23" s="868">
        <v>10</v>
      </c>
      <c r="B23" s="1644" t="str">
        <f>VLOOKUP(C23,'DS CN MOI UP'!$B$10:$C$389,2,0)</f>
        <v>03855</v>
      </c>
      <c r="C23" s="875" t="s">
        <v>113</v>
      </c>
      <c r="D23" s="875" t="s">
        <v>15</v>
      </c>
      <c r="E23" s="872"/>
      <c r="F23" s="873">
        <f>+VLOOKUP(C23,THCKT!$C$13:$AE$460,17,0)</f>
        <v>24</v>
      </c>
      <c r="G23" s="874">
        <f t="shared" si="0"/>
        <v>600000</v>
      </c>
      <c r="H23" s="874"/>
      <c r="I23" s="874"/>
      <c r="J23" s="874"/>
      <c r="K23" s="874" t="e">
        <f>VLOOKUP(C23,THCKT!$C$13:$AL$460,21,0)</f>
        <v>#REF!</v>
      </c>
      <c r="L23" s="883">
        <f>VLOOKUP(C23,THCKT!$C$13:$AL$460,22,0)</f>
        <v>0</v>
      </c>
      <c r="M23" s="883">
        <f>VLOOKUP(C23,THCKT!$C$13:$AL$460,23,0)</f>
        <v>0</v>
      </c>
      <c r="N23" s="887"/>
      <c r="O23" s="887"/>
      <c r="P23" s="884" t="e">
        <f>VLOOKUP(C23,THCKT!$C$13:$AL$460,36,0)</f>
        <v>#N/A</v>
      </c>
      <c r="Q23" s="887" t="e">
        <f>IF(P23="A",(K23*$AI$6*8),IF(P23="B",(K23*$AI$6*7.7),IF(P23="C",(K23*$AI$6*7.4),IF(P23="D",(K23*$AI$6*7.1),0))))*$F$8+(L23*$F$8*6.1*$AI$9)+M23*6.1*$F$8*$AI$10</f>
        <v>#N/A</v>
      </c>
      <c r="R23" s="874" t="e">
        <f>VLOOKUP(C23,'LƯƠNG KT'!$D$15:$P$94,16,0)</f>
        <v>#N/A</v>
      </c>
      <c r="S23" s="874" t="e">
        <f>VLOOKUP(C23,'LƯƠNG KT'!$D$15:$P$94,17,0)</f>
        <v>#N/A</v>
      </c>
      <c r="T23" s="874" t="e">
        <f>VLOOKUP(C23,'LƯƠNG KT'!$D$15:$P$94,18,0)</f>
        <v>#N/A</v>
      </c>
      <c r="U23" s="874" t="e">
        <f>VLOOKUP(C23,'LƯƠNG KT'!$D$15:$P$94,18,0)</f>
        <v>#N/A</v>
      </c>
      <c r="V23" s="874" t="e">
        <f>VLOOKUP(C23,'LƯƠNG KT'!$D$15:$P$94,19,0)</f>
        <v>#N/A</v>
      </c>
      <c r="W23" s="874" t="e">
        <f>VLOOKUP(C23,'LƯƠNG KT'!$D$15:$P$94,20,0)</f>
        <v>#N/A</v>
      </c>
      <c r="X23" s="874" t="e">
        <f>VLOOKUP(C23,'LƯƠNG KT'!$D$15:$P$94,21,0)</f>
        <v>#N/A</v>
      </c>
      <c r="Y23" s="874" t="e">
        <f>VLOOKUP(C23,'LƯƠNG KT'!$D$15:$P$94,23,0)</f>
        <v>#N/A</v>
      </c>
      <c r="Z23" s="874" t="e">
        <f>VLOOKUP(C23,'LƯƠNG KT'!$D$15:$P$94,24,0)</f>
        <v>#N/A</v>
      </c>
      <c r="AA23" s="874">
        <v>20</v>
      </c>
      <c r="AB23" s="874"/>
      <c r="AC23" s="889" t="e">
        <f t="shared" si="4"/>
        <v>#N/A</v>
      </c>
      <c r="AD23" s="889" t="e">
        <f t="shared" si="2"/>
        <v>#N/A</v>
      </c>
      <c r="AE23" s="889" t="e">
        <f t="shared" si="3"/>
        <v>#N/A</v>
      </c>
      <c r="AF23" s="915"/>
      <c r="AG23" s="891"/>
      <c r="AH23" s="540" t="s">
        <v>2751</v>
      </c>
      <c r="AI23" s="637"/>
    </row>
    <row r="24" spans="1:38" s="540" customFormat="1">
      <c r="A24" s="868">
        <v>11</v>
      </c>
      <c r="B24" s="869" t="e">
        <f>VLOOKUP(C24,'DS CN MOI UP'!$B$10:$C$389,2,0)</f>
        <v>#N/A</v>
      </c>
      <c r="C24" s="875" t="s">
        <v>114</v>
      </c>
      <c r="D24" s="875" t="s">
        <v>15</v>
      </c>
      <c r="E24" s="872"/>
      <c r="F24" s="873">
        <f>+VLOOKUP(C24,THCKT!$C$13:$AE$460,17,0)</f>
        <v>24</v>
      </c>
      <c r="G24" s="874">
        <f t="shared" si="0"/>
        <v>600000</v>
      </c>
      <c r="H24" s="874"/>
      <c r="I24" s="874"/>
      <c r="J24" s="874"/>
      <c r="K24" s="874" t="e">
        <f>VLOOKUP(C24,THCKT!$C$13:$AL$460,21,0)</f>
        <v>#REF!</v>
      </c>
      <c r="L24" s="883">
        <f>VLOOKUP(C24,THCKT!$C$13:$AL$460,22,0)</f>
        <v>0</v>
      </c>
      <c r="M24" s="883">
        <f>VLOOKUP(C24,THCKT!$C$13:$AL$460,23,0)</f>
        <v>0</v>
      </c>
      <c r="N24" s="887" t="e">
        <f>ROUND((IF(M24="A",(I24*$AI$15*8),IF(M24="B",(I24*$AI$15*7.7),IF(M24="C",(I24*$AI$15*7.4),IF(M24="D",(I24*$AI$15*7.1),0))))*$F$8+(J24*$F$8*6.1*$AG$10)+K24*$F$8*6.1*$AG$11),0)</f>
        <v>#REF!</v>
      </c>
      <c r="O24" s="887" t="e">
        <f>ROUND((IF(N24="A",(J24*$AI$15*8),IF(N24="B",(J24*$AI$15*7.7),IF(N24="C",(J24*$AI$15*7.4),IF(N24="D",(J24*$AI$15*7.1),0))))*$F$8+(K24*$F$8*6.1*$AG$10)+L24*$F$8*6.1*$AG$11),0)</f>
        <v>#REF!</v>
      </c>
      <c r="P24" s="884" t="e">
        <f>VLOOKUP(C24,THCKT!$C$13:$AL$460,36,0)</f>
        <v>#N/A</v>
      </c>
      <c r="Q24" s="887" t="e">
        <f>IF(P24="A",(K24*$AI$6*8),IF(P24="B",(K24*$AI$6*7.7),IF(P24="C",(K24*$AI$6*7.4),IF(P24="D",(K24*$AI$6*7.1),0))))*$F$8+(L24*$F$8*6.1*$AI$9)+M24*6.1*$F$8*$AI$10</f>
        <v>#N/A</v>
      </c>
      <c r="R24" s="874" t="e">
        <f>VLOOKUP(C24,'LƯƠNG KT'!$D$15:$P$94,16,0)</f>
        <v>#N/A</v>
      </c>
      <c r="S24" s="874" t="e">
        <f>VLOOKUP(C24,'LƯƠNG KT'!$D$15:$P$94,17,0)</f>
        <v>#N/A</v>
      </c>
      <c r="T24" s="874" t="e">
        <f>VLOOKUP(C24,'LƯƠNG KT'!$D$15:$P$94,18,0)</f>
        <v>#N/A</v>
      </c>
      <c r="U24" s="874" t="e">
        <f>VLOOKUP(C24,'LƯƠNG KT'!$D$15:$P$94,18,0)</f>
        <v>#N/A</v>
      </c>
      <c r="V24" s="874" t="e">
        <f>VLOOKUP(C24,'LƯƠNG KT'!$D$15:$P$94,19,0)</f>
        <v>#N/A</v>
      </c>
      <c r="W24" s="874" t="e">
        <f>VLOOKUP(C24,'LƯƠNG KT'!$D$15:$P$94,20,0)</f>
        <v>#N/A</v>
      </c>
      <c r="X24" s="874" t="e">
        <f>VLOOKUP(C24,'LƯƠNG KT'!$D$15:$P$94,21,0)</f>
        <v>#N/A</v>
      </c>
      <c r="Y24" s="874" t="e">
        <f>VLOOKUP(C24,'LƯƠNG KT'!$D$15:$P$94,23,0)</f>
        <v>#N/A</v>
      </c>
      <c r="Z24" s="874" t="e">
        <f>VLOOKUP(C24,'LƯƠNG KT'!$D$15:$P$94,24,0)</f>
        <v>#N/A</v>
      </c>
      <c r="AA24" s="874">
        <v>20</v>
      </c>
      <c r="AB24" s="874"/>
      <c r="AC24" s="889" t="e">
        <f t="shared" si="4"/>
        <v>#N/A</v>
      </c>
      <c r="AD24" s="889" t="e">
        <f t="shared" si="2"/>
        <v>#N/A</v>
      </c>
      <c r="AE24" s="889" t="e">
        <f t="shared" si="3"/>
        <v>#N/A</v>
      </c>
      <c r="AF24" s="915"/>
      <c r="AG24" s="891"/>
      <c r="AH24" s="922" t="s">
        <v>2751</v>
      </c>
      <c r="AI24" s="637"/>
    </row>
    <row r="25" spans="1:38" s="540" customFormat="1" ht="17.25" customHeight="1">
      <c r="A25" s="911" t="s">
        <v>2756</v>
      </c>
      <c r="B25" s="911"/>
      <c r="C25" s="933"/>
      <c r="D25" s="933"/>
      <c r="E25" s="934"/>
      <c r="F25" s="935">
        <f>SUM(F14:F24)</f>
        <v>264</v>
      </c>
      <c r="G25" s="934">
        <f>SUM(G14:G24)</f>
        <v>6600000</v>
      </c>
      <c r="H25" s="934">
        <f t="shared" ref="H25:AE25" si="5">SUM(H14:H24)</f>
        <v>0</v>
      </c>
      <c r="I25" s="934">
        <f t="shared" si="5"/>
        <v>0</v>
      </c>
      <c r="J25" s="934">
        <f t="shared" si="5"/>
        <v>0</v>
      </c>
      <c r="K25" s="934" t="e">
        <f t="shared" si="5"/>
        <v>#N/A</v>
      </c>
      <c r="L25" s="935">
        <f t="shared" si="5"/>
        <v>0</v>
      </c>
      <c r="M25" s="935">
        <f t="shared" ref="M25" si="6">SUM(M14:M24)</f>
        <v>0</v>
      </c>
      <c r="N25" s="935" t="e">
        <f t="shared" si="5"/>
        <v>#REF!</v>
      </c>
      <c r="O25" s="935" t="e">
        <f t="shared" ref="O25" si="7">SUM(O14:O24)</f>
        <v>#REF!</v>
      </c>
      <c r="P25" s="939" t="e">
        <f t="shared" si="5"/>
        <v>#N/A</v>
      </c>
      <c r="Q25" s="934" t="e">
        <f t="shared" si="5"/>
        <v>#N/A</v>
      </c>
      <c r="R25" s="934" t="e">
        <f t="shared" si="5"/>
        <v>#N/A</v>
      </c>
      <c r="S25" s="934" t="e">
        <f t="shared" si="5"/>
        <v>#N/A</v>
      </c>
      <c r="T25" s="934" t="e">
        <f t="shared" ref="T25:W25" si="8">SUM(T14:T24)</f>
        <v>#N/A</v>
      </c>
      <c r="U25" s="934" t="e">
        <f t="shared" si="8"/>
        <v>#N/A</v>
      </c>
      <c r="V25" s="934" t="e">
        <f t="shared" si="8"/>
        <v>#N/A</v>
      </c>
      <c r="W25" s="934" t="e">
        <f t="shared" si="8"/>
        <v>#N/A</v>
      </c>
      <c r="X25" s="934" t="e">
        <f t="shared" si="5"/>
        <v>#N/A</v>
      </c>
      <c r="Y25" s="934" t="e">
        <f t="shared" si="5"/>
        <v>#N/A</v>
      </c>
      <c r="Z25" s="934" t="e">
        <f t="shared" ref="Z25:AA25" si="9">SUM(Z14:Z24)</f>
        <v>#N/A</v>
      </c>
      <c r="AA25" s="934">
        <f t="shared" si="9"/>
        <v>220</v>
      </c>
      <c r="AB25" s="934">
        <f t="shared" si="5"/>
        <v>0</v>
      </c>
      <c r="AC25" s="934" t="e">
        <f t="shared" si="5"/>
        <v>#N/A</v>
      </c>
      <c r="AD25" s="934" t="e">
        <f t="shared" si="5"/>
        <v>#N/A</v>
      </c>
      <c r="AE25" s="934" t="e">
        <f t="shared" si="5"/>
        <v>#N/A</v>
      </c>
      <c r="AF25" s="937" t="e">
        <f>+'LƯƠNG KT'!#REF!</f>
        <v>#REF!</v>
      </c>
      <c r="AG25" s="938" t="e">
        <f>+AF25-AE25</f>
        <v>#REF!</v>
      </c>
      <c r="AH25" s="540" t="s">
        <v>2751</v>
      </c>
      <c r="AI25" s="637"/>
    </row>
    <row r="26" spans="1:38" s="541" customFormat="1" ht="17.25" customHeight="1">
      <c r="A26" s="2658" t="s">
        <v>2757</v>
      </c>
      <c r="B26" s="2658"/>
      <c r="C26" s="2658"/>
      <c r="D26" s="2658"/>
      <c r="E26" s="2658"/>
      <c r="F26" s="2658"/>
      <c r="G26" s="2658"/>
      <c r="H26" s="2658"/>
      <c r="I26" s="2658"/>
      <c r="J26" s="2658"/>
      <c r="K26" s="2658"/>
      <c r="L26" s="2658"/>
      <c r="M26" s="2658"/>
      <c r="N26" s="2658"/>
      <c r="O26" s="2658"/>
      <c r="P26" s="2658"/>
      <c r="Q26" s="2658"/>
      <c r="R26" s="2658"/>
      <c r="S26" s="2658"/>
      <c r="T26" s="2658"/>
      <c r="U26" s="2658"/>
      <c r="V26" s="2658"/>
      <c r="W26" s="2658"/>
      <c r="X26" s="2658"/>
      <c r="Y26" s="2658"/>
      <c r="Z26" s="2658"/>
      <c r="AA26" s="2658"/>
      <c r="AB26" s="2658"/>
      <c r="AC26" s="2658"/>
      <c r="AD26" s="2658"/>
      <c r="AE26" s="2658"/>
      <c r="AF26" s="630"/>
      <c r="AG26" s="631"/>
      <c r="AH26" s="629" t="e">
        <f>+#REF!+'LƯƠNG BV9THUC'!J13</f>
        <v>#REF!</v>
      </c>
      <c r="AI26" s="638" t="e">
        <f>+#REF!-#REF!</f>
        <v>#REF!</v>
      </c>
      <c r="AJ26" s="612"/>
      <c r="AK26" s="612"/>
    </row>
    <row r="27" spans="1:38" s="600" customFormat="1" ht="24" customHeight="1">
      <c r="A27" s="899"/>
      <c r="B27" s="899"/>
      <c r="C27" s="900"/>
      <c r="F27" s="901"/>
      <c r="G27" s="902"/>
      <c r="H27" s="902"/>
      <c r="I27" s="902"/>
      <c r="J27" s="902"/>
      <c r="K27" s="902"/>
      <c r="L27" s="903"/>
      <c r="M27" s="903"/>
      <c r="N27" s="903"/>
      <c r="O27" s="903"/>
      <c r="P27" s="904"/>
      <c r="Q27" s="902"/>
      <c r="R27" s="906"/>
      <c r="S27" s="907"/>
      <c r="T27" s="907"/>
      <c r="U27" s="907"/>
      <c r="V27" s="907"/>
      <c r="W27" s="907"/>
      <c r="X27" s="907"/>
      <c r="Y27" s="907"/>
      <c r="Z27" s="907"/>
      <c r="AA27" s="907"/>
      <c r="AB27" s="907"/>
      <c r="AC27" s="2659" t="s">
        <v>2753</v>
      </c>
      <c r="AD27" s="2659"/>
      <c r="AE27" s="2659"/>
      <c r="AF27" s="632"/>
      <c r="AG27" s="632"/>
      <c r="AH27" s="633" t="e">
        <f>+AH26-'BẢNG PHÂN TOÁN'!#REF!</f>
        <v>#REF!</v>
      </c>
      <c r="AI27" s="639" t="e">
        <f>SUM(#REF!)</f>
        <v>#REF!</v>
      </c>
    </row>
    <row r="28" spans="1:38" s="157" customFormat="1" ht="15.95" customHeight="1">
      <c r="C28" s="2335" t="s">
        <v>1921</v>
      </c>
      <c r="D28" s="2335"/>
      <c r="E28" s="2335"/>
      <c r="F28" s="2335"/>
      <c r="G28" s="2335" t="s">
        <v>616</v>
      </c>
      <c r="H28" s="2335"/>
      <c r="I28" s="2335"/>
      <c r="J28" s="2335"/>
      <c r="K28" s="2335"/>
      <c r="L28" s="2335"/>
      <c r="M28" s="2335"/>
      <c r="N28" s="2335"/>
      <c r="O28" s="2335"/>
      <c r="P28" s="2335"/>
      <c r="Q28" s="2335" t="s">
        <v>2391</v>
      </c>
      <c r="R28" s="2335"/>
      <c r="S28" s="2335"/>
      <c r="T28" s="2335"/>
      <c r="U28" s="2335"/>
      <c r="V28" s="2335"/>
      <c r="W28" s="2335"/>
      <c r="X28" s="2335"/>
      <c r="Y28" s="2335"/>
      <c r="Z28" s="2335"/>
      <c r="AA28" s="2335"/>
      <c r="AB28" s="2335"/>
      <c r="AC28" s="2335"/>
      <c r="AD28" s="2335" t="s">
        <v>612</v>
      </c>
      <c r="AE28" s="2335"/>
      <c r="AH28" s="926" t="e">
        <f>+#REF!+#REF!+#REF!+#REF!+#REF!+#REF!</f>
        <v>#REF!</v>
      </c>
      <c r="AI28" s="635" t="e">
        <f>+AI27+#REF!</f>
        <v>#REF!</v>
      </c>
      <c r="AJ28" s="158"/>
      <c r="AK28" s="158"/>
      <c r="AL28" s="200"/>
    </row>
    <row r="29" spans="1:38" s="158" customFormat="1" ht="15">
      <c r="D29" s="611"/>
      <c r="E29" s="620"/>
      <c r="F29" s="611"/>
      <c r="G29" s="613"/>
      <c r="H29" s="613"/>
      <c r="I29" s="613"/>
      <c r="J29" s="613"/>
      <c r="K29" s="726"/>
      <c r="L29" s="734"/>
      <c r="M29" s="734"/>
      <c r="N29" s="734"/>
      <c r="O29" s="734"/>
      <c r="P29" s="201"/>
      <c r="Q29" s="201"/>
      <c r="R29" s="201"/>
      <c r="AC29" s="745"/>
      <c r="AD29" s="200"/>
      <c r="AG29" s="620"/>
      <c r="AH29" s="620"/>
      <c r="AI29" s="620" t="e">
        <f>+AI28-#REF!</f>
        <v>#REF!</v>
      </c>
      <c r="AL29" s="200"/>
    </row>
    <row r="30" spans="1:38" s="158" customFormat="1" ht="15">
      <c r="D30" s="611"/>
      <c r="E30" s="620"/>
      <c r="F30" s="614"/>
      <c r="G30" s="613"/>
      <c r="H30" s="613"/>
      <c r="I30" s="613"/>
      <c r="J30" s="613"/>
      <c r="K30" s="726"/>
      <c r="L30" s="734"/>
      <c r="M30" s="734"/>
      <c r="N30" s="734"/>
      <c r="O30" s="734"/>
      <c r="P30" s="201"/>
      <c r="Q30" s="201"/>
      <c r="R30" s="201"/>
      <c r="AC30" s="745"/>
      <c r="AD30" s="200"/>
      <c r="AG30" s="620"/>
      <c r="AH30" s="620"/>
      <c r="AL30" s="200"/>
    </row>
    <row r="31" spans="1:38" s="158" customFormat="1" ht="47.25" customHeight="1">
      <c r="D31" s="200"/>
      <c r="E31" s="200"/>
      <c r="F31" s="615"/>
      <c r="G31" s="613"/>
      <c r="H31" s="613"/>
      <c r="I31" s="613"/>
      <c r="J31" s="613"/>
      <c r="K31" s="2654"/>
      <c r="L31" s="2654"/>
      <c r="M31" s="2654"/>
      <c r="N31" s="2654"/>
      <c r="O31" s="905"/>
      <c r="P31" s="2655"/>
      <c r="Q31" s="2655"/>
      <c r="S31" s="748"/>
      <c r="T31" s="748"/>
      <c r="U31" s="748"/>
      <c r="V31" s="748"/>
      <c r="W31" s="748"/>
      <c r="X31" s="748"/>
      <c r="Y31" s="748"/>
      <c r="Z31" s="748"/>
      <c r="AA31" s="748"/>
      <c r="AB31" s="748"/>
      <c r="AC31" s="745"/>
      <c r="AD31" s="2656"/>
      <c r="AE31" s="2656"/>
      <c r="AG31" s="620"/>
      <c r="AH31" s="635"/>
      <c r="AI31" s="604"/>
    </row>
    <row r="32" spans="1:38" s="158" customFormat="1">
      <c r="D32" s="616"/>
      <c r="E32" s="172"/>
      <c r="F32" s="615"/>
      <c r="G32" s="200"/>
      <c r="H32" s="200"/>
      <c r="I32" s="200"/>
      <c r="J32" s="200"/>
      <c r="K32" s="2656"/>
      <c r="L32" s="2656"/>
      <c r="M32" s="634"/>
      <c r="N32" s="734"/>
      <c r="O32" s="734"/>
      <c r="P32" s="2657"/>
      <c r="Q32" s="2657"/>
      <c r="R32" s="2657"/>
      <c r="S32" s="908"/>
      <c r="T32" s="908"/>
      <c r="U32" s="908"/>
      <c r="V32" s="908"/>
      <c r="W32" s="908"/>
      <c r="X32" s="908"/>
      <c r="Y32" s="908"/>
      <c r="Z32" s="908"/>
      <c r="AA32" s="908"/>
      <c r="AB32" s="908"/>
      <c r="AC32" s="2656"/>
      <c r="AD32" s="2656"/>
      <c r="AG32" s="620"/>
      <c r="AI32" s="604"/>
    </row>
    <row r="33" spans="3:35" s="158" customFormat="1">
      <c r="C33" s="2335" t="s">
        <v>1924</v>
      </c>
      <c r="D33" s="2335"/>
      <c r="E33" s="2335"/>
      <c r="F33" s="2335"/>
      <c r="G33" s="2649" t="s">
        <v>2758</v>
      </c>
      <c r="H33" s="2649"/>
      <c r="I33" s="2649"/>
      <c r="J33" s="2649"/>
      <c r="K33" s="2649"/>
      <c r="L33" s="2649"/>
      <c r="M33" s="2649"/>
      <c r="N33" s="2649"/>
      <c r="O33" s="2649"/>
      <c r="P33" s="2649"/>
      <c r="Q33" s="201"/>
      <c r="R33" s="201"/>
      <c r="S33" s="747"/>
      <c r="T33" s="747"/>
      <c r="U33" s="747"/>
      <c r="V33" s="747"/>
      <c r="W33" s="747"/>
      <c r="X33" s="747"/>
      <c r="Y33" s="747"/>
      <c r="Z33" s="747"/>
      <c r="AA33" s="747"/>
      <c r="AB33" s="747"/>
      <c r="AC33" s="745"/>
      <c r="AD33" s="2650" t="s">
        <v>613</v>
      </c>
      <c r="AE33" s="2650"/>
      <c r="AG33" s="620"/>
      <c r="AH33" s="200"/>
      <c r="AI33" s="604"/>
    </row>
    <row r="34" spans="3:35" s="158" customFormat="1" ht="14.25" customHeight="1">
      <c r="C34" s="617"/>
      <c r="D34" s="617"/>
      <c r="E34" s="617"/>
      <c r="F34" s="2651"/>
      <c r="G34" s="2651"/>
      <c r="H34" s="2651"/>
      <c r="I34" s="2651"/>
      <c r="J34" s="2651"/>
      <c r="K34" s="2651"/>
      <c r="L34" s="2652"/>
      <c r="M34" s="2652"/>
      <c r="N34" s="2652"/>
      <c r="O34" s="749"/>
      <c r="P34" s="2653"/>
      <c r="Q34" s="2653"/>
      <c r="R34" s="201"/>
      <c r="AC34" s="745"/>
      <c r="AD34" s="200"/>
      <c r="AE34" s="172"/>
      <c r="AG34" s="620"/>
      <c r="AI34" s="604"/>
    </row>
    <row r="35" spans="3:35" s="158" customFormat="1">
      <c r="C35" s="618"/>
      <c r="E35" s="200"/>
      <c r="F35" s="2647"/>
      <c r="G35" s="2647"/>
      <c r="H35" s="2647"/>
      <c r="I35" s="2647"/>
      <c r="J35" s="2647"/>
      <c r="K35" s="2647"/>
      <c r="L35" s="750"/>
      <c r="M35" s="750"/>
      <c r="N35" s="2648"/>
      <c r="O35" s="2648"/>
      <c r="P35" s="2648"/>
      <c r="Q35" s="2646"/>
      <c r="R35" s="2646"/>
      <c r="S35" s="201"/>
      <c r="T35" s="201"/>
      <c r="U35" s="201"/>
      <c r="V35" s="201"/>
      <c r="W35" s="201"/>
      <c r="X35" s="201"/>
      <c r="Y35" s="201"/>
      <c r="Z35" s="201"/>
      <c r="AA35" s="201"/>
      <c r="AB35" s="201"/>
      <c r="AC35" s="745"/>
      <c r="AD35" s="200"/>
      <c r="AE35" s="734"/>
      <c r="AG35" s="620"/>
      <c r="AI35" s="604"/>
    </row>
    <row r="36" spans="3:35" s="158" customFormat="1">
      <c r="E36" s="200"/>
      <c r="F36" s="619"/>
      <c r="G36" s="2645"/>
      <c r="H36" s="2645"/>
      <c r="I36" s="2645"/>
      <c r="J36" s="2645"/>
      <c r="K36" s="2645"/>
      <c r="L36" s="750"/>
      <c r="M36" s="750"/>
      <c r="N36" s="750"/>
      <c r="O36" s="750"/>
      <c r="P36" s="201"/>
      <c r="Q36" s="2646"/>
      <c r="R36" s="2646"/>
      <c r="AC36" s="745"/>
      <c r="AD36" s="200"/>
      <c r="AG36" s="620"/>
      <c r="AH36" s="618" t="e">
        <f>+#REF!+#REF!+#REF!+#REF!+#REF!+#REF!</f>
        <v>#REF!</v>
      </c>
      <c r="AI36" s="604"/>
    </row>
    <row r="37" spans="3:35" s="158" customFormat="1">
      <c r="C37" s="200"/>
      <c r="E37" s="200"/>
      <c r="F37" s="619"/>
      <c r="G37" s="2645"/>
      <c r="H37" s="2645"/>
      <c r="I37" s="2645"/>
      <c r="J37" s="2645"/>
      <c r="K37" s="2645"/>
      <c r="L37" s="750"/>
      <c r="M37" s="750"/>
      <c r="N37" s="750"/>
      <c r="O37" s="750"/>
      <c r="P37" s="201"/>
      <c r="Q37" s="2646"/>
      <c r="R37" s="2646"/>
      <c r="S37" s="618"/>
      <c r="T37" s="618"/>
      <c r="U37" s="618"/>
      <c r="V37" s="618"/>
      <c r="W37" s="618"/>
      <c r="X37" s="618"/>
      <c r="Y37" s="618"/>
      <c r="Z37" s="618"/>
      <c r="AA37" s="618"/>
      <c r="AB37" s="618"/>
      <c r="AC37" s="745"/>
      <c r="AD37" s="200"/>
      <c r="AG37" s="620"/>
      <c r="AI37" s="604"/>
    </row>
    <row r="38" spans="3:35" s="158" customFormat="1">
      <c r="E38" s="200"/>
      <c r="F38" s="619"/>
      <c r="G38" s="2645"/>
      <c r="H38" s="2645"/>
      <c r="I38" s="2645"/>
      <c r="J38" s="2645"/>
      <c r="K38" s="2645"/>
      <c r="L38" s="750"/>
      <c r="M38" s="750"/>
      <c r="N38" s="750"/>
      <c r="O38" s="750"/>
      <c r="P38" s="201"/>
      <c r="Q38" s="2646"/>
      <c r="R38" s="2646"/>
      <c r="S38" s="200"/>
      <c r="T38" s="200"/>
      <c r="U38" s="200"/>
      <c r="V38" s="200"/>
      <c r="W38" s="200"/>
      <c r="X38" s="200"/>
      <c r="Y38" s="200"/>
      <c r="Z38" s="200"/>
      <c r="AA38" s="200"/>
      <c r="AB38" s="200"/>
      <c r="AC38" s="745"/>
      <c r="AD38" s="200"/>
      <c r="AG38" s="620"/>
      <c r="AI38" s="604"/>
    </row>
    <row r="39" spans="3:35" s="158" customFormat="1">
      <c r="E39" s="200"/>
      <c r="F39" s="619"/>
      <c r="G39" s="2645"/>
      <c r="H39" s="2645"/>
      <c r="I39" s="2645"/>
      <c r="J39" s="2645"/>
      <c r="K39" s="2645"/>
      <c r="L39" s="750"/>
      <c r="M39" s="750"/>
      <c r="N39" s="750"/>
      <c r="O39" s="750"/>
      <c r="P39" s="201"/>
      <c r="Q39" s="2646"/>
      <c r="R39" s="2646"/>
      <c r="S39" s="200"/>
      <c r="T39" s="200"/>
      <c r="U39" s="200"/>
      <c r="V39" s="200"/>
      <c r="W39" s="200"/>
      <c r="X39" s="200"/>
      <c r="Y39" s="200"/>
      <c r="Z39" s="200"/>
      <c r="AA39" s="200"/>
      <c r="AB39" s="200"/>
      <c r="AC39" s="745"/>
      <c r="AD39" s="200"/>
      <c r="AG39" s="620"/>
      <c r="AI39" s="604"/>
    </row>
    <row r="40" spans="3:35" s="158" customFormat="1">
      <c r="E40" s="200"/>
      <c r="F40" s="619"/>
      <c r="G40" s="613"/>
      <c r="H40" s="613"/>
      <c r="I40" s="613"/>
      <c r="J40" s="613"/>
      <c r="K40" s="746"/>
      <c r="L40" s="752"/>
      <c r="M40" s="752"/>
      <c r="N40" s="752"/>
      <c r="O40" s="752"/>
      <c r="P40" s="201"/>
      <c r="Q40" s="201"/>
      <c r="R40" s="201"/>
      <c r="AC40" s="745"/>
      <c r="AD40" s="200"/>
      <c r="AG40" s="620"/>
      <c r="AI40" s="604"/>
    </row>
    <row r="41" spans="3:35" s="158" customFormat="1">
      <c r="C41" s="620"/>
      <c r="E41" s="200"/>
      <c r="F41" s="619"/>
      <c r="G41" s="613"/>
      <c r="H41" s="613"/>
      <c r="I41" s="613"/>
      <c r="J41" s="613"/>
      <c r="K41" s="726"/>
      <c r="L41" s="734"/>
      <c r="M41" s="734"/>
      <c r="N41" s="734"/>
      <c r="O41" s="734"/>
      <c r="P41" s="201"/>
      <c r="Q41" s="201"/>
      <c r="R41" s="201"/>
      <c r="AC41" s="745"/>
      <c r="AD41" s="200"/>
      <c r="AG41" s="620"/>
      <c r="AI41" s="604"/>
    </row>
    <row r="42" spans="3:35" s="158" customFormat="1">
      <c r="E42" s="200"/>
      <c r="F42" s="621"/>
      <c r="G42" s="613"/>
      <c r="H42" s="613"/>
      <c r="I42" s="613"/>
      <c r="J42" s="613"/>
      <c r="K42" s="726"/>
      <c r="L42" s="734"/>
      <c r="M42" s="734"/>
      <c r="N42" s="734"/>
      <c r="O42" s="734"/>
      <c r="P42" s="201"/>
      <c r="Q42" s="201"/>
      <c r="R42" s="201"/>
      <c r="S42" s="746"/>
      <c r="T42" s="746"/>
      <c r="U42" s="746"/>
      <c r="V42" s="746"/>
      <c r="W42" s="746"/>
      <c r="X42" s="746"/>
      <c r="Y42" s="746"/>
      <c r="Z42" s="746"/>
      <c r="AA42" s="746"/>
      <c r="AB42" s="746"/>
      <c r="AC42" s="745"/>
      <c r="AD42" s="200"/>
      <c r="AG42" s="620"/>
      <c r="AI42" s="604"/>
    </row>
    <row r="43" spans="3:35" s="158" customFormat="1">
      <c r="E43" s="200"/>
      <c r="F43" s="621"/>
      <c r="G43" s="613"/>
      <c r="H43" s="613"/>
      <c r="I43" s="613"/>
      <c r="J43" s="613"/>
      <c r="K43" s="726"/>
      <c r="L43" s="734"/>
      <c r="M43" s="734"/>
      <c r="N43" s="734"/>
      <c r="O43" s="734"/>
      <c r="P43" s="201"/>
      <c r="Q43" s="201"/>
      <c r="R43" s="201"/>
      <c r="S43" s="909"/>
      <c r="T43" s="909"/>
      <c r="U43" s="909"/>
      <c r="V43" s="909"/>
      <c r="W43" s="909"/>
      <c r="X43" s="909"/>
      <c r="Y43" s="909"/>
      <c r="Z43" s="909"/>
      <c r="AA43" s="909"/>
      <c r="AB43" s="909"/>
      <c r="AC43" s="745"/>
      <c r="AD43" s="200"/>
      <c r="AG43" s="620"/>
      <c r="AI43" s="604"/>
    </row>
    <row r="44" spans="3:35" s="158" customFormat="1">
      <c r="E44" s="200"/>
      <c r="F44" s="621"/>
      <c r="G44" s="613"/>
      <c r="H44" s="613"/>
      <c r="I44" s="613"/>
      <c r="J44" s="613"/>
      <c r="K44" s="726"/>
      <c r="L44" s="734"/>
      <c r="M44" s="734"/>
      <c r="N44" s="734"/>
      <c r="O44" s="734"/>
      <c r="P44" s="201"/>
      <c r="Q44" s="201"/>
      <c r="R44" s="201"/>
      <c r="AC44" s="745"/>
      <c r="AD44" s="200"/>
      <c r="AG44" s="620"/>
      <c r="AI44" s="604"/>
    </row>
    <row r="45" spans="3:35" s="158" customFormat="1">
      <c r="E45" s="200"/>
      <c r="F45" s="621"/>
      <c r="G45" s="613"/>
      <c r="H45" s="613"/>
      <c r="I45" s="613"/>
      <c r="J45" s="613"/>
      <c r="K45" s="726"/>
      <c r="L45" s="734"/>
      <c r="M45" s="734"/>
      <c r="N45" s="734"/>
      <c r="O45" s="734"/>
      <c r="P45" s="201"/>
      <c r="Q45" s="201"/>
      <c r="R45" s="201"/>
      <c r="AC45" s="745"/>
      <c r="AD45" s="200"/>
      <c r="AG45" s="620"/>
      <c r="AI45" s="604"/>
    </row>
    <row r="46" spans="3:35" s="158" customFormat="1">
      <c r="E46" s="200"/>
      <c r="F46" s="621"/>
      <c r="G46" s="613"/>
      <c r="H46" s="613"/>
      <c r="I46" s="613"/>
      <c r="J46" s="613"/>
      <c r="K46" s="726"/>
      <c r="L46" s="734"/>
      <c r="M46" s="734"/>
      <c r="N46" s="734"/>
      <c r="O46" s="734"/>
      <c r="P46" s="201"/>
      <c r="Q46" s="201"/>
      <c r="R46" s="201"/>
      <c r="AC46" s="745"/>
      <c r="AD46" s="200"/>
      <c r="AG46" s="620"/>
      <c r="AI46" s="604"/>
    </row>
    <row r="47" spans="3:35" s="158" customFormat="1">
      <c r="E47" s="200"/>
      <c r="F47" s="621"/>
      <c r="G47" s="613"/>
      <c r="H47" s="613"/>
      <c r="I47" s="613"/>
      <c r="J47" s="613"/>
      <c r="K47" s="726"/>
      <c r="L47" s="734"/>
      <c r="M47" s="734"/>
      <c r="N47" s="734"/>
      <c r="O47" s="734"/>
      <c r="P47" s="201"/>
      <c r="Q47" s="201"/>
      <c r="R47" s="201"/>
      <c r="AC47" s="745"/>
      <c r="AD47" s="200"/>
      <c r="AG47" s="620"/>
      <c r="AI47" s="604"/>
    </row>
    <row r="48" spans="3:35" s="158" customFormat="1">
      <c r="E48" s="200"/>
      <c r="F48" s="621"/>
      <c r="G48" s="613"/>
      <c r="H48" s="613"/>
      <c r="I48" s="613"/>
      <c r="J48" s="613"/>
      <c r="K48" s="726"/>
      <c r="L48" s="734"/>
      <c r="M48" s="734"/>
      <c r="N48" s="734"/>
      <c r="O48" s="734"/>
      <c r="P48" s="201"/>
      <c r="Q48" s="201"/>
      <c r="R48" s="201"/>
      <c r="AC48" s="745"/>
      <c r="AD48" s="200"/>
      <c r="AG48" s="620"/>
      <c r="AI48" s="604"/>
    </row>
    <row r="49" spans="5:35" s="158" customFormat="1">
      <c r="E49" s="200"/>
      <c r="F49" s="621"/>
      <c r="G49" s="613"/>
      <c r="H49" s="613"/>
      <c r="I49" s="613"/>
      <c r="J49" s="613"/>
      <c r="K49" s="726"/>
      <c r="L49" s="734"/>
      <c r="M49" s="734"/>
      <c r="N49" s="734"/>
      <c r="O49" s="734"/>
      <c r="P49" s="201"/>
      <c r="Q49" s="201"/>
      <c r="R49" s="201"/>
      <c r="AC49" s="745"/>
      <c r="AD49" s="200"/>
      <c r="AG49" s="620"/>
      <c r="AI49" s="604"/>
    </row>
    <row r="50" spans="5:35" s="158" customFormat="1">
      <c r="E50" s="200"/>
      <c r="F50" s="621"/>
      <c r="G50" s="613"/>
      <c r="H50" s="613"/>
      <c r="I50" s="613"/>
      <c r="J50" s="613"/>
      <c r="K50" s="726"/>
      <c r="L50" s="734"/>
      <c r="M50" s="734"/>
      <c r="N50" s="734"/>
      <c r="O50" s="734"/>
      <c r="P50" s="201"/>
      <c r="Q50" s="201"/>
      <c r="R50" s="201"/>
      <c r="AC50" s="745"/>
      <c r="AD50" s="200"/>
      <c r="AG50" s="620"/>
      <c r="AI50" s="604"/>
    </row>
    <row r="51" spans="5:35" s="158" customFormat="1">
      <c r="E51" s="200"/>
      <c r="F51" s="621"/>
      <c r="G51" s="613"/>
      <c r="H51" s="613"/>
      <c r="I51" s="613"/>
      <c r="J51" s="613"/>
      <c r="K51" s="726"/>
      <c r="L51" s="734"/>
      <c r="M51" s="734"/>
      <c r="N51" s="734"/>
      <c r="O51" s="734"/>
      <c r="P51" s="201"/>
      <c r="Q51" s="201"/>
      <c r="R51" s="201"/>
      <c r="AC51" s="745"/>
      <c r="AD51" s="200"/>
      <c r="AG51" s="620"/>
      <c r="AI51" s="604"/>
    </row>
    <row r="52" spans="5:35" s="158" customFormat="1">
      <c r="E52" s="200"/>
      <c r="F52" s="621"/>
      <c r="G52" s="613"/>
      <c r="H52" s="613"/>
      <c r="I52" s="613"/>
      <c r="J52" s="613"/>
      <c r="K52" s="726"/>
      <c r="L52" s="734"/>
      <c r="M52" s="734"/>
      <c r="N52" s="734"/>
      <c r="O52" s="734"/>
      <c r="P52" s="201"/>
      <c r="Q52" s="201"/>
      <c r="R52" s="201"/>
      <c r="AC52" s="745"/>
      <c r="AD52" s="200"/>
      <c r="AG52" s="620"/>
      <c r="AI52" s="604"/>
    </row>
    <row r="53" spans="5:35" s="158" customFormat="1">
      <c r="E53" s="200"/>
      <c r="F53" s="621"/>
      <c r="G53" s="613"/>
      <c r="H53" s="613"/>
      <c r="I53" s="613"/>
      <c r="J53" s="613"/>
      <c r="K53" s="726"/>
      <c r="L53" s="734"/>
      <c r="M53" s="734"/>
      <c r="N53" s="734"/>
      <c r="O53" s="734"/>
      <c r="P53" s="201"/>
      <c r="Q53" s="201"/>
      <c r="R53" s="201"/>
      <c r="AC53" s="745"/>
      <c r="AD53" s="200"/>
      <c r="AG53" s="620"/>
      <c r="AI53" s="604"/>
    </row>
    <row r="54" spans="5:35" s="158" customFormat="1">
      <c r="E54" s="200"/>
      <c r="F54" s="621"/>
      <c r="G54" s="613"/>
      <c r="H54" s="613"/>
      <c r="I54" s="613"/>
      <c r="J54" s="613"/>
      <c r="K54" s="726"/>
      <c r="L54" s="734"/>
      <c r="M54" s="734"/>
      <c r="N54" s="734"/>
      <c r="O54" s="734"/>
      <c r="P54" s="201"/>
      <c r="Q54" s="201"/>
      <c r="R54" s="201"/>
      <c r="AC54" s="745"/>
      <c r="AD54" s="200"/>
      <c r="AG54" s="620"/>
      <c r="AI54" s="604"/>
    </row>
    <row r="55" spans="5:35" s="158" customFormat="1">
      <c r="E55" s="200"/>
      <c r="F55" s="621"/>
      <c r="G55" s="613"/>
      <c r="H55" s="613"/>
      <c r="I55" s="613"/>
      <c r="J55" s="613"/>
      <c r="K55" s="726"/>
      <c r="L55" s="734"/>
      <c r="M55" s="734"/>
      <c r="N55" s="734"/>
      <c r="O55" s="734"/>
      <c r="P55" s="201"/>
      <c r="Q55" s="201"/>
      <c r="R55" s="201"/>
      <c r="AC55" s="745"/>
      <c r="AD55" s="200"/>
      <c r="AG55" s="620"/>
      <c r="AI55" s="604"/>
    </row>
    <row r="56" spans="5:35" s="158" customFormat="1">
      <c r="E56" s="200"/>
      <c r="F56" s="621"/>
      <c r="G56" s="613"/>
      <c r="H56" s="613"/>
      <c r="I56" s="613"/>
      <c r="J56" s="613"/>
      <c r="K56" s="726"/>
      <c r="L56" s="734"/>
      <c r="M56" s="734"/>
      <c r="N56" s="734"/>
      <c r="O56" s="734"/>
      <c r="P56" s="201"/>
      <c r="Q56" s="201"/>
      <c r="R56" s="201"/>
      <c r="AC56" s="745"/>
      <c r="AD56" s="200"/>
      <c r="AG56" s="620"/>
      <c r="AI56" s="604"/>
    </row>
    <row r="57" spans="5:35" s="158" customFormat="1">
      <c r="E57" s="200"/>
      <c r="F57" s="621"/>
      <c r="G57" s="613"/>
      <c r="H57" s="613"/>
      <c r="I57" s="613"/>
      <c r="J57" s="613"/>
      <c r="K57" s="726"/>
      <c r="L57" s="734"/>
      <c r="M57" s="734"/>
      <c r="N57" s="734"/>
      <c r="O57" s="734"/>
      <c r="P57" s="201"/>
      <c r="Q57" s="201"/>
      <c r="R57" s="201"/>
      <c r="AC57" s="745"/>
      <c r="AD57" s="200"/>
      <c r="AG57" s="620"/>
      <c r="AI57" s="604"/>
    </row>
    <row r="58" spans="5:35" s="158" customFormat="1">
      <c r="E58" s="200"/>
      <c r="F58" s="621"/>
      <c r="G58" s="613"/>
      <c r="H58" s="613"/>
      <c r="I58" s="613"/>
      <c r="J58" s="613"/>
      <c r="K58" s="726"/>
      <c r="L58" s="734"/>
      <c r="M58" s="734"/>
      <c r="N58" s="734"/>
      <c r="O58" s="734"/>
      <c r="P58" s="201"/>
      <c r="Q58" s="201"/>
      <c r="R58" s="201"/>
      <c r="AC58" s="745"/>
      <c r="AD58" s="200"/>
      <c r="AG58" s="620"/>
      <c r="AI58" s="604"/>
    </row>
    <row r="59" spans="5:35" s="158" customFormat="1">
      <c r="E59" s="200"/>
      <c r="F59" s="621"/>
      <c r="G59" s="613"/>
      <c r="H59" s="613"/>
      <c r="I59" s="613"/>
      <c r="J59" s="613"/>
      <c r="K59" s="726"/>
      <c r="L59" s="734"/>
      <c r="M59" s="734"/>
      <c r="N59" s="734"/>
      <c r="O59" s="734"/>
      <c r="P59" s="201"/>
      <c r="Q59" s="201"/>
      <c r="R59" s="201"/>
      <c r="AC59" s="745"/>
      <c r="AD59" s="200"/>
      <c r="AG59" s="620"/>
      <c r="AI59" s="604"/>
    </row>
    <row r="60" spans="5:35" s="158" customFormat="1">
      <c r="E60" s="200"/>
      <c r="F60" s="621"/>
      <c r="G60" s="613"/>
      <c r="H60" s="613"/>
      <c r="I60" s="613"/>
      <c r="J60" s="613"/>
      <c r="K60" s="726"/>
      <c r="L60" s="734"/>
      <c r="M60" s="734"/>
      <c r="N60" s="734"/>
      <c r="O60" s="734"/>
      <c r="P60" s="201"/>
      <c r="Q60" s="201"/>
      <c r="R60" s="201"/>
      <c r="AC60" s="745"/>
      <c r="AD60" s="200"/>
      <c r="AG60" s="620"/>
      <c r="AI60" s="604"/>
    </row>
    <row r="61" spans="5:35" s="158" customFormat="1">
      <c r="E61" s="200"/>
      <c r="F61" s="621"/>
      <c r="G61" s="613"/>
      <c r="H61" s="613"/>
      <c r="I61" s="613"/>
      <c r="J61" s="613"/>
      <c r="K61" s="726"/>
      <c r="L61" s="734"/>
      <c r="M61" s="734"/>
      <c r="N61" s="734"/>
      <c r="O61" s="734"/>
      <c r="P61" s="201"/>
      <c r="Q61" s="201"/>
      <c r="R61" s="201"/>
      <c r="AC61" s="745"/>
      <c r="AD61" s="200"/>
      <c r="AG61" s="620"/>
      <c r="AI61" s="604"/>
    </row>
    <row r="62" spans="5:35" s="158" customFormat="1">
      <c r="E62" s="200"/>
      <c r="F62" s="621"/>
      <c r="G62" s="613"/>
      <c r="H62" s="613"/>
      <c r="I62" s="613"/>
      <c r="J62" s="613"/>
      <c r="K62" s="726"/>
      <c r="L62" s="734"/>
      <c r="M62" s="734"/>
      <c r="N62" s="734"/>
      <c r="O62" s="734"/>
      <c r="P62" s="201"/>
      <c r="Q62" s="201"/>
      <c r="R62" s="201"/>
      <c r="AC62" s="745"/>
      <c r="AD62" s="200"/>
      <c r="AG62" s="620"/>
      <c r="AI62" s="604"/>
    </row>
    <row r="63" spans="5:35" s="158" customFormat="1">
      <c r="E63" s="200"/>
      <c r="F63" s="621"/>
      <c r="G63" s="613"/>
      <c r="H63" s="613"/>
      <c r="I63" s="613"/>
      <c r="J63" s="613"/>
      <c r="K63" s="726"/>
      <c r="L63" s="734"/>
      <c r="M63" s="734"/>
      <c r="N63" s="734"/>
      <c r="O63" s="734"/>
      <c r="P63" s="201"/>
      <c r="Q63" s="201"/>
      <c r="R63" s="201"/>
      <c r="AC63" s="745"/>
      <c r="AD63" s="200"/>
      <c r="AG63" s="620"/>
      <c r="AI63" s="604"/>
    </row>
    <row r="64" spans="5:35" s="158" customFormat="1">
      <c r="E64" s="200"/>
      <c r="F64" s="621"/>
      <c r="G64" s="613"/>
      <c r="H64" s="613"/>
      <c r="I64" s="613"/>
      <c r="J64" s="613"/>
      <c r="K64" s="726"/>
      <c r="L64" s="734"/>
      <c r="M64" s="734"/>
      <c r="N64" s="734"/>
      <c r="O64" s="734"/>
      <c r="P64" s="201"/>
      <c r="Q64" s="201"/>
      <c r="R64" s="201"/>
      <c r="AC64" s="745"/>
      <c r="AD64" s="200"/>
      <c r="AG64" s="620"/>
      <c r="AI64" s="604"/>
    </row>
    <row r="65" spans="5:35" s="158" customFormat="1">
      <c r="E65" s="200"/>
      <c r="F65" s="621"/>
      <c r="G65" s="613"/>
      <c r="H65" s="613"/>
      <c r="I65" s="613"/>
      <c r="J65" s="613"/>
      <c r="K65" s="726"/>
      <c r="L65" s="734"/>
      <c r="M65" s="734"/>
      <c r="N65" s="734"/>
      <c r="O65" s="734"/>
      <c r="P65" s="201"/>
      <c r="Q65" s="201"/>
      <c r="R65" s="201"/>
      <c r="AC65" s="745"/>
      <c r="AD65" s="200"/>
      <c r="AG65" s="620"/>
      <c r="AI65" s="604"/>
    </row>
    <row r="66" spans="5:35" s="158" customFormat="1">
      <c r="E66" s="200"/>
      <c r="F66" s="621"/>
      <c r="G66" s="613"/>
      <c r="H66" s="613"/>
      <c r="I66" s="613"/>
      <c r="J66" s="613"/>
      <c r="K66" s="726"/>
      <c r="L66" s="734"/>
      <c r="M66" s="734"/>
      <c r="N66" s="734"/>
      <c r="O66" s="734"/>
      <c r="P66" s="201"/>
      <c r="Q66" s="201"/>
      <c r="R66" s="201"/>
      <c r="AC66" s="745"/>
      <c r="AD66" s="200"/>
      <c r="AG66" s="620"/>
      <c r="AI66" s="604"/>
    </row>
    <row r="67" spans="5:35" s="158" customFormat="1">
      <c r="E67" s="200"/>
      <c r="F67" s="621"/>
      <c r="G67" s="613"/>
      <c r="H67" s="613"/>
      <c r="I67" s="613"/>
      <c r="J67" s="613"/>
      <c r="K67" s="726"/>
      <c r="L67" s="734"/>
      <c r="M67" s="734"/>
      <c r="N67" s="734"/>
      <c r="O67" s="734"/>
      <c r="P67" s="201"/>
      <c r="Q67" s="201"/>
      <c r="R67" s="201"/>
      <c r="AC67" s="745"/>
      <c r="AD67" s="200"/>
      <c r="AG67" s="620"/>
      <c r="AI67" s="604"/>
    </row>
    <row r="68" spans="5:35" s="158" customFormat="1">
      <c r="E68" s="200"/>
      <c r="F68" s="621"/>
      <c r="G68" s="613"/>
      <c r="H68" s="613"/>
      <c r="I68" s="613"/>
      <c r="J68" s="613"/>
      <c r="K68" s="726"/>
      <c r="L68" s="734"/>
      <c r="M68" s="734"/>
      <c r="N68" s="734"/>
      <c r="O68" s="734"/>
      <c r="P68" s="201"/>
      <c r="Q68" s="201"/>
      <c r="R68" s="201"/>
      <c r="AC68" s="745"/>
      <c r="AD68" s="200"/>
      <c r="AG68" s="620"/>
      <c r="AI68" s="604"/>
    </row>
    <row r="69" spans="5:35" s="158" customFormat="1">
      <c r="E69" s="200"/>
      <c r="F69" s="621"/>
      <c r="G69" s="613"/>
      <c r="H69" s="613"/>
      <c r="I69" s="613"/>
      <c r="J69" s="613"/>
      <c r="K69" s="726"/>
      <c r="L69" s="734"/>
      <c r="M69" s="734"/>
      <c r="N69" s="734"/>
      <c r="O69" s="734"/>
      <c r="P69" s="201"/>
      <c r="Q69" s="201"/>
      <c r="R69" s="201"/>
      <c r="AC69" s="745"/>
      <c r="AD69" s="200"/>
      <c r="AG69" s="620"/>
      <c r="AI69" s="604"/>
    </row>
    <row r="70" spans="5:35" s="158" customFormat="1">
      <c r="E70" s="200"/>
      <c r="F70" s="621"/>
      <c r="G70" s="613"/>
      <c r="H70" s="613"/>
      <c r="I70" s="613"/>
      <c r="J70" s="613"/>
      <c r="K70" s="726"/>
      <c r="L70" s="734"/>
      <c r="M70" s="734"/>
      <c r="N70" s="734"/>
      <c r="O70" s="734"/>
      <c r="P70" s="201"/>
      <c r="Q70" s="201"/>
      <c r="R70" s="201"/>
      <c r="AC70" s="745"/>
      <c r="AD70" s="200"/>
      <c r="AG70" s="620"/>
      <c r="AI70" s="604"/>
    </row>
    <row r="71" spans="5:35" s="158" customFormat="1">
      <c r="E71" s="200"/>
      <c r="F71" s="621"/>
      <c r="G71" s="613"/>
      <c r="H71" s="613"/>
      <c r="I71" s="613"/>
      <c r="J71" s="613"/>
      <c r="K71" s="726"/>
      <c r="L71" s="734"/>
      <c r="M71" s="734"/>
      <c r="N71" s="734"/>
      <c r="O71" s="734"/>
      <c r="P71" s="201"/>
      <c r="Q71" s="201"/>
      <c r="R71" s="201"/>
      <c r="AC71" s="745"/>
      <c r="AD71" s="200"/>
      <c r="AG71" s="620"/>
      <c r="AI71" s="604"/>
    </row>
    <row r="72" spans="5:35" s="158" customFormat="1">
      <c r="E72" s="200"/>
      <c r="F72" s="621"/>
      <c r="G72" s="613"/>
      <c r="H72" s="613"/>
      <c r="I72" s="613"/>
      <c r="J72" s="613"/>
      <c r="K72" s="726"/>
      <c r="L72" s="734"/>
      <c r="M72" s="734"/>
      <c r="N72" s="734"/>
      <c r="O72" s="734"/>
      <c r="P72" s="201"/>
      <c r="Q72" s="201"/>
      <c r="R72" s="201"/>
      <c r="AC72" s="745"/>
      <c r="AD72" s="200"/>
      <c r="AG72" s="620"/>
      <c r="AI72" s="604"/>
    </row>
    <row r="73" spans="5:35" s="158" customFormat="1">
      <c r="E73" s="200"/>
      <c r="F73" s="621"/>
      <c r="G73" s="613"/>
      <c r="H73" s="613"/>
      <c r="I73" s="613"/>
      <c r="J73" s="613"/>
      <c r="K73" s="726"/>
      <c r="L73" s="734"/>
      <c r="M73" s="734"/>
      <c r="N73" s="734"/>
      <c r="O73" s="734"/>
      <c r="P73" s="201"/>
      <c r="Q73" s="201"/>
      <c r="R73" s="201"/>
      <c r="AC73" s="745"/>
      <c r="AD73" s="200"/>
      <c r="AG73" s="620"/>
      <c r="AI73" s="604"/>
    </row>
    <row r="74" spans="5:35" s="158" customFormat="1">
      <c r="E74" s="200"/>
      <c r="F74" s="621"/>
      <c r="G74" s="613"/>
      <c r="H74" s="613"/>
      <c r="I74" s="613"/>
      <c r="J74" s="613"/>
      <c r="K74" s="726"/>
      <c r="L74" s="734"/>
      <c r="M74" s="734"/>
      <c r="N74" s="734"/>
      <c r="O74" s="734"/>
      <c r="P74" s="201"/>
      <c r="Q74" s="201"/>
      <c r="R74" s="201"/>
      <c r="AC74" s="745"/>
      <c r="AD74" s="200"/>
      <c r="AG74" s="620"/>
      <c r="AI74" s="604"/>
    </row>
    <row r="75" spans="5:35" s="158" customFormat="1">
      <c r="E75" s="200"/>
      <c r="F75" s="621"/>
      <c r="G75" s="613"/>
      <c r="H75" s="613"/>
      <c r="I75" s="613"/>
      <c r="J75" s="613"/>
      <c r="K75" s="726"/>
      <c r="L75" s="734"/>
      <c r="M75" s="734"/>
      <c r="N75" s="734"/>
      <c r="O75" s="734"/>
      <c r="P75" s="201"/>
      <c r="Q75" s="201"/>
      <c r="R75" s="201"/>
      <c r="AC75" s="745"/>
      <c r="AD75" s="200"/>
      <c r="AG75" s="620"/>
      <c r="AI75" s="604"/>
    </row>
    <row r="111" spans="22:22">
      <c r="V111" s="841" t="e">
        <f>SUM(V15:V110)</f>
        <v>#N/A</v>
      </c>
    </row>
  </sheetData>
  <mergeCells count="48">
    <mergeCell ref="B1:AE1"/>
    <mergeCell ref="B2:AE2"/>
    <mergeCell ref="C3:AE3"/>
    <mergeCell ref="C4:K4"/>
    <mergeCell ref="C5:K5"/>
    <mergeCell ref="A7:AF7"/>
    <mergeCell ref="A8:D8"/>
    <mergeCell ref="F10:AC10"/>
    <mergeCell ref="F11:G11"/>
    <mergeCell ref="K11:Q11"/>
    <mergeCell ref="R11:AC11"/>
    <mergeCell ref="A10:A12"/>
    <mergeCell ref="B10:B12"/>
    <mergeCell ref="C10:C12"/>
    <mergeCell ref="D10:D12"/>
    <mergeCell ref="E10:E12"/>
    <mergeCell ref="AD10:AD12"/>
    <mergeCell ref="AE10:AE12"/>
    <mergeCell ref="AF10:AF12"/>
    <mergeCell ref="A26:AE26"/>
    <mergeCell ref="AC27:AE27"/>
    <mergeCell ref="C28:F28"/>
    <mergeCell ref="G28:P28"/>
    <mergeCell ref="Q28:AC28"/>
    <mergeCell ref="AD28:AE28"/>
    <mergeCell ref="K31:N31"/>
    <mergeCell ref="P31:Q31"/>
    <mergeCell ref="AD31:AE31"/>
    <mergeCell ref="K32:L32"/>
    <mergeCell ref="P32:R32"/>
    <mergeCell ref="AC32:AD32"/>
    <mergeCell ref="C33:F33"/>
    <mergeCell ref="G33:P33"/>
    <mergeCell ref="AD33:AE33"/>
    <mergeCell ref="F34:K34"/>
    <mergeCell ref="L34:N34"/>
    <mergeCell ref="P34:Q34"/>
    <mergeCell ref="F35:K35"/>
    <mergeCell ref="N35:P35"/>
    <mergeCell ref="Q35:R35"/>
    <mergeCell ref="G36:K36"/>
    <mergeCell ref="Q36:R36"/>
    <mergeCell ref="G37:K37"/>
    <mergeCell ref="Q37:R37"/>
    <mergeCell ref="G38:K38"/>
    <mergeCell ref="Q38:R38"/>
    <mergeCell ref="G39:K39"/>
    <mergeCell ref="Q39:R39"/>
  </mergeCells>
  <printOptions horizontalCentered="1"/>
  <pageMargins left="0" right="0" top="0.511811023622047" bottom="0.511811023622047" header="0.31496062992126" footer="0.31496062992126"/>
  <pageSetup paperSize="9" scale="80" orientation="landscape"/>
  <headerFooter>
    <oddFooter>&amp;R&amp;P/1</oddFooter>
  </headerFooter>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AL111"/>
  <sheetViews>
    <sheetView showZeros="0" topLeftCell="A11" zoomScale="130" zoomScaleNormal="130" workbookViewId="0">
      <selection activeCell="R19" sqref="R19"/>
    </sheetView>
  </sheetViews>
  <sheetFormatPr defaultColWidth="18.85546875" defaultRowHeight="18.75"/>
  <cols>
    <col min="1" max="1" width="3.28515625" style="197" customWidth="1"/>
    <col min="2" max="2" width="11.28515625" style="197" hidden="1" customWidth="1"/>
    <col min="3" max="3" width="13" style="601" customWidth="1"/>
    <col min="4" max="4" width="8.140625" style="346" customWidth="1"/>
    <col min="5" max="5" width="13.5703125" style="346" customWidth="1"/>
    <col min="6" max="6" width="8.42578125" style="602" customWidth="1"/>
    <col min="7" max="7" width="11.140625" style="346" customWidth="1"/>
    <col min="8" max="10" width="10.5703125" style="346" hidden="1" customWidth="1"/>
    <col min="11" max="11" width="7" style="684" customWidth="1"/>
    <col min="12" max="12" width="8.7109375" style="685" hidden="1" customWidth="1"/>
    <col min="13" max="13" width="6.42578125" style="685" customWidth="1"/>
    <col min="14" max="14" width="9.7109375" style="685" hidden="1" customWidth="1"/>
    <col min="15" max="15" width="9.7109375" style="685" customWidth="1"/>
    <col min="16" max="16" width="7" style="686" customWidth="1"/>
    <col min="17" max="17" width="10" style="687" customWidth="1"/>
    <col min="18" max="19" width="7" style="346" customWidth="1"/>
    <col min="20" max="22" width="7" style="346" hidden="1" customWidth="1"/>
    <col min="23" max="23" width="6.28515625" style="346" hidden="1" customWidth="1"/>
    <col min="24" max="24" width="6.28515625" style="346" customWidth="1"/>
    <col min="25" max="25" width="7" style="346" customWidth="1"/>
    <col min="26" max="26" width="6.28515625" style="346" customWidth="1"/>
    <col min="27" max="27" width="7" style="346" customWidth="1"/>
    <col min="28" max="28" width="7" style="346" hidden="1" customWidth="1"/>
    <col min="29" max="29" width="10.7109375" style="346" customWidth="1"/>
    <col min="30" max="30" width="10.28515625" style="346" customWidth="1"/>
    <col min="31" max="31" width="11.140625" style="346" customWidth="1"/>
    <col min="32" max="32" width="13.28515625" style="346" customWidth="1"/>
    <col min="33" max="33" width="9.5703125" style="603" customWidth="1"/>
    <col min="34" max="34" width="19.7109375" style="346" customWidth="1"/>
    <col min="35" max="35" width="14.5703125" style="604" customWidth="1"/>
    <col min="36" max="228" width="9.140625" style="346" customWidth="1"/>
    <col min="229" max="229" width="5.5703125" style="346" customWidth="1"/>
    <col min="230" max="230" width="16.140625" style="346" customWidth="1"/>
    <col min="231" max="16384" width="18.85546875" style="346"/>
  </cols>
  <sheetData>
    <row r="1" spans="1:37" s="598" customFormat="1" ht="15.75">
      <c r="B1" s="2672" t="s">
        <v>0</v>
      </c>
      <c r="C1" s="2672"/>
      <c r="D1" s="2672"/>
      <c r="E1" s="2672"/>
      <c r="F1" s="2672"/>
      <c r="G1" s="2672"/>
      <c r="H1" s="2672"/>
      <c r="I1" s="2672"/>
      <c r="J1" s="2672"/>
      <c r="K1" s="2672"/>
      <c r="L1" s="2672"/>
      <c r="M1" s="2672"/>
      <c r="N1" s="2672"/>
      <c r="O1" s="2672"/>
      <c r="P1" s="2672"/>
      <c r="Q1" s="2672"/>
      <c r="R1" s="2672"/>
      <c r="S1" s="2672"/>
      <c r="T1" s="2672"/>
      <c r="U1" s="2672"/>
      <c r="V1" s="2672"/>
      <c r="W1" s="2672"/>
      <c r="X1" s="2672"/>
      <c r="Y1" s="2672"/>
      <c r="Z1" s="2672"/>
      <c r="AA1" s="2672"/>
      <c r="AB1" s="2672"/>
      <c r="AC1" s="2672"/>
      <c r="AD1" s="2672"/>
      <c r="AE1" s="2672"/>
    </row>
    <row r="2" spans="1:37" s="598" customFormat="1" ht="15.75">
      <c r="B2" s="2672" t="s">
        <v>1968</v>
      </c>
      <c r="C2" s="2672"/>
      <c r="D2" s="2672"/>
      <c r="E2" s="2672"/>
      <c r="F2" s="2672"/>
      <c r="G2" s="2672"/>
      <c r="H2" s="2672"/>
      <c r="I2" s="2672"/>
      <c r="J2" s="2672"/>
      <c r="K2" s="2672"/>
      <c r="L2" s="2672"/>
      <c r="M2" s="2672"/>
      <c r="N2" s="2672"/>
      <c r="O2" s="2672"/>
      <c r="P2" s="2672"/>
      <c r="Q2" s="2672"/>
      <c r="R2" s="2672"/>
      <c r="S2" s="2672"/>
      <c r="T2" s="2672"/>
      <c r="U2" s="2672"/>
      <c r="V2" s="2672"/>
      <c r="W2" s="2672"/>
      <c r="X2" s="2672"/>
      <c r="Y2" s="2672"/>
      <c r="Z2" s="2672"/>
      <c r="AA2" s="2672"/>
      <c r="AB2" s="2672"/>
      <c r="AC2" s="2672"/>
      <c r="AD2" s="2672"/>
      <c r="AE2" s="2672"/>
    </row>
    <row r="3" spans="1:37" s="598" customFormat="1" ht="15.75">
      <c r="C3" s="2673" t="s">
        <v>619</v>
      </c>
      <c r="D3" s="2672"/>
      <c r="E3" s="2672"/>
      <c r="F3" s="2672"/>
      <c r="G3" s="2672"/>
      <c r="H3" s="2672"/>
      <c r="I3" s="2672"/>
      <c r="J3" s="2672"/>
      <c r="K3" s="2672"/>
      <c r="L3" s="2672"/>
      <c r="M3" s="2672"/>
      <c r="N3" s="2672"/>
      <c r="O3" s="2672"/>
      <c r="P3" s="2672"/>
      <c r="Q3" s="2672"/>
      <c r="R3" s="2672"/>
      <c r="S3" s="2672"/>
      <c r="T3" s="2672"/>
      <c r="U3" s="2672"/>
      <c r="V3" s="2672"/>
      <c r="W3" s="2672"/>
      <c r="X3" s="2672"/>
      <c r="Y3" s="2672"/>
      <c r="Z3" s="2672"/>
      <c r="AA3" s="2672"/>
      <c r="AB3" s="2672"/>
      <c r="AC3" s="2672"/>
      <c r="AD3" s="2672"/>
      <c r="AE3" s="2672"/>
    </row>
    <row r="4" spans="1:37" s="598" customFormat="1" ht="15.75">
      <c r="C4" s="2674" t="s">
        <v>2738</v>
      </c>
      <c r="D4" s="2675"/>
      <c r="E4" s="2675"/>
      <c r="F4" s="2675"/>
      <c r="G4" s="2675"/>
      <c r="H4" s="2675"/>
      <c r="I4" s="2675"/>
      <c r="J4" s="2675"/>
      <c r="K4" s="2675"/>
      <c r="L4" s="700"/>
      <c r="M4" s="700"/>
      <c r="N4" s="700"/>
      <c r="O4" s="700"/>
      <c r="P4" s="605"/>
      <c r="Q4" s="605"/>
      <c r="R4" s="605"/>
      <c r="S4" s="605"/>
      <c r="T4" s="605"/>
      <c r="U4" s="605"/>
      <c r="V4" s="605"/>
      <c r="W4" s="605"/>
      <c r="X4" s="605"/>
      <c r="Y4" s="605"/>
      <c r="Z4" s="605"/>
      <c r="AA4" s="605"/>
      <c r="AB4" s="605"/>
      <c r="AC4" s="605"/>
    </row>
    <row r="5" spans="1:37" s="28" customFormat="1" ht="16.5">
      <c r="C5" s="2676" t="s">
        <v>620</v>
      </c>
      <c r="D5" s="2676"/>
      <c r="E5" s="2676"/>
      <c r="F5" s="2676"/>
      <c r="G5" s="2676"/>
      <c r="H5" s="2676"/>
      <c r="I5" s="2676"/>
      <c r="J5" s="2676"/>
      <c r="K5" s="2676"/>
      <c r="L5" s="876"/>
      <c r="M5" s="876"/>
      <c r="N5" s="702"/>
      <c r="O5" s="702"/>
      <c r="P5" s="76"/>
      <c r="R5" s="76"/>
      <c r="S5" s="76"/>
      <c r="T5" s="80"/>
      <c r="U5" s="81"/>
      <c r="V5" s="81"/>
      <c r="W5" s="81"/>
      <c r="X5" s="80"/>
      <c r="Y5" s="81"/>
      <c r="Z5" s="81"/>
      <c r="AA5" s="81"/>
      <c r="AC5" s="82"/>
    </row>
    <row r="6" spans="1:37" ht="15.75">
      <c r="A6" s="175"/>
      <c r="B6" s="175"/>
      <c r="C6" s="175"/>
      <c r="D6" s="175"/>
      <c r="E6" s="175"/>
      <c r="F6" s="175"/>
      <c r="G6" s="175"/>
      <c r="H6" s="175"/>
      <c r="I6" s="175"/>
      <c r="J6" s="175"/>
      <c r="K6" s="689"/>
      <c r="L6" s="703"/>
      <c r="M6" s="703"/>
      <c r="N6" s="703"/>
      <c r="O6" s="703"/>
      <c r="P6" s="704"/>
      <c r="Q6" s="705"/>
      <c r="R6" s="175"/>
      <c r="S6" s="175"/>
      <c r="T6" s="175"/>
      <c r="U6" s="175"/>
      <c r="V6" s="175"/>
      <c r="W6" s="175"/>
      <c r="X6" s="175"/>
      <c r="Y6" s="175"/>
      <c r="Z6" s="175"/>
      <c r="AA6" s="175"/>
      <c r="AB6" s="175"/>
      <c r="AC6" s="175"/>
      <c r="AD6" s="175"/>
      <c r="AE6" s="175"/>
      <c r="AF6" s="176"/>
      <c r="AH6" s="555" t="s">
        <v>1952</v>
      </c>
      <c r="AI6" s="475">
        <f>AI8/AI7</f>
        <v>0.46408510638297901</v>
      </c>
    </row>
    <row r="7" spans="1:37" s="176" customFormat="1" ht="27" customHeight="1">
      <c r="A7" s="2290" t="s">
        <v>2759</v>
      </c>
      <c r="B7" s="2290"/>
      <c r="C7" s="2290"/>
      <c r="D7" s="2290"/>
      <c r="E7" s="2290"/>
      <c r="F7" s="2290"/>
      <c r="G7" s="2290"/>
      <c r="H7" s="2290"/>
      <c r="I7" s="2290"/>
      <c r="J7" s="2290"/>
      <c r="K7" s="2290"/>
      <c r="L7" s="2290"/>
      <c r="M7" s="2290"/>
      <c r="N7" s="2290"/>
      <c r="O7" s="2290"/>
      <c r="P7" s="2290"/>
      <c r="Q7" s="2290"/>
      <c r="R7" s="2290"/>
      <c r="S7" s="2290"/>
      <c r="T7" s="2290"/>
      <c r="U7" s="2290"/>
      <c r="V7" s="2290"/>
      <c r="W7" s="2290"/>
      <c r="X7" s="2290"/>
      <c r="Y7" s="2290"/>
      <c r="Z7" s="2290"/>
      <c r="AA7" s="2290"/>
      <c r="AB7" s="2290"/>
      <c r="AC7" s="2290"/>
      <c r="AD7" s="2290"/>
      <c r="AE7" s="2290"/>
      <c r="AF7" s="2290"/>
      <c r="AG7" s="622"/>
      <c r="AH7" s="917" t="s">
        <v>2570</v>
      </c>
      <c r="AI7" s="918">
        <f>THCKT!AO19</f>
        <v>385</v>
      </c>
    </row>
    <row r="8" spans="1:37" s="176" customFormat="1" ht="24.6" customHeight="1">
      <c r="A8" s="2660" t="s">
        <v>2710</v>
      </c>
      <c r="B8" s="2660"/>
      <c r="C8" s="2660"/>
      <c r="D8" s="2660"/>
      <c r="E8" s="175"/>
      <c r="F8" s="158">
        <f>'LƯƠNG KT'!F8</f>
        <v>668.84</v>
      </c>
      <c r="G8" s="175"/>
      <c r="H8" s="175"/>
      <c r="I8" s="175"/>
      <c r="J8" s="175"/>
      <c r="K8" s="175"/>
      <c r="L8" s="706"/>
      <c r="M8" s="706"/>
      <c r="N8" s="706"/>
      <c r="O8" s="706"/>
      <c r="P8" s="175"/>
      <c r="Q8" s="175"/>
      <c r="R8" s="175"/>
      <c r="S8" s="175"/>
      <c r="T8" s="175"/>
      <c r="U8" s="175"/>
      <c r="V8" s="175"/>
      <c r="W8" s="175"/>
      <c r="X8" s="175"/>
      <c r="Y8" s="175"/>
      <c r="Z8" s="175"/>
      <c r="AA8" s="175"/>
      <c r="AB8" s="175"/>
      <c r="AC8" s="175"/>
      <c r="AD8" s="175"/>
      <c r="AE8" s="175"/>
      <c r="AF8" s="175"/>
      <c r="AG8" s="622"/>
      <c r="AH8" s="917" t="s">
        <v>2602</v>
      </c>
      <c r="AI8" s="919">
        <f>THCKT!AP19</f>
        <v>178.67276595744701</v>
      </c>
      <c r="AJ8" s="176">
        <v>14923</v>
      </c>
      <c r="AK8" s="176">
        <v>6531.82175972815</v>
      </c>
    </row>
    <row r="9" spans="1:37" s="176" customFormat="1" ht="18.75" customHeight="1">
      <c r="A9" s="608"/>
      <c r="B9" s="608"/>
      <c r="C9" s="172"/>
      <c r="D9" s="608"/>
      <c r="E9" s="608"/>
      <c r="F9" s="609" t="e">
        <f>'Đội 3'!F9</f>
        <v>#REF!</v>
      </c>
      <c r="G9" s="175"/>
      <c r="H9" s="175"/>
      <c r="I9" s="175"/>
      <c r="J9" s="175"/>
      <c r="K9" s="175"/>
      <c r="L9" s="706"/>
      <c r="M9" s="706"/>
      <c r="N9" s="706"/>
      <c r="O9" s="706"/>
      <c r="P9" s="175"/>
      <c r="Q9" s="175"/>
      <c r="R9" s="175"/>
      <c r="S9" s="175"/>
      <c r="T9" s="175"/>
      <c r="U9" s="175"/>
      <c r="V9" s="175"/>
      <c r="W9" s="175"/>
      <c r="X9" s="175"/>
      <c r="Y9" s="175"/>
      <c r="Z9" s="175"/>
      <c r="AA9" s="175"/>
      <c r="AB9" s="175"/>
      <c r="AC9" s="175"/>
      <c r="AF9" s="175"/>
      <c r="AG9" s="622"/>
      <c r="AH9" s="920" t="s">
        <v>373</v>
      </c>
      <c r="AI9" s="921">
        <v>0.5</v>
      </c>
    </row>
    <row r="10" spans="1:37" s="175" customFormat="1" ht="17.25" customHeight="1">
      <c r="A10" s="2666" t="s">
        <v>623</v>
      </c>
      <c r="B10" s="2666" t="s">
        <v>624</v>
      </c>
      <c r="C10" s="2668" t="s">
        <v>356</v>
      </c>
      <c r="D10" s="2666" t="s">
        <v>2711</v>
      </c>
      <c r="E10" s="2664" t="s">
        <v>531</v>
      </c>
      <c r="F10" s="2661" t="s">
        <v>2712</v>
      </c>
      <c r="G10" s="2662"/>
      <c r="H10" s="2662"/>
      <c r="I10" s="2662"/>
      <c r="J10" s="2662"/>
      <c r="K10" s="2662"/>
      <c r="L10" s="2662"/>
      <c r="M10" s="2662"/>
      <c r="N10" s="2662"/>
      <c r="O10" s="2662"/>
      <c r="P10" s="2662"/>
      <c r="Q10" s="2662"/>
      <c r="R10" s="2662"/>
      <c r="S10" s="2662"/>
      <c r="T10" s="2662"/>
      <c r="U10" s="2662"/>
      <c r="V10" s="2662"/>
      <c r="W10" s="2662"/>
      <c r="X10" s="2662"/>
      <c r="Y10" s="2662"/>
      <c r="Z10" s="2662"/>
      <c r="AA10" s="2662"/>
      <c r="AB10" s="2662"/>
      <c r="AC10" s="2663"/>
      <c r="AD10" s="2664" t="s">
        <v>2713</v>
      </c>
      <c r="AE10" s="2664" t="s">
        <v>2714</v>
      </c>
      <c r="AF10" s="2671" t="s">
        <v>2715</v>
      </c>
      <c r="AG10" s="623"/>
      <c r="AH10" s="920" t="s">
        <v>2604</v>
      </c>
      <c r="AI10" s="921">
        <v>0.2</v>
      </c>
    </row>
    <row r="11" spans="1:37" s="175" customFormat="1" ht="28.5" customHeight="1">
      <c r="A11" s="2666"/>
      <c r="B11" s="2666"/>
      <c r="C11" s="2669"/>
      <c r="D11" s="2666"/>
      <c r="E11" s="2664"/>
      <c r="F11" s="2666" t="s">
        <v>2716</v>
      </c>
      <c r="G11" s="2666"/>
      <c r="H11" s="862"/>
      <c r="I11" s="862"/>
      <c r="J11" s="862"/>
      <c r="K11" s="2664" t="s">
        <v>2717</v>
      </c>
      <c r="L11" s="2664"/>
      <c r="M11" s="2664"/>
      <c r="N11" s="2664"/>
      <c r="O11" s="2664"/>
      <c r="P11" s="2664"/>
      <c r="Q11" s="2664"/>
      <c r="R11" s="2665" t="s">
        <v>2718</v>
      </c>
      <c r="S11" s="2665"/>
      <c r="T11" s="2665"/>
      <c r="U11" s="2665"/>
      <c r="V11" s="2665"/>
      <c r="W11" s="2665"/>
      <c r="X11" s="2665"/>
      <c r="Y11" s="2665"/>
      <c r="Z11" s="2665"/>
      <c r="AA11" s="2665"/>
      <c r="AB11" s="2665"/>
      <c r="AC11" s="2665"/>
      <c r="AD11" s="2664"/>
      <c r="AE11" s="2664"/>
      <c r="AF11" s="2671"/>
      <c r="AG11" s="623"/>
      <c r="AI11" s="604"/>
    </row>
    <row r="12" spans="1:37" s="599" customFormat="1" ht="51" customHeight="1">
      <c r="A12" s="2667"/>
      <c r="B12" s="2666"/>
      <c r="C12" s="2670"/>
      <c r="D12" s="2667"/>
      <c r="E12" s="2664"/>
      <c r="F12" s="864" t="s">
        <v>2593</v>
      </c>
      <c r="G12" s="178" t="s">
        <v>2719</v>
      </c>
      <c r="H12" s="910" t="s">
        <v>2586</v>
      </c>
      <c r="I12" s="910" t="s">
        <v>2587</v>
      </c>
      <c r="J12" s="910" t="s">
        <v>2588</v>
      </c>
      <c r="K12" s="877" t="s">
        <v>2720</v>
      </c>
      <c r="L12" s="878" t="s">
        <v>2740</v>
      </c>
      <c r="M12" s="878" t="s">
        <v>2721</v>
      </c>
      <c r="N12" s="878" t="s">
        <v>2741</v>
      </c>
      <c r="O12" s="878" t="s">
        <v>2722</v>
      </c>
      <c r="P12" s="879" t="s">
        <v>2742</v>
      </c>
      <c r="Q12" s="860" t="s">
        <v>2724</v>
      </c>
      <c r="R12" s="885" t="s">
        <v>2743</v>
      </c>
      <c r="S12" s="885" t="s">
        <v>2744</v>
      </c>
      <c r="T12" s="885" t="s">
        <v>2745</v>
      </c>
      <c r="U12" s="885" t="s">
        <v>369</v>
      </c>
      <c r="V12" s="885" t="s">
        <v>2666</v>
      </c>
      <c r="W12" s="885" t="s">
        <v>2680</v>
      </c>
      <c r="X12" s="886" t="s">
        <v>2746</v>
      </c>
      <c r="Y12" s="885" t="s">
        <v>2747</v>
      </c>
      <c r="Z12" s="885" t="s">
        <v>2683</v>
      </c>
      <c r="AA12" s="886" t="s">
        <v>2748</v>
      </c>
      <c r="AB12" s="885"/>
      <c r="AC12" s="860" t="s">
        <v>2727</v>
      </c>
      <c r="AD12" s="2664"/>
      <c r="AE12" s="2664"/>
      <c r="AF12" s="2671"/>
      <c r="AG12" s="624" t="s">
        <v>2728</v>
      </c>
      <c r="AI12" s="637"/>
    </row>
    <row r="13" spans="1:37" s="29" customFormat="1" ht="34.15" hidden="1" customHeight="1">
      <c r="A13" s="866" t="s">
        <v>636</v>
      </c>
      <c r="B13" s="866"/>
      <c r="C13" s="863" t="s">
        <v>638</v>
      </c>
      <c r="D13" s="866" t="s">
        <v>639</v>
      </c>
      <c r="E13" s="863" t="s">
        <v>2729</v>
      </c>
      <c r="F13" s="866" t="s">
        <v>640</v>
      </c>
      <c r="G13" s="866" t="s">
        <v>2730</v>
      </c>
      <c r="H13" s="866"/>
      <c r="I13" s="866"/>
      <c r="J13" s="866"/>
      <c r="K13" s="880" t="s">
        <v>2731</v>
      </c>
      <c r="L13" s="881" t="s">
        <v>2731</v>
      </c>
      <c r="M13" s="881" t="s">
        <v>2731</v>
      </c>
      <c r="N13" s="881" t="s">
        <v>2731</v>
      </c>
      <c r="O13" s="881" t="s">
        <v>2731</v>
      </c>
      <c r="P13" s="866" t="s">
        <v>2732</v>
      </c>
      <c r="Q13" s="866" t="s">
        <v>2730</v>
      </c>
      <c r="R13" s="866" t="s">
        <v>2733</v>
      </c>
      <c r="S13" s="866" t="s">
        <v>2734</v>
      </c>
      <c r="T13" s="866" t="s">
        <v>2734</v>
      </c>
      <c r="U13" s="866" t="s">
        <v>2734</v>
      </c>
      <c r="V13" s="866" t="s">
        <v>2734</v>
      </c>
      <c r="W13" s="866" t="s">
        <v>2734</v>
      </c>
      <c r="X13" s="866" t="s">
        <v>2734</v>
      </c>
      <c r="Y13" s="866" t="s">
        <v>2734</v>
      </c>
      <c r="Z13" s="866" t="s">
        <v>2734</v>
      </c>
      <c r="AA13" s="866" t="s">
        <v>2734</v>
      </c>
      <c r="AB13" s="866" t="s">
        <v>2734</v>
      </c>
      <c r="AC13" s="866" t="s">
        <v>2730</v>
      </c>
      <c r="AD13" s="888" t="s">
        <v>643</v>
      </c>
      <c r="AE13" s="863" t="s">
        <v>644</v>
      </c>
      <c r="AF13" s="626" t="s">
        <v>2735</v>
      </c>
      <c r="AG13" s="627" t="s">
        <v>2736</v>
      </c>
      <c r="AI13" s="637"/>
    </row>
    <row r="14" spans="1:37" s="540" customFormat="1">
      <c r="A14" s="868">
        <v>1</v>
      </c>
      <c r="B14" s="869" t="e">
        <f>VLOOKUP(C14,'DS CN MOI UP'!$B$10:$C$389,2,0)</f>
        <v>#N/A</v>
      </c>
      <c r="C14" s="875" t="s">
        <v>116</v>
      </c>
      <c r="D14" s="875" t="s">
        <v>15</v>
      </c>
      <c r="E14" s="872"/>
      <c r="F14" s="873">
        <f>VLOOKUP(C14:C21,THCKT!$C$122:$AE$228,17,0)</f>
        <v>24</v>
      </c>
      <c r="G14" s="874">
        <f t="shared" ref="G14:G20" si="0">F14*25000</f>
        <v>600000</v>
      </c>
      <c r="H14" s="874"/>
      <c r="I14" s="874"/>
      <c r="J14" s="874"/>
      <c r="K14" s="874" t="e">
        <f>VLOOKUP(C14,THCKT!$C$13:$AL$460,21,0)</f>
        <v>#N/A</v>
      </c>
      <c r="L14" s="883">
        <f>VLOOKUP(C14,THCKT!$C$13:$AL$460,22,0)</f>
        <v>0</v>
      </c>
      <c r="M14" s="883">
        <f>VLOOKUP(C14,THCKT!$C$13:$AL$460,23,0)</f>
        <v>0</v>
      </c>
      <c r="N14" s="883" t="e">
        <f t="shared" ref="N14:N20" si="1">$AI$8/$AI$7*K14+L14*$AI$9+M14*$AI$10</f>
        <v>#N/A</v>
      </c>
      <c r="O14" s="883" t="e">
        <f t="shared" ref="O14:O20" si="2">Q14/((Q14/(N14*$F$9)*$F$8))</f>
        <v>#N/A</v>
      </c>
      <c r="P14" s="884" t="e">
        <f>VLOOKUP(C14,THCKT!$C$13:$AL$460,36,0)</f>
        <v>#N/A</v>
      </c>
      <c r="Q14" s="887" t="e">
        <f>IF(P14="A",(K14*$AI$6*6.7),IF(P14="B",(K14*$AI$6*6.4),IF(P14="C",(K14*$AI$6*6.1),IF(P14="D",(K14*$AI$6*5.8),0))))*$F$9+(L14*$F$9*6.1*$AI$9)+M14*6.1*$F$9*$AI$10</f>
        <v>#N/A</v>
      </c>
      <c r="R14" s="874" t="e">
        <f>VLOOKUP(C14,'LƯƠNG KT'!$D$15:$P$94,16,0)</f>
        <v>#N/A</v>
      </c>
      <c r="S14" s="874" t="e">
        <f>VLOOKUP(C14,'LƯƠNG KT'!$D$15:$P$94,17,0)</f>
        <v>#N/A</v>
      </c>
      <c r="T14" s="874" t="e">
        <f>VLOOKUP(C14,'LƯƠNG KT'!$D$15:$P$94,18,0)</f>
        <v>#N/A</v>
      </c>
      <c r="U14" s="874" t="e">
        <f>VLOOKUP(C14,'LƯƠNG KT'!$D$15:$P$94,18,0)</f>
        <v>#N/A</v>
      </c>
      <c r="V14" s="874" t="e">
        <f>VLOOKUP(C14,'LƯƠNG KT'!$D$15:$P$94,19,0)</f>
        <v>#N/A</v>
      </c>
      <c r="W14" s="874" t="e">
        <f>VLOOKUP(C14,'LƯƠNG KT'!$D$15:$P$94,20,0)</f>
        <v>#N/A</v>
      </c>
      <c r="X14" s="874" t="e">
        <f>VLOOKUP(C14,'LƯƠNG KT'!$D$15:$P$94,21,0)</f>
        <v>#N/A</v>
      </c>
      <c r="Y14" s="874" t="e">
        <f>VLOOKUP(C14,'LƯƠNG KT'!$D$15:$P$94,23,0)</f>
        <v>#N/A</v>
      </c>
      <c r="Z14" s="874" t="e">
        <f>VLOOKUP(C14,'LƯƠNG KT'!$D$15:$P$94,24,0)</f>
        <v>#N/A</v>
      </c>
      <c r="AA14" s="874">
        <v>20</v>
      </c>
      <c r="AB14" s="874"/>
      <c r="AC14" s="889" t="e">
        <f>ROUND((((R14*46.1)+(S14*76.9)+(X14*30.7)+(U14*46.1*2)+(V14*46.1*2)+(W14*76.9*2))*$F$8),0)+T14*10000+Y14*20000+Z14*20000+AA14*25000</f>
        <v>#N/A</v>
      </c>
      <c r="AD14" s="889" t="e">
        <f t="shared" ref="AD14:AD20" si="3">AC14+Q14+G14</f>
        <v>#N/A</v>
      </c>
      <c r="AE14" s="889" t="e">
        <f t="shared" ref="AE14:AE20" si="4">AD14</f>
        <v>#N/A</v>
      </c>
      <c r="AF14" s="927"/>
      <c r="AG14" s="891"/>
      <c r="AH14" s="922" t="s">
        <v>2751</v>
      </c>
      <c r="AI14" s="637"/>
    </row>
    <row r="15" spans="1:37" s="540" customFormat="1">
      <c r="A15" s="868">
        <v>2</v>
      </c>
      <c r="B15" s="1644" t="str">
        <f>VLOOKUP(C15,'DS CN MOI UP'!$B$10:$C$389,2,0)</f>
        <v>02505</v>
      </c>
      <c r="C15" s="875" t="s">
        <v>117</v>
      </c>
      <c r="D15" s="875" t="s">
        <v>15</v>
      </c>
      <c r="E15" s="872"/>
      <c r="F15" s="873">
        <f>VLOOKUP(C15:C21,THCKT!$C$122:$AE$228,17,0)</f>
        <v>24</v>
      </c>
      <c r="G15" s="874">
        <f t="shared" si="0"/>
        <v>600000</v>
      </c>
      <c r="H15" s="874"/>
      <c r="I15" s="874"/>
      <c r="J15" s="874"/>
      <c r="K15" s="874" t="e">
        <f>VLOOKUP(C15,THCKT!$C$13:$AL$460,21,0)</f>
        <v>#N/A</v>
      </c>
      <c r="L15" s="883">
        <f>VLOOKUP(C15,THCKT!$C$13:$AL$460,22,0)</f>
        <v>0</v>
      </c>
      <c r="M15" s="883">
        <f>VLOOKUP(C15,THCKT!$C$13:$AL$460,23,0)</f>
        <v>0</v>
      </c>
      <c r="N15" s="883" t="e">
        <f t="shared" si="1"/>
        <v>#N/A</v>
      </c>
      <c r="O15" s="883" t="e">
        <f t="shared" si="2"/>
        <v>#N/A</v>
      </c>
      <c r="P15" s="884" t="e">
        <f>VLOOKUP(C15,THCKT!$C$13:$AL$460,36,0)</f>
        <v>#N/A</v>
      </c>
      <c r="Q15" s="887" t="e">
        <f t="shared" ref="Q15:Q20" si="5">IF(P15="A",(K15*$AI$6*6.7),IF(P15="B",(K15*$AI$6*6.4),IF(P15="C",(K15*$AI$6*6.1),IF(P15="D",(K15*$AI$6*5.8),0))))*$F$9+(L15*$F$9*6.1*$AI$9)+M15*6.1*$F$9*$AI$10</f>
        <v>#N/A</v>
      </c>
      <c r="R15" s="874" t="e">
        <f>VLOOKUP(C15,'LƯƠNG KT'!$D$15:$P$94,16,0)</f>
        <v>#N/A</v>
      </c>
      <c r="S15" s="874" t="e">
        <f>VLOOKUP(C15,'LƯƠNG KT'!$D$15:$P$94,17,0)</f>
        <v>#N/A</v>
      </c>
      <c r="T15" s="874" t="e">
        <f>VLOOKUP(C15,'LƯƠNG KT'!$D$15:$P$94,18,0)</f>
        <v>#N/A</v>
      </c>
      <c r="U15" s="874" t="e">
        <f>VLOOKUP(C15,'LƯƠNG KT'!$D$15:$P$94,18,0)</f>
        <v>#N/A</v>
      </c>
      <c r="V15" s="874" t="e">
        <f>VLOOKUP(C15,'LƯƠNG KT'!$D$15:$P$94,19,0)</f>
        <v>#N/A</v>
      </c>
      <c r="W15" s="874" t="e">
        <f>VLOOKUP(C15,'LƯƠNG KT'!$D$15:$P$94,20,0)</f>
        <v>#N/A</v>
      </c>
      <c r="X15" s="874" t="e">
        <f>VLOOKUP(C15,'LƯƠNG KT'!$D$15:$P$94,21,0)</f>
        <v>#N/A</v>
      </c>
      <c r="Y15" s="874" t="e">
        <f>VLOOKUP(C15,'LƯƠNG KT'!$D$15:$P$94,23,0)</f>
        <v>#N/A</v>
      </c>
      <c r="Z15" s="874" t="e">
        <f>VLOOKUP(C15,'LƯƠNG KT'!$D$15:$P$94,24,0)</f>
        <v>#N/A</v>
      </c>
      <c r="AA15" s="874">
        <v>20</v>
      </c>
      <c r="AB15" s="874"/>
      <c r="AC15" s="889" t="e">
        <f t="shared" ref="AC15:AC19" si="6">ROUND((((R15*46.1)+(S15*76.9)+(X15*30.7)+(U15*46.1*2)+(V15*46.1*2)+(W15*76.9*2))*$F$8),0)+T15*10000+Y15*20000+Z15*20000+AA15*25000</f>
        <v>#N/A</v>
      </c>
      <c r="AD15" s="889" t="e">
        <f t="shared" si="3"/>
        <v>#N/A</v>
      </c>
      <c r="AE15" s="889" t="e">
        <f t="shared" si="4"/>
        <v>#N/A</v>
      </c>
      <c r="AF15" s="915"/>
      <c r="AG15" s="891"/>
      <c r="AH15" s="540" t="s">
        <v>2751</v>
      </c>
      <c r="AI15" s="637" t="e">
        <f>#REF!+#REF!</f>
        <v>#REF!</v>
      </c>
    </row>
    <row r="16" spans="1:37" s="540" customFormat="1">
      <c r="A16" s="868">
        <v>3</v>
      </c>
      <c r="B16" s="1644" t="str">
        <f>VLOOKUP(C16,'DS CN MOI UP'!$B$10:$C$389,2,0)</f>
        <v>02472</v>
      </c>
      <c r="C16" s="875" t="s">
        <v>118</v>
      </c>
      <c r="D16" s="875" t="s">
        <v>15</v>
      </c>
      <c r="E16" s="872"/>
      <c r="F16" s="873">
        <f>VLOOKUP(C16:C21,THCKT!$C$122:$AE$228,17,0)</f>
        <v>24</v>
      </c>
      <c r="G16" s="874">
        <f t="shared" si="0"/>
        <v>600000</v>
      </c>
      <c r="H16" s="874"/>
      <c r="I16" s="874"/>
      <c r="J16" s="874"/>
      <c r="K16" s="874" t="e">
        <f>VLOOKUP(C16,THCKT!$C$13:$AL$460,21,0)</f>
        <v>#N/A</v>
      </c>
      <c r="L16" s="883">
        <f>VLOOKUP(C16,THCKT!$C$13:$AL$460,22,0)</f>
        <v>0</v>
      </c>
      <c r="M16" s="883">
        <f>VLOOKUP(C16,THCKT!$C$13:$AL$460,23,0)</f>
        <v>0</v>
      </c>
      <c r="N16" s="883" t="e">
        <f t="shared" si="1"/>
        <v>#N/A</v>
      </c>
      <c r="O16" s="883" t="e">
        <f t="shared" si="2"/>
        <v>#N/A</v>
      </c>
      <c r="P16" s="884" t="e">
        <f>VLOOKUP(C16,THCKT!$C$13:$AL$460,36,0)</f>
        <v>#N/A</v>
      </c>
      <c r="Q16" s="887" t="e">
        <f t="shared" si="5"/>
        <v>#N/A</v>
      </c>
      <c r="R16" s="874" t="e">
        <f>VLOOKUP(C16,'LƯƠNG KT'!$D$15:$P$94,16,0)</f>
        <v>#N/A</v>
      </c>
      <c r="S16" s="874" t="e">
        <f>VLOOKUP(C16,'LƯƠNG KT'!$D$15:$P$94,17,0)</f>
        <v>#N/A</v>
      </c>
      <c r="T16" s="874" t="e">
        <f>VLOOKUP(C16,'LƯƠNG KT'!$D$15:$P$94,18,0)</f>
        <v>#N/A</v>
      </c>
      <c r="U16" s="874" t="e">
        <f>VLOOKUP(C16,'LƯƠNG KT'!$D$15:$P$94,18,0)</f>
        <v>#N/A</v>
      </c>
      <c r="V16" s="874" t="e">
        <f>VLOOKUP(C16,'LƯƠNG KT'!$D$15:$P$94,19,0)</f>
        <v>#N/A</v>
      </c>
      <c r="W16" s="874" t="e">
        <f>VLOOKUP(C16,'LƯƠNG KT'!$D$15:$P$94,20,0)</f>
        <v>#N/A</v>
      </c>
      <c r="X16" s="874" t="e">
        <f>VLOOKUP(C16,'LƯƠNG KT'!$D$15:$P$94,21,0)</f>
        <v>#N/A</v>
      </c>
      <c r="Y16" s="874" t="e">
        <f>VLOOKUP(C16,'LƯƠNG KT'!$D$15:$P$94,23,0)</f>
        <v>#N/A</v>
      </c>
      <c r="Z16" s="874" t="e">
        <f>VLOOKUP(C16,'LƯƠNG KT'!$D$15:$P$94,24,0)</f>
        <v>#N/A</v>
      </c>
      <c r="AA16" s="874">
        <v>20</v>
      </c>
      <c r="AB16" s="874"/>
      <c r="AC16" s="889" t="e">
        <f t="shared" si="6"/>
        <v>#N/A</v>
      </c>
      <c r="AD16" s="889" t="e">
        <f t="shared" si="3"/>
        <v>#N/A</v>
      </c>
      <c r="AE16" s="889" t="e">
        <f t="shared" si="4"/>
        <v>#N/A</v>
      </c>
      <c r="AF16" s="915"/>
      <c r="AG16" s="891"/>
      <c r="AH16" s="922" t="s">
        <v>2751</v>
      </c>
      <c r="AI16" s="637"/>
    </row>
    <row r="17" spans="1:38" s="540" customFormat="1">
      <c r="A17" s="868">
        <v>4</v>
      </c>
      <c r="B17" s="1644" t="str">
        <f>VLOOKUP(C17,'DS CN MOI UP'!$B$10:$C$389,2,0)</f>
        <v>02477</v>
      </c>
      <c r="C17" s="875" t="s">
        <v>119</v>
      </c>
      <c r="D17" s="875" t="s">
        <v>15</v>
      </c>
      <c r="E17" s="872"/>
      <c r="F17" s="873">
        <f>VLOOKUP(C17:C21,THCKT!$C$122:$AE$228,17,0)</f>
        <v>24</v>
      </c>
      <c r="G17" s="874">
        <f t="shared" si="0"/>
        <v>600000</v>
      </c>
      <c r="H17" s="874"/>
      <c r="I17" s="874"/>
      <c r="J17" s="874"/>
      <c r="K17" s="874" t="e">
        <f>VLOOKUP(C17,THCKT!$C$13:$AL$460,21,0)</f>
        <v>#N/A</v>
      </c>
      <c r="L17" s="883">
        <f>VLOOKUP(C17,THCKT!$C$13:$AL$460,22,0)</f>
        <v>0</v>
      </c>
      <c r="M17" s="883">
        <f>VLOOKUP(C17,THCKT!$C$13:$AL$460,23,0)</f>
        <v>0</v>
      </c>
      <c r="N17" s="883" t="e">
        <f t="shared" si="1"/>
        <v>#N/A</v>
      </c>
      <c r="O17" s="883" t="e">
        <f t="shared" si="2"/>
        <v>#N/A</v>
      </c>
      <c r="P17" s="884" t="e">
        <f>VLOOKUP(C17,THCKT!$C$13:$AL$460,36,0)</f>
        <v>#N/A</v>
      </c>
      <c r="Q17" s="887" t="e">
        <f t="shared" si="5"/>
        <v>#N/A</v>
      </c>
      <c r="R17" s="874" t="e">
        <f>VLOOKUP(C17,'LƯƠNG KT'!$D$15:$P$94,16,0)</f>
        <v>#N/A</v>
      </c>
      <c r="S17" s="874" t="e">
        <f>VLOOKUP(C17,'LƯƠNG KT'!$D$15:$P$94,17,0)</f>
        <v>#N/A</v>
      </c>
      <c r="T17" s="874" t="e">
        <f>VLOOKUP(C17,'LƯƠNG KT'!$D$15:$P$94,18,0)</f>
        <v>#N/A</v>
      </c>
      <c r="U17" s="874" t="e">
        <f>VLOOKUP(C17,'LƯƠNG KT'!$D$15:$P$94,18,0)</f>
        <v>#N/A</v>
      </c>
      <c r="V17" s="874" t="e">
        <f>VLOOKUP(C17,'LƯƠNG KT'!$D$15:$P$94,19,0)</f>
        <v>#N/A</v>
      </c>
      <c r="W17" s="874" t="e">
        <f>VLOOKUP(C17,'LƯƠNG KT'!$D$15:$P$94,20,0)</f>
        <v>#N/A</v>
      </c>
      <c r="X17" s="874" t="e">
        <f>VLOOKUP(C17,'LƯƠNG KT'!$D$15:$P$94,21,0)</f>
        <v>#N/A</v>
      </c>
      <c r="Y17" s="874" t="e">
        <f>VLOOKUP(C17,'LƯƠNG KT'!$D$15:$P$94,23,0)</f>
        <v>#N/A</v>
      </c>
      <c r="Z17" s="874" t="e">
        <f>VLOOKUP(C17,'LƯƠNG KT'!$D$15:$P$94,24,0)</f>
        <v>#N/A</v>
      </c>
      <c r="AA17" s="874">
        <v>20</v>
      </c>
      <c r="AB17" s="874"/>
      <c r="AC17" s="889" t="e">
        <f t="shared" si="6"/>
        <v>#N/A</v>
      </c>
      <c r="AD17" s="889" t="e">
        <f t="shared" si="3"/>
        <v>#N/A</v>
      </c>
      <c r="AE17" s="889" t="e">
        <f t="shared" si="4"/>
        <v>#N/A</v>
      </c>
      <c r="AF17" s="915"/>
      <c r="AG17" s="891"/>
      <c r="AH17" s="540" t="s">
        <v>2751</v>
      </c>
      <c r="AI17" s="637"/>
    </row>
    <row r="18" spans="1:38" s="540" customFormat="1">
      <c r="A18" s="868">
        <v>5</v>
      </c>
      <c r="B18" s="1644" t="str">
        <f>VLOOKUP(C18,'DS CN MOI UP'!$B$10:$C$389,2,0)</f>
        <v>02495</v>
      </c>
      <c r="C18" s="875" t="s">
        <v>120</v>
      </c>
      <c r="D18" s="875" t="s">
        <v>15</v>
      </c>
      <c r="E18" s="872"/>
      <c r="F18" s="873">
        <f>VLOOKUP(C18:C21,THCKT!$C$122:$AE$228,17,0)</f>
        <v>24</v>
      </c>
      <c r="G18" s="874">
        <f t="shared" si="0"/>
        <v>600000</v>
      </c>
      <c r="H18" s="874"/>
      <c r="I18" s="874"/>
      <c r="J18" s="874"/>
      <c r="K18" s="874" t="e">
        <f>VLOOKUP(C18,THCKT!$C$13:$AL$460,21,0)</f>
        <v>#N/A</v>
      </c>
      <c r="L18" s="883">
        <f>VLOOKUP(C18,THCKT!$C$13:$AL$460,22,0)</f>
        <v>0</v>
      </c>
      <c r="M18" s="883">
        <f>VLOOKUP(C18,THCKT!$C$13:$AL$460,23,0)</f>
        <v>0</v>
      </c>
      <c r="N18" s="883" t="e">
        <f t="shared" si="1"/>
        <v>#N/A</v>
      </c>
      <c r="O18" s="883" t="e">
        <f t="shared" si="2"/>
        <v>#N/A</v>
      </c>
      <c r="P18" s="884" t="e">
        <f>VLOOKUP(C18,THCKT!$C$13:$AL$460,36,0)</f>
        <v>#N/A</v>
      </c>
      <c r="Q18" s="887" t="e">
        <f t="shared" si="5"/>
        <v>#N/A</v>
      </c>
      <c r="R18" s="874" t="e">
        <f>VLOOKUP(C18,'LƯƠNG KT'!$D$15:$P$94,16,0)</f>
        <v>#N/A</v>
      </c>
      <c r="S18" s="874" t="e">
        <f>VLOOKUP(C18,'LƯƠNG KT'!$D$15:$P$94,17,0)</f>
        <v>#N/A</v>
      </c>
      <c r="T18" s="874" t="e">
        <f>VLOOKUP(C18,'LƯƠNG KT'!$D$15:$P$94,18,0)</f>
        <v>#N/A</v>
      </c>
      <c r="U18" s="874" t="e">
        <f>VLOOKUP(C18,'LƯƠNG KT'!$D$15:$P$94,18,0)</f>
        <v>#N/A</v>
      </c>
      <c r="V18" s="874" t="e">
        <f>VLOOKUP(C18,'LƯƠNG KT'!$D$15:$P$94,19,0)</f>
        <v>#N/A</v>
      </c>
      <c r="W18" s="874" t="e">
        <f>VLOOKUP(C18,'LƯƠNG KT'!$D$15:$P$94,20,0)</f>
        <v>#N/A</v>
      </c>
      <c r="X18" s="874" t="e">
        <f>VLOOKUP(C18,'LƯƠNG KT'!$D$15:$P$94,21,0)</f>
        <v>#N/A</v>
      </c>
      <c r="Y18" s="874" t="e">
        <f>VLOOKUP(C18,'LƯƠNG KT'!$D$15:$P$94,23,0)</f>
        <v>#N/A</v>
      </c>
      <c r="Z18" s="874" t="e">
        <f>VLOOKUP(C18,'LƯƠNG KT'!$D$15:$P$94,24,0)</f>
        <v>#N/A</v>
      </c>
      <c r="AA18" s="874">
        <v>20</v>
      </c>
      <c r="AB18" s="874"/>
      <c r="AC18" s="889" t="e">
        <f t="shared" si="6"/>
        <v>#N/A</v>
      </c>
      <c r="AD18" s="889" t="e">
        <f t="shared" si="3"/>
        <v>#N/A</v>
      </c>
      <c r="AE18" s="889" t="e">
        <f t="shared" si="4"/>
        <v>#N/A</v>
      </c>
      <c r="AF18" s="915"/>
      <c r="AG18" s="891"/>
      <c r="AH18" s="922" t="s">
        <v>2751</v>
      </c>
      <c r="AI18" s="637"/>
    </row>
    <row r="19" spans="1:38" s="540" customFormat="1">
      <c r="A19" s="868">
        <v>6</v>
      </c>
      <c r="B19" s="1644" t="str">
        <f>VLOOKUP(C19,'DS CN MOI UP'!$B$10:$C$389,2,0)</f>
        <v>03347</v>
      </c>
      <c r="C19" s="875" t="s">
        <v>121</v>
      </c>
      <c r="D19" s="875" t="s">
        <v>15</v>
      </c>
      <c r="E19" s="872"/>
      <c r="F19" s="873">
        <f>VLOOKUP(C19:C21,THCKT!$C$122:$AE$228,17,0)</f>
        <v>24</v>
      </c>
      <c r="G19" s="874">
        <f t="shared" si="0"/>
        <v>600000</v>
      </c>
      <c r="H19" s="874"/>
      <c r="I19" s="874"/>
      <c r="J19" s="874"/>
      <c r="K19" s="874" t="e">
        <f>VLOOKUP(C19,THCKT!$C$13:$AL$460,21,0)</f>
        <v>#N/A</v>
      </c>
      <c r="L19" s="883">
        <f>VLOOKUP(C19,THCKT!$C$13:$AL$460,22,0)</f>
        <v>0</v>
      </c>
      <c r="M19" s="883">
        <f>VLOOKUP(C19,THCKT!$C$13:$AL$460,23,0)</f>
        <v>0</v>
      </c>
      <c r="N19" s="883" t="e">
        <f t="shared" si="1"/>
        <v>#N/A</v>
      </c>
      <c r="O19" s="883" t="e">
        <f t="shared" si="2"/>
        <v>#N/A</v>
      </c>
      <c r="P19" s="884" t="e">
        <f>VLOOKUP(C19,THCKT!$C$13:$AL$460,36,0)</f>
        <v>#N/A</v>
      </c>
      <c r="Q19" s="887" t="e">
        <f t="shared" si="5"/>
        <v>#N/A</v>
      </c>
      <c r="R19" s="874" t="e">
        <f>VLOOKUP(C19,'LƯƠNG KT'!$D$15:$P$94,16,0)</f>
        <v>#N/A</v>
      </c>
      <c r="S19" s="874" t="e">
        <f>VLOOKUP(C19,'LƯƠNG KT'!$D$15:$P$94,17,0)</f>
        <v>#N/A</v>
      </c>
      <c r="T19" s="874" t="e">
        <f>VLOOKUP(C19,'LƯƠNG KT'!$D$15:$P$94,18,0)</f>
        <v>#N/A</v>
      </c>
      <c r="U19" s="874" t="e">
        <f>VLOOKUP(C19,'LƯƠNG KT'!$D$15:$P$94,18,0)</f>
        <v>#N/A</v>
      </c>
      <c r="V19" s="874" t="e">
        <f>VLOOKUP(C19,'LƯƠNG KT'!$D$15:$P$94,19,0)</f>
        <v>#N/A</v>
      </c>
      <c r="W19" s="874" t="e">
        <f>VLOOKUP(C19,'LƯƠNG KT'!$D$15:$P$94,20,0)</f>
        <v>#N/A</v>
      </c>
      <c r="X19" s="874" t="e">
        <f>VLOOKUP(C19,'LƯƠNG KT'!$D$15:$P$94,21,0)</f>
        <v>#N/A</v>
      </c>
      <c r="Y19" s="874" t="e">
        <f>VLOOKUP(C19,'LƯƠNG KT'!$D$15:$P$94,23,0)</f>
        <v>#N/A</v>
      </c>
      <c r="Z19" s="874" t="e">
        <f>VLOOKUP(C19,'LƯƠNG KT'!$D$15:$P$94,24,0)</f>
        <v>#N/A</v>
      </c>
      <c r="AA19" s="874">
        <v>20</v>
      </c>
      <c r="AB19" s="874"/>
      <c r="AC19" s="889" t="e">
        <f t="shared" si="6"/>
        <v>#N/A</v>
      </c>
      <c r="AD19" s="889" t="e">
        <f t="shared" si="3"/>
        <v>#N/A</v>
      </c>
      <c r="AE19" s="889" t="e">
        <f t="shared" si="4"/>
        <v>#N/A</v>
      </c>
      <c r="AF19" s="915"/>
      <c r="AG19" s="891"/>
      <c r="AH19" s="540" t="s">
        <v>2751</v>
      </c>
      <c r="AI19" s="637"/>
    </row>
    <row r="20" spans="1:38" s="540" customFormat="1">
      <c r="A20" s="868">
        <v>7</v>
      </c>
      <c r="B20" s="1644" t="str">
        <f>VLOOKUP(C20,'DS CN MOI UP'!$B$10:$C$389,2,0)</f>
        <v>02516</v>
      </c>
      <c r="C20" s="875" t="s">
        <v>122</v>
      </c>
      <c r="D20" s="875" t="s">
        <v>15</v>
      </c>
      <c r="E20" s="872"/>
      <c r="F20" s="873">
        <f>VLOOKUP(C20:C21,THCKT!$C$122:$AE$228,17,0)</f>
        <v>24</v>
      </c>
      <c r="G20" s="874">
        <f t="shared" si="0"/>
        <v>600000</v>
      </c>
      <c r="H20" s="874"/>
      <c r="I20" s="874"/>
      <c r="J20" s="874"/>
      <c r="K20" s="874" t="e">
        <f>VLOOKUP(C20,THCKT!$C$13:$AL$460,21,0)</f>
        <v>#N/A</v>
      </c>
      <c r="L20" s="883">
        <f>VLOOKUP(C20,THCKT!$C$13:$AL$460,22,0)</f>
        <v>0</v>
      </c>
      <c r="M20" s="883">
        <f>VLOOKUP(C20,THCKT!$C$13:$AL$460,23,0)</f>
        <v>0</v>
      </c>
      <c r="N20" s="883" t="e">
        <f t="shared" si="1"/>
        <v>#N/A</v>
      </c>
      <c r="O20" s="883" t="e">
        <f t="shared" si="2"/>
        <v>#N/A</v>
      </c>
      <c r="P20" s="884" t="e">
        <f>VLOOKUP(C20,THCKT!$C$13:$AL$460,36,0)</f>
        <v>#N/A</v>
      </c>
      <c r="Q20" s="887" t="e">
        <f t="shared" si="5"/>
        <v>#N/A</v>
      </c>
      <c r="R20" s="874" t="e">
        <f>VLOOKUP(C20,'LƯƠNG KT'!$D$15:$P$94,16,0)</f>
        <v>#N/A</v>
      </c>
      <c r="S20" s="874" t="e">
        <f>VLOOKUP(C20,'LƯƠNG KT'!$D$15:$P$94,17,0)</f>
        <v>#N/A</v>
      </c>
      <c r="T20" s="874" t="e">
        <f>VLOOKUP(C20,'LƯƠNG KT'!$D$15:$P$94,18,0)</f>
        <v>#N/A</v>
      </c>
      <c r="U20" s="874" t="e">
        <f>VLOOKUP(C20,'LƯƠNG KT'!$D$15:$P$94,18,0)</f>
        <v>#N/A</v>
      </c>
      <c r="V20" s="874" t="e">
        <f>VLOOKUP(C20,'LƯƠNG KT'!$D$15:$P$94,19,0)</f>
        <v>#N/A</v>
      </c>
      <c r="W20" s="874" t="e">
        <f>VLOOKUP(C20,'LƯƠNG KT'!$D$15:$P$94,20,0)</f>
        <v>#N/A</v>
      </c>
      <c r="X20" s="874" t="e">
        <f>VLOOKUP(C20,'LƯƠNG KT'!$D$15:$P$94,21,0)</f>
        <v>#N/A</v>
      </c>
      <c r="Y20" s="874" t="e">
        <f>VLOOKUP(C20,'LƯƠNG KT'!$D$15:$P$94,23,0)</f>
        <v>#N/A</v>
      </c>
      <c r="Z20" s="874" t="e">
        <f>VLOOKUP(C20,'LƯƠNG KT'!$D$15:$P$94,24,0)</f>
        <v>#N/A</v>
      </c>
      <c r="AA20" s="874">
        <v>20</v>
      </c>
      <c r="AB20" s="874"/>
      <c r="AC20" s="889" t="e">
        <f>ROUND((((R20*46.1)+(S20*76.9)+(X20*30.7)+(U20*46.1*2)+(V20*46.1*2)+(W20*76.9*2))*$F$8),0)+T20*10000+Y20*20000+Z20*20000+AA20*25000-1</f>
        <v>#N/A</v>
      </c>
      <c r="AD20" s="889" t="e">
        <f t="shared" si="3"/>
        <v>#N/A</v>
      </c>
      <c r="AE20" s="889" t="e">
        <f t="shared" si="4"/>
        <v>#N/A</v>
      </c>
      <c r="AF20" s="915"/>
      <c r="AG20" s="891"/>
      <c r="AH20" s="922" t="s">
        <v>2751</v>
      </c>
      <c r="AI20" s="637"/>
    </row>
    <row r="21" spans="1:38" s="540" customFormat="1" ht="17.25" customHeight="1">
      <c r="A21" s="911" t="s">
        <v>2760</v>
      </c>
      <c r="B21" s="911"/>
      <c r="C21" s="933"/>
      <c r="D21" s="933"/>
      <c r="E21" s="934"/>
      <c r="F21" s="935">
        <f>SUM(F14:F20)</f>
        <v>168</v>
      </c>
      <c r="G21" s="934">
        <f>SUM(G14:G20)</f>
        <v>4200000</v>
      </c>
      <c r="H21" s="934">
        <f t="shared" ref="H21:AE21" si="7">SUM(H14:H20)</f>
        <v>0</v>
      </c>
      <c r="I21" s="934">
        <f t="shared" si="7"/>
        <v>0</v>
      </c>
      <c r="J21" s="934">
        <f t="shared" si="7"/>
        <v>0</v>
      </c>
      <c r="K21" s="934" t="e">
        <f t="shared" si="7"/>
        <v>#N/A</v>
      </c>
      <c r="L21" s="934">
        <f t="shared" si="7"/>
        <v>0</v>
      </c>
      <c r="M21" s="934">
        <f t="shared" ref="M21" si="8">SUM(M14:M20)</f>
        <v>0</v>
      </c>
      <c r="N21" s="934" t="e">
        <f t="shared" si="7"/>
        <v>#N/A</v>
      </c>
      <c r="O21" s="934" t="e">
        <f t="shared" ref="O21" si="9">SUM(O14:O20)</f>
        <v>#N/A</v>
      </c>
      <c r="P21" s="934" t="e">
        <f t="shared" si="7"/>
        <v>#N/A</v>
      </c>
      <c r="Q21" s="934" t="e">
        <f t="shared" si="7"/>
        <v>#N/A</v>
      </c>
      <c r="R21" s="934" t="e">
        <f t="shared" si="7"/>
        <v>#N/A</v>
      </c>
      <c r="S21" s="934" t="e">
        <f t="shared" si="7"/>
        <v>#N/A</v>
      </c>
      <c r="T21" s="934" t="e">
        <f t="shared" ref="T21:W21" si="10">SUM(T14:T20)</f>
        <v>#N/A</v>
      </c>
      <c r="U21" s="934" t="e">
        <f t="shared" si="10"/>
        <v>#N/A</v>
      </c>
      <c r="V21" s="934" t="e">
        <f t="shared" si="10"/>
        <v>#N/A</v>
      </c>
      <c r="W21" s="934" t="e">
        <f t="shared" si="10"/>
        <v>#N/A</v>
      </c>
      <c r="X21" s="934" t="e">
        <f t="shared" si="7"/>
        <v>#N/A</v>
      </c>
      <c r="Y21" s="934" t="e">
        <f t="shared" si="7"/>
        <v>#N/A</v>
      </c>
      <c r="Z21" s="934" t="e">
        <f t="shared" ref="Z21:AA21" si="11">SUM(Z14:Z20)</f>
        <v>#N/A</v>
      </c>
      <c r="AA21" s="934">
        <f t="shared" si="11"/>
        <v>140</v>
      </c>
      <c r="AB21" s="934">
        <f t="shared" si="7"/>
        <v>0</v>
      </c>
      <c r="AC21" s="934" t="e">
        <f t="shared" si="7"/>
        <v>#N/A</v>
      </c>
      <c r="AD21" s="934" t="e">
        <f t="shared" si="7"/>
        <v>#N/A</v>
      </c>
      <c r="AE21" s="934" t="e">
        <f t="shared" si="7"/>
        <v>#N/A</v>
      </c>
      <c r="AF21" s="937" t="e">
        <f>+'LƯƠNG KT'!#REF!</f>
        <v>#REF!</v>
      </c>
      <c r="AG21" s="938" t="e">
        <f>+AF21-AE21</f>
        <v>#REF!</v>
      </c>
      <c r="AH21" s="540" t="s">
        <v>2751</v>
      </c>
      <c r="AI21" s="637"/>
      <c r="AJ21" s="2655" t="e">
        <f>(R21*46.1*$F$8)+(S21*76.9*$F$8)+Y21*5000+AB21*20000</f>
        <v>#N/A</v>
      </c>
      <c r="AK21" s="2655"/>
    </row>
    <row r="22" spans="1:38" s="541" customFormat="1" ht="17.25" customHeight="1">
      <c r="A22" s="2658" t="s">
        <v>2761</v>
      </c>
      <c r="B22" s="2658"/>
      <c r="C22" s="2658"/>
      <c r="D22" s="2658"/>
      <c r="E22" s="2658"/>
      <c r="F22" s="2658"/>
      <c r="G22" s="2658"/>
      <c r="H22" s="2658"/>
      <c r="I22" s="2658"/>
      <c r="J22" s="2658"/>
      <c r="K22" s="2658"/>
      <c r="L22" s="2658"/>
      <c r="M22" s="2658"/>
      <c r="N22" s="2658"/>
      <c r="O22" s="2658"/>
      <c r="P22" s="2658"/>
      <c r="Q22" s="2658"/>
      <c r="R22" s="2658"/>
      <c r="S22" s="2658"/>
      <c r="T22" s="2658"/>
      <c r="U22" s="2658"/>
      <c r="V22" s="2658"/>
      <c r="W22" s="2658"/>
      <c r="X22" s="2658"/>
      <c r="Y22" s="2658"/>
      <c r="Z22" s="2658"/>
      <c r="AA22" s="2658"/>
      <c r="AB22" s="2658"/>
      <c r="AC22" s="2658"/>
      <c r="AD22" s="2658"/>
      <c r="AE22" s="2658"/>
      <c r="AF22" s="630" t="e">
        <f>+AE21-AF21</f>
        <v>#N/A</v>
      </c>
      <c r="AG22" s="631"/>
      <c r="AH22" s="629" t="e">
        <f>+#REF!+'LƯƠNG BV9THUC'!J13</f>
        <v>#REF!</v>
      </c>
      <c r="AI22" s="638" t="e">
        <f>+#REF!-#REF!</f>
        <v>#REF!</v>
      </c>
      <c r="AJ22" s="612"/>
      <c r="AK22" s="612"/>
    </row>
    <row r="23" spans="1:38" s="600" customFormat="1" ht="24" customHeight="1">
      <c r="A23" s="899"/>
      <c r="B23" s="899"/>
      <c r="C23" s="900"/>
      <c r="F23" s="901"/>
      <c r="G23" s="902"/>
      <c r="H23" s="902"/>
      <c r="I23" s="902"/>
      <c r="J23" s="902"/>
      <c r="K23" s="902"/>
      <c r="L23" s="903"/>
      <c r="M23" s="903"/>
      <c r="N23" s="903"/>
      <c r="O23" s="903"/>
      <c r="P23" s="904"/>
      <c r="Q23" s="902"/>
      <c r="R23" s="906"/>
      <c r="S23" s="907"/>
      <c r="T23" s="907"/>
      <c r="U23" s="907"/>
      <c r="V23" s="907"/>
      <c r="W23" s="907"/>
      <c r="X23" s="907"/>
      <c r="Y23" s="907"/>
      <c r="Z23" s="907"/>
      <c r="AA23" s="907"/>
      <c r="AB23" s="907"/>
      <c r="AC23" s="2659" t="s">
        <v>2753</v>
      </c>
      <c r="AD23" s="2659"/>
      <c r="AE23" s="2659"/>
      <c r="AF23" s="632"/>
      <c r="AG23" s="632"/>
      <c r="AH23" s="633" t="e">
        <f>+AH22-'BẢNG PHÂN TOÁN'!#REF!</f>
        <v>#REF!</v>
      </c>
      <c r="AI23" s="639" t="e">
        <f>SUM(#REF!)</f>
        <v>#REF!</v>
      </c>
    </row>
    <row r="24" spans="1:38" s="157" customFormat="1" ht="15.95" customHeight="1">
      <c r="C24" s="2335" t="s">
        <v>1921</v>
      </c>
      <c r="D24" s="2335"/>
      <c r="E24" s="2335"/>
      <c r="F24" s="2335"/>
      <c r="G24" s="2335" t="s">
        <v>616</v>
      </c>
      <c r="H24" s="2335"/>
      <c r="I24" s="2335"/>
      <c r="J24" s="2335"/>
      <c r="K24" s="2335"/>
      <c r="L24" s="2335"/>
      <c r="M24" s="2335"/>
      <c r="N24" s="2335"/>
      <c r="O24" s="2335"/>
      <c r="P24" s="2335"/>
      <c r="Q24" s="2335" t="s">
        <v>2391</v>
      </c>
      <c r="R24" s="2335"/>
      <c r="S24" s="2335"/>
      <c r="T24" s="2335"/>
      <c r="U24" s="2335"/>
      <c r="V24" s="2335"/>
      <c r="W24" s="2335"/>
      <c r="X24" s="2335"/>
      <c r="Y24" s="2335"/>
      <c r="Z24" s="2335"/>
      <c r="AA24" s="2335"/>
      <c r="AB24" s="2335"/>
      <c r="AC24" s="2335"/>
      <c r="AD24" s="2335" t="s">
        <v>612</v>
      </c>
      <c r="AE24" s="2335"/>
      <c r="AH24" s="926" t="e">
        <f>+#REF!+#REF!+#REF!+#REF!+#REF!+#REF!</f>
        <v>#REF!</v>
      </c>
      <c r="AI24" s="635" t="e">
        <f>+AI23+#REF!</f>
        <v>#REF!</v>
      </c>
      <c r="AJ24" s="158"/>
      <c r="AK24" s="158"/>
      <c r="AL24" s="200"/>
    </row>
    <row r="25" spans="1:38" s="158" customFormat="1" ht="15">
      <c r="D25" s="611"/>
      <c r="E25" s="620"/>
      <c r="F25" s="611"/>
      <c r="G25" s="613"/>
      <c r="H25" s="613"/>
      <c r="I25" s="613"/>
      <c r="J25" s="613"/>
      <c r="K25" s="726"/>
      <c r="L25" s="734"/>
      <c r="M25" s="734"/>
      <c r="N25" s="734"/>
      <c r="O25" s="734"/>
      <c r="P25" s="201"/>
      <c r="Q25" s="201"/>
      <c r="R25" s="201"/>
      <c r="AC25" s="745"/>
      <c r="AD25" s="200"/>
      <c r="AG25" s="620"/>
      <c r="AH25" s="620"/>
      <c r="AI25" s="620" t="e">
        <f>+AI24-#REF!</f>
        <v>#REF!</v>
      </c>
      <c r="AL25" s="200"/>
    </row>
    <row r="26" spans="1:38" s="158" customFormat="1" ht="15">
      <c r="D26" s="611"/>
      <c r="E26" s="620"/>
      <c r="F26" s="614"/>
      <c r="G26" s="613"/>
      <c r="H26" s="613"/>
      <c r="I26" s="613"/>
      <c r="J26" s="613"/>
      <c r="K26" s="726"/>
      <c r="L26" s="734"/>
      <c r="M26" s="734"/>
      <c r="N26" s="734"/>
      <c r="O26" s="734"/>
      <c r="P26" s="201"/>
      <c r="Q26" s="201"/>
      <c r="R26" s="201"/>
      <c r="AC26" s="745"/>
      <c r="AD26" s="200"/>
      <c r="AG26" s="620"/>
      <c r="AH26" s="620"/>
      <c r="AL26" s="200"/>
    </row>
    <row r="27" spans="1:38" s="158" customFormat="1" ht="51.75" customHeight="1">
      <c r="D27" s="200"/>
      <c r="E27" s="200"/>
      <c r="F27" s="615"/>
      <c r="G27" s="613"/>
      <c r="H27" s="613"/>
      <c r="I27" s="613"/>
      <c r="J27" s="613"/>
      <c r="K27" s="2654"/>
      <c r="L27" s="2654"/>
      <c r="M27" s="2654"/>
      <c r="N27" s="2654"/>
      <c r="O27" s="905"/>
      <c r="P27" s="2655"/>
      <c r="Q27" s="2655"/>
      <c r="S27" s="748"/>
      <c r="T27" s="748"/>
      <c r="U27" s="748"/>
      <c r="V27" s="748"/>
      <c r="W27" s="748"/>
      <c r="X27" s="748"/>
      <c r="Y27" s="748"/>
      <c r="Z27" s="748"/>
      <c r="AA27" s="748"/>
      <c r="AB27" s="748"/>
      <c r="AC27" s="745"/>
      <c r="AD27" s="2656"/>
      <c r="AE27" s="2656"/>
      <c r="AG27" s="620"/>
      <c r="AH27" s="635"/>
      <c r="AI27" s="604"/>
    </row>
    <row r="28" spans="1:38" s="158" customFormat="1">
      <c r="D28" s="616"/>
      <c r="E28" s="172"/>
      <c r="F28" s="615"/>
      <c r="G28" s="200"/>
      <c r="H28" s="200"/>
      <c r="I28" s="200"/>
      <c r="J28" s="200"/>
      <c r="K28" s="2656"/>
      <c r="L28" s="2656"/>
      <c r="M28" s="634"/>
      <c r="N28" s="734"/>
      <c r="O28" s="734"/>
      <c r="P28" s="936"/>
      <c r="Q28" s="936"/>
      <c r="R28" s="936"/>
      <c r="S28" s="908"/>
      <c r="T28" s="908"/>
      <c r="U28" s="908"/>
      <c r="V28" s="908"/>
      <c r="W28" s="908"/>
      <c r="X28" s="908"/>
      <c r="Y28" s="908"/>
      <c r="Z28" s="908"/>
      <c r="AA28" s="908"/>
      <c r="AB28" s="908"/>
      <c r="AC28" s="2656"/>
      <c r="AD28" s="2656"/>
      <c r="AG28" s="620"/>
      <c r="AI28" s="604"/>
    </row>
    <row r="29" spans="1:38" s="158" customFormat="1">
      <c r="C29" s="2335" t="s">
        <v>1924</v>
      </c>
      <c r="D29" s="2335"/>
      <c r="E29" s="2335"/>
      <c r="F29" s="2335"/>
      <c r="G29" s="2649" t="s">
        <v>2762</v>
      </c>
      <c r="H29" s="2649"/>
      <c r="I29" s="2649"/>
      <c r="J29" s="2649"/>
      <c r="K29" s="2649"/>
      <c r="L29" s="2649"/>
      <c r="M29" s="2649"/>
      <c r="N29" s="2649"/>
      <c r="O29" s="2649"/>
      <c r="P29" s="201"/>
      <c r="Q29" s="201"/>
      <c r="R29" s="201"/>
      <c r="S29" s="747"/>
      <c r="T29" s="747"/>
      <c r="U29" s="747"/>
      <c r="V29" s="747"/>
      <c r="W29" s="747"/>
      <c r="X29" s="747"/>
      <c r="Y29" s="747"/>
      <c r="Z29" s="747"/>
      <c r="AA29" s="747"/>
      <c r="AB29" s="747"/>
      <c r="AC29" s="745"/>
      <c r="AD29" s="2650" t="s">
        <v>613</v>
      </c>
      <c r="AE29" s="2650"/>
      <c r="AG29" s="620"/>
      <c r="AH29" s="200"/>
      <c r="AI29" s="604"/>
    </row>
    <row r="30" spans="1:38" s="158" customFormat="1" ht="14.25" customHeight="1">
      <c r="C30" s="617"/>
      <c r="D30" s="617"/>
      <c r="E30" s="617"/>
      <c r="F30" s="2651"/>
      <c r="G30" s="2651"/>
      <c r="H30" s="2651"/>
      <c r="I30" s="2651"/>
      <c r="J30" s="2651"/>
      <c r="K30" s="2651"/>
      <c r="L30" s="2652"/>
      <c r="M30" s="2652"/>
      <c r="N30" s="2652"/>
      <c r="O30" s="749"/>
      <c r="P30" s="2653"/>
      <c r="Q30" s="2653"/>
      <c r="R30" s="201"/>
      <c r="AC30" s="745"/>
      <c r="AD30" s="200"/>
      <c r="AE30" s="172"/>
      <c r="AG30" s="620"/>
      <c r="AI30" s="604"/>
    </row>
    <row r="31" spans="1:38" s="158" customFormat="1">
      <c r="C31" s="618"/>
      <c r="E31" s="200"/>
      <c r="F31" s="2647"/>
      <c r="G31" s="2647"/>
      <c r="H31" s="2647"/>
      <c r="I31" s="2647"/>
      <c r="J31" s="2647"/>
      <c r="K31" s="2647"/>
      <c r="L31" s="750"/>
      <c r="M31" s="750"/>
      <c r="N31" s="2648"/>
      <c r="O31" s="2648"/>
      <c r="P31" s="2648"/>
      <c r="Q31" s="2646"/>
      <c r="R31" s="2646"/>
      <c r="S31" s="201"/>
      <c r="T31" s="201"/>
      <c r="U31" s="201"/>
      <c r="V31" s="201"/>
      <c r="W31" s="201"/>
      <c r="X31" s="201"/>
      <c r="Y31" s="201"/>
      <c r="Z31" s="201"/>
      <c r="AA31" s="201"/>
      <c r="AB31" s="201"/>
      <c r="AC31" s="745"/>
      <c r="AD31" s="200"/>
      <c r="AE31" s="734"/>
      <c r="AG31" s="620"/>
      <c r="AI31" s="604"/>
    </row>
    <row r="32" spans="1:38" s="158" customFormat="1">
      <c r="E32" s="200"/>
      <c r="F32" s="619"/>
      <c r="G32" s="2645"/>
      <c r="H32" s="2645"/>
      <c r="I32" s="2645"/>
      <c r="J32" s="2645"/>
      <c r="K32" s="2645"/>
      <c r="L32" s="750"/>
      <c r="M32" s="750"/>
      <c r="N32" s="750"/>
      <c r="O32" s="750"/>
      <c r="P32" s="201"/>
      <c r="Q32" s="2646"/>
      <c r="R32" s="2646"/>
      <c r="AC32" s="745"/>
      <c r="AD32" s="200"/>
      <c r="AG32" s="620"/>
      <c r="AH32" s="618" t="e">
        <f>+#REF!+#REF!+#REF!+#REF!+#REF!+#REF!</f>
        <v>#REF!</v>
      </c>
      <c r="AI32" s="604"/>
    </row>
    <row r="33" spans="3:35" s="158" customFormat="1">
      <c r="C33" s="200"/>
      <c r="E33" s="200"/>
      <c r="F33" s="619"/>
      <c r="G33" s="2645"/>
      <c r="H33" s="2645"/>
      <c r="I33" s="2645"/>
      <c r="J33" s="2645"/>
      <c r="K33" s="2645"/>
      <c r="L33" s="750"/>
      <c r="M33" s="750"/>
      <c r="N33" s="750"/>
      <c r="O33" s="750"/>
      <c r="P33" s="201"/>
      <c r="Q33" s="2646"/>
      <c r="R33" s="2646"/>
      <c r="S33" s="618"/>
      <c r="T33" s="618"/>
      <c r="U33" s="618"/>
      <c r="V33" s="618"/>
      <c r="W33" s="618"/>
      <c r="X33" s="618"/>
      <c r="Y33" s="618"/>
      <c r="Z33" s="618"/>
      <c r="AA33" s="618"/>
      <c r="AB33" s="618"/>
      <c r="AC33" s="745"/>
      <c r="AD33" s="200"/>
      <c r="AG33" s="620"/>
      <c r="AI33" s="604"/>
    </row>
    <row r="34" spans="3:35" s="158" customFormat="1">
      <c r="E34" s="200"/>
      <c r="F34" s="619"/>
      <c r="G34" s="2645"/>
      <c r="H34" s="2645"/>
      <c r="I34" s="2645"/>
      <c r="J34" s="2645"/>
      <c r="K34" s="2645"/>
      <c r="L34" s="750"/>
      <c r="M34" s="750"/>
      <c r="N34" s="750"/>
      <c r="O34" s="750"/>
      <c r="P34" s="201"/>
      <c r="Q34" s="2646"/>
      <c r="R34" s="2646"/>
      <c r="S34" s="200"/>
      <c r="T34" s="200"/>
      <c r="U34" s="200"/>
      <c r="V34" s="200"/>
      <c r="W34" s="200"/>
      <c r="X34" s="200"/>
      <c r="Y34" s="200"/>
      <c r="Z34" s="200"/>
      <c r="AA34" s="200"/>
      <c r="AB34" s="200"/>
      <c r="AC34" s="745"/>
      <c r="AD34" s="200"/>
      <c r="AG34" s="620"/>
      <c r="AI34" s="604"/>
    </row>
    <row r="35" spans="3:35" s="158" customFormat="1">
      <c r="E35" s="200"/>
      <c r="F35" s="619"/>
      <c r="G35" s="2645"/>
      <c r="H35" s="2645"/>
      <c r="I35" s="2645"/>
      <c r="J35" s="2645"/>
      <c r="K35" s="2645"/>
      <c r="L35" s="750"/>
      <c r="M35" s="750"/>
      <c r="N35" s="750"/>
      <c r="O35" s="750"/>
      <c r="P35" s="201"/>
      <c r="Q35" s="2646"/>
      <c r="R35" s="2646"/>
      <c r="S35" s="200"/>
      <c r="T35" s="200"/>
      <c r="U35" s="200"/>
      <c r="V35" s="200"/>
      <c r="W35" s="200"/>
      <c r="X35" s="200"/>
      <c r="Y35" s="200"/>
      <c r="Z35" s="200"/>
      <c r="AA35" s="200"/>
      <c r="AB35" s="200"/>
      <c r="AC35" s="745"/>
      <c r="AD35" s="200"/>
      <c r="AG35" s="620"/>
      <c r="AI35" s="604"/>
    </row>
    <row r="36" spans="3:35" s="158" customFormat="1">
      <c r="E36" s="200"/>
      <c r="F36" s="619"/>
      <c r="G36" s="613"/>
      <c r="H36" s="613"/>
      <c r="I36" s="613"/>
      <c r="J36" s="613"/>
      <c r="K36" s="746"/>
      <c r="L36" s="752"/>
      <c r="M36" s="752"/>
      <c r="N36" s="752"/>
      <c r="O36" s="752"/>
      <c r="P36" s="201"/>
      <c r="Q36" s="201"/>
      <c r="R36" s="201"/>
      <c r="AC36" s="745"/>
      <c r="AD36" s="200"/>
      <c r="AG36" s="620"/>
      <c r="AI36" s="604"/>
    </row>
    <row r="37" spans="3:35" s="158" customFormat="1">
      <c r="C37" s="620"/>
      <c r="E37" s="200"/>
      <c r="F37" s="619"/>
      <c r="G37" s="613"/>
      <c r="H37" s="613"/>
      <c r="I37" s="613"/>
      <c r="J37" s="613"/>
      <c r="K37" s="726"/>
      <c r="L37" s="734"/>
      <c r="M37" s="734"/>
      <c r="N37" s="734"/>
      <c r="O37" s="734"/>
      <c r="P37" s="201"/>
      <c r="Q37" s="201"/>
      <c r="R37" s="201"/>
      <c r="AC37" s="745"/>
      <c r="AD37" s="200"/>
      <c r="AG37" s="620"/>
      <c r="AI37" s="604"/>
    </row>
    <row r="38" spans="3:35" s="158" customFormat="1">
      <c r="E38" s="200"/>
      <c r="F38" s="621"/>
      <c r="G38" s="613"/>
      <c r="H38" s="613"/>
      <c r="I38" s="613"/>
      <c r="J38" s="613"/>
      <c r="K38" s="726"/>
      <c r="L38" s="734"/>
      <c r="M38" s="734"/>
      <c r="N38" s="734"/>
      <c r="O38" s="734"/>
      <c r="P38" s="201"/>
      <c r="Q38" s="201"/>
      <c r="R38" s="201"/>
      <c r="S38" s="746"/>
      <c r="T38" s="746"/>
      <c r="U38" s="746"/>
      <c r="V38" s="746"/>
      <c r="W38" s="746"/>
      <c r="X38" s="746"/>
      <c r="Y38" s="746"/>
      <c r="Z38" s="746"/>
      <c r="AA38" s="746"/>
      <c r="AB38" s="746"/>
      <c r="AC38" s="745"/>
      <c r="AD38" s="200"/>
      <c r="AG38" s="620"/>
      <c r="AI38" s="604"/>
    </row>
    <row r="39" spans="3:35" s="158" customFormat="1">
      <c r="E39" s="200"/>
      <c r="F39" s="621"/>
      <c r="G39" s="613"/>
      <c r="H39" s="613"/>
      <c r="I39" s="613"/>
      <c r="J39" s="613"/>
      <c r="K39" s="726"/>
      <c r="L39" s="734"/>
      <c r="M39" s="734"/>
      <c r="N39" s="734"/>
      <c r="O39" s="734"/>
      <c r="P39" s="201"/>
      <c r="Q39" s="201"/>
      <c r="R39" s="201"/>
      <c r="S39" s="909"/>
      <c r="T39" s="909"/>
      <c r="U39" s="909"/>
      <c r="V39" s="909"/>
      <c r="W39" s="909"/>
      <c r="X39" s="909"/>
      <c r="Y39" s="909"/>
      <c r="Z39" s="909"/>
      <c r="AA39" s="909"/>
      <c r="AB39" s="909"/>
      <c r="AC39" s="745"/>
      <c r="AD39" s="200"/>
      <c r="AG39" s="620"/>
      <c r="AI39" s="604"/>
    </row>
    <row r="40" spans="3:35" s="158" customFormat="1">
      <c r="E40" s="200"/>
      <c r="F40" s="621"/>
      <c r="G40" s="613"/>
      <c r="H40" s="613"/>
      <c r="I40" s="613"/>
      <c r="J40" s="613"/>
      <c r="K40" s="726"/>
      <c r="L40" s="734"/>
      <c r="M40" s="734"/>
      <c r="N40" s="734"/>
      <c r="O40" s="734"/>
      <c r="P40" s="201"/>
      <c r="Q40" s="201"/>
      <c r="R40" s="201"/>
      <c r="AC40" s="745"/>
      <c r="AD40" s="200"/>
      <c r="AG40" s="620"/>
      <c r="AI40" s="604"/>
    </row>
    <row r="41" spans="3:35" s="158" customFormat="1">
      <c r="E41" s="200"/>
      <c r="F41" s="621"/>
      <c r="G41" s="613"/>
      <c r="H41" s="613"/>
      <c r="I41" s="613"/>
      <c r="J41" s="613"/>
      <c r="K41" s="726"/>
      <c r="L41" s="734"/>
      <c r="M41" s="734"/>
      <c r="N41" s="734"/>
      <c r="O41" s="734"/>
      <c r="P41" s="201"/>
      <c r="Q41" s="201"/>
      <c r="R41" s="201"/>
      <c r="AC41" s="745"/>
      <c r="AD41" s="200"/>
      <c r="AG41" s="620"/>
      <c r="AI41" s="604"/>
    </row>
    <row r="42" spans="3:35" s="158" customFormat="1">
      <c r="E42" s="200"/>
      <c r="F42" s="621"/>
      <c r="G42" s="613"/>
      <c r="H42" s="613"/>
      <c r="I42" s="613"/>
      <c r="J42" s="613"/>
      <c r="K42" s="726"/>
      <c r="L42" s="734"/>
      <c r="M42" s="734"/>
      <c r="N42" s="734"/>
      <c r="O42" s="734"/>
      <c r="P42" s="201"/>
      <c r="Q42" s="201"/>
      <c r="R42" s="201"/>
      <c r="AC42" s="745"/>
      <c r="AD42" s="200"/>
      <c r="AG42" s="620"/>
      <c r="AI42" s="604"/>
    </row>
    <row r="43" spans="3:35" s="158" customFormat="1">
      <c r="E43" s="200"/>
      <c r="F43" s="621"/>
      <c r="G43" s="613"/>
      <c r="H43" s="613"/>
      <c r="I43" s="613"/>
      <c r="J43" s="613"/>
      <c r="K43" s="726"/>
      <c r="L43" s="734"/>
      <c r="M43" s="734"/>
      <c r="N43" s="734"/>
      <c r="O43" s="734"/>
      <c r="P43" s="201"/>
      <c r="Q43" s="201"/>
      <c r="R43" s="201"/>
      <c r="AC43" s="745"/>
      <c r="AD43" s="200"/>
      <c r="AG43" s="620"/>
      <c r="AI43" s="604"/>
    </row>
    <row r="44" spans="3:35" s="158" customFormat="1">
      <c r="E44" s="200"/>
      <c r="F44" s="621"/>
      <c r="G44" s="613"/>
      <c r="H44" s="613"/>
      <c r="I44" s="613"/>
      <c r="J44" s="613"/>
      <c r="K44" s="726"/>
      <c r="L44" s="734"/>
      <c r="M44" s="734"/>
      <c r="N44" s="734"/>
      <c r="O44" s="734"/>
      <c r="P44" s="201"/>
      <c r="Q44" s="201"/>
      <c r="R44" s="201"/>
      <c r="AC44" s="745"/>
      <c r="AD44" s="200"/>
      <c r="AG44" s="620"/>
      <c r="AI44" s="604"/>
    </row>
    <row r="45" spans="3:35" s="158" customFormat="1">
      <c r="E45" s="200"/>
      <c r="F45" s="621"/>
      <c r="G45" s="613"/>
      <c r="H45" s="613"/>
      <c r="I45" s="613"/>
      <c r="J45" s="613"/>
      <c r="K45" s="726"/>
      <c r="L45" s="734"/>
      <c r="M45" s="734"/>
      <c r="N45" s="734"/>
      <c r="O45" s="734"/>
      <c r="P45" s="201"/>
      <c r="Q45" s="201"/>
      <c r="R45" s="201"/>
      <c r="AC45" s="745"/>
      <c r="AD45" s="200"/>
      <c r="AG45" s="620"/>
      <c r="AI45" s="604"/>
    </row>
    <row r="46" spans="3:35" s="158" customFormat="1">
      <c r="E46" s="200"/>
      <c r="F46" s="621"/>
      <c r="G46" s="613"/>
      <c r="H46" s="613"/>
      <c r="I46" s="613"/>
      <c r="J46" s="613"/>
      <c r="K46" s="726"/>
      <c r="L46" s="734"/>
      <c r="M46" s="734"/>
      <c r="N46" s="734"/>
      <c r="O46" s="734"/>
      <c r="P46" s="201"/>
      <c r="Q46" s="201"/>
      <c r="R46" s="201"/>
      <c r="AC46" s="745"/>
      <c r="AD46" s="200"/>
      <c r="AG46" s="620"/>
      <c r="AI46" s="604"/>
    </row>
    <row r="47" spans="3:35" s="158" customFormat="1">
      <c r="E47" s="200"/>
      <c r="F47" s="621"/>
      <c r="G47" s="613"/>
      <c r="H47" s="613"/>
      <c r="I47" s="613"/>
      <c r="J47" s="613"/>
      <c r="K47" s="726"/>
      <c r="L47" s="734"/>
      <c r="M47" s="734"/>
      <c r="N47" s="734"/>
      <c r="O47" s="734"/>
      <c r="P47" s="201"/>
      <c r="Q47" s="201"/>
      <c r="R47" s="201"/>
      <c r="AC47" s="745"/>
      <c r="AD47" s="200"/>
      <c r="AG47" s="620"/>
      <c r="AI47" s="604"/>
    </row>
    <row r="48" spans="3:35" s="158" customFormat="1">
      <c r="E48" s="200"/>
      <c r="F48" s="621"/>
      <c r="G48" s="613"/>
      <c r="H48" s="613"/>
      <c r="I48" s="613"/>
      <c r="J48" s="613"/>
      <c r="K48" s="726"/>
      <c r="L48" s="734"/>
      <c r="M48" s="734"/>
      <c r="N48" s="734"/>
      <c r="O48" s="734"/>
      <c r="P48" s="201"/>
      <c r="Q48" s="201"/>
      <c r="R48" s="201"/>
      <c r="AC48" s="745"/>
      <c r="AD48" s="200"/>
      <c r="AG48" s="620"/>
      <c r="AI48" s="604"/>
    </row>
    <row r="49" spans="5:35" s="158" customFormat="1">
      <c r="E49" s="200"/>
      <c r="F49" s="621"/>
      <c r="G49" s="613"/>
      <c r="H49" s="613"/>
      <c r="I49" s="613"/>
      <c r="J49" s="613"/>
      <c r="K49" s="726"/>
      <c r="L49" s="734"/>
      <c r="M49" s="734"/>
      <c r="N49" s="734"/>
      <c r="O49" s="734"/>
      <c r="P49" s="201"/>
      <c r="Q49" s="201"/>
      <c r="R49" s="201"/>
      <c r="AC49" s="745"/>
      <c r="AD49" s="200"/>
      <c r="AG49" s="620"/>
      <c r="AI49" s="604"/>
    </row>
    <row r="50" spans="5:35" s="158" customFormat="1">
      <c r="E50" s="200"/>
      <c r="F50" s="621"/>
      <c r="G50" s="613"/>
      <c r="H50" s="613"/>
      <c r="I50" s="613"/>
      <c r="J50" s="613"/>
      <c r="K50" s="726"/>
      <c r="L50" s="734"/>
      <c r="M50" s="734"/>
      <c r="N50" s="734"/>
      <c r="O50" s="734"/>
      <c r="P50" s="201"/>
      <c r="Q50" s="201"/>
      <c r="R50" s="201"/>
      <c r="AC50" s="745"/>
      <c r="AD50" s="200"/>
      <c r="AG50" s="620"/>
      <c r="AI50" s="604"/>
    </row>
    <row r="51" spans="5:35" s="158" customFormat="1">
      <c r="E51" s="200"/>
      <c r="F51" s="621"/>
      <c r="G51" s="613"/>
      <c r="H51" s="613"/>
      <c r="I51" s="613"/>
      <c r="J51" s="613"/>
      <c r="K51" s="726"/>
      <c r="L51" s="734"/>
      <c r="M51" s="734"/>
      <c r="N51" s="734"/>
      <c r="O51" s="734"/>
      <c r="P51" s="201"/>
      <c r="Q51" s="201"/>
      <c r="R51" s="201"/>
      <c r="AC51" s="745"/>
      <c r="AD51" s="200"/>
      <c r="AG51" s="620"/>
      <c r="AI51" s="604"/>
    </row>
    <row r="52" spans="5:35" s="158" customFormat="1">
      <c r="E52" s="200"/>
      <c r="F52" s="621"/>
      <c r="G52" s="613"/>
      <c r="H52" s="613"/>
      <c r="I52" s="613"/>
      <c r="J52" s="613"/>
      <c r="K52" s="726"/>
      <c r="L52" s="734"/>
      <c r="M52" s="734"/>
      <c r="N52" s="734"/>
      <c r="O52" s="734"/>
      <c r="P52" s="201"/>
      <c r="Q52" s="201"/>
      <c r="R52" s="201"/>
      <c r="AC52" s="745"/>
      <c r="AD52" s="200"/>
      <c r="AG52" s="620"/>
      <c r="AI52" s="604"/>
    </row>
    <row r="53" spans="5:35" s="158" customFormat="1">
      <c r="E53" s="200"/>
      <c r="F53" s="621"/>
      <c r="G53" s="613"/>
      <c r="H53" s="613"/>
      <c r="I53" s="613"/>
      <c r="J53" s="613"/>
      <c r="K53" s="726"/>
      <c r="L53" s="734"/>
      <c r="M53" s="734"/>
      <c r="N53" s="734"/>
      <c r="O53" s="734"/>
      <c r="P53" s="201"/>
      <c r="Q53" s="201"/>
      <c r="R53" s="201"/>
      <c r="AC53" s="745"/>
      <c r="AD53" s="200"/>
      <c r="AG53" s="620"/>
      <c r="AI53" s="604"/>
    </row>
    <row r="54" spans="5:35" s="158" customFormat="1">
      <c r="E54" s="200"/>
      <c r="F54" s="621"/>
      <c r="G54" s="613"/>
      <c r="H54" s="613"/>
      <c r="I54" s="613"/>
      <c r="J54" s="613"/>
      <c r="K54" s="726"/>
      <c r="L54" s="734"/>
      <c r="M54" s="734"/>
      <c r="N54" s="734"/>
      <c r="O54" s="734"/>
      <c r="P54" s="201"/>
      <c r="Q54" s="201"/>
      <c r="R54" s="201"/>
      <c r="AC54" s="745"/>
      <c r="AD54" s="200"/>
      <c r="AG54" s="620"/>
      <c r="AI54" s="604"/>
    </row>
    <row r="55" spans="5:35" s="158" customFormat="1">
      <c r="E55" s="200"/>
      <c r="F55" s="621"/>
      <c r="G55" s="613"/>
      <c r="H55" s="613"/>
      <c r="I55" s="613"/>
      <c r="J55" s="613"/>
      <c r="K55" s="726"/>
      <c r="L55" s="734"/>
      <c r="M55" s="734"/>
      <c r="N55" s="734"/>
      <c r="O55" s="734"/>
      <c r="P55" s="201"/>
      <c r="Q55" s="201"/>
      <c r="R55" s="201"/>
      <c r="AC55" s="745"/>
      <c r="AD55" s="200"/>
      <c r="AG55" s="620"/>
      <c r="AI55" s="604"/>
    </row>
    <row r="56" spans="5:35" s="158" customFormat="1">
      <c r="E56" s="200"/>
      <c r="F56" s="621"/>
      <c r="G56" s="613"/>
      <c r="H56" s="613"/>
      <c r="I56" s="613"/>
      <c r="J56" s="613"/>
      <c r="K56" s="726"/>
      <c r="L56" s="734"/>
      <c r="M56" s="734"/>
      <c r="N56" s="734"/>
      <c r="O56" s="734"/>
      <c r="P56" s="201"/>
      <c r="Q56" s="201"/>
      <c r="R56" s="201"/>
      <c r="AC56" s="745"/>
      <c r="AD56" s="200"/>
      <c r="AG56" s="620"/>
      <c r="AI56" s="604"/>
    </row>
    <row r="57" spans="5:35" s="158" customFormat="1">
      <c r="E57" s="200"/>
      <c r="F57" s="621"/>
      <c r="G57" s="613"/>
      <c r="H57" s="613"/>
      <c r="I57" s="613"/>
      <c r="J57" s="613"/>
      <c r="K57" s="726"/>
      <c r="L57" s="734"/>
      <c r="M57" s="734"/>
      <c r="N57" s="734"/>
      <c r="O57" s="734"/>
      <c r="P57" s="201"/>
      <c r="Q57" s="201"/>
      <c r="R57" s="201"/>
      <c r="AC57" s="745"/>
      <c r="AD57" s="200"/>
      <c r="AG57" s="620"/>
      <c r="AI57" s="604"/>
    </row>
    <row r="58" spans="5:35" s="158" customFormat="1">
      <c r="E58" s="200"/>
      <c r="F58" s="621"/>
      <c r="G58" s="613"/>
      <c r="H58" s="613"/>
      <c r="I58" s="613"/>
      <c r="J58" s="613"/>
      <c r="K58" s="726"/>
      <c r="L58" s="734"/>
      <c r="M58" s="734"/>
      <c r="N58" s="734"/>
      <c r="O58" s="734"/>
      <c r="P58" s="201"/>
      <c r="Q58" s="201"/>
      <c r="R58" s="201"/>
      <c r="AC58" s="745"/>
      <c r="AD58" s="200"/>
      <c r="AG58" s="620"/>
      <c r="AI58" s="604"/>
    </row>
    <row r="59" spans="5:35" s="158" customFormat="1">
      <c r="E59" s="200"/>
      <c r="F59" s="621"/>
      <c r="G59" s="613"/>
      <c r="H59" s="613"/>
      <c r="I59" s="613"/>
      <c r="J59" s="613"/>
      <c r="K59" s="726"/>
      <c r="L59" s="734"/>
      <c r="M59" s="734"/>
      <c r="N59" s="734"/>
      <c r="O59" s="734"/>
      <c r="P59" s="201"/>
      <c r="Q59" s="201"/>
      <c r="R59" s="201"/>
      <c r="AC59" s="745"/>
      <c r="AD59" s="200"/>
      <c r="AG59" s="620"/>
      <c r="AI59" s="604"/>
    </row>
    <row r="60" spans="5:35" s="158" customFormat="1">
      <c r="E60" s="200"/>
      <c r="F60" s="621"/>
      <c r="G60" s="613"/>
      <c r="H60" s="613"/>
      <c r="I60" s="613"/>
      <c r="J60" s="613"/>
      <c r="K60" s="726"/>
      <c r="L60" s="734"/>
      <c r="M60" s="734"/>
      <c r="N60" s="734"/>
      <c r="O60" s="734"/>
      <c r="P60" s="201"/>
      <c r="Q60" s="201"/>
      <c r="R60" s="201"/>
      <c r="AC60" s="745"/>
      <c r="AD60" s="200"/>
      <c r="AG60" s="620"/>
      <c r="AI60" s="604"/>
    </row>
    <row r="61" spans="5:35" s="158" customFormat="1">
      <c r="E61" s="200"/>
      <c r="F61" s="621"/>
      <c r="G61" s="613"/>
      <c r="H61" s="613"/>
      <c r="I61" s="613"/>
      <c r="J61" s="613"/>
      <c r="K61" s="726"/>
      <c r="L61" s="734"/>
      <c r="M61" s="734"/>
      <c r="N61" s="734"/>
      <c r="O61" s="734"/>
      <c r="P61" s="201"/>
      <c r="Q61" s="201"/>
      <c r="R61" s="201"/>
      <c r="AC61" s="745"/>
      <c r="AD61" s="200"/>
      <c r="AG61" s="620"/>
      <c r="AI61" s="604"/>
    </row>
    <row r="62" spans="5:35" s="158" customFormat="1">
      <c r="E62" s="200"/>
      <c r="F62" s="621"/>
      <c r="G62" s="613"/>
      <c r="H62" s="613"/>
      <c r="I62" s="613"/>
      <c r="J62" s="613"/>
      <c r="K62" s="726"/>
      <c r="L62" s="734"/>
      <c r="M62" s="734"/>
      <c r="N62" s="734"/>
      <c r="O62" s="734"/>
      <c r="P62" s="201"/>
      <c r="Q62" s="201"/>
      <c r="R62" s="201"/>
      <c r="AC62" s="745"/>
      <c r="AD62" s="200"/>
      <c r="AG62" s="620"/>
      <c r="AI62" s="604"/>
    </row>
    <row r="63" spans="5:35" s="158" customFormat="1">
      <c r="E63" s="200"/>
      <c r="F63" s="621"/>
      <c r="G63" s="613"/>
      <c r="H63" s="613"/>
      <c r="I63" s="613"/>
      <c r="J63" s="613"/>
      <c r="K63" s="726"/>
      <c r="L63" s="734"/>
      <c r="M63" s="734"/>
      <c r="N63" s="734"/>
      <c r="O63" s="734"/>
      <c r="P63" s="201"/>
      <c r="Q63" s="201"/>
      <c r="R63" s="201"/>
      <c r="AC63" s="745"/>
      <c r="AD63" s="200"/>
      <c r="AG63" s="620"/>
      <c r="AI63" s="604"/>
    </row>
    <row r="64" spans="5:35" s="158" customFormat="1">
      <c r="E64" s="200"/>
      <c r="F64" s="621"/>
      <c r="G64" s="613"/>
      <c r="H64" s="613"/>
      <c r="I64" s="613"/>
      <c r="J64" s="613"/>
      <c r="K64" s="726"/>
      <c r="L64" s="734"/>
      <c r="M64" s="734"/>
      <c r="N64" s="734"/>
      <c r="O64" s="734"/>
      <c r="P64" s="201"/>
      <c r="Q64" s="201"/>
      <c r="R64" s="201"/>
      <c r="AC64" s="745"/>
      <c r="AD64" s="200"/>
      <c r="AG64" s="620"/>
      <c r="AI64" s="604"/>
    </row>
    <row r="65" spans="5:35" s="158" customFormat="1">
      <c r="E65" s="200"/>
      <c r="F65" s="621"/>
      <c r="G65" s="613"/>
      <c r="H65" s="613"/>
      <c r="I65" s="613"/>
      <c r="J65" s="613"/>
      <c r="K65" s="726"/>
      <c r="L65" s="734"/>
      <c r="M65" s="734"/>
      <c r="N65" s="734"/>
      <c r="O65" s="734"/>
      <c r="P65" s="201"/>
      <c r="Q65" s="201"/>
      <c r="R65" s="201"/>
      <c r="AC65" s="745"/>
      <c r="AD65" s="200"/>
      <c r="AG65" s="620"/>
      <c r="AI65" s="604"/>
    </row>
    <row r="66" spans="5:35" s="158" customFormat="1">
      <c r="E66" s="200"/>
      <c r="F66" s="621"/>
      <c r="G66" s="613"/>
      <c r="H66" s="613"/>
      <c r="I66" s="613"/>
      <c r="J66" s="613"/>
      <c r="K66" s="726"/>
      <c r="L66" s="734"/>
      <c r="M66" s="734"/>
      <c r="N66" s="734"/>
      <c r="O66" s="734"/>
      <c r="P66" s="201"/>
      <c r="Q66" s="201"/>
      <c r="R66" s="201"/>
      <c r="AC66" s="745"/>
      <c r="AD66" s="200"/>
      <c r="AG66" s="620"/>
      <c r="AI66" s="604"/>
    </row>
    <row r="67" spans="5:35" s="158" customFormat="1">
      <c r="E67" s="200"/>
      <c r="F67" s="621"/>
      <c r="G67" s="613"/>
      <c r="H67" s="613"/>
      <c r="I67" s="613"/>
      <c r="J67" s="613"/>
      <c r="K67" s="726"/>
      <c r="L67" s="734"/>
      <c r="M67" s="734"/>
      <c r="N67" s="734"/>
      <c r="O67" s="734"/>
      <c r="P67" s="201"/>
      <c r="Q67" s="201"/>
      <c r="R67" s="201"/>
      <c r="AC67" s="745"/>
      <c r="AD67" s="200"/>
      <c r="AG67" s="620"/>
      <c r="AI67" s="604"/>
    </row>
    <row r="68" spans="5:35" s="158" customFormat="1">
      <c r="E68" s="200"/>
      <c r="F68" s="621"/>
      <c r="G68" s="613"/>
      <c r="H68" s="613"/>
      <c r="I68" s="613"/>
      <c r="J68" s="613"/>
      <c r="K68" s="726"/>
      <c r="L68" s="734"/>
      <c r="M68" s="734"/>
      <c r="N68" s="734"/>
      <c r="O68" s="734"/>
      <c r="P68" s="201"/>
      <c r="Q68" s="201"/>
      <c r="R68" s="201"/>
      <c r="AC68" s="745"/>
      <c r="AD68" s="200"/>
      <c r="AG68" s="620"/>
      <c r="AI68" s="604"/>
    </row>
    <row r="69" spans="5:35" s="158" customFormat="1">
      <c r="E69" s="200"/>
      <c r="F69" s="621"/>
      <c r="G69" s="613"/>
      <c r="H69" s="613"/>
      <c r="I69" s="613"/>
      <c r="J69" s="613"/>
      <c r="K69" s="726"/>
      <c r="L69" s="734"/>
      <c r="M69" s="734"/>
      <c r="N69" s="734"/>
      <c r="O69" s="734"/>
      <c r="P69" s="201"/>
      <c r="Q69" s="201"/>
      <c r="R69" s="201"/>
      <c r="AC69" s="745"/>
      <c r="AD69" s="200"/>
      <c r="AG69" s="620"/>
      <c r="AI69" s="604"/>
    </row>
    <row r="70" spans="5:35" s="158" customFormat="1">
      <c r="E70" s="200"/>
      <c r="F70" s="621"/>
      <c r="G70" s="613"/>
      <c r="H70" s="613"/>
      <c r="I70" s="613"/>
      <c r="J70" s="613"/>
      <c r="K70" s="726"/>
      <c r="L70" s="734"/>
      <c r="M70" s="734"/>
      <c r="N70" s="734"/>
      <c r="O70" s="734"/>
      <c r="P70" s="201"/>
      <c r="Q70" s="201"/>
      <c r="R70" s="201"/>
      <c r="AC70" s="745"/>
      <c r="AD70" s="200"/>
      <c r="AG70" s="620"/>
      <c r="AI70" s="604"/>
    </row>
    <row r="71" spans="5:35" s="158" customFormat="1">
      <c r="E71" s="200"/>
      <c r="F71" s="621"/>
      <c r="G71" s="613"/>
      <c r="H71" s="613"/>
      <c r="I71" s="613"/>
      <c r="J71" s="613"/>
      <c r="K71" s="726"/>
      <c r="L71" s="734"/>
      <c r="M71" s="734"/>
      <c r="N71" s="734"/>
      <c r="O71" s="734"/>
      <c r="P71" s="201"/>
      <c r="Q71" s="201"/>
      <c r="R71" s="201"/>
      <c r="AC71" s="745"/>
      <c r="AD71" s="200"/>
      <c r="AG71" s="620"/>
      <c r="AI71" s="604"/>
    </row>
    <row r="111" spans="22:22">
      <c r="V111" s="841" t="e">
        <f>SUM(V15:V110)</f>
        <v>#N/A</v>
      </c>
    </row>
  </sheetData>
  <mergeCells count="48">
    <mergeCell ref="B1:AE1"/>
    <mergeCell ref="B2:AE2"/>
    <mergeCell ref="C3:AE3"/>
    <mergeCell ref="C4:K4"/>
    <mergeCell ref="C5:K5"/>
    <mergeCell ref="A7:AF7"/>
    <mergeCell ref="A8:D8"/>
    <mergeCell ref="F10:AC10"/>
    <mergeCell ref="F11:G11"/>
    <mergeCell ref="K11:Q11"/>
    <mergeCell ref="R11:AC11"/>
    <mergeCell ref="A10:A12"/>
    <mergeCell ref="B10:B12"/>
    <mergeCell ref="C10:C12"/>
    <mergeCell ref="D10:D12"/>
    <mergeCell ref="E10:E12"/>
    <mergeCell ref="AD10:AD12"/>
    <mergeCell ref="AE10:AE12"/>
    <mergeCell ref="AF10:AF12"/>
    <mergeCell ref="AJ21:AK21"/>
    <mergeCell ref="A22:AE22"/>
    <mergeCell ref="AC23:AE23"/>
    <mergeCell ref="C24:F24"/>
    <mergeCell ref="G24:P24"/>
    <mergeCell ref="Q24:AC24"/>
    <mergeCell ref="AD24:AE24"/>
    <mergeCell ref="K27:N27"/>
    <mergeCell ref="P27:Q27"/>
    <mergeCell ref="AD27:AE27"/>
    <mergeCell ref="K28:L28"/>
    <mergeCell ref="AC28:AD28"/>
    <mergeCell ref="C29:F29"/>
    <mergeCell ref="G29:O29"/>
    <mergeCell ref="AD29:AE29"/>
    <mergeCell ref="F30:K30"/>
    <mergeCell ref="L30:N30"/>
    <mergeCell ref="P30:Q30"/>
    <mergeCell ref="F31:K31"/>
    <mergeCell ref="N31:P31"/>
    <mergeCell ref="Q31:R31"/>
    <mergeCell ref="G32:K32"/>
    <mergeCell ref="Q32:R32"/>
    <mergeCell ref="G33:K33"/>
    <mergeCell ref="Q33:R33"/>
    <mergeCell ref="G34:K34"/>
    <mergeCell ref="Q34:R34"/>
    <mergeCell ref="G35:K35"/>
    <mergeCell ref="Q35:R35"/>
  </mergeCells>
  <printOptions horizontalCentered="1"/>
  <pageMargins left="0" right="0" top="0.511811023622047" bottom="0.511811023622047" header="0.31496062992126" footer="0.31496062992126"/>
  <pageSetup paperSize="9" scale="80" orientation="landscape"/>
  <headerFooter>
    <oddFooter>&amp;R&amp;P/1</oddFooter>
  </headerFooter>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AL149"/>
  <sheetViews>
    <sheetView showZeros="0" topLeftCell="A8" zoomScale="130" zoomScaleNormal="130" workbookViewId="0">
      <selection activeCell="C108" sqref="C108"/>
    </sheetView>
  </sheetViews>
  <sheetFormatPr defaultColWidth="18.85546875" defaultRowHeight="18.75"/>
  <cols>
    <col min="1" max="1" width="3.28515625" style="197" customWidth="1"/>
    <col min="2" max="2" width="11.28515625" style="197" hidden="1" customWidth="1"/>
    <col min="3" max="3" width="13" style="601" customWidth="1"/>
    <col min="4" max="4" width="8.140625" style="346" customWidth="1"/>
    <col min="5" max="5" width="13.5703125" style="346" customWidth="1"/>
    <col min="6" max="6" width="8.42578125" style="602" customWidth="1"/>
    <col min="7" max="7" width="11.140625" style="346" customWidth="1"/>
    <col min="8" max="10" width="10.5703125" style="346" hidden="1" customWidth="1"/>
    <col min="11" max="11" width="7" style="684" customWidth="1"/>
    <col min="12" max="12" width="8.7109375" style="685" hidden="1" customWidth="1"/>
    <col min="13" max="13" width="7.7109375" style="685" customWidth="1"/>
    <col min="14" max="14" width="9.7109375" style="685" hidden="1" customWidth="1"/>
    <col min="15" max="15" width="9.7109375" style="685" customWidth="1"/>
    <col min="16" max="16" width="7" style="686" customWidth="1"/>
    <col min="17" max="17" width="10" style="687" customWidth="1"/>
    <col min="18" max="19" width="7" style="346" customWidth="1"/>
    <col min="20" max="22" width="7" style="346" hidden="1" customWidth="1"/>
    <col min="23" max="23" width="6.28515625" style="346" hidden="1" customWidth="1"/>
    <col min="24" max="24" width="6.28515625" style="346" customWidth="1"/>
    <col min="25" max="25" width="8" style="346" customWidth="1"/>
    <col min="26" max="26" width="6.28515625" style="346" customWidth="1"/>
    <col min="27" max="27" width="7" style="346" customWidth="1"/>
    <col min="28" max="28" width="7" style="346" hidden="1" customWidth="1"/>
    <col min="29" max="29" width="10.7109375" style="346" customWidth="1"/>
    <col min="30" max="30" width="12.140625" style="346" customWidth="1"/>
    <col min="31" max="31" width="10.85546875" style="346" customWidth="1"/>
    <col min="32" max="32" width="13.28515625" style="346" customWidth="1"/>
    <col min="33" max="33" width="12.85546875" style="603" customWidth="1"/>
    <col min="34" max="34" width="19.7109375" style="346" customWidth="1"/>
    <col min="35" max="35" width="14.5703125" style="604" customWidth="1"/>
    <col min="36" max="228" width="9.140625" style="346" customWidth="1"/>
    <col min="229" max="229" width="5.5703125" style="346" customWidth="1"/>
    <col min="230" max="230" width="16.140625" style="346" customWidth="1"/>
    <col min="231" max="16384" width="18.85546875" style="346"/>
  </cols>
  <sheetData>
    <row r="1" spans="1:37" s="598" customFormat="1" ht="15.75">
      <c r="B1" s="2672" t="s">
        <v>0</v>
      </c>
      <c r="C1" s="2672"/>
      <c r="D1" s="2672"/>
      <c r="E1" s="2672"/>
      <c r="F1" s="2672"/>
      <c r="G1" s="2672"/>
      <c r="H1" s="2672"/>
      <c r="I1" s="2672"/>
      <c r="J1" s="2672"/>
      <c r="K1" s="2672"/>
      <c r="L1" s="2672"/>
      <c r="M1" s="2672"/>
      <c r="N1" s="2672"/>
      <c r="O1" s="2672"/>
      <c r="P1" s="2672"/>
      <c r="Q1" s="2672"/>
      <c r="R1" s="2672"/>
      <c r="S1" s="2672"/>
      <c r="T1" s="2672"/>
      <c r="U1" s="2672"/>
      <c r="V1" s="2672"/>
      <c r="W1" s="2672"/>
      <c r="X1" s="2672"/>
      <c r="Y1" s="2672"/>
      <c r="Z1" s="2672"/>
      <c r="AA1" s="2672"/>
      <c r="AB1" s="2672"/>
      <c r="AC1" s="2672"/>
      <c r="AD1" s="2672"/>
      <c r="AE1" s="2672"/>
    </row>
    <row r="2" spans="1:37" s="598" customFormat="1" ht="15.75">
      <c r="B2" s="2672" t="s">
        <v>1968</v>
      </c>
      <c r="C2" s="2672"/>
      <c r="D2" s="2672"/>
      <c r="E2" s="2672"/>
      <c r="F2" s="2672"/>
      <c r="G2" s="2672"/>
      <c r="H2" s="2672"/>
      <c r="I2" s="2672"/>
      <c r="J2" s="2672"/>
      <c r="K2" s="2672"/>
      <c r="L2" s="2672"/>
      <c r="M2" s="2672"/>
      <c r="N2" s="2672"/>
      <c r="O2" s="2672"/>
      <c r="P2" s="2672"/>
      <c r="Q2" s="2672"/>
      <c r="R2" s="2672"/>
      <c r="S2" s="2672"/>
      <c r="T2" s="2672"/>
      <c r="U2" s="2672"/>
      <c r="V2" s="2672"/>
      <c r="W2" s="2672"/>
      <c r="X2" s="2672"/>
      <c r="Y2" s="2672"/>
      <c r="Z2" s="2672"/>
      <c r="AA2" s="2672"/>
      <c r="AB2" s="2672"/>
      <c r="AC2" s="2672"/>
      <c r="AD2" s="2672"/>
      <c r="AE2" s="2672"/>
    </row>
    <row r="3" spans="1:37" s="598" customFormat="1" ht="15.75">
      <c r="C3" s="2673" t="s">
        <v>619</v>
      </c>
      <c r="D3" s="2672"/>
      <c r="E3" s="2672"/>
      <c r="F3" s="2672"/>
      <c r="G3" s="2672"/>
      <c r="H3" s="2672"/>
      <c r="I3" s="2672"/>
      <c r="J3" s="2672"/>
      <c r="K3" s="2672"/>
      <c r="L3" s="2672"/>
      <c r="M3" s="2672"/>
      <c r="N3" s="2672"/>
      <c r="O3" s="2672"/>
      <c r="P3" s="2672"/>
      <c r="Q3" s="2672"/>
      <c r="R3" s="2672"/>
      <c r="S3" s="2672"/>
      <c r="T3" s="2672"/>
      <c r="U3" s="2672"/>
      <c r="V3" s="2672"/>
      <c r="W3" s="2672"/>
      <c r="X3" s="2672"/>
      <c r="Y3" s="2672"/>
      <c r="Z3" s="2672"/>
      <c r="AA3" s="2672"/>
      <c r="AB3" s="2672"/>
      <c r="AC3" s="2672"/>
      <c r="AD3" s="2672"/>
      <c r="AE3" s="2672"/>
    </row>
    <row r="4" spans="1:37" s="598" customFormat="1" ht="15.75">
      <c r="C4" s="2674" t="s">
        <v>2738</v>
      </c>
      <c r="D4" s="2675"/>
      <c r="E4" s="2675"/>
      <c r="F4" s="2675"/>
      <c r="G4" s="2675"/>
      <c r="H4" s="2675"/>
      <c r="I4" s="2675"/>
      <c r="J4" s="2675"/>
      <c r="K4" s="2675"/>
      <c r="L4" s="700"/>
      <c r="M4" s="700"/>
      <c r="N4" s="700"/>
      <c r="O4" s="700"/>
      <c r="P4" s="605"/>
      <c r="Q4" s="605"/>
      <c r="R4" s="605"/>
      <c r="S4" s="605"/>
      <c r="T4" s="605"/>
      <c r="U4" s="605"/>
      <c r="V4" s="605"/>
      <c r="W4" s="605"/>
      <c r="X4" s="605"/>
      <c r="Y4" s="605"/>
      <c r="Z4" s="605"/>
      <c r="AA4" s="605"/>
      <c r="AB4" s="605"/>
      <c r="AC4" s="605"/>
    </row>
    <row r="5" spans="1:37" s="28" customFormat="1" ht="16.5">
      <c r="C5" s="2676" t="s">
        <v>620</v>
      </c>
      <c r="D5" s="2676"/>
      <c r="E5" s="2676"/>
      <c r="F5" s="2676"/>
      <c r="G5" s="2676"/>
      <c r="H5" s="2676"/>
      <c r="I5" s="2676"/>
      <c r="J5" s="2676"/>
      <c r="K5" s="2676"/>
      <c r="L5" s="876"/>
      <c r="M5" s="876"/>
      <c r="N5" s="702"/>
      <c r="O5" s="702"/>
      <c r="P5" s="76"/>
      <c r="R5" s="76"/>
      <c r="S5" s="76"/>
      <c r="T5" s="80"/>
      <c r="U5" s="81"/>
      <c r="V5" s="81"/>
      <c r="W5" s="81"/>
      <c r="X5" s="80"/>
      <c r="Y5" s="81"/>
      <c r="Z5" s="81"/>
      <c r="AA5" s="81"/>
      <c r="AC5" s="82"/>
    </row>
    <row r="6" spans="1:37" ht="15.75">
      <c r="A6" s="175"/>
      <c r="B6" s="175"/>
      <c r="C6" s="175"/>
      <c r="D6" s="175"/>
      <c r="E6" s="175"/>
      <c r="F6" s="175"/>
      <c r="G6" s="175"/>
      <c r="H6" s="175"/>
      <c r="I6" s="175"/>
      <c r="J6" s="175"/>
      <c r="K6" s="689"/>
      <c r="L6" s="703"/>
      <c r="M6" s="703"/>
      <c r="N6" s="703"/>
      <c r="O6" s="703"/>
      <c r="P6" s="704"/>
      <c r="Q6" s="705"/>
      <c r="R6" s="175"/>
      <c r="S6" s="175"/>
      <c r="T6" s="175"/>
      <c r="U6" s="175"/>
      <c r="V6" s="175"/>
      <c r="W6" s="175"/>
      <c r="X6" s="175"/>
      <c r="Y6" s="175"/>
      <c r="Z6" s="175"/>
      <c r="AA6" s="175"/>
      <c r="AB6" s="175"/>
      <c r="AC6" s="175"/>
      <c r="AD6" s="175"/>
      <c r="AE6" s="175"/>
      <c r="AF6" s="176"/>
      <c r="AH6" s="555" t="s">
        <v>1952</v>
      </c>
      <c r="AI6" s="475">
        <f>AI8/AI7</f>
        <v>0.517978939824006</v>
      </c>
    </row>
    <row r="7" spans="1:37" s="176" customFormat="1" ht="27" customHeight="1">
      <c r="A7" s="2290" t="s">
        <v>2763</v>
      </c>
      <c r="B7" s="2290"/>
      <c r="C7" s="2290"/>
      <c r="D7" s="2290"/>
      <c r="E7" s="2290"/>
      <c r="F7" s="2290"/>
      <c r="G7" s="2290"/>
      <c r="H7" s="2290"/>
      <c r="I7" s="2290"/>
      <c r="J7" s="2290"/>
      <c r="K7" s="2290"/>
      <c r="L7" s="2290"/>
      <c r="M7" s="2290"/>
      <c r="N7" s="2290"/>
      <c r="O7" s="2290"/>
      <c r="P7" s="2290"/>
      <c r="Q7" s="2290"/>
      <c r="R7" s="2290"/>
      <c r="S7" s="2290"/>
      <c r="T7" s="2290"/>
      <c r="U7" s="2290"/>
      <c r="V7" s="2290"/>
      <c r="W7" s="2290"/>
      <c r="X7" s="2290"/>
      <c r="Y7" s="2290"/>
      <c r="Z7" s="2290"/>
      <c r="AA7" s="2290"/>
      <c r="AB7" s="2290"/>
      <c r="AC7" s="2290"/>
      <c r="AD7" s="2290"/>
      <c r="AE7" s="2290"/>
      <c r="AF7" s="2290"/>
      <c r="AG7" s="622"/>
      <c r="AH7" s="917" t="s">
        <v>2570</v>
      </c>
      <c r="AI7" s="918">
        <f>THCKT!AO16</f>
        <v>2174</v>
      </c>
      <c r="AJ7" s="176">
        <v>181802</v>
      </c>
      <c r="AK7" s="176">
        <v>78648.620054079103</v>
      </c>
    </row>
    <row r="8" spans="1:37" s="176" customFormat="1" ht="24.6" customHeight="1">
      <c r="A8" s="2660" t="s">
        <v>2710</v>
      </c>
      <c r="B8" s="2660"/>
      <c r="C8" s="2660"/>
      <c r="D8" s="2660"/>
      <c r="E8" s="175"/>
      <c r="F8" s="158">
        <f>'LƯƠNG KT'!F8</f>
        <v>668.84</v>
      </c>
      <c r="G8" s="175"/>
      <c r="H8" s="175"/>
      <c r="I8" s="175"/>
      <c r="J8" s="175"/>
      <c r="K8" s="175"/>
      <c r="L8" s="706"/>
      <c r="M8" s="706"/>
      <c r="N8" s="706"/>
      <c r="O8" s="706"/>
      <c r="P8" s="175"/>
      <c r="Q8" s="175"/>
      <c r="R8" s="175"/>
      <c r="S8" s="175"/>
      <c r="T8" s="175"/>
      <c r="U8" s="175"/>
      <c r="V8" s="175"/>
      <c r="W8" s="175"/>
      <c r="X8" s="175"/>
      <c r="Y8" s="175"/>
      <c r="Z8" s="175"/>
      <c r="AA8" s="175"/>
      <c r="AB8" s="175"/>
      <c r="AC8" s="175"/>
      <c r="AD8" s="175"/>
      <c r="AE8" s="175"/>
      <c r="AF8" s="175"/>
      <c r="AG8" s="622"/>
      <c r="AH8" s="917" t="s">
        <v>2602</v>
      </c>
      <c r="AI8" s="919">
        <f>THCKT!AP16</f>
        <v>1126.0862151773899</v>
      </c>
    </row>
    <row r="9" spans="1:37" s="176" customFormat="1" ht="18.75" customHeight="1">
      <c r="A9" s="608"/>
      <c r="B9" s="608"/>
      <c r="C9" s="172"/>
      <c r="D9" s="608"/>
      <c r="E9" s="608"/>
      <c r="F9" s="609" t="e">
        <f>'Đội 3'!F9</f>
        <v>#REF!</v>
      </c>
      <c r="G9" s="175"/>
      <c r="H9" s="175"/>
      <c r="I9" s="175"/>
      <c r="J9" s="175"/>
      <c r="K9" s="175"/>
      <c r="L9" s="706"/>
      <c r="M9" s="706"/>
      <c r="N9" s="706"/>
      <c r="O9" s="706"/>
      <c r="P9" s="175"/>
      <c r="Q9" s="175"/>
      <c r="R9" s="175"/>
      <c r="S9" s="175"/>
      <c r="T9" s="175"/>
      <c r="U9" s="175"/>
      <c r="V9" s="175"/>
      <c r="W9" s="175"/>
      <c r="X9" s="175"/>
      <c r="Y9" s="175"/>
      <c r="Z9" s="175"/>
      <c r="AA9" s="175"/>
      <c r="AB9" s="175"/>
      <c r="AC9" s="175"/>
      <c r="AF9" s="175"/>
      <c r="AG9" s="622"/>
      <c r="AH9" s="920" t="s">
        <v>373</v>
      </c>
      <c r="AI9" s="921">
        <v>0.5</v>
      </c>
    </row>
    <row r="10" spans="1:37" s="175" customFormat="1" ht="17.25" customHeight="1">
      <c r="A10" s="2666" t="s">
        <v>623</v>
      </c>
      <c r="B10" s="2666" t="s">
        <v>624</v>
      </c>
      <c r="C10" s="2668" t="s">
        <v>356</v>
      </c>
      <c r="D10" s="2666" t="s">
        <v>2711</v>
      </c>
      <c r="E10" s="2664" t="s">
        <v>531</v>
      </c>
      <c r="F10" s="2661" t="s">
        <v>2712</v>
      </c>
      <c r="G10" s="2662"/>
      <c r="H10" s="2662"/>
      <c r="I10" s="2662"/>
      <c r="J10" s="2662"/>
      <c r="K10" s="2662"/>
      <c r="L10" s="2662"/>
      <c r="M10" s="2662"/>
      <c r="N10" s="2662"/>
      <c r="O10" s="2662"/>
      <c r="P10" s="2662"/>
      <c r="Q10" s="2662"/>
      <c r="R10" s="2662"/>
      <c r="S10" s="2662"/>
      <c r="T10" s="2662"/>
      <c r="U10" s="2662"/>
      <c r="V10" s="2662"/>
      <c r="W10" s="2662"/>
      <c r="X10" s="2662"/>
      <c r="Y10" s="2662"/>
      <c r="Z10" s="2662"/>
      <c r="AA10" s="2662"/>
      <c r="AB10" s="2662"/>
      <c r="AC10" s="2663"/>
      <c r="AD10" s="2664" t="s">
        <v>2713</v>
      </c>
      <c r="AE10" s="2664" t="s">
        <v>2714</v>
      </c>
      <c r="AF10" s="2671" t="s">
        <v>2715</v>
      </c>
      <c r="AG10" s="623"/>
      <c r="AH10" s="920" t="s">
        <v>2604</v>
      </c>
      <c r="AI10" s="921">
        <v>0.31672614503816798</v>
      </c>
    </row>
    <row r="11" spans="1:37" s="175" customFormat="1" ht="28.5" customHeight="1">
      <c r="A11" s="2666"/>
      <c r="B11" s="2666"/>
      <c r="C11" s="2669"/>
      <c r="D11" s="2666"/>
      <c r="E11" s="2664"/>
      <c r="F11" s="2666" t="s">
        <v>2716</v>
      </c>
      <c r="G11" s="2666"/>
      <c r="H11" s="862"/>
      <c r="I11" s="862"/>
      <c r="J11" s="862"/>
      <c r="K11" s="2664" t="s">
        <v>2717</v>
      </c>
      <c r="L11" s="2664"/>
      <c r="M11" s="2664"/>
      <c r="N11" s="2664"/>
      <c r="O11" s="2664"/>
      <c r="P11" s="2664"/>
      <c r="Q11" s="2664"/>
      <c r="R11" s="2665" t="s">
        <v>2718</v>
      </c>
      <c r="S11" s="2665"/>
      <c r="T11" s="2665"/>
      <c r="U11" s="2665"/>
      <c r="V11" s="2665"/>
      <c r="W11" s="2665"/>
      <c r="X11" s="2665"/>
      <c r="Y11" s="2665"/>
      <c r="Z11" s="2665"/>
      <c r="AA11" s="2665"/>
      <c r="AB11" s="2665"/>
      <c r="AC11" s="2665"/>
      <c r="AD11" s="2664"/>
      <c r="AE11" s="2664"/>
      <c r="AF11" s="2671"/>
      <c r="AG11" s="623"/>
      <c r="AI11" s="604"/>
    </row>
    <row r="12" spans="1:37" s="599" customFormat="1" ht="51" customHeight="1">
      <c r="A12" s="2667"/>
      <c r="B12" s="2666"/>
      <c r="C12" s="2670"/>
      <c r="D12" s="2667"/>
      <c r="E12" s="2664"/>
      <c r="F12" s="864" t="s">
        <v>2593</v>
      </c>
      <c r="G12" s="178" t="s">
        <v>2719</v>
      </c>
      <c r="H12" s="910" t="s">
        <v>2586</v>
      </c>
      <c r="I12" s="910" t="s">
        <v>2587</v>
      </c>
      <c r="J12" s="910" t="s">
        <v>2588</v>
      </c>
      <c r="K12" s="877" t="s">
        <v>2720</v>
      </c>
      <c r="L12" s="878" t="s">
        <v>2740</v>
      </c>
      <c r="M12" s="878" t="s">
        <v>2721</v>
      </c>
      <c r="N12" s="878" t="s">
        <v>2741</v>
      </c>
      <c r="O12" s="878" t="s">
        <v>2722</v>
      </c>
      <c r="P12" s="879" t="s">
        <v>2742</v>
      </c>
      <c r="Q12" s="860" t="s">
        <v>2724</v>
      </c>
      <c r="R12" s="885" t="s">
        <v>2743</v>
      </c>
      <c r="S12" s="885" t="s">
        <v>2744</v>
      </c>
      <c r="T12" s="885" t="s">
        <v>2745</v>
      </c>
      <c r="U12" s="885" t="s">
        <v>369</v>
      </c>
      <c r="V12" s="885" t="s">
        <v>2666</v>
      </c>
      <c r="W12" s="885" t="s">
        <v>2680</v>
      </c>
      <c r="X12" s="886" t="s">
        <v>2746</v>
      </c>
      <c r="Y12" s="885" t="s">
        <v>2747</v>
      </c>
      <c r="Z12" s="885" t="s">
        <v>2683</v>
      </c>
      <c r="AA12" s="886" t="s">
        <v>2748</v>
      </c>
      <c r="AB12" s="885"/>
      <c r="AC12" s="860" t="s">
        <v>2727</v>
      </c>
      <c r="AD12" s="2664"/>
      <c r="AE12" s="2664"/>
      <c r="AF12" s="2671"/>
      <c r="AG12" s="624" t="s">
        <v>2728</v>
      </c>
      <c r="AI12" s="637"/>
    </row>
    <row r="13" spans="1:37" s="29" customFormat="1" ht="34.15" hidden="1" customHeight="1">
      <c r="A13" s="866" t="s">
        <v>636</v>
      </c>
      <c r="B13" s="866"/>
      <c r="C13" s="863" t="s">
        <v>638</v>
      </c>
      <c r="D13" s="866" t="s">
        <v>639</v>
      </c>
      <c r="E13" s="863" t="s">
        <v>2729</v>
      </c>
      <c r="F13" s="866" t="s">
        <v>640</v>
      </c>
      <c r="G13" s="866" t="s">
        <v>2730</v>
      </c>
      <c r="H13" s="866"/>
      <c r="I13" s="866"/>
      <c r="J13" s="866"/>
      <c r="K13" s="880" t="s">
        <v>2731</v>
      </c>
      <c r="L13" s="881" t="s">
        <v>2731</v>
      </c>
      <c r="M13" s="881" t="s">
        <v>2731</v>
      </c>
      <c r="N13" s="881" t="s">
        <v>2731</v>
      </c>
      <c r="O13" s="881" t="s">
        <v>2731</v>
      </c>
      <c r="P13" s="866" t="s">
        <v>2732</v>
      </c>
      <c r="Q13" s="866" t="s">
        <v>2730</v>
      </c>
      <c r="R13" s="866" t="s">
        <v>2733</v>
      </c>
      <c r="S13" s="866" t="s">
        <v>2734</v>
      </c>
      <c r="T13" s="866" t="s">
        <v>2734</v>
      </c>
      <c r="U13" s="866" t="s">
        <v>2734</v>
      </c>
      <c r="V13" s="866" t="s">
        <v>2734</v>
      </c>
      <c r="W13" s="866" t="s">
        <v>2734</v>
      </c>
      <c r="X13" s="866" t="s">
        <v>2734</v>
      </c>
      <c r="Y13" s="866" t="s">
        <v>2734</v>
      </c>
      <c r="Z13" s="866" t="s">
        <v>2734</v>
      </c>
      <c r="AA13" s="866" t="s">
        <v>2734</v>
      </c>
      <c r="AB13" s="866" t="s">
        <v>2734</v>
      </c>
      <c r="AC13" s="866" t="s">
        <v>2730</v>
      </c>
      <c r="AD13" s="888" t="s">
        <v>643</v>
      </c>
      <c r="AE13" s="863" t="s">
        <v>644</v>
      </c>
      <c r="AF13" s="626" t="s">
        <v>2735</v>
      </c>
      <c r="AG13" s="627" t="s">
        <v>2736</v>
      </c>
      <c r="AI13" s="637"/>
    </row>
    <row r="14" spans="1:37" s="540" customFormat="1" ht="20.25" customHeight="1">
      <c r="A14" s="868">
        <v>1</v>
      </c>
      <c r="B14" s="1644" t="str">
        <f>VLOOKUP(C14,'DS CN MOI UP'!$B$10:$C$389,2,0)</f>
        <v>03348</v>
      </c>
      <c r="C14" s="875" t="s">
        <v>124</v>
      </c>
      <c r="D14" s="875" t="s">
        <v>15</v>
      </c>
      <c r="E14" s="872"/>
      <c r="F14" s="873">
        <f>+VLOOKUP(C14,THCKT!$C$13:$AE$460,17,0)</f>
        <v>24</v>
      </c>
      <c r="G14" s="874">
        <f t="shared" ref="G14:G77" si="0">F14*25000</f>
        <v>600000</v>
      </c>
      <c r="H14" s="874"/>
      <c r="I14" s="874"/>
      <c r="J14" s="874"/>
      <c r="K14" s="874" t="e">
        <f>VLOOKUP(C14,THCKT!$C$13:$AL$460,21,0)</f>
        <v>#N/A</v>
      </c>
      <c r="L14" s="883">
        <f>VLOOKUP(C14,THCKT!$C$13:$AL$460,22,0)</f>
        <v>0</v>
      </c>
      <c r="M14" s="883">
        <f>VLOOKUP(C14,THCKT!$C$13:$AL$460,23,0)</f>
        <v>0</v>
      </c>
      <c r="N14" s="883" t="e">
        <f t="shared" ref="N14:O45" si="1">$AI$8/$AI$7*K14+L14*$AI$9+M14*$AI$10</f>
        <v>#N/A</v>
      </c>
      <c r="O14" s="883" t="e">
        <f t="shared" si="1"/>
        <v>#N/A</v>
      </c>
      <c r="P14" s="884" t="e">
        <f>VLOOKUP(C14,THCKT!$C$13:$AL$460,36,0)</f>
        <v>#N/A</v>
      </c>
      <c r="Q14" s="887" t="e">
        <f>ROUND((IF(P14="A",(K14*$AI$6*6.1),IF(P14="B",(K14*$AI$6*5.8),IF(P14="C",(K14*$AI$6*5.5),IF(P14="D",(K14*$AI$6*5.2),0))))*$F$9+(L14*$AI$9*$F$9*6.1)+M14*$F$9*$AI$10*6.1),0)</f>
        <v>#N/A</v>
      </c>
      <c r="R14" s="874" t="e">
        <f>VLOOKUP(C14,'LƯƠNG KT'!$D$15:$P$94,16,0)</f>
        <v>#N/A</v>
      </c>
      <c r="S14" s="874" t="e">
        <f>VLOOKUP(C14,'LƯƠNG KT'!$D$15:$P$94,17,0)</f>
        <v>#N/A</v>
      </c>
      <c r="T14" s="874" t="e">
        <f>VLOOKUP(C14,'LƯƠNG KT'!$D$15:$P$94,18,0)</f>
        <v>#N/A</v>
      </c>
      <c r="U14" s="874" t="e">
        <f>VLOOKUP(C14,'LƯƠNG KT'!$D$15:$P$94,18,0)</f>
        <v>#N/A</v>
      </c>
      <c r="V14" s="874" t="e">
        <f>VLOOKUP(C14,'LƯƠNG KT'!$D$15:$P$94,19,0)</f>
        <v>#N/A</v>
      </c>
      <c r="W14" s="874" t="e">
        <f>VLOOKUP(C14,'LƯƠNG KT'!$D$15:$P$94,20,0)</f>
        <v>#N/A</v>
      </c>
      <c r="X14" s="874" t="e">
        <f>VLOOKUP(C14,'LƯƠNG KT'!$D$15:$P$94,21,0)</f>
        <v>#N/A</v>
      </c>
      <c r="Y14" s="874" t="e">
        <f>VLOOKUP(C14,'LƯƠNG KT'!$D$15:$P$94,23,0)</f>
        <v>#N/A</v>
      </c>
      <c r="Z14" s="874" t="e">
        <f>VLOOKUP(C14,'LƯƠNG KT'!$D$15:$P$94,24,0)</f>
        <v>#N/A</v>
      </c>
      <c r="AA14" s="874">
        <v>20</v>
      </c>
      <c r="AB14" s="874"/>
      <c r="AC14" s="889" t="e">
        <f>ROUND((((R14*46.1)+(S14*76.9)+(X14*30.7)+(U14*46.1*2)+(V14*46.1*2)+(W14*76.9*2))*$F$8),0)+T14*10000+Y14*20000+Z14*20000+AA14*25000</f>
        <v>#N/A</v>
      </c>
      <c r="AD14" s="889" t="e">
        <f t="shared" ref="AD14:AD45" si="2">+AC14+Q14+G14</f>
        <v>#N/A</v>
      </c>
      <c r="AE14" s="889" t="e">
        <f t="shared" ref="AE14:AE72" si="3">AD14</f>
        <v>#N/A</v>
      </c>
      <c r="AF14" s="927"/>
      <c r="AG14" s="891"/>
      <c r="AH14" s="922" t="s">
        <v>2751</v>
      </c>
      <c r="AI14" s="637"/>
    </row>
    <row r="15" spans="1:37" s="540" customFormat="1" ht="20.25" customHeight="1">
      <c r="A15" s="868">
        <v>2</v>
      </c>
      <c r="B15" s="1644" t="str">
        <f>VLOOKUP(C15,'DS CN MOI UP'!$B$10:$C$389,2,0)</f>
        <v>03349</v>
      </c>
      <c r="C15" s="875" t="s">
        <v>125</v>
      </c>
      <c r="D15" s="875" t="s">
        <v>15</v>
      </c>
      <c r="E15" s="872"/>
      <c r="F15" s="873">
        <f>+VLOOKUP(C15,THCKT!$C$13:$AE$460,17,0)</f>
        <v>24</v>
      </c>
      <c r="G15" s="874">
        <f t="shared" si="0"/>
        <v>600000</v>
      </c>
      <c r="H15" s="874"/>
      <c r="I15" s="874"/>
      <c r="J15" s="874"/>
      <c r="K15" s="874" t="e">
        <f>VLOOKUP(C15,THCKT!$C$13:$AL$460,21,0)</f>
        <v>#N/A</v>
      </c>
      <c r="L15" s="883">
        <f>VLOOKUP(C15,THCKT!$C$13:$AL$460,22,0)</f>
        <v>0</v>
      </c>
      <c r="M15" s="883">
        <f>VLOOKUP(C15,THCKT!$C$13:$AL$460,23,0)</f>
        <v>0</v>
      </c>
      <c r="N15" s="883" t="e">
        <f t="shared" si="1"/>
        <v>#N/A</v>
      </c>
      <c r="O15" s="883" t="e">
        <f t="shared" si="1"/>
        <v>#N/A</v>
      </c>
      <c r="P15" s="884" t="e">
        <f>VLOOKUP(C15,THCKT!$C$13:$AL$460,36,0)</f>
        <v>#N/A</v>
      </c>
      <c r="Q15" s="887" t="e">
        <f t="shared" ref="Q15:Q78" si="4">ROUND((IF(P15="A",(K15*$AI$6*6.1),IF(P15="B",(K15*$AI$6*5.8),IF(P15="C",(K15*$AI$6*5.5),IF(P15="D",(K15*$AI$6*5.2),0))))*$F$9+(L15*$AI$9*$F$9*6.1)+M15*$F$9*$AI$10*6.1),0)</f>
        <v>#N/A</v>
      </c>
      <c r="R15" s="874" t="e">
        <f>VLOOKUP(C15,'LƯƠNG KT'!$D$15:$P$94,16,0)</f>
        <v>#N/A</v>
      </c>
      <c r="S15" s="874" t="e">
        <f>VLOOKUP(C15,'LƯƠNG KT'!$D$15:$P$94,17,0)</f>
        <v>#N/A</v>
      </c>
      <c r="T15" s="874" t="e">
        <f>VLOOKUP(C15,'LƯƠNG KT'!$D$15:$P$94,18,0)</f>
        <v>#N/A</v>
      </c>
      <c r="U15" s="874" t="e">
        <f>VLOOKUP(C15,'LƯƠNG KT'!$D$15:$P$94,18,0)</f>
        <v>#N/A</v>
      </c>
      <c r="V15" s="874" t="e">
        <f>VLOOKUP(C15,'LƯƠNG KT'!$D$15:$P$94,19,0)</f>
        <v>#N/A</v>
      </c>
      <c r="W15" s="874" t="e">
        <f>VLOOKUP(C15,'LƯƠNG KT'!$D$15:$P$94,20,0)</f>
        <v>#N/A</v>
      </c>
      <c r="X15" s="874" t="e">
        <f>VLOOKUP(C15,'LƯƠNG KT'!$D$15:$P$94,21,0)</f>
        <v>#N/A</v>
      </c>
      <c r="Y15" s="874" t="e">
        <f>VLOOKUP(C15,'LƯƠNG KT'!$D$15:$P$94,23,0)</f>
        <v>#N/A</v>
      </c>
      <c r="Z15" s="874" t="e">
        <f>VLOOKUP(C15,'LƯƠNG KT'!$D$15:$P$94,24,0)</f>
        <v>#N/A</v>
      </c>
      <c r="AA15" s="874">
        <v>20</v>
      </c>
      <c r="AB15" s="874"/>
      <c r="AC15" s="889" t="e">
        <f t="shared" ref="AC15:AC78" si="5">ROUND((((R15*46.1)+(S15*76.9)+(X15*30.7)+(U15*46.1*2)+(V15*46.1*2)+(W15*76.9*2))*$F$8),0)+T15*10000+Y15*20000+Z15*20000+AA15*25000</f>
        <v>#N/A</v>
      </c>
      <c r="AD15" s="889" t="e">
        <f t="shared" si="2"/>
        <v>#N/A</v>
      </c>
      <c r="AE15" s="889" t="e">
        <f t="shared" si="3"/>
        <v>#N/A</v>
      </c>
      <c r="AF15" s="915"/>
      <c r="AG15" s="891"/>
      <c r="AH15" s="540" t="s">
        <v>2751</v>
      </c>
      <c r="AI15" s="637" t="e">
        <f>#REF!+#REF!</f>
        <v>#REF!</v>
      </c>
    </row>
    <row r="16" spans="1:37" s="540" customFormat="1" ht="20.25" customHeight="1">
      <c r="A16" s="868">
        <v>3</v>
      </c>
      <c r="B16" s="1644" t="str">
        <f>VLOOKUP(C16,'DS CN MOI UP'!$B$10:$C$389,2,0)</f>
        <v>02545</v>
      </c>
      <c r="C16" s="875" t="s">
        <v>126</v>
      </c>
      <c r="D16" s="875" t="s">
        <v>15</v>
      </c>
      <c r="E16" s="872"/>
      <c r="F16" s="873">
        <f>+VLOOKUP(C16,THCKT!$C$13:$AE$460,17,0)</f>
        <v>24</v>
      </c>
      <c r="G16" s="874">
        <f t="shared" si="0"/>
        <v>600000</v>
      </c>
      <c r="H16" s="874"/>
      <c r="I16" s="874"/>
      <c r="J16" s="874"/>
      <c r="K16" s="874" t="e">
        <f>VLOOKUP(C16,THCKT!$C$13:$AL$460,21,0)</f>
        <v>#N/A</v>
      </c>
      <c r="L16" s="883">
        <f>VLOOKUP(C16,THCKT!$C$13:$AL$460,22,0)</f>
        <v>0</v>
      </c>
      <c r="M16" s="883">
        <f>VLOOKUP(C16,THCKT!$C$13:$AL$460,23,0)</f>
        <v>0</v>
      </c>
      <c r="N16" s="883" t="e">
        <f t="shared" si="1"/>
        <v>#N/A</v>
      </c>
      <c r="O16" s="883" t="e">
        <f>Q16/((Q16/(N16*$F$9)*$F$8))</f>
        <v>#N/A</v>
      </c>
      <c r="P16" s="884" t="e">
        <f>VLOOKUP(C16,THCKT!$C$13:$AL$460,36,0)</f>
        <v>#N/A</v>
      </c>
      <c r="Q16" s="887" t="e">
        <f t="shared" si="4"/>
        <v>#N/A</v>
      </c>
      <c r="R16" s="874" t="e">
        <f>VLOOKUP(C16,'LƯƠNG KT'!$D$15:$P$94,16,0)</f>
        <v>#N/A</v>
      </c>
      <c r="S16" s="874" t="e">
        <f>VLOOKUP(C16,'LƯƠNG KT'!$D$15:$P$94,17,0)</f>
        <v>#N/A</v>
      </c>
      <c r="T16" s="874" t="e">
        <f>VLOOKUP(C16,'LƯƠNG KT'!$D$15:$P$94,18,0)</f>
        <v>#N/A</v>
      </c>
      <c r="U16" s="874" t="e">
        <f>VLOOKUP(C16,'LƯƠNG KT'!$D$15:$P$94,18,0)</f>
        <v>#N/A</v>
      </c>
      <c r="V16" s="874" t="e">
        <f>VLOOKUP(C16,'LƯƠNG KT'!$D$15:$P$94,19,0)</f>
        <v>#N/A</v>
      </c>
      <c r="W16" s="874" t="e">
        <f>VLOOKUP(C16,'LƯƠNG KT'!$D$15:$P$94,20,0)</f>
        <v>#N/A</v>
      </c>
      <c r="X16" s="874" t="e">
        <f>VLOOKUP(C16,'LƯƠNG KT'!$D$15:$P$94,21,0)</f>
        <v>#N/A</v>
      </c>
      <c r="Y16" s="874" t="e">
        <f>VLOOKUP(C16,'LƯƠNG KT'!$D$15:$P$94,23,0)</f>
        <v>#N/A</v>
      </c>
      <c r="Z16" s="874" t="e">
        <f>VLOOKUP(C16,'LƯƠNG KT'!$D$15:$P$94,24,0)</f>
        <v>#N/A</v>
      </c>
      <c r="AA16" s="874">
        <v>20</v>
      </c>
      <c r="AB16" s="874"/>
      <c r="AC16" s="889" t="e">
        <f t="shared" si="5"/>
        <v>#N/A</v>
      </c>
      <c r="AD16" s="889" t="e">
        <f t="shared" si="2"/>
        <v>#N/A</v>
      </c>
      <c r="AE16" s="889" t="e">
        <f t="shared" si="3"/>
        <v>#N/A</v>
      </c>
      <c r="AF16" s="915"/>
      <c r="AG16" s="891"/>
      <c r="AH16" s="922" t="s">
        <v>2751</v>
      </c>
      <c r="AI16" s="637"/>
    </row>
    <row r="17" spans="1:35" s="540" customFormat="1" ht="20.25" customHeight="1">
      <c r="A17" s="868">
        <v>4</v>
      </c>
      <c r="B17" s="1644" t="str">
        <f>VLOOKUP(C17,'DS CN MOI UP'!$B$10:$C$389,2,0)</f>
        <v>02693</v>
      </c>
      <c r="C17" s="875" t="s">
        <v>127</v>
      </c>
      <c r="D17" s="875" t="s">
        <v>15</v>
      </c>
      <c r="E17" s="872"/>
      <c r="F17" s="873">
        <f>+VLOOKUP(C17,THCKT!$C$13:$AE$460,17,0)</f>
        <v>24</v>
      </c>
      <c r="G17" s="874">
        <f t="shared" si="0"/>
        <v>600000</v>
      </c>
      <c r="H17" s="874"/>
      <c r="I17" s="874"/>
      <c r="J17" s="874"/>
      <c r="K17" s="874" t="e">
        <f>VLOOKUP(C17,THCKT!$C$13:$AL$460,21,0)</f>
        <v>#N/A</v>
      </c>
      <c r="L17" s="883">
        <f>VLOOKUP(C17,THCKT!$C$13:$AL$460,22,0)</f>
        <v>0</v>
      </c>
      <c r="M17" s="883">
        <f>VLOOKUP(C17,THCKT!$C$13:$AL$460,23,0)</f>
        <v>0</v>
      </c>
      <c r="N17" s="883" t="e">
        <f t="shared" si="1"/>
        <v>#N/A</v>
      </c>
      <c r="O17" s="883" t="e">
        <f>Q17/((Q17/(N17*$F$9)*$F$8))</f>
        <v>#N/A</v>
      </c>
      <c r="P17" s="884" t="e">
        <f>VLOOKUP(C17,THCKT!$C$13:$AL$460,36,0)</f>
        <v>#N/A</v>
      </c>
      <c r="Q17" s="887" t="e">
        <f t="shared" si="4"/>
        <v>#N/A</v>
      </c>
      <c r="R17" s="874" t="e">
        <f>VLOOKUP(C17,'LƯƠNG KT'!$D$15:$P$94,16,0)</f>
        <v>#N/A</v>
      </c>
      <c r="S17" s="874" t="e">
        <f>VLOOKUP(C17,'LƯƠNG KT'!$D$15:$P$94,17,0)</f>
        <v>#N/A</v>
      </c>
      <c r="T17" s="874" t="e">
        <f>VLOOKUP(C17,'LƯƠNG KT'!$D$15:$P$94,18,0)</f>
        <v>#N/A</v>
      </c>
      <c r="U17" s="874" t="e">
        <f>VLOOKUP(C17,'LƯƠNG KT'!$D$15:$P$94,18,0)</f>
        <v>#N/A</v>
      </c>
      <c r="V17" s="874" t="e">
        <f>VLOOKUP(C17,'LƯƠNG KT'!$D$15:$P$94,19,0)</f>
        <v>#N/A</v>
      </c>
      <c r="W17" s="874" t="e">
        <f>VLOOKUP(C17,'LƯƠNG KT'!$D$15:$P$94,20,0)</f>
        <v>#N/A</v>
      </c>
      <c r="X17" s="874" t="e">
        <f>VLOOKUP(C17,'LƯƠNG KT'!$D$15:$P$94,21,0)</f>
        <v>#N/A</v>
      </c>
      <c r="Y17" s="874" t="e">
        <f>VLOOKUP(C17,'LƯƠNG KT'!$D$15:$P$94,23,0)</f>
        <v>#N/A</v>
      </c>
      <c r="Z17" s="874" t="e">
        <f>VLOOKUP(C17,'LƯƠNG KT'!$D$15:$P$94,24,0)</f>
        <v>#N/A</v>
      </c>
      <c r="AA17" s="874">
        <v>20</v>
      </c>
      <c r="AB17" s="874"/>
      <c r="AC17" s="889" t="e">
        <f t="shared" si="5"/>
        <v>#N/A</v>
      </c>
      <c r="AD17" s="889" t="e">
        <f t="shared" si="2"/>
        <v>#N/A</v>
      </c>
      <c r="AE17" s="889" t="e">
        <f t="shared" si="3"/>
        <v>#N/A</v>
      </c>
      <c r="AF17" s="915"/>
      <c r="AG17" s="891"/>
      <c r="AH17" s="540" t="s">
        <v>2751</v>
      </c>
      <c r="AI17" s="637"/>
    </row>
    <row r="18" spans="1:35" s="540" customFormat="1" ht="20.25" customHeight="1">
      <c r="A18" s="868">
        <v>5</v>
      </c>
      <c r="B18" s="1644" t="str">
        <f>VLOOKUP(C18,'DS CN MOI UP'!$B$10:$C$389,2,0)</f>
        <v>03350</v>
      </c>
      <c r="C18" s="875" t="s">
        <v>128</v>
      </c>
      <c r="D18" s="875" t="s">
        <v>15</v>
      </c>
      <c r="E18" s="872"/>
      <c r="F18" s="873">
        <f>+VLOOKUP(C18,THCKT!$C$13:$AE$460,17,0)</f>
        <v>24</v>
      </c>
      <c r="G18" s="874">
        <f t="shared" si="0"/>
        <v>600000</v>
      </c>
      <c r="H18" s="874"/>
      <c r="I18" s="874"/>
      <c r="J18" s="874"/>
      <c r="K18" s="874" t="e">
        <f>VLOOKUP(C18,THCKT!$C$13:$AL$460,21,0)</f>
        <v>#N/A</v>
      </c>
      <c r="L18" s="883">
        <f>VLOOKUP(C18,THCKT!$C$13:$AL$460,22,0)</f>
        <v>0</v>
      </c>
      <c r="M18" s="883">
        <f>VLOOKUP(C18,THCKT!$C$13:$AL$460,23,0)</f>
        <v>0</v>
      </c>
      <c r="N18" s="883" t="e">
        <f t="shared" si="1"/>
        <v>#N/A</v>
      </c>
      <c r="O18" s="883" t="e">
        <f t="shared" si="1"/>
        <v>#N/A</v>
      </c>
      <c r="P18" s="884" t="e">
        <f>VLOOKUP(C18,THCKT!$C$13:$AL$460,36,0)</f>
        <v>#N/A</v>
      </c>
      <c r="Q18" s="887" t="e">
        <f t="shared" si="4"/>
        <v>#N/A</v>
      </c>
      <c r="R18" s="874" t="e">
        <f>VLOOKUP(C18,'LƯƠNG KT'!$D$15:$P$94,16,0)</f>
        <v>#N/A</v>
      </c>
      <c r="S18" s="874" t="e">
        <f>VLOOKUP(C18,'LƯƠNG KT'!$D$15:$P$94,17,0)</f>
        <v>#N/A</v>
      </c>
      <c r="T18" s="874" t="e">
        <f>VLOOKUP(C18,'LƯƠNG KT'!$D$15:$P$94,18,0)</f>
        <v>#N/A</v>
      </c>
      <c r="U18" s="874" t="e">
        <f>VLOOKUP(C18,'LƯƠNG KT'!$D$15:$P$94,18,0)</f>
        <v>#N/A</v>
      </c>
      <c r="V18" s="874" t="e">
        <f>VLOOKUP(C18,'LƯƠNG KT'!$D$15:$P$94,19,0)</f>
        <v>#N/A</v>
      </c>
      <c r="W18" s="874" t="e">
        <f>VLOOKUP(C18,'LƯƠNG KT'!$D$15:$P$94,20,0)</f>
        <v>#N/A</v>
      </c>
      <c r="X18" s="874" t="e">
        <f>VLOOKUP(C18,'LƯƠNG KT'!$D$15:$P$94,21,0)</f>
        <v>#N/A</v>
      </c>
      <c r="Y18" s="874" t="e">
        <f>VLOOKUP(C18,'LƯƠNG KT'!$D$15:$P$94,23,0)</f>
        <v>#N/A</v>
      </c>
      <c r="Z18" s="874" t="e">
        <f>VLOOKUP(C18,'LƯƠNG KT'!$D$15:$P$94,24,0)</f>
        <v>#N/A</v>
      </c>
      <c r="AA18" s="874">
        <v>20</v>
      </c>
      <c r="AB18" s="874"/>
      <c r="AC18" s="889" t="e">
        <f t="shared" si="5"/>
        <v>#N/A</v>
      </c>
      <c r="AD18" s="889" t="e">
        <f t="shared" si="2"/>
        <v>#N/A</v>
      </c>
      <c r="AE18" s="889" t="e">
        <f t="shared" si="3"/>
        <v>#N/A</v>
      </c>
      <c r="AF18" s="915"/>
      <c r="AG18" s="891"/>
      <c r="AH18" s="922" t="s">
        <v>2751</v>
      </c>
      <c r="AI18" s="637"/>
    </row>
    <row r="19" spans="1:35" s="540" customFormat="1" ht="20.25" customHeight="1">
      <c r="A19" s="868">
        <v>6</v>
      </c>
      <c r="B19" s="1644" t="str">
        <f>VLOOKUP(C19,'DS CN MOI UP'!$B$10:$C$389,2,0)</f>
        <v>02526</v>
      </c>
      <c r="C19" s="875" t="s">
        <v>129</v>
      </c>
      <c r="D19" s="875" t="s">
        <v>15</v>
      </c>
      <c r="E19" s="872"/>
      <c r="F19" s="873">
        <f>+VLOOKUP(C19,THCKT!$C$13:$AE$460,17,0)</f>
        <v>24</v>
      </c>
      <c r="G19" s="874">
        <f t="shared" si="0"/>
        <v>600000</v>
      </c>
      <c r="H19" s="874"/>
      <c r="I19" s="874"/>
      <c r="J19" s="874"/>
      <c r="K19" s="874" t="e">
        <f>VLOOKUP(C19,THCKT!$C$13:$AL$460,21,0)</f>
        <v>#N/A</v>
      </c>
      <c r="L19" s="883">
        <f>VLOOKUP(C19,THCKT!$C$13:$AL$460,22,0)</f>
        <v>0</v>
      </c>
      <c r="M19" s="883">
        <f>VLOOKUP(C19,THCKT!$C$13:$AL$460,23,0)</f>
        <v>0</v>
      </c>
      <c r="N19" s="883" t="e">
        <f t="shared" si="1"/>
        <v>#N/A</v>
      </c>
      <c r="O19" s="883" t="e">
        <f>Q19/((Q19/(N19*$F$9)*$F$8))</f>
        <v>#N/A</v>
      </c>
      <c r="P19" s="884" t="e">
        <f>VLOOKUP(C19,THCKT!$C$13:$AL$460,36,0)</f>
        <v>#N/A</v>
      </c>
      <c r="Q19" s="887" t="e">
        <f t="shared" si="4"/>
        <v>#N/A</v>
      </c>
      <c r="R19" s="874" t="e">
        <f>VLOOKUP(C19,'LƯƠNG KT'!$D$15:$P$94,16,0)</f>
        <v>#N/A</v>
      </c>
      <c r="S19" s="874" t="e">
        <f>VLOOKUP(C19,'LƯƠNG KT'!$D$15:$P$94,17,0)</f>
        <v>#N/A</v>
      </c>
      <c r="T19" s="874" t="e">
        <f>VLOOKUP(C19,'LƯƠNG KT'!$D$15:$P$94,18,0)</f>
        <v>#N/A</v>
      </c>
      <c r="U19" s="874" t="e">
        <f>VLOOKUP(C19,'LƯƠNG KT'!$D$15:$P$94,18,0)</f>
        <v>#N/A</v>
      </c>
      <c r="V19" s="874" t="e">
        <f>VLOOKUP(C19,'LƯƠNG KT'!$D$15:$P$94,19,0)</f>
        <v>#N/A</v>
      </c>
      <c r="W19" s="874" t="e">
        <f>VLOOKUP(C19,'LƯƠNG KT'!$D$15:$P$94,20,0)</f>
        <v>#N/A</v>
      </c>
      <c r="X19" s="874" t="e">
        <f>VLOOKUP(C19,'LƯƠNG KT'!$D$15:$P$94,21,0)</f>
        <v>#N/A</v>
      </c>
      <c r="Y19" s="874" t="e">
        <f>VLOOKUP(C19,'LƯƠNG KT'!$D$15:$P$94,23,0)</f>
        <v>#N/A</v>
      </c>
      <c r="Z19" s="874" t="e">
        <f>VLOOKUP(C19,'LƯƠNG KT'!$D$15:$P$94,24,0)</f>
        <v>#N/A</v>
      </c>
      <c r="AA19" s="874">
        <v>20</v>
      </c>
      <c r="AB19" s="874"/>
      <c r="AC19" s="889" t="e">
        <f t="shared" si="5"/>
        <v>#N/A</v>
      </c>
      <c r="AD19" s="889" t="e">
        <f t="shared" si="2"/>
        <v>#N/A</v>
      </c>
      <c r="AE19" s="889" t="e">
        <f t="shared" si="3"/>
        <v>#N/A</v>
      </c>
      <c r="AF19" s="915"/>
      <c r="AG19" s="891"/>
      <c r="AH19" s="540" t="s">
        <v>2751</v>
      </c>
      <c r="AI19" s="637"/>
    </row>
    <row r="20" spans="1:35" s="540" customFormat="1" ht="20.25" customHeight="1">
      <c r="A20" s="868">
        <v>7</v>
      </c>
      <c r="B20" s="1644" t="str">
        <f>VLOOKUP(C20,'DS CN MOI UP'!$B$10:$C$389,2,0)</f>
        <v>03351</v>
      </c>
      <c r="C20" s="875" t="s">
        <v>130</v>
      </c>
      <c r="D20" s="875" t="s">
        <v>15</v>
      </c>
      <c r="E20" s="872"/>
      <c r="F20" s="873">
        <f>+VLOOKUP(C20,THCKT!$C$13:$AE$460,17,0)</f>
        <v>24</v>
      </c>
      <c r="G20" s="874">
        <f t="shared" si="0"/>
        <v>600000</v>
      </c>
      <c r="H20" s="874"/>
      <c r="I20" s="874"/>
      <c r="J20" s="874"/>
      <c r="K20" s="874" t="e">
        <f>VLOOKUP(C20,THCKT!$C$13:$AL$460,21,0)</f>
        <v>#N/A</v>
      </c>
      <c r="L20" s="883">
        <f>VLOOKUP(C20,THCKT!$C$13:$AL$460,22,0)</f>
        <v>0</v>
      </c>
      <c r="M20" s="883">
        <f>VLOOKUP(C20,THCKT!$C$13:$AL$460,23,0)</f>
        <v>0</v>
      </c>
      <c r="N20" s="883" t="e">
        <f t="shared" si="1"/>
        <v>#N/A</v>
      </c>
      <c r="O20" s="883" t="e">
        <f>Q20/((Q20/(N20*$F$9)*$F$8))</f>
        <v>#N/A</v>
      </c>
      <c r="P20" s="884" t="e">
        <f>VLOOKUP(C20,THCKT!$C$13:$AL$460,36,0)</f>
        <v>#N/A</v>
      </c>
      <c r="Q20" s="887" t="e">
        <f t="shared" si="4"/>
        <v>#N/A</v>
      </c>
      <c r="R20" s="874" t="e">
        <f>VLOOKUP(C20,'LƯƠNG KT'!$D$15:$P$94,16,0)</f>
        <v>#N/A</v>
      </c>
      <c r="S20" s="874" t="e">
        <f>VLOOKUP(C20,'LƯƠNG KT'!$D$15:$P$94,17,0)</f>
        <v>#N/A</v>
      </c>
      <c r="T20" s="874" t="e">
        <f>VLOOKUP(C20,'LƯƠNG KT'!$D$15:$P$94,18,0)</f>
        <v>#N/A</v>
      </c>
      <c r="U20" s="874" t="e">
        <f>VLOOKUP(C20,'LƯƠNG KT'!$D$15:$P$94,18,0)</f>
        <v>#N/A</v>
      </c>
      <c r="V20" s="874" t="e">
        <f>VLOOKUP(C20,'LƯƠNG KT'!$D$15:$P$94,19,0)</f>
        <v>#N/A</v>
      </c>
      <c r="W20" s="874" t="e">
        <f>VLOOKUP(C20,'LƯƠNG KT'!$D$15:$P$94,20,0)</f>
        <v>#N/A</v>
      </c>
      <c r="X20" s="874" t="e">
        <f>VLOOKUP(C20,'LƯƠNG KT'!$D$15:$P$94,21,0)</f>
        <v>#N/A</v>
      </c>
      <c r="Y20" s="874" t="e">
        <f>VLOOKUP(C20,'LƯƠNG KT'!$D$15:$P$94,23,0)</f>
        <v>#N/A</v>
      </c>
      <c r="Z20" s="874" t="e">
        <f>VLOOKUP(C20,'LƯƠNG KT'!$D$15:$P$94,24,0)</f>
        <v>#N/A</v>
      </c>
      <c r="AA20" s="874">
        <v>20</v>
      </c>
      <c r="AB20" s="874"/>
      <c r="AC20" s="889" t="e">
        <f t="shared" si="5"/>
        <v>#N/A</v>
      </c>
      <c r="AD20" s="889" t="e">
        <f t="shared" si="2"/>
        <v>#N/A</v>
      </c>
      <c r="AE20" s="889" t="e">
        <f t="shared" si="3"/>
        <v>#N/A</v>
      </c>
      <c r="AF20" s="915"/>
      <c r="AG20" s="891"/>
      <c r="AH20" s="922" t="s">
        <v>2751</v>
      </c>
      <c r="AI20" s="637"/>
    </row>
    <row r="21" spans="1:35" s="540" customFormat="1" ht="20.25" customHeight="1">
      <c r="A21" s="868">
        <v>8</v>
      </c>
      <c r="B21" s="1644" t="str">
        <f>VLOOKUP(C21,'DS CN MOI UP'!$B$10:$C$389,2,0)</f>
        <v>03352</v>
      </c>
      <c r="C21" s="875" t="s">
        <v>131</v>
      </c>
      <c r="D21" s="875" t="s">
        <v>15</v>
      </c>
      <c r="E21" s="872"/>
      <c r="F21" s="873">
        <f>+VLOOKUP(C21,THCKT!$C$13:$AE$460,17,0)</f>
        <v>24</v>
      </c>
      <c r="G21" s="874">
        <f t="shared" si="0"/>
        <v>600000</v>
      </c>
      <c r="H21" s="874"/>
      <c r="I21" s="874"/>
      <c r="J21" s="874"/>
      <c r="K21" s="874" t="e">
        <f>VLOOKUP(C21,THCKT!$C$13:$AL$460,21,0)</f>
        <v>#N/A</v>
      </c>
      <c r="L21" s="883">
        <f>VLOOKUP(C21,THCKT!$C$13:$AL$460,22,0)</f>
        <v>0</v>
      </c>
      <c r="M21" s="883">
        <f>VLOOKUP(C21,THCKT!$C$13:$AL$460,23,0)</f>
        <v>0</v>
      </c>
      <c r="N21" s="883" t="e">
        <f t="shared" si="1"/>
        <v>#N/A</v>
      </c>
      <c r="O21" s="883" t="e">
        <f t="shared" si="1"/>
        <v>#N/A</v>
      </c>
      <c r="P21" s="884" t="e">
        <f>VLOOKUP(C21,THCKT!$C$13:$AL$460,36,0)</f>
        <v>#N/A</v>
      </c>
      <c r="Q21" s="887" t="e">
        <f t="shared" si="4"/>
        <v>#N/A</v>
      </c>
      <c r="R21" s="874" t="e">
        <f>VLOOKUP(C21,'LƯƠNG KT'!$D$15:$P$94,16,0)</f>
        <v>#N/A</v>
      </c>
      <c r="S21" s="874" t="e">
        <f>VLOOKUP(C21,'LƯƠNG KT'!$D$15:$P$94,17,0)</f>
        <v>#N/A</v>
      </c>
      <c r="T21" s="874" t="e">
        <f>VLOOKUP(C21,'LƯƠNG KT'!$D$15:$P$94,18,0)</f>
        <v>#N/A</v>
      </c>
      <c r="U21" s="874" t="e">
        <f>VLOOKUP(C21,'LƯƠNG KT'!$D$15:$P$94,18,0)</f>
        <v>#N/A</v>
      </c>
      <c r="V21" s="874" t="e">
        <f>VLOOKUP(C21,'LƯƠNG KT'!$D$15:$P$94,19,0)</f>
        <v>#N/A</v>
      </c>
      <c r="W21" s="874" t="e">
        <f>VLOOKUP(C21,'LƯƠNG KT'!$D$15:$P$94,20,0)</f>
        <v>#N/A</v>
      </c>
      <c r="X21" s="874" t="e">
        <f>VLOOKUP(C21,'LƯƠNG KT'!$D$15:$P$94,21,0)</f>
        <v>#N/A</v>
      </c>
      <c r="Y21" s="874" t="e">
        <f>VLOOKUP(C21,'LƯƠNG KT'!$D$15:$P$94,23,0)</f>
        <v>#N/A</v>
      </c>
      <c r="Z21" s="874" t="e">
        <f>VLOOKUP(C21,'LƯƠNG KT'!$D$15:$P$94,24,0)</f>
        <v>#N/A</v>
      </c>
      <c r="AA21" s="874">
        <v>20</v>
      </c>
      <c r="AB21" s="874"/>
      <c r="AC21" s="889" t="e">
        <f t="shared" si="5"/>
        <v>#N/A</v>
      </c>
      <c r="AD21" s="889" t="e">
        <f t="shared" si="2"/>
        <v>#N/A</v>
      </c>
      <c r="AE21" s="889" t="e">
        <f t="shared" si="3"/>
        <v>#N/A</v>
      </c>
      <c r="AF21" s="915"/>
      <c r="AG21" s="891"/>
      <c r="AH21" s="540" t="s">
        <v>2751</v>
      </c>
      <c r="AI21" s="637"/>
    </row>
    <row r="22" spans="1:35" s="540" customFormat="1" ht="20.25" customHeight="1">
      <c r="A22" s="868">
        <v>9</v>
      </c>
      <c r="B22" s="1644" t="str">
        <f>VLOOKUP(C22,'DS CN MOI UP'!$B$10:$C$389,2,0)</f>
        <v>02567</v>
      </c>
      <c r="C22" s="875" t="s">
        <v>132</v>
      </c>
      <c r="D22" s="875" t="s">
        <v>15</v>
      </c>
      <c r="E22" s="872"/>
      <c r="F22" s="873">
        <f>+VLOOKUP(C22,THCKT!$C$13:$AE$460,17,0)</f>
        <v>24</v>
      </c>
      <c r="G22" s="874">
        <f t="shared" si="0"/>
        <v>600000</v>
      </c>
      <c r="H22" s="874"/>
      <c r="I22" s="874"/>
      <c r="J22" s="874"/>
      <c r="K22" s="874" t="e">
        <f>VLOOKUP(C22,THCKT!$C$13:$AL$460,21,0)</f>
        <v>#N/A</v>
      </c>
      <c r="L22" s="883">
        <f>VLOOKUP(C22,THCKT!$C$13:$AL$460,22,0)</f>
        <v>0</v>
      </c>
      <c r="M22" s="883">
        <f>VLOOKUP(C22,THCKT!$C$13:$AL$460,23,0)</f>
        <v>0</v>
      </c>
      <c r="N22" s="883" t="e">
        <f t="shared" si="1"/>
        <v>#N/A</v>
      </c>
      <c r="O22" s="883" t="e">
        <f>Q22/((Q22/(N22*$F$9)*$F$8))</f>
        <v>#N/A</v>
      </c>
      <c r="P22" s="884" t="e">
        <f>VLOOKUP(C22,THCKT!$C$13:$AL$460,36,0)</f>
        <v>#N/A</v>
      </c>
      <c r="Q22" s="887" t="e">
        <f t="shared" si="4"/>
        <v>#N/A</v>
      </c>
      <c r="R22" s="874" t="e">
        <f>VLOOKUP(C22,'LƯƠNG KT'!$D$15:$P$94,16,0)</f>
        <v>#N/A</v>
      </c>
      <c r="S22" s="874" t="e">
        <f>VLOOKUP(C22,'LƯƠNG KT'!$D$15:$P$94,17,0)</f>
        <v>#N/A</v>
      </c>
      <c r="T22" s="874" t="e">
        <f>VLOOKUP(C22,'LƯƠNG KT'!$D$15:$P$94,18,0)</f>
        <v>#N/A</v>
      </c>
      <c r="U22" s="874" t="e">
        <f>VLOOKUP(C22,'LƯƠNG KT'!$D$15:$P$94,18,0)</f>
        <v>#N/A</v>
      </c>
      <c r="V22" s="874" t="e">
        <f>VLOOKUP(C22,'LƯƠNG KT'!$D$15:$P$94,19,0)</f>
        <v>#N/A</v>
      </c>
      <c r="W22" s="874" t="e">
        <f>VLOOKUP(C22,'LƯƠNG KT'!$D$15:$P$94,20,0)</f>
        <v>#N/A</v>
      </c>
      <c r="X22" s="874" t="e">
        <f>VLOOKUP(C22,'LƯƠNG KT'!$D$15:$P$94,21,0)</f>
        <v>#N/A</v>
      </c>
      <c r="Y22" s="874" t="e">
        <f>VLOOKUP(C22,'LƯƠNG KT'!$D$15:$P$94,23,0)</f>
        <v>#N/A</v>
      </c>
      <c r="Z22" s="874" t="e">
        <f>VLOOKUP(C22,'LƯƠNG KT'!$D$15:$P$94,24,0)</f>
        <v>#N/A</v>
      </c>
      <c r="AA22" s="874">
        <v>20</v>
      </c>
      <c r="AB22" s="874"/>
      <c r="AC22" s="889" t="e">
        <f t="shared" si="5"/>
        <v>#N/A</v>
      </c>
      <c r="AD22" s="889" t="e">
        <f t="shared" si="2"/>
        <v>#N/A</v>
      </c>
      <c r="AE22" s="889" t="e">
        <f t="shared" si="3"/>
        <v>#N/A</v>
      </c>
      <c r="AF22" s="915"/>
      <c r="AG22" s="891"/>
      <c r="AH22" s="922" t="s">
        <v>2751</v>
      </c>
      <c r="AI22" s="637"/>
    </row>
    <row r="23" spans="1:35" s="540" customFormat="1" ht="20.25" customHeight="1">
      <c r="A23" s="868">
        <v>10</v>
      </c>
      <c r="B23" s="1644" t="str">
        <f>VLOOKUP(C23,'DS CN MOI UP'!$B$10:$C$389,2,0)</f>
        <v>02564</v>
      </c>
      <c r="C23" s="875" t="s">
        <v>133</v>
      </c>
      <c r="D23" s="875" t="s">
        <v>15</v>
      </c>
      <c r="E23" s="872"/>
      <c r="F23" s="873">
        <f>+VLOOKUP(C23,THCKT!$C$13:$AE$460,17,0)</f>
        <v>24</v>
      </c>
      <c r="G23" s="874">
        <f t="shared" si="0"/>
        <v>600000</v>
      </c>
      <c r="H23" s="874"/>
      <c r="I23" s="874"/>
      <c r="J23" s="874"/>
      <c r="K23" s="874" t="e">
        <f>VLOOKUP(C23,THCKT!$C$13:$AL$460,21,0)</f>
        <v>#N/A</v>
      </c>
      <c r="L23" s="883">
        <f>VLOOKUP(C23,THCKT!$C$13:$AL$460,22,0)</f>
        <v>0</v>
      </c>
      <c r="M23" s="883">
        <f>VLOOKUP(C23,THCKT!$C$13:$AL$460,23,0)</f>
        <v>0</v>
      </c>
      <c r="N23" s="883" t="e">
        <f t="shared" si="1"/>
        <v>#N/A</v>
      </c>
      <c r="O23" s="883" t="e">
        <f>Q23/((Q23/(N23*$F$9)*$F$8))</f>
        <v>#N/A</v>
      </c>
      <c r="P23" s="884" t="e">
        <f>VLOOKUP(C23,THCKT!$C$13:$AL$460,36,0)</f>
        <v>#N/A</v>
      </c>
      <c r="Q23" s="887" t="e">
        <f t="shared" si="4"/>
        <v>#N/A</v>
      </c>
      <c r="R23" s="874" t="e">
        <f>VLOOKUP(C23,'LƯƠNG KT'!$D$15:$P$94,16,0)</f>
        <v>#N/A</v>
      </c>
      <c r="S23" s="874" t="e">
        <f>VLOOKUP(C23,'LƯƠNG KT'!$D$15:$P$94,17,0)</f>
        <v>#N/A</v>
      </c>
      <c r="T23" s="874" t="e">
        <f>VLOOKUP(C23,'LƯƠNG KT'!$D$15:$P$94,18,0)</f>
        <v>#N/A</v>
      </c>
      <c r="U23" s="874" t="e">
        <f>VLOOKUP(C23,'LƯƠNG KT'!$D$15:$P$94,18,0)</f>
        <v>#N/A</v>
      </c>
      <c r="V23" s="874" t="e">
        <f>VLOOKUP(C23,'LƯƠNG KT'!$D$15:$P$94,19,0)</f>
        <v>#N/A</v>
      </c>
      <c r="W23" s="874" t="e">
        <f>VLOOKUP(C23,'LƯƠNG KT'!$D$15:$P$94,20,0)</f>
        <v>#N/A</v>
      </c>
      <c r="X23" s="874" t="e">
        <f>VLOOKUP(C23,'LƯƠNG KT'!$D$15:$P$94,21,0)</f>
        <v>#N/A</v>
      </c>
      <c r="Y23" s="874" t="e">
        <f>VLOOKUP(C23,'LƯƠNG KT'!$D$15:$P$94,23,0)</f>
        <v>#N/A</v>
      </c>
      <c r="Z23" s="874" t="e">
        <f>VLOOKUP(C23,'LƯƠNG KT'!$D$15:$P$94,24,0)</f>
        <v>#N/A</v>
      </c>
      <c r="AA23" s="874">
        <v>20</v>
      </c>
      <c r="AB23" s="874"/>
      <c r="AC23" s="889" t="e">
        <f t="shared" si="5"/>
        <v>#N/A</v>
      </c>
      <c r="AD23" s="889" t="e">
        <f t="shared" si="2"/>
        <v>#N/A</v>
      </c>
      <c r="AE23" s="889" t="e">
        <f t="shared" si="3"/>
        <v>#N/A</v>
      </c>
      <c r="AF23" s="915"/>
      <c r="AG23" s="891"/>
      <c r="AH23" s="540" t="s">
        <v>2751</v>
      </c>
      <c r="AI23" s="637"/>
    </row>
    <row r="24" spans="1:35" s="540" customFormat="1" ht="20.25" customHeight="1">
      <c r="A24" s="868">
        <v>11</v>
      </c>
      <c r="B24" s="1644" t="str">
        <f>VLOOKUP(C24,'DS CN MOI UP'!$B$10:$C$389,2,0)</f>
        <v>03353</v>
      </c>
      <c r="C24" s="875" t="s">
        <v>134</v>
      </c>
      <c r="D24" s="875" t="s">
        <v>15</v>
      </c>
      <c r="E24" s="872"/>
      <c r="F24" s="873">
        <f>+VLOOKUP(C24,THCKT!$C$13:$AE$460,17,0)</f>
        <v>24</v>
      </c>
      <c r="G24" s="874">
        <f t="shared" si="0"/>
        <v>600000</v>
      </c>
      <c r="H24" s="874"/>
      <c r="I24" s="874"/>
      <c r="J24" s="874"/>
      <c r="K24" s="874" t="e">
        <f>VLOOKUP(C24,THCKT!$C$13:$AL$460,21,0)</f>
        <v>#N/A</v>
      </c>
      <c r="L24" s="883">
        <f>VLOOKUP(C24,THCKT!$C$13:$AL$460,22,0)</f>
        <v>0</v>
      </c>
      <c r="M24" s="883">
        <f>VLOOKUP(C24,THCKT!$C$13:$AL$460,23,0)</f>
        <v>0</v>
      </c>
      <c r="N24" s="883" t="e">
        <f t="shared" si="1"/>
        <v>#N/A</v>
      </c>
      <c r="O24" s="883" t="e">
        <f t="shared" si="1"/>
        <v>#N/A</v>
      </c>
      <c r="P24" s="884" t="e">
        <f>VLOOKUP(C24,THCKT!$C$13:$AL$460,36,0)</f>
        <v>#N/A</v>
      </c>
      <c r="Q24" s="887" t="e">
        <f t="shared" si="4"/>
        <v>#N/A</v>
      </c>
      <c r="R24" s="874" t="e">
        <f>VLOOKUP(C24,'LƯƠNG KT'!$D$15:$P$94,16,0)</f>
        <v>#N/A</v>
      </c>
      <c r="S24" s="874" t="e">
        <f>VLOOKUP(C24,'LƯƠNG KT'!$D$15:$P$94,17,0)</f>
        <v>#N/A</v>
      </c>
      <c r="T24" s="874" t="e">
        <f>VLOOKUP(C24,'LƯƠNG KT'!$D$15:$P$94,18,0)</f>
        <v>#N/A</v>
      </c>
      <c r="U24" s="874" t="e">
        <f>VLOOKUP(C24,'LƯƠNG KT'!$D$15:$P$94,18,0)</f>
        <v>#N/A</v>
      </c>
      <c r="V24" s="874" t="e">
        <f>VLOOKUP(C24,'LƯƠNG KT'!$D$15:$P$94,19,0)</f>
        <v>#N/A</v>
      </c>
      <c r="W24" s="874" t="e">
        <f>VLOOKUP(C24,'LƯƠNG KT'!$D$15:$P$94,20,0)</f>
        <v>#N/A</v>
      </c>
      <c r="X24" s="874" t="e">
        <f>VLOOKUP(C24,'LƯƠNG KT'!$D$15:$P$94,21,0)</f>
        <v>#N/A</v>
      </c>
      <c r="Y24" s="874" t="e">
        <f>VLOOKUP(C24,'LƯƠNG KT'!$D$15:$P$94,23,0)</f>
        <v>#N/A</v>
      </c>
      <c r="Z24" s="874" t="e">
        <f>VLOOKUP(C24,'LƯƠNG KT'!$D$15:$P$94,24,0)</f>
        <v>#N/A</v>
      </c>
      <c r="AA24" s="874">
        <v>20</v>
      </c>
      <c r="AB24" s="874"/>
      <c r="AC24" s="889" t="e">
        <f t="shared" si="5"/>
        <v>#N/A</v>
      </c>
      <c r="AD24" s="889" t="e">
        <f t="shared" si="2"/>
        <v>#N/A</v>
      </c>
      <c r="AE24" s="889" t="e">
        <f t="shared" si="3"/>
        <v>#N/A</v>
      </c>
      <c r="AF24" s="915"/>
      <c r="AG24" s="891"/>
      <c r="AH24" s="922" t="s">
        <v>2751</v>
      </c>
      <c r="AI24" s="637"/>
    </row>
    <row r="25" spans="1:35" s="540" customFormat="1" ht="20.25" customHeight="1">
      <c r="A25" s="868">
        <v>12</v>
      </c>
      <c r="B25" s="1644" t="str">
        <f>VLOOKUP(C25,'DS CN MOI UP'!$B$10:$C$389,2,0)</f>
        <v>02518</v>
      </c>
      <c r="C25" s="875" t="s">
        <v>135</v>
      </c>
      <c r="D25" s="875" t="s">
        <v>15</v>
      </c>
      <c r="E25" s="872"/>
      <c r="F25" s="873">
        <f>+VLOOKUP(C25,THCKT!$C$13:$AE$460,17,0)</f>
        <v>24</v>
      </c>
      <c r="G25" s="874">
        <f t="shared" si="0"/>
        <v>600000</v>
      </c>
      <c r="H25" s="874"/>
      <c r="I25" s="874"/>
      <c r="J25" s="874"/>
      <c r="K25" s="874" t="e">
        <f>VLOOKUP(C25,THCKT!$C$13:$AL$460,21,0)</f>
        <v>#N/A</v>
      </c>
      <c r="L25" s="883">
        <f>VLOOKUP(C25,THCKT!$C$13:$AL$460,22,0)</f>
        <v>0</v>
      </c>
      <c r="M25" s="883">
        <f>VLOOKUP(C25,THCKT!$C$13:$AL$460,23,0)</f>
        <v>0</v>
      </c>
      <c r="N25" s="883" t="e">
        <f t="shared" si="1"/>
        <v>#N/A</v>
      </c>
      <c r="O25" s="883" t="e">
        <f t="shared" si="1"/>
        <v>#N/A</v>
      </c>
      <c r="P25" s="884" t="e">
        <f>VLOOKUP(C25,THCKT!$C$13:$AL$460,36,0)</f>
        <v>#N/A</v>
      </c>
      <c r="Q25" s="887" t="e">
        <f t="shared" si="4"/>
        <v>#N/A</v>
      </c>
      <c r="R25" s="874" t="e">
        <f>VLOOKUP(C25,'LƯƠNG KT'!$D$15:$P$94,16,0)</f>
        <v>#N/A</v>
      </c>
      <c r="S25" s="874" t="e">
        <f>VLOOKUP(C25,'LƯƠNG KT'!$D$15:$P$94,17,0)</f>
        <v>#N/A</v>
      </c>
      <c r="T25" s="874" t="e">
        <f>VLOOKUP(C25,'LƯƠNG KT'!$D$15:$P$94,18,0)</f>
        <v>#N/A</v>
      </c>
      <c r="U25" s="874" t="e">
        <f>VLOOKUP(C25,'LƯƠNG KT'!$D$15:$P$94,18,0)</f>
        <v>#N/A</v>
      </c>
      <c r="V25" s="874" t="e">
        <f>VLOOKUP(C25,'LƯƠNG KT'!$D$15:$P$94,19,0)</f>
        <v>#N/A</v>
      </c>
      <c r="W25" s="874" t="e">
        <f>VLOOKUP(C25,'LƯƠNG KT'!$D$15:$P$94,20,0)</f>
        <v>#N/A</v>
      </c>
      <c r="X25" s="874" t="e">
        <f>VLOOKUP(C25,'LƯƠNG KT'!$D$15:$P$94,21,0)</f>
        <v>#N/A</v>
      </c>
      <c r="Y25" s="874" t="e">
        <f>VLOOKUP(C25,'LƯƠNG KT'!$D$15:$P$94,23,0)</f>
        <v>#N/A</v>
      </c>
      <c r="Z25" s="874" t="e">
        <f>VLOOKUP(C25,'LƯƠNG KT'!$D$15:$P$94,24,0)</f>
        <v>#N/A</v>
      </c>
      <c r="AA25" s="874">
        <v>20</v>
      </c>
      <c r="AB25" s="874"/>
      <c r="AC25" s="889" t="e">
        <f t="shared" si="5"/>
        <v>#N/A</v>
      </c>
      <c r="AD25" s="889" t="e">
        <f t="shared" si="2"/>
        <v>#N/A</v>
      </c>
      <c r="AE25" s="889" t="e">
        <f t="shared" si="3"/>
        <v>#N/A</v>
      </c>
      <c r="AF25" s="915"/>
      <c r="AG25" s="891"/>
      <c r="AH25" s="540" t="s">
        <v>2751</v>
      </c>
      <c r="AI25" s="637"/>
    </row>
    <row r="26" spans="1:35" s="540" customFormat="1" ht="20.25" customHeight="1">
      <c r="A26" s="868">
        <v>13</v>
      </c>
      <c r="B26" s="1644" t="str">
        <f>VLOOKUP(C26,'DS CN MOI UP'!$B$10:$C$389,2,0)</f>
        <v>03355</v>
      </c>
      <c r="C26" s="875" t="s">
        <v>136</v>
      </c>
      <c r="D26" s="875" t="s">
        <v>15</v>
      </c>
      <c r="E26" s="872"/>
      <c r="F26" s="873">
        <f>+VLOOKUP(C26,THCKT!$C$13:$AE$460,17,0)</f>
        <v>24</v>
      </c>
      <c r="G26" s="874">
        <f t="shared" si="0"/>
        <v>600000</v>
      </c>
      <c r="H26" s="874"/>
      <c r="I26" s="874"/>
      <c r="J26" s="874"/>
      <c r="K26" s="874" t="e">
        <f>VLOOKUP(C26,THCKT!$C$13:$AL$460,21,0)</f>
        <v>#N/A</v>
      </c>
      <c r="L26" s="883">
        <f>VLOOKUP(C26,THCKT!$C$13:$AL$460,22,0)</f>
        <v>0</v>
      </c>
      <c r="M26" s="883">
        <f>VLOOKUP(C26,THCKT!$C$13:$AL$460,23,0)</f>
        <v>0</v>
      </c>
      <c r="N26" s="883" t="e">
        <f t="shared" si="1"/>
        <v>#N/A</v>
      </c>
      <c r="O26" s="883" t="e">
        <f t="shared" si="1"/>
        <v>#N/A</v>
      </c>
      <c r="P26" s="884" t="e">
        <f>VLOOKUP(C26,THCKT!$C$13:$AL$460,36,0)</f>
        <v>#N/A</v>
      </c>
      <c r="Q26" s="887" t="e">
        <f t="shared" si="4"/>
        <v>#N/A</v>
      </c>
      <c r="R26" s="874" t="e">
        <f>VLOOKUP(C26,'LƯƠNG KT'!$D$15:$P$94,16,0)</f>
        <v>#N/A</v>
      </c>
      <c r="S26" s="874" t="e">
        <f>VLOOKUP(C26,'LƯƠNG KT'!$D$15:$P$94,17,0)</f>
        <v>#N/A</v>
      </c>
      <c r="T26" s="874" t="e">
        <f>VLOOKUP(C26,'LƯƠNG KT'!$D$15:$P$94,18,0)</f>
        <v>#N/A</v>
      </c>
      <c r="U26" s="874" t="e">
        <f>VLOOKUP(C26,'LƯƠNG KT'!$D$15:$P$94,18,0)</f>
        <v>#N/A</v>
      </c>
      <c r="V26" s="874" t="e">
        <f>VLOOKUP(C26,'LƯƠNG KT'!$D$15:$P$94,19,0)</f>
        <v>#N/A</v>
      </c>
      <c r="W26" s="874" t="e">
        <f>VLOOKUP(C26,'LƯƠNG KT'!$D$15:$P$94,20,0)</f>
        <v>#N/A</v>
      </c>
      <c r="X26" s="874" t="e">
        <f>VLOOKUP(C26,'LƯƠNG KT'!$D$15:$P$94,21,0)</f>
        <v>#N/A</v>
      </c>
      <c r="Y26" s="874" t="e">
        <f>VLOOKUP(C26,'LƯƠNG KT'!$D$15:$P$94,23,0)</f>
        <v>#N/A</v>
      </c>
      <c r="Z26" s="874" t="e">
        <f>VLOOKUP(C26,'LƯƠNG KT'!$D$15:$P$94,24,0)</f>
        <v>#N/A</v>
      </c>
      <c r="AA26" s="874">
        <v>20</v>
      </c>
      <c r="AB26" s="874"/>
      <c r="AC26" s="889" t="e">
        <f t="shared" si="5"/>
        <v>#N/A</v>
      </c>
      <c r="AD26" s="889" t="e">
        <f t="shared" si="2"/>
        <v>#N/A</v>
      </c>
      <c r="AE26" s="889" t="e">
        <f t="shared" si="3"/>
        <v>#N/A</v>
      </c>
      <c r="AF26" s="915"/>
      <c r="AG26" s="891"/>
      <c r="AH26" s="922" t="s">
        <v>2751</v>
      </c>
      <c r="AI26" s="637"/>
    </row>
    <row r="27" spans="1:35" s="540" customFormat="1" ht="20.25" customHeight="1">
      <c r="A27" s="868">
        <v>14</v>
      </c>
      <c r="B27" s="1644" t="str">
        <f>VLOOKUP(C27,'DS CN MOI UP'!$B$10:$C$389,2,0)</f>
        <v>02521</v>
      </c>
      <c r="C27" s="875" t="s">
        <v>137</v>
      </c>
      <c r="D27" s="875" t="s">
        <v>15</v>
      </c>
      <c r="E27" s="872"/>
      <c r="F27" s="873">
        <f>+VLOOKUP(C27,THCKT!$C$13:$AE$460,17,0)</f>
        <v>24</v>
      </c>
      <c r="G27" s="874">
        <f t="shared" si="0"/>
        <v>600000</v>
      </c>
      <c r="H27" s="874"/>
      <c r="I27" s="874"/>
      <c r="J27" s="874"/>
      <c r="K27" s="874" t="e">
        <f>VLOOKUP(C27,THCKT!$C$13:$AL$460,21,0)</f>
        <v>#N/A</v>
      </c>
      <c r="L27" s="883">
        <f>VLOOKUP(C27,THCKT!$C$13:$AL$460,22,0)</f>
        <v>0</v>
      </c>
      <c r="M27" s="883">
        <f>VLOOKUP(C27,THCKT!$C$13:$AL$460,23,0)</f>
        <v>0</v>
      </c>
      <c r="N27" s="883" t="e">
        <f t="shared" si="1"/>
        <v>#N/A</v>
      </c>
      <c r="O27" s="883" t="e">
        <f t="shared" si="1"/>
        <v>#N/A</v>
      </c>
      <c r="P27" s="884" t="e">
        <f>VLOOKUP(C27,THCKT!$C$13:$AL$460,36,0)</f>
        <v>#N/A</v>
      </c>
      <c r="Q27" s="887" t="e">
        <f t="shared" si="4"/>
        <v>#N/A</v>
      </c>
      <c r="R27" s="874" t="e">
        <f>VLOOKUP(C27,'LƯƠNG KT'!$D$15:$P$94,16,0)</f>
        <v>#N/A</v>
      </c>
      <c r="S27" s="874" t="e">
        <f>VLOOKUP(C27,'LƯƠNG KT'!$D$15:$P$94,17,0)</f>
        <v>#N/A</v>
      </c>
      <c r="T27" s="874" t="e">
        <f>VLOOKUP(C27,'LƯƠNG KT'!$D$15:$P$94,18,0)</f>
        <v>#N/A</v>
      </c>
      <c r="U27" s="874" t="e">
        <f>VLOOKUP(C27,'LƯƠNG KT'!$D$15:$P$94,18,0)</f>
        <v>#N/A</v>
      </c>
      <c r="V27" s="874" t="e">
        <f>VLOOKUP(C27,'LƯƠNG KT'!$D$15:$P$94,19,0)</f>
        <v>#N/A</v>
      </c>
      <c r="W27" s="874" t="e">
        <f>VLOOKUP(C27,'LƯƠNG KT'!$D$15:$P$94,20,0)</f>
        <v>#N/A</v>
      </c>
      <c r="X27" s="874" t="e">
        <f>VLOOKUP(C27,'LƯƠNG KT'!$D$15:$P$94,21,0)</f>
        <v>#N/A</v>
      </c>
      <c r="Y27" s="874" t="e">
        <f>VLOOKUP(C27,'LƯƠNG KT'!$D$15:$P$94,23,0)</f>
        <v>#N/A</v>
      </c>
      <c r="Z27" s="874" t="e">
        <f>VLOOKUP(C27,'LƯƠNG KT'!$D$15:$P$94,24,0)</f>
        <v>#N/A</v>
      </c>
      <c r="AA27" s="874">
        <v>20</v>
      </c>
      <c r="AB27" s="874"/>
      <c r="AC27" s="889" t="e">
        <f t="shared" si="5"/>
        <v>#N/A</v>
      </c>
      <c r="AD27" s="889" t="e">
        <f t="shared" si="2"/>
        <v>#N/A</v>
      </c>
      <c r="AE27" s="889" t="e">
        <f t="shared" si="3"/>
        <v>#N/A</v>
      </c>
      <c r="AF27" s="915"/>
      <c r="AG27" s="891"/>
      <c r="AH27" s="540" t="s">
        <v>2751</v>
      </c>
      <c r="AI27" s="637"/>
    </row>
    <row r="28" spans="1:35" s="540" customFormat="1" ht="20.25" customHeight="1">
      <c r="A28" s="868">
        <v>15</v>
      </c>
      <c r="B28" s="1644" t="str">
        <f>VLOOKUP(C28,'DS CN MOI UP'!$B$10:$C$389,2,0)</f>
        <v>03356</v>
      </c>
      <c r="C28" s="875" t="s">
        <v>138</v>
      </c>
      <c r="D28" s="875" t="s">
        <v>15</v>
      </c>
      <c r="E28" s="872"/>
      <c r="F28" s="873">
        <f>+VLOOKUP(C28,THCKT!$C$13:$AE$460,17,0)</f>
        <v>24</v>
      </c>
      <c r="G28" s="874">
        <f t="shared" si="0"/>
        <v>600000</v>
      </c>
      <c r="H28" s="874"/>
      <c r="I28" s="874"/>
      <c r="J28" s="874"/>
      <c r="K28" s="874" t="e">
        <f>VLOOKUP(C28,THCKT!$C$13:$AL$460,21,0)</f>
        <v>#N/A</v>
      </c>
      <c r="L28" s="883">
        <f>VLOOKUP(C28,THCKT!$C$13:$AL$460,22,0)</f>
        <v>0</v>
      </c>
      <c r="M28" s="883">
        <f>VLOOKUP(C28,THCKT!$C$13:$AL$460,23,0)</f>
        <v>0</v>
      </c>
      <c r="N28" s="883" t="e">
        <f t="shared" si="1"/>
        <v>#N/A</v>
      </c>
      <c r="O28" s="883" t="e">
        <f t="shared" si="1"/>
        <v>#N/A</v>
      </c>
      <c r="P28" s="884" t="e">
        <f>VLOOKUP(C28,THCKT!$C$13:$AL$460,36,0)</f>
        <v>#N/A</v>
      </c>
      <c r="Q28" s="887" t="e">
        <f t="shared" si="4"/>
        <v>#N/A</v>
      </c>
      <c r="R28" s="874" t="e">
        <f>VLOOKUP(C28,'LƯƠNG KT'!$D$15:$P$94,16,0)</f>
        <v>#N/A</v>
      </c>
      <c r="S28" s="874" t="e">
        <f>VLOOKUP(C28,'LƯƠNG KT'!$D$15:$P$94,17,0)</f>
        <v>#N/A</v>
      </c>
      <c r="T28" s="874" t="e">
        <f>VLOOKUP(C28,'LƯƠNG KT'!$D$15:$P$94,18,0)</f>
        <v>#N/A</v>
      </c>
      <c r="U28" s="874" t="e">
        <f>VLOOKUP(C28,'LƯƠNG KT'!$D$15:$P$94,18,0)</f>
        <v>#N/A</v>
      </c>
      <c r="V28" s="874" t="e">
        <f>VLOOKUP(C28,'LƯƠNG KT'!$D$15:$P$94,19,0)</f>
        <v>#N/A</v>
      </c>
      <c r="W28" s="874" t="e">
        <f>VLOOKUP(C28,'LƯƠNG KT'!$D$15:$P$94,20,0)</f>
        <v>#N/A</v>
      </c>
      <c r="X28" s="874" t="e">
        <f>VLOOKUP(C28,'LƯƠNG KT'!$D$15:$P$94,21,0)</f>
        <v>#N/A</v>
      </c>
      <c r="Y28" s="874" t="e">
        <f>VLOOKUP(C28,'LƯƠNG KT'!$D$15:$P$94,23,0)</f>
        <v>#N/A</v>
      </c>
      <c r="Z28" s="874" t="e">
        <f>VLOOKUP(C28,'LƯƠNG KT'!$D$15:$P$94,24,0)</f>
        <v>#N/A</v>
      </c>
      <c r="AA28" s="874">
        <v>20</v>
      </c>
      <c r="AB28" s="874"/>
      <c r="AC28" s="889" t="e">
        <f t="shared" si="5"/>
        <v>#N/A</v>
      </c>
      <c r="AD28" s="889" t="e">
        <f t="shared" si="2"/>
        <v>#N/A</v>
      </c>
      <c r="AE28" s="889" t="e">
        <f t="shared" si="3"/>
        <v>#N/A</v>
      </c>
      <c r="AF28" s="915"/>
      <c r="AG28" s="891"/>
      <c r="AH28" s="922" t="s">
        <v>2751</v>
      </c>
      <c r="AI28" s="637"/>
    </row>
    <row r="29" spans="1:35" s="540" customFormat="1" ht="20.25" customHeight="1">
      <c r="A29" s="868">
        <v>16</v>
      </c>
      <c r="B29" s="1644" t="str">
        <f>VLOOKUP(C29,'DS CN MOI UP'!$B$10:$C$389,2,0)</f>
        <v>02524</v>
      </c>
      <c r="C29" s="875" t="s">
        <v>139</v>
      </c>
      <c r="D29" s="875" t="s">
        <v>15</v>
      </c>
      <c r="E29" s="872"/>
      <c r="F29" s="873">
        <f>+VLOOKUP(C29,THCKT!$C$13:$AE$460,17,0)</f>
        <v>24</v>
      </c>
      <c r="G29" s="874">
        <f t="shared" si="0"/>
        <v>600000</v>
      </c>
      <c r="H29" s="874"/>
      <c r="I29" s="874"/>
      <c r="J29" s="874"/>
      <c r="K29" s="874" t="e">
        <f>VLOOKUP(C29,THCKT!$C$13:$AL$460,21,0)</f>
        <v>#N/A</v>
      </c>
      <c r="L29" s="883">
        <f>VLOOKUP(C29,THCKT!$C$13:$AL$460,22,0)</f>
        <v>0</v>
      </c>
      <c r="M29" s="883">
        <f>VLOOKUP(C29,THCKT!$C$13:$AL$460,23,0)</f>
        <v>0</v>
      </c>
      <c r="N29" s="883" t="e">
        <f t="shared" si="1"/>
        <v>#N/A</v>
      </c>
      <c r="O29" s="883" t="e">
        <f>Q29/((Q29/(N29*$F$9)*$F$8))</f>
        <v>#N/A</v>
      </c>
      <c r="P29" s="884" t="e">
        <f>VLOOKUP(C29,THCKT!$C$13:$AL$460,36,0)</f>
        <v>#N/A</v>
      </c>
      <c r="Q29" s="887" t="e">
        <f t="shared" si="4"/>
        <v>#N/A</v>
      </c>
      <c r="R29" s="874" t="e">
        <f>VLOOKUP(C29,'LƯƠNG KT'!$D$15:$P$94,16,0)</f>
        <v>#N/A</v>
      </c>
      <c r="S29" s="874" t="e">
        <f>VLOOKUP(C29,'LƯƠNG KT'!$D$15:$P$94,17,0)</f>
        <v>#N/A</v>
      </c>
      <c r="T29" s="874" t="e">
        <f>VLOOKUP(C29,'LƯƠNG KT'!$D$15:$P$94,18,0)</f>
        <v>#N/A</v>
      </c>
      <c r="U29" s="874" t="e">
        <f>VLOOKUP(C29,'LƯƠNG KT'!$D$15:$P$94,18,0)</f>
        <v>#N/A</v>
      </c>
      <c r="V29" s="874" t="e">
        <f>VLOOKUP(C29,'LƯƠNG KT'!$D$15:$P$94,19,0)</f>
        <v>#N/A</v>
      </c>
      <c r="W29" s="874" t="e">
        <f>VLOOKUP(C29,'LƯƠNG KT'!$D$15:$P$94,20,0)</f>
        <v>#N/A</v>
      </c>
      <c r="X29" s="874" t="e">
        <f>VLOOKUP(C29,'LƯƠNG KT'!$D$15:$P$94,21,0)</f>
        <v>#N/A</v>
      </c>
      <c r="Y29" s="874" t="e">
        <f>VLOOKUP(C29,'LƯƠNG KT'!$D$15:$P$94,23,0)</f>
        <v>#N/A</v>
      </c>
      <c r="Z29" s="874" t="e">
        <f>VLOOKUP(C29,'LƯƠNG KT'!$D$15:$P$94,24,0)</f>
        <v>#N/A</v>
      </c>
      <c r="AA29" s="874">
        <v>20</v>
      </c>
      <c r="AB29" s="874"/>
      <c r="AC29" s="889" t="e">
        <f t="shared" si="5"/>
        <v>#N/A</v>
      </c>
      <c r="AD29" s="889" t="e">
        <f t="shared" si="2"/>
        <v>#N/A</v>
      </c>
      <c r="AE29" s="889" t="e">
        <f t="shared" si="3"/>
        <v>#N/A</v>
      </c>
      <c r="AF29" s="915"/>
      <c r="AG29" s="891"/>
      <c r="AH29" s="540" t="s">
        <v>2751</v>
      </c>
      <c r="AI29" s="637"/>
    </row>
    <row r="30" spans="1:35" s="540" customFormat="1" ht="20.25" customHeight="1">
      <c r="A30" s="868">
        <v>17</v>
      </c>
      <c r="B30" s="1644" t="str">
        <f>VLOOKUP(C30,'DS CN MOI UP'!$B$10:$C$389,2,0)</f>
        <v>03357</v>
      </c>
      <c r="C30" s="875" t="s">
        <v>140</v>
      </c>
      <c r="D30" s="875" t="s">
        <v>15</v>
      </c>
      <c r="E30" s="872"/>
      <c r="F30" s="873">
        <f>+VLOOKUP(C30,THCKT!$C$13:$AE$460,17,0)</f>
        <v>24</v>
      </c>
      <c r="G30" s="874">
        <f t="shared" si="0"/>
        <v>600000</v>
      </c>
      <c r="H30" s="874"/>
      <c r="I30" s="874"/>
      <c r="J30" s="874"/>
      <c r="K30" s="874" t="e">
        <f>VLOOKUP(C30,THCKT!$C$13:$AL$460,21,0)</f>
        <v>#N/A</v>
      </c>
      <c r="L30" s="883">
        <f>VLOOKUP(C30,THCKT!$C$13:$AL$460,22,0)</f>
        <v>0</v>
      </c>
      <c r="M30" s="883">
        <f>VLOOKUP(C30,THCKT!$C$13:$AL$460,23,0)</f>
        <v>0</v>
      </c>
      <c r="N30" s="883" t="e">
        <f t="shared" si="1"/>
        <v>#N/A</v>
      </c>
      <c r="O30" s="883" t="e">
        <f t="shared" si="1"/>
        <v>#N/A</v>
      </c>
      <c r="P30" s="884" t="e">
        <f>VLOOKUP(C30,THCKT!$C$13:$AL$460,36,0)</f>
        <v>#N/A</v>
      </c>
      <c r="Q30" s="887" t="e">
        <f t="shared" si="4"/>
        <v>#N/A</v>
      </c>
      <c r="R30" s="874" t="e">
        <f>VLOOKUP(C30,'LƯƠNG KT'!$D$15:$P$94,16,0)</f>
        <v>#N/A</v>
      </c>
      <c r="S30" s="874" t="e">
        <f>VLOOKUP(C30,'LƯƠNG KT'!$D$15:$P$94,17,0)</f>
        <v>#N/A</v>
      </c>
      <c r="T30" s="874" t="e">
        <f>VLOOKUP(C30,'LƯƠNG KT'!$D$15:$P$94,18,0)</f>
        <v>#N/A</v>
      </c>
      <c r="U30" s="874" t="e">
        <f>VLOOKUP(C30,'LƯƠNG KT'!$D$15:$P$94,18,0)</f>
        <v>#N/A</v>
      </c>
      <c r="V30" s="874" t="e">
        <f>VLOOKUP(C30,'LƯƠNG KT'!$D$15:$P$94,19,0)</f>
        <v>#N/A</v>
      </c>
      <c r="W30" s="874" t="e">
        <f>VLOOKUP(C30,'LƯƠNG KT'!$D$15:$P$94,20,0)</f>
        <v>#N/A</v>
      </c>
      <c r="X30" s="874" t="e">
        <f>VLOOKUP(C30,'LƯƠNG KT'!$D$15:$P$94,21,0)</f>
        <v>#N/A</v>
      </c>
      <c r="Y30" s="874" t="e">
        <f>VLOOKUP(C30,'LƯƠNG KT'!$D$15:$P$94,23,0)</f>
        <v>#N/A</v>
      </c>
      <c r="Z30" s="874" t="e">
        <f>VLOOKUP(C30,'LƯƠNG KT'!$D$15:$P$94,24,0)</f>
        <v>#N/A</v>
      </c>
      <c r="AA30" s="874">
        <v>20</v>
      </c>
      <c r="AB30" s="874"/>
      <c r="AC30" s="889" t="e">
        <f t="shared" si="5"/>
        <v>#N/A</v>
      </c>
      <c r="AD30" s="889" t="e">
        <f t="shared" si="2"/>
        <v>#N/A</v>
      </c>
      <c r="AE30" s="889" t="e">
        <f t="shared" si="3"/>
        <v>#N/A</v>
      </c>
      <c r="AF30" s="915"/>
      <c r="AG30" s="891"/>
      <c r="AH30" s="922" t="s">
        <v>2751</v>
      </c>
      <c r="AI30" s="637"/>
    </row>
    <row r="31" spans="1:35" s="540" customFormat="1" ht="20.25" customHeight="1">
      <c r="A31" s="868">
        <v>18</v>
      </c>
      <c r="B31" s="1644" t="str">
        <f>VLOOKUP(C31,'DS CN MOI UP'!$B$10:$C$389,2,0)</f>
        <v>03358</v>
      </c>
      <c r="C31" s="875" t="s">
        <v>141</v>
      </c>
      <c r="D31" s="875" t="s">
        <v>15</v>
      </c>
      <c r="E31" s="872"/>
      <c r="F31" s="873">
        <f>+VLOOKUP(C31,THCKT!$C$13:$AE$460,17,0)</f>
        <v>24</v>
      </c>
      <c r="G31" s="874">
        <f t="shared" si="0"/>
        <v>600000</v>
      </c>
      <c r="H31" s="874"/>
      <c r="I31" s="874"/>
      <c r="J31" s="874"/>
      <c r="K31" s="874" t="e">
        <f>VLOOKUP(C31,THCKT!$C$13:$AL$460,21,0)</f>
        <v>#N/A</v>
      </c>
      <c r="L31" s="883">
        <f>VLOOKUP(C31,THCKT!$C$13:$AL$460,22,0)</f>
        <v>0</v>
      </c>
      <c r="M31" s="883">
        <f>VLOOKUP(C31,THCKT!$C$13:$AL$460,23,0)</f>
        <v>0</v>
      </c>
      <c r="N31" s="883" t="e">
        <f t="shared" si="1"/>
        <v>#N/A</v>
      </c>
      <c r="O31" s="883" t="e">
        <f>Q31/((Q31/(N31*$F$9)*$F$8))</f>
        <v>#N/A</v>
      </c>
      <c r="P31" s="884" t="e">
        <f>VLOOKUP(C31,THCKT!$C$13:$AL$460,36,0)</f>
        <v>#N/A</v>
      </c>
      <c r="Q31" s="887" t="e">
        <f t="shared" si="4"/>
        <v>#N/A</v>
      </c>
      <c r="R31" s="874" t="e">
        <f>VLOOKUP(C31,'LƯƠNG KT'!$D$15:$P$94,16,0)</f>
        <v>#N/A</v>
      </c>
      <c r="S31" s="874" t="e">
        <f>VLOOKUP(C31,'LƯƠNG KT'!$D$15:$P$94,17,0)</f>
        <v>#N/A</v>
      </c>
      <c r="T31" s="874" t="e">
        <f>VLOOKUP(C31,'LƯƠNG KT'!$D$15:$P$94,18,0)</f>
        <v>#N/A</v>
      </c>
      <c r="U31" s="874" t="e">
        <f>VLOOKUP(C31,'LƯƠNG KT'!$D$15:$P$94,18,0)</f>
        <v>#N/A</v>
      </c>
      <c r="V31" s="874" t="e">
        <f>VLOOKUP(C31,'LƯƠNG KT'!$D$15:$P$94,19,0)</f>
        <v>#N/A</v>
      </c>
      <c r="W31" s="874" t="e">
        <f>VLOOKUP(C31,'LƯƠNG KT'!$D$15:$P$94,20,0)</f>
        <v>#N/A</v>
      </c>
      <c r="X31" s="874" t="e">
        <f>VLOOKUP(C31,'LƯƠNG KT'!$D$15:$P$94,21,0)</f>
        <v>#N/A</v>
      </c>
      <c r="Y31" s="874" t="e">
        <f>VLOOKUP(C31,'LƯƠNG KT'!$D$15:$P$94,23,0)</f>
        <v>#N/A</v>
      </c>
      <c r="Z31" s="874" t="e">
        <f>VLOOKUP(C31,'LƯƠNG KT'!$D$15:$P$94,24,0)</f>
        <v>#N/A</v>
      </c>
      <c r="AA31" s="874">
        <v>20</v>
      </c>
      <c r="AB31" s="874"/>
      <c r="AC31" s="889" t="e">
        <f t="shared" si="5"/>
        <v>#N/A</v>
      </c>
      <c r="AD31" s="889" t="e">
        <f t="shared" si="2"/>
        <v>#N/A</v>
      </c>
      <c r="AE31" s="889" t="e">
        <f t="shared" si="3"/>
        <v>#N/A</v>
      </c>
      <c r="AF31" s="915"/>
      <c r="AG31" s="891"/>
      <c r="AH31" s="540" t="s">
        <v>2751</v>
      </c>
      <c r="AI31" s="637"/>
    </row>
    <row r="32" spans="1:35" s="540" customFormat="1" ht="20.25" customHeight="1">
      <c r="A32" s="868">
        <v>19</v>
      </c>
      <c r="B32" s="1644" t="str">
        <f>VLOOKUP(C32,'DS CN MOI UP'!$B$10:$C$389,2,0)</f>
        <v>02556</v>
      </c>
      <c r="C32" s="875" t="s">
        <v>142</v>
      </c>
      <c r="D32" s="875" t="s">
        <v>15</v>
      </c>
      <c r="E32" s="872"/>
      <c r="F32" s="873">
        <f>+VLOOKUP(C32,THCKT!$C$13:$AE$460,17,0)</f>
        <v>24</v>
      </c>
      <c r="G32" s="874">
        <f t="shared" si="0"/>
        <v>600000</v>
      </c>
      <c r="H32" s="874"/>
      <c r="I32" s="874"/>
      <c r="J32" s="874"/>
      <c r="K32" s="874" t="e">
        <f>VLOOKUP(C32,THCKT!$C$13:$AL$460,21,0)</f>
        <v>#N/A</v>
      </c>
      <c r="L32" s="883">
        <f>VLOOKUP(C32,THCKT!$C$13:$AL$460,22,0)</f>
        <v>0</v>
      </c>
      <c r="M32" s="883">
        <f>VLOOKUP(C32,THCKT!$C$13:$AL$460,23,0)</f>
        <v>0</v>
      </c>
      <c r="N32" s="883" t="e">
        <f t="shared" si="1"/>
        <v>#N/A</v>
      </c>
      <c r="O32" s="883" t="e">
        <f t="shared" si="1"/>
        <v>#N/A</v>
      </c>
      <c r="P32" s="884" t="e">
        <f>VLOOKUP(C32,THCKT!$C$13:$AL$460,36,0)</f>
        <v>#N/A</v>
      </c>
      <c r="Q32" s="887" t="e">
        <f t="shared" si="4"/>
        <v>#N/A</v>
      </c>
      <c r="R32" s="874" t="e">
        <f>VLOOKUP(C32,'LƯƠNG KT'!$D$15:$P$94,16,0)</f>
        <v>#N/A</v>
      </c>
      <c r="S32" s="874" t="e">
        <f>VLOOKUP(C32,'LƯƠNG KT'!$D$15:$P$94,17,0)</f>
        <v>#N/A</v>
      </c>
      <c r="T32" s="874" t="e">
        <f>VLOOKUP(C32,'LƯƠNG KT'!$D$15:$P$94,18,0)</f>
        <v>#N/A</v>
      </c>
      <c r="U32" s="874" t="e">
        <f>VLOOKUP(C32,'LƯƠNG KT'!$D$15:$P$94,18,0)</f>
        <v>#N/A</v>
      </c>
      <c r="V32" s="874" t="e">
        <f>VLOOKUP(C32,'LƯƠNG KT'!$D$15:$P$94,19,0)</f>
        <v>#N/A</v>
      </c>
      <c r="W32" s="874" t="e">
        <f>VLOOKUP(C32,'LƯƠNG KT'!$D$15:$P$94,20,0)</f>
        <v>#N/A</v>
      </c>
      <c r="X32" s="874" t="e">
        <f>VLOOKUP(C32,'LƯƠNG KT'!$D$15:$P$94,21,0)</f>
        <v>#N/A</v>
      </c>
      <c r="Y32" s="874" t="e">
        <f>VLOOKUP(C32,'LƯƠNG KT'!$D$15:$P$94,23,0)</f>
        <v>#N/A</v>
      </c>
      <c r="Z32" s="874" t="e">
        <f>VLOOKUP(C32,'LƯƠNG KT'!$D$15:$P$94,24,0)</f>
        <v>#N/A</v>
      </c>
      <c r="AA32" s="874">
        <v>20</v>
      </c>
      <c r="AB32" s="874"/>
      <c r="AC32" s="889" t="e">
        <f t="shared" si="5"/>
        <v>#N/A</v>
      </c>
      <c r="AD32" s="889" t="e">
        <f t="shared" si="2"/>
        <v>#N/A</v>
      </c>
      <c r="AE32" s="889" t="e">
        <f t="shared" si="3"/>
        <v>#N/A</v>
      </c>
      <c r="AF32" s="915"/>
      <c r="AG32" s="891"/>
      <c r="AH32" s="922" t="s">
        <v>2751</v>
      </c>
      <c r="AI32" s="637"/>
    </row>
    <row r="33" spans="1:35" s="540" customFormat="1" ht="20.25" customHeight="1">
      <c r="A33" s="868">
        <v>20</v>
      </c>
      <c r="B33" s="1644" t="str">
        <f>VLOOKUP(C33,'DS CN MOI UP'!$B$10:$C$389,2,0)</f>
        <v>02537</v>
      </c>
      <c r="C33" s="875" t="s">
        <v>143</v>
      </c>
      <c r="D33" s="875" t="s">
        <v>15</v>
      </c>
      <c r="E33" s="872"/>
      <c r="F33" s="873">
        <f>+VLOOKUP(C33,THCKT!$C$13:$AE$460,17,0)</f>
        <v>24</v>
      </c>
      <c r="G33" s="874">
        <f t="shared" si="0"/>
        <v>600000</v>
      </c>
      <c r="H33" s="874"/>
      <c r="I33" s="874"/>
      <c r="J33" s="874"/>
      <c r="K33" s="874" t="e">
        <f>VLOOKUP(C33,THCKT!$C$13:$AL$460,21,0)</f>
        <v>#N/A</v>
      </c>
      <c r="L33" s="883">
        <f>VLOOKUP(C33,THCKT!$C$13:$AL$460,22,0)</f>
        <v>0</v>
      </c>
      <c r="M33" s="883">
        <f>VLOOKUP(C33,THCKT!$C$13:$AL$460,23,0)</f>
        <v>0</v>
      </c>
      <c r="N33" s="883" t="e">
        <f t="shared" si="1"/>
        <v>#N/A</v>
      </c>
      <c r="O33" s="883" t="e">
        <f t="shared" si="1"/>
        <v>#N/A</v>
      </c>
      <c r="P33" s="884" t="e">
        <f>VLOOKUP(C33,THCKT!$C$13:$AL$460,36,0)</f>
        <v>#N/A</v>
      </c>
      <c r="Q33" s="887" t="e">
        <f t="shared" si="4"/>
        <v>#N/A</v>
      </c>
      <c r="R33" s="874" t="e">
        <f>VLOOKUP(C33,'LƯƠNG KT'!$D$15:$P$94,16,0)</f>
        <v>#N/A</v>
      </c>
      <c r="S33" s="874" t="e">
        <f>VLOOKUP(C33,'LƯƠNG KT'!$D$15:$P$94,17,0)</f>
        <v>#N/A</v>
      </c>
      <c r="T33" s="874" t="e">
        <f>VLOOKUP(C33,'LƯƠNG KT'!$D$15:$P$94,18,0)</f>
        <v>#N/A</v>
      </c>
      <c r="U33" s="874" t="e">
        <f>VLOOKUP(C33,'LƯƠNG KT'!$D$15:$P$94,18,0)</f>
        <v>#N/A</v>
      </c>
      <c r="V33" s="874" t="e">
        <f>VLOOKUP(C33,'LƯƠNG KT'!$D$15:$P$94,19,0)</f>
        <v>#N/A</v>
      </c>
      <c r="W33" s="874" t="e">
        <f>VLOOKUP(C33,'LƯƠNG KT'!$D$15:$P$94,20,0)</f>
        <v>#N/A</v>
      </c>
      <c r="X33" s="874" t="e">
        <f>VLOOKUP(C33,'LƯƠNG KT'!$D$15:$P$94,21,0)</f>
        <v>#N/A</v>
      </c>
      <c r="Y33" s="874" t="e">
        <f>VLOOKUP(C33,'LƯƠNG KT'!$D$15:$P$94,23,0)</f>
        <v>#N/A</v>
      </c>
      <c r="Z33" s="874" t="e">
        <f>VLOOKUP(C33,'LƯƠNG KT'!$D$15:$P$94,24,0)</f>
        <v>#N/A</v>
      </c>
      <c r="AA33" s="874">
        <v>20</v>
      </c>
      <c r="AB33" s="874"/>
      <c r="AC33" s="889" t="e">
        <f t="shared" si="5"/>
        <v>#N/A</v>
      </c>
      <c r="AD33" s="889" t="e">
        <f t="shared" si="2"/>
        <v>#N/A</v>
      </c>
      <c r="AE33" s="889" t="e">
        <f t="shared" si="3"/>
        <v>#N/A</v>
      </c>
      <c r="AF33" s="915"/>
      <c r="AG33" s="891"/>
      <c r="AH33" s="540" t="s">
        <v>2751</v>
      </c>
      <c r="AI33" s="637"/>
    </row>
    <row r="34" spans="1:35" s="540" customFormat="1" ht="20.25" customHeight="1">
      <c r="A34" s="868">
        <v>21</v>
      </c>
      <c r="B34" s="1644" t="str">
        <f>VLOOKUP(C34,'DS CN MOI UP'!$B$10:$C$389,2,0)</f>
        <v>03359</v>
      </c>
      <c r="C34" s="875" t="s">
        <v>144</v>
      </c>
      <c r="D34" s="875" t="s">
        <v>15</v>
      </c>
      <c r="E34" s="872"/>
      <c r="F34" s="873">
        <f>+VLOOKUP(C34,THCKT!$C$13:$AE$460,17,0)</f>
        <v>24</v>
      </c>
      <c r="G34" s="874">
        <f t="shared" si="0"/>
        <v>600000</v>
      </c>
      <c r="H34" s="874"/>
      <c r="I34" s="874"/>
      <c r="J34" s="874"/>
      <c r="K34" s="874" t="e">
        <f>VLOOKUP(C34,THCKT!$C$13:$AL$460,21,0)</f>
        <v>#N/A</v>
      </c>
      <c r="L34" s="883">
        <f>VLOOKUP(C34,THCKT!$C$13:$AL$460,22,0)</f>
        <v>0</v>
      </c>
      <c r="M34" s="883">
        <f>VLOOKUP(C34,THCKT!$C$13:$AL$460,23,0)</f>
        <v>0</v>
      </c>
      <c r="N34" s="883" t="e">
        <f t="shared" si="1"/>
        <v>#N/A</v>
      </c>
      <c r="O34" s="883" t="e">
        <f t="shared" si="1"/>
        <v>#N/A</v>
      </c>
      <c r="P34" s="884" t="e">
        <f>VLOOKUP(C34,THCKT!$C$13:$AL$460,36,0)</f>
        <v>#N/A</v>
      </c>
      <c r="Q34" s="887" t="e">
        <f t="shared" si="4"/>
        <v>#N/A</v>
      </c>
      <c r="R34" s="874" t="e">
        <f>VLOOKUP(C34,'LƯƠNG KT'!$D$15:$P$94,16,0)</f>
        <v>#N/A</v>
      </c>
      <c r="S34" s="874" t="e">
        <f>VLOOKUP(C34,'LƯƠNG KT'!$D$15:$P$94,17,0)</f>
        <v>#N/A</v>
      </c>
      <c r="T34" s="874" t="e">
        <f>VLOOKUP(C34,'LƯƠNG KT'!$D$15:$P$94,18,0)</f>
        <v>#N/A</v>
      </c>
      <c r="U34" s="874" t="e">
        <f>VLOOKUP(C34,'LƯƠNG KT'!$D$15:$P$94,18,0)</f>
        <v>#N/A</v>
      </c>
      <c r="V34" s="874" t="e">
        <f>VLOOKUP(C34,'LƯƠNG KT'!$D$15:$P$94,19,0)</f>
        <v>#N/A</v>
      </c>
      <c r="W34" s="874" t="e">
        <f>VLOOKUP(C34,'LƯƠNG KT'!$D$15:$P$94,20,0)</f>
        <v>#N/A</v>
      </c>
      <c r="X34" s="874" t="e">
        <f>VLOOKUP(C34,'LƯƠNG KT'!$D$15:$P$94,21,0)</f>
        <v>#N/A</v>
      </c>
      <c r="Y34" s="874" t="e">
        <f>VLOOKUP(C34,'LƯƠNG KT'!$D$15:$P$94,23,0)</f>
        <v>#N/A</v>
      </c>
      <c r="Z34" s="874" t="e">
        <f>VLOOKUP(C34,'LƯƠNG KT'!$D$15:$P$94,24,0)</f>
        <v>#N/A</v>
      </c>
      <c r="AA34" s="874">
        <v>20</v>
      </c>
      <c r="AB34" s="874"/>
      <c r="AC34" s="889" t="e">
        <f t="shared" si="5"/>
        <v>#N/A</v>
      </c>
      <c r="AD34" s="889" t="e">
        <f t="shared" si="2"/>
        <v>#N/A</v>
      </c>
      <c r="AE34" s="889" t="e">
        <f t="shared" si="3"/>
        <v>#N/A</v>
      </c>
      <c r="AF34" s="915"/>
      <c r="AG34" s="891"/>
      <c r="AH34" s="922" t="s">
        <v>2751</v>
      </c>
      <c r="AI34" s="637"/>
    </row>
    <row r="35" spans="1:35" s="540" customFormat="1" ht="20.25" customHeight="1">
      <c r="A35" s="868">
        <v>22</v>
      </c>
      <c r="B35" s="1644" t="str">
        <f>VLOOKUP(C35,'DS CN MOI UP'!$B$10:$C$389,2,0)</f>
        <v>03360</v>
      </c>
      <c r="C35" s="875" t="s">
        <v>145</v>
      </c>
      <c r="D35" s="875" t="s">
        <v>15</v>
      </c>
      <c r="E35" s="872"/>
      <c r="F35" s="873">
        <f>+VLOOKUP(C35,THCKT!$C$13:$AE$460,17,0)</f>
        <v>24</v>
      </c>
      <c r="G35" s="874">
        <f t="shared" si="0"/>
        <v>600000</v>
      </c>
      <c r="H35" s="874"/>
      <c r="I35" s="874"/>
      <c r="J35" s="874"/>
      <c r="K35" s="874" t="e">
        <f>VLOOKUP(C35,THCKT!$C$13:$AL$460,21,0)</f>
        <v>#N/A</v>
      </c>
      <c r="L35" s="883">
        <f>VLOOKUP(C35,THCKT!$C$13:$AL$460,22,0)</f>
        <v>0</v>
      </c>
      <c r="M35" s="883">
        <f>VLOOKUP(C35,THCKT!$C$13:$AL$460,23,0)</f>
        <v>0</v>
      </c>
      <c r="N35" s="883" t="e">
        <f t="shared" si="1"/>
        <v>#N/A</v>
      </c>
      <c r="O35" s="883" t="e">
        <f t="shared" si="1"/>
        <v>#N/A</v>
      </c>
      <c r="P35" s="884" t="e">
        <f>VLOOKUP(C35,THCKT!$C$13:$AL$460,36,0)</f>
        <v>#N/A</v>
      </c>
      <c r="Q35" s="887" t="e">
        <f t="shared" si="4"/>
        <v>#N/A</v>
      </c>
      <c r="R35" s="874" t="e">
        <f>VLOOKUP(C35,'LƯƠNG KT'!$D$15:$P$94,16,0)</f>
        <v>#N/A</v>
      </c>
      <c r="S35" s="874" t="e">
        <f>VLOOKUP(C35,'LƯƠNG KT'!$D$15:$P$94,17,0)</f>
        <v>#N/A</v>
      </c>
      <c r="T35" s="874" t="e">
        <f>VLOOKUP(C35,'LƯƠNG KT'!$D$15:$P$94,18,0)</f>
        <v>#N/A</v>
      </c>
      <c r="U35" s="874" t="e">
        <f>VLOOKUP(C35,'LƯƠNG KT'!$D$15:$P$94,18,0)</f>
        <v>#N/A</v>
      </c>
      <c r="V35" s="874" t="e">
        <f>VLOOKUP(C35,'LƯƠNG KT'!$D$15:$P$94,19,0)</f>
        <v>#N/A</v>
      </c>
      <c r="W35" s="874" t="e">
        <f>VLOOKUP(C35,'LƯƠNG KT'!$D$15:$P$94,20,0)</f>
        <v>#N/A</v>
      </c>
      <c r="X35" s="874" t="e">
        <f>VLOOKUP(C35,'LƯƠNG KT'!$D$15:$P$94,21,0)</f>
        <v>#N/A</v>
      </c>
      <c r="Y35" s="874" t="e">
        <f>VLOOKUP(C35,'LƯƠNG KT'!$D$15:$P$94,23,0)</f>
        <v>#N/A</v>
      </c>
      <c r="Z35" s="874" t="e">
        <f>VLOOKUP(C35,'LƯƠNG KT'!$D$15:$P$94,24,0)</f>
        <v>#N/A</v>
      </c>
      <c r="AA35" s="874">
        <v>20</v>
      </c>
      <c r="AB35" s="874"/>
      <c r="AC35" s="889" t="e">
        <f t="shared" si="5"/>
        <v>#N/A</v>
      </c>
      <c r="AD35" s="889" t="e">
        <f t="shared" si="2"/>
        <v>#N/A</v>
      </c>
      <c r="AE35" s="889" t="e">
        <f t="shared" si="3"/>
        <v>#N/A</v>
      </c>
      <c r="AF35" s="915"/>
      <c r="AG35" s="891"/>
      <c r="AH35" s="540" t="s">
        <v>2751</v>
      </c>
      <c r="AI35" s="637"/>
    </row>
    <row r="36" spans="1:35" s="540" customFormat="1" ht="20.25" customHeight="1">
      <c r="A36" s="868">
        <v>23</v>
      </c>
      <c r="B36" s="1644" t="str">
        <f>VLOOKUP(C36,'DS CN MOI UP'!$B$10:$C$389,2,0)</f>
        <v>03413</v>
      </c>
      <c r="C36" s="875" t="s">
        <v>146</v>
      </c>
      <c r="D36" s="875" t="s">
        <v>15</v>
      </c>
      <c r="E36" s="872"/>
      <c r="F36" s="873">
        <f>+VLOOKUP(C36,THCKT!$C$13:$AE$460,17,0)</f>
        <v>24</v>
      </c>
      <c r="G36" s="874">
        <f t="shared" si="0"/>
        <v>600000</v>
      </c>
      <c r="H36" s="874"/>
      <c r="I36" s="874"/>
      <c r="J36" s="874"/>
      <c r="K36" s="874" t="e">
        <f>VLOOKUP(C36,THCKT!$C$13:$AL$460,21,0)</f>
        <v>#N/A</v>
      </c>
      <c r="L36" s="883">
        <f>VLOOKUP(C36,THCKT!$C$13:$AL$460,22,0)</f>
        <v>0</v>
      </c>
      <c r="M36" s="883">
        <f>VLOOKUP(C36,THCKT!$C$13:$AL$460,23,0)</f>
        <v>0</v>
      </c>
      <c r="N36" s="883" t="e">
        <f t="shared" si="1"/>
        <v>#N/A</v>
      </c>
      <c r="O36" s="883" t="e">
        <f t="shared" si="1"/>
        <v>#N/A</v>
      </c>
      <c r="P36" s="884" t="e">
        <f>VLOOKUP(C36,THCKT!$C$13:$AL$460,36,0)</f>
        <v>#N/A</v>
      </c>
      <c r="Q36" s="887" t="e">
        <f t="shared" si="4"/>
        <v>#N/A</v>
      </c>
      <c r="R36" s="874" t="e">
        <f>VLOOKUP(C36,'LƯƠNG KT'!$D$15:$P$94,16,0)</f>
        <v>#N/A</v>
      </c>
      <c r="S36" s="874" t="e">
        <f>VLOOKUP(C36,'LƯƠNG KT'!$D$15:$P$94,17,0)</f>
        <v>#N/A</v>
      </c>
      <c r="T36" s="874" t="e">
        <f>VLOOKUP(C36,'LƯƠNG KT'!$D$15:$P$94,18,0)</f>
        <v>#N/A</v>
      </c>
      <c r="U36" s="874" t="e">
        <f>VLOOKUP(C36,'LƯƠNG KT'!$D$15:$P$94,18,0)</f>
        <v>#N/A</v>
      </c>
      <c r="V36" s="874" t="e">
        <f>VLOOKUP(C36,'LƯƠNG KT'!$D$15:$P$94,19,0)</f>
        <v>#N/A</v>
      </c>
      <c r="W36" s="874" t="e">
        <f>VLOOKUP(C36,'LƯƠNG KT'!$D$15:$P$94,20,0)</f>
        <v>#N/A</v>
      </c>
      <c r="X36" s="874" t="e">
        <f>VLOOKUP(C36,'LƯƠNG KT'!$D$15:$P$94,21,0)</f>
        <v>#N/A</v>
      </c>
      <c r="Y36" s="874" t="e">
        <f>VLOOKUP(C36,'LƯƠNG KT'!$D$15:$P$94,23,0)</f>
        <v>#N/A</v>
      </c>
      <c r="Z36" s="874" t="e">
        <f>VLOOKUP(C36,'LƯƠNG KT'!$D$15:$P$94,24,0)</f>
        <v>#N/A</v>
      </c>
      <c r="AA36" s="874">
        <v>20</v>
      </c>
      <c r="AB36" s="874"/>
      <c r="AC36" s="889" t="e">
        <f t="shared" si="5"/>
        <v>#N/A</v>
      </c>
      <c r="AD36" s="889" t="e">
        <f t="shared" si="2"/>
        <v>#N/A</v>
      </c>
      <c r="AE36" s="889" t="e">
        <f t="shared" si="3"/>
        <v>#N/A</v>
      </c>
      <c r="AF36" s="915"/>
      <c r="AG36" s="891"/>
      <c r="AH36" s="922" t="s">
        <v>2751</v>
      </c>
      <c r="AI36" s="637"/>
    </row>
    <row r="37" spans="1:35" s="540" customFormat="1" ht="20.25" customHeight="1">
      <c r="A37" s="868">
        <v>24</v>
      </c>
      <c r="B37" s="1644" t="str">
        <f>VLOOKUP(C37,'DS CN MOI UP'!$B$10:$C$389,2,0)</f>
        <v>03361</v>
      </c>
      <c r="C37" s="875" t="s">
        <v>147</v>
      </c>
      <c r="D37" s="875" t="s">
        <v>15</v>
      </c>
      <c r="E37" s="872"/>
      <c r="F37" s="873">
        <f>+VLOOKUP(C37,THCKT!$C$13:$AE$460,17,0)</f>
        <v>24</v>
      </c>
      <c r="G37" s="874">
        <f t="shared" si="0"/>
        <v>600000</v>
      </c>
      <c r="H37" s="874"/>
      <c r="I37" s="874"/>
      <c r="J37" s="874"/>
      <c r="K37" s="874" t="e">
        <f>VLOOKUP(C37,THCKT!$C$13:$AL$460,21,0)</f>
        <v>#N/A</v>
      </c>
      <c r="L37" s="883">
        <f>VLOOKUP(C37,THCKT!$C$13:$AL$460,22,0)</f>
        <v>0</v>
      </c>
      <c r="M37" s="883">
        <f>VLOOKUP(C37,THCKT!$C$13:$AL$460,23,0)</f>
        <v>0</v>
      </c>
      <c r="N37" s="883" t="e">
        <f t="shared" si="1"/>
        <v>#N/A</v>
      </c>
      <c r="O37" s="883" t="e">
        <f t="shared" si="1"/>
        <v>#N/A</v>
      </c>
      <c r="P37" s="884" t="e">
        <f>VLOOKUP(C37,THCKT!$C$13:$AL$460,36,0)</f>
        <v>#N/A</v>
      </c>
      <c r="Q37" s="887" t="e">
        <f t="shared" si="4"/>
        <v>#N/A</v>
      </c>
      <c r="R37" s="874" t="e">
        <f>VLOOKUP(C37,'LƯƠNG KT'!$D$15:$P$94,16,0)</f>
        <v>#N/A</v>
      </c>
      <c r="S37" s="874" t="e">
        <f>VLOOKUP(C37,'LƯƠNG KT'!$D$15:$P$94,17,0)</f>
        <v>#N/A</v>
      </c>
      <c r="T37" s="874" t="e">
        <f>VLOOKUP(C37,'LƯƠNG KT'!$D$15:$P$94,18,0)</f>
        <v>#N/A</v>
      </c>
      <c r="U37" s="874" t="e">
        <f>VLOOKUP(C37,'LƯƠNG KT'!$D$15:$P$94,18,0)</f>
        <v>#N/A</v>
      </c>
      <c r="V37" s="874" t="e">
        <f>VLOOKUP(C37,'LƯƠNG KT'!$D$15:$P$94,19,0)</f>
        <v>#N/A</v>
      </c>
      <c r="W37" s="874" t="e">
        <f>VLOOKUP(C37,'LƯƠNG KT'!$D$15:$P$94,20,0)</f>
        <v>#N/A</v>
      </c>
      <c r="X37" s="874" t="e">
        <f>VLOOKUP(C37,'LƯƠNG KT'!$D$15:$P$94,21,0)</f>
        <v>#N/A</v>
      </c>
      <c r="Y37" s="874" t="e">
        <f>VLOOKUP(C37,'LƯƠNG KT'!$D$15:$P$94,23,0)</f>
        <v>#N/A</v>
      </c>
      <c r="Z37" s="874" t="e">
        <f>VLOOKUP(C37,'LƯƠNG KT'!$D$15:$P$94,24,0)</f>
        <v>#N/A</v>
      </c>
      <c r="AA37" s="874">
        <v>20</v>
      </c>
      <c r="AB37" s="874"/>
      <c r="AC37" s="889" t="e">
        <f t="shared" si="5"/>
        <v>#N/A</v>
      </c>
      <c r="AD37" s="889" t="e">
        <f t="shared" si="2"/>
        <v>#N/A</v>
      </c>
      <c r="AE37" s="889" t="e">
        <f t="shared" si="3"/>
        <v>#N/A</v>
      </c>
      <c r="AF37" s="915"/>
      <c r="AG37" s="891"/>
      <c r="AH37" s="540" t="s">
        <v>2751</v>
      </c>
      <c r="AI37" s="637"/>
    </row>
    <row r="38" spans="1:35" s="540" customFormat="1" ht="20.25" customHeight="1">
      <c r="A38" s="868">
        <v>25</v>
      </c>
      <c r="B38" s="1644" t="str">
        <f>VLOOKUP(C38,'DS CN MOI UP'!$B$10:$C$389,2,0)</f>
        <v>02554</v>
      </c>
      <c r="C38" s="875" t="s">
        <v>148</v>
      </c>
      <c r="D38" s="875" t="s">
        <v>15</v>
      </c>
      <c r="E38" s="872"/>
      <c r="F38" s="873">
        <f>+VLOOKUP(C38,THCKT!$C$13:$AE$460,17,0)</f>
        <v>24</v>
      </c>
      <c r="G38" s="874">
        <f t="shared" si="0"/>
        <v>600000</v>
      </c>
      <c r="H38" s="874"/>
      <c r="I38" s="874"/>
      <c r="J38" s="874"/>
      <c r="K38" s="874" t="e">
        <f>VLOOKUP(C38,THCKT!$C$13:$AL$460,21,0)</f>
        <v>#N/A</v>
      </c>
      <c r="L38" s="883">
        <f>VLOOKUP(C38,THCKT!$C$13:$AL$460,22,0)</f>
        <v>0</v>
      </c>
      <c r="M38" s="883">
        <f>VLOOKUP(C38,THCKT!$C$13:$AL$460,23,0)</f>
        <v>0</v>
      </c>
      <c r="N38" s="883" t="e">
        <f t="shared" si="1"/>
        <v>#N/A</v>
      </c>
      <c r="O38" s="883" t="e">
        <f t="shared" si="1"/>
        <v>#N/A</v>
      </c>
      <c r="P38" s="884" t="e">
        <f>VLOOKUP(C38,THCKT!$C$13:$AL$460,36,0)</f>
        <v>#N/A</v>
      </c>
      <c r="Q38" s="887" t="e">
        <f t="shared" si="4"/>
        <v>#N/A</v>
      </c>
      <c r="R38" s="874" t="e">
        <f>VLOOKUP(C38,'LƯƠNG KT'!$D$15:$P$94,16,0)</f>
        <v>#N/A</v>
      </c>
      <c r="S38" s="874" t="e">
        <f>VLOOKUP(C38,'LƯƠNG KT'!$D$15:$P$94,17,0)</f>
        <v>#N/A</v>
      </c>
      <c r="T38" s="874" t="e">
        <f>VLOOKUP(C38,'LƯƠNG KT'!$D$15:$P$94,18,0)</f>
        <v>#N/A</v>
      </c>
      <c r="U38" s="874" t="e">
        <f>VLOOKUP(C38,'LƯƠNG KT'!$D$15:$P$94,18,0)</f>
        <v>#N/A</v>
      </c>
      <c r="V38" s="874" t="e">
        <f>VLOOKUP(C38,'LƯƠNG KT'!$D$15:$P$94,19,0)</f>
        <v>#N/A</v>
      </c>
      <c r="W38" s="874" t="e">
        <f>VLOOKUP(C38,'LƯƠNG KT'!$D$15:$P$94,20,0)</f>
        <v>#N/A</v>
      </c>
      <c r="X38" s="874" t="e">
        <f>VLOOKUP(C38,'LƯƠNG KT'!$D$15:$P$94,21,0)</f>
        <v>#N/A</v>
      </c>
      <c r="Y38" s="874" t="e">
        <f>VLOOKUP(C38,'LƯƠNG KT'!$D$15:$P$94,23,0)</f>
        <v>#N/A</v>
      </c>
      <c r="Z38" s="874" t="e">
        <f>VLOOKUP(C38,'LƯƠNG KT'!$D$15:$P$94,24,0)</f>
        <v>#N/A</v>
      </c>
      <c r="AA38" s="874">
        <v>20</v>
      </c>
      <c r="AB38" s="874"/>
      <c r="AC38" s="889" t="e">
        <f t="shared" si="5"/>
        <v>#N/A</v>
      </c>
      <c r="AD38" s="889" t="e">
        <f t="shared" si="2"/>
        <v>#N/A</v>
      </c>
      <c r="AE38" s="889" t="e">
        <f t="shared" si="3"/>
        <v>#N/A</v>
      </c>
      <c r="AF38" s="915"/>
      <c r="AG38" s="891"/>
      <c r="AH38" s="922" t="s">
        <v>2751</v>
      </c>
      <c r="AI38" s="637"/>
    </row>
    <row r="39" spans="1:35" s="540" customFormat="1" ht="20.25" customHeight="1">
      <c r="A39" s="868">
        <v>26</v>
      </c>
      <c r="B39" s="1644" t="str">
        <f>VLOOKUP(C39,'DS CN MOI UP'!$B$10:$C$389,2,0)</f>
        <v>02534</v>
      </c>
      <c r="C39" s="875" t="s">
        <v>149</v>
      </c>
      <c r="D39" s="875" t="s">
        <v>15</v>
      </c>
      <c r="E39" s="872"/>
      <c r="F39" s="873">
        <f>+VLOOKUP(C39,THCKT!$C$13:$AE$460,17,0)</f>
        <v>24</v>
      </c>
      <c r="G39" s="874">
        <f t="shared" si="0"/>
        <v>600000</v>
      </c>
      <c r="H39" s="874"/>
      <c r="I39" s="874"/>
      <c r="J39" s="874"/>
      <c r="K39" s="874" t="e">
        <f>VLOOKUP(C39,THCKT!$C$13:$AL$460,21,0)</f>
        <v>#N/A</v>
      </c>
      <c r="L39" s="883">
        <f>VLOOKUP(C39,THCKT!$C$13:$AL$460,22,0)</f>
        <v>0</v>
      </c>
      <c r="M39" s="883">
        <f>VLOOKUP(C39,THCKT!$C$13:$AL$460,23,0)</f>
        <v>0</v>
      </c>
      <c r="N39" s="883" t="e">
        <f t="shared" si="1"/>
        <v>#N/A</v>
      </c>
      <c r="O39" s="883" t="e">
        <f t="shared" ref="O39:O48" si="6">Q39/((Q39/(N39*$F$9)*$F$8))</f>
        <v>#N/A</v>
      </c>
      <c r="P39" s="884" t="e">
        <f>VLOOKUP(C39,THCKT!$C$13:$AL$460,36,0)</f>
        <v>#N/A</v>
      </c>
      <c r="Q39" s="887" t="e">
        <f t="shared" si="4"/>
        <v>#N/A</v>
      </c>
      <c r="R39" s="874" t="e">
        <f>VLOOKUP(C39,'LƯƠNG KT'!$D$15:$P$94,16,0)</f>
        <v>#N/A</v>
      </c>
      <c r="S39" s="874" t="e">
        <f>VLOOKUP(C39,'LƯƠNG KT'!$D$15:$P$94,17,0)</f>
        <v>#N/A</v>
      </c>
      <c r="T39" s="874" t="e">
        <f>VLOOKUP(C39,'LƯƠNG KT'!$D$15:$P$94,18,0)</f>
        <v>#N/A</v>
      </c>
      <c r="U39" s="874" t="e">
        <f>VLOOKUP(C39,'LƯƠNG KT'!$D$15:$P$94,18,0)</f>
        <v>#N/A</v>
      </c>
      <c r="V39" s="874" t="e">
        <f>VLOOKUP(C39,'LƯƠNG KT'!$D$15:$P$94,19,0)</f>
        <v>#N/A</v>
      </c>
      <c r="W39" s="874" t="e">
        <f>VLOOKUP(C39,'LƯƠNG KT'!$D$15:$P$94,20,0)</f>
        <v>#N/A</v>
      </c>
      <c r="X39" s="874" t="e">
        <f>VLOOKUP(C39,'LƯƠNG KT'!$D$15:$P$94,21,0)</f>
        <v>#N/A</v>
      </c>
      <c r="Y39" s="874" t="e">
        <f>VLOOKUP(C39,'LƯƠNG KT'!$D$15:$P$94,23,0)</f>
        <v>#N/A</v>
      </c>
      <c r="Z39" s="874" t="e">
        <f>VLOOKUP(C39,'LƯƠNG KT'!$D$15:$P$94,24,0)</f>
        <v>#N/A</v>
      </c>
      <c r="AA39" s="874">
        <v>20</v>
      </c>
      <c r="AB39" s="874"/>
      <c r="AC39" s="889" t="e">
        <f t="shared" si="5"/>
        <v>#N/A</v>
      </c>
      <c r="AD39" s="889" t="e">
        <f t="shared" si="2"/>
        <v>#N/A</v>
      </c>
      <c r="AE39" s="889" t="e">
        <f t="shared" si="3"/>
        <v>#N/A</v>
      </c>
      <c r="AF39" s="915"/>
      <c r="AG39" s="891"/>
      <c r="AH39" s="540" t="s">
        <v>2751</v>
      </c>
      <c r="AI39" s="637"/>
    </row>
    <row r="40" spans="1:35" s="540" customFormat="1" ht="20.25" customHeight="1">
      <c r="A40" s="868">
        <v>27</v>
      </c>
      <c r="B40" s="1644" t="str">
        <f>VLOOKUP(C40,'DS CN MOI UP'!$B$10:$C$389,2,0)</f>
        <v>02538</v>
      </c>
      <c r="C40" s="875" t="s">
        <v>150</v>
      </c>
      <c r="D40" s="875" t="s">
        <v>15</v>
      </c>
      <c r="E40" s="872"/>
      <c r="F40" s="873">
        <f>+VLOOKUP(C40,THCKT!$C$13:$AE$460,17,0)</f>
        <v>24</v>
      </c>
      <c r="G40" s="874">
        <f t="shared" si="0"/>
        <v>600000</v>
      </c>
      <c r="H40" s="874"/>
      <c r="I40" s="874"/>
      <c r="J40" s="874"/>
      <c r="K40" s="874" t="e">
        <f>VLOOKUP(C40,THCKT!$C$13:$AL$460,21,0)</f>
        <v>#N/A</v>
      </c>
      <c r="L40" s="883">
        <f>VLOOKUP(C40,THCKT!$C$13:$AL$460,22,0)</f>
        <v>0</v>
      </c>
      <c r="M40" s="883">
        <f>VLOOKUP(C40,THCKT!$C$13:$AL$460,23,0)</f>
        <v>0</v>
      </c>
      <c r="N40" s="883" t="e">
        <f t="shared" si="1"/>
        <v>#N/A</v>
      </c>
      <c r="O40" s="883" t="e">
        <f t="shared" si="6"/>
        <v>#N/A</v>
      </c>
      <c r="P40" s="884" t="e">
        <f>VLOOKUP(C40,THCKT!$C$13:$AL$460,36,0)</f>
        <v>#N/A</v>
      </c>
      <c r="Q40" s="887" t="e">
        <f t="shared" si="4"/>
        <v>#N/A</v>
      </c>
      <c r="R40" s="874" t="e">
        <f>VLOOKUP(C40,'LƯƠNG KT'!$D$15:$P$94,16,0)</f>
        <v>#N/A</v>
      </c>
      <c r="S40" s="874" t="e">
        <f>VLOOKUP(C40,'LƯƠNG KT'!$D$15:$P$94,17,0)</f>
        <v>#N/A</v>
      </c>
      <c r="T40" s="874" t="e">
        <f>VLOOKUP(C40,'LƯƠNG KT'!$D$15:$P$94,18,0)</f>
        <v>#N/A</v>
      </c>
      <c r="U40" s="874" t="e">
        <f>VLOOKUP(C40,'LƯƠNG KT'!$D$15:$P$94,18,0)</f>
        <v>#N/A</v>
      </c>
      <c r="V40" s="874" t="e">
        <f>VLOOKUP(C40,'LƯƠNG KT'!$D$15:$P$94,19,0)</f>
        <v>#N/A</v>
      </c>
      <c r="W40" s="874" t="e">
        <f>VLOOKUP(C40,'LƯƠNG KT'!$D$15:$P$94,20,0)</f>
        <v>#N/A</v>
      </c>
      <c r="X40" s="874" t="e">
        <f>VLOOKUP(C40,'LƯƠNG KT'!$D$15:$P$94,21,0)</f>
        <v>#N/A</v>
      </c>
      <c r="Y40" s="874" t="e">
        <f>VLOOKUP(C40,'LƯƠNG KT'!$D$15:$P$94,23,0)</f>
        <v>#N/A</v>
      </c>
      <c r="Z40" s="874" t="e">
        <f>VLOOKUP(C40,'LƯƠNG KT'!$D$15:$P$94,24,0)</f>
        <v>#N/A</v>
      </c>
      <c r="AA40" s="874">
        <v>20</v>
      </c>
      <c r="AB40" s="874"/>
      <c r="AC40" s="889" t="e">
        <f t="shared" si="5"/>
        <v>#N/A</v>
      </c>
      <c r="AD40" s="889" t="e">
        <f t="shared" si="2"/>
        <v>#N/A</v>
      </c>
      <c r="AE40" s="889" t="e">
        <f t="shared" si="3"/>
        <v>#N/A</v>
      </c>
      <c r="AF40" s="915"/>
      <c r="AG40" s="891"/>
      <c r="AH40" s="922" t="s">
        <v>2751</v>
      </c>
      <c r="AI40" s="637"/>
    </row>
    <row r="41" spans="1:35" s="540" customFormat="1" ht="20.25" customHeight="1">
      <c r="A41" s="868">
        <v>28</v>
      </c>
      <c r="B41" s="1644" t="str">
        <f>VLOOKUP(C41,'DS CN MOI UP'!$B$10:$C$389,2,0)</f>
        <v>03362</v>
      </c>
      <c r="C41" s="875" t="s">
        <v>151</v>
      </c>
      <c r="D41" s="875" t="s">
        <v>15</v>
      </c>
      <c r="E41" s="872"/>
      <c r="F41" s="873">
        <f>+VLOOKUP(C41,THCKT!$C$13:$AE$460,17,0)</f>
        <v>24</v>
      </c>
      <c r="G41" s="874">
        <f t="shared" si="0"/>
        <v>600000</v>
      </c>
      <c r="H41" s="874"/>
      <c r="I41" s="874"/>
      <c r="J41" s="874"/>
      <c r="K41" s="874" t="e">
        <f>VLOOKUP(C41,THCKT!$C$13:$AL$460,21,0)</f>
        <v>#N/A</v>
      </c>
      <c r="L41" s="883">
        <f>VLOOKUP(C41,THCKT!$C$13:$AL$460,22,0)</f>
        <v>0</v>
      </c>
      <c r="M41" s="883">
        <f>VLOOKUP(C41,THCKT!$C$13:$AL$460,23,0)</f>
        <v>0</v>
      </c>
      <c r="N41" s="883" t="e">
        <f t="shared" si="1"/>
        <v>#N/A</v>
      </c>
      <c r="O41" s="883" t="e">
        <f t="shared" si="6"/>
        <v>#N/A</v>
      </c>
      <c r="P41" s="884" t="e">
        <f>VLOOKUP(C41,THCKT!$C$13:$AL$460,36,0)</f>
        <v>#N/A</v>
      </c>
      <c r="Q41" s="887" t="e">
        <f t="shared" si="4"/>
        <v>#N/A</v>
      </c>
      <c r="R41" s="874" t="e">
        <f>VLOOKUP(C41,'LƯƠNG KT'!$D$15:$P$94,16,0)</f>
        <v>#N/A</v>
      </c>
      <c r="S41" s="874" t="e">
        <f>VLOOKUP(C41,'LƯƠNG KT'!$D$15:$P$94,17,0)</f>
        <v>#N/A</v>
      </c>
      <c r="T41" s="874" t="e">
        <f>VLOOKUP(C41,'LƯƠNG KT'!$D$15:$P$94,18,0)</f>
        <v>#N/A</v>
      </c>
      <c r="U41" s="874" t="e">
        <f>VLOOKUP(C41,'LƯƠNG KT'!$D$15:$P$94,18,0)</f>
        <v>#N/A</v>
      </c>
      <c r="V41" s="874" t="e">
        <f>VLOOKUP(C41,'LƯƠNG KT'!$D$15:$P$94,19,0)</f>
        <v>#N/A</v>
      </c>
      <c r="W41" s="874" t="e">
        <f>VLOOKUP(C41,'LƯƠNG KT'!$D$15:$P$94,20,0)</f>
        <v>#N/A</v>
      </c>
      <c r="X41" s="874" t="e">
        <f>VLOOKUP(C41,'LƯƠNG KT'!$D$15:$P$94,21,0)</f>
        <v>#N/A</v>
      </c>
      <c r="Y41" s="874" t="e">
        <f>VLOOKUP(C41,'LƯƠNG KT'!$D$15:$P$94,23,0)</f>
        <v>#N/A</v>
      </c>
      <c r="Z41" s="874" t="e">
        <f>VLOOKUP(C41,'LƯƠNG KT'!$D$15:$P$94,24,0)</f>
        <v>#N/A</v>
      </c>
      <c r="AA41" s="874">
        <v>20</v>
      </c>
      <c r="AB41" s="874"/>
      <c r="AC41" s="889" t="e">
        <f t="shared" si="5"/>
        <v>#N/A</v>
      </c>
      <c r="AD41" s="889" t="e">
        <f t="shared" si="2"/>
        <v>#N/A</v>
      </c>
      <c r="AE41" s="889" t="e">
        <f t="shared" si="3"/>
        <v>#N/A</v>
      </c>
      <c r="AF41" s="915"/>
      <c r="AG41" s="891"/>
      <c r="AH41" s="540" t="s">
        <v>2751</v>
      </c>
      <c r="AI41" s="637"/>
    </row>
    <row r="42" spans="1:35" s="540" customFormat="1" ht="20.25" customHeight="1">
      <c r="A42" s="868">
        <v>29</v>
      </c>
      <c r="B42" s="1644" t="str">
        <f>VLOOKUP(C42,'DS CN MOI UP'!$B$10:$C$389,2,0)</f>
        <v>02530</v>
      </c>
      <c r="C42" s="875" t="s">
        <v>152</v>
      </c>
      <c r="D42" s="875" t="s">
        <v>15</v>
      </c>
      <c r="E42" s="872"/>
      <c r="F42" s="873">
        <f>+VLOOKUP(C42,THCKT!$C$13:$AE$460,17,0)</f>
        <v>24</v>
      </c>
      <c r="G42" s="874">
        <f t="shared" si="0"/>
        <v>600000</v>
      </c>
      <c r="H42" s="874"/>
      <c r="I42" s="874"/>
      <c r="J42" s="874"/>
      <c r="K42" s="874" t="e">
        <f>VLOOKUP(C42,THCKT!$C$13:$AL$460,21,0)</f>
        <v>#N/A</v>
      </c>
      <c r="L42" s="883">
        <f>VLOOKUP(C42,THCKT!$C$13:$AL$460,22,0)</f>
        <v>0</v>
      </c>
      <c r="M42" s="883">
        <f>VLOOKUP(C42,THCKT!$C$13:$AL$460,23,0)</f>
        <v>0</v>
      </c>
      <c r="N42" s="883" t="e">
        <f t="shared" si="1"/>
        <v>#N/A</v>
      </c>
      <c r="O42" s="883" t="e">
        <f t="shared" si="6"/>
        <v>#N/A</v>
      </c>
      <c r="P42" s="884" t="e">
        <f>VLOOKUP(C42,THCKT!$C$13:$AL$460,36,0)</f>
        <v>#N/A</v>
      </c>
      <c r="Q42" s="887" t="e">
        <f t="shared" si="4"/>
        <v>#N/A</v>
      </c>
      <c r="R42" s="874" t="e">
        <f>VLOOKUP(C42,'LƯƠNG KT'!$D$15:$P$94,16,0)</f>
        <v>#N/A</v>
      </c>
      <c r="S42" s="874" t="e">
        <f>VLOOKUP(C42,'LƯƠNG KT'!$D$15:$P$94,17,0)</f>
        <v>#N/A</v>
      </c>
      <c r="T42" s="874" t="e">
        <f>VLOOKUP(C42,'LƯƠNG KT'!$D$15:$P$94,18,0)</f>
        <v>#N/A</v>
      </c>
      <c r="U42" s="874" t="e">
        <f>VLOOKUP(C42,'LƯƠNG KT'!$D$15:$P$94,18,0)</f>
        <v>#N/A</v>
      </c>
      <c r="V42" s="874" t="e">
        <f>VLOOKUP(C42,'LƯƠNG KT'!$D$15:$P$94,19,0)</f>
        <v>#N/A</v>
      </c>
      <c r="W42" s="874" t="e">
        <f>VLOOKUP(C42,'LƯƠNG KT'!$D$15:$P$94,20,0)</f>
        <v>#N/A</v>
      </c>
      <c r="X42" s="874" t="e">
        <f>VLOOKUP(C42,'LƯƠNG KT'!$D$15:$P$94,21,0)</f>
        <v>#N/A</v>
      </c>
      <c r="Y42" s="874" t="e">
        <f>VLOOKUP(C42,'LƯƠNG KT'!$D$15:$P$94,23,0)</f>
        <v>#N/A</v>
      </c>
      <c r="Z42" s="874" t="e">
        <f>VLOOKUP(C42,'LƯƠNG KT'!$D$15:$P$94,24,0)</f>
        <v>#N/A</v>
      </c>
      <c r="AA42" s="874">
        <v>20</v>
      </c>
      <c r="AB42" s="874"/>
      <c r="AC42" s="889" t="e">
        <f t="shared" si="5"/>
        <v>#N/A</v>
      </c>
      <c r="AD42" s="889" t="e">
        <f t="shared" si="2"/>
        <v>#N/A</v>
      </c>
      <c r="AE42" s="889" t="e">
        <f t="shared" si="3"/>
        <v>#N/A</v>
      </c>
      <c r="AF42" s="915"/>
      <c r="AG42" s="891"/>
      <c r="AH42" s="922" t="s">
        <v>2751</v>
      </c>
      <c r="AI42" s="637"/>
    </row>
    <row r="43" spans="1:35" s="540" customFormat="1" ht="20.25" customHeight="1">
      <c r="A43" s="868">
        <v>30</v>
      </c>
      <c r="B43" s="1644" t="str">
        <f>VLOOKUP(C43,'DS CN MOI UP'!$B$10:$C$389,2,0)</f>
        <v>03363</v>
      </c>
      <c r="C43" s="875" t="s">
        <v>153</v>
      </c>
      <c r="D43" s="875" t="s">
        <v>15</v>
      </c>
      <c r="E43" s="872"/>
      <c r="F43" s="873">
        <f>+VLOOKUP(C43,THCKT!$C$13:$AE$460,17,0)</f>
        <v>24</v>
      </c>
      <c r="G43" s="874">
        <f t="shared" si="0"/>
        <v>600000</v>
      </c>
      <c r="H43" s="874"/>
      <c r="I43" s="874"/>
      <c r="J43" s="874"/>
      <c r="K43" s="874" t="e">
        <f>VLOOKUP(C43,THCKT!$C$13:$AL$460,21,0)</f>
        <v>#N/A</v>
      </c>
      <c r="L43" s="883">
        <f>VLOOKUP(C43,THCKT!$C$13:$AL$460,22,0)</f>
        <v>0</v>
      </c>
      <c r="M43" s="883">
        <f>VLOOKUP(C43,THCKT!$C$13:$AL$460,23,0)</f>
        <v>0</v>
      </c>
      <c r="N43" s="883" t="e">
        <f t="shared" si="1"/>
        <v>#N/A</v>
      </c>
      <c r="O43" s="883" t="e">
        <f t="shared" si="6"/>
        <v>#N/A</v>
      </c>
      <c r="P43" s="884" t="e">
        <f>VLOOKUP(C43,THCKT!$C$13:$AL$460,36,0)</f>
        <v>#N/A</v>
      </c>
      <c r="Q43" s="887" t="e">
        <f t="shared" si="4"/>
        <v>#N/A</v>
      </c>
      <c r="R43" s="874" t="e">
        <f>VLOOKUP(C43,'LƯƠNG KT'!$D$15:$P$94,16,0)</f>
        <v>#N/A</v>
      </c>
      <c r="S43" s="874" t="e">
        <f>VLOOKUP(C43,'LƯƠNG KT'!$D$15:$P$94,17,0)</f>
        <v>#N/A</v>
      </c>
      <c r="T43" s="874" t="e">
        <f>VLOOKUP(C43,'LƯƠNG KT'!$D$15:$P$94,18,0)</f>
        <v>#N/A</v>
      </c>
      <c r="U43" s="874" t="e">
        <f>VLOOKUP(C43,'LƯƠNG KT'!$D$15:$P$94,18,0)</f>
        <v>#N/A</v>
      </c>
      <c r="V43" s="874" t="e">
        <f>VLOOKUP(C43,'LƯƠNG KT'!$D$15:$P$94,19,0)</f>
        <v>#N/A</v>
      </c>
      <c r="W43" s="874" t="e">
        <f>VLOOKUP(C43,'LƯƠNG KT'!$D$15:$P$94,20,0)</f>
        <v>#N/A</v>
      </c>
      <c r="X43" s="874" t="e">
        <f>VLOOKUP(C43,'LƯƠNG KT'!$D$15:$P$94,21,0)</f>
        <v>#N/A</v>
      </c>
      <c r="Y43" s="874" t="e">
        <f>VLOOKUP(C43,'LƯƠNG KT'!$D$15:$P$94,23,0)</f>
        <v>#N/A</v>
      </c>
      <c r="Z43" s="874" t="e">
        <f>VLOOKUP(C43,'LƯƠNG KT'!$D$15:$P$94,24,0)</f>
        <v>#N/A</v>
      </c>
      <c r="AA43" s="874">
        <v>20</v>
      </c>
      <c r="AB43" s="874"/>
      <c r="AC43" s="889" t="e">
        <f t="shared" si="5"/>
        <v>#N/A</v>
      </c>
      <c r="AD43" s="889" t="e">
        <f t="shared" si="2"/>
        <v>#N/A</v>
      </c>
      <c r="AE43" s="889" t="e">
        <f t="shared" si="3"/>
        <v>#N/A</v>
      </c>
      <c r="AF43" s="915"/>
      <c r="AG43" s="891"/>
      <c r="AH43" s="540" t="s">
        <v>2751</v>
      </c>
      <c r="AI43" s="637"/>
    </row>
    <row r="44" spans="1:35" s="540" customFormat="1" ht="20.25" customHeight="1">
      <c r="A44" s="868">
        <v>31</v>
      </c>
      <c r="B44" s="1644" t="str">
        <f>VLOOKUP(C44,'DS CN MOI UP'!$B$10:$C$389,2,0)</f>
        <v>03364</v>
      </c>
      <c r="C44" s="875" t="s">
        <v>154</v>
      </c>
      <c r="D44" s="875" t="s">
        <v>15</v>
      </c>
      <c r="E44" s="872"/>
      <c r="F44" s="873">
        <f>+VLOOKUP(C44,THCKT!$C$13:$AE$460,17,0)</f>
        <v>24</v>
      </c>
      <c r="G44" s="874">
        <f t="shared" si="0"/>
        <v>600000</v>
      </c>
      <c r="H44" s="874"/>
      <c r="I44" s="874"/>
      <c r="J44" s="874"/>
      <c r="K44" s="874" t="e">
        <f>VLOOKUP(C44,THCKT!$C$13:$AL$460,21,0)</f>
        <v>#N/A</v>
      </c>
      <c r="L44" s="883">
        <f>VLOOKUP(C44,THCKT!$C$13:$AL$460,22,0)</f>
        <v>0</v>
      </c>
      <c r="M44" s="883">
        <f>VLOOKUP(C44,THCKT!$C$13:$AL$460,23,0)</f>
        <v>0</v>
      </c>
      <c r="N44" s="883" t="e">
        <f t="shared" si="1"/>
        <v>#N/A</v>
      </c>
      <c r="O44" s="883" t="e">
        <f t="shared" si="6"/>
        <v>#N/A</v>
      </c>
      <c r="P44" s="884" t="e">
        <f>VLOOKUP(C44,THCKT!$C$13:$AL$460,36,0)</f>
        <v>#N/A</v>
      </c>
      <c r="Q44" s="887" t="e">
        <f t="shared" si="4"/>
        <v>#N/A</v>
      </c>
      <c r="R44" s="874" t="e">
        <f>VLOOKUP(C44,'LƯƠNG KT'!$D$15:$P$94,16,0)</f>
        <v>#N/A</v>
      </c>
      <c r="S44" s="874" t="e">
        <f>VLOOKUP(C44,'LƯƠNG KT'!$D$15:$P$94,17,0)</f>
        <v>#N/A</v>
      </c>
      <c r="T44" s="874" t="e">
        <f>VLOOKUP(C44,'LƯƠNG KT'!$D$15:$P$94,18,0)</f>
        <v>#N/A</v>
      </c>
      <c r="U44" s="874" t="e">
        <f>VLOOKUP(C44,'LƯƠNG KT'!$D$15:$P$94,18,0)</f>
        <v>#N/A</v>
      </c>
      <c r="V44" s="874" t="e">
        <f>VLOOKUP(C44,'LƯƠNG KT'!$D$15:$P$94,19,0)</f>
        <v>#N/A</v>
      </c>
      <c r="W44" s="874" t="e">
        <f>VLOOKUP(C44,'LƯƠNG KT'!$D$15:$P$94,20,0)</f>
        <v>#N/A</v>
      </c>
      <c r="X44" s="874" t="e">
        <f>VLOOKUP(C44,'LƯƠNG KT'!$D$15:$P$94,21,0)</f>
        <v>#N/A</v>
      </c>
      <c r="Y44" s="874" t="e">
        <f>VLOOKUP(C44,'LƯƠNG KT'!$D$15:$P$94,23,0)</f>
        <v>#N/A</v>
      </c>
      <c r="Z44" s="874" t="e">
        <f>VLOOKUP(C44,'LƯƠNG KT'!$D$15:$P$94,24,0)</f>
        <v>#N/A</v>
      </c>
      <c r="AA44" s="874">
        <v>20</v>
      </c>
      <c r="AB44" s="874"/>
      <c r="AC44" s="889" t="e">
        <f t="shared" si="5"/>
        <v>#N/A</v>
      </c>
      <c r="AD44" s="889" t="e">
        <f t="shared" si="2"/>
        <v>#N/A</v>
      </c>
      <c r="AE44" s="889" t="e">
        <f t="shared" si="3"/>
        <v>#N/A</v>
      </c>
      <c r="AF44" s="915"/>
      <c r="AG44" s="891"/>
      <c r="AH44" s="922" t="s">
        <v>2751</v>
      </c>
      <c r="AI44" s="637"/>
    </row>
    <row r="45" spans="1:35" s="540" customFormat="1" ht="20.25" customHeight="1">
      <c r="A45" s="868">
        <v>32</v>
      </c>
      <c r="B45" s="1644" t="str">
        <f>VLOOKUP(C45,'DS CN MOI UP'!$B$10:$C$389,2,0)</f>
        <v>02536</v>
      </c>
      <c r="C45" s="875" t="s">
        <v>155</v>
      </c>
      <c r="D45" s="875" t="s">
        <v>15</v>
      </c>
      <c r="E45" s="872"/>
      <c r="F45" s="873">
        <f>+VLOOKUP(C45,THCKT!$C$13:$AE$460,17,0)</f>
        <v>24</v>
      </c>
      <c r="G45" s="874">
        <f t="shared" si="0"/>
        <v>600000</v>
      </c>
      <c r="H45" s="874"/>
      <c r="I45" s="874"/>
      <c r="J45" s="874"/>
      <c r="K45" s="874" t="e">
        <f>VLOOKUP(C45,THCKT!$C$13:$AL$460,21,0)</f>
        <v>#N/A</v>
      </c>
      <c r="L45" s="883">
        <f>VLOOKUP(C45,THCKT!$C$13:$AL$460,22,0)</f>
        <v>0</v>
      </c>
      <c r="M45" s="883">
        <f>VLOOKUP(C45,THCKT!$C$13:$AL$460,23,0)</f>
        <v>0</v>
      </c>
      <c r="N45" s="883" t="e">
        <f t="shared" si="1"/>
        <v>#N/A</v>
      </c>
      <c r="O45" s="883" t="e">
        <f t="shared" si="6"/>
        <v>#N/A</v>
      </c>
      <c r="P45" s="884" t="e">
        <f>VLOOKUP(C45,THCKT!$C$13:$AL$460,36,0)</f>
        <v>#N/A</v>
      </c>
      <c r="Q45" s="887" t="e">
        <f t="shared" si="4"/>
        <v>#N/A</v>
      </c>
      <c r="R45" s="874" t="e">
        <f>VLOOKUP(C45,'LƯƠNG KT'!$D$15:$P$94,16,0)</f>
        <v>#N/A</v>
      </c>
      <c r="S45" s="874" t="e">
        <f>VLOOKUP(C45,'LƯƠNG KT'!$D$15:$P$94,17,0)</f>
        <v>#N/A</v>
      </c>
      <c r="T45" s="874" t="e">
        <f>VLOOKUP(C45,'LƯƠNG KT'!$D$15:$P$94,18,0)</f>
        <v>#N/A</v>
      </c>
      <c r="U45" s="874" t="e">
        <f>VLOOKUP(C45,'LƯƠNG KT'!$D$15:$P$94,18,0)</f>
        <v>#N/A</v>
      </c>
      <c r="V45" s="874" t="e">
        <f>VLOOKUP(C45,'LƯƠNG KT'!$D$15:$P$94,19,0)</f>
        <v>#N/A</v>
      </c>
      <c r="W45" s="874" t="e">
        <f>VLOOKUP(C45,'LƯƠNG KT'!$D$15:$P$94,20,0)</f>
        <v>#N/A</v>
      </c>
      <c r="X45" s="874" t="e">
        <f>VLOOKUP(C45,'LƯƠNG KT'!$D$15:$P$94,21,0)</f>
        <v>#N/A</v>
      </c>
      <c r="Y45" s="874" t="e">
        <f>VLOOKUP(C45,'LƯƠNG KT'!$D$15:$P$94,23,0)</f>
        <v>#N/A</v>
      </c>
      <c r="Z45" s="874" t="e">
        <f>VLOOKUP(C45,'LƯƠNG KT'!$D$15:$P$94,24,0)</f>
        <v>#N/A</v>
      </c>
      <c r="AA45" s="874">
        <v>20</v>
      </c>
      <c r="AB45" s="874"/>
      <c r="AC45" s="889" t="e">
        <f t="shared" si="5"/>
        <v>#N/A</v>
      </c>
      <c r="AD45" s="889" t="e">
        <f t="shared" si="2"/>
        <v>#N/A</v>
      </c>
      <c r="AE45" s="889" t="e">
        <f t="shared" si="3"/>
        <v>#N/A</v>
      </c>
      <c r="AF45" s="915"/>
      <c r="AG45" s="891"/>
      <c r="AH45" s="540" t="s">
        <v>2751</v>
      </c>
      <c r="AI45" s="637"/>
    </row>
    <row r="46" spans="1:35" s="540" customFormat="1" ht="20.25" customHeight="1">
      <c r="A46" s="868">
        <v>33</v>
      </c>
      <c r="B46" s="1644" t="str">
        <f>VLOOKUP(C46,'DS CN MOI UP'!$B$10:$C$389,2,0)</f>
        <v>02527</v>
      </c>
      <c r="C46" s="875" t="s">
        <v>156</v>
      </c>
      <c r="D46" s="875" t="s">
        <v>15</v>
      </c>
      <c r="E46" s="872"/>
      <c r="F46" s="873">
        <f>+VLOOKUP(C46,THCKT!$C$13:$AE$460,17,0)</f>
        <v>24</v>
      </c>
      <c r="G46" s="874">
        <f t="shared" si="0"/>
        <v>600000</v>
      </c>
      <c r="H46" s="874"/>
      <c r="I46" s="874"/>
      <c r="J46" s="874"/>
      <c r="K46" s="874" t="e">
        <f>VLOOKUP(C46,THCKT!$C$13:$AL$460,21,0)</f>
        <v>#N/A</v>
      </c>
      <c r="L46" s="883">
        <f>VLOOKUP(C46,THCKT!$C$13:$AL$460,22,0)</f>
        <v>0</v>
      </c>
      <c r="M46" s="883">
        <f>VLOOKUP(C46,THCKT!$C$13:$AL$460,23,0)</f>
        <v>0</v>
      </c>
      <c r="N46" s="883" t="e">
        <f t="shared" ref="N46:O77" si="7">$AI$8/$AI$7*K46+L46*$AI$9+M46*$AI$10</f>
        <v>#N/A</v>
      </c>
      <c r="O46" s="883" t="e">
        <f t="shared" si="6"/>
        <v>#N/A</v>
      </c>
      <c r="P46" s="884" t="e">
        <f>VLOOKUP(C46,THCKT!$C$13:$AL$460,36,0)</f>
        <v>#N/A</v>
      </c>
      <c r="Q46" s="887" t="e">
        <f t="shared" si="4"/>
        <v>#N/A</v>
      </c>
      <c r="R46" s="874" t="e">
        <f>VLOOKUP(C46,'LƯƠNG KT'!$D$15:$P$94,16,0)</f>
        <v>#N/A</v>
      </c>
      <c r="S46" s="874" t="e">
        <f>VLOOKUP(C46,'LƯƠNG KT'!$D$15:$P$94,17,0)</f>
        <v>#N/A</v>
      </c>
      <c r="T46" s="874" t="e">
        <f>VLOOKUP(C46,'LƯƠNG KT'!$D$15:$P$94,18,0)</f>
        <v>#N/A</v>
      </c>
      <c r="U46" s="874" t="e">
        <f>VLOOKUP(C46,'LƯƠNG KT'!$D$15:$P$94,18,0)</f>
        <v>#N/A</v>
      </c>
      <c r="V46" s="874" t="e">
        <f>VLOOKUP(C46,'LƯƠNG KT'!$D$15:$P$94,19,0)</f>
        <v>#N/A</v>
      </c>
      <c r="W46" s="874" t="e">
        <f>VLOOKUP(C46,'LƯƠNG KT'!$D$15:$P$94,20,0)</f>
        <v>#N/A</v>
      </c>
      <c r="X46" s="874" t="e">
        <f>VLOOKUP(C46,'LƯƠNG KT'!$D$15:$P$94,21,0)</f>
        <v>#N/A</v>
      </c>
      <c r="Y46" s="874" t="e">
        <f>VLOOKUP(C46,'LƯƠNG KT'!$D$15:$P$94,23,0)</f>
        <v>#N/A</v>
      </c>
      <c r="Z46" s="874" t="e">
        <f>VLOOKUP(C46,'LƯƠNG KT'!$D$15:$P$94,24,0)</f>
        <v>#N/A</v>
      </c>
      <c r="AA46" s="874">
        <v>20</v>
      </c>
      <c r="AB46" s="874"/>
      <c r="AC46" s="889" t="e">
        <f t="shared" si="5"/>
        <v>#N/A</v>
      </c>
      <c r="AD46" s="889" t="e">
        <f t="shared" ref="AD46:AD77" si="8">+AC46+Q46+G46</f>
        <v>#N/A</v>
      </c>
      <c r="AE46" s="889" t="e">
        <f t="shared" si="3"/>
        <v>#N/A</v>
      </c>
      <c r="AF46" s="915"/>
      <c r="AG46" s="891"/>
      <c r="AH46" s="922" t="s">
        <v>2751</v>
      </c>
      <c r="AI46" s="637"/>
    </row>
    <row r="47" spans="1:35" s="540" customFormat="1" ht="20.25" customHeight="1">
      <c r="A47" s="868">
        <v>34</v>
      </c>
      <c r="B47" s="1644" t="str">
        <f>VLOOKUP(C47,'DS CN MOI UP'!$B$10:$C$389,2,0)</f>
        <v>03366</v>
      </c>
      <c r="C47" s="875" t="s">
        <v>157</v>
      </c>
      <c r="D47" s="875" t="s">
        <v>15</v>
      </c>
      <c r="E47" s="872"/>
      <c r="F47" s="873">
        <f>+VLOOKUP(C47,THCKT!$C$13:$AE$460,17,0)</f>
        <v>24</v>
      </c>
      <c r="G47" s="874">
        <f t="shared" si="0"/>
        <v>600000</v>
      </c>
      <c r="H47" s="874"/>
      <c r="I47" s="874"/>
      <c r="J47" s="874"/>
      <c r="K47" s="874" t="e">
        <f>VLOOKUP(C47,THCKT!$C$13:$AL$460,21,0)</f>
        <v>#N/A</v>
      </c>
      <c r="L47" s="883">
        <f>VLOOKUP(C47,THCKT!$C$13:$AL$460,22,0)</f>
        <v>0</v>
      </c>
      <c r="M47" s="883">
        <f>VLOOKUP(C47,THCKT!$C$13:$AL$460,23,0)</f>
        <v>0</v>
      </c>
      <c r="N47" s="883" t="e">
        <f t="shared" si="7"/>
        <v>#N/A</v>
      </c>
      <c r="O47" s="883" t="e">
        <f t="shared" si="6"/>
        <v>#N/A</v>
      </c>
      <c r="P47" s="884" t="e">
        <f>VLOOKUP(C47,THCKT!$C$13:$AL$460,36,0)</f>
        <v>#N/A</v>
      </c>
      <c r="Q47" s="887" t="e">
        <f t="shared" si="4"/>
        <v>#N/A</v>
      </c>
      <c r="R47" s="874" t="e">
        <f>VLOOKUP(C47,'LƯƠNG KT'!$D$15:$P$94,16,0)</f>
        <v>#N/A</v>
      </c>
      <c r="S47" s="874" t="e">
        <f>VLOOKUP(C47,'LƯƠNG KT'!$D$15:$P$94,17,0)</f>
        <v>#N/A</v>
      </c>
      <c r="T47" s="874" t="e">
        <f>VLOOKUP(C47,'LƯƠNG KT'!$D$15:$P$94,18,0)</f>
        <v>#N/A</v>
      </c>
      <c r="U47" s="874" t="e">
        <f>VLOOKUP(C47,'LƯƠNG KT'!$D$15:$P$94,18,0)</f>
        <v>#N/A</v>
      </c>
      <c r="V47" s="874" t="e">
        <f>VLOOKUP(C47,'LƯƠNG KT'!$D$15:$P$94,19,0)</f>
        <v>#N/A</v>
      </c>
      <c r="W47" s="874" t="e">
        <f>VLOOKUP(C47,'LƯƠNG KT'!$D$15:$P$94,20,0)</f>
        <v>#N/A</v>
      </c>
      <c r="X47" s="874" t="e">
        <f>VLOOKUP(C47,'LƯƠNG KT'!$D$15:$P$94,21,0)</f>
        <v>#N/A</v>
      </c>
      <c r="Y47" s="874" t="e">
        <f>VLOOKUP(C47,'LƯƠNG KT'!$D$15:$P$94,23,0)</f>
        <v>#N/A</v>
      </c>
      <c r="Z47" s="874" t="e">
        <f>VLOOKUP(C47,'LƯƠNG KT'!$D$15:$P$94,24,0)</f>
        <v>#N/A</v>
      </c>
      <c r="AA47" s="874">
        <v>20</v>
      </c>
      <c r="AB47" s="874"/>
      <c r="AC47" s="889" t="e">
        <f t="shared" si="5"/>
        <v>#N/A</v>
      </c>
      <c r="AD47" s="889" t="e">
        <f t="shared" si="8"/>
        <v>#N/A</v>
      </c>
      <c r="AE47" s="889" t="e">
        <f t="shared" si="3"/>
        <v>#N/A</v>
      </c>
      <c r="AF47" s="915"/>
      <c r="AG47" s="891"/>
      <c r="AH47" s="540" t="s">
        <v>2751</v>
      </c>
      <c r="AI47" s="637"/>
    </row>
    <row r="48" spans="1:35" s="540" customFormat="1" ht="20.25" customHeight="1">
      <c r="A48" s="868">
        <v>35</v>
      </c>
      <c r="B48" s="1644" t="str">
        <f>VLOOKUP(C48,'DS CN MOI UP'!$B$10:$C$389,2,0)</f>
        <v>02532</v>
      </c>
      <c r="C48" s="875" t="s">
        <v>158</v>
      </c>
      <c r="D48" s="875" t="s">
        <v>15</v>
      </c>
      <c r="E48" s="872"/>
      <c r="F48" s="873">
        <f>+VLOOKUP(C48,THCKT!$C$13:$AE$460,17,0)</f>
        <v>24</v>
      </c>
      <c r="G48" s="874">
        <f t="shared" si="0"/>
        <v>600000</v>
      </c>
      <c r="H48" s="874"/>
      <c r="I48" s="874"/>
      <c r="J48" s="874"/>
      <c r="K48" s="874" t="e">
        <f>VLOOKUP(C48,THCKT!$C$13:$AL$460,21,0)</f>
        <v>#N/A</v>
      </c>
      <c r="L48" s="883">
        <f>VLOOKUP(C48,THCKT!$C$13:$AL$460,22,0)</f>
        <v>0</v>
      </c>
      <c r="M48" s="883">
        <f>VLOOKUP(C48,THCKT!$C$13:$AL$460,23,0)</f>
        <v>0</v>
      </c>
      <c r="N48" s="883" t="e">
        <f t="shared" si="7"/>
        <v>#N/A</v>
      </c>
      <c r="O48" s="883" t="e">
        <f t="shared" si="6"/>
        <v>#N/A</v>
      </c>
      <c r="P48" s="884" t="e">
        <f>VLOOKUP(C48,THCKT!$C$13:$AL$460,36,0)</f>
        <v>#N/A</v>
      </c>
      <c r="Q48" s="887" t="e">
        <f t="shared" si="4"/>
        <v>#N/A</v>
      </c>
      <c r="R48" s="874" t="e">
        <f>VLOOKUP(C48,'LƯƠNG KT'!$D$15:$P$94,16,0)</f>
        <v>#N/A</v>
      </c>
      <c r="S48" s="874" t="e">
        <f>VLOOKUP(C48,'LƯƠNG KT'!$D$15:$P$94,17,0)</f>
        <v>#N/A</v>
      </c>
      <c r="T48" s="874" t="e">
        <f>VLOOKUP(C48,'LƯƠNG KT'!$D$15:$P$94,18,0)</f>
        <v>#N/A</v>
      </c>
      <c r="U48" s="874" t="e">
        <f>VLOOKUP(C48,'LƯƠNG KT'!$D$15:$P$94,18,0)</f>
        <v>#N/A</v>
      </c>
      <c r="V48" s="874" t="e">
        <f>VLOOKUP(C48,'LƯƠNG KT'!$D$15:$P$94,19,0)</f>
        <v>#N/A</v>
      </c>
      <c r="W48" s="874" t="e">
        <f>VLOOKUP(C48,'LƯƠNG KT'!$D$15:$P$94,20,0)</f>
        <v>#N/A</v>
      </c>
      <c r="X48" s="874" t="e">
        <f>VLOOKUP(C48,'LƯƠNG KT'!$D$15:$P$94,21,0)</f>
        <v>#N/A</v>
      </c>
      <c r="Y48" s="874" t="e">
        <f>VLOOKUP(C48,'LƯƠNG KT'!$D$15:$P$94,23,0)</f>
        <v>#N/A</v>
      </c>
      <c r="Z48" s="874" t="e">
        <f>VLOOKUP(C48,'LƯƠNG KT'!$D$15:$P$94,24,0)</f>
        <v>#N/A</v>
      </c>
      <c r="AA48" s="874">
        <v>20</v>
      </c>
      <c r="AB48" s="874"/>
      <c r="AC48" s="889" t="e">
        <f t="shared" si="5"/>
        <v>#N/A</v>
      </c>
      <c r="AD48" s="889" t="e">
        <f t="shared" si="8"/>
        <v>#N/A</v>
      </c>
      <c r="AE48" s="889" t="e">
        <f t="shared" si="3"/>
        <v>#N/A</v>
      </c>
      <c r="AF48" s="915"/>
      <c r="AG48" s="891"/>
      <c r="AH48" s="922" t="s">
        <v>2751</v>
      </c>
      <c r="AI48" s="637"/>
    </row>
    <row r="49" spans="1:35" s="540" customFormat="1" ht="20.25" customHeight="1">
      <c r="A49" s="868">
        <v>36</v>
      </c>
      <c r="B49" s="1644" t="str">
        <f>VLOOKUP(C49,'DS CN MOI UP'!$B$10:$C$389,2,0)</f>
        <v>02528</v>
      </c>
      <c r="C49" s="875" t="s">
        <v>159</v>
      </c>
      <c r="D49" s="875" t="s">
        <v>15</v>
      </c>
      <c r="E49" s="872"/>
      <c r="F49" s="873">
        <f>+VLOOKUP(C49,THCKT!$C$13:$AE$460,17,0)</f>
        <v>24</v>
      </c>
      <c r="G49" s="874">
        <f t="shared" si="0"/>
        <v>600000</v>
      </c>
      <c r="H49" s="874"/>
      <c r="I49" s="874"/>
      <c r="J49" s="874"/>
      <c r="K49" s="874" t="e">
        <f>VLOOKUP(C49,THCKT!$C$13:$AL$460,21,0)</f>
        <v>#N/A</v>
      </c>
      <c r="L49" s="883">
        <f>VLOOKUP(C49,THCKT!$C$13:$AL$460,22,0)</f>
        <v>0</v>
      </c>
      <c r="M49" s="883">
        <f>VLOOKUP(C49,THCKT!$C$13:$AL$460,23,0)</f>
        <v>0</v>
      </c>
      <c r="N49" s="883" t="e">
        <f t="shared" si="7"/>
        <v>#N/A</v>
      </c>
      <c r="O49" s="883" t="e">
        <f t="shared" si="7"/>
        <v>#N/A</v>
      </c>
      <c r="P49" s="884" t="e">
        <f>VLOOKUP(C49,THCKT!$C$13:$AL$460,36,0)</f>
        <v>#N/A</v>
      </c>
      <c r="Q49" s="887" t="e">
        <f t="shared" si="4"/>
        <v>#N/A</v>
      </c>
      <c r="R49" s="874" t="e">
        <f>VLOOKUP(C49,'LƯƠNG KT'!$D$15:$P$94,16,0)</f>
        <v>#N/A</v>
      </c>
      <c r="S49" s="874" t="e">
        <f>VLOOKUP(C49,'LƯƠNG KT'!$D$15:$P$94,17,0)</f>
        <v>#N/A</v>
      </c>
      <c r="T49" s="874" t="e">
        <f>VLOOKUP(C49,'LƯƠNG KT'!$D$15:$P$94,18,0)</f>
        <v>#N/A</v>
      </c>
      <c r="U49" s="874" t="e">
        <f>VLOOKUP(C49,'LƯƠNG KT'!$D$15:$P$94,18,0)</f>
        <v>#N/A</v>
      </c>
      <c r="V49" s="874" t="e">
        <f>VLOOKUP(C49,'LƯƠNG KT'!$D$15:$P$94,19,0)</f>
        <v>#N/A</v>
      </c>
      <c r="W49" s="874" t="e">
        <f>VLOOKUP(C49,'LƯƠNG KT'!$D$15:$P$94,20,0)</f>
        <v>#N/A</v>
      </c>
      <c r="X49" s="874" t="e">
        <f>VLOOKUP(C49,'LƯƠNG KT'!$D$15:$P$94,21,0)</f>
        <v>#N/A</v>
      </c>
      <c r="Y49" s="874" t="e">
        <f>VLOOKUP(C49,'LƯƠNG KT'!$D$15:$P$94,23,0)</f>
        <v>#N/A</v>
      </c>
      <c r="Z49" s="874" t="e">
        <f>VLOOKUP(C49,'LƯƠNG KT'!$D$15:$P$94,24,0)</f>
        <v>#N/A</v>
      </c>
      <c r="AA49" s="874">
        <v>20</v>
      </c>
      <c r="AB49" s="874"/>
      <c r="AC49" s="889" t="e">
        <f t="shared" si="5"/>
        <v>#N/A</v>
      </c>
      <c r="AD49" s="889" t="e">
        <f t="shared" si="8"/>
        <v>#N/A</v>
      </c>
      <c r="AE49" s="889" t="e">
        <f t="shared" si="3"/>
        <v>#N/A</v>
      </c>
      <c r="AF49" s="915"/>
      <c r="AG49" s="891"/>
      <c r="AH49" s="540" t="s">
        <v>2751</v>
      </c>
      <c r="AI49" s="637"/>
    </row>
    <row r="50" spans="1:35" s="540" customFormat="1" ht="20.25" customHeight="1">
      <c r="A50" s="868">
        <v>37</v>
      </c>
      <c r="B50" s="1644" t="str">
        <f>VLOOKUP(C50,'DS CN MOI UP'!$B$10:$C$389,2,0)</f>
        <v>03367</v>
      </c>
      <c r="C50" s="875" t="s">
        <v>160</v>
      </c>
      <c r="D50" s="875" t="s">
        <v>15</v>
      </c>
      <c r="E50" s="872"/>
      <c r="F50" s="873">
        <f>+VLOOKUP(C50,THCKT!$C$13:$AE$460,17,0)</f>
        <v>24</v>
      </c>
      <c r="G50" s="874">
        <f t="shared" si="0"/>
        <v>600000</v>
      </c>
      <c r="H50" s="874"/>
      <c r="I50" s="874"/>
      <c r="J50" s="874"/>
      <c r="K50" s="874" t="e">
        <f>VLOOKUP(C50,THCKT!$C$13:$AL$460,21,0)</f>
        <v>#N/A</v>
      </c>
      <c r="L50" s="883">
        <f>VLOOKUP(C50,THCKT!$C$13:$AL$460,22,0)</f>
        <v>0</v>
      </c>
      <c r="M50" s="883">
        <f>VLOOKUP(C50,THCKT!$C$13:$AL$460,23,0)</f>
        <v>0</v>
      </c>
      <c r="N50" s="883" t="e">
        <f t="shared" si="7"/>
        <v>#N/A</v>
      </c>
      <c r="O50" s="883" t="e">
        <f>Q50/((Q50/(N50*$F$9)*$F$8))</f>
        <v>#N/A</v>
      </c>
      <c r="P50" s="884" t="e">
        <f>VLOOKUP(C50,THCKT!$C$13:$AL$460,36,0)</f>
        <v>#N/A</v>
      </c>
      <c r="Q50" s="887" t="e">
        <f t="shared" si="4"/>
        <v>#N/A</v>
      </c>
      <c r="R50" s="874" t="e">
        <f>VLOOKUP(C50,'LƯƠNG KT'!$D$15:$P$94,16,0)</f>
        <v>#N/A</v>
      </c>
      <c r="S50" s="874" t="e">
        <f>VLOOKUP(C50,'LƯƠNG KT'!$D$15:$P$94,17,0)</f>
        <v>#N/A</v>
      </c>
      <c r="T50" s="874" t="e">
        <f>VLOOKUP(C50,'LƯƠNG KT'!$D$15:$P$94,18,0)</f>
        <v>#N/A</v>
      </c>
      <c r="U50" s="874" t="e">
        <f>VLOOKUP(C50,'LƯƠNG KT'!$D$15:$P$94,18,0)</f>
        <v>#N/A</v>
      </c>
      <c r="V50" s="874" t="e">
        <f>VLOOKUP(C50,'LƯƠNG KT'!$D$15:$P$94,19,0)</f>
        <v>#N/A</v>
      </c>
      <c r="W50" s="874" t="e">
        <f>VLOOKUP(C50,'LƯƠNG KT'!$D$15:$P$94,20,0)</f>
        <v>#N/A</v>
      </c>
      <c r="X50" s="874" t="e">
        <f>VLOOKUP(C50,'LƯƠNG KT'!$D$15:$P$94,21,0)</f>
        <v>#N/A</v>
      </c>
      <c r="Y50" s="874" t="e">
        <f>VLOOKUP(C50,'LƯƠNG KT'!$D$15:$P$94,23,0)</f>
        <v>#N/A</v>
      </c>
      <c r="Z50" s="874" t="e">
        <f>VLOOKUP(C50,'LƯƠNG KT'!$D$15:$P$94,24,0)</f>
        <v>#N/A</v>
      </c>
      <c r="AA50" s="874">
        <v>20</v>
      </c>
      <c r="AB50" s="874"/>
      <c r="AC50" s="889" t="e">
        <f t="shared" si="5"/>
        <v>#N/A</v>
      </c>
      <c r="AD50" s="889" t="e">
        <f t="shared" si="8"/>
        <v>#N/A</v>
      </c>
      <c r="AE50" s="889" t="e">
        <f t="shared" si="3"/>
        <v>#N/A</v>
      </c>
      <c r="AF50" s="915"/>
      <c r="AG50" s="891"/>
      <c r="AH50" s="922" t="s">
        <v>2751</v>
      </c>
      <c r="AI50" s="637"/>
    </row>
    <row r="51" spans="1:35" s="540" customFormat="1" ht="20.25" customHeight="1">
      <c r="A51" s="868">
        <v>38</v>
      </c>
      <c r="B51" s="1644" t="str">
        <f>VLOOKUP(C51,'DS CN MOI UP'!$B$10:$C$389,2,0)</f>
        <v>02517</v>
      </c>
      <c r="C51" s="875" t="s">
        <v>161</v>
      </c>
      <c r="D51" s="875" t="s">
        <v>15</v>
      </c>
      <c r="E51" s="872"/>
      <c r="F51" s="873">
        <f>+VLOOKUP(C51,THCKT!$C$13:$AE$460,17,0)</f>
        <v>24</v>
      </c>
      <c r="G51" s="874">
        <f t="shared" si="0"/>
        <v>600000</v>
      </c>
      <c r="H51" s="874"/>
      <c r="I51" s="874"/>
      <c r="J51" s="874"/>
      <c r="K51" s="874" t="e">
        <f>VLOOKUP(C51,THCKT!$C$13:$AL$460,21,0)</f>
        <v>#N/A</v>
      </c>
      <c r="L51" s="883">
        <f>VLOOKUP(C51,THCKT!$C$13:$AL$460,22,0)</f>
        <v>0</v>
      </c>
      <c r="M51" s="883">
        <f>VLOOKUP(C51,THCKT!$C$13:$AL$460,23,0)</f>
        <v>0</v>
      </c>
      <c r="N51" s="883" t="e">
        <f t="shared" si="7"/>
        <v>#N/A</v>
      </c>
      <c r="O51" s="883" t="e">
        <f t="shared" si="7"/>
        <v>#N/A</v>
      </c>
      <c r="P51" s="884" t="e">
        <f>VLOOKUP(C51,THCKT!$C$13:$AL$460,36,0)</f>
        <v>#N/A</v>
      </c>
      <c r="Q51" s="887" t="e">
        <f t="shared" si="4"/>
        <v>#N/A</v>
      </c>
      <c r="R51" s="874" t="e">
        <f>VLOOKUP(C51,'LƯƠNG KT'!$D$15:$P$94,16,0)</f>
        <v>#N/A</v>
      </c>
      <c r="S51" s="874" t="e">
        <f>VLOOKUP(C51,'LƯƠNG KT'!$D$15:$P$94,17,0)</f>
        <v>#N/A</v>
      </c>
      <c r="T51" s="874" t="e">
        <f>VLOOKUP(C51,'LƯƠNG KT'!$D$15:$P$94,18,0)</f>
        <v>#N/A</v>
      </c>
      <c r="U51" s="874" t="e">
        <f>VLOOKUP(C51,'LƯƠNG KT'!$D$15:$P$94,18,0)</f>
        <v>#N/A</v>
      </c>
      <c r="V51" s="874" t="e">
        <f>VLOOKUP(C51,'LƯƠNG KT'!$D$15:$P$94,19,0)</f>
        <v>#N/A</v>
      </c>
      <c r="W51" s="874" t="e">
        <f>VLOOKUP(C51,'LƯƠNG KT'!$D$15:$P$94,20,0)</f>
        <v>#N/A</v>
      </c>
      <c r="X51" s="874" t="e">
        <f>VLOOKUP(C51,'LƯƠNG KT'!$D$15:$P$94,21,0)</f>
        <v>#N/A</v>
      </c>
      <c r="Y51" s="874" t="e">
        <f>VLOOKUP(C51,'LƯƠNG KT'!$D$15:$P$94,23,0)</f>
        <v>#N/A</v>
      </c>
      <c r="Z51" s="874" t="e">
        <f>VLOOKUP(C51,'LƯƠNG KT'!$D$15:$P$94,24,0)</f>
        <v>#N/A</v>
      </c>
      <c r="AA51" s="874">
        <v>20</v>
      </c>
      <c r="AB51" s="874"/>
      <c r="AC51" s="889" t="e">
        <f t="shared" si="5"/>
        <v>#N/A</v>
      </c>
      <c r="AD51" s="889" t="e">
        <f t="shared" si="8"/>
        <v>#N/A</v>
      </c>
      <c r="AE51" s="889" t="e">
        <f t="shared" si="3"/>
        <v>#N/A</v>
      </c>
      <c r="AF51" s="915"/>
      <c r="AG51" s="891"/>
      <c r="AH51" s="540" t="s">
        <v>2751</v>
      </c>
      <c r="AI51" s="637"/>
    </row>
    <row r="52" spans="1:35" s="540" customFormat="1" ht="20.25" customHeight="1">
      <c r="A52" s="868">
        <v>39</v>
      </c>
      <c r="B52" s="1644" t="str">
        <f>VLOOKUP(C52,'DS CN MOI UP'!$B$10:$C$389,2,0)</f>
        <v>02522</v>
      </c>
      <c r="C52" s="875" t="s">
        <v>162</v>
      </c>
      <c r="D52" s="875" t="s">
        <v>15</v>
      </c>
      <c r="E52" s="872"/>
      <c r="F52" s="873">
        <f>+VLOOKUP(C52,THCKT!$C$13:$AE$460,17,0)</f>
        <v>24</v>
      </c>
      <c r="G52" s="874">
        <f t="shared" si="0"/>
        <v>600000</v>
      </c>
      <c r="H52" s="874"/>
      <c r="I52" s="874"/>
      <c r="J52" s="874"/>
      <c r="K52" s="874" t="e">
        <f>VLOOKUP(C52,THCKT!$C$13:$AL$460,21,0)</f>
        <v>#N/A</v>
      </c>
      <c r="L52" s="883">
        <f>VLOOKUP(C52,THCKT!$C$13:$AL$460,22,0)</f>
        <v>0</v>
      </c>
      <c r="M52" s="883">
        <f>VLOOKUP(C52,THCKT!$C$13:$AL$460,23,0)</f>
        <v>0</v>
      </c>
      <c r="N52" s="883" t="e">
        <f t="shared" si="7"/>
        <v>#N/A</v>
      </c>
      <c r="O52" s="883" t="e">
        <f>Q52/((Q52/(N52*$F$9)*$F$8))</f>
        <v>#N/A</v>
      </c>
      <c r="P52" s="884" t="e">
        <f>VLOOKUP(C52,THCKT!$C$13:$AL$460,36,0)</f>
        <v>#N/A</v>
      </c>
      <c r="Q52" s="887" t="e">
        <f t="shared" si="4"/>
        <v>#N/A</v>
      </c>
      <c r="R52" s="874" t="e">
        <f>VLOOKUP(C52,'LƯƠNG KT'!$D$15:$P$94,16,0)</f>
        <v>#N/A</v>
      </c>
      <c r="S52" s="874" t="e">
        <f>VLOOKUP(C52,'LƯƠNG KT'!$D$15:$P$94,17,0)</f>
        <v>#N/A</v>
      </c>
      <c r="T52" s="874" t="e">
        <f>VLOOKUP(C52,'LƯƠNG KT'!$D$15:$P$94,18,0)</f>
        <v>#N/A</v>
      </c>
      <c r="U52" s="874" t="e">
        <f>VLOOKUP(C52,'LƯƠNG KT'!$D$15:$P$94,18,0)</f>
        <v>#N/A</v>
      </c>
      <c r="V52" s="874" t="e">
        <f>VLOOKUP(C52,'LƯƠNG KT'!$D$15:$P$94,19,0)</f>
        <v>#N/A</v>
      </c>
      <c r="W52" s="874" t="e">
        <f>VLOOKUP(C52,'LƯƠNG KT'!$D$15:$P$94,20,0)</f>
        <v>#N/A</v>
      </c>
      <c r="X52" s="874" t="e">
        <f>VLOOKUP(C52,'LƯƠNG KT'!$D$15:$P$94,21,0)</f>
        <v>#N/A</v>
      </c>
      <c r="Y52" s="874" t="e">
        <f>VLOOKUP(C52,'LƯƠNG KT'!$D$15:$P$94,23,0)</f>
        <v>#N/A</v>
      </c>
      <c r="Z52" s="874" t="e">
        <f>VLOOKUP(C52,'LƯƠNG KT'!$D$15:$P$94,24,0)</f>
        <v>#N/A</v>
      </c>
      <c r="AA52" s="874">
        <v>20</v>
      </c>
      <c r="AB52" s="874"/>
      <c r="AC52" s="889" t="e">
        <f t="shared" si="5"/>
        <v>#N/A</v>
      </c>
      <c r="AD52" s="889" t="e">
        <f t="shared" si="8"/>
        <v>#N/A</v>
      </c>
      <c r="AE52" s="889" t="e">
        <f t="shared" si="3"/>
        <v>#N/A</v>
      </c>
      <c r="AF52" s="915"/>
      <c r="AG52" s="891"/>
      <c r="AH52" s="922" t="s">
        <v>2751</v>
      </c>
      <c r="AI52" s="637"/>
    </row>
    <row r="53" spans="1:35" s="540" customFormat="1" ht="20.25" customHeight="1">
      <c r="A53" s="868">
        <v>40</v>
      </c>
      <c r="B53" s="1644" t="str">
        <f>VLOOKUP(C53,'DS CN MOI UP'!$B$10:$C$389,2,0)</f>
        <v>02565</v>
      </c>
      <c r="C53" s="875" t="s">
        <v>163</v>
      </c>
      <c r="D53" s="875" t="s">
        <v>15</v>
      </c>
      <c r="E53" s="872"/>
      <c r="F53" s="873">
        <f>+VLOOKUP(C53,THCKT!$C$13:$AE$460,17,0)</f>
        <v>24</v>
      </c>
      <c r="G53" s="874">
        <f t="shared" si="0"/>
        <v>600000</v>
      </c>
      <c r="H53" s="874"/>
      <c r="I53" s="874"/>
      <c r="J53" s="874"/>
      <c r="K53" s="874" t="e">
        <f>VLOOKUP(C53,THCKT!$C$13:$AL$460,21,0)</f>
        <v>#N/A</v>
      </c>
      <c r="L53" s="883">
        <f>VLOOKUP(C53,THCKT!$C$13:$AL$460,22,0)</f>
        <v>0</v>
      </c>
      <c r="M53" s="883">
        <f>VLOOKUP(C53,THCKT!$C$13:$AL$460,23,0)</f>
        <v>0</v>
      </c>
      <c r="N53" s="883" t="e">
        <f t="shared" si="7"/>
        <v>#N/A</v>
      </c>
      <c r="O53" s="883" t="e">
        <f>Q53/((Q53/(N53*$F$9)*$F$8))</f>
        <v>#N/A</v>
      </c>
      <c r="P53" s="884" t="e">
        <f>VLOOKUP(C53,THCKT!$C$13:$AL$460,36,0)</f>
        <v>#N/A</v>
      </c>
      <c r="Q53" s="887" t="e">
        <f t="shared" si="4"/>
        <v>#N/A</v>
      </c>
      <c r="R53" s="874" t="e">
        <f>VLOOKUP(C53,'LƯƠNG KT'!$D$15:$P$94,16,0)</f>
        <v>#N/A</v>
      </c>
      <c r="S53" s="874" t="e">
        <f>VLOOKUP(C53,'LƯƠNG KT'!$D$15:$P$94,17,0)</f>
        <v>#N/A</v>
      </c>
      <c r="T53" s="874" t="e">
        <f>VLOOKUP(C53,'LƯƠNG KT'!$D$15:$P$94,18,0)</f>
        <v>#N/A</v>
      </c>
      <c r="U53" s="874" t="e">
        <f>VLOOKUP(C53,'LƯƠNG KT'!$D$15:$P$94,18,0)</f>
        <v>#N/A</v>
      </c>
      <c r="V53" s="874" t="e">
        <f>VLOOKUP(C53,'LƯƠNG KT'!$D$15:$P$94,19,0)</f>
        <v>#N/A</v>
      </c>
      <c r="W53" s="874" t="e">
        <f>VLOOKUP(C53,'LƯƠNG KT'!$D$15:$P$94,20,0)</f>
        <v>#N/A</v>
      </c>
      <c r="X53" s="874" t="e">
        <f>VLOOKUP(C53,'LƯƠNG KT'!$D$15:$P$94,21,0)</f>
        <v>#N/A</v>
      </c>
      <c r="Y53" s="874" t="e">
        <f>VLOOKUP(C53,'LƯƠNG KT'!$D$15:$P$94,23,0)</f>
        <v>#N/A</v>
      </c>
      <c r="Z53" s="874" t="e">
        <f>VLOOKUP(C53,'LƯƠNG KT'!$D$15:$P$94,24,0)</f>
        <v>#N/A</v>
      </c>
      <c r="AA53" s="874">
        <v>20</v>
      </c>
      <c r="AB53" s="874"/>
      <c r="AC53" s="889" t="e">
        <f t="shared" si="5"/>
        <v>#N/A</v>
      </c>
      <c r="AD53" s="889" t="e">
        <f t="shared" si="8"/>
        <v>#N/A</v>
      </c>
      <c r="AE53" s="889" t="e">
        <f t="shared" si="3"/>
        <v>#N/A</v>
      </c>
      <c r="AF53" s="915"/>
      <c r="AG53" s="891"/>
      <c r="AH53" s="540" t="s">
        <v>2751</v>
      </c>
      <c r="AI53" s="637"/>
    </row>
    <row r="54" spans="1:35" s="540" customFormat="1" ht="20.25" customHeight="1">
      <c r="A54" s="868">
        <v>41</v>
      </c>
      <c r="B54" s="1644" t="str">
        <f>VLOOKUP(C54,'DS CN MOI UP'!$B$10:$C$389,2,0)</f>
        <v>03368</v>
      </c>
      <c r="C54" s="875" t="s">
        <v>164</v>
      </c>
      <c r="D54" s="875" t="s">
        <v>15</v>
      </c>
      <c r="E54" s="872"/>
      <c r="F54" s="873">
        <f>+VLOOKUP(C54,THCKT!$C$13:$AE$460,17,0)</f>
        <v>24</v>
      </c>
      <c r="G54" s="874">
        <f t="shared" si="0"/>
        <v>600000</v>
      </c>
      <c r="H54" s="874"/>
      <c r="I54" s="874"/>
      <c r="J54" s="874"/>
      <c r="K54" s="874" t="e">
        <f>VLOOKUP(C54,THCKT!$C$13:$AL$460,21,0)</f>
        <v>#N/A</v>
      </c>
      <c r="L54" s="883">
        <f>VLOOKUP(C54,THCKT!$C$13:$AL$460,22,0)</f>
        <v>0</v>
      </c>
      <c r="M54" s="883">
        <f>VLOOKUP(C54,THCKT!$C$13:$AL$460,23,0)</f>
        <v>0</v>
      </c>
      <c r="N54" s="883" t="e">
        <f t="shared" si="7"/>
        <v>#N/A</v>
      </c>
      <c r="O54" s="883" t="e">
        <f>Q54/((Q54/(N54*$F$9)*$F$8))</f>
        <v>#N/A</v>
      </c>
      <c r="P54" s="884" t="e">
        <f>VLOOKUP(C54,THCKT!$C$13:$AL$460,36,0)</f>
        <v>#N/A</v>
      </c>
      <c r="Q54" s="887" t="e">
        <f t="shared" si="4"/>
        <v>#N/A</v>
      </c>
      <c r="R54" s="874" t="e">
        <f>VLOOKUP(C54,'LƯƠNG KT'!$D$15:$P$94,16,0)</f>
        <v>#N/A</v>
      </c>
      <c r="S54" s="874" t="e">
        <f>VLOOKUP(C54,'LƯƠNG KT'!$D$15:$P$94,17,0)</f>
        <v>#N/A</v>
      </c>
      <c r="T54" s="874" t="e">
        <f>VLOOKUP(C54,'LƯƠNG KT'!$D$15:$P$94,18,0)</f>
        <v>#N/A</v>
      </c>
      <c r="U54" s="874" t="e">
        <f>VLOOKUP(C54,'LƯƠNG KT'!$D$15:$P$94,18,0)</f>
        <v>#N/A</v>
      </c>
      <c r="V54" s="874" t="e">
        <f>VLOOKUP(C54,'LƯƠNG KT'!$D$15:$P$94,19,0)</f>
        <v>#N/A</v>
      </c>
      <c r="W54" s="874" t="e">
        <f>VLOOKUP(C54,'LƯƠNG KT'!$D$15:$P$94,20,0)</f>
        <v>#N/A</v>
      </c>
      <c r="X54" s="874" t="e">
        <f>VLOOKUP(C54,'LƯƠNG KT'!$D$15:$P$94,21,0)</f>
        <v>#N/A</v>
      </c>
      <c r="Y54" s="874" t="e">
        <f>VLOOKUP(C54,'LƯƠNG KT'!$D$15:$P$94,23,0)</f>
        <v>#N/A</v>
      </c>
      <c r="Z54" s="874" t="e">
        <f>VLOOKUP(C54,'LƯƠNG KT'!$D$15:$P$94,24,0)</f>
        <v>#N/A</v>
      </c>
      <c r="AA54" s="874">
        <v>20</v>
      </c>
      <c r="AB54" s="874"/>
      <c r="AC54" s="889" t="e">
        <f t="shared" si="5"/>
        <v>#N/A</v>
      </c>
      <c r="AD54" s="889" t="e">
        <f t="shared" si="8"/>
        <v>#N/A</v>
      </c>
      <c r="AE54" s="889" t="e">
        <f t="shared" si="3"/>
        <v>#N/A</v>
      </c>
      <c r="AF54" s="915"/>
      <c r="AG54" s="891"/>
      <c r="AH54" s="922" t="s">
        <v>2751</v>
      </c>
      <c r="AI54" s="637"/>
    </row>
    <row r="55" spans="1:35" s="540" customFormat="1" ht="20.25" customHeight="1">
      <c r="A55" s="868">
        <v>42</v>
      </c>
      <c r="B55" s="1644" t="str">
        <f>VLOOKUP(C55,'DS CN MOI UP'!$B$10:$C$389,2,0)</f>
        <v>02535</v>
      </c>
      <c r="C55" s="875" t="s">
        <v>165</v>
      </c>
      <c r="D55" s="875" t="s">
        <v>15</v>
      </c>
      <c r="E55" s="872"/>
      <c r="F55" s="873">
        <f>+VLOOKUP(C55,THCKT!$C$13:$AE$460,17,0)</f>
        <v>24</v>
      </c>
      <c r="G55" s="874">
        <f t="shared" si="0"/>
        <v>600000</v>
      </c>
      <c r="H55" s="874"/>
      <c r="I55" s="874"/>
      <c r="J55" s="874"/>
      <c r="K55" s="874" t="e">
        <f>VLOOKUP(C55,THCKT!$C$13:$AL$460,21,0)</f>
        <v>#N/A</v>
      </c>
      <c r="L55" s="883">
        <f>VLOOKUP(C55,THCKT!$C$13:$AL$460,22,0)</f>
        <v>0</v>
      </c>
      <c r="M55" s="883">
        <f>VLOOKUP(C55,THCKT!$C$13:$AL$460,23,0)</f>
        <v>0</v>
      </c>
      <c r="N55" s="883" t="e">
        <f t="shared" si="7"/>
        <v>#N/A</v>
      </c>
      <c r="O55" s="883" t="e">
        <f t="shared" si="7"/>
        <v>#N/A</v>
      </c>
      <c r="P55" s="884" t="e">
        <f>VLOOKUP(C55,THCKT!$C$13:$AL$460,36,0)</f>
        <v>#N/A</v>
      </c>
      <c r="Q55" s="887" t="e">
        <f t="shared" si="4"/>
        <v>#N/A</v>
      </c>
      <c r="R55" s="874" t="e">
        <f>VLOOKUP(C55,'LƯƠNG KT'!$D$15:$P$94,16,0)</f>
        <v>#N/A</v>
      </c>
      <c r="S55" s="874" t="e">
        <f>VLOOKUP(C55,'LƯƠNG KT'!$D$15:$P$94,17,0)</f>
        <v>#N/A</v>
      </c>
      <c r="T55" s="874" t="e">
        <f>VLOOKUP(C55,'LƯƠNG KT'!$D$15:$P$94,18,0)</f>
        <v>#N/A</v>
      </c>
      <c r="U55" s="874" t="e">
        <f>VLOOKUP(C55,'LƯƠNG KT'!$D$15:$P$94,18,0)</f>
        <v>#N/A</v>
      </c>
      <c r="V55" s="874" t="e">
        <f>VLOOKUP(C55,'LƯƠNG KT'!$D$15:$P$94,19,0)</f>
        <v>#N/A</v>
      </c>
      <c r="W55" s="874" t="e">
        <f>VLOOKUP(C55,'LƯƠNG KT'!$D$15:$P$94,20,0)</f>
        <v>#N/A</v>
      </c>
      <c r="X55" s="874" t="e">
        <f>VLOOKUP(C55,'LƯƠNG KT'!$D$15:$P$94,21,0)</f>
        <v>#N/A</v>
      </c>
      <c r="Y55" s="874" t="e">
        <f>VLOOKUP(C55,'LƯƠNG KT'!$D$15:$P$94,23,0)</f>
        <v>#N/A</v>
      </c>
      <c r="Z55" s="874" t="e">
        <f>VLOOKUP(C55,'LƯƠNG KT'!$D$15:$P$94,24,0)</f>
        <v>#N/A</v>
      </c>
      <c r="AA55" s="874">
        <v>20</v>
      </c>
      <c r="AB55" s="874"/>
      <c r="AC55" s="889" t="e">
        <f t="shared" si="5"/>
        <v>#N/A</v>
      </c>
      <c r="AD55" s="889" t="e">
        <f t="shared" si="8"/>
        <v>#N/A</v>
      </c>
      <c r="AE55" s="889" t="e">
        <f t="shared" si="3"/>
        <v>#N/A</v>
      </c>
      <c r="AF55" s="915"/>
      <c r="AG55" s="891"/>
      <c r="AH55" s="540" t="s">
        <v>2751</v>
      </c>
      <c r="AI55" s="637"/>
    </row>
    <row r="56" spans="1:35" s="540" customFormat="1" ht="20.25" customHeight="1">
      <c r="A56" s="868">
        <v>43</v>
      </c>
      <c r="B56" s="1644" t="str">
        <f>VLOOKUP(C56,'DS CN MOI UP'!$B$10:$C$389,2,0)</f>
        <v>02563</v>
      </c>
      <c r="C56" s="875" t="s">
        <v>166</v>
      </c>
      <c r="D56" s="875" t="s">
        <v>15</v>
      </c>
      <c r="E56" s="872"/>
      <c r="F56" s="873">
        <f>+VLOOKUP(C56,THCKT!$C$13:$AE$460,17,0)</f>
        <v>24</v>
      </c>
      <c r="G56" s="874">
        <f t="shared" si="0"/>
        <v>600000</v>
      </c>
      <c r="H56" s="874"/>
      <c r="I56" s="874"/>
      <c r="J56" s="874"/>
      <c r="K56" s="874" t="e">
        <f>VLOOKUP(C56,THCKT!$C$13:$AL$460,21,0)</f>
        <v>#N/A</v>
      </c>
      <c r="L56" s="883">
        <f>VLOOKUP(C56,THCKT!$C$13:$AL$460,22,0)</f>
        <v>0</v>
      </c>
      <c r="M56" s="883">
        <f>VLOOKUP(C56,THCKT!$C$13:$AL$460,23,0)</f>
        <v>0</v>
      </c>
      <c r="N56" s="883" t="e">
        <f t="shared" si="7"/>
        <v>#N/A</v>
      </c>
      <c r="O56" s="883" t="e">
        <f t="shared" ref="O56:O61" si="9">Q56/((Q56/(N56*$F$9)*$F$8))</f>
        <v>#N/A</v>
      </c>
      <c r="P56" s="884" t="e">
        <f>VLOOKUP(C56,THCKT!$C$13:$AL$460,36,0)</f>
        <v>#N/A</v>
      </c>
      <c r="Q56" s="887" t="e">
        <f t="shared" si="4"/>
        <v>#N/A</v>
      </c>
      <c r="R56" s="874" t="e">
        <f>VLOOKUP(C56,'LƯƠNG KT'!$D$15:$P$94,16,0)</f>
        <v>#N/A</v>
      </c>
      <c r="S56" s="874" t="e">
        <f>VLOOKUP(C56,'LƯƠNG KT'!$D$15:$P$94,17,0)</f>
        <v>#N/A</v>
      </c>
      <c r="T56" s="874" t="e">
        <f>VLOOKUP(C56,'LƯƠNG KT'!$D$15:$P$94,18,0)</f>
        <v>#N/A</v>
      </c>
      <c r="U56" s="874" t="e">
        <f>VLOOKUP(C56,'LƯƠNG KT'!$D$15:$P$94,18,0)</f>
        <v>#N/A</v>
      </c>
      <c r="V56" s="874" t="e">
        <f>VLOOKUP(C56,'LƯƠNG KT'!$D$15:$P$94,19,0)</f>
        <v>#N/A</v>
      </c>
      <c r="W56" s="874" t="e">
        <f>VLOOKUP(C56,'LƯƠNG KT'!$D$15:$P$94,20,0)</f>
        <v>#N/A</v>
      </c>
      <c r="X56" s="874" t="e">
        <f>VLOOKUP(C56,'LƯƠNG KT'!$D$15:$P$94,21,0)</f>
        <v>#N/A</v>
      </c>
      <c r="Y56" s="874" t="e">
        <f>VLOOKUP(C56,'LƯƠNG KT'!$D$15:$P$94,23,0)</f>
        <v>#N/A</v>
      </c>
      <c r="Z56" s="874" t="e">
        <f>VLOOKUP(C56,'LƯƠNG KT'!$D$15:$P$94,24,0)</f>
        <v>#N/A</v>
      </c>
      <c r="AA56" s="874">
        <v>20</v>
      </c>
      <c r="AB56" s="874"/>
      <c r="AC56" s="889" t="e">
        <f t="shared" si="5"/>
        <v>#N/A</v>
      </c>
      <c r="AD56" s="889" t="e">
        <f t="shared" si="8"/>
        <v>#N/A</v>
      </c>
      <c r="AE56" s="889" t="e">
        <f t="shared" si="3"/>
        <v>#N/A</v>
      </c>
      <c r="AF56" s="915"/>
      <c r="AG56" s="891"/>
      <c r="AH56" s="922" t="s">
        <v>2751</v>
      </c>
      <c r="AI56" s="637"/>
    </row>
    <row r="57" spans="1:35" s="540" customFormat="1" ht="20.25" customHeight="1">
      <c r="A57" s="868">
        <v>44</v>
      </c>
      <c r="B57" s="1644" t="str">
        <f>VLOOKUP(C57,'DS CN MOI UP'!$B$10:$C$389,2,0)</f>
        <v>02688</v>
      </c>
      <c r="C57" s="875" t="s">
        <v>167</v>
      </c>
      <c r="D57" s="875" t="s">
        <v>15</v>
      </c>
      <c r="E57" s="872"/>
      <c r="F57" s="873">
        <f>+VLOOKUP(C57,THCKT!$C$13:$AE$460,17,0)</f>
        <v>24</v>
      </c>
      <c r="G57" s="874">
        <f t="shared" si="0"/>
        <v>600000</v>
      </c>
      <c r="H57" s="874"/>
      <c r="I57" s="874"/>
      <c r="J57" s="874"/>
      <c r="K57" s="874" t="e">
        <f>VLOOKUP(C57,THCKT!$C$13:$AL$460,21,0)</f>
        <v>#N/A</v>
      </c>
      <c r="L57" s="883">
        <f>VLOOKUP(C57,THCKT!$C$13:$AL$460,22,0)</f>
        <v>0</v>
      </c>
      <c r="M57" s="883">
        <f>VLOOKUP(C57,THCKT!$C$13:$AL$460,23,0)</f>
        <v>0</v>
      </c>
      <c r="N57" s="883" t="e">
        <f t="shared" si="7"/>
        <v>#N/A</v>
      </c>
      <c r="O57" s="883" t="e">
        <f t="shared" si="9"/>
        <v>#N/A</v>
      </c>
      <c r="P57" s="884" t="e">
        <f>VLOOKUP(C57,THCKT!$C$13:$AL$460,36,0)</f>
        <v>#N/A</v>
      </c>
      <c r="Q57" s="887" t="e">
        <f t="shared" si="4"/>
        <v>#N/A</v>
      </c>
      <c r="R57" s="874" t="e">
        <f>VLOOKUP(C57,'LƯƠNG KT'!$D$15:$P$94,16,0)</f>
        <v>#N/A</v>
      </c>
      <c r="S57" s="874" t="e">
        <f>VLOOKUP(C57,'LƯƠNG KT'!$D$15:$P$94,17,0)</f>
        <v>#N/A</v>
      </c>
      <c r="T57" s="874" t="e">
        <f>VLOOKUP(C57,'LƯƠNG KT'!$D$15:$P$94,18,0)</f>
        <v>#N/A</v>
      </c>
      <c r="U57" s="874" t="e">
        <f>VLOOKUP(C57,'LƯƠNG KT'!$D$15:$P$94,18,0)</f>
        <v>#N/A</v>
      </c>
      <c r="V57" s="874" t="e">
        <f>VLOOKUP(C57,'LƯƠNG KT'!$D$15:$P$94,19,0)</f>
        <v>#N/A</v>
      </c>
      <c r="W57" s="874" t="e">
        <f>VLOOKUP(C57,'LƯƠNG KT'!$D$15:$P$94,20,0)</f>
        <v>#N/A</v>
      </c>
      <c r="X57" s="874" t="e">
        <f>VLOOKUP(C57,'LƯƠNG KT'!$D$15:$P$94,21,0)</f>
        <v>#N/A</v>
      </c>
      <c r="Y57" s="874" t="e">
        <f>VLOOKUP(C57,'LƯƠNG KT'!$D$15:$P$94,23,0)</f>
        <v>#N/A</v>
      </c>
      <c r="Z57" s="874" t="e">
        <f>VLOOKUP(C57,'LƯƠNG KT'!$D$15:$P$94,24,0)</f>
        <v>#N/A</v>
      </c>
      <c r="AA57" s="874">
        <v>20</v>
      </c>
      <c r="AB57" s="874"/>
      <c r="AC57" s="889" t="e">
        <f t="shared" si="5"/>
        <v>#N/A</v>
      </c>
      <c r="AD57" s="889" t="e">
        <f t="shared" si="8"/>
        <v>#N/A</v>
      </c>
      <c r="AE57" s="889" t="e">
        <f t="shared" si="3"/>
        <v>#N/A</v>
      </c>
      <c r="AF57" s="915"/>
      <c r="AG57" s="891"/>
      <c r="AH57" s="540" t="s">
        <v>2751</v>
      </c>
      <c r="AI57" s="637"/>
    </row>
    <row r="58" spans="1:35" s="540" customFormat="1" ht="20.25" customHeight="1">
      <c r="A58" s="868">
        <v>45</v>
      </c>
      <c r="B58" s="1644" t="str">
        <f>VLOOKUP(C58,'DS CN MOI UP'!$B$10:$C$389,2,0)</f>
        <v>02551</v>
      </c>
      <c r="C58" s="930" t="s">
        <v>168</v>
      </c>
      <c r="D58" s="875" t="s">
        <v>15</v>
      </c>
      <c r="E58" s="872"/>
      <c r="F58" s="873">
        <f>+VLOOKUP(C58,THCKT!$C$13:$AE$460,17,0)</f>
        <v>24</v>
      </c>
      <c r="G58" s="874">
        <f t="shared" si="0"/>
        <v>600000</v>
      </c>
      <c r="H58" s="874"/>
      <c r="I58" s="874"/>
      <c r="J58" s="874"/>
      <c r="K58" s="874" t="e">
        <f>VLOOKUP(C58,THCKT!$C$13:$AL$460,21,0)</f>
        <v>#N/A</v>
      </c>
      <c r="L58" s="883">
        <f>VLOOKUP(C58,THCKT!$C$13:$AL$460,22,0)</f>
        <v>0</v>
      </c>
      <c r="M58" s="883">
        <f>VLOOKUP(C58,THCKT!$C$13:$AL$460,23,0)</f>
        <v>0</v>
      </c>
      <c r="N58" s="883" t="e">
        <f t="shared" si="7"/>
        <v>#N/A</v>
      </c>
      <c r="O58" s="883" t="e">
        <f t="shared" si="9"/>
        <v>#N/A</v>
      </c>
      <c r="P58" s="884" t="e">
        <f>VLOOKUP(C58,THCKT!$C$13:$AL$460,36,0)</f>
        <v>#N/A</v>
      </c>
      <c r="Q58" s="887" t="e">
        <f t="shared" si="4"/>
        <v>#N/A</v>
      </c>
      <c r="R58" s="874" t="e">
        <f>VLOOKUP(C58,'LƯƠNG KT'!$D$15:$P$94,16,0)</f>
        <v>#N/A</v>
      </c>
      <c r="S58" s="874" t="e">
        <f>VLOOKUP(C58,'LƯƠNG KT'!$D$15:$P$94,17,0)</f>
        <v>#N/A</v>
      </c>
      <c r="T58" s="874" t="e">
        <f>VLOOKUP(C58,'LƯƠNG KT'!$D$15:$P$94,18,0)</f>
        <v>#N/A</v>
      </c>
      <c r="U58" s="874" t="e">
        <f>VLOOKUP(C58,'LƯƠNG KT'!$D$15:$P$94,18,0)</f>
        <v>#N/A</v>
      </c>
      <c r="V58" s="874" t="e">
        <f>VLOOKUP(C58,'LƯƠNG KT'!$D$15:$P$94,19,0)</f>
        <v>#N/A</v>
      </c>
      <c r="W58" s="874" t="e">
        <f>VLOOKUP(C58,'LƯƠNG KT'!$D$15:$P$94,20,0)</f>
        <v>#N/A</v>
      </c>
      <c r="X58" s="874" t="e">
        <f>VLOOKUP(C58,'LƯƠNG KT'!$D$15:$P$94,21,0)</f>
        <v>#N/A</v>
      </c>
      <c r="Y58" s="874" t="e">
        <f>VLOOKUP(C58,'LƯƠNG KT'!$D$15:$P$94,23,0)</f>
        <v>#N/A</v>
      </c>
      <c r="Z58" s="874" t="e">
        <f>VLOOKUP(C58,'LƯƠNG KT'!$D$15:$P$94,24,0)</f>
        <v>#N/A</v>
      </c>
      <c r="AA58" s="874">
        <v>20</v>
      </c>
      <c r="AB58" s="874"/>
      <c r="AC58" s="889" t="e">
        <f t="shared" si="5"/>
        <v>#N/A</v>
      </c>
      <c r="AD58" s="889" t="e">
        <f t="shared" si="8"/>
        <v>#N/A</v>
      </c>
      <c r="AE58" s="889" t="e">
        <f t="shared" si="3"/>
        <v>#N/A</v>
      </c>
      <c r="AF58" s="915"/>
      <c r="AG58" s="891"/>
      <c r="AH58" s="922" t="s">
        <v>2751</v>
      </c>
      <c r="AI58" s="637"/>
    </row>
    <row r="59" spans="1:35" s="540" customFormat="1" ht="20.25" customHeight="1">
      <c r="A59" s="868">
        <v>46</v>
      </c>
      <c r="B59" s="1644" t="str">
        <f>VLOOKUP(C59,'DS CN MOI UP'!$B$10:$C$389,2,0)</f>
        <v>02523</v>
      </c>
      <c r="C59" s="870" t="s">
        <v>169</v>
      </c>
      <c r="D59" s="875" t="s">
        <v>15</v>
      </c>
      <c r="E59" s="872"/>
      <c r="F59" s="873">
        <f>+VLOOKUP(C59,THCKT!$C$13:$AE$460,17,0)</f>
        <v>24</v>
      </c>
      <c r="G59" s="874">
        <f t="shared" si="0"/>
        <v>600000</v>
      </c>
      <c r="H59" s="874"/>
      <c r="I59" s="874"/>
      <c r="J59" s="874"/>
      <c r="K59" s="874" t="e">
        <f>VLOOKUP(C59,THCKT!$C$13:$AL$460,21,0)</f>
        <v>#N/A</v>
      </c>
      <c r="L59" s="883">
        <f>VLOOKUP(C59,THCKT!$C$13:$AL$460,22,0)</f>
        <v>0</v>
      </c>
      <c r="M59" s="883">
        <f>VLOOKUP(C59,THCKT!$C$13:$AL$460,23,0)</f>
        <v>0</v>
      </c>
      <c r="N59" s="883" t="e">
        <f t="shared" si="7"/>
        <v>#N/A</v>
      </c>
      <c r="O59" s="883" t="e">
        <f t="shared" si="9"/>
        <v>#N/A</v>
      </c>
      <c r="P59" s="884" t="e">
        <f>VLOOKUP(C59,THCKT!$C$13:$AL$460,36,0)</f>
        <v>#N/A</v>
      </c>
      <c r="Q59" s="887" t="e">
        <f t="shared" si="4"/>
        <v>#N/A</v>
      </c>
      <c r="R59" s="874" t="e">
        <f>VLOOKUP(C59,'LƯƠNG KT'!$D$15:$P$94,16,0)</f>
        <v>#N/A</v>
      </c>
      <c r="S59" s="874" t="e">
        <f>VLOOKUP(C59,'LƯƠNG KT'!$D$15:$P$94,17,0)</f>
        <v>#N/A</v>
      </c>
      <c r="T59" s="874" t="e">
        <f>VLOOKUP(C59,'LƯƠNG KT'!$D$15:$P$94,18,0)</f>
        <v>#N/A</v>
      </c>
      <c r="U59" s="874" t="e">
        <f>VLOOKUP(C59,'LƯƠNG KT'!$D$15:$P$94,18,0)</f>
        <v>#N/A</v>
      </c>
      <c r="V59" s="874" t="e">
        <f>VLOOKUP(C59,'LƯƠNG KT'!$D$15:$P$94,19,0)</f>
        <v>#N/A</v>
      </c>
      <c r="W59" s="874" t="e">
        <f>VLOOKUP(C59,'LƯƠNG KT'!$D$15:$P$94,20,0)</f>
        <v>#N/A</v>
      </c>
      <c r="X59" s="874" t="e">
        <f>VLOOKUP(C59,'LƯƠNG KT'!$D$15:$P$94,21,0)</f>
        <v>#N/A</v>
      </c>
      <c r="Y59" s="874" t="e">
        <f>VLOOKUP(C59,'LƯƠNG KT'!$D$15:$P$94,23,0)</f>
        <v>#N/A</v>
      </c>
      <c r="Z59" s="874" t="e">
        <f>VLOOKUP(C59,'LƯƠNG KT'!$D$15:$P$94,24,0)</f>
        <v>#N/A</v>
      </c>
      <c r="AA59" s="874">
        <v>20</v>
      </c>
      <c r="AB59" s="874"/>
      <c r="AC59" s="889" t="e">
        <f t="shared" si="5"/>
        <v>#N/A</v>
      </c>
      <c r="AD59" s="889" t="e">
        <f t="shared" si="8"/>
        <v>#N/A</v>
      </c>
      <c r="AE59" s="889" t="e">
        <f t="shared" si="3"/>
        <v>#N/A</v>
      </c>
      <c r="AF59" s="915"/>
      <c r="AG59" s="891"/>
      <c r="AH59" s="540" t="s">
        <v>2751</v>
      </c>
      <c r="AI59" s="637"/>
    </row>
    <row r="60" spans="1:35" s="540" customFormat="1" ht="20.25" customHeight="1">
      <c r="A60" s="868">
        <v>47</v>
      </c>
      <c r="B60" s="1644" t="str">
        <f>VLOOKUP(C60,'DS CN MOI UP'!$B$10:$C$389,2,0)</f>
        <v>03369</v>
      </c>
      <c r="C60" s="870" t="s">
        <v>170</v>
      </c>
      <c r="D60" s="875" t="s">
        <v>15</v>
      </c>
      <c r="E60" s="872"/>
      <c r="F60" s="873">
        <f>+VLOOKUP(C60,THCKT!$C$13:$AE$460,17,0)</f>
        <v>24</v>
      </c>
      <c r="G60" s="874">
        <f t="shared" si="0"/>
        <v>600000</v>
      </c>
      <c r="H60" s="874"/>
      <c r="I60" s="874"/>
      <c r="J60" s="874"/>
      <c r="K60" s="874" t="e">
        <f>VLOOKUP(C60,THCKT!$C$13:$AL$460,21,0)</f>
        <v>#N/A</v>
      </c>
      <c r="L60" s="883">
        <f>VLOOKUP(C60,THCKT!$C$13:$AL$460,22,0)</f>
        <v>0</v>
      </c>
      <c r="M60" s="883">
        <f>VLOOKUP(C60,THCKT!$C$13:$AL$460,23,0)</f>
        <v>0</v>
      </c>
      <c r="N60" s="883" t="e">
        <f t="shared" si="7"/>
        <v>#N/A</v>
      </c>
      <c r="O60" s="883" t="e">
        <f t="shared" si="9"/>
        <v>#N/A</v>
      </c>
      <c r="P60" s="884" t="e">
        <f>VLOOKUP(C60,THCKT!$C$13:$AL$460,36,0)</f>
        <v>#N/A</v>
      </c>
      <c r="Q60" s="887" t="e">
        <f t="shared" si="4"/>
        <v>#N/A</v>
      </c>
      <c r="R60" s="874" t="e">
        <f>VLOOKUP(C60,'LƯƠNG KT'!$D$15:$P$94,16,0)</f>
        <v>#N/A</v>
      </c>
      <c r="S60" s="874" t="e">
        <f>VLOOKUP(C60,'LƯƠNG KT'!$D$15:$P$94,17,0)</f>
        <v>#N/A</v>
      </c>
      <c r="T60" s="874" t="e">
        <f>VLOOKUP(C60,'LƯƠNG KT'!$D$15:$P$94,18,0)</f>
        <v>#N/A</v>
      </c>
      <c r="U60" s="874" t="e">
        <f>VLOOKUP(C60,'LƯƠNG KT'!$D$15:$P$94,18,0)</f>
        <v>#N/A</v>
      </c>
      <c r="V60" s="874" t="e">
        <f>VLOOKUP(C60,'LƯƠNG KT'!$D$15:$P$94,19,0)</f>
        <v>#N/A</v>
      </c>
      <c r="W60" s="874" t="e">
        <f>VLOOKUP(C60,'LƯƠNG KT'!$D$15:$P$94,20,0)</f>
        <v>#N/A</v>
      </c>
      <c r="X60" s="874" t="e">
        <f>VLOOKUP(C60,'LƯƠNG KT'!$D$15:$P$94,21,0)</f>
        <v>#N/A</v>
      </c>
      <c r="Y60" s="874" t="e">
        <f>VLOOKUP(C60,'LƯƠNG KT'!$D$15:$P$94,23,0)</f>
        <v>#N/A</v>
      </c>
      <c r="Z60" s="874" t="e">
        <f>VLOOKUP(C60,'LƯƠNG KT'!$D$15:$P$94,24,0)</f>
        <v>#N/A</v>
      </c>
      <c r="AA60" s="874">
        <v>20</v>
      </c>
      <c r="AB60" s="874"/>
      <c r="AC60" s="889" t="e">
        <f t="shared" si="5"/>
        <v>#N/A</v>
      </c>
      <c r="AD60" s="889" t="e">
        <f t="shared" si="8"/>
        <v>#N/A</v>
      </c>
      <c r="AE60" s="889" t="e">
        <f t="shared" si="3"/>
        <v>#N/A</v>
      </c>
      <c r="AF60" s="915"/>
      <c r="AG60" s="891"/>
      <c r="AH60" s="922" t="s">
        <v>2751</v>
      </c>
      <c r="AI60" s="637"/>
    </row>
    <row r="61" spans="1:35" s="540" customFormat="1" ht="20.25" customHeight="1">
      <c r="A61" s="868">
        <v>48</v>
      </c>
      <c r="B61" s="1644" t="str">
        <f>VLOOKUP(C61,'DS CN MOI UP'!$B$10:$C$389,2,0)</f>
        <v>03345</v>
      </c>
      <c r="C61" s="870" t="s">
        <v>171</v>
      </c>
      <c r="D61" s="875" t="s">
        <v>15</v>
      </c>
      <c r="E61" s="872"/>
      <c r="F61" s="873">
        <f>+VLOOKUP(C61,THCKT!$C$13:$AE$460,17,0)</f>
        <v>24</v>
      </c>
      <c r="G61" s="874">
        <f t="shared" si="0"/>
        <v>600000</v>
      </c>
      <c r="H61" s="874"/>
      <c r="I61" s="874"/>
      <c r="J61" s="874"/>
      <c r="K61" s="874" t="e">
        <f>VLOOKUP(C61,THCKT!$C$13:$AL$460,21,0)</f>
        <v>#N/A</v>
      </c>
      <c r="L61" s="883">
        <f>VLOOKUP(C61,THCKT!$C$13:$AL$460,22,0)</f>
        <v>0</v>
      </c>
      <c r="M61" s="883">
        <f>VLOOKUP(C61,THCKT!$C$13:$AL$460,23,0)</f>
        <v>0</v>
      </c>
      <c r="N61" s="883" t="e">
        <f t="shared" si="7"/>
        <v>#N/A</v>
      </c>
      <c r="O61" s="883" t="e">
        <f t="shared" si="9"/>
        <v>#N/A</v>
      </c>
      <c r="P61" s="884" t="e">
        <f>VLOOKUP(C61,THCKT!$C$13:$AL$460,36,0)</f>
        <v>#N/A</v>
      </c>
      <c r="Q61" s="887" t="e">
        <f t="shared" si="4"/>
        <v>#N/A</v>
      </c>
      <c r="R61" s="874" t="e">
        <f>VLOOKUP(C61,'LƯƠNG KT'!$D$15:$P$94,16,0)</f>
        <v>#N/A</v>
      </c>
      <c r="S61" s="874" t="e">
        <f>VLOOKUP(C61,'LƯƠNG KT'!$D$15:$P$94,17,0)</f>
        <v>#N/A</v>
      </c>
      <c r="T61" s="874" t="e">
        <f>VLOOKUP(C61,'LƯƠNG KT'!$D$15:$P$94,18,0)</f>
        <v>#N/A</v>
      </c>
      <c r="U61" s="874" t="e">
        <f>VLOOKUP(C61,'LƯƠNG KT'!$D$15:$P$94,18,0)</f>
        <v>#N/A</v>
      </c>
      <c r="V61" s="874" t="e">
        <f>VLOOKUP(C61,'LƯƠNG KT'!$D$15:$P$94,19,0)</f>
        <v>#N/A</v>
      </c>
      <c r="W61" s="874" t="e">
        <f>VLOOKUP(C61,'LƯƠNG KT'!$D$15:$P$94,20,0)</f>
        <v>#N/A</v>
      </c>
      <c r="X61" s="874" t="e">
        <f>VLOOKUP(C61,'LƯƠNG KT'!$D$15:$P$94,21,0)</f>
        <v>#N/A</v>
      </c>
      <c r="Y61" s="874" t="e">
        <f>VLOOKUP(C61,'LƯƠNG KT'!$D$15:$P$94,23,0)</f>
        <v>#N/A</v>
      </c>
      <c r="Z61" s="874" t="e">
        <f>VLOOKUP(C61,'LƯƠNG KT'!$D$15:$P$94,24,0)</f>
        <v>#N/A</v>
      </c>
      <c r="AA61" s="874">
        <v>20</v>
      </c>
      <c r="AB61" s="874"/>
      <c r="AC61" s="889" t="e">
        <f t="shared" si="5"/>
        <v>#N/A</v>
      </c>
      <c r="AD61" s="889" t="e">
        <f t="shared" si="8"/>
        <v>#N/A</v>
      </c>
      <c r="AE61" s="889" t="e">
        <f t="shared" si="3"/>
        <v>#N/A</v>
      </c>
      <c r="AF61" s="915"/>
      <c r="AG61" s="891"/>
      <c r="AH61" s="540" t="s">
        <v>2751</v>
      </c>
      <c r="AI61" s="637"/>
    </row>
    <row r="62" spans="1:35" s="540" customFormat="1" ht="20.25" customHeight="1">
      <c r="A62" s="868">
        <v>49</v>
      </c>
      <c r="B62" s="1644" t="str">
        <f>VLOOKUP(C62,'DS CN MOI UP'!$B$10:$C$389,2,0)</f>
        <v>03371</v>
      </c>
      <c r="C62" s="931" t="s">
        <v>172</v>
      </c>
      <c r="D62" s="875" t="s">
        <v>15</v>
      </c>
      <c r="E62" s="872"/>
      <c r="F62" s="873">
        <f>+VLOOKUP(C62,THCKT!$C$13:$AE$460,17,0)</f>
        <v>24</v>
      </c>
      <c r="G62" s="874">
        <f t="shared" si="0"/>
        <v>600000</v>
      </c>
      <c r="H62" s="874"/>
      <c r="I62" s="874"/>
      <c r="J62" s="874"/>
      <c r="K62" s="874" t="e">
        <f>VLOOKUP(C62,THCKT!$C$13:$AL$460,21,0)</f>
        <v>#N/A</v>
      </c>
      <c r="L62" s="883">
        <f>VLOOKUP(C62,THCKT!$C$13:$AL$460,22,0)</f>
        <v>0</v>
      </c>
      <c r="M62" s="883">
        <f>VLOOKUP(C62,THCKT!$C$13:$AL$460,23,0)</f>
        <v>0</v>
      </c>
      <c r="N62" s="883" t="e">
        <f t="shared" si="7"/>
        <v>#N/A</v>
      </c>
      <c r="O62" s="883" t="e">
        <f t="shared" si="7"/>
        <v>#N/A</v>
      </c>
      <c r="P62" s="884" t="e">
        <f>VLOOKUP(C62,THCKT!$C$13:$AL$460,36,0)</f>
        <v>#N/A</v>
      </c>
      <c r="Q62" s="887" t="e">
        <f t="shared" si="4"/>
        <v>#N/A</v>
      </c>
      <c r="R62" s="874" t="e">
        <f>VLOOKUP(C62,'LƯƠNG KT'!$D$15:$P$94,16,0)</f>
        <v>#N/A</v>
      </c>
      <c r="S62" s="874" t="e">
        <f>VLOOKUP(C62,'LƯƠNG KT'!$D$15:$P$94,17,0)</f>
        <v>#N/A</v>
      </c>
      <c r="T62" s="874" t="e">
        <f>VLOOKUP(C62,'LƯƠNG KT'!$D$15:$P$94,18,0)</f>
        <v>#N/A</v>
      </c>
      <c r="U62" s="874" t="e">
        <f>VLOOKUP(C62,'LƯƠNG KT'!$D$15:$P$94,18,0)</f>
        <v>#N/A</v>
      </c>
      <c r="V62" s="874" t="e">
        <f>VLOOKUP(C62,'LƯƠNG KT'!$D$15:$P$94,19,0)</f>
        <v>#N/A</v>
      </c>
      <c r="W62" s="874" t="e">
        <f>VLOOKUP(C62,'LƯƠNG KT'!$D$15:$P$94,20,0)</f>
        <v>#N/A</v>
      </c>
      <c r="X62" s="874" t="e">
        <f>VLOOKUP(C62,'LƯƠNG KT'!$D$15:$P$94,21,0)</f>
        <v>#N/A</v>
      </c>
      <c r="Y62" s="874" t="e">
        <f>VLOOKUP(C62,'LƯƠNG KT'!$D$15:$P$94,23,0)</f>
        <v>#N/A</v>
      </c>
      <c r="Z62" s="874" t="e">
        <f>VLOOKUP(C62,'LƯƠNG KT'!$D$15:$P$94,24,0)</f>
        <v>#N/A</v>
      </c>
      <c r="AA62" s="874">
        <v>20</v>
      </c>
      <c r="AB62" s="874"/>
      <c r="AC62" s="889" t="e">
        <f t="shared" si="5"/>
        <v>#N/A</v>
      </c>
      <c r="AD62" s="889" t="e">
        <f t="shared" si="8"/>
        <v>#N/A</v>
      </c>
      <c r="AE62" s="889" t="e">
        <f t="shared" si="3"/>
        <v>#N/A</v>
      </c>
      <c r="AF62" s="915"/>
      <c r="AG62" s="891"/>
      <c r="AH62" s="922" t="s">
        <v>2751</v>
      </c>
      <c r="AI62" s="637"/>
    </row>
    <row r="63" spans="1:35" s="540" customFormat="1" ht="20.25" customHeight="1">
      <c r="A63" s="868">
        <v>50</v>
      </c>
      <c r="B63" s="1644" t="str">
        <f>VLOOKUP(C63,'DS CN MOI UP'!$B$10:$C$389,2,0)</f>
        <v>02519</v>
      </c>
      <c r="C63" s="870" t="s">
        <v>173</v>
      </c>
      <c r="D63" s="875" t="s">
        <v>15</v>
      </c>
      <c r="E63" s="872"/>
      <c r="F63" s="873">
        <f>+VLOOKUP(C63,THCKT!$C$13:$AE$460,17,0)</f>
        <v>24</v>
      </c>
      <c r="G63" s="874">
        <f t="shared" si="0"/>
        <v>600000</v>
      </c>
      <c r="H63" s="874"/>
      <c r="I63" s="874"/>
      <c r="J63" s="874"/>
      <c r="K63" s="874" t="e">
        <f>VLOOKUP(C63,THCKT!$C$13:$AL$460,21,0)</f>
        <v>#N/A</v>
      </c>
      <c r="L63" s="883">
        <f>VLOOKUP(C63,THCKT!$C$13:$AL$460,22,0)</f>
        <v>0</v>
      </c>
      <c r="M63" s="883">
        <f>VLOOKUP(C63,THCKT!$C$13:$AL$460,23,0)</f>
        <v>0</v>
      </c>
      <c r="N63" s="883" t="e">
        <f t="shared" si="7"/>
        <v>#N/A</v>
      </c>
      <c r="O63" s="883" t="e">
        <f>Q63/((Q63/(N63*$F$9)*$F$8))</f>
        <v>#N/A</v>
      </c>
      <c r="P63" s="884" t="e">
        <f>VLOOKUP(C63,THCKT!$C$13:$AL$460,36,0)</f>
        <v>#N/A</v>
      </c>
      <c r="Q63" s="887" t="e">
        <f t="shared" si="4"/>
        <v>#N/A</v>
      </c>
      <c r="R63" s="874" t="e">
        <f>VLOOKUP(C63,'LƯƠNG KT'!$D$15:$P$94,16,0)</f>
        <v>#N/A</v>
      </c>
      <c r="S63" s="874" t="e">
        <f>VLOOKUP(C63,'LƯƠNG KT'!$D$15:$P$94,17,0)</f>
        <v>#N/A</v>
      </c>
      <c r="T63" s="874" t="e">
        <f>VLOOKUP(C63,'LƯƠNG KT'!$D$15:$P$94,18,0)</f>
        <v>#N/A</v>
      </c>
      <c r="U63" s="874" t="e">
        <f>VLOOKUP(C63,'LƯƠNG KT'!$D$15:$P$94,18,0)</f>
        <v>#N/A</v>
      </c>
      <c r="V63" s="874" t="e">
        <f>VLOOKUP(C63,'LƯƠNG KT'!$D$15:$P$94,19,0)</f>
        <v>#N/A</v>
      </c>
      <c r="W63" s="874" t="e">
        <f>VLOOKUP(C63,'LƯƠNG KT'!$D$15:$P$94,20,0)</f>
        <v>#N/A</v>
      </c>
      <c r="X63" s="874" t="e">
        <f>VLOOKUP(C63,'LƯƠNG KT'!$D$15:$P$94,21,0)</f>
        <v>#N/A</v>
      </c>
      <c r="Y63" s="874" t="e">
        <f>VLOOKUP(C63,'LƯƠNG KT'!$D$15:$P$94,23,0)</f>
        <v>#N/A</v>
      </c>
      <c r="Z63" s="874" t="e">
        <f>VLOOKUP(C63,'LƯƠNG KT'!$D$15:$P$94,24,0)</f>
        <v>#N/A</v>
      </c>
      <c r="AA63" s="874">
        <v>20</v>
      </c>
      <c r="AB63" s="874"/>
      <c r="AC63" s="889" t="e">
        <f t="shared" si="5"/>
        <v>#N/A</v>
      </c>
      <c r="AD63" s="889" t="e">
        <f t="shared" si="8"/>
        <v>#N/A</v>
      </c>
      <c r="AE63" s="889" t="e">
        <f t="shared" si="3"/>
        <v>#N/A</v>
      </c>
      <c r="AF63" s="915"/>
      <c r="AG63" s="891"/>
      <c r="AH63" s="540" t="s">
        <v>2751</v>
      </c>
      <c r="AI63" s="637"/>
    </row>
    <row r="64" spans="1:35" s="540" customFormat="1" ht="20.25" customHeight="1">
      <c r="A64" s="868">
        <v>51</v>
      </c>
      <c r="B64" s="1644" t="str">
        <f>VLOOKUP(C64,'DS CN MOI UP'!$B$10:$C$389,2,0)</f>
        <v>02692</v>
      </c>
      <c r="C64" s="931" t="s">
        <v>174</v>
      </c>
      <c r="D64" s="875" t="s">
        <v>15</v>
      </c>
      <c r="E64" s="872"/>
      <c r="F64" s="873">
        <f>+VLOOKUP(C64,THCKT!$C$13:$AE$460,17,0)</f>
        <v>24</v>
      </c>
      <c r="G64" s="874">
        <f t="shared" si="0"/>
        <v>600000</v>
      </c>
      <c r="H64" s="874"/>
      <c r="I64" s="874"/>
      <c r="J64" s="874"/>
      <c r="K64" s="874" t="e">
        <f>VLOOKUP(C64,THCKT!$C$13:$AL$460,21,0)</f>
        <v>#N/A</v>
      </c>
      <c r="L64" s="883">
        <f>VLOOKUP(C64,THCKT!$C$13:$AL$460,22,0)</f>
        <v>0</v>
      </c>
      <c r="M64" s="883">
        <f>VLOOKUP(C64,THCKT!$C$13:$AL$460,23,0)</f>
        <v>0</v>
      </c>
      <c r="N64" s="883" t="e">
        <f t="shared" si="7"/>
        <v>#N/A</v>
      </c>
      <c r="O64" s="883" t="e">
        <f>Q64/((Q64/(N64*$F$9)*$F$8))</f>
        <v>#N/A</v>
      </c>
      <c r="P64" s="884" t="e">
        <f>VLOOKUP(C64,THCKT!$C$13:$AL$460,36,0)</f>
        <v>#N/A</v>
      </c>
      <c r="Q64" s="887" t="e">
        <f t="shared" si="4"/>
        <v>#N/A</v>
      </c>
      <c r="R64" s="874" t="e">
        <f>VLOOKUP(C64,'LƯƠNG KT'!$D$15:$P$94,16,0)</f>
        <v>#N/A</v>
      </c>
      <c r="S64" s="874" t="e">
        <f>VLOOKUP(C64,'LƯƠNG KT'!$D$15:$P$94,17,0)</f>
        <v>#N/A</v>
      </c>
      <c r="T64" s="874" t="e">
        <f>VLOOKUP(C64,'LƯƠNG KT'!$D$15:$P$94,18,0)</f>
        <v>#N/A</v>
      </c>
      <c r="U64" s="874" t="e">
        <f>VLOOKUP(C64,'LƯƠNG KT'!$D$15:$P$94,18,0)</f>
        <v>#N/A</v>
      </c>
      <c r="V64" s="874" t="e">
        <f>VLOOKUP(C64,'LƯƠNG KT'!$D$15:$P$94,19,0)</f>
        <v>#N/A</v>
      </c>
      <c r="W64" s="874" t="e">
        <f>VLOOKUP(C64,'LƯƠNG KT'!$D$15:$P$94,20,0)</f>
        <v>#N/A</v>
      </c>
      <c r="X64" s="874" t="e">
        <f>VLOOKUP(C64,'LƯƠNG KT'!$D$15:$P$94,21,0)</f>
        <v>#N/A</v>
      </c>
      <c r="Y64" s="874" t="e">
        <f>VLOOKUP(C64,'LƯƠNG KT'!$D$15:$P$94,23,0)</f>
        <v>#N/A</v>
      </c>
      <c r="Z64" s="874" t="e">
        <f>VLOOKUP(C64,'LƯƠNG KT'!$D$15:$P$94,24,0)</f>
        <v>#N/A</v>
      </c>
      <c r="AA64" s="874">
        <v>20</v>
      </c>
      <c r="AB64" s="874"/>
      <c r="AC64" s="889" t="e">
        <f t="shared" si="5"/>
        <v>#N/A</v>
      </c>
      <c r="AD64" s="889" t="e">
        <f t="shared" si="8"/>
        <v>#N/A</v>
      </c>
      <c r="AE64" s="889" t="e">
        <f t="shared" si="3"/>
        <v>#N/A</v>
      </c>
      <c r="AF64" s="915"/>
      <c r="AG64" s="891"/>
      <c r="AH64" s="922" t="s">
        <v>2751</v>
      </c>
      <c r="AI64" s="637"/>
    </row>
    <row r="65" spans="1:35" s="540" customFormat="1" ht="20.25" customHeight="1">
      <c r="A65" s="868">
        <v>52</v>
      </c>
      <c r="B65" s="1644" t="str">
        <f>VLOOKUP(C65,'DS CN MOI UP'!$B$10:$C$389,2,0)</f>
        <v>03372</v>
      </c>
      <c r="C65" s="931" t="s">
        <v>175</v>
      </c>
      <c r="D65" s="875" t="s">
        <v>15</v>
      </c>
      <c r="E65" s="872"/>
      <c r="F65" s="873">
        <f>+VLOOKUP(C65,THCKT!$C$13:$AE$460,17,0)</f>
        <v>24</v>
      </c>
      <c r="G65" s="874">
        <f t="shared" si="0"/>
        <v>600000</v>
      </c>
      <c r="H65" s="874"/>
      <c r="I65" s="874"/>
      <c r="J65" s="874"/>
      <c r="K65" s="874" t="e">
        <f>VLOOKUP(C65,THCKT!$C$13:$AL$460,21,0)</f>
        <v>#N/A</v>
      </c>
      <c r="L65" s="883">
        <f>VLOOKUP(C65,THCKT!$C$13:$AL$460,22,0)</f>
        <v>0</v>
      </c>
      <c r="M65" s="883">
        <f>VLOOKUP(C65,THCKT!$C$13:$AL$460,23,0)</f>
        <v>0</v>
      </c>
      <c r="N65" s="883" t="e">
        <f t="shared" si="7"/>
        <v>#N/A</v>
      </c>
      <c r="O65" s="883" t="e">
        <f t="shared" si="7"/>
        <v>#N/A</v>
      </c>
      <c r="P65" s="884" t="e">
        <f>VLOOKUP(C65,THCKT!$C$13:$AL$460,36,0)</f>
        <v>#N/A</v>
      </c>
      <c r="Q65" s="887" t="e">
        <f t="shared" si="4"/>
        <v>#N/A</v>
      </c>
      <c r="R65" s="874" t="e">
        <f>VLOOKUP(C65,'LƯƠNG KT'!$D$15:$P$94,16,0)</f>
        <v>#N/A</v>
      </c>
      <c r="S65" s="874" t="e">
        <f>VLOOKUP(C65,'LƯƠNG KT'!$D$15:$P$94,17,0)</f>
        <v>#N/A</v>
      </c>
      <c r="T65" s="874" t="e">
        <f>VLOOKUP(C65,'LƯƠNG KT'!$D$15:$P$94,18,0)</f>
        <v>#N/A</v>
      </c>
      <c r="U65" s="874" t="e">
        <f>VLOOKUP(C65,'LƯƠNG KT'!$D$15:$P$94,18,0)</f>
        <v>#N/A</v>
      </c>
      <c r="V65" s="874" t="e">
        <f>VLOOKUP(C65,'LƯƠNG KT'!$D$15:$P$94,19,0)</f>
        <v>#N/A</v>
      </c>
      <c r="W65" s="874" t="e">
        <f>VLOOKUP(C65,'LƯƠNG KT'!$D$15:$P$94,20,0)</f>
        <v>#N/A</v>
      </c>
      <c r="X65" s="874" t="e">
        <f>VLOOKUP(C65,'LƯƠNG KT'!$D$15:$P$94,21,0)</f>
        <v>#N/A</v>
      </c>
      <c r="Y65" s="874" t="e">
        <f>VLOOKUP(C65,'LƯƠNG KT'!$D$15:$P$94,23,0)</f>
        <v>#N/A</v>
      </c>
      <c r="Z65" s="874" t="e">
        <f>VLOOKUP(C65,'LƯƠNG KT'!$D$15:$P$94,24,0)</f>
        <v>#N/A</v>
      </c>
      <c r="AA65" s="874">
        <v>20</v>
      </c>
      <c r="AB65" s="874"/>
      <c r="AC65" s="889" t="e">
        <f t="shared" si="5"/>
        <v>#N/A</v>
      </c>
      <c r="AD65" s="889" t="e">
        <f t="shared" si="8"/>
        <v>#N/A</v>
      </c>
      <c r="AE65" s="889" t="e">
        <f t="shared" si="3"/>
        <v>#N/A</v>
      </c>
      <c r="AF65" s="915"/>
      <c r="AG65" s="891"/>
      <c r="AH65" s="922" t="s">
        <v>2751</v>
      </c>
      <c r="AI65" s="637"/>
    </row>
    <row r="66" spans="1:35" s="540" customFormat="1" ht="20.25" customHeight="1">
      <c r="A66" s="868">
        <v>53</v>
      </c>
      <c r="B66" s="1644" t="str">
        <f>VLOOKUP(C66,'DS CN MOI UP'!$B$10:$C$389,2,0)</f>
        <v>03365</v>
      </c>
      <c r="C66" s="931" t="s">
        <v>176</v>
      </c>
      <c r="D66" s="875" t="s">
        <v>15</v>
      </c>
      <c r="E66" s="872"/>
      <c r="F66" s="873">
        <f>+VLOOKUP(C66,THCKT!$C$13:$AE$460,17,0)</f>
        <v>24</v>
      </c>
      <c r="G66" s="874">
        <f t="shared" si="0"/>
        <v>600000</v>
      </c>
      <c r="H66" s="874"/>
      <c r="I66" s="874"/>
      <c r="J66" s="874"/>
      <c r="K66" s="874" t="e">
        <f>VLOOKUP(C66,THCKT!$C$13:$AL$460,21,0)</f>
        <v>#N/A</v>
      </c>
      <c r="L66" s="883">
        <f>VLOOKUP(C66,THCKT!$C$13:$AL$460,22,0)</f>
        <v>0</v>
      </c>
      <c r="M66" s="883">
        <f>VLOOKUP(C66,THCKT!$C$13:$AL$460,23,0)</f>
        <v>0</v>
      </c>
      <c r="N66" s="883" t="e">
        <f t="shared" si="7"/>
        <v>#N/A</v>
      </c>
      <c r="O66" s="883" t="e">
        <f>Q66/((Q66/(N66*$F$9)*$F$8))</f>
        <v>#N/A</v>
      </c>
      <c r="P66" s="884" t="e">
        <f>VLOOKUP(C66,THCKT!$C$13:$AL$460,36,0)</f>
        <v>#N/A</v>
      </c>
      <c r="Q66" s="887" t="e">
        <f t="shared" si="4"/>
        <v>#N/A</v>
      </c>
      <c r="R66" s="874" t="e">
        <f>VLOOKUP(C66,'LƯƠNG KT'!$D$15:$P$94,16,0)</f>
        <v>#N/A</v>
      </c>
      <c r="S66" s="874" t="e">
        <f>VLOOKUP(C66,'LƯƠNG KT'!$D$15:$P$94,17,0)</f>
        <v>#N/A</v>
      </c>
      <c r="T66" s="874" t="e">
        <f>VLOOKUP(C66,'LƯƠNG KT'!$D$15:$P$94,18,0)</f>
        <v>#N/A</v>
      </c>
      <c r="U66" s="874" t="e">
        <f>VLOOKUP(C66,'LƯƠNG KT'!$D$15:$P$94,18,0)</f>
        <v>#N/A</v>
      </c>
      <c r="V66" s="874" t="e">
        <f>VLOOKUP(C66,'LƯƠNG KT'!$D$15:$P$94,19,0)</f>
        <v>#N/A</v>
      </c>
      <c r="W66" s="874" t="e">
        <f>VLOOKUP(C66,'LƯƠNG KT'!$D$15:$P$94,20,0)</f>
        <v>#N/A</v>
      </c>
      <c r="X66" s="874" t="e">
        <f>VLOOKUP(C66,'LƯƠNG KT'!$D$15:$P$94,21,0)</f>
        <v>#N/A</v>
      </c>
      <c r="Y66" s="874" t="e">
        <f>VLOOKUP(C66,'LƯƠNG KT'!$D$15:$P$94,23,0)</f>
        <v>#N/A</v>
      </c>
      <c r="Z66" s="874" t="e">
        <f>VLOOKUP(C66,'LƯƠNG KT'!$D$15:$P$94,24,0)</f>
        <v>#N/A</v>
      </c>
      <c r="AA66" s="874">
        <v>20</v>
      </c>
      <c r="AB66" s="874"/>
      <c r="AC66" s="889" t="e">
        <f t="shared" si="5"/>
        <v>#N/A</v>
      </c>
      <c r="AD66" s="889" t="e">
        <f t="shared" si="8"/>
        <v>#N/A</v>
      </c>
      <c r="AE66" s="889" t="e">
        <f t="shared" si="3"/>
        <v>#N/A</v>
      </c>
      <c r="AF66" s="915"/>
      <c r="AG66" s="891"/>
      <c r="AH66" s="922" t="s">
        <v>2751</v>
      </c>
      <c r="AI66" s="637"/>
    </row>
    <row r="67" spans="1:35" s="540" customFormat="1" ht="20.25" customHeight="1">
      <c r="A67" s="868">
        <v>54</v>
      </c>
      <c r="B67" s="1644" t="str">
        <f>VLOOKUP(C67,'DS CN MOI UP'!$B$10:$C$389,2,0)</f>
        <v>03373</v>
      </c>
      <c r="C67" s="931" t="s">
        <v>177</v>
      </c>
      <c r="D67" s="875" t="s">
        <v>15</v>
      </c>
      <c r="E67" s="872"/>
      <c r="F67" s="873">
        <f>+VLOOKUP(C67,THCKT!$C$13:$AE$460,17,0)</f>
        <v>24</v>
      </c>
      <c r="G67" s="874">
        <f t="shared" si="0"/>
        <v>600000</v>
      </c>
      <c r="H67" s="874"/>
      <c r="I67" s="874"/>
      <c r="J67" s="874"/>
      <c r="K67" s="874" t="e">
        <f>VLOOKUP(C67,THCKT!$C$13:$AL$460,21,0)</f>
        <v>#N/A</v>
      </c>
      <c r="L67" s="883">
        <f>VLOOKUP(C67,THCKT!$C$13:$AL$460,22,0)</f>
        <v>0</v>
      </c>
      <c r="M67" s="883">
        <f>VLOOKUP(C67,THCKT!$C$13:$AL$460,23,0)</f>
        <v>0</v>
      </c>
      <c r="N67" s="883" t="e">
        <f t="shared" si="7"/>
        <v>#N/A</v>
      </c>
      <c r="O67" s="883" t="e">
        <f t="shared" si="7"/>
        <v>#N/A</v>
      </c>
      <c r="P67" s="884" t="e">
        <f>VLOOKUP(C67,THCKT!$C$13:$AL$460,36,0)</f>
        <v>#N/A</v>
      </c>
      <c r="Q67" s="887" t="e">
        <f t="shared" si="4"/>
        <v>#N/A</v>
      </c>
      <c r="R67" s="874" t="e">
        <f>VLOOKUP(C67,'LƯƠNG KT'!$D$15:$P$94,16,0)</f>
        <v>#N/A</v>
      </c>
      <c r="S67" s="874" t="e">
        <f>VLOOKUP(C67,'LƯƠNG KT'!$D$15:$P$94,17,0)</f>
        <v>#N/A</v>
      </c>
      <c r="T67" s="874" t="e">
        <f>VLOOKUP(C67,'LƯƠNG KT'!$D$15:$P$94,18,0)</f>
        <v>#N/A</v>
      </c>
      <c r="U67" s="874" t="e">
        <f>VLOOKUP(C67,'LƯƠNG KT'!$D$15:$P$94,18,0)</f>
        <v>#N/A</v>
      </c>
      <c r="V67" s="874" t="e">
        <f>VLOOKUP(C67,'LƯƠNG KT'!$D$15:$P$94,19,0)</f>
        <v>#N/A</v>
      </c>
      <c r="W67" s="874" t="e">
        <f>VLOOKUP(C67,'LƯƠNG KT'!$D$15:$P$94,20,0)</f>
        <v>#N/A</v>
      </c>
      <c r="X67" s="874" t="e">
        <f>VLOOKUP(C67,'LƯƠNG KT'!$D$15:$P$94,21,0)</f>
        <v>#N/A</v>
      </c>
      <c r="Y67" s="874" t="e">
        <f>VLOOKUP(C67,'LƯƠNG KT'!$D$15:$P$94,23,0)</f>
        <v>#N/A</v>
      </c>
      <c r="Z67" s="874" t="e">
        <f>VLOOKUP(C67,'LƯƠNG KT'!$D$15:$P$94,24,0)</f>
        <v>#N/A</v>
      </c>
      <c r="AA67" s="874">
        <v>20</v>
      </c>
      <c r="AB67" s="874"/>
      <c r="AC67" s="889" t="e">
        <f t="shared" si="5"/>
        <v>#N/A</v>
      </c>
      <c r="AD67" s="889" t="e">
        <f t="shared" si="8"/>
        <v>#N/A</v>
      </c>
      <c r="AE67" s="889" t="e">
        <f t="shared" si="3"/>
        <v>#N/A</v>
      </c>
      <c r="AF67" s="915"/>
      <c r="AG67" s="891"/>
      <c r="AH67" s="922" t="s">
        <v>2751</v>
      </c>
      <c r="AI67" s="637"/>
    </row>
    <row r="68" spans="1:35" s="540" customFormat="1" ht="20.25" customHeight="1">
      <c r="A68" s="868">
        <v>55</v>
      </c>
      <c r="B68" s="1644" t="str">
        <f>VLOOKUP(C68,'DS CN MOI UP'!$B$10:$C$389,2,0)</f>
        <v>03374</v>
      </c>
      <c r="C68" s="931" t="s">
        <v>178</v>
      </c>
      <c r="D68" s="875" t="s">
        <v>15</v>
      </c>
      <c r="E68" s="872"/>
      <c r="F68" s="873">
        <f>+VLOOKUP(C68,THCKT!$C$13:$AE$460,17,0)</f>
        <v>24</v>
      </c>
      <c r="G68" s="874">
        <f t="shared" si="0"/>
        <v>600000</v>
      </c>
      <c r="H68" s="874"/>
      <c r="I68" s="874"/>
      <c r="J68" s="874"/>
      <c r="K68" s="874" t="e">
        <f>VLOOKUP(C68,THCKT!$C$13:$AL$460,21,0)</f>
        <v>#N/A</v>
      </c>
      <c r="L68" s="883">
        <f>VLOOKUP(C68,THCKT!$C$13:$AL$460,22,0)</f>
        <v>0</v>
      </c>
      <c r="M68" s="883">
        <f>VLOOKUP(C68,THCKT!$C$13:$AL$460,23,0)</f>
        <v>0</v>
      </c>
      <c r="N68" s="883" t="e">
        <f t="shared" si="7"/>
        <v>#N/A</v>
      </c>
      <c r="O68" s="883" t="e">
        <f>Q68/((Q68/(N68*$F$9)*$F$8))</f>
        <v>#N/A</v>
      </c>
      <c r="P68" s="884" t="e">
        <f>VLOOKUP(C68,THCKT!$C$13:$AL$460,36,0)</f>
        <v>#N/A</v>
      </c>
      <c r="Q68" s="887" t="e">
        <f t="shared" si="4"/>
        <v>#N/A</v>
      </c>
      <c r="R68" s="874" t="e">
        <f>VLOOKUP(C68,'LƯƠNG KT'!$D$15:$P$94,16,0)</f>
        <v>#N/A</v>
      </c>
      <c r="S68" s="874" t="e">
        <f>VLOOKUP(C68,'LƯƠNG KT'!$D$15:$P$94,17,0)</f>
        <v>#N/A</v>
      </c>
      <c r="T68" s="874" t="e">
        <f>VLOOKUP(C68,'LƯƠNG KT'!$D$15:$P$94,18,0)</f>
        <v>#N/A</v>
      </c>
      <c r="U68" s="874" t="e">
        <f>VLOOKUP(C68,'LƯƠNG KT'!$D$15:$P$94,18,0)</f>
        <v>#N/A</v>
      </c>
      <c r="V68" s="874" t="e">
        <f>VLOOKUP(C68,'LƯƠNG KT'!$D$15:$P$94,19,0)</f>
        <v>#N/A</v>
      </c>
      <c r="W68" s="874" t="e">
        <f>VLOOKUP(C68,'LƯƠNG KT'!$D$15:$P$94,20,0)</f>
        <v>#N/A</v>
      </c>
      <c r="X68" s="874" t="e">
        <f>VLOOKUP(C68,'LƯƠNG KT'!$D$15:$P$94,21,0)</f>
        <v>#N/A</v>
      </c>
      <c r="Y68" s="874" t="e">
        <f>VLOOKUP(C68,'LƯƠNG KT'!$D$15:$P$94,23,0)</f>
        <v>#N/A</v>
      </c>
      <c r="Z68" s="874" t="e">
        <f>VLOOKUP(C68,'LƯƠNG KT'!$D$15:$P$94,24,0)</f>
        <v>#N/A</v>
      </c>
      <c r="AA68" s="874">
        <v>20</v>
      </c>
      <c r="AB68" s="874"/>
      <c r="AC68" s="889" t="e">
        <f t="shared" si="5"/>
        <v>#N/A</v>
      </c>
      <c r="AD68" s="889" t="e">
        <f t="shared" si="8"/>
        <v>#N/A</v>
      </c>
      <c r="AE68" s="889" t="e">
        <f t="shared" si="3"/>
        <v>#N/A</v>
      </c>
      <c r="AF68" s="915"/>
      <c r="AG68" s="891"/>
      <c r="AH68" s="922" t="s">
        <v>2751</v>
      </c>
      <c r="AI68" s="637"/>
    </row>
    <row r="69" spans="1:35" s="540" customFormat="1" ht="20.25" customHeight="1">
      <c r="A69" s="868">
        <v>56</v>
      </c>
      <c r="B69" s="1644" t="str">
        <f>VLOOKUP(C69,'DS CN MOI UP'!$B$10:$C$389,2,0)</f>
        <v>02557</v>
      </c>
      <c r="C69" s="931" t="s">
        <v>179</v>
      </c>
      <c r="D69" s="875" t="s">
        <v>15</v>
      </c>
      <c r="E69" s="872"/>
      <c r="F69" s="873">
        <f>+VLOOKUP(C69,THCKT!$C$13:$AE$460,17,0)</f>
        <v>24</v>
      </c>
      <c r="G69" s="874">
        <f t="shared" si="0"/>
        <v>600000</v>
      </c>
      <c r="H69" s="874"/>
      <c r="I69" s="874"/>
      <c r="J69" s="874"/>
      <c r="K69" s="874" t="e">
        <f>VLOOKUP(C69,THCKT!$C$13:$AL$460,21,0)</f>
        <v>#N/A</v>
      </c>
      <c r="L69" s="883">
        <f>VLOOKUP(C69,THCKT!$C$13:$AL$460,22,0)</f>
        <v>0</v>
      </c>
      <c r="M69" s="883">
        <f>VLOOKUP(C69,THCKT!$C$13:$AL$460,23,0)</f>
        <v>0</v>
      </c>
      <c r="N69" s="883" t="e">
        <f t="shared" si="7"/>
        <v>#N/A</v>
      </c>
      <c r="O69" s="883" t="e">
        <f>Q69/((Q69/(N69*$F$9)*$F$8))</f>
        <v>#N/A</v>
      </c>
      <c r="P69" s="884" t="e">
        <f>VLOOKUP(C69,THCKT!$C$13:$AL$460,36,0)</f>
        <v>#N/A</v>
      </c>
      <c r="Q69" s="887" t="e">
        <f t="shared" si="4"/>
        <v>#N/A</v>
      </c>
      <c r="R69" s="874" t="e">
        <f>VLOOKUP(C69,'LƯƠNG KT'!$D$15:$P$94,16,0)</f>
        <v>#N/A</v>
      </c>
      <c r="S69" s="874" t="e">
        <f>VLOOKUP(C69,'LƯƠNG KT'!$D$15:$P$94,17,0)</f>
        <v>#N/A</v>
      </c>
      <c r="T69" s="874" t="e">
        <f>VLOOKUP(C69,'LƯƠNG KT'!$D$15:$P$94,18,0)</f>
        <v>#N/A</v>
      </c>
      <c r="U69" s="874" t="e">
        <f>VLOOKUP(C69,'LƯƠNG KT'!$D$15:$P$94,18,0)</f>
        <v>#N/A</v>
      </c>
      <c r="V69" s="874" t="e">
        <f>VLOOKUP(C69,'LƯƠNG KT'!$D$15:$P$94,19,0)</f>
        <v>#N/A</v>
      </c>
      <c r="W69" s="874" t="e">
        <f>VLOOKUP(C69,'LƯƠNG KT'!$D$15:$P$94,20,0)</f>
        <v>#N/A</v>
      </c>
      <c r="X69" s="874" t="e">
        <f>VLOOKUP(C69,'LƯƠNG KT'!$D$15:$P$94,21,0)</f>
        <v>#N/A</v>
      </c>
      <c r="Y69" s="874" t="e">
        <f>VLOOKUP(C69,'LƯƠNG KT'!$D$15:$P$94,23,0)</f>
        <v>#N/A</v>
      </c>
      <c r="Z69" s="874" t="e">
        <f>VLOOKUP(C69,'LƯƠNG KT'!$D$15:$P$94,24,0)</f>
        <v>#N/A</v>
      </c>
      <c r="AA69" s="874">
        <v>20</v>
      </c>
      <c r="AB69" s="874"/>
      <c r="AC69" s="889" t="e">
        <f t="shared" si="5"/>
        <v>#N/A</v>
      </c>
      <c r="AD69" s="889" t="e">
        <f t="shared" si="8"/>
        <v>#N/A</v>
      </c>
      <c r="AE69" s="889" t="e">
        <f t="shared" si="3"/>
        <v>#N/A</v>
      </c>
      <c r="AF69" s="915"/>
      <c r="AG69" s="891"/>
      <c r="AH69" s="922" t="s">
        <v>2751</v>
      </c>
      <c r="AI69" s="637"/>
    </row>
    <row r="70" spans="1:35" s="540" customFormat="1" ht="20.25" customHeight="1">
      <c r="A70" s="868">
        <v>57</v>
      </c>
      <c r="B70" s="1644" t="str">
        <f>VLOOKUP(C70,'DS CN MOI UP'!$B$10:$C$389,2,0)</f>
        <v>02525</v>
      </c>
      <c r="C70" s="931" t="s">
        <v>180</v>
      </c>
      <c r="D70" s="875" t="s">
        <v>15</v>
      </c>
      <c r="E70" s="872"/>
      <c r="F70" s="873">
        <f>+VLOOKUP(C70,THCKT!$C$13:$AE$460,17,0)</f>
        <v>24</v>
      </c>
      <c r="G70" s="874">
        <f t="shared" si="0"/>
        <v>600000</v>
      </c>
      <c r="H70" s="874"/>
      <c r="I70" s="874"/>
      <c r="J70" s="874"/>
      <c r="K70" s="874" t="e">
        <f>VLOOKUP(C70,THCKT!$C$13:$AL$460,21,0)</f>
        <v>#N/A</v>
      </c>
      <c r="L70" s="883">
        <f>VLOOKUP(C70,THCKT!$C$13:$AL$460,22,0)</f>
        <v>0</v>
      </c>
      <c r="M70" s="883">
        <f>VLOOKUP(C70,THCKT!$C$13:$AL$460,23,0)</f>
        <v>0</v>
      </c>
      <c r="N70" s="883" t="e">
        <f t="shared" si="7"/>
        <v>#N/A</v>
      </c>
      <c r="O70" s="883" t="e">
        <f t="shared" si="7"/>
        <v>#N/A</v>
      </c>
      <c r="P70" s="884" t="e">
        <f>VLOOKUP(C70,THCKT!$C$13:$AL$460,36,0)</f>
        <v>#N/A</v>
      </c>
      <c r="Q70" s="887" t="e">
        <f t="shared" si="4"/>
        <v>#N/A</v>
      </c>
      <c r="R70" s="874" t="e">
        <f>VLOOKUP(C70,'LƯƠNG KT'!$D$15:$P$94,16,0)</f>
        <v>#N/A</v>
      </c>
      <c r="S70" s="874" t="e">
        <f>VLOOKUP(C70,'LƯƠNG KT'!$D$15:$P$94,17,0)</f>
        <v>#N/A</v>
      </c>
      <c r="T70" s="874" t="e">
        <f>VLOOKUP(C70,'LƯƠNG KT'!$D$15:$P$94,18,0)</f>
        <v>#N/A</v>
      </c>
      <c r="U70" s="874" t="e">
        <f>VLOOKUP(C70,'LƯƠNG KT'!$D$15:$P$94,18,0)</f>
        <v>#N/A</v>
      </c>
      <c r="V70" s="874" t="e">
        <f>VLOOKUP(C70,'LƯƠNG KT'!$D$15:$P$94,19,0)</f>
        <v>#N/A</v>
      </c>
      <c r="W70" s="874" t="e">
        <f>VLOOKUP(C70,'LƯƠNG KT'!$D$15:$P$94,20,0)</f>
        <v>#N/A</v>
      </c>
      <c r="X70" s="874" t="e">
        <f>VLOOKUP(C70,'LƯƠNG KT'!$D$15:$P$94,21,0)</f>
        <v>#N/A</v>
      </c>
      <c r="Y70" s="874" t="e">
        <f>VLOOKUP(C70,'LƯƠNG KT'!$D$15:$P$94,23,0)</f>
        <v>#N/A</v>
      </c>
      <c r="Z70" s="874" t="e">
        <f>VLOOKUP(C70,'LƯƠNG KT'!$D$15:$P$94,24,0)</f>
        <v>#N/A</v>
      </c>
      <c r="AA70" s="874">
        <v>20</v>
      </c>
      <c r="AB70" s="874"/>
      <c r="AC70" s="889" t="e">
        <f t="shared" si="5"/>
        <v>#N/A</v>
      </c>
      <c r="AD70" s="889" t="e">
        <f t="shared" si="8"/>
        <v>#N/A</v>
      </c>
      <c r="AE70" s="889" t="e">
        <f t="shared" si="3"/>
        <v>#N/A</v>
      </c>
      <c r="AF70" s="915"/>
      <c r="AG70" s="891"/>
      <c r="AH70" s="922" t="s">
        <v>2751</v>
      </c>
      <c r="AI70" s="637"/>
    </row>
    <row r="71" spans="1:35" s="540" customFormat="1" ht="20.25" customHeight="1">
      <c r="A71" s="868">
        <v>58</v>
      </c>
      <c r="B71" s="1644" t="str">
        <f>VLOOKUP(C71,'DS CN MOI UP'!$B$10:$C$389,2,0)</f>
        <v>03375</v>
      </c>
      <c r="C71" s="931" t="s">
        <v>181</v>
      </c>
      <c r="D71" s="875" t="s">
        <v>15</v>
      </c>
      <c r="E71" s="872"/>
      <c r="F71" s="873">
        <f>+VLOOKUP(C71,THCKT!$C$13:$AE$460,17,0)</f>
        <v>24</v>
      </c>
      <c r="G71" s="874">
        <f t="shared" si="0"/>
        <v>600000</v>
      </c>
      <c r="H71" s="874"/>
      <c r="I71" s="874"/>
      <c r="J71" s="874"/>
      <c r="K71" s="874" t="e">
        <f>VLOOKUP(C71,THCKT!$C$13:$AL$460,21,0)</f>
        <v>#N/A</v>
      </c>
      <c r="L71" s="883">
        <f>VLOOKUP(C71,THCKT!$C$13:$AL$460,22,0)</f>
        <v>0</v>
      </c>
      <c r="M71" s="883">
        <f>VLOOKUP(C71,THCKT!$C$13:$AL$460,23,0)</f>
        <v>0</v>
      </c>
      <c r="N71" s="883" t="e">
        <f t="shared" si="7"/>
        <v>#N/A</v>
      </c>
      <c r="O71" s="883" t="e">
        <f>Q71/((Q71/(N71*$F$9)*$F$8))</f>
        <v>#N/A</v>
      </c>
      <c r="P71" s="884" t="e">
        <f>VLOOKUP(C71,THCKT!$C$13:$AL$460,36,0)</f>
        <v>#N/A</v>
      </c>
      <c r="Q71" s="887" t="e">
        <f t="shared" si="4"/>
        <v>#N/A</v>
      </c>
      <c r="R71" s="874" t="e">
        <f>VLOOKUP(C71,'LƯƠNG KT'!$D$15:$P$94,16,0)</f>
        <v>#N/A</v>
      </c>
      <c r="S71" s="874" t="e">
        <f>VLOOKUP(C71,'LƯƠNG KT'!$D$15:$P$94,17,0)</f>
        <v>#N/A</v>
      </c>
      <c r="T71" s="874" t="e">
        <f>VLOOKUP(C71,'LƯƠNG KT'!$D$15:$P$94,18,0)</f>
        <v>#N/A</v>
      </c>
      <c r="U71" s="874" t="e">
        <f>VLOOKUP(C71,'LƯƠNG KT'!$D$15:$P$94,18,0)</f>
        <v>#N/A</v>
      </c>
      <c r="V71" s="874" t="e">
        <f>VLOOKUP(C71,'LƯƠNG KT'!$D$15:$P$94,19,0)</f>
        <v>#N/A</v>
      </c>
      <c r="W71" s="874" t="e">
        <f>VLOOKUP(C71,'LƯƠNG KT'!$D$15:$P$94,20,0)</f>
        <v>#N/A</v>
      </c>
      <c r="X71" s="874" t="e">
        <f>VLOOKUP(C71,'LƯƠNG KT'!$D$15:$P$94,21,0)</f>
        <v>#N/A</v>
      </c>
      <c r="Y71" s="874" t="e">
        <f>VLOOKUP(C71,'LƯƠNG KT'!$D$15:$P$94,23,0)</f>
        <v>#N/A</v>
      </c>
      <c r="Z71" s="874" t="e">
        <f>VLOOKUP(C71,'LƯƠNG KT'!$D$15:$P$94,24,0)</f>
        <v>#N/A</v>
      </c>
      <c r="AA71" s="874">
        <v>20</v>
      </c>
      <c r="AB71" s="874"/>
      <c r="AC71" s="889" t="e">
        <f t="shared" si="5"/>
        <v>#N/A</v>
      </c>
      <c r="AD71" s="889" t="e">
        <f t="shared" si="8"/>
        <v>#N/A</v>
      </c>
      <c r="AE71" s="889" t="e">
        <f t="shared" si="3"/>
        <v>#N/A</v>
      </c>
      <c r="AF71" s="915"/>
      <c r="AG71" s="891"/>
      <c r="AH71" s="922" t="s">
        <v>2751</v>
      </c>
      <c r="AI71" s="637"/>
    </row>
    <row r="72" spans="1:35" s="540" customFormat="1" ht="20.25" customHeight="1">
      <c r="A72" s="868">
        <v>59</v>
      </c>
      <c r="B72" s="1644" t="str">
        <f>VLOOKUP(C72,'DS CN MOI UP'!$B$10:$C$389,2,0)</f>
        <v>02691</v>
      </c>
      <c r="C72" s="931" t="s">
        <v>182</v>
      </c>
      <c r="D72" s="875" t="s">
        <v>15</v>
      </c>
      <c r="E72" s="872"/>
      <c r="F72" s="873">
        <f>+VLOOKUP(C72,THCKT!$C$13:$AE$460,17,0)</f>
        <v>24</v>
      </c>
      <c r="G72" s="874">
        <f t="shared" si="0"/>
        <v>600000</v>
      </c>
      <c r="H72" s="874"/>
      <c r="I72" s="874"/>
      <c r="J72" s="874"/>
      <c r="K72" s="874" t="e">
        <f>VLOOKUP(C72,THCKT!$C$13:$AL$460,21,0)</f>
        <v>#N/A</v>
      </c>
      <c r="L72" s="883">
        <f>VLOOKUP(C72,THCKT!$C$13:$AL$460,22,0)</f>
        <v>0</v>
      </c>
      <c r="M72" s="883">
        <f>VLOOKUP(C72,THCKT!$C$13:$AL$460,23,0)</f>
        <v>0</v>
      </c>
      <c r="N72" s="883" t="e">
        <f t="shared" si="7"/>
        <v>#N/A</v>
      </c>
      <c r="O72" s="883" t="e">
        <f>Q72/((Q72/(N72*$F$9)*$F$8))</f>
        <v>#N/A</v>
      </c>
      <c r="P72" s="884" t="e">
        <f>VLOOKUP(C72,THCKT!$C$13:$AL$460,36,0)</f>
        <v>#N/A</v>
      </c>
      <c r="Q72" s="887" t="e">
        <f t="shared" si="4"/>
        <v>#N/A</v>
      </c>
      <c r="R72" s="874" t="e">
        <f>VLOOKUP(C72,'LƯƠNG KT'!$D$15:$P$94,16,0)</f>
        <v>#N/A</v>
      </c>
      <c r="S72" s="874" t="e">
        <f>VLOOKUP(C72,'LƯƠNG KT'!$D$15:$P$94,17,0)</f>
        <v>#N/A</v>
      </c>
      <c r="T72" s="874" t="e">
        <f>VLOOKUP(C72,'LƯƠNG KT'!$D$15:$P$94,18,0)</f>
        <v>#N/A</v>
      </c>
      <c r="U72" s="874" t="e">
        <f>VLOOKUP(C72,'LƯƠNG KT'!$D$15:$P$94,18,0)</f>
        <v>#N/A</v>
      </c>
      <c r="V72" s="874" t="e">
        <f>VLOOKUP(C72,'LƯƠNG KT'!$D$15:$P$94,19,0)</f>
        <v>#N/A</v>
      </c>
      <c r="W72" s="874" t="e">
        <f>VLOOKUP(C72,'LƯƠNG KT'!$D$15:$P$94,20,0)</f>
        <v>#N/A</v>
      </c>
      <c r="X72" s="874" t="e">
        <f>VLOOKUP(C72,'LƯƠNG KT'!$D$15:$P$94,21,0)</f>
        <v>#N/A</v>
      </c>
      <c r="Y72" s="874" t="e">
        <f>VLOOKUP(C72,'LƯƠNG KT'!$D$15:$P$94,23,0)</f>
        <v>#N/A</v>
      </c>
      <c r="Z72" s="874" t="e">
        <f>VLOOKUP(C72,'LƯƠNG KT'!$D$15:$P$94,24,0)</f>
        <v>#N/A</v>
      </c>
      <c r="AA72" s="874">
        <v>20</v>
      </c>
      <c r="AB72" s="874"/>
      <c r="AC72" s="889" t="e">
        <f t="shared" si="5"/>
        <v>#N/A</v>
      </c>
      <c r="AD72" s="889" t="e">
        <f t="shared" si="8"/>
        <v>#N/A</v>
      </c>
      <c r="AE72" s="889" t="e">
        <f t="shared" si="3"/>
        <v>#N/A</v>
      </c>
      <c r="AF72" s="915"/>
      <c r="AG72" s="891"/>
      <c r="AH72" s="922" t="s">
        <v>2751</v>
      </c>
      <c r="AI72" s="637"/>
    </row>
    <row r="73" spans="1:35" s="540" customFormat="1" ht="20.25" customHeight="1">
      <c r="A73" s="868">
        <v>60</v>
      </c>
      <c r="B73" s="1644" t="str">
        <f>VLOOKUP(C73,'DS CN MOI UP'!$B$10:$C$389,2,0)</f>
        <v>03376</v>
      </c>
      <c r="C73" s="931" t="s">
        <v>183</v>
      </c>
      <c r="D73" s="875" t="s">
        <v>15</v>
      </c>
      <c r="E73" s="872"/>
      <c r="F73" s="873">
        <f>+VLOOKUP(C73,THCKT!$C$13:$AE$460,17,0)</f>
        <v>24</v>
      </c>
      <c r="G73" s="874">
        <f t="shared" si="0"/>
        <v>600000</v>
      </c>
      <c r="H73" s="874"/>
      <c r="I73" s="874"/>
      <c r="J73" s="874"/>
      <c r="K73" s="874" t="e">
        <f>VLOOKUP(C73,THCKT!$C$13:$AL$460,21,0)</f>
        <v>#N/A</v>
      </c>
      <c r="L73" s="883">
        <f>VLOOKUP(C73,THCKT!$C$13:$AL$460,22,0)</f>
        <v>0</v>
      </c>
      <c r="M73" s="883">
        <f>VLOOKUP(C73,THCKT!$C$13:$AL$460,23,0)</f>
        <v>0</v>
      </c>
      <c r="N73" s="883" t="e">
        <f t="shared" si="7"/>
        <v>#N/A</v>
      </c>
      <c r="O73" s="883" t="e">
        <f>Q73/((Q73/(N73*$F$9)*$F$8))</f>
        <v>#N/A</v>
      </c>
      <c r="P73" s="884" t="e">
        <f>VLOOKUP(C73,THCKT!$C$13:$AL$460,36,0)</f>
        <v>#N/A</v>
      </c>
      <c r="Q73" s="887" t="e">
        <f t="shared" si="4"/>
        <v>#N/A</v>
      </c>
      <c r="R73" s="874" t="e">
        <f>VLOOKUP(C73,'LƯƠNG KT'!$D$15:$P$94,16,0)</f>
        <v>#N/A</v>
      </c>
      <c r="S73" s="874" t="e">
        <f>VLOOKUP(C73,'LƯƠNG KT'!$D$15:$P$94,17,0)</f>
        <v>#N/A</v>
      </c>
      <c r="T73" s="874" t="e">
        <f>VLOOKUP(C73,'LƯƠNG KT'!$D$15:$P$94,18,0)</f>
        <v>#N/A</v>
      </c>
      <c r="U73" s="874" t="e">
        <f>VLOOKUP(C73,'LƯƠNG KT'!$D$15:$P$94,18,0)</f>
        <v>#N/A</v>
      </c>
      <c r="V73" s="874" t="e">
        <f>VLOOKUP(C73,'LƯƠNG KT'!$D$15:$P$94,19,0)</f>
        <v>#N/A</v>
      </c>
      <c r="W73" s="874" t="e">
        <f>VLOOKUP(C73,'LƯƠNG KT'!$D$15:$P$94,20,0)</f>
        <v>#N/A</v>
      </c>
      <c r="X73" s="874" t="e">
        <f>VLOOKUP(C73,'LƯƠNG KT'!$D$15:$P$94,21,0)</f>
        <v>#N/A</v>
      </c>
      <c r="Y73" s="874" t="e">
        <f>VLOOKUP(C73,'LƯƠNG KT'!$D$15:$P$94,23,0)</f>
        <v>#N/A</v>
      </c>
      <c r="Z73" s="874" t="e">
        <f>VLOOKUP(C73,'LƯƠNG KT'!$D$15:$P$94,24,0)</f>
        <v>#N/A</v>
      </c>
      <c r="AA73" s="874">
        <v>20</v>
      </c>
      <c r="AB73" s="874"/>
      <c r="AC73" s="889" t="e">
        <f t="shared" si="5"/>
        <v>#N/A</v>
      </c>
      <c r="AD73" s="889" t="e">
        <f t="shared" si="8"/>
        <v>#N/A</v>
      </c>
      <c r="AE73" s="889" t="e">
        <f t="shared" ref="AE73:AE98" si="10">AD73</f>
        <v>#N/A</v>
      </c>
      <c r="AF73" s="915"/>
      <c r="AG73" s="891"/>
      <c r="AH73" s="922" t="s">
        <v>2751</v>
      </c>
      <c r="AI73" s="637"/>
    </row>
    <row r="74" spans="1:35" s="540" customFormat="1" ht="20.25" customHeight="1">
      <c r="A74" s="868">
        <v>61</v>
      </c>
      <c r="B74" s="1644" t="str">
        <f>VLOOKUP(C74,'DS CN MOI UP'!$B$10:$C$389,2,0)</f>
        <v>03377</v>
      </c>
      <c r="C74" s="931" t="s">
        <v>184</v>
      </c>
      <c r="D74" s="875" t="s">
        <v>15</v>
      </c>
      <c r="E74" s="872"/>
      <c r="F74" s="873">
        <f>+VLOOKUP(C74,THCKT!$C$13:$AE$460,17,0)</f>
        <v>24</v>
      </c>
      <c r="G74" s="874">
        <f t="shared" si="0"/>
        <v>600000</v>
      </c>
      <c r="H74" s="874"/>
      <c r="I74" s="874"/>
      <c r="J74" s="874"/>
      <c r="K74" s="874" t="e">
        <f>VLOOKUP(C74,THCKT!$C$13:$AL$460,21,0)</f>
        <v>#N/A</v>
      </c>
      <c r="L74" s="883">
        <f>VLOOKUP(C74,THCKT!$C$13:$AL$460,22,0)</f>
        <v>0</v>
      </c>
      <c r="M74" s="883">
        <f>VLOOKUP(C74,THCKT!$C$13:$AL$460,23,0)</f>
        <v>0</v>
      </c>
      <c r="N74" s="883" t="e">
        <f t="shared" si="7"/>
        <v>#N/A</v>
      </c>
      <c r="O74" s="883" t="e">
        <f t="shared" si="7"/>
        <v>#N/A</v>
      </c>
      <c r="P74" s="884" t="e">
        <f>VLOOKUP(C74,THCKT!$C$13:$AL$460,36,0)</f>
        <v>#N/A</v>
      </c>
      <c r="Q74" s="887" t="e">
        <f t="shared" si="4"/>
        <v>#N/A</v>
      </c>
      <c r="R74" s="874" t="e">
        <f>VLOOKUP(C74,'LƯƠNG KT'!$D$15:$P$94,16,0)</f>
        <v>#N/A</v>
      </c>
      <c r="S74" s="874" t="e">
        <f>VLOOKUP(C74,'LƯƠNG KT'!$D$15:$P$94,17,0)</f>
        <v>#N/A</v>
      </c>
      <c r="T74" s="874" t="e">
        <f>VLOOKUP(C74,'LƯƠNG KT'!$D$15:$P$94,18,0)</f>
        <v>#N/A</v>
      </c>
      <c r="U74" s="874" t="e">
        <f>VLOOKUP(C74,'LƯƠNG KT'!$D$15:$P$94,18,0)</f>
        <v>#N/A</v>
      </c>
      <c r="V74" s="874" t="e">
        <f>VLOOKUP(C74,'LƯƠNG KT'!$D$15:$P$94,19,0)</f>
        <v>#N/A</v>
      </c>
      <c r="W74" s="874" t="e">
        <f>VLOOKUP(C74,'LƯƠNG KT'!$D$15:$P$94,20,0)</f>
        <v>#N/A</v>
      </c>
      <c r="X74" s="874" t="e">
        <f>VLOOKUP(C74,'LƯƠNG KT'!$D$15:$P$94,21,0)</f>
        <v>#N/A</v>
      </c>
      <c r="Y74" s="874" t="e">
        <f>VLOOKUP(C74,'LƯƠNG KT'!$D$15:$P$94,23,0)</f>
        <v>#N/A</v>
      </c>
      <c r="Z74" s="874" t="e">
        <f>VLOOKUP(C74,'LƯƠNG KT'!$D$15:$P$94,24,0)</f>
        <v>#N/A</v>
      </c>
      <c r="AA74" s="874">
        <v>20</v>
      </c>
      <c r="AB74" s="874"/>
      <c r="AC74" s="889" t="e">
        <f t="shared" si="5"/>
        <v>#N/A</v>
      </c>
      <c r="AD74" s="889" t="e">
        <f t="shared" si="8"/>
        <v>#N/A</v>
      </c>
      <c r="AE74" s="889" t="e">
        <f t="shared" si="10"/>
        <v>#N/A</v>
      </c>
      <c r="AF74" s="915"/>
      <c r="AG74" s="891"/>
      <c r="AH74" s="922" t="s">
        <v>2751</v>
      </c>
      <c r="AI74" s="637"/>
    </row>
    <row r="75" spans="1:35" s="540" customFormat="1" ht="20.25" customHeight="1">
      <c r="A75" s="868">
        <v>62</v>
      </c>
      <c r="B75" s="1644" t="str">
        <f>VLOOKUP(C75,'DS CN MOI UP'!$B$10:$C$389,2,0)</f>
        <v>02541</v>
      </c>
      <c r="C75" s="931" t="s">
        <v>185</v>
      </c>
      <c r="D75" s="875" t="s">
        <v>15</v>
      </c>
      <c r="E75" s="872"/>
      <c r="F75" s="873">
        <f>+VLOOKUP(C75,THCKT!$C$13:$AE$460,17,0)</f>
        <v>24</v>
      </c>
      <c r="G75" s="874">
        <f t="shared" si="0"/>
        <v>600000</v>
      </c>
      <c r="H75" s="874"/>
      <c r="I75" s="874"/>
      <c r="J75" s="874"/>
      <c r="K75" s="874" t="e">
        <f>VLOOKUP(C75,THCKT!$C$13:$AL$460,21,0)</f>
        <v>#N/A</v>
      </c>
      <c r="L75" s="883">
        <f>VLOOKUP(C75,THCKT!$C$13:$AL$460,22,0)</f>
        <v>0</v>
      </c>
      <c r="M75" s="883">
        <f>VLOOKUP(C75,THCKT!$C$13:$AL$460,23,0)</f>
        <v>0</v>
      </c>
      <c r="N75" s="883" t="e">
        <f t="shared" si="7"/>
        <v>#N/A</v>
      </c>
      <c r="O75" s="883" t="e">
        <f>Q75/((Q75/(N75*$F$9)*$F$8))</f>
        <v>#N/A</v>
      </c>
      <c r="P75" s="884" t="e">
        <f>VLOOKUP(C75,THCKT!$C$13:$AL$460,36,0)</f>
        <v>#N/A</v>
      </c>
      <c r="Q75" s="887" t="e">
        <f t="shared" si="4"/>
        <v>#N/A</v>
      </c>
      <c r="R75" s="874" t="e">
        <f>VLOOKUP(C75,'LƯƠNG KT'!$D$15:$P$94,16,0)</f>
        <v>#N/A</v>
      </c>
      <c r="S75" s="874" t="e">
        <f>VLOOKUP(C75,'LƯƠNG KT'!$D$15:$P$94,17,0)</f>
        <v>#N/A</v>
      </c>
      <c r="T75" s="874" t="e">
        <f>VLOOKUP(C75,'LƯƠNG KT'!$D$15:$P$94,18,0)</f>
        <v>#N/A</v>
      </c>
      <c r="U75" s="874" t="e">
        <f>VLOOKUP(C75,'LƯƠNG KT'!$D$15:$P$94,18,0)</f>
        <v>#N/A</v>
      </c>
      <c r="V75" s="874" t="e">
        <f>VLOOKUP(C75,'LƯƠNG KT'!$D$15:$P$94,19,0)</f>
        <v>#N/A</v>
      </c>
      <c r="W75" s="874" t="e">
        <f>VLOOKUP(C75,'LƯƠNG KT'!$D$15:$P$94,20,0)</f>
        <v>#N/A</v>
      </c>
      <c r="X75" s="874" t="e">
        <f>VLOOKUP(C75,'LƯƠNG KT'!$D$15:$P$94,21,0)</f>
        <v>#N/A</v>
      </c>
      <c r="Y75" s="874" t="e">
        <f>VLOOKUP(C75,'LƯƠNG KT'!$D$15:$P$94,23,0)</f>
        <v>#N/A</v>
      </c>
      <c r="Z75" s="874" t="e">
        <f>VLOOKUP(C75,'LƯƠNG KT'!$D$15:$P$94,24,0)</f>
        <v>#N/A</v>
      </c>
      <c r="AA75" s="874">
        <v>20</v>
      </c>
      <c r="AB75" s="874"/>
      <c r="AC75" s="889" t="e">
        <f t="shared" si="5"/>
        <v>#N/A</v>
      </c>
      <c r="AD75" s="889" t="e">
        <f t="shared" si="8"/>
        <v>#N/A</v>
      </c>
      <c r="AE75" s="889" t="e">
        <f t="shared" si="10"/>
        <v>#N/A</v>
      </c>
      <c r="AF75" s="915"/>
      <c r="AG75" s="891"/>
      <c r="AH75" s="922" t="s">
        <v>2751</v>
      </c>
      <c r="AI75" s="637"/>
    </row>
    <row r="76" spans="1:35" s="540" customFormat="1" ht="20.25" customHeight="1">
      <c r="A76" s="868">
        <v>63</v>
      </c>
      <c r="B76" s="1644" t="str">
        <f>VLOOKUP(C76,'DS CN MOI UP'!$B$10:$C$389,2,0)</f>
        <v>02690</v>
      </c>
      <c r="C76" s="931" t="s">
        <v>186</v>
      </c>
      <c r="D76" s="875" t="s">
        <v>15</v>
      </c>
      <c r="E76" s="872"/>
      <c r="F76" s="873">
        <f>+VLOOKUP(C76,THCKT!$C$13:$AE$460,17,0)</f>
        <v>24</v>
      </c>
      <c r="G76" s="874">
        <f t="shared" si="0"/>
        <v>600000</v>
      </c>
      <c r="H76" s="874"/>
      <c r="I76" s="874"/>
      <c r="J76" s="874"/>
      <c r="K76" s="874" t="e">
        <f>VLOOKUP(C76,THCKT!$C$13:$AL$460,21,0)</f>
        <v>#N/A</v>
      </c>
      <c r="L76" s="883">
        <f>VLOOKUP(C76,THCKT!$C$13:$AL$460,22,0)</f>
        <v>0</v>
      </c>
      <c r="M76" s="883">
        <f>VLOOKUP(C76,THCKT!$C$13:$AL$460,23,0)</f>
        <v>0</v>
      </c>
      <c r="N76" s="883" t="e">
        <f t="shared" si="7"/>
        <v>#N/A</v>
      </c>
      <c r="O76" s="883" t="e">
        <f t="shared" si="7"/>
        <v>#N/A</v>
      </c>
      <c r="P76" s="884" t="e">
        <f>VLOOKUP(C76,THCKT!$C$13:$AL$460,36,0)</f>
        <v>#N/A</v>
      </c>
      <c r="Q76" s="887" t="e">
        <f t="shared" si="4"/>
        <v>#N/A</v>
      </c>
      <c r="R76" s="874" t="e">
        <f>VLOOKUP(C76,'LƯƠNG KT'!$D$15:$P$94,16,0)</f>
        <v>#N/A</v>
      </c>
      <c r="S76" s="874" t="e">
        <f>VLOOKUP(C76,'LƯƠNG KT'!$D$15:$P$94,17,0)</f>
        <v>#N/A</v>
      </c>
      <c r="T76" s="874" t="e">
        <f>VLOOKUP(C76,'LƯƠNG KT'!$D$15:$P$94,18,0)</f>
        <v>#N/A</v>
      </c>
      <c r="U76" s="874" t="e">
        <f>VLOOKUP(C76,'LƯƠNG KT'!$D$15:$P$94,18,0)</f>
        <v>#N/A</v>
      </c>
      <c r="V76" s="874" t="e">
        <f>VLOOKUP(C76,'LƯƠNG KT'!$D$15:$P$94,19,0)</f>
        <v>#N/A</v>
      </c>
      <c r="W76" s="874" t="e">
        <f>VLOOKUP(C76,'LƯƠNG KT'!$D$15:$P$94,20,0)</f>
        <v>#N/A</v>
      </c>
      <c r="X76" s="874" t="e">
        <f>VLOOKUP(C76,'LƯƠNG KT'!$D$15:$P$94,21,0)</f>
        <v>#N/A</v>
      </c>
      <c r="Y76" s="874" t="e">
        <f>VLOOKUP(C76,'LƯƠNG KT'!$D$15:$P$94,23,0)</f>
        <v>#N/A</v>
      </c>
      <c r="Z76" s="874" t="e">
        <f>VLOOKUP(C76,'LƯƠNG KT'!$D$15:$P$94,24,0)</f>
        <v>#N/A</v>
      </c>
      <c r="AA76" s="874">
        <v>20</v>
      </c>
      <c r="AB76" s="874"/>
      <c r="AC76" s="889" t="e">
        <f t="shared" si="5"/>
        <v>#N/A</v>
      </c>
      <c r="AD76" s="889" t="e">
        <f t="shared" si="8"/>
        <v>#N/A</v>
      </c>
      <c r="AE76" s="889" t="e">
        <f t="shared" si="10"/>
        <v>#N/A</v>
      </c>
      <c r="AF76" s="915"/>
      <c r="AG76" s="891"/>
      <c r="AH76" s="922" t="s">
        <v>2751</v>
      </c>
      <c r="AI76" s="637"/>
    </row>
    <row r="77" spans="1:35" s="540" customFormat="1" ht="20.25" customHeight="1">
      <c r="A77" s="868">
        <v>64</v>
      </c>
      <c r="B77" s="1644" t="str">
        <f>VLOOKUP(C77,'DS CN MOI UP'!$B$10:$C$389,2,0)</f>
        <v>03378</v>
      </c>
      <c r="C77" s="931" t="s">
        <v>187</v>
      </c>
      <c r="D77" s="875" t="s">
        <v>15</v>
      </c>
      <c r="E77" s="872"/>
      <c r="F77" s="873">
        <f>+VLOOKUP(C77,THCKT!$C$13:$AE$460,17,0)</f>
        <v>24</v>
      </c>
      <c r="G77" s="874">
        <f t="shared" si="0"/>
        <v>600000</v>
      </c>
      <c r="H77" s="874"/>
      <c r="I77" s="874"/>
      <c r="J77" s="874"/>
      <c r="K77" s="874" t="e">
        <f>VLOOKUP(C77,THCKT!$C$13:$AL$460,21,0)</f>
        <v>#N/A</v>
      </c>
      <c r="L77" s="883">
        <f>VLOOKUP(C77,THCKT!$C$13:$AL$460,22,0)</f>
        <v>0</v>
      </c>
      <c r="M77" s="883">
        <f>VLOOKUP(C77,THCKT!$C$13:$AL$460,23,0)</f>
        <v>0</v>
      </c>
      <c r="N77" s="883" t="e">
        <f t="shared" si="7"/>
        <v>#N/A</v>
      </c>
      <c r="O77" s="883" t="e">
        <f>Q77/((Q77/(N77*$F$9)*$F$8))</f>
        <v>#N/A</v>
      </c>
      <c r="P77" s="884" t="e">
        <f>VLOOKUP(C77,THCKT!$C$13:$AL$460,36,0)</f>
        <v>#N/A</v>
      </c>
      <c r="Q77" s="887" t="e">
        <f t="shared" si="4"/>
        <v>#N/A</v>
      </c>
      <c r="R77" s="874" t="e">
        <f>VLOOKUP(C77,'LƯƠNG KT'!$D$15:$P$94,16,0)</f>
        <v>#N/A</v>
      </c>
      <c r="S77" s="874" t="e">
        <f>VLOOKUP(C77,'LƯƠNG KT'!$D$15:$P$94,17,0)</f>
        <v>#N/A</v>
      </c>
      <c r="T77" s="874" t="e">
        <f>VLOOKUP(C77,'LƯƠNG KT'!$D$15:$P$94,18,0)</f>
        <v>#N/A</v>
      </c>
      <c r="U77" s="874" t="e">
        <f>VLOOKUP(C77,'LƯƠNG KT'!$D$15:$P$94,18,0)</f>
        <v>#N/A</v>
      </c>
      <c r="V77" s="874" t="e">
        <f>VLOOKUP(C77,'LƯƠNG KT'!$D$15:$P$94,19,0)</f>
        <v>#N/A</v>
      </c>
      <c r="W77" s="874" t="e">
        <f>VLOOKUP(C77,'LƯƠNG KT'!$D$15:$P$94,20,0)</f>
        <v>#N/A</v>
      </c>
      <c r="X77" s="874" t="e">
        <f>VLOOKUP(C77,'LƯƠNG KT'!$D$15:$P$94,21,0)</f>
        <v>#N/A</v>
      </c>
      <c r="Y77" s="874" t="e">
        <f>VLOOKUP(C77,'LƯƠNG KT'!$D$15:$P$94,23,0)</f>
        <v>#N/A</v>
      </c>
      <c r="Z77" s="874" t="e">
        <f>VLOOKUP(C77,'LƯƠNG KT'!$D$15:$P$94,24,0)</f>
        <v>#N/A</v>
      </c>
      <c r="AA77" s="874">
        <v>20</v>
      </c>
      <c r="AB77" s="874"/>
      <c r="AC77" s="889" t="e">
        <f t="shared" si="5"/>
        <v>#N/A</v>
      </c>
      <c r="AD77" s="889" t="e">
        <f t="shared" si="8"/>
        <v>#N/A</v>
      </c>
      <c r="AE77" s="889" t="e">
        <f t="shared" si="10"/>
        <v>#N/A</v>
      </c>
      <c r="AF77" s="915"/>
      <c r="AG77" s="891"/>
      <c r="AH77" s="922" t="s">
        <v>2751</v>
      </c>
      <c r="AI77" s="637"/>
    </row>
    <row r="78" spans="1:35" s="540" customFormat="1" ht="20.25" customHeight="1">
      <c r="A78" s="868">
        <v>65</v>
      </c>
      <c r="B78" s="1644" t="str">
        <f>VLOOKUP(C78,'DS CN MOI UP'!$B$10:$C$389,2,0)</f>
        <v>02520</v>
      </c>
      <c r="C78" s="931" t="s">
        <v>188</v>
      </c>
      <c r="D78" s="875" t="s">
        <v>15</v>
      </c>
      <c r="E78" s="872"/>
      <c r="F78" s="873">
        <f>+VLOOKUP(C78,THCKT!$C$13:$AE$460,17,0)</f>
        <v>24</v>
      </c>
      <c r="G78" s="874">
        <f t="shared" ref="G78:G98" si="11">F78*25000</f>
        <v>600000</v>
      </c>
      <c r="H78" s="874"/>
      <c r="I78" s="874"/>
      <c r="J78" s="874"/>
      <c r="K78" s="874" t="e">
        <f>VLOOKUP(C78,THCKT!$C$13:$AL$460,21,0)</f>
        <v>#N/A</v>
      </c>
      <c r="L78" s="883">
        <f>VLOOKUP(C78,THCKT!$C$13:$AL$460,22,0)</f>
        <v>0</v>
      </c>
      <c r="M78" s="883">
        <f>VLOOKUP(C78,THCKT!$C$13:$AL$460,23,0)</f>
        <v>0</v>
      </c>
      <c r="N78" s="883" t="e">
        <f t="shared" ref="N78:O97" si="12">$AI$8/$AI$7*K78+L78*$AI$9+M78*$AI$10</f>
        <v>#N/A</v>
      </c>
      <c r="O78" s="883" t="e">
        <f t="shared" si="12"/>
        <v>#N/A</v>
      </c>
      <c r="P78" s="884" t="e">
        <f>VLOOKUP(C78,THCKT!$C$13:$AL$460,36,0)</f>
        <v>#N/A</v>
      </c>
      <c r="Q78" s="887" t="e">
        <f t="shared" si="4"/>
        <v>#N/A</v>
      </c>
      <c r="R78" s="874" t="e">
        <f>VLOOKUP(C78,'LƯƠNG KT'!$D$15:$P$94,16,0)</f>
        <v>#N/A</v>
      </c>
      <c r="S78" s="874" t="e">
        <f>VLOOKUP(C78,'LƯƠNG KT'!$D$15:$P$94,17,0)</f>
        <v>#N/A</v>
      </c>
      <c r="T78" s="874" t="e">
        <f>VLOOKUP(C78,'LƯƠNG KT'!$D$15:$P$94,18,0)</f>
        <v>#N/A</v>
      </c>
      <c r="U78" s="874" t="e">
        <f>VLOOKUP(C78,'LƯƠNG KT'!$D$15:$P$94,18,0)</f>
        <v>#N/A</v>
      </c>
      <c r="V78" s="874" t="e">
        <f>VLOOKUP(C78,'LƯƠNG KT'!$D$15:$P$94,19,0)</f>
        <v>#N/A</v>
      </c>
      <c r="W78" s="874" t="e">
        <f>VLOOKUP(C78,'LƯƠNG KT'!$D$15:$P$94,20,0)</f>
        <v>#N/A</v>
      </c>
      <c r="X78" s="874" t="e">
        <f>VLOOKUP(C78,'LƯƠNG KT'!$D$15:$P$94,21,0)</f>
        <v>#N/A</v>
      </c>
      <c r="Y78" s="874" t="e">
        <f>VLOOKUP(C78,'LƯƠNG KT'!$D$15:$P$94,23,0)</f>
        <v>#N/A</v>
      </c>
      <c r="Z78" s="874" t="e">
        <f>VLOOKUP(C78,'LƯƠNG KT'!$D$15:$P$94,24,0)</f>
        <v>#N/A</v>
      </c>
      <c r="AA78" s="874">
        <v>20</v>
      </c>
      <c r="AB78" s="874"/>
      <c r="AC78" s="889" t="e">
        <f t="shared" si="5"/>
        <v>#N/A</v>
      </c>
      <c r="AD78" s="889" t="e">
        <f t="shared" ref="AD78:AD98" si="13">+AC78+Q78+G78</f>
        <v>#N/A</v>
      </c>
      <c r="AE78" s="889" t="e">
        <f t="shared" si="10"/>
        <v>#N/A</v>
      </c>
      <c r="AF78" s="915"/>
      <c r="AG78" s="891"/>
      <c r="AH78" s="922" t="s">
        <v>2751</v>
      </c>
      <c r="AI78" s="637"/>
    </row>
    <row r="79" spans="1:35" s="540" customFormat="1" ht="20.25" customHeight="1">
      <c r="A79" s="868">
        <v>66</v>
      </c>
      <c r="B79" s="1644" t="str">
        <f>VLOOKUP(C79,'DS CN MOI UP'!$B$10:$C$389,2,0)</f>
        <v>02543</v>
      </c>
      <c r="C79" s="931" t="s">
        <v>189</v>
      </c>
      <c r="D79" s="875" t="s">
        <v>15</v>
      </c>
      <c r="E79" s="872"/>
      <c r="F79" s="873">
        <f>+VLOOKUP(C79,THCKT!$C$13:$AE$460,17,0)</f>
        <v>24</v>
      </c>
      <c r="G79" s="874">
        <f t="shared" si="11"/>
        <v>600000</v>
      </c>
      <c r="H79" s="874"/>
      <c r="I79" s="874"/>
      <c r="J79" s="874"/>
      <c r="K79" s="874" t="e">
        <f>VLOOKUP(C79,THCKT!$C$13:$AL$460,21,0)</f>
        <v>#N/A</v>
      </c>
      <c r="L79" s="883">
        <f>VLOOKUP(C79,THCKT!$C$13:$AL$460,22,0)</f>
        <v>0</v>
      </c>
      <c r="M79" s="883">
        <f>VLOOKUP(C79,THCKT!$C$13:$AL$460,23,0)</f>
        <v>0</v>
      </c>
      <c r="N79" s="883" t="e">
        <f t="shared" si="12"/>
        <v>#N/A</v>
      </c>
      <c r="O79" s="883" t="e">
        <f>Q79/((Q79/(N79*$F$9)*$F$8))</f>
        <v>#N/A</v>
      </c>
      <c r="P79" s="884" t="e">
        <f>VLOOKUP(C79,THCKT!$C$13:$AL$460,36,0)</f>
        <v>#N/A</v>
      </c>
      <c r="Q79" s="887" t="e">
        <f t="shared" ref="Q79:Q98" si="14">ROUND((IF(P79="A",(K79*$AI$6*6.1),IF(P79="B",(K79*$AI$6*5.8),IF(P79="C",(K79*$AI$6*5.5),IF(P79="D",(K79*$AI$6*5.2),0))))*$F$9+(L79*$AI$9*$F$9*6.1)+M79*$F$9*$AI$10*6.1),0)</f>
        <v>#N/A</v>
      </c>
      <c r="R79" s="874" t="e">
        <f>VLOOKUP(C79,'LƯƠNG KT'!$D$15:$P$94,16,0)</f>
        <v>#N/A</v>
      </c>
      <c r="S79" s="874" t="e">
        <f>VLOOKUP(C79,'LƯƠNG KT'!$D$15:$P$94,17,0)</f>
        <v>#N/A</v>
      </c>
      <c r="T79" s="874" t="e">
        <f>VLOOKUP(C79,'LƯƠNG KT'!$D$15:$P$94,18,0)</f>
        <v>#N/A</v>
      </c>
      <c r="U79" s="874" t="e">
        <f>VLOOKUP(C79,'LƯƠNG KT'!$D$15:$P$94,18,0)</f>
        <v>#N/A</v>
      </c>
      <c r="V79" s="874" t="e">
        <f>VLOOKUP(C79,'LƯƠNG KT'!$D$15:$P$94,19,0)</f>
        <v>#N/A</v>
      </c>
      <c r="W79" s="874" t="e">
        <f>VLOOKUP(C79,'LƯƠNG KT'!$D$15:$P$94,20,0)</f>
        <v>#N/A</v>
      </c>
      <c r="X79" s="874" t="e">
        <f>VLOOKUP(C79,'LƯƠNG KT'!$D$15:$P$94,21,0)</f>
        <v>#N/A</v>
      </c>
      <c r="Y79" s="874" t="e">
        <f>VLOOKUP(C79,'LƯƠNG KT'!$D$15:$P$94,23,0)</f>
        <v>#N/A</v>
      </c>
      <c r="Z79" s="874" t="e">
        <f>VLOOKUP(C79,'LƯƠNG KT'!$D$15:$P$94,24,0)</f>
        <v>#N/A</v>
      </c>
      <c r="AA79" s="874">
        <v>20</v>
      </c>
      <c r="AB79" s="874"/>
      <c r="AC79" s="889" t="e">
        <f t="shared" ref="AC79:AC98" si="15">ROUND((((R79*46.1)+(S79*76.9)+(X79*30.7)+(U79*46.1*2)+(V79*46.1*2)+(W79*76.9*2))*$F$8),0)+T79*10000+Y79*20000+Z79*20000+AA79*25000</f>
        <v>#N/A</v>
      </c>
      <c r="AD79" s="889" t="e">
        <f t="shared" si="13"/>
        <v>#N/A</v>
      </c>
      <c r="AE79" s="889" t="e">
        <f t="shared" si="10"/>
        <v>#N/A</v>
      </c>
      <c r="AF79" s="915"/>
      <c r="AG79" s="891"/>
      <c r="AH79" s="922" t="s">
        <v>2751</v>
      </c>
      <c r="AI79" s="637"/>
    </row>
    <row r="80" spans="1:35" s="540" customFormat="1" ht="20.25" customHeight="1">
      <c r="A80" s="868">
        <v>67</v>
      </c>
      <c r="B80" s="1644" t="str">
        <f>VLOOKUP(C80,'DS CN MOI UP'!$B$10:$C$389,2,0)</f>
        <v>03379</v>
      </c>
      <c r="C80" s="931" t="s">
        <v>190</v>
      </c>
      <c r="D80" s="875" t="s">
        <v>15</v>
      </c>
      <c r="E80" s="872"/>
      <c r="F80" s="873">
        <f>+VLOOKUP(C80,THCKT!$C$13:$AE$460,17,0)</f>
        <v>24</v>
      </c>
      <c r="G80" s="874">
        <f t="shared" si="11"/>
        <v>600000</v>
      </c>
      <c r="H80" s="874"/>
      <c r="I80" s="874"/>
      <c r="J80" s="874"/>
      <c r="K80" s="874" t="e">
        <f>VLOOKUP(C80,THCKT!$C$13:$AL$460,21,0)</f>
        <v>#N/A</v>
      </c>
      <c r="L80" s="883">
        <f>VLOOKUP(C80,THCKT!$C$13:$AL$460,22,0)</f>
        <v>0</v>
      </c>
      <c r="M80" s="883">
        <f>VLOOKUP(C80,THCKT!$C$13:$AL$460,23,0)</f>
        <v>0</v>
      </c>
      <c r="N80" s="883" t="e">
        <f t="shared" si="12"/>
        <v>#N/A</v>
      </c>
      <c r="O80" s="883" t="e">
        <f>Q80/((Q80/(N80*$F$9)*$F$8))</f>
        <v>#N/A</v>
      </c>
      <c r="P80" s="884" t="e">
        <f>VLOOKUP(C80,THCKT!$C$13:$AL$460,36,0)</f>
        <v>#N/A</v>
      </c>
      <c r="Q80" s="887" t="e">
        <f t="shared" si="14"/>
        <v>#N/A</v>
      </c>
      <c r="R80" s="874" t="e">
        <f>VLOOKUP(C80,'LƯƠNG KT'!$D$15:$P$94,16,0)</f>
        <v>#N/A</v>
      </c>
      <c r="S80" s="874" t="e">
        <f>VLOOKUP(C80,'LƯƠNG KT'!$D$15:$P$94,17,0)</f>
        <v>#N/A</v>
      </c>
      <c r="T80" s="874" t="e">
        <f>VLOOKUP(C80,'LƯƠNG KT'!$D$15:$P$94,18,0)</f>
        <v>#N/A</v>
      </c>
      <c r="U80" s="874" t="e">
        <f>VLOOKUP(C80,'LƯƠNG KT'!$D$15:$P$94,18,0)</f>
        <v>#N/A</v>
      </c>
      <c r="V80" s="874" t="e">
        <f>VLOOKUP(C80,'LƯƠNG KT'!$D$15:$P$94,19,0)</f>
        <v>#N/A</v>
      </c>
      <c r="W80" s="874" t="e">
        <f>VLOOKUP(C80,'LƯƠNG KT'!$D$15:$P$94,20,0)</f>
        <v>#N/A</v>
      </c>
      <c r="X80" s="874" t="e">
        <f>VLOOKUP(C80,'LƯƠNG KT'!$D$15:$P$94,21,0)</f>
        <v>#N/A</v>
      </c>
      <c r="Y80" s="874" t="e">
        <f>VLOOKUP(C80,'LƯƠNG KT'!$D$15:$P$94,23,0)</f>
        <v>#N/A</v>
      </c>
      <c r="Z80" s="874" t="e">
        <f>VLOOKUP(C80,'LƯƠNG KT'!$D$15:$P$94,24,0)</f>
        <v>#N/A</v>
      </c>
      <c r="AA80" s="874">
        <v>20</v>
      </c>
      <c r="AB80" s="874"/>
      <c r="AC80" s="889" t="e">
        <f t="shared" si="15"/>
        <v>#N/A</v>
      </c>
      <c r="AD80" s="889" t="e">
        <f t="shared" si="13"/>
        <v>#N/A</v>
      </c>
      <c r="AE80" s="889" t="e">
        <f t="shared" si="10"/>
        <v>#N/A</v>
      </c>
      <c r="AF80" s="915"/>
      <c r="AG80" s="891"/>
      <c r="AH80" s="922" t="s">
        <v>2751</v>
      </c>
      <c r="AI80" s="637"/>
    </row>
    <row r="81" spans="1:35" s="540" customFormat="1" ht="20.25" customHeight="1">
      <c r="A81" s="868">
        <v>68</v>
      </c>
      <c r="B81" s="1644" t="str">
        <f>VLOOKUP(C81,'DS CN MOI UP'!$B$10:$C$389,2,0)</f>
        <v>03354</v>
      </c>
      <c r="C81" s="931" t="s">
        <v>191</v>
      </c>
      <c r="D81" s="875" t="s">
        <v>15</v>
      </c>
      <c r="E81" s="872"/>
      <c r="F81" s="873">
        <f>+VLOOKUP(C81,THCKT!$C$13:$AE$460,17,0)</f>
        <v>24</v>
      </c>
      <c r="G81" s="874">
        <f t="shared" si="11"/>
        <v>600000</v>
      </c>
      <c r="H81" s="874"/>
      <c r="I81" s="874"/>
      <c r="J81" s="874"/>
      <c r="K81" s="874" t="e">
        <f>VLOOKUP(C81,THCKT!$C$13:$AL$460,21,0)</f>
        <v>#N/A</v>
      </c>
      <c r="L81" s="883">
        <f>VLOOKUP(C81,THCKT!$C$13:$AL$460,22,0)</f>
        <v>0</v>
      </c>
      <c r="M81" s="883">
        <f>VLOOKUP(C81,THCKT!$C$13:$AL$460,23,0)</f>
        <v>0</v>
      </c>
      <c r="N81" s="883" t="e">
        <f t="shared" si="12"/>
        <v>#N/A</v>
      </c>
      <c r="O81" s="883" t="e">
        <f>Q81/((Q81/(N81*$F$9)*$F$8))</f>
        <v>#N/A</v>
      </c>
      <c r="P81" s="884" t="e">
        <f>VLOOKUP(C81,THCKT!$C$13:$AL$460,36,0)</f>
        <v>#N/A</v>
      </c>
      <c r="Q81" s="887" t="e">
        <f t="shared" si="14"/>
        <v>#N/A</v>
      </c>
      <c r="R81" s="874" t="e">
        <f>VLOOKUP(C81,'LƯƠNG KT'!$D$15:$P$94,16,0)</f>
        <v>#N/A</v>
      </c>
      <c r="S81" s="874" t="e">
        <f>VLOOKUP(C81,'LƯƠNG KT'!$D$15:$P$94,17,0)</f>
        <v>#N/A</v>
      </c>
      <c r="T81" s="874" t="e">
        <f>VLOOKUP(C81,'LƯƠNG KT'!$D$15:$P$94,18,0)</f>
        <v>#N/A</v>
      </c>
      <c r="U81" s="874" t="e">
        <f>VLOOKUP(C81,'LƯƠNG KT'!$D$15:$P$94,18,0)</f>
        <v>#N/A</v>
      </c>
      <c r="V81" s="874" t="e">
        <f>VLOOKUP(C81,'LƯƠNG KT'!$D$15:$P$94,19,0)</f>
        <v>#N/A</v>
      </c>
      <c r="W81" s="874" t="e">
        <f>VLOOKUP(C81,'LƯƠNG KT'!$D$15:$P$94,20,0)</f>
        <v>#N/A</v>
      </c>
      <c r="X81" s="874" t="e">
        <f>VLOOKUP(C81,'LƯƠNG KT'!$D$15:$P$94,21,0)</f>
        <v>#N/A</v>
      </c>
      <c r="Y81" s="874" t="e">
        <f>VLOOKUP(C81,'LƯƠNG KT'!$D$15:$P$94,23,0)</f>
        <v>#N/A</v>
      </c>
      <c r="Z81" s="874" t="e">
        <f>VLOOKUP(C81,'LƯƠNG KT'!$D$15:$P$94,24,0)</f>
        <v>#N/A</v>
      </c>
      <c r="AA81" s="874">
        <v>20</v>
      </c>
      <c r="AB81" s="874"/>
      <c r="AC81" s="889" t="e">
        <f t="shared" si="15"/>
        <v>#N/A</v>
      </c>
      <c r="AD81" s="889" t="e">
        <f t="shared" si="13"/>
        <v>#N/A</v>
      </c>
      <c r="AE81" s="889" t="e">
        <f t="shared" si="10"/>
        <v>#N/A</v>
      </c>
      <c r="AF81" s="915"/>
      <c r="AG81" s="891"/>
      <c r="AH81" s="922" t="s">
        <v>2751</v>
      </c>
      <c r="AI81" s="637"/>
    </row>
    <row r="82" spans="1:35" s="540" customFormat="1" ht="20.25" customHeight="1">
      <c r="A82" s="868">
        <v>69</v>
      </c>
      <c r="B82" s="869" t="e">
        <f>VLOOKUP(C82,'DS CN MOI UP'!$B$10:$C$389,2,0)</f>
        <v>#N/A</v>
      </c>
      <c r="C82" s="931" t="s">
        <v>192</v>
      </c>
      <c r="D82" s="875" t="s">
        <v>15</v>
      </c>
      <c r="E82" s="872"/>
      <c r="F82" s="873">
        <f>+VLOOKUP(C82,THCKT!$C$13:$AE$460,17,0)</f>
        <v>24</v>
      </c>
      <c r="G82" s="874">
        <f t="shared" si="11"/>
        <v>600000</v>
      </c>
      <c r="H82" s="874"/>
      <c r="I82" s="874"/>
      <c r="J82" s="874"/>
      <c r="K82" s="874" t="e">
        <f>VLOOKUP(C82,THCKT!$C$13:$AL$460,21,0)</f>
        <v>#N/A</v>
      </c>
      <c r="L82" s="883">
        <f>VLOOKUP(C82,THCKT!$C$13:$AL$460,22,0)</f>
        <v>0</v>
      </c>
      <c r="M82" s="883">
        <f>VLOOKUP(C82,THCKT!$C$13:$AL$460,23,0)</f>
        <v>0</v>
      </c>
      <c r="N82" s="883" t="e">
        <f t="shared" si="12"/>
        <v>#N/A</v>
      </c>
      <c r="O82" s="883" t="e">
        <f>Q82/((Q82/(N82*$F$9)*$F$8))</f>
        <v>#N/A</v>
      </c>
      <c r="P82" s="884" t="e">
        <f>VLOOKUP(C82,THCKT!$C$13:$AL$460,36,0)</f>
        <v>#N/A</v>
      </c>
      <c r="Q82" s="887" t="e">
        <f t="shared" si="14"/>
        <v>#N/A</v>
      </c>
      <c r="R82" s="874" t="e">
        <f>VLOOKUP(C82,'LƯƠNG KT'!$D$15:$P$94,16,0)</f>
        <v>#N/A</v>
      </c>
      <c r="S82" s="874" t="e">
        <f>VLOOKUP(C82,'LƯƠNG KT'!$D$15:$P$94,17,0)</f>
        <v>#N/A</v>
      </c>
      <c r="T82" s="874" t="e">
        <f>VLOOKUP(C82,'LƯƠNG KT'!$D$15:$P$94,18,0)</f>
        <v>#N/A</v>
      </c>
      <c r="U82" s="874" t="e">
        <f>VLOOKUP(C82,'LƯƠNG KT'!$D$15:$P$94,18,0)</f>
        <v>#N/A</v>
      </c>
      <c r="V82" s="874" t="e">
        <f>VLOOKUP(C82,'LƯƠNG KT'!$D$15:$P$94,19,0)</f>
        <v>#N/A</v>
      </c>
      <c r="W82" s="874" t="e">
        <f>VLOOKUP(C82,'LƯƠNG KT'!$D$15:$P$94,20,0)</f>
        <v>#N/A</v>
      </c>
      <c r="X82" s="874" t="e">
        <f>VLOOKUP(C82,'LƯƠNG KT'!$D$15:$P$94,21,0)</f>
        <v>#N/A</v>
      </c>
      <c r="Y82" s="874" t="e">
        <f>VLOOKUP(C82,'LƯƠNG KT'!$D$15:$P$94,23,0)</f>
        <v>#N/A</v>
      </c>
      <c r="Z82" s="874" t="e">
        <f>VLOOKUP(C82,'LƯƠNG KT'!$D$15:$P$94,24,0)</f>
        <v>#N/A</v>
      </c>
      <c r="AA82" s="874">
        <v>20</v>
      </c>
      <c r="AB82" s="874"/>
      <c r="AC82" s="889" t="e">
        <f t="shared" si="15"/>
        <v>#N/A</v>
      </c>
      <c r="AD82" s="889" t="e">
        <f t="shared" si="13"/>
        <v>#N/A</v>
      </c>
      <c r="AE82" s="889" t="e">
        <f t="shared" si="10"/>
        <v>#N/A</v>
      </c>
      <c r="AF82" s="915"/>
      <c r="AG82" s="891"/>
      <c r="AH82" s="922" t="s">
        <v>2751</v>
      </c>
      <c r="AI82" s="637"/>
    </row>
    <row r="83" spans="1:35" s="540" customFormat="1" ht="20.25" customHeight="1">
      <c r="A83" s="868">
        <v>70</v>
      </c>
      <c r="B83" s="1644" t="str">
        <f>VLOOKUP(C83,'DS CN MOI UP'!$B$10:$C$389,2,0)</f>
        <v>02529</v>
      </c>
      <c r="C83" s="931" t="s">
        <v>193</v>
      </c>
      <c r="D83" s="875" t="s">
        <v>15</v>
      </c>
      <c r="E83" s="872"/>
      <c r="F83" s="873">
        <f>+VLOOKUP(C83,THCKT!$C$13:$AE$460,17,0)</f>
        <v>24</v>
      </c>
      <c r="G83" s="874">
        <f t="shared" si="11"/>
        <v>600000</v>
      </c>
      <c r="H83" s="874"/>
      <c r="I83" s="874"/>
      <c r="J83" s="874"/>
      <c r="K83" s="874" t="e">
        <f>VLOOKUP(C83,THCKT!$C$13:$AL$460,21,0)</f>
        <v>#N/A</v>
      </c>
      <c r="L83" s="883">
        <f>VLOOKUP(C83,THCKT!$C$13:$AL$460,22,0)</f>
        <v>0</v>
      </c>
      <c r="M83" s="883">
        <f>VLOOKUP(C83,THCKT!$C$13:$AL$460,23,0)</f>
        <v>0</v>
      </c>
      <c r="N83" s="883" t="e">
        <f t="shared" si="12"/>
        <v>#N/A</v>
      </c>
      <c r="O83" s="883" t="e">
        <f t="shared" si="12"/>
        <v>#N/A</v>
      </c>
      <c r="P83" s="884" t="e">
        <f>VLOOKUP(C83,THCKT!$C$13:$AL$460,36,0)</f>
        <v>#N/A</v>
      </c>
      <c r="Q83" s="887" t="e">
        <f t="shared" si="14"/>
        <v>#N/A</v>
      </c>
      <c r="R83" s="874" t="e">
        <f>VLOOKUP(C83,'LƯƠNG KT'!$D$15:$P$94,16,0)</f>
        <v>#N/A</v>
      </c>
      <c r="S83" s="874" t="e">
        <f>VLOOKUP(C83,'LƯƠNG KT'!$D$15:$P$94,17,0)</f>
        <v>#N/A</v>
      </c>
      <c r="T83" s="874" t="e">
        <f>VLOOKUP(C83,'LƯƠNG KT'!$D$15:$P$94,18,0)</f>
        <v>#N/A</v>
      </c>
      <c r="U83" s="874" t="e">
        <f>VLOOKUP(C83,'LƯƠNG KT'!$D$15:$P$94,18,0)</f>
        <v>#N/A</v>
      </c>
      <c r="V83" s="874" t="e">
        <f>VLOOKUP(C83,'LƯƠNG KT'!$D$15:$P$94,19,0)</f>
        <v>#N/A</v>
      </c>
      <c r="W83" s="874" t="e">
        <f>VLOOKUP(C83,'LƯƠNG KT'!$D$15:$P$94,20,0)</f>
        <v>#N/A</v>
      </c>
      <c r="X83" s="874" t="e">
        <f>VLOOKUP(C83,'LƯƠNG KT'!$D$15:$P$94,21,0)</f>
        <v>#N/A</v>
      </c>
      <c r="Y83" s="874" t="e">
        <f>VLOOKUP(C83,'LƯƠNG KT'!$D$15:$P$94,23,0)</f>
        <v>#N/A</v>
      </c>
      <c r="Z83" s="874" t="e">
        <f>VLOOKUP(C83,'LƯƠNG KT'!$D$15:$P$94,24,0)</f>
        <v>#N/A</v>
      </c>
      <c r="AA83" s="874">
        <v>20</v>
      </c>
      <c r="AB83" s="874"/>
      <c r="AC83" s="889" t="e">
        <f t="shared" si="15"/>
        <v>#N/A</v>
      </c>
      <c r="AD83" s="889" t="e">
        <f t="shared" si="13"/>
        <v>#N/A</v>
      </c>
      <c r="AE83" s="889" t="e">
        <f t="shared" si="10"/>
        <v>#N/A</v>
      </c>
      <c r="AF83" s="915"/>
      <c r="AG83" s="891"/>
      <c r="AH83" s="922" t="s">
        <v>2751</v>
      </c>
      <c r="AI83" s="637"/>
    </row>
    <row r="84" spans="1:35" s="540" customFormat="1" ht="20.25" customHeight="1">
      <c r="A84" s="868">
        <v>71</v>
      </c>
      <c r="B84" s="1644" t="str">
        <f>VLOOKUP(C84,'DS CN MOI UP'!$B$10:$C$389,2,0)</f>
        <v>02531</v>
      </c>
      <c r="C84" s="931" t="s">
        <v>194</v>
      </c>
      <c r="D84" s="875" t="s">
        <v>15</v>
      </c>
      <c r="E84" s="872"/>
      <c r="F84" s="873">
        <f>+VLOOKUP(C84,THCKT!$C$13:$AE$460,17,0)</f>
        <v>24</v>
      </c>
      <c r="G84" s="874">
        <f t="shared" si="11"/>
        <v>600000</v>
      </c>
      <c r="H84" s="874"/>
      <c r="I84" s="874"/>
      <c r="J84" s="874"/>
      <c r="K84" s="874" t="e">
        <f>VLOOKUP(C84,THCKT!$C$13:$AL$460,21,0)</f>
        <v>#N/A</v>
      </c>
      <c r="L84" s="883">
        <f>VLOOKUP(C84,THCKT!$C$13:$AL$460,22,0)</f>
        <v>0</v>
      </c>
      <c r="M84" s="883">
        <f>VLOOKUP(C84,THCKT!$C$13:$AL$460,23,0)</f>
        <v>0</v>
      </c>
      <c r="N84" s="883" t="e">
        <f t="shared" si="12"/>
        <v>#N/A</v>
      </c>
      <c r="O84" s="883" t="e">
        <f>Q84/((Q84/(N84*$F$9)*$F$8))</f>
        <v>#N/A</v>
      </c>
      <c r="P84" s="884" t="e">
        <f>VLOOKUP(C84,THCKT!$C$13:$AL$460,36,0)</f>
        <v>#N/A</v>
      </c>
      <c r="Q84" s="887" t="e">
        <f t="shared" si="14"/>
        <v>#N/A</v>
      </c>
      <c r="R84" s="874" t="e">
        <f>VLOOKUP(C84,'LƯƠNG KT'!$D$15:$P$94,16,0)</f>
        <v>#N/A</v>
      </c>
      <c r="S84" s="874" t="e">
        <f>VLOOKUP(C84,'LƯƠNG KT'!$D$15:$P$94,17,0)</f>
        <v>#N/A</v>
      </c>
      <c r="T84" s="874" t="e">
        <f>VLOOKUP(C84,'LƯƠNG KT'!$D$15:$P$94,18,0)</f>
        <v>#N/A</v>
      </c>
      <c r="U84" s="874" t="e">
        <f>VLOOKUP(C84,'LƯƠNG KT'!$D$15:$P$94,18,0)</f>
        <v>#N/A</v>
      </c>
      <c r="V84" s="874" t="e">
        <f>VLOOKUP(C84,'LƯƠNG KT'!$D$15:$P$94,19,0)</f>
        <v>#N/A</v>
      </c>
      <c r="W84" s="874" t="e">
        <f>VLOOKUP(C84,'LƯƠNG KT'!$D$15:$P$94,20,0)</f>
        <v>#N/A</v>
      </c>
      <c r="X84" s="874" t="e">
        <f>VLOOKUP(C84,'LƯƠNG KT'!$D$15:$P$94,21,0)</f>
        <v>#N/A</v>
      </c>
      <c r="Y84" s="874" t="e">
        <f>VLOOKUP(C84,'LƯƠNG KT'!$D$15:$P$94,23,0)</f>
        <v>#N/A</v>
      </c>
      <c r="Z84" s="874" t="e">
        <f>VLOOKUP(C84,'LƯƠNG KT'!$D$15:$P$94,24,0)</f>
        <v>#N/A</v>
      </c>
      <c r="AA84" s="874">
        <v>20</v>
      </c>
      <c r="AB84" s="874"/>
      <c r="AC84" s="889" t="e">
        <f t="shared" si="15"/>
        <v>#N/A</v>
      </c>
      <c r="AD84" s="889" t="e">
        <f t="shared" si="13"/>
        <v>#N/A</v>
      </c>
      <c r="AE84" s="889" t="e">
        <f t="shared" si="10"/>
        <v>#N/A</v>
      </c>
      <c r="AF84" s="915"/>
      <c r="AG84" s="891"/>
      <c r="AH84" s="922" t="s">
        <v>2751</v>
      </c>
      <c r="AI84" s="637"/>
    </row>
    <row r="85" spans="1:35" s="540" customFormat="1" ht="20.25" customHeight="1">
      <c r="A85" s="868">
        <v>72</v>
      </c>
      <c r="B85" s="1644" t="str">
        <f>VLOOKUP(C85,'DS CN MOI UP'!$B$10:$C$389,2,0)</f>
        <v>02539</v>
      </c>
      <c r="C85" s="931" t="s">
        <v>195</v>
      </c>
      <c r="D85" s="875" t="s">
        <v>15</v>
      </c>
      <c r="E85" s="872"/>
      <c r="F85" s="873">
        <f>+VLOOKUP(C85,THCKT!$C$13:$AE$460,17,0)</f>
        <v>24</v>
      </c>
      <c r="G85" s="874">
        <f t="shared" si="11"/>
        <v>600000</v>
      </c>
      <c r="H85" s="874"/>
      <c r="I85" s="874"/>
      <c r="J85" s="874"/>
      <c r="K85" s="874" t="e">
        <f>VLOOKUP(C85,THCKT!$C$13:$AL$460,21,0)</f>
        <v>#N/A</v>
      </c>
      <c r="L85" s="883">
        <f>VLOOKUP(C85,THCKT!$C$13:$AL$460,22,0)</f>
        <v>0</v>
      </c>
      <c r="M85" s="883">
        <f>VLOOKUP(C85,THCKT!$C$13:$AL$460,23,0)</f>
        <v>0</v>
      </c>
      <c r="N85" s="883" t="e">
        <f t="shared" si="12"/>
        <v>#N/A</v>
      </c>
      <c r="O85" s="883" t="e">
        <f t="shared" si="12"/>
        <v>#N/A</v>
      </c>
      <c r="P85" s="884" t="e">
        <f>VLOOKUP(C85,THCKT!$C$13:$AL$460,36,0)</f>
        <v>#N/A</v>
      </c>
      <c r="Q85" s="887" t="e">
        <f t="shared" si="14"/>
        <v>#N/A</v>
      </c>
      <c r="R85" s="874" t="e">
        <f>VLOOKUP(C85,'LƯƠNG KT'!$D$15:$P$94,16,0)</f>
        <v>#N/A</v>
      </c>
      <c r="S85" s="874" t="e">
        <f>VLOOKUP(C85,'LƯƠNG KT'!$D$15:$P$94,17,0)</f>
        <v>#N/A</v>
      </c>
      <c r="T85" s="874" t="e">
        <f>VLOOKUP(C85,'LƯƠNG KT'!$D$15:$P$94,18,0)</f>
        <v>#N/A</v>
      </c>
      <c r="U85" s="874" t="e">
        <f>VLOOKUP(C85,'LƯƠNG KT'!$D$15:$P$94,18,0)</f>
        <v>#N/A</v>
      </c>
      <c r="V85" s="874" t="e">
        <f>VLOOKUP(C85,'LƯƠNG KT'!$D$15:$P$94,19,0)</f>
        <v>#N/A</v>
      </c>
      <c r="W85" s="874" t="e">
        <f>VLOOKUP(C85,'LƯƠNG KT'!$D$15:$P$94,20,0)</f>
        <v>#N/A</v>
      </c>
      <c r="X85" s="874" t="e">
        <f>VLOOKUP(C85,'LƯƠNG KT'!$D$15:$P$94,21,0)</f>
        <v>#N/A</v>
      </c>
      <c r="Y85" s="874" t="e">
        <f>VLOOKUP(C85,'LƯƠNG KT'!$D$15:$P$94,23,0)</f>
        <v>#N/A</v>
      </c>
      <c r="Z85" s="874" t="e">
        <f>VLOOKUP(C85,'LƯƠNG KT'!$D$15:$P$94,24,0)</f>
        <v>#N/A</v>
      </c>
      <c r="AA85" s="874">
        <v>20</v>
      </c>
      <c r="AB85" s="874"/>
      <c r="AC85" s="889" t="e">
        <f t="shared" si="15"/>
        <v>#N/A</v>
      </c>
      <c r="AD85" s="889" t="e">
        <f t="shared" si="13"/>
        <v>#N/A</v>
      </c>
      <c r="AE85" s="889" t="e">
        <f t="shared" si="10"/>
        <v>#N/A</v>
      </c>
      <c r="AF85" s="915"/>
      <c r="AG85" s="891"/>
      <c r="AH85" s="922" t="s">
        <v>2751</v>
      </c>
      <c r="AI85" s="637"/>
    </row>
    <row r="86" spans="1:35" s="540" customFormat="1" ht="20.25" customHeight="1">
      <c r="A86" s="868">
        <v>73</v>
      </c>
      <c r="B86" s="1644" t="str">
        <f>VLOOKUP(C86,'DS CN MOI UP'!$B$10:$C$389,2,0)</f>
        <v>03380</v>
      </c>
      <c r="C86" s="931" t="s">
        <v>196</v>
      </c>
      <c r="D86" s="875" t="s">
        <v>15</v>
      </c>
      <c r="E86" s="872"/>
      <c r="F86" s="873">
        <f>+VLOOKUP(C86,THCKT!$C$13:$AE$460,17,0)</f>
        <v>24</v>
      </c>
      <c r="G86" s="874">
        <f t="shared" si="11"/>
        <v>600000</v>
      </c>
      <c r="H86" s="874"/>
      <c r="I86" s="874"/>
      <c r="J86" s="874"/>
      <c r="K86" s="874" t="e">
        <f>VLOOKUP(C86,THCKT!$C$13:$AL$460,21,0)</f>
        <v>#N/A</v>
      </c>
      <c r="L86" s="883">
        <f>VLOOKUP(C86,THCKT!$C$13:$AL$460,22,0)</f>
        <v>0</v>
      </c>
      <c r="M86" s="883">
        <f>VLOOKUP(C86,THCKT!$C$13:$AL$460,23,0)</f>
        <v>0</v>
      </c>
      <c r="N86" s="883" t="e">
        <f t="shared" si="12"/>
        <v>#N/A</v>
      </c>
      <c r="O86" s="883" t="e">
        <f t="shared" si="12"/>
        <v>#N/A</v>
      </c>
      <c r="P86" s="884" t="e">
        <f>VLOOKUP(C86,THCKT!$C$13:$AL$460,36,0)</f>
        <v>#N/A</v>
      </c>
      <c r="Q86" s="887" t="e">
        <f t="shared" si="14"/>
        <v>#N/A</v>
      </c>
      <c r="R86" s="874" t="e">
        <f>VLOOKUP(C86,'LƯƠNG KT'!$D$15:$P$94,16,0)</f>
        <v>#N/A</v>
      </c>
      <c r="S86" s="874" t="e">
        <f>VLOOKUP(C86,'LƯƠNG KT'!$D$15:$P$94,17,0)</f>
        <v>#N/A</v>
      </c>
      <c r="T86" s="874" t="e">
        <f>VLOOKUP(C86,'LƯƠNG KT'!$D$15:$P$94,18,0)</f>
        <v>#N/A</v>
      </c>
      <c r="U86" s="874" t="e">
        <f>VLOOKUP(C86,'LƯƠNG KT'!$D$15:$P$94,18,0)</f>
        <v>#N/A</v>
      </c>
      <c r="V86" s="874" t="e">
        <f>VLOOKUP(C86,'LƯƠNG KT'!$D$15:$P$94,19,0)</f>
        <v>#N/A</v>
      </c>
      <c r="W86" s="874" t="e">
        <f>VLOOKUP(C86,'LƯƠNG KT'!$D$15:$P$94,20,0)</f>
        <v>#N/A</v>
      </c>
      <c r="X86" s="874" t="e">
        <f>VLOOKUP(C86,'LƯƠNG KT'!$D$15:$P$94,21,0)</f>
        <v>#N/A</v>
      </c>
      <c r="Y86" s="874" t="e">
        <f>VLOOKUP(C86,'LƯƠNG KT'!$D$15:$P$94,23,0)</f>
        <v>#N/A</v>
      </c>
      <c r="Z86" s="874" t="e">
        <f>VLOOKUP(C86,'LƯƠNG KT'!$D$15:$P$94,24,0)</f>
        <v>#N/A</v>
      </c>
      <c r="AA86" s="874">
        <v>20</v>
      </c>
      <c r="AB86" s="874"/>
      <c r="AC86" s="889" t="e">
        <f t="shared" si="15"/>
        <v>#N/A</v>
      </c>
      <c r="AD86" s="889" t="e">
        <f t="shared" si="13"/>
        <v>#N/A</v>
      </c>
      <c r="AE86" s="889" t="e">
        <f t="shared" si="10"/>
        <v>#N/A</v>
      </c>
      <c r="AF86" s="915"/>
      <c r="AG86" s="891"/>
      <c r="AH86" s="922" t="s">
        <v>2751</v>
      </c>
      <c r="AI86" s="637"/>
    </row>
    <row r="87" spans="1:35" s="540" customFormat="1" ht="20.25" customHeight="1">
      <c r="A87" s="868">
        <v>74</v>
      </c>
      <c r="B87" s="1644" t="str">
        <f>VLOOKUP(C87,'DS CN MOI UP'!$B$10:$C$389,2,0)</f>
        <v>02561</v>
      </c>
      <c r="C87" s="931" t="s">
        <v>197</v>
      </c>
      <c r="D87" s="875" t="s">
        <v>15</v>
      </c>
      <c r="E87" s="872"/>
      <c r="F87" s="873">
        <f>+VLOOKUP(C87,THCKT!$C$13:$AE$460,17,0)</f>
        <v>24</v>
      </c>
      <c r="G87" s="874">
        <f t="shared" si="11"/>
        <v>600000</v>
      </c>
      <c r="H87" s="874"/>
      <c r="I87" s="874"/>
      <c r="J87" s="874"/>
      <c r="K87" s="874" t="e">
        <f>VLOOKUP(C87,THCKT!$C$13:$AL$460,21,0)</f>
        <v>#N/A</v>
      </c>
      <c r="L87" s="883">
        <f>VLOOKUP(C87,THCKT!$C$13:$AL$460,22,0)</f>
        <v>0</v>
      </c>
      <c r="M87" s="883">
        <f>VLOOKUP(C87,THCKT!$C$13:$AL$460,23,0)</f>
        <v>0</v>
      </c>
      <c r="N87" s="883" t="e">
        <f t="shared" si="12"/>
        <v>#N/A</v>
      </c>
      <c r="O87" s="883" t="e">
        <f>Q87/((Q87/(N87*$F$9)*$F$8))</f>
        <v>#N/A</v>
      </c>
      <c r="P87" s="884" t="e">
        <f>VLOOKUP(C87,THCKT!$C$13:$AL$460,36,0)</f>
        <v>#N/A</v>
      </c>
      <c r="Q87" s="887" t="e">
        <f t="shared" si="14"/>
        <v>#N/A</v>
      </c>
      <c r="R87" s="874" t="e">
        <f>VLOOKUP(C87,'LƯƠNG KT'!$D$15:$P$94,16,0)</f>
        <v>#N/A</v>
      </c>
      <c r="S87" s="874" t="e">
        <f>VLOOKUP(C87,'LƯƠNG KT'!$D$15:$P$94,17,0)</f>
        <v>#N/A</v>
      </c>
      <c r="T87" s="874" t="e">
        <f>VLOOKUP(C87,'LƯƠNG KT'!$D$15:$P$94,18,0)</f>
        <v>#N/A</v>
      </c>
      <c r="U87" s="874" t="e">
        <f>VLOOKUP(C87,'LƯƠNG KT'!$D$15:$P$94,18,0)</f>
        <v>#N/A</v>
      </c>
      <c r="V87" s="874" t="e">
        <f>VLOOKUP(C87,'LƯƠNG KT'!$D$15:$P$94,19,0)</f>
        <v>#N/A</v>
      </c>
      <c r="W87" s="874" t="e">
        <f>VLOOKUP(C87,'LƯƠNG KT'!$D$15:$P$94,20,0)</f>
        <v>#N/A</v>
      </c>
      <c r="X87" s="874" t="e">
        <f>VLOOKUP(C87,'LƯƠNG KT'!$D$15:$P$94,21,0)</f>
        <v>#N/A</v>
      </c>
      <c r="Y87" s="874" t="e">
        <f>VLOOKUP(C87,'LƯƠNG KT'!$D$15:$P$94,23,0)</f>
        <v>#N/A</v>
      </c>
      <c r="Z87" s="874" t="e">
        <f>VLOOKUP(C87,'LƯƠNG KT'!$D$15:$P$94,24,0)</f>
        <v>#N/A</v>
      </c>
      <c r="AA87" s="874">
        <v>20</v>
      </c>
      <c r="AB87" s="874"/>
      <c r="AC87" s="889" t="e">
        <f t="shared" si="15"/>
        <v>#N/A</v>
      </c>
      <c r="AD87" s="889" t="e">
        <f t="shared" si="13"/>
        <v>#N/A</v>
      </c>
      <c r="AE87" s="889" t="e">
        <f t="shared" si="10"/>
        <v>#N/A</v>
      </c>
      <c r="AF87" s="915"/>
      <c r="AG87" s="891"/>
      <c r="AH87" s="922" t="s">
        <v>2751</v>
      </c>
      <c r="AI87" s="637"/>
    </row>
    <row r="88" spans="1:35" s="540" customFormat="1" ht="20.25" customHeight="1">
      <c r="A88" s="868">
        <v>75</v>
      </c>
      <c r="B88" s="1644" t="str">
        <f>VLOOKUP(C88,'DS CN MOI UP'!$B$10:$C$389,2,0)</f>
        <v>02533</v>
      </c>
      <c r="C88" s="931" t="s">
        <v>198</v>
      </c>
      <c r="D88" s="875" t="s">
        <v>15</v>
      </c>
      <c r="E88" s="872"/>
      <c r="F88" s="873">
        <f>+VLOOKUP(C88,THCKT!$C$13:$AE$460,17,0)</f>
        <v>24</v>
      </c>
      <c r="G88" s="874">
        <f t="shared" si="11"/>
        <v>600000</v>
      </c>
      <c r="H88" s="874"/>
      <c r="I88" s="874"/>
      <c r="J88" s="874"/>
      <c r="K88" s="874" t="e">
        <f>VLOOKUP(C88,THCKT!$C$13:$AL$460,21,0)</f>
        <v>#N/A</v>
      </c>
      <c r="L88" s="883">
        <f>VLOOKUP(C88,THCKT!$C$13:$AL$460,22,0)</f>
        <v>0</v>
      </c>
      <c r="M88" s="883">
        <f>VLOOKUP(C88,THCKT!$C$13:$AL$460,23,0)</f>
        <v>0</v>
      </c>
      <c r="N88" s="883" t="e">
        <f t="shared" si="12"/>
        <v>#N/A</v>
      </c>
      <c r="O88" s="883" t="e">
        <f t="shared" si="12"/>
        <v>#N/A</v>
      </c>
      <c r="P88" s="884" t="e">
        <f>VLOOKUP(C88,THCKT!$C$13:$AL$460,36,0)</f>
        <v>#N/A</v>
      </c>
      <c r="Q88" s="887" t="e">
        <f t="shared" si="14"/>
        <v>#N/A</v>
      </c>
      <c r="R88" s="874" t="e">
        <f>VLOOKUP(C88,'LƯƠNG KT'!$D$15:$P$94,16,0)</f>
        <v>#N/A</v>
      </c>
      <c r="S88" s="874" t="e">
        <f>VLOOKUP(C88,'LƯƠNG KT'!$D$15:$P$94,17,0)</f>
        <v>#N/A</v>
      </c>
      <c r="T88" s="874" t="e">
        <f>VLOOKUP(C88,'LƯƠNG KT'!$D$15:$P$94,18,0)</f>
        <v>#N/A</v>
      </c>
      <c r="U88" s="874" t="e">
        <f>VLOOKUP(C88,'LƯƠNG KT'!$D$15:$P$94,18,0)</f>
        <v>#N/A</v>
      </c>
      <c r="V88" s="874" t="e">
        <f>VLOOKUP(C88,'LƯƠNG KT'!$D$15:$P$94,19,0)</f>
        <v>#N/A</v>
      </c>
      <c r="W88" s="874" t="e">
        <f>VLOOKUP(C88,'LƯƠNG KT'!$D$15:$P$94,20,0)</f>
        <v>#N/A</v>
      </c>
      <c r="X88" s="874" t="e">
        <f>VLOOKUP(C88,'LƯƠNG KT'!$D$15:$P$94,21,0)</f>
        <v>#N/A</v>
      </c>
      <c r="Y88" s="874" t="e">
        <f>VLOOKUP(C88,'LƯƠNG KT'!$D$15:$P$94,23,0)</f>
        <v>#N/A</v>
      </c>
      <c r="Z88" s="874" t="e">
        <f>VLOOKUP(C88,'LƯƠNG KT'!$D$15:$P$94,24,0)</f>
        <v>#N/A</v>
      </c>
      <c r="AA88" s="874">
        <v>20</v>
      </c>
      <c r="AB88" s="874"/>
      <c r="AC88" s="889" t="e">
        <f t="shared" si="15"/>
        <v>#N/A</v>
      </c>
      <c r="AD88" s="889" t="e">
        <f t="shared" si="13"/>
        <v>#N/A</v>
      </c>
      <c r="AE88" s="889" t="e">
        <f t="shared" si="10"/>
        <v>#N/A</v>
      </c>
      <c r="AF88" s="915"/>
      <c r="AG88" s="891"/>
      <c r="AH88" s="922" t="s">
        <v>2751</v>
      </c>
      <c r="AI88" s="637"/>
    </row>
    <row r="89" spans="1:35" s="540" customFormat="1" ht="20.25" customHeight="1">
      <c r="A89" s="868">
        <v>76</v>
      </c>
      <c r="B89" s="1644" t="str">
        <f>VLOOKUP(C89,'DS CN MOI UP'!$B$10:$C$389,2,0)</f>
        <v>02547</v>
      </c>
      <c r="C89" s="931" t="s">
        <v>199</v>
      </c>
      <c r="D89" s="875" t="s">
        <v>15</v>
      </c>
      <c r="E89" s="872"/>
      <c r="F89" s="873">
        <f>+VLOOKUP(C89,THCKT!$C$13:$AE$460,17,0)</f>
        <v>24</v>
      </c>
      <c r="G89" s="874">
        <f t="shared" si="11"/>
        <v>600000</v>
      </c>
      <c r="H89" s="874"/>
      <c r="I89" s="874"/>
      <c r="J89" s="874"/>
      <c r="K89" s="874" t="e">
        <f>VLOOKUP(C89,THCKT!$C$13:$AL$460,21,0)</f>
        <v>#N/A</v>
      </c>
      <c r="L89" s="883">
        <f>VLOOKUP(C89,THCKT!$C$13:$AL$460,22,0)</f>
        <v>0</v>
      </c>
      <c r="M89" s="883">
        <f>VLOOKUP(C89,THCKT!$C$13:$AL$460,23,0)</f>
        <v>0</v>
      </c>
      <c r="N89" s="883" t="e">
        <f t="shared" si="12"/>
        <v>#N/A</v>
      </c>
      <c r="O89" s="883" t="e">
        <f>Q89/((Q89/(N89*$F$9)*$F$8))</f>
        <v>#N/A</v>
      </c>
      <c r="P89" s="884" t="e">
        <f>VLOOKUP(C89,THCKT!$C$13:$AL$460,36,0)</f>
        <v>#N/A</v>
      </c>
      <c r="Q89" s="887" t="e">
        <f t="shared" si="14"/>
        <v>#N/A</v>
      </c>
      <c r="R89" s="874" t="e">
        <f>VLOOKUP(C89,'LƯƠNG KT'!$D$15:$P$94,16,0)</f>
        <v>#N/A</v>
      </c>
      <c r="S89" s="874" t="e">
        <f>VLOOKUP(C89,'LƯƠNG KT'!$D$15:$P$94,17,0)</f>
        <v>#N/A</v>
      </c>
      <c r="T89" s="874" t="e">
        <f>VLOOKUP(C89,'LƯƠNG KT'!$D$15:$P$94,18,0)</f>
        <v>#N/A</v>
      </c>
      <c r="U89" s="874" t="e">
        <f>VLOOKUP(C89,'LƯƠNG KT'!$D$15:$P$94,18,0)</f>
        <v>#N/A</v>
      </c>
      <c r="V89" s="874" t="e">
        <f>VLOOKUP(C89,'LƯƠNG KT'!$D$15:$P$94,19,0)</f>
        <v>#N/A</v>
      </c>
      <c r="W89" s="874" t="e">
        <f>VLOOKUP(C89,'LƯƠNG KT'!$D$15:$P$94,20,0)</f>
        <v>#N/A</v>
      </c>
      <c r="X89" s="874" t="e">
        <f>VLOOKUP(C89,'LƯƠNG KT'!$D$15:$P$94,21,0)</f>
        <v>#N/A</v>
      </c>
      <c r="Y89" s="874" t="e">
        <f>VLOOKUP(C89,'LƯƠNG KT'!$D$15:$P$94,23,0)</f>
        <v>#N/A</v>
      </c>
      <c r="Z89" s="874" t="e">
        <f>VLOOKUP(C89,'LƯƠNG KT'!$D$15:$P$94,24,0)</f>
        <v>#N/A</v>
      </c>
      <c r="AA89" s="874">
        <v>20</v>
      </c>
      <c r="AB89" s="874"/>
      <c r="AC89" s="889" t="e">
        <f t="shared" si="15"/>
        <v>#N/A</v>
      </c>
      <c r="AD89" s="889" t="e">
        <f t="shared" si="13"/>
        <v>#N/A</v>
      </c>
      <c r="AE89" s="889" t="e">
        <f t="shared" si="10"/>
        <v>#N/A</v>
      </c>
      <c r="AF89" s="915"/>
      <c r="AG89" s="891"/>
      <c r="AH89" s="922" t="s">
        <v>2751</v>
      </c>
      <c r="AI89" s="637"/>
    </row>
    <row r="90" spans="1:35" s="540" customFormat="1" ht="20.25" customHeight="1">
      <c r="A90" s="868">
        <v>77</v>
      </c>
      <c r="B90" s="1644" t="str">
        <f>VLOOKUP(C90,'DS CN MOI UP'!$B$10:$C$389,2,0)</f>
        <v>02550</v>
      </c>
      <c r="C90" s="931" t="s">
        <v>200</v>
      </c>
      <c r="D90" s="875" t="s">
        <v>15</v>
      </c>
      <c r="E90" s="872"/>
      <c r="F90" s="873">
        <f>+VLOOKUP(C90,THCKT!$C$13:$AE$460,17,0)</f>
        <v>24</v>
      </c>
      <c r="G90" s="874">
        <f t="shared" si="11"/>
        <v>600000</v>
      </c>
      <c r="H90" s="874"/>
      <c r="I90" s="874"/>
      <c r="J90" s="874"/>
      <c r="K90" s="874" t="e">
        <f>VLOOKUP(C90,THCKT!$C$13:$AL$460,21,0)</f>
        <v>#N/A</v>
      </c>
      <c r="L90" s="883">
        <f>VLOOKUP(C90,THCKT!$C$13:$AL$460,22,0)</f>
        <v>0</v>
      </c>
      <c r="M90" s="883">
        <f>VLOOKUP(C90,THCKT!$C$13:$AL$460,23,0)</f>
        <v>0</v>
      </c>
      <c r="N90" s="883" t="e">
        <f t="shared" si="12"/>
        <v>#N/A</v>
      </c>
      <c r="O90" s="883" t="e">
        <f>Q90/((Q90/(N90*$F$9)*$F$8))</f>
        <v>#N/A</v>
      </c>
      <c r="P90" s="884" t="e">
        <f>VLOOKUP(C90,THCKT!$C$13:$AL$460,36,0)</f>
        <v>#N/A</v>
      </c>
      <c r="Q90" s="887" t="e">
        <f t="shared" si="14"/>
        <v>#N/A</v>
      </c>
      <c r="R90" s="874" t="e">
        <f>VLOOKUP(C90,'LƯƠNG KT'!$D$15:$P$94,16,0)</f>
        <v>#N/A</v>
      </c>
      <c r="S90" s="874" t="e">
        <f>VLOOKUP(C90,'LƯƠNG KT'!$D$15:$P$94,17,0)</f>
        <v>#N/A</v>
      </c>
      <c r="T90" s="874" t="e">
        <f>VLOOKUP(C90,'LƯƠNG KT'!$D$15:$P$94,18,0)</f>
        <v>#N/A</v>
      </c>
      <c r="U90" s="874" t="e">
        <f>VLOOKUP(C90,'LƯƠNG KT'!$D$15:$P$94,18,0)</f>
        <v>#N/A</v>
      </c>
      <c r="V90" s="874" t="e">
        <f>VLOOKUP(C90,'LƯƠNG KT'!$D$15:$P$94,19,0)</f>
        <v>#N/A</v>
      </c>
      <c r="W90" s="874" t="e">
        <f>VLOOKUP(C90,'LƯƠNG KT'!$D$15:$P$94,20,0)</f>
        <v>#N/A</v>
      </c>
      <c r="X90" s="874" t="e">
        <f>VLOOKUP(C90,'LƯƠNG KT'!$D$15:$P$94,21,0)</f>
        <v>#N/A</v>
      </c>
      <c r="Y90" s="874" t="e">
        <f>VLOOKUP(C90,'LƯƠNG KT'!$D$15:$P$94,23,0)</f>
        <v>#N/A</v>
      </c>
      <c r="Z90" s="874" t="e">
        <f>VLOOKUP(C90,'LƯƠNG KT'!$D$15:$P$94,24,0)</f>
        <v>#N/A</v>
      </c>
      <c r="AA90" s="874">
        <v>20</v>
      </c>
      <c r="AB90" s="874"/>
      <c r="AC90" s="889" t="e">
        <f t="shared" si="15"/>
        <v>#N/A</v>
      </c>
      <c r="AD90" s="889" t="e">
        <f t="shared" si="13"/>
        <v>#N/A</v>
      </c>
      <c r="AE90" s="889" t="e">
        <f t="shared" si="10"/>
        <v>#N/A</v>
      </c>
      <c r="AF90" s="915"/>
      <c r="AG90" s="891"/>
      <c r="AH90" s="922" t="s">
        <v>2751</v>
      </c>
      <c r="AI90" s="637"/>
    </row>
    <row r="91" spans="1:35" s="540" customFormat="1" ht="20.25" customHeight="1">
      <c r="A91" s="868">
        <v>78</v>
      </c>
      <c r="B91" s="1644" t="str">
        <f>VLOOKUP(C91,'DS CN MOI UP'!$B$10:$C$389,2,0)</f>
        <v>02566</v>
      </c>
      <c r="C91" s="931" t="s">
        <v>201</v>
      </c>
      <c r="D91" s="875" t="s">
        <v>15</v>
      </c>
      <c r="E91" s="872"/>
      <c r="F91" s="873">
        <f>+VLOOKUP(C91,THCKT!$C$13:$AE$460,17,0)</f>
        <v>24</v>
      </c>
      <c r="G91" s="874">
        <f t="shared" si="11"/>
        <v>600000</v>
      </c>
      <c r="H91" s="874"/>
      <c r="I91" s="874"/>
      <c r="J91" s="874"/>
      <c r="K91" s="874" t="e">
        <f>VLOOKUP(C91,THCKT!$C$13:$AL$460,21,0)</f>
        <v>#N/A</v>
      </c>
      <c r="L91" s="883">
        <f>VLOOKUP(C91,THCKT!$C$13:$AL$460,22,0)</f>
        <v>0</v>
      </c>
      <c r="M91" s="883">
        <f>VLOOKUP(C91,THCKT!$C$13:$AL$460,23,0)</f>
        <v>0</v>
      </c>
      <c r="N91" s="883" t="e">
        <f t="shared" si="12"/>
        <v>#N/A</v>
      </c>
      <c r="O91" s="883" t="e">
        <f t="shared" si="12"/>
        <v>#N/A</v>
      </c>
      <c r="P91" s="884" t="e">
        <f>VLOOKUP(C91,THCKT!$C$13:$AL$460,36,0)</f>
        <v>#N/A</v>
      </c>
      <c r="Q91" s="887" t="e">
        <f t="shared" si="14"/>
        <v>#N/A</v>
      </c>
      <c r="R91" s="874" t="e">
        <f>VLOOKUP(C91,'LƯƠNG KT'!$D$15:$P$94,16,0)</f>
        <v>#N/A</v>
      </c>
      <c r="S91" s="874" t="e">
        <f>VLOOKUP(C91,'LƯƠNG KT'!$D$15:$P$94,17,0)</f>
        <v>#N/A</v>
      </c>
      <c r="T91" s="874" t="e">
        <f>VLOOKUP(C91,'LƯƠNG KT'!$D$15:$P$94,18,0)</f>
        <v>#N/A</v>
      </c>
      <c r="U91" s="874" t="e">
        <f>VLOOKUP(C91,'LƯƠNG KT'!$D$15:$P$94,18,0)</f>
        <v>#N/A</v>
      </c>
      <c r="V91" s="874" t="e">
        <f>VLOOKUP(C91,'LƯƠNG KT'!$D$15:$P$94,19,0)</f>
        <v>#N/A</v>
      </c>
      <c r="W91" s="874" t="e">
        <f>VLOOKUP(C91,'LƯƠNG KT'!$D$15:$P$94,20,0)</f>
        <v>#N/A</v>
      </c>
      <c r="X91" s="874" t="e">
        <f>VLOOKUP(C91,'LƯƠNG KT'!$D$15:$P$94,21,0)</f>
        <v>#N/A</v>
      </c>
      <c r="Y91" s="874" t="e">
        <f>VLOOKUP(C91,'LƯƠNG KT'!$D$15:$P$94,23,0)</f>
        <v>#N/A</v>
      </c>
      <c r="Z91" s="874" t="e">
        <f>VLOOKUP(C91,'LƯƠNG KT'!$D$15:$P$94,24,0)</f>
        <v>#N/A</v>
      </c>
      <c r="AA91" s="874">
        <v>20</v>
      </c>
      <c r="AB91" s="874"/>
      <c r="AC91" s="889" t="e">
        <f t="shared" si="15"/>
        <v>#N/A</v>
      </c>
      <c r="AD91" s="889" t="e">
        <f t="shared" si="13"/>
        <v>#N/A</v>
      </c>
      <c r="AE91" s="889" t="e">
        <f t="shared" si="10"/>
        <v>#N/A</v>
      </c>
      <c r="AF91" s="915"/>
      <c r="AG91" s="891"/>
      <c r="AH91" s="922" t="s">
        <v>2751</v>
      </c>
      <c r="AI91" s="637"/>
    </row>
    <row r="92" spans="1:35" s="540" customFormat="1" ht="20.25" customHeight="1">
      <c r="A92" s="868">
        <v>79</v>
      </c>
      <c r="B92" s="1644" t="str">
        <f>VLOOKUP(C92,'DS CN MOI UP'!$B$10:$C$389,2,0)</f>
        <v>03381</v>
      </c>
      <c r="C92" s="931" t="s">
        <v>202</v>
      </c>
      <c r="D92" s="875" t="s">
        <v>15</v>
      </c>
      <c r="E92" s="872"/>
      <c r="F92" s="873">
        <f>+VLOOKUP(C92,THCKT!$C$13:$AE$460,17,0)</f>
        <v>24</v>
      </c>
      <c r="G92" s="874">
        <f t="shared" si="11"/>
        <v>600000</v>
      </c>
      <c r="H92" s="874"/>
      <c r="I92" s="874"/>
      <c r="J92" s="874"/>
      <c r="K92" s="874" t="e">
        <f>VLOOKUP(C92,THCKT!$C$13:$AL$460,21,0)</f>
        <v>#N/A</v>
      </c>
      <c r="L92" s="883">
        <f>VLOOKUP(C92,THCKT!$C$13:$AL$460,22,0)</f>
        <v>0</v>
      </c>
      <c r="M92" s="883">
        <f>VLOOKUP(C92,THCKT!$C$13:$AL$460,23,0)</f>
        <v>0</v>
      </c>
      <c r="N92" s="883" t="e">
        <f t="shared" si="12"/>
        <v>#N/A</v>
      </c>
      <c r="O92" s="883" t="e">
        <f t="shared" si="12"/>
        <v>#N/A</v>
      </c>
      <c r="P92" s="884" t="e">
        <f>VLOOKUP(C92,THCKT!$C$13:$AL$460,36,0)</f>
        <v>#N/A</v>
      </c>
      <c r="Q92" s="887" t="e">
        <f t="shared" si="14"/>
        <v>#N/A</v>
      </c>
      <c r="R92" s="874" t="e">
        <f>VLOOKUP(C92,'LƯƠNG KT'!$D$15:$P$94,16,0)</f>
        <v>#N/A</v>
      </c>
      <c r="S92" s="874" t="e">
        <f>VLOOKUP(C92,'LƯƠNG KT'!$D$15:$P$94,17,0)</f>
        <v>#N/A</v>
      </c>
      <c r="T92" s="874" t="e">
        <f>VLOOKUP(C92,'LƯƠNG KT'!$D$15:$P$94,18,0)</f>
        <v>#N/A</v>
      </c>
      <c r="U92" s="874" t="e">
        <f>VLOOKUP(C92,'LƯƠNG KT'!$D$15:$P$94,18,0)</f>
        <v>#N/A</v>
      </c>
      <c r="V92" s="874" t="e">
        <f>VLOOKUP(C92,'LƯƠNG KT'!$D$15:$P$94,19,0)</f>
        <v>#N/A</v>
      </c>
      <c r="W92" s="874" t="e">
        <f>VLOOKUP(C92,'LƯƠNG KT'!$D$15:$P$94,20,0)</f>
        <v>#N/A</v>
      </c>
      <c r="X92" s="874" t="e">
        <f>VLOOKUP(C92,'LƯƠNG KT'!$D$15:$P$94,21,0)</f>
        <v>#N/A</v>
      </c>
      <c r="Y92" s="874" t="e">
        <f>VLOOKUP(C92,'LƯƠNG KT'!$D$15:$P$94,23,0)</f>
        <v>#N/A</v>
      </c>
      <c r="Z92" s="874" t="e">
        <f>VLOOKUP(C92,'LƯƠNG KT'!$D$15:$P$94,24,0)</f>
        <v>#N/A</v>
      </c>
      <c r="AA92" s="874">
        <v>20</v>
      </c>
      <c r="AB92" s="874"/>
      <c r="AC92" s="889" t="e">
        <f t="shared" si="15"/>
        <v>#N/A</v>
      </c>
      <c r="AD92" s="889" t="e">
        <f t="shared" si="13"/>
        <v>#N/A</v>
      </c>
      <c r="AE92" s="889" t="e">
        <f t="shared" si="10"/>
        <v>#N/A</v>
      </c>
      <c r="AF92" s="915"/>
      <c r="AG92" s="891"/>
      <c r="AH92" s="922" t="s">
        <v>2751</v>
      </c>
      <c r="AI92" s="637"/>
    </row>
    <row r="93" spans="1:35" s="540" customFormat="1" ht="20.25" customHeight="1">
      <c r="A93" s="868">
        <v>80</v>
      </c>
      <c r="B93" s="1644" t="str">
        <f>VLOOKUP(C93,'DS CN MOI UP'!$B$10:$C$389,2,0)</f>
        <v>02689</v>
      </c>
      <c r="C93" s="931" t="s">
        <v>203</v>
      </c>
      <c r="D93" s="875" t="s">
        <v>15</v>
      </c>
      <c r="E93" s="872"/>
      <c r="F93" s="873">
        <f>+VLOOKUP(C93,THCKT!$C$13:$AE$460,17,0)</f>
        <v>24</v>
      </c>
      <c r="G93" s="874">
        <f t="shared" si="11"/>
        <v>600000</v>
      </c>
      <c r="H93" s="874"/>
      <c r="I93" s="874"/>
      <c r="J93" s="874"/>
      <c r="K93" s="874" t="e">
        <f>VLOOKUP(C93,THCKT!$C$13:$AL$460,21,0)</f>
        <v>#N/A</v>
      </c>
      <c r="L93" s="883">
        <f>VLOOKUP(C93,THCKT!$C$13:$AL$460,22,0)</f>
        <v>0</v>
      </c>
      <c r="M93" s="883">
        <f>VLOOKUP(C93,THCKT!$C$13:$AL$460,23,0)</f>
        <v>0</v>
      </c>
      <c r="N93" s="883" t="e">
        <f t="shared" si="12"/>
        <v>#N/A</v>
      </c>
      <c r="O93" s="883" t="e">
        <f t="shared" si="12"/>
        <v>#N/A</v>
      </c>
      <c r="P93" s="884" t="e">
        <f>VLOOKUP(C93,THCKT!$C$13:$AL$460,36,0)</f>
        <v>#N/A</v>
      </c>
      <c r="Q93" s="887" t="e">
        <f t="shared" si="14"/>
        <v>#N/A</v>
      </c>
      <c r="R93" s="874" t="e">
        <f>VLOOKUP(C93,'LƯƠNG KT'!$D$15:$P$94,16,0)</f>
        <v>#N/A</v>
      </c>
      <c r="S93" s="874" t="e">
        <f>VLOOKUP(C93,'LƯƠNG KT'!$D$15:$P$94,17,0)</f>
        <v>#N/A</v>
      </c>
      <c r="T93" s="874" t="e">
        <f>VLOOKUP(C93,'LƯƠNG KT'!$D$15:$P$94,18,0)</f>
        <v>#N/A</v>
      </c>
      <c r="U93" s="874" t="e">
        <f>VLOOKUP(C93,'LƯƠNG KT'!$D$15:$P$94,18,0)</f>
        <v>#N/A</v>
      </c>
      <c r="V93" s="874" t="e">
        <f>VLOOKUP(C93,'LƯƠNG KT'!$D$15:$P$94,19,0)</f>
        <v>#N/A</v>
      </c>
      <c r="W93" s="874" t="e">
        <f>VLOOKUP(C93,'LƯƠNG KT'!$D$15:$P$94,20,0)</f>
        <v>#N/A</v>
      </c>
      <c r="X93" s="874" t="e">
        <f>VLOOKUP(C93,'LƯƠNG KT'!$D$15:$P$94,21,0)</f>
        <v>#N/A</v>
      </c>
      <c r="Y93" s="874" t="e">
        <f>VLOOKUP(C93,'LƯƠNG KT'!$D$15:$P$94,23,0)</f>
        <v>#N/A</v>
      </c>
      <c r="Z93" s="874" t="e">
        <f>VLOOKUP(C93,'LƯƠNG KT'!$D$15:$P$94,24,0)</f>
        <v>#N/A</v>
      </c>
      <c r="AA93" s="874">
        <v>20</v>
      </c>
      <c r="AB93" s="874"/>
      <c r="AC93" s="889" t="e">
        <f>ROUND((((R93*46.1)+(S93*76.9)+(X93*30.7)+(U93*46.1*2)+(V93*46.1*2)+(W93*76.9*2))*$F$8),0)+T93*10000+Y93*20000+Z93*20000+AA93*25000+2</f>
        <v>#N/A</v>
      </c>
      <c r="AD93" s="889" t="e">
        <f t="shared" si="13"/>
        <v>#N/A</v>
      </c>
      <c r="AE93" s="889" t="e">
        <f t="shared" si="10"/>
        <v>#N/A</v>
      </c>
      <c r="AF93" s="915"/>
      <c r="AG93" s="891"/>
      <c r="AH93" s="922" t="s">
        <v>2751</v>
      </c>
      <c r="AI93" s="637"/>
    </row>
    <row r="94" spans="1:35" s="540" customFormat="1" ht="20.25" customHeight="1">
      <c r="A94" s="868">
        <v>81</v>
      </c>
      <c r="B94" s="1644" t="str">
        <f>VLOOKUP(C94,'DS CN MOI UP'!$B$10:$C$389,2,0)</f>
        <v>02546</v>
      </c>
      <c r="C94" s="931" t="s">
        <v>204</v>
      </c>
      <c r="D94" s="875" t="s">
        <v>15</v>
      </c>
      <c r="E94" s="872"/>
      <c r="F94" s="873">
        <f>+VLOOKUP(C94,THCKT!$C$13:$AE$460,17,0)</f>
        <v>24</v>
      </c>
      <c r="G94" s="874">
        <f t="shared" si="11"/>
        <v>600000</v>
      </c>
      <c r="H94" s="874"/>
      <c r="I94" s="874"/>
      <c r="J94" s="874"/>
      <c r="K94" s="874" t="e">
        <f>VLOOKUP(C94,THCKT!$C$13:$AL$460,21,0)</f>
        <v>#N/A</v>
      </c>
      <c r="L94" s="883">
        <f>VLOOKUP(C94,THCKT!$C$13:$AL$460,22,0)</f>
        <v>0</v>
      </c>
      <c r="M94" s="883">
        <f>VLOOKUP(C94,THCKT!$C$13:$AL$460,23,0)</f>
        <v>0</v>
      </c>
      <c r="N94" s="883" t="e">
        <f t="shared" si="12"/>
        <v>#N/A</v>
      </c>
      <c r="O94" s="883" t="e">
        <f>Q94/((Q94/(N94*$F$9)*$F$8))</f>
        <v>#N/A</v>
      </c>
      <c r="P94" s="884" t="e">
        <f>VLOOKUP(C94,THCKT!$C$13:$AL$460,36,0)</f>
        <v>#N/A</v>
      </c>
      <c r="Q94" s="887" t="e">
        <f t="shared" si="14"/>
        <v>#N/A</v>
      </c>
      <c r="R94" s="874" t="e">
        <f>VLOOKUP(C94,'LƯƠNG KT'!$D$15:$P$94,16,0)</f>
        <v>#N/A</v>
      </c>
      <c r="S94" s="874" t="e">
        <f>VLOOKUP(C94,'LƯƠNG KT'!$D$15:$P$94,17,0)</f>
        <v>#N/A</v>
      </c>
      <c r="T94" s="874" t="e">
        <f>VLOOKUP(C94,'LƯƠNG KT'!$D$15:$P$94,18,0)</f>
        <v>#N/A</v>
      </c>
      <c r="U94" s="874" t="e">
        <f>VLOOKUP(C94,'LƯƠNG KT'!$D$15:$P$94,18,0)</f>
        <v>#N/A</v>
      </c>
      <c r="V94" s="874" t="e">
        <f>VLOOKUP(C94,'LƯƠNG KT'!$D$15:$P$94,19,0)</f>
        <v>#N/A</v>
      </c>
      <c r="W94" s="874" t="e">
        <f>VLOOKUP(C94,'LƯƠNG KT'!$D$15:$P$94,20,0)</f>
        <v>#N/A</v>
      </c>
      <c r="X94" s="874" t="e">
        <f>VLOOKUP(C94,'LƯƠNG KT'!$D$15:$P$94,21,0)</f>
        <v>#N/A</v>
      </c>
      <c r="Y94" s="874" t="e">
        <f>VLOOKUP(C94,'LƯƠNG KT'!$D$15:$P$94,23,0)</f>
        <v>#N/A</v>
      </c>
      <c r="Z94" s="874" t="e">
        <f>VLOOKUP(C94,'LƯƠNG KT'!$D$15:$P$94,24,0)</f>
        <v>#N/A</v>
      </c>
      <c r="AA94" s="874">
        <v>20</v>
      </c>
      <c r="AB94" s="874"/>
      <c r="AC94" s="889" t="e">
        <f t="shared" si="15"/>
        <v>#N/A</v>
      </c>
      <c r="AD94" s="889" t="e">
        <f t="shared" si="13"/>
        <v>#N/A</v>
      </c>
      <c r="AE94" s="889" t="e">
        <f t="shared" si="10"/>
        <v>#N/A</v>
      </c>
      <c r="AF94" s="915"/>
      <c r="AG94" s="891"/>
      <c r="AH94" s="922" t="s">
        <v>2751</v>
      </c>
      <c r="AI94" s="637"/>
    </row>
    <row r="95" spans="1:35" s="540" customFormat="1" ht="20.25" customHeight="1">
      <c r="A95" s="868">
        <v>82</v>
      </c>
      <c r="B95" s="1644" t="str">
        <f>VLOOKUP(C95,'DS CN MOI UP'!$B$10:$C$389,2,0)</f>
        <v>02559</v>
      </c>
      <c r="C95" s="931" t="s">
        <v>205</v>
      </c>
      <c r="D95" s="875" t="s">
        <v>15</v>
      </c>
      <c r="E95" s="872"/>
      <c r="F95" s="873">
        <f>+VLOOKUP(C95,THCKT!$C$13:$AE$460,17,0)</f>
        <v>24</v>
      </c>
      <c r="G95" s="874">
        <f t="shared" si="11"/>
        <v>600000</v>
      </c>
      <c r="H95" s="874"/>
      <c r="I95" s="874"/>
      <c r="J95" s="874"/>
      <c r="K95" s="874" t="e">
        <f>VLOOKUP(C95,THCKT!$C$13:$AL$460,21,0)</f>
        <v>#N/A</v>
      </c>
      <c r="L95" s="883">
        <f>VLOOKUP(C95,THCKT!$C$13:$AL$460,22,0)</f>
        <v>0</v>
      </c>
      <c r="M95" s="883">
        <f>VLOOKUP(C95,THCKT!$C$13:$AL$460,23,0)</f>
        <v>0</v>
      </c>
      <c r="N95" s="883" t="e">
        <f t="shared" si="12"/>
        <v>#N/A</v>
      </c>
      <c r="O95" s="883" t="e">
        <f>Q95/((Q95/(N95*$F$9)*$F$8))</f>
        <v>#N/A</v>
      </c>
      <c r="P95" s="884" t="e">
        <f>VLOOKUP(C95,THCKT!$C$13:$AL$460,36,0)</f>
        <v>#N/A</v>
      </c>
      <c r="Q95" s="887" t="e">
        <f t="shared" si="14"/>
        <v>#N/A</v>
      </c>
      <c r="R95" s="874" t="e">
        <f>VLOOKUP(C95,'LƯƠNG KT'!$D$15:$P$94,16,0)</f>
        <v>#N/A</v>
      </c>
      <c r="S95" s="874" t="e">
        <f>VLOOKUP(C95,'LƯƠNG KT'!$D$15:$P$94,17,0)</f>
        <v>#N/A</v>
      </c>
      <c r="T95" s="874" t="e">
        <f>VLOOKUP(C95,'LƯƠNG KT'!$D$15:$P$94,18,0)</f>
        <v>#N/A</v>
      </c>
      <c r="U95" s="874" t="e">
        <f>VLOOKUP(C95,'LƯƠNG KT'!$D$15:$P$94,18,0)</f>
        <v>#N/A</v>
      </c>
      <c r="V95" s="874" t="e">
        <f>VLOOKUP(C95,'LƯƠNG KT'!$D$15:$P$94,19,0)</f>
        <v>#N/A</v>
      </c>
      <c r="W95" s="874" t="e">
        <f>VLOOKUP(C95,'LƯƠNG KT'!$D$15:$P$94,20,0)</f>
        <v>#N/A</v>
      </c>
      <c r="X95" s="874" t="e">
        <f>VLOOKUP(C95,'LƯƠNG KT'!$D$15:$P$94,21,0)</f>
        <v>#N/A</v>
      </c>
      <c r="Y95" s="874" t="e">
        <f>VLOOKUP(C95,'LƯƠNG KT'!$D$15:$P$94,23,0)</f>
        <v>#N/A</v>
      </c>
      <c r="Z95" s="874" t="e">
        <f>VLOOKUP(C95,'LƯƠNG KT'!$D$15:$P$94,24,0)</f>
        <v>#N/A</v>
      </c>
      <c r="AA95" s="874">
        <v>20</v>
      </c>
      <c r="AB95" s="874"/>
      <c r="AC95" s="889" t="e">
        <f t="shared" si="15"/>
        <v>#N/A</v>
      </c>
      <c r="AD95" s="889" t="e">
        <f t="shared" si="13"/>
        <v>#N/A</v>
      </c>
      <c r="AE95" s="889" t="e">
        <f t="shared" si="10"/>
        <v>#N/A</v>
      </c>
      <c r="AF95" s="915"/>
      <c r="AG95" s="891"/>
      <c r="AH95" s="922" t="s">
        <v>2751</v>
      </c>
      <c r="AI95" s="637"/>
    </row>
    <row r="96" spans="1:35" s="540" customFormat="1" ht="20.25" customHeight="1">
      <c r="A96" s="868">
        <v>83</v>
      </c>
      <c r="B96" s="869" t="e">
        <f>VLOOKUP(C96,'DS CN MOI UP'!$B$10:$C$389,2,0)</f>
        <v>#N/A</v>
      </c>
      <c r="C96" s="931" t="s">
        <v>505</v>
      </c>
      <c r="D96" s="875" t="s">
        <v>1488</v>
      </c>
      <c r="E96" s="872"/>
      <c r="F96" s="873">
        <f>+VLOOKUP(C96,THCKT!$C$13:$AE$460,17,0)</f>
        <v>0</v>
      </c>
      <c r="G96" s="874">
        <f t="shared" si="11"/>
        <v>0</v>
      </c>
      <c r="H96" s="874"/>
      <c r="I96" s="874"/>
      <c r="J96" s="874"/>
      <c r="K96" s="874" t="e">
        <f>VLOOKUP(C96,THCKT!$C$13:$AL$460,21,0)</f>
        <v>#N/A</v>
      </c>
      <c r="L96" s="883">
        <f>VLOOKUP(C96,THCKT!$C$13:$AL$460,22,0)</f>
        <v>0</v>
      </c>
      <c r="M96" s="883">
        <f>VLOOKUP(C96,THCKT!$C$13:$AL$460,23,0)</f>
        <v>0</v>
      </c>
      <c r="N96" s="883" t="e">
        <f t="shared" si="12"/>
        <v>#N/A</v>
      </c>
      <c r="O96" s="883" t="e">
        <f t="shared" si="12"/>
        <v>#N/A</v>
      </c>
      <c r="P96" s="884">
        <f>VLOOKUP(C96,THCKT!$C$13:$AL$460,33,0)</f>
        <v>0</v>
      </c>
      <c r="Q96" s="887" t="e">
        <f t="shared" si="14"/>
        <v>#REF!</v>
      </c>
      <c r="R96" s="874" t="e">
        <f>VLOOKUP(C96,'LƯƠNG KT'!$D$15:$P$94,16,0)</f>
        <v>#N/A</v>
      </c>
      <c r="S96" s="874" t="e">
        <f>VLOOKUP(C96,'LƯƠNG KT'!$D$15:$P$94,17,0)</f>
        <v>#N/A</v>
      </c>
      <c r="T96" s="874" t="e">
        <f>VLOOKUP(C96,'LƯƠNG KT'!$D$15:$P$94,18,0)</f>
        <v>#N/A</v>
      </c>
      <c r="U96" s="874" t="e">
        <f>VLOOKUP(C96,'LƯƠNG KT'!$D$15:$P$94,18,0)</f>
        <v>#N/A</v>
      </c>
      <c r="V96" s="874" t="e">
        <f>VLOOKUP(C96,'LƯƠNG KT'!$D$15:$P$94,19,0)</f>
        <v>#N/A</v>
      </c>
      <c r="W96" s="874" t="e">
        <f>VLOOKUP(C96,'LƯƠNG KT'!$D$15:$P$94,20,0)</f>
        <v>#N/A</v>
      </c>
      <c r="X96" s="874" t="e">
        <f>VLOOKUP(C96,'LƯƠNG KT'!$D$15:$P$94,21,0)</f>
        <v>#N/A</v>
      </c>
      <c r="Y96" s="874" t="e">
        <f>VLOOKUP(C96,'LƯƠNG KT'!$D$15:$P$94,23,0)</f>
        <v>#N/A</v>
      </c>
      <c r="Z96" s="874" t="e">
        <f>VLOOKUP(C96,'LƯƠNG KT'!$D$15:$P$94,24,0)</f>
        <v>#N/A</v>
      </c>
      <c r="AA96" s="874"/>
      <c r="AB96" s="874"/>
      <c r="AC96" s="889" t="e">
        <f t="shared" si="15"/>
        <v>#N/A</v>
      </c>
      <c r="AD96" s="889" t="e">
        <f t="shared" si="13"/>
        <v>#N/A</v>
      </c>
      <c r="AE96" s="889" t="e">
        <f t="shared" si="10"/>
        <v>#N/A</v>
      </c>
      <c r="AF96" s="915"/>
      <c r="AG96" s="891"/>
      <c r="AH96" s="922" t="s">
        <v>2751</v>
      </c>
      <c r="AI96" s="637"/>
    </row>
    <row r="97" spans="1:38" s="540" customFormat="1" ht="20.25" customHeight="1">
      <c r="A97" s="868">
        <v>84</v>
      </c>
      <c r="B97" s="869" t="e">
        <f>VLOOKUP(C97,'DS CN MOI UP'!$B$10:$C$389,2,0)</f>
        <v>#N/A</v>
      </c>
      <c r="C97" s="931" t="s">
        <v>506</v>
      </c>
      <c r="D97" s="875" t="s">
        <v>1488</v>
      </c>
      <c r="E97" s="872"/>
      <c r="F97" s="873">
        <f>+VLOOKUP(C97,THCKT!$C$13:$AE$460,17,0)</f>
        <v>0</v>
      </c>
      <c r="G97" s="874">
        <f t="shared" si="11"/>
        <v>0</v>
      </c>
      <c r="H97" s="874"/>
      <c r="I97" s="874"/>
      <c r="J97" s="874"/>
      <c r="K97" s="874" t="e">
        <f>VLOOKUP(C97,THCKT!$C$13:$AL$460,21,0)</f>
        <v>#N/A</v>
      </c>
      <c r="L97" s="883">
        <f>VLOOKUP(C97,THCKT!$C$13:$AL$460,22,0)</f>
        <v>0</v>
      </c>
      <c r="M97" s="883">
        <f>VLOOKUP(C97,THCKT!$C$13:$AL$460,23,0)</f>
        <v>0</v>
      </c>
      <c r="N97" s="883" t="e">
        <f t="shared" si="12"/>
        <v>#N/A</v>
      </c>
      <c r="O97" s="883" t="e">
        <f t="shared" si="12"/>
        <v>#N/A</v>
      </c>
      <c r="P97" s="884">
        <f>VLOOKUP(C97,THCKT!$C$13:$AL$460,33,0)</f>
        <v>0</v>
      </c>
      <c r="Q97" s="887" t="e">
        <f t="shared" si="14"/>
        <v>#REF!</v>
      </c>
      <c r="R97" s="874" t="e">
        <f>VLOOKUP(C97,'LƯƠNG KT'!$D$15:$P$94,16,0)</f>
        <v>#N/A</v>
      </c>
      <c r="S97" s="874" t="e">
        <f>VLOOKUP(C97,'LƯƠNG KT'!$D$15:$P$94,17,0)</f>
        <v>#N/A</v>
      </c>
      <c r="T97" s="874" t="e">
        <f>VLOOKUP(C97,'LƯƠNG KT'!$D$15:$P$94,18,0)</f>
        <v>#N/A</v>
      </c>
      <c r="U97" s="874" t="e">
        <f>VLOOKUP(C97,'LƯƠNG KT'!$D$15:$P$94,18,0)</f>
        <v>#N/A</v>
      </c>
      <c r="V97" s="874" t="e">
        <f>VLOOKUP(C97,'LƯƠNG KT'!$D$15:$P$94,19,0)</f>
        <v>#N/A</v>
      </c>
      <c r="W97" s="874" t="e">
        <f>VLOOKUP(C97,'LƯƠNG KT'!$D$15:$P$94,20,0)</f>
        <v>#N/A</v>
      </c>
      <c r="X97" s="874" t="e">
        <f>VLOOKUP(C97,'LƯƠNG KT'!$D$15:$P$94,21,0)</f>
        <v>#N/A</v>
      </c>
      <c r="Y97" s="874" t="e">
        <f>VLOOKUP(C97,'LƯƠNG KT'!$D$15:$P$94,23,0)</f>
        <v>#N/A</v>
      </c>
      <c r="Z97" s="874" t="e">
        <f>VLOOKUP(C97,'LƯƠNG KT'!$D$15:$P$94,24,0)</f>
        <v>#N/A</v>
      </c>
      <c r="AA97" s="874"/>
      <c r="AB97" s="874"/>
      <c r="AC97" s="889" t="e">
        <f t="shared" si="15"/>
        <v>#N/A</v>
      </c>
      <c r="AD97" s="889" t="e">
        <f t="shared" si="13"/>
        <v>#N/A</v>
      </c>
      <c r="AE97" s="889" t="e">
        <f t="shared" si="10"/>
        <v>#N/A</v>
      </c>
      <c r="AF97" s="915"/>
      <c r="AG97" s="891"/>
      <c r="AH97" s="922" t="s">
        <v>2751</v>
      </c>
      <c r="AI97" s="637">
        <f>+K98*AI5</f>
        <v>0</v>
      </c>
    </row>
    <row r="98" spans="1:38" s="540" customFormat="1" ht="20.25" customHeight="1">
      <c r="A98" s="868">
        <v>85</v>
      </c>
      <c r="B98" s="869" t="e">
        <f>VLOOKUP(C98,'DS CN MOI UP'!$B$10:$C$389,2,0)</f>
        <v>#N/A</v>
      </c>
      <c r="C98" s="931" t="s">
        <v>1232</v>
      </c>
      <c r="D98" s="875" t="s">
        <v>1713</v>
      </c>
      <c r="E98" s="872"/>
      <c r="F98" s="873">
        <f>+VLOOKUP(C98,THCKT!$C$13:$AE$460,17,0)</f>
        <v>6996.2759999999998</v>
      </c>
      <c r="G98" s="874">
        <f t="shared" si="11"/>
        <v>174906900</v>
      </c>
      <c r="H98" s="874"/>
      <c r="I98" s="874"/>
      <c r="J98" s="874"/>
      <c r="K98" s="874">
        <f>VLOOKUP(C98,THCKT!$C$13:$AL$460,21,0)</f>
        <v>0</v>
      </c>
      <c r="L98" s="883">
        <f>VLOOKUP(C98,THCKT!$C$13:$AL$460,22,0)</f>
        <v>0</v>
      </c>
      <c r="M98" s="883">
        <f>VLOOKUP(C98,THCKT!$C$13:$AL$460,23,0)</f>
        <v>0</v>
      </c>
      <c r="N98" s="883">
        <f>VLOOKUP(C98,THCKT!$C$13:$AL$460,24,0)</f>
        <v>0</v>
      </c>
      <c r="O98" s="883"/>
      <c r="P98" s="874">
        <f>VLOOKUP(C98,THCKT!$C$13:$AL$460,30,0)</f>
        <v>0</v>
      </c>
      <c r="Q98" s="887" t="e">
        <f t="shared" si="14"/>
        <v>#REF!</v>
      </c>
      <c r="R98" s="874" t="e">
        <f>VLOOKUP(C98,'LƯƠNG KT'!$D$15:$P$94,16,0)</f>
        <v>#N/A</v>
      </c>
      <c r="S98" s="874" t="e">
        <f>VLOOKUP(C98,'LƯƠNG KT'!$D$15:$P$94,17,0)</f>
        <v>#N/A</v>
      </c>
      <c r="T98" s="874" t="e">
        <f>VLOOKUP(C98,'LƯƠNG KT'!$D$15:$P$94,18,0)</f>
        <v>#N/A</v>
      </c>
      <c r="U98" s="874" t="e">
        <f>VLOOKUP(C98,'LƯƠNG KT'!$D$15:$P$94,18,0)</f>
        <v>#N/A</v>
      </c>
      <c r="V98" s="874" t="e">
        <f>VLOOKUP(C98,'LƯƠNG KT'!$D$15:$P$94,19,0)</f>
        <v>#N/A</v>
      </c>
      <c r="W98" s="874" t="e">
        <f>VLOOKUP(C98,'LƯƠNG KT'!$D$15:$P$94,20,0)</f>
        <v>#N/A</v>
      </c>
      <c r="X98" s="874" t="e">
        <f>VLOOKUP(C98,'LƯƠNG KT'!$D$15:$P$94,21,0)</f>
        <v>#N/A</v>
      </c>
      <c r="Y98" s="874" t="e">
        <f>VLOOKUP(C98,'LƯƠNG KT'!$D$15:$P$94,23,0)</f>
        <v>#N/A</v>
      </c>
      <c r="Z98" s="874" t="e">
        <f>VLOOKUP(C98,'LƯƠNG KT'!$D$15:$P$94,24,0)</f>
        <v>#N/A</v>
      </c>
      <c r="AA98" s="874"/>
      <c r="AB98" s="874"/>
      <c r="AC98" s="889" t="e">
        <f t="shared" si="15"/>
        <v>#N/A</v>
      </c>
      <c r="AD98" s="889" t="e">
        <f t="shared" si="13"/>
        <v>#N/A</v>
      </c>
      <c r="AE98" s="889" t="e">
        <f t="shared" si="10"/>
        <v>#N/A</v>
      </c>
      <c r="AF98" s="915"/>
      <c r="AG98" s="891"/>
      <c r="AH98" s="922" t="s">
        <v>2751</v>
      </c>
      <c r="AI98" s="637"/>
    </row>
    <row r="99" spans="1:38" s="540" customFormat="1" ht="19.899999999999999" customHeight="1">
      <c r="A99" s="911" t="s">
        <v>503</v>
      </c>
      <c r="B99" s="911"/>
      <c r="C99" s="911"/>
      <c r="D99" s="911"/>
      <c r="E99" s="932"/>
      <c r="F99" s="758">
        <f t="shared" ref="F99:AE99" si="16">SUM(F14:F98)</f>
        <v>8964.2759999999998</v>
      </c>
      <c r="G99" s="932">
        <f t="shared" si="16"/>
        <v>224106900</v>
      </c>
      <c r="H99" s="932">
        <f t="shared" si="16"/>
        <v>0</v>
      </c>
      <c r="I99" s="932">
        <f t="shared" si="16"/>
        <v>0</v>
      </c>
      <c r="J99" s="932">
        <f t="shared" si="16"/>
        <v>0</v>
      </c>
      <c r="K99" s="932" t="e">
        <f t="shared" si="16"/>
        <v>#N/A</v>
      </c>
      <c r="L99" s="932">
        <f t="shared" si="16"/>
        <v>0</v>
      </c>
      <c r="M99" s="932">
        <f t="shared" si="16"/>
        <v>0</v>
      </c>
      <c r="N99" s="932" t="e">
        <f t="shared" si="16"/>
        <v>#N/A</v>
      </c>
      <c r="O99" s="932" t="e">
        <f t="shared" ref="O99" si="17">SUM(O14:O98)</f>
        <v>#N/A</v>
      </c>
      <c r="P99" s="932" t="e">
        <f t="shared" si="16"/>
        <v>#N/A</v>
      </c>
      <c r="Q99" s="932" t="e">
        <f t="shared" si="16"/>
        <v>#N/A</v>
      </c>
      <c r="R99" s="932" t="e">
        <f t="shared" si="16"/>
        <v>#N/A</v>
      </c>
      <c r="S99" s="932" t="e">
        <f t="shared" si="16"/>
        <v>#N/A</v>
      </c>
      <c r="T99" s="932" t="e">
        <f t="shared" si="16"/>
        <v>#N/A</v>
      </c>
      <c r="U99" s="932" t="e">
        <f t="shared" si="16"/>
        <v>#N/A</v>
      </c>
      <c r="V99" s="932" t="e">
        <f t="shared" si="16"/>
        <v>#N/A</v>
      </c>
      <c r="W99" s="932" t="e">
        <f t="shared" si="16"/>
        <v>#N/A</v>
      </c>
      <c r="X99" s="932" t="e">
        <f t="shared" si="16"/>
        <v>#N/A</v>
      </c>
      <c r="Y99" s="932" t="e">
        <f t="shared" si="16"/>
        <v>#N/A</v>
      </c>
      <c r="Z99" s="932" t="e">
        <f t="shared" si="16"/>
        <v>#N/A</v>
      </c>
      <c r="AA99" s="932">
        <f t="shared" si="16"/>
        <v>1640</v>
      </c>
      <c r="AB99" s="932">
        <f t="shared" si="16"/>
        <v>0</v>
      </c>
      <c r="AC99" s="932" t="e">
        <f t="shared" si="16"/>
        <v>#N/A</v>
      </c>
      <c r="AD99" s="932" t="e">
        <f t="shared" si="16"/>
        <v>#N/A</v>
      </c>
      <c r="AE99" s="932" t="e">
        <f t="shared" si="16"/>
        <v>#N/A</v>
      </c>
      <c r="AF99" s="758" t="e">
        <f>+'LƯƠNG KT'!#REF!</f>
        <v>#REF!</v>
      </c>
      <c r="AG99" s="758" t="e">
        <f>+AF99-AE99</f>
        <v>#REF!</v>
      </c>
      <c r="AH99" s="922" t="s">
        <v>2751</v>
      </c>
      <c r="AI99" s="637"/>
      <c r="AJ99" s="2655" t="e">
        <f>(R99*46.1*$F$8)+(S99*76.9*$F$8)+Y99*5000+AB99*20000</f>
        <v>#N/A</v>
      </c>
      <c r="AK99" s="2655"/>
    </row>
    <row r="100" spans="1:38" s="541" customFormat="1" ht="17.25" customHeight="1">
      <c r="A100" s="2658" t="s">
        <v>2764</v>
      </c>
      <c r="B100" s="2658"/>
      <c r="C100" s="2658"/>
      <c r="D100" s="2658"/>
      <c r="E100" s="2658"/>
      <c r="F100" s="2658"/>
      <c r="G100" s="2658"/>
      <c r="H100" s="2658"/>
      <c r="I100" s="2658"/>
      <c r="J100" s="2658"/>
      <c r="K100" s="2658"/>
      <c r="L100" s="2658"/>
      <c r="M100" s="2658"/>
      <c r="N100" s="2658"/>
      <c r="O100" s="2658"/>
      <c r="P100" s="2658"/>
      <c r="Q100" s="2658"/>
      <c r="R100" s="2658"/>
      <c r="S100" s="2658"/>
      <c r="T100" s="2658"/>
      <c r="U100" s="2658"/>
      <c r="V100" s="2658"/>
      <c r="W100" s="2658"/>
      <c r="X100" s="2658"/>
      <c r="Y100" s="2658"/>
      <c r="Z100" s="2658"/>
      <c r="AA100" s="2658"/>
      <c r="AB100" s="2658"/>
      <c r="AC100" s="2658"/>
      <c r="AD100" s="2658"/>
      <c r="AE100" s="2658"/>
      <c r="AF100" s="630"/>
      <c r="AG100" s="631" t="s">
        <v>2765</v>
      </c>
      <c r="AH100" s="629" t="e">
        <f>+#REF!+'LƯƠNG BV9THUC'!J13</f>
        <v>#REF!</v>
      </c>
      <c r="AI100" s="638" t="e">
        <f>+#REF!-#REF!</f>
        <v>#REF!</v>
      </c>
      <c r="AJ100" s="612"/>
      <c r="AK100" s="612"/>
    </row>
    <row r="101" spans="1:38" s="600" customFormat="1" ht="24" customHeight="1">
      <c r="A101" s="899"/>
      <c r="B101" s="899"/>
      <c r="C101" s="900"/>
      <c r="F101" s="901"/>
      <c r="G101" s="902"/>
      <c r="H101" s="902"/>
      <c r="I101" s="902"/>
      <c r="J101" s="902"/>
      <c r="K101" s="902"/>
      <c r="L101" s="903"/>
      <c r="M101" s="903"/>
      <c r="N101" s="903"/>
      <c r="O101" s="903"/>
      <c r="P101" s="904"/>
      <c r="Q101" s="902"/>
      <c r="R101" s="906"/>
      <c r="S101" s="907"/>
      <c r="T101" s="907"/>
      <c r="U101" s="907"/>
      <c r="V101" s="907"/>
      <c r="W101" s="907"/>
      <c r="X101" s="907"/>
      <c r="Y101" s="907"/>
      <c r="Z101" s="907"/>
      <c r="AA101" s="907"/>
      <c r="AB101" s="907"/>
      <c r="AC101" s="2659" t="s">
        <v>2753</v>
      </c>
      <c r="AD101" s="2659"/>
      <c r="AE101" s="2659"/>
      <c r="AF101" s="632"/>
      <c r="AG101" s="632"/>
      <c r="AH101" s="633" t="e">
        <f>+AH100-'BẢNG PHÂN TOÁN'!#REF!</f>
        <v>#REF!</v>
      </c>
      <c r="AI101" s="639" t="e">
        <f>SUM(#REF!)</f>
        <v>#REF!</v>
      </c>
    </row>
    <row r="102" spans="1:38" s="157" customFormat="1" ht="15.95" customHeight="1">
      <c r="C102" s="2335" t="s">
        <v>1921</v>
      </c>
      <c r="D102" s="2335"/>
      <c r="E102" s="2335"/>
      <c r="F102" s="2335"/>
      <c r="G102" s="2335" t="s">
        <v>616</v>
      </c>
      <c r="H102" s="2335"/>
      <c r="I102" s="2335"/>
      <c r="J102" s="2335"/>
      <c r="K102" s="2335"/>
      <c r="L102" s="2335"/>
      <c r="M102" s="2335"/>
      <c r="N102" s="2335"/>
      <c r="O102" s="2335"/>
      <c r="P102" s="2335"/>
      <c r="Q102" s="2335" t="s">
        <v>2391</v>
      </c>
      <c r="R102" s="2335"/>
      <c r="S102" s="2335"/>
      <c r="T102" s="2335"/>
      <c r="U102" s="2335"/>
      <c r="V102" s="2335"/>
      <c r="W102" s="2335"/>
      <c r="X102" s="2335"/>
      <c r="Y102" s="2335"/>
      <c r="Z102" s="2335"/>
      <c r="AA102" s="2335"/>
      <c r="AB102" s="2335"/>
      <c r="AC102" s="2335"/>
      <c r="AD102" s="2335" t="s">
        <v>612</v>
      </c>
      <c r="AE102" s="2335"/>
      <c r="AF102" s="636" t="e">
        <f>+AE99-AE98</f>
        <v>#N/A</v>
      </c>
      <c r="AH102" s="926" t="e">
        <f>+#REF!+#REF!+#REF!+#REF!+#REF!+#REF!</f>
        <v>#REF!</v>
      </c>
      <c r="AI102" s="635" t="e">
        <f>+AI101+#REF!</f>
        <v>#REF!</v>
      </c>
      <c r="AJ102" s="158"/>
      <c r="AK102" s="158"/>
      <c r="AL102" s="200"/>
    </row>
    <row r="103" spans="1:38" s="158" customFormat="1" ht="15">
      <c r="D103" s="611"/>
      <c r="E103" s="620"/>
      <c r="F103" s="611"/>
      <c r="G103" s="613"/>
      <c r="H103" s="613"/>
      <c r="I103" s="613"/>
      <c r="J103" s="613"/>
      <c r="K103" s="726"/>
      <c r="L103" s="734"/>
      <c r="M103" s="734"/>
      <c r="N103" s="734"/>
      <c r="O103" s="734"/>
      <c r="P103" s="201"/>
      <c r="Q103" s="201"/>
      <c r="R103" s="201"/>
      <c r="AC103" s="745"/>
      <c r="AD103" s="200"/>
      <c r="AG103" s="620"/>
      <c r="AH103" s="620"/>
      <c r="AI103" s="620" t="e">
        <f>+AI102-#REF!</f>
        <v>#REF!</v>
      </c>
      <c r="AL103" s="200"/>
    </row>
    <row r="104" spans="1:38" s="158" customFormat="1" ht="15">
      <c r="D104" s="611"/>
      <c r="E104" s="620"/>
      <c r="F104" s="614"/>
      <c r="G104" s="613"/>
      <c r="H104" s="613"/>
      <c r="I104" s="613"/>
      <c r="J104" s="613"/>
      <c r="K104" s="726"/>
      <c r="L104" s="734"/>
      <c r="M104" s="734"/>
      <c r="N104" s="734"/>
      <c r="O104" s="734"/>
      <c r="P104" s="201"/>
      <c r="Q104" s="201"/>
      <c r="R104" s="201"/>
      <c r="AC104" s="745"/>
      <c r="AD104" s="200"/>
      <c r="AG104" s="620"/>
      <c r="AH104" s="620"/>
      <c r="AL104" s="200"/>
    </row>
    <row r="105" spans="1:38" s="158" customFormat="1" ht="57" customHeight="1">
      <c r="D105" s="200"/>
      <c r="E105" s="200"/>
      <c r="F105" s="615"/>
      <c r="G105" s="613"/>
      <c r="H105" s="613"/>
      <c r="I105" s="613"/>
      <c r="J105" s="613"/>
      <c r="K105" s="2654"/>
      <c r="L105" s="2654"/>
      <c r="M105" s="2654"/>
      <c r="N105" s="2654"/>
      <c r="O105" s="905"/>
      <c r="P105" s="2655"/>
      <c r="Q105" s="2655"/>
      <c r="S105" s="748"/>
      <c r="T105" s="748"/>
      <c r="U105" s="748"/>
      <c r="V105" s="748"/>
      <c r="W105" s="748"/>
      <c r="X105" s="748"/>
      <c r="Y105" s="748"/>
      <c r="Z105" s="748"/>
      <c r="AA105" s="748"/>
      <c r="AB105" s="748"/>
      <c r="AC105" s="745"/>
      <c r="AD105" s="2656"/>
      <c r="AE105" s="2656"/>
      <c r="AG105" s="620"/>
      <c r="AH105" s="635"/>
      <c r="AI105" s="604"/>
    </row>
    <row r="106" spans="1:38" s="158" customFormat="1">
      <c r="D106" s="616"/>
      <c r="E106" s="172"/>
      <c r="F106" s="615"/>
      <c r="G106" s="200"/>
      <c r="H106" s="200"/>
      <c r="I106" s="200"/>
      <c r="J106" s="200"/>
      <c r="K106" s="2656"/>
      <c r="L106" s="2656"/>
      <c r="M106" s="634"/>
      <c r="N106" s="734"/>
      <c r="O106" s="734"/>
      <c r="P106" s="2657"/>
      <c r="Q106" s="2657"/>
      <c r="R106" s="2657"/>
      <c r="S106" s="908"/>
      <c r="T106" s="908"/>
      <c r="U106" s="908"/>
      <c r="V106" s="908"/>
      <c r="W106" s="908"/>
      <c r="X106" s="908"/>
      <c r="Y106" s="908"/>
      <c r="Z106" s="908"/>
      <c r="AA106" s="908"/>
      <c r="AB106" s="908"/>
      <c r="AC106" s="2656"/>
      <c r="AD106" s="2656"/>
      <c r="AG106" s="620"/>
      <c r="AI106" s="604"/>
    </row>
    <row r="107" spans="1:38" s="158" customFormat="1">
      <c r="C107" s="2335" t="s">
        <v>1924</v>
      </c>
      <c r="D107" s="2335"/>
      <c r="E107" s="2335"/>
      <c r="F107" s="2335"/>
      <c r="G107" s="824"/>
      <c r="H107" s="824"/>
      <c r="I107" s="824"/>
      <c r="J107" s="824"/>
      <c r="K107" s="2677" t="s">
        <v>2766</v>
      </c>
      <c r="L107" s="2677"/>
      <c r="M107" s="2677"/>
      <c r="N107" s="2677"/>
      <c r="O107" s="2677"/>
      <c r="P107" s="2646"/>
      <c r="Q107" s="2646"/>
      <c r="R107" s="201"/>
      <c r="S107" s="747"/>
      <c r="T107" s="747"/>
      <c r="U107" s="747"/>
      <c r="V107" s="747"/>
      <c r="W107" s="747"/>
      <c r="X107" s="747"/>
      <c r="Y107" s="747"/>
      <c r="Z107" s="747"/>
      <c r="AA107" s="747"/>
      <c r="AB107" s="747"/>
      <c r="AC107" s="745"/>
      <c r="AD107" s="2650" t="s">
        <v>613</v>
      </c>
      <c r="AE107" s="2650"/>
      <c r="AG107" s="620"/>
      <c r="AH107" s="200"/>
      <c r="AI107" s="604"/>
    </row>
    <row r="108" spans="1:38" s="158" customFormat="1" ht="14.25" customHeight="1">
      <c r="C108" s="617"/>
      <c r="D108" s="617"/>
      <c r="E108" s="617"/>
      <c r="F108" s="2651"/>
      <c r="G108" s="2651"/>
      <c r="H108" s="2651"/>
      <c r="I108" s="2651"/>
      <c r="J108" s="2651"/>
      <c r="K108" s="2651"/>
      <c r="L108" s="2652"/>
      <c r="M108" s="2652"/>
      <c r="N108" s="2652"/>
      <c r="O108" s="749"/>
      <c r="P108" s="2653"/>
      <c r="Q108" s="2653"/>
      <c r="R108" s="201"/>
      <c r="AC108" s="745"/>
      <c r="AD108" s="200"/>
      <c r="AE108" s="172"/>
      <c r="AG108" s="620"/>
      <c r="AI108" s="604"/>
    </row>
    <row r="109" spans="1:38" s="158" customFormat="1">
      <c r="C109" s="618"/>
      <c r="E109" s="200"/>
      <c r="F109" s="2647"/>
      <c r="G109" s="2647"/>
      <c r="H109" s="2647"/>
      <c r="I109" s="2647"/>
      <c r="J109" s="2647"/>
      <c r="K109" s="2647"/>
      <c r="L109" s="750"/>
      <c r="M109" s="750"/>
      <c r="N109" s="2648"/>
      <c r="O109" s="2648"/>
      <c r="P109" s="2648"/>
      <c r="Q109" s="2646"/>
      <c r="R109" s="2646"/>
      <c r="S109" s="201"/>
      <c r="T109" s="201"/>
      <c r="U109" s="201"/>
      <c r="V109" s="201"/>
      <c r="W109" s="201"/>
      <c r="X109" s="201"/>
      <c r="Y109" s="201"/>
      <c r="Z109" s="201"/>
      <c r="AA109" s="201"/>
      <c r="AB109" s="201"/>
      <c r="AC109" s="745"/>
      <c r="AD109" s="200"/>
      <c r="AE109" s="734"/>
      <c r="AG109" s="620"/>
      <c r="AI109" s="604"/>
    </row>
    <row r="110" spans="1:38" s="158" customFormat="1">
      <c r="E110" s="200"/>
      <c r="F110" s="619"/>
      <c r="G110" s="2645"/>
      <c r="H110" s="2645"/>
      <c r="I110" s="2645"/>
      <c r="J110" s="2645"/>
      <c r="K110" s="2645"/>
      <c r="L110" s="750"/>
      <c r="M110" s="750"/>
      <c r="N110" s="750"/>
      <c r="O110" s="750"/>
      <c r="P110" s="201"/>
      <c r="Q110" s="2646"/>
      <c r="R110" s="2646"/>
      <c r="V110" s="200"/>
      <c r="AC110" s="745"/>
      <c r="AD110" s="200"/>
      <c r="AG110" s="620"/>
      <c r="AH110" s="618" t="e">
        <f>+#REF!+#REF!+#REF!+#REF!+#REF!+#REF!</f>
        <v>#REF!</v>
      </c>
      <c r="AI110" s="604"/>
    </row>
    <row r="111" spans="1:38" s="158" customFormat="1">
      <c r="C111" s="200"/>
      <c r="E111" s="200"/>
      <c r="F111" s="619"/>
      <c r="G111" s="2645"/>
      <c r="H111" s="2645"/>
      <c r="I111" s="2645"/>
      <c r="J111" s="2645"/>
      <c r="K111" s="2645"/>
      <c r="L111" s="750"/>
      <c r="M111" s="750"/>
      <c r="N111" s="750"/>
      <c r="O111" s="750"/>
      <c r="P111" s="201"/>
      <c r="Q111" s="2646"/>
      <c r="R111" s="2646"/>
      <c r="S111" s="618"/>
      <c r="T111" s="618"/>
      <c r="U111" s="618"/>
      <c r="V111" s="618"/>
      <c r="W111" s="618"/>
      <c r="X111" s="618"/>
      <c r="Y111" s="618"/>
      <c r="Z111" s="618"/>
      <c r="AA111" s="618"/>
      <c r="AB111" s="618"/>
      <c r="AC111" s="745"/>
      <c r="AD111" s="200"/>
      <c r="AG111" s="620"/>
      <c r="AI111" s="604"/>
    </row>
    <row r="112" spans="1:38" s="158" customFormat="1">
      <c r="E112" s="200"/>
      <c r="F112" s="619"/>
      <c r="G112" s="2645"/>
      <c r="H112" s="2645"/>
      <c r="I112" s="2645"/>
      <c r="J112" s="2645"/>
      <c r="K112" s="2645"/>
      <c r="L112" s="750"/>
      <c r="M112" s="750"/>
      <c r="N112" s="750"/>
      <c r="O112" s="750"/>
      <c r="P112" s="201"/>
      <c r="Q112" s="2646"/>
      <c r="R112" s="2646"/>
      <c r="S112" s="200"/>
      <c r="T112" s="200"/>
      <c r="U112" s="200"/>
      <c r="V112" s="200"/>
      <c r="W112" s="200"/>
      <c r="X112" s="200"/>
      <c r="Y112" s="200"/>
      <c r="Z112" s="200"/>
      <c r="AA112" s="200"/>
      <c r="AB112" s="200"/>
      <c r="AC112" s="745"/>
      <c r="AD112" s="200"/>
      <c r="AG112" s="620"/>
      <c r="AI112" s="604"/>
    </row>
    <row r="113" spans="3:35" s="158" customFormat="1">
      <c r="E113" s="200"/>
      <c r="F113" s="619"/>
      <c r="G113" s="2645"/>
      <c r="H113" s="2645"/>
      <c r="I113" s="2645"/>
      <c r="J113" s="2645"/>
      <c r="K113" s="2645"/>
      <c r="L113" s="750"/>
      <c r="M113" s="750"/>
      <c r="N113" s="750"/>
      <c r="O113" s="750"/>
      <c r="P113" s="201"/>
      <c r="Q113" s="2646"/>
      <c r="R113" s="2646"/>
      <c r="S113" s="200"/>
      <c r="T113" s="200"/>
      <c r="U113" s="200"/>
      <c r="V113" s="200"/>
      <c r="W113" s="200"/>
      <c r="X113" s="200"/>
      <c r="Y113" s="200"/>
      <c r="Z113" s="200"/>
      <c r="AA113" s="200"/>
      <c r="AB113" s="200"/>
      <c r="AC113" s="745"/>
      <c r="AD113" s="200"/>
      <c r="AG113" s="620"/>
      <c r="AI113" s="604"/>
    </row>
    <row r="114" spans="3:35" s="158" customFormat="1">
      <c r="E114" s="200"/>
      <c r="F114" s="619"/>
      <c r="G114" s="613"/>
      <c r="H114" s="613"/>
      <c r="I114" s="613"/>
      <c r="J114" s="613"/>
      <c r="K114" s="746"/>
      <c r="L114" s="752"/>
      <c r="M114" s="752"/>
      <c r="N114" s="752"/>
      <c r="O114" s="752"/>
      <c r="P114" s="201"/>
      <c r="Q114" s="201"/>
      <c r="R114" s="201"/>
      <c r="AC114" s="745"/>
      <c r="AD114" s="200"/>
      <c r="AG114" s="620"/>
      <c r="AI114" s="604"/>
    </row>
    <row r="115" spans="3:35" s="158" customFormat="1">
      <c r="C115" s="620"/>
      <c r="E115" s="200"/>
      <c r="F115" s="619"/>
      <c r="G115" s="613"/>
      <c r="H115" s="613"/>
      <c r="I115" s="613"/>
      <c r="J115" s="613"/>
      <c r="K115" s="726"/>
      <c r="L115" s="734"/>
      <c r="M115" s="734"/>
      <c r="N115" s="734"/>
      <c r="O115" s="734"/>
      <c r="P115" s="201"/>
      <c r="Q115" s="201"/>
      <c r="R115" s="201"/>
      <c r="AC115" s="745"/>
      <c r="AD115" s="200"/>
      <c r="AG115" s="620"/>
      <c r="AI115" s="604"/>
    </row>
    <row r="116" spans="3:35" s="158" customFormat="1">
      <c r="E116" s="200"/>
      <c r="F116" s="621"/>
      <c r="G116" s="613"/>
      <c r="H116" s="613"/>
      <c r="I116" s="613"/>
      <c r="J116" s="613"/>
      <c r="K116" s="726"/>
      <c r="L116" s="734"/>
      <c r="M116" s="734"/>
      <c r="N116" s="734"/>
      <c r="O116" s="734"/>
      <c r="P116" s="201"/>
      <c r="Q116" s="201"/>
      <c r="R116" s="201"/>
      <c r="S116" s="746"/>
      <c r="T116" s="746"/>
      <c r="U116" s="746"/>
      <c r="V116" s="746"/>
      <c r="W116" s="746"/>
      <c r="X116" s="746"/>
      <c r="Y116" s="746"/>
      <c r="Z116" s="746"/>
      <c r="AA116" s="746"/>
      <c r="AB116" s="746"/>
      <c r="AC116" s="745"/>
      <c r="AD116" s="200"/>
      <c r="AG116" s="620"/>
      <c r="AI116" s="604"/>
    </row>
    <row r="117" spans="3:35" s="158" customFormat="1">
      <c r="E117" s="200"/>
      <c r="F117" s="621"/>
      <c r="G117" s="613"/>
      <c r="H117" s="613"/>
      <c r="I117" s="613"/>
      <c r="J117" s="613"/>
      <c r="K117" s="726"/>
      <c r="L117" s="734"/>
      <c r="M117" s="734"/>
      <c r="N117" s="734"/>
      <c r="O117" s="734"/>
      <c r="P117" s="201"/>
      <c r="Q117" s="201"/>
      <c r="R117" s="201"/>
      <c r="S117" s="909"/>
      <c r="T117" s="909"/>
      <c r="U117" s="909"/>
      <c r="V117" s="909"/>
      <c r="W117" s="909"/>
      <c r="X117" s="909"/>
      <c r="Y117" s="909"/>
      <c r="Z117" s="909"/>
      <c r="AA117" s="909"/>
      <c r="AB117" s="909"/>
      <c r="AC117" s="745"/>
      <c r="AD117" s="200"/>
      <c r="AG117" s="620"/>
      <c r="AI117" s="604"/>
    </row>
    <row r="118" spans="3:35" s="158" customFormat="1">
      <c r="E118" s="200"/>
      <c r="F118" s="621"/>
      <c r="G118" s="613"/>
      <c r="H118" s="613"/>
      <c r="I118" s="613"/>
      <c r="J118" s="613"/>
      <c r="K118" s="726"/>
      <c r="L118" s="734"/>
      <c r="M118" s="734"/>
      <c r="N118" s="734"/>
      <c r="O118" s="734"/>
      <c r="P118" s="201"/>
      <c r="Q118" s="201"/>
      <c r="R118" s="201"/>
      <c r="AC118" s="745"/>
      <c r="AD118" s="200"/>
      <c r="AG118" s="620"/>
      <c r="AI118" s="604"/>
    </row>
    <row r="119" spans="3:35" s="158" customFormat="1">
      <c r="E119" s="200"/>
      <c r="F119" s="621"/>
      <c r="G119" s="613"/>
      <c r="H119" s="613"/>
      <c r="I119" s="613"/>
      <c r="J119" s="613"/>
      <c r="K119" s="726"/>
      <c r="L119" s="734"/>
      <c r="M119" s="734"/>
      <c r="N119" s="734"/>
      <c r="O119" s="734"/>
      <c r="P119" s="201"/>
      <c r="Q119" s="201"/>
      <c r="R119" s="201"/>
      <c r="AC119" s="745"/>
      <c r="AD119" s="200"/>
      <c r="AG119" s="620"/>
      <c r="AI119" s="604"/>
    </row>
    <row r="120" spans="3:35" s="158" customFormat="1">
      <c r="E120" s="200"/>
      <c r="F120" s="621"/>
      <c r="G120" s="613"/>
      <c r="H120" s="613"/>
      <c r="I120" s="613"/>
      <c r="J120" s="613"/>
      <c r="K120" s="726"/>
      <c r="L120" s="734"/>
      <c r="M120" s="734"/>
      <c r="N120" s="734"/>
      <c r="O120" s="734"/>
      <c r="P120" s="201"/>
      <c r="Q120" s="201"/>
      <c r="R120" s="201"/>
      <c r="AC120" s="745"/>
      <c r="AD120" s="200"/>
      <c r="AG120" s="620"/>
      <c r="AI120" s="604"/>
    </row>
    <row r="121" spans="3:35" s="158" customFormat="1">
      <c r="E121" s="200"/>
      <c r="F121" s="621"/>
      <c r="G121" s="613"/>
      <c r="H121" s="613"/>
      <c r="I121" s="613"/>
      <c r="J121" s="613"/>
      <c r="K121" s="726"/>
      <c r="L121" s="734"/>
      <c r="M121" s="734"/>
      <c r="N121" s="734"/>
      <c r="O121" s="734"/>
      <c r="P121" s="201"/>
      <c r="Q121" s="201"/>
      <c r="R121" s="201"/>
      <c r="AC121" s="745"/>
      <c r="AD121" s="200"/>
      <c r="AG121" s="620"/>
      <c r="AI121" s="604"/>
    </row>
    <row r="122" spans="3:35" s="158" customFormat="1">
      <c r="E122" s="200"/>
      <c r="F122" s="621"/>
      <c r="G122" s="613"/>
      <c r="H122" s="613"/>
      <c r="I122" s="613"/>
      <c r="J122" s="613"/>
      <c r="K122" s="726"/>
      <c r="L122" s="734"/>
      <c r="M122" s="734"/>
      <c r="N122" s="734"/>
      <c r="O122" s="734"/>
      <c r="P122" s="201"/>
      <c r="Q122" s="201"/>
      <c r="R122" s="201"/>
      <c r="AC122" s="745"/>
      <c r="AD122" s="200"/>
      <c r="AG122" s="620"/>
      <c r="AI122" s="604"/>
    </row>
    <row r="123" spans="3:35" s="158" customFormat="1">
      <c r="E123" s="200"/>
      <c r="F123" s="621"/>
      <c r="G123" s="613"/>
      <c r="H123" s="613"/>
      <c r="I123" s="613"/>
      <c r="J123" s="613"/>
      <c r="K123" s="726"/>
      <c r="L123" s="734"/>
      <c r="M123" s="734"/>
      <c r="N123" s="734"/>
      <c r="O123" s="734"/>
      <c r="P123" s="201"/>
      <c r="Q123" s="201"/>
      <c r="R123" s="201"/>
      <c r="AC123" s="745"/>
      <c r="AD123" s="200"/>
      <c r="AG123" s="620"/>
      <c r="AI123" s="604"/>
    </row>
    <row r="124" spans="3:35" s="158" customFormat="1">
      <c r="E124" s="200"/>
      <c r="F124" s="621"/>
      <c r="G124" s="613"/>
      <c r="H124" s="613"/>
      <c r="I124" s="613"/>
      <c r="J124" s="613"/>
      <c r="K124" s="726"/>
      <c r="L124" s="734"/>
      <c r="M124" s="734"/>
      <c r="N124" s="734"/>
      <c r="O124" s="734"/>
      <c r="P124" s="201"/>
      <c r="Q124" s="201"/>
      <c r="R124" s="201"/>
      <c r="AC124" s="745"/>
      <c r="AD124" s="200"/>
      <c r="AG124" s="620"/>
      <c r="AI124" s="604"/>
    </row>
    <row r="125" spans="3:35" s="158" customFormat="1">
      <c r="E125" s="200"/>
      <c r="F125" s="621"/>
      <c r="G125" s="613"/>
      <c r="H125" s="613"/>
      <c r="I125" s="613"/>
      <c r="J125" s="613"/>
      <c r="K125" s="726"/>
      <c r="L125" s="734"/>
      <c r="M125" s="734"/>
      <c r="N125" s="734"/>
      <c r="O125" s="734"/>
      <c r="P125" s="201"/>
      <c r="Q125" s="201"/>
      <c r="R125" s="201"/>
      <c r="AC125" s="745"/>
      <c r="AD125" s="200"/>
      <c r="AG125" s="620"/>
      <c r="AI125" s="604"/>
    </row>
    <row r="126" spans="3:35" s="158" customFormat="1">
      <c r="E126" s="200"/>
      <c r="F126" s="621"/>
      <c r="G126" s="613"/>
      <c r="H126" s="613"/>
      <c r="I126" s="613"/>
      <c r="J126" s="613"/>
      <c r="K126" s="726"/>
      <c r="L126" s="734"/>
      <c r="M126" s="734"/>
      <c r="N126" s="734"/>
      <c r="O126" s="734"/>
      <c r="P126" s="201"/>
      <c r="Q126" s="201"/>
      <c r="R126" s="201"/>
      <c r="AC126" s="745"/>
      <c r="AD126" s="200"/>
      <c r="AG126" s="620"/>
      <c r="AI126" s="604"/>
    </row>
    <row r="127" spans="3:35" s="158" customFormat="1">
      <c r="E127" s="200"/>
      <c r="F127" s="621"/>
      <c r="G127" s="613"/>
      <c r="H127" s="613"/>
      <c r="I127" s="613"/>
      <c r="J127" s="613"/>
      <c r="K127" s="726"/>
      <c r="L127" s="734"/>
      <c r="M127" s="734"/>
      <c r="N127" s="734"/>
      <c r="O127" s="734"/>
      <c r="P127" s="201"/>
      <c r="Q127" s="201"/>
      <c r="R127" s="201"/>
      <c r="AC127" s="745"/>
      <c r="AD127" s="200"/>
      <c r="AG127" s="620"/>
      <c r="AI127" s="604"/>
    </row>
    <row r="128" spans="3:35" s="158" customFormat="1">
      <c r="E128" s="200"/>
      <c r="F128" s="621"/>
      <c r="G128" s="613"/>
      <c r="H128" s="613"/>
      <c r="I128" s="613"/>
      <c r="J128" s="613"/>
      <c r="K128" s="726"/>
      <c r="L128" s="734"/>
      <c r="M128" s="734"/>
      <c r="N128" s="734"/>
      <c r="O128" s="734"/>
      <c r="P128" s="201"/>
      <c r="Q128" s="201"/>
      <c r="R128" s="201"/>
      <c r="AC128" s="745"/>
      <c r="AD128" s="200"/>
      <c r="AG128" s="620"/>
      <c r="AI128" s="604"/>
    </row>
    <row r="129" spans="5:35" s="158" customFormat="1">
      <c r="E129" s="200"/>
      <c r="F129" s="621"/>
      <c r="G129" s="613"/>
      <c r="H129" s="613"/>
      <c r="I129" s="613"/>
      <c r="J129" s="613"/>
      <c r="K129" s="726"/>
      <c r="L129" s="734"/>
      <c r="M129" s="734"/>
      <c r="N129" s="734"/>
      <c r="O129" s="734"/>
      <c r="P129" s="201"/>
      <c r="Q129" s="201"/>
      <c r="R129" s="201"/>
      <c r="AC129" s="745"/>
      <c r="AD129" s="200"/>
      <c r="AG129" s="620"/>
      <c r="AI129" s="604"/>
    </row>
    <row r="130" spans="5:35" s="158" customFormat="1">
      <c r="E130" s="200"/>
      <c r="F130" s="621"/>
      <c r="G130" s="613"/>
      <c r="H130" s="613"/>
      <c r="I130" s="613"/>
      <c r="J130" s="613"/>
      <c r="K130" s="726"/>
      <c r="L130" s="734"/>
      <c r="M130" s="734"/>
      <c r="N130" s="734"/>
      <c r="O130" s="734"/>
      <c r="P130" s="201"/>
      <c r="Q130" s="201"/>
      <c r="R130" s="201"/>
      <c r="AC130" s="745"/>
      <c r="AD130" s="200"/>
      <c r="AG130" s="620"/>
      <c r="AI130" s="604"/>
    </row>
    <row r="131" spans="5:35" s="158" customFormat="1">
      <c r="E131" s="200"/>
      <c r="F131" s="621"/>
      <c r="G131" s="613"/>
      <c r="H131" s="613"/>
      <c r="I131" s="613"/>
      <c r="J131" s="613"/>
      <c r="K131" s="726"/>
      <c r="L131" s="734"/>
      <c r="M131" s="734"/>
      <c r="N131" s="734"/>
      <c r="O131" s="734"/>
      <c r="P131" s="201"/>
      <c r="Q131" s="201"/>
      <c r="R131" s="201"/>
      <c r="AC131" s="745"/>
      <c r="AD131" s="200"/>
      <c r="AG131" s="620"/>
      <c r="AI131" s="604"/>
    </row>
    <row r="132" spans="5:35" s="158" customFormat="1">
      <c r="E132" s="200"/>
      <c r="F132" s="621"/>
      <c r="G132" s="613"/>
      <c r="H132" s="613"/>
      <c r="I132" s="613"/>
      <c r="J132" s="613"/>
      <c r="K132" s="726"/>
      <c r="L132" s="734"/>
      <c r="M132" s="734"/>
      <c r="N132" s="734"/>
      <c r="O132" s="734"/>
      <c r="P132" s="201"/>
      <c r="Q132" s="201"/>
      <c r="R132" s="201"/>
      <c r="AC132" s="745"/>
      <c r="AD132" s="200"/>
      <c r="AG132" s="620"/>
      <c r="AI132" s="604"/>
    </row>
    <row r="133" spans="5:35" s="158" customFormat="1">
      <c r="E133" s="200"/>
      <c r="F133" s="621"/>
      <c r="G133" s="613"/>
      <c r="H133" s="613"/>
      <c r="I133" s="613"/>
      <c r="J133" s="613"/>
      <c r="K133" s="726"/>
      <c r="L133" s="734"/>
      <c r="M133" s="734"/>
      <c r="N133" s="734"/>
      <c r="O133" s="734"/>
      <c r="P133" s="201"/>
      <c r="Q133" s="201"/>
      <c r="R133" s="201"/>
      <c r="AC133" s="745"/>
      <c r="AD133" s="200"/>
      <c r="AG133" s="620"/>
      <c r="AI133" s="604"/>
    </row>
    <row r="134" spans="5:35" s="158" customFormat="1">
      <c r="E134" s="200"/>
      <c r="F134" s="621"/>
      <c r="G134" s="613"/>
      <c r="H134" s="613"/>
      <c r="I134" s="613"/>
      <c r="J134" s="613"/>
      <c r="K134" s="726"/>
      <c r="L134" s="734"/>
      <c r="M134" s="734"/>
      <c r="N134" s="734"/>
      <c r="O134" s="734"/>
      <c r="P134" s="201"/>
      <c r="Q134" s="201"/>
      <c r="R134" s="201"/>
      <c r="AC134" s="745"/>
      <c r="AD134" s="200"/>
      <c r="AG134" s="620"/>
      <c r="AI134" s="604"/>
    </row>
    <row r="135" spans="5:35" s="158" customFormat="1">
      <c r="E135" s="200"/>
      <c r="F135" s="621"/>
      <c r="G135" s="613"/>
      <c r="H135" s="613"/>
      <c r="I135" s="613"/>
      <c r="J135" s="613"/>
      <c r="K135" s="726"/>
      <c r="L135" s="734"/>
      <c r="M135" s="734"/>
      <c r="N135" s="734"/>
      <c r="O135" s="734"/>
      <c r="P135" s="201"/>
      <c r="Q135" s="201"/>
      <c r="R135" s="201"/>
      <c r="AC135" s="745"/>
      <c r="AD135" s="200"/>
      <c r="AG135" s="620"/>
      <c r="AI135" s="604"/>
    </row>
    <row r="136" spans="5:35" s="158" customFormat="1">
      <c r="E136" s="200"/>
      <c r="F136" s="621"/>
      <c r="G136" s="613"/>
      <c r="H136" s="613"/>
      <c r="I136" s="613"/>
      <c r="J136" s="613"/>
      <c r="K136" s="726"/>
      <c r="L136" s="734"/>
      <c r="M136" s="734"/>
      <c r="N136" s="734"/>
      <c r="O136" s="734"/>
      <c r="P136" s="201"/>
      <c r="Q136" s="201"/>
      <c r="R136" s="201"/>
      <c r="AC136" s="745"/>
      <c r="AD136" s="200"/>
      <c r="AG136" s="620"/>
      <c r="AI136" s="604"/>
    </row>
    <row r="137" spans="5:35" s="158" customFormat="1">
      <c r="E137" s="200"/>
      <c r="F137" s="621"/>
      <c r="G137" s="613"/>
      <c r="H137" s="613"/>
      <c r="I137" s="613"/>
      <c r="J137" s="613"/>
      <c r="K137" s="726"/>
      <c r="L137" s="734"/>
      <c r="M137" s="734"/>
      <c r="N137" s="734"/>
      <c r="O137" s="734"/>
      <c r="P137" s="201"/>
      <c r="Q137" s="201"/>
      <c r="R137" s="201"/>
      <c r="AC137" s="745"/>
      <c r="AD137" s="200"/>
      <c r="AG137" s="620"/>
      <c r="AI137" s="604"/>
    </row>
    <row r="138" spans="5:35" s="158" customFormat="1">
      <c r="E138" s="200"/>
      <c r="F138" s="621"/>
      <c r="G138" s="613"/>
      <c r="H138" s="613"/>
      <c r="I138" s="613"/>
      <c r="J138" s="613"/>
      <c r="K138" s="726"/>
      <c r="L138" s="734"/>
      <c r="M138" s="734"/>
      <c r="N138" s="734"/>
      <c r="O138" s="734"/>
      <c r="P138" s="201"/>
      <c r="Q138" s="201"/>
      <c r="R138" s="201"/>
      <c r="AC138" s="745"/>
      <c r="AD138" s="200"/>
      <c r="AG138" s="620"/>
      <c r="AI138" s="604"/>
    </row>
    <row r="139" spans="5:35" s="158" customFormat="1">
      <c r="E139" s="200"/>
      <c r="F139" s="621"/>
      <c r="G139" s="613"/>
      <c r="H139" s="613"/>
      <c r="I139" s="613"/>
      <c r="J139" s="613"/>
      <c r="K139" s="726"/>
      <c r="L139" s="734"/>
      <c r="M139" s="734"/>
      <c r="N139" s="734"/>
      <c r="O139" s="734"/>
      <c r="P139" s="201"/>
      <c r="Q139" s="201"/>
      <c r="R139" s="201"/>
      <c r="AC139" s="745"/>
      <c r="AD139" s="200"/>
      <c r="AG139" s="620"/>
      <c r="AI139" s="604"/>
    </row>
    <row r="140" spans="5:35" s="158" customFormat="1">
      <c r="E140" s="200"/>
      <c r="F140" s="621"/>
      <c r="G140" s="613"/>
      <c r="H140" s="613"/>
      <c r="I140" s="613"/>
      <c r="J140" s="613"/>
      <c r="K140" s="726"/>
      <c r="L140" s="734"/>
      <c r="M140" s="734"/>
      <c r="N140" s="734"/>
      <c r="O140" s="734"/>
      <c r="P140" s="201"/>
      <c r="Q140" s="201"/>
      <c r="R140" s="201"/>
      <c r="AC140" s="745"/>
      <c r="AD140" s="200"/>
      <c r="AG140" s="620"/>
      <c r="AI140" s="604"/>
    </row>
    <row r="141" spans="5:35" s="158" customFormat="1">
      <c r="E141" s="200"/>
      <c r="F141" s="621"/>
      <c r="G141" s="613"/>
      <c r="H141" s="613"/>
      <c r="I141" s="613"/>
      <c r="J141" s="613"/>
      <c r="K141" s="726"/>
      <c r="L141" s="734"/>
      <c r="M141" s="734"/>
      <c r="N141" s="734"/>
      <c r="O141" s="734"/>
      <c r="P141" s="201"/>
      <c r="Q141" s="201"/>
      <c r="R141" s="201"/>
      <c r="AC141" s="745"/>
      <c r="AD141" s="200"/>
      <c r="AG141" s="620"/>
      <c r="AI141" s="604"/>
    </row>
    <row r="142" spans="5:35" s="158" customFormat="1">
      <c r="E142" s="200"/>
      <c r="F142" s="621"/>
      <c r="G142" s="613"/>
      <c r="H142" s="613"/>
      <c r="I142" s="613"/>
      <c r="J142" s="613"/>
      <c r="K142" s="726"/>
      <c r="L142" s="734"/>
      <c r="M142" s="734"/>
      <c r="N142" s="734"/>
      <c r="O142" s="734"/>
      <c r="P142" s="201"/>
      <c r="Q142" s="201"/>
      <c r="R142" s="201"/>
      <c r="AC142" s="745"/>
      <c r="AD142" s="200"/>
      <c r="AG142" s="620"/>
      <c r="AI142" s="604"/>
    </row>
    <row r="143" spans="5:35" s="158" customFormat="1">
      <c r="E143" s="200"/>
      <c r="F143" s="621"/>
      <c r="G143" s="613"/>
      <c r="H143" s="613"/>
      <c r="I143" s="613"/>
      <c r="J143" s="613"/>
      <c r="K143" s="726"/>
      <c r="L143" s="734"/>
      <c r="M143" s="734"/>
      <c r="N143" s="734"/>
      <c r="O143" s="734"/>
      <c r="P143" s="201"/>
      <c r="Q143" s="201"/>
      <c r="R143" s="201"/>
      <c r="AC143" s="745"/>
      <c r="AD143" s="200"/>
      <c r="AG143" s="620"/>
      <c r="AI143" s="604"/>
    </row>
    <row r="144" spans="5:35" s="158" customFormat="1">
      <c r="E144" s="200"/>
      <c r="F144" s="621"/>
      <c r="G144" s="613"/>
      <c r="H144" s="613"/>
      <c r="I144" s="613"/>
      <c r="J144" s="613"/>
      <c r="K144" s="726"/>
      <c r="L144" s="734"/>
      <c r="M144" s="734"/>
      <c r="N144" s="734"/>
      <c r="O144" s="734"/>
      <c r="P144" s="201"/>
      <c r="Q144" s="201"/>
      <c r="R144" s="201"/>
      <c r="AC144" s="745"/>
      <c r="AD144" s="200"/>
      <c r="AG144" s="620"/>
      <c r="AI144" s="604"/>
    </row>
    <row r="145" spans="5:35" s="158" customFormat="1">
      <c r="E145" s="200"/>
      <c r="F145" s="621"/>
      <c r="G145" s="613"/>
      <c r="H145" s="613"/>
      <c r="I145" s="613"/>
      <c r="J145" s="613"/>
      <c r="K145" s="726"/>
      <c r="L145" s="734"/>
      <c r="M145" s="734"/>
      <c r="N145" s="734"/>
      <c r="O145" s="734"/>
      <c r="P145" s="201"/>
      <c r="Q145" s="201"/>
      <c r="R145" s="201"/>
      <c r="AC145" s="745"/>
      <c r="AD145" s="200"/>
      <c r="AG145" s="620"/>
      <c r="AI145" s="604"/>
    </row>
    <row r="146" spans="5:35" s="158" customFormat="1">
      <c r="E146" s="200"/>
      <c r="F146" s="621"/>
      <c r="G146" s="613"/>
      <c r="H146" s="613"/>
      <c r="I146" s="613"/>
      <c r="J146" s="613"/>
      <c r="K146" s="726"/>
      <c r="L146" s="734"/>
      <c r="M146" s="734"/>
      <c r="N146" s="734"/>
      <c r="O146" s="734"/>
      <c r="P146" s="201"/>
      <c r="Q146" s="201"/>
      <c r="R146" s="201"/>
      <c r="AC146" s="745"/>
      <c r="AD146" s="200"/>
      <c r="AG146" s="620"/>
      <c r="AI146" s="604"/>
    </row>
    <row r="147" spans="5:35" s="158" customFormat="1">
      <c r="E147" s="200"/>
      <c r="F147" s="621"/>
      <c r="G147" s="613"/>
      <c r="H147" s="613"/>
      <c r="I147" s="613"/>
      <c r="J147" s="613"/>
      <c r="K147" s="726"/>
      <c r="L147" s="734"/>
      <c r="M147" s="734"/>
      <c r="N147" s="734"/>
      <c r="O147" s="734"/>
      <c r="P147" s="201"/>
      <c r="Q147" s="201"/>
      <c r="R147" s="201"/>
      <c r="AC147" s="745"/>
      <c r="AD147" s="200"/>
      <c r="AG147" s="620"/>
      <c r="AI147" s="604"/>
    </row>
    <row r="148" spans="5:35" s="158" customFormat="1">
      <c r="E148" s="200"/>
      <c r="F148" s="621"/>
      <c r="G148" s="613"/>
      <c r="H148" s="613"/>
      <c r="I148" s="613"/>
      <c r="J148" s="613"/>
      <c r="K148" s="726"/>
      <c r="L148" s="734"/>
      <c r="M148" s="734"/>
      <c r="N148" s="734"/>
      <c r="O148" s="734"/>
      <c r="P148" s="201"/>
      <c r="Q148" s="201"/>
      <c r="R148" s="201"/>
      <c r="AC148" s="745"/>
      <c r="AD148" s="200"/>
      <c r="AG148" s="620"/>
      <c r="AI148" s="604"/>
    </row>
    <row r="149" spans="5:35" s="158" customFormat="1">
      <c r="E149" s="200"/>
      <c r="F149" s="621"/>
      <c r="G149" s="613"/>
      <c r="H149" s="613"/>
      <c r="I149" s="613"/>
      <c r="J149" s="613"/>
      <c r="K149" s="726"/>
      <c r="L149" s="734"/>
      <c r="M149" s="734"/>
      <c r="N149" s="734"/>
      <c r="O149" s="734"/>
      <c r="P149" s="201"/>
      <c r="Q149" s="201"/>
      <c r="R149" s="201"/>
      <c r="AC149" s="745"/>
      <c r="AD149" s="200"/>
      <c r="AG149" s="620"/>
      <c r="AI149" s="604"/>
    </row>
  </sheetData>
  <mergeCells count="50">
    <mergeCell ref="B1:AE1"/>
    <mergeCell ref="B2:AE2"/>
    <mergeCell ref="C3:AE3"/>
    <mergeCell ref="C4:K4"/>
    <mergeCell ref="C5:K5"/>
    <mergeCell ref="A7:AF7"/>
    <mergeCell ref="A8:D8"/>
    <mergeCell ref="F10:AC10"/>
    <mergeCell ref="F11:G11"/>
    <mergeCell ref="K11:Q11"/>
    <mergeCell ref="R11:AC11"/>
    <mergeCell ref="A10:A12"/>
    <mergeCell ref="B10:B12"/>
    <mergeCell ref="C10:C12"/>
    <mergeCell ref="D10:D12"/>
    <mergeCell ref="E10:E12"/>
    <mergeCell ref="AD10:AD12"/>
    <mergeCell ref="AE10:AE12"/>
    <mergeCell ref="AF10:AF12"/>
    <mergeCell ref="AJ99:AK99"/>
    <mergeCell ref="A100:AE100"/>
    <mergeCell ref="AC101:AE101"/>
    <mergeCell ref="C102:F102"/>
    <mergeCell ref="G102:P102"/>
    <mergeCell ref="Q102:AC102"/>
    <mergeCell ref="AD102:AE102"/>
    <mergeCell ref="K105:N105"/>
    <mergeCell ref="P105:Q105"/>
    <mergeCell ref="AD105:AE105"/>
    <mergeCell ref="K106:L106"/>
    <mergeCell ref="P106:R106"/>
    <mergeCell ref="AC106:AD106"/>
    <mergeCell ref="C107:F107"/>
    <mergeCell ref="K107:O107"/>
    <mergeCell ref="P107:Q107"/>
    <mergeCell ref="AD107:AE107"/>
    <mergeCell ref="F108:K108"/>
    <mergeCell ref="L108:N108"/>
    <mergeCell ref="P108:Q108"/>
    <mergeCell ref="F109:K109"/>
    <mergeCell ref="N109:P109"/>
    <mergeCell ref="Q109:R109"/>
    <mergeCell ref="G110:K110"/>
    <mergeCell ref="Q110:R110"/>
    <mergeCell ref="G111:K111"/>
    <mergeCell ref="Q111:R111"/>
    <mergeCell ref="G112:K112"/>
    <mergeCell ref="Q112:R112"/>
    <mergeCell ref="G113:K113"/>
    <mergeCell ref="Q113:R113"/>
  </mergeCells>
  <printOptions horizontalCentered="1"/>
  <pageMargins left="0" right="0" top="0.511811023622047" bottom="0.511811023622047" header="0.31496062992126" footer="0.31496062992126"/>
  <pageSetup paperSize="9" scale="80" orientation="landscape"/>
  <headerFooter>
    <oddFooter>&amp;R&amp;P/4</oddFooter>
  </headerFooter>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AL135"/>
  <sheetViews>
    <sheetView showZeros="0" topLeftCell="D9" zoomScale="130" zoomScaleNormal="130" workbookViewId="0">
      <selection activeCell="AD10" sqref="AD10:AE12"/>
    </sheetView>
  </sheetViews>
  <sheetFormatPr defaultColWidth="18.85546875" defaultRowHeight="18.75"/>
  <cols>
    <col min="1" max="1" width="3.28515625" style="197" customWidth="1"/>
    <col min="2" max="2" width="11.28515625" style="197" hidden="1" customWidth="1"/>
    <col min="3" max="3" width="13" style="601" customWidth="1"/>
    <col min="4" max="4" width="8.140625" style="346" customWidth="1"/>
    <col min="5" max="5" width="13.5703125" style="346" customWidth="1"/>
    <col min="6" max="6" width="8.42578125" style="602" customWidth="1"/>
    <col min="7" max="7" width="11.140625" style="346" customWidth="1"/>
    <col min="8" max="10" width="10.5703125" style="346" hidden="1" customWidth="1"/>
    <col min="11" max="11" width="7" style="684" customWidth="1"/>
    <col min="12" max="12" width="8.7109375" style="685" hidden="1" customWidth="1"/>
    <col min="13" max="13" width="6.42578125" style="685" customWidth="1"/>
    <col min="14" max="14" width="9.7109375" style="685" hidden="1" customWidth="1"/>
    <col min="15" max="15" width="9.7109375" style="685" customWidth="1"/>
    <col min="16" max="16" width="7" style="686" customWidth="1"/>
    <col min="17" max="17" width="10" style="687" customWidth="1"/>
    <col min="18" max="19" width="7" style="346" customWidth="1"/>
    <col min="20" max="22" width="7" style="346" hidden="1" customWidth="1"/>
    <col min="23" max="23" width="6.28515625" style="346" hidden="1" customWidth="1"/>
    <col min="24" max="24" width="6.28515625" style="346" customWidth="1"/>
    <col min="25" max="25" width="7" style="346" customWidth="1"/>
    <col min="26" max="26" width="6.28515625" style="346" customWidth="1"/>
    <col min="27" max="27" width="7" style="346" customWidth="1"/>
    <col min="28" max="28" width="7" style="346" hidden="1" customWidth="1"/>
    <col min="29" max="29" width="10.7109375" style="346" customWidth="1"/>
    <col min="30" max="30" width="12.140625" style="346" customWidth="1"/>
    <col min="31" max="31" width="10.7109375" style="346" customWidth="1"/>
    <col min="32" max="32" width="13.28515625" style="346" customWidth="1"/>
    <col min="33" max="33" width="9.5703125" style="603" customWidth="1"/>
    <col min="34" max="34" width="19.7109375" style="346" customWidth="1"/>
    <col min="35" max="35" width="14.5703125" style="604" customWidth="1"/>
    <col min="36" max="228" width="9.140625" style="346" customWidth="1"/>
    <col min="229" max="229" width="5.5703125" style="346" customWidth="1"/>
    <col min="230" max="230" width="16.140625" style="346" customWidth="1"/>
    <col min="231" max="16384" width="18.85546875" style="346"/>
  </cols>
  <sheetData>
    <row r="1" spans="1:38" s="598" customFormat="1" ht="15.75">
      <c r="B1" s="2672" t="s">
        <v>0</v>
      </c>
      <c r="C1" s="2672"/>
      <c r="D1" s="2672"/>
      <c r="E1" s="2672"/>
      <c r="F1" s="2672"/>
      <c r="G1" s="2672"/>
      <c r="H1" s="2672"/>
      <c r="I1" s="2672"/>
      <c r="J1" s="2672"/>
      <c r="K1" s="2672"/>
      <c r="L1" s="2672"/>
      <c r="M1" s="2672"/>
      <c r="N1" s="2672"/>
      <c r="O1" s="2672"/>
      <c r="P1" s="2672"/>
      <c r="Q1" s="2672"/>
      <c r="R1" s="2672"/>
      <c r="S1" s="2672"/>
      <c r="T1" s="2672"/>
      <c r="U1" s="2672"/>
      <c r="V1" s="2672"/>
      <c r="W1" s="2672"/>
      <c r="X1" s="2672"/>
      <c r="Y1" s="2672"/>
      <c r="Z1" s="2672"/>
      <c r="AA1" s="2672"/>
      <c r="AB1" s="2672"/>
      <c r="AC1" s="2672"/>
      <c r="AD1" s="2672"/>
      <c r="AE1" s="2672"/>
    </row>
    <row r="2" spans="1:38" s="598" customFormat="1" ht="15.75">
      <c r="B2" s="2672" t="s">
        <v>1968</v>
      </c>
      <c r="C2" s="2672"/>
      <c r="D2" s="2672"/>
      <c r="E2" s="2672"/>
      <c r="F2" s="2672"/>
      <c r="G2" s="2672"/>
      <c r="H2" s="2672"/>
      <c r="I2" s="2672"/>
      <c r="J2" s="2672"/>
      <c r="K2" s="2672"/>
      <c r="L2" s="2672"/>
      <c r="M2" s="2672"/>
      <c r="N2" s="2672"/>
      <c r="O2" s="2672"/>
      <c r="P2" s="2672"/>
      <c r="Q2" s="2672"/>
      <c r="R2" s="2672"/>
      <c r="S2" s="2672"/>
      <c r="T2" s="2672"/>
      <c r="U2" s="2672"/>
      <c r="V2" s="2672"/>
      <c r="W2" s="2672"/>
      <c r="X2" s="2672"/>
      <c r="Y2" s="2672"/>
      <c r="Z2" s="2672"/>
      <c r="AA2" s="2672"/>
      <c r="AB2" s="2672"/>
      <c r="AC2" s="2672"/>
      <c r="AD2" s="2672"/>
      <c r="AE2" s="2672"/>
    </row>
    <row r="3" spans="1:38" s="598" customFormat="1" ht="15.75">
      <c r="C3" s="2673" t="s">
        <v>619</v>
      </c>
      <c r="D3" s="2672"/>
      <c r="E3" s="2672"/>
      <c r="F3" s="2672"/>
      <c r="G3" s="2672"/>
      <c r="H3" s="2672"/>
      <c r="I3" s="2672"/>
      <c r="J3" s="2672"/>
      <c r="K3" s="2672"/>
      <c r="L3" s="2672"/>
      <c r="M3" s="2672"/>
      <c r="N3" s="2672"/>
      <c r="O3" s="2672"/>
      <c r="P3" s="2672"/>
      <c r="Q3" s="2672"/>
      <c r="R3" s="2672"/>
      <c r="S3" s="2672"/>
      <c r="T3" s="2672"/>
      <c r="U3" s="2672"/>
      <c r="V3" s="2672"/>
      <c r="W3" s="2672"/>
      <c r="X3" s="2672"/>
      <c r="Y3" s="2672"/>
      <c r="Z3" s="2672"/>
      <c r="AA3" s="2672"/>
      <c r="AB3" s="2672"/>
      <c r="AC3" s="2672"/>
      <c r="AD3" s="2672"/>
      <c r="AE3" s="2672"/>
    </row>
    <row r="4" spans="1:38" s="598" customFormat="1" ht="15.75">
      <c r="C4" s="2674" t="s">
        <v>2738</v>
      </c>
      <c r="D4" s="2675"/>
      <c r="E4" s="2675"/>
      <c r="F4" s="2675"/>
      <c r="G4" s="2675"/>
      <c r="H4" s="2675"/>
      <c r="I4" s="2675"/>
      <c r="J4" s="2675"/>
      <c r="K4" s="2675"/>
      <c r="L4" s="700"/>
      <c r="M4" s="700"/>
      <c r="N4" s="700"/>
      <c r="O4" s="700"/>
      <c r="P4" s="605"/>
      <c r="Q4" s="605"/>
      <c r="R4" s="605"/>
      <c r="S4" s="605"/>
      <c r="T4" s="605"/>
      <c r="U4" s="605"/>
      <c r="V4" s="605"/>
      <c r="W4" s="605"/>
      <c r="X4" s="605"/>
      <c r="Y4" s="605"/>
      <c r="Z4" s="605"/>
      <c r="AA4" s="605"/>
      <c r="AB4" s="605"/>
      <c r="AC4" s="605"/>
    </row>
    <row r="5" spans="1:38" s="28" customFormat="1" ht="16.5">
      <c r="C5" s="2676" t="s">
        <v>620</v>
      </c>
      <c r="D5" s="2676"/>
      <c r="E5" s="2676"/>
      <c r="F5" s="2676"/>
      <c r="G5" s="2676"/>
      <c r="H5" s="2676"/>
      <c r="I5" s="2676"/>
      <c r="J5" s="2676"/>
      <c r="K5" s="2676"/>
      <c r="L5" s="876"/>
      <c r="M5" s="876"/>
      <c r="N5" s="702"/>
      <c r="O5" s="702"/>
      <c r="P5" s="76"/>
      <c r="R5" s="76"/>
      <c r="S5" s="76"/>
      <c r="T5" s="80"/>
      <c r="U5" s="81"/>
      <c r="V5" s="81"/>
      <c r="W5" s="81"/>
      <c r="X5" s="80"/>
      <c r="Y5" s="81"/>
      <c r="Z5" s="81"/>
      <c r="AA5" s="81"/>
      <c r="AC5" s="82"/>
    </row>
    <row r="6" spans="1:38" ht="15.75">
      <c r="A6" s="175"/>
      <c r="B6" s="175"/>
      <c r="C6" s="175"/>
      <c r="D6" s="175"/>
      <c r="E6" s="175"/>
      <c r="F6" s="175"/>
      <c r="G6" s="175"/>
      <c r="H6" s="175"/>
      <c r="I6" s="175"/>
      <c r="J6" s="175"/>
      <c r="K6" s="689"/>
      <c r="L6" s="703"/>
      <c r="M6" s="703"/>
      <c r="N6" s="703"/>
      <c r="O6" s="703"/>
      <c r="P6" s="704"/>
      <c r="Q6" s="705"/>
      <c r="R6" s="175"/>
      <c r="S6" s="175"/>
      <c r="T6" s="175"/>
      <c r="U6" s="175"/>
      <c r="V6" s="175"/>
      <c r="W6" s="175"/>
      <c r="X6" s="175"/>
      <c r="Y6" s="175"/>
      <c r="Z6" s="175"/>
      <c r="AA6" s="175"/>
      <c r="AB6" s="175"/>
      <c r="AC6" s="175"/>
      <c r="AD6" s="175"/>
      <c r="AE6" s="175"/>
      <c r="AF6" s="176"/>
      <c r="AH6" s="555" t="s">
        <v>1952</v>
      </c>
      <c r="AI6" s="475">
        <f>AI8/AI7</f>
        <v>0.523186246010649</v>
      </c>
    </row>
    <row r="7" spans="1:38" s="176" customFormat="1" ht="27" customHeight="1">
      <c r="A7" s="2290" t="s">
        <v>2767</v>
      </c>
      <c r="B7" s="2290"/>
      <c r="C7" s="2290"/>
      <c r="D7" s="2290"/>
      <c r="E7" s="2290"/>
      <c r="F7" s="2290"/>
      <c r="G7" s="2290"/>
      <c r="H7" s="2290"/>
      <c r="I7" s="2290"/>
      <c r="J7" s="2290"/>
      <c r="K7" s="2290"/>
      <c r="L7" s="2290"/>
      <c r="M7" s="2290"/>
      <c r="N7" s="2290"/>
      <c r="O7" s="2290"/>
      <c r="P7" s="2290"/>
      <c r="Q7" s="2290"/>
      <c r="R7" s="2290"/>
      <c r="S7" s="2290"/>
      <c r="T7" s="2290"/>
      <c r="U7" s="2290"/>
      <c r="V7" s="2290"/>
      <c r="W7" s="2290"/>
      <c r="X7" s="2290"/>
      <c r="Y7" s="2290"/>
      <c r="Z7" s="2290"/>
      <c r="AA7" s="2290"/>
      <c r="AB7" s="2290"/>
      <c r="AC7" s="2290"/>
      <c r="AD7" s="2290"/>
      <c r="AE7" s="2290"/>
      <c r="AF7" s="2290"/>
      <c r="AG7" s="622"/>
      <c r="AH7" s="917" t="s">
        <v>2570</v>
      </c>
      <c r="AI7" s="918">
        <f>THCKT!AO17</f>
        <v>3266</v>
      </c>
      <c r="AK7" s="176">
        <v>204438</v>
      </c>
      <c r="AL7" s="176">
        <v>90516.406582044598</v>
      </c>
    </row>
    <row r="8" spans="1:38" s="176" customFormat="1" ht="24.6" customHeight="1">
      <c r="A8" s="2660" t="s">
        <v>2710</v>
      </c>
      <c r="B8" s="2660"/>
      <c r="C8" s="2660"/>
      <c r="D8" s="2660"/>
      <c r="E8" s="175"/>
      <c r="F8" s="158">
        <f>'LƯƠNG KT'!F8</f>
        <v>668.84</v>
      </c>
      <c r="G8" s="175"/>
      <c r="H8" s="175"/>
      <c r="I8" s="175"/>
      <c r="J8" s="175"/>
      <c r="K8" s="175"/>
      <c r="L8" s="706"/>
      <c r="M8" s="706"/>
      <c r="N8" s="706"/>
      <c r="O8" s="706"/>
      <c r="P8" s="175"/>
      <c r="Q8" s="175"/>
      <c r="R8" s="175"/>
      <c r="S8" s="175"/>
      <c r="T8" s="175"/>
      <c r="U8" s="175"/>
      <c r="V8" s="175"/>
      <c r="W8" s="175"/>
      <c r="X8" s="175"/>
      <c r="Y8" s="175"/>
      <c r="Z8" s="175"/>
      <c r="AA8" s="175"/>
      <c r="AB8" s="175"/>
      <c r="AC8" s="175"/>
      <c r="AD8" s="175"/>
      <c r="AE8" s="175"/>
      <c r="AF8" s="175"/>
      <c r="AG8" s="622"/>
      <c r="AH8" s="917" t="s">
        <v>2602</v>
      </c>
      <c r="AI8" s="919">
        <f>THCKT!AP17</f>
        <v>1708.7262794707799</v>
      </c>
    </row>
    <row r="9" spans="1:38" s="176" customFormat="1" ht="18.75" customHeight="1">
      <c r="A9" s="608"/>
      <c r="B9" s="608"/>
      <c r="C9" s="172"/>
      <c r="D9" s="608"/>
      <c r="E9" s="608"/>
      <c r="F9" s="609" t="e">
        <f>'Đội 3'!F9</f>
        <v>#REF!</v>
      </c>
      <c r="G9" s="175"/>
      <c r="H9" s="175"/>
      <c r="I9" s="175"/>
      <c r="J9" s="175"/>
      <c r="K9" s="175"/>
      <c r="L9" s="706"/>
      <c r="M9" s="706"/>
      <c r="N9" s="706"/>
      <c r="O9" s="706"/>
      <c r="P9" s="175"/>
      <c r="Q9" s="175"/>
      <c r="R9" s="175"/>
      <c r="S9" s="175"/>
      <c r="T9" s="175"/>
      <c r="U9" s="175"/>
      <c r="V9" s="175"/>
      <c r="W9" s="175"/>
      <c r="X9" s="175"/>
      <c r="Y9" s="175"/>
      <c r="Z9" s="175"/>
      <c r="AA9" s="175"/>
      <c r="AB9" s="175"/>
      <c r="AC9" s="175"/>
      <c r="AF9" s="175"/>
      <c r="AG9" s="622"/>
      <c r="AH9" s="920" t="s">
        <v>373</v>
      </c>
      <c r="AI9" s="921">
        <v>0.5</v>
      </c>
    </row>
    <row r="10" spans="1:38" s="175" customFormat="1" ht="17.25" customHeight="1">
      <c r="A10" s="2666" t="s">
        <v>623</v>
      </c>
      <c r="B10" s="2666" t="s">
        <v>624</v>
      </c>
      <c r="C10" s="2668" t="s">
        <v>356</v>
      </c>
      <c r="D10" s="2666" t="s">
        <v>2711</v>
      </c>
      <c r="E10" s="2664" t="s">
        <v>531</v>
      </c>
      <c r="F10" s="2661" t="s">
        <v>2712</v>
      </c>
      <c r="G10" s="2662"/>
      <c r="H10" s="2662"/>
      <c r="I10" s="2662"/>
      <c r="J10" s="2662"/>
      <c r="K10" s="2662"/>
      <c r="L10" s="2662"/>
      <c r="M10" s="2662"/>
      <c r="N10" s="2662"/>
      <c r="O10" s="2662"/>
      <c r="P10" s="2662"/>
      <c r="Q10" s="2662"/>
      <c r="R10" s="2662"/>
      <c r="S10" s="2662"/>
      <c r="T10" s="2662"/>
      <c r="U10" s="2662"/>
      <c r="V10" s="2662"/>
      <c r="W10" s="2662"/>
      <c r="X10" s="2662"/>
      <c r="Y10" s="2662"/>
      <c r="Z10" s="2662"/>
      <c r="AA10" s="2662"/>
      <c r="AB10" s="2662"/>
      <c r="AC10" s="2663"/>
      <c r="AD10" s="2678" t="s">
        <v>2713</v>
      </c>
      <c r="AE10" s="2678" t="s">
        <v>2714</v>
      </c>
      <c r="AF10" s="2681" t="s">
        <v>2715</v>
      </c>
      <c r="AG10" s="623"/>
      <c r="AH10" s="920" t="s">
        <v>2604</v>
      </c>
      <c r="AI10" s="921">
        <v>0.53260231660231705</v>
      </c>
    </row>
    <row r="11" spans="1:38" s="175" customFormat="1" ht="28.5" customHeight="1">
      <c r="A11" s="2666"/>
      <c r="B11" s="2666"/>
      <c r="C11" s="2669"/>
      <c r="D11" s="2666"/>
      <c r="E11" s="2664"/>
      <c r="F11" s="2666" t="s">
        <v>2716</v>
      </c>
      <c r="G11" s="2666"/>
      <c r="H11" s="862"/>
      <c r="I11" s="862"/>
      <c r="J11" s="862"/>
      <c r="K11" s="2664" t="s">
        <v>2717</v>
      </c>
      <c r="L11" s="2664"/>
      <c r="M11" s="2664"/>
      <c r="N11" s="2664"/>
      <c r="O11" s="2664"/>
      <c r="P11" s="2664"/>
      <c r="Q11" s="2664"/>
      <c r="R11" s="2665" t="s">
        <v>2718</v>
      </c>
      <c r="S11" s="2665"/>
      <c r="T11" s="2665"/>
      <c r="U11" s="2665"/>
      <c r="V11" s="2665"/>
      <c r="W11" s="2665"/>
      <c r="X11" s="2665"/>
      <c r="Y11" s="2665"/>
      <c r="Z11" s="2665"/>
      <c r="AA11" s="2665"/>
      <c r="AB11" s="2665"/>
      <c r="AC11" s="2665"/>
      <c r="AD11" s="2679"/>
      <c r="AE11" s="2679"/>
      <c r="AF11" s="2682"/>
      <c r="AG11" s="623"/>
      <c r="AI11" s="604"/>
    </row>
    <row r="12" spans="1:38" s="599" customFormat="1" ht="51" customHeight="1">
      <c r="A12" s="2667"/>
      <c r="B12" s="2666"/>
      <c r="C12" s="2670"/>
      <c r="D12" s="2667"/>
      <c r="E12" s="2664"/>
      <c r="F12" s="864" t="s">
        <v>2593</v>
      </c>
      <c r="G12" s="178" t="s">
        <v>2719</v>
      </c>
      <c r="H12" s="910" t="s">
        <v>2586</v>
      </c>
      <c r="I12" s="910" t="s">
        <v>2587</v>
      </c>
      <c r="J12" s="910" t="s">
        <v>2588</v>
      </c>
      <c r="K12" s="877" t="s">
        <v>2720</v>
      </c>
      <c r="L12" s="878" t="s">
        <v>2740</v>
      </c>
      <c r="M12" s="878" t="s">
        <v>2721</v>
      </c>
      <c r="N12" s="878" t="s">
        <v>2741</v>
      </c>
      <c r="O12" s="878" t="s">
        <v>2722</v>
      </c>
      <c r="P12" s="879" t="s">
        <v>2742</v>
      </c>
      <c r="Q12" s="860" t="s">
        <v>2724</v>
      </c>
      <c r="R12" s="885" t="s">
        <v>2743</v>
      </c>
      <c r="S12" s="885" t="s">
        <v>2744</v>
      </c>
      <c r="T12" s="885" t="s">
        <v>2745</v>
      </c>
      <c r="U12" s="885" t="s">
        <v>369</v>
      </c>
      <c r="V12" s="885" t="s">
        <v>2666</v>
      </c>
      <c r="W12" s="885" t="s">
        <v>2680</v>
      </c>
      <c r="X12" s="886" t="s">
        <v>2746</v>
      </c>
      <c r="Y12" s="885" t="s">
        <v>2747</v>
      </c>
      <c r="Z12" s="885" t="s">
        <v>2683</v>
      </c>
      <c r="AA12" s="886" t="s">
        <v>2748</v>
      </c>
      <c r="AB12" s="885"/>
      <c r="AC12" s="860" t="s">
        <v>2727</v>
      </c>
      <c r="AD12" s="2680"/>
      <c r="AE12" s="2680"/>
      <c r="AF12" s="2683"/>
      <c r="AG12" s="624" t="s">
        <v>2728</v>
      </c>
      <c r="AI12" s="637"/>
    </row>
    <row r="13" spans="1:38" s="29" customFormat="1" ht="34.15" hidden="1" customHeight="1">
      <c r="A13" s="866" t="s">
        <v>636</v>
      </c>
      <c r="B13" s="866"/>
      <c r="C13" s="863" t="s">
        <v>638</v>
      </c>
      <c r="D13" s="866" t="s">
        <v>639</v>
      </c>
      <c r="E13" s="863" t="s">
        <v>2729</v>
      </c>
      <c r="F13" s="866" t="s">
        <v>640</v>
      </c>
      <c r="G13" s="866" t="s">
        <v>2730</v>
      </c>
      <c r="H13" s="866"/>
      <c r="I13" s="866"/>
      <c r="J13" s="866"/>
      <c r="K13" s="880" t="s">
        <v>2731</v>
      </c>
      <c r="L13" s="881" t="s">
        <v>2731</v>
      </c>
      <c r="M13" s="881" t="s">
        <v>2731</v>
      </c>
      <c r="N13" s="881" t="s">
        <v>2731</v>
      </c>
      <c r="O13" s="881" t="s">
        <v>2731</v>
      </c>
      <c r="P13" s="866" t="s">
        <v>2732</v>
      </c>
      <c r="Q13" s="866" t="s">
        <v>2730</v>
      </c>
      <c r="R13" s="866" t="s">
        <v>2733</v>
      </c>
      <c r="S13" s="866" t="s">
        <v>2734</v>
      </c>
      <c r="T13" s="866" t="s">
        <v>2734</v>
      </c>
      <c r="U13" s="866" t="s">
        <v>2734</v>
      </c>
      <c r="V13" s="866" t="s">
        <v>2734</v>
      </c>
      <c r="W13" s="866" t="s">
        <v>2734</v>
      </c>
      <c r="X13" s="866" t="s">
        <v>2734</v>
      </c>
      <c r="Y13" s="866" t="s">
        <v>2734</v>
      </c>
      <c r="Z13" s="866" t="s">
        <v>2734</v>
      </c>
      <c r="AA13" s="866" t="s">
        <v>2734</v>
      </c>
      <c r="AB13" s="866" t="s">
        <v>2734</v>
      </c>
      <c r="AC13" s="866" t="s">
        <v>2730</v>
      </c>
      <c r="AD13" s="888" t="s">
        <v>643</v>
      </c>
      <c r="AE13" s="863" t="s">
        <v>644</v>
      </c>
      <c r="AF13" s="626" t="s">
        <v>2735</v>
      </c>
      <c r="AG13" s="627" t="s">
        <v>2736</v>
      </c>
      <c r="AI13" s="637"/>
    </row>
    <row r="14" spans="1:38" s="540" customFormat="1">
      <c r="A14" s="868">
        <v>1</v>
      </c>
      <c r="B14" s="1644" t="str">
        <f>VLOOKUP(C14,'DS CN MOI UP'!$B$10:$C$389,2,0)</f>
        <v>02615</v>
      </c>
      <c r="C14" s="875" t="s">
        <v>206</v>
      </c>
      <c r="D14" s="875" t="s">
        <v>15</v>
      </c>
      <c r="E14" s="872"/>
      <c r="F14" s="873">
        <f>+VLOOKUP($C$14:$C$84,THCKT!$C$317:$AE$395,17,0)</f>
        <v>24</v>
      </c>
      <c r="G14" s="874">
        <f t="shared" ref="G14:G77" si="0">F14*25000</f>
        <v>600000</v>
      </c>
      <c r="H14" s="874"/>
      <c r="I14" s="874"/>
      <c r="J14" s="874"/>
      <c r="K14" s="874" t="e">
        <f>VLOOKUP(C14,THCKT!$C$13:$AL$460,21,0)</f>
        <v>#N/A</v>
      </c>
      <c r="L14" s="883">
        <f>VLOOKUP(C14,THCKT!$C$13:$AL$460,22,0)</f>
        <v>0</v>
      </c>
      <c r="M14" s="883">
        <f>VLOOKUP(C14,THCKT!$C$13:$AL$460,23,0)</f>
        <v>0</v>
      </c>
      <c r="N14" s="883" t="e">
        <f t="shared" ref="N14:N45" si="1">$AI$8/$AI$7*K14+L14*$AI$9+M14*$AI$10</f>
        <v>#N/A</v>
      </c>
      <c r="O14" s="883" t="e">
        <f>Q14/((Q14/(N14*$F$9)*$F$8))</f>
        <v>#N/A</v>
      </c>
      <c r="P14" s="884" t="e">
        <f>VLOOKUP(C14,THCKT!$C$13:$AL$460,36,0)</f>
        <v>#N/A</v>
      </c>
      <c r="Q14" s="887" t="e">
        <f>ROUND((IF(P14="A",(K14*$AI$6*6.1),IF(P14="B",(K14*$AI$6*5.8),IF(P14="C",(K14*$AI$6*5.5),IF(P14="D",(K14*$AI$6*5.2),0))))*$F$9+(L14*$AI$9*$F$9*6.1)+M14*$F$9*$AI$10*6.1),0)</f>
        <v>#N/A</v>
      </c>
      <c r="R14" s="874" t="e">
        <f>VLOOKUP(C14,'LƯƠNG KT'!$D$15:$P$94,16,0)</f>
        <v>#N/A</v>
      </c>
      <c r="S14" s="874" t="e">
        <f>VLOOKUP(C14,'LƯƠNG KT'!$D$15:$P$94,17,0)</f>
        <v>#N/A</v>
      </c>
      <c r="T14" s="874" t="e">
        <f>VLOOKUP(C14,'LƯƠNG KT'!$D$15:$P$94,18,0)</f>
        <v>#N/A</v>
      </c>
      <c r="U14" s="874" t="e">
        <f>VLOOKUP(C14,'LƯƠNG KT'!$D$15:$P$94,18,0)</f>
        <v>#N/A</v>
      </c>
      <c r="V14" s="874" t="e">
        <f>VLOOKUP(C14,'LƯƠNG KT'!$D$15:$P$94,19,0)</f>
        <v>#N/A</v>
      </c>
      <c r="W14" s="874" t="e">
        <f>VLOOKUP(C14,'LƯƠNG KT'!$D$15:$P$94,20,0)</f>
        <v>#N/A</v>
      </c>
      <c r="X14" s="874" t="e">
        <f>VLOOKUP(C14,'LƯƠNG KT'!$D$15:$P$94,22,0)</f>
        <v>#N/A</v>
      </c>
      <c r="Y14" s="874" t="e">
        <f>VLOOKUP(C14,'LƯƠNG KT'!$D$15:$P$94,23,0)</f>
        <v>#N/A</v>
      </c>
      <c r="Z14" s="874" t="e">
        <f>VLOOKUP(C14,'LƯƠNG KT'!$D$15:$P$94,24,0)</f>
        <v>#N/A</v>
      </c>
      <c r="AA14" s="874">
        <v>20</v>
      </c>
      <c r="AB14" s="874"/>
      <c r="AC14" s="889" t="e">
        <f>ROUND((((R14*46.1)+(S14*76.9)+(X14*30.7)+(U14*46.1*2)+(V14*46.1*2)+(W14*76.9*2))*$F$8),0)+T14*10000+Y14*20000+Z14*20000+AA14*25000</f>
        <v>#N/A</v>
      </c>
      <c r="AD14" s="889" t="e">
        <f t="shared" ref="AD14:AD45" si="2">+AC14+Q14+G14</f>
        <v>#N/A</v>
      </c>
      <c r="AE14" s="889" t="e">
        <f t="shared" ref="AE14:AE67" si="3">AD14</f>
        <v>#N/A</v>
      </c>
      <c r="AF14" s="927" t="e">
        <f>VLOOKUP(C14,'LƯƠNG KT'!#REF!,27,0)</f>
        <v>#REF!</v>
      </c>
      <c r="AG14" s="891" t="e">
        <f>+AC14-AF14</f>
        <v>#N/A</v>
      </c>
      <c r="AH14" s="922" t="s">
        <v>2751</v>
      </c>
      <c r="AI14" s="637"/>
    </row>
    <row r="15" spans="1:38" s="540" customFormat="1" ht="17.25" customHeight="1">
      <c r="A15" s="868">
        <v>2</v>
      </c>
      <c r="B15" s="1644" t="str">
        <f>VLOOKUP(C15,'DS CN MOI UP'!$B$10:$C$389,2,0)</f>
        <v>02594</v>
      </c>
      <c r="C15" s="875" t="s">
        <v>207</v>
      </c>
      <c r="D15" s="875" t="s">
        <v>15</v>
      </c>
      <c r="E15" s="872"/>
      <c r="F15" s="873">
        <f>+VLOOKUP($C$14:$C$84,THCKT!$C$317:$AE$395,17,0)</f>
        <v>24</v>
      </c>
      <c r="G15" s="874">
        <f t="shared" si="0"/>
        <v>600000</v>
      </c>
      <c r="H15" s="874"/>
      <c r="I15" s="874"/>
      <c r="J15" s="874"/>
      <c r="K15" s="874" t="e">
        <f>VLOOKUP(C15,THCKT!$C$13:$AL$460,21,0)</f>
        <v>#N/A</v>
      </c>
      <c r="L15" s="883">
        <f>VLOOKUP(C15,THCKT!$C$13:$AL$460,22,0)</f>
        <v>0</v>
      </c>
      <c r="M15" s="883">
        <f>VLOOKUP(C15,THCKT!$C$13:$AL$460,23,0)</f>
        <v>0</v>
      </c>
      <c r="N15" s="883" t="e">
        <f t="shared" si="1"/>
        <v>#N/A</v>
      </c>
      <c r="O15" s="883" t="e">
        <f t="shared" ref="O15:O76" si="4">Q15/((Q15/(N15*$F$9)*$F$8))</f>
        <v>#N/A</v>
      </c>
      <c r="P15" s="884" t="e">
        <f>VLOOKUP(C15,THCKT!$C$13:$AL$460,36,0)</f>
        <v>#N/A</v>
      </c>
      <c r="Q15" s="887" t="e">
        <f t="shared" ref="Q15:Q78" si="5">ROUND((IF(P15="A",(K15*$AI$6*6.1),IF(P15="B",(K15*$AI$6*5.8),IF(P15="C",(K15*$AI$6*5.5),IF(P15="D",(K15*$AI$6*5.2),0))))*$F$9+(L15*$AI$9*$F$9*6.1)+M15*$F$9*$AI$10*6.1),0)</f>
        <v>#N/A</v>
      </c>
      <c r="R15" s="874" t="e">
        <f>VLOOKUP(C15,'LƯƠNG KT'!$D$15:$P$94,16,0)</f>
        <v>#N/A</v>
      </c>
      <c r="S15" s="874" t="e">
        <f>VLOOKUP(C15,'LƯƠNG KT'!$D$15:$P$94,17,0)</f>
        <v>#N/A</v>
      </c>
      <c r="T15" s="874" t="e">
        <f>VLOOKUP(C15,'LƯƠNG KT'!$D$15:$P$94,18,0)</f>
        <v>#N/A</v>
      </c>
      <c r="U15" s="874" t="e">
        <f>VLOOKUP(C15,'LƯƠNG KT'!$D$15:$P$94,18,0)</f>
        <v>#N/A</v>
      </c>
      <c r="V15" s="874" t="e">
        <f>VLOOKUP(C15,'LƯƠNG KT'!$D$15:$P$94,19,0)</f>
        <v>#N/A</v>
      </c>
      <c r="W15" s="874" t="e">
        <f>VLOOKUP(C15,'LƯƠNG KT'!$D$15:$P$94,20,0)</f>
        <v>#N/A</v>
      </c>
      <c r="X15" s="874" t="e">
        <f>VLOOKUP(C15,'LƯƠNG KT'!$D$15:$P$94,22,0)</f>
        <v>#N/A</v>
      </c>
      <c r="Y15" s="874" t="e">
        <f>VLOOKUP(C15,'LƯƠNG KT'!$D$15:$P$94,23,0)</f>
        <v>#N/A</v>
      </c>
      <c r="Z15" s="874" t="e">
        <f>VLOOKUP(C15,'LƯƠNG KT'!$D$15:$P$94,24,0)</f>
        <v>#N/A</v>
      </c>
      <c r="AA15" s="874">
        <v>20</v>
      </c>
      <c r="AB15" s="874"/>
      <c r="AC15" s="889" t="e">
        <f t="shared" ref="AC15:AC78" si="6">ROUND((((R15*46.1)+(S15*76.9)+(X15*30.7)+(U15*46.1*2)+(V15*46.1*2)+(W15*76.9*2))*$F$8),0)+T15*10000+Y15*20000+Z15*20000+AA15*25000</f>
        <v>#N/A</v>
      </c>
      <c r="AD15" s="889" t="e">
        <f t="shared" si="2"/>
        <v>#N/A</v>
      </c>
      <c r="AE15" s="889" t="e">
        <f t="shared" si="3"/>
        <v>#N/A</v>
      </c>
      <c r="AF15" s="927" t="e">
        <f>VLOOKUP(C15,'LƯƠNG KT'!#REF!,27,0)</f>
        <v>#REF!</v>
      </c>
      <c r="AG15" s="891" t="e">
        <f t="shared" ref="AG15:AG78" si="7">+AC15-AF15</f>
        <v>#N/A</v>
      </c>
      <c r="AH15" s="540" t="s">
        <v>2751</v>
      </c>
      <c r="AI15" s="637"/>
    </row>
    <row r="16" spans="1:38" s="540" customFormat="1" ht="17.25" customHeight="1">
      <c r="A16" s="868">
        <v>3</v>
      </c>
      <c r="B16" s="1644" t="str">
        <f>VLOOKUP(C16,'DS CN MOI UP'!$B$10:$C$389,2,0)</f>
        <v>02596</v>
      </c>
      <c r="C16" s="875" t="s">
        <v>208</v>
      </c>
      <c r="D16" s="875" t="s">
        <v>15</v>
      </c>
      <c r="E16" s="872"/>
      <c r="F16" s="873">
        <f>+VLOOKUP($C$14:$C$84,THCKT!$C$317:$AE$395,17,0)</f>
        <v>24</v>
      </c>
      <c r="G16" s="874">
        <f t="shared" si="0"/>
        <v>600000</v>
      </c>
      <c r="H16" s="874"/>
      <c r="I16" s="874"/>
      <c r="J16" s="874"/>
      <c r="K16" s="874" t="e">
        <f>VLOOKUP(C16,THCKT!$C$13:$AL$460,21,0)</f>
        <v>#N/A</v>
      </c>
      <c r="L16" s="883">
        <f>VLOOKUP(C16,THCKT!$C$13:$AL$460,22,0)</f>
        <v>0</v>
      </c>
      <c r="M16" s="883">
        <f>VLOOKUP(C16,THCKT!$C$13:$AL$460,23,0)</f>
        <v>0</v>
      </c>
      <c r="N16" s="883" t="e">
        <f t="shared" si="1"/>
        <v>#N/A</v>
      </c>
      <c r="O16" s="883" t="e">
        <f t="shared" si="4"/>
        <v>#N/A</v>
      </c>
      <c r="P16" s="884" t="e">
        <f>VLOOKUP(C16,THCKT!$C$13:$AL$460,36,0)</f>
        <v>#N/A</v>
      </c>
      <c r="Q16" s="887" t="e">
        <f t="shared" si="5"/>
        <v>#N/A</v>
      </c>
      <c r="R16" s="874" t="e">
        <f>VLOOKUP(C16,'LƯƠNG KT'!$D$15:$P$94,16,0)</f>
        <v>#N/A</v>
      </c>
      <c r="S16" s="874" t="e">
        <f>VLOOKUP(C16,'LƯƠNG KT'!$D$15:$P$94,17,0)</f>
        <v>#N/A</v>
      </c>
      <c r="T16" s="874" t="e">
        <f>VLOOKUP(C16,'LƯƠNG KT'!$D$15:$P$94,18,0)</f>
        <v>#N/A</v>
      </c>
      <c r="U16" s="874" t="e">
        <f>VLOOKUP(C16,'LƯƠNG KT'!$D$15:$P$94,18,0)</f>
        <v>#N/A</v>
      </c>
      <c r="V16" s="874" t="e">
        <f>VLOOKUP(C16,'LƯƠNG KT'!$D$15:$P$94,19,0)</f>
        <v>#N/A</v>
      </c>
      <c r="W16" s="874" t="e">
        <f>VLOOKUP(C16,'LƯƠNG KT'!$D$15:$P$94,20,0)</f>
        <v>#N/A</v>
      </c>
      <c r="X16" s="874" t="e">
        <f>VLOOKUP(C16,'LƯƠNG KT'!$D$15:$P$94,22,0)</f>
        <v>#N/A</v>
      </c>
      <c r="Y16" s="874" t="e">
        <f>VLOOKUP(C16,'LƯƠNG KT'!$D$15:$P$94,23,0)</f>
        <v>#N/A</v>
      </c>
      <c r="Z16" s="874" t="e">
        <f>VLOOKUP(C16,'LƯƠNG KT'!$D$15:$P$94,24,0)</f>
        <v>#N/A</v>
      </c>
      <c r="AA16" s="874">
        <v>20</v>
      </c>
      <c r="AB16" s="874"/>
      <c r="AC16" s="889" t="e">
        <f t="shared" si="6"/>
        <v>#N/A</v>
      </c>
      <c r="AD16" s="889" t="e">
        <f t="shared" si="2"/>
        <v>#N/A</v>
      </c>
      <c r="AE16" s="889" t="e">
        <f t="shared" si="3"/>
        <v>#N/A</v>
      </c>
      <c r="AF16" s="927" t="e">
        <f>VLOOKUP(C16,'LƯƠNG KT'!#REF!,27,0)</f>
        <v>#REF!</v>
      </c>
      <c r="AG16" s="891" t="e">
        <f t="shared" si="7"/>
        <v>#N/A</v>
      </c>
      <c r="AH16" s="922" t="s">
        <v>2751</v>
      </c>
      <c r="AI16" s="637" t="e">
        <f>+N85</f>
        <v>#N/A</v>
      </c>
    </row>
    <row r="17" spans="1:35" s="540" customFormat="1" ht="17.25" customHeight="1">
      <c r="A17" s="868">
        <v>4</v>
      </c>
      <c r="B17" s="1644" t="str">
        <f>VLOOKUP(C17,'DS CN MOI UP'!$B$10:$C$389,2,0)</f>
        <v>02601</v>
      </c>
      <c r="C17" s="875" t="s">
        <v>209</v>
      </c>
      <c r="D17" s="875" t="s">
        <v>15</v>
      </c>
      <c r="E17" s="872"/>
      <c r="F17" s="873">
        <f>+VLOOKUP($C$14:$C$84,THCKT!$C$317:$AE$395,17,0)</f>
        <v>24</v>
      </c>
      <c r="G17" s="874">
        <f t="shared" si="0"/>
        <v>600000</v>
      </c>
      <c r="H17" s="874"/>
      <c r="I17" s="874"/>
      <c r="J17" s="874"/>
      <c r="K17" s="874" t="e">
        <f>VLOOKUP(C17,THCKT!$C$13:$AL$460,21,0)</f>
        <v>#N/A</v>
      </c>
      <c r="L17" s="883">
        <f>VLOOKUP(C17,THCKT!$C$13:$AL$460,22,0)</f>
        <v>0</v>
      </c>
      <c r="M17" s="883">
        <f>VLOOKUP(C17,THCKT!$C$13:$AL$460,23,0)</f>
        <v>0</v>
      </c>
      <c r="N17" s="883" t="e">
        <f t="shared" si="1"/>
        <v>#N/A</v>
      </c>
      <c r="O17" s="883" t="e">
        <f t="shared" si="4"/>
        <v>#N/A</v>
      </c>
      <c r="P17" s="884" t="e">
        <f>VLOOKUP(C17,THCKT!$C$13:$AL$460,36,0)</f>
        <v>#N/A</v>
      </c>
      <c r="Q17" s="887" t="e">
        <f t="shared" si="5"/>
        <v>#N/A</v>
      </c>
      <c r="R17" s="874" t="e">
        <f>VLOOKUP(C17,'LƯƠNG KT'!$D$15:$P$94,16,0)</f>
        <v>#N/A</v>
      </c>
      <c r="S17" s="874" t="e">
        <f>VLOOKUP(C17,'LƯƠNG KT'!$D$15:$P$94,17,0)</f>
        <v>#N/A</v>
      </c>
      <c r="T17" s="874" t="e">
        <f>VLOOKUP(C17,'LƯƠNG KT'!$D$15:$P$94,18,0)</f>
        <v>#N/A</v>
      </c>
      <c r="U17" s="874" t="e">
        <f>VLOOKUP(C17,'LƯƠNG KT'!$D$15:$P$94,18,0)</f>
        <v>#N/A</v>
      </c>
      <c r="V17" s="874" t="e">
        <f>VLOOKUP(C17,'LƯƠNG KT'!$D$15:$P$94,19,0)</f>
        <v>#N/A</v>
      </c>
      <c r="W17" s="874" t="e">
        <f>VLOOKUP(C17,'LƯƠNG KT'!$D$15:$P$94,20,0)</f>
        <v>#N/A</v>
      </c>
      <c r="X17" s="874" t="e">
        <f>VLOOKUP(C17,'LƯƠNG KT'!$D$15:$P$94,22,0)</f>
        <v>#N/A</v>
      </c>
      <c r="Y17" s="874" t="e">
        <f>VLOOKUP(C17,'LƯƠNG KT'!$D$15:$P$94,23,0)</f>
        <v>#N/A</v>
      </c>
      <c r="Z17" s="874" t="e">
        <f>VLOOKUP(C17,'LƯƠNG KT'!$D$15:$P$94,24,0)</f>
        <v>#N/A</v>
      </c>
      <c r="AA17" s="874">
        <v>20</v>
      </c>
      <c r="AB17" s="874"/>
      <c r="AC17" s="889" t="e">
        <f t="shared" si="6"/>
        <v>#N/A</v>
      </c>
      <c r="AD17" s="889" t="e">
        <f t="shared" si="2"/>
        <v>#N/A</v>
      </c>
      <c r="AE17" s="889" t="e">
        <f t="shared" si="3"/>
        <v>#N/A</v>
      </c>
      <c r="AF17" s="927" t="e">
        <f>VLOOKUP(C17,'LƯƠNG KT'!#REF!,27,0)</f>
        <v>#REF!</v>
      </c>
      <c r="AG17" s="891" t="e">
        <f t="shared" si="7"/>
        <v>#N/A</v>
      </c>
      <c r="AH17" s="540" t="s">
        <v>2751</v>
      </c>
      <c r="AI17" s="637" t="e">
        <f>#REF!+#REF!+#REF!</f>
        <v>#REF!</v>
      </c>
    </row>
    <row r="18" spans="1:35" s="540" customFormat="1" ht="17.25" customHeight="1">
      <c r="A18" s="868">
        <v>5</v>
      </c>
      <c r="B18" s="1644" t="str">
        <f>VLOOKUP(C18,'DS CN MOI UP'!$B$10:$C$389,2,0)</f>
        <v>02697</v>
      </c>
      <c r="C18" s="875" t="s">
        <v>210</v>
      </c>
      <c r="D18" s="875" t="s">
        <v>15</v>
      </c>
      <c r="E18" s="872"/>
      <c r="F18" s="873">
        <f>+VLOOKUP($C$14:$C$84,THCKT!$C$317:$AE$395,17,0)</f>
        <v>24</v>
      </c>
      <c r="G18" s="874">
        <f t="shared" si="0"/>
        <v>600000</v>
      </c>
      <c r="H18" s="874"/>
      <c r="I18" s="874"/>
      <c r="J18" s="874"/>
      <c r="K18" s="874" t="e">
        <f>VLOOKUP(C18,THCKT!$C$13:$AL$460,21,0)</f>
        <v>#N/A</v>
      </c>
      <c r="L18" s="883">
        <f>VLOOKUP(C18,THCKT!$C$13:$AL$460,22,0)</f>
        <v>0</v>
      </c>
      <c r="M18" s="883">
        <f>VLOOKUP(C18,THCKT!$C$13:$AL$460,23,0)</f>
        <v>0</v>
      </c>
      <c r="N18" s="883" t="e">
        <f t="shared" si="1"/>
        <v>#N/A</v>
      </c>
      <c r="O18" s="883"/>
      <c r="P18" s="884" t="e">
        <f>VLOOKUP(C18,THCKT!$C$13:$AL$460,36,0)</f>
        <v>#N/A</v>
      </c>
      <c r="Q18" s="887" t="e">
        <f t="shared" si="5"/>
        <v>#N/A</v>
      </c>
      <c r="R18" s="874" t="e">
        <f>VLOOKUP(C18,'LƯƠNG KT'!$D$15:$P$94,16,0)</f>
        <v>#N/A</v>
      </c>
      <c r="S18" s="874" t="e">
        <f>VLOOKUP(C18,'LƯƠNG KT'!$D$15:$P$94,17,0)</f>
        <v>#N/A</v>
      </c>
      <c r="T18" s="874" t="e">
        <f>VLOOKUP(C18,'LƯƠNG KT'!$D$15:$P$94,18,0)</f>
        <v>#N/A</v>
      </c>
      <c r="U18" s="874" t="e">
        <f>VLOOKUP(C18,'LƯƠNG KT'!$D$15:$P$94,18,0)</f>
        <v>#N/A</v>
      </c>
      <c r="V18" s="874" t="e">
        <f>VLOOKUP(C18,'LƯƠNG KT'!$D$15:$P$94,19,0)</f>
        <v>#N/A</v>
      </c>
      <c r="W18" s="874" t="e">
        <f>VLOOKUP(C18,'LƯƠNG KT'!$D$15:$P$94,20,0)</f>
        <v>#N/A</v>
      </c>
      <c r="X18" s="874" t="e">
        <f>VLOOKUP(C18,'LƯƠNG KT'!$D$15:$P$94,22,0)</f>
        <v>#N/A</v>
      </c>
      <c r="Y18" s="874" t="e">
        <f>VLOOKUP(C18,'LƯƠNG KT'!$D$15:$P$94,23,0)</f>
        <v>#N/A</v>
      </c>
      <c r="Z18" s="874" t="e">
        <f>VLOOKUP(C18,'LƯƠNG KT'!$D$15:$P$94,24,0)</f>
        <v>#N/A</v>
      </c>
      <c r="AA18" s="874">
        <v>20</v>
      </c>
      <c r="AB18" s="874"/>
      <c r="AC18" s="889" t="e">
        <f t="shared" si="6"/>
        <v>#N/A</v>
      </c>
      <c r="AD18" s="889" t="e">
        <f t="shared" si="2"/>
        <v>#N/A</v>
      </c>
      <c r="AE18" s="889" t="e">
        <f t="shared" si="3"/>
        <v>#N/A</v>
      </c>
      <c r="AF18" s="927" t="e">
        <f>VLOOKUP(C18,'LƯƠNG KT'!#REF!,27,0)</f>
        <v>#REF!</v>
      </c>
      <c r="AG18" s="891" t="e">
        <f t="shared" si="7"/>
        <v>#N/A</v>
      </c>
      <c r="AH18" s="922" t="s">
        <v>2751</v>
      </c>
      <c r="AI18" s="637"/>
    </row>
    <row r="19" spans="1:35" s="540" customFormat="1" ht="17.25" customHeight="1">
      <c r="A19" s="868">
        <v>6</v>
      </c>
      <c r="B19" s="1644" t="str">
        <f>VLOOKUP(C19,'DS CN MOI UP'!$B$10:$C$389,2,0)</f>
        <v>02610</v>
      </c>
      <c r="C19" s="875" t="s">
        <v>211</v>
      </c>
      <c r="D19" s="875" t="s">
        <v>15</v>
      </c>
      <c r="E19" s="872"/>
      <c r="F19" s="873">
        <f>+VLOOKUP($C$14:$C$84,THCKT!$C$317:$AE$395,17,0)</f>
        <v>24</v>
      </c>
      <c r="G19" s="874">
        <f t="shared" si="0"/>
        <v>600000</v>
      </c>
      <c r="H19" s="874"/>
      <c r="I19" s="874"/>
      <c r="J19" s="874"/>
      <c r="K19" s="874" t="e">
        <f>VLOOKUP(C19,THCKT!$C$13:$AL$460,21,0)</f>
        <v>#N/A</v>
      </c>
      <c r="L19" s="883">
        <f>VLOOKUP(C19,THCKT!$C$13:$AL$460,22,0)</f>
        <v>0</v>
      </c>
      <c r="M19" s="883">
        <f>VLOOKUP(C19,THCKT!$C$13:$AL$460,23,0)</f>
        <v>0</v>
      </c>
      <c r="N19" s="883" t="e">
        <f t="shared" si="1"/>
        <v>#N/A</v>
      </c>
      <c r="O19" s="883" t="e">
        <f t="shared" si="4"/>
        <v>#N/A</v>
      </c>
      <c r="P19" s="884" t="e">
        <f>VLOOKUP(C19,THCKT!$C$13:$AL$460,36,0)</f>
        <v>#N/A</v>
      </c>
      <c r="Q19" s="887" t="e">
        <f t="shared" si="5"/>
        <v>#N/A</v>
      </c>
      <c r="R19" s="874" t="e">
        <f>VLOOKUP(C19,'LƯƠNG KT'!$D$15:$P$94,16,0)</f>
        <v>#N/A</v>
      </c>
      <c r="S19" s="874" t="e">
        <f>VLOOKUP(C19,'LƯƠNG KT'!$D$15:$P$94,17,0)</f>
        <v>#N/A</v>
      </c>
      <c r="T19" s="874" t="e">
        <f>VLOOKUP(C19,'LƯƠNG KT'!$D$15:$P$94,18,0)</f>
        <v>#N/A</v>
      </c>
      <c r="U19" s="874" t="e">
        <f>VLOOKUP(C19,'LƯƠNG KT'!$D$15:$P$94,18,0)</f>
        <v>#N/A</v>
      </c>
      <c r="V19" s="874" t="e">
        <f>VLOOKUP(C19,'LƯƠNG KT'!$D$15:$P$94,19,0)</f>
        <v>#N/A</v>
      </c>
      <c r="W19" s="874" t="e">
        <f>VLOOKUP(C19,'LƯƠNG KT'!$D$15:$P$94,20,0)</f>
        <v>#N/A</v>
      </c>
      <c r="X19" s="874" t="e">
        <f>VLOOKUP(C19,'LƯƠNG KT'!$D$15:$P$94,22,0)</f>
        <v>#N/A</v>
      </c>
      <c r="Y19" s="874" t="e">
        <f>VLOOKUP(C19,'LƯƠNG KT'!$D$15:$P$94,23,0)</f>
        <v>#N/A</v>
      </c>
      <c r="Z19" s="874" t="e">
        <f>VLOOKUP(C19,'LƯƠNG KT'!$D$15:$P$94,24,0)</f>
        <v>#N/A</v>
      </c>
      <c r="AA19" s="874">
        <v>20</v>
      </c>
      <c r="AB19" s="874"/>
      <c r="AC19" s="889" t="e">
        <f t="shared" si="6"/>
        <v>#N/A</v>
      </c>
      <c r="AD19" s="889" t="e">
        <f t="shared" si="2"/>
        <v>#N/A</v>
      </c>
      <c r="AE19" s="889" t="e">
        <f t="shared" si="3"/>
        <v>#N/A</v>
      </c>
      <c r="AF19" s="927" t="e">
        <f>VLOOKUP(C19,'LƯƠNG KT'!#REF!,27,0)</f>
        <v>#REF!</v>
      </c>
      <c r="AG19" s="891" t="e">
        <f t="shared" si="7"/>
        <v>#N/A</v>
      </c>
      <c r="AH19" s="540" t="s">
        <v>2751</v>
      </c>
      <c r="AI19" s="637"/>
    </row>
    <row r="20" spans="1:35" s="540" customFormat="1" ht="17.25" customHeight="1">
      <c r="A20" s="868">
        <v>7</v>
      </c>
      <c r="B20" s="1644" t="str">
        <f>VLOOKUP(C20,'DS CN MOI UP'!$B$10:$C$389,2,0)</f>
        <v>02611</v>
      </c>
      <c r="C20" s="875" t="s">
        <v>212</v>
      </c>
      <c r="D20" s="875" t="s">
        <v>15</v>
      </c>
      <c r="E20" s="872"/>
      <c r="F20" s="873">
        <f>+VLOOKUP($C$14:$C$84,THCKT!$C$317:$AE$395,17,0)</f>
        <v>24</v>
      </c>
      <c r="G20" s="874">
        <f t="shared" si="0"/>
        <v>600000</v>
      </c>
      <c r="H20" s="874"/>
      <c r="I20" s="874"/>
      <c r="J20" s="874"/>
      <c r="K20" s="874" t="e">
        <f>VLOOKUP(C20,THCKT!$C$13:$AL$460,21,0)</f>
        <v>#N/A</v>
      </c>
      <c r="L20" s="883">
        <f>VLOOKUP(C20,THCKT!$C$13:$AL$460,22,0)</f>
        <v>0</v>
      </c>
      <c r="M20" s="883">
        <f>VLOOKUP(C20,THCKT!$C$13:$AL$460,23,0)</f>
        <v>0</v>
      </c>
      <c r="N20" s="883" t="e">
        <f t="shared" si="1"/>
        <v>#N/A</v>
      </c>
      <c r="O20" s="883" t="e">
        <f t="shared" si="4"/>
        <v>#N/A</v>
      </c>
      <c r="P20" s="884" t="e">
        <f>VLOOKUP(C20,THCKT!$C$13:$AL$460,36,0)</f>
        <v>#N/A</v>
      </c>
      <c r="Q20" s="887" t="e">
        <f t="shared" si="5"/>
        <v>#N/A</v>
      </c>
      <c r="R20" s="874" t="e">
        <f>VLOOKUP(C20,'LƯƠNG KT'!$D$15:$P$94,16,0)</f>
        <v>#N/A</v>
      </c>
      <c r="S20" s="874" t="e">
        <f>VLOOKUP(C20,'LƯƠNG KT'!$D$15:$P$94,17,0)</f>
        <v>#N/A</v>
      </c>
      <c r="T20" s="874" t="e">
        <f>VLOOKUP(C20,'LƯƠNG KT'!$D$15:$P$94,18,0)</f>
        <v>#N/A</v>
      </c>
      <c r="U20" s="874" t="e">
        <f>VLOOKUP(C20,'LƯƠNG KT'!$D$15:$P$94,18,0)</f>
        <v>#N/A</v>
      </c>
      <c r="V20" s="874" t="e">
        <f>VLOOKUP(C20,'LƯƠNG KT'!$D$15:$P$94,19,0)</f>
        <v>#N/A</v>
      </c>
      <c r="W20" s="874" t="e">
        <f>VLOOKUP(C20,'LƯƠNG KT'!$D$15:$P$94,20,0)</f>
        <v>#N/A</v>
      </c>
      <c r="X20" s="874" t="e">
        <f>VLOOKUP(C20,'LƯƠNG KT'!$D$15:$P$94,22,0)</f>
        <v>#N/A</v>
      </c>
      <c r="Y20" s="874" t="e">
        <f>VLOOKUP(C20,'LƯƠNG KT'!$D$15:$P$94,23,0)</f>
        <v>#N/A</v>
      </c>
      <c r="Z20" s="874" t="e">
        <f>VLOOKUP(C20,'LƯƠNG KT'!$D$15:$P$94,24,0)</f>
        <v>#N/A</v>
      </c>
      <c r="AA20" s="874">
        <v>20</v>
      </c>
      <c r="AB20" s="874"/>
      <c r="AC20" s="889" t="e">
        <f t="shared" si="6"/>
        <v>#N/A</v>
      </c>
      <c r="AD20" s="889" t="e">
        <f t="shared" si="2"/>
        <v>#N/A</v>
      </c>
      <c r="AE20" s="889" t="e">
        <f t="shared" si="3"/>
        <v>#N/A</v>
      </c>
      <c r="AF20" s="927" t="e">
        <f>VLOOKUP(C20,'LƯƠNG KT'!#REF!,27,0)</f>
        <v>#REF!</v>
      </c>
      <c r="AG20" s="891" t="e">
        <f t="shared" si="7"/>
        <v>#N/A</v>
      </c>
      <c r="AH20" s="922" t="s">
        <v>2751</v>
      </c>
      <c r="AI20" s="637"/>
    </row>
    <row r="21" spans="1:35" s="540" customFormat="1" ht="17.25" customHeight="1">
      <c r="A21" s="868">
        <v>8</v>
      </c>
      <c r="B21" s="1644" t="str">
        <f>VLOOKUP(C21,'DS CN MOI UP'!$B$10:$C$389,2,0)</f>
        <v>02602</v>
      </c>
      <c r="C21" s="875" t="s">
        <v>213</v>
      </c>
      <c r="D21" s="875" t="s">
        <v>15</v>
      </c>
      <c r="E21" s="872"/>
      <c r="F21" s="873">
        <f>+VLOOKUP($C$14:$C$84,THCKT!$C$317:$AE$395,17,0)</f>
        <v>24</v>
      </c>
      <c r="G21" s="874">
        <f t="shared" si="0"/>
        <v>600000</v>
      </c>
      <c r="H21" s="874"/>
      <c r="I21" s="874"/>
      <c r="J21" s="874"/>
      <c r="K21" s="874" t="e">
        <f>VLOOKUP(C21,THCKT!$C$13:$AL$460,21,0)</f>
        <v>#N/A</v>
      </c>
      <c r="L21" s="883">
        <f>VLOOKUP(C21,THCKT!$C$13:$AL$460,22,0)</f>
        <v>0</v>
      </c>
      <c r="M21" s="883">
        <f>VLOOKUP(C21,THCKT!$C$13:$AL$460,23,0)</f>
        <v>0</v>
      </c>
      <c r="N21" s="883" t="e">
        <f t="shared" si="1"/>
        <v>#N/A</v>
      </c>
      <c r="O21" s="883" t="e">
        <f t="shared" si="4"/>
        <v>#N/A</v>
      </c>
      <c r="P21" s="884" t="e">
        <f>VLOOKUP(C21,THCKT!$C$13:$AL$460,36,0)</f>
        <v>#N/A</v>
      </c>
      <c r="Q21" s="887" t="e">
        <f t="shared" si="5"/>
        <v>#N/A</v>
      </c>
      <c r="R21" s="874" t="e">
        <f>VLOOKUP(C21,'LƯƠNG KT'!$D$15:$P$94,16,0)</f>
        <v>#N/A</v>
      </c>
      <c r="S21" s="874" t="e">
        <f>VLOOKUP(C21,'LƯƠNG KT'!$D$15:$P$94,17,0)</f>
        <v>#N/A</v>
      </c>
      <c r="T21" s="874" t="e">
        <f>VLOOKUP(C21,'LƯƠNG KT'!$D$15:$P$94,18,0)</f>
        <v>#N/A</v>
      </c>
      <c r="U21" s="874" t="e">
        <f>VLOOKUP(C21,'LƯƠNG KT'!$D$15:$P$94,18,0)</f>
        <v>#N/A</v>
      </c>
      <c r="V21" s="874" t="e">
        <f>VLOOKUP(C21,'LƯƠNG KT'!$D$15:$P$94,19,0)</f>
        <v>#N/A</v>
      </c>
      <c r="W21" s="874" t="e">
        <f>VLOOKUP(C21,'LƯƠNG KT'!$D$15:$P$94,20,0)</f>
        <v>#N/A</v>
      </c>
      <c r="X21" s="874" t="e">
        <f>VLOOKUP(C21,'LƯƠNG KT'!$D$15:$P$94,22,0)</f>
        <v>#N/A</v>
      </c>
      <c r="Y21" s="874" t="e">
        <f>VLOOKUP(C21,'LƯƠNG KT'!$D$15:$P$94,23,0)</f>
        <v>#N/A</v>
      </c>
      <c r="Z21" s="874" t="e">
        <f>VLOOKUP(C21,'LƯƠNG KT'!$D$15:$P$94,24,0)</f>
        <v>#N/A</v>
      </c>
      <c r="AA21" s="874">
        <v>20</v>
      </c>
      <c r="AB21" s="874"/>
      <c r="AC21" s="889" t="e">
        <f t="shared" si="6"/>
        <v>#N/A</v>
      </c>
      <c r="AD21" s="889" t="e">
        <f t="shared" si="2"/>
        <v>#N/A</v>
      </c>
      <c r="AE21" s="889" t="e">
        <f t="shared" si="3"/>
        <v>#N/A</v>
      </c>
      <c r="AF21" s="927" t="e">
        <f>VLOOKUP(C21,'LƯƠNG KT'!#REF!,27,0)</f>
        <v>#REF!</v>
      </c>
      <c r="AG21" s="891" t="e">
        <f t="shared" si="7"/>
        <v>#N/A</v>
      </c>
      <c r="AH21" s="540" t="s">
        <v>2751</v>
      </c>
      <c r="AI21" s="637"/>
    </row>
    <row r="22" spans="1:35" s="540" customFormat="1" ht="17.25" customHeight="1">
      <c r="A22" s="868">
        <v>9</v>
      </c>
      <c r="B22" s="1644" t="str">
        <f>VLOOKUP(C22,'DS CN MOI UP'!$B$10:$C$389,2,0)</f>
        <v>02609</v>
      </c>
      <c r="C22" s="875" t="s">
        <v>214</v>
      </c>
      <c r="D22" s="875" t="s">
        <v>15</v>
      </c>
      <c r="E22" s="872"/>
      <c r="F22" s="873">
        <f>+VLOOKUP($C$14:$C$84,THCKT!$C$317:$AE$395,17,0)</f>
        <v>24</v>
      </c>
      <c r="G22" s="874">
        <f t="shared" si="0"/>
        <v>600000</v>
      </c>
      <c r="H22" s="874"/>
      <c r="I22" s="874"/>
      <c r="J22" s="874"/>
      <c r="K22" s="874" t="e">
        <f>VLOOKUP(C22,THCKT!$C$13:$AL$460,21,0)</f>
        <v>#N/A</v>
      </c>
      <c r="L22" s="883">
        <f>VLOOKUP(C22,THCKT!$C$13:$AL$460,22,0)</f>
        <v>0</v>
      </c>
      <c r="M22" s="883">
        <f>VLOOKUP(C22,THCKT!$C$13:$AL$460,23,0)</f>
        <v>0</v>
      </c>
      <c r="N22" s="883" t="e">
        <f t="shared" si="1"/>
        <v>#N/A</v>
      </c>
      <c r="O22" s="883" t="e">
        <f t="shared" si="4"/>
        <v>#N/A</v>
      </c>
      <c r="P22" s="884" t="e">
        <f>VLOOKUP(C22,THCKT!$C$13:$AL$460,36,0)</f>
        <v>#N/A</v>
      </c>
      <c r="Q22" s="887" t="e">
        <f t="shared" si="5"/>
        <v>#N/A</v>
      </c>
      <c r="R22" s="874" t="e">
        <f>VLOOKUP(C22,'LƯƠNG KT'!$D$15:$P$94,16,0)</f>
        <v>#N/A</v>
      </c>
      <c r="S22" s="874" t="e">
        <f>VLOOKUP(C22,'LƯƠNG KT'!$D$15:$P$94,17,0)</f>
        <v>#N/A</v>
      </c>
      <c r="T22" s="874" t="e">
        <f>VLOOKUP(C22,'LƯƠNG KT'!$D$15:$P$94,18,0)</f>
        <v>#N/A</v>
      </c>
      <c r="U22" s="874" t="e">
        <f>VLOOKUP(C22,'LƯƠNG KT'!$D$15:$P$94,18,0)</f>
        <v>#N/A</v>
      </c>
      <c r="V22" s="874" t="e">
        <f>VLOOKUP(C22,'LƯƠNG KT'!$D$15:$P$94,19,0)</f>
        <v>#N/A</v>
      </c>
      <c r="W22" s="874" t="e">
        <f>VLOOKUP(C22,'LƯƠNG KT'!$D$15:$P$94,20,0)</f>
        <v>#N/A</v>
      </c>
      <c r="X22" s="874" t="e">
        <f>VLOOKUP(C22,'LƯƠNG KT'!$D$15:$P$94,22,0)</f>
        <v>#N/A</v>
      </c>
      <c r="Y22" s="874" t="e">
        <f>VLOOKUP(C22,'LƯƠNG KT'!$D$15:$P$94,23,0)</f>
        <v>#N/A</v>
      </c>
      <c r="Z22" s="874" t="e">
        <f>VLOOKUP(C22,'LƯƠNG KT'!$D$15:$P$94,24,0)</f>
        <v>#N/A</v>
      </c>
      <c r="AA22" s="874">
        <v>20</v>
      </c>
      <c r="AB22" s="874"/>
      <c r="AC22" s="889" t="e">
        <f t="shared" si="6"/>
        <v>#N/A</v>
      </c>
      <c r="AD22" s="889" t="e">
        <f t="shared" si="2"/>
        <v>#N/A</v>
      </c>
      <c r="AE22" s="889" t="e">
        <f t="shared" si="3"/>
        <v>#N/A</v>
      </c>
      <c r="AF22" s="927" t="e">
        <f>VLOOKUP(C22,'LƯƠNG KT'!#REF!,27,0)</f>
        <v>#REF!</v>
      </c>
      <c r="AG22" s="891" t="e">
        <f t="shared" si="7"/>
        <v>#N/A</v>
      </c>
      <c r="AH22" s="922" t="s">
        <v>2751</v>
      </c>
      <c r="AI22" s="637"/>
    </row>
    <row r="23" spans="1:35" s="540" customFormat="1" ht="17.25" customHeight="1">
      <c r="A23" s="868">
        <v>10</v>
      </c>
      <c r="B23" s="1644" t="str">
        <f>VLOOKUP(C23,'DS CN MOI UP'!$B$10:$C$389,2,0)</f>
        <v>02569</v>
      </c>
      <c r="C23" s="875" t="s">
        <v>215</v>
      </c>
      <c r="D23" s="875" t="s">
        <v>15</v>
      </c>
      <c r="E23" s="872"/>
      <c r="F23" s="873">
        <f>+VLOOKUP($C$14:$C$84,THCKT!$C$317:$AE$395,17,0)</f>
        <v>24</v>
      </c>
      <c r="G23" s="874">
        <f t="shared" si="0"/>
        <v>600000</v>
      </c>
      <c r="H23" s="874"/>
      <c r="I23" s="874"/>
      <c r="J23" s="874"/>
      <c r="K23" s="874" t="e">
        <f>VLOOKUP(C23,THCKT!$C$13:$AL$460,21,0)</f>
        <v>#N/A</v>
      </c>
      <c r="L23" s="883">
        <f>VLOOKUP(C23,THCKT!$C$13:$AL$460,22,0)</f>
        <v>0</v>
      </c>
      <c r="M23" s="883">
        <f>VLOOKUP(C23,THCKT!$C$13:$AL$460,23,0)</f>
        <v>0</v>
      </c>
      <c r="N23" s="883" t="e">
        <f t="shared" si="1"/>
        <v>#N/A</v>
      </c>
      <c r="O23" s="883" t="e">
        <f t="shared" si="4"/>
        <v>#N/A</v>
      </c>
      <c r="P23" s="884" t="e">
        <f>VLOOKUP(C23,THCKT!$C$13:$AL$460,36,0)</f>
        <v>#N/A</v>
      </c>
      <c r="Q23" s="887" t="e">
        <f t="shared" si="5"/>
        <v>#N/A</v>
      </c>
      <c r="R23" s="874" t="e">
        <f>VLOOKUP(C23,'LƯƠNG KT'!$D$15:$P$94,16,0)</f>
        <v>#N/A</v>
      </c>
      <c r="S23" s="874" t="e">
        <f>VLOOKUP(C23,'LƯƠNG KT'!$D$15:$P$94,17,0)</f>
        <v>#N/A</v>
      </c>
      <c r="T23" s="874" t="e">
        <f>VLOOKUP(C23,'LƯƠNG KT'!$D$15:$P$94,18,0)</f>
        <v>#N/A</v>
      </c>
      <c r="U23" s="874" t="e">
        <f>VLOOKUP(C23,'LƯƠNG KT'!$D$15:$P$94,18,0)</f>
        <v>#N/A</v>
      </c>
      <c r="V23" s="874" t="e">
        <f>VLOOKUP(C23,'LƯƠNG KT'!$D$15:$P$94,19,0)</f>
        <v>#N/A</v>
      </c>
      <c r="W23" s="874" t="e">
        <f>VLOOKUP(C23,'LƯƠNG KT'!$D$15:$P$94,20,0)</f>
        <v>#N/A</v>
      </c>
      <c r="X23" s="874" t="e">
        <f>VLOOKUP(C23,'LƯƠNG KT'!$D$15:$P$94,22,0)</f>
        <v>#N/A</v>
      </c>
      <c r="Y23" s="874" t="e">
        <f>VLOOKUP(C23,'LƯƠNG KT'!$D$15:$P$94,23,0)</f>
        <v>#N/A</v>
      </c>
      <c r="Z23" s="874" t="e">
        <f>VLOOKUP(C23,'LƯƠNG KT'!$D$15:$P$94,24,0)</f>
        <v>#N/A</v>
      </c>
      <c r="AA23" s="874">
        <v>20</v>
      </c>
      <c r="AB23" s="874"/>
      <c r="AC23" s="889" t="e">
        <f t="shared" si="6"/>
        <v>#N/A</v>
      </c>
      <c r="AD23" s="889" t="e">
        <f t="shared" si="2"/>
        <v>#N/A</v>
      </c>
      <c r="AE23" s="889" t="e">
        <f t="shared" si="3"/>
        <v>#N/A</v>
      </c>
      <c r="AF23" s="927" t="e">
        <f>VLOOKUP(C23,'LƯƠNG KT'!#REF!,27,0)</f>
        <v>#REF!</v>
      </c>
      <c r="AG23" s="891" t="e">
        <f t="shared" si="7"/>
        <v>#N/A</v>
      </c>
      <c r="AH23" s="540" t="s">
        <v>2751</v>
      </c>
      <c r="AI23" s="637"/>
    </row>
    <row r="24" spans="1:35" s="540" customFormat="1" ht="17.25" customHeight="1">
      <c r="A24" s="868">
        <v>11</v>
      </c>
      <c r="B24" s="1644" t="str">
        <f>VLOOKUP(C24,'DS CN MOI UP'!$B$10:$C$389,2,0)</f>
        <v>02583</v>
      </c>
      <c r="C24" s="875" t="s">
        <v>216</v>
      </c>
      <c r="D24" s="875" t="s">
        <v>15</v>
      </c>
      <c r="E24" s="872"/>
      <c r="F24" s="873">
        <f>+VLOOKUP($C$14:$C$84,THCKT!$C$317:$AE$395,17,0)</f>
        <v>24</v>
      </c>
      <c r="G24" s="874">
        <f t="shared" si="0"/>
        <v>600000</v>
      </c>
      <c r="H24" s="874"/>
      <c r="I24" s="874"/>
      <c r="J24" s="874"/>
      <c r="K24" s="874" t="e">
        <f>VLOOKUP(C24,THCKT!$C$13:$AL$460,21,0)</f>
        <v>#N/A</v>
      </c>
      <c r="L24" s="883">
        <f>VLOOKUP(C24,THCKT!$C$13:$AL$460,22,0)</f>
        <v>0</v>
      </c>
      <c r="M24" s="883">
        <f>VLOOKUP(C24,THCKT!$C$13:$AL$460,23,0)</f>
        <v>0</v>
      </c>
      <c r="N24" s="883" t="e">
        <f t="shared" si="1"/>
        <v>#N/A</v>
      </c>
      <c r="O24" s="883" t="e">
        <f t="shared" si="4"/>
        <v>#N/A</v>
      </c>
      <c r="P24" s="884" t="e">
        <f>VLOOKUP(C24,THCKT!$C$13:$AL$460,36,0)</f>
        <v>#N/A</v>
      </c>
      <c r="Q24" s="887" t="e">
        <f t="shared" si="5"/>
        <v>#N/A</v>
      </c>
      <c r="R24" s="874" t="e">
        <f>VLOOKUP(C24,'LƯƠNG KT'!$D$15:$P$94,16,0)</f>
        <v>#N/A</v>
      </c>
      <c r="S24" s="874" t="e">
        <f>VLOOKUP(C24,'LƯƠNG KT'!$D$15:$P$94,17,0)</f>
        <v>#N/A</v>
      </c>
      <c r="T24" s="874" t="e">
        <f>VLOOKUP(C24,'LƯƠNG KT'!$D$15:$P$94,18,0)</f>
        <v>#N/A</v>
      </c>
      <c r="U24" s="874" t="e">
        <f>VLOOKUP(C24,'LƯƠNG KT'!$D$15:$P$94,18,0)</f>
        <v>#N/A</v>
      </c>
      <c r="V24" s="874" t="e">
        <f>VLOOKUP(C24,'LƯƠNG KT'!$D$15:$P$94,19,0)</f>
        <v>#N/A</v>
      </c>
      <c r="W24" s="874" t="e">
        <f>VLOOKUP(C24,'LƯƠNG KT'!$D$15:$P$94,20,0)</f>
        <v>#N/A</v>
      </c>
      <c r="X24" s="874" t="e">
        <f>VLOOKUP(C24,'LƯƠNG KT'!$D$15:$P$94,22,0)</f>
        <v>#N/A</v>
      </c>
      <c r="Y24" s="874" t="e">
        <f>VLOOKUP(C24,'LƯƠNG KT'!$D$15:$P$94,23,0)</f>
        <v>#N/A</v>
      </c>
      <c r="Z24" s="874" t="e">
        <f>VLOOKUP(C24,'LƯƠNG KT'!$D$15:$P$94,24,0)</f>
        <v>#N/A</v>
      </c>
      <c r="AA24" s="874">
        <v>20</v>
      </c>
      <c r="AB24" s="874"/>
      <c r="AC24" s="889" t="e">
        <f t="shared" si="6"/>
        <v>#N/A</v>
      </c>
      <c r="AD24" s="889" t="e">
        <f t="shared" si="2"/>
        <v>#N/A</v>
      </c>
      <c r="AE24" s="889" t="e">
        <f t="shared" si="3"/>
        <v>#N/A</v>
      </c>
      <c r="AF24" s="927" t="e">
        <f>VLOOKUP(C24,'LƯƠNG KT'!#REF!,27,0)</f>
        <v>#REF!</v>
      </c>
      <c r="AG24" s="891" t="e">
        <f t="shared" si="7"/>
        <v>#N/A</v>
      </c>
      <c r="AH24" s="922" t="s">
        <v>2751</v>
      </c>
      <c r="AI24" s="637"/>
    </row>
    <row r="25" spans="1:35" s="540" customFormat="1" ht="17.25" customHeight="1">
      <c r="A25" s="868">
        <v>12</v>
      </c>
      <c r="B25" s="1644" t="str">
        <f>VLOOKUP(C25,'DS CN MOI UP'!$B$10:$C$389,2,0)</f>
        <v>02604</v>
      </c>
      <c r="C25" s="875" t="s">
        <v>217</v>
      </c>
      <c r="D25" s="875" t="s">
        <v>15</v>
      </c>
      <c r="E25" s="872"/>
      <c r="F25" s="873">
        <f>+VLOOKUP($C$14:$C$84,THCKT!$C$317:$AE$395,17,0)</f>
        <v>24</v>
      </c>
      <c r="G25" s="874">
        <f t="shared" si="0"/>
        <v>600000</v>
      </c>
      <c r="H25" s="874"/>
      <c r="I25" s="874"/>
      <c r="J25" s="874"/>
      <c r="K25" s="874" t="e">
        <f>VLOOKUP(C25,THCKT!$C$13:$AL$460,21,0)</f>
        <v>#N/A</v>
      </c>
      <c r="L25" s="883">
        <f>VLOOKUP(C25,THCKT!$C$13:$AL$460,22,0)</f>
        <v>0</v>
      </c>
      <c r="M25" s="883">
        <f>VLOOKUP(C25,THCKT!$C$13:$AL$460,23,0)</f>
        <v>0</v>
      </c>
      <c r="N25" s="883" t="e">
        <f t="shared" si="1"/>
        <v>#N/A</v>
      </c>
      <c r="O25" s="883" t="e">
        <f t="shared" si="4"/>
        <v>#N/A</v>
      </c>
      <c r="P25" s="884" t="e">
        <f>VLOOKUP(C25,THCKT!$C$13:$AL$460,36,0)</f>
        <v>#N/A</v>
      </c>
      <c r="Q25" s="887" t="e">
        <f t="shared" si="5"/>
        <v>#N/A</v>
      </c>
      <c r="R25" s="874" t="e">
        <f>VLOOKUP(C25,'LƯƠNG KT'!$D$15:$P$94,16,0)</f>
        <v>#N/A</v>
      </c>
      <c r="S25" s="874" t="e">
        <f>VLOOKUP(C25,'LƯƠNG KT'!$D$15:$P$94,17,0)</f>
        <v>#N/A</v>
      </c>
      <c r="T25" s="874" t="e">
        <f>VLOOKUP(C25,'LƯƠNG KT'!$D$15:$P$94,18,0)</f>
        <v>#N/A</v>
      </c>
      <c r="U25" s="874" t="e">
        <f>VLOOKUP(C25,'LƯƠNG KT'!$D$15:$P$94,18,0)</f>
        <v>#N/A</v>
      </c>
      <c r="V25" s="874" t="e">
        <f>VLOOKUP(C25,'LƯƠNG KT'!$D$15:$P$94,19,0)</f>
        <v>#N/A</v>
      </c>
      <c r="W25" s="874" t="e">
        <f>VLOOKUP(C25,'LƯƠNG KT'!$D$15:$P$94,20,0)</f>
        <v>#N/A</v>
      </c>
      <c r="X25" s="874" t="e">
        <f>VLOOKUP(C25,'LƯƠNG KT'!$D$15:$P$94,22,0)</f>
        <v>#N/A</v>
      </c>
      <c r="Y25" s="874" t="e">
        <f>VLOOKUP(C25,'LƯƠNG KT'!$D$15:$P$94,23,0)</f>
        <v>#N/A</v>
      </c>
      <c r="Z25" s="874" t="e">
        <f>VLOOKUP(C25,'LƯƠNG KT'!$D$15:$P$94,24,0)</f>
        <v>#N/A</v>
      </c>
      <c r="AA25" s="874">
        <v>20</v>
      </c>
      <c r="AB25" s="874"/>
      <c r="AC25" s="889" t="e">
        <f t="shared" si="6"/>
        <v>#N/A</v>
      </c>
      <c r="AD25" s="889" t="e">
        <f t="shared" si="2"/>
        <v>#N/A</v>
      </c>
      <c r="AE25" s="889" t="e">
        <f t="shared" si="3"/>
        <v>#N/A</v>
      </c>
      <c r="AF25" s="927" t="e">
        <f>VLOOKUP(C25,'LƯƠNG KT'!#REF!,27,0)</f>
        <v>#REF!</v>
      </c>
      <c r="AG25" s="891" t="e">
        <f t="shared" si="7"/>
        <v>#N/A</v>
      </c>
      <c r="AH25" s="540" t="s">
        <v>2751</v>
      </c>
      <c r="AI25" s="637"/>
    </row>
    <row r="26" spans="1:35" s="540" customFormat="1" ht="17.25" customHeight="1">
      <c r="A26" s="868">
        <v>13</v>
      </c>
      <c r="B26" s="1644" t="str">
        <f>VLOOKUP(C26,'DS CN MOI UP'!$B$10:$C$389,2,0)</f>
        <v>02600</v>
      </c>
      <c r="C26" s="875" t="s">
        <v>218</v>
      </c>
      <c r="D26" s="875" t="s">
        <v>15</v>
      </c>
      <c r="E26" s="872"/>
      <c r="F26" s="873">
        <f>+VLOOKUP($C$14:$C$84,THCKT!$C$317:$AE$395,17,0)</f>
        <v>24</v>
      </c>
      <c r="G26" s="874">
        <f t="shared" si="0"/>
        <v>600000</v>
      </c>
      <c r="H26" s="874"/>
      <c r="I26" s="874"/>
      <c r="J26" s="874"/>
      <c r="K26" s="874" t="e">
        <f>VLOOKUP(C26,THCKT!$C$13:$AL$460,21,0)</f>
        <v>#N/A</v>
      </c>
      <c r="L26" s="883">
        <f>VLOOKUP(C26,THCKT!$C$13:$AL$460,22,0)</f>
        <v>0</v>
      </c>
      <c r="M26" s="883">
        <f>VLOOKUP(C26,THCKT!$C$13:$AL$460,23,0)</f>
        <v>0</v>
      </c>
      <c r="N26" s="883" t="e">
        <f t="shared" si="1"/>
        <v>#N/A</v>
      </c>
      <c r="O26" s="883" t="e">
        <f t="shared" si="4"/>
        <v>#N/A</v>
      </c>
      <c r="P26" s="884" t="e">
        <f>VLOOKUP(C26,THCKT!$C$13:$AL$460,36,0)</f>
        <v>#N/A</v>
      </c>
      <c r="Q26" s="887" t="e">
        <f t="shared" si="5"/>
        <v>#N/A</v>
      </c>
      <c r="R26" s="874" t="e">
        <f>VLOOKUP(C26,'LƯƠNG KT'!$D$15:$P$94,16,0)</f>
        <v>#N/A</v>
      </c>
      <c r="S26" s="874" t="e">
        <f>VLOOKUP(C26,'LƯƠNG KT'!$D$15:$P$94,17,0)</f>
        <v>#N/A</v>
      </c>
      <c r="T26" s="874" t="e">
        <f>VLOOKUP(C26,'LƯƠNG KT'!$D$15:$P$94,18,0)</f>
        <v>#N/A</v>
      </c>
      <c r="U26" s="874" t="e">
        <f>VLOOKUP(C26,'LƯƠNG KT'!$D$15:$P$94,18,0)</f>
        <v>#N/A</v>
      </c>
      <c r="V26" s="874" t="e">
        <f>VLOOKUP(C26,'LƯƠNG KT'!$D$15:$P$94,19,0)</f>
        <v>#N/A</v>
      </c>
      <c r="W26" s="874" t="e">
        <f>VLOOKUP(C26,'LƯƠNG KT'!$D$15:$P$94,20,0)</f>
        <v>#N/A</v>
      </c>
      <c r="X26" s="874" t="e">
        <f>VLOOKUP(C26,'LƯƠNG KT'!$D$15:$P$94,22,0)</f>
        <v>#N/A</v>
      </c>
      <c r="Y26" s="874" t="e">
        <f>VLOOKUP(C26,'LƯƠNG KT'!$D$15:$P$94,23,0)</f>
        <v>#N/A</v>
      </c>
      <c r="Z26" s="874" t="e">
        <f>VLOOKUP(C26,'LƯƠNG KT'!$D$15:$P$94,24,0)</f>
        <v>#N/A</v>
      </c>
      <c r="AA26" s="874">
        <v>20</v>
      </c>
      <c r="AB26" s="874"/>
      <c r="AC26" s="889" t="e">
        <f t="shared" si="6"/>
        <v>#N/A</v>
      </c>
      <c r="AD26" s="889" t="e">
        <f t="shared" si="2"/>
        <v>#N/A</v>
      </c>
      <c r="AE26" s="889" t="e">
        <f t="shared" si="3"/>
        <v>#N/A</v>
      </c>
      <c r="AF26" s="927" t="e">
        <f>VLOOKUP(C26,'LƯƠNG KT'!#REF!,27,0)</f>
        <v>#REF!</v>
      </c>
      <c r="AG26" s="891" t="e">
        <f t="shared" si="7"/>
        <v>#N/A</v>
      </c>
      <c r="AH26" s="922" t="s">
        <v>2751</v>
      </c>
      <c r="AI26" s="637"/>
    </row>
    <row r="27" spans="1:35" s="540" customFormat="1" ht="17.25" customHeight="1">
      <c r="A27" s="868">
        <v>14</v>
      </c>
      <c r="B27" s="1644" t="str">
        <f>VLOOKUP(C27,'DS CN MOI UP'!$B$10:$C$389,2,0)</f>
        <v>03382</v>
      </c>
      <c r="C27" s="875" t="s">
        <v>219</v>
      </c>
      <c r="D27" s="875" t="s">
        <v>15</v>
      </c>
      <c r="E27" s="872"/>
      <c r="F27" s="873">
        <f>+VLOOKUP($C$14:$C$84,THCKT!$C$317:$AE$395,17,0)</f>
        <v>24</v>
      </c>
      <c r="G27" s="874">
        <f t="shared" si="0"/>
        <v>600000</v>
      </c>
      <c r="H27" s="874"/>
      <c r="I27" s="874"/>
      <c r="J27" s="874"/>
      <c r="K27" s="874" t="e">
        <f>VLOOKUP(C27,THCKT!$C$13:$AL$460,21,0)</f>
        <v>#N/A</v>
      </c>
      <c r="L27" s="883">
        <f>VLOOKUP(C27,THCKT!$C$13:$AL$460,22,0)</f>
        <v>0</v>
      </c>
      <c r="M27" s="883">
        <f>VLOOKUP(C27,THCKT!$C$13:$AL$460,23,0)</f>
        <v>0</v>
      </c>
      <c r="N27" s="883" t="e">
        <f t="shared" si="1"/>
        <v>#N/A</v>
      </c>
      <c r="O27" s="883"/>
      <c r="P27" s="884" t="e">
        <f>VLOOKUP(C27,THCKT!$C$13:$AL$460,36,0)</f>
        <v>#N/A</v>
      </c>
      <c r="Q27" s="887" t="e">
        <f t="shared" si="5"/>
        <v>#N/A</v>
      </c>
      <c r="R27" s="874" t="e">
        <f>VLOOKUP(C27,'LƯƠNG KT'!$D$15:$P$94,16,0)</f>
        <v>#N/A</v>
      </c>
      <c r="S27" s="874" t="e">
        <f>VLOOKUP(C27,'LƯƠNG KT'!$D$15:$P$94,17,0)</f>
        <v>#N/A</v>
      </c>
      <c r="T27" s="874" t="e">
        <f>VLOOKUP(C27,'LƯƠNG KT'!$D$15:$P$94,18,0)</f>
        <v>#N/A</v>
      </c>
      <c r="U27" s="874" t="e">
        <f>VLOOKUP(C27,'LƯƠNG KT'!$D$15:$P$94,18,0)</f>
        <v>#N/A</v>
      </c>
      <c r="V27" s="874" t="e">
        <f>VLOOKUP(C27,'LƯƠNG KT'!$D$15:$P$94,19,0)</f>
        <v>#N/A</v>
      </c>
      <c r="W27" s="874" t="e">
        <f>VLOOKUP(C27,'LƯƠNG KT'!$D$15:$P$94,20,0)</f>
        <v>#N/A</v>
      </c>
      <c r="X27" s="874" t="e">
        <f>VLOOKUP(C27,'LƯƠNG KT'!$D$15:$P$94,22,0)</f>
        <v>#N/A</v>
      </c>
      <c r="Y27" s="874" t="e">
        <f>VLOOKUP(C27,'LƯƠNG KT'!$D$15:$P$94,23,0)</f>
        <v>#N/A</v>
      </c>
      <c r="Z27" s="874" t="e">
        <f>VLOOKUP(C27,'LƯƠNG KT'!$D$15:$P$94,24,0)</f>
        <v>#N/A</v>
      </c>
      <c r="AA27" s="874">
        <v>20</v>
      </c>
      <c r="AB27" s="874"/>
      <c r="AC27" s="889" t="e">
        <f t="shared" si="6"/>
        <v>#N/A</v>
      </c>
      <c r="AD27" s="889" t="e">
        <f t="shared" si="2"/>
        <v>#N/A</v>
      </c>
      <c r="AE27" s="889" t="e">
        <f t="shared" si="3"/>
        <v>#N/A</v>
      </c>
      <c r="AF27" s="927" t="e">
        <f>VLOOKUP(C27,'LƯƠNG KT'!#REF!,27,0)</f>
        <v>#REF!</v>
      </c>
      <c r="AG27" s="891" t="e">
        <f t="shared" si="7"/>
        <v>#N/A</v>
      </c>
      <c r="AH27" s="540" t="s">
        <v>2751</v>
      </c>
      <c r="AI27" s="637"/>
    </row>
    <row r="28" spans="1:35" s="540" customFormat="1" ht="17.25" customHeight="1">
      <c r="A28" s="868">
        <v>15</v>
      </c>
      <c r="B28" s="1644" t="str">
        <f>VLOOKUP(C28,'DS CN MOI UP'!$B$10:$C$389,2,0)</f>
        <v>02571</v>
      </c>
      <c r="C28" s="875" t="s">
        <v>220</v>
      </c>
      <c r="D28" s="875" t="s">
        <v>15</v>
      </c>
      <c r="E28" s="872"/>
      <c r="F28" s="873">
        <f>+VLOOKUP($C$14:$C$84,THCKT!$C$317:$AE$395,17,0)</f>
        <v>24</v>
      </c>
      <c r="G28" s="874">
        <f t="shared" si="0"/>
        <v>600000</v>
      </c>
      <c r="H28" s="874"/>
      <c r="I28" s="874"/>
      <c r="J28" s="874"/>
      <c r="K28" s="874" t="e">
        <f>VLOOKUP(C28,THCKT!$C$13:$AL$460,21,0)</f>
        <v>#N/A</v>
      </c>
      <c r="L28" s="883">
        <f>VLOOKUP(C28,THCKT!$C$13:$AL$460,22,0)</f>
        <v>0</v>
      </c>
      <c r="M28" s="883">
        <f>VLOOKUP(C28,THCKT!$C$13:$AL$460,23,0)</f>
        <v>0</v>
      </c>
      <c r="N28" s="883" t="e">
        <f t="shared" si="1"/>
        <v>#N/A</v>
      </c>
      <c r="O28" s="883"/>
      <c r="P28" s="884" t="e">
        <f>VLOOKUP(C28,THCKT!$C$13:$AL$460,36,0)</f>
        <v>#N/A</v>
      </c>
      <c r="Q28" s="887" t="e">
        <f t="shared" si="5"/>
        <v>#N/A</v>
      </c>
      <c r="R28" s="874" t="e">
        <f>VLOOKUP(C28,'LƯƠNG KT'!$D$15:$P$94,16,0)</f>
        <v>#N/A</v>
      </c>
      <c r="S28" s="874" t="e">
        <f>VLOOKUP(C28,'LƯƠNG KT'!$D$15:$P$94,17,0)</f>
        <v>#N/A</v>
      </c>
      <c r="T28" s="874" t="e">
        <f>VLOOKUP(C28,'LƯƠNG KT'!$D$15:$P$94,18,0)</f>
        <v>#N/A</v>
      </c>
      <c r="U28" s="874" t="e">
        <f>VLOOKUP(C28,'LƯƠNG KT'!$D$15:$P$94,18,0)</f>
        <v>#N/A</v>
      </c>
      <c r="V28" s="874" t="e">
        <f>VLOOKUP(C28,'LƯƠNG KT'!$D$15:$P$94,19,0)</f>
        <v>#N/A</v>
      </c>
      <c r="W28" s="874" t="e">
        <f>VLOOKUP(C28,'LƯƠNG KT'!$D$15:$P$94,20,0)</f>
        <v>#N/A</v>
      </c>
      <c r="X28" s="874" t="e">
        <f>VLOOKUP(C28,'LƯƠNG KT'!$D$15:$P$94,22,0)</f>
        <v>#N/A</v>
      </c>
      <c r="Y28" s="874" t="e">
        <f>VLOOKUP(C28,'LƯƠNG KT'!$D$15:$P$94,23,0)</f>
        <v>#N/A</v>
      </c>
      <c r="Z28" s="874" t="e">
        <f>VLOOKUP(C28,'LƯƠNG KT'!$D$15:$P$94,24,0)</f>
        <v>#N/A</v>
      </c>
      <c r="AA28" s="874">
        <v>20</v>
      </c>
      <c r="AB28" s="874"/>
      <c r="AC28" s="889" t="e">
        <f t="shared" si="6"/>
        <v>#N/A</v>
      </c>
      <c r="AD28" s="889" t="e">
        <f t="shared" si="2"/>
        <v>#N/A</v>
      </c>
      <c r="AE28" s="889" t="e">
        <f t="shared" si="3"/>
        <v>#N/A</v>
      </c>
      <c r="AF28" s="927" t="e">
        <f>VLOOKUP(C28,'LƯƠNG KT'!#REF!,27,0)</f>
        <v>#REF!</v>
      </c>
      <c r="AG28" s="891" t="e">
        <f t="shared" si="7"/>
        <v>#N/A</v>
      </c>
      <c r="AH28" s="922" t="s">
        <v>2751</v>
      </c>
      <c r="AI28" s="637"/>
    </row>
    <row r="29" spans="1:35" s="540" customFormat="1" ht="17.25" customHeight="1">
      <c r="A29" s="868">
        <v>16</v>
      </c>
      <c r="B29" s="1644" t="str">
        <f>VLOOKUP(C29,'DS CN MOI UP'!$B$10:$C$389,2,0)</f>
        <v>02570</v>
      </c>
      <c r="C29" s="875" t="s">
        <v>221</v>
      </c>
      <c r="D29" s="875" t="s">
        <v>15</v>
      </c>
      <c r="E29" s="872"/>
      <c r="F29" s="873">
        <f>+VLOOKUP($C$14:$C$84,THCKT!$C$317:$AE$395,17,0)</f>
        <v>24</v>
      </c>
      <c r="G29" s="874">
        <f t="shared" si="0"/>
        <v>600000</v>
      </c>
      <c r="H29" s="874"/>
      <c r="I29" s="874"/>
      <c r="J29" s="874"/>
      <c r="K29" s="874" t="e">
        <f>VLOOKUP(C29,THCKT!$C$13:$AL$460,21,0)</f>
        <v>#N/A</v>
      </c>
      <c r="L29" s="883">
        <f>VLOOKUP(C29,THCKT!$C$13:$AL$460,22,0)</f>
        <v>0</v>
      </c>
      <c r="M29" s="883">
        <f>VLOOKUP(C29,THCKT!$C$13:$AL$460,23,0)</f>
        <v>0</v>
      </c>
      <c r="N29" s="883" t="e">
        <f t="shared" si="1"/>
        <v>#N/A</v>
      </c>
      <c r="O29" s="883" t="e">
        <f t="shared" si="4"/>
        <v>#N/A</v>
      </c>
      <c r="P29" s="884" t="e">
        <f>VLOOKUP(C29,THCKT!$C$13:$AL$460,36,0)</f>
        <v>#N/A</v>
      </c>
      <c r="Q29" s="887" t="e">
        <f t="shared" si="5"/>
        <v>#N/A</v>
      </c>
      <c r="R29" s="874" t="e">
        <f>VLOOKUP(C29,'LƯƠNG KT'!$D$15:$P$94,16,0)</f>
        <v>#N/A</v>
      </c>
      <c r="S29" s="874" t="e">
        <f>VLOOKUP(C29,'LƯƠNG KT'!$D$15:$P$94,17,0)</f>
        <v>#N/A</v>
      </c>
      <c r="T29" s="874" t="e">
        <f>VLOOKUP(C29,'LƯƠNG KT'!$D$15:$P$94,18,0)</f>
        <v>#N/A</v>
      </c>
      <c r="U29" s="874" t="e">
        <f>VLOOKUP(C29,'LƯƠNG KT'!$D$15:$P$94,18,0)</f>
        <v>#N/A</v>
      </c>
      <c r="V29" s="874" t="e">
        <f>VLOOKUP(C29,'LƯƠNG KT'!$D$15:$P$94,19,0)</f>
        <v>#N/A</v>
      </c>
      <c r="W29" s="874" t="e">
        <f>VLOOKUP(C29,'LƯƠNG KT'!$D$15:$P$94,20,0)</f>
        <v>#N/A</v>
      </c>
      <c r="X29" s="874" t="e">
        <f>VLOOKUP(C29,'LƯƠNG KT'!$D$15:$P$94,22,0)</f>
        <v>#N/A</v>
      </c>
      <c r="Y29" s="874" t="e">
        <f>VLOOKUP(C29,'LƯƠNG KT'!$D$15:$P$94,23,0)</f>
        <v>#N/A</v>
      </c>
      <c r="Z29" s="874" t="e">
        <f>VLOOKUP(C29,'LƯƠNG KT'!$D$15:$P$94,24,0)</f>
        <v>#N/A</v>
      </c>
      <c r="AA29" s="874">
        <v>20</v>
      </c>
      <c r="AB29" s="874"/>
      <c r="AC29" s="889" t="e">
        <f t="shared" si="6"/>
        <v>#N/A</v>
      </c>
      <c r="AD29" s="889" t="e">
        <f t="shared" si="2"/>
        <v>#N/A</v>
      </c>
      <c r="AE29" s="889" t="e">
        <f t="shared" si="3"/>
        <v>#N/A</v>
      </c>
      <c r="AF29" s="927" t="e">
        <f>VLOOKUP(C29,'LƯƠNG KT'!#REF!,27,0)</f>
        <v>#REF!</v>
      </c>
      <c r="AG29" s="891" t="e">
        <f t="shared" si="7"/>
        <v>#N/A</v>
      </c>
      <c r="AH29" s="540" t="s">
        <v>2751</v>
      </c>
      <c r="AI29" s="637"/>
    </row>
    <row r="30" spans="1:35" s="540" customFormat="1" ht="17.25" customHeight="1">
      <c r="A30" s="868">
        <v>17</v>
      </c>
      <c r="B30" s="1644" t="str">
        <f>VLOOKUP(C30,'DS CN MOI UP'!$B$10:$C$389,2,0)</f>
        <v>02573</v>
      </c>
      <c r="C30" s="875" t="s">
        <v>222</v>
      </c>
      <c r="D30" s="875" t="s">
        <v>15</v>
      </c>
      <c r="E30" s="872"/>
      <c r="F30" s="873">
        <f>+VLOOKUP($C$14:$C$84,THCKT!$C$317:$AE$395,17,0)</f>
        <v>24</v>
      </c>
      <c r="G30" s="874">
        <f t="shared" si="0"/>
        <v>600000</v>
      </c>
      <c r="H30" s="874"/>
      <c r="I30" s="874"/>
      <c r="J30" s="874"/>
      <c r="K30" s="874" t="e">
        <f>VLOOKUP(C30,THCKT!$C$13:$AL$460,21,0)</f>
        <v>#N/A</v>
      </c>
      <c r="L30" s="883">
        <f>VLOOKUP(C30,THCKT!$C$13:$AL$460,22,0)</f>
        <v>0</v>
      </c>
      <c r="M30" s="883">
        <f>VLOOKUP(C30,THCKT!$C$13:$AL$460,23,0)</f>
        <v>0</v>
      </c>
      <c r="N30" s="883" t="e">
        <f t="shared" si="1"/>
        <v>#N/A</v>
      </c>
      <c r="O30" s="883" t="e">
        <f t="shared" si="4"/>
        <v>#N/A</v>
      </c>
      <c r="P30" s="884" t="e">
        <f>VLOOKUP(C30,THCKT!$C$13:$AL$460,36,0)</f>
        <v>#N/A</v>
      </c>
      <c r="Q30" s="887" t="e">
        <f t="shared" si="5"/>
        <v>#N/A</v>
      </c>
      <c r="R30" s="874" t="e">
        <f>VLOOKUP(C30,'LƯƠNG KT'!$D$15:$P$94,16,0)</f>
        <v>#N/A</v>
      </c>
      <c r="S30" s="874" t="e">
        <f>VLOOKUP(C30,'LƯƠNG KT'!$D$15:$P$94,17,0)</f>
        <v>#N/A</v>
      </c>
      <c r="T30" s="874" t="e">
        <f>VLOOKUP(C30,'LƯƠNG KT'!$D$15:$P$94,18,0)</f>
        <v>#N/A</v>
      </c>
      <c r="U30" s="874" t="e">
        <f>VLOOKUP(C30,'LƯƠNG KT'!$D$15:$P$94,18,0)</f>
        <v>#N/A</v>
      </c>
      <c r="V30" s="874" t="e">
        <f>VLOOKUP(C30,'LƯƠNG KT'!$D$15:$P$94,19,0)</f>
        <v>#N/A</v>
      </c>
      <c r="W30" s="874" t="e">
        <f>VLOOKUP(C30,'LƯƠNG KT'!$D$15:$P$94,20,0)</f>
        <v>#N/A</v>
      </c>
      <c r="X30" s="874" t="e">
        <f>VLOOKUP(C30,'LƯƠNG KT'!$D$15:$P$94,22,0)</f>
        <v>#N/A</v>
      </c>
      <c r="Y30" s="874" t="e">
        <f>VLOOKUP(C30,'LƯƠNG KT'!$D$15:$P$94,23,0)</f>
        <v>#N/A</v>
      </c>
      <c r="Z30" s="874" t="e">
        <f>VLOOKUP(C30,'LƯƠNG KT'!$D$15:$P$94,24,0)</f>
        <v>#N/A</v>
      </c>
      <c r="AA30" s="874">
        <v>20</v>
      </c>
      <c r="AB30" s="874"/>
      <c r="AC30" s="889" t="e">
        <f t="shared" si="6"/>
        <v>#N/A</v>
      </c>
      <c r="AD30" s="889" t="e">
        <f t="shared" si="2"/>
        <v>#N/A</v>
      </c>
      <c r="AE30" s="889" t="e">
        <f t="shared" si="3"/>
        <v>#N/A</v>
      </c>
      <c r="AF30" s="927" t="e">
        <f>VLOOKUP(C30,'LƯƠNG KT'!#REF!,27,0)</f>
        <v>#REF!</v>
      </c>
      <c r="AG30" s="891" t="e">
        <f t="shared" si="7"/>
        <v>#N/A</v>
      </c>
      <c r="AH30" s="922" t="s">
        <v>2751</v>
      </c>
      <c r="AI30" s="637"/>
    </row>
    <row r="31" spans="1:35" s="540" customFormat="1" ht="17.25" customHeight="1">
      <c r="A31" s="868">
        <v>18</v>
      </c>
      <c r="B31" s="1644" t="str">
        <f>VLOOKUP(C31,'DS CN MOI UP'!$B$10:$C$389,2,0)</f>
        <v>02695</v>
      </c>
      <c r="C31" s="875" t="s">
        <v>223</v>
      </c>
      <c r="D31" s="875" t="s">
        <v>15</v>
      </c>
      <c r="E31" s="872"/>
      <c r="F31" s="873">
        <f>+VLOOKUP($C$14:$C$84,THCKT!$C$317:$AE$395,17,0)</f>
        <v>24</v>
      </c>
      <c r="G31" s="874">
        <f t="shared" si="0"/>
        <v>600000</v>
      </c>
      <c r="H31" s="874"/>
      <c r="I31" s="874"/>
      <c r="J31" s="874"/>
      <c r="K31" s="874" t="e">
        <f>VLOOKUP(C31,THCKT!$C$13:$AL$460,21,0)</f>
        <v>#N/A</v>
      </c>
      <c r="L31" s="883">
        <f>VLOOKUP(C31,THCKT!$C$13:$AL$460,22,0)</f>
        <v>0</v>
      </c>
      <c r="M31" s="883">
        <f>VLOOKUP(C31,THCKT!$C$13:$AL$460,23,0)</f>
        <v>0</v>
      </c>
      <c r="N31" s="883" t="e">
        <f t="shared" si="1"/>
        <v>#N/A</v>
      </c>
      <c r="O31" s="883"/>
      <c r="P31" s="884" t="e">
        <f>VLOOKUP(C31,THCKT!$C$13:$AL$460,36,0)</f>
        <v>#N/A</v>
      </c>
      <c r="Q31" s="887" t="e">
        <f t="shared" si="5"/>
        <v>#N/A</v>
      </c>
      <c r="R31" s="874" t="e">
        <f>VLOOKUP(C31,'LƯƠNG KT'!$D$15:$P$94,16,0)</f>
        <v>#N/A</v>
      </c>
      <c r="S31" s="874" t="e">
        <f>VLOOKUP(C31,'LƯƠNG KT'!$D$15:$P$94,17,0)</f>
        <v>#N/A</v>
      </c>
      <c r="T31" s="874" t="e">
        <f>VLOOKUP(C31,'LƯƠNG KT'!$D$15:$P$94,18,0)</f>
        <v>#N/A</v>
      </c>
      <c r="U31" s="874" t="e">
        <f>VLOOKUP(C31,'LƯƠNG KT'!$D$15:$P$94,18,0)</f>
        <v>#N/A</v>
      </c>
      <c r="V31" s="874" t="e">
        <f>VLOOKUP(C31,'LƯƠNG KT'!$D$15:$P$94,19,0)</f>
        <v>#N/A</v>
      </c>
      <c r="W31" s="874" t="e">
        <f>VLOOKUP(C31,'LƯƠNG KT'!$D$15:$P$94,20,0)</f>
        <v>#N/A</v>
      </c>
      <c r="X31" s="874" t="e">
        <f>VLOOKUP(C31,'LƯƠNG KT'!$D$15:$P$94,22,0)</f>
        <v>#N/A</v>
      </c>
      <c r="Y31" s="874" t="e">
        <f>VLOOKUP(C31,'LƯƠNG KT'!$D$15:$P$94,23,0)</f>
        <v>#N/A</v>
      </c>
      <c r="Z31" s="874" t="e">
        <f>VLOOKUP(C31,'LƯƠNG KT'!$D$15:$P$94,24,0)</f>
        <v>#N/A</v>
      </c>
      <c r="AA31" s="874">
        <v>20</v>
      </c>
      <c r="AB31" s="874"/>
      <c r="AC31" s="889" t="e">
        <f t="shared" si="6"/>
        <v>#N/A</v>
      </c>
      <c r="AD31" s="889" t="e">
        <f t="shared" si="2"/>
        <v>#N/A</v>
      </c>
      <c r="AE31" s="889" t="e">
        <f t="shared" si="3"/>
        <v>#N/A</v>
      </c>
      <c r="AF31" s="927" t="e">
        <f>VLOOKUP(C31,'LƯƠNG KT'!#REF!,27,0)</f>
        <v>#REF!</v>
      </c>
      <c r="AG31" s="891" t="e">
        <f t="shared" si="7"/>
        <v>#N/A</v>
      </c>
      <c r="AH31" s="540" t="s">
        <v>2751</v>
      </c>
      <c r="AI31" s="637"/>
    </row>
    <row r="32" spans="1:35" s="540" customFormat="1" ht="17.25" customHeight="1">
      <c r="A32" s="868">
        <v>19</v>
      </c>
      <c r="B32" s="1644" t="str">
        <f>VLOOKUP(C32,'DS CN MOI UP'!$B$10:$C$389,2,0)</f>
        <v>02599</v>
      </c>
      <c r="C32" s="875" t="s">
        <v>224</v>
      </c>
      <c r="D32" s="875" t="s">
        <v>15</v>
      </c>
      <c r="E32" s="872"/>
      <c r="F32" s="873">
        <f>+VLOOKUP($C$14:$C$84,THCKT!$C$317:$AE$395,17,0)</f>
        <v>24</v>
      </c>
      <c r="G32" s="874">
        <f t="shared" si="0"/>
        <v>600000</v>
      </c>
      <c r="H32" s="874"/>
      <c r="I32" s="874"/>
      <c r="J32" s="874"/>
      <c r="K32" s="874" t="e">
        <f>VLOOKUP(C32,THCKT!$C$13:$AL$460,21,0)</f>
        <v>#N/A</v>
      </c>
      <c r="L32" s="883">
        <f>VLOOKUP(C32,THCKT!$C$13:$AL$460,22,0)</f>
        <v>0</v>
      </c>
      <c r="M32" s="883">
        <f>VLOOKUP(C32,THCKT!$C$13:$AL$460,23,0)</f>
        <v>0</v>
      </c>
      <c r="N32" s="883" t="e">
        <f t="shared" si="1"/>
        <v>#N/A</v>
      </c>
      <c r="O32" s="883" t="e">
        <f t="shared" si="4"/>
        <v>#N/A</v>
      </c>
      <c r="P32" s="884" t="e">
        <f>VLOOKUP(C32,THCKT!$C$13:$AL$460,36,0)</f>
        <v>#N/A</v>
      </c>
      <c r="Q32" s="887" t="e">
        <f t="shared" si="5"/>
        <v>#N/A</v>
      </c>
      <c r="R32" s="874" t="e">
        <f>VLOOKUP(C32,'LƯƠNG KT'!$D$15:$P$94,16,0)</f>
        <v>#N/A</v>
      </c>
      <c r="S32" s="874" t="e">
        <f>VLOOKUP(C32,'LƯƠNG KT'!$D$15:$P$94,17,0)</f>
        <v>#N/A</v>
      </c>
      <c r="T32" s="874" t="e">
        <f>VLOOKUP(C32,'LƯƠNG KT'!$D$15:$P$94,18,0)</f>
        <v>#N/A</v>
      </c>
      <c r="U32" s="874" t="e">
        <f>VLOOKUP(C32,'LƯƠNG KT'!$D$15:$P$94,18,0)</f>
        <v>#N/A</v>
      </c>
      <c r="V32" s="874" t="e">
        <f>VLOOKUP(C32,'LƯƠNG KT'!$D$15:$P$94,19,0)</f>
        <v>#N/A</v>
      </c>
      <c r="W32" s="874" t="e">
        <f>VLOOKUP(C32,'LƯƠNG KT'!$D$15:$P$94,20,0)</f>
        <v>#N/A</v>
      </c>
      <c r="X32" s="874" t="e">
        <f>VLOOKUP(C32,'LƯƠNG KT'!$D$15:$P$94,22,0)</f>
        <v>#N/A</v>
      </c>
      <c r="Y32" s="874" t="e">
        <f>VLOOKUP(C32,'LƯƠNG KT'!$D$15:$P$94,23,0)</f>
        <v>#N/A</v>
      </c>
      <c r="Z32" s="874" t="e">
        <f>VLOOKUP(C32,'LƯƠNG KT'!$D$15:$P$94,24,0)</f>
        <v>#N/A</v>
      </c>
      <c r="AA32" s="874">
        <v>20</v>
      </c>
      <c r="AB32" s="874"/>
      <c r="AC32" s="889" t="e">
        <f t="shared" si="6"/>
        <v>#N/A</v>
      </c>
      <c r="AD32" s="889" t="e">
        <f t="shared" si="2"/>
        <v>#N/A</v>
      </c>
      <c r="AE32" s="889" t="e">
        <f t="shared" si="3"/>
        <v>#N/A</v>
      </c>
      <c r="AF32" s="927" t="e">
        <f>VLOOKUP(C32,'LƯƠNG KT'!#REF!,27,0)</f>
        <v>#REF!</v>
      </c>
      <c r="AG32" s="891" t="e">
        <f t="shared" si="7"/>
        <v>#N/A</v>
      </c>
      <c r="AH32" s="922" t="s">
        <v>2751</v>
      </c>
      <c r="AI32" s="637"/>
    </row>
    <row r="33" spans="1:35" s="540" customFormat="1" ht="17.25" customHeight="1">
      <c r="A33" s="868">
        <v>20</v>
      </c>
      <c r="B33" s="1644" t="str">
        <f>VLOOKUP(C33,'DS CN MOI UP'!$B$10:$C$389,2,0)</f>
        <v>03383</v>
      </c>
      <c r="C33" s="875" t="s">
        <v>225</v>
      </c>
      <c r="D33" s="875" t="s">
        <v>15</v>
      </c>
      <c r="E33" s="872"/>
      <c r="F33" s="873">
        <f>+VLOOKUP($C$14:$C$84,THCKT!$C$317:$AE$395,17,0)</f>
        <v>24</v>
      </c>
      <c r="G33" s="874">
        <f t="shared" si="0"/>
        <v>600000</v>
      </c>
      <c r="H33" s="874"/>
      <c r="I33" s="874"/>
      <c r="J33" s="874"/>
      <c r="K33" s="874" t="e">
        <f>VLOOKUP(C33,THCKT!$C$13:$AL$460,21,0)</f>
        <v>#N/A</v>
      </c>
      <c r="L33" s="883">
        <f>VLOOKUP(C33,THCKT!$C$13:$AL$460,22,0)</f>
        <v>0</v>
      </c>
      <c r="M33" s="883">
        <f>VLOOKUP(C33,THCKT!$C$13:$AL$460,23,0)</f>
        <v>0</v>
      </c>
      <c r="N33" s="883" t="e">
        <f t="shared" si="1"/>
        <v>#N/A</v>
      </c>
      <c r="O33" s="883" t="e">
        <f t="shared" si="4"/>
        <v>#N/A</v>
      </c>
      <c r="P33" s="884" t="e">
        <f>VLOOKUP(C33,THCKT!$C$13:$AL$460,36,0)</f>
        <v>#N/A</v>
      </c>
      <c r="Q33" s="887" t="e">
        <f t="shared" si="5"/>
        <v>#N/A</v>
      </c>
      <c r="R33" s="874" t="e">
        <f>VLOOKUP(C33,'LƯƠNG KT'!$D$15:$P$94,16,0)</f>
        <v>#N/A</v>
      </c>
      <c r="S33" s="874" t="e">
        <f>VLOOKUP(C33,'LƯƠNG KT'!$D$15:$P$94,17,0)</f>
        <v>#N/A</v>
      </c>
      <c r="T33" s="874" t="e">
        <f>VLOOKUP(C33,'LƯƠNG KT'!$D$15:$P$94,18,0)</f>
        <v>#N/A</v>
      </c>
      <c r="U33" s="874" t="e">
        <f>VLOOKUP(C33,'LƯƠNG KT'!$D$15:$P$94,18,0)</f>
        <v>#N/A</v>
      </c>
      <c r="V33" s="874" t="e">
        <f>VLOOKUP(C33,'LƯƠNG KT'!$D$15:$P$94,19,0)</f>
        <v>#N/A</v>
      </c>
      <c r="W33" s="874" t="e">
        <f>VLOOKUP(C33,'LƯƠNG KT'!$D$15:$P$94,20,0)</f>
        <v>#N/A</v>
      </c>
      <c r="X33" s="874" t="e">
        <f>VLOOKUP(C33,'LƯƠNG KT'!$D$15:$P$94,22,0)</f>
        <v>#N/A</v>
      </c>
      <c r="Y33" s="874" t="e">
        <f>VLOOKUP(C33,'LƯƠNG KT'!$D$15:$P$94,23,0)</f>
        <v>#N/A</v>
      </c>
      <c r="Z33" s="874" t="e">
        <f>VLOOKUP(C33,'LƯƠNG KT'!$D$15:$P$94,24,0)</f>
        <v>#N/A</v>
      </c>
      <c r="AA33" s="874">
        <v>20</v>
      </c>
      <c r="AB33" s="874"/>
      <c r="AC33" s="889" t="e">
        <f t="shared" si="6"/>
        <v>#N/A</v>
      </c>
      <c r="AD33" s="889" t="e">
        <f t="shared" si="2"/>
        <v>#N/A</v>
      </c>
      <c r="AE33" s="889" t="e">
        <f t="shared" si="3"/>
        <v>#N/A</v>
      </c>
      <c r="AF33" s="927" t="e">
        <f>VLOOKUP(C33,'LƯƠNG KT'!#REF!,27,0)</f>
        <v>#REF!</v>
      </c>
      <c r="AG33" s="891" t="e">
        <f t="shared" si="7"/>
        <v>#N/A</v>
      </c>
      <c r="AH33" s="540" t="s">
        <v>2751</v>
      </c>
      <c r="AI33" s="637"/>
    </row>
    <row r="34" spans="1:35" s="540" customFormat="1" ht="17.25" customHeight="1">
      <c r="A34" s="868">
        <v>21</v>
      </c>
      <c r="B34" s="1644" t="str">
        <f>VLOOKUP(C34,'DS CN MOI UP'!$B$10:$C$389,2,0)</f>
        <v>03384</v>
      </c>
      <c r="C34" s="875" t="s">
        <v>226</v>
      </c>
      <c r="D34" s="875" t="s">
        <v>15</v>
      </c>
      <c r="E34" s="872"/>
      <c r="F34" s="873">
        <f>+VLOOKUP($C$14:$C$84,THCKT!$C$317:$AE$395,17,0)</f>
        <v>24</v>
      </c>
      <c r="G34" s="874">
        <f t="shared" si="0"/>
        <v>600000</v>
      </c>
      <c r="H34" s="874"/>
      <c r="I34" s="874"/>
      <c r="J34" s="874"/>
      <c r="K34" s="874" t="e">
        <f>VLOOKUP(C34,THCKT!$C$13:$AL$460,21,0)</f>
        <v>#N/A</v>
      </c>
      <c r="L34" s="883">
        <f>VLOOKUP(C34,THCKT!$C$13:$AL$460,22,0)</f>
        <v>0</v>
      </c>
      <c r="M34" s="883">
        <f>VLOOKUP(C34,THCKT!$C$13:$AL$460,23,0)</f>
        <v>0</v>
      </c>
      <c r="N34" s="883" t="e">
        <f t="shared" si="1"/>
        <v>#N/A</v>
      </c>
      <c r="O34" s="883" t="e">
        <f t="shared" si="4"/>
        <v>#N/A</v>
      </c>
      <c r="P34" s="884" t="e">
        <f>VLOOKUP(C34,THCKT!$C$13:$AL$460,36,0)</f>
        <v>#N/A</v>
      </c>
      <c r="Q34" s="887" t="e">
        <f t="shared" si="5"/>
        <v>#N/A</v>
      </c>
      <c r="R34" s="874" t="e">
        <f>VLOOKUP(C34,'LƯƠNG KT'!$D$15:$P$94,16,0)</f>
        <v>#N/A</v>
      </c>
      <c r="S34" s="874" t="e">
        <f>VLOOKUP(C34,'LƯƠNG KT'!$D$15:$P$94,17,0)</f>
        <v>#N/A</v>
      </c>
      <c r="T34" s="874" t="e">
        <f>VLOOKUP(C34,'LƯƠNG KT'!$D$15:$P$94,18,0)</f>
        <v>#N/A</v>
      </c>
      <c r="U34" s="874" t="e">
        <f>VLOOKUP(C34,'LƯƠNG KT'!$D$15:$P$94,18,0)</f>
        <v>#N/A</v>
      </c>
      <c r="V34" s="874" t="e">
        <f>VLOOKUP(C34,'LƯƠNG KT'!$D$15:$P$94,19,0)</f>
        <v>#N/A</v>
      </c>
      <c r="W34" s="874" t="e">
        <f>VLOOKUP(C34,'LƯƠNG KT'!$D$15:$P$94,20,0)</f>
        <v>#N/A</v>
      </c>
      <c r="X34" s="874" t="e">
        <f>VLOOKUP(C34,'LƯƠNG KT'!$D$15:$P$94,22,0)</f>
        <v>#N/A</v>
      </c>
      <c r="Y34" s="874" t="e">
        <f>VLOOKUP(C34,'LƯƠNG KT'!$D$15:$P$94,23,0)</f>
        <v>#N/A</v>
      </c>
      <c r="Z34" s="874" t="e">
        <f>VLOOKUP(C34,'LƯƠNG KT'!$D$15:$P$94,24,0)</f>
        <v>#N/A</v>
      </c>
      <c r="AA34" s="874">
        <v>20</v>
      </c>
      <c r="AB34" s="874"/>
      <c r="AC34" s="889" t="e">
        <f t="shared" si="6"/>
        <v>#N/A</v>
      </c>
      <c r="AD34" s="889" t="e">
        <f t="shared" si="2"/>
        <v>#N/A</v>
      </c>
      <c r="AE34" s="889" t="e">
        <f t="shared" si="3"/>
        <v>#N/A</v>
      </c>
      <c r="AF34" s="927" t="e">
        <f>VLOOKUP(C34,'LƯƠNG KT'!#REF!,27,0)</f>
        <v>#REF!</v>
      </c>
      <c r="AG34" s="891" t="e">
        <f t="shared" si="7"/>
        <v>#N/A</v>
      </c>
      <c r="AH34" s="922" t="s">
        <v>2751</v>
      </c>
      <c r="AI34" s="637"/>
    </row>
    <row r="35" spans="1:35" s="540" customFormat="1" ht="17.25" customHeight="1">
      <c r="A35" s="868">
        <v>22</v>
      </c>
      <c r="B35" s="1644" t="str">
        <f>VLOOKUP(C35,'DS CN MOI UP'!$B$10:$C$389,2,0)</f>
        <v>02608</v>
      </c>
      <c r="C35" s="875" t="s">
        <v>227</v>
      </c>
      <c r="D35" s="875" t="s">
        <v>15</v>
      </c>
      <c r="E35" s="872"/>
      <c r="F35" s="873">
        <f>+VLOOKUP($C$14:$C$84,THCKT!$C$317:$AE$395,17,0)</f>
        <v>24</v>
      </c>
      <c r="G35" s="874">
        <f t="shared" si="0"/>
        <v>600000</v>
      </c>
      <c r="H35" s="874"/>
      <c r="I35" s="874"/>
      <c r="J35" s="874"/>
      <c r="K35" s="874" t="e">
        <f>VLOOKUP(C35,THCKT!$C$13:$AL$460,21,0)</f>
        <v>#N/A</v>
      </c>
      <c r="L35" s="883">
        <f>VLOOKUP(C35,THCKT!$C$13:$AL$460,22,0)</f>
        <v>0</v>
      </c>
      <c r="M35" s="883">
        <f>VLOOKUP(C35,THCKT!$C$13:$AL$460,23,0)</f>
        <v>0</v>
      </c>
      <c r="N35" s="883" t="e">
        <f t="shared" si="1"/>
        <v>#N/A</v>
      </c>
      <c r="O35" s="883"/>
      <c r="P35" s="884" t="e">
        <f>VLOOKUP(C35,THCKT!$C$13:$AL$460,36,0)</f>
        <v>#N/A</v>
      </c>
      <c r="Q35" s="887" t="e">
        <f t="shared" si="5"/>
        <v>#N/A</v>
      </c>
      <c r="R35" s="874" t="e">
        <f>VLOOKUP(C35,'LƯƠNG KT'!$D$15:$P$94,16,0)</f>
        <v>#N/A</v>
      </c>
      <c r="S35" s="874" t="e">
        <f>VLOOKUP(C35,'LƯƠNG KT'!$D$15:$P$94,17,0)</f>
        <v>#N/A</v>
      </c>
      <c r="T35" s="874" t="e">
        <f>VLOOKUP(C35,'LƯƠNG KT'!$D$15:$P$94,18,0)</f>
        <v>#N/A</v>
      </c>
      <c r="U35" s="874" t="e">
        <f>VLOOKUP(C35,'LƯƠNG KT'!$D$15:$P$94,18,0)</f>
        <v>#N/A</v>
      </c>
      <c r="V35" s="874" t="e">
        <f>VLOOKUP(C35,'LƯƠNG KT'!$D$15:$P$94,19,0)</f>
        <v>#N/A</v>
      </c>
      <c r="W35" s="874" t="e">
        <f>VLOOKUP(C35,'LƯƠNG KT'!$D$15:$P$94,20,0)</f>
        <v>#N/A</v>
      </c>
      <c r="X35" s="874" t="e">
        <f>VLOOKUP(C35,'LƯƠNG KT'!$D$15:$P$94,22,0)</f>
        <v>#N/A</v>
      </c>
      <c r="Y35" s="874" t="e">
        <f>VLOOKUP(C35,'LƯƠNG KT'!$D$15:$P$94,23,0)</f>
        <v>#N/A</v>
      </c>
      <c r="Z35" s="874" t="e">
        <f>VLOOKUP(C35,'LƯƠNG KT'!$D$15:$P$94,24,0)</f>
        <v>#N/A</v>
      </c>
      <c r="AA35" s="874">
        <v>20</v>
      </c>
      <c r="AB35" s="874"/>
      <c r="AC35" s="889" t="e">
        <f t="shared" si="6"/>
        <v>#N/A</v>
      </c>
      <c r="AD35" s="889" t="e">
        <f t="shared" si="2"/>
        <v>#N/A</v>
      </c>
      <c r="AE35" s="889" t="e">
        <f t="shared" si="3"/>
        <v>#N/A</v>
      </c>
      <c r="AF35" s="927" t="e">
        <f>VLOOKUP(C35,'LƯƠNG KT'!#REF!,27,0)</f>
        <v>#REF!</v>
      </c>
      <c r="AG35" s="891" t="e">
        <f t="shared" si="7"/>
        <v>#N/A</v>
      </c>
      <c r="AH35" s="540" t="s">
        <v>2751</v>
      </c>
      <c r="AI35" s="637"/>
    </row>
    <row r="36" spans="1:35" s="540" customFormat="1" ht="17.25" customHeight="1">
      <c r="A36" s="868">
        <v>23</v>
      </c>
      <c r="B36" s="1644" t="str">
        <f>VLOOKUP(C36,'DS CN MOI UP'!$B$10:$C$389,2,0)</f>
        <v>02603</v>
      </c>
      <c r="C36" s="875" t="s">
        <v>228</v>
      </c>
      <c r="D36" s="875" t="s">
        <v>15</v>
      </c>
      <c r="E36" s="872"/>
      <c r="F36" s="873">
        <f>+VLOOKUP($C$14:$C$84,THCKT!$C$317:$AE$395,17,0)</f>
        <v>24</v>
      </c>
      <c r="G36" s="874">
        <f t="shared" si="0"/>
        <v>600000</v>
      </c>
      <c r="H36" s="874"/>
      <c r="I36" s="874"/>
      <c r="J36" s="874"/>
      <c r="K36" s="874" t="e">
        <f>VLOOKUP(C36,THCKT!$C$13:$AL$460,21,0)</f>
        <v>#N/A</v>
      </c>
      <c r="L36" s="883">
        <f>VLOOKUP(C36,THCKT!$C$13:$AL$460,22,0)</f>
        <v>0</v>
      </c>
      <c r="M36" s="883">
        <f>VLOOKUP(C36,THCKT!$C$13:$AL$460,23,0)</f>
        <v>0</v>
      </c>
      <c r="N36" s="883" t="e">
        <f t="shared" si="1"/>
        <v>#N/A</v>
      </c>
      <c r="O36" s="883"/>
      <c r="P36" s="884" t="e">
        <f>VLOOKUP(C36,THCKT!$C$13:$AL$460,36,0)</f>
        <v>#N/A</v>
      </c>
      <c r="Q36" s="887" t="e">
        <f t="shared" si="5"/>
        <v>#N/A</v>
      </c>
      <c r="R36" s="874" t="e">
        <f>VLOOKUP(C36,'LƯƠNG KT'!$D$15:$P$94,16,0)</f>
        <v>#N/A</v>
      </c>
      <c r="S36" s="874" t="e">
        <f>VLOOKUP(C36,'LƯƠNG KT'!$D$15:$P$94,17,0)</f>
        <v>#N/A</v>
      </c>
      <c r="T36" s="874" t="e">
        <f>VLOOKUP(C36,'LƯƠNG KT'!$D$15:$P$94,18,0)</f>
        <v>#N/A</v>
      </c>
      <c r="U36" s="874" t="e">
        <f>VLOOKUP(C36,'LƯƠNG KT'!$D$15:$P$94,18,0)</f>
        <v>#N/A</v>
      </c>
      <c r="V36" s="874" t="e">
        <f>VLOOKUP(C36,'LƯƠNG KT'!$D$15:$P$94,19,0)</f>
        <v>#N/A</v>
      </c>
      <c r="W36" s="874" t="e">
        <f>VLOOKUP(C36,'LƯƠNG KT'!$D$15:$P$94,20,0)</f>
        <v>#N/A</v>
      </c>
      <c r="X36" s="874" t="e">
        <f>VLOOKUP(C36,'LƯƠNG KT'!$D$15:$P$94,22,0)</f>
        <v>#N/A</v>
      </c>
      <c r="Y36" s="874" t="e">
        <f>VLOOKUP(C36,'LƯƠNG KT'!$D$15:$P$94,23,0)</f>
        <v>#N/A</v>
      </c>
      <c r="Z36" s="874" t="e">
        <f>VLOOKUP(C36,'LƯƠNG KT'!$D$15:$P$94,24,0)</f>
        <v>#N/A</v>
      </c>
      <c r="AA36" s="874">
        <v>20</v>
      </c>
      <c r="AB36" s="874"/>
      <c r="AC36" s="889" t="e">
        <f t="shared" si="6"/>
        <v>#N/A</v>
      </c>
      <c r="AD36" s="889" t="e">
        <f t="shared" si="2"/>
        <v>#N/A</v>
      </c>
      <c r="AE36" s="889" t="e">
        <f t="shared" si="3"/>
        <v>#N/A</v>
      </c>
      <c r="AF36" s="927" t="e">
        <f>VLOOKUP(C36,'LƯƠNG KT'!#REF!,27,0)</f>
        <v>#REF!</v>
      </c>
      <c r="AG36" s="891" t="e">
        <f t="shared" si="7"/>
        <v>#N/A</v>
      </c>
      <c r="AH36" s="922" t="s">
        <v>2751</v>
      </c>
      <c r="AI36" s="637"/>
    </row>
    <row r="37" spans="1:35" s="540" customFormat="1" ht="17.25" customHeight="1">
      <c r="A37" s="868">
        <v>24</v>
      </c>
      <c r="B37" s="1644" t="str">
        <f>VLOOKUP(C37,'DS CN MOI UP'!$B$10:$C$389,2,0)</f>
        <v>03385</v>
      </c>
      <c r="C37" s="875" t="s">
        <v>229</v>
      </c>
      <c r="D37" s="875" t="s">
        <v>15</v>
      </c>
      <c r="E37" s="872"/>
      <c r="F37" s="873">
        <f>+VLOOKUP($C$14:$C$84,THCKT!$C$317:$AE$395,17,0)</f>
        <v>24</v>
      </c>
      <c r="G37" s="874">
        <f t="shared" si="0"/>
        <v>600000</v>
      </c>
      <c r="H37" s="874"/>
      <c r="I37" s="874"/>
      <c r="J37" s="874"/>
      <c r="K37" s="874" t="e">
        <f>VLOOKUP(C37,THCKT!$C$13:$AL$460,21,0)</f>
        <v>#N/A</v>
      </c>
      <c r="L37" s="883">
        <f>VLOOKUP(C37,THCKT!$C$13:$AL$460,22,0)</f>
        <v>0</v>
      </c>
      <c r="M37" s="883">
        <f>VLOOKUP(C37,THCKT!$C$13:$AL$460,23,0)</f>
        <v>0</v>
      </c>
      <c r="N37" s="883" t="e">
        <f t="shared" si="1"/>
        <v>#N/A</v>
      </c>
      <c r="O37" s="883" t="e">
        <f t="shared" si="4"/>
        <v>#N/A</v>
      </c>
      <c r="P37" s="884" t="e">
        <f>VLOOKUP(C37,THCKT!$C$13:$AL$460,36,0)</f>
        <v>#N/A</v>
      </c>
      <c r="Q37" s="887" t="e">
        <f t="shared" si="5"/>
        <v>#N/A</v>
      </c>
      <c r="R37" s="874" t="e">
        <f>VLOOKUP(C37,'LƯƠNG KT'!$D$15:$P$94,16,0)</f>
        <v>#N/A</v>
      </c>
      <c r="S37" s="874" t="e">
        <f>VLOOKUP(C37,'LƯƠNG KT'!$D$15:$P$94,17,0)</f>
        <v>#N/A</v>
      </c>
      <c r="T37" s="874" t="e">
        <f>VLOOKUP(C37,'LƯƠNG KT'!$D$15:$P$94,18,0)</f>
        <v>#N/A</v>
      </c>
      <c r="U37" s="874" t="e">
        <f>VLOOKUP(C37,'LƯƠNG KT'!$D$15:$P$94,18,0)</f>
        <v>#N/A</v>
      </c>
      <c r="V37" s="874" t="e">
        <f>VLOOKUP(C37,'LƯƠNG KT'!$D$15:$P$94,19,0)</f>
        <v>#N/A</v>
      </c>
      <c r="W37" s="874" t="e">
        <f>VLOOKUP(C37,'LƯƠNG KT'!$D$15:$P$94,20,0)</f>
        <v>#N/A</v>
      </c>
      <c r="X37" s="874" t="e">
        <f>VLOOKUP(C37,'LƯƠNG KT'!$D$15:$P$94,22,0)</f>
        <v>#N/A</v>
      </c>
      <c r="Y37" s="874" t="e">
        <f>VLOOKUP(C37,'LƯƠNG KT'!$D$15:$P$94,23,0)</f>
        <v>#N/A</v>
      </c>
      <c r="Z37" s="874" t="e">
        <f>VLOOKUP(C37,'LƯƠNG KT'!$D$15:$P$94,24,0)</f>
        <v>#N/A</v>
      </c>
      <c r="AA37" s="874">
        <v>20</v>
      </c>
      <c r="AB37" s="874"/>
      <c r="AC37" s="889" t="e">
        <f t="shared" si="6"/>
        <v>#N/A</v>
      </c>
      <c r="AD37" s="889" t="e">
        <f t="shared" si="2"/>
        <v>#N/A</v>
      </c>
      <c r="AE37" s="889" t="e">
        <f t="shared" si="3"/>
        <v>#N/A</v>
      </c>
      <c r="AF37" s="927" t="e">
        <f>VLOOKUP(C37,'LƯƠNG KT'!#REF!,27,0)</f>
        <v>#REF!</v>
      </c>
      <c r="AG37" s="891" t="e">
        <f t="shared" si="7"/>
        <v>#N/A</v>
      </c>
      <c r="AH37" s="540" t="s">
        <v>2751</v>
      </c>
      <c r="AI37" s="637"/>
    </row>
    <row r="38" spans="1:35" s="540" customFormat="1" ht="17.25" customHeight="1">
      <c r="A38" s="868">
        <v>25</v>
      </c>
      <c r="B38" s="1644" t="str">
        <f>VLOOKUP(C38,'DS CN MOI UP'!$B$10:$C$389,2,0)</f>
        <v>02586</v>
      </c>
      <c r="C38" s="875" t="s">
        <v>230</v>
      </c>
      <c r="D38" s="875" t="s">
        <v>15</v>
      </c>
      <c r="E38" s="872"/>
      <c r="F38" s="873">
        <f>+VLOOKUP($C$14:$C$84,THCKT!$C$317:$AE$395,17,0)</f>
        <v>24</v>
      </c>
      <c r="G38" s="874">
        <f t="shared" si="0"/>
        <v>600000</v>
      </c>
      <c r="H38" s="874"/>
      <c r="I38" s="874"/>
      <c r="J38" s="874"/>
      <c r="K38" s="874" t="e">
        <f>VLOOKUP(C38,THCKT!$C$13:$AL$460,21,0)</f>
        <v>#N/A</v>
      </c>
      <c r="L38" s="883">
        <f>VLOOKUP(C38,THCKT!$C$13:$AL$460,22,0)</f>
        <v>0</v>
      </c>
      <c r="M38" s="883">
        <f>VLOOKUP(C38,THCKT!$C$13:$AL$460,23,0)</f>
        <v>0</v>
      </c>
      <c r="N38" s="883" t="e">
        <f t="shared" si="1"/>
        <v>#N/A</v>
      </c>
      <c r="O38" s="883" t="e">
        <f t="shared" si="4"/>
        <v>#N/A</v>
      </c>
      <c r="P38" s="884" t="e">
        <f>VLOOKUP(C38,THCKT!$C$13:$AL$460,36,0)</f>
        <v>#N/A</v>
      </c>
      <c r="Q38" s="887" t="e">
        <f t="shared" si="5"/>
        <v>#N/A</v>
      </c>
      <c r="R38" s="874" t="e">
        <f>VLOOKUP(C38,'LƯƠNG KT'!$D$15:$P$94,16,0)</f>
        <v>#N/A</v>
      </c>
      <c r="S38" s="874" t="e">
        <f>VLOOKUP(C38,'LƯƠNG KT'!$D$15:$P$94,17,0)</f>
        <v>#N/A</v>
      </c>
      <c r="T38" s="874" t="e">
        <f>VLOOKUP(C38,'LƯƠNG KT'!$D$15:$P$94,18,0)</f>
        <v>#N/A</v>
      </c>
      <c r="U38" s="874" t="e">
        <f>VLOOKUP(C38,'LƯƠNG KT'!$D$15:$P$94,18,0)</f>
        <v>#N/A</v>
      </c>
      <c r="V38" s="874" t="e">
        <f>VLOOKUP(C38,'LƯƠNG KT'!$D$15:$P$94,19,0)</f>
        <v>#N/A</v>
      </c>
      <c r="W38" s="874" t="e">
        <f>VLOOKUP(C38,'LƯƠNG KT'!$D$15:$P$94,20,0)</f>
        <v>#N/A</v>
      </c>
      <c r="X38" s="874" t="e">
        <f>VLOOKUP(C38,'LƯƠNG KT'!$D$15:$P$94,22,0)</f>
        <v>#N/A</v>
      </c>
      <c r="Y38" s="874" t="e">
        <f>VLOOKUP(C38,'LƯƠNG KT'!$D$15:$P$94,23,0)</f>
        <v>#N/A</v>
      </c>
      <c r="Z38" s="874" t="e">
        <f>VLOOKUP(C38,'LƯƠNG KT'!$D$15:$P$94,24,0)</f>
        <v>#N/A</v>
      </c>
      <c r="AA38" s="874">
        <v>20</v>
      </c>
      <c r="AB38" s="874"/>
      <c r="AC38" s="889" t="e">
        <f t="shared" si="6"/>
        <v>#N/A</v>
      </c>
      <c r="AD38" s="889" t="e">
        <f t="shared" si="2"/>
        <v>#N/A</v>
      </c>
      <c r="AE38" s="889" t="e">
        <f t="shared" si="3"/>
        <v>#N/A</v>
      </c>
      <c r="AF38" s="927" t="e">
        <f>VLOOKUP(C38,'LƯƠNG KT'!#REF!,27,0)</f>
        <v>#REF!</v>
      </c>
      <c r="AG38" s="891" t="e">
        <f t="shared" si="7"/>
        <v>#N/A</v>
      </c>
      <c r="AH38" s="922" t="s">
        <v>2751</v>
      </c>
      <c r="AI38" s="637"/>
    </row>
    <row r="39" spans="1:35" s="540" customFormat="1" ht="17.25" customHeight="1">
      <c r="A39" s="868">
        <v>26</v>
      </c>
      <c r="B39" s="1644" t="str">
        <f>VLOOKUP(C39,'DS CN MOI UP'!$B$10:$C$389,2,0)</f>
        <v>02614</v>
      </c>
      <c r="C39" s="875" t="s">
        <v>231</v>
      </c>
      <c r="D39" s="875" t="s">
        <v>15</v>
      </c>
      <c r="E39" s="872"/>
      <c r="F39" s="873">
        <f>+VLOOKUP($C$14:$C$84,THCKT!$C$317:$AE$395,17,0)</f>
        <v>24</v>
      </c>
      <c r="G39" s="874">
        <f t="shared" si="0"/>
        <v>600000</v>
      </c>
      <c r="H39" s="874"/>
      <c r="I39" s="874"/>
      <c r="J39" s="874"/>
      <c r="K39" s="874" t="e">
        <f>VLOOKUP(C39,THCKT!$C$13:$AL$460,21,0)</f>
        <v>#N/A</v>
      </c>
      <c r="L39" s="883">
        <f>VLOOKUP(C39,THCKT!$C$13:$AL$460,22,0)</f>
        <v>0</v>
      </c>
      <c r="M39" s="883">
        <f>VLOOKUP(C39,THCKT!$C$13:$AL$460,23,0)</f>
        <v>0</v>
      </c>
      <c r="N39" s="883" t="e">
        <f t="shared" si="1"/>
        <v>#N/A</v>
      </c>
      <c r="O39" s="883" t="e">
        <f t="shared" si="4"/>
        <v>#N/A</v>
      </c>
      <c r="P39" s="884" t="e">
        <f>VLOOKUP(C39,THCKT!$C$13:$AL$460,36,0)</f>
        <v>#N/A</v>
      </c>
      <c r="Q39" s="887" t="e">
        <f t="shared" si="5"/>
        <v>#N/A</v>
      </c>
      <c r="R39" s="874" t="e">
        <f>VLOOKUP(C39,'LƯƠNG KT'!$D$15:$P$94,16,0)</f>
        <v>#N/A</v>
      </c>
      <c r="S39" s="874" t="e">
        <f>VLOOKUP(C39,'LƯƠNG KT'!$D$15:$P$94,17,0)</f>
        <v>#N/A</v>
      </c>
      <c r="T39" s="874" t="e">
        <f>VLOOKUP(C39,'LƯƠNG KT'!$D$15:$P$94,18,0)</f>
        <v>#N/A</v>
      </c>
      <c r="U39" s="874" t="e">
        <f>VLOOKUP(C39,'LƯƠNG KT'!$D$15:$P$94,18,0)</f>
        <v>#N/A</v>
      </c>
      <c r="V39" s="874" t="e">
        <f>VLOOKUP(C39,'LƯƠNG KT'!$D$15:$P$94,19,0)</f>
        <v>#N/A</v>
      </c>
      <c r="W39" s="874" t="e">
        <f>VLOOKUP(C39,'LƯƠNG KT'!$D$15:$P$94,20,0)</f>
        <v>#N/A</v>
      </c>
      <c r="X39" s="874" t="e">
        <f>VLOOKUP(C39,'LƯƠNG KT'!$D$15:$P$94,22,0)</f>
        <v>#N/A</v>
      </c>
      <c r="Y39" s="874" t="e">
        <f>VLOOKUP(C39,'LƯƠNG KT'!$D$15:$P$94,23,0)</f>
        <v>#N/A</v>
      </c>
      <c r="Z39" s="874" t="e">
        <f>VLOOKUP(C39,'LƯƠNG KT'!$D$15:$P$94,24,0)</f>
        <v>#N/A</v>
      </c>
      <c r="AA39" s="874">
        <v>20</v>
      </c>
      <c r="AB39" s="874"/>
      <c r="AC39" s="889" t="e">
        <f t="shared" si="6"/>
        <v>#N/A</v>
      </c>
      <c r="AD39" s="889" t="e">
        <f t="shared" si="2"/>
        <v>#N/A</v>
      </c>
      <c r="AE39" s="889" t="e">
        <f t="shared" si="3"/>
        <v>#N/A</v>
      </c>
      <c r="AF39" s="927" t="e">
        <f>VLOOKUP(C39,'LƯƠNG KT'!#REF!,27,0)</f>
        <v>#REF!</v>
      </c>
      <c r="AG39" s="891" t="e">
        <f t="shared" si="7"/>
        <v>#N/A</v>
      </c>
      <c r="AH39" s="540" t="s">
        <v>2751</v>
      </c>
      <c r="AI39" s="637"/>
    </row>
    <row r="40" spans="1:35" s="540" customFormat="1" ht="17.25" customHeight="1">
      <c r="A40" s="868">
        <v>27</v>
      </c>
      <c r="B40" s="1644" t="str">
        <f>VLOOKUP(C40,'DS CN MOI UP'!$B$10:$C$389,2,0)</f>
        <v>02581</v>
      </c>
      <c r="C40" s="875" t="s">
        <v>232</v>
      </c>
      <c r="D40" s="875" t="s">
        <v>15</v>
      </c>
      <c r="E40" s="872"/>
      <c r="F40" s="873">
        <f>+VLOOKUP($C$14:$C$84,THCKT!$C$317:$AE$395,17,0)</f>
        <v>24</v>
      </c>
      <c r="G40" s="874">
        <f t="shared" si="0"/>
        <v>600000</v>
      </c>
      <c r="H40" s="874"/>
      <c r="I40" s="874"/>
      <c r="J40" s="874"/>
      <c r="K40" s="874" t="e">
        <f>VLOOKUP(C40,THCKT!$C$13:$AL$460,21,0)</f>
        <v>#N/A</v>
      </c>
      <c r="L40" s="883">
        <f>VLOOKUP(C40,THCKT!$C$13:$AL$460,22,0)</f>
        <v>0</v>
      </c>
      <c r="M40" s="883">
        <f>VLOOKUP(C40,THCKT!$C$13:$AL$460,23,0)</f>
        <v>0</v>
      </c>
      <c r="N40" s="883" t="e">
        <f t="shared" si="1"/>
        <v>#N/A</v>
      </c>
      <c r="O40" s="883"/>
      <c r="P40" s="884" t="e">
        <f>VLOOKUP(C40,THCKT!$C$13:$AL$460,36,0)</f>
        <v>#N/A</v>
      </c>
      <c r="Q40" s="887" t="e">
        <f t="shared" si="5"/>
        <v>#N/A</v>
      </c>
      <c r="R40" s="874" t="e">
        <f>VLOOKUP(C40,'LƯƠNG KT'!$D$15:$P$94,16,0)</f>
        <v>#N/A</v>
      </c>
      <c r="S40" s="874" t="e">
        <f>VLOOKUP(C40,'LƯƠNG KT'!$D$15:$P$94,17,0)</f>
        <v>#N/A</v>
      </c>
      <c r="T40" s="874" t="e">
        <f>VLOOKUP(C40,'LƯƠNG KT'!$D$15:$P$94,18,0)</f>
        <v>#N/A</v>
      </c>
      <c r="U40" s="874" t="e">
        <f>VLOOKUP(C40,'LƯƠNG KT'!$D$15:$P$94,18,0)</f>
        <v>#N/A</v>
      </c>
      <c r="V40" s="874" t="e">
        <f>VLOOKUP(C40,'LƯƠNG KT'!$D$15:$P$94,19,0)</f>
        <v>#N/A</v>
      </c>
      <c r="W40" s="874" t="e">
        <f>VLOOKUP(C40,'LƯƠNG KT'!$D$15:$P$94,20,0)</f>
        <v>#N/A</v>
      </c>
      <c r="X40" s="874" t="e">
        <f>VLOOKUP(C40,'LƯƠNG KT'!$D$15:$P$94,22,0)</f>
        <v>#N/A</v>
      </c>
      <c r="Y40" s="874" t="e">
        <f>VLOOKUP(C40,'LƯƠNG KT'!$D$15:$P$94,23,0)</f>
        <v>#N/A</v>
      </c>
      <c r="Z40" s="874" t="e">
        <f>VLOOKUP(C40,'LƯƠNG KT'!$D$15:$P$94,24,0)</f>
        <v>#N/A</v>
      </c>
      <c r="AA40" s="874">
        <v>20</v>
      </c>
      <c r="AB40" s="874"/>
      <c r="AC40" s="889" t="e">
        <f t="shared" si="6"/>
        <v>#N/A</v>
      </c>
      <c r="AD40" s="889" t="e">
        <f t="shared" si="2"/>
        <v>#N/A</v>
      </c>
      <c r="AE40" s="889" t="e">
        <f t="shared" si="3"/>
        <v>#N/A</v>
      </c>
      <c r="AF40" s="927" t="e">
        <f>VLOOKUP(C40,'LƯƠNG KT'!#REF!,27,0)</f>
        <v>#REF!</v>
      </c>
      <c r="AG40" s="891" t="e">
        <f t="shared" si="7"/>
        <v>#N/A</v>
      </c>
      <c r="AH40" s="922" t="s">
        <v>2751</v>
      </c>
      <c r="AI40" s="637"/>
    </row>
    <row r="41" spans="1:35" s="540" customFormat="1" ht="17.25" customHeight="1">
      <c r="A41" s="868">
        <v>28</v>
      </c>
      <c r="B41" s="1644" t="str">
        <f>VLOOKUP(C41,'DS CN MOI UP'!$B$10:$C$389,2,0)</f>
        <v>02613</v>
      </c>
      <c r="C41" s="875" t="s">
        <v>233</v>
      </c>
      <c r="D41" s="875" t="s">
        <v>15</v>
      </c>
      <c r="E41" s="872"/>
      <c r="F41" s="873">
        <f>+VLOOKUP($C$14:$C$84,THCKT!$C$317:$AE$395,17,0)</f>
        <v>24</v>
      </c>
      <c r="G41" s="874">
        <f t="shared" si="0"/>
        <v>600000</v>
      </c>
      <c r="H41" s="874"/>
      <c r="I41" s="874"/>
      <c r="J41" s="874"/>
      <c r="K41" s="874" t="e">
        <f>VLOOKUP(C41,THCKT!$C$13:$AL$460,21,0)</f>
        <v>#N/A</v>
      </c>
      <c r="L41" s="883">
        <f>VLOOKUP(C41,THCKT!$C$13:$AL$460,22,0)</f>
        <v>0</v>
      </c>
      <c r="M41" s="883">
        <f>VLOOKUP(C41,THCKT!$C$13:$AL$460,23,0)</f>
        <v>0</v>
      </c>
      <c r="N41" s="883" t="e">
        <f t="shared" si="1"/>
        <v>#N/A</v>
      </c>
      <c r="O41" s="883"/>
      <c r="P41" s="884" t="e">
        <f>VLOOKUP(C41,THCKT!$C$13:$AL$460,36,0)</f>
        <v>#N/A</v>
      </c>
      <c r="Q41" s="887" t="e">
        <f t="shared" si="5"/>
        <v>#N/A</v>
      </c>
      <c r="R41" s="874" t="e">
        <f>VLOOKUP(C41,'LƯƠNG KT'!$D$15:$P$94,16,0)</f>
        <v>#N/A</v>
      </c>
      <c r="S41" s="874" t="e">
        <f>VLOOKUP(C41,'LƯƠNG KT'!$D$15:$P$94,17,0)</f>
        <v>#N/A</v>
      </c>
      <c r="T41" s="874" t="e">
        <f>VLOOKUP(C41,'LƯƠNG KT'!$D$15:$P$94,18,0)</f>
        <v>#N/A</v>
      </c>
      <c r="U41" s="874" t="e">
        <f>VLOOKUP(C41,'LƯƠNG KT'!$D$15:$P$94,18,0)</f>
        <v>#N/A</v>
      </c>
      <c r="V41" s="874" t="e">
        <f>VLOOKUP(C41,'LƯƠNG KT'!$D$15:$P$94,19,0)</f>
        <v>#N/A</v>
      </c>
      <c r="W41" s="874" t="e">
        <f>VLOOKUP(C41,'LƯƠNG KT'!$D$15:$P$94,20,0)</f>
        <v>#N/A</v>
      </c>
      <c r="X41" s="874" t="e">
        <f>VLOOKUP(C41,'LƯƠNG KT'!$D$15:$P$94,22,0)</f>
        <v>#N/A</v>
      </c>
      <c r="Y41" s="874" t="e">
        <f>VLOOKUP(C41,'LƯƠNG KT'!$D$15:$P$94,23,0)</f>
        <v>#N/A</v>
      </c>
      <c r="Z41" s="874" t="e">
        <f>VLOOKUP(C41,'LƯƠNG KT'!$D$15:$P$94,24,0)</f>
        <v>#N/A</v>
      </c>
      <c r="AA41" s="874">
        <v>20</v>
      </c>
      <c r="AB41" s="874"/>
      <c r="AC41" s="889" t="e">
        <f t="shared" si="6"/>
        <v>#N/A</v>
      </c>
      <c r="AD41" s="889" t="e">
        <f t="shared" si="2"/>
        <v>#N/A</v>
      </c>
      <c r="AE41" s="889" t="e">
        <f t="shared" si="3"/>
        <v>#N/A</v>
      </c>
      <c r="AF41" s="927" t="e">
        <f>VLOOKUP(C41,'LƯƠNG KT'!#REF!,27,0)</f>
        <v>#REF!</v>
      </c>
      <c r="AG41" s="891" t="e">
        <f t="shared" si="7"/>
        <v>#N/A</v>
      </c>
      <c r="AH41" s="540" t="s">
        <v>2751</v>
      </c>
      <c r="AI41" s="637"/>
    </row>
    <row r="42" spans="1:35" s="540" customFormat="1" ht="17.25" customHeight="1">
      <c r="A42" s="868">
        <v>29</v>
      </c>
      <c r="B42" s="1644" t="str">
        <f>VLOOKUP(C42,'DS CN MOI UP'!$B$10:$C$389,2,0)</f>
        <v>03386</v>
      </c>
      <c r="C42" s="875" t="s">
        <v>234</v>
      </c>
      <c r="D42" s="875" t="s">
        <v>15</v>
      </c>
      <c r="E42" s="872"/>
      <c r="F42" s="873">
        <f>+VLOOKUP($C$14:$C$84,THCKT!$C$317:$AE$395,17,0)</f>
        <v>24</v>
      </c>
      <c r="G42" s="874">
        <f t="shared" si="0"/>
        <v>600000</v>
      </c>
      <c r="H42" s="874"/>
      <c r="I42" s="874"/>
      <c r="J42" s="874"/>
      <c r="K42" s="874" t="e">
        <f>VLOOKUP(C42,THCKT!$C$13:$AL$460,21,0)</f>
        <v>#N/A</v>
      </c>
      <c r="L42" s="883">
        <f>VLOOKUP(C42,THCKT!$C$13:$AL$460,22,0)</f>
        <v>0</v>
      </c>
      <c r="M42" s="883">
        <f>VLOOKUP(C42,THCKT!$C$13:$AL$460,23,0)</f>
        <v>0</v>
      </c>
      <c r="N42" s="883" t="e">
        <f t="shared" si="1"/>
        <v>#N/A</v>
      </c>
      <c r="O42" s="883" t="e">
        <f t="shared" si="4"/>
        <v>#N/A</v>
      </c>
      <c r="P42" s="884" t="e">
        <f>VLOOKUP(C42,THCKT!$C$13:$AL$460,36,0)</f>
        <v>#N/A</v>
      </c>
      <c r="Q42" s="887" t="e">
        <f t="shared" si="5"/>
        <v>#N/A</v>
      </c>
      <c r="R42" s="874" t="e">
        <f>VLOOKUP(C42,'LƯƠNG KT'!$D$15:$P$94,16,0)</f>
        <v>#N/A</v>
      </c>
      <c r="S42" s="874" t="e">
        <f>VLOOKUP(C42,'LƯƠNG KT'!$D$15:$P$94,17,0)</f>
        <v>#N/A</v>
      </c>
      <c r="T42" s="874" t="e">
        <f>VLOOKUP(C42,'LƯƠNG KT'!$D$15:$P$94,18,0)</f>
        <v>#N/A</v>
      </c>
      <c r="U42" s="874" t="e">
        <f>VLOOKUP(C42,'LƯƠNG KT'!$D$15:$P$94,18,0)</f>
        <v>#N/A</v>
      </c>
      <c r="V42" s="874" t="e">
        <f>VLOOKUP(C42,'LƯƠNG KT'!$D$15:$P$94,19,0)</f>
        <v>#N/A</v>
      </c>
      <c r="W42" s="874" t="e">
        <f>VLOOKUP(C42,'LƯƠNG KT'!$D$15:$P$94,20,0)</f>
        <v>#N/A</v>
      </c>
      <c r="X42" s="874" t="e">
        <f>VLOOKUP(C42,'LƯƠNG KT'!$D$15:$P$94,22,0)</f>
        <v>#N/A</v>
      </c>
      <c r="Y42" s="874" t="e">
        <f>VLOOKUP(C42,'LƯƠNG KT'!$D$15:$P$94,23,0)</f>
        <v>#N/A</v>
      </c>
      <c r="Z42" s="874" t="e">
        <f>VLOOKUP(C42,'LƯƠNG KT'!$D$15:$P$94,24,0)</f>
        <v>#N/A</v>
      </c>
      <c r="AA42" s="874">
        <v>20</v>
      </c>
      <c r="AB42" s="874"/>
      <c r="AC42" s="889" t="e">
        <f t="shared" si="6"/>
        <v>#N/A</v>
      </c>
      <c r="AD42" s="889" t="e">
        <f t="shared" si="2"/>
        <v>#N/A</v>
      </c>
      <c r="AE42" s="889" t="e">
        <f t="shared" si="3"/>
        <v>#N/A</v>
      </c>
      <c r="AF42" s="927" t="e">
        <f>VLOOKUP(C42,'LƯƠNG KT'!#REF!,27,0)</f>
        <v>#REF!</v>
      </c>
      <c r="AG42" s="891" t="e">
        <f t="shared" si="7"/>
        <v>#N/A</v>
      </c>
      <c r="AH42" s="922" t="s">
        <v>2751</v>
      </c>
      <c r="AI42" s="637"/>
    </row>
    <row r="43" spans="1:35" s="540" customFormat="1" ht="17.25" customHeight="1">
      <c r="A43" s="868">
        <v>30</v>
      </c>
      <c r="B43" s="1644" t="str">
        <f>VLOOKUP(C43,'DS CN MOI UP'!$B$10:$C$389,2,0)</f>
        <v>03387</v>
      </c>
      <c r="C43" s="875" t="s">
        <v>235</v>
      </c>
      <c r="D43" s="875" t="s">
        <v>15</v>
      </c>
      <c r="E43" s="872"/>
      <c r="F43" s="873">
        <f>+VLOOKUP($C$14:$C$84,THCKT!$C$317:$AE$395,17,0)</f>
        <v>24</v>
      </c>
      <c r="G43" s="874">
        <f t="shared" si="0"/>
        <v>600000</v>
      </c>
      <c r="H43" s="874"/>
      <c r="I43" s="874"/>
      <c r="J43" s="874"/>
      <c r="K43" s="874" t="e">
        <f>VLOOKUP(C43,THCKT!$C$13:$AL$460,21,0)</f>
        <v>#N/A</v>
      </c>
      <c r="L43" s="883">
        <f>VLOOKUP(C43,THCKT!$C$13:$AL$460,22,0)</f>
        <v>0</v>
      </c>
      <c r="M43" s="883">
        <f>VLOOKUP(C43,THCKT!$C$13:$AL$460,23,0)</f>
        <v>0</v>
      </c>
      <c r="N43" s="883" t="e">
        <f t="shared" si="1"/>
        <v>#N/A</v>
      </c>
      <c r="O43" s="883" t="e">
        <f t="shared" si="4"/>
        <v>#N/A</v>
      </c>
      <c r="P43" s="884" t="e">
        <f>VLOOKUP(C43,THCKT!$C$13:$AL$460,36,0)</f>
        <v>#N/A</v>
      </c>
      <c r="Q43" s="887" t="e">
        <f t="shared" si="5"/>
        <v>#N/A</v>
      </c>
      <c r="R43" s="874" t="e">
        <f>VLOOKUP(C43,'LƯƠNG KT'!$D$15:$P$94,16,0)</f>
        <v>#N/A</v>
      </c>
      <c r="S43" s="874" t="e">
        <f>VLOOKUP(C43,'LƯƠNG KT'!$D$15:$P$94,17,0)</f>
        <v>#N/A</v>
      </c>
      <c r="T43" s="874" t="e">
        <f>VLOOKUP(C43,'LƯƠNG KT'!$D$15:$P$94,18,0)</f>
        <v>#N/A</v>
      </c>
      <c r="U43" s="874" t="e">
        <f>VLOOKUP(C43,'LƯƠNG KT'!$D$15:$P$94,18,0)</f>
        <v>#N/A</v>
      </c>
      <c r="V43" s="874" t="e">
        <f>VLOOKUP(C43,'LƯƠNG KT'!$D$15:$P$94,19,0)</f>
        <v>#N/A</v>
      </c>
      <c r="W43" s="874" t="e">
        <f>VLOOKUP(C43,'LƯƠNG KT'!$D$15:$P$94,20,0)</f>
        <v>#N/A</v>
      </c>
      <c r="X43" s="874" t="e">
        <f>VLOOKUP(C43,'LƯƠNG KT'!$D$15:$P$94,22,0)</f>
        <v>#N/A</v>
      </c>
      <c r="Y43" s="874" t="e">
        <f>VLOOKUP(C43,'LƯƠNG KT'!$D$15:$P$94,23,0)</f>
        <v>#N/A</v>
      </c>
      <c r="Z43" s="874" t="e">
        <f>VLOOKUP(C43,'LƯƠNG KT'!$D$15:$P$94,24,0)</f>
        <v>#N/A</v>
      </c>
      <c r="AA43" s="874">
        <v>20</v>
      </c>
      <c r="AB43" s="874"/>
      <c r="AC43" s="889" t="e">
        <f t="shared" si="6"/>
        <v>#N/A</v>
      </c>
      <c r="AD43" s="889" t="e">
        <f t="shared" si="2"/>
        <v>#N/A</v>
      </c>
      <c r="AE43" s="889" t="e">
        <f t="shared" si="3"/>
        <v>#N/A</v>
      </c>
      <c r="AF43" s="927" t="e">
        <f>VLOOKUP(C43,'LƯƠNG KT'!#REF!,27,0)</f>
        <v>#REF!</v>
      </c>
      <c r="AG43" s="891" t="e">
        <f t="shared" si="7"/>
        <v>#N/A</v>
      </c>
      <c r="AH43" s="540" t="s">
        <v>2751</v>
      </c>
      <c r="AI43" s="637"/>
    </row>
    <row r="44" spans="1:35" s="540" customFormat="1" ht="17.25" customHeight="1">
      <c r="A44" s="868">
        <v>31</v>
      </c>
      <c r="B44" s="1644" t="str">
        <f>VLOOKUP(C44,'DS CN MOI UP'!$B$10:$C$389,2,0)</f>
        <v>03388</v>
      </c>
      <c r="C44" s="875" t="s">
        <v>236</v>
      </c>
      <c r="D44" s="875" t="s">
        <v>15</v>
      </c>
      <c r="E44" s="872"/>
      <c r="F44" s="873">
        <f>+VLOOKUP($C$14:$C$84,THCKT!$C$317:$AE$395,17,0)</f>
        <v>24</v>
      </c>
      <c r="G44" s="874">
        <f t="shared" si="0"/>
        <v>600000</v>
      </c>
      <c r="H44" s="874"/>
      <c r="I44" s="874"/>
      <c r="J44" s="874"/>
      <c r="K44" s="874" t="e">
        <f>VLOOKUP(C44,THCKT!$C$13:$AL$460,21,0)</f>
        <v>#N/A</v>
      </c>
      <c r="L44" s="883">
        <f>VLOOKUP(C44,THCKT!$C$13:$AL$460,22,0)</f>
        <v>0</v>
      </c>
      <c r="M44" s="883">
        <f>VLOOKUP(C44,THCKT!$C$13:$AL$460,23,0)</f>
        <v>0</v>
      </c>
      <c r="N44" s="883" t="e">
        <f t="shared" si="1"/>
        <v>#N/A</v>
      </c>
      <c r="O44" s="883" t="e">
        <f t="shared" si="4"/>
        <v>#N/A</v>
      </c>
      <c r="P44" s="884" t="e">
        <f>VLOOKUP(C44,THCKT!$C$13:$AL$460,36,0)</f>
        <v>#N/A</v>
      </c>
      <c r="Q44" s="887" t="e">
        <f t="shared" si="5"/>
        <v>#N/A</v>
      </c>
      <c r="R44" s="874" t="e">
        <f>VLOOKUP(C44,'LƯƠNG KT'!$D$15:$P$94,16,0)</f>
        <v>#N/A</v>
      </c>
      <c r="S44" s="874" t="e">
        <f>VLOOKUP(C44,'LƯƠNG KT'!$D$15:$P$94,17,0)</f>
        <v>#N/A</v>
      </c>
      <c r="T44" s="874" t="e">
        <f>VLOOKUP(C44,'LƯƠNG KT'!$D$15:$P$94,18,0)</f>
        <v>#N/A</v>
      </c>
      <c r="U44" s="874" t="e">
        <f>VLOOKUP(C44,'LƯƠNG KT'!$D$15:$P$94,18,0)</f>
        <v>#N/A</v>
      </c>
      <c r="V44" s="874" t="e">
        <f>VLOOKUP(C44,'LƯƠNG KT'!$D$15:$P$94,19,0)</f>
        <v>#N/A</v>
      </c>
      <c r="W44" s="874" t="e">
        <f>VLOOKUP(C44,'LƯƠNG KT'!$D$15:$P$94,20,0)</f>
        <v>#N/A</v>
      </c>
      <c r="X44" s="874" t="e">
        <f>VLOOKUP(C44,'LƯƠNG KT'!$D$15:$P$94,22,0)</f>
        <v>#N/A</v>
      </c>
      <c r="Y44" s="874" t="e">
        <f>VLOOKUP(C44,'LƯƠNG KT'!$D$15:$P$94,23,0)</f>
        <v>#N/A</v>
      </c>
      <c r="Z44" s="874" t="e">
        <f>VLOOKUP(C44,'LƯƠNG KT'!$D$15:$P$94,24,0)</f>
        <v>#N/A</v>
      </c>
      <c r="AA44" s="874">
        <v>20</v>
      </c>
      <c r="AB44" s="874"/>
      <c r="AC44" s="889" t="e">
        <f t="shared" si="6"/>
        <v>#N/A</v>
      </c>
      <c r="AD44" s="889" t="e">
        <f t="shared" si="2"/>
        <v>#N/A</v>
      </c>
      <c r="AE44" s="889" t="e">
        <f t="shared" si="3"/>
        <v>#N/A</v>
      </c>
      <c r="AF44" s="927" t="e">
        <f>VLOOKUP(C44,'LƯƠNG KT'!#REF!,27,0)</f>
        <v>#REF!</v>
      </c>
      <c r="AG44" s="891" t="e">
        <f t="shared" si="7"/>
        <v>#N/A</v>
      </c>
      <c r="AH44" s="922" t="s">
        <v>2751</v>
      </c>
      <c r="AI44" s="637"/>
    </row>
    <row r="45" spans="1:35" s="540" customFormat="1" ht="17.25" customHeight="1">
      <c r="A45" s="868">
        <v>32</v>
      </c>
      <c r="B45" s="1644" t="str">
        <f>VLOOKUP(C45,'DS CN MOI UP'!$B$10:$C$389,2,0)</f>
        <v>03389</v>
      </c>
      <c r="C45" s="875" t="s">
        <v>237</v>
      </c>
      <c r="D45" s="875" t="s">
        <v>15</v>
      </c>
      <c r="E45" s="872"/>
      <c r="F45" s="873">
        <f>+VLOOKUP($C$14:$C$84,THCKT!$C$317:$AE$395,17,0)</f>
        <v>24</v>
      </c>
      <c r="G45" s="874">
        <f t="shared" si="0"/>
        <v>600000</v>
      </c>
      <c r="H45" s="874"/>
      <c r="I45" s="874"/>
      <c r="J45" s="874"/>
      <c r="K45" s="874" t="e">
        <f>VLOOKUP(C45,THCKT!$C$13:$AL$460,21,0)</f>
        <v>#N/A</v>
      </c>
      <c r="L45" s="883">
        <f>VLOOKUP(C45,THCKT!$C$13:$AL$460,22,0)</f>
        <v>0</v>
      </c>
      <c r="M45" s="883">
        <f>VLOOKUP(C45,THCKT!$C$13:$AL$460,23,0)</f>
        <v>0</v>
      </c>
      <c r="N45" s="883" t="e">
        <f t="shared" si="1"/>
        <v>#N/A</v>
      </c>
      <c r="O45" s="883" t="e">
        <f t="shared" si="4"/>
        <v>#N/A</v>
      </c>
      <c r="P45" s="884" t="e">
        <f>VLOOKUP(C45,THCKT!$C$13:$AL$460,36,0)</f>
        <v>#N/A</v>
      </c>
      <c r="Q45" s="887" t="e">
        <f t="shared" si="5"/>
        <v>#N/A</v>
      </c>
      <c r="R45" s="874" t="e">
        <f>VLOOKUP(C45,'LƯƠNG KT'!$D$15:$P$94,16,0)</f>
        <v>#N/A</v>
      </c>
      <c r="S45" s="874" t="e">
        <f>VLOOKUP(C45,'LƯƠNG KT'!$D$15:$P$94,17,0)</f>
        <v>#N/A</v>
      </c>
      <c r="T45" s="874" t="e">
        <f>VLOOKUP(C45,'LƯƠNG KT'!$D$15:$P$94,18,0)</f>
        <v>#N/A</v>
      </c>
      <c r="U45" s="874" t="e">
        <f>VLOOKUP(C45,'LƯƠNG KT'!$D$15:$P$94,18,0)</f>
        <v>#N/A</v>
      </c>
      <c r="V45" s="874" t="e">
        <f>VLOOKUP(C45,'LƯƠNG KT'!$D$15:$P$94,19,0)</f>
        <v>#N/A</v>
      </c>
      <c r="W45" s="874" t="e">
        <f>VLOOKUP(C45,'LƯƠNG KT'!$D$15:$P$94,20,0)</f>
        <v>#N/A</v>
      </c>
      <c r="X45" s="874" t="e">
        <f>VLOOKUP(C45,'LƯƠNG KT'!$D$15:$P$94,22,0)</f>
        <v>#N/A</v>
      </c>
      <c r="Y45" s="874" t="e">
        <f>VLOOKUP(C45,'LƯƠNG KT'!$D$15:$P$94,23,0)</f>
        <v>#N/A</v>
      </c>
      <c r="Z45" s="874" t="e">
        <f>VLOOKUP(C45,'LƯƠNG KT'!$D$15:$P$94,24,0)</f>
        <v>#N/A</v>
      </c>
      <c r="AA45" s="874">
        <v>20</v>
      </c>
      <c r="AB45" s="874"/>
      <c r="AC45" s="889" t="e">
        <f t="shared" si="6"/>
        <v>#N/A</v>
      </c>
      <c r="AD45" s="889" t="e">
        <f t="shared" si="2"/>
        <v>#N/A</v>
      </c>
      <c r="AE45" s="889" t="e">
        <f t="shared" si="3"/>
        <v>#N/A</v>
      </c>
      <c r="AF45" s="927" t="e">
        <f>VLOOKUP(C45,'LƯƠNG KT'!#REF!,27,0)</f>
        <v>#REF!</v>
      </c>
      <c r="AG45" s="891" t="e">
        <f t="shared" si="7"/>
        <v>#N/A</v>
      </c>
      <c r="AH45" s="540" t="s">
        <v>2751</v>
      </c>
      <c r="AI45" s="637"/>
    </row>
    <row r="46" spans="1:35" s="540" customFormat="1" ht="17.25" customHeight="1">
      <c r="A46" s="868">
        <v>33</v>
      </c>
      <c r="B46" s="1644" t="str">
        <f>VLOOKUP(C46,'DS CN MOI UP'!$B$10:$C$389,2,0)</f>
        <v>03390</v>
      </c>
      <c r="C46" s="875" t="s">
        <v>238</v>
      </c>
      <c r="D46" s="875" t="s">
        <v>15</v>
      </c>
      <c r="E46" s="872"/>
      <c r="F46" s="873">
        <f>+VLOOKUP($C$14:$C$84,THCKT!$C$317:$AE$395,17,0)</f>
        <v>24</v>
      </c>
      <c r="G46" s="874">
        <f t="shared" si="0"/>
        <v>600000</v>
      </c>
      <c r="H46" s="874"/>
      <c r="I46" s="874"/>
      <c r="J46" s="874"/>
      <c r="K46" s="874" t="e">
        <f>VLOOKUP(C46,THCKT!$C$13:$AL$460,21,0)</f>
        <v>#N/A</v>
      </c>
      <c r="L46" s="883">
        <f>VLOOKUP(C46,THCKT!$C$13:$AL$460,22,0)</f>
        <v>0</v>
      </c>
      <c r="M46" s="883">
        <f>VLOOKUP(C46,THCKT!$C$13:$AL$460,23,0)</f>
        <v>0</v>
      </c>
      <c r="N46" s="883" t="e">
        <f t="shared" ref="N46:N77" si="8">$AI$8/$AI$7*K46+L46*$AI$9+M46*$AI$10</f>
        <v>#N/A</v>
      </c>
      <c r="O46" s="883"/>
      <c r="P46" s="884" t="e">
        <f>VLOOKUP(C46,THCKT!$C$13:$AL$460,36,0)</f>
        <v>#N/A</v>
      </c>
      <c r="Q46" s="887" t="e">
        <f t="shared" si="5"/>
        <v>#N/A</v>
      </c>
      <c r="R46" s="874" t="e">
        <f>VLOOKUP(C46,'LƯƠNG KT'!$D$15:$P$94,16,0)</f>
        <v>#N/A</v>
      </c>
      <c r="S46" s="874" t="e">
        <f>VLOOKUP(C46,'LƯƠNG KT'!$D$15:$P$94,17,0)</f>
        <v>#N/A</v>
      </c>
      <c r="T46" s="874" t="e">
        <f>VLOOKUP(C46,'LƯƠNG KT'!$D$15:$P$94,18,0)</f>
        <v>#N/A</v>
      </c>
      <c r="U46" s="874" t="e">
        <f>VLOOKUP(C46,'LƯƠNG KT'!$D$15:$P$94,18,0)</f>
        <v>#N/A</v>
      </c>
      <c r="V46" s="874" t="e">
        <f>VLOOKUP(C46,'LƯƠNG KT'!$D$15:$P$94,19,0)</f>
        <v>#N/A</v>
      </c>
      <c r="W46" s="874" t="e">
        <f>VLOOKUP(C46,'LƯƠNG KT'!$D$15:$P$94,20,0)</f>
        <v>#N/A</v>
      </c>
      <c r="X46" s="874" t="e">
        <f>VLOOKUP(C46,'LƯƠNG KT'!$D$15:$P$94,22,0)</f>
        <v>#N/A</v>
      </c>
      <c r="Y46" s="874" t="e">
        <f>VLOOKUP(C46,'LƯƠNG KT'!$D$15:$P$94,23,0)</f>
        <v>#N/A</v>
      </c>
      <c r="Z46" s="874" t="e">
        <f>VLOOKUP(C46,'LƯƠNG KT'!$D$15:$P$94,24,0)</f>
        <v>#N/A</v>
      </c>
      <c r="AA46" s="874">
        <v>20</v>
      </c>
      <c r="AB46" s="874"/>
      <c r="AC46" s="889" t="e">
        <f t="shared" si="6"/>
        <v>#N/A</v>
      </c>
      <c r="AD46" s="889" t="e">
        <f t="shared" ref="AD46:AD77" si="9">+AC46+Q46+G46</f>
        <v>#N/A</v>
      </c>
      <c r="AE46" s="889" t="e">
        <f t="shared" si="3"/>
        <v>#N/A</v>
      </c>
      <c r="AF46" s="927" t="e">
        <f>VLOOKUP(C46,'LƯƠNG KT'!#REF!,27,0)</f>
        <v>#REF!</v>
      </c>
      <c r="AG46" s="891" t="e">
        <f t="shared" si="7"/>
        <v>#N/A</v>
      </c>
      <c r="AH46" s="922" t="s">
        <v>2751</v>
      </c>
      <c r="AI46" s="637"/>
    </row>
    <row r="47" spans="1:35" s="540" customFormat="1" ht="17.25" customHeight="1">
      <c r="A47" s="868">
        <v>34</v>
      </c>
      <c r="B47" s="1644" t="str">
        <f>VLOOKUP(C47,'DS CN MOI UP'!$B$10:$C$389,2,0)</f>
        <v>03391</v>
      </c>
      <c r="C47" s="875" t="s">
        <v>239</v>
      </c>
      <c r="D47" s="875" t="s">
        <v>15</v>
      </c>
      <c r="E47" s="872"/>
      <c r="F47" s="873">
        <f>+VLOOKUP($C$14:$C$84,THCKT!$C$317:$AE$395,17,0)</f>
        <v>24</v>
      </c>
      <c r="G47" s="874">
        <f t="shared" si="0"/>
        <v>600000</v>
      </c>
      <c r="H47" s="874"/>
      <c r="I47" s="874"/>
      <c r="J47" s="874"/>
      <c r="K47" s="874" t="e">
        <f>VLOOKUP(C47,THCKT!$C$13:$AL$460,21,0)</f>
        <v>#N/A</v>
      </c>
      <c r="L47" s="883">
        <f>VLOOKUP(C47,THCKT!$C$13:$AL$460,22,0)</f>
        <v>0</v>
      </c>
      <c r="M47" s="883">
        <f>VLOOKUP(C47,THCKT!$C$13:$AL$460,23,0)</f>
        <v>0</v>
      </c>
      <c r="N47" s="883" t="e">
        <f t="shared" si="8"/>
        <v>#N/A</v>
      </c>
      <c r="O47" s="883"/>
      <c r="P47" s="884" t="e">
        <f>VLOOKUP(C47,THCKT!$C$13:$AL$460,36,0)</f>
        <v>#N/A</v>
      </c>
      <c r="Q47" s="887" t="e">
        <f t="shared" si="5"/>
        <v>#N/A</v>
      </c>
      <c r="R47" s="874" t="e">
        <f>VLOOKUP(C47,'LƯƠNG KT'!$D$15:$P$94,16,0)</f>
        <v>#N/A</v>
      </c>
      <c r="S47" s="874" t="e">
        <f>VLOOKUP(C47,'LƯƠNG KT'!$D$15:$P$94,17,0)</f>
        <v>#N/A</v>
      </c>
      <c r="T47" s="874" t="e">
        <f>VLOOKUP(C47,'LƯƠNG KT'!$D$15:$P$94,18,0)</f>
        <v>#N/A</v>
      </c>
      <c r="U47" s="874" t="e">
        <f>VLOOKUP(C47,'LƯƠNG KT'!$D$15:$P$94,18,0)</f>
        <v>#N/A</v>
      </c>
      <c r="V47" s="874" t="e">
        <f>VLOOKUP(C47,'LƯƠNG KT'!$D$15:$P$94,19,0)</f>
        <v>#N/A</v>
      </c>
      <c r="W47" s="874" t="e">
        <f>VLOOKUP(C47,'LƯƠNG KT'!$D$15:$P$94,20,0)</f>
        <v>#N/A</v>
      </c>
      <c r="X47" s="874" t="e">
        <f>VLOOKUP(C47,'LƯƠNG KT'!$D$15:$P$94,22,0)</f>
        <v>#N/A</v>
      </c>
      <c r="Y47" s="874" t="e">
        <f>VLOOKUP(C47,'LƯƠNG KT'!$D$15:$P$94,23,0)</f>
        <v>#N/A</v>
      </c>
      <c r="Z47" s="874" t="e">
        <f>VLOOKUP(C47,'LƯƠNG KT'!$D$15:$P$94,24,0)</f>
        <v>#N/A</v>
      </c>
      <c r="AA47" s="874">
        <v>20</v>
      </c>
      <c r="AB47" s="874"/>
      <c r="AC47" s="889" t="e">
        <f t="shared" si="6"/>
        <v>#N/A</v>
      </c>
      <c r="AD47" s="889" t="e">
        <f t="shared" si="9"/>
        <v>#N/A</v>
      </c>
      <c r="AE47" s="889" t="e">
        <f t="shared" si="3"/>
        <v>#N/A</v>
      </c>
      <c r="AF47" s="927" t="e">
        <f>VLOOKUP(C47,'LƯƠNG KT'!#REF!,27,0)</f>
        <v>#REF!</v>
      </c>
      <c r="AG47" s="891" t="e">
        <f t="shared" si="7"/>
        <v>#N/A</v>
      </c>
      <c r="AH47" s="540" t="s">
        <v>2751</v>
      </c>
      <c r="AI47" s="637"/>
    </row>
    <row r="48" spans="1:35" s="540" customFormat="1" ht="17.25" customHeight="1">
      <c r="A48" s="868">
        <v>35</v>
      </c>
      <c r="B48" s="1644" t="str">
        <f>VLOOKUP(C48,'DS CN MOI UP'!$B$10:$C$389,2,0)</f>
        <v>02589</v>
      </c>
      <c r="C48" s="875" t="s">
        <v>240</v>
      </c>
      <c r="D48" s="875" t="s">
        <v>15</v>
      </c>
      <c r="E48" s="872"/>
      <c r="F48" s="873">
        <f>+VLOOKUP($C$14:$C$84,THCKT!$C$317:$AE$395,17,0)</f>
        <v>24</v>
      </c>
      <c r="G48" s="874">
        <f t="shared" si="0"/>
        <v>600000</v>
      </c>
      <c r="H48" s="874"/>
      <c r="I48" s="874"/>
      <c r="J48" s="874"/>
      <c r="K48" s="874" t="e">
        <f>VLOOKUP(C48,THCKT!$C$13:$AL$460,21,0)</f>
        <v>#N/A</v>
      </c>
      <c r="L48" s="883">
        <f>VLOOKUP(C48,THCKT!$C$13:$AL$460,22,0)</f>
        <v>0</v>
      </c>
      <c r="M48" s="883">
        <f>VLOOKUP(C48,THCKT!$C$13:$AL$460,23,0)</f>
        <v>0</v>
      </c>
      <c r="N48" s="883" t="e">
        <f t="shared" si="8"/>
        <v>#N/A</v>
      </c>
      <c r="O48" s="883" t="e">
        <f t="shared" si="4"/>
        <v>#N/A</v>
      </c>
      <c r="P48" s="884" t="e">
        <f>VLOOKUP(C48,THCKT!$C$13:$AL$460,36,0)</f>
        <v>#N/A</v>
      </c>
      <c r="Q48" s="887" t="e">
        <f t="shared" si="5"/>
        <v>#N/A</v>
      </c>
      <c r="R48" s="874" t="e">
        <f>VLOOKUP(C48,'LƯƠNG KT'!$D$15:$P$94,16,0)</f>
        <v>#N/A</v>
      </c>
      <c r="S48" s="874" t="e">
        <f>VLOOKUP(C48,'LƯƠNG KT'!$D$15:$P$94,17,0)</f>
        <v>#N/A</v>
      </c>
      <c r="T48" s="874" t="e">
        <f>VLOOKUP(C48,'LƯƠNG KT'!$D$15:$P$94,18,0)</f>
        <v>#N/A</v>
      </c>
      <c r="U48" s="874" t="e">
        <f>VLOOKUP(C48,'LƯƠNG KT'!$D$15:$P$94,18,0)</f>
        <v>#N/A</v>
      </c>
      <c r="V48" s="874" t="e">
        <f>VLOOKUP(C48,'LƯƠNG KT'!$D$15:$P$94,19,0)</f>
        <v>#N/A</v>
      </c>
      <c r="W48" s="874" t="e">
        <f>VLOOKUP(C48,'LƯƠNG KT'!$D$15:$P$94,20,0)</f>
        <v>#N/A</v>
      </c>
      <c r="X48" s="874" t="e">
        <f>VLOOKUP(C48,'LƯƠNG KT'!$D$15:$P$94,22,0)</f>
        <v>#N/A</v>
      </c>
      <c r="Y48" s="874" t="e">
        <f>VLOOKUP(C48,'LƯƠNG KT'!$D$15:$P$94,23,0)</f>
        <v>#N/A</v>
      </c>
      <c r="Z48" s="874" t="e">
        <f>VLOOKUP(C48,'LƯƠNG KT'!$D$15:$P$94,24,0)</f>
        <v>#N/A</v>
      </c>
      <c r="AA48" s="874">
        <v>20</v>
      </c>
      <c r="AB48" s="874"/>
      <c r="AC48" s="889" t="e">
        <f t="shared" si="6"/>
        <v>#N/A</v>
      </c>
      <c r="AD48" s="889" t="e">
        <f t="shared" si="9"/>
        <v>#N/A</v>
      </c>
      <c r="AE48" s="889" t="e">
        <f t="shared" si="3"/>
        <v>#N/A</v>
      </c>
      <c r="AF48" s="927" t="e">
        <f>VLOOKUP(C48,'LƯƠNG KT'!#REF!,27,0)</f>
        <v>#REF!</v>
      </c>
      <c r="AG48" s="891" t="e">
        <f t="shared" si="7"/>
        <v>#N/A</v>
      </c>
      <c r="AH48" s="922" t="s">
        <v>2751</v>
      </c>
      <c r="AI48" s="637"/>
    </row>
    <row r="49" spans="1:35" s="540" customFormat="1" ht="17.25" customHeight="1">
      <c r="A49" s="868">
        <v>36</v>
      </c>
      <c r="B49" s="1644" t="str">
        <f>VLOOKUP(C49,'DS CN MOI UP'!$B$10:$C$389,2,0)</f>
        <v>03392</v>
      </c>
      <c r="C49" s="875" t="s">
        <v>241</v>
      </c>
      <c r="D49" s="875" t="s">
        <v>15</v>
      </c>
      <c r="E49" s="872"/>
      <c r="F49" s="873">
        <f>+VLOOKUP($C$14:$C$84,THCKT!$C$317:$AE$395,17,0)</f>
        <v>24</v>
      </c>
      <c r="G49" s="874">
        <f t="shared" si="0"/>
        <v>600000</v>
      </c>
      <c r="H49" s="874"/>
      <c r="I49" s="874"/>
      <c r="J49" s="874"/>
      <c r="K49" s="874" t="e">
        <f>VLOOKUP(C49,THCKT!$C$13:$AL$460,21,0)</f>
        <v>#N/A</v>
      </c>
      <c r="L49" s="883">
        <f>VLOOKUP(C49,THCKT!$C$13:$AL$460,22,0)</f>
        <v>0</v>
      </c>
      <c r="M49" s="883">
        <f>VLOOKUP(C49,THCKT!$C$13:$AL$460,23,0)</f>
        <v>0</v>
      </c>
      <c r="N49" s="883" t="e">
        <f t="shared" si="8"/>
        <v>#N/A</v>
      </c>
      <c r="O49" s="883" t="e">
        <f t="shared" si="4"/>
        <v>#N/A</v>
      </c>
      <c r="P49" s="884" t="e">
        <f>VLOOKUP(C49,THCKT!$C$13:$AL$460,36,0)</f>
        <v>#N/A</v>
      </c>
      <c r="Q49" s="887" t="e">
        <f t="shared" si="5"/>
        <v>#N/A</v>
      </c>
      <c r="R49" s="874" t="e">
        <f>VLOOKUP(C49,'LƯƠNG KT'!$D$15:$P$94,16,0)</f>
        <v>#N/A</v>
      </c>
      <c r="S49" s="874" t="e">
        <f>VLOOKUP(C49,'LƯƠNG KT'!$D$15:$P$94,17,0)</f>
        <v>#N/A</v>
      </c>
      <c r="T49" s="874" t="e">
        <f>VLOOKUP(C49,'LƯƠNG KT'!$D$15:$P$94,18,0)</f>
        <v>#N/A</v>
      </c>
      <c r="U49" s="874" t="e">
        <f>VLOOKUP(C49,'LƯƠNG KT'!$D$15:$P$94,18,0)</f>
        <v>#N/A</v>
      </c>
      <c r="V49" s="874" t="e">
        <f>VLOOKUP(C49,'LƯƠNG KT'!$D$15:$P$94,19,0)</f>
        <v>#N/A</v>
      </c>
      <c r="W49" s="874" t="e">
        <f>VLOOKUP(C49,'LƯƠNG KT'!$D$15:$P$94,20,0)</f>
        <v>#N/A</v>
      </c>
      <c r="X49" s="874" t="e">
        <f>VLOOKUP(C49,'LƯƠNG KT'!$D$15:$P$94,22,0)</f>
        <v>#N/A</v>
      </c>
      <c r="Y49" s="874" t="e">
        <f>VLOOKUP(C49,'LƯƠNG KT'!$D$15:$P$94,23,0)</f>
        <v>#N/A</v>
      </c>
      <c r="Z49" s="874" t="e">
        <f>VLOOKUP(C49,'LƯƠNG KT'!$D$15:$P$94,24,0)</f>
        <v>#N/A</v>
      </c>
      <c r="AA49" s="874">
        <v>20</v>
      </c>
      <c r="AB49" s="874"/>
      <c r="AC49" s="889" t="e">
        <f t="shared" si="6"/>
        <v>#N/A</v>
      </c>
      <c r="AD49" s="889" t="e">
        <f t="shared" si="9"/>
        <v>#N/A</v>
      </c>
      <c r="AE49" s="889" t="e">
        <f t="shared" si="3"/>
        <v>#N/A</v>
      </c>
      <c r="AF49" s="927" t="e">
        <f>VLOOKUP(C49,'LƯƠNG KT'!#REF!,27,0)</f>
        <v>#REF!</v>
      </c>
      <c r="AG49" s="891" t="e">
        <f t="shared" si="7"/>
        <v>#N/A</v>
      </c>
      <c r="AH49" s="540" t="s">
        <v>2751</v>
      </c>
      <c r="AI49" s="637"/>
    </row>
    <row r="50" spans="1:35" s="540" customFormat="1" ht="17.25" customHeight="1">
      <c r="A50" s="868">
        <v>37</v>
      </c>
      <c r="B50" s="1644" t="str">
        <f>VLOOKUP(C50,'DS CN MOI UP'!$B$10:$C$389,2,0)</f>
        <v>03393</v>
      </c>
      <c r="C50" s="875" t="s">
        <v>242</v>
      </c>
      <c r="D50" s="875" t="s">
        <v>15</v>
      </c>
      <c r="E50" s="872"/>
      <c r="F50" s="873">
        <f>+VLOOKUP($C$14:$C$84,THCKT!$C$317:$AE$395,17,0)</f>
        <v>24</v>
      </c>
      <c r="G50" s="874">
        <f t="shared" si="0"/>
        <v>600000</v>
      </c>
      <c r="H50" s="874"/>
      <c r="I50" s="874"/>
      <c r="J50" s="874"/>
      <c r="K50" s="874" t="e">
        <f>VLOOKUP(C50,THCKT!$C$13:$AL$460,21,0)</f>
        <v>#N/A</v>
      </c>
      <c r="L50" s="883">
        <f>VLOOKUP(C50,THCKT!$C$13:$AL$460,22,0)</f>
        <v>0</v>
      </c>
      <c r="M50" s="883">
        <f>VLOOKUP(C50,THCKT!$C$13:$AL$460,23,0)</f>
        <v>0</v>
      </c>
      <c r="N50" s="883" t="e">
        <f t="shared" si="8"/>
        <v>#N/A</v>
      </c>
      <c r="O50" s="883" t="e">
        <f t="shared" si="4"/>
        <v>#N/A</v>
      </c>
      <c r="P50" s="884" t="e">
        <f>VLOOKUP(C50,THCKT!$C$13:$AL$460,36,0)</f>
        <v>#N/A</v>
      </c>
      <c r="Q50" s="887" t="e">
        <f t="shared" si="5"/>
        <v>#N/A</v>
      </c>
      <c r="R50" s="874" t="e">
        <f>VLOOKUP(C50,'LƯƠNG KT'!$D$15:$P$94,16,0)</f>
        <v>#N/A</v>
      </c>
      <c r="S50" s="874" t="e">
        <f>VLOOKUP(C50,'LƯƠNG KT'!$D$15:$P$94,17,0)</f>
        <v>#N/A</v>
      </c>
      <c r="T50" s="874" t="e">
        <f>VLOOKUP(C50,'LƯƠNG KT'!$D$15:$P$94,18,0)</f>
        <v>#N/A</v>
      </c>
      <c r="U50" s="874" t="e">
        <f>VLOOKUP(C50,'LƯƠNG KT'!$D$15:$P$94,18,0)</f>
        <v>#N/A</v>
      </c>
      <c r="V50" s="874" t="e">
        <f>VLOOKUP(C50,'LƯƠNG KT'!$D$15:$P$94,19,0)</f>
        <v>#N/A</v>
      </c>
      <c r="W50" s="874" t="e">
        <f>VLOOKUP(C50,'LƯƠNG KT'!$D$15:$P$94,20,0)</f>
        <v>#N/A</v>
      </c>
      <c r="X50" s="874" t="e">
        <f>VLOOKUP(C50,'LƯƠNG KT'!$D$15:$P$94,22,0)</f>
        <v>#N/A</v>
      </c>
      <c r="Y50" s="874" t="e">
        <f>VLOOKUP(C50,'LƯƠNG KT'!$D$15:$P$94,23,0)</f>
        <v>#N/A</v>
      </c>
      <c r="Z50" s="874" t="e">
        <f>VLOOKUP(C50,'LƯƠNG KT'!$D$15:$P$94,24,0)</f>
        <v>#N/A</v>
      </c>
      <c r="AA50" s="874">
        <v>20</v>
      </c>
      <c r="AB50" s="874"/>
      <c r="AC50" s="889" t="e">
        <f t="shared" si="6"/>
        <v>#N/A</v>
      </c>
      <c r="AD50" s="889" t="e">
        <f t="shared" si="9"/>
        <v>#N/A</v>
      </c>
      <c r="AE50" s="889" t="e">
        <f t="shared" si="3"/>
        <v>#N/A</v>
      </c>
      <c r="AF50" s="927" t="e">
        <f>VLOOKUP(C50,'LƯƠNG KT'!#REF!,27,0)</f>
        <v>#REF!</v>
      </c>
      <c r="AG50" s="891" t="e">
        <f t="shared" si="7"/>
        <v>#N/A</v>
      </c>
      <c r="AH50" s="922" t="s">
        <v>2751</v>
      </c>
      <c r="AI50" s="637"/>
    </row>
    <row r="51" spans="1:35" s="540" customFormat="1" ht="17.25" customHeight="1">
      <c r="A51" s="868">
        <v>38</v>
      </c>
      <c r="B51" s="1644" t="str">
        <f>VLOOKUP(C51,'DS CN MOI UP'!$B$10:$C$389,2,0)</f>
        <v>03394</v>
      </c>
      <c r="C51" s="875" t="s">
        <v>243</v>
      </c>
      <c r="D51" s="875" t="s">
        <v>15</v>
      </c>
      <c r="E51" s="872"/>
      <c r="F51" s="873">
        <f>+VLOOKUP($C$14:$C$84,THCKT!$C$317:$AE$395,17,0)</f>
        <v>24</v>
      </c>
      <c r="G51" s="874">
        <f t="shared" si="0"/>
        <v>600000</v>
      </c>
      <c r="H51" s="874"/>
      <c r="I51" s="874"/>
      <c r="J51" s="874"/>
      <c r="K51" s="874" t="e">
        <f>VLOOKUP(C51,THCKT!$C$13:$AL$460,21,0)</f>
        <v>#N/A</v>
      </c>
      <c r="L51" s="883">
        <f>VLOOKUP(C51,THCKT!$C$13:$AL$460,22,0)</f>
        <v>0</v>
      </c>
      <c r="M51" s="883">
        <f>VLOOKUP(C51,THCKT!$C$13:$AL$460,23,0)</f>
        <v>0</v>
      </c>
      <c r="N51" s="883" t="e">
        <f t="shared" si="8"/>
        <v>#N/A</v>
      </c>
      <c r="O51" s="883" t="e">
        <f t="shared" si="4"/>
        <v>#N/A</v>
      </c>
      <c r="P51" s="884" t="e">
        <f>VLOOKUP(C51,THCKT!$C$13:$AL$460,36,0)</f>
        <v>#N/A</v>
      </c>
      <c r="Q51" s="887" t="e">
        <f t="shared" si="5"/>
        <v>#N/A</v>
      </c>
      <c r="R51" s="874" t="e">
        <f>VLOOKUP(C51,'LƯƠNG KT'!$D$15:$P$94,16,0)</f>
        <v>#N/A</v>
      </c>
      <c r="S51" s="874" t="e">
        <f>VLOOKUP(C51,'LƯƠNG KT'!$D$15:$P$94,17,0)</f>
        <v>#N/A</v>
      </c>
      <c r="T51" s="874" t="e">
        <f>VLOOKUP(C51,'LƯƠNG KT'!$D$15:$P$94,18,0)</f>
        <v>#N/A</v>
      </c>
      <c r="U51" s="874" t="e">
        <f>VLOOKUP(C51,'LƯƠNG KT'!$D$15:$P$94,18,0)</f>
        <v>#N/A</v>
      </c>
      <c r="V51" s="874" t="e">
        <f>VLOOKUP(C51,'LƯƠNG KT'!$D$15:$P$94,19,0)</f>
        <v>#N/A</v>
      </c>
      <c r="W51" s="874" t="e">
        <f>VLOOKUP(C51,'LƯƠNG KT'!$D$15:$P$94,20,0)</f>
        <v>#N/A</v>
      </c>
      <c r="X51" s="874" t="e">
        <f>VLOOKUP(C51,'LƯƠNG KT'!$D$15:$P$94,22,0)</f>
        <v>#N/A</v>
      </c>
      <c r="Y51" s="874" t="e">
        <f>VLOOKUP(C51,'LƯƠNG KT'!$D$15:$P$94,23,0)</f>
        <v>#N/A</v>
      </c>
      <c r="Z51" s="874" t="e">
        <f>VLOOKUP(C51,'LƯƠNG KT'!$D$15:$P$94,24,0)</f>
        <v>#N/A</v>
      </c>
      <c r="AA51" s="874">
        <v>20</v>
      </c>
      <c r="AB51" s="874"/>
      <c r="AC51" s="889" t="e">
        <f t="shared" si="6"/>
        <v>#N/A</v>
      </c>
      <c r="AD51" s="889" t="e">
        <f t="shared" si="9"/>
        <v>#N/A</v>
      </c>
      <c r="AE51" s="889" t="e">
        <f t="shared" si="3"/>
        <v>#N/A</v>
      </c>
      <c r="AF51" s="927" t="e">
        <f>VLOOKUP(C51,'LƯƠNG KT'!#REF!,27,0)</f>
        <v>#REF!</v>
      </c>
      <c r="AG51" s="891" t="e">
        <f t="shared" si="7"/>
        <v>#N/A</v>
      </c>
      <c r="AH51" s="540" t="s">
        <v>2751</v>
      </c>
      <c r="AI51" s="637"/>
    </row>
    <row r="52" spans="1:35" s="540" customFormat="1" ht="17.25" customHeight="1">
      <c r="A52" s="868">
        <v>39</v>
      </c>
      <c r="B52" s="1644" t="str">
        <f>VLOOKUP(C52,'DS CN MOI UP'!$B$10:$C$389,2,0)</f>
        <v>03395</v>
      </c>
      <c r="C52" s="875" t="s">
        <v>244</v>
      </c>
      <c r="D52" s="875" t="s">
        <v>15</v>
      </c>
      <c r="E52" s="872"/>
      <c r="F52" s="873">
        <f>+VLOOKUP($C$14:$C$84,THCKT!$C$317:$AE$395,17,0)</f>
        <v>24</v>
      </c>
      <c r="G52" s="874">
        <f t="shared" si="0"/>
        <v>600000</v>
      </c>
      <c r="H52" s="874"/>
      <c r="I52" s="874"/>
      <c r="J52" s="874"/>
      <c r="K52" s="874" t="e">
        <f>VLOOKUP(C52,THCKT!$C$13:$AL$460,21,0)</f>
        <v>#N/A</v>
      </c>
      <c r="L52" s="883">
        <f>VLOOKUP(C52,THCKT!$C$13:$AL$460,22,0)</f>
        <v>0</v>
      </c>
      <c r="M52" s="883">
        <f>VLOOKUP(C52,THCKT!$C$13:$AL$460,23,0)</f>
        <v>0</v>
      </c>
      <c r="N52" s="883" t="e">
        <f t="shared" si="8"/>
        <v>#N/A</v>
      </c>
      <c r="O52" s="883"/>
      <c r="P52" s="884" t="e">
        <f>VLOOKUP(C52,THCKT!$C$13:$AL$460,36,0)</f>
        <v>#N/A</v>
      </c>
      <c r="Q52" s="887" t="e">
        <f t="shared" si="5"/>
        <v>#N/A</v>
      </c>
      <c r="R52" s="874" t="e">
        <f>VLOOKUP(C52,'LƯƠNG KT'!$D$15:$P$94,16,0)</f>
        <v>#N/A</v>
      </c>
      <c r="S52" s="874" t="e">
        <f>VLOOKUP(C52,'LƯƠNG KT'!$D$15:$P$94,17,0)</f>
        <v>#N/A</v>
      </c>
      <c r="T52" s="874" t="e">
        <f>VLOOKUP(C52,'LƯƠNG KT'!$D$15:$P$94,18,0)</f>
        <v>#N/A</v>
      </c>
      <c r="U52" s="874" t="e">
        <f>VLOOKUP(C52,'LƯƠNG KT'!$D$15:$P$94,18,0)</f>
        <v>#N/A</v>
      </c>
      <c r="V52" s="874" t="e">
        <f>VLOOKUP(C52,'LƯƠNG KT'!$D$15:$P$94,19,0)</f>
        <v>#N/A</v>
      </c>
      <c r="W52" s="874" t="e">
        <f>VLOOKUP(C52,'LƯƠNG KT'!$D$15:$P$94,20,0)</f>
        <v>#N/A</v>
      </c>
      <c r="X52" s="874" t="e">
        <f>VLOOKUP(C52,'LƯƠNG KT'!$D$15:$P$94,22,0)</f>
        <v>#N/A</v>
      </c>
      <c r="Y52" s="874" t="e">
        <f>VLOOKUP(C52,'LƯƠNG KT'!$D$15:$P$94,23,0)</f>
        <v>#N/A</v>
      </c>
      <c r="Z52" s="874" t="e">
        <f>VLOOKUP(C52,'LƯƠNG KT'!$D$15:$P$94,24,0)</f>
        <v>#N/A</v>
      </c>
      <c r="AA52" s="874">
        <v>20</v>
      </c>
      <c r="AB52" s="874"/>
      <c r="AC52" s="889" t="e">
        <f t="shared" si="6"/>
        <v>#N/A</v>
      </c>
      <c r="AD52" s="889" t="e">
        <f t="shared" si="9"/>
        <v>#N/A</v>
      </c>
      <c r="AE52" s="889" t="e">
        <f t="shared" si="3"/>
        <v>#N/A</v>
      </c>
      <c r="AF52" s="927" t="e">
        <f>VLOOKUP(C52,'LƯƠNG KT'!#REF!,27,0)</f>
        <v>#REF!</v>
      </c>
      <c r="AG52" s="891" t="e">
        <f t="shared" si="7"/>
        <v>#N/A</v>
      </c>
      <c r="AH52" s="922" t="s">
        <v>2751</v>
      </c>
      <c r="AI52" s="637"/>
    </row>
    <row r="53" spans="1:35" s="540" customFormat="1" ht="17.25" customHeight="1">
      <c r="A53" s="868">
        <v>40</v>
      </c>
      <c r="B53" s="1644" t="str">
        <f>VLOOKUP(C53,'DS CN MOI UP'!$B$10:$C$389,2,0)</f>
        <v>03396</v>
      </c>
      <c r="C53" s="875" t="s">
        <v>245</v>
      </c>
      <c r="D53" s="875" t="s">
        <v>15</v>
      </c>
      <c r="E53" s="872"/>
      <c r="F53" s="873">
        <f>+VLOOKUP($C$14:$C$84,THCKT!$C$317:$AE$395,17,0)</f>
        <v>24</v>
      </c>
      <c r="G53" s="874">
        <f t="shared" si="0"/>
        <v>600000</v>
      </c>
      <c r="H53" s="874"/>
      <c r="I53" s="874"/>
      <c r="J53" s="874"/>
      <c r="K53" s="874" t="e">
        <f>VLOOKUP(C53,THCKT!$C$13:$AL$460,21,0)</f>
        <v>#N/A</v>
      </c>
      <c r="L53" s="883">
        <f>VLOOKUP(C53,THCKT!$C$13:$AL$460,22,0)</f>
        <v>0</v>
      </c>
      <c r="M53" s="883">
        <f>VLOOKUP(C53,THCKT!$C$13:$AL$460,23,0)</f>
        <v>0</v>
      </c>
      <c r="N53" s="883" t="e">
        <f t="shared" si="8"/>
        <v>#N/A</v>
      </c>
      <c r="O53" s="883" t="e">
        <f t="shared" si="4"/>
        <v>#N/A</v>
      </c>
      <c r="P53" s="884" t="e">
        <f>VLOOKUP(C53,THCKT!$C$13:$AL$460,36,0)</f>
        <v>#N/A</v>
      </c>
      <c r="Q53" s="887" t="e">
        <f t="shared" si="5"/>
        <v>#N/A</v>
      </c>
      <c r="R53" s="874" t="e">
        <f>VLOOKUP(C53,'LƯƠNG KT'!$D$15:$P$94,16,0)</f>
        <v>#N/A</v>
      </c>
      <c r="S53" s="874" t="e">
        <f>VLOOKUP(C53,'LƯƠNG KT'!$D$15:$P$94,17,0)</f>
        <v>#N/A</v>
      </c>
      <c r="T53" s="874" t="e">
        <f>VLOOKUP(C53,'LƯƠNG KT'!$D$15:$P$94,18,0)</f>
        <v>#N/A</v>
      </c>
      <c r="U53" s="874" t="e">
        <f>VLOOKUP(C53,'LƯƠNG KT'!$D$15:$P$94,18,0)</f>
        <v>#N/A</v>
      </c>
      <c r="V53" s="874" t="e">
        <f>VLOOKUP(C53,'LƯƠNG KT'!$D$15:$P$94,19,0)</f>
        <v>#N/A</v>
      </c>
      <c r="W53" s="874" t="e">
        <f>VLOOKUP(C53,'LƯƠNG KT'!$D$15:$P$94,20,0)</f>
        <v>#N/A</v>
      </c>
      <c r="X53" s="874" t="e">
        <f>VLOOKUP(C53,'LƯƠNG KT'!$D$15:$P$94,22,0)</f>
        <v>#N/A</v>
      </c>
      <c r="Y53" s="874" t="e">
        <f>VLOOKUP(C53,'LƯƠNG KT'!$D$15:$P$94,23,0)</f>
        <v>#N/A</v>
      </c>
      <c r="Z53" s="874" t="e">
        <f>VLOOKUP(C53,'LƯƠNG KT'!$D$15:$P$94,24,0)</f>
        <v>#N/A</v>
      </c>
      <c r="AA53" s="874">
        <v>20</v>
      </c>
      <c r="AB53" s="874"/>
      <c r="AC53" s="889" t="e">
        <f t="shared" si="6"/>
        <v>#N/A</v>
      </c>
      <c r="AD53" s="889" t="e">
        <f t="shared" si="9"/>
        <v>#N/A</v>
      </c>
      <c r="AE53" s="889" t="e">
        <f t="shared" si="3"/>
        <v>#N/A</v>
      </c>
      <c r="AF53" s="927" t="e">
        <f>VLOOKUP(C53,'LƯƠNG KT'!#REF!,27,0)</f>
        <v>#REF!</v>
      </c>
      <c r="AG53" s="891" t="e">
        <f t="shared" si="7"/>
        <v>#N/A</v>
      </c>
      <c r="AH53" s="540" t="s">
        <v>2751</v>
      </c>
      <c r="AI53" s="637"/>
    </row>
    <row r="54" spans="1:35" s="540" customFormat="1" ht="17.25" customHeight="1">
      <c r="A54" s="868">
        <v>41</v>
      </c>
      <c r="B54" s="1644" t="str">
        <f>VLOOKUP(C54,'DS CN MOI UP'!$B$10:$C$389,2,0)</f>
        <v>02593</v>
      </c>
      <c r="C54" s="875" t="s">
        <v>246</v>
      </c>
      <c r="D54" s="875" t="s">
        <v>15</v>
      </c>
      <c r="E54" s="872"/>
      <c r="F54" s="873">
        <f>+VLOOKUP($C$14:$C$84,THCKT!$C$317:$AE$395,17,0)</f>
        <v>24</v>
      </c>
      <c r="G54" s="874">
        <f t="shared" si="0"/>
        <v>600000</v>
      </c>
      <c r="H54" s="874"/>
      <c r="I54" s="874"/>
      <c r="J54" s="874"/>
      <c r="K54" s="874" t="e">
        <f>VLOOKUP(C54,THCKT!$C$13:$AL$460,21,0)</f>
        <v>#N/A</v>
      </c>
      <c r="L54" s="883">
        <f>VLOOKUP(C54,THCKT!$C$13:$AL$460,22,0)</f>
        <v>0</v>
      </c>
      <c r="M54" s="883">
        <f>VLOOKUP(C54,THCKT!$C$13:$AL$460,23,0)</f>
        <v>0</v>
      </c>
      <c r="N54" s="883" t="e">
        <f t="shared" si="8"/>
        <v>#N/A</v>
      </c>
      <c r="O54" s="883"/>
      <c r="P54" s="884" t="e">
        <f>VLOOKUP(C54,THCKT!$C$13:$AL$460,36,0)</f>
        <v>#N/A</v>
      </c>
      <c r="Q54" s="887" t="e">
        <f t="shared" si="5"/>
        <v>#N/A</v>
      </c>
      <c r="R54" s="874" t="e">
        <f>VLOOKUP(C54,'LƯƠNG KT'!$D$15:$P$94,16,0)</f>
        <v>#N/A</v>
      </c>
      <c r="S54" s="874" t="e">
        <f>VLOOKUP(C54,'LƯƠNG KT'!$D$15:$P$94,17,0)</f>
        <v>#N/A</v>
      </c>
      <c r="T54" s="874" t="e">
        <f>VLOOKUP(C54,'LƯƠNG KT'!$D$15:$P$94,18,0)</f>
        <v>#N/A</v>
      </c>
      <c r="U54" s="874" t="e">
        <f>VLOOKUP(C54,'LƯƠNG KT'!$D$15:$P$94,18,0)</f>
        <v>#N/A</v>
      </c>
      <c r="V54" s="874" t="e">
        <f>VLOOKUP(C54,'LƯƠNG KT'!$D$15:$P$94,19,0)</f>
        <v>#N/A</v>
      </c>
      <c r="W54" s="874" t="e">
        <f>VLOOKUP(C54,'LƯƠNG KT'!$D$15:$P$94,20,0)</f>
        <v>#N/A</v>
      </c>
      <c r="X54" s="874" t="e">
        <f>VLOOKUP(C54,'LƯƠNG KT'!$D$15:$P$94,22,0)</f>
        <v>#N/A</v>
      </c>
      <c r="Y54" s="874" t="e">
        <f>VLOOKUP(C54,'LƯƠNG KT'!$D$15:$P$94,23,0)</f>
        <v>#N/A</v>
      </c>
      <c r="Z54" s="874" t="e">
        <f>VLOOKUP(C54,'LƯƠNG KT'!$D$15:$P$94,24,0)</f>
        <v>#N/A</v>
      </c>
      <c r="AA54" s="874">
        <v>20</v>
      </c>
      <c r="AB54" s="874"/>
      <c r="AC54" s="889" t="e">
        <f t="shared" si="6"/>
        <v>#N/A</v>
      </c>
      <c r="AD54" s="889" t="e">
        <f t="shared" si="9"/>
        <v>#N/A</v>
      </c>
      <c r="AE54" s="889" t="e">
        <f t="shared" si="3"/>
        <v>#N/A</v>
      </c>
      <c r="AF54" s="927" t="e">
        <f>VLOOKUP(C54,'LƯƠNG KT'!#REF!,27,0)</f>
        <v>#REF!</v>
      </c>
      <c r="AG54" s="891" t="e">
        <f t="shared" si="7"/>
        <v>#N/A</v>
      </c>
      <c r="AH54" s="922" t="s">
        <v>2751</v>
      </c>
      <c r="AI54" s="637"/>
    </row>
    <row r="55" spans="1:35" s="540" customFormat="1" ht="17.25" customHeight="1">
      <c r="A55" s="868">
        <v>42</v>
      </c>
      <c r="B55" s="1644" t="str">
        <f>VLOOKUP(C55,'DS CN MOI UP'!$B$10:$C$389,2,0)</f>
        <v>02696</v>
      </c>
      <c r="C55" s="875" t="s">
        <v>247</v>
      </c>
      <c r="D55" s="875" t="s">
        <v>15</v>
      </c>
      <c r="E55" s="872"/>
      <c r="F55" s="873">
        <f>+VLOOKUP($C$14:$C$84,THCKT!$C$317:$AE$395,17,0)</f>
        <v>24</v>
      </c>
      <c r="G55" s="874">
        <f t="shared" si="0"/>
        <v>600000</v>
      </c>
      <c r="H55" s="874"/>
      <c r="I55" s="874"/>
      <c r="J55" s="874"/>
      <c r="K55" s="874" t="e">
        <f>VLOOKUP(C55,THCKT!$C$13:$AL$460,21,0)</f>
        <v>#N/A</v>
      </c>
      <c r="L55" s="883">
        <f>VLOOKUP(C55,THCKT!$C$13:$AL$460,22,0)</f>
        <v>0</v>
      </c>
      <c r="M55" s="883">
        <f>VLOOKUP(C55,THCKT!$C$13:$AL$460,23,0)</f>
        <v>0</v>
      </c>
      <c r="N55" s="883" t="e">
        <f t="shared" si="8"/>
        <v>#N/A</v>
      </c>
      <c r="O55" s="883"/>
      <c r="P55" s="884" t="e">
        <f>VLOOKUP(C55,THCKT!$C$13:$AL$460,36,0)</f>
        <v>#N/A</v>
      </c>
      <c r="Q55" s="887" t="e">
        <f t="shared" si="5"/>
        <v>#N/A</v>
      </c>
      <c r="R55" s="874" t="e">
        <f>VLOOKUP(C55,'LƯƠNG KT'!$D$15:$P$94,16,0)</f>
        <v>#N/A</v>
      </c>
      <c r="S55" s="874" t="e">
        <f>VLOOKUP(C55,'LƯƠNG KT'!$D$15:$P$94,17,0)</f>
        <v>#N/A</v>
      </c>
      <c r="T55" s="874" t="e">
        <f>VLOOKUP(C55,'LƯƠNG KT'!$D$15:$P$94,18,0)</f>
        <v>#N/A</v>
      </c>
      <c r="U55" s="874" t="e">
        <f>VLOOKUP(C55,'LƯƠNG KT'!$D$15:$P$94,18,0)</f>
        <v>#N/A</v>
      </c>
      <c r="V55" s="874" t="e">
        <f>VLOOKUP(C55,'LƯƠNG KT'!$D$15:$P$94,19,0)</f>
        <v>#N/A</v>
      </c>
      <c r="W55" s="874" t="e">
        <f>VLOOKUP(C55,'LƯƠNG KT'!$D$15:$P$94,20,0)</f>
        <v>#N/A</v>
      </c>
      <c r="X55" s="874" t="e">
        <f>VLOOKUP(C55,'LƯƠNG KT'!$D$15:$P$94,22,0)</f>
        <v>#N/A</v>
      </c>
      <c r="Y55" s="874" t="e">
        <f>VLOOKUP(C55,'LƯƠNG KT'!$D$15:$P$94,23,0)</f>
        <v>#N/A</v>
      </c>
      <c r="Z55" s="874" t="e">
        <f>VLOOKUP(C55,'LƯƠNG KT'!$D$15:$P$94,24,0)</f>
        <v>#N/A</v>
      </c>
      <c r="AA55" s="874">
        <v>20</v>
      </c>
      <c r="AB55" s="874"/>
      <c r="AC55" s="889" t="e">
        <f t="shared" si="6"/>
        <v>#N/A</v>
      </c>
      <c r="AD55" s="889" t="e">
        <f t="shared" si="9"/>
        <v>#N/A</v>
      </c>
      <c r="AE55" s="889" t="e">
        <f t="shared" si="3"/>
        <v>#N/A</v>
      </c>
      <c r="AF55" s="927" t="e">
        <f>VLOOKUP(C55,'LƯƠNG KT'!#REF!,27,0)</f>
        <v>#REF!</v>
      </c>
      <c r="AG55" s="891" t="e">
        <f t="shared" si="7"/>
        <v>#N/A</v>
      </c>
      <c r="AH55" s="540" t="s">
        <v>2751</v>
      </c>
      <c r="AI55" s="928"/>
    </row>
    <row r="56" spans="1:35" s="540" customFormat="1" ht="17.25" customHeight="1">
      <c r="A56" s="868">
        <v>43</v>
      </c>
      <c r="B56" s="1644" t="str">
        <f>VLOOKUP(C56,'DS CN MOI UP'!$B$10:$C$389,2,0)</f>
        <v>03397</v>
      </c>
      <c r="C56" s="875" t="s">
        <v>248</v>
      </c>
      <c r="D56" s="875" t="s">
        <v>15</v>
      </c>
      <c r="E56" s="872"/>
      <c r="F56" s="873">
        <f>+VLOOKUP($C$14:$C$84,THCKT!$C$317:$AE$395,17,0)</f>
        <v>24</v>
      </c>
      <c r="G56" s="874">
        <f t="shared" si="0"/>
        <v>600000</v>
      </c>
      <c r="H56" s="874"/>
      <c r="I56" s="874"/>
      <c r="J56" s="874"/>
      <c r="K56" s="874" t="e">
        <f>VLOOKUP(C56,THCKT!$C$13:$AL$460,21,0)</f>
        <v>#N/A</v>
      </c>
      <c r="L56" s="883">
        <f>VLOOKUP(C56,THCKT!$C$13:$AL$460,22,0)</f>
        <v>0</v>
      </c>
      <c r="M56" s="883">
        <f>VLOOKUP(C56,THCKT!$C$13:$AL$460,23,0)</f>
        <v>0</v>
      </c>
      <c r="N56" s="883" t="e">
        <f t="shared" si="8"/>
        <v>#N/A</v>
      </c>
      <c r="O56" s="883" t="e">
        <f t="shared" si="4"/>
        <v>#N/A</v>
      </c>
      <c r="P56" s="884" t="e">
        <f>VLOOKUP(C56,THCKT!$C$13:$AL$460,36,0)</f>
        <v>#N/A</v>
      </c>
      <c r="Q56" s="887" t="e">
        <f t="shared" si="5"/>
        <v>#N/A</v>
      </c>
      <c r="R56" s="874" t="e">
        <f>VLOOKUP(C56,'LƯƠNG KT'!$D$15:$P$94,16,0)</f>
        <v>#N/A</v>
      </c>
      <c r="S56" s="874" t="e">
        <f>VLOOKUP(C56,'LƯƠNG KT'!$D$15:$P$94,17,0)</f>
        <v>#N/A</v>
      </c>
      <c r="T56" s="874" t="e">
        <f>VLOOKUP(C56,'LƯƠNG KT'!$D$15:$P$94,18,0)</f>
        <v>#N/A</v>
      </c>
      <c r="U56" s="874" t="e">
        <f>VLOOKUP(C56,'LƯƠNG KT'!$D$15:$P$94,18,0)</f>
        <v>#N/A</v>
      </c>
      <c r="V56" s="874" t="e">
        <f>VLOOKUP(C56,'LƯƠNG KT'!$D$15:$P$94,19,0)</f>
        <v>#N/A</v>
      </c>
      <c r="W56" s="874" t="e">
        <f>VLOOKUP(C56,'LƯƠNG KT'!$D$15:$P$94,20,0)</f>
        <v>#N/A</v>
      </c>
      <c r="X56" s="874" t="e">
        <f>VLOOKUP(C56,'LƯƠNG KT'!$D$15:$P$94,22,0)</f>
        <v>#N/A</v>
      </c>
      <c r="Y56" s="874" t="e">
        <f>VLOOKUP(C56,'LƯƠNG KT'!$D$15:$P$94,23,0)</f>
        <v>#N/A</v>
      </c>
      <c r="Z56" s="874" t="e">
        <f>VLOOKUP(C56,'LƯƠNG KT'!$D$15:$P$94,24,0)</f>
        <v>#N/A</v>
      </c>
      <c r="AA56" s="874">
        <v>20</v>
      </c>
      <c r="AB56" s="874"/>
      <c r="AC56" s="889" t="e">
        <f t="shared" si="6"/>
        <v>#N/A</v>
      </c>
      <c r="AD56" s="889" t="e">
        <f t="shared" si="9"/>
        <v>#N/A</v>
      </c>
      <c r="AE56" s="889" t="e">
        <f t="shared" si="3"/>
        <v>#N/A</v>
      </c>
      <c r="AF56" s="927" t="e">
        <f>VLOOKUP(C56,'LƯƠNG KT'!#REF!,27,0)</f>
        <v>#REF!</v>
      </c>
      <c r="AG56" s="891" t="e">
        <f t="shared" si="7"/>
        <v>#N/A</v>
      </c>
      <c r="AH56" s="922" t="s">
        <v>2751</v>
      </c>
      <c r="AI56" s="928"/>
    </row>
    <row r="57" spans="1:35" s="540" customFormat="1" ht="17.25" customHeight="1">
      <c r="A57" s="868">
        <v>44</v>
      </c>
      <c r="B57" s="1644" t="str">
        <f>VLOOKUP(C57,'DS CN MOI UP'!$B$10:$C$389,2,0)</f>
        <v>03398</v>
      </c>
      <c r="C57" s="875" t="s">
        <v>249</v>
      </c>
      <c r="D57" s="875" t="s">
        <v>15</v>
      </c>
      <c r="E57" s="872"/>
      <c r="F57" s="873">
        <f>+VLOOKUP($C$14:$C$84,THCKT!$C$317:$AE$395,17,0)</f>
        <v>24</v>
      </c>
      <c r="G57" s="874">
        <f t="shared" si="0"/>
        <v>600000</v>
      </c>
      <c r="H57" s="874"/>
      <c r="I57" s="874"/>
      <c r="J57" s="874"/>
      <c r="K57" s="874" t="e">
        <f>VLOOKUP(C57,THCKT!$C$13:$AL$460,21,0)</f>
        <v>#N/A</v>
      </c>
      <c r="L57" s="883">
        <f>VLOOKUP(C57,THCKT!$C$13:$AL$460,22,0)</f>
        <v>0</v>
      </c>
      <c r="M57" s="883">
        <f>VLOOKUP(C57,THCKT!$C$13:$AL$460,23,0)</f>
        <v>0</v>
      </c>
      <c r="N57" s="883" t="e">
        <f t="shared" si="8"/>
        <v>#N/A</v>
      </c>
      <c r="O57" s="883" t="e">
        <f t="shared" si="4"/>
        <v>#N/A</v>
      </c>
      <c r="P57" s="884" t="e">
        <f>VLOOKUP(C57,THCKT!$C$13:$AL$460,36,0)</f>
        <v>#N/A</v>
      </c>
      <c r="Q57" s="887" t="e">
        <f t="shared" si="5"/>
        <v>#N/A</v>
      </c>
      <c r="R57" s="874" t="e">
        <f>VLOOKUP(C57,'LƯƠNG KT'!$D$15:$P$94,16,0)</f>
        <v>#N/A</v>
      </c>
      <c r="S57" s="874" t="e">
        <f>VLOOKUP(C57,'LƯƠNG KT'!$D$15:$P$94,17,0)</f>
        <v>#N/A</v>
      </c>
      <c r="T57" s="874" t="e">
        <f>VLOOKUP(C57,'LƯƠNG KT'!$D$15:$P$94,18,0)</f>
        <v>#N/A</v>
      </c>
      <c r="U57" s="874" t="e">
        <f>VLOOKUP(C57,'LƯƠNG KT'!$D$15:$P$94,18,0)</f>
        <v>#N/A</v>
      </c>
      <c r="V57" s="874" t="e">
        <f>VLOOKUP(C57,'LƯƠNG KT'!$D$15:$P$94,19,0)</f>
        <v>#N/A</v>
      </c>
      <c r="W57" s="874" t="e">
        <f>VLOOKUP(C57,'LƯƠNG KT'!$D$15:$P$94,20,0)</f>
        <v>#N/A</v>
      </c>
      <c r="X57" s="874" t="e">
        <f>VLOOKUP(C57,'LƯƠNG KT'!$D$15:$P$94,22,0)</f>
        <v>#N/A</v>
      </c>
      <c r="Y57" s="874" t="e">
        <f>VLOOKUP(C57,'LƯƠNG KT'!$D$15:$P$94,23,0)</f>
        <v>#N/A</v>
      </c>
      <c r="Z57" s="874" t="e">
        <f>VLOOKUP(C57,'LƯƠNG KT'!$D$15:$P$94,24,0)</f>
        <v>#N/A</v>
      </c>
      <c r="AA57" s="874">
        <v>20</v>
      </c>
      <c r="AB57" s="874"/>
      <c r="AC57" s="889" t="e">
        <f t="shared" si="6"/>
        <v>#N/A</v>
      </c>
      <c r="AD57" s="889" t="e">
        <f t="shared" si="9"/>
        <v>#N/A</v>
      </c>
      <c r="AE57" s="889" t="e">
        <f t="shared" si="3"/>
        <v>#N/A</v>
      </c>
      <c r="AF57" s="927" t="e">
        <f>VLOOKUP(C57,'LƯƠNG KT'!#REF!,27,0)</f>
        <v>#REF!</v>
      </c>
      <c r="AG57" s="891" t="e">
        <f t="shared" si="7"/>
        <v>#N/A</v>
      </c>
      <c r="AH57" s="540" t="s">
        <v>2751</v>
      </c>
      <c r="AI57" s="637"/>
    </row>
    <row r="58" spans="1:35" s="540" customFormat="1" ht="17.25" customHeight="1">
      <c r="A58" s="868">
        <v>45</v>
      </c>
      <c r="B58" s="1644" t="str">
        <f>VLOOKUP(C58,'DS CN MOI UP'!$B$10:$C$389,2,0)</f>
        <v>02592</v>
      </c>
      <c r="C58" s="875" t="s">
        <v>250</v>
      </c>
      <c r="D58" s="875" t="s">
        <v>15</v>
      </c>
      <c r="E58" s="872"/>
      <c r="F58" s="873">
        <f>+VLOOKUP($C$14:$C$84,THCKT!$C$317:$AE$395,17,0)</f>
        <v>24</v>
      </c>
      <c r="G58" s="874">
        <f t="shared" si="0"/>
        <v>600000</v>
      </c>
      <c r="H58" s="874"/>
      <c r="I58" s="874"/>
      <c r="J58" s="874"/>
      <c r="K58" s="874" t="e">
        <f>VLOOKUP(C58,THCKT!$C$13:$AL$460,21,0)</f>
        <v>#N/A</v>
      </c>
      <c r="L58" s="883">
        <f>VLOOKUP(C58,THCKT!$C$13:$AL$460,22,0)</f>
        <v>0</v>
      </c>
      <c r="M58" s="883">
        <f>VLOOKUP(C58,THCKT!$C$13:$AL$460,23,0)</f>
        <v>0</v>
      </c>
      <c r="N58" s="883" t="e">
        <f t="shared" si="8"/>
        <v>#N/A</v>
      </c>
      <c r="O58" s="883" t="e">
        <f t="shared" si="4"/>
        <v>#N/A</v>
      </c>
      <c r="P58" s="884" t="e">
        <f>VLOOKUP(C58,THCKT!$C$13:$AL$460,36,0)</f>
        <v>#N/A</v>
      </c>
      <c r="Q58" s="887" t="e">
        <f t="shared" si="5"/>
        <v>#N/A</v>
      </c>
      <c r="R58" s="874" t="e">
        <f>VLOOKUP(C58,'LƯƠNG KT'!$D$15:$P$94,16,0)</f>
        <v>#N/A</v>
      </c>
      <c r="S58" s="874" t="e">
        <f>VLOOKUP(C58,'LƯƠNG KT'!$D$15:$P$94,17,0)</f>
        <v>#N/A</v>
      </c>
      <c r="T58" s="874" t="e">
        <f>VLOOKUP(C58,'LƯƠNG KT'!$D$15:$P$94,18,0)</f>
        <v>#N/A</v>
      </c>
      <c r="U58" s="874" t="e">
        <f>VLOOKUP(C58,'LƯƠNG KT'!$D$15:$P$94,18,0)</f>
        <v>#N/A</v>
      </c>
      <c r="V58" s="874" t="e">
        <f>VLOOKUP(C58,'LƯƠNG KT'!$D$15:$P$94,19,0)</f>
        <v>#N/A</v>
      </c>
      <c r="W58" s="874" t="e">
        <f>VLOOKUP(C58,'LƯƠNG KT'!$D$15:$P$94,20,0)</f>
        <v>#N/A</v>
      </c>
      <c r="X58" s="874" t="e">
        <f>VLOOKUP(C58,'LƯƠNG KT'!$D$15:$P$94,22,0)</f>
        <v>#N/A</v>
      </c>
      <c r="Y58" s="874" t="e">
        <f>VLOOKUP(C58,'LƯƠNG KT'!$D$15:$P$94,23,0)</f>
        <v>#N/A</v>
      </c>
      <c r="Z58" s="874" t="e">
        <f>VLOOKUP(C58,'LƯƠNG KT'!$D$15:$P$94,24,0)</f>
        <v>#N/A</v>
      </c>
      <c r="AA58" s="874">
        <v>20</v>
      </c>
      <c r="AB58" s="874"/>
      <c r="AC58" s="889" t="e">
        <f t="shared" si="6"/>
        <v>#N/A</v>
      </c>
      <c r="AD58" s="889" t="e">
        <f t="shared" si="9"/>
        <v>#N/A</v>
      </c>
      <c r="AE58" s="889" t="e">
        <f t="shared" si="3"/>
        <v>#N/A</v>
      </c>
      <c r="AF58" s="927" t="e">
        <f>VLOOKUP(C58,'LƯƠNG KT'!#REF!,27,0)</f>
        <v>#REF!</v>
      </c>
      <c r="AG58" s="891" t="e">
        <f t="shared" si="7"/>
        <v>#N/A</v>
      </c>
      <c r="AH58" s="922" t="s">
        <v>2751</v>
      </c>
      <c r="AI58" s="637"/>
    </row>
    <row r="59" spans="1:35" s="540" customFormat="1" ht="17.25" customHeight="1">
      <c r="A59" s="868">
        <v>46</v>
      </c>
      <c r="B59" s="1644" t="str">
        <f>VLOOKUP(C59,'DS CN MOI UP'!$B$10:$C$389,2,0)</f>
        <v>02598</v>
      </c>
      <c r="C59" s="875" t="s">
        <v>251</v>
      </c>
      <c r="D59" s="875" t="s">
        <v>15</v>
      </c>
      <c r="E59" s="872"/>
      <c r="F59" s="873">
        <f>+VLOOKUP($C$14:$C$84,THCKT!$C$317:$AE$395,17,0)</f>
        <v>24</v>
      </c>
      <c r="G59" s="874">
        <f t="shared" si="0"/>
        <v>600000</v>
      </c>
      <c r="H59" s="874"/>
      <c r="I59" s="874"/>
      <c r="J59" s="874"/>
      <c r="K59" s="874" t="e">
        <f>VLOOKUP(C59,THCKT!$C$13:$AL$460,21,0)</f>
        <v>#N/A</v>
      </c>
      <c r="L59" s="883">
        <f>VLOOKUP(C59,THCKT!$C$13:$AL$460,22,0)</f>
        <v>0</v>
      </c>
      <c r="M59" s="883">
        <f>VLOOKUP(C59,THCKT!$C$13:$AL$460,23,0)</f>
        <v>0</v>
      </c>
      <c r="N59" s="883" t="e">
        <f t="shared" si="8"/>
        <v>#N/A</v>
      </c>
      <c r="O59" s="883" t="e">
        <f t="shared" si="4"/>
        <v>#N/A</v>
      </c>
      <c r="P59" s="884" t="e">
        <f>VLOOKUP(C59,THCKT!$C$13:$AL$460,36,0)</f>
        <v>#N/A</v>
      </c>
      <c r="Q59" s="887" t="e">
        <f t="shared" si="5"/>
        <v>#N/A</v>
      </c>
      <c r="R59" s="874" t="e">
        <f>VLOOKUP(C59,'LƯƠNG KT'!$D$15:$P$94,16,0)</f>
        <v>#N/A</v>
      </c>
      <c r="S59" s="874" t="e">
        <f>VLOOKUP(C59,'LƯƠNG KT'!$D$15:$P$94,17,0)</f>
        <v>#N/A</v>
      </c>
      <c r="T59" s="874" t="e">
        <f>VLOOKUP(C59,'LƯƠNG KT'!$D$15:$P$94,18,0)</f>
        <v>#N/A</v>
      </c>
      <c r="U59" s="874" t="e">
        <f>VLOOKUP(C59,'LƯƠNG KT'!$D$15:$P$94,18,0)</f>
        <v>#N/A</v>
      </c>
      <c r="V59" s="874" t="e">
        <f>VLOOKUP(C59,'LƯƠNG KT'!$D$15:$P$94,19,0)</f>
        <v>#N/A</v>
      </c>
      <c r="W59" s="874" t="e">
        <f>VLOOKUP(C59,'LƯƠNG KT'!$D$15:$P$94,20,0)</f>
        <v>#N/A</v>
      </c>
      <c r="X59" s="874" t="e">
        <f>VLOOKUP(C59,'LƯƠNG KT'!$D$15:$P$94,22,0)</f>
        <v>#N/A</v>
      </c>
      <c r="Y59" s="874" t="e">
        <f>VLOOKUP(C59,'LƯƠNG KT'!$D$15:$P$94,23,0)</f>
        <v>#N/A</v>
      </c>
      <c r="Z59" s="874" t="e">
        <f>VLOOKUP(C59,'LƯƠNG KT'!$D$15:$P$94,24,0)</f>
        <v>#N/A</v>
      </c>
      <c r="AA59" s="874">
        <v>20</v>
      </c>
      <c r="AB59" s="874"/>
      <c r="AC59" s="889" t="e">
        <f t="shared" si="6"/>
        <v>#N/A</v>
      </c>
      <c r="AD59" s="889" t="e">
        <f t="shared" si="9"/>
        <v>#N/A</v>
      </c>
      <c r="AE59" s="889" t="e">
        <f t="shared" si="3"/>
        <v>#N/A</v>
      </c>
      <c r="AF59" s="927" t="e">
        <f>VLOOKUP(C59,'LƯƠNG KT'!#REF!,27,0)</f>
        <v>#REF!</v>
      </c>
      <c r="AG59" s="891" t="e">
        <f t="shared" si="7"/>
        <v>#N/A</v>
      </c>
      <c r="AH59" s="540" t="s">
        <v>2751</v>
      </c>
      <c r="AI59" s="637"/>
    </row>
    <row r="60" spans="1:35" s="540" customFormat="1" ht="17.25" customHeight="1">
      <c r="A60" s="868">
        <v>47</v>
      </c>
      <c r="B60" s="1644" t="str">
        <f>VLOOKUP(C60,'DS CN MOI UP'!$B$10:$C$389,2,0)</f>
        <v>02575</v>
      </c>
      <c r="C60" s="875" t="s">
        <v>252</v>
      </c>
      <c r="D60" s="875" t="s">
        <v>15</v>
      </c>
      <c r="E60" s="872"/>
      <c r="F60" s="873">
        <f>+VLOOKUP($C$14:$C$84,THCKT!$C$317:$AE$395,17,0)</f>
        <v>24</v>
      </c>
      <c r="G60" s="874">
        <f t="shared" si="0"/>
        <v>600000</v>
      </c>
      <c r="H60" s="874"/>
      <c r="I60" s="874"/>
      <c r="J60" s="874"/>
      <c r="K60" s="874" t="e">
        <f>VLOOKUP(C60,THCKT!$C$13:$AL$460,21,0)</f>
        <v>#N/A</v>
      </c>
      <c r="L60" s="883">
        <f>VLOOKUP(C60,THCKT!$C$13:$AL$460,22,0)</f>
        <v>0</v>
      </c>
      <c r="M60" s="883">
        <f>VLOOKUP(C60,THCKT!$C$13:$AL$460,23,0)</f>
        <v>0</v>
      </c>
      <c r="N60" s="883" t="e">
        <f t="shared" si="8"/>
        <v>#N/A</v>
      </c>
      <c r="O60" s="883"/>
      <c r="P60" s="884" t="e">
        <f>VLOOKUP(C60,THCKT!$C$13:$AL$460,36,0)</f>
        <v>#N/A</v>
      </c>
      <c r="Q60" s="887" t="e">
        <f t="shared" si="5"/>
        <v>#N/A</v>
      </c>
      <c r="R60" s="874" t="e">
        <f>VLOOKUP(C60,'LƯƠNG KT'!$D$15:$P$94,16,0)</f>
        <v>#N/A</v>
      </c>
      <c r="S60" s="874" t="e">
        <f>VLOOKUP(C60,'LƯƠNG KT'!$D$15:$P$94,17,0)</f>
        <v>#N/A</v>
      </c>
      <c r="T60" s="874" t="e">
        <f>VLOOKUP(C60,'LƯƠNG KT'!$D$15:$P$94,18,0)</f>
        <v>#N/A</v>
      </c>
      <c r="U60" s="874" t="e">
        <f>VLOOKUP(C60,'LƯƠNG KT'!$D$15:$P$94,18,0)</f>
        <v>#N/A</v>
      </c>
      <c r="V60" s="874" t="e">
        <f>VLOOKUP(C60,'LƯƠNG KT'!$D$15:$P$94,19,0)</f>
        <v>#N/A</v>
      </c>
      <c r="W60" s="874" t="e">
        <f>VLOOKUP(C60,'LƯƠNG KT'!$D$15:$P$94,20,0)</f>
        <v>#N/A</v>
      </c>
      <c r="X60" s="874" t="e">
        <f>VLOOKUP(C60,'LƯƠNG KT'!$D$15:$P$94,22,0)</f>
        <v>#N/A</v>
      </c>
      <c r="Y60" s="874" t="e">
        <f>VLOOKUP(C60,'LƯƠNG KT'!$D$15:$P$94,23,0)</f>
        <v>#N/A</v>
      </c>
      <c r="Z60" s="874" t="e">
        <f>VLOOKUP(C60,'LƯƠNG KT'!$D$15:$P$94,24,0)</f>
        <v>#N/A</v>
      </c>
      <c r="AA60" s="874">
        <v>20</v>
      </c>
      <c r="AB60" s="874"/>
      <c r="AC60" s="889" t="e">
        <f t="shared" si="6"/>
        <v>#N/A</v>
      </c>
      <c r="AD60" s="889" t="e">
        <f t="shared" si="9"/>
        <v>#N/A</v>
      </c>
      <c r="AE60" s="889" t="e">
        <f t="shared" si="3"/>
        <v>#N/A</v>
      </c>
      <c r="AF60" s="927" t="e">
        <f>VLOOKUP(C60,'LƯƠNG KT'!#REF!,27,0)</f>
        <v>#REF!</v>
      </c>
      <c r="AG60" s="891" t="e">
        <f t="shared" si="7"/>
        <v>#N/A</v>
      </c>
      <c r="AH60" s="922" t="s">
        <v>2751</v>
      </c>
      <c r="AI60" s="637"/>
    </row>
    <row r="61" spans="1:35" s="540" customFormat="1" ht="14.25" customHeight="1">
      <c r="A61" s="868">
        <v>48</v>
      </c>
      <c r="B61" s="1644" t="str">
        <f>VLOOKUP(C61,'DS CN MOI UP'!$B$10:$C$389,2,0)</f>
        <v>02606</v>
      </c>
      <c r="C61" s="870" t="s">
        <v>253</v>
      </c>
      <c r="D61" s="875" t="s">
        <v>15</v>
      </c>
      <c r="E61" s="872"/>
      <c r="F61" s="873">
        <f>+VLOOKUP($C$14:$C$84,THCKT!$C$317:$AE$395,17,0)</f>
        <v>24</v>
      </c>
      <c r="G61" s="874">
        <f t="shared" si="0"/>
        <v>600000</v>
      </c>
      <c r="H61" s="874"/>
      <c r="I61" s="874"/>
      <c r="J61" s="874"/>
      <c r="K61" s="874" t="e">
        <f>VLOOKUP(C61,THCKT!$C$13:$AL$460,21,0)</f>
        <v>#N/A</v>
      </c>
      <c r="L61" s="883">
        <f>VLOOKUP(C61,THCKT!$C$13:$AL$460,22,0)</f>
        <v>0</v>
      </c>
      <c r="M61" s="883">
        <f>VLOOKUP(C61,THCKT!$C$13:$AL$460,23,0)</f>
        <v>0</v>
      </c>
      <c r="N61" s="883" t="e">
        <f t="shared" si="8"/>
        <v>#N/A</v>
      </c>
      <c r="O61" s="883"/>
      <c r="P61" s="884" t="e">
        <f>VLOOKUP(C61,THCKT!$C$13:$AL$460,36,0)</f>
        <v>#N/A</v>
      </c>
      <c r="Q61" s="887" t="e">
        <f t="shared" si="5"/>
        <v>#N/A</v>
      </c>
      <c r="R61" s="874" t="e">
        <f>VLOOKUP(C61,'LƯƠNG KT'!$D$15:$P$94,16,0)</f>
        <v>#N/A</v>
      </c>
      <c r="S61" s="874" t="e">
        <f>VLOOKUP(C61,'LƯƠNG KT'!$D$15:$P$94,17,0)</f>
        <v>#N/A</v>
      </c>
      <c r="T61" s="874" t="e">
        <f>VLOOKUP(C61,'LƯƠNG KT'!$D$15:$P$94,18,0)</f>
        <v>#N/A</v>
      </c>
      <c r="U61" s="874" t="e">
        <f>VLOOKUP(C61,'LƯƠNG KT'!$D$15:$P$94,18,0)</f>
        <v>#N/A</v>
      </c>
      <c r="V61" s="874" t="e">
        <f>VLOOKUP(C61,'LƯƠNG KT'!$D$15:$P$94,19,0)</f>
        <v>#N/A</v>
      </c>
      <c r="W61" s="874" t="e">
        <f>VLOOKUP(C61,'LƯƠNG KT'!$D$15:$P$94,20,0)</f>
        <v>#N/A</v>
      </c>
      <c r="X61" s="874" t="e">
        <f>VLOOKUP(C61,'LƯƠNG KT'!$D$15:$P$94,22,0)</f>
        <v>#N/A</v>
      </c>
      <c r="Y61" s="874" t="e">
        <f>VLOOKUP(C61,'LƯƠNG KT'!$D$15:$P$94,23,0)</f>
        <v>#N/A</v>
      </c>
      <c r="Z61" s="874" t="e">
        <f>VLOOKUP(C61,'LƯƠNG KT'!$D$15:$P$94,24,0)</f>
        <v>#N/A</v>
      </c>
      <c r="AA61" s="874">
        <v>20</v>
      </c>
      <c r="AB61" s="874"/>
      <c r="AC61" s="889" t="e">
        <f t="shared" si="6"/>
        <v>#N/A</v>
      </c>
      <c r="AD61" s="889" t="e">
        <f t="shared" si="9"/>
        <v>#N/A</v>
      </c>
      <c r="AE61" s="889" t="e">
        <f t="shared" si="3"/>
        <v>#N/A</v>
      </c>
      <c r="AF61" s="927" t="e">
        <f>VLOOKUP(C61,'LƯƠNG KT'!#REF!,27,0)</f>
        <v>#REF!</v>
      </c>
      <c r="AG61" s="891" t="e">
        <f t="shared" si="7"/>
        <v>#N/A</v>
      </c>
      <c r="AH61" s="540" t="s">
        <v>2751</v>
      </c>
    </row>
    <row r="62" spans="1:35" s="540" customFormat="1">
      <c r="A62" s="868">
        <v>49</v>
      </c>
      <c r="B62" s="1644" t="str">
        <f>VLOOKUP(C62,'DS CN MOI UP'!$B$10:$C$389,2,0)</f>
        <v>02607</v>
      </c>
      <c r="C62" s="875" t="s">
        <v>254</v>
      </c>
      <c r="D62" s="875" t="s">
        <v>15</v>
      </c>
      <c r="E62" s="872"/>
      <c r="F62" s="873">
        <f>+VLOOKUP($C$14:$C$84,THCKT!$C$317:$AE$395,17,0)</f>
        <v>24</v>
      </c>
      <c r="G62" s="874">
        <f t="shared" si="0"/>
        <v>600000</v>
      </c>
      <c r="H62" s="874"/>
      <c r="I62" s="874"/>
      <c r="J62" s="874"/>
      <c r="K62" s="874" t="e">
        <f>VLOOKUP(C62,THCKT!$C$13:$AL$460,21,0)</f>
        <v>#N/A</v>
      </c>
      <c r="L62" s="883">
        <f>VLOOKUP(C62,THCKT!$C$13:$AL$460,22,0)</f>
        <v>0</v>
      </c>
      <c r="M62" s="883">
        <f>VLOOKUP(C62,THCKT!$C$13:$AL$460,23,0)</f>
        <v>0</v>
      </c>
      <c r="N62" s="883" t="e">
        <f t="shared" si="8"/>
        <v>#N/A</v>
      </c>
      <c r="O62" s="883"/>
      <c r="P62" s="884" t="e">
        <f>VLOOKUP(C62,THCKT!$C$13:$AL$460,36,0)</f>
        <v>#N/A</v>
      </c>
      <c r="Q62" s="887" t="e">
        <f t="shared" si="5"/>
        <v>#N/A</v>
      </c>
      <c r="R62" s="874" t="e">
        <f>VLOOKUP(C62,'LƯƠNG KT'!$D$15:$P$94,16,0)</f>
        <v>#N/A</v>
      </c>
      <c r="S62" s="874" t="e">
        <f>VLOOKUP(C62,'LƯƠNG KT'!$D$15:$P$94,17,0)</f>
        <v>#N/A</v>
      </c>
      <c r="T62" s="874" t="e">
        <f>VLOOKUP(C62,'LƯƠNG KT'!$D$15:$P$94,18,0)</f>
        <v>#N/A</v>
      </c>
      <c r="U62" s="874" t="e">
        <f>VLOOKUP(C62,'LƯƠNG KT'!$D$15:$P$94,18,0)</f>
        <v>#N/A</v>
      </c>
      <c r="V62" s="874" t="e">
        <f>VLOOKUP(C62,'LƯƠNG KT'!$D$15:$P$94,19,0)</f>
        <v>#N/A</v>
      </c>
      <c r="W62" s="874" t="e">
        <f>VLOOKUP(C62,'LƯƠNG KT'!$D$15:$P$94,20,0)</f>
        <v>#N/A</v>
      </c>
      <c r="X62" s="874" t="e">
        <f>VLOOKUP(C62,'LƯƠNG KT'!$D$15:$P$94,22,0)</f>
        <v>#N/A</v>
      </c>
      <c r="Y62" s="874" t="e">
        <f>VLOOKUP(C62,'LƯƠNG KT'!$D$15:$P$94,23,0)</f>
        <v>#N/A</v>
      </c>
      <c r="Z62" s="874" t="e">
        <f>VLOOKUP(C62,'LƯƠNG KT'!$D$15:$P$94,24,0)</f>
        <v>#N/A</v>
      </c>
      <c r="AA62" s="874">
        <v>20</v>
      </c>
      <c r="AB62" s="874"/>
      <c r="AC62" s="889" t="e">
        <f t="shared" si="6"/>
        <v>#N/A</v>
      </c>
      <c r="AD62" s="889" t="e">
        <f t="shared" si="9"/>
        <v>#N/A</v>
      </c>
      <c r="AE62" s="889" t="e">
        <f t="shared" si="3"/>
        <v>#N/A</v>
      </c>
      <c r="AF62" s="927" t="e">
        <f>VLOOKUP(C62,'LƯƠNG KT'!#REF!,27,0)</f>
        <v>#REF!</v>
      </c>
      <c r="AG62" s="891" t="e">
        <f t="shared" si="7"/>
        <v>#N/A</v>
      </c>
      <c r="AH62" s="922" t="s">
        <v>2751</v>
      </c>
      <c r="AI62" s="637"/>
    </row>
    <row r="63" spans="1:35" s="540" customFormat="1" ht="17.25" customHeight="1">
      <c r="A63" s="868">
        <v>50</v>
      </c>
      <c r="B63" s="1644" t="str">
        <f>VLOOKUP(C63,'DS CN MOI UP'!$B$10:$C$389,2,0)</f>
        <v>02612</v>
      </c>
      <c r="C63" s="875" t="s">
        <v>255</v>
      </c>
      <c r="D63" s="875" t="s">
        <v>15</v>
      </c>
      <c r="E63" s="872"/>
      <c r="F63" s="873">
        <f>+VLOOKUP($C$14:$C$84,THCKT!$C$317:$AE$395,17,0)</f>
        <v>24</v>
      </c>
      <c r="G63" s="874">
        <f t="shared" si="0"/>
        <v>600000</v>
      </c>
      <c r="H63" s="874"/>
      <c r="I63" s="874"/>
      <c r="J63" s="874"/>
      <c r="K63" s="874" t="e">
        <f>VLOOKUP(C63,THCKT!$C$13:$AL$460,21,0)</f>
        <v>#N/A</v>
      </c>
      <c r="L63" s="883">
        <f>VLOOKUP(C63,THCKT!$C$13:$AL$460,22,0)</f>
        <v>0</v>
      </c>
      <c r="M63" s="883">
        <f>VLOOKUP(C63,THCKT!$C$13:$AL$460,23,0)</f>
        <v>0</v>
      </c>
      <c r="N63" s="883" t="e">
        <f t="shared" si="8"/>
        <v>#N/A</v>
      </c>
      <c r="O63" s="883" t="e">
        <f t="shared" si="4"/>
        <v>#N/A</v>
      </c>
      <c r="P63" s="884" t="e">
        <f>VLOOKUP(C63,THCKT!$C$13:$AL$460,36,0)</f>
        <v>#N/A</v>
      </c>
      <c r="Q63" s="887" t="e">
        <f t="shared" si="5"/>
        <v>#N/A</v>
      </c>
      <c r="R63" s="874" t="e">
        <f>VLOOKUP(C63,'LƯƠNG KT'!$D$15:$P$94,16,0)</f>
        <v>#N/A</v>
      </c>
      <c r="S63" s="874" t="e">
        <f>VLOOKUP(C63,'LƯƠNG KT'!$D$15:$P$94,17,0)</f>
        <v>#N/A</v>
      </c>
      <c r="T63" s="874" t="e">
        <f>VLOOKUP(C63,'LƯƠNG KT'!$D$15:$P$94,18,0)</f>
        <v>#N/A</v>
      </c>
      <c r="U63" s="874" t="e">
        <f>VLOOKUP(C63,'LƯƠNG KT'!$D$15:$P$94,18,0)</f>
        <v>#N/A</v>
      </c>
      <c r="V63" s="874" t="e">
        <f>VLOOKUP(C63,'LƯƠNG KT'!$D$15:$P$94,19,0)</f>
        <v>#N/A</v>
      </c>
      <c r="W63" s="874" t="e">
        <f>VLOOKUP(C63,'LƯƠNG KT'!$D$15:$P$94,20,0)</f>
        <v>#N/A</v>
      </c>
      <c r="X63" s="874" t="e">
        <f>VLOOKUP(C63,'LƯƠNG KT'!$D$15:$P$94,22,0)</f>
        <v>#N/A</v>
      </c>
      <c r="Y63" s="874" t="e">
        <f>VLOOKUP(C63,'LƯƠNG KT'!$D$15:$P$94,23,0)</f>
        <v>#N/A</v>
      </c>
      <c r="Z63" s="874" t="e">
        <f>VLOOKUP(C63,'LƯƠNG KT'!$D$15:$P$94,24,0)</f>
        <v>#N/A</v>
      </c>
      <c r="AA63" s="874">
        <v>20</v>
      </c>
      <c r="AB63" s="874"/>
      <c r="AC63" s="889" t="e">
        <f t="shared" si="6"/>
        <v>#N/A</v>
      </c>
      <c r="AD63" s="889" t="e">
        <f t="shared" si="9"/>
        <v>#N/A</v>
      </c>
      <c r="AE63" s="889" t="e">
        <f t="shared" si="3"/>
        <v>#N/A</v>
      </c>
      <c r="AF63" s="927" t="e">
        <f>VLOOKUP(C63,'LƯƠNG KT'!#REF!,27,0)</f>
        <v>#REF!</v>
      </c>
      <c r="AG63" s="891" t="e">
        <f t="shared" si="7"/>
        <v>#N/A</v>
      </c>
      <c r="AH63" s="540" t="s">
        <v>2751</v>
      </c>
      <c r="AI63" s="637"/>
    </row>
    <row r="64" spans="1:35" s="540" customFormat="1" ht="16.149999999999999" customHeight="1">
      <c r="A64" s="868">
        <v>51</v>
      </c>
      <c r="B64" s="1644" t="str">
        <f>VLOOKUP(C64,'DS CN MOI UP'!$B$10:$C$389,2,0)</f>
        <v>02574</v>
      </c>
      <c r="C64" s="875" t="s">
        <v>256</v>
      </c>
      <c r="D64" s="875" t="s">
        <v>15</v>
      </c>
      <c r="E64" s="872"/>
      <c r="F64" s="873">
        <f>+VLOOKUP($C$14:$C$84,THCKT!$C$317:$AE$395,17,0)</f>
        <v>24</v>
      </c>
      <c r="G64" s="874">
        <f t="shared" si="0"/>
        <v>600000</v>
      </c>
      <c r="H64" s="874"/>
      <c r="I64" s="874"/>
      <c r="J64" s="874"/>
      <c r="K64" s="874" t="e">
        <f>VLOOKUP(C64,THCKT!$C$13:$AL$460,21,0)</f>
        <v>#N/A</v>
      </c>
      <c r="L64" s="883">
        <f>VLOOKUP(C64,THCKT!$C$13:$AL$460,22,0)</f>
        <v>0</v>
      </c>
      <c r="M64" s="883">
        <f>VLOOKUP(C64,THCKT!$C$13:$AL$460,23,0)</f>
        <v>0</v>
      </c>
      <c r="N64" s="883" t="e">
        <f t="shared" si="8"/>
        <v>#N/A</v>
      </c>
      <c r="O64" s="883" t="e">
        <f t="shared" si="4"/>
        <v>#N/A</v>
      </c>
      <c r="P64" s="884" t="e">
        <f>VLOOKUP(C64,THCKT!$C$13:$AL$460,36,0)</f>
        <v>#N/A</v>
      </c>
      <c r="Q64" s="887" t="e">
        <f t="shared" si="5"/>
        <v>#N/A</v>
      </c>
      <c r="R64" s="874" t="e">
        <f>VLOOKUP(C64,'LƯƠNG KT'!$D$15:$P$94,16,0)</f>
        <v>#N/A</v>
      </c>
      <c r="S64" s="874" t="e">
        <f>VLOOKUP(C64,'LƯƠNG KT'!$D$15:$P$94,17,0)</f>
        <v>#N/A</v>
      </c>
      <c r="T64" s="874" t="e">
        <f>VLOOKUP(C64,'LƯƠNG KT'!$D$15:$P$94,18,0)</f>
        <v>#N/A</v>
      </c>
      <c r="U64" s="874" t="e">
        <f>VLOOKUP(C64,'LƯƠNG KT'!$D$15:$P$94,18,0)</f>
        <v>#N/A</v>
      </c>
      <c r="V64" s="874" t="e">
        <f>VLOOKUP(C64,'LƯƠNG KT'!$D$15:$P$94,19,0)</f>
        <v>#N/A</v>
      </c>
      <c r="W64" s="874" t="e">
        <f>VLOOKUP(C64,'LƯƠNG KT'!$D$15:$P$94,20,0)</f>
        <v>#N/A</v>
      </c>
      <c r="X64" s="874" t="e">
        <f>VLOOKUP(C64,'LƯƠNG KT'!$D$15:$P$94,22,0)</f>
        <v>#N/A</v>
      </c>
      <c r="Y64" s="874" t="e">
        <f>VLOOKUP(C64,'LƯƠNG KT'!$D$15:$P$94,23,0)</f>
        <v>#N/A</v>
      </c>
      <c r="Z64" s="874" t="e">
        <f>VLOOKUP(C64,'LƯƠNG KT'!$D$15:$P$94,24,0)</f>
        <v>#N/A</v>
      </c>
      <c r="AA64" s="874">
        <v>20</v>
      </c>
      <c r="AB64" s="874"/>
      <c r="AC64" s="889" t="e">
        <f t="shared" si="6"/>
        <v>#N/A</v>
      </c>
      <c r="AD64" s="889" t="e">
        <f t="shared" si="9"/>
        <v>#N/A</v>
      </c>
      <c r="AE64" s="889" t="e">
        <f t="shared" si="3"/>
        <v>#N/A</v>
      </c>
      <c r="AF64" s="927" t="e">
        <f>VLOOKUP(C64,'LƯƠNG KT'!#REF!,27,0)</f>
        <v>#REF!</v>
      </c>
      <c r="AG64" s="891" t="e">
        <f t="shared" si="7"/>
        <v>#N/A</v>
      </c>
      <c r="AH64" s="922" t="s">
        <v>2751</v>
      </c>
      <c r="AI64" s="637"/>
    </row>
    <row r="65" spans="1:37" s="540" customFormat="1" ht="17.25" customHeight="1">
      <c r="A65" s="868">
        <v>52</v>
      </c>
      <c r="B65" s="1644" t="str">
        <f>VLOOKUP(C65,'DS CN MOI UP'!$B$10:$C$389,2,0)</f>
        <v>02577</v>
      </c>
      <c r="C65" s="875" t="s">
        <v>257</v>
      </c>
      <c r="D65" s="875" t="s">
        <v>15</v>
      </c>
      <c r="E65" s="872"/>
      <c r="F65" s="873">
        <f>+VLOOKUP($C$14:$C$84,THCKT!$C$317:$AE$395,17,0)</f>
        <v>24</v>
      </c>
      <c r="G65" s="874">
        <f t="shared" si="0"/>
        <v>600000</v>
      </c>
      <c r="H65" s="874"/>
      <c r="I65" s="874"/>
      <c r="J65" s="874"/>
      <c r="K65" s="874" t="e">
        <f>VLOOKUP(C65,THCKT!$C$13:$AL$460,21,0)</f>
        <v>#N/A</v>
      </c>
      <c r="L65" s="883">
        <f>VLOOKUP(C65,THCKT!$C$13:$AL$460,22,0)</f>
        <v>0</v>
      </c>
      <c r="M65" s="883">
        <f>VLOOKUP(C65,THCKT!$C$13:$AL$460,23,0)</f>
        <v>0</v>
      </c>
      <c r="N65" s="883" t="e">
        <f t="shared" si="8"/>
        <v>#N/A</v>
      </c>
      <c r="O65" s="883" t="e">
        <f t="shared" si="4"/>
        <v>#N/A</v>
      </c>
      <c r="P65" s="884" t="e">
        <f>VLOOKUP(C65,THCKT!$C$13:$AL$460,36,0)</f>
        <v>#N/A</v>
      </c>
      <c r="Q65" s="887" t="e">
        <f t="shared" si="5"/>
        <v>#N/A</v>
      </c>
      <c r="R65" s="874" t="e">
        <f>VLOOKUP(C65,'LƯƠNG KT'!$D$15:$P$94,16,0)</f>
        <v>#N/A</v>
      </c>
      <c r="S65" s="874" t="e">
        <f>VLOOKUP(C65,'LƯƠNG KT'!$D$15:$P$94,17,0)</f>
        <v>#N/A</v>
      </c>
      <c r="T65" s="874" t="e">
        <f>VLOOKUP(C65,'LƯƠNG KT'!$D$15:$P$94,18,0)</f>
        <v>#N/A</v>
      </c>
      <c r="U65" s="874" t="e">
        <f>VLOOKUP(C65,'LƯƠNG KT'!$D$15:$P$94,18,0)</f>
        <v>#N/A</v>
      </c>
      <c r="V65" s="874" t="e">
        <f>VLOOKUP(C65,'LƯƠNG KT'!$D$15:$P$94,19,0)</f>
        <v>#N/A</v>
      </c>
      <c r="W65" s="874" t="e">
        <f>VLOOKUP(C65,'LƯƠNG KT'!$D$15:$P$94,20,0)</f>
        <v>#N/A</v>
      </c>
      <c r="X65" s="874" t="e">
        <f>VLOOKUP(C65,'LƯƠNG KT'!$D$15:$P$94,22,0)</f>
        <v>#N/A</v>
      </c>
      <c r="Y65" s="874" t="e">
        <f>VLOOKUP(C65,'LƯƠNG KT'!$D$15:$P$94,23,0)</f>
        <v>#N/A</v>
      </c>
      <c r="Z65" s="874" t="e">
        <f>VLOOKUP(C65,'LƯƠNG KT'!$D$15:$P$94,24,0)</f>
        <v>#N/A</v>
      </c>
      <c r="AA65" s="874">
        <v>20</v>
      </c>
      <c r="AB65" s="874"/>
      <c r="AC65" s="889" t="e">
        <f t="shared" si="6"/>
        <v>#N/A</v>
      </c>
      <c r="AD65" s="889" t="e">
        <f t="shared" si="9"/>
        <v>#N/A</v>
      </c>
      <c r="AE65" s="889" t="e">
        <f t="shared" si="3"/>
        <v>#N/A</v>
      </c>
      <c r="AF65" s="927" t="e">
        <f>VLOOKUP(C65,'LƯƠNG KT'!#REF!,27,0)</f>
        <v>#REF!</v>
      </c>
      <c r="AG65" s="891" t="e">
        <f t="shared" si="7"/>
        <v>#N/A</v>
      </c>
      <c r="AH65" s="540" t="s">
        <v>2751</v>
      </c>
      <c r="AI65" s="573"/>
    </row>
    <row r="66" spans="1:37" s="540" customFormat="1" ht="17.25" customHeight="1">
      <c r="A66" s="868">
        <v>53</v>
      </c>
      <c r="B66" s="1644" t="str">
        <f>VLOOKUP(C66,'DS CN MOI UP'!$B$10:$C$389,2,0)</f>
        <v>02605</v>
      </c>
      <c r="C66" s="875" t="s">
        <v>258</v>
      </c>
      <c r="D66" s="875" t="s">
        <v>15</v>
      </c>
      <c r="E66" s="872"/>
      <c r="F66" s="873">
        <f>+VLOOKUP($C$14:$C$84,THCKT!$C$317:$AE$395,17,0)</f>
        <v>24</v>
      </c>
      <c r="G66" s="874">
        <f t="shared" si="0"/>
        <v>600000</v>
      </c>
      <c r="H66" s="874"/>
      <c r="I66" s="874"/>
      <c r="J66" s="874"/>
      <c r="K66" s="874" t="e">
        <f>VLOOKUP(C66,THCKT!$C$13:$AL$460,21,0)</f>
        <v>#N/A</v>
      </c>
      <c r="L66" s="883">
        <f>VLOOKUP(C66,THCKT!$C$13:$AL$460,22,0)</f>
        <v>0</v>
      </c>
      <c r="M66" s="883">
        <f>VLOOKUP(C66,THCKT!$C$13:$AL$460,23,0)</f>
        <v>0</v>
      </c>
      <c r="N66" s="883" t="e">
        <f t="shared" si="8"/>
        <v>#N/A</v>
      </c>
      <c r="O66" s="883" t="e">
        <f t="shared" si="4"/>
        <v>#N/A</v>
      </c>
      <c r="P66" s="884" t="e">
        <f>VLOOKUP(C66,THCKT!$C$13:$AL$460,36,0)</f>
        <v>#N/A</v>
      </c>
      <c r="Q66" s="887" t="e">
        <f t="shared" si="5"/>
        <v>#N/A</v>
      </c>
      <c r="R66" s="874" t="e">
        <f>VLOOKUP(C66,'LƯƠNG KT'!$D$15:$P$94,16,0)</f>
        <v>#N/A</v>
      </c>
      <c r="S66" s="874" t="e">
        <f>VLOOKUP(C66,'LƯƠNG KT'!$D$15:$P$94,17,0)</f>
        <v>#N/A</v>
      </c>
      <c r="T66" s="874" t="e">
        <f>VLOOKUP(C66,'LƯƠNG KT'!$D$15:$P$94,18,0)</f>
        <v>#N/A</v>
      </c>
      <c r="U66" s="874" t="e">
        <f>VLOOKUP(C66,'LƯƠNG KT'!$D$15:$P$94,18,0)</f>
        <v>#N/A</v>
      </c>
      <c r="V66" s="874" t="e">
        <f>VLOOKUP(C66,'LƯƠNG KT'!$D$15:$P$94,19,0)</f>
        <v>#N/A</v>
      </c>
      <c r="W66" s="874" t="e">
        <f>VLOOKUP(C66,'LƯƠNG KT'!$D$15:$P$94,20,0)</f>
        <v>#N/A</v>
      </c>
      <c r="X66" s="874" t="e">
        <f>VLOOKUP(C66,'LƯƠNG KT'!$D$15:$P$94,22,0)</f>
        <v>#N/A</v>
      </c>
      <c r="Y66" s="874" t="e">
        <f>VLOOKUP(C66,'LƯƠNG KT'!$D$15:$P$94,23,0)</f>
        <v>#N/A</v>
      </c>
      <c r="Z66" s="874" t="e">
        <f>VLOOKUP(C66,'LƯƠNG KT'!$D$15:$P$94,24,0)</f>
        <v>#N/A</v>
      </c>
      <c r="AA66" s="874">
        <v>20</v>
      </c>
      <c r="AB66" s="874"/>
      <c r="AC66" s="889" t="e">
        <f t="shared" si="6"/>
        <v>#N/A</v>
      </c>
      <c r="AD66" s="889" t="e">
        <f t="shared" si="9"/>
        <v>#N/A</v>
      </c>
      <c r="AE66" s="889" t="e">
        <f t="shared" si="3"/>
        <v>#N/A</v>
      </c>
      <c r="AF66" s="927" t="e">
        <f>VLOOKUP(C66,'LƯƠNG KT'!#REF!,27,0)</f>
        <v>#REF!</v>
      </c>
      <c r="AG66" s="891" t="e">
        <f t="shared" si="7"/>
        <v>#N/A</v>
      </c>
      <c r="AH66" s="922" t="s">
        <v>2751</v>
      </c>
      <c r="AI66" s="573"/>
      <c r="AK66" s="923"/>
    </row>
    <row r="67" spans="1:37" s="540" customFormat="1" ht="17.25" customHeight="1">
      <c r="A67" s="868">
        <v>54</v>
      </c>
      <c r="B67" s="1644" t="str">
        <f>VLOOKUP(C67,'DS CN MOI UP'!$B$10:$C$389,2,0)</f>
        <v>02588</v>
      </c>
      <c r="C67" s="875" t="s">
        <v>259</v>
      </c>
      <c r="D67" s="875" t="s">
        <v>15</v>
      </c>
      <c r="E67" s="872"/>
      <c r="F67" s="873">
        <f>+VLOOKUP($C$14:$C$84,THCKT!$C$317:$AE$395,17,0)</f>
        <v>24</v>
      </c>
      <c r="G67" s="874">
        <f t="shared" si="0"/>
        <v>600000</v>
      </c>
      <c r="H67" s="874"/>
      <c r="I67" s="874"/>
      <c r="J67" s="874"/>
      <c r="K67" s="874" t="e">
        <f>VLOOKUP(C67,THCKT!$C$13:$AL$460,21,0)</f>
        <v>#N/A</v>
      </c>
      <c r="L67" s="883">
        <f>VLOOKUP(C67,THCKT!$C$13:$AL$460,22,0)</f>
        <v>0</v>
      </c>
      <c r="M67" s="883">
        <f>VLOOKUP(C67,THCKT!$C$13:$AL$460,23,0)</f>
        <v>0</v>
      </c>
      <c r="N67" s="883" t="e">
        <f t="shared" si="8"/>
        <v>#N/A</v>
      </c>
      <c r="O67" s="883" t="e">
        <f t="shared" si="4"/>
        <v>#N/A</v>
      </c>
      <c r="P67" s="884" t="e">
        <f>VLOOKUP(C67,THCKT!$C$13:$AL$460,36,0)</f>
        <v>#N/A</v>
      </c>
      <c r="Q67" s="887" t="e">
        <f t="shared" si="5"/>
        <v>#N/A</v>
      </c>
      <c r="R67" s="874" t="e">
        <f>VLOOKUP(C67,'LƯƠNG KT'!$D$15:$P$94,16,0)</f>
        <v>#N/A</v>
      </c>
      <c r="S67" s="874" t="e">
        <f>VLOOKUP(C67,'LƯƠNG KT'!$D$15:$P$94,17,0)</f>
        <v>#N/A</v>
      </c>
      <c r="T67" s="874" t="e">
        <f>VLOOKUP(C67,'LƯƠNG KT'!$D$15:$P$94,18,0)</f>
        <v>#N/A</v>
      </c>
      <c r="U67" s="874" t="e">
        <f>VLOOKUP(C67,'LƯƠNG KT'!$D$15:$P$94,18,0)</f>
        <v>#N/A</v>
      </c>
      <c r="V67" s="874" t="e">
        <f>VLOOKUP(C67,'LƯƠNG KT'!$D$15:$P$94,19,0)</f>
        <v>#N/A</v>
      </c>
      <c r="W67" s="874" t="e">
        <f>VLOOKUP(C67,'LƯƠNG KT'!$D$15:$P$94,20,0)</f>
        <v>#N/A</v>
      </c>
      <c r="X67" s="874" t="e">
        <f>VLOOKUP(C67,'LƯƠNG KT'!$D$15:$P$94,22,0)</f>
        <v>#N/A</v>
      </c>
      <c r="Y67" s="874" t="e">
        <f>VLOOKUP(C67,'LƯƠNG KT'!$D$15:$P$94,23,0)</f>
        <v>#N/A</v>
      </c>
      <c r="Z67" s="874" t="e">
        <f>VLOOKUP(C67,'LƯƠNG KT'!$D$15:$P$94,24,0)</f>
        <v>#N/A</v>
      </c>
      <c r="AA67" s="874">
        <v>20</v>
      </c>
      <c r="AB67" s="874"/>
      <c r="AC67" s="889" t="e">
        <f t="shared" si="6"/>
        <v>#N/A</v>
      </c>
      <c r="AD67" s="889" t="e">
        <f t="shared" si="9"/>
        <v>#N/A</v>
      </c>
      <c r="AE67" s="889" t="e">
        <f t="shared" si="3"/>
        <v>#N/A</v>
      </c>
      <c r="AF67" s="927" t="e">
        <f>VLOOKUP(C67,'LƯƠNG KT'!#REF!,27,0)</f>
        <v>#REF!</v>
      </c>
      <c r="AG67" s="891" t="e">
        <f t="shared" si="7"/>
        <v>#N/A</v>
      </c>
      <c r="AH67" s="922" t="s">
        <v>2751</v>
      </c>
      <c r="AK67" s="923"/>
    </row>
    <row r="68" spans="1:37" s="540" customFormat="1" ht="17.25" customHeight="1">
      <c r="A68" s="868">
        <v>55</v>
      </c>
      <c r="B68" s="1644" t="str">
        <f>VLOOKUP(C68,'DS CN MOI UP'!$B$10:$C$389,2,0)</f>
        <v>03857</v>
      </c>
      <c r="C68" s="875" t="s">
        <v>260</v>
      </c>
      <c r="D68" s="875" t="s">
        <v>15</v>
      </c>
      <c r="E68" s="872"/>
      <c r="F68" s="873">
        <f>+VLOOKUP($C$14:$C$84,THCKT!$C$317:$AE$395,17,0)</f>
        <v>24</v>
      </c>
      <c r="G68" s="874">
        <f t="shared" si="0"/>
        <v>600000</v>
      </c>
      <c r="H68" s="874"/>
      <c r="I68" s="874"/>
      <c r="J68" s="874"/>
      <c r="K68" s="874" t="e">
        <f>VLOOKUP(C68,THCKT!$C$13:$AL$460,21,0)</f>
        <v>#N/A</v>
      </c>
      <c r="L68" s="883">
        <f>VLOOKUP(C68,THCKT!$C$13:$AL$460,22,0)</f>
        <v>0</v>
      </c>
      <c r="M68" s="883">
        <f>VLOOKUP(C68,THCKT!$C$13:$AL$460,23,0)</f>
        <v>0</v>
      </c>
      <c r="N68" s="883" t="e">
        <f t="shared" si="8"/>
        <v>#N/A</v>
      </c>
      <c r="O68" s="883"/>
      <c r="P68" s="884" t="e">
        <f>VLOOKUP(C68,THCKT!$C$13:$AL$460,36,0)</f>
        <v>#N/A</v>
      </c>
      <c r="Q68" s="887" t="e">
        <f t="shared" si="5"/>
        <v>#N/A</v>
      </c>
      <c r="R68" s="874" t="e">
        <f>VLOOKUP(C68,'LƯƠNG KT'!$D$15:$P$94,16,0)</f>
        <v>#N/A</v>
      </c>
      <c r="S68" s="874" t="e">
        <f>VLOOKUP(C68,'LƯƠNG KT'!$D$15:$P$94,17,0)</f>
        <v>#N/A</v>
      </c>
      <c r="T68" s="874" t="e">
        <f>VLOOKUP(C68,'LƯƠNG KT'!$D$15:$P$94,18,0)</f>
        <v>#N/A</v>
      </c>
      <c r="U68" s="874" t="e">
        <f>VLOOKUP(C68,'LƯƠNG KT'!$D$15:$P$94,18,0)</f>
        <v>#N/A</v>
      </c>
      <c r="V68" s="874" t="e">
        <f>VLOOKUP(C68,'LƯƠNG KT'!$D$15:$P$94,19,0)</f>
        <v>#N/A</v>
      </c>
      <c r="W68" s="874" t="e">
        <f>VLOOKUP(C68,'LƯƠNG KT'!$D$15:$P$94,20,0)</f>
        <v>#N/A</v>
      </c>
      <c r="X68" s="874" t="e">
        <f>VLOOKUP(C68,'LƯƠNG KT'!$D$15:$P$94,22,0)</f>
        <v>#N/A</v>
      </c>
      <c r="Y68" s="874" t="e">
        <f>VLOOKUP(C68,'LƯƠNG KT'!$D$15:$P$94,23,0)</f>
        <v>#N/A</v>
      </c>
      <c r="Z68" s="874" t="e">
        <f>VLOOKUP(C68,'LƯƠNG KT'!$D$15:$P$94,24,0)</f>
        <v>#N/A</v>
      </c>
      <c r="AA68" s="874">
        <v>20</v>
      </c>
      <c r="AB68" s="874"/>
      <c r="AC68" s="889" t="e">
        <f t="shared" si="6"/>
        <v>#N/A</v>
      </c>
      <c r="AD68" s="889" t="e">
        <f t="shared" si="9"/>
        <v>#N/A</v>
      </c>
      <c r="AE68" s="889" t="e">
        <f t="shared" ref="AE68:AE82" si="10">AD68</f>
        <v>#N/A</v>
      </c>
      <c r="AF68" s="927" t="e">
        <f>VLOOKUP(C68,'LƯƠNG KT'!#REF!,27,0)</f>
        <v>#REF!</v>
      </c>
      <c r="AG68" s="891" t="e">
        <f t="shared" si="7"/>
        <v>#N/A</v>
      </c>
      <c r="AH68" s="922" t="s">
        <v>2751</v>
      </c>
      <c r="AK68" s="923"/>
    </row>
    <row r="69" spans="1:37" s="540" customFormat="1" ht="17.25" customHeight="1">
      <c r="A69" s="868">
        <v>56</v>
      </c>
      <c r="B69" s="1644" t="str">
        <f>VLOOKUP(C69,'DS CN MOI UP'!$B$10:$C$389,2,0)</f>
        <v>02597</v>
      </c>
      <c r="C69" s="875" t="s">
        <v>261</v>
      </c>
      <c r="D69" s="875" t="s">
        <v>15</v>
      </c>
      <c r="E69" s="872"/>
      <c r="F69" s="873">
        <f>+VLOOKUP($C$14:$C$84,THCKT!$C$317:$AE$395,17,0)</f>
        <v>24</v>
      </c>
      <c r="G69" s="874">
        <f t="shared" si="0"/>
        <v>600000</v>
      </c>
      <c r="H69" s="874"/>
      <c r="I69" s="874"/>
      <c r="J69" s="874"/>
      <c r="K69" s="874" t="e">
        <f>VLOOKUP(C69,THCKT!$C$13:$AL$460,21,0)</f>
        <v>#N/A</v>
      </c>
      <c r="L69" s="883">
        <f>VLOOKUP(C69,THCKT!$C$13:$AL$460,22,0)</f>
        <v>0</v>
      </c>
      <c r="M69" s="883">
        <f>VLOOKUP(C69,THCKT!$C$13:$AL$460,23,0)</f>
        <v>0</v>
      </c>
      <c r="N69" s="883" t="e">
        <f t="shared" si="8"/>
        <v>#N/A</v>
      </c>
      <c r="O69" s="883" t="e">
        <f t="shared" si="4"/>
        <v>#N/A</v>
      </c>
      <c r="P69" s="884" t="e">
        <f>VLOOKUP(C69,THCKT!$C$13:$AL$460,36,0)</f>
        <v>#N/A</v>
      </c>
      <c r="Q69" s="887" t="e">
        <f t="shared" si="5"/>
        <v>#N/A</v>
      </c>
      <c r="R69" s="874" t="e">
        <f>VLOOKUP(C69,'LƯƠNG KT'!$D$15:$P$94,16,0)</f>
        <v>#N/A</v>
      </c>
      <c r="S69" s="874" t="e">
        <f>VLOOKUP(C69,'LƯƠNG KT'!$D$15:$P$94,17,0)</f>
        <v>#N/A</v>
      </c>
      <c r="T69" s="874" t="e">
        <f>VLOOKUP(C69,'LƯƠNG KT'!$D$15:$P$94,18,0)</f>
        <v>#N/A</v>
      </c>
      <c r="U69" s="874" t="e">
        <f>VLOOKUP(C69,'LƯƠNG KT'!$D$15:$P$94,18,0)</f>
        <v>#N/A</v>
      </c>
      <c r="V69" s="874" t="e">
        <f>VLOOKUP(C69,'LƯƠNG KT'!$D$15:$P$94,19,0)</f>
        <v>#N/A</v>
      </c>
      <c r="W69" s="874" t="e">
        <f>VLOOKUP(C69,'LƯƠNG KT'!$D$15:$P$94,20,0)</f>
        <v>#N/A</v>
      </c>
      <c r="X69" s="874" t="e">
        <f>VLOOKUP(C69,'LƯƠNG KT'!$D$15:$P$94,22,0)</f>
        <v>#N/A</v>
      </c>
      <c r="Y69" s="874" t="e">
        <f>VLOOKUP(C69,'LƯƠNG KT'!$D$15:$P$94,23,0)</f>
        <v>#N/A</v>
      </c>
      <c r="Z69" s="874" t="e">
        <f>VLOOKUP(C69,'LƯƠNG KT'!$D$15:$P$94,24,0)</f>
        <v>#N/A</v>
      </c>
      <c r="AA69" s="874">
        <v>20</v>
      </c>
      <c r="AB69" s="874"/>
      <c r="AC69" s="889" t="e">
        <f t="shared" si="6"/>
        <v>#N/A</v>
      </c>
      <c r="AD69" s="889" t="e">
        <f t="shared" si="9"/>
        <v>#N/A</v>
      </c>
      <c r="AE69" s="889" t="e">
        <f t="shared" si="10"/>
        <v>#N/A</v>
      </c>
      <c r="AF69" s="927" t="e">
        <f>VLOOKUP(C69,'LƯƠNG KT'!#REF!,27,0)</f>
        <v>#REF!</v>
      </c>
      <c r="AG69" s="891" t="e">
        <f t="shared" si="7"/>
        <v>#N/A</v>
      </c>
      <c r="AH69" s="922" t="s">
        <v>2751</v>
      </c>
      <c r="AK69" s="923"/>
    </row>
    <row r="70" spans="1:37" s="540" customFormat="1" ht="17.25" customHeight="1">
      <c r="A70" s="868">
        <v>57</v>
      </c>
      <c r="B70" s="1644" t="str">
        <f>VLOOKUP(C70,'DS CN MOI UP'!$B$10:$C$389,2,0)</f>
        <v>02590</v>
      </c>
      <c r="C70" s="875" t="s">
        <v>262</v>
      </c>
      <c r="D70" s="875" t="s">
        <v>15</v>
      </c>
      <c r="E70" s="872"/>
      <c r="F70" s="873">
        <f>+VLOOKUP($C$14:$C$84,THCKT!$C$317:$AE$395,17,0)</f>
        <v>24</v>
      </c>
      <c r="G70" s="874">
        <f t="shared" si="0"/>
        <v>600000</v>
      </c>
      <c r="H70" s="874"/>
      <c r="I70" s="874"/>
      <c r="J70" s="874"/>
      <c r="K70" s="874" t="e">
        <f>VLOOKUP(C70,THCKT!$C$13:$AL$460,21,0)</f>
        <v>#N/A</v>
      </c>
      <c r="L70" s="883">
        <f>VLOOKUP(C70,THCKT!$C$13:$AL$460,22,0)</f>
        <v>0</v>
      </c>
      <c r="M70" s="883">
        <f>VLOOKUP(C70,THCKT!$C$13:$AL$460,23,0)</f>
        <v>0</v>
      </c>
      <c r="N70" s="883" t="e">
        <f t="shared" si="8"/>
        <v>#N/A</v>
      </c>
      <c r="O70" s="883" t="e">
        <f t="shared" si="4"/>
        <v>#N/A</v>
      </c>
      <c r="P70" s="884" t="e">
        <f>VLOOKUP(C70,THCKT!$C$13:$AL$460,36,0)</f>
        <v>#N/A</v>
      </c>
      <c r="Q70" s="887" t="e">
        <f t="shared" si="5"/>
        <v>#N/A</v>
      </c>
      <c r="R70" s="874" t="e">
        <f>VLOOKUP(C70,'LƯƠNG KT'!$D$15:$P$94,16,0)</f>
        <v>#N/A</v>
      </c>
      <c r="S70" s="874" t="e">
        <f>VLOOKUP(C70,'LƯƠNG KT'!$D$15:$P$94,17,0)</f>
        <v>#N/A</v>
      </c>
      <c r="T70" s="874" t="e">
        <f>VLOOKUP(C70,'LƯƠNG KT'!$D$15:$P$94,18,0)</f>
        <v>#N/A</v>
      </c>
      <c r="U70" s="874" t="e">
        <f>VLOOKUP(C70,'LƯƠNG KT'!$D$15:$P$94,18,0)</f>
        <v>#N/A</v>
      </c>
      <c r="V70" s="874" t="e">
        <f>VLOOKUP(C70,'LƯƠNG KT'!$D$15:$P$94,19,0)</f>
        <v>#N/A</v>
      </c>
      <c r="W70" s="874" t="e">
        <f>VLOOKUP(C70,'LƯƠNG KT'!$D$15:$P$94,20,0)</f>
        <v>#N/A</v>
      </c>
      <c r="X70" s="874" t="e">
        <f>VLOOKUP(C70,'LƯƠNG KT'!$D$15:$P$94,22,0)</f>
        <v>#N/A</v>
      </c>
      <c r="Y70" s="874" t="e">
        <f>VLOOKUP(C70,'LƯƠNG KT'!$D$15:$P$94,23,0)</f>
        <v>#N/A</v>
      </c>
      <c r="Z70" s="874" t="e">
        <f>VLOOKUP(C70,'LƯƠNG KT'!$D$15:$P$94,24,0)</f>
        <v>#N/A</v>
      </c>
      <c r="AA70" s="874">
        <v>20</v>
      </c>
      <c r="AB70" s="874"/>
      <c r="AC70" s="889" t="e">
        <f t="shared" si="6"/>
        <v>#N/A</v>
      </c>
      <c r="AD70" s="889" t="e">
        <f t="shared" si="9"/>
        <v>#N/A</v>
      </c>
      <c r="AE70" s="889" t="e">
        <f t="shared" si="10"/>
        <v>#N/A</v>
      </c>
      <c r="AF70" s="927" t="e">
        <f>VLOOKUP(C70,'LƯƠNG KT'!#REF!,27,0)</f>
        <v>#REF!</v>
      </c>
      <c r="AG70" s="891" t="e">
        <f t="shared" si="7"/>
        <v>#N/A</v>
      </c>
      <c r="AH70" s="922" t="s">
        <v>2751</v>
      </c>
      <c r="AK70" s="923"/>
    </row>
    <row r="71" spans="1:37" s="540" customFormat="1" ht="17.25" customHeight="1">
      <c r="A71" s="868">
        <v>58</v>
      </c>
      <c r="B71" s="1644" t="str">
        <f>VLOOKUP(C71,'DS CN MOI UP'!$B$10:$C$389,2,0)</f>
        <v>02585</v>
      </c>
      <c r="C71" s="875" t="s">
        <v>263</v>
      </c>
      <c r="D71" s="875" t="s">
        <v>15</v>
      </c>
      <c r="E71" s="872"/>
      <c r="F71" s="873">
        <f>+VLOOKUP($C$14:$C$84,THCKT!$C$317:$AE$395,17,0)</f>
        <v>24</v>
      </c>
      <c r="G71" s="874">
        <f t="shared" si="0"/>
        <v>600000</v>
      </c>
      <c r="H71" s="874"/>
      <c r="I71" s="874"/>
      <c r="J71" s="874"/>
      <c r="K71" s="874" t="e">
        <f>VLOOKUP(C71,THCKT!$C$13:$AL$460,21,0)</f>
        <v>#N/A</v>
      </c>
      <c r="L71" s="883">
        <f>VLOOKUP(C71,THCKT!$C$13:$AL$460,22,0)</f>
        <v>0</v>
      </c>
      <c r="M71" s="883">
        <f>VLOOKUP(C71,THCKT!$C$13:$AL$460,23,0)</f>
        <v>0</v>
      </c>
      <c r="N71" s="883" t="e">
        <f t="shared" si="8"/>
        <v>#N/A</v>
      </c>
      <c r="O71" s="883"/>
      <c r="P71" s="884" t="e">
        <f>VLOOKUP(C71,THCKT!$C$13:$AL$460,36,0)</f>
        <v>#N/A</v>
      </c>
      <c r="Q71" s="887" t="e">
        <f t="shared" si="5"/>
        <v>#N/A</v>
      </c>
      <c r="R71" s="874" t="e">
        <f>VLOOKUP(C71,'LƯƠNG KT'!$D$15:$P$94,16,0)</f>
        <v>#N/A</v>
      </c>
      <c r="S71" s="874" t="e">
        <f>VLOOKUP(C71,'LƯƠNG KT'!$D$15:$P$94,17,0)</f>
        <v>#N/A</v>
      </c>
      <c r="T71" s="874" t="e">
        <f>VLOOKUP(C71,'LƯƠNG KT'!$D$15:$P$94,18,0)</f>
        <v>#N/A</v>
      </c>
      <c r="U71" s="874" t="e">
        <f>VLOOKUP(C71,'LƯƠNG KT'!$D$15:$P$94,18,0)</f>
        <v>#N/A</v>
      </c>
      <c r="V71" s="874" t="e">
        <f>VLOOKUP(C71,'LƯƠNG KT'!$D$15:$P$94,19,0)</f>
        <v>#N/A</v>
      </c>
      <c r="W71" s="874" t="e">
        <f>VLOOKUP(C71,'LƯƠNG KT'!$D$15:$P$94,20,0)</f>
        <v>#N/A</v>
      </c>
      <c r="X71" s="874" t="e">
        <f>VLOOKUP(C71,'LƯƠNG KT'!$D$15:$P$94,22,0)</f>
        <v>#N/A</v>
      </c>
      <c r="Y71" s="874" t="e">
        <f>VLOOKUP(C71,'LƯƠNG KT'!$D$15:$P$94,23,0)</f>
        <v>#N/A</v>
      </c>
      <c r="Z71" s="874" t="e">
        <f>VLOOKUP(C71,'LƯƠNG KT'!$D$15:$P$94,24,0)</f>
        <v>#N/A</v>
      </c>
      <c r="AA71" s="874">
        <v>20</v>
      </c>
      <c r="AB71" s="874"/>
      <c r="AC71" s="889" t="e">
        <f t="shared" si="6"/>
        <v>#N/A</v>
      </c>
      <c r="AD71" s="889" t="e">
        <f t="shared" si="9"/>
        <v>#N/A</v>
      </c>
      <c r="AE71" s="889" t="e">
        <f t="shared" si="10"/>
        <v>#N/A</v>
      </c>
      <c r="AF71" s="927" t="e">
        <f>VLOOKUP(C71,'LƯƠNG KT'!#REF!,27,0)</f>
        <v>#REF!</v>
      </c>
      <c r="AG71" s="891" t="e">
        <f t="shared" si="7"/>
        <v>#N/A</v>
      </c>
      <c r="AH71" s="922" t="s">
        <v>2751</v>
      </c>
      <c r="AK71" s="923"/>
    </row>
    <row r="72" spans="1:37" s="540" customFormat="1" ht="17.25" customHeight="1">
      <c r="A72" s="868">
        <v>59</v>
      </c>
      <c r="B72" s="1644" t="str">
        <f>VLOOKUP(C72,'DS CN MOI UP'!$B$10:$C$389,2,0)</f>
        <v>03399</v>
      </c>
      <c r="C72" s="875" t="s">
        <v>264</v>
      </c>
      <c r="D72" s="875" t="s">
        <v>15</v>
      </c>
      <c r="E72" s="872"/>
      <c r="F72" s="873">
        <f>+VLOOKUP($C$14:$C$84,THCKT!$C$317:$AE$395,17,0)</f>
        <v>24</v>
      </c>
      <c r="G72" s="874">
        <f t="shared" si="0"/>
        <v>600000</v>
      </c>
      <c r="H72" s="874"/>
      <c r="I72" s="874"/>
      <c r="J72" s="874"/>
      <c r="K72" s="874" t="e">
        <f>VLOOKUP(C72,THCKT!$C$13:$AL$460,21,0)</f>
        <v>#N/A</v>
      </c>
      <c r="L72" s="883">
        <f>VLOOKUP(C72,THCKT!$C$13:$AL$460,22,0)</f>
        <v>0</v>
      </c>
      <c r="M72" s="883">
        <f>VLOOKUP(C72,THCKT!$C$13:$AL$460,23,0)</f>
        <v>0</v>
      </c>
      <c r="N72" s="883" t="e">
        <f t="shared" si="8"/>
        <v>#N/A</v>
      </c>
      <c r="O72" s="883"/>
      <c r="P72" s="884" t="e">
        <f>VLOOKUP(C72,THCKT!$C$13:$AL$460,36,0)</f>
        <v>#N/A</v>
      </c>
      <c r="Q72" s="887" t="e">
        <f t="shared" si="5"/>
        <v>#N/A</v>
      </c>
      <c r="R72" s="874" t="e">
        <f>VLOOKUP(C72,'LƯƠNG KT'!$D$15:$P$94,16,0)</f>
        <v>#N/A</v>
      </c>
      <c r="S72" s="874" t="e">
        <f>VLOOKUP(C72,'LƯƠNG KT'!$D$15:$P$94,17,0)</f>
        <v>#N/A</v>
      </c>
      <c r="T72" s="874" t="e">
        <f>VLOOKUP(C72,'LƯƠNG KT'!$D$15:$P$94,18,0)</f>
        <v>#N/A</v>
      </c>
      <c r="U72" s="874" t="e">
        <f>VLOOKUP(C72,'LƯƠNG KT'!$D$15:$P$94,18,0)</f>
        <v>#N/A</v>
      </c>
      <c r="V72" s="874" t="e">
        <f>VLOOKUP(C72,'LƯƠNG KT'!$D$15:$P$94,19,0)</f>
        <v>#N/A</v>
      </c>
      <c r="W72" s="874" t="e">
        <f>VLOOKUP(C72,'LƯƠNG KT'!$D$15:$P$94,20,0)</f>
        <v>#N/A</v>
      </c>
      <c r="X72" s="874" t="e">
        <f>VLOOKUP(C72,'LƯƠNG KT'!$D$15:$P$94,22,0)</f>
        <v>#N/A</v>
      </c>
      <c r="Y72" s="874" t="e">
        <f>VLOOKUP(C72,'LƯƠNG KT'!$D$15:$P$94,23,0)</f>
        <v>#N/A</v>
      </c>
      <c r="Z72" s="874" t="e">
        <f>VLOOKUP(C72,'LƯƠNG KT'!$D$15:$P$94,24,0)</f>
        <v>#N/A</v>
      </c>
      <c r="AA72" s="874">
        <v>20</v>
      </c>
      <c r="AB72" s="874"/>
      <c r="AC72" s="889" t="e">
        <f t="shared" si="6"/>
        <v>#N/A</v>
      </c>
      <c r="AD72" s="889" t="e">
        <f t="shared" si="9"/>
        <v>#N/A</v>
      </c>
      <c r="AE72" s="889" t="e">
        <f t="shared" si="10"/>
        <v>#N/A</v>
      </c>
      <c r="AF72" s="927" t="e">
        <f>VLOOKUP(C72,'LƯƠNG KT'!#REF!,27,0)</f>
        <v>#REF!</v>
      </c>
      <c r="AG72" s="891" t="e">
        <f t="shared" si="7"/>
        <v>#N/A</v>
      </c>
      <c r="AH72" s="922" t="s">
        <v>2751</v>
      </c>
      <c r="AK72" s="923"/>
    </row>
    <row r="73" spans="1:37" s="540" customFormat="1" ht="17.25" customHeight="1">
      <c r="A73" s="868">
        <v>60</v>
      </c>
      <c r="B73" s="1644" t="str">
        <f>VLOOKUP(C73,'DS CN MOI UP'!$B$10:$C$389,2,0)</f>
        <v>02584</v>
      </c>
      <c r="C73" s="875" t="s">
        <v>265</v>
      </c>
      <c r="D73" s="875" t="s">
        <v>15</v>
      </c>
      <c r="E73" s="872"/>
      <c r="F73" s="873">
        <f>+VLOOKUP($C$14:$C$84,THCKT!$C$317:$AE$395,17,0)</f>
        <v>24</v>
      </c>
      <c r="G73" s="874">
        <f t="shared" si="0"/>
        <v>600000</v>
      </c>
      <c r="H73" s="874"/>
      <c r="I73" s="874"/>
      <c r="J73" s="874"/>
      <c r="K73" s="874" t="e">
        <f>VLOOKUP(C73,THCKT!$C$13:$AL$460,21,0)</f>
        <v>#N/A</v>
      </c>
      <c r="L73" s="883">
        <f>VLOOKUP(C73,THCKT!$C$13:$AL$460,22,0)</f>
        <v>0</v>
      </c>
      <c r="M73" s="883">
        <f>VLOOKUP(C73,THCKT!$C$13:$AL$460,23,0)</f>
        <v>0</v>
      </c>
      <c r="N73" s="883" t="e">
        <f t="shared" si="8"/>
        <v>#N/A</v>
      </c>
      <c r="O73" s="883" t="e">
        <f t="shared" si="4"/>
        <v>#N/A</v>
      </c>
      <c r="P73" s="884" t="e">
        <f>VLOOKUP(C73,THCKT!$C$13:$AL$460,36,0)</f>
        <v>#N/A</v>
      </c>
      <c r="Q73" s="887" t="e">
        <f t="shared" si="5"/>
        <v>#N/A</v>
      </c>
      <c r="R73" s="874" t="e">
        <f>VLOOKUP(C73,'LƯƠNG KT'!$D$15:$P$94,16,0)</f>
        <v>#N/A</v>
      </c>
      <c r="S73" s="874" t="e">
        <f>VLOOKUP(C73,'LƯƠNG KT'!$D$15:$P$94,17,0)</f>
        <v>#N/A</v>
      </c>
      <c r="T73" s="874" t="e">
        <f>VLOOKUP(C73,'LƯƠNG KT'!$D$15:$P$94,18,0)</f>
        <v>#N/A</v>
      </c>
      <c r="U73" s="874" t="e">
        <f>VLOOKUP(C73,'LƯƠNG KT'!$D$15:$P$94,18,0)</f>
        <v>#N/A</v>
      </c>
      <c r="V73" s="874" t="e">
        <f>VLOOKUP(C73,'LƯƠNG KT'!$D$15:$P$94,19,0)</f>
        <v>#N/A</v>
      </c>
      <c r="W73" s="874" t="e">
        <f>VLOOKUP(C73,'LƯƠNG KT'!$D$15:$P$94,20,0)</f>
        <v>#N/A</v>
      </c>
      <c r="X73" s="874" t="e">
        <f>VLOOKUP(C73,'LƯƠNG KT'!$D$15:$P$94,22,0)</f>
        <v>#N/A</v>
      </c>
      <c r="Y73" s="874" t="e">
        <f>VLOOKUP(C73,'LƯƠNG KT'!$D$15:$P$94,23,0)</f>
        <v>#N/A</v>
      </c>
      <c r="Z73" s="874" t="e">
        <f>VLOOKUP(C73,'LƯƠNG KT'!$D$15:$P$94,24,0)</f>
        <v>#N/A</v>
      </c>
      <c r="AA73" s="874">
        <v>20</v>
      </c>
      <c r="AB73" s="874"/>
      <c r="AC73" s="889" t="e">
        <f t="shared" si="6"/>
        <v>#N/A</v>
      </c>
      <c r="AD73" s="889" t="e">
        <f t="shared" si="9"/>
        <v>#N/A</v>
      </c>
      <c r="AE73" s="889" t="e">
        <f t="shared" si="10"/>
        <v>#N/A</v>
      </c>
      <c r="AF73" s="927" t="e">
        <f>VLOOKUP(C73,'LƯƠNG KT'!#REF!,27,0)</f>
        <v>#REF!</v>
      </c>
      <c r="AG73" s="891" t="e">
        <f t="shared" si="7"/>
        <v>#N/A</v>
      </c>
      <c r="AH73" s="922" t="s">
        <v>2751</v>
      </c>
      <c r="AK73" s="923"/>
    </row>
    <row r="74" spans="1:37" s="540" customFormat="1" ht="17.25" customHeight="1">
      <c r="A74" s="868">
        <v>61</v>
      </c>
      <c r="B74" s="1644" t="str">
        <f>VLOOKUP(C74,'DS CN MOI UP'!$B$10:$C$389,2,0)</f>
        <v>02698</v>
      </c>
      <c r="C74" s="875" t="s">
        <v>266</v>
      </c>
      <c r="D74" s="875" t="s">
        <v>15</v>
      </c>
      <c r="E74" s="872"/>
      <c r="F74" s="873">
        <f>+VLOOKUP($C$14:$C$84,THCKT!$C$317:$AE$395,17,0)</f>
        <v>24</v>
      </c>
      <c r="G74" s="874">
        <f t="shared" si="0"/>
        <v>600000</v>
      </c>
      <c r="H74" s="874"/>
      <c r="I74" s="874"/>
      <c r="J74" s="874"/>
      <c r="K74" s="874" t="e">
        <f>VLOOKUP(C74,THCKT!$C$13:$AL$460,21,0)</f>
        <v>#N/A</v>
      </c>
      <c r="L74" s="883">
        <f>VLOOKUP(C74,THCKT!$C$13:$AL$460,22,0)</f>
        <v>0</v>
      </c>
      <c r="M74" s="883">
        <f>VLOOKUP(C74,THCKT!$C$13:$AL$460,23,0)</f>
        <v>0</v>
      </c>
      <c r="N74" s="883" t="e">
        <f t="shared" si="8"/>
        <v>#N/A</v>
      </c>
      <c r="O74" s="883" t="e">
        <f t="shared" si="4"/>
        <v>#N/A</v>
      </c>
      <c r="P74" s="884" t="e">
        <f>VLOOKUP(C74,THCKT!$C$13:$AL$460,36,0)</f>
        <v>#N/A</v>
      </c>
      <c r="Q74" s="887" t="e">
        <f t="shared" si="5"/>
        <v>#N/A</v>
      </c>
      <c r="R74" s="874" t="e">
        <f>VLOOKUP(C74,'LƯƠNG KT'!$D$15:$P$94,16,0)</f>
        <v>#N/A</v>
      </c>
      <c r="S74" s="874" t="e">
        <f>VLOOKUP(C74,'LƯƠNG KT'!$D$15:$P$94,17,0)</f>
        <v>#N/A</v>
      </c>
      <c r="T74" s="874" t="e">
        <f>VLOOKUP(C74,'LƯƠNG KT'!$D$15:$P$94,18,0)</f>
        <v>#N/A</v>
      </c>
      <c r="U74" s="874" t="e">
        <f>VLOOKUP(C74,'LƯƠNG KT'!$D$15:$P$94,18,0)</f>
        <v>#N/A</v>
      </c>
      <c r="V74" s="874" t="e">
        <f>VLOOKUP(C74,'LƯƠNG KT'!$D$15:$P$94,19,0)</f>
        <v>#N/A</v>
      </c>
      <c r="W74" s="874" t="e">
        <f>VLOOKUP(C74,'LƯƠNG KT'!$D$15:$P$94,20,0)</f>
        <v>#N/A</v>
      </c>
      <c r="X74" s="874" t="e">
        <f>VLOOKUP(C74,'LƯƠNG KT'!$D$15:$P$94,22,0)</f>
        <v>#N/A</v>
      </c>
      <c r="Y74" s="874" t="e">
        <f>VLOOKUP(C74,'LƯƠNG KT'!$D$15:$P$94,23,0)</f>
        <v>#N/A</v>
      </c>
      <c r="Z74" s="874" t="e">
        <f>VLOOKUP(C74,'LƯƠNG KT'!$D$15:$P$94,24,0)</f>
        <v>#N/A</v>
      </c>
      <c r="AA74" s="874">
        <v>20</v>
      </c>
      <c r="AB74" s="874"/>
      <c r="AC74" s="889" t="e">
        <f t="shared" si="6"/>
        <v>#N/A</v>
      </c>
      <c r="AD74" s="889" t="e">
        <f t="shared" si="9"/>
        <v>#N/A</v>
      </c>
      <c r="AE74" s="889" t="e">
        <f t="shared" si="10"/>
        <v>#N/A</v>
      </c>
      <c r="AF74" s="927" t="e">
        <f>VLOOKUP(C74,'LƯƠNG KT'!#REF!,27,0)</f>
        <v>#REF!</v>
      </c>
      <c r="AG74" s="891" t="e">
        <f t="shared" si="7"/>
        <v>#N/A</v>
      </c>
      <c r="AH74" s="922" t="s">
        <v>2751</v>
      </c>
      <c r="AK74" s="923"/>
    </row>
    <row r="75" spans="1:37" s="540" customFormat="1" ht="17.25" customHeight="1">
      <c r="A75" s="868">
        <v>62</v>
      </c>
      <c r="B75" s="1644" t="str">
        <f>VLOOKUP(C75,'DS CN MOI UP'!$B$10:$C$389,2,0)</f>
        <v>03858</v>
      </c>
      <c r="C75" s="875" t="s">
        <v>267</v>
      </c>
      <c r="D75" s="875" t="s">
        <v>15</v>
      </c>
      <c r="E75" s="872"/>
      <c r="F75" s="873">
        <f>+VLOOKUP($C$14:$C$84,THCKT!$C$317:$AE$395,17,0)</f>
        <v>24</v>
      </c>
      <c r="G75" s="874">
        <f t="shared" si="0"/>
        <v>600000</v>
      </c>
      <c r="H75" s="874"/>
      <c r="I75" s="874"/>
      <c r="J75" s="874"/>
      <c r="K75" s="874" t="e">
        <f>VLOOKUP(C75,THCKT!$C$13:$AL$460,21,0)</f>
        <v>#N/A</v>
      </c>
      <c r="L75" s="883">
        <f>VLOOKUP(C75,THCKT!$C$13:$AL$460,22,0)</f>
        <v>0</v>
      </c>
      <c r="M75" s="883">
        <f>VLOOKUP(C75,THCKT!$C$13:$AL$460,23,0)</f>
        <v>0</v>
      </c>
      <c r="N75" s="883" t="e">
        <f t="shared" si="8"/>
        <v>#N/A</v>
      </c>
      <c r="O75" s="883"/>
      <c r="P75" s="884" t="e">
        <f>VLOOKUP(C75,THCKT!$C$13:$AL$460,36,0)</f>
        <v>#N/A</v>
      </c>
      <c r="Q75" s="887" t="e">
        <f t="shared" si="5"/>
        <v>#N/A</v>
      </c>
      <c r="R75" s="874" t="e">
        <f>VLOOKUP(C75,'LƯƠNG KT'!$D$15:$P$94,16,0)</f>
        <v>#N/A</v>
      </c>
      <c r="S75" s="874" t="e">
        <f>VLOOKUP(C75,'LƯƠNG KT'!$D$15:$P$94,17,0)</f>
        <v>#N/A</v>
      </c>
      <c r="T75" s="874" t="e">
        <f>VLOOKUP(C75,'LƯƠNG KT'!$D$15:$P$94,18,0)</f>
        <v>#N/A</v>
      </c>
      <c r="U75" s="874" t="e">
        <f>VLOOKUP(C75,'LƯƠNG KT'!$D$15:$P$94,18,0)</f>
        <v>#N/A</v>
      </c>
      <c r="V75" s="874" t="e">
        <f>VLOOKUP(C75,'LƯƠNG KT'!$D$15:$P$94,19,0)</f>
        <v>#N/A</v>
      </c>
      <c r="W75" s="874" t="e">
        <f>VLOOKUP(C75,'LƯƠNG KT'!$D$15:$P$94,20,0)</f>
        <v>#N/A</v>
      </c>
      <c r="X75" s="874" t="e">
        <f>VLOOKUP(C75,'LƯƠNG KT'!$D$15:$P$94,22,0)</f>
        <v>#N/A</v>
      </c>
      <c r="Y75" s="874" t="e">
        <f>VLOOKUP(C75,'LƯƠNG KT'!$D$15:$P$94,23,0)</f>
        <v>#N/A</v>
      </c>
      <c r="Z75" s="874" t="e">
        <f>VLOOKUP(C75,'LƯƠNG KT'!$D$15:$P$94,24,0)</f>
        <v>#N/A</v>
      </c>
      <c r="AA75" s="874">
        <v>20</v>
      </c>
      <c r="AB75" s="874"/>
      <c r="AC75" s="889" t="e">
        <f t="shared" si="6"/>
        <v>#N/A</v>
      </c>
      <c r="AD75" s="889" t="e">
        <f t="shared" si="9"/>
        <v>#N/A</v>
      </c>
      <c r="AE75" s="889" t="e">
        <f t="shared" si="10"/>
        <v>#N/A</v>
      </c>
      <c r="AF75" s="927" t="e">
        <f>VLOOKUP(C75,'LƯƠNG KT'!#REF!,27,0)</f>
        <v>#REF!</v>
      </c>
      <c r="AG75" s="891" t="e">
        <f t="shared" si="7"/>
        <v>#N/A</v>
      </c>
      <c r="AH75" s="922" t="s">
        <v>2751</v>
      </c>
      <c r="AK75" s="923"/>
    </row>
    <row r="76" spans="1:37" s="540" customFormat="1" ht="17.25" customHeight="1">
      <c r="A76" s="868">
        <v>63</v>
      </c>
      <c r="B76" s="1644" t="str">
        <f>VLOOKUP(C76,'DS CN MOI UP'!$B$10:$C$389,2,0)</f>
        <v>02591</v>
      </c>
      <c r="C76" s="875" t="s">
        <v>268</v>
      </c>
      <c r="D76" s="875" t="s">
        <v>15</v>
      </c>
      <c r="E76" s="872"/>
      <c r="F76" s="873">
        <f>+VLOOKUP($C$14:$C$84,THCKT!$C$317:$AE$395,17,0)</f>
        <v>24</v>
      </c>
      <c r="G76" s="874">
        <f t="shared" si="0"/>
        <v>600000</v>
      </c>
      <c r="H76" s="874"/>
      <c r="I76" s="874"/>
      <c r="J76" s="874"/>
      <c r="K76" s="874" t="e">
        <f>VLOOKUP(C76,THCKT!$C$13:$AL$460,21,0)</f>
        <v>#N/A</v>
      </c>
      <c r="L76" s="883">
        <f>VLOOKUP(C76,THCKT!$C$13:$AL$460,22,0)</f>
        <v>0</v>
      </c>
      <c r="M76" s="883">
        <f>VLOOKUP(C76,THCKT!$C$13:$AL$460,23,0)</f>
        <v>0</v>
      </c>
      <c r="N76" s="883" t="e">
        <f t="shared" si="8"/>
        <v>#N/A</v>
      </c>
      <c r="O76" s="883" t="e">
        <f t="shared" si="4"/>
        <v>#N/A</v>
      </c>
      <c r="P76" s="884" t="e">
        <f>VLOOKUP(C76,THCKT!$C$13:$AL$460,36,0)</f>
        <v>#N/A</v>
      </c>
      <c r="Q76" s="887" t="e">
        <f t="shared" si="5"/>
        <v>#N/A</v>
      </c>
      <c r="R76" s="874" t="e">
        <f>VLOOKUP(C76,'LƯƠNG KT'!$D$15:$P$94,16,0)</f>
        <v>#N/A</v>
      </c>
      <c r="S76" s="874" t="e">
        <f>VLOOKUP(C76,'LƯƠNG KT'!$D$15:$P$94,17,0)</f>
        <v>#N/A</v>
      </c>
      <c r="T76" s="874" t="e">
        <f>VLOOKUP(C76,'LƯƠNG KT'!$D$15:$P$94,18,0)</f>
        <v>#N/A</v>
      </c>
      <c r="U76" s="874" t="e">
        <f>VLOOKUP(C76,'LƯƠNG KT'!$D$15:$P$94,18,0)</f>
        <v>#N/A</v>
      </c>
      <c r="V76" s="874" t="e">
        <f>VLOOKUP(C76,'LƯƠNG KT'!$D$15:$P$94,19,0)</f>
        <v>#N/A</v>
      </c>
      <c r="W76" s="874" t="e">
        <f>VLOOKUP(C76,'LƯƠNG KT'!$D$15:$P$94,20,0)</f>
        <v>#N/A</v>
      </c>
      <c r="X76" s="874" t="e">
        <f>VLOOKUP(C76,'LƯƠNG KT'!$D$15:$P$94,22,0)</f>
        <v>#N/A</v>
      </c>
      <c r="Y76" s="874" t="e">
        <f>VLOOKUP(C76,'LƯƠNG KT'!$D$15:$P$94,23,0)</f>
        <v>#N/A</v>
      </c>
      <c r="Z76" s="874" t="e">
        <f>VLOOKUP(C76,'LƯƠNG KT'!$D$15:$P$94,24,0)</f>
        <v>#N/A</v>
      </c>
      <c r="AA76" s="874">
        <v>20</v>
      </c>
      <c r="AB76" s="874"/>
      <c r="AC76" s="889" t="e">
        <f t="shared" si="6"/>
        <v>#N/A</v>
      </c>
      <c r="AD76" s="889" t="e">
        <f t="shared" si="9"/>
        <v>#N/A</v>
      </c>
      <c r="AE76" s="889" t="e">
        <f t="shared" si="10"/>
        <v>#N/A</v>
      </c>
      <c r="AF76" s="927" t="e">
        <f>VLOOKUP(C76,'LƯƠNG KT'!#REF!,27,0)</f>
        <v>#REF!</v>
      </c>
      <c r="AG76" s="891" t="e">
        <f t="shared" si="7"/>
        <v>#N/A</v>
      </c>
      <c r="AH76" s="922" t="s">
        <v>2751</v>
      </c>
      <c r="AK76" s="923"/>
    </row>
    <row r="77" spans="1:37" s="540" customFormat="1" ht="17.25" customHeight="1">
      <c r="A77" s="868">
        <v>64</v>
      </c>
      <c r="B77" s="1644" t="str">
        <f>VLOOKUP(C77,'DS CN MOI UP'!$B$10:$C$389,2,0)</f>
        <v>02595</v>
      </c>
      <c r="C77" s="875" t="s">
        <v>269</v>
      </c>
      <c r="D77" s="875" t="s">
        <v>15</v>
      </c>
      <c r="E77" s="872"/>
      <c r="F77" s="873">
        <f>+VLOOKUP($C$14:$C$84,THCKT!$C$317:$AE$395,17,0)</f>
        <v>24</v>
      </c>
      <c r="G77" s="874">
        <f t="shared" si="0"/>
        <v>600000</v>
      </c>
      <c r="H77" s="874"/>
      <c r="I77" s="874"/>
      <c r="J77" s="874"/>
      <c r="K77" s="874" t="e">
        <f>VLOOKUP(C77,THCKT!$C$13:$AL$460,21,0)</f>
        <v>#N/A</v>
      </c>
      <c r="L77" s="883">
        <f>VLOOKUP(C77,THCKT!$C$13:$AL$460,22,0)</f>
        <v>0</v>
      </c>
      <c r="M77" s="883">
        <f>VLOOKUP(C77,THCKT!$C$13:$AL$460,23,0)</f>
        <v>0</v>
      </c>
      <c r="N77" s="883" t="e">
        <f t="shared" si="8"/>
        <v>#N/A</v>
      </c>
      <c r="O77" s="883"/>
      <c r="P77" s="884" t="e">
        <f>VLOOKUP(C77,THCKT!$C$13:$AL$460,36,0)</f>
        <v>#N/A</v>
      </c>
      <c r="Q77" s="887" t="e">
        <f t="shared" si="5"/>
        <v>#N/A</v>
      </c>
      <c r="R77" s="874" t="e">
        <f>VLOOKUP(C77,'LƯƠNG KT'!$D$15:$P$94,16,0)</f>
        <v>#N/A</v>
      </c>
      <c r="S77" s="874" t="e">
        <f>VLOOKUP(C77,'LƯƠNG KT'!$D$15:$P$94,17,0)</f>
        <v>#N/A</v>
      </c>
      <c r="T77" s="874" t="e">
        <f>VLOOKUP(C77,'LƯƠNG KT'!$D$15:$P$94,18,0)</f>
        <v>#N/A</v>
      </c>
      <c r="U77" s="874" t="e">
        <f>VLOOKUP(C77,'LƯƠNG KT'!$D$15:$P$94,18,0)</f>
        <v>#N/A</v>
      </c>
      <c r="V77" s="874" t="e">
        <f>VLOOKUP(C77,'LƯƠNG KT'!$D$15:$P$94,19,0)</f>
        <v>#N/A</v>
      </c>
      <c r="W77" s="874" t="e">
        <f>VLOOKUP(C77,'LƯƠNG KT'!$D$15:$P$94,20,0)</f>
        <v>#N/A</v>
      </c>
      <c r="X77" s="874" t="e">
        <f>VLOOKUP(C77,'LƯƠNG KT'!$D$15:$P$94,22,0)</f>
        <v>#N/A</v>
      </c>
      <c r="Y77" s="874" t="e">
        <f>VLOOKUP(C77,'LƯƠNG KT'!$D$15:$P$94,23,0)</f>
        <v>#N/A</v>
      </c>
      <c r="Z77" s="874" t="e">
        <f>VLOOKUP(C77,'LƯƠNG KT'!$D$15:$P$94,24,0)</f>
        <v>#N/A</v>
      </c>
      <c r="AA77" s="874">
        <v>20</v>
      </c>
      <c r="AB77" s="874"/>
      <c r="AC77" s="889" t="e">
        <f t="shared" si="6"/>
        <v>#N/A</v>
      </c>
      <c r="AD77" s="889" t="e">
        <f t="shared" si="9"/>
        <v>#N/A</v>
      </c>
      <c r="AE77" s="889" t="e">
        <f t="shared" si="10"/>
        <v>#N/A</v>
      </c>
      <c r="AF77" s="927" t="e">
        <f>VLOOKUP(C77,'LƯƠNG KT'!#REF!,27,0)</f>
        <v>#REF!</v>
      </c>
      <c r="AG77" s="891" t="e">
        <f t="shared" si="7"/>
        <v>#N/A</v>
      </c>
      <c r="AH77" s="922" t="s">
        <v>2751</v>
      </c>
      <c r="AK77" s="923"/>
    </row>
    <row r="78" spans="1:37" s="540" customFormat="1" ht="17.25" customHeight="1">
      <c r="A78" s="868">
        <v>65</v>
      </c>
      <c r="B78" s="1644" t="str">
        <f>VLOOKUP(C78,'DS CN MOI UP'!$B$10:$C$389,2,0)</f>
        <v>02582</v>
      </c>
      <c r="C78" s="875" t="s">
        <v>270</v>
      </c>
      <c r="D78" s="875" t="s">
        <v>15</v>
      </c>
      <c r="E78" s="872"/>
      <c r="F78" s="873">
        <f>+VLOOKUP($C$14:$C$84,THCKT!$C$317:$AE$395,17,0)</f>
        <v>24</v>
      </c>
      <c r="G78" s="874">
        <f t="shared" ref="G78:G82" si="11">F78*25000</f>
        <v>600000</v>
      </c>
      <c r="H78" s="874"/>
      <c r="I78" s="874"/>
      <c r="J78" s="874"/>
      <c r="K78" s="874" t="e">
        <f>VLOOKUP(C78,THCKT!$C$13:$AL$460,21,0)</f>
        <v>#N/A</v>
      </c>
      <c r="L78" s="883">
        <f>VLOOKUP(C78,THCKT!$C$13:$AL$460,22,0)</f>
        <v>0</v>
      </c>
      <c r="M78" s="883">
        <f>VLOOKUP(C78,THCKT!$C$13:$AL$460,23,0)</f>
        <v>0</v>
      </c>
      <c r="N78" s="883" t="e">
        <f t="shared" ref="N78:N82" si="12">$AI$8/$AI$7*K78+L78*$AI$9+M78*$AI$10</f>
        <v>#N/A</v>
      </c>
      <c r="O78" s="883"/>
      <c r="P78" s="884" t="e">
        <f>VLOOKUP(C78,THCKT!$C$13:$AL$460,36,0)</f>
        <v>#N/A</v>
      </c>
      <c r="Q78" s="887" t="e">
        <f t="shared" si="5"/>
        <v>#N/A</v>
      </c>
      <c r="R78" s="874" t="e">
        <f>VLOOKUP(C78,'LƯƠNG KT'!$D$15:$P$94,16,0)</f>
        <v>#N/A</v>
      </c>
      <c r="S78" s="874" t="e">
        <f>VLOOKUP(C78,'LƯƠNG KT'!$D$15:$P$94,17,0)</f>
        <v>#N/A</v>
      </c>
      <c r="T78" s="874" t="e">
        <f>VLOOKUP(C78,'LƯƠNG KT'!$D$15:$P$94,18,0)</f>
        <v>#N/A</v>
      </c>
      <c r="U78" s="874" t="e">
        <f>VLOOKUP(C78,'LƯƠNG KT'!$D$15:$P$94,18,0)</f>
        <v>#N/A</v>
      </c>
      <c r="V78" s="874" t="e">
        <f>VLOOKUP(C78,'LƯƠNG KT'!$D$15:$P$94,19,0)</f>
        <v>#N/A</v>
      </c>
      <c r="W78" s="874" t="e">
        <f>VLOOKUP(C78,'LƯƠNG KT'!$D$15:$P$94,20,0)</f>
        <v>#N/A</v>
      </c>
      <c r="X78" s="874" t="e">
        <f>VLOOKUP(C78,'LƯƠNG KT'!$D$15:$P$94,22,0)</f>
        <v>#N/A</v>
      </c>
      <c r="Y78" s="874" t="e">
        <f>VLOOKUP(C78,'LƯƠNG KT'!$D$15:$P$94,23,0)</f>
        <v>#N/A</v>
      </c>
      <c r="Z78" s="874" t="e">
        <f>VLOOKUP(C78,'LƯƠNG KT'!$D$15:$P$94,24,0)</f>
        <v>#N/A</v>
      </c>
      <c r="AA78" s="874">
        <v>20</v>
      </c>
      <c r="AB78" s="874"/>
      <c r="AC78" s="889" t="e">
        <f t="shared" si="6"/>
        <v>#N/A</v>
      </c>
      <c r="AD78" s="889" t="e">
        <f t="shared" ref="AD78:AD82" si="13">+AC78+Q78+G78</f>
        <v>#N/A</v>
      </c>
      <c r="AE78" s="889" t="e">
        <f t="shared" si="10"/>
        <v>#N/A</v>
      </c>
      <c r="AF78" s="927" t="e">
        <f>VLOOKUP(C78,'LƯƠNG KT'!#REF!,27,0)</f>
        <v>#REF!</v>
      </c>
      <c r="AG78" s="891" t="e">
        <f t="shared" si="7"/>
        <v>#N/A</v>
      </c>
      <c r="AH78" s="922" t="s">
        <v>2751</v>
      </c>
      <c r="AK78" s="923"/>
    </row>
    <row r="79" spans="1:37" s="540" customFormat="1" ht="17.25" customHeight="1">
      <c r="A79" s="868">
        <v>66</v>
      </c>
      <c r="B79" s="1644" t="str">
        <f>VLOOKUP(C79,'DS CN MOI UP'!$B$10:$C$389,2,0)</f>
        <v>02572</v>
      </c>
      <c r="C79" s="875" t="s">
        <v>271</v>
      </c>
      <c r="D79" s="875" t="s">
        <v>15</v>
      </c>
      <c r="E79" s="872"/>
      <c r="F79" s="873">
        <f>+VLOOKUP($C$14:$C$84,THCKT!$C$317:$AE$395,17,0)</f>
        <v>24</v>
      </c>
      <c r="G79" s="874">
        <f t="shared" si="11"/>
        <v>600000</v>
      </c>
      <c r="H79" s="874"/>
      <c r="I79" s="874"/>
      <c r="J79" s="874"/>
      <c r="K79" s="874" t="e">
        <f>VLOOKUP(C79,THCKT!$C$13:$AL$460,21,0)</f>
        <v>#N/A</v>
      </c>
      <c r="L79" s="883">
        <f>VLOOKUP(C79,THCKT!$C$13:$AL$460,22,0)</f>
        <v>0</v>
      </c>
      <c r="M79" s="883">
        <f>VLOOKUP(C79,THCKT!$C$13:$AL$460,23,0)</f>
        <v>0</v>
      </c>
      <c r="N79" s="883" t="e">
        <f t="shared" si="12"/>
        <v>#N/A</v>
      </c>
      <c r="O79" s="883"/>
      <c r="P79" s="884" t="e">
        <f>VLOOKUP(C79,THCKT!$C$13:$AL$460,36,0)</f>
        <v>#N/A</v>
      </c>
      <c r="Q79" s="887" t="e">
        <f t="shared" ref="Q79:Q84" si="14">ROUND((IF(P79="A",(K79*$AI$6*6.1),IF(P79="B",(K79*$AI$6*5.8),IF(P79="C",(K79*$AI$6*5.5),IF(P79="D",(K79*$AI$6*5.2),0))))*$F$9+(L79*$AI$9*$F$9*6.1)+M79*$F$9*$AI$10*6.1),0)</f>
        <v>#N/A</v>
      </c>
      <c r="R79" s="874" t="e">
        <f>VLOOKUP(C79,'LƯƠNG KT'!$D$15:$P$94,16,0)</f>
        <v>#N/A</v>
      </c>
      <c r="S79" s="874" t="e">
        <f>VLOOKUP(C79,'LƯƠNG KT'!$D$15:$P$94,17,0)</f>
        <v>#N/A</v>
      </c>
      <c r="T79" s="874" t="e">
        <f>VLOOKUP(C79,'LƯƠNG KT'!$D$15:$P$94,18,0)</f>
        <v>#N/A</v>
      </c>
      <c r="U79" s="874" t="e">
        <f>VLOOKUP(C79,'LƯƠNG KT'!$D$15:$P$94,18,0)</f>
        <v>#N/A</v>
      </c>
      <c r="V79" s="874" t="e">
        <f>VLOOKUP(C79,'LƯƠNG KT'!$D$15:$P$94,19,0)</f>
        <v>#N/A</v>
      </c>
      <c r="W79" s="874" t="e">
        <f>VLOOKUP(C79,'LƯƠNG KT'!$D$15:$P$94,20,0)</f>
        <v>#N/A</v>
      </c>
      <c r="X79" s="874" t="e">
        <f>VLOOKUP(C79,'LƯƠNG KT'!$D$15:$P$94,22,0)</f>
        <v>#N/A</v>
      </c>
      <c r="Y79" s="874" t="e">
        <f>VLOOKUP(C79,'LƯƠNG KT'!$D$15:$P$94,23,0)</f>
        <v>#N/A</v>
      </c>
      <c r="Z79" s="874" t="e">
        <f>VLOOKUP(C79,'LƯƠNG KT'!$D$15:$P$94,24,0)</f>
        <v>#N/A</v>
      </c>
      <c r="AA79" s="874">
        <v>20</v>
      </c>
      <c r="AB79" s="874"/>
      <c r="AC79" s="889" t="e">
        <f t="shared" ref="AC79:AC84" si="15">ROUND((((R79*46.1)+(S79*76.9)+(X79*30.7)+(U79*46.1*2)+(V79*46.1*2)+(W79*76.9*2))*$F$8),0)+T79*10000+Y79*20000+Z79*20000+AA79*25000</f>
        <v>#N/A</v>
      </c>
      <c r="AD79" s="889" t="e">
        <f t="shared" si="13"/>
        <v>#N/A</v>
      </c>
      <c r="AE79" s="889" t="e">
        <f t="shared" si="10"/>
        <v>#N/A</v>
      </c>
      <c r="AF79" s="927" t="e">
        <f>VLOOKUP(C79,'LƯƠNG KT'!#REF!,27,0)</f>
        <v>#REF!</v>
      </c>
      <c r="AG79" s="891" t="e">
        <f t="shared" ref="AG79:AG84" si="16">+AC79-AF79</f>
        <v>#N/A</v>
      </c>
      <c r="AH79" s="922" t="s">
        <v>2751</v>
      </c>
      <c r="AK79" s="923"/>
    </row>
    <row r="80" spans="1:37" s="540" customFormat="1" ht="17.25" customHeight="1">
      <c r="A80" s="868">
        <v>67</v>
      </c>
      <c r="B80" s="1644" t="str">
        <f>VLOOKUP(C80,'DS CN MOI UP'!$B$10:$C$389,2,0)</f>
        <v>02694</v>
      </c>
      <c r="C80" s="875" t="s">
        <v>272</v>
      </c>
      <c r="D80" s="875" t="s">
        <v>15</v>
      </c>
      <c r="E80" s="872"/>
      <c r="F80" s="873">
        <f>+VLOOKUP($C$14:$C$84,THCKT!$C$317:$AE$395,17,0)</f>
        <v>24</v>
      </c>
      <c r="G80" s="874">
        <f t="shared" si="11"/>
        <v>600000</v>
      </c>
      <c r="H80" s="874"/>
      <c r="I80" s="874"/>
      <c r="J80" s="874"/>
      <c r="K80" s="874" t="e">
        <f>VLOOKUP(C80,THCKT!$C$13:$AL$460,21,0)</f>
        <v>#N/A</v>
      </c>
      <c r="L80" s="883">
        <f>VLOOKUP(C80,THCKT!$C$13:$AL$460,22,0)</f>
        <v>0</v>
      </c>
      <c r="M80" s="883">
        <f>VLOOKUP(C80,THCKT!$C$13:$AL$460,23,0)</f>
        <v>0</v>
      </c>
      <c r="N80" s="883" t="e">
        <f t="shared" si="12"/>
        <v>#N/A</v>
      </c>
      <c r="O80" s="883" t="e">
        <f t="shared" ref="O80:O84" si="17">Q80/((Q80/(N80*$F$9)*$F$8))</f>
        <v>#N/A</v>
      </c>
      <c r="P80" s="884" t="e">
        <f>VLOOKUP(C80,THCKT!$C$13:$AL$460,36,0)</f>
        <v>#N/A</v>
      </c>
      <c r="Q80" s="887" t="e">
        <f t="shared" si="14"/>
        <v>#N/A</v>
      </c>
      <c r="R80" s="874" t="e">
        <f>VLOOKUP(C80,'LƯƠNG KT'!$D$15:$P$94,16,0)</f>
        <v>#N/A</v>
      </c>
      <c r="S80" s="874" t="e">
        <f>VLOOKUP(C80,'LƯƠNG KT'!$D$15:$P$94,17,0)</f>
        <v>#N/A</v>
      </c>
      <c r="T80" s="874" t="e">
        <f>VLOOKUP(C80,'LƯƠNG KT'!$D$15:$P$94,18,0)</f>
        <v>#N/A</v>
      </c>
      <c r="U80" s="874" t="e">
        <f>VLOOKUP(C80,'LƯƠNG KT'!$D$15:$P$94,18,0)</f>
        <v>#N/A</v>
      </c>
      <c r="V80" s="874" t="e">
        <f>VLOOKUP(C80,'LƯƠNG KT'!$D$15:$P$94,19,0)</f>
        <v>#N/A</v>
      </c>
      <c r="W80" s="874" t="e">
        <f>VLOOKUP(C80,'LƯƠNG KT'!$D$15:$P$94,20,0)</f>
        <v>#N/A</v>
      </c>
      <c r="X80" s="874" t="e">
        <f>VLOOKUP(C80,'LƯƠNG KT'!$D$15:$P$94,22,0)</f>
        <v>#N/A</v>
      </c>
      <c r="Y80" s="874" t="e">
        <f>VLOOKUP(C80,'LƯƠNG KT'!$D$15:$P$94,23,0)</f>
        <v>#N/A</v>
      </c>
      <c r="Z80" s="874" t="e">
        <f>VLOOKUP(C80,'LƯƠNG KT'!$D$15:$P$94,24,0)</f>
        <v>#N/A</v>
      </c>
      <c r="AA80" s="874">
        <v>20</v>
      </c>
      <c r="AB80" s="874"/>
      <c r="AC80" s="889" t="e">
        <f t="shared" si="15"/>
        <v>#N/A</v>
      </c>
      <c r="AD80" s="889" t="e">
        <f t="shared" si="13"/>
        <v>#N/A</v>
      </c>
      <c r="AE80" s="889" t="e">
        <f t="shared" si="10"/>
        <v>#N/A</v>
      </c>
      <c r="AF80" s="927" t="e">
        <f>VLOOKUP(C80,'LƯƠNG KT'!#REF!,27,0)</f>
        <v>#REF!</v>
      </c>
      <c r="AG80" s="891" t="e">
        <f t="shared" si="16"/>
        <v>#N/A</v>
      </c>
      <c r="AH80" s="922" t="s">
        <v>2751</v>
      </c>
      <c r="AK80" s="923"/>
    </row>
    <row r="81" spans="1:38" s="540" customFormat="1" ht="17.25" customHeight="1">
      <c r="A81" s="868">
        <v>68</v>
      </c>
      <c r="B81" s="1644" t="str">
        <f>VLOOKUP(C81,'DS CN MOI UP'!$B$10:$C$389,2,0)</f>
        <v>02699</v>
      </c>
      <c r="C81" s="875" t="s">
        <v>273</v>
      </c>
      <c r="D81" s="875" t="s">
        <v>15</v>
      </c>
      <c r="E81" s="872"/>
      <c r="F81" s="873">
        <f>+VLOOKUP($C$14:$C$84,THCKT!$C$317:$AE$395,17,0)</f>
        <v>24</v>
      </c>
      <c r="G81" s="874">
        <f t="shared" si="11"/>
        <v>600000</v>
      </c>
      <c r="H81" s="874"/>
      <c r="I81" s="874"/>
      <c r="J81" s="874"/>
      <c r="K81" s="874" t="e">
        <f>VLOOKUP(C81,THCKT!$C$13:$AL$460,21,0)</f>
        <v>#N/A</v>
      </c>
      <c r="L81" s="883">
        <f>VLOOKUP(C81,THCKT!$C$13:$AL$460,22,0)</f>
        <v>0</v>
      </c>
      <c r="M81" s="883">
        <f>VLOOKUP(C81,THCKT!$C$13:$AL$460,23,0)</f>
        <v>0</v>
      </c>
      <c r="N81" s="883" t="e">
        <f t="shared" si="12"/>
        <v>#N/A</v>
      </c>
      <c r="O81" s="883"/>
      <c r="P81" s="884" t="e">
        <f>VLOOKUP(C81,THCKT!$C$13:$AL$460,36,0)</f>
        <v>#N/A</v>
      </c>
      <c r="Q81" s="887" t="e">
        <f t="shared" si="14"/>
        <v>#N/A</v>
      </c>
      <c r="R81" s="874" t="e">
        <f>VLOOKUP(C81,'LƯƠNG KT'!$D$15:$P$94,16,0)</f>
        <v>#N/A</v>
      </c>
      <c r="S81" s="874" t="e">
        <f>VLOOKUP(C81,'LƯƠNG KT'!$D$15:$P$94,17,0)</f>
        <v>#N/A</v>
      </c>
      <c r="T81" s="874" t="e">
        <f>VLOOKUP(C81,'LƯƠNG KT'!$D$15:$P$94,18,0)</f>
        <v>#N/A</v>
      </c>
      <c r="U81" s="874" t="e">
        <f>VLOOKUP(C81,'LƯƠNG KT'!$D$15:$P$94,18,0)</f>
        <v>#N/A</v>
      </c>
      <c r="V81" s="874" t="e">
        <f>VLOOKUP(C81,'LƯƠNG KT'!$D$15:$P$94,19,0)</f>
        <v>#N/A</v>
      </c>
      <c r="W81" s="874" t="e">
        <f>VLOOKUP(C81,'LƯƠNG KT'!$D$15:$P$94,20,0)</f>
        <v>#N/A</v>
      </c>
      <c r="X81" s="874" t="e">
        <f>VLOOKUP(C81,'LƯƠNG KT'!$D$15:$P$94,22,0)</f>
        <v>#N/A</v>
      </c>
      <c r="Y81" s="874" t="e">
        <f>VLOOKUP(C81,'LƯƠNG KT'!$D$15:$P$94,23,0)</f>
        <v>#N/A</v>
      </c>
      <c r="Z81" s="874" t="e">
        <f>VLOOKUP(C81,'LƯƠNG KT'!$D$15:$P$94,24,0)</f>
        <v>#N/A</v>
      </c>
      <c r="AA81" s="874">
        <v>20</v>
      </c>
      <c r="AB81" s="874"/>
      <c r="AC81" s="889" t="e">
        <f t="shared" si="15"/>
        <v>#N/A</v>
      </c>
      <c r="AD81" s="889" t="e">
        <f t="shared" si="13"/>
        <v>#N/A</v>
      </c>
      <c r="AE81" s="889" t="e">
        <f t="shared" si="10"/>
        <v>#N/A</v>
      </c>
      <c r="AF81" s="927" t="e">
        <f>VLOOKUP(C81,'LƯƠNG KT'!#REF!,27,0)</f>
        <v>#REF!</v>
      </c>
      <c r="AG81" s="891" t="e">
        <f t="shared" si="16"/>
        <v>#N/A</v>
      </c>
      <c r="AH81" s="922" t="s">
        <v>2751</v>
      </c>
      <c r="AK81" s="923"/>
    </row>
    <row r="82" spans="1:38" s="540" customFormat="1" ht="17.25" customHeight="1">
      <c r="A82" s="868">
        <v>69</v>
      </c>
      <c r="B82" s="1644" t="str">
        <f>VLOOKUP(C82,'DS CN MOI UP'!$B$10:$C$389,2,0)</f>
        <v>03400</v>
      </c>
      <c r="C82" s="875" t="s">
        <v>274</v>
      </c>
      <c r="D82" s="875" t="s">
        <v>15</v>
      </c>
      <c r="E82" s="872"/>
      <c r="F82" s="873">
        <f>+VLOOKUP($C$14:$C$84,THCKT!$C$317:$AE$395,17,0)</f>
        <v>24</v>
      </c>
      <c r="G82" s="874">
        <f t="shared" si="11"/>
        <v>600000</v>
      </c>
      <c r="H82" s="874"/>
      <c r="I82" s="874"/>
      <c r="J82" s="874"/>
      <c r="K82" s="874" t="e">
        <f>VLOOKUP(C82,THCKT!$C$13:$AL$460,21,0)</f>
        <v>#N/A</v>
      </c>
      <c r="L82" s="883">
        <f>VLOOKUP(C82,THCKT!$C$13:$AL$460,22,0)</f>
        <v>0</v>
      </c>
      <c r="M82" s="883">
        <f>VLOOKUP(C82,THCKT!$C$13:$AL$460,23,0)</f>
        <v>0</v>
      </c>
      <c r="N82" s="883" t="e">
        <f t="shared" si="12"/>
        <v>#N/A</v>
      </c>
      <c r="O82" s="883"/>
      <c r="P82" s="884" t="e">
        <f>VLOOKUP(C82,THCKT!$C$13:$AL$460,36,0)</f>
        <v>#N/A</v>
      </c>
      <c r="Q82" s="887" t="e">
        <f t="shared" si="14"/>
        <v>#N/A</v>
      </c>
      <c r="R82" s="874" t="e">
        <f>VLOOKUP(C82,'LƯƠNG KT'!$D$15:$P$94,16,0)</f>
        <v>#N/A</v>
      </c>
      <c r="S82" s="874" t="e">
        <f>VLOOKUP(C82,'LƯƠNG KT'!$D$15:$P$94,17,0)</f>
        <v>#N/A</v>
      </c>
      <c r="T82" s="874" t="e">
        <f>VLOOKUP(C82,'LƯƠNG KT'!$D$15:$P$94,18,0)</f>
        <v>#N/A</v>
      </c>
      <c r="U82" s="874" t="e">
        <f>VLOOKUP(C82,'LƯƠNG KT'!$D$15:$P$94,18,0)</f>
        <v>#N/A</v>
      </c>
      <c r="V82" s="874" t="e">
        <f>VLOOKUP(C82,'LƯƠNG KT'!$D$15:$P$94,19,0)</f>
        <v>#N/A</v>
      </c>
      <c r="W82" s="874" t="e">
        <f>VLOOKUP(C82,'LƯƠNG KT'!$D$15:$P$94,20,0)</f>
        <v>#N/A</v>
      </c>
      <c r="X82" s="874" t="e">
        <f>VLOOKUP(C82,'LƯƠNG KT'!$D$15:$P$94,22,0)</f>
        <v>#N/A</v>
      </c>
      <c r="Y82" s="874" t="e">
        <f>VLOOKUP(C82,'LƯƠNG KT'!$D$15:$P$94,23,0)</f>
        <v>#N/A</v>
      </c>
      <c r="Z82" s="874" t="e">
        <f>VLOOKUP(C82,'LƯƠNG KT'!$D$15:$P$94,24,0)</f>
        <v>#N/A</v>
      </c>
      <c r="AA82" s="874">
        <v>20</v>
      </c>
      <c r="AB82" s="874"/>
      <c r="AC82" s="889" t="e">
        <f t="shared" si="15"/>
        <v>#N/A</v>
      </c>
      <c r="AD82" s="889" t="e">
        <f t="shared" si="13"/>
        <v>#N/A</v>
      </c>
      <c r="AE82" s="889" t="e">
        <f t="shared" si="10"/>
        <v>#N/A</v>
      </c>
      <c r="AF82" s="927" t="e">
        <f>VLOOKUP(C82,'LƯƠNG KT'!#REF!,27,0)</f>
        <v>#REF!</v>
      </c>
      <c r="AG82" s="891" t="e">
        <f t="shared" si="16"/>
        <v>#N/A</v>
      </c>
      <c r="AH82" s="922" t="s">
        <v>2751</v>
      </c>
      <c r="AK82" s="923"/>
    </row>
    <row r="83" spans="1:38" s="540" customFormat="1" ht="17.25" customHeight="1">
      <c r="A83" s="868">
        <v>70</v>
      </c>
      <c r="B83" s="869" t="e">
        <f>VLOOKUP(C83,'DS CN MOI UP'!$B$10:$C$389,2,0)</f>
        <v>#N/A</v>
      </c>
      <c r="C83" s="875" t="s">
        <v>275</v>
      </c>
      <c r="D83" s="875" t="s">
        <v>15</v>
      </c>
      <c r="E83" s="872"/>
      <c r="F83" s="873">
        <f>+VLOOKUP($C$14:$C$84,THCKT!$C$317:$AE$395,17,0)</f>
        <v>24</v>
      </c>
      <c r="G83" s="874">
        <f t="shared" ref="G83:G84" si="18">F83*25000</f>
        <v>600000</v>
      </c>
      <c r="H83" s="874"/>
      <c r="I83" s="874"/>
      <c r="J83" s="874"/>
      <c r="K83" s="874" t="e">
        <f>VLOOKUP(C83,THCKT!$C$13:$AL$460,21,0)</f>
        <v>#N/A</v>
      </c>
      <c r="L83" s="883">
        <f>VLOOKUP(C83,THCKT!$C$13:$AL$460,22,0)</f>
        <v>0</v>
      </c>
      <c r="M83" s="883">
        <f>VLOOKUP(C83,THCKT!$C$13:$AL$460,23,0)</f>
        <v>0</v>
      </c>
      <c r="N83" s="883" t="e">
        <f t="shared" ref="N83:N84" si="19">$AI$8/$AI$7*K83+L83*$AI$9+M83*$AI$10</f>
        <v>#N/A</v>
      </c>
      <c r="O83" s="883" t="e">
        <f t="shared" si="17"/>
        <v>#N/A</v>
      </c>
      <c r="P83" s="884" t="e">
        <f>VLOOKUP(C83,THCKT!$C$13:$AL$460,36,0)</f>
        <v>#N/A</v>
      </c>
      <c r="Q83" s="887" t="e">
        <f t="shared" si="14"/>
        <v>#N/A</v>
      </c>
      <c r="R83" s="874" t="e">
        <f>VLOOKUP(C83,'LƯƠNG KT'!$D$15:$P$94,16,0)</f>
        <v>#N/A</v>
      </c>
      <c r="S83" s="874" t="e">
        <f>VLOOKUP(C83,'LƯƠNG KT'!$D$15:$P$94,17,0)</f>
        <v>#N/A</v>
      </c>
      <c r="T83" s="874" t="e">
        <f>VLOOKUP(C83,'LƯƠNG KT'!$D$15:$P$94,18,0)</f>
        <v>#N/A</v>
      </c>
      <c r="U83" s="874" t="e">
        <f>VLOOKUP(C83,'LƯƠNG KT'!$D$15:$P$94,18,0)</f>
        <v>#N/A</v>
      </c>
      <c r="V83" s="874" t="e">
        <f>VLOOKUP(C83,'LƯƠNG KT'!$D$15:$P$94,19,0)</f>
        <v>#N/A</v>
      </c>
      <c r="W83" s="874" t="e">
        <f>VLOOKUP(C83,'LƯƠNG KT'!$D$15:$P$94,20,0)</f>
        <v>#N/A</v>
      </c>
      <c r="X83" s="874" t="e">
        <f>VLOOKUP(C83,'LƯƠNG KT'!$D$15:$P$94,22,0)</f>
        <v>#N/A</v>
      </c>
      <c r="Y83" s="874" t="e">
        <f>VLOOKUP(C83,'LƯƠNG KT'!$D$15:$P$94,23,0)</f>
        <v>#N/A</v>
      </c>
      <c r="Z83" s="874" t="e">
        <f>VLOOKUP(C83,'LƯƠNG KT'!$D$15:$P$94,24,0)</f>
        <v>#N/A</v>
      </c>
      <c r="AA83" s="874">
        <v>20</v>
      </c>
      <c r="AB83" s="874"/>
      <c r="AC83" s="889" t="e">
        <f t="shared" si="15"/>
        <v>#N/A</v>
      </c>
      <c r="AD83" s="889" t="e">
        <f t="shared" ref="AD83:AD84" si="20">+AC83+Q83+G83</f>
        <v>#N/A</v>
      </c>
      <c r="AE83" s="889" t="e">
        <f t="shared" ref="AE83:AE84" si="21">AD83</f>
        <v>#N/A</v>
      </c>
      <c r="AF83" s="927" t="e">
        <f>VLOOKUP(C83,'LƯƠNG KT'!#REF!,27,0)</f>
        <v>#REF!</v>
      </c>
      <c r="AG83" s="891" t="e">
        <f t="shared" si="16"/>
        <v>#N/A</v>
      </c>
      <c r="AH83" s="922" t="s">
        <v>2751</v>
      </c>
      <c r="AK83" s="923"/>
    </row>
    <row r="84" spans="1:38" s="540" customFormat="1" ht="17.25" customHeight="1">
      <c r="A84" s="868">
        <v>71</v>
      </c>
      <c r="B84" s="869" t="e">
        <f>VLOOKUP(C84,'DS CN MOI UP'!$B$10:$C$389,2,0)</f>
        <v>#N/A</v>
      </c>
      <c r="C84" s="875" t="s">
        <v>276</v>
      </c>
      <c r="D84" s="875" t="s">
        <v>15</v>
      </c>
      <c r="E84" s="872"/>
      <c r="F84" s="873">
        <f>+VLOOKUP($C$14:$C$84,THCKT!$C$317:$AE$395,17,0)</f>
        <v>24</v>
      </c>
      <c r="G84" s="874">
        <f t="shared" si="18"/>
        <v>600000</v>
      </c>
      <c r="H84" s="874"/>
      <c r="I84" s="874"/>
      <c r="J84" s="874"/>
      <c r="K84" s="874" t="e">
        <f>VLOOKUP(C84,THCKT!$C$13:$AL$460,21,0)</f>
        <v>#N/A</v>
      </c>
      <c r="L84" s="883">
        <f>VLOOKUP(C84,THCKT!$C$13:$AL$460,22,0)</f>
        <v>0</v>
      </c>
      <c r="M84" s="883">
        <f>VLOOKUP(C84,THCKT!$C$13:$AL$460,23,0)</f>
        <v>0</v>
      </c>
      <c r="N84" s="883" t="e">
        <f t="shared" si="19"/>
        <v>#N/A</v>
      </c>
      <c r="O84" s="883" t="e">
        <f t="shared" si="17"/>
        <v>#N/A</v>
      </c>
      <c r="P84" s="884" t="e">
        <f>VLOOKUP(C84,THCKT!$C$13:$AL$460,36,0)</f>
        <v>#N/A</v>
      </c>
      <c r="Q84" s="887" t="e">
        <f t="shared" si="14"/>
        <v>#N/A</v>
      </c>
      <c r="R84" s="874" t="e">
        <f>VLOOKUP(C84,'LƯƠNG KT'!$D$15:$P$94,16,0)</f>
        <v>#N/A</v>
      </c>
      <c r="S84" s="874" t="e">
        <f>VLOOKUP(C84,'LƯƠNG KT'!$D$15:$P$94,17,0)</f>
        <v>#N/A</v>
      </c>
      <c r="T84" s="874" t="e">
        <f>VLOOKUP(C84,'LƯƠNG KT'!$D$15:$P$94,18,0)</f>
        <v>#N/A</v>
      </c>
      <c r="U84" s="874" t="e">
        <f>VLOOKUP(C84,'LƯƠNG KT'!$D$15:$P$94,18,0)</f>
        <v>#N/A</v>
      </c>
      <c r="V84" s="874" t="e">
        <f>VLOOKUP(C84,'LƯƠNG KT'!$D$15:$P$94,19,0)</f>
        <v>#N/A</v>
      </c>
      <c r="W84" s="874" t="e">
        <f>VLOOKUP(C84,'LƯƠNG KT'!$D$15:$P$94,20,0)</f>
        <v>#N/A</v>
      </c>
      <c r="X84" s="874" t="e">
        <f>VLOOKUP(C84,'LƯƠNG KT'!$D$15:$P$94,22,0)</f>
        <v>#N/A</v>
      </c>
      <c r="Y84" s="874" t="e">
        <f>VLOOKUP(C84,'LƯƠNG KT'!$D$15:$P$94,23,0)</f>
        <v>#N/A</v>
      </c>
      <c r="Z84" s="874" t="e">
        <f>VLOOKUP(C84,'LƯƠNG KT'!$D$15:$P$94,24,0)</f>
        <v>#N/A</v>
      </c>
      <c r="AA84" s="874">
        <v>20</v>
      </c>
      <c r="AB84" s="874"/>
      <c r="AC84" s="889" t="e">
        <f t="shared" si="15"/>
        <v>#N/A</v>
      </c>
      <c r="AD84" s="889" t="e">
        <f t="shared" si="20"/>
        <v>#N/A</v>
      </c>
      <c r="AE84" s="889" t="e">
        <f t="shared" si="21"/>
        <v>#N/A</v>
      </c>
      <c r="AF84" s="927" t="e">
        <f>VLOOKUP(C84,'LƯƠNG KT'!#REF!,27,0)</f>
        <v>#REF!</v>
      </c>
      <c r="AG84" s="891" t="e">
        <f t="shared" si="16"/>
        <v>#N/A</v>
      </c>
      <c r="AH84" s="922" t="s">
        <v>2751</v>
      </c>
      <c r="AK84" s="923"/>
    </row>
    <row r="85" spans="1:38" s="541" customFormat="1" ht="17.25" customHeight="1">
      <c r="A85" s="894" t="s">
        <v>2768</v>
      </c>
      <c r="B85" s="894"/>
      <c r="C85" s="911"/>
      <c r="D85" s="911"/>
      <c r="E85" s="912"/>
      <c r="F85" s="913">
        <f t="shared" ref="F85:AE85" si="22">SUM(F14:F84)</f>
        <v>1704</v>
      </c>
      <c r="G85" s="912">
        <f t="shared" si="22"/>
        <v>42600000</v>
      </c>
      <c r="H85" s="912">
        <f t="shared" si="22"/>
        <v>0</v>
      </c>
      <c r="I85" s="912">
        <f t="shared" si="22"/>
        <v>0</v>
      </c>
      <c r="J85" s="912">
        <f t="shared" si="22"/>
        <v>0</v>
      </c>
      <c r="K85" s="912" t="e">
        <f t="shared" si="22"/>
        <v>#N/A</v>
      </c>
      <c r="L85" s="912">
        <f t="shared" si="22"/>
        <v>0</v>
      </c>
      <c r="M85" s="912">
        <f t="shared" si="22"/>
        <v>0</v>
      </c>
      <c r="N85" s="912" t="e">
        <f t="shared" si="22"/>
        <v>#N/A</v>
      </c>
      <c r="O85" s="913" t="e">
        <f t="shared" si="22"/>
        <v>#N/A</v>
      </c>
      <c r="P85" s="912" t="e">
        <f t="shared" si="22"/>
        <v>#N/A</v>
      </c>
      <c r="Q85" s="912" t="e">
        <f t="shared" si="22"/>
        <v>#N/A</v>
      </c>
      <c r="R85" s="912" t="e">
        <f t="shared" si="22"/>
        <v>#N/A</v>
      </c>
      <c r="S85" s="912" t="e">
        <f t="shared" si="22"/>
        <v>#N/A</v>
      </c>
      <c r="T85" s="912" t="e">
        <f t="shared" si="22"/>
        <v>#N/A</v>
      </c>
      <c r="U85" s="912" t="e">
        <f t="shared" si="22"/>
        <v>#N/A</v>
      </c>
      <c r="V85" s="912" t="e">
        <f t="shared" si="22"/>
        <v>#N/A</v>
      </c>
      <c r="W85" s="912" t="e">
        <f t="shared" si="22"/>
        <v>#N/A</v>
      </c>
      <c r="X85" s="912" t="e">
        <f t="shared" si="22"/>
        <v>#N/A</v>
      </c>
      <c r="Y85" s="912" t="e">
        <f t="shared" si="22"/>
        <v>#N/A</v>
      </c>
      <c r="Z85" s="912" t="e">
        <f t="shared" si="22"/>
        <v>#N/A</v>
      </c>
      <c r="AA85" s="912">
        <f t="shared" si="22"/>
        <v>1420</v>
      </c>
      <c r="AB85" s="912">
        <f t="shared" si="22"/>
        <v>0</v>
      </c>
      <c r="AC85" s="912" t="e">
        <f t="shared" si="22"/>
        <v>#N/A</v>
      </c>
      <c r="AD85" s="912" t="e">
        <f t="shared" si="22"/>
        <v>#N/A</v>
      </c>
      <c r="AE85" s="912" t="e">
        <f t="shared" si="22"/>
        <v>#N/A</v>
      </c>
      <c r="AF85" s="916" t="e">
        <f>+'LƯƠNG KT'!#REF!</f>
        <v>#REF!</v>
      </c>
      <c r="AG85" s="924" t="e">
        <f>+AF85-AF86</f>
        <v>#REF!</v>
      </c>
      <c r="AH85" s="929" t="e">
        <f>+Q85+'Đội 5 - KV71ha'!Q21</f>
        <v>#N/A</v>
      </c>
      <c r="AI85" s="925"/>
    </row>
    <row r="86" spans="1:38" s="541" customFormat="1" ht="17.25" customHeight="1">
      <c r="A86" s="2658" t="s">
        <v>2769</v>
      </c>
      <c r="B86" s="2658"/>
      <c r="C86" s="2658"/>
      <c r="D86" s="2658"/>
      <c r="E86" s="2658"/>
      <c r="F86" s="2658"/>
      <c r="G86" s="2658"/>
      <c r="H86" s="2658"/>
      <c r="I86" s="2658"/>
      <c r="J86" s="2658"/>
      <c r="K86" s="2658"/>
      <c r="L86" s="2658"/>
      <c r="M86" s="2658"/>
      <c r="N86" s="2658"/>
      <c r="O86" s="2658"/>
      <c r="P86" s="2658"/>
      <c r="Q86" s="2658"/>
      <c r="R86" s="2658"/>
      <c r="S86" s="2658"/>
      <c r="T86" s="2658"/>
      <c r="U86" s="2658"/>
      <c r="V86" s="2658"/>
      <c r="W86" s="2658"/>
      <c r="X86" s="2658"/>
      <c r="Y86" s="2658"/>
      <c r="Z86" s="2658"/>
      <c r="AA86" s="2658"/>
      <c r="AB86" s="2658"/>
      <c r="AC86" s="2658"/>
      <c r="AD86" s="2658"/>
      <c r="AE86" s="2658"/>
      <c r="AF86" s="630" t="e">
        <f>+AE85+'Đội 5 - KV71ha'!AE21</f>
        <v>#N/A</v>
      </c>
      <c r="AG86" s="631"/>
      <c r="AH86" s="629" t="e">
        <f>+#REF!+'LƯƠNG BV9THUC'!J13</f>
        <v>#REF!</v>
      </c>
      <c r="AI86" s="638" t="e">
        <f>+#REF!-#REF!</f>
        <v>#REF!</v>
      </c>
      <c r="AJ86" s="612"/>
      <c r="AK86" s="612"/>
    </row>
    <row r="87" spans="1:38" s="600" customFormat="1" ht="24" customHeight="1">
      <c r="A87" s="899" t="s">
        <v>2770</v>
      </c>
      <c r="B87" s="899"/>
      <c r="C87" s="900"/>
      <c r="F87" s="901"/>
      <c r="G87" s="902"/>
      <c r="H87" s="902"/>
      <c r="I87" s="902"/>
      <c r="J87" s="902"/>
      <c r="K87" s="902"/>
      <c r="L87" s="903"/>
      <c r="M87" s="903"/>
      <c r="N87" s="903"/>
      <c r="O87" s="903"/>
      <c r="P87" s="904"/>
      <c r="Q87" s="902"/>
      <c r="R87" s="906"/>
      <c r="S87" s="907"/>
      <c r="T87" s="907"/>
      <c r="U87" s="907"/>
      <c r="V87" s="907"/>
      <c r="W87" s="907"/>
      <c r="X87" s="907"/>
      <c r="Y87" s="907"/>
      <c r="Z87" s="907"/>
      <c r="AA87" s="907"/>
      <c r="AB87" s="907"/>
      <c r="AC87" s="2659" t="s">
        <v>2753</v>
      </c>
      <c r="AD87" s="2659"/>
      <c r="AE87" s="2659"/>
      <c r="AF87" s="632" t="e">
        <f>+AE85-#REF!</f>
        <v>#N/A</v>
      </c>
      <c r="AG87" s="632"/>
      <c r="AH87" s="633" t="e">
        <f>+AH86-'BẢNG PHÂN TOÁN'!#REF!</f>
        <v>#REF!</v>
      </c>
      <c r="AI87" s="639" t="e">
        <f>SUM(#REF!)</f>
        <v>#REF!</v>
      </c>
    </row>
    <row r="88" spans="1:38" s="157" customFormat="1" ht="15.95" customHeight="1">
      <c r="C88" s="2335" t="s">
        <v>1921</v>
      </c>
      <c r="D88" s="2335"/>
      <c r="E88" s="2335"/>
      <c r="F88" s="2335"/>
      <c r="G88" s="2335" t="s">
        <v>616</v>
      </c>
      <c r="H88" s="2335"/>
      <c r="I88" s="2335"/>
      <c r="J88" s="2335"/>
      <c r="K88" s="2335"/>
      <c r="L88" s="2335"/>
      <c r="M88" s="2335"/>
      <c r="N88" s="2335"/>
      <c r="O88" s="2335"/>
      <c r="P88" s="2335"/>
      <c r="Q88" s="2335" t="s">
        <v>2391</v>
      </c>
      <c r="R88" s="2335"/>
      <c r="S88" s="2335"/>
      <c r="T88" s="2335"/>
      <c r="U88" s="2335"/>
      <c r="V88" s="2335"/>
      <c r="W88" s="2335"/>
      <c r="X88" s="2335"/>
      <c r="Y88" s="2335"/>
      <c r="Z88" s="2335"/>
      <c r="AA88" s="2335"/>
      <c r="AB88" s="2335"/>
      <c r="AC88" s="2335"/>
      <c r="AD88" s="2335" t="s">
        <v>612</v>
      </c>
      <c r="AE88" s="2335"/>
      <c r="AH88" s="926" t="e">
        <f>+#REF!+#REF!+#REF!+#REF!+#REF!+#REF!</f>
        <v>#REF!</v>
      </c>
      <c r="AI88" s="635" t="e">
        <f>+AI87+#REF!</f>
        <v>#REF!</v>
      </c>
      <c r="AJ88" s="158"/>
      <c r="AK88" s="158"/>
      <c r="AL88" s="200"/>
    </row>
    <row r="89" spans="1:38" s="158" customFormat="1" ht="15">
      <c r="D89" s="611"/>
      <c r="E89" s="620"/>
      <c r="F89" s="611"/>
      <c r="G89" s="613"/>
      <c r="H89" s="613"/>
      <c r="I89" s="613"/>
      <c r="J89" s="613"/>
      <c r="K89" s="726"/>
      <c r="L89" s="734"/>
      <c r="M89" s="734"/>
      <c r="N89" s="734"/>
      <c r="O89" s="734"/>
      <c r="P89" s="201"/>
      <c r="Q89" s="201"/>
      <c r="R89" s="201"/>
      <c r="AC89" s="745"/>
      <c r="AD89" s="200"/>
      <c r="AF89" s="200">
        <v>70718223</v>
      </c>
      <c r="AG89" s="620"/>
      <c r="AH89" s="620"/>
      <c r="AI89" s="620" t="e">
        <f>+AI88-#REF!</f>
        <v>#REF!</v>
      </c>
      <c r="AL89" s="200"/>
    </row>
    <row r="90" spans="1:38" s="158" customFormat="1" ht="15">
      <c r="D90" s="611"/>
      <c r="E90" s="620"/>
      <c r="F90" s="614"/>
      <c r="G90" s="613"/>
      <c r="H90" s="613"/>
      <c r="I90" s="613"/>
      <c r="J90" s="613"/>
      <c r="K90" s="726"/>
      <c r="L90" s="734"/>
      <c r="M90" s="734"/>
      <c r="N90" s="734"/>
      <c r="O90" s="734"/>
      <c r="P90" s="201"/>
      <c r="Q90" s="201"/>
      <c r="R90" s="201"/>
      <c r="AC90" s="745"/>
      <c r="AD90" s="200"/>
      <c r="AF90" s="200" t="e">
        <f>+AC85+'Đội 5 - KV71ha'!AC21</f>
        <v>#N/A</v>
      </c>
      <c r="AG90" s="620"/>
      <c r="AH90" s="620"/>
      <c r="AL90" s="200"/>
    </row>
    <row r="91" spans="1:38" s="158" customFormat="1" ht="51.75" customHeight="1">
      <c r="D91" s="200"/>
      <c r="E91" s="200"/>
      <c r="F91" s="615"/>
      <c r="G91" s="613"/>
      <c r="H91" s="613"/>
      <c r="I91" s="613"/>
      <c r="J91" s="613"/>
      <c r="K91" s="2654"/>
      <c r="L91" s="2654"/>
      <c r="M91" s="2654"/>
      <c r="N91" s="2654"/>
      <c r="O91" s="905"/>
      <c r="P91" s="2655"/>
      <c r="Q91" s="2655"/>
      <c r="S91" s="748"/>
      <c r="T91" s="748"/>
      <c r="U91" s="748"/>
      <c r="V91" s="748"/>
      <c r="W91" s="748"/>
      <c r="X91" s="748"/>
      <c r="Y91" s="748"/>
      <c r="Z91" s="748"/>
      <c r="AA91" s="748"/>
      <c r="AB91" s="748"/>
      <c r="AC91" s="745"/>
      <c r="AD91" s="2656"/>
      <c r="AE91" s="2656"/>
      <c r="AF91" s="200" t="e">
        <f>+AF90-AF89</f>
        <v>#N/A</v>
      </c>
      <c r="AG91" s="620"/>
      <c r="AH91" s="635"/>
      <c r="AI91" s="604"/>
    </row>
    <row r="92" spans="1:38" s="158" customFormat="1">
      <c r="D92" s="616"/>
      <c r="E92" s="172"/>
      <c r="F92" s="615"/>
      <c r="G92" s="200"/>
      <c r="H92" s="200"/>
      <c r="I92" s="200"/>
      <c r="J92" s="200"/>
      <c r="K92" s="2656"/>
      <c r="L92" s="2656"/>
      <c r="M92" s="634"/>
      <c r="N92" s="734"/>
      <c r="O92" s="734"/>
      <c r="P92" s="2657"/>
      <c r="Q92" s="2657"/>
      <c r="R92" s="2657"/>
      <c r="S92" s="908"/>
      <c r="T92" s="908"/>
      <c r="U92" s="908"/>
      <c r="V92" s="908"/>
      <c r="W92" s="908"/>
      <c r="X92" s="908"/>
      <c r="Y92" s="908"/>
      <c r="Z92" s="908"/>
      <c r="AA92" s="908"/>
      <c r="AB92" s="908"/>
      <c r="AC92" s="2656"/>
      <c r="AD92" s="2656"/>
      <c r="AG92" s="620"/>
      <c r="AI92" s="604"/>
    </row>
    <row r="93" spans="1:38" s="158" customFormat="1">
      <c r="C93" s="2335" t="s">
        <v>1924</v>
      </c>
      <c r="D93" s="2335"/>
      <c r="E93" s="2335"/>
      <c r="F93" s="2335"/>
      <c r="G93" s="2649" t="s">
        <v>2771</v>
      </c>
      <c r="H93" s="2649"/>
      <c r="I93" s="2649"/>
      <c r="J93" s="2649"/>
      <c r="K93" s="2649"/>
      <c r="L93" s="2649"/>
      <c r="M93" s="2649"/>
      <c r="N93" s="2649"/>
      <c r="O93" s="2649"/>
      <c r="P93" s="2646"/>
      <c r="Q93" s="2646"/>
      <c r="R93" s="201"/>
      <c r="S93" s="747"/>
      <c r="T93" s="747"/>
      <c r="U93" s="747"/>
      <c r="V93" s="747"/>
      <c r="W93" s="747"/>
      <c r="X93" s="747"/>
      <c r="Y93" s="747"/>
      <c r="Z93" s="747"/>
      <c r="AA93" s="747"/>
      <c r="AB93" s="747"/>
      <c r="AC93" s="745"/>
      <c r="AD93" s="2650" t="s">
        <v>613</v>
      </c>
      <c r="AE93" s="2650"/>
      <c r="AG93" s="620"/>
      <c r="AH93" s="200"/>
      <c r="AI93" s="604"/>
    </row>
    <row r="94" spans="1:38" s="158" customFormat="1" ht="14.25" customHeight="1">
      <c r="C94" s="617"/>
      <c r="D94" s="617"/>
      <c r="E94" s="617"/>
      <c r="F94" s="2651"/>
      <c r="G94" s="2651"/>
      <c r="H94" s="2651"/>
      <c r="I94" s="2651"/>
      <c r="J94" s="2651"/>
      <c r="K94" s="2651"/>
      <c r="L94" s="2652"/>
      <c r="M94" s="2652"/>
      <c r="N94" s="2652"/>
      <c r="O94" s="749"/>
      <c r="P94" s="2653"/>
      <c r="Q94" s="2653"/>
      <c r="R94" s="201"/>
      <c r="AC94" s="745"/>
      <c r="AD94" s="200"/>
      <c r="AE94" s="172"/>
      <c r="AG94" s="620"/>
      <c r="AI94" s="604"/>
    </row>
    <row r="95" spans="1:38" s="158" customFormat="1">
      <c r="C95" s="618"/>
      <c r="E95" s="200"/>
      <c r="F95" s="2647"/>
      <c r="G95" s="2647"/>
      <c r="H95" s="2647"/>
      <c r="I95" s="2647"/>
      <c r="J95" s="2647"/>
      <c r="K95" s="2647"/>
      <c r="L95" s="750"/>
      <c r="M95" s="750"/>
      <c r="N95" s="2648"/>
      <c r="O95" s="2648"/>
      <c r="P95" s="2648"/>
      <c r="Q95" s="2646"/>
      <c r="R95" s="2646"/>
      <c r="S95" s="201"/>
      <c r="T95" s="201"/>
      <c r="U95" s="201"/>
      <c r="V95" s="201"/>
      <c r="W95" s="201"/>
      <c r="X95" s="201"/>
      <c r="Y95" s="201"/>
      <c r="Z95" s="201"/>
      <c r="AA95" s="201"/>
      <c r="AB95" s="201"/>
      <c r="AC95" s="745"/>
      <c r="AD95" s="200"/>
      <c r="AE95" s="734"/>
      <c r="AG95" s="620"/>
      <c r="AI95" s="604"/>
    </row>
    <row r="96" spans="1:38" s="158" customFormat="1">
      <c r="E96" s="200"/>
      <c r="F96" s="619"/>
      <c r="G96" s="2645"/>
      <c r="H96" s="2645"/>
      <c r="I96" s="2645"/>
      <c r="J96" s="2645"/>
      <c r="K96" s="2645"/>
      <c r="L96" s="750"/>
      <c r="M96" s="750"/>
      <c r="N96" s="750"/>
      <c r="O96" s="750"/>
      <c r="P96" s="201"/>
      <c r="Q96" s="2646"/>
      <c r="R96" s="2646"/>
      <c r="AC96" s="745"/>
      <c r="AD96" s="200"/>
      <c r="AG96" s="620"/>
      <c r="AH96" s="618" t="e">
        <f>+#REF!+#REF!+#REF!+#REF!+#REF!+#REF!</f>
        <v>#REF!</v>
      </c>
      <c r="AI96" s="604"/>
    </row>
    <row r="97" spans="3:35" s="158" customFormat="1">
      <c r="C97" s="200"/>
      <c r="E97" s="200"/>
      <c r="F97" s="619"/>
      <c r="G97" s="2645"/>
      <c r="H97" s="2645"/>
      <c r="I97" s="2645"/>
      <c r="J97" s="2645"/>
      <c r="K97" s="2645"/>
      <c r="L97" s="750"/>
      <c r="M97" s="750"/>
      <c r="N97" s="750"/>
      <c r="O97" s="750"/>
      <c r="P97" s="201"/>
      <c r="Q97" s="2646"/>
      <c r="R97" s="2646"/>
      <c r="S97" s="618"/>
      <c r="T97" s="618"/>
      <c r="U97" s="618"/>
      <c r="V97" s="618"/>
      <c r="W97" s="618"/>
      <c r="X97" s="618"/>
      <c r="Y97" s="618"/>
      <c r="Z97" s="618"/>
      <c r="AA97" s="618"/>
      <c r="AB97" s="618"/>
      <c r="AC97" s="745"/>
      <c r="AD97" s="200"/>
      <c r="AG97" s="620"/>
      <c r="AI97" s="604"/>
    </row>
    <row r="98" spans="3:35" s="158" customFormat="1">
      <c r="E98" s="200"/>
      <c r="F98" s="619"/>
      <c r="G98" s="2645"/>
      <c r="H98" s="2645"/>
      <c r="I98" s="2645"/>
      <c r="J98" s="2645"/>
      <c r="K98" s="2645"/>
      <c r="L98" s="750"/>
      <c r="M98" s="750"/>
      <c r="N98" s="750"/>
      <c r="O98" s="750"/>
      <c r="P98" s="201"/>
      <c r="Q98" s="2646"/>
      <c r="R98" s="2646"/>
      <c r="S98" s="200"/>
      <c r="T98" s="200"/>
      <c r="U98" s="200"/>
      <c r="V98" s="200"/>
      <c r="W98" s="200"/>
      <c r="X98" s="200"/>
      <c r="Y98" s="200"/>
      <c r="Z98" s="200"/>
      <c r="AA98" s="200"/>
      <c r="AB98" s="200"/>
      <c r="AC98" s="745"/>
      <c r="AD98" s="200"/>
      <c r="AG98" s="620"/>
      <c r="AI98" s="604"/>
    </row>
    <row r="99" spans="3:35" s="158" customFormat="1">
      <c r="E99" s="200"/>
      <c r="F99" s="619"/>
      <c r="G99" s="2645"/>
      <c r="H99" s="2645"/>
      <c r="I99" s="2645"/>
      <c r="J99" s="2645"/>
      <c r="K99" s="2645"/>
      <c r="L99" s="750"/>
      <c r="M99" s="750"/>
      <c r="N99" s="750"/>
      <c r="O99" s="750"/>
      <c r="P99" s="201"/>
      <c r="Q99" s="2646"/>
      <c r="R99" s="2646"/>
      <c r="S99" s="200"/>
      <c r="T99" s="200"/>
      <c r="U99" s="200"/>
      <c r="V99" s="200"/>
      <c r="W99" s="200"/>
      <c r="X99" s="200"/>
      <c r="Y99" s="200"/>
      <c r="Z99" s="200"/>
      <c r="AA99" s="200"/>
      <c r="AB99" s="200"/>
      <c r="AC99" s="745"/>
      <c r="AD99" s="200"/>
      <c r="AG99" s="620"/>
      <c r="AI99" s="604"/>
    </row>
    <row r="100" spans="3:35" s="158" customFormat="1">
      <c r="E100" s="200"/>
      <c r="F100" s="619"/>
      <c r="G100" s="613"/>
      <c r="H100" s="613"/>
      <c r="I100" s="613"/>
      <c r="J100" s="613"/>
      <c r="K100" s="746"/>
      <c r="L100" s="752"/>
      <c r="M100" s="752"/>
      <c r="N100" s="752"/>
      <c r="O100" s="752"/>
      <c r="P100" s="201"/>
      <c r="Q100" s="201"/>
      <c r="R100" s="201"/>
      <c r="AC100" s="745"/>
      <c r="AD100" s="200"/>
      <c r="AG100" s="620"/>
      <c r="AI100" s="604"/>
    </row>
    <row r="101" spans="3:35" s="158" customFormat="1">
      <c r="C101" s="620"/>
      <c r="E101" s="200"/>
      <c r="F101" s="619"/>
      <c r="G101" s="613"/>
      <c r="H101" s="613"/>
      <c r="I101" s="613"/>
      <c r="J101" s="613"/>
      <c r="K101" s="726"/>
      <c r="L101" s="734"/>
      <c r="M101" s="734"/>
      <c r="N101" s="734"/>
      <c r="O101" s="734"/>
      <c r="P101" s="201"/>
      <c r="Q101" s="201"/>
      <c r="R101" s="201"/>
      <c r="AC101" s="745"/>
      <c r="AD101" s="200"/>
      <c r="AG101" s="620"/>
      <c r="AI101" s="604"/>
    </row>
    <row r="102" spans="3:35" s="158" customFormat="1">
      <c r="E102" s="200"/>
      <c r="F102" s="621"/>
      <c r="G102" s="613"/>
      <c r="H102" s="613"/>
      <c r="I102" s="613"/>
      <c r="J102" s="613"/>
      <c r="K102" s="726"/>
      <c r="L102" s="734"/>
      <c r="M102" s="734"/>
      <c r="N102" s="734"/>
      <c r="O102" s="734"/>
      <c r="P102" s="201"/>
      <c r="Q102" s="201"/>
      <c r="R102" s="201"/>
      <c r="S102" s="746"/>
      <c r="T102" s="746"/>
      <c r="U102" s="746"/>
      <c r="V102" s="746"/>
      <c r="W102" s="746"/>
      <c r="X102" s="746"/>
      <c r="Y102" s="746"/>
      <c r="Z102" s="746"/>
      <c r="AA102" s="746"/>
      <c r="AB102" s="746"/>
      <c r="AC102" s="745"/>
      <c r="AD102" s="200"/>
      <c r="AG102" s="620"/>
      <c r="AI102" s="604"/>
    </row>
    <row r="103" spans="3:35" s="158" customFormat="1">
      <c r="E103" s="200"/>
      <c r="F103" s="621"/>
      <c r="G103" s="613"/>
      <c r="H103" s="613"/>
      <c r="I103" s="613"/>
      <c r="J103" s="613"/>
      <c r="K103" s="726"/>
      <c r="L103" s="734"/>
      <c r="M103" s="734"/>
      <c r="N103" s="734"/>
      <c r="O103" s="734"/>
      <c r="P103" s="201"/>
      <c r="Q103" s="201"/>
      <c r="R103" s="201"/>
      <c r="S103" s="909"/>
      <c r="T103" s="909"/>
      <c r="U103" s="909"/>
      <c r="V103" s="909"/>
      <c r="W103" s="909"/>
      <c r="X103" s="909"/>
      <c r="Y103" s="909"/>
      <c r="Z103" s="909"/>
      <c r="AA103" s="909"/>
      <c r="AB103" s="909"/>
      <c r="AC103" s="745"/>
      <c r="AD103" s="200"/>
      <c r="AG103" s="620"/>
      <c r="AI103" s="604"/>
    </row>
    <row r="104" spans="3:35" s="158" customFormat="1">
      <c r="E104" s="200"/>
      <c r="F104" s="621"/>
      <c r="G104" s="613"/>
      <c r="H104" s="613"/>
      <c r="I104" s="613"/>
      <c r="J104" s="613"/>
      <c r="K104" s="726"/>
      <c r="L104" s="734"/>
      <c r="M104" s="734"/>
      <c r="N104" s="734"/>
      <c r="O104" s="734"/>
      <c r="P104" s="201"/>
      <c r="Q104" s="201"/>
      <c r="R104" s="201"/>
      <c r="AC104" s="745"/>
      <c r="AD104" s="200"/>
      <c r="AG104" s="620"/>
      <c r="AI104" s="604"/>
    </row>
    <row r="105" spans="3:35" s="158" customFormat="1">
      <c r="E105" s="200"/>
      <c r="F105" s="621"/>
      <c r="G105" s="613"/>
      <c r="H105" s="613"/>
      <c r="I105" s="613"/>
      <c r="J105" s="613"/>
      <c r="K105" s="726"/>
      <c r="L105" s="734"/>
      <c r="M105" s="734"/>
      <c r="N105" s="734"/>
      <c r="O105" s="734"/>
      <c r="P105" s="201"/>
      <c r="Q105" s="201"/>
      <c r="R105" s="201"/>
      <c r="AC105" s="745"/>
      <c r="AD105" s="200"/>
      <c r="AG105" s="620"/>
      <c r="AI105" s="604"/>
    </row>
    <row r="106" spans="3:35" s="158" customFormat="1">
      <c r="E106" s="200"/>
      <c r="F106" s="621"/>
      <c r="G106" s="613"/>
      <c r="H106" s="613"/>
      <c r="I106" s="613"/>
      <c r="J106" s="613"/>
      <c r="K106" s="726"/>
      <c r="L106" s="734"/>
      <c r="M106" s="734"/>
      <c r="N106" s="734"/>
      <c r="O106" s="734"/>
      <c r="P106" s="201"/>
      <c r="Q106" s="201"/>
      <c r="R106" s="201"/>
      <c r="AC106" s="745"/>
      <c r="AD106" s="200"/>
      <c r="AG106" s="620"/>
      <c r="AI106" s="604"/>
    </row>
    <row r="107" spans="3:35" s="158" customFormat="1">
      <c r="E107" s="200"/>
      <c r="F107" s="621"/>
      <c r="G107" s="613"/>
      <c r="H107" s="613"/>
      <c r="I107" s="613"/>
      <c r="J107" s="613"/>
      <c r="K107" s="726"/>
      <c r="L107" s="734"/>
      <c r="M107" s="734"/>
      <c r="N107" s="734"/>
      <c r="O107" s="734"/>
      <c r="P107" s="201"/>
      <c r="Q107" s="201"/>
      <c r="R107" s="201"/>
      <c r="AC107" s="745"/>
      <c r="AD107" s="200"/>
      <c r="AG107" s="620"/>
      <c r="AI107" s="604"/>
    </row>
    <row r="108" spans="3:35" s="158" customFormat="1">
      <c r="E108" s="200"/>
      <c r="F108" s="621"/>
      <c r="G108" s="613"/>
      <c r="H108" s="613"/>
      <c r="I108" s="613"/>
      <c r="J108" s="613"/>
      <c r="K108" s="726"/>
      <c r="L108" s="734"/>
      <c r="M108" s="734"/>
      <c r="N108" s="734"/>
      <c r="O108" s="734"/>
      <c r="P108" s="201"/>
      <c r="Q108" s="201"/>
      <c r="R108" s="201"/>
      <c r="AC108" s="745"/>
      <c r="AD108" s="200"/>
      <c r="AG108" s="620"/>
      <c r="AI108" s="604"/>
    </row>
    <row r="109" spans="3:35" s="158" customFormat="1">
      <c r="E109" s="200"/>
      <c r="F109" s="621"/>
      <c r="G109" s="613"/>
      <c r="H109" s="613"/>
      <c r="I109" s="613"/>
      <c r="J109" s="613"/>
      <c r="K109" s="726"/>
      <c r="L109" s="734"/>
      <c r="M109" s="734"/>
      <c r="N109" s="734"/>
      <c r="O109" s="734"/>
      <c r="P109" s="201"/>
      <c r="Q109" s="201"/>
      <c r="R109" s="201"/>
      <c r="V109" s="200" t="e">
        <f>SUM(V15:V108)</f>
        <v>#N/A</v>
      </c>
      <c r="AC109" s="745"/>
      <c r="AD109" s="200"/>
      <c r="AG109" s="620"/>
      <c r="AI109" s="604"/>
    </row>
    <row r="110" spans="3:35" s="158" customFormat="1">
      <c r="E110" s="200"/>
      <c r="F110" s="621"/>
      <c r="G110" s="613"/>
      <c r="H110" s="613"/>
      <c r="I110" s="613"/>
      <c r="J110" s="613"/>
      <c r="K110" s="726"/>
      <c r="L110" s="734"/>
      <c r="M110" s="734"/>
      <c r="N110" s="734"/>
      <c r="O110" s="734"/>
      <c r="P110" s="201"/>
      <c r="Q110" s="201"/>
      <c r="R110" s="201"/>
      <c r="AC110" s="745"/>
      <c r="AD110" s="200"/>
      <c r="AG110" s="620"/>
      <c r="AI110" s="604"/>
    </row>
    <row r="111" spans="3:35" s="158" customFormat="1">
      <c r="E111" s="200"/>
      <c r="F111" s="621"/>
      <c r="G111" s="613"/>
      <c r="H111" s="613"/>
      <c r="I111" s="613"/>
      <c r="J111" s="613"/>
      <c r="K111" s="726"/>
      <c r="L111" s="734"/>
      <c r="M111" s="734"/>
      <c r="N111" s="734"/>
      <c r="O111" s="734"/>
      <c r="P111" s="201"/>
      <c r="Q111" s="201"/>
      <c r="R111" s="201"/>
      <c r="AC111" s="745"/>
      <c r="AD111" s="200"/>
      <c r="AG111" s="620"/>
      <c r="AI111" s="604"/>
    </row>
    <row r="112" spans="3:35" s="158" customFormat="1">
      <c r="E112" s="200"/>
      <c r="F112" s="621"/>
      <c r="G112" s="613"/>
      <c r="H112" s="613"/>
      <c r="I112" s="613"/>
      <c r="J112" s="613"/>
      <c r="K112" s="726"/>
      <c r="L112" s="734"/>
      <c r="M112" s="734"/>
      <c r="N112" s="734"/>
      <c r="O112" s="734"/>
      <c r="P112" s="201"/>
      <c r="Q112" s="201"/>
      <c r="R112" s="201"/>
      <c r="AC112" s="745"/>
      <c r="AD112" s="200"/>
      <c r="AG112" s="620"/>
      <c r="AI112" s="604"/>
    </row>
    <row r="113" spans="5:35" s="158" customFormat="1">
      <c r="E113" s="200"/>
      <c r="F113" s="621"/>
      <c r="G113" s="613"/>
      <c r="H113" s="613"/>
      <c r="I113" s="613"/>
      <c r="J113" s="613"/>
      <c r="K113" s="726"/>
      <c r="L113" s="734"/>
      <c r="M113" s="734"/>
      <c r="N113" s="734"/>
      <c r="O113" s="734"/>
      <c r="P113" s="201"/>
      <c r="Q113" s="201"/>
      <c r="R113" s="201"/>
      <c r="AC113" s="745"/>
      <c r="AD113" s="200"/>
      <c r="AG113" s="620"/>
      <c r="AI113" s="604"/>
    </row>
    <row r="114" spans="5:35" s="158" customFormat="1">
      <c r="E114" s="200"/>
      <c r="F114" s="621"/>
      <c r="G114" s="613"/>
      <c r="H114" s="613"/>
      <c r="I114" s="613"/>
      <c r="J114" s="613"/>
      <c r="K114" s="726"/>
      <c r="L114" s="734"/>
      <c r="M114" s="734"/>
      <c r="N114" s="734"/>
      <c r="O114" s="734"/>
      <c r="P114" s="201"/>
      <c r="Q114" s="201"/>
      <c r="R114" s="201"/>
      <c r="AC114" s="745"/>
      <c r="AD114" s="200"/>
      <c r="AG114" s="620"/>
      <c r="AI114" s="604"/>
    </row>
    <row r="115" spans="5:35" s="158" customFormat="1">
      <c r="E115" s="200"/>
      <c r="F115" s="621"/>
      <c r="G115" s="613"/>
      <c r="H115" s="613"/>
      <c r="I115" s="613"/>
      <c r="J115" s="613"/>
      <c r="K115" s="726"/>
      <c r="L115" s="734"/>
      <c r="M115" s="734"/>
      <c r="N115" s="734"/>
      <c r="O115" s="734"/>
      <c r="P115" s="201"/>
      <c r="Q115" s="201"/>
      <c r="R115" s="201"/>
      <c r="AC115" s="745"/>
      <c r="AD115" s="200"/>
      <c r="AG115" s="620"/>
      <c r="AI115" s="604"/>
    </row>
    <row r="116" spans="5:35" s="158" customFormat="1">
      <c r="E116" s="200"/>
      <c r="F116" s="621"/>
      <c r="G116" s="613"/>
      <c r="H116" s="613"/>
      <c r="I116" s="613"/>
      <c r="J116" s="613"/>
      <c r="K116" s="726"/>
      <c r="L116" s="734"/>
      <c r="M116" s="734"/>
      <c r="N116" s="734"/>
      <c r="O116" s="734"/>
      <c r="P116" s="201"/>
      <c r="Q116" s="201"/>
      <c r="R116" s="201"/>
      <c r="AC116" s="745"/>
      <c r="AD116" s="200"/>
      <c r="AG116" s="620"/>
      <c r="AI116" s="604"/>
    </row>
    <row r="117" spans="5:35" s="158" customFormat="1">
      <c r="E117" s="200"/>
      <c r="F117" s="621"/>
      <c r="G117" s="613"/>
      <c r="H117" s="613"/>
      <c r="I117" s="613"/>
      <c r="J117" s="613"/>
      <c r="K117" s="726"/>
      <c r="L117" s="734"/>
      <c r="M117" s="734"/>
      <c r="N117" s="734"/>
      <c r="O117" s="734"/>
      <c r="P117" s="201"/>
      <c r="Q117" s="201"/>
      <c r="R117" s="201"/>
      <c r="AC117" s="745"/>
      <c r="AD117" s="200"/>
      <c r="AG117" s="620"/>
      <c r="AI117" s="604"/>
    </row>
    <row r="118" spans="5:35" s="158" customFormat="1">
      <c r="E118" s="200"/>
      <c r="F118" s="621"/>
      <c r="G118" s="613"/>
      <c r="H118" s="613"/>
      <c r="I118" s="613"/>
      <c r="J118" s="613"/>
      <c r="K118" s="726"/>
      <c r="L118" s="734"/>
      <c r="M118" s="734"/>
      <c r="N118" s="734"/>
      <c r="O118" s="734"/>
      <c r="P118" s="201"/>
      <c r="Q118" s="201"/>
      <c r="R118" s="201"/>
      <c r="AC118" s="745"/>
      <c r="AD118" s="200"/>
      <c r="AG118" s="620"/>
      <c r="AI118" s="604"/>
    </row>
    <row r="119" spans="5:35" s="158" customFormat="1">
      <c r="E119" s="200"/>
      <c r="F119" s="621"/>
      <c r="G119" s="613"/>
      <c r="H119" s="613"/>
      <c r="I119" s="613"/>
      <c r="J119" s="613"/>
      <c r="K119" s="726"/>
      <c r="L119" s="734"/>
      <c r="M119" s="734"/>
      <c r="N119" s="734"/>
      <c r="O119" s="734"/>
      <c r="P119" s="201"/>
      <c r="Q119" s="201"/>
      <c r="R119" s="201"/>
      <c r="AC119" s="745"/>
      <c r="AD119" s="200"/>
      <c r="AG119" s="620"/>
      <c r="AI119" s="604"/>
    </row>
    <row r="120" spans="5:35" s="158" customFormat="1">
      <c r="E120" s="200"/>
      <c r="F120" s="621"/>
      <c r="G120" s="613"/>
      <c r="H120" s="613"/>
      <c r="I120" s="613"/>
      <c r="J120" s="613"/>
      <c r="K120" s="726"/>
      <c r="L120" s="734"/>
      <c r="M120" s="734"/>
      <c r="N120" s="734"/>
      <c r="O120" s="734"/>
      <c r="P120" s="201"/>
      <c r="Q120" s="201"/>
      <c r="R120" s="201"/>
      <c r="AC120" s="745"/>
      <c r="AD120" s="200"/>
      <c r="AG120" s="620"/>
      <c r="AI120" s="604"/>
    </row>
    <row r="121" spans="5:35" s="158" customFormat="1">
      <c r="E121" s="200"/>
      <c r="F121" s="621"/>
      <c r="G121" s="613"/>
      <c r="H121" s="613"/>
      <c r="I121" s="613"/>
      <c r="J121" s="613"/>
      <c r="K121" s="726"/>
      <c r="L121" s="734"/>
      <c r="M121" s="734"/>
      <c r="N121" s="734"/>
      <c r="O121" s="734"/>
      <c r="P121" s="201"/>
      <c r="Q121" s="201"/>
      <c r="R121" s="201"/>
      <c r="AC121" s="745"/>
      <c r="AD121" s="200"/>
      <c r="AG121" s="620"/>
      <c r="AI121" s="604"/>
    </row>
    <row r="122" spans="5:35" s="158" customFormat="1">
      <c r="E122" s="200"/>
      <c r="F122" s="621"/>
      <c r="G122" s="613"/>
      <c r="H122" s="613"/>
      <c r="I122" s="613"/>
      <c r="J122" s="613"/>
      <c r="K122" s="726"/>
      <c r="L122" s="734"/>
      <c r="M122" s="734"/>
      <c r="N122" s="734"/>
      <c r="O122" s="734"/>
      <c r="P122" s="201"/>
      <c r="Q122" s="201"/>
      <c r="R122" s="201"/>
      <c r="AC122" s="745"/>
      <c r="AD122" s="200"/>
      <c r="AG122" s="620"/>
      <c r="AI122" s="604"/>
    </row>
    <row r="123" spans="5:35" s="158" customFormat="1">
      <c r="E123" s="200"/>
      <c r="F123" s="621"/>
      <c r="G123" s="613"/>
      <c r="H123" s="613"/>
      <c r="I123" s="613"/>
      <c r="J123" s="613"/>
      <c r="K123" s="726"/>
      <c r="L123" s="734"/>
      <c r="M123" s="734"/>
      <c r="N123" s="734"/>
      <c r="O123" s="734"/>
      <c r="P123" s="201"/>
      <c r="Q123" s="201"/>
      <c r="R123" s="201"/>
      <c r="AC123" s="745"/>
      <c r="AD123" s="200"/>
      <c r="AG123" s="620"/>
      <c r="AI123" s="604"/>
    </row>
    <row r="124" spans="5:35" s="158" customFormat="1">
      <c r="E124" s="200"/>
      <c r="F124" s="621"/>
      <c r="G124" s="613"/>
      <c r="H124" s="613"/>
      <c r="I124" s="613"/>
      <c r="J124" s="613"/>
      <c r="K124" s="726"/>
      <c r="L124" s="734"/>
      <c r="M124" s="734"/>
      <c r="N124" s="734"/>
      <c r="O124" s="734"/>
      <c r="P124" s="201"/>
      <c r="Q124" s="201"/>
      <c r="R124" s="201"/>
      <c r="AC124" s="745"/>
      <c r="AD124" s="200"/>
      <c r="AG124" s="620"/>
      <c r="AI124" s="604"/>
    </row>
    <row r="125" spans="5:35" s="158" customFormat="1">
      <c r="E125" s="200"/>
      <c r="F125" s="621"/>
      <c r="G125" s="613"/>
      <c r="H125" s="613"/>
      <c r="I125" s="613"/>
      <c r="J125" s="613"/>
      <c r="K125" s="726"/>
      <c r="L125" s="734"/>
      <c r="M125" s="734"/>
      <c r="N125" s="734"/>
      <c r="O125" s="734"/>
      <c r="P125" s="201"/>
      <c r="Q125" s="201"/>
      <c r="R125" s="201"/>
      <c r="AC125" s="745"/>
      <c r="AD125" s="200"/>
      <c r="AG125" s="620"/>
      <c r="AI125" s="604"/>
    </row>
    <row r="126" spans="5:35" s="158" customFormat="1">
      <c r="E126" s="200"/>
      <c r="F126" s="621"/>
      <c r="G126" s="613"/>
      <c r="H126" s="613"/>
      <c r="I126" s="613"/>
      <c r="J126" s="613"/>
      <c r="K126" s="726"/>
      <c r="L126" s="734"/>
      <c r="M126" s="734"/>
      <c r="N126" s="734"/>
      <c r="O126" s="734"/>
      <c r="P126" s="201"/>
      <c r="Q126" s="201"/>
      <c r="R126" s="201"/>
      <c r="AC126" s="745"/>
      <c r="AD126" s="200"/>
      <c r="AG126" s="620"/>
      <c r="AI126" s="604"/>
    </row>
    <row r="127" spans="5:35" s="158" customFormat="1">
      <c r="E127" s="200"/>
      <c r="F127" s="621"/>
      <c r="G127" s="613"/>
      <c r="H127" s="613"/>
      <c r="I127" s="613"/>
      <c r="J127" s="613"/>
      <c r="K127" s="726"/>
      <c r="L127" s="734"/>
      <c r="M127" s="734"/>
      <c r="N127" s="734"/>
      <c r="O127" s="734"/>
      <c r="P127" s="201"/>
      <c r="Q127" s="201"/>
      <c r="R127" s="201"/>
      <c r="AC127" s="745"/>
      <c r="AD127" s="200"/>
      <c r="AG127" s="620"/>
      <c r="AI127" s="604"/>
    </row>
    <row r="128" spans="5:35" s="158" customFormat="1">
      <c r="E128" s="200"/>
      <c r="F128" s="621"/>
      <c r="G128" s="613"/>
      <c r="H128" s="613"/>
      <c r="I128" s="613"/>
      <c r="J128" s="613"/>
      <c r="K128" s="726"/>
      <c r="L128" s="734"/>
      <c r="M128" s="734"/>
      <c r="N128" s="734"/>
      <c r="O128" s="734"/>
      <c r="P128" s="201"/>
      <c r="Q128" s="201"/>
      <c r="R128" s="201"/>
      <c r="AC128" s="745"/>
      <c r="AD128" s="200"/>
      <c r="AG128" s="620"/>
      <c r="AI128" s="604"/>
    </row>
    <row r="129" spans="5:35" s="158" customFormat="1">
      <c r="E129" s="200"/>
      <c r="F129" s="621"/>
      <c r="G129" s="613"/>
      <c r="H129" s="613"/>
      <c r="I129" s="613"/>
      <c r="J129" s="613"/>
      <c r="K129" s="726"/>
      <c r="L129" s="734"/>
      <c r="M129" s="734"/>
      <c r="N129" s="734"/>
      <c r="O129" s="734"/>
      <c r="P129" s="201"/>
      <c r="Q129" s="201"/>
      <c r="R129" s="201"/>
      <c r="AC129" s="745"/>
      <c r="AD129" s="200"/>
      <c r="AG129" s="620"/>
      <c r="AI129" s="604"/>
    </row>
    <row r="130" spans="5:35" s="158" customFormat="1">
      <c r="E130" s="200"/>
      <c r="F130" s="621"/>
      <c r="G130" s="613"/>
      <c r="H130" s="613"/>
      <c r="I130" s="613"/>
      <c r="J130" s="613"/>
      <c r="K130" s="726"/>
      <c r="L130" s="734"/>
      <c r="M130" s="734"/>
      <c r="N130" s="734"/>
      <c r="O130" s="734"/>
      <c r="P130" s="201"/>
      <c r="Q130" s="201"/>
      <c r="R130" s="201"/>
      <c r="AC130" s="745"/>
      <c r="AD130" s="200"/>
      <c r="AG130" s="620"/>
      <c r="AI130" s="604"/>
    </row>
    <row r="131" spans="5:35" s="158" customFormat="1">
      <c r="E131" s="200"/>
      <c r="F131" s="621"/>
      <c r="G131" s="613"/>
      <c r="H131" s="613"/>
      <c r="I131" s="613"/>
      <c r="J131" s="613"/>
      <c r="K131" s="726"/>
      <c r="L131" s="734"/>
      <c r="M131" s="734"/>
      <c r="N131" s="734"/>
      <c r="O131" s="734"/>
      <c r="P131" s="201"/>
      <c r="Q131" s="201"/>
      <c r="R131" s="201"/>
      <c r="AC131" s="745"/>
      <c r="AD131" s="200"/>
      <c r="AG131" s="620"/>
      <c r="AI131" s="604"/>
    </row>
    <row r="132" spans="5:35" s="158" customFormat="1">
      <c r="E132" s="200"/>
      <c r="F132" s="621"/>
      <c r="G132" s="613"/>
      <c r="H132" s="613"/>
      <c r="I132" s="613"/>
      <c r="J132" s="613"/>
      <c r="K132" s="726"/>
      <c r="L132" s="734"/>
      <c r="M132" s="734"/>
      <c r="N132" s="734"/>
      <c r="O132" s="734"/>
      <c r="P132" s="201"/>
      <c r="Q132" s="201"/>
      <c r="R132" s="201"/>
      <c r="AC132" s="745"/>
      <c r="AD132" s="200"/>
      <c r="AG132" s="620"/>
      <c r="AI132" s="604"/>
    </row>
    <row r="133" spans="5:35" s="158" customFormat="1">
      <c r="E133" s="200"/>
      <c r="F133" s="621"/>
      <c r="G133" s="613"/>
      <c r="H133" s="613"/>
      <c r="I133" s="613"/>
      <c r="J133" s="613"/>
      <c r="K133" s="726"/>
      <c r="L133" s="734"/>
      <c r="M133" s="734"/>
      <c r="N133" s="734"/>
      <c r="O133" s="734"/>
      <c r="P133" s="201"/>
      <c r="Q133" s="201"/>
      <c r="R133" s="201"/>
      <c r="AC133" s="745"/>
      <c r="AD133" s="200"/>
      <c r="AG133" s="620"/>
      <c r="AI133" s="604"/>
    </row>
    <row r="134" spans="5:35" s="158" customFormat="1">
      <c r="E134" s="200"/>
      <c r="F134" s="621"/>
      <c r="G134" s="613"/>
      <c r="H134" s="613"/>
      <c r="I134" s="613"/>
      <c r="J134" s="613"/>
      <c r="K134" s="726"/>
      <c r="L134" s="734"/>
      <c r="M134" s="734"/>
      <c r="N134" s="734"/>
      <c r="O134" s="734"/>
      <c r="P134" s="201"/>
      <c r="Q134" s="201"/>
      <c r="R134" s="201"/>
      <c r="AC134" s="745"/>
      <c r="AD134" s="200"/>
      <c r="AG134" s="620"/>
      <c r="AI134" s="604"/>
    </row>
    <row r="135" spans="5:35" s="158" customFormat="1">
      <c r="E135" s="200"/>
      <c r="F135" s="621"/>
      <c r="G135" s="613"/>
      <c r="H135" s="613"/>
      <c r="I135" s="613"/>
      <c r="J135" s="613"/>
      <c r="K135" s="726"/>
      <c r="L135" s="734"/>
      <c r="M135" s="734"/>
      <c r="N135" s="734"/>
      <c r="O135" s="734"/>
      <c r="P135" s="201"/>
      <c r="Q135" s="201"/>
      <c r="R135" s="201"/>
      <c r="AC135" s="745"/>
      <c r="AD135" s="200"/>
      <c r="AG135" s="620"/>
      <c r="AI135" s="604"/>
    </row>
  </sheetData>
  <autoFilter ref="AD10:AE88"/>
  <mergeCells count="49">
    <mergeCell ref="B1:AE1"/>
    <mergeCell ref="B2:AE2"/>
    <mergeCell ref="C3:AE3"/>
    <mergeCell ref="C4:K4"/>
    <mergeCell ref="C5:K5"/>
    <mergeCell ref="A7:AF7"/>
    <mergeCell ref="A8:D8"/>
    <mergeCell ref="F10:AC10"/>
    <mergeCell ref="F11:G11"/>
    <mergeCell ref="K11:Q11"/>
    <mergeCell ref="R11:AC11"/>
    <mergeCell ref="A10:A12"/>
    <mergeCell ref="B10:B12"/>
    <mergeCell ref="C10:C12"/>
    <mergeCell ref="D10:D12"/>
    <mergeCell ref="E10:E12"/>
    <mergeCell ref="AD10:AD12"/>
    <mergeCell ref="AE10:AE12"/>
    <mergeCell ref="AF10:AF12"/>
    <mergeCell ref="A86:AE86"/>
    <mergeCell ref="AC87:AE87"/>
    <mergeCell ref="C88:F88"/>
    <mergeCell ref="G88:P88"/>
    <mergeCell ref="Q88:AC88"/>
    <mergeCell ref="AD88:AE88"/>
    <mergeCell ref="K91:N91"/>
    <mergeCell ref="P91:Q91"/>
    <mergeCell ref="AD91:AE91"/>
    <mergeCell ref="K92:L92"/>
    <mergeCell ref="P92:R92"/>
    <mergeCell ref="AC92:AD92"/>
    <mergeCell ref="C93:F93"/>
    <mergeCell ref="G93:O93"/>
    <mergeCell ref="P93:Q93"/>
    <mergeCell ref="AD93:AE93"/>
    <mergeCell ref="F94:K94"/>
    <mergeCell ref="L94:N94"/>
    <mergeCell ref="P94:Q94"/>
    <mergeCell ref="F95:K95"/>
    <mergeCell ref="N95:P95"/>
    <mergeCell ref="Q95:R95"/>
    <mergeCell ref="G96:K96"/>
    <mergeCell ref="Q96:R96"/>
    <mergeCell ref="G97:K97"/>
    <mergeCell ref="Q97:R97"/>
    <mergeCell ref="G98:K98"/>
    <mergeCell ref="Q98:R98"/>
    <mergeCell ref="G99:K99"/>
    <mergeCell ref="Q99:R99"/>
  </mergeCells>
  <printOptions horizontalCentered="1"/>
  <pageMargins left="0" right="0" top="0.511811023622047" bottom="0.511811023622047" header="0.31496062992126" footer="0.31496062992126"/>
  <pageSetup paperSize="9" scale="80" orientation="landscape"/>
  <headerFooter>
    <oddFooter>&amp;R&amp;P/3</oddFooter>
  </headerFooter>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AL111"/>
  <sheetViews>
    <sheetView showZeros="0" topLeftCell="A17" zoomScale="130" zoomScaleNormal="130" workbookViewId="0">
      <selection activeCell="C30" sqref="C30"/>
    </sheetView>
  </sheetViews>
  <sheetFormatPr defaultColWidth="18.85546875" defaultRowHeight="18.75"/>
  <cols>
    <col min="1" max="1" width="3.28515625" style="197" customWidth="1"/>
    <col min="2" max="2" width="11.28515625" style="197" hidden="1" customWidth="1"/>
    <col min="3" max="3" width="13" style="601" customWidth="1"/>
    <col min="4" max="4" width="8.140625" style="346" customWidth="1"/>
    <col min="5" max="5" width="13.5703125" style="346" customWidth="1"/>
    <col min="6" max="6" width="8.42578125" style="602" customWidth="1"/>
    <col min="7" max="7" width="11.140625" style="346" customWidth="1"/>
    <col min="8" max="10" width="10.5703125" style="346" hidden="1" customWidth="1"/>
    <col min="11" max="11" width="7" style="684" customWidth="1"/>
    <col min="12" max="12" width="8.7109375" style="685" hidden="1" customWidth="1"/>
    <col min="13" max="13" width="6.42578125" style="685" customWidth="1"/>
    <col min="14" max="14" width="9.7109375" style="685" hidden="1" customWidth="1"/>
    <col min="15" max="15" width="9.7109375" style="685" customWidth="1"/>
    <col min="16" max="16" width="7" style="686" customWidth="1"/>
    <col min="17" max="17" width="10" style="687" customWidth="1"/>
    <col min="18" max="19" width="7" style="346" customWidth="1"/>
    <col min="20" max="22" width="7" style="346" hidden="1" customWidth="1"/>
    <col min="23" max="23" width="6.28515625" style="346" hidden="1" customWidth="1"/>
    <col min="24" max="24" width="6.28515625" style="346" customWidth="1"/>
    <col min="25" max="25" width="7" style="346" customWidth="1"/>
    <col min="26" max="26" width="6.28515625" style="346" customWidth="1"/>
    <col min="27" max="27" width="7" style="346" customWidth="1"/>
    <col min="28" max="28" width="7" style="346" hidden="1" customWidth="1"/>
    <col min="29" max="29" width="10.7109375" style="346" customWidth="1"/>
    <col min="30" max="30" width="12.140625" style="346" customWidth="1"/>
    <col min="31" max="31" width="10.85546875" style="346" customWidth="1"/>
    <col min="32" max="32" width="13.28515625" style="346" customWidth="1"/>
    <col min="33" max="33" width="9.5703125" style="603" customWidth="1"/>
    <col min="34" max="34" width="19.7109375" style="346" customWidth="1"/>
    <col min="35" max="35" width="14.5703125" style="604" customWidth="1"/>
    <col min="36" max="228" width="9.140625" style="346" customWidth="1"/>
    <col min="229" max="229" width="5.5703125" style="346" customWidth="1"/>
    <col min="230" max="230" width="16.140625" style="346" customWidth="1"/>
    <col min="231" max="16384" width="18.85546875" style="346"/>
  </cols>
  <sheetData>
    <row r="1" spans="1:37" s="598" customFormat="1" ht="15.75">
      <c r="B1" s="2672" t="s">
        <v>0</v>
      </c>
      <c r="C1" s="2672"/>
      <c r="D1" s="2672"/>
      <c r="E1" s="2672"/>
      <c r="F1" s="2672"/>
      <c r="G1" s="2672"/>
      <c r="H1" s="2672"/>
      <c r="I1" s="2672"/>
      <c r="J1" s="2672"/>
      <c r="K1" s="2672"/>
      <c r="L1" s="2672"/>
      <c r="M1" s="2672"/>
      <c r="N1" s="2672"/>
      <c r="O1" s="2672"/>
      <c r="P1" s="2672"/>
      <c r="Q1" s="2672"/>
      <c r="R1" s="2672"/>
      <c r="S1" s="2672"/>
      <c r="T1" s="2672"/>
      <c r="U1" s="2672"/>
      <c r="V1" s="2672"/>
      <c r="W1" s="2672"/>
      <c r="X1" s="2672"/>
      <c r="Y1" s="2672"/>
      <c r="Z1" s="2672"/>
      <c r="AA1" s="2672"/>
      <c r="AB1" s="2672"/>
      <c r="AC1" s="2672"/>
      <c r="AD1" s="2672"/>
      <c r="AE1" s="2672"/>
    </row>
    <row r="2" spans="1:37" s="598" customFormat="1" ht="15.75">
      <c r="B2" s="2672" t="s">
        <v>1968</v>
      </c>
      <c r="C2" s="2672"/>
      <c r="D2" s="2672"/>
      <c r="E2" s="2672"/>
      <c r="F2" s="2672"/>
      <c r="G2" s="2672"/>
      <c r="H2" s="2672"/>
      <c r="I2" s="2672"/>
      <c r="J2" s="2672"/>
      <c r="K2" s="2672"/>
      <c r="L2" s="2672"/>
      <c r="M2" s="2672"/>
      <c r="N2" s="2672"/>
      <c r="O2" s="2672"/>
      <c r="P2" s="2672"/>
      <c r="Q2" s="2672"/>
      <c r="R2" s="2672"/>
      <c r="S2" s="2672"/>
      <c r="T2" s="2672"/>
      <c r="U2" s="2672"/>
      <c r="V2" s="2672"/>
      <c r="W2" s="2672"/>
      <c r="X2" s="2672"/>
      <c r="Y2" s="2672"/>
      <c r="Z2" s="2672"/>
      <c r="AA2" s="2672"/>
      <c r="AB2" s="2672"/>
      <c r="AC2" s="2672"/>
      <c r="AD2" s="2672"/>
      <c r="AE2" s="2672"/>
    </row>
    <row r="3" spans="1:37" s="598" customFormat="1" ht="15.75">
      <c r="C3" s="2673" t="s">
        <v>619</v>
      </c>
      <c r="D3" s="2672"/>
      <c r="E3" s="2672"/>
      <c r="F3" s="2672"/>
      <c r="G3" s="2672"/>
      <c r="H3" s="2672"/>
      <c r="I3" s="2672"/>
      <c r="J3" s="2672"/>
      <c r="K3" s="2672"/>
      <c r="L3" s="2672"/>
      <c r="M3" s="2672"/>
      <c r="N3" s="2672"/>
      <c r="O3" s="2672"/>
      <c r="P3" s="2672"/>
      <c r="Q3" s="2672"/>
      <c r="R3" s="2672"/>
      <c r="S3" s="2672"/>
      <c r="T3" s="2672"/>
      <c r="U3" s="2672"/>
      <c r="V3" s="2672"/>
      <c r="W3" s="2672"/>
      <c r="X3" s="2672"/>
      <c r="Y3" s="2672"/>
      <c r="Z3" s="2672"/>
      <c r="AA3" s="2672"/>
      <c r="AB3" s="2672"/>
      <c r="AC3" s="2672"/>
      <c r="AD3" s="2672"/>
      <c r="AE3" s="2672"/>
    </row>
    <row r="4" spans="1:37" s="598" customFormat="1" ht="15.75">
      <c r="C4" s="2674" t="s">
        <v>2738</v>
      </c>
      <c r="D4" s="2675"/>
      <c r="E4" s="2675"/>
      <c r="F4" s="2675"/>
      <c r="G4" s="2675"/>
      <c r="H4" s="2675"/>
      <c r="I4" s="2675"/>
      <c r="J4" s="2675"/>
      <c r="K4" s="2675"/>
      <c r="L4" s="700"/>
      <c r="M4" s="700"/>
      <c r="N4" s="700"/>
      <c r="O4" s="700"/>
      <c r="P4" s="605"/>
      <c r="Q4" s="605"/>
      <c r="R4" s="605"/>
      <c r="S4" s="605"/>
      <c r="T4" s="605"/>
      <c r="U4" s="605"/>
      <c r="V4" s="605"/>
      <c r="W4" s="605"/>
      <c r="X4" s="605"/>
      <c r="Y4" s="605"/>
      <c r="Z4" s="605"/>
      <c r="AA4" s="605"/>
      <c r="AB4" s="605"/>
      <c r="AC4" s="605"/>
    </row>
    <row r="5" spans="1:37" s="28" customFormat="1" ht="16.5">
      <c r="C5" s="2676" t="s">
        <v>620</v>
      </c>
      <c r="D5" s="2676"/>
      <c r="E5" s="2676"/>
      <c r="F5" s="2676"/>
      <c r="G5" s="2676"/>
      <c r="H5" s="2676"/>
      <c r="I5" s="2676"/>
      <c r="J5" s="2676"/>
      <c r="K5" s="2676"/>
      <c r="L5" s="876"/>
      <c r="M5" s="876"/>
      <c r="N5" s="702"/>
      <c r="O5" s="702"/>
      <c r="P5" s="76"/>
      <c r="R5" s="76"/>
      <c r="S5" s="76"/>
      <c r="T5" s="80"/>
      <c r="U5" s="81"/>
      <c r="V5" s="81"/>
      <c r="W5" s="81"/>
      <c r="X5" s="80"/>
      <c r="Y5" s="81"/>
      <c r="Z5" s="81"/>
      <c r="AA5" s="81"/>
      <c r="AC5" s="82"/>
    </row>
    <row r="6" spans="1:37" ht="15.75">
      <c r="A6" s="175"/>
      <c r="B6" s="175"/>
      <c r="C6" s="175"/>
      <c r="D6" s="175"/>
      <c r="E6" s="175"/>
      <c r="F6" s="175"/>
      <c r="G6" s="175"/>
      <c r="H6" s="175"/>
      <c r="I6" s="175"/>
      <c r="J6" s="175"/>
      <c r="K6" s="689"/>
      <c r="L6" s="703"/>
      <c r="M6" s="703"/>
      <c r="N6" s="703"/>
      <c r="O6" s="703"/>
      <c r="P6" s="704"/>
      <c r="Q6" s="705"/>
      <c r="R6" s="175"/>
      <c r="S6" s="175"/>
      <c r="T6" s="175"/>
      <c r="U6" s="175"/>
      <c r="V6" s="175"/>
      <c r="W6" s="175"/>
      <c r="X6" s="175"/>
      <c r="Y6" s="175"/>
      <c r="Z6" s="175"/>
      <c r="AA6" s="175"/>
      <c r="AB6" s="175"/>
      <c r="AC6" s="175"/>
      <c r="AD6" s="175"/>
      <c r="AE6" s="175"/>
      <c r="AF6" s="176"/>
      <c r="AH6" s="555" t="s">
        <v>1952</v>
      </c>
      <c r="AI6" s="475">
        <f>AI8/AI7</f>
        <v>0.47778288100208899</v>
      </c>
    </row>
    <row r="7" spans="1:37" s="176" customFormat="1" ht="27" customHeight="1">
      <c r="A7" s="2290" t="s">
        <v>2772</v>
      </c>
      <c r="B7" s="2290"/>
      <c r="C7" s="2290"/>
      <c r="D7" s="2290"/>
      <c r="E7" s="2290"/>
      <c r="F7" s="2290"/>
      <c r="G7" s="2290"/>
      <c r="H7" s="2290"/>
      <c r="I7" s="2290"/>
      <c r="J7" s="2290"/>
      <c r="K7" s="2290"/>
      <c r="L7" s="2290"/>
      <c r="M7" s="2290"/>
      <c r="N7" s="2290"/>
      <c r="O7" s="2290"/>
      <c r="P7" s="2290"/>
      <c r="Q7" s="2290"/>
      <c r="R7" s="2290"/>
      <c r="S7" s="2290"/>
      <c r="T7" s="2290"/>
      <c r="U7" s="2290"/>
      <c r="V7" s="2290"/>
      <c r="W7" s="2290"/>
      <c r="X7" s="2290"/>
      <c r="Y7" s="2290"/>
      <c r="Z7" s="2290"/>
      <c r="AA7" s="2290"/>
      <c r="AB7" s="2290"/>
      <c r="AC7" s="2290"/>
      <c r="AD7" s="2290"/>
      <c r="AE7" s="2290"/>
      <c r="AF7" s="2290"/>
      <c r="AG7" s="622"/>
      <c r="AH7" s="917" t="s">
        <v>2570</v>
      </c>
      <c r="AI7" s="918">
        <f>THCKT!AO21</f>
        <v>2978</v>
      </c>
      <c r="AJ7" s="176">
        <v>29245</v>
      </c>
      <c r="AK7" s="176">
        <v>12581.602033377299</v>
      </c>
    </row>
    <row r="8" spans="1:37" s="176" customFormat="1" ht="24.6" customHeight="1">
      <c r="A8" s="2660" t="s">
        <v>2710</v>
      </c>
      <c r="B8" s="2660"/>
      <c r="C8" s="2660"/>
      <c r="D8" s="2660"/>
      <c r="E8" s="175"/>
      <c r="F8" s="158">
        <f>'LƯƠNG KT'!F8</f>
        <v>668.84</v>
      </c>
      <c r="G8" s="175"/>
      <c r="H8" s="175"/>
      <c r="I8" s="175"/>
      <c r="J8" s="175"/>
      <c r="K8" s="175"/>
      <c r="L8" s="706"/>
      <c r="M8" s="706"/>
      <c r="N8" s="706"/>
      <c r="O8" s="706"/>
      <c r="P8" s="175"/>
      <c r="Q8" s="175"/>
      <c r="R8" s="175"/>
      <c r="S8" s="175"/>
      <c r="T8" s="175"/>
      <c r="U8" s="175"/>
      <c r="V8" s="175"/>
      <c r="W8" s="175"/>
      <c r="X8" s="175"/>
      <c r="Y8" s="175"/>
      <c r="Z8" s="175"/>
      <c r="AA8" s="175"/>
      <c r="AB8" s="175"/>
      <c r="AC8" s="175"/>
      <c r="AD8" s="175"/>
      <c r="AE8" s="175"/>
      <c r="AF8" s="175"/>
      <c r="AG8" s="622"/>
      <c r="AH8" s="917" t="s">
        <v>2602</v>
      </c>
      <c r="AI8" s="919">
        <f>THCKT!AP21</f>
        <v>1422.83741962422</v>
      </c>
    </row>
    <row r="9" spans="1:37" s="176" customFormat="1" ht="18.75" customHeight="1">
      <c r="A9" s="608"/>
      <c r="B9" s="608"/>
      <c r="C9" s="172"/>
      <c r="D9" s="608"/>
      <c r="E9" s="608"/>
      <c r="F9" s="609" t="e">
        <f>'Đội 3'!F9</f>
        <v>#REF!</v>
      </c>
      <c r="G9" s="175"/>
      <c r="H9" s="175"/>
      <c r="I9" s="175"/>
      <c r="J9" s="175"/>
      <c r="K9" s="175"/>
      <c r="L9" s="706"/>
      <c r="M9" s="706"/>
      <c r="N9" s="706"/>
      <c r="O9" s="706"/>
      <c r="P9" s="175"/>
      <c r="Q9" s="175"/>
      <c r="R9" s="175"/>
      <c r="S9" s="175"/>
      <c r="T9" s="175"/>
      <c r="U9" s="175"/>
      <c r="V9" s="175"/>
      <c r="W9" s="175"/>
      <c r="X9" s="175"/>
      <c r="Y9" s="175"/>
      <c r="Z9" s="175"/>
      <c r="AA9" s="175"/>
      <c r="AB9" s="175"/>
      <c r="AC9" s="175"/>
      <c r="AF9" s="175"/>
      <c r="AG9" s="622"/>
      <c r="AH9" s="920" t="s">
        <v>373</v>
      </c>
      <c r="AI9" s="921">
        <v>0.5</v>
      </c>
    </row>
    <row r="10" spans="1:37" s="175" customFormat="1" ht="17.25" customHeight="1">
      <c r="A10" s="2666" t="s">
        <v>623</v>
      </c>
      <c r="B10" s="2666" t="s">
        <v>624</v>
      </c>
      <c r="C10" s="2668" t="s">
        <v>356</v>
      </c>
      <c r="D10" s="2666" t="s">
        <v>2711</v>
      </c>
      <c r="E10" s="2664" t="s">
        <v>531</v>
      </c>
      <c r="F10" s="2661" t="s">
        <v>2712</v>
      </c>
      <c r="G10" s="2662"/>
      <c r="H10" s="2662"/>
      <c r="I10" s="2662"/>
      <c r="J10" s="2662"/>
      <c r="K10" s="2662"/>
      <c r="L10" s="2662"/>
      <c r="M10" s="2662"/>
      <c r="N10" s="2662"/>
      <c r="O10" s="2662"/>
      <c r="P10" s="2662"/>
      <c r="Q10" s="2662"/>
      <c r="R10" s="2662"/>
      <c r="S10" s="2662"/>
      <c r="T10" s="2662"/>
      <c r="U10" s="2662"/>
      <c r="V10" s="2662"/>
      <c r="W10" s="2662"/>
      <c r="X10" s="2662"/>
      <c r="Y10" s="2662"/>
      <c r="Z10" s="2662"/>
      <c r="AA10" s="2662"/>
      <c r="AB10" s="2662"/>
      <c r="AC10" s="2663"/>
      <c r="AD10" s="2678" t="s">
        <v>2713</v>
      </c>
      <c r="AE10" s="2678" t="s">
        <v>2714</v>
      </c>
      <c r="AF10" s="2681" t="s">
        <v>2715</v>
      </c>
      <c r="AG10" s="623"/>
      <c r="AH10" s="920" t="s">
        <v>2604</v>
      </c>
      <c r="AI10" s="921">
        <v>0.2</v>
      </c>
    </row>
    <row r="11" spans="1:37" s="175" customFormat="1" ht="28.5" customHeight="1">
      <c r="A11" s="2666"/>
      <c r="B11" s="2666"/>
      <c r="C11" s="2669"/>
      <c r="D11" s="2666"/>
      <c r="E11" s="2664"/>
      <c r="F11" s="2666" t="s">
        <v>2716</v>
      </c>
      <c r="G11" s="2666"/>
      <c r="H11" s="862"/>
      <c r="I11" s="862"/>
      <c r="J11" s="862"/>
      <c r="K11" s="2664" t="s">
        <v>2717</v>
      </c>
      <c r="L11" s="2664"/>
      <c r="M11" s="2664"/>
      <c r="N11" s="2664"/>
      <c r="O11" s="2664"/>
      <c r="P11" s="2664"/>
      <c r="Q11" s="2664"/>
      <c r="R11" s="2665" t="s">
        <v>2718</v>
      </c>
      <c r="S11" s="2665"/>
      <c r="T11" s="2665"/>
      <c r="U11" s="2665"/>
      <c r="V11" s="2665"/>
      <c r="W11" s="2665"/>
      <c r="X11" s="2665"/>
      <c r="Y11" s="2665"/>
      <c r="Z11" s="2665"/>
      <c r="AA11" s="2665"/>
      <c r="AB11" s="2665"/>
      <c r="AC11" s="2665"/>
      <c r="AD11" s="2679"/>
      <c r="AE11" s="2679"/>
      <c r="AF11" s="2682"/>
      <c r="AG11" s="623"/>
      <c r="AI11" s="604"/>
    </row>
    <row r="12" spans="1:37" s="599" customFormat="1" ht="51" customHeight="1">
      <c r="A12" s="2667"/>
      <c r="B12" s="2666"/>
      <c r="C12" s="2670"/>
      <c r="D12" s="2667"/>
      <c r="E12" s="2664"/>
      <c r="F12" s="864" t="s">
        <v>2593</v>
      </c>
      <c r="G12" s="178" t="s">
        <v>2719</v>
      </c>
      <c r="H12" s="910" t="s">
        <v>2586</v>
      </c>
      <c r="I12" s="910" t="s">
        <v>2587</v>
      </c>
      <c r="J12" s="910" t="s">
        <v>2588</v>
      </c>
      <c r="K12" s="877" t="s">
        <v>2720</v>
      </c>
      <c r="L12" s="878" t="s">
        <v>2740</v>
      </c>
      <c r="M12" s="878" t="s">
        <v>2721</v>
      </c>
      <c r="N12" s="878" t="s">
        <v>2741</v>
      </c>
      <c r="O12" s="878" t="s">
        <v>2722</v>
      </c>
      <c r="P12" s="879" t="s">
        <v>2742</v>
      </c>
      <c r="Q12" s="860" t="s">
        <v>2724</v>
      </c>
      <c r="R12" s="885" t="s">
        <v>2743</v>
      </c>
      <c r="S12" s="885" t="s">
        <v>2744</v>
      </c>
      <c r="T12" s="885" t="s">
        <v>2745</v>
      </c>
      <c r="U12" s="885" t="s">
        <v>369</v>
      </c>
      <c r="V12" s="885" t="s">
        <v>2666</v>
      </c>
      <c r="W12" s="885" t="s">
        <v>2680</v>
      </c>
      <c r="X12" s="886" t="s">
        <v>2746</v>
      </c>
      <c r="Y12" s="885" t="s">
        <v>2747</v>
      </c>
      <c r="Z12" s="885" t="s">
        <v>2683</v>
      </c>
      <c r="AA12" s="886" t="s">
        <v>2748</v>
      </c>
      <c r="AB12" s="885"/>
      <c r="AC12" s="860" t="s">
        <v>2727</v>
      </c>
      <c r="AD12" s="2680"/>
      <c r="AE12" s="2680"/>
      <c r="AF12" s="2683"/>
      <c r="AG12" s="624" t="s">
        <v>2728</v>
      </c>
      <c r="AI12" s="637"/>
    </row>
    <row r="13" spans="1:37" s="29" customFormat="1" ht="34.15" hidden="1" customHeight="1">
      <c r="A13" s="866" t="s">
        <v>636</v>
      </c>
      <c r="B13" s="866"/>
      <c r="C13" s="863" t="s">
        <v>638</v>
      </c>
      <c r="D13" s="866" t="s">
        <v>639</v>
      </c>
      <c r="E13" s="863" t="s">
        <v>2729</v>
      </c>
      <c r="F13" s="866" t="s">
        <v>640</v>
      </c>
      <c r="G13" s="866" t="s">
        <v>2730</v>
      </c>
      <c r="H13" s="866"/>
      <c r="I13" s="866"/>
      <c r="J13" s="866"/>
      <c r="K13" s="880" t="s">
        <v>2731</v>
      </c>
      <c r="L13" s="881" t="s">
        <v>2731</v>
      </c>
      <c r="M13" s="881" t="s">
        <v>2731</v>
      </c>
      <c r="N13" s="881" t="s">
        <v>2731</v>
      </c>
      <c r="O13" s="881" t="s">
        <v>2731</v>
      </c>
      <c r="P13" s="866" t="s">
        <v>2732</v>
      </c>
      <c r="Q13" s="866" t="s">
        <v>2730</v>
      </c>
      <c r="R13" s="866" t="s">
        <v>2733</v>
      </c>
      <c r="S13" s="866" t="s">
        <v>2734</v>
      </c>
      <c r="T13" s="866" t="s">
        <v>2734</v>
      </c>
      <c r="U13" s="866" t="s">
        <v>2734</v>
      </c>
      <c r="V13" s="866" t="s">
        <v>2734</v>
      </c>
      <c r="W13" s="866" t="s">
        <v>2734</v>
      </c>
      <c r="X13" s="866" t="s">
        <v>2734</v>
      </c>
      <c r="Y13" s="866" t="s">
        <v>2734</v>
      </c>
      <c r="Z13" s="866" t="s">
        <v>2734</v>
      </c>
      <c r="AA13" s="866" t="s">
        <v>2734</v>
      </c>
      <c r="AB13" s="866" t="s">
        <v>2734</v>
      </c>
      <c r="AC13" s="866" t="s">
        <v>2730</v>
      </c>
      <c r="AD13" s="888" t="s">
        <v>643</v>
      </c>
      <c r="AE13" s="863" t="s">
        <v>644</v>
      </c>
      <c r="AF13" s="626" t="s">
        <v>2735</v>
      </c>
      <c r="AG13" s="627" t="s">
        <v>2736</v>
      </c>
      <c r="AI13" s="637"/>
    </row>
    <row r="14" spans="1:37" s="540" customFormat="1" ht="17.25" customHeight="1">
      <c r="A14" s="868">
        <v>1</v>
      </c>
      <c r="B14" s="1644" t="str">
        <f>VLOOKUP(C14,'DS CN MOI UP'!$B$10:$C$389,2,0)</f>
        <v>02658</v>
      </c>
      <c r="C14" s="875" t="s">
        <v>278</v>
      </c>
      <c r="D14" s="875" t="s">
        <v>15</v>
      </c>
      <c r="E14" s="872"/>
      <c r="F14" s="873">
        <f>+VLOOKUP($C$14:$C$20,THCKT!$C$317:$AE$395,17,0)</f>
        <v>32</v>
      </c>
      <c r="G14" s="874">
        <f t="shared" ref="G14:G20" si="0">F14*25000</f>
        <v>800000</v>
      </c>
      <c r="H14" s="874"/>
      <c r="I14" s="874"/>
      <c r="J14" s="874"/>
      <c r="K14" s="874" t="e">
        <f>VLOOKUP(C14,THCKT!$C$13:$AL$460,21,0)</f>
        <v>#N/A</v>
      </c>
      <c r="L14" s="883">
        <f>VLOOKUP(C14,THCKT!$C$13:$AL$460,22,0)</f>
        <v>0</v>
      </c>
      <c r="M14" s="883">
        <f>VLOOKUP(C14,THCKT!$C$13:$AL$460,23,0)</f>
        <v>0</v>
      </c>
      <c r="N14" s="883" t="e">
        <f t="shared" ref="N14:N20" si="1">$AI$8/$AI$7*K14+L14*$AI$9+M14*$AI$10</f>
        <v>#N/A</v>
      </c>
      <c r="O14" s="883" t="e">
        <f t="shared" ref="O14:O20" si="2">Q14/((Q14/(N14*$F$9)*$F$8))</f>
        <v>#N/A</v>
      </c>
      <c r="P14" s="884" t="e">
        <f>VLOOKUP(C14,THCKT!$C$13:$AL$460,36,0)</f>
        <v>#N/A</v>
      </c>
      <c r="Q14" s="887" t="e">
        <f>ROUND((IF(P14="A",(K14*$AI$6*6.1),IF(P14="B",(K14*$AI$6*5.8),IF(P14="C",(K14*$AI$6*5.5),IF(P14="D",(K14*$AI$6*5.2),0))))*$F$9+(L14*$AI$9*$F$9*6.1)+M14*$F$9*$AI$10*6.1),0)</f>
        <v>#N/A</v>
      </c>
      <c r="R14" s="874" t="e">
        <f>VLOOKUP(C14,'LƯƠNG KT'!$D$15:$P$94,16,0)</f>
        <v>#N/A</v>
      </c>
      <c r="S14" s="874" t="e">
        <f>VLOOKUP(C14,'LƯƠNG KT'!$D$15:$P$94,17,0)</f>
        <v>#N/A</v>
      </c>
      <c r="T14" s="874" t="e">
        <f>VLOOKUP(C14,'LƯƠNG KT'!$D$15:$P$94,18,0)</f>
        <v>#N/A</v>
      </c>
      <c r="U14" s="874" t="e">
        <f>VLOOKUP(C14,'LƯƠNG KT'!$D$15:$P$94,18,0)</f>
        <v>#N/A</v>
      </c>
      <c r="V14" s="874" t="e">
        <f>VLOOKUP(C14,'LƯƠNG KT'!$D$15:$P$94,19,0)</f>
        <v>#N/A</v>
      </c>
      <c r="W14" s="874" t="e">
        <f>VLOOKUP(C14,'LƯƠNG KT'!$D$15:$P$94,20,0)</f>
        <v>#N/A</v>
      </c>
      <c r="X14" s="874" t="e">
        <f>VLOOKUP(C14,'LƯƠNG KT'!$D$15:$P$94,21,0)</f>
        <v>#N/A</v>
      </c>
      <c r="Y14" s="874" t="e">
        <f>VLOOKUP(C14,'LƯƠNG KT'!$D$15:$P$94,23,0)</f>
        <v>#N/A</v>
      </c>
      <c r="Z14" s="874" t="e">
        <f>VLOOKUP(C14,'LƯƠNG KT'!$D$15:$P$94,24,0)</f>
        <v>#N/A</v>
      </c>
      <c r="AA14" s="874">
        <v>20</v>
      </c>
      <c r="AB14" s="874"/>
      <c r="AC14" s="889" t="e">
        <f>ROUND((((R14*46.1)+(S14*76.9)+(X14*30.7)+(U14*46.1*2)+(V14*46.1*2)+(W14*76.9*2))*$F$8),0)+T14*10000+Y14*20000+Z14*20000+AA14*25000</f>
        <v>#N/A</v>
      </c>
      <c r="AD14" s="889" t="e">
        <f t="shared" ref="AD14:AD20" si="3">+AC14+Q14+G14</f>
        <v>#N/A</v>
      </c>
      <c r="AE14" s="889" t="e">
        <f t="shared" ref="AE14:AE20" si="4">AD14</f>
        <v>#N/A</v>
      </c>
      <c r="AF14" s="915"/>
      <c r="AG14" s="891"/>
      <c r="AH14" s="922" t="s">
        <v>2751</v>
      </c>
      <c r="AK14" s="923"/>
    </row>
    <row r="15" spans="1:37" s="540" customFormat="1" ht="17.25" customHeight="1">
      <c r="A15" s="868">
        <v>2</v>
      </c>
      <c r="B15" s="1644" t="str">
        <f>VLOOKUP(C15,'DS CN MOI UP'!$B$10:$C$389,2,0)</f>
        <v>02705</v>
      </c>
      <c r="C15" s="875" t="s">
        <v>279</v>
      </c>
      <c r="D15" s="875" t="s">
        <v>15</v>
      </c>
      <c r="E15" s="872"/>
      <c r="F15" s="873">
        <f>+VLOOKUP($C$14:$C$20,THCKT!$C$317:$AE$395,17,0)</f>
        <v>32</v>
      </c>
      <c r="G15" s="874">
        <f t="shared" si="0"/>
        <v>800000</v>
      </c>
      <c r="H15" s="874"/>
      <c r="I15" s="874"/>
      <c r="J15" s="874"/>
      <c r="K15" s="874" t="e">
        <f>VLOOKUP(C15,THCKT!$C$13:$AL$460,21,0)</f>
        <v>#N/A</v>
      </c>
      <c r="L15" s="883">
        <f>VLOOKUP(C15,THCKT!$C$13:$AL$460,22,0)</f>
        <v>0</v>
      </c>
      <c r="M15" s="883">
        <f>VLOOKUP(C15,THCKT!$C$13:$AL$460,23,0)</f>
        <v>0</v>
      </c>
      <c r="N15" s="883" t="e">
        <f t="shared" si="1"/>
        <v>#N/A</v>
      </c>
      <c r="O15" s="883" t="e">
        <f t="shared" si="2"/>
        <v>#N/A</v>
      </c>
      <c r="P15" s="884" t="e">
        <f>VLOOKUP(C15,THCKT!$C$13:$AL$460,36,0)</f>
        <v>#N/A</v>
      </c>
      <c r="Q15" s="887" t="e">
        <f t="shared" ref="Q15:Q20" si="5">ROUND((IF(P15="A",(K15*$AI$6*6.1),IF(P15="B",(K15*$AI$6*5.8),IF(P15="C",(K15*$AI$6*5.5),IF(P15="D",(K15*$AI$6*5.2),0))))*$F$9+(L15*$AI$9*$F$9*6.1)+M15*$F$9*$AI$10*6.1),0)</f>
        <v>#N/A</v>
      </c>
      <c r="R15" s="874" t="e">
        <f>VLOOKUP(C15,'LƯƠNG KT'!$D$15:$P$94,16,0)</f>
        <v>#N/A</v>
      </c>
      <c r="S15" s="874" t="e">
        <f>VLOOKUP(C15,'LƯƠNG KT'!$D$15:$P$94,17,0)</f>
        <v>#N/A</v>
      </c>
      <c r="T15" s="874" t="e">
        <f>VLOOKUP(C15,'LƯƠNG KT'!$D$15:$P$94,18,0)</f>
        <v>#N/A</v>
      </c>
      <c r="U15" s="874" t="e">
        <f>VLOOKUP(C15,'LƯƠNG KT'!$D$15:$P$94,18,0)</f>
        <v>#N/A</v>
      </c>
      <c r="V15" s="874" t="e">
        <f>VLOOKUP(C15,'LƯƠNG KT'!$D$15:$P$94,19,0)</f>
        <v>#N/A</v>
      </c>
      <c r="W15" s="874" t="e">
        <f>VLOOKUP(C15,'LƯƠNG KT'!$D$15:$P$94,20,0)</f>
        <v>#N/A</v>
      </c>
      <c r="X15" s="874" t="e">
        <f>VLOOKUP(C15,'LƯƠNG KT'!$D$15:$P$94,21,0)</f>
        <v>#N/A</v>
      </c>
      <c r="Y15" s="874" t="e">
        <f>VLOOKUP(C15,'LƯƠNG KT'!$D$15:$P$94,23,0)</f>
        <v>#N/A</v>
      </c>
      <c r="Z15" s="874" t="e">
        <f>VLOOKUP(C15,'LƯƠNG KT'!$D$15:$P$94,24,0)</f>
        <v>#N/A</v>
      </c>
      <c r="AA15" s="874">
        <v>20</v>
      </c>
      <c r="AB15" s="874"/>
      <c r="AC15" s="889" t="e">
        <f t="shared" ref="AC15:AC17" si="6">ROUND((((R15*46.1)+(S15*76.9)+(X15*30.7)+(U15*46.1*2)+(V15*46.1*2)+(W15*76.9*2))*$F$8),0)+T15*10000+Y15*20000+Z15*20000+AA15*25000</f>
        <v>#N/A</v>
      </c>
      <c r="AD15" s="889" t="e">
        <f t="shared" si="3"/>
        <v>#N/A</v>
      </c>
      <c r="AE15" s="889" t="e">
        <f t="shared" si="4"/>
        <v>#N/A</v>
      </c>
      <c r="AF15" s="915"/>
      <c r="AG15" s="891"/>
      <c r="AH15" s="922" t="s">
        <v>2751</v>
      </c>
      <c r="AK15" s="923"/>
    </row>
    <row r="16" spans="1:37" s="540" customFormat="1" ht="17.25" customHeight="1">
      <c r="A16" s="868">
        <v>3</v>
      </c>
      <c r="B16" s="1644" t="str">
        <f>VLOOKUP(C16,'DS CN MOI UP'!$B$10:$C$389,2,0)</f>
        <v>02659</v>
      </c>
      <c r="C16" s="875" t="s">
        <v>280</v>
      </c>
      <c r="D16" s="875" t="s">
        <v>15</v>
      </c>
      <c r="E16" s="872"/>
      <c r="F16" s="873">
        <f>+VLOOKUP($C$14:$C$20,THCKT!$C$317:$AE$395,17,0)</f>
        <v>32</v>
      </c>
      <c r="G16" s="874">
        <f t="shared" si="0"/>
        <v>800000</v>
      </c>
      <c r="H16" s="874"/>
      <c r="I16" s="874"/>
      <c r="J16" s="874"/>
      <c r="K16" s="874" t="e">
        <f>VLOOKUP(C16,THCKT!$C$13:$AL$460,21,0)</f>
        <v>#N/A</v>
      </c>
      <c r="L16" s="883">
        <f>VLOOKUP(C16,THCKT!$C$13:$AL$460,22,0)</f>
        <v>0</v>
      </c>
      <c r="M16" s="883">
        <f>VLOOKUP(C16,THCKT!$C$13:$AL$460,23,0)</f>
        <v>0</v>
      </c>
      <c r="N16" s="883" t="e">
        <f t="shared" si="1"/>
        <v>#N/A</v>
      </c>
      <c r="O16" s="883" t="e">
        <f t="shared" si="2"/>
        <v>#N/A</v>
      </c>
      <c r="P16" s="884" t="e">
        <f>VLOOKUP(C16,THCKT!$C$13:$AL$460,36,0)</f>
        <v>#N/A</v>
      </c>
      <c r="Q16" s="887" t="e">
        <f t="shared" si="5"/>
        <v>#N/A</v>
      </c>
      <c r="R16" s="874" t="e">
        <f>VLOOKUP(C16,'LƯƠNG KT'!$D$15:$P$94,16,0)</f>
        <v>#N/A</v>
      </c>
      <c r="S16" s="874" t="e">
        <f>VLOOKUP(C16,'LƯƠNG KT'!$D$15:$P$94,17,0)</f>
        <v>#N/A</v>
      </c>
      <c r="T16" s="874" t="e">
        <f>VLOOKUP(C16,'LƯƠNG KT'!$D$15:$P$94,18,0)</f>
        <v>#N/A</v>
      </c>
      <c r="U16" s="874" t="e">
        <f>VLOOKUP(C16,'LƯƠNG KT'!$D$15:$P$94,18,0)</f>
        <v>#N/A</v>
      </c>
      <c r="V16" s="874" t="e">
        <f>VLOOKUP(C16,'LƯƠNG KT'!$D$15:$P$94,19,0)</f>
        <v>#N/A</v>
      </c>
      <c r="W16" s="874" t="e">
        <f>VLOOKUP(C16,'LƯƠNG KT'!$D$15:$P$94,20,0)</f>
        <v>#N/A</v>
      </c>
      <c r="X16" s="874" t="e">
        <f>VLOOKUP(C16,'LƯƠNG KT'!$D$15:$P$94,21,0)</f>
        <v>#N/A</v>
      </c>
      <c r="Y16" s="874" t="e">
        <f>VLOOKUP(C16,'LƯƠNG KT'!$D$15:$P$94,23,0)</f>
        <v>#N/A</v>
      </c>
      <c r="Z16" s="874" t="e">
        <f>VLOOKUP(C16,'LƯƠNG KT'!$D$15:$P$94,24,0)</f>
        <v>#N/A</v>
      </c>
      <c r="AA16" s="874">
        <v>20</v>
      </c>
      <c r="AB16" s="874"/>
      <c r="AC16" s="889" t="e">
        <f t="shared" si="6"/>
        <v>#N/A</v>
      </c>
      <c r="AD16" s="889" t="e">
        <f t="shared" si="3"/>
        <v>#N/A</v>
      </c>
      <c r="AE16" s="889" t="e">
        <f t="shared" si="4"/>
        <v>#N/A</v>
      </c>
      <c r="AF16" s="915"/>
      <c r="AG16" s="891"/>
      <c r="AH16" s="922" t="e">
        <f>+K21*AI6</f>
        <v>#N/A</v>
      </c>
      <c r="AK16" s="923"/>
    </row>
    <row r="17" spans="1:38" s="540" customFormat="1" ht="17.25" customHeight="1">
      <c r="A17" s="868">
        <v>4</v>
      </c>
      <c r="B17" s="1644" t="str">
        <f>VLOOKUP(C17,'DS CN MOI UP'!$B$10:$C$389,2,0)</f>
        <v>02660</v>
      </c>
      <c r="C17" s="875" t="s">
        <v>281</v>
      </c>
      <c r="D17" s="875" t="s">
        <v>15</v>
      </c>
      <c r="E17" s="872"/>
      <c r="F17" s="873">
        <f>+VLOOKUP($C$14:$C$20,THCKT!$C$317:$AE$395,17,0)</f>
        <v>32</v>
      </c>
      <c r="G17" s="874">
        <f t="shared" si="0"/>
        <v>800000</v>
      </c>
      <c r="H17" s="874"/>
      <c r="I17" s="874"/>
      <c r="J17" s="874"/>
      <c r="K17" s="874" t="e">
        <f>VLOOKUP(C17,THCKT!$C$13:$AL$460,21,0)</f>
        <v>#N/A</v>
      </c>
      <c r="L17" s="883">
        <f>VLOOKUP(C17,THCKT!$C$13:$AL$460,22,0)</f>
        <v>0</v>
      </c>
      <c r="M17" s="883">
        <f>VLOOKUP(C17,THCKT!$C$13:$AL$460,23,0)</f>
        <v>0</v>
      </c>
      <c r="N17" s="883" t="e">
        <f t="shared" si="1"/>
        <v>#N/A</v>
      </c>
      <c r="O17" s="883" t="e">
        <f t="shared" si="2"/>
        <v>#N/A</v>
      </c>
      <c r="P17" s="884" t="e">
        <f>VLOOKUP(C17,THCKT!$C$13:$AL$460,36,0)</f>
        <v>#N/A</v>
      </c>
      <c r="Q17" s="887" t="e">
        <f t="shared" si="5"/>
        <v>#N/A</v>
      </c>
      <c r="R17" s="874" t="e">
        <f>VLOOKUP(C17,'LƯƠNG KT'!$D$15:$P$94,16,0)</f>
        <v>#N/A</v>
      </c>
      <c r="S17" s="874" t="e">
        <f>VLOOKUP(C17,'LƯƠNG KT'!$D$15:$P$94,17,0)</f>
        <v>#N/A</v>
      </c>
      <c r="T17" s="874" t="e">
        <f>VLOOKUP(C17,'LƯƠNG KT'!$D$15:$P$94,18,0)</f>
        <v>#N/A</v>
      </c>
      <c r="U17" s="874" t="e">
        <f>VLOOKUP(C17,'LƯƠNG KT'!$D$15:$P$94,18,0)</f>
        <v>#N/A</v>
      </c>
      <c r="V17" s="874" t="e">
        <f>VLOOKUP(C17,'LƯƠNG KT'!$D$15:$P$94,19,0)</f>
        <v>#N/A</v>
      </c>
      <c r="W17" s="874" t="e">
        <f>VLOOKUP(C17,'LƯƠNG KT'!$D$15:$P$94,20,0)</f>
        <v>#N/A</v>
      </c>
      <c r="X17" s="874" t="e">
        <f>VLOOKUP(C17,'LƯƠNG KT'!$D$15:$P$94,21,0)</f>
        <v>#N/A</v>
      </c>
      <c r="Y17" s="874" t="e">
        <f>VLOOKUP(C17,'LƯƠNG KT'!$D$15:$P$94,23,0)</f>
        <v>#N/A</v>
      </c>
      <c r="Z17" s="874" t="e">
        <f>VLOOKUP(C17,'LƯƠNG KT'!$D$15:$P$94,24,0)</f>
        <v>#N/A</v>
      </c>
      <c r="AA17" s="874">
        <v>20</v>
      </c>
      <c r="AB17" s="874"/>
      <c r="AC17" s="889" t="e">
        <f t="shared" si="6"/>
        <v>#N/A</v>
      </c>
      <c r="AD17" s="889" t="e">
        <f t="shared" si="3"/>
        <v>#N/A</v>
      </c>
      <c r="AE17" s="889" t="e">
        <f t="shared" si="4"/>
        <v>#N/A</v>
      </c>
      <c r="AF17" s="915"/>
      <c r="AG17" s="891"/>
      <c r="AH17" s="922" t="s">
        <v>2751</v>
      </c>
      <c r="AK17" s="923"/>
    </row>
    <row r="18" spans="1:38" s="540" customFormat="1" ht="17.25" customHeight="1">
      <c r="A18" s="868">
        <v>5</v>
      </c>
      <c r="B18" s="1644" t="str">
        <f>VLOOKUP(C18,'DS CN MOI UP'!$B$10:$C$389,2,0)</f>
        <v>02662</v>
      </c>
      <c r="C18" s="875" t="s">
        <v>282</v>
      </c>
      <c r="D18" s="875" t="s">
        <v>15</v>
      </c>
      <c r="E18" s="872"/>
      <c r="F18" s="873">
        <f>+VLOOKUP($C$14:$C$20,THCKT!$C$317:$AE$395,17,0)</f>
        <v>32</v>
      </c>
      <c r="G18" s="874">
        <f t="shared" si="0"/>
        <v>800000</v>
      </c>
      <c r="H18" s="874"/>
      <c r="I18" s="874"/>
      <c r="J18" s="874"/>
      <c r="K18" s="874" t="e">
        <f>VLOOKUP(C18,THCKT!$C$13:$AL$460,21,0)</f>
        <v>#N/A</v>
      </c>
      <c r="L18" s="883">
        <f>VLOOKUP(C18,THCKT!$C$13:$AL$460,22,0)</f>
        <v>0</v>
      </c>
      <c r="M18" s="883">
        <f>VLOOKUP(C18,THCKT!$C$13:$AL$460,23,0)</f>
        <v>0</v>
      </c>
      <c r="N18" s="883" t="e">
        <f t="shared" si="1"/>
        <v>#N/A</v>
      </c>
      <c r="O18" s="883" t="e">
        <f t="shared" si="2"/>
        <v>#N/A</v>
      </c>
      <c r="P18" s="884" t="e">
        <f>VLOOKUP(C18,THCKT!$C$13:$AL$460,36,0)</f>
        <v>#N/A</v>
      </c>
      <c r="Q18" s="887" t="e">
        <f t="shared" si="5"/>
        <v>#N/A</v>
      </c>
      <c r="R18" s="874" t="e">
        <f>VLOOKUP(C18,'LƯƠNG KT'!$D$15:$P$94,16,0)</f>
        <v>#N/A</v>
      </c>
      <c r="S18" s="874" t="e">
        <f>VLOOKUP(C18,'LƯƠNG KT'!$D$15:$P$94,17,0)</f>
        <v>#N/A</v>
      </c>
      <c r="T18" s="874" t="e">
        <f>VLOOKUP(C18,'LƯƠNG KT'!$D$15:$P$94,18,0)</f>
        <v>#N/A</v>
      </c>
      <c r="U18" s="874" t="e">
        <f>VLOOKUP(C18,'LƯƠNG KT'!$D$15:$P$94,18,0)</f>
        <v>#N/A</v>
      </c>
      <c r="V18" s="874" t="e">
        <f>VLOOKUP(C18,'LƯƠNG KT'!$D$15:$P$94,19,0)</f>
        <v>#N/A</v>
      </c>
      <c r="W18" s="874" t="e">
        <f>VLOOKUP(C18,'LƯƠNG KT'!$D$15:$P$94,20,0)</f>
        <v>#N/A</v>
      </c>
      <c r="X18" s="874" t="e">
        <f>VLOOKUP(C18,'LƯƠNG KT'!$D$15:$P$94,21,0)</f>
        <v>#N/A</v>
      </c>
      <c r="Y18" s="874" t="e">
        <f>VLOOKUP(C18,'LƯƠNG KT'!$D$15:$P$94,23,0)</f>
        <v>#N/A</v>
      </c>
      <c r="Z18" s="874" t="e">
        <f>VLOOKUP(C18,'LƯƠNG KT'!$D$15:$P$94,24,0)</f>
        <v>#N/A</v>
      </c>
      <c r="AA18" s="874">
        <v>20</v>
      </c>
      <c r="AB18" s="874"/>
      <c r="AC18" s="889" t="e">
        <f>ROUND((((R18*46.1)+(S18*76.9)+(X18*30.7)+(U18*46.1*2)+(V18*46.1*2)+(W18*76.9*2))*$F$8),0)+T18*10000+Y18*20000+Z18*20000+AA18*25000+1</f>
        <v>#N/A</v>
      </c>
      <c r="AD18" s="889" t="e">
        <f t="shared" si="3"/>
        <v>#N/A</v>
      </c>
      <c r="AE18" s="889" t="e">
        <f t="shared" si="4"/>
        <v>#N/A</v>
      </c>
      <c r="AF18" s="915"/>
      <c r="AG18" s="891"/>
      <c r="AH18" s="922" t="s">
        <v>2751</v>
      </c>
      <c r="AK18" s="923"/>
    </row>
    <row r="19" spans="1:38" s="540" customFormat="1" ht="17.25" customHeight="1">
      <c r="A19" s="868">
        <v>6</v>
      </c>
      <c r="B19" s="1644" t="str">
        <f>VLOOKUP(C19,'DS CN MOI UP'!$B$10:$C$389,2,0)</f>
        <v>02657</v>
      </c>
      <c r="C19" s="875" t="s">
        <v>283</v>
      </c>
      <c r="D19" s="875" t="s">
        <v>15</v>
      </c>
      <c r="E19" s="872"/>
      <c r="F19" s="873">
        <f>+VLOOKUP($C$14:$C$20,THCKT!$C$317:$AE$395,17,0)</f>
        <v>32</v>
      </c>
      <c r="G19" s="874">
        <f t="shared" si="0"/>
        <v>800000</v>
      </c>
      <c r="H19" s="874"/>
      <c r="I19" s="874"/>
      <c r="J19" s="874"/>
      <c r="K19" s="874" t="e">
        <f>VLOOKUP(C19,THCKT!$C$13:$AL$460,21,0)</f>
        <v>#N/A</v>
      </c>
      <c r="L19" s="883">
        <f>VLOOKUP(C19,THCKT!$C$13:$AL$460,22,0)</f>
        <v>0</v>
      </c>
      <c r="M19" s="883">
        <f>VLOOKUP(C19,THCKT!$C$13:$AL$460,23,0)</f>
        <v>0</v>
      </c>
      <c r="N19" s="883" t="e">
        <f t="shared" si="1"/>
        <v>#N/A</v>
      </c>
      <c r="O19" s="883" t="e">
        <f t="shared" si="2"/>
        <v>#N/A</v>
      </c>
      <c r="P19" s="884" t="e">
        <f>VLOOKUP(C19,THCKT!$C$13:$AL$460,36,0)</f>
        <v>#N/A</v>
      </c>
      <c r="Q19" s="887" t="e">
        <f t="shared" si="5"/>
        <v>#N/A</v>
      </c>
      <c r="R19" s="874" t="e">
        <f>VLOOKUP(C19,'LƯƠNG KT'!$D$15:$P$94,16,0)</f>
        <v>#N/A</v>
      </c>
      <c r="S19" s="874" t="e">
        <f>VLOOKUP(C19,'LƯƠNG KT'!$D$15:$P$94,17,0)</f>
        <v>#N/A</v>
      </c>
      <c r="T19" s="874" t="e">
        <f>VLOOKUP(C19,'LƯƠNG KT'!$D$15:$P$94,18,0)</f>
        <v>#N/A</v>
      </c>
      <c r="U19" s="874" t="e">
        <f>VLOOKUP(C19,'LƯƠNG KT'!$D$15:$P$94,18,0)</f>
        <v>#N/A</v>
      </c>
      <c r="V19" s="874" t="e">
        <f>VLOOKUP(C19,'LƯƠNG KT'!$D$15:$P$94,19,0)</f>
        <v>#N/A</v>
      </c>
      <c r="W19" s="874" t="e">
        <f>VLOOKUP(C19,'LƯƠNG KT'!$D$15:$P$94,20,0)</f>
        <v>#N/A</v>
      </c>
      <c r="X19" s="874" t="e">
        <f>VLOOKUP(C19,'LƯƠNG KT'!$D$15:$P$94,21,0)</f>
        <v>#N/A</v>
      </c>
      <c r="Y19" s="874" t="e">
        <f>VLOOKUP(C19,'LƯƠNG KT'!$D$15:$P$94,23,0)</f>
        <v>#N/A</v>
      </c>
      <c r="Z19" s="874" t="e">
        <f>VLOOKUP(C19,'LƯƠNG KT'!$D$15:$P$94,24,0)</f>
        <v>#N/A</v>
      </c>
      <c r="AA19" s="874">
        <v>20</v>
      </c>
      <c r="AB19" s="874"/>
      <c r="AC19" s="889" t="e">
        <f>ROUND((((R19*46.1)+(S19*76.9)+(X19*30.7)+(U19*46.1*2)+(V19*46.1*2)+(W19*76.9*2))*$F$8),0)+T19*10000+Y19*20000+Z19*20000+AA19*25000+1</f>
        <v>#N/A</v>
      </c>
      <c r="AD19" s="889" t="e">
        <f t="shared" si="3"/>
        <v>#N/A</v>
      </c>
      <c r="AE19" s="889" t="e">
        <f t="shared" si="4"/>
        <v>#N/A</v>
      </c>
      <c r="AF19" s="915"/>
      <c r="AG19" s="891"/>
      <c r="AH19" s="922" t="s">
        <v>2751</v>
      </c>
      <c r="AK19" s="923"/>
    </row>
    <row r="20" spans="1:38" s="540" customFormat="1" ht="17.25" customHeight="1">
      <c r="A20" s="868">
        <v>7</v>
      </c>
      <c r="B20" s="1644" t="str">
        <f>VLOOKUP(C20,'DS CN MOI UP'!$B$10:$C$389,2,0)</f>
        <v>02661</v>
      </c>
      <c r="C20" s="875" t="s">
        <v>284</v>
      </c>
      <c r="D20" s="875" t="s">
        <v>15</v>
      </c>
      <c r="E20" s="872"/>
      <c r="F20" s="873">
        <f>+VLOOKUP($C$14:$C$20,THCKT!$C$317:$AE$395,17,0)</f>
        <v>32</v>
      </c>
      <c r="G20" s="874">
        <f t="shared" si="0"/>
        <v>800000</v>
      </c>
      <c r="H20" s="874"/>
      <c r="I20" s="874"/>
      <c r="J20" s="874"/>
      <c r="K20" s="874" t="e">
        <f>VLOOKUP(C20,THCKT!$C$13:$AL$460,21,0)</f>
        <v>#N/A</v>
      </c>
      <c r="L20" s="883">
        <f>VLOOKUP(C20,THCKT!$C$13:$AL$460,22,0)</f>
        <v>0</v>
      </c>
      <c r="M20" s="883">
        <f>VLOOKUP(C20,THCKT!$C$13:$AL$460,23,0)</f>
        <v>0</v>
      </c>
      <c r="N20" s="883" t="e">
        <f t="shared" si="1"/>
        <v>#N/A</v>
      </c>
      <c r="O20" s="883" t="e">
        <f t="shared" si="2"/>
        <v>#N/A</v>
      </c>
      <c r="P20" s="884" t="e">
        <f>VLOOKUP(C20,THCKT!$C$13:$AL$460,36,0)</f>
        <v>#N/A</v>
      </c>
      <c r="Q20" s="887" t="e">
        <f t="shared" si="5"/>
        <v>#N/A</v>
      </c>
      <c r="R20" s="874" t="e">
        <f>VLOOKUP(C20,'LƯƠNG KT'!$D$15:$P$94,16,0)</f>
        <v>#N/A</v>
      </c>
      <c r="S20" s="874" t="e">
        <f>VLOOKUP(C20,'LƯƠNG KT'!$D$15:$P$94,17,0)</f>
        <v>#N/A</v>
      </c>
      <c r="T20" s="874" t="e">
        <f>VLOOKUP(C20,'LƯƠNG KT'!$D$15:$P$94,18,0)</f>
        <v>#N/A</v>
      </c>
      <c r="U20" s="874" t="e">
        <f>VLOOKUP(C20,'LƯƠNG KT'!$D$15:$P$94,18,0)</f>
        <v>#N/A</v>
      </c>
      <c r="V20" s="874" t="e">
        <f>VLOOKUP(C20,'LƯƠNG KT'!$D$15:$P$94,19,0)</f>
        <v>#N/A</v>
      </c>
      <c r="W20" s="874" t="e">
        <f>VLOOKUP(C20,'LƯƠNG KT'!$D$15:$P$94,20,0)</f>
        <v>#N/A</v>
      </c>
      <c r="X20" s="874" t="e">
        <f>VLOOKUP(C20,'LƯƠNG KT'!$D$15:$P$94,21,0)</f>
        <v>#N/A</v>
      </c>
      <c r="Y20" s="874" t="e">
        <f>VLOOKUP(C20,'LƯƠNG KT'!$D$15:$P$94,23,0)</f>
        <v>#N/A</v>
      </c>
      <c r="Z20" s="874" t="e">
        <f>VLOOKUP(C20,'LƯƠNG KT'!$D$15:$P$94,24,0)</f>
        <v>#N/A</v>
      </c>
      <c r="AA20" s="874">
        <v>20</v>
      </c>
      <c r="AB20" s="874"/>
      <c r="AC20" s="889" t="e">
        <f>ROUND((((R20*46.1)+(S20*76.9)+(X20*30.7)+(U20*46.1*2)+(V20*46.1*2)+(W20*76.9*2))*$F$8),0)+T20*10000+Y20*20000+Z20*20000+AA20*25000+1</f>
        <v>#N/A</v>
      </c>
      <c r="AD20" s="889" t="e">
        <f t="shared" si="3"/>
        <v>#N/A</v>
      </c>
      <c r="AE20" s="889" t="e">
        <f t="shared" si="4"/>
        <v>#N/A</v>
      </c>
      <c r="AF20" s="915"/>
      <c r="AG20" s="891"/>
      <c r="AH20" s="922" t="s">
        <v>2751</v>
      </c>
      <c r="AK20" s="923"/>
    </row>
    <row r="21" spans="1:38" s="541" customFormat="1" ht="17.25" customHeight="1">
      <c r="A21" s="894" t="s">
        <v>2773</v>
      </c>
      <c r="B21" s="894"/>
      <c r="C21" s="911"/>
      <c r="D21" s="911"/>
      <c r="E21" s="912"/>
      <c r="F21" s="913">
        <f t="shared" ref="F21:AE21" si="7">SUM(F14:F20)</f>
        <v>224</v>
      </c>
      <c r="G21" s="912">
        <f t="shared" si="7"/>
        <v>5600000</v>
      </c>
      <c r="H21" s="912">
        <f t="shared" si="7"/>
        <v>0</v>
      </c>
      <c r="I21" s="912">
        <f t="shared" si="7"/>
        <v>0</v>
      </c>
      <c r="J21" s="912">
        <f t="shared" si="7"/>
        <v>0</v>
      </c>
      <c r="K21" s="912" t="e">
        <f t="shared" si="7"/>
        <v>#N/A</v>
      </c>
      <c r="L21" s="912">
        <f t="shared" si="7"/>
        <v>0</v>
      </c>
      <c r="M21" s="912">
        <f t="shared" ref="M21" si="8">SUM(M14:M20)</f>
        <v>0</v>
      </c>
      <c r="N21" s="913" t="e">
        <f t="shared" si="7"/>
        <v>#N/A</v>
      </c>
      <c r="O21" s="913" t="e">
        <f t="shared" ref="O21" si="9">SUM(O14:O20)</f>
        <v>#N/A</v>
      </c>
      <c r="P21" s="914" t="e">
        <f t="shared" si="7"/>
        <v>#N/A</v>
      </c>
      <c r="Q21" s="912" t="e">
        <f t="shared" si="7"/>
        <v>#N/A</v>
      </c>
      <c r="R21" s="912" t="e">
        <f t="shared" si="7"/>
        <v>#N/A</v>
      </c>
      <c r="S21" s="912" t="e">
        <f t="shared" si="7"/>
        <v>#N/A</v>
      </c>
      <c r="T21" s="912" t="e">
        <f t="shared" ref="T21:W21" si="10">SUM(T14:T20)</f>
        <v>#N/A</v>
      </c>
      <c r="U21" s="912" t="e">
        <f t="shared" si="10"/>
        <v>#N/A</v>
      </c>
      <c r="V21" s="912" t="e">
        <f t="shared" si="10"/>
        <v>#N/A</v>
      </c>
      <c r="W21" s="912" t="e">
        <f t="shared" si="10"/>
        <v>#N/A</v>
      </c>
      <c r="X21" s="912" t="e">
        <f t="shared" si="7"/>
        <v>#N/A</v>
      </c>
      <c r="Y21" s="912" t="e">
        <f t="shared" si="7"/>
        <v>#N/A</v>
      </c>
      <c r="Z21" s="912" t="e">
        <f t="shared" ref="Z21:AA21" si="11">SUM(Z14:Z20)</f>
        <v>#N/A</v>
      </c>
      <c r="AA21" s="912">
        <f t="shared" si="11"/>
        <v>140</v>
      </c>
      <c r="AB21" s="912">
        <f t="shared" si="7"/>
        <v>0</v>
      </c>
      <c r="AC21" s="912" t="e">
        <f t="shared" si="7"/>
        <v>#N/A</v>
      </c>
      <c r="AD21" s="912" t="e">
        <f t="shared" si="7"/>
        <v>#N/A</v>
      </c>
      <c r="AE21" s="912" t="e">
        <f t="shared" si="7"/>
        <v>#N/A</v>
      </c>
      <c r="AF21" s="916"/>
      <c r="AG21" s="924"/>
      <c r="AI21" s="925"/>
    </row>
    <row r="22" spans="1:38" s="541" customFormat="1" ht="17.25" customHeight="1">
      <c r="A22" s="2658" t="s">
        <v>2774</v>
      </c>
      <c r="B22" s="2658"/>
      <c r="C22" s="2658"/>
      <c r="D22" s="2658"/>
      <c r="E22" s="2658"/>
      <c r="F22" s="2658"/>
      <c r="G22" s="2658"/>
      <c r="H22" s="2658"/>
      <c r="I22" s="2658"/>
      <c r="J22" s="2658"/>
      <c r="K22" s="2658"/>
      <c r="L22" s="2658"/>
      <c r="M22" s="2658"/>
      <c r="N22" s="2658"/>
      <c r="O22" s="2658"/>
      <c r="P22" s="2658"/>
      <c r="Q22" s="2658"/>
      <c r="R22" s="2658"/>
      <c r="S22" s="2658"/>
      <c r="T22" s="2658"/>
      <c r="U22" s="2658"/>
      <c r="V22" s="2658"/>
      <c r="W22" s="2658"/>
      <c r="X22" s="2658"/>
      <c r="Y22" s="2658"/>
      <c r="Z22" s="2658"/>
      <c r="AA22" s="2658"/>
      <c r="AB22" s="2658"/>
      <c r="AC22" s="2658"/>
      <c r="AD22" s="2658"/>
      <c r="AE22" s="2658"/>
      <c r="AF22" s="630"/>
      <c r="AG22" s="631"/>
      <c r="AH22" s="629" t="e">
        <f>+#REF!+'LƯƠNG BV9THUC'!J13</f>
        <v>#REF!</v>
      </c>
      <c r="AI22" s="638" t="e">
        <f>+#REF!-#REF!</f>
        <v>#REF!</v>
      </c>
      <c r="AJ22" s="612"/>
      <c r="AK22" s="612"/>
    </row>
    <row r="23" spans="1:38" s="600" customFormat="1" ht="24" customHeight="1">
      <c r="A23" s="899"/>
      <c r="B23" s="899"/>
      <c r="C23" s="900"/>
      <c r="F23" s="901"/>
      <c r="G23" s="902"/>
      <c r="H23" s="902"/>
      <c r="I23" s="902"/>
      <c r="J23" s="902"/>
      <c r="K23" s="902"/>
      <c r="L23" s="903"/>
      <c r="M23" s="903"/>
      <c r="N23" s="903"/>
      <c r="O23" s="903"/>
      <c r="P23" s="904"/>
      <c r="Q23" s="902"/>
      <c r="R23" s="906"/>
      <c r="S23" s="907"/>
      <c r="T23" s="907"/>
      <c r="U23" s="907"/>
      <c r="V23" s="907"/>
      <c r="W23" s="907"/>
      <c r="X23" s="907"/>
      <c r="Y23" s="907"/>
      <c r="Z23" s="907"/>
      <c r="AA23" s="907"/>
      <c r="AB23" s="907"/>
      <c r="AC23" s="2659" t="s">
        <v>2753</v>
      </c>
      <c r="AD23" s="2659"/>
      <c r="AE23" s="2659"/>
      <c r="AF23" s="632"/>
      <c r="AG23" s="632"/>
      <c r="AH23" s="633" t="e">
        <f>+AH22-'BẢNG PHÂN TOÁN'!#REF!</f>
        <v>#REF!</v>
      </c>
      <c r="AI23" s="639" t="e">
        <f>SUM(#REF!)</f>
        <v>#REF!</v>
      </c>
    </row>
    <row r="24" spans="1:38" s="157" customFormat="1" ht="15.95" customHeight="1">
      <c r="C24" s="2335" t="s">
        <v>1921</v>
      </c>
      <c r="D24" s="2335"/>
      <c r="E24" s="2335"/>
      <c r="F24" s="2335"/>
      <c r="G24" s="2335" t="s">
        <v>616</v>
      </c>
      <c r="H24" s="2335"/>
      <c r="I24" s="2335"/>
      <c r="J24" s="2335"/>
      <c r="K24" s="2335"/>
      <c r="L24" s="2335"/>
      <c r="M24" s="2335"/>
      <c r="N24" s="2335"/>
      <c r="O24" s="2335"/>
      <c r="P24" s="2335"/>
      <c r="Q24" s="2335" t="s">
        <v>2391</v>
      </c>
      <c r="R24" s="2335"/>
      <c r="S24" s="2335"/>
      <c r="T24" s="2335"/>
      <c r="U24" s="2335"/>
      <c r="V24" s="2335"/>
      <c r="W24" s="2335"/>
      <c r="X24" s="2335"/>
      <c r="Y24" s="2335"/>
      <c r="Z24" s="2335"/>
      <c r="AA24" s="2335"/>
      <c r="AB24" s="2335"/>
      <c r="AC24" s="2335"/>
      <c r="AD24" s="2335" t="s">
        <v>612</v>
      </c>
      <c r="AE24" s="2335"/>
      <c r="AH24" s="926" t="e">
        <f>+#REF!+#REF!+#REF!+#REF!+#REF!+#REF!</f>
        <v>#REF!</v>
      </c>
      <c r="AI24" s="635" t="e">
        <f>+AI23+#REF!</f>
        <v>#REF!</v>
      </c>
      <c r="AJ24" s="158"/>
      <c r="AK24" s="158"/>
      <c r="AL24" s="200"/>
    </row>
    <row r="25" spans="1:38" s="158" customFormat="1" ht="15">
      <c r="D25" s="611"/>
      <c r="E25" s="620"/>
      <c r="F25" s="611"/>
      <c r="G25" s="613"/>
      <c r="H25" s="613"/>
      <c r="I25" s="613"/>
      <c r="J25" s="613"/>
      <c r="K25" s="726"/>
      <c r="L25" s="734"/>
      <c r="M25" s="734"/>
      <c r="N25" s="734"/>
      <c r="O25" s="734"/>
      <c r="P25" s="201"/>
      <c r="Q25" s="201"/>
      <c r="R25" s="201"/>
      <c r="AC25" s="745"/>
      <c r="AD25" s="200"/>
      <c r="AG25" s="620"/>
      <c r="AH25" s="620"/>
      <c r="AI25" s="620" t="e">
        <f>+AI24-#REF!</f>
        <v>#REF!</v>
      </c>
      <c r="AL25" s="200"/>
    </row>
    <row r="26" spans="1:38" s="158" customFormat="1" ht="15">
      <c r="D26" s="611"/>
      <c r="E26" s="620"/>
      <c r="F26" s="614"/>
      <c r="G26" s="613"/>
      <c r="H26" s="613"/>
      <c r="I26" s="613"/>
      <c r="J26" s="613"/>
      <c r="K26" s="726"/>
      <c r="L26" s="734"/>
      <c r="M26" s="734"/>
      <c r="N26" s="734"/>
      <c r="O26" s="734"/>
      <c r="P26" s="201"/>
      <c r="Q26" s="201"/>
      <c r="R26" s="201"/>
      <c r="AC26" s="745"/>
      <c r="AD26" s="200"/>
      <c r="AG26" s="620"/>
      <c r="AH26" s="620"/>
      <c r="AL26" s="200"/>
    </row>
    <row r="27" spans="1:38" s="158" customFormat="1" ht="51" customHeight="1">
      <c r="D27" s="200"/>
      <c r="E27" s="200"/>
      <c r="F27" s="615"/>
      <c r="G27" s="613"/>
      <c r="H27" s="613"/>
      <c r="I27" s="613"/>
      <c r="J27" s="613"/>
      <c r="K27" s="2654"/>
      <c r="L27" s="2654"/>
      <c r="M27" s="2654"/>
      <c r="N27" s="2654"/>
      <c r="O27" s="905"/>
      <c r="P27" s="2655"/>
      <c r="Q27" s="2655"/>
      <c r="S27" s="748"/>
      <c r="T27" s="748"/>
      <c r="U27" s="748"/>
      <c r="V27" s="748"/>
      <c r="W27" s="748"/>
      <c r="X27" s="748"/>
      <c r="Y27" s="748"/>
      <c r="Z27" s="748"/>
      <c r="AA27" s="748"/>
      <c r="AB27" s="748"/>
      <c r="AC27" s="745"/>
      <c r="AD27" s="2656"/>
      <c r="AE27" s="2656"/>
      <c r="AG27" s="620"/>
      <c r="AH27" s="635"/>
      <c r="AI27" s="604"/>
    </row>
    <row r="28" spans="1:38" s="158" customFormat="1">
      <c r="D28" s="616"/>
      <c r="E28" s="172"/>
      <c r="F28" s="615"/>
      <c r="G28" s="200"/>
      <c r="H28" s="200"/>
      <c r="I28" s="200"/>
      <c r="J28" s="200"/>
      <c r="K28" s="2656"/>
      <c r="L28" s="2656"/>
      <c r="M28" s="634"/>
      <c r="N28" s="734"/>
      <c r="O28" s="734"/>
      <c r="P28" s="2657"/>
      <c r="Q28" s="2657"/>
      <c r="R28" s="2657"/>
      <c r="S28" s="908"/>
      <c r="T28" s="908"/>
      <c r="U28" s="908"/>
      <c r="V28" s="908"/>
      <c r="W28" s="908"/>
      <c r="X28" s="908"/>
      <c r="Y28" s="908"/>
      <c r="Z28" s="908"/>
      <c r="AA28" s="908"/>
      <c r="AB28" s="908"/>
      <c r="AC28" s="2656"/>
      <c r="AD28" s="2656"/>
      <c r="AG28" s="620"/>
      <c r="AI28" s="604"/>
    </row>
    <row r="29" spans="1:38" s="158" customFormat="1">
      <c r="C29" s="2335" t="s">
        <v>1924</v>
      </c>
      <c r="D29" s="2335"/>
      <c r="E29" s="2335"/>
      <c r="F29" s="2335"/>
      <c r="G29" s="824"/>
      <c r="H29" s="824"/>
      <c r="I29" s="824"/>
      <c r="J29" s="824"/>
      <c r="K29" s="2649" t="s">
        <v>2775</v>
      </c>
      <c r="L29" s="2649"/>
      <c r="M29" s="2649"/>
      <c r="N29" s="2649"/>
      <c r="O29" s="2649"/>
      <c r="P29" s="2646"/>
      <c r="Q29" s="2646"/>
      <c r="R29" s="201"/>
      <c r="S29" s="747"/>
      <c r="T29" s="747"/>
      <c r="U29" s="747"/>
      <c r="V29" s="747"/>
      <c r="W29" s="747"/>
      <c r="X29" s="747"/>
      <c r="Y29" s="747"/>
      <c r="Z29" s="747"/>
      <c r="AA29" s="747"/>
      <c r="AB29" s="747"/>
      <c r="AC29" s="745"/>
      <c r="AD29" s="2650" t="s">
        <v>613</v>
      </c>
      <c r="AE29" s="2650"/>
      <c r="AG29" s="620"/>
      <c r="AH29" s="200"/>
      <c r="AI29" s="604"/>
    </row>
    <row r="30" spans="1:38" s="158" customFormat="1" ht="14.25" customHeight="1">
      <c r="C30" s="617"/>
      <c r="D30" s="617"/>
      <c r="E30" s="617"/>
      <c r="F30" s="2651"/>
      <c r="G30" s="2651"/>
      <c r="H30" s="2651"/>
      <c r="I30" s="2651"/>
      <c r="J30" s="2651"/>
      <c r="K30" s="2651"/>
      <c r="L30" s="2652"/>
      <c r="M30" s="2652"/>
      <c r="N30" s="2652"/>
      <c r="O30" s="749"/>
      <c r="P30" s="2653"/>
      <c r="Q30" s="2653"/>
      <c r="R30" s="201"/>
      <c r="AC30" s="745"/>
      <c r="AD30" s="200"/>
      <c r="AE30" s="172"/>
      <c r="AG30" s="620"/>
      <c r="AI30" s="604"/>
    </row>
    <row r="31" spans="1:38" s="158" customFormat="1">
      <c r="C31" s="618"/>
      <c r="E31" s="200"/>
      <c r="F31" s="2647"/>
      <c r="G31" s="2647"/>
      <c r="H31" s="2647"/>
      <c r="I31" s="2647"/>
      <c r="J31" s="2647"/>
      <c r="K31" s="2647"/>
      <c r="L31" s="750"/>
      <c r="M31" s="750"/>
      <c r="N31" s="2648"/>
      <c r="O31" s="2648"/>
      <c r="P31" s="2648"/>
      <c r="Q31" s="2646"/>
      <c r="R31" s="2646"/>
      <c r="S31" s="201"/>
      <c r="T31" s="201"/>
      <c r="U31" s="201"/>
      <c r="V31" s="201"/>
      <c r="W31" s="201"/>
      <c r="X31" s="201"/>
      <c r="Y31" s="201"/>
      <c r="Z31" s="201"/>
      <c r="AA31" s="201"/>
      <c r="AB31" s="201"/>
      <c r="AC31" s="745"/>
      <c r="AD31" s="200"/>
      <c r="AE31" s="734"/>
      <c r="AG31" s="620"/>
      <c r="AI31" s="604"/>
    </row>
    <row r="32" spans="1:38" s="158" customFormat="1">
      <c r="E32" s="200"/>
      <c r="F32" s="619"/>
      <c r="G32" s="2645"/>
      <c r="H32" s="2645"/>
      <c r="I32" s="2645"/>
      <c r="J32" s="2645"/>
      <c r="K32" s="2645"/>
      <c r="L32" s="750"/>
      <c r="M32" s="750"/>
      <c r="N32" s="750"/>
      <c r="O32" s="750"/>
      <c r="P32" s="201"/>
      <c r="Q32" s="2646"/>
      <c r="R32" s="2646"/>
      <c r="AC32" s="745"/>
      <c r="AD32" s="200"/>
      <c r="AG32" s="620"/>
      <c r="AH32" s="618" t="e">
        <f>+#REF!+#REF!+#REF!+#REF!+#REF!+#REF!</f>
        <v>#REF!</v>
      </c>
      <c r="AI32" s="604"/>
    </row>
    <row r="33" spans="3:35" s="158" customFormat="1">
      <c r="C33" s="200"/>
      <c r="E33" s="200"/>
      <c r="F33" s="619"/>
      <c r="G33" s="2645"/>
      <c r="H33" s="2645"/>
      <c r="I33" s="2645"/>
      <c r="J33" s="2645"/>
      <c r="K33" s="2645"/>
      <c r="L33" s="750"/>
      <c r="M33" s="750"/>
      <c r="N33" s="750"/>
      <c r="O33" s="750"/>
      <c r="P33" s="201"/>
      <c r="Q33" s="2646"/>
      <c r="R33" s="2646"/>
      <c r="S33" s="618"/>
      <c r="T33" s="618"/>
      <c r="U33" s="618"/>
      <c r="V33" s="618"/>
      <c r="W33" s="618"/>
      <c r="X33" s="618"/>
      <c r="Y33" s="618"/>
      <c r="Z33" s="618"/>
      <c r="AA33" s="618"/>
      <c r="AB33" s="618"/>
      <c r="AC33" s="745"/>
      <c r="AD33" s="200"/>
      <c r="AG33" s="620"/>
      <c r="AI33" s="604"/>
    </row>
    <row r="34" spans="3:35" s="158" customFormat="1">
      <c r="E34" s="200"/>
      <c r="F34" s="619"/>
      <c r="G34" s="2645"/>
      <c r="H34" s="2645"/>
      <c r="I34" s="2645"/>
      <c r="J34" s="2645"/>
      <c r="K34" s="2645"/>
      <c r="L34" s="750"/>
      <c r="M34" s="750"/>
      <c r="N34" s="750"/>
      <c r="O34" s="750"/>
      <c r="P34" s="201"/>
      <c r="Q34" s="2646"/>
      <c r="R34" s="2646"/>
      <c r="S34" s="200"/>
      <c r="T34" s="200"/>
      <c r="U34" s="200"/>
      <c r="V34" s="200"/>
      <c r="W34" s="200"/>
      <c r="X34" s="200"/>
      <c r="Y34" s="200"/>
      <c r="Z34" s="200"/>
      <c r="AA34" s="200"/>
      <c r="AB34" s="200"/>
      <c r="AC34" s="745"/>
      <c r="AD34" s="200"/>
      <c r="AG34" s="620"/>
      <c r="AI34" s="604"/>
    </row>
    <row r="35" spans="3:35" s="158" customFormat="1">
      <c r="E35" s="200"/>
      <c r="F35" s="619"/>
      <c r="G35" s="2645"/>
      <c r="H35" s="2645"/>
      <c r="I35" s="2645"/>
      <c r="J35" s="2645"/>
      <c r="K35" s="2645"/>
      <c r="L35" s="750"/>
      <c r="M35" s="750"/>
      <c r="N35" s="750"/>
      <c r="O35" s="750"/>
      <c r="P35" s="201"/>
      <c r="Q35" s="2646"/>
      <c r="R35" s="2646"/>
      <c r="S35" s="200"/>
      <c r="T35" s="200"/>
      <c r="U35" s="200"/>
      <c r="V35" s="200"/>
      <c r="W35" s="200"/>
      <c r="X35" s="200"/>
      <c r="Y35" s="200"/>
      <c r="Z35" s="200"/>
      <c r="AA35" s="200"/>
      <c r="AB35" s="200"/>
      <c r="AC35" s="745"/>
      <c r="AD35" s="200"/>
      <c r="AG35" s="620"/>
      <c r="AI35" s="604"/>
    </row>
    <row r="36" spans="3:35" s="158" customFormat="1">
      <c r="E36" s="200"/>
      <c r="F36" s="619"/>
      <c r="G36" s="613"/>
      <c r="H36" s="613"/>
      <c r="I36" s="613"/>
      <c r="J36" s="613"/>
      <c r="K36" s="746"/>
      <c r="L36" s="752"/>
      <c r="M36" s="752"/>
      <c r="N36" s="752"/>
      <c r="O36" s="752"/>
      <c r="P36" s="201"/>
      <c r="Q36" s="201"/>
      <c r="R36" s="201"/>
      <c r="AC36" s="745"/>
      <c r="AD36" s="200"/>
      <c r="AG36" s="620"/>
      <c r="AI36" s="604"/>
    </row>
    <row r="37" spans="3:35" s="158" customFormat="1">
      <c r="C37" s="620"/>
      <c r="E37" s="200"/>
      <c r="F37" s="619"/>
      <c r="G37" s="613"/>
      <c r="H37" s="613"/>
      <c r="I37" s="613"/>
      <c r="J37" s="613"/>
      <c r="K37" s="726"/>
      <c r="L37" s="734"/>
      <c r="M37" s="734"/>
      <c r="N37" s="734"/>
      <c r="O37" s="734"/>
      <c r="P37" s="201"/>
      <c r="Q37" s="201"/>
      <c r="R37" s="201"/>
      <c r="AC37" s="745"/>
      <c r="AD37" s="200"/>
      <c r="AG37" s="620"/>
      <c r="AI37" s="604"/>
    </row>
    <row r="38" spans="3:35" s="158" customFormat="1">
      <c r="E38" s="200"/>
      <c r="F38" s="621"/>
      <c r="G38" s="613"/>
      <c r="H38" s="613"/>
      <c r="I38" s="613"/>
      <c r="J38" s="613"/>
      <c r="K38" s="726"/>
      <c r="L38" s="734"/>
      <c r="M38" s="734"/>
      <c r="N38" s="734"/>
      <c r="O38" s="734"/>
      <c r="P38" s="201"/>
      <c r="Q38" s="201"/>
      <c r="R38" s="201"/>
      <c r="S38" s="746"/>
      <c r="T38" s="746"/>
      <c r="U38" s="746"/>
      <c r="V38" s="746"/>
      <c r="W38" s="746"/>
      <c r="X38" s="746"/>
      <c r="Y38" s="746"/>
      <c r="Z38" s="746"/>
      <c r="AA38" s="746"/>
      <c r="AB38" s="746"/>
      <c r="AC38" s="745"/>
      <c r="AD38" s="200"/>
      <c r="AG38" s="620"/>
      <c r="AI38" s="604"/>
    </row>
    <row r="39" spans="3:35" s="158" customFormat="1">
      <c r="E39" s="200"/>
      <c r="F39" s="621"/>
      <c r="G39" s="613"/>
      <c r="H39" s="613"/>
      <c r="I39" s="613"/>
      <c r="J39" s="613"/>
      <c r="K39" s="726"/>
      <c r="L39" s="734"/>
      <c r="M39" s="734"/>
      <c r="N39" s="734"/>
      <c r="O39" s="734"/>
      <c r="P39" s="201"/>
      <c r="Q39" s="201"/>
      <c r="R39" s="201"/>
      <c r="S39" s="909"/>
      <c r="T39" s="909"/>
      <c r="U39" s="909"/>
      <c r="V39" s="909"/>
      <c r="W39" s="909"/>
      <c r="X39" s="909"/>
      <c r="Y39" s="909"/>
      <c r="Z39" s="909"/>
      <c r="AA39" s="909"/>
      <c r="AB39" s="909"/>
      <c r="AC39" s="745"/>
      <c r="AD39" s="200"/>
      <c r="AG39" s="620"/>
      <c r="AI39" s="604"/>
    </row>
    <row r="40" spans="3:35" s="158" customFormat="1">
      <c r="E40" s="200"/>
      <c r="F40" s="621"/>
      <c r="G40" s="613"/>
      <c r="H40" s="613"/>
      <c r="I40" s="613"/>
      <c r="J40" s="613"/>
      <c r="K40" s="726"/>
      <c r="L40" s="734"/>
      <c r="M40" s="734"/>
      <c r="N40" s="734"/>
      <c r="O40" s="734"/>
      <c r="P40" s="201"/>
      <c r="Q40" s="201"/>
      <c r="R40" s="201"/>
      <c r="AC40" s="745"/>
      <c r="AD40" s="200"/>
      <c r="AG40" s="620"/>
      <c r="AI40" s="604"/>
    </row>
    <row r="41" spans="3:35" s="158" customFormat="1">
      <c r="E41" s="200"/>
      <c r="F41" s="621"/>
      <c r="G41" s="613"/>
      <c r="H41" s="613"/>
      <c r="I41" s="613"/>
      <c r="J41" s="613"/>
      <c r="K41" s="726"/>
      <c r="L41" s="734"/>
      <c r="M41" s="734"/>
      <c r="N41" s="734"/>
      <c r="O41" s="734"/>
      <c r="P41" s="201"/>
      <c r="Q41" s="201"/>
      <c r="R41" s="201"/>
      <c r="AC41" s="745"/>
      <c r="AD41" s="200"/>
      <c r="AG41" s="620"/>
      <c r="AI41" s="604"/>
    </row>
    <row r="42" spans="3:35" s="158" customFormat="1">
      <c r="E42" s="200"/>
      <c r="F42" s="621"/>
      <c r="G42" s="613"/>
      <c r="H42" s="613"/>
      <c r="I42" s="613"/>
      <c r="J42" s="613"/>
      <c r="K42" s="726"/>
      <c r="L42" s="734"/>
      <c r="M42" s="734"/>
      <c r="N42" s="734"/>
      <c r="O42" s="734"/>
      <c r="P42" s="201"/>
      <c r="Q42" s="201"/>
      <c r="R42" s="201"/>
      <c r="AC42" s="745"/>
      <c r="AD42" s="200"/>
      <c r="AG42" s="620"/>
      <c r="AI42" s="604"/>
    </row>
    <row r="43" spans="3:35" s="158" customFormat="1">
      <c r="E43" s="200"/>
      <c r="F43" s="621"/>
      <c r="G43" s="613"/>
      <c r="H43" s="613"/>
      <c r="I43" s="613"/>
      <c r="J43" s="613"/>
      <c r="K43" s="726"/>
      <c r="L43" s="734"/>
      <c r="M43" s="734"/>
      <c r="N43" s="734"/>
      <c r="O43" s="734"/>
      <c r="P43" s="201"/>
      <c r="Q43" s="201"/>
      <c r="R43" s="201"/>
      <c r="AC43" s="745"/>
      <c r="AD43" s="200"/>
      <c r="AG43" s="620"/>
      <c r="AI43" s="604"/>
    </row>
    <row r="44" spans="3:35" s="158" customFormat="1">
      <c r="E44" s="200"/>
      <c r="F44" s="621"/>
      <c r="G44" s="613"/>
      <c r="H44" s="613"/>
      <c r="I44" s="613"/>
      <c r="J44" s="613"/>
      <c r="K44" s="726"/>
      <c r="L44" s="734"/>
      <c r="M44" s="734"/>
      <c r="N44" s="734"/>
      <c r="O44" s="734"/>
      <c r="P44" s="201"/>
      <c r="Q44" s="201"/>
      <c r="R44" s="201"/>
      <c r="AC44" s="745"/>
      <c r="AD44" s="200"/>
      <c r="AG44" s="620"/>
      <c r="AI44" s="604"/>
    </row>
    <row r="45" spans="3:35" s="158" customFormat="1">
      <c r="E45" s="200"/>
      <c r="F45" s="621"/>
      <c r="G45" s="613"/>
      <c r="H45" s="613"/>
      <c r="I45" s="613"/>
      <c r="J45" s="613"/>
      <c r="K45" s="726"/>
      <c r="L45" s="734"/>
      <c r="M45" s="734"/>
      <c r="N45" s="734"/>
      <c r="O45" s="734"/>
      <c r="P45" s="201"/>
      <c r="Q45" s="201"/>
      <c r="R45" s="201"/>
      <c r="AC45" s="745"/>
      <c r="AD45" s="200"/>
      <c r="AG45" s="620"/>
      <c r="AI45" s="604"/>
    </row>
    <row r="46" spans="3:35" s="158" customFormat="1">
      <c r="E46" s="200"/>
      <c r="F46" s="621"/>
      <c r="G46" s="613"/>
      <c r="H46" s="613"/>
      <c r="I46" s="613"/>
      <c r="J46" s="613"/>
      <c r="K46" s="726"/>
      <c r="L46" s="734"/>
      <c r="M46" s="734"/>
      <c r="N46" s="734"/>
      <c r="O46" s="734"/>
      <c r="P46" s="201"/>
      <c r="Q46" s="201"/>
      <c r="R46" s="201"/>
      <c r="AC46" s="745"/>
      <c r="AD46" s="200"/>
      <c r="AG46" s="620"/>
      <c r="AI46" s="604"/>
    </row>
    <row r="47" spans="3:35" s="158" customFormat="1">
      <c r="E47" s="200"/>
      <c r="F47" s="621"/>
      <c r="G47" s="613"/>
      <c r="H47" s="613"/>
      <c r="I47" s="613"/>
      <c r="J47" s="613"/>
      <c r="K47" s="726"/>
      <c r="L47" s="734"/>
      <c r="M47" s="734"/>
      <c r="N47" s="734"/>
      <c r="O47" s="734"/>
      <c r="P47" s="201"/>
      <c r="Q47" s="201"/>
      <c r="R47" s="201"/>
      <c r="AC47" s="745"/>
      <c r="AD47" s="200"/>
      <c r="AG47" s="620"/>
      <c r="AI47" s="604"/>
    </row>
    <row r="48" spans="3:35" s="158" customFormat="1">
      <c r="E48" s="200"/>
      <c r="F48" s="621"/>
      <c r="G48" s="613"/>
      <c r="H48" s="613"/>
      <c r="I48" s="613"/>
      <c r="J48" s="613"/>
      <c r="K48" s="726"/>
      <c r="L48" s="734"/>
      <c r="M48" s="734"/>
      <c r="N48" s="734"/>
      <c r="O48" s="734"/>
      <c r="P48" s="201"/>
      <c r="Q48" s="201"/>
      <c r="R48" s="201"/>
      <c r="AC48" s="745"/>
      <c r="AD48" s="200"/>
      <c r="AG48" s="620"/>
      <c r="AI48" s="604"/>
    </row>
    <row r="49" spans="5:35" s="158" customFormat="1">
      <c r="E49" s="200"/>
      <c r="F49" s="621"/>
      <c r="G49" s="613"/>
      <c r="H49" s="613"/>
      <c r="I49" s="613"/>
      <c r="J49" s="613"/>
      <c r="K49" s="726"/>
      <c r="L49" s="734"/>
      <c r="M49" s="734"/>
      <c r="N49" s="734"/>
      <c r="O49" s="734"/>
      <c r="P49" s="201"/>
      <c r="Q49" s="201"/>
      <c r="R49" s="201"/>
      <c r="AC49" s="745"/>
      <c r="AD49" s="200"/>
      <c r="AG49" s="620"/>
      <c r="AI49" s="604"/>
    </row>
    <row r="50" spans="5:35" s="158" customFormat="1">
      <c r="E50" s="200"/>
      <c r="F50" s="621"/>
      <c r="G50" s="613"/>
      <c r="H50" s="613"/>
      <c r="I50" s="613"/>
      <c r="J50" s="613"/>
      <c r="K50" s="726"/>
      <c r="L50" s="734"/>
      <c r="M50" s="734"/>
      <c r="N50" s="734"/>
      <c r="O50" s="734"/>
      <c r="P50" s="201"/>
      <c r="Q50" s="201"/>
      <c r="R50" s="201"/>
      <c r="AC50" s="745"/>
      <c r="AD50" s="200"/>
      <c r="AG50" s="620"/>
      <c r="AI50" s="604"/>
    </row>
    <row r="51" spans="5:35" s="158" customFormat="1">
      <c r="E51" s="200"/>
      <c r="F51" s="621"/>
      <c r="G51" s="613"/>
      <c r="H51" s="613"/>
      <c r="I51" s="613"/>
      <c r="J51" s="613"/>
      <c r="K51" s="726"/>
      <c r="L51" s="734"/>
      <c r="M51" s="734"/>
      <c r="N51" s="734"/>
      <c r="O51" s="734"/>
      <c r="P51" s="201"/>
      <c r="Q51" s="201"/>
      <c r="R51" s="201"/>
      <c r="AC51" s="745"/>
      <c r="AD51" s="200"/>
      <c r="AG51" s="620"/>
      <c r="AI51" s="604"/>
    </row>
    <row r="52" spans="5:35" s="158" customFormat="1">
      <c r="E52" s="200"/>
      <c r="F52" s="621"/>
      <c r="G52" s="613"/>
      <c r="H52" s="613"/>
      <c r="I52" s="613"/>
      <c r="J52" s="613"/>
      <c r="K52" s="726"/>
      <c r="L52" s="734"/>
      <c r="M52" s="734"/>
      <c r="N52" s="734"/>
      <c r="O52" s="734"/>
      <c r="P52" s="201"/>
      <c r="Q52" s="201"/>
      <c r="R52" s="201"/>
      <c r="AC52" s="745"/>
      <c r="AD52" s="200"/>
      <c r="AG52" s="620"/>
      <c r="AI52" s="604"/>
    </row>
    <row r="53" spans="5:35" s="158" customFormat="1">
      <c r="E53" s="200"/>
      <c r="F53" s="621"/>
      <c r="G53" s="613"/>
      <c r="H53" s="613"/>
      <c r="I53" s="613"/>
      <c r="J53" s="613"/>
      <c r="K53" s="726"/>
      <c r="L53" s="734"/>
      <c r="M53" s="734"/>
      <c r="N53" s="734"/>
      <c r="O53" s="734"/>
      <c r="P53" s="201"/>
      <c r="Q53" s="201"/>
      <c r="R53" s="201"/>
      <c r="AC53" s="745"/>
      <c r="AD53" s="200"/>
      <c r="AG53" s="620"/>
      <c r="AI53" s="604"/>
    </row>
    <row r="54" spans="5:35" s="158" customFormat="1">
      <c r="E54" s="200"/>
      <c r="F54" s="621"/>
      <c r="G54" s="613"/>
      <c r="H54" s="613"/>
      <c r="I54" s="613"/>
      <c r="J54" s="613"/>
      <c r="K54" s="726"/>
      <c r="L54" s="734"/>
      <c r="M54" s="734"/>
      <c r="N54" s="734"/>
      <c r="O54" s="734"/>
      <c r="P54" s="201"/>
      <c r="Q54" s="201"/>
      <c r="R54" s="201"/>
      <c r="AC54" s="745"/>
      <c r="AD54" s="200"/>
      <c r="AG54" s="620"/>
      <c r="AI54" s="604"/>
    </row>
    <row r="55" spans="5:35" s="158" customFormat="1">
      <c r="E55" s="200"/>
      <c r="F55" s="621"/>
      <c r="G55" s="613"/>
      <c r="H55" s="613"/>
      <c r="I55" s="613"/>
      <c r="J55" s="613"/>
      <c r="K55" s="726"/>
      <c r="L55" s="734"/>
      <c r="M55" s="734"/>
      <c r="N55" s="734"/>
      <c r="O55" s="734"/>
      <c r="P55" s="201"/>
      <c r="Q55" s="201"/>
      <c r="R55" s="201"/>
      <c r="AC55" s="745"/>
      <c r="AD55" s="200"/>
      <c r="AG55" s="620"/>
      <c r="AI55" s="604"/>
    </row>
    <row r="56" spans="5:35" s="158" customFormat="1">
      <c r="E56" s="200"/>
      <c r="F56" s="621"/>
      <c r="G56" s="613"/>
      <c r="H56" s="613"/>
      <c r="I56" s="613"/>
      <c r="J56" s="613"/>
      <c r="K56" s="726"/>
      <c r="L56" s="734"/>
      <c r="M56" s="734"/>
      <c r="N56" s="734"/>
      <c r="O56" s="734"/>
      <c r="P56" s="201"/>
      <c r="Q56" s="201"/>
      <c r="R56" s="201"/>
      <c r="AC56" s="745"/>
      <c r="AD56" s="200"/>
      <c r="AG56" s="620"/>
      <c r="AI56" s="604"/>
    </row>
    <row r="57" spans="5:35" s="158" customFormat="1">
      <c r="E57" s="200"/>
      <c r="F57" s="621"/>
      <c r="G57" s="613"/>
      <c r="H57" s="613"/>
      <c r="I57" s="613"/>
      <c r="J57" s="613"/>
      <c r="K57" s="726"/>
      <c r="L57" s="734"/>
      <c r="M57" s="734"/>
      <c r="N57" s="734"/>
      <c r="O57" s="734"/>
      <c r="P57" s="201"/>
      <c r="Q57" s="201"/>
      <c r="R57" s="201"/>
      <c r="AC57" s="745"/>
      <c r="AD57" s="200"/>
      <c r="AG57" s="620"/>
      <c r="AI57" s="604"/>
    </row>
    <row r="58" spans="5:35" s="158" customFormat="1">
      <c r="E58" s="200"/>
      <c r="F58" s="621"/>
      <c r="G58" s="613"/>
      <c r="H58" s="613"/>
      <c r="I58" s="613"/>
      <c r="J58" s="613"/>
      <c r="K58" s="726"/>
      <c r="L58" s="734"/>
      <c r="M58" s="734"/>
      <c r="N58" s="734"/>
      <c r="O58" s="734"/>
      <c r="P58" s="201"/>
      <c r="Q58" s="201"/>
      <c r="R58" s="201"/>
      <c r="AC58" s="745"/>
      <c r="AD58" s="200"/>
      <c r="AG58" s="620"/>
      <c r="AI58" s="604"/>
    </row>
    <row r="59" spans="5:35" s="158" customFormat="1">
      <c r="E59" s="200"/>
      <c r="F59" s="621"/>
      <c r="G59" s="613"/>
      <c r="H59" s="613"/>
      <c r="I59" s="613"/>
      <c r="J59" s="613"/>
      <c r="K59" s="726"/>
      <c r="L59" s="734"/>
      <c r="M59" s="734"/>
      <c r="N59" s="734"/>
      <c r="O59" s="734"/>
      <c r="P59" s="201"/>
      <c r="Q59" s="201"/>
      <c r="R59" s="201"/>
      <c r="AC59" s="745"/>
      <c r="AD59" s="200"/>
      <c r="AG59" s="620"/>
      <c r="AI59" s="604"/>
    </row>
    <row r="60" spans="5:35" s="158" customFormat="1">
      <c r="E60" s="200"/>
      <c r="F60" s="621"/>
      <c r="G60" s="613"/>
      <c r="H60" s="613"/>
      <c r="I60" s="613"/>
      <c r="J60" s="613"/>
      <c r="K60" s="726"/>
      <c r="L60" s="734"/>
      <c r="M60" s="734"/>
      <c r="N60" s="734"/>
      <c r="O60" s="734"/>
      <c r="P60" s="201"/>
      <c r="Q60" s="201"/>
      <c r="R60" s="201"/>
      <c r="AC60" s="745"/>
      <c r="AD60" s="200"/>
      <c r="AG60" s="620"/>
      <c r="AI60" s="604"/>
    </row>
    <row r="61" spans="5:35" s="158" customFormat="1">
      <c r="E61" s="200"/>
      <c r="F61" s="621"/>
      <c r="G61" s="613"/>
      <c r="H61" s="613"/>
      <c r="I61" s="613"/>
      <c r="J61" s="613"/>
      <c r="K61" s="726"/>
      <c r="L61" s="734"/>
      <c r="M61" s="734"/>
      <c r="N61" s="734"/>
      <c r="O61" s="734"/>
      <c r="P61" s="201"/>
      <c r="Q61" s="201"/>
      <c r="R61" s="201"/>
      <c r="AC61" s="745"/>
      <c r="AD61" s="200"/>
      <c r="AG61" s="620"/>
      <c r="AI61" s="604"/>
    </row>
    <row r="62" spans="5:35" s="158" customFormat="1">
      <c r="E62" s="200"/>
      <c r="F62" s="621"/>
      <c r="G62" s="613"/>
      <c r="H62" s="613"/>
      <c r="I62" s="613"/>
      <c r="J62" s="613"/>
      <c r="K62" s="726"/>
      <c r="L62" s="734"/>
      <c r="M62" s="734"/>
      <c r="N62" s="734"/>
      <c r="O62" s="734"/>
      <c r="P62" s="201"/>
      <c r="Q62" s="201"/>
      <c r="R62" s="201"/>
      <c r="AC62" s="745"/>
      <c r="AD62" s="200"/>
      <c r="AG62" s="620"/>
      <c r="AI62" s="604"/>
    </row>
    <row r="63" spans="5:35" s="158" customFormat="1">
      <c r="E63" s="200"/>
      <c r="F63" s="621"/>
      <c r="G63" s="613"/>
      <c r="H63" s="613"/>
      <c r="I63" s="613"/>
      <c r="J63" s="613"/>
      <c r="K63" s="726"/>
      <c r="L63" s="734"/>
      <c r="M63" s="734"/>
      <c r="N63" s="734"/>
      <c r="O63" s="734"/>
      <c r="P63" s="201"/>
      <c r="Q63" s="201"/>
      <c r="R63" s="201"/>
      <c r="AC63" s="745"/>
      <c r="AD63" s="200"/>
      <c r="AG63" s="620"/>
      <c r="AI63" s="604"/>
    </row>
    <row r="64" spans="5:35" s="158" customFormat="1">
      <c r="E64" s="200"/>
      <c r="F64" s="621"/>
      <c r="G64" s="613"/>
      <c r="H64" s="613"/>
      <c r="I64" s="613"/>
      <c r="J64" s="613"/>
      <c r="K64" s="726"/>
      <c r="L64" s="734"/>
      <c r="M64" s="734"/>
      <c r="N64" s="734"/>
      <c r="O64" s="734"/>
      <c r="P64" s="201"/>
      <c r="Q64" s="201"/>
      <c r="R64" s="201"/>
      <c r="AC64" s="745"/>
      <c r="AD64" s="200"/>
      <c r="AG64" s="620"/>
      <c r="AI64" s="604"/>
    </row>
    <row r="65" spans="5:35" s="158" customFormat="1">
      <c r="E65" s="200"/>
      <c r="F65" s="621"/>
      <c r="G65" s="613"/>
      <c r="H65" s="613"/>
      <c r="I65" s="613"/>
      <c r="J65" s="613"/>
      <c r="K65" s="726"/>
      <c r="L65" s="734"/>
      <c r="M65" s="734"/>
      <c r="N65" s="734"/>
      <c r="O65" s="734"/>
      <c r="P65" s="201"/>
      <c r="Q65" s="201"/>
      <c r="R65" s="201"/>
      <c r="AC65" s="745"/>
      <c r="AD65" s="200"/>
      <c r="AG65" s="620"/>
      <c r="AI65" s="604"/>
    </row>
    <row r="66" spans="5:35" s="158" customFormat="1">
      <c r="E66" s="200"/>
      <c r="F66" s="621"/>
      <c r="G66" s="613"/>
      <c r="H66" s="613"/>
      <c r="I66" s="613"/>
      <c r="J66" s="613"/>
      <c r="K66" s="726"/>
      <c r="L66" s="734"/>
      <c r="M66" s="734"/>
      <c r="N66" s="734"/>
      <c r="O66" s="734"/>
      <c r="P66" s="201"/>
      <c r="Q66" s="201"/>
      <c r="R66" s="201"/>
      <c r="AC66" s="745"/>
      <c r="AD66" s="200"/>
      <c r="AG66" s="620"/>
      <c r="AI66" s="604"/>
    </row>
    <row r="67" spans="5:35" s="158" customFormat="1">
      <c r="E67" s="200"/>
      <c r="F67" s="621"/>
      <c r="G67" s="613"/>
      <c r="H67" s="613"/>
      <c r="I67" s="613"/>
      <c r="J67" s="613"/>
      <c r="K67" s="726"/>
      <c r="L67" s="734"/>
      <c r="M67" s="734"/>
      <c r="N67" s="734"/>
      <c r="O67" s="734"/>
      <c r="P67" s="201"/>
      <c r="Q67" s="201"/>
      <c r="R67" s="201"/>
      <c r="AC67" s="745"/>
      <c r="AD67" s="200"/>
      <c r="AG67" s="620"/>
      <c r="AI67" s="604"/>
    </row>
    <row r="68" spans="5:35" s="158" customFormat="1">
      <c r="E68" s="200"/>
      <c r="F68" s="621"/>
      <c r="G68" s="613"/>
      <c r="H68" s="613"/>
      <c r="I68" s="613"/>
      <c r="J68" s="613"/>
      <c r="K68" s="726"/>
      <c r="L68" s="734"/>
      <c r="M68" s="734"/>
      <c r="N68" s="734"/>
      <c r="O68" s="734"/>
      <c r="P68" s="201"/>
      <c r="Q68" s="201"/>
      <c r="R68" s="201"/>
      <c r="AC68" s="745"/>
      <c r="AD68" s="200"/>
      <c r="AG68" s="620"/>
      <c r="AI68" s="604"/>
    </row>
    <row r="69" spans="5:35" s="158" customFormat="1">
      <c r="E69" s="200"/>
      <c r="F69" s="621"/>
      <c r="G69" s="613"/>
      <c r="H69" s="613"/>
      <c r="I69" s="613"/>
      <c r="J69" s="613"/>
      <c r="K69" s="726"/>
      <c r="L69" s="734"/>
      <c r="M69" s="734"/>
      <c r="N69" s="734"/>
      <c r="O69" s="734"/>
      <c r="P69" s="201"/>
      <c r="Q69" s="201"/>
      <c r="R69" s="201"/>
      <c r="AC69" s="745"/>
      <c r="AD69" s="200"/>
      <c r="AG69" s="620"/>
      <c r="AI69" s="604"/>
    </row>
    <row r="70" spans="5:35" s="158" customFormat="1">
      <c r="E70" s="200"/>
      <c r="F70" s="621"/>
      <c r="G70" s="613"/>
      <c r="H70" s="613"/>
      <c r="I70" s="613"/>
      <c r="J70" s="613"/>
      <c r="K70" s="726"/>
      <c r="L70" s="734"/>
      <c r="M70" s="734"/>
      <c r="N70" s="734"/>
      <c r="O70" s="734"/>
      <c r="P70" s="201"/>
      <c r="Q70" s="201"/>
      <c r="R70" s="201"/>
      <c r="AC70" s="745"/>
      <c r="AD70" s="200"/>
      <c r="AG70" s="620"/>
      <c r="AI70" s="604"/>
    </row>
    <row r="71" spans="5:35" s="158" customFormat="1">
      <c r="E71" s="200"/>
      <c r="F71" s="621"/>
      <c r="G71" s="613"/>
      <c r="H71" s="613"/>
      <c r="I71" s="613"/>
      <c r="J71" s="613"/>
      <c r="K71" s="726"/>
      <c r="L71" s="734"/>
      <c r="M71" s="734"/>
      <c r="N71" s="734"/>
      <c r="O71" s="734"/>
      <c r="P71" s="201"/>
      <c r="Q71" s="201"/>
      <c r="R71" s="201"/>
      <c r="AC71" s="745"/>
      <c r="AD71" s="200"/>
      <c r="AG71" s="620"/>
      <c r="AI71" s="604"/>
    </row>
    <row r="111" spans="22:22">
      <c r="V111" s="841" t="e">
        <f>SUM(V15:V110)</f>
        <v>#N/A</v>
      </c>
    </row>
  </sheetData>
  <mergeCells count="49">
    <mergeCell ref="B1:AE1"/>
    <mergeCell ref="B2:AE2"/>
    <mergeCell ref="C3:AE3"/>
    <mergeCell ref="C4:K4"/>
    <mergeCell ref="C5:K5"/>
    <mergeCell ref="A7:AF7"/>
    <mergeCell ref="A8:D8"/>
    <mergeCell ref="F10:AC10"/>
    <mergeCell ref="F11:G11"/>
    <mergeCell ref="K11:Q11"/>
    <mergeCell ref="R11:AC11"/>
    <mergeCell ref="A10:A12"/>
    <mergeCell ref="B10:B12"/>
    <mergeCell ref="C10:C12"/>
    <mergeCell ref="D10:D12"/>
    <mergeCell ref="E10:E12"/>
    <mergeCell ref="AD10:AD12"/>
    <mergeCell ref="AE10:AE12"/>
    <mergeCell ref="AF10:AF12"/>
    <mergeCell ref="A22:AE22"/>
    <mergeCell ref="AC23:AE23"/>
    <mergeCell ref="C24:F24"/>
    <mergeCell ref="G24:P24"/>
    <mergeCell ref="Q24:AC24"/>
    <mergeCell ref="AD24:AE24"/>
    <mergeCell ref="K27:N27"/>
    <mergeCell ref="P27:Q27"/>
    <mergeCell ref="AD27:AE27"/>
    <mergeCell ref="K28:L28"/>
    <mergeCell ref="P28:R28"/>
    <mergeCell ref="AC28:AD28"/>
    <mergeCell ref="C29:F29"/>
    <mergeCell ref="K29:O29"/>
    <mergeCell ref="P29:Q29"/>
    <mergeCell ref="AD29:AE29"/>
    <mergeCell ref="F30:K30"/>
    <mergeCell ref="L30:N30"/>
    <mergeCell ref="P30:Q30"/>
    <mergeCell ref="F31:K31"/>
    <mergeCell ref="N31:P31"/>
    <mergeCell ref="Q31:R31"/>
    <mergeCell ref="G32:K32"/>
    <mergeCell ref="Q32:R32"/>
    <mergeCell ref="G33:K33"/>
    <mergeCell ref="Q33:R33"/>
    <mergeCell ref="G34:K34"/>
    <mergeCell ref="Q34:R34"/>
    <mergeCell ref="G35:K35"/>
    <mergeCell ref="Q35:R35"/>
  </mergeCells>
  <printOptions horizontalCentered="1"/>
  <pageMargins left="0" right="0" top="0.511811023622047" bottom="0.511811023622047" header="0.31496062992126" footer="0.31496062992126"/>
  <pageSetup paperSize="9" scale="80" orientation="landscape"/>
  <headerFooter>
    <oddFooter>&amp;R&amp;P/1</oddFooter>
  </headerFooter>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AK128"/>
  <sheetViews>
    <sheetView showZeros="0" topLeftCell="A7" zoomScale="130" zoomScaleNormal="130" workbookViewId="0">
      <pane xSplit="4" ySplit="8" topLeftCell="E15" activePane="bottomRight" state="frozen"/>
      <selection pane="topRight"/>
      <selection pane="bottomLeft"/>
      <selection pane="bottomRight" activeCell="C77" sqref="C77"/>
    </sheetView>
  </sheetViews>
  <sheetFormatPr defaultColWidth="18.85546875" defaultRowHeight="18.75"/>
  <cols>
    <col min="1" max="1" width="3.28515625" style="197" customWidth="1"/>
    <col min="2" max="2" width="11.28515625" style="197" hidden="1" customWidth="1"/>
    <col min="3" max="3" width="13" style="601" customWidth="1"/>
    <col min="4" max="4" width="8.140625" style="346" customWidth="1"/>
    <col min="5" max="5" width="13.5703125" style="346" customWidth="1"/>
    <col min="6" max="6" width="8.42578125" style="602" customWidth="1"/>
    <col min="7" max="7" width="11.140625" style="346" customWidth="1"/>
    <col min="8" max="10" width="10.5703125" style="346" hidden="1" customWidth="1"/>
    <col min="11" max="11" width="7" style="684" customWidth="1"/>
    <col min="12" max="12" width="7" style="685" hidden="1" customWidth="1"/>
    <col min="13" max="13" width="6.42578125" style="685" customWidth="1"/>
    <col min="14" max="14" width="9.7109375" style="685" hidden="1" customWidth="1"/>
    <col min="15" max="15" width="9.7109375" style="685" customWidth="1"/>
    <col min="16" max="16" width="7" style="686" customWidth="1"/>
    <col min="17" max="17" width="10" style="687" customWidth="1"/>
    <col min="18" max="19" width="7" style="346" customWidth="1"/>
    <col min="20" max="21" width="7" style="346" hidden="1" customWidth="1"/>
    <col min="22" max="22" width="6.7109375" style="346" hidden="1" customWidth="1"/>
    <col min="23" max="23" width="6.28515625" style="346" hidden="1" customWidth="1"/>
    <col min="24" max="24" width="6.28515625" style="346" customWidth="1"/>
    <col min="25" max="25" width="7.28515625" style="346" customWidth="1"/>
    <col min="26" max="26" width="6.28515625" style="346" customWidth="1"/>
    <col min="27" max="27" width="9.140625" style="346" customWidth="1"/>
    <col min="28" max="28" width="9.140625" style="346" hidden="1" customWidth="1"/>
    <col min="29" max="30" width="10.7109375" style="346" customWidth="1"/>
    <col min="31" max="31" width="10.140625" style="346" customWidth="1"/>
    <col min="32" max="32" width="14.28515625" style="603" customWidth="1"/>
    <col min="33" max="33" width="19.7109375" style="346" customWidth="1"/>
    <col min="34" max="34" width="14.5703125" style="604" customWidth="1"/>
    <col min="35" max="227" width="9.140625" style="346" customWidth="1"/>
    <col min="228" max="228" width="5.5703125" style="346" customWidth="1"/>
    <col min="229" max="229" width="16.140625" style="346" customWidth="1"/>
    <col min="230" max="16384" width="18.85546875" style="346"/>
  </cols>
  <sheetData>
    <row r="1" spans="1:36" s="598" customFormat="1" ht="15.75">
      <c r="B1" s="2672" t="s">
        <v>0</v>
      </c>
      <c r="C1" s="2672"/>
      <c r="D1" s="2672"/>
      <c r="E1" s="2672"/>
      <c r="F1" s="2672"/>
      <c r="G1" s="2672"/>
      <c r="H1" s="2672"/>
      <c r="I1" s="2672"/>
      <c r="J1" s="2672"/>
      <c r="K1" s="2672"/>
      <c r="L1" s="2672"/>
      <c r="M1" s="2672"/>
      <c r="N1" s="2672"/>
      <c r="O1" s="2672"/>
      <c r="P1" s="2672"/>
      <c r="Q1" s="2672"/>
      <c r="R1" s="2672"/>
      <c r="S1" s="2672"/>
      <c r="T1" s="2672"/>
      <c r="U1" s="2672"/>
      <c r="V1" s="2672"/>
      <c r="W1" s="2672"/>
      <c r="X1" s="2672"/>
      <c r="Y1" s="2672"/>
      <c r="Z1" s="2672"/>
      <c r="AA1" s="2672"/>
      <c r="AB1" s="2672"/>
      <c r="AC1" s="2672"/>
      <c r="AD1" s="2672"/>
      <c r="AE1" s="2672"/>
    </row>
    <row r="2" spans="1:36" s="598" customFormat="1" ht="15.75">
      <c r="B2" s="2672" t="s">
        <v>1968</v>
      </c>
      <c r="C2" s="2672"/>
      <c r="D2" s="2672"/>
      <c r="E2" s="2672"/>
      <c r="F2" s="2672"/>
      <c r="G2" s="2672"/>
      <c r="H2" s="2672"/>
      <c r="I2" s="2672"/>
      <c r="J2" s="2672"/>
      <c r="K2" s="2672"/>
      <c r="L2" s="2672"/>
      <c r="M2" s="2672"/>
      <c r="N2" s="2672"/>
      <c r="O2" s="2672"/>
      <c r="P2" s="2672"/>
      <c r="Q2" s="2672"/>
      <c r="R2" s="2672"/>
      <c r="S2" s="2672"/>
      <c r="T2" s="2672"/>
      <c r="U2" s="2672"/>
      <c r="V2" s="2672"/>
      <c r="W2" s="2672"/>
      <c r="X2" s="2672"/>
      <c r="Y2" s="2672"/>
      <c r="Z2" s="2672"/>
      <c r="AA2" s="2672"/>
      <c r="AB2" s="2672"/>
      <c r="AC2" s="2672"/>
      <c r="AD2" s="2672"/>
      <c r="AE2" s="2672"/>
    </row>
    <row r="3" spans="1:36" s="598" customFormat="1" ht="15.75">
      <c r="C3" s="2673" t="s">
        <v>619</v>
      </c>
      <c r="D3" s="2672"/>
      <c r="E3" s="2672"/>
      <c r="F3" s="2672"/>
      <c r="G3" s="2672"/>
      <c r="H3" s="2672"/>
      <c r="I3" s="2672"/>
      <c r="J3" s="2672"/>
      <c r="K3" s="2672"/>
      <c r="L3" s="2672"/>
      <c r="M3" s="2672"/>
      <c r="N3" s="2672"/>
      <c r="O3" s="2672"/>
      <c r="P3" s="2672"/>
      <c r="Q3" s="2672"/>
      <c r="R3" s="2672"/>
      <c r="S3" s="2672"/>
      <c r="T3" s="2672"/>
      <c r="U3" s="2672"/>
      <c r="V3" s="2672"/>
      <c r="W3" s="2672"/>
      <c r="X3" s="2672"/>
      <c r="Y3" s="2672"/>
      <c r="Z3" s="2672"/>
      <c r="AA3" s="2672"/>
      <c r="AB3" s="2672"/>
      <c r="AC3" s="2672"/>
      <c r="AD3" s="2672"/>
      <c r="AE3" s="2672"/>
    </row>
    <row r="4" spans="1:36" s="598" customFormat="1" ht="15.75">
      <c r="C4" s="2674" t="s">
        <v>2738</v>
      </c>
      <c r="D4" s="2675"/>
      <c r="E4" s="2675"/>
      <c r="F4" s="2675"/>
      <c r="G4" s="2675"/>
      <c r="H4" s="2675"/>
      <c r="I4" s="2675"/>
      <c r="J4" s="2675"/>
      <c r="K4" s="2675"/>
      <c r="L4" s="700"/>
      <c r="M4" s="700"/>
      <c r="N4" s="700"/>
      <c r="O4" s="700"/>
      <c r="P4" s="605"/>
      <c r="Q4" s="605"/>
      <c r="R4" s="605"/>
      <c r="S4" s="605"/>
      <c r="T4" s="605"/>
      <c r="U4" s="605"/>
      <c r="V4" s="605"/>
      <c r="W4" s="605"/>
      <c r="X4" s="605"/>
      <c r="Y4" s="605"/>
      <c r="Z4" s="605"/>
      <c r="AA4" s="605"/>
      <c r="AB4" s="605"/>
      <c r="AC4" s="605"/>
    </row>
    <row r="5" spans="1:36" s="28" customFormat="1" ht="16.5">
      <c r="C5" s="2676" t="s">
        <v>620</v>
      </c>
      <c r="D5" s="2676"/>
      <c r="E5" s="2676"/>
      <c r="F5" s="2676"/>
      <c r="G5" s="2676"/>
      <c r="H5" s="2676"/>
      <c r="I5" s="2676"/>
      <c r="J5" s="2676"/>
      <c r="K5" s="2676"/>
      <c r="L5" s="876"/>
      <c r="M5" s="876"/>
      <c r="N5" s="702"/>
      <c r="O5" s="702"/>
      <c r="P5" s="76"/>
      <c r="R5" s="76"/>
      <c r="S5" s="76"/>
      <c r="T5" s="80"/>
      <c r="U5" s="81"/>
      <c r="X5" s="80"/>
      <c r="Y5" s="81"/>
      <c r="AC5" s="82"/>
    </row>
    <row r="6" spans="1:36" ht="15.75">
      <c r="A6" s="175"/>
      <c r="B6" s="175"/>
      <c r="C6" s="175"/>
      <c r="D6" s="175"/>
      <c r="E6" s="175"/>
      <c r="F6" s="175"/>
      <c r="G6" s="175"/>
      <c r="H6" s="175"/>
      <c r="I6" s="175"/>
      <c r="J6" s="175"/>
      <c r="K6" s="689"/>
      <c r="L6" s="703"/>
      <c r="M6" s="703"/>
      <c r="N6" s="703"/>
      <c r="O6" s="703"/>
      <c r="P6" s="704"/>
      <c r="Q6" s="705"/>
      <c r="R6" s="175"/>
      <c r="S6" s="175"/>
      <c r="T6" s="175"/>
      <c r="U6" s="175"/>
      <c r="V6" s="175"/>
      <c r="W6" s="175"/>
      <c r="X6" s="175"/>
      <c r="Y6" s="175"/>
      <c r="Z6" s="175"/>
      <c r="AA6" s="175"/>
      <c r="AB6" s="175"/>
      <c r="AC6" s="175"/>
      <c r="AD6" s="175"/>
      <c r="AE6" s="175"/>
      <c r="AG6" s="555" t="s">
        <v>1952</v>
      </c>
      <c r="AH6" s="475">
        <f>+AH8/AH7</f>
        <v>0.48663043582446502</v>
      </c>
    </row>
    <row r="7" spans="1:36" s="176" customFormat="1" ht="27" customHeight="1">
      <c r="A7" s="2290" t="s">
        <v>2776</v>
      </c>
      <c r="B7" s="2290"/>
      <c r="C7" s="2290"/>
      <c r="D7" s="2290"/>
      <c r="E7" s="2290"/>
      <c r="F7" s="2290"/>
      <c r="G7" s="2290"/>
      <c r="H7" s="2290"/>
      <c r="I7" s="2290"/>
      <c r="J7" s="2290"/>
      <c r="K7" s="2290"/>
      <c r="L7" s="2290"/>
      <c r="M7" s="2290"/>
      <c r="N7" s="2290"/>
      <c r="O7" s="2290"/>
      <c r="P7" s="2290"/>
      <c r="Q7" s="2290"/>
      <c r="R7" s="2290"/>
      <c r="S7" s="2290"/>
      <c r="T7" s="2290"/>
      <c r="U7" s="2290"/>
      <c r="V7" s="2290"/>
      <c r="W7" s="2290"/>
      <c r="X7" s="2290"/>
      <c r="Y7" s="2290"/>
      <c r="Z7" s="2290"/>
      <c r="AA7" s="2290"/>
      <c r="AB7" s="2290"/>
      <c r="AC7" s="2290"/>
      <c r="AD7" s="2290"/>
      <c r="AE7" s="2290"/>
      <c r="AF7" s="622"/>
      <c r="AG7" s="754" t="s">
        <v>2570</v>
      </c>
      <c r="AH7" s="892">
        <f>THCKT!AO18</f>
        <v>9323</v>
      </c>
      <c r="AI7" s="176">
        <v>74845</v>
      </c>
      <c r="AJ7" s="176">
        <v>32828.469621320502</v>
      </c>
    </row>
    <row r="8" spans="1:36" s="176" customFormat="1" ht="24.6" customHeight="1">
      <c r="A8" s="2660" t="s">
        <v>2710</v>
      </c>
      <c r="B8" s="2660"/>
      <c r="C8" s="2660"/>
      <c r="D8" s="2660"/>
      <c r="E8" s="175"/>
      <c r="F8" s="158">
        <f>'LƯƠNG KT'!F8</f>
        <v>668.84</v>
      </c>
      <c r="G8" s="175"/>
      <c r="H8" s="175"/>
      <c r="I8" s="175"/>
      <c r="J8" s="175"/>
      <c r="K8" s="175"/>
      <c r="L8" s="706"/>
      <c r="M8" s="706"/>
      <c r="N8" s="706"/>
      <c r="O8" s="706"/>
      <c r="P8" s="175"/>
      <c r="Q8" s="175"/>
      <c r="R8" s="175">
        <f>43+576+86+11+7+82+71+7+63</f>
        <v>946</v>
      </c>
      <c r="S8" s="175"/>
      <c r="T8" s="175"/>
      <c r="U8" s="175"/>
      <c r="V8" s="175"/>
      <c r="W8" s="175"/>
      <c r="X8" s="175"/>
      <c r="Y8" s="175"/>
      <c r="Z8" s="175"/>
      <c r="AA8" s="175"/>
      <c r="AB8" s="175"/>
      <c r="AC8" s="175"/>
      <c r="AD8" s="175"/>
      <c r="AE8" s="175"/>
      <c r="AF8" s="622"/>
      <c r="AG8" s="754" t="s">
        <v>2602</v>
      </c>
      <c r="AH8" s="893">
        <f>THCKT!AP18</f>
        <v>4536.8555531914899</v>
      </c>
    </row>
    <row r="9" spans="1:36" s="176" customFormat="1" ht="18.75" customHeight="1">
      <c r="A9" s="608"/>
      <c r="B9" s="608"/>
      <c r="C9" s="172"/>
      <c r="D9" s="608"/>
      <c r="E9" s="608"/>
      <c r="F9" s="609" t="e">
        <f>'Đội 4'!F9</f>
        <v>#REF!</v>
      </c>
      <c r="G9" s="175"/>
      <c r="H9" s="175"/>
      <c r="I9" s="175"/>
      <c r="J9" s="175"/>
      <c r="K9" s="175"/>
      <c r="L9" s="706"/>
      <c r="M9" s="706"/>
      <c r="N9" s="706"/>
      <c r="O9" s="706"/>
      <c r="P9" s="175"/>
      <c r="Q9" s="175"/>
      <c r="R9" s="175"/>
      <c r="S9" s="175"/>
      <c r="T9" s="175"/>
      <c r="U9" s="175"/>
      <c r="V9" s="175"/>
      <c r="W9" s="175"/>
      <c r="X9" s="175"/>
      <c r="Y9" s="175"/>
      <c r="Z9" s="175"/>
      <c r="AA9" s="175"/>
      <c r="AB9" s="175"/>
      <c r="AC9" s="175"/>
      <c r="AF9" s="622"/>
      <c r="AG9" s="756" t="s">
        <v>373</v>
      </c>
      <c r="AH9" s="757">
        <v>0.5</v>
      </c>
    </row>
    <row r="10" spans="1:36" s="175" customFormat="1" ht="17.25" customHeight="1">
      <c r="A10" s="2666" t="s">
        <v>6</v>
      </c>
      <c r="B10" s="2666" t="s">
        <v>624</v>
      </c>
      <c r="C10" s="2668" t="s">
        <v>356</v>
      </c>
      <c r="D10" s="2666" t="s">
        <v>2711</v>
      </c>
      <c r="E10" s="2664" t="s">
        <v>531</v>
      </c>
      <c r="F10" s="2661" t="s">
        <v>2712</v>
      </c>
      <c r="G10" s="2662"/>
      <c r="H10" s="2662"/>
      <c r="I10" s="2662"/>
      <c r="J10" s="2662"/>
      <c r="K10" s="2662"/>
      <c r="L10" s="2662"/>
      <c r="M10" s="2662"/>
      <c r="N10" s="2662"/>
      <c r="O10" s="2662"/>
      <c r="P10" s="2662"/>
      <c r="Q10" s="2662"/>
      <c r="R10" s="2662"/>
      <c r="S10" s="2662"/>
      <c r="T10" s="2662"/>
      <c r="U10" s="2662"/>
      <c r="V10" s="2662"/>
      <c r="W10" s="2662"/>
      <c r="X10" s="2662"/>
      <c r="Y10" s="2662"/>
      <c r="Z10" s="2662"/>
      <c r="AA10" s="2662"/>
      <c r="AB10" s="2662"/>
      <c r="AC10" s="2663"/>
      <c r="AD10" s="2678" t="s">
        <v>2713</v>
      </c>
      <c r="AE10" s="2678" t="s">
        <v>2714</v>
      </c>
      <c r="AF10" s="623"/>
      <c r="AG10" s="756" t="s">
        <v>2604</v>
      </c>
      <c r="AH10" s="757">
        <v>0.2</v>
      </c>
    </row>
    <row r="11" spans="1:36" s="175" customFormat="1" ht="28.5" customHeight="1">
      <c r="A11" s="2666"/>
      <c r="B11" s="2666"/>
      <c r="C11" s="2669"/>
      <c r="D11" s="2666"/>
      <c r="E11" s="2664"/>
      <c r="F11" s="2275" t="s">
        <v>2716</v>
      </c>
      <c r="G11" s="2275"/>
      <c r="H11" s="862"/>
      <c r="I11" s="862"/>
      <c r="J11" s="862"/>
      <c r="K11" s="2664" t="s">
        <v>2717</v>
      </c>
      <c r="L11" s="2664"/>
      <c r="M11" s="2664"/>
      <c r="N11" s="2664"/>
      <c r="O11" s="2664"/>
      <c r="P11" s="2664"/>
      <c r="Q11" s="2664"/>
      <c r="R11" s="2665" t="s">
        <v>2718</v>
      </c>
      <c r="S11" s="2665"/>
      <c r="T11" s="2665"/>
      <c r="U11" s="2665"/>
      <c r="V11" s="2665"/>
      <c r="W11" s="2665"/>
      <c r="X11" s="2665"/>
      <c r="Y11" s="2665"/>
      <c r="Z11" s="2665"/>
      <c r="AA11" s="2665"/>
      <c r="AB11" s="2665"/>
      <c r="AC11" s="2665"/>
      <c r="AD11" s="2679"/>
      <c r="AE11" s="2679"/>
      <c r="AF11" s="623"/>
      <c r="AH11" s="604"/>
    </row>
    <row r="12" spans="1:36" s="599" customFormat="1" ht="51" customHeight="1">
      <c r="A12" s="2667"/>
      <c r="B12" s="2666"/>
      <c r="C12" s="2670"/>
      <c r="D12" s="2667"/>
      <c r="E12" s="2664"/>
      <c r="F12" s="864" t="s">
        <v>2593</v>
      </c>
      <c r="G12" s="178" t="s">
        <v>2719</v>
      </c>
      <c r="H12" s="865" t="s">
        <v>2586</v>
      </c>
      <c r="I12" s="865" t="s">
        <v>2587</v>
      </c>
      <c r="J12" s="865" t="s">
        <v>2588</v>
      </c>
      <c r="K12" s="877" t="s">
        <v>2720</v>
      </c>
      <c r="L12" s="878" t="s">
        <v>2740</v>
      </c>
      <c r="M12" s="878" t="s">
        <v>2721</v>
      </c>
      <c r="N12" s="878" t="s">
        <v>2741</v>
      </c>
      <c r="O12" s="878" t="s">
        <v>2722</v>
      </c>
      <c r="P12" s="879" t="s">
        <v>2742</v>
      </c>
      <c r="Q12" s="860" t="s">
        <v>2724</v>
      </c>
      <c r="R12" s="885" t="s">
        <v>2743</v>
      </c>
      <c r="S12" s="885" t="s">
        <v>2744</v>
      </c>
      <c r="T12" s="885" t="s">
        <v>2745</v>
      </c>
      <c r="U12" s="885" t="s">
        <v>369</v>
      </c>
      <c r="V12" s="885" t="s">
        <v>2666</v>
      </c>
      <c r="W12" s="885" t="s">
        <v>2680</v>
      </c>
      <c r="X12" s="886" t="s">
        <v>2746</v>
      </c>
      <c r="Y12" s="885" t="s">
        <v>2747</v>
      </c>
      <c r="Z12" s="885" t="s">
        <v>2683</v>
      </c>
      <c r="AA12" s="886" t="s">
        <v>2748</v>
      </c>
      <c r="AB12" s="885"/>
      <c r="AC12" s="860" t="s">
        <v>2727</v>
      </c>
      <c r="AD12" s="2680"/>
      <c r="AE12" s="2680"/>
      <c r="AF12" s="624" t="s">
        <v>2728</v>
      </c>
      <c r="AH12" s="637"/>
    </row>
    <row r="13" spans="1:36" s="29" customFormat="1" ht="34.15" hidden="1" customHeight="1">
      <c r="A13" s="866" t="s">
        <v>636</v>
      </c>
      <c r="B13" s="866"/>
      <c r="C13" s="863" t="s">
        <v>638</v>
      </c>
      <c r="D13" s="866" t="s">
        <v>639</v>
      </c>
      <c r="E13" s="863" t="s">
        <v>2729</v>
      </c>
      <c r="F13" s="866" t="s">
        <v>640</v>
      </c>
      <c r="G13" s="866" t="s">
        <v>2730</v>
      </c>
      <c r="H13" s="866"/>
      <c r="I13" s="866"/>
      <c r="J13" s="866"/>
      <c r="K13" s="880" t="s">
        <v>2731</v>
      </c>
      <c r="L13" s="881" t="s">
        <v>2731</v>
      </c>
      <c r="M13" s="881" t="s">
        <v>2731</v>
      </c>
      <c r="N13" s="881" t="s">
        <v>2731</v>
      </c>
      <c r="O13" s="881" t="s">
        <v>2731</v>
      </c>
      <c r="P13" s="866" t="s">
        <v>2732</v>
      </c>
      <c r="Q13" s="866" t="s">
        <v>2730</v>
      </c>
      <c r="R13" s="866" t="s">
        <v>2733</v>
      </c>
      <c r="S13" s="866" t="s">
        <v>2734</v>
      </c>
      <c r="T13" s="866" t="s">
        <v>2734</v>
      </c>
      <c r="U13" s="866" t="s">
        <v>2734</v>
      </c>
      <c r="V13" s="866" t="s">
        <v>2734</v>
      </c>
      <c r="W13" s="866" t="s">
        <v>2734</v>
      </c>
      <c r="X13" s="866" t="s">
        <v>2734</v>
      </c>
      <c r="Y13" s="866" t="s">
        <v>2734</v>
      </c>
      <c r="Z13" s="866" t="s">
        <v>2734</v>
      </c>
      <c r="AA13" s="866" t="s">
        <v>2734</v>
      </c>
      <c r="AB13" s="866" t="s">
        <v>2734</v>
      </c>
      <c r="AC13" s="866" t="s">
        <v>2730</v>
      </c>
      <c r="AD13" s="888" t="s">
        <v>643</v>
      </c>
      <c r="AE13" s="863" t="s">
        <v>644</v>
      </c>
      <c r="AF13" s="627" t="s">
        <v>2736</v>
      </c>
      <c r="AH13" s="637"/>
    </row>
    <row r="14" spans="1:36" s="859" customFormat="1" ht="15.95" hidden="1" customHeight="1">
      <c r="A14" s="867">
        <v>1</v>
      </c>
      <c r="B14" s="867">
        <v>2</v>
      </c>
      <c r="C14" s="867">
        <v>2</v>
      </c>
      <c r="D14" s="867">
        <v>3</v>
      </c>
      <c r="E14" s="867">
        <v>17</v>
      </c>
      <c r="F14" s="867">
        <v>4</v>
      </c>
      <c r="G14" s="867">
        <v>5</v>
      </c>
      <c r="H14" s="867"/>
      <c r="I14" s="867"/>
      <c r="J14" s="867"/>
      <c r="K14" s="867">
        <v>6</v>
      </c>
      <c r="L14" s="882">
        <v>7</v>
      </c>
      <c r="M14" s="882">
        <v>7</v>
      </c>
      <c r="N14" s="882">
        <v>8</v>
      </c>
      <c r="O14" s="882">
        <v>8</v>
      </c>
      <c r="P14" s="867">
        <v>9</v>
      </c>
      <c r="Q14" s="867">
        <v>10</v>
      </c>
      <c r="R14" s="874" t="e">
        <f>VLOOKUP(C14,'LƯƠNG KT'!$D$15:$P$94,15,0)</f>
        <v>#N/A</v>
      </c>
      <c r="S14" s="874" t="e">
        <f>VLOOKUP(C14,'LƯƠNG KT'!$D$15:$P$94,16,0)</f>
        <v>#N/A</v>
      </c>
      <c r="T14" s="874" t="e">
        <f>VLOOKUP(C14,'LƯƠNG KT'!$D$15:$P$94,17,0)</f>
        <v>#N/A</v>
      </c>
      <c r="U14" s="874" t="e">
        <f>VLOOKUP(C14,'LƯƠNG KT'!$D$15:$P$94,18,0)</f>
        <v>#N/A</v>
      </c>
      <c r="V14" s="874" t="e">
        <f>VLOOKUP(C14,'LƯƠNG KT'!$D$15:$P$94,19,0)</f>
        <v>#N/A</v>
      </c>
      <c r="W14" s="874" t="e">
        <f>VLOOKUP(C14,'LƯƠNG KT'!$D$15:$P$94,20,0)</f>
        <v>#N/A</v>
      </c>
      <c r="X14" s="874" t="e">
        <f>VLOOKUP(C14,'LƯƠNG KT'!$D$15:$P$94,21,0)</f>
        <v>#N/A</v>
      </c>
      <c r="Y14" s="874" t="e">
        <f>VLOOKUP(C14,'LƯƠNG KT'!$D$15:$P$94,22,0)</f>
        <v>#N/A</v>
      </c>
      <c r="Z14" s="874" t="e">
        <f>VLOOKUP(C14,'LƯƠNG KT'!$D$15:$P$94,23,0)</f>
        <v>#N/A</v>
      </c>
      <c r="AA14" s="874"/>
      <c r="AB14" s="874"/>
      <c r="AC14" s="889" t="e">
        <f>((R14*46.1)+(S14*76.9)+(X14*30.7)+(U14*46.1*2)+(V14*46.1*2)+(W14*76.9*2))*$F$8+T14*10000+Y14*20000+Z14*20000</f>
        <v>#N/A</v>
      </c>
      <c r="AD14" s="867">
        <v>15</v>
      </c>
      <c r="AE14" s="867">
        <v>16</v>
      </c>
      <c r="AF14" s="890"/>
      <c r="AH14" s="604"/>
    </row>
    <row r="15" spans="1:36" s="540" customFormat="1" ht="20.25" customHeight="1">
      <c r="A15" s="868">
        <v>1</v>
      </c>
      <c r="B15" s="869" t="e">
        <f>VLOOKUP(C15,'DS CN MOI UP'!$B$10:$C$389,2,0)</f>
        <v>#N/A</v>
      </c>
      <c r="C15" s="870" t="s">
        <v>286</v>
      </c>
      <c r="D15" s="871" t="s">
        <v>15</v>
      </c>
      <c r="E15" s="872"/>
      <c r="F15" s="873">
        <f>+VLOOKUP($C$15:$C$77,THCKT!$C$397:$AE$460,17,0)</f>
        <v>24</v>
      </c>
      <c r="G15" s="874">
        <f t="shared" ref="G15:G77" si="0">F15*25000</f>
        <v>600000</v>
      </c>
      <c r="H15" s="874"/>
      <c r="I15" s="874"/>
      <c r="J15" s="874"/>
      <c r="K15" s="874" t="e">
        <f>VLOOKUP(C15,THCKT!$C$13:$AL$460,21,0)</f>
        <v>#N/A</v>
      </c>
      <c r="L15" s="883">
        <f>VLOOKUP(C15,THCKT!$C$13:$AL$460,22,0)</f>
        <v>0</v>
      </c>
      <c r="M15" s="883">
        <f>VLOOKUP(C15,THCKT!$C$13:$AL$460,23,0)</f>
        <v>0</v>
      </c>
      <c r="N15" s="883" t="e">
        <f t="shared" ref="N15:N24" si="1">$AH$8/$AH$7*K15+L15*$AH$9+M15*$AH$10</f>
        <v>#N/A</v>
      </c>
      <c r="O15" s="883" t="e">
        <f t="shared" ref="O15:O77" si="2">Q15/((Q15/(N15*$F$9)*$F$8))</f>
        <v>#N/A</v>
      </c>
      <c r="P15" s="884" t="e">
        <f>VLOOKUP(C15,THCKT!$C$13:$AL$460,36,0)</f>
        <v>#N/A</v>
      </c>
      <c r="Q15" s="887" t="e">
        <f>ROUND((IF(P15="A",(K15*$AH$6*6.7),IF(P15="B",(K15*$AH$6*6.4),IF(P15="C",(K15*$AH$6*6.1),IF(P15="D",(K15*$AH$6*5.8),0))))*$F$9+(L15*$F$9*6.1*$AH$9)+M15*6.1*$F$9*$AH$10),0)</f>
        <v>#N/A</v>
      </c>
      <c r="R15" s="874" t="e">
        <f>VLOOKUP(C15,'LƯƠNG KT'!$D$15:$P$94,16,0)</f>
        <v>#N/A</v>
      </c>
      <c r="S15" s="874" t="e">
        <f>VLOOKUP(C15,'LƯƠNG KT'!$D$15:$P$94,17,0)</f>
        <v>#N/A</v>
      </c>
      <c r="T15" s="874" t="e">
        <f>VLOOKUP(C15,'LƯƠNG KT'!$D$15:$P$94,18,0)</f>
        <v>#N/A</v>
      </c>
      <c r="U15" s="874" t="e">
        <f>VLOOKUP(C15,'LƯƠNG KT'!$D$15:$P$94,18,0)</f>
        <v>#N/A</v>
      </c>
      <c r="V15" s="874" t="e">
        <f>VLOOKUP(C15,'LƯƠNG KT'!$D$15:$P$94,19,0)</f>
        <v>#N/A</v>
      </c>
      <c r="W15" s="874" t="e">
        <f>VLOOKUP(C15,'LƯƠNG KT'!$D$15:$P$94,20,0)</f>
        <v>#N/A</v>
      </c>
      <c r="X15" s="874" t="e">
        <f>VLOOKUP(C15,'LƯƠNG KT'!$D$15:$P$94,22,0)</f>
        <v>#N/A</v>
      </c>
      <c r="Y15" s="874" t="e">
        <f>VLOOKUP(C15,'LƯƠNG KT'!$D$15:$P$94,23,0)</f>
        <v>#N/A</v>
      </c>
      <c r="Z15" s="874" t="e">
        <f>VLOOKUP(C15,'LƯƠNG KT'!$D$15:$P$94,24,0)</f>
        <v>#N/A</v>
      </c>
      <c r="AA15" s="874">
        <v>20</v>
      </c>
      <c r="AB15" s="874"/>
      <c r="AC15" s="889" t="e">
        <f>ROUND((((R15*46.1)+(S15*76.9)+(X15*30.7)+(U15*46.1*2)+(V15*46.1*2)+(W15*76.9*2))*$F$8),0)+T15*10000+Y15*20000+Z15*20000+AA15*25000</f>
        <v>#N/A</v>
      </c>
      <c r="AD15" s="889" t="e">
        <f t="shared" ref="AD15:AD24" si="3">+AC15+Q15+G15</f>
        <v>#N/A</v>
      </c>
      <c r="AE15" s="889" t="e">
        <f t="shared" ref="AE15:AE77" si="4">AD15</f>
        <v>#N/A</v>
      </c>
      <c r="AF15" s="891">
        <v>1235385.87900802</v>
      </c>
      <c r="AG15" s="559" t="e">
        <f t="shared" ref="AG15:AG81" si="5">+AE15-AF15</f>
        <v>#N/A</v>
      </c>
      <c r="AH15" s="637">
        <v>5</v>
      </c>
    </row>
    <row r="16" spans="1:36" s="540" customFormat="1" ht="20.25" customHeight="1">
      <c r="A16" s="868">
        <v>2</v>
      </c>
      <c r="B16" s="1644" t="str">
        <f>VLOOKUP(C16,'DS CN MOI UP'!$B$10:$C$389,2,0)</f>
        <v>02637</v>
      </c>
      <c r="C16" s="870" t="s">
        <v>287</v>
      </c>
      <c r="D16" s="871" t="s">
        <v>15</v>
      </c>
      <c r="E16" s="872"/>
      <c r="F16" s="873">
        <f>+VLOOKUP($C$15:$C$77,THCKT!$C$397:$AE$460,17,0)</f>
        <v>24</v>
      </c>
      <c r="G16" s="874">
        <f t="shared" si="0"/>
        <v>600000</v>
      </c>
      <c r="H16" s="874"/>
      <c r="I16" s="874"/>
      <c r="J16" s="874"/>
      <c r="K16" s="874" t="e">
        <f>VLOOKUP(C16,THCKT!$C$13:$AL$460,21,0)</f>
        <v>#N/A</v>
      </c>
      <c r="L16" s="883">
        <f>VLOOKUP(C16,THCKT!$C$13:$AL$460,22,0)</f>
        <v>0</v>
      </c>
      <c r="M16" s="883">
        <f>VLOOKUP(C16,THCKT!$C$13:$AL$460,23,0)</f>
        <v>0</v>
      </c>
      <c r="N16" s="883" t="e">
        <f t="shared" si="1"/>
        <v>#N/A</v>
      </c>
      <c r="O16" s="883" t="e">
        <f t="shared" si="2"/>
        <v>#N/A</v>
      </c>
      <c r="P16" s="884" t="e">
        <f>VLOOKUP(C16,THCKT!$C$13:$AL$460,36,0)</f>
        <v>#N/A</v>
      </c>
      <c r="Q16" s="887" t="e">
        <f t="shared" ref="Q16:Q77" si="6">ROUND((IF(P16="A",(K16*$AH$6*6.7),IF(P16="B",(K16*$AH$6*6.4),IF(P16="C",(K16*$AH$6*6.1),IF(P16="D",(K16*$AH$6*5.8),0))))*$F$9+(L16*$F$9*6.1*$AH$9)+M16*6.1*$F$9*$AH$10),0)</f>
        <v>#N/A</v>
      </c>
      <c r="R16" s="874" t="e">
        <f>VLOOKUP(C16,'LƯƠNG KT'!$D$15:$P$94,16,0)</f>
        <v>#N/A</v>
      </c>
      <c r="S16" s="874" t="e">
        <f>VLOOKUP(C16,'LƯƠNG KT'!$D$15:$P$94,17,0)</f>
        <v>#N/A</v>
      </c>
      <c r="T16" s="874" t="e">
        <f>VLOOKUP(C16,'LƯƠNG KT'!$D$15:$P$94,18,0)</f>
        <v>#N/A</v>
      </c>
      <c r="U16" s="874" t="e">
        <f>VLOOKUP(C16,'LƯƠNG KT'!$D$15:$P$94,18,0)</f>
        <v>#N/A</v>
      </c>
      <c r="V16" s="874" t="e">
        <f>VLOOKUP(C16,'LƯƠNG KT'!$D$15:$P$94,19,0)</f>
        <v>#N/A</v>
      </c>
      <c r="W16" s="874" t="e">
        <f>VLOOKUP(C16,'LƯƠNG KT'!$D$15:$P$94,20,0)</f>
        <v>#N/A</v>
      </c>
      <c r="X16" s="874" t="e">
        <f>VLOOKUP(C16,'LƯƠNG KT'!$D$15:$P$94,22,0)</f>
        <v>#N/A</v>
      </c>
      <c r="Y16" s="874" t="e">
        <f>VLOOKUP(C16,'LƯƠNG KT'!$D$15:$P$94,23,0)</f>
        <v>#N/A</v>
      </c>
      <c r="Z16" s="874" t="e">
        <f>VLOOKUP(C16,'LƯƠNG KT'!$D$15:$P$94,24,0)</f>
        <v>#N/A</v>
      </c>
      <c r="AA16" s="874">
        <v>20</v>
      </c>
      <c r="AB16" s="874"/>
      <c r="AC16" s="889" t="e">
        <f t="shared" ref="AC16:AC76" si="7">ROUND((((R16*46.1)+(S16*76.9)+(X16*30.7)+(U16*46.1*2)+(V16*46.1*2)+(W16*76.9*2))*$F$8),0)+T16*10000+Y16*20000+Z16*20000+AA16*25000</f>
        <v>#N/A</v>
      </c>
      <c r="AD16" s="889" t="e">
        <f t="shared" si="3"/>
        <v>#N/A</v>
      </c>
      <c r="AE16" s="889" t="e">
        <f t="shared" si="4"/>
        <v>#N/A</v>
      </c>
      <c r="AF16" s="891">
        <v>3395099.47486836</v>
      </c>
      <c r="AG16" s="559" t="e">
        <f t="shared" si="5"/>
        <v>#N/A</v>
      </c>
      <c r="AH16" s="637">
        <v>5</v>
      </c>
    </row>
    <row r="17" spans="1:34" s="540" customFormat="1" ht="20.25" customHeight="1">
      <c r="A17" s="868">
        <v>3</v>
      </c>
      <c r="B17" s="1644" t="str">
        <f>VLOOKUP(C17,'DS CN MOI UP'!$B$10:$C$389,2,0)</f>
        <v>02638</v>
      </c>
      <c r="C17" s="870" t="s">
        <v>288</v>
      </c>
      <c r="D17" s="871" t="s">
        <v>15</v>
      </c>
      <c r="E17" s="872"/>
      <c r="F17" s="873">
        <f>+VLOOKUP($C$15:$C$77,THCKT!$C$397:$AE$460,17,0)</f>
        <v>24</v>
      </c>
      <c r="G17" s="874">
        <f t="shared" si="0"/>
        <v>600000</v>
      </c>
      <c r="H17" s="874"/>
      <c r="I17" s="874"/>
      <c r="J17" s="874"/>
      <c r="K17" s="874" t="e">
        <f>VLOOKUP(C17,THCKT!$C$13:$AL$460,21,0)</f>
        <v>#N/A</v>
      </c>
      <c r="L17" s="883">
        <f>VLOOKUP(C17,THCKT!$C$13:$AL$460,22,0)</f>
        <v>0</v>
      </c>
      <c r="M17" s="883">
        <f>VLOOKUP(C17,THCKT!$C$13:$AL$460,23,0)</f>
        <v>0</v>
      </c>
      <c r="N17" s="883" t="e">
        <f t="shared" si="1"/>
        <v>#N/A</v>
      </c>
      <c r="O17" s="883" t="e">
        <f t="shared" si="2"/>
        <v>#N/A</v>
      </c>
      <c r="P17" s="884" t="e">
        <f>VLOOKUP(C17,THCKT!$C$13:$AL$460,36,0)</f>
        <v>#N/A</v>
      </c>
      <c r="Q17" s="887" t="e">
        <f t="shared" si="6"/>
        <v>#N/A</v>
      </c>
      <c r="R17" s="874" t="e">
        <f>VLOOKUP(C17,'LƯƠNG KT'!$D$15:$P$94,16,0)</f>
        <v>#N/A</v>
      </c>
      <c r="S17" s="874" t="e">
        <f>VLOOKUP(C17,'LƯƠNG KT'!$D$15:$P$94,17,0)</f>
        <v>#N/A</v>
      </c>
      <c r="T17" s="874" t="e">
        <f>VLOOKUP(C17,'LƯƠNG KT'!$D$15:$P$94,18,0)</f>
        <v>#N/A</v>
      </c>
      <c r="U17" s="874" t="e">
        <f>VLOOKUP(C17,'LƯƠNG KT'!$D$15:$P$94,18,0)</f>
        <v>#N/A</v>
      </c>
      <c r="V17" s="874" t="e">
        <f>VLOOKUP(C17,'LƯƠNG KT'!$D$15:$P$94,19,0)</f>
        <v>#N/A</v>
      </c>
      <c r="W17" s="874" t="e">
        <f>VLOOKUP(C17,'LƯƠNG KT'!$D$15:$P$94,20,0)</f>
        <v>#N/A</v>
      </c>
      <c r="X17" s="874" t="e">
        <f>VLOOKUP(C17,'LƯƠNG KT'!$D$15:$P$94,22,0)</f>
        <v>#N/A</v>
      </c>
      <c r="Y17" s="874" t="e">
        <f>VLOOKUP(C17,'LƯƠNG KT'!$D$15:$P$94,23,0)</f>
        <v>#N/A</v>
      </c>
      <c r="Z17" s="874" t="e">
        <f>VLOOKUP(C17,'LƯƠNG KT'!$D$15:$P$94,24,0)</f>
        <v>#N/A</v>
      </c>
      <c r="AA17" s="874">
        <v>20</v>
      </c>
      <c r="AB17" s="874"/>
      <c r="AC17" s="889" t="e">
        <f t="shared" si="7"/>
        <v>#N/A</v>
      </c>
      <c r="AD17" s="889" t="e">
        <f t="shared" si="3"/>
        <v>#N/A</v>
      </c>
      <c r="AE17" s="889" t="e">
        <f t="shared" si="4"/>
        <v>#N/A</v>
      </c>
      <c r="AF17" s="891">
        <v>3304831.9762292602</v>
      </c>
      <c r="AG17" s="559" t="e">
        <f t="shared" si="5"/>
        <v>#N/A</v>
      </c>
      <c r="AH17" s="637">
        <v>5</v>
      </c>
    </row>
    <row r="18" spans="1:34" s="540" customFormat="1" ht="20.25" customHeight="1">
      <c r="A18" s="868">
        <v>4</v>
      </c>
      <c r="B18" s="1644" t="str">
        <f>VLOOKUP(C18,'DS CN MOI UP'!$B$10:$C$389,2,0)</f>
        <v>02639</v>
      </c>
      <c r="C18" s="870" t="s">
        <v>289</v>
      </c>
      <c r="D18" s="871" t="s">
        <v>15</v>
      </c>
      <c r="E18" s="872"/>
      <c r="F18" s="873">
        <f>+VLOOKUP($C$15:$C$77,THCKT!$C$397:$AE$460,17,0)</f>
        <v>24</v>
      </c>
      <c r="G18" s="874">
        <f t="shared" si="0"/>
        <v>600000</v>
      </c>
      <c r="H18" s="874"/>
      <c r="I18" s="874"/>
      <c r="J18" s="874"/>
      <c r="K18" s="874" t="e">
        <f>VLOOKUP(C18,THCKT!$C$13:$AL$460,21,0)</f>
        <v>#N/A</v>
      </c>
      <c r="L18" s="883">
        <f>VLOOKUP(C18,THCKT!$C$13:$AL$460,22,0)</f>
        <v>0</v>
      </c>
      <c r="M18" s="883">
        <f>VLOOKUP(C18,THCKT!$C$13:$AL$460,23,0)</f>
        <v>0</v>
      </c>
      <c r="N18" s="883" t="e">
        <f t="shared" si="1"/>
        <v>#N/A</v>
      </c>
      <c r="O18" s="883" t="e">
        <f t="shared" si="2"/>
        <v>#N/A</v>
      </c>
      <c r="P18" s="884" t="e">
        <f>VLOOKUP(C18,THCKT!$C$13:$AL$460,36,0)</f>
        <v>#N/A</v>
      </c>
      <c r="Q18" s="887" t="e">
        <f t="shared" si="6"/>
        <v>#N/A</v>
      </c>
      <c r="R18" s="874" t="e">
        <f>VLOOKUP(C18,'LƯƠNG KT'!$D$15:$P$94,16,0)</f>
        <v>#N/A</v>
      </c>
      <c r="S18" s="874" t="e">
        <f>VLOOKUP(C18,'LƯƠNG KT'!$D$15:$P$94,17,0)</f>
        <v>#N/A</v>
      </c>
      <c r="T18" s="874" t="e">
        <f>VLOOKUP(C18,'LƯƠNG KT'!$D$15:$P$94,18,0)</f>
        <v>#N/A</v>
      </c>
      <c r="U18" s="874" t="e">
        <f>VLOOKUP(C18,'LƯƠNG KT'!$D$15:$P$94,18,0)</f>
        <v>#N/A</v>
      </c>
      <c r="V18" s="874" t="e">
        <f>VLOOKUP(C18,'LƯƠNG KT'!$D$15:$P$94,19,0)</f>
        <v>#N/A</v>
      </c>
      <c r="W18" s="874" t="e">
        <f>VLOOKUP(C18,'LƯƠNG KT'!$D$15:$P$94,20,0)</f>
        <v>#N/A</v>
      </c>
      <c r="X18" s="874" t="e">
        <f>VLOOKUP(C18,'LƯƠNG KT'!$D$15:$P$94,22,0)</f>
        <v>#N/A</v>
      </c>
      <c r="Y18" s="874" t="e">
        <f>VLOOKUP(C18,'LƯƠNG KT'!$D$15:$P$94,23,0)</f>
        <v>#N/A</v>
      </c>
      <c r="Z18" s="874" t="e">
        <f>VLOOKUP(C18,'LƯƠNG KT'!$D$15:$P$94,24,0)</f>
        <v>#N/A</v>
      </c>
      <c r="AA18" s="874">
        <v>20</v>
      </c>
      <c r="AB18" s="874"/>
      <c r="AC18" s="889" t="e">
        <f t="shared" si="7"/>
        <v>#N/A</v>
      </c>
      <c r="AD18" s="889" t="e">
        <f t="shared" si="3"/>
        <v>#N/A</v>
      </c>
      <c r="AE18" s="889" t="e">
        <f t="shared" si="4"/>
        <v>#N/A</v>
      </c>
      <c r="AF18" s="891">
        <v>3605297.68546092</v>
      </c>
      <c r="AG18" s="559" t="e">
        <f t="shared" si="5"/>
        <v>#N/A</v>
      </c>
      <c r="AH18" s="637">
        <v>4</v>
      </c>
    </row>
    <row r="19" spans="1:34" s="540" customFormat="1" ht="20.25" customHeight="1">
      <c r="A19" s="868">
        <v>5</v>
      </c>
      <c r="B19" s="869" t="e">
        <f>VLOOKUP(C19,'DS CN MOI UP'!$B$10:$C$389,2,0)</f>
        <v>#N/A</v>
      </c>
      <c r="C19" s="870" t="s">
        <v>290</v>
      </c>
      <c r="D19" s="871" t="s">
        <v>15</v>
      </c>
      <c r="E19" s="872"/>
      <c r="F19" s="873">
        <f>+VLOOKUP($C$15:$C$77,THCKT!$C$397:$AE$460,17,0)</f>
        <v>24</v>
      </c>
      <c r="G19" s="874">
        <f t="shared" si="0"/>
        <v>600000</v>
      </c>
      <c r="H19" s="874"/>
      <c r="I19" s="874"/>
      <c r="J19" s="874"/>
      <c r="K19" s="874" t="e">
        <f>VLOOKUP(C19,THCKT!$C$13:$AL$460,21,0)</f>
        <v>#N/A</v>
      </c>
      <c r="L19" s="883">
        <f>VLOOKUP(C19,THCKT!$C$13:$AL$460,22,0)</f>
        <v>0</v>
      </c>
      <c r="M19" s="883">
        <f>VLOOKUP(C19,THCKT!$C$13:$AL$460,23,0)</f>
        <v>0</v>
      </c>
      <c r="N19" s="883" t="e">
        <f t="shared" si="1"/>
        <v>#N/A</v>
      </c>
      <c r="O19" s="883" t="e">
        <f t="shared" si="2"/>
        <v>#N/A</v>
      </c>
      <c r="P19" s="884" t="e">
        <f>VLOOKUP(C19,THCKT!$C$13:$AL$460,36,0)</f>
        <v>#N/A</v>
      </c>
      <c r="Q19" s="887" t="e">
        <f t="shared" si="6"/>
        <v>#N/A</v>
      </c>
      <c r="R19" s="874" t="e">
        <f>VLOOKUP(C19,'LƯƠNG KT'!$D$15:$P$94,16,0)</f>
        <v>#N/A</v>
      </c>
      <c r="S19" s="874" t="e">
        <f>VLOOKUP(C19,'LƯƠNG KT'!$D$15:$P$94,17,0)</f>
        <v>#N/A</v>
      </c>
      <c r="T19" s="874" t="e">
        <f>VLOOKUP(C19,'LƯƠNG KT'!$D$15:$P$94,18,0)</f>
        <v>#N/A</v>
      </c>
      <c r="U19" s="874" t="e">
        <f>VLOOKUP(C19,'LƯƠNG KT'!$D$15:$P$94,18,0)</f>
        <v>#N/A</v>
      </c>
      <c r="V19" s="874" t="e">
        <f>VLOOKUP(C19,'LƯƠNG KT'!$D$15:$P$94,19,0)</f>
        <v>#N/A</v>
      </c>
      <c r="W19" s="874" t="e">
        <f>VLOOKUP(C19,'LƯƠNG KT'!$D$15:$P$94,20,0)</f>
        <v>#N/A</v>
      </c>
      <c r="X19" s="874" t="e">
        <f>VLOOKUP(C19,'LƯƠNG KT'!$D$15:$P$94,22,0)</f>
        <v>#N/A</v>
      </c>
      <c r="Y19" s="874" t="e">
        <f>VLOOKUP(C19,'LƯƠNG KT'!$D$15:$P$94,23,0)</f>
        <v>#N/A</v>
      </c>
      <c r="Z19" s="874" t="e">
        <f>VLOOKUP(C19,'LƯƠNG KT'!$D$15:$P$94,24,0)</f>
        <v>#N/A</v>
      </c>
      <c r="AA19" s="874">
        <v>20</v>
      </c>
      <c r="AB19" s="874"/>
      <c r="AC19" s="889" t="e">
        <f t="shared" si="7"/>
        <v>#N/A</v>
      </c>
      <c r="AD19" s="889" t="e">
        <f t="shared" si="3"/>
        <v>#N/A</v>
      </c>
      <c r="AE19" s="889" t="e">
        <f t="shared" si="4"/>
        <v>#N/A</v>
      </c>
      <c r="AF19" s="891">
        <v>3719264.5277665802</v>
      </c>
      <c r="AG19" s="559" t="e">
        <f t="shared" si="5"/>
        <v>#N/A</v>
      </c>
      <c r="AH19" s="637">
        <v>4</v>
      </c>
    </row>
    <row r="20" spans="1:34" s="540" customFormat="1" ht="20.25" customHeight="1">
      <c r="A20" s="868">
        <v>6</v>
      </c>
      <c r="B20" s="1644" t="str">
        <f>VLOOKUP(C20,'DS CN MOI UP'!$B$10:$C$389,2,0)</f>
        <v>02641</v>
      </c>
      <c r="C20" s="870" t="s">
        <v>291</v>
      </c>
      <c r="D20" s="871" t="s">
        <v>15</v>
      </c>
      <c r="E20" s="872"/>
      <c r="F20" s="873">
        <f>+VLOOKUP($C$15:$C$77,THCKT!$C$397:$AE$460,17,0)</f>
        <v>24</v>
      </c>
      <c r="G20" s="874">
        <f t="shared" si="0"/>
        <v>600000</v>
      </c>
      <c r="H20" s="874"/>
      <c r="I20" s="874"/>
      <c r="J20" s="874"/>
      <c r="K20" s="874" t="e">
        <f>VLOOKUP(C20,THCKT!$C$13:$AL$460,21,0)</f>
        <v>#N/A</v>
      </c>
      <c r="L20" s="883">
        <f>VLOOKUP(C20,THCKT!$C$13:$AL$460,22,0)</f>
        <v>0</v>
      </c>
      <c r="M20" s="883">
        <f>VLOOKUP(C20,THCKT!$C$13:$AL$460,23,0)</f>
        <v>0</v>
      </c>
      <c r="N20" s="883" t="e">
        <f t="shared" si="1"/>
        <v>#N/A</v>
      </c>
      <c r="O20" s="883" t="e">
        <f t="shared" si="2"/>
        <v>#N/A</v>
      </c>
      <c r="P20" s="884" t="e">
        <f>VLOOKUP(C20,THCKT!$C$13:$AL$460,36,0)</f>
        <v>#N/A</v>
      </c>
      <c r="Q20" s="887" t="e">
        <f t="shared" si="6"/>
        <v>#N/A</v>
      </c>
      <c r="R20" s="874" t="e">
        <f>VLOOKUP(C20,'LƯƠNG KT'!$D$15:$P$94,16,0)</f>
        <v>#N/A</v>
      </c>
      <c r="S20" s="874" t="e">
        <f>VLOOKUP(C20,'LƯƠNG KT'!$D$15:$P$94,17,0)</f>
        <v>#N/A</v>
      </c>
      <c r="T20" s="874" t="e">
        <f>VLOOKUP(C20,'LƯƠNG KT'!$D$15:$P$94,18,0)</f>
        <v>#N/A</v>
      </c>
      <c r="U20" s="874" t="e">
        <f>VLOOKUP(C20,'LƯƠNG KT'!$D$15:$P$94,18,0)</f>
        <v>#N/A</v>
      </c>
      <c r="V20" s="874" t="e">
        <f>VLOOKUP(C20,'LƯƠNG KT'!$D$15:$P$94,19,0)</f>
        <v>#N/A</v>
      </c>
      <c r="W20" s="874" t="e">
        <f>VLOOKUP(C20,'LƯƠNG KT'!$D$15:$P$94,20,0)</f>
        <v>#N/A</v>
      </c>
      <c r="X20" s="874" t="e">
        <f>VLOOKUP(C20,'LƯƠNG KT'!$D$15:$P$94,22,0)</f>
        <v>#N/A</v>
      </c>
      <c r="Y20" s="874" t="e">
        <f>VLOOKUP(C20,'LƯƠNG KT'!$D$15:$P$94,23,0)</f>
        <v>#N/A</v>
      </c>
      <c r="Z20" s="874" t="e">
        <f>VLOOKUP(C20,'LƯƠNG KT'!$D$15:$P$94,24,0)</f>
        <v>#N/A</v>
      </c>
      <c r="AA20" s="874">
        <v>20</v>
      </c>
      <c r="AB20" s="874"/>
      <c r="AC20" s="889" t="e">
        <f t="shared" si="7"/>
        <v>#N/A</v>
      </c>
      <c r="AD20" s="889" t="e">
        <f t="shared" si="3"/>
        <v>#N/A</v>
      </c>
      <c r="AE20" s="889" t="e">
        <f t="shared" si="4"/>
        <v>#N/A</v>
      </c>
      <c r="AF20" s="891">
        <v>3281093.7088690298</v>
      </c>
      <c r="AG20" s="559" t="e">
        <f t="shared" si="5"/>
        <v>#N/A</v>
      </c>
      <c r="AH20" s="637">
        <v>4</v>
      </c>
    </row>
    <row r="21" spans="1:34" s="540" customFormat="1" ht="20.25" customHeight="1">
      <c r="A21" s="868">
        <v>7</v>
      </c>
      <c r="B21" s="1644" t="str">
        <f>VLOOKUP(C21,'DS CN MOI UP'!$B$10:$C$389,2,0)</f>
        <v>03406</v>
      </c>
      <c r="C21" s="870" t="s">
        <v>292</v>
      </c>
      <c r="D21" s="871" t="s">
        <v>15</v>
      </c>
      <c r="E21" s="872"/>
      <c r="F21" s="873">
        <f>+VLOOKUP($C$15:$C$77,THCKT!$C$397:$AE$460,17,0)</f>
        <v>24</v>
      </c>
      <c r="G21" s="874">
        <f t="shared" si="0"/>
        <v>600000</v>
      </c>
      <c r="H21" s="874"/>
      <c r="I21" s="874"/>
      <c r="J21" s="874"/>
      <c r="K21" s="874" t="e">
        <f>VLOOKUP(C21,THCKT!$C$13:$AL$460,21,0)</f>
        <v>#N/A</v>
      </c>
      <c r="L21" s="883">
        <f>VLOOKUP(C21,THCKT!$C$13:$AL$460,22,0)</f>
        <v>0</v>
      </c>
      <c r="M21" s="883">
        <f>VLOOKUP(C21,THCKT!$C$13:$AL$460,23,0)</f>
        <v>0</v>
      </c>
      <c r="N21" s="883" t="e">
        <f t="shared" si="1"/>
        <v>#N/A</v>
      </c>
      <c r="O21" s="883" t="e">
        <f t="shared" si="2"/>
        <v>#N/A</v>
      </c>
      <c r="P21" s="884" t="e">
        <f>VLOOKUP(C21,THCKT!$C$13:$AL$460,36,0)</f>
        <v>#N/A</v>
      </c>
      <c r="Q21" s="887" t="e">
        <f t="shared" si="6"/>
        <v>#N/A</v>
      </c>
      <c r="R21" s="874" t="e">
        <f>VLOOKUP(C21,'LƯƠNG KT'!$D$15:$P$94,16,0)</f>
        <v>#N/A</v>
      </c>
      <c r="S21" s="874" t="e">
        <f>VLOOKUP(C21,'LƯƠNG KT'!$D$15:$P$94,17,0)</f>
        <v>#N/A</v>
      </c>
      <c r="T21" s="874" t="e">
        <f>VLOOKUP(C21,'LƯƠNG KT'!$D$15:$P$94,18,0)</f>
        <v>#N/A</v>
      </c>
      <c r="U21" s="874" t="e">
        <f>VLOOKUP(C21,'LƯƠNG KT'!$D$15:$P$94,18,0)</f>
        <v>#N/A</v>
      </c>
      <c r="V21" s="874" t="e">
        <f>VLOOKUP(C21,'LƯƠNG KT'!$D$15:$P$94,19,0)</f>
        <v>#N/A</v>
      </c>
      <c r="W21" s="874" t="e">
        <f>VLOOKUP(C21,'LƯƠNG KT'!$D$15:$P$94,20,0)</f>
        <v>#N/A</v>
      </c>
      <c r="X21" s="874" t="e">
        <f>VLOOKUP(C21,'LƯƠNG KT'!$D$15:$P$94,22,0)</f>
        <v>#N/A</v>
      </c>
      <c r="Y21" s="874" t="e">
        <f>VLOOKUP(C21,'LƯƠNG KT'!$D$15:$P$94,23,0)</f>
        <v>#N/A</v>
      </c>
      <c r="Z21" s="874" t="e">
        <f>VLOOKUP(C21,'LƯƠNG KT'!$D$15:$P$94,24,0)</f>
        <v>#N/A</v>
      </c>
      <c r="AA21" s="874">
        <v>20</v>
      </c>
      <c r="AB21" s="874"/>
      <c r="AC21" s="889" t="e">
        <f t="shared" si="7"/>
        <v>#N/A</v>
      </c>
      <c r="AD21" s="889" t="e">
        <f t="shared" si="3"/>
        <v>#N/A</v>
      </c>
      <c r="AE21" s="889" t="e">
        <f t="shared" si="4"/>
        <v>#N/A</v>
      </c>
      <c r="AF21" s="891">
        <v>3817703.8680548202</v>
      </c>
      <c r="AG21" s="559" t="e">
        <f t="shared" si="5"/>
        <v>#N/A</v>
      </c>
      <c r="AH21" s="637">
        <v>4</v>
      </c>
    </row>
    <row r="22" spans="1:34" s="540" customFormat="1" ht="20.25" customHeight="1">
      <c r="A22" s="868">
        <v>8</v>
      </c>
      <c r="B22" s="1644" t="str">
        <f>VLOOKUP(C22,'DS CN MOI UP'!$B$10:$C$389,2,0)</f>
        <v>02643</v>
      </c>
      <c r="C22" s="870" t="s">
        <v>293</v>
      </c>
      <c r="D22" s="871" t="s">
        <v>15</v>
      </c>
      <c r="E22" s="872"/>
      <c r="F22" s="873">
        <f>+VLOOKUP($C$15:$C$77,THCKT!$C$397:$AE$460,17,0)</f>
        <v>24</v>
      </c>
      <c r="G22" s="874">
        <f t="shared" si="0"/>
        <v>600000</v>
      </c>
      <c r="H22" s="874"/>
      <c r="I22" s="874"/>
      <c r="J22" s="874"/>
      <c r="K22" s="874" t="e">
        <f>VLOOKUP(C22,THCKT!$C$13:$AL$460,21,0)</f>
        <v>#N/A</v>
      </c>
      <c r="L22" s="883">
        <f>VLOOKUP(C22,THCKT!$C$13:$AL$460,22,0)</f>
        <v>0</v>
      </c>
      <c r="M22" s="883">
        <f>VLOOKUP(C22,THCKT!$C$13:$AL$460,23,0)</f>
        <v>0</v>
      </c>
      <c r="N22" s="883" t="e">
        <f t="shared" si="1"/>
        <v>#N/A</v>
      </c>
      <c r="O22" s="883" t="e">
        <f t="shared" si="2"/>
        <v>#N/A</v>
      </c>
      <c r="P22" s="884" t="e">
        <f>VLOOKUP(C22,THCKT!$C$13:$AL$460,36,0)</f>
        <v>#N/A</v>
      </c>
      <c r="Q22" s="887" t="e">
        <f t="shared" si="6"/>
        <v>#N/A</v>
      </c>
      <c r="R22" s="874" t="e">
        <f>VLOOKUP(C22,'LƯƠNG KT'!$D$15:$P$94,16,0)</f>
        <v>#N/A</v>
      </c>
      <c r="S22" s="874" t="e">
        <f>VLOOKUP(C22,'LƯƠNG KT'!$D$15:$P$94,17,0)</f>
        <v>#N/A</v>
      </c>
      <c r="T22" s="874" t="e">
        <f>VLOOKUP(C22,'LƯƠNG KT'!$D$15:$P$94,18,0)</f>
        <v>#N/A</v>
      </c>
      <c r="U22" s="874" t="e">
        <f>VLOOKUP(C22,'LƯƠNG KT'!$D$15:$P$94,18,0)</f>
        <v>#N/A</v>
      </c>
      <c r="V22" s="874" t="e">
        <f>VLOOKUP(C22,'LƯƠNG KT'!$D$15:$P$94,19,0)</f>
        <v>#N/A</v>
      </c>
      <c r="W22" s="874" t="e">
        <f>VLOOKUP(C22,'LƯƠNG KT'!$D$15:$P$94,20,0)</f>
        <v>#N/A</v>
      </c>
      <c r="X22" s="874" t="e">
        <f>VLOOKUP(C22,'LƯƠNG KT'!$D$15:$P$94,22,0)</f>
        <v>#N/A</v>
      </c>
      <c r="Y22" s="874" t="e">
        <f>VLOOKUP(C22,'LƯƠNG KT'!$D$15:$P$94,23,0)</f>
        <v>#N/A</v>
      </c>
      <c r="Z22" s="874" t="e">
        <f>VLOOKUP(C22,'LƯƠNG KT'!$D$15:$P$94,24,0)</f>
        <v>#N/A</v>
      </c>
      <c r="AA22" s="874">
        <v>20</v>
      </c>
      <c r="AB22" s="874"/>
      <c r="AC22" s="889" t="e">
        <f t="shared" si="7"/>
        <v>#N/A</v>
      </c>
      <c r="AD22" s="889" t="e">
        <f t="shared" si="3"/>
        <v>#N/A</v>
      </c>
      <c r="AE22" s="889" t="e">
        <f t="shared" si="4"/>
        <v>#N/A</v>
      </c>
      <c r="AF22" s="891">
        <v>3857372.4066443699</v>
      </c>
      <c r="AG22" s="559" t="e">
        <f t="shared" si="5"/>
        <v>#N/A</v>
      </c>
      <c r="AH22" s="637">
        <v>4</v>
      </c>
    </row>
    <row r="23" spans="1:34" s="540" customFormat="1" ht="20.25" customHeight="1">
      <c r="A23" s="868">
        <v>9</v>
      </c>
      <c r="B23" s="1644" t="str">
        <f>VLOOKUP(C23,'DS CN MOI UP'!$B$10:$C$389,2,0)</f>
        <v>03407</v>
      </c>
      <c r="C23" s="870" t="s">
        <v>294</v>
      </c>
      <c r="D23" s="871" t="s">
        <v>15</v>
      </c>
      <c r="E23" s="872"/>
      <c r="F23" s="873">
        <f>+VLOOKUP($C$15:$C$77,THCKT!$C$397:$AE$460,17,0)</f>
        <v>24</v>
      </c>
      <c r="G23" s="874">
        <f t="shared" si="0"/>
        <v>600000</v>
      </c>
      <c r="H23" s="874"/>
      <c r="I23" s="874"/>
      <c r="J23" s="874"/>
      <c r="K23" s="874" t="e">
        <f>VLOOKUP(C23,THCKT!$C$13:$AL$460,21,0)</f>
        <v>#N/A</v>
      </c>
      <c r="L23" s="883">
        <f>VLOOKUP(C23,THCKT!$C$13:$AL$460,22,0)</f>
        <v>0</v>
      </c>
      <c r="M23" s="883">
        <f>VLOOKUP(C23,THCKT!$C$13:$AL$460,23,0)</f>
        <v>0</v>
      </c>
      <c r="N23" s="883" t="e">
        <f t="shared" si="1"/>
        <v>#N/A</v>
      </c>
      <c r="O23" s="883" t="e">
        <f t="shared" si="2"/>
        <v>#N/A</v>
      </c>
      <c r="P23" s="884" t="e">
        <f>VLOOKUP(C23,THCKT!$C$13:$AL$460,36,0)</f>
        <v>#N/A</v>
      </c>
      <c r="Q23" s="887" t="e">
        <f t="shared" si="6"/>
        <v>#N/A</v>
      </c>
      <c r="R23" s="874" t="e">
        <f>VLOOKUP(C23,'LƯƠNG KT'!$D$15:$P$94,16,0)</f>
        <v>#N/A</v>
      </c>
      <c r="S23" s="874" t="e">
        <f>VLOOKUP(C23,'LƯƠNG KT'!$D$15:$P$94,17,0)</f>
        <v>#N/A</v>
      </c>
      <c r="T23" s="874" t="e">
        <f>VLOOKUP(C23,'LƯƠNG KT'!$D$15:$P$94,18,0)</f>
        <v>#N/A</v>
      </c>
      <c r="U23" s="874" t="e">
        <f>VLOOKUP(C23,'LƯƠNG KT'!$D$15:$P$94,18,0)</f>
        <v>#N/A</v>
      </c>
      <c r="V23" s="874" t="e">
        <f>VLOOKUP(C23,'LƯƠNG KT'!$D$15:$P$94,19,0)</f>
        <v>#N/A</v>
      </c>
      <c r="W23" s="874" t="e">
        <f>VLOOKUP(C23,'LƯƠNG KT'!$D$15:$P$94,20,0)</f>
        <v>#N/A</v>
      </c>
      <c r="X23" s="874" t="e">
        <f>VLOOKUP(C23,'LƯƠNG KT'!$D$15:$P$94,22,0)</f>
        <v>#N/A</v>
      </c>
      <c r="Y23" s="874" t="e">
        <f>VLOOKUP(C23,'LƯƠNG KT'!$D$15:$P$94,23,0)</f>
        <v>#N/A</v>
      </c>
      <c r="Z23" s="874" t="e">
        <f>VLOOKUP(C23,'LƯƠNG KT'!$D$15:$P$94,24,0)</f>
        <v>#N/A</v>
      </c>
      <c r="AA23" s="874">
        <v>20</v>
      </c>
      <c r="AB23" s="874"/>
      <c r="AC23" s="889" t="e">
        <f t="shared" si="7"/>
        <v>#N/A</v>
      </c>
      <c r="AD23" s="889" t="e">
        <f t="shared" si="3"/>
        <v>#N/A</v>
      </c>
      <c r="AE23" s="889" t="e">
        <f t="shared" si="4"/>
        <v>#N/A</v>
      </c>
      <c r="AF23" s="891">
        <v>2863064.3630933501</v>
      </c>
      <c r="AG23" s="559" t="e">
        <f t="shared" si="5"/>
        <v>#N/A</v>
      </c>
      <c r="AH23" s="637">
        <v>4</v>
      </c>
    </row>
    <row r="24" spans="1:34" s="540" customFormat="1" ht="20.25" customHeight="1">
      <c r="A24" s="868">
        <v>10</v>
      </c>
      <c r="B24" s="1644" t="str">
        <f>VLOOKUP(C24,'DS CN MOI UP'!$B$10:$C$389,2,0)</f>
        <v>03408</v>
      </c>
      <c r="C24" s="870" t="s">
        <v>295</v>
      </c>
      <c r="D24" s="871" t="s">
        <v>15</v>
      </c>
      <c r="E24" s="872"/>
      <c r="F24" s="873">
        <f>+VLOOKUP($C$15:$C$77,THCKT!$C$397:$AE$460,17,0)</f>
        <v>24</v>
      </c>
      <c r="G24" s="874">
        <f t="shared" si="0"/>
        <v>600000</v>
      </c>
      <c r="H24" s="874"/>
      <c r="I24" s="874"/>
      <c r="J24" s="874"/>
      <c r="K24" s="874" t="e">
        <f>VLOOKUP(C24,THCKT!$C$13:$AL$460,21,0)</f>
        <v>#N/A</v>
      </c>
      <c r="L24" s="883">
        <f>VLOOKUP(C24,THCKT!$C$13:$AL$460,22,0)</f>
        <v>0</v>
      </c>
      <c r="M24" s="883">
        <f>VLOOKUP(C24,THCKT!$C$13:$AL$460,23,0)</f>
        <v>0</v>
      </c>
      <c r="N24" s="883" t="e">
        <f t="shared" si="1"/>
        <v>#N/A</v>
      </c>
      <c r="O24" s="883" t="e">
        <f t="shared" si="2"/>
        <v>#N/A</v>
      </c>
      <c r="P24" s="884" t="e">
        <f>VLOOKUP(C24,THCKT!$C$13:$AL$460,36,0)</f>
        <v>#N/A</v>
      </c>
      <c r="Q24" s="887" t="e">
        <f t="shared" si="6"/>
        <v>#N/A</v>
      </c>
      <c r="R24" s="874" t="e">
        <f>VLOOKUP(C24,'LƯƠNG KT'!$D$15:$P$94,16,0)</f>
        <v>#N/A</v>
      </c>
      <c r="S24" s="874" t="e">
        <f>VLOOKUP(C24,'LƯƠNG KT'!$D$15:$P$94,17,0)</f>
        <v>#N/A</v>
      </c>
      <c r="T24" s="874" t="e">
        <f>VLOOKUP(C24,'LƯƠNG KT'!$D$15:$P$94,18,0)</f>
        <v>#N/A</v>
      </c>
      <c r="U24" s="874" t="e">
        <f>VLOOKUP(C24,'LƯƠNG KT'!$D$15:$P$94,18,0)</f>
        <v>#N/A</v>
      </c>
      <c r="V24" s="874" t="e">
        <f>VLOOKUP(C24,'LƯƠNG KT'!$D$15:$P$94,19,0)</f>
        <v>#N/A</v>
      </c>
      <c r="W24" s="874" t="e">
        <f>VLOOKUP(C24,'LƯƠNG KT'!$D$15:$P$94,20,0)</f>
        <v>#N/A</v>
      </c>
      <c r="X24" s="874" t="e">
        <f>VLOOKUP(C24,'LƯƠNG KT'!$D$15:$P$94,22,0)</f>
        <v>#N/A</v>
      </c>
      <c r="Y24" s="874" t="e">
        <f>VLOOKUP(C24,'LƯƠNG KT'!$D$15:$P$94,23,0)</f>
        <v>#N/A</v>
      </c>
      <c r="Z24" s="874" t="e">
        <f>VLOOKUP(C24,'LƯƠNG KT'!$D$15:$P$94,24,0)</f>
        <v>#N/A</v>
      </c>
      <c r="AA24" s="874">
        <v>20</v>
      </c>
      <c r="AB24" s="874"/>
      <c r="AC24" s="889" t="e">
        <f t="shared" si="7"/>
        <v>#N/A</v>
      </c>
      <c r="AD24" s="889" t="e">
        <f t="shared" si="3"/>
        <v>#N/A</v>
      </c>
      <c r="AE24" s="889" t="e">
        <f t="shared" si="4"/>
        <v>#N/A</v>
      </c>
      <c r="AF24" s="891">
        <v>3929313.4498572899</v>
      </c>
      <c r="AG24" s="559" t="e">
        <f t="shared" si="5"/>
        <v>#N/A</v>
      </c>
      <c r="AH24" s="637">
        <v>4</v>
      </c>
    </row>
    <row r="25" spans="1:34" s="540" customFormat="1" ht="20.25" customHeight="1">
      <c r="A25" s="868">
        <v>11</v>
      </c>
      <c r="B25" s="1644" t="str">
        <f>VLOOKUP(C25,'DS CN MOI UP'!$B$10:$C$389,2,0)</f>
        <v>02646</v>
      </c>
      <c r="C25" s="870" t="s">
        <v>296</v>
      </c>
      <c r="D25" s="871" t="s">
        <v>15</v>
      </c>
      <c r="E25" s="872"/>
      <c r="F25" s="873">
        <f>+VLOOKUP($C$15:$C$77,THCKT!$C$397:$AE$460,17,0)</f>
        <v>24</v>
      </c>
      <c r="G25" s="874">
        <f t="shared" si="0"/>
        <v>600000</v>
      </c>
      <c r="H25" s="874"/>
      <c r="I25" s="874"/>
      <c r="J25" s="874"/>
      <c r="K25" s="874" t="e">
        <f>VLOOKUP(C25,THCKT!$C$13:$AL$460,21,0)</f>
        <v>#N/A</v>
      </c>
      <c r="L25" s="883">
        <f>VLOOKUP(C25,THCKT!$C$13:$AL$460,22,0)</f>
        <v>0</v>
      </c>
      <c r="M25" s="883">
        <f>VLOOKUP(C25,THCKT!$C$13:$AL$460,23,0)</f>
        <v>0</v>
      </c>
      <c r="N25" s="883" t="e">
        <f t="shared" ref="N25:N77" si="8">$AH$8/$AH$7*K25+L25*$AH$9+M25*$AH$10</f>
        <v>#N/A</v>
      </c>
      <c r="O25" s="883" t="e">
        <f t="shared" si="2"/>
        <v>#N/A</v>
      </c>
      <c r="P25" s="884" t="e">
        <f>VLOOKUP(C25,THCKT!$C$13:$AL$460,36,0)</f>
        <v>#N/A</v>
      </c>
      <c r="Q25" s="887" t="e">
        <f t="shared" si="6"/>
        <v>#N/A</v>
      </c>
      <c r="R25" s="874" t="e">
        <f>VLOOKUP(C25,'LƯƠNG KT'!$D$15:$P$94,16,0)</f>
        <v>#N/A</v>
      </c>
      <c r="S25" s="874" t="e">
        <f>VLOOKUP(C25,'LƯƠNG KT'!$D$15:$P$94,17,0)</f>
        <v>#N/A</v>
      </c>
      <c r="T25" s="874" t="e">
        <f>VLOOKUP(C25,'LƯƠNG KT'!$D$15:$P$94,18,0)</f>
        <v>#N/A</v>
      </c>
      <c r="U25" s="874" t="e">
        <f>VLOOKUP(C25,'LƯƠNG KT'!$D$15:$P$94,18,0)</f>
        <v>#N/A</v>
      </c>
      <c r="V25" s="874" t="e">
        <f>VLOOKUP(C25,'LƯƠNG KT'!$D$15:$P$94,19,0)</f>
        <v>#N/A</v>
      </c>
      <c r="W25" s="874" t="e">
        <f>VLOOKUP(C25,'LƯƠNG KT'!$D$15:$P$94,20,0)</f>
        <v>#N/A</v>
      </c>
      <c r="X25" s="874" t="e">
        <f>VLOOKUP(C25,'LƯƠNG KT'!$D$15:$P$94,22,0)</f>
        <v>#N/A</v>
      </c>
      <c r="Y25" s="874" t="e">
        <f>VLOOKUP(C25,'LƯƠNG KT'!$D$15:$P$94,23,0)</f>
        <v>#N/A</v>
      </c>
      <c r="Z25" s="874" t="e">
        <f>VLOOKUP(C25,'LƯƠNG KT'!$D$15:$P$94,24,0)</f>
        <v>#N/A</v>
      </c>
      <c r="AA25" s="874">
        <v>20</v>
      </c>
      <c r="AB25" s="874"/>
      <c r="AC25" s="889" t="e">
        <f t="shared" si="7"/>
        <v>#N/A</v>
      </c>
      <c r="AD25" s="889" t="e">
        <f t="shared" ref="AD25:AD77" si="9">+AC25+Q25+G25</f>
        <v>#N/A</v>
      </c>
      <c r="AE25" s="889" t="e">
        <f t="shared" si="4"/>
        <v>#N/A</v>
      </c>
      <c r="AF25" s="891">
        <v>3333876.5971746901</v>
      </c>
      <c r="AG25" s="559" t="e">
        <f t="shared" si="5"/>
        <v>#N/A</v>
      </c>
      <c r="AH25" s="637">
        <v>4</v>
      </c>
    </row>
    <row r="26" spans="1:34" s="540" customFormat="1" ht="20.25" customHeight="1">
      <c r="A26" s="868">
        <v>12</v>
      </c>
      <c r="B26" s="1644" t="str">
        <f>VLOOKUP(C26,'DS CN MOI UP'!$B$10:$C$389,2,0)</f>
        <v>02647</v>
      </c>
      <c r="C26" s="870" t="s">
        <v>297</v>
      </c>
      <c r="D26" s="871" t="s">
        <v>15</v>
      </c>
      <c r="E26" s="872"/>
      <c r="F26" s="873">
        <f>+VLOOKUP($C$15:$C$77,THCKT!$C$397:$AE$460,17,0)</f>
        <v>24</v>
      </c>
      <c r="G26" s="874">
        <f t="shared" si="0"/>
        <v>600000</v>
      </c>
      <c r="H26" s="874"/>
      <c r="I26" s="874"/>
      <c r="J26" s="874"/>
      <c r="K26" s="874" t="e">
        <f>VLOOKUP(C26,THCKT!$C$13:$AL$460,21,0)</f>
        <v>#N/A</v>
      </c>
      <c r="L26" s="883">
        <f>VLOOKUP(C26,THCKT!$C$13:$AL$460,22,0)</f>
        <v>0</v>
      </c>
      <c r="M26" s="883">
        <f>VLOOKUP(C26,THCKT!$C$13:$AL$460,23,0)</f>
        <v>0</v>
      </c>
      <c r="N26" s="883" t="e">
        <f t="shared" si="8"/>
        <v>#N/A</v>
      </c>
      <c r="O26" s="883" t="e">
        <f t="shared" si="2"/>
        <v>#N/A</v>
      </c>
      <c r="P26" s="884" t="e">
        <f>VLOOKUP(C26,THCKT!$C$13:$AL$460,36,0)</f>
        <v>#N/A</v>
      </c>
      <c r="Q26" s="887" t="e">
        <f t="shared" si="6"/>
        <v>#N/A</v>
      </c>
      <c r="R26" s="874" t="e">
        <f>VLOOKUP(C26,'LƯƠNG KT'!$D$15:$P$94,16,0)</f>
        <v>#N/A</v>
      </c>
      <c r="S26" s="874" t="e">
        <f>VLOOKUP(C26,'LƯƠNG KT'!$D$15:$P$94,17,0)</f>
        <v>#N/A</v>
      </c>
      <c r="T26" s="874" t="e">
        <f>VLOOKUP(C26,'LƯƠNG KT'!$D$15:$P$94,18,0)</f>
        <v>#N/A</v>
      </c>
      <c r="U26" s="874" t="e">
        <f>VLOOKUP(C26,'LƯƠNG KT'!$D$15:$P$94,18,0)</f>
        <v>#N/A</v>
      </c>
      <c r="V26" s="874" t="e">
        <f>VLOOKUP(C26,'LƯƠNG KT'!$D$15:$P$94,19,0)</f>
        <v>#N/A</v>
      </c>
      <c r="W26" s="874" t="e">
        <f>VLOOKUP(C26,'LƯƠNG KT'!$D$15:$P$94,20,0)</f>
        <v>#N/A</v>
      </c>
      <c r="X26" s="874" t="e">
        <f>VLOOKUP(C26,'LƯƠNG KT'!$D$15:$P$94,22,0)</f>
        <v>#N/A</v>
      </c>
      <c r="Y26" s="874" t="e">
        <f>VLOOKUP(C26,'LƯƠNG KT'!$D$15:$P$94,23,0)</f>
        <v>#N/A</v>
      </c>
      <c r="Z26" s="874" t="e">
        <f>VLOOKUP(C26,'LƯƠNG KT'!$D$15:$P$94,24,0)</f>
        <v>#N/A</v>
      </c>
      <c r="AA26" s="874">
        <v>20</v>
      </c>
      <c r="AB26" s="874"/>
      <c r="AC26" s="889" t="e">
        <f t="shared" si="7"/>
        <v>#N/A</v>
      </c>
      <c r="AD26" s="889" t="e">
        <f t="shared" si="9"/>
        <v>#N/A</v>
      </c>
      <c r="AE26" s="889" t="e">
        <f t="shared" si="4"/>
        <v>#N/A</v>
      </c>
      <c r="AF26" s="891">
        <v>4035964.4066597698</v>
      </c>
      <c r="AG26" s="559" t="e">
        <f t="shared" si="5"/>
        <v>#N/A</v>
      </c>
      <c r="AH26" s="637">
        <v>4</v>
      </c>
    </row>
    <row r="27" spans="1:34" s="540" customFormat="1" ht="20.25" customHeight="1">
      <c r="A27" s="868">
        <v>13</v>
      </c>
      <c r="B27" s="1644" t="str">
        <f>VLOOKUP(C27,'DS CN MOI UP'!$B$10:$C$389,2,0)</f>
        <v>02648</v>
      </c>
      <c r="C27" s="870" t="s">
        <v>298</v>
      </c>
      <c r="D27" s="871" t="s">
        <v>15</v>
      </c>
      <c r="E27" s="872"/>
      <c r="F27" s="873">
        <f>+VLOOKUP($C$15:$C$77,THCKT!$C$397:$AE$460,17,0)</f>
        <v>24</v>
      </c>
      <c r="G27" s="874">
        <f t="shared" si="0"/>
        <v>600000</v>
      </c>
      <c r="H27" s="874"/>
      <c r="I27" s="874"/>
      <c r="J27" s="874"/>
      <c r="K27" s="874" t="e">
        <f>VLOOKUP(C27,THCKT!$C$13:$AL$460,21,0)</f>
        <v>#N/A</v>
      </c>
      <c r="L27" s="883">
        <f>VLOOKUP(C27,THCKT!$C$13:$AL$460,22,0)</f>
        <v>0</v>
      </c>
      <c r="M27" s="883">
        <f>VLOOKUP(C27,THCKT!$C$13:$AL$460,23,0)</f>
        <v>0</v>
      </c>
      <c r="N27" s="883" t="e">
        <f t="shared" si="8"/>
        <v>#N/A</v>
      </c>
      <c r="O27" s="883" t="e">
        <f t="shared" si="2"/>
        <v>#N/A</v>
      </c>
      <c r="P27" s="884" t="e">
        <f>VLOOKUP(C27,THCKT!$C$13:$AL$460,36,0)</f>
        <v>#N/A</v>
      </c>
      <c r="Q27" s="887" t="e">
        <f t="shared" si="6"/>
        <v>#N/A</v>
      </c>
      <c r="R27" s="874" t="e">
        <f>VLOOKUP(C27,'LƯƠNG KT'!$D$15:$P$94,16,0)</f>
        <v>#N/A</v>
      </c>
      <c r="S27" s="874" t="e">
        <f>VLOOKUP(C27,'LƯƠNG KT'!$D$15:$P$94,17,0)</f>
        <v>#N/A</v>
      </c>
      <c r="T27" s="874" t="e">
        <f>VLOOKUP(C27,'LƯƠNG KT'!$D$15:$P$94,18,0)</f>
        <v>#N/A</v>
      </c>
      <c r="U27" s="874" t="e">
        <f>VLOOKUP(C27,'LƯƠNG KT'!$D$15:$P$94,18,0)</f>
        <v>#N/A</v>
      </c>
      <c r="V27" s="874" t="e">
        <f>VLOOKUP(C27,'LƯƠNG KT'!$D$15:$P$94,19,0)</f>
        <v>#N/A</v>
      </c>
      <c r="W27" s="874" t="e">
        <f>VLOOKUP(C27,'LƯƠNG KT'!$D$15:$P$94,20,0)</f>
        <v>#N/A</v>
      </c>
      <c r="X27" s="874" t="e">
        <f>VLOOKUP(C27,'LƯƠNG KT'!$D$15:$P$94,22,0)</f>
        <v>#N/A</v>
      </c>
      <c r="Y27" s="874" t="e">
        <f>VLOOKUP(C27,'LƯƠNG KT'!$D$15:$P$94,23,0)</f>
        <v>#N/A</v>
      </c>
      <c r="Z27" s="874" t="e">
        <f>VLOOKUP(C27,'LƯƠNG KT'!$D$15:$P$94,24,0)</f>
        <v>#N/A</v>
      </c>
      <c r="AA27" s="874">
        <v>20</v>
      </c>
      <c r="AB27" s="874"/>
      <c r="AC27" s="889" t="e">
        <f t="shared" si="7"/>
        <v>#N/A</v>
      </c>
      <c r="AD27" s="889" t="e">
        <f t="shared" si="9"/>
        <v>#N/A</v>
      </c>
      <c r="AE27" s="889" t="e">
        <f t="shared" si="4"/>
        <v>#N/A</v>
      </c>
      <c r="AF27" s="891">
        <v>3563555.12252018</v>
      </c>
      <c r="AG27" s="559" t="e">
        <f t="shared" si="5"/>
        <v>#N/A</v>
      </c>
      <c r="AH27" s="637">
        <v>4</v>
      </c>
    </row>
    <row r="28" spans="1:34" s="540" customFormat="1" ht="20.25" customHeight="1">
      <c r="A28" s="868">
        <v>14</v>
      </c>
      <c r="B28" s="1644" t="str">
        <f>VLOOKUP(C28,'DS CN MOI UP'!$B$10:$C$389,2,0)</f>
        <v>02649</v>
      </c>
      <c r="C28" s="870" t="s">
        <v>299</v>
      </c>
      <c r="D28" s="871" t="s">
        <v>15</v>
      </c>
      <c r="E28" s="872"/>
      <c r="F28" s="873">
        <f>+VLOOKUP($C$15:$C$77,THCKT!$C$397:$AE$460,17,0)</f>
        <v>24</v>
      </c>
      <c r="G28" s="874">
        <f t="shared" si="0"/>
        <v>600000</v>
      </c>
      <c r="H28" s="874"/>
      <c r="I28" s="874"/>
      <c r="J28" s="874"/>
      <c r="K28" s="874" t="e">
        <f>VLOOKUP(C28,THCKT!$C$13:$AL$460,21,0)</f>
        <v>#N/A</v>
      </c>
      <c r="L28" s="883">
        <f>VLOOKUP(C28,THCKT!$C$13:$AL$460,22,0)</f>
        <v>0</v>
      </c>
      <c r="M28" s="883">
        <f>VLOOKUP(C28,THCKT!$C$13:$AL$460,23,0)</f>
        <v>0</v>
      </c>
      <c r="N28" s="883" t="e">
        <f t="shared" si="8"/>
        <v>#N/A</v>
      </c>
      <c r="O28" s="883" t="e">
        <f t="shared" si="2"/>
        <v>#N/A</v>
      </c>
      <c r="P28" s="884" t="e">
        <f>VLOOKUP(C28,THCKT!$C$13:$AL$460,36,0)</f>
        <v>#N/A</v>
      </c>
      <c r="Q28" s="887" t="e">
        <f t="shared" si="6"/>
        <v>#N/A</v>
      </c>
      <c r="R28" s="874" t="e">
        <f>VLOOKUP(C28,'LƯƠNG KT'!$D$15:$P$94,16,0)</f>
        <v>#N/A</v>
      </c>
      <c r="S28" s="874" t="e">
        <f>VLOOKUP(C28,'LƯƠNG KT'!$D$15:$P$94,17,0)</f>
        <v>#N/A</v>
      </c>
      <c r="T28" s="874" t="e">
        <f>VLOOKUP(C28,'LƯƠNG KT'!$D$15:$P$94,18,0)</f>
        <v>#N/A</v>
      </c>
      <c r="U28" s="874" t="e">
        <f>VLOOKUP(C28,'LƯƠNG KT'!$D$15:$P$94,18,0)</f>
        <v>#N/A</v>
      </c>
      <c r="V28" s="874" t="e">
        <f>VLOOKUP(C28,'LƯƠNG KT'!$D$15:$P$94,19,0)</f>
        <v>#N/A</v>
      </c>
      <c r="W28" s="874" t="e">
        <f>VLOOKUP(C28,'LƯƠNG KT'!$D$15:$P$94,20,0)</f>
        <v>#N/A</v>
      </c>
      <c r="X28" s="874" t="e">
        <f>VLOOKUP(C28,'LƯƠNG KT'!$D$15:$P$94,22,0)</f>
        <v>#N/A</v>
      </c>
      <c r="Y28" s="874" t="e">
        <f>VLOOKUP(C28,'LƯƠNG KT'!$D$15:$P$94,23,0)</f>
        <v>#N/A</v>
      </c>
      <c r="Z28" s="874" t="e">
        <f>VLOOKUP(C28,'LƯƠNG KT'!$D$15:$P$94,24,0)</f>
        <v>#N/A</v>
      </c>
      <c r="AA28" s="874">
        <v>20</v>
      </c>
      <c r="AB28" s="874"/>
      <c r="AC28" s="889" t="e">
        <f t="shared" si="7"/>
        <v>#N/A</v>
      </c>
      <c r="AD28" s="889" t="e">
        <f t="shared" si="9"/>
        <v>#N/A</v>
      </c>
      <c r="AE28" s="889" t="e">
        <f t="shared" si="4"/>
        <v>#N/A</v>
      </c>
      <c r="AF28" s="891">
        <v>3925938.7808027202</v>
      </c>
      <c r="AG28" s="559" t="e">
        <f t="shared" si="5"/>
        <v>#N/A</v>
      </c>
      <c r="AH28" s="637">
        <v>4</v>
      </c>
    </row>
    <row r="29" spans="1:34" s="540" customFormat="1" ht="20.25" customHeight="1">
      <c r="A29" s="868">
        <v>15</v>
      </c>
      <c r="B29" s="1644" t="str">
        <f>VLOOKUP(C29,'DS CN MOI UP'!$B$10:$C$389,2,0)</f>
        <v>02650</v>
      </c>
      <c r="C29" s="870" t="s">
        <v>300</v>
      </c>
      <c r="D29" s="871" t="s">
        <v>15</v>
      </c>
      <c r="E29" s="872"/>
      <c r="F29" s="873">
        <f>+VLOOKUP($C$15:$C$77,THCKT!$C$397:$AE$460,17,0)</f>
        <v>24</v>
      </c>
      <c r="G29" s="874">
        <f t="shared" si="0"/>
        <v>600000</v>
      </c>
      <c r="H29" s="874"/>
      <c r="I29" s="874"/>
      <c r="J29" s="874"/>
      <c r="K29" s="874" t="e">
        <f>VLOOKUP(C29,THCKT!$C$13:$AL$460,21,0)</f>
        <v>#N/A</v>
      </c>
      <c r="L29" s="883">
        <f>VLOOKUP(C29,THCKT!$C$13:$AL$460,22,0)</f>
        <v>0</v>
      </c>
      <c r="M29" s="883">
        <f>VLOOKUP(C29,THCKT!$C$13:$AL$460,23,0)</f>
        <v>0</v>
      </c>
      <c r="N29" s="883" t="e">
        <f t="shared" si="8"/>
        <v>#N/A</v>
      </c>
      <c r="O29" s="883" t="e">
        <f t="shared" si="2"/>
        <v>#N/A</v>
      </c>
      <c r="P29" s="884" t="e">
        <f>VLOOKUP(C29,THCKT!$C$13:$AL$460,36,0)</f>
        <v>#N/A</v>
      </c>
      <c r="Q29" s="887" t="e">
        <f t="shared" si="6"/>
        <v>#N/A</v>
      </c>
      <c r="R29" s="874" t="e">
        <f>VLOOKUP(C29,'LƯƠNG KT'!$D$15:$P$94,16,0)</f>
        <v>#N/A</v>
      </c>
      <c r="S29" s="874" t="e">
        <f>VLOOKUP(C29,'LƯƠNG KT'!$D$15:$P$94,17,0)</f>
        <v>#N/A</v>
      </c>
      <c r="T29" s="874" t="e">
        <f>VLOOKUP(C29,'LƯƠNG KT'!$D$15:$P$94,18,0)</f>
        <v>#N/A</v>
      </c>
      <c r="U29" s="874" t="e">
        <f>VLOOKUP(C29,'LƯƠNG KT'!$D$15:$P$94,18,0)</f>
        <v>#N/A</v>
      </c>
      <c r="V29" s="874" t="e">
        <f>VLOOKUP(C29,'LƯƠNG KT'!$D$15:$P$94,19,0)</f>
        <v>#N/A</v>
      </c>
      <c r="W29" s="874" t="e">
        <f>VLOOKUP(C29,'LƯƠNG KT'!$D$15:$P$94,20,0)</f>
        <v>#N/A</v>
      </c>
      <c r="X29" s="874" t="e">
        <f>VLOOKUP(C29,'LƯƠNG KT'!$D$15:$P$94,22,0)</f>
        <v>#N/A</v>
      </c>
      <c r="Y29" s="874" t="e">
        <f>VLOOKUP(C29,'LƯƠNG KT'!$D$15:$P$94,23,0)</f>
        <v>#N/A</v>
      </c>
      <c r="Z29" s="874" t="e">
        <f>VLOOKUP(C29,'LƯƠNG KT'!$D$15:$P$94,24,0)</f>
        <v>#N/A</v>
      </c>
      <c r="AA29" s="874">
        <v>20</v>
      </c>
      <c r="AB29" s="874"/>
      <c r="AC29" s="889" t="e">
        <f t="shared" si="7"/>
        <v>#N/A</v>
      </c>
      <c r="AD29" s="889" t="e">
        <f t="shared" si="9"/>
        <v>#N/A</v>
      </c>
      <c r="AE29" s="889" t="e">
        <f t="shared" si="4"/>
        <v>#N/A</v>
      </c>
      <c r="AF29" s="891">
        <v>3162267.6295707398</v>
      </c>
      <c r="AG29" s="559" t="e">
        <f t="shared" si="5"/>
        <v>#N/A</v>
      </c>
      <c r="AH29" s="637">
        <v>4</v>
      </c>
    </row>
    <row r="30" spans="1:34" s="540" customFormat="1" ht="20.25" customHeight="1">
      <c r="A30" s="868">
        <v>16</v>
      </c>
      <c r="B30" s="1644" t="str">
        <f>VLOOKUP(C30,'DS CN MOI UP'!$B$10:$C$389,2,0)</f>
        <v>02651</v>
      </c>
      <c r="C30" s="870" t="s">
        <v>301</v>
      </c>
      <c r="D30" s="871" t="s">
        <v>15</v>
      </c>
      <c r="E30" s="872"/>
      <c r="F30" s="873">
        <f>+VLOOKUP($C$15:$C$77,THCKT!$C$397:$AE$460,17,0)</f>
        <v>24</v>
      </c>
      <c r="G30" s="874">
        <f t="shared" si="0"/>
        <v>600000</v>
      </c>
      <c r="H30" s="874"/>
      <c r="I30" s="874"/>
      <c r="J30" s="874"/>
      <c r="K30" s="874" t="e">
        <f>VLOOKUP(C30,THCKT!$C$13:$AL$460,21,0)</f>
        <v>#N/A</v>
      </c>
      <c r="L30" s="883">
        <f>VLOOKUP(C30,THCKT!$C$13:$AL$460,22,0)</f>
        <v>0</v>
      </c>
      <c r="M30" s="883">
        <f>VLOOKUP(C30,THCKT!$C$13:$AL$460,23,0)</f>
        <v>0</v>
      </c>
      <c r="N30" s="883" t="e">
        <f t="shared" si="8"/>
        <v>#N/A</v>
      </c>
      <c r="O30" s="883" t="e">
        <f t="shared" si="2"/>
        <v>#N/A</v>
      </c>
      <c r="P30" s="884" t="e">
        <f>VLOOKUP(C30,THCKT!$C$13:$AL$460,36,0)</f>
        <v>#N/A</v>
      </c>
      <c r="Q30" s="887" t="e">
        <f t="shared" si="6"/>
        <v>#N/A</v>
      </c>
      <c r="R30" s="874" t="e">
        <f>VLOOKUP(C30,'LƯƠNG KT'!$D$15:$P$94,16,0)</f>
        <v>#N/A</v>
      </c>
      <c r="S30" s="874" t="e">
        <f>VLOOKUP(C30,'LƯƠNG KT'!$D$15:$P$94,17,0)</f>
        <v>#N/A</v>
      </c>
      <c r="T30" s="874" t="e">
        <f>VLOOKUP(C30,'LƯƠNG KT'!$D$15:$P$94,18,0)</f>
        <v>#N/A</v>
      </c>
      <c r="U30" s="874" t="e">
        <f>VLOOKUP(C30,'LƯƠNG KT'!$D$15:$P$94,18,0)</f>
        <v>#N/A</v>
      </c>
      <c r="V30" s="874" t="e">
        <f>VLOOKUP(C30,'LƯƠNG KT'!$D$15:$P$94,19,0)</f>
        <v>#N/A</v>
      </c>
      <c r="W30" s="874" t="e">
        <f>VLOOKUP(C30,'LƯƠNG KT'!$D$15:$P$94,20,0)</f>
        <v>#N/A</v>
      </c>
      <c r="X30" s="874" t="e">
        <f>VLOOKUP(C30,'LƯƠNG KT'!$D$15:$P$94,22,0)</f>
        <v>#N/A</v>
      </c>
      <c r="Y30" s="874" t="e">
        <f>VLOOKUP(C30,'LƯƠNG KT'!$D$15:$P$94,23,0)</f>
        <v>#N/A</v>
      </c>
      <c r="Z30" s="874" t="e">
        <f>VLOOKUP(C30,'LƯƠNG KT'!$D$15:$P$94,24,0)</f>
        <v>#N/A</v>
      </c>
      <c r="AA30" s="874">
        <v>20</v>
      </c>
      <c r="AB30" s="874"/>
      <c r="AC30" s="889" t="e">
        <f t="shared" si="7"/>
        <v>#N/A</v>
      </c>
      <c r="AD30" s="889" t="e">
        <f t="shared" si="9"/>
        <v>#N/A</v>
      </c>
      <c r="AE30" s="889" t="e">
        <f t="shared" si="4"/>
        <v>#N/A</v>
      </c>
      <c r="AF30" s="891">
        <v>3036357.7071177801</v>
      </c>
      <c r="AG30" s="559" t="e">
        <f t="shared" si="5"/>
        <v>#N/A</v>
      </c>
      <c r="AH30" s="637">
        <v>4</v>
      </c>
    </row>
    <row r="31" spans="1:34" s="540" customFormat="1" ht="20.25" customHeight="1">
      <c r="A31" s="868">
        <v>17</v>
      </c>
      <c r="B31" s="1644" t="str">
        <f>VLOOKUP(C31,'DS CN MOI UP'!$B$10:$C$389,2,0)</f>
        <v>02652</v>
      </c>
      <c r="C31" s="870" t="s">
        <v>302</v>
      </c>
      <c r="D31" s="871" t="s">
        <v>15</v>
      </c>
      <c r="E31" s="872"/>
      <c r="F31" s="873">
        <f>+VLOOKUP($C$15:$C$77,THCKT!$C$397:$AE$460,17,0)</f>
        <v>24</v>
      </c>
      <c r="G31" s="874">
        <f t="shared" si="0"/>
        <v>600000</v>
      </c>
      <c r="H31" s="874"/>
      <c r="I31" s="874"/>
      <c r="J31" s="874"/>
      <c r="K31" s="874" t="e">
        <f>VLOOKUP(C31,THCKT!$C$13:$AL$460,21,0)</f>
        <v>#N/A</v>
      </c>
      <c r="L31" s="883">
        <f>VLOOKUP(C31,THCKT!$C$13:$AL$460,22,0)</f>
        <v>0</v>
      </c>
      <c r="M31" s="883">
        <f>VLOOKUP(C31,THCKT!$C$13:$AL$460,23,0)</f>
        <v>0</v>
      </c>
      <c r="N31" s="883" t="e">
        <f t="shared" si="8"/>
        <v>#N/A</v>
      </c>
      <c r="O31" s="883" t="e">
        <f t="shared" si="2"/>
        <v>#N/A</v>
      </c>
      <c r="P31" s="884" t="e">
        <f>VLOOKUP(C31,THCKT!$C$13:$AL$460,36,0)</f>
        <v>#N/A</v>
      </c>
      <c r="Q31" s="887" t="e">
        <f t="shared" si="6"/>
        <v>#N/A</v>
      </c>
      <c r="R31" s="874" t="e">
        <f>VLOOKUP(C31,'LƯƠNG KT'!$D$15:$P$94,16,0)</f>
        <v>#N/A</v>
      </c>
      <c r="S31" s="874" t="e">
        <f>VLOOKUP(C31,'LƯƠNG KT'!$D$15:$P$94,17,0)</f>
        <v>#N/A</v>
      </c>
      <c r="T31" s="874" t="e">
        <f>VLOOKUP(C31,'LƯƠNG KT'!$D$15:$P$94,18,0)</f>
        <v>#N/A</v>
      </c>
      <c r="U31" s="874" t="e">
        <f>VLOOKUP(C31,'LƯƠNG KT'!$D$15:$P$94,18,0)</f>
        <v>#N/A</v>
      </c>
      <c r="V31" s="874" t="e">
        <f>VLOOKUP(C31,'LƯƠNG KT'!$D$15:$P$94,19,0)</f>
        <v>#N/A</v>
      </c>
      <c r="W31" s="874" t="e">
        <f>VLOOKUP(C31,'LƯƠNG KT'!$D$15:$P$94,20,0)</f>
        <v>#N/A</v>
      </c>
      <c r="X31" s="874" t="e">
        <f>VLOOKUP(C31,'LƯƠNG KT'!$D$15:$P$94,22,0)</f>
        <v>#N/A</v>
      </c>
      <c r="Y31" s="874" t="e">
        <f>VLOOKUP(C31,'LƯƠNG KT'!$D$15:$P$94,23,0)</f>
        <v>#N/A</v>
      </c>
      <c r="Z31" s="874" t="e">
        <f>VLOOKUP(C31,'LƯƠNG KT'!$D$15:$P$94,24,0)</f>
        <v>#N/A</v>
      </c>
      <c r="AA31" s="874">
        <v>20</v>
      </c>
      <c r="AB31" s="874"/>
      <c r="AC31" s="889" t="e">
        <f t="shared" si="7"/>
        <v>#N/A</v>
      </c>
      <c r="AD31" s="889" t="e">
        <f t="shared" si="9"/>
        <v>#N/A</v>
      </c>
      <c r="AE31" s="889" t="e">
        <f t="shared" si="4"/>
        <v>#N/A</v>
      </c>
      <c r="AF31" s="891">
        <v>3925938.7808027202</v>
      </c>
      <c r="AG31" s="559" t="e">
        <f t="shared" si="5"/>
        <v>#N/A</v>
      </c>
      <c r="AH31" s="637">
        <v>4</v>
      </c>
    </row>
    <row r="32" spans="1:34" s="540" customFormat="1" ht="20.25" customHeight="1">
      <c r="A32" s="868">
        <v>18</v>
      </c>
      <c r="B32" s="869" t="e">
        <f>VLOOKUP(C32,'DS CN MOI UP'!$B$10:$C$389,2,0)</f>
        <v>#N/A</v>
      </c>
      <c r="C32" s="870" t="s">
        <v>303</v>
      </c>
      <c r="D32" s="871" t="s">
        <v>15</v>
      </c>
      <c r="E32" s="872"/>
      <c r="F32" s="873">
        <f>+VLOOKUP($C$15:$C$77,THCKT!$C$397:$AE$460,17,0)</f>
        <v>24</v>
      </c>
      <c r="G32" s="874">
        <f t="shared" si="0"/>
        <v>600000</v>
      </c>
      <c r="H32" s="874"/>
      <c r="I32" s="874"/>
      <c r="J32" s="874"/>
      <c r="K32" s="874" t="e">
        <f>VLOOKUP(C32,THCKT!$C$13:$AL$460,21,0)</f>
        <v>#N/A</v>
      </c>
      <c r="L32" s="883">
        <f>VLOOKUP(C32,THCKT!$C$13:$AL$460,22,0)</f>
        <v>0</v>
      </c>
      <c r="M32" s="883">
        <f>VLOOKUP(C32,THCKT!$C$13:$AL$460,23,0)</f>
        <v>0</v>
      </c>
      <c r="N32" s="883" t="e">
        <f t="shared" si="8"/>
        <v>#N/A</v>
      </c>
      <c r="O32" s="883" t="e">
        <f t="shared" si="2"/>
        <v>#N/A</v>
      </c>
      <c r="P32" s="884" t="e">
        <f>VLOOKUP(C32,THCKT!$C$13:$AL$460,36,0)</f>
        <v>#N/A</v>
      </c>
      <c r="Q32" s="887" t="e">
        <f t="shared" si="6"/>
        <v>#N/A</v>
      </c>
      <c r="R32" s="874" t="e">
        <f>VLOOKUP(C32,'LƯƠNG KT'!$D$15:$P$94,16,0)</f>
        <v>#N/A</v>
      </c>
      <c r="S32" s="874" t="e">
        <f>VLOOKUP(C32,'LƯƠNG KT'!$D$15:$P$94,17,0)</f>
        <v>#N/A</v>
      </c>
      <c r="T32" s="874" t="e">
        <f>VLOOKUP(C32,'LƯƠNG KT'!$D$15:$P$94,18,0)</f>
        <v>#N/A</v>
      </c>
      <c r="U32" s="874" t="e">
        <f>VLOOKUP(C32,'LƯƠNG KT'!$D$15:$P$94,18,0)</f>
        <v>#N/A</v>
      </c>
      <c r="V32" s="874" t="e">
        <f>VLOOKUP(C32,'LƯƠNG KT'!$D$15:$P$94,19,0)</f>
        <v>#N/A</v>
      </c>
      <c r="W32" s="874" t="e">
        <f>VLOOKUP(C32,'LƯƠNG KT'!$D$15:$P$94,20,0)</f>
        <v>#N/A</v>
      </c>
      <c r="X32" s="874" t="e">
        <f>VLOOKUP(C32,'LƯƠNG KT'!$D$15:$P$94,22,0)</f>
        <v>#N/A</v>
      </c>
      <c r="Y32" s="874" t="e">
        <f>VLOOKUP(C32,'LƯƠNG KT'!$D$15:$P$94,23,0)</f>
        <v>#N/A</v>
      </c>
      <c r="Z32" s="874" t="e">
        <f>VLOOKUP(C32,'LƯƠNG KT'!$D$15:$P$94,24,0)</f>
        <v>#N/A</v>
      </c>
      <c r="AA32" s="874">
        <v>20</v>
      </c>
      <c r="AB32" s="874"/>
      <c r="AC32" s="889" t="e">
        <f t="shared" si="7"/>
        <v>#N/A</v>
      </c>
      <c r="AD32" s="889" t="e">
        <f t="shared" si="9"/>
        <v>#N/A</v>
      </c>
      <c r="AE32" s="889" t="e">
        <f t="shared" si="4"/>
        <v>#N/A</v>
      </c>
      <c r="AF32" s="891">
        <v>3208182.7023956501</v>
      </c>
      <c r="AG32" s="559" t="e">
        <f t="shared" si="5"/>
        <v>#N/A</v>
      </c>
      <c r="AH32" s="637">
        <v>4</v>
      </c>
    </row>
    <row r="33" spans="1:34" s="540" customFormat="1" ht="20.25" customHeight="1">
      <c r="A33" s="868">
        <v>19</v>
      </c>
      <c r="B33" s="1644" t="str">
        <f>VLOOKUP(C33,'DS CN MOI UP'!$B$10:$C$389,2,0)</f>
        <v>02654</v>
      </c>
      <c r="C33" s="870" t="s">
        <v>304</v>
      </c>
      <c r="D33" s="871" t="s">
        <v>15</v>
      </c>
      <c r="E33" s="872"/>
      <c r="F33" s="873">
        <f>+VLOOKUP($C$15:$C$77,THCKT!$C$397:$AE$460,17,0)</f>
        <v>24</v>
      </c>
      <c r="G33" s="874">
        <f t="shared" si="0"/>
        <v>600000</v>
      </c>
      <c r="H33" s="874"/>
      <c r="I33" s="874"/>
      <c r="J33" s="874"/>
      <c r="K33" s="874" t="e">
        <f>VLOOKUP(C33,THCKT!$C$13:$AL$460,21,0)</f>
        <v>#N/A</v>
      </c>
      <c r="L33" s="883">
        <f>VLOOKUP(C33,THCKT!$C$13:$AL$460,22,0)</f>
        <v>0</v>
      </c>
      <c r="M33" s="883">
        <f>VLOOKUP(C33,THCKT!$C$13:$AL$460,23,0)</f>
        <v>0</v>
      </c>
      <c r="N33" s="883" t="e">
        <f t="shared" si="8"/>
        <v>#N/A</v>
      </c>
      <c r="O33" s="883" t="e">
        <f t="shared" si="2"/>
        <v>#N/A</v>
      </c>
      <c r="P33" s="884" t="e">
        <f>VLOOKUP(C33,THCKT!$C$13:$AL$460,36,0)</f>
        <v>#N/A</v>
      </c>
      <c r="Q33" s="887" t="e">
        <f t="shared" si="6"/>
        <v>#N/A</v>
      </c>
      <c r="R33" s="874" t="e">
        <f>VLOOKUP(C33,'LƯƠNG KT'!$D$15:$P$94,16,0)</f>
        <v>#N/A</v>
      </c>
      <c r="S33" s="874" t="e">
        <f>VLOOKUP(C33,'LƯƠNG KT'!$D$15:$P$94,17,0)</f>
        <v>#N/A</v>
      </c>
      <c r="T33" s="874" t="e">
        <f>VLOOKUP(C33,'LƯƠNG KT'!$D$15:$P$94,18,0)</f>
        <v>#N/A</v>
      </c>
      <c r="U33" s="874" t="e">
        <f>VLOOKUP(C33,'LƯƠNG KT'!$D$15:$P$94,18,0)</f>
        <v>#N/A</v>
      </c>
      <c r="V33" s="874" t="e">
        <f>VLOOKUP(C33,'LƯƠNG KT'!$D$15:$P$94,19,0)</f>
        <v>#N/A</v>
      </c>
      <c r="W33" s="874" t="e">
        <f>VLOOKUP(C33,'LƯƠNG KT'!$D$15:$P$94,20,0)</f>
        <v>#N/A</v>
      </c>
      <c r="X33" s="874" t="e">
        <f>VLOOKUP(C33,'LƯƠNG KT'!$D$15:$P$94,22,0)</f>
        <v>#N/A</v>
      </c>
      <c r="Y33" s="874" t="e">
        <f>VLOOKUP(C33,'LƯƠNG KT'!$D$15:$P$94,23,0)</f>
        <v>#N/A</v>
      </c>
      <c r="Z33" s="874" t="e">
        <f>VLOOKUP(C33,'LƯƠNG KT'!$D$15:$P$94,24,0)</f>
        <v>#N/A</v>
      </c>
      <c r="AA33" s="874">
        <v>20</v>
      </c>
      <c r="AB33" s="874"/>
      <c r="AC33" s="889" t="e">
        <f t="shared" si="7"/>
        <v>#N/A</v>
      </c>
      <c r="AD33" s="889" t="e">
        <f t="shared" si="9"/>
        <v>#N/A</v>
      </c>
      <c r="AE33" s="889" t="e">
        <f t="shared" si="4"/>
        <v>#N/A</v>
      </c>
      <c r="AF33" s="891">
        <v>1995359.9177850401</v>
      </c>
      <c r="AG33" s="559" t="e">
        <f t="shared" si="5"/>
        <v>#N/A</v>
      </c>
      <c r="AH33" s="637">
        <v>5</v>
      </c>
    </row>
    <row r="34" spans="1:34" s="540" customFormat="1" ht="20.25" customHeight="1">
      <c r="A34" s="868">
        <v>20</v>
      </c>
      <c r="B34" s="1644" t="str">
        <f>VLOOKUP(C34,'DS CN MOI UP'!$B$10:$C$389,2,0)</f>
        <v>03861</v>
      </c>
      <c r="C34" s="870" t="s">
        <v>305</v>
      </c>
      <c r="D34" s="871" t="s">
        <v>15</v>
      </c>
      <c r="E34" s="872"/>
      <c r="F34" s="873">
        <f>+VLOOKUP($C$15:$C$77,THCKT!$C$397:$AE$460,17,0)</f>
        <v>24</v>
      </c>
      <c r="G34" s="874">
        <f t="shared" ref="G34:G56" si="10">F34*25000</f>
        <v>600000</v>
      </c>
      <c r="H34" s="874"/>
      <c r="I34" s="874"/>
      <c r="J34" s="874"/>
      <c r="K34" s="874" t="e">
        <f>VLOOKUP(C34,THCKT!$C$13:$AL$460,21,0)</f>
        <v>#N/A</v>
      </c>
      <c r="L34" s="883">
        <f>VLOOKUP(C34,THCKT!$C$13:$AL$460,22,0)</f>
        <v>0</v>
      </c>
      <c r="M34" s="883">
        <f>VLOOKUP(C34,THCKT!$C$13:$AL$460,23,0)</f>
        <v>0</v>
      </c>
      <c r="N34" s="883" t="e">
        <f t="shared" ref="N34:N56" si="11">$AH$8/$AH$7*K34+L34*$AH$9+M34*$AH$10</f>
        <v>#N/A</v>
      </c>
      <c r="O34" s="883" t="e">
        <f t="shared" si="2"/>
        <v>#N/A</v>
      </c>
      <c r="P34" s="884" t="e">
        <f>VLOOKUP(C34,THCKT!$C$13:$AL$460,36,0)</f>
        <v>#N/A</v>
      </c>
      <c r="Q34" s="887" t="e">
        <f t="shared" si="6"/>
        <v>#N/A</v>
      </c>
      <c r="R34" s="874" t="e">
        <f>VLOOKUP(C34,'LƯƠNG KT'!$D$15:$P$94,16,0)</f>
        <v>#N/A</v>
      </c>
      <c r="S34" s="874" t="e">
        <f>VLOOKUP(C34,'LƯƠNG KT'!$D$15:$P$94,17,0)</f>
        <v>#N/A</v>
      </c>
      <c r="T34" s="874" t="e">
        <f>VLOOKUP(C34,'LƯƠNG KT'!$D$15:$P$94,18,0)</f>
        <v>#N/A</v>
      </c>
      <c r="U34" s="874" t="e">
        <f>VLOOKUP(C34,'LƯƠNG KT'!$D$15:$P$94,18,0)</f>
        <v>#N/A</v>
      </c>
      <c r="V34" s="874" t="e">
        <f>VLOOKUP(C34,'LƯƠNG KT'!$D$15:$P$94,19,0)</f>
        <v>#N/A</v>
      </c>
      <c r="W34" s="874" t="e">
        <f>VLOOKUP(C34,'LƯƠNG KT'!$D$15:$P$94,20,0)</f>
        <v>#N/A</v>
      </c>
      <c r="X34" s="874" t="e">
        <f>VLOOKUP(C34,'LƯƠNG KT'!$D$15:$P$94,22,0)</f>
        <v>#N/A</v>
      </c>
      <c r="Y34" s="874" t="e">
        <f>VLOOKUP(C34,'LƯƠNG KT'!$D$15:$P$94,23,0)</f>
        <v>#N/A</v>
      </c>
      <c r="Z34" s="874" t="e">
        <f>VLOOKUP(C34,'LƯƠNG KT'!$D$15:$P$94,24,0)</f>
        <v>#N/A</v>
      </c>
      <c r="AA34" s="874">
        <v>20</v>
      </c>
      <c r="AB34" s="874"/>
      <c r="AC34" s="889" t="e">
        <f t="shared" si="7"/>
        <v>#N/A</v>
      </c>
      <c r="AD34" s="889" t="e">
        <f t="shared" ref="AD34:AD56" si="12">+AC34+Q34+G34</f>
        <v>#N/A</v>
      </c>
      <c r="AE34" s="889" t="e">
        <f t="shared" ref="AE34:AE56" si="13">AD34</f>
        <v>#N/A</v>
      </c>
      <c r="AF34" s="891">
        <v>3500465.8016420398</v>
      </c>
      <c r="AG34" s="559" t="e">
        <f t="shared" ref="AG34:AG35" si="14">+AE34-AF34</f>
        <v>#N/A</v>
      </c>
      <c r="AH34" s="637">
        <v>5</v>
      </c>
    </row>
    <row r="35" spans="1:34" s="540" customFormat="1" ht="20.25" customHeight="1">
      <c r="A35" s="868">
        <v>21</v>
      </c>
      <c r="B35" s="869" t="e">
        <f>VLOOKUP(C35,'DS CN MOI UP'!$B$10:$C$389,2,0)</f>
        <v>#N/A</v>
      </c>
      <c r="C35" s="870" t="s">
        <v>306</v>
      </c>
      <c r="D35" s="875" t="s">
        <v>15</v>
      </c>
      <c r="E35" s="872"/>
      <c r="F35" s="873">
        <f>+VLOOKUP($C$15:$C$77,THCKT!$C$397:$AE$460,17,0)</f>
        <v>24</v>
      </c>
      <c r="G35" s="874">
        <f t="shared" si="10"/>
        <v>600000</v>
      </c>
      <c r="H35" s="874"/>
      <c r="I35" s="874"/>
      <c r="J35" s="874"/>
      <c r="K35" s="874" t="e">
        <f>VLOOKUP(C35,THCKT!$C$13:$AL$460,21,0)</f>
        <v>#N/A</v>
      </c>
      <c r="L35" s="883">
        <f>VLOOKUP(C35,THCKT!$C$13:$AL$460,22,0)</f>
        <v>0</v>
      </c>
      <c r="M35" s="883">
        <f>VLOOKUP(C35,THCKT!$C$13:$AL$460,23,0)</f>
        <v>0</v>
      </c>
      <c r="N35" s="883" t="e">
        <f t="shared" si="11"/>
        <v>#N/A</v>
      </c>
      <c r="O35" s="883" t="e">
        <f t="shared" si="2"/>
        <v>#N/A</v>
      </c>
      <c r="P35" s="884" t="e">
        <f>VLOOKUP(C35,THCKT!$C$13:$AL$460,36,0)</f>
        <v>#N/A</v>
      </c>
      <c r="Q35" s="887" t="e">
        <f t="shared" si="6"/>
        <v>#N/A</v>
      </c>
      <c r="R35" s="874" t="e">
        <f>VLOOKUP(C35,'LƯƠNG KT'!$D$15:$P$94,16,0)</f>
        <v>#N/A</v>
      </c>
      <c r="S35" s="874" t="e">
        <f>VLOOKUP(C35,'LƯƠNG KT'!$D$15:$P$94,17,0)</f>
        <v>#N/A</v>
      </c>
      <c r="T35" s="874" t="e">
        <f>VLOOKUP(C35,'LƯƠNG KT'!$D$15:$P$94,18,0)</f>
        <v>#N/A</v>
      </c>
      <c r="U35" s="874" t="e">
        <f>VLOOKUP(C35,'LƯƠNG KT'!$D$15:$P$94,18,0)</f>
        <v>#N/A</v>
      </c>
      <c r="V35" s="874" t="e">
        <f>VLOOKUP(C35,'LƯƠNG KT'!$D$15:$P$94,19,0)</f>
        <v>#N/A</v>
      </c>
      <c r="W35" s="874" t="e">
        <f>VLOOKUP(C35,'LƯƠNG KT'!$D$15:$P$94,20,0)</f>
        <v>#N/A</v>
      </c>
      <c r="X35" s="874" t="e">
        <f>VLOOKUP(C35,'LƯƠNG KT'!$D$15:$P$94,22,0)</f>
        <v>#N/A</v>
      </c>
      <c r="Y35" s="874" t="e">
        <f>VLOOKUP(C35,'LƯƠNG KT'!$D$15:$P$94,23,0)</f>
        <v>#N/A</v>
      </c>
      <c r="Z35" s="874" t="e">
        <f>VLOOKUP(C35,'LƯƠNG KT'!$D$15:$P$94,24,0)</f>
        <v>#N/A</v>
      </c>
      <c r="AA35" s="874">
        <v>20</v>
      </c>
      <c r="AB35" s="874"/>
      <c r="AC35" s="889" t="e">
        <f t="shared" si="7"/>
        <v>#N/A</v>
      </c>
      <c r="AD35" s="889" t="e">
        <f t="shared" si="12"/>
        <v>#N/A</v>
      </c>
      <c r="AE35" s="889" t="e">
        <f t="shared" si="13"/>
        <v>#N/A</v>
      </c>
      <c r="AF35" s="891">
        <v>3830167.75264805</v>
      </c>
      <c r="AG35" s="559" t="e">
        <f t="shared" si="14"/>
        <v>#N/A</v>
      </c>
      <c r="AH35" s="637">
        <v>3</v>
      </c>
    </row>
    <row r="36" spans="1:34" s="540" customFormat="1" ht="20.25" customHeight="1">
      <c r="A36" s="868">
        <v>22</v>
      </c>
      <c r="B36" s="869" t="e">
        <f>VLOOKUP(C36,'DS CN MOI UP'!$B$10:$C$389,2,0)</f>
        <v>#N/A</v>
      </c>
      <c r="C36" s="870" t="s">
        <v>307</v>
      </c>
      <c r="D36" s="875" t="s">
        <v>15</v>
      </c>
      <c r="E36" s="872"/>
      <c r="F36" s="873">
        <f>+VLOOKUP($C$15:$C$77,THCKT!$C$397:$AE$460,17,0)</f>
        <v>64</v>
      </c>
      <c r="G36" s="874">
        <f t="shared" si="10"/>
        <v>1600000</v>
      </c>
      <c r="H36" s="874"/>
      <c r="I36" s="874"/>
      <c r="J36" s="874"/>
      <c r="K36" s="874" t="e">
        <f>VLOOKUP(C36,THCKT!$C$13:$AL$460,21,0)</f>
        <v>#N/A</v>
      </c>
      <c r="L36" s="883">
        <f>VLOOKUP(C36,THCKT!$C$13:$AL$460,22,0)</f>
        <v>0</v>
      </c>
      <c r="M36" s="883">
        <f>VLOOKUP(C36,THCKT!$C$13:$AL$460,23,0)</f>
        <v>0</v>
      </c>
      <c r="N36" s="883" t="e">
        <f t="shared" si="11"/>
        <v>#N/A</v>
      </c>
      <c r="O36" s="883" t="e">
        <f t="shared" si="2"/>
        <v>#N/A</v>
      </c>
      <c r="P36" s="884" t="e">
        <f>VLOOKUP(C36,THCKT!$C$13:$AL$460,36,0)</f>
        <v>#N/A</v>
      </c>
      <c r="Q36" s="887" t="e">
        <f t="shared" si="6"/>
        <v>#N/A</v>
      </c>
      <c r="R36" s="874" t="e">
        <f>VLOOKUP(C36,'LƯƠNG KT'!$D$15:$P$94,16,0)</f>
        <v>#N/A</v>
      </c>
      <c r="S36" s="874" t="e">
        <f>VLOOKUP(C36,'LƯƠNG KT'!$D$15:$P$94,17,0)</f>
        <v>#N/A</v>
      </c>
      <c r="T36" s="874" t="e">
        <f>VLOOKUP(C36,'LƯƠNG KT'!$D$15:$P$94,18,0)</f>
        <v>#N/A</v>
      </c>
      <c r="U36" s="874" t="e">
        <f>VLOOKUP(C36,'LƯƠNG KT'!$D$15:$P$94,18,0)</f>
        <v>#N/A</v>
      </c>
      <c r="V36" s="874" t="e">
        <f>VLOOKUP(C36,'LƯƠNG KT'!$D$15:$P$94,19,0)</f>
        <v>#N/A</v>
      </c>
      <c r="W36" s="874" t="e">
        <f>VLOOKUP(C36,'LƯƠNG KT'!$D$15:$P$94,20,0)</f>
        <v>#N/A</v>
      </c>
      <c r="X36" s="874" t="e">
        <f>VLOOKUP(C36,'LƯƠNG KT'!$D$15:$P$94,22,0)</f>
        <v>#N/A</v>
      </c>
      <c r="Y36" s="874" t="e">
        <f>VLOOKUP(C36,'LƯƠNG KT'!$D$15:$P$94,23,0)</f>
        <v>#N/A</v>
      </c>
      <c r="Z36" s="874" t="e">
        <f>VLOOKUP(C36,'LƯƠNG KT'!$D$15:$P$94,24,0)</f>
        <v>#N/A</v>
      </c>
      <c r="AA36" s="874">
        <v>20</v>
      </c>
      <c r="AB36" s="874"/>
      <c r="AC36" s="889" t="e">
        <f t="shared" si="7"/>
        <v>#N/A</v>
      </c>
      <c r="AD36" s="889" t="e">
        <f t="shared" si="12"/>
        <v>#N/A</v>
      </c>
      <c r="AE36" s="889" t="e">
        <f t="shared" si="13"/>
        <v>#N/A</v>
      </c>
      <c r="AF36" s="891">
        <v>3114282.56051416</v>
      </c>
      <c r="AG36" s="559" t="e">
        <f t="shared" ref="AG36:AG56" si="15">+AE36-AF36</f>
        <v>#N/A</v>
      </c>
      <c r="AH36" s="637">
        <v>4</v>
      </c>
    </row>
    <row r="37" spans="1:34" s="540" customFormat="1" ht="20.25" customHeight="1">
      <c r="A37" s="868">
        <v>23</v>
      </c>
      <c r="B37" s="1644" t="str">
        <f>VLOOKUP(C37,'DS CN MOI UP'!$B$10:$C$389,2,0)</f>
        <v>02616</v>
      </c>
      <c r="C37" s="870" t="s">
        <v>308</v>
      </c>
      <c r="D37" s="875" t="s">
        <v>15</v>
      </c>
      <c r="E37" s="872"/>
      <c r="F37" s="873">
        <f>+VLOOKUP($C$15:$C$77,THCKT!$C$397:$AE$460,17,0)</f>
        <v>24</v>
      </c>
      <c r="G37" s="874">
        <f t="shared" si="10"/>
        <v>600000</v>
      </c>
      <c r="H37" s="874"/>
      <c r="I37" s="874"/>
      <c r="J37" s="874"/>
      <c r="K37" s="874" t="e">
        <f>VLOOKUP(C37,THCKT!$C$13:$AL$460,21,0)</f>
        <v>#N/A</v>
      </c>
      <c r="L37" s="883">
        <f>VLOOKUP(C37,THCKT!$C$13:$AL$460,22,0)</f>
        <v>0</v>
      </c>
      <c r="M37" s="883">
        <f>VLOOKUP(C37,THCKT!$C$13:$AL$460,23,0)</f>
        <v>0</v>
      </c>
      <c r="N37" s="883" t="e">
        <f t="shared" si="11"/>
        <v>#N/A</v>
      </c>
      <c r="O37" s="883" t="e">
        <f t="shared" si="2"/>
        <v>#N/A</v>
      </c>
      <c r="P37" s="884" t="e">
        <f>VLOOKUP(C37,THCKT!$C$13:$AL$460,36,0)</f>
        <v>#N/A</v>
      </c>
      <c r="Q37" s="887" t="e">
        <f t="shared" si="6"/>
        <v>#N/A</v>
      </c>
      <c r="R37" s="874" t="e">
        <f>VLOOKUP(C37,'LƯƠNG KT'!$D$15:$P$94,16,0)</f>
        <v>#N/A</v>
      </c>
      <c r="S37" s="874" t="e">
        <f>VLOOKUP(C37,'LƯƠNG KT'!$D$15:$P$94,17,0)</f>
        <v>#N/A</v>
      </c>
      <c r="T37" s="874" t="e">
        <f>VLOOKUP(C37,'LƯƠNG KT'!$D$15:$P$94,18,0)</f>
        <v>#N/A</v>
      </c>
      <c r="U37" s="874" t="e">
        <f>VLOOKUP(C37,'LƯƠNG KT'!$D$15:$P$94,18,0)</f>
        <v>#N/A</v>
      </c>
      <c r="V37" s="874" t="e">
        <f>VLOOKUP(C37,'LƯƠNG KT'!$D$15:$P$94,19,0)</f>
        <v>#N/A</v>
      </c>
      <c r="W37" s="874" t="e">
        <f>VLOOKUP(C37,'LƯƠNG KT'!$D$15:$P$94,20,0)</f>
        <v>#N/A</v>
      </c>
      <c r="X37" s="874" t="e">
        <f>VLOOKUP(C37,'LƯƠNG KT'!$D$15:$P$94,22,0)</f>
        <v>#N/A</v>
      </c>
      <c r="Y37" s="874" t="e">
        <f>VLOOKUP(C37,'LƯƠNG KT'!$D$15:$P$94,23,0)</f>
        <v>#N/A</v>
      </c>
      <c r="Z37" s="874" t="e">
        <f>VLOOKUP(C37,'LƯƠNG KT'!$D$15:$P$94,24,0)</f>
        <v>#N/A</v>
      </c>
      <c r="AA37" s="874">
        <v>20</v>
      </c>
      <c r="AB37" s="874"/>
      <c r="AC37" s="889" t="e">
        <f t="shared" si="7"/>
        <v>#N/A</v>
      </c>
      <c r="AD37" s="889" t="e">
        <f t="shared" si="12"/>
        <v>#N/A</v>
      </c>
      <c r="AE37" s="889" t="e">
        <f t="shared" si="13"/>
        <v>#N/A</v>
      </c>
      <c r="AF37" s="891">
        <v>3825289.2217742698</v>
      </c>
      <c r="AG37" s="559" t="e">
        <f t="shared" si="15"/>
        <v>#N/A</v>
      </c>
      <c r="AH37" s="637">
        <v>5</v>
      </c>
    </row>
    <row r="38" spans="1:34" s="540" customFormat="1" ht="20.25" customHeight="1">
      <c r="A38" s="868">
        <v>24</v>
      </c>
      <c r="B38" s="1644" t="str">
        <f>VLOOKUP(C38,'DS CN MOI UP'!$B$10:$C$389,2,0)</f>
        <v>02617</v>
      </c>
      <c r="C38" s="870" t="s">
        <v>309</v>
      </c>
      <c r="D38" s="875" t="s">
        <v>15</v>
      </c>
      <c r="E38" s="872"/>
      <c r="F38" s="873">
        <f>+VLOOKUP($C$15:$C$77,THCKT!$C$397:$AE$460,17,0)</f>
        <v>24</v>
      </c>
      <c r="G38" s="874">
        <f t="shared" si="10"/>
        <v>600000</v>
      </c>
      <c r="H38" s="874"/>
      <c r="I38" s="874"/>
      <c r="J38" s="874"/>
      <c r="K38" s="874" t="e">
        <f>VLOOKUP(C38,THCKT!$C$13:$AL$460,21,0)</f>
        <v>#N/A</v>
      </c>
      <c r="L38" s="883">
        <f>VLOOKUP(C38,THCKT!$C$13:$AL$460,22,0)</f>
        <v>0</v>
      </c>
      <c r="M38" s="883">
        <f>VLOOKUP(C38,THCKT!$C$13:$AL$460,23,0)</f>
        <v>0</v>
      </c>
      <c r="N38" s="883" t="e">
        <f t="shared" si="11"/>
        <v>#N/A</v>
      </c>
      <c r="O38" s="883" t="e">
        <f t="shared" si="2"/>
        <v>#N/A</v>
      </c>
      <c r="P38" s="884" t="e">
        <f>VLOOKUP(C38,THCKT!$C$13:$AL$460,36,0)</f>
        <v>#N/A</v>
      </c>
      <c r="Q38" s="887" t="e">
        <f t="shared" si="6"/>
        <v>#N/A</v>
      </c>
      <c r="R38" s="874" t="e">
        <f>VLOOKUP(C38,'LƯƠNG KT'!$D$15:$P$94,16,0)</f>
        <v>#N/A</v>
      </c>
      <c r="S38" s="874" t="e">
        <f>VLOOKUP(C38,'LƯƠNG KT'!$D$15:$P$94,17,0)</f>
        <v>#N/A</v>
      </c>
      <c r="T38" s="874" t="e">
        <f>VLOOKUP(C38,'LƯƠNG KT'!$D$15:$P$94,18,0)</f>
        <v>#N/A</v>
      </c>
      <c r="U38" s="874" t="e">
        <f>VLOOKUP(C38,'LƯƠNG KT'!$D$15:$P$94,18,0)</f>
        <v>#N/A</v>
      </c>
      <c r="V38" s="874" t="e">
        <f>VLOOKUP(C38,'LƯƠNG KT'!$D$15:$P$94,19,0)</f>
        <v>#N/A</v>
      </c>
      <c r="W38" s="874" t="e">
        <f>VLOOKUP(C38,'LƯƠNG KT'!$D$15:$P$94,20,0)</f>
        <v>#N/A</v>
      </c>
      <c r="X38" s="874" t="e">
        <f>VLOOKUP(C38,'LƯƠNG KT'!$D$15:$P$94,22,0)</f>
        <v>#N/A</v>
      </c>
      <c r="Y38" s="874" t="e">
        <f>VLOOKUP(C38,'LƯƠNG KT'!$D$15:$P$94,23,0)</f>
        <v>#N/A</v>
      </c>
      <c r="Z38" s="874" t="e">
        <f>VLOOKUP(C38,'LƯƠNG KT'!$D$15:$P$94,24,0)</f>
        <v>#N/A</v>
      </c>
      <c r="AA38" s="874">
        <v>20</v>
      </c>
      <c r="AB38" s="874"/>
      <c r="AC38" s="889" t="e">
        <f t="shared" si="7"/>
        <v>#N/A</v>
      </c>
      <c r="AD38" s="889" t="e">
        <f t="shared" si="12"/>
        <v>#N/A</v>
      </c>
      <c r="AE38" s="889" t="e">
        <f t="shared" si="13"/>
        <v>#N/A</v>
      </c>
      <c r="AF38" s="891">
        <v>6408928.8285277896</v>
      </c>
      <c r="AG38" s="559" t="e">
        <f t="shared" si="15"/>
        <v>#N/A</v>
      </c>
      <c r="AH38" s="637">
        <v>3</v>
      </c>
    </row>
    <row r="39" spans="1:34" s="540" customFormat="1" ht="20.25" customHeight="1">
      <c r="A39" s="868">
        <v>25</v>
      </c>
      <c r="B39" s="1644" t="str">
        <f>VLOOKUP(C39,'DS CN MOI UP'!$B$10:$C$389,2,0)</f>
        <v>02618</v>
      </c>
      <c r="C39" s="870" t="s">
        <v>310</v>
      </c>
      <c r="D39" s="875" t="s">
        <v>15</v>
      </c>
      <c r="E39" s="872"/>
      <c r="F39" s="873">
        <f>+VLOOKUP($C$15:$C$77,THCKT!$C$397:$AE$460,17,0)</f>
        <v>24</v>
      </c>
      <c r="G39" s="874">
        <f t="shared" si="10"/>
        <v>600000</v>
      </c>
      <c r="H39" s="874"/>
      <c r="I39" s="874"/>
      <c r="J39" s="874"/>
      <c r="K39" s="874" t="e">
        <f>VLOOKUP(C39,THCKT!$C$13:$AL$460,21,0)</f>
        <v>#N/A</v>
      </c>
      <c r="L39" s="883">
        <f>VLOOKUP(C39,THCKT!$C$13:$AL$460,22,0)</f>
        <v>0</v>
      </c>
      <c r="M39" s="883">
        <f>VLOOKUP(C39,THCKT!$C$13:$AL$460,23,0)</f>
        <v>0</v>
      </c>
      <c r="N39" s="883" t="e">
        <f t="shared" si="11"/>
        <v>#N/A</v>
      </c>
      <c r="O39" s="883" t="e">
        <f t="shared" si="2"/>
        <v>#N/A</v>
      </c>
      <c r="P39" s="884" t="e">
        <f>VLOOKUP(C39,THCKT!$C$13:$AL$460,36,0)</f>
        <v>#N/A</v>
      </c>
      <c r="Q39" s="887" t="e">
        <f t="shared" si="6"/>
        <v>#N/A</v>
      </c>
      <c r="R39" s="874" t="e">
        <f>VLOOKUP(C39,'LƯƠNG KT'!$D$15:$P$94,16,0)</f>
        <v>#N/A</v>
      </c>
      <c r="S39" s="874" t="e">
        <f>VLOOKUP(C39,'LƯƠNG KT'!$D$15:$P$94,17,0)</f>
        <v>#N/A</v>
      </c>
      <c r="T39" s="874" t="e">
        <f>VLOOKUP(C39,'LƯƠNG KT'!$D$15:$P$94,18,0)</f>
        <v>#N/A</v>
      </c>
      <c r="U39" s="874" t="e">
        <f>VLOOKUP(C39,'LƯƠNG KT'!$D$15:$P$94,18,0)</f>
        <v>#N/A</v>
      </c>
      <c r="V39" s="874" t="e">
        <f>VLOOKUP(C39,'LƯƠNG KT'!$D$15:$P$94,19,0)</f>
        <v>#N/A</v>
      </c>
      <c r="W39" s="874" t="e">
        <f>VLOOKUP(C39,'LƯƠNG KT'!$D$15:$P$94,20,0)</f>
        <v>#N/A</v>
      </c>
      <c r="X39" s="874" t="e">
        <f>VLOOKUP(C39,'LƯƠNG KT'!$D$15:$P$94,22,0)</f>
        <v>#N/A</v>
      </c>
      <c r="Y39" s="874" t="e">
        <f>VLOOKUP(C39,'LƯƠNG KT'!$D$15:$P$94,23,0)</f>
        <v>#N/A</v>
      </c>
      <c r="Z39" s="874" t="e">
        <f>VLOOKUP(C39,'LƯƠNG KT'!$D$15:$P$94,24,0)</f>
        <v>#N/A</v>
      </c>
      <c r="AA39" s="874">
        <v>20</v>
      </c>
      <c r="AB39" s="874"/>
      <c r="AC39" s="889" t="e">
        <f t="shared" si="7"/>
        <v>#N/A</v>
      </c>
      <c r="AD39" s="889" t="e">
        <f t="shared" si="12"/>
        <v>#N/A</v>
      </c>
      <c r="AE39" s="889" t="e">
        <f t="shared" si="13"/>
        <v>#N/A</v>
      </c>
      <c r="AF39" s="891">
        <v>2813706.5887327902</v>
      </c>
      <c r="AG39" s="559" t="e">
        <f t="shared" si="15"/>
        <v>#N/A</v>
      </c>
      <c r="AH39" s="637">
        <v>5</v>
      </c>
    </row>
    <row r="40" spans="1:34" s="540" customFormat="1" ht="20.25" customHeight="1">
      <c r="A40" s="868">
        <v>26</v>
      </c>
      <c r="B40" s="1644" t="str">
        <f>VLOOKUP(C40,'DS CN MOI UP'!$B$10:$C$389,2,0)</f>
        <v>03401</v>
      </c>
      <c r="C40" s="870" t="s">
        <v>311</v>
      </c>
      <c r="D40" s="875" t="s">
        <v>15</v>
      </c>
      <c r="E40" s="872"/>
      <c r="F40" s="873">
        <f>+VLOOKUP($C$15:$C$77,THCKT!$C$397:$AE$460,17,0)</f>
        <v>24</v>
      </c>
      <c r="G40" s="874">
        <f t="shared" si="10"/>
        <v>600000</v>
      </c>
      <c r="H40" s="874"/>
      <c r="I40" s="874"/>
      <c r="J40" s="874"/>
      <c r="K40" s="874" t="e">
        <f>VLOOKUP(C40,THCKT!$C$13:$AL$460,21,0)</f>
        <v>#N/A</v>
      </c>
      <c r="L40" s="883">
        <f>VLOOKUP(C40,THCKT!$C$13:$AL$460,22,0)</f>
        <v>0</v>
      </c>
      <c r="M40" s="883">
        <f>VLOOKUP(C40,THCKT!$C$13:$AL$460,23,0)</f>
        <v>0</v>
      </c>
      <c r="N40" s="883" t="e">
        <f t="shared" si="11"/>
        <v>#N/A</v>
      </c>
      <c r="O40" s="883" t="e">
        <f t="shared" si="2"/>
        <v>#N/A</v>
      </c>
      <c r="P40" s="884" t="e">
        <f>VLOOKUP(C40,THCKT!$C$13:$AL$460,36,0)</f>
        <v>#N/A</v>
      </c>
      <c r="Q40" s="887" t="e">
        <f t="shared" si="6"/>
        <v>#N/A</v>
      </c>
      <c r="R40" s="874" t="e">
        <f>VLOOKUP(C40,'LƯƠNG KT'!$D$15:$P$94,16,0)</f>
        <v>#N/A</v>
      </c>
      <c r="S40" s="874" t="e">
        <f>VLOOKUP(C40,'LƯƠNG KT'!$D$15:$P$94,17,0)</f>
        <v>#N/A</v>
      </c>
      <c r="T40" s="874" t="e">
        <f>VLOOKUP(C40,'LƯƠNG KT'!$D$15:$P$94,18,0)</f>
        <v>#N/A</v>
      </c>
      <c r="U40" s="874" t="e">
        <f>VLOOKUP(C40,'LƯƠNG KT'!$D$15:$P$94,18,0)</f>
        <v>#N/A</v>
      </c>
      <c r="V40" s="874" t="e">
        <f>VLOOKUP(C40,'LƯƠNG KT'!$D$15:$P$94,19,0)</f>
        <v>#N/A</v>
      </c>
      <c r="W40" s="874" t="e">
        <f>VLOOKUP(C40,'LƯƠNG KT'!$D$15:$P$94,20,0)</f>
        <v>#N/A</v>
      </c>
      <c r="X40" s="874" t="e">
        <f>VLOOKUP(C40,'LƯƠNG KT'!$D$15:$P$94,22,0)</f>
        <v>#N/A</v>
      </c>
      <c r="Y40" s="874" t="e">
        <f>VLOOKUP(C40,'LƯƠNG KT'!$D$15:$P$94,23,0)</f>
        <v>#N/A</v>
      </c>
      <c r="Z40" s="874" t="e">
        <f>VLOOKUP(C40,'LƯƠNG KT'!$D$15:$P$94,24,0)</f>
        <v>#N/A</v>
      </c>
      <c r="AA40" s="874">
        <v>20</v>
      </c>
      <c r="AB40" s="874"/>
      <c r="AC40" s="889" t="e">
        <f t="shared" si="7"/>
        <v>#N/A</v>
      </c>
      <c r="AD40" s="889" t="e">
        <f t="shared" si="12"/>
        <v>#N/A</v>
      </c>
      <c r="AE40" s="889" t="e">
        <f t="shared" si="13"/>
        <v>#N/A</v>
      </c>
      <c r="AF40" s="891">
        <v>3999535.76547162</v>
      </c>
      <c r="AG40" s="559" t="e">
        <f t="shared" si="15"/>
        <v>#N/A</v>
      </c>
      <c r="AH40" s="637">
        <v>5</v>
      </c>
    </row>
    <row r="41" spans="1:34" s="540" customFormat="1" ht="20.25" customHeight="1">
      <c r="A41" s="868">
        <v>27</v>
      </c>
      <c r="B41" s="1644" t="str">
        <f>VLOOKUP(C41,'DS CN MOI UP'!$B$10:$C$389,2,0)</f>
        <v>03402</v>
      </c>
      <c r="C41" s="870" t="s">
        <v>312</v>
      </c>
      <c r="D41" s="875" t="s">
        <v>15</v>
      </c>
      <c r="E41" s="872"/>
      <c r="F41" s="873">
        <f>+VLOOKUP($C$15:$C$77,THCKT!$C$397:$AE$460,17,0)</f>
        <v>24</v>
      </c>
      <c r="G41" s="874">
        <f t="shared" si="10"/>
        <v>600000</v>
      </c>
      <c r="H41" s="874"/>
      <c r="I41" s="874"/>
      <c r="J41" s="874"/>
      <c r="K41" s="874" t="e">
        <f>VLOOKUP(C41,THCKT!$C$13:$AL$460,21,0)</f>
        <v>#N/A</v>
      </c>
      <c r="L41" s="883">
        <f>VLOOKUP(C41,THCKT!$C$13:$AL$460,22,0)</f>
        <v>0</v>
      </c>
      <c r="M41" s="883">
        <f>VLOOKUP(C41,THCKT!$C$13:$AL$460,23,0)</f>
        <v>0</v>
      </c>
      <c r="N41" s="883" t="e">
        <f t="shared" si="11"/>
        <v>#N/A</v>
      </c>
      <c r="O41" s="883" t="e">
        <f t="shared" si="2"/>
        <v>#N/A</v>
      </c>
      <c r="P41" s="884" t="e">
        <f>VLOOKUP(C41,THCKT!$C$13:$AL$460,36,0)</f>
        <v>#N/A</v>
      </c>
      <c r="Q41" s="887" t="e">
        <f t="shared" si="6"/>
        <v>#N/A</v>
      </c>
      <c r="R41" s="874" t="e">
        <f>VLOOKUP(C41,'LƯƠNG KT'!$D$15:$P$94,16,0)</f>
        <v>#N/A</v>
      </c>
      <c r="S41" s="874" t="e">
        <f>VLOOKUP(C41,'LƯƠNG KT'!$D$15:$P$94,17,0)</f>
        <v>#N/A</v>
      </c>
      <c r="T41" s="874" t="e">
        <f>VLOOKUP(C41,'LƯƠNG KT'!$D$15:$P$94,18,0)</f>
        <v>#N/A</v>
      </c>
      <c r="U41" s="874" t="e">
        <f>VLOOKUP(C41,'LƯƠNG KT'!$D$15:$P$94,18,0)</f>
        <v>#N/A</v>
      </c>
      <c r="V41" s="874" t="e">
        <f>VLOOKUP(C41,'LƯƠNG KT'!$D$15:$P$94,19,0)</f>
        <v>#N/A</v>
      </c>
      <c r="W41" s="874" t="e">
        <f>VLOOKUP(C41,'LƯƠNG KT'!$D$15:$P$94,20,0)</f>
        <v>#N/A</v>
      </c>
      <c r="X41" s="874" t="e">
        <f>VLOOKUP(C41,'LƯƠNG KT'!$D$15:$P$94,22,0)</f>
        <v>#N/A</v>
      </c>
      <c r="Y41" s="874" t="e">
        <f>VLOOKUP(C41,'LƯƠNG KT'!$D$15:$P$94,23,0)</f>
        <v>#N/A</v>
      </c>
      <c r="Z41" s="874" t="e">
        <f>VLOOKUP(C41,'LƯƠNG KT'!$D$15:$P$94,24,0)</f>
        <v>#N/A</v>
      </c>
      <c r="AA41" s="874">
        <v>20</v>
      </c>
      <c r="AB41" s="874"/>
      <c r="AC41" s="889" t="e">
        <f t="shared" si="7"/>
        <v>#N/A</v>
      </c>
      <c r="AD41" s="889" t="e">
        <f t="shared" si="12"/>
        <v>#N/A</v>
      </c>
      <c r="AE41" s="889" t="e">
        <f t="shared" si="13"/>
        <v>#N/A</v>
      </c>
      <c r="AF41" s="891">
        <v>4598155.0468937596</v>
      </c>
      <c r="AG41" s="559" t="e">
        <f t="shared" si="15"/>
        <v>#N/A</v>
      </c>
      <c r="AH41" s="637">
        <v>4</v>
      </c>
    </row>
    <row r="42" spans="1:34" s="540" customFormat="1" ht="20.25" customHeight="1">
      <c r="A42" s="868">
        <v>28</v>
      </c>
      <c r="B42" s="1644" t="str">
        <f>VLOOKUP(C42,'DS CN MOI UP'!$B$10:$C$389,2,0)</f>
        <v>02621</v>
      </c>
      <c r="C42" s="870" t="s">
        <v>313</v>
      </c>
      <c r="D42" s="875" t="s">
        <v>15</v>
      </c>
      <c r="E42" s="872"/>
      <c r="F42" s="873">
        <f>+VLOOKUP($C$15:$C$77,THCKT!$C$397:$AE$460,17,0)</f>
        <v>24</v>
      </c>
      <c r="G42" s="874">
        <f t="shared" si="10"/>
        <v>600000</v>
      </c>
      <c r="H42" s="874"/>
      <c r="I42" s="874"/>
      <c r="J42" s="874"/>
      <c r="K42" s="874" t="e">
        <f>VLOOKUP(C42,THCKT!$C$13:$AL$460,21,0)</f>
        <v>#N/A</v>
      </c>
      <c r="L42" s="883">
        <f>VLOOKUP(C42,THCKT!$C$13:$AL$460,22,0)</f>
        <v>0</v>
      </c>
      <c r="M42" s="883">
        <f>VLOOKUP(C42,THCKT!$C$13:$AL$460,23,0)</f>
        <v>0</v>
      </c>
      <c r="N42" s="883" t="e">
        <f t="shared" si="11"/>
        <v>#N/A</v>
      </c>
      <c r="O42" s="883" t="e">
        <f t="shared" si="2"/>
        <v>#N/A</v>
      </c>
      <c r="P42" s="884" t="e">
        <f>VLOOKUP(C42,THCKT!$C$13:$AL$460,36,0)</f>
        <v>#N/A</v>
      </c>
      <c r="Q42" s="887" t="e">
        <f t="shared" si="6"/>
        <v>#N/A</v>
      </c>
      <c r="R42" s="874" t="e">
        <f>VLOOKUP(C42,'LƯƠNG KT'!$D$15:$P$94,16,0)</f>
        <v>#N/A</v>
      </c>
      <c r="S42" s="874" t="e">
        <f>VLOOKUP(C42,'LƯƠNG KT'!$D$15:$P$94,17,0)</f>
        <v>#N/A</v>
      </c>
      <c r="T42" s="874" t="e">
        <f>VLOOKUP(C42,'LƯƠNG KT'!$D$15:$P$94,18,0)</f>
        <v>#N/A</v>
      </c>
      <c r="U42" s="874" t="e">
        <f>VLOOKUP(C42,'LƯƠNG KT'!$D$15:$P$94,18,0)</f>
        <v>#N/A</v>
      </c>
      <c r="V42" s="874" t="e">
        <f>VLOOKUP(C42,'LƯƠNG KT'!$D$15:$P$94,19,0)</f>
        <v>#N/A</v>
      </c>
      <c r="W42" s="874" t="e">
        <f>VLOOKUP(C42,'LƯƠNG KT'!$D$15:$P$94,20,0)</f>
        <v>#N/A</v>
      </c>
      <c r="X42" s="874" t="e">
        <f>VLOOKUP(C42,'LƯƠNG KT'!$D$15:$P$94,22,0)</f>
        <v>#N/A</v>
      </c>
      <c r="Y42" s="874" t="e">
        <f>VLOOKUP(C42,'LƯƠNG KT'!$D$15:$P$94,23,0)</f>
        <v>#N/A</v>
      </c>
      <c r="Z42" s="874" t="e">
        <f>VLOOKUP(C42,'LƯƠNG KT'!$D$15:$P$94,24,0)</f>
        <v>#N/A</v>
      </c>
      <c r="AA42" s="874">
        <v>20</v>
      </c>
      <c r="AB42" s="874"/>
      <c r="AC42" s="889" t="e">
        <f t="shared" si="7"/>
        <v>#N/A</v>
      </c>
      <c r="AD42" s="889" t="e">
        <f t="shared" si="12"/>
        <v>#N/A</v>
      </c>
      <c r="AE42" s="889" t="e">
        <f t="shared" si="13"/>
        <v>#N/A</v>
      </c>
      <c r="AF42" s="891">
        <v>3029099.2902764701</v>
      </c>
      <c r="AG42" s="559" t="e">
        <f t="shared" si="15"/>
        <v>#N/A</v>
      </c>
      <c r="AH42" s="637">
        <v>5</v>
      </c>
    </row>
    <row r="43" spans="1:34" s="540" customFormat="1" ht="20.25" customHeight="1">
      <c r="A43" s="868">
        <v>29</v>
      </c>
      <c r="B43" s="1644" t="str">
        <f>VLOOKUP(C43,'DS CN MOI UP'!$B$10:$C$389,2,0)</f>
        <v>02622</v>
      </c>
      <c r="C43" s="870" t="s">
        <v>314</v>
      </c>
      <c r="D43" s="875" t="s">
        <v>15</v>
      </c>
      <c r="E43" s="872"/>
      <c r="F43" s="873">
        <f>+VLOOKUP($C$15:$C$77,THCKT!$C$397:$AE$460,17,0)</f>
        <v>24</v>
      </c>
      <c r="G43" s="874">
        <f t="shared" si="10"/>
        <v>600000</v>
      </c>
      <c r="H43" s="874"/>
      <c r="I43" s="874"/>
      <c r="J43" s="874"/>
      <c r="K43" s="874" t="e">
        <f>VLOOKUP(C43,THCKT!$C$13:$AL$460,21,0)</f>
        <v>#N/A</v>
      </c>
      <c r="L43" s="883">
        <f>VLOOKUP(C43,THCKT!$C$13:$AL$460,22,0)</f>
        <v>0</v>
      </c>
      <c r="M43" s="883">
        <f>VLOOKUP(C43,THCKT!$C$13:$AL$460,23,0)</f>
        <v>0</v>
      </c>
      <c r="N43" s="883" t="e">
        <f t="shared" si="11"/>
        <v>#N/A</v>
      </c>
      <c r="O43" s="883" t="e">
        <f t="shared" si="2"/>
        <v>#N/A</v>
      </c>
      <c r="P43" s="884" t="e">
        <f>VLOOKUP(C43,THCKT!$C$13:$AL$460,36,0)</f>
        <v>#N/A</v>
      </c>
      <c r="Q43" s="887" t="e">
        <f t="shared" si="6"/>
        <v>#N/A</v>
      </c>
      <c r="R43" s="874" t="e">
        <f>VLOOKUP(C43,'LƯƠNG KT'!$D$15:$P$94,16,0)</f>
        <v>#N/A</v>
      </c>
      <c r="S43" s="874" t="e">
        <f>VLOOKUP(C43,'LƯƠNG KT'!$D$15:$P$94,17,0)</f>
        <v>#N/A</v>
      </c>
      <c r="T43" s="874" t="e">
        <f>VLOOKUP(C43,'LƯƠNG KT'!$D$15:$P$94,18,0)</f>
        <v>#N/A</v>
      </c>
      <c r="U43" s="874" t="e">
        <f>VLOOKUP(C43,'LƯƠNG KT'!$D$15:$P$94,18,0)</f>
        <v>#N/A</v>
      </c>
      <c r="V43" s="874" t="e">
        <f>VLOOKUP(C43,'LƯƠNG KT'!$D$15:$P$94,19,0)</f>
        <v>#N/A</v>
      </c>
      <c r="W43" s="874" t="e">
        <f>VLOOKUP(C43,'LƯƠNG KT'!$D$15:$P$94,20,0)</f>
        <v>#N/A</v>
      </c>
      <c r="X43" s="874" t="e">
        <f>VLOOKUP(C43,'LƯƠNG KT'!$D$15:$P$94,22,0)</f>
        <v>#N/A</v>
      </c>
      <c r="Y43" s="874" t="e">
        <f>VLOOKUP(C43,'LƯƠNG KT'!$D$15:$P$94,23,0)</f>
        <v>#N/A</v>
      </c>
      <c r="Z43" s="874" t="e">
        <f>VLOOKUP(C43,'LƯƠNG KT'!$D$15:$P$94,24,0)</f>
        <v>#N/A</v>
      </c>
      <c r="AA43" s="874">
        <v>20</v>
      </c>
      <c r="AB43" s="874"/>
      <c r="AC43" s="889" t="e">
        <f t="shared" si="7"/>
        <v>#N/A</v>
      </c>
      <c r="AD43" s="889" t="e">
        <f t="shared" si="12"/>
        <v>#N/A</v>
      </c>
      <c r="AE43" s="889" t="e">
        <f t="shared" si="13"/>
        <v>#N/A</v>
      </c>
      <c r="AF43" s="891">
        <v>4200213.0391214304</v>
      </c>
      <c r="AG43" s="559" t="e">
        <f t="shared" si="15"/>
        <v>#N/A</v>
      </c>
      <c r="AH43" s="637">
        <v>5</v>
      </c>
    </row>
    <row r="44" spans="1:34" s="540" customFormat="1" ht="20.25" customHeight="1">
      <c r="A44" s="868">
        <v>30</v>
      </c>
      <c r="B44" s="869" t="e">
        <f>VLOOKUP(C44,'DS CN MOI UP'!$B$10:$C$389,2,0)</f>
        <v>#N/A</v>
      </c>
      <c r="C44" s="870" t="s">
        <v>315</v>
      </c>
      <c r="D44" s="875" t="s">
        <v>15</v>
      </c>
      <c r="E44" s="872"/>
      <c r="F44" s="873">
        <f>+VLOOKUP($C$15:$C$77,THCKT!$C$397:$AE$460,17,0)</f>
        <v>24</v>
      </c>
      <c r="G44" s="874">
        <f t="shared" si="10"/>
        <v>600000</v>
      </c>
      <c r="H44" s="874"/>
      <c r="I44" s="874"/>
      <c r="J44" s="874"/>
      <c r="K44" s="874" t="e">
        <f>VLOOKUP(C44,THCKT!$C$13:$AL$460,21,0)</f>
        <v>#N/A</v>
      </c>
      <c r="L44" s="883">
        <f>VLOOKUP(C44,THCKT!$C$13:$AL$460,22,0)</f>
        <v>0</v>
      </c>
      <c r="M44" s="883">
        <f>VLOOKUP(C44,THCKT!$C$13:$AL$460,23,0)</f>
        <v>0</v>
      </c>
      <c r="N44" s="883" t="e">
        <f t="shared" si="11"/>
        <v>#N/A</v>
      </c>
      <c r="O44" s="883" t="e">
        <f t="shared" si="2"/>
        <v>#N/A</v>
      </c>
      <c r="P44" s="884" t="e">
        <f>VLOOKUP(C44,THCKT!$C$13:$AL$460,36,0)</f>
        <v>#N/A</v>
      </c>
      <c r="Q44" s="887" t="e">
        <f t="shared" si="6"/>
        <v>#N/A</v>
      </c>
      <c r="R44" s="874" t="e">
        <f>VLOOKUP(C44,'LƯƠNG KT'!$D$15:$P$94,16,0)</f>
        <v>#N/A</v>
      </c>
      <c r="S44" s="874" t="e">
        <f>VLOOKUP(C44,'LƯƠNG KT'!$D$15:$P$94,17,0)</f>
        <v>#N/A</v>
      </c>
      <c r="T44" s="874" t="e">
        <f>VLOOKUP(C44,'LƯƠNG KT'!$D$15:$P$94,18,0)</f>
        <v>#N/A</v>
      </c>
      <c r="U44" s="874" t="e">
        <f>VLOOKUP(C44,'LƯƠNG KT'!$D$15:$P$94,18,0)</f>
        <v>#N/A</v>
      </c>
      <c r="V44" s="874" t="e">
        <f>VLOOKUP(C44,'LƯƠNG KT'!$D$15:$P$94,19,0)</f>
        <v>#N/A</v>
      </c>
      <c r="W44" s="874" t="e">
        <f>VLOOKUP(C44,'LƯƠNG KT'!$D$15:$P$94,20,0)</f>
        <v>#N/A</v>
      </c>
      <c r="X44" s="874" t="e">
        <f>VLOOKUP(C44,'LƯƠNG KT'!$D$15:$P$94,22,0)</f>
        <v>#N/A</v>
      </c>
      <c r="Y44" s="874" t="e">
        <f>VLOOKUP(C44,'LƯƠNG KT'!$D$15:$P$94,23,0)</f>
        <v>#N/A</v>
      </c>
      <c r="Z44" s="874" t="e">
        <f>VLOOKUP(C44,'LƯƠNG KT'!$D$15:$P$94,24,0)</f>
        <v>#N/A</v>
      </c>
      <c r="AA44" s="874">
        <v>20</v>
      </c>
      <c r="AB44" s="874"/>
      <c r="AC44" s="889" t="e">
        <f t="shared" si="7"/>
        <v>#N/A</v>
      </c>
      <c r="AD44" s="889" t="e">
        <f t="shared" si="12"/>
        <v>#N/A</v>
      </c>
      <c r="AE44" s="889" t="e">
        <f t="shared" si="13"/>
        <v>#N/A</v>
      </c>
      <c r="AF44" s="891">
        <v>5863243.2489074497</v>
      </c>
      <c r="AG44" s="559" t="e">
        <f t="shared" si="15"/>
        <v>#N/A</v>
      </c>
      <c r="AH44" s="637">
        <v>4</v>
      </c>
    </row>
    <row r="45" spans="1:34" s="540" customFormat="1" ht="20.25" customHeight="1">
      <c r="A45" s="868">
        <v>31</v>
      </c>
      <c r="B45" s="1644" t="str">
        <f>VLOOKUP(C45,'DS CN MOI UP'!$B$10:$C$389,2,0)</f>
        <v>02623</v>
      </c>
      <c r="C45" s="870" t="s">
        <v>316</v>
      </c>
      <c r="D45" s="871" t="s">
        <v>15</v>
      </c>
      <c r="E45" s="872"/>
      <c r="F45" s="873">
        <f>+VLOOKUP($C$15:$C$77,THCKT!$C$397:$AE$460,17,0)</f>
        <v>24</v>
      </c>
      <c r="G45" s="874">
        <f t="shared" si="10"/>
        <v>600000</v>
      </c>
      <c r="H45" s="874"/>
      <c r="I45" s="874"/>
      <c r="J45" s="874"/>
      <c r="K45" s="874" t="e">
        <f>VLOOKUP(C45,THCKT!$C$13:$AL$460,21,0)</f>
        <v>#N/A</v>
      </c>
      <c r="L45" s="883">
        <f>VLOOKUP(C45,THCKT!$C$13:$AL$460,22,0)</f>
        <v>0</v>
      </c>
      <c r="M45" s="883">
        <f>VLOOKUP(C45,THCKT!$C$13:$AL$460,23,0)</f>
        <v>0</v>
      </c>
      <c r="N45" s="883" t="e">
        <f t="shared" si="11"/>
        <v>#N/A</v>
      </c>
      <c r="O45" s="883" t="e">
        <f t="shared" si="2"/>
        <v>#N/A</v>
      </c>
      <c r="P45" s="884" t="e">
        <f>VLOOKUP(C45,THCKT!$C$13:$AL$460,36,0)</f>
        <v>#N/A</v>
      </c>
      <c r="Q45" s="887" t="e">
        <f t="shared" si="6"/>
        <v>#N/A</v>
      </c>
      <c r="R45" s="874" t="e">
        <f>VLOOKUP(C45,'LƯƠNG KT'!$D$15:$P$94,16,0)</f>
        <v>#N/A</v>
      </c>
      <c r="S45" s="874" t="e">
        <f>VLOOKUP(C45,'LƯƠNG KT'!$D$15:$P$94,17,0)</f>
        <v>#N/A</v>
      </c>
      <c r="T45" s="874" t="e">
        <f>VLOOKUP(C45,'LƯƠNG KT'!$D$15:$P$94,18,0)</f>
        <v>#N/A</v>
      </c>
      <c r="U45" s="874" t="e">
        <f>VLOOKUP(C45,'LƯƠNG KT'!$D$15:$P$94,18,0)</f>
        <v>#N/A</v>
      </c>
      <c r="V45" s="874" t="e">
        <f>VLOOKUP(C45,'LƯƠNG KT'!$D$15:$P$94,19,0)</f>
        <v>#N/A</v>
      </c>
      <c r="W45" s="874" t="e">
        <f>VLOOKUP(C45,'LƯƠNG KT'!$D$15:$P$94,20,0)</f>
        <v>#N/A</v>
      </c>
      <c r="X45" s="874" t="e">
        <f>VLOOKUP(C45,'LƯƠNG KT'!$D$15:$P$94,22,0)</f>
        <v>#N/A</v>
      </c>
      <c r="Y45" s="874" t="e">
        <f>VLOOKUP(C45,'LƯƠNG KT'!$D$15:$P$94,23,0)</f>
        <v>#N/A</v>
      </c>
      <c r="Z45" s="874" t="e">
        <f>VLOOKUP(C45,'LƯƠNG KT'!$D$15:$P$94,24,0)</f>
        <v>#N/A</v>
      </c>
      <c r="AA45" s="874">
        <v>20</v>
      </c>
      <c r="AB45" s="874"/>
      <c r="AC45" s="889" t="e">
        <f t="shared" si="7"/>
        <v>#N/A</v>
      </c>
      <c r="AD45" s="889" t="e">
        <f t="shared" si="12"/>
        <v>#N/A</v>
      </c>
      <c r="AE45" s="889" t="e">
        <f t="shared" si="13"/>
        <v>#N/A</v>
      </c>
      <c r="AF45" s="891">
        <v>3864609.0847638901</v>
      </c>
      <c r="AG45" s="559" t="e">
        <f t="shared" si="15"/>
        <v>#N/A</v>
      </c>
      <c r="AH45" s="637">
        <v>4</v>
      </c>
    </row>
    <row r="46" spans="1:34" s="540" customFormat="1" ht="20.25" customHeight="1">
      <c r="A46" s="868">
        <v>32</v>
      </c>
      <c r="B46" s="1644" t="str">
        <f>VLOOKUP(C46,'DS CN MOI UP'!$B$10:$C$389,2,0)</f>
        <v>02624</v>
      </c>
      <c r="C46" s="870" t="s">
        <v>317</v>
      </c>
      <c r="D46" s="875" t="s">
        <v>15</v>
      </c>
      <c r="E46" s="872"/>
      <c r="F46" s="873">
        <f>+VLOOKUP($C$15:$C$77,THCKT!$C$397:$AE$460,17,0)</f>
        <v>24</v>
      </c>
      <c r="G46" s="874">
        <f t="shared" si="10"/>
        <v>600000</v>
      </c>
      <c r="H46" s="874"/>
      <c r="I46" s="874"/>
      <c r="J46" s="874"/>
      <c r="K46" s="874" t="e">
        <f>VLOOKUP(C46,THCKT!$C$13:$AL$460,21,0)</f>
        <v>#N/A</v>
      </c>
      <c r="L46" s="883">
        <f>VLOOKUP(C46,THCKT!$C$13:$AL$460,22,0)</f>
        <v>0</v>
      </c>
      <c r="M46" s="883">
        <f>VLOOKUP(C46,THCKT!$C$13:$AL$460,23,0)</f>
        <v>0</v>
      </c>
      <c r="N46" s="883" t="e">
        <f t="shared" si="11"/>
        <v>#N/A</v>
      </c>
      <c r="O46" s="883" t="e">
        <f t="shared" si="2"/>
        <v>#N/A</v>
      </c>
      <c r="P46" s="884" t="e">
        <f>VLOOKUP(C46,THCKT!$C$13:$AL$460,36,0)</f>
        <v>#N/A</v>
      </c>
      <c r="Q46" s="887" t="e">
        <f t="shared" si="6"/>
        <v>#N/A</v>
      </c>
      <c r="R46" s="874" t="e">
        <f>VLOOKUP(C46,'LƯƠNG KT'!$D$15:$P$94,16,0)</f>
        <v>#N/A</v>
      </c>
      <c r="S46" s="874" t="e">
        <f>VLOOKUP(C46,'LƯƠNG KT'!$D$15:$P$94,17,0)</f>
        <v>#N/A</v>
      </c>
      <c r="T46" s="874" t="e">
        <f>VLOOKUP(C46,'LƯƠNG KT'!$D$15:$P$94,18,0)</f>
        <v>#N/A</v>
      </c>
      <c r="U46" s="874" t="e">
        <f>VLOOKUP(C46,'LƯƠNG KT'!$D$15:$P$94,18,0)</f>
        <v>#N/A</v>
      </c>
      <c r="V46" s="874" t="e">
        <f>VLOOKUP(C46,'LƯƠNG KT'!$D$15:$P$94,19,0)</f>
        <v>#N/A</v>
      </c>
      <c r="W46" s="874" t="e">
        <f>VLOOKUP(C46,'LƯƠNG KT'!$D$15:$P$94,20,0)</f>
        <v>#N/A</v>
      </c>
      <c r="X46" s="874" t="e">
        <f>VLOOKUP(C46,'LƯƠNG KT'!$D$15:$P$94,22,0)</f>
        <v>#N/A</v>
      </c>
      <c r="Y46" s="874" t="e">
        <f>VLOOKUP(C46,'LƯƠNG KT'!$D$15:$P$94,23,0)</f>
        <v>#N/A</v>
      </c>
      <c r="Z46" s="874" t="e">
        <f>VLOOKUP(C46,'LƯƠNG KT'!$D$15:$P$94,24,0)</f>
        <v>#N/A</v>
      </c>
      <c r="AA46" s="874">
        <v>20</v>
      </c>
      <c r="AB46" s="874"/>
      <c r="AC46" s="889" t="e">
        <f t="shared" si="7"/>
        <v>#N/A</v>
      </c>
      <c r="AD46" s="889" t="e">
        <f t="shared" si="12"/>
        <v>#N/A</v>
      </c>
      <c r="AE46" s="889" t="e">
        <f t="shared" si="13"/>
        <v>#N/A</v>
      </c>
      <c r="AF46" s="891">
        <v>3579602.6800705502</v>
      </c>
      <c r="AG46" s="559" t="e">
        <f t="shared" si="15"/>
        <v>#N/A</v>
      </c>
      <c r="AH46" s="637">
        <v>4</v>
      </c>
    </row>
    <row r="47" spans="1:34" s="540" customFormat="1" ht="20.25" customHeight="1">
      <c r="A47" s="868">
        <v>33</v>
      </c>
      <c r="B47" s="1644" t="str">
        <f>VLOOKUP(C47,'DS CN MOI UP'!$B$10:$C$389,2,0)</f>
        <v>03404</v>
      </c>
      <c r="C47" s="870" t="s">
        <v>318</v>
      </c>
      <c r="D47" s="875" t="s">
        <v>15</v>
      </c>
      <c r="E47" s="872"/>
      <c r="F47" s="873">
        <f>+VLOOKUP($C$15:$C$77,THCKT!$C$397:$AE$460,17,0)</f>
        <v>24</v>
      </c>
      <c r="G47" s="874">
        <f t="shared" si="10"/>
        <v>600000</v>
      </c>
      <c r="H47" s="874"/>
      <c r="I47" s="874"/>
      <c r="J47" s="874"/>
      <c r="K47" s="874" t="e">
        <f>VLOOKUP(C47,THCKT!$C$13:$AL$460,21,0)</f>
        <v>#N/A</v>
      </c>
      <c r="L47" s="883">
        <f>VLOOKUP(C47,THCKT!$C$13:$AL$460,22,0)</f>
        <v>0</v>
      </c>
      <c r="M47" s="883">
        <f>VLOOKUP(C47,THCKT!$C$13:$AL$460,23,0)</f>
        <v>0</v>
      </c>
      <c r="N47" s="883" t="e">
        <f t="shared" si="11"/>
        <v>#N/A</v>
      </c>
      <c r="O47" s="883" t="e">
        <f t="shared" si="2"/>
        <v>#N/A</v>
      </c>
      <c r="P47" s="884" t="e">
        <f>VLOOKUP(C47,THCKT!$C$13:$AL$460,36,0)</f>
        <v>#N/A</v>
      </c>
      <c r="Q47" s="887" t="e">
        <f t="shared" si="6"/>
        <v>#N/A</v>
      </c>
      <c r="R47" s="874" t="e">
        <f>VLOOKUP(C47,'LƯƠNG KT'!$D$15:$P$94,16,0)</f>
        <v>#N/A</v>
      </c>
      <c r="S47" s="874" t="e">
        <f>VLOOKUP(C47,'LƯƠNG KT'!$D$15:$P$94,17,0)</f>
        <v>#N/A</v>
      </c>
      <c r="T47" s="874" t="e">
        <f>VLOOKUP(C47,'LƯƠNG KT'!$D$15:$P$94,18,0)</f>
        <v>#N/A</v>
      </c>
      <c r="U47" s="874" t="e">
        <f>VLOOKUP(C47,'LƯƠNG KT'!$D$15:$P$94,18,0)</f>
        <v>#N/A</v>
      </c>
      <c r="V47" s="874" t="e">
        <f>VLOOKUP(C47,'LƯƠNG KT'!$D$15:$P$94,19,0)</f>
        <v>#N/A</v>
      </c>
      <c r="W47" s="874" t="e">
        <f>VLOOKUP(C47,'LƯƠNG KT'!$D$15:$P$94,20,0)</f>
        <v>#N/A</v>
      </c>
      <c r="X47" s="874" t="e">
        <f>VLOOKUP(C47,'LƯƠNG KT'!$D$15:$P$94,22,0)</f>
        <v>#N/A</v>
      </c>
      <c r="Y47" s="874" t="e">
        <f>VLOOKUP(C47,'LƯƠNG KT'!$D$15:$P$94,23,0)</f>
        <v>#N/A</v>
      </c>
      <c r="Z47" s="874" t="e">
        <f>VLOOKUP(C47,'LƯƠNG KT'!$D$15:$P$94,24,0)</f>
        <v>#N/A</v>
      </c>
      <c r="AA47" s="874">
        <v>20</v>
      </c>
      <c r="AB47" s="874"/>
      <c r="AC47" s="889" t="e">
        <f t="shared" si="7"/>
        <v>#N/A</v>
      </c>
      <c r="AD47" s="889" t="e">
        <f t="shared" si="12"/>
        <v>#N/A</v>
      </c>
      <c r="AE47" s="889" t="e">
        <f t="shared" si="13"/>
        <v>#N/A</v>
      </c>
      <c r="AF47" s="891">
        <v>5012210.7131367996</v>
      </c>
      <c r="AG47" s="559" t="e">
        <f t="shared" si="15"/>
        <v>#N/A</v>
      </c>
      <c r="AH47" s="637">
        <v>4</v>
      </c>
    </row>
    <row r="48" spans="1:34" s="540" customFormat="1" ht="20.25" customHeight="1">
      <c r="A48" s="868">
        <v>34</v>
      </c>
      <c r="B48" s="1644" t="str">
        <f>VLOOKUP(C48,'DS CN MOI UP'!$B$10:$C$389,2,0)</f>
        <v>02626</v>
      </c>
      <c r="C48" s="870" t="s">
        <v>319</v>
      </c>
      <c r="D48" s="875" t="s">
        <v>15</v>
      </c>
      <c r="E48" s="872"/>
      <c r="F48" s="873">
        <f>+VLOOKUP($C$15:$C$77,THCKT!$C$397:$AE$460,17,0)</f>
        <v>24</v>
      </c>
      <c r="G48" s="874">
        <f t="shared" si="10"/>
        <v>600000</v>
      </c>
      <c r="H48" s="874"/>
      <c r="I48" s="874"/>
      <c r="J48" s="874"/>
      <c r="K48" s="874" t="e">
        <f>VLOOKUP(C48,THCKT!$C$13:$AL$460,21,0)</f>
        <v>#N/A</v>
      </c>
      <c r="L48" s="883">
        <f>VLOOKUP(C48,THCKT!$C$13:$AL$460,22,0)</f>
        <v>0</v>
      </c>
      <c r="M48" s="883">
        <f>VLOOKUP(C48,THCKT!$C$13:$AL$460,23,0)</f>
        <v>0</v>
      </c>
      <c r="N48" s="883" t="e">
        <f t="shared" si="11"/>
        <v>#N/A</v>
      </c>
      <c r="O48" s="883" t="e">
        <f t="shared" si="2"/>
        <v>#N/A</v>
      </c>
      <c r="P48" s="884" t="e">
        <f>VLOOKUP(C48,THCKT!$C$13:$AL$460,36,0)</f>
        <v>#N/A</v>
      </c>
      <c r="Q48" s="887" t="e">
        <f t="shared" si="6"/>
        <v>#N/A</v>
      </c>
      <c r="R48" s="874" t="e">
        <f>VLOOKUP(C48,'LƯƠNG KT'!$D$15:$P$94,16,0)</f>
        <v>#N/A</v>
      </c>
      <c r="S48" s="874" t="e">
        <f>VLOOKUP(C48,'LƯƠNG KT'!$D$15:$P$94,17,0)</f>
        <v>#N/A</v>
      </c>
      <c r="T48" s="874" t="e">
        <f>VLOOKUP(C48,'LƯƠNG KT'!$D$15:$P$94,18,0)</f>
        <v>#N/A</v>
      </c>
      <c r="U48" s="874" t="e">
        <f>VLOOKUP(C48,'LƯƠNG KT'!$D$15:$P$94,18,0)</f>
        <v>#N/A</v>
      </c>
      <c r="V48" s="874" t="e">
        <f>VLOOKUP(C48,'LƯƠNG KT'!$D$15:$P$94,19,0)</f>
        <v>#N/A</v>
      </c>
      <c r="W48" s="874" t="e">
        <f>VLOOKUP(C48,'LƯƠNG KT'!$D$15:$P$94,20,0)</f>
        <v>#N/A</v>
      </c>
      <c r="X48" s="874" t="e">
        <f>VLOOKUP(C48,'LƯƠNG KT'!$D$15:$P$94,22,0)</f>
        <v>#N/A</v>
      </c>
      <c r="Y48" s="874" t="e">
        <f>VLOOKUP(C48,'LƯƠNG KT'!$D$15:$P$94,23,0)</f>
        <v>#N/A</v>
      </c>
      <c r="Z48" s="874" t="e">
        <f>VLOOKUP(C48,'LƯƠNG KT'!$D$15:$P$94,24,0)</f>
        <v>#N/A</v>
      </c>
      <c r="AA48" s="874">
        <v>20</v>
      </c>
      <c r="AB48" s="874"/>
      <c r="AC48" s="889" t="e">
        <f t="shared" si="7"/>
        <v>#N/A</v>
      </c>
      <c r="AD48" s="889" t="e">
        <f t="shared" si="12"/>
        <v>#N/A</v>
      </c>
      <c r="AE48" s="889" t="e">
        <f t="shared" si="13"/>
        <v>#N/A</v>
      </c>
      <c r="AF48" s="891">
        <v>4021336.33229652</v>
      </c>
      <c r="AG48" s="559" t="e">
        <f t="shared" si="15"/>
        <v>#N/A</v>
      </c>
      <c r="AH48" s="637">
        <v>5</v>
      </c>
    </row>
    <row r="49" spans="1:34" s="540" customFormat="1" ht="20.25" customHeight="1">
      <c r="A49" s="868">
        <v>35</v>
      </c>
      <c r="B49" s="1644" t="str">
        <f>VLOOKUP(C49,'DS CN MOI UP'!$B$10:$C$389,2,0)</f>
        <v>02627</v>
      </c>
      <c r="C49" s="870" t="s">
        <v>320</v>
      </c>
      <c r="D49" s="875" t="s">
        <v>15</v>
      </c>
      <c r="E49" s="872"/>
      <c r="F49" s="873">
        <f>+VLOOKUP($C$15:$C$77,THCKT!$C$397:$AE$460,17,0)</f>
        <v>24</v>
      </c>
      <c r="G49" s="874">
        <f t="shared" si="10"/>
        <v>600000</v>
      </c>
      <c r="H49" s="874"/>
      <c r="I49" s="874"/>
      <c r="J49" s="874"/>
      <c r="K49" s="874" t="e">
        <f>VLOOKUP(C49,THCKT!$C$13:$AL$460,21,0)</f>
        <v>#N/A</v>
      </c>
      <c r="L49" s="883">
        <f>VLOOKUP(C49,THCKT!$C$13:$AL$460,22,0)</f>
        <v>0</v>
      </c>
      <c r="M49" s="883">
        <f>VLOOKUP(C49,THCKT!$C$13:$AL$460,23,0)</f>
        <v>0</v>
      </c>
      <c r="N49" s="883" t="e">
        <f t="shared" si="11"/>
        <v>#N/A</v>
      </c>
      <c r="O49" s="883" t="e">
        <f t="shared" si="2"/>
        <v>#N/A</v>
      </c>
      <c r="P49" s="884" t="e">
        <f>VLOOKUP(C49,THCKT!$C$13:$AL$460,36,0)</f>
        <v>#N/A</v>
      </c>
      <c r="Q49" s="887" t="e">
        <f t="shared" si="6"/>
        <v>#N/A</v>
      </c>
      <c r="R49" s="874" t="e">
        <f>VLOOKUP(C49,'LƯƠNG KT'!$D$15:$P$94,16,0)</f>
        <v>#N/A</v>
      </c>
      <c r="S49" s="874" t="e">
        <f>VLOOKUP(C49,'LƯƠNG KT'!$D$15:$P$94,17,0)</f>
        <v>#N/A</v>
      </c>
      <c r="T49" s="874" t="e">
        <f>VLOOKUP(C49,'LƯƠNG KT'!$D$15:$P$94,18,0)</f>
        <v>#N/A</v>
      </c>
      <c r="U49" s="874" t="e">
        <f>VLOOKUP(C49,'LƯƠNG KT'!$D$15:$P$94,18,0)</f>
        <v>#N/A</v>
      </c>
      <c r="V49" s="874" t="e">
        <f>VLOOKUP(C49,'LƯƠNG KT'!$D$15:$P$94,19,0)</f>
        <v>#N/A</v>
      </c>
      <c r="W49" s="874" t="e">
        <f>VLOOKUP(C49,'LƯƠNG KT'!$D$15:$P$94,20,0)</f>
        <v>#N/A</v>
      </c>
      <c r="X49" s="874" t="e">
        <f>VLOOKUP(C49,'LƯƠNG KT'!$D$15:$P$94,22,0)</f>
        <v>#N/A</v>
      </c>
      <c r="Y49" s="874" t="e">
        <f>VLOOKUP(C49,'LƯƠNG KT'!$D$15:$P$94,23,0)</f>
        <v>#N/A</v>
      </c>
      <c r="Z49" s="874" t="e">
        <f>VLOOKUP(C49,'LƯƠNG KT'!$D$15:$P$94,24,0)</f>
        <v>#N/A</v>
      </c>
      <c r="AA49" s="874">
        <v>20</v>
      </c>
      <c r="AB49" s="874"/>
      <c r="AC49" s="889" t="e">
        <f t="shared" si="7"/>
        <v>#N/A</v>
      </c>
      <c r="AD49" s="889" t="e">
        <f t="shared" si="12"/>
        <v>#N/A</v>
      </c>
      <c r="AE49" s="889" t="e">
        <f t="shared" si="13"/>
        <v>#N/A</v>
      </c>
      <c r="AF49" s="891">
        <v>4047817.9137059702</v>
      </c>
      <c r="AG49" s="559" t="e">
        <f t="shared" si="15"/>
        <v>#N/A</v>
      </c>
      <c r="AH49" s="637">
        <v>5</v>
      </c>
    </row>
    <row r="50" spans="1:34" s="540" customFormat="1" ht="20.25" customHeight="1">
      <c r="A50" s="868">
        <v>36</v>
      </c>
      <c r="B50" s="1644" t="str">
        <f>VLOOKUP(C50,'DS CN MOI UP'!$B$10:$C$389,2,0)</f>
        <v>02628</v>
      </c>
      <c r="C50" s="870" t="s">
        <v>321</v>
      </c>
      <c r="D50" s="871" t="s">
        <v>15</v>
      </c>
      <c r="E50" s="872"/>
      <c r="F50" s="873">
        <f>+VLOOKUP($C$15:$C$77,THCKT!$C$397:$AE$460,17,0)</f>
        <v>24</v>
      </c>
      <c r="G50" s="874">
        <f t="shared" si="10"/>
        <v>600000</v>
      </c>
      <c r="H50" s="874"/>
      <c r="I50" s="874"/>
      <c r="J50" s="874"/>
      <c r="K50" s="874" t="e">
        <f>VLOOKUP(C50,THCKT!$C$13:$AL$460,21,0)</f>
        <v>#N/A</v>
      </c>
      <c r="L50" s="883">
        <f>VLOOKUP(C50,THCKT!$C$13:$AL$460,22,0)</f>
        <v>0</v>
      </c>
      <c r="M50" s="883">
        <f>VLOOKUP(C50,THCKT!$C$13:$AL$460,23,0)</f>
        <v>0</v>
      </c>
      <c r="N50" s="883" t="e">
        <f t="shared" si="11"/>
        <v>#N/A</v>
      </c>
      <c r="O50" s="883" t="e">
        <f t="shared" si="2"/>
        <v>#N/A</v>
      </c>
      <c r="P50" s="884" t="e">
        <f>VLOOKUP(C50,THCKT!$C$13:$AL$460,36,0)</f>
        <v>#N/A</v>
      </c>
      <c r="Q50" s="887" t="e">
        <f t="shared" si="6"/>
        <v>#N/A</v>
      </c>
      <c r="R50" s="874" t="e">
        <f>VLOOKUP(C50,'LƯƠNG KT'!$D$15:$P$94,16,0)</f>
        <v>#N/A</v>
      </c>
      <c r="S50" s="874" t="e">
        <f>VLOOKUP(C50,'LƯƠNG KT'!$D$15:$P$94,17,0)</f>
        <v>#N/A</v>
      </c>
      <c r="T50" s="874" t="e">
        <f>VLOOKUP(C50,'LƯƠNG KT'!$D$15:$P$94,18,0)</f>
        <v>#N/A</v>
      </c>
      <c r="U50" s="874" t="e">
        <f>VLOOKUP(C50,'LƯƠNG KT'!$D$15:$P$94,18,0)</f>
        <v>#N/A</v>
      </c>
      <c r="V50" s="874" t="e">
        <f>VLOOKUP(C50,'LƯƠNG KT'!$D$15:$P$94,19,0)</f>
        <v>#N/A</v>
      </c>
      <c r="W50" s="874" t="e">
        <f>VLOOKUP(C50,'LƯƠNG KT'!$D$15:$P$94,20,0)</f>
        <v>#N/A</v>
      </c>
      <c r="X50" s="874" t="e">
        <f>VLOOKUP(C50,'LƯƠNG KT'!$D$15:$P$94,22,0)</f>
        <v>#N/A</v>
      </c>
      <c r="Y50" s="874" t="e">
        <f>VLOOKUP(C50,'LƯƠNG KT'!$D$15:$P$94,23,0)</f>
        <v>#N/A</v>
      </c>
      <c r="Z50" s="874" t="e">
        <f>VLOOKUP(C50,'LƯƠNG KT'!$D$15:$P$94,24,0)</f>
        <v>#N/A</v>
      </c>
      <c r="AA50" s="874">
        <v>20</v>
      </c>
      <c r="AB50" s="874"/>
      <c r="AC50" s="889" t="e">
        <f t="shared" si="7"/>
        <v>#N/A</v>
      </c>
      <c r="AD50" s="889" t="e">
        <f t="shared" si="12"/>
        <v>#N/A</v>
      </c>
      <c r="AE50" s="889" t="e">
        <f t="shared" si="13"/>
        <v>#N/A</v>
      </c>
      <c r="AF50" s="891">
        <v>3484752.3341679801</v>
      </c>
      <c r="AG50" s="559" t="e">
        <f t="shared" si="15"/>
        <v>#N/A</v>
      </c>
      <c r="AH50" s="637">
        <v>5</v>
      </c>
    </row>
    <row r="51" spans="1:34" s="540" customFormat="1" ht="20.25" customHeight="1">
      <c r="A51" s="868">
        <v>37</v>
      </c>
      <c r="B51" s="1644" t="str">
        <f>VLOOKUP(C51,'DS CN MOI UP'!$B$10:$C$389,2,0)</f>
        <v>03405</v>
      </c>
      <c r="C51" s="870" t="s">
        <v>322</v>
      </c>
      <c r="D51" s="871" t="s">
        <v>15</v>
      </c>
      <c r="E51" s="872"/>
      <c r="F51" s="873">
        <f>+VLOOKUP($C$15:$C$77,THCKT!$C$397:$AE$460,17,0)</f>
        <v>24</v>
      </c>
      <c r="G51" s="874">
        <f t="shared" si="10"/>
        <v>600000</v>
      </c>
      <c r="H51" s="874"/>
      <c r="I51" s="874"/>
      <c r="J51" s="874"/>
      <c r="K51" s="874" t="e">
        <f>VLOOKUP(C51,THCKT!$C$13:$AL$460,21,0)</f>
        <v>#N/A</v>
      </c>
      <c r="L51" s="883">
        <f>VLOOKUP(C51,THCKT!$C$13:$AL$460,22,0)</f>
        <v>0</v>
      </c>
      <c r="M51" s="883">
        <f>VLOOKUP(C51,THCKT!$C$13:$AL$460,23,0)</f>
        <v>0</v>
      </c>
      <c r="N51" s="883" t="e">
        <f t="shared" si="11"/>
        <v>#N/A</v>
      </c>
      <c r="O51" s="883" t="e">
        <f t="shared" si="2"/>
        <v>#N/A</v>
      </c>
      <c r="P51" s="884" t="e">
        <f>VLOOKUP(C51,THCKT!$C$13:$AL$460,36,0)</f>
        <v>#N/A</v>
      </c>
      <c r="Q51" s="887" t="e">
        <f t="shared" si="6"/>
        <v>#N/A</v>
      </c>
      <c r="R51" s="874" t="e">
        <f>VLOOKUP(C51,'LƯƠNG KT'!$D$15:$P$94,16,0)</f>
        <v>#N/A</v>
      </c>
      <c r="S51" s="874" t="e">
        <f>VLOOKUP(C51,'LƯƠNG KT'!$D$15:$P$94,17,0)</f>
        <v>#N/A</v>
      </c>
      <c r="T51" s="874" t="e">
        <f>VLOOKUP(C51,'LƯƠNG KT'!$D$15:$P$94,18,0)</f>
        <v>#N/A</v>
      </c>
      <c r="U51" s="874" t="e">
        <f>VLOOKUP(C51,'LƯƠNG KT'!$D$15:$P$94,18,0)</f>
        <v>#N/A</v>
      </c>
      <c r="V51" s="874" t="e">
        <f>VLOOKUP(C51,'LƯƠNG KT'!$D$15:$P$94,19,0)</f>
        <v>#N/A</v>
      </c>
      <c r="W51" s="874" t="e">
        <f>VLOOKUP(C51,'LƯƠNG KT'!$D$15:$P$94,20,0)</f>
        <v>#N/A</v>
      </c>
      <c r="X51" s="874" t="e">
        <f>VLOOKUP(C51,'LƯƠNG KT'!$D$15:$P$94,22,0)</f>
        <v>#N/A</v>
      </c>
      <c r="Y51" s="874" t="e">
        <f>VLOOKUP(C51,'LƯƠNG KT'!$D$15:$P$94,23,0)</f>
        <v>#N/A</v>
      </c>
      <c r="Z51" s="874" t="e">
        <f>VLOOKUP(C51,'LƯƠNG KT'!$D$15:$P$94,24,0)</f>
        <v>#N/A</v>
      </c>
      <c r="AA51" s="874">
        <v>20</v>
      </c>
      <c r="AB51" s="874"/>
      <c r="AC51" s="889" t="e">
        <f t="shared" si="7"/>
        <v>#N/A</v>
      </c>
      <c r="AD51" s="889" t="e">
        <f t="shared" si="12"/>
        <v>#N/A</v>
      </c>
      <c r="AE51" s="889" t="e">
        <f t="shared" si="13"/>
        <v>#N/A</v>
      </c>
      <c r="AF51" s="891">
        <v>4763239.0483112298</v>
      </c>
      <c r="AG51" s="559" t="e">
        <f t="shared" si="15"/>
        <v>#N/A</v>
      </c>
      <c r="AH51" s="637">
        <v>5</v>
      </c>
    </row>
    <row r="52" spans="1:34" s="540" customFormat="1" ht="20.25" customHeight="1">
      <c r="A52" s="868">
        <v>38</v>
      </c>
      <c r="B52" s="1644" t="str">
        <f>VLOOKUP(C52,'DS CN MOI UP'!$B$10:$C$389,2,0)</f>
        <v>02629</v>
      </c>
      <c r="C52" s="870" t="s">
        <v>323</v>
      </c>
      <c r="D52" s="871" t="s">
        <v>15</v>
      </c>
      <c r="E52" s="872"/>
      <c r="F52" s="873">
        <f>+VLOOKUP($C$15:$C$77,THCKT!$C$397:$AE$460,17,0)</f>
        <v>24</v>
      </c>
      <c r="G52" s="874">
        <f t="shared" si="10"/>
        <v>600000</v>
      </c>
      <c r="H52" s="874"/>
      <c r="I52" s="874"/>
      <c r="J52" s="874"/>
      <c r="K52" s="874" t="e">
        <f>VLOOKUP(C52,THCKT!$C$13:$AL$460,21,0)</f>
        <v>#N/A</v>
      </c>
      <c r="L52" s="883">
        <f>VLOOKUP(C52,THCKT!$C$13:$AL$460,22,0)</f>
        <v>0</v>
      </c>
      <c r="M52" s="883">
        <f>VLOOKUP(C52,THCKT!$C$13:$AL$460,23,0)</f>
        <v>0</v>
      </c>
      <c r="N52" s="883" t="e">
        <f t="shared" si="11"/>
        <v>#N/A</v>
      </c>
      <c r="O52" s="883" t="e">
        <f t="shared" si="2"/>
        <v>#N/A</v>
      </c>
      <c r="P52" s="884" t="e">
        <f>VLOOKUP(C52,THCKT!$C$13:$AL$460,36,0)</f>
        <v>#N/A</v>
      </c>
      <c r="Q52" s="887" t="e">
        <f t="shared" si="6"/>
        <v>#N/A</v>
      </c>
      <c r="R52" s="874" t="e">
        <f>VLOOKUP(C52,'LƯƠNG KT'!$D$15:$P$94,16,0)</f>
        <v>#N/A</v>
      </c>
      <c r="S52" s="874" t="e">
        <f>VLOOKUP(C52,'LƯƠNG KT'!$D$15:$P$94,17,0)</f>
        <v>#N/A</v>
      </c>
      <c r="T52" s="874" t="e">
        <f>VLOOKUP(C52,'LƯƠNG KT'!$D$15:$P$94,18,0)</f>
        <v>#N/A</v>
      </c>
      <c r="U52" s="874" t="e">
        <f>VLOOKUP(C52,'LƯƠNG KT'!$D$15:$P$94,18,0)</f>
        <v>#N/A</v>
      </c>
      <c r="V52" s="874" t="e">
        <f>VLOOKUP(C52,'LƯƠNG KT'!$D$15:$P$94,19,0)</f>
        <v>#N/A</v>
      </c>
      <c r="W52" s="874" t="e">
        <f>VLOOKUP(C52,'LƯƠNG KT'!$D$15:$P$94,20,0)</f>
        <v>#N/A</v>
      </c>
      <c r="X52" s="874" t="e">
        <f>VLOOKUP(C52,'LƯƠNG KT'!$D$15:$P$94,22,0)</f>
        <v>#N/A</v>
      </c>
      <c r="Y52" s="874" t="e">
        <f>VLOOKUP(C52,'LƯƠNG KT'!$D$15:$P$94,23,0)</f>
        <v>#N/A</v>
      </c>
      <c r="Z52" s="874" t="e">
        <f>VLOOKUP(C52,'LƯƠNG KT'!$D$15:$P$94,24,0)</f>
        <v>#N/A</v>
      </c>
      <c r="AA52" s="874">
        <v>20</v>
      </c>
      <c r="AB52" s="874"/>
      <c r="AC52" s="889" t="e">
        <f t="shared" si="7"/>
        <v>#N/A</v>
      </c>
      <c r="AD52" s="889" t="e">
        <f t="shared" si="12"/>
        <v>#N/A</v>
      </c>
      <c r="AE52" s="889" t="e">
        <f t="shared" si="13"/>
        <v>#N/A</v>
      </c>
      <c r="AF52" s="891">
        <v>4375471.8240695298</v>
      </c>
      <c r="AG52" s="559" t="e">
        <f t="shared" si="15"/>
        <v>#N/A</v>
      </c>
      <c r="AH52" s="637">
        <v>5</v>
      </c>
    </row>
    <row r="53" spans="1:34" s="540" customFormat="1" ht="20.25" customHeight="1">
      <c r="A53" s="868">
        <v>39</v>
      </c>
      <c r="B53" s="1644" t="str">
        <f>VLOOKUP(C53,'DS CN MOI UP'!$B$10:$C$389,2,0)</f>
        <v>02630</v>
      </c>
      <c r="C53" s="870" t="s">
        <v>324</v>
      </c>
      <c r="D53" s="871" t="s">
        <v>15</v>
      </c>
      <c r="E53" s="872"/>
      <c r="F53" s="873">
        <f>+VLOOKUP($C$15:$C$77,THCKT!$C$397:$AE$460,17,0)</f>
        <v>24</v>
      </c>
      <c r="G53" s="874">
        <f t="shared" si="10"/>
        <v>600000</v>
      </c>
      <c r="H53" s="874"/>
      <c r="I53" s="874"/>
      <c r="J53" s="874"/>
      <c r="K53" s="874" t="e">
        <f>VLOOKUP(C53,THCKT!$C$13:$AL$460,21,0)</f>
        <v>#N/A</v>
      </c>
      <c r="L53" s="883">
        <f>VLOOKUP(C53,THCKT!$C$13:$AL$460,22,0)</f>
        <v>0</v>
      </c>
      <c r="M53" s="883">
        <f>VLOOKUP(C53,THCKT!$C$13:$AL$460,23,0)</f>
        <v>0</v>
      </c>
      <c r="N53" s="883" t="e">
        <f t="shared" si="11"/>
        <v>#N/A</v>
      </c>
      <c r="O53" s="883" t="e">
        <f t="shared" si="2"/>
        <v>#N/A</v>
      </c>
      <c r="P53" s="884" t="e">
        <f>VLOOKUP(C53,THCKT!$C$13:$AL$460,36,0)</f>
        <v>#N/A</v>
      </c>
      <c r="Q53" s="887" t="e">
        <f t="shared" si="6"/>
        <v>#N/A</v>
      </c>
      <c r="R53" s="874" t="e">
        <f>VLOOKUP(C53,'LƯƠNG KT'!$D$15:$P$94,16,0)</f>
        <v>#N/A</v>
      </c>
      <c r="S53" s="874" t="e">
        <f>VLOOKUP(C53,'LƯƠNG KT'!$D$15:$P$94,17,0)</f>
        <v>#N/A</v>
      </c>
      <c r="T53" s="874" t="e">
        <f>VLOOKUP(C53,'LƯƠNG KT'!$D$15:$P$94,18,0)</f>
        <v>#N/A</v>
      </c>
      <c r="U53" s="874" t="e">
        <f>VLOOKUP(C53,'LƯƠNG KT'!$D$15:$P$94,18,0)</f>
        <v>#N/A</v>
      </c>
      <c r="V53" s="874" t="e">
        <f>VLOOKUP(C53,'LƯƠNG KT'!$D$15:$P$94,19,0)</f>
        <v>#N/A</v>
      </c>
      <c r="W53" s="874" t="e">
        <f>VLOOKUP(C53,'LƯƠNG KT'!$D$15:$P$94,20,0)</f>
        <v>#N/A</v>
      </c>
      <c r="X53" s="874" t="e">
        <f>VLOOKUP(C53,'LƯƠNG KT'!$D$15:$P$94,22,0)</f>
        <v>#N/A</v>
      </c>
      <c r="Y53" s="874" t="e">
        <f>VLOOKUP(C53,'LƯƠNG KT'!$D$15:$P$94,23,0)</f>
        <v>#N/A</v>
      </c>
      <c r="Z53" s="874" t="e">
        <f>VLOOKUP(C53,'LƯƠNG KT'!$D$15:$P$94,24,0)</f>
        <v>#N/A</v>
      </c>
      <c r="AA53" s="874">
        <v>20</v>
      </c>
      <c r="AB53" s="874"/>
      <c r="AC53" s="889" t="e">
        <f t="shared" si="7"/>
        <v>#N/A</v>
      </c>
      <c r="AD53" s="889" t="e">
        <f t="shared" si="12"/>
        <v>#N/A</v>
      </c>
      <c r="AE53" s="889" t="e">
        <f t="shared" si="13"/>
        <v>#N/A</v>
      </c>
      <c r="AF53" s="891">
        <v>4198401.5614736201</v>
      </c>
      <c r="AG53" s="559" t="e">
        <f t="shared" si="15"/>
        <v>#N/A</v>
      </c>
      <c r="AH53" s="637">
        <v>5</v>
      </c>
    </row>
    <row r="54" spans="1:34" s="540" customFormat="1" ht="20.25" customHeight="1">
      <c r="A54" s="868">
        <v>40</v>
      </c>
      <c r="B54" s="1644" t="str">
        <f>VLOOKUP(C54,'DS CN MOI UP'!$B$10:$C$389,2,0)</f>
        <v>02631</v>
      </c>
      <c r="C54" s="870" t="s">
        <v>325</v>
      </c>
      <c r="D54" s="871" t="s">
        <v>15</v>
      </c>
      <c r="E54" s="872"/>
      <c r="F54" s="873">
        <f>+VLOOKUP($C$15:$C$77,THCKT!$C$397:$AE$460,17,0)</f>
        <v>24</v>
      </c>
      <c r="G54" s="874">
        <f t="shared" si="10"/>
        <v>600000</v>
      </c>
      <c r="H54" s="874"/>
      <c r="I54" s="874"/>
      <c r="J54" s="874"/>
      <c r="K54" s="874" t="e">
        <f>VLOOKUP(C54,THCKT!$C$13:$AL$460,21,0)</f>
        <v>#N/A</v>
      </c>
      <c r="L54" s="883">
        <f>VLOOKUP(C54,THCKT!$C$13:$AL$460,22,0)</f>
        <v>0</v>
      </c>
      <c r="M54" s="883">
        <f>VLOOKUP(C54,THCKT!$C$13:$AL$460,23,0)</f>
        <v>0</v>
      </c>
      <c r="N54" s="883" t="e">
        <f t="shared" si="11"/>
        <v>#N/A</v>
      </c>
      <c r="O54" s="883" t="e">
        <f t="shared" si="2"/>
        <v>#N/A</v>
      </c>
      <c r="P54" s="884" t="e">
        <f>VLOOKUP(C54,THCKT!$C$13:$AL$460,36,0)</f>
        <v>#N/A</v>
      </c>
      <c r="Q54" s="887" t="e">
        <f t="shared" si="6"/>
        <v>#N/A</v>
      </c>
      <c r="R54" s="874" t="e">
        <f>VLOOKUP(C54,'LƯƠNG KT'!$D$15:$P$94,16,0)</f>
        <v>#N/A</v>
      </c>
      <c r="S54" s="874" t="e">
        <f>VLOOKUP(C54,'LƯƠNG KT'!$D$15:$P$94,17,0)</f>
        <v>#N/A</v>
      </c>
      <c r="T54" s="874" t="e">
        <f>VLOOKUP(C54,'LƯƠNG KT'!$D$15:$P$94,18,0)</f>
        <v>#N/A</v>
      </c>
      <c r="U54" s="874" t="e">
        <f>VLOOKUP(C54,'LƯƠNG KT'!$D$15:$P$94,18,0)</f>
        <v>#N/A</v>
      </c>
      <c r="V54" s="874" t="e">
        <f>VLOOKUP(C54,'LƯƠNG KT'!$D$15:$P$94,19,0)</f>
        <v>#N/A</v>
      </c>
      <c r="W54" s="874" t="e">
        <f>VLOOKUP(C54,'LƯƠNG KT'!$D$15:$P$94,20,0)</f>
        <v>#N/A</v>
      </c>
      <c r="X54" s="874" t="e">
        <f>VLOOKUP(C54,'LƯƠNG KT'!$D$15:$P$94,22,0)</f>
        <v>#N/A</v>
      </c>
      <c r="Y54" s="874" t="e">
        <f>VLOOKUP(C54,'LƯƠNG KT'!$D$15:$P$94,23,0)</f>
        <v>#N/A</v>
      </c>
      <c r="Z54" s="874" t="e">
        <f>VLOOKUP(C54,'LƯƠNG KT'!$D$15:$P$94,24,0)</f>
        <v>#N/A</v>
      </c>
      <c r="AA54" s="874">
        <v>20</v>
      </c>
      <c r="AB54" s="874"/>
      <c r="AC54" s="889" t="e">
        <f t="shared" si="7"/>
        <v>#N/A</v>
      </c>
      <c r="AD54" s="889" t="e">
        <f t="shared" si="12"/>
        <v>#N/A</v>
      </c>
      <c r="AE54" s="889" t="e">
        <f t="shared" si="13"/>
        <v>#N/A</v>
      </c>
      <c r="AF54" s="891">
        <v>4114486.41406351</v>
      </c>
      <c r="AG54" s="559" t="e">
        <f t="shared" si="15"/>
        <v>#N/A</v>
      </c>
      <c r="AH54" s="637">
        <v>5</v>
      </c>
    </row>
    <row r="55" spans="1:34" s="540" customFormat="1" ht="20.25" customHeight="1">
      <c r="A55" s="868">
        <v>41</v>
      </c>
      <c r="B55" s="1644" t="str">
        <f>VLOOKUP(C55,'DS CN MOI UP'!$B$10:$C$389,2,0)</f>
        <v>02632</v>
      </c>
      <c r="C55" s="870" t="s">
        <v>326</v>
      </c>
      <c r="D55" s="871" t="s">
        <v>15</v>
      </c>
      <c r="E55" s="872"/>
      <c r="F55" s="873">
        <f>+VLOOKUP($C$15:$C$77,THCKT!$C$397:$AE$460,17,0)</f>
        <v>24</v>
      </c>
      <c r="G55" s="874">
        <f t="shared" si="10"/>
        <v>600000</v>
      </c>
      <c r="H55" s="874"/>
      <c r="I55" s="874"/>
      <c r="J55" s="874"/>
      <c r="K55" s="874" t="e">
        <f>VLOOKUP(C55,THCKT!$C$13:$AL$460,21,0)</f>
        <v>#N/A</v>
      </c>
      <c r="L55" s="883">
        <f>VLOOKUP(C55,THCKT!$C$13:$AL$460,22,0)</f>
        <v>0</v>
      </c>
      <c r="M55" s="883">
        <f>VLOOKUP(C55,THCKT!$C$13:$AL$460,23,0)</f>
        <v>0</v>
      </c>
      <c r="N55" s="883" t="e">
        <f t="shared" si="11"/>
        <v>#N/A</v>
      </c>
      <c r="O55" s="883" t="e">
        <f t="shared" si="2"/>
        <v>#N/A</v>
      </c>
      <c r="P55" s="884" t="e">
        <f>VLOOKUP(C55,THCKT!$C$13:$AL$460,36,0)</f>
        <v>#N/A</v>
      </c>
      <c r="Q55" s="887" t="e">
        <f t="shared" si="6"/>
        <v>#N/A</v>
      </c>
      <c r="R55" s="874" t="e">
        <f>VLOOKUP(C55,'LƯƠNG KT'!$D$15:$P$94,16,0)</f>
        <v>#N/A</v>
      </c>
      <c r="S55" s="874" t="e">
        <f>VLOOKUP(C55,'LƯƠNG KT'!$D$15:$P$94,17,0)</f>
        <v>#N/A</v>
      </c>
      <c r="T55" s="874" t="e">
        <f>VLOOKUP(C55,'LƯƠNG KT'!$D$15:$P$94,18,0)</f>
        <v>#N/A</v>
      </c>
      <c r="U55" s="874" t="e">
        <f>VLOOKUP(C55,'LƯƠNG KT'!$D$15:$P$94,18,0)</f>
        <v>#N/A</v>
      </c>
      <c r="V55" s="874" t="e">
        <f>VLOOKUP(C55,'LƯƠNG KT'!$D$15:$P$94,19,0)</f>
        <v>#N/A</v>
      </c>
      <c r="W55" s="874" t="e">
        <f>VLOOKUP(C55,'LƯƠNG KT'!$D$15:$P$94,20,0)</f>
        <v>#N/A</v>
      </c>
      <c r="X55" s="874" t="e">
        <f>VLOOKUP(C55,'LƯƠNG KT'!$D$15:$P$94,22,0)</f>
        <v>#N/A</v>
      </c>
      <c r="Y55" s="874" t="e">
        <f>VLOOKUP(C55,'LƯƠNG KT'!$D$15:$P$94,23,0)</f>
        <v>#N/A</v>
      </c>
      <c r="Z55" s="874" t="e">
        <f>VLOOKUP(C55,'LƯƠNG KT'!$D$15:$P$94,24,0)</f>
        <v>#N/A</v>
      </c>
      <c r="AA55" s="874">
        <v>20</v>
      </c>
      <c r="AB55" s="874"/>
      <c r="AC55" s="889" t="e">
        <f t="shared" si="7"/>
        <v>#N/A</v>
      </c>
      <c r="AD55" s="889" t="e">
        <f t="shared" si="12"/>
        <v>#N/A</v>
      </c>
      <c r="AE55" s="889" t="e">
        <f t="shared" si="13"/>
        <v>#N/A</v>
      </c>
      <c r="AF55" s="891">
        <v>3406405.72840166</v>
      </c>
      <c r="AG55" s="559" t="e">
        <f t="shared" si="15"/>
        <v>#N/A</v>
      </c>
      <c r="AH55" s="637">
        <v>5</v>
      </c>
    </row>
    <row r="56" spans="1:34" s="540" customFormat="1" ht="20.25" customHeight="1">
      <c r="A56" s="868">
        <v>42</v>
      </c>
      <c r="B56" s="1644" t="str">
        <f>VLOOKUP(C56,'DS CN MOI UP'!$B$10:$C$389,2,0)</f>
        <v>02633</v>
      </c>
      <c r="C56" s="870" t="s">
        <v>327</v>
      </c>
      <c r="D56" s="871" t="s">
        <v>15</v>
      </c>
      <c r="E56" s="872"/>
      <c r="F56" s="873">
        <f>+VLOOKUP($C$15:$C$77,THCKT!$C$397:$AE$460,17,0)</f>
        <v>24</v>
      </c>
      <c r="G56" s="874">
        <f t="shared" si="10"/>
        <v>600000</v>
      </c>
      <c r="H56" s="874"/>
      <c r="I56" s="874"/>
      <c r="J56" s="874"/>
      <c r="K56" s="874" t="e">
        <f>VLOOKUP(C56,THCKT!$C$13:$AL$460,21,0)</f>
        <v>#N/A</v>
      </c>
      <c r="L56" s="883">
        <f>VLOOKUP(C56,THCKT!$C$13:$AL$460,22,0)</f>
        <v>0</v>
      </c>
      <c r="M56" s="883">
        <f>VLOOKUP(C56,THCKT!$C$13:$AL$460,23,0)</f>
        <v>0</v>
      </c>
      <c r="N56" s="883" t="e">
        <f t="shared" si="11"/>
        <v>#N/A</v>
      </c>
      <c r="O56" s="883" t="e">
        <f t="shared" si="2"/>
        <v>#N/A</v>
      </c>
      <c r="P56" s="884" t="e">
        <f>VLOOKUP(C56,THCKT!$C$13:$AL$460,36,0)</f>
        <v>#N/A</v>
      </c>
      <c r="Q56" s="887" t="e">
        <f t="shared" si="6"/>
        <v>#N/A</v>
      </c>
      <c r="R56" s="874" t="e">
        <f>VLOOKUP(C56,'LƯƠNG KT'!$D$15:$P$94,16,0)</f>
        <v>#N/A</v>
      </c>
      <c r="S56" s="874" t="e">
        <f>VLOOKUP(C56,'LƯƠNG KT'!$D$15:$P$94,17,0)</f>
        <v>#N/A</v>
      </c>
      <c r="T56" s="874" t="e">
        <f>VLOOKUP(C56,'LƯƠNG KT'!$D$15:$P$94,18,0)</f>
        <v>#N/A</v>
      </c>
      <c r="U56" s="874" t="e">
        <f>VLOOKUP(C56,'LƯƠNG KT'!$D$15:$P$94,18,0)</f>
        <v>#N/A</v>
      </c>
      <c r="V56" s="874" t="e">
        <f>VLOOKUP(C56,'LƯƠNG KT'!$D$15:$P$94,19,0)</f>
        <v>#N/A</v>
      </c>
      <c r="W56" s="874" t="e">
        <f>VLOOKUP(C56,'LƯƠNG KT'!$D$15:$P$94,20,0)</f>
        <v>#N/A</v>
      </c>
      <c r="X56" s="874" t="e">
        <f>VLOOKUP(C56,'LƯƠNG KT'!$D$15:$P$94,22,0)</f>
        <v>#N/A</v>
      </c>
      <c r="Y56" s="874" t="e">
        <f>VLOOKUP(C56,'LƯƠNG KT'!$D$15:$P$94,23,0)</f>
        <v>#N/A</v>
      </c>
      <c r="Z56" s="874" t="e">
        <f>VLOOKUP(C56,'LƯƠNG KT'!$D$15:$P$94,24,0)</f>
        <v>#N/A</v>
      </c>
      <c r="AA56" s="874">
        <v>20</v>
      </c>
      <c r="AB56" s="874"/>
      <c r="AC56" s="889" t="e">
        <f t="shared" si="7"/>
        <v>#N/A</v>
      </c>
      <c r="AD56" s="889" t="e">
        <f t="shared" si="12"/>
        <v>#N/A</v>
      </c>
      <c r="AE56" s="889" t="e">
        <f t="shared" si="13"/>
        <v>#N/A</v>
      </c>
      <c r="AF56" s="891">
        <v>5402984.6260818802</v>
      </c>
      <c r="AG56" s="559" t="e">
        <f t="shared" si="15"/>
        <v>#N/A</v>
      </c>
      <c r="AH56" s="637">
        <v>5</v>
      </c>
    </row>
    <row r="57" spans="1:34" s="540" customFormat="1" ht="20.25" customHeight="1">
      <c r="A57" s="868">
        <v>43</v>
      </c>
      <c r="B57" s="869">
        <f>VLOOKUP(C57,'DS CN MOI UP'!$B$10:$C$389,2,0)</f>
        <v>3863</v>
      </c>
      <c r="C57" s="870" t="s">
        <v>328</v>
      </c>
      <c r="D57" s="871" t="s">
        <v>15</v>
      </c>
      <c r="E57" s="872"/>
      <c r="F57" s="873">
        <f>+VLOOKUP($C$15:$C$77,THCKT!$C$397:$AE$460,17,0)</f>
        <v>24</v>
      </c>
      <c r="G57" s="874">
        <f t="shared" si="0"/>
        <v>600000</v>
      </c>
      <c r="H57" s="874"/>
      <c r="I57" s="874"/>
      <c r="J57" s="874"/>
      <c r="K57" s="874" t="e">
        <f>VLOOKUP(C57,THCKT!$C$13:$AL$460,21,0)</f>
        <v>#N/A</v>
      </c>
      <c r="L57" s="883">
        <f>VLOOKUP(C57,THCKT!$C$13:$AL$460,22,0)</f>
        <v>0</v>
      </c>
      <c r="M57" s="883">
        <f>VLOOKUP(C57,THCKT!$C$13:$AL$460,23,0)</f>
        <v>0</v>
      </c>
      <c r="N57" s="883" t="e">
        <f t="shared" si="8"/>
        <v>#N/A</v>
      </c>
      <c r="O57" s="883" t="e">
        <f t="shared" si="2"/>
        <v>#N/A</v>
      </c>
      <c r="P57" s="884" t="e">
        <f>VLOOKUP(C57,THCKT!$C$13:$AL$460,36,0)</f>
        <v>#N/A</v>
      </c>
      <c r="Q57" s="887" t="e">
        <f t="shared" si="6"/>
        <v>#N/A</v>
      </c>
      <c r="R57" s="874" t="e">
        <f>VLOOKUP(C57,'LƯƠNG KT'!$D$15:$P$94,16,0)</f>
        <v>#N/A</v>
      </c>
      <c r="S57" s="874" t="e">
        <f>VLOOKUP(C57,'LƯƠNG KT'!$D$15:$P$94,17,0)</f>
        <v>#N/A</v>
      </c>
      <c r="T57" s="874" t="e">
        <f>VLOOKUP(C57,'LƯƠNG KT'!$D$15:$P$94,18,0)</f>
        <v>#N/A</v>
      </c>
      <c r="U57" s="874" t="e">
        <f>VLOOKUP(C57,'LƯƠNG KT'!$D$15:$P$94,18,0)</f>
        <v>#N/A</v>
      </c>
      <c r="V57" s="874" t="e">
        <f>VLOOKUP(C57,'LƯƠNG KT'!$D$15:$P$94,19,0)</f>
        <v>#N/A</v>
      </c>
      <c r="W57" s="874" t="e">
        <f>VLOOKUP(C57,'LƯƠNG KT'!$D$15:$P$94,20,0)</f>
        <v>#N/A</v>
      </c>
      <c r="X57" s="874" t="e">
        <f>VLOOKUP(C57,'LƯƠNG KT'!$D$15:$P$94,22,0)</f>
        <v>#N/A</v>
      </c>
      <c r="Y57" s="874" t="e">
        <f>VLOOKUP(C57,'LƯƠNG KT'!$D$15:$P$94,23,0)</f>
        <v>#N/A</v>
      </c>
      <c r="Z57" s="874" t="e">
        <f>VLOOKUP(C57,'LƯƠNG KT'!$D$15:$P$94,24,0)</f>
        <v>#N/A</v>
      </c>
      <c r="AA57" s="874">
        <v>20</v>
      </c>
      <c r="AB57" s="874"/>
      <c r="AC57" s="889" t="e">
        <f t="shared" si="7"/>
        <v>#N/A</v>
      </c>
      <c r="AD57" s="889" t="e">
        <f t="shared" si="9"/>
        <v>#N/A</v>
      </c>
      <c r="AE57" s="889" t="e">
        <f t="shared" si="4"/>
        <v>#N/A</v>
      </c>
      <c r="AF57" s="891">
        <v>3639305.62228452</v>
      </c>
      <c r="AG57" s="559" t="e">
        <f t="shared" si="5"/>
        <v>#N/A</v>
      </c>
      <c r="AH57" s="637">
        <v>5</v>
      </c>
    </row>
    <row r="58" spans="1:34" s="540" customFormat="1" ht="20.25" customHeight="1">
      <c r="A58" s="868">
        <v>44</v>
      </c>
      <c r="B58" s="1644" t="str">
        <f>VLOOKUP(C58,'DS CN MOI UP'!$B$10:$C$389,2,0)</f>
        <v>02635</v>
      </c>
      <c r="C58" s="870" t="s">
        <v>329</v>
      </c>
      <c r="D58" s="871" t="s">
        <v>15</v>
      </c>
      <c r="E58" s="872"/>
      <c r="F58" s="873">
        <f>+VLOOKUP($C$15:$C$77,THCKT!$C$397:$AE$460,17,0)</f>
        <v>24</v>
      </c>
      <c r="G58" s="874">
        <f t="shared" si="0"/>
        <v>600000</v>
      </c>
      <c r="H58" s="874"/>
      <c r="I58" s="874"/>
      <c r="J58" s="874"/>
      <c r="K58" s="874" t="e">
        <f>VLOOKUP(C58,THCKT!$C$13:$AL$460,21,0)</f>
        <v>#N/A</v>
      </c>
      <c r="L58" s="883">
        <f>VLOOKUP(C58,THCKT!$C$13:$AL$460,22,0)</f>
        <v>0</v>
      </c>
      <c r="M58" s="883">
        <f>VLOOKUP(C58,THCKT!$C$13:$AL$460,23,0)</f>
        <v>0</v>
      </c>
      <c r="N58" s="883" t="e">
        <f t="shared" si="8"/>
        <v>#N/A</v>
      </c>
      <c r="O58" s="883" t="e">
        <f t="shared" si="2"/>
        <v>#N/A</v>
      </c>
      <c r="P58" s="884" t="e">
        <f>VLOOKUP(C58,THCKT!$C$13:$AL$460,36,0)</f>
        <v>#N/A</v>
      </c>
      <c r="Q58" s="887" t="e">
        <f t="shared" si="6"/>
        <v>#N/A</v>
      </c>
      <c r="R58" s="874" t="e">
        <f>VLOOKUP(C58,'LƯƠNG KT'!$D$15:$P$94,16,0)</f>
        <v>#N/A</v>
      </c>
      <c r="S58" s="874" t="e">
        <f>VLOOKUP(C58,'LƯƠNG KT'!$D$15:$P$94,17,0)</f>
        <v>#N/A</v>
      </c>
      <c r="T58" s="874" t="e">
        <f>VLOOKUP(C58,'LƯƠNG KT'!$D$15:$P$94,18,0)</f>
        <v>#N/A</v>
      </c>
      <c r="U58" s="874" t="e">
        <f>VLOOKUP(C58,'LƯƠNG KT'!$D$15:$P$94,18,0)</f>
        <v>#N/A</v>
      </c>
      <c r="V58" s="874" t="e">
        <f>VLOOKUP(C58,'LƯƠNG KT'!$D$15:$P$94,19,0)</f>
        <v>#N/A</v>
      </c>
      <c r="W58" s="874" t="e">
        <f>VLOOKUP(C58,'LƯƠNG KT'!$D$15:$P$94,20,0)</f>
        <v>#N/A</v>
      </c>
      <c r="X58" s="874" t="e">
        <f>VLOOKUP(C58,'LƯƠNG KT'!$D$15:$P$94,22,0)</f>
        <v>#N/A</v>
      </c>
      <c r="Y58" s="874" t="e">
        <f>VLOOKUP(C58,'LƯƠNG KT'!$D$15:$P$94,23,0)</f>
        <v>#N/A</v>
      </c>
      <c r="Z58" s="874" t="e">
        <f>VLOOKUP(C58,'LƯƠNG KT'!$D$15:$P$94,24,0)</f>
        <v>#N/A</v>
      </c>
      <c r="AA58" s="874">
        <v>20</v>
      </c>
      <c r="AB58" s="874"/>
      <c r="AC58" s="889" t="e">
        <f t="shared" si="7"/>
        <v>#N/A</v>
      </c>
      <c r="AD58" s="889" t="e">
        <f t="shared" si="9"/>
        <v>#N/A</v>
      </c>
      <c r="AE58" s="889" t="e">
        <f t="shared" si="4"/>
        <v>#N/A</v>
      </c>
      <c r="AF58" s="891">
        <v>4276677.8257957203</v>
      </c>
      <c r="AG58" s="559" t="e">
        <f t="shared" si="5"/>
        <v>#N/A</v>
      </c>
      <c r="AH58" s="637">
        <v>5</v>
      </c>
    </row>
    <row r="59" spans="1:34" s="540" customFormat="1" ht="20.25" customHeight="1">
      <c r="A59" s="868">
        <v>45</v>
      </c>
      <c r="B59" s="1644" t="str">
        <f>VLOOKUP(C59,'DS CN MOI UP'!$B$10:$C$389,2,0)</f>
        <v>07002</v>
      </c>
      <c r="C59" s="870" t="s">
        <v>330</v>
      </c>
      <c r="D59" s="871" t="s">
        <v>15</v>
      </c>
      <c r="E59" s="872"/>
      <c r="F59" s="873">
        <f>+VLOOKUP($C$15:$C$77,THCKT!$C$397:$AE$460,17,0)</f>
        <v>28</v>
      </c>
      <c r="G59" s="874">
        <f t="shared" si="0"/>
        <v>700000</v>
      </c>
      <c r="H59" s="874"/>
      <c r="I59" s="874"/>
      <c r="J59" s="874"/>
      <c r="K59" s="874" t="e">
        <f>VLOOKUP(C59,THCKT!$C$13:$AL$460,21,0)</f>
        <v>#N/A</v>
      </c>
      <c r="L59" s="883">
        <f>VLOOKUP(C59,THCKT!$C$13:$AL$460,22,0)</f>
        <v>0</v>
      </c>
      <c r="M59" s="883">
        <f>VLOOKUP(C59,THCKT!$C$13:$AL$460,23,0)</f>
        <v>0</v>
      </c>
      <c r="N59" s="883" t="e">
        <f t="shared" si="8"/>
        <v>#N/A</v>
      </c>
      <c r="O59" s="883" t="e">
        <f t="shared" si="2"/>
        <v>#N/A</v>
      </c>
      <c r="P59" s="884" t="e">
        <f>VLOOKUP(C59,THCKT!$C$13:$AL$460,36,0)</f>
        <v>#N/A</v>
      </c>
      <c r="Q59" s="887" t="e">
        <f t="shared" si="6"/>
        <v>#N/A</v>
      </c>
      <c r="R59" s="874" t="e">
        <f>VLOOKUP(C59,'LƯƠNG KT'!$D$15:$P$94,16,0)</f>
        <v>#N/A</v>
      </c>
      <c r="S59" s="874" t="e">
        <f>VLOOKUP(C59,'LƯƠNG KT'!$D$15:$P$94,17,0)</f>
        <v>#N/A</v>
      </c>
      <c r="T59" s="874" t="e">
        <f>VLOOKUP(C59,'LƯƠNG KT'!$D$15:$P$94,18,0)</f>
        <v>#N/A</v>
      </c>
      <c r="U59" s="874" t="e">
        <f>VLOOKUP(C59,'LƯƠNG KT'!$D$15:$P$94,18,0)</f>
        <v>#N/A</v>
      </c>
      <c r="V59" s="874" t="e">
        <f>VLOOKUP(C59,'LƯƠNG KT'!$D$15:$P$94,19,0)</f>
        <v>#N/A</v>
      </c>
      <c r="W59" s="874" t="e">
        <f>VLOOKUP(C59,'LƯƠNG KT'!$D$15:$P$94,20,0)</f>
        <v>#N/A</v>
      </c>
      <c r="X59" s="874" t="e">
        <f>VLOOKUP(C59,'LƯƠNG KT'!$D$15:$P$94,22,0)</f>
        <v>#N/A</v>
      </c>
      <c r="Y59" s="874" t="e">
        <f>VLOOKUP(C59,'LƯƠNG KT'!$D$15:$P$94,23,0)</f>
        <v>#N/A</v>
      </c>
      <c r="Z59" s="874" t="e">
        <f>VLOOKUP(C59,'LƯƠNG KT'!$D$15:$P$94,24,0)</f>
        <v>#N/A</v>
      </c>
      <c r="AA59" s="874">
        <v>20</v>
      </c>
      <c r="AB59" s="874"/>
      <c r="AC59" s="889" t="e">
        <f t="shared" si="7"/>
        <v>#N/A</v>
      </c>
      <c r="AD59" s="889" t="e">
        <f t="shared" si="9"/>
        <v>#N/A</v>
      </c>
      <c r="AE59" s="889" t="e">
        <f t="shared" si="4"/>
        <v>#N/A</v>
      </c>
      <c r="AF59" s="891">
        <v>3402808.9742590901</v>
      </c>
      <c r="AG59" s="559" t="e">
        <f t="shared" si="5"/>
        <v>#N/A</v>
      </c>
      <c r="AH59" s="637">
        <v>5</v>
      </c>
    </row>
    <row r="60" spans="1:34" s="540" customFormat="1" ht="20.25" customHeight="1">
      <c r="A60" s="868">
        <v>46</v>
      </c>
      <c r="B60" s="1644" t="str">
        <f>VLOOKUP(C60,'DS CN MOI UP'!$B$10:$C$389,2,0)</f>
        <v>03859</v>
      </c>
      <c r="C60" s="870" t="s">
        <v>331</v>
      </c>
      <c r="D60" s="871" t="s">
        <v>15</v>
      </c>
      <c r="E60" s="872"/>
      <c r="F60" s="873">
        <f>+VLOOKUP($C$15:$C$77,THCKT!$C$397:$AE$460,17,0)</f>
        <v>24</v>
      </c>
      <c r="G60" s="874">
        <f t="shared" si="0"/>
        <v>600000</v>
      </c>
      <c r="H60" s="874"/>
      <c r="I60" s="874"/>
      <c r="J60" s="874"/>
      <c r="K60" s="874" t="e">
        <f>VLOOKUP(C60,THCKT!$C$13:$AL$460,21,0)</f>
        <v>#N/A</v>
      </c>
      <c r="L60" s="883">
        <f>VLOOKUP(C60,THCKT!$C$13:$AL$460,22,0)</f>
        <v>0</v>
      </c>
      <c r="M60" s="883">
        <f>VLOOKUP(C60,THCKT!$C$13:$AL$460,23,0)</f>
        <v>0</v>
      </c>
      <c r="N60" s="883" t="e">
        <f t="shared" si="8"/>
        <v>#N/A</v>
      </c>
      <c r="O60" s="883" t="e">
        <f t="shared" si="2"/>
        <v>#N/A</v>
      </c>
      <c r="P60" s="884" t="e">
        <f>VLOOKUP(C60,THCKT!$C$13:$AL$460,36,0)</f>
        <v>#N/A</v>
      </c>
      <c r="Q60" s="887" t="e">
        <f t="shared" si="6"/>
        <v>#N/A</v>
      </c>
      <c r="R60" s="874" t="e">
        <f>VLOOKUP(C60,'LƯƠNG KT'!$D$15:$P$94,16,0)</f>
        <v>#N/A</v>
      </c>
      <c r="S60" s="874" t="e">
        <f>VLOOKUP(C60,'LƯƠNG KT'!$D$15:$P$94,17,0)</f>
        <v>#N/A</v>
      </c>
      <c r="T60" s="874" t="e">
        <f>VLOOKUP(C60,'LƯƠNG KT'!$D$15:$P$94,18,0)</f>
        <v>#N/A</v>
      </c>
      <c r="U60" s="874" t="e">
        <f>VLOOKUP(C60,'LƯƠNG KT'!$D$15:$P$94,18,0)</f>
        <v>#N/A</v>
      </c>
      <c r="V60" s="874" t="e">
        <f>VLOOKUP(C60,'LƯƠNG KT'!$D$15:$P$94,19,0)</f>
        <v>#N/A</v>
      </c>
      <c r="W60" s="874" t="e">
        <f>VLOOKUP(C60,'LƯƠNG KT'!$D$15:$P$94,20,0)</f>
        <v>#N/A</v>
      </c>
      <c r="X60" s="874" t="e">
        <f>VLOOKUP(C60,'LƯƠNG KT'!$D$15:$P$94,22,0)</f>
        <v>#N/A</v>
      </c>
      <c r="Y60" s="874" t="e">
        <f>VLOOKUP(C60,'LƯƠNG KT'!$D$15:$P$94,23,0)</f>
        <v>#N/A</v>
      </c>
      <c r="Z60" s="874" t="e">
        <f>VLOOKUP(C60,'LƯƠNG KT'!$D$15:$P$94,24,0)</f>
        <v>#N/A</v>
      </c>
      <c r="AA60" s="874">
        <v>20</v>
      </c>
      <c r="AB60" s="874"/>
      <c r="AC60" s="889" t="e">
        <f t="shared" si="7"/>
        <v>#N/A</v>
      </c>
      <c r="AD60" s="889" t="e">
        <f t="shared" si="9"/>
        <v>#N/A</v>
      </c>
      <c r="AE60" s="889" t="e">
        <f t="shared" si="4"/>
        <v>#N/A</v>
      </c>
      <c r="AF60" s="891">
        <v>3062689.81390823</v>
      </c>
      <c r="AG60" s="559" t="e">
        <f t="shared" si="5"/>
        <v>#N/A</v>
      </c>
      <c r="AH60" s="637">
        <v>5</v>
      </c>
    </row>
    <row r="61" spans="1:34" s="540" customFormat="1" ht="20.25" customHeight="1">
      <c r="A61" s="868">
        <v>47</v>
      </c>
      <c r="B61" s="1644" t="str">
        <f>VLOOKUP(C61,'DS CN MOI UP'!$B$10:$C$389,2,0)</f>
        <v>03411</v>
      </c>
      <c r="C61" s="870" t="s">
        <v>332</v>
      </c>
      <c r="D61" s="871" t="s">
        <v>15</v>
      </c>
      <c r="E61" s="872"/>
      <c r="F61" s="873">
        <f>+VLOOKUP($C$15:$C$77,THCKT!$C$397:$AE$460,17,0)</f>
        <v>24</v>
      </c>
      <c r="G61" s="874">
        <f t="shared" si="0"/>
        <v>600000</v>
      </c>
      <c r="H61" s="874"/>
      <c r="I61" s="874"/>
      <c r="J61" s="874"/>
      <c r="K61" s="874" t="e">
        <f>VLOOKUP(C61,THCKT!$C$13:$AL$460,21,0)</f>
        <v>#N/A</v>
      </c>
      <c r="L61" s="883">
        <f>VLOOKUP(C61,THCKT!$C$13:$AL$460,22,0)</f>
        <v>0</v>
      </c>
      <c r="M61" s="883">
        <f>VLOOKUP(C61,THCKT!$C$13:$AL$460,23,0)</f>
        <v>0</v>
      </c>
      <c r="N61" s="883" t="e">
        <f t="shared" si="8"/>
        <v>#N/A</v>
      </c>
      <c r="O61" s="883" t="e">
        <f t="shared" si="2"/>
        <v>#N/A</v>
      </c>
      <c r="P61" s="884" t="e">
        <f>VLOOKUP(C61,THCKT!$C$13:$AL$460,36,0)</f>
        <v>#N/A</v>
      </c>
      <c r="Q61" s="887" t="e">
        <f t="shared" si="6"/>
        <v>#N/A</v>
      </c>
      <c r="R61" s="874" t="e">
        <f>VLOOKUP(C61,'LƯƠNG KT'!$D$15:$P$94,16,0)</f>
        <v>#N/A</v>
      </c>
      <c r="S61" s="874" t="e">
        <f>VLOOKUP(C61,'LƯƠNG KT'!$D$15:$P$94,17,0)</f>
        <v>#N/A</v>
      </c>
      <c r="T61" s="874" t="e">
        <f>VLOOKUP(C61,'LƯƠNG KT'!$D$15:$P$94,18,0)</f>
        <v>#N/A</v>
      </c>
      <c r="U61" s="874" t="e">
        <f>VLOOKUP(C61,'LƯƠNG KT'!$D$15:$P$94,18,0)</f>
        <v>#N/A</v>
      </c>
      <c r="V61" s="874" t="e">
        <f>VLOOKUP(C61,'LƯƠNG KT'!$D$15:$P$94,19,0)</f>
        <v>#N/A</v>
      </c>
      <c r="W61" s="874" t="e">
        <f>VLOOKUP(C61,'LƯƠNG KT'!$D$15:$P$94,20,0)</f>
        <v>#N/A</v>
      </c>
      <c r="X61" s="874" t="e">
        <f>VLOOKUP(C61,'LƯƠNG KT'!$D$15:$P$94,22,0)</f>
        <v>#N/A</v>
      </c>
      <c r="Y61" s="874" t="e">
        <f>VLOOKUP(C61,'LƯƠNG KT'!$D$15:$P$94,23,0)</f>
        <v>#N/A</v>
      </c>
      <c r="Z61" s="874" t="e">
        <f>VLOOKUP(C61,'LƯƠNG KT'!$D$15:$P$94,24,0)</f>
        <v>#N/A</v>
      </c>
      <c r="AA61" s="874">
        <v>20</v>
      </c>
      <c r="AB61" s="874"/>
      <c r="AC61" s="889" t="e">
        <f t="shared" si="7"/>
        <v>#N/A</v>
      </c>
      <c r="AD61" s="889" t="e">
        <f t="shared" si="9"/>
        <v>#N/A</v>
      </c>
      <c r="AE61" s="889" t="e">
        <f t="shared" si="4"/>
        <v>#N/A</v>
      </c>
      <c r="AF61" s="891">
        <v>4668769.14703173</v>
      </c>
      <c r="AG61" s="559" t="e">
        <f t="shared" si="5"/>
        <v>#N/A</v>
      </c>
      <c r="AH61" s="637">
        <v>5</v>
      </c>
    </row>
    <row r="62" spans="1:34" s="540" customFormat="1" ht="20.25" customHeight="1">
      <c r="A62" s="868">
        <v>48</v>
      </c>
      <c r="B62" s="869" t="e">
        <f>VLOOKUP(C62,'DS CN MOI UP'!$B$10:$C$389,2,0)</f>
        <v>#N/A</v>
      </c>
      <c r="C62" s="870" t="s">
        <v>333</v>
      </c>
      <c r="D62" s="871" t="s">
        <v>15</v>
      </c>
      <c r="E62" s="872"/>
      <c r="F62" s="873">
        <f>+VLOOKUP($C$15:$C$77,THCKT!$C$397:$AE$460,17,0)</f>
        <v>24</v>
      </c>
      <c r="G62" s="874">
        <f t="shared" si="0"/>
        <v>600000</v>
      </c>
      <c r="H62" s="874"/>
      <c r="I62" s="874"/>
      <c r="J62" s="874"/>
      <c r="K62" s="874" t="e">
        <f>VLOOKUP(C62,THCKT!$C$13:$AL$460,21,0)</f>
        <v>#N/A</v>
      </c>
      <c r="L62" s="883">
        <f>VLOOKUP(C62,THCKT!$C$13:$AL$460,22,0)</f>
        <v>0</v>
      </c>
      <c r="M62" s="883">
        <f>VLOOKUP(C62,THCKT!$C$13:$AL$460,23,0)</f>
        <v>0</v>
      </c>
      <c r="N62" s="883" t="e">
        <f t="shared" si="8"/>
        <v>#N/A</v>
      </c>
      <c r="O62" s="883" t="e">
        <f t="shared" si="2"/>
        <v>#N/A</v>
      </c>
      <c r="P62" s="884" t="e">
        <f>VLOOKUP(C62,THCKT!$C$13:$AL$460,36,0)</f>
        <v>#N/A</v>
      </c>
      <c r="Q62" s="887" t="e">
        <f t="shared" si="6"/>
        <v>#N/A</v>
      </c>
      <c r="R62" s="874" t="e">
        <f>VLOOKUP(C62,'LƯƠNG KT'!$D$15:$P$94,16,0)</f>
        <v>#N/A</v>
      </c>
      <c r="S62" s="874" t="e">
        <f>VLOOKUP(C62,'LƯƠNG KT'!$D$15:$P$94,17,0)</f>
        <v>#N/A</v>
      </c>
      <c r="T62" s="874" t="e">
        <f>VLOOKUP(C62,'LƯƠNG KT'!$D$15:$P$94,18,0)</f>
        <v>#N/A</v>
      </c>
      <c r="U62" s="874" t="e">
        <f>VLOOKUP(C62,'LƯƠNG KT'!$D$15:$P$94,18,0)</f>
        <v>#N/A</v>
      </c>
      <c r="V62" s="874" t="e">
        <f>VLOOKUP(C62,'LƯƠNG KT'!$D$15:$P$94,19,0)</f>
        <v>#N/A</v>
      </c>
      <c r="W62" s="874" t="e">
        <f>VLOOKUP(C62,'LƯƠNG KT'!$D$15:$P$94,20,0)</f>
        <v>#N/A</v>
      </c>
      <c r="X62" s="874" t="e">
        <f>VLOOKUP(C62,'LƯƠNG KT'!$D$15:$P$94,22,0)</f>
        <v>#N/A</v>
      </c>
      <c r="Y62" s="874" t="e">
        <f>VLOOKUP(C62,'LƯƠNG KT'!$D$15:$P$94,23,0)</f>
        <v>#N/A</v>
      </c>
      <c r="Z62" s="874" t="e">
        <f>VLOOKUP(C62,'LƯƠNG KT'!$D$15:$P$94,24,0)</f>
        <v>#N/A</v>
      </c>
      <c r="AA62" s="874">
        <v>20</v>
      </c>
      <c r="AB62" s="874"/>
      <c r="AC62" s="889" t="e">
        <f t="shared" si="7"/>
        <v>#N/A</v>
      </c>
      <c r="AD62" s="889" t="e">
        <f t="shared" si="9"/>
        <v>#N/A</v>
      </c>
      <c r="AE62" s="889" t="e">
        <f t="shared" si="4"/>
        <v>#N/A</v>
      </c>
      <c r="AF62" s="891">
        <v>6373428.6375653204</v>
      </c>
      <c r="AG62" s="559" t="e">
        <f t="shared" si="5"/>
        <v>#N/A</v>
      </c>
      <c r="AH62" s="637">
        <v>4</v>
      </c>
    </row>
    <row r="63" spans="1:34" s="540" customFormat="1" ht="20.25" customHeight="1">
      <c r="A63" s="868">
        <v>49</v>
      </c>
      <c r="B63" s="1644" t="str">
        <f>VLOOKUP(C63,'DS CN MOI UP'!$B$10:$C$389,2,0)</f>
        <v>02625</v>
      </c>
      <c r="C63" s="870" t="s">
        <v>334</v>
      </c>
      <c r="D63" s="871" t="s">
        <v>15</v>
      </c>
      <c r="E63" s="872"/>
      <c r="F63" s="873">
        <f>+VLOOKUP($C$15:$C$77,THCKT!$C$397:$AE$460,17,0)</f>
        <v>24</v>
      </c>
      <c r="G63" s="874">
        <f t="shared" si="0"/>
        <v>600000</v>
      </c>
      <c r="H63" s="874"/>
      <c r="I63" s="874"/>
      <c r="J63" s="874"/>
      <c r="K63" s="874" t="e">
        <f>VLOOKUP(C63,THCKT!$C$13:$AL$460,21,0)</f>
        <v>#N/A</v>
      </c>
      <c r="L63" s="883">
        <f>VLOOKUP(C63,THCKT!$C$13:$AL$460,22,0)</f>
        <v>0</v>
      </c>
      <c r="M63" s="883">
        <f>VLOOKUP(C63,THCKT!$C$13:$AL$460,23,0)</f>
        <v>0</v>
      </c>
      <c r="N63" s="883" t="e">
        <f t="shared" si="8"/>
        <v>#N/A</v>
      </c>
      <c r="O63" s="883" t="e">
        <f t="shared" si="2"/>
        <v>#N/A</v>
      </c>
      <c r="P63" s="884" t="e">
        <f>VLOOKUP(C63,THCKT!$C$13:$AL$460,36,0)</f>
        <v>#N/A</v>
      </c>
      <c r="Q63" s="887" t="e">
        <f t="shared" si="6"/>
        <v>#N/A</v>
      </c>
      <c r="R63" s="874" t="e">
        <f>VLOOKUP(C63,'LƯƠNG KT'!$D$15:$P$94,16,0)</f>
        <v>#N/A</v>
      </c>
      <c r="S63" s="874" t="e">
        <f>VLOOKUP(C63,'LƯƠNG KT'!$D$15:$P$94,17,0)</f>
        <v>#N/A</v>
      </c>
      <c r="T63" s="874" t="e">
        <f>VLOOKUP(C63,'LƯƠNG KT'!$D$15:$P$94,18,0)</f>
        <v>#N/A</v>
      </c>
      <c r="U63" s="874" t="e">
        <f>VLOOKUP(C63,'LƯƠNG KT'!$D$15:$P$94,18,0)</f>
        <v>#N/A</v>
      </c>
      <c r="V63" s="874" t="e">
        <f>VLOOKUP(C63,'LƯƠNG KT'!$D$15:$P$94,19,0)</f>
        <v>#N/A</v>
      </c>
      <c r="W63" s="874" t="e">
        <f>VLOOKUP(C63,'LƯƠNG KT'!$D$15:$P$94,20,0)</f>
        <v>#N/A</v>
      </c>
      <c r="X63" s="874" t="e">
        <f>VLOOKUP(C63,'LƯƠNG KT'!$D$15:$P$94,22,0)</f>
        <v>#N/A</v>
      </c>
      <c r="Y63" s="874" t="e">
        <f>VLOOKUP(C63,'LƯƠNG KT'!$D$15:$P$94,23,0)</f>
        <v>#N/A</v>
      </c>
      <c r="Z63" s="874" t="e">
        <f>VLOOKUP(C63,'LƯƠNG KT'!$D$15:$P$94,24,0)</f>
        <v>#N/A</v>
      </c>
      <c r="AA63" s="874">
        <v>20</v>
      </c>
      <c r="AB63" s="874"/>
      <c r="AC63" s="889" t="e">
        <f t="shared" si="7"/>
        <v>#N/A</v>
      </c>
      <c r="AD63" s="889" t="e">
        <f t="shared" si="9"/>
        <v>#N/A</v>
      </c>
      <c r="AE63" s="889" t="e">
        <f t="shared" si="4"/>
        <v>#N/A</v>
      </c>
      <c r="AF63" s="891">
        <v>4538738.8619279498</v>
      </c>
      <c r="AG63" s="559" t="e">
        <f t="shared" si="5"/>
        <v>#N/A</v>
      </c>
      <c r="AH63" s="637">
        <v>5</v>
      </c>
    </row>
    <row r="64" spans="1:34" s="540" customFormat="1" ht="20.25" customHeight="1">
      <c r="A64" s="868">
        <v>50</v>
      </c>
      <c r="B64" s="1644" t="str">
        <f>VLOOKUP(C64,'DS CN MOI UP'!$B$10:$C$389,2,0)</f>
        <v>03862</v>
      </c>
      <c r="C64" s="870" t="s">
        <v>335</v>
      </c>
      <c r="D64" s="871" t="s">
        <v>15</v>
      </c>
      <c r="E64" s="872"/>
      <c r="F64" s="873">
        <f>+VLOOKUP($C$15:$C$77,THCKT!$C$397:$AE$460,17,0)</f>
        <v>24</v>
      </c>
      <c r="G64" s="874">
        <f t="shared" si="0"/>
        <v>600000</v>
      </c>
      <c r="H64" s="874"/>
      <c r="I64" s="874"/>
      <c r="J64" s="874"/>
      <c r="K64" s="874" t="e">
        <f>VLOOKUP(C64,THCKT!$C$13:$AL$460,21,0)</f>
        <v>#N/A</v>
      </c>
      <c r="L64" s="883">
        <f>VLOOKUP(C64,THCKT!$C$13:$AL$460,22,0)</f>
        <v>0</v>
      </c>
      <c r="M64" s="883">
        <f>VLOOKUP(C64,THCKT!$C$13:$AL$460,23,0)</f>
        <v>0</v>
      </c>
      <c r="N64" s="883" t="e">
        <f t="shared" si="8"/>
        <v>#N/A</v>
      </c>
      <c r="O64" s="883" t="e">
        <f t="shared" si="2"/>
        <v>#N/A</v>
      </c>
      <c r="P64" s="884" t="e">
        <f>VLOOKUP(C64,THCKT!$C$13:$AL$460,36,0)</f>
        <v>#N/A</v>
      </c>
      <c r="Q64" s="887" t="e">
        <f t="shared" si="6"/>
        <v>#N/A</v>
      </c>
      <c r="R64" s="874" t="e">
        <f>VLOOKUP(C64,'LƯƠNG KT'!$D$15:$P$94,16,0)</f>
        <v>#N/A</v>
      </c>
      <c r="S64" s="874" t="e">
        <f>VLOOKUP(C64,'LƯƠNG KT'!$D$15:$P$94,17,0)</f>
        <v>#N/A</v>
      </c>
      <c r="T64" s="874" t="e">
        <f>VLOOKUP(C64,'LƯƠNG KT'!$D$15:$P$94,18,0)</f>
        <v>#N/A</v>
      </c>
      <c r="U64" s="874" t="e">
        <f>VLOOKUP(C64,'LƯƠNG KT'!$D$15:$P$94,18,0)</f>
        <v>#N/A</v>
      </c>
      <c r="V64" s="874" t="e">
        <f>VLOOKUP(C64,'LƯƠNG KT'!$D$15:$P$94,19,0)</f>
        <v>#N/A</v>
      </c>
      <c r="W64" s="874" t="e">
        <f>VLOOKUP(C64,'LƯƠNG KT'!$D$15:$P$94,20,0)</f>
        <v>#N/A</v>
      </c>
      <c r="X64" s="874" t="e">
        <f>VLOOKUP(C64,'LƯƠNG KT'!$D$15:$P$94,22,0)</f>
        <v>#N/A</v>
      </c>
      <c r="Y64" s="874" t="e">
        <f>VLOOKUP(C64,'LƯƠNG KT'!$D$15:$P$94,23,0)</f>
        <v>#N/A</v>
      </c>
      <c r="Z64" s="874" t="e">
        <f>VLOOKUP(C64,'LƯƠNG KT'!$D$15:$P$94,24,0)</f>
        <v>#N/A</v>
      </c>
      <c r="AA64" s="874">
        <v>20</v>
      </c>
      <c r="AB64" s="874"/>
      <c r="AC64" s="889" t="e">
        <f t="shared" si="7"/>
        <v>#N/A</v>
      </c>
      <c r="AD64" s="889" t="e">
        <f t="shared" si="9"/>
        <v>#N/A</v>
      </c>
      <c r="AE64" s="889" t="e">
        <f t="shared" si="4"/>
        <v>#N/A</v>
      </c>
      <c r="AF64" s="891">
        <v>3455072.3430866702</v>
      </c>
      <c r="AG64" s="559" t="e">
        <f t="shared" si="5"/>
        <v>#N/A</v>
      </c>
      <c r="AH64" s="637">
        <v>5</v>
      </c>
    </row>
    <row r="65" spans="1:36" s="540" customFormat="1" ht="20.25" customHeight="1">
      <c r="A65" s="868">
        <v>51</v>
      </c>
      <c r="B65" s="1644" t="str">
        <f>VLOOKUP(C65,'DS CN MOI UP'!$B$10:$C$389,2,0)</f>
        <v>03413</v>
      </c>
      <c r="C65" s="870" t="s">
        <v>336</v>
      </c>
      <c r="D65" s="871" t="s">
        <v>15</v>
      </c>
      <c r="E65" s="872"/>
      <c r="F65" s="873">
        <f>+VLOOKUP($C$15:$C$77,THCKT!$C$397:$AE$460,17,0)</f>
        <v>24</v>
      </c>
      <c r="G65" s="874">
        <f t="shared" si="0"/>
        <v>600000</v>
      </c>
      <c r="H65" s="874"/>
      <c r="I65" s="874"/>
      <c r="J65" s="874"/>
      <c r="K65" s="874" t="e">
        <f>VLOOKUP(C65,THCKT!$C$13:$AL$460,21,0)</f>
        <v>#N/A</v>
      </c>
      <c r="L65" s="883">
        <f>VLOOKUP(C65,THCKT!$C$13:$AL$460,22,0)</f>
        <v>0</v>
      </c>
      <c r="M65" s="883">
        <f>VLOOKUP(C65,THCKT!$C$13:$AL$460,23,0)</f>
        <v>0</v>
      </c>
      <c r="N65" s="883" t="e">
        <f t="shared" si="8"/>
        <v>#N/A</v>
      </c>
      <c r="O65" s="883" t="e">
        <f t="shared" si="2"/>
        <v>#N/A</v>
      </c>
      <c r="P65" s="884" t="e">
        <f>VLOOKUP(C65,THCKT!$C$13:$AL$460,36,0)</f>
        <v>#N/A</v>
      </c>
      <c r="Q65" s="887" t="e">
        <f t="shared" si="6"/>
        <v>#N/A</v>
      </c>
      <c r="R65" s="874" t="e">
        <f>VLOOKUP(C65,'LƯƠNG KT'!$D$15:$P$94,16,0)</f>
        <v>#N/A</v>
      </c>
      <c r="S65" s="874" t="e">
        <f>VLOOKUP(C65,'LƯƠNG KT'!$D$15:$P$94,17,0)</f>
        <v>#N/A</v>
      </c>
      <c r="T65" s="874" t="e">
        <f>VLOOKUP(C65,'LƯƠNG KT'!$D$15:$P$94,18,0)</f>
        <v>#N/A</v>
      </c>
      <c r="U65" s="874" t="e">
        <f>VLOOKUP(C65,'LƯƠNG KT'!$D$15:$P$94,18,0)</f>
        <v>#N/A</v>
      </c>
      <c r="V65" s="874" t="e">
        <f>VLOOKUP(C65,'LƯƠNG KT'!$D$15:$P$94,19,0)</f>
        <v>#N/A</v>
      </c>
      <c r="W65" s="874" t="e">
        <f>VLOOKUP(C65,'LƯƠNG KT'!$D$15:$P$94,20,0)</f>
        <v>#N/A</v>
      </c>
      <c r="X65" s="874" t="e">
        <f>VLOOKUP(C65,'LƯƠNG KT'!$D$15:$P$94,22,0)</f>
        <v>#N/A</v>
      </c>
      <c r="Y65" s="874" t="e">
        <f>VLOOKUP(C65,'LƯƠNG KT'!$D$15:$P$94,23,0)</f>
        <v>#N/A</v>
      </c>
      <c r="Z65" s="874" t="e">
        <f>VLOOKUP(C65,'LƯƠNG KT'!$D$15:$P$94,24,0)</f>
        <v>#N/A</v>
      </c>
      <c r="AA65" s="874">
        <v>20</v>
      </c>
      <c r="AB65" s="874"/>
      <c r="AC65" s="889" t="e">
        <f t="shared" si="7"/>
        <v>#N/A</v>
      </c>
      <c r="AD65" s="889" t="e">
        <f t="shared" si="9"/>
        <v>#N/A</v>
      </c>
      <c r="AE65" s="889" t="e">
        <f t="shared" si="4"/>
        <v>#N/A</v>
      </c>
      <c r="AF65" s="891">
        <v>1616187.52789553</v>
      </c>
      <c r="AG65" s="559" t="e">
        <f t="shared" si="5"/>
        <v>#N/A</v>
      </c>
      <c r="AH65" s="637">
        <v>5</v>
      </c>
    </row>
    <row r="66" spans="1:36" s="540" customFormat="1" ht="20.25" customHeight="1">
      <c r="A66" s="868">
        <v>52</v>
      </c>
      <c r="B66" s="1644" t="str">
        <f>VLOOKUP(C66,'DS CN MOI UP'!$B$10:$C$389,2,0)</f>
        <v>03414</v>
      </c>
      <c r="C66" s="870" t="s">
        <v>337</v>
      </c>
      <c r="D66" s="871" t="s">
        <v>15</v>
      </c>
      <c r="E66" s="872"/>
      <c r="F66" s="873">
        <f>+VLOOKUP($C$15:$C$77,THCKT!$C$397:$AE$460,17,0)</f>
        <v>24</v>
      </c>
      <c r="G66" s="874">
        <f t="shared" si="0"/>
        <v>600000</v>
      </c>
      <c r="H66" s="874"/>
      <c r="I66" s="874"/>
      <c r="J66" s="874"/>
      <c r="K66" s="874" t="e">
        <f>VLOOKUP(C66,THCKT!$C$13:$AL$460,21,0)</f>
        <v>#N/A</v>
      </c>
      <c r="L66" s="883">
        <f>VLOOKUP(C66,THCKT!$C$13:$AL$460,22,0)</f>
        <v>0</v>
      </c>
      <c r="M66" s="883">
        <f>VLOOKUP(C66,THCKT!$C$13:$AL$460,23,0)</f>
        <v>0</v>
      </c>
      <c r="N66" s="883" t="e">
        <f t="shared" si="8"/>
        <v>#N/A</v>
      </c>
      <c r="O66" s="883" t="e">
        <f t="shared" si="2"/>
        <v>#N/A</v>
      </c>
      <c r="P66" s="884" t="e">
        <f>VLOOKUP(C66,THCKT!$C$13:$AL$460,36,0)</f>
        <v>#N/A</v>
      </c>
      <c r="Q66" s="887" t="e">
        <f t="shared" si="6"/>
        <v>#N/A</v>
      </c>
      <c r="R66" s="874" t="e">
        <f>VLOOKUP(C66,'LƯƠNG KT'!$D$15:$P$94,16,0)</f>
        <v>#N/A</v>
      </c>
      <c r="S66" s="874" t="e">
        <f>VLOOKUP(C66,'LƯƠNG KT'!$D$15:$P$94,17,0)</f>
        <v>#N/A</v>
      </c>
      <c r="T66" s="874" t="e">
        <f>VLOOKUP(C66,'LƯƠNG KT'!$D$15:$P$94,18,0)</f>
        <v>#N/A</v>
      </c>
      <c r="U66" s="874" t="e">
        <f>VLOOKUP(C66,'LƯƠNG KT'!$D$15:$P$94,18,0)</f>
        <v>#N/A</v>
      </c>
      <c r="V66" s="874" t="e">
        <f>VLOOKUP(C66,'LƯƠNG KT'!$D$15:$P$94,19,0)</f>
        <v>#N/A</v>
      </c>
      <c r="W66" s="874" t="e">
        <f>VLOOKUP(C66,'LƯƠNG KT'!$D$15:$P$94,20,0)</f>
        <v>#N/A</v>
      </c>
      <c r="X66" s="874" t="e">
        <f>VLOOKUP(C66,'LƯƠNG KT'!$D$15:$P$94,22,0)</f>
        <v>#N/A</v>
      </c>
      <c r="Y66" s="874" t="e">
        <f>VLOOKUP(C66,'LƯƠNG KT'!$D$15:$P$94,23,0)</f>
        <v>#N/A</v>
      </c>
      <c r="Z66" s="874" t="e">
        <f>VLOOKUP(C66,'LƯƠNG KT'!$D$15:$P$94,24,0)</f>
        <v>#N/A</v>
      </c>
      <c r="AA66" s="874">
        <v>20</v>
      </c>
      <c r="AB66" s="874"/>
      <c r="AC66" s="889" t="e">
        <f t="shared" si="7"/>
        <v>#N/A</v>
      </c>
      <c r="AD66" s="889" t="e">
        <f t="shared" si="9"/>
        <v>#N/A</v>
      </c>
      <c r="AE66" s="889" t="e">
        <f t="shared" si="4"/>
        <v>#N/A</v>
      </c>
      <c r="AF66" s="891">
        <v>6701505.0492117796</v>
      </c>
      <c r="AG66" s="559" t="e">
        <f t="shared" si="5"/>
        <v>#N/A</v>
      </c>
      <c r="AH66" s="637">
        <v>5</v>
      </c>
    </row>
    <row r="67" spans="1:36" s="540" customFormat="1" ht="20.25" customHeight="1">
      <c r="A67" s="868">
        <v>53</v>
      </c>
      <c r="B67" s="1644" t="str">
        <f>VLOOKUP(C67,'DS CN MOI UP'!$B$10:$C$389,2,0)</f>
        <v>03415</v>
      </c>
      <c r="C67" s="870" t="s">
        <v>338</v>
      </c>
      <c r="D67" s="871" t="s">
        <v>15</v>
      </c>
      <c r="E67" s="872"/>
      <c r="F67" s="873">
        <f>+VLOOKUP($C$15:$C$77,THCKT!$C$397:$AE$460,17,0)</f>
        <v>24</v>
      </c>
      <c r="G67" s="874">
        <f t="shared" si="0"/>
        <v>600000</v>
      </c>
      <c r="H67" s="874"/>
      <c r="I67" s="874"/>
      <c r="J67" s="874"/>
      <c r="K67" s="874" t="e">
        <f>VLOOKUP(C67,THCKT!$C$13:$AL$460,21,0)</f>
        <v>#N/A</v>
      </c>
      <c r="L67" s="883">
        <f>VLOOKUP(C67,THCKT!$C$13:$AL$460,22,0)</f>
        <v>0</v>
      </c>
      <c r="M67" s="883">
        <f>VLOOKUP(C67,THCKT!$C$13:$AL$460,23,0)</f>
        <v>0</v>
      </c>
      <c r="N67" s="883" t="e">
        <f t="shared" si="8"/>
        <v>#N/A</v>
      </c>
      <c r="O67" s="883" t="e">
        <f t="shared" si="2"/>
        <v>#N/A</v>
      </c>
      <c r="P67" s="884" t="e">
        <f>VLOOKUP(C67,THCKT!$C$13:$AL$460,36,0)</f>
        <v>#N/A</v>
      </c>
      <c r="Q67" s="887" t="e">
        <f t="shared" si="6"/>
        <v>#N/A</v>
      </c>
      <c r="R67" s="874" t="e">
        <f>VLOOKUP(C67,'LƯƠNG KT'!$D$15:$P$94,16,0)</f>
        <v>#N/A</v>
      </c>
      <c r="S67" s="874" t="e">
        <f>VLOOKUP(C67,'LƯƠNG KT'!$D$15:$P$94,17,0)</f>
        <v>#N/A</v>
      </c>
      <c r="T67" s="874" t="e">
        <f>VLOOKUP(C67,'LƯƠNG KT'!$D$15:$P$94,18,0)</f>
        <v>#N/A</v>
      </c>
      <c r="U67" s="874" t="e">
        <f>VLOOKUP(C67,'LƯƠNG KT'!$D$15:$P$94,18,0)</f>
        <v>#N/A</v>
      </c>
      <c r="V67" s="874" t="e">
        <f>VLOOKUP(C67,'LƯƠNG KT'!$D$15:$P$94,19,0)</f>
        <v>#N/A</v>
      </c>
      <c r="W67" s="874" t="e">
        <f>VLOOKUP(C67,'LƯƠNG KT'!$D$15:$P$94,20,0)</f>
        <v>#N/A</v>
      </c>
      <c r="X67" s="874" t="e">
        <f>VLOOKUP(C67,'LƯƠNG KT'!$D$15:$P$94,22,0)</f>
        <v>#N/A</v>
      </c>
      <c r="Y67" s="874" t="e">
        <f>VLOOKUP(C67,'LƯƠNG KT'!$D$15:$P$94,23,0)</f>
        <v>#N/A</v>
      </c>
      <c r="Z67" s="874" t="e">
        <f>VLOOKUP(C67,'LƯƠNG KT'!$D$15:$P$94,24,0)</f>
        <v>#N/A</v>
      </c>
      <c r="AA67" s="874">
        <v>20</v>
      </c>
      <c r="AB67" s="874"/>
      <c r="AC67" s="889" t="e">
        <f t="shared" si="7"/>
        <v>#N/A</v>
      </c>
      <c r="AD67" s="889" t="e">
        <f t="shared" si="9"/>
        <v>#N/A</v>
      </c>
      <c r="AE67" s="889" t="e">
        <f t="shared" si="4"/>
        <v>#N/A</v>
      </c>
      <c r="AF67" s="891">
        <v>6621486.4122248404</v>
      </c>
      <c r="AG67" s="559" t="e">
        <f t="shared" si="5"/>
        <v>#N/A</v>
      </c>
      <c r="AH67" s="637">
        <v>5</v>
      </c>
    </row>
    <row r="68" spans="1:36" s="540" customFormat="1" ht="20.25" customHeight="1">
      <c r="A68" s="868">
        <v>54</v>
      </c>
      <c r="B68" s="869" t="e">
        <f>VLOOKUP(C68,'DS CN MOI UP'!$B$10:$C$389,2,0)</f>
        <v>#N/A</v>
      </c>
      <c r="C68" s="870" t="s">
        <v>339</v>
      </c>
      <c r="D68" s="871" t="s">
        <v>15</v>
      </c>
      <c r="E68" s="872"/>
      <c r="F68" s="873">
        <f>+VLOOKUP($C$15:$C$77,THCKT!$C$397:$AE$460,17,0)</f>
        <v>24</v>
      </c>
      <c r="G68" s="874">
        <f t="shared" si="0"/>
        <v>600000</v>
      </c>
      <c r="H68" s="874"/>
      <c r="I68" s="874"/>
      <c r="J68" s="874"/>
      <c r="K68" s="874" t="e">
        <f>VLOOKUP(C68,THCKT!$C$13:$AL$460,21,0)</f>
        <v>#N/A</v>
      </c>
      <c r="L68" s="883">
        <f>VLOOKUP(C68,THCKT!$C$13:$AL$460,22,0)</f>
        <v>0</v>
      </c>
      <c r="M68" s="883">
        <f>VLOOKUP(C68,THCKT!$C$13:$AL$460,23,0)</f>
        <v>0</v>
      </c>
      <c r="N68" s="883" t="e">
        <f t="shared" si="8"/>
        <v>#N/A</v>
      </c>
      <c r="O68" s="883" t="e">
        <f t="shared" si="2"/>
        <v>#N/A</v>
      </c>
      <c r="P68" s="884" t="e">
        <f>VLOOKUP(C68,THCKT!$C$13:$AL$460,36,0)</f>
        <v>#N/A</v>
      </c>
      <c r="Q68" s="887" t="e">
        <f t="shared" si="6"/>
        <v>#N/A</v>
      </c>
      <c r="R68" s="874" t="e">
        <f>VLOOKUP(C68,'LƯƠNG KT'!$D$15:$P$94,16,0)</f>
        <v>#N/A</v>
      </c>
      <c r="S68" s="874" t="e">
        <f>VLOOKUP(C68,'LƯƠNG KT'!$D$15:$P$94,17,0)</f>
        <v>#N/A</v>
      </c>
      <c r="T68" s="874" t="e">
        <f>VLOOKUP(C68,'LƯƠNG KT'!$D$15:$P$94,18,0)</f>
        <v>#N/A</v>
      </c>
      <c r="U68" s="874" t="e">
        <f>VLOOKUP(C68,'LƯƠNG KT'!$D$15:$P$94,18,0)</f>
        <v>#N/A</v>
      </c>
      <c r="V68" s="874" t="e">
        <f>VLOOKUP(C68,'LƯƠNG KT'!$D$15:$P$94,19,0)</f>
        <v>#N/A</v>
      </c>
      <c r="W68" s="874" t="e">
        <f>VLOOKUP(C68,'LƯƠNG KT'!$D$15:$P$94,20,0)</f>
        <v>#N/A</v>
      </c>
      <c r="X68" s="874" t="e">
        <f>VLOOKUP(C68,'LƯƠNG KT'!$D$15:$P$94,22,0)</f>
        <v>#N/A</v>
      </c>
      <c r="Y68" s="874" t="e">
        <f>VLOOKUP(C68,'LƯƠNG KT'!$D$15:$P$94,23,0)</f>
        <v>#N/A</v>
      </c>
      <c r="Z68" s="874" t="e">
        <f>VLOOKUP(C68,'LƯƠNG KT'!$D$15:$P$94,24,0)</f>
        <v>#N/A</v>
      </c>
      <c r="AA68" s="874">
        <v>20</v>
      </c>
      <c r="AB68" s="874"/>
      <c r="AC68" s="889" t="e">
        <f t="shared" si="7"/>
        <v>#N/A</v>
      </c>
      <c r="AD68" s="889" t="e">
        <f t="shared" si="9"/>
        <v>#N/A</v>
      </c>
      <c r="AE68" s="889" t="e">
        <f t="shared" si="4"/>
        <v>#N/A</v>
      </c>
      <c r="AF68" s="891">
        <v>4681810.8917511804</v>
      </c>
      <c r="AG68" s="559" t="e">
        <f t="shared" si="5"/>
        <v>#N/A</v>
      </c>
      <c r="AH68" s="637">
        <v>5</v>
      </c>
    </row>
    <row r="69" spans="1:36" s="540" customFormat="1" ht="20.25" customHeight="1">
      <c r="A69" s="868">
        <v>55</v>
      </c>
      <c r="B69" s="1644" t="str">
        <f>VLOOKUP(C69,'DS CN MOI UP'!$B$10:$C$389,2,0)</f>
        <v>03417</v>
      </c>
      <c r="C69" s="870" t="s">
        <v>340</v>
      </c>
      <c r="D69" s="871" t="s">
        <v>15</v>
      </c>
      <c r="E69" s="872"/>
      <c r="F69" s="873">
        <f>+VLOOKUP($C$15:$C$77,THCKT!$C$397:$AE$460,17,0)</f>
        <v>24</v>
      </c>
      <c r="G69" s="874">
        <f t="shared" si="0"/>
        <v>600000</v>
      </c>
      <c r="H69" s="874"/>
      <c r="I69" s="874"/>
      <c r="J69" s="874"/>
      <c r="K69" s="874" t="e">
        <f>VLOOKUP(C69,THCKT!$C$13:$AL$460,21,0)</f>
        <v>#N/A</v>
      </c>
      <c r="L69" s="883">
        <f>VLOOKUP(C69,THCKT!$C$13:$AL$460,22,0)</f>
        <v>0</v>
      </c>
      <c r="M69" s="883">
        <f>VLOOKUP(C69,THCKT!$C$13:$AL$460,23,0)</f>
        <v>0</v>
      </c>
      <c r="N69" s="883" t="e">
        <f t="shared" si="8"/>
        <v>#N/A</v>
      </c>
      <c r="O69" s="883" t="e">
        <f t="shared" si="2"/>
        <v>#N/A</v>
      </c>
      <c r="P69" s="884" t="e">
        <f>VLOOKUP(C69,THCKT!$C$13:$AL$460,36,0)</f>
        <v>#N/A</v>
      </c>
      <c r="Q69" s="887" t="e">
        <f t="shared" si="6"/>
        <v>#N/A</v>
      </c>
      <c r="R69" s="874" t="e">
        <f>VLOOKUP(C69,'LƯƠNG KT'!$D$15:$P$94,16,0)</f>
        <v>#N/A</v>
      </c>
      <c r="S69" s="874" t="e">
        <f>VLOOKUP(C69,'LƯƠNG KT'!$D$15:$P$94,17,0)</f>
        <v>#N/A</v>
      </c>
      <c r="T69" s="874" t="e">
        <f>VLOOKUP(C69,'LƯƠNG KT'!$D$15:$P$94,18,0)</f>
        <v>#N/A</v>
      </c>
      <c r="U69" s="874" t="e">
        <f>VLOOKUP(C69,'LƯƠNG KT'!$D$15:$P$94,18,0)</f>
        <v>#N/A</v>
      </c>
      <c r="V69" s="874" t="e">
        <f>VLOOKUP(C69,'LƯƠNG KT'!$D$15:$P$94,19,0)</f>
        <v>#N/A</v>
      </c>
      <c r="W69" s="874" t="e">
        <f>VLOOKUP(C69,'LƯƠNG KT'!$D$15:$P$94,20,0)</f>
        <v>#N/A</v>
      </c>
      <c r="X69" s="874" t="e">
        <f>VLOOKUP(C69,'LƯƠNG KT'!$D$15:$P$94,22,0)</f>
        <v>#N/A</v>
      </c>
      <c r="Y69" s="874" t="e">
        <f>VLOOKUP(C69,'LƯƠNG KT'!$D$15:$P$94,23,0)</f>
        <v>#N/A</v>
      </c>
      <c r="Z69" s="874" t="e">
        <f>VLOOKUP(C69,'LƯƠNG KT'!$D$15:$P$94,24,0)</f>
        <v>#N/A</v>
      </c>
      <c r="AA69" s="874">
        <v>20</v>
      </c>
      <c r="AB69" s="874"/>
      <c r="AC69" s="889" t="e">
        <f t="shared" si="7"/>
        <v>#N/A</v>
      </c>
      <c r="AD69" s="889" t="e">
        <f t="shared" si="9"/>
        <v>#N/A</v>
      </c>
      <c r="AE69" s="889" t="e">
        <f t="shared" si="4"/>
        <v>#N/A</v>
      </c>
      <c r="AF69" s="891">
        <v>4278667.1500447895</v>
      </c>
      <c r="AG69" s="559" t="e">
        <f t="shared" si="5"/>
        <v>#N/A</v>
      </c>
      <c r="AH69" s="637">
        <v>5</v>
      </c>
    </row>
    <row r="70" spans="1:36" s="540" customFormat="1" ht="20.25" customHeight="1">
      <c r="A70" s="868">
        <v>56</v>
      </c>
      <c r="B70" s="1644" t="str">
        <f>VLOOKUP(C70,'DS CN MOI UP'!$B$10:$C$389,2,0)</f>
        <v>03418</v>
      </c>
      <c r="C70" s="870" t="s">
        <v>341</v>
      </c>
      <c r="D70" s="871" t="s">
        <v>15</v>
      </c>
      <c r="E70" s="872"/>
      <c r="F70" s="873">
        <f>+VLOOKUP($C$15:$C$77,THCKT!$C$397:$AE$460,17,0)</f>
        <v>24</v>
      </c>
      <c r="G70" s="874">
        <f t="shared" ref="G70:G75" si="16">F70*25000</f>
        <v>600000</v>
      </c>
      <c r="H70" s="874"/>
      <c r="I70" s="874"/>
      <c r="J70" s="874"/>
      <c r="K70" s="874" t="e">
        <f>VLOOKUP(C70,THCKT!$C$13:$AL$460,21,0)</f>
        <v>#N/A</v>
      </c>
      <c r="L70" s="883">
        <f>VLOOKUP(C70,THCKT!$C$13:$AL$460,22,0)</f>
        <v>0</v>
      </c>
      <c r="M70" s="883">
        <f>VLOOKUP(C70,THCKT!$C$13:$AL$460,23,0)</f>
        <v>0</v>
      </c>
      <c r="N70" s="883" t="e">
        <f t="shared" ref="N70:N71" si="17">$AH$8/$AH$7*K70+L70*$AH$9+M70*$AH$10</f>
        <v>#N/A</v>
      </c>
      <c r="O70" s="883" t="e">
        <f t="shared" si="2"/>
        <v>#N/A</v>
      </c>
      <c r="P70" s="884" t="e">
        <f>VLOOKUP(C70,THCKT!$C$13:$AL$460,36,0)</f>
        <v>#N/A</v>
      </c>
      <c r="Q70" s="887" t="e">
        <f t="shared" si="6"/>
        <v>#N/A</v>
      </c>
      <c r="R70" s="874" t="e">
        <f>VLOOKUP(C70,'LƯƠNG KT'!$D$15:$P$94,16,0)</f>
        <v>#N/A</v>
      </c>
      <c r="S70" s="874" t="e">
        <f>VLOOKUP(C70,'LƯƠNG KT'!$D$15:$P$94,17,0)</f>
        <v>#N/A</v>
      </c>
      <c r="T70" s="874" t="e">
        <f>VLOOKUP(C70,'LƯƠNG KT'!$D$15:$P$94,18,0)</f>
        <v>#N/A</v>
      </c>
      <c r="U70" s="874" t="e">
        <f>VLOOKUP(C70,'LƯƠNG KT'!$D$15:$P$94,18,0)</f>
        <v>#N/A</v>
      </c>
      <c r="V70" s="874" t="e">
        <f>VLOOKUP(C70,'LƯƠNG KT'!$D$15:$P$94,19,0)</f>
        <v>#N/A</v>
      </c>
      <c r="W70" s="874" t="e">
        <f>VLOOKUP(C70,'LƯƠNG KT'!$D$15:$P$94,20,0)</f>
        <v>#N/A</v>
      </c>
      <c r="X70" s="874" t="e">
        <f>VLOOKUP(C70,'LƯƠNG KT'!$D$15:$P$94,22,0)</f>
        <v>#N/A</v>
      </c>
      <c r="Y70" s="874" t="e">
        <f>VLOOKUP(C70,'LƯƠNG KT'!$D$15:$P$94,23,0)</f>
        <v>#N/A</v>
      </c>
      <c r="Z70" s="874" t="e">
        <f>VLOOKUP(C70,'LƯƠNG KT'!$D$15:$P$94,24,0)</f>
        <v>#N/A</v>
      </c>
      <c r="AA70" s="874">
        <v>20</v>
      </c>
      <c r="AB70" s="874"/>
      <c r="AC70" s="889" t="e">
        <f t="shared" si="7"/>
        <v>#N/A</v>
      </c>
      <c r="AD70" s="889" t="e">
        <f t="shared" ref="AD70:AD75" si="18">+AC70+Q70+G70</f>
        <v>#N/A</v>
      </c>
      <c r="AE70" s="889" t="e">
        <f t="shared" ref="AE70:AE75" si="19">AD70</f>
        <v>#N/A</v>
      </c>
      <c r="AF70" s="891">
        <v>5379197.0730025796</v>
      </c>
      <c r="AG70" s="559" t="e">
        <f t="shared" ref="AG70:AG75" si="20">+AE70-AF70</f>
        <v>#N/A</v>
      </c>
      <c r="AH70" s="637">
        <v>5</v>
      </c>
    </row>
    <row r="71" spans="1:36" s="540" customFormat="1" ht="20.25" customHeight="1">
      <c r="A71" s="868">
        <v>57</v>
      </c>
      <c r="B71" s="1644" t="str">
        <f>VLOOKUP(C71,'DS CN MOI UP'!$B$10:$C$389,2,0)</f>
        <v>03419</v>
      </c>
      <c r="C71" s="870" t="s">
        <v>342</v>
      </c>
      <c r="D71" s="871" t="s">
        <v>15</v>
      </c>
      <c r="E71" s="872"/>
      <c r="F71" s="873">
        <f>+VLOOKUP($C$15:$C$77,THCKT!$C$397:$AE$460,17,0)</f>
        <v>24</v>
      </c>
      <c r="G71" s="874">
        <f t="shared" si="16"/>
        <v>600000</v>
      </c>
      <c r="H71" s="874"/>
      <c r="I71" s="874"/>
      <c r="J71" s="874"/>
      <c r="K71" s="874" t="e">
        <f>VLOOKUP(C71,THCKT!$C$13:$AL$460,21,0)</f>
        <v>#N/A</v>
      </c>
      <c r="L71" s="883">
        <f>VLOOKUP(C71,THCKT!$C$13:$AL$460,22,0)</f>
        <v>0</v>
      </c>
      <c r="M71" s="883">
        <f>VLOOKUP(C71,THCKT!$C$13:$AL$460,23,0)</f>
        <v>0</v>
      </c>
      <c r="N71" s="883" t="e">
        <f t="shared" si="17"/>
        <v>#N/A</v>
      </c>
      <c r="O71" s="883" t="e">
        <f t="shared" si="2"/>
        <v>#N/A</v>
      </c>
      <c r="P71" s="884" t="e">
        <f>VLOOKUP(C71,THCKT!$C$13:$AL$460,36,0)</f>
        <v>#N/A</v>
      </c>
      <c r="Q71" s="887" t="e">
        <f t="shared" si="6"/>
        <v>#N/A</v>
      </c>
      <c r="R71" s="874" t="e">
        <f>VLOOKUP(C71,'LƯƠNG KT'!$D$15:$P$94,16,0)</f>
        <v>#N/A</v>
      </c>
      <c r="S71" s="874" t="e">
        <f>VLOOKUP(C71,'LƯƠNG KT'!$D$15:$P$94,17,0)</f>
        <v>#N/A</v>
      </c>
      <c r="T71" s="874" t="e">
        <f>VLOOKUP(C71,'LƯƠNG KT'!$D$15:$P$94,18,0)</f>
        <v>#N/A</v>
      </c>
      <c r="U71" s="874" t="e">
        <f>VLOOKUP(C71,'LƯƠNG KT'!$D$15:$P$94,18,0)</f>
        <v>#N/A</v>
      </c>
      <c r="V71" s="874" t="e">
        <f>VLOOKUP(C71,'LƯƠNG KT'!$D$15:$P$94,19,0)</f>
        <v>#N/A</v>
      </c>
      <c r="W71" s="874" t="e">
        <f>VLOOKUP(C71,'LƯƠNG KT'!$D$15:$P$94,20,0)</f>
        <v>#N/A</v>
      </c>
      <c r="X71" s="874" t="e">
        <f>VLOOKUP(C71,'LƯƠNG KT'!$D$15:$P$94,22,0)</f>
        <v>#N/A</v>
      </c>
      <c r="Y71" s="874" t="e">
        <f>VLOOKUP(C71,'LƯƠNG KT'!$D$15:$P$94,23,0)</f>
        <v>#N/A</v>
      </c>
      <c r="Z71" s="874" t="e">
        <f>VLOOKUP(C71,'LƯƠNG KT'!$D$15:$P$94,24,0)</f>
        <v>#N/A</v>
      </c>
      <c r="AA71" s="874">
        <v>20</v>
      </c>
      <c r="AB71" s="874"/>
      <c r="AC71" s="889" t="e">
        <f t="shared" si="7"/>
        <v>#N/A</v>
      </c>
      <c r="AD71" s="889" t="e">
        <f t="shared" si="18"/>
        <v>#N/A</v>
      </c>
      <c r="AE71" s="889" t="e">
        <f t="shared" si="19"/>
        <v>#N/A</v>
      </c>
      <c r="AF71" s="891">
        <v>3565850.4817944001</v>
      </c>
      <c r="AG71" s="559" t="e">
        <f t="shared" si="20"/>
        <v>#N/A</v>
      </c>
      <c r="AH71" s="637">
        <v>5</v>
      </c>
    </row>
    <row r="72" spans="1:36" s="540" customFormat="1" ht="20.25" customHeight="1">
      <c r="A72" s="868">
        <v>58</v>
      </c>
      <c r="B72" s="1644" t="str">
        <f>VLOOKUP(C72,'DS CN MOI UP'!$B$10:$C$389,2,0)</f>
        <v>03420</v>
      </c>
      <c r="C72" s="870" t="s">
        <v>343</v>
      </c>
      <c r="D72" s="871" t="s">
        <v>15</v>
      </c>
      <c r="E72" s="872"/>
      <c r="F72" s="873">
        <f>+VLOOKUP($C$15:$C$77,THCKT!$C$397:$AE$460,17,0)</f>
        <v>24</v>
      </c>
      <c r="G72" s="874">
        <f t="shared" si="16"/>
        <v>600000</v>
      </c>
      <c r="H72" s="874"/>
      <c r="I72" s="874"/>
      <c r="J72" s="874"/>
      <c r="K72" s="874" t="e">
        <f>VLOOKUP(C72,THCKT!$C$13:$AL$460,21,0)</f>
        <v>#N/A</v>
      </c>
      <c r="L72" s="883">
        <f>VLOOKUP(C72,THCKT!$C$13:$AL$460,22,0)</f>
        <v>0</v>
      </c>
      <c r="M72" s="883">
        <f>VLOOKUP(C72,THCKT!$C$13:$AL$460,23,0)</f>
        <v>0</v>
      </c>
      <c r="N72" s="883" t="e">
        <f>VLOOKUP(C72,THCKT!$C$13:$AL$460,24,0)</f>
        <v>#N/A</v>
      </c>
      <c r="O72" s="883" t="e">
        <f t="shared" si="2"/>
        <v>#N/A</v>
      </c>
      <c r="P72" s="884" t="e">
        <f>VLOOKUP(C72,THCKT!$C$13:$AL$460,36,0)</f>
        <v>#N/A</v>
      </c>
      <c r="Q72" s="887" t="e">
        <f t="shared" si="6"/>
        <v>#N/A</v>
      </c>
      <c r="R72" s="874" t="e">
        <f>VLOOKUP(C72,'LƯƠNG KT'!$D$15:$P$94,16,0)</f>
        <v>#N/A</v>
      </c>
      <c r="S72" s="874" t="e">
        <f>VLOOKUP(C72,'LƯƠNG KT'!$D$15:$P$94,17,0)</f>
        <v>#N/A</v>
      </c>
      <c r="T72" s="874" t="e">
        <f>VLOOKUP(C72,'LƯƠNG KT'!$D$15:$P$94,18,0)</f>
        <v>#N/A</v>
      </c>
      <c r="U72" s="874" t="e">
        <f>VLOOKUP(C72,'LƯƠNG KT'!$D$15:$P$94,18,0)</f>
        <v>#N/A</v>
      </c>
      <c r="V72" s="874" t="e">
        <f>VLOOKUP(C72,'LƯƠNG KT'!$D$15:$P$94,19,0)</f>
        <v>#N/A</v>
      </c>
      <c r="W72" s="874" t="e">
        <f>VLOOKUP(C72,'LƯƠNG KT'!$D$15:$P$94,20,0)</f>
        <v>#N/A</v>
      </c>
      <c r="X72" s="874" t="e">
        <f>VLOOKUP(C72,'LƯƠNG KT'!$D$15:$P$94,22,0)</f>
        <v>#N/A</v>
      </c>
      <c r="Y72" s="874" t="e">
        <f>VLOOKUP(C72,'LƯƠNG KT'!$D$15:$P$94,23,0)</f>
        <v>#N/A</v>
      </c>
      <c r="Z72" s="874" t="e">
        <f>VLOOKUP(C72,'LƯƠNG KT'!$D$15:$P$94,24,0)</f>
        <v>#N/A</v>
      </c>
      <c r="AA72" s="874">
        <v>20</v>
      </c>
      <c r="AB72" s="874"/>
      <c r="AC72" s="889" t="e">
        <f t="shared" si="7"/>
        <v>#N/A</v>
      </c>
      <c r="AD72" s="889" t="e">
        <f t="shared" si="18"/>
        <v>#N/A</v>
      </c>
      <c r="AE72" s="889" t="e">
        <f t="shared" si="19"/>
        <v>#N/A</v>
      </c>
      <c r="AF72" s="891">
        <v>2893575.7990223998</v>
      </c>
      <c r="AG72" s="559" t="e">
        <f t="shared" si="20"/>
        <v>#N/A</v>
      </c>
      <c r="AH72" s="637">
        <v>5</v>
      </c>
    </row>
    <row r="73" spans="1:36" s="540" customFormat="1" ht="20.25" customHeight="1">
      <c r="A73" s="868">
        <v>59</v>
      </c>
      <c r="B73" s="1644" t="str">
        <f>VLOOKUP(C73,'DS CN MOI UP'!$B$10:$C$389,2,0)</f>
        <v>03385</v>
      </c>
      <c r="C73" s="870" t="s">
        <v>344</v>
      </c>
      <c r="D73" s="871" t="s">
        <v>1488</v>
      </c>
      <c r="E73" s="872"/>
      <c r="F73" s="873">
        <f>+VLOOKUP($C$15:$C$77,THCKT!$C$397:$AE$460,17,0)</f>
        <v>24</v>
      </c>
      <c r="G73" s="874">
        <f t="shared" si="16"/>
        <v>600000</v>
      </c>
      <c r="H73" s="874"/>
      <c r="I73" s="874"/>
      <c r="J73" s="874"/>
      <c r="K73" s="874" t="e">
        <f>VLOOKUP(C73,THCKT!$C$13:$AL$460,21,0)</f>
        <v>#N/A</v>
      </c>
      <c r="L73" s="883">
        <f>VLOOKUP(C73,THCKT!$C$13:$AL$460,22,0)</f>
        <v>0</v>
      </c>
      <c r="M73" s="883">
        <f>VLOOKUP(C73,THCKT!$C$13:$AL$460,23,0)</f>
        <v>0</v>
      </c>
      <c r="N73" s="883" t="e">
        <f>VLOOKUP(C73,THCKT!$C$13:$AL$460,24,0)</f>
        <v>#N/A</v>
      </c>
      <c r="O73" s="883" t="e">
        <f t="shared" si="2"/>
        <v>#N/A</v>
      </c>
      <c r="P73" s="884" t="e">
        <f>VLOOKUP(C73,THCKT!$C$13:$AL$460,36,0)</f>
        <v>#N/A</v>
      </c>
      <c r="Q73" s="887" t="e">
        <f t="shared" si="6"/>
        <v>#N/A</v>
      </c>
      <c r="R73" s="874" t="e">
        <f>VLOOKUP(C73,'LƯƠNG KT'!$D$15:$P$94,16,0)</f>
        <v>#N/A</v>
      </c>
      <c r="S73" s="874" t="e">
        <f>VLOOKUP(C73,'LƯƠNG KT'!$D$15:$P$94,17,0)</f>
        <v>#N/A</v>
      </c>
      <c r="T73" s="874" t="e">
        <f>VLOOKUP(C73,'LƯƠNG KT'!$D$15:$P$94,18,0)</f>
        <v>#N/A</v>
      </c>
      <c r="U73" s="874" t="e">
        <f>VLOOKUP(C73,'LƯƠNG KT'!$D$15:$P$94,18,0)</f>
        <v>#N/A</v>
      </c>
      <c r="V73" s="874" t="e">
        <f>VLOOKUP(C73,'LƯƠNG KT'!$D$15:$P$94,19,0)</f>
        <v>#N/A</v>
      </c>
      <c r="W73" s="874" t="e">
        <f>VLOOKUP(C73,'LƯƠNG KT'!$D$15:$P$94,20,0)</f>
        <v>#N/A</v>
      </c>
      <c r="X73" s="874" t="e">
        <f>VLOOKUP(C73,'LƯƠNG KT'!$D$15:$P$94,22,0)</f>
        <v>#N/A</v>
      </c>
      <c r="Y73" s="874" t="e">
        <f>VLOOKUP(C73,'LƯƠNG KT'!$D$15:$P$94,23,0)</f>
        <v>#N/A</v>
      </c>
      <c r="Z73" s="874" t="e">
        <f>VLOOKUP(C73,'LƯƠNG KT'!$D$15:$P$94,24,0)</f>
        <v>#N/A</v>
      </c>
      <c r="AA73" s="874">
        <v>20</v>
      </c>
      <c r="AB73" s="874"/>
      <c r="AC73" s="889" t="e">
        <f t="shared" si="7"/>
        <v>#N/A</v>
      </c>
      <c r="AD73" s="889" t="e">
        <f t="shared" si="18"/>
        <v>#N/A</v>
      </c>
      <c r="AE73" s="889" t="e">
        <f t="shared" si="19"/>
        <v>#N/A</v>
      </c>
      <c r="AF73" s="891">
        <v>2893575.7990223998</v>
      </c>
      <c r="AG73" s="559" t="e">
        <f t="shared" si="20"/>
        <v>#N/A</v>
      </c>
      <c r="AH73" s="637">
        <v>5</v>
      </c>
    </row>
    <row r="74" spans="1:36" s="540" customFormat="1" ht="20.25" customHeight="1">
      <c r="A74" s="868">
        <v>60</v>
      </c>
      <c r="B74" s="1644" t="str">
        <f>VLOOKUP(C74,'DS CN MOI UP'!$B$10:$C$389,2,0)</f>
        <v>03422</v>
      </c>
      <c r="C74" s="870" t="s">
        <v>345</v>
      </c>
      <c r="D74" s="871" t="s">
        <v>1488</v>
      </c>
      <c r="E74" s="872"/>
      <c r="F74" s="873">
        <f>+VLOOKUP($C$15:$C$77,THCKT!$C$397:$AE$460,17,0)</f>
        <v>24</v>
      </c>
      <c r="G74" s="874">
        <f t="shared" si="16"/>
        <v>600000</v>
      </c>
      <c r="H74" s="874"/>
      <c r="I74" s="874"/>
      <c r="J74" s="874"/>
      <c r="K74" s="874" t="e">
        <f>VLOOKUP(C74,THCKT!$C$13:$AL$460,21,0)</f>
        <v>#N/A</v>
      </c>
      <c r="L74" s="883">
        <f>VLOOKUP(C74,THCKT!$C$13:$AL$460,22,0)</f>
        <v>0</v>
      </c>
      <c r="M74" s="883">
        <f>VLOOKUP(C74,THCKT!$C$13:$AL$460,23,0)</f>
        <v>0</v>
      </c>
      <c r="N74" s="883" t="e">
        <f>VLOOKUP(C74,THCKT!$C$13:$AL$460,24,0)</f>
        <v>#N/A</v>
      </c>
      <c r="O74" s="883" t="e">
        <f t="shared" si="2"/>
        <v>#N/A</v>
      </c>
      <c r="P74" s="884" t="e">
        <f>VLOOKUP(C74,THCKT!$C$13:$AL$460,36,0)</f>
        <v>#N/A</v>
      </c>
      <c r="Q74" s="887" t="e">
        <f t="shared" si="6"/>
        <v>#N/A</v>
      </c>
      <c r="R74" s="874" t="e">
        <f>VLOOKUP(C74,'LƯƠNG KT'!$D$15:$P$94,16,0)</f>
        <v>#N/A</v>
      </c>
      <c r="S74" s="874" t="e">
        <f>VLOOKUP(C74,'LƯƠNG KT'!$D$15:$P$94,17,0)</f>
        <v>#N/A</v>
      </c>
      <c r="T74" s="874" t="e">
        <f>VLOOKUP(C74,'LƯƠNG KT'!$D$15:$P$94,18,0)</f>
        <v>#N/A</v>
      </c>
      <c r="U74" s="874" t="e">
        <f>VLOOKUP(C74,'LƯƠNG KT'!$D$15:$P$94,18,0)</f>
        <v>#N/A</v>
      </c>
      <c r="V74" s="874" t="e">
        <f>VLOOKUP(C74,'LƯƠNG KT'!$D$15:$P$94,19,0)</f>
        <v>#N/A</v>
      </c>
      <c r="W74" s="874" t="e">
        <f>VLOOKUP(C74,'LƯƠNG KT'!$D$15:$P$94,20,0)</f>
        <v>#N/A</v>
      </c>
      <c r="X74" s="874" t="e">
        <f>VLOOKUP(C74,'LƯƠNG KT'!$D$15:$P$94,22,0)</f>
        <v>#N/A</v>
      </c>
      <c r="Y74" s="874" t="e">
        <f>VLOOKUP(C74,'LƯƠNG KT'!$D$15:$P$94,23,0)</f>
        <v>#N/A</v>
      </c>
      <c r="Z74" s="874" t="e">
        <f>VLOOKUP(C74,'LƯƠNG KT'!$D$15:$P$94,24,0)</f>
        <v>#N/A</v>
      </c>
      <c r="AA74" s="874">
        <v>20</v>
      </c>
      <c r="AB74" s="874"/>
      <c r="AC74" s="889" t="e">
        <f t="shared" si="7"/>
        <v>#N/A</v>
      </c>
      <c r="AD74" s="889" t="e">
        <f t="shared" si="18"/>
        <v>#N/A</v>
      </c>
      <c r="AE74" s="889" t="e">
        <f t="shared" si="19"/>
        <v>#N/A</v>
      </c>
      <c r="AF74" s="891">
        <v>2893575.7990223998</v>
      </c>
      <c r="AG74" s="559" t="e">
        <f t="shared" si="20"/>
        <v>#N/A</v>
      </c>
      <c r="AH74" s="637">
        <v>5</v>
      </c>
    </row>
    <row r="75" spans="1:36" s="540" customFormat="1" ht="20.25" customHeight="1">
      <c r="A75" s="868">
        <v>61</v>
      </c>
      <c r="B75" s="869" t="e">
        <f>VLOOKUP(C75,'DS CN MOI UP'!$B$10:$C$389,2,0)</f>
        <v>#N/A</v>
      </c>
      <c r="C75" s="870" t="s">
        <v>346</v>
      </c>
      <c r="D75" s="871" t="s">
        <v>1713</v>
      </c>
      <c r="E75" s="872"/>
      <c r="F75" s="873">
        <f>+VLOOKUP($C$15:$C$77,THCKT!$C$397:$AE$460,17,0)</f>
        <v>24</v>
      </c>
      <c r="G75" s="874">
        <f t="shared" si="16"/>
        <v>600000</v>
      </c>
      <c r="H75" s="874"/>
      <c r="I75" s="874"/>
      <c r="J75" s="874"/>
      <c r="K75" s="874" t="e">
        <f>VLOOKUP(C75,THCKT!$C$13:$AL$460,21,0)</f>
        <v>#N/A</v>
      </c>
      <c r="L75" s="883">
        <f>VLOOKUP(C75,THCKT!$C$13:$AL$460,22,0)</f>
        <v>0</v>
      </c>
      <c r="M75" s="883">
        <f>VLOOKUP(C75,THCKT!$C$13:$AL$460,23,0)</f>
        <v>0</v>
      </c>
      <c r="N75" s="883" t="e">
        <f>VLOOKUP(C75,THCKT!$C$13:$AL$460,24,0)</f>
        <v>#N/A</v>
      </c>
      <c r="O75" s="883" t="e">
        <f t="shared" si="2"/>
        <v>#N/A</v>
      </c>
      <c r="P75" s="884" t="e">
        <f>VLOOKUP(C75,THCKT!$C$13:$AL$460,36,0)</f>
        <v>#N/A</v>
      </c>
      <c r="Q75" s="887" t="e">
        <f t="shared" si="6"/>
        <v>#N/A</v>
      </c>
      <c r="R75" s="874" t="e">
        <f>VLOOKUP(C75,'LƯƠNG KT'!$D$15:$P$94,16,0)</f>
        <v>#N/A</v>
      </c>
      <c r="S75" s="874" t="e">
        <f>VLOOKUP(C75,'LƯƠNG KT'!$D$15:$P$94,17,0)</f>
        <v>#N/A</v>
      </c>
      <c r="T75" s="874" t="e">
        <f>VLOOKUP(C75,'LƯƠNG KT'!$D$15:$P$94,18,0)</f>
        <v>#N/A</v>
      </c>
      <c r="U75" s="874" t="e">
        <f>VLOOKUP(C75,'LƯƠNG KT'!$D$15:$P$94,18,0)</f>
        <v>#N/A</v>
      </c>
      <c r="V75" s="874" t="e">
        <f>VLOOKUP(C75,'LƯƠNG KT'!$D$15:$P$94,19,0)</f>
        <v>#N/A</v>
      </c>
      <c r="W75" s="874" t="e">
        <f>VLOOKUP(C75,'LƯƠNG KT'!$D$15:$P$94,20,0)</f>
        <v>#N/A</v>
      </c>
      <c r="X75" s="874" t="e">
        <f>VLOOKUP(C75,'LƯƠNG KT'!$D$15:$P$94,22,0)</f>
        <v>#N/A</v>
      </c>
      <c r="Y75" s="874" t="e">
        <f>VLOOKUP(C75,'LƯƠNG KT'!$D$15:$P$94,23,0)</f>
        <v>#N/A</v>
      </c>
      <c r="Z75" s="874" t="e">
        <f>VLOOKUP(C75,'LƯƠNG KT'!$D$15:$P$94,24,0)</f>
        <v>#N/A</v>
      </c>
      <c r="AA75" s="874">
        <v>20</v>
      </c>
      <c r="AB75" s="874"/>
      <c r="AC75" s="889" t="e">
        <f t="shared" si="7"/>
        <v>#N/A</v>
      </c>
      <c r="AD75" s="889" t="e">
        <f t="shared" si="18"/>
        <v>#N/A</v>
      </c>
      <c r="AE75" s="889" t="e">
        <f t="shared" si="19"/>
        <v>#N/A</v>
      </c>
      <c r="AF75" s="891">
        <v>10415500</v>
      </c>
      <c r="AG75" s="559" t="e">
        <f t="shared" si="20"/>
        <v>#N/A</v>
      </c>
      <c r="AH75" s="637">
        <v>5</v>
      </c>
    </row>
    <row r="76" spans="1:36" s="540" customFormat="1" ht="20.25" customHeight="1">
      <c r="A76" s="868">
        <v>62</v>
      </c>
      <c r="B76" s="869" t="e">
        <f>VLOOKUP(C76,'DS CN MOI UP'!$B$10:$C$389,2,0)</f>
        <v>#N/A</v>
      </c>
      <c r="C76" s="870" t="s">
        <v>347</v>
      </c>
      <c r="D76" s="871" t="s">
        <v>15</v>
      </c>
      <c r="E76" s="872"/>
      <c r="F76" s="873">
        <f>+VLOOKUP($C$15:$C$77,THCKT!$C$397:$AE$460,17,0)</f>
        <v>24</v>
      </c>
      <c r="G76" s="874">
        <f t="shared" si="0"/>
        <v>600000</v>
      </c>
      <c r="H76" s="874"/>
      <c r="I76" s="874"/>
      <c r="J76" s="874"/>
      <c r="K76" s="874" t="e">
        <f>VLOOKUP(C76,THCKT!$C$13:$AL$460,21,0)</f>
        <v>#N/A</v>
      </c>
      <c r="L76" s="883">
        <f>VLOOKUP(C76,THCKT!$C$13:$AL$460,22,0)</f>
        <v>0</v>
      </c>
      <c r="M76" s="883">
        <f>VLOOKUP(C76,THCKT!$C$13:$AL$460,23,0)</f>
        <v>0</v>
      </c>
      <c r="N76" s="883" t="e">
        <f t="shared" si="8"/>
        <v>#N/A</v>
      </c>
      <c r="O76" s="883" t="e">
        <f t="shared" si="2"/>
        <v>#N/A</v>
      </c>
      <c r="P76" s="884" t="e">
        <f>VLOOKUP(C76,THCKT!$C$13:$AL$460,36,0)</f>
        <v>#N/A</v>
      </c>
      <c r="Q76" s="887" t="e">
        <f t="shared" si="6"/>
        <v>#N/A</v>
      </c>
      <c r="R76" s="874" t="e">
        <f>VLOOKUP(C76,'LƯƠNG KT'!$D$15:$P$94,16,0)</f>
        <v>#N/A</v>
      </c>
      <c r="S76" s="874" t="e">
        <f>VLOOKUP(C76,'LƯƠNG KT'!$D$15:$P$94,17,0)</f>
        <v>#N/A</v>
      </c>
      <c r="T76" s="874" t="e">
        <f>VLOOKUP(C76,'LƯƠNG KT'!$D$15:$P$94,18,0)</f>
        <v>#N/A</v>
      </c>
      <c r="U76" s="874" t="e">
        <f>VLOOKUP(C76,'LƯƠNG KT'!$D$15:$P$94,18,0)</f>
        <v>#N/A</v>
      </c>
      <c r="V76" s="874" t="e">
        <f>VLOOKUP(C76,'LƯƠNG KT'!$D$15:$P$94,19,0)</f>
        <v>#N/A</v>
      </c>
      <c r="W76" s="874" t="e">
        <f>VLOOKUP(C76,'LƯƠNG KT'!$D$15:$P$94,20,0)</f>
        <v>#N/A</v>
      </c>
      <c r="X76" s="874" t="e">
        <f>VLOOKUP(C76,'LƯƠNG KT'!$D$15:$P$94,22,0)</f>
        <v>#N/A</v>
      </c>
      <c r="Y76" s="874" t="e">
        <f>VLOOKUP(C76,'LƯƠNG KT'!$D$15:$P$94,23,0)</f>
        <v>#N/A</v>
      </c>
      <c r="Z76" s="874" t="e">
        <f>VLOOKUP(C76,'LƯƠNG KT'!$D$15:$P$94,24,0)</f>
        <v>#N/A</v>
      </c>
      <c r="AA76" s="874">
        <v>20</v>
      </c>
      <c r="AB76" s="874"/>
      <c r="AC76" s="889" t="e">
        <f t="shared" si="7"/>
        <v>#N/A</v>
      </c>
      <c r="AD76" s="889" t="e">
        <f t="shared" si="9"/>
        <v>#N/A</v>
      </c>
      <c r="AE76" s="889" t="e">
        <f t="shared" si="4"/>
        <v>#N/A</v>
      </c>
      <c r="AF76" s="891">
        <v>5379197.0730025796</v>
      </c>
      <c r="AG76" s="559" t="e">
        <f t="shared" si="5"/>
        <v>#N/A</v>
      </c>
      <c r="AH76" s="637">
        <v>5</v>
      </c>
    </row>
    <row r="77" spans="1:36" s="540" customFormat="1" ht="20.25" customHeight="1">
      <c r="A77" s="868">
        <v>63</v>
      </c>
      <c r="B77" s="869" t="e">
        <f>VLOOKUP(C77,'DS CN MOI UP'!$B$10:$C$389,2,0)</f>
        <v>#N/A</v>
      </c>
      <c r="C77" s="870" t="s">
        <v>348</v>
      </c>
      <c r="D77" s="871" t="s">
        <v>15</v>
      </c>
      <c r="E77" s="872"/>
      <c r="F77" s="873">
        <f>+VLOOKUP($C$15:$C$77,THCKT!$C$397:$AE$460,17,0)</f>
        <v>24</v>
      </c>
      <c r="G77" s="874">
        <f t="shared" si="0"/>
        <v>600000</v>
      </c>
      <c r="H77" s="874"/>
      <c r="I77" s="874"/>
      <c r="J77" s="874"/>
      <c r="K77" s="874" t="e">
        <f>VLOOKUP(C77,THCKT!$C$13:$AL$460,21,0)</f>
        <v>#N/A</v>
      </c>
      <c r="L77" s="883">
        <f>VLOOKUP(C77,THCKT!$C$13:$AL$460,22,0)</f>
        <v>0</v>
      </c>
      <c r="M77" s="883">
        <f>VLOOKUP(C77,THCKT!$C$13:$AL$460,23,0)</f>
        <v>0</v>
      </c>
      <c r="N77" s="883" t="e">
        <f t="shared" si="8"/>
        <v>#N/A</v>
      </c>
      <c r="O77" s="883" t="e">
        <f t="shared" si="2"/>
        <v>#N/A</v>
      </c>
      <c r="P77" s="884" t="e">
        <f>VLOOKUP(C77,THCKT!$C$13:$AL$460,36,0)</f>
        <v>#N/A</v>
      </c>
      <c r="Q77" s="887" t="e">
        <f t="shared" si="6"/>
        <v>#N/A</v>
      </c>
      <c r="R77" s="874" t="e">
        <f>VLOOKUP(C77,'LƯƠNG KT'!$D$15:$P$94,16,0)</f>
        <v>#N/A</v>
      </c>
      <c r="S77" s="874" t="e">
        <f>VLOOKUP(C77,'LƯƠNG KT'!$D$15:$P$94,17,0)</f>
        <v>#N/A</v>
      </c>
      <c r="T77" s="874" t="e">
        <f>VLOOKUP(C77,'LƯƠNG KT'!$D$15:$P$94,18,0)</f>
        <v>#N/A</v>
      </c>
      <c r="U77" s="874" t="e">
        <f>VLOOKUP(C77,'LƯƠNG KT'!$D$15:$P$94,18,0)</f>
        <v>#N/A</v>
      </c>
      <c r="V77" s="874" t="e">
        <f>VLOOKUP(C77,'LƯƠNG KT'!$D$15:$P$94,19,0)</f>
        <v>#N/A</v>
      </c>
      <c r="W77" s="874" t="e">
        <f>VLOOKUP(C77,'LƯƠNG KT'!$D$15:$P$94,20,0)</f>
        <v>#N/A</v>
      </c>
      <c r="X77" s="874" t="e">
        <f>VLOOKUP(C77,'LƯƠNG KT'!$D$15:$P$94,22,0)</f>
        <v>#N/A</v>
      </c>
      <c r="Y77" s="874" t="e">
        <f>VLOOKUP(C77,'LƯƠNG KT'!$D$15:$P$94,23,0)</f>
        <v>#N/A</v>
      </c>
      <c r="Z77" s="874" t="e">
        <f>VLOOKUP(C77,'LƯƠNG KT'!$D$15:$P$94,24,0)</f>
        <v>#N/A</v>
      </c>
      <c r="AA77" s="874">
        <v>20</v>
      </c>
      <c r="AB77" s="874"/>
      <c r="AC77" s="889" t="e">
        <f>ROUND((((R77*46.1)+(S77*76.9)+(X77*30.7)+(U77*46.1*2)+(V77*46.1*2)+(W77*76.9*2))*$F$8),0)+T77*10000+Y77*20000+Z77*20000+AA77*25000+6</f>
        <v>#N/A</v>
      </c>
      <c r="AD77" s="889" t="e">
        <f t="shared" si="9"/>
        <v>#N/A</v>
      </c>
      <c r="AE77" s="889" t="e">
        <f t="shared" si="4"/>
        <v>#N/A</v>
      </c>
      <c r="AF77" s="891">
        <v>3565850.4817944001</v>
      </c>
      <c r="AG77" s="559" t="e">
        <f t="shared" si="5"/>
        <v>#N/A</v>
      </c>
      <c r="AH77" s="637">
        <v>5</v>
      </c>
    </row>
    <row r="78" spans="1:36" s="541" customFormat="1" ht="17.25" customHeight="1">
      <c r="A78" s="894" t="s">
        <v>2777</v>
      </c>
      <c r="B78" s="895"/>
      <c r="C78" s="895"/>
      <c r="D78" s="895"/>
      <c r="E78" s="896"/>
      <c r="F78" s="897">
        <f t="shared" ref="F78:AE78" si="21">SUM(F15:F77)</f>
        <v>1556</v>
      </c>
      <c r="G78" s="898">
        <f t="shared" si="21"/>
        <v>38900000</v>
      </c>
      <c r="H78" s="898">
        <f t="shared" si="21"/>
        <v>0</v>
      </c>
      <c r="I78" s="898">
        <f t="shared" si="21"/>
        <v>0</v>
      </c>
      <c r="J78" s="898">
        <f t="shared" si="21"/>
        <v>0</v>
      </c>
      <c r="K78" s="898" t="e">
        <f t="shared" si="21"/>
        <v>#N/A</v>
      </c>
      <c r="L78" s="898">
        <f t="shared" si="21"/>
        <v>0</v>
      </c>
      <c r="M78" s="898">
        <f t="shared" si="21"/>
        <v>0</v>
      </c>
      <c r="N78" s="898" t="e">
        <f t="shared" si="21"/>
        <v>#N/A</v>
      </c>
      <c r="O78" s="898" t="e">
        <f t="shared" ref="O78" si="22">SUM(O15:O77)</f>
        <v>#N/A</v>
      </c>
      <c r="P78" s="898" t="e">
        <f t="shared" si="21"/>
        <v>#N/A</v>
      </c>
      <c r="Q78" s="898" t="e">
        <f t="shared" si="21"/>
        <v>#N/A</v>
      </c>
      <c r="R78" s="898" t="e">
        <f t="shared" si="21"/>
        <v>#N/A</v>
      </c>
      <c r="S78" s="898" t="e">
        <f t="shared" si="21"/>
        <v>#N/A</v>
      </c>
      <c r="T78" s="898" t="e">
        <f t="shared" si="21"/>
        <v>#N/A</v>
      </c>
      <c r="U78" s="898" t="e">
        <f t="shared" si="21"/>
        <v>#N/A</v>
      </c>
      <c r="V78" s="898" t="e">
        <f t="shared" si="21"/>
        <v>#N/A</v>
      </c>
      <c r="W78" s="898" t="e">
        <f t="shared" si="21"/>
        <v>#N/A</v>
      </c>
      <c r="X78" s="898" t="e">
        <f t="shared" si="21"/>
        <v>#N/A</v>
      </c>
      <c r="Y78" s="898" t="e">
        <f t="shared" si="21"/>
        <v>#N/A</v>
      </c>
      <c r="Z78" s="898" t="e">
        <f t="shared" si="21"/>
        <v>#N/A</v>
      </c>
      <c r="AA78" s="898">
        <f t="shared" si="21"/>
        <v>1260</v>
      </c>
      <c r="AB78" s="898">
        <f t="shared" si="21"/>
        <v>0</v>
      </c>
      <c r="AC78" s="898" t="e">
        <f t="shared" si="21"/>
        <v>#N/A</v>
      </c>
      <c r="AD78" s="898" t="e">
        <f t="shared" si="21"/>
        <v>#N/A</v>
      </c>
      <c r="AE78" s="898" t="e">
        <f t="shared" si="21"/>
        <v>#N/A</v>
      </c>
      <c r="AF78" s="628" t="e">
        <f>+'LƯƠNG KT'!#REF!</f>
        <v>#REF!</v>
      </c>
      <c r="AG78" s="559" t="e">
        <f>+AF78-AE78</f>
        <v>#REF!</v>
      </c>
      <c r="AH78" s="638" t="e">
        <f>+#REF!+#REF!+#REF!+#REF!+#REF!+#REF!+#REF!+#REF!+#REF!</f>
        <v>#REF!</v>
      </c>
      <c r="AI78" s="2655" t="e">
        <f>(R78*46.1*$F$8)+(S78*76.9*$F$8)+Y78*5000+Z78*20000</f>
        <v>#N/A</v>
      </c>
      <c r="AJ78" s="2655"/>
    </row>
    <row r="79" spans="1:36" s="541" customFormat="1" ht="17.25" customHeight="1">
      <c r="A79" s="2658" t="s">
        <v>2778</v>
      </c>
      <c r="B79" s="2658"/>
      <c r="C79" s="2658"/>
      <c r="D79" s="2658"/>
      <c r="E79" s="2658"/>
      <c r="F79" s="2658"/>
      <c r="G79" s="2658"/>
      <c r="H79" s="2658"/>
      <c r="I79" s="2658"/>
      <c r="J79" s="2658"/>
      <c r="K79" s="2658"/>
      <c r="L79" s="2658"/>
      <c r="M79" s="2658"/>
      <c r="N79" s="2658"/>
      <c r="O79" s="2658"/>
      <c r="P79" s="2658"/>
      <c r="Q79" s="2658"/>
      <c r="R79" s="2658"/>
      <c r="S79" s="2658"/>
      <c r="T79" s="2658"/>
      <c r="U79" s="2658"/>
      <c r="V79" s="2658"/>
      <c r="W79" s="2658"/>
      <c r="X79" s="2658"/>
      <c r="Y79" s="2658"/>
      <c r="Z79" s="2658"/>
      <c r="AA79" s="2658"/>
      <c r="AB79" s="2658"/>
      <c r="AC79" s="2658"/>
      <c r="AD79" s="2658"/>
      <c r="AE79" s="2658"/>
      <c r="AF79" s="631"/>
      <c r="AG79" s="559">
        <f t="shared" si="5"/>
        <v>0</v>
      </c>
      <c r="AH79" s="638" t="e">
        <f>+#REF!-AH78</f>
        <v>#REF!</v>
      </c>
      <c r="AI79" s="612"/>
      <c r="AJ79" s="612"/>
    </row>
    <row r="80" spans="1:36" s="600" customFormat="1" ht="24" customHeight="1">
      <c r="A80" s="899"/>
      <c r="B80" s="899"/>
      <c r="C80" s="900"/>
      <c r="F80" s="901"/>
      <c r="G80" s="902"/>
      <c r="H80" s="902"/>
      <c r="I80" s="902"/>
      <c r="J80" s="902"/>
      <c r="K80" s="902"/>
      <c r="L80" s="903"/>
      <c r="M80" s="903"/>
      <c r="N80" s="903"/>
      <c r="O80" s="903"/>
      <c r="P80" s="904"/>
      <c r="Q80" s="902"/>
      <c r="R80" s="906"/>
      <c r="S80" s="907"/>
      <c r="T80" s="907"/>
      <c r="U80" s="907"/>
      <c r="V80" s="907"/>
      <c r="W80" s="907"/>
      <c r="X80" s="907"/>
      <c r="Y80" s="907"/>
      <c r="Z80" s="907"/>
      <c r="AA80" s="907"/>
      <c r="AB80" s="907"/>
      <c r="AC80" s="2659" t="s">
        <v>2753</v>
      </c>
      <c r="AD80" s="2659"/>
      <c r="AE80" s="2659"/>
      <c r="AF80" s="632"/>
      <c r="AG80" s="559">
        <f t="shared" si="5"/>
        <v>0</v>
      </c>
      <c r="AH80" s="639" t="e">
        <f>SUM(#REF!)</f>
        <v>#REF!</v>
      </c>
    </row>
    <row r="81" spans="3:37" s="157" customFormat="1" ht="15.95" customHeight="1">
      <c r="C81" s="2335" t="s">
        <v>1921</v>
      </c>
      <c r="D81" s="2335"/>
      <c r="E81" s="2335"/>
      <c r="F81" s="2335"/>
      <c r="G81" s="2335" t="s">
        <v>616</v>
      </c>
      <c r="H81" s="2335"/>
      <c r="I81" s="2335"/>
      <c r="J81" s="2335"/>
      <c r="K81" s="2335"/>
      <c r="L81" s="2335"/>
      <c r="M81" s="2335"/>
      <c r="N81" s="2335"/>
      <c r="O81" s="2335"/>
      <c r="P81" s="2335"/>
      <c r="Q81" s="2335" t="s">
        <v>2391</v>
      </c>
      <c r="R81" s="2335"/>
      <c r="S81" s="2335"/>
      <c r="T81" s="2335"/>
      <c r="U81" s="2335"/>
      <c r="V81" s="2335"/>
      <c r="W81" s="2335"/>
      <c r="X81" s="2335"/>
      <c r="Y81" s="2335"/>
      <c r="Z81" s="2335"/>
      <c r="AA81" s="2335"/>
      <c r="AB81" s="2335"/>
      <c r="AC81" s="2335"/>
      <c r="AD81" s="2335" t="s">
        <v>612</v>
      </c>
      <c r="AE81" s="2335"/>
      <c r="AF81" s="636" t="e">
        <f>+AE78-#REF!</f>
        <v>#N/A</v>
      </c>
      <c r="AG81" s="559" t="e">
        <f t="shared" si="5"/>
        <v>#N/A</v>
      </c>
      <c r="AH81" s="635" t="e">
        <f>+AH80+#REF!</f>
        <v>#REF!</v>
      </c>
      <c r="AI81" s="158"/>
      <c r="AJ81" s="158"/>
      <c r="AK81" s="200"/>
    </row>
    <row r="82" spans="3:37" s="158" customFormat="1" ht="15">
      <c r="D82" s="611"/>
      <c r="E82" s="620"/>
      <c r="F82" s="611"/>
      <c r="G82" s="613"/>
      <c r="H82" s="613"/>
      <c r="I82" s="613"/>
      <c r="J82" s="613"/>
      <c r="K82" s="726"/>
      <c r="L82" s="734"/>
      <c r="M82" s="734"/>
      <c r="N82" s="734"/>
      <c r="O82" s="734"/>
      <c r="P82" s="201"/>
      <c r="Q82" s="201"/>
      <c r="R82" s="201"/>
      <c r="AC82" s="745"/>
      <c r="AD82" s="200"/>
      <c r="AF82" s="620"/>
      <c r="AG82" s="620"/>
      <c r="AH82" s="620" t="e">
        <f>+AH81-#REF!</f>
        <v>#REF!</v>
      </c>
      <c r="AK82" s="200"/>
    </row>
    <row r="83" spans="3:37" s="158" customFormat="1" ht="15">
      <c r="D83" s="611"/>
      <c r="E83" s="620"/>
      <c r="F83" s="614"/>
      <c r="G83" s="613"/>
      <c r="H83" s="613"/>
      <c r="I83" s="613"/>
      <c r="J83" s="613"/>
      <c r="K83" s="726"/>
      <c r="L83" s="734"/>
      <c r="M83" s="734"/>
      <c r="N83" s="734"/>
      <c r="O83" s="734"/>
      <c r="P83" s="201"/>
      <c r="Q83" s="201"/>
      <c r="R83" s="201"/>
      <c r="AC83" s="745"/>
      <c r="AD83" s="200"/>
      <c r="AF83" s="620"/>
      <c r="AG83" s="620"/>
      <c r="AK83" s="200"/>
    </row>
    <row r="84" spans="3:37" s="158" customFormat="1" ht="52.5" customHeight="1">
      <c r="D84" s="200"/>
      <c r="E84" s="200"/>
      <c r="F84" s="615"/>
      <c r="G84" s="613"/>
      <c r="H84" s="613"/>
      <c r="I84" s="613"/>
      <c r="J84" s="613"/>
      <c r="K84" s="2654"/>
      <c r="L84" s="2654"/>
      <c r="M84" s="2654"/>
      <c r="N84" s="2654"/>
      <c r="O84" s="905"/>
      <c r="P84" s="2655"/>
      <c r="Q84" s="2655"/>
      <c r="S84" s="748"/>
      <c r="T84" s="748"/>
      <c r="U84" s="748"/>
      <c r="V84" s="748"/>
      <c r="W84" s="748"/>
      <c r="X84" s="748"/>
      <c r="Y84" s="748"/>
      <c r="Z84" s="748"/>
      <c r="AA84" s="748"/>
      <c r="AB84" s="748"/>
      <c r="AC84" s="745"/>
      <c r="AD84" s="2656"/>
      <c r="AE84" s="2656"/>
      <c r="AF84" s="620"/>
      <c r="AG84" s="635"/>
      <c r="AH84" s="604"/>
    </row>
    <row r="85" spans="3:37" s="158" customFormat="1">
      <c r="D85" s="616"/>
      <c r="E85" s="172"/>
      <c r="F85" s="615"/>
      <c r="G85" s="200"/>
      <c r="H85" s="200"/>
      <c r="I85" s="200"/>
      <c r="J85" s="200"/>
      <c r="K85" s="2656"/>
      <c r="L85" s="2656"/>
      <c r="M85" s="634"/>
      <c r="N85" s="734"/>
      <c r="O85" s="734"/>
      <c r="P85" s="2657"/>
      <c r="Q85" s="2657"/>
      <c r="R85" s="2657"/>
      <c r="S85" s="908"/>
      <c r="T85" s="908"/>
      <c r="U85" s="908"/>
      <c r="V85" s="908"/>
      <c r="W85" s="908"/>
      <c r="X85" s="908"/>
      <c r="Y85" s="908"/>
      <c r="Z85" s="908"/>
      <c r="AA85" s="908"/>
      <c r="AB85" s="908"/>
      <c r="AC85" s="2656"/>
      <c r="AD85" s="2656"/>
      <c r="AF85" s="620"/>
      <c r="AH85" s="604"/>
    </row>
    <row r="86" spans="3:37" s="158" customFormat="1">
      <c r="C86" s="2335" t="s">
        <v>1924</v>
      </c>
      <c r="D86" s="2335"/>
      <c r="E86" s="2335"/>
      <c r="F86" s="2335"/>
      <c r="G86" s="824"/>
      <c r="H86" s="824"/>
      <c r="I86" s="824"/>
      <c r="J86" s="824"/>
      <c r="K86" s="2649" t="s">
        <v>2775</v>
      </c>
      <c r="L86" s="2649"/>
      <c r="M86" s="2649"/>
      <c r="N86" s="2649"/>
      <c r="O86" s="2649"/>
      <c r="P86" s="201"/>
      <c r="Q86" s="201"/>
      <c r="R86" s="201"/>
      <c r="S86" s="747"/>
      <c r="T86" s="747"/>
      <c r="U86" s="747"/>
      <c r="V86" s="747"/>
      <c r="W86" s="747"/>
      <c r="X86" s="747"/>
      <c r="Y86" s="747"/>
      <c r="Z86" s="747"/>
      <c r="AA86" s="747"/>
      <c r="AB86" s="747"/>
      <c r="AC86" s="745"/>
      <c r="AD86" s="2650" t="s">
        <v>613</v>
      </c>
      <c r="AE86" s="2650"/>
      <c r="AF86" s="620"/>
      <c r="AG86" s="200"/>
      <c r="AH86" s="604"/>
    </row>
    <row r="87" spans="3:37" s="158" customFormat="1" ht="14.25" customHeight="1">
      <c r="C87" s="617"/>
      <c r="D87" s="617"/>
      <c r="E87" s="617"/>
      <c r="F87" s="2651"/>
      <c r="G87" s="2651"/>
      <c r="H87" s="2651"/>
      <c r="I87" s="2651"/>
      <c r="J87" s="2651"/>
      <c r="K87" s="2651"/>
      <c r="L87" s="2652"/>
      <c r="M87" s="2652"/>
      <c r="N87" s="2652"/>
      <c r="O87" s="749"/>
      <c r="P87" s="2653"/>
      <c r="Q87" s="2653"/>
      <c r="R87" s="201"/>
      <c r="AC87" s="745"/>
      <c r="AD87" s="200"/>
      <c r="AE87" s="172"/>
      <c r="AF87" s="620"/>
      <c r="AH87" s="604"/>
    </row>
    <row r="88" spans="3:37" s="158" customFormat="1">
      <c r="C88" s="618"/>
      <c r="E88" s="200"/>
      <c r="F88" s="2647"/>
      <c r="G88" s="2647"/>
      <c r="H88" s="2647"/>
      <c r="I88" s="2647"/>
      <c r="J88" s="2647"/>
      <c r="K88" s="2647"/>
      <c r="L88" s="750"/>
      <c r="M88" s="750"/>
      <c r="N88" s="2648"/>
      <c r="O88" s="2648"/>
      <c r="P88" s="2648"/>
      <c r="Q88" s="2646"/>
      <c r="R88" s="2646"/>
      <c r="S88" s="201"/>
      <c r="T88" s="201"/>
      <c r="U88" s="201"/>
      <c r="V88" s="201"/>
      <c r="W88" s="201"/>
      <c r="X88" s="201"/>
      <c r="Y88" s="201"/>
      <c r="Z88" s="201"/>
      <c r="AA88" s="201"/>
      <c r="AB88" s="201"/>
      <c r="AC88" s="745"/>
      <c r="AD88" s="200"/>
      <c r="AE88" s="734"/>
      <c r="AF88" s="620"/>
      <c r="AH88" s="604"/>
    </row>
    <row r="89" spans="3:37" s="158" customFormat="1">
      <c r="E89" s="200"/>
      <c r="F89" s="619"/>
      <c r="G89" s="2645"/>
      <c r="H89" s="2645"/>
      <c r="I89" s="2645"/>
      <c r="J89" s="2645"/>
      <c r="K89" s="2645"/>
      <c r="L89" s="750"/>
      <c r="M89" s="750"/>
      <c r="N89" s="750"/>
      <c r="O89" s="750"/>
      <c r="P89" s="201"/>
      <c r="Q89" s="2646"/>
      <c r="R89" s="2646"/>
      <c r="AC89" s="745"/>
      <c r="AD89" s="200"/>
      <c r="AF89" s="620"/>
      <c r="AG89" s="618" t="e">
        <f>+#REF!+#REF!+#REF!+#REF!+#REF!+#REF!</f>
        <v>#REF!</v>
      </c>
      <c r="AH89" s="604"/>
    </row>
    <row r="90" spans="3:37" s="158" customFormat="1">
      <c r="C90" s="200"/>
      <c r="E90" s="200"/>
      <c r="F90" s="619"/>
      <c r="G90" s="2645"/>
      <c r="H90" s="2645"/>
      <c r="I90" s="2645"/>
      <c r="J90" s="2645"/>
      <c r="K90" s="2645"/>
      <c r="L90" s="750"/>
      <c r="M90" s="750"/>
      <c r="N90" s="750"/>
      <c r="O90" s="750"/>
      <c r="P90" s="201"/>
      <c r="Q90" s="2646"/>
      <c r="R90" s="2646"/>
      <c r="S90" s="618"/>
      <c r="T90" s="618"/>
      <c r="U90" s="618"/>
      <c r="V90" s="618"/>
      <c r="W90" s="618"/>
      <c r="X90" s="618"/>
      <c r="Y90" s="618"/>
      <c r="Z90" s="618"/>
      <c r="AA90" s="618"/>
      <c r="AB90" s="618"/>
      <c r="AC90" s="745"/>
      <c r="AD90" s="200"/>
      <c r="AF90" s="620"/>
      <c r="AH90" s="604"/>
    </row>
    <row r="91" spans="3:37" s="158" customFormat="1">
      <c r="E91" s="200"/>
      <c r="F91" s="619"/>
      <c r="G91" s="2645"/>
      <c r="H91" s="2645"/>
      <c r="I91" s="2645"/>
      <c r="J91" s="2645"/>
      <c r="K91" s="2645"/>
      <c r="L91" s="750"/>
      <c r="M91" s="750"/>
      <c r="N91" s="750"/>
      <c r="O91" s="750"/>
      <c r="P91" s="201"/>
      <c r="Q91" s="2646"/>
      <c r="R91" s="2646"/>
      <c r="S91" s="200"/>
      <c r="T91" s="200"/>
      <c r="U91" s="200"/>
      <c r="V91" s="200"/>
      <c r="W91" s="200"/>
      <c r="X91" s="200"/>
      <c r="Y91" s="200"/>
      <c r="Z91" s="200"/>
      <c r="AA91" s="200"/>
      <c r="AB91" s="200"/>
      <c r="AC91" s="745"/>
      <c r="AD91" s="200"/>
      <c r="AF91" s="620"/>
      <c r="AH91" s="604"/>
    </row>
    <row r="92" spans="3:37" s="158" customFormat="1">
      <c r="E92" s="200"/>
      <c r="F92" s="619"/>
      <c r="G92" s="2645"/>
      <c r="H92" s="2645"/>
      <c r="I92" s="2645"/>
      <c r="J92" s="2645"/>
      <c r="K92" s="2645"/>
      <c r="L92" s="750"/>
      <c r="M92" s="750"/>
      <c r="N92" s="750"/>
      <c r="O92" s="750"/>
      <c r="P92" s="201"/>
      <c r="Q92" s="2646"/>
      <c r="R92" s="2646"/>
      <c r="S92" s="200"/>
      <c r="T92" s="200"/>
      <c r="U92" s="200"/>
      <c r="V92" s="200"/>
      <c r="W92" s="200"/>
      <c r="X92" s="200"/>
      <c r="Y92" s="200"/>
      <c r="Z92" s="200"/>
      <c r="AA92" s="200"/>
      <c r="AB92" s="200"/>
      <c r="AC92" s="745"/>
      <c r="AD92" s="200"/>
      <c r="AF92" s="620"/>
      <c r="AH92" s="604"/>
    </row>
    <row r="93" spans="3:37" s="158" customFormat="1">
      <c r="E93" s="200"/>
      <c r="F93" s="619"/>
      <c r="G93" s="613"/>
      <c r="H93" s="613"/>
      <c r="I93" s="613"/>
      <c r="J93" s="613"/>
      <c r="K93" s="746"/>
      <c r="L93" s="752"/>
      <c r="M93" s="752"/>
      <c r="N93" s="752"/>
      <c r="O93" s="752"/>
      <c r="P93" s="201"/>
      <c r="Q93" s="201"/>
      <c r="R93" s="201"/>
      <c r="AC93" s="745"/>
      <c r="AD93" s="200"/>
      <c r="AF93" s="620"/>
      <c r="AH93" s="604"/>
    </row>
    <row r="94" spans="3:37" s="158" customFormat="1">
      <c r="C94" s="620"/>
      <c r="E94" s="200"/>
      <c r="F94" s="619"/>
      <c r="G94" s="613"/>
      <c r="H94" s="613"/>
      <c r="I94" s="613"/>
      <c r="J94" s="613"/>
      <c r="K94" s="726"/>
      <c r="L94" s="734"/>
      <c r="M94" s="734"/>
      <c r="N94" s="734"/>
      <c r="O94" s="734"/>
      <c r="P94" s="201"/>
      <c r="Q94" s="201"/>
      <c r="R94" s="201"/>
      <c r="AC94" s="745"/>
      <c r="AD94" s="200"/>
      <c r="AF94" s="620"/>
      <c r="AH94" s="604"/>
    </row>
    <row r="95" spans="3:37" s="158" customFormat="1">
      <c r="E95" s="200"/>
      <c r="F95" s="621"/>
      <c r="G95" s="613"/>
      <c r="H95" s="613"/>
      <c r="I95" s="613"/>
      <c r="J95" s="613"/>
      <c r="K95" s="726"/>
      <c r="L95" s="734"/>
      <c r="M95" s="734"/>
      <c r="N95" s="734"/>
      <c r="O95" s="734"/>
      <c r="P95" s="201"/>
      <c r="Q95" s="201"/>
      <c r="R95" s="201"/>
      <c r="S95" s="746"/>
      <c r="T95" s="746"/>
      <c r="U95" s="746"/>
      <c r="V95" s="746"/>
      <c r="W95" s="746"/>
      <c r="X95" s="746"/>
      <c r="Y95" s="746"/>
      <c r="Z95" s="746"/>
      <c r="AA95" s="746"/>
      <c r="AB95" s="746"/>
      <c r="AC95" s="745"/>
      <c r="AD95" s="200"/>
      <c r="AF95" s="620"/>
      <c r="AH95" s="604"/>
    </row>
    <row r="96" spans="3:37" s="158" customFormat="1">
      <c r="E96" s="200"/>
      <c r="F96" s="621"/>
      <c r="G96" s="613"/>
      <c r="H96" s="613"/>
      <c r="I96" s="613"/>
      <c r="J96" s="613"/>
      <c r="K96" s="726"/>
      <c r="L96" s="734"/>
      <c r="M96" s="734"/>
      <c r="N96" s="734"/>
      <c r="O96" s="734"/>
      <c r="P96" s="201"/>
      <c r="Q96" s="201"/>
      <c r="R96" s="201"/>
      <c r="S96" s="909"/>
      <c r="T96" s="909"/>
      <c r="U96" s="909"/>
      <c r="V96" s="909"/>
      <c r="W96" s="909"/>
      <c r="X96" s="909"/>
      <c r="Y96" s="909"/>
      <c r="Z96" s="909"/>
      <c r="AA96" s="909"/>
      <c r="AB96" s="909"/>
      <c r="AC96" s="745"/>
      <c r="AD96" s="200"/>
      <c r="AF96" s="620"/>
      <c r="AH96" s="604"/>
    </row>
    <row r="97" spans="5:34" s="158" customFormat="1">
      <c r="E97" s="200"/>
      <c r="F97" s="621"/>
      <c r="G97" s="613"/>
      <c r="H97" s="613"/>
      <c r="I97" s="613"/>
      <c r="J97" s="613"/>
      <c r="K97" s="726"/>
      <c r="L97" s="734"/>
      <c r="M97" s="734"/>
      <c r="N97" s="734"/>
      <c r="O97" s="734"/>
      <c r="P97" s="201"/>
      <c r="Q97" s="201"/>
      <c r="R97" s="201"/>
      <c r="AC97" s="745"/>
      <c r="AD97" s="200"/>
      <c r="AF97" s="620"/>
      <c r="AH97" s="604"/>
    </row>
    <row r="98" spans="5:34" s="158" customFormat="1">
      <c r="E98" s="200"/>
      <c r="F98" s="621"/>
      <c r="G98" s="613"/>
      <c r="H98" s="613"/>
      <c r="I98" s="613"/>
      <c r="J98" s="613"/>
      <c r="K98" s="726"/>
      <c r="L98" s="734"/>
      <c r="M98" s="734"/>
      <c r="N98" s="734"/>
      <c r="O98" s="734"/>
      <c r="P98" s="201"/>
      <c r="Q98" s="201"/>
      <c r="R98" s="201"/>
      <c r="AC98" s="745"/>
      <c r="AD98" s="200"/>
      <c r="AF98" s="620"/>
      <c r="AH98" s="604"/>
    </row>
    <row r="99" spans="5:34" s="158" customFormat="1">
      <c r="E99" s="200"/>
      <c r="F99" s="621"/>
      <c r="G99" s="613"/>
      <c r="H99" s="613"/>
      <c r="I99" s="613"/>
      <c r="J99" s="613"/>
      <c r="K99" s="726"/>
      <c r="L99" s="734"/>
      <c r="M99" s="734"/>
      <c r="N99" s="734"/>
      <c r="O99" s="734"/>
      <c r="P99" s="201"/>
      <c r="Q99" s="201"/>
      <c r="R99" s="201"/>
      <c r="AC99" s="745"/>
      <c r="AD99" s="200"/>
      <c r="AF99" s="620"/>
      <c r="AH99" s="604"/>
    </row>
    <row r="100" spans="5:34" s="158" customFormat="1">
      <c r="E100" s="200"/>
      <c r="F100" s="621"/>
      <c r="G100" s="613"/>
      <c r="H100" s="613"/>
      <c r="I100" s="613"/>
      <c r="J100" s="613"/>
      <c r="K100" s="726"/>
      <c r="L100" s="734"/>
      <c r="M100" s="734"/>
      <c r="N100" s="734"/>
      <c r="O100" s="734"/>
      <c r="P100" s="201"/>
      <c r="Q100" s="201"/>
      <c r="R100" s="201"/>
      <c r="AC100" s="745"/>
      <c r="AD100" s="200"/>
      <c r="AF100" s="620"/>
      <c r="AH100" s="604"/>
    </row>
    <row r="101" spans="5:34" s="158" customFormat="1">
      <c r="E101" s="200"/>
      <c r="F101" s="621"/>
      <c r="G101" s="613"/>
      <c r="H101" s="613"/>
      <c r="I101" s="613"/>
      <c r="J101" s="613"/>
      <c r="K101" s="726"/>
      <c r="L101" s="734"/>
      <c r="M101" s="734"/>
      <c r="N101" s="734"/>
      <c r="O101" s="734"/>
      <c r="P101" s="201"/>
      <c r="Q101" s="201"/>
      <c r="R101" s="201"/>
      <c r="AC101" s="745"/>
      <c r="AD101" s="200"/>
      <c r="AF101" s="620"/>
      <c r="AH101" s="604"/>
    </row>
    <row r="102" spans="5:34" s="158" customFormat="1">
      <c r="E102" s="200"/>
      <c r="F102" s="621"/>
      <c r="G102" s="613"/>
      <c r="H102" s="613"/>
      <c r="I102" s="613"/>
      <c r="J102" s="613"/>
      <c r="K102" s="726"/>
      <c r="L102" s="734"/>
      <c r="M102" s="734"/>
      <c r="N102" s="734"/>
      <c r="O102" s="734"/>
      <c r="P102" s="201"/>
      <c r="Q102" s="201"/>
      <c r="R102" s="201"/>
      <c r="AC102" s="745"/>
      <c r="AD102" s="200"/>
      <c r="AF102" s="620"/>
      <c r="AH102" s="604"/>
    </row>
    <row r="103" spans="5:34" s="158" customFormat="1">
      <c r="E103" s="200"/>
      <c r="F103" s="621"/>
      <c r="G103" s="613"/>
      <c r="H103" s="613"/>
      <c r="I103" s="613"/>
      <c r="J103" s="613"/>
      <c r="K103" s="726"/>
      <c r="L103" s="734"/>
      <c r="M103" s="734"/>
      <c r="N103" s="734"/>
      <c r="O103" s="734"/>
      <c r="P103" s="201"/>
      <c r="Q103" s="201"/>
      <c r="R103" s="201"/>
      <c r="AC103" s="745"/>
      <c r="AD103" s="200"/>
      <c r="AF103" s="620"/>
      <c r="AH103" s="604"/>
    </row>
    <row r="104" spans="5:34" s="158" customFormat="1">
      <c r="E104" s="200"/>
      <c r="F104" s="621"/>
      <c r="G104" s="613"/>
      <c r="H104" s="613"/>
      <c r="I104" s="613"/>
      <c r="J104" s="613"/>
      <c r="K104" s="726"/>
      <c r="L104" s="734"/>
      <c r="M104" s="734"/>
      <c r="N104" s="734"/>
      <c r="O104" s="734"/>
      <c r="P104" s="201"/>
      <c r="Q104" s="201"/>
      <c r="R104" s="201"/>
      <c r="AC104" s="745"/>
      <c r="AD104" s="200"/>
      <c r="AF104" s="620"/>
      <c r="AH104" s="604"/>
    </row>
    <row r="105" spans="5:34" s="158" customFormat="1">
      <c r="E105" s="200"/>
      <c r="F105" s="621"/>
      <c r="G105" s="613"/>
      <c r="H105" s="613"/>
      <c r="I105" s="613"/>
      <c r="J105" s="613"/>
      <c r="K105" s="726"/>
      <c r="L105" s="734"/>
      <c r="M105" s="734"/>
      <c r="N105" s="734"/>
      <c r="O105" s="734"/>
      <c r="P105" s="201"/>
      <c r="Q105" s="201"/>
      <c r="R105" s="201"/>
      <c r="AC105" s="745"/>
      <c r="AD105" s="200"/>
      <c r="AF105" s="620"/>
      <c r="AH105" s="604"/>
    </row>
    <row r="106" spans="5:34" s="158" customFormat="1">
      <c r="E106" s="200"/>
      <c r="F106" s="621"/>
      <c r="G106" s="613"/>
      <c r="H106" s="613"/>
      <c r="I106" s="613"/>
      <c r="J106" s="613"/>
      <c r="K106" s="726"/>
      <c r="L106" s="734"/>
      <c r="M106" s="734"/>
      <c r="N106" s="734"/>
      <c r="O106" s="734"/>
      <c r="P106" s="201"/>
      <c r="Q106" s="201"/>
      <c r="R106" s="201"/>
      <c r="AC106" s="745"/>
      <c r="AD106" s="200"/>
      <c r="AF106" s="620"/>
      <c r="AH106" s="604"/>
    </row>
    <row r="107" spans="5:34" s="158" customFormat="1">
      <c r="E107" s="200"/>
      <c r="F107" s="621"/>
      <c r="G107" s="613"/>
      <c r="H107" s="613"/>
      <c r="I107" s="613"/>
      <c r="J107" s="613"/>
      <c r="K107" s="726"/>
      <c r="L107" s="734"/>
      <c r="M107" s="734"/>
      <c r="N107" s="734"/>
      <c r="O107" s="734"/>
      <c r="P107" s="201"/>
      <c r="Q107" s="201"/>
      <c r="R107" s="201"/>
      <c r="AC107" s="745"/>
      <c r="AD107" s="200"/>
      <c r="AF107" s="620"/>
      <c r="AH107" s="604"/>
    </row>
    <row r="108" spans="5:34" s="158" customFormat="1">
      <c r="E108" s="200"/>
      <c r="F108" s="621"/>
      <c r="G108" s="613"/>
      <c r="H108" s="613"/>
      <c r="I108" s="613"/>
      <c r="J108" s="613"/>
      <c r="K108" s="726"/>
      <c r="L108" s="734"/>
      <c r="M108" s="734"/>
      <c r="N108" s="734"/>
      <c r="O108" s="734"/>
      <c r="P108" s="201"/>
      <c r="Q108" s="201"/>
      <c r="R108" s="201"/>
      <c r="AC108" s="745"/>
      <c r="AD108" s="200"/>
      <c r="AF108" s="620"/>
      <c r="AH108" s="604"/>
    </row>
    <row r="109" spans="5:34" s="158" customFormat="1">
      <c r="E109" s="200"/>
      <c r="F109" s="621"/>
      <c r="G109" s="613"/>
      <c r="H109" s="613"/>
      <c r="I109" s="613"/>
      <c r="J109" s="613"/>
      <c r="K109" s="726"/>
      <c r="L109" s="734"/>
      <c r="M109" s="734"/>
      <c r="N109" s="734"/>
      <c r="O109" s="734"/>
      <c r="P109" s="201"/>
      <c r="Q109" s="201"/>
      <c r="R109" s="201"/>
      <c r="AC109" s="745"/>
      <c r="AD109" s="200"/>
      <c r="AF109" s="620"/>
      <c r="AH109" s="604"/>
    </row>
    <row r="110" spans="5:34" s="158" customFormat="1">
      <c r="E110" s="200"/>
      <c r="F110" s="621"/>
      <c r="G110" s="613"/>
      <c r="H110" s="613"/>
      <c r="I110" s="613"/>
      <c r="J110" s="613"/>
      <c r="K110" s="726"/>
      <c r="L110" s="734"/>
      <c r="M110" s="734"/>
      <c r="N110" s="734"/>
      <c r="O110" s="734"/>
      <c r="P110" s="201"/>
      <c r="Q110" s="201"/>
      <c r="R110" s="201"/>
      <c r="AC110" s="745"/>
      <c r="AD110" s="200"/>
      <c r="AF110" s="620"/>
      <c r="AH110" s="604"/>
    </row>
    <row r="111" spans="5:34" s="158" customFormat="1">
      <c r="E111" s="200"/>
      <c r="F111" s="621"/>
      <c r="G111" s="613"/>
      <c r="H111" s="613"/>
      <c r="I111" s="613"/>
      <c r="J111" s="613"/>
      <c r="K111" s="726"/>
      <c r="L111" s="734"/>
      <c r="M111" s="734"/>
      <c r="N111" s="734"/>
      <c r="O111" s="734"/>
      <c r="P111" s="201"/>
      <c r="Q111" s="201"/>
      <c r="R111" s="201"/>
      <c r="AC111" s="745"/>
      <c r="AD111" s="200"/>
      <c r="AF111" s="620"/>
      <c r="AH111" s="604"/>
    </row>
    <row r="112" spans="5:34" s="158" customFormat="1">
      <c r="E112" s="200"/>
      <c r="F112" s="621"/>
      <c r="G112" s="613"/>
      <c r="H112" s="613"/>
      <c r="I112" s="613"/>
      <c r="J112" s="613"/>
      <c r="K112" s="726"/>
      <c r="L112" s="734"/>
      <c r="M112" s="734"/>
      <c r="N112" s="734"/>
      <c r="O112" s="734"/>
      <c r="P112" s="201"/>
      <c r="Q112" s="201"/>
      <c r="R112" s="201"/>
      <c r="AC112" s="745"/>
      <c r="AD112" s="200"/>
      <c r="AF112" s="620"/>
      <c r="AH112" s="604"/>
    </row>
    <row r="113" spans="5:34" s="158" customFormat="1">
      <c r="E113" s="200"/>
      <c r="F113" s="621"/>
      <c r="G113" s="613"/>
      <c r="H113" s="613"/>
      <c r="I113" s="613"/>
      <c r="J113" s="613"/>
      <c r="K113" s="726"/>
      <c r="L113" s="734"/>
      <c r="M113" s="734"/>
      <c r="N113" s="734"/>
      <c r="O113" s="734"/>
      <c r="P113" s="201"/>
      <c r="Q113" s="201"/>
      <c r="R113" s="201"/>
      <c r="AC113" s="745"/>
      <c r="AD113" s="200"/>
      <c r="AF113" s="620"/>
      <c r="AH113" s="604"/>
    </row>
    <row r="114" spans="5:34" s="158" customFormat="1">
      <c r="E114" s="200"/>
      <c r="F114" s="621"/>
      <c r="G114" s="613"/>
      <c r="H114" s="613"/>
      <c r="I114" s="613"/>
      <c r="J114" s="613"/>
      <c r="K114" s="726"/>
      <c r="L114" s="734"/>
      <c r="M114" s="734"/>
      <c r="N114" s="734"/>
      <c r="O114" s="734"/>
      <c r="P114" s="201"/>
      <c r="Q114" s="201"/>
      <c r="R114" s="201"/>
      <c r="AC114" s="745"/>
      <c r="AD114" s="200"/>
      <c r="AF114" s="620"/>
      <c r="AH114" s="604"/>
    </row>
    <row r="115" spans="5:34" s="158" customFormat="1">
      <c r="E115" s="200"/>
      <c r="F115" s="621"/>
      <c r="G115" s="613"/>
      <c r="H115" s="613"/>
      <c r="I115" s="613"/>
      <c r="J115" s="613"/>
      <c r="K115" s="726"/>
      <c r="L115" s="734"/>
      <c r="M115" s="734"/>
      <c r="N115" s="734"/>
      <c r="O115" s="734"/>
      <c r="P115" s="201"/>
      <c r="Q115" s="201"/>
      <c r="R115" s="201"/>
      <c r="V115" s="200" t="e">
        <f>SUM(V15:V114)</f>
        <v>#N/A</v>
      </c>
      <c r="AC115" s="745"/>
      <c r="AD115" s="200"/>
      <c r="AF115" s="620"/>
      <c r="AH115" s="604"/>
    </row>
    <row r="116" spans="5:34" s="158" customFormat="1">
      <c r="E116" s="200"/>
      <c r="F116" s="621"/>
      <c r="G116" s="613"/>
      <c r="H116" s="613"/>
      <c r="I116" s="613"/>
      <c r="J116" s="613"/>
      <c r="K116" s="726"/>
      <c r="L116" s="734"/>
      <c r="M116" s="734"/>
      <c r="N116" s="734"/>
      <c r="O116" s="734"/>
      <c r="P116" s="201"/>
      <c r="Q116" s="201"/>
      <c r="R116" s="201"/>
      <c r="AC116" s="745"/>
      <c r="AD116" s="200"/>
      <c r="AF116" s="620"/>
      <c r="AH116" s="604"/>
    </row>
    <row r="117" spans="5:34" s="158" customFormat="1">
      <c r="E117" s="200"/>
      <c r="F117" s="621"/>
      <c r="G117" s="613"/>
      <c r="H117" s="613"/>
      <c r="I117" s="613"/>
      <c r="J117" s="613"/>
      <c r="K117" s="726"/>
      <c r="L117" s="734"/>
      <c r="M117" s="734"/>
      <c r="N117" s="734"/>
      <c r="O117" s="734"/>
      <c r="P117" s="201"/>
      <c r="Q117" s="201"/>
      <c r="R117" s="201"/>
      <c r="AC117" s="745"/>
      <c r="AD117" s="200"/>
      <c r="AF117" s="620"/>
      <c r="AH117" s="604"/>
    </row>
    <row r="118" spans="5:34" s="158" customFormat="1">
      <c r="E118" s="200"/>
      <c r="F118" s="621"/>
      <c r="G118" s="613"/>
      <c r="H118" s="613"/>
      <c r="I118" s="613"/>
      <c r="J118" s="613"/>
      <c r="K118" s="726"/>
      <c r="L118" s="734"/>
      <c r="M118" s="734"/>
      <c r="N118" s="734"/>
      <c r="O118" s="734"/>
      <c r="P118" s="201"/>
      <c r="Q118" s="201"/>
      <c r="R118" s="201"/>
      <c r="AC118" s="745"/>
      <c r="AD118" s="200"/>
      <c r="AF118" s="620"/>
      <c r="AH118" s="604"/>
    </row>
    <row r="119" spans="5:34" s="158" customFormat="1">
      <c r="E119" s="200"/>
      <c r="F119" s="621"/>
      <c r="G119" s="613"/>
      <c r="H119" s="613"/>
      <c r="I119" s="613"/>
      <c r="J119" s="613"/>
      <c r="K119" s="726"/>
      <c r="L119" s="734"/>
      <c r="M119" s="734"/>
      <c r="N119" s="734"/>
      <c r="O119" s="734"/>
      <c r="P119" s="201"/>
      <c r="Q119" s="201"/>
      <c r="R119" s="201"/>
      <c r="AC119" s="745"/>
      <c r="AD119" s="200"/>
      <c r="AF119" s="620"/>
      <c r="AH119" s="604"/>
    </row>
    <row r="120" spans="5:34" s="158" customFormat="1">
      <c r="E120" s="200"/>
      <c r="F120" s="621"/>
      <c r="G120" s="613"/>
      <c r="H120" s="613"/>
      <c r="I120" s="613"/>
      <c r="J120" s="613"/>
      <c r="K120" s="726"/>
      <c r="L120" s="734"/>
      <c r="M120" s="734"/>
      <c r="N120" s="734"/>
      <c r="O120" s="734"/>
      <c r="P120" s="201"/>
      <c r="Q120" s="201"/>
      <c r="R120" s="201"/>
      <c r="AC120" s="745"/>
      <c r="AD120" s="200"/>
      <c r="AF120" s="620"/>
      <c r="AH120" s="604"/>
    </row>
    <row r="121" spans="5:34" s="158" customFormat="1">
      <c r="E121" s="200"/>
      <c r="F121" s="621"/>
      <c r="G121" s="613"/>
      <c r="H121" s="613"/>
      <c r="I121" s="613"/>
      <c r="J121" s="613"/>
      <c r="K121" s="726"/>
      <c r="L121" s="734"/>
      <c r="M121" s="734"/>
      <c r="N121" s="734"/>
      <c r="O121" s="734"/>
      <c r="P121" s="201"/>
      <c r="Q121" s="201"/>
      <c r="R121" s="201"/>
      <c r="AC121" s="745"/>
      <c r="AD121" s="200"/>
      <c r="AF121" s="620"/>
      <c r="AH121" s="604"/>
    </row>
    <row r="122" spans="5:34" s="158" customFormat="1">
      <c r="E122" s="200"/>
      <c r="F122" s="621"/>
      <c r="G122" s="613"/>
      <c r="H122" s="613"/>
      <c r="I122" s="613"/>
      <c r="J122" s="613"/>
      <c r="K122" s="726"/>
      <c r="L122" s="734"/>
      <c r="M122" s="734"/>
      <c r="N122" s="734"/>
      <c r="O122" s="734"/>
      <c r="P122" s="201"/>
      <c r="Q122" s="201"/>
      <c r="R122" s="201"/>
      <c r="AC122" s="745"/>
      <c r="AD122" s="200"/>
      <c r="AF122" s="620"/>
      <c r="AH122" s="604"/>
    </row>
    <row r="123" spans="5:34" s="158" customFormat="1">
      <c r="E123" s="200"/>
      <c r="F123" s="621"/>
      <c r="G123" s="613"/>
      <c r="H123" s="613"/>
      <c r="I123" s="613"/>
      <c r="J123" s="613"/>
      <c r="K123" s="726"/>
      <c r="L123" s="734"/>
      <c r="M123" s="734"/>
      <c r="N123" s="734"/>
      <c r="O123" s="734"/>
      <c r="P123" s="201"/>
      <c r="Q123" s="201"/>
      <c r="R123" s="201"/>
      <c r="AC123" s="745"/>
      <c r="AD123" s="200"/>
      <c r="AF123" s="620"/>
      <c r="AH123" s="604"/>
    </row>
    <row r="124" spans="5:34" s="158" customFormat="1">
      <c r="E124" s="200"/>
      <c r="F124" s="621"/>
      <c r="G124" s="613"/>
      <c r="H124" s="613"/>
      <c r="I124" s="613"/>
      <c r="J124" s="613"/>
      <c r="K124" s="726"/>
      <c r="L124" s="734"/>
      <c r="M124" s="734"/>
      <c r="N124" s="734"/>
      <c r="O124" s="734"/>
      <c r="P124" s="201"/>
      <c r="Q124" s="201"/>
      <c r="R124" s="201"/>
      <c r="AC124" s="745"/>
      <c r="AD124" s="200"/>
      <c r="AF124" s="620"/>
      <c r="AH124" s="604"/>
    </row>
    <row r="125" spans="5:34" s="158" customFormat="1">
      <c r="E125" s="200"/>
      <c r="F125" s="621"/>
      <c r="G125" s="613"/>
      <c r="H125" s="613"/>
      <c r="I125" s="613"/>
      <c r="J125" s="613"/>
      <c r="K125" s="726"/>
      <c r="L125" s="734"/>
      <c r="M125" s="734"/>
      <c r="N125" s="734"/>
      <c r="O125" s="734"/>
      <c r="P125" s="201"/>
      <c r="Q125" s="201"/>
      <c r="R125" s="201"/>
      <c r="AC125" s="745"/>
      <c r="AD125" s="200"/>
      <c r="AF125" s="620"/>
      <c r="AH125" s="604"/>
    </row>
    <row r="126" spans="5:34" s="158" customFormat="1">
      <c r="E126" s="200"/>
      <c r="F126" s="621"/>
      <c r="G126" s="613"/>
      <c r="H126" s="613"/>
      <c r="I126" s="613"/>
      <c r="J126" s="613"/>
      <c r="K126" s="726"/>
      <c r="L126" s="734"/>
      <c r="M126" s="734"/>
      <c r="N126" s="734"/>
      <c r="O126" s="734"/>
      <c r="P126" s="201"/>
      <c r="Q126" s="201"/>
      <c r="R126" s="201"/>
      <c r="AC126" s="745"/>
      <c r="AD126" s="200"/>
      <c r="AF126" s="620"/>
      <c r="AH126" s="604"/>
    </row>
    <row r="127" spans="5:34" s="158" customFormat="1">
      <c r="E127" s="200"/>
      <c r="F127" s="621"/>
      <c r="G127" s="613"/>
      <c r="H127" s="613"/>
      <c r="I127" s="613"/>
      <c r="J127" s="613"/>
      <c r="K127" s="726"/>
      <c r="L127" s="734"/>
      <c r="M127" s="734"/>
      <c r="N127" s="734"/>
      <c r="O127" s="734"/>
      <c r="P127" s="201"/>
      <c r="Q127" s="201"/>
      <c r="R127" s="201"/>
      <c r="AC127" s="745"/>
      <c r="AD127" s="200"/>
      <c r="AF127" s="620"/>
      <c r="AH127" s="604"/>
    </row>
    <row r="128" spans="5:34" s="158" customFormat="1">
      <c r="E128" s="200"/>
      <c r="F128" s="621"/>
      <c r="G128" s="613"/>
      <c r="H128" s="613"/>
      <c r="I128" s="613"/>
      <c r="J128" s="613"/>
      <c r="K128" s="726"/>
      <c r="L128" s="734"/>
      <c r="M128" s="734"/>
      <c r="N128" s="734"/>
      <c r="O128" s="734"/>
      <c r="P128" s="201"/>
      <c r="Q128" s="201"/>
      <c r="R128" s="201"/>
      <c r="AC128" s="745"/>
      <c r="AD128" s="200"/>
      <c r="AF128" s="620"/>
      <c r="AH128" s="604"/>
    </row>
  </sheetData>
  <autoFilter ref="A14:AK84"/>
  <mergeCells count="48">
    <mergeCell ref="B1:AE1"/>
    <mergeCell ref="B2:AE2"/>
    <mergeCell ref="C3:AE3"/>
    <mergeCell ref="C4:K4"/>
    <mergeCell ref="C5:K5"/>
    <mergeCell ref="A7:AE7"/>
    <mergeCell ref="A8:D8"/>
    <mergeCell ref="F10:AC10"/>
    <mergeCell ref="F11:G11"/>
    <mergeCell ref="K11:Q11"/>
    <mergeCell ref="R11:AC11"/>
    <mergeCell ref="A10:A12"/>
    <mergeCell ref="B10:B12"/>
    <mergeCell ref="C10:C12"/>
    <mergeCell ref="D10:D12"/>
    <mergeCell ref="E10:E12"/>
    <mergeCell ref="AD10:AD12"/>
    <mergeCell ref="AE10:AE12"/>
    <mergeCell ref="AI78:AJ78"/>
    <mergeCell ref="A79:AE79"/>
    <mergeCell ref="AC80:AE80"/>
    <mergeCell ref="C81:F81"/>
    <mergeCell ref="G81:P81"/>
    <mergeCell ref="Q81:AC81"/>
    <mergeCell ref="AD81:AE81"/>
    <mergeCell ref="K84:N84"/>
    <mergeCell ref="P84:Q84"/>
    <mergeCell ref="AD84:AE84"/>
    <mergeCell ref="K85:L85"/>
    <mergeCell ref="P85:R85"/>
    <mergeCell ref="AC85:AD85"/>
    <mergeCell ref="C86:F86"/>
    <mergeCell ref="K86:O86"/>
    <mergeCell ref="AD86:AE86"/>
    <mergeCell ref="F87:K87"/>
    <mergeCell ref="L87:N87"/>
    <mergeCell ref="P87:Q87"/>
    <mergeCell ref="F88:K88"/>
    <mergeCell ref="N88:P88"/>
    <mergeCell ref="Q88:R88"/>
    <mergeCell ref="G89:K89"/>
    <mergeCell ref="Q89:R89"/>
    <mergeCell ref="G90:K90"/>
    <mergeCell ref="Q90:R90"/>
    <mergeCell ref="G91:K91"/>
    <mergeCell ref="Q91:R91"/>
    <mergeCell ref="G92:K92"/>
    <mergeCell ref="Q92:R92"/>
  </mergeCells>
  <printOptions horizontalCentered="1"/>
  <pageMargins left="0" right="0" top="0.511811023622047" bottom="0.511811023622047" header="0.31496062992126" footer="0.31496062992126"/>
  <pageSetup paperSize="9" scale="80" orientation="landscape"/>
  <headerFooter>
    <oddFooter>&amp;R&amp;P/3</oddFooter>
  </headerFooter>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pageSetUpPr fitToPage="1"/>
  </sheetPr>
  <dimension ref="A1:AA38"/>
  <sheetViews>
    <sheetView view="pageLayout" topLeftCell="G10" zoomScaleNormal="100" zoomScaleSheetLayoutView="90" workbookViewId="0">
      <selection activeCell="M32" sqref="M32"/>
    </sheetView>
  </sheetViews>
  <sheetFormatPr defaultColWidth="6.7109375" defaultRowHeight="15.75"/>
  <cols>
    <col min="1" max="1" width="3.28515625" style="54" customWidth="1"/>
    <col min="2" max="2" width="5.5703125" style="54" hidden="1" customWidth="1"/>
    <col min="3" max="4" width="11" style="766" hidden="1" customWidth="1"/>
    <col min="5" max="5" width="16.85546875" style="765" customWidth="1"/>
    <col min="6" max="6" width="10" style="55" customWidth="1"/>
    <col min="7" max="7" width="12.7109375" style="55" customWidth="1"/>
    <col min="8" max="8" width="6.140625" style="767" customWidth="1"/>
    <col min="9" max="9" width="11.28515625" style="55" customWidth="1"/>
    <col min="10" max="10" width="11.28515625" style="55" hidden="1" customWidth="1"/>
    <col min="11" max="12" width="9" style="55" customWidth="1"/>
    <col min="13" max="13" width="11.42578125" style="55" customWidth="1"/>
    <col min="14" max="14" width="8.5703125" style="55" customWidth="1"/>
    <col min="15" max="15" width="13.5703125" style="55" customWidth="1"/>
    <col min="16" max="16" width="15.140625" style="768" customWidth="1"/>
    <col min="17" max="17" width="15.28515625" style="768" customWidth="1"/>
    <col min="18" max="18" width="13.28515625" style="769" customWidth="1"/>
    <col min="19" max="19" width="15.7109375" style="769" hidden="1" customWidth="1"/>
    <col min="20" max="20" width="16.5703125" style="55" customWidth="1"/>
    <col min="21" max="21" width="10.42578125" style="55" customWidth="1"/>
    <col min="22" max="23" width="9.42578125" style="55" hidden="1" customWidth="1"/>
    <col min="24" max="24" width="18.7109375" style="55" customWidth="1"/>
    <col min="25" max="25" width="19.42578125" style="55" customWidth="1"/>
    <col min="26" max="26" width="14.140625" style="55" customWidth="1"/>
    <col min="27" max="27" width="20.5703125" style="55" customWidth="1"/>
    <col min="28" max="244" width="9.140625" style="55" customWidth="1"/>
    <col min="245" max="245" width="5.5703125" style="55" customWidth="1"/>
    <col min="246" max="246" width="16.140625" style="55" customWidth="1"/>
    <col min="247" max="247" width="18.85546875" style="55" customWidth="1"/>
    <col min="248" max="248" width="9.7109375" style="55" customWidth="1"/>
    <col min="249" max="16384" width="6.7109375" style="55"/>
  </cols>
  <sheetData>
    <row r="1" spans="1:27" s="6" customFormat="1">
      <c r="B1" s="2731" t="s">
        <v>0</v>
      </c>
      <c r="C1" s="2731"/>
      <c r="D1" s="2731"/>
      <c r="E1" s="2731"/>
      <c r="F1" s="2731"/>
      <c r="G1" s="2731"/>
      <c r="H1" s="2731"/>
      <c r="I1" s="2731"/>
      <c r="J1" s="2731"/>
      <c r="K1" s="2731"/>
      <c r="L1" s="2731"/>
      <c r="M1" s="2731"/>
      <c r="N1" s="2731"/>
      <c r="O1" s="2731"/>
      <c r="P1" s="2731"/>
      <c r="Q1" s="2731"/>
      <c r="R1" s="2731"/>
      <c r="S1" s="2731"/>
      <c r="T1" s="2731"/>
      <c r="U1" s="2731"/>
      <c r="V1" s="2731"/>
      <c r="W1" s="2731"/>
      <c r="X1" s="2731"/>
    </row>
    <row r="2" spans="1:27" s="6" customFormat="1">
      <c r="B2" s="2731" t="s">
        <v>1968</v>
      </c>
      <c r="C2" s="2731"/>
      <c r="D2" s="2731"/>
      <c r="E2" s="2731"/>
      <c r="F2" s="2731"/>
      <c r="G2" s="2731"/>
      <c r="H2" s="2731"/>
      <c r="I2" s="2731"/>
      <c r="J2" s="2731"/>
      <c r="K2" s="2731"/>
      <c r="L2" s="2731"/>
      <c r="M2" s="2731"/>
      <c r="N2" s="2731"/>
      <c r="O2" s="2731"/>
      <c r="P2" s="2731"/>
      <c r="Q2" s="2731"/>
      <c r="R2" s="2731"/>
      <c r="S2" s="2731"/>
      <c r="T2" s="2731"/>
      <c r="U2" s="2731"/>
      <c r="V2" s="2731"/>
      <c r="W2" s="2731"/>
      <c r="X2" s="2731"/>
    </row>
    <row r="3" spans="1:27" s="6" customFormat="1">
      <c r="D3" s="2732" t="s">
        <v>619</v>
      </c>
      <c r="E3" s="2731"/>
      <c r="F3" s="2731"/>
      <c r="G3" s="2731"/>
      <c r="H3" s="2731"/>
      <c r="I3" s="2731"/>
      <c r="J3" s="2731"/>
      <c r="K3" s="2731"/>
      <c r="L3" s="2731"/>
      <c r="M3" s="2731"/>
      <c r="N3" s="2731"/>
      <c r="O3" s="2731"/>
      <c r="P3" s="2731"/>
      <c r="Q3" s="2731"/>
      <c r="R3" s="2731"/>
      <c r="S3" s="2731"/>
      <c r="T3" s="2731"/>
      <c r="U3" s="2731"/>
      <c r="V3" s="2731"/>
      <c r="W3" s="2731"/>
      <c r="X3" s="2731"/>
    </row>
    <row r="4" spans="1:27" s="28" customFormat="1">
      <c r="A4" s="2733" t="s">
        <v>3</v>
      </c>
      <c r="B4" s="2733"/>
      <c r="C4" s="2733"/>
      <c r="D4" s="2733"/>
      <c r="E4" s="2733"/>
      <c r="F4" s="2733"/>
      <c r="G4" s="2733"/>
      <c r="H4" s="2733"/>
      <c r="I4" s="2733"/>
      <c r="J4" s="2733"/>
      <c r="K4" s="2733"/>
      <c r="L4" s="2733"/>
      <c r="M4" s="2733"/>
      <c r="N4" s="2733"/>
      <c r="O4" s="2733"/>
      <c r="P4" s="77"/>
      <c r="Q4" s="78"/>
      <c r="R4" s="76"/>
      <c r="S4" s="80"/>
      <c r="T4" s="81"/>
    </row>
    <row r="5" spans="1:27" s="28" customFormat="1" ht="16.5">
      <c r="A5" s="2676" t="s">
        <v>2779</v>
      </c>
      <c r="B5" s="2676"/>
      <c r="C5" s="2676"/>
      <c r="D5" s="2676"/>
      <c r="E5" s="2676"/>
      <c r="F5" s="2676"/>
      <c r="G5" s="2676"/>
      <c r="H5" s="2676"/>
      <c r="I5" s="2676"/>
      <c r="J5" s="2676"/>
      <c r="K5" s="2676"/>
      <c r="L5" s="2676"/>
      <c r="M5" s="2676"/>
      <c r="N5" s="2676"/>
      <c r="O5" s="2676"/>
      <c r="P5" s="76"/>
      <c r="R5" s="76"/>
      <c r="S5" s="80"/>
      <c r="T5" s="81"/>
    </row>
    <row r="6" spans="1:27" s="52" customFormat="1" ht="34.5" customHeight="1">
      <c r="A6" s="2726" t="s">
        <v>2780</v>
      </c>
      <c r="B6" s="2726"/>
      <c r="C6" s="2726"/>
      <c r="D6" s="2726"/>
      <c r="E6" s="2726"/>
      <c r="F6" s="2726"/>
      <c r="G6" s="2726"/>
      <c r="H6" s="2726"/>
      <c r="I6" s="2726"/>
      <c r="J6" s="2726"/>
      <c r="K6" s="2726"/>
      <c r="L6" s="2726"/>
      <c r="M6" s="2726"/>
      <c r="N6" s="2726"/>
      <c r="O6" s="2726"/>
      <c r="P6" s="2726"/>
      <c r="Q6" s="2726"/>
      <c r="R6" s="2726"/>
      <c r="S6" s="2726"/>
      <c r="T6" s="2726"/>
      <c r="U6" s="2726"/>
      <c r="V6" s="2726"/>
      <c r="W6" s="2726"/>
      <c r="X6" s="2726"/>
    </row>
    <row r="7" spans="1:27" s="52" customFormat="1" ht="13.5" customHeight="1">
      <c r="A7" s="66"/>
      <c r="B7" s="66"/>
      <c r="C7" s="770"/>
      <c r="D7" s="770"/>
      <c r="F7" s="352" t="s">
        <v>2781</v>
      </c>
      <c r="G7" s="66"/>
      <c r="H7" s="352"/>
      <c r="I7" s="805">
        <v>21754</v>
      </c>
      <c r="J7" s="805"/>
      <c r="K7" s="2727"/>
      <c r="L7" s="2727"/>
      <c r="M7" s="2727"/>
      <c r="N7" s="806"/>
      <c r="O7" s="806"/>
      <c r="P7" s="807"/>
      <c r="Q7" s="807"/>
      <c r="R7" s="66"/>
      <c r="S7" s="66"/>
      <c r="T7" s="2728"/>
      <c r="U7" s="2728"/>
      <c r="V7" s="2729"/>
      <c r="W7" s="2729"/>
      <c r="X7" s="2729"/>
    </row>
    <row r="8" spans="1:27">
      <c r="A8" s="771"/>
      <c r="B8" s="771"/>
      <c r="C8" s="772"/>
      <c r="F8" s="352" t="s">
        <v>622</v>
      </c>
      <c r="G8" s="773"/>
      <c r="H8" s="352"/>
      <c r="I8" s="352">
        <v>646.20000000000005</v>
      </c>
      <c r="J8" s="352"/>
      <c r="K8" s="2730"/>
      <c r="L8" s="2730"/>
      <c r="M8" s="2730"/>
      <c r="N8" s="808"/>
      <c r="O8" s="809"/>
      <c r="P8" s="810"/>
      <c r="Q8" s="810"/>
      <c r="R8" s="829"/>
      <c r="S8" s="829"/>
      <c r="T8" s="830"/>
      <c r="U8" s="830"/>
      <c r="V8" s="830"/>
      <c r="W8" s="830"/>
      <c r="X8" s="831"/>
    </row>
    <row r="9" spans="1:27" s="66" customFormat="1" ht="15.75" customHeight="1">
      <c r="A9" s="2703" t="s">
        <v>623</v>
      </c>
      <c r="B9" s="2705" t="s">
        <v>624</v>
      </c>
      <c r="C9" s="2687" t="s">
        <v>356</v>
      </c>
      <c r="D9" s="2688"/>
      <c r="E9" s="2689"/>
      <c r="F9" s="2703" t="s">
        <v>2711</v>
      </c>
      <c r="G9" s="2708" t="s">
        <v>2715</v>
      </c>
      <c r="H9" s="2716" t="s">
        <v>2712</v>
      </c>
      <c r="I9" s="2717"/>
      <c r="J9" s="2717"/>
      <c r="K9" s="2717"/>
      <c r="L9" s="2717"/>
      <c r="M9" s="2717"/>
      <c r="N9" s="2717"/>
      <c r="O9" s="2717"/>
      <c r="P9" s="2717"/>
      <c r="Q9" s="2717"/>
      <c r="R9" s="2717"/>
      <c r="S9" s="2717"/>
      <c r="T9" s="2717"/>
      <c r="U9" s="2717"/>
      <c r="V9" s="2717"/>
      <c r="W9" s="832"/>
      <c r="X9" s="2684" t="s">
        <v>2782</v>
      </c>
    </row>
    <row r="10" spans="1:27" s="66" customFormat="1" ht="17.25" customHeight="1">
      <c r="A10" s="2703"/>
      <c r="B10" s="2706"/>
      <c r="C10" s="2690"/>
      <c r="D10" s="2691"/>
      <c r="E10" s="2692"/>
      <c r="F10" s="2703"/>
      <c r="G10" s="2709"/>
      <c r="H10" s="2718" t="s">
        <v>2783</v>
      </c>
      <c r="I10" s="2719"/>
      <c r="J10" s="2719"/>
      <c r="K10" s="2719"/>
      <c r="L10" s="2719"/>
      <c r="M10" s="2719"/>
      <c r="N10" s="2719"/>
      <c r="O10" s="2719"/>
      <c r="P10" s="2720" t="s">
        <v>2784</v>
      </c>
      <c r="Q10" s="2721"/>
      <c r="R10" s="2722"/>
      <c r="S10" s="2684" t="s">
        <v>2785</v>
      </c>
      <c r="T10" s="2684" t="s">
        <v>2786</v>
      </c>
      <c r="U10" s="2696" t="s">
        <v>2787</v>
      </c>
      <c r="V10" s="2697"/>
      <c r="W10" s="2684" t="s">
        <v>2788</v>
      </c>
      <c r="X10" s="2686"/>
      <c r="Y10" s="66">
        <v>30</v>
      </c>
    </row>
    <row r="11" spans="1:27" s="760" customFormat="1" ht="54" customHeight="1">
      <c r="A11" s="2704"/>
      <c r="B11" s="2707"/>
      <c r="C11" s="2693"/>
      <c r="D11" s="2694"/>
      <c r="E11" s="2695"/>
      <c r="F11" s="2704"/>
      <c r="G11" s="2710"/>
      <c r="H11" s="775" t="s">
        <v>529</v>
      </c>
      <c r="I11" s="811" t="s">
        <v>2789</v>
      </c>
      <c r="J11" s="811" t="s">
        <v>2790</v>
      </c>
      <c r="K11" s="774" t="s">
        <v>2791</v>
      </c>
      <c r="L11" s="774" t="s">
        <v>2792</v>
      </c>
      <c r="M11" s="774" t="s">
        <v>2793</v>
      </c>
      <c r="N11" s="774" t="s">
        <v>2794</v>
      </c>
      <c r="O11" s="774" t="s">
        <v>2795</v>
      </c>
      <c r="P11" s="812" t="s">
        <v>2796</v>
      </c>
      <c r="Q11" s="833" t="s">
        <v>2797</v>
      </c>
      <c r="R11" s="834" t="s">
        <v>2724</v>
      </c>
      <c r="S11" s="2685"/>
      <c r="T11" s="2685"/>
      <c r="U11" s="2698"/>
      <c r="V11" s="2699"/>
      <c r="W11" s="2685"/>
      <c r="X11" s="2685"/>
    </row>
    <row r="12" spans="1:27" s="761" customFormat="1" ht="48" hidden="1" customHeight="1">
      <c r="A12" s="776" t="s">
        <v>636</v>
      </c>
      <c r="B12" s="776"/>
      <c r="C12" s="777" t="s">
        <v>637</v>
      </c>
      <c r="D12" s="777"/>
      <c r="E12" s="778" t="s">
        <v>638</v>
      </c>
      <c r="F12" s="776" t="s">
        <v>639</v>
      </c>
      <c r="G12" s="776" t="s">
        <v>2735</v>
      </c>
      <c r="H12" s="776" t="s">
        <v>640</v>
      </c>
      <c r="I12" s="776" t="s">
        <v>2798</v>
      </c>
      <c r="J12" s="776"/>
      <c r="K12" s="776" t="s">
        <v>2730</v>
      </c>
      <c r="L12" s="776"/>
      <c r="M12" s="776" t="s">
        <v>2730</v>
      </c>
      <c r="N12" s="776"/>
      <c r="O12" s="776"/>
      <c r="P12" s="813" t="s">
        <v>2731</v>
      </c>
      <c r="Q12" s="776" t="s">
        <v>2798</v>
      </c>
      <c r="R12" s="776" t="s">
        <v>2730</v>
      </c>
      <c r="S12" s="776"/>
      <c r="T12" s="835" t="s">
        <v>2799</v>
      </c>
      <c r="U12" s="835" t="s">
        <v>2800</v>
      </c>
      <c r="V12" s="835" t="s">
        <v>2801</v>
      </c>
      <c r="W12" s="835"/>
      <c r="X12" s="776" t="s">
        <v>2802</v>
      </c>
      <c r="AA12" s="851" t="e">
        <f>+I20*#REF!</f>
        <v>#REF!</v>
      </c>
    </row>
    <row r="13" spans="1:27" s="762" customFormat="1" ht="27.75" customHeight="1">
      <c r="A13" s="779" t="s">
        <v>2408</v>
      </c>
      <c r="B13" s="779"/>
      <c r="C13" s="780"/>
      <c r="D13" s="780"/>
      <c r="E13" s="2723" t="s">
        <v>1878</v>
      </c>
      <c r="F13" s="2724"/>
      <c r="G13" s="779"/>
      <c r="H13" s="781" t="e">
        <f>SUM(H14:H17)</f>
        <v>#REF!</v>
      </c>
      <c r="I13" s="781">
        <f>SUM(I14:I17)</f>
        <v>1320</v>
      </c>
      <c r="J13" s="781"/>
      <c r="K13" s="781">
        <f>SUM(K14:K17)</f>
        <v>50</v>
      </c>
      <c r="L13" s="781"/>
      <c r="M13" s="781" t="e">
        <f>SUM(M14:M17)</f>
        <v>#REF!</v>
      </c>
      <c r="N13" s="781"/>
      <c r="O13" s="781" t="e">
        <f t="shared" ref="O13:X13" si="0">SUM(O14:O17)</f>
        <v>#REF!</v>
      </c>
      <c r="P13" s="781">
        <f t="shared" si="0"/>
        <v>0</v>
      </c>
      <c r="Q13" s="781">
        <f t="shared" si="0"/>
        <v>0</v>
      </c>
      <c r="R13" s="781">
        <f t="shared" si="0"/>
        <v>0</v>
      </c>
      <c r="S13" s="781">
        <f t="shared" si="0"/>
        <v>0</v>
      </c>
      <c r="T13" s="781" t="e">
        <f t="shared" si="0"/>
        <v>#REF!</v>
      </c>
      <c r="U13" s="781" t="e">
        <f t="shared" si="0"/>
        <v>#REF!</v>
      </c>
      <c r="V13" s="781">
        <f t="shared" si="0"/>
        <v>0</v>
      </c>
      <c r="W13" s="781">
        <f t="shared" si="0"/>
        <v>0</v>
      </c>
      <c r="X13" s="781" t="e">
        <f t="shared" si="0"/>
        <v>#REF!</v>
      </c>
    </row>
    <row r="14" spans="1:27" s="763" customFormat="1" ht="27.75" customHeight="1">
      <c r="A14" s="782">
        <v>1</v>
      </c>
      <c r="B14" s="783"/>
      <c r="C14" s="784"/>
      <c r="D14" s="784"/>
      <c r="E14" s="785" t="s">
        <v>1867</v>
      </c>
      <c r="F14" s="785" t="s">
        <v>1868</v>
      </c>
      <c r="G14" s="786"/>
      <c r="H14" s="787" t="e">
        <f>VLOOKUP(E14,#REF!,34,0)</f>
        <v>#REF!</v>
      </c>
      <c r="I14" s="787">
        <v>350</v>
      </c>
      <c r="J14" s="787"/>
      <c r="K14" s="814"/>
      <c r="L14" s="814"/>
      <c r="M14" s="814" t="e">
        <f>I14*H14/$Y$10+K14</f>
        <v>#REF!</v>
      </c>
      <c r="N14" s="815" t="s">
        <v>2803</v>
      </c>
      <c r="O14" s="816" t="e">
        <f>ROUND((M14*$I$7),0)</f>
        <v>#REF!</v>
      </c>
      <c r="P14" s="817"/>
      <c r="Q14" s="817"/>
      <c r="R14" s="817"/>
      <c r="S14" s="817"/>
      <c r="T14" s="820" t="e">
        <f>O14+R14</f>
        <v>#REF!</v>
      </c>
      <c r="U14" s="836" t="e">
        <f>IF(T14&gt;65000000,((T14-65000000)*25%+10685000),IF(T14&gt;25000000,((T14-25000000)*20%+2685000),IF(T14&gt;15000000,((T14-15000000)*15%+1185000),IF(T14&gt;5000000,(T14-5000000)*10%+185000,IF(T14&gt;1300000,(T14-1300000)*5%,0)))))</f>
        <v>#REF!</v>
      </c>
      <c r="V14" s="837"/>
      <c r="W14" s="837"/>
      <c r="X14" s="837" t="e">
        <f>T14-U14</f>
        <v>#REF!</v>
      </c>
      <c r="Y14" s="852"/>
    </row>
    <row r="15" spans="1:27" s="763" customFormat="1" ht="27.75" customHeight="1">
      <c r="A15" s="782">
        <v>2</v>
      </c>
      <c r="B15" s="783"/>
      <c r="C15" s="784"/>
      <c r="D15" s="784"/>
      <c r="E15" s="785" t="s">
        <v>1871</v>
      </c>
      <c r="F15" s="785" t="s">
        <v>1868</v>
      </c>
      <c r="G15" s="788"/>
      <c r="H15" s="787" t="e">
        <f>VLOOKUP(E15,#REF!,34,0)</f>
        <v>#REF!</v>
      </c>
      <c r="I15" s="787">
        <v>350</v>
      </c>
      <c r="J15" s="787"/>
      <c r="K15" s="814">
        <v>50</v>
      </c>
      <c r="L15" s="814"/>
      <c r="M15" s="814" t="e">
        <f t="shared" ref="M15:M16" si="1">I15*H15/$Y$10+K15</f>
        <v>#REF!</v>
      </c>
      <c r="N15" s="815" t="s">
        <v>2803</v>
      </c>
      <c r="O15" s="816" t="e">
        <f t="shared" ref="O15:O17" si="2">ROUND((M15*$I$7),0)</f>
        <v>#REF!</v>
      </c>
      <c r="P15" s="818"/>
      <c r="Q15" s="818"/>
      <c r="R15" s="818"/>
      <c r="S15" s="818"/>
      <c r="T15" s="820" t="e">
        <f t="shared" ref="T15:T19" si="3">O15+R15</f>
        <v>#REF!</v>
      </c>
      <c r="U15" s="836" t="e">
        <f t="shared" ref="U15:U17" si="4">IF(T15&gt;65000000,((T15-65000000)*25%+10685000),IF(T15&gt;25000000,((T15-25000000)*20%+2685000),IF(T15&gt;15000000,((T15-15000000)*15%+1185000),IF(T15&gt;5000000,(T15-5000000)*10%+185000,IF(T15&gt;1300000,(T15-1300000)*5%,0)))))</f>
        <v>#REF!</v>
      </c>
      <c r="V15" s="837"/>
      <c r="W15" s="837"/>
      <c r="X15" s="837" t="e">
        <f t="shared" ref="X15:X19" si="5">T15-U15</f>
        <v>#REF!</v>
      </c>
      <c r="Y15" s="852"/>
    </row>
    <row r="16" spans="1:27" s="763" customFormat="1" ht="27.75" customHeight="1">
      <c r="A16" s="782">
        <v>3</v>
      </c>
      <c r="B16" s="783"/>
      <c r="C16" s="784"/>
      <c r="D16" s="784"/>
      <c r="E16" s="785" t="s">
        <v>1875</v>
      </c>
      <c r="F16" s="785" t="s">
        <v>1868</v>
      </c>
      <c r="G16" s="788"/>
      <c r="H16" s="787" t="e">
        <f>VLOOKUP(E16,#REF!,34,0)</f>
        <v>#REF!</v>
      </c>
      <c r="I16" s="787">
        <v>310</v>
      </c>
      <c r="J16" s="787"/>
      <c r="K16" s="814"/>
      <c r="L16" s="814"/>
      <c r="M16" s="814" t="e">
        <f t="shared" si="1"/>
        <v>#REF!</v>
      </c>
      <c r="N16" s="815" t="s">
        <v>2803</v>
      </c>
      <c r="O16" s="816" t="e">
        <f t="shared" si="2"/>
        <v>#REF!</v>
      </c>
      <c r="P16" s="818"/>
      <c r="Q16" s="818"/>
      <c r="R16" s="818"/>
      <c r="S16" s="818"/>
      <c r="T16" s="820" t="e">
        <f t="shared" si="3"/>
        <v>#REF!</v>
      </c>
      <c r="U16" s="836" t="e">
        <f t="shared" si="4"/>
        <v>#REF!</v>
      </c>
      <c r="V16" s="837"/>
      <c r="W16" s="837"/>
      <c r="X16" s="837" t="e">
        <f t="shared" si="5"/>
        <v>#REF!</v>
      </c>
      <c r="Y16" s="852"/>
      <c r="AA16" s="853"/>
    </row>
    <row r="17" spans="1:25" s="763" customFormat="1" ht="27.75" customHeight="1">
      <c r="A17" s="782">
        <v>4</v>
      </c>
      <c r="B17" s="783"/>
      <c r="C17" s="784"/>
      <c r="D17" s="784"/>
      <c r="E17" s="785" t="s">
        <v>2804</v>
      </c>
      <c r="F17" s="785" t="s">
        <v>1868</v>
      </c>
      <c r="G17" s="788"/>
      <c r="H17" s="787" t="e">
        <f>VLOOKUP(E17,#REF!,34,0)</f>
        <v>#REF!</v>
      </c>
      <c r="I17" s="787">
        <v>310</v>
      </c>
      <c r="J17" s="787"/>
      <c r="K17" s="814"/>
      <c r="L17" s="814"/>
      <c r="M17" s="814" t="e">
        <f>I17*H17/$Y$10+J17-L17</f>
        <v>#REF!</v>
      </c>
      <c r="N17" s="815" t="s">
        <v>2803</v>
      </c>
      <c r="O17" s="816" t="e">
        <f t="shared" si="2"/>
        <v>#REF!</v>
      </c>
      <c r="P17" s="818"/>
      <c r="Q17" s="818"/>
      <c r="R17" s="818"/>
      <c r="S17" s="818"/>
      <c r="T17" s="820" t="e">
        <f t="shared" si="3"/>
        <v>#REF!</v>
      </c>
      <c r="U17" s="836" t="e">
        <f t="shared" si="4"/>
        <v>#REF!</v>
      </c>
      <c r="V17" s="837"/>
      <c r="W17" s="837"/>
      <c r="X17" s="837" t="e">
        <f t="shared" si="5"/>
        <v>#REF!</v>
      </c>
      <c r="Y17" s="852"/>
    </row>
    <row r="18" spans="1:25" s="763" customFormat="1" ht="27.75" customHeight="1">
      <c r="A18" s="789" t="s">
        <v>2805</v>
      </c>
      <c r="B18" s="790"/>
      <c r="C18" s="791"/>
      <c r="D18" s="791"/>
      <c r="E18" s="792" t="s">
        <v>1903</v>
      </c>
      <c r="F18" s="792"/>
      <c r="G18" s="788"/>
      <c r="H18" s="793">
        <f>SUM(H19:H19)</f>
        <v>30</v>
      </c>
      <c r="I18" s="793">
        <f>SUM(I19:I19)</f>
        <v>2000000</v>
      </c>
      <c r="J18" s="793"/>
      <c r="K18" s="793"/>
      <c r="L18" s="793"/>
      <c r="M18" s="793">
        <f>SUM(M19:M19)</f>
        <v>2000000</v>
      </c>
      <c r="N18" s="793"/>
      <c r="O18" s="793">
        <f t="shared" ref="O18:X18" si="6">SUM(O19:O19)</f>
        <v>2000000</v>
      </c>
      <c r="P18" s="819">
        <f t="shared" si="6"/>
        <v>0</v>
      </c>
      <c r="Q18" s="793">
        <f t="shared" si="6"/>
        <v>0</v>
      </c>
      <c r="R18" s="793">
        <f t="shared" si="6"/>
        <v>0</v>
      </c>
      <c r="S18" s="793">
        <f t="shared" si="6"/>
        <v>0</v>
      </c>
      <c r="T18" s="793">
        <f t="shared" si="6"/>
        <v>2000000</v>
      </c>
      <c r="U18" s="793">
        <f t="shared" si="6"/>
        <v>0</v>
      </c>
      <c r="V18" s="793">
        <f t="shared" si="6"/>
        <v>0</v>
      </c>
      <c r="W18" s="793">
        <f t="shared" si="6"/>
        <v>0</v>
      </c>
      <c r="X18" s="793">
        <f t="shared" si="6"/>
        <v>2000000</v>
      </c>
      <c r="Y18" s="852"/>
    </row>
    <row r="19" spans="1:25" s="763" customFormat="1" ht="27.75" customHeight="1">
      <c r="A19" s="782">
        <v>1</v>
      </c>
      <c r="B19" s="783"/>
      <c r="C19" s="784"/>
      <c r="D19" s="784"/>
      <c r="E19" s="785" t="s">
        <v>2806</v>
      </c>
      <c r="F19" s="785" t="s">
        <v>1880</v>
      </c>
      <c r="G19" s="788"/>
      <c r="H19" s="787">
        <v>30</v>
      </c>
      <c r="I19" s="787">
        <v>2000000</v>
      </c>
      <c r="J19" s="787"/>
      <c r="K19" s="820"/>
      <c r="L19" s="820"/>
      <c r="M19" s="820">
        <f>I19/Y10*H19</f>
        <v>2000000</v>
      </c>
      <c r="N19" s="815" t="s">
        <v>2807</v>
      </c>
      <c r="O19" s="820">
        <f>M19*100/100</f>
        <v>2000000</v>
      </c>
      <c r="P19" s="818"/>
      <c r="Q19" s="818"/>
      <c r="R19" s="818"/>
      <c r="S19" s="818"/>
      <c r="T19" s="820">
        <f t="shared" si="3"/>
        <v>2000000</v>
      </c>
      <c r="U19" s="836"/>
      <c r="V19" s="837"/>
      <c r="W19" s="837"/>
      <c r="X19" s="837">
        <f t="shared" si="5"/>
        <v>2000000</v>
      </c>
      <c r="Y19" s="852"/>
    </row>
    <row r="20" spans="1:25" s="763" customFormat="1" ht="22.5" customHeight="1">
      <c r="A20" s="2725" t="s">
        <v>2808</v>
      </c>
      <c r="B20" s="2725"/>
      <c r="C20" s="2725"/>
      <c r="D20" s="2725"/>
      <c r="E20" s="2725"/>
      <c r="F20" s="2725"/>
      <c r="G20" s="786"/>
      <c r="H20" s="794" t="e">
        <f>SUM(H18,H13)</f>
        <v>#REF!</v>
      </c>
      <c r="I20" s="794"/>
      <c r="J20" s="794"/>
      <c r="K20" s="794">
        <f>SUM(K18,K13)</f>
        <v>50</v>
      </c>
      <c r="L20" s="794"/>
      <c r="M20" s="794"/>
      <c r="N20" s="794"/>
      <c r="O20" s="794" t="e">
        <f>SUM(O18,O13)</f>
        <v>#REF!</v>
      </c>
      <c r="P20" s="786">
        <f>SUM(P18,P13)</f>
        <v>0</v>
      </c>
      <c r="Q20" s="794"/>
      <c r="R20" s="794">
        <f>SUM(R18,R13)</f>
        <v>0</v>
      </c>
      <c r="S20" s="794">
        <f>SUM(S14:S19)</f>
        <v>0</v>
      </c>
      <c r="T20" s="794" t="e">
        <f>SUM(T18,T13)</f>
        <v>#REF!</v>
      </c>
      <c r="U20" s="794" t="e">
        <f>SUM(U18,U13)</f>
        <v>#REF!</v>
      </c>
      <c r="V20" s="794">
        <f>SUM(V18,V13)</f>
        <v>0</v>
      </c>
      <c r="W20" s="794">
        <f>SUM(W18,W13)</f>
        <v>0</v>
      </c>
      <c r="X20" s="794" t="e">
        <f>SUM(X18,X13)</f>
        <v>#REF!</v>
      </c>
      <c r="Y20" s="854" t="e">
        <f>+T20-U20</f>
        <v>#REF!</v>
      </c>
    </row>
    <row r="21" spans="1:25" s="67" customFormat="1" ht="18" customHeight="1">
      <c r="A21" s="2712" t="s">
        <v>2809</v>
      </c>
      <c r="B21" s="2712"/>
      <c r="C21" s="2712"/>
      <c r="D21" s="2712"/>
      <c r="E21" s="2712"/>
      <c r="F21" s="2712"/>
      <c r="G21" s="2712"/>
      <c r="H21" s="2712"/>
      <c r="I21" s="2712"/>
      <c r="J21" s="2712"/>
      <c r="K21" s="2712"/>
      <c r="L21" s="2712"/>
      <c r="M21" s="2712"/>
      <c r="N21" s="2712"/>
      <c r="O21" s="2712"/>
      <c r="P21" s="2712"/>
      <c r="Q21" s="2712"/>
      <c r="R21" s="2712"/>
      <c r="S21" s="2712"/>
      <c r="T21" s="2712"/>
      <c r="U21" s="2712"/>
      <c r="V21" s="2712"/>
      <c r="W21" s="2712"/>
      <c r="X21" s="2712"/>
      <c r="Y21" s="855" t="e">
        <f>+P20*#REF!</f>
        <v>#REF!</v>
      </c>
    </row>
    <row r="22" spans="1:25" ht="16.5" customHeight="1">
      <c r="C22" s="362"/>
      <c r="D22" s="362"/>
      <c r="H22" s="795"/>
      <c r="K22" s="797"/>
      <c r="L22" s="797"/>
      <c r="M22" s="797"/>
      <c r="N22" s="797"/>
      <c r="O22" s="797"/>
      <c r="T22" s="2713" t="s">
        <v>2753</v>
      </c>
      <c r="U22" s="2713"/>
      <c r="V22" s="2713"/>
      <c r="W22" s="2713"/>
      <c r="X22" s="2713"/>
      <c r="Y22" s="856"/>
    </row>
    <row r="23" spans="1:25" s="52" customFormat="1" ht="21" customHeight="1">
      <c r="C23" s="52" t="s">
        <v>1921</v>
      </c>
      <c r="E23" s="2714" t="s">
        <v>1921</v>
      </c>
      <c r="F23" s="2714"/>
      <c r="G23" s="2714"/>
      <c r="H23" s="2714"/>
      <c r="I23" s="2714"/>
      <c r="J23" s="66"/>
      <c r="M23" s="2715" t="s">
        <v>616</v>
      </c>
      <c r="N23" s="2715"/>
      <c r="O23" s="2715"/>
      <c r="Q23" s="52" t="s">
        <v>2391</v>
      </c>
      <c r="U23" s="2714" t="s">
        <v>612</v>
      </c>
      <c r="V23" s="2714"/>
      <c r="W23" s="2714"/>
      <c r="X23" s="2714"/>
      <c r="Y23" s="857"/>
    </row>
    <row r="24" spans="1:25">
      <c r="A24" s="55"/>
      <c r="B24" s="55"/>
      <c r="C24" s="362"/>
      <c r="D24" s="362"/>
      <c r="E24" s="796"/>
      <c r="H24" s="797"/>
      <c r="K24" s="821"/>
      <c r="L24" s="821"/>
      <c r="M24" s="822"/>
      <c r="N24" s="822"/>
      <c r="O24" s="822"/>
      <c r="S24" s="838"/>
      <c r="T24" s="838"/>
      <c r="U24" s="838"/>
      <c r="V24" s="838"/>
      <c r="W24" s="838"/>
      <c r="X24" s="796"/>
      <c r="Y24" s="858">
        <f>+P20/7.14</f>
        <v>0</v>
      </c>
    </row>
    <row r="25" spans="1:25">
      <c r="A25" s="55"/>
      <c r="B25" s="55"/>
      <c r="C25" s="362"/>
      <c r="D25" s="362"/>
      <c r="E25" s="796"/>
      <c r="H25" s="797"/>
      <c r="K25" s="821"/>
      <c r="L25" s="821"/>
      <c r="M25" s="821"/>
      <c r="N25" s="821"/>
      <c r="O25" s="821"/>
      <c r="Q25" s="838"/>
      <c r="R25" s="838"/>
      <c r="S25" s="838"/>
      <c r="T25" s="838"/>
      <c r="U25" s="838"/>
      <c r="V25" s="838"/>
      <c r="W25" s="838"/>
      <c r="X25" s="796"/>
      <c r="Y25" s="796"/>
    </row>
    <row r="26" spans="1:25">
      <c r="A26" s="55"/>
      <c r="B26" s="55"/>
      <c r="C26" s="362"/>
      <c r="D26" s="362"/>
      <c r="E26" s="796"/>
      <c r="H26" s="797"/>
      <c r="K26" s="821"/>
      <c r="L26" s="821"/>
      <c r="M26" s="821"/>
      <c r="N26" s="821"/>
      <c r="O26" s="821"/>
      <c r="Q26" s="75"/>
      <c r="R26" s="838"/>
      <c r="S26" s="838"/>
      <c r="T26" s="838"/>
      <c r="U26" s="838"/>
      <c r="V26" s="838"/>
      <c r="W26" s="838"/>
      <c r="X26" s="796"/>
      <c r="Y26" s="796"/>
    </row>
    <row r="27" spans="1:25">
      <c r="A27" s="55"/>
      <c r="B27" s="55"/>
      <c r="C27" s="362"/>
      <c r="D27" s="362"/>
      <c r="E27" s="796"/>
      <c r="H27" s="797"/>
      <c r="K27" s="821"/>
      <c r="L27" s="821"/>
      <c r="M27" s="821"/>
      <c r="N27" s="821"/>
      <c r="O27" s="821"/>
      <c r="P27" s="2711"/>
      <c r="Q27" s="2711"/>
      <c r="R27" s="838"/>
      <c r="S27" s="838"/>
      <c r="T27" s="838"/>
      <c r="U27" s="838"/>
      <c r="V27" s="838"/>
      <c r="W27" s="838"/>
      <c r="X27" s="796"/>
      <c r="Y27" s="796"/>
    </row>
    <row r="28" spans="1:25">
      <c r="A28" s="55"/>
      <c r="B28" s="55"/>
      <c r="C28" s="362"/>
      <c r="D28" s="362"/>
      <c r="E28" s="55"/>
      <c r="H28" s="798"/>
      <c r="I28" s="801"/>
      <c r="J28" s="801"/>
      <c r="M28" s="823"/>
      <c r="N28" s="823"/>
      <c r="O28" s="823"/>
      <c r="P28" s="823"/>
      <c r="Q28" s="839"/>
      <c r="R28" s="801"/>
      <c r="S28" s="801"/>
      <c r="T28" s="796"/>
      <c r="V28" s="796"/>
      <c r="W28" s="796"/>
      <c r="X28" s="796"/>
    </row>
    <row r="29" spans="1:25" s="346" customFormat="1" ht="29.25" customHeight="1">
      <c r="C29" s="345"/>
      <c r="D29" s="345"/>
      <c r="E29" s="2335"/>
      <c r="F29" s="2335"/>
      <c r="G29" s="2335"/>
      <c r="H29" s="2335"/>
      <c r="I29" s="824"/>
      <c r="J29" s="824"/>
      <c r="K29" s="824"/>
      <c r="L29" s="824"/>
      <c r="M29" s="824" t="s">
        <v>2775</v>
      </c>
      <c r="N29" s="824"/>
      <c r="O29" s="824"/>
      <c r="P29" s="824"/>
      <c r="Q29" s="824"/>
      <c r="R29" s="840"/>
      <c r="S29" s="840"/>
      <c r="T29" s="841"/>
      <c r="U29" s="2552" t="s">
        <v>613</v>
      </c>
      <c r="V29" s="2552"/>
      <c r="W29" s="2552"/>
      <c r="X29" s="2552"/>
      <c r="Y29" s="841"/>
    </row>
    <row r="30" spans="1:25">
      <c r="A30" s="55"/>
      <c r="B30" s="55"/>
      <c r="C30" s="362"/>
      <c r="D30" s="362"/>
      <c r="E30" s="55"/>
      <c r="H30" s="795"/>
      <c r="I30" s="801"/>
      <c r="J30" s="801"/>
      <c r="M30" s="801"/>
      <c r="N30" s="801"/>
      <c r="O30" s="801"/>
      <c r="P30" s="801"/>
      <c r="Q30" s="75"/>
      <c r="R30" s="842"/>
      <c r="S30" s="842"/>
      <c r="T30" s="796"/>
      <c r="U30" s="796"/>
      <c r="X30" s="843"/>
      <c r="Y30" s="796"/>
    </row>
    <row r="31" spans="1:25" s="764" customFormat="1">
      <c r="C31" s="799"/>
      <c r="D31" s="799"/>
      <c r="H31" s="800"/>
      <c r="K31" s="800"/>
      <c r="L31" s="800"/>
      <c r="M31" s="800"/>
      <c r="N31" s="800"/>
      <c r="O31" s="800"/>
      <c r="P31" s="825"/>
      <c r="Q31" s="844"/>
      <c r="T31" s="845"/>
      <c r="U31" s="843"/>
      <c r="X31" s="66"/>
    </row>
    <row r="32" spans="1:25">
      <c r="A32" s="55"/>
      <c r="B32" s="55"/>
      <c r="C32" s="362"/>
      <c r="D32" s="362"/>
      <c r="E32" s="55"/>
      <c r="G32" s="72"/>
      <c r="H32" s="801"/>
      <c r="K32" s="796"/>
      <c r="L32" s="796"/>
      <c r="M32" s="796"/>
      <c r="N32" s="796"/>
      <c r="O32" s="796"/>
      <c r="P32" s="825"/>
      <c r="Q32" s="846"/>
      <c r="R32" s="55"/>
      <c r="S32" s="55"/>
      <c r="V32" s="66"/>
      <c r="W32" s="66"/>
      <c r="X32" s="72"/>
    </row>
    <row r="33" spans="1:24">
      <c r="H33" s="2700"/>
      <c r="I33" s="2700"/>
      <c r="J33" s="298"/>
      <c r="K33" s="2702"/>
      <c r="L33" s="2702"/>
      <c r="M33" s="2702"/>
      <c r="N33" s="54"/>
      <c r="O33" s="54"/>
      <c r="P33" s="825"/>
      <c r="U33" s="72"/>
      <c r="V33" s="72"/>
      <c r="W33" s="72"/>
    </row>
    <row r="34" spans="1:24">
      <c r="A34" s="362"/>
      <c r="B34" s="362"/>
      <c r="E34" s="802"/>
      <c r="H34" s="2700"/>
      <c r="I34" s="2700"/>
      <c r="J34" s="298"/>
      <c r="K34" s="2701"/>
      <c r="L34" s="2701"/>
      <c r="M34" s="2701"/>
      <c r="N34" s="826"/>
      <c r="O34" s="826"/>
      <c r="T34" s="796"/>
      <c r="X34" s="796"/>
    </row>
    <row r="35" spans="1:24">
      <c r="A35" s="803"/>
      <c r="B35" s="803"/>
      <c r="G35" s="796"/>
      <c r="V35" s="847"/>
      <c r="W35" s="847"/>
      <c r="X35" s="848"/>
    </row>
    <row r="36" spans="1:24" s="765" customFormat="1">
      <c r="A36" s="803"/>
      <c r="B36" s="803"/>
      <c r="C36" s="766"/>
      <c r="D36" s="766"/>
      <c r="F36" s="55"/>
      <c r="G36" s="55"/>
      <c r="H36" s="767"/>
      <c r="I36" s="55"/>
      <c r="J36" s="55"/>
      <c r="K36" s="827"/>
      <c r="L36" s="827"/>
      <c r="M36" s="827"/>
      <c r="N36" s="827"/>
      <c r="O36" s="827"/>
      <c r="P36" s="768"/>
      <c r="Q36" s="768"/>
      <c r="R36" s="769"/>
      <c r="S36" s="769"/>
      <c r="T36" s="796"/>
      <c r="U36" s="849"/>
      <c r="V36" s="55"/>
      <c r="W36" s="55"/>
      <c r="X36" s="796"/>
    </row>
    <row r="37" spans="1:24">
      <c r="H37" s="804"/>
      <c r="I37" s="804"/>
      <c r="J37" s="804"/>
      <c r="K37" s="828"/>
      <c r="L37" s="828"/>
      <c r="M37" s="828"/>
      <c r="N37" s="828"/>
      <c r="O37" s="828"/>
      <c r="U37" s="850"/>
    </row>
    <row r="38" spans="1:24">
      <c r="K38" s="827"/>
      <c r="L38" s="827"/>
      <c r="M38" s="827"/>
      <c r="N38" s="827"/>
      <c r="O38" s="827"/>
    </row>
  </sheetData>
  <mergeCells count="37">
    <mergeCell ref="B1:X1"/>
    <mergeCell ref="B2:X2"/>
    <mergeCell ref="D3:X3"/>
    <mergeCell ref="A4:O4"/>
    <mergeCell ref="A5:O5"/>
    <mergeCell ref="A6:X6"/>
    <mergeCell ref="K7:M7"/>
    <mergeCell ref="T7:U7"/>
    <mergeCell ref="V7:X7"/>
    <mergeCell ref="K8:M8"/>
    <mergeCell ref="A9:A11"/>
    <mergeCell ref="B9:B11"/>
    <mergeCell ref="F9:F11"/>
    <mergeCell ref="G9:G11"/>
    <mergeCell ref="P27:Q27"/>
    <mergeCell ref="A21:X21"/>
    <mergeCell ref="T22:X22"/>
    <mergeCell ref="E23:I23"/>
    <mergeCell ref="M23:O23"/>
    <mergeCell ref="U23:X23"/>
    <mergeCell ref="H9:V9"/>
    <mergeCell ref="H10:O10"/>
    <mergeCell ref="P10:R10"/>
    <mergeCell ref="E13:F13"/>
    <mergeCell ref="A20:F20"/>
    <mergeCell ref="S10:S11"/>
    <mergeCell ref="W10:W11"/>
    <mergeCell ref="X9:X11"/>
    <mergeCell ref="C9:E11"/>
    <mergeCell ref="U10:V11"/>
    <mergeCell ref="H34:I34"/>
    <mergeCell ref="K34:M34"/>
    <mergeCell ref="E29:H29"/>
    <mergeCell ref="U29:X29"/>
    <mergeCell ref="H33:I33"/>
    <mergeCell ref="K33:M33"/>
    <mergeCell ref="T10:T11"/>
  </mergeCells>
  <pageMargins left="0.23622047244094499" right="0.196850393700787" top="0.23622047244094499" bottom="0.39370078740157499" header="0.196850393700787" footer="0.196850393700787"/>
  <pageSetup paperSize="9" scale="71" fitToHeight="0" orientation="landscape" r:id="rId1"/>
  <headerFooter>
    <oddFooter>&amp;R&amp;P/2</oddFooter>
  </headerFooter>
  <drawing r:id="rId2"/>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Y144"/>
  <sheetViews>
    <sheetView showZeros="0" tabSelected="1" topLeftCell="A81" zoomScale="70" zoomScaleNormal="70" workbookViewId="0">
      <selection activeCell="M99" sqref="M99"/>
    </sheetView>
  </sheetViews>
  <sheetFormatPr defaultColWidth="18.85546875" defaultRowHeight="15.75"/>
  <cols>
    <col min="1" max="2" width="4.28515625" style="197" customWidth="1"/>
    <col min="3" max="3" width="7" style="197" customWidth="1"/>
    <col min="4" max="4" width="20" style="601" customWidth="1"/>
    <col min="5" max="5" width="7.5703125" style="346" customWidth="1"/>
    <col min="6" max="6" width="10.7109375" style="400" customWidth="1"/>
    <col min="7" max="7" width="17.28515625" style="346" customWidth="1"/>
    <col min="8" max="8" width="9.140625" style="684" customWidth="1"/>
    <col min="9" max="9" width="10.85546875" style="685" hidden="1" customWidth="1"/>
    <col min="10" max="10" width="9" style="685" customWidth="1"/>
    <col min="11" max="11" width="6.5703125" style="686" customWidth="1"/>
    <col min="12" max="12" width="13.85546875" style="687" customWidth="1"/>
    <col min="13" max="13" width="10.5703125" style="197" customWidth="1"/>
    <col min="14" max="15" width="10.140625" style="197" customWidth="1"/>
    <col min="16" max="17" width="7.5703125" style="1668" customWidth="1"/>
    <col min="18" max="18" width="14.42578125" style="346" customWidth="1"/>
    <col min="19" max="19" width="14.140625" style="346" customWidth="1"/>
    <col min="20" max="20" width="10.85546875" style="346" hidden="1" customWidth="1"/>
    <col min="21" max="21" width="13.85546875" style="346" customWidth="1"/>
    <col min="22" max="22" width="9.140625" style="346" hidden="1" customWidth="1"/>
    <col min="23" max="24" width="15.28515625" style="346" hidden="1" customWidth="1"/>
    <col min="25" max="25" width="9.140625" style="346" hidden="1" customWidth="1"/>
    <col min="26" max="201" width="9.140625" style="346" customWidth="1"/>
    <col min="202" max="202" width="5.5703125" style="346" customWidth="1"/>
    <col min="203" max="203" width="16.140625" style="346" customWidth="1"/>
    <col min="204" max="16384" width="18.85546875" style="346"/>
  </cols>
  <sheetData>
    <row r="1" spans="1:21" s="598" customFormat="1" ht="16.5">
      <c r="A1" s="688"/>
      <c r="C1" s="2259" t="s">
        <v>0</v>
      </c>
      <c r="D1" s="2259"/>
      <c r="E1" s="2259"/>
      <c r="F1" s="2259"/>
      <c r="G1" s="2259"/>
      <c r="H1" s="2259"/>
      <c r="I1" s="2259"/>
      <c r="J1" s="2259"/>
      <c r="K1" s="2259"/>
      <c r="L1" s="2259"/>
      <c r="M1" s="2259"/>
      <c r="N1" s="2259"/>
      <c r="O1" s="2259"/>
      <c r="P1" s="2259"/>
      <c r="Q1" s="2259"/>
      <c r="R1" s="2259"/>
      <c r="S1" s="2259"/>
      <c r="T1" s="2259"/>
      <c r="U1" s="2259"/>
    </row>
    <row r="2" spans="1:21" s="598" customFormat="1" ht="16.5">
      <c r="A2" s="688"/>
      <c r="C2" s="2259" t="s">
        <v>1968</v>
      </c>
      <c r="D2" s="2259"/>
      <c r="E2" s="2259"/>
      <c r="F2" s="2259"/>
      <c r="G2" s="2259"/>
      <c r="H2" s="2259"/>
      <c r="I2" s="2259"/>
      <c r="J2" s="2259"/>
      <c r="K2" s="2259"/>
      <c r="L2" s="2259"/>
      <c r="M2" s="2259"/>
      <c r="N2" s="2259"/>
      <c r="O2" s="2259"/>
      <c r="P2" s="2259"/>
      <c r="Q2" s="2259"/>
      <c r="R2" s="2259"/>
      <c r="S2" s="2259"/>
      <c r="T2" s="2259"/>
      <c r="U2" s="2259"/>
    </row>
    <row r="3" spans="1:21" s="598" customFormat="1" ht="16.5">
      <c r="A3" s="688"/>
      <c r="C3" s="640"/>
      <c r="D3" s="2768" t="s">
        <v>619</v>
      </c>
      <c r="E3" s="2259"/>
      <c r="F3" s="2259"/>
      <c r="G3" s="2259"/>
      <c r="H3" s="2259"/>
      <c r="I3" s="2259"/>
      <c r="J3" s="2259"/>
      <c r="K3" s="2259"/>
      <c r="L3" s="2259"/>
      <c r="M3" s="2259"/>
      <c r="N3" s="2259"/>
      <c r="O3" s="2259"/>
      <c r="P3" s="2259"/>
      <c r="Q3" s="2259"/>
      <c r="R3" s="2259"/>
      <c r="S3" s="2259"/>
      <c r="T3" s="2259"/>
      <c r="U3" s="2259"/>
    </row>
    <row r="4" spans="1:21" s="598" customFormat="1">
      <c r="A4" s="688"/>
      <c r="B4" s="2674" t="s">
        <v>2709</v>
      </c>
      <c r="C4" s="2675"/>
      <c r="D4" s="2675"/>
      <c r="E4" s="2675"/>
      <c r="F4" s="2675"/>
      <c r="G4" s="2675"/>
      <c r="H4" s="2675"/>
      <c r="I4" s="2675"/>
      <c r="J4" s="700"/>
      <c r="K4" s="605"/>
      <c r="L4" s="605"/>
      <c r="M4" s="605"/>
      <c r="N4" s="605"/>
      <c r="O4" s="605"/>
      <c r="P4" s="701"/>
      <c r="Q4" s="701"/>
      <c r="R4" s="605"/>
    </row>
    <row r="5" spans="1:21" s="28" customFormat="1" ht="16.5">
      <c r="A5" s="543"/>
      <c r="B5" s="2676" t="s">
        <v>3172</v>
      </c>
      <c r="C5" s="2676"/>
      <c r="D5" s="2676"/>
      <c r="E5" s="2676"/>
      <c r="F5" s="2676"/>
      <c r="G5" s="2676"/>
      <c r="H5" s="2676"/>
      <c r="I5" s="2676"/>
      <c r="J5" s="702"/>
      <c r="K5" s="42"/>
      <c r="M5" s="42"/>
      <c r="N5" s="42"/>
      <c r="O5" s="42"/>
      <c r="P5" s="572"/>
      <c r="Q5" s="572"/>
      <c r="R5" s="82"/>
    </row>
    <row r="6" spans="1:21">
      <c r="B6" s="175"/>
      <c r="C6" s="175"/>
      <c r="D6" s="175"/>
      <c r="E6" s="175"/>
      <c r="F6" s="441"/>
      <c r="G6" s="175"/>
      <c r="H6" s="689"/>
      <c r="I6" s="703"/>
      <c r="J6" s="703"/>
      <c r="K6" s="704"/>
      <c r="L6" s="705"/>
      <c r="M6" s="175"/>
      <c r="N6" s="175"/>
      <c r="O6" s="175"/>
      <c r="P6" s="623"/>
      <c r="Q6" s="623"/>
      <c r="R6" s="175"/>
      <c r="S6" s="175"/>
      <c r="T6" s="175"/>
      <c r="U6" s="175"/>
    </row>
    <row r="7" spans="1:21" s="176" customFormat="1" ht="18" customHeight="1">
      <c r="A7" s="175"/>
      <c r="B7" s="2290" t="s">
        <v>2810</v>
      </c>
      <c r="C7" s="2290"/>
      <c r="D7" s="2290"/>
      <c r="E7" s="2290"/>
      <c r="F7" s="2290"/>
      <c r="G7" s="2290"/>
      <c r="H7" s="2290"/>
      <c r="I7" s="2290"/>
      <c r="J7" s="2290"/>
      <c r="K7" s="2290"/>
      <c r="L7" s="2290"/>
      <c r="M7" s="2290"/>
      <c r="N7" s="2290"/>
      <c r="O7" s="2290"/>
      <c r="P7" s="2290"/>
      <c r="Q7" s="2290"/>
      <c r="R7" s="2290"/>
      <c r="S7" s="2290"/>
      <c r="T7" s="2290"/>
      <c r="U7" s="2290"/>
    </row>
    <row r="8" spans="1:21" s="176" customFormat="1" ht="18" hidden="1" customHeight="1">
      <c r="A8" s="175"/>
      <c r="B8" s="2754" t="s">
        <v>2710</v>
      </c>
      <c r="C8" s="2754"/>
      <c r="D8" s="2754"/>
      <c r="E8" s="2754"/>
      <c r="F8" s="942">
        <v>668.84</v>
      </c>
      <c r="G8" s="175"/>
      <c r="H8" s="175"/>
      <c r="I8" s="706"/>
      <c r="J8" s="706"/>
      <c r="K8" s="175"/>
      <c r="L8" s="175"/>
      <c r="M8" s="175"/>
      <c r="N8" s="175"/>
      <c r="O8" s="175"/>
      <c r="P8" s="623"/>
      <c r="Q8" s="623"/>
      <c r="R8" s="175"/>
      <c r="S8" s="175"/>
      <c r="T8" s="175"/>
      <c r="U8" s="175"/>
    </row>
    <row r="9" spans="1:21" s="176" customFormat="1" ht="13.5" customHeight="1">
      <c r="A9" s="175"/>
      <c r="B9" s="608"/>
      <c r="C9" s="608"/>
      <c r="D9" s="172"/>
      <c r="E9" s="608"/>
      <c r="F9" s="690"/>
      <c r="G9" s="175"/>
      <c r="H9" s="175"/>
      <c r="I9" s="706"/>
      <c r="J9" s="706"/>
      <c r="K9" s="175"/>
      <c r="L9" s="175"/>
      <c r="M9" s="175"/>
      <c r="N9" s="175"/>
      <c r="O9" s="175"/>
      <c r="P9" s="623"/>
      <c r="Q9" s="623"/>
      <c r="R9" s="175"/>
    </row>
    <row r="10" spans="1:21" s="175" customFormat="1" ht="19.5" customHeight="1">
      <c r="A10" s="2762" t="s">
        <v>623</v>
      </c>
      <c r="B10" s="2763"/>
      <c r="C10" s="2735" t="s">
        <v>624</v>
      </c>
      <c r="D10" s="2736" t="s">
        <v>356</v>
      </c>
      <c r="E10" s="2735" t="s">
        <v>2711</v>
      </c>
      <c r="F10" s="2755" t="s">
        <v>2712</v>
      </c>
      <c r="G10" s="2756"/>
      <c r="H10" s="2756"/>
      <c r="I10" s="2756"/>
      <c r="J10" s="2756"/>
      <c r="K10" s="2756"/>
      <c r="L10" s="2756"/>
      <c r="M10" s="2756"/>
      <c r="N10" s="2756"/>
      <c r="O10" s="2756"/>
      <c r="P10" s="2756"/>
      <c r="Q10" s="2757"/>
      <c r="R10" s="2758"/>
      <c r="S10" s="2740" t="s">
        <v>2713</v>
      </c>
      <c r="T10" s="2740" t="s">
        <v>2811</v>
      </c>
      <c r="U10" s="2759" t="s">
        <v>2714</v>
      </c>
    </row>
    <row r="11" spans="1:21" s="175" customFormat="1" ht="33" customHeight="1">
      <c r="A11" s="2764"/>
      <c r="B11" s="2765"/>
      <c r="C11" s="2735"/>
      <c r="D11" s="2737"/>
      <c r="E11" s="2735"/>
      <c r="F11" s="2735" t="s">
        <v>2812</v>
      </c>
      <c r="G11" s="2735"/>
      <c r="H11" s="2759" t="s">
        <v>2717</v>
      </c>
      <c r="I11" s="2759"/>
      <c r="J11" s="2759"/>
      <c r="K11" s="2759"/>
      <c r="L11" s="2759"/>
      <c r="M11" s="2760" t="s">
        <v>2813</v>
      </c>
      <c r="N11" s="2760"/>
      <c r="O11" s="2760"/>
      <c r="P11" s="2760"/>
      <c r="Q11" s="2761"/>
      <c r="R11" s="2760"/>
      <c r="S11" s="2741"/>
      <c r="T11" s="2741"/>
      <c r="U11" s="2759"/>
    </row>
    <row r="12" spans="1:21" s="29" customFormat="1" ht="83.25" customHeight="1">
      <c r="A12" s="2766"/>
      <c r="B12" s="2767"/>
      <c r="C12" s="2735"/>
      <c r="D12" s="2738"/>
      <c r="E12" s="2739"/>
      <c r="F12" s="447" t="s">
        <v>2593</v>
      </c>
      <c r="G12" s="691" t="s">
        <v>2719</v>
      </c>
      <c r="H12" s="695" t="s">
        <v>2720</v>
      </c>
      <c r="I12" s="708" t="s">
        <v>2814</v>
      </c>
      <c r="J12" s="708" t="s">
        <v>2815</v>
      </c>
      <c r="K12" s="692" t="s">
        <v>2723</v>
      </c>
      <c r="L12" s="692" t="s">
        <v>2724</v>
      </c>
      <c r="M12" s="707" t="s">
        <v>2725</v>
      </c>
      <c r="N12" s="707" t="s">
        <v>2726</v>
      </c>
      <c r="O12" s="707" t="s">
        <v>3323</v>
      </c>
      <c r="P12" s="707" t="s">
        <v>2816</v>
      </c>
      <c r="Q12" s="1750" t="s">
        <v>3366</v>
      </c>
      <c r="R12" s="2110" t="s">
        <v>2727</v>
      </c>
      <c r="S12" s="2742"/>
      <c r="T12" s="2742"/>
      <c r="U12" s="2759"/>
    </row>
    <row r="13" spans="1:21" s="29" customFormat="1" ht="53.25" hidden="1" customHeight="1">
      <c r="A13" s="696"/>
      <c r="B13" s="694"/>
      <c r="C13" s="691"/>
      <c r="D13" s="693"/>
      <c r="E13" s="694"/>
      <c r="F13" s="447"/>
      <c r="G13" s="691"/>
      <c r="H13" s="695"/>
      <c r="I13" s="708"/>
      <c r="J13" s="708"/>
      <c r="K13" s="709"/>
      <c r="L13" s="692"/>
      <c r="M13" s="707"/>
      <c r="N13" s="707"/>
      <c r="O13" s="707"/>
      <c r="P13" s="710"/>
      <c r="Q13" s="1751"/>
      <c r="R13" s="692"/>
      <c r="S13" s="713"/>
      <c r="T13" s="713"/>
      <c r="U13" s="692"/>
    </row>
    <row r="14" spans="1:21" s="29" customFormat="1" ht="17.25" hidden="1" customHeight="1">
      <c r="A14" s="696"/>
      <c r="B14" s="697"/>
      <c r="C14" s="697"/>
      <c r="D14" s="694"/>
      <c r="E14" s="697"/>
      <c r="F14" s="698"/>
      <c r="G14" s="697"/>
      <c r="H14" s="699"/>
      <c r="I14" s="711"/>
      <c r="J14" s="711"/>
      <c r="K14" s="697"/>
      <c r="L14" s="697"/>
      <c r="M14" s="697"/>
      <c r="N14" s="697"/>
      <c r="O14" s="697"/>
      <c r="P14" s="712"/>
      <c r="Q14" s="1752"/>
      <c r="R14" s="697"/>
      <c r="S14" s="714"/>
      <c r="T14" s="714"/>
      <c r="U14" s="694"/>
    </row>
    <row r="15" spans="1:21" s="540" customFormat="1" ht="26.25" customHeight="1">
      <c r="A15" s="132">
        <v>1</v>
      </c>
      <c r="B15" s="132">
        <v>1</v>
      </c>
      <c r="C15" s="1643" t="s">
        <v>3288</v>
      </c>
      <c r="D15" s="551" t="s">
        <v>3173</v>
      </c>
      <c r="E15" s="134" t="s">
        <v>15</v>
      </c>
      <c r="F15" s="659">
        <v>0</v>
      </c>
      <c r="G15" s="1663">
        <f t="shared" ref="G15:G78" si="0">F15*25000</f>
        <v>0</v>
      </c>
      <c r="H15" s="552">
        <f>VLOOKUP(D15,'Biểu 2 TH MỦ TẠP'!$C$11:$AI$88,33,0)</f>
        <v>1317</v>
      </c>
      <c r="I15" s="552" t="e">
        <f>VLOOKUP(D15,#REF!,7,0)</f>
        <v>#REF!</v>
      </c>
      <c r="J15" s="552">
        <f>VLOOKUP(D15,'Biểu 2 TH MỦ TẠP'!$C$11:$AK$88,35,0)</f>
        <v>632.88682727700007</v>
      </c>
      <c r="K15" s="1659" t="str">
        <f>VLOOKUP(D15,'Biểu 2 TH MỦ TẠP'!$C$11:$AL$88,36,0)</f>
        <v>B</v>
      </c>
      <c r="L15" s="1658">
        <f>ROUND((IF(K15="A",(J15*6.1),IF(K15="B",(J15*5.8),IF(K15="C",(J15*5.5),IF(K15="D",(J15*5.2),0))))*$F$8),0)</f>
        <v>2455140</v>
      </c>
      <c r="M15" s="1659">
        <f>VLOOKUP(D15,'Biểu 1 TH CÔNG'!$C$11:$AI$88,33,0)</f>
        <v>22</v>
      </c>
      <c r="N15" s="1659">
        <f>VLOOKUP(D15,'Biểu 1 TH CÔNG'!$C$11:$AJ$88,34,0)</f>
        <v>4</v>
      </c>
      <c r="O15" s="246">
        <f>VLOOKUP(D15,'Biểu 1 TH CÔNG'!$C$11:$AL$88,36,0)</f>
        <v>0</v>
      </c>
      <c r="P15" s="1659">
        <f>VLOOKUP(D15,'Biểu 1 TH CÔNG'!$C$11:$AO$88,39,0)</f>
        <v>26</v>
      </c>
      <c r="Q15" s="1753"/>
      <c r="R15" s="1658">
        <f>ROUND(((M15*46.1*$F$8)+(N15*76.9*$F$8)+(O15*76.9*2*$F$8)+(P15*20000)+(Q15*30.7*$F$8)),0)</f>
        <v>1404073</v>
      </c>
      <c r="S15" s="715">
        <f>+L15+G15+R15</f>
        <v>3859213</v>
      </c>
      <c r="T15" s="716"/>
      <c r="U15" s="716">
        <f>S15-T15</f>
        <v>3859213</v>
      </c>
    </row>
    <row r="16" spans="1:21" s="540" customFormat="1" ht="26.25" customHeight="1">
      <c r="A16" s="132">
        <v>2</v>
      </c>
      <c r="B16" s="132">
        <v>2</v>
      </c>
      <c r="C16" s="1643" t="s">
        <v>3293</v>
      </c>
      <c r="D16" s="551" t="s">
        <v>936</v>
      </c>
      <c r="E16" s="134" t="s">
        <v>15</v>
      </c>
      <c r="F16" s="659">
        <v>0</v>
      </c>
      <c r="G16" s="1663">
        <f t="shared" si="0"/>
        <v>0</v>
      </c>
      <c r="H16" s="552">
        <f>VLOOKUP(D16,'Biểu 2 TH MỦ TẠP'!$C$11:$AI$88,33,0)</f>
        <v>2102</v>
      </c>
      <c r="I16" s="552" t="e">
        <f>VLOOKUP(D16,#REF!,7,0)</f>
        <v>#REF!</v>
      </c>
      <c r="J16" s="552">
        <f>VLOOKUP(D16,'Biểu 2 TH MỦ TẠP'!$C$11:$AK$88,35,0)</f>
        <v>1010.1200538620001</v>
      </c>
      <c r="K16" s="1659" t="str">
        <f>VLOOKUP(D16,'Biểu 2 TH MỦ TẠP'!$C$11:$AL$88,36,0)</f>
        <v>B</v>
      </c>
      <c r="L16" s="1658">
        <f t="shared" ref="L16:L79" si="1">ROUND((IF(K16="A",(J16*6.1),IF(K16="B",(J16*5.8),IF(K16="C",(J16*5.5),IF(K16="D",(J16*5.2),0))))*$F$8),0)</f>
        <v>3918530</v>
      </c>
      <c r="M16" s="1659">
        <f>VLOOKUP(D16,'Biểu 1 TH CÔNG'!$C$11:$AI$88,33,0)</f>
        <v>24</v>
      </c>
      <c r="N16" s="1659">
        <f>VLOOKUP(D16,'Biểu 1 TH CÔNG'!$C$11:$AJ$88,34,0)</f>
        <v>5</v>
      </c>
      <c r="O16" s="246">
        <f>VLOOKUP(D16,'Biểu 1 TH CÔNG'!$C$11:$AL$88,36,0)</f>
        <v>0</v>
      </c>
      <c r="P16" s="1659">
        <f>VLOOKUP(D16,'Biểu 1 TH CÔNG'!$C$11:$AO$88,39,0)</f>
        <v>29</v>
      </c>
      <c r="Q16" s="1753"/>
      <c r="R16" s="1658">
        <f t="shared" ref="R16:R79" si="2">ROUND(((M16*46.1*$F$8)+(N16*76.9*$F$8)+(O16*76.9*2*$F$8)+(P16*20000)+(Q16*30.7*$F$8)),0)</f>
        <v>1577174</v>
      </c>
      <c r="S16" s="715">
        <f t="shared" ref="S16:S79" si="3">+L16+G16+R16</f>
        <v>5495704</v>
      </c>
      <c r="T16" s="716"/>
      <c r="U16" s="716">
        <f t="shared" ref="U16:U79" si="4">S16-T16</f>
        <v>5495704</v>
      </c>
    </row>
    <row r="17" spans="1:21" s="540" customFormat="1" ht="26.25" customHeight="1">
      <c r="A17" s="132">
        <v>3</v>
      </c>
      <c r="B17" s="132">
        <v>3</v>
      </c>
      <c r="C17" s="1643"/>
      <c r="D17" s="563" t="s">
        <v>3174</v>
      </c>
      <c r="E17" s="134" t="s">
        <v>15</v>
      </c>
      <c r="F17" s="659">
        <v>0</v>
      </c>
      <c r="G17" s="1663">
        <f t="shared" si="0"/>
        <v>0</v>
      </c>
      <c r="H17" s="552">
        <f>VLOOKUP(D17,'Biểu 2 TH MỦ TẠP'!$C$11:$AI$88,33,0)</f>
        <v>1189</v>
      </c>
      <c r="I17" s="552" t="e">
        <f>VLOOKUP(D17,#REF!,7,0)</f>
        <v>#REF!</v>
      </c>
      <c r="J17" s="552">
        <f>VLOOKUP(D17,'Biểu 2 TH MỦ TẠP'!$C$11:$AK$88,35,0)</f>
        <v>571.37618650900004</v>
      </c>
      <c r="K17" s="1659" t="str">
        <f>VLOOKUP(D17,'Biểu 2 TH MỦ TẠP'!$C$11:$AL$88,36,0)</f>
        <v>B</v>
      </c>
      <c r="L17" s="1658">
        <f t="shared" si="1"/>
        <v>2216524</v>
      </c>
      <c r="M17" s="1659">
        <f>VLOOKUP(D17,'Biểu 1 TH CÔNG'!$C$11:$AI$88,33,0)</f>
        <v>22</v>
      </c>
      <c r="N17" s="1659">
        <f>VLOOKUP(D17,'Biểu 1 TH CÔNG'!$C$11:$AJ$88,34,0)</f>
        <v>3</v>
      </c>
      <c r="O17" s="246">
        <f>VLOOKUP(D17,'Biểu 1 TH CÔNG'!$C$11:$AL$88,36,0)</f>
        <v>0</v>
      </c>
      <c r="P17" s="1659">
        <f>VLOOKUP(D17,'Biểu 1 TH CÔNG'!$C$11:$AO$88,39,0)</f>
        <v>25</v>
      </c>
      <c r="Q17" s="1753"/>
      <c r="R17" s="1658">
        <f t="shared" si="2"/>
        <v>1332639</v>
      </c>
      <c r="S17" s="715">
        <f t="shared" si="3"/>
        <v>3549163</v>
      </c>
      <c r="T17" s="716"/>
      <c r="U17" s="716">
        <f t="shared" si="4"/>
        <v>3549163</v>
      </c>
    </row>
    <row r="18" spans="1:21" s="540" customFormat="1" ht="26.25" customHeight="1">
      <c r="A18" s="132">
        <v>4</v>
      </c>
      <c r="B18" s="132">
        <v>4</v>
      </c>
      <c r="C18" s="245"/>
      <c r="D18" s="563" t="s">
        <v>3175</v>
      </c>
      <c r="E18" s="134" t="s">
        <v>15</v>
      </c>
      <c r="F18" s="659">
        <v>0</v>
      </c>
      <c r="G18" s="1663">
        <f t="shared" si="0"/>
        <v>0</v>
      </c>
      <c r="H18" s="552">
        <f>VLOOKUP(D18,'Biểu 2 TH MỦ TẠP'!$C$11:$AI$88,33,0)</f>
        <v>1420</v>
      </c>
      <c r="I18" s="552" t="e">
        <f>VLOOKUP(D18,#REF!,7,0)</f>
        <v>#REF!</v>
      </c>
      <c r="J18" s="552">
        <f>VLOOKUP(D18,'Biểu 2 TH MỦ TẠP'!$C$11:$AK$88,35,0)</f>
        <v>682.38367102000007</v>
      </c>
      <c r="K18" s="1659" t="str">
        <f>VLOOKUP(D18,'Biểu 2 TH MỦ TẠP'!$C$11:$AL$88,36,0)</f>
        <v>B</v>
      </c>
      <c r="L18" s="1658">
        <f t="shared" si="1"/>
        <v>2647152</v>
      </c>
      <c r="M18" s="1659">
        <f>VLOOKUP(D18,'Biểu 1 TH CÔNG'!$C$11:$AI$88,33,0)</f>
        <v>24</v>
      </c>
      <c r="N18" s="1659">
        <f>VLOOKUP(D18,'Biểu 1 TH CÔNG'!$C$11:$AJ$88,34,0)</f>
        <v>5</v>
      </c>
      <c r="O18" s="246">
        <f>VLOOKUP(D18,'Biểu 1 TH CÔNG'!$C$11:$AL$88,36,0)</f>
        <v>0</v>
      </c>
      <c r="P18" s="1659">
        <f>VLOOKUP(D18,'Biểu 1 TH CÔNG'!$C$11:$AO$88,39,0)</f>
        <v>29</v>
      </c>
      <c r="Q18" s="1753"/>
      <c r="R18" s="1658">
        <f t="shared" si="2"/>
        <v>1577174</v>
      </c>
      <c r="S18" s="715">
        <f t="shared" si="3"/>
        <v>4224326</v>
      </c>
      <c r="T18" s="716"/>
      <c r="U18" s="716">
        <f t="shared" si="4"/>
        <v>4224326</v>
      </c>
    </row>
    <row r="19" spans="1:21" s="540" customFormat="1" ht="26.25" customHeight="1">
      <c r="A19" s="132">
        <v>5</v>
      </c>
      <c r="B19" s="132">
        <v>5</v>
      </c>
      <c r="C19" s="245" t="s">
        <v>3291</v>
      </c>
      <c r="D19" s="135" t="s">
        <v>1386</v>
      </c>
      <c r="E19" s="134" t="s">
        <v>15</v>
      </c>
      <c r="F19" s="659">
        <v>0</v>
      </c>
      <c r="G19" s="1663">
        <f t="shared" si="0"/>
        <v>0</v>
      </c>
      <c r="H19" s="552">
        <f>VLOOKUP(D19,'Biểu 2 TH MỦ TẠP'!$C$11:$AI$88,33,0)</f>
        <v>1572</v>
      </c>
      <c r="I19" s="552" t="e">
        <f>VLOOKUP(D19,#REF!,7,0)</f>
        <v>#REF!</v>
      </c>
      <c r="J19" s="552">
        <f>VLOOKUP(D19,'Biểu 2 TH MỦ TẠP'!$C$11:$AK$88,35,0)</f>
        <v>755.42755693200002</v>
      </c>
      <c r="K19" s="1659" t="str">
        <f>VLOOKUP(D19,'Biểu 2 TH MỦ TẠP'!$C$11:$AL$88,36,0)</f>
        <v>B</v>
      </c>
      <c r="L19" s="1658">
        <f t="shared" si="1"/>
        <v>2930509</v>
      </c>
      <c r="M19" s="1659">
        <f>VLOOKUP(D19,'Biểu 1 TH CÔNG'!$C$11:$AI$88,33,0)</f>
        <v>22</v>
      </c>
      <c r="N19" s="1659">
        <f>VLOOKUP(D19,'Biểu 1 TH CÔNG'!$C$11:$AJ$88,34,0)</f>
        <v>5</v>
      </c>
      <c r="O19" s="246">
        <f>VLOOKUP(D19,'Biểu 1 TH CÔNG'!$C$11:$AL$88,36,0)</f>
        <v>0</v>
      </c>
      <c r="P19" s="1659">
        <f>VLOOKUP(D19,'Biểu 1 TH CÔNG'!$C$11:$AO$88,39,0)</f>
        <v>27</v>
      </c>
      <c r="Q19" s="1753"/>
      <c r="R19" s="1658">
        <f t="shared" si="2"/>
        <v>1475507</v>
      </c>
      <c r="S19" s="715">
        <f t="shared" si="3"/>
        <v>4406016</v>
      </c>
      <c r="T19" s="716"/>
      <c r="U19" s="716">
        <f t="shared" si="4"/>
        <v>4406016</v>
      </c>
    </row>
    <row r="20" spans="1:21" s="540" customFormat="1" ht="26.25" customHeight="1">
      <c r="A20" s="132">
        <v>6</v>
      </c>
      <c r="B20" s="132">
        <v>6</v>
      </c>
      <c r="C20" s="245" t="s">
        <v>3295</v>
      </c>
      <c r="D20" s="135" t="s">
        <v>3176</v>
      </c>
      <c r="E20" s="134" t="s">
        <v>15</v>
      </c>
      <c r="F20" s="659">
        <v>0</v>
      </c>
      <c r="G20" s="1663">
        <f t="shared" si="0"/>
        <v>0</v>
      </c>
      <c r="H20" s="552">
        <f>VLOOKUP(D20,'Biểu 2 TH MỦ TẠP'!$C$11:$AI$88,33,0)</f>
        <v>1879</v>
      </c>
      <c r="I20" s="552" t="e">
        <f>VLOOKUP(D20,#REF!,7,0)</f>
        <v>#REF!</v>
      </c>
      <c r="J20" s="552">
        <f>VLOOKUP(D20,'Biểu 2 TH MỦ TẠP'!$C$11:$AK$88,35,0)</f>
        <v>902.95698439900002</v>
      </c>
      <c r="K20" s="1659" t="str">
        <f>VLOOKUP(D20,'Biểu 2 TH MỦ TẠP'!$C$11:$AL$88,36,0)</f>
        <v>A</v>
      </c>
      <c r="L20" s="1658">
        <f t="shared" si="1"/>
        <v>3683996</v>
      </c>
      <c r="M20" s="1659">
        <f>VLOOKUP(D20,'Biểu 1 TH CÔNG'!$C$11:$AI$88,33,0)</f>
        <v>23</v>
      </c>
      <c r="N20" s="1659">
        <f>VLOOKUP(D20,'Biểu 1 TH CÔNG'!$C$11:$AJ$88,34,0)</f>
        <v>5</v>
      </c>
      <c r="O20" s="246">
        <f>VLOOKUP(D20,'Biểu 1 TH CÔNG'!$C$11:$AL$88,36,0)</f>
        <v>0</v>
      </c>
      <c r="P20" s="1659">
        <f>VLOOKUP(D20,'Biểu 1 TH CÔNG'!$C$11:$AO$88,39,0)</f>
        <v>28</v>
      </c>
      <c r="Q20" s="1753"/>
      <c r="R20" s="1658">
        <f t="shared" si="2"/>
        <v>1526340</v>
      </c>
      <c r="S20" s="715">
        <f t="shared" si="3"/>
        <v>5210336</v>
      </c>
      <c r="T20" s="716"/>
      <c r="U20" s="716">
        <f t="shared" si="4"/>
        <v>5210336</v>
      </c>
    </row>
    <row r="21" spans="1:21" s="540" customFormat="1" ht="26.25" customHeight="1">
      <c r="A21" s="132">
        <v>7</v>
      </c>
      <c r="B21" s="132">
        <v>7</v>
      </c>
      <c r="C21" s="1643" t="s">
        <v>3296</v>
      </c>
      <c r="D21" s="135" t="s">
        <v>3177</v>
      </c>
      <c r="E21" s="134" t="s">
        <v>15</v>
      </c>
      <c r="F21" s="659">
        <v>0</v>
      </c>
      <c r="G21" s="1663">
        <f t="shared" si="0"/>
        <v>0</v>
      </c>
      <c r="H21" s="552">
        <f>VLOOKUP(D21,'Biểu 2 TH MỦ TẠP'!$C$11:$AI$88,33,0)</f>
        <v>2212</v>
      </c>
      <c r="I21" s="552" t="e">
        <f>VLOOKUP(D21,#REF!,7,0)</f>
        <v>#REF!</v>
      </c>
      <c r="J21" s="552">
        <f>VLOOKUP(D21,'Biểu 2 TH MỦ TẠP'!$C$11:$AK$88,35,0)</f>
        <v>1062.9807607720002</v>
      </c>
      <c r="K21" s="1659" t="str">
        <f>VLOOKUP(D21,'Biểu 2 TH MỦ TẠP'!$C$11:$AL$88,36,0)</f>
        <v>B</v>
      </c>
      <c r="L21" s="1658">
        <f t="shared" si="1"/>
        <v>4123592</v>
      </c>
      <c r="M21" s="1659">
        <f>VLOOKUP(D21,'Biểu 1 TH CÔNG'!$C$11:$AI$88,33,0)</f>
        <v>24</v>
      </c>
      <c r="N21" s="1659">
        <f>VLOOKUP(D21,'Biểu 1 TH CÔNG'!$C$11:$AJ$88,34,0)</f>
        <v>5</v>
      </c>
      <c r="O21" s="246">
        <f>VLOOKUP(D21,'Biểu 1 TH CÔNG'!$C$11:$AL$88,36,0)</f>
        <v>0</v>
      </c>
      <c r="P21" s="1659">
        <f>VLOOKUP(D21,'Biểu 1 TH CÔNG'!$C$11:$AO$88,39,0)</f>
        <v>29</v>
      </c>
      <c r="Q21" s="1753"/>
      <c r="R21" s="1658">
        <f t="shared" si="2"/>
        <v>1577174</v>
      </c>
      <c r="S21" s="715">
        <f t="shared" si="3"/>
        <v>5700766</v>
      </c>
      <c r="T21" s="716"/>
      <c r="U21" s="716">
        <f t="shared" si="4"/>
        <v>5700766</v>
      </c>
    </row>
    <row r="22" spans="1:21" s="540" customFormat="1" ht="26.25" customHeight="1">
      <c r="A22" s="132">
        <v>8</v>
      </c>
      <c r="B22" s="132">
        <v>8</v>
      </c>
      <c r="C22" s="1643"/>
      <c r="D22" s="135" t="s">
        <v>3178</v>
      </c>
      <c r="E22" s="134" t="s">
        <v>15</v>
      </c>
      <c r="F22" s="659">
        <v>0</v>
      </c>
      <c r="G22" s="1663">
        <f t="shared" si="0"/>
        <v>0</v>
      </c>
      <c r="H22" s="552">
        <f>VLOOKUP(D22,'Biểu 2 TH MỦ TẠP'!$C$11:$AI$88,33,0)</f>
        <v>970</v>
      </c>
      <c r="I22" s="552" t="e">
        <f>VLOOKUP(D22,#REF!,7,0)</f>
        <v>#REF!</v>
      </c>
      <c r="J22" s="552">
        <f>VLOOKUP(D22,'Biểu 2 TH MỦ TẠP'!$C$11:$AK$88,35,0)</f>
        <v>466.13532457000002</v>
      </c>
      <c r="K22" s="1659" t="str">
        <f>VLOOKUP(D22,'Biểu 2 TH MỦ TẠP'!$C$11:$AL$88,36,0)</f>
        <v>A</v>
      </c>
      <c r="L22" s="1658">
        <f t="shared" si="1"/>
        <v>1901797</v>
      </c>
      <c r="M22" s="1659">
        <f>VLOOKUP(D22,'Biểu 1 TH CÔNG'!$C$11:$AI$88,33,0)</f>
        <v>19</v>
      </c>
      <c r="N22" s="1659">
        <f>VLOOKUP(D22,'Biểu 1 TH CÔNG'!$C$11:$AJ$88,34,0)</f>
        <v>3</v>
      </c>
      <c r="O22" s="246">
        <f>VLOOKUP(D22,'Biểu 1 TH CÔNG'!$C$11:$AL$88,36,0)</f>
        <v>0</v>
      </c>
      <c r="P22" s="1659">
        <f>VLOOKUP(D22,'Biểu 1 TH CÔNG'!$C$11:$AO$88,39,0)</f>
        <v>22</v>
      </c>
      <c r="Q22" s="1753"/>
      <c r="R22" s="1658">
        <f t="shared" si="2"/>
        <v>1180138</v>
      </c>
      <c r="S22" s="715">
        <f t="shared" si="3"/>
        <v>3081935</v>
      </c>
      <c r="T22" s="716"/>
      <c r="U22" s="716">
        <f t="shared" si="4"/>
        <v>3081935</v>
      </c>
    </row>
    <row r="23" spans="1:21" s="540" customFormat="1" ht="26.25" customHeight="1">
      <c r="A23" s="132">
        <v>9</v>
      </c>
      <c r="B23" s="132">
        <v>9</v>
      </c>
      <c r="C23" s="1643"/>
      <c r="D23" s="135" t="s">
        <v>3179</v>
      </c>
      <c r="E23" s="134" t="s">
        <v>15</v>
      </c>
      <c r="F23" s="659">
        <v>0</v>
      </c>
      <c r="G23" s="1663">
        <f t="shared" si="0"/>
        <v>0</v>
      </c>
      <c r="H23" s="552">
        <f>VLOOKUP(D23,'Biểu 2 TH MỦ TẠP'!$C$11:$AI$88,33,0)</f>
        <v>1921</v>
      </c>
      <c r="I23" s="552" t="e">
        <f>VLOOKUP(D23,#REF!,7,0)</f>
        <v>#REF!</v>
      </c>
      <c r="J23" s="552">
        <f>VLOOKUP(D23,'Biểu 2 TH MỦ TẠP'!$C$11:$AK$88,35,0)</f>
        <v>923.140163401</v>
      </c>
      <c r="K23" s="1659" t="str">
        <f>VLOOKUP(D23,'Biểu 2 TH MỦ TẠP'!$C$11:$AL$88,36,0)</f>
        <v>B</v>
      </c>
      <c r="L23" s="1658">
        <f t="shared" si="1"/>
        <v>3581112</v>
      </c>
      <c r="M23" s="1659">
        <f>VLOOKUP(D23,'Biểu 1 TH CÔNG'!$C$11:$AI$88,33,0)</f>
        <v>24</v>
      </c>
      <c r="N23" s="1659">
        <f>VLOOKUP(D23,'Biểu 1 TH CÔNG'!$C$11:$AJ$88,34,0)</f>
        <v>5</v>
      </c>
      <c r="O23" s="246">
        <f>VLOOKUP(D23,'Biểu 1 TH CÔNG'!$C$11:$AL$88,36,0)</f>
        <v>0</v>
      </c>
      <c r="P23" s="1659">
        <f>VLOOKUP(D23,'Biểu 1 TH CÔNG'!$C$11:$AO$88,39,0)</f>
        <v>29</v>
      </c>
      <c r="Q23" s="1753"/>
      <c r="R23" s="1658">
        <f t="shared" si="2"/>
        <v>1577174</v>
      </c>
      <c r="S23" s="715">
        <f t="shared" si="3"/>
        <v>5158286</v>
      </c>
      <c r="T23" s="716"/>
      <c r="U23" s="716">
        <f t="shared" si="4"/>
        <v>5158286</v>
      </c>
    </row>
    <row r="24" spans="1:21" s="540" customFormat="1" ht="26.25" customHeight="1">
      <c r="A24" s="132">
        <v>10</v>
      </c>
      <c r="B24" s="132">
        <v>10</v>
      </c>
      <c r="C24" s="245" t="s">
        <v>3297</v>
      </c>
      <c r="D24" s="135" t="s">
        <v>3180</v>
      </c>
      <c r="E24" s="134" t="s">
        <v>15</v>
      </c>
      <c r="F24" s="659">
        <v>0</v>
      </c>
      <c r="G24" s="1663">
        <f t="shared" si="0"/>
        <v>0</v>
      </c>
      <c r="H24" s="552">
        <f>VLOOKUP(D24,'Biểu 2 TH MỦ TẠP'!$C$11:$AI$88,33,0)</f>
        <v>1011</v>
      </c>
      <c r="I24" s="552" t="e">
        <f>VLOOKUP(D24,#REF!,7,0)</f>
        <v>#REF!</v>
      </c>
      <c r="J24" s="552">
        <f>VLOOKUP(D24,'Biểu 2 TH MỦ TẠP'!$C$11:$AK$88,35,0)</f>
        <v>485.83795169100006</v>
      </c>
      <c r="K24" s="1659" t="str">
        <f>VLOOKUP(D24,'Biểu 2 TH MỦ TẠP'!$C$11:$AL$88,36,0)</f>
        <v>B</v>
      </c>
      <c r="L24" s="1658">
        <f t="shared" si="1"/>
        <v>1884698</v>
      </c>
      <c r="M24" s="1659">
        <f>VLOOKUP(D24,'Biểu 1 TH CÔNG'!$C$11:$AI$88,33,0)</f>
        <v>23</v>
      </c>
      <c r="N24" s="1659">
        <f>VLOOKUP(D24,'Biểu 1 TH CÔNG'!$C$11:$AJ$88,34,0)</f>
        <v>5</v>
      </c>
      <c r="O24" s="246">
        <f>VLOOKUP(D24,'Biểu 1 TH CÔNG'!$C$11:$AL$88,36,0)</f>
        <v>0</v>
      </c>
      <c r="P24" s="1659">
        <f>VLOOKUP(D24,'Biểu 1 TH CÔNG'!$C$11:$AO$88,39,0)</f>
        <v>28</v>
      </c>
      <c r="Q24" s="1753"/>
      <c r="R24" s="1658">
        <f t="shared" si="2"/>
        <v>1526340</v>
      </c>
      <c r="S24" s="715">
        <f t="shared" si="3"/>
        <v>3411038</v>
      </c>
      <c r="T24" s="716"/>
      <c r="U24" s="716">
        <f t="shared" si="4"/>
        <v>3411038</v>
      </c>
    </row>
    <row r="25" spans="1:21" s="540" customFormat="1" ht="26.25" customHeight="1">
      <c r="A25" s="132">
        <v>11</v>
      </c>
      <c r="B25" s="132">
        <v>11</v>
      </c>
      <c r="C25" s="245" t="s">
        <v>3289</v>
      </c>
      <c r="D25" s="135" t="s">
        <v>3181</v>
      </c>
      <c r="E25" s="134" t="s">
        <v>15</v>
      </c>
      <c r="F25" s="659">
        <v>0</v>
      </c>
      <c r="G25" s="1663">
        <f t="shared" si="0"/>
        <v>0</v>
      </c>
      <c r="H25" s="552">
        <f>VLOOKUP(D25,'Biểu 2 TH MỦ TẠP'!$C$11:$AI$88,33,0)</f>
        <v>1092</v>
      </c>
      <c r="I25" s="552" t="e">
        <f>VLOOKUP(D25,#REF!,7,0)</f>
        <v>#REF!</v>
      </c>
      <c r="J25" s="552">
        <f>VLOOKUP(D25,'Biểu 2 TH MỦ TẠP'!$C$11:$AK$88,35,0)</f>
        <v>524.76265405200002</v>
      </c>
      <c r="K25" s="1659" t="str">
        <f>VLOOKUP(D25,'Biểu 2 TH MỦ TẠP'!$C$11:$AL$88,36,0)</f>
        <v>B</v>
      </c>
      <c r="L25" s="1658">
        <f t="shared" si="1"/>
        <v>2035697</v>
      </c>
      <c r="M25" s="1659">
        <f>VLOOKUP(D25,'Biểu 1 TH CÔNG'!$C$11:$AI$88,33,0)</f>
        <v>23</v>
      </c>
      <c r="N25" s="1659">
        <f>VLOOKUP(D25,'Biểu 1 TH CÔNG'!$C$11:$AJ$88,34,0)</f>
        <v>5</v>
      </c>
      <c r="O25" s="246">
        <f>VLOOKUP(D25,'Biểu 1 TH CÔNG'!$C$11:$AL$88,36,0)</f>
        <v>0</v>
      </c>
      <c r="P25" s="1659">
        <f>VLOOKUP(D25,'Biểu 1 TH CÔNG'!$C$11:$AO$88,39,0)</f>
        <v>28</v>
      </c>
      <c r="Q25" s="1753"/>
      <c r="R25" s="1658">
        <f t="shared" si="2"/>
        <v>1526340</v>
      </c>
      <c r="S25" s="715">
        <f t="shared" si="3"/>
        <v>3562037</v>
      </c>
      <c r="T25" s="716"/>
      <c r="U25" s="716">
        <f t="shared" si="4"/>
        <v>3562037</v>
      </c>
    </row>
    <row r="26" spans="1:21" s="540" customFormat="1" ht="26.25" customHeight="1">
      <c r="A26" s="132">
        <v>12</v>
      </c>
      <c r="B26" s="132">
        <v>12</v>
      </c>
      <c r="C26" s="245" t="s">
        <v>3298</v>
      </c>
      <c r="D26" s="135" t="s">
        <v>3182</v>
      </c>
      <c r="E26" s="134" t="s">
        <v>15</v>
      </c>
      <c r="F26" s="659">
        <v>0</v>
      </c>
      <c r="G26" s="1663">
        <f t="shared" si="0"/>
        <v>0</v>
      </c>
      <c r="H26" s="552">
        <f>VLOOKUP(D26,'Biểu 2 TH MỦ TẠP'!$C$11:$AI$88,33,0)</f>
        <v>1985</v>
      </c>
      <c r="I26" s="552" t="e">
        <f>VLOOKUP(D26,#REF!,7,0)</f>
        <v>#REF!</v>
      </c>
      <c r="J26" s="552">
        <f>VLOOKUP(D26,'Biểu 2 TH MỦ TẠP'!$C$11:$AK$88,35,0)</f>
        <v>953.89548378500012</v>
      </c>
      <c r="K26" s="1659" t="str">
        <f>VLOOKUP(D26,'Biểu 2 TH MỦ TẠP'!$C$11:$AL$88,36,0)</f>
        <v>B</v>
      </c>
      <c r="L26" s="1658">
        <f t="shared" si="1"/>
        <v>3700420</v>
      </c>
      <c r="M26" s="1659">
        <f>VLOOKUP(D26,'Biểu 1 TH CÔNG'!$C$11:$AI$88,33,0)</f>
        <v>25</v>
      </c>
      <c r="N26" s="1659">
        <f>VLOOKUP(D26,'Biểu 1 TH CÔNG'!$C$11:$AJ$88,34,0)</f>
        <v>5</v>
      </c>
      <c r="O26" s="246">
        <f>VLOOKUP(D26,'Biểu 1 TH CÔNG'!$C$11:$AL$88,36,0)</f>
        <v>0</v>
      </c>
      <c r="P26" s="1659">
        <f>VLOOKUP(D26,'Biểu 1 TH CÔNG'!$C$11:$AO$88,39,0)</f>
        <v>30</v>
      </c>
      <c r="Q26" s="1753"/>
      <c r="R26" s="1658">
        <f t="shared" si="2"/>
        <v>1628007</v>
      </c>
      <c r="S26" s="715">
        <f t="shared" si="3"/>
        <v>5328427</v>
      </c>
      <c r="T26" s="716"/>
      <c r="U26" s="716">
        <f t="shared" si="4"/>
        <v>5328427</v>
      </c>
    </row>
    <row r="27" spans="1:21" s="540" customFormat="1" ht="26.25" customHeight="1">
      <c r="A27" s="132">
        <v>13</v>
      </c>
      <c r="B27" s="132">
        <v>13</v>
      </c>
      <c r="C27" s="245" t="s">
        <v>3299</v>
      </c>
      <c r="D27" s="135" t="s">
        <v>3183</v>
      </c>
      <c r="E27" s="134" t="s">
        <v>15</v>
      </c>
      <c r="F27" s="659">
        <v>0</v>
      </c>
      <c r="G27" s="1663">
        <f t="shared" si="0"/>
        <v>0</v>
      </c>
      <c r="H27" s="552">
        <f>VLOOKUP(D27,'Biểu 2 TH MỦ TẠP'!$C$11:$AI$88,33,0)</f>
        <v>2688</v>
      </c>
      <c r="I27" s="552" t="e">
        <f>VLOOKUP(D27,#REF!,7,0)</f>
        <v>#REF!</v>
      </c>
      <c r="J27" s="552">
        <f>VLOOKUP(D27,'Biểu 2 TH MỦ TẠP'!$C$11:$AK$88,35,0)</f>
        <v>1291.7234561280002</v>
      </c>
      <c r="K27" s="1659" t="str">
        <f>VLOOKUP(D27,'Biểu 2 TH MỦ TẠP'!$C$11:$AL$88,36,0)</f>
        <v>B</v>
      </c>
      <c r="L27" s="1658">
        <f t="shared" si="1"/>
        <v>5010947</v>
      </c>
      <c r="M27" s="1659">
        <f>VLOOKUP(D27,'Biểu 1 TH CÔNG'!$C$11:$AI$88,33,0)</f>
        <v>24</v>
      </c>
      <c r="N27" s="1659">
        <f>VLOOKUP(D27,'Biểu 1 TH CÔNG'!$C$11:$AJ$88,34,0)</f>
        <v>5</v>
      </c>
      <c r="O27" s="246">
        <f>VLOOKUP(D27,'Biểu 1 TH CÔNG'!$C$11:$AL$88,36,0)</f>
        <v>0</v>
      </c>
      <c r="P27" s="1659">
        <f>VLOOKUP(D27,'Biểu 1 TH CÔNG'!$C$11:$AO$88,39,0)</f>
        <v>29</v>
      </c>
      <c r="Q27" s="1753"/>
      <c r="R27" s="1658">
        <f t="shared" si="2"/>
        <v>1577174</v>
      </c>
      <c r="S27" s="715">
        <f t="shared" si="3"/>
        <v>6588121</v>
      </c>
      <c r="T27" s="716"/>
      <c r="U27" s="716">
        <f t="shared" si="4"/>
        <v>6588121</v>
      </c>
    </row>
    <row r="28" spans="1:21" s="540" customFormat="1" ht="26.25" customHeight="1">
      <c r="A28" s="132">
        <v>14</v>
      </c>
      <c r="B28" s="132">
        <v>14</v>
      </c>
      <c r="C28" s="1643" t="s">
        <v>3300</v>
      </c>
      <c r="D28" s="135" t="s">
        <v>882</v>
      </c>
      <c r="E28" s="134" t="s">
        <v>15</v>
      </c>
      <c r="F28" s="659">
        <v>0</v>
      </c>
      <c r="G28" s="1663">
        <f t="shared" si="0"/>
        <v>0</v>
      </c>
      <c r="H28" s="552">
        <f>VLOOKUP(D28,'Biểu 2 TH MỦ TẠP'!$C$11:$AI$88,33,0)</f>
        <v>1778</v>
      </c>
      <c r="I28" s="552" t="e">
        <f>VLOOKUP(D28,#REF!,7,0)</f>
        <v>#REF!</v>
      </c>
      <c r="J28" s="552">
        <f>VLOOKUP(D28,'Biểu 2 TH MỦ TẠP'!$C$11:$AK$88,35,0)</f>
        <v>854.42124441800001</v>
      </c>
      <c r="K28" s="1659" t="str">
        <f>VLOOKUP(D28,'Biểu 2 TH MỦ TẠP'!$C$11:$AL$88,36,0)</f>
        <v>C</v>
      </c>
      <c r="L28" s="1658">
        <f t="shared" si="1"/>
        <v>3143091</v>
      </c>
      <c r="M28" s="1659">
        <f>VLOOKUP(D28,'Biểu 1 TH CÔNG'!$C$11:$AI$88,33,0)</f>
        <v>24</v>
      </c>
      <c r="N28" s="1659">
        <f>VLOOKUP(D28,'Biểu 1 TH CÔNG'!$C$11:$AJ$88,34,0)</f>
        <v>5</v>
      </c>
      <c r="O28" s="246">
        <f>VLOOKUP(D28,'Biểu 1 TH CÔNG'!$C$11:$AL$88,36,0)</f>
        <v>0</v>
      </c>
      <c r="P28" s="1659">
        <f>VLOOKUP(D28,'Biểu 1 TH CÔNG'!$C$11:$AO$88,39,0)</f>
        <v>29</v>
      </c>
      <c r="Q28" s="1753"/>
      <c r="R28" s="1658">
        <f t="shared" si="2"/>
        <v>1577174</v>
      </c>
      <c r="S28" s="715">
        <f t="shared" si="3"/>
        <v>4720265</v>
      </c>
      <c r="T28" s="716"/>
      <c r="U28" s="716">
        <f t="shared" si="4"/>
        <v>4720265</v>
      </c>
    </row>
    <row r="29" spans="1:21" s="540" customFormat="1" ht="26.25" customHeight="1">
      <c r="A29" s="132">
        <v>15</v>
      </c>
      <c r="B29" s="132">
        <v>15</v>
      </c>
      <c r="C29" s="245" t="s">
        <v>3290</v>
      </c>
      <c r="D29" s="135" t="s">
        <v>3184</v>
      </c>
      <c r="E29" s="134" t="s">
        <v>15</v>
      </c>
      <c r="F29" s="659">
        <v>0</v>
      </c>
      <c r="G29" s="1663">
        <f t="shared" si="0"/>
        <v>0</v>
      </c>
      <c r="H29" s="552">
        <f>VLOOKUP(D29,'Biểu 2 TH MỦ TẠP'!$C$11:$AI$88,33,0)</f>
        <v>2373</v>
      </c>
      <c r="I29" s="552" t="e">
        <f>VLOOKUP(D29,#REF!,7,0)</f>
        <v>#REF!</v>
      </c>
      <c r="J29" s="552">
        <f>VLOOKUP(D29,'Biểu 2 TH MỦ TẠP'!$C$11:$AK$88,35,0)</f>
        <v>1140.3496136130002</v>
      </c>
      <c r="K29" s="1659" t="str">
        <f>VLOOKUP(D29,'Biểu 2 TH MỦ TẠP'!$C$11:$AL$88,36,0)</f>
        <v>A</v>
      </c>
      <c r="L29" s="1658">
        <f t="shared" si="1"/>
        <v>4652540</v>
      </c>
      <c r="M29" s="1659">
        <f>VLOOKUP(D29,'Biểu 1 TH CÔNG'!$C$11:$AI$88,33,0)</f>
        <v>25</v>
      </c>
      <c r="N29" s="1659">
        <f>VLOOKUP(D29,'Biểu 1 TH CÔNG'!$C$11:$AJ$88,34,0)</f>
        <v>5</v>
      </c>
      <c r="O29" s="246">
        <f>VLOOKUP(D29,'Biểu 1 TH CÔNG'!$C$11:$AL$88,36,0)</f>
        <v>0</v>
      </c>
      <c r="P29" s="1659">
        <f>VLOOKUP(D29,'Biểu 1 TH CÔNG'!$C$11:$AO$88,39,0)</f>
        <v>30</v>
      </c>
      <c r="Q29" s="1753"/>
      <c r="R29" s="1658">
        <f t="shared" si="2"/>
        <v>1628007</v>
      </c>
      <c r="S29" s="715">
        <f t="shared" si="3"/>
        <v>6280547</v>
      </c>
      <c r="T29" s="716"/>
      <c r="U29" s="716">
        <f t="shared" si="4"/>
        <v>6280547</v>
      </c>
    </row>
    <row r="30" spans="1:21" s="540" customFormat="1" ht="26.25" customHeight="1">
      <c r="A30" s="132">
        <v>16</v>
      </c>
      <c r="B30" s="132">
        <v>16</v>
      </c>
      <c r="C30" s="1643" t="s">
        <v>3301</v>
      </c>
      <c r="D30" s="1766" t="s">
        <v>3185</v>
      </c>
      <c r="E30" s="134" t="s">
        <v>15</v>
      </c>
      <c r="F30" s="659">
        <v>0</v>
      </c>
      <c r="G30" s="1663">
        <f t="shared" si="0"/>
        <v>0</v>
      </c>
      <c r="H30" s="552">
        <f>VLOOKUP(D30,'Biểu 2 TH MỦ TẠP'!$C$11:$AI$88,33,0)</f>
        <v>2373</v>
      </c>
      <c r="I30" s="552" t="e">
        <f>VLOOKUP(D30,#REF!,7,0)</f>
        <v>#REF!</v>
      </c>
      <c r="J30" s="552">
        <f>VLOOKUP(D30,'Biểu 2 TH MỦ TẠP'!$C$11:$AK$88,35,0)</f>
        <v>1140.3496136130002</v>
      </c>
      <c r="K30" s="1659" t="str">
        <f>VLOOKUP(D30,'Biểu 2 TH MỦ TẠP'!$C$11:$AL$88,36,0)</f>
        <v>A</v>
      </c>
      <c r="L30" s="1658">
        <f t="shared" si="1"/>
        <v>4652540</v>
      </c>
      <c r="M30" s="1659">
        <f>VLOOKUP(D30,'Biểu 1 TH CÔNG'!$C$11:$AI$88,33,0)</f>
        <v>25</v>
      </c>
      <c r="N30" s="1659">
        <f>VLOOKUP(D30,'Biểu 1 TH CÔNG'!$C$11:$AJ$88,34,0)</f>
        <v>5</v>
      </c>
      <c r="O30" s="246">
        <f>VLOOKUP(D30,'Biểu 1 TH CÔNG'!$C$11:$AL$88,36,0)</f>
        <v>0</v>
      </c>
      <c r="P30" s="1659">
        <f>VLOOKUP(D30,'Biểu 1 TH CÔNG'!$C$11:$AO$88,39,0)</f>
        <v>30</v>
      </c>
      <c r="Q30" s="1753"/>
      <c r="R30" s="1658">
        <f t="shared" si="2"/>
        <v>1628007</v>
      </c>
      <c r="S30" s="715">
        <f t="shared" si="3"/>
        <v>6280547</v>
      </c>
      <c r="T30" s="716"/>
      <c r="U30" s="716">
        <f t="shared" si="4"/>
        <v>6280547</v>
      </c>
    </row>
    <row r="31" spans="1:21" s="540" customFormat="1" ht="26.25" customHeight="1">
      <c r="A31" s="132">
        <v>17</v>
      </c>
      <c r="B31" s="132">
        <v>17</v>
      </c>
      <c r="C31" s="1643" t="s">
        <v>3302</v>
      </c>
      <c r="D31" s="135" t="s">
        <v>3186</v>
      </c>
      <c r="E31" s="134" t="s">
        <v>15</v>
      </c>
      <c r="F31" s="659">
        <v>0</v>
      </c>
      <c r="G31" s="1663">
        <f t="shared" si="0"/>
        <v>0</v>
      </c>
      <c r="H31" s="552">
        <f>VLOOKUP(D31,'Biểu 2 TH MỦ TẠP'!$C$11:$AI$88,33,0)</f>
        <v>2336</v>
      </c>
      <c r="I31" s="552" t="e">
        <f>VLOOKUP(D31,#REF!,7,0)</f>
        <v>#REF!</v>
      </c>
      <c r="J31" s="552">
        <f>VLOOKUP(D31,'Biểu 2 TH MỦ TẠP'!$C$11:$AK$88,35,0)</f>
        <v>1122.5691940160002</v>
      </c>
      <c r="K31" s="1659" t="str">
        <f>VLOOKUP(D31,'Biểu 2 TH MỦ TẠP'!$C$11:$AL$88,36,0)</f>
        <v>B</v>
      </c>
      <c r="L31" s="1658">
        <f t="shared" si="1"/>
        <v>4354751</v>
      </c>
      <c r="M31" s="1659">
        <f>VLOOKUP(D31,'Biểu 1 TH CÔNG'!$C$11:$AI$88,33,0)</f>
        <v>23</v>
      </c>
      <c r="N31" s="1659">
        <f>VLOOKUP(D31,'Biểu 1 TH CÔNG'!$C$11:$AJ$88,34,0)</f>
        <v>5</v>
      </c>
      <c r="O31" s="246">
        <f>VLOOKUP(D31,'Biểu 1 TH CÔNG'!$C$11:$AL$88,36,0)</f>
        <v>0</v>
      </c>
      <c r="P31" s="1659">
        <f>VLOOKUP(D31,'Biểu 1 TH CÔNG'!$C$11:$AO$88,39,0)</f>
        <v>28</v>
      </c>
      <c r="Q31" s="1753"/>
      <c r="R31" s="1658">
        <f t="shared" si="2"/>
        <v>1526340</v>
      </c>
      <c r="S31" s="715">
        <f t="shared" si="3"/>
        <v>5881091</v>
      </c>
      <c r="T31" s="716"/>
      <c r="U31" s="716">
        <f t="shared" si="4"/>
        <v>5881091</v>
      </c>
    </row>
    <row r="32" spans="1:21" s="540" customFormat="1" ht="26.25" customHeight="1">
      <c r="A32" s="132">
        <v>18</v>
      </c>
      <c r="B32" s="132">
        <v>18</v>
      </c>
      <c r="C32" s="245" t="s">
        <v>3311</v>
      </c>
      <c r="D32" s="135" t="s">
        <v>3187</v>
      </c>
      <c r="E32" s="134" t="s">
        <v>15</v>
      </c>
      <c r="F32" s="659">
        <v>0</v>
      </c>
      <c r="G32" s="1663">
        <f t="shared" si="0"/>
        <v>0</v>
      </c>
      <c r="H32" s="552">
        <f>VLOOKUP(D32,'Biểu 2 TH MỦ TẠP'!$C$11:$AI$88,33,0)</f>
        <v>1782</v>
      </c>
      <c r="I32" s="552" t="e">
        <f>VLOOKUP(D32,#REF!,7,0)</f>
        <v>#REF!</v>
      </c>
      <c r="J32" s="552">
        <f>VLOOKUP(D32,'Biểu 2 TH MỦ TẠP'!$C$11:$AK$88,35,0)</f>
        <v>856.34345194200012</v>
      </c>
      <c r="K32" s="1659" t="str">
        <f>VLOOKUP(D32,'Biểu 2 TH MỦ TẠP'!$C$11:$AL$88,36,0)</f>
        <v>A</v>
      </c>
      <c r="L32" s="1658">
        <f t="shared" si="1"/>
        <v>3493816</v>
      </c>
      <c r="M32" s="1659">
        <f>VLOOKUP(D32,'Biểu 1 TH CÔNG'!$C$11:$AI$88,33,0)</f>
        <v>24</v>
      </c>
      <c r="N32" s="1659">
        <f>VLOOKUP(D32,'Biểu 1 TH CÔNG'!$C$11:$AJ$88,34,0)</f>
        <v>5</v>
      </c>
      <c r="O32" s="246">
        <f>VLOOKUP(D32,'Biểu 1 TH CÔNG'!$C$11:$AL$88,36,0)</f>
        <v>0</v>
      </c>
      <c r="P32" s="1659">
        <f>VLOOKUP(D32,'Biểu 1 TH CÔNG'!$C$11:$AO$88,39,0)</f>
        <v>29</v>
      </c>
      <c r="Q32" s="1753"/>
      <c r="R32" s="1658">
        <f t="shared" si="2"/>
        <v>1577174</v>
      </c>
      <c r="S32" s="715">
        <f t="shared" si="3"/>
        <v>5070990</v>
      </c>
      <c r="T32" s="716"/>
      <c r="U32" s="716">
        <f t="shared" si="4"/>
        <v>5070990</v>
      </c>
    </row>
    <row r="33" spans="1:21" s="540" customFormat="1" ht="26.25" customHeight="1">
      <c r="A33" s="132">
        <v>19</v>
      </c>
      <c r="B33" s="132">
        <v>19</v>
      </c>
      <c r="C33" s="245" t="s">
        <v>3303</v>
      </c>
      <c r="D33" s="135" t="s">
        <v>3188</v>
      </c>
      <c r="E33" s="134" t="s">
        <v>15</v>
      </c>
      <c r="F33" s="659">
        <v>0</v>
      </c>
      <c r="G33" s="1663">
        <f t="shared" si="0"/>
        <v>0</v>
      </c>
      <c r="H33" s="552">
        <f>VLOOKUP(D33,'Biểu 2 TH MỦ TẠP'!$C$11:$AI$88,33,0)</f>
        <v>1084</v>
      </c>
      <c r="I33" s="552" t="e">
        <f>VLOOKUP(D33,#REF!,7,0)</f>
        <v>#REF!</v>
      </c>
      <c r="J33" s="552">
        <f>VLOOKUP(D33,'Biểu 2 TH MỦ TẠP'!$C$11:$AK$88,35,0)</f>
        <v>520.91823900400004</v>
      </c>
      <c r="K33" s="1659" t="str">
        <f>VLOOKUP(D33,'Biểu 2 TH MỦ TẠP'!$C$11:$AL$88,36,0)</f>
        <v>B</v>
      </c>
      <c r="L33" s="1658">
        <f t="shared" si="1"/>
        <v>2020784</v>
      </c>
      <c r="M33" s="1659">
        <f>VLOOKUP(D33,'Biểu 1 TH CÔNG'!$C$11:$AI$88,33,0)</f>
        <v>22</v>
      </c>
      <c r="N33" s="1659">
        <f>VLOOKUP(D33,'Biểu 1 TH CÔNG'!$C$11:$AJ$88,34,0)</f>
        <v>5</v>
      </c>
      <c r="O33" s="246">
        <f>VLOOKUP(D33,'Biểu 1 TH CÔNG'!$C$11:$AL$88,36,0)</f>
        <v>0</v>
      </c>
      <c r="P33" s="1659">
        <f>VLOOKUP(D33,'Biểu 1 TH CÔNG'!$C$11:$AO$88,39,0)</f>
        <v>27</v>
      </c>
      <c r="Q33" s="1753"/>
      <c r="R33" s="1658">
        <f t="shared" si="2"/>
        <v>1475507</v>
      </c>
      <c r="S33" s="715">
        <f t="shared" si="3"/>
        <v>3496291</v>
      </c>
      <c r="T33" s="716"/>
      <c r="U33" s="716">
        <f t="shared" si="4"/>
        <v>3496291</v>
      </c>
    </row>
    <row r="34" spans="1:21" s="540" customFormat="1" ht="26.25" customHeight="1">
      <c r="A34" s="132">
        <v>20</v>
      </c>
      <c r="B34" s="132">
        <v>20</v>
      </c>
      <c r="C34" s="1643" t="s">
        <v>3304</v>
      </c>
      <c r="D34" s="135" t="s">
        <v>3189</v>
      </c>
      <c r="E34" s="134" t="s">
        <v>15</v>
      </c>
      <c r="F34" s="659">
        <v>0</v>
      </c>
      <c r="G34" s="1663">
        <f t="shared" si="0"/>
        <v>0</v>
      </c>
      <c r="H34" s="552">
        <f>VLOOKUP(D34,'Biểu 2 TH MỦ TẠP'!$C$11:$AI$88,33,0)</f>
        <v>1556</v>
      </c>
      <c r="I34" s="552" t="e">
        <f>VLOOKUP(D34,#REF!,7,0)</f>
        <v>#REF!</v>
      </c>
      <c r="J34" s="552">
        <f>VLOOKUP(D34,'Biểu 2 TH MỦ TẠP'!$C$11:$AK$88,35,0)</f>
        <v>747.73872683599996</v>
      </c>
      <c r="K34" s="1659" t="str">
        <f>VLOOKUP(D34,'Biểu 2 TH MỦ TẠP'!$C$11:$AL$88,36,0)</f>
        <v>B</v>
      </c>
      <c r="L34" s="1658">
        <f t="shared" si="1"/>
        <v>2900682</v>
      </c>
      <c r="M34" s="1659">
        <f>VLOOKUP(D34,'Biểu 1 TH CÔNG'!$C$11:$AI$88,33,0)</f>
        <v>24</v>
      </c>
      <c r="N34" s="1659">
        <f>VLOOKUP(D34,'Biểu 1 TH CÔNG'!$C$11:$AJ$88,34,0)</f>
        <v>5</v>
      </c>
      <c r="O34" s="246">
        <f>VLOOKUP(D34,'Biểu 1 TH CÔNG'!$C$11:$AL$88,36,0)</f>
        <v>0</v>
      </c>
      <c r="P34" s="1659">
        <f>VLOOKUP(D34,'Biểu 1 TH CÔNG'!$C$11:$AO$88,39,0)</f>
        <v>29</v>
      </c>
      <c r="Q34" s="1753"/>
      <c r="R34" s="1658">
        <f t="shared" si="2"/>
        <v>1577174</v>
      </c>
      <c r="S34" s="715">
        <f t="shared" si="3"/>
        <v>4477856</v>
      </c>
      <c r="T34" s="716"/>
      <c r="U34" s="716">
        <f t="shared" si="4"/>
        <v>4477856</v>
      </c>
    </row>
    <row r="35" spans="1:21" s="540" customFormat="1" ht="26.25" customHeight="1">
      <c r="A35" s="132">
        <v>21</v>
      </c>
      <c r="B35" s="132">
        <v>21</v>
      </c>
      <c r="C35" s="245"/>
      <c r="D35" s="135" t="s">
        <v>3190</v>
      </c>
      <c r="E35" s="134" t="s">
        <v>15</v>
      </c>
      <c r="F35" s="659">
        <v>0</v>
      </c>
      <c r="G35" s="1663">
        <f t="shared" si="0"/>
        <v>0</v>
      </c>
      <c r="H35" s="552">
        <f>VLOOKUP(D35,'Biểu 2 TH MỦ TẠP'!$C$11:$AI$88,33,0)</f>
        <v>1398</v>
      </c>
      <c r="I35" s="552" t="e">
        <f>VLOOKUP(D35,#REF!,7,0)</f>
        <v>#REF!</v>
      </c>
      <c r="J35" s="552">
        <f>VLOOKUP(D35,'Biểu 2 TH MỦ TẠP'!$C$11:$AK$88,35,0)</f>
        <v>671.81152963800002</v>
      </c>
      <c r="K35" s="1659" t="str">
        <f>VLOOKUP(D35,'Biểu 2 TH MỦ TẠP'!$C$11:$AL$88,36,0)</f>
        <v>B</v>
      </c>
      <c r="L35" s="1658">
        <f t="shared" si="1"/>
        <v>2606140</v>
      </c>
      <c r="M35" s="1659">
        <f>VLOOKUP(D35,'Biểu 1 TH CÔNG'!$C$11:$AI$88,33,0)</f>
        <v>23</v>
      </c>
      <c r="N35" s="1659">
        <f>VLOOKUP(D35,'Biểu 1 TH CÔNG'!$C$11:$AJ$88,34,0)</f>
        <v>5</v>
      </c>
      <c r="O35" s="246">
        <f>VLOOKUP(D35,'Biểu 1 TH CÔNG'!$C$11:$AL$88,36,0)</f>
        <v>0</v>
      </c>
      <c r="P35" s="1659">
        <f>VLOOKUP(D35,'Biểu 1 TH CÔNG'!$C$11:$AO$88,39,0)</f>
        <v>28</v>
      </c>
      <c r="Q35" s="1753"/>
      <c r="R35" s="1658">
        <f t="shared" si="2"/>
        <v>1526340</v>
      </c>
      <c r="S35" s="715">
        <f t="shared" si="3"/>
        <v>4132480</v>
      </c>
      <c r="T35" s="716"/>
      <c r="U35" s="716">
        <f t="shared" si="4"/>
        <v>4132480</v>
      </c>
    </row>
    <row r="36" spans="1:21" s="540" customFormat="1" ht="26.25" customHeight="1">
      <c r="A36" s="132">
        <v>22</v>
      </c>
      <c r="B36" s="132">
        <v>22</v>
      </c>
      <c r="C36" s="1643" t="s">
        <v>3305</v>
      </c>
      <c r="D36" s="135" t="s">
        <v>3191</v>
      </c>
      <c r="E36" s="134" t="s">
        <v>15</v>
      </c>
      <c r="F36" s="659">
        <v>0</v>
      </c>
      <c r="G36" s="1663">
        <f t="shared" si="0"/>
        <v>0</v>
      </c>
      <c r="H36" s="552">
        <f>VLOOKUP(D36,'Biểu 2 TH MỦ TẠP'!$C$11:$AI$88,33,0)</f>
        <v>1913</v>
      </c>
      <c r="I36" s="552" t="e">
        <f>VLOOKUP(D36,#REF!,7,0)</f>
        <v>#REF!</v>
      </c>
      <c r="J36" s="552">
        <f>VLOOKUP(D36,'Biểu 2 TH MỦ TẠP'!$C$11:$AK$88,35,0)</f>
        <v>919.29574835300014</v>
      </c>
      <c r="K36" s="1659" t="str">
        <f>VLOOKUP(D36,'Biểu 2 TH MỦ TẠP'!$C$11:$AL$88,36,0)</f>
        <v>B</v>
      </c>
      <c r="L36" s="1658">
        <f t="shared" si="1"/>
        <v>3566198</v>
      </c>
      <c r="M36" s="1659">
        <f>VLOOKUP(D36,'Biểu 1 TH CÔNG'!$C$11:$AI$88,33,0)</f>
        <v>24</v>
      </c>
      <c r="N36" s="1659">
        <f>VLOOKUP(D36,'Biểu 1 TH CÔNG'!$C$11:$AJ$88,34,0)</f>
        <v>5</v>
      </c>
      <c r="O36" s="246">
        <f>VLOOKUP(D36,'Biểu 1 TH CÔNG'!$C$11:$AL$88,36,0)</f>
        <v>0</v>
      </c>
      <c r="P36" s="1659">
        <f>VLOOKUP(D36,'Biểu 1 TH CÔNG'!$C$11:$AO$88,39,0)</f>
        <v>29</v>
      </c>
      <c r="Q36" s="1753"/>
      <c r="R36" s="1658">
        <f t="shared" si="2"/>
        <v>1577174</v>
      </c>
      <c r="S36" s="715">
        <f t="shared" si="3"/>
        <v>5143372</v>
      </c>
      <c r="T36" s="716"/>
      <c r="U36" s="716">
        <f t="shared" si="4"/>
        <v>5143372</v>
      </c>
    </row>
    <row r="37" spans="1:21" s="540" customFormat="1" ht="26.25" customHeight="1">
      <c r="A37" s="132">
        <v>23</v>
      </c>
      <c r="B37" s="132">
        <v>23</v>
      </c>
      <c r="C37" s="245" t="s">
        <v>3306</v>
      </c>
      <c r="D37" s="135" t="s">
        <v>3192</v>
      </c>
      <c r="E37" s="134" t="s">
        <v>15</v>
      </c>
      <c r="F37" s="659">
        <v>0</v>
      </c>
      <c r="G37" s="1663">
        <f t="shared" si="0"/>
        <v>0</v>
      </c>
      <c r="H37" s="552">
        <f>VLOOKUP(D37,'Biểu 2 TH MỦ TẠP'!$C$11:$AI$88,33,0)</f>
        <v>2055</v>
      </c>
      <c r="I37" s="552" t="e">
        <f>VLOOKUP(D37,#REF!,7,0)</f>
        <v>#REF!</v>
      </c>
      <c r="J37" s="552">
        <f>VLOOKUP(D37,'Biểu 2 TH MỦ TẠP'!$C$11:$AK$88,35,0)</f>
        <v>987.53411545500001</v>
      </c>
      <c r="K37" s="1659" t="str">
        <f>VLOOKUP(D37,'Biểu 2 TH MỦ TẠP'!$C$11:$AL$88,36,0)</f>
        <v>B</v>
      </c>
      <c r="L37" s="1658">
        <f t="shared" si="1"/>
        <v>3830913</v>
      </c>
      <c r="M37" s="1659">
        <f>VLOOKUP(D37,'Biểu 1 TH CÔNG'!$C$11:$AI$88,33,0)</f>
        <v>23</v>
      </c>
      <c r="N37" s="1659">
        <f>VLOOKUP(D37,'Biểu 1 TH CÔNG'!$C$11:$AJ$88,34,0)</f>
        <v>4</v>
      </c>
      <c r="O37" s="246">
        <f>VLOOKUP(D37,'Biểu 1 TH CÔNG'!$C$11:$AL$88,36,0)</f>
        <v>0</v>
      </c>
      <c r="P37" s="1659">
        <f>VLOOKUP(D37,'Biểu 1 TH CÔNG'!$C$11:$AO$88,39,0)</f>
        <v>27</v>
      </c>
      <c r="Q37" s="1753"/>
      <c r="R37" s="1658">
        <f t="shared" si="2"/>
        <v>1454906</v>
      </c>
      <c r="S37" s="715">
        <f t="shared" si="3"/>
        <v>5285819</v>
      </c>
      <c r="T37" s="716"/>
      <c r="U37" s="716">
        <f t="shared" si="4"/>
        <v>5285819</v>
      </c>
    </row>
    <row r="38" spans="1:21" s="540" customFormat="1" ht="26.25" customHeight="1">
      <c r="A38" s="132">
        <v>24</v>
      </c>
      <c r="B38" s="132">
        <v>24</v>
      </c>
      <c r="C38" s="1643"/>
      <c r="D38" s="135" t="s">
        <v>3193</v>
      </c>
      <c r="E38" s="134" t="s">
        <v>15</v>
      </c>
      <c r="F38" s="659">
        <v>0</v>
      </c>
      <c r="G38" s="1663">
        <f t="shared" si="0"/>
        <v>0</v>
      </c>
      <c r="H38" s="552">
        <f>VLOOKUP(D38,'Biểu 2 TH MỦ TẠP'!$C$11:$AI$88,33,0)</f>
        <v>635</v>
      </c>
      <c r="I38" s="552" t="e">
        <f>VLOOKUP(D38,#REF!,7,0)</f>
        <v>#REF!</v>
      </c>
      <c r="J38" s="552">
        <f>VLOOKUP(D38,'Biểu 2 TH MỦ TẠP'!$C$11:$AK$88,35,0)</f>
        <v>305.15044443500005</v>
      </c>
      <c r="K38" s="1659" t="str">
        <f>VLOOKUP(D38,'Biểu 2 TH MỦ TẠP'!$C$11:$AL$88,36,0)</f>
        <v>B</v>
      </c>
      <c r="L38" s="1658">
        <f t="shared" si="1"/>
        <v>1183762</v>
      </c>
      <c r="M38" s="1659">
        <f>VLOOKUP(D38,'Biểu 1 TH CÔNG'!$C$11:$AI$88,33,0)</f>
        <v>18</v>
      </c>
      <c r="N38" s="1659">
        <f>VLOOKUP(D38,'Biểu 1 TH CÔNG'!$C$11:$AJ$88,34,0)</f>
        <v>4</v>
      </c>
      <c r="O38" s="246">
        <f>VLOOKUP(D38,'Biểu 1 TH CÔNG'!$C$11:$AL$88,36,0)</f>
        <v>0</v>
      </c>
      <c r="P38" s="1659">
        <f>VLOOKUP(D38,'Biểu 1 TH CÔNG'!$C$11:$AO$88,39,0)</f>
        <v>22</v>
      </c>
      <c r="Q38" s="1753"/>
      <c r="R38" s="1658">
        <f t="shared" si="2"/>
        <v>1200739</v>
      </c>
      <c r="S38" s="715">
        <f t="shared" si="3"/>
        <v>2384501</v>
      </c>
      <c r="T38" s="716"/>
      <c r="U38" s="716">
        <f t="shared" si="4"/>
        <v>2384501</v>
      </c>
    </row>
    <row r="39" spans="1:21" s="540" customFormat="1" ht="26.25" customHeight="1">
      <c r="A39" s="132">
        <v>25</v>
      </c>
      <c r="B39" s="132">
        <v>25</v>
      </c>
      <c r="C39" s="245"/>
      <c r="D39" s="135" t="s">
        <v>3194</v>
      </c>
      <c r="E39" s="134" t="s">
        <v>15</v>
      </c>
      <c r="F39" s="659">
        <v>0</v>
      </c>
      <c r="G39" s="1663">
        <f t="shared" si="0"/>
        <v>0</v>
      </c>
      <c r="H39" s="552">
        <f>VLOOKUP(D39,'Biểu 2 TH MỦ TẠP'!$C$11:$AI$88,33,0)</f>
        <v>765</v>
      </c>
      <c r="I39" s="552"/>
      <c r="J39" s="552">
        <f>VLOOKUP(D39,'Biểu 2 TH MỦ TẠP'!$C$11:$AK$88,35,0)</f>
        <v>367.62218896500002</v>
      </c>
      <c r="K39" s="1659" t="str">
        <f>VLOOKUP(D39,'Biểu 2 TH MỦ TẠP'!$C$11:$AL$88,36,0)</f>
        <v>B</v>
      </c>
      <c r="L39" s="1658">
        <f t="shared" si="1"/>
        <v>1426106</v>
      </c>
      <c r="M39" s="1659">
        <f>VLOOKUP(D39,'Biểu 1 TH CÔNG'!$C$11:$AI$88,33,0)</f>
        <v>19</v>
      </c>
      <c r="N39" s="1659">
        <f>VLOOKUP(D39,'Biểu 1 TH CÔNG'!$C$11:$AJ$88,34,0)</f>
        <v>4</v>
      </c>
      <c r="O39" s="246">
        <f>VLOOKUP(D39,'Biểu 1 TH CÔNG'!$C$11:$AL$88,36,0)</f>
        <v>0</v>
      </c>
      <c r="P39" s="1659">
        <f>VLOOKUP(D39,'Biểu 1 TH CÔNG'!$C$11:$AO$88,39,0)</f>
        <v>23</v>
      </c>
      <c r="Q39" s="1753"/>
      <c r="R39" s="1658">
        <f t="shared" si="2"/>
        <v>1251572</v>
      </c>
      <c r="S39" s="715">
        <f t="shared" si="3"/>
        <v>2677678</v>
      </c>
      <c r="T39" s="716"/>
      <c r="U39" s="716">
        <f t="shared" si="4"/>
        <v>2677678</v>
      </c>
    </row>
    <row r="40" spans="1:21" s="540" customFormat="1" ht="26.25" customHeight="1">
      <c r="A40" s="132">
        <v>26</v>
      </c>
      <c r="B40" s="132">
        <v>26</v>
      </c>
      <c r="C40" s="245"/>
      <c r="D40" s="135" t="s">
        <v>3195</v>
      </c>
      <c r="E40" s="134" t="s">
        <v>15</v>
      </c>
      <c r="F40" s="659">
        <v>0</v>
      </c>
      <c r="G40" s="1663">
        <f t="shared" si="0"/>
        <v>0</v>
      </c>
      <c r="H40" s="552">
        <f>VLOOKUP(D40,'Biểu 2 TH MỦ TẠP'!$C$11:$AI$88,33,0)</f>
        <v>621</v>
      </c>
      <c r="I40" s="552"/>
      <c r="J40" s="552">
        <f>VLOOKUP(D40,'Biểu 2 TH MỦ TẠP'!$C$11:$AK$88,35,0)</f>
        <v>298.42271810100004</v>
      </c>
      <c r="K40" s="1659" t="str">
        <f>VLOOKUP(D40,'Biểu 2 TH MỦ TẠP'!$C$11:$AL$88,36,0)</f>
        <v>B</v>
      </c>
      <c r="L40" s="1658">
        <f t="shared" si="1"/>
        <v>1157663</v>
      </c>
      <c r="M40" s="1659">
        <f>VLOOKUP(D40,'Biểu 1 TH CÔNG'!$C$11:$AI$88,33,0)</f>
        <v>17</v>
      </c>
      <c r="N40" s="1659">
        <f>VLOOKUP(D40,'Biểu 1 TH CÔNG'!$C$11:$AJ$88,34,0)</f>
        <v>3</v>
      </c>
      <c r="O40" s="246">
        <f>VLOOKUP(D40,'Biểu 1 TH CÔNG'!$C$11:$AL$88,36,0)</f>
        <v>0</v>
      </c>
      <c r="P40" s="1659">
        <f>VLOOKUP(D40,'Biểu 1 TH CÔNG'!$C$11:$AO$88,39,0)</f>
        <v>20</v>
      </c>
      <c r="Q40" s="1753"/>
      <c r="R40" s="1658">
        <f t="shared" si="2"/>
        <v>1078471</v>
      </c>
      <c r="S40" s="715">
        <f t="shared" si="3"/>
        <v>2236134</v>
      </c>
      <c r="T40" s="716"/>
      <c r="U40" s="716">
        <f t="shared" si="4"/>
        <v>2236134</v>
      </c>
    </row>
    <row r="41" spans="1:21" s="540" customFormat="1" ht="26.25" customHeight="1">
      <c r="A41" s="132">
        <v>27</v>
      </c>
      <c r="B41" s="132">
        <v>27</v>
      </c>
      <c r="C41" s="1643" t="s">
        <v>3294</v>
      </c>
      <c r="D41" s="135" t="s">
        <v>3196</v>
      </c>
      <c r="E41" s="134" t="s">
        <v>15</v>
      </c>
      <c r="F41" s="659">
        <v>0</v>
      </c>
      <c r="G41" s="1663">
        <f t="shared" si="0"/>
        <v>0</v>
      </c>
      <c r="H41" s="552">
        <f>VLOOKUP(D41,'Biểu 2 TH MỦ TẠP'!$C$11:$AI$88,33,0)</f>
        <v>1700</v>
      </c>
      <c r="I41" s="552" t="e">
        <f>VLOOKUP(D41,#REF!,7,0)</f>
        <v>#REF!</v>
      </c>
      <c r="J41" s="552">
        <f>VLOOKUP(D41,'Biểu 2 TH MỦ TẠP'!$C$11:$AK$88,35,0)</f>
        <v>816.93819770000005</v>
      </c>
      <c r="K41" s="1659" t="str">
        <f>VLOOKUP(D41,'Biểu 2 TH MỦ TẠP'!$C$11:$AL$88,36,0)</f>
        <v>B</v>
      </c>
      <c r="L41" s="1658">
        <f t="shared" si="1"/>
        <v>3169125</v>
      </c>
      <c r="M41" s="1659">
        <f>VLOOKUP(D41,'Biểu 1 TH CÔNG'!$C$11:$AI$88,33,0)</f>
        <v>23</v>
      </c>
      <c r="N41" s="1659">
        <f>VLOOKUP(D41,'Biểu 1 TH CÔNG'!$C$11:$AJ$88,34,0)</f>
        <v>5</v>
      </c>
      <c r="O41" s="246">
        <f>VLOOKUP(D41,'Biểu 1 TH CÔNG'!$C$11:$AL$88,36,0)</f>
        <v>0</v>
      </c>
      <c r="P41" s="1659">
        <f>VLOOKUP(D41,'Biểu 1 TH CÔNG'!$C$11:$AO$88,39,0)</f>
        <v>28</v>
      </c>
      <c r="Q41" s="1753"/>
      <c r="R41" s="1658">
        <f t="shared" si="2"/>
        <v>1526340</v>
      </c>
      <c r="S41" s="715">
        <f t="shared" si="3"/>
        <v>4695465</v>
      </c>
      <c r="T41" s="716"/>
      <c r="U41" s="716">
        <f t="shared" si="4"/>
        <v>4695465</v>
      </c>
    </row>
    <row r="42" spans="1:21" s="540" customFormat="1" ht="26.25" customHeight="1">
      <c r="A42" s="132">
        <v>28</v>
      </c>
      <c r="B42" s="132">
        <v>28</v>
      </c>
      <c r="C42" s="1643" t="s">
        <v>3307</v>
      </c>
      <c r="D42" s="135" t="s">
        <v>3197</v>
      </c>
      <c r="E42" s="134" t="s">
        <v>15</v>
      </c>
      <c r="F42" s="659">
        <v>0</v>
      </c>
      <c r="G42" s="1663">
        <f t="shared" si="0"/>
        <v>0</v>
      </c>
      <c r="H42" s="552">
        <f>VLOOKUP(D42,'Biểu 2 TH MỦ TẠP'!$C$11:$AI$88,33,0)</f>
        <v>1694</v>
      </c>
      <c r="I42" s="552" t="e">
        <f>VLOOKUP(D42,#REF!,7,0)</f>
        <v>#REF!</v>
      </c>
      <c r="J42" s="552">
        <f>VLOOKUP(D42,'Biểu 2 TH MỦ TẠP'!$C$11:$AK$88,35,0)</f>
        <v>814.05488641400007</v>
      </c>
      <c r="K42" s="1659" t="str">
        <f>VLOOKUP(D42,'Biểu 2 TH MỦ TẠP'!$C$11:$AL$88,36,0)</f>
        <v>A</v>
      </c>
      <c r="L42" s="1658">
        <f t="shared" si="1"/>
        <v>3321282</v>
      </c>
      <c r="M42" s="1659">
        <f>VLOOKUP(D42,'Biểu 1 TH CÔNG'!$C$11:$AI$88,33,0)</f>
        <v>24</v>
      </c>
      <c r="N42" s="1659">
        <f>VLOOKUP(D42,'Biểu 1 TH CÔNG'!$C$11:$AJ$88,34,0)</f>
        <v>5</v>
      </c>
      <c r="O42" s="246">
        <f>VLOOKUP(D42,'Biểu 1 TH CÔNG'!$C$11:$AL$88,36,0)</f>
        <v>0</v>
      </c>
      <c r="P42" s="1659">
        <f>VLOOKUP(D42,'Biểu 1 TH CÔNG'!$C$11:$AO$88,39,0)</f>
        <v>29</v>
      </c>
      <c r="Q42" s="1753"/>
      <c r="R42" s="1658">
        <f t="shared" si="2"/>
        <v>1577174</v>
      </c>
      <c r="S42" s="715">
        <f t="shared" si="3"/>
        <v>4898456</v>
      </c>
      <c r="T42" s="716"/>
      <c r="U42" s="716">
        <f t="shared" si="4"/>
        <v>4898456</v>
      </c>
    </row>
    <row r="43" spans="1:21" s="540" customFormat="1" ht="26.25" customHeight="1">
      <c r="A43" s="132">
        <v>29</v>
      </c>
      <c r="B43" s="132">
        <v>29</v>
      </c>
      <c r="C43" s="1643" t="s">
        <v>3308</v>
      </c>
      <c r="D43" s="135" t="s">
        <v>3198</v>
      </c>
      <c r="E43" s="134" t="s">
        <v>15</v>
      </c>
      <c r="F43" s="659">
        <v>0</v>
      </c>
      <c r="G43" s="1663">
        <f t="shared" si="0"/>
        <v>0</v>
      </c>
      <c r="H43" s="552">
        <f>VLOOKUP(D43,'Biểu 2 TH MỦ TẠP'!$C$11:$AI$88,33,0)</f>
        <v>1214</v>
      </c>
      <c r="I43" s="552" t="e">
        <f>VLOOKUP(D43,#REF!,7,0)</f>
        <v>#REF!</v>
      </c>
      <c r="J43" s="552">
        <f>VLOOKUP(D43,'Biểu 2 TH MỦ TẠP'!$C$11:$AK$88,35,0)</f>
        <v>583.38998353400007</v>
      </c>
      <c r="K43" s="1659" t="str">
        <f>VLOOKUP(D43,'Biểu 2 TH MỦ TẠP'!$C$11:$AL$88,36,0)</f>
        <v>A</v>
      </c>
      <c r="L43" s="1658">
        <f t="shared" si="1"/>
        <v>2380187</v>
      </c>
      <c r="M43" s="1659">
        <f>VLOOKUP(D43,'Biểu 1 TH CÔNG'!$C$11:$AI$88,33,0)</f>
        <v>23</v>
      </c>
      <c r="N43" s="1659">
        <f>VLOOKUP(D43,'Biểu 1 TH CÔNG'!$C$11:$AJ$88,34,0)</f>
        <v>5</v>
      </c>
      <c r="O43" s="246">
        <f>VLOOKUP(D43,'Biểu 1 TH CÔNG'!$C$11:$AL$88,36,0)</f>
        <v>0</v>
      </c>
      <c r="P43" s="1659">
        <f>VLOOKUP(D43,'Biểu 1 TH CÔNG'!$C$11:$AO$88,39,0)</f>
        <v>28</v>
      </c>
      <c r="Q43" s="1753"/>
      <c r="R43" s="1658">
        <f t="shared" si="2"/>
        <v>1526340</v>
      </c>
      <c r="S43" s="715">
        <f t="shared" si="3"/>
        <v>3906527</v>
      </c>
      <c r="T43" s="716"/>
      <c r="U43" s="716">
        <f t="shared" si="4"/>
        <v>3906527</v>
      </c>
    </row>
    <row r="44" spans="1:21" s="540" customFormat="1" ht="26.25" customHeight="1">
      <c r="A44" s="132">
        <v>30</v>
      </c>
      <c r="B44" s="132">
        <v>30</v>
      </c>
      <c r="C44" s="1643" t="s">
        <v>3309</v>
      </c>
      <c r="D44" s="135" t="s">
        <v>3199</v>
      </c>
      <c r="E44" s="134" t="s">
        <v>15</v>
      </c>
      <c r="F44" s="659">
        <v>0</v>
      </c>
      <c r="G44" s="1663">
        <f t="shared" si="0"/>
        <v>0</v>
      </c>
      <c r="H44" s="552">
        <f>VLOOKUP(D44,'Biểu 2 TH MỦ TẠP'!$C$11:$AI$88,33,0)</f>
        <v>1717</v>
      </c>
      <c r="I44" s="552" t="e">
        <f>VLOOKUP(D44,#REF!,7,0)</f>
        <v>#REF!</v>
      </c>
      <c r="J44" s="552">
        <f>VLOOKUP(D44,'Biểu 2 TH MỦ TẠP'!$C$11:$AK$88,35,0)</f>
        <v>825.10757967699999</v>
      </c>
      <c r="K44" s="1659" t="str">
        <f>VLOOKUP(D44,'Biểu 2 TH MỦ TẠP'!$C$11:$AL$88,36,0)</f>
        <v>A</v>
      </c>
      <c r="L44" s="1658">
        <f t="shared" si="1"/>
        <v>3366376</v>
      </c>
      <c r="M44" s="1659">
        <f>VLOOKUP(D44,'Biểu 1 TH CÔNG'!$C$11:$AI$88,33,0)</f>
        <v>24</v>
      </c>
      <c r="N44" s="1659">
        <f>VLOOKUP(D44,'Biểu 1 TH CÔNG'!$C$11:$AJ$88,34,0)</f>
        <v>5</v>
      </c>
      <c r="O44" s="246">
        <f>VLOOKUP(D44,'Biểu 1 TH CÔNG'!$C$11:$AL$88,36,0)</f>
        <v>0</v>
      </c>
      <c r="P44" s="1659">
        <f>VLOOKUP(D44,'Biểu 1 TH CÔNG'!$C$11:$AO$88,39,0)</f>
        <v>29</v>
      </c>
      <c r="Q44" s="1753"/>
      <c r="R44" s="1658">
        <f t="shared" si="2"/>
        <v>1577174</v>
      </c>
      <c r="S44" s="715">
        <f t="shared" si="3"/>
        <v>4943550</v>
      </c>
      <c r="T44" s="716"/>
      <c r="U44" s="716">
        <f t="shared" si="4"/>
        <v>4943550</v>
      </c>
    </row>
    <row r="45" spans="1:21" s="540" customFormat="1" ht="26.25" customHeight="1">
      <c r="A45" s="132">
        <v>31</v>
      </c>
      <c r="B45" s="132">
        <v>31</v>
      </c>
      <c r="C45" s="1643" t="s">
        <v>3310</v>
      </c>
      <c r="D45" s="135" t="s">
        <v>3200</v>
      </c>
      <c r="E45" s="134" t="s">
        <v>15</v>
      </c>
      <c r="F45" s="659">
        <v>0</v>
      </c>
      <c r="G45" s="1663">
        <f t="shared" si="0"/>
        <v>0</v>
      </c>
      <c r="H45" s="552">
        <f>VLOOKUP(D45,'Biểu 2 TH MỦ TẠP'!$C$11:$AI$88,33,0)</f>
        <v>1799</v>
      </c>
      <c r="I45" s="552" t="e">
        <f>VLOOKUP(D45,#REF!,7,0)</f>
        <v>#REF!</v>
      </c>
      <c r="J45" s="552">
        <f>VLOOKUP(D45,'Biểu 2 TH MỦ TẠP'!$C$11:$AK$88,35,0)</f>
        <v>864.51283391900006</v>
      </c>
      <c r="K45" s="1659" t="str">
        <f>VLOOKUP(D45,'Biểu 2 TH MỦ TẠP'!$C$11:$AL$88,36,0)</f>
        <v>A</v>
      </c>
      <c r="L45" s="1658">
        <f t="shared" si="1"/>
        <v>3527147</v>
      </c>
      <c r="M45" s="1659">
        <f>VLOOKUP(D45,'Biểu 1 TH CÔNG'!$C$11:$AI$88,33,0)</f>
        <v>24</v>
      </c>
      <c r="N45" s="1659">
        <f>VLOOKUP(D45,'Biểu 1 TH CÔNG'!$C$11:$AJ$88,34,0)</f>
        <v>5</v>
      </c>
      <c r="O45" s="246">
        <f>VLOOKUP(D45,'Biểu 1 TH CÔNG'!$C$11:$AL$88,36,0)</f>
        <v>0</v>
      </c>
      <c r="P45" s="1659">
        <f>VLOOKUP(D45,'Biểu 1 TH CÔNG'!$C$11:$AO$88,39,0)</f>
        <v>29</v>
      </c>
      <c r="Q45" s="1753"/>
      <c r="R45" s="1658">
        <f t="shared" si="2"/>
        <v>1577174</v>
      </c>
      <c r="S45" s="715">
        <f t="shared" si="3"/>
        <v>5104321</v>
      </c>
      <c r="T45" s="716"/>
      <c r="U45" s="716">
        <f t="shared" si="4"/>
        <v>5104321</v>
      </c>
    </row>
    <row r="46" spans="1:21" s="540" customFormat="1" ht="26.25" customHeight="1">
      <c r="A46" s="132">
        <v>32</v>
      </c>
      <c r="B46" s="132">
        <v>32</v>
      </c>
      <c r="C46" s="1643"/>
      <c r="D46" s="135" t="s">
        <v>3201</v>
      </c>
      <c r="E46" s="134" t="s">
        <v>15</v>
      </c>
      <c r="F46" s="659">
        <v>0</v>
      </c>
      <c r="G46" s="1663">
        <f t="shared" si="0"/>
        <v>0</v>
      </c>
      <c r="H46" s="552">
        <f>VLOOKUP(D46,'Biểu 2 TH MỦ TẠP'!$C$11:$AI$88,33,0)</f>
        <v>497</v>
      </c>
      <c r="I46" s="552" t="e">
        <f>VLOOKUP(D46,#REF!,7,0)</f>
        <v>#REF!</v>
      </c>
      <c r="J46" s="552">
        <f>VLOOKUP(D46,'Biểu 2 TH MỦ TẠP'!$C$11:$AK$88,35,0)</f>
        <v>238.83428485700003</v>
      </c>
      <c r="K46" s="1659" t="str">
        <f>VLOOKUP(D46,'Biểu 2 TH MỦ TẠP'!$C$11:$AL$88,36,0)</f>
        <v>A</v>
      </c>
      <c r="L46" s="1658">
        <f t="shared" si="1"/>
        <v>974426</v>
      </c>
      <c r="M46" s="1659">
        <f>VLOOKUP(D46,'Biểu 1 TH CÔNG'!$C$11:$AI$88,33,0)</f>
        <v>16</v>
      </c>
      <c r="N46" s="1659">
        <f>VLOOKUP(D46,'Biểu 1 TH CÔNG'!$C$11:$AJ$88,34,0)</f>
        <v>3</v>
      </c>
      <c r="O46" s="246">
        <f>VLOOKUP(D46,'Biểu 1 TH CÔNG'!$C$11:$AL$88,36,0)</f>
        <v>0</v>
      </c>
      <c r="P46" s="1659">
        <f>VLOOKUP(D46,'Biểu 1 TH CÔNG'!$C$11:$AO$88,39,0)</f>
        <v>19</v>
      </c>
      <c r="Q46" s="1753"/>
      <c r="R46" s="1658">
        <f t="shared" si="2"/>
        <v>1027638</v>
      </c>
      <c r="S46" s="715">
        <f t="shared" si="3"/>
        <v>2002064</v>
      </c>
      <c r="T46" s="716"/>
      <c r="U46" s="716">
        <f t="shared" si="4"/>
        <v>2002064</v>
      </c>
    </row>
    <row r="47" spans="1:21" s="540" customFormat="1" ht="26.25" customHeight="1">
      <c r="A47" s="132">
        <v>33</v>
      </c>
      <c r="B47" s="132">
        <v>33</v>
      </c>
      <c r="C47" s="1643" t="s">
        <v>3292</v>
      </c>
      <c r="D47" s="135" t="s">
        <v>3202</v>
      </c>
      <c r="E47" s="134" t="s">
        <v>15</v>
      </c>
      <c r="F47" s="659">
        <v>0</v>
      </c>
      <c r="G47" s="1663">
        <f t="shared" si="0"/>
        <v>0</v>
      </c>
      <c r="H47" s="552">
        <f>VLOOKUP(D47,'Biểu 2 TH MỦ TẠP'!$C$11:$AI$88,33,0)</f>
        <v>736</v>
      </c>
      <c r="I47" s="552" t="e">
        <f>VLOOKUP(D47,#REF!,7,0)</f>
        <v>#REF!</v>
      </c>
      <c r="J47" s="552">
        <f>VLOOKUP(D47,'Biểu 2 TH MỦ TẠP'!$C$11:$AK$88,35,0)</f>
        <v>353.68618441600006</v>
      </c>
      <c r="K47" s="1659" t="str">
        <f>VLOOKUP(D47,'Biểu 2 TH MỦ TẠP'!$C$11:$AL$88,36,0)</f>
        <v>B</v>
      </c>
      <c r="L47" s="1658">
        <f t="shared" si="1"/>
        <v>1372045</v>
      </c>
      <c r="M47" s="1659">
        <f>VLOOKUP(D47,'Biểu 1 TH CÔNG'!$C$11:$AI$88,33,0)</f>
        <v>16</v>
      </c>
      <c r="N47" s="1659">
        <f>VLOOKUP(D47,'Biểu 1 TH CÔNG'!$C$11:$AJ$88,34,0)</f>
        <v>3</v>
      </c>
      <c r="O47" s="246">
        <f>VLOOKUP(D47,'Biểu 1 TH CÔNG'!$C$11:$AL$88,36,0)</f>
        <v>0</v>
      </c>
      <c r="P47" s="1659">
        <f>VLOOKUP(D47,'Biểu 1 TH CÔNG'!$C$11:$AO$88,39,0)</f>
        <v>19</v>
      </c>
      <c r="Q47" s="1753"/>
      <c r="R47" s="1658">
        <f t="shared" si="2"/>
        <v>1027638</v>
      </c>
      <c r="S47" s="715">
        <f t="shared" si="3"/>
        <v>2399683</v>
      </c>
      <c r="T47" s="716"/>
      <c r="U47" s="716">
        <f t="shared" si="4"/>
        <v>2399683</v>
      </c>
    </row>
    <row r="48" spans="1:21" s="540" customFormat="1" ht="26.25" customHeight="1">
      <c r="A48" s="132">
        <v>34</v>
      </c>
      <c r="B48" s="132">
        <v>34</v>
      </c>
      <c r="C48" s="1643" t="s">
        <v>3312</v>
      </c>
      <c r="D48" s="135" t="s">
        <v>3203</v>
      </c>
      <c r="E48" s="134" t="s">
        <v>15</v>
      </c>
      <c r="F48" s="659">
        <v>0</v>
      </c>
      <c r="G48" s="1663">
        <f t="shared" si="0"/>
        <v>0</v>
      </c>
      <c r="H48" s="552">
        <f>VLOOKUP(D48,'Biểu 2 TH MỦ TẠP'!$C$11:$AI$88,33,0)</f>
        <v>1347</v>
      </c>
      <c r="I48" s="552" t="e">
        <f>VLOOKUP(D48,#REF!,7,0)</f>
        <v>#REF!</v>
      </c>
      <c r="J48" s="552">
        <f>VLOOKUP(D48,'Biểu 2 TH MỦ TẠP'!$C$11:$AK$88,35,0)</f>
        <v>647.30338370700008</v>
      </c>
      <c r="K48" s="1659" t="str">
        <f>VLOOKUP(D48,'Biểu 2 TH MỦ TẠP'!$C$11:$AL$88,36,0)</f>
        <v>A</v>
      </c>
      <c r="L48" s="1658">
        <f t="shared" si="1"/>
        <v>2640949</v>
      </c>
      <c r="M48" s="1659">
        <f>VLOOKUP(D48,'Biểu 1 TH CÔNG'!$C$11:$AI$88,33,0)</f>
        <v>23</v>
      </c>
      <c r="N48" s="1659">
        <f>VLOOKUP(D48,'Biểu 1 TH CÔNG'!$C$11:$AJ$88,34,0)</f>
        <v>5</v>
      </c>
      <c r="O48" s="246">
        <f>VLOOKUP(D48,'Biểu 1 TH CÔNG'!$C$11:$AL$88,36,0)</f>
        <v>0</v>
      </c>
      <c r="P48" s="1659">
        <f>VLOOKUP(D48,'Biểu 1 TH CÔNG'!$C$11:$AO$88,39,0)</f>
        <v>28</v>
      </c>
      <c r="Q48" s="1753"/>
      <c r="R48" s="1658">
        <f t="shared" si="2"/>
        <v>1526340</v>
      </c>
      <c r="S48" s="715">
        <f t="shared" si="3"/>
        <v>4167289</v>
      </c>
      <c r="T48" s="716"/>
      <c r="U48" s="716">
        <f t="shared" si="4"/>
        <v>4167289</v>
      </c>
    </row>
    <row r="49" spans="1:21" s="540" customFormat="1" ht="26.25" customHeight="1">
      <c r="A49" s="132">
        <v>35</v>
      </c>
      <c r="B49" s="132">
        <v>35</v>
      </c>
      <c r="C49" s="1643"/>
      <c r="D49" s="135" t="s">
        <v>3204</v>
      </c>
      <c r="E49" s="134" t="s">
        <v>3322</v>
      </c>
      <c r="F49" s="659">
        <v>0</v>
      </c>
      <c r="G49" s="1663">
        <f t="shared" si="0"/>
        <v>0</v>
      </c>
      <c r="H49" s="552">
        <f>VLOOKUP(D49,'Biểu 2 TH MỦ TẠP'!$C$11:$AI$88,33,0)</f>
        <v>162</v>
      </c>
      <c r="I49" s="552" t="e">
        <f>VLOOKUP(D49,#REF!,7,0)</f>
        <v>#REF!</v>
      </c>
      <c r="J49" s="552">
        <v>77.844931484920053</v>
      </c>
      <c r="K49" s="1659" t="str">
        <f>VLOOKUP(D49,'Biểu 2 TH MỦ TẠP'!$C$11:$AL$88,36,0)</f>
        <v>C</v>
      </c>
      <c r="L49" s="1658">
        <f t="shared" si="1"/>
        <v>286362</v>
      </c>
      <c r="M49" s="1659">
        <f>VLOOKUP(D49,'Biểu 1 TH CÔNG'!$C$11:$AI$88,33,0)</f>
        <v>13</v>
      </c>
      <c r="N49" s="1659">
        <f>VLOOKUP(D49,'Biểu 1 TH CÔNG'!$C$11:$AJ$88,34,0)</f>
        <v>1</v>
      </c>
      <c r="O49" s="246">
        <f>VLOOKUP(D49,'Biểu 1 TH CÔNG'!$C$11:$AL$88,36,0)</f>
        <v>0</v>
      </c>
      <c r="P49" s="1659">
        <f>VLOOKUP(D49,'Biểu 1 TH CÔNG'!$C$11:$AO$88,39,0)</f>
        <v>14</v>
      </c>
      <c r="Q49" s="1753"/>
      <c r="R49" s="1658">
        <f t="shared" si="2"/>
        <v>732270</v>
      </c>
      <c r="S49" s="715">
        <f t="shared" si="3"/>
        <v>1018632</v>
      </c>
      <c r="T49" s="716"/>
      <c r="U49" s="716">
        <f t="shared" si="4"/>
        <v>1018632</v>
      </c>
    </row>
    <row r="50" spans="1:21" s="540" customFormat="1" ht="26.25" customHeight="1">
      <c r="A50" s="132">
        <v>36</v>
      </c>
      <c r="B50" s="132">
        <v>1</v>
      </c>
      <c r="C50" s="1643" t="s">
        <v>3245</v>
      </c>
      <c r="D50" s="135" t="s">
        <v>3205</v>
      </c>
      <c r="E50" s="134" t="s">
        <v>15</v>
      </c>
      <c r="F50" s="1669"/>
      <c r="G50" s="1663">
        <f t="shared" si="0"/>
        <v>0</v>
      </c>
      <c r="H50" s="552">
        <f>VLOOKUP(D50,'Biểu 2 TH MỦ TẠP'!$C$11:$AI$88,33,0)</f>
        <v>1734</v>
      </c>
      <c r="I50" s="552" t="e">
        <f>VLOOKUP(D50,#REF!,7,0)</f>
        <v>#REF!</v>
      </c>
      <c r="J50" s="552">
        <f>VLOOKUP(D50,'Biểu 2 TH MỦ TẠP'!$C$11:$AK$88,35,0)</f>
        <v>833.27696165400005</v>
      </c>
      <c r="K50" s="1659" t="str">
        <f>VLOOKUP(D50,'Biểu 2 TH MỦ TẠP'!$C$11:$AL$88,36,0)</f>
        <v>B</v>
      </c>
      <c r="L50" s="1658">
        <f t="shared" si="1"/>
        <v>3232508</v>
      </c>
      <c r="M50" s="1659">
        <f>VLOOKUP(D50,'Biểu 1 TH CÔNG'!$C$11:$AI$88,33,0)</f>
        <v>24</v>
      </c>
      <c r="N50" s="1659">
        <f>VLOOKUP(D50,'Biểu 1 TH CÔNG'!$C$11:$AJ$88,34,0)</f>
        <v>4</v>
      </c>
      <c r="O50" s="246">
        <f>VLOOKUP(D50,'Biểu 1 TH CÔNG'!$C$11:$AL$88,36,0)</f>
        <v>1</v>
      </c>
      <c r="P50" s="1659">
        <f>VLOOKUP(D50,'Biểu 1 TH CÔNG'!$C$11:$AO$88,39,0)</f>
        <v>29</v>
      </c>
      <c r="Q50" s="1753"/>
      <c r="R50" s="1658">
        <f t="shared" si="2"/>
        <v>1628607</v>
      </c>
      <c r="S50" s="715">
        <f t="shared" si="3"/>
        <v>4861115</v>
      </c>
      <c r="T50" s="716"/>
      <c r="U50" s="716">
        <f t="shared" si="4"/>
        <v>4861115</v>
      </c>
    </row>
    <row r="51" spans="1:21" s="540" customFormat="1" ht="26.25" customHeight="1">
      <c r="A51" s="132">
        <v>37</v>
      </c>
      <c r="B51" s="132">
        <v>2</v>
      </c>
      <c r="C51" s="1643" t="s">
        <v>3246</v>
      </c>
      <c r="D51" s="135" t="s">
        <v>3206</v>
      </c>
      <c r="E51" s="134" t="s">
        <v>15</v>
      </c>
      <c r="F51" s="1669"/>
      <c r="G51" s="1663">
        <f t="shared" si="0"/>
        <v>0</v>
      </c>
      <c r="H51" s="552">
        <f>VLOOKUP(D51,'Biểu 2 TH MỦ TẠP'!$C$11:$AI$88,33,0)</f>
        <v>1739</v>
      </c>
      <c r="I51" s="552" t="e">
        <f>VLOOKUP(D51,#REF!,7,0)</f>
        <v>#REF!</v>
      </c>
      <c r="J51" s="552">
        <f>VLOOKUP(D51,'Biểu 2 TH MỦ TẠP'!$C$11:$AK$88,35,0)</f>
        <v>835.67972105900003</v>
      </c>
      <c r="K51" s="1659" t="str">
        <f>VLOOKUP(D51,'Biểu 2 TH MỦ TẠP'!$C$11:$AL$88,36,0)</f>
        <v>A</v>
      </c>
      <c r="L51" s="1658">
        <f t="shared" si="1"/>
        <v>3409510</v>
      </c>
      <c r="M51" s="1659">
        <f>VLOOKUP(D51,'Biểu 1 TH CÔNG'!$C$11:$AI$88,33,0)</f>
        <v>24</v>
      </c>
      <c r="N51" s="1659">
        <f>VLOOKUP(D51,'Biểu 1 TH CÔNG'!$C$11:$AJ$88,34,0)</f>
        <v>4</v>
      </c>
      <c r="O51" s="246">
        <f>VLOOKUP(D51,'Biểu 1 TH CÔNG'!$C$11:$AL$88,36,0)</f>
        <v>1</v>
      </c>
      <c r="P51" s="1659">
        <f>VLOOKUP(D51,'Biểu 1 TH CÔNG'!$C$11:$AO$88,39,0)</f>
        <v>29</v>
      </c>
      <c r="Q51" s="1753"/>
      <c r="R51" s="1658">
        <f t="shared" si="2"/>
        <v>1628607</v>
      </c>
      <c r="S51" s="715">
        <f t="shared" si="3"/>
        <v>5038117</v>
      </c>
      <c r="T51" s="716"/>
      <c r="U51" s="716">
        <f t="shared" si="4"/>
        <v>5038117</v>
      </c>
    </row>
    <row r="52" spans="1:21" s="540" customFormat="1" ht="26.25" customHeight="1">
      <c r="A52" s="132">
        <v>38</v>
      </c>
      <c r="B52" s="132">
        <v>3</v>
      </c>
      <c r="C52" s="1643" t="s">
        <v>3247</v>
      </c>
      <c r="D52" s="135" t="s">
        <v>3207</v>
      </c>
      <c r="E52" s="134" t="s">
        <v>15</v>
      </c>
      <c r="F52" s="1669"/>
      <c r="G52" s="1663">
        <f t="shared" si="0"/>
        <v>0</v>
      </c>
      <c r="H52" s="552">
        <f>VLOOKUP(D52,'Biểu 2 TH MỦ TẠP'!$C$11:$AI$88,33,0)</f>
        <v>1745</v>
      </c>
      <c r="I52" s="552" t="e">
        <f>VLOOKUP(D52,#REF!,7,0)</f>
        <v>#REF!</v>
      </c>
      <c r="J52" s="552">
        <f>VLOOKUP(D52,'Biểu 2 TH MỦ TẠP'!$C$11:$AK$88,35,0)</f>
        <v>838.56303234500012</v>
      </c>
      <c r="K52" s="1659" t="str">
        <f>VLOOKUP(D52,'Biểu 2 TH MỦ TẠP'!$C$11:$AL$88,36,0)</f>
        <v>A</v>
      </c>
      <c r="L52" s="1658">
        <f t="shared" si="1"/>
        <v>3421273</v>
      </c>
      <c r="M52" s="1659">
        <f>VLOOKUP(D52,'Biểu 1 TH CÔNG'!$C$11:$AI$88,33,0)</f>
        <v>24</v>
      </c>
      <c r="N52" s="1659">
        <f>VLOOKUP(D52,'Biểu 1 TH CÔNG'!$C$11:$AJ$88,34,0)</f>
        <v>4</v>
      </c>
      <c r="O52" s="246">
        <f>VLOOKUP(D52,'Biểu 1 TH CÔNG'!$C$11:$AL$88,36,0)</f>
        <v>1</v>
      </c>
      <c r="P52" s="1659">
        <f>VLOOKUP(D52,'Biểu 1 TH CÔNG'!$C$11:$AO$88,39,0)</f>
        <v>29</v>
      </c>
      <c r="Q52" s="1753"/>
      <c r="R52" s="1658">
        <f t="shared" si="2"/>
        <v>1628607</v>
      </c>
      <c r="S52" s="715">
        <f t="shared" si="3"/>
        <v>5049880</v>
      </c>
      <c r="T52" s="716"/>
      <c r="U52" s="716">
        <f t="shared" si="4"/>
        <v>5049880</v>
      </c>
    </row>
    <row r="53" spans="1:21" s="540" customFormat="1" ht="26.25" customHeight="1">
      <c r="A53" s="132">
        <v>39</v>
      </c>
      <c r="B53" s="132">
        <v>4</v>
      </c>
      <c r="C53" s="1643" t="s">
        <v>3248</v>
      </c>
      <c r="D53" s="135" t="s">
        <v>3208</v>
      </c>
      <c r="E53" s="134" t="s">
        <v>15</v>
      </c>
      <c r="F53" s="1669"/>
      <c r="G53" s="1663">
        <f t="shared" si="0"/>
        <v>0</v>
      </c>
      <c r="H53" s="552">
        <f>VLOOKUP(D53,'Biểu 2 TH MỦ TẠP'!$C$11:$AI$88,33,0)</f>
        <v>2135</v>
      </c>
      <c r="I53" s="552" t="e">
        <f>VLOOKUP(D53,#REF!,7,0)</f>
        <v>#REF!</v>
      </c>
      <c r="J53" s="552">
        <f>VLOOKUP(D53,'Biểu 2 TH MỦ TẠP'!$C$11:$AK$88,35,0)</f>
        <v>1025.9782659350001</v>
      </c>
      <c r="K53" s="1659" t="str">
        <f>VLOOKUP(D53,'Biểu 2 TH MỦ TẠP'!$C$11:$AL$88,36,0)</f>
        <v>A</v>
      </c>
      <c r="L53" s="1658">
        <f t="shared" si="1"/>
        <v>4185913</v>
      </c>
      <c r="M53" s="1659">
        <f>VLOOKUP(D53,'Biểu 1 TH CÔNG'!$C$11:$AI$88,33,0)</f>
        <v>24</v>
      </c>
      <c r="N53" s="1659">
        <f>VLOOKUP(D53,'Biểu 1 TH CÔNG'!$C$11:$AJ$88,34,0)</f>
        <v>4</v>
      </c>
      <c r="O53" s="246">
        <f>VLOOKUP(D53,'Biểu 1 TH CÔNG'!$C$11:$AL$88,36,0)</f>
        <v>1</v>
      </c>
      <c r="P53" s="1659">
        <f>VLOOKUP(D53,'Biểu 1 TH CÔNG'!$C$11:$AO$88,39,0)</f>
        <v>29</v>
      </c>
      <c r="Q53" s="1753"/>
      <c r="R53" s="1658">
        <f t="shared" si="2"/>
        <v>1628607</v>
      </c>
      <c r="S53" s="715">
        <f t="shared" si="3"/>
        <v>5814520</v>
      </c>
      <c r="T53" s="716"/>
      <c r="U53" s="716">
        <f t="shared" si="4"/>
        <v>5814520</v>
      </c>
    </row>
    <row r="54" spans="1:21" s="540" customFormat="1" ht="26.25" customHeight="1">
      <c r="A54" s="132">
        <v>40</v>
      </c>
      <c r="B54" s="132">
        <v>5</v>
      </c>
      <c r="C54" s="1643" t="s">
        <v>3249</v>
      </c>
      <c r="D54" s="135" t="s">
        <v>3209</v>
      </c>
      <c r="E54" s="134" t="s">
        <v>15</v>
      </c>
      <c r="F54" s="1669"/>
      <c r="G54" s="1663">
        <f t="shared" si="0"/>
        <v>0</v>
      </c>
      <c r="H54" s="552">
        <f>VLOOKUP(D54,'Biểu 2 TH MỦ TẠP'!$C$11:$AI$88,33,0)</f>
        <v>2154</v>
      </c>
      <c r="I54" s="552" t="e">
        <f>VLOOKUP(D54,#REF!,7,0)</f>
        <v>#REF!</v>
      </c>
      <c r="J54" s="552">
        <f>VLOOKUP(D54,'Biểu 2 TH MỦ TẠP'!$C$11:$AK$88,35,0)</f>
        <v>1035.1087516740001</v>
      </c>
      <c r="K54" s="1659" t="str">
        <f>VLOOKUP(D54,'Biểu 2 TH MỦ TẠP'!$C$11:$AL$88,36,0)</f>
        <v>A</v>
      </c>
      <c r="L54" s="1658">
        <f t="shared" si="1"/>
        <v>4223165</v>
      </c>
      <c r="M54" s="1659">
        <f>VLOOKUP(D54,'Biểu 1 TH CÔNG'!$C$11:$AI$88,33,0)</f>
        <v>24</v>
      </c>
      <c r="N54" s="1659">
        <f>VLOOKUP(D54,'Biểu 1 TH CÔNG'!$C$11:$AJ$88,34,0)</f>
        <v>4</v>
      </c>
      <c r="O54" s="246">
        <f>VLOOKUP(D54,'Biểu 1 TH CÔNG'!$C$11:$AL$88,36,0)</f>
        <v>1</v>
      </c>
      <c r="P54" s="1659">
        <f>VLOOKUP(D54,'Biểu 1 TH CÔNG'!$C$11:$AO$88,39,0)</f>
        <v>29</v>
      </c>
      <c r="Q54" s="1753"/>
      <c r="R54" s="1658">
        <f t="shared" si="2"/>
        <v>1628607</v>
      </c>
      <c r="S54" s="715">
        <f t="shared" si="3"/>
        <v>5851772</v>
      </c>
      <c r="T54" s="716"/>
      <c r="U54" s="716">
        <f t="shared" si="4"/>
        <v>5851772</v>
      </c>
    </row>
    <row r="55" spans="1:21" s="540" customFormat="1" ht="26.25" customHeight="1">
      <c r="A55" s="132">
        <v>41</v>
      </c>
      <c r="B55" s="132">
        <v>6</v>
      </c>
      <c r="C55" s="1654" t="s">
        <v>3250</v>
      </c>
      <c r="D55" s="1655" t="s">
        <v>3210</v>
      </c>
      <c r="E55" s="134" t="s">
        <v>15</v>
      </c>
      <c r="F55" s="1669"/>
      <c r="G55" s="1663">
        <f t="shared" si="0"/>
        <v>0</v>
      </c>
      <c r="H55" s="552">
        <f>VLOOKUP(D55,'Biểu 2 TH MỦ TẠP'!$C$11:$AI$88,33,0)</f>
        <v>1711</v>
      </c>
      <c r="I55" s="1657"/>
      <c r="J55" s="552">
        <f>VLOOKUP(D55,'Biểu 2 TH MỦ TẠP'!$C$11:$AK$88,35,0)</f>
        <v>822.22426839100012</v>
      </c>
      <c r="K55" s="1659" t="str">
        <f>VLOOKUP(D55,'Biểu 2 TH MỦ TẠP'!$C$11:$AL$88,36,0)</f>
        <v>A</v>
      </c>
      <c r="L55" s="1658">
        <f t="shared" si="1"/>
        <v>3354613</v>
      </c>
      <c r="M55" s="1659">
        <f>VLOOKUP(D55,'Biểu 1 TH CÔNG'!$C$11:$AI$88,33,0)</f>
        <v>24</v>
      </c>
      <c r="N55" s="1659">
        <f>VLOOKUP(D55,'Biểu 1 TH CÔNG'!$C$11:$AJ$88,34,0)</f>
        <v>4</v>
      </c>
      <c r="O55" s="246">
        <f>VLOOKUP(D55,'Biểu 1 TH CÔNG'!$C$11:$AL$88,36,0)</f>
        <v>1</v>
      </c>
      <c r="P55" s="1659">
        <f>VLOOKUP(D55,'Biểu 1 TH CÔNG'!$C$11:$AO$88,39,0)</f>
        <v>29</v>
      </c>
      <c r="Q55" s="1753"/>
      <c r="R55" s="1658">
        <f t="shared" si="2"/>
        <v>1628607</v>
      </c>
      <c r="S55" s="715">
        <f t="shared" si="3"/>
        <v>4983220</v>
      </c>
      <c r="T55" s="1656"/>
      <c r="U55" s="716">
        <f t="shared" si="4"/>
        <v>4983220</v>
      </c>
    </row>
    <row r="56" spans="1:21" s="540" customFormat="1" ht="26.25" customHeight="1">
      <c r="A56" s="132">
        <v>42</v>
      </c>
      <c r="B56" s="132">
        <v>7</v>
      </c>
      <c r="C56" s="1654" t="s">
        <v>3251</v>
      </c>
      <c r="D56" s="1655" t="s">
        <v>3211</v>
      </c>
      <c r="E56" s="134" t="s">
        <v>15</v>
      </c>
      <c r="F56" s="1669"/>
      <c r="G56" s="1663">
        <f t="shared" si="0"/>
        <v>0</v>
      </c>
      <c r="H56" s="552">
        <f>VLOOKUP(D56,'Biểu 2 TH MỦ TẠP'!$C$11:$AI$88,33,0)</f>
        <v>1516</v>
      </c>
      <c r="I56" s="1657"/>
      <c r="J56" s="552">
        <f>VLOOKUP(D56,'Biểu 2 TH MỦ TẠP'!$C$11:$AK$88,35,0)</f>
        <v>728.51665159599997</v>
      </c>
      <c r="K56" s="1659" t="str">
        <f>VLOOKUP(D56,'Biểu 2 TH MỦ TẠP'!$C$11:$AL$88,36,0)</f>
        <v>B</v>
      </c>
      <c r="L56" s="1658">
        <f t="shared" si="1"/>
        <v>2826114</v>
      </c>
      <c r="M56" s="1659">
        <f>VLOOKUP(D56,'Biểu 1 TH CÔNG'!$C$11:$AI$88,33,0)</f>
        <v>24</v>
      </c>
      <c r="N56" s="1659">
        <f>VLOOKUP(D56,'Biểu 1 TH CÔNG'!$C$11:$AJ$88,34,0)</f>
        <v>4</v>
      </c>
      <c r="O56" s="246">
        <f>VLOOKUP(D56,'Biểu 1 TH CÔNG'!$C$11:$AL$88,36,0)</f>
        <v>1</v>
      </c>
      <c r="P56" s="1659">
        <f>VLOOKUP(D56,'Biểu 1 TH CÔNG'!$C$11:$AO$88,39,0)</f>
        <v>29</v>
      </c>
      <c r="Q56" s="1753"/>
      <c r="R56" s="1658">
        <f t="shared" si="2"/>
        <v>1628607</v>
      </c>
      <c r="S56" s="715">
        <f t="shared" si="3"/>
        <v>4454721</v>
      </c>
      <c r="T56" s="1656"/>
      <c r="U56" s="716">
        <f t="shared" si="4"/>
        <v>4454721</v>
      </c>
    </row>
    <row r="57" spans="1:21" s="540" customFormat="1" ht="26.25" customHeight="1">
      <c r="A57" s="132">
        <v>43</v>
      </c>
      <c r="B57" s="132">
        <v>8</v>
      </c>
      <c r="C57" s="1654" t="s">
        <v>3252</v>
      </c>
      <c r="D57" s="1655" t="s">
        <v>3212</v>
      </c>
      <c r="E57" s="134" t="s">
        <v>15</v>
      </c>
      <c r="F57" s="1669"/>
      <c r="G57" s="1663">
        <f t="shared" si="0"/>
        <v>0</v>
      </c>
      <c r="H57" s="552">
        <f>VLOOKUP(D57,'Biểu 2 TH MỦ TẠP'!$C$11:$AI$88,33,0)</f>
        <v>1524</v>
      </c>
      <c r="I57" s="1657"/>
      <c r="J57" s="552">
        <f>VLOOKUP(D57,'Biểu 2 TH MỦ TẠP'!$C$11:$AK$88,35,0)</f>
        <v>732.36106664400006</v>
      </c>
      <c r="K57" s="1659" t="str">
        <f>VLOOKUP(D57,'Biểu 2 TH MỦ TẠP'!$C$11:$AL$88,36,0)</f>
        <v>A</v>
      </c>
      <c r="L57" s="1658">
        <f t="shared" si="1"/>
        <v>2987977</v>
      </c>
      <c r="M57" s="1659">
        <f>VLOOKUP(D57,'Biểu 1 TH CÔNG'!$C$11:$AI$88,33,0)</f>
        <v>24</v>
      </c>
      <c r="N57" s="1659">
        <f>VLOOKUP(D57,'Biểu 1 TH CÔNG'!$C$11:$AJ$88,34,0)</f>
        <v>4</v>
      </c>
      <c r="O57" s="246">
        <f>VLOOKUP(D57,'Biểu 1 TH CÔNG'!$C$11:$AL$88,36,0)</f>
        <v>1</v>
      </c>
      <c r="P57" s="1659">
        <f>VLOOKUP(D57,'Biểu 1 TH CÔNG'!$C$11:$AO$88,39,0)</f>
        <v>29</v>
      </c>
      <c r="Q57" s="1753"/>
      <c r="R57" s="1658">
        <f t="shared" si="2"/>
        <v>1628607</v>
      </c>
      <c r="S57" s="715">
        <f t="shared" si="3"/>
        <v>4616584</v>
      </c>
      <c r="T57" s="1656"/>
      <c r="U57" s="716">
        <f t="shared" si="4"/>
        <v>4616584</v>
      </c>
    </row>
    <row r="58" spans="1:21" s="540" customFormat="1" ht="26.25" customHeight="1">
      <c r="A58" s="132">
        <v>44</v>
      </c>
      <c r="B58" s="132">
        <v>9</v>
      </c>
      <c r="C58" s="1654" t="s">
        <v>3253</v>
      </c>
      <c r="D58" s="1655" t="s">
        <v>3213</v>
      </c>
      <c r="E58" s="134" t="s">
        <v>15</v>
      </c>
      <c r="F58" s="1669"/>
      <c r="G58" s="1663">
        <f t="shared" si="0"/>
        <v>0</v>
      </c>
      <c r="H58" s="552">
        <f>VLOOKUP(D58,'Biểu 2 TH MỦ TẠP'!$C$11:$AI$88,33,0)</f>
        <v>1716</v>
      </c>
      <c r="I58" s="1657"/>
      <c r="J58" s="552">
        <f>VLOOKUP(D58,'Biểu 2 TH MỦ TẠP'!$C$11:$AK$88,35,0)</f>
        <v>824.62702779599999</v>
      </c>
      <c r="K58" s="1659" t="str">
        <f>VLOOKUP(D58,'Biểu 2 TH MỦ TẠP'!$C$11:$AL$88,36,0)</f>
        <v>A</v>
      </c>
      <c r="L58" s="1658">
        <f t="shared" si="1"/>
        <v>3364416</v>
      </c>
      <c r="M58" s="1659">
        <f>VLOOKUP(D58,'Biểu 1 TH CÔNG'!$C$11:$AI$88,33,0)</f>
        <v>24</v>
      </c>
      <c r="N58" s="1659">
        <f>VLOOKUP(D58,'Biểu 1 TH CÔNG'!$C$11:$AJ$88,34,0)</f>
        <v>4</v>
      </c>
      <c r="O58" s="246">
        <f>VLOOKUP(D58,'Biểu 1 TH CÔNG'!$C$11:$AL$88,36,0)</f>
        <v>1</v>
      </c>
      <c r="P58" s="1659">
        <f>VLOOKUP(D58,'Biểu 1 TH CÔNG'!$C$11:$AO$88,39,0)</f>
        <v>29</v>
      </c>
      <c r="Q58" s="1753"/>
      <c r="R58" s="1658">
        <f t="shared" si="2"/>
        <v>1628607</v>
      </c>
      <c r="S58" s="715">
        <f t="shared" si="3"/>
        <v>4993023</v>
      </c>
      <c r="T58" s="1656"/>
      <c r="U58" s="716">
        <f t="shared" si="4"/>
        <v>4993023</v>
      </c>
    </row>
    <row r="59" spans="1:21" s="540" customFormat="1" ht="26.25" customHeight="1">
      <c r="A59" s="132">
        <v>45</v>
      </c>
      <c r="B59" s="132">
        <v>10</v>
      </c>
      <c r="C59" s="1654" t="s">
        <v>3254</v>
      </c>
      <c r="D59" s="1655" t="s">
        <v>3214</v>
      </c>
      <c r="E59" s="134" t="s">
        <v>15</v>
      </c>
      <c r="F59" s="1669"/>
      <c r="G59" s="1663">
        <f t="shared" si="0"/>
        <v>0</v>
      </c>
      <c r="H59" s="552">
        <f>VLOOKUP(D59,'Biểu 2 TH MỦ TẠP'!$C$11:$AI$88,33,0)</f>
        <v>1698</v>
      </c>
      <c r="I59" s="1657"/>
      <c r="J59" s="552">
        <f>VLOOKUP(D59,'Biểu 2 TH MỦ TẠP'!$C$11:$AK$88,35,0)</f>
        <v>815.97709393800005</v>
      </c>
      <c r="K59" s="1659" t="str">
        <f>VLOOKUP(D59,'Biểu 2 TH MỦ TẠP'!$C$11:$AL$88,36,0)</f>
        <v>B</v>
      </c>
      <c r="L59" s="1658">
        <f t="shared" si="1"/>
        <v>3165397</v>
      </c>
      <c r="M59" s="1659">
        <f>VLOOKUP(D59,'Biểu 1 TH CÔNG'!$C$11:$AI$88,33,0)</f>
        <v>24</v>
      </c>
      <c r="N59" s="1659">
        <f>VLOOKUP(D59,'Biểu 1 TH CÔNG'!$C$11:$AJ$88,34,0)</f>
        <v>4</v>
      </c>
      <c r="O59" s="246">
        <f>VLOOKUP(D59,'Biểu 1 TH CÔNG'!$C$11:$AL$88,36,0)</f>
        <v>1</v>
      </c>
      <c r="P59" s="1659">
        <f>VLOOKUP(D59,'Biểu 1 TH CÔNG'!$C$11:$AO$88,39,0)</f>
        <v>29</v>
      </c>
      <c r="Q59" s="1753"/>
      <c r="R59" s="1658">
        <f t="shared" si="2"/>
        <v>1628607</v>
      </c>
      <c r="S59" s="715">
        <f t="shared" si="3"/>
        <v>4794004</v>
      </c>
      <c r="T59" s="1656"/>
      <c r="U59" s="716">
        <f t="shared" si="4"/>
        <v>4794004</v>
      </c>
    </row>
    <row r="60" spans="1:21" s="540" customFormat="1" ht="26.25" customHeight="1">
      <c r="A60" s="132">
        <v>46</v>
      </c>
      <c r="B60" s="132">
        <v>11</v>
      </c>
      <c r="C60" s="1654" t="s">
        <v>3255</v>
      </c>
      <c r="D60" s="1655" t="s">
        <v>3215</v>
      </c>
      <c r="E60" s="134" t="s">
        <v>15</v>
      </c>
      <c r="F60" s="1669"/>
      <c r="G60" s="1663">
        <f t="shared" si="0"/>
        <v>0</v>
      </c>
      <c r="H60" s="552">
        <f>VLOOKUP(D60,'Biểu 2 TH MỦ TẠP'!$C$11:$AI$88,33,0)</f>
        <v>2331</v>
      </c>
      <c r="I60" s="1657"/>
      <c r="J60" s="552">
        <f>VLOOKUP(D60,'Biểu 2 TH MỦ TẠP'!$C$11:$AK$88,35,0)</f>
        <v>1120.1664346110001</v>
      </c>
      <c r="K60" s="1659" t="str">
        <f>VLOOKUP(D60,'Biểu 2 TH MỦ TẠP'!$C$11:$AL$88,36,0)</f>
        <v>A</v>
      </c>
      <c r="L60" s="1658">
        <f t="shared" si="1"/>
        <v>4570194</v>
      </c>
      <c r="M60" s="1659">
        <f>VLOOKUP(D60,'Biểu 1 TH CÔNG'!$C$11:$AI$88,33,0)</f>
        <v>24</v>
      </c>
      <c r="N60" s="1659">
        <f>VLOOKUP(D60,'Biểu 1 TH CÔNG'!$C$11:$AJ$88,34,0)</f>
        <v>4</v>
      </c>
      <c r="O60" s="246">
        <f>VLOOKUP(D60,'Biểu 1 TH CÔNG'!$C$11:$AL$88,36,0)</f>
        <v>1</v>
      </c>
      <c r="P60" s="1659">
        <f>VLOOKUP(D60,'Biểu 1 TH CÔNG'!$C$11:$AO$88,39,0)</f>
        <v>29</v>
      </c>
      <c r="Q60" s="1753"/>
      <c r="R60" s="1658">
        <f t="shared" si="2"/>
        <v>1628607</v>
      </c>
      <c r="S60" s="715">
        <f t="shared" si="3"/>
        <v>6198801</v>
      </c>
      <c r="T60" s="1656"/>
      <c r="U60" s="716">
        <f t="shared" si="4"/>
        <v>6198801</v>
      </c>
    </row>
    <row r="61" spans="1:21" s="540" customFormat="1" ht="26.25" customHeight="1">
      <c r="A61" s="132">
        <v>47</v>
      </c>
      <c r="B61" s="132">
        <v>12</v>
      </c>
      <c r="C61" s="1654" t="s">
        <v>3256</v>
      </c>
      <c r="D61" s="1655" t="s">
        <v>3216</v>
      </c>
      <c r="E61" s="134" t="s">
        <v>15</v>
      </c>
      <c r="F61" s="1669"/>
      <c r="G61" s="1663">
        <f t="shared" si="0"/>
        <v>0</v>
      </c>
      <c r="H61" s="552">
        <f>VLOOKUP(D61,'Biểu 2 TH MỦ TẠP'!$C$11:$AI$88,33,0)</f>
        <v>1767</v>
      </c>
      <c r="I61" s="1657"/>
      <c r="J61" s="552">
        <f>VLOOKUP(D61,'Biểu 2 TH MỦ TẠP'!$C$11:$AK$88,35,0)</f>
        <v>849.13517372700005</v>
      </c>
      <c r="K61" s="1659" t="str">
        <f>VLOOKUP(D61,'Biểu 2 TH MỦ TẠP'!$C$11:$AL$88,36,0)</f>
        <v>B</v>
      </c>
      <c r="L61" s="1658">
        <f t="shared" si="1"/>
        <v>3294026</v>
      </c>
      <c r="M61" s="1659">
        <f>VLOOKUP(D61,'Biểu 1 TH CÔNG'!$C$11:$AI$88,33,0)</f>
        <v>24</v>
      </c>
      <c r="N61" s="1659">
        <f>VLOOKUP(D61,'Biểu 1 TH CÔNG'!$C$11:$AJ$88,34,0)</f>
        <v>4</v>
      </c>
      <c r="O61" s="246">
        <f>VLOOKUP(D61,'Biểu 1 TH CÔNG'!$C$11:$AL$88,36,0)</f>
        <v>1</v>
      </c>
      <c r="P61" s="1659">
        <f>VLOOKUP(D61,'Biểu 1 TH CÔNG'!$C$11:$AO$88,39,0)</f>
        <v>29</v>
      </c>
      <c r="Q61" s="1753"/>
      <c r="R61" s="1658">
        <f t="shared" si="2"/>
        <v>1628607</v>
      </c>
      <c r="S61" s="715">
        <f t="shared" si="3"/>
        <v>4922633</v>
      </c>
      <c r="T61" s="1656"/>
      <c r="U61" s="716">
        <f t="shared" si="4"/>
        <v>4922633</v>
      </c>
    </row>
    <row r="62" spans="1:21" s="540" customFormat="1" ht="26.25" customHeight="1">
      <c r="A62" s="132">
        <v>48</v>
      </c>
      <c r="B62" s="132">
        <v>13</v>
      </c>
      <c r="C62" s="1654" t="s">
        <v>3257</v>
      </c>
      <c r="D62" s="1655" t="s">
        <v>3217</v>
      </c>
      <c r="E62" s="134" t="s">
        <v>15</v>
      </c>
      <c r="F62" s="1669"/>
      <c r="G62" s="1663">
        <f t="shared" si="0"/>
        <v>0</v>
      </c>
      <c r="H62" s="552">
        <f>VLOOKUP(D62,'Biểu 2 TH MỦ TẠP'!$C$11:$AI$88,33,0)</f>
        <v>1766</v>
      </c>
      <c r="I62" s="1657"/>
      <c r="J62" s="552">
        <f>VLOOKUP(D62,'Biểu 2 TH MỦ TẠP'!$C$11:$AK$88,35,0)</f>
        <v>848.65462184600005</v>
      </c>
      <c r="K62" s="1659" t="str">
        <f>VLOOKUP(D62,'Biểu 2 TH MỦ TẠP'!$C$11:$AL$88,36,0)</f>
        <v>A</v>
      </c>
      <c r="L62" s="1658">
        <f t="shared" si="1"/>
        <v>3462446</v>
      </c>
      <c r="M62" s="1659">
        <f>VLOOKUP(D62,'Biểu 1 TH CÔNG'!$C$11:$AI$88,33,0)</f>
        <v>24</v>
      </c>
      <c r="N62" s="1659">
        <f>VLOOKUP(D62,'Biểu 1 TH CÔNG'!$C$11:$AJ$88,34,0)</f>
        <v>4</v>
      </c>
      <c r="O62" s="246">
        <f>VLOOKUP(D62,'Biểu 1 TH CÔNG'!$C$11:$AL$88,36,0)</f>
        <v>1</v>
      </c>
      <c r="P62" s="1659">
        <f>VLOOKUP(D62,'Biểu 1 TH CÔNG'!$C$11:$AO$88,39,0)</f>
        <v>29</v>
      </c>
      <c r="Q62" s="1753"/>
      <c r="R62" s="1658">
        <f t="shared" si="2"/>
        <v>1628607</v>
      </c>
      <c r="S62" s="715">
        <f t="shared" si="3"/>
        <v>5091053</v>
      </c>
      <c r="T62" s="1656"/>
      <c r="U62" s="716">
        <f t="shared" si="4"/>
        <v>5091053</v>
      </c>
    </row>
    <row r="63" spans="1:21" s="540" customFormat="1" ht="26.25" customHeight="1">
      <c r="A63" s="132">
        <v>49</v>
      </c>
      <c r="B63" s="132">
        <v>14</v>
      </c>
      <c r="C63" s="1654" t="s">
        <v>3258</v>
      </c>
      <c r="D63" s="1655" t="s">
        <v>3218</v>
      </c>
      <c r="E63" s="134" t="s">
        <v>15</v>
      </c>
      <c r="F63" s="1669"/>
      <c r="G63" s="1663">
        <f t="shared" si="0"/>
        <v>0</v>
      </c>
      <c r="H63" s="552">
        <f>VLOOKUP(D63,'Biểu 2 TH MỦ TẠP'!$C$11:$AI$88,33,0)</f>
        <v>1816</v>
      </c>
      <c r="I63" s="1657"/>
      <c r="J63" s="552">
        <f>VLOOKUP(D63,'Biểu 2 TH MỦ TẠP'!$C$11:$AK$88,35,0)</f>
        <v>872.682215896</v>
      </c>
      <c r="K63" s="1659" t="str">
        <f>VLOOKUP(D63,'Biểu 2 TH MỦ TẠP'!$C$11:$AL$88,36,0)</f>
        <v>A</v>
      </c>
      <c r="L63" s="1658">
        <f t="shared" si="1"/>
        <v>3560477</v>
      </c>
      <c r="M63" s="1659">
        <f>VLOOKUP(D63,'Biểu 1 TH CÔNG'!$C$11:$AI$88,33,0)</f>
        <v>24</v>
      </c>
      <c r="N63" s="1659">
        <f>VLOOKUP(D63,'Biểu 1 TH CÔNG'!$C$11:$AJ$88,34,0)</f>
        <v>4</v>
      </c>
      <c r="O63" s="246">
        <f>VLOOKUP(D63,'Biểu 1 TH CÔNG'!$C$11:$AL$88,36,0)</f>
        <v>1</v>
      </c>
      <c r="P63" s="1659">
        <f>VLOOKUP(D63,'Biểu 1 TH CÔNG'!$C$11:$AO$88,39,0)</f>
        <v>29</v>
      </c>
      <c r="Q63" s="1753"/>
      <c r="R63" s="1658">
        <f t="shared" si="2"/>
        <v>1628607</v>
      </c>
      <c r="S63" s="715">
        <f t="shared" si="3"/>
        <v>5189084</v>
      </c>
      <c r="T63" s="1656"/>
      <c r="U63" s="716">
        <f t="shared" si="4"/>
        <v>5189084</v>
      </c>
    </row>
    <row r="64" spans="1:21" s="540" customFormat="1" ht="26.25" customHeight="1">
      <c r="A64" s="132">
        <v>50</v>
      </c>
      <c r="B64" s="132">
        <v>15</v>
      </c>
      <c r="C64" s="1654" t="s">
        <v>3259</v>
      </c>
      <c r="D64" s="1655" t="s">
        <v>3219</v>
      </c>
      <c r="E64" s="134" t="s">
        <v>15</v>
      </c>
      <c r="F64" s="1669"/>
      <c r="G64" s="1663">
        <f t="shared" si="0"/>
        <v>0</v>
      </c>
      <c r="H64" s="552">
        <f>VLOOKUP(D64,'Biểu 2 TH MỦ TẠP'!$C$11:$AI$88,33,0)</f>
        <v>1542</v>
      </c>
      <c r="I64" s="1657"/>
      <c r="J64" s="552">
        <f>VLOOKUP(D64,'Biểu 2 TH MỦ TẠP'!$C$11:$AK$88,35,0)</f>
        <v>741.01100050200012</v>
      </c>
      <c r="K64" s="1659" t="str">
        <f>VLOOKUP(D64,'Biểu 2 TH MỦ TẠP'!$C$11:$AL$88,36,0)</f>
        <v>B</v>
      </c>
      <c r="L64" s="1658">
        <f t="shared" si="1"/>
        <v>2874583</v>
      </c>
      <c r="M64" s="1659">
        <f>VLOOKUP(D64,'Biểu 1 TH CÔNG'!$C$11:$AI$88,33,0)</f>
        <v>24</v>
      </c>
      <c r="N64" s="1659">
        <f>VLOOKUP(D64,'Biểu 1 TH CÔNG'!$C$11:$AJ$88,34,0)</f>
        <v>4</v>
      </c>
      <c r="O64" s="246">
        <f>VLOOKUP(D64,'Biểu 1 TH CÔNG'!$C$11:$AL$88,36,0)</f>
        <v>1</v>
      </c>
      <c r="P64" s="1659">
        <f>VLOOKUP(D64,'Biểu 1 TH CÔNG'!$C$11:$AO$88,39,0)</f>
        <v>29</v>
      </c>
      <c r="Q64" s="1753"/>
      <c r="R64" s="1658">
        <f t="shared" si="2"/>
        <v>1628607</v>
      </c>
      <c r="S64" s="715">
        <f t="shared" si="3"/>
        <v>4503190</v>
      </c>
      <c r="T64" s="1656"/>
      <c r="U64" s="716">
        <f t="shared" si="4"/>
        <v>4503190</v>
      </c>
    </row>
    <row r="65" spans="1:21" s="540" customFormat="1" ht="26.25" customHeight="1">
      <c r="A65" s="132">
        <v>51</v>
      </c>
      <c r="B65" s="132">
        <v>16</v>
      </c>
      <c r="C65" s="1654" t="s">
        <v>3260</v>
      </c>
      <c r="D65" s="1655" t="s">
        <v>3220</v>
      </c>
      <c r="E65" s="134" t="s">
        <v>15</v>
      </c>
      <c r="F65" s="1669"/>
      <c r="G65" s="1663">
        <f t="shared" si="0"/>
        <v>0</v>
      </c>
      <c r="H65" s="552">
        <f>VLOOKUP(D65,'Biểu 2 TH MỦ TẠP'!$C$11:$AI$88,33,0)</f>
        <v>1574</v>
      </c>
      <c r="I65" s="1657"/>
      <c r="J65" s="552">
        <f>VLOOKUP(D65,'Biểu 2 TH MỦ TẠP'!$C$11:$AK$88,35,0)</f>
        <v>756.38866069400001</v>
      </c>
      <c r="K65" s="1659" t="str">
        <f>VLOOKUP(D65,'Biểu 2 TH MỦ TẠP'!$C$11:$AL$88,36,0)</f>
        <v>A</v>
      </c>
      <c r="L65" s="1658">
        <f t="shared" si="1"/>
        <v>3086008</v>
      </c>
      <c r="M65" s="1659">
        <f>VLOOKUP(D65,'Biểu 1 TH CÔNG'!$C$11:$AI$88,33,0)</f>
        <v>24</v>
      </c>
      <c r="N65" s="1659">
        <f>VLOOKUP(D65,'Biểu 1 TH CÔNG'!$C$11:$AJ$88,34,0)</f>
        <v>4</v>
      </c>
      <c r="O65" s="246">
        <f>VLOOKUP(D65,'Biểu 1 TH CÔNG'!$C$11:$AL$88,36,0)</f>
        <v>1</v>
      </c>
      <c r="P65" s="1659">
        <f>VLOOKUP(D65,'Biểu 1 TH CÔNG'!$C$11:$AO$88,39,0)</f>
        <v>29</v>
      </c>
      <c r="Q65" s="1753"/>
      <c r="R65" s="1658">
        <f t="shared" si="2"/>
        <v>1628607</v>
      </c>
      <c r="S65" s="715">
        <f t="shared" si="3"/>
        <v>4714615</v>
      </c>
      <c r="T65" s="1656"/>
      <c r="U65" s="716">
        <f t="shared" si="4"/>
        <v>4714615</v>
      </c>
    </row>
    <row r="66" spans="1:21" s="540" customFormat="1" ht="26.25" customHeight="1">
      <c r="A66" s="132">
        <v>52</v>
      </c>
      <c r="B66" s="132">
        <v>17</v>
      </c>
      <c r="C66" s="1654" t="s">
        <v>3261</v>
      </c>
      <c r="D66" s="1655" t="s">
        <v>3221</v>
      </c>
      <c r="E66" s="134" t="s">
        <v>15</v>
      </c>
      <c r="F66" s="1669"/>
      <c r="G66" s="1663">
        <f t="shared" si="0"/>
        <v>0</v>
      </c>
      <c r="H66" s="552">
        <f>VLOOKUP(D66,'Biểu 2 TH MỦ TẠP'!$C$11:$AI$88,33,0)</f>
        <v>1588</v>
      </c>
      <c r="I66" s="1657"/>
      <c r="J66" s="552">
        <f>VLOOKUP(D66,'Biểu 2 TH MỦ TẠP'!$C$11:$AK$88,35,0)</f>
        <v>763.11638702800008</v>
      </c>
      <c r="K66" s="1659" t="str">
        <f>VLOOKUP(D66,'Biểu 2 TH MỦ TẠP'!$C$11:$AL$88,36,0)</f>
        <v>A</v>
      </c>
      <c r="L66" s="1658">
        <f t="shared" si="1"/>
        <v>3113457</v>
      </c>
      <c r="M66" s="1659">
        <f>VLOOKUP(D66,'Biểu 1 TH CÔNG'!$C$11:$AI$88,33,0)</f>
        <v>24</v>
      </c>
      <c r="N66" s="1659">
        <f>VLOOKUP(D66,'Biểu 1 TH CÔNG'!$C$11:$AJ$88,34,0)</f>
        <v>4</v>
      </c>
      <c r="O66" s="246">
        <f>VLOOKUP(D66,'Biểu 1 TH CÔNG'!$C$11:$AL$88,36,0)</f>
        <v>1</v>
      </c>
      <c r="P66" s="1659">
        <f>VLOOKUP(D66,'Biểu 1 TH CÔNG'!$C$11:$AO$88,39,0)</f>
        <v>29</v>
      </c>
      <c r="Q66" s="1753"/>
      <c r="R66" s="1658">
        <f t="shared" si="2"/>
        <v>1628607</v>
      </c>
      <c r="S66" s="715">
        <f t="shared" si="3"/>
        <v>4742064</v>
      </c>
      <c r="T66" s="1656"/>
      <c r="U66" s="716">
        <f t="shared" si="4"/>
        <v>4742064</v>
      </c>
    </row>
    <row r="67" spans="1:21" s="540" customFormat="1" ht="26.25" customHeight="1">
      <c r="A67" s="132">
        <v>53</v>
      </c>
      <c r="B67" s="132">
        <v>18</v>
      </c>
      <c r="C67" s="1654" t="s">
        <v>3262</v>
      </c>
      <c r="D67" s="1655" t="s">
        <v>3222</v>
      </c>
      <c r="E67" s="134" t="s">
        <v>15</v>
      </c>
      <c r="F67" s="1669"/>
      <c r="G67" s="1663">
        <f t="shared" si="0"/>
        <v>0</v>
      </c>
      <c r="H67" s="552">
        <f>VLOOKUP(D67,'Biểu 2 TH MỦ TẠP'!$C$11:$AI$88,33,0)</f>
        <v>1906</v>
      </c>
      <c r="I67" s="1657"/>
      <c r="J67" s="552">
        <f>VLOOKUP(D67,'Biểu 2 TH MỦ TẠP'!$C$11:$AK$88,35,0)</f>
        <v>915.93188518600004</v>
      </c>
      <c r="K67" s="1659" t="str">
        <f>VLOOKUP(D67,'Biểu 2 TH MỦ TẠP'!$C$11:$AL$88,36,0)</f>
        <v>B</v>
      </c>
      <c r="L67" s="1658">
        <f t="shared" si="1"/>
        <v>3553149</v>
      </c>
      <c r="M67" s="1659">
        <f>VLOOKUP(D67,'Biểu 1 TH CÔNG'!$C$11:$AI$88,33,0)</f>
        <v>24</v>
      </c>
      <c r="N67" s="1659">
        <f>VLOOKUP(D67,'Biểu 1 TH CÔNG'!$C$11:$AJ$88,34,0)</f>
        <v>4</v>
      </c>
      <c r="O67" s="246">
        <f>VLOOKUP(D67,'Biểu 1 TH CÔNG'!$C$11:$AL$88,36,0)</f>
        <v>1</v>
      </c>
      <c r="P67" s="1659">
        <f>VLOOKUP(D67,'Biểu 1 TH CÔNG'!$C$11:$AO$88,39,0)</f>
        <v>29</v>
      </c>
      <c r="Q67" s="1753"/>
      <c r="R67" s="1658">
        <f t="shared" si="2"/>
        <v>1628607</v>
      </c>
      <c r="S67" s="715">
        <f t="shared" si="3"/>
        <v>5181756</v>
      </c>
      <c r="T67" s="1656"/>
      <c r="U67" s="716">
        <f t="shared" si="4"/>
        <v>5181756</v>
      </c>
    </row>
    <row r="68" spans="1:21" s="540" customFormat="1" ht="26.25" customHeight="1">
      <c r="A68" s="132">
        <v>54</v>
      </c>
      <c r="B68" s="132">
        <v>19</v>
      </c>
      <c r="C68" s="1654" t="s">
        <v>3263</v>
      </c>
      <c r="D68" s="1655" t="s">
        <v>3223</v>
      </c>
      <c r="E68" s="134" t="s">
        <v>15</v>
      </c>
      <c r="F68" s="1669"/>
      <c r="G68" s="1663">
        <f t="shared" si="0"/>
        <v>0</v>
      </c>
      <c r="H68" s="552">
        <f>VLOOKUP(D68,'Biểu 2 TH MỦ TẠP'!$C$11:$AI$88,33,0)</f>
        <v>1907</v>
      </c>
      <c r="I68" s="1657"/>
      <c r="J68" s="552">
        <f>VLOOKUP(D68,'Biểu 2 TH MỦ TẠP'!$C$11:$AK$88,35,0)</f>
        <v>916.41243706700004</v>
      </c>
      <c r="K68" s="1659" t="str">
        <f>VLOOKUP(D68,'Biểu 2 TH MỦ TẠP'!$C$11:$AL$88,36,0)</f>
        <v>A</v>
      </c>
      <c r="L68" s="1658">
        <f t="shared" si="1"/>
        <v>3738893</v>
      </c>
      <c r="M68" s="1659">
        <f>VLOOKUP(D68,'Biểu 1 TH CÔNG'!$C$11:$AI$88,33,0)</f>
        <v>24</v>
      </c>
      <c r="N68" s="1659">
        <f>VLOOKUP(D68,'Biểu 1 TH CÔNG'!$C$11:$AJ$88,34,0)</f>
        <v>4</v>
      </c>
      <c r="O68" s="246">
        <f>VLOOKUP(D68,'Biểu 1 TH CÔNG'!$C$11:$AL$88,36,0)</f>
        <v>1</v>
      </c>
      <c r="P68" s="1659">
        <f>VLOOKUP(D68,'Biểu 1 TH CÔNG'!$C$11:$AO$88,39,0)</f>
        <v>29</v>
      </c>
      <c r="Q68" s="1753"/>
      <c r="R68" s="1658">
        <f t="shared" si="2"/>
        <v>1628607</v>
      </c>
      <c r="S68" s="715">
        <f t="shared" si="3"/>
        <v>5367500</v>
      </c>
      <c r="T68" s="1656"/>
      <c r="U68" s="716">
        <f t="shared" si="4"/>
        <v>5367500</v>
      </c>
    </row>
    <row r="69" spans="1:21" s="540" customFormat="1" ht="26.25" customHeight="1">
      <c r="A69" s="132">
        <v>55</v>
      </c>
      <c r="B69" s="132">
        <v>20</v>
      </c>
      <c r="C69" s="1654" t="s">
        <v>3264</v>
      </c>
      <c r="D69" s="1655" t="s">
        <v>3224</v>
      </c>
      <c r="E69" s="134" t="s">
        <v>15</v>
      </c>
      <c r="F69" s="1669"/>
      <c r="G69" s="1663">
        <f t="shared" si="0"/>
        <v>0</v>
      </c>
      <c r="H69" s="552">
        <f>VLOOKUP(D69,'Biểu 2 TH MỦ TẠP'!$C$11:$AI$88,33,0)</f>
        <v>1971</v>
      </c>
      <c r="I69" s="1657"/>
      <c r="J69" s="552">
        <f>VLOOKUP(D69,'Biểu 2 TH MỦ TẠP'!$C$11:$AK$88,35,0)</f>
        <v>947.16775745100006</v>
      </c>
      <c r="K69" s="1659" t="str">
        <f>VLOOKUP(D69,'Biểu 2 TH MỦ TẠP'!$C$11:$AL$88,36,0)</f>
        <v>B</v>
      </c>
      <c r="L69" s="1658">
        <f t="shared" si="1"/>
        <v>3674321</v>
      </c>
      <c r="M69" s="1659">
        <f>VLOOKUP(D69,'Biểu 1 TH CÔNG'!$C$11:$AI$88,33,0)</f>
        <v>24</v>
      </c>
      <c r="N69" s="1659">
        <f>VLOOKUP(D69,'Biểu 1 TH CÔNG'!$C$11:$AJ$88,34,0)</f>
        <v>4</v>
      </c>
      <c r="O69" s="246">
        <f>VLOOKUP(D69,'Biểu 1 TH CÔNG'!$C$11:$AL$88,36,0)</f>
        <v>1</v>
      </c>
      <c r="P69" s="1659">
        <f>VLOOKUP(D69,'Biểu 1 TH CÔNG'!$C$11:$AO$88,39,0)</f>
        <v>29</v>
      </c>
      <c r="Q69" s="1753"/>
      <c r="R69" s="1658">
        <f t="shared" si="2"/>
        <v>1628607</v>
      </c>
      <c r="S69" s="715">
        <f t="shared" si="3"/>
        <v>5302928</v>
      </c>
      <c r="T69" s="1656"/>
      <c r="U69" s="716">
        <f t="shared" si="4"/>
        <v>5302928</v>
      </c>
    </row>
    <row r="70" spans="1:21" s="540" customFormat="1" ht="26.25" customHeight="1">
      <c r="A70" s="132">
        <v>56</v>
      </c>
      <c r="B70" s="132">
        <v>21</v>
      </c>
      <c r="C70" s="1654" t="s">
        <v>3265</v>
      </c>
      <c r="D70" s="1655" t="s">
        <v>3225</v>
      </c>
      <c r="E70" s="134" t="s">
        <v>15</v>
      </c>
      <c r="F70" s="1669"/>
      <c r="G70" s="1663">
        <f t="shared" si="0"/>
        <v>0</v>
      </c>
      <c r="H70" s="552">
        <f>VLOOKUP(D70,'Biểu 2 TH MỦ TẠP'!$C$11:$AI$88,33,0)</f>
        <v>2223</v>
      </c>
      <c r="I70" s="1657"/>
      <c r="J70" s="552">
        <f>VLOOKUP(D70,'Biểu 2 TH MỦ TẠP'!$C$11:$AK$88,35,0)</f>
        <v>1068.266831463</v>
      </c>
      <c r="K70" s="1659" t="str">
        <f>VLOOKUP(D70,'Biểu 2 TH MỦ TẠP'!$C$11:$AL$88,36,0)</f>
        <v>B</v>
      </c>
      <c r="L70" s="1658">
        <f t="shared" si="1"/>
        <v>4144098</v>
      </c>
      <c r="M70" s="1659">
        <f>VLOOKUP(D70,'Biểu 1 TH CÔNG'!$C$11:$AI$88,33,0)</f>
        <v>24</v>
      </c>
      <c r="N70" s="1659">
        <f>VLOOKUP(D70,'Biểu 1 TH CÔNG'!$C$11:$AJ$88,34,0)</f>
        <v>4</v>
      </c>
      <c r="O70" s="246">
        <f>VLOOKUP(D70,'Biểu 1 TH CÔNG'!$C$11:$AL$88,36,0)</f>
        <v>1</v>
      </c>
      <c r="P70" s="1659">
        <f>VLOOKUP(D70,'Biểu 1 TH CÔNG'!$C$11:$AO$88,39,0)</f>
        <v>29</v>
      </c>
      <c r="Q70" s="1753"/>
      <c r="R70" s="1658">
        <f t="shared" si="2"/>
        <v>1628607</v>
      </c>
      <c r="S70" s="715">
        <f t="shared" si="3"/>
        <v>5772705</v>
      </c>
      <c r="T70" s="1656"/>
      <c r="U70" s="716">
        <f t="shared" si="4"/>
        <v>5772705</v>
      </c>
    </row>
    <row r="71" spans="1:21" s="540" customFormat="1" ht="26.25" customHeight="1">
      <c r="A71" s="132">
        <v>57</v>
      </c>
      <c r="B71" s="132">
        <v>22</v>
      </c>
      <c r="C71" s="1654" t="s">
        <v>3266</v>
      </c>
      <c r="D71" s="1655" t="s">
        <v>3226</v>
      </c>
      <c r="E71" s="134" t="s">
        <v>15</v>
      </c>
      <c r="F71" s="1669"/>
      <c r="G71" s="1663">
        <f t="shared" si="0"/>
        <v>0</v>
      </c>
      <c r="H71" s="552">
        <f>VLOOKUP(D71,'Biểu 2 TH MỦ TẠP'!$C$11:$AI$88,33,0)</f>
        <v>1486</v>
      </c>
      <c r="I71" s="1657"/>
      <c r="J71" s="552">
        <f>VLOOKUP(D71,'Biểu 2 TH MỦ TẠP'!$C$11:$AK$88,35,0)</f>
        <v>714.10009516600007</v>
      </c>
      <c r="K71" s="1659" t="str">
        <f>VLOOKUP(D71,'Biểu 2 TH MỦ TẠP'!$C$11:$AL$88,36,0)</f>
        <v>A</v>
      </c>
      <c r="L71" s="1658">
        <f t="shared" si="1"/>
        <v>2913474</v>
      </c>
      <c r="M71" s="1659">
        <f>VLOOKUP(D71,'Biểu 1 TH CÔNG'!$C$11:$AI$88,33,0)</f>
        <v>24</v>
      </c>
      <c r="N71" s="1659">
        <f>VLOOKUP(D71,'Biểu 1 TH CÔNG'!$C$11:$AJ$88,34,0)</f>
        <v>4</v>
      </c>
      <c r="O71" s="246">
        <f>VLOOKUP(D71,'Biểu 1 TH CÔNG'!$C$11:$AL$88,36,0)</f>
        <v>1</v>
      </c>
      <c r="P71" s="1659">
        <f>VLOOKUP(D71,'Biểu 1 TH CÔNG'!$C$11:$AO$88,39,0)</f>
        <v>29</v>
      </c>
      <c r="Q71" s="1753"/>
      <c r="R71" s="1658">
        <f t="shared" si="2"/>
        <v>1628607</v>
      </c>
      <c r="S71" s="715">
        <f t="shared" si="3"/>
        <v>4542081</v>
      </c>
      <c r="T71" s="1656"/>
      <c r="U71" s="716">
        <f t="shared" si="4"/>
        <v>4542081</v>
      </c>
    </row>
    <row r="72" spans="1:21" s="540" customFormat="1" ht="26.25" customHeight="1">
      <c r="A72" s="132">
        <v>58</v>
      </c>
      <c r="B72" s="132">
        <v>23</v>
      </c>
      <c r="C72" s="1654" t="s">
        <v>3267</v>
      </c>
      <c r="D72" s="1655" t="s">
        <v>3227</v>
      </c>
      <c r="E72" s="134" t="s">
        <v>15</v>
      </c>
      <c r="F72" s="1669"/>
      <c r="G72" s="1663">
        <f t="shared" si="0"/>
        <v>0</v>
      </c>
      <c r="H72" s="552">
        <f>VLOOKUP(D72,'Biểu 2 TH MỦ TẠP'!$C$11:$AI$88,33,0)</f>
        <v>1426</v>
      </c>
      <c r="I72" s="1657"/>
      <c r="J72" s="552">
        <f>VLOOKUP(D72,'Biểu 2 TH MỦ TẠP'!$C$11:$AK$88,35,0)</f>
        <v>685.26698230600005</v>
      </c>
      <c r="K72" s="1659" t="str">
        <f>VLOOKUP(D72,'Biểu 2 TH MỦ TẠP'!$C$11:$AL$88,36,0)</f>
        <v>A</v>
      </c>
      <c r="L72" s="1658">
        <f t="shared" si="1"/>
        <v>2795837</v>
      </c>
      <c r="M72" s="1659">
        <f>VLOOKUP(D72,'Biểu 1 TH CÔNG'!$C$11:$AI$88,33,0)</f>
        <v>24</v>
      </c>
      <c r="N72" s="1659">
        <f>VLOOKUP(D72,'Biểu 1 TH CÔNG'!$C$11:$AJ$88,34,0)</f>
        <v>4</v>
      </c>
      <c r="O72" s="246">
        <f>VLOOKUP(D72,'Biểu 1 TH CÔNG'!$C$11:$AL$88,36,0)</f>
        <v>1</v>
      </c>
      <c r="P72" s="1659">
        <f>VLOOKUP(D72,'Biểu 1 TH CÔNG'!$C$11:$AO$88,39,0)</f>
        <v>29</v>
      </c>
      <c r="Q72" s="1753"/>
      <c r="R72" s="1658">
        <f t="shared" si="2"/>
        <v>1628607</v>
      </c>
      <c r="S72" s="715">
        <f t="shared" si="3"/>
        <v>4424444</v>
      </c>
      <c r="T72" s="1656"/>
      <c r="U72" s="716">
        <f t="shared" si="4"/>
        <v>4424444</v>
      </c>
    </row>
    <row r="73" spans="1:21" s="540" customFormat="1" ht="26.25" customHeight="1">
      <c r="A73" s="132">
        <v>59</v>
      </c>
      <c r="B73" s="132">
        <v>24</v>
      </c>
      <c r="C73" s="1654" t="s">
        <v>3268</v>
      </c>
      <c r="D73" s="1655" t="s">
        <v>1245</v>
      </c>
      <c r="E73" s="134" t="s">
        <v>15</v>
      </c>
      <c r="F73" s="1669"/>
      <c r="G73" s="1663">
        <f t="shared" si="0"/>
        <v>0</v>
      </c>
      <c r="H73" s="552">
        <f>VLOOKUP(D73,'Biểu 2 TH MỦ TẠP'!$C$11:$AI$88,33,0)</f>
        <v>2620</v>
      </c>
      <c r="I73" s="1657"/>
      <c r="J73" s="552">
        <f>VLOOKUP(D73,'Biểu 2 TH MỦ TẠP'!$C$11:$AK$88,35,0)</f>
        <v>1259.04592822</v>
      </c>
      <c r="K73" s="1659" t="str">
        <f>VLOOKUP(D73,'Biểu 2 TH MỦ TẠP'!$C$11:$AL$88,36,0)</f>
        <v>A</v>
      </c>
      <c r="L73" s="1658">
        <f t="shared" si="1"/>
        <v>5136812</v>
      </c>
      <c r="M73" s="1659">
        <f>VLOOKUP(D73,'Biểu 1 TH CÔNG'!$C$11:$AI$88,33,0)</f>
        <v>24</v>
      </c>
      <c r="N73" s="1659">
        <f>VLOOKUP(D73,'Biểu 1 TH CÔNG'!$C$11:$AJ$88,34,0)</f>
        <v>4</v>
      </c>
      <c r="O73" s="246">
        <f>VLOOKUP(D73,'Biểu 1 TH CÔNG'!$C$11:$AL$88,36,0)</f>
        <v>1</v>
      </c>
      <c r="P73" s="1659">
        <f>VLOOKUP(D73,'Biểu 1 TH CÔNG'!$C$11:$AO$88,39,0)</f>
        <v>29</v>
      </c>
      <c r="Q73" s="1753"/>
      <c r="R73" s="1658">
        <f t="shared" si="2"/>
        <v>1628607</v>
      </c>
      <c r="S73" s="715">
        <f t="shared" si="3"/>
        <v>6765419</v>
      </c>
      <c r="T73" s="1656"/>
      <c r="U73" s="716">
        <f t="shared" si="4"/>
        <v>6765419</v>
      </c>
    </row>
    <row r="74" spans="1:21" s="540" customFormat="1" ht="26.25" customHeight="1">
      <c r="A74" s="132">
        <v>60</v>
      </c>
      <c r="B74" s="132">
        <v>25</v>
      </c>
      <c r="C74" s="1654" t="s">
        <v>3269</v>
      </c>
      <c r="D74" s="1655" t="s">
        <v>3228</v>
      </c>
      <c r="E74" s="134" t="s">
        <v>15</v>
      </c>
      <c r="F74" s="1669"/>
      <c r="G74" s="1663">
        <f t="shared" si="0"/>
        <v>0</v>
      </c>
      <c r="H74" s="552">
        <f>VLOOKUP(D74,'Biểu 2 TH MỦ TẠP'!$C$11:$AI$88,33,0)</f>
        <v>2626</v>
      </c>
      <c r="I74" s="1657"/>
      <c r="J74" s="552">
        <f>VLOOKUP(D74,'Biểu 2 TH MỦ TẠP'!$C$11:$AK$88,35,0)</f>
        <v>1261.9292395059999</v>
      </c>
      <c r="K74" s="1659" t="str">
        <f>VLOOKUP(D74,'Biểu 2 TH MỦ TẠP'!$C$11:$AL$88,36,0)</f>
        <v>A</v>
      </c>
      <c r="L74" s="1658">
        <f t="shared" si="1"/>
        <v>5148575</v>
      </c>
      <c r="M74" s="1659">
        <f>VLOOKUP(D74,'Biểu 1 TH CÔNG'!$C$11:$AI$88,33,0)</f>
        <v>24</v>
      </c>
      <c r="N74" s="1659">
        <f>VLOOKUP(D74,'Biểu 1 TH CÔNG'!$C$11:$AJ$88,34,0)</f>
        <v>4</v>
      </c>
      <c r="O74" s="246">
        <f>VLOOKUP(D74,'Biểu 1 TH CÔNG'!$C$11:$AL$88,36,0)</f>
        <v>1</v>
      </c>
      <c r="P74" s="1659">
        <f>VLOOKUP(D74,'Biểu 1 TH CÔNG'!$C$11:$AO$88,39,0)</f>
        <v>29</v>
      </c>
      <c r="Q74" s="1753"/>
      <c r="R74" s="1658">
        <f t="shared" si="2"/>
        <v>1628607</v>
      </c>
      <c r="S74" s="715">
        <f t="shared" si="3"/>
        <v>6777182</v>
      </c>
      <c r="T74" s="1656"/>
      <c r="U74" s="716">
        <f t="shared" si="4"/>
        <v>6777182</v>
      </c>
    </row>
    <row r="75" spans="1:21" s="540" customFormat="1" ht="26.25" customHeight="1">
      <c r="A75" s="132">
        <v>61</v>
      </c>
      <c r="B75" s="132">
        <v>26</v>
      </c>
      <c r="C75" s="1654" t="s">
        <v>3270</v>
      </c>
      <c r="D75" s="1655" t="s">
        <v>3229</v>
      </c>
      <c r="E75" s="134" t="s">
        <v>15</v>
      </c>
      <c r="F75" s="1669"/>
      <c r="G75" s="1663">
        <f t="shared" si="0"/>
        <v>0</v>
      </c>
      <c r="H75" s="552">
        <f>VLOOKUP(D75,'Biểu 2 TH MỦ TẠP'!$C$11:$AI$88,33,0)</f>
        <v>2007</v>
      </c>
      <c r="I75" s="1657"/>
      <c r="J75" s="552">
        <f>VLOOKUP(D75,'Biểu 2 TH MỦ TẠP'!$C$11:$AK$88,35,0)</f>
        <v>964.46762516700005</v>
      </c>
      <c r="K75" s="1659" t="str">
        <f>VLOOKUP(D75,'Biểu 2 TH MỦ TẠP'!$C$11:$AL$88,36,0)</f>
        <v>B</v>
      </c>
      <c r="L75" s="1658">
        <f t="shared" si="1"/>
        <v>3741432</v>
      </c>
      <c r="M75" s="1659">
        <f>VLOOKUP(D75,'Biểu 1 TH CÔNG'!$C$11:$AI$88,33,0)</f>
        <v>24</v>
      </c>
      <c r="N75" s="1659">
        <f>VLOOKUP(D75,'Biểu 1 TH CÔNG'!$C$11:$AJ$88,34,0)</f>
        <v>4</v>
      </c>
      <c r="O75" s="246">
        <f>VLOOKUP(D75,'Biểu 1 TH CÔNG'!$C$11:$AL$88,36,0)</f>
        <v>1</v>
      </c>
      <c r="P75" s="1659">
        <f>VLOOKUP(D75,'Biểu 1 TH CÔNG'!$C$11:$AO$88,39,0)</f>
        <v>29</v>
      </c>
      <c r="Q75" s="1753"/>
      <c r="R75" s="1658">
        <f t="shared" si="2"/>
        <v>1628607</v>
      </c>
      <c r="S75" s="715">
        <f t="shared" si="3"/>
        <v>5370039</v>
      </c>
      <c r="T75" s="1656"/>
      <c r="U75" s="716">
        <f t="shared" si="4"/>
        <v>5370039</v>
      </c>
    </row>
    <row r="76" spans="1:21" s="540" customFormat="1" ht="26.25" customHeight="1">
      <c r="A76" s="132">
        <v>62</v>
      </c>
      <c r="B76" s="132">
        <v>27</v>
      </c>
      <c r="C76" s="1643" t="s">
        <v>3271</v>
      </c>
      <c r="D76" s="135" t="s">
        <v>3230</v>
      </c>
      <c r="E76" s="134" t="s">
        <v>15</v>
      </c>
      <c r="F76" s="1669"/>
      <c r="G76" s="1663">
        <f t="shared" si="0"/>
        <v>0</v>
      </c>
      <c r="H76" s="552">
        <f>VLOOKUP(D76,'Biểu 2 TH MỦ TẠP'!$C$11:$AI$88,33,0)</f>
        <v>2016</v>
      </c>
      <c r="I76" s="552" t="e">
        <f>VLOOKUP(D76,#REF!,7,0)</f>
        <v>#REF!</v>
      </c>
      <c r="J76" s="552">
        <f>VLOOKUP(D76,'Biểu 2 TH MỦ TẠP'!$C$11:$AK$88,35,0)</f>
        <v>968.79259209600002</v>
      </c>
      <c r="K76" s="1659" t="str">
        <f>VLOOKUP(D76,'Biểu 2 TH MỦ TẠP'!$C$11:$AL$88,36,0)</f>
        <v>B</v>
      </c>
      <c r="L76" s="1658">
        <f t="shared" si="1"/>
        <v>3758210</v>
      </c>
      <c r="M76" s="1659">
        <f>VLOOKUP(D76,'Biểu 1 TH CÔNG'!$C$11:$AI$88,33,0)</f>
        <v>24</v>
      </c>
      <c r="N76" s="1659">
        <f>VLOOKUP(D76,'Biểu 1 TH CÔNG'!$C$11:$AJ$88,34,0)</f>
        <v>4</v>
      </c>
      <c r="O76" s="246">
        <f>VLOOKUP(D76,'Biểu 1 TH CÔNG'!$C$11:$AL$88,36,0)</f>
        <v>1</v>
      </c>
      <c r="P76" s="1659">
        <f>VLOOKUP(D76,'Biểu 1 TH CÔNG'!$C$11:$AO$88,39,0)</f>
        <v>29</v>
      </c>
      <c r="Q76" s="1753"/>
      <c r="R76" s="1658">
        <f t="shared" si="2"/>
        <v>1628607</v>
      </c>
      <c r="S76" s="715">
        <f t="shared" si="3"/>
        <v>5386817</v>
      </c>
      <c r="T76" s="716"/>
      <c r="U76" s="716">
        <f t="shared" si="4"/>
        <v>5386817</v>
      </c>
    </row>
    <row r="77" spans="1:21" s="540" customFormat="1" ht="26.25" customHeight="1">
      <c r="A77" s="132">
        <v>63</v>
      </c>
      <c r="B77" s="132">
        <v>28</v>
      </c>
      <c r="C77" s="1643" t="s">
        <v>3272</v>
      </c>
      <c r="D77" s="135" t="s">
        <v>408</v>
      </c>
      <c r="E77" s="134" t="s">
        <v>15</v>
      </c>
      <c r="F77" s="1669"/>
      <c r="G77" s="1663">
        <f t="shared" si="0"/>
        <v>0</v>
      </c>
      <c r="H77" s="552">
        <f>VLOOKUP(D77,'Biểu 2 TH MỦ TẠP'!$C$11:$AI$88,33,0)</f>
        <v>1446</v>
      </c>
      <c r="I77" s="552" t="e">
        <f>VLOOKUP(D77,#REF!,7,0)</f>
        <v>#REF!</v>
      </c>
      <c r="J77" s="552">
        <f>VLOOKUP(D77,'Biểu 2 TH MỦ TẠP'!$C$11:$AK$88,35,0)</f>
        <v>694.87801992599998</v>
      </c>
      <c r="K77" s="1659" t="str">
        <f>VLOOKUP(D77,'Biểu 2 TH MỦ TẠP'!$C$11:$AL$88,36,0)</f>
        <v>A</v>
      </c>
      <c r="L77" s="1658">
        <f t="shared" si="1"/>
        <v>2835050</v>
      </c>
      <c r="M77" s="1659">
        <f>VLOOKUP(D77,'Biểu 1 TH CÔNG'!$C$11:$AI$88,33,0)</f>
        <v>24</v>
      </c>
      <c r="N77" s="1659">
        <f>VLOOKUP(D77,'Biểu 1 TH CÔNG'!$C$11:$AJ$88,34,0)</f>
        <v>4</v>
      </c>
      <c r="O77" s="246">
        <f>VLOOKUP(D77,'Biểu 1 TH CÔNG'!$C$11:$AL$88,36,0)</f>
        <v>1</v>
      </c>
      <c r="P77" s="1659">
        <f>VLOOKUP(D77,'Biểu 1 TH CÔNG'!$C$11:$AO$88,39,0)</f>
        <v>29</v>
      </c>
      <c r="Q77" s="1753"/>
      <c r="R77" s="1658">
        <f t="shared" si="2"/>
        <v>1628607</v>
      </c>
      <c r="S77" s="715">
        <f t="shared" si="3"/>
        <v>4463657</v>
      </c>
      <c r="T77" s="716"/>
      <c r="U77" s="716">
        <f t="shared" si="4"/>
        <v>4463657</v>
      </c>
    </row>
    <row r="78" spans="1:21" s="540" customFormat="1" ht="26.25" customHeight="1">
      <c r="A78" s="132">
        <v>64</v>
      </c>
      <c r="B78" s="132">
        <v>29</v>
      </c>
      <c r="C78" s="1643" t="s">
        <v>3273</v>
      </c>
      <c r="D78" s="135" t="s">
        <v>3231</v>
      </c>
      <c r="E78" s="134" t="s">
        <v>15</v>
      </c>
      <c r="F78" s="1669"/>
      <c r="G78" s="1663">
        <f t="shared" si="0"/>
        <v>0</v>
      </c>
      <c r="H78" s="552">
        <f>VLOOKUP(D78,'Biểu 2 TH MỦ TẠP'!$C$11:$AI$88,33,0)</f>
        <v>1553</v>
      </c>
      <c r="I78" s="552" t="e">
        <f>VLOOKUP(D78,#REF!,7,0)</f>
        <v>#REF!</v>
      </c>
      <c r="J78" s="552">
        <f>VLOOKUP(D78,'Biểu 2 TH MỦ TẠP'!$C$11:$AK$88,35,0)</f>
        <v>746.29707119299997</v>
      </c>
      <c r="K78" s="1659" t="str">
        <f>VLOOKUP(D78,'Biểu 2 TH MỦ TẠP'!$C$11:$AL$88,36,0)</f>
        <v>B</v>
      </c>
      <c r="L78" s="1658">
        <f t="shared" si="1"/>
        <v>2895089</v>
      </c>
      <c r="M78" s="1659">
        <f>VLOOKUP(D78,'Biểu 1 TH CÔNG'!$C$11:$AI$88,33,0)</f>
        <v>24</v>
      </c>
      <c r="N78" s="1659">
        <f>VLOOKUP(D78,'Biểu 1 TH CÔNG'!$C$11:$AJ$88,34,0)</f>
        <v>4</v>
      </c>
      <c r="O78" s="246">
        <f>VLOOKUP(D78,'Biểu 1 TH CÔNG'!$C$11:$AL$88,36,0)</f>
        <v>1</v>
      </c>
      <c r="P78" s="1659">
        <f>VLOOKUP(D78,'Biểu 1 TH CÔNG'!$C$11:$AO$88,39,0)</f>
        <v>29</v>
      </c>
      <c r="Q78" s="1753"/>
      <c r="R78" s="1658">
        <f t="shared" si="2"/>
        <v>1628607</v>
      </c>
      <c r="S78" s="715">
        <f t="shared" si="3"/>
        <v>4523696</v>
      </c>
      <c r="T78" s="716"/>
      <c r="U78" s="716">
        <f t="shared" si="4"/>
        <v>4523696</v>
      </c>
    </row>
    <row r="79" spans="1:21" s="540" customFormat="1" ht="26.25" customHeight="1">
      <c r="A79" s="132">
        <v>65</v>
      </c>
      <c r="B79" s="132">
        <v>30</v>
      </c>
      <c r="C79" s="245" t="s">
        <v>3274</v>
      </c>
      <c r="D79" s="135" t="s">
        <v>3232</v>
      </c>
      <c r="E79" s="134" t="s">
        <v>15</v>
      </c>
      <c r="F79" s="1669"/>
      <c r="G79" s="1663">
        <f t="shared" ref="G79:G94" si="5">F79*25000</f>
        <v>0</v>
      </c>
      <c r="H79" s="552">
        <f>VLOOKUP(D79,'Biểu 2 TH MỦ TẠP'!$C$11:$AI$88,33,0)</f>
        <v>1549</v>
      </c>
      <c r="I79" s="552" t="e">
        <f>VLOOKUP(D79,#REF!,7,0)</f>
        <v>#REF!</v>
      </c>
      <c r="J79" s="552">
        <f>VLOOKUP(D79,'Biểu 2 TH MỦ TẠP'!$C$11:$AK$88,35,0)</f>
        <v>744.37486366900009</v>
      </c>
      <c r="K79" s="1659" t="str">
        <f>VLOOKUP(D79,'Biểu 2 TH MỦ TẠP'!$C$11:$AL$88,36,0)</f>
        <v>B</v>
      </c>
      <c r="L79" s="1658">
        <f t="shared" si="1"/>
        <v>2887633</v>
      </c>
      <c r="M79" s="1659">
        <f>VLOOKUP(D79,'Biểu 1 TH CÔNG'!$C$11:$AI$88,33,0)</f>
        <v>24</v>
      </c>
      <c r="N79" s="1659">
        <f>VLOOKUP(D79,'Biểu 1 TH CÔNG'!$C$11:$AJ$88,34,0)</f>
        <v>4</v>
      </c>
      <c r="O79" s="246">
        <f>VLOOKUP(D79,'Biểu 1 TH CÔNG'!$C$11:$AL$88,36,0)</f>
        <v>1</v>
      </c>
      <c r="P79" s="1659">
        <f>VLOOKUP(D79,'Biểu 1 TH CÔNG'!$C$11:$AO$88,39,0)</f>
        <v>29</v>
      </c>
      <c r="Q79" s="1753"/>
      <c r="R79" s="1658">
        <f t="shared" si="2"/>
        <v>1628607</v>
      </c>
      <c r="S79" s="715">
        <f t="shared" si="3"/>
        <v>4516240</v>
      </c>
      <c r="T79" s="716"/>
      <c r="U79" s="716">
        <f t="shared" si="4"/>
        <v>4516240</v>
      </c>
    </row>
    <row r="80" spans="1:21" s="540" customFormat="1" ht="26.25" customHeight="1">
      <c r="A80" s="132">
        <v>66</v>
      </c>
      <c r="B80" s="132">
        <v>31</v>
      </c>
      <c r="C80" s="1643" t="s">
        <v>3275</v>
      </c>
      <c r="D80" s="135" t="s">
        <v>395</v>
      </c>
      <c r="E80" s="134" t="s">
        <v>15</v>
      </c>
      <c r="F80" s="1669"/>
      <c r="G80" s="1663">
        <f t="shared" si="5"/>
        <v>0</v>
      </c>
      <c r="H80" s="552">
        <f>VLOOKUP(D80,'Biểu 2 TH MỦ TẠP'!$C$11:$AI$88,33,0)</f>
        <v>1561</v>
      </c>
      <c r="I80" s="552" t="e">
        <f>VLOOKUP(D80,#REF!,7,0)</f>
        <v>#REF!</v>
      </c>
      <c r="J80" s="552">
        <f>VLOOKUP(D80,'Biểu 2 TH MỦ TẠP'!$C$11:$AK$88,35,0)</f>
        <v>750.14148624100005</v>
      </c>
      <c r="K80" s="1659" t="str">
        <f>VLOOKUP(D80,'Biểu 2 TH MỦ TẠP'!$C$11:$AL$88,36,0)</f>
        <v>A</v>
      </c>
      <c r="L80" s="1658">
        <f t="shared" ref="L80:L91" si="6">ROUND((IF(K80="A",(J80*6.1),IF(K80="B",(J80*5.8),IF(K80="C",(J80*5.5),IF(K80="D",(J80*5.2),0))))*$F$8),0)</f>
        <v>3060520</v>
      </c>
      <c r="M80" s="1659">
        <f>VLOOKUP(D80,'Biểu 1 TH CÔNG'!$C$11:$AI$88,33,0)</f>
        <v>24</v>
      </c>
      <c r="N80" s="1659">
        <f>VLOOKUP(D80,'Biểu 1 TH CÔNG'!$C$11:$AJ$88,34,0)</f>
        <v>4</v>
      </c>
      <c r="O80" s="246">
        <f>VLOOKUP(D80,'Biểu 1 TH CÔNG'!$C$11:$AL$88,36,0)</f>
        <v>1</v>
      </c>
      <c r="P80" s="1659">
        <f>VLOOKUP(D80,'Biểu 1 TH CÔNG'!$C$11:$AO$88,39,0)</f>
        <v>29</v>
      </c>
      <c r="Q80" s="1753"/>
      <c r="R80" s="1658">
        <f t="shared" ref="R80:R94" si="7">ROUND(((M80*46.1*$F$8)+(N80*76.9*$F$8)+(O80*76.9*2*$F$8)+(P80*20000)+(Q80*30.7*$F$8)),0)</f>
        <v>1628607</v>
      </c>
      <c r="S80" s="715">
        <f t="shared" ref="S80:S94" si="8">+L80+G80+R80</f>
        <v>4689127</v>
      </c>
      <c r="T80" s="716"/>
      <c r="U80" s="716">
        <f t="shared" ref="U80:U94" si="9">S80-T80</f>
        <v>4689127</v>
      </c>
    </row>
    <row r="81" spans="1:24" s="540" customFormat="1" ht="26.25" customHeight="1">
      <c r="A81" s="132">
        <v>67</v>
      </c>
      <c r="B81" s="132">
        <v>32</v>
      </c>
      <c r="C81" s="245" t="s">
        <v>3276</v>
      </c>
      <c r="D81" s="135" t="s">
        <v>3233</v>
      </c>
      <c r="E81" s="134" t="s">
        <v>15</v>
      </c>
      <c r="F81" s="1669"/>
      <c r="G81" s="1663">
        <f t="shared" si="5"/>
        <v>0</v>
      </c>
      <c r="H81" s="552">
        <f>VLOOKUP(D81,'Biểu 2 TH MỦ TẠP'!$C$11:$AI$88,33,0)</f>
        <v>1523</v>
      </c>
      <c r="I81" s="552" t="e">
        <f>VLOOKUP(D81,#REF!,7,0)</f>
        <v>#REF!</v>
      </c>
      <c r="J81" s="552">
        <f>VLOOKUP(D81,'Biểu 2 TH MỦ TẠP'!$C$11:$AK$88,35,0)</f>
        <v>731.88051476300006</v>
      </c>
      <c r="K81" s="1659" t="str">
        <f>VLOOKUP(D81,'Biểu 2 TH MỦ TẠP'!$C$11:$AL$88,36,0)</f>
        <v>A</v>
      </c>
      <c r="L81" s="1658">
        <f t="shared" si="6"/>
        <v>2986017</v>
      </c>
      <c r="M81" s="1659">
        <f>VLOOKUP(D81,'Biểu 1 TH CÔNG'!$C$11:$AI$88,33,0)</f>
        <v>24</v>
      </c>
      <c r="N81" s="1659">
        <f>VLOOKUP(D81,'Biểu 1 TH CÔNG'!$C$11:$AJ$88,34,0)</f>
        <v>4</v>
      </c>
      <c r="O81" s="246">
        <f>VLOOKUP(D81,'Biểu 1 TH CÔNG'!$C$11:$AL$88,36,0)</f>
        <v>1</v>
      </c>
      <c r="P81" s="1659">
        <f>VLOOKUP(D81,'Biểu 1 TH CÔNG'!$C$11:$AO$88,39,0)</f>
        <v>29</v>
      </c>
      <c r="Q81" s="1753"/>
      <c r="R81" s="1658">
        <f t="shared" si="7"/>
        <v>1628607</v>
      </c>
      <c r="S81" s="715">
        <f t="shared" si="8"/>
        <v>4614624</v>
      </c>
      <c r="T81" s="716"/>
      <c r="U81" s="716">
        <f t="shared" si="9"/>
        <v>4614624</v>
      </c>
    </row>
    <row r="82" spans="1:24" s="540" customFormat="1" ht="26.25" customHeight="1">
      <c r="A82" s="132">
        <v>68</v>
      </c>
      <c r="B82" s="132">
        <v>33</v>
      </c>
      <c r="C82" s="245" t="s">
        <v>3277</v>
      </c>
      <c r="D82" s="135" t="s">
        <v>3234</v>
      </c>
      <c r="E82" s="134" t="s">
        <v>15</v>
      </c>
      <c r="F82" s="1669"/>
      <c r="G82" s="1663">
        <f t="shared" si="5"/>
        <v>0</v>
      </c>
      <c r="H82" s="552">
        <f>VLOOKUP(D82,'Biểu 2 TH MỦ TẠP'!$C$11:$AI$88,33,0)</f>
        <v>1534</v>
      </c>
      <c r="I82" s="552" t="e">
        <f>VLOOKUP(D82,#REF!,7,0)</f>
        <v>#REF!</v>
      </c>
      <c r="J82" s="552">
        <f>VLOOKUP(D82,'Biểu 2 TH MỦ TẠP'!$C$11:$AK$88,35,0)</f>
        <v>737.16658545400003</v>
      </c>
      <c r="K82" s="1659" t="str">
        <f>VLOOKUP(D82,'Biểu 2 TH MỦ TẠP'!$C$11:$AL$88,36,0)</f>
        <v>A</v>
      </c>
      <c r="L82" s="1658">
        <f t="shared" si="6"/>
        <v>3007584</v>
      </c>
      <c r="M82" s="1659">
        <f>VLOOKUP(D82,'Biểu 1 TH CÔNG'!$C$11:$AI$88,33,0)</f>
        <v>24</v>
      </c>
      <c r="N82" s="1659">
        <f>VLOOKUP(D82,'Biểu 1 TH CÔNG'!$C$11:$AJ$88,34,0)</f>
        <v>4</v>
      </c>
      <c r="O82" s="246">
        <f>VLOOKUP(D82,'Biểu 1 TH CÔNG'!$C$11:$AL$88,36,0)</f>
        <v>1</v>
      </c>
      <c r="P82" s="1659">
        <f>VLOOKUP(D82,'Biểu 1 TH CÔNG'!$C$11:$AO$88,39,0)</f>
        <v>29</v>
      </c>
      <c r="Q82" s="1753"/>
      <c r="R82" s="1658">
        <f t="shared" si="7"/>
        <v>1628607</v>
      </c>
      <c r="S82" s="715">
        <f t="shared" si="8"/>
        <v>4636191</v>
      </c>
      <c r="T82" s="716"/>
      <c r="U82" s="716">
        <f t="shared" si="9"/>
        <v>4636191</v>
      </c>
    </row>
    <row r="83" spans="1:24" s="540" customFormat="1" ht="26.25" customHeight="1">
      <c r="A83" s="132">
        <v>69</v>
      </c>
      <c r="B83" s="132">
        <v>34</v>
      </c>
      <c r="C83" s="245" t="s">
        <v>3278</v>
      </c>
      <c r="D83" s="135" t="s">
        <v>3235</v>
      </c>
      <c r="E83" s="134" t="s">
        <v>15</v>
      </c>
      <c r="F83" s="1669"/>
      <c r="G83" s="1663">
        <f t="shared" si="5"/>
        <v>0</v>
      </c>
      <c r="H83" s="552">
        <f>VLOOKUP(D83,'Biểu 2 TH MỦ TẠP'!$C$11:$AI$88,33,0)</f>
        <v>1789</v>
      </c>
      <c r="I83" s="552" t="e">
        <f>VLOOKUP(D83,#REF!,7,0)</f>
        <v>#REF!</v>
      </c>
      <c r="J83" s="552">
        <f>VLOOKUP(D83,'Biểu 2 TH MỦ TẠP'!$C$11:$AK$88,35,0)</f>
        <v>859.70731510900009</v>
      </c>
      <c r="K83" s="1659" t="str">
        <f>VLOOKUP(D83,'Biểu 2 TH MỦ TẠP'!$C$11:$AL$88,36,0)</f>
        <v>A</v>
      </c>
      <c r="L83" s="1658">
        <f t="shared" si="6"/>
        <v>3507541</v>
      </c>
      <c r="M83" s="1659">
        <f>VLOOKUP(D83,'Biểu 1 TH CÔNG'!$C$11:$AI$88,33,0)</f>
        <v>24</v>
      </c>
      <c r="N83" s="1659">
        <f>VLOOKUP(D83,'Biểu 1 TH CÔNG'!$C$11:$AJ$88,34,0)</f>
        <v>4</v>
      </c>
      <c r="O83" s="246">
        <f>VLOOKUP(D83,'Biểu 1 TH CÔNG'!$C$11:$AL$88,36,0)</f>
        <v>1</v>
      </c>
      <c r="P83" s="1659">
        <f>VLOOKUP(D83,'Biểu 1 TH CÔNG'!$C$11:$AO$88,39,0)</f>
        <v>29</v>
      </c>
      <c r="Q83" s="1753"/>
      <c r="R83" s="1658">
        <f t="shared" si="7"/>
        <v>1628607</v>
      </c>
      <c r="S83" s="715">
        <f t="shared" si="8"/>
        <v>5136148</v>
      </c>
      <c r="T83" s="716"/>
      <c r="U83" s="716">
        <f t="shared" si="9"/>
        <v>5136148</v>
      </c>
    </row>
    <row r="84" spans="1:24" s="540" customFormat="1" ht="26.25" customHeight="1">
      <c r="A84" s="132">
        <v>70</v>
      </c>
      <c r="B84" s="132">
        <v>35</v>
      </c>
      <c r="C84" s="1643" t="s">
        <v>3279</v>
      </c>
      <c r="D84" s="135" t="s">
        <v>3236</v>
      </c>
      <c r="E84" s="134" t="s">
        <v>15</v>
      </c>
      <c r="F84" s="1669"/>
      <c r="G84" s="1663">
        <f t="shared" si="5"/>
        <v>0</v>
      </c>
      <c r="H84" s="552">
        <f>VLOOKUP(D84,'Biểu 2 TH MỦ TẠP'!$C$11:$AI$88,33,0)</f>
        <v>1805</v>
      </c>
      <c r="I84" s="552" t="e">
        <f>VLOOKUP(D84,#REF!,7,0)</f>
        <v>#REF!</v>
      </c>
      <c r="J84" s="552">
        <f>VLOOKUP(D84,'Biểu 2 TH MỦ TẠP'!$C$11:$AK$88,35,0)</f>
        <v>867.39614520500004</v>
      </c>
      <c r="K84" s="1659" t="str">
        <f>VLOOKUP(D84,'Biểu 2 TH MỦ TẠP'!$C$11:$AL$88,36,0)</f>
        <v>A</v>
      </c>
      <c r="L84" s="1658">
        <f t="shared" si="6"/>
        <v>3538910</v>
      </c>
      <c r="M84" s="1659">
        <f>VLOOKUP(D84,'Biểu 1 TH CÔNG'!$C$11:$AI$88,33,0)</f>
        <v>24</v>
      </c>
      <c r="N84" s="1659">
        <f>VLOOKUP(D84,'Biểu 1 TH CÔNG'!$C$11:$AJ$88,34,0)</f>
        <v>4</v>
      </c>
      <c r="O84" s="246">
        <f>VLOOKUP(D84,'Biểu 1 TH CÔNG'!$C$11:$AL$88,36,0)</f>
        <v>1</v>
      </c>
      <c r="P84" s="1659">
        <f>VLOOKUP(D84,'Biểu 1 TH CÔNG'!$C$11:$AO$88,39,0)</f>
        <v>29</v>
      </c>
      <c r="Q84" s="1753"/>
      <c r="R84" s="1658">
        <f t="shared" si="7"/>
        <v>1628607</v>
      </c>
      <c r="S84" s="715">
        <f t="shared" si="8"/>
        <v>5167517</v>
      </c>
      <c r="T84" s="716"/>
      <c r="U84" s="716">
        <f t="shared" si="9"/>
        <v>5167517</v>
      </c>
    </row>
    <row r="85" spans="1:24" s="540" customFormat="1" ht="26.25" customHeight="1">
      <c r="A85" s="132">
        <v>71</v>
      </c>
      <c r="B85" s="132">
        <v>36</v>
      </c>
      <c r="C85" s="1643" t="s">
        <v>3280</v>
      </c>
      <c r="D85" s="135" t="s">
        <v>3237</v>
      </c>
      <c r="E85" s="134" t="s">
        <v>15</v>
      </c>
      <c r="F85" s="1669"/>
      <c r="G85" s="1663">
        <f t="shared" si="5"/>
        <v>0</v>
      </c>
      <c r="H85" s="552">
        <f>VLOOKUP(D85,'Biểu 2 TH MỦ TẠP'!$C$11:$AI$88,33,0)</f>
        <v>1752</v>
      </c>
      <c r="I85" s="552" t="e">
        <f>VLOOKUP(D85,#REF!,7,0)</f>
        <v>#REF!</v>
      </c>
      <c r="J85" s="552">
        <f>VLOOKUP(D85,'Biểu 2 TH MỦ TẠP'!$C$11:$AK$88,35,0)</f>
        <v>841.9268955120001</v>
      </c>
      <c r="K85" s="1659" t="str">
        <f>VLOOKUP(D85,'Biểu 2 TH MỦ TẠP'!$C$11:$AL$88,36,0)</f>
        <v>B</v>
      </c>
      <c r="L85" s="1658">
        <f t="shared" si="6"/>
        <v>3266063</v>
      </c>
      <c r="M85" s="1659">
        <f>VLOOKUP(D85,'Biểu 1 TH CÔNG'!$C$11:$AI$88,33,0)</f>
        <v>24</v>
      </c>
      <c r="N85" s="1659">
        <f>VLOOKUP(D85,'Biểu 1 TH CÔNG'!$C$11:$AJ$88,34,0)</f>
        <v>4</v>
      </c>
      <c r="O85" s="246">
        <f>VLOOKUP(D85,'Biểu 1 TH CÔNG'!$C$11:$AL$88,36,0)</f>
        <v>1</v>
      </c>
      <c r="P85" s="1659">
        <f>VLOOKUP(D85,'Biểu 1 TH CÔNG'!$C$11:$AO$88,39,0)</f>
        <v>29</v>
      </c>
      <c r="Q85" s="1753"/>
      <c r="R85" s="1658">
        <f t="shared" si="7"/>
        <v>1628607</v>
      </c>
      <c r="S85" s="715">
        <f t="shared" si="8"/>
        <v>4894670</v>
      </c>
      <c r="T85" s="716"/>
      <c r="U85" s="716">
        <f t="shared" si="9"/>
        <v>4894670</v>
      </c>
    </row>
    <row r="86" spans="1:24" s="540" customFormat="1" ht="26.25" customHeight="1">
      <c r="A86" s="132">
        <v>72</v>
      </c>
      <c r="B86" s="132">
        <v>37</v>
      </c>
      <c r="C86" s="1643" t="s">
        <v>3281</v>
      </c>
      <c r="D86" s="135" t="s">
        <v>3238</v>
      </c>
      <c r="E86" s="134" t="s">
        <v>15</v>
      </c>
      <c r="F86" s="1669"/>
      <c r="G86" s="1663">
        <f t="shared" si="5"/>
        <v>0</v>
      </c>
      <c r="H86" s="552">
        <f>VLOOKUP(D86,'Biểu 2 TH MỦ TẠP'!$C$11:$AI$88,33,0)</f>
        <v>1765</v>
      </c>
      <c r="I86" s="552" t="e">
        <f>VLOOKUP(D86,#REF!,7,0)</f>
        <v>#REF!</v>
      </c>
      <c r="J86" s="552">
        <f>VLOOKUP(D86,'Biểu 2 TH MỦ TẠP'!$C$11:$AK$88,35,0)</f>
        <v>848.17406996500006</v>
      </c>
      <c r="K86" s="1659" t="str">
        <f>VLOOKUP(D86,'Biểu 2 TH MỦ TẠP'!$C$11:$AL$88,36,0)</f>
        <v>A</v>
      </c>
      <c r="L86" s="1658">
        <f t="shared" si="6"/>
        <v>3460486</v>
      </c>
      <c r="M86" s="1659">
        <f>VLOOKUP(D86,'Biểu 1 TH CÔNG'!$C$11:$AI$88,33,0)</f>
        <v>24</v>
      </c>
      <c r="N86" s="1659">
        <f>VLOOKUP(D86,'Biểu 1 TH CÔNG'!$C$11:$AJ$88,34,0)</f>
        <v>4</v>
      </c>
      <c r="O86" s="246">
        <f>VLOOKUP(D86,'Biểu 1 TH CÔNG'!$C$11:$AL$88,36,0)</f>
        <v>1</v>
      </c>
      <c r="P86" s="1659">
        <f>VLOOKUP(D86,'Biểu 1 TH CÔNG'!$C$11:$AO$88,39,0)</f>
        <v>29</v>
      </c>
      <c r="Q86" s="1753"/>
      <c r="R86" s="1658">
        <f t="shared" si="7"/>
        <v>1628607</v>
      </c>
      <c r="S86" s="715">
        <f t="shared" si="8"/>
        <v>5089093</v>
      </c>
      <c r="T86" s="716"/>
      <c r="U86" s="716">
        <f t="shared" si="9"/>
        <v>5089093</v>
      </c>
    </row>
    <row r="87" spans="1:24" s="540" customFormat="1" ht="26.25" customHeight="1">
      <c r="A87" s="132">
        <v>73</v>
      </c>
      <c r="B87" s="132">
        <v>38</v>
      </c>
      <c r="C87" s="1643" t="s">
        <v>3282</v>
      </c>
      <c r="D87" s="135" t="s">
        <v>3239</v>
      </c>
      <c r="E87" s="134" t="s">
        <v>15</v>
      </c>
      <c r="F87" s="1669"/>
      <c r="G87" s="1663">
        <f t="shared" si="5"/>
        <v>0</v>
      </c>
      <c r="H87" s="552">
        <f>VLOOKUP(D87,'Biểu 2 TH MỦ TẠP'!$C$11:$AI$88,33,0)</f>
        <v>2606</v>
      </c>
      <c r="I87" s="552" t="e">
        <f>VLOOKUP(D87,#REF!,7,0)</f>
        <v>#REF!</v>
      </c>
      <c r="J87" s="552">
        <f>VLOOKUP(D87,'Biểu 2 TH MỦ TẠP'!$C$11:$AK$88,35,0)</f>
        <v>1252.318201886</v>
      </c>
      <c r="K87" s="1659" t="str">
        <f>VLOOKUP(D87,'Biểu 2 TH MỦ TẠP'!$C$11:$AL$88,36,0)</f>
        <v>B</v>
      </c>
      <c r="L87" s="1658">
        <f t="shared" si="6"/>
        <v>4858083</v>
      </c>
      <c r="M87" s="1659">
        <f>VLOOKUP(D87,'Biểu 1 TH CÔNG'!$C$11:$AI$88,33,0)</f>
        <v>24</v>
      </c>
      <c r="N87" s="1659">
        <f>VLOOKUP(D87,'Biểu 1 TH CÔNG'!$C$11:$AJ$88,34,0)</f>
        <v>4</v>
      </c>
      <c r="O87" s="246">
        <f>VLOOKUP(D87,'Biểu 1 TH CÔNG'!$C$11:$AL$88,36,0)</f>
        <v>1</v>
      </c>
      <c r="P87" s="1659">
        <f>VLOOKUP(D87,'Biểu 1 TH CÔNG'!$C$11:$AO$88,39,0)</f>
        <v>29</v>
      </c>
      <c r="Q87" s="1753">
        <f>+VLOOKUP(D87,'Phu cấp cây non'!$B$12:$AH$17,33,0)</f>
        <v>29</v>
      </c>
      <c r="R87" s="1658">
        <f t="shared" si="7"/>
        <v>2224076</v>
      </c>
      <c r="S87" s="715">
        <f t="shared" si="8"/>
        <v>7082159</v>
      </c>
      <c r="T87" s="716"/>
      <c r="U87" s="716">
        <f t="shared" si="9"/>
        <v>7082159</v>
      </c>
    </row>
    <row r="88" spans="1:24" s="540" customFormat="1" ht="26.25" customHeight="1">
      <c r="A88" s="132">
        <v>74</v>
      </c>
      <c r="B88" s="132">
        <v>39</v>
      </c>
      <c r="C88" s="1643" t="s">
        <v>3283</v>
      </c>
      <c r="D88" s="135" t="s">
        <v>3240</v>
      </c>
      <c r="E88" s="134" t="s">
        <v>15</v>
      </c>
      <c r="F88" s="1669"/>
      <c r="G88" s="1663">
        <f t="shared" si="5"/>
        <v>0</v>
      </c>
      <c r="H88" s="552">
        <f>VLOOKUP(D88,'Biểu 2 TH MỦ TẠP'!$C$11:$AI$88,33,0)</f>
        <v>2623</v>
      </c>
      <c r="I88" s="552" t="e">
        <f>VLOOKUP(D88,#REF!,7,0)</f>
        <v>#REF!</v>
      </c>
      <c r="J88" s="552">
        <f>VLOOKUP(D88,'Biểu 2 TH MỦ TẠP'!$C$11:$AK$88,35,0)</f>
        <v>1260.4875838630001</v>
      </c>
      <c r="K88" s="1659" t="str">
        <f>VLOOKUP(D88,'Biểu 2 TH MỦ TẠP'!$C$11:$AL$88,36,0)</f>
        <v>B</v>
      </c>
      <c r="L88" s="1658">
        <f t="shared" si="6"/>
        <v>4889774</v>
      </c>
      <c r="M88" s="1659">
        <f>VLOOKUP(D88,'Biểu 1 TH CÔNG'!$C$11:$AI$88,33,0)</f>
        <v>24</v>
      </c>
      <c r="N88" s="1659">
        <f>VLOOKUP(D88,'Biểu 1 TH CÔNG'!$C$11:$AJ$88,34,0)</f>
        <v>4</v>
      </c>
      <c r="O88" s="246">
        <f>VLOOKUP(D88,'Biểu 1 TH CÔNG'!$C$11:$AL$88,36,0)</f>
        <v>1</v>
      </c>
      <c r="P88" s="1659">
        <f>VLOOKUP(D88,'Biểu 1 TH CÔNG'!$C$11:$AO$88,39,0)</f>
        <v>29</v>
      </c>
      <c r="Q88" s="1753">
        <f>+VLOOKUP(D88,'Phu cấp cây non'!$B$12:$AH$17,33,0)</f>
        <v>29</v>
      </c>
      <c r="R88" s="1658">
        <f t="shared" si="7"/>
        <v>2224076</v>
      </c>
      <c r="S88" s="715">
        <f t="shared" si="8"/>
        <v>7113850</v>
      </c>
      <c r="T88" s="716"/>
      <c r="U88" s="716">
        <f t="shared" si="9"/>
        <v>7113850</v>
      </c>
    </row>
    <row r="89" spans="1:24" s="540" customFormat="1" ht="26.25" customHeight="1">
      <c r="A89" s="132">
        <v>75</v>
      </c>
      <c r="B89" s="132">
        <v>40</v>
      </c>
      <c r="C89" s="1643" t="s">
        <v>3284</v>
      </c>
      <c r="D89" s="135" t="s">
        <v>3241</v>
      </c>
      <c r="E89" s="134" t="s">
        <v>15</v>
      </c>
      <c r="F89" s="1669"/>
      <c r="G89" s="1663">
        <f t="shared" si="5"/>
        <v>0</v>
      </c>
      <c r="H89" s="552">
        <f>VLOOKUP(D89,'Biểu 2 TH MỦ TẠP'!$C$11:$AI$88,33,0)</f>
        <v>2331</v>
      </c>
      <c r="I89" s="552" t="e">
        <f>VLOOKUP(D89,#REF!,7,0)</f>
        <v>#REF!</v>
      </c>
      <c r="J89" s="552">
        <f>VLOOKUP(D89,'Biểu 2 TH MỦ TẠP'!$C$11:$AK$88,35,0)</f>
        <v>1120.1664346110001</v>
      </c>
      <c r="K89" s="1659" t="str">
        <f>VLOOKUP(D89,'Biểu 2 TH MỦ TẠP'!$C$11:$AL$88,36,0)</f>
        <v>B</v>
      </c>
      <c r="L89" s="1658">
        <f t="shared" si="6"/>
        <v>4345430</v>
      </c>
      <c r="M89" s="1659">
        <f>VLOOKUP(D89,'Biểu 1 TH CÔNG'!$C$11:$AI$88,33,0)</f>
        <v>24</v>
      </c>
      <c r="N89" s="1659">
        <f>VLOOKUP(D89,'Biểu 1 TH CÔNG'!$C$11:$AJ$88,34,0)</f>
        <v>4</v>
      </c>
      <c r="O89" s="246">
        <f>VLOOKUP(D89,'Biểu 1 TH CÔNG'!$C$11:$AL$88,36,0)</f>
        <v>1</v>
      </c>
      <c r="P89" s="1659">
        <f>VLOOKUP(D89,'Biểu 1 TH CÔNG'!$C$11:$AO$88,39,0)</f>
        <v>29</v>
      </c>
      <c r="Q89" s="1753">
        <f>+VLOOKUP(D89,'Phu cấp cây non'!$B$12:$AH$17,33,0)</f>
        <v>29</v>
      </c>
      <c r="R89" s="1658">
        <f t="shared" si="7"/>
        <v>2224076</v>
      </c>
      <c r="S89" s="715">
        <f t="shared" si="8"/>
        <v>6569506</v>
      </c>
      <c r="T89" s="716"/>
      <c r="U89" s="716">
        <f t="shared" si="9"/>
        <v>6569506</v>
      </c>
    </row>
    <row r="90" spans="1:24" s="540" customFormat="1" ht="26.25" customHeight="1">
      <c r="A90" s="132">
        <v>76</v>
      </c>
      <c r="B90" s="132">
        <v>41</v>
      </c>
      <c r="C90" s="1643" t="s">
        <v>3285</v>
      </c>
      <c r="D90" s="135" t="s">
        <v>3242</v>
      </c>
      <c r="E90" s="134" t="s">
        <v>15</v>
      </c>
      <c r="F90" s="1669"/>
      <c r="G90" s="1663">
        <f t="shared" si="5"/>
        <v>0</v>
      </c>
      <c r="H90" s="552">
        <f>VLOOKUP(D90,'Biểu 2 TH MỦ TẠP'!$C$11:$AI$88,33,0)</f>
        <v>2339</v>
      </c>
      <c r="I90" s="552" t="e">
        <f>VLOOKUP(D90,#REF!,7,0)</f>
        <v>#REF!</v>
      </c>
      <c r="J90" s="552">
        <v>1123.8606766309474</v>
      </c>
      <c r="K90" s="1659" t="str">
        <f>VLOOKUP(D90,'Biểu 2 TH MỦ TẠP'!$C$11:$AL$88,36,0)</f>
        <v>B</v>
      </c>
      <c r="L90" s="1658">
        <f t="shared" si="6"/>
        <v>4359761</v>
      </c>
      <c r="M90" s="1659">
        <f>VLOOKUP(D90,'Biểu 1 TH CÔNG'!$C$11:$AI$88,33,0)</f>
        <v>24</v>
      </c>
      <c r="N90" s="1659">
        <f>VLOOKUP(D90,'Biểu 1 TH CÔNG'!$C$11:$AJ$88,34,0)</f>
        <v>4</v>
      </c>
      <c r="O90" s="246">
        <f>VLOOKUP(D90,'Biểu 1 TH CÔNG'!$C$11:$AL$88,36,0)</f>
        <v>1</v>
      </c>
      <c r="P90" s="1659">
        <f>VLOOKUP(D90,'Biểu 1 TH CÔNG'!$C$11:$AO$88,39,0)</f>
        <v>29</v>
      </c>
      <c r="Q90" s="1753">
        <f>+VLOOKUP(D90,'Phu cấp cây non'!$B$12:$AH$17,33,0)</f>
        <v>29</v>
      </c>
      <c r="R90" s="1658">
        <f t="shared" si="7"/>
        <v>2224076</v>
      </c>
      <c r="S90" s="715">
        <f t="shared" si="8"/>
        <v>6583837</v>
      </c>
      <c r="T90" s="716"/>
      <c r="U90" s="716">
        <f t="shared" si="9"/>
        <v>6583837</v>
      </c>
    </row>
    <row r="91" spans="1:24" s="540" customFormat="1" ht="26.25" customHeight="1">
      <c r="A91" s="132">
        <v>77</v>
      </c>
      <c r="B91" s="132">
        <v>42</v>
      </c>
      <c r="C91" s="1643" t="s">
        <v>3286</v>
      </c>
      <c r="D91" s="135" t="s">
        <v>3243</v>
      </c>
      <c r="E91" s="134" t="s">
        <v>15</v>
      </c>
      <c r="F91" s="1669"/>
      <c r="G91" s="1663">
        <f t="shared" si="5"/>
        <v>0</v>
      </c>
      <c r="H91" s="552">
        <f>VLOOKUP(D91,'Biểu 2 TH MỦ TẠP'!$C$11:$AI$88,33,0)</f>
        <v>1881</v>
      </c>
      <c r="I91" s="552" t="e">
        <f>VLOOKUP(D91,#REF!,7,0)</f>
        <v>#REF!</v>
      </c>
      <c r="J91" s="552">
        <v>903.77180289345722</v>
      </c>
      <c r="K91" s="1659" t="str">
        <f>VLOOKUP(D91,'Biểu 2 TH MỦ TẠP'!$C$11:$AL$88,36,0)</f>
        <v>A</v>
      </c>
      <c r="L91" s="1658">
        <f t="shared" si="6"/>
        <v>3687320</v>
      </c>
      <c r="M91" s="1659">
        <f>VLOOKUP(D91,'Biểu 1 TH CÔNG'!$C$11:$AI$88,33,0)</f>
        <v>24</v>
      </c>
      <c r="N91" s="1659">
        <f>VLOOKUP(D91,'Biểu 1 TH CÔNG'!$C$11:$AJ$88,34,0)</f>
        <v>4</v>
      </c>
      <c r="O91" s="246">
        <f>VLOOKUP(D91,'Biểu 1 TH CÔNG'!$C$11:$AL$88,36,0)</f>
        <v>1</v>
      </c>
      <c r="P91" s="1659">
        <f>VLOOKUP(D91,'Biểu 1 TH CÔNG'!$C$11:$AO$88,39,0)</f>
        <v>29</v>
      </c>
      <c r="Q91" s="1753">
        <f>+VLOOKUP(D91,'Phu cấp cây non'!$B$12:$AH$17,33,0)</f>
        <v>29</v>
      </c>
      <c r="R91" s="1658">
        <f t="shared" si="7"/>
        <v>2224076</v>
      </c>
      <c r="S91" s="715">
        <f t="shared" si="8"/>
        <v>5911396</v>
      </c>
      <c r="T91" s="716"/>
      <c r="U91" s="716">
        <f t="shared" si="9"/>
        <v>5911396</v>
      </c>
    </row>
    <row r="92" spans="1:24" s="540" customFormat="1" ht="26.25" customHeight="1">
      <c r="A92" s="132">
        <v>78</v>
      </c>
      <c r="B92" s="132">
        <v>43</v>
      </c>
      <c r="C92" s="245" t="s">
        <v>3287</v>
      </c>
      <c r="D92" s="135" t="s">
        <v>3244</v>
      </c>
      <c r="E92" s="134" t="s">
        <v>15</v>
      </c>
      <c r="F92" s="1669"/>
      <c r="G92" s="1663">
        <f t="shared" si="5"/>
        <v>0</v>
      </c>
      <c r="H92" s="552">
        <f>VLOOKUP(D92,'Biểu 2 TH MỦ TẠP'!$C$11:$AI$88,33,0)</f>
        <v>1878</v>
      </c>
      <c r="I92" s="552"/>
      <c r="J92" s="552">
        <f>VLOOKUP(D92,'Biểu 2 TH MỦ TẠP'!$C$11:$AK$88,35,0)</f>
        <v>902.47643251800002</v>
      </c>
      <c r="K92" s="1659" t="str">
        <f>VLOOKUP(D92,'Biểu 2 TH MỦ TẠP'!$C$11:$AL$88,36,0)</f>
        <v>A</v>
      </c>
      <c r="L92" s="1658">
        <f>ROUND((IF(K92="A",(J92*6.1),IF(K92="B",(J92*5.8),IF(K92="C",(J92*5.5),IF(K92="D",(J92*5.2),0))))*$F$8),0)</f>
        <v>3682035</v>
      </c>
      <c r="M92" s="1659">
        <f>VLOOKUP(D92,'Biểu 1 TH CÔNG'!$C$11:$AI$88,33,0)</f>
        <v>24</v>
      </c>
      <c r="N92" s="1659">
        <f>VLOOKUP(D92,'Biểu 1 TH CÔNG'!$C$11:$AJ$88,34,0)</f>
        <v>4</v>
      </c>
      <c r="O92" s="246">
        <f>VLOOKUP(D92,'Biểu 1 TH CÔNG'!$C$11:$AL$88,36,0)</f>
        <v>1</v>
      </c>
      <c r="P92" s="1659">
        <f>VLOOKUP(D92,'Biểu 1 TH CÔNG'!$C$11:$AO$88,39,0)</f>
        <v>29</v>
      </c>
      <c r="Q92" s="1753">
        <f>+VLOOKUP(D92,'Phu cấp cây non'!$B$12:$AH$17,33,0)</f>
        <v>29</v>
      </c>
      <c r="R92" s="1658">
        <f>ROUND(((M92*46.1*$F$8)+(N92*76.9*$F$8)+(O92*76.9*2*$F$8)+(P92*20000)+(Q92*30.7*$F$8)),0)+4</f>
        <v>2224080</v>
      </c>
      <c r="S92" s="715">
        <f t="shared" si="8"/>
        <v>5906115</v>
      </c>
      <c r="T92" s="716"/>
      <c r="U92" s="716">
        <f t="shared" si="9"/>
        <v>5906115</v>
      </c>
      <c r="X92" s="540">
        <v>254122369</v>
      </c>
    </row>
    <row r="93" spans="1:24" s="540" customFormat="1" ht="26.25" customHeight="1">
      <c r="A93" s="132">
        <v>79</v>
      </c>
      <c r="B93" s="132">
        <v>44</v>
      </c>
      <c r="C93" s="245"/>
      <c r="D93" s="135" t="s">
        <v>3365</v>
      </c>
      <c r="E93" s="134" t="s">
        <v>3322</v>
      </c>
      <c r="F93" s="1669"/>
      <c r="G93" s="1663">
        <f t="shared" si="5"/>
        <v>0</v>
      </c>
      <c r="H93" s="552"/>
      <c r="I93" s="552"/>
      <c r="J93" s="552"/>
      <c r="K93" s="1659"/>
      <c r="L93" s="1658">
        <f t="shared" ref="L93:L94" si="10">ROUND((IF(K93="A",(J93*6.1),IF(K93="B",(J93*5.8),IF(K93="C",(J93*5.5),IF(K93="D",(J93*5.2),0))))*$F$8),0)</f>
        <v>0</v>
      </c>
      <c r="M93" s="1659"/>
      <c r="N93" s="1659"/>
      <c r="O93" s="246"/>
      <c r="P93" s="1659"/>
      <c r="Q93" s="1753"/>
      <c r="R93" s="1658">
        <f t="shared" si="7"/>
        <v>0</v>
      </c>
      <c r="S93" s="715">
        <f t="shared" si="8"/>
        <v>0</v>
      </c>
      <c r="T93" s="716"/>
      <c r="U93" s="716">
        <f t="shared" si="9"/>
        <v>0</v>
      </c>
      <c r="X93" s="559">
        <f>+X92-L95</f>
        <v>1196</v>
      </c>
    </row>
    <row r="94" spans="1:24" s="540" customFormat="1" ht="26.25" customHeight="1">
      <c r="A94" s="132">
        <v>80</v>
      </c>
      <c r="B94" s="132">
        <v>45</v>
      </c>
      <c r="C94" s="245"/>
      <c r="D94" s="135" t="s">
        <v>3326</v>
      </c>
      <c r="E94" s="134" t="s">
        <v>3322</v>
      </c>
      <c r="F94" s="1669"/>
      <c r="G94" s="1663">
        <f t="shared" si="5"/>
        <v>0</v>
      </c>
      <c r="H94" s="552"/>
      <c r="I94" s="552"/>
      <c r="J94" s="552"/>
      <c r="K94" s="1659"/>
      <c r="L94" s="1658">
        <f t="shared" si="10"/>
        <v>0</v>
      </c>
      <c r="M94" s="1659"/>
      <c r="N94" s="1659"/>
      <c r="O94" s="246"/>
      <c r="P94" s="1659"/>
      <c r="Q94" s="1753"/>
      <c r="R94" s="1658">
        <f t="shared" si="7"/>
        <v>0</v>
      </c>
      <c r="S94" s="715">
        <f t="shared" si="8"/>
        <v>0</v>
      </c>
      <c r="T94" s="716"/>
      <c r="U94" s="716">
        <f t="shared" si="9"/>
        <v>0</v>
      </c>
      <c r="W94" s="735"/>
    </row>
    <row r="95" spans="1:24" s="541" customFormat="1" ht="26.25" customHeight="1">
      <c r="A95" s="2749" t="s">
        <v>2817</v>
      </c>
      <c r="B95" s="2750"/>
      <c r="C95" s="2750"/>
      <c r="D95" s="2750"/>
      <c r="E95" s="2751"/>
      <c r="F95" s="1670">
        <f>SUM(F15:F94)</f>
        <v>0</v>
      </c>
      <c r="G95" s="717">
        <f>SUM(G15:G94)</f>
        <v>0</v>
      </c>
      <c r="H95" s="717">
        <f>SUM(H15:H94)</f>
        <v>133072</v>
      </c>
      <c r="I95" s="717" t="e">
        <f t="shared" ref="I95:K95" si="11">SUM(I15:I94)</f>
        <v>#REF!</v>
      </c>
      <c r="J95" s="717">
        <f t="shared" si="11"/>
        <v>63947.698976899337</v>
      </c>
      <c r="K95" s="717">
        <f t="shared" si="11"/>
        <v>0</v>
      </c>
      <c r="L95" s="717">
        <f>SUM(L15:L94)</f>
        <v>254121173</v>
      </c>
      <c r="M95" s="1660">
        <f t="shared" ref="M95:N95" si="12">SUM(M15:M94)</f>
        <v>1808</v>
      </c>
      <c r="N95" s="1660">
        <f t="shared" si="12"/>
        <v>329</v>
      </c>
      <c r="O95" s="1660">
        <f t="shared" ref="O95" si="13">SUM(O15:O94)</f>
        <v>43</v>
      </c>
      <c r="P95" s="1660">
        <f t="shared" ref="P95:R95" si="14">SUM(P15:P94)</f>
        <v>2180</v>
      </c>
      <c r="Q95" s="1660">
        <f>SUM(Q15:Q94)</f>
        <v>174</v>
      </c>
      <c r="R95" s="717">
        <f t="shared" si="14"/>
        <v>124264846</v>
      </c>
      <c r="S95" s="717">
        <f t="shared" ref="S95" si="15">SUM(S15:S94)</f>
        <v>378386019</v>
      </c>
      <c r="T95" s="717">
        <f t="shared" ref="T95:U95" si="16">SUM(T15:T94)</f>
        <v>0</v>
      </c>
      <c r="U95" s="717">
        <f t="shared" si="16"/>
        <v>378386019</v>
      </c>
      <c r="W95" s="736">
        <f>G95+L95+R95</f>
        <v>378386019</v>
      </c>
      <c r="X95" s="737"/>
    </row>
    <row r="96" spans="1:24" s="541" customFormat="1" ht="26.25" customHeight="1">
      <c r="A96" s="2752" t="s">
        <v>3502</v>
      </c>
      <c r="B96" s="2752"/>
      <c r="C96" s="2752"/>
      <c r="D96" s="2752"/>
      <c r="E96" s="2752"/>
      <c r="F96" s="2752"/>
      <c r="G96" s="2752"/>
      <c r="H96" s="2752"/>
      <c r="I96" s="2752"/>
      <c r="J96" s="2752"/>
      <c r="K96" s="2752"/>
      <c r="L96" s="2752"/>
      <c r="M96" s="2752"/>
      <c r="N96" s="2752"/>
      <c r="O96" s="2752"/>
      <c r="P96" s="2752"/>
      <c r="Q96" s="2753"/>
      <c r="R96" s="2752"/>
      <c r="S96" s="2752"/>
      <c r="T96" s="2752"/>
      <c r="U96" s="2752"/>
      <c r="W96" s="736"/>
      <c r="X96" s="737"/>
    </row>
    <row r="97" spans="1:24" s="240" customFormat="1" ht="24" customHeight="1">
      <c r="A97" s="249"/>
      <c r="B97" s="249"/>
      <c r="C97" s="249"/>
      <c r="D97" s="250"/>
      <c r="F97" s="205"/>
      <c r="G97" s="610"/>
      <c r="H97" s="610"/>
      <c r="I97" s="727"/>
      <c r="J97" s="727"/>
      <c r="K97" s="728"/>
      <c r="L97" s="610"/>
      <c r="M97" s="1664"/>
      <c r="N97" s="1664"/>
      <c r="O97" s="1664"/>
      <c r="P97" s="2743" t="s">
        <v>3488</v>
      </c>
      <c r="Q97" s="2744"/>
      <c r="R97" s="2744"/>
      <c r="S97" s="2744"/>
      <c r="T97" s="2744"/>
      <c r="U97" s="2744"/>
      <c r="W97" s="738"/>
      <c r="X97" s="205"/>
    </row>
    <row r="98" spans="1:24" s="239" customFormat="1" ht="22.5" customHeight="1">
      <c r="A98" s="2459" t="s">
        <v>614</v>
      </c>
      <c r="B98" s="2459"/>
      <c r="C98" s="2459"/>
      <c r="D98" s="2459"/>
      <c r="E98" s="2459"/>
      <c r="F98" s="2459" t="s">
        <v>1921</v>
      </c>
      <c r="G98" s="2459"/>
      <c r="H98" s="2459" t="s">
        <v>616</v>
      </c>
      <c r="I98" s="2459"/>
      <c r="J98" s="2459"/>
      <c r="K98" s="2459"/>
      <c r="L98" s="2459"/>
      <c r="M98" s="1671" t="s">
        <v>2737</v>
      </c>
      <c r="N98" s="1671"/>
      <c r="O98" s="1671"/>
      <c r="P98" s="239" t="s">
        <v>3325</v>
      </c>
      <c r="S98" s="1671"/>
      <c r="T98" s="1671"/>
      <c r="U98" s="1671"/>
      <c r="W98" s="739"/>
      <c r="X98" s="740"/>
    </row>
    <row r="99" spans="1:24" s="240" customFormat="1" ht="16.5">
      <c r="A99" s="249"/>
      <c r="E99" s="718"/>
      <c r="F99" s="718"/>
      <c r="G99" s="719"/>
      <c r="H99" s="720"/>
      <c r="I99" s="729"/>
      <c r="J99" s="729"/>
      <c r="K99" s="1661"/>
      <c r="L99" s="263"/>
      <c r="M99" s="1661"/>
      <c r="N99" s="249"/>
      <c r="O99" s="249"/>
      <c r="P99" s="744"/>
      <c r="Q99" s="744"/>
      <c r="R99" s="741"/>
      <c r="S99" s="262"/>
      <c r="T99" s="262"/>
      <c r="U99" s="731"/>
      <c r="W99" s="738"/>
      <c r="X99" s="205"/>
    </row>
    <row r="100" spans="1:24" s="240" customFormat="1" ht="16.5">
      <c r="A100" s="249"/>
      <c r="E100" s="718"/>
      <c r="F100" s="718"/>
      <c r="G100" s="719"/>
      <c r="H100" s="720"/>
      <c r="I100" s="729"/>
      <c r="J100" s="729"/>
      <c r="K100" s="1661"/>
      <c r="L100" s="2745"/>
      <c r="M100" s="2745"/>
      <c r="N100" s="2745"/>
      <c r="O100" s="2745"/>
      <c r="P100" s="2745"/>
      <c r="Q100" s="730"/>
      <c r="R100" s="742"/>
      <c r="S100" s="262"/>
      <c r="T100" s="262"/>
      <c r="W100" s="738"/>
      <c r="X100" s="205"/>
    </row>
    <row r="101" spans="1:24" s="240" customFormat="1" ht="39.75" customHeight="1">
      <c r="A101" s="249"/>
      <c r="E101" s="262"/>
      <c r="F101" s="205"/>
      <c r="G101" s="719"/>
      <c r="H101" s="2746"/>
      <c r="I101" s="2746"/>
      <c r="J101" s="2746"/>
      <c r="K101" s="2745"/>
      <c r="L101" s="2745"/>
      <c r="M101" s="249"/>
      <c r="N101" s="1665"/>
      <c r="O101" s="1665"/>
      <c r="P101" s="1665"/>
      <c r="Q101" s="1665"/>
      <c r="R101" s="731"/>
      <c r="S101" s="2747"/>
      <c r="T101" s="2747"/>
      <c r="U101" s="2747"/>
    </row>
    <row r="102" spans="1:24" s="158" customFormat="1" ht="17.25" customHeight="1">
      <c r="A102" s="197"/>
      <c r="B102" s="2459"/>
      <c r="C102" s="2459"/>
      <c r="D102" s="2459"/>
      <c r="E102" s="2459"/>
      <c r="F102" s="2459"/>
      <c r="G102" s="239" t="s">
        <v>2819</v>
      </c>
      <c r="H102" s="240"/>
      <c r="I102" s="2748"/>
      <c r="J102" s="2748"/>
      <c r="K102" s="2748"/>
      <c r="L102" s="2748"/>
      <c r="M102" s="1672"/>
      <c r="N102" s="1672"/>
      <c r="O102" s="1672"/>
      <c r="P102" s="1230"/>
      <c r="S102" s="1230"/>
      <c r="T102" s="1230"/>
      <c r="U102" s="1230"/>
    </row>
    <row r="103" spans="1:24" s="158" customFormat="1" ht="13.15" customHeight="1">
      <c r="A103" s="197"/>
      <c r="B103" s="240"/>
      <c r="C103" s="240"/>
      <c r="D103" s="721"/>
      <c r="E103" s="721"/>
      <c r="F103" s="722"/>
      <c r="G103" s="2734"/>
      <c r="H103" s="2734"/>
      <c r="I103" s="2734"/>
      <c r="J103" s="2734"/>
      <c r="K103" s="730"/>
      <c r="L103" s="721"/>
      <c r="M103" s="1661"/>
      <c r="N103" s="249"/>
      <c r="O103" s="249">
        <f>R95/25000</f>
        <v>4970.5938399999995</v>
      </c>
      <c r="P103" s="744"/>
      <c r="Q103" s="744"/>
      <c r="R103" s="741"/>
      <c r="S103" s="262"/>
      <c r="T103" s="262"/>
      <c r="U103" s="249"/>
    </row>
    <row r="104" spans="1:24" s="158" customFormat="1" ht="16.5">
      <c r="A104" s="197"/>
      <c r="B104" s="240"/>
      <c r="C104" s="240"/>
      <c r="D104" s="724"/>
      <c r="E104" s="240"/>
      <c r="F104" s="718"/>
      <c r="G104" s="2734"/>
      <c r="H104" s="2734"/>
      <c r="I104" s="2734"/>
      <c r="J104" s="2734"/>
      <c r="K104" s="1662"/>
      <c r="L104" s="732"/>
      <c r="M104" s="1661"/>
      <c r="N104" s="1661"/>
      <c r="O104" s="1661"/>
      <c r="P104" s="744"/>
      <c r="Q104" s="744"/>
      <c r="R104" s="741"/>
      <c r="S104" s="262"/>
      <c r="T104" s="262"/>
      <c r="U104" s="729"/>
    </row>
    <row r="105" spans="1:24" s="158" customFormat="1" ht="16.5">
      <c r="A105" s="197"/>
      <c r="B105" s="240"/>
      <c r="C105" s="240"/>
      <c r="D105" s="240"/>
      <c r="E105" s="240"/>
      <c r="F105" s="210"/>
      <c r="G105" s="2734"/>
      <c r="H105" s="2734"/>
      <c r="I105" s="2734"/>
      <c r="J105" s="2734"/>
      <c r="K105" s="1661"/>
      <c r="L105" s="733"/>
      <c r="M105" s="1666"/>
      <c r="N105" s="1666"/>
      <c r="O105" s="1666"/>
      <c r="P105" s="1666"/>
      <c r="Q105" s="1666"/>
      <c r="R105" s="741"/>
      <c r="S105" s="262"/>
      <c r="T105" s="262"/>
      <c r="U105" s="240"/>
    </row>
    <row r="106" spans="1:24" s="158" customFormat="1" ht="16.5">
      <c r="A106" s="197"/>
      <c r="B106" s="240"/>
      <c r="C106" s="240"/>
      <c r="D106" s="262"/>
      <c r="E106" s="240"/>
      <c r="F106" s="210"/>
      <c r="G106" s="2734"/>
      <c r="H106" s="2734"/>
      <c r="I106" s="2734"/>
      <c r="J106" s="2734"/>
      <c r="K106" s="1661"/>
      <c r="L106" s="733"/>
      <c r="M106" s="1666"/>
      <c r="N106" s="1666"/>
      <c r="O106" s="1666"/>
      <c r="P106" s="1666"/>
      <c r="Q106" s="1666"/>
      <c r="R106" s="744"/>
      <c r="S106" s="262"/>
      <c r="T106" s="262"/>
      <c r="U106" s="240"/>
    </row>
    <row r="107" spans="1:24" s="158" customFormat="1" ht="16.5">
      <c r="A107" s="197"/>
      <c r="B107" s="240"/>
      <c r="C107" s="240"/>
      <c r="D107" s="240"/>
      <c r="E107" s="240"/>
      <c r="F107" s="210"/>
      <c r="G107" s="2734"/>
      <c r="H107" s="2734"/>
      <c r="I107" s="2734"/>
      <c r="J107" s="2734"/>
      <c r="K107" s="1661"/>
      <c r="L107" s="263"/>
      <c r="M107" s="1661"/>
      <c r="N107" s="743"/>
      <c r="O107" s="743"/>
      <c r="P107" s="744"/>
      <c r="Q107" s="744"/>
      <c r="R107" s="742"/>
      <c r="S107" s="262"/>
      <c r="T107" s="262"/>
      <c r="U107" s="240"/>
    </row>
    <row r="108" spans="1:24" s="158" customFormat="1" ht="16.5">
      <c r="A108" s="197"/>
      <c r="B108" s="240"/>
      <c r="C108" s="240"/>
      <c r="D108" s="240"/>
      <c r="E108" s="240"/>
      <c r="F108" s="210"/>
      <c r="G108" s="2734">
        <f t="shared" ref="G108" si="17">+F101*25000</f>
        <v>0</v>
      </c>
      <c r="H108" s="2734"/>
      <c r="I108" s="2734"/>
      <c r="J108" s="2734"/>
      <c r="K108" s="1661"/>
      <c r="L108" s="263"/>
      <c r="M108" s="1661"/>
      <c r="N108" s="743"/>
      <c r="O108" s="743"/>
      <c r="P108" s="744"/>
      <c r="Q108" s="744"/>
      <c r="R108" s="741"/>
      <c r="S108" s="262"/>
      <c r="T108" s="262"/>
      <c r="U108" s="240"/>
    </row>
    <row r="109" spans="1:24" s="158" customFormat="1" ht="16.5">
      <c r="A109" s="197"/>
      <c r="B109" s="240"/>
      <c r="C109" s="240"/>
      <c r="D109" s="240"/>
      <c r="E109" s="240"/>
      <c r="F109" s="210"/>
      <c r="G109" s="719"/>
      <c r="H109" s="205"/>
      <c r="I109" s="727"/>
      <c r="J109" s="727"/>
      <c r="K109" s="1661"/>
      <c r="L109" s="263"/>
      <c r="M109" s="1661"/>
      <c r="N109" s="249"/>
      <c r="O109" s="249"/>
      <c r="P109" s="744"/>
      <c r="Q109" s="744"/>
      <c r="R109" s="741"/>
      <c r="S109" s="729"/>
      <c r="T109" s="262"/>
      <c r="U109" s="240"/>
    </row>
    <row r="110" spans="1:24" s="158" customFormat="1" ht="16.5">
      <c r="A110" s="197"/>
      <c r="B110" s="240"/>
      <c r="C110" s="240"/>
      <c r="D110" s="264"/>
      <c r="E110" s="240"/>
      <c r="F110" s="210"/>
      <c r="G110" s="719"/>
      <c r="H110" s="720"/>
      <c r="I110" s="729"/>
      <c r="J110" s="729"/>
      <c r="K110" s="1661"/>
      <c r="L110" s="263"/>
      <c r="M110" s="1661"/>
      <c r="N110" s="249"/>
      <c r="O110" s="249"/>
      <c r="P110" s="744"/>
      <c r="Q110" s="744"/>
      <c r="R110" s="741"/>
      <c r="S110" s="262"/>
      <c r="T110" s="262"/>
      <c r="U110" s="240"/>
    </row>
    <row r="111" spans="1:24" s="158" customFormat="1" ht="16.5">
      <c r="A111" s="197"/>
      <c r="B111" s="240"/>
      <c r="C111" s="240"/>
      <c r="D111" s="240"/>
      <c r="E111" s="240"/>
      <c r="F111" s="205"/>
      <c r="G111" s="719"/>
      <c r="H111" s="720"/>
      <c r="I111" s="729"/>
      <c r="J111" s="729"/>
      <c r="K111" s="1661"/>
      <c r="L111" s="263"/>
      <c r="M111" s="1661"/>
      <c r="N111" s="210"/>
      <c r="O111" s="210"/>
      <c r="P111" s="1667"/>
      <c r="Q111" s="1667"/>
      <c r="R111" s="741"/>
      <c r="S111" s="262"/>
      <c r="T111" s="262"/>
      <c r="U111" s="240"/>
    </row>
    <row r="112" spans="1:24" s="158" customFormat="1" ht="16.5">
      <c r="A112" s="197"/>
      <c r="B112" s="240"/>
      <c r="C112" s="240"/>
      <c r="D112" s="240"/>
      <c r="E112" s="240"/>
      <c r="F112" s="205"/>
      <c r="G112" s="719"/>
      <c r="H112" s="720"/>
      <c r="I112" s="729"/>
      <c r="J112" s="729"/>
      <c r="K112" s="1661"/>
      <c r="L112" s="263"/>
      <c r="M112" s="1661"/>
      <c r="N112" s="723"/>
      <c r="O112" s="723"/>
      <c r="P112" s="744"/>
      <c r="Q112" s="744"/>
      <c r="R112" s="741"/>
      <c r="S112" s="262"/>
      <c r="T112" s="262"/>
      <c r="U112" s="240"/>
    </row>
    <row r="113" spans="1:21" s="158" customFormat="1" ht="16.5">
      <c r="A113" s="197"/>
      <c r="B113" s="240"/>
      <c r="C113" s="240"/>
      <c r="D113" s="240"/>
      <c r="E113" s="240"/>
      <c r="F113" s="205"/>
      <c r="G113" s="719"/>
      <c r="H113" s="720"/>
      <c r="I113" s="729"/>
      <c r="J113" s="729"/>
      <c r="K113" s="1661"/>
      <c r="L113" s="263"/>
      <c r="M113" s="1661"/>
      <c r="N113" s="249"/>
      <c r="O113" s="249"/>
      <c r="P113" s="744"/>
      <c r="Q113" s="744"/>
      <c r="R113" s="741"/>
      <c r="S113" s="262"/>
      <c r="T113" s="262"/>
      <c r="U113" s="240"/>
    </row>
    <row r="114" spans="1:21" s="158" customFormat="1" ht="16.5">
      <c r="A114" s="197"/>
      <c r="B114" s="240"/>
      <c r="C114" s="240"/>
      <c r="D114" s="240"/>
      <c r="E114" s="240"/>
      <c r="F114" s="205"/>
      <c r="G114" s="719"/>
      <c r="H114" s="720"/>
      <c r="I114" s="729"/>
      <c r="J114" s="729"/>
      <c r="K114" s="1661"/>
      <c r="L114" s="263"/>
      <c r="M114" s="1661"/>
      <c r="N114" s="249"/>
      <c r="O114" s="249"/>
      <c r="P114" s="744"/>
      <c r="Q114" s="744"/>
      <c r="R114" s="741"/>
      <c r="S114" s="262"/>
      <c r="T114" s="262"/>
      <c r="U114" s="240"/>
    </row>
    <row r="115" spans="1:21" s="158" customFormat="1" ht="16.5">
      <c r="A115" s="197"/>
      <c r="B115" s="240"/>
      <c r="C115" s="240"/>
      <c r="D115" s="240"/>
      <c r="E115" s="240"/>
      <c r="F115" s="205"/>
      <c r="G115" s="719"/>
      <c r="H115" s="720"/>
      <c r="I115" s="729"/>
      <c r="J115" s="729"/>
      <c r="K115" s="1661"/>
      <c r="L115" s="263"/>
      <c r="M115" s="1661"/>
      <c r="N115" s="249"/>
      <c r="O115" s="249"/>
      <c r="P115" s="744"/>
      <c r="Q115" s="744"/>
      <c r="R115" s="741"/>
      <c r="S115" s="262"/>
      <c r="T115" s="262"/>
      <c r="U115" s="240"/>
    </row>
    <row r="116" spans="1:21" s="158" customFormat="1" ht="16.5">
      <c r="A116" s="197"/>
      <c r="B116" s="240"/>
      <c r="C116" s="240"/>
      <c r="D116" s="240"/>
      <c r="E116" s="240"/>
      <c r="F116" s="205"/>
      <c r="G116" s="719"/>
      <c r="H116" s="720"/>
      <c r="I116" s="729"/>
      <c r="J116" s="729"/>
      <c r="K116" s="1661"/>
      <c r="L116" s="263"/>
      <c r="M116" s="1661"/>
      <c r="N116" s="249"/>
      <c r="O116" s="249"/>
      <c r="P116" s="744"/>
      <c r="Q116" s="744"/>
      <c r="R116" s="741"/>
      <c r="S116" s="262"/>
      <c r="T116" s="262"/>
      <c r="U116" s="240"/>
    </row>
    <row r="117" spans="1:21" s="158" customFormat="1" ht="16.5">
      <c r="A117" s="197"/>
      <c r="B117" s="240"/>
      <c r="C117" s="240"/>
      <c r="D117" s="240"/>
      <c r="E117" s="240"/>
      <c r="F117" s="205"/>
      <c r="G117" s="719"/>
      <c r="H117" s="720"/>
      <c r="I117" s="729"/>
      <c r="J117" s="729"/>
      <c r="K117" s="1661"/>
      <c r="L117" s="263"/>
      <c r="M117" s="1661"/>
      <c r="N117" s="249"/>
      <c r="O117" s="249"/>
      <c r="P117" s="744"/>
      <c r="Q117" s="744"/>
      <c r="R117" s="741"/>
      <c r="S117" s="262"/>
      <c r="T117" s="262"/>
      <c r="U117" s="240"/>
    </row>
    <row r="118" spans="1:21" s="158" customFormat="1" ht="16.5">
      <c r="A118" s="197"/>
      <c r="B118" s="240"/>
      <c r="C118" s="240"/>
      <c r="D118" s="240"/>
      <c r="E118" s="240"/>
      <c r="F118" s="205"/>
      <c r="G118" s="719"/>
      <c r="H118" s="720"/>
      <c r="I118" s="729"/>
      <c r="J118" s="729"/>
      <c r="K118" s="1661"/>
      <c r="L118" s="263"/>
      <c r="M118" s="1661"/>
      <c r="N118" s="249"/>
      <c r="O118" s="249"/>
      <c r="P118" s="744"/>
      <c r="Q118" s="744"/>
      <c r="R118" s="741"/>
      <c r="S118" s="262"/>
      <c r="T118" s="262"/>
      <c r="U118" s="240"/>
    </row>
    <row r="119" spans="1:21" s="158" customFormat="1" ht="16.5">
      <c r="A119" s="197"/>
      <c r="B119" s="240"/>
      <c r="C119" s="240"/>
      <c r="D119" s="240"/>
      <c r="E119" s="240"/>
      <c r="F119" s="205"/>
      <c r="G119" s="719"/>
      <c r="H119" s="720"/>
      <c r="I119" s="729"/>
      <c r="J119" s="729"/>
      <c r="K119" s="1661"/>
      <c r="L119" s="263"/>
      <c r="M119" s="1661"/>
      <c r="N119" s="249"/>
      <c r="O119" s="249"/>
      <c r="P119" s="744"/>
      <c r="Q119" s="744"/>
      <c r="R119" s="741"/>
      <c r="S119" s="262"/>
      <c r="T119" s="262"/>
      <c r="U119" s="240"/>
    </row>
    <row r="120" spans="1:21" s="158" customFormat="1" ht="16.5">
      <c r="A120" s="197"/>
      <c r="B120" s="240"/>
      <c r="C120" s="240"/>
      <c r="D120" s="240"/>
      <c r="E120" s="240"/>
      <c r="F120" s="205"/>
      <c r="G120" s="719"/>
      <c r="H120" s="720"/>
      <c r="I120" s="729"/>
      <c r="J120" s="729"/>
      <c r="K120" s="1661"/>
      <c r="L120" s="263"/>
      <c r="M120" s="1661"/>
      <c r="N120" s="249"/>
      <c r="O120" s="249"/>
      <c r="P120" s="744"/>
      <c r="Q120" s="744"/>
      <c r="R120" s="741"/>
      <c r="S120" s="262"/>
      <c r="T120" s="262"/>
      <c r="U120" s="240"/>
    </row>
    <row r="121" spans="1:21" s="158" customFormat="1" ht="16.5">
      <c r="A121" s="197"/>
      <c r="B121" s="240"/>
      <c r="C121" s="240"/>
      <c r="D121" s="240"/>
      <c r="E121" s="240"/>
      <c r="F121" s="205"/>
      <c r="G121" s="719"/>
      <c r="H121" s="720"/>
      <c r="I121" s="729"/>
      <c r="J121" s="729"/>
      <c r="K121" s="1661"/>
      <c r="L121" s="263"/>
      <c r="M121" s="1661"/>
      <c r="N121" s="249"/>
      <c r="O121" s="249"/>
      <c r="P121" s="744"/>
      <c r="Q121" s="744"/>
      <c r="R121" s="741"/>
      <c r="S121" s="262"/>
      <c r="T121" s="262"/>
      <c r="U121" s="240"/>
    </row>
    <row r="122" spans="1:21" s="158" customFormat="1" ht="16.5">
      <c r="A122" s="197"/>
      <c r="B122" s="240"/>
      <c r="C122" s="240"/>
      <c r="D122" s="240"/>
      <c r="E122" s="240"/>
      <c r="F122" s="205"/>
      <c r="G122" s="719"/>
      <c r="H122" s="720"/>
      <c r="I122" s="729"/>
      <c r="J122" s="729"/>
      <c r="K122" s="1661"/>
      <c r="L122" s="263"/>
      <c r="M122" s="1661"/>
      <c r="N122" s="249"/>
      <c r="O122" s="249"/>
      <c r="P122" s="744"/>
      <c r="Q122" s="744"/>
      <c r="R122" s="741"/>
      <c r="S122" s="262"/>
      <c r="T122" s="262"/>
      <c r="U122" s="240"/>
    </row>
    <row r="123" spans="1:21" s="158" customFormat="1" ht="16.5">
      <c r="A123" s="197"/>
      <c r="B123" s="240"/>
      <c r="C123" s="240"/>
      <c r="D123" s="240"/>
      <c r="E123" s="240"/>
      <c r="F123" s="205"/>
      <c r="G123" s="719"/>
      <c r="H123" s="720"/>
      <c r="I123" s="729"/>
      <c r="J123" s="729"/>
      <c r="K123" s="1661"/>
      <c r="L123" s="263"/>
      <c r="M123" s="1661"/>
      <c r="N123" s="249"/>
      <c r="O123" s="249"/>
      <c r="P123" s="744"/>
      <c r="Q123" s="744"/>
      <c r="R123" s="741"/>
      <c r="S123" s="262"/>
      <c r="T123" s="262"/>
      <c r="U123" s="240"/>
    </row>
    <row r="124" spans="1:21" s="158" customFormat="1" ht="16.5">
      <c r="A124" s="197"/>
      <c r="B124" s="240"/>
      <c r="C124" s="240"/>
      <c r="D124" s="240"/>
      <c r="E124" s="240"/>
      <c r="F124" s="205"/>
      <c r="G124" s="719"/>
      <c r="H124" s="720"/>
      <c r="I124" s="729"/>
      <c r="J124" s="729"/>
      <c r="K124" s="1661"/>
      <c r="L124" s="263"/>
      <c r="M124" s="1661"/>
      <c r="N124" s="249"/>
      <c r="O124" s="249"/>
      <c r="P124" s="744"/>
      <c r="Q124" s="744"/>
      <c r="R124" s="741"/>
      <c r="S124" s="262"/>
      <c r="T124" s="262"/>
      <c r="U124" s="240"/>
    </row>
    <row r="125" spans="1:21" s="158" customFormat="1" ht="16.5">
      <c r="A125" s="197"/>
      <c r="B125" s="240"/>
      <c r="C125" s="240"/>
      <c r="D125" s="240"/>
      <c r="E125" s="240"/>
      <c r="F125" s="205"/>
      <c r="G125" s="719"/>
      <c r="H125" s="720"/>
      <c r="I125" s="729"/>
      <c r="J125" s="729"/>
      <c r="K125" s="1661"/>
      <c r="L125" s="263"/>
      <c r="M125" s="1661"/>
      <c r="N125" s="249"/>
      <c r="O125" s="249"/>
      <c r="P125" s="744"/>
      <c r="Q125" s="744"/>
      <c r="R125" s="741"/>
      <c r="S125" s="262"/>
      <c r="T125" s="262"/>
      <c r="U125" s="240"/>
    </row>
    <row r="126" spans="1:21" s="158" customFormat="1">
      <c r="A126" s="197"/>
      <c r="F126" s="725"/>
      <c r="G126" s="613"/>
      <c r="H126" s="726"/>
      <c r="I126" s="734"/>
      <c r="J126" s="734"/>
      <c r="K126" s="751"/>
      <c r="L126" s="201"/>
      <c r="M126" s="751"/>
      <c r="N126" s="172"/>
      <c r="O126" s="172"/>
      <c r="P126" s="1457"/>
      <c r="Q126" s="1457"/>
      <c r="R126" s="745"/>
      <c r="S126" s="200"/>
      <c r="T126" s="200"/>
    </row>
    <row r="127" spans="1:21" s="158" customFormat="1">
      <c r="A127" s="197"/>
      <c r="F127" s="725"/>
      <c r="G127" s="613"/>
      <c r="H127" s="726"/>
      <c r="I127" s="734"/>
      <c r="J127" s="734"/>
      <c r="K127" s="751"/>
      <c r="L127" s="201"/>
      <c r="M127" s="751"/>
      <c r="N127" s="172"/>
      <c r="O127" s="172"/>
      <c r="P127" s="1457"/>
      <c r="Q127" s="1457"/>
      <c r="R127" s="745"/>
      <c r="S127" s="200"/>
      <c r="T127" s="200"/>
    </row>
    <row r="128" spans="1:21" s="158" customFormat="1">
      <c r="A128" s="197"/>
      <c r="F128" s="725"/>
      <c r="G128" s="613"/>
      <c r="H128" s="726"/>
      <c r="I128" s="734"/>
      <c r="J128" s="734"/>
      <c r="K128" s="751"/>
      <c r="L128" s="201"/>
      <c r="M128" s="751"/>
      <c r="N128" s="172"/>
      <c r="O128" s="172"/>
      <c r="P128" s="1457"/>
      <c r="Q128" s="1457"/>
      <c r="R128" s="745"/>
      <c r="S128" s="200"/>
      <c r="T128" s="200"/>
    </row>
    <row r="129" spans="1:20" s="158" customFormat="1">
      <c r="A129" s="197"/>
      <c r="F129" s="725"/>
      <c r="G129" s="613"/>
      <c r="H129" s="726"/>
      <c r="I129" s="734"/>
      <c r="J129" s="734"/>
      <c r="K129" s="751"/>
      <c r="L129" s="201"/>
      <c r="M129" s="751"/>
      <c r="N129" s="172"/>
      <c r="O129" s="172"/>
      <c r="P129" s="1457"/>
      <c r="Q129" s="1457"/>
      <c r="R129" s="745"/>
      <c r="S129" s="200"/>
      <c r="T129" s="200"/>
    </row>
    <row r="130" spans="1:20" s="158" customFormat="1">
      <c r="A130" s="197"/>
      <c r="F130" s="725"/>
      <c r="G130" s="613"/>
      <c r="H130" s="726"/>
      <c r="I130" s="734"/>
      <c r="J130" s="734"/>
      <c r="K130" s="751"/>
      <c r="L130" s="201"/>
      <c r="M130" s="751"/>
      <c r="N130" s="172"/>
      <c r="O130" s="172"/>
      <c r="P130" s="1457"/>
      <c r="Q130" s="1457"/>
      <c r="R130" s="745"/>
      <c r="S130" s="200"/>
      <c r="T130" s="200"/>
    </row>
    <row r="131" spans="1:20" s="158" customFormat="1">
      <c r="A131" s="197"/>
      <c r="F131" s="725"/>
      <c r="G131" s="613"/>
      <c r="H131" s="726"/>
      <c r="I131" s="734"/>
      <c r="J131" s="734"/>
      <c r="K131" s="751"/>
      <c r="L131" s="201"/>
      <c r="M131" s="751"/>
      <c r="N131" s="172"/>
      <c r="O131" s="172"/>
      <c r="P131" s="1457"/>
      <c r="Q131" s="1457"/>
      <c r="R131" s="745"/>
      <c r="S131" s="200"/>
      <c r="T131" s="200"/>
    </row>
    <row r="132" spans="1:20" s="158" customFormat="1">
      <c r="A132" s="197"/>
      <c r="F132" s="725"/>
      <c r="G132" s="613"/>
      <c r="H132" s="726"/>
      <c r="I132" s="734"/>
      <c r="J132" s="734"/>
      <c r="K132" s="751"/>
      <c r="L132" s="201"/>
      <c r="M132" s="751"/>
      <c r="N132" s="172"/>
      <c r="O132" s="172"/>
      <c r="P132" s="1457"/>
      <c r="Q132" s="1457"/>
      <c r="R132" s="745"/>
      <c r="S132" s="200"/>
      <c r="T132" s="200"/>
    </row>
    <row r="133" spans="1:20" s="158" customFormat="1">
      <c r="A133" s="197"/>
      <c r="F133" s="725"/>
      <c r="G133" s="613"/>
      <c r="H133" s="726"/>
      <c r="I133" s="734"/>
      <c r="J133" s="734"/>
      <c r="K133" s="751"/>
      <c r="L133" s="201"/>
      <c r="M133" s="751"/>
      <c r="N133" s="172"/>
      <c r="O133" s="172"/>
      <c r="P133" s="1457"/>
      <c r="Q133" s="1457"/>
      <c r="R133" s="745"/>
      <c r="S133" s="200"/>
      <c r="T133" s="200"/>
    </row>
    <row r="134" spans="1:20" s="158" customFormat="1">
      <c r="A134" s="197"/>
      <c r="F134" s="725"/>
      <c r="G134" s="613"/>
      <c r="H134" s="726"/>
      <c r="I134" s="734"/>
      <c r="J134" s="734"/>
      <c r="K134" s="751"/>
      <c r="L134" s="201"/>
      <c r="M134" s="751"/>
      <c r="N134" s="172"/>
      <c r="O134" s="172"/>
      <c r="P134" s="1457"/>
      <c r="Q134" s="1457"/>
      <c r="R134" s="745"/>
      <c r="S134" s="200"/>
      <c r="T134" s="200"/>
    </row>
    <row r="135" spans="1:20" s="158" customFormat="1">
      <c r="A135" s="197"/>
      <c r="F135" s="725"/>
      <c r="G135" s="613"/>
      <c r="H135" s="726"/>
      <c r="I135" s="734"/>
      <c r="J135" s="734"/>
      <c r="K135" s="751"/>
      <c r="L135" s="201"/>
      <c r="M135" s="751"/>
      <c r="N135" s="172"/>
      <c r="O135" s="172"/>
      <c r="P135" s="1457"/>
      <c r="Q135" s="1457"/>
      <c r="R135" s="745"/>
      <c r="S135" s="200"/>
      <c r="T135" s="200"/>
    </row>
    <row r="136" spans="1:20" s="158" customFormat="1">
      <c r="A136" s="197"/>
      <c r="F136" s="725"/>
      <c r="G136" s="613"/>
      <c r="H136" s="726"/>
      <c r="I136" s="734"/>
      <c r="J136" s="734"/>
      <c r="K136" s="751"/>
      <c r="L136" s="201"/>
      <c r="M136" s="751"/>
      <c r="N136" s="172"/>
      <c r="O136" s="172"/>
      <c r="P136" s="1457"/>
      <c r="Q136" s="1457"/>
      <c r="R136" s="745"/>
      <c r="S136" s="200"/>
      <c r="T136" s="200"/>
    </row>
    <row r="137" spans="1:20" s="158" customFormat="1">
      <c r="A137" s="197"/>
      <c r="F137" s="725"/>
      <c r="G137" s="613"/>
      <c r="H137" s="726"/>
      <c r="I137" s="734"/>
      <c r="J137" s="734"/>
      <c r="K137" s="751"/>
      <c r="L137" s="201"/>
      <c r="M137" s="751"/>
      <c r="N137" s="172"/>
      <c r="O137" s="172"/>
      <c r="P137" s="1457"/>
      <c r="Q137" s="1457"/>
      <c r="R137" s="745"/>
      <c r="S137" s="200"/>
      <c r="T137" s="200"/>
    </row>
    <row r="138" spans="1:20" s="158" customFormat="1">
      <c r="A138" s="197"/>
      <c r="F138" s="725"/>
      <c r="G138" s="613"/>
      <c r="H138" s="726"/>
      <c r="I138" s="734"/>
      <c r="J138" s="734"/>
      <c r="K138" s="751"/>
      <c r="L138" s="201"/>
      <c r="M138" s="751"/>
      <c r="N138" s="172"/>
      <c r="O138" s="172"/>
      <c r="P138" s="1457"/>
      <c r="Q138" s="1457"/>
      <c r="R138" s="745"/>
      <c r="S138" s="200"/>
      <c r="T138" s="200"/>
    </row>
    <row r="139" spans="1:20" s="158" customFormat="1">
      <c r="A139" s="197"/>
      <c r="F139" s="725"/>
      <c r="G139" s="613"/>
      <c r="H139" s="726"/>
      <c r="I139" s="734"/>
      <c r="J139" s="734"/>
      <c r="K139" s="751"/>
      <c r="L139" s="201"/>
      <c r="M139" s="751"/>
      <c r="N139" s="172"/>
      <c r="O139" s="172"/>
      <c r="P139" s="1457"/>
      <c r="Q139" s="1457"/>
      <c r="R139" s="745"/>
      <c r="S139" s="200"/>
      <c r="T139" s="200"/>
    </row>
    <row r="140" spans="1:20" s="158" customFormat="1">
      <c r="A140" s="197"/>
      <c r="F140" s="725"/>
      <c r="G140" s="613"/>
      <c r="H140" s="726"/>
      <c r="I140" s="734"/>
      <c r="J140" s="734"/>
      <c r="K140" s="751"/>
      <c r="L140" s="201"/>
      <c r="M140" s="751"/>
      <c r="N140" s="172"/>
      <c r="O140" s="172"/>
      <c r="P140" s="1457"/>
      <c r="Q140" s="1457"/>
      <c r="R140" s="745"/>
      <c r="S140" s="200"/>
      <c r="T140" s="200"/>
    </row>
    <row r="141" spans="1:20" s="158" customFormat="1">
      <c r="A141" s="197"/>
      <c r="F141" s="725"/>
      <c r="G141" s="613"/>
      <c r="H141" s="726"/>
      <c r="I141" s="734"/>
      <c r="J141" s="734"/>
      <c r="K141" s="751"/>
      <c r="L141" s="201"/>
      <c r="M141" s="751"/>
      <c r="N141" s="172"/>
      <c r="O141" s="172"/>
      <c r="P141" s="1457"/>
      <c r="Q141" s="1457"/>
      <c r="R141" s="745"/>
      <c r="S141" s="200"/>
      <c r="T141" s="200"/>
    </row>
    <row r="142" spans="1:20" s="158" customFormat="1">
      <c r="A142" s="197"/>
      <c r="F142" s="725"/>
      <c r="G142" s="613"/>
      <c r="H142" s="726"/>
      <c r="I142" s="734"/>
      <c r="J142" s="734"/>
      <c r="K142" s="751"/>
      <c r="L142" s="201"/>
      <c r="M142" s="751"/>
      <c r="N142" s="172"/>
      <c r="O142" s="172"/>
      <c r="P142" s="1457"/>
      <c r="Q142" s="1457"/>
      <c r="R142" s="745"/>
      <c r="S142" s="200"/>
      <c r="T142" s="200"/>
    </row>
    <row r="143" spans="1:20" s="158" customFormat="1">
      <c r="A143" s="197"/>
      <c r="F143" s="725"/>
      <c r="G143" s="613"/>
      <c r="H143" s="726"/>
      <c r="I143" s="734"/>
      <c r="J143" s="734"/>
      <c r="K143" s="751"/>
      <c r="L143" s="201"/>
      <c r="M143" s="751"/>
      <c r="N143" s="172"/>
      <c r="O143" s="172"/>
      <c r="P143" s="1457"/>
      <c r="Q143" s="1457"/>
      <c r="R143" s="745"/>
      <c r="S143" s="200"/>
      <c r="T143" s="200"/>
    </row>
    <row r="144" spans="1:20" s="158" customFormat="1">
      <c r="A144" s="197"/>
      <c r="F144" s="725"/>
      <c r="G144" s="613"/>
      <c r="H144" s="726"/>
      <c r="I144" s="734"/>
      <c r="J144" s="734"/>
      <c r="K144" s="751"/>
      <c r="L144" s="201"/>
      <c r="M144" s="751"/>
      <c r="N144" s="172"/>
      <c r="O144" s="172"/>
      <c r="P144" s="1457"/>
      <c r="Q144" s="1457"/>
      <c r="R144" s="745"/>
      <c r="S144" s="200"/>
      <c r="T144" s="200"/>
    </row>
  </sheetData>
  <autoFilter ref="A15:Y98"/>
  <mergeCells count="36">
    <mergeCell ref="C1:U1"/>
    <mergeCell ref="C2:U2"/>
    <mergeCell ref="D3:U3"/>
    <mergeCell ref="B4:I4"/>
    <mergeCell ref="B5:I5"/>
    <mergeCell ref="B7:U7"/>
    <mergeCell ref="B8:E8"/>
    <mergeCell ref="F10:R10"/>
    <mergeCell ref="F11:G11"/>
    <mergeCell ref="H11:L11"/>
    <mergeCell ref="M11:R11"/>
    <mergeCell ref="T10:T12"/>
    <mergeCell ref="U10:U12"/>
    <mergeCell ref="A10:B12"/>
    <mergeCell ref="I102:L102"/>
    <mergeCell ref="A95:E95"/>
    <mergeCell ref="A96:U96"/>
    <mergeCell ref="A98:E98"/>
    <mergeCell ref="F98:G98"/>
    <mergeCell ref="H98:L98"/>
    <mergeCell ref="G108:J108"/>
    <mergeCell ref="C10:C12"/>
    <mergeCell ref="D10:D12"/>
    <mergeCell ref="E10:E12"/>
    <mergeCell ref="S10:S12"/>
    <mergeCell ref="P97:U97"/>
    <mergeCell ref="G103:J103"/>
    <mergeCell ref="G104:J104"/>
    <mergeCell ref="G105:J105"/>
    <mergeCell ref="G106:J106"/>
    <mergeCell ref="G107:J107"/>
    <mergeCell ref="L100:P100"/>
    <mergeCell ref="H101:J101"/>
    <mergeCell ref="K101:L101"/>
    <mergeCell ref="S101:U101"/>
    <mergeCell ref="B102:F102"/>
  </mergeCells>
  <printOptions horizontalCentered="1"/>
  <pageMargins left="0" right="0" top="0.43307086614173201" bottom="0.511811023622047" header="0.31496062992126" footer="0.31496062992126"/>
  <pageSetup paperSize="9" scale="80" orientation="landscape" r:id="rId1"/>
  <headerFooter>
    <oddFooter>&amp;R&amp;P/9</oddFooter>
  </headerFooter>
  <drawing r:id="rId2"/>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Q136"/>
  <sheetViews>
    <sheetView showZeros="0" topLeftCell="A103" zoomScale="85" zoomScaleNormal="85" workbookViewId="0">
      <selection activeCell="O64" sqref="O1:P1048576"/>
    </sheetView>
  </sheetViews>
  <sheetFormatPr defaultColWidth="9.140625" defaultRowHeight="15"/>
  <cols>
    <col min="1" max="1" width="5" style="42" customWidth="1"/>
    <col min="2" max="2" width="5.140625" style="42" customWidth="1"/>
    <col min="3" max="3" width="12.85546875" style="28" hidden="1" customWidth="1"/>
    <col min="4" max="4" width="13.5703125" style="80" hidden="1" customWidth="1"/>
    <col min="5" max="5" width="19.85546875" style="28" customWidth="1"/>
    <col min="6" max="6" width="15.140625" style="28" customWidth="1"/>
    <col min="7" max="7" width="17.5703125" style="42" customWidth="1"/>
    <col min="8" max="8" width="19.140625" style="76" customWidth="1"/>
    <col min="9" max="9" width="20" style="76" customWidth="1"/>
    <col min="10" max="10" width="21.42578125" style="28" customWidth="1"/>
    <col min="11" max="11" width="12.140625" style="76" hidden="1" customWidth="1"/>
    <col min="12" max="12" width="11.7109375" style="80" customWidth="1"/>
    <col min="13" max="13" width="19.7109375" style="28" customWidth="1"/>
    <col min="14" max="14" width="19.28515625" style="82" customWidth="1"/>
    <col min="15" max="15" width="19.140625" style="28" hidden="1" customWidth="1"/>
    <col min="16" max="16" width="13.5703125" style="28" hidden="1" customWidth="1"/>
    <col min="17" max="17" width="13.7109375" style="28" customWidth="1"/>
    <col min="18" max="16384" width="9.140625" style="28"/>
  </cols>
  <sheetData>
    <row r="1" spans="1:16" ht="16.5">
      <c r="B1" s="2676" t="s">
        <v>617</v>
      </c>
      <c r="C1" s="2676"/>
      <c r="D1" s="2676"/>
      <c r="E1" s="2676"/>
      <c r="F1" s="2676"/>
      <c r="G1" s="2676"/>
      <c r="H1" s="2676"/>
      <c r="I1" s="2676"/>
      <c r="J1" s="2676"/>
      <c r="K1" s="2676"/>
      <c r="L1" s="2676"/>
      <c r="M1" s="2676"/>
      <c r="N1" s="2676"/>
    </row>
    <row r="2" spans="1:16" ht="16.5">
      <c r="B2" s="2676" t="s">
        <v>2861</v>
      </c>
      <c r="C2" s="2676"/>
      <c r="D2" s="2676"/>
      <c r="E2" s="2676"/>
      <c r="F2" s="2676"/>
      <c r="G2" s="2676"/>
      <c r="H2" s="2676"/>
      <c r="I2" s="2676"/>
      <c r="J2" s="2676"/>
      <c r="K2" s="2676"/>
      <c r="L2" s="2676"/>
      <c r="M2" s="2676"/>
      <c r="N2" s="2676"/>
    </row>
    <row r="3" spans="1:16" ht="16.5">
      <c r="B3" s="2780" t="s">
        <v>619</v>
      </c>
      <c r="C3" s="2676"/>
      <c r="D3" s="2676"/>
      <c r="E3" s="2676"/>
      <c r="F3" s="2676"/>
      <c r="G3" s="2676"/>
      <c r="H3" s="2676"/>
      <c r="I3" s="2676"/>
      <c r="J3" s="2676"/>
      <c r="K3" s="2676"/>
      <c r="L3" s="2676"/>
      <c r="M3" s="2676"/>
      <c r="N3" s="2676"/>
    </row>
    <row r="4" spans="1:16" ht="15.75">
      <c r="A4" s="2733" t="s">
        <v>2709</v>
      </c>
      <c r="B4" s="2733"/>
      <c r="C4" s="2733"/>
      <c r="D4" s="2733"/>
      <c r="E4" s="2733"/>
      <c r="F4" s="2733"/>
      <c r="G4" s="2733"/>
      <c r="I4" s="77"/>
      <c r="J4" s="78"/>
      <c r="M4" s="81"/>
    </row>
    <row r="5" spans="1:16" ht="15.75">
      <c r="A5" s="2287" t="s">
        <v>3172</v>
      </c>
      <c r="B5" s="2287"/>
      <c r="C5" s="2287"/>
      <c r="D5" s="2287"/>
      <c r="E5" s="2287"/>
      <c r="F5" s="2287"/>
      <c r="G5" s="2287"/>
      <c r="M5" s="81"/>
    </row>
    <row r="6" spans="1:16" ht="16.5">
      <c r="B6" s="58"/>
      <c r="M6" s="81"/>
    </row>
    <row r="7" spans="1:16" ht="24" customHeight="1">
      <c r="A7" s="2290" t="s">
        <v>2862</v>
      </c>
      <c r="B7" s="2290"/>
      <c r="C7" s="2290"/>
      <c r="D7" s="2290"/>
      <c r="E7" s="2290"/>
      <c r="F7" s="2290"/>
      <c r="G7" s="2290"/>
      <c r="H7" s="2290"/>
      <c r="I7" s="2290"/>
      <c r="J7" s="2290"/>
      <c r="K7" s="2290"/>
      <c r="L7" s="2290"/>
      <c r="M7" s="2290"/>
      <c r="N7" s="2290"/>
    </row>
    <row r="8" spans="1:16" ht="16.5">
      <c r="H8" s="28"/>
      <c r="N8" s="553" t="s">
        <v>1920</v>
      </c>
    </row>
    <row r="9" spans="1:16" ht="18.75" customHeight="1">
      <c r="B9" s="2273" t="s">
        <v>622</v>
      </c>
      <c r="C9" s="2273"/>
      <c r="D9" s="2273"/>
      <c r="E9" s="2273"/>
      <c r="F9" s="2273"/>
      <c r="G9" s="28">
        <f>'LƯƠNG KT'!F8</f>
        <v>668.84</v>
      </c>
      <c r="J9" s="554"/>
      <c r="M9" s="555"/>
      <c r="N9" s="475"/>
    </row>
    <row r="10" spans="1:16" ht="16.5" customHeight="1">
      <c r="A10" s="2786" t="s">
        <v>623</v>
      </c>
      <c r="B10" s="2787"/>
      <c r="C10" s="2784" t="s">
        <v>624</v>
      </c>
      <c r="D10" s="2752" t="s">
        <v>625</v>
      </c>
      <c r="E10" s="2785" t="s">
        <v>356</v>
      </c>
      <c r="F10" s="2784" t="s">
        <v>9</v>
      </c>
      <c r="G10" s="2781" t="s">
        <v>628</v>
      </c>
      <c r="H10" s="2782"/>
      <c r="I10" s="2783"/>
      <c r="J10" s="2790" t="s">
        <v>629</v>
      </c>
      <c r="K10" s="2784" t="s">
        <v>630</v>
      </c>
      <c r="L10" s="2784" t="s">
        <v>631</v>
      </c>
      <c r="M10" s="2784" t="s">
        <v>632</v>
      </c>
      <c r="N10" s="2784" t="s">
        <v>12</v>
      </c>
    </row>
    <row r="11" spans="1:16" ht="35.25" customHeight="1">
      <c r="A11" s="2788"/>
      <c r="B11" s="2789"/>
      <c r="C11" s="2784"/>
      <c r="D11" s="2752"/>
      <c r="E11" s="2785"/>
      <c r="F11" s="2784"/>
      <c r="G11" s="243" t="s">
        <v>633</v>
      </c>
      <c r="H11" s="243" t="s">
        <v>634</v>
      </c>
      <c r="I11" s="243" t="s">
        <v>635</v>
      </c>
      <c r="J11" s="2791"/>
      <c r="K11" s="2784"/>
      <c r="L11" s="2785"/>
      <c r="M11" s="2785"/>
      <c r="N11" s="2784"/>
    </row>
    <row r="12" spans="1:16" s="539" customFormat="1" ht="9" hidden="1" customHeight="1">
      <c r="A12" s="545"/>
      <c r="B12" s="546" t="s">
        <v>636</v>
      </c>
      <c r="C12" s="546"/>
      <c r="D12" s="547" t="s">
        <v>637</v>
      </c>
      <c r="E12" s="546" t="s">
        <v>638</v>
      </c>
      <c r="F12" s="546" t="s">
        <v>639</v>
      </c>
      <c r="G12" s="546" t="s">
        <v>640</v>
      </c>
      <c r="H12" s="548" t="s">
        <v>641</v>
      </c>
      <c r="I12" s="546" t="s">
        <v>642</v>
      </c>
      <c r="J12" s="556" t="s">
        <v>643</v>
      </c>
      <c r="K12" s="546" t="s">
        <v>644</v>
      </c>
      <c r="L12" s="546" t="s">
        <v>645</v>
      </c>
      <c r="M12" s="546" t="s">
        <v>646</v>
      </c>
      <c r="N12" s="557"/>
    </row>
    <row r="13" spans="1:16" s="540" customFormat="1" ht="17.25" customHeight="1">
      <c r="A13" s="132">
        <v>1</v>
      </c>
      <c r="B13" s="549"/>
      <c r="C13" s="245"/>
      <c r="D13" s="550" t="s">
        <v>647</v>
      </c>
      <c r="E13" s="551" t="str">
        <f>+'LƯƠNG KT'!D15</f>
        <v>Tà Lọt</v>
      </c>
      <c r="F13" s="135" t="s">
        <v>15</v>
      </c>
      <c r="G13" s="552">
        <f>VLOOKUP(E13,'LƯƠNG KT'!$D$15:$R$94,4,0)</f>
        <v>0</v>
      </c>
      <c r="H13" s="552">
        <f>VLOOKUP(E13,'LƯƠNG KT'!$D$15:$R$94,9,0)</f>
        <v>2455140</v>
      </c>
      <c r="I13" s="552">
        <f>VLOOKUP(E13,'LƯƠNG KT'!$D$15:$R$94,15,0)</f>
        <v>1404073</v>
      </c>
      <c r="J13" s="558">
        <f>SUM(G13:I13)</f>
        <v>3859213</v>
      </c>
      <c r="K13" s="558"/>
      <c r="L13" s="552"/>
      <c r="M13" s="552">
        <f>J13-L13</f>
        <v>3859213</v>
      </c>
      <c r="N13" s="551"/>
      <c r="O13" s="559">
        <f>VLOOKUP(E13,'LƯƠNG KT'!D15:U94,18,0)</f>
        <v>3859213</v>
      </c>
      <c r="P13" s="559">
        <f>O13-M13</f>
        <v>0</v>
      </c>
    </row>
    <row r="14" spans="1:16" s="540" customFormat="1" ht="17.25" customHeight="1">
      <c r="A14" s="132">
        <v>2</v>
      </c>
      <c r="B14" s="549"/>
      <c r="C14" s="245"/>
      <c r="D14" s="550" t="s">
        <v>648</v>
      </c>
      <c r="E14" s="551" t="str">
        <f>+'LƯƠNG KT'!D16</f>
        <v>A Nhớp</v>
      </c>
      <c r="F14" s="135" t="s">
        <v>15</v>
      </c>
      <c r="G14" s="552">
        <f>VLOOKUP(E14,'LƯƠNG KT'!$D$15:$R$94,4,0)</f>
        <v>0</v>
      </c>
      <c r="H14" s="552">
        <f>VLOOKUP(E14,'LƯƠNG KT'!$D$15:$R$94,9,0)</f>
        <v>3918530</v>
      </c>
      <c r="I14" s="552">
        <f>VLOOKUP(E14,'LƯƠNG KT'!$D$15:$R$94,15,0)</f>
        <v>1577174</v>
      </c>
      <c r="J14" s="558">
        <f t="shared" ref="J14:J77" si="0">SUM(G14:I14)</f>
        <v>5495704</v>
      </c>
      <c r="K14" s="558"/>
      <c r="L14" s="552"/>
      <c r="M14" s="552">
        <f t="shared" ref="M14:M77" si="1">J14-L14</f>
        <v>5495704</v>
      </c>
      <c r="N14" s="551"/>
      <c r="O14" s="559">
        <f>VLOOKUP(E14,'LƯƠNG KT'!D16:U95,18,0)</f>
        <v>5495704</v>
      </c>
      <c r="P14" s="559">
        <f t="shared" ref="P14:P77" si="2">O14-M14</f>
        <v>0</v>
      </c>
    </row>
    <row r="15" spans="1:16" s="540" customFormat="1" ht="17.25" customHeight="1">
      <c r="A15" s="132">
        <v>3</v>
      </c>
      <c r="B15" s="549"/>
      <c r="C15" s="245" t="e">
        <f>VLOOKUP(E15,'DS CN MOI UP'!$B$10:$C$347,2,0)</f>
        <v>#N/A</v>
      </c>
      <c r="D15" s="550" t="s">
        <v>650</v>
      </c>
      <c r="E15" s="551" t="str">
        <f>+'LƯƠNG KT'!D17</f>
        <v>A Chan</v>
      </c>
      <c r="F15" s="135" t="s">
        <v>15</v>
      </c>
      <c r="G15" s="552">
        <f>VLOOKUP(E15,'LƯƠNG KT'!$D$15:$R$94,4,0)</f>
        <v>0</v>
      </c>
      <c r="H15" s="552">
        <f>VLOOKUP(E15,'LƯƠNG KT'!$D$15:$R$94,9,0)</f>
        <v>2216524</v>
      </c>
      <c r="I15" s="552">
        <f>VLOOKUP(E15,'LƯƠNG KT'!$D$15:$R$94,15,0)</f>
        <v>1332639</v>
      </c>
      <c r="J15" s="558">
        <f t="shared" si="0"/>
        <v>3549163</v>
      </c>
      <c r="K15" s="558"/>
      <c r="L15" s="552"/>
      <c r="M15" s="552">
        <f t="shared" si="1"/>
        <v>3549163</v>
      </c>
      <c r="N15" s="551"/>
      <c r="O15" s="559">
        <f>VLOOKUP(E15,'LƯƠNG KT'!D17:U96,18,0)</f>
        <v>3549163</v>
      </c>
      <c r="P15" s="559">
        <f t="shared" si="2"/>
        <v>0</v>
      </c>
    </row>
    <row r="16" spans="1:16" s="540" customFormat="1" ht="17.25" customHeight="1">
      <c r="A16" s="132">
        <v>4</v>
      </c>
      <c r="B16" s="549"/>
      <c r="C16" s="245" t="e">
        <f>VLOOKUP(E16,'DS CN MOI UP'!$B$10:$C$347,2,0)</f>
        <v>#N/A</v>
      </c>
      <c r="D16" s="550" t="s">
        <v>651</v>
      </c>
      <c r="E16" s="551" t="str">
        <f>+'LƯƠNG KT'!D18</f>
        <v>Phò Đưa</v>
      </c>
      <c r="F16" s="135" t="s">
        <v>15</v>
      </c>
      <c r="G16" s="552">
        <f>VLOOKUP(E16,'LƯƠNG KT'!$D$15:$R$94,4,0)</f>
        <v>0</v>
      </c>
      <c r="H16" s="552">
        <f>VLOOKUP(E16,'LƯƠNG KT'!$D$15:$R$94,9,0)</f>
        <v>2647152</v>
      </c>
      <c r="I16" s="552">
        <f>VLOOKUP(E16,'LƯƠNG KT'!$D$15:$R$94,15,0)</f>
        <v>1577174</v>
      </c>
      <c r="J16" s="558">
        <f t="shared" si="0"/>
        <v>4224326</v>
      </c>
      <c r="K16" s="558"/>
      <c r="L16" s="552"/>
      <c r="M16" s="552">
        <f t="shared" si="1"/>
        <v>4224326</v>
      </c>
      <c r="N16" s="551"/>
      <c r="O16" s="559">
        <f>VLOOKUP(E16,'LƯƠNG KT'!D18:U97,18,0)</f>
        <v>4224326</v>
      </c>
      <c r="P16" s="559">
        <f t="shared" si="2"/>
        <v>0</v>
      </c>
    </row>
    <row r="17" spans="1:16" s="540" customFormat="1" ht="17.25" customHeight="1">
      <c r="A17" s="132">
        <v>5</v>
      </c>
      <c r="B17" s="549"/>
      <c r="C17" s="245" t="e">
        <f>VLOOKUP(E17,'DS CN MOI UP'!$B$10:$C$347,2,0)</f>
        <v>#N/A</v>
      </c>
      <c r="D17" s="550" t="s">
        <v>651</v>
      </c>
      <c r="E17" s="551" t="str">
        <f>+'LƯƠNG KT'!D19</f>
        <v>Xúc</v>
      </c>
      <c r="F17" s="135" t="s">
        <v>15</v>
      </c>
      <c r="G17" s="552">
        <f>VLOOKUP(E17,'LƯƠNG KT'!$D$15:$R$94,4,0)</f>
        <v>0</v>
      </c>
      <c r="H17" s="552">
        <f>VLOOKUP(E17,'LƯƠNG KT'!$D$15:$R$94,9,0)</f>
        <v>2930509</v>
      </c>
      <c r="I17" s="552">
        <f>VLOOKUP(E17,'LƯƠNG KT'!$D$15:$R$94,15,0)</f>
        <v>1475507</v>
      </c>
      <c r="J17" s="558">
        <f t="shared" si="0"/>
        <v>4406016</v>
      </c>
      <c r="K17" s="558"/>
      <c r="L17" s="552"/>
      <c r="M17" s="552">
        <f t="shared" si="1"/>
        <v>4406016</v>
      </c>
      <c r="N17" s="551"/>
      <c r="O17" s="559">
        <f>VLOOKUP(E17,'LƯƠNG KT'!D19:U98,18,0)</f>
        <v>4406016</v>
      </c>
      <c r="P17" s="559">
        <f t="shared" si="2"/>
        <v>0</v>
      </c>
    </row>
    <row r="18" spans="1:16" s="540" customFormat="1" ht="17.25" customHeight="1">
      <c r="A18" s="132">
        <v>6</v>
      </c>
      <c r="B18" s="549"/>
      <c r="C18" s="245" t="e">
        <f>VLOOKUP(E18,'DS CN MOI UP'!$B$10:$C$347,2,0)</f>
        <v>#N/A</v>
      </c>
      <c r="D18" s="550" t="s">
        <v>651</v>
      </c>
      <c r="E18" s="551" t="str">
        <f>+'LƯƠNG KT'!D20</f>
        <v>Phơ</v>
      </c>
      <c r="F18" s="135" t="s">
        <v>15</v>
      </c>
      <c r="G18" s="552">
        <f>VLOOKUP(E18,'LƯƠNG KT'!$D$15:$R$94,4,0)</f>
        <v>0</v>
      </c>
      <c r="H18" s="552">
        <f>VLOOKUP(E18,'LƯƠNG KT'!$D$15:$R$94,9,0)</f>
        <v>3683996</v>
      </c>
      <c r="I18" s="552">
        <f>VLOOKUP(E18,'LƯƠNG KT'!$D$15:$R$94,15,0)</f>
        <v>1526340</v>
      </c>
      <c r="J18" s="558">
        <f t="shared" si="0"/>
        <v>5210336</v>
      </c>
      <c r="K18" s="558"/>
      <c r="L18" s="552"/>
      <c r="M18" s="552">
        <f t="shared" si="1"/>
        <v>5210336</v>
      </c>
      <c r="N18" s="551"/>
      <c r="O18" s="559">
        <f>VLOOKUP(E18,'LƯƠNG KT'!D20:U99,18,0)</f>
        <v>5210336</v>
      </c>
      <c r="P18" s="559">
        <f t="shared" si="2"/>
        <v>0</v>
      </c>
    </row>
    <row r="19" spans="1:16" s="540" customFormat="1" ht="17.25" customHeight="1">
      <c r="A19" s="132">
        <v>7</v>
      </c>
      <c r="B19" s="549"/>
      <c r="C19" s="245" t="e">
        <f>VLOOKUP(E19,'DS CN MOI UP'!$B$10:$C$347,2,0)</f>
        <v>#N/A</v>
      </c>
      <c r="D19" s="550" t="s">
        <v>651</v>
      </c>
      <c r="E19" s="551" t="str">
        <f>+'LƯƠNG KT'!D21</f>
        <v>A Phơ</v>
      </c>
      <c r="F19" s="135" t="s">
        <v>15</v>
      </c>
      <c r="G19" s="552">
        <f>VLOOKUP(E19,'LƯƠNG KT'!$D$15:$R$94,4,0)</f>
        <v>0</v>
      </c>
      <c r="H19" s="552">
        <f>VLOOKUP(E19,'LƯƠNG KT'!$D$15:$R$94,9,0)</f>
        <v>4123592</v>
      </c>
      <c r="I19" s="552">
        <f>VLOOKUP(E19,'LƯƠNG KT'!$D$15:$R$94,15,0)</f>
        <v>1577174</v>
      </c>
      <c r="J19" s="558">
        <f t="shared" si="0"/>
        <v>5700766</v>
      </c>
      <c r="K19" s="558"/>
      <c r="L19" s="552"/>
      <c r="M19" s="552">
        <f t="shared" si="1"/>
        <v>5700766</v>
      </c>
      <c r="N19" s="551"/>
      <c r="O19" s="559">
        <f>VLOOKUP(E19,'LƯƠNG KT'!D21:U100,18,0)</f>
        <v>5700766</v>
      </c>
      <c r="P19" s="559">
        <f t="shared" si="2"/>
        <v>0</v>
      </c>
    </row>
    <row r="20" spans="1:16" s="540" customFormat="1" ht="17.25" customHeight="1">
      <c r="A20" s="132">
        <v>8</v>
      </c>
      <c r="B20" s="549"/>
      <c r="C20" s="245" t="e">
        <f>VLOOKUP(E20,'DS CN MOI UP'!$B$10:$C$347,2,0)</f>
        <v>#N/A</v>
      </c>
      <c r="D20" s="550" t="s">
        <v>651</v>
      </c>
      <c r="E20" s="551" t="str">
        <f>+'LƯƠNG KT'!D22</f>
        <v>Phò Lấp</v>
      </c>
      <c r="F20" s="135" t="s">
        <v>15</v>
      </c>
      <c r="G20" s="552">
        <f>VLOOKUP(E20,'LƯƠNG KT'!$D$15:$R$94,4,0)</f>
        <v>0</v>
      </c>
      <c r="H20" s="552">
        <f>VLOOKUP(E20,'LƯƠNG KT'!$D$15:$R$94,9,0)</f>
        <v>1901797</v>
      </c>
      <c r="I20" s="552">
        <f>VLOOKUP(E20,'LƯƠNG KT'!$D$15:$R$94,15,0)</f>
        <v>1180138</v>
      </c>
      <c r="J20" s="558">
        <f t="shared" si="0"/>
        <v>3081935</v>
      </c>
      <c r="K20" s="558"/>
      <c r="L20" s="552"/>
      <c r="M20" s="552">
        <f t="shared" si="1"/>
        <v>3081935</v>
      </c>
      <c r="N20" s="551"/>
      <c r="O20" s="559">
        <f>VLOOKUP(E20,'LƯƠNG KT'!D22:U101,18,0)</f>
        <v>3081935</v>
      </c>
      <c r="P20" s="559">
        <f t="shared" si="2"/>
        <v>0</v>
      </c>
    </row>
    <row r="21" spans="1:16" s="540" customFormat="1" ht="17.25" customHeight="1">
      <c r="A21" s="132">
        <v>9</v>
      </c>
      <c r="B21" s="549"/>
      <c r="C21" s="245" t="e">
        <f>VLOOKUP(E21,'DS CN MOI UP'!$B$10:$C$347,2,0)</f>
        <v>#N/A</v>
      </c>
      <c r="D21" s="550" t="s">
        <v>651</v>
      </c>
      <c r="E21" s="551" t="str">
        <f>+'LƯƠNG KT'!D23</f>
        <v>Nang Sun</v>
      </c>
      <c r="F21" s="135" t="s">
        <v>15</v>
      </c>
      <c r="G21" s="552">
        <f>VLOOKUP(E21,'LƯƠNG KT'!$D$15:$R$94,4,0)</f>
        <v>0</v>
      </c>
      <c r="H21" s="552">
        <f>VLOOKUP(E21,'LƯƠNG KT'!$D$15:$R$94,9,0)</f>
        <v>3581112</v>
      </c>
      <c r="I21" s="552">
        <f>VLOOKUP(E21,'LƯƠNG KT'!$D$15:$R$94,15,0)</f>
        <v>1577174</v>
      </c>
      <c r="J21" s="558">
        <f t="shared" si="0"/>
        <v>5158286</v>
      </c>
      <c r="K21" s="558"/>
      <c r="L21" s="552"/>
      <c r="M21" s="552">
        <f t="shared" si="1"/>
        <v>5158286</v>
      </c>
      <c r="N21" s="551"/>
      <c r="O21" s="559">
        <f>VLOOKUP(E21,'LƯƠNG KT'!D23:U102,18,0)</f>
        <v>5158286</v>
      </c>
      <c r="P21" s="559">
        <f t="shared" si="2"/>
        <v>0</v>
      </c>
    </row>
    <row r="22" spans="1:16" s="540" customFormat="1" ht="17.25" customHeight="1">
      <c r="A22" s="132">
        <v>10</v>
      </c>
      <c r="B22" s="549"/>
      <c r="C22" s="245" t="e">
        <f>VLOOKUP(E22,'DS CN MOI UP'!$B$10:$C$347,2,0)</f>
        <v>#N/A</v>
      </c>
      <c r="D22" s="550" t="s">
        <v>651</v>
      </c>
      <c r="E22" s="551" t="str">
        <f>+'LƯƠNG KT'!D24</f>
        <v>A Nhem</v>
      </c>
      <c r="F22" s="135" t="s">
        <v>15</v>
      </c>
      <c r="G22" s="552">
        <f>VLOOKUP(E22,'LƯƠNG KT'!$D$15:$R$94,4,0)</f>
        <v>0</v>
      </c>
      <c r="H22" s="552">
        <f>VLOOKUP(E22,'LƯƠNG KT'!$D$15:$R$94,9,0)</f>
        <v>1884698</v>
      </c>
      <c r="I22" s="552">
        <f>VLOOKUP(E22,'LƯƠNG KT'!$D$15:$R$94,15,0)</f>
        <v>1526340</v>
      </c>
      <c r="J22" s="558">
        <f t="shared" si="0"/>
        <v>3411038</v>
      </c>
      <c r="K22" s="558"/>
      <c r="L22" s="552"/>
      <c r="M22" s="552">
        <f t="shared" si="1"/>
        <v>3411038</v>
      </c>
      <c r="N22" s="551"/>
      <c r="O22" s="559">
        <f>VLOOKUP(E22,'LƯƠNG KT'!D24:U103,18,0)</f>
        <v>3411038</v>
      </c>
      <c r="P22" s="559">
        <f t="shared" si="2"/>
        <v>0</v>
      </c>
    </row>
    <row r="23" spans="1:16" s="540" customFormat="1" ht="17.25" customHeight="1">
      <c r="A23" s="132">
        <v>11</v>
      </c>
      <c r="B23" s="549"/>
      <c r="C23" s="245" t="e">
        <f>VLOOKUP(E23,'DS CN MOI UP'!$B$10:$C$347,2,0)</f>
        <v>#N/A</v>
      </c>
      <c r="D23" s="550" t="s">
        <v>651</v>
      </c>
      <c r="E23" s="551" t="str">
        <f>+'LƯƠNG KT'!D25</f>
        <v>Ton</v>
      </c>
      <c r="F23" s="135" t="s">
        <v>15</v>
      </c>
      <c r="G23" s="552">
        <f>VLOOKUP(E23,'LƯƠNG KT'!$D$15:$R$94,4,0)</f>
        <v>0</v>
      </c>
      <c r="H23" s="552">
        <f>VLOOKUP(E23,'LƯƠNG KT'!$D$15:$R$94,9,0)</f>
        <v>2035697</v>
      </c>
      <c r="I23" s="552">
        <f>VLOOKUP(E23,'LƯƠNG KT'!$D$15:$R$94,15,0)</f>
        <v>1526340</v>
      </c>
      <c r="J23" s="558">
        <f t="shared" si="0"/>
        <v>3562037</v>
      </c>
      <c r="K23" s="558"/>
      <c r="L23" s="552"/>
      <c r="M23" s="552">
        <f t="shared" si="1"/>
        <v>3562037</v>
      </c>
      <c r="N23" s="551"/>
      <c r="O23" s="559">
        <f>VLOOKUP(E23,'LƯƠNG KT'!D25:U104,18,0)</f>
        <v>3562037</v>
      </c>
      <c r="P23" s="559">
        <f t="shared" si="2"/>
        <v>0</v>
      </c>
    </row>
    <row r="24" spans="1:16" s="540" customFormat="1" ht="17.25" customHeight="1">
      <c r="A24" s="132">
        <v>12</v>
      </c>
      <c r="B24" s="549"/>
      <c r="C24" s="245" t="e">
        <f>VLOOKUP(E24,'DS CN MOI UP'!$B$10:$C$347,2,0)</f>
        <v>#N/A</v>
      </c>
      <c r="D24" s="550" t="s">
        <v>651</v>
      </c>
      <c r="E24" s="551" t="str">
        <f>+'LƯƠNG KT'!D26</f>
        <v>Phò Thít</v>
      </c>
      <c r="F24" s="135" t="s">
        <v>15</v>
      </c>
      <c r="G24" s="552">
        <f>VLOOKUP(E24,'LƯƠNG KT'!$D$15:$R$94,4,0)</f>
        <v>0</v>
      </c>
      <c r="H24" s="552">
        <f>VLOOKUP(E24,'LƯƠNG KT'!$D$15:$R$94,9,0)</f>
        <v>3700420</v>
      </c>
      <c r="I24" s="552">
        <f>VLOOKUP(E24,'LƯƠNG KT'!$D$15:$R$94,15,0)</f>
        <v>1628007</v>
      </c>
      <c r="J24" s="558">
        <f t="shared" si="0"/>
        <v>5328427</v>
      </c>
      <c r="K24" s="558"/>
      <c r="L24" s="552"/>
      <c r="M24" s="552">
        <f t="shared" si="1"/>
        <v>5328427</v>
      </c>
      <c r="N24" s="551"/>
      <c r="O24" s="559">
        <f>VLOOKUP(E24,'LƯƠNG KT'!D26:U105,18,0)</f>
        <v>5328427</v>
      </c>
      <c r="P24" s="559">
        <f t="shared" si="2"/>
        <v>0</v>
      </c>
    </row>
    <row r="25" spans="1:16" s="540" customFormat="1" ht="17.25" customHeight="1">
      <c r="A25" s="132">
        <v>13</v>
      </c>
      <c r="B25" s="549"/>
      <c r="C25" s="245" t="e">
        <f>VLOOKUP(E25,'DS CN MOI UP'!$B$10:$C$347,2,0)</f>
        <v>#N/A</v>
      </c>
      <c r="D25" s="550" t="s">
        <v>651</v>
      </c>
      <c r="E25" s="551" t="str">
        <f>+'LƯƠNG KT'!D27</f>
        <v>A Bớp</v>
      </c>
      <c r="F25" s="135" t="s">
        <v>15</v>
      </c>
      <c r="G25" s="552">
        <f>VLOOKUP(E25,'LƯƠNG KT'!$D$15:$R$94,4,0)</f>
        <v>0</v>
      </c>
      <c r="H25" s="552">
        <f>VLOOKUP(E25,'LƯƠNG KT'!$D$15:$R$94,9,0)</f>
        <v>5010947</v>
      </c>
      <c r="I25" s="552">
        <f>VLOOKUP(E25,'LƯƠNG KT'!$D$15:$R$94,15,0)</f>
        <v>1577174</v>
      </c>
      <c r="J25" s="558">
        <f t="shared" si="0"/>
        <v>6588121</v>
      </c>
      <c r="K25" s="558"/>
      <c r="L25" s="552"/>
      <c r="M25" s="552">
        <f t="shared" si="1"/>
        <v>6588121</v>
      </c>
      <c r="N25" s="551"/>
      <c r="O25" s="559">
        <f>VLOOKUP(E25,'LƯƠNG KT'!D27:U106,18,0)</f>
        <v>6588121</v>
      </c>
      <c r="P25" s="559">
        <f t="shared" si="2"/>
        <v>0</v>
      </c>
    </row>
    <row r="26" spans="1:16" s="540" customFormat="1" ht="17.25" customHeight="1">
      <c r="A26" s="132">
        <v>14</v>
      </c>
      <c r="B26" s="549"/>
      <c r="C26" s="245" t="e">
        <f>VLOOKUP(E26,'DS CN MOI UP'!$B$10:$C$347,2,0)</f>
        <v>#N/A</v>
      </c>
      <c r="D26" s="550" t="s">
        <v>651</v>
      </c>
      <c r="E26" s="551" t="str">
        <f>+'LƯƠNG KT'!D28</f>
        <v>A Cơ</v>
      </c>
      <c r="F26" s="135" t="s">
        <v>15</v>
      </c>
      <c r="G26" s="552">
        <f>VLOOKUP(E26,'LƯƠNG KT'!$D$15:$R$94,4,0)</f>
        <v>0</v>
      </c>
      <c r="H26" s="552">
        <f>VLOOKUP(E26,'LƯƠNG KT'!$D$15:$R$94,9,0)</f>
        <v>3143091</v>
      </c>
      <c r="I26" s="552">
        <f>VLOOKUP(E26,'LƯƠNG KT'!$D$15:$R$94,15,0)</f>
        <v>1577174</v>
      </c>
      <c r="J26" s="558">
        <f t="shared" si="0"/>
        <v>4720265</v>
      </c>
      <c r="K26" s="558"/>
      <c r="L26" s="552"/>
      <c r="M26" s="552">
        <f t="shared" si="1"/>
        <v>4720265</v>
      </c>
      <c r="N26" s="551"/>
      <c r="O26" s="559">
        <f>VLOOKUP(E26,'LƯƠNG KT'!D28:U107,18,0)</f>
        <v>4720265</v>
      </c>
      <c r="P26" s="559">
        <f t="shared" si="2"/>
        <v>0</v>
      </c>
    </row>
    <row r="27" spans="1:16" s="540" customFormat="1" ht="17.25" customHeight="1">
      <c r="A27" s="132">
        <v>15</v>
      </c>
      <c r="B27" s="549"/>
      <c r="C27" s="245" t="e">
        <f>VLOOKUP(E27,'DS CN MOI UP'!$B$10:$C$347,2,0)</f>
        <v>#N/A</v>
      </c>
      <c r="D27" s="550" t="s">
        <v>651</v>
      </c>
      <c r="E27" s="551" t="str">
        <f>+'LƯƠNG KT'!D29</f>
        <v>Võ Thị Nguyên</v>
      </c>
      <c r="F27" s="135" t="s">
        <v>15</v>
      </c>
      <c r="G27" s="552">
        <f>VLOOKUP(E27,'LƯƠNG KT'!$D$15:$R$94,4,0)</f>
        <v>0</v>
      </c>
      <c r="H27" s="552">
        <f>VLOOKUP(E27,'LƯƠNG KT'!$D$15:$R$94,9,0)</f>
        <v>4652540</v>
      </c>
      <c r="I27" s="552">
        <f>VLOOKUP(E27,'LƯƠNG KT'!$D$15:$R$94,15,0)</f>
        <v>1628007</v>
      </c>
      <c r="J27" s="558">
        <f t="shared" si="0"/>
        <v>6280547</v>
      </c>
      <c r="K27" s="558"/>
      <c r="L27" s="552"/>
      <c r="M27" s="552">
        <f t="shared" si="1"/>
        <v>6280547</v>
      </c>
      <c r="N27" s="551"/>
      <c r="O27" s="559">
        <f>VLOOKUP(E27,'LƯƠNG KT'!D29:U108,18,0)</f>
        <v>6280547</v>
      </c>
      <c r="P27" s="559">
        <f t="shared" si="2"/>
        <v>0</v>
      </c>
    </row>
    <row r="28" spans="1:16" s="540" customFormat="1" ht="17.25" customHeight="1">
      <c r="A28" s="132">
        <v>16</v>
      </c>
      <c r="B28" s="549"/>
      <c r="C28" s="245" t="e">
        <f>VLOOKUP(E28,'DS CN MOI UP'!$B$10:$C$347,2,0)</f>
        <v>#N/A</v>
      </c>
      <c r="D28" s="550" t="s">
        <v>654</v>
      </c>
      <c r="E28" s="551" t="str">
        <f>+'LƯƠNG KT'!D30</f>
        <v>Nguyễn Thị Thanh Trà</v>
      </c>
      <c r="F28" s="135" t="s">
        <v>15</v>
      </c>
      <c r="G28" s="552">
        <f>VLOOKUP(E28,'LƯƠNG KT'!$D$15:$R$94,4,0)</f>
        <v>0</v>
      </c>
      <c r="H28" s="552">
        <f>VLOOKUP(E28,'LƯƠNG KT'!$D$15:$R$94,9,0)</f>
        <v>4652540</v>
      </c>
      <c r="I28" s="552">
        <f>VLOOKUP(E28,'LƯƠNG KT'!$D$15:$R$94,15,0)</f>
        <v>1628007</v>
      </c>
      <c r="J28" s="558">
        <f t="shared" si="0"/>
        <v>6280547</v>
      </c>
      <c r="K28" s="558"/>
      <c r="L28" s="552"/>
      <c r="M28" s="552">
        <f t="shared" si="1"/>
        <v>6280547</v>
      </c>
      <c r="N28" s="551"/>
      <c r="O28" s="559">
        <f>VLOOKUP(E28,'LƯƠNG KT'!D30:U109,18,0)</f>
        <v>6280547</v>
      </c>
      <c r="P28" s="559">
        <f t="shared" si="2"/>
        <v>0</v>
      </c>
    </row>
    <row r="29" spans="1:16" s="540" customFormat="1" ht="17.25" customHeight="1">
      <c r="A29" s="132">
        <v>17</v>
      </c>
      <c r="B29" s="549"/>
      <c r="C29" s="245" t="e">
        <f>VLOOKUP(E29,'DS CN MOI UP'!$B$10:$C$347,2,0)</f>
        <v>#N/A</v>
      </c>
      <c r="D29" s="550" t="s">
        <v>654</v>
      </c>
      <c r="E29" s="551" t="str">
        <f>+'LƯƠNG KT'!D31</f>
        <v>A Han</v>
      </c>
      <c r="F29" s="135" t="s">
        <v>15</v>
      </c>
      <c r="G29" s="552">
        <f>VLOOKUP(E29,'LƯƠNG KT'!$D$15:$R$94,4,0)</f>
        <v>0</v>
      </c>
      <c r="H29" s="552">
        <f>VLOOKUP(E29,'LƯƠNG KT'!$D$15:$R$94,9,0)</f>
        <v>4354751</v>
      </c>
      <c r="I29" s="552">
        <f>VLOOKUP(E29,'LƯƠNG KT'!$D$15:$R$94,15,0)</f>
        <v>1526340</v>
      </c>
      <c r="J29" s="558">
        <f t="shared" si="0"/>
        <v>5881091</v>
      </c>
      <c r="K29" s="558"/>
      <c r="L29" s="552"/>
      <c r="M29" s="552">
        <f t="shared" si="1"/>
        <v>5881091</v>
      </c>
      <c r="N29" s="551"/>
      <c r="O29" s="559">
        <f>VLOOKUP(E29,'LƯƠNG KT'!D31:U110,18,0)</f>
        <v>5881091</v>
      </c>
      <c r="P29" s="559">
        <f t="shared" si="2"/>
        <v>0</v>
      </c>
    </row>
    <row r="30" spans="1:16" s="540" customFormat="1" ht="17.25" customHeight="1">
      <c r="A30" s="132">
        <v>18</v>
      </c>
      <c r="B30" s="1761"/>
      <c r="C30" s="1762"/>
      <c r="D30" s="1763"/>
      <c r="E30" s="551" t="str">
        <f>+'LƯƠNG KT'!D32</f>
        <v>Thảo Bun Ten</v>
      </c>
      <c r="F30" s="135" t="s">
        <v>15</v>
      </c>
      <c r="G30" s="1657"/>
      <c r="H30" s="552">
        <f>VLOOKUP(E30,'LƯƠNG KT'!$D$15:$R$94,9,0)</f>
        <v>3493816</v>
      </c>
      <c r="I30" s="552">
        <f>VLOOKUP(E30,'LƯƠNG KT'!$D$15:$R$94,15,0)</f>
        <v>1577174</v>
      </c>
      <c r="J30" s="558">
        <f t="shared" si="0"/>
        <v>5070990</v>
      </c>
      <c r="K30" s="1765"/>
      <c r="L30" s="1657"/>
      <c r="M30" s="552">
        <f t="shared" si="1"/>
        <v>5070990</v>
      </c>
      <c r="N30" s="1764"/>
      <c r="O30" s="559">
        <f>VLOOKUP(E30,'LƯƠNG KT'!D32:U111,18,0)</f>
        <v>5070990</v>
      </c>
      <c r="P30" s="559">
        <f t="shared" si="2"/>
        <v>0</v>
      </c>
    </row>
    <row r="31" spans="1:16" s="540" customFormat="1" ht="17.25" customHeight="1">
      <c r="A31" s="132">
        <v>19</v>
      </c>
      <c r="B31" s="1761"/>
      <c r="C31" s="1762"/>
      <c r="D31" s="1763"/>
      <c r="E31" s="551" t="str">
        <f>+'LƯƠNG KT'!D33</f>
        <v>Nang Đào</v>
      </c>
      <c r="F31" s="135" t="s">
        <v>15</v>
      </c>
      <c r="G31" s="1657"/>
      <c r="H31" s="552">
        <f>VLOOKUP(E31,'LƯƠNG KT'!$D$15:$R$94,9,0)</f>
        <v>2020784</v>
      </c>
      <c r="I31" s="552">
        <f>VLOOKUP(E31,'LƯƠNG KT'!$D$15:$R$94,15,0)</f>
        <v>1475507</v>
      </c>
      <c r="J31" s="558">
        <f t="shared" si="0"/>
        <v>3496291</v>
      </c>
      <c r="K31" s="1765"/>
      <c r="L31" s="1657"/>
      <c r="M31" s="552">
        <f t="shared" si="1"/>
        <v>3496291</v>
      </c>
      <c r="N31" s="1764"/>
      <c r="O31" s="559">
        <f>VLOOKUP(E31,'LƯƠNG KT'!D33:U112,18,0)</f>
        <v>3496291</v>
      </c>
      <c r="P31" s="559">
        <f t="shared" si="2"/>
        <v>0</v>
      </c>
    </row>
    <row r="32" spans="1:16" s="540" customFormat="1" ht="17.25" customHeight="1">
      <c r="A32" s="132">
        <v>20</v>
      </c>
      <c r="B32" s="1761"/>
      <c r="C32" s="1762"/>
      <c r="D32" s="1763"/>
      <c r="E32" s="551" t="str">
        <f>+'LƯƠNG KT'!D34</f>
        <v>Phò Nhạt</v>
      </c>
      <c r="F32" s="135" t="s">
        <v>15</v>
      </c>
      <c r="G32" s="1657"/>
      <c r="H32" s="552">
        <f>VLOOKUP(E32,'LƯƠNG KT'!$D$15:$R$94,9,0)</f>
        <v>2900682</v>
      </c>
      <c r="I32" s="552">
        <f>VLOOKUP(E32,'LƯƠNG KT'!$D$15:$R$94,15,0)</f>
        <v>1577174</v>
      </c>
      <c r="J32" s="558">
        <f t="shared" si="0"/>
        <v>4477856</v>
      </c>
      <c r="K32" s="1765"/>
      <c r="L32" s="1657"/>
      <c r="M32" s="552">
        <f t="shared" si="1"/>
        <v>4477856</v>
      </c>
      <c r="N32" s="1764"/>
      <c r="O32" s="559">
        <f>VLOOKUP(E32,'LƯƠNG KT'!D34:U113,18,0)</f>
        <v>4477856</v>
      </c>
      <c r="P32" s="559">
        <f t="shared" si="2"/>
        <v>0</v>
      </c>
    </row>
    <row r="33" spans="1:16" s="540" customFormat="1" ht="17.25" customHeight="1">
      <c r="A33" s="132">
        <v>21</v>
      </c>
      <c r="B33" s="1761"/>
      <c r="C33" s="1762"/>
      <c r="D33" s="1763"/>
      <c r="E33" s="551" t="str">
        <f>+'LƯƠNG KT'!D35</f>
        <v>Nang Xây</v>
      </c>
      <c r="F33" s="135" t="s">
        <v>15</v>
      </c>
      <c r="G33" s="1657"/>
      <c r="H33" s="552">
        <f>VLOOKUP(E33,'LƯƠNG KT'!$D$15:$R$94,9,0)</f>
        <v>2606140</v>
      </c>
      <c r="I33" s="552">
        <f>VLOOKUP(E33,'LƯƠNG KT'!$D$15:$R$94,15,0)</f>
        <v>1526340</v>
      </c>
      <c r="J33" s="558">
        <f t="shared" si="0"/>
        <v>4132480</v>
      </c>
      <c r="K33" s="1765"/>
      <c r="L33" s="1657"/>
      <c r="M33" s="552">
        <f t="shared" si="1"/>
        <v>4132480</v>
      </c>
      <c r="N33" s="1764"/>
      <c r="O33" s="559">
        <f>VLOOKUP(E33,'LƯƠNG KT'!D35:U114,18,0)</f>
        <v>4132480</v>
      </c>
      <c r="P33" s="559">
        <f t="shared" si="2"/>
        <v>0</v>
      </c>
    </row>
    <row r="34" spans="1:16" s="540" customFormat="1" ht="17.25" customHeight="1">
      <c r="A34" s="132">
        <v>22</v>
      </c>
      <c r="B34" s="1761"/>
      <c r="C34" s="1762"/>
      <c r="D34" s="1763"/>
      <c r="E34" s="551" t="str">
        <f>+'LƯƠNG KT'!D36</f>
        <v>Thảo Anh</v>
      </c>
      <c r="F34" s="135" t="s">
        <v>15</v>
      </c>
      <c r="G34" s="1657"/>
      <c r="H34" s="552">
        <f>VLOOKUP(E34,'LƯƠNG KT'!$D$15:$R$94,9,0)</f>
        <v>3566198</v>
      </c>
      <c r="I34" s="552">
        <f>VLOOKUP(E34,'LƯƠNG KT'!$D$15:$R$94,15,0)</f>
        <v>1577174</v>
      </c>
      <c r="J34" s="558">
        <f t="shared" si="0"/>
        <v>5143372</v>
      </c>
      <c r="K34" s="1765"/>
      <c r="L34" s="1657"/>
      <c r="M34" s="552">
        <f t="shared" si="1"/>
        <v>5143372</v>
      </c>
      <c r="N34" s="1764"/>
      <c r="O34" s="559">
        <f>VLOOKUP(E34,'LƯƠNG KT'!D36:U115,18,0)</f>
        <v>5143372</v>
      </c>
      <c r="P34" s="559">
        <f t="shared" si="2"/>
        <v>0</v>
      </c>
    </row>
    <row r="35" spans="1:16" s="540" customFormat="1" ht="17.25" customHeight="1">
      <c r="A35" s="132">
        <v>23</v>
      </c>
      <c r="B35" s="1761"/>
      <c r="C35" s="1762"/>
      <c r="D35" s="1763"/>
      <c r="E35" s="551" t="str">
        <f>+'LƯƠNG KT'!D37</f>
        <v>Húc</v>
      </c>
      <c r="F35" s="135" t="s">
        <v>15</v>
      </c>
      <c r="G35" s="1657"/>
      <c r="H35" s="552">
        <f>VLOOKUP(E35,'LƯƠNG KT'!$D$15:$R$94,9,0)</f>
        <v>3830913</v>
      </c>
      <c r="I35" s="552">
        <f>VLOOKUP(E35,'LƯƠNG KT'!$D$15:$R$94,15,0)</f>
        <v>1454906</v>
      </c>
      <c r="J35" s="558">
        <f t="shared" si="0"/>
        <v>5285819</v>
      </c>
      <c r="K35" s="1765"/>
      <c r="L35" s="1657"/>
      <c r="M35" s="552">
        <f t="shared" si="1"/>
        <v>5285819</v>
      </c>
      <c r="N35" s="1764"/>
      <c r="O35" s="559">
        <f>VLOOKUP(E35,'LƯƠNG KT'!D37:U116,18,0)</f>
        <v>5285819</v>
      </c>
      <c r="P35" s="559">
        <f t="shared" si="2"/>
        <v>0</v>
      </c>
    </row>
    <row r="36" spans="1:16" s="540" customFormat="1" ht="17.25" customHeight="1">
      <c r="A36" s="132">
        <v>24</v>
      </c>
      <c r="B36" s="1761"/>
      <c r="C36" s="1762"/>
      <c r="D36" s="1763"/>
      <c r="E36" s="551" t="str">
        <f>+'LƯƠNG KT'!D38</f>
        <v>Thảo Nét</v>
      </c>
      <c r="F36" s="135" t="s">
        <v>15</v>
      </c>
      <c r="G36" s="1657"/>
      <c r="H36" s="552">
        <f>VLOOKUP(E36,'LƯƠNG KT'!$D$15:$R$94,9,0)</f>
        <v>1183762</v>
      </c>
      <c r="I36" s="552">
        <f>VLOOKUP(E36,'LƯƠNG KT'!$D$15:$R$94,15,0)</f>
        <v>1200739</v>
      </c>
      <c r="J36" s="558">
        <f t="shared" si="0"/>
        <v>2384501</v>
      </c>
      <c r="K36" s="1765"/>
      <c r="L36" s="1657"/>
      <c r="M36" s="552">
        <f t="shared" si="1"/>
        <v>2384501</v>
      </c>
      <c r="N36" s="1764"/>
      <c r="O36" s="559">
        <f>VLOOKUP(E36,'LƯƠNG KT'!D38:U117,18,0)</f>
        <v>2384501</v>
      </c>
      <c r="P36" s="559">
        <f t="shared" si="2"/>
        <v>0</v>
      </c>
    </row>
    <row r="37" spans="1:16" s="540" customFormat="1" ht="17.25" customHeight="1">
      <c r="A37" s="132">
        <v>25</v>
      </c>
      <c r="B37" s="1761"/>
      <c r="C37" s="1762"/>
      <c r="D37" s="1763"/>
      <c r="E37" s="551" t="str">
        <f>+'LƯƠNG KT'!D39</f>
        <v>Thảo út</v>
      </c>
      <c r="F37" s="135" t="s">
        <v>15</v>
      </c>
      <c r="G37" s="1657"/>
      <c r="H37" s="552">
        <f>VLOOKUP(E37,'LƯƠNG KT'!$D$15:$R$94,9,0)</f>
        <v>1426106</v>
      </c>
      <c r="I37" s="552">
        <f>VLOOKUP(E37,'LƯƠNG KT'!$D$15:$R$94,15,0)</f>
        <v>1251572</v>
      </c>
      <c r="J37" s="558">
        <f t="shared" si="0"/>
        <v>2677678</v>
      </c>
      <c r="K37" s="1765"/>
      <c r="L37" s="1657"/>
      <c r="M37" s="552">
        <f t="shared" si="1"/>
        <v>2677678</v>
      </c>
      <c r="N37" s="1764"/>
      <c r="O37" s="559">
        <f>VLOOKUP(E37,'LƯƠNG KT'!D39:U118,18,0)</f>
        <v>2677678</v>
      </c>
      <c r="P37" s="559">
        <f t="shared" si="2"/>
        <v>0</v>
      </c>
    </row>
    <row r="38" spans="1:16" s="540" customFormat="1" ht="17.25" customHeight="1">
      <c r="A38" s="132">
        <v>26</v>
      </c>
      <c r="B38" s="1761"/>
      <c r="C38" s="1762"/>
      <c r="D38" s="1763"/>
      <c r="E38" s="551" t="str">
        <f>+'LƯƠNG KT'!D40</f>
        <v>Nang Nhăn</v>
      </c>
      <c r="F38" s="135" t="s">
        <v>15</v>
      </c>
      <c r="G38" s="1657"/>
      <c r="H38" s="552">
        <f>VLOOKUP(E38,'LƯƠNG KT'!$D$15:$R$94,9,0)</f>
        <v>1157663</v>
      </c>
      <c r="I38" s="552">
        <f>VLOOKUP(E38,'LƯƠNG KT'!$D$15:$R$94,15,0)</f>
        <v>1078471</v>
      </c>
      <c r="J38" s="558">
        <f t="shared" si="0"/>
        <v>2236134</v>
      </c>
      <c r="K38" s="1765"/>
      <c r="L38" s="1657"/>
      <c r="M38" s="552">
        <f t="shared" si="1"/>
        <v>2236134</v>
      </c>
      <c r="N38" s="1764"/>
      <c r="O38" s="559">
        <f>VLOOKUP(E38,'LƯƠNG KT'!D40:U119,18,0)</f>
        <v>2236134</v>
      </c>
      <c r="P38" s="559">
        <f t="shared" si="2"/>
        <v>0</v>
      </c>
    </row>
    <row r="39" spans="1:16" s="540" customFormat="1" ht="17.25" customHeight="1">
      <c r="A39" s="132">
        <v>27</v>
      </c>
      <c r="B39" s="1761"/>
      <c r="C39" s="1762"/>
      <c r="D39" s="1763"/>
      <c r="E39" s="551" t="str">
        <f>+'LƯƠNG KT'!D41</f>
        <v>A Nghen</v>
      </c>
      <c r="F39" s="135" t="s">
        <v>15</v>
      </c>
      <c r="G39" s="1657"/>
      <c r="H39" s="552">
        <f>VLOOKUP(E39,'LƯƠNG KT'!$D$15:$R$94,9,0)</f>
        <v>3169125</v>
      </c>
      <c r="I39" s="552">
        <f>VLOOKUP(E39,'LƯƠNG KT'!$D$15:$R$94,15,0)</f>
        <v>1526340</v>
      </c>
      <c r="J39" s="558">
        <f t="shared" si="0"/>
        <v>4695465</v>
      </c>
      <c r="K39" s="1765"/>
      <c r="L39" s="1657"/>
      <c r="M39" s="552">
        <f t="shared" si="1"/>
        <v>4695465</v>
      </c>
      <c r="N39" s="1764"/>
      <c r="O39" s="559">
        <f>VLOOKUP(E39,'LƯƠNG KT'!D41:U120,18,0)</f>
        <v>4695465</v>
      </c>
      <c r="P39" s="559">
        <f t="shared" si="2"/>
        <v>0</v>
      </c>
    </row>
    <row r="40" spans="1:16" s="540" customFormat="1" ht="17.25" customHeight="1">
      <c r="A40" s="132">
        <v>28</v>
      </c>
      <c r="B40" s="1761"/>
      <c r="C40" s="1762"/>
      <c r="D40" s="1763"/>
      <c r="E40" s="551" t="str">
        <f>+'LƯƠNG KT'!D42</f>
        <v>Thảo Xâm</v>
      </c>
      <c r="F40" s="135" t="s">
        <v>15</v>
      </c>
      <c r="G40" s="1657"/>
      <c r="H40" s="552">
        <f>VLOOKUP(E40,'LƯƠNG KT'!$D$15:$R$94,9,0)</f>
        <v>3321282</v>
      </c>
      <c r="I40" s="552">
        <f>VLOOKUP(E40,'LƯƠNG KT'!$D$15:$R$94,15,0)</f>
        <v>1577174</v>
      </c>
      <c r="J40" s="558">
        <f t="shared" si="0"/>
        <v>4898456</v>
      </c>
      <c r="K40" s="1765"/>
      <c r="L40" s="1657"/>
      <c r="M40" s="552">
        <f t="shared" si="1"/>
        <v>4898456</v>
      </c>
      <c r="N40" s="1764"/>
      <c r="O40" s="559">
        <f>VLOOKUP(E40,'LƯƠNG KT'!D42:U121,18,0)</f>
        <v>4898456</v>
      </c>
      <c r="P40" s="559">
        <f t="shared" si="2"/>
        <v>0</v>
      </c>
    </row>
    <row r="41" spans="1:16" s="540" customFormat="1" ht="17.25" customHeight="1">
      <c r="A41" s="132">
        <v>29</v>
      </c>
      <c r="B41" s="1761"/>
      <c r="C41" s="1762"/>
      <c r="D41" s="1763"/>
      <c r="E41" s="551" t="str">
        <f>+'LƯƠNG KT'!D43</f>
        <v>Thảo Von</v>
      </c>
      <c r="F41" s="135" t="s">
        <v>15</v>
      </c>
      <c r="G41" s="1657"/>
      <c r="H41" s="552">
        <f>VLOOKUP(E41,'LƯƠNG KT'!$D$15:$R$94,9,0)</f>
        <v>2380187</v>
      </c>
      <c r="I41" s="552">
        <f>VLOOKUP(E41,'LƯƠNG KT'!$D$15:$R$94,15,0)</f>
        <v>1526340</v>
      </c>
      <c r="J41" s="558">
        <f t="shared" si="0"/>
        <v>3906527</v>
      </c>
      <c r="K41" s="1765"/>
      <c r="L41" s="1657"/>
      <c r="M41" s="552">
        <f t="shared" si="1"/>
        <v>3906527</v>
      </c>
      <c r="N41" s="1764"/>
      <c r="O41" s="559">
        <f>VLOOKUP(E41,'LƯƠNG KT'!D43:U122,18,0)</f>
        <v>3906527</v>
      </c>
      <c r="P41" s="559">
        <f t="shared" si="2"/>
        <v>0</v>
      </c>
    </row>
    <row r="42" spans="1:16" s="540" customFormat="1" ht="17.25" customHeight="1">
      <c r="A42" s="132">
        <v>30</v>
      </c>
      <c r="B42" s="1761"/>
      <c r="C42" s="1762"/>
      <c r="D42" s="1763"/>
      <c r="E42" s="551" t="str">
        <f>+'LƯƠNG KT'!D44</f>
        <v>Nang Phen</v>
      </c>
      <c r="F42" s="135" t="s">
        <v>15</v>
      </c>
      <c r="G42" s="1657"/>
      <c r="H42" s="552">
        <f>VLOOKUP(E42,'LƯƠNG KT'!$D$15:$R$94,9,0)</f>
        <v>3366376</v>
      </c>
      <c r="I42" s="552">
        <f>VLOOKUP(E42,'LƯƠNG KT'!$D$15:$R$94,15,0)</f>
        <v>1577174</v>
      </c>
      <c r="J42" s="558">
        <f t="shared" si="0"/>
        <v>4943550</v>
      </c>
      <c r="K42" s="1765"/>
      <c r="L42" s="1657"/>
      <c r="M42" s="552">
        <f t="shared" si="1"/>
        <v>4943550</v>
      </c>
      <c r="N42" s="1764"/>
      <c r="O42" s="559">
        <f>VLOOKUP(E42,'LƯƠNG KT'!D44:U123,18,0)</f>
        <v>4943550</v>
      </c>
      <c r="P42" s="559">
        <f t="shared" si="2"/>
        <v>0</v>
      </c>
    </row>
    <row r="43" spans="1:16" s="540" customFormat="1" ht="17.25" customHeight="1">
      <c r="A43" s="132">
        <v>31</v>
      </c>
      <c r="B43" s="1761"/>
      <c r="C43" s="1762"/>
      <c r="D43" s="1763"/>
      <c r="E43" s="551" t="str">
        <f>+'LƯƠNG KT'!D45</f>
        <v>Nang Bun Ten</v>
      </c>
      <c r="F43" s="135" t="s">
        <v>15</v>
      </c>
      <c r="G43" s="1657"/>
      <c r="H43" s="552">
        <f>VLOOKUP(E43,'LƯƠNG KT'!$D$15:$R$94,9,0)</f>
        <v>3527147</v>
      </c>
      <c r="I43" s="552">
        <f>VLOOKUP(E43,'LƯƠNG KT'!$D$15:$R$94,15,0)</f>
        <v>1577174</v>
      </c>
      <c r="J43" s="558">
        <f t="shared" si="0"/>
        <v>5104321</v>
      </c>
      <c r="K43" s="1765"/>
      <c r="L43" s="1657"/>
      <c r="M43" s="552">
        <f t="shared" si="1"/>
        <v>5104321</v>
      </c>
      <c r="N43" s="1764"/>
      <c r="O43" s="559">
        <f>VLOOKUP(E43,'LƯƠNG KT'!D45:U124,18,0)</f>
        <v>5104321</v>
      </c>
      <c r="P43" s="559">
        <f t="shared" si="2"/>
        <v>0</v>
      </c>
    </row>
    <row r="44" spans="1:16" s="540" customFormat="1" ht="17.25" customHeight="1">
      <c r="A44" s="132">
        <v>32</v>
      </c>
      <c r="B44" s="1761"/>
      <c r="C44" s="1762"/>
      <c r="D44" s="1763"/>
      <c r="E44" s="551" t="str">
        <f>+'LƯƠNG KT'!D46</f>
        <v>Thảo Ben</v>
      </c>
      <c r="F44" s="135" t="s">
        <v>15</v>
      </c>
      <c r="G44" s="1657"/>
      <c r="H44" s="552">
        <f>VLOOKUP(E44,'LƯƠNG KT'!$D$15:$R$94,9,0)</f>
        <v>974426</v>
      </c>
      <c r="I44" s="552">
        <f>VLOOKUP(E44,'LƯƠNG KT'!$D$15:$R$94,15,0)</f>
        <v>1027638</v>
      </c>
      <c r="J44" s="558">
        <f t="shared" si="0"/>
        <v>2002064</v>
      </c>
      <c r="K44" s="1765"/>
      <c r="L44" s="1657"/>
      <c r="M44" s="552">
        <f t="shared" si="1"/>
        <v>2002064</v>
      </c>
      <c r="N44" s="1764"/>
      <c r="O44" s="559">
        <f>VLOOKUP(E44,'LƯƠNG KT'!D46:U125,18,0)</f>
        <v>2002064</v>
      </c>
      <c r="P44" s="559">
        <f t="shared" si="2"/>
        <v>0</v>
      </c>
    </row>
    <row r="45" spans="1:16" s="540" customFormat="1" ht="17.25" customHeight="1">
      <c r="A45" s="132">
        <v>33</v>
      </c>
      <c r="B45" s="1761"/>
      <c r="C45" s="1762"/>
      <c r="D45" s="1763"/>
      <c r="E45" s="551" t="str">
        <f>+'LƯƠNG KT'!D47</f>
        <v>Da Lây</v>
      </c>
      <c r="F45" s="135" t="s">
        <v>15</v>
      </c>
      <c r="G45" s="1657"/>
      <c r="H45" s="552">
        <f>VLOOKUP(E45,'LƯƠNG KT'!$D$15:$R$94,9,0)</f>
        <v>1372045</v>
      </c>
      <c r="I45" s="552">
        <f>VLOOKUP(E45,'LƯƠNG KT'!$D$15:$R$94,15,0)</f>
        <v>1027638</v>
      </c>
      <c r="J45" s="558">
        <f t="shared" si="0"/>
        <v>2399683</v>
      </c>
      <c r="K45" s="1765"/>
      <c r="L45" s="1657"/>
      <c r="M45" s="552">
        <f t="shared" si="1"/>
        <v>2399683</v>
      </c>
      <c r="N45" s="1764"/>
      <c r="O45" s="559">
        <f>VLOOKUP(E45,'LƯƠNG KT'!D47:U126,18,0)</f>
        <v>2399683</v>
      </c>
      <c r="P45" s="559">
        <f t="shared" si="2"/>
        <v>0</v>
      </c>
    </row>
    <row r="46" spans="1:16" s="540" customFormat="1" ht="17.25" customHeight="1">
      <c r="A46" s="132">
        <v>34</v>
      </c>
      <c r="B46" s="1761"/>
      <c r="C46" s="1762"/>
      <c r="D46" s="1763"/>
      <c r="E46" s="551" t="str">
        <f>+'LƯƠNG KT'!D48</f>
        <v>Thảo Xen</v>
      </c>
      <c r="F46" s="135" t="s">
        <v>15</v>
      </c>
      <c r="G46" s="1657"/>
      <c r="H46" s="552">
        <f>VLOOKUP(E46,'LƯƠNG KT'!$D$15:$R$94,9,0)</f>
        <v>2640949</v>
      </c>
      <c r="I46" s="552">
        <f>VLOOKUP(E46,'LƯƠNG KT'!$D$15:$R$94,15,0)</f>
        <v>1526340</v>
      </c>
      <c r="J46" s="558">
        <f t="shared" si="0"/>
        <v>4167289</v>
      </c>
      <c r="K46" s="1765"/>
      <c r="L46" s="1657"/>
      <c r="M46" s="552">
        <f t="shared" si="1"/>
        <v>4167289</v>
      </c>
      <c r="N46" s="1764"/>
      <c r="O46" s="559">
        <f>VLOOKUP(E46,'LƯƠNG KT'!D48:U127,18,0)</f>
        <v>4167289</v>
      </c>
      <c r="P46" s="559">
        <f t="shared" si="2"/>
        <v>0</v>
      </c>
    </row>
    <row r="47" spans="1:16" s="540" customFormat="1" ht="17.25" customHeight="1">
      <c r="A47" s="132">
        <v>35</v>
      </c>
      <c r="B47" s="1761"/>
      <c r="C47" s="1762"/>
      <c r="D47" s="1763"/>
      <c r="E47" s="551" t="str">
        <f>+'LƯƠNG KT'!D49</f>
        <v>Phò Nhuận</v>
      </c>
      <c r="F47" s="135" t="s">
        <v>15</v>
      </c>
      <c r="G47" s="1657"/>
      <c r="H47" s="552">
        <f>VLOOKUP(E47,'LƯƠNG KT'!$D$15:$R$94,9,0)</f>
        <v>286362</v>
      </c>
      <c r="I47" s="552">
        <f>VLOOKUP(E47,'LƯƠNG KT'!$D$15:$R$94,15,0)</f>
        <v>732270</v>
      </c>
      <c r="J47" s="558">
        <f t="shared" si="0"/>
        <v>1018632</v>
      </c>
      <c r="K47" s="1765"/>
      <c r="L47" s="1657"/>
      <c r="M47" s="552">
        <f t="shared" si="1"/>
        <v>1018632</v>
      </c>
      <c r="N47" s="1764"/>
      <c r="O47" s="559">
        <f>VLOOKUP(E47,'LƯƠNG KT'!D49:U128,18,0)</f>
        <v>1018632</v>
      </c>
      <c r="P47" s="559">
        <f t="shared" si="2"/>
        <v>0</v>
      </c>
    </row>
    <row r="48" spans="1:16" s="540" customFormat="1" ht="17.25" customHeight="1">
      <c r="A48" s="132">
        <v>36</v>
      </c>
      <c r="B48" s="1761">
        <v>1</v>
      </c>
      <c r="C48" s="1762"/>
      <c r="D48" s="1763"/>
      <c r="E48" s="551" t="str">
        <f>+'LƯƠNG KT'!D50</f>
        <v>Nàng Ăn</v>
      </c>
      <c r="F48" s="135" t="s">
        <v>15</v>
      </c>
      <c r="G48" s="552">
        <f>VLOOKUP(E48,'LƯƠNG KT'!$D$15:$R$94,4,0)</f>
        <v>0</v>
      </c>
      <c r="H48" s="552">
        <f>VLOOKUP(E48,'LƯƠNG KT'!$D$15:$R$94,9,0)</f>
        <v>3232508</v>
      </c>
      <c r="I48" s="552">
        <f>VLOOKUP(E48,'LƯƠNG KT'!$D$15:$R$94,15,0)</f>
        <v>1628607</v>
      </c>
      <c r="J48" s="558">
        <f t="shared" si="0"/>
        <v>4861115</v>
      </c>
      <c r="K48" s="1765"/>
      <c r="L48" s="1657"/>
      <c r="M48" s="552">
        <f t="shared" si="1"/>
        <v>4861115</v>
      </c>
      <c r="N48" s="1764"/>
      <c r="O48" s="559">
        <f>VLOOKUP(E48,'LƯƠNG KT'!D50:U129,18,0)</f>
        <v>4861115</v>
      </c>
      <c r="P48" s="559">
        <f t="shared" si="2"/>
        <v>0</v>
      </c>
    </row>
    <row r="49" spans="1:16" s="540" customFormat="1" ht="17.25" customHeight="1">
      <c r="A49" s="132">
        <v>37</v>
      </c>
      <c r="B49" s="1761">
        <v>2</v>
      </c>
      <c r="C49" s="1762"/>
      <c r="D49" s="1763"/>
      <c r="E49" s="551" t="str">
        <f>+'LƯƠNG KT'!D51</f>
        <v>Thảo Ơ</v>
      </c>
      <c r="F49" s="135" t="s">
        <v>15</v>
      </c>
      <c r="G49" s="552">
        <f>VLOOKUP(E49,'LƯƠNG KT'!$D$15:$R$94,4,0)</f>
        <v>0</v>
      </c>
      <c r="H49" s="552">
        <f>VLOOKUP(E49,'LƯƠNG KT'!$D$15:$R$94,9,0)</f>
        <v>3409510</v>
      </c>
      <c r="I49" s="552">
        <f>VLOOKUP(E49,'LƯƠNG KT'!$D$15:$R$94,15,0)</f>
        <v>1628607</v>
      </c>
      <c r="J49" s="558">
        <f t="shared" si="0"/>
        <v>5038117</v>
      </c>
      <c r="K49" s="1765"/>
      <c r="L49" s="1657"/>
      <c r="M49" s="552">
        <f t="shared" si="1"/>
        <v>5038117</v>
      </c>
      <c r="N49" s="1764"/>
      <c r="O49" s="559">
        <f>VLOOKUP(E49,'LƯƠNG KT'!D51:U130,18,0)</f>
        <v>5038117</v>
      </c>
      <c r="P49" s="559">
        <f t="shared" si="2"/>
        <v>0</v>
      </c>
    </row>
    <row r="50" spans="1:16" s="540" customFormat="1" ht="17.25" customHeight="1">
      <c r="A50" s="132">
        <v>38</v>
      </c>
      <c r="B50" s="1761">
        <v>3</v>
      </c>
      <c r="C50" s="1762"/>
      <c r="D50" s="1763"/>
      <c r="E50" s="551" t="str">
        <f>+'LƯƠNG KT'!D52</f>
        <v>Thảo Ui</v>
      </c>
      <c r="F50" s="135" t="s">
        <v>15</v>
      </c>
      <c r="G50" s="552">
        <f>VLOOKUP(E50,'LƯƠNG KT'!$D$15:$R$94,4,0)</f>
        <v>0</v>
      </c>
      <c r="H50" s="552">
        <f>VLOOKUP(E50,'LƯƠNG KT'!$D$15:$R$94,9,0)</f>
        <v>3421273</v>
      </c>
      <c r="I50" s="552">
        <f>VLOOKUP(E50,'LƯƠNG KT'!$D$15:$R$94,15,0)</f>
        <v>1628607</v>
      </c>
      <c r="J50" s="558">
        <f t="shared" si="0"/>
        <v>5049880</v>
      </c>
      <c r="K50" s="1765"/>
      <c r="L50" s="1657"/>
      <c r="M50" s="552">
        <f t="shared" si="1"/>
        <v>5049880</v>
      </c>
      <c r="N50" s="1764"/>
      <c r="O50" s="559">
        <f>VLOOKUP(E50,'LƯƠNG KT'!D52:U131,18,0)</f>
        <v>5049880</v>
      </c>
      <c r="P50" s="559">
        <f t="shared" si="2"/>
        <v>0</v>
      </c>
    </row>
    <row r="51" spans="1:16" s="540" customFormat="1" ht="17.25" customHeight="1">
      <c r="A51" s="132">
        <v>39</v>
      </c>
      <c r="B51" s="1761">
        <v>4</v>
      </c>
      <c r="C51" s="1762"/>
      <c r="D51" s="1763"/>
      <c r="E51" s="551" t="str">
        <f>+'LƯƠNG KT'!D53</f>
        <v>Thảo Tin</v>
      </c>
      <c r="F51" s="135" t="s">
        <v>15</v>
      </c>
      <c r="G51" s="552">
        <f>VLOOKUP(E51,'LƯƠNG KT'!$D$15:$R$94,4,0)</f>
        <v>0</v>
      </c>
      <c r="H51" s="552">
        <f>VLOOKUP(E51,'LƯƠNG KT'!$D$15:$R$94,9,0)</f>
        <v>4185913</v>
      </c>
      <c r="I51" s="552">
        <f>VLOOKUP(E51,'LƯƠNG KT'!$D$15:$R$94,15,0)</f>
        <v>1628607</v>
      </c>
      <c r="J51" s="558">
        <f t="shared" si="0"/>
        <v>5814520</v>
      </c>
      <c r="K51" s="1765"/>
      <c r="L51" s="1657"/>
      <c r="M51" s="552">
        <f t="shared" si="1"/>
        <v>5814520</v>
      </c>
      <c r="N51" s="1764"/>
      <c r="O51" s="559">
        <f>VLOOKUP(E51,'LƯƠNG KT'!D53:U132,18,0)</f>
        <v>5814520</v>
      </c>
      <c r="P51" s="559">
        <f t="shared" si="2"/>
        <v>0</v>
      </c>
    </row>
    <row r="52" spans="1:16" s="540" customFormat="1" ht="17.25" customHeight="1">
      <c r="A52" s="132">
        <v>40</v>
      </c>
      <c r="B52" s="1761">
        <v>5</v>
      </c>
      <c r="C52" s="1762"/>
      <c r="D52" s="1763"/>
      <c r="E52" s="551" t="str">
        <f>+'LƯƠNG KT'!D54</f>
        <v>Nàng Xái</v>
      </c>
      <c r="F52" s="135" t="s">
        <v>15</v>
      </c>
      <c r="G52" s="552">
        <f>VLOOKUP(E52,'LƯƠNG KT'!$D$15:$R$94,4,0)</f>
        <v>0</v>
      </c>
      <c r="H52" s="552">
        <f>VLOOKUP(E52,'LƯƠNG KT'!$D$15:$R$94,9,0)</f>
        <v>4223165</v>
      </c>
      <c r="I52" s="552">
        <f>VLOOKUP(E52,'LƯƠNG KT'!$D$15:$R$94,15,0)</f>
        <v>1628607</v>
      </c>
      <c r="J52" s="558">
        <f t="shared" si="0"/>
        <v>5851772</v>
      </c>
      <c r="K52" s="1765"/>
      <c r="L52" s="1657"/>
      <c r="M52" s="552">
        <f t="shared" si="1"/>
        <v>5851772</v>
      </c>
      <c r="N52" s="1764"/>
      <c r="O52" s="559">
        <f>VLOOKUP(E52,'LƯƠNG KT'!D54:U133,18,0)</f>
        <v>5851772</v>
      </c>
      <c r="P52" s="559">
        <f t="shared" si="2"/>
        <v>0</v>
      </c>
    </row>
    <row r="53" spans="1:16" s="540" customFormat="1" ht="17.25" customHeight="1">
      <c r="A53" s="132">
        <v>41</v>
      </c>
      <c r="B53" s="1761">
        <v>6</v>
      </c>
      <c r="C53" s="1762"/>
      <c r="D53" s="1763"/>
      <c r="E53" s="551" t="str">
        <f>+'LƯƠNG KT'!D55</f>
        <v>Thảo Phôn Xay</v>
      </c>
      <c r="F53" s="135" t="s">
        <v>15</v>
      </c>
      <c r="G53" s="552">
        <f>VLOOKUP(E53,'LƯƠNG KT'!$D$15:$R$94,4,0)</f>
        <v>0</v>
      </c>
      <c r="H53" s="552">
        <f>VLOOKUP(E53,'LƯƠNG KT'!$D$15:$R$94,9,0)</f>
        <v>3354613</v>
      </c>
      <c r="I53" s="552">
        <f>VLOOKUP(E53,'LƯƠNG KT'!$D$15:$R$94,15,0)</f>
        <v>1628607</v>
      </c>
      <c r="J53" s="558">
        <f t="shared" si="0"/>
        <v>4983220</v>
      </c>
      <c r="K53" s="1765"/>
      <c r="L53" s="1657"/>
      <c r="M53" s="552">
        <f t="shared" si="1"/>
        <v>4983220</v>
      </c>
      <c r="N53" s="1764"/>
      <c r="O53" s="559">
        <f>VLOOKUP(E53,'LƯƠNG KT'!D55:U134,18,0)</f>
        <v>4983220</v>
      </c>
      <c r="P53" s="559">
        <f t="shared" si="2"/>
        <v>0</v>
      </c>
    </row>
    <row r="54" spans="1:16" s="540" customFormat="1" ht="17.25" customHeight="1">
      <c r="A54" s="132">
        <v>42</v>
      </c>
      <c r="B54" s="1761">
        <v>7</v>
      </c>
      <c r="C54" s="1762"/>
      <c r="D54" s="1763"/>
      <c r="E54" s="551" t="str">
        <f>+'LƯƠNG KT'!D56</f>
        <v>Nàng Phêng</v>
      </c>
      <c r="F54" s="135" t="s">
        <v>15</v>
      </c>
      <c r="G54" s="552">
        <f>VLOOKUP(E54,'LƯƠNG KT'!$D$15:$R$94,4,0)</f>
        <v>0</v>
      </c>
      <c r="H54" s="552">
        <f>VLOOKUP(E54,'LƯƠNG KT'!$D$15:$R$94,9,0)</f>
        <v>2826114</v>
      </c>
      <c r="I54" s="552">
        <f>VLOOKUP(E54,'LƯƠNG KT'!$D$15:$R$94,15,0)</f>
        <v>1628607</v>
      </c>
      <c r="J54" s="558">
        <f t="shared" si="0"/>
        <v>4454721</v>
      </c>
      <c r="K54" s="1765"/>
      <c r="L54" s="1657"/>
      <c r="M54" s="552">
        <f t="shared" si="1"/>
        <v>4454721</v>
      </c>
      <c r="N54" s="1764"/>
      <c r="O54" s="559">
        <f>VLOOKUP(E54,'LƯƠNG KT'!D56:U135,18,0)</f>
        <v>4454721</v>
      </c>
      <c r="P54" s="559">
        <f t="shared" si="2"/>
        <v>0</v>
      </c>
    </row>
    <row r="55" spans="1:16" s="540" customFormat="1" ht="17.25" customHeight="1">
      <c r="A55" s="132">
        <v>43</v>
      </c>
      <c r="B55" s="1761">
        <v>8</v>
      </c>
      <c r="C55" s="1762"/>
      <c r="D55" s="1763"/>
      <c r="E55" s="551" t="str">
        <f>+'LƯƠNG KT'!D57</f>
        <v>Thảo Phíc</v>
      </c>
      <c r="F55" s="135" t="s">
        <v>15</v>
      </c>
      <c r="G55" s="552">
        <f>VLOOKUP(E55,'LƯƠNG KT'!$D$15:$R$94,4,0)</f>
        <v>0</v>
      </c>
      <c r="H55" s="552">
        <f>VLOOKUP(E55,'LƯƠNG KT'!$D$15:$R$94,9,0)</f>
        <v>2987977</v>
      </c>
      <c r="I55" s="552">
        <f>VLOOKUP(E55,'LƯƠNG KT'!$D$15:$R$94,15,0)</f>
        <v>1628607</v>
      </c>
      <c r="J55" s="558">
        <f t="shared" si="0"/>
        <v>4616584</v>
      </c>
      <c r="K55" s="1765"/>
      <c r="L55" s="1657"/>
      <c r="M55" s="552">
        <f t="shared" si="1"/>
        <v>4616584</v>
      </c>
      <c r="N55" s="1764"/>
      <c r="O55" s="559">
        <f>VLOOKUP(E55,'LƯƠNG KT'!D57:U136,18,0)</f>
        <v>4616584</v>
      </c>
      <c r="P55" s="559">
        <f t="shared" si="2"/>
        <v>0</v>
      </c>
    </row>
    <row r="56" spans="1:16" s="540" customFormat="1" ht="17.25" customHeight="1">
      <c r="A56" s="132">
        <v>44</v>
      </c>
      <c r="B56" s="1761">
        <v>9</v>
      </c>
      <c r="C56" s="245" t="e">
        <f>VLOOKUP(E56,'DS CN MOI UP'!$B$10:$C$347,2,0)</f>
        <v>#N/A</v>
      </c>
      <c r="D56" s="550" t="s">
        <v>654</v>
      </c>
      <c r="E56" s="551" t="str">
        <f>+'LƯƠNG KT'!D58</f>
        <v>Nàng Chai</v>
      </c>
      <c r="F56" s="135" t="s">
        <v>15</v>
      </c>
      <c r="G56" s="552">
        <f>VLOOKUP(E56,'LƯƠNG KT'!$D$15:$R$94,4,0)</f>
        <v>0</v>
      </c>
      <c r="H56" s="552">
        <f>VLOOKUP(E56,'LƯƠNG KT'!$D$15:$R$94,9,0)</f>
        <v>3364416</v>
      </c>
      <c r="I56" s="552">
        <f>VLOOKUP(E56,'LƯƠNG KT'!$D$15:$R$94,15,0)</f>
        <v>1628607</v>
      </c>
      <c r="J56" s="558">
        <f t="shared" si="0"/>
        <v>4993023</v>
      </c>
      <c r="K56" s="558"/>
      <c r="L56" s="552"/>
      <c r="M56" s="552">
        <f t="shared" si="1"/>
        <v>4993023</v>
      </c>
      <c r="N56" s="551"/>
      <c r="O56" s="559">
        <f>VLOOKUP(E56,'LƯƠNG KT'!D58:U137,18,0)</f>
        <v>4993023</v>
      </c>
      <c r="P56" s="559">
        <f t="shared" si="2"/>
        <v>0</v>
      </c>
    </row>
    <row r="57" spans="1:16" s="540" customFormat="1" ht="17.25" customHeight="1">
      <c r="A57" s="132">
        <v>45</v>
      </c>
      <c r="B57" s="1761">
        <v>10</v>
      </c>
      <c r="C57" s="1643" t="e">
        <f>VLOOKUP(E57,'DS CN MOI UP'!$B$10:$C$347,2,0)</f>
        <v>#N/A</v>
      </c>
      <c r="D57" s="550" t="s">
        <v>654</v>
      </c>
      <c r="E57" s="551" t="str">
        <f>+'LƯƠNG KT'!D59</f>
        <v>Nàng Xanh</v>
      </c>
      <c r="F57" s="135" t="s">
        <v>15</v>
      </c>
      <c r="G57" s="552">
        <f>VLOOKUP(E57,'LƯƠNG KT'!$D$15:$R$94,4,0)</f>
        <v>0</v>
      </c>
      <c r="H57" s="552">
        <f>VLOOKUP(E57,'LƯƠNG KT'!$D$15:$R$94,9,0)</f>
        <v>3165397</v>
      </c>
      <c r="I57" s="552">
        <f>VLOOKUP(E57,'LƯƠNG KT'!$D$15:$R$94,15,0)</f>
        <v>1628607</v>
      </c>
      <c r="J57" s="558">
        <f t="shared" si="0"/>
        <v>4794004</v>
      </c>
      <c r="K57" s="558"/>
      <c r="L57" s="552"/>
      <c r="M57" s="552">
        <f t="shared" si="1"/>
        <v>4794004</v>
      </c>
      <c r="N57" s="551"/>
      <c r="O57" s="559">
        <f>VLOOKUP(E57,'LƯƠNG KT'!D59:U138,18,0)</f>
        <v>4794004</v>
      </c>
      <c r="P57" s="559">
        <f t="shared" si="2"/>
        <v>0</v>
      </c>
    </row>
    <row r="58" spans="1:16" s="540" customFormat="1" ht="17.25" customHeight="1">
      <c r="A58" s="132">
        <v>46</v>
      </c>
      <c r="B58" s="1761">
        <v>11</v>
      </c>
      <c r="C58" s="245" t="e">
        <f>VLOOKUP(E58,'DS CN MOI UP'!$B$10:$C$347,2,0)</f>
        <v>#N/A</v>
      </c>
      <c r="D58" s="550" t="s">
        <v>654</v>
      </c>
      <c r="E58" s="551" t="str">
        <f>+'LƯƠNG KT'!D60</f>
        <v>Thảo Xượm</v>
      </c>
      <c r="F58" s="135" t="s">
        <v>15</v>
      </c>
      <c r="G58" s="552">
        <f>VLOOKUP(E58,'LƯƠNG KT'!$D$15:$R$94,4,0)</f>
        <v>0</v>
      </c>
      <c r="H58" s="552">
        <f>VLOOKUP(E58,'LƯƠNG KT'!$D$15:$R$94,9,0)</f>
        <v>4570194</v>
      </c>
      <c r="I58" s="552">
        <f>VLOOKUP(E58,'LƯƠNG KT'!$D$15:$R$94,15,0)</f>
        <v>1628607</v>
      </c>
      <c r="J58" s="558">
        <f t="shared" si="0"/>
        <v>6198801</v>
      </c>
      <c r="K58" s="558"/>
      <c r="L58" s="552"/>
      <c r="M58" s="552">
        <f t="shared" si="1"/>
        <v>6198801</v>
      </c>
      <c r="N58" s="551"/>
      <c r="O58" s="559">
        <f>VLOOKUP(E58,'LƯƠNG KT'!D60:U139,18,0)</f>
        <v>6198801</v>
      </c>
      <c r="P58" s="559">
        <f t="shared" si="2"/>
        <v>0</v>
      </c>
    </row>
    <row r="59" spans="1:16" s="540" customFormat="1" ht="17.25" customHeight="1">
      <c r="A59" s="132">
        <v>47</v>
      </c>
      <c r="B59" s="1761">
        <v>12</v>
      </c>
      <c r="C59" s="245" t="e">
        <f>VLOOKUP(E59,'DS CN MOI UP'!$B$10:$C$347,2,0)</f>
        <v>#N/A</v>
      </c>
      <c r="D59" s="550" t="s">
        <v>654</v>
      </c>
      <c r="E59" s="551" t="str">
        <f>+'LƯƠNG KT'!D61</f>
        <v>Thảo Tích</v>
      </c>
      <c r="F59" s="135" t="s">
        <v>15</v>
      </c>
      <c r="G59" s="552">
        <f>VLOOKUP(E59,'LƯƠNG KT'!$D$15:$R$94,4,0)</f>
        <v>0</v>
      </c>
      <c r="H59" s="552">
        <f>VLOOKUP(E59,'LƯƠNG KT'!$D$15:$R$94,9,0)</f>
        <v>3294026</v>
      </c>
      <c r="I59" s="552">
        <f>VLOOKUP(E59,'LƯƠNG KT'!$D$15:$R$94,15,0)</f>
        <v>1628607</v>
      </c>
      <c r="J59" s="558">
        <f t="shared" si="0"/>
        <v>4922633</v>
      </c>
      <c r="K59" s="558"/>
      <c r="L59" s="552"/>
      <c r="M59" s="552">
        <f t="shared" si="1"/>
        <v>4922633</v>
      </c>
      <c r="N59" s="551"/>
      <c r="O59" s="559">
        <f>VLOOKUP(E59,'LƯƠNG KT'!D61:U140,18,0)</f>
        <v>4922633</v>
      </c>
      <c r="P59" s="559">
        <f t="shared" si="2"/>
        <v>0</v>
      </c>
    </row>
    <row r="60" spans="1:16" s="540" customFormat="1" ht="17.25" customHeight="1">
      <c r="A60" s="132">
        <v>48</v>
      </c>
      <c r="B60" s="1761">
        <v>13</v>
      </c>
      <c r="C60" s="245" t="e">
        <f>VLOOKUP(E60,'DS CN MOI UP'!$B$10:$C$347,2,0)</f>
        <v>#N/A</v>
      </c>
      <c r="D60" s="550" t="s">
        <v>654</v>
      </c>
      <c r="E60" s="551" t="str">
        <f>+'LƯƠNG KT'!D62</f>
        <v>Nàng Thoong</v>
      </c>
      <c r="F60" s="135" t="s">
        <v>15</v>
      </c>
      <c r="G60" s="552">
        <f>VLOOKUP(E60,'LƯƠNG KT'!$D$15:$R$94,4,0)</f>
        <v>0</v>
      </c>
      <c r="H60" s="552">
        <f>VLOOKUP(E60,'LƯƠNG KT'!$D$15:$R$94,9,0)</f>
        <v>3462446</v>
      </c>
      <c r="I60" s="552">
        <f>VLOOKUP(E60,'LƯƠNG KT'!$D$15:$R$94,15,0)</f>
        <v>1628607</v>
      </c>
      <c r="J60" s="558">
        <f t="shared" si="0"/>
        <v>5091053</v>
      </c>
      <c r="K60" s="558"/>
      <c r="L60" s="552"/>
      <c r="M60" s="552">
        <f t="shared" si="1"/>
        <v>5091053</v>
      </c>
      <c r="N60" s="551"/>
      <c r="O60" s="559">
        <f>VLOOKUP(E60,'LƯƠNG KT'!D62:U141,18,0)</f>
        <v>5091053</v>
      </c>
      <c r="P60" s="559">
        <f t="shared" si="2"/>
        <v>0</v>
      </c>
    </row>
    <row r="61" spans="1:16" s="540" customFormat="1" ht="17.25" customHeight="1">
      <c r="A61" s="132">
        <v>49</v>
      </c>
      <c r="B61" s="1761">
        <v>14</v>
      </c>
      <c r="C61" s="245" t="e">
        <f>VLOOKUP(E61,'DS CN MOI UP'!$B$10:$C$347,2,0)</f>
        <v>#N/A</v>
      </c>
      <c r="D61" s="550" t="s">
        <v>654</v>
      </c>
      <c r="E61" s="551" t="str">
        <f>+'LƯƠNG KT'!D63</f>
        <v>Thảo Xoan Chay</v>
      </c>
      <c r="F61" s="135" t="s">
        <v>15</v>
      </c>
      <c r="G61" s="552">
        <f>VLOOKUP(E61,'LƯƠNG KT'!$D$15:$R$94,4,0)</f>
        <v>0</v>
      </c>
      <c r="H61" s="552">
        <f>VLOOKUP(E61,'LƯƠNG KT'!$D$15:$R$94,9,0)</f>
        <v>3560477</v>
      </c>
      <c r="I61" s="552">
        <f>VLOOKUP(E61,'LƯƠNG KT'!$D$15:$R$94,15,0)</f>
        <v>1628607</v>
      </c>
      <c r="J61" s="558">
        <f t="shared" si="0"/>
        <v>5189084</v>
      </c>
      <c r="K61" s="558"/>
      <c r="L61" s="552"/>
      <c r="M61" s="552">
        <f t="shared" si="1"/>
        <v>5189084</v>
      </c>
      <c r="N61" s="551"/>
      <c r="O61" s="559">
        <f>VLOOKUP(E61,'LƯƠNG KT'!D63:U142,18,0)</f>
        <v>5189084</v>
      </c>
      <c r="P61" s="559">
        <f t="shared" si="2"/>
        <v>0</v>
      </c>
    </row>
    <row r="62" spans="1:16" s="540" customFormat="1" ht="17.25" customHeight="1">
      <c r="A62" s="132">
        <v>50</v>
      </c>
      <c r="B62" s="1761">
        <v>15</v>
      </c>
      <c r="C62" s="245" t="e">
        <f>VLOOKUP(E62,'DS CN MOI UP'!$B$10:$C$347,2,0)</f>
        <v>#N/A</v>
      </c>
      <c r="D62" s="550" t="s">
        <v>654</v>
      </c>
      <c r="E62" s="551" t="str">
        <f>+'LƯƠNG KT'!D64</f>
        <v>Nàng Út</v>
      </c>
      <c r="F62" s="135" t="s">
        <v>15</v>
      </c>
      <c r="G62" s="552">
        <f>VLOOKUP(E62,'LƯƠNG KT'!$D$15:$R$94,4,0)</f>
        <v>0</v>
      </c>
      <c r="H62" s="552">
        <f>VLOOKUP(E62,'LƯƠNG KT'!$D$15:$R$94,9,0)</f>
        <v>2874583</v>
      </c>
      <c r="I62" s="552">
        <f>VLOOKUP(E62,'LƯƠNG KT'!$D$15:$R$94,15,0)</f>
        <v>1628607</v>
      </c>
      <c r="J62" s="558">
        <f t="shared" si="0"/>
        <v>4503190</v>
      </c>
      <c r="K62" s="558"/>
      <c r="L62" s="552"/>
      <c r="M62" s="552">
        <f t="shared" si="1"/>
        <v>4503190</v>
      </c>
      <c r="N62" s="551"/>
      <c r="O62" s="559">
        <f>VLOOKUP(E62,'LƯƠNG KT'!D64:U143,18,0)</f>
        <v>4503190</v>
      </c>
      <c r="P62" s="559">
        <f t="shared" si="2"/>
        <v>0</v>
      </c>
    </row>
    <row r="63" spans="1:16" s="540" customFormat="1" ht="17.25" customHeight="1">
      <c r="A63" s="132">
        <v>51</v>
      </c>
      <c r="B63" s="1761">
        <v>16</v>
      </c>
      <c r="C63" s="245" t="e">
        <f>VLOOKUP(E63,'DS CN MOI UP'!$B$10:$C$347,2,0)</f>
        <v>#N/A</v>
      </c>
      <c r="D63" s="550" t="s">
        <v>654</v>
      </c>
      <c r="E63" s="551" t="str">
        <f>+'LƯƠNG KT'!D65</f>
        <v>Thảo Xay Phôn</v>
      </c>
      <c r="F63" s="135" t="s">
        <v>15</v>
      </c>
      <c r="G63" s="552">
        <f>VLOOKUP(E63,'LƯƠNG KT'!$D$15:$R$94,4,0)</f>
        <v>0</v>
      </c>
      <c r="H63" s="552">
        <f>VLOOKUP(E63,'LƯƠNG KT'!$D$15:$R$94,9,0)</f>
        <v>3086008</v>
      </c>
      <c r="I63" s="552">
        <f>VLOOKUP(E63,'LƯƠNG KT'!$D$15:$R$94,15,0)</f>
        <v>1628607</v>
      </c>
      <c r="J63" s="558">
        <f t="shared" si="0"/>
        <v>4714615</v>
      </c>
      <c r="K63" s="558"/>
      <c r="L63" s="552"/>
      <c r="M63" s="552">
        <f t="shared" si="1"/>
        <v>4714615</v>
      </c>
      <c r="N63" s="551"/>
      <c r="O63" s="559">
        <f>VLOOKUP(E63,'LƯƠNG KT'!D65:U144,18,0)</f>
        <v>4714615</v>
      </c>
      <c r="P63" s="559">
        <f t="shared" si="2"/>
        <v>0</v>
      </c>
    </row>
    <row r="64" spans="1:16" s="540" customFormat="1" ht="17.25" customHeight="1">
      <c r="A64" s="132">
        <v>52</v>
      </c>
      <c r="B64" s="1761">
        <v>17</v>
      </c>
      <c r="C64" s="245" t="e">
        <f>VLOOKUP(E64,'DS CN MOI UP'!$B$10:$C$347,2,0)</f>
        <v>#N/A</v>
      </c>
      <c r="D64" s="550" t="s">
        <v>654</v>
      </c>
      <c r="E64" s="551" t="str">
        <f>+'LƯƠNG KT'!D66</f>
        <v>Nàng Mui</v>
      </c>
      <c r="F64" s="135" t="s">
        <v>15</v>
      </c>
      <c r="G64" s="552">
        <f>VLOOKUP(E64,'LƯƠNG KT'!$D$15:$R$94,4,0)</f>
        <v>0</v>
      </c>
      <c r="H64" s="552">
        <f>VLOOKUP(E64,'LƯƠNG KT'!$D$15:$R$94,9,0)</f>
        <v>3113457</v>
      </c>
      <c r="I64" s="552">
        <f>VLOOKUP(E64,'LƯƠNG KT'!$D$15:$R$94,15,0)</f>
        <v>1628607</v>
      </c>
      <c r="J64" s="558">
        <f t="shared" si="0"/>
        <v>4742064</v>
      </c>
      <c r="K64" s="558"/>
      <c r="L64" s="552"/>
      <c r="M64" s="552">
        <f t="shared" si="1"/>
        <v>4742064</v>
      </c>
      <c r="N64" s="551"/>
      <c r="O64" s="559">
        <f>VLOOKUP(E64,'LƯƠNG KT'!D66:U145,18,0)</f>
        <v>4742064</v>
      </c>
      <c r="P64" s="559">
        <f t="shared" si="2"/>
        <v>0</v>
      </c>
    </row>
    <row r="65" spans="1:16" s="540" customFormat="1" ht="17.25" customHeight="1">
      <c r="A65" s="132">
        <v>53</v>
      </c>
      <c r="B65" s="1761">
        <v>18</v>
      </c>
      <c r="C65" s="245" t="e">
        <f>VLOOKUP(E65,'DS CN MOI UP'!$B$10:$C$347,2,0)</f>
        <v>#N/A</v>
      </c>
      <c r="D65" s="550" t="s">
        <v>912</v>
      </c>
      <c r="E65" s="551" t="str">
        <f>+'LƯƠNG KT'!D67</f>
        <v>Ning Dung</v>
      </c>
      <c r="F65" s="134" t="s">
        <v>15</v>
      </c>
      <c r="G65" s="552">
        <f>VLOOKUP(E65,'LƯƠNG KT'!$D$15:$R$94,4,0)</f>
        <v>0</v>
      </c>
      <c r="H65" s="552">
        <f>VLOOKUP(E65,'LƯƠNG KT'!$D$15:$R$94,9,0)</f>
        <v>3553149</v>
      </c>
      <c r="I65" s="552">
        <f>VLOOKUP(E65,'LƯƠNG KT'!$D$15:$R$94,15,0)</f>
        <v>1628607</v>
      </c>
      <c r="J65" s="558">
        <f t="shared" si="0"/>
        <v>5181756</v>
      </c>
      <c r="K65" s="558"/>
      <c r="L65" s="558"/>
      <c r="M65" s="552">
        <f t="shared" si="1"/>
        <v>5181756</v>
      </c>
      <c r="N65" s="135"/>
      <c r="O65" s="559">
        <f>VLOOKUP(E65,'LƯƠNG KT'!D67:U146,18,0)</f>
        <v>5181756</v>
      </c>
      <c r="P65" s="559">
        <f t="shared" si="2"/>
        <v>0</v>
      </c>
    </row>
    <row r="66" spans="1:16" s="540" customFormat="1" ht="17.25" customHeight="1">
      <c r="A66" s="132">
        <v>54</v>
      </c>
      <c r="B66" s="1761">
        <v>19</v>
      </c>
      <c r="C66" s="245" t="e">
        <f>VLOOKUP(E66,'DS CN MOI UP'!$B$10:$C$347,2,0)</f>
        <v>#N/A</v>
      </c>
      <c r="D66" s="550" t="s">
        <v>912</v>
      </c>
      <c r="E66" s="551" t="str">
        <f>+'LƯƠNG KT'!D68</f>
        <v>Mua Chăn</v>
      </c>
      <c r="F66" s="134" t="s">
        <v>15</v>
      </c>
      <c r="G66" s="552">
        <f>VLOOKUP(E66,'LƯƠNG KT'!$D$15:$R$94,4,0)</f>
        <v>0</v>
      </c>
      <c r="H66" s="552">
        <f>VLOOKUP(E66,'LƯƠNG KT'!$D$15:$R$94,9,0)</f>
        <v>3738893</v>
      </c>
      <c r="I66" s="552">
        <f>VLOOKUP(E66,'LƯƠNG KT'!$D$15:$R$94,15,0)</f>
        <v>1628607</v>
      </c>
      <c r="J66" s="558">
        <f t="shared" si="0"/>
        <v>5367500</v>
      </c>
      <c r="K66" s="558"/>
      <c r="L66" s="558"/>
      <c r="M66" s="552">
        <f t="shared" si="1"/>
        <v>5367500</v>
      </c>
      <c r="N66" s="135"/>
      <c r="O66" s="559">
        <f>VLOOKUP(E66,'LƯƠNG KT'!D68:U147,18,0)</f>
        <v>5367500</v>
      </c>
      <c r="P66" s="559">
        <f t="shared" si="2"/>
        <v>0</v>
      </c>
    </row>
    <row r="67" spans="1:16" s="540" customFormat="1" ht="17.25" customHeight="1">
      <c r="A67" s="132">
        <v>55</v>
      </c>
      <c r="B67" s="1761">
        <v>20</v>
      </c>
      <c r="C67" s="245" t="e">
        <f>VLOOKUP(E67,'DS CN MOI UP'!$B$10:$C$347,2,0)</f>
        <v>#N/A</v>
      </c>
      <c r="D67" s="550" t="s">
        <v>912</v>
      </c>
      <c r="E67" s="551" t="str">
        <f>+'LƯƠNG KT'!D69</f>
        <v>Thảo Chọi 2</v>
      </c>
      <c r="F67" s="134" t="s">
        <v>15</v>
      </c>
      <c r="G67" s="552">
        <f>VLOOKUP(E67,'LƯƠNG KT'!$D$15:$R$94,4,0)</f>
        <v>0</v>
      </c>
      <c r="H67" s="552">
        <f>VLOOKUP(E67,'LƯƠNG KT'!$D$15:$R$94,9,0)</f>
        <v>3674321</v>
      </c>
      <c r="I67" s="552">
        <f>VLOOKUP(E67,'LƯƠNG KT'!$D$15:$R$94,15,0)</f>
        <v>1628607</v>
      </c>
      <c r="J67" s="558">
        <f t="shared" si="0"/>
        <v>5302928</v>
      </c>
      <c r="K67" s="558"/>
      <c r="L67" s="558"/>
      <c r="M67" s="552">
        <f t="shared" si="1"/>
        <v>5302928</v>
      </c>
      <c r="N67" s="135"/>
      <c r="O67" s="559">
        <f>VLOOKUP(E67,'LƯƠNG KT'!D69:U148,18,0)</f>
        <v>5302928</v>
      </c>
      <c r="P67" s="559">
        <f t="shared" si="2"/>
        <v>0</v>
      </c>
    </row>
    <row r="68" spans="1:16" s="540" customFormat="1" ht="17.25" customHeight="1">
      <c r="A68" s="132">
        <v>56</v>
      </c>
      <c r="B68" s="1761">
        <v>21</v>
      </c>
      <c r="C68" s="245" t="e">
        <f>VLOOKUP(E68,'DS CN MOI UP'!$B$10:$C$347,2,0)</f>
        <v>#N/A</v>
      </c>
      <c r="D68" s="550" t="s">
        <v>912</v>
      </c>
      <c r="E68" s="551" t="str">
        <f>+'LƯƠNG KT'!D70</f>
        <v>Thảo Sing</v>
      </c>
      <c r="F68" s="134" t="s">
        <v>15</v>
      </c>
      <c r="G68" s="552">
        <f>VLOOKUP(E68,'LƯƠNG KT'!$D$15:$R$94,4,0)</f>
        <v>0</v>
      </c>
      <c r="H68" s="552">
        <f>VLOOKUP(E68,'LƯƠNG KT'!$D$15:$R$94,9,0)</f>
        <v>4144098</v>
      </c>
      <c r="I68" s="552">
        <f>VLOOKUP(E68,'LƯƠNG KT'!$D$15:$R$94,15,0)</f>
        <v>1628607</v>
      </c>
      <c r="J68" s="558">
        <f t="shared" si="0"/>
        <v>5772705</v>
      </c>
      <c r="K68" s="558"/>
      <c r="L68" s="558"/>
      <c r="M68" s="552">
        <f t="shared" si="1"/>
        <v>5772705</v>
      </c>
      <c r="N68" s="135"/>
      <c r="O68" s="559">
        <f>VLOOKUP(E68,'LƯƠNG KT'!D70:U149,18,0)</f>
        <v>5772705</v>
      </c>
      <c r="P68" s="559">
        <f t="shared" si="2"/>
        <v>0</v>
      </c>
    </row>
    <row r="69" spans="1:16" s="540" customFormat="1" ht="17.25" customHeight="1">
      <c r="A69" s="132">
        <v>57</v>
      </c>
      <c r="B69" s="1761">
        <v>22</v>
      </c>
      <c r="C69" s="245" t="e">
        <f>VLOOKUP(E69,'DS CN MOI UP'!$B$10:$C$347,2,0)</f>
        <v>#N/A</v>
      </c>
      <c r="D69" s="550" t="s">
        <v>912</v>
      </c>
      <c r="E69" s="551" t="str">
        <f>+'LƯƠNG KT'!D71</f>
        <v>Thảo Phu</v>
      </c>
      <c r="F69" s="134" t="s">
        <v>15</v>
      </c>
      <c r="G69" s="552">
        <f>VLOOKUP(E69,'LƯƠNG KT'!$D$15:$R$94,4,0)</f>
        <v>0</v>
      </c>
      <c r="H69" s="552">
        <f>VLOOKUP(E69,'LƯƠNG KT'!$D$15:$R$94,9,0)</f>
        <v>2913474</v>
      </c>
      <c r="I69" s="552">
        <f>VLOOKUP(E69,'LƯƠNG KT'!$D$15:$R$94,15,0)</f>
        <v>1628607</v>
      </c>
      <c r="J69" s="558">
        <f t="shared" si="0"/>
        <v>4542081</v>
      </c>
      <c r="K69" s="558"/>
      <c r="L69" s="558"/>
      <c r="M69" s="552">
        <f t="shared" si="1"/>
        <v>4542081</v>
      </c>
      <c r="N69" s="135"/>
      <c r="O69" s="559">
        <f>VLOOKUP(E69,'LƯƠNG KT'!D71:U150,18,0)</f>
        <v>4542081</v>
      </c>
      <c r="P69" s="559">
        <f t="shared" si="2"/>
        <v>0</v>
      </c>
    </row>
    <row r="70" spans="1:16" s="540" customFormat="1" ht="17.25" customHeight="1">
      <c r="A70" s="132">
        <v>58</v>
      </c>
      <c r="B70" s="1761">
        <v>23</v>
      </c>
      <c r="C70" s="245" t="e">
        <f>VLOOKUP(E70,'DS CN MOI UP'!$B$10:$C$347,2,0)</f>
        <v>#N/A</v>
      </c>
      <c r="D70" s="550" t="s">
        <v>912</v>
      </c>
      <c r="E70" s="551" t="str">
        <f>+'LƯƠNG KT'!D72</f>
        <v>Nàng Tịa</v>
      </c>
      <c r="F70" s="134" t="s">
        <v>15</v>
      </c>
      <c r="G70" s="552">
        <f>VLOOKUP(E70,'LƯƠNG KT'!$D$15:$R$94,4,0)</f>
        <v>0</v>
      </c>
      <c r="H70" s="552">
        <f>VLOOKUP(E70,'LƯƠNG KT'!$D$15:$R$94,9,0)</f>
        <v>2795837</v>
      </c>
      <c r="I70" s="552">
        <f>VLOOKUP(E70,'LƯƠNG KT'!$D$15:$R$94,15,0)</f>
        <v>1628607</v>
      </c>
      <c r="J70" s="558">
        <f t="shared" si="0"/>
        <v>4424444</v>
      </c>
      <c r="K70" s="558"/>
      <c r="L70" s="558"/>
      <c r="M70" s="552">
        <f t="shared" si="1"/>
        <v>4424444</v>
      </c>
      <c r="N70" s="135"/>
      <c r="O70" s="559">
        <f>VLOOKUP(E70,'LƯƠNG KT'!D72:U151,18,0)</f>
        <v>4424444</v>
      </c>
      <c r="P70" s="559">
        <f t="shared" si="2"/>
        <v>0</v>
      </c>
    </row>
    <row r="71" spans="1:16" s="540" customFormat="1" ht="17.25" customHeight="1">
      <c r="A71" s="132">
        <v>59</v>
      </c>
      <c r="B71" s="1761">
        <v>24</v>
      </c>
      <c r="C71" s="245" t="e">
        <f>VLOOKUP(E71,'DS CN MOI UP'!$B$10:$C$347,2,0)</f>
        <v>#N/A</v>
      </c>
      <c r="D71" s="550" t="s">
        <v>912</v>
      </c>
      <c r="E71" s="551" t="str">
        <f>+'LƯƠNG KT'!D73</f>
        <v>Thảo Tý</v>
      </c>
      <c r="F71" s="134" t="s">
        <v>15</v>
      </c>
      <c r="G71" s="552">
        <f>VLOOKUP(E71,'LƯƠNG KT'!$D$15:$R$94,4,0)</f>
        <v>0</v>
      </c>
      <c r="H71" s="552">
        <f>VLOOKUP(E71,'LƯƠNG KT'!$D$15:$R$94,9,0)</f>
        <v>5136812</v>
      </c>
      <c r="I71" s="552">
        <f>VLOOKUP(E71,'LƯƠNG KT'!$D$15:$R$94,15,0)</f>
        <v>1628607</v>
      </c>
      <c r="J71" s="558">
        <f t="shared" si="0"/>
        <v>6765419</v>
      </c>
      <c r="K71" s="558"/>
      <c r="L71" s="558"/>
      <c r="M71" s="552">
        <f t="shared" si="1"/>
        <v>6765419</v>
      </c>
      <c r="N71" s="135"/>
      <c r="O71" s="559">
        <f>VLOOKUP(E71,'LƯƠNG KT'!D73:U152,18,0)</f>
        <v>6765419</v>
      </c>
      <c r="P71" s="559">
        <f t="shared" si="2"/>
        <v>0</v>
      </c>
    </row>
    <row r="72" spans="1:16" s="540" customFormat="1" ht="17.25" customHeight="1">
      <c r="A72" s="132">
        <v>60</v>
      </c>
      <c r="B72" s="1761">
        <v>25</v>
      </c>
      <c r="C72" s="245" t="e">
        <f>VLOOKUP(E72,'DS CN MOI UP'!$B$10:$C$347,2,0)</f>
        <v>#N/A</v>
      </c>
      <c r="D72" s="550" t="s">
        <v>912</v>
      </c>
      <c r="E72" s="551" t="str">
        <f>+'LƯƠNG KT'!D74</f>
        <v>Nàng Lếc</v>
      </c>
      <c r="F72" s="134" t="s">
        <v>15</v>
      </c>
      <c r="G72" s="552">
        <f>VLOOKUP(E72,'LƯƠNG KT'!$D$15:$R$94,4,0)</f>
        <v>0</v>
      </c>
      <c r="H72" s="552">
        <f>VLOOKUP(E72,'LƯƠNG KT'!$D$15:$R$94,9,0)</f>
        <v>5148575</v>
      </c>
      <c r="I72" s="552">
        <f>VLOOKUP(E72,'LƯƠNG KT'!$D$15:$R$94,15,0)</f>
        <v>1628607</v>
      </c>
      <c r="J72" s="558">
        <f t="shared" si="0"/>
        <v>6777182</v>
      </c>
      <c r="K72" s="558"/>
      <c r="L72" s="558"/>
      <c r="M72" s="552">
        <f t="shared" si="1"/>
        <v>6777182</v>
      </c>
      <c r="N72" s="135"/>
      <c r="O72" s="559">
        <f>VLOOKUP(E72,'LƯƠNG KT'!D74:U153,18,0)</f>
        <v>6777182</v>
      </c>
      <c r="P72" s="559">
        <f t="shared" si="2"/>
        <v>0</v>
      </c>
    </row>
    <row r="73" spans="1:16" s="540" customFormat="1" ht="17.25" customHeight="1">
      <c r="A73" s="132">
        <v>61</v>
      </c>
      <c r="B73" s="1761">
        <v>26</v>
      </c>
      <c r="C73" s="245" t="e">
        <f>VLOOKUP(E73,'DS CN MOI UP'!$B$10:$C$347,2,0)</f>
        <v>#N/A</v>
      </c>
      <c r="D73" s="550" t="s">
        <v>918</v>
      </c>
      <c r="E73" s="551" t="str">
        <f>+'LƯƠNG KT'!D75</f>
        <v>Nàng Veo</v>
      </c>
      <c r="F73" s="134" t="s">
        <v>15</v>
      </c>
      <c r="G73" s="552">
        <f>VLOOKUP(E73,'LƯƠNG KT'!$D$15:$R$94,4,0)</f>
        <v>0</v>
      </c>
      <c r="H73" s="552">
        <f>VLOOKUP(E73,'LƯƠNG KT'!$D$15:$R$94,9,0)</f>
        <v>3741432</v>
      </c>
      <c r="I73" s="552">
        <f>VLOOKUP(E73,'LƯƠNG KT'!$D$15:$R$94,15,0)</f>
        <v>1628607</v>
      </c>
      <c r="J73" s="558">
        <f t="shared" si="0"/>
        <v>5370039</v>
      </c>
      <c r="K73" s="558"/>
      <c r="L73" s="558"/>
      <c r="M73" s="552">
        <f t="shared" si="1"/>
        <v>5370039</v>
      </c>
      <c r="N73" s="135"/>
      <c r="O73" s="559">
        <f>VLOOKUP(E73,'LƯƠNG KT'!D75:U154,18,0)</f>
        <v>5370039</v>
      </c>
      <c r="P73" s="559">
        <f t="shared" si="2"/>
        <v>0</v>
      </c>
    </row>
    <row r="74" spans="1:16" s="540" customFormat="1" ht="17.25" customHeight="1">
      <c r="A74" s="132">
        <v>62</v>
      </c>
      <c r="B74" s="1761">
        <v>27</v>
      </c>
      <c r="C74" s="245" t="e">
        <f>VLOOKUP(E74,'DS CN MOI UP'!$B$10:$C$347,2,0)</f>
        <v>#N/A</v>
      </c>
      <c r="D74" s="550" t="s">
        <v>918</v>
      </c>
      <c r="E74" s="551" t="str">
        <f>+'LƯƠNG KT'!D76</f>
        <v>Thảo Chọi</v>
      </c>
      <c r="F74" s="134" t="s">
        <v>15</v>
      </c>
      <c r="G74" s="552">
        <f>VLOOKUP(E74,'LƯƠNG KT'!$D$15:$R$94,4,0)</f>
        <v>0</v>
      </c>
      <c r="H74" s="552">
        <f>VLOOKUP(E74,'LƯƠNG KT'!$D$15:$R$94,9,0)</f>
        <v>3758210</v>
      </c>
      <c r="I74" s="552">
        <f>VLOOKUP(E74,'LƯƠNG KT'!$D$15:$R$94,15,0)</f>
        <v>1628607</v>
      </c>
      <c r="J74" s="558">
        <f t="shared" si="0"/>
        <v>5386817</v>
      </c>
      <c r="K74" s="558"/>
      <c r="L74" s="558"/>
      <c r="M74" s="552">
        <f t="shared" si="1"/>
        <v>5386817</v>
      </c>
      <c r="N74" s="135"/>
      <c r="O74" s="559">
        <f>VLOOKUP(E74,'LƯƠNG KT'!D76:U155,18,0)</f>
        <v>5386817</v>
      </c>
      <c r="P74" s="559">
        <f t="shared" si="2"/>
        <v>0</v>
      </c>
    </row>
    <row r="75" spans="1:16" s="540" customFormat="1" ht="17.25" customHeight="1">
      <c r="A75" s="132">
        <v>63</v>
      </c>
      <c r="B75" s="1761">
        <v>28</v>
      </c>
      <c r="C75" s="245" t="e">
        <f>VLOOKUP(E75,'DS CN MOI UP'!$B$10:$C$347,2,0)</f>
        <v>#N/A</v>
      </c>
      <c r="D75" s="550" t="s">
        <v>918</v>
      </c>
      <c r="E75" s="551" t="str">
        <f>+'LƯƠNG KT'!D77</f>
        <v>Nàng Nọi</v>
      </c>
      <c r="F75" s="134" t="s">
        <v>15</v>
      </c>
      <c r="G75" s="552">
        <f>VLOOKUP(E75,'LƯƠNG KT'!$D$15:$R$94,4,0)</f>
        <v>0</v>
      </c>
      <c r="H75" s="552">
        <f>VLOOKUP(E75,'LƯƠNG KT'!$D$15:$R$94,9,0)</f>
        <v>2835050</v>
      </c>
      <c r="I75" s="552">
        <f>VLOOKUP(E75,'LƯƠNG KT'!$D$15:$R$94,15,0)</f>
        <v>1628607</v>
      </c>
      <c r="J75" s="558">
        <f t="shared" si="0"/>
        <v>4463657</v>
      </c>
      <c r="K75" s="558"/>
      <c r="L75" s="558"/>
      <c r="M75" s="552">
        <f t="shared" si="1"/>
        <v>4463657</v>
      </c>
      <c r="N75" s="135"/>
      <c r="O75" s="559">
        <f>VLOOKUP(E75,'LƯƠNG KT'!D77:U156,18,0)</f>
        <v>4463657</v>
      </c>
      <c r="P75" s="559">
        <f t="shared" si="2"/>
        <v>0</v>
      </c>
    </row>
    <row r="76" spans="1:16" s="540" customFormat="1" ht="17.25" customHeight="1">
      <c r="A76" s="132">
        <v>64</v>
      </c>
      <c r="B76" s="1761">
        <v>29</v>
      </c>
      <c r="C76" s="245" t="e">
        <f>VLOOKUP(E76,'DS CN MOI UP'!$B$10:$C$347,2,0)</f>
        <v>#N/A</v>
      </c>
      <c r="D76" s="550" t="s">
        <v>918</v>
      </c>
      <c r="E76" s="551" t="str">
        <f>+'LƯƠNG KT'!D78</f>
        <v>Thảo Uổn</v>
      </c>
      <c r="F76" s="134" t="s">
        <v>15</v>
      </c>
      <c r="G76" s="552">
        <f>VLOOKUP(E76,'LƯƠNG KT'!$D$15:$R$94,4,0)</f>
        <v>0</v>
      </c>
      <c r="H76" s="552">
        <f>VLOOKUP(E76,'LƯƠNG KT'!$D$15:$R$94,9,0)</f>
        <v>2895089</v>
      </c>
      <c r="I76" s="552">
        <f>VLOOKUP(E76,'LƯƠNG KT'!$D$15:$R$94,15,0)</f>
        <v>1628607</v>
      </c>
      <c r="J76" s="558">
        <f t="shared" si="0"/>
        <v>4523696</v>
      </c>
      <c r="K76" s="558"/>
      <c r="L76" s="558"/>
      <c r="M76" s="552">
        <f t="shared" si="1"/>
        <v>4523696</v>
      </c>
      <c r="N76" s="135"/>
      <c r="O76" s="559">
        <f>VLOOKUP(E76,'LƯƠNG KT'!D78:U157,18,0)</f>
        <v>4523696</v>
      </c>
      <c r="P76" s="559">
        <f t="shared" si="2"/>
        <v>0</v>
      </c>
    </row>
    <row r="77" spans="1:16" s="540" customFormat="1" ht="17.25" customHeight="1">
      <c r="A77" s="132">
        <v>65</v>
      </c>
      <c r="B77" s="1761">
        <v>30</v>
      </c>
      <c r="C77" s="245" t="e">
        <f>VLOOKUP(E77,'DS CN MOI UP'!$B$10:$C$347,2,0)</f>
        <v>#N/A</v>
      </c>
      <c r="D77" s="550" t="s">
        <v>918</v>
      </c>
      <c r="E77" s="551" t="str">
        <f>+'LƯƠNG KT'!D79</f>
        <v>Nàng Văn</v>
      </c>
      <c r="F77" s="134" t="s">
        <v>15</v>
      </c>
      <c r="G77" s="552">
        <f>VLOOKUP(E77,'LƯƠNG KT'!$D$15:$R$94,4,0)</f>
        <v>0</v>
      </c>
      <c r="H77" s="552">
        <f>VLOOKUP(E77,'LƯƠNG KT'!$D$15:$R$94,9,0)</f>
        <v>2887633</v>
      </c>
      <c r="I77" s="552">
        <f>VLOOKUP(E77,'LƯƠNG KT'!$D$15:$R$94,15,0)</f>
        <v>1628607</v>
      </c>
      <c r="J77" s="558">
        <f t="shared" si="0"/>
        <v>4516240</v>
      </c>
      <c r="K77" s="558"/>
      <c r="L77" s="558"/>
      <c r="M77" s="552">
        <f t="shared" si="1"/>
        <v>4516240</v>
      </c>
      <c r="N77" s="135"/>
      <c r="O77" s="559">
        <f>VLOOKUP(E77,'LƯƠNG KT'!D79:U158,18,0)</f>
        <v>4516240</v>
      </c>
      <c r="P77" s="559">
        <f t="shared" si="2"/>
        <v>0</v>
      </c>
    </row>
    <row r="78" spans="1:16" s="540" customFormat="1" ht="17.25" customHeight="1">
      <c r="A78" s="132">
        <v>66</v>
      </c>
      <c r="B78" s="1761">
        <v>31</v>
      </c>
      <c r="C78" s="245" t="e">
        <f>VLOOKUP(E78,'DS CN MOI UP'!$B$10:$C$347,2,0)</f>
        <v>#N/A</v>
      </c>
      <c r="D78" s="550" t="s">
        <v>918</v>
      </c>
      <c r="E78" s="551" t="str">
        <f>+'LƯƠNG KT'!D80</f>
        <v>Thảo Chòi</v>
      </c>
      <c r="F78" s="134" t="s">
        <v>15</v>
      </c>
      <c r="G78" s="552">
        <f>VLOOKUP(E78,'LƯƠNG KT'!$D$15:$R$94,4,0)</f>
        <v>0</v>
      </c>
      <c r="H78" s="552">
        <f>VLOOKUP(E78,'LƯƠNG KT'!$D$15:$R$94,9,0)</f>
        <v>3060520</v>
      </c>
      <c r="I78" s="552">
        <f>VLOOKUP(E78,'LƯƠNG KT'!$D$15:$R$94,15,0)</f>
        <v>1628607</v>
      </c>
      <c r="J78" s="558">
        <f t="shared" ref="J78:J92" si="3">SUM(G78:I78)</f>
        <v>4689127</v>
      </c>
      <c r="K78" s="558"/>
      <c r="L78" s="558"/>
      <c r="M78" s="552">
        <f t="shared" ref="M78:M92" si="4">J78-L78</f>
        <v>4689127</v>
      </c>
      <c r="N78" s="135"/>
      <c r="O78" s="559">
        <f>VLOOKUP(E78,'LƯƠNG KT'!D80:U159,18,0)</f>
        <v>4689127</v>
      </c>
      <c r="P78" s="559">
        <f t="shared" ref="P78:P92" si="5">O78-M78</f>
        <v>0</v>
      </c>
    </row>
    <row r="79" spans="1:16" s="540" customFormat="1" ht="17.25" customHeight="1">
      <c r="A79" s="132">
        <v>67</v>
      </c>
      <c r="B79" s="1761">
        <v>32</v>
      </c>
      <c r="C79" s="245" t="e">
        <f>VLOOKUP(E79,'DS CN MOI UP'!$B$10:$C$347,2,0)</f>
        <v>#N/A</v>
      </c>
      <c r="D79" s="550" t="s">
        <v>918</v>
      </c>
      <c r="E79" s="551" t="str">
        <f>+'LƯƠNG KT'!D81</f>
        <v>Thảo Chanh</v>
      </c>
      <c r="F79" s="134" t="s">
        <v>15</v>
      </c>
      <c r="G79" s="552">
        <f>VLOOKUP(E79,'LƯƠNG KT'!$D$15:$R$94,4,0)</f>
        <v>0</v>
      </c>
      <c r="H79" s="552">
        <f>VLOOKUP(E79,'LƯƠNG KT'!$D$15:$R$94,9,0)</f>
        <v>2986017</v>
      </c>
      <c r="I79" s="552">
        <f>VLOOKUP(E79,'LƯƠNG KT'!$D$15:$R$94,15,0)</f>
        <v>1628607</v>
      </c>
      <c r="J79" s="558">
        <f t="shared" si="3"/>
        <v>4614624</v>
      </c>
      <c r="K79" s="558"/>
      <c r="L79" s="558"/>
      <c r="M79" s="552">
        <f t="shared" si="4"/>
        <v>4614624</v>
      </c>
      <c r="N79" s="135"/>
      <c r="O79" s="559">
        <f>VLOOKUP(E79,'LƯƠNG KT'!D81:U160,18,0)</f>
        <v>4614624</v>
      </c>
      <c r="P79" s="559">
        <f t="shared" si="5"/>
        <v>0</v>
      </c>
    </row>
    <row r="80" spans="1:16" s="540" customFormat="1" ht="17.25" customHeight="1">
      <c r="A80" s="132">
        <v>68</v>
      </c>
      <c r="B80" s="1761">
        <v>33</v>
      </c>
      <c r="C80" s="245" t="e">
        <f>VLOOKUP(E80,'DS CN MOI UP'!$B$10:$C$347,2,0)</f>
        <v>#N/A</v>
      </c>
      <c r="D80" s="550" t="s">
        <v>912</v>
      </c>
      <c r="E80" s="551" t="str">
        <f>+'LƯƠNG KT'!D82</f>
        <v>Thảo Sa</v>
      </c>
      <c r="F80" s="134" t="s">
        <v>15</v>
      </c>
      <c r="G80" s="552">
        <f>VLOOKUP(E80,'LƯƠNG KT'!$D$15:$R$94,4,0)</f>
        <v>0</v>
      </c>
      <c r="H80" s="552">
        <f>VLOOKUP(E80,'LƯƠNG KT'!$D$15:$R$94,9,0)</f>
        <v>3007584</v>
      </c>
      <c r="I80" s="552">
        <f>VLOOKUP(E80,'LƯƠNG KT'!$D$15:$R$94,15,0)</f>
        <v>1628607</v>
      </c>
      <c r="J80" s="558">
        <f t="shared" si="3"/>
        <v>4636191</v>
      </c>
      <c r="K80" s="558"/>
      <c r="L80" s="558"/>
      <c r="M80" s="552">
        <f t="shared" si="4"/>
        <v>4636191</v>
      </c>
      <c r="N80" s="135"/>
      <c r="O80" s="559">
        <f>VLOOKUP(E80,'LƯƠNG KT'!D82:U161,18,0)</f>
        <v>4636191</v>
      </c>
      <c r="P80" s="559">
        <f t="shared" si="5"/>
        <v>0</v>
      </c>
    </row>
    <row r="81" spans="1:16" s="540" customFormat="1" ht="17.25" customHeight="1">
      <c r="A81" s="132">
        <v>69</v>
      </c>
      <c r="B81" s="1761">
        <v>34</v>
      </c>
      <c r="C81" s="245" t="e">
        <f>VLOOKUP(E81,'DS CN MOI UP'!$B$10:$C$347,2,0)</f>
        <v>#N/A</v>
      </c>
      <c r="D81" s="550" t="s">
        <v>912</v>
      </c>
      <c r="E81" s="551" t="str">
        <f>+'LƯƠNG KT'!D83</f>
        <v>Nàng Phôn</v>
      </c>
      <c r="F81" s="134" t="s">
        <v>15</v>
      </c>
      <c r="G81" s="552">
        <f>VLOOKUP(E81,'LƯƠNG KT'!$D$15:$R$94,4,0)</f>
        <v>0</v>
      </c>
      <c r="H81" s="552">
        <f>VLOOKUP(E81,'LƯƠNG KT'!$D$15:$R$94,9,0)</f>
        <v>3507541</v>
      </c>
      <c r="I81" s="552">
        <f>VLOOKUP(E81,'LƯƠNG KT'!$D$15:$R$94,15,0)</f>
        <v>1628607</v>
      </c>
      <c r="J81" s="558">
        <f t="shared" si="3"/>
        <v>5136148</v>
      </c>
      <c r="K81" s="558"/>
      <c r="L81" s="558"/>
      <c r="M81" s="552">
        <f t="shared" si="4"/>
        <v>5136148</v>
      </c>
      <c r="N81" s="135"/>
      <c r="O81" s="559">
        <f>VLOOKUP(E81,'LƯƠNG KT'!D83:U162,18,0)</f>
        <v>5136148</v>
      </c>
      <c r="P81" s="559">
        <f t="shared" si="5"/>
        <v>0</v>
      </c>
    </row>
    <row r="82" spans="1:16" s="540" customFormat="1" ht="17.25" customHeight="1">
      <c r="A82" s="132">
        <v>70</v>
      </c>
      <c r="B82" s="1761">
        <v>35</v>
      </c>
      <c r="C82" s="245" t="e">
        <f>VLOOKUP(E82,'DS CN MOI UP'!$B$10:$C$347,2,0)</f>
        <v>#N/A</v>
      </c>
      <c r="D82" s="550" t="s">
        <v>912</v>
      </c>
      <c r="E82" s="551" t="str">
        <f>+'LƯƠNG KT'!D84</f>
        <v>Thảo Mon</v>
      </c>
      <c r="F82" s="134" t="s">
        <v>15</v>
      </c>
      <c r="G82" s="552">
        <f>VLOOKUP(E82,'LƯƠNG KT'!$D$15:$R$94,4,0)</f>
        <v>0</v>
      </c>
      <c r="H82" s="552">
        <f>VLOOKUP(E82,'LƯƠNG KT'!$D$15:$R$94,9,0)</f>
        <v>3538910</v>
      </c>
      <c r="I82" s="552">
        <f>VLOOKUP(E82,'LƯƠNG KT'!$D$15:$R$94,15,0)</f>
        <v>1628607</v>
      </c>
      <c r="J82" s="558">
        <f t="shared" si="3"/>
        <v>5167517</v>
      </c>
      <c r="K82" s="558"/>
      <c r="L82" s="558"/>
      <c r="M82" s="552">
        <f t="shared" si="4"/>
        <v>5167517</v>
      </c>
      <c r="N82" s="135"/>
      <c r="O82" s="559">
        <f>VLOOKUP(E82,'LƯƠNG KT'!D84:U163,18,0)</f>
        <v>5167517</v>
      </c>
      <c r="P82" s="559">
        <f t="shared" si="5"/>
        <v>0</v>
      </c>
    </row>
    <row r="83" spans="1:16" s="540" customFormat="1" ht="17.25" customHeight="1">
      <c r="A83" s="132">
        <v>71</v>
      </c>
      <c r="B83" s="1761">
        <v>36</v>
      </c>
      <c r="C83" s="245" t="e">
        <f>VLOOKUP(E83,'DS CN MOI UP'!$B$10:$C$347,2,0)</f>
        <v>#N/A</v>
      </c>
      <c r="D83" s="550" t="s">
        <v>912</v>
      </c>
      <c r="E83" s="551" t="str">
        <f>+'LƯƠNG KT'!D85</f>
        <v>Thảo Vông Xay</v>
      </c>
      <c r="F83" s="134" t="s">
        <v>15</v>
      </c>
      <c r="G83" s="552">
        <f>VLOOKUP(E83,'LƯƠNG KT'!$D$15:$R$94,4,0)</f>
        <v>0</v>
      </c>
      <c r="H83" s="552">
        <f>VLOOKUP(E83,'LƯƠNG KT'!$D$15:$R$94,9,0)</f>
        <v>3266063</v>
      </c>
      <c r="I83" s="552">
        <f>VLOOKUP(E83,'LƯƠNG KT'!$D$15:$R$94,15,0)</f>
        <v>1628607</v>
      </c>
      <c r="J83" s="558">
        <f t="shared" si="3"/>
        <v>4894670</v>
      </c>
      <c r="K83" s="558"/>
      <c r="L83" s="558"/>
      <c r="M83" s="552">
        <f t="shared" si="4"/>
        <v>4894670</v>
      </c>
      <c r="N83" s="135"/>
      <c r="O83" s="559">
        <f>VLOOKUP(E83,'LƯƠNG KT'!D85:U164,18,0)</f>
        <v>4894670</v>
      </c>
      <c r="P83" s="559">
        <f t="shared" si="5"/>
        <v>0</v>
      </c>
    </row>
    <row r="84" spans="1:16" s="540" customFormat="1" ht="17.25" customHeight="1">
      <c r="A84" s="132">
        <v>72</v>
      </c>
      <c r="B84" s="1761">
        <v>37</v>
      </c>
      <c r="C84" s="245" t="e">
        <f>VLOOKUP(E84,'DS CN MOI UP'!$B$10:$C$347,2,0)</f>
        <v>#N/A</v>
      </c>
      <c r="D84" s="550" t="s">
        <v>912</v>
      </c>
      <c r="E84" s="551" t="str">
        <f>+'LƯƠNG KT'!D86</f>
        <v>Nàng Lun</v>
      </c>
      <c r="F84" s="134" t="s">
        <v>15</v>
      </c>
      <c r="G84" s="552">
        <f>VLOOKUP(E84,'LƯƠNG KT'!$D$15:$R$94,4,0)</f>
        <v>0</v>
      </c>
      <c r="H84" s="552">
        <f>VLOOKUP(E84,'LƯƠNG KT'!$D$15:$R$94,9,0)</f>
        <v>3460486</v>
      </c>
      <c r="I84" s="552">
        <f>VLOOKUP(E84,'LƯƠNG KT'!$D$15:$R$94,15,0)</f>
        <v>1628607</v>
      </c>
      <c r="J84" s="558">
        <f t="shared" si="3"/>
        <v>5089093</v>
      </c>
      <c r="K84" s="558"/>
      <c r="L84" s="558"/>
      <c r="M84" s="552">
        <f t="shared" si="4"/>
        <v>5089093</v>
      </c>
      <c r="N84" s="135"/>
      <c r="O84" s="559">
        <f>VLOOKUP(E84,'LƯƠNG KT'!D86:U165,18,0)</f>
        <v>5089093</v>
      </c>
      <c r="P84" s="559">
        <f t="shared" si="5"/>
        <v>0</v>
      </c>
    </row>
    <row r="85" spans="1:16" s="540" customFormat="1" ht="17.25" customHeight="1">
      <c r="A85" s="132">
        <v>73</v>
      </c>
      <c r="B85" s="1761">
        <v>38</v>
      </c>
      <c r="C85" s="245" t="e">
        <f>VLOOKUP(E85,'DS CN MOI UP'!$B$10:$C$347,2,0)</f>
        <v>#N/A</v>
      </c>
      <c r="D85" s="550" t="s">
        <v>912</v>
      </c>
      <c r="E85" s="551" t="str">
        <f>+'LƯƠNG KT'!D87</f>
        <v>Thảo Vong</v>
      </c>
      <c r="F85" s="134" t="s">
        <v>15</v>
      </c>
      <c r="G85" s="552">
        <f>VLOOKUP(E85,'LƯƠNG KT'!$D$15:$R$94,4,0)</f>
        <v>0</v>
      </c>
      <c r="H85" s="552">
        <f>VLOOKUP(E85,'LƯƠNG KT'!$D$15:$R$94,9,0)</f>
        <v>4858083</v>
      </c>
      <c r="I85" s="552">
        <f>VLOOKUP(E85,'LƯƠNG KT'!$D$15:$R$94,15,0)</f>
        <v>2224076</v>
      </c>
      <c r="J85" s="558">
        <f t="shared" si="3"/>
        <v>7082159</v>
      </c>
      <c r="K85" s="558"/>
      <c r="L85" s="558"/>
      <c r="M85" s="552">
        <f t="shared" si="4"/>
        <v>7082159</v>
      </c>
      <c r="N85" s="135"/>
      <c r="O85" s="559">
        <f>VLOOKUP(E85,'LƯƠNG KT'!D87:U166,18,0)</f>
        <v>7082159</v>
      </c>
      <c r="P85" s="559">
        <f t="shared" si="5"/>
        <v>0</v>
      </c>
    </row>
    <row r="86" spans="1:16" s="540" customFormat="1" ht="17.25" customHeight="1">
      <c r="A86" s="132">
        <v>74</v>
      </c>
      <c r="B86" s="1761">
        <v>39</v>
      </c>
      <c r="C86" s="245" t="e">
        <f>VLOOKUP(E86,'DS CN MOI UP'!$B$10:$C$347,2,0)</f>
        <v>#N/A</v>
      </c>
      <c r="D86" s="550" t="s">
        <v>918</v>
      </c>
      <c r="E86" s="551" t="str">
        <f>+'LƯƠNG KT'!D88</f>
        <v>Nàng Veng</v>
      </c>
      <c r="F86" s="134" t="s">
        <v>15</v>
      </c>
      <c r="G86" s="552">
        <f>VLOOKUP(E86,'LƯƠNG KT'!$D$15:$R$94,4,0)</f>
        <v>0</v>
      </c>
      <c r="H86" s="552">
        <f>VLOOKUP(E86,'LƯƠNG KT'!$D$15:$R$94,9,0)</f>
        <v>4889774</v>
      </c>
      <c r="I86" s="552">
        <f>VLOOKUP(E86,'LƯƠNG KT'!$D$15:$R$94,15,0)</f>
        <v>2224076</v>
      </c>
      <c r="J86" s="558">
        <f t="shared" si="3"/>
        <v>7113850</v>
      </c>
      <c r="K86" s="558"/>
      <c r="L86" s="558"/>
      <c r="M86" s="552">
        <f t="shared" si="4"/>
        <v>7113850</v>
      </c>
      <c r="N86" s="135"/>
      <c r="O86" s="559">
        <f>VLOOKUP(E86,'LƯƠNG KT'!D88:U167,18,0)</f>
        <v>7113850</v>
      </c>
      <c r="P86" s="559">
        <f t="shared" si="5"/>
        <v>0</v>
      </c>
    </row>
    <row r="87" spans="1:16" s="540" customFormat="1" ht="17.25" customHeight="1">
      <c r="A87" s="132">
        <v>75</v>
      </c>
      <c r="B87" s="1761">
        <v>40</v>
      </c>
      <c r="C87" s="245" t="e">
        <f>VLOOKUP(E87,'DS CN MOI UP'!$B$10:$C$347,2,0)</f>
        <v>#N/A</v>
      </c>
      <c r="D87" s="550" t="s">
        <v>918</v>
      </c>
      <c r="E87" s="551" t="str">
        <f>+'LƯƠNG KT'!D89</f>
        <v>Thảo Đuông Chăn</v>
      </c>
      <c r="F87" s="134" t="s">
        <v>15</v>
      </c>
      <c r="G87" s="552">
        <f>VLOOKUP(E87,'LƯƠNG KT'!$D$15:$R$94,4,0)</f>
        <v>0</v>
      </c>
      <c r="H87" s="552">
        <f>VLOOKUP(E87,'LƯƠNG KT'!$D$15:$R$94,9,0)</f>
        <v>4345430</v>
      </c>
      <c r="I87" s="552">
        <f>VLOOKUP(E87,'LƯƠNG KT'!$D$15:$R$94,15,0)</f>
        <v>2224076</v>
      </c>
      <c r="J87" s="558">
        <f t="shared" si="3"/>
        <v>6569506</v>
      </c>
      <c r="K87" s="558"/>
      <c r="L87" s="558"/>
      <c r="M87" s="552">
        <f t="shared" si="4"/>
        <v>6569506</v>
      </c>
      <c r="N87" s="135"/>
      <c r="O87" s="559">
        <f>VLOOKUP(E87,'LƯƠNG KT'!D89:U168,18,0)</f>
        <v>6569506</v>
      </c>
      <c r="P87" s="559">
        <f t="shared" si="5"/>
        <v>0</v>
      </c>
    </row>
    <row r="88" spans="1:16" s="540" customFormat="1" ht="17.25" customHeight="1">
      <c r="A88" s="132">
        <v>76</v>
      </c>
      <c r="B88" s="1761">
        <v>41</v>
      </c>
      <c r="C88" s="245" t="e">
        <f>VLOOKUP(E88,'DS CN MOI UP'!$B$10:$C$347,2,0)</f>
        <v>#N/A</v>
      </c>
      <c r="D88" s="550" t="s">
        <v>918</v>
      </c>
      <c r="E88" s="551" t="str">
        <f>+'LƯƠNG KT'!D90</f>
        <v>Nàng Peng</v>
      </c>
      <c r="F88" s="134" t="s">
        <v>15</v>
      </c>
      <c r="G88" s="552">
        <f>VLOOKUP(E88,'LƯƠNG KT'!$D$15:$R$94,4,0)</f>
        <v>0</v>
      </c>
      <c r="H88" s="552">
        <f>VLOOKUP(E88,'LƯƠNG KT'!$D$15:$R$94,9,0)</f>
        <v>4359761</v>
      </c>
      <c r="I88" s="552">
        <f>VLOOKUP(E88,'LƯƠNG KT'!$D$15:$R$94,15,0)</f>
        <v>2224076</v>
      </c>
      <c r="J88" s="558">
        <f t="shared" si="3"/>
        <v>6583837</v>
      </c>
      <c r="K88" s="558"/>
      <c r="L88" s="558"/>
      <c r="M88" s="552">
        <f t="shared" si="4"/>
        <v>6583837</v>
      </c>
      <c r="N88" s="135"/>
      <c r="O88" s="559">
        <f>VLOOKUP(E88,'LƯƠNG KT'!D90:U169,18,0)</f>
        <v>6583837</v>
      </c>
      <c r="P88" s="559">
        <f t="shared" si="5"/>
        <v>0</v>
      </c>
    </row>
    <row r="89" spans="1:16" s="540" customFormat="1" ht="17.25" customHeight="1">
      <c r="A89" s="132">
        <v>77</v>
      </c>
      <c r="B89" s="1761">
        <v>42</v>
      </c>
      <c r="C89" s="245" t="e">
        <f>VLOOKUP(E89,'DS CN MOI UP'!$B$10:$C$347,2,0)</f>
        <v>#N/A</v>
      </c>
      <c r="D89" s="550" t="s">
        <v>918</v>
      </c>
      <c r="E89" s="551" t="str">
        <f>+'LƯƠNG KT'!D91</f>
        <v>Thảo Xay Tho</v>
      </c>
      <c r="F89" s="134" t="s">
        <v>15</v>
      </c>
      <c r="G89" s="552">
        <f>VLOOKUP(E89,'LƯƠNG KT'!$D$15:$R$94,4,0)</f>
        <v>0</v>
      </c>
      <c r="H89" s="552">
        <f>VLOOKUP(E89,'LƯƠNG KT'!$D$15:$R$94,9,0)</f>
        <v>3687320</v>
      </c>
      <c r="I89" s="552">
        <f>VLOOKUP(E89,'LƯƠNG KT'!$D$15:$R$94,15,0)</f>
        <v>2224076</v>
      </c>
      <c r="J89" s="558">
        <f t="shared" si="3"/>
        <v>5911396</v>
      </c>
      <c r="K89" s="558"/>
      <c r="L89" s="558"/>
      <c r="M89" s="552">
        <f t="shared" si="4"/>
        <v>5911396</v>
      </c>
      <c r="N89" s="135"/>
      <c r="O89" s="559">
        <f>VLOOKUP(E89,'LƯƠNG KT'!D91:U170,18,0)</f>
        <v>5911396</v>
      </c>
      <c r="P89" s="559">
        <f t="shared" si="5"/>
        <v>0</v>
      </c>
    </row>
    <row r="90" spans="1:16" s="540" customFormat="1" ht="17.25" customHeight="1">
      <c r="A90" s="132">
        <v>78</v>
      </c>
      <c r="B90" s="1761">
        <v>43</v>
      </c>
      <c r="C90" s="245" t="e">
        <f>VLOOKUP(E90,'DS CN MOI UP'!$B$10:$C$347,2,0)</f>
        <v>#N/A</v>
      </c>
      <c r="D90" s="550" t="s">
        <v>918</v>
      </c>
      <c r="E90" s="551" t="str">
        <f>+'LƯƠNG KT'!D92</f>
        <v>Nàng Xia Lô</v>
      </c>
      <c r="F90" s="134" t="s">
        <v>15</v>
      </c>
      <c r="G90" s="552">
        <f>VLOOKUP(E90,'LƯƠNG KT'!$D$15:$R$94,4,0)</f>
        <v>0</v>
      </c>
      <c r="H90" s="552">
        <f>VLOOKUP(E90,'LƯƠNG KT'!$D$15:$R$94,9,0)</f>
        <v>3682035</v>
      </c>
      <c r="I90" s="552">
        <f>VLOOKUP(E90,'LƯƠNG KT'!$D$15:$R$94,15,0)</f>
        <v>2224080</v>
      </c>
      <c r="J90" s="558">
        <f t="shared" si="3"/>
        <v>5906115</v>
      </c>
      <c r="K90" s="558"/>
      <c r="L90" s="558"/>
      <c r="M90" s="552">
        <f t="shared" si="4"/>
        <v>5906115</v>
      </c>
      <c r="N90" s="135"/>
      <c r="O90" s="559">
        <f>VLOOKUP(E90,'LƯƠNG KT'!D92:U171,18,0)</f>
        <v>5906115</v>
      </c>
      <c r="P90" s="559">
        <f t="shared" si="5"/>
        <v>0</v>
      </c>
    </row>
    <row r="91" spans="1:16" s="540" customFormat="1" ht="17.25" customHeight="1">
      <c r="A91" s="132">
        <v>79</v>
      </c>
      <c r="B91" s="1761"/>
      <c r="C91" s="245" t="e">
        <f>VLOOKUP(E91,'DS CN MOI UP'!$B$10:$C$347,2,0)</f>
        <v>#N/A</v>
      </c>
      <c r="D91" s="550" t="s">
        <v>918</v>
      </c>
      <c r="E91" s="551" t="str">
        <f>+'LƯƠNG KT'!D93</f>
        <v>A Đen</v>
      </c>
      <c r="F91" s="1767" t="s">
        <v>3322</v>
      </c>
      <c r="G91" s="552">
        <f>VLOOKUP(E91,'LƯƠNG KT'!$D$15:$R$94,4,0)</f>
        <v>0</v>
      </c>
      <c r="H91" s="552">
        <f>VLOOKUP(E91,'LƯƠNG KT'!$D$15:$R$94,9,0)</f>
        <v>0</v>
      </c>
      <c r="I91" s="552">
        <f>VLOOKUP(E91,'LƯƠNG KT'!$D$15:$R$94,15,0)</f>
        <v>0</v>
      </c>
      <c r="J91" s="558">
        <f t="shared" si="3"/>
        <v>0</v>
      </c>
      <c r="K91" s="558"/>
      <c r="L91" s="558"/>
      <c r="M91" s="552">
        <f t="shared" si="4"/>
        <v>0</v>
      </c>
      <c r="N91" s="135"/>
      <c r="O91" s="559">
        <f>VLOOKUP(E91,'LƯƠNG KT'!D93:U172,18,0)</f>
        <v>0</v>
      </c>
      <c r="P91" s="559">
        <f t="shared" si="5"/>
        <v>0</v>
      </c>
    </row>
    <row r="92" spans="1:16" s="540" customFormat="1" ht="17.25" customHeight="1">
      <c r="A92" s="132">
        <v>80</v>
      </c>
      <c r="B92" s="1761"/>
      <c r="C92" s="245" t="e">
        <f>VLOOKUP(E92,'DS CN MOI UP'!$B$10:$C$347,2,0)</f>
        <v>#N/A</v>
      </c>
      <c r="D92" s="550" t="s">
        <v>918</v>
      </c>
      <c r="E92" s="551" t="str">
        <f>+'LƯƠNG KT'!D94</f>
        <v>A Bốt</v>
      </c>
      <c r="F92" s="1767" t="s">
        <v>3322</v>
      </c>
      <c r="G92" s="552">
        <f>VLOOKUP(E92,'LƯƠNG KT'!$D$15:$R$94,4,0)</f>
        <v>0</v>
      </c>
      <c r="H92" s="552">
        <f>VLOOKUP(E92,'LƯƠNG KT'!$D$15:$R$94,9,0)</f>
        <v>0</v>
      </c>
      <c r="I92" s="552">
        <f>VLOOKUP(E92,'LƯƠNG KT'!$D$15:$R$94,15,0)</f>
        <v>0</v>
      </c>
      <c r="J92" s="558">
        <f t="shared" si="3"/>
        <v>0</v>
      </c>
      <c r="K92" s="558"/>
      <c r="L92" s="558"/>
      <c r="M92" s="552">
        <f t="shared" si="4"/>
        <v>0</v>
      </c>
      <c r="N92" s="135"/>
      <c r="O92" s="559">
        <f>VLOOKUP(E92,'LƯƠNG KT'!D94:U173,18,0)</f>
        <v>0</v>
      </c>
      <c r="P92" s="559">
        <f t="shared" si="5"/>
        <v>0</v>
      </c>
    </row>
    <row r="93" spans="1:16" s="540" customFormat="1" ht="17.25" customHeight="1">
      <c r="A93" s="2769" t="s">
        <v>15</v>
      </c>
      <c r="B93" s="2782"/>
      <c r="C93" s="2782"/>
      <c r="D93" s="2782"/>
      <c r="E93" s="2783"/>
      <c r="F93" s="139"/>
      <c r="G93" s="561">
        <f>SUM(G13:G92)</f>
        <v>0</v>
      </c>
      <c r="H93" s="561">
        <f>SUM(H13:H92)</f>
        <v>254121173</v>
      </c>
      <c r="I93" s="561">
        <f t="shared" ref="I93:M93" si="6">SUM(I13:I92)</f>
        <v>124264846</v>
      </c>
      <c r="J93" s="561">
        <f>SUM(J13:J92)</f>
        <v>378386019</v>
      </c>
      <c r="K93" s="561">
        <f t="shared" si="6"/>
        <v>0</v>
      </c>
      <c r="L93" s="561">
        <f t="shared" si="6"/>
        <v>0</v>
      </c>
      <c r="M93" s="561">
        <f t="shared" si="6"/>
        <v>378386019</v>
      </c>
      <c r="N93" s="135"/>
      <c r="O93" s="559"/>
      <c r="P93" s="559">
        <f>O93-M93</f>
        <v>-378386019</v>
      </c>
    </row>
    <row r="94" spans="1:16" s="541" customFormat="1" ht="17.25" customHeight="1">
      <c r="A94" s="2126">
        <v>81</v>
      </c>
      <c r="B94" s="2126">
        <v>1</v>
      </c>
      <c r="C94" s="2114"/>
      <c r="D94" s="2114"/>
      <c r="E94" s="1768" t="s">
        <v>54</v>
      </c>
      <c r="F94" s="2114"/>
      <c r="G94" s="2139">
        <f>VLOOKUP(E94,KTCB!C12:F15,4,0)</f>
        <v>644047.61904761905</v>
      </c>
      <c r="H94" s="564"/>
      <c r="I94" s="564"/>
      <c r="J94" s="2139">
        <f>G94</f>
        <v>644047.61904761905</v>
      </c>
      <c r="K94" s="564"/>
      <c r="L94" s="564"/>
      <c r="M94" s="2139">
        <f>J94</f>
        <v>644047.61904761905</v>
      </c>
      <c r="N94" s="578"/>
    </row>
    <row r="95" spans="1:16" s="541" customFormat="1" ht="17.25" customHeight="1">
      <c r="A95" s="2126">
        <v>82</v>
      </c>
      <c r="B95" s="2126">
        <v>2</v>
      </c>
      <c r="C95" s="2114"/>
      <c r="D95" s="2114"/>
      <c r="E95" s="1768" t="s">
        <v>3484</v>
      </c>
      <c r="F95" s="2114"/>
      <c r="G95" s="2139">
        <f>VLOOKUP(E95,KTCB!C13:F16,4,0)</f>
        <v>3125000</v>
      </c>
      <c r="H95" s="564"/>
      <c r="I95" s="564"/>
      <c r="J95" s="2139">
        <f t="shared" ref="J95:J97" si="7">G95</f>
        <v>3125000</v>
      </c>
      <c r="K95" s="564"/>
      <c r="L95" s="564"/>
      <c r="M95" s="2139">
        <f t="shared" ref="M95:M97" si="8">J95</f>
        <v>3125000</v>
      </c>
      <c r="N95" s="578"/>
    </row>
    <row r="96" spans="1:16" s="541" customFormat="1" ht="17.25" customHeight="1">
      <c r="A96" s="2126">
        <v>83</v>
      </c>
      <c r="B96" s="2126">
        <v>3</v>
      </c>
      <c r="C96" s="134"/>
      <c r="D96" s="134"/>
      <c r="E96" s="1767" t="s">
        <v>3485</v>
      </c>
      <c r="F96" s="134"/>
      <c r="G96" s="2139">
        <f>VLOOKUP(E96,KTCB!C14:F17,4,0)</f>
        <v>5000000</v>
      </c>
      <c r="H96" s="564"/>
      <c r="I96" s="564"/>
      <c r="J96" s="2139">
        <f t="shared" si="7"/>
        <v>5000000</v>
      </c>
      <c r="K96" s="564"/>
      <c r="L96" s="564"/>
      <c r="M96" s="2139">
        <f t="shared" si="8"/>
        <v>5000000</v>
      </c>
      <c r="N96" s="578"/>
    </row>
    <row r="97" spans="1:17" s="541" customFormat="1" ht="17.25" customHeight="1">
      <c r="A97" s="2126">
        <v>84</v>
      </c>
      <c r="B97" s="2126">
        <v>4</v>
      </c>
      <c r="C97" s="134"/>
      <c r="D97" s="134"/>
      <c r="E97" s="1767" t="s">
        <v>3486</v>
      </c>
      <c r="F97" s="134"/>
      <c r="G97" s="2139">
        <f>VLOOKUP(E97,KTCB!C15:F18,4,0)</f>
        <v>4883333.3333333358</v>
      </c>
      <c r="H97" s="564"/>
      <c r="I97" s="564"/>
      <c r="J97" s="2139">
        <f t="shared" si="7"/>
        <v>4883333.3333333358</v>
      </c>
      <c r="K97" s="564"/>
      <c r="L97" s="564"/>
      <c r="M97" s="2139">
        <f t="shared" si="8"/>
        <v>4883333.3333333358</v>
      </c>
      <c r="N97" s="578"/>
    </row>
    <row r="98" spans="1:17" s="541" customFormat="1" ht="17.25" customHeight="1">
      <c r="A98" s="2769" t="s">
        <v>2865</v>
      </c>
      <c r="B98" s="2770"/>
      <c r="C98" s="2770"/>
      <c r="D98" s="2770"/>
      <c r="E98" s="2770"/>
      <c r="F98" s="2140"/>
      <c r="G98" s="2141">
        <f t="shared" ref="G98:M98" si="9">+SUM(G94:G97)</f>
        <v>13652380.952380955</v>
      </c>
      <c r="H98" s="2141">
        <f t="shared" si="9"/>
        <v>0</v>
      </c>
      <c r="I98" s="2141">
        <f t="shared" si="9"/>
        <v>0</v>
      </c>
      <c r="J98" s="2141">
        <f t="shared" si="9"/>
        <v>13652380.952380955</v>
      </c>
      <c r="K98" s="2141">
        <f t="shared" si="9"/>
        <v>0</v>
      </c>
      <c r="L98" s="2141">
        <f t="shared" si="9"/>
        <v>0</v>
      </c>
      <c r="M98" s="2141">
        <f t="shared" si="9"/>
        <v>13652380.952380955</v>
      </c>
      <c r="N98" s="578"/>
    </row>
    <row r="99" spans="1:17" s="541" customFormat="1" ht="17.25" customHeight="1">
      <c r="A99" s="132">
        <v>85</v>
      </c>
      <c r="B99" s="132">
        <v>1</v>
      </c>
      <c r="C99" s="245"/>
      <c r="D99" s="562" t="s">
        <v>1850</v>
      </c>
      <c r="E99" s="135" t="s">
        <v>1043</v>
      </c>
      <c r="F99" s="1768" t="s">
        <v>3372</v>
      </c>
      <c r="G99" s="552">
        <f>'LƯƠNG BV9THUC'!J11</f>
        <v>2600000</v>
      </c>
      <c r="H99" s="552"/>
      <c r="I99" s="552"/>
      <c r="J99" s="552">
        <f>VLOOKUP(E99,'LƯƠNG BV9THUC'!$D$11:$J$12,7,0)</f>
        <v>2600000</v>
      </c>
      <c r="K99" s="558">
        <f t="shared" ref="K99" si="10">I99</f>
        <v>0</v>
      </c>
      <c r="L99" s="552"/>
      <c r="M99" s="552">
        <f>J99-L99</f>
        <v>2600000</v>
      </c>
      <c r="N99" s="135"/>
    </row>
    <row r="100" spans="1:17" s="541" customFormat="1" ht="17.25" customHeight="1">
      <c r="A100" s="132">
        <v>86</v>
      </c>
      <c r="B100" s="132">
        <v>2</v>
      </c>
      <c r="C100" s="245"/>
      <c r="D100" s="562"/>
      <c r="E100" s="135" t="s">
        <v>3367</v>
      </c>
      <c r="F100" s="1768" t="s">
        <v>3372</v>
      </c>
      <c r="G100" s="552">
        <f>'LƯƠNG BV9THUC'!J12</f>
        <v>2600000</v>
      </c>
      <c r="H100" s="552"/>
      <c r="I100" s="552"/>
      <c r="J100" s="552">
        <f>VLOOKUP(E100,'LƯƠNG BV9THUC'!$D$11:$J$12,7,0)</f>
        <v>2600000</v>
      </c>
      <c r="K100" s="558"/>
      <c r="L100" s="552"/>
      <c r="M100" s="552">
        <f>J100-L100</f>
        <v>2600000</v>
      </c>
      <c r="N100" s="135"/>
    </row>
    <row r="101" spans="1:17" s="541" customFormat="1" ht="17.25" customHeight="1">
      <c r="A101" s="2769" t="s">
        <v>1880</v>
      </c>
      <c r="B101" s="2770"/>
      <c r="C101" s="2770"/>
      <c r="D101" s="2770"/>
      <c r="E101" s="2771"/>
      <c r="F101" s="2125"/>
      <c r="G101" s="2127">
        <f>+SUM(G99:G100)</f>
        <v>5200000</v>
      </c>
      <c r="H101" s="2127">
        <f t="shared" ref="H101" si="11">+SUM(H99:H100)</f>
        <v>0</v>
      </c>
      <c r="I101" s="2127">
        <f t="shared" ref="I101" si="12">+SUM(I99:I100)</f>
        <v>0</v>
      </c>
      <c r="J101" s="2127">
        <f t="shared" ref="J101" si="13">+SUM(J99:J100)</f>
        <v>5200000</v>
      </c>
      <c r="K101" s="2127">
        <f t="shared" ref="K101" si="14">+SUM(K99:K100)</f>
        <v>0</v>
      </c>
      <c r="L101" s="2127">
        <f t="shared" ref="L101" si="15">+SUM(L99:L100)</f>
        <v>0</v>
      </c>
      <c r="M101" s="2127">
        <f t="shared" ref="M101" si="16">+SUM(M99:M100)</f>
        <v>5200000</v>
      </c>
      <c r="N101" s="2128"/>
    </row>
    <row r="102" spans="1:17" s="542" customFormat="1" ht="17.25" customHeight="1">
      <c r="A102" s="2776" t="s">
        <v>2866</v>
      </c>
      <c r="B102" s="2777"/>
      <c r="C102" s="2777"/>
      <c r="D102" s="2777"/>
      <c r="E102" s="2777"/>
      <c r="F102" s="2778"/>
      <c r="G102" s="2142">
        <f t="shared" ref="G102:M102" si="17">+G93</f>
        <v>0</v>
      </c>
      <c r="H102" s="2142">
        <f t="shared" si="17"/>
        <v>254121173</v>
      </c>
      <c r="I102" s="2142">
        <f t="shared" si="17"/>
        <v>124264846</v>
      </c>
      <c r="J102" s="2142">
        <f t="shared" si="17"/>
        <v>378386019</v>
      </c>
      <c r="K102" s="2142">
        <f t="shared" si="17"/>
        <v>0</v>
      </c>
      <c r="L102" s="2142">
        <f t="shared" si="17"/>
        <v>0</v>
      </c>
      <c r="M102" s="2142">
        <f t="shared" si="17"/>
        <v>378386019</v>
      </c>
      <c r="N102" s="579"/>
      <c r="O102" s="580">
        <f>+'LƯƠNG KT'!S95</f>
        <v>378386019</v>
      </c>
      <c r="P102" s="580"/>
    </row>
    <row r="103" spans="1:17" s="542" customFormat="1" ht="17.25" customHeight="1">
      <c r="A103" s="2779" t="s">
        <v>3481</v>
      </c>
      <c r="B103" s="2777"/>
      <c r="C103" s="2777"/>
      <c r="D103" s="2777"/>
      <c r="E103" s="2777"/>
      <c r="F103" s="2778"/>
      <c r="G103" s="2142">
        <f>+G98</f>
        <v>13652380.952380955</v>
      </c>
      <c r="H103" s="2142"/>
      <c r="I103" s="2142"/>
      <c r="J103" s="2142">
        <f>+J98</f>
        <v>13652380.952380955</v>
      </c>
      <c r="K103" s="2142" t="e">
        <f>#REF!</f>
        <v>#REF!</v>
      </c>
      <c r="L103" s="2142"/>
      <c r="M103" s="2142">
        <f>+M98</f>
        <v>13652380.952380955</v>
      </c>
      <c r="N103" s="579"/>
      <c r="O103" s="580">
        <f>+'LƯƠNG BV9THUC'!J13</f>
        <v>5200000</v>
      </c>
      <c r="P103" s="580"/>
    </row>
    <row r="104" spans="1:17" s="542" customFormat="1" ht="17.25" customHeight="1">
      <c r="A104" s="2779" t="s">
        <v>3482</v>
      </c>
      <c r="B104" s="2777"/>
      <c r="C104" s="2777"/>
      <c r="D104" s="2777"/>
      <c r="E104" s="2777"/>
      <c r="F104" s="2778"/>
      <c r="G104" s="2142">
        <f>+G101</f>
        <v>5200000</v>
      </c>
      <c r="H104" s="2142">
        <f t="shared" ref="H104:M104" si="18">+H101</f>
        <v>0</v>
      </c>
      <c r="I104" s="2142">
        <f t="shared" si="18"/>
        <v>0</v>
      </c>
      <c r="J104" s="2142">
        <f t="shared" si="18"/>
        <v>5200000</v>
      </c>
      <c r="K104" s="2142">
        <f t="shared" si="18"/>
        <v>0</v>
      </c>
      <c r="L104" s="2142">
        <f t="shared" si="18"/>
        <v>0</v>
      </c>
      <c r="M104" s="2142">
        <f t="shared" si="18"/>
        <v>5200000</v>
      </c>
      <c r="N104" s="579"/>
      <c r="O104" s="580"/>
      <c r="P104" s="580"/>
    </row>
    <row r="105" spans="1:17" s="542" customFormat="1" ht="17.25" customHeight="1">
      <c r="A105" s="1769" t="s">
        <v>3490</v>
      </c>
      <c r="B105" s="565"/>
      <c r="C105" s="565"/>
      <c r="D105" s="565"/>
      <c r="E105" s="565"/>
      <c r="F105" s="566"/>
      <c r="G105" s="2142">
        <f>SUM(G102:G104)</f>
        <v>18852380.952380955</v>
      </c>
      <c r="H105" s="2142">
        <f t="shared" ref="H105:L105" si="19">SUM(H102:H103)</f>
        <v>254121173</v>
      </c>
      <c r="I105" s="2142">
        <f t="shared" si="19"/>
        <v>124264846</v>
      </c>
      <c r="J105" s="2142">
        <f>SUM(J102:J104)</f>
        <v>397238399.95238096</v>
      </c>
      <c r="K105" s="2142" t="e">
        <f t="shared" si="19"/>
        <v>#REF!</v>
      </c>
      <c r="L105" s="2142">
        <f t="shared" si="19"/>
        <v>0</v>
      </c>
      <c r="M105" s="2142">
        <f>SUM(M102:M104)</f>
        <v>397238399.95238096</v>
      </c>
      <c r="N105" s="581"/>
      <c r="O105" s="582">
        <f>SUM(O102:O103)</f>
        <v>383586019</v>
      </c>
      <c r="P105" s="580">
        <f>+M105-O105</f>
        <v>13652380.952380955</v>
      </c>
      <c r="Q105" s="580"/>
    </row>
    <row r="106" spans="1:17" s="172" customFormat="1" ht="17.25" customHeight="1">
      <c r="A106" s="2772" t="s">
        <v>3503</v>
      </c>
      <c r="B106" s="2773"/>
      <c r="C106" s="2773"/>
      <c r="D106" s="2773"/>
      <c r="E106" s="2773"/>
      <c r="F106" s="2773"/>
      <c r="G106" s="2773"/>
      <c r="H106" s="2773"/>
      <c r="I106" s="2773"/>
      <c r="J106" s="2773"/>
      <c r="K106" s="2773"/>
      <c r="L106" s="2773"/>
      <c r="M106" s="2773"/>
      <c r="N106" s="2774"/>
      <c r="O106" s="583"/>
    </row>
    <row r="107" spans="1:17" s="172" customFormat="1" ht="17.45" customHeight="1">
      <c r="B107" s="567"/>
      <c r="C107" s="567"/>
      <c r="D107" s="567"/>
      <c r="E107" s="567"/>
      <c r="F107" s="567"/>
      <c r="G107" s="567"/>
      <c r="H107" s="567"/>
      <c r="I107" s="567"/>
      <c r="J107" s="567"/>
      <c r="K107" s="567"/>
      <c r="L107" s="567"/>
      <c r="M107" s="567"/>
      <c r="N107" s="567"/>
      <c r="O107" s="583"/>
    </row>
    <row r="108" spans="1:17" ht="16.5">
      <c r="F108" s="568"/>
      <c r="G108" s="569"/>
      <c r="H108" s="570"/>
      <c r="J108" s="568"/>
      <c r="K108" s="568"/>
      <c r="L108" s="2775" t="s">
        <v>3472</v>
      </c>
      <c r="M108" s="2775"/>
      <c r="N108" s="2775"/>
      <c r="O108" s="584"/>
    </row>
    <row r="109" spans="1:17" s="85" customFormat="1" ht="15" customHeight="1">
      <c r="A109" s="2676" t="s">
        <v>614</v>
      </c>
      <c r="B109" s="2676"/>
      <c r="C109" s="2676"/>
      <c r="D109" s="2676"/>
      <c r="E109" s="2676"/>
      <c r="F109" s="2676" t="s">
        <v>1921</v>
      </c>
      <c r="G109" s="2676"/>
      <c r="H109" s="2143" t="s">
        <v>3491</v>
      </c>
      <c r="M109" s="2676" t="s">
        <v>612</v>
      </c>
      <c r="N109" s="2676"/>
    </row>
    <row r="110" spans="1:17">
      <c r="G110" s="571"/>
      <c r="I110" s="585"/>
      <c r="M110" s="586"/>
      <c r="O110" s="587"/>
    </row>
    <row r="111" spans="1:17">
      <c r="G111" s="571"/>
      <c r="I111" s="585"/>
      <c r="M111" s="586"/>
    </row>
    <row r="112" spans="1:17" ht="30" customHeight="1">
      <c r="G112" s="572"/>
      <c r="H112" s="573"/>
      <c r="I112" s="588"/>
      <c r="J112" s="588"/>
      <c r="K112" s="573"/>
      <c r="L112" s="588"/>
      <c r="M112" s="588"/>
    </row>
    <row r="113" spans="5:16" ht="16.5">
      <c r="E113" s="43"/>
      <c r="G113" s="43"/>
      <c r="H113" s="574"/>
      <c r="I113" s="589"/>
      <c r="J113" s="590"/>
      <c r="L113" s="28"/>
      <c r="M113" s="27"/>
      <c r="N113" s="43"/>
      <c r="O113" s="591"/>
      <c r="P113" s="591"/>
    </row>
    <row r="114" spans="5:16">
      <c r="G114" s="572"/>
      <c r="H114" s="573"/>
      <c r="I114" s="592"/>
      <c r="J114" s="593"/>
      <c r="K114" s="594"/>
      <c r="L114" s="595"/>
      <c r="M114" s="595"/>
      <c r="N114" s="595"/>
    </row>
    <row r="115" spans="5:16">
      <c r="G115" s="575"/>
      <c r="H115" s="573"/>
      <c r="I115" s="592"/>
      <c r="J115" s="592"/>
      <c r="K115" s="594" t="e">
        <f>'LƯƠNG BV9THUC'!I13+'TRẠM CÁN'!U20+'LƯƠNG KT'!#REF!</f>
        <v>#REF!</v>
      </c>
      <c r="L115" s="596"/>
      <c r="M115" s="596"/>
      <c r="N115" s="597"/>
    </row>
    <row r="116" spans="5:16">
      <c r="G116" s="572"/>
      <c r="H116" s="573"/>
      <c r="I116" s="592"/>
      <c r="J116" s="592"/>
      <c r="K116" s="594"/>
      <c r="L116" s="596"/>
      <c r="M116" s="596"/>
      <c r="N116" s="597"/>
    </row>
    <row r="117" spans="5:16">
      <c r="E117" s="576"/>
      <c r="J117" s="198"/>
      <c r="K117" s="157"/>
    </row>
    <row r="136" spans="7:7">
      <c r="G136" s="191"/>
    </row>
  </sheetData>
  <mergeCells count="29">
    <mergeCell ref="A7:N7"/>
    <mergeCell ref="B9:F9"/>
    <mergeCell ref="G10:I10"/>
    <mergeCell ref="A93:E93"/>
    <mergeCell ref="C10:C11"/>
    <mergeCell ref="D10:D11"/>
    <mergeCell ref="E10:E11"/>
    <mergeCell ref="F10:F11"/>
    <mergeCell ref="A10:B11"/>
    <mergeCell ref="J10:J11"/>
    <mergeCell ref="K10:K11"/>
    <mergeCell ref="L10:L11"/>
    <mergeCell ref="M10:M11"/>
    <mergeCell ref="N10:N11"/>
    <mergeCell ref="B1:N1"/>
    <mergeCell ref="B2:N2"/>
    <mergeCell ref="B3:N3"/>
    <mergeCell ref="A4:G4"/>
    <mergeCell ref="A5:G5"/>
    <mergeCell ref="A98:E98"/>
    <mergeCell ref="A101:E101"/>
    <mergeCell ref="M109:N109"/>
    <mergeCell ref="A106:N106"/>
    <mergeCell ref="L108:N108"/>
    <mergeCell ref="A109:E109"/>
    <mergeCell ref="F109:G109"/>
    <mergeCell ref="A102:F102"/>
    <mergeCell ref="A103:F103"/>
    <mergeCell ref="A104:F104"/>
  </mergeCells>
  <printOptions horizontalCentered="1"/>
  <pageMargins left="0" right="0" top="0.39370078740157499" bottom="0.511811023622047" header="0.31496062992126" footer="0.31496062992126"/>
  <pageSetup paperSize="9" orientation="landscape"/>
  <headerFooter>
    <oddFooter>&amp;R&amp;P/8</oddFooter>
  </headerFooter>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W25"/>
  <sheetViews>
    <sheetView zoomScale="70" zoomScaleNormal="70" workbookViewId="0">
      <selection activeCell="R17" sqref="R17"/>
    </sheetView>
  </sheetViews>
  <sheetFormatPr defaultColWidth="9.140625" defaultRowHeight="16.5"/>
  <cols>
    <col min="1" max="1" width="3.140625" style="87" customWidth="1"/>
    <col min="2" max="2" width="6.42578125" style="87" customWidth="1"/>
    <col min="3" max="3" width="23" style="87" customWidth="1"/>
    <col min="4" max="4" width="13.140625" style="87" customWidth="1"/>
    <col min="5" max="33" width="5" style="87" customWidth="1"/>
    <col min="34" max="34" width="4.7109375" style="87" customWidth="1"/>
    <col min="35" max="35" width="4.7109375" style="87" hidden="1" customWidth="1"/>
    <col min="36" max="36" width="7" style="87" customWidth="1"/>
    <col min="37" max="37" width="0.85546875" style="87" hidden="1" customWidth="1"/>
    <col min="38" max="38" width="11" style="87" customWidth="1"/>
    <col min="39" max="47" width="9.140625" style="87" hidden="1" customWidth="1"/>
    <col min="48" max="48" width="1.5703125" style="87" customWidth="1"/>
    <col min="49" max="49" width="10.140625" style="87" customWidth="1"/>
    <col min="50" max="16384" width="9.140625" style="87"/>
  </cols>
  <sheetData>
    <row r="1" spans="1:49" s="83" customFormat="1" ht="15.6" customHeight="1">
      <c r="B1" s="2792" t="s">
        <v>617</v>
      </c>
      <c r="C1" s="2792"/>
      <c r="D1" s="2792"/>
      <c r="E1" s="2792"/>
      <c r="F1" s="2792"/>
      <c r="G1" s="2792"/>
      <c r="H1" s="2792"/>
      <c r="I1" s="2792"/>
      <c r="J1" s="2792"/>
      <c r="K1" s="2792"/>
      <c r="L1" s="2792"/>
      <c r="M1" s="2792"/>
      <c r="N1" s="2792"/>
      <c r="O1" s="2792"/>
      <c r="P1" s="2792"/>
      <c r="Q1" s="2792"/>
      <c r="R1" s="2792"/>
      <c r="S1" s="2792"/>
      <c r="T1" s="2792"/>
      <c r="U1" s="2792"/>
      <c r="V1" s="2792"/>
      <c r="W1" s="2792"/>
      <c r="X1" s="2792"/>
      <c r="Y1" s="2792"/>
      <c r="Z1" s="2792"/>
      <c r="AA1" s="2792"/>
      <c r="AB1" s="2792"/>
      <c r="AC1" s="2792"/>
      <c r="AD1" s="2792"/>
      <c r="AE1" s="2792"/>
      <c r="AF1" s="2792"/>
      <c r="AG1" s="2792"/>
      <c r="AH1" s="2792"/>
      <c r="AI1" s="2792"/>
      <c r="AJ1" s="2792"/>
      <c r="AK1" s="2792"/>
      <c r="AL1" s="2792"/>
      <c r="AO1" s="88">
        <v>1</v>
      </c>
      <c r="AP1" s="88">
        <v>2</v>
      </c>
      <c r="AQ1" s="88">
        <v>3</v>
      </c>
      <c r="AR1" s="88">
        <v>4</v>
      </c>
      <c r="AS1" s="88">
        <v>5</v>
      </c>
      <c r="AT1" s="88">
        <v>6</v>
      </c>
      <c r="AU1" s="88">
        <v>7</v>
      </c>
    </row>
    <row r="2" spans="1:49" s="83" customFormat="1">
      <c r="B2" s="2792" t="s">
        <v>618</v>
      </c>
      <c r="C2" s="2792"/>
      <c r="D2" s="2792"/>
      <c r="E2" s="2792"/>
      <c r="F2" s="2792"/>
      <c r="G2" s="2792"/>
      <c r="H2" s="2792"/>
      <c r="I2" s="2792"/>
      <c r="J2" s="2792"/>
      <c r="K2" s="2792"/>
      <c r="L2" s="2792"/>
      <c r="M2" s="2792"/>
      <c r="N2" s="2792"/>
      <c r="O2" s="2792"/>
      <c r="P2" s="2792"/>
      <c r="Q2" s="2792"/>
      <c r="R2" s="2792"/>
      <c r="S2" s="2792"/>
      <c r="T2" s="2792"/>
      <c r="U2" s="2792"/>
      <c r="V2" s="2792"/>
      <c r="W2" s="2792"/>
      <c r="X2" s="2792"/>
      <c r="Y2" s="2792"/>
      <c r="Z2" s="2792"/>
      <c r="AA2" s="2792"/>
      <c r="AB2" s="2792"/>
      <c r="AC2" s="2792"/>
      <c r="AD2" s="2792"/>
      <c r="AE2" s="2792"/>
      <c r="AF2" s="2792"/>
      <c r="AG2" s="2792"/>
      <c r="AH2" s="2792"/>
      <c r="AI2" s="2792"/>
      <c r="AJ2" s="2792"/>
      <c r="AK2" s="2792"/>
      <c r="AL2" s="2792"/>
      <c r="AO2" s="88" t="s">
        <v>554</v>
      </c>
      <c r="AP2" s="88" t="s">
        <v>2820</v>
      </c>
      <c r="AQ2" s="88" t="s">
        <v>2821</v>
      </c>
      <c r="AR2" s="88" t="s">
        <v>2822</v>
      </c>
      <c r="AS2" s="88" t="s">
        <v>212</v>
      </c>
      <c r="AT2" s="88" t="s">
        <v>2823</v>
      </c>
      <c r="AU2" s="88" t="s">
        <v>2824</v>
      </c>
    </row>
    <row r="3" spans="1:49" s="83" customFormat="1">
      <c r="B3" s="2804" t="s">
        <v>619</v>
      </c>
      <c r="C3" s="2792"/>
      <c r="D3" s="2792"/>
      <c r="E3" s="2792"/>
      <c r="F3" s="2792"/>
      <c r="G3" s="2792"/>
      <c r="H3" s="2792"/>
      <c r="I3" s="2792"/>
      <c r="J3" s="2792"/>
      <c r="K3" s="2792"/>
      <c r="L3" s="2792"/>
      <c r="M3" s="2792"/>
      <c r="N3" s="2792"/>
      <c r="O3" s="2792"/>
      <c r="P3" s="2792"/>
      <c r="Q3" s="2792"/>
      <c r="R3" s="2792"/>
      <c r="S3" s="2792"/>
      <c r="T3" s="2792"/>
      <c r="U3" s="2792"/>
      <c r="V3" s="2792"/>
      <c r="W3" s="2792"/>
      <c r="X3" s="2792"/>
      <c r="Y3" s="2792"/>
      <c r="Z3" s="2792"/>
      <c r="AA3" s="2792"/>
      <c r="AB3" s="2792"/>
      <c r="AC3" s="2792"/>
      <c r="AD3" s="2792"/>
      <c r="AE3" s="2792"/>
      <c r="AF3" s="2792"/>
      <c r="AG3" s="2792"/>
      <c r="AH3" s="2792"/>
      <c r="AI3" s="2792"/>
      <c r="AJ3" s="2792"/>
      <c r="AK3" s="2792"/>
      <c r="AL3" s="2792"/>
      <c r="AO3" s="88"/>
      <c r="AP3" s="88"/>
      <c r="AQ3" s="88"/>
      <c r="AR3" s="88"/>
      <c r="AS3" s="88"/>
      <c r="AT3" s="88"/>
      <c r="AU3" s="88"/>
    </row>
    <row r="4" spans="1:49" s="83" customFormat="1">
      <c r="B4" s="2797" t="s">
        <v>2709</v>
      </c>
      <c r="C4" s="2797"/>
      <c r="D4" s="2797"/>
      <c r="E4" s="2797"/>
      <c r="F4" s="2797"/>
      <c r="G4" s="2797"/>
      <c r="H4" s="2797"/>
      <c r="I4" s="2797"/>
      <c r="J4" s="2797"/>
      <c r="K4" s="2797"/>
      <c r="L4" s="88"/>
      <c r="M4" s="88"/>
      <c r="N4" s="88"/>
      <c r="O4" s="88"/>
      <c r="P4" s="88"/>
      <c r="Q4" s="88"/>
      <c r="R4" s="88"/>
      <c r="S4" s="88"/>
      <c r="T4" s="88"/>
      <c r="U4" s="88"/>
      <c r="V4" s="88"/>
      <c r="W4" s="88"/>
      <c r="X4" s="88"/>
      <c r="Y4" s="88"/>
      <c r="Z4" s="88"/>
      <c r="AA4" s="88"/>
      <c r="AB4" s="88"/>
      <c r="AC4" s="88"/>
      <c r="AD4" s="88"/>
      <c r="AE4" s="88"/>
      <c r="AF4" s="88"/>
      <c r="AG4" s="88"/>
      <c r="AH4" s="88"/>
      <c r="AI4" s="88"/>
      <c r="AJ4" s="88"/>
      <c r="AK4" s="88"/>
      <c r="AL4" s="88"/>
      <c r="AO4" s="88"/>
      <c r="AP4" s="88"/>
      <c r="AQ4" s="88"/>
      <c r="AR4" s="88"/>
      <c r="AS4" s="88"/>
      <c r="AT4" s="88"/>
      <c r="AU4" s="88"/>
    </row>
    <row r="5" spans="1:49" s="83" customFormat="1">
      <c r="B5" s="2792" t="s">
        <v>3172</v>
      </c>
      <c r="C5" s="2792"/>
      <c r="D5" s="2792"/>
      <c r="E5" s="2792"/>
      <c r="F5" s="2792"/>
      <c r="G5" s="2792"/>
      <c r="H5" s="2792"/>
      <c r="I5" s="2792"/>
      <c r="J5" s="2792"/>
      <c r="K5" s="2792"/>
      <c r="L5" s="88"/>
      <c r="M5" s="88"/>
      <c r="N5" s="88"/>
      <c r="O5" s="88"/>
      <c r="P5" s="88"/>
      <c r="Q5" s="88"/>
      <c r="R5" s="88"/>
      <c r="S5" s="88"/>
      <c r="T5" s="88"/>
      <c r="U5" s="88"/>
      <c r="V5" s="88"/>
      <c r="W5" s="88"/>
      <c r="X5" s="88"/>
      <c r="Y5" s="88"/>
      <c r="Z5" s="88"/>
      <c r="AA5" s="88"/>
      <c r="AB5" s="88"/>
      <c r="AC5" s="88"/>
      <c r="AD5" s="88"/>
      <c r="AE5" s="88"/>
      <c r="AF5" s="88"/>
      <c r="AG5" s="88"/>
      <c r="AH5" s="88"/>
      <c r="AI5" s="88"/>
      <c r="AJ5" s="88"/>
      <c r="AK5" s="88"/>
      <c r="AL5" s="88"/>
      <c r="AO5" s="88"/>
      <c r="AP5" s="88"/>
      <c r="AQ5" s="88"/>
      <c r="AR5" s="88"/>
      <c r="AS5" s="88"/>
      <c r="AT5" s="88"/>
      <c r="AU5" s="88"/>
    </row>
    <row r="6" spans="1:49" ht="20.25">
      <c r="E6" s="2800" t="s">
        <v>3370</v>
      </c>
      <c r="F6" s="2800"/>
      <c r="G6" s="2800"/>
      <c r="H6" s="2800"/>
      <c r="I6" s="2800"/>
      <c r="J6" s="2800"/>
      <c r="K6" s="2800"/>
      <c r="L6" s="2800"/>
      <c r="M6" s="2800"/>
      <c r="N6" s="2800"/>
      <c r="O6" s="2800"/>
      <c r="P6" s="2800"/>
      <c r="Q6" s="2800"/>
      <c r="R6" s="2800"/>
      <c r="S6" s="2800"/>
      <c r="T6" s="2800"/>
      <c r="U6" s="2800"/>
      <c r="V6" s="2800"/>
      <c r="W6" s="2800"/>
      <c r="X6" s="2800"/>
      <c r="Y6" s="2800"/>
      <c r="Z6" s="2800"/>
      <c r="AA6" s="2800"/>
      <c r="AB6" s="2800"/>
      <c r="AC6" s="2800"/>
      <c r="AD6" s="2800"/>
      <c r="AE6" s="2800"/>
      <c r="AF6" s="2800"/>
      <c r="AG6" s="2800"/>
      <c r="AH6" s="2800"/>
      <c r="AI6" s="2800"/>
    </row>
    <row r="7" spans="1:49" ht="16.5" customHeight="1">
      <c r="B7" s="2792" t="s">
        <v>2826</v>
      </c>
      <c r="C7" s="2792"/>
      <c r="D7" s="88">
        <v>2025</v>
      </c>
      <c r="E7" s="2798" t="str">
        <f>"Tháng "&amp;IF(LEN($D$8)=1,"0"&amp;$D$8,$D$8)&amp;" năm "&amp;D7</f>
        <v>Tháng 06 năm 2025</v>
      </c>
      <c r="F7" s="2798"/>
      <c r="G7" s="2798"/>
      <c r="H7" s="2798"/>
      <c r="I7" s="2798"/>
      <c r="J7" s="2798"/>
      <c r="K7" s="2798"/>
      <c r="L7" s="2798"/>
      <c r="M7" s="2798"/>
      <c r="N7" s="2798"/>
      <c r="O7" s="2798"/>
      <c r="P7" s="2798"/>
      <c r="Q7" s="2798"/>
      <c r="R7" s="2798"/>
      <c r="S7" s="2798"/>
      <c r="T7" s="2798"/>
      <c r="U7" s="2798"/>
      <c r="V7" s="2798"/>
      <c r="W7" s="2798"/>
      <c r="X7" s="2798"/>
      <c r="Y7" s="2798"/>
      <c r="Z7" s="2798"/>
      <c r="AA7" s="2798"/>
      <c r="AB7" s="2798"/>
      <c r="AC7" s="2798"/>
      <c r="AD7" s="2798"/>
      <c r="AE7" s="2798"/>
      <c r="AF7" s="2798"/>
      <c r="AG7" s="2798"/>
      <c r="AH7" s="2798"/>
      <c r="AI7" s="2798"/>
    </row>
    <row r="8" spans="1:49">
      <c r="B8" s="2801" t="s">
        <v>2827</v>
      </c>
      <c r="C8" s="2801"/>
      <c r="D8" s="88">
        <v>6</v>
      </c>
    </row>
    <row r="9" spans="1:49" s="84" customFormat="1" ht="22.5" customHeight="1">
      <c r="B9" s="2793" t="s">
        <v>6</v>
      </c>
      <c r="C9" s="2795" t="s">
        <v>356</v>
      </c>
      <c r="D9" s="2795" t="s">
        <v>9</v>
      </c>
      <c r="E9" s="89">
        <v>1</v>
      </c>
      <c r="F9" s="89">
        <v>2</v>
      </c>
      <c r="G9" s="89">
        <v>3</v>
      </c>
      <c r="H9" s="89">
        <v>4</v>
      </c>
      <c r="I9" s="89">
        <v>5</v>
      </c>
      <c r="J9" s="89">
        <v>6</v>
      </c>
      <c r="K9" s="89">
        <v>7</v>
      </c>
      <c r="L9" s="89">
        <v>8</v>
      </c>
      <c r="M9" s="89">
        <v>9</v>
      </c>
      <c r="N9" s="89">
        <v>10</v>
      </c>
      <c r="O9" s="89">
        <v>11</v>
      </c>
      <c r="P9" s="89">
        <v>12</v>
      </c>
      <c r="Q9" s="89">
        <v>13</v>
      </c>
      <c r="R9" s="89">
        <v>14</v>
      </c>
      <c r="S9" s="89">
        <v>15</v>
      </c>
      <c r="T9" s="89">
        <v>16</v>
      </c>
      <c r="U9" s="89">
        <v>17</v>
      </c>
      <c r="V9" s="89">
        <v>18</v>
      </c>
      <c r="W9" s="89">
        <v>19</v>
      </c>
      <c r="X9" s="89">
        <v>20</v>
      </c>
      <c r="Y9" s="89">
        <v>21</v>
      </c>
      <c r="Z9" s="89">
        <v>22</v>
      </c>
      <c r="AA9" s="89">
        <v>23</v>
      </c>
      <c r="AB9" s="89">
        <v>24</v>
      </c>
      <c r="AC9" s="89">
        <v>25</v>
      </c>
      <c r="AD9" s="89">
        <v>26</v>
      </c>
      <c r="AE9" s="89">
        <v>27</v>
      </c>
      <c r="AF9" s="89">
        <v>28</v>
      </c>
      <c r="AG9" s="89">
        <f>IF(DAY(DATE(D7,D8+1,1)-1)&lt;29,"",29)</f>
        <v>29</v>
      </c>
      <c r="AH9" s="89">
        <v>30</v>
      </c>
      <c r="AI9" s="89"/>
      <c r="AJ9" s="2795" t="s">
        <v>529</v>
      </c>
      <c r="AK9" s="2795" t="s">
        <v>2828</v>
      </c>
      <c r="AL9" s="2795" t="s">
        <v>12</v>
      </c>
    </row>
    <row r="10" spans="1:49" s="84" customFormat="1" ht="42" customHeight="1">
      <c r="B10" s="2794"/>
      <c r="C10" s="2796"/>
      <c r="D10" s="2796"/>
      <c r="E10" s="90" t="str">
        <f t="shared" ref="E10:AI10" si="0">IF(E9="","",HLOOKUP(WEEKDAY(DATE($D$7,$D$8,E9)),$AO$1:$AU$2,2,0))</f>
        <v>CN</v>
      </c>
      <c r="F10" s="90" t="str">
        <f t="shared" si="0"/>
        <v>Hai</v>
      </c>
      <c r="G10" s="90" t="str">
        <f t="shared" si="0"/>
        <v>Ba</v>
      </c>
      <c r="H10" s="90" t="str">
        <f t="shared" si="0"/>
        <v>Tư</v>
      </c>
      <c r="I10" s="90" t="str">
        <f t="shared" si="0"/>
        <v>Năm</v>
      </c>
      <c r="J10" s="90" t="str">
        <f t="shared" si="0"/>
        <v>Sáu</v>
      </c>
      <c r="K10" s="90" t="str">
        <f t="shared" si="0"/>
        <v>Bảy</v>
      </c>
      <c r="L10" s="90" t="str">
        <f t="shared" si="0"/>
        <v>CN</v>
      </c>
      <c r="M10" s="90" t="str">
        <f t="shared" si="0"/>
        <v>Hai</v>
      </c>
      <c r="N10" s="90" t="str">
        <f t="shared" si="0"/>
        <v>Ba</v>
      </c>
      <c r="O10" s="90" t="str">
        <f t="shared" si="0"/>
        <v>Tư</v>
      </c>
      <c r="P10" s="90" t="str">
        <f t="shared" si="0"/>
        <v>Năm</v>
      </c>
      <c r="Q10" s="90" t="str">
        <f t="shared" si="0"/>
        <v>Sáu</v>
      </c>
      <c r="R10" s="90" t="str">
        <f t="shared" si="0"/>
        <v>Bảy</v>
      </c>
      <c r="S10" s="90" t="str">
        <f t="shared" si="0"/>
        <v>CN</v>
      </c>
      <c r="T10" s="90" t="str">
        <f t="shared" si="0"/>
        <v>Hai</v>
      </c>
      <c r="U10" s="90" t="str">
        <f t="shared" si="0"/>
        <v>Ba</v>
      </c>
      <c r="V10" s="90" t="str">
        <f t="shared" si="0"/>
        <v>Tư</v>
      </c>
      <c r="W10" s="90" t="str">
        <f t="shared" si="0"/>
        <v>Năm</v>
      </c>
      <c r="X10" s="90" t="str">
        <f t="shared" si="0"/>
        <v>Sáu</v>
      </c>
      <c r="Y10" s="90" t="str">
        <f t="shared" si="0"/>
        <v>Bảy</v>
      </c>
      <c r="Z10" s="90" t="str">
        <f t="shared" si="0"/>
        <v>CN</v>
      </c>
      <c r="AA10" s="90" t="str">
        <f t="shared" si="0"/>
        <v>Hai</v>
      </c>
      <c r="AB10" s="90" t="str">
        <f t="shared" si="0"/>
        <v>Ba</v>
      </c>
      <c r="AC10" s="90" t="str">
        <f t="shared" si="0"/>
        <v>Tư</v>
      </c>
      <c r="AD10" s="90" t="str">
        <f t="shared" si="0"/>
        <v>Năm</v>
      </c>
      <c r="AE10" s="90" t="str">
        <f t="shared" si="0"/>
        <v>Sáu</v>
      </c>
      <c r="AF10" s="90" t="str">
        <f t="shared" si="0"/>
        <v>Bảy</v>
      </c>
      <c r="AG10" s="89" t="str">
        <f t="shared" si="0"/>
        <v>CN</v>
      </c>
      <c r="AH10" s="89" t="str">
        <f t="shared" si="0"/>
        <v>Hai</v>
      </c>
      <c r="AI10" s="89" t="str">
        <f t="shared" si="0"/>
        <v/>
      </c>
      <c r="AJ10" s="2796"/>
      <c r="AK10" s="2796"/>
      <c r="AL10" s="2796"/>
    </row>
    <row r="11" spans="1:49" ht="21.75" customHeight="1">
      <c r="B11" s="89">
        <v>1</v>
      </c>
      <c r="C11" s="91" t="s">
        <v>1043</v>
      </c>
      <c r="D11" s="89" t="s">
        <v>3368</v>
      </c>
      <c r="E11" s="89" t="s">
        <v>2553</v>
      </c>
      <c r="F11" s="89" t="s">
        <v>2553</v>
      </c>
      <c r="G11" s="89" t="s">
        <v>2553</v>
      </c>
      <c r="H11" s="89" t="s">
        <v>2553</v>
      </c>
      <c r="I11" s="89" t="s">
        <v>2553</v>
      </c>
      <c r="J11" s="89" t="s">
        <v>2553</v>
      </c>
      <c r="K11" s="89" t="s">
        <v>2553</v>
      </c>
      <c r="L11" s="89" t="s">
        <v>2553</v>
      </c>
      <c r="M11" s="89" t="s">
        <v>2553</v>
      </c>
      <c r="N11" s="89" t="s">
        <v>2553</v>
      </c>
      <c r="O11" s="89" t="s">
        <v>2553</v>
      </c>
      <c r="P11" s="89" t="s">
        <v>2553</v>
      </c>
      <c r="Q11" s="89" t="s">
        <v>2553</v>
      </c>
      <c r="R11" s="89" t="s">
        <v>2553</v>
      </c>
      <c r="S11" s="89" t="s">
        <v>2553</v>
      </c>
      <c r="T11" s="89" t="s">
        <v>2553</v>
      </c>
      <c r="U11" s="89" t="s">
        <v>2553</v>
      </c>
      <c r="V11" s="89" t="s">
        <v>2553</v>
      </c>
      <c r="W11" s="89" t="s">
        <v>2553</v>
      </c>
      <c r="X11" s="89" t="s">
        <v>2553</v>
      </c>
      <c r="Y11" s="89" t="s">
        <v>2553</v>
      </c>
      <c r="Z11" s="89" t="s">
        <v>2553</v>
      </c>
      <c r="AA11" s="89" t="s">
        <v>2553</v>
      </c>
      <c r="AB11" s="89" t="s">
        <v>2553</v>
      </c>
      <c r="AC11" s="89" t="s">
        <v>2553</v>
      </c>
      <c r="AD11" s="89" t="s">
        <v>2553</v>
      </c>
      <c r="AE11" s="89" t="s">
        <v>2553</v>
      </c>
      <c r="AF11" s="89" t="s">
        <v>2553</v>
      </c>
      <c r="AG11" s="89" t="s">
        <v>2553</v>
      </c>
      <c r="AH11" s="89" t="s">
        <v>2553</v>
      </c>
      <c r="AI11" s="89"/>
      <c r="AJ11" s="2224">
        <f>COUNTIF(E11:AI11,"X")+COUNTIF(E11:AI11,"P")+COUNTIF(E11:AI11,"PT")</f>
        <v>30</v>
      </c>
      <c r="AK11" s="95">
        <f>COUNTIF(E11:AI11,"TT")</f>
        <v>0</v>
      </c>
      <c r="AL11" s="95"/>
      <c r="AW11" s="97" t="e">
        <f>+AK11-#REF!</f>
        <v>#REF!</v>
      </c>
    </row>
    <row r="12" spans="1:49" ht="21.75" customHeight="1">
      <c r="B12" s="89">
        <v>2</v>
      </c>
      <c r="C12" s="91" t="s">
        <v>3367</v>
      </c>
      <c r="D12" s="89" t="s">
        <v>3368</v>
      </c>
      <c r="E12" s="89" t="s">
        <v>2553</v>
      </c>
      <c r="F12" s="89" t="s">
        <v>2553</v>
      </c>
      <c r="G12" s="89" t="s">
        <v>2553</v>
      </c>
      <c r="H12" s="89" t="s">
        <v>2553</v>
      </c>
      <c r="I12" s="89" t="s">
        <v>2553</v>
      </c>
      <c r="J12" s="89" t="s">
        <v>2553</v>
      </c>
      <c r="K12" s="89" t="s">
        <v>2553</v>
      </c>
      <c r="L12" s="89" t="s">
        <v>2553</v>
      </c>
      <c r="M12" s="89" t="s">
        <v>2553</v>
      </c>
      <c r="N12" s="89" t="s">
        <v>2553</v>
      </c>
      <c r="O12" s="89" t="s">
        <v>2553</v>
      </c>
      <c r="P12" s="89" t="s">
        <v>2553</v>
      </c>
      <c r="Q12" s="89" t="s">
        <v>2553</v>
      </c>
      <c r="R12" s="89" t="s">
        <v>2553</v>
      </c>
      <c r="S12" s="89" t="s">
        <v>2553</v>
      </c>
      <c r="T12" s="89" t="s">
        <v>2553</v>
      </c>
      <c r="U12" s="89" t="s">
        <v>2553</v>
      </c>
      <c r="V12" s="89" t="s">
        <v>2553</v>
      </c>
      <c r="W12" s="89" t="s">
        <v>2553</v>
      </c>
      <c r="X12" s="89" t="s">
        <v>2553</v>
      </c>
      <c r="Y12" s="89" t="s">
        <v>2553</v>
      </c>
      <c r="Z12" s="89" t="s">
        <v>2553</v>
      </c>
      <c r="AA12" s="89" t="s">
        <v>2553</v>
      </c>
      <c r="AB12" s="89" t="s">
        <v>2553</v>
      </c>
      <c r="AC12" s="89" t="s">
        <v>2553</v>
      </c>
      <c r="AD12" s="89" t="s">
        <v>2553</v>
      </c>
      <c r="AE12" s="89" t="s">
        <v>2553</v>
      </c>
      <c r="AF12" s="89" t="s">
        <v>2553</v>
      </c>
      <c r="AG12" s="89" t="s">
        <v>2553</v>
      </c>
      <c r="AH12" s="89" t="s">
        <v>2553</v>
      </c>
      <c r="AI12" s="89"/>
      <c r="AJ12" s="2224">
        <f>COUNTIF(E12:AI12,"X")+COUNTIF(E12:AI12,"P")+COUNTIF(E12:AI12,"PT")</f>
        <v>30</v>
      </c>
      <c r="AK12" s="95">
        <f>COUNTIF(E12:AI12,"TT")</f>
        <v>0</v>
      </c>
      <c r="AL12" s="95"/>
      <c r="AW12" s="97" t="e">
        <f>+AK12-#REF!</f>
        <v>#REF!</v>
      </c>
    </row>
    <row r="13" spans="1:49" s="83" customFormat="1" ht="21.75" customHeight="1">
      <c r="B13" s="2802" t="s">
        <v>2829</v>
      </c>
      <c r="C13" s="2803"/>
      <c r="D13" s="93"/>
      <c r="E13" s="2144">
        <f t="shared" ref="E13:AI13" si="1">COUNTIF(E11:E12,"X")+COUNTIF(E11:E12,"P")</f>
        <v>2</v>
      </c>
      <c r="F13" s="2144">
        <f t="shared" si="1"/>
        <v>2</v>
      </c>
      <c r="G13" s="2144">
        <f t="shared" si="1"/>
        <v>2</v>
      </c>
      <c r="H13" s="2144">
        <f t="shared" si="1"/>
        <v>2</v>
      </c>
      <c r="I13" s="2144">
        <f t="shared" si="1"/>
        <v>2</v>
      </c>
      <c r="J13" s="2144">
        <f t="shared" si="1"/>
        <v>2</v>
      </c>
      <c r="K13" s="2144">
        <f t="shared" si="1"/>
        <v>2</v>
      </c>
      <c r="L13" s="2144">
        <f t="shared" si="1"/>
        <v>2</v>
      </c>
      <c r="M13" s="2144">
        <f t="shared" si="1"/>
        <v>2</v>
      </c>
      <c r="N13" s="2144">
        <f t="shared" si="1"/>
        <v>2</v>
      </c>
      <c r="O13" s="2144">
        <f t="shared" si="1"/>
        <v>2</v>
      </c>
      <c r="P13" s="2144">
        <f t="shared" si="1"/>
        <v>2</v>
      </c>
      <c r="Q13" s="2144">
        <f t="shared" si="1"/>
        <v>2</v>
      </c>
      <c r="R13" s="2144">
        <f t="shared" si="1"/>
        <v>2</v>
      </c>
      <c r="S13" s="2144">
        <f t="shared" si="1"/>
        <v>2</v>
      </c>
      <c r="T13" s="2144">
        <f t="shared" si="1"/>
        <v>2</v>
      </c>
      <c r="U13" s="2144">
        <f t="shared" si="1"/>
        <v>2</v>
      </c>
      <c r="V13" s="2144">
        <f t="shared" si="1"/>
        <v>2</v>
      </c>
      <c r="W13" s="2144">
        <f t="shared" si="1"/>
        <v>2</v>
      </c>
      <c r="X13" s="2144">
        <f t="shared" si="1"/>
        <v>2</v>
      </c>
      <c r="Y13" s="2144">
        <f t="shared" si="1"/>
        <v>2</v>
      </c>
      <c r="Z13" s="2144">
        <f t="shared" si="1"/>
        <v>2</v>
      </c>
      <c r="AA13" s="2144">
        <f t="shared" si="1"/>
        <v>2</v>
      </c>
      <c r="AB13" s="2144">
        <f t="shared" si="1"/>
        <v>2</v>
      </c>
      <c r="AC13" s="2144">
        <f t="shared" si="1"/>
        <v>2</v>
      </c>
      <c r="AD13" s="2144">
        <f t="shared" si="1"/>
        <v>2</v>
      </c>
      <c r="AE13" s="2144">
        <f t="shared" si="1"/>
        <v>2</v>
      </c>
      <c r="AF13" s="2144">
        <f t="shared" si="1"/>
        <v>2</v>
      </c>
      <c r="AG13" s="2144">
        <f t="shared" si="1"/>
        <v>2</v>
      </c>
      <c r="AH13" s="2144">
        <f t="shared" si="1"/>
        <v>2</v>
      </c>
      <c r="AI13" s="2144">
        <f t="shared" si="1"/>
        <v>0</v>
      </c>
      <c r="AJ13" s="2147">
        <f>SUM(AJ11:AJ12)</f>
        <v>60</v>
      </c>
      <c r="AK13" s="94" t="e">
        <f>SUM(#REF!,#REF!,#REF!,#REF!)</f>
        <v>#REF!</v>
      </c>
      <c r="AL13" s="94"/>
      <c r="AW13" s="83">
        <f>18*7</f>
        <v>126</v>
      </c>
    </row>
    <row r="14" spans="1:49" ht="14.45" customHeight="1">
      <c r="A14" s="2797" t="s">
        <v>2554</v>
      </c>
      <c r="B14" s="2797"/>
      <c r="C14" s="87" t="s">
        <v>2830</v>
      </c>
      <c r="AJ14" s="96"/>
      <c r="AK14" s="96"/>
      <c r="AL14" s="96"/>
    </row>
    <row r="15" spans="1:49">
      <c r="AA15" s="2798"/>
      <c r="AB15" s="2798"/>
      <c r="AC15" s="2798"/>
      <c r="AD15" s="2798"/>
      <c r="AE15" s="2798"/>
      <c r="AF15" s="2798"/>
      <c r="AG15" s="2798"/>
      <c r="AH15" s="2798"/>
      <c r="AI15" s="2798"/>
      <c r="AJ15" s="2798"/>
      <c r="AK15" s="2798"/>
      <c r="AL15" s="2798"/>
    </row>
    <row r="16" spans="1:49" s="83" customFormat="1" ht="16.5" hidden="1" customHeight="1">
      <c r="C16" s="87"/>
      <c r="D16" s="87"/>
      <c r="AA16" s="2798"/>
      <c r="AB16" s="2798"/>
      <c r="AC16" s="2798"/>
      <c r="AD16" s="2798"/>
      <c r="AE16" s="2798"/>
      <c r="AF16" s="2798"/>
      <c r="AG16" s="2798"/>
      <c r="AH16" s="2798"/>
      <c r="AI16" s="2798"/>
      <c r="AJ16" s="2798"/>
      <c r="AK16" s="2798"/>
      <c r="AL16" s="2798"/>
    </row>
    <row r="17" spans="1:38" s="85" customFormat="1" ht="16.5" customHeight="1">
      <c r="C17" s="86"/>
      <c r="D17" s="86"/>
      <c r="AA17" s="2799" t="s">
        <v>3473</v>
      </c>
      <c r="AB17" s="2775"/>
      <c r="AC17" s="2775"/>
      <c r="AD17" s="2775"/>
      <c r="AE17" s="2775"/>
      <c r="AF17" s="2775"/>
      <c r="AG17" s="2775"/>
      <c r="AH17" s="2775"/>
      <c r="AI17" s="2775"/>
      <c r="AJ17" s="2775"/>
      <c r="AK17" s="2775"/>
      <c r="AL17" s="2775"/>
    </row>
    <row r="18" spans="1:38" s="86" customFormat="1">
      <c r="A18" s="2676" t="s">
        <v>2831</v>
      </c>
      <c r="B18" s="2676"/>
      <c r="C18" s="2676"/>
      <c r="D18" s="2676"/>
      <c r="E18" s="2676"/>
      <c r="F18" s="2676"/>
      <c r="G18" s="85"/>
      <c r="H18" s="85"/>
      <c r="I18" s="2676" t="s">
        <v>2737</v>
      </c>
      <c r="J18" s="2676"/>
      <c r="K18" s="2676"/>
      <c r="L18" s="2676"/>
      <c r="M18" s="2676"/>
      <c r="N18" s="2676"/>
      <c r="O18" s="2676"/>
      <c r="P18" s="2676"/>
      <c r="Q18" s="2676"/>
      <c r="R18" s="2676"/>
      <c r="S18" s="2676"/>
      <c r="T18" s="2676"/>
      <c r="U18" s="85"/>
      <c r="V18" s="2676" t="s">
        <v>2478</v>
      </c>
      <c r="W18" s="2676"/>
      <c r="X18" s="2676"/>
      <c r="Y18" s="2676"/>
      <c r="Z18" s="2676"/>
      <c r="AA18" s="2676"/>
      <c r="AB18" s="2676"/>
      <c r="AC18" s="2676"/>
      <c r="AD18" s="2676"/>
      <c r="AE18" s="2676" t="s">
        <v>612</v>
      </c>
      <c r="AF18" s="2676"/>
      <c r="AG18" s="2676"/>
      <c r="AH18" s="2676"/>
      <c r="AI18" s="2676"/>
      <c r="AJ18" s="2676"/>
      <c r="AK18" s="2676"/>
      <c r="AL18" s="2676"/>
    </row>
    <row r="25" spans="1:38">
      <c r="I25" s="2676" t="s">
        <v>2480</v>
      </c>
      <c r="J25" s="2676"/>
      <c r="K25" s="2676"/>
      <c r="L25" s="2676"/>
      <c r="M25" s="2676"/>
      <c r="N25" s="2676"/>
      <c r="O25" s="2676"/>
      <c r="P25" s="2676"/>
      <c r="Q25" s="2676"/>
      <c r="R25" s="2676"/>
      <c r="S25" s="2676"/>
      <c r="T25" s="2676"/>
      <c r="U25" s="85"/>
      <c r="V25" s="2676" t="s">
        <v>3324</v>
      </c>
      <c r="W25" s="2676"/>
      <c r="X25" s="2676"/>
      <c r="Y25" s="2676"/>
      <c r="Z25" s="2676"/>
      <c r="AA25" s="2676"/>
      <c r="AB25" s="2676"/>
      <c r="AC25" s="2676"/>
      <c r="AD25" s="2676"/>
      <c r="AE25" s="2792" t="s">
        <v>3369</v>
      </c>
      <c r="AF25" s="2792"/>
      <c r="AG25" s="2792"/>
      <c r="AH25" s="2792"/>
      <c r="AI25" s="2792"/>
      <c r="AJ25" s="2792"/>
      <c r="AK25" s="2792"/>
      <c r="AL25" s="2792"/>
    </row>
  </sheetData>
  <mergeCells count="27">
    <mergeCell ref="B1:AL1"/>
    <mergeCell ref="B2:AL2"/>
    <mergeCell ref="B3:AL3"/>
    <mergeCell ref="B4:K4"/>
    <mergeCell ref="B5:K5"/>
    <mergeCell ref="AE18:AL18"/>
    <mergeCell ref="E6:AI6"/>
    <mergeCell ref="B7:C7"/>
    <mergeCell ref="E7:AI7"/>
    <mergeCell ref="B8:C8"/>
    <mergeCell ref="B13:C13"/>
    <mergeCell ref="I25:T25"/>
    <mergeCell ref="V25:AD25"/>
    <mergeCell ref="AE25:AL25"/>
    <mergeCell ref="B9:B10"/>
    <mergeCell ref="C9:C10"/>
    <mergeCell ref="D9:D10"/>
    <mergeCell ref="AJ9:AJ10"/>
    <mergeCell ref="AK9:AK10"/>
    <mergeCell ref="AL9:AL10"/>
    <mergeCell ref="A14:B14"/>
    <mergeCell ref="AA15:AL15"/>
    <mergeCell ref="AA16:AL16"/>
    <mergeCell ref="AA17:AL17"/>
    <mergeCell ref="A18:F18"/>
    <mergeCell ref="I18:T18"/>
    <mergeCell ref="V18:AD18"/>
  </mergeCells>
  <pageMargins left="0.7" right="0.7" top="0.75" bottom="0.75" header="0.3" footer="0.3"/>
  <pageSetup paperSize="9" orientation="landscape" r:id="rId1"/>
  <drawing r:id="rId2"/>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AA22"/>
  <sheetViews>
    <sheetView showGridLines="0" zoomScaleNormal="100" zoomScaleSheetLayoutView="160" workbookViewId="0">
      <selection activeCell="J11" sqref="J11:J12"/>
    </sheetView>
  </sheetViews>
  <sheetFormatPr defaultColWidth="9.140625" defaultRowHeight="15"/>
  <cols>
    <col min="1" max="1" width="6" style="158" customWidth="1"/>
    <col min="2" max="2" width="7" style="158" hidden="1" customWidth="1"/>
    <col min="3" max="3" width="5.7109375" style="158" hidden="1" customWidth="1"/>
    <col min="4" max="4" width="19.140625" style="158" customWidth="1"/>
    <col min="5" max="5" width="18" style="158" hidden="1" customWidth="1"/>
    <col min="6" max="7" width="13.42578125" style="158" customWidth="1"/>
    <col min="8" max="8" width="15" style="158" customWidth="1"/>
    <col min="9" max="9" width="13.42578125" style="158" customWidth="1"/>
    <col min="10" max="10" width="16.5703125" style="158" customWidth="1"/>
    <col min="11" max="11" width="22.28515625" style="158" customWidth="1"/>
    <col min="12" max="12" width="10.28515625" style="158" customWidth="1"/>
    <col min="13" max="13" width="9.140625" style="158" customWidth="1"/>
    <col min="14" max="14" width="11.7109375" style="158" customWidth="1"/>
    <col min="15" max="15" width="17.85546875" style="158" customWidth="1"/>
    <col min="16" max="16" width="15.7109375" style="158" customWidth="1"/>
    <col min="17" max="18" width="9.140625" style="158"/>
    <col min="19" max="20" width="9.140625" style="158" hidden="1" customWidth="1"/>
    <col min="21" max="26" width="9.140625" style="158"/>
    <col min="27" max="27" width="9.140625" style="158" hidden="1" customWidth="1"/>
    <col min="28" max="16384" width="9.140625" style="158"/>
  </cols>
  <sheetData>
    <row r="1" spans="1:16" s="598" customFormat="1" ht="16.5">
      <c r="A1" s="2259" t="s">
        <v>0</v>
      </c>
      <c r="B1" s="2259"/>
      <c r="C1" s="2259"/>
      <c r="D1" s="2259"/>
      <c r="E1" s="2259"/>
      <c r="F1" s="2259"/>
      <c r="G1" s="2259"/>
      <c r="H1" s="2259"/>
      <c r="I1" s="2259"/>
      <c r="J1" s="2259"/>
      <c r="K1" s="2259"/>
      <c r="L1" s="607"/>
      <c r="M1" s="607"/>
      <c r="N1" s="607"/>
      <c r="O1" s="607"/>
      <c r="P1" s="607"/>
    </row>
    <row r="2" spans="1:16" s="598" customFormat="1" ht="16.5">
      <c r="A2" s="2259" t="s">
        <v>1968</v>
      </c>
      <c r="B2" s="2259"/>
      <c r="C2" s="2259"/>
      <c r="D2" s="2259"/>
      <c r="E2" s="2259"/>
      <c r="F2" s="2259"/>
      <c r="G2" s="2259"/>
      <c r="H2" s="2259"/>
      <c r="I2" s="2259"/>
      <c r="J2" s="2259"/>
      <c r="K2" s="2259"/>
      <c r="L2" s="607"/>
      <c r="M2" s="607"/>
      <c r="N2" s="607"/>
      <c r="O2" s="607"/>
      <c r="P2" s="607"/>
    </row>
    <row r="3" spans="1:16" s="598" customFormat="1" ht="16.5">
      <c r="A3" s="2768" t="s">
        <v>619</v>
      </c>
      <c r="B3" s="2259"/>
      <c r="C3" s="2259"/>
      <c r="D3" s="2259"/>
      <c r="E3" s="2259"/>
      <c r="F3" s="2259"/>
      <c r="G3" s="2259"/>
      <c r="H3" s="2259"/>
      <c r="I3" s="2259"/>
      <c r="J3" s="2259"/>
      <c r="K3" s="2259"/>
      <c r="L3" s="607"/>
      <c r="M3" s="607"/>
      <c r="N3" s="607"/>
      <c r="O3" s="607"/>
      <c r="P3" s="607"/>
    </row>
    <row r="4" spans="1:16" s="28" customFormat="1" ht="15.75">
      <c r="A4" s="2733" t="s">
        <v>2709</v>
      </c>
      <c r="B4" s="2733"/>
      <c r="C4" s="2733"/>
      <c r="D4" s="2733"/>
      <c r="E4" s="2733"/>
      <c r="F4" s="2733"/>
      <c r="G4" s="2733"/>
      <c r="J4" s="680"/>
      <c r="K4" s="76"/>
      <c r="L4" s="76"/>
      <c r="M4" s="80"/>
      <c r="N4" s="81"/>
      <c r="P4" s="82"/>
    </row>
    <row r="5" spans="1:16" s="28" customFormat="1" ht="15.75">
      <c r="A5" s="2287" t="s">
        <v>3172</v>
      </c>
      <c r="B5" s="2287"/>
      <c r="C5" s="2287"/>
      <c r="D5" s="2287"/>
      <c r="E5" s="2287"/>
      <c r="F5" s="2287"/>
      <c r="G5" s="2287"/>
      <c r="J5" s="76"/>
      <c r="K5" s="76"/>
      <c r="L5" s="76"/>
      <c r="M5" s="80"/>
      <c r="N5" s="81"/>
      <c r="P5" s="82"/>
    </row>
    <row r="6" spans="1:16" s="156" customFormat="1" ht="11.25"/>
    <row r="7" spans="1:16" ht="18.75">
      <c r="A7" s="2336" t="s">
        <v>2832</v>
      </c>
      <c r="B7" s="2336"/>
      <c r="C7" s="2336"/>
      <c r="D7" s="2336"/>
      <c r="E7" s="2336"/>
      <c r="F7" s="2336"/>
      <c r="G7" s="2336"/>
      <c r="H7" s="2336"/>
      <c r="I7" s="2336"/>
      <c r="J7" s="2336"/>
      <c r="K7" s="2336"/>
      <c r="L7" s="161"/>
    </row>
    <row r="8" spans="1:16" s="156" customFormat="1" ht="11.25">
      <c r="K8" s="184"/>
      <c r="L8" s="184"/>
      <c r="M8" s="184">
        <v>30</v>
      </c>
    </row>
    <row r="9" spans="1:16" s="335" customFormat="1" ht="15.75" customHeight="1">
      <c r="A9" s="2785" t="s">
        <v>6</v>
      </c>
      <c r="B9" s="2784" t="s">
        <v>624</v>
      </c>
      <c r="C9" s="2786" t="s">
        <v>356</v>
      </c>
      <c r="D9" s="2787"/>
      <c r="E9" s="2805" t="s">
        <v>2833</v>
      </c>
      <c r="F9" s="2784" t="s">
        <v>2715</v>
      </c>
      <c r="G9" s="2790" t="s">
        <v>530</v>
      </c>
      <c r="H9" s="2784" t="s">
        <v>2834</v>
      </c>
      <c r="I9" s="2790" t="s">
        <v>2835</v>
      </c>
      <c r="J9" s="2784" t="s">
        <v>2727</v>
      </c>
      <c r="K9" s="2784" t="s">
        <v>2836</v>
      </c>
      <c r="L9" s="185"/>
    </row>
    <row r="10" spans="1:16" s="335" customFormat="1" ht="51.95" customHeight="1">
      <c r="A10" s="2785"/>
      <c r="B10" s="2784"/>
      <c r="C10" s="2788"/>
      <c r="D10" s="2789"/>
      <c r="E10" s="2806"/>
      <c r="F10" s="2785"/>
      <c r="G10" s="2791"/>
      <c r="H10" s="2784"/>
      <c r="I10" s="2791"/>
      <c r="J10" s="2785"/>
      <c r="K10" s="2785"/>
      <c r="L10" s="186"/>
      <c r="M10" s="681"/>
      <c r="O10" s="187"/>
    </row>
    <row r="11" spans="1:16" s="42" customFormat="1" ht="27.95" customHeight="1">
      <c r="A11" s="244">
        <v>1</v>
      </c>
      <c r="B11" s="245"/>
      <c r="C11" s="135" t="s">
        <v>1850</v>
      </c>
      <c r="D11" s="91" t="s">
        <v>1043</v>
      </c>
      <c r="E11" s="135" t="s">
        <v>2837</v>
      </c>
      <c r="F11" s="132"/>
      <c r="G11" s="247">
        <f>VLOOKUP(D11,'BCC BẢO VỆ'!$C$11:$AJ$12,34,0)</f>
        <v>30</v>
      </c>
      <c r="H11" s="577">
        <f>2000000/$M$8*G11</f>
        <v>2000000.0000000002</v>
      </c>
      <c r="I11" s="113">
        <f>600000*G11/$M$8</f>
        <v>600000</v>
      </c>
      <c r="J11" s="113">
        <f>SUM(H11:I11)</f>
        <v>2600000</v>
      </c>
      <c r="K11" s="682"/>
      <c r="L11" s="190"/>
      <c r="M11" s="191"/>
      <c r="N11" s="683"/>
      <c r="O11" s="191"/>
      <c r="P11" s="192"/>
    </row>
    <row r="12" spans="1:16" s="42" customFormat="1" ht="27.95" customHeight="1">
      <c r="A12" s="244">
        <v>2</v>
      </c>
      <c r="B12" s="245" t="s">
        <v>1853</v>
      </c>
      <c r="C12" s="135"/>
      <c r="D12" s="91" t="s">
        <v>3367</v>
      </c>
      <c r="E12" s="135" t="s">
        <v>2837</v>
      </c>
      <c r="F12" s="132"/>
      <c r="G12" s="247">
        <f>VLOOKUP(D12,'BCC BẢO VỆ'!$C$11:$AJ$12,34,0)</f>
        <v>30</v>
      </c>
      <c r="H12" s="577">
        <f t="shared" ref="H12" si="0">2000000/$M$8*G12</f>
        <v>2000000.0000000002</v>
      </c>
      <c r="I12" s="113">
        <f t="shared" ref="I12" si="1">600000*G12/$M$8</f>
        <v>600000</v>
      </c>
      <c r="J12" s="113">
        <f>SUM(H12:I12)</f>
        <v>2600000</v>
      </c>
      <c r="K12" s="682"/>
      <c r="L12" s="190"/>
      <c r="M12" s="191"/>
      <c r="N12" s="192"/>
      <c r="O12" s="191"/>
      <c r="P12" s="192"/>
    </row>
    <row r="13" spans="1:16" s="42" customFormat="1" ht="27.95" customHeight="1">
      <c r="A13" s="2785" t="s">
        <v>349</v>
      </c>
      <c r="B13" s="2785"/>
      <c r="C13" s="2785"/>
      <c r="D13" s="2785"/>
      <c r="E13" s="137"/>
      <c r="F13" s="137"/>
      <c r="G13" s="676">
        <f>SUM(G11:G12)</f>
        <v>60</v>
      </c>
      <c r="H13" s="677">
        <f>SUM(H11:H12)</f>
        <v>4000000.0000000005</v>
      </c>
      <c r="I13" s="677">
        <f>SUM(I11:I12)</f>
        <v>1200000</v>
      </c>
      <c r="J13" s="677">
        <f>SUM(J11:J12)</f>
        <v>5200000</v>
      </c>
      <c r="K13" s="137"/>
      <c r="L13" s="194"/>
      <c r="M13" s="195"/>
      <c r="N13" s="192"/>
      <c r="O13" s="196"/>
      <c r="P13" s="192"/>
    </row>
    <row r="14" spans="1:16" s="157" customFormat="1" ht="27" customHeight="1">
      <c r="A14" s="2808" t="s">
        <v>3371</v>
      </c>
      <c r="B14" s="2809"/>
      <c r="C14" s="2809"/>
      <c r="D14" s="2809"/>
      <c r="E14" s="2809"/>
      <c r="F14" s="2809"/>
      <c r="G14" s="2809"/>
      <c r="H14" s="2809"/>
      <c r="I14" s="2809"/>
      <c r="J14" s="2809"/>
      <c r="K14" s="2810"/>
      <c r="L14" s="197"/>
      <c r="M14" s="198"/>
      <c r="O14" s="199"/>
    </row>
    <row r="15" spans="1:16" s="335" customFormat="1" ht="18.75" customHeight="1">
      <c r="A15" s="172"/>
      <c r="B15" s="172"/>
      <c r="C15" s="158"/>
      <c r="D15" s="173"/>
      <c r="E15" s="173"/>
      <c r="F15" s="173"/>
      <c r="G15" s="174"/>
      <c r="H15" s="158"/>
      <c r="I15" s="2811" t="s">
        <v>3473</v>
      </c>
      <c r="J15" s="2811"/>
      <c r="K15" s="2811"/>
      <c r="L15" s="2812"/>
      <c r="M15" s="2812"/>
      <c r="N15" s="187"/>
    </row>
    <row r="16" spans="1:16" s="240" customFormat="1" ht="25.5" customHeight="1">
      <c r="A16" s="2459" t="s">
        <v>614</v>
      </c>
      <c r="B16" s="2459"/>
      <c r="C16" s="2459"/>
      <c r="D16" s="2459"/>
      <c r="E16" s="678" t="s">
        <v>1921</v>
      </c>
      <c r="F16" s="2459" t="s">
        <v>616</v>
      </c>
      <c r="G16" s="2459"/>
      <c r="H16" s="2459" t="s">
        <v>2737</v>
      </c>
      <c r="I16" s="2459"/>
      <c r="J16" s="2459" t="s">
        <v>2839</v>
      </c>
      <c r="K16" s="2459"/>
      <c r="L16" s="241"/>
      <c r="M16" s="239"/>
    </row>
    <row r="17" spans="1:14" s="335" customFormat="1" ht="12.75">
      <c r="N17" s="335">
        <f>+J13/25000</f>
        <v>208</v>
      </c>
    </row>
    <row r="18" spans="1:14" s="335" customFormat="1" ht="12.75">
      <c r="M18" s="335">
        <f>9*400</f>
        <v>3600</v>
      </c>
      <c r="N18" s="335">
        <f>2000000/25000</f>
        <v>80</v>
      </c>
    </row>
    <row r="19" spans="1:14" s="335" customFormat="1" ht="41.25" customHeight="1">
      <c r="M19" s="335">
        <f>+M18+9000</f>
        <v>12600</v>
      </c>
      <c r="N19" s="335">
        <f>+N18+N17</f>
        <v>288</v>
      </c>
    </row>
    <row r="20" spans="1:14" s="335" customFormat="1" ht="14.25">
      <c r="A20" s="157"/>
      <c r="B20" s="157"/>
      <c r="C20" s="157"/>
      <c r="D20" s="157"/>
      <c r="E20" s="157"/>
      <c r="F20" s="157"/>
      <c r="G20" s="157"/>
    </row>
    <row r="21" spans="1:14" s="335" customFormat="1" ht="15" customHeight="1">
      <c r="A21" s="2618"/>
      <c r="B21" s="2618"/>
      <c r="C21" s="2618"/>
      <c r="D21" s="2618"/>
      <c r="E21" s="171"/>
      <c r="F21" s="679"/>
      <c r="G21" s="679"/>
      <c r="H21" s="2552" t="s">
        <v>2480</v>
      </c>
      <c r="I21" s="2552"/>
      <c r="J21" s="2807"/>
      <c r="K21" s="2807"/>
    </row>
    <row r="22" spans="1:14">
      <c r="J22" s="2335"/>
      <c r="K22" s="2335"/>
      <c r="L22" s="160"/>
    </row>
  </sheetData>
  <mergeCells count="28">
    <mergeCell ref="L15:M15"/>
    <mergeCell ref="A1:K1"/>
    <mergeCell ref="A2:K2"/>
    <mergeCell ref="A3:K3"/>
    <mergeCell ref="A4:G4"/>
    <mergeCell ref="A5:G5"/>
    <mergeCell ref="H21:I21"/>
    <mergeCell ref="J21:K21"/>
    <mergeCell ref="A7:K7"/>
    <mergeCell ref="A13:D13"/>
    <mergeCell ref="A14:K14"/>
    <mergeCell ref="I15:K15"/>
    <mergeCell ref="J22:K22"/>
    <mergeCell ref="A9:A10"/>
    <mergeCell ref="B9:B10"/>
    <mergeCell ref="E9:E10"/>
    <mergeCell ref="F9:F10"/>
    <mergeCell ref="G9:G10"/>
    <mergeCell ref="H9:H10"/>
    <mergeCell ref="I9:I10"/>
    <mergeCell ref="J9:J10"/>
    <mergeCell ref="K9:K10"/>
    <mergeCell ref="C9:D10"/>
    <mergeCell ref="A16:D16"/>
    <mergeCell ref="F16:G16"/>
    <mergeCell ref="H16:I16"/>
    <mergeCell ref="J16:K16"/>
    <mergeCell ref="A21:D21"/>
  </mergeCells>
  <printOptions horizontalCentered="1"/>
  <pageMargins left="0.196850393700787" right="0" top="0.39370078740157499" bottom="0.39370078740157499" header="0.31496062992126" footer="0.31496062992126"/>
  <pageSetup paperSize="9" orientation="landscape"/>
  <headerFooter>
    <oddFooter>&amp;R&amp;P/2</oddFooter>
  </headerFooter>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T43"/>
  <sheetViews>
    <sheetView topLeftCell="A7" zoomScale="85" zoomScaleNormal="85" workbookViewId="0">
      <selection activeCell="N29" sqref="N29:O29"/>
    </sheetView>
  </sheetViews>
  <sheetFormatPr defaultColWidth="9.140625" defaultRowHeight="12.75"/>
  <cols>
    <col min="1" max="1" width="4.42578125" style="643" customWidth="1"/>
    <col min="2" max="2" width="5.28515625" style="643" customWidth="1"/>
    <col min="3" max="3" width="22" style="643" customWidth="1"/>
    <col min="4" max="4" width="11.28515625" style="643" customWidth="1"/>
    <col min="5" max="5" width="10.7109375" style="643" hidden="1" customWidth="1"/>
    <col min="6" max="7" width="10" style="643" customWidth="1"/>
    <col min="8" max="8" width="15" style="643" customWidth="1"/>
    <col min="9" max="9" width="13.140625" style="643" customWidth="1"/>
    <col min="10" max="10" width="16.28515625" style="643" customWidth="1"/>
    <col min="11" max="11" width="14.28515625" style="643" customWidth="1"/>
    <col min="12" max="12" width="14.7109375" style="643" hidden="1" customWidth="1"/>
    <col min="13" max="13" width="16.5703125" style="643" customWidth="1"/>
    <col min="14" max="14" width="15.5703125" style="643" customWidth="1"/>
    <col min="15" max="15" width="16.28515625" style="643" customWidth="1"/>
    <col min="16" max="16" width="9.140625" style="643"/>
    <col min="17" max="17" width="19.140625" style="643" hidden="1" customWidth="1"/>
    <col min="18" max="18" width="0" style="643" hidden="1" customWidth="1"/>
    <col min="19" max="19" width="9.140625" style="643"/>
    <col min="20" max="20" width="11.28515625" style="643" customWidth="1"/>
    <col min="21" max="16384" width="9.140625" style="643"/>
  </cols>
  <sheetData>
    <row r="1" spans="1:20" s="640" customFormat="1" ht="16.5">
      <c r="B1" s="2259" t="s">
        <v>0</v>
      </c>
      <c r="C1" s="2259"/>
      <c r="D1" s="2259"/>
      <c r="E1" s="2259"/>
      <c r="F1" s="2259"/>
      <c r="G1" s="2259"/>
      <c r="H1" s="2259"/>
      <c r="I1" s="2259"/>
      <c r="J1" s="2259"/>
      <c r="K1" s="2259"/>
      <c r="L1" s="2259"/>
      <c r="M1" s="2259"/>
      <c r="N1" s="2259"/>
      <c r="O1" s="2259"/>
    </row>
    <row r="2" spans="1:20" s="640" customFormat="1" ht="16.5">
      <c r="B2" s="2259" t="s">
        <v>1968</v>
      </c>
      <c r="C2" s="2259"/>
      <c r="D2" s="2259"/>
      <c r="E2" s="2259"/>
      <c r="F2" s="2259"/>
      <c r="G2" s="2259"/>
      <c r="H2" s="2259"/>
      <c r="I2" s="2259"/>
      <c r="J2" s="2259"/>
      <c r="K2" s="2259"/>
      <c r="L2" s="2259"/>
      <c r="M2" s="2259"/>
      <c r="N2" s="2259"/>
      <c r="O2" s="2259"/>
    </row>
    <row r="3" spans="1:20" s="640" customFormat="1" ht="16.5">
      <c r="B3" s="2768" t="s">
        <v>619</v>
      </c>
      <c r="C3" s="2259"/>
      <c r="D3" s="2259"/>
      <c r="E3" s="2259"/>
      <c r="F3" s="2259"/>
      <c r="G3" s="2259"/>
      <c r="H3" s="2259"/>
      <c r="I3" s="2259"/>
      <c r="J3" s="2259"/>
      <c r="K3" s="2259"/>
      <c r="L3" s="2259"/>
      <c r="M3" s="2259"/>
      <c r="N3" s="2259"/>
      <c r="O3" s="2259"/>
    </row>
    <row r="4" spans="1:20" s="640" customFormat="1" ht="16.5">
      <c r="B4" s="2113" t="s">
        <v>2526</v>
      </c>
      <c r="C4" s="2113"/>
      <c r="D4" s="2113"/>
      <c r="E4" s="2113"/>
      <c r="F4" s="2113"/>
      <c r="G4" s="2111"/>
      <c r="K4" s="642"/>
      <c r="L4" s="642"/>
    </row>
    <row r="5" spans="1:20" s="640" customFormat="1" ht="16.5">
      <c r="B5" s="2259" t="s">
        <v>3172</v>
      </c>
      <c r="C5" s="2259"/>
      <c r="D5" s="2259"/>
      <c r="E5" s="2259"/>
      <c r="F5" s="2259"/>
      <c r="G5" s="644"/>
      <c r="K5" s="642"/>
      <c r="L5" s="642"/>
    </row>
    <row r="6" spans="1:20" s="641" customFormat="1" ht="11.25"/>
    <row r="7" spans="1:20" ht="20.25">
      <c r="B7" s="2815" t="s">
        <v>2840</v>
      </c>
      <c r="C7" s="2815"/>
      <c r="D7" s="2815"/>
      <c r="E7" s="2815"/>
      <c r="F7" s="2815"/>
      <c r="G7" s="2815"/>
      <c r="H7" s="2815"/>
      <c r="I7" s="2815"/>
      <c r="J7" s="2815"/>
      <c r="K7" s="2815"/>
      <c r="L7" s="2815"/>
      <c r="M7" s="2815"/>
      <c r="N7" s="2815"/>
      <c r="O7" s="2815"/>
    </row>
    <row r="8" spans="1:20" ht="18.75" customHeight="1">
      <c r="B8" s="645"/>
      <c r="C8" s="646"/>
      <c r="D8" s="647"/>
      <c r="E8" s="645"/>
      <c r="F8" s="645"/>
      <c r="G8" s="645"/>
      <c r="H8" s="645"/>
      <c r="I8" s="645"/>
      <c r="J8" s="645"/>
      <c r="K8" s="661"/>
      <c r="L8" s="661"/>
      <c r="M8" s="645"/>
      <c r="N8" s="645"/>
      <c r="O8" s="645"/>
    </row>
    <row r="9" spans="1:20" ht="25.15" customHeight="1"/>
    <row r="10" spans="1:20" ht="90" customHeight="1">
      <c r="A10" s="2816" t="s">
        <v>6</v>
      </c>
      <c r="B10" s="2816"/>
      <c r="C10" s="648" t="s">
        <v>356</v>
      </c>
      <c r="D10" s="648" t="s">
        <v>9</v>
      </c>
      <c r="E10" s="649" t="s">
        <v>2833</v>
      </c>
      <c r="F10" s="649" t="s">
        <v>2841</v>
      </c>
      <c r="G10" s="649" t="s">
        <v>2842</v>
      </c>
      <c r="H10" s="649" t="s">
        <v>2843</v>
      </c>
      <c r="I10" s="649" t="s">
        <v>2844</v>
      </c>
      <c r="J10" s="649" t="s">
        <v>2845</v>
      </c>
      <c r="K10" s="662" t="s">
        <v>2846</v>
      </c>
      <c r="L10" s="662" t="s">
        <v>2791</v>
      </c>
      <c r="M10" s="649" t="s">
        <v>2847</v>
      </c>
      <c r="N10" s="649" t="s">
        <v>2848</v>
      </c>
      <c r="O10" s="662" t="s">
        <v>12</v>
      </c>
      <c r="Q10" s="673"/>
    </row>
    <row r="11" spans="1:20" s="606" customFormat="1" ht="24" hidden="1" customHeight="1">
      <c r="A11" s="2817"/>
      <c r="B11" s="2818"/>
      <c r="C11" s="650"/>
      <c r="D11" s="650"/>
      <c r="E11" s="651"/>
      <c r="F11" s="651"/>
      <c r="G11" s="651"/>
      <c r="H11" s="1645" t="s">
        <v>2849</v>
      </c>
      <c r="I11" s="1645" t="s">
        <v>2850</v>
      </c>
      <c r="J11" s="1646" t="s">
        <v>2851</v>
      </c>
      <c r="K11" s="1645" t="s">
        <v>2852</v>
      </c>
      <c r="L11" s="652"/>
      <c r="M11" s="1645" t="s">
        <v>2853</v>
      </c>
      <c r="N11" s="1647" t="s">
        <v>2854</v>
      </c>
      <c r="O11" s="663"/>
      <c r="Q11" s="674"/>
    </row>
    <row r="12" spans="1:20" s="606" customFormat="1" ht="34.15" customHeight="1">
      <c r="A12" s="2819" t="s">
        <v>2408</v>
      </c>
      <c r="B12" s="2819"/>
      <c r="C12" s="653" t="s">
        <v>2783</v>
      </c>
      <c r="D12" s="653"/>
      <c r="E12" s="651"/>
      <c r="F12" s="651"/>
      <c r="G12" s="651"/>
      <c r="H12" s="652"/>
      <c r="I12" s="664"/>
      <c r="J12" s="664"/>
      <c r="K12" s="664">
        <f>+SUM(K13:K18)</f>
        <v>1660</v>
      </c>
      <c r="L12" s="664">
        <f t="shared" ref="L12" si="0">+SUM(L13:L17)</f>
        <v>0</v>
      </c>
      <c r="M12" s="664">
        <f>+SUM(M13:M18)</f>
        <v>1941.2694332273015</v>
      </c>
      <c r="N12" s="664">
        <f>+SUM(N13:N18)</f>
        <v>3601.2694332273013</v>
      </c>
      <c r="O12" s="663"/>
      <c r="Q12" s="657">
        <v>1</v>
      </c>
      <c r="R12" s="657">
        <v>28</v>
      </c>
    </row>
    <row r="13" spans="1:20" s="640" customFormat="1" ht="38.450000000000003" customHeight="1">
      <c r="A13" s="654">
        <v>1</v>
      </c>
      <c r="B13" s="654">
        <v>1</v>
      </c>
      <c r="C13" s="655" t="s">
        <v>3324</v>
      </c>
      <c r="D13" s="656" t="s">
        <v>2855</v>
      </c>
      <c r="E13" s="657"/>
      <c r="F13" s="657" t="s">
        <v>2803</v>
      </c>
      <c r="G13" s="658">
        <v>1</v>
      </c>
      <c r="H13" s="659">
        <v>56</v>
      </c>
      <c r="I13" s="2112">
        <f>'LƯƠNG KT'!J95/1000</f>
        <v>63.947698976899339</v>
      </c>
      <c r="J13" s="666">
        <f>I13/H13</f>
        <v>1.1419231960160596</v>
      </c>
      <c r="K13" s="667">
        <v>360</v>
      </c>
      <c r="L13" s="667"/>
      <c r="M13" s="665">
        <f>300*J13*G13</f>
        <v>342.57695880481788</v>
      </c>
      <c r="N13" s="665">
        <f>K13+M13+L13</f>
        <v>702.57695880481788</v>
      </c>
      <c r="O13" s="668"/>
      <c r="Q13" s="657"/>
      <c r="R13" s="657"/>
      <c r="T13" s="640" t="e">
        <f>'LƯƠNG KT'!#REF!</f>
        <v>#REF!</v>
      </c>
    </row>
    <row r="14" spans="1:20" s="640" customFormat="1" ht="38.450000000000003" customHeight="1">
      <c r="A14" s="1754">
        <v>2</v>
      </c>
      <c r="B14" s="1754">
        <v>2</v>
      </c>
      <c r="C14" s="1755" t="s">
        <v>3383</v>
      </c>
      <c r="D14" s="1756" t="s">
        <v>2856</v>
      </c>
      <c r="E14" s="1757"/>
      <c r="F14" s="657" t="s">
        <v>2803</v>
      </c>
      <c r="G14" s="1758">
        <v>1</v>
      </c>
      <c r="H14" s="659">
        <v>56</v>
      </c>
      <c r="I14" s="2112">
        <f>I13</f>
        <v>63.947698976899339</v>
      </c>
      <c r="J14" s="666">
        <f t="shared" ref="J14:J18" si="1">I14/H14</f>
        <v>1.1419231960160596</v>
      </c>
      <c r="K14" s="1759">
        <v>280</v>
      </c>
      <c r="L14" s="1759"/>
      <c r="M14" s="665">
        <f>280*J14*G14</f>
        <v>319.73849488449667</v>
      </c>
      <c r="N14" s="665">
        <f t="shared" ref="N14:N18" si="2">K14+M14+L14</f>
        <v>599.73849488449673</v>
      </c>
      <c r="O14" s="1760"/>
      <c r="Q14" s="1757"/>
      <c r="R14" s="1757"/>
    </row>
    <row r="15" spans="1:20" s="640" customFormat="1" ht="38.450000000000003" customHeight="1">
      <c r="A15" s="654">
        <v>3</v>
      </c>
      <c r="B15" s="654">
        <v>3</v>
      </c>
      <c r="C15" s="1755" t="s">
        <v>3384</v>
      </c>
      <c r="D15" s="1756" t="s">
        <v>2856</v>
      </c>
      <c r="E15" s="1757"/>
      <c r="F15" s="657" t="s">
        <v>2803</v>
      </c>
      <c r="G15" s="1758">
        <v>1</v>
      </c>
      <c r="H15" s="659">
        <v>56</v>
      </c>
      <c r="I15" s="2112">
        <f>I13</f>
        <v>63.947698976899339</v>
      </c>
      <c r="J15" s="666">
        <f t="shared" si="1"/>
        <v>1.1419231960160596</v>
      </c>
      <c r="K15" s="1759">
        <v>280</v>
      </c>
      <c r="L15" s="1759"/>
      <c r="M15" s="665">
        <f>280*J15*G15</f>
        <v>319.73849488449667</v>
      </c>
      <c r="N15" s="665">
        <f t="shared" si="2"/>
        <v>599.73849488449673</v>
      </c>
      <c r="O15" s="1760"/>
      <c r="Q15" s="1757"/>
      <c r="R15" s="1757"/>
    </row>
    <row r="16" spans="1:20" s="640" customFormat="1" ht="38.450000000000003" customHeight="1">
      <c r="A16" s="1754">
        <v>4</v>
      </c>
      <c r="B16" s="1754">
        <v>4</v>
      </c>
      <c r="C16" s="655" t="s">
        <v>3369</v>
      </c>
      <c r="D16" s="656" t="s">
        <v>2857</v>
      </c>
      <c r="E16" s="657"/>
      <c r="F16" s="657" t="s">
        <v>2803</v>
      </c>
      <c r="G16" s="658">
        <v>1</v>
      </c>
      <c r="H16" s="659">
        <v>56</v>
      </c>
      <c r="I16" s="2112">
        <f>I13</f>
        <v>63.947698976899339</v>
      </c>
      <c r="J16" s="666">
        <f t="shared" si="1"/>
        <v>1.1419231960160596</v>
      </c>
      <c r="K16" s="667">
        <v>230</v>
      </c>
      <c r="L16" s="667"/>
      <c r="M16" s="665">
        <f>280*J16*G16</f>
        <v>319.73849488449667</v>
      </c>
      <c r="N16" s="665">
        <f>K16+M16+L16</f>
        <v>549.73849488449673</v>
      </c>
      <c r="O16" s="668"/>
      <c r="Q16" s="657"/>
      <c r="R16" s="657"/>
    </row>
    <row r="17" spans="1:18" s="640" customFormat="1" ht="38.450000000000003" customHeight="1">
      <c r="A17" s="654">
        <v>5</v>
      </c>
      <c r="B17" s="654">
        <v>5</v>
      </c>
      <c r="C17" s="655" t="s">
        <v>3386</v>
      </c>
      <c r="D17" s="656" t="s">
        <v>2857</v>
      </c>
      <c r="E17" s="657"/>
      <c r="F17" s="657" t="s">
        <v>2803</v>
      </c>
      <c r="G17" s="658">
        <v>1</v>
      </c>
      <c r="H17" s="659">
        <v>56</v>
      </c>
      <c r="I17" s="2112">
        <f>I16</f>
        <v>63.947698976899339</v>
      </c>
      <c r="J17" s="666">
        <f t="shared" si="1"/>
        <v>1.1419231960160596</v>
      </c>
      <c r="K17" s="667">
        <v>230</v>
      </c>
      <c r="L17" s="667"/>
      <c r="M17" s="665">
        <f>280*J17*G17</f>
        <v>319.73849488449667</v>
      </c>
      <c r="N17" s="665">
        <f t="shared" si="2"/>
        <v>549.73849488449673</v>
      </c>
      <c r="O17" s="668"/>
      <c r="Q17" s="657"/>
      <c r="R17" s="657"/>
    </row>
    <row r="18" spans="1:18" s="640" customFormat="1" ht="38.450000000000003" customHeight="1">
      <c r="A18" s="1754">
        <v>6</v>
      </c>
      <c r="B18" s="1754">
        <v>6</v>
      </c>
      <c r="C18" s="655" t="s">
        <v>3388</v>
      </c>
      <c r="D18" s="656" t="s">
        <v>2857</v>
      </c>
      <c r="E18" s="657"/>
      <c r="F18" s="657" t="s">
        <v>2803</v>
      </c>
      <c r="G18" s="658">
        <v>1</v>
      </c>
      <c r="H18" s="659">
        <v>56</v>
      </c>
      <c r="I18" s="2112">
        <f>I17</f>
        <v>63.947698976899339</v>
      </c>
      <c r="J18" s="666">
        <f t="shared" si="1"/>
        <v>1.1419231960160596</v>
      </c>
      <c r="K18" s="667">
        <v>280</v>
      </c>
      <c r="L18" s="667"/>
      <c r="M18" s="665">
        <f>280*J18*G18</f>
        <v>319.73849488449667</v>
      </c>
      <c r="N18" s="665">
        <f t="shared" si="2"/>
        <v>599.73849488449673</v>
      </c>
      <c r="O18" s="668"/>
      <c r="Q18" s="657"/>
      <c r="R18" s="657"/>
    </row>
    <row r="19" spans="1:18" s="642" customFormat="1" ht="21" hidden="1" customHeight="1">
      <c r="A19" s="640"/>
      <c r="B19" s="640"/>
      <c r="C19" s="640"/>
      <c r="D19" s="640"/>
      <c r="E19" s="640"/>
      <c r="F19" s="640"/>
      <c r="G19" s="640"/>
      <c r="H19" s="640"/>
      <c r="I19" s="640"/>
      <c r="J19" s="669"/>
      <c r="K19" s="640"/>
      <c r="L19" s="640"/>
      <c r="M19" s="2813"/>
      <c r="N19" s="2813"/>
      <c r="O19" s="2813"/>
      <c r="Q19" s="642" t="e">
        <f>+#REF!/1000</f>
        <v>#REF!</v>
      </c>
    </row>
    <row r="20" spans="1:18" s="642" customFormat="1" ht="23.25" customHeight="1">
      <c r="A20" s="640"/>
      <c r="B20" s="640"/>
      <c r="C20" s="640"/>
      <c r="D20" s="640"/>
      <c r="E20" s="640"/>
      <c r="F20" s="640"/>
      <c r="G20" s="640"/>
      <c r="H20" s="640"/>
      <c r="I20" s="640"/>
      <c r="J20" s="669"/>
      <c r="K20" s="2814" t="s">
        <v>3474</v>
      </c>
      <c r="L20" s="2814"/>
      <c r="M20" s="2814"/>
      <c r="N20" s="2814"/>
      <c r="O20" s="2814"/>
      <c r="Q20" s="675" t="e">
        <f>+Q19+#REF!</f>
        <v>#REF!</v>
      </c>
    </row>
    <row r="21" spans="1:18" s="642" customFormat="1" ht="16.5">
      <c r="A21" s="2259" t="s">
        <v>614</v>
      </c>
      <c r="B21" s="2259"/>
      <c r="C21" s="2259"/>
      <c r="D21" s="2259" t="s">
        <v>2485</v>
      </c>
      <c r="E21" s="2259"/>
      <c r="F21" s="2259"/>
      <c r="G21" s="2259" t="s">
        <v>2486</v>
      </c>
      <c r="H21" s="2259"/>
      <c r="I21" s="2259" t="s">
        <v>2859</v>
      </c>
      <c r="J21" s="2259"/>
      <c r="K21" s="2259" t="s">
        <v>2860</v>
      </c>
      <c r="L21" s="2259"/>
      <c r="M21" s="2259"/>
      <c r="N21" s="2259" t="s">
        <v>2478</v>
      </c>
      <c r="O21" s="2259"/>
      <c r="Q21" s="642" t="e">
        <f>+Q20/40</f>
        <v>#REF!</v>
      </c>
    </row>
    <row r="22" spans="1:18" s="640" customFormat="1" ht="16.5">
      <c r="J22" s="670"/>
    </row>
    <row r="23" spans="1:18" s="640" customFormat="1" ht="16.5"/>
    <row r="24" spans="1:18" s="640" customFormat="1" ht="16.5"/>
    <row r="25" spans="1:18" s="640" customFormat="1" ht="16.5">
      <c r="H25" s="660"/>
      <c r="J25" s="671"/>
      <c r="M25" s="670"/>
    </row>
    <row r="26" spans="1:18" s="640" customFormat="1" ht="16.5">
      <c r="H26" s="660"/>
    </row>
    <row r="27" spans="1:18" s="640" customFormat="1" ht="20.25">
      <c r="H27" s="660"/>
      <c r="I27" s="642"/>
      <c r="J27" s="642"/>
      <c r="O27" s="672"/>
    </row>
    <row r="28" spans="1:18" s="640" customFormat="1" ht="16.5">
      <c r="H28" s="660"/>
    </row>
    <row r="29" spans="1:18" s="640" customFormat="1" ht="16.5">
      <c r="K29" s="2259" t="s">
        <v>2480</v>
      </c>
      <c r="L29" s="2259"/>
      <c r="M29" s="2259"/>
      <c r="N29" s="2259" t="s">
        <v>3324</v>
      </c>
      <c r="O29" s="2259"/>
    </row>
    <row r="30" spans="1:18" s="640" customFormat="1" ht="16.5"/>
    <row r="31" spans="1:18" s="640" customFormat="1" ht="16.5"/>
    <row r="32" spans="1:18" s="640" customFormat="1" ht="16.5"/>
    <row r="33" spans="1:15" s="640" customFormat="1" ht="16.5"/>
    <row r="34" spans="1:15" s="640" customFormat="1" ht="16.5"/>
    <row r="35" spans="1:15" s="640" customFormat="1" ht="16.5"/>
    <row r="36" spans="1:15" s="640" customFormat="1" ht="16.5"/>
    <row r="37" spans="1:15" s="640" customFormat="1" ht="16.5"/>
    <row r="38" spans="1:15" s="640" customFormat="1" ht="16.5"/>
    <row r="39" spans="1:15" s="640" customFormat="1" ht="16.5"/>
    <row r="40" spans="1:15" s="640" customFormat="1" ht="16.5"/>
    <row r="41" spans="1:15" s="640" customFormat="1" ht="16.5"/>
    <row r="42" spans="1:15" s="640" customFormat="1" ht="16.5"/>
    <row r="43" spans="1:15" s="640" customFormat="1" ht="16.5">
      <c r="A43" s="643"/>
      <c r="B43" s="643"/>
      <c r="C43" s="643"/>
      <c r="D43" s="643"/>
      <c r="E43" s="643"/>
      <c r="F43" s="643"/>
      <c r="G43" s="643"/>
      <c r="H43" s="643"/>
      <c r="I43" s="643"/>
      <c r="J43" s="643"/>
      <c r="K43" s="643"/>
      <c r="L43" s="643"/>
      <c r="M43" s="643"/>
      <c r="N43" s="643"/>
      <c r="O43" s="643"/>
    </row>
  </sheetData>
  <mergeCells count="18">
    <mergeCell ref="B7:O7"/>
    <mergeCell ref="A10:B10"/>
    <mergeCell ref="A11:B11"/>
    <mergeCell ref="A12:B12"/>
    <mergeCell ref="B1:O1"/>
    <mergeCell ref="B2:O2"/>
    <mergeCell ref="B3:O3"/>
    <mergeCell ref="B5:F5"/>
    <mergeCell ref="K29:M29"/>
    <mergeCell ref="N29:O29"/>
    <mergeCell ref="M19:O19"/>
    <mergeCell ref="K20:O20"/>
    <mergeCell ref="A21:C21"/>
    <mergeCell ref="D21:F21"/>
    <mergeCell ref="G21:H21"/>
    <mergeCell ref="I21:J21"/>
    <mergeCell ref="K21:M21"/>
    <mergeCell ref="N21:O21"/>
  </mergeCells>
  <printOptions horizontalCentered="1"/>
  <pageMargins left="0" right="0" top="0.82677165354330695" bottom="0.62992125984252001" header="0.31496062992126" footer="0.31496062992126"/>
  <pageSetup paperSize="9" scale="80" orientation="landscape"/>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06"/>
  <sheetViews>
    <sheetView topLeftCell="A7" workbookViewId="0">
      <pane xSplit="2" ySplit="6" topLeftCell="C76" activePane="bottomRight" state="frozen"/>
      <selection pane="topRight"/>
      <selection pane="bottomLeft"/>
      <selection pane="bottomRight" activeCell="K24" sqref="K24"/>
    </sheetView>
  </sheetViews>
  <sheetFormatPr defaultColWidth="8.7109375" defaultRowHeight="15.75"/>
  <cols>
    <col min="1" max="1" width="5.42578125" style="397" customWidth="1"/>
    <col min="2" max="2" width="41.85546875" style="397" customWidth="1"/>
    <col min="3" max="3" width="9.28515625" style="398" customWidth="1"/>
    <col min="4" max="4" width="13.28515625" style="398" customWidth="1"/>
    <col min="5" max="5" width="14.7109375" style="437" customWidth="1"/>
    <col min="6" max="6" width="12" style="399" customWidth="1"/>
    <col min="7" max="7" width="18" style="400" customWidth="1"/>
    <col min="8" max="8" width="17.7109375" style="400" customWidth="1"/>
    <col min="9" max="9" width="10.140625" style="399" customWidth="1"/>
    <col min="10" max="10" width="20.28515625" style="399" customWidth="1"/>
    <col min="11" max="11" width="18" style="397" customWidth="1"/>
    <col min="12" max="12" width="17.28515625" style="397" customWidth="1"/>
    <col min="13" max="13" width="34.7109375" style="397" customWidth="1"/>
    <col min="14" max="14" width="21.85546875" style="397" customWidth="1"/>
    <col min="15" max="15" width="15.7109375" style="397" customWidth="1"/>
    <col min="16" max="16" width="17.7109375" style="397" customWidth="1"/>
    <col min="17" max="259" width="8.7109375" style="397"/>
    <col min="260" max="260" width="6.85546875" style="397" customWidth="1"/>
    <col min="261" max="261" width="39.28515625" style="397" customWidth="1"/>
    <col min="262" max="262" width="9.28515625" style="397" customWidth="1"/>
    <col min="263" max="263" width="10.7109375" style="397" customWidth="1"/>
    <col min="264" max="264" width="15" style="397" customWidth="1"/>
    <col min="265" max="265" width="10.42578125" style="397" customWidth="1"/>
    <col min="266" max="266" width="20.42578125" style="397" customWidth="1"/>
    <col min="267" max="267" width="20.7109375" style="397" customWidth="1"/>
    <col min="268" max="268" width="11.140625" style="397" customWidth="1"/>
    <col min="269" max="269" width="24" style="397" customWidth="1"/>
    <col min="270" max="270" width="20.28515625" style="397" customWidth="1"/>
    <col min="271" max="271" width="14.85546875" style="397" customWidth="1"/>
    <col min="272" max="272" width="11.28515625" style="397" customWidth="1"/>
    <col min="273" max="515" width="8.7109375" style="397"/>
    <col min="516" max="516" width="6.85546875" style="397" customWidth="1"/>
    <col min="517" max="517" width="39.28515625" style="397" customWidth="1"/>
    <col min="518" max="518" width="9.28515625" style="397" customWidth="1"/>
    <col min="519" max="519" width="10.7109375" style="397" customWidth="1"/>
    <col min="520" max="520" width="15" style="397" customWidth="1"/>
    <col min="521" max="521" width="10.42578125" style="397" customWidth="1"/>
    <col min="522" max="522" width="20.42578125" style="397" customWidth="1"/>
    <col min="523" max="523" width="20.7109375" style="397" customWidth="1"/>
    <col min="524" max="524" width="11.140625" style="397" customWidth="1"/>
    <col min="525" max="525" width="24" style="397" customWidth="1"/>
    <col min="526" max="526" width="20.28515625" style="397" customWidth="1"/>
    <col min="527" max="527" width="14.85546875" style="397" customWidth="1"/>
    <col min="528" max="528" width="11.28515625" style="397" customWidth="1"/>
    <col min="529" max="771" width="8.7109375" style="397"/>
    <col min="772" max="772" width="6.85546875" style="397" customWidth="1"/>
    <col min="773" max="773" width="39.28515625" style="397" customWidth="1"/>
    <col min="774" max="774" width="9.28515625" style="397" customWidth="1"/>
    <col min="775" max="775" width="10.7109375" style="397" customWidth="1"/>
    <col min="776" max="776" width="15" style="397" customWidth="1"/>
    <col min="777" max="777" width="10.42578125" style="397" customWidth="1"/>
    <col min="778" max="778" width="20.42578125" style="397" customWidth="1"/>
    <col min="779" max="779" width="20.7109375" style="397" customWidth="1"/>
    <col min="780" max="780" width="11.140625" style="397" customWidth="1"/>
    <col min="781" max="781" width="24" style="397" customWidth="1"/>
    <col min="782" max="782" width="20.28515625" style="397" customWidth="1"/>
    <col min="783" max="783" width="14.85546875" style="397" customWidth="1"/>
    <col min="784" max="784" width="11.28515625" style="397" customWidth="1"/>
    <col min="785" max="1027" width="8.7109375" style="397"/>
    <col min="1028" max="1028" width="6.85546875" style="397" customWidth="1"/>
    <col min="1029" max="1029" width="39.28515625" style="397" customWidth="1"/>
    <col min="1030" max="1030" width="9.28515625" style="397" customWidth="1"/>
    <col min="1031" max="1031" width="10.7109375" style="397" customWidth="1"/>
    <col min="1032" max="1032" width="15" style="397" customWidth="1"/>
    <col min="1033" max="1033" width="10.42578125" style="397" customWidth="1"/>
    <col min="1034" max="1034" width="20.42578125" style="397" customWidth="1"/>
    <col min="1035" max="1035" width="20.7109375" style="397" customWidth="1"/>
    <col min="1036" max="1036" width="11.140625" style="397" customWidth="1"/>
    <col min="1037" max="1037" width="24" style="397" customWidth="1"/>
    <col min="1038" max="1038" width="20.28515625" style="397" customWidth="1"/>
    <col min="1039" max="1039" width="14.85546875" style="397" customWidth="1"/>
    <col min="1040" max="1040" width="11.28515625" style="397" customWidth="1"/>
    <col min="1041" max="1283" width="8.7109375" style="397"/>
    <col min="1284" max="1284" width="6.85546875" style="397" customWidth="1"/>
    <col min="1285" max="1285" width="39.28515625" style="397" customWidth="1"/>
    <col min="1286" max="1286" width="9.28515625" style="397" customWidth="1"/>
    <col min="1287" max="1287" width="10.7109375" style="397" customWidth="1"/>
    <col min="1288" max="1288" width="15" style="397" customWidth="1"/>
    <col min="1289" max="1289" width="10.42578125" style="397" customWidth="1"/>
    <col min="1290" max="1290" width="20.42578125" style="397" customWidth="1"/>
    <col min="1291" max="1291" width="20.7109375" style="397" customWidth="1"/>
    <col min="1292" max="1292" width="11.140625" style="397" customWidth="1"/>
    <col min="1293" max="1293" width="24" style="397" customWidth="1"/>
    <col min="1294" max="1294" width="20.28515625" style="397" customWidth="1"/>
    <col min="1295" max="1295" width="14.85546875" style="397" customWidth="1"/>
    <col min="1296" max="1296" width="11.28515625" style="397" customWidth="1"/>
    <col min="1297" max="1539" width="8.7109375" style="397"/>
    <col min="1540" max="1540" width="6.85546875" style="397" customWidth="1"/>
    <col min="1541" max="1541" width="39.28515625" style="397" customWidth="1"/>
    <col min="1542" max="1542" width="9.28515625" style="397" customWidth="1"/>
    <col min="1543" max="1543" width="10.7109375" style="397" customWidth="1"/>
    <col min="1544" max="1544" width="15" style="397" customWidth="1"/>
    <col min="1545" max="1545" width="10.42578125" style="397" customWidth="1"/>
    <col min="1546" max="1546" width="20.42578125" style="397" customWidth="1"/>
    <col min="1547" max="1547" width="20.7109375" style="397" customWidth="1"/>
    <col min="1548" max="1548" width="11.140625" style="397" customWidth="1"/>
    <col min="1549" max="1549" width="24" style="397" customWidth="1"/>
    <col min="1550" max="1550" width="20.28515625" style="397" customWidth="1"/>
    <col min="1551" max="1551" width="14.85546875" style="397" customWidth="1"/>
    <col min="1552" max="1552" width="11.28515625" style="397" customWidth="1"/>
    <col min="1553" max="1795" width="8.7109375" style="397"/>
    <col min="1796" max="1796" width="6.85546875" style="397" customWidth="1"/>
    <col min="1797" max="1797" width="39.28515625" style="397" customWidth="1"/>
    <col min="1798" max="1798" width="9.28515625" style="397" customWidth="1"/>
    <col min="1799" max="1799" width="10.7109375" style="397" customWidth="1"/>
    <col min="1800" max="1800" width="15" style="397" customWidth="1"/>
    <col min="1801" max="1801" width="10.42578125" style="397" customWidth="1"/>
    <col min="1802" max="1802" width="20.42578125" style="397" customWidth="1"/>
    <col min="1803" max="1803" width="20.7109375" style="397" customWidth="1"/>
    <col min="1804" max="1804" width="11.140625" style="397" customWidth="1"/>
    <col min="1805" max="1805" width="24" style="397" customWidth="1"/>
    <col min="1806" max="1806" width="20.28515625" style="397" customWidth="1"/>
    <col min="1807" max="1807" width="14.85546875" style="397" customWidth="1"/>
    <col min="1808" max="1808" width="11.28515625" style="397" customWidth="1"/>
    <col min="1809" max="2051" width="8.7109375" style="397"/>
    <col min="2052" max="2052" width="6.85546875" style="397" customWidth="1"/>
    <col min="2053" max="2053" width="39.28515625" style="397" customWidth="1"/>
    <col min="2054" max="2054" width="9.28515625" style="397" customWidth="1"/>
    <col min="2055" max="2055" width="10.7109375" style="397" customWidth="1"/>
    <col min="2056" max="2056" width="15" style="397" customWidth="1"/>
    <col min="2057" max="2057" width="10.42578125" style="397" customWidth="1"/>
    <col min="2058" max="2058" width="20.42578125" style="397" customWidth="1"/>
    <col min="2059" max="2059" width="20.7109375" style="397" customWidth="1"/>
    <col min="2060" max="2060" width="11.140625" style="397" customWidth="1"/>
    <col min="2061" max="2061" width="24" style="397" customWidth="1"/>
    <col min="2062" max="2062" width="20.28515625" style="397" customWidth="1"/>
    <col min="2063" max="2063" width="14.85546875" style="397" customWidth="1"/>
    <col min="2064" max="2064" width="11.28515625" style="397" customWidth="1"/>
    <col min="2065" max="2307" width="8.7109375" style="397"/>
    <col min="2308" max="2308" width="6.85546875" style="397" customWidth="1"/>
    <col min="2309" max="2309" width="39.28515625" style="397" customWidth="1"/>
    <col min="2310" max="2310" width="9.28515625" style="397" customWidth="1"/>
    <col min="2311" max="2311" width="10.7109375" style="397" customWidth="1"/>
    <col min="2312" max="2312" width="15" style="397" customWidth="1"/>
    <col min="2313" max="2313" width="10.42578125" style="397" customWidth="1"/>
    <col min="2314" max="2314" width="20.42578125" style="397" customWidth="1"/>
    <col min="2315" max="2315" width="20.7109375" style="397" customWidth="1"/>
    <col min="2316" max="2316" width="11.140625" style="397" customWidth="1"/>
    <col min="2317" max="2317" width="24" style="397" customWidth="1"/>
    <col min="2318" max="2318" width="20.28515625" style="397" customWidth="1"/>
    <col min="2319" max="2319" width="14.85546875" style="397" customWidth="1"/>
    <col min="2320" max="2320" width="11.28515625" style="397" customWidth="1"/>
    <col min="2321" max="2563" width="8.7109375" style="397"/>
    <col min="2564" max="2564" width="6.85546875" style="397" customWidth="1"/>
    <col min="2565" max="2565" width="39.28515625" style="397" customWidth="1"/>
    <col min="2566" max="2566" width="9.28515625" style="397" customWidth="1"/>
    <col min="2567" max="2567" width="10.7109375" style="397" customWidth="1"/>
    <col min="2568" max="2568" width="15" style="397" customWidth="1"/>
    <col min="2569" max="2569" width="10.42578125" style="397" customWidth="1"/>
    <col min="2570" max="2570" width="20.42578125" style="397" customWidth="1"/>
    <col min="2571" max="2571" width="20.7109375" style="397" customWidth="1"/>
    <col min="2572" max="2572" width="11.140625" style="397" customWidth="1"/>
    <col min="2573" max="2573" width="24" style="397" customWidth="1"/>
    <col min="2574" max="2574" width="20.28515625" style="397" customWidth="1"/>
    <col min="2575" max="2575" width="14.85546875" style="397" customWidth="1"/>
    <col min="2576" max="2576" width="11.28515625" style="397" customWidth="1"/>
    <col min="2577" max="2819" width="8.7109375" style="397"/>
    <col min="2820" max="2820" width="6.85546875" style="397" customWidth="1"/>
    <col min="2821" max="2821" width="39.28515625" style="397" customWidth="1"/>
    <col min="2822" max="2822" width="9.28515625" style="397" customWidth="1"/>
    <col min="2823" max="2823" width="10.7109375" style="397" customWidth="1"/>
    <col min="2824" max="2824" width="15" style="397" customWidth="1"/>
    <col min="2825" max="2825" width="10.42578125" style="397" customWidth="1"/>
    <col min="2826" max="2826" width="20.42578125" style="397" customWidth="1"/>
    <col min="2827" max="2827" width="20.7109375" style="397" customWidth="1"/>
    <col min="2828" max="2828" width="11.140625" style="397" customWidth="1"/>
    <col min="2829" max="2829" width="24" style="397" customWidth="1"/>
    <col min="2830" max="2830" width="20.28515625" style="397" customWidth="1"/>
    <col min="2831" max="2831" width="14.85546875" style="397" customWidth="1"/>
    <col min="2832" max="2832" width="11.28515625" style="397" customWidth="1"/>
    <col min="2833" max="3075" width="8.7109375" style="397"/>
    <col min="3076" max="3076" width="6.85546875" style="397" customWidth="1"/>
    <col min="3077" max="3077" width="39.28515625" style="397" customWidth="1"/>
    <col min="3078" max="3078" width="9.28515625" style="397" customWidth="1"/>
    <col min="3079" max="3079" width="10.7109375" style="397" customWidth="1"/>
    <col min="3080" max="3080" width="15" style="397" customWidth="1"/>
    <col min="3081" max="3081" width="10.42578125" style="397" customWidth="1"/>
    <col min="3082" max="3082" width="20.42578125" style="397" customWidth="1"/>
    <col min="3083" max="3083" width="20.7109375" style="397" customWidth="1"/>
    <col min="3084" max="3084" width="11.140625" style="397" customWidth="1"/>
    <col min="3085" max="3085" width="24" style="397" customWidth="1"/>
    <col min="3086" max="3086" width="20.28515625" style="397" customWidth="1"/>
    <col min="3087" max="3087" width="14.85546875" style="397" customWidth="1"/>
    <col min="3088" max="3088" width="11.28515625" style="397" customWidth="1"/>
    <col min="3089" max="3331" width="8.7109375" style="397"/>
    <col min="3332" max="3332" width="6.85546875" style="397" customWidth="1"/>
    <col min="3333" max="3333" width="39.28515625" style="397" customWidth="1"/>
    <col min="3334" max="3334" width="9.28515625" style="397" customWidth="1"/>
    <col min="3335" max="3335" width="10.7109375" style="397" customWidth="1"/>
    <col min="3336" max="3336" width="15" style="397" customWidth="1"/>
    <col min="3337" max="3337" width="10.42578125" style="397" customWidth="1"/>
    <col min="3338" max="3338" width="20.42578125" style="397" customWidth="1"/>
    <col min="3339" max="3339" width="20.7109375" style="397" customWidth="1"/>
    <col min="3340" max="3340" width="11.140625" style="397" customWidth="1"/>
    <col min="3341" max="3341" width="24" style="397" customWidth="1"/>
    <col min="3342" max="3342" width="20.28515625" style="397" customWidth="1"/>
    <col min="3343" max="3343" width="14.85546875" style="397" customWidth="1"/>
    <col min="3344" max="3344" width="11.28515625" style="397" customWidth="1"/>
    <col min="3345" max="3587" width="8.7109375" style="397"/>
    <col min="3588" max="3588" width="6.85546875" style="397" customWidth="1"/>
    <col min="3589" max="3589" width="39.28515625" style="397" customWidth="1"/>
    <col min="3590" max="3590" width="9.28515625" style="397" customWidth="1"/>
    <col min="3591" max="3591" width="10.7109375" style="397" customWidth="1"/>
    <col min="3592" max="3592" width="15" style="397" customWidth="1"/>
    <col min="3593" max="3593" width="10.42578125" style="397" customWidth="1"/>
    <col min="3594" max="3594" width="20.42578125" style="397" customWidth="1"/>
    <col min="3595" max="3595" width="20.7109375" style="397" customWidth="1"/>
    <col min="3596" max="3596" width="11.140625" style="397" customWidth="1"/>
    <col min="3597" max="3597" width="24" style="397" customWidth="1"/>
    <col min="3598" max="3598" width="20.28515625" style="397" customWidth="1"/>
    <col min="3599" max="3599" width="14.85546875" style="397" customWidth="1"/>
    <col min="3600" max="3600" width="11.28515625" style="397" customWidth="1"/>
    <col min="3601" max="3843" width="8.7109375" style="397"/>
    <col min="3844" max="3844" width="6.85546875" style="397" customWidth="1"/>
    <col min="3845" max="3845" width="39.28515625" style="397" customWidth="1"/>
    <col min="3846" max="3846" width="9.28515625" style="397" customWidth="1"/>
    <col min="3847" max="3847" width="10.7109375" style="397" customWidth="1"/>
    <col min="3848" max="3848" width="15" style="397" customWidth="1"/>
    <col min="3849" max="3849" width="10.42578125" style="397" customWidth="1"/>
    <col min="3850" max="3850" width="20.42578125" style="397" customWidth="1"/>
    <col min="3851" max="3851" width="20.7109375" style="397" customWidth="1"/>
    <col min="3852" max="3852" width="11.140625" style="397" customWidth="1"/>
    <col min="3853" max="3853" width="24" style="397" customWidth="1"/>
    <col min="3854" max="3854" width="20.28515625" style="397" customWidth="1"/>
    <col min="3855" max="3855" width="14.85546875" style="397" customWidth="1"/>
    <col min="3856" max="3856" width="11.28515625" style="397" customWidth="1"/>
    <col min="3857" max="4099" width="8.7109375" style="397"/>
    <col min="4100" max="4100" width="6.85546875" style="397" customWidth="1"/>
    <col min="4101" max="4101" width="39.28515625" style="397" customWidth="1"/>
    <col min="4102" max="4102" width="9.28515625" style="397" customWidth="1"/>
    <col min="4103" max="4103" width="10.7109375" style="397" customWidth="1"/>
    <col min="4104" max="4104" width="15" style="397" customWidth="1"/>
    <col min="4105" max="4105" width="10.42578125" style="397" customWidth="1"/>
    <col min="4106" max="4106" width="20.42578125" style="397" customWidth="1"/>
    <col min="4107" max="4107" width="20.7109375" style="397" customWidth="1"/>
    <col min="4108" max="4108" width="11.140625" style="397" customWidth="1"/>
    <col min="4109" max="4109" width="24" style="397" customWidth="1"/>
    <col min="4110" max="4110" width="20.28515625" style="397" customWidth="1"/>
    <col min="4111" max="4111" width="14.85546875" style="397" customWidth="1"/>
    <col min="4112" max="4112" width="11.28515625" style="397" customWidth="1"/>
    <col min="4113" max="4355" width="8.7109375" style="397"/>
    <col min="4356" max="4356" width="6.85546875" style="397" customWidth="1"/>
    <col min="4357" max="4357" width="39.28515625" style="397" customWidth="1"/>
    <col min="4358" max="4358" width="9.28515625" style="397" customWidth="1"/>
    <col min="4359" max="4359" width="10.7109375" style="397" customWidth="1"/>
    <col min="4360" max="4360" width="15" style="397" customWidth="1"/>
    <col min="4361" max="4361" width="10.42578125" style="397" customWidth="1"/>
    <col min="4362" max="4362" width="20.42578125" style="397" customWidth="1"/>
    <col min="4363" max="4363" width="20.7109375" style="397" customWidth="1"/>
    <col min="4364" max="4364" width="11.140625" style="397" customWidth="1"/>
    <col min="4365" max="4365" width="24" style="397" customWidth="1"/>
    <col min="4366" max="4366" width="20.28515625" style="397" customWidth="1"/>
    <col min="4367" max="4367" width="14.85546875" style="397" customWidth="1"/>
    <col min="4368" max="4368" width="11.28515625" style="397" customWidth="1"/>
    <col min="4369" max="4611" width="8.7109375" style="397"/>
    <col min="4612" max="4612" width="6.85546875" style="397" customWidth="1"/>
    <col min="4613" max="4613" width="39.28515625" style="397" customWidth="1"/>
    <col min="4614" max="4614" width="9.28515625" style="397" customWidth="1"/>
    <col min="4615" max="4615" width="10.7109375" style="397" customWidth="1"/>
    <col min="4616" max="4616" width="15" style="397" customWidth="1"/>
    <col min="4617" max="4617" width="10.42578125" style="397" customWidth="1"/>
    <col min="4618" max="4618" width="20.42578125" style="397" customWidth="1"/>
    <col min="4619" max="4619" width="20.7109375" style="397" customWidth="1"/>
    <col min="4620" max="4620" width="11.140625" style="397" customWidth="1"/>
    <col min="4621" max="4621" width="24" style="397" customWidth="1"/>
    <col min="4622" max="4622" width="20.28515625" style="397" customWidth="1"/>
    <col min="4623" max="4623" width="14.85546875" style="397" customWidth="1"/>
    <col min="4624" max="4624" width="11.28515625" style="397" customWidth="1"/>
    <col min="4625" max="4867" width="8.7109375" style="397"/>
    <col min="4868" max="4868" width="6.85546875" style="397" customWidth="1"/>
    <col min="4869" max="4869" width="39.28515625" style="397" customWidth="1"/>
    <col min="4870" max="4870" width="9.28515625" style="397" customWidth="1"/>
    <col min="4871" max="4871" width="10.7109375" style="397" customWidth="1"/>
    <col min="4872" max="4872" width="15" style="397" customWidth="1"/>
    <col min="4873" max="4873" width="10.42578125" style="397" customWidth="1"/>
    <col min="4874" max="4874" width="20.42578125" style="397" customWidth="1"/>
    <col min="4875" max="4875" width="20.7109375" style="397" customWidth="1"/>
    <col min="4876" max="4876" width="11.140625" style="397" customWidth="1"/>
    <col min="4877" max="4877" width="24" style="397" customWidth="1"/>
    <col min="4878" max="4878" width="20.28515625" style="397" customWidth="1"/>
    <col min="4879" max="4879" width="14.85546875" style="397" customWidth="1"/>
    <col min="4880" max="4880" width="11.28515625" style="397" customWidth="1"/>
    <col min="4881" max="5123" width="8.7109375" style="397"/>
    <col min="5124" max="5124" width="6.85546875" style="397" customWidth="1"/>
    <col min="5125" max="5125" width="39.28515625" style="397" customWidth="1"/>
    <col min="5126" max="5126" width="9.28515625" style="397" customWidth="1"/>
    <col min="5127" max="5127" width="10.7109375" style="397" customWidth="1"/>
    <col min="5128" max="5128" width="15" style="397" customWidth="1"/>
    <col min="5129" max="5129" width="10.42578125" style="397" customWidth="1"/>
    <col min="5130" max="5130" width="20.42578125" style="397" customWidth="1"/>
    <col min="5131" max="5131" width="20.7109375" style="397" customWidth="1"/>
    <col min="5132" max="5132" width="11.140625" style="397" customWidth="1"/>
    <col min="5133" max="5133" width="24" style="397" customWidth="1"/>
    <col min="5134" max="5134" width="20.28515625" style="397" customWidth="1"/>
    <col min="5135" max="5135" width="14.85546875" style="397" customWidth="1"/>
    <col min="5136" max="5136" width="11.28515625" style="397" customWidth="1"/>
    <col min="5137" max="5379" width="8.7109375" style="397"/>
    <col min="5380" max="5380" width="6.85546875" style="397" customWidth="1"/>
    <col min="5381" max="5381" width="39.28515625" style="397" customWidth="1"/>
    <col min="5382" max="5382" width="9.28515625" style="397" customWidth="1"/>
    <col min="5383" max="5383" width="10.7109375" style="397" customWidth="1"/>
    <col min="5384" max="5384" width="15" style="397" customWidth="1"/>
    <col min="5385" max="5385" width="10.42578125" style="397" customWidth="1"/>
    <col min="5386" max="5386" width="20.42578125" style="397" customWidth="1"/>
    <col min="5387" max="5387" width="20.7109375" style="397" customWidth="1"/>
    <col min="5388" max="5388" width="11.140625" style="397" customWidth="1"/>
    <col min="5389" max="5389" width="24" style="397" customWidth="1"/>
    <col min="5390" max="5390" width="20.28515625" style="397" customWidth="1"/>
    <col min="5391" max="5391" width="14.85546875" style="397" customWidth="1"/>
    <col min="5392" max="5392" width="11.28515625" style="397" customWidth="1"/>
    <col min="5393" max="5635" width="8.7109375" style="397"/>
    <col min="5636" max="5636" width="6.85546875" style="397" customWidth="1"/>
    <col min="5637" max="5637" width="39.28515625" style="397" customWidth="1"/>
    <col min="5638" max="5638" width="9.28515625" style="397" customWidth="1"/>
    <col min="5639" max="5639" width="10.7109375" style="397" customWidth="1"/>
    <col min="5640" max="5640" width="15" style="397" customWidth="1"/>
    <col min="5641" max="5641" width="10.42578125" style="397" customWidth="1"/>
    <col min="5642" max="5642" width="20.42578125" style="397" customWidth="1"/>
    <col min="5643" max="5643" width="20.7109375" style="397" customWidth="1"/>
    <col min="5644" max="5644" width="11.140625" style="397" customWidth="1"/>
    <col min="5645" max="5645" width="24" style="397" customWidth="1"/>
    <col min="5646" max="5646" width="20.28515625" style="397" customWidth="1"/>
    <col min="5647" max="5647" width="14.85546875" style="397" customWidth="1"/>
    <col min="5648" max="5648" width="11.28515625" style="397" customWidth="1"/>
    <col min="5649" max="5891" width="8.7109375" style="397"/>
    <col min="5892" max="5892" width="6.85546875" style="397" customWidth="1"/>
    <col min="5893" max="5893" width="39.28515625" style="397" customWidth="1"/>
    <col min="5894" max="5894" width="9.28515625" style="397" customWidth="1"/>
    <col min="5895" max="5895" width="10.7109375" style="397" customWidth="1"/>
    <col min="5896" max="5896" width="15" style="397" customWidth="1"/>
    <col min="5897" max="5897" width="10.42578125" style="397" customWidth="1"/>
    <col min="5898" max="5898" width="20.42578125" style="397" customWidth="1"/>
    <col min="5899" max="5899" width="20.7109375" style="397" customWidth="1"/>
    <col min="5900" max="5900" width="11.140625" style="397" customWidth="1"/>
    <col min="5901" max="5901" width="24" style="397" customWidth="1"/>
    <col min="5902" max="5902" width="20.28515625" style="397" customWidth="1"/>
    <col min="5903" max="5903" width="14.85546875" style="397" customWidth="1"/>
    <col min="5904" max="5904" width="11.28515625" style="397" customWidth="1"/>
    <col min="5905" max="6147" width="8.7109375" style="397"/>
    <col min="6148" max="6148" width="6.85546875" style="397" customWidth="1"/>
    <col min="6149" max="6149" width="39.28515625" style="397" customWidth="1"/>
    <col min="6150" max="6150" width="9.28515625" style="397" customWidth="1"/>
    <col min="6151" max="6151" width="10.7109375" style="397" customWidth="1"/>
    <col min="6152" max="6152" width="15" style="397" customWidth="1"/>
    <col min="6153" max="6153" width="10.42578125" style="397" customWidth="1"/>
    <col min="6154" max="6154" width="20.42578125" style="397" customWidth="1"/>
    <col min="6155" max="6155" width="20.7109375" style="397" customWidth="1"/>
    <col min="6156" max="6156" width="11.140625" style="397" customWidth="1"/>
    <col min="6157" max="6157" width="24" style="397" customWidth="1"/>
    <col min="6158" max="6158" width="20.28515625" style="397" customWidth="1"/>
    <col min="6159" max="6159" width="14.85546875" style="397" customWidth="1"/>
    <col min="6160" max="6160" width="11.28515625" style="397" customWidth="1"/>
    <col min="6161" max="6403" width="8.7109375" style="397"/>
    <col min="6404" max="6404" width="6.85546875" style="397" customWidth="1"/>
    <col min="6405" max="6405" width="39.28515625" style="397" customWidth="1"/>
    <col min="6406" max="6406" width="9.28515625" style="397" customWidth="1"/>
    <col min="6407" max="6407" width="10.7109375" style="397" customWidth="1"/>
    <col min="6408" max="6408" width="15" style="397" customWidth="1"/>
    <col min="6409" max="6409" width="10.42578125" style="397" customWidth="1"/>
    <col min="6410" max="6410" width="20.42578125" style="397" customWidth="1"/>
    <col min="6411" max="6411" width="20.7109375" style="397" customWidth="1"/>
    <col min="6412" max="6412" width="11.140625" style="397" customWidth="1"/>
    <col min="6413" max="6413" width="24" style="397" customWidth="1"/>
    <col min="6414" max="6414" width="20.28515625" style="397" customWidth="1"/>
    <col min="6415" max="6415" width="14.85546875" style="397" customWidth="1"/>
    <col min="6416" max="6416" width="11.28515625" style="397" customWidth="1"/>
    <col min="6417" max="6659" width="8.7109375" style="397"/>
    <col min="6660" max="6660" width="6.85546875" style="397" customWidth="1"/>
    <col min="6661" max="6661" width="39.28515625" style="397" customWidth="1"/>
    <col min="6662" max="6662" width="9.28515625" style="397" customWidth="1"/>
    <col min="6663" max="6663" width="10.7109375" style="397" customWidth="1"/>
    <col min="6664" max="6664" width="15" style="397" customWidth="1"/>
    <col min="6665" max="6665" width="10.42578125" style="397" customWidth="1"/>
    <col min="6666" max="6666" width="20.42578125" style="397" customWidth="1"/>
    <col min="6667" max="6667" width="20.7109375" style="397" customWidth="1"/>
    <col min="6668" max="6668" width="11.140625" style="397" customWidth="1"/>
    <col min="6669" max="6669" width="24" style="397" customWidth="1"/>
    <col min="6670" max="6670" width="20.28515625" style="397" customWidth="1"/>
    <col min="6671" max="6671" width="14.85546875" style="397" customWidth="1"/>
    <col min="6672" max="6672" width="11.28515625" style="397" customWidth="1"/>
    <col min="6673" max="6915" width="8.7109375" style="397"/>
    <col min="6916" max="6916" width="6.85546875" style="397" customWidth="1"/>
    <col min="6917" max="6917" width="39.28515625" style="397" customWidth="1"/>
    <col min="6918" max="6918" width="9.28515625" style="397" customWidth="1"/>
    <col min="6919" max="6919" width="10.7109375" style="397" customWidth="1"/>
    <col min="6920" max="6920" width="15" style="397" customWidth="1"/>
    <col min="6921" max="6921" width="10.42578125" style="397" customWidth="1"/>
    <col min="6922" max="6922" width="20.42578125" style="397" customWidth="1"/>
    <col min="6923" max="6923" width="20.7109375" style="397" customWidth="1"/>
    <col min="6924" max="6924" width="11.140625" style="397" customWidth="1"/>
    <col min="6925" max="6925" width="24" style="397" customWidth="1"/>
    <col min="6926" max="6926" width="20.28515625" style="397" customWidth="1"/>
    <col min="6927" max="6927" width="14.85546875" style="397" customWidth="1"/>
    <col min="6928" max="6928" width="11.28515625" style="397" customWidth="1"/>
    <col min="6929" max="7171" width="8.7109375" style="397"/>
    <col min="7172" max="7172" width="6.85546875" style="397" customWidth="1"/>
    <col min="7173" max="7173" width="39.28515625" style="397" customWidth="1"/>
    <col min="7174" max="7174" width="9.28515625" style="397" customWidth="1"/>
    <col min="7175" max="7175" width="10.7109375" style="397" customWidth="1"/>
    <col min="7176" max="7176" width="15" style="397" customWidth="1"/>
    <col min="7177" max="7177" width="10.42578125" style="397" customWidth="1"/>
    <col min="7178" max="7178" width="20.42578125" style="397" customWidth="1"/>
    <col min="7179" max="7179" width="20.7109375" style="397" customWidth="1"/>
    <col min="7180" max="7180" width="11.140625" style="397" customWidth="1"/>
    <col min="7181" max="7181" width="24" style="397" customWidth="1"/>
    <col min="7182" max="7182" width="20.28515625" style="397" customWidth="1"/>
    <col min="7183" max="7183" width="14.85546875" style="397" customWidth="1"/>
    <col min="7184" max="7184" width="11.28515625" style="397" customWidth="1"/>
    <col min="7185" max="7427" width="8.7109375" style="397"/>
    <col min="7428" max="7428" width="6.85546875" style="397" customWidth="1"/>
    <col min="7429" max="7429" width="39.28515625" style="397" customWidth="1"/>
    <col min="7430" max="7430" width="9.28515625" style="397" customWidth="1"/>
    <col min="7431" max="7431" width="10.7109375" style="397" customWidth="1"/>
    <col min="7432" max="7432" width="15" style="397" customWidth="1"/>
    <col min="7433" max="7433" width="10.42578125" style="397" customWidth="1"/>
    <col min="7434" max="7434" width="20.42578125" style="397" customWidth="1"/>
    <col min="7435" max="7435" width="20.7109375" style="397" customWidth="1"/>
    <col min="7436" max="7436" width="11.140625" style="397" customWidth="1"/>
    <col min="7437" max="7437" width="24" style="397" customWidth="1"/>
    <col min="7438" max="7438" width="20.28515625" style="397" customWidth="1"/>
    <col min="7439" max="7439" width="14.85546875" style="397" customWidth="1"/>
    <col min="7440" max="7440" width="11.28515625" style="397" customWidth="1"/>
    <col min="7441" max="7683" width="8.7109375" style="397"/>
    <col min="7684" max="7684" width="6.85546875" style="397" customWidth="1"/>
    <col min="7685" max="7685" width="39.28515625" style="397" customWidth="1"/>
    <col min="7686" max="7686" width="9.28515625" style="397" customWidth="1"/>
    <col min="7687" max="7687" width="10.7109375" style="397" customWidth="1"/>
    <col min="7688" max="7688" width="15" style="397" customWidth="1"/>
    <col min="7689" max="7689" width="10.42578125" style="397" customWidth="1"/>
    <col min="7690" max="7690" width="20.42578125" style="397" customWidth="1"/>
    <col min="7691" max="7691" width="20.7109375" style="397" customWidth="1"/>
    <col min="7692" max="7692" width="11.140625" style="397" customWidth="1"/>
    <col min="7693" max="7693" width="24" style="397" customWidth="1"/>
    <col min="7694" max="7694" width="20.28515625" style="397" customWidth="1"/>
    <col min="7695" max="7695" width="14.85546875" style="397" customWidth="1"/>
    <col min="7696" max="7696" width="11.28515625" style="397" customWidth="1"/>
    <col min="7697" max="7939" width="8.7109375" style="397"/>
    <col min="7940" max="7940" width="6.85546875" style="397" customWidth="1"/>
    <col min="7941" max="7941" width="39.28515625" style="397" customWidth="1"/>
    <col min="7942" max="7942" width="9.28515625" style="397" customWidth="1"/>
    <col min="7943" max="7943" width="10.7109375" style="397" customWidth="1"/>
    <col min="7944" max="7944" width="15" style="397" customWidth="1"/>
    <col min="7945" max="7945" width="10.42578125" style="397" customWidth="1"/>
    <col min="7946" max="7946" width="20.42578125" style="397" customWidth="1"/>
    <col min="7947" max="7947" width="20.7109375" style="397" customWidth="1"/>
    <col min="7948" max="7948" width="11.140625" style="397" customWidth="1"/>
    <col min="7949" max="7949" width="24" style="397" customWidth="1"/>
    <col min="7950" max="7950" width="20.28515625" style="397" customWidth="1"/>
    <col min="7951" max="7951" width="14.85546875" style="397" customWidth="1"/>
    <col min="7952" max="7952" width="11.28515625" style="397" customWidth="1"/>
    <col min="7953" max="8195" width="8.7109375" style="397"/>
    <col min="8196" max="8196" width="6.85546875" style="397" customWidth="1"/>
    <col min="8197" max="8197" width="39.28515625" style="397" customWidth="1"/>
    <col min="8198" max="8198" width="9.28515625" style="397" customWidth="1"/>
    <col min="8199" max="8199" width="10.7109375" style="397" customWidth="1"/>
    <col min="8200" max="8200" width="15" style="397" customWidth="1"/>
    <col min="8201" max="8201" width="10.42578125" style="397" customWidth="1"/>
    <col min="8202" max="8202" width="20.42578125" style="397" customWidth="1"/>
    <col min="8203" max="8203" width="20.7109375" style="397" customWidth="1"/>
    <col min="8204" max="8204" width="11.140625" style="397" customWidth="1"/>
    <col min="8205" max="8205" width="24" style="397" customWidth="1"/>
    <col min="8206" max="8206" width="20.28515625" style="397" customWidth="1"/>
    <col min="8207" max="8207" width="14.85546875" style="397" customWidth="1"/>
    <col min="8208" max="8208" width="11.28515625" style="397" customWidth="1"/>
    <col min="8209" max="8451" width="8.7109375" style="397"/>
    <col min="8452" max="8452" width="6.85546875" style="397" customWidth="1"/>
    <col min="8453" max="8453" width="39.28515625" style="397" customWidth="1"/>
    <col min="8454" max="8454" width="9.28515625" style="397" customWidth="1"/>
    <col min="8455" max="8455" width="10.7109375" style="397" customWidth="1"/>
    <col min="8456" max="8456" width="15" style="397" customWidth="1"/>
    <col min="8457" max="8457" width="10.42578125" style="397" customWidth="1"/>
    <col min="8458" max="8458" width="20.42578125" style="397" customWidth="1"/>
    <col min="8459" max="8459" width="20.7109375" style="397" customWidth="1"/>
    <col min="8460" max="8460" width="11.140625" style="397" customWidth="1"/>
    <col min="8461" max="8461" width="24" style="397" customWidth="1"/>
    <col min="8462" max="8462" width="20.28515625" style="397" customWidth="1"/>
    <col min="8463" max="8463" width="14.85546875" style="397" customWidth="1"/>
    <col min="8464" max="8464" width="11.28515625" style="397" customWidth="1"/>
    <col min="8465" max="8707" width="8.7109375" style="397"/>
    <col min="8708" max="8708" width="6.85546875" style="397" customWidth="1"/>
    <col min="8709" max="8709" width="39.28515625" style="397" customWidth="1"/>
    <col min="8710" max="8710" width="9.28515625" style="397" customWidth="1"/>
    <col min="8711" max="8711" width="10.7109375" style="397" customWidth="1"/>
    <col min="8712" max="8712" width="15" style="397" customWidth="1"/>
    <col min="8713" max="8713" width="10.42578125" style="397" customWidth="1"/>
    <col min="8714" max="8714" width="20.42578125" style="397" customWidth="1"/>
    <col min="8715" max="8715" width="20.7109375" style="397" customWidth="1"/>
    <col min="8716" max="8716" width="11.140625" style="397" customWidth="1"/>
    <col min="8717" max="8717" width="24" style="397" customWidth="1"/>
    <col min="8718" max="8718" width="20.28515625" style="397" customWidth="1"/>
    <col min="8719" max="8719" width="14.85546875" style="397" customWidth="1"/>
    <col min="8720" max="8720" width="11.28515625" style="397" customWidth="1"/>
    <col min="8721" max="8963" width="8.7109375" style="397"/>
    <col min="8964" max="8964" width="6.85546875" style="397" customWidth="1"/>
    <col min="8965" max="8965" width="39.28515625" style="397" customWidth="1"/>
    <col min="8966" max="8966" width="9.28515625" style="397" customWidth="1"/>
    <col min="8967" max="8967" width="10.7109375" style="397" customWidth="1"/>
    <col min="8968" max="8968" width="15" style="397" customWidth="1"/>
    <col min="8969" max="8969" width="10.42578125" style="397" customWidth="1"/>
    <col min="8970" max="8970" width="20.42578125" style="397" customWidth="1"/>
    <col min="8971" max="8971" width="20.7109375" style="397" customWidth="1"/>
    <col min="8972" max="8972" width="11.140625" style="397" customWidth="1"/>
    <col min="8973" max="8973" width="24" style="397" customWidth="1"/>
    <col min="8974" max="8974" width="20.28515625" style="397" customWidth="1"/>
    <col min="8975" max="8975" width="14.85546875" style="397" customWidth="1"/>
    <col min="8976" max="8976" width="11.28515625" style="397" customWidth="1"/>
    <col min="8977" max="9219" width="8.7109375" style="397"/>
    <col min="9220" max="9220" width="6.85546875" style="397" customWidth="1"/>
    <col min="9221" max="9221" width="39.28515625" style="397" customWidth="1"/>
    <col min="9222" max="9222" width="9.28515625" style="397" customWidth="1"/>
    <col min="9223" max="9223" width="10.7109375" style="397" customWidth="1"/>
    <col min="9224" max="9224" width="15" style="397" customWidth="1"/>
    <col min="9225" max="9225" width="10.42578125" style="397" customWidth="1"/>
    <col min="9226" max="9226" width="20.42578125" style="397" customWidth="1"/>
    <col min="9227" max="9227" width="20.7109375" style="397" customWidth="1"/>
    <col min="9228" max="9228" width="11.140625" style="397" customWidth="1"/>
    <col min="9229" max="9229" width="24" style="397" customWidth="1"/>
    <col min="9230" max="9230" width="20.28515625" style="397" customWidth="1"/>
    <col min="9231" max="9231" width="14.85546875" style="397" customWidth="1"/>
    <col min="9232" max="9232" width="11.28515625" style="397" customWidth="1"/>
    <col min="9233" max="9475" width="8.7109375" style="397"/>
    <col min="9476" max="9476" width="6.85546875" style="397" customWidth="1"/>
    <col min="9477" max="9477" width="39.28515625" style="397" customWidth="1"/>
    <col min="9478" max="9478" width="9.28515625" style="397" customWidth="1"/>
    <col min="9479" max="9479" width="10.7109375" style="397" customWidth="1"/>
    <col min="9480" max="9480" width="15" style="397" customWidth="1"/>
    <col min="9481" max="9481" width="10.42578125" style="397" customWidth="1"/>
    <col min="9482" max="9482" width="20.42578125" style="397" customWidth="1"/>
    <col min="9483" max="9483" width="20.7109375" style="397" customWidth="1"/>
    <col min="9484" max="9484" width="11.140625" style="397" customWidth="1"/>
    <col min="9485" max="9485" width="24" style="397" customWidth="1"/>
    <col min="9486" max="9486" width="20.28515625" style="397" customWidth="1"/>
    <col min="9487" max="9487" width="14.85546875" style="397" customWidth="1"/>
    <col min="9488" max="9488" width="11.28515625" style="397" customWidth="1"/>
    <col min="9489" max="9731" width="8.7109375" style="397"/>
    <col min="9732" max="9732" width="6.85546875" style="397" customWidth="1"/>
    <col min="9733" max="9733" width="39.28515625" style="397" customWidth="1"/>
    <col min="9734" max="9734" width="9.28515625" style="397" customWidth="1"/>
    <col min="9735" max="9735" width="10.7109375" style="397" customWidth="1"/>
    <col min="9736" max="9736" width="15" style="397" customWidth="1"/>
    <col min="9737" max="9737" width="10.42578125" style="397" customWidth="1"/>
    <col min="9738" max="9738" width="20.42578125" style="397" customWidth="1"/>
    <col min="9739" max="9739" width="20.7109375" style="397" customWidth="1"/>
    <col min="9740" max="9740" width="11.140625" style="397" customWidth="1"/>
    <col min="9741" max="9741" width="24" style="397" customWidth="1"/>
    <col min="9742" max="9742" width="20.28515625" style="397" customWidth="1"/>
    <col min="9743" max="9743" width="14.85546875" style="397" customWidth="1"/>
    <col min="9744" max="9744" width="11.28515625" style="397" customWidth="1"/>
    <col min="9745" max="9987" width="8.7109375" style="397"/>
    <col min="9988" max="9988" width="6.85546875" style="397" customWidth="1"/>
    <col min="9989" max="9989" width="39.28515625" style="397" customWidth="1"/>
    <col min="9990" max="9990" width="9.28515625" style="397" customWidth="1"/>
    <col min="9991" max="9991" width="10.7109375" style="397" customWidth="1"/>
    <col min="9992" max="9992" width="15" style="397" customWidth="1"/>
    <col min="9993" max="9993" width="10.42578125" style="397" customWidth="1"/>
    <col min="9994" max="9994" width="20.42578125" style="397" customWidth="1"/>
    <col min="9995" max="9995" width="20.7109375" style="397" customWidth="1"/>
    <col min="9996" max="9996" width="11.140625" style="397" customWidth="1"/>
    <col min="9997" max="9997" width="24" style="397" customWidth="1"/>
    <col min="9998" max="9998" width="20.28515625" style="397" customWidth="1"/>
    <col min="9999" max="9999" width="14.85546875" style="397" customWidth="1"/>
    <col min="10000" max="10000" width="11.28515625" style="397" customWidth="1"/>
    <col min="10001" max="10243" width="8.7109375" style="397"/>
    <col min="10244" max="10244" width="6.85546875" style="397" customWidth="1"/>
    <col min="10245" max="10245" width="39.28515625" style="397" customWidth="1"/>
    <col min="10246" max="10246" width="9.28515625" style="397" customWidth="1"/>
    <col min="10247" max="10247" width="10.7109375" style="397" customWidth="1"/>
    <col min="10248" max="10248" width="15" style="397" customWidth="1"/>
    <col min="10249" max="10249" width="10.42578125" style="397" customWidth="1"/>
    <col min="10250" max="10250" width="20.42578125" style="397" customWidth="1"/>
    <col min="10251" max="10251" width="20.7109375" style="397" customWidth="1"/>
    <col min="10252" max="10252" width="11.140625" style="397" customWidth="1"/>
    <col min="10253" max="10253" width="24" style="397" customWidth="1"/>
    <col min="10254" max="10254" width="20.28515625" style="397" customWidth="1"/>
    <col min="10255" max="10255" width="14.85546875" style="397" customWidth="1"/>
    <col min="10256" max="10256" width="11.28515625" style="397" customWidth="1"/>
    <col min="10257" max="10499" width="8.7109375" style="397"/>
    <col min="10500" max="10500" width="6.85546875" style="397" customWidth="1"/>
    <col min="10501" max="10501" width="39.28515625" style="397" customWidth="1"/>
    <col min="10502" max="10502" width="9.28515625" style="397" customWidth="1"/>
    <col min="10503" max="10503" width="10.7109375" style="397" customWidth="1"/>
    <col min="10504" max="10504" width="15" style="397" customWidth="1"/>
    <col min="10505" max="10505" width="10.42578125" style="397" customWidth="1"/>
    <col min="10506" max="10506" width="20.42578125" style="397" customWidth="1"/>
    <col min="10507" max="10507" width="20.7109375" style="397" customWidth="1"/>
    <col min="10508" max="10508" width="11.140625" style="397" customWidth="1"/>
    <col min="10509" max="10509" width="24" style="397" customWidth="1"/>
    <col min="10510" max="10510" width="20.28515625" style="397" customWidth="1"/>
    <col min="10511" max="10511" width="14.85546875" style="397" customWidth="1"/>
    <col min="10512" max="10512" width="11.28515625" style="397" customWidth="1"/>
    <col min="10513" max="10755" width="8.7109375" style="397"/>
    <col min="10756" max="10756" width="6.85546875" style="397" customWidth="1"/>
    <col min="10757" max="10757" width="39.28515625" style="397" customWidth="1"/>
    <col min="10758" max="10758" width="9.28515625" style="397" customWidth="1"/>
    <col min="10759" max="10759" width="10.7109375" style="397" customWidth="1"/>
    <col min="10760" max="10760" width="15" style="397" customWidth="1"/>
    <col min="10761" max="10761" width="10.42578125" style="397" customWidth="1"/>
    <col min="10762" max="10762" width="20.42578125" style="397" customWidth="1"/>
    <col min="10763" max="10763" width="20.7109375" style="397" customWidth="1"/>
    <col min="10764" max="10764" width="11.140625" style="397" customWidth="1"/>
    <col min="10765" max="10765" width="24" style="397" customWidth="1"/>
    <col min="10766" max="10766" width="20.28515625" style="397" customWidth="1"/>
    <col min="10767" max="10767" width="14.85546875" style="397" customWidth="1"/>
    <col min="10768" max="10768" width="11.28515625" style="397" customWidth="1"/>
    <col min="10769" max="11011" width="8.7109375" style="397"/>
    <col min="11012" max="11012" width="6.85546875" style="397" customWidth="1"/>
    <col min="11013" max="11013" width="39.28515625" style="397" customWidth="1"/>
    <col min="11014" max="11014" width="9.28515625" style="397" customWidth="1"/>
    <col min="11015" max="11015" width="10.7109375" style="397" customWidth="1"/>
    <col min="11016" max="11016" width="15" style="397" customWidth="1"/>
    <col min="11017" max="11017" width="10.42578125" style="397" customWidth="1"/>
    <col min="11018" max="11018" width="20.42578125" style="397" customWidth="1"/>
    <col min="11019" max="11019" width="20.7109375" style="397" customWidth="1"/>
    <col min="11020" max="11020" width="11.140625" style="397" customWidth="1"/>
    <col min="11021" max="11021" width="24" style="397" customWidth="1"/>
    <col min="11022" max="11022" width="20.28515625" style="397" customWidth="1"/>
    <col min="11023" max="11023" width="14.85546875" style="397" customWidth="1"/>
    <col min="11024" max="11024" width="11.28515625" style="397" customWidth="1"/>
    <col min="11025" max="11267" width="8.7109375" style="397"/>
    <col min="11268" max="11268" width="6.85546875" style="397" customWidth="1"/>
    <col min="11269" max="11269" width="39.28515625" style="397" customWidth="1"/>
    <col min="11270" max="11270" width="9.28515625" style="397" customWidth="1"/>
    <col min="11271" max="11271" width="10.7109375" style="397" customWidth="1"/>
    <col min="11272" max="11272" width="15" style="397" customWidth="1"/>
    <col min="11273" max="11273" width="10.42578125" style="397" customWidth="1"/>
    <col min="11274" max="11274" width="20.42578125" style="397" customWidth="1"/>
    <col min="11275" max="11275" width="20.7109375" style="397" customWidth="1"/>
    <col min="11276" max="11276" width="11.140625" style="397" customWidth="1"/>
    <col min="11277" max="11277" width="24" style="397" customWidth="1"/>
    <col min="11278" max="11278" width="20.28515625" style="397" customWidth="1"/>
    <col min="11279" max="11279" width="14.85546875" style="397" customWidth="1"/>
    <col min="11280" max="11280" width="11.28515625" style="397" customWidth="1"/>
    <col min="11281" max="11523" width="8.7109375" style="397"/>
    <col min="11524" max="11524" width="6.85546875" style="397" customWidth="1"/>
    <col min="11525" max="11525" width="39.28515625" style="397" customWidth="1"/>
    <col min="11526" max="11526" width="9.28515625" style="397" customWidth="1"/>
    <col min="11527" max="11527" width="10.7109375" style="397" customWidth="1"/>
    <col min="11528" max="11528" width="15" style="397" customWidth="1"/>
    <col min="11529" max="11529" width="10.42578125" style="397" customWidth="1"/>
    <col min="11530" max="11530" width="20.42578125" style="397" customWidth="1"/>
    <col min="11531" max="11531" width="20.7109375" style="397" customWidth="1"/>
    <col min="11532" max="11532" width="11.140625" style="397" customWidth="1"/>
    <col min="11533" max="11533" width="24" style="397" customWidth="1"/>
    <col min="11534" max="11534" width="20.28515625" style="397" customWidth="1"/>
    <col min="11535" max="11535" width="14.85546875" style="397" customWidth="1"/>
    <col min="11536" max="11536" width="11.28515625" style="397" customWidth="1"/>
    <col min="11537" max="11779" width="8.7109375" style="397"/>
    <col min="11780" max="11780" width="6.85546875" style="397" customWidth="1"/>
    <col min="11781" max="11781" width="39.28515625" style="397" customWidth="1"/>
    <col min="11782" max="11782" width="9.28515625" style="397" customWidth="1"/>
    <col min="11783" max="11783" width="10.7109375" style="397" customWidth="1"/>
    <col min="11784" max="11784" width="15" style="397" customWidth="1"/>
    <col min="11785" max="11785" width="10.42578125" style="397" customWidth="1"/>
    <col min="11786" max="11786" width="20.42578125" style="397" customWidth="1"/>
    <col min="11787" max="11787" width="20.7109375" style="397" customWidth="1"/>
    <col min="11788" max="11788" width="11.140625" style="397" customWidth="1"/>
    <col min="11789" max="11789" width="24" style="397" customWidth="1"/>
    <col min="11790" max="11790" width="20.28515625" style="397" customWidth="1"/>
    <col min="11791" max="11791" width="14.85546875" style="397" customWidth="1"/>
    <col min="11792" max="11792" width="11.28515625" style="397" customWidth="1"/>
    <col min="11793" max="12035" width="8.7109375" style="397"/>
    <col min="12036" max="12036" width="6.85546875" style="397" customWidth="1"/>
    <col min="12037" max="12037" width="39.28515625" style="397" customWidth="1"/>
    <col min="12038" max="12038" width="9.28515625" style="397" customWidth="1"/>
    <col min="12039" max="12039" width="10.7109375" style="397" customWidth="1"/>
    <col min="12040" max="12040" width="15" style="397" customWidth="1"/>
    <col min="12041" max="12041" width="10.42578125" style="397" customWidth="1"/>
    <col min="12042" max="12042" width="20.42578125" style="397" customWidth="1"/>
    <col min="12043" max="12043" width="20.7109375" style="397" customWidth="1"/>
    <col min="12044" max="12044" width="11.140625" style="397" customWidth="1"/>
    <col min="12045" max="12045" width="24" style="397" customWidth="1"/>
    <col min="12046" max="12046" width="20.28515625" style="397" customWidth="1"/>
    <col min="12047" max="12047" width="14.85546875" style="397" customWidth="1"/>
    <col min="12048" max="12048" width="11.28515625" style="397" customWidth="1"/>
    <col min="12049" max="12291" width="8.7109375" style="397"/>
    <col min="12292" max="12292" width="6.85546875" style="397" customWidth="1"/>
    <col min="12293" max="12293" width="39.28515625" style="397" customWidth="1"/>
    <col min="12294" max="12294" width="9.28515625" style="397" customWidth="1"/>
    <col min="12295" max="12295" width="10.7109375" style="397" customWidth="1"/>
    <col min="12296" max="12296" width="15" style="397" customWidth="1"/>
    <col min="12297" max="12297" width="10.42578125" style="397" customWidth="1"/>
    <col min="12298" max="12298" width="20.42578125" style="397" customWidth="1"/>
    <col min="12299" max="12299" width="20.7109375" style="397" customWidth="1"/>
    <col min="12300" max="12300" width="11.140625" style="397" customWidth="1"/>
    <col min="12301" max="12301" width="24" style="397" customWidth="1"/>
    <col min="12302" max="12302" width="20.28515625" style="397" customWidth="1"/>
    <col min="12303" max="12303" width="14.85546875" style="397" customWidth="1"/>
    <col min="12304" max="12304" width="11.28515625" style="397" customWidth="1"/>
    <col min="12305" max="12547" width="8.7109375" style="397"/>
    <col min="12548" max="12548" width="6.85546875" style="397" customWidth="1"/>
    <col min="12549" max="12549" width="39.28515625" style="397" customWidth="1"/>
    <col min="12550" max="12550" width="9.28515625" style="397" customWidth="1"/>
    <col min="12551" max="12551" width="10.7109375" style="397" customWidth="1"/>
    <col min="12552" max="12552" width="15" style="397" customWidth="1"/>
    <col min="12553" max="12553" width="10.42578125" style="397" customWidth="1"/>
    <col min="12554" max="12554" width="20.42578125" style="397" customWidth="1"/>
    <col min="12555" max="12555" width="20.7109375" style="397" customWidth="1"/>
    <col min="12556" max="12556" width="11.140625" style="397" customWidth="1"/>
    <col min="12557" max="12557" width="24" style="397" customWidth="1"/>
    <col min="12558" max="12558" width="20.28515625" style="397" customWidth="1"/>
    <col min="12559" max="12559" width="14.85546875" style="397" customWidth="1"/>
    <col min="12560" max="12560" width="11.28515625" style="397" customWidth="1"/>
    <col min="12561" max="12803" width="8.7109375" style="397"/>
    <col min="12804" max="12804" width="6.85546875" style="397" customWidth="1"/>
    <col min="12805" max="12805" width="39.28515625" style="397" customWidth="1"/>
    <col min="12806" max="12806" width="9.28515625" style="397" customWidth="1"/>
    <col min="12807" max="12807" width="10.7109375" style="397" customWidth="1"/>
    <col min="12808" max="12808" width="15" style="397" customWidth="1"/>
    <col min="12809" max="12809" width="10.42578125" style="397" customWidth="1"/>
    <col min="12810" max="12810" width="20.42578125" style="397" customWidth="1"/>
    <col min="12811" max="12811" width="20.7109375" style="397" customWidth="1"/>
    <col min="12812" max="12812" width="11.140625" style="397" customWidth="1"/>
    <col min="12813" max="12813" width="24" style="397" customWidth="1"/>
    <col min="12814" max="12814" width="20.28515625" style="397" customWidth="1"/>
    <col min="12815" max="12815" width="14.85546875" style="397" customWidth="1"/>
    <col min="12816" max="12816" width="11.28515625" style="397" customWidth="1"/>
    <col min="12817" max="13059" width="8.7109375" style="397"/>
    <col min="13060" max="13060" width="6.85546875" style="397" customWidth="1"/>
    <col min="13061" max="13061" width="39.28515625" style="397" customWidth="1"/>
    <col min="13062" max="13062" width="9.28515625" style="397" customWidth="1"/>
    <col min="13063" max="13063" width="10.7109375" style="397" customWidth="1"/>
    <col min="13064" max="13064" width="15" style="397" customWidth="1"/>
    <col min="13065" max="13065" width="10.42578125" style="397" customWidth="1"/>
    <col min="13066" max="13066" width="20.42578125" style="397" customWidth="1"/>
    <col min="13067" max="13067" width="20.7109375" style="397" customWidth="1"/>
    <col min="13068" max="13068" width="11.140625" style="397" customWidth="1"/>
    <col min="13069" max="13069" width="24" style="397" customWidth="1"/>
    <col min="13070" max="13070" width="20.28515625" style="397" customWidth="1"/>
    <col min="13071" max="13071" width="14.85546875" style="397" customWidth="1"/>
    <col min="13072" max="13072" width="11.28515625" style="397" customWidth="1"/>
    <col min="13073" max="13315" width="8.7109375" style="397"/>
    <col min="13316" max="13316" width="6.85546875" style="397" customWidth="1"/>
    <col min="13317" max="13317" width="39.28515625" style="397" customWidth="1"/>
    <col min="13318" max="13318" width="9.28515625" style="397" customWidth="1"/>
    <col min="13319" max="13319" width="10.7109375" style="397" customWidth="1"/>
    <col min="13320" max="13320" width="15" style="397" customWidth="1"/>
    <col min="13321" max="13321" width="10.42578125" style="397" customWidth="1"/>
    <col min="13322" max="13322" width="20.42578125" style="397" customWidth="1"/>
    <col min="13323" max="13323" width="20.7109375" style="397" customWidth="1"/>
    <col min="13324" max="13324" width="11.140625" style="397" customWidth="1"/>
    <col min="13325" max="13325" width="24" style="397" customWidth="1"/>
    <col min="13326" max="13326" width="20.28515625" style="397" customWidth="1"/>
    <col min="13327" max="13327" width="14.85546875" style="397" customWidth="1"/>
    <col min="13328" max="13328" width="11.28515625" style="397" customWidth="1"/>
    <col min="13329" max="13571" width="8.7109375" style="397"/>
    <col min="13572" max="13572" width="6.85546875" style="397" customWidth="1"/>
    <col min="13573" max="13573" width="39.28515625" style="397" customWidth="1"/>
    <col min="13574" max="13574" width="9.28515625" style="397" customWidth="1"/>
    <col min="13575" max="13575" width="10.7109375" style="397" customWidth="1"/>
    <col min="13576" max="13576" width="15" style="397" customWidth="1"/>
    <col min="13577" max="13577" width="10.42578125" style="397" customWidth="1"/>
    <col min="13578" max="13578" width="20.42578125" style="397" customWidth="1"/>
    <col min="13579" max="13579" width="20.7109375" style="397" customWidth="1"/>
    <col min="13580" max="13580" width="11.140625" style="397" customWidth="1"/>
    <col min="13581" max="13581" width="24" style="397" customWidth="1"/>
    <col min="13582" max="13582" width="20.28515625" style="397" customWidth="1"/>
    <col min="13583" max="13583" width="14.85546875" style="397" customWidth="1"/>
    <col min="13584" max="13584" width="11.28515625" style="397" customWidth="1"/>
    <col min="13585" max="13827" width="8.7109375" style="397"/>
    <col min="13828" max="13828" width="6.85546875" style="397" customWidth="1"/>
    <col min="13829" max="13829" width="39.28515625" style="397" customWidth="1"/>
    <col min="13830" max="13830" width="9.28515625" style="397" customWidth="1"/>
    <col min="13831" max="13831" width="10.7109375" style="397" customWidth="1"/>
    <col min="13832" max="13832" width="15" style="397" customWidth="1"/>
    <col min="13833" max="13833" width="10.42578125" style="397" customWidth="1"/>
    <col min="13834" max="13834" width="20.42578125" style="397" customWidth="1"/>
    <col min="13835" max="13835" width="20.7109375" style="397" customWidth="1"/>
    <col min="13836" max="13836" width="11.140625" style="397" customWidth="1"/>
    <col min="13837" max="13837" width="24" style="397" customWidth="1"/>
    <col min="13838" max="13838" width="20.28515625" style="397" customWidth="1"/>
    <col min="13839" max="13839" width="14.85546875" style="397" customWidth="1"/>
    <col min="13840" max="13840" width="11.28515625" style="397" customWidth="1"/>
    <col min="13841" max="14083" width="8.7109375" style="397"/>
    <col min="14084" max="14084" width="6.85546875" style="397" customWidth="1"/>
    <col min="14085" max="14085" width="39.28515625" style="397" customWidth="1"/>
    <col min="14086" max="14086" width="9.28515625" style="397" customWidth="1"/>
    <col min="14087" max="14087" width="10.7109375" style="397" customWidth="1"/>
    <col min="14088" max="14088" width="15" style="397" customWidth="1"/>
    <col min="14089" max="14089" width="10.42578125" style="397" customWidth="1"/>
    <col min="14090" max="14090" width="20.42578125" style="397" customWidth="1"/>
    <col min="14091" max="14091" width="20.7109375" style="397" customWidth="1"/>
    <col min="14092" max="14092" width="11.140625" style="397" customWidth="1"/>
    <col min="14093" max="14093" width="24" style="397" customWidth="1"/>
    <col min="14094" max="14094" width="20.28515625" style="397" customWidth="1"/>
    <col min="14095" max="14095" width="14.85546875" style="397" customWidth="1"/>
    <col min="14096" max="14096" width="11.28515625" style="397" customWidth="1"/>
    <col min="14097" max="14339" width="8.7109375" style="397"/>
    <col min="14340" max="14340" width="6.85546875" style="397" customWidth="1"/>
    <col min="14341" max="14341" width="39.28515625" style="397" customWidth="1"/>
    <col min="14342" max="14342" width="9.28515625" style="397" customWidth="1"/>
    <col min="14343" max="14343" width="10.7109375" style="397" customWidth="1"/>
    <col min="14344" max="14344" width="15" style="397" customWidth="1"/>
    <col min="14345" max="14345" width="10.42578125" style="397" customWidth="1"/>
    <col min="14346" max="14346" width="20.42578125" style="397" customWidth="1"/>
    <col min="14347" max="14347" width="20.7109375" style="397" customWidth="1"/>
    <col min="14348" max="14348" width="11.140625" style="397" customWidth="1"/>
    <col min="14349" max="14349" width="24" style="397" customWidth="1"/>
    <col min="14350" max="14350" width="20.28515625" style="397" customWidth="1"/>
    <col min="14351" max="14351" width="14.85546875" style="397" customWidth="1"/>
    <col min="14352" max="14352" width="11.28515625" style="397" customWidth="1"/>
    <col min="14353" max="14595" width="8.7109375" style="397"/>
    <col min="14596" max="14596" width="6.85546875" style="397" customWidth="1"/>
    <col min="14597" max="14597" width="39.28515625" style="397" customWidth="1"/>
    <col min="14598" max="14598" width="9.28515625" style="397" customWidth="1"/>
    <col min="14599" max="14599" width="10.7109375" style="397" customWidth="1"/>
    <col min="14600" max="14600" width="15" style="397" customWidth="1"/>
    <col min="14601" max="14601" width="10.42578125" style="397" customWidth="1"/>
    <col min="14602" max="14602" width="20.42578125" style="397" customWidth="1"/>
    <col min="14603" max="14603" width="20.7109375" style="397" customWidth="1"/>
    <col min="14604" max="14604" width="11.140625" style="397" customWidth="1"/>
    <col min="14605" max="14605" width="24" style="397" customWidth="1"/>
    <col min="14606" max="14606" width="20.28515625" style="397" customWidth="1"/>
    <col min="14607" max="14607" width="14.85546875" style="397" customWidth="1"/>
    <col min="14608" max="14608" width="11.28515625" style="397" customWidth="1"/>
    <col min="14609" max="14851" width="8.7109375" style="397"/>
    <col min="14852" max="14852" width="6.85546875" style="397" customWidth="1"/>
    <col min="14853" max="14853" width="39.28515625" style="397" customWidth="1"/>
    <col min="14854" max="14854" width="9.28515625" style="397" customWidth="1"/>
    <col min="14855" max="14855" width="10.7109375" style="397" customWidth="1"/>
    <col min="14856" max="14856" width="15" style="397" customWidth="1"/>
    <col min="14857" max="14857" width="10.42578125" style="397" customWidth="1"/>
    <col min="14858" max="14858" width="20.42578125" style="397" customWidth="1"/>
    <col min="14859" max="14859" width="20.7109375" style="397" customWidth="1"/>
    <col min="14860" max="14860" width="11.140625" style="397" customWidth="1"/>
    <col min="14861" max="14861" width="24" style="397" customWidth="1"/>
    <col min="14862" max="14862" width="20.28515625" style="397" customWidth="1"/>
    <col min="14863" max="14863" width="14.85546875" style="397" customWidth="1"/>
    <col min="14864" max="14864" width="11.28515625" style="397" customWidth="1"/>
    <col min="14865" max="15107" width="8.7109375" style="397"/>
    <col min="15108" max="15108" width="6.85546875" style="397" customWidth="1"/>
    <col min="15109" max="15109" width="39.28515625" style="397" customWidth="1"/>
    <col min="15110" max="15110" width="9.28515625" style="397" customWidth="1"/>
    <col min="15111" max="15111" width="10.7109375" style="397" customWidth="1"/>
    <col min="15112" max="15112" width="15" style="397" customWidth="1"/>
    <col min="15113" max="15113" width="10.42578125" style="397" customWidth="1"/>
    <col min="15114" max="15114" width="20.42578125" style="397" customWidth="1"/>
    <col min="15115" max="15115" width="20.7109375" style="397" customWidth="1"/>
    <col min="15116" max="15116" width="11.140625" style="397" customWidth="1"/>
    <col min="15117" max="15117" width="24" style="397" customWidth="1"/>
    <col min="15118" max="15118" width="20.28515625" style="397" customWidth="1"/>
    <col min="15119" max="15119" width="14.85546875" style="397" customWidth="1"/>
    <col min="15120" max="15120" width="11.28515625" style="397" customWidth="1"/>
    <col min="15121" max="15363" width="8.7109375" style="397"/>
    <col min="15364" max="15364" width="6.85546875" style="397" customWidth="1"/>
    <col min="15365" max="15365" width="39.28515625" style="397" customWidth="1"/>
    <col min="15366" max="15366" width="9.28515625" style="397" customWidth="1"/>
    <col min="15367" max="15367" width="10.7109375" style="397" customWidth="1"/>
    <col min="15368" max="15368" width="15" style="397" customWidth="1"/>
    <col min="15369" max="15369" width="10.42578125" style="397" customWidth="1"/>
    <col min="15370" max="15370" width="20.42578125" style="397" customWidth="1"/>
    <col min="15371" max="15371" width="20.7109375" style="397" customWidth="1"/>
    <col min="15372" max="15372" width="11.140625" style="397" customWidth="1"/>
    <col min="15373" max="15373" width="24" style="397" customWidth="1"/>
    <col min="15374" max="15374" width="20.28515625" style="397" customWidth="1"/>
    <col min="15375" max="15375" width="14.85546875" style="397" customWidth="1"/>
    <col min="15376" max="15376" width="11.28515625" style="397" customWidth="1"/>
    <col min="15377" max="15619" width="8.7109375" style="397"/>
    <col min="15620" max="15620" width="6.85546875" style="397" customWidth="1"/>
    <col min="15621" max="15621" width="39.28515625" style="397" customWidth="1"/>
    <col min="15622" max="15622" width="9.28515625" style="397" customWidth="1"/>
    <col min="15623" max="15623" width="10.7109375" style="397" customWidth="1"/>
    <col min="15624" max="15624" width="15" style="397" customWidth="1"/>
    <col min="15625" max="15625" width="10.42578125" style="397" customWidth="1"/>
    <col min="15626" max="15626" width="20.42578125" style="397" customWidth="1"/>
    <col min="15627" max="15627" width="20.7109375" style="397" customWidth="1"/>
    <col min="15628" max="15628" width="11.140625" style="397" customWidth="1"/>
    <col min="15629" max="15629" width="24" style="397" customWidth="1"/>
    <col min="15630" max="15630" width="20.28515625" style="397" customWidth="1"/>
    <col min="15631" max="15631" width="14.85546875" style="397" customWidth="1"/>
    <col min="15632" max="15632" width="11.28515625" style="397" customWidth="1"/>
    <col min="15633" max="15875" width="8.7109375" style="397"/>
    <col min="15876" max="15876" width="6.85546875" style="397" customWidth="1"/>
    <col min="15877" max="15877" width="39.28515625" style="397" customWidth="1"/>
    <col min="15878" max="15878" width="9.28515625" style="397" customWidth="1"/>
    <col min="15879" max="15879" width="10.7109375" style="397" customWidth="1"/>
    <col min="15880" max="15880" width="15" style="397" customWidth="1"/>
    <col min="15881" max="15881" width="10.42578125" style="397" customWidth="1"/>
    <col min="15882" max="15882" width="20.42578125" style="397" customWidth="1"/>
    <col min="15883" max="15883" width="20.7109375" style="397" customWidth="1"/>
    <col min="15884" max="15884" width="11.140625" style="397" customWidth="1"/>
    <col min="15885" max="15885" width="24" style="397" customWidth="1"/>
    <col min="15886" max="15886" width="20.28515625" style="397" customWidth="1"/>
    <col min="15887" max="15887" width="14.85546875" style="397" customWidth="1"/>
    <col min="15888" max="15888" width="11.28515625" style="397" customWidth="1"/>
    <col min="15889" max="16131" width="8.7109375" style="397"/>
    <col min="16132" max="16132" width="6.85546875" style="397" customWidth="1"/>
    <col min="16133" max="16133" width="39.28515625" style="397" customWidth="1"/>
    <col min="16134" max="16134" width="9.28515625" style="397" customWidth="1"/>
    <col min="16135" max="16135" width="10.7109375" style="397" customWidth="1"/>
    <col min="16136" max="16136" width="15" style="397" customWidth="1"/>
    <col min="16137" max="16137" width="10.42578125" style="397" customWidth="1"/>
    <col min="16138" max="16138" width="20.42578125" style="397" customWidth="1"/>
    <col min="16139" max="16139" width="20.7109375" style="397" customWidth="1"/>
    <col min="16140" max="16140" width="11.140625" style="397" customWidth="1"/>
    <col min="16141" max="16141" width="24" style="397" customWidth="1"/>
    <col min="16142" max="16142" width="20.28515625" style="397" customWidth="1"/>
    <col min="16143" max="16143" width="14.85546875" style="397" customWidth="1"/>
    <col min="16144" max="16144" width="11.28515625" style="397" customWidth="1"/>
    <col min="16145" max="16384" width="8.7109375" style="397"/>
  </cols>
  <sheetData>
    <row r="1" spans="1:15">
      <c r="A1" s="2832" t="s">
        <v>0</v>
      </c>
      <c r="B1" s="2832"/>
      <c r="C1" s="2832"/>
      <c r="D1" s="2832"/>
      <c r="E1" s="2832"/>
      <c r="F1" s="2832"/>
      <c r="G1" s="2832"/>
      <c r="H1" s="2832"/>
      <c r="I1" s="2832"/>
      <c r="J1" s="438"/>
    </row>
    <row r="2" spans="1:15">
      <c r="A2" s="2832" t="s">
        <v>1968</v>
      </c>
      <c r="B2" s="2832"/>
      <c r="C2" s="2832"/>
      <c r="D2" s="2832"/>
      <c r="E2" s="2832"/>
      <c r="F2" s="2832"/>
      <c r="G2" s="2832"/>
      <c r="H2" s="2832"/>
      <c r="I2" s="2832"/>
      <c r="J2" s="438"/>
    </row>
    <row r="3" spans="1:15" ht="13.9" customHeight="1">
      <c r="A3" s="2833" t="s">
        <v>619</v>
      </c>
      <c r="B3" s="2832"/>
      <c r="C3" s="2832"/>
      <c r="D3" s="2832"/>
      <c r="E3" s="2832"/>
      <c r="F3" s="2832"/>
      <c r="G3" s="2832"/>
      <c r="H3" s="2832"/>
      <c r="I3" s="2832"/>
      <c r="J3" s="438"/>
    </row>
    <row r="4" spans="1:15" s="394" customFormat="1" ht="27" customHeight="1">
      <c r="A4" s="2832" t="s">
        <v>2867</v>
      </c>
      <c r="B4" s="2832"/>
      <c r="C4" s="2832"/>
      <c r="D4" s="2832"/>
      <c r="E4" s="439"/>
      <c r="F4" s="440"/>
      <c r="G4" s="441"/>
      <c r="H4" s="441"/>
      <c r="I4" s="442"/>
      <c r="J4" s="442"/>
    </row>
    <row r="5" spans="1:15" s="394" customFormat="1" ht="16.899999999999999" customHeight="1">
      <c r="A5" s="2832" t="s">
        <v>2563</v>
      </c>
      <c r="B5" s="2832"/>
      <c r="C5" s="2832"/>
      <c r="D5" s="2832"/>
      <c r="E5" s="439"/>
      <c r="F5" s="440"/>
      <c r="G5" s="441"/>
      <c r="H5" s="441"/>
      <c r="I5" s="442"/>
      <c r="J5" s="442"/>
    </row>
    <row r="6" spans="1:15" ht="10.5" customHeight="1">
      <c r="D6" s="402"/>
      <c r="G6" s="403"/>
      <c r="H6" s="403"/>
      <c r="I6" s="404"/>
      <c r="J6" s="404"/>
    </row>
    <row r="7" spans="1:15" ht="10.5" customHeight="1">
      <c r="D7" s="402"/>
      <c r="G7" s="403"/>
      <c r="H7" s="403"/>
      <c r="I7" s="404"/>
      <c r="J7" s="404"/>
    </row>
    <row r="8" spans="1:15" s="394" customFormat="1" ht="29.25" customHeight="1">
      <c r="A8" s="2827" t="s">
        <v>2868</v>
      </c>
      <c r="B8" s="2827"/>
      <c r="C8" s="2827"/>
      <c r="D8" s="2827"/>
      <c r="E8" s="2827"/>
      <c r="F8" s="2827"/>
      <c r="G8" s="2827"/>
      <c r="H8" s="2827"/>
      <c r="I8" s="2827"/>
      <c r="J8" s="212"/>
    </row>
    <row r="9" spans="1:15" ht="15.75" customHeight="1">
      <c r="A9" s="2828" t="s">
        <v>2869</v>
      </c>
      <c r="B9" s="2828"/>
      <c r="C9" s="2828"/>
      <c r="D9" s="2828"/>
      <c r="E9" s="2828"/>
      <c r="F9" s="2828"/>
      <c r="G9" s="2828"/>
      <c r="H9" s="2828"/>
      <c r="I9" s="2828"/>
      <c r="J9" s="405"/>
      <c r="K9" s="397" t="s">
        <v>2870</v>
      </c>
      <c r="L9" s="397">
        <f>'LƯƠNG KT'!F8</f>
        <v>668.84</v>
      </c>
    </row>
    <row r="10" spans="1:15" ht="15.75" customHeight="1">
      <c r="A10" s="405"/>
      <c r="B10" s="405"/>
      <c r="C10" s="405"/>
      <c r="D10" s="405"/>
      <c r="E10" s="405"/>
      <c r="F10" s="405"/>
      <c r="G10" s="405"/>
      <c r="H10" s="405"/>
      <c r="I10" s="405"/>
      <c r="J10" s="405"/>
      <c r="K10" s="406" t="s">
        <v>1952</v>
      </c>
      <c r="L10" s="475">
        <f>M10/100</f>
        <v>0.43751864421273501</v>
      </c>
      <c r="M10" s="397">
        <v>43.751864421273503</v>
      </c>
    </row>
    <row r="11" spans="1:15" ht="15.75" customHeight="1">
      <c r="A11" s="405"/>
      <c r="B11" s="405"/>
      <c r="F11" s="404"/>
      <c r="G11" s="403"/>
      <c r="H11" s="2829" t="s">
        <v>2871</v>
      </c>
      <c r="I11" s="2829"/>
      <c r="J11" s="505"/>
    </row>
    <row r="12" spans="1:15" s="434" customFormat="1" ht="45.6" customHeight="1">
      <c r="A12" s="444" t="s">
        <v>6</v>
      </c>
      <c r="B12" s="444" t="s">
        <v>2872</v>
      </c>
      <c r="C12" s="445" t="s">
        <v>2399</v>
      </c>
      <c r="D12" s="445" t="s">
        <v>2873</v>
      </c>
      <c r="E12" s="446" t="s">
        <v>2874</v>
      </c>
      <c r="F12" s="446" t="s">
        <v>2875</v>
      </c>
      <c r="G12" s="447" t="s">
        <v>2876</v>
      </c>
      <c r="H12" s="447" t="s">
        <v>2877</v>
      </c>
      <c r="I12" s="446" t="s">
        <v>12</v>
      </c>
      <c r="J12" s="506"/>
      <c r="K12" s="2830" t="s">
        <v>1952</v>
      </c>
      <c r="L12" s="2830"/>
      <c r="M12" s="507" t="s">
        <v>2605</v>
      </c>
      <c r="N12" s="507" t="s">
        <v>2606</v>
      </c>
    </row>
    <row r="13" spans="1:15" s="394" customFormat="1" ht="22.15" customHeight="1">
      <c r="A13" s="448" t="s">
        <v>2408</v>
      </c>
      <c r="B13" s="449" t="s">
        <v>2878</v>
      </c>
      <c r="C13" s="450"/>
      <c r="D13" s="451"/>
      <c r="E13" s="451"/>
      <c r="F13" s="451"/>
      <c r="G13" s="451" t="e">
        <f>+G14+G78+1</f>
        <v>#REF!</v>
      </c>
      <c r="H13" s="451" t="e">
        <f>+H14+H78+1</f>
        <v>#REF!</v>
      </c>
      <c r="I13" s="452"/>
      <c r="J13" s="452"/>
      <c r="K13" s="508" t="s">
        <v>2607</v>
      </c>
      <c r="L13" s="509"/>
      <c r="M13" s="510">
        <f>THCKT!AO13</f>
        <v>0</v>
      </c>
      <c r="N13" s="510">
        <f>THCKT!AP13</f>
        <v>0</v>
      </c>
    </row>
    <row r="14" spans="1:15" ht="22.15" customHeight="1">
      <c r="A14" s="453">
        <v>1</v>
      </c>
      <c r="B14" s="454" t="s">
        <v>2879</v>
      </c>
      <c r="C14" s="455"/>
      <c r="D14" s="456"/>
      <c r="E14" s="456"/>
      <c r="F14" s="456"/>
      <c r="G14" s="456" t="e">
        <f>+G15+G67+G77</f>
        <v>#REF!</v>
      </c>
      <c r="H14" s="456" t="e">
        <f>+H15+H67+H77</f>
        <v>#REF!</v>
      </c>
      <c r="I14" s="457"/>
      <c r="J14" s="457">
        <f>'LƯƠNG KT'!U95</f>
        <v>378386019</v>
      </c>
      <c r="K14" s="508" t="s">
        <v>2608</v>
      </c>
      <c r="L14" s="509">
        <f>N14/M14</f>
        <v>0.49735663507109001</v>
      </c>
      <c r="M14" s="510">
        <f>THCKT!AO14</f>
        <v>3376</v>
      </c>
      <c r="N14" s="510">
        <f>THCKT!AP14</f>
        <v>1679.076</v>
      </c>
    </row>
    <row r="15" spans="1:15" ht="22.15" customHeight="1">
      <c r="A15" s="453" t="s">
        <v>2411</v>
      </c>
      <c r="B15" s="454" t="s">
        <v>2880</v>
      </c>
      <c r="C15" s="458"/>
      <c r="D15" s="456"/>
      <c r="E15" s="504" t="e">
        <f>SUM(E16:E32,E37,E48,E65,E66)</f>
        <v>#REF!</v>
      </c>
      <c r="F15" s="456"/>
      <c r="G15" s="456" t="e">
        <f>SUM(G16:G32,G37,G48,G65,G66)</f>
        <v>#REF!</v>
      </c>
      <c r="H15" s="456" t="e">
        <f>SUM(H16:H32,H37,H48,H65,H66)</f>
        <v>#REF!</v>
      </c>
      <c r="I15" s="457"/>
      <c r="J15" s="457" t="e">
        <f>+H14-J14</f>
        <v>#REF!</v>
      </c>
      <c r="K15" s="508" t="s">
        <v>2609</v>
      </c>
      <c r="L15" s="509">
        <f t="shared" ref="L15:L21" si="0">N15/M15</f>
        <v>0.50833693372589595</v>
      </c>
      <c r="M15" s="510">
        <f>THCKT!AO15</f>
        <v>9286</v>
      </c>
      <c r="N15" s="510">
        <f>THCKT!AP15</f>
        <v>4720.4167665786699</v>
      </c>
      <c r="O15" s="486"/>
    </row>
    <row r="16" spans="1:15" ht="22.15" customHeight="1">
      <c r="A16" s="2824" t="s">
        <v>521</v>
      </c>
      <c r="B16" s="454" t="s">
        <v>2881</v>
      </c>
      <c r="C16" s="459" t="s">
        <v>2410</v>
      </c>
      <c r="D16" s="456"/>
      <c r="E16" s="456" t="e">
        <f>SUMIF('LƯƠNG KT'!#REF!,"A",'LƯƠNG KT'!#REF!)</f>
        <v>#REF!</v>
      </c>
      <c r="F16" s="460">
        <f>6.1*$L$9</f>
        <v>4079.924</v>
      </c>
      <c r="G16" s="456" t="e">
        <f>E16*F16</f>
        <v>#REF!</v>
      </c>
      <c r="H16" s="456" t="e">
        <f t="shared" ref="H16:H19" si="1">G16</f>
        <v>#REF!</v>
      </c>
      <c r="I16" s="457"/>
      <c r="J16" s="457" t="e">
        <f>+E15/325000</f>
        <v>#REF!</v>
      </c>
      <c r="K16" s="508" t="s">
        <v>2610</v>
      </c>
      <c r="L16" s="509">
        <f t="shared" si="0"/>
        <v>0.517978939824006</v>
      </c>
      <c r="M16" s="510">
        <f>THCKT!AO16</f>
        <v>2174</v>
      </c>
      <c r="N16" s="510">
        <f>THCKT!AP16</f>
        <v>1126.0862151773899</v>
      </c>
    </row>
    <row r="17" spans="1:15" ht="22.15" customHeight="1">
      <c r="A17" s="2825"/>
      <c r="B17" s="454" t="s">
        <v>2882</v>
      </c>
      <c r="C17" s="458" t="s">
        <v>2410</v>
      </c>
      <c r="D17" s="456"/>
      <c r="E17" s="456" t="e">
        <f>SUMIF('LƯƠNG KT'!#REF!,"B",'LƯƠNG KT'!#REF!)*$L$15</f>
        <v>#REF!</v>
      </c>
      <c r="F17" s="460">
        <f>5.8*$L$9</f>
        <v>3879.2719999999999</v>
      </c>
      <c r="G17" s="456" t="e">
        <f t="shared" ref="G17:G20" si="2">E17*F17</f>
        <v>#REF!</v>
      </c>
      <c r="H17" s="456" t="e">
        <f t="shared" si="1"/>
        <v>#REF!</v>
      </c>
      <c r="I17" s="457"/>
      <c r="J17" s="457" t="e">
        <f>+J16*100</f>
        <v>#REF!</v>
      </c>
      <c r="K17" s="511" t="s">
        <v>2611</v>
      </c>
      <c r="L17" s="509">
        <f t="shared" si="0"/>
        <v>0.523186246010649</v>
      </c>
      <c r="M17" s="510">
        <f>THCKT!AO17</f>
        <v>3266</v>
      </c>
      <c r="N17" s="510">
        <f>THCKT!AP17</f>
        <v>1708.7262794707799</v>
      </c>
    </row>
    <row r="18" spans="1:15" ht="22.15" customHeight="1">
      <c r="A18" s="2825"/>
      <c r="B18" s="454" t="s">
        <v>2883</v>
      </c>
      <c r="C18" s="458" t="s">
        <v>2410</v>
      </c>
      <c r="D18" s="456"/>
      <c r="E18" s="456" t="e">
        <f>SUMIF('LƯƠNG KT'!#REF!,"C",'LƯƠNG KT'!#REF!)*$L$15</f>
        <v>#REF!</v>
      </c>
      <c r="F18" s="460">
        <f>5.5*$L$9</f>
        <v>3678.6200000000003</v>
      </c>
      <c r="G18" s="456" t="e">
        <f t="shared" si="2"/>
        <v>#REF!</v>
      </c>
      <c r="H18" s="456" t="e">
        <f t="shared" si="1"/>
        <v>#REF!</v>
      </c>
      <c r="I18" s="457"/>
      <c r="J18" s="457"/>
      <c r="K18" s="508" t="s">
        <v>2612</v>
      </c>
      <c r="L18" s="509">
        <f t="shared" si="0"/>
        <v>0.48663043582446502</v>
      </c>
      <c r="M18" s="510">
        <f>THCKT!AO18</f>
        <v>9323</v>
      </c>
      <c r="N18" s="510">
        <f>THCKT!AP18</f>
        <v>4536.8555531914899</v>
      </c>
    </row>
    <row r="19" spans="1:15" ht="22.15" customHeight="1">
      <c r="A19" s="2826"/>
      <c r="B19" s="454" t="s">
        <v>2884</v>
      </c>
      <c r="C19" s="459" t="s">
        <v>2410</v>
      </c>
      <c r="D19" s="456"/>
      <c r="E19" s="456" t="e">
        <f>SUMIF('LƯƠNG KT'!#REF!,"D",'LƯƠNG KT'!#REF!)*$L$15</f>
        <v>#REF!</v>
      </c>
      <c r="F19" s="460">
        <f>5.2*$L$9</f>
        <v>3477.9680000000003</v>
      </c>
      <c r="G19" s="456" t="e">
        <f t="shared" si="2"/>
        <v>#REF!</v>
      </c>
      <c r="H19" s="456" t="e">
        <f t="shared" si="1"/>
        <v>#REF!</v>
      </c>
      <c r="I19" s="457"/>
      <c r="J19" s="457"/>
      <c r="K19" s="508" t="s">
        <v>2613</v>
      </c>
      <c r="L19" s="509">
        <f t="shared" si="0"/>
        <v>0.46408510638297901</v>
      </c>
      <c r="M19" s="510">
        <f>THCKT!AO19</f>
        <v>385</v>
      </c>
      <c r="N19" s="510">
        <f>THCKT!AP19</f>
        <v>178.67276595744701</v>
      </c>
    </row>
    <row r="20" spans="1:15" ht="22.15" customHeight="1">
      <c r="A20" s="2824" t="s">
        <v>123</v>
      </c>
      <c r="B20" s="454" t="s">
        <v>2881</v>
      </c>
      <c r="C20" s="459" t="s">
        <v>2410</v>
      </c>
      <c r="D20" s="456"/>
      <c r="E20" s="456" t="e">
        <f>SUMIF('LƯƠNG KT'!#REF!,"A",'LƯƠNG KT'!#REF!)</f>
        <v>#REF!</v>
      </c>
      <c r="F20" s="460">
        <f>6.1*$L$9</f>
        <v>4079.924</v>
      </c>
      <c r="G20" s="456" t="e">
        <f t="shared" si="2"/>
        <v>#REF!</v>
      </c>
      <c r="H20" s="456" t="e">
        <f t="shared" ref="H20:H23" si="3">G20</f>
        <v>#REF!</v>
      </c>
      <c r="I20" s="457"/>
      <c r="J20" s="457"/>
      <c r="K20" s="512" t="s">
        <v>2614</v>
      </c>
      <c r="L20" s="509"/>
      <c r="M20" s="510">
        <f>THCKT!AO20</f>
        <v>0</v>
      </c>
      <c r="N20" s="510">
        <f>THCKT!AP20</f>
        <v>0</v>
      </c>
    </row>
    <row r="21" spans="1:15" ht="22.15" customHeight="1">
      <c r="A21" s="2825"/>
      <c r="B21" s="454" t="s">
        <v>2882</v>
      </c>
      <c r="C21" s="458" t="s">
        <v>2410</v>
      </c>
      <c r="D21" s="456"/>
      <c r="E21" s="456" t="e">
        <f>SUMIF('LƯƠNG KT'!#REF!,"B",'LƯƠNG KT'!#REF!)*$L$16</f>
        <v>#REF!</v>
      </c>
      <c r="F21" s="460">
        <f>5.8*$L$9</f>
        <v>3879.2719999999999</v>
      </c>
      <c r="G21" s="456" t="e">
        <f t="shared" ref="G21:G24" si="4">E21*F21</f>
        <v>#REF!</v>
      </c>
      <c r="H21" s="456" t="e">
        <f t="shared" si="3"/>
        <v>#REF!</v>
      </c>
      <c r="I21" s="457"/>
      <c r="J21" s="457"/>
      <c r="K21" s="512" t="s">
        <v>2615</v>
      </c>
      <c r="L21" s="509">
        <f t="shared" si="0"/>
        <v>0.47778288100208899</v>
      </c>
      <c r="M21" s="510">
        <f>THCKT!AO21</f>
        <v>2978</v>
      </c>
      <c r="N21" s="510">
        <f>THCKT!AP21</f>
        <v>1422.83741962422</v>
      </c>
    </row>
    <row r="22" spans="1:15" ht="22.15" customHeight="1">
      <c r="A22" s="2825"/>
      <c r="B22" s="454" t="s">
        <v>2883</v>
      </c>
      <c r="C22" s="458" t="s">
        <v>2410</v>
      </c>
      <c r="D22" s="456"/>
      <c r="E22" s="456" t="e">
        <f>SUMIF('LƯƠNG KT'!#REF!,"C",'LƯƠNG KT'!#REF!)*$L$16</f>
        <v>#REF!</v>
      </c>
      <c r="F22" s="460">
        <f>5.5*$L$9</f>
        <v>3678.6200000000003</v>
      </c>
      <c r="G22" s="456" t="e">
        <f t="shared" si="4"/>
        <v>#REF!</v>
      </c>
      <c r="H22" s="456" t="e">
        <f t="shared" si="3"/>
        <v>#REF!</v>
      </c>
      <c r="I22" s="457"/>
      <c r="J22" s="397"/>
    </row>
    <row r="23" spans="1:15" ht="22.15" customHeight="1">
      <c r="A23" s="2826"/>
      <c r="B23" s="454" t="s">
        <v>2884</v>
      </c>
      <c r="C23" s="459" t="s">
        <v>2410</v>
      </c>
      <c r="D23" s="456"/>
      <c r="E23" s="456" t="e">
        <f>SUMIF('LƯƠNG KT'!#REF!,"D",'LƯƠNG KT'!#REF!)*$L$16</f>
        <v>#REF!</v>
      </c>
      <c r="F23" s="460">
        <f>5.2*$L$9</f>
        <v>3477.9680000000003</v>
      </c>
      <c r="G23" s="456" t="e">
        <f t="shared" si="4"/>
        <v>#REF!</v>
      </c>
      <c r="H23" s="456" t="e">
        <f t="shared" si="3"/>
        <v>#REF!</v>
      </c>
      <c r="I23" s="457"/>
      <c r="J23" s="397"/>
    </row>
    <row r="24" spans="1:15" ht="22.15" customHeight="1">
      <c r="A24" s="2824" t="s">
        <v>522</v>
      </c>
      <c r="B24" s="454" t="s">
        <v>2881</v>
      </c>
      <c r="C24" s="459" t="s">
        <v>2410</v>
      </c>
      <c r="D24" s="456"/>
      <c r="E24" s="456" t="e">
        <f>SUMIF('LƯƠNG KT'!#REF!,"A",'LƯƠNG KT'!#REF!)</f>
        <v>#REF!</v>
      </c>
      <c r="F24" s="460">
        <f>6.1*$L$9</f>
        <v>4079.924</v>
      </c>
      <c r="G24" s="456" t="e">
        <f t="shared" si="4"/>
        <v>#REF!</v>
      </c>
      <c r="H24" s="456" t="e">
        <f t="shared" ref="H24:H80" si="5">G24</f>
        <v>#REF!</v>
      </c>
      <c r="I24" s="457"/>
      <c r="J24" s="397"/>
    </row>
    <row r="25" spans="1:15" ht="22.15" customHeight="1">
      <c r="A25" s="2825"/>
      <c r="B25" s="454" t="s">
        <v>2882</v>
      </c>
      <c r="C25" s="458" t="s">
        <v>2410</v>
      </c>
      <c r="D25" s="456"/>
      <c r="E25" s="456" t="e">
        <f>SUMIF('LƯƠNG KT'!#REF!,"B",'LƯƠNG KT'!#REF!)*$L$17</f>
        <v>#REF!</v>
      </c>
      <c r="F25" s="460">
        <f>5.8*$L$9</f>
        <v>3879.2719999999999</v>
      </c>
      <c r="G25" s="456" t="e">
        <f t="shared" ref="G25:G28" si="6">E25*F25</f>
        <v>#REF!</v>
      </c>
      <c r="H25" s="456" t="e">
        <f t="shared" si="5"/>
        <v>#REF!</v>
      </c>
      <c r="I25" s="457"/>
      <c r="J25" s="397"/>
    </row>
    <row r="26" spans="1:15" ht="22.15" customHeight="1">
      <c r="A26" s="2825"/>
      <c r="B26" s="454" t="s">
        <v>2883</v>
      </c>
      <c r="C26" s="458" t="s">
        <v>2410</v>
      </c>
      <c r="D26" s="456"/>
      <c r="E26" s="456" t="e">
        <f>SUMIF('LƯƠNG KT'!#REF!,"C",'LƯƠNG KT'!#REF!)*$L$17</f>
        <v>#REF!</v>
      </c>
      <c r="F26" s="460">
        <f>5.5*$L$9</f>
        <v>3678.6200000000003</v>
      </c>
      <c r="G26" s="456" t="e">
        <f t="shared" si="6"/>
        <v>#REF!</v>
      </c>
      <c r="H26" s="456" t="e">
        <f t="shared" si="5"/>
        <v>#REF!</v>
      </c>
      <c r="I26" s="457"/>
      <c r="J26" s="397"/>
    </row>
    <row r="27" spans="1:15" ht="22.15" customHeight="1">
      <c r="A27" s="2826"/>
      <c r="B27" s="454" t="s">
        <v>2884</v>
      </c>
      <c r="C27" s="459" t="s">
        <v>2410</v>
      </c>
      <c r="D27" s="456"/>
      <c r="E27" s="456" t="e">
        <f>SUMIF('LƯƠNG KT'!#REF!,"D",'LƯƠNG KT'!#REF!)*$L$17</f>
        <v>#REF!</v>
      </c>
      <c r="F27" s="460">
        <f>5.2*$L$9</f>
        <v>3477.9680000000003</v>
      </c>
      <c r="G27" s="456" t="e">
        <f t="shared" si="6"/>
        <v>#REF!</v>
      </c>
      <c r="H27" s="456" t="e">
        <f t="shared" si="5"/>
        <v>#REF!</v>
      </c>
      <c r="I27" s="457"/>
      <c r="J27" s="397"/>
    </row>
    <row r="28" spans="1:15" ht="22.15" customHeight="1">
      <c r="A28" s="2824" t="s">
        <v>2885</v>
      </c>
      <c r="B28" s="454" t="s">
        <v>2881</v>
      </c>
      <c r="C28" s="459" t="s">
        <v>2410</v>
      </c>
      <c r="D28" s="456"/>
      <c r="E28" s="456" t="e">
        <f>SUMIF('LƯƠNG KT'!#REF!,"A",'LƯƠNG KT'!#REF!)</f>
        <v>#REF!</v>
      </c>
      <c r="F28" s="460">
        <f>6.1*$L$9</f>
        <v>4079.924</v>
      </c>
      <c r="G28" s="456" t="e">
        <f t="shared" si="6"/>
        <v>#REF!</v>
      </c>
      <c r="H28" s="456" t="e">
        <f t="shared" ref="H28:H31" si="7">G28</f>
        <v>#REF!</v>
      </c>
      <c r="I28" s="457"/>
      <c r="J28" s="397"/>
    </row>
    <row r="29" spans="1:15" ht="22.15" customHeight="1">
      <c r="A29" s="2825"/>
      <c r="B29" s="454" t="s">
        <v>2882</v>
      </c>
      <c r="C29" s="458" t="s">
        <v>2410</v>
      </c>
      <c r="D29" s="456"/>
      <c r="E29" s="456" t="e">
        <f>SUMIF('LƯƠNG KT'!#REF!,"B",'LƯƠNG KT'!#REF!)*$L$21</f>
        <v>#REF!</v>
      </c>
      <c r="F29" s="460">
        <f>5.8*$L$9</f>
        <v>3879.2719999999999</v>
      </c>
      <c r="G29" s="456" t="e">
        <f t="shared" ref="G29:G31" si="8">E29*F29</f>
        <v>#REF!</v>
      </c>
      <c r="H29" s="456" t="e">
        <f t="shared" si="7"/>
        <v>#REF!</v>
      </c>
      <c r="I29" s="457"/>
      <c r="J29" s="397"/>
    </row>
    <row r="30" spans="1:15" ht="22.15" customHeight="1">
      <c r="A30" s="2825"/>
      <c r="B30" s="454" t="s">
        <v>2883</v>
      </c>
      <c r="C30" s="458" t="s">
        <v>2410</v>
      </c>
      <c r="D30" s="456"/>
      <c r="E30" s="456" t="e">
        <f>SUMIF('LƯƠNG KT'!#REF!,"C",'LƯƠNG KT'!#REF!)*$L$21</f>
        <v>#REF!</v>
      </c>
      <c r="F30" s="460">
        <f>5.5*$L$9</f>
        <v>3678.6200000000003</v>
      </c>
      <c r="G30" s="456" t="e">
        <f t="shared" si="8"/>
        <v>#REF!</v>
      </c>
      <c r="H30" s="456" t="e">
        <f t="shared" si="7"/>
        <v>#REF!</v>
      </c>
      <c r="I30" s="457"/>
      <c r="J30" s="397"/>
    </row>
    <row r="31" spans="1:15" ht="22.15" customHeight="1">
      <c r="A31" s="2826"/>
      <c r="B31" s="454" t="s">
        <v>2884</v>
      </c>
      <c r="C31" s="459" t="s">
        <v>2410</v>
      </c>
      <c r="D31" s="456"/>
      <c r="E31" s="456" t="e">
        <f>SUMIF('LƯƠNG KT'!#REF!,"D",'LƯƠNG KT'!#REF!)*$L$21</f>
        <v>#REF!</v>
      </c>
      <c r="F31" s="460">
        <f>5.2*$L$9</f>
        <v>3477.9680000000003</v>
      </c>
      <c r="G31" s="456" t="e">
        <f t="shared" si="8"/>
        <v>#REF!</v>
      </c>
      <c r="H31" s="456" t="e">
        <f t="shared" si="7"/>
        <v>#REF!</v>
      </c>
      <c r="I31" s="457"/>
      <c r="J31" s="513"/>
    </row>
    <row r="32" spans="1:15" s="502" customFormat="1" ht="22.15" customHeight="1">
      <c r="A32" s="453"/>
      <c r="B32" s="454" t="s">
        <v>2886</v>
      </c>
      <c r="C32" s="458"/>
      <c r="D32" s="456"/>
      <c r="E32" s="457" t="e">
        <f>SUM(E33:E36)</f>
        <v>#REF!</v>
      </c>
      <c r="F32" s="456"/>
      <c r="G32" s="456" t="e">
        <f>SUM(G33:G36)</f>
        <v>#REF!</v>
      </c>
      <c r="H32" s="456" t="e">
        <f t="shared" si="5"/>
        <v>#REF!</v>
      </c>
      <c r="I32" s="457"/>
      <c r="J32" s="514"/>
      <c r="O32" s="515"/>
    </row>
    <row r="33" spans="1:15" s="502" customFormat="1" ht="22.15" customHeight="1">
      <c r="A33" s="453"/>
      <c r="B33" s="454" t="s">
        <v>2887</v>
      </c>
      <c r="C33" s="459" t="s">
        <v>2410</v>
      </c>
      <c r="D33" s="456"/>
      <c r="E33" s="456" t="e">
        <f>(SUMIF('LƯƠNG KT'!$K$41:$K$94,"A",'LƯƠNG KT'!#REF!)*L14)</f>
        <v>#REF!</v>
      </c>
      <c r="F33" s="460">
        <f>7.3*$L$9</f>
        <v>4882.5320000000002</v>
      </c>
      <c r="G33" s="456" t="e">
        <f>E33*F33</f>
        <v>#REF!</v>
      </c>
      <c r="H33" s="456" t="e">
        <f t="shared" si="5"/>
        <v>#REF!</v>
      </c>
      <c r="I33" s="457"/>
      <c r="J33" s="514"/>
      <c r="O33" s="516"/>
    </row>
    <row r="34" spans="1:15" s="502" customFormat="1" ht="22.15" customHeight="1">
      <c r="A34" s="453"/>
      <c r="B34" s="454" t="s">
        <v>2888</v>
      </c>
      <c r="C34" s="458" t="s">
        <v>2410</v>
      </c>
      <c r="D34" s="456"/>
      <c r="E34" s="456" t="e">
        <f>(SUMIF('LƯƠNG KT'!$K$41:$K$94,"B",'LƯƠNG KT'!#REF!)*L14)</f>
        <v>#REF!</v>
      </c>
      <c r="F34" s="460">
        <f>7*$L$9</f>
        <v>4681.88</v>
      </c>
      <c r="G34" s="456" t="e">
        <f t="shared" ref="G34:G36" si="9">E34*F34</f>
        <v>#REF!</v>
      </c>
      <c r="H34" s="456" t="e">
        <f t="shared" si="5"/>
        <v>#REF!</v>
      </c>
      <c r="I34" s="457"/>
      <c r="J34" s="514"/>
      <c r="K34" s="517"/>
      <c r="L34" s="518"/>
      <c r="M34" s="519"/>
    </row>
    <row r="35" spans="1:15" s="502" customFormat="1" ht="22.15" customHeight="1">
      <c r="A35" s="453"/>
      <c r="B35" s="454" t="s">
        <v>2889</v>
      </c>
      <c r="C35" s="458" t="s">
        <v>2410</v>
      </c>
      <c r="D35" s="456"/>
      <c r="E35" s="456" t="e">
        <f>(SUMIF('LƯƠNG KT'!$K$41:$K$94,"C",'LƯƠNG KT'!#REF!)*L14)</f>
        <v>#REF!</v>
      </c>
      <c r="F35" s="460">
        <f>6.7*$L$9</f>
        <v>4481.2280000000001</v>
      </c>
      <c r="G35" s="456" t="e">
        <f t="shared" si="9"/>
        <v>#REF!</v>
      </c>
      <c r="H35" s="456" t="e">
        <f t="shared" si="5"/>
        <v>#REF!</v>
      </c>
      <c r="I35" s="457"/>
      <c r="J35" s="514"/>
      <c r="K35" s="517"/>
      <c r="L35" s="518"/>
      <c r="M35" s="517"/>
      <c r="O35" s="516"/>
    </row>
    <row r="36" spans="1:15" s="502" customFormat="1" ht="22.15" customHeight="1">
      <c r="A36" s="453"/>
      <c r="B36" s="454" t="s">
        <v>2890</v>
      </c>
      <c r="C36" s="458" t="s">
        <v>2410</v>
      </c>
      <c r="D36" s="456"/>
      <c r="E36" s="456" t="e">
        <f>(SUMIF('LƯƠNG KT'!$K$41:$K$94,"D",'LƯƠNG KT'!#REF!)*L10)</f>
        <v>#REF!</v>
      </c>
      <c r="F36" s="460">
        <f>6.4*$L$9</f>
        <v>4280.576</v>
      </c>
      <c r="G36" s="456" t="e">
        <f t="shared" si="9"/>
        <v>#REF!</v>
      </c>
      <c r="H36" s="456" t="e">
        <f t="shared" si="5"/>
        <v>#REF!</v>
      </c>
      <c r="I36" s="457"/>
      <c r="J36" s="514"/>
      <c r="K36" s="517"/>
      <c r="L36" s="518"/>
      <c r="M36" s="517"/>
    </row>
    <row r="37" spans="1:15" s="503" customFormat="1" ht="22.15" customHeight="1">
      <c r="A37" s="453"/>
      <c r="B37" s="454" t="s">
        <v>2891</v>
      </c>
      <c r="C37" s="458"/>
      <c r="D37" s="456"/>
      <c r="E37" s="463" t="e">
        <f>SUM(E38:E47)</f>
        <v>#REF!</v>
      </c>
      <c r="F37" s="456"/>
      <c r="G37" s="456" t="e">
        <f>SUM(G38:G47)</f>
        <v>#REF!</v>
      </c>
      <c r="H37" s="456" t="e">
        <f>SUM(H38:H47)</f>
        <v>#REF!</v>
      </c>
      <c r="I37" s="457"/>
      <c r="J37" s="520"/>
      <c r="K37" s="521"/>
      <c r="L37" s="522"/>
      <c r="M37" s="523"/>
      <c r="N37" s="524"/>
      <c r="O37" s="525"/>
    </row>
    <row r="38" spans="1:15" ht="22.15" customHeight="1">
      <c r="A38" s="2824" t="s">
        <v>427</v>
      </c>
      <c r="B38" s="454" t="s">
        <v>2887</v>
      </c>
      <c r="C38" s="459" t="s">
        <v>2410</v>
      </c>
      <c r="D38" s="456"/>
      <c r="E38" s="456">
        <f>SUMIF('LƯƠNG KT'!$K$15:$K$40,"A",'LƯƠNG KT'!$H$15:$H$40)*$L$13</f>
        <v>0</v>
      </c>
      <c r="F38" s="460">
        <f>9.2*$L$9</f>
        <v>6153.3279999999995</v>
      </c>
      <c r="G38" s="456">
        <f>E38*F38</f>
        <v>0</v>
      </c>
      <c r="H38" s="456">
        <f t="shared" si="5"/>
        <v>0</v>
      </c>
      <c r="I38" s="457"/>
      <c r="J38" s="513"/>
      <c r="K38" s="484"/>
      <c r="L38" s="399"/>
      <c r="M38" s="487"/>
      <c r="N38" s="399"/>
    </row>
    <row r="39" spans="1:15" ht="22.15" customHeight="1">
      <c r="A39" s="2825"/>
      <c r="B39" s="454" t="s">
        <v>2892</v>
      </c>
      <c r="C39" s="458" t="s">
        <v>2410</v>
      </c>
      <c r="D39" s="456"/>
      <c r="E39" s="456">
        <f>SUMIF('LƯƠNG KT'!$K$15:$K$40,"B",'LƯƠNG KT'!$H$15:$H$40)*$L$13</f>
        <v>0</v>
      </c>
      <c r="F39" s="460">
        <f>8.9*$L$9</f>
        <v>5952.6760000000004</v>
      </c>
      <c r="G39" s="456">
        <f t="shared" ref="G39:G41" si="10">E39*F39</f>
        <v>0</v>
      </c>
      <c r="H39" s="456">
        <f t="shared" si="5"/>
        <v>0</v>
      </c>
      <c r="I39" s="457"/>
      <c r="J39" s="513"/>
      <c r="K39" s="484"/>
      <c r="L39" s="399"/>
      <c r="M39" s="484"/>
    </row>
    <row r="40" spans="1:15" ht="22.15" customHeight="1">
      <c r="A40" s="2826"/>
      <c r="B40" s="454" t="s">
        <v>2889</v>
      </c>
      <c r="C40" s="458" t="s">
        <v>2410</v>
      </c>
      <c r="D40" s="456"/>
      <c r="E40" s="456">
        <f>SUMIF('LƯƠNG KT'!$K$15:$K$40,"C",'LƯƠNG KT'!$H$15:$H$40)*$L$13</f>
        <v>0</v>
      </c>
      <c r="F40" s="460">
        <f>8.6*$L$9</f>
        <v>5752.0240000000003</v>
      </c>
      <c r="G40" s="456">
        <f t="shared" si="10"/>
        <v>0</v>
      </c>
      <c r="H40" s="456">
        <f t="shared" si="5"/>
        <v>0</v>
      </c>
      <c r="I40" s="457"/>
      <c r="J40" s="513"/>
      <c r="K40" s="484"/>
      <c r="L40" s="399"/>
      <c r="M40" s="484"/>
    </row>
    <row r="41" spans="1:15" ht="22.15" customHeight="1">
      <c r="A41" s="2824" t="s">
        <v>520</v>
      </c>
      <c r="B41" s="454" t="s">
        <v>2887</v>
      </c>
      <c r="C41" s="459" t="s">
        <v>2410</v>
      </c>
      <c r="D41" s="456"/>
      <c r="E41" s="456" t="e">
        <f>(SUMIF('LƯƠNG KT'!$K$41:$K$94,"A",'LƯƠNG KT'!#REF!)*$L$14)</f>
        <v>#REF!</v>
      </c>
      <c r="F41" s="460">
        <f>9.2*$L$9</f>
        <v>6153.3279999999995</v>
      </c>
      <c r="G41" s="456" t="e">
        <f t="shared" si="10"/>
        <v>#REF!</v>
      </c>
      <c r="H41" s="456" t="e">
        <f t="shared" ref="H41:H43" si="11">G41</f>
        <v>#REF!</v>
      </c>
      <c r="I41" s="457"/>
      <c r="J41" s="513"/>
      <c r="K41" s="484"/>
      <c r="L41" s="399"/>
      <c r="M41" s="487"/>
      <c r="N41" s="399"/>
    </row>
    <row r="42" spans="1:15" ht="22.15" customHeight="1">
      <c r="A42" s="2825"/>
      <c r="B42" s="454" t="s">
        <v>2892</v>
      </c>
      <c r="C42" s="458" t="s">
        <v>2410</v>
      </c>
      <c r="D42" s="456"/>
      <c r="E42" s="456" t="e">
        <f>(SUMIF('LƯƠNG KT'!$K$41:$K$94,"B",'LƯƠNG KT'!#REF!)*$L$14)</f>
        <v>#REF!</v>
      </c>
      <c r="F42" s="460">
        <f>8.9*$L$9</f>
        <v>5952.6760000000004</v>
      </c>
      <c r="G42" s="456" t="e">
        <f t="shared" ref="G42:G44" si="12">E42*F42</f>
        <v>#REF!</v>
      </c>
      <c r="H42" s="456" t="e">
        <f t="shared" si="11"/>
        <v>#REF!</v>
      </c>
      <c r="I42" s="457"/>
      <c r="J42" s="513"/>
      <c r="K42" s="484"/>
      <c r="L42" s="399"/>
      <c r="M42" s="484"/>
    </row>
    <row r="43" spans="1:15" ht="22.15" customHeight="1">
      <c r="A43" s="2826"/>
      <c r="B43" s="454" t="s">
        <v>2889</v>
      </c>
      <c r="C43" s="458" t="s">
        <v>2410</v>
      </c>
      <c r="D43" s="456"/>
      <c r="E43" s="456" t="e">
        <f>(SUMIF('LƯƠNG KT'!$K$41:$K$94,"C",'LƯƠNG KT'!#REF!)*$L$14)</f>
        <v>#REF!</v>
      </c>
      <c r="F43" s="460">
        <f>8.6*$L$9</f>
        <v>5752.0240000000003</v>
      </c>
      <c r="G43" s="456" t="e">
        <f t="shared" si="12"/>
        <v>#REF!</v>
      </c>
      <c r="H43" s="456" t="e">
        <f t="shared" si="11"/>
        <v>#REF!</v>
      </c>
      <c r="I43" s="457"/>
      <c r="J43" s="513"/>
      <c r="K43" s="484"/>
      <c r="L43" s="399"/>
      <c r="M43" s="484"/>
    </row>
    <row r="44" spans="1:15" ht="22.15" customHeight="1">
      <c r="A44" s="2824" t="s">
        <v>524</v>
      </c>
      <c r="B44" s="454" t="s">
        <v>2887</v>
      </c>
      <c r="C44" s="459" t="s">
        <v>2410</v>
      </c>
      <c r="D44" s="456"/>
      <c r="E44" s="456" t="e">
        <f>SUMIF('LƯƠNG KT'!#REF!,"A",'LƯƠNG KT'!#REF!)*$L$20</f>
        <v>#REF!</v>
      </c>
      <c r="F44" s="460">
        <f>8*$L$9</f>
        <v>5350.72</v>
      </c>
      <c r="G44" s="456" t="e">
        <f t="shared" si="12"/>
        <v>#REF!</v>
      </c>
      <c r="H44" s="456" t="e">
        <f t="shared" si="5"/>
        <v>#REF!</v>
      </c>
      <c r="I44" s="457"/>
      <c r="J44" s="513"/>
      <c r="K44" s="484"/>
      <c r="L44" s="399"/>
      <c r="M44" s="487"/>
      <c r="N44" s="399"/>
    </row>
    <row r="45" spans="1:15" ht="22.15" customHeight="1">
      <c r="A45" s="2825"/>
      <c r="B45" s="454" t="s">
        <v>2892</v>
      </c>
      <c r="C45" s="458" t="s">
        <v>2410</v>
      </c>
      <c r="D45" s="456"/>
      <c r="E45" s="456" t="e">
        <f>SUMIF('LƯƠNG KT'!#REF!,"B",'LƯƠNG KT'!#REF!)*$L$20</f>
        <v>#REF!</v>
      </c>
      <c r="F45" s="460">
        <f>7.7*$L$9</f>
        <v>5150.0680000000002</v>
      </c>
      <c r="G45" s="456" t="e">
        <f t="shared" ref="G45:G47" si="13">E45*F45</f>
        <v>#REF!</v>
      </c>
      <c r="H45" s="456" t="e">
        <f t="shared" si="5"/>
        <v>#REF!</v>
      </c>
      <c r="I45" s="457"/>
      <c r="J45" s="513"/>
      <c r="K45" s="484"/>
      <c r="L45" s="399"/>
      <c r="M45" s="484"/>
    </row>
    <row r="46" spans="1:15" ht="22.15" customHeight="1">
      <c r="A46" s="2826"/>
      <c r="B46" s="454" t="s">
        <v>2889</v>
      </c>
      <c r="C46" s="458" t="s">
        <v>2410</v>
      </c>
      <c r="D46" s="456"/>
      <c r="E46" s="456" t="e">
        <f>SUMIF('LƯƠNG KT'!#REF!,"C",'LƯƠNG KT'!#REF!)*$L$20</f>
        <v>#REF!</v>
      </c>
      <c r="F46" s="460">
        <f>7.4*$L$9</f>
        <v>4949.4160000000002</v>
      </c>
      <c r="G46" s="456" t="e">
        <f t="shared" si="13"/>
        <v>#REF!</v>
      </c>
      <c r="H46" s="456" t="e">
        <f t="shared" si="5"/>
        <v>#REF!</v>
      </c>
      <c r="I46" s="457"/>
      <c r="J46" s="513"/>
      <c r="K46" s="484"/>
      <c r="L46" s="399"/>
      <c r="M46" s="484"/>
    </row>
    <row r="47" spans="1:15" ht="22.15" hidden="1" customHeight="1">
      <c r="A47" s="453"/>
      <c r="B47" s="454" t="s">
        <v>2893</v>
      </c>
      <c r="C47" s="458" t="s">
        <v>2410</v>
      </c>
      <c r="D47" s="456"/>
      <c r="E47" s="456" t="e">
        <f>(SUMIF('LƯƠNG KT'!$K$41:$K$94,"D",'LƯƠNG KT'!#REF!)*0.4)+(SUMIF('LƯƠNG KT'!#REF!,"D",'LƯƠNG KT'!#REF!)*0.4)+(SUMIF('LƯƠNG KT'!$K$15:$K$40,"D",'LƯƠNG KT'!$H$15:$H$40)*0.4)</f>
        <v>#REF!</v>
      </c>
      <c r="F47" s="460">
        <f>7.1*$L$9</f>
        <v>4748.7640000000001</v>
      </c>
      <c r="G47" s="456" t="e">
        <f t="shared" si="13"/>
        <v>#REF!</v>
      </c>
      <c r="H47" s="456" t="e">
        <f t="shared" si="5"/>
        <v>#REF!</v>
      </c>
      <c r="I47" s="457"/>
      <c r="J47" s="513"/>
      <c r="K47" s="484"/>
      <c r="L47" s="399"/>
      <c r="M47" s="484"/>
    </row>
    <row r="48" spans="1:15" ht="22.15" customHeight="1">
      <c r="A48" s="453"/>
      <c r="B48" s="454" t="s">
        <v>2894</v>
      </c>
      <c r="C48" s="458"/>
      <c r="D48" s="456"/>
      <c r="E48" s="457" t="e">
        <f>SUM(E49:E64)</f>
        <v>#REF!</v>
      </c>
      <c r="F48" s="456"/>
      <c r="G48" s="456" t="e">
        <f>SUM(G49:G64)</f>
        <v>#REF!</v>
      </c>
      <c r="H48" s="456" t="e">
        <f>SUM(H49:H64)</f>
        <v>#REF!</v>
      </c>
      <c r="I48" s="457"/>
      <c r="J48" s="513"/>
      <c r="K48" s="484">
        <v>77228.165964566593</v>
      </c>
      <c r="L48" s="399" t="e">
        <f>+E48-K48</f>
        <v>#REF!</v>
      </c>
      <c r="M48" s="489"/>
      <c r="N48" s="485"/>
      <c r="O48" s="486"/>
    </row>
    <row r="49" spans="1:14" ht="22.15" customHeight="1">
      <c r="A49" s="2824" t="s">
        <v>520</v>
      </c>
      <c r="B49" s="454" t="s">
        <v>2887</v>
      </c>
      <c r="C49" s="459" t="s">
        <v>2410</v>
      </c>
      <c r="D49" s="456"/>
      <c r="E49" s="456" t="e">
        <f>(SUMIF('LƯƠNG KT'!$K$41:$K$94,"A",'LƯƠNG KT'!#REF!))</f>
        <v>#REF!</v>
      </c>
      <c r="F49" s="460">
        <f>6.7*L9</f>
        <v>4481.2280000000001</v>
      </c>
      <c r="G49" s="456" t="e">
        <f>E49*F49</f>
        <v>#REF!</v>
      </c>
      <c r="H49" s="456" t="e">
        <f t="shared" ref="H49:H52" si="14">G49</f>
        <v>#REF!</v>
      </c>
      <c r="I49" s="457"/>
      <c r="J49" s="513"/>
      <c r="K49" s="484"/>
      <c r="L49" s="399"/>
      <c r="M49" s="487"/>
      <c r="N49" s="399"/>
    </row>
    <row r="50" spans="1:14" ht="22.15" customHeight="1">
      <c r="A50" s="2825"/>
      <c r="B50" s="454" t="s">
        <v>2892</v>
      </c>
      <c r="C50" s="458" t="s">
        <v>2410</v>
      </c>
      <c r="D50" s="456"/>
      <c r="E50" s="456" t="e">
        <f>(SUMIF('LƯƠNG KT'!$K$41:$K$94,"b",'LƯƠNG KT'!#REF!)*$L$14)</f>
        <v>#REF!</v>
      </c>
      <c r="F50" s="460">
        <f>6.4*L9</f>
        <v>4280.576</v>
      </c>
      <c r="G50" s="456" t="e">
        <f t="shared" ref="G50:G53" si="15">E50*F50</f>
        <v>#REF!</v>
      </c>
      <c r="H50" s="456" t="e">
        <f t="shared" si="14"/>
        <v>#REF!</v>
      </c>
      <c r="I50" s="457"/>
      <c r="J50" s="513"/>
      <c r="K50" s="484" t="e">
        <f>'LƯƠNG KT'!#REF!</f>
        <v>#REF!</v>
      </c>
      <c r="L50" s="399"/>
    </row>
    <row r="51" spans="1:14" ht="22.15" customHeight="1">
      <c r="A51" s="2825"/>
      <c r="B51" s="454" t="s">
        <v>2895</v>
      </c>
      <c r="C51" s="458" t="s">
        <v>2410</v>
      </c>
      <c r="D51" s="456"/>
      <c r="E51" s="456" t="e">
        <f>(SUMIF('LƯƠNG KT'!$K$41:$K$94,"c",'LƯƠNG KT'!#REF!)*$L$14)</f>
        <v>#REF!</v>
      </c>
      <c r="F51" s="460">
        <f>6.1*L9</f>
        <v>4079.924</v>
      </c>
      <c r="G51" s="456" t="e">
        <f t="shared" si="15"/>
        <v>#REF!</v>
      </c>
      <c r="H51" s="456" t="e">
        <f t="shared" si="14"/>
        <v>#REF!</v>
      </c>
      <c r="I51" s="457"/>
      <c r="J51" s="513"/>
      <c r="K51" s="484" t="e">
        <f>+K50*L14</f>
        <v>#REF!</v>
      </c>
      <c r="L51" s="399"/>
      <c r="M51" s="484"/>
    </row>
    <row r="52" spans="1:14" ht="22.15" customHeight="1">
      <c r="A52" s="2826"/>
      <c r="B52" s="454" t="s">
        <v>2893</v>
      </c>
      <c r="C52" s="458" t="s">
        <v>2410</v>
      </c>
      <c r="D52" s="456"/>
      <c r="E52" s="456" t="e">
        <f>(SUMIF('LƯƠNG KT'!$K$41:$K$94,"d",'LƯƠNG KT'!#REF!)*$L$14)</f>
        <v>#REF!</v>
      </c>
      <c r="F52" s="460"/>
      <c r="G52" s="456" t="e">
        <f t="shared" si="15"/>
        <v>#REF!</v>
      </c>
      <c r="H52" s="456" t="e">
        <f t="shared" si="14"/>
        <v>#REF!</v>
      </c>
      <c r="I52" s="457"/>
      <c r="J52" s="513"/>
      <c r="K52" s="484"/>
      <c r="L52" s="484"/>
      <c r="M52" s="484"/>
    </row>
    <row r="53" spans="1:14" ht="22.15" customHeight="1">
      <c r="A53" s="2824" t="s">
        <v>524</v>
      </c>
      <c r="B53" s="454" t="s">
        <v>2887</v>
      </c>
      <c r="C53" s="459" t="s">
        <v>2410</v>
      </c>
      <c r="D53" s="456"/>
      <c r="E53" s="456" t="e">
        <f>SUMIF('LƯƠNG KT'!#REF!,"A",'LƯƠNG KT'!#REF!)*$L$20</f>
        <v>#REF!</v>
      </c>
      <c r="F53" s="460">
        <f>6.7*$L$9</f>
        <v>4481.2280000000001</v>
      </c>
      <c r="G53" s="456" t="e">
        <f t="shared" si="15"/>
        <v>#REF!</v>
      </c>
      <c r="H53" s="456" t="e">
        <f t="shared" si="5"/>
        <v>#REF!</v>
      </c>
      <c r="I53" s="457"/>
      <c r="J53" s="513"/>
      <c r="K53" s="484"/>
      <c r="L53" s="399"/>
      <c r="M53" s="487"/>
      <c r="N53" s="399"/>
    </row>
    <row r="54" spans="1:14" ht="22.15" customHeight="1">
      <c r="A54" s="2825"/>
      <c r="B54" s="454" t="s">
        <v>2892</v>
      </c>
      <c r="C54" s="458" t="s">
        <v>2410</v>
      </c>
      <c r="D54" s="456"/>
      <c r="E54" s="456" t="e">
        <f>SUMIF('LƯƠNG KT'!#REF!,"B",'LƯƠNG KT'!#REF!)*$L$20</f>
        <v>#REF!</v>
      </c>
      <c r="F54" s="460">
        <f>6.4*$L$9</f>
        <v>4280.576</v>
      </c>
      <c r="G54" s="456" t="e">
        <f t="shared" ref="G54:G57" si="16">E54*F54</f>
        <v>#REF!</v>
      </c>
      <c r="H54" s="456" t="e">
        <f t="shared" si="5"/>
        <v>#REF!</v>
      </c>
      <c r="I54" s="457"/>
      <c r="J54" s="513"/>
      <c r="K54" s="484"/>
      <c r="L54" s="399"/>
    </row>
    <row r="55" spans="1:14" ht="22.15" customHeight="1">
      <c r="A55" s="2825"/>
      <c r="B55" s="454" t="s">
        <v>2895</v>
      </c>
      <c r="C55" s="458" t="s">
        <v>2410</v>
      </c>
      <c r="D55" s="456"/>
      <c r="E55" s="456" t="e">
        <f>SUMIF('LƯƠNG KT'!#REF!,"C",'LƯƠNG KT'!#REF!)*$L$20</f>
        <v>#REF!</v>
      </c>
      <c r="F55" s="460">
        <f>6.1*$L$9</f>
        <v>4079.924</v>
      </c>
      <c r="G55" s="456" t="e">
        <f t="shared" si="16"/>
        <v>#REF!</v>
      </c>
      <c r="H55" s="456" t="e">
        <f t="shared" si="5"/>
        <v>#REF!</v>
      </c>
      <c r="I55" s="457"/>
      <c r="J55" s="513"/>
      <c r="K55" s="484" t="e">
        <f>SUM('LƯƠNG KT'!#REF!)</f>
        <v>#REF!</v>
      </c>
      <c r="L55" s="399"/>
      <c r="M55" s="484"/>
    </row>
    <row r="56" spans="1:14" ht="22.15" customHeight="1">
      <c r="A56" s="2826"/>
      <c r="B56" s="454" t="s">
        <v>2893</v>
      </c>
      <c r="C56" s="458" t="s">
        <v>2410</v>
      </c>
      <c r="D56" s="456"/>
      <c r="E56" s="456" t="e">
        <f>SUMIF('LƯƠNG KT'!#REF!,"D",'LƯƠNG KT'!#REF!)*$L$20</f>
        <v>#REF!</v>
      </c>
      <c r="F56" s="460">
        <f>5.8*$L$9</f>
        <v>3879.2719999999999</v>
      </c>
      <c r="G56" s="456" t="e">
        <f t="shared" si="16"/>
        <v>#REF!</v>
      </c>
      <c r="H56" s="456" t="e">
        <f t="shared" si="5"/>
        <v>#REF!</v>
      </c>
      <c r="I56" s="457"/>
      <c r="J56" s="513"/>
      <c r="K56" s="484"/>
      <c r="L56" s="484"/>
      <c r="M56" s="484"/>
    </row>
    <row r="57" spans="1:14" ht="22.15" customHeight="1">
      <c r="A57" s="2824" t="s">
        <v>523</v>
      </c>
      <c r="B57" s="454" t="s">
        <v>2887</v>
      </c>
      <c r="C57" s="459" t="s">
        <v>2410</v>
      </c>
      <c r="D57" s="456"/>
      <c r="E57" s="456" t="e">
        <f>SUMIF('LƯƠNG KT'!#REF!,"A",'LƯƠNG KT'!#REF!)</f>
        <v>#REF!</v>
      </c>
      <c r="F57" s="460">
        <f>6.7*$L$9</f>
        <v>4481.2280000000001</v>
      </c>
      <c r="G57" s="456" t="e">
        <f t="shared" si="16"/>
        <v>#REF!</v>
      </c>
      <c r="H57" s="456" t="e">
        <f t="shared" ref="H57:H60" si="17">G57</f>
        <v>#REF!</v>
      </c>
      <c r="I57" s="457"/>
      <c r="J57" s="513"/>
      <c r="K57" s="484"/>
      <c r="L57" s="399"/>
      <c r="M57" s="487"/>
      <c r="N57" s="399"/>
    </row>
    <row r="58" spans="1:14" ht="22.15" customHeight="1">
      <c r="A58" s="2825"/>
      <c r="B58" s="454" t="s">
        <v>2892</v>
      </c>
      <c r="C58" s="458" t="s">
        <v>2410</v>
      </c>
      <c r="D58" s="456"/>
      <c r="E58" s="456" t="e">
        <f>SUMIF('LƯƠNG KT'!#REF!,"B",'LƯƠNG KT'!#REF!)*$L$19</f>
        <v>#REF!</v>
      </c>
      <c r="F58" s="460">
        <f>6.4*$L$9</f>
        <v>4280.576</v>
      </c>
      <c r="G58" s="456" t="e">
        <f t="shared" ref="G58:G61" si="18">E58*F58</f>
        <v>#REF!</v>
      </c>
      <c r="H58" s="456" t="e">
        <f t="shared" si="17"/>
        <v>#REF!</v>
      </c>
      <c r="I58" s="457"/>
      <c r="J58" s="513"/>
      <c r="K58" s="484" t="e">
        <f>SUM('LƯƠNG KT'!#REF!)</f>
        <v>#REF!</v>
      </c>
      <c r="L58" s="399"/>
    </row>
    <row r="59" spans="1:14" ht="22.15" customHeight="1">
      <c r="A59" s="2825"/>
      <c r="B59" s="454" t="s">
        <v>2895</v>
      </c>
      <c r="C59" s="458" t="s">
        <v>2410</v>
      </c>
      <c r="D59" s="456"/>
      <c r="E59" s="456" t="e">
        <f>SUMIF('LƯƠNG KT'!#REF!,"C",'LƯƠNG KT'!#REF!)*$L$19</f>
        <v>#REF!</v>
      </c>
      <c r="F59" s="460">
        <f>6.1*$L$9</f>
        <v>4079.924</v>
      </c>
      <c r="G59" s="456" t="e">
        <f t="shared" si="18"/>
        <v>#REF!</v>
      </c>
      <c r="H59" s="456" t="e">
        <f t="shared" si="17"/>
        <v>#REF!</v>
      </c>
      <c r="I59" s="457"/>
      <c r="J59" s="513"/>
      <c r="K59" s="484" t="e">
        <f>+K58*#REF!</f>
        <v>#REF!</v>
      </c>
      <c r="L59" s="399"/>
      <c r="M59" s="484"/>
    </row>
    <row r="60" spans="1:14" ht="22.15" customHeight="1">
      <c r="A60" s="2826"/>
      <c r="B60" s="454" t="s">
        <v>2893</v>
      </c>
      <c r="C60" s="458" t="s">
        <v>2410</v>
      </c>
      <c r="D60" s="456"/>
      <c r="E60" s="456" t="e">
        <f>SUMIF('LƯƠNG KT'!#REF!,"D",'LƯƠNG KT'!#REF!)*$L$19</f>
        <v>#REF!</v>
      </c>
      <c r="F60" s="460">
        <f>5.8*$L$9</f>
        <v>3879.2719999999999</v>
      </c>
      <c r="G60" s="456" t="e">
        <f t="shared" si="18"/>
        <v>#REF!</v>
      </c>
      <c r="H60" s="456" t="e">
        <f t="shared" si="17"/>
        <v>#REF!</v>
      </c>
      <c r="I60" s="457"/>
      <c r="J60" s="513"/>
      <c r="K60" s="484"/>
      <c r="L60" s="484"/>
      <c r="M60" s="484"/>
    </row>
    <row r="61" spans="1:14" ht="22.15" customHeight="1">
      <c r="A61" s="2824" t="s">
        <v>285</v>
      </c>
      <c r="B61" s="454" t="s">
        <v>2887</v>
      </c>
      <c r="C61" s="459" t="s">
        <v>2410</v>
      </c>
      <c r="D61" s="456"/>
      <c r="E61" s="456" t="e">
        <f>SUMIF('LƯƠNG KT'!#REF!,"A",'LƯƠNG KT'!#REF!)</f>
        <v>#REF!</v>
      </c>
      <c r="F61" s="460">
        <f>6.7*$L$9</f>
        <v>4481.2280000000001</v>
      </c>
      <c r="G61" s="456" t="e">
        <f t="shared" si="18"/>
        <v>#REF!</v>
      </c>
      <c r="H61" s="456" t="e">
        <f t="shared" si="5"/>
        <v>#REF!</v>
      </c>
      <c r="I61" s="457"/>
      <c r="J61" s="513"/>
      <c r="K61" s="484"/>
      <c r="L61" s="399"/>
      <c r="M61" s="487"/>
      <c r="N61" s="399"/>
    </row>
    <row r="62" spans="1:14" ht="22.15" customHeight="1">
      <c r="A62" s="2825"/>
      <c r="B62" s="454" t="s">
        <v>2892</v>
      </c>
      <c r="C62" s="458" t="s">
        <v>2410</v>
      </c>
      <c r="D62" s="456"/>
      <c r="E62" s="456" t="e">
        <f>SUMIF('LƯƠNG KT'!#REF!,"B",'LƯƠNG KT'!#REF!)*$L$18</f>
        <v>#REF!</v>
      </c>
      <c r="F62" s="460">
        <f>6.4*$L$9</f>
        <v>4280.576</v>
      </c>
      <c r="G62" s="456" t="e">
        <f t="shared" ref="G62:G64" si="19">E62*F62</f>
        <v>#REF!</v>
      </c>
      <c r="H62" s="456" t="e">
        <f t="shared" si="5"/>
        <v>#REF!</v>
      </c>
      <c r="I62" s="457"/>
      <c r="J62" s="513"/>
      <c r="K62" s="484" t="e">
        <f>'LƯƠNG KT'!#REF!</f>
        <v>#REF!</v>
      </c>
      <c r="L62" s="399"/>
    </row>
    <row r="63" spans="1:14" ht="22.15" customHeight="1">
      <c r="A63" s="2825"/>
      <c r="B63" s="454" t="s">
        <v>2895</v>
      </c>
      <c r="C63" s="458" t="s">
        <v>2410</v>
      </c>
      <c r="D63" s="456"/>
      <c r="E63" s="456" t="e">
        <f>SUMIF('LƯƠNG KT'!#REF!,"C",'LƯƠNG KT'!#REF!)*$L$18</f>
        <v>#REF!</v>
      </c>
      <c r="F63" s="460">
        <f>6.1*$L$9</f>
        <v>4079.924</v>
      </c>
      <c r="G63" s="456" t="e">
        <f t="shared" si="19"/>
        <v>#REF!</v>
      </c>
      <c r="H63" s="456" t="e">
        <f t="shared" si="5"/>
        <v>#REF!</v>
      </c>
      <c r="I63" s="457"/>
      <c r="J63" s="513"/>
      <c r="K63" s="484" t="e">
        <f>+K62*#REF!</f>
        <v>#REF!</v>
      </c>
      <c r="L63" s="399"/>
      <c r="M63" s="484"/>
    </row>
    <row r="64" spans="1:14" ht="22.15" customHeight="1">
      <c r="A64" s="2826"/>
      <c r="B64" s="454" t="s">
        <v>2893</v>
      </c>
      <c r="C64" s="458" t="s">
        <v>2410</v>
      </c>
      <c r="D64" s="456"/>
      <c r="E64" s="456" t="e">
        <f>SUMIF('LƯƠNG KT'!#REF!,"D",'LƯƠNG KT'!#REF!)*$L$18</f>
        <v>#REF!</v>
      </c>
      <c r="F64" s="460">
        <f>5.8*$L$9</f>
        <v>3879.2719999999999</v>
      </c>
      <c r="G64" s="456" t="e">
        <f t="shared" si="19"/>
        <v>#REF!</v>
      </c>
      <c r="H64" s="456" t="e">
        <f t="shared" si="5"/>
        <v>#REF!</v>
      </c>
      <c r="I64" s="457"/>
      <c r="J64" s="513"/>
      <c r="K64" s="484"/>
      <c r="L64" s="484"/>
      <c r="M64" s="484"/>
    </row>
    <row r="65" spans="1:16" ht="22.15" customHeight="1">
      <c r="A65" s="453"/>
      <c r="B65" s="454" t="s">
        <v>2896</v>
      </c>
      <c r="C65" s="458" t="s">
        <v>2410</v>
      </c>
      <c r="D65" s="456"/>
      <c r="E65" s="457">
        <f>THCKT!X10*0.5</f>
        <v>0</v>
      </c>
      <c r="F65" s="456">
        <f>6.1*$L$9</f>
        <v>4079.924</v>
      </c>
      <c r="G65" s="456">
        <f t="shared" ref="G65:G66" si="20">E65*F65</f>
        <v>0</v>
      </c>
      <c r="H65" s="456">
        <f t="shared" si="5"/>
        <v>0</v>
      </c>
      <c r="I65" s="461"/>
      <c r="J65" s="526"/>
      <c r="K65" s="431"/>
      <c r="L65" s="431"/>
    </row>
    <row r="66" spans="1:16" ht="22.15" customHeight="1">
      <c r="A66" s="453"/>
      <c r="B66" s="454" t="s">
        <v>2897</v>
      </c>
      <c r="C66" s="458" t="s">
        <v>2410</v>
      </c>
      <c r="D66" s="456"/>
      <c r="E66" s="457">
        <v>142.47734492223199</v>
      </c>
      <c r="F66" s="456">
        <f>6.1*$L$9</f>
        <v>4079.924</v>
      </c>
      <c r="G66" s="456">
        <f t="shared" si="20"/>
        <v>581296.73900449241</v>
      </c>
      <c r="H66" s="456">
        <f t="shared" si="5"/>
        <v>581296.73900449241</v>
      </c>
      <c r="I66" s="461"/>
      <c r="J66" s="526"/>
      <c r="K66" s="431"/>
      <c r="L66" s="431"/>
    </row>
    <row r="67" spans="1:16" ht="22.15" customHeight="1">
      <c r="A67" s="453" t="s">
        <v>2414</v>
      </c>
      <c r="B67" s="454" t="s">
        <v>2898</v>
      </c>
      <c r="C67" s="462" t="s">
        <v>2420</v>
      </c>
      <c r="D67" s="456" t="e">
        <f>SUM(D68:D74)</f>
        <v>#REF!</v>
      </c>
      <c r="E67" s="456"/>
      <c r="F67" s="456"/>
      <c r="G67" s="456" t="e">
        <f>SUM(G68:G76)</f>
        <v>#REF!</v>
      </c>
      <c r="H67" s="456" t="e">
        <f>SUM(H68:H76)</f>
        <v>#REF!</v>
      </c>
      <c r="I67" s="457"/>
      <c r="J67" s="513"/>
      <c r="K67" s="431"/>
      <c r="L67" s="431"/>
      <c r="M67" s="489"/>
      <c r="N67" s="488"/>
      <c r="O67" s="399"/>
    </row>
    <row r="68" spans="1:16" ht="22.15" customHeight="1">
      <c r="A68" s="453"/>
      <c r="B68" s="454" t="s">
        <v>2743</v>
      </c>
      <c r="C68" s="462" t="s">
        <v>2420</v>
      </c>
      <c r="D68" s="456">
        <f>'LƯƠNG KT'!M95</f>
        <v>1808</v>
      </c>
      <c r="E68" s="456"/>
      <c r="F68" s="456">
        <f>46.1*$L$9</f>
        <v>30833.524000000001</v>
      </c>
      <c r="G68" s="456">
        <f t="shared" ref="G68:G74" si="21">D68*F68</f>
        <v>55747011.392000005</v>
      </c>
      <c r="H68" s="456">
        <f t="shared" si="5"/>
        <v>55747011.392000005</v>
      </c>
      <c r="I68" s="457"/>
      <c r="J68" s="513"/>
      <c r="K68" s="431"/>
      <c r="L68" s="431"/>
      <c r="M68" s="431"/>
    </row>
    <row r="69" spans="1:16" s="435" customFormat="1" ht="22.15" customHeight="1">
      <c r="A69" s="453"/>
      <c r="B69" s="454" t="s">
        <v>2744</v>
      </c>
      <c r="C69" s="462" t="s">
        <v>2420</v>
      </c>
      <c r="D69" s="456">
        <f>'LƯƠNG KT'!N95</f>
        <v>329</v>
      </c>
      <c r="E69" s="456"/>
      <c r="F69" s="456">
        <f>76.9*$L$9</f>
        <v>51433.796000000009</v>
      </c>
      <c r="G69" s="456">
        <f t="shared" si="21"/>
        <v>16921718.884000003</v>
      </c>
      <c r="H69" s="456">
        <f t="shared" si="5"/>
        <v>16921718.884000003</v>
      </c>
      <c r="I69" s="457"/>
      <c r="J69" s="513"/>
      <c r="K69" s="490"/>
      <c r="L69" s="490"/>
    </row>
    <row r="70" spans="1:16" s="435" customFormat="1" ht="22.15" customHeight="1">
      <c r="A70" s="453"/>
      <c r="B70" s="454" t="s">
        <v>2899</v>
      </c>
      <c r="C70" s="462" t="s">
        <v>2420</v>
      </c>
      <c r="D70" s="456">
        <f>THCKT!AD461</f>
        <v>0</v>
      </c>
      <c r="E70" s="456"/>
      <c r="F70" s="456">
        <v>10000</v>
      </c>
      <c r="G70" s="456">
        <f t="shared" si="21"/>
        <v>0</v>
      </c>
      <c r="H70" s="456">
        <f t="shared" si="5"/>
        <v>0</v>
      </c>
      <c r="I70" s="457"/>
      <c r="J70" s="513"/>
      <c r="K70" s="491"/>
      <c r="L70" s="491"/>
    </row>
    <row r="71" spans="1:16" s="435" customFormat="1" ht="22.15" customHeight="1">
      <c r="A71" s="453"/>
      <c r="B71" s="454" t="s">
        <v>369</v>
      </c>
      <c r="C71" s="462" t="s">
        <v>2420</v>
      </c>
      <c r="D71" s="456" t="e">
        <f>'LƯƠNG KT'!#REF!</f>
        <v>#REF!</v>
      </c>
      <c r="E71" s="456"/>
      <c r="F71" s="456">
        <f>46.1*$L$9*2</f>
        <v>61667.048000000003</v>
      </c>
      <c r="G71" s="456" t="e">
        <f t="shared" si="21"/>
        <v>#REF!</v>
      </c>
      <c r="H71" s="456" t="e">
        <f t="shared" ref="H71:H73" si="22">G71</f>
        <v>#REF!</v>
      </c>
      <c r="I71" s="457"/>
      <c r="J71" s="513"/>
      <c r="K71" s="491"/>
      <c r="L71" s="491"/>
    </row>
    <row r="72" spans="1:16" s="435" customFormat="1" ht="22.15" customHeight="1">
      <c r="A72" s="453"/>
      <c r="B72" s="454" t="s">
        <v>2666</v>
      </c>
      <c r="C72" s="462" t="s">
        <v>2420</v>
      </c>
      <c r="D72" s="456" t="e">
        <f>'LƯƠNG KT'!#REF!</f>
        <v>#REF!</v>
      </c>
      <c r="E72" s="456"/>
      <c r="F72" s="456">
        <f>46.1*$L$9*2</f>
        <v>61667.048000000003</v>
      </c>
      <c r="G72" s="456" t="e">
        <f t="shared" si="21"/>
        <v>#REF!</v>
      </c>
      <c r="H72" s="456" t="e">
        <f t="shared" ref="H72" si="23">G72</f>
        <v>#REF!</v>
      </c>
      <c r="I72" s="457"/>
      <c r="J72" s="513"/>
      <c r="K72" s="491"/>
      <c r="L72" s="491"/>
    </row>
    <row r="73" spans="1:16" s="435" customFormat="1" ht="22.15" customHeight="1">
      <c r="A73" s="453"/>
      <c r="B73" s="454" t="s">
        <v>2680</v>
      </c>
      <c r="C73" s="462" t="s">
        <v>2420</v>
      </c>
      <c r="D73" s="456" t="e">
        <f>'LƯƠNG KT'!#REF!</f>
        <v>#REF!</v>
      </c>
      <c r="E73" s="456"/>
      <c r="F73" s="456">
        <f>76.9*$L$9*2</f>
        <v>102867.59200000002</v>
      </c>
      <c r="G73" s="456" t="e">
        <f t="shared" si="21"/>
        <v>#REF!</v>
      </c>
      <c r="H73" s="456" t="e">
        <f t="shared" si="22"/>
        <v>#REF!</v>
      </c>
      <c r="I73" s="457"/>
      <c r="J73" s="513"/>
      <c r="K73" s="491"/>
      <c r="L73" s="491"/>
    </row>
    <row r="74" spans="1:16" s="435" customFormat="1" ht="22.15" customHeight="1">
      <c r="A74" s="453"/>
      <c r="B74" s="454" t="s">
        <v>2681</v>
      </c>
      <c r="C74" s="462" t="s">
        <v>2420</v>
      </c>
      <c r="D74" s="456" t="e">
        <f>'LƯƠNG KT'!#REF!</f>
        <v>#REF!</v>
      </c>
      <c r="E74" s="456"/>
      <c r="F74" s="456">
        <f>30.7*$L$9</f>
        <v>20533.387999999999</v>
      </c>
      <c r="G74" s="456" t="e">
        <f t="shared" si="21"/>
        <v>#REF!</v>
      </c>
      <c r="H74" s="456" t="e">
        <f t="shared" si="5"/>
        <v>#REF!</v>
      </c>
      <c r="I74" s="457"/>
      <c r="J74" s="513"/>
      <c r="K74" s="491"/>
      <c r="L74" s="491"/>
    </row>
    <row r="75" spans="1:16" s="435" customFormat="1" ht="22.15" customHeight="1">
      <c r="A75" s="453"/>
      <c r="B75" s="454" t="s">
        <v>2747</v>
      </c>
      <c r="C75" s="462" t="s">
        <v>2858</v>
      </c>
      <c r="D75" s="456" t="e">
        <f>'LƯƠNG KT'!#REF!</f>
        <v>#REF!</v>
      </c>
      <c r="E75" s="456"/>
      <c r="F75" s="456">
        <v>20000</v>
      </c>
      <c r="G75" s="456" t="e">
        <f>F75*D75</f>
        <v>#REF!</v>
      </c>
      <c r="H75" s="456" t="e">
        <f t="shared" ref="H75" si="24">G75</f>
        <v>#REF!</v>
      </c>
      <c r="I75" s="457"/>
      <c r="J75" s="513"/>
      <c r="K75" s="491"/>
      <c r="L75" s="491"/>
    </row>
    <row r="76" spans="1:16" s="435" customFormat="1" ht="22.15" customHeight="1">
      <c r="A76" s="453"/>
      <c r="B76" s="454" t="s">
        <v>2683</v>
      </c>
      <c r="C76" s="462" t="s">
        <v>2858</v>
      </c>
      <c r="D76" s="456" t="e">
        <f>'LƯƠNG KT'!#REF!</f>
        <v>#REF!</v>
      </c>
      <c r="E76" s="456"/>
      <c r="F76" s="456">
        <v>20000</v>
      </c>
      <c r="G76" s="456" t="e">
        <f>D76*F76</f>
        <v>#REF!</v>
      </c>
      <c r="H76" s="456" t="e">
        <f t="shared" si="5"/>
        <v>#REF!</v>
      </c>
      <c r="I76" s="457"/>
      <c r="J76" s="513"/>
      <c r="K76" s="491"/>
      <c r="L76" s="491"/>
    </row>
    <row r="77" spans="1:16" ht="22.15" customHeight="1">
      <c r="A77" s="453" t="s">
        <v>2416</v>
      </c>
      <c r="B77" s="454" t="s">
        <v>2900</v>
      </c>
      <c r="C77" s="462" t="s">
        <v>2420</v>
      </c>
      <c r="D77" s="457">
        <f>THCKT!S10</f>
        <v>17752.276000000002</v>
      </c>
      <c r="E77" s="456"/>
      <c r="F77" s="456">
        <v>25000</v>
      </c>
      <c r="G77" s="456">
        <f>+D77*F77</f>
        <v>443806900</v>
      </c>
      <c r="H77" s="456">
        <f t="shared" si="5"/>
        <v>443806900</v>
      </c>
      <c r="I77" s="457"/>
      <c r="J77" s="513"/>
      <c r="K77" s="431"/>
      <c r="L77" s="431"/>
      <c r="M77" s="484"/>
      <c r="N77" s="484"/>
    </row>
    <row r="78" spans="1:16" s="394" customFormat="1" ht="22.15" customHeight="1">
      <c r="A78" s="453">
        <v>2</v>
      </c>
      <c r="B78" s="454" t="s">
        <v>2863</v>
      </c>
      <c r="C78" s="462" t="s">
        <v>2420</v>
      </c>
      <c r="D78" s="456">
        <f>'LƯƠNG BV9THUC'!J13/25000</f>
        <v>208</v>
      </c>
      <c r="E78" s="456"/>
      <c r="F78" s="456">
        <f>'LƯƠNG BV9THUC'!J13/D78</f>
        <v>25000</v>
      </c>
      <c r="G78" s="456">
        <f>+D78*F78</f>
        <v>5200000</v>
      </c>
      <c r="H78" s="456">
        <f t="shared" si="5"/>
        <v>5200000</v>
      </c>
      <c r="I78" s="452"/>
      <c r="J78" s="527"/>
      <c r="K78" s="477"/>
      <c r="N78" s="440"/>
      <c r="P78" s="440"/>
    </row>
    <row r="79" spans="1:16" s="394" customFormat="1" ht="22.15" customHeight="1">
      <c r="A79" s="448" t="s">
        <v>2805</v>
      </c>
      <c r="B79" s="449" t="s">
        <v>2469</v>
      </c>
      <c r="C79" s="450"/>
      <c r="D79" s="451"/>
      <c r="E79" s="451"/>
      <c r="F79" s="451"/>
      <c r="G79" s="451">
        <f>SUM(G80)</f>
        <v>13652380.952380955</v>
      </c>
      <c r="H79" s="451">
        <f t="shared" si="5"/>
        <v>13652380.952380955</v>
      </c>
      <c r="I79" s="452"/>
      <c r="J79" s="527"/>
      <c r="K79" s="477"/>
      <c r="L79" s="477"/>
      <c r="N79" s="440"/>
      <c r="P79" s="440"/>
    </row>
    <row r="80" spans="1:16" ht="22.15" customHeight="1">
      <c r="A80" s="453">
        <v>1</v>
      </c>
      <c r="B80" s="454" t="s">
        <v>2901</v>
      </c>
      <c r="C80" s="462" t="s">
        <v>2420</v>
      </c>
      <c r="D80" s="457">
        <f>KTCB!D16</f>
        <v>546.09523809523819</v>
      </c>
      <c r="E80" s="456"/>
      <c r="F80" s="456">
        <v>25000</v>
      </c>
      <c r="G80" s="456">
        <f>+D80*F80</f>
        <v>13652380.952380955</v>
      </c>
      <c r="H80" s="456">
        <f t="shared" si="5"/>
        <v>13652380.952380955</v>
      </c>
      <c r="I80" s="457"/>
      <c r="J80" s="513"/>
      <c r="K80" s="431"/>
      <c r="L80" s="431"/>
      <c r="N80" s="399"/>
      <c r="P80" s="399"/>
    </row>
    <row r="81" spans="1:16" s="394" customFormat="1" ht="22.15" customHeight="1">
      <c r="A81" s="448" t="s">
        <v>2428</v>
      </c>
      <c r="B81" s="449" t="s">
        <v>2902</v>
      </c>
      <c r="C81" s="462"/>
      <c r="D81" s="457"/>
      <c r="E81" s="456"/>
      <c r="F81" s="456"/>
      <c r="G81" s="451">
        <f>SUM(G82:G83)</f>
        <v>2000000</v>
      </c>
      <c r="H81" s="451">
        <f>SUM(H82:H83)</f>
        <v>2000000</v>
      </c>
      <c r="I81" s="452"/>
      <c r="J81" s="527"/>
      <c r="K81" s="477"/>
      <c r="L81" s="477"/>
      <c r="N81" s="440"/>
      <c r="P81" s="440"/>
    </row>
    <row r="82" spans="1:16" s="394" customFormat="1" ht="22.15" customHeight="1">
      <c r="A82" s="453">
        <v>1</v>
      </c>
      <c r="B82" s="454" t="s">
        <v>2903</v>
      </c>
      <c r="C82" s="462" t="s">
        <v>2904</v>
      </c>
      <c r="D82" s="456"/>
      <c r="E82" s="457">
        <f>'TRẠM CÁN'!P20</f>
        <v>0</v>
      </c>
      <c r="F82" s="456">
        <f>123.1*$L$9</f>
        <v>82334.203999999998</v>
      </c>
      <c r="G82" s="456">
        <f>F82*E82</f>
        <v>0</v>
      </c>
      <c r="H82" s="456">
        <f>+G82</f>
        <v>0</v>
      </c>
      <c r="I82" s="457"/>
      <c r="J82" s="513"/>
      <c r="K82" s="477"/>
      <c r="L82" s="477"/>
      <c r="N82" s="440"/>
      <c r="P82" s="440"/>
    </row>
    <row r="83" spans="1:16" s="394" customFormat="1" ht="22.15" customHeight="1">
      <c r="A83" s="453">
        <v>2</v>
      </c>
      <c r="B83" s="454" t="s">
        <v>1880</v>
      </c>
      <c r="C83" s="462" t="s">
        <v>2807</v>
      </c>
      <c r="D83" s="456"/>
      <c r="E83" s="456"/>
      <c r="F83" s="456"/>
      <c r="G83" s="456">
        <f>SUM('TRẠM CÁN'!X19)</f>
        <v>2000000</v>
      </c>
      <c r="H83" s="456">
        <f>+G83</f>
        <v>2000000</v>
      </c>
      <c r="I83" s="452"/>
      <c r="J83" s="527"/>
      <c r="N83" s="440"/>
      <c r="P83" s="440"/>
    </row>
    <row r="84" spans="1:16" s="394" customFormat="1" ht="22.15" customHeight="1">
      <c r="A84" s="448" t="s">
        <v>2905</v>
      </c>
      <c r="B84" s="464" t="s">
        <v>2906</v>
      </c>
      <c r="C84" s="462" t="s">
        <v>2858</v>
      </c>
      <c r="D84" s="456"/>
      <c r="E84" s="456"/>
      <c r="F84" s="456"/>
      <c r="G84" s="451" t="e">
        <f>'TRẠM CÁN'!T13</f>
        <v>#REF!</v>
      </c>
      <c r="H84" s="451" t="e">
        <f>'TRẠM CÁN'!X13</f>
        <v>#REF!</v>
      </c>
      <c r="I84" s="452"/>
      <c r="J84" s="527"/>
      <c r="K84" s="477"/>
      <c r="L84" s="477"/>
      <c r="N84" s="440"/>
      <c r="P84" s="440"/>
    </row>
    <row r="85" spans="1:16" ht="21.95" customHeight="1">
      <c r="A85" s="2831" t="s">
        <v>2907</v>
      </c>
      <c r="B85" s="2831"/>
      <c r="C85" s="465"/>
      <c r="D85" s="451"/>
      <c r="E85" s="456"/>
      <c r="F85" s="456"/>
      <c r="G85" s="451" t="e">
        <f>G13+G79+G81+G84</f>
        <v>#REF!</v>
      </c>
      <c r="H85" s="451" t="e">
        <f>H13+H79+H81+H84-0.1</f>
        <v>#REF!</v>
      </c>
      <c r="I85" s="452"/>
      <c r="J85" s="527"/>
      <c r="K85" s="493">
        <f>+'LƯƠNG CNTT'!M105</f>
        <v>397238399.95238096</v>
      </c>
      <c r="L85" s="493" t="e">
        <f>+G85-K85</f>
        <v>#REF!</v>
      </c>
      <c r="M85" s="489" t="e">
        <f>+G85-K86</f>
        <v>#REF!</v>
      </c>
      <c r="N85" s="489"/>
      <c r="O85" s="399"/>
    </row>
    <row r="86" spans="1:16">
      <c r="A86" s="2820" t="s">
        <v>2908</v>
      </c>
      <c r="B86" s="2820"/>
      <c r="C86" s="2820"/>
      <c r="D86" s="2820"/>
      <c r="E86" s="2820"/>
      <c r="F86" s="2820"/>
      <c r="G86" s="2820"/>
      <c r="H86" s="2820"/>
      <c r="I86" s="2820"/>
      <c r="J86" s="528"/>
      <c r="K86" s="399" t="e">
        <f>+H85-K85</f>
        <v>#REF!</v>
      </c>
      <c r="M86" s="399"/>
      <c r="N86" s="494"/>
    </row>
    <row r="87" spans="1:16" s="396" customFormat="1" ht="18.75">
      <c r="A87" s="466"/>
      <c r="B87" s="466"/>
      <c r="C87" s="466"/>
      <c r="D87" s="421"/>
      <c r="E87" s="467"/>
      <c r="F87" s="2821" t="s">
        <v>2909</v>
      </c>
      <c r="G87" s="2821"/>
      <c r="H87" s="2821"/>
      <c r="I87" s="2821"/>
      <c r="J87" s="468"/>
      <c r="L87" s="2822" t="s">
        <v>2910</v>
      </c>
      <c r="M87" s="2822"/>
      <c r="N87" s="2822"/>
      <c r="O87" s="495"/>
    </row>
    <row r="88" spans="1:16" s="396" customFormat="1" ht="4.1500000000000004" customHeight="1">
      <c r="A88" s="469"/>
      <c r="B88" s="469"/>
      <c r="C88" s="469"/>
      <c r="D88" s="470"/>
      <c r="E88" s="467"/>
      <c r="F88" s="424"/>
      <c r="G88" s="425"/>
      <c r="H88" s="425"/>
      <c r="I88" s="471"/>
      <c r="J88" s="471"/>
      <c r="K88" s="433"/>
      <c r="L88" s="433"/>
      <c r="M88" s="529"/>
      <c r="N88" s="530"/>
    </row>
    <row r="89" spans="1:16" s="436" customFormat="1" ht="18.75">
      <c r="A89" s="472" t="s">
        <v>2911</v>
      </c>
      <c r="C89" s="472"/>
      <c r="D89" s="472"/>
      <c r="E89" s="472"/>
      <c r="F89" s="472"/>
      <c r="G89" s="473"/>
      <c r="H89" s="473"/>
      <c r="I89" s="474"/>
      <c r="J89" s="474"/>
      <c r="K89" s="496"/>
      <c r="L89" s="531" t="s">
        <v>6</v>
      </c>
      <c r="M89" s="532" t="s">
        <v>2912</v>
      </c>
      <c r="N89" s="533" t="s">
        <v>2913</v>
      </c>
    </row>
    <row r="90" spans="1:16" s="396" customFormat="1" ht="18.75">
      <c r="A90" s="469"/>
      <c r="B90" s="469"/>
      <c r="C90" s="469"/>
      <c r="D90" s="470"/>
      <c r="E90" s="467"/>
      <c r="F90" s="424"/>
      <c r="G90" s="425"/>
      <c r="H90" s="425"/>
      <c r="I90" s="471"/>
      <c r="J90" s="471"/>
      <c r="K90" s="433"/>
      <c r="L90" s="534">
        <v>1</v>
      </c>
      <c r="M90" s="535" t="s">
        <v>628</v>
      </c>
      <c r="N90" s="536" t="e">
        <f>H85</f>
        <v>#REF!</v>
      </c>
    </row>
    <row r="91" spans="1:16" s="396" customFormat="1" ht="18.75">
      <c r="A91" s="469"/>
      <c r="B91" s="469"/>
      <c r="C91" s="469"/>
      <c r="D91" s="470"/>
      <c r="E91" s="467"/>
      <c r="F91" s="424"/>
      <c r="G91" s="425"/>
      <c r="H91" s="425"/>
      <c r="I91" s="471"/>
      <c r="J91" s="471"/>
      <c r="L91" s="534">
        <v>2</v>
      </c>
      <c r="M91" s="535" t="s">
        <v>2914</v>
      </c>
      <c r="N91" s="536">
        <v>29876000</v>
      </c>
    </row>
    <row r="92" spans="1:16" s="396" customFormat="1" ht="18.75">
      <c r="A92" s="469"/>
      <c r="B92" s="469"/>
      <c r="C92" s="469"/>
      <c r="D92" s="470"/>
      <c r="E92" s="467"/>
      <c r="F92" s="424"/>
      <c r="G92" s="425"/>
      <c r="H92" s="425"/>
      <c r="I92" s="471"/>
      <c r="J92" s="471"/>
      <c r="L92" s="534">
        <v>3</v>
      </c>
      <c r="M92" s="535" t="s">
        <v>2915</v>
      </c>
      <c r="N92" s="536">
        <v>24000000</v>
      </c>
    </row>
    <row r="93" spans="1:16" s="396" customFormat="1" ht="18.75">
      <c r="A93" s="469"/>
      <c r="B93" s="469"/>
      <c r="C93" s="469"/>
      <c r="D93" s="470"/>
      <c r="E93" s="467"/>
      <c r="F93" s="424"/>
      <c r="G93" s="425"/>
      <c r="H93" s="425"/>
      <c r="I93" s="471"/>
      <c r="J93" s="471"/>
      <c r="L93" s="534">
        <v>4</v>
      </c>
      <c r="M93" s="535" t="s">
        <v>2916</v>
      </c>
      <c r="N93" s="536">
        <v>150000000</v>
      </c>
    </row>
    <row r="94" spans="1:16" s="396" customFormat="1" ht="18.75" hidden="1">
      <c r="A94" s="469"/>
      <c r="B94" s="469"/>
      <c r="C94" s="469"/>
      <c r="D94" s="470"/>
      <c r="E94" s="467"/>
      <c r="F94" s="2823"/>
      <c r="G94" s="2823"/>
      <c r="H94" s="474"/>
      <c r="I94" s="474"/>
      <c r="J94" s="474"/>
    </row>
    <row r="95" spans="1:16" hidden="1">
      <c r="A95" s="497"/>
      <c r="B95" s="497"/>
      <c r="C95" s="497"/>
      <c r="D95" s="498"/>
      <c r="E95" s="497"/>
      <c r="F95" s="499"/>
      <c r="G95" s="429"/>
      <c r="H95" s="429"/>
      <c r="I95" s="499"/>
      <c r="J95" s="499"/>
    </row>
    <row r="96" spans="1:16" ht="18.75" hidden="1">
      <c r="A96" s="497"/>
      <c r="B96" s="500"/>
      <c r="C96" s="497"/>
      <c r="D96" s="498"/>
      <c r="E96" s="500"/>
      <c r="F96" s="501"/>
      <c r="G96" s="430"/>
      <c r="H96" s="430"/>
      <c r="I96" s="501"/>
      <c r="J96" s="501"/>
      <c r="L96" s="534">
        <v>7</v>
      </c>
      <c r="M96" s="535"/>
      <c r="N96" s="536"/>
    </row>
    <row r="97" spans="11:14" ht="18.75" hidden="1">
      <c r="L97" s="534">
        <v>8</v>
      </c>
      <c r="M97" s="535"/>
      <c r="N97" s="536"/>
    </row>
    <row r="98" spans="11:14" ht="18.75" hidden="1">
      <c r="L98" s="534">
        <v>9</v>
      </c>
      <c r="M98" s="535"/>
      <c r="N98" s="536"/>
    </row>
    <row r="99" spans="11:14" ht="18.75" hidden="1">
      <c r="L99" s="534">
        <v>10</v>
      </c>
      <c r="M99" s="535"/>
      <c r="N99" s="536"/>
    </row>
    <row r="100" spans="11:14" ht="18.75">
      <c r="L100" s="537"/>
      <c r="M100" s="532" t="s">
        <v>525</v>
      </c>
      <c r="N100" s="538" t="e">
        <f>SUM(N90:N99)</f>
        <v>#REF!</v>
      </c>
    </row>
    <row r="101" spans="11:14">
      <c r="K101" s="431"/>
      <c r="L101" s="431"/>
    </row>
    <row r="104" spans="11:14">
      <c r="K104" s="431"/>
      <c r="L104" s="431"/>
    </row>
    <row r="106" spans="11:14">
      <c r="K106" s="431"/>
      <c r="L106" s="431"/>
    </row>
  </sheetData>
  <mergeCells count="25">
    <mergeCell ref="A1:I1"/>
    <mergeCell ref="A2:I2"/>
    <mergeCell ref="A3:I3"/>
    <mergeCell ref="A4:D4"/>
    <mergeCell ref="A5:D5"/>
    <mergeCell ref="A8:I8"/>
    <mergeCell ref="A9:I9"/>
    <mergeCell ref="H11:I11"/>
    <mergeCell ref="K12:L12"/>
    <mergeCell ref="A85:B85"/>
    <mergeCell ref="A86:I86"/>
    <mergeCell ref="F87:I87"/>
    <mergeCell ref="L87:N87"/>
    <mergeCell ref="F94:G94"/>
    <mergeCell ref="A16:A19"/>
    <mergeCell ref="A20:A23"/>
    <mergeCell ref="A24:A27"/>
    <mergeCell ref="A28:A31"/>
    <mergeCell ref="A38:A40"/>
    <mergeCell ref="A41:A43"/>
    <mergeCell ref="A44:A46"/>
    <mergeCell ref="A49:A52"/>
    <mergeCell ref="A53:A56"/>
    <mergeCell ref="A57:A60"/>
    <mergeCell ref="A61:A64"/>
  </mergeCells>
  <pageMargins left="0.31496062992126" right="0" top="0.35433070866141703" bottom="0.55118110236220497" header="0.31496062992126" footer="0.31496062992126"/>
  <pageSetup paperSize="9" orientation="landscape"/>
  <headerFooter>
    <oddFooter>&amp;RPage &amp;P/4</oddFooter>
  </headerFooter>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N79"/>
  <sheetViews>
    <sheetView topLeftCell="A19" workbookViewId="0">
      <selection activeCell="B13" sqref="B13"/>
    </sheetView>
  </sheetViews>
  <sheetFormatPr defaultColWidth="8.7109375" defaultRowHeight="15.75"/>
  <cols>
    <col min="1" max="1" width="6" style="397" customWidth="1"/>
    <col min="2" max="2" width="42.28515625" style="397" customWidth="1"/>
    <col min="3" max="3" width="9.28515625" style="398" customWidth="1"/>
    <col min="4" max="4" width="12.7109375" style="398" customWidth="1"/>
    <col min="5" max="5" width="15.140625" style="437" customWidth="1"/>
    <col min="6" max="6" width="12" style="399" customWidth="1"/>
    <col min="7" max="7" width="21.42578125" style="400" customWidth="1"/>
    <col min="8" max="8" width="23.42578125" style="399" customWidth="1"/>
    <col min="9" max="9" width="28.28515625" style="397" customWidth="1"/>
    <col min="10" max="10" width="20.7109375" style="397" customWidth="1"/>
    <col min="11" max="11" width="34.7109375" style="397" customWidth="1"/>
    <col min="12" max="12" width="21.85546875" style="397" customWidth="1"/>
    <col min="13" max="13" width="15.7109375" style="397" customWidth="1"/>
    <col min="14" max="14" width="17.7109375" style="397" customWidth="1"/>
    <col min="15" max="257" width="8.7109375" style="397"/>
    <col min="258" max="258" width="6.85546875" style="397" customWidth="1"/>
    <col min="259" max="259" width="39.28515625" style="397" customWidth="1"/>
    <col min="260" max="260" width="9.28515625" style="397" customWidth="1"/>
    <col min="261" max="261" width="10.7109375" style="397" customWidth="1"/>
    <col min="262" max="262" width="15" style="397" customWidth="1"/>
    <col min="263" max="263" width="10.42578125" style="397" customWidth="1"/>
    <col min="264" max="264" width="20.42578125" style="397" customWidth="1"/>
    <col min="265" max="265" width="20.7109375" style="397" customWidth="1"/>
    <col min="266" max="266" width="11.140625" style="397" customWidth="1"/>
    <col min="267" max="267" width="24" style="397" customWidth="1"/>
    <col min="268" max="268" width="20.28515625" style="397" customWidth="1"/>
    <col min="269" max="269" width="14.85546875" style="397" customWidth="1"/>
    <col min="270" max="270" width="11.28515625" style="397" customWidth="1"/>
    <col min="271" max="513" width="8.7109375" style="397"/>
    <col min="514" max="514" width="6.85546875" style="397" customWidth="1"/>
    <col min="515" max="515" width="39.28515625" style="397" customWidth="1"/>
    <col min="516" max="516" width="9.28515625" style="397" customWidth="1"/>
    <col min="517" max="517" width="10.7109375" style="397" customWidth="1"/>
    <col min="518" max="518" width="15" style="397" customWidth="1"/>
    <col min="519" max="519" width="10.42578125" style="397" customWidth="1"/>
    <col min="520" max="520" width="20.42578125" style="397" customWidth="1"/>
    <col min="521" max="521" width="20.7109375" style="397" customWidth="1"/>
    <col min="522" max="522" width="11.140625" style="397" customWidth="1"/>
    <col min="523" max="523" width="24" style="397" customWidth="1"/>
    <col min="524" max="524" width="20.28515625" style="397" customWidth="1"/>
    <col min="525" max="525" width="14.85546875" style="397" customWidth="1"/>
    <col min="526" max="526" width="11.28515625" style="397" customWidth="1"/>
    <col min="527" max="769" width="8.7109375" style="397"/>
    <col min="770" max="770" width="6.85546875" style="397" customWidth="1"/>
    <col min="771" max="771" width="39.28515625" style="397" customWidth="1"/>
    <col min="772" max="772" width="9.28515625" style="397" customWidth="1"/>
    <col min="773" max="773" width="10.7109375" style="397" customWidth="1"/>
    <col min="774" max="774" width="15" style="397" customWidth="1"/>
    <col min="775" max="775" width="10.42578125" style="397" customWidth="1"/>
    <col min="776" max="776" width="20.42578125" style="397" customWidth="1"/>
    <col min="777" max="777" width="20.7109375" style="397" customWidth="1"/>
    <col min="778" max="778" width="11.140625" style="397" customWidth="1"/>
    <col min="779" max="779" width="24" style="397" customWidth="1"/>
    <col min="780" max="780" width="20.28515625" style="397" customWidth="1"/>
    <col min="781" max="781" width="14.85546875" style="397" customWidth="1"/>
    <col min="782" max="782" width="11.28515625" style="397" customWidth="1"/>
    <col min="783" max="1025" width="8.7109375" style="397"/>
    <col min="1026" max="1026" width="6.85546875" style="397" customWidth="1"/>
    <col min="1027" max="1027" width="39.28515625" style="397" customWidth="1"/>
    <col min="1028" max="1028" width="9.28515625" style="397" customWidth="1"/>
    <col min="1029" max="1029" width="10.7109375" style="397" customWidth="1"/>
    <col min="1030" max="1030" width="15" style="397" customWidth="1"/>
    <col min="1031" max="1031" width="10.42578125" style="397" customWidth="1"/>
    <col min="1032" max="1032" width="20.42578125" style="397" customWidth="1"/>
    <col min="1033" max="1033" width="20.7109375" style="397" customWidth="1"/>
    <col min="1034" max="1034" width="11.140625" style="397" customWidth="1"/>
    <col min="1035" max="1035" width="24" style="397" customWidth="1"/>
    <col min="1036" max="1036" width="20.28515625" style="397" customWidth="1"/>
    <col min="1037" max="1037" width="14.85546875" style="397" customWidth="1"/>
    <col min="1038" max="1038" width="11.28515625" style="397" customWidth="1"/>
    <col min="1039" max="1281" width="8.7109375" style="397"/>
    <col min="1282" max="1282" width="6.85546875" style="397" customWidth="1"/>
    <col min="1283" max="1283" width="39.28515625" style="397" customWidth="1"/>
    <col min="1284" max="1284" width="9.28515625" style="397" customWidth="1"/>
    <col min="1285" max="1285" width="10.7109375" style="397" customWidth="1"/>
    <col min="1286" max="1286" width="15" style="397" customWidth="1"/>
    <col min="1287" max="1287" width="10.42578125" style="397" customWidth="1"/>
    <col min="1288" max="1288" width="20.42578125" style="397" customWidth="1"/>
    <col min="1289" max="1289" width="20.7109375" style="397" customWidth="1"/>
    <col min="1290" max="1290" width="11.140625" style="397" customWidth="1"/>
    <col min="1291" max="1291" width="24" style="397" customWidth="1"/>
    <col min="1292" max="1292" width="20.28515625" style="397" customWidth="1"/>
    <col min="1293" max="1293" width="14.85546875" style="397" customWidth="1"/>
    <col min="1294" max="1294" width="11.28515625" style="397" customWidth="1"/>
    <col min="1295" max="1537" width="8.7109375" style="397"/>
    <col min="1538" max="1538" width="6.85546875" style="397" customWidth="1"/>
    <col min="1539" max="1539" width="39.28515625" style="397" customWidth="1"/>
    <col min="1540" max="1540" width="9.28515625" style="397" customWidth="1"/>
    <col min="1541" max="1541" width="10.7109375" style="397" customWidth="1"/>
    <col min="1542" max="1542" width="15" style="397" customWidth="1"/>
    <col min="1543" max="1543" width="10.42578125" style="397" customWidth="1"/>
    <col min="1544" max="1544" width="20.42578125" style="397" customWidth="1"/>
    <col min="1545" max="1545" width="20.7109375" style="397" customWidth="1"/>
    <col min="1546" max="1546" width="11.140625" style="397" customWidth="1"/>
    <col min="1547" max="1547" width="24" style="397" customWidth="1"/>
    <col min="1548" max="1548" width="20.28515625" style="397" customWidth="1"/>
    <col min="1549" max="1549" width="14.85546875" style="397" customWidth="1"/>
    <col min="1550" max="1550" width="11.28515625" style="397" customWidth="1"/>
    <col min="1551" max="1793" width="8.7109375" style="397"/>
    <col min="1794" max="1794" width="6.85546875" style="397" customWidth="1"/>
    <col min="1795" max="1795" width="39.28515625" style="397" customWidth="1"/>
    <col min="1796" max="1796" width="9.28515625" style="397" customWidth="1"/>
    <col min="1797" max="1797" width="10.7109375" style="397" customWidth="1"/>
    <col min="1798" max="1798" width="15" style="397" customWidth="1"/>
    <col min="1799" max="1799" width="10.42578125" style="397" customWidth="1"/>
    <col min="1800" max="1800" width="20.42578125" style="397" customWidth="1"/>
    <col min="1801" max="1801" width="20.7109375" style="397" customWidth="1"/>
    <col min="1802" max="1802" width="11.140625" style="397" customWidth="1"/>
    <col min="1803" max="1803" width="24" style="397" customWidth="1"/>
    <col min="1804" max="1804" width="20.28515625" style="397" customWidth="1"/>
    <col min="1805" max="1805" width="14.85546875" style="397" customWidth="1"/>
    <col min="1806" max="1806" width="11.28515625" style="397" customWidth="1"/>
    <col min="1807" max="2049" width="8.7109375" style="397"/>
    <col min="2050" max="2050" width="6.85546875" style="397" customWidth="1"/>
    <col min="2051" max="2051" width="39.28515625" style="397" customWidth="1"/>
    <col min="2052" max="2052" width="9.28515625" style="397" customWidth="1"/>
    <col min="2053" max="2053" width="10.7109375" style="397" customWidth="1"/>
    <col min="2054" max="2054" width="15" style="397" customWidth="1"/>
    <col min="2055" max="2055" width="10.42578125" style="397" customWidth="1"/>
    <col min="2056" max="2056" width="20.42578125" style="397" customWidth="1"/>
    <col min="2057" max="2057" width="20.7109375" style="397" customWidth="1"/>
    <col min="2058" max="2058" width="11.140625" style="397" customWidth="1"/>
    <col min="2059" max="2059" width="24" style="397" customWidth="1"/>
    <col min="2060" max="2060" width="20.28515625" style="397" customWidth="1"/>
    <col min="2061" max="2061" width="14.85546875" style="397" customWidth="1"/>
    <col min="2062" max="2062" width="11.28515625" style="397" customWidth="1"/>
    <col min="2063" max="2305" width="8.7109375" style="397"/>
    <col min="2306" max="2306" width="6.85546875" style="397" customWidth="1"/>
    <col min="2307" max="2307" width="39.28515625" style="397" customWidth="1"/>
    <col min="2308" max="2308" width="9.28515625" style="397" customWidth="1"/>
    <col min="2309" max="2309" width="10.7109375" style="397" customWidth="1"/>
    <col min="2310" max="2310" width="15" style="397" customWidth="1"/>
    <col min="2311" max="2311" width="10.42578125" style="397" customWidth="1"/>
    <col min="2312" max="2312" width="20.42578125" style="397" customWidth="1"/>
    <col min="2313" max="2313" width="20.7109375" style="397" customWidth="1"/>
    <col min="2314" max="2314" width="11.140625" style="397" customWidth="1"/>
    <col min="2315" max="2315" width="24" style="397" customWidth="1"/>
    <col min="2316" max="2316" width="20.28515625" style="397" customWidth="1"/>
    <col min="2317" max="2317" width="14.85546875" style="397" customWidth="1"/>
    <col min="2318" max="2318" width="11.28515625" style="397" customWidth="1"/>
    <col min="2319" max="2561" width="8.7109375" style="397"/>
    <col min="2562" max="2562" width="6.85546875" style="397" customWidth="1"/>
    <col min="2563" max="2563" width="39.28515625" style="397" customWidth="1"/>
    <col min="2564" max="2564" width="9.28515625" style="397" customWidth="1"/>
    <col min="2565" max="2565" width="10.7109375" style="397" customWidth="1"/>
    <col min="2566" max="2566" width="15" style="397" customWidth="1"/>
    <col min="2567" max="2567" width="10.42578125" style="397" customWidth="1"/>
    <col min="2568" max="2568" width="20.42578125" style="397" customWidth="1"/>
    <col min="2569" max="2569" width="20.7109375" style="397" customWidth="1"/>
    <col min="2570" max="2570" width="11.140625" style="397" customWidth="1"/>
    <col min="2571" max="2571" width="24" style="397" customWidth="1"/>
    <col min="2572" max="2572" width="20.28515625" style="397" customWidth="1"/>
    <col min="2573" max="2573" width="14.85546875" style="397" customWidth="1"/>
    <col min="2574" max="2574" width="11.28515625" style="397" customWidth="1"/>
    <col min="2575" max="2817" width="8.7109375" style="397"/>
    <col min="2818" max="2818" width="6.85546875" style="397" customWidth="1"/>
    <col min="2819" max="2819" width="39.28515625" style="397" customWidth="1"/>
    <col min="2820" max="2820" width="9.28515625" style="397" customWidth="1"/>
    <col min="2821" max="2821" width="10.7109375" style="397" customWidth="1"/>
    <col min="2822" max="2822" width="15" style="397" customWidth="1"/>
    <col min="2823" max="2823" width="10.42578125" style="397" customWidth="1"/>
    <col min="2824" max="2824" width="20.42578125" style="397" customWidth="1"/>
    <col min="2825" max="2825" width="20.7109375" style="397" customWidth="1"/>
    <col min="2826" max="2826" width="11.140625" style="397" customWidth="1"/>
    <col min="2827" max="2827" width="24" style="397" customWidth="1"/>
    <col min="2828" max="2828" width="20.28515625" style="397" customWidth="1"/>
    <col min="2829" max="2829" width="14.85546875" style="397" customWidth="1"/>
    <col min="2830" max="2830" width="11.28515625" style="397" customWidth="1"/>
    <col min="2831" max="3073" width="8.7109375" style="397"/>
    <col min="3074" max="3074" width="6.85546875" style="397" customWidth="1"/>
    <col min="3075" max="3075" width="39.28515625" style="397" customWidth="1"/>
    <col min="3076" max="3076" width="9.28515625" style="397" customWidth="1"/>
    <col min="3077" max="3077" width="10.7109375" style="397" customWidth="1"/>
    <col min="3078" max="3078" width="15" style="397" customWidth="1"/>
    <col min="3079" max="3079" width="10.42578125" style="397" customWidth="1"/>
    <col min="3080" max="3080" width="20.42578125" style="397" customWidth="1"/>
    <col min="3081" max="3081" width="20.7109375" style="397" customWidth="1"/>
    <col min="3082" max="3082" width="11.140625" style="397" customWidth="1"/>
    <col min="3083" max="3083" width="24" style="397" customWidth="1"/>
    <col min="3084" max="3084" width="20.28515625" style="397" customWidth="1"/>
    <col min="3085" max="3085" width="14.85546875" style="397" customWidth="1"/>
    <col min="3086" max="3086" width="11.28515625" style="397" customWidth="1"/>
    <col min="3087" max="3329" width="8.7109375" style="397"/>
    <col min="3330" max="3330" width="6.85546875" style="397" customWidth="1"/>
    <col min="3331" max="3331" width="39.28515625" style="397" customWidth="1"/>
    <col min="3332" max="3332" width="9.28515625" style="397" customWidth="1"/>
    <col min="3333" max="3333" width="10.7109375" style="397" customWidth="1"/>
    <col min="3334" max="3334" width="15" style="397" customWidth="1"/>
    <col min="3335" max="3335" width="10.42578125" style="397" customWidth="1"/>
    <col min="3336" max="3336" width="20.42578125" style="397" customWidth="1"/>
    <col min="3337" max="3337" width="20.7109375" style="397" customWidth="1"/>
    <col min="3338" max="3338" width="11.140625" style="397" customWidth="1"/>
    <col min="3339" max="3339" width="24" style="397" customWidth="1"/>
    <col min="3340" max="3340" width="20.28515625" style="397" customWidth="1"/>
    <col min="3341" max="3341" width="14.85546875" style="397" customWidth="1"/>
    <col min="3342" max="3342" width="11.28515625" style="397" customWidth="1"/>
    <col min="3343" max="3585" width="8.7109375" style="397"/>
    <col min="3586" max="3586" width="6.85546875" style="397" customWidth="1"/>
    <col min="3587" max="3587" width="39.28515625" style="397" customWidth="1"/>
    <col min="3588" max="3588" width="9.28515625" style="397" customWidth="1"/>
    <col min="3589" max="3589" width="10.7109375" style="397" customWidth="1"/>
    <col min="3590" max="3590" width="15" style="397" customWidth="1"/>
    <col min="3591" max="3591" width="10.42578125" style="397" customWidth="1"/>
    <col min="3592" max="3592" width="20.42578125" style="397" customWidth="1"/>
    <col min="3593" max="3593" width="20.7109375" style="397" customWidth="1"/>
    <col min="3594" max="3594" width="11.140625" style="397" customWidth="1"/>
    <col min="3595" max="3595" width="24" style="397" customWidth="1"/>
    <col min="3596" max="3596" width="20.28515625" style="397" customWidth="1"/>
    <col min="3597" max="3597" width="14.85546875" style="397" customWidth="1"/>
    <col min="3598" max="3598" width="11.28515625" style="397" customWidth="1"/>
    <col min="3599" max="3841" width="8.7109375" style="397"/>
    <col min="3842" max="3842" width="6.85546875" style="397" customWidth="1"/>
    <col min="3843" max="3843" width="39.28515625" style="397" customWidth="1"/>
    <col min="3844" max="3844" width="9.28515625" style="397" customWidth="1"/>
    <col min="3845" max="3845" width="10.7109375" style="397" customWidth="1"/>
    <col min="3846" max="3846" width="15" style="397" customWidth="1"/>
    <col min="3847" max="3847" width="10.42578125" style="397" customWidth="1"/>
    <col min="3848" max="3848" width="20.42578125" style="397" customWidth="1"/>
    <col min="3849" max="3849" width="20.7109375" style="397" customWidth="1"/>
    <col min="3850" max="3850" width="11.140625" style="397" customWidth="1"/>
    <col min="3851" max="3851" width="24" style="397" customWidth="1"/>
    <col min="3852" max="3852" width="20.28515625" style="397" customWidth="1"/>
    <col min="3853" max="3853" width="14.85546875" style="397" customWidth="1"/>
    <col min="3854" max="3854" width="11.28515625" style="397" customWidth="1"/>
    <col min="3855" max="4097" width="8.7109375" style="397"/>
    <col min="4098" max="4098" width="6.85546875" style="397" customWidth="1"/>
    <col min="4099" max="4099" width="39.28515625" style="397" customWidth="1"/>
    <col min="4100" max="4100" width="9.28515625" style="397" customWidth="1"/>
    <col min="4101" max="4101" width="10.7109375" style="397" customWidth="1"/>
    <col min="4102" max="4102" width="15" style="397" customWidth="1"/>
    <col min="4103" max="4103" width="10.42578125" style="397" customWidth="1"/>
    <col min="4104" max="4104" width="20.42578125" style="397" customWidth="1"/>
    <col min="4105" max="4105" width="20.7109375" style="397" customWidth="1"/>
    <col min="4106" max="4106" width="11.140625" style="397" customWidth="1"/>
    <col min="4107" max="4107" width="24" style="397" customWidth="1"/>
    <col min="4108" max="4108" width="20.28515625" style="397" customWidth="1"/>
    <col min="4109" max="4109" width="14.85546875" style="397" customWidth="1"/>
    <col min="4110" max="4110" width="11.28515625" style="397" customWidth="1"/>
    <col min="4111" max="4353" width="8.7109375" style="397"/>
    <col min="4354" max="4354" width="6.85546875" style="397" customWidth="1"/>
    <col min="4355" max="4355" width="39.28515625" style="397" customWidth="1"/>
    <col min="4356" max="4356" width="9.28515625" style="397" customWidth="1"/>
    <col min="4357" max="4357" width="10.7109375" style="397" customWidth="1"/>
    <col min="4358" max="4358" width="15" style="397" customWidth="1"/>
    <col min="4359" max="4359" width="10.42578125" style="397" customWidth="1"/>
    <col min="4360" max="4360" width="20.42578125" style="397" customWidth="1"/>
    <col min="4361" max="4361" width="20.7109375" style="397" customWidth="1"/>
    <col min="4362" max="4362" width="11.140625" style="397" customWidth="1"/>
    <col min="4363" max="4363" width="24" style="397" customWidth="1"/>
    <col min="4364" max="4364" width="20.28515625" style="397" customWidth="1"/>
    <col min="4365" max="4365" width="14.85546875" style="397" customWidth="1"/>
    <col min="4366" max="4366" width="11.28515625" style="397" customWidth="1"/>
    <col min="4367" max="4609" width="8.7109375" style="397"/>
    <col min="4610" max="4610" width="6.85546875" style="397" customWidth="1"/>
    <col min="4611" max="4611" width="39.28515625" style="397" customWidth="1"/>
    <col min="4612" max="4612" width="9.28515625" style="397" customWidth="1"/>
    <col min="4613" max="4613" width="10.7109375" style="397" customWidth="1"/>
    <col min="4614" max="4614" width="15" style="397" customWidth="1"/>
    <col min="4615" max="4615" width="10.42578125" style="397" customWidth="1"/>
    <col min="4616" max="4616" width="20.42578125" style="397" customWidth="1"/>
    <col min="4617" max="4617" width="20.7109375" style="397" customWidth="1"/>
    <col min="4618" max="4618" width="11.140625" style="397" customWidth="1"/>
    <col min="4619" max="4619" width="24" style="397" customWidth="1"/>
    <col min="4620" max="4620" width="20.28515625" style="397" customWidth="1"/>
    <col min="4621" max="4621" width="14.85546875" style="397" customWidth="1"/>
    <col min="4622" max="4622" width="11.28515625" style="397" customWidth="1"/>
    <col min="4623" max="4865" width="8.7109375" style="397"/>
    <col min="4866" max="4866" width="6.85546875" style="397" customWidth="1"/>
    <col min="4867" max="4867" width="39.28515625" style="397" customWidth="1"/>
    <col min="4868" max="4868" width="9.28515625" style="397" customWidth="1"/>
    <col min="4869" max="4869" width="10.7109375" style="397" customWidth="1"/>
    <col min="4870" max="4870" width="15" style="397" customWidth="1"/>
    <col min="4871" max="4871" width="10.42578125" style="397" customWidth="1"/>
    <col min="4872" max="4872" width="20.42578125" style="397" customWidth="1"/>
    <col min="4873" max="4873" width="20.7109375" style="397" customWidth="1"/>
    <col min="4874" max="4874" width="11.140625" style="397" customWidth="1"/>
    <col min="4875" max="4875" width="24" style="397" customWidth="1"/>
    <col min="4876" max="4876" width="20.28515625" style="397" customWidth="1"/>
    <col min="4877" max="4877" width="14.85546875" style="397" customWidth="1"/>
    <col min="4878" max="4878" width="11.28515625" style="397" customWidth="1"/>
    <col min="4879" max="5121" width="8.7109375" style="397"/>
    <col min="5122" max="5122" width="6.85546875" style="397" customWidth="1"/>
    <col min="5123" max="5123" width="39.28515625" style="397" customWidth="1"/>
    <col min="5124" max="5124" width="9.28515625" style="397" customWidth="1"/>
    <col min="5125" max="5125" width="10.7109375" style="397" customWidth="1"/>
    <col min="5126" max="5126" width="15" style="397" customWidth="1"/>
    <col min="5127" max="5127" width="10.42578125" style="397" customWidth="1"/>
    <col min="5128" max="5128" width="20.42578125" style="397" customWidth="1"/>
    <col min="5129" max="5129" width="20.7109375" style="397" customWidth="1"/>
    <col min="5130" max="5130" width="11.140625" style="397" customWidth="1"/>
    <col min="5131" max="5131" width="24" style="397" customWidth="1"/>
    <col min="5132" max="5132" width="20.28515625" style="397" customWidth="1"/>
    <col min="5133" max="5133" width="14.85546875" style="397" customWidth="1"/>
    <col min="5134" max="5134" width="11.28515625" style="397" customWidth="1"/>
    <col min="5135" max="5377" width="8.7109375" style="397"/>
    <col min="5378" max="5378" width="6.85546875" style="397" customWidth="1"/>
    <col min="5379" max="5379" width="39.28515625" style="397" customWidth="1"/>
    <col min="5380" max="5380" width="9.28515625" style="397" customWidth="1"/>
    <col min="5381" max="5381" width="10.7109375" style="397" customWidth="1"/>
    <col min="5382" max="5382" width="15" style="397" customWidth="1"/>
    <col min="5383" max="5383" width="10.42578125" style="397" customWidth="1"/>
    <col min="5384" max="5384" width="20.42578125" style="397" customWidth="1"/>
    <col min="5385" max="5385" width="20.7109375" style="397" customWidth="1"/>
    <col min="5386" max="5386" width="11.140625" style="397" customWidth="1"/>
    <col min="5387" max="5387" width="24" style="397" customWidth="1"/>
    <col min="5388" max="5388" width="20.28515625" style="397" customWidth="1"/>
    <col min="5389" max="5389" width="14.85546875" style="397" customWidth="1"/>
    <col min="5390" max="5390" width="11.28515625" style="397" customWidth="1"/>
    <col min="5391" max="5633" width="8.7109375" style="397"/>
    <col min="5634" max="5634" width="6.85546875" style="397" customWidth="1"/>
    <col min="5635" max="5635" width="39.28515625" style="397" customWidth="1"/>
    <col min="5636" max="5636" width="9.28515625" style="397" customWidth="1"/>
    <col min="5637" max="5637" width="10.7109375" style="397" customWidth="1"/>
    <col min="5638" max="5638" width="15" style="397" customWidth="1"/>
    <col min="5639" max="5639" width="10.42578125" style="397" customWidth="1"/>
    <col min="5640" max="5640" width="20.42578125" style="397" customWidth="1"/>
    <col min="5641" max="5641" width="20.7109375" style="397" customWidth="1"/>
    <col min="5642" max="5642" width="11.140625" style="397" customWidth="1"/>
    <col min="5643" max="5643" width="24" style="397" customWidth="1"/>
    <col min="5644" max="5644" width="20.28515625" style="397" customWidth="1"/>
    <col min="5645" max="5645" width="14.85546875" style="397" customWidth="1"/>
    <col min="5646" max="5646" width="11.28515625" style="397" customWidth="1"/>
    <col min="5647" max="5889" width="8.7109375" style="397"/>
    <col min="5890" max="5890" width="6.85546875" style="397" customWidth="1"/>
    <col min="5891" max="5891" width="39.28515625" style="397" customWidth="1"/>
    <col min="5892" max="5892" width="9.28515625" style="397" customWidth="1"/>
    <col min="5893" max="5893" width="10.7109375" style="397" customWidth="1"/>
    <col min="5894" max="5894" width="15" style="397" customWidth="1"/>
    <col min="5895" max="5895" width="10.42578125" style="397" customWidth="1"/>
    <col min="5896" max="5896" width="20.42578125" style="397" customWidth="1"/>
    <col min="5897" max="5897" width="20.7109375" style="397" customWidth="1"/>
    <col min="5898" max="5898" width="11.140625" style="397" customWidth="1"/>
    <col min="5899" max="5899" width="24" style="397" customWidth="1"/>
    <col min="5900" max="5900" width="20.28515625" style="397" customWidth="1"/>
    <col min="5901" max="5901" width="14.85546875" style="397" customWidth="1"/>
    <col min="5902" max="5902" width="11.28515625" style="397" customWidth="1"/>
    <col min="5903" max="6145" width="8.7109375" style="397"/>
    <col min="6146" max="6146" width="6.85546875" style="397" customWidth="1"/>
    <col min="6147" max="6147" width="39.28515625" style="397" customWidth="1"/>
    <col min="6148" max="6148" width="9.28515625" style="397" customWidth="1"/>
    <col min="6149" max="6149" width="10.7109375" style="397" customWidth="1"/>
    <col min="6150" max="6150" width="15" style="397" customWidth="1"/>
    <col min="6151" max="6151" width="10.42578125" style="397" customWidth="1"/>
    <col min="6152" max="6152" width="20.42578125" style="397" customWidth="1"/>
    <col min="6153" max="6153" width="20.7109375" style="397" customWidth="1"/>
    <col min="6154" max="6154" width="11.140625" style="397" customWidth="1"/>
    <col min="6155" max="6155" width="24" style="397" customWidth="1"/>
    <col min="6156" max="6156" width="20.28515625" style="397" customWidth="1"/>
    <col min="6157" max="6157" width="14.85546875" style="397" customWidth="1"/>
    <col min="6158" max="6158" width="11.28515625" style="397" customWidth="1"/>
    <col min="6159" max="6401" width="8.7109375" style="397"/>
    <col min="6402" max="6402" width="6.85546875" style="397" customWidth="1"/>
    <col min="6403" max="6403" width="39.28515625" style="397" customWidth="1"/>
    <col min="6404" max="6404" width="9.28515625" style="397" customWidth="1"/>
    <col min="6405" max="6405" width="10.7109375" style="397" customWidth="1"/>
    <col min="6406" max="6406" width="15" style="397" customWidth="1"/>
    <col min="6407" max="6407" width="10.42578125" style="397" customWidth="1"/>
    <col min="6408" max="6408" width="20.42578125" style="397" customWidth="1"/>
    <col min="6409" max="6409" width="20.7109375" style="397" customWidth="1"/>
    <col min="6410" max="6410" width="11.140625" style="397" customWidth="1"/>
    <col min="6411" max="6411" width="24" style="397" customWidth="1"/>
    <col min="6412" max="6412" width="20.28515625" style="397" customWidth="1"/>
    <col min="6413" max="6413" width="14.85546875" style="397" customWidth="1"/>
    <col min="6414" max="6414" width="11.28515625" style="397" customWidth="1"/>
    <col min="6415" max="6657" width="8.7109375" style="397"/>
    <col min="6658" max="6658" width="6.85546875" style="397" customWidth="1"/>
    <col min="6659" max="6659" width="39.28515625" style="397" customWidth="1"/>
    <col min="6660" max="6660" width="9.28515625" style="397" customWidth="1"/>
    <col min="6661" max="6661" width="10.7109375" style="397" customWidth="1"/>
    <col min="6662" max="6662" width="15" style="397" customWidth="1"/>
    <col min="6663" max="6663" width="10.42578125" style="397" customWidth="1"/>
    <col min="6664" max="6664" width="20.42578125" style="397" customWidth="1"/>
    <col min="6665" max="6665" width="20.7109375" style="397" customWidth="1"/>
    <col min="6666" max="6666" width="11.140625" style="397" customWidth="1"/>
    <col min="6667" max="6667" width="24" style="397" customWidth="1"/>
    <col min="6668" max="6668" width="20.28515625" style="397" customWidth="1"/>
    <col min="6669" max="6669" width="14.85546875" style="397" customWidth="1"/>
    <col min="6670" max="6670" width="11.28515625" style="397" customWidth="1"/>
    <col min="6671" max="6913" width="8.7109375" style="397"/>
    <col min="6914" max="6914" width="6.85546875" style="397" customWidth="1"/>
    <col min="6915" max="6915" width="39.28515625" style="397" customWidth="1"/>
    <col min="6916" max="6916" width="9.28515625" style="397" customWidth="1"/>
    <col min="6917" max="6917" width="10.7109375" style="397" customWidth="1"/>
    <col min="6918" max="6918" width="15" style="397" customWidth="1"/>
    <col min="6919" max="6919" width="10.42578125" style="397" customWidth="1"/>
    <col min="6920" max="6920" width="20.42578125" style="397" customWidth="1"/>
    <col min="6921" max="6921" width="20.7109375" style="397" customWidth="1"/>
    <col min="6922" max="6922" width="11.140625" style="397" customWidth="1"/>
    <col min="6923" max="6923" width="24" style="397" customWidth="1"/>
    <col min="6924" max="6924" width="20.28515625" style="397" customWidth="1"/>
    <col min="6925" max="6925" width="14.85546875" style="397" customWidth="1"/>
    <col min="6926" max="6926" width="11.28515625" style="397" customWidth="1"/>
    <col min="6927" max="7169" width="8.7109375" style="397"/>
    <col min="7170" max="7170" width="6.85546875" style="397" customWidth="1"/>
    <col min="7171" max="7171" width="39.28515625" style="397" customWidth="1"/>
    <col min="7172" max="7172" width="9.28515625" style="397" customWidth="1"/>
    <col min="7173" max="7173" width="10.7109375" style="397" customWidth="1"/>
    <col min="7174" max="7174" width="15" style="397" customWidth="1"/>
    <col min="7175" max="7175" width="10.42578125" style="397" customWidth="1"/>
    <col min="7176" max="7176" width="20.42578125" style="397" customWidth="1"/>
    <col min="7177" max="7177" width="20.7109375" style="397" customWidth="1"/>
    <col min="7178" max="7178" width="11.140625" style="397" customWidth="1"/>
    <col min="7179" max="7179" width="24" style="397" customWidth="1"/>
    <col min="7180" max="7180" width="20.28515625" style="397" customWidth="1"/>
    <col min="7181" max="7181" width="14.85546875" style="397" customWidth="1"/>
    <col min="7182" max="7182" width="11.28515625" style="397" customWidth="1"/>
    <col min="7183" max="7425" width="8.7109375" style="397"/>
    <col min="7426" max="7426" width="6.85546875" style="397" customWidth="1"/>
    <col min="7427" max="7427" width="39.28515625" style="397" customWidth="1"/>
    <col min="7428" max="7428" width="9.28515625" style="397" customWidth="1"/>
    <col min="7429" max="7429" width="10.7109375" style="397" customWidth="1"/>
    <col min="7430" max="7430" width="15" style="397" customWidth="1"/>
    <col min="7431" max="7431" width="10.42578125" style="397" customWidth="1"/>
    <col min="7432" max="7432" width="20.42578125" style="397" customWidth="1"/>
    <col min="7433" max="7433" width="20.7109375" style="397" customWidth="1"/>
    <col min="7434" max="7434" width="11.140625" style="397" customWidth="1"/>
    <col min="7435" max="7435" width="24" style="397" customWidth="1"/>
    <col min="7436" max="7436" width="20.28515625" style="397" customWidth="1"/>
    <col min="7437" max="7437" width="14.85546875" style="397" customWidth="1"/>
    <col min="7438" max="7438" width="11.28515625" style="397" customWidth="1"/>
    <col min="7439" max="7681" width="8.7109375" style="397"/>
    <col min="7682" max="7682" width="6.85546875" style="397" customWidth="1"/>
    <col min="7683" max="7683" width="39.28515625" style="397" customWidth="1"/>
    <col min="7684" max="7684" width="9.28515625" style="397" customWidth="1"/>
    <col min="7685" max="7685" width="10.7109375" style="397" customWidth="1"/>
    <col min="7686" max="7686" width="15" style="397" customWidth="1"/>
    <col min="7687" max="7687" width="10.42578125" style="397" customWidth="1"/>
    <col min="7688" max="7688" width="20.42578125" style="397" customWidth="1"/>
    <col min="7689" max="7689" width="20.7109375" style="397" customWidth="1"/>
    <col min="7690" max="7690" width="11.140625" style="397" customWidth="1"/>
    <col min="7691" max="7691" width="24" style="397" customWidth="1"/>
    <col min="7692" max="7692" width="20.28515625" style="397" customWidth="1"/>
    <col min="7693" max="7693" width="14.85546875" style="397" customWidth="1"/>
    <col min="7694" max="7694" width="11.28515625" style="397" customWidth="1"/>
    <col min="7695" max="7937" width="8.7109375" style="397"/>
    <col min="7938" max="7938" width="6.85546875" style="397" customWidth="1"/>
    <col min="7939" max="7939" width="39.28515625" style="397" customWidth="1"/>
    <col min="7940" max="7940" width="9.28515625" style="397" customWidth="1"/>
    <col min="7941" max="7941" width="10.7109375" style="397" customWidth="1"/>
    <col min="7942" max="7942" width="15" style="397" customWidth="1"/>
    <col min="7943" max="7943" width="10.42578125" style="397" customWidth="1"/>
    <col min="7944" max="7944" width="20.42578125" style="397" customWidth="1"/>
    <col min="7945" max="7945" width="20.7109375" style="397" customWidth="1"/>
    <col min="7946" max="7946" width="11.140625" style="397" customWidth="1"/>
    <col min="7947" max="7947" width="24" style="397" customWidth="1"/>
    <col min="7948" max="7948" width="20.28515625" style="397" customWidth="1"/>
    <col min="7949" max="7949" width="14.85546875" style="397" customWidth="1"/>
    <col min="7950" max="7950" width="11.28515625" style="397" customWidth="1"/>
    <col min="7951" max="8193" width="8.7109375" style="397"/>
    <col min="8194" max="8194" width="6.85546875" style="397" customWidth="1"/>
    <col min="8195" max="8195" width="39.28515625" style="397" customWidth="1"/>
    <col min="8196" max="8196" width="9.28515625" style="397" customWidth="1"/>
    <col min="8197" max="8197" width="10.7109375" style="397" customWidth="1"/>
    <col min="8198" max="8198" width="15" style="397" customWidth="1"/>
    <col min="8199" max="8199" width="10.42578125" style="397" customWidth="1"/>
    <col min="8200" max="8200" width="20.42578125" style="397" customWidth="1"/>
    <col min="8201" max="8201" width="20.7109375" style="397" customWidth="1"/>
    <col min="8202" max="8202" width="11.140625" style="397" customWidth="1"/>
    <col min="8203" max="8203" width="24" style="397" customWidth="1"/>
    <col min="8204" max="8204" width="20.28515625" style="397" customWidth="1"/>
    <col min="8205" max="8205" width="14.85546875" style="397" customWidth="1"/>
    <col min="8206" max="8206" width="11.28515625" style="397" customWidth="1"/>
    <col min="8207" max="8449" width="8.7109375" style="397"/>
    <col min="8450" max="8450" width="6.85546875" style="397" customWidth="1"/>
    <col min="8451" max="8451" width="39.28515625" style="397" customWidth="1"/>
    <col min="8452" max="8452" width="9.28515625" style="397" customWidth="1"/>
    <col min="8453" max="8453" width="10.7109375" style="397" customWidth="1"/>
    <col min="8454" max="8454" width="15" style="397" customWidth="1"/>
    <col min="8455" max="8455" width="10.42578125" style="397" customWidth="1"/>
    <col min="8456" max="8456" width="20.42578125" style="397" customWidth="1"/>
    <col min="8457" max="8457" width="20.7109375" style="397" customWidth="1"/>
    <col min="8458" max="8458" width="11.140625" style="397" customWidth="1"/>
    <col min="8459" max="8459" width="24" style="397" customWidth="1"/>
    <col min="8460" max="8460" width="20.28515625" style="397" customWidth="1"/>
    <col min="8461" max="8461" width="14.85546875" style="397" customWidth="1"/>
    <col min="8462" max="8462" width="11.28515625" style="397" customWidth="1"/>
    <col min="8463" max="8705" width="8.7109375" style="397"/>
    <col min="8706" max="8706" width="6.85546875" style="397" customWidth="1"/>
    <col min="8707" max="8707" width="39.28515625" style="397" customWidth="1"/>
    <col min="8708" max="8708" width="9.28515625" style="397" customWidth="1"/>
    <col min="8709" max="8709" width="10.7109375" style="397" customWidth="1"/>
    <col min="8710" max="8710" width="15" style="397" customWidth="1"/>
    <col min="8711" max="8711" width="10.42578125" style="397" customWidth="1"/>
    <col min="8712" max="8712" width="20.42578125" style="397" customWidth="1"/>
    <col min="8713" max="8713" width="20.7109375" style="397" customWidth="1"/>
    <col min="8714" max="8714" width="11.140625" style="397" customWidth="1"/>
    <col min="8715" max="8715" width="24" style="397" customWidth="1"/>
    <col min="8716" max="8716" width="20.28515625" style="397" customWidth="1"/>
    <col min="8717" max="8717" width="14.85546875" style="397" customWidth="1"/>
    <col min="8718" max="8718" width="11.28515625" style="397" customWidth="1"/>
    <col min="8719" max="8961" width="8.7109375" style="397"/>
    <col min="8962" max="8962" width="6.85546875" style="397" customWidth="1"/>
    <col min="8963" max="8963" width="39.28515625" style="397" customWidth="1"/>
    <col min="8964" max="8964" width="9.28515625" style="397" customWidth="1"/>
    <col min="8965" max="8965" width="10.7109375" style="397" customWidth="1"/>
    <col min="8966" max="8966" width="15" style="397" customWidth="1"/>
    <col min="8967" max="8967" width="10.42578125" style="397" customWidth="1"/>
    <col min="8968" max="8968" width="20.42578125" style="397" customWidth="1"/>
    <col min="8969" max="8969" width="20.7109375" style="397" customWidth="1"/>
    <col min="8970" max="8970" width="11.140625" style="397" customWidth="1"/>
    <col min="8971" max="8971" width="24" style="397" customWidth="1"/>
    <col min="8972" max="8972" width="20.28515625" style="397" customWidth="1"/>
    <col min="8973" max="8973" width="14.85546875" style="397" customWidth="1"/>
    <col min="8974" max="8974" width="11.28515625" style="397" customWidth="1"/>
    <col min="8975" max="9217" width="8.7109375" style="397"/>
    <col min="9218" max="9218" width="6.85546875" style="397" customWidth="1"/>
    <col min="9219" max="9219" width="39.28515625" style="397" customWidth="1"/>
    <col min="9220" max="9220" width="9.28515625" style="397" customWidth="1"/>
    <col min="9221" max="9221" width="10.7109375" style="397" customWidth="1"/>
    <col min="9222" max="9222" width="15" style="397" customWidth="1"/>
    <col min="9223" max="9223" width="10.42578125" style="397" customWidth="1"/>
    <col min="9224" max="9224" width="20.42578125" style="397" customWidth="1"/>
    <col min="9225" max="9225" width="20.7109375" style="397" customWidth="1"/>
    <col min="9226" max="9226" width="11.140625" style="397" customWidth="1"/>
    <col min="9227" max="9227" width="24" style="397" customWidth="1"/>
    <col min="9228" max="9228" width="20.28515625" style="397" customWidth="1"/>
    <col min="9229" max="9229" width="14.85546875" style="397" customWidth="1"/>
    <col min="9230" max="9230" width="11.28515625" style="397" customWidth="1"/>
    <col min="9231" max="9473" width="8.7109375" style="397"/>
    <col min="9474" max="9474" width="6.85546875" style="397" customWidth="1"/>
    <col min="9475" max="9475" width="39.28515625" style="397" customWidth="1"/>
    <col min="9476" max="9476" width="9.28515625" style="397" customWidth="1"/>
    <col min="9477" max="9477" width="10.7109375" style="397" customWidth="1"/>
    <col min="9478" max="9478" width="15" style="397" customWidth="1"/>
    <col min="9479" max="9479" width="10.42578125" style="397" customWidth="1"/>
    <col min="9480" max="9480" width="20.42578125" style="397" customWidth="1"/>
    <col min="9481" max="9481" width="20.7109375" style="397" customWidth="1"/>
    <col min="9482" max="9482" width="11.140625" style="397" customWidth="1"/>
    <col min="9483" max="9483" width="24" style="397" customWidth="1"/>
    <col min="9484" max="9484" width="20.28515625" style="397" customWidth="1"/>
    <col min="9485" max="9485" width="14.85546875" style="397" customWidth="1"/>
    <col min="9486" max="9486" width="11.28515625" style="397" customWidth="1"/>
    <col min="9487" max="9729" width="8.7109375" style="397"/>
    <col min="9730" max="9730" width="6.85546875" style="397" customWidth="1"/>
    <col min="9731" max="9731" width="39.28515625" style="397" customWidth="1"/>
    <col min="9732" max="9732" width="9.28515625" style="397" customWidth="1"/>
    <col min="9733" max="9733" width="10.7109375" style="397" customWidth="1"/>
    <col min="9734" max="9734" width="15" style="397" customWidth="1"/>
    <col min="9735" max="9735" width="10.42578125" style="397" customWidth="1"/>
    <col min="9736" max="9736" width="20.42578125" style="397" customWidth="1"/>
    <col min="9737" max="9737" width="20.7109375" style="397" customWidth="1"/>
    <col min="9738" max="9738" width="11.140625" style="397" customWidth="1"/>
    <col min="9739" max="9739" width="24" style="397" customWidth="1"/>
    <col min="9740" max="9740" width="20.28515625" style="397" customWidth="1"/>
    <col min="9741" max="9741" width="14.85546875" style="397" customWidth="1"/>
    <col min="9742" max="9742" width="11.28515625" style="397" customWidth="1"/>
    <col min="9743" max="9985" width="8.7109375" style="397"/>
    <col min="9986" max="9986" width="6.85546875" style="397" customWidth="1"/>
    <col min="9987" max="9987" width="39.28515625" style="397" customWidth="1"/>
    <col min="9988" max="9988" width="9.28515625" style="397" customWidth="1"/>
    <col min="9989" max="9989" width="10.7109375" style="397" customWidth="1"/>
    <col min="9990" max="9990" width="15" style="397" customWidth="1"/>
    <col min="9991" max="9991" width="10.42578125" style="397" customWidth="1"/>
    <col min="9992" max="9992" width="20.42578125" style="397" customWidth="1"/>
    <col min="9993" max="9993" width="20.7109375" style="397" customWidth="1"/>
    <col min="9994" max="9994" width="11.140625" style="397" customWidth="1"/>
    <col min="9995" max="9995" width="24" style="397" customWidth="1"/>
    <col min="9996" max="9996" width="20.28515625" style="397" customWidth="1"/>
    <col min="9997" max="9997" width="14.85546875" style="397" customWidth="1"/>
    <col min="9998" max="9998" width="11.28515625" style="397" customWidth="1"/>
    <col min="9999" max="10241" width="8.7109375" style="397"/>
    <col min="10242" max="10242" width="6.85546875" style="397" customWidth="1"/>
    <col min="10243" max="10243" width="39.28515625" style="397" customWidth="1"/>
    <col min="10244" max="10244" width="9.28515625" style="397" customWidth="1"/>
    <col min="10245" max="10245" width="10.7109375" style="397" customWidth="1"/>
    <col min="10246" max="10246" width="15" style="397" customWidth="1"/>
    <col min="10247" max="10247" width="10.42578125" style="397" customWidth="1"/>
    <col min="10248" max="10248" width="20.42578125" style="397" customWidth="1"/>
    <col min="10249" max="10249" width="20.7109375" style="397" customWidth="1"/>
    <col min="10250" max="10250" width="11.140625" style="397" customWidth="1"/>
    <col min="10251" max="10251" width="24" style="397" customWidth="1"/>
    <col min="10252" max="10252" width="20.28515625" style="397" customWidth="1"/>
    <col min="10253" max="10253" width="14.85546875" style="397" customWidth="1"/>
    <col min="10254" max="10254" width="11.28515625" style="397" customWidth="1"/>
    <col min="10255" max="10497" width="8.7109375" style="397"/>
    <col min="10498" max="10498" width="6.85546875" style="397" customWidth="1"/>
    <col min="10499" max="10499" width="39.28515625" style="397" customWidth="1"/>
    <col min="10500" max="10500" width="9.28515625" style="397" customWidth="1"/>
    <col min="10501" max="10501" width="10.7109375" style="397" customWidth="1"/>
    <col min="10502" max="10502" width="15" style="397" customWidth="1"/>
    <col min="10503" max="10503" width="10.42578125" style="397" customWidth="1"/>
    <col min="10504" max="10504" width="20.42578125" style="397" customWidth="1"/>
    <col min="10505" max="10505" width="20.7109375" style="397" customWidth="1"/>
    <col min="10506" max="10506" width="11.140625" style="397" customWidth="1"/>
    <col min="10507" max="10507" width="24" style="397" customWidth="1"/>
    <col min="10508" max="10508" width="20.28515625" style="397" customWidth="1"/>
    <col min="10509" max="10509" width="14.85546875" style="397" customWidth="1"/>
    <col min="10510" max="10510" width="11.28515625" style="397" customWidth="1"/>
    <col min="10511" max="10753" width="8.7109375" style="397"/>
    <col min="10754" max="10754" width="6.85546875" style="397" customWidth="1"/>
    <col min="10755" max="10755" width="39.28515625" style="397" customWidth="1"/>
    <col min="10756" max="10756" width="9.28515625" style="397" customWidth="1"/>
    <col min="10757" max="10757" width="10.7109375" style="397" customWidth="1"/>
    <col min="10758" max="10758" width="15" style="397" customWidth="1"/>
    <col min="10759" max="10759" width="10.42578125" style="397" customWidth="1"/>
    <col min="10760" max="10760" width="20.42578125" style="397" customWidth="1"/>
    <col min="10761" max="10761" width="20.7109375" style="397" customWidth="1"/>
    <col min="10762" max="10762" width="11.140625" style="397" customWidth="1"/>
    <col min="10763" max="10763" width="24" style="397" customWidth="1"/>
    <col min="10764" max="10764" width="20.28515625" style="397" customWidth="1"/>
    <col min="10765" max="10765" width="14.85546875" style="397" customWidth="1"/>
    <col min="10766" max="10766" width="11.28515625" style="397" customWidth="1"/>
    <col min="10767" max="11009" width="8.7109375" style="397"/>
    <col min="11010" max="11010" width="6.85546875" style="397" customWidth="1"/>
    <col min="11011" max="11011" width="39.28515625" style="397" customWidth="1"/>
    <col min="11012" max="11012" width="9.28515625" style="397" customWidth="1"/>
    <col min="11013" max="11013" width="10.7109375" style="397" customWidth="1"/>
    <col min="11014" max="11014" width="15" style="397" customWidth="1"/>
    <col min="11015" max="11015" width="10.42578125" style="397" customWidth="1"/>
    <col min="11016" max="11016" width="20.42578125" style="397" customWidth="1"/>
    <col min="11017" max="11017" width="20.7109375" style="397" customWidth="1"/>
    <col min="11018" max="11018" width="11.140625" style="397" customWidth="1"/>
    <col min="11019" max="11019" width="24" style="397" customWidth="1"/>
    <col min="11020" max="11020" width="20.28515625" style="397" customWidth="1"/>
    <col min="11021" max="11021" width="14.85546875" style="397" customWidth="1"/>
    <col min="11022" max="11022" width="11.28515625" style="397" customWidth="1"/>
    <col min="11023" max="11265" width="8.7109375" style="397"/>
    <col min="11266" max="11266" width="6.85546875" style="397" customWidth="1"/>
    <col min="11267" max="11267" width="39.28515625" style="397" customWidth="1"/>
    <col min="11268" max="11268" width="9.28515625" style="397" customWidth="1"/>
    <col min="11269" max="11269" width="10.7109375" style="397" customWidth="1"/>
    <col min="11270" max="11270" width="15" style="397" customWidth="1"/>
    <col min="11271" max="11271" width="10.42578125" style="397" customWidth="1"/>
    <col min="11272" max="11272" width="20.42578125" style="397" customWidth="1"/>
    <col min="11273" max="11273" width="20.7109375" style="397" customWidth="1"/>
    <col min="11274" max="11274" width="11.140625" style="397" customWidth="1"/>
    <col min="11275" max="11275" width="24" style="397" customWidth="1"/>
    <col min="11276" max="11276" width="20.28515625" style="397" customWidth="1"/>
    <col min="11277" max="11277" width="14.85546875" style="397" customWidth="1"/>
    <col min="11278" max="11278" width="11.28515625" style="397" customWidth="1"/>
    <col min="11279" max="11521" width="8.7109375" style="397"/>
    <col min="11522" max="11522" width="6.85546875" style="397" customWidth="1"/>
    <col min="11523" max="11523" width="39.28515625" style="397" customWidth="1"/>
    <col min="11524" max="11524" width="9.28515625" style="397" customWidth="1"/>
    <col min="11525" max="11525" width="10.7109375" style="397" customWidth="1"/>
    <col min="11526" max="11526" width="15" style="397" customWidth="1"/>
    <col min="11527" max="11527" width="10.42578125" style="397" customWidth="1"/>
    <col min="11528" max="11528" width="20.42578125" style="397" customWidth="1"/>
    <col min="11529" max="11529" width="20.7109375" style="397" customWidth="1"/>
    <col min="11530" max="11530" width="11.140625" style="397" customWidth="1"/>
    <col min="11531" max="11531" width="24" style="397" customWidth="1"/>
    <col min="11532" max="11532" width="20.28515625" style="397" customWidth="1"/>
    <col min="11533" max="11533" width="14.85546875" style="397" customWidth="1"/>
    <col min="11534" max="11534" width="11.28515625" style="397" customWidth="1"/>
    <col min="11535" max="11777" width="8.7109375" style="397"/>
    <col min="11778" max="11778" width="6.85546875" style="397" customWidth="1"/>
    <col min="11779" max="11779" width="39.28515625" style="397" customWidth="1"/>
    <col min="11780" max="11780" width="9.28515625" style="397" customWidth="1"/>
    <col min="11781" max="11781" width="10.7109375" style="397" customWidth="1"/>
    <col min="11782" max="11782" width="15" style="397" customWidth="1"/>
    <col min="11783" max="11783" width="10.42578125" style="397" customWidth="1"/>
    <col min="11784" max="11784" width="20.42578125" style="397" customWidth="1"/>
    <col min="11785" max="11785" width="20.7109375" style="397" customWidth="1"/>
    <col min="11786" max="11786" width="11.140625" style="397" customWidth="1"/>
    <col min="11787" max="11787" width="24" style="397" customWidth="1"/>
    <col min="11788" max="11788" width="20.28515625" style="397" customWidth="1"/>
    <col min="11789" max="11789" width="14.85546875" style="397" customWidth="1"/>
    <col min="11790" max="11790" width="11.28515625" style="397" customWidth="1"/>
    <col min="11791" max="12033" width="8.7109375" style="397"/>
    <col min="12034" max="12034" width="6.85546875" style="397" customWidth="1"/>
    <col min="12035" max="12035" width="39.28515625" style="397" customWidth="1"/>
    <col min="12036" max="12036" width="9.28515625" style="397" customWidth="1"/>
    <col min="12037" max="12037" width="10.7109375" style="397" customWidth="1"/>
    <col min="12038" max="12038" width="15" style="397" customWidth="1"/>
    <col min="12039" max="12039" width="10.42578125" style="397" customWidth="1"/>
    <col min="12040" max="12040" width="20.42578125" style="397" customWidth="1"/>
    <col min="12041" max="12041" width="20.7109375" style="397" customWidth="1"/>
    <col min="12042" max="12042" width="11.140625" style="397" customWidth="1"/>
    <col min="12043" max="12043" width="24" style="397" customWidth="1"/>
    <col min="12044" max="12044" width="20.28515625" style="397" customWidth="1"/>
    <col min="12045" max="12045" width="14.85546875" style="397" customWidth="1"/>
    <col min="12046" max="12046" width="11.28515625" style="397" customWidth="1"/>
    <col min="12047" max="12289" width="8.7109375" style="397"/>
    <col min="12290" max="12290" width="6.85546875" style="397" customWidth="1"/>
    <col min="12291" max="12291" width="39.28515625" style="397" customWidth="1"/>
    <col min="12292" max="12292" width="9.28515625" style="397" customWidth="1"/>
    <col min="12293" max="12293" width="10.7109375" style="397" customWidth="1"/>
    <col min="12294" max="12294" width="15" style="397" customWidth="1"/>
    <col min="12295" max="12295" width="10.42578125" style="397" customWidth="1"/>
    <col min="12296" max="12296" width="20.42578125" style="397" customWidth="1"/>
    <col min="12297" max="12297" width="20.7109375" style="397" customWidth="1"/>
    <col min="12298" max="12298" width="11.140625" style="397" customWidth="1"/>
    <col min="12299" max="12299" width="24" style="397" customWidth="1"/>
    <col min="12300" max="12300" width="20.28515625" style="397" customWidth="1"/>
    <col min="12301" max="12301" width="14.85546875" style="397" customWidth="1"/>
    <col min="12302" max="12302" width="11.28515625" style="397" customWidth="1"/>
    <col min="12303" max="12545" width="8.7109375" style="397"/>
    <col min="12546" max="12546" width="6.85546875" style="397" customWidth="1"/>
    <col min="12547" max="12547" width="39.28515625" style="397" customWidth="1"/>
    <col min="12548" max="12548" width="9.28515625" style="397" customWidth="1"/>
    <col min="12549" max="12549" width="10.7109375" style="397" customWidth="1"/>
    <col min="12550" max="12550" width="15" style="397" customWidth="1"/>
    <col min="12551" max="12551" width="10.42578125" style="397" customWidth="1"/>
    <col min="12552" max="12552" width="20.42578125" style="397" customWidth="1"/>
    <col min="12553" max="12553" width="20.7109375" style="397" customWidth="1"/>
    <col min="12554" max="12554" width="11.140625" style="397" customWidth="1"/>
    <col min="12555" max="12555" width="24" style="397" customWidth="1"/>
    <col min="12556" max="12556" width="20.28515625" style="397" customWidth="1"/>
    <col min="12557" max="12557" width="14.85546875" style="397" customWidth="1"/>
    <col min="12558" max="12558" width="11.28515625" style="397" customWidth="1"/>
    <col min="12559" max="12801" width="8.7109375" style="397"/>
    <col min="12802" max="12802" width="6.85546875" style="397" customWidth="1"/>
    <col min="12803" max="12803" width="39.28515625" style="397" customWidth="1"/>
    <col min="12804" max="12804" width="9.28515625" style="397" customWidth="1"/>
    <col min="12805" max="12805" width="10.7109375" style="397" customWidth="1"/>
    <col min="12806" max="12806" width="15" style="397" customWidth="1"/>
    <col min="12807" max="12807" width="10.42578125" style="397" customWidth="1"/>
    <col min="12808" max="12808" width="20.42578125" style="397" customWidth="1"/>
    <col min="12809" max="12809" width="20.7109375" style="397" customWidth="1"/>
    <col min="12810" max="12810" width="11.140625" style="397" customWidth="1"/>
    <col min="12811" max="12811" width="24" style="397" customWidth="1"/>
    <col min="12812" max="12812" width="20.28515625" style="397" customWidth="1"/>
    <col min="12813" max="12813" width="14.85546875" style="397" customWidth="1"/>
    <col min="12814" max="12814" width="11.28515625" style="397" customWidth="1"/>
    <col min="12815" max="13057" width="8.7109375" style="397"/>
    <col min="13058" max="13058" width="6.85546875" style="397" customWidth="1"/>
    <col min="13059" max="13059" width="39.28515625" style="397" customWidth="1"/>
    <col min="13060" max="13060" width="9.28515625" style="397" customWidth="1"/>
    <col min="13061" max="13061" width="10.7109375" style="397" customWidth="1"/>
    <col min="13062" max="13062" width="15" style="397" customWidth="1"/>
    <col min="13063" max="13063" width="10.42578125" style="397" customWidth="1"/>
    <col min="13064" max="13064" width="20.42578125" style="397" customWidth="1"/>
    <col min="13065" max="13065" width="20.7109375" style="397" customWidth="1"/>
    <col min="13066" max="13066" width="11.140625" style="397" customWidth="1"/>
    <col min="13067" max="13067" width="24" style="397" customWidth="1"/>
    <col min="13068" max="13068" width="20.28515625" style="397" customWidth="1"/>
    <col min="13069" max="13069" width="14.85546875" style="397" customWidth="1"/>
    <col min="13070" max="13070" width="11.28515625" style="397" customWidth="1"/>
    <col min="13071" max="13313" width="8.7109375" style="397"/>
    <col min="13314" max="13314" width="6.85546875" style="397" customWidth="1"/>
    <col min="13315" max="13315" width="39.28515625" style="397" customWidth="1"/>
    <col min="13316" max="13316" width="9.28515625" style="397" customWidth="1"/>
    <col min="13317" max="13317" width="10.7109375" style="397" customWidth="1"/>
    <col min="13318" max="13318" width="15" style="397" customWidth="1"/>
    <col min="13319" max="13319" width="10.42578125" style="397" customWidth="1"/>
    <col min="13320" max="13320" width="20.42578125" style="397" customWidth="1"/>
    <col min="13321" max="13321" width="20.7109375" style="397" customWidth="1"/>
    <col min="13322" max="13322" width="11.140625" style="397" customWidth="1"/>
    <col min="13323" max="13323" width="24" style="397" customWidth="1"/>
    <col min="13324" max="13324" width="20.28515625" style="397" customWidth="1"/>
    <col min="13325" max="13325" width="14.85546875" style="397" customWidth="1"/>
    <col min="13326" max="13326" width="11.28515625" style="397" customWidth="1"/>
    <col min="13327" max="13569" width="8.7109375" style="397"/>
    <col min="13570" max="13570" width="6.85546875" style="397" customWidth="1"/>
    <col min="13571" max="13571" width="39.28515625" style="397" customWidth="1"/>
    <col min="13572" max="13572" width="9.28515625" style="397" customWidth="1"/>
    <col min="13573" max="13573" width="10.7109375" style="397" customWidth="1"/>
    <col min="13574" max="13574" width="15" style="397" customWidth="1"/>
    <col min="13575" max="13575" width="10.42578125" style="397" customWidth="1"/>
    <col min="13576" max="13576" width="20.42578125" style="397" customWidth="1"/>
    <col min="13577" max="13577" width="20.7109375" style="397" customWidth="1"/>
    <col min="13578" max="13578" width="11.140625" style="397" customWidth="1"/>
    <col min="13579" max="13579" width="24" style="397" customWidth="1"/>
    <col min="13580" max="13580" width="20.28515625" style="397" customWidth="1"/>
    <col min="13581" max="13581" width="14.85546875" style="397" customWidth="1"/>
    <col min="13582" max="13582" width="11.28515625" style="397" customWidth="1"/>
    <col min="13583" max="13825" width="8.7109375" style="397"/>
    <col min="13826" max="13826" width="6.85546875" style="397" customWidth="1"/>
    <col min="13827" max="13827" width="39.28515625" style="397" customWidth="1"/>
    <col min="13828" max="13828" width="9.28515625" style="397" customWidth="1"/>
    <col min="13829" max="13829" width="10.7109375" style="397" customWidth="1"/>
    <col min="13830" max="13830" width="15" style="397" customWidth="1"/>
    <col min="13831" max="13831" width="10.42578125" style="397" customWidth="1"/>
    <col min="13832" max="13832" width="20.42578125" style="397" customWidth="1"/>
    <col min="13833" max="13833" width="20.7109375" style="397" customWidth="1"/>
    <col min="13834" max="13834" width="11.140625" style="397" customWidth="1"/>
    <col min="13835" max="13835" width="24" style="397" customWidth="1"/>
    <col min="13836" max="13836" width="20.28515625" style="397" customWidth="1"/>
    <col min="13837" max="13837" width="14.85546875" style="397" customWidth="1"/>
    <col min="13838" max="13838" width="11.28515625" style="397" customWidth="1"/>
    <col min="13839" max="14081" width="8.7109375" style="397"/>
    <col min="14082" max="14082" width="6.85546875" style="397" customWidth="1"/>
    <col min="14083" max="14083" width="39.28515625" style="397" customWidth="1"/>
    <col min="14084" max="14084" width="9.28515625" style="397" customWidth="1"/>
    <col min="14085" max="14085" width="10.7109375" style="397" customWidth="1"/>
    <col min="14086" max="14086" width="15" style="397" customWidth="1"/>
    <col min="14087" max="14087" width="10.42578125" style="397" customWidth="1"/>
    <col min="14088" max="14088" width="20.42578125" style="397" customWidth="1"/>
    <col min="14089" max="14089" width="20.7109375" style="397" customWidth="1"/>
    <col min="14090" max="14090" width="11.140625" style="397" customWidth="1"/>
    <col min="14091" max="14091" width="24" style="397" customWidth="1"/>
    <col min="14092" max="14092" width="20.28515625" style="397" customWidth="1"/>
    <col min="14093" max="14093" width="14.85546875" style="397" customWidth="1"/>
    <col min="14094" max="14094" width="11.28515625" style="397" customWidth="1"/>
    <col min="14095" max="14337" width="8.7109375" style="397"/>
    <col min="14338" max="14338" width="6.85546875" style="397" customWidth="1"/>
    <col min="14339" max="14339" width="39.28515625" style="397" customWidth="1"/>
    <col min="14340" max="14340" width="9.28515625" style="397" customWidth="1"/>
    <col min="14341" max="14341" width="10.7109375" style="397" customWidth="1"/>
    <col min="14342" max="14342" width="15" style="397" customWidth="1"/>
    <col min="14343" max="14343" width="10.42578125" style="397" customWidth="1"/>
    <col min="14344" max="14344" width="20.42578125" style="397" customWidth="1"/>
    <col min="14345" max="14345" width="20.7109375" style="397" customWidth="1"/>
    <col min="14346" max="14346" width="11.140625" style="397" customWidth="1"/>
    <col min="14347" max="14347" width="24" style="397" customWidth="1"/>
    <col min="14348" max="14348" width="20.28515625" style="397" customWidth="1"/>
    <col min="14349" max="14349" width="14.85546875" style="397" customWidth="1"/>
    <col min="14350" max="14350" width="11.28515625" style="397" customWidth="1"/>
    <col min="14351" max="14593" width="8.7109375" style="397"/>
    <col min="14594" max="14594" width="6.85546875" style="397" customWidth="1"/>
    <col min="14595" max="14595" width="39.28515625" style="397" customWidth="1"/>
    <col min="14596" max="14596" width="9.28515625" style="397" customWidth="1"/>
    <col min="14597" max="14597" width="10.7109375" style="397" customWidth="1"/>
    <col min="14598" max="14598" width="15" style="397" customWidth="1"/>
    <col min="14599" max="14599" width="10.42578125" style="397" customWidth="1"/>
    <col min="14600" max="14600" width="20.42578125" style="397" customWidth="1"/>
    <col min="14601" max="14601" width="20.7109375" style="397" customWidth="1"/>
    <col min="14602" max="14602" width="11.140625" style="397" customWidth="1"/>
    <col min="14603" max="14603" width="24" style="397" customWidth="1"/>
    <col min="14604" max="14604" width="20.28515625" style="397" customWidth="1"/>
    <col min="14605" max="14605" width="14.85546875" style="397" customWidth="1"/>
    <col min="14606" max="14606" width="11.28515625" style="397" customWidth="1"/>
    <col min="14607" max="14849" width="8.7109375" style="397"/>
    <col min="14850" max="14850" width="6.85546875" style="397" customWidth="1"/>
    <col min="14851" max="14851" width="39.28515625" style="397" customWidth="1"/>
    <col min="14852" max="14852" width="9.28515625" style="397" customWidth="1"/>
    <col min="14853" max="14853" width="10.7109375" style="397" customWidth="1"/>
    <col min="14854" max="14854" width="15" style="397" customWidth="1"/>
    <col min="14855" max="14855" width="10.42578125" style="397" customWidth="1"/>
    <col min="14856" max="14856" width="20.42578125" style="397" customWidth="1"/>
    <col min="14857" max="14857" width="20.7109375" style="397" customWidth="1"/>
    <col min="14858" max="14858" width="11.140625" style="397" customWidth="1"/>
    <col min="14859" max="14859" width="24" style="397" customWidth="1"/>
    <col min="14860" max="14860" width="20.28515625" style="397" customWidth="1"/>
    <col min="14861" max="14861" width="14.85546875" style="397" customWidth="1"/>
    <col min="14862" max="14862" width="11.28515625" style="397" customWidth="1"/>
    <col min="14863" max="15105" width="8.7109375" style="397"/>
    <col min="15106" max="15106" width="6.85546875" style="397" customWidth="1"/>
    <col min="15107" max="15107" width="39.28515625" style="397" customWidth="1"/>
    <col min="15108" max="15108" width="9.28515625" style="397" customWidth="1"/>
    <col min="15109" max="15109" width="10.7109375" style="397" customWidth="1"/>
    <col min="15110" max="15110" width="15" style="397" customWidth="1"/>
    <col min="15111" max="15111" width="10.42578125" style="397" customWidth="1"/>
    <col min="15112" max="15112" width="20.42578125" style="397" customWidth="1"/>
    <col min="15113" max="15113" width="20.7109375" style="397" customWidth="1"/>
    <col min="15114" max="15114" width="11.140625" style="397" customWidth="1"/>
    <col min="15115" max="15115" width="24" style="397" customWidth="1"/>
    <col min="15116" max="15116" width="20.28515625" style="397" customWidth="1"/>
    <col min="15117" max="15117" width="14.85546875" style="397" customWidth="1"/>
    <col min="15118" max="15118" width="11.28515625" style="397" customWidth="1"/>
    <col min="15119" max="15361" width="8.7109375" style="397"/>
    <col min="15362" max="15362" width="6.85546875" style="397" customWidth="1"/>
    <col min="15363" max="15363" width="39.28515625" style="397" customWidth="1"/>
    <col min="15364" max="15364" width="9.28515625" style="397" customWidth="1"/>
    <col min="15365" max="15365" width="10.7109375" style="397" customWidth="1"/>
    <col min="15366" max="15366" width="15" style="397" customWidth="1"/>
    <col min="15367" max="15367" width="10.42578125" style="397" customWidth="1"/>
    <col min="15368" max="15368" width="20.42578125" style="397" customWidth="1"/>
    <col min="15369" max="15369" width="20.7109375" style="397" customWidth="1"/>
    <col min="15370" max="15370" width="11.140625" style="397" customWidth="1"/>
    <col min="15371" max="15371" width="24" style="397" customWidth="1"/>
    <col min="15372" max="15372" width="20.28515625" style="397" customWidth="1"/>
    <col min="15373" max="15373" width="14.85546875" style="397" customWidth="1"/>
    <col min="15374" max="15374" width="11.28515625" style="397" customWidth="1"/>
    <col min="15375" max="15617" width="8.7109375" style="397"/>
    <col min="15618" max="15618" width="6.85546875" style="397" customWidth="1"/>
    <col min="15619" max="15619" width="39.28515625" style="397" customWidth="1"/>
    <col min="15620" max="15620" width="9.28515625" style="397" customWidth="1"/>
    <col min="15621" max="15621" width="10.7109375" style="397" customWidth="1"/>
    <col min="15622" max="15622" width="15" style="397" customWidth="1"/>
    <col min="15623" max="15623" width="10.42578125" style="397" customWidth="1"/>
    <col min="15624" max="15624" width="20.42578125" style="397" customWidth="1"/>
    <col min="15625" max="15625" width="20.7109375" style="397" customWidth="1"/>
    <col min="15626" max="15626" width="11.140625" style="397" customWidth="1"/>
    <col min="15627" max="15627" width="24" style="397" customWidth="1"/>
    <col min="15628" max="15628" width="20.28515625" style="397" customWidth="1"/>
    <col min="15629" max="15629" width="14.85546875" style="397" customWidth="1"/>
    <col min="15630" max="15630" width="11.28515625" style="397" customWidth="1"/>
    <col min="15631" max="15873" width="8.7109375" style="397"/>
    <col min="15874" max="15874" width="6.85546875" style="397" customWidth="1"/>
    <col min="15875" max="15875" width="39.28515625" style="397" customWidth="1"/>
    <col min="15876" max="15876" width="9.28515625" style="397" customWidth="1"/>
    <col min="15877" max="15877" width="10.7109375" style="397" customWidth="1"/>
    <col min="15878" max="15878" width="15" style="397" customWidth="1"/>
    <col min="15879" max="15879" width="10.42578125" style="397" customWidth="1"/>
    <col min="15880" max="15880" width="20.42578125" style="397" customWidth="1"/>
    <col min="15881" max="15881" width="20.7109375" style="397" customWidth="1"/>
    <col min="15882" max="15882" width="11.140625" style="397" customWidth="1"/>
    <col min="15883" max="15883" width="24" style="397" customWidth="1"/>
    <col min="15884" max="15884" width="20.28515625" style="397" customWidth="1"/>
    <col min="15885" max="15885" width="14.85546875" style="397" customWidth="1"/>
    <col min="15886" max="15886" width="11.28515625" style="397" customWidth="1"/>
    <col min="15887" max="16129" width="8.7109375" style="397"/>
    <col min="16130" max="16130" width="6.85546875" style="397" customWidth="1"/>
    <col min="16131" max="16131" width="39.28515625" style="397" customWidth="1"/>
    <col min="16132" max="16132" width="9.28515625" style="397" customWidth="1"/>
    <col min="16133" max="16133" width="10.7109375" style="397" customWidth="1"/>
    <col min="16134" max="16134" width="15" style="397" customWidth="1"/>
    <col min="16135" max="16135" width="10.42578125" style="397" customWidth="1"/>
    <col min="16136" max="16136" width="20.42578125" style="397" customWidth="1"/>
    <col min="16137" max="16137" width="20.7109375" style="397" customWidth="1"/>
    <col min="16138" max="16138" width="11.140625" style="397" customWidth="1"/>
    <col min="16139" max="16139" width="24" style="397" customWidth="1"/>
    <col min="16140" max="16140" width="20.28515625" style="397" customWidth="1"/>
    <col min="16141" max="16141" width="14.85546875" style="397" customWidth="1"/>
    <col min="16142" max="16142" width="11.28515625" style="397" customWidth="1"/>
    <col min="16143" max="16384" width="8.7109375" style="397"/>
  </cols>
  <sheetData>
    <row r="1" spans="1:13">
      <c r="A1" s="2832" t="s">
        <v>0</v>
      </c>
      <c r="B1" s="2832"/>
      <c r="C1" s="2832"/>
      <c r="D1" s="2832"/>
      <c r="E1" s="2832"/>
      <c r="F1" s="2832"/>
      <c r="G1" s="2832"/>
      <c r="H1" s="2832"/>
    </row>
    <row r="2" spans="1:13">
      <c r="A2" s="2832" t="s">
        <v>1968</v>
      </c>
      <c r="B2" s="2832"/>
      <c r="C2" s="2832"/>
      <c r="D2" s="2832"/>
      <c r="E2" s="2832"/>
      <c r="F2" s="2832"/>
      <c r="G2" s="2832"/>
      <c r="H2" s="2832"/>
    </row>
    <row r="3" spans="1:13" ht="13.9" customHeight="1">
      <c r="A3" s="2833" t="s">
        <v>619</v>
      </c>
      <c r="B3" s="2832"/>
      <c r="C3" s="2832"/>
      <c r="D3" s="2832"/>
      <c r="E3" s="2832"/>
      <c r="F3" s="2832"/>
      <c r="G3" s="2832"/>
      <c r="H3" s="2832"/>
    </row>
    <row r="4" spans="1:13" s="394" customFormat="1" ht="27" customHeight="1">
      <c r="A4" s="2828" t="s">
        <v>2867</v>
      </c>
      <c r="B4" s="2828"/>
      <c r="C4" s="2828"/>
      <c r="D4" s="2828"/>
      <c r="E4" s="439"/>
      <c r="F4" s="440"/>
      <c r="G4" s="441"/>
      <c r="H4" s="442"/>
    </row>
    <row r="5" spans="1:13" s="394" customFormat="1" ht="16.899999999999999" customHeight="1">
      <c r="A5" s="2832" t="s">
        <v>2917</v>
      </c>
      <c r="B5" s="2832"/>
      <c r="C5" s="2832"/>
      <c r="D5" s="2832"/>
      <c r="E5" s="439"/>
      <c r="F5" s="440"/>
      <c r="G5" s="441"/>
      <c r="H5" s="442"/>
    </row>
    <row r="6" spans="1:13" ht="10.5" customHeight="1">
      <c r="D6" s="402"/>
      <c r="G6" s="403"/>
      <c r="H6" s="404"/>
    </row>
    <row r="7" spans="1:13" ht="10.5" customHeight="1">
      <c r="D7" s="402"/>
      <c r="G7" s="403"/>
      <c r="H7" s="404"/>
    </row>
    <row r="8" spans="1:13" s="394" customFormat="1" ht="29.25" customHeight="1">
      <c r="A8" s="2827" t="s">
        <v>2918</v>
      </c>
      <c r="B8" s="2827"/>
      <c r="C8" s="2827"/>
      <c r="D8" s="2827"/>
      <c r="E8" s="2827"/>
      <c r="F8" s="2827"/>
      <c r="G8" s="2827"/>
      <c r="H8" s="2827"/>
    </row>
    <row r="9" spans="1:13" ht="15.75" customHeight="1">
      <c r="A9" s="2828"/>
      <c r="B9" s="2828"/>
      <c r="C9" s="2828"/>
      <c r="D9" s="2828"/>
      <c r="E9" s="2828"/>
      <c r="F9" s="2828"/>
      <c r="G9" s="2828"/>
      <c r="H9" s="2828"/>
      <c r="I9" s="397" t="s">
        <v>2870</v>
      </c>
      <c r="J9" s="397">
        <f>'LƯƠNG KT'!F8</f>
        <v>668.84</v>
      </c>
    </row>
    <row r="10" spans="1:13" ht="15.75" customHeight="1">
      <c r="A10" s="405"/>
      <c r="B10" s="405"/>
      <c r="C10" s="405"/>
      <c r="D10" s="405"/>
      <c r="E10" s="405"/>
      <c r="F10" s="405"/>
      <c r="G10" s="405"/>
      <c r="H10" s="405"/>
      <c r="I10" s="406" t="s">
        <v>1952</v>
      </c>
      <c r="J10" s="475">
        <f>K10/100</f>
        <v>0.43751864421273501</v>
      </c>
      <c r="K10" s="397">
        <v>43.751864421273503</v>
      </c>
    </row>
    <row r="11" spans="1:13" ht="15.75" customHeight="1">
      <c r="A11" s="405"/>
      <c r="B11" s="405"/>
      <c r="F11" s="404"/>
      <c r="G11" s="403"/>
      <c r="H11" s="443"/>
    </row>
    <row r="12" spans="1:13" s="434" customFormat="1" ht="48" customHeight="1">
      <c r="A12" s="444" t="s">
        <v>6</v>
      </c>
      <c r="B12" s="444" t="s">
        <v>2872</v>
      </c>
      <c r="C12" s="445" t="s">
        <v>2399</v>
      </c>
      <c r="D12" s="445" t="s">
        <v>2873</v>
      </c>
      <c r="E12" s="446" t="s">
        <v>2874</v>
      </c>
      <c r="F12" s="446" t="s">
        <v>2919</v>
      </c>
      <c r="G12" s="447" t="s">
        <v>2876</v>
      </c>
      <c r="H12" s="446" t="s">
        <v>12</v>
      </c>
      <c r="K12" s="476" t="e">
        <f>+THCKT!Z10</f>
        <v>#N/A</v>
      </c>
    </row>
    <row r="13" spans="1:13" s="394" customFormat="1" ht="22.15" customHeight="1">
      <c r="A13" s="448" t="s">
        <v>2408</v>
      </c>
      <c r="B13" s="449" t="s">
        <v>2878</v>
      </c>
      <c r="C13" s="450"/>
      <c r="D13" s="451"/>
      <c r="E13" s="451"/>
      <c r="F13" s="451"/>
      <c r="G13" s="451" t="e">
        <f>+G14+G51</f>
        <v>#REF!</v>
      </c>
      <c r="H13" s="452"/>
      <c r="I13" s="477"/>
      <c r="J13" s="477"/>
      <c r="K13" s="478" t="e">
        <f>+E15-K12</f>
        <v>#REF!</v>
      </c>
      <c r="L13" s="479"/>
    </row>
    <row r="14" spans="1:13" ht="22.15" customHeight="1">
      <c r="A14" s="453">
        <v>1</v>
      </c>
      <c r="B14" s="454" t="s">
        <v>2879</v>
      </c>
      <c r="C14" s="455"/>
      <c r="D14" s="456"/>
      <c r="E14" s="456"/>
      <c r="F14" s="456"/>
      <c r="G14" s="456" t="e">
        <f>+G15+G39+G50</f>
        <v>#REF!</v>
      </c>
      <c r="H14" s="457"/>
      <c r="I14" s="480">
        <f>'LƯƠNG KT'!U95</f>
        <v>378386019</v>
      </c>
      <c r="J14" s="481" t="e">
        <f>+G14-I14</f>
        <v>#REF!</v>
      </c>
      <c r="K14" s="482"/>
    </row>
    <row r="15" spans="1:13" ht="22.15" customHeight="1">
      <c r="A15" s="453" t="s">
        <v>2411</v>
      </c>
      <c r="B15" s="454" t="s">
        <v>2880</v>
      </c>
      <c r="C15" s="458"/>
      <c r="D15" s="456"/>
      <c r="E15" s="457" t="e">
        <f>SUM(E16:E19,E35,E20,E25,E38,E30)</f>
        <v>#REF!</v>
      </c>
      <c r="F15" s="457"/>
      <c r="G15" s="456" t="e">
        <f>SUM(G16:G19,G35,G20,G25,G38,G30)</f>
        <v>#REF!</v>
      </c>
      <c r="H15" s="457"/>
      <c r="I15" s="399">
        <f>'LƯƠNG KT'!L95</f>
        <v>254121173</v>
      </c>
      <c r="J15" s="483"/>
      <c r="K15" s="484"/>
      <c r="L15" s="485"/>
      <c r="M15" s="486"/>
    </row>
    <row r="16" spans="1:13" ht="22.15" customHeight="1">
      <c r="A16" s="453"/>
      <c r="B16" s="454" t="s">
        <v>2881</v>
      </c>
      <c r="C16" s="459" t="s">
        <v>2410</v>
      </c>
      <c r="D16" s="456"/>
      <c r="E16" s="457" t="e">
        <f>THPT!E16+THPT!E20+THPT!E24+THPT!E28</f>
        <v>#REF!</v>
      </c>
      <c r="F16" s="460">
        <f>6.1*J9</f>
        <v>4079.924</v>
      </c>
      <c r="G16" s="456" t="e">
        <f>ROUND((E16*F16),0)+4</f>
        <v>#REF!</v>
      </c>
      <c r="H16" s="457"/>
      <c r="I16" s="399" t="e">
        <f>+I15-G15</f>
        <v>#REF!</v>
      </c>
      <c r="J16" s="399"/>
      <c r="K16" s="487"/>
      <c r="L16" s="399"/>
    </row>
    <row r="17" spans="1:13" ht="22.15" customHeight="1">
      <c r="A17" s="453"/>
      <c r="B17" s="454" t="s">
        <v>2882</v>
      </c>
      <c r="C17" s="458" t="s">
        <v>2410</v>
      </c>
      <c r="D17" s="456"/>
      <c r="E17" s="457" t="e">
        <f>THPT!E17+THPT!E21+THPT!E25+THPT!E29</f>
        <v>#REF!</v>
      </c>
      <c r="F17" s="460">
        <f>5.8*J9</f>
        <v>3879.2719999999999</v>
      </c>
      <c r="G17" s="456" t="e">
        <f t="shared" ref="G17:G18" si="0">ROUND((E17*F17),2)</f>
        <v>#REF!</v>
      </c>
      <c r="H17" s="457"/>
      <c r="I17" s="484"/>
      <c r="J17" s="399"/>
      <c r="L17" s="431"/>
    </row>
    <row r="18" spans="1:13" ht="22.15" customHeight="1">
      <c r="A18" s="453"/>
      <c r="B18" s="454" t="s">
        <v>2883</v>
      </c>
      <c r="C18" s="458" t="s">
        <v>2410</v>
      </c>
      <c r="D18" s="456"/>
      <c r="E18" s="457" t="e">
        <f>THPT!E18+THPT!E22+THPT!E26+THPT!E30</f>
        <v>#REF!</v>
      </c>
      <c r="F18" s="460">
        <f>5.5*J9</f>
        <v>3678.6200000000003</v>
      </c>
      <c r="G18" s="456" t="e">
        <f t="shared" si="0"/>
        <v>#REF!</v>
      </c>
      <c r="H18" s="457"/>
      <c r="I18" s="484" t="e">
        <f>G15+'[9]Phân toán  '!$G$15+'[10]PHAN TOAN'!$G$16+'[11]BẢNG PHÂN TOÁN'!$G$14</f>
        <v>#REF!</v>
      </c>
      <c r="J18" s="399"/>
      <c r="K18" s="484"/>
    </row>
    <row r="19" spans="1:13" ht="22.15" customHeight="1">
      <c r="A19" s="453"/>
      <c r="B19" s="454" t="s">
        <v>2884</v>
      </c>
      <c r="C19" s="459" t="s">
        <v>2410</v>
      </c>
      <c r="D19" s="456"/>
      <c r="E19" s="457" t="e">
        <f>THPT!E19+THPT!E23+THPT!E27+THPT!E31</f>
        <v>#REF!</v>
      </c>
      <c r="F19" s="460">
        <f>5.2*J9</f>
        <v>3477.9680000000003</v>
      </c>
      <c r="G19" s="456" t="e">
        <f t="shared" ref="G19" si="1">E19*F19</f>
        <v>#REF!</v>
      </c>
      <c r="H19" s="457"/>
      <c r="I19" s="484" t="e">
        <f>G39+'[10]PHAN TOAN'!$G$24+'[9]Phân toán  '!$G$21+'[11]BẢNG PHÂN TOÁN'!$G$23</f>
        <v>#REF!</v>
      </c>
      <c r="J19" s="399"/>
      <c r="K19" s="484"/>
      <c r="L19" s="399"/>
    </row>
    <row r="20" spans="1:13" ht="22.15" hidden="1" customHeight="1">
      <c r="A20" s="453"/>
      <c r="B20" s="454" t="s">
        <v>2920</v>
      </c>
      <c r="C20" s="458"/>
      <c r="D20" s="456"/>
      <c r="E20" s="457" t="e">
        <f>SUM(E21:E24)</f>
        <v>#REF!</v>
      </c>
      <c r="F20" s="456"/>
      <c r="G20" s="456" t="e">
        <f>SUM(G21:G24)</f>
        <v>#REF!</v>
      </c>
      <c r="H20" s="457"/>
      <c r="I20" s="484">
        <f>G50+'[10]PHAN TOAN'!$G$30+'[9]Phân toán  '!$G$30+'[11]BẢNG PHÂN TOÁN'!$G$31</f>
        <v>1225660650</v>
      </c>
      <c r="J20" s="399" t="e">
        <f>G14/934</f>
        <v>#REF!</v>
      </c>
      <c r="K20" s="488"/>
      <c r="L20" s="485"/>
      <c r="M20" s="486"/>
    </row>
    <row r="21" spans="1:13" ht="22.15" hidden="1" customHeight="1">
      <c r="A21" s="453"/>
      <c r="B21" s="454" t="s">
        <v>2887</v>
      </c>
      <c r="C21" s="459" t="s">
        <v>2410</v>
      </c>
      <c r="D21" s="456"/>
      <c r="E21" s="457" t="e">
        <f>THPT!E49</f>
        <v>#REF!</v>
      </c>
      <c r="F21" s="460">
        <f>7.7*$J$9</f>
        <v>5150.0680000000002</v>
      </c>
      <c r="G21" s="456" t="e">
        <f>ROUND((E21*F21),2)+4</f>
        <v>#REF!</v>
      </c>
      <c r="H21" s="457"/>
      <c r="I21" s="484" t="e">
        <f>G51+G54+G55+G57</f>
        <v>#REF!</v>
      </c>
      <c r="J21" s="399"/>
      <c r="K21" s="487"/>
      <c r="L21" s="399"/>
      <c r="M21" s="487"/>
    </row>
    <row r="22" spans="1:13" ht="22.15" hidden="1" customHeight="1">
      <c r="A22" s="453"/>
      <c r="B22" s="454" t="s">
        <v>2888</v>
      </c>
      <c r="C22" s="458" t="s">
        <v>2410</v>
      </c>
      <c r="D22" s="456"/>
      <c r="E22" s="457" t="e">
        <f>THPT!E34</f>
        <v>#REF!</v>
      </c>
      <c r="F22" s="460">
        <f>7*$J$9</f>
        <v>4681.88</v>
      </c>
      <c r="G22" s="456" t="e">
        <f t="shared" ref="G22:G23" si="2">ROUND((E22*F22),2)</f>
        <v>#REF!</v>
      </c>
      <c r="H22" s="457"/>
      <c r="I22" s="484">
        <f>'[10]PHAN TOAN'!$G$35+'[10]PHAN TOAN'!$G$38+'[10]PHAN TOAN'!$G$31</f>
        <v>116378229.835245</v>
      </c>
      <c r="J22" s="399"/>
      <c r="K22" s="480"/>
    </row>
    <row r="23" spans="1:13" ht="22.15" hidden="1" customHeight="1">
      <c r="A23" s="453"/>
      <c r="B23" s="454" t="s">
        <v>2889</v>
      </c>
      <c r="C23" s="458" t="s">
        <v>2410</v>
      </c>
      <c r="D23" s="456"/>
      <c r="E23" s="457" t="e">
        <f>THPT!E35</f>
        <v>#REF!</v>
      </c>
      <c r="F23" s="460">
        <f>6.7*$J$9</f>
        <v>4481.2280000000001</v>
      </c>
      <c r="G23" s="456" t="e">
        <f t="shared" si="2"/>
        <v>#REF!</v>
      </c>
      <c r="H23" s="457"/>
      <c r="I23" s="484">
        <f>'[9]Phân toán  '!$G$39+'[9]Phân toán  '!$G$37+'[9]Phân toán  '!$G$31+'[9]Phân toán  '!$G$32</f>
        <v>108763979</v>
      </c>
      <c r="J23" s="399"/>
      <c r="K23" s="484"/>
      <c r="M23" s="487"/>
    </row>
    <row r="24" spans="1:13" ht="22.15" hidden="1" customHeight="1">
      <c r="A24" s="453"/>
      <c r="B24" s="454" t="s">
        <v>2890</v>
      </c>
      <c r="C24" s="458" t="s">
        <v>2410</v>
      </c>
      <c r="D24" s="456"/>
      <c r="E24" s="457" t="e">
        <f>THPT!E36</f>
        <v>#REF!</v>
      </c>
      <c r="F24" s="460">
        <f>6.4*$J$9</f>
        <v>4280.576</v>
      </c>
      <c r="G24" s="456" t="e">
        <f t="shared" ref="G24" si="3">E24*F24</f>
        <v>#REF!</v>
      </c>
      <c r="H24" s="457"/>
      <c r="I24" s="484">
        <f>'[11]BẢNG PHÂN TOÁN'!$G$35+'[11]BẢNG PHÂN TOÁN'!$G$32</f>
        <v>38100000</v>
      </c>
      <c r="J24" s="399"/>
      <c r="K24" s="484"/>
    </row>
    <row r="25" spans="1:13" ht="22.15" hidden="1" customHeight="1">
      <c r="A25" s="453"/>
      <c r="B25" s="454" t="s">
        <v>2921</v>
      </c>
      <c r="C25" s="458"/>
      <c r="D25" s="456"/>
      <c r="E25" s="457" t="e">
        <f>SUM(E26:E29)</f>
        <v>#REF!</v>
      </c>
      <c r="F25" s="456"/>
      <c r="G25" s="456" t="e">
        <f>SUM(G26:G29)</f>
        <v>#REF!</v>
      </c>
      <c r="H25" s="457"/>
      <c r="I25" s="484" t="e">
        <f>I24+I23+I22+I21</f>
        <v>#REF!</v>
      </c>
      <c r="J25" s="399"/>
      <c r="K25" s="489"/>
      <c r="L25" s="485"/>
      <c r="M25" s="486"/>
    </row>
    <row r="26" spans="1:13" ht="22.15" hidden="1" customHeight="1">
      <c r="A26" s="453"/>
      <c r="B26" s="454" t="s">
        <v>2887</v>
      </c>
      <c r="C26" s="459" t="s">
        <v>2410</v>
      </c>
      <c r="D26" s="456"/>
      <c r="E26" s="457" t="e">
        <f>THPT!E38+THPT!E41</f>
        <v>#REF!</v>
      </c>
      <c r="F26" s="460">
        <f>9.2*$J$9</f>
        <v>6153.3279999999995</v>
      </c>
      <c r="G26" s="456" t="e">
        <f t="shared" ref="G26:G29" si="4">ROUND((E26*F26),2)</f>
        <v>#REF!</v>
      </c>
      <c r="H26" s="457"/>
      <c r="I26" s="399" t="e">
        <f>G58+'[10]PHAN TOAN'!$G$41+'[9]Phân toán  '!$G$43+'[11]BẢNG PHÂN TOÁN'!$G$36</f>
        <v>#REF!</v>
      </c>
      <c r="J26" s="399"/>
      <c r="K26" s="487"/>
      <c r="L26" s="399"/>
    </row>
    <row r="27" spans="1:13" ht="22.15" hidden="1" customHeight="1">
      <c r="A27" s="453"/>
      <c r="B27" s="454" t="s">
        <v>2892</v>
      </c>
      <c r="C27" s="458" t="s">
        <v>2410</v>
      </c>
      <c r="D27" s="456"/>
      <c r="E27" s="457" t="e">
        <f>THPT!E39+THPT!E42</f>
        <v>#REF!</v>
      </c>
      <c r="F27" s="460">
        <f>8.9*$J$9</f>
        <v>5952.6760000000004</v>
      </c>
      <c r="G27" s="456" t="e">
        <f t="shared" si="4"/>
        <v>#REF!</v>
      </c>
      <c r="H27" s="457"/>
      <c r="I27" s="484"/>
      <c r="J27" s="399"/>
      <c r="K27" s="484"/>
    </row>
    <row r="28" spans="1:13" ht="22.15" hidden="1" customHeight="1">
      <c r="A28" s="453"/>
      <c r="B28" s="454" t="s">
        <v>2889</v>
      </c>
      <c r="C28" s="458" t="s">
        <v>2410</v>
      </c>
      <c r="D28" s="456"/>
      <c r="E28" s="457" t="e">
        <f>THPT!E40+THPT!E43</f>
        <v>#REF!</v>
      </c>
      <c r="F28" s="460">
        <f>8.6*$J$9</f>
        <v>5752.0240000000003</v>
      </c>
      <c r="G28" s="456" t="e">
        <f t="shared" si="4"/>
        <v>#REF!</v>
      </c>
      <c r="H28" s="457"/>
      <c r="I28" s="484"/>
      <c r="J28" s="399"/>
      <c r="K28" s="484"/>
    </row>
    <row r="29" spans="1:13" ht="22.15" hidden="1" customHeight="1">
      <c r="A29" s="453"/>
      <c r="B29" s="454" t="s">
        <v>2893</v>
      </c>
      <c r="C29" s="458" t="s">
        <v>2410</v>
      </c>
      <c r="D29" s="456"/>
      <c r="E29" s="457"/>
      <c r="F29" s="460">
        <f>8.3*$J$9</f>
        <v>5551.3720000000003</v>
      </c>
      <c r="G29" s="456">
        <f t="shared" si="4"/>
        <v>0</v>
      </c>
      <c r="H29" s="457"/>
      <c r="I29" s="484"/>
      <c r="J29" s="399"/>
      <c r="K29" s="484"/>
    </row>
    <row r="30" spans="1:13" ht="22.15" hidden="1" customHeight="1">
      <c r="A30" s="453"/>
      <c r="B30" s="454" t="s">
        <v>2922</v>
      </c>
      <c r="C30" s="458"/>
      <c r="D30" s="456"/>
      <c r="E30" s="457" t="e">
        <f>SUM(E31:E34)</f>
        <v>#REF!</v>
      </c>
      <c r="F30" s="456"/>
      <c r="G30" s="456" t="e">
        <f>SUM(G31:G34)</f>
        <v>#REF!</v>
      </c>
      <c r="H30" s="457"/>
      <c r="I30" s="484"/>
      <c r="J30" s="399"/>
      <c r="K30" s="489"/>
      <c r="L30" s="485"/>
      <c r="M30" s="486"/>
    </row>
    <row r="31" spans="1:13" ht="22.15" hidden="1" customHeight="1">
      <c r="A31" s="453"/>
      <c r="B31" s="454" t="s">
        <v>2887</v>
      </c>
      <c r="C31" s="459" t="s">
        <v>2410</v>
      </c>
      <c r="D31" s="456"/>
      <c r="E31" s="457" t="e">
        <f>THPT!E44</f>
        <v>#REF!</v>
      </c>
      <c r="F31" s="460">
        <f>8*$J$9</f>
        <v>5350.72</v>
      </c>
      <c r="G31" s="456" t="e">
        <f t="shared" ref="G31:G34" si="5">ROUND((E31*F31),2)</f>
        <v>#REF!</v>
      </c>
      <c r="H31" s="457"/>
      <c r="I31" s="484"/>
      <c r="J31" s="399"/>
      <c r="K31" s="487"/>
      <c r="L31" s="399"/>
    </row>
    <row r="32" spans="1:13" ht="22.15" hidden="1" customHeight="1">
      <c r="A32" s="453"/>
      <c r="B32" s="454" t="s">
        <v>2892</v>
      </c>
      <c r="C32" s="458" t="s">
        <v>2410</v>
      </c>
      <c r="D32" s="456"/>
      <c r="E32" s="457" t="e">
        <f>THPT!E45</f>
        <v>#REF!</v>
      </c>
      <c r="F32" s="460">
        <f>7.7*$J$9</f>
        <v>5150.0680000000002</v>
      </c>
      <c r="G32" s="456" t="e">
        <f t="shared" si="5"/>
        <v>#REF!</v>
      </c>
      <c r="H32" s="457"/>
      <c r="I32" s="484"/>
      <c r="J32" s="399"/>
      <c r="K32" s="484"/>
    </row>
    <row r="33" spans="1:13" ht="22.15" hidden="1" customHeight="1">
      <c r="A33" s="453"/>
      <c r="B33" s="454" t="s">
        <v>2889</v>
      </c>
      <c r="C33" s="458" t="s">
        <v>2410</v>
      </c>
      <c r="D33" s="456"/>
      <c r="E33" s="457" t="e">
        <f>THPT!E46</f>
        <v>#REF!</v>
      </c>
      <c r="F33" s="460">
        <f>7.4*$J$9</f>
        <v>4949.4160000000002</v>
      </c>
      <c r="G33" s="456" t="e">
        <f t="shared" si="5"/>
        <v>#REF!</v>
      </c>
      <c r="H33" s="457"/>
      <c r="I33" s="484"/>
      <c r="J33" s="399"/>
      <c r="K33" s="484"/>
    </row>
    <row r="34" spans="1:13" ht="22.15" hidden="1" customHeight="1">
      <c r="A34" s="453"/>
      <c r="B34" s="454" t="s">
        <v>2893</v>
      </c>
      <c r="C34" s="458" t="s">
        <v>2410</v>
      </c>
      <c r="D34" s="456"/>
      <c r="E34" s="457" t="e">
        <f>(SUMIF('LƯƠNG KT'!$K$41:$K$94,"D",'LƯƠNG KT'!#REF!)*0.4)+(SUMIF('LƯƠNG KT'!#REF!,"D",'LƯƠNG KT'!#REF!)*0.4)+(SUMIF('LƯƠNG KT'!$K$15:$K$40,"D",'LƯƠNG KT'!$H$15:$H$40)*0.4)</f>
        <v>#REF!</v>
      </c>
      <c r="F34" s="460">
        <f>7.1*$J$9</f>
        <v>4748.7640000000001</v>
      </c>
      <c r="G34" s="456" t="e">
        <f t="shared" si="5"/>
        <v>#REF!</v>
      </c>
      <c r="H34" s="457"/>
      <c r="I34" s="484"/>
      <c r="J34" s="399"/>
      <c r="K34" s="484"/>
    </row>
    <row r="35" spans="1:13" ht="22.15" hidden="1" customHeight="1">
      <c r="A35" s="453"/>
      <c r="B35" s="454" t="s">
        <v>2894</v>
      </c>
      <c r="C35" s="458"/>
      <c r="D35" s="456"/>
      <c r="E35" s="457" t="e">
        <f>SUM(E36:E37)</f>
        <v>#REF!</v>
      </c>
      <c r="F35" s="456"/>
      <c r="G35" s="456" t="e">
        <f>SUM(G36:G37)</f>
        <v>#REF!</v>
      </c>
      <c r="H35" s="457"/>
      <c r="I35" s="484"/>
      <c r="J35" s="399"/>
      <c r="K35" s="489"/>
      <c r="L35" s="485"/>
      <c r="M35" s="486"/>
    </row>
    <row r="36" spans="1:13" ht="22.15" hidden="1" customHeight="1">
      <c r="A36" s="453"/>
      <c r="B36" s="454" t="s">
        <v>2887</v>
      </c>
      <c r="C36" s="459" t="s">
        <v>2410</v>
      </c>
      <c r="D36" s="456"/>
      <c r="E36" s="457" t="e">
        <f>THPT!E53+THPT!E57+THPT!E61</f>
        <v>#REF!</v>
      </c>
      <c r="F36" s="460">
        <f>6.7*J9</f>
        <v>4481.2280000000001</v>
      </c>
      <c r="G36" s="456" t="e">
        <f>ROUND((E36*F36),0)+4</f>
        <v>#REF!</v>
      </c>
      <c r="H36" s="457"/>
      <c r="I36" s="484"/>
      <c r="J36" s="399"/>
      <c r="K36" s="487"/>
      <c r="L36" s="399"/>
    </row>
    <row r="37" spans="1:13" ht="22.15" hidden="1" customHeight="1">
      <c r="A37" s="453"/>
      <c r="B37" s="454" t="s">
        <v>2893</v>
      </c>
      <c r="C37" s="458" t="s">
        <v>2410</v>
      </c>
      <c r="D37" s="456"/>
      <c r="E37" s="457" t="e">
        <f>THPT!E52+THPT!E56+THPT!E60+THPT!E64</f>
        <v>#REF!</v>
      </c>
      <c r="F37" s="460">
        <f>5.8*J9</f>
        <v>3879.2719999999999</v>
      </c>
      <c r="G37" s="456" t="e">
        <f t="shared" ref="G37" si="6">ROUND((E37*F37),2)</f>
        <v>#REF!</v>
      </c>
      <c r="H37" s="457"/>
      <c r="I37" s="484"/>
      <c r="J37" s="484"/>
      <c r="K37" s="484"/>
    </row>
    <row r="38" spans="1:13" ht="22.15" hidden="1" customHeight="1">
      <c r="A38" s="453"/>
      <c r="B38" s="454" t="s">
        <v>2897</v>
      </c>
      <c r="C38" s="458" t="s">
        <v>2410</v>
      </c>
      <c r="D38" s="456"/>
      <c r="E38" s="457">
        <f>THPT!E66</f>
        <v>142.47734492223199</v>
      </c>
      <c r="F38" s="456">
        <f>6.1*$J$9</f>
        <v>4079.924</v>
      </c>
      <c r="G38" s="456">
        <f>ROUND((E38*F38),0)</f>
        <v>581297</v>
      </c>
      <c r="H38" s="461"/>
      <c r="I38" s="431"/>
      <c r="J38" s="431"/>
    </row>
    <row r="39" spans="1:13" ht="22.15" customHeight="1">
      <c r="A39" s="453" t="s">
        <v>2414</v>
      </c>
      <c r="B39" s="454" t="s">
        <v>2898</v>
      </c>
      <c r="C39" s="462" t="s">
        <v>2420</v>
      </c>
      <c r="D39" s="456" t="e">
        <f>SUM(D40:D41,D44:D45)</f>
        <v>#REF!</v>
      </c>
      <c r="E39" s="456"/>
      <c r="F39" s="456"/>
      <c r="G39" s="456" t="e">
        <f>SUM(G40:G49)</f>
        <v>#REF!</v>
      </c>
      <c r="H39" s="457"/>
      <c r="I39" s="431">
        <f>+'LƯƠNG CNTT'!I102</f>
        <v>124264846</v>
      </c>
      <c r="J39" s="431"/>
      <c r="K39" s="489"/>
      <c r="L39" s="488"/>
      <c r="M39" s="399"/>
    </row>
    <row r="40" spans="1:13" ht="22.15" customHeight="1">
      <c r="A40" s="453"/>
      <c r="B40" s="454" t="s">
        <v>2743</v>
      </c>
      <c r="C40" s="462" t="s">
        <v>2420</v>
      </c>
      <c r="D40" s="456">
        <f>'LƯƠNG KT'!M95</f>
        <v>1808</v>
      </c>
      <c r="E40" s="456"/>
      <c r="F40" s="456">
        <f>46.1*$J$9</f>
        <v>30833.524000000001</v>
      </c>
      <c r="G40" s="456">
        <f>ROUND((D40*F40),0)</f>
        <v>55747011</v>
      </c>
      <c r="H40" s="457"/>
      <c r="I40" s="431" t="e">
        <f>+I39-G39</f>
        <v>#REF!</v>
      </c>
      <c r="J40" s="480"/>
      <c r="K40" s="431"/>
    </row>
    <row r="41" spans="1:13" s="435" customFormat="1" ht="22.15" customHeight="1">
      <c r="A41" s="453"/>
      <c r="B41" s="454" t="s">
        <v>2744</v>
      </c>
      <c r="C41" s="462" t="s">
        <v>2420</v>
      </c>
      <c r="D41" s="456">
        <f>'LƯƠNG KT'!N95</f>
        <v>329</v>
      </c>
      <c r="E41" s="456"/>
      <c r="F41" s="456">
        <f>76.9*$J$9</f>
        <v>51433.796000000009</v>
      </c>
      <c r="G41" s="456">
        <f t="shared" ref="G41:G49" si="7">ROUND((D41*F41),0)</f>
        <v>16921719</v>
      </c>
      <c r="H41" s="457"/>
      <c r="I41" s="490"/>
      <c r="J41" s="490"/>
    </row>
    <row r="42" spans="1:13" s="435" customFormat="1" ht="22.15" hidden="1" customHeight="1">
      <c r="A42" s="453"/>
      <c r="B42" s="454" t="s">
        <v>2745</v>
      </c>
      <c r="C42" s="462" t="s">
        <v>2420</v>
      </c>
      <c r="D42" s="456">
        <f>'LƯƠNG KT'!P95</f>
        <v>2180</v>
      </c>
      <c r="E42" s="456"/>
      <c r="F42" s="456">
        <v>10000</v>
      </c>
      <c r="G42" s="456">
        <f t="shared" si="7"/>
        <v>21800000</v>
      </c>
      <c r="H42" s="457"/>
      <c r="I42" s="491"/>
      <c r="J42" s="491"/>
    </row>
    <row r="43" spans="1:13" s="435" customFormat="1" ht="22.15" hidden="1" customHeight="1">
      <c r="A43" s="453"/>
      <c r="B43" s="454" t="s">
        <v>369</v>
      </c>
      <c r="C43" s="462" t="s">
        <v>2420</v>
      </c>
      <c r="D43" s="456" t="e">
        <f>'LƯƠNG KT'!#REF!</f>
        <v>#REF!</v>
      </c>
      <c r="E43" s="456"/>
      <c r="F43" s="456">
        <f>46.1*$J$9*2</f>
        <v>61667.048000000003</v>
      </c>
      <c r="G43" s="456" t="e">
        <f t="shared" si="7"/>
        <v>#REF!</v>
      </c>
      <c r="H43" s="457"/>
      <c r="I43" s="491"/>
      <c r="J43" s="491"/>
    </row>
    <row r="44" spans="1:13" s="435" customFormat="1" ht="22.15" hidden="1" customHeight="1">
      <c r="A44" s="453"/>
      <c r="B44" s="454" t="s">
        <v>2666</v>
      </c>
      <c r="C44" s="462" t="s">
        <v>2858</v>
      </c>
      <c r="D44" s="456" t="e">
        <f>'LƯƠNG KT'!#REF!</f>
        <v>#REF!</v>
      </c>
      <c r="E44" s="456"/>
      <c r="F44" s="456">
        <f>46.1*$J$9*2</f>
        <v>61667.048000000003</v>
      </c>
      <c r="G44" s="456" t="e">
        <f t="shared" si="7"/>
        <v>#REF!</v>
      </c>
      <c r="H44" s="457"/>
      <c r="I44" s="491"/>
      <c r="J44" s="491"/>
    </row>
    <row r="45" spans="1:13" s="435" customFormat="1" ht="22.15" hidden="1" customHeight="1">
      <c r="A45" s="453"/>
      <c r="B45" s="454" t="s">
        <v>2680</v>
      </c>
      <c r="C45" s="462" t="s">
        <v>2858</v>
      </c>
      <c r="D45" s="456" t="e">
        <f>'LƯƠNG KT'!#REF!</f>
        <v>#REF!</v>
      </c>
      <c r="E45" s="456"/>
      <c r="F45" s="456">
        <f>76.9*$J$9*2</f>
        <v>102867.59200000002</v>
      </c>
      <c r="G45" s="456" t="e">
        <f t="shared" si="7"/>
        <v>#REF!</v>
      </c>
      <c r="H45" s="457"/>
      <c r="I45" s="491"/>
      <c r="J45" s="491"/>
    </row>
    <row r="46" spans="1:13" s="435" customFormat="1" ht="22.15" customHeight="1">
      <c r="A46" s="453"/>
      <c r="B46" s="454" t="s">
        <v>2681</v>
      </c>
      <c r="C46" s="462" t="s">
        <v>2858</v>
      </c>
      <c r="D46" s="456" t="e">
        <f>'LƯƠNG KT'!#REF!</f>
        <v>#REF!</v>
      </c>
      <c r="E46" s="456"/>
      <c r="F46" s="456">
        <f>30.7*$J$9</f>
        <v>20533.387999999999</v>
      </c>
      <c r="G46" s="456" t="e">
        <f t="shared" si="7"/>
        <v>#REF!</v>
      </c>
      <c r="H46" s="457"/>
      <c r="I46" s="492">
        <f>'[12]BẢNG PHÂN TOÁN'!$G$60</f>
        <v>1021948257.99535</v>
      </c>
      <c r="J46" s="491"/>
    </row>
    <row r="47" spans="1:13" s="435" customFormat="1" ht="22.15" customHeight="1">
      <c r="A47" s="453"/>
      <c r="B47" s="454" t="s">
        <v>2747</v>
      </c>
      <c r="C47" s="462" t="s">
        <v>2420</v>
      </c>
      <c r="D47" s="456" t="e">
        <f>'LƯƠNG KT'!#REF!</f>
        <v>#REF!</v>
      </c>
      <c r="E47" s="456"/>
      <c r="F47" s="456">
        <v>20000</v>
      </c>
      <c r="G47" s="456" t="e">
        <f t="shared" si="7"/>
        <v>#REF!</v>
      </c>
      <c r="H47" s="457"/>
      <c r="I47" s="492" t="e">
        <f>+G58-I46</f>
        <v>#REF!</v>
      </c>
      <c r="J47" s="491"/>
    </row>
    <row r="48" spans="1:13" s="435" customFormat="1" ht="22.15" hidden="1" customHeight="1">
      <c r="A48" s="453"/>
      <c r="B48" s="454" t="s">
        <v>2923</v>
      </c>
      <c r="C48" s="462" t="s">
        <v>2420</v>
      </c>
      <c r="D48" s="456">
        <f>427*500/25</f>
        <v>8540</v>
      </c>
      <c r="E48" s="456"/>
      <c r="F48" s="456">
        <v>25000</v>
      </c>
      <c r="G48" s="456">
        <f t="shared" si="7"/>
        <v>213500000</v>
      </c>
      <c r="H48" s="457"/>
      <c r="I48" s="491"/>
      <c r="J48" s="491"/>
    </row>
    <row r="49" spans="1:14" s="435" customFormat="1" ht="22.15" customHeight="1">
      <c r="A49" s="453"/>
      <c r="B49" s="454" t="s">
        <v>2683</v>
      </c>
      <c r="C49" s="462" t="s">
        <v>2420</v>
      </c>
      <c r="D49" s="456" t="e">
        <f>'LƯƠNG KT'!#REF!</f>
        <v>#REF!</v>
      </c>
      <c r="E49" s="456"/>
      <c r="F49" s="456">
        <v>20000</v>
      </c>
      <c r="G49" s="456" t="e">
        <f t="shared" si="7"/>
        <v>#REF!</v>
      </c>
      <c r="H49" s="457"/>
      <c r="I49" s="491"/>
      <c r="J49" s="491"/>
    </row>
    <row r="50" spans="1:14" ht="22.15" customHeight="1">
      <c r="A50" s="453" t="s">
        <v>2416</v>
      </c>
      <c r="B50" s="454" t="s">
        <v>2900</v>
      </c>
      <c r="C50" s="462" t="s">
        <v>2420</v>
      </c>
      <c r="D50" s="463">
        <f>THCKT!S10</f>
        <v>17752.276000000002</v>
      </c>
      <c r="E50" s="456"/>
      <c r="F50" s="456">
        <v>25000</v>
      </c>
      <c r="G50" s="456">
        <f>+D50*F50</f>
        <v>443806900</v>
      </c>
      <c r="H50" s="457"/>
      <c r="I50" s="431"/>
      <c r="J50" s="431"/>
      <c r="K50" s="484"/>
      <c r="L50" s="484"/>
    </row>
    <row r="51" spans="1:14" s="394" customFormat="1" ht="22.15" customHeight="1">
      <c r="A51" s="453">
        <v>2</v>
      </c>
      <c r="B51" s="454" t="s">
        <v>2863</v>
      </c>
      <c r="C51" s="462" t="s">
        <v>2420</v>
      </c>
      <c r="D51" s="456">
        <f>'LƯƠNG BV9THUC'!J13/25000</f>
        <v>208</v>
      </c>
      <c r="E51" s="456"/>
      <c r="F51" s="456">
        <f>'LƯƠNG BV9THUC'!J13/D51</f>
        <v>25000</v>
      </c>
      <c r="G51" s="456">
        <f>+D51*F51</f>
        <v>5200000</v>
      </c>
      <c r="H51" s="452"/>
      <c r="I51" s="477"/>
      <c r="L51" s="440"/>
      <c r="N51" s="440"/>
    </row>
    <row r="52" spans="1:14" s="394" customFormat="1" ht="22.15" hidden="1" customHeight="1">
      <c r="A52" s="448" t="s">
        <v>2805</v>
      </c>
      <c r="B52" s="449" t="s">
        <v>2469</v>
      </c>
      <c r="C52" s="450"/>
      <c r="D52" s="451"/>
      <c r="E52" s="451"/>
      <c r="F52" s="451"/>
      <c r="G52" s="451">
        <f>SUM(G53)</f>
        <v>13652380.952380955</v>
      </c>
      <c r="H52" s="452"/>
      <c r="I52" s="477"/>
      <c r="J52" s="477"/>
      <c r="L52" s="440"/>
      <c r="N52" s="440"/>
    </row>
    <row r="53" spans="1:14" ht="22.15" hidden="1" customHeight="1">
      <c r="A53" s="453">
        <v>1</v>
      </c>
      <c r="B53" s="454" t="s">
        <v>2901</v>
      </c>
      <c r="C53" s="462" t="s">
        <v>2420</v>
      </c>
      <c r="D53" s="457">
        <f>KTCB!D16</f>
        <v>546.09523809523819</v>
      </c>
      <c r="E53" s="456"/>
      <c r="F53" s="456">
        <v>25000</v>
      </c>
      <c r="G53" s="456">
        <f>+D53*F53</f>
        <v>13652380.952380955</v>
      </c>
      <c r="H53" s="457"/>
      <c r="I53" s="431"/>
      <c r="J53" s="431"/>
      <c r="L53" s="399"/>
      <c r="N53" s="399"/>
    </row>
    <row r="54" spans="1:14" s="394" customFormat="1" ht="22.15" customHeight="1">
      <c r="A54" s="448" t="s">
        <v>2805</v>
      </c>
      <c r="B54" s="449" t="s">
        <v>2924</v>
      </c>
      <c r="C54" s="462"/>
      <c r="D54" s="457"/>
      <c r="E54" s="456"/>
      <c r="F54" s="456"/>
      <c r="G54" s="451" t="e">
        <f>#REF!</f>
        <v>#REF!</v>
      </c>
      <c r="H54" s="452"/>
      <c r="I54" s="477" t="e">
        <f>#REF!</f>
        <v>#REF!</v>
      </c>
      <c r="J54" s="477"/>
      <c r="K54" s="477">
        <f>+'LƯƠNG CNTT'!J105</f>
        <v>397238399.95238096</v>
      </c>
      <c r="L54" s="440"/>
      <c r="N54" s="440"/>
    </row>
    <row r="55" spans="1:14" s="394" customFormat="1" ht="22.15" hidden="1" customHeight="1">
      <c r="A55" s="448" t="s">
        <v>2428</v>
      </c>
      <c r="B55" s="449" t="s">
        <v>2902</v>
      </c>
      <c r="C55" s="462"/>
      <c r="D55" s="457"/>
      <c r="E55" s="456"/>
      <c r="F55" s="456"/>
      <c r="G55" s="451">
        <f>SUM(G56:G56)</f>
        <v>2000000</v>
      </c>
      <c r="H55" s="452"/>
      <c r="I55" s="394">
        <f>'TRẠM CÁN'!T18</f>
        <v>2000000</v>
      </c>
      <c r="J55" s="477"/>
      <c r="K55" s="477" t="e">
        <f>+G58-K54</f>
        <v>#REF!</v>
      </c>
      <c r="L55" s="440"/>
      <c r="N55" s="440"/>
    </row>
    <row r="56" spans="1:14" s="394" customFormat="1" ht="22.15" hidden="1" customHeight="1">
      <c r="A56" s="453">
        <v>1</v>
      </c>
      <c r="B56" s="454" t="s">
        <v>1880</v>
      </c>
      <c r="C56" s="462" t="s">
        <v>2807</v>
      </c>
      <c r="D56" s="456"/>
      <c r="E56" s="456"/>
      <c r="F56" s="456"/>
      <c r="G56" s="456">
        <f>'TRẠM CÁN'!T19</f>
        <v>2000000</v>
      </c>
      <c r="H56" s="452"/>
      <c r="L56" s="440"/>
      <c r="N56" s="440"/>
    </row>
    <row r="57" spans="1:14" s="394" customFormat="1" ht="22.15" hidden="1" customHeight="1">
      <c r="A57" s="448" t="s">
        <v>2905</v>
      </c>
      <c r="B57" s="464" t="s">
        <v>2906</v>
      </c>
      <c r="C57" s="462" t="s">
        <v>2858</v>
      </c>
      <c r="D57" s="456"/>
      <c r="E57" s="456"/>
      <c r="F57" s="456"/>
      <c r="G57" s="451" t="e">
        <f>'TRẠM CÁN'!T13</f>
        <v>#REF!</v>
      </c>
      <c r="H57" s="452"/>
      <c r="I57" s="477" t="e">
        <f>'TRẠM CÁN'!T13</f>
        <v>#REF!</v>
      </c>
      <c r="J57" s="477"/>
      <c r="L57" s="440"/>
      <c r="N57" s="440"/>
    </row>
    <row r="58" spans="1:14" ht="21.95" customHeight="1">
      <c r="A58" s="2831" t="s">
        <v>2907</v>
      </c>
      <c r="B58" s="2831"/>
      <c r="C58" s="465"/>
      <c r="D58" s="451"/>
      <c r="E58" s="456"/>
      <c r="F58" s="456"/>
      <c r="G58" s="451" t="e">
        <f>G13+G52+G55+G57+G54</f>
        <v>#REF!</v>
      </c>
      <c r="H58" s="452"/>
      <c r="I58" s="493">
        <f>'LƯƠNG CNTT'!J105</f>
        <v>397238399.95238096</v>
      </c>
      <c r="J58" s="493" t="e">
        <f>+G58-I58</f>
        <v>#REF!</v>
      </c>
      <c r="K58" s="489" t="e">
        <f>+G58-I59</f>
        <v>#REF!</v>
      </c>
      <c r="L58" s="489"/>
      <c r="M58" s="399"/>
    </row>
    <row r="59" spans="1:14">
      <c r="A59" s="2820" t="s">
        <v>2925</v>
      </c>
      <c r="B59" s="2820"/>
      <c r="C59" s="2820"/>
      <c r="D59" s="2820"/>
      <c r="E59" s="2820"/>
      <c r="F59" s="2820"/>
      <c r="G59" s="2820"/>
      <c r="H59" s="2820"/>
      <c r="I59" s="399" t="e">
        <f>+G58-I58</f>
        <v>#REF!</v>
      </c>
      <c r="K59" s="399"/>
      <c r="L59" s="494"/>
    </row>
    <row r="60" spans="1:14" s="396" customFormat="1" ht="26.25" customHeight="1">
      <c r="A60" s="466"/>
      <c r="B60" s="466"/>
      <c r="C60" s="466"/>
      <c r="D60" s="421"/>
      <c r="E60" s="467"/>
      <c r="F60" s="2821" t="s">
        <v>2926</v>
      </c>
      <c r="G60" s="2821"/>
      <c r="H60" s="2821"/>
      <c r="J60" s="495"/>
    </row>
    <row r="61" spans="1:14" s="396" customFormat="1" ht="4.1500000000000004" customHeight="1">
      <c r="A61" s="469"/>
      <c r="B61" s="469"/>
      <c r="C61" s="469"/>
      <c r="D61" s="470"/>
      <c r="E61" s="467"/>
      <c r="F61" s="424"/>
      <c r="G61" s="425"/>
      <c r="H61" s="471"/>
      <c r="I61" s="433"/>
    </row>
    <row r="62" spans="1:14" s="436" customFormat="1" ht="18.75">
      <c r="A62" s="472" t="s">
        <v>2927</v>
      </c>
      <c r="C62" s="472"/>
      <c r="D62" s="472"/>
      <c r="E62" s="472"/>
      <c r="F62" s="472"/>
      <c r="G62" s="473"/>
      <c r="H62" s="474"/>
      <c r="I62" s="496"/>
    </row>
    <row r="63" spans="1:14" s="396" customFormat="1" ht="18.75">
      <c r="A63" s="469"/>
      <c r="B63" s="469"/>
      <c r="C63" s="469"/>
      <c r="D63" s="470"/>
      <c r="E63" s="467"/>
      <c r="F63" s="424"/>
      <c r="G63" s="425"/>
      <c r="H63" s="471"/>
      <c r="I63" s="433"/>
      <c r="J63" s="433">
        <f>+I58-'[13]BẢNG PHÂN TOÁN'!$I$62</f>
        <v>-1575496761.958889</v>
      </c>
    </row>
    <row r="64" spans="1:14" s="396" customFormat="1" ht="18.75">
      <c r="A64" s="469"/>
      <c r="B64" s="469"/>
      <c r="C64" s="469"/>
      <c r="D64" s="470"/>
      <c r="E64" s="467"/>
      <c r="F64" s="424"/>
      <c r="G64" s="425"/>
      <c r="H64" s="471"/>
    </row>
    <row r="65" spans="1:10" s="396" customFormat="1" ht="18.75">
      <c r="A65" s="469"/>
      <c r="B65" s="469"/>
      <c r="C65" s="469"/>
      <c r="D65" s="470"/>
      <c r="E65" s="467"/>
      <c r="F65" s="424"/>
      <c r="G65" s="425"/>
      <c r="H65" s="471"/>
      <c r="J65" s="396">
        <v>446207554.89044899</v>
      </c>
    </row>
    <row r="66" spans="1:10" s="396" customFormat="1" ht="18.75">
      <c r="A66" s="469"/>
      <c r="B66" s="469"/>
      <c r="C66" s="469"/>
      <c r="D66" s="470"/>
      <c r="E66" s="467"/>
      <c r="F66" s="424"/>
      <c r="G66" s="425"/>
      <c r="H66" s="471"/>
      <c r="J66" s="433">
        <f>+J65-J63</f>
        <v>2021704316.8493381</v>
      </c>
    </row>
    <row r="67" spans="1:10" s="396" customFormat="1" ht="18.75" hidden="1">
      <c r="A67" s="469"/>
      <c r="B67" s="469"/>
      <c r="C67" s="469"/>
      <c r="D67" s="470"/>
      <c r="E67" s="467"/>
      <c r="F67" s="2823"/>
      <c r="G67" s="2823"/>
      <c r="H67" s="474"/>
    </row>
    <row r="68" spans="1:10" hidden="1">
      <c r="A68" s="497"/>
      <c r="B68" s="497"/>
      <c r="C68" s="497"/>
      <c r="D68" s="498"/>
      <c r="E68" s="497"/>
      <c r="F68" s="499"/>
      <c r="G68" s="429"/>
      <c r="H68" s="499"/>
    </row>
    <row r="69" spans="1:10" hidden="1">
      <c r="A69" s="497"/>
      <c r="B69" s="500"/>
      <c r="C69" s="497"/>
      <c r="D69" s="498"/>
      <c r="E69" s="500"/>
      <c r="F69" s="501"/>
      <c r="G69" s="430"/>
      <c r="H69" s="501"/>
    </row>
    <row r="70" spans="1:10" hidden="1"/>
    <row r="71" spans="1:10" hidden="1"/>
    <row r="72" spans="1:10" hidden="1"/>
    <row r="74" spans="1:10">
      <c r="I74" s="431"/>
    </row>
    <row r="77" spans="1:10">
      <c r="I77" s="431"/>
      <c r="J77" s="431"/>
    </row>
    <row r="79" spans="1:10">
      <c r="I79" s="431"/>
      <c r="J79" s="431"/>
    </row>
  </sheetData>
  <mergeCells count="11">
    <mergeCell ref="A1:H1"/>
    <mergeCell ref="A2:H2"/>
    <mergeCell ref="A3:H3"/>
    <mergeCell ref="A4:D4"/>
    <mergeCell ref="A5:D5"/>
    <mergeCell ref="F67:G67"/>
    <mergeCell ref="A8:H8"/>
    <mergeCell ref="A9:H9"/>
    <mergeCell ref="A58:B58"/>
    <mergeCell ref="A59:H59"/>
    <mergeCell ref="F60:H60"/>
  </mergeCells>
  <pageMargins left="0.31496062992126" right="0" top="0.74803149606299202" bottom="0.55118110236220497" header="0.31496062992126" footer="0.31496062992126"/>
  <pageSetup paperSize="9" orientation="landscape"/>
  <headerFooter>
    <oddFooter>&amp;RPage &amp;P/3</oddFooter>
  </headerFooter>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M44"/>
  <sheetViews>
    <sheetView topLeftCell="A28" zoomScale="70" zoomScaleNormal="70" workbookViewId="0">
      <selection activeCell="H4" sqref="H1:M1048576"/>
    </sheetView>
  </sheetViews>
  <sheetFormatPr defaultColWidth="8.7109375" defaultRowHeight="15.75"/>
  <cols>
    <col min="1" max="1" width="6" style="397" customWidth="1"/>
    <col min="2" max="2" width="41.140625" style="397" customWidth="1"/>
    <col min="3" max="3" width="11" style="398" customWidth="1"/>
    <col min="4" max="4" width="13.5703125" style="398" customWidth="1"/>
    <col min="5" max="5" width="15" style="399" customWidth="1"/>
    <col min="6" max="6" width="24.28515625" style="400" customWidth="1"/>
    <col min="7" max="7" width="26.5703125" style="399" customWidth="1"/>
    <col min="8" max="8" width="28.28515625" style="397" hidden="1" customWidth="1"/>
    <col min="9" max="9" width="20.7109375" style="397" hidden="1" customWidth="1"/>
    <col min="10" max="10" width="34.7109375" style="397" hidden="1" customWidth="1"/>
    <col min="11" max="11" width="21.85546875" style="397" hidden="1" customWidth="1"/>
    <col min="12" max="12" width="15.7109375" style="397" hidden="1" customWidth="1"/>
    <col min="13" max="13" width="17.7109375" style="397" hidden="1" customWidth="1"/>
    <col min="14" max="256" width="8.7109375" style="397"/>
    <col min="257" max="257" width="6.85546875" style="397" customWidth="1"/>
    <col min="258" max="258" width="39.28515625" style="397" customWidth="1"/>
    <col min="259" max="259" width="9.28515625" style="397" customWidth="1"/>
    <col min="260" max="260" width="10.7109375" style="397" customWidth="1"/>
    <col min="261" max="261" width="15" style="397" customWidth="1"/>
    <col min="262" max="262" width="10.42578125" style="397" customWidth="1"/>
    <col min="263" max="263" width="20.42578125" style="397" customWidth="1"/>
    <col min="264" max="264" width="20.7109375" style="397" customWidth="1"/>
    <col min="265" max="265" width="11.140625" style="397" customWidth="1"/>
    <col min="266" max="266" width="24" style="397" customWidth="1"/>
    <col min="267" max="267" width="20.28515625" style="397" customWidth="1"/>
    <col min="268" max="268" width="14.85546875" style="397" customWidth="1"/>
    <col min="269" max="269" width="11.28515625" style="397" customWidth="1"/>
    <col min="270" max="512" width="8.7109375" style="397"/>
    <col min="513" max="513" width="6.85546875" style="397" customWidth="1"/>
    <col min="514" max="514" width="39.28515625" style="397" customWidth="1"/>
    <col min="515" max="515" width="9.28515625" style="397" customWidth="1"/>
    <col min="516" max="516" width="10.7109375" style="397" customWidth="1"/>
    <col min="517" max="517" width="15" style="397" customWidth="1"/>
    <col min="518" max="518" width="10.42578125" style="397" customWidth="1"/>
    <col min="519" max="519" width="20.42578125" style="397" customWidth="1"/>
    <col min="520" max="520" width="20.7109375" style="397" customWidth="1"/>
    <col min="521" max="521" width="11.140625" style="397" customWidth="1"/>
    <col min="522" max="522" width="24" style="397" customWidth="1"/>
    <col min="523" max="523" width="20.28515625" style="397" customWidth="1"/>
    <col min="524" max="524" width="14.85546875" style="397" customWidth="1"/>
    <col min="525" max="525" width="11.28515625" style="397" customWidth="1"/>
    <col min="526" max="768" width="8.7109375" style="397"/>
    <col min="769" max="769" width="6.85546875" style="397" customWidth="1"/>
    <col min="770" max="770" width="39.28515625" style="397" customWidth="1"/>
    <col min="771" max="771" width="9.28515625" style="397" customWidth="1"/>
    <col min="772" max="772" width="10.7109375" style="397" customWidth="1"/>
    <col min="773" max="773" width="15" style="397" customWidth="1"/>
    <col min="774" max="774" width="10.42578125" style="397" customWidth="1"/>
    <col min="775" max="775" width="20.42578125" style="397" customWidth="1"/>
    <col min="776" max="776" width="20.7109375" style="397" customWidth="1"/>
    <col min="777" max="777" width="11.140625" style="397" customWidth="1"/>
    <col min="778" max="778" width="24" style="397" customWidth="1"/>
    <col min="779" max="779" width="20.28515625" style="397" customWidth="1"/>
    <col min="780" max="780" width="14.85546875" style="397" customWidth="1"/>
    <col min="781" max="781" width="11.28515625" style="397" customWidth="1"/>
    <col min="782" max="1024" width="8.7109375" style="397"/>
    <col min="1025" max="1025" width="6.85546875" style="397" customWidth="1"/>
    <col min="1026" max="1026" width="39.28515625" style="397" customWidth="1"/>
    <col min="1027" max="1027" width="9.28515625" style="397" customWidth="1"/>
    <col min="1028" max="1028" width="10.7109375" style="397" customWidth="1"/>
    <col min="1029" max="1029" width="15" style="397" customWidth="1"/>
    <col min="1030" max="1030" width="10.42578125" style="397" customWidth="1"/>
    <col min="1031" max="1031" width="20.42578125" style="397" customWidth="1"/>
    <col min="1032" max="1032" width="20.7109375" style="397" customWidth="1"/>
    <col min="1033" max="1033" width="11.140625" style="397" customWidth="1"/>
    <col min="1034" max="1034" width="24" style="397" customWidth="1"/>
    <col min="1035" max="1035" width="20.28515625" style="397" customWidth="1"/>
    <col min="1036" max="1036" width="14.85546875" style="397" customWidth="1"/>
    <col min="1037" max="1037" width="11.28515625" style="397" customWidth="1"/>
    <col min="1038" max="1280" width="8.7109375" style="397"/>
    <col min="1281" max="1281" width="6.85546875" style="397" customWidth="1"/>
    <col min="1282" max="1282" width="39.28515625" style="397" customWidth="1"/>
    <col min="1283" max="1283" width="9.28515625" style="397" customWidth="1"/>
    <col min="1284" max="1284" width="10.7109375" style="397" customWidth="1"/>
    <col min="1285" max="1285" width="15" style="397" customWidth="1"/>
    <col min="1286" max="1286" width="10.42578125" style="397" customWidth="1"/>
    <col min="1287" max="1287" width="20.42578125" style="397" customWidth="1"/>
    <col min="1288" max="1288" width="20.7109375" style="397" customWidth="1"/>
    <col min="1289" max="1289" width="11.140625" style="397" customWidth="1"/>
    <col min="1290" max="1290" width="24" style="397" customWidth="1"/>
    <col min="1291" max="1291" width="20.28515625" style="397" customWidth="1"/>
    <col min="1292" max="1292" width="14.85546875" style="397" customWidth="1"/>
    <col min="1293" max="1293" width="11.28515625" style="397" customWidth="1"/>
    <col min="1294" max="1536" width="8.7109375" style="397"/>
    <col min="1537" max="1537" width="6.85546875" style="397" customWidth="1"/>
    <col min="1538" max="1538" width="39.28515625" style="397" customWidth="1"/>
    <col min="1539" max="1539" width="9.28515625" style="397" customWidth="1"/>
    <col min="1540" max="1540" width="10.7109375" style="397" customWidth="1"/>
    <col min="1541" max="1541" width="15" style="397" customWidth="1"/>
    <col min="1542" max="1542" width="10.42578125" style="397" customWidth="1"/>
    <col min="1543" max="1543" width="20.42578125" style="397" customWidth="1"/>
    <col min="1544" max="1544" width="20.7109375" style="397" customWidth="1"/>
    <col min="1545" max="1545" width="11.140625" style="397" customWidth="1"/>
    <col min="1546" max="1546" width="24" style="397" customWidth="1"/>
    <col min="1547" max="1547" width="20.28515625" style="397" customWidth="1"/>
    <col min="1548" max="1548" width="14.85546875" style="397" customWidth="1"/>
    <col min="1549" max="1549" width="11.28515625" style="397" customWidth="1"/>
    <col min="1550" max="1792" width="8.7109375" style="397"/>
    <col min="1793" max="1793" width="6.85546875" style="397" customWidth="1"/>
    <col min="1794" max="1794" width="39.28515625" style="397" customWidth="1"/>
    <col min="1795" max="1795" width="9.28515625" style="397" customWidth="1"/>
    <col min="1796" max="1796" width="10.7109375" style="397" customWidth="1"/>
    <col min="1797" max="1797" width="15" style="397" customWidth="1"/>
    <col min="1798" max="1798" width="10.42578125" style="397" customWidth="1"/>
    <col min="1799" max="1799" width="20.42578125" style="397" customWidth="1"/>
    <col min="1800" max="1800" width="20.7109375" style="397" customWidth="1"/>
    <col min="1801" max="1801" width="11.140625" style="397" customWidth="1"/>
    <col min="1802" max="1802" width="24" style="397" customWidth="1"/>
    <col min="1803" max="1803" width="20.28515625" style="397" customWidth="1"/>
    <col min="1804" max="1804" width="14.85546875" style="397" customWidth="1"/>
    <col min="1805" max="1805" width="11.28515625" style="397" customWidth="1"/>
    <col min="1806" max="2048" width="8.7109375" style="397"/>
    <col min="2049" max="2049" width="6.85546875" style="397" customWidth="1"/>
    <col min="2050" max="2050" width="39.28515625" style="397" customWidth="1"/>
    <col min="2051" max="2051" width="9.28515625" style="397" customWidth="1"/>
    <col min="2052" max="2052" width="10.7109375" style="397" customWidth="1"/>
    <col min="2053" max="2053" width="15" style="397" customWidth="1"/>
    <col min="2054" max="2054" width="10.42578125" style="397" customWidth="1"/>
    <col min="2055" max="2055" width="20.42578125" style="397" customWidth="1"/>
    <col min="2056" max="2056" width="20.7109375" style="397" customWidth="1"/>
    <col min="2057" max="2057" width="11.140625" style="397" customWidth="1"/>
    <col min="2058" max="2058" width="24" style="397" customWidth="1"/>
    <col min="2059" max="2059" width="20.28515625" style="397" customWidth="1"/>
    <col min="2060" max="2060" width="14.85546875" style="397" customWidth="1"/>
    <col min="2061" max="2061" width="11.28515625" style="397" customWidth="1"/>
    <col min="2062" max="2304" width="8.7109375" style="397"/>
    <col min="2305" max="2305" width="6.85546875" style="397" customWidth="1"/>
    <col min="2306" max="2306" width="39.28515625" style="397" customWidth="1"/>
    <col min="2307" max="2307" width="9.28515625" style="397" customWidth="1"/>
    <col min="2308" max="2308" width="10.7109375" style="397" customWidth="1"/>
    <col min="2309" max="2309" width="15" style="397" customWidth="1"/>
    <col min="2310" max="2310" width="10.42578125" style="397" customWidth="1"/>
    <col min="2311" max="2311" width="20.42578125" style="397" customWidth="1"/>
    <col min="2312" max="2312" width="20.7109375" style="397" customWidth="1"/>
    <col min="2313" max="2313" width="11.140625" style="397" customWidth="1"/>
    <col min="2314" max="2314" width="24" style="397" customWidth="1"/>
    <col min="2315" max="2315" width="20.28515625" style="397" customWidth="1"/>
    <col min="2316" max="2316" width="14.85546875" style="397" customWidth="1"/>
    <col min="2317" max="2317" width="11.28515625" style="397" customWidth="1"/>
    <col min="2318" max="2560" width="8.7109375" style="397"/>
    <col min="2561" max="2561" width="6.85546875" style="397" customWidth="1"/>
    <col min="2562" max="2562" width="39.28515625" style="397" customWidth="1"/>
    <col min="2563" max="2563" width="9.28515625" style="397" customWidth="1"/>
    <col min="2564" max="2564" width="10.7109375" style="397" customWidth="1"/>
    <col min="2565" max="2565" width="15" style="397" customWidth="1"/>
    <col min="2566" max="2566" width="10.42578125" style="397" customWidth="1"/>
    <col min="2567" max="2567" width="20.42578125" style="397" customWidth="1"/>
    <col min="2568" max="2568" width="20.7109375" style="397" customWidth="1"/>
    <col min="2569" max="2569" width="11.140625" style="397" customWidth="1"/>
    <col min="2570" max="2570" width="24" style="397" customWidth="1"/>
    <col min="2571" max="2571" width="20.28515625" style="397" customWidth="1"/>
    <col min="2572" max="2572" width="14.85546875" style="397" customWidth="1"/>
    <col min="2573" max="2573" width="11.28515625" style="397" customWidth="1"/>
    <col min="2574" max="2816" width="8.7109375" style="397"/>
    <col min="2817" max="2817" width="6.85546875" style="397" customWidth="1"/>
    <col min="2818" max="2818" width="39.28515625" style="397" customWidth="1"/>
    <col min="2819" max="2819" width="9.28515625" style="397" customWidth="1"/>
    <col min="2820" max="2820" width="10.7109375" style="397" customWidth="1"/>
    <col min="2821" max="2821" width="15" style="397" customWidth="1"/>
    <col min="2822" max="2822" width="10.42578125" style="397" customWidth="1"/>
    <col min="2823" max="2823" width="20.42578125" style="397" customWidth="1"/>
    <col min="2824" max="2824" width="20.7109375" style="397" customWidth="1"/>
    <col min="2825" max="2825" width="11.140625" style="397" customWidth="1"/>
    <col min="2826" max="2826" width="24" style="397" customWidth="1"/>
    <col min="2827" max="2827" width="20.28515625" style="397" customWidth="1"/>
    <col min="2828" max="2828" width="14.85546875" style="397" customWidth="1"/>
    <col min="2829" max="2829" width="11.28515625" style="397" customWidth="1"/>
    <col min="2830" max="3072" width="8.7109375" style="397"/>
    <col min="3073" max="3073" width="6.85546875" style="397" customWidth="1"/>
    <col min="3074" max="3074" width="39.28515625" style="397" customWidth="1"/>
    <col min="3075" max="3075" width="9.28515625" style="397" customWidth="1"/>
    <col min="3076" max="3076" width="10.7109375" style="397" customWidth="1"/>
    <col min="3077" max="3077" width="15" style="397" customWidth="1"/>
    <col min="3078" max="3078" width="10.42578125" style="397" customWidth="1"/>
    <col min="3079" max="3079" width="20.42578125" style="397" customWidth="1"/>
    <col min="3080" max="3080" width="20.7109375" style="397" customWidth="1"/>
    <col min="3081" max="3081" width="11.140625" style="397" customWidth="1"/>
    <col min="3082" max="3082" width="24" style="397" customWidth="1"/>
    <col min="3083" max="3083" width="20.28515625" style="397" customWidth="1"/>
    <col min="3084" max="3084" width="14.85546875" style="397" customWidth="1"/>
    <col min="3085" max="3085" width="11.28515625" style="397" customWidth="1"/>
    <col min="3086" max="3328" width="8.7109375" style="397"/>
    <col min="3329" max="3329" width="6.85546875" style="397" customWidth="1"/>
    <col min="3330" max="3330" width="39.28515625" style="397" customWidth="1"/>
    <col min="3331" max="3331" width="9.28515625" style="397" customWidth="1"/>
    <col min="3332" max="3332" width="10.7109375" style="397" customWidth="1"/>
    <col min="3333" max="3333" width="15" style="397" customWidth="1"/>
    <col min="3334" max="3334" width="10.42578125" style="397" customWidth="1"/>
    <col min="3335" max="3335" width="20.42578125" style="397" customWidth="1"/>
    <col min="3336" max="3336" width="20.7109375" style="397" customWidth="1"/>
    <col min="3337" max="3337" width="11.140625" style="397" customWidth="1"/>
    <col min="3338" max="3338" width="24" style="397" customWidth="1"/>
    <col min="3339" max="3339" width="20.28515625" style="397" customWidth="1"/>
    <col min="3340" max="3340" width="14.85546875" style="397" customWidth="1"/>
    <col min="3341" max="3341" width="11.28515625" style="397" customWidth="1"/>
    <col min="3342" max="3584" width="8.7109375" style="397"/>
    <col min="3585" max="3585" width="6.85546875" style="397" customWidth="1"/>
    <col min="3586" max="3586" width="39.28515625" style="397" customWidth="1"/>
    <col min="3587" max="3587" width="9.28515625" style="397" customWidth="1"/>
    <col min="3588" max="3588" width="10.7109375" style="397" customWidth="1"/>
    <col min="3589" max="3589" width="15" style="397" customWidth="1"/>
    <col min="3590" max="3590" width="10.42578125" style="397" customWidth="1"/>
    <col min="3591" max="3591" width="20.42578125" style="397" customWidth="1"/>
    <col min="3592" max="3592" width="20.7109375" style="397" customWidth="1"/>
    <col min="3593" max="3593" width="11.140625" style="397" customWidth="1"/>
    <col min="3594" max="3594" width="24" style="397" customWidth="1"/>
    <col min="3595" max="3595" width="20.28515625" style="397" customWidth="1"/>
    <col min="3596" max="3596" width="14.85546875" style="397" customWidth="1"/>
    <col min="3597" max="3597" width="11.28515625" style="397" customWidth="1"/>
    <col min="3598" max="3840" width="8.7109375" style="397"/>
    <col min="3841" max="3841" width="6.85546875" style="397" customWidth="1"/>
    <col min="3842" max="3842" width="39.28515625" style="397" customWidth="1"/>
    <col min="3843" max="3843" width="9.28515625" style="397" customWidth="1"/>
    <col min="3844" max="3844" width="10.7109375" style="397" customWidth="1"/>
    <col min="3845" max="3845" width="15" style="397" customWidth="1"/>
    <col min="3846" max="3846" width="10.42578125" style="397" customWidth="1"/>
    <col min="3847" max="3847" width="20.42578125" style="397" customWidth="1"/>
    <col min="3848" max="3848" width="20.7109375" style="397" customWidth="1"/>
    <col min="3849" max="3849" width="11.140625" style="397" customWidth="1"/>
    <col min="3850" max="3850" width="24" style="397" customWidth="1"/>
    <col min="3851" max="3851" width="20.28515625" style="397" customWidth="1"/>
    <col min="3852" max="3852" width="14.85546875" style="397" customWidth="1"/>
    <col min="3853" max="3853" width="11.28515625" style="397" customWidth="1"/>
    <col min="3854" max="4096" width="8.7109375" style="397"/>
    <col min="4097" max="4097" width="6.85546875" style="397" customWidth="1"/>
    <col min="4098" max="4098" width="39.28515625" style="397" customWidth="1"/>
    <col min="4099" max="4099" width="9.28515625" style="397" customWidth="1"/>
    <col min="4100" max="4100" width="10.7109375" style="397" customWidth="1"/>
    <col min="4101" max="4101" width="15" style="397" customWidth="1"/>
    <col min="4102" max="4102" width="10.42578125" style="397" customWidth="1"/>
    <col min="4103" max="4103" width="20.42578125" style="397" customWidth="1"/>
    <col min="4104" max="4104" width="20.7109375" style="397" customWidth="1"/>
    <col min="4105" max="4105" width="11.140625" style="397" customWidth="1"/>
    <col min="4106" max="4106" width="24" style="397" customWidth="1"/>
    <col min="4107" max="4107" width="20.28515625" style="397" customWidth="1"/>
    <col min="4108" max="4108" width="14.85546875" style="397" customWidth="1"/>
    <col min="4109" max="4109" width="11.28515625" style="397" customWidth="1"/>
    <col min="4110" max="4352" width="8.7109375" style="397"/>
    <col min="4353" max="4353" width="6.85546875" style="397" customWidth="1"/>
    <col min="4354" max="4354" width="39.28515625" style="397" customWidth="1"/>
    <col min="4355" max="4355" width="9.28515625" style="397" customWidth="1"/>
    <col min="4356" max="4356" width="10.7109375" style="397" customWidth="1"/>
    <col min="4357" max="4357" width="15" style="397" customWidth="1"/>
    <col min="4358" max="4358" width="10.42578125" style="397" customWidth="1"/>
    <col min="4359" max="4359" width="20.42578125" style="397" customWidth="1"/>
    <col min="4360" max="4360" width="20.7109375" style="397" customWidth="1"/>
    <col min="4361" max="4361" width="11.140625" style="397" customWidth="1"/>
    <col min="4362" max="4362" width="24" style="397" customWidth="1"/>
    <col min="4363" max="4363" width="20.28515625" style="397" customWidth="1"/>
    <col min="4364" max="4364" width="14.85546875" style="397" customWidth="1"/>
    <col min="4365" max="4365" width="11.28515625" style="397" customWidth="1"/>
    <col min="4366" max="4608" width="8.7109375" style="397"/>
    <col min="4609" max="4609" width="6.85546875" style="397" customWidth="1"/>
    <col min="4610" max="4610" width="39.28515625" style="397" customWidth="1"/>
    <col min="4611" max="4611" width="9.28515625" style="397" customWidth="1"/>
    <col min="4612" max="4612" width="10.7109375" style="397" customWidth="1"/>
    <col min="4613" max="4613" width="15" style="397" customWidth="1"/>
    <col min="4614" max="4614" width="10.42578125" style="397" customWidth="1"/>
    <col min="4615" max="4615" width="20.42578125" style="397" customWidth="1"/>
    <col min="4616" max="4616" width="20.7109375" style="397" customWidth="1"/>
    <col min="4617" max="4617" width="11.140625" style="397" customWidth="1"/>
    <col min="4618" max="4618" width="24" style="397" customWidth="1"/>
    <col min="4619" max="4619" width="20.28515625" style="397" customWidth="1"/>
    <col min="4620" max="4620" width="14.85546875" style="397" customWidth="1"/>
    <col min="4621" max="4621" width="11.28515625" style="397" customWidth="1"/>
    <col min="4622" max="4864" width="8.7109375" style="397"/>
    <col min="4865" max="4865" width="6.85546875" style="397" customWidth="1"/>
    <col min="4866" max="4866" width="39.28515625" style="397" customWidth="1"/>
    <col min="4867" max="4867" width="9.28515625" style="397" customWidth="1"/>
    <col min="4868" max="4868" width="10.7109375" style="397" customWidth="1"/>
    <col min="4869" max="4869" width="15" style="397" customWidth="1"/>
    <col min="4870" max="4870" width="10.42578125" style="397" customWidth="1"/>
    <col min="4871" max="4871" width="20.42578125" style="397" customWidth="1"/>
    <col min="4872" max="4872" width="20.7109375" style="397" customWidth="1"/>
    <col min="4873" max="4873" width="11.140625" style="397" customWidth="1"/>
    <col min="4874" max="4874" width="24" style="397" customWidth="1"/>
    <col min="4875" max="4875" width="20.28515625" style="397" customWidth="1"/>
    <col min="4876" max="4876" width="14.85546875" style="397" customWidth="1"/>
    <col min="4877" max="4877" width="11.28515625" style="397" customWidth="1"/>
    <col min="4878" max="5120" width="8.7109375" style="397"/>
    <col min="5121" max="5121" width="6.85546875" style="397" customWidth="1"/>
    <col min="5122" max="5122" width="39.28515625" style="397" customWidth="1"/>
    <col min="5123" max="5123" width="9.28515625" style="397" customWidth="1"/>
    <col min="5124" max="5124" width="10.7109375" style="397" customWidth="1"/>
    <col min="5125" max="5125" width="15" style="397" customWidth="1"/>
    <col min="5126" max="5126" width="10.42578125" style="397" customWidth="1"/>
    <col min="5127" max="5127" width="20.42578125" style="397" customWidth="1"/>
    <col min="5128" max="5128" width="20.7109375" style="397" customWidth="1"/>
    <col min="5129" max="5129" width="11.140625" style="397" customWidth="1"/>
    <col min="5130" max="5130" width="24" style="397" customWidth="1"/>
    <col min="5131" max="5131" width="20.28515625" style="397" customWidth="1"/>
    <col min="5132" max="5132" width="14.85546875" style="397" customWidth="1"/>
    <col min="5133" max="5133" width="11.28515625" style="397" customWidth="1"/>
    <col min="5134" max="5376" width="8.7109375" style="397"/>
    <col min="5377" max="5377" width="6.85546875" style="397" customWidth="1"/>
    <col min="5378" max="5378" width="39.28515625" style="397" customWidth="1"/>
    <col min="5379" max="5379" width="9.28515625" style="397" customWidth="1"/>
    <col min="5380" max="5380" width="10.7109375" style="397" customWidth="1"/>
    <col min="5381" max="5381" width="15" style="397" customWidth="1"/>
    <col min="5382" max="5382" width="10.42578125" style="397" customWidth="1"/>
    <col min="5383" max="5383" width="20.42578125" style="397" customWidth="1"/>
    <col min="5384" max="5384" width="20.7109375" style="397" customWidth="1"/>
    <col min="5385" max="5385" width="11.140625" style="397" customWidth="1"/>
    <col min="5386" max="5386" width="24" style="397" customWidth="1"/>
    <col min="5387" max="5387" width="20.28515625" style="397" customWidth="1"/>
    <col min="5388" max="5388" width="14.85546875" style="397" customWidth="1"/>
    <col min="5389" max="5389" width="11.28515625" style="397" customWidth="1"/>
    <col min="5390" max="5632" width="8.7109375" style="397"/>
    <col min="5633" max="5633" width="6.85546875" style="397" customWidth="1"/>
    <col min="5634" max="5634" width="39.28515625" style="397" customWidth="1"/>
    <col min="5635" max="5635" width="9.28515625" style="397" customWidth="1"/>
    <col min="5636" max="5636" width="10.7109375" style="397" customWidth="1"/>
    <col min="5637" max="5637" width="15" style="397" customWidth="1"/>
    <col min="5638" max="5638" width="10.42578125" style="397" customWidth="1"/>
    <col min="5639" max="5639" width="20.42578125" style="397" customWidth="1"/>
    <col min="5640" max="5640" width="20.7109375" style="397" customWidth="1"/>
    <col min="5641" max="5641" width="11.140625" style="397" customWidth="1"/>
    <col min="5642" max="5642" width="24" style="397" customWidth="1"/>
    <col min="5643" max="5643" width="20.28515625" style="397" customWidth="1"/>
    <col min="5644" max="5644" width="14.85546875" style="397" customWidth="1"/>
    <col min="5645" max="5645" width="11.28515625" style="397" customWidth="1"/>
    <col min="5646" max="5888" width="8.7109375" style="397"/>
    <col min="5889" max="5889" width="6.85546875" style="397" customWidth="1"/>
    <col min="5890" max="5890" width="39.28515625" style="397" customWidth="1"/>
    <col min="5891" max="5891" width="9.28515625" style="397" customWidth="1"/>
    <col min="5892" max="5892" width="10.7109375" style="397" customWidth="1"/>
    <col min="5893" max="5893" width="15" style="397" customWidth="1"/>
    <col min="5894" max="5894" width="10.42578125" style="397" customWidth="1"/>
    <col min="5895" max="5895" width="20.42578125" style="397" customWidth="1"/>
    <col min="5896" max="5896" width="20.7109375" style="397" customWidth="1"/>
    <col min="5897" max="5897" width="11.140625" style="397" customWidth="1"/>
    <col min="5898" max="5898" width="24" style="397" customWidth="1"/>
    <col min="5899" max="5899" width="20.28515625" style="397" customWidth="1"/>
    <col min="5900" max="5900" width="14.85546875" style="397" customWidth="1"/>
    <col min="5901" max="5901" width="11.28515625" style="397" customWidth="1"/>
    <col min="5902" max="6144" width="8.7109375" style="397"/>
    <col min="6145" max="6145" width="6.85546875" style="397" customWidth="1"/>
    <col min="6146" max="6146" width="39.28515625" style="397" customWidth="1"/>
    <col min="6147" max="6147" width="9.28515625" style="397" customWidth="1"/>
    <col min="6148" max="6148" width="10.7109375" style="397" customWidth="1"/>
    <col min="6149" max="6149" width="15" style="397" customWidth="1"/>
    <col min="6150" max="6150" width="10.42578125" style="397" customWidth="1"/>
    <col min="6151" max="6151" width="20.42578125" style="397" customWidth="1"/>
    <col min="6152" max="6152" width="20.7109375" style="397" customWidth="1"/>
    <col min="6153" max="6153" width="11.140625" style="397" customWidth="1"/>
    <col min="6154" max="6154" width="24" style="397" customWidth="1"/>
    <col min="6155" max="6155" width="20.28515625" style="397" customWidth="1"/>
    <col min="6156" max="6156" width="14.85546875" style="397" customWidth="1"/>
    <col min="6157" max="6157" width="11.28515625" style="397" customWidth="1"/>
    <col min="6158" max="6400" width="8.7109375" style="397"/>
    <col min="6401" max="6401" width="6.85546875" style="397" customWidth="1"/>
    <col min="6402" max="6402" width="39.28515625" style="397" customWidth="1"/>
    <col min="6403" max="6403" width="9.28515625" style="397" customWidth="1"/>
    <col min="6404" max="6404" width="10.7109375" style="397" customWidth="1"/>
    <col min="6405" max="6405" width="15" style="397" customWidth="1"/>
    <col min="6406" max="6406" width="10.42578125" style="397" customWidth="1"/>
    <col min="6407" max="6407" width="20.42578125" style="397" customWidth="1"/>
    <col min="6408" max="6408" width="20.7109375" style="397" customWidth="1"/>
    <col min="6409" max="6409" width="11.140625" style="397" customWidth="1"/>
    <col min="6410" max="6410" width="24" style="397" customWidth="1"/>
    <col min="6411" max="6411" width="20.28515625" style="397" customWidth="1"/>
    <col min="6412" max="6412" width="14.85546875" style="397" customWidth="1"/>
    <col min="6413" max="6413" width="11.28515625" style="397" customWidth="1"/>
    <col min="6414" max="6656" width="8.7109375" style="397"/>
    <col min="6657" max="6657" width="6.85546875" style="397" customWidth="1"/>
    <col min="6658" max="6658" width="39.28515625" style="397" customWidth="1"/>
    <col min="6659" max="6659" width="9.28515625" style="397" customWidth="1"/>
    <col min="6660" max="6660" width="10.7109375" style="397" customWidth="1"/>
    <col min="6661" max="6661" width="15" style="397" customWidth="1"/>
    <col min="6662" max="6662" width="10.42578125" style="397" customWidth="1"/>
    <col min="6663" max="6663" width="20.42578125" style="397" customWidth="1"/>
    <col min="6664" max="6664" width="20.7109375" style="397" customWidth="1"/>
    <col min="6665" max="6665" width="11.140625" style="397" customWidth="1"/>
    <col min="6666" max="6666" width="24" style="397" customWidth="1"/>
    <col min="6667" max="6667" width="20.28515625" style="397" customWidth="1"/>
    <col min="6668" max="6668" width="14.85546875" style="397" customWidth="1"/>
    <col min="6669" max="6669" width="11.28515625" style="397" customWidth="1"/>
    <col min="6670" max="6912" width="8.7109375" style="397"/>
    <col min="6913" max="6913" width="6.85546875" style="397" customWidth="1"/>
    <col min="6914" max="6914" width="39.28515625" style="397" customWidth="1"/>
    <col min="6915" max="6915" width="9.28515625" style="397" customWidth="1"/>
    <col min="6916" max="6916" width="10.7109375" style="397" customWidth="1"/>
    <col min="6917" max="6917" width="15" style="397" customWidth="1"/>
    <col min="6918" max="6918" width="10.42578125" style="397" customWidth="1"/>
    <col min="6919" max="6919" width="20.42578125" style="397" customWidth="1"/>
    <col min="6920" max="6920" width="20.7109375" style="397" customWidth="1"/>
    <col min="6921" max="6921" width="11.140625" style="397" customWidth="1"/>
    <col min="6922" max="6922" width="24" style="397" customWidth="1"/>
    <col min="6923" max="6923" width="20.28515625" style="397" customWidth="1"/>
    <col min="6924" max="6924" width="14.85546875" style="397" customWidth="1"/>
    <col min="6925" max="6925" width="11.28515625" style="397" customWidth="1"/>
    <col min="6926" max="7168" width="8.7109375" style="397"/>
    <col min="7169" max="7169" width="6.85546875" style="397" customWidth="1"/>
    <col min="7170" max="7170" width="39.28515625" style="397" customWidth="1"/>
    <col min="7171" max="7171" width="9.28515625" style="397" customWidth="1"/>
    <col min="7172" max="7172" width="10.7109375" style="397" customWidth="1"/>
    <col min="7173" max="7173" width="15" style="397" customWidth="1"/>
    <col min="7174" max="7174" width="10.42578125" style="397" customWidth="1"/>
    <col min="7175" max="7175" width="20.42578125" style="397" customWidth="1"/>
    <col min="7176" max="7176" width="20.7109375" style="397" customWidth="1"/>
    <col min="7177" max="7177" width="11.140625" style="397" customWidth="1"/>
    <col min="7178" max="7178" width="24" style="397" customWidth="1"/>
    <col min="7179" max="7179" width="20.28515625" style="397" customWidth="1"/>
    <col min="7180" max="7180" width="14.85546875" style="397" customWidth="1"/>
    <col min="7181" max="7181" width="11.28515625" style="397" customWidth="1"/>
    <col min="7182" max="7424" width="8.7109375" style="397"/>
    <col min="7425" max="7425" width="6.85546875" style="397" customWidth="1"/>
    <col min="7426" max="7426" width="39.28515625" style="397" customWidth="1"/>
    <col min="7427" max="7427" width="9.28515625" style="397" customWidth="1"/>
    <col min="7428" max="7428" width="10.7109375" style="397" customWidth="1"/>
    <col min="7429" max="7429" width="15" style="397" customWidth="1"/>
    <col min="7430" max="7430" width="10.42578125" style="397" customWidth="1"/>
    <col min="7431" max="7431" width="20.42578125" style="397" customWidth="1"/>
    <col min="7432" max="7432" width="20.7109375" style="397" customWidth="1"/>
    <col min="7433" max="7433" width="11.140625" style="397" customWidth="1"/>
    <col min="7434" max="7434" width="24" style="397" customWidth="1"/>
    <col min="7435" max="7435" width="20.28515625" style="397" customWidth="1"/>
    <col min="7436" max="7436" width="14.85546875" style="397" customWidth="1"/>
    <col min="7437" max="7437" width="11.28515625" style="397" customWidth="1"/>
    <col min="7438" max="7680" width="8.7109375" style="397"/>
    <col min="7681" max="7681" width="6.85546875" style="397" customWidth="1"/>
    <col min="7682" max="7682" width="39.28515625" style="397" customWidth="1"/>
    <col min="7683" max="7683" width="9.28515625" style="397" customWidth="1"/>
    <col min="7684" max="7684" width="10.7109375" style="397" customWidth="1"/>
    <col min="7685" max="7685" width="15" style="397" customWidth="1"/>
    <col min="7686" max="7686" width="10.42578125" style="397" customWidth="1"/>
    <col min="7687" max="7687" width="20.42578125" style="397" customWidth="1"/>
    <col min="7688" max="7688" width="20.7109375" style="397" customWidth="1"/>
    <col min="7689" max="7689" width="11.140625" style="397" customWidth="1"/>
    <col min="7690" max="7690" width="24" style="397" customWidth="1"/>
    <col min="7691" max="7691" width="20.28515625" style="397" customWidth="1"/>
    <col min="7692" max="7692" width="14.85546875" style="397" customWidth="1"/>
    <col min="7693" max="7693" width="11.28515625" style="397" customWidth="1"/>
    <col min="7694" max="7936" width="8.7109375" style="397"/>
    <col min="7937" max="7937" width="6.85546875" style="397" customWidth="1"/>
    <col min="7938" max="7938" width="39.28515625" style="397" customWidth="1"/>
    <col min="7939" max="7939" width="9.28515625" style="397" customWidth="1"/>
    <col min="7940" max="7940" width="10.7109375" style="397" customWidth="1"/>
    <col min="7941" max="7941" width="15" style="397" customWidth="1"/>
    <col min="7942" max="7942" width="10.42578125" style="397" customWidth="1"/>
    <col min="7943" max="7943" width="20.42578125" style="397" customWidth="1"/>
    <col min="7944" max="7944" width="20.7109375" style="397" customWidth="1"/>
    <col min="7945" max="7945" width="11.140625" style="397" customWidth="1"/>
    <col min="7946" max="7946" width="24" style="397" customWidth="1"/>
    <col min="7947" max="7947" width="20.28515625" style="397" customWidth="1"/>
    <col min="7948" max="7948" width="14.85546875" style="397" customWidth="1"/>
    <col min="7949" max="7949" width="11.28515625" style="397" customWidth="1"/>
    <col min="7950" max="8192" width="8.7109375" style="397"/>
    <col min="8193" max="8193" width="6.85546875" style="397" customWidth="1"/>
    <col min="8194" max="8194" width="39.28515625" style="397" customWidth="1"/>
    <col min="8195" max="8195" width="9.28515625" style="397" customWidth="1"/>
    <col min="8196" max="8196" width="10.7109375" style="397" customWidth="1"/>
    <col min="8197" max="8197" width="15" style="397" customWidth="1"/>
    <col min="8198" max="8198" width="10.42578125" style="397" customWidth="1"/>
    <col min="8199" max="8199" width="20.42578125" style="397" customWidth="1"/>
    <col min="8200" max="8200" width="20.7109375" style="397" customWidth="1"/>
    <col min="8201" max="8201" width="11.140625" style="397" customWidth="1"/>
    <col min="8202" max="8202" width="24" style="397" customWidth="1"/>
    <col min="8203" max="8203" width="20.28515625" style="397" customWidth="1"/>
    <col min="8204" max="8204" width="14.85546875" style="397" customWidth="1"/>
    <col min="8205" max="8205" width="11.28515625" style="397" customWidth="1"/>
    <col min="8206" max="8448" width="8.7109375" style="397"/>
    <col min="8449" max="8449" width="6.85546875" style="397" customWidth="1"/>
    <col min="8450" max="8450" width="39.28515625" style="397" customWidth="1"/>
    <col min="8451" max="8451" width="9.28515625" style="397" customWidth="1"/>
    <col min="8452" max="8452" width="10.7109375" style="397" customWidth="1"/>
    <col min="8453" max="8453" width="15" style="397" customWidth="1"/>
    <col min="8454" max="8454" width="10.42578125" style="397" customWidth="1"/>
    <col min="8455" max="8455" width="20.42578125" style="397" customWidth="1"/>
    <col min="8456" max="8456" width="20.7109375" style="397" customWidth="1"/>
    <col min="8457" max="8457" width="11.140625" style="397" customWidth="1"/>
    <col min="8458" max="8458" width="24" style="397" customWidth="1"/>
    <col min="8459" max="8459" width="20.28515625" style="397" customWidth="1"/>
    <col min="8460" max="8460" width="14.85546875" style="397" customWidth="1"/>
    <col min="8461" max="8461" width="11.28515625" style="397" customWidth="1"/>
    <col min="8462" max="8704" width="8.7109375" style="397"/>
    <col min="8705" max="8705" width="6.85546875" style="397" customWidth="1"/>
    <col min="8706" max="8706" width="39.28515625" style="397" customWidth="1"/>
    <col min="8707" max="8707" width="9.28515625" style="397" customWidth="1"/>
    <col min="8708" max="8708" width="10.7109375" style="397" customWidth="1"/>
    <col min="8709" max="8709" width="15" style="397" customWidth="1"/>
    <col min="8710" max="8710" width="10.42578125" style="397" customWidth="1"/>
    <col min="8711" max="8711" width="20.42578125" style="397" customWidth="1"/>
    <col min="8712" max="8712" width="20.7109375" style="397" customWidth="1"/>
    <col min="8713" max="8713" width="11.140625" style="397" customWidth="1"/>
    <col min="8714" max="8714" width="24" style="397" customWidth="1"/>
    <col min="8715" max="8715" width="20.28515625" style="397" customWidth="1"/>
    <col min="8716" max="8716" width="14.85546875" style="397" customWidth="1"/>
    <col min="8717" max="8717" width="11.28515625" style="397" customWidth="1"/>
    <col min="8718" max="8960" width="8.7109375" style="397"/>
    <col min="8961" max="8961" width="6.85546875" style="397" customWidth="1"/>
    <col min="8962" max="8962" width="39.28515625" style="397" customWidth="1"/>
    <col min="8963" max="8963" width="9.28515625" style="397" customWidth="1"/>
    <col min="8964" max="8964" width="10.7109375" style="397" customWidth="1"/>
    <col min="8965" max="8965" width="15" style="397" customWidth="1"/>
    <col min="8966" max="8966" width="10.42578125" style="397" customWidth="1"/>
    <col min="8967" max="8967" width="20.42578125" style="397" customWidth="1"/>
    <col min="8968" max="8968" width="20.7109375" style="397" customWidth="1"/>
    <col min="8969" max="8969" width="11.140625" style="397" customWidth="1"/>
    <col min="8970" max="8970" width="24" style="397" customWidth="1"/>
    <col min="8971" max="8971" width="20.28515625" style="397" customWidth="1"/>
    <col min="8972" max="8972" width="14.85546875" style="397" customWidth="1"/>
    <col min="8973" max="8973" width="11.28515625" style="397" customWidth="1"/>
    <col min="8974" max="9216" width="8.7109375" style="397"/>
    <col min="9217" max="9217" width="6.85546875" style="397" customWidth="1"/>
    <col min="9218" max="9218" width="39.28515625" style="397" customWidth="1"/>
    <col min="9219" max="9219" width="9.28515625" style="397" customWidth="1"/>
    <col min="9220" max="9220" width="10.7109375" style="397" customWidth="1"/>
    <col min="9221" max="9221" width="15" style="397" customWidth="1"/>
    <col min="9222" max="9222" width="10.42578125" style="397" customWidth="1"/>
    <col min="9223" max="9223" width="20.42578125" style="397" customWidth="1"/>
    <col min="9224" max="9224" width="20.7109375" style="397" customWidth="1"/>
    <col min="9225" max="9225" width="11.140625" style="397" customWidth="1"/>
    <col min="9226" max="9226" width="24" style="397" customWidth="1"/>
    <col min="9227" max="9227" width="20.28515625" style="397" customWidth="1"/>
    <col min="9228" max="9228" width="14.85546875" style="397" customWidth="1"/>
    <col min="9229" max="9229" width="11.28515625" style="397" customWidth="1"/>
    <col min="9230" max="9472" width="8.7109375" style="397"/>
    <col min="9473" max="9473" width="6.85546875" style="397" customWidth="1"/>
    <col min="9474" max="9474" width="39.28515625" style="397" customWidth="1"/>
    <col min="9475" max="9475" width="9.28515625" style="397" customWidth="1"/>
    <col min="9476" max="9476" width="10.7109375" style="397" customWidth="1"/>
    <col min="9477" max="9477" width="15" style="397" customWidth="1"/>
    <col min="9478" max="9478" width="10.42578125" style="397" customWidth="1"/>
    <col min="9479" max="9479" width="20.42578125" style="397" customWidth="1"/>
    <col min="9480" max="9480" width="20.7109375" style="397" customWidth="1"/>
    <col min="9481" max="9481" width="11.140625" style="397" customWidth="1"/>
    <col min="9482" max="9482" width="24" style="397" customWidth="1"/>
    <col min="9483" max="9483" width="20.28515625" style="397" customWidth="1"/>
    <col min="9484" max="9484" width="14.85546875" style="397" customWidth="1"/>
    <col min="9485" max="9485" width="11.28515625" style="397" customWidth="1"/>
    <col min="9486" max="9728" width="8.7109375" style="397"/>
    <col min="9729" max="9729" width="6.85546875" style="397" customWidth="1"/>
    <col min="9730" max="9730" width="39.28515625" style="397" customWidth="1"/>
    <col min="9731" max="9731" width="9.28515625" style="397" customWidth="1"/>
    <col min="9732" max="9732" width="10.7109375" style="397" customWidth="1"/>
    <col min="9733" max="9733" width="15" style="397" customWidth="1"/>
    <col min="9734" max="9734" width="10.42578125" style="397" customWidth="1"/>
    <col min="9735" max="9735" width="20.42578125" style="397" customWidth="1"/>
    <col min="9736" max="9736" width="20.7109375" style="397" customWidth="1"/>
    <col min="9737" max="9737" width="11.140625" style="397" customWidth="1"/>
    <col min="9738" max="9738" width="24" style="397" customWidth="1"/>
    <col min="9739" max="9739" width="20.28515625" style="397" customWidth="1"/>
    <col min="9740" max="9740" width="14.85546875" style="397" customWidth="1"/>
    <col min="9741" max="9741" width="11.28515625" style="397" customWidth="1"/>
    <col min="9742" max="9984" width="8.7109375" style="397"/>
    <col min="9985" max="9985" width="6.85546875" style="397" customWidth="1"/>
    <col min="9986" max="9986" width="39.28515625" style="397" customWidth="1"/>
    <col min="9987" max="9987" width="9.28515625" style="397" customWidth="1"/>
    <col min="9988" max="9988" width="10.7109375" style="397" customWidth="1"/>
    <col min="9989" max="9989" width="15" style="397" customWidth="1"/>
    <col min="9990" max="9990" width="10.42578125" style="397" customWidth="1"/>
    <col min="9991" max="9991" width="20.42578125" style="397" customWidth="1"/>
    <col min="9992" max="9992" width="20.7109375" style="397" customWidth="1"/>
    <col min="9993" max="9993" width="11.140625" style="397" customWidth="1"/>
    <col min="9994" max="9994" width="24" style="397" customWidth="1"/>
    <col min="9995" max="9995" width="20.28515625" style="397" customWidth="1"/>
    <col min="9996" max="9996" width="14.85546875" style="397" customWidth="1"/>
    <col min="9997" max="9997" width="11.28515625" style="397" customWidth="1"/>
    <col min="9998" max="10240" width="8.7109375" style="397"/>
    <col min="10241" max="10241" width="6.85546875" style="397" customWidth="1"/>
    <col min="10242" max="10242" width="39.28515625" style="397" customWidth="1"/>
    <col min="10243" max="10243" width="9.28515625" style="397" customWidth="1"/>
    <col min="10244" max="10244" width="10.7109375" style="397" customWidth="1"/>
    <col min="10245" max="10245" width="15" style="397" customWidth="1"/>
    <col min="10246" max="10246" width="10.42578125" style="397" customWidth="1"/>
    <col min="10247" max="10247" width="20.42578125" style="397" customWidth="1"/>
    <col min="10248" max="10248" width="20.7109375" style="397" customWidth="1"/>
    <col min="10249" max="10249" width="11.140625" style="397" customWidth="1"/>
    <col min="10250" max="10250" width="24" style="397" customWidth="1"/>
    <col min="10251" max="10251" width="20.28515625" style="397" customWidth="1"/>
    <col min="10252" max="10252" width="14.85546875" style="397" customWidth="1"/>
    <col min="10253" max="10253" width="11.28515625" style="397" customWidth="1"/>
    <col min="10254" max="10496" width="8.7109375" style="397"/>
    <col min="10497" max="10497" width="6.85546875" style="397" customWidth="1"/>
    <col min="10498" max="10498" width="39.28515625" style="397" customWidth="1"/>
    <col min="10499" max="10499" width="9.28515625" style="397" customWidth="1"/>
    <col min="10500" max="10500" width="10.7109375" style="397" customWidth="1"/>
    <col min="10501" max="10501" width="15" style="397" customWidth="1"/>
    <col min="10502" max="10502" width="10.42578125" style="397" customWidth="1"/>
    <col min="10503" max="10503" width="20.42578125" style="397" customWidth="1"/>
    <col min="10504" max="10504" width="20.7109375" style="397" customWidth="1"/>
    <col min="10505" max="10505" width="11.140625" style="397" customWidth="1"/>
    <col min="10506" max="10506" width="24" style="397" customWidth="1"/>
    <col min="10507" max="10507" width="20.28515625" style="397" customWidth="1"/>
    <col min="10508" max="10508" width="14.85546875" style="397" customWidth="1"/>
    <col min="10509" max="10509" width="11.28515625" style="397" customWidth="1"/>
    <col min="10510" max="10752" width="8.7109375" style="397"/>
    <col min="10753" max="10753" width="6.85546875" style="397" customWidth="1"/>
    <col min="10754" max="10754" width="39.28515625" style="397" customWidth="1"/>
    <col min="10755" max="10755" width="9.28515625" style="397" customWidth="1"/>
    <col min="10756" max="10756" width="10.7109375" style="397" customWidth="1"/>
    <col min="10757" max="10757" width="15" style="397" customWidth="1"/>
    <col min="10758" max="10758" width="10.42578125" style="397" customWidth="1"/>
    <col min="10759" max="10759" width="20.42578125" style="397" customWidth="1"/>
    <col min="10760" max="10760" width="20.7109375" style="397" customWidth="1"/>
    <col min="10761" max="10761" width="11.140625" style="397" customWidth="1"/>
    <col min="10762" max="10762" width="24" style="397" customWidth="1"/>
    <col min="10763" max="10763" width="20.28515625" style="397" customWidth="1"/>
    <col min="10764" max="10764" width="14.85546875" style="397" customWidth="1"/>
    <col min="10765" max="10765" width="11.28515625" style="397" customWidth="1"/>
    <col min="10766" max="11008" width="8.7109375" style="397"/>
    <col min="11009" max="11009" width="6.85546875" style="397" customWidth="1"/>
    <col min="11010" max="11010" width="39.28515625" style="397" customWidth="1"/>
    <col min="11011" max="11011" width="9.28515625" style="397" customWidth="1"/>
    <col min="11012" max="11012" width="10.7109375" style="397" customWidth="1"/>
    <col min="11013" max="11013" width="15" style="397" customWidth="1"/>
    <col min="11014" max="11014" width="10.42578125" style="397" customWidth="1"/>
    <col min="11015" max="11015" width="20.42578125" style="397" customWidth="1"/>
    <col min="11016" max="11016" width="20.7109375" style="397" customWidth="1"/>
    <col min="11017" max="11017" width="11.140625" style="397" customWidth="1"/>
    <col min="11018" max="11018" width="24" style="397" customWidth="1"/>
    <col min="11019" max="11019" width="20.28515625" style="397" customWidth="1"/>
    <col min="11020" max="11020" width="14.85546875" style="397" customWidth="1"/>
    <col min="11021" max="11021" width="11.28515625" style="397" customWidth="1"/>
    <col min="11022" max="11264" width="8.7109375" style="397"/>
    <col min="11265" max="11265" width="6.85546875" style="397" customWidth="1"/>
    <col min="11266" max="11266" width="39.28515625" style="397" customWidth="1"/>
    <col min="11267" max="11267" width="9.28515625" style="397" customWidth="1"/>
    <col min="11268" max="11268" width="10.7109375" style="397" customWidth="1"/>
    <col min="11269" max="11269" width="15" style="397" customWidth="1"/>
    <col min="11270" max="11270" width="10.42578125" style="397" customWidth="1"/>
    <col min="11271" max="11271" width="20.42578125" style="397" customWidth="1"/>
    <col min="11272" max="11272" width="20.7109375" style="397" customWidth="1"/>
    <col min="11273" max="11273" width="11.140625" style="397" customWidth="1"/>
    <col min="11274" max="11274" width="24" style="397" customWidth="1"/>
    <col min="11275" max="11275" width="20.28515625" style="397" customWidth="1"/>
    <col min="11276" max="11276" width="14.85546875" style="397" customWidth="1"/>
    <col min="11277" max="11277" width="11.28515625" style="397" customWidth="1"/>
    <col min="11278" max="11520" width="8.7109375" style="397"/>
    <col min="11521" max="11521" width="6.85546875" style="397" customWidth="1"/>
    <col min="11522" max="11522" width="39.28515625" style="397" customWidth="1"/>
    <col min="11523" max="11523" width="9.28515625" style="397" customWidth="1"/>
    <col min="11524" max="11524" width="10.7109375" style="397" customWidth="1"/>
    <col min="11525" max="11525" width="15" style="397" customWidth="1"/>
    <col min="11526" max="11526" width="10.42578125" style="397" customWidth="1"/>
    <col min="11527" max="11527" width="20.42578125" style="397" customWidth="1"/>
    <col min="11528" max="11528" width="20.7109375" style="397" customWidth="1"/>
    <col min="11529" max="11529" width="11.140625" style="397" customWidth="1"/>
    <col min="11530" max="11530" width="24" style="397" customWidth="1"/>
    <col min="11531" max="11531" width="20.28515625" style="397" customWidth="1"/>
    <col min="11532" max="11532" width="14.85546875" style="397" customWidth="1"/>
    <col min="11533" max="11533" width="11.28515625" style="397" customWidth="1"/>
    <col min="11534" max="11776" width="8.7109375" style="397"/>
    <col min="11777" max="11777" width="6.85546875" style="397" customWidth="1"/>
    <col min="11778" max="11778" width="39.28515625" style="397" customWidth="1"/>
    <col min="11779" max="11779" width="9.28515625" style="397" customWidth="1"/>
    <col min="11780" max="11780" width="10.7109375" style="397" customWidth="1"/>
    <col min="11781" max="11781" width="15" style="397" customWidth="1"/>
    <col min="11782" max="11782" width="10.42578125" style="397" customWidth="1"/>
    <col min="11783" max="11783" width="20.42578125" style="397" customWidth="1"/>
    <col min="11784" max="11784" width="20.7109375" style="397" customWidth="1"/>
    <col min="11785" max="11785" width="11.140625" style="397" customWidth="1"/>
    <col min="11786" max="11786" width="24" style="397" customWidth="1"/>
    <col min="11787" max="11787" width="20.28515625" style="397" customWidth="1"/>
    <col min="11788" max="11788" width="14.85546875" style="397" customWidth="1"/>
    <col min="11789" max="11789" width="11.28515625" style="397" customWidth="1"/>
    <col min="11790" max="12032" width="8.7109375" style="397"/>
    <col min="12033" max="12033" width="6.85546875" style="397" customWidth="1"/>
    <col min="12034" max="12034" width="39.28515625" style="397" customWidth="1"/>
    <col min="12035" max="12035" width="9.28515625" style="397" customWidth="1"/>
    <col min="12036" max="12036" width="10.7109375" style="397" customWidth="1"/>
    <col min="12037" max="12037" width="15" style="397" customWidth="1"/>
    <col min="12038" max="12038" width="10.42578125" style="397" customWidth="1"/>
    <col min="12039" max="12039" width="20.42578125" style="397" customWidth="1"/>
    <col min="12040" max="12040" width="20.7109375" style="397" customWidth="1"/>
    <col min="12041" max="12041" width="11.140625" style="397" customWidth="1"/>
    <col min="12042" max="12042" width="24" style="397" customWidth="1"/>
    <col min="12043" max="12043" width="20.28515625" style="397" customWidth="1"/>
    <col min="12044" max="12044" width="14.85546875" style="397" customWidth="1"/>
    <col min="12045" max="12045" width="11.28515625" style="397" customWidth="1"/>
    <col min="12046" max="12288" width="8.7109375" style="397"/>
    <col min="12289" max="12289" width="6.85546875" style="397" customWidth="1"/>
    <col min="12290" max="12290" width="39.28515625" style="397" customWidth="1"/>
    <col min="12291" max="12291" width="9.28515625" style="397" customWidth="1"/>
    <col min="12292" max="12292" width="10.7109375" style="397" customWidth="1"/>
    <col min="12293" max="12293" width="15" style="397" customWidth="1"/>
    <col min="12294" max="12294" width="10.42578125" style="397" customWidth="1"/>
    <col min="12295" max="12295" width="20.42578125" style="397" customWidth="1"/>
    <col min="12296" max="12296" width="20.7109375" style="397" customWidth="1"/>
    <col min="12297" max="12297" width="11.140625" style="397" customWidth="1"/>
    <col min="12298" max="12298" width="24" style="397" customWidth="1"/>
    <col min="12299" max="12299" width="20.28515625" style="397" customWidth="1"/>
    <col min="12300" max="12300" width="14.85546875" style="397" customWidth="1"/>
    <col min="12301" max="12301" width="11.28515625" style="397" customWidth="1"/>
    <col min="12302" max="12544" width="8.7109375" style="397"/>
    <col min="12545" max="12545" width="6.85546875" style="397" customWidth="1"/>
    <col min="12546" max="12546" width="39.28515625" style="397" customWidth="1"/>
    <col min="12547" max="12547" width="9.28515625" style="397" customWidth="1"/>
    <col min="12548" max="12548" width="10.7109375" style="397" customWidth="1"/>
    <col min="12549" max="12549" width="15" style="397" customWidth="1"/>
    <col min="12550" max="12550" width="10.42578125" style="397" customWidth="1"/>
    <col min="12551" max="12551" width="20.42578125" style="397" customWidth="1"/>
    <col min="12552" max="12552" width="20.7109375" style="397" customWidth="1"/>
    <col min="12553" max="12553" width="11.140625" style="397" customWidth="1"/>
    <col min="12554" max="12554" width="24" style="397" customWidth="1"/>
    <col min="12555" max="12555" width="20.28515625" style="397" customWidth="1"/>
    <col min="12556" max="12556" width="14.85546875" style="397" customWidth="1"/>
    <col min="12557" max="12557" width="11.28515625" style="397" customWidth="1"/>
    <col min="12558" max="12800" width="8.7109375" style="397"/>
    <col min="12801" max="12801" width="6.85546875" style="397" customWidth="1"/>
    <col min="12802" max="12802" width="39.28515625" style="397" customWidth="1"/>
    <col min="12803" max="12803" width="9.28515625" style="397" customWidth="1"/>
    <col min="12804" max="12804" width="10.7109375" style="397" customWidth="1"/>
    <col min="12805" max="12805" width="15" style="397" customWidth="1"/>
    <col min="12806" max="12806" width="10.42578125" style="397" customWidth="1"/>
    <col min="12807" max="12807" width="20.42578125" style="397" customWidth="1"/>
    <col min="12808" max="12808" width="20.7109375" style="397" customWidth="1"/>
    <col min="12809" max="12809" width="11.140625" style="397" customWidth="1"/>
    <col min="12810" max="12810" width="24" style="397" customWidth="1"/>
    <col min="12811" max="12811" width="20.28515625" style="397" customWidth="1"/>
    <col min="12812" max="12812" width="14.85546875" style="397" customWidth="1"/>
    <col min="12813" max="12813" width="11.28515625" style="397" customWidth="1"/>
    <col min="12814" max="13056" width="8.7109375" style="397"/>
    <col min="13057" max="13057" width="6.85546875" style="397" customWidth="1"/>
    <col min="13058" max="13058" width="39.28515625" style="397" customWidth="1"/>
    <col min="13059" max="13059" width="9.28515625" style="397" customWidth="1"/>
    <col min="13060" max="13060" width="10.7109375" style="397" customWidth="1"/>
    <col min="13061" max="13061" width="15" style="397" customWidth="1"/>
    <col min="13062" max="13062" width="10.42578125" style="397" customWidth="1"/>
    <col min="13063" max="13063" width="20.42578125" style="397" customWidth="1"/>
    <col min="13064" max="13064" width="20.7109375" style="397" customWidth="1"/>
    <col min="13065" max="13065" width="11.140625" style="397" customWidth="1"/>
    <col min="13066" max="13066" width="24" style="397" customWidth="1"/>
    <col min="13067" max="13067" width="20.28515625" style="397" customWidth="1"/>
    <col min="13068" max="13068" width="14.85546875" style="397" customWidth="1"/>
    <col min="13069" max="13069" width="11.28515625" style="397" customWidth="1"/>
    <col min="13070" max="13312" width="8.7109375" style="397"/>
    <col min="13313" max="13313" width="6.85546875" style="397" customWidth="1"/>
    <col min="13314" max="13314" width="39.28515625" style="397" customWidth="1"/>
    <col min="13315" max="13315" width="9.28515625" style="397" customWidth="1"/>
    <col min="13316" max="13316" width="10.7109375" style="397" customWidth="1"/>
    <col min="13317" max="13317" width="15" style="397" customWidth="1"/>
    <col min="13318" max="13318" width="10.42578125" style="397" customWidth="1"/>
    <col min="13319" max="13319" width="20.42578125" style="397" customWidth="1"/>
    <col min="13320" max="13320" width="20.7109375" style="397" customWidth="1"/>
    <col min="13321" max="13321" width="11.140625" style="397" customWidth="1"/>
    <col min="13322" max="13322" width="24" style="397" customWidth="1"/>
    <col min="13323" max="13323" width="20.28515625" style="397" customWidth="1"/>
    <col min="13324" max="13324" width="14.85546875" style="397" customWidth="1"/>
    <col min="13325" max="13325" width="11.28515625" style="397" customWidth="1"/>
    <col min="13326" max="13568" width="8.7109375" style="397"/>
    <col min="13569" max="13569" width="6.85546875" style="397" customWidth="1"/>
    <col min="13570" max="13570" width="39.28515625" style="397" customWidth="1"/>
    <col min="13571" max="13571" width="9.28515625" style="397" customWidth="1"/>
    <col min="13572" max="13572" width="10.7109375" style="397" customWidth="1"/>
    <col min="13573" max="13573" width="15" style="397" customWidth="1"/>
    <col min="13574" max="13574" width="10.42578125" style="397" customWidth="1"/>
    <col min="13575" max="13575" width="20.42578125" style="397" customWidth="1"/>
    <col min="13576" max="13576" width="20.7109375" style="397" customWidth="1"/>
    <col min="13577" max="13577" width="11.140625" style="397" customWidth="1"/>
    <col min="13578" max="13578" width="24" style="397" customWidth="1"/>
    <col min="13579" max="13579" width="20.28515625" style="397" customWidth="1"/>
    <col min="13580" max="13580" width="14.85546875" style="397" customWidth="1"/>
    <col min="13581" max="13581" width="11.28515625" style="397" customWidth="1"/>
    <col min="13582" max="13824" width="8.7109375" style="397"/>
    <col min="13825" max="13825" width="6.85546875" style="397" customWidth="1"/>
    <col min="13826" max="13826" width="39.28515625" style="397" customWidth="1"/>
    <col min="13827" max="13827" width="9.28515625" style="397" customWidth="1"/>
    <col min="13828" max="13828" width="10.7109375" style="397" customWidth="1"/>
    <col min="13829" max="13829" width="15" style="397" customWidth="1"/>
    <col min="13830" max="13830" width="10.42578125" style="397" customWidth="1"/>
    <col min="13831" max="13831" width="20.42578125" style="397" customWidth="1"/>
    <col min="13832" max="13832" width="20.7109375" style="397" customWidth="1"/>
    <col min="13833" max="13833" width="11.140625" style="397" customWidth="1"/>
    <col min="13834" max="13834" width="24" style="397" customWidth="1"/>
    <col min="13835" max="13835" width="20.28515625" style="397" customWidth="1"/>
    <col min="13836" max="13836" width="14.85546875" style="397" customWidth="1"/>
    <col min="13837" max="13837" width="11.28515625" style="397" customWidth="1"/>
    <col min="13838" max="14080" width="8.7109375" style="397"/>
    <col min="14081" max="14081" width="6.85546875" style="397" customWidth="1"/>
    <col min="14082" max="14082" width="39.28515625" style="397" customWidth="1"/>
    <col min="14083" max="14083" width="9.28515625" style="397" customWidth="1"/>
    <col min="14084" max="14084" width="10.7109375" style="397" customWidth="1"/>
    <col min="14085" max="14085" width="15" style="397" customWidth="1"/>
    <col min="14086" max="14086" width="10.42578125" style="397" customWidth="1"/>
    <col min="14087" max="14087" width="20.42578125" style="397" customWidth="1"/>
    <col min="14088" max="14088" width="20.7109375" style="397" customWidth="1"/>
    <col min="14089" max="14089" width="11.140625" style="397" customWidth="1"/>
    <col min="14090" max="14090" width="24" style="397" customWidth="1"/>
    <col min="14091" max="14091" width="20.28515625" style="397" customWidth="1"/>
    <col min="14092" max="14092" width="14.85546875" style="397" customWidth="1"/>
    <col min="14093" max="14093" width="11.28515625" style="397" customWidth="1"/>
    <col min="14094" max="14336" width="8.7109375" style="397"/>
    <col min="14337" max="14337" width="6.85546875" style="397" customWidth="1"/>
    <col min="14338" max="14338" width="39.28515625" style="397" customWidth="1"/>
    <col min="14339" max="14339" width="9.28515625" style="397" customWidth="1"/>
    <col min="14340" max="14340" width="10.7109375" style="397" customWidth="1"/>
    <col min="14341" max="14341" width="15" style="397" customWidth="1"/>
    <col min="14342" max="14342" width="10.42578125" style="397" customWidth="1"/>
    <col min="14343" max="14343" width="20.42578125" style="397" customWidth="1"/>
    <col min="14344" max="14344" width="20.7109375" style="397" customWidth="1"/>
    <col min="14345" max="14345" width="11.140625" style="397" customWidth="1"/>
    <col min="14346" max="14346" width="24" style="397" customWidth="1"/>
    <col min="14347" max="14347" width="20.28515625" style="397" customWidth="1"/>
    <col min="14348" max="14348" width="14.85546875" style="397" customWidth="1"/>
    <col min="14349" max="14349" width="11.28515625" style="397" customWidth="1"/>
    <col min="14350" max="14592" width="8.7109375" style="397"/>
    <col min="14593" max="14593" width="6.85546875" style="397" customWidth="1"/>
    <col min="14594" max="14594" width="39.28515625" style="397" customWidth="1"/>
    <col min="14595" max="14595" width="9.28515625" style="397" customWidth="1"/>
    <col min="14596" max="14596" width="10.7109375" style="397" customWidth="1"/>
    <col min="14597" max="14597" width="15" style="397" customWidth="1"/>
    <col min="14598" max="14598" width="10.42578125" style="397" customWidth="1"/>
    <col min="14599" max="14599" width="20.42578125" style="397" customWidth="1"/>
    <col min="14600" max="14600" width="20.7109375" style="397" customWidth="1"/>
    <col min="14601" max="14601" width="11.140625" style="397" customWidth="1"/>
    <col min="14602" max="14602" width="24" style="397" customWidth="1"/>
    <col min="14603" max="14603" width="20.28515625" style="397" customWidth="1"/>
    <col min="14604" max="14604" width="14.85546875" style="397" customWidth="1"/>
    <col min="14605" max="14605" width="11.28515625" style="397" customWidth="1"/>
    <col min="14606" max="14848" width="8.7109375" style="397"/>
    <col min="14849" max="14849" width="6.85546875" style="397" customWidth="1"/>
    <col min="14850" max="14850" width="39.28515625" style="397" customWidth="1"/>
    <col min="14851" max="14851" width="9.28515625" style="397" customWidth="1"/>
    <col min="14852" max="14852" width="10.7109375" style="397" customWidth="1"/>
    <col min="14853" max="14853" width="15" style="397" customWidth="1"/>
    <col min="14854" max="14854" width="10.42578125" style="397" customWidth="1"/>
    <col min="14855" max="14855" width="20.42578125" style="397" customWidth="1"/>
    <col min="14856" max="14856" width="20.7109375" style="397" customWidth="1"/>
    <col min="14857" max="14857" width="11.140625" style="397" customWidth="1"/>
    <col min="14858" max="14858" width="24" style="397" customWidth="1"/>
    <col min="14859" max="14859" width="20.28515625" style="397" customWidth="1"/>
    <col min="14860" max="14860" width="14.85546875" style="397" customWidth="1"/>
    <col min="14861" max="14861" width="11.28515625" style="397" customWidth="1"/>
    <col min="14862" max="15104" width="8.7109375" style="397"/>
    <col min="15105" max="15105" width="6.85546875" style="397" customWidth="1"/>
    <col min="15106" max="15106" width="39.28515625" style="397" customWidth="1"/>
    <col min="15107" max="15107" width="9.28515625" style="397" customWidth="1"/>
    <col min="15108" max="15108" width="10.7109375" style="397" customWidth="1"/>
    <col min="15109" max="15109" width="15" style="397" customWidth="1"/>
    <col min="15110" max="15110" width="10.42578125" style="397" customWidth="1"/>
    <col min="15111" max="15111" width="20.42578125" style="397" customWidth="1"/>
    <col min="15112" max="15112" width="20.7109375" style="397" customWidth="1"/>
    <col min="15113" max="15113" width="11.140625" style="397" customWidth="1"/>
    <col min="15114" max="15114" width="24" style="397" customWidth="1"/>
    <col min="15115" max="15115" width="20.28515625" style="397" customWidth="1"/>
    <col min="15116" max="15116" width="14.85546875" style="397" customWidth="1"/>
    <col min="15117" max="15117" width="11.28515625" style="397" customWidth="1"/>
    <col min="15118" max="15360" width="8.7109375" style="397"/>
    <col min="15361" max="15361" width="6.85546875" style="397" customWidth="1"/>
    <col min="15362" max="15362" width="39.28515625" style="397" customWidth="1"/>
    <col min="15363" max="15363" width="9.28515625" style="397" customWidth="1"/>
    <col min="15364" max="15364" width="10.7109375" style="397" customWidth="1"/>
    <col min="15365" max="15365" width="15" style="397" customWidth="1"/>
    <col min="15366" max="15366" width="10.42578125" style="397" customWidth="1"/>
    <col min="15367" max="15367" width="20.42578125" style="397" customWidth="1"/>
    <col min="15368" max="15368" width="20.7109375" style="397" customWidth="1"/>
    <col min="15369" max="15369" width="11.140625" style="397" customWidth="1"/>
    <col min="15370" max="15370" width="24" style="397" customWidth="1"/>
    <col min="15371" max="15371" width="20.28515625" style="397" customWidth="1"/>
    <col min="15372" max="15372" width="14.85546875" style="397" customWidth="1"/>
    <col min="15373" max="15373" width="11.28515625" style="397" customWidth="1"/>
    <col min="15374" max="15616" width="8.7109375" style="397"/>
    <col min="15617" max="15617" width="6.85546875" style="397" customWidth="1"/>
    <col min="15618" max="15618" width="39.28515625" style="397" customWidth="1"/>
    <col min="15619" max="15619" width="9.28515625" style="397" customWidth="1"/>
    <col min="15620" max="15620" width="10.7109375" style="397" customWidth="1"/>
    <col min="15621" max="15621" width="15" style="397" customWidth="1"/>
    <col min="15622" max="15622" width="10.42578125" style="397" customWidth="1"/>
    <col min="15623" max="15623" width="20.42578125" style="397" customWidth="1"/>
    <col min="15624" max="15624" width="20.7109375" style="397" customWidth="1"/>
    <col min="15625" max="15625" width="11.140625" style="397" customWidth="1"/>
    <col min="15626" max="15626" width="24" style="397" customWidth="1"/>
    <col min="15627" max="15627" width="20.28515625" style="397" customWidth="1"/>
    <col min="15628" max="15628" width="14.85546875" style="397" customWidth="1"/>
    <col min="15629" max="15629" width="11.28515625" style="397" customWidth="1"/>
    <col min="15630" max="15872" width="8.7109375" style="397"/>
    <col min="15873" max="15873" width="6.85546875" style="397" customWidth="1"/>
    <col min="15874" max="15874" width="39.28515625" style="397" customWidth="1"/>
    <col min="15875" max="15875" width="9.28515625" style="397" customWidth="1"/>
    <col min="15876" max="15876" width="10.7109375" style="397" customWidth="1"/>
    <col min="15877" max="15877" width="15" style="397" customWidth="1"/>
    <col min="15878" max="15878" width="10.42578125" style="397" customWidth="1"/>
    <col min="15879" max="15879" width="20.42578125" style="397" customWidth="1"/>
    <col min="15880" max="15880" width="20.7109375" style="397" customWidth="1"/>
    <col min="15881" max="15881" width="11.140625" style="397" customWidth="1"/>
    <col min="15882" max="15882" width="24" style="397" customWidth="1"/>
    <col min="15883" max="15883" width="20.28515625" style="397" customWidth="1"/>
    <col min="15884" max="15884" width="14.85546875" style="397" customWidth="1"/>
    <col min="15885" max="15885" width="11.28515625" style="397" customWidth="1"/>
    <col min="15886" max="16128" width="8.7109375" style="397"/>
    <col min="16129" max="16129" width="6.85546875" style="397" customWidth="1"/>
    <col min="16130" max="16130" width="39.28515625" style="397" customWidth="1"/>
    <col min="16131" max="16131" width="9.28515625" style="397" customWidth="1"/>
    <col min="16132" max="16132" width="10.7109375" style="397" customWidth="1"/>
    <col min="16133" max="16133" width="15" style="397" customWidth="1"/>
    <col min="16134" max="16134" width="10.42578125" style="397" customWidth="1"/>
    <col min="16135" max="16135" width="20.42578125" style="397" customWidth="1"/>
    <col min="16136" max="16136" width="20.7109375" style="397" customWidth="1"/>
    <col min="16137" max="16137" width="11.140625" style="397" customWidth="1"/>
    <col min="16138" max="16138" width="24" style="397" customWidth="1"/>
    <col min="16139" max="16139" width="20.28515625" style="397" customWidth="1"/>
    <col min="16140" max="16140" width="14.85546875" style="397" customWidth="1"/>
    <col min="16141" max="16141" width="11.28515625" style="397" customWidth="1"/>
    <col min="16142" max="16384" width="8.7109375" style="397"/>
  </cols>
  <sheetData>
    <row r="1" spans="1:12" s="204" customFormat="1" ht="16.5">
      <c r="A1" s="2840" t="s">
        <v>0</v>
      </c>
      <c r="B1" s="2840"/>
      <c r="C1" s="2840"/>
      <c r="D1" s="2840"/>
      <c r="E1" s="2840"/>
      <c r="F1" s="2840"/>
      <c r="G1" s="2840"/>
    </row>
    <row r="2" spans="1:12" s="204" customFormat="1" ht="16.5">
      <c r="A2" s="2840" t="s">
        <v>1968</v>
      </c>
      <c r="B2" s="2840"/>
      <c r="C2" s="2840"/>
      <c r="D2" s="2840"/>
      <c r="E2" s="2840"/>
      <c r="F2" s="2840"/>
      <c r="G2" s="2840"/>
    </row>
    <row r="3" spans="1:12" s="204" customFormat="1" ht="13.9" customHeight="1">
      <c r="A3" s="2841" t="s">
        <v>619</v>
      </c>
      <c r="B3" s="2840"/>
      <c r="C3" s="2840"/>
      <c r="D3" s="2840"/>
      <c r="E3" s="2840"/>
      <c r="F3" s="2840"/>
      <c r="G3" s="2840"/>
    </row>
    <row r="4" spans="1:12" s="202" customFormat="1" ht="27" customHeight="1">
      <c r="A4" s="2842" t="s">
        <v>2709</v>
      </c>
      <c r="B4" s="2842"/>
      <c r="C4" s="2842"/>
      <c r="D4" s="2842"/>
      <c r="E4" s="401"/>
      <c r="F4" s="208"/>
      <c r="G4" s="209"/>
    </row>
    <row r="5" spans="1:12" s="202" customFormat="1" ht="16.899999999999999" customHeight="1">
      <c r="A5" s="2843" t="s">
        <v>3172</v>
      </c>
      <c r="B5" s="2840"/>
      <c r="C5" s="2840"/>
      <c r="D5" s="2840"/>
      <c r="E5" s="401"/>
      <c r="F5" s="208"/>
      <c r="G5" s="209"/>
    </row>
    <row r="6" spans="1:12" ht="10.5" customHeight="1">
      <c r="D6" s="402"/>
      <c r="F6" s="403"/>
      <c r="G6" s="404"/>
    </row>
    <row r="7" spans="1:12" ht="10.5" customHeight="1">
      <c r="D7" s="402"/>
      <c r="F7" s="403"/>
      <c r="G7" s="404"/>
    </row>
    <row r="8" spans="1:12" s="394" customFormat="1" ht="29.25" customHeight="1">
      <c r="A8" s="2827" t="s">
        <v>2928</v>
      </c>
      <c r="B8" s="2827"/>
      <c r="C8" s="2827"/>
      <c r="D8" s="2827"/>
      <c r="E8" s="2827"/>
      <c r="F8" s="2827"/>
      <c r="G8" s="2827"/>
      <c r="I8" s="394">
        <f>'LƯƠNG KT'!F8</f>
        <v>668.84</v>
      </c>
    </row>
    <row r="9" spans="1:12" ht="15.75" customHeight="1">
      <c r="A9" s="2828"/>
      <c r="B9" s="2828"/>
      <c r="C9" s="2828"/>
      <c r="D9" s="2828"/>
      <c r="E9" s="2828"/>
      <c r="F9" s="2828"/>
      <c r="G9" s="2828"/>
      <c r="H9" s="397" t="s">
        <v>2870</v>
      </c>
    </row>
    <row r="10" spans="1:12" ht="15.75" customHeight="1">
      <c r="A10" s="405"/>
      <c r="B10" s="405"/>
      <c r="C10" s="405"/>
      <c r="D10" s="405"/>
      <c r="E10" s="405"/>
      <c r="F10" s="405"/>
      <c r="G10" s="405"/>
      <c r="H10" s="406" t="s">
        <v>1952</v>
      </c>
      <c r="I10" s="432"/>
      <c r="J10" s="397">
        <v>43.751864421273503</v>
      </c>
    </row>
    <row r="11" spans="1:12" s="203" customFormat="1" ht="48" customHeight="1">
      <c r="A11" s="214" t="s">
        <v>6</v>
      </c>
      <c r="B11" s="214" t="s">
        <v>2872</v>
      </c>
      <c r="C11" s="407" t="s">
        <v>2399</v>
      </c>
      <c r="D11" s="407" t="s">
        <v>2873</v>
      </c>
      <c r="E11" s="216" t="s">
        <v>2919</v>
      </c>
      <c r="F11" s="215" t="s">
        <v>2876</v>
      </c>
      <c r="G11" s="216" t="s">
        <v>12</v>
      </c>
      <c r="J11" s="217" t="e">
        <f>+[14]THCKT!R10</f>
        <v>#REF!</v>
      </c>
    </row>
    <row r="12" spans="1:12" s="202" customFormat="1" ht="22.15" customHeight="1">
      <c r="A12" s="408" t="s">
        <v>2408</v>
      </c>
      <c r="B12" s="409" t="s">
        <v>2878</v>
      </c>
      <c r="C12" s="410"/>
      <c r="D12" s="227"/>
      <c r="E12" s="227"/>
      <c r="F12" s="227">
        <f>+F13+F26</f>
        <v>383586019</v>
      </c>
      <c r="G12" s="228"/>
      <c r="H12" s="411"/>
      <c r="I12" s="411"/>
      <c r="J12" s="411"/>
      <c r="K12" s="411"/>
    </row>
    <row r="13" spans="1:12" s="204" customFormat="1" ht="22.5" customHeight="1">
      <c r="A13" s="218">
        <v>1</v>
      </c>
      <c r="B13" s="219" t="s">
        <v>2879</v>
      </c>
      <c r="C13" s="412"/>
      <c r="D13" s="220"/>
      <c r="E13" s="220"/>
      <c r="F13" s="220">
        <f>+F14+F19+F25</f>
        <v>378386019</v>
      </c>
      <c r="G13" s="221"/>
      <c r="I13" s="411">
        <f>'LƯƠNG KT'!U95</f>
        <v>378386019</v>
      </c>
      <c r="J13" s="411"/>
      <c r="K13" s="411"/>
    </row>
    <row r="14" spans="1:12" s="204" customFormat="1" ht="22.5" customHeight="1">
      <c r="A14" s="218" t="s">
        <v>2411</v>
      </c>
      <c r="B14" s="219" t="s">
        <v>2880</v>
      </c>
      <c r="C14" s="413"/>
      <c r="D14" s="220">
        <f>SUM(D15:D18)</f>
        <v>63947.698976899315</v>
      </c>
      <c r="E14" s="221"/>
      <c r="F14" s="220">
        <f>SUM(F15,F16,F17)</f>
        <v>254121173</v>
      </c>
      <c r="G14" s="221"/>
      <c r="H14" s="206">
        <f>'LƯƠNG KT'!L95</f>
        <v>254121173</v>
      </c>
      <c r="I14" s="411">
        <v>254121173</v>
      </c>
      <c r="J14" s="411"/>
      <c r="K14" s="411"/>
      <c r="L14" s="238"/>
    </row>
    <row r="15" spans="1:12" s="204" customFormat="1" ht="22.5" customHeight="1">
      <c r="A15" s="218"/>
      <c r="B15" s="219" t="s">
        <v>2881</v>
      </c>
      <c r="C15" s="414" t="s">
        <v>2410</v>
      </c>
      <c r="D15" s="1770">
        <f>+SUMIF('Biểu 2 TH MỦ TẠP'!AL11:AL88,"A",'Biểu 2 TH MỦ TẠP'!AK11:AK88)</f>
        <v>31087.235448503452</v>
      </c>
      <c r="E15" s="415">
        <f>6.1*I8</f>
        <v>4079.924</v>
      </c>
      <c r="F15" s="220">
        <f>ROUND((D15*E15),0)</f>
        <v>126833558</v>
      </c>
      <c r="G15" s="221"/>
      <c r="H15" s="411">
        <f>I14-F14</f>
        <v>0</v>
      </c>
      <c r="I15" s="411">
        <f>F14-I14</f>
        <v>0</v>
      </c>
      <c r="J15" s="411"/>
      <c r="K15" s="411"/>
    </row>
    <row r="16" spans="1:12" s="204" customFormat="1" ht="22.5" customHeight="1">
      <c r="A16" s="218"/>
      <c r="B16" s="219" t="s">
        <v>2882</v>
      </c>
      <c r="C16" s="413" t="s">
        <v>2410</v>
      </c>
      <c r="D16" s="1770">
        <f>+SUMIF('Biểu 2 TH MỦ TẠP'!AL11:AL88,"B",'Biểu 2 TH MỦ TẠP'!AK11:AK88)</f>
        <v>31928.197352492942</v>
      </c>
      <c r="E16" s="415">
        <f>5.8*I8</f>
        <v>3879.2719999999999</v>
      </c>
      <c r="F16" s="220">
        <f>ROUND((D16*E16),0)</f>
        <v>123858162</v>
      </c>
      <c r="G16" s="221"/>
      <c r="H16" s="411"/>
      <c r="I16" s="411"/>
      <c r="J16" s="411"/>
      <c r="K16" s="411"/>
    </row>
    <row r="17" spans="1:13" s="204" customFormat="1" ht="22.5" customHeight="1">
      <c r="A17" s="218"/>
      <c r="B17" s="219" t="s">
        <v>2883</v>
      </c>
      <c r="C17" s="413" t="s">
        <v>2410</v>
      </c>
      <c r="D17" s="1770">
        <f>+SUMIF('Biểu 2 TH MỦ TẠP'!AL11:AL88,"C",'Biểu 2 TH MỦ TẠP'!AK11:AK88)</f>
        <v>932.26617590292005</v>
      </c>
      <c r="E17" s="415">
        <f>5.5*I8</f>
        <v>3678.6200000000003</v>
      </c>
      <c r="F17" s="220">
        <f>ROUND((D17*E17),0)</f>
        <v>3429453</v>
      </c>
      <c r="G17" s="221"/>
      <c r="H17" s="411"/>
      <c r="I17" s="411"/>
      <c r="J17" s="411"/>
      <c r="K17" s="411"/>
    </row>
    <row r="18" spans="1:13" s="204" customFormat="1" ht="22.5" customHeight="1">
      <c r="A18" s="218"/>
      <c r="B18" s="219" t="s">
        <v>2884</v>
      </c>
      <c r="C18" s="414" t="s">
        <v>2410</v>
      </c>
      <c r="D18" s="220">
        <f>SUMIF('sản lượng'!$AM$12:$AM$35,"D",'sản lượng'!$AL$12:$AL$35)</f>
        <v>0</v>
      </c>
      <c r="E18" s="415">
        <f>5.2*I9</f>
        <v>0</v>
      </c>
      <c r="F18" s="220">
        <f>D18*E18</f>
        <v>0</v>
      </c>
      <c r="G18" s="221"/>
      <c r="H18" s="411"/>
      <c r="I18" s="411"/>
      <c r="J18" s="411"/>
      <c r="K18" s="411"/>
    </row>
    <row r="19" spans="1:13" s="204" customFormat="1" ht="22.5" customHeight="1">
      <c r="A19" s="218" t="s">
        <v>2414</v>
      </c>
      <c r="B19" s="219" t="s">
        <v>2898</v>
      </c>
      <c r="C19" s="416" t="s">
        <v>2420</v>
      </c>
      <c r="D19" s="220">
        <f>SUM(D20:D24)</f>
        <v>4534</v>
      </c>
      <c r="E19" s="220"/>
      <c r="F19" s="220">
        <f>SUM(F20:F24)</f>
        <v>124264846</v>
      </c>
      <c r="G19" s="221"/>
      <c r="H19" s="411">
        <v>124264846</v>
      </c>
      <c r="I19" s="411">
        <f>H19-F19</f>
        <v>0</v>
      </c>
      <c r="J19" s="411"/>
      <c r="K19" s="411"/>
      <c r="L19" s="206"/>
    </row>
    <row r="20" spans="1:13" s="204" customFormat="1" ht="22.5" customHeight="1">
      <c r="A20" s="218"/>
      <c r="B20" s="1771" t="s">
        <v>3373</v>
      </c>
      <c r="C20" s="416" t="s">
        <v>2420</v>
      </c>
      <c r="D20" s="220">
        <f>'LƯƠNG KT'!M95</f>
        <v>1808</v>
      </c>
      <c r="E20" s="220">
        <f>46.1*$I$8</f>
        <v>30833.524000000001</v>
      </c>
      <c r="F20" s="220">
        <f>ROUND((D20*E20),0)</f>
        <v>55747011</v>
      </c>
      <c r="G20" s="221"/>
      <c r="H20" s="411">
        <f>'LƯƠNG KT'!R95</f>
        <v>124264846</v>
      </c>
      <c r="I20" s="411"/>
      <c r="J20" s="411"/>
      <c r="K20" s="411"/>
    </row>
    <row r="21" spans="1:13" s="395" customFormat="1" ht="22.5" customHeight="1">
      <c r="A21" s="218"/>
      <c r="B21" s="219" t="s">
        <v>2744</v>
      </c>
      <c r="C21" s="416" t="s">
        <v>2420</v>
      </c>
      <c r="D21" s="220">
        <f>'LƯƠNG KT'!N95</f>
        <v>329</v>
      </c>
      <c r="E21" s="220">
        <f>76.9*$I$8</f>
        <v>51433.796000000009</v>
      </c>
      <c r="F21" s="220">
        <f>ROUND((D21*E21),0)</f>
        <v>16921719</v>
      </c>
      <c r="G21" s="221"/>
      <c r="H21" s="411">
        <f>F19-H20</f>
        <v>0</v>
      </c>
      <c r="I21" s="411"/>
      <c r="J21" s="411"/>
      <c r="K21" s="411"/>
    </row>
    <row r="22" spans="1:13" s="395" customFormat="1" ht="22.5" customHeight="1">
      <c r="A22" s="1772"/>
      <c r="B22" s="1775" t="s">
        <v>2681</v>
      </c>
      <c r="C22" s="416" t="s">
        <v>2420</v>
      </c>
      <c r="D22" s="1773">
        <f>'LƯƠNG KT'!Q95</f>
        <v>174</v>
      </c>
      <c r="E22" s="1770">
        <f>30.7*$I$8</f>
        <v>20533.387999999999</v>
      </c>
      <c r="F22" s="220">
        <f>ROUND((D22*E22),0)</f>
        <v>3572810</v>
      </c>
      <c r="G22" s="1774"/>
      <c r="H22" s="411"/>
      <c r="I22" s="411"/>
      <c r="J22" s="411"/>
      <c r="K22" s="411"/>
    </row>
    <row r="23" spans="1:13" s="395" customFormat="1" ht="22.5" customHeight="1">
      <c r="A23" s="218"/>
      <c r="B23" s="1771" t="s">
        <v>3374</v>
      </c>
      <c r="C23" s="416" t="s">
        <v>2420</v>
      </c>
      <c r="D23" s="220">
        <f>'LƯƠNG KT'!O95</f>
        <v>43</v>
      </c>
      <c r="E23" s="220">
        <f>76.9*$I$8*2</f>
        <v>102867.59200000002</v>
      </c>
      <c r="F23" s="220">
        <f>ROUND((D23*E23),0)</f>
        <v>4423306</v>
      </c>
      <c r="G23" s="221"/>
      <c r="H23" s="411"/>
      <c r="I23" s="411"/>
      <c r="J23" s="411"/>
      <c r="K23" s="411"/>
    </row>
    <row r="24" spans="1:13" s="395" customFormat="1" ht="22.5" customHeight="1">
      <c r="A24" s="218"/>
      <c r="B24" s="219" t="s">
        <v>2683</v>
      </c>
      <c r="C24" s="416" t="s">
        <v>2420</v>
      </c>
      <c r="D24" s="220">
        <f>'LƯƠNG KT'!P95</f>
        <v>2180</v>
      </c>
      <c r="E24" s="220">
        <v>20000</v>
      </c>
      <c r="F24" s="220">
        <f>ROUND((D24*E24),0)</f>
        <v>43600000</v>
      </c>
      <c r="G24" s="221"/>
      <c r="H24" s="411"/>
      <c r="I24" s="411"/>
      <c r="J24" s="411"/>
      <c r="K24" s="411"/>
    </row>
    <row r="25" spans="1:13" s="204" customFormat="1" ht="22.5" customHeight="1">
      <c r="A25" s="218" t="s">
        <v>2416</v>
      </c>
      <c r="B25" s="219" t="s">
        <v>2900</v>
      </c>
      <c r="C25" s="416" t="s">
        <v>2420</v>
      </c>
      <c r="D25" s="417">
        <f>'LƯƠNG KT'!F95</f>
        <v>0</v>
      </c>
      <c r="E25" s="220">
        <v>25000</v>
      </c>
      <c r="F25" s="220">
        <f>+D25*E25</f>
        <v>0</v>
      </c>
      <c r="G25" s="221"/>
      <c r="H25" s="411"/>
      <c r="I25" s="411"/>
      <c r="J25" s="411"/>
      <c r="K25" s="411"/>
    </row>
    <row r="26" spans="1:13" s="202" customFormat="1" ht="22.5" customHeight="1">
      <c r="A26" s="218">
        <v>2</v>
      </c>
      <c r="B26" s="219" t="s">
        <v>2863</v>
      </c>
      <c r="C26" s="416" t="s">
        <v>2420</v>
      </c>
      <c r="D26" s="220">
        <f>'LƯƠNG BV9THUC'!J13/25000</f>
        <v>208</v>
      </c>
      <c r="E26" s="220">
        <v>25000</v>
      </c>
      <c r="F26" s="220">
        <f>+D26*E26</f>
        <v>5200000</v>
      </c>
      <c r="G26" s="228"/>
      <c r="H26" s="411"/>
      <c r="I26" s="411"/>
      <c r="J26" s="411"/>
      <c r="K26" s="411"/>
      <c r="M26" s="401"/>
    </row>
    <row r="27" spans="1:13" s="2123" customFormat="1" ht="22.5" customHeight="1">
      <c r="A27" s="2117" t="s">
        <v>2805</v>
      </c>
      <c r="B27" s="2118" t="s">
        <v>3478</v>
      </c>
      <c r="C27" s="2119"/>
      <c r="D27" s="2121">
        <f>+SUM(D28:D29)</f>
        <v>546.09523809523819</v>
      </c>
      <c r="E27" s="2120"/>
      <c r="F27" s="2120">
        <f>SUM(F28:F29)</f>
        <v>13652380.952380953</v>
      </c>
      <c r="G27" s="2121"/>
      <c r="H27" s="2122"/>
      <c r="I27" s="2122"/>
      <c r="J27" s="2122"/>
      <c r="K27" s="2122"/>
      <c r="M27" s="2124"/>
    </row>
    <row r="28" spans="1:13" s="202" customFormat="1" ht="22.5" customHeight="1">
      <c r="A28" s="218">
        <v>1</v>
      </c>
      <c r="B28" s="219" t="s">
        <v>3479</v>
      </c>
      <c r="C28" s="416" t="s">
        <v>2420</v>
      </c>
      <c r="D28" s="221">
        <f>+'BCSX T6'!N58</f>
        <v>25.761904761904763</v>
      </c>
      <c r="E28" s="220">
        <v>25000</v>
      </c>
      <c r="F28" s="220">
        <f>D28*E28</f>
        <v>644047.61904761905</v>
      </c>
      <c r="G28" s="228"/>
      <c r="H28" s="411"/>
      <c r="I28" s="411"/>
      <c r="J28" s="411"/>
      <c r="K28" s="411"/>
      <c r="M28" s="401"/>
    </row>
    <row r="29" spans="1:13" s="202" customFormat="1" ht="22.5" customHeight="1">
      <c r="A29" s="218">
        <v>2</v>
      </c>
      <c r="B29" s="219" t="s">
        <v>3480</v>
      </c>
      <c r="C29" s="416" t="s">
        <v>2420</v>
      </c>
      <c r="D29" s="221">
        <f>+'BCSX T6'!N61</f>
        <v>520.33333333333337</v>
      </c>
      <c r="E29" s="220">
        <v>25000</v>
      </c>
      <c r="F29" s="220">
        <f>D29*E29</f>
        <v>13008333.333333334</v>
      </c>
      <c r="G29" s="228"/>
      <c r="H29" s="411"/>
      <c r="I29" s="411"/>
      <c r="J29" s="411"/>
      <c r="K29" s="411"/>
      <c r="M29" s="401"/>
    </row>
    <row r="30" spans="1:13" s="202" customFormat="1" ht="22.5" customHeight="1">
      <c r="A30" s="418" t="s">
        <v>2428</v>
      </c>
      <c r="B30" s="1776" t="s">
        <v>3375</v>
      </c>
      <c r="C30" s="410"/>
      <c r="D30" s="227"/>
      <c r="E30" s="227"/>
      <c r="F30" s="227">
        <f>SUM(F31)</f>
        <v>4800000</v>
      </c>
      <c r="G30" s="228"/>
      <c r="H30" s="411"/>
      <c r="I30" s="411"/>
      <c r="J30" s="411"/>
      <c r="K30" s="411"/>
      <c r="M30" s="401"/>
    </row>
    <row r="31" spans="1:13" s="204" customFormat="1" ht="22.5" customHeight="1">
      <c r="A31" s="218">
        <v>1</v>
      </c>
      <c r="B31" s="1775" t="s">
        <v>3376</v>
      </c>
      <c r="C31" s="1777" t="s">
        <v>2807</v>
      </c>
      <c r="D31" s="221"/>
      <c r="E31" s="220"/>
      <c r="F31" s="220">
        <f>+'Phụ cấp người việt'!F14</f>
        <v>4800000</v>
      </c>
      <c r="G31" s="221"/>
      <c r="H31" s="411"/>
      <c r="I31" s="411"/>
      <c r="J31" s="411"/>
      <c r="K31" s="411"/>
      <c r="M31" s="206"/>
    </row>
    <row r="32" spans="1:13" s="204" customFormat="1" ht="22.5" customHeight="1">
      <c r="A32" s="2836" t="s">
        <v>2907</v>
      </c>
      <c r="B32" s="2836"/>
      <c r="C32" s="419"/>
      <c r="D32" s="227"/>
      <c r="E32" s="220"/>
      <c r="F32" s="227">
        <f>F12+F30+F27</f>
        <v>402038399.95238096</v>
      </c>
      <c r="G32" s="228"/>
      <c r="H32" s="411">
        <f>'LƯƠNG CNTT'!M105</f>
        <v>397238399.95238096</v>
      </c>
      <c r="I32" s="411"/>
      <c r="J32" s="411"/>
      <c r="K32" s="411"/>
      <c r="L32" s="206"/>
    </row>
    <row r="33" spans="1:11" ht="25.5" customHeight="1">
      <c r="A33" s="2837" t="s">
        <v>3492</v>
      </c>
      <c r="B33" s="2838"/>
      <c r="C33" s="2838"/>
      <c r="D33" s="2838"/>
      <c r="E33" s="2838"/>
      <c r="F33" s="2838"/>
      <c r="G33" s="2838"/>
      <c r="H33" s="411">
        <f>H32+F30</f>
        <v>402038399.95238096</v>
      </c>
      <c r="I33" s="411"/>
      <c r="J33" s="411"/>
      <c r="K33" s="411"/>
    </row>
    <row r="34" spans="1:11" s="396" customFormat="1" ht="26.25" customHeight="1">
      <c r="A34" s="420"/>
      <c r="B34" s="420"/>
      <c r="C34" s="420"/>
      <c r="D34" s="421"/>
      <c r="E34" s="2839" t="s">
        <v>2929</v>
      </c>
      <c r="F34" s="2839"/>
      <c r="G34" s="2839"/>
      <c r="H34" s="411">
        <f>H33-F32</f>
        <v>0</v>
      </c>
      <c r="I34" s="411"/>
      <c r="J34" s="411"/>
      <c r="K34" s="411"/>
    </row>
    <row r="35" spans="1:11" s="396" customFormat="1" ht="4.1500000000000004" customHeight="1">
      <c r="A35" s="422"/>
      <c r="B35" s="422"/>
      <c r="C35" s="422"/>
      <c r="D35" s="423"/>
      <c r="E35" s="424"/>
      <c r="F35" s="425"/>
      <c r="G35" s="426"/>
      <c r="H35" s="411"/>
      <c r="I35" s="411"/>
      <c r="J35" s="411"/>
      <c r="K35" s="411"/>
    </row>
    <row r="36" spans="1:11" s="202" customFormat="1" ht="16.5">
      <c r="A36" s="427" t="s">
        <v>2930</v>
      </c>
      <c r="C36" s="427"/>
      <c r="D36" s="427"/>
      <c r="E36" s="427"/>
      <c r="F36" s="235"/>
      <c r="G36" s="428"/>
      <c r="H36" s="411"/>
      <c r="I36" s="411"/>
      <c r="J36" s="411"/>
      <c r="K36" s="411"/>
    </row>
    <row r="37" spans="1:11" s="396" customFormat="1" ht="18.75">
      <c r="A37" s="422"/>
      <c r="B37" s="422"/>
      <c r="C37" s="422"/>
      <c r="D37" s="423"/>
      <c r="E37" s="424"/>
      <c r="F37" s="425"/>
      <c r="G37" s="426"/>
      <c r="H37" s="411"/>
      <c r="I37" s="411"/>
      <c r="J37" s="411"/>
      <c r="K37" s="411"/>
    </row>
    <row r="38" spans="1:11" s="396" customFormat="1" ht="18.75">
      <c r="A38" s="422"/>
      <c r="B38" s="422"/>
      <c r="C38" s="422"/>
      <c r="D38" s="423"/>
      <c r="E38" s="424"/>
      <c r="F38" s="425"/>
      <c r="G38" s="426"/>
    </row>
    <row r="39" spans="1:11">
      <c r="H39" s="431"/>
    </row>
    <row r="41" spans="1:11" ht="16.5">
      <c r="F41" s="2834" t="s">
        <v>3493</v>
      </c>
      <c r="G41" s="2835"/>
    </row>
    <row r="42" spans="1:11">
      <c r="H42" s="431"/>
      <c r="I42" s="431"/>
    </row>
    <row r="44" spans="1:11">
      <c r="H44" s="431"/>
      <c r="I44" s="431"/>
    </row>
  </sheetData>
  <mergeCells count="11">
    <mergeCell ref="A1:G1"/>
    <mergeCell ref="A2:G2"/>
    <mergeCell ref="A3:G3"/>
    <mergeCell ref="A4:D4"/>
    <mergeCell ref="A5:D5"/>
    <mergeCell ref="F41:G41"/>
    <mergeCell ref="A8:G8"/>
    <mergeCell ref="A9:G9"/>
    <mergeCell ref="A32:B32"/>
    <mergeCell ref="A33:G33"/>
    <mergeCell ref="E34:G34"/>
  </mergeCells>
  <pageMargins left="0.31496062992126" right="0" top="0.55118110236220497" bottom="0.55118110236220497" header="0.31496062992126" footer="0.31496062992126"/>
  <pageSetup paperSize="9" orientation="landscape" r:id="rId1"/>
  <headerFooter>
    <oddFooter>&amp;RPage &amp;P/2</oddFooter>
  </headerFooter>
  <drawing r:id="rId2"/>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6" tint="-0.249977111117893"/>
  </sheetPr>
  <dimension ref="A1:DA48"/>
  <sheetViews>
    <sheetView workbookViewId="0">
      <pane xSplit="1" ySplit="10" topLeftCell="B17" activePane="bottomRight" state="frozen"/>
      <selection pane="topRight"/>
      <selection pane="bottomLeft"/>
      <selection pane="bottomRight" activeCell="J19" sqref="J19"/>
    </sheetView>
  </sheetViews>
  <sheetFormatPr defaultColWidth="9" defaultRowHeight="15.75"/>
  <cols>
    <col min="1" max="1" width="8.85546875" style="54" customWidth="1"/>
    <col min="2" max="2" width="11.85546875" style="54" customWidth="1"/>
    <col min="3" max="3" width="50.7109375" style="54" customWidth="1"/>
    <col min="4" max="4" width="19.28515625" style="56" customWidth="1"/>
    <col min="5" max="5" width="15" style="56" customWidth="1"/>
    <col min="6" max="6" width="15.85546875" style="56" customWidth="1"/>
    <col min="7" max="7" width="14.7109375" style="57" customWidth="1"/>
    <col min="8" max="8" width="10.140625" style="57" customWidth="1"/>
    <col min="9" max="9" width="11.28515625" style="55" customWidth="1"/>
    <col min="10" max="10" width="24" style="55" customWidth="1"/>
    <col min="11" max="16384" width="9" style="55"/>
  </cols>
  <sheetData>
    <row r="1" spans="1:105" s="6" customFormat="1">
      <c r="A1" s="2731" t="s">
        <v>0</v>
      </c>
      <c r="B1" s="2731"/>
      <c r="C1" s="2731"/>
      <c r="D1" s="2731"/>
      <c r="E1" s="2731"/>
      <c r="F1" s="2731"/>
      <c r="G1" s="2731"/>
      <c r="H1" s="2731"/>
      <c r="I1" s="7"/>
      <c r="J1" s="7"/>
      <c r="K1" s="7"/>
      <c r="L1" s="7"/>
      <c r="M1" s="7"/>
      <c r="N1" s="7"/>
      <c r="O1" s="7"/>
      <c r="P1" s="7"/>
      <c r="Q1" s="7"/>
      <c r="R1" s="7"/>
      <c r="S1" s="7"/>
      <c r="T1" s="7"/>
      <c r="U1" s="7"/>
    </row>
    <row r="2" spans="1:105" s="6" customFormat="1">
      <c r="A2" s="2731" t="s">
        <v>1968</v>
      </c>
      <c r="B2" s="2731"/>
      <c r="C2" s="2731"/>
      <c r="D2" s="2731"/>
      <c r="E2" s="2731"/>
      <c r="F2" s="2731"/>
      <c r="G2" s="2731"/>
      <c r="H2" s="2731"/>
      <c r="I2" s="7"/>
      <c r="J2" s="7"/>
      <c r="K2" s="7"/>
      <c r="L2" s="7"/>
      <c r="M2" s="7"/>
      <c r="N2" s="7"/>
      <c r="O2" s="7"/>
      <c r="P2" s="7"/>
      <c r="Q2" s="7"/>
      <c r="R2" s="7"/>
      <c r="S2" s="7"/>
      <c r="T2" s="7"/>
      <c r="U2" s="7"/>
    </row>
    <row r="3" spans="1:105" s="6" customFormat="1">
      <c r="A3" s="2732" t="s">
        <v>619</v>
      </c>
      <c r="B3" s="2731"/>
      <c r="C3" s="2731"/>
      <c r="D3" s="2731"/>
      <c r="E3" s="2731"/>
      <c r="F3" s="2731"/>
      <c r="G3" s="2731"/>
      <c r="H3" s="2731"/>
      <c r="I3" s="7"/>
      <c r="J3" s="7"/>
      <c r="K3" s="7"/>
      <c r="L3" s="7"/>
      <c r="M3" s="7"/>
      <c r="N3" s="7"/>
      <c r="O3" s="7"/>
      <c r="P3" s="7"/>
      <c r="Q3" s="7"/>
      <c r="R3" s="7"/>
      <c r="S3" s="7"/>
      <c r="T3" s="7"/>
      <c r="U3" s="7"/>
    </row>
    <row r="4" spans="1:105" s="28" customFormat="1" ht="21.75" customHeight="1">
      <c r="A4" s="2855" t="s">
        <v>2709</v>
      </c>
      <c r="B4" s="2855"/>
      <c r="C4" s="2855"/>
      <c r="D4" s="85"/>
      <c r="E4" s="85"/>
      <c r="F4" s="85"/>
      <c r="G4" s="85"/>
      <c r="H4" s="85"/>
      <c r="I4" s="27"/>
      <c r="J4" s="27"/>
      <c r="K4" s="27"/>
      <c r="L4" s="27"/>
      <c r="M4" s="76"/>
      <c r="N4" s="77"/>
      <c r="O4" s="78"/>
      <c r="P4" s="76"/>
      <c r="Q4" s="76"/>
      <c r="R4" s="80"/>
      <c r="S4" s="81"/>
      <c r="U4" s="82"/>
    </row>
    <row r="5" spans="1:105" s="28" customFormat="1" ht="19.5" customHeight="1">
      <c r="A5" s="2676" t="s">
        <v>3172</v>
      </c>
      <c r="B5" s="2676"/>
      <c r="C5" s="2676"/>
      <c r="D5" s="85"/>
      <c r="E5" s="86"/>
      <c r="F5" s="131"/>
      <c r="G5" s="86"/>
      <c r="H5" s="86"/>
      <c r="J5" s="42"/>
      <c r="K5" s="79"/>
      <c r="M5" s="76"/>
      <c r="N5" s="76"/>
      <c r="P5" s="76"/>
      <c r="Q5" s="76"/>
      <c r="R5" s="80"/>
      <c r="S5" s="81"/>
      <c r="U5" s="82"/>
    </row>
    <row r="6" spans="1:105" s="371" customFormat="1" ht="16.5">
      <c r="A6" s="372"/>
      <c r="B6" s="372"/>
      <c r="C6" s="372"/>
      <c r="D6" s="373"/>
      <c r="E6" s="373"/>
      <c r="F6" s="373"/>
      <c r="G6" s="374"/>
      <c r="H6" s="374"/>
    </row>
    <row r="7" spans="1:105" s="371" customFormat="1" ht="18.75">
      <c r="A7" s="2851" t="s">
        <v>3505</v>
      </c>
      <c r="B7" s="2851"/>
      <c r="C7" s="2851"/>
      <c r="D7" s="2851"/>
      <c r="E7" s="2851"/>
      <c r="F7" s="2851"/>
      <c r="G7" s="2851"/>
      <c r="H7" s="2851"/>
    </row>
    <row r="8" spans="1:105" s="352" customFormat="1" ht="15" customHeight="1">
      <c r="A8" s="375"/>
      <c r="B8" s="375"/>
      <c r="C8" s="375"/>
      <c r="D8" s="375"/>
      <c r="E8" s="375"/>
      <c r="F8" s="375"/>
      <c r="G8" s="2852" t="s">
        <v>2939</v>
      </c>
      <c r="H8" s="2852"/>
    </row>
    <row r="9" spans="1:105" s="352" customFormat="1" ht="15" customHeight="1">
      <c r="A9" s="2846" t="s">
        <v>6</v>
      </c>
      <c r="B9" s="2846" t="s">
        <v>356</v>
      </c>
      <c r="C9" s="2846" t="s">
        <v>2940</v>
      </c>
      <c r="D9" s="2847" t="s">
        <v>530</v>
      </c>
      <c r="E9" s="2847" t="s">
        <v>2941</v>
      </c>
      <c r="F9" s="2847" t="s">
        <v>2727</v>
      </c>
      <c r="G9" s="2847" t="s">
        <v>531</v>
      </c>
      <c r="H9" s="2847" t="s">
        <v>12</v>
      </c>
    </row>
    <row r="10" spans="1:105" s="352" customFormat="1" ht="12.75" customHeight="1">
      <c r="A10" s="2846"/>
      <c r="B10" s="2846"/>
      <c r="C10" s="2846"/>
      <c r="D10" s="2847"/>
      <c r="E10" s="2847"/>
      <c r="F10" s="2847"/>
      <c r="G10" s="2847"/>
      <c r="H10" s="2847"/>
    </row>
    <row r="11" spans="1:105" s="351" customFormat="1" ht="23.25" customHeight="1">
      <c r="A11" s="376">
        <v>1</v>
      </c>
      <c r="B11" s="377" t="s">
        <v>3475</v>
      </c>
      <c r="C11" s="378" t="s">
        <v>3467</v>
      </c>
      <c r="D11" s="379">
        <f>'BCSX T6'!N69</f>
        <v>96</v>
      </c>
      <c r="E11" s="380">
        <v>25000</v>
      </c>
      <c r="F11" s="380">
        <f>D11*E11</f>
        <v>2400000</v>
      </c>
      <c r="G11" s="381"/>
      <c r="H11" s="381"/>
      <c r="I11" s="366"/>
      <c r="J11" s="352"/>
      <c r="K11" s="352"/>
      <c r="L11" s="352"/>
      <c r="M11" s="352"/>
      <c r="N11" s="352"/>
      <c r="O11" s="352"/>
      <c r="P11" s="352"/>
      <c r="Q11" s="352"/>
      <c r="R11" s="352"/>
      <c r="S11" s="352"/>
      <c r="T11" s="352"/>
      <c r="U11" s="352"/>
      <c r="V11" s="352"/>
      <c r="W11" s="352"/>
      <c r="X11" s="352"/>
      <c r="Y11" s="352"/>
      <c r="Z11" s="352"/>
      <c r="AA11" s="352"/>
      <c r="AB11" s="352"/>
      <c r="AC11" s="352"/>
      <c r="AD11" s="352"/>
      <c r="AE11" s="352"/>
      <c r="AF11" s="352"/>
      <c r="AG11" s="352"/>
      <c r="AH11" s="352"/>
      <c r="AI11" s="352"/>
      <c r="AJ11" s="352"/>
      <c r="AK11" s="352"/>
      <c r="AL11" s="352"/>
      <c r="AM11" s="352"/>
      <c r="AN11" s="352"/>
      <c r="AO11" s="352"/>
      <c r="AP11" s="352"/>
      <c r="AQ11" s="352"/>
      <c r="AR11" s="352"/>
      <c r="AS11" s="352"/>
      <c r="AT11" s="352"/>
      <c r="AU11" s="352"/>
      <c r="AV11" s="352"/>
      <c r="AW11" s="352"/>
      <c r="AX11" s="352"/>
      <c r="AY11" s="352"/>
      <c r="AZ11" s="352"/>
      <c r="BA11" s="352"/>
      <c r="BB11" s="352"/>
      <c r="BC11" s="352"/>
      <c r="BD11" s="352"/>
      <c r="BE11" s="352"/>
      <c r="BF11" s="352"/>
      <c r="BG11" s="352"/>
      <c r="BH11" s="352"/>
      <c r="BI11" s="352"/>
      <c r="BJ11" s="352"/>
      <c r="BK11" s="352"/>
      <c r="BL11" s="352"/>
      <c r="BM11" s="352"/>
      <c r="BN11" s="352"/>
      <c r="BO11" s="352"/>
      <c r="BP11" s="352"/>
      <c r="BQ11" s="352"/>
      <c r="BR11" s="352"/>
      <c r="BS11" s="352"/>
      <c r="BT11" s="352"/>
      <c r="BU11" s="352"/>
      <c r="BV11" s="352"/>
      <c r="BW11" s="352"/>
      <c r="BX11" s="352"/>
      <c r="BY11" s="352"/>
      <c r="BZ11" s="352"/>
      <c r="CA11" s="352"/>
      <c r="CB11" s="352"/>
      <c r="CC11" s="352"/>
      <c r="CD11" s="352"/>
      <c r="CE11" s="352"/>
      <c r="CF11" s="352"/>
      <c r="CG11" s="352"/>
      <c r="CH11" s="352"/>
      <c r="CI11" s="352"/>
      <c r="CJ11" s="352"/>
      <c r="CK11" s="352"/>
      <c r="CL11" s="352"/>
      <c r="CM11" s="352"/>
      <c r="CN11" s="352"/>
      <c r="CO11" s="352"/>
      <c r="CP11" s="352"/>
      <c r="CQ11" s="352"/>
      <c r="CR11" s="352"/>
      <c r="CS11" s="352"/>
      <c r="CT11" s="352"/>
      <c r="CU11" s="352"/>
      <c r="CV11" s="352"/>
      <c r="CW11" s="352"/>
      <c r="CX11" s="352"/>
      <c r="CY11" s="352"/>
      <c r="CZ11" s="352"/>
      <c r="DA11" s="352"/>
    </row>
    <row r="12" spans="1:105" s="351" customFormat="1" ht="23.25" customHeight="1">
      <c r="A12" s="376">
        <v>2</v>
      </c>
      <c r="B12" s="377" t="s">
        <v>3476</v>
      </c>
      <c r="C12" s="378" t="s">
        <v>3469</v>
      </c>
      <c r="D12" s="379">
        <f>'BCSX T6'!N70</f>
        <v>80</v>
      </c>
      <c r="E12" s="380">
        <v>25000</v>
      </c>
      <c r="F12" s="380">
        <f t="shared" ref="F12" si="0">D12*E12</f>
        <v>2000000</v>
      </c>
      <c r="G12" s="381"/>
      <c r="H12" s="381"/>
      <c r="I12" s="366"/>
      <c r="J12" s="352"/>
      <c r="K12" s="352"/>
      <c r="L12" s="352"/>
      <c r="M12" s="352"/>
      <c r="N12" s="352"/>
      <c r="O12" s="352"/>
      <c r="P12" s="352"/>
      <c r="Q12" s="352"/>
      <c r="R12" s="352"/>
      <c r="S12" s="352"/>
      <c r="T12" s="352"/>
      <c r="U12" s="352"/>
      <c r="V12" s="352"/>
      <c r="W12" s="352"/>
      <c r="X12" s="352"/>
      <c r="Y12" s="352"/>
      <c r="Z12" s="352"/>
      <c r="AA12" s="352"/>
      <c r="AB12" s="352"/>
      <c r="AC12" s="352"/>
      <c r="AD12" s="352"/>
      <c r="AE12" s="352"/>
      <c r="AF12" s="352"/>
      <c r="AG12" s="352"/>
      <c r="AH12" s="352"/>
      <c r="AI12" s="352"/>
      <c r="AJ12" s="352"/>
      <c r="AK12" s="352"/>
      <c r="AL12" s="352"/>
      <c r="AM12" s="352"/>
      <c r="AN12" s="352"/>
      <c r="AO12" s="352"/>
      <c r="AP12" s="352"/>
      <c r="AQ12" s="352"/>
      <c r="AR12" s="352"/>
      <c r="AS12" s="352"/>
      <c r="AT12" s="352"/>
      <c r="AU12" s="352"/>
      <c r="AV12" s="352"/>
      <c r="AW12" s="352"/>
      <c r="AX12" s="352"/>
      <c r="AY12" s="352"/>
      <c r="AZ12" s="352"/>
      <c r="BA12" s="352"/>
      <c r="BB12" s="352"/>
      <c r="BC12" s="352"/>
      <c r="BD12" s="352"/>
      <c r="BE12" s="352"/>
      <c r="BF12" s="352"/>
      <c r="BG12" s="352"/>
      <c r="BH12" s="352"/>
      <c r="BI12" s="352"/>
      <c r="BJ12" s="352"/>
      <c r="BK12" s="352"/>
      <c r="BL12" s="352"/>
      <c r="BM12" s="352"/>
      <c r="BN12" s="352"/>
      <c r="BO12" s="352"/>
      <c r="BP12" s="352"/>
      <c r="BQ12" s="352"/>
      <c r="BR12" s="352"/>
      <c r="BS12" s="352"/>
      <c r="BT12" s="352"/>
      <c r="BU12" s="352"/>
      <c r="BV12" s="352"/>
      <c r="BW12" s="352"/>
      <c r="BX12" s="352"/>
      <c r="BY12" s="352"/>
      <c r="BZ12" s="352"/>
      <c r="CA12" s="352"/>
      <c r="CB12" s="352"/>
      <c r="CC12" s="352"/>
      <c r="CD12" s="352"/>
      <c r="CE12" s="352"/>
      <c r="CF12" s="352"/>
      <c r="CG12" s="352"/>
      <c r="CH12" s="352"/>
      <c r="CI12" s="352"/>
      <c r="CJ12" s="352"/>
      <c r="CK12" s="352"/>
      <c r="CL12" s="352"/>
      <c r="CM12" s="352"/>
      <c r="CN12" s="352"/>
      <c r="CO12" s="352"/>
      <c r="CP12" s="352"/>
      <c r="CQ12" s="352"/>
      <c r="CR12" s="352"/>
      <c r="CS12" s="352"/>
      <c r="CT12" s="352"/>
      <c r="CU12" s="352"/>
      <c r="CV12" s="352"/>
      <c r="CW12" s="352"/>
      <c r="CX12" s="352"/>
      <c r="CY12" s="352"/>
      <c r="CZ12" s="352"/>
      <c r="DA12" s="352"/>
    </row>
    <row r="13" spans="1:105" s="351" customFormat="1" ht="20.25" customHeight="1">
      <c r="A13" s="2846" t="s">
        <v>349</v>
      </c>
      <c r="B13" s="2846"/>
      <c r="C13" s="2846"/>
      <c r="D13" s="382">
        <f>+SUM(D11:D12)</f>
        <v>176</v>
      </c>
      <c r="E13" s="383"/>
      <c r="F13" s="384">
        <f>SUM(F11:F12)</f>
        <v>4400000</v>
      </c>
      <c r="G13" s="382"/>
      <c r="H13" s="382"/>
      <c r="I13" s="352"/>
      <c r="J13" s="55"/>
      <c r="K13" s="352"/>
      <c r="L13" s="352"/>
      <c r="M13" s="352"/>
      <c r="N13" s="352"/>
      <c r="O13" s="352"/>
      <c r="P13" s="352"/>
      <c r="Q13" s="352"/>
      <c r="R13" s="352"/>
      <c r="S13" s="352"/>
      <c r="T13" s="352"/>
      <c r="U13" s="352"/>
      <c r="V13" s="352"/>
      <c r="W13" s="352"/>
      <c r="X13" s="352"/>
      <c r="Y13" s="352"/>
      <c r="Z13" s="352"/>
      <c r="AA13" s="352"/>
      <c r="AB13" s="352"/>
      <c r="AC13" s="352"/>
      <c r="AD13" s="352"/>
      <c r="AE13" s="352"/>
      <c r="AF13" s="352"/>
      <c r="AG13" s="352"/>
      <c r="AH13" s="352"/>
      <c r="AI13" s="352"/>
      <c r="AJ13" s="352"/>
      <c r="AK13" s="352"/>
      <c r="AL13" s="352"/>
      <c r="AM13" s="352"/>
      <c r="AN13" s="352"/>
      <c r="AO13" s="352"/>
      <c r="AP13" s="352"/>
      <c r="AQ13" s="352"/>
      <c r="AR13" s="352"/>
      <c r="AS13" s="352"/>
      <c r="AT13" s="352"/>
      <c r="AU13" s="352"/>
      <c r="AV13" s="352"/>
      <c r="AW13" s="352"/>
      <c r="AX13" s="352"/>
      <c r="AY13" s="352"/>
      <c r="AZ13" s="352"/>
      <c r="BA13" s="352"/>
      <c r="BB13" s="352"/>
      <c r="BC13" s="352"/>
      <c r="BD13" s="352"/>
      <c r="BE13" s="352"/>
      <c r="BF13" s="352"/>
      <c r="BG13" s="352"/>
      <c r="BH13" s="352"/>
      <c r="BI13" s="352"/>
      <c r="BJ13" s="352"/>
      <c r="BK13" s="352"/>
      <c r="BL13" s="352"/>
      <c r="BM13" s="352"/>
      <c r="BN13" s="352"/>
      <c r="BO13" s="352"/>
      <c r="BP13" s="352"/>
      <c r="BQ13" s="352"/>
      <c r="BR13" s="352"/>
      <c r="BS13" s="352"/>
      <c r="BT13" s="352"/>
      <c r="BU13" s="352"/>
      <c r="BV13" s="352"/>
      <c r="BW13" s="352"/>
      <c r="BX13" s="352"/>
      <c r="BY13" s="352"/>
      <c r="BZ13" s="352"/>
      <c r="CA13" s="352"/>
      <c r="CB13" s="352"/>
      <c r="CC13" s="352"/>
      <c r="CD13" s="352"/>
      <c r="CE13" s="352"/>
      <c r="CF13" s="352"/>
      <c r="CG13" s="352"/>
      <c r="CH13" s="352"/>
      <c r="CI13" s="352"/>
      <c r="CJ13" s="352"/>
      <c r="CK13" s="352"/>
      <c r="CL13" s="352"/>
      <c r="CM13" s="352"/>
      <c r="CN13" s="352"/>
      <c r="CO13" s="352"/>
      <c r="CP13" s="352"/>
      <c r="CQ13" s="352"/>
      <c r="CR13" s="352"/>
      <c r="CS13" s="352"/>
      <c r="CT13" s="352"/>
      <c r="CU13" s="352"/>
      <c r="CV13" s="352"/>
      <c r="CW13" s="352"/>
      <c r="CX13" s="352"/>
      <c r="CY13" s="352"/>
      <c r="CZ13" s="352"/>
      <c r="DA13" s="352"/>
    </row>
    <row r="14" spans="1:105" s="67" customFormat="1" ht="24" customHeight="1">
      <c r="A14" s="2853" t="s">
        <v>3477</v>
      </c>
      <c r="B14" s="2853"/>
      <c r="C14" s="2853"/>
      <c r="D14" s="2853"/>
      <c r="E14" s="2853"/>
      <c r="F14" s="2853"/>
      <c r="G14" s="2853"/>
      <c r="H14" s="2853"/>
      <c r="I14" s="351"/>
      <c r="J14" s="392"/>
      <c r="K14" s="351"/>
      <c r="M14" s="393"/>
    </row>
    <row r="15" spans="1:105" s="67" customFormat="1" ht="18" customHeight="1">
      <c r="A15" s="385"/>
      <c r="B15" s="385"/>
      <c r="C15" s="386"/>
      <c r="D15" s="386"/>
      <c r="E15" s="2854" t="s">
        <v>3473</v>
      </c>
      <c r="F15" s="2854"/>
      <c r="G15" s="2854"/>
      <c r="H15" s="2854"/>
      <c r="I15" s="351"/>
      <c r="J15" s="53"/>
      <c r="K15" s="351"/>
      <c r="M15" s="393"/>
    </row>
    <row r="16" spans="1:105" ht="19.5" customHeight="1">
      <c r="A16" s="2225" t="s">
        <v>3506</v>
      </c>
      <c r="B16" s="2225"/>
      <c r="C16" s="2225"/>
      <c r="D16" s="2225"/>
      <c r="E16" s="2225"/>
      <c r="F16" s="2225"/>
      <c r="G16" s="2225"/>
      <c r="H16" s="2225"/>
      <c r="I16" s="2225"/>
      <c r="J16" s="2225"/>
      <c r="K16" s="2225"/>
      <c r="L16" s="2225"/>
    </row>
    <row r="17" spans="1:105" s="53" customFormat="1" ht="15.75" customHeight="1">
      <c r="A17" s="2848"/>
      <c r="B17" s="2848"/>
      <c r="C17" s="2848"/>
      <c r="D17" s="371"/>
      <c r="E17" s="371"/>
      <c r="F17" s="371"/>
      <c r="G17" s="387"/>
      <c r="H17" s="387"/>
    </row>
    <row r="18" spans="1:105" s="53" customFormat="1" ht="15.75" customHeight="1">
      <c r="A18" s="385"/>
      <c r="B18" s="385"/>
      <c r="C18" s="385"/>
      <c r="D18" s="385"/>
      <c r="E18" s="385"/>
      <c r="F18" s="385"/>
      <c r="G18" s="388"/>
      <c r="H18" s="388"/>
    </row>
    <row r="19" spans="1:105" s="53" customFormat="1" ht="57.75" customHeight="1">
      <c r="A19" s="67"/>
      <c r="B19" s="67"/>
      <c r="C19" s="67"/>
      <c r="D19" s="67"/>
      <c r="E19" s="67"/>
      <c r="F19" s="67"/>
      <c r="G19" s="389"/>
      <c r="H19" s="389"/>
    </row>
    <row r="20" spans="1:105" s="53" customFormat="1" ht="16.5">
      <c r="A20" s="68"/>
      <c r="B20" s="68"/>
      <c r="C20" s="68"/>
      <c r="D20" s="69"/>
      <c r="E20" s="2849"/>
      <c r="F20" s="2849"/>
      <c r="G20" s="2849"/>
      <c r="H20" s="2849"/>
    </row>
    <row r="21" spans="1:105">
      <c r="A21" s="2715"/>
      <c r="B21" s="2715"/>
      <c r="C21" s="66"/>
      <c r="F21" s="2850"/>
      <c r="G21" s="2850"/>
      <c r="H21" s="2850"/>
    </row>
    <row r="22" spans="1:105" s="53" customFormat="1" ht="15">
      <c r="A22" s="390"/>
      <c r="B22" s="390"/>
      <c r="C22" s="390"/>
      <c r="D22" s="67"/>
      <c r="E22" s="2844"/>
      <c r="F22" s="2844"/>
      <c r="G22" s="2844"/>
      <c r="H22" s="2844"/>
    </row>
    <row r="23" spans="1:105" s="53" customFormat="1" ht="15">
      <c r="C23" s="71"/>
      <c r="D23" s="73"/>
      <c r="E23" s="73"/>
      <c r="F23" s="2845"/>
      <c r="G23" s="2845"/>
      <c r="H23" s="2845"/>
    </row>
    <row r="24" spans="1:105" s="53" customFormat="1" ht="15"/>
    <row r="25" spans="1:105">
      <c r="A25" s="52"/>
      <c r="B25" s="52"/>
      <c r="C25" s="52"/>
      <c r="G25" s="390"/>
      <c r="H25" s="390"/>
      <c r="I25" s="53"/>
      <c r="J25" s="53"/>
      <c r="K25" s="53"/>
      <c r="L25" s="53"/>
      <c r="M25" s="53"/>
      <c r="N25" s="53"/>
      <c r="O25" s="53"/>
      <c r="P25" s="53"/>
      <c r="Q25" s="53"/>
      <c r="R25" s="53"/>
      <c r="S25" s="53"/>
      <c r="T25" s="53"/>
      <c r="U25" s="53"/>
      <c r="V25" s="53"/>
      <c r="W25" s="53"/>
      <c r="X25" s="53"/>
      <c r="Y25" s="53"/>
      <c r="Z25" s="53"/>
      <c r="AA25" s="53"/>
      <c r="AB25" s="53"/>
      <c r="AC25" s="53"/>
      <c r="AD25" s="53"/>
      <c r="AE25" s="53"/>
      <c r="AF25" s="53"/>
      <c r="AG25" s="53"/>
      <c r="AH25" s="53"/>
      <c r="AI25" s="53"/>
      <c r="AJ25" s="53"/>
      <c r="AK25" s="53"/>
      <c r="AL25" s="53"/>
      <c r="AM25" s="53"/>
      <c r="AN25" s="53"/>
      <c r="AO25" s="53"/>
      <c r="AP25" s="53"/>
      <c r="AQ25" s="53"/>
      <c r="AR25" s="53"/>
      <c r="AS25" s="53"/>
      <c r="AT25" s="53"/>
      <c r="AU25" s="53"/>
      <c r="AV25" s="53"/>
      <c r="AW25" s="53"/>
      <c r="AX25" s="53"/>
      <c r="AY25" s="53"/>
      <c r="AZ25" s="53"/>
      <c r="BA25" s="53"/>
      <c r="BB25" s="53"/>
      <c r="BC25" s="53"/>
      <c r="BD25" s="53"/>
      <c r="BE25" s="53"/>
      <c r="BF25" s="53"/>
      <c r="BG25" s="53"/>
      <c r="BH25" s="53"/>
      <c r="BI25" s="53"/>
      <c r="BJ25" s="53"/>
      <c r="BK25" s="53"/>
      <c r="BL25" s="53"/>
      <c r="BM25" s="53"/>
      <c r="BN25" s="53"/>
      <c r="BO25" s="53"/>
      <c r="BP25" s="53"/>
      <c r="BQ25" s="53"/>
      <c r="BR25" s="53"/>
      <c r="BS25" s="53"/>
      <c r="BT25" s="53"/>
      <c r="BU25" s="53"/>
      <c r="BV25" s="53"/>
      <c r="BW25" s="53"/>
      <c r="BX25" s="53"/>
      <c r="BY25" s="53"/>
      <c r="BZ25" s="53"/>
      <c r="CA25" s="53"/>
      <c r="CB25" s="53"/>
      <c r="CC25" s="53"/>
      <c r="CD25" s="53"/>
      <c r="CE25" s="53"/>
      <c r="CF25" s="53"/>
      <c r="CG25" s="53"/>
      <c r="CH25" s="53"/>
      <c r="CI25" s="53"/>
      <c r="CJ25" s="53"/>
      <c r="CK25" s="53"/>
      <c r="CL25" s="53"/>
      <c r="CM25" s="53"/>
      <c r="CN25" s="53"/>
      <c r="CO25" s="53"/>
      <c r="CP25" s="53"/>
      <c r="CQ25" s="53"/>
      <c r="CR25" s="53"/>
      <c r="CS25" s="53"/>
      <c r="CT25" s="53"/>
      <c r="CU25" s="53"/>
      <c r="CV25" s="53"/>
      <c r="CW25" s="53"/>
      <c r="CX25" s="53"/>
      <c r="CY25" s="53"/>
      <c r="CZ25" s="53"/>
      <c r="DA25" s="53"/>
    </row>
    <row r="26" spans="1:105" s="52" customFormat="1">
      <c r="A26" s="75"/>
      <c r="B26" s="75"/>
      <c r="C26" s="75"/>
      <c r="D26" s="75"/>
      <c r="E26" s="75"/>
      <c r="F26" s="75"/>
      <c r="G26" s="391"/>
      <c r="H26" s="391"/>
      <c r="I26" s="53"/>
      <c r="J26" s="53"/>
      <c r="K26" s="53"/>
      <c r="L26" s="53"/>
      <c r="M26" s="53"/>
      <c r="N26" s="53"/>
      <c r="O26" s="53"/>
      <c r="P26" s="53"/>
      <c r="Q26" s="53"/>
      <c r="R26" s="53"/>
      <c r="S26" s="53"/>
      <c r="T26" s="53"/>
      <c r="U26" s="53"/>
      <c r="V26" s="53"/>
      <c r="W26" s="53"/>
      <c r="X26" s="53"/>
      <c r="Y26" s="53"/>
      <c r="Z26" s="53"/>
      <c r="AA26" s="53"/>
      <c r="AB26" s="53"/>
      <c r="AC26" s="53"/>
      <c r="AD26" s="53"/>
      <c r="AE26" s="53"/>
      <c r="AF26" s="53"/>
      <c r="AG26" s="53"/>
      <c r="AH26" s="53"/>
      <c r="AI26" s="53"/>
      <c r="AJ26" s="53"/>
      <c r="AK26" s="53"/>
      <c r="AL26" s="53"/>
      <c r="AM26" s="53"/>
      <c r="AN26" s="53"/>
      <c r="AO26" s="53"/>
      <c r="AP26" s="53"/>
      <c r="AQ26" s="53"/>
      <c r="AR26" s="53"/>
      <c r="AS26" s="53"/>
      <c r="AT26" s="53"/>
      <c r="AU26" s="53"/>
      <c r="AV26" s="53"/>
      <c r="AW26" s="53"/>
      <c r="AX26" s="53"/>
      <c r="AY26" s="53"/>
      <c r="AZ26" s="53"/>
      <c r="BA26" s="53"/>
      <c r="BB26" s="53"/>
      <c r="BC26" s="53"/>
      <c r="BD26" s="53"/>
      <c r="BE26" s="53"/>
      <c r="BF26" s="53"/>
      <c r="BG26" s="53"/>
      <c r="BH26" s="53"/>
      <c r="BI26" s="53"/>
      <c r="BJ26" s="53"/>
      <c r="BK26" s="53"/>
      <c r="BL26" s="53"/>
      <c r="BM26" s="53"/>
      <c r="BN26" s="53"/>
      <c r="BO26" s="53"/>
      <c r="BP26" s="53"/>
      <c r="BQ26" s="53"/>
      <c r="BR26" s="53"/>
      <c r="BS26" s="53"/>
      <c r="BT26" s="53"/>
      <c r="BU26" s="53"/>
      <c r="BV26" s="53"/>
      <c r="BW26" s="53"/>
      <c r="BX26" s="53"/>
      <c r="BY26" s="53"/>
      <c r="BZ26" s="53"/>
      <c r="CA26" s="53"/>
      <c r="CB26" s="53"/>
      <c r="CC26" s="53"/>
      <c r="CD26" s="53"/>
      <c r="CE26" s="53"/>
      <c r="CF26" s="53"/>
      <c r="CG26" s="53"/>
      <c r="CH26" s="53"/>
      <c r="CI26" s="53"/>
      <c r="CJ26" s="53"/>
      <c r="CK26" s="53"/>
      <c r="CL26" s="53"/>
      <c r="CM26" s="53"/>
      <c r="CN26" s="53"/>
      <c r="CO26" s="53"/>
      <c r="CP26" s="53"/>
      <c r="CQ26" s="53"/>
      <c r="CR26" s="53"/>
      <c r="CS26" s="53"/>
      <c r="CT26" s="53"/>
      <c r="CU26" s="53"/>
      <c r="CV26" s="53"/>
      <c r="CW26" s="53"/>
      <c r="CX26" s="53"/>
      <c r="CY26" s="53"/>
      <c r="CZ26" s="53"/>
      <c r="DA26" s="53"/>
    </row>
    <row r="27" spans="1:105">
      <c r="I27" s="53"/>
      <c r="J27" s="53"/>
      <c r="K27" s="53"/>
      <c r="L27" s="53"/>
      <c r="M27" s="53"/>
      <c r="N27" s="53"/>
      <c r="O27" s="53"/>
      <c r="P27" s="53"/>
      <c r="Q27" s="53"/>
      <c r="R27" s="53"/>
      <c r="S27" s="53"/>
      <c r="T27" s="53"/>
      <c r="U27" s="53"/>
      <c r="V27" s="53"/>
      <c r="W27" s="53"/>
      <c r="X27" s="53"/>
      <c r="Y27" s="53"/>
      <c r="Z27" s="53"/>
      <c r="AA27" s="53"/>
      <c r="AB27" s="53"/>
      <c r="AC27" s="53"/>
      <c r="AD27" s="53"/>
      <c r="AE27" s="53"/>
      <c r="AF27" s="53"/>
      <c r="AG27" s="53"/>
      <c r="AH27" s="53"/>
      <c r="AI27" s="53"/>
      <c r="AJ27" s="53"/>
      <c r="AK27" s="53"/>
      <c r="AL27" s="53"/>
      <c r="AM27" s="53"/>
      <c r="AN27" s="53"/>
      <c r="AO27" s="53"/>
      <c r="AP27" s="53"/>
      <c r="AQ27" s="53"/>
      <c r="AR27" s="53"/>
      <c r="AS27" s="53"/>
      <c r="AT27" s="53"/>
      <c r="AU27" s="53"/>
      <c r="AV27" s="53"/>
      <c r="AW27" s="53"/>
      <c r="AX27" s="53"/>
      <c r="AY27" s="53"/>
      <c r="AZ27" s="53"/>
      <c r="BA27" s="53"/>
      <c r="BB27" s="53"/>
      <c r="BC27" s="53"/>
      <c r="BD27" s="53"/>
      <c r="BE27" s="53"/>
      <c r="BF27" s="53"/>
      <c r="BG27" s="53"/>
      <c r="BH27" s="53"/>
      <c r="BI27" s="53"/>
      <c r="BJ27" s="53"/>
      <c r="BK27" s="53"/>
      <c r="BL27" s="53"/>
      <c r="BM27" s="53"/>
      <c r="BN27" s="53"/>
      <c r="BO27" s="53"/>
      <c r="BP27" s="53"/>
      <c r="BQ27" s="53"/>
      <c r="BR27" s="53"/>
      <c r="BS27" s="53"/>
      <c r="BT27" s="53"/>
      <c r="BU27" s="53"/>
      <c r="BV27" s="53"/>
      <c r="BW27" s="53"/>
      <c r="BX27" s="53"/>
      <c r="BY27" s="53"/>
      <c r="BZ27" s="53"/>
      <c r="CA27" s="53"/>
      <c r="CB27" s="53"/>
      <c r="CC27" s="53"/>
      <c r="CD27" s="53"/>
      <c r="CE27" s="53"/>
      <c r="CF27" s="53"/>
      <c r="CG27" s="53"/>
      <c r="CH27" s="53"/>
      <c r="CI27" s="53"/>
      <c r="CJ27" s="53"/>
      <c r="CK27" s="53"/>
      <c r="CL27" s="53"/>
      <c r="CM27" s="53"/>
      <c r="CN27" s="53"/>
      <c r="CO27" s="53"/>
      <c r="CP27" s="53"/>
      <c r="CQ27" s="53"/>
      <c r="CR27" s="53"/>
      <c r="CS27" s="53"/>
      <c r="CT27" s="53"/>
      <c r="CU27" s="53"/>
      <c r="CV27" s="53"/>
      <c r="CW27" s="53"/>
      <c r="CX27" s="53"/>
      <c r="CY27" s="53"/>
      <c r="CZ27" s="53"/>
      <c r="DA27" s="53"/>
    </row>
    <row r="28" spans="1:105">
      <c r="I28" s="53"/>
      <c r="J28" s="53"/>
      <c r="K28" s="53"/>
      <c r="L28" s="53"/>
      <c r="M28" s="53"/>
      <c r="N28" s="53"/>
      <c r="O28" s="53"/>
      <c r="P28" s="53"/>
      <c r="Q28" s="53"/>
      <c r="R28" s="53"/>
      <c r="S28" s="53"/>
      <c r="T28" s="53"/>
      <c r="U28" s="53"/>
      <c r="V28" s="53"/>
      <c r="W28" s="53"/>
      <c r="X28" s="53"/>
      <c r="Y28" s="53"/>
      <c r="Z28" s="53"/>
      <c r="AA28" s="53"/>
      <c r="AB28" s="53"/>
      <c r="AC28" s="53"/>
      <c r="AD28" s="53"/>
      <c r="AE28" s="53"/>
      <c r="AF28" s="53"/>
      <c r="AG28" s="53"/>
      <c r="AH28" s="53"/>
      <c r="AI28" s="53"/>
      <c r="AJ28" s="53"/>
      <c r="AK28" s="53"/>
      <c r="AL28" s="53"/>
      <c r="AM28" s="53"/>
      <c r="AN28" s="53"/>
      <c r="AO28" s="53"/>
      <c r="AP28" s="53"/>
      <c r="AQ28" s="53"/>
      <c r="AR28" s="53"/>
      <c r="AS28" s="53"/>
      <c r="AT28" s="53"/>
      <c r="AU28" s="53"/>
      <c r="AV28" s="53"/>
      <c r="AW28" s="53"/>
      <c r="AX28" s="53"/>
      <c r="AY28" s="53"/>
      <c r="AZ28" s="53"/>
      <c r="BA28" s="53"/>
      <c r="BB28" s="53"/>
      <c r="BC28" s="53"/>
      <c r="BD28" s="53"/>
      <c r="BE28" s="53"/>
      <c r="BF28" s="53"/>
      <c r="BG28" s="53"/>
      <c r="BH28" s="53"/>
      <c r="BI28" s="53"/>
      <c r="BJ28" s="53"/>
      <c r="BK28" s="53"/>
      <c r="BL28" s="53"/>
      <c r="BM28" s="53"/>
      <c r="BN28" s="53"/>
      <c r="BO28" s="53"/>
      <c r="BP28" s="53"/>
      <c r="BQ28" s="53"/>
      <c r="BR28" s="53"/>
      <c r="BS28" s="53"/>
      <c r="BT28" s="53"/>
      <c r="BU28" s="53"/>
      <c r="BV28" s="53"/>
      <c r="BW28" s="53"/>
      <c r="BX28" s="53"/>
      <c r="BY28" s="53"/>
      <c r="BZ28" s="53"/>
      <c r="CA28" s="53"/>
      <c r="CB28" s="53"/>
      <c r="CC28" s="53"/>
      <c r="CD28" s="53"/>
      <c r="CE28" s="53"/>
      <c r="CF28" s="53"/>
      <c r="CG28" s="53"/>
      <c r="CH28" s="53"/>
      <c r="CI28" s="53"/>
      <c r="CJ28" s="53"/>
      <c r="CK28" s="53"/>
      <c r="CL28" s="53"/>
      <c r="CM28" s="53"/>
      <c r="CN28" s="53"/>
      <c r="CO28" s="53"/>
      <c r="CP28" s="53"/>
      <c r="CQ28" s="53"/>
      <c r="CR28" s="53"/>
      <c r="CS28" s="53"/>
      <c r="CT28" s="53"/>
      <c r="CU28" s="53"/>
      <c r="CV28" s="53"/>
      <c r="CW28" s="53"/>
      <c r="CX28" s="53"/>
      <c r="CY28" s="53"/>
      <c r="CZ28" s="53"/>
      <c r="DA28" s="53"/>
    </row>
    <row r="29" spans="1:105">
      <c r="I29" s="53"/>
      <c r="J29" s="53"/>
      <c r="K29" s="53"/>
      <c r="L29" s="53"/>
      <c r="M29" s="53"/>
      <c r="N29" s="53"/>
      <c r="O29" s="53"/>
      <c r="P29" s="53"/>
      <c r="Q29" s="53"/>
      <c r="R29" s="53"/>
      <c r="S29" s="53"/>
      <c r="T29" s="53"/>
      <c r="U29" s="53"/>
      <c r="V29" s="53"/>
      <c r="W29" s="53"/>
      <c r="X29" s="53"/>
      <c r="Y29" s="53"/>
      <c r="Z29" s="53"/>
      <c r="AA29" s="53"/>
      <c r="AB29" s="53"/>
      <c r="AC29" s="53"/>
      <c r="AD29" s="53"/>
      <c r="AE29" s="53"/>
      <c r="AF29" s="53"/>
      <c r="AG29" s="53"/>
      <c r="AH29" s="53"/>
      <c r="AI29" s="53"/>
      <c r="AJ29" s="53"/>
      <c r="AK29" s="53"/>
      <c r="AL29" s="53"/>
      <c r="AM29" s="53"/>
      <c r="AN29" s="53"/>
      <c r="AO29" s="53"/>
      <c r="AP29" s="53"/>
      <c r="AQ29" s="53"/>
      <c r="AR29" s="53"/>
      <c r="AS29" s="53"/>
      <c r="AT29" s="53"/>
      <c r="AU29" s="53"/>
      <c r="AV29" s="53"/>
      <c r="AW29" s="53"/>
      <c r="AX29" s="53"/>
      <c r="AY29" s="53"/>
      <c r="AZ29" s="53"/>
      <c r="BA29" s="53"/>
      <c r="BB29" s="53"/>
      <c r="BC29" s="53"/>
      <c r="BD29" s="53"/>
      <c r="BE29" s="53"/>
      <c r="BF29" s="53"/>
      <c r="BG29" s="53"/>
      <c r="BH29" s="53"/>
      <c r="BI29" s="53"/>
      <c r="BJ29" s="53"/>
      <c r="BK29" s="53"/>
      <c r="BL29" s="53"/>
      <c r="BM29" s="53"/>
      <c r="BN29" s="53"/>
      <c r="BO29" s="53"/>
      <c r="BP29" s="53"/>
      <c r="BQ29" s="53"/>
      <c r="BR29" s="53"/>
      <c r="BS29" s="53"/>
      <c r="BT29" s="53"/>
      <c r="BU29" s="53"/>
      <c r="BV29" s="53"/>
      <c r="BW29" s="53"/>
      <c r="BX29" s="53"/>
      <c r="BY29" s="53"/>
      <c r="BZ29" s="53"/>
      <c r="CA29" s="53"/>
      <c r="CB29" s="53"/>
      <c r="CC29" s="53"/>
      <c r="CD29" s="53"/>
      <c r="CE29" s="53"/>
      <c r="CF29" s="53"/>
      <c r="CG29" s="53"/>
      <c r="CH29" s="53"/>
      <c r="CI29" s="53"/>
      <c r="CJ29" s="53"/>
      <c r="CK29" s="53"/>
      <c r="CL29" s="53"/>
      <c r="CM29" s="53"/>
      <c r="CN29" s="53"/>
      <c r="CO29" s="53"/>
      <c r="CP29" s="53"/>
      <c r="CQ29" s="53"/>
      <c r="CR29" s="53"/>
      <c r="CS29" s="53"/>
      <c r="CT29" s="53"/>
      <c r="CU29" s="53"/>
      <c r="CV29" s="53"/>
      <c r="CW29" s="53"/>
      <c r="CX29" s="53"/>
      <c r="CY29" s="53"/>
      <c r="CZ29" s="53"/>
      <c r="DA29" s="53"/>
    </row>
    <row r="30" spans="1:105">
      <c r="I30" s="53"/>
      <c r="J30" s="53"/>
      <c r="K30" s="53"/>
      <c r="L30" s="53"/>
      <c r="M30" s="53"/>
      <c r="N30" s="53"/>
      <c r="O30" s="53"/>
      <c r="P30" s="53"/>
      <c r="Q30" s="53"/>
      <c r="R30" s="53"/>
      <c r="S30" s="53"/>
      <c r="T30" s="53"/>
      <c r="U30" s="53"/>
      <c r="V30" s="53"/>
      <c r="W30" s="53"/>
      <c r="X30" s="53"/>
      <c r="Y30" s="53"/>
      <c r="Z30" s="53"/>
      <c r="AA30" s="53"/>
      <c r="AB30" s="53"/>
      <c r="AC30" s="53"/>
      <c r="AD30" s="53"/>
      <c r="AE30" s="53"/>
      <c r="AF30" s="53"/>
      <c r="AG30" s="53"/>
      <c r="AH30" s="53"/>
      <c r="AI30" s="53"/>
      <c r="AJ30" s="53"/>
      <c r="AK30" s="53"/>
      <c r="AL30" s="53"/>
      <c r="AM30" s="53"/>
      <c r="AN30" s="53"/>
      <c r="AO30" s="53"/>
      <c r="AP30" s="53"/>
      <c r="AQ30" s="53"/>
      <c r="AR30" s="53"/>
      <c r="AS30" s="53"/>
      <c r="AT30" s="53"/>
      <c r="AU30" s="53"/>
      <c r="AV30" s="53"/>
      <c r="AW30" s="53"/>
      <c r="AX30" s="53"/>
      <c r="AY30" s="53"/>
      <c r="AZ30" s="53"/>
      <c r="BA30" s="53"/>
      <c r="BB30" s="53"/>
      <c r="BC30" s="53"/>
      <c r="BD30" s="53"/>
      <c r="BE30" s="53"/>
      <c r="BF30" s="53"/>
      <c r="BG30" s="53"/>
      <c r="BH30" s="53"/>
      <c r="BI30" s="53"/>
      <c r="BJ30" s="53"/>
      <c r="BK30" s="53"/>
      <c r="BL30" s="53"/>
      <c r="BM30" s="53"/>
      <c r="BN30" s="53"/>
      <c r="BO30" s="53"/>
      <c r="BP30" s="53"/>
      <c r="BQ30" s="53"/>
      <c r="BR30" s="53"/>
      <c r="BS30" s="53"/>
      <c r="BT30" s="53"/>
      <c r="BU30" s="53"/>
      <c r="BV30" s="53"/>
      <c r="BW30" s="53"/>
      <c r="BX30" s="53"/>
      <c r="BY30" s="53"/>
      <c r="BZ30" s="53"/>
      <c r="CA30" s="53"/>
      <c r="CB30" s="53"/>
      <c r="CC30" s="53"/>
      <c r="CD30" s="53"/>
      <c r="CE30" s="53"/>
      <c r="CF30" s="53"/>
      <c r="CG30" s="53"/>
      <c r="CH30" s="53"/>
      <c r="CI30" s="53"/>
      <c r="CJ30" s="53"/>
      <c r="CK30" s="53"/>
      <c r="CL30" s="53"/>
      <c r="CM30" s="53"/>
      <c r="CN30" s="53"/>
      <c r="CO30" s="53"/>
      <c r="CP30" s="53"/>
      <c r="CQ30" s="53"/>
      <c r="CR30" s="53"/>
      <c r="CS30" s="53"/>
      <c r="CT30" s="53"/>
      <c r="CU30" s="53"/>
      <c r="CV30" s="53"/>
      <c r="CW30" s="53"/>
      <c r="CX30" s="53"/>
      <c r="CY30" s="53"/>
      <c r="CZ30" s="53"/>
      <c r="DA30" s="53"/>
    </row>
    <row r="31" spans="1:105">
      <c r="I31" s="53"/>
      <c r="J31" s="53"/>
      <c r="K31" s="53"/>
      <c r="L31" s="53"/>
      <c r="M31" s="53"/>
      <c r="N31" s="53"/>
      <c r="O31" s="53"/>
      <c r="P31" s="53"/>
      <c r="Q31" s="53"/>
      <c r="R31" s="53"/>
      <c r="S31" s="53"/>
      <c r="T31" s="53"/>
      <c r="U31" s="53"/>
      <c r="V31" s="53"/>
      <c r="W31" s="53"/>
      <c r="X31" s="53"/>
      <c r="Y31" s="53"/>
      <c r="Z31" s="53"/>
      <c r="AA31" s="53"/>
      <c r="AB31" s="53"/>
      <c r="AC31" s="53"/>
      <c r="AD31" s="53"/>
      <c r="AE31" s="53"/>
      <c r="AF31" s="53"/>
      <c r="AG31" s="53"/>
      <c r="AH31" s="53"/>
      <c r="AI31" s="53"/>
      <c r="AJ31" s="53"/>
      <c r="AK31" s="53"/>
      <c r="AL31" s="53"/>
      <c r="AM31" s="53"/>
      <c r="AN31" s="53"/>
      <c r="AO31" s="53"/>
      <c r="AP31" s="53"/>
      <c r="AQ31" s="53"/>
      <c r="AR31" s="53"/>
      <c r="AS31" s="53"/>
      <c r="AT31" s="53"/>
      <c r="AU31" s="53"/>
      <c r="AV31" s="53"/>
      <c r="AW31" s="53"/>
      <c r="AX31" s="53"/>
      <c r="AY31" s="53"/>
      <c r="AZ31" s="53"/>
      <c r="BA31" s="53"/>
      <c r="BB31" s="53"/>
      <c r="BC31" s="53"/>
      <c r="BD31" s="53"/>
      <c r="BE31" s="53"/>
      <c r="BF31" s="53"/>
      <c r="BG31" s="53"/>
      <c r="BH31" s="53"/>
      <c r="BI31" s="53"/>
      <c r="BJ31" s="53"/>
      <c r="BK31" s="53"/>
      <c r="BL31" s="53"/>
      <c r="BM31" s="53"/>
      <c r="BN31" s="53"/>
      <c r="BO31" s="53"/>
      <c r="BP31" s="53"/>
      <c r="BQ31" s="53"/>
      <c r="BR31" s="53"/>
      <c r="BS31" s="53"/>
      <c r="BT31" s="53"/>
      <c r="BU31" s="53"/>
      <c r="BV31" s="53"/>
      <c r="BW31" s="53"/>
      <c r="BX31" s="53"/>
      <c r="BY31" s="53"/>
      <c r="BZ31" s="53"/>
      <c r="CA31" s="53"/>
      <c r="CB31" s="53"/>
      <c r="CC31" s="53"/>
      <c r="CD31" s="53"/>
      <c r="CE31" s="53"/>
      <c r="CF31" s="53"/>
      <c r="CG31" s="53"/>
      <c r="CH31" s="53"/>
      <c r="CI31" s="53"/>
      <c r="CJ31" s="53"/>
      <c r="CK31" s="53"/>
      <c r="CL31" s="53"/>
      <c r="CM31" s="53"/>
      <c r="CN31" s="53"/>
      <c r="CO31" s="53"/>
      <c r="CP31" s="53"/>
      <c r="CQ31" s="53"/>
      <c r="CR31" s="53"/>
      <c r="CS31" s="53"/>
      <c r="CT31" s="53"/>
      <c r="CU31" s="53"/>
      <c r="CV31" s="53"/>
      <c r="CW31" s="53"/>
      <c r="CX31" s="53"/>
      <c r="CY31" s="53"/>
      <c r="CZ31" s="53"/>
      <c r="DA31" s="53"/>
    </row>
    <row r="32" spans="1:105">
      <c r="I32" s="53"/>
      <c r="J32" s="53"/>
      <c r="K32" s="53"/>
      <c r="L32" s="53"/>
      <c r="M32" s="53"/>
      <c r="N32" s="53"/>
      <c r="O32" s="53"/>
      <c r="P32" s="53"/>
      <c r="Q32" s="53"/>
      <c r="R32" s="53"/>
      <c r="S32" s="53"/>
      <c r="T32" s="53"/>
      <c r="U32" s="53"/>
      <c r="V32" s="53"/>
      <c r="W32" s="53"/>
      <c r="X32" s="53"/>
      <c r="Y32" s="53"/>
      <c r="Z32" s="53"/>
      <c r="AA32" s="53"/>
      <c r="AB32" s="53"/>
      <c r="AC32" s="53"/>
      <c r="AD32" s="53"/>
      <c r="AE32" s="53"/>
      <c r="AF32" s="53"/>
      <c r="AG32" s="53"/>
      <c r="AH32" s="53"/>
      <c r="AI32" s="53"/>
      <c r="AJ32" s="53"/>
      <c r="AK32" s="53"/>
      <c r="AL32" s="53"/>
      <c r="AM32" s="53"/>
      <c r="AN32" s="53"/>
      <c r="AO32" s="53"/>
      <c r="AP32" s="53"/>
      <c r="AQ32" s="53"/>
      <c r="AR32" s="53"/>
      <c r="AS32" s="53"/>
      <c r="AT32" s="53"/>
      <c r="AU32" s="53"/>
      <c r="AV32" s="53"/>
      <c r="AW32" s="53"/>
      <c r="AX32" s="53"/>
      <c r="AY32" s="53"/>
      <c r="AZ32" s="53"/>
      <c r="BA32" s="53"/>
      <c r="BB32" s="53"/>
      <c r="BC32" s="53"/>
      <c r="BD32" s="53"/>
      <c r="BE32" s="53"/>
      <c r="BF32" s="53"/>
      <c r="BG32" s="53"/>
      <c r="BH32" s="53"/>
      <c r="BI32" s="53"/>
      <c r="BJ32" s="53"/>
      <c r="BK32" s="53"/>
      <c r="BL32" s="53"/>
      <c r="BM32" s="53"/>
      <c r="BN32" s="53"/>
      <c r="BO32" s="53"/>
      <c r="BP32" s="53"/>
      <c r="BQ32" s="53"/>
      <c r="BR32" s="53"/>
      <c r="BS32" s="53"/>
      <c r="BT32" s="53"/>
      <c r="BU32" s="53"/>
      <c r="BV32" s="53"/>
      <c r="BW32" s="53"/>
      <c r="BX32" s="53"/>
      <c r="BY32" s="53"/>
      <c r="BZ32" s="53"/>
      <c r="CA32" s="53"/>
      <c r="CB32" s="53"/>
      <c r="CC32" s="53"/>
      <c r="CD32" s="53"/>
      <c r="CE32" s="53"/>
      <c r="CF32" s="53"/>
      <c r="CG32" s="53"/>
      <c r="CH32" s="53"/>
      <c r="CI32" s="53"/>
      <c r="CJ32" s="53"/>
      <c r="CK32" s="53"/>
      <c r="CL32" s="53"/>
      <c r="CM32" s="53"/>
      <c r="CN32" s="53"/>
      <c r="CO32" s="53"/>
      <c r="CP32" s="53"/>
      <c r="CQ32" s="53"/>
      <c r="CR32" s="53"/>
      <c r="CS32" s="53"/>
      <c r="CT32" s="53"/>
      <c r="CU32" s="53"/>
      <c r="CV32" s="53"/>
      <c r="CW32" s="53"/>
      <c r="CX32" s="53"/>
      <c r="CY32" s="53"/>
      <c r="CZ32" s="53"/>
      <c r="DA32" s="53"/>
    </row>
    <row r="33" spans="9:105">
      <c r="I33" s="53"/>
      <c r="J33" s="53"/>
      <c r="K33" s="53"/>
      <c r="L33" s="53"/>
      <c r="M33" s="53"/>
      <c r="N33" s="53"/>
      <c r="O33" s="53"/>
      <c r="P33" s="53"/>
      <c r="Q33" s="53"/>
      <c r="R33" s="53"/>
      <c r="S33" s="53"/>
      <c r="T33" s="53"/>
      <c r="U33" s="53"/>
      <c r="V33" s="53"/>
      <c r="W33" s="53"/>
      <c r="X33" s="53"/>
      <c r="Y33" s="53"/>
      <c r="Z33" s="53"/>
      <c r="AA33" s="53"/>
      <c r="AB33" s="53"/>
      <c r="AC33" s="53"/>
      <c r="AD33" s="53"/>
      <c r="AE33" s="53"/>
      <c r="AF33" s="53"/>
      <c r="AG33" s="53"/>
      <c r="AH33" s="53"/>
      <c r="AI33" s="53"/>
      <c r="AJ33" s="53"/>
      <c r="AK33" s="53"/>
      <c r="AL33" s="53"/>
      <c r="AM33" s="53"/>
      <c r="AN33" s="53"/>
      <c r="AO33" s="53"/>
      <c r="AP33" s="53"/>
      <c r="AQ33" s="53"/>
      <c r="AR33" s="53"/>
      <c r="AS33" s="53"/>
      <c r="AT33" s="53"/>
      <c r="AU33" s="53"/>
      <c r="AV33" s="53"/>
      <c r="AW33" s="53"/>
      <c r="AX33" s="53"/>
      <c r="AY33" s="53"/>
      <c r="AZ33" s="53"/>
      <c r="BA33" s="53"/>
      <c r="BB33" s="53"/>
      <c r="BC33" s="53"/>
      <c r="BD33" s="53"/>
      <c r="BE33" s="53"/>
      <c r="BF33" s="53"/>
      <c r="BG33" s="53"/>
      <c r="BH33" s="53"/>
      <c r="BI33" s="53"/>
      <c r="BJ33" s="53"/>
      <c r="BK33" s="53"/>
      <c r="BL33" s="53"/>
      <c r="BM33" s="53"/>
      <c r="BN33" s="53"/>
      <c r="BO33" s="53"/>
      <c r="BP33" s="53"/>
      <c r="BQ33" s="53"/>
      <c r="BR33" s="53"/>
      <c r="BS33" s="53"/>
      <c r="BT33" s="53"/>
      <c r="BU33" s="53"/>
      <c r="BV33" s="53"/>
      <c r="BW33" s="53"/>
      <c r="BX33" s="53"/>
      <c r="BY33" s="53"/>
      <c r="BZ33" s="53"/>
      <c r="CA33" s="53"/>
      <c r="CB33" s="53"/>
      <c r="CC33" s="53"/>
      <c r="CD33" s="53"/>
      <c r="CE33" s="53"/>
      <c r="CF33" s="53"/>
      <c r="CG33" s="53"/>
      <c r="CH33" s="53"/>
      <c r="CI33" s="53"/>
      <c r="CJ33" s="53"/>
      <c r="CK33" s="53"/>
      <c r="CL33" s="53"/>
      <c r="CM33" s="53"/>
      <c r="CN33" s="53"/>
      <c r="CO33" s="53"/>
      <c r="CP33" s="53"/>
      <c r="CQ33" s="53"/>
      <c r="CR33" s="53"/>
      <c r="CS33" s="53"/>
      <c r="CT33" s="53"/>
      <c r="CU33" s="53"/>
      <c r="CV33" s="53"/>
      <c r="CW33" s="53"/>
      <c r="CX33" s="53"/>
      <c r="CY33" s="53"/>
      <c r="CZ33" s="53"/>
      <c r="DA33" s="53"/>
    </row>
    <row r="34" spans="9:105">
      <c r="I34" s="53"/>
      <c r="J34" s="53"/>
      <c r="K34" s="53"/>
      <c r="L34" s="53"/>
      <c r="M34" s="53"/>
      <c r="N34" s="53"/>
      <c r="O34" s="53"/>
      <c r="P34" s="53"/>
      <c r="Q34" s="53"/>
      <c r="R34" s="53"/>
      <c r="S34" s="53"/>
      <c r="T34" s="53"/>
      <c r="U34" s="53"/>
      <c r="V34" s="53"/>
      <c r="W34" s="53"/>
      <c r="X34" s="53"/>
      <c r="Y34" s="53"/>
      <c r="Z34" s="53"/>
      <c r="AA34" s="53"/>
      <c r="AB34" s="53"/>
      <c r="AC34" s="53"/>
      <c r="AD34" s="53"/>
      <c r="AE34" s="53"/>
      <c r="AF34" s="53"/>
      <c r="AG34" s="53"/>
      <c r="AH34" s="53"/>
      <c r="AI34" s="53"/>
      <c r="AJ34" s="53"/>
      <c r="AK34" s="53"/>
      <c r="AL34" s="53"/>
      <c r="AM34" s="53"/>
      <c r="AN34" s="53"/>
      <c r="AO34" s="53"/>
      <c r="AP34" s="53"/>
      <c r="AQ34" s="53"/>
      <c r="AR34" s="53"/>
      <c r="AS34" s="53"/>
      <c r="AT34" s="53"/>
      <c r="AU34" s="53"/>
      <c r="AV34" s="53"/>
      <c r="AW34" s="53"/>
      <c r="AX34" s="53"/>
      <c r="AY34" s="53"/>
      <c r="AZ34" s="53"/>
      <c r="BA34" s="53"/>
      <c r="BB34" s="53"/>
      <c r="BC34" s="53"/>
      <c r="BD34" s="53"/>
      <c r="BE34" s="53"/>
      <c r="BF34" s="53"/>
      <c r="BG34" s="53"/>
      <c r="BH34" s="53"/>
      <c r="BI34" s="53"/>
      <c r="BJ34" s="53"/>
      <c r="BK34" s="53"/>
      <c r="BL34" s="53"/>
      <c r="BM34" s="53"/>
      <c r="BN34" s="53"/>
      <c r="BO34" s="53"/>
      <c r="BP34" s="53"/>
      <c r="BQ34" s="53"/>
      <c r="BR34" s="53"/>
      <c r="BS34" s="53"/>
      <c r="BT34" s="53"/>
      <c r="BU34" s="53"/>
      <c r="BV34" s="53"/>
      <c r="BW34" s="53"/>
      <c r="BX34" s="53"/>
      <c r="BY34" s="53"/>
      <c r="BZ34" s="53"/>
      <c r="CA34" s="53"/>
      <c r="CB34" s="53"/>
      <c r="CC34" s="53"/>
      <c r="CD34" s="53"/>
      <c r="CE34" s="53"/>
      <c r="CF34" s="53"/>
      <c r="CG34" s="53"/>
      <c r="CH34" s="53"/>
      <c r="CI34" s="53"/>
      <c r="CJ34" s="53"/>
      <c r="CK34" s="53"/>
      <c r="CL34" s="53"/>
      <c r="CM34" s="53"/>
      <c r="CN34" s="53"/>
      <c r="CO34" s="53"/>
      <c r="CP34" s="53"/>
      <c r="CQ34" s="53"/>
      <c r="CR34" s="53"/>
      <c r="CS34" s="53"/>
      <c r="CT34" s="53"/>
      <c r="CU34" s="53"/>
      <c r="CV34" s="53"/>
      <c r="CW34" s="53"/>
      <c r="CX34" s="53"/>
      <c r="CY34" s="53"/>
      <c r="CZ34" s="53"/>
      <c r="DA34" s="53"/>
    </row>
    <row r="35" spans="9:105">
      <c r="I35" s="53"/>
      <c r="J35" s="53"/>
      <c r="K35" s="53"/>
      <c r="L35" s="53"/>
      <c r="M35" s="53"/>
      <c r="N35" s="53"/>
      <c r="O35" s="53"/>
      <c r="P35" s="53"/>
      <c r="Q35" s="53"/>
      <c r="R35" s="53"/>
      <c r="S35" s="53"/>
      <c r="T35" s="53"/>
      <c r="U35" s="53"/>
      <c r="V35" s="53"/>
      <c r="W35" s="53"/>
      <c r="X35" s="53"/>
      <c r="Y35" s="53"/>
      <c r="Z35" s="53"/>
      <c r="AA35" s="53"/>
      <c r="AB35" s="53"/>
      <c r="AC35" s="53"/>
      <c r="AD35" s="53"/>
      <c r="AE35" s="53"/>
      <c r="AF35" s="53"/>
      <c r="AG35" s="53"/>
      <c r="AH35" s="53"/>
      <c r="AI35" s="53"/>
      <c r="AJ35" s="53"/>
      <c r="AK35" s="53"/>
      <c r="AL35" s="53"/>
      <c r="AM35" s="53"/>
      <c r="AN35" s="53"/>
      <c r="AO35" s="53"/>
      <c r="AP35" s="53"/>
      <c r="AQ35" s="53"/>
      <c r="AR35" s="53"/>
      <c r="AS35" s="53"/>
      <c r="AT35" s="53"/>
      <c r="AU35" s="53"/>
      <c r="AV35" s="53"/>
      <c r="AW35" s="53"/>
      <c r="AX35" s="53"/>
      <c r="AY35" s="53"/>
      <c r="AZ35" s="53"/>
      <c r="BA35" s="53"/>
      <c r="BB35" s="53"/>
      <c r="BC35" s="53"/>
      <c r="BD35" s="53"/>
      <c r="BE35" s="53"/>
      <c r="BF35" s="53"/>
      <c r="BG35" s="53"/>
      <c r="BH35" s="53"/>
      <c r="BI35" s="53"/>
      <c r="BJ35" s="53"/>
      <c r="BK35" s="53"/>
      <c r="BL35" s="53"/>
      <c r="BM35" s="53"/>
      <c r="BN35" s="53"/>
      <c r="BO35" s="53"/>
      <c r="BP35" s="53"/>
      <c r="BQ35" s="53"/>
      <c r="BR35" s="53"/>
      <c r="BS35" s="53"/>
      <c r="BT35" s="53"/>
      <c r="BU35" s="53"/>
      <c r="BV35" s="53"/>
      <c r="BW35" s="53"/>
      <c r="BX35" s="53"/>
      <c r="BY35" s="53"/>
      <c r="BZ35" s="53"/>
      <c r="CA35" s="53"/>
      <c r="CB35" s="53"/>
      <c r="CC35" s="53"/>
      <c r="CD35" s="53"/>
      <c r="CE35" s="53"/>
      <c r="CF35" s="53"/>
      <c r="CG35" s="53"/>
      <c r="CH35" s="53"/>
      <c r="CI35" s="53"/>
      <c r="CJ35" s="53"/>
      <c r="CK35" s="53"/>
      <c r="CL35" s="53"/>
      <c r="CM35" s="53"/>
      <c r="CN35" s="53"/>
      <c r="CO35" s="53"/>
      <c r="CP35" s="53"/>
      <c r="CQ35" s="53"/>
      <c r="CR35" s="53"/>
      <c r="CS35" s="53"/>
      <c r="CT35" s="53"/>
      <c r="CU35" s="53"/>
      <c r="CV35" s="53"/>
      <c r="CW35" s="53"/>
      <c r="CX35" s="53"/>
      <c r="CY35" s="53"/>
      <c r="CZ35" s="53"/>
      <c r="DA35" s="53"/>
    </row>
    <row r="36" spans="9:105">
      <c r="I36" s="53"/>
      <c r="J36" s="53"/>
      <c r="K36" s="53"/>
      <c r="L36" s="53"/>
      <c r="M36" s="53"/>
      <c r="N36" s="53"/>
      <c r="O36" s="53"/>
      <c r="P36" s="53"/>
      <c r="Q36" s="53"/>
      <c r="R36" s="53"/>
      <c r="S36" s="53"/>
      <c r="T36" s="53"/>
      <c r="U36" s="53"/>
      <c r="V36" s="53"/>
      <c r="W36" s="53"/>
      <c r="X36" s="53"/>
      <c r="Y36" s="53"/>
      <c r="Z36" s="53"/>
      <c r="AA36" s="53"/>
      <c r="AB36" s="53"/>
      <c r="AC36" s="53"/>
      <c r="AD36" s="53"/>
      <c r="AE36" s="53"/>
      <c r="AF36" s="53"/>
      <c r="AG36" s="53"/>
      <c r="AH36" s="53"/>
      <c r="AI36" s="53"/>
      <c r="AJ36" s="53"/>
      <c r="AK36" s="53"/>
      <c r="AL36" s="53"/>
      <c r="AM36" s="53"/>
      <c r="AN36" s="53"/>
      <c r="AO36" s="53"/>
      <c r="AP36" s="53"/>
      <c r="AQ36" s="53"/>
      <c r="AR36" s="53"/>
      <c r="AS36" s="53"/>
      <c r="AT36" s="53"/>
      <c r="AU36" s="53"/>
      <c r="AV36" s="53"/>
      <c r="AW36" s="53"/>
      <c r="AX36" s="53"/>
      <c r="AY36" s="53"/>
      <c r="AZ36" s="53"/>
      <c r="BA36" s="53"/>
      <c r="BB36" s="53"/>
      <c r="BC36" s="53"/>
      <c r="BD36" s="53"/>
      <c r="BE36" s="53"/>
      <c r="BF36" s="53"/>
      <c r="BG36" s="53"/>
      <c r="BH36" s="53"/>
      <c r="BI36" s="53"/>
      <c r="BJ36" s="53"/>
      <c r="BK36" s="53"/>
      <c r="BL36" s="53"/>
      <c r="BM36" s="53"/>
      <c r="BN36" s="53"/>
      <c r="BO36" s="53"/>
      <c r="BP36" s="53"/>
      <c r="BQ36" s="53"/>
      <c r="BR36" s="53"/>
      <c r="BS36" s="53"/>
      <c r="BT36" s="53"/>
      <c r="BU36" s="53"/>
      <c r="BV36" s="53"/>
      <c r="BW36" s="53"/>
      <c r="BX36" s="53"/>
      <c r="BY36" s="53"/>
      <c r="BZ36" s="53"/>
      <c r="CA36" s="53"/>
      <c r="CB36" s="53"/>
      <c r="CC36" s="53"/>
      <c r="CD36" s="53"/>
      <c r="CE36" s="53"/>
      <c r="CF36" s="53"/>
      <c r="CG36" s="53"/>
      <c r="CH36" s="53"/>
      <c r="CI36" s="53"/>
      <c r="CJ36" s="53"/>
      <c r="CK36" s="53"/>
      <c r="CL36" s="53"/>
      <c r="CM36" s="53"/>
      <c r="CN36" s="53"/>
      <c r="CO36" s="53"/>
      <c r="CP36" s="53"/>
      <c r="CQ36" s="53"/>
      <c r="CR36" s="53"/>
      <c r="CS36" s="53"/>
      <c r="CT36" s="53"/>
      <c r="CU36" s="53"/>
      <c r="CV36" s="53"/>
      <c r="CW36" s="53"/>
      <c r="CX36" s="53"/>
      <c r="CY36" s="53"/>
      <c r="CZ36" s="53"/>
      <c r="DA36" s="53"/>
    </row>
    <row r="37" spans="9:105">
      <c r="I37" s="53"/>
      <c r="J37" s="53"/>
      <c r="K37" s="53"/>
      <c r="L37" s="53"/>
      <c r="M37" s="53"/>
      <c r="N37" s="53"/>
      <c r="O37" s="53"/>
      <c r="P37" s="53"/>
      <c r="Q37" s="53"/>
      <c r="R37" s="53"/>
      <c r="S37" s="53"/>
      <c r="T37" s="53"/>
      <c r="U37" s="53"/>
      <c r="V37" s="53"/>
      <c r="W37" s="53"/>
      <c r="X37" s="53"/>
      <c r="Y37" s="53"/>
      <c r="Z37" s="53"/>
      <c r="AA37" s="53"/>
      <c r="AB37" s="53"/>
      <c r="AC37" s="53"/>
      <c r="AD37" s="53"/>
      <c r="AE37" s="53"/>
      <c r="AF37" s="53"/>
      <c r="AG37" s="53"/>
      <c r="AH37" s="53"/>
      <c r="AI37" s="53"/>
      <c r="AJ37" s="53"/>
      <c r="AK37" s="53"/>
      <c r="AL37" s="53"/>
      <c r="AM37" s="53"/>
      <c r="AN37" s="53"/>
      <c r="AO37" s="53"/>
      <c r="AP37" s="53"/>
      <c r="AQ37" s="53"/>
      <c r="AR37" s="53"/>
      <c r="AS37" s="53"/>
      <c r="AT37" s="53"/>
      <c r="AU37" s="53"/>
      <c r="AV37" s="53"/>
      <c r="AW37" s="53"/>
      <c r="AX37" s="53"/>
      <c r="AY37" s="53"/>
      <c r="AZ37" s="53"/>
      <c r="BA37" s="53"/>
      <c r="BB37" s="53"/>
      <c r="BC37" s="53"/>
      <c r="BD37" s="53"/>
      <c r="BE37" s="53"/>
      <c r="BF37" s="53"/>
      <c r="BG37" s="53"/>
      <c r="BH37" s="53"/>
      <c r="BI37" s="53"/>
      <c r="BJ37" s="53"/>
      <c r="BK37" s="53"/>
      <c r="BL37" s="53"/>
      <c r="BM37" s="53"/>
      <c r="BN37" s="53"/>
      <c r="BO37" s="53"/>
      <c r="BP37" s="53"/>
      <c r="BQ37" s="53"/>
      <c r="BR37" s="53"/>
      <c r="BS37" s="53"/>
      <c r="BT37" s="53"/>
      <c r="BU37" s="53"/>
      <c r="BV37" s="53"/>
      <c r="BW37" s="53"/>
      <c r="BX37" s="53"/>
      <c r="BY37" s="53"/>
      <c r="BZ37" s="53"/>
      <c r="CA37" s="53"/>
      <c r="CB37" s="53"/>
      <c r="CC37" s="53"/>
      <c r="CD37" s="53"/>
      <c r="CE37" s="53"/>
      <c r="CF37" s="53"/>
      <c r="CG37" s="53"/>
      <c r="CH37" s="53"/>
      <c r="CI37" s="53"/>
      <c r="CJ37" s="53"/>
      <c r="CK37" s="53"/>
      <c r="CL37" s="53"/>
      <c r="CM37" s="53"/>
      <c r="CN37" s="53"/>
      <c r="CO37" s="53"/>
      <c r="CP37" s="53"/>
      <c r="CQ37" s="53"/>
      <c r="CR37" s="53"/>
      <c r="CS37" s="53"/>
      <c r="CT37" s="53"/>
      <c r="CU37" s="53"/>
      <c r="CV37" s="53"/>
      <c r="CW37" s="53"/>
      <c r="CX37" s="53"/>
      <c r="CY37" s="53"/>
      <c r="CZ37" s="53"/>
      <c r="DA37" s="53"/>
    </row>
    <row r="38" spans="9:105">
      <c r="I38" s="53"/>
      <c r="J38" s="53"/>
      <c r="K38" s="53"/>
      <c r="L38" s="53"/>
      <c r="M38" s="53"/>
      <c r="N38" s="53"/>
      <c r="O38" s="53"/>
      <c r="P38" s="53"/>
      <c r="Q38" s="53"/>
      <c r="R38" s="53"/>
      <c r="S38" s="53"/>
      <c r="T38" s="53"/>
      <c r="U38" s="53"/>
      <c r="V38" s="53"/>
      <c r="W38" s="53"/>
      <c r="X38" s="53"/>
      <c r="Y38" s="53"/>
      <c r="Z38" s="53"/>
      <c r="AA38" s="53"/>
      <c r="AB38" s="53"/>
      <c r="AC38" s="53"/>
      <c r="AD38" s="53"/>
      <c r="AE38" s="53"/>
      <c r="AF38" s="53"/>
      <c r="AG38" s="53"/>
      <c r="AH38" s="53"/>
      <c r="AI38" s="53"/>
      <c r="AJ38" s="53"/>
      <c r="AK38" s="53"/>
      <c r="AL38" s="53"/>
      <c r="AM38" s="53"/>
      <c r="AN38" s="53"/>
      <c r="AO38" s="53"/>
      <c r="AP38" s="53"/>
      <c r="AQ38" s="53"/>
      <c r="AR38" s="53"/>
      <c r="AS38" s="53"/>
      <c r="AT38" s="53"/>
      <c r="AU38" s="53"/>
      <c r="AV38" s="53"/>
      <c r="AW38" s="53"/>
      <c r="AX38" s="53"/>
      <c r="AY38" s="53"/>
      <c r="AZ38" s="53"/>
      <c r="BA38" s="53"/>
      <c r="BB38" s="53"/>
      <c r="BC38" s="53"/>
      <c r="BD38" s="53"/>
      <c r="BE38" s="53"/>
      <c r="BF38" s="53"/>
      <c r="BG38" s="53"/>
      <c r="BH38" s="53"/>
      <c r="BI38" s="53"/>
      <c r="BJ38" s="53"/>
      <c r="BK38" s="53"/>
      <c r="BL38" s="53"/>
      <c r="BM38" s="53"/>
      <c r="BN38" s="53"/>
      <c r="BO38" s="53"/>
      <c r="BP38" s="53"/>
      <c r="BQ38" s="53"/>
      <c r="BR38" s="53"/>
      <c r="BS38" s="53"/>
      <c r="BT38" s="53"/>
      <c r="BU38" s="53"/>
      <c r="BV38" s="53"/>
      <c r="BW38" s="53"/>
      <c r="BX38" s="53"/>
      <c r="BY38" s="53"/>
      <c r="BZ38" s="53"/>
      <c r="CA38" s="53"/>
      <c r="CB38" s="53"/>
      <c r="CC38" s="53"/>
      <c r="CD38" s="53"/>
      <c r="CE38" s="53"/>
      <c r="CF38" s="53"/>
      <c r="CG38" s="53"/>
      <c r="CH38" s="53"/>
      <c r="CI38" s="53"/>
      <c r="CJ38" s="53"/>
      <c r="CK38" s="53"/>
      <c r="CL38" s="53"/>
      <c r="CM38" s="53"/>
      <c r="CN38" s="53"/>
      <c r="CO38" s="53"/>
      <c r="CP38" s="53"/>
      <c r="CQ38" s="53"/>
      <c r="CR38" s="53"/>
      <c r="CS38" s="53"/>
      <c r="CT38" s="53"/>
      <c r="CU38" s="53"/>
      <c r="CV38" s="53"/>
      <c r="CW38" s="53"/>
      <c r="CX38" s="53"/>
      <c r="CY38" s="53"/>
      <c r="CZ38" s="53"/>
      <c r="DA38" s="53"/>
    </row>
    <row r="39" spans="9:105">
      <c r="I39" s="53"/>
      <c r="J39" s="53"/>
      <c r="K39" s="53"/>
      <c r="L39" s="53"/>
      <c r="M39" s="53"/>
      <c r="N39" s="53"/>
      <c r="O39" s="53"/>
      <c r="P39" s="53"/>
      <c r="Q39" s="53"/>
      <c r="R39" s="53"/>
      <c r="S39" s="53"/>
      <c r="T39" s="53"/>
      <c r="U39" s="53"/>
      <c r="V39" s="53"/>
      <c r="W39" s="53"/>
      <c r="X39" s="53"/>
      <c r="Y39" s="53"/>
      <c r="Z39" s="53"/>
      <c r="AA39" s="53"/>
      <c r="AB39" s="53"/>
      <c r="AC39" s="53"/>
      <c r="AD39" s="53"/>
      <c r="AE39" s="53"/>
      <c r="AF39" s="53"/>
      <c r="AG39" s="53"/>
      <c r="AH39" s="53"/>
      <c r="AI39" s="53"/>
      <c r="AJ39" s="53"/>
      <c r="AK39" s="53"/>
      <c r="AL39" s="53"/>
      <c r="AM39" s="53"/>
      <c r="AN39" s="53"/>
      <c r="AO39" s="53"/>
      <c r="AP39" s="53"/>
      <c r="AQ39" s="53"/>
      <c r="AR39" s="53"/>
      <c r="AS39" s="53"/>
      <c r="AT39" s="53"/>
      <c r="AU39" s="53"/>
      <c r="AV39" s="53"/>
      <c r="AW39" s="53"/>
      <c r="AX39" s="53"/>
      <c r="AY39" s="53"/>
      <c r="AZ39" s="53"/>
      <c r="BA39" s="53"/>
      <c r="BB39" s="53"/>
      <c r="BC39" s="53"/>
      <c r="BD39" s="53"/>
      <c r="BE39" s="53"/>
      <c r="BF39" s="53"/>
      <c r="BG39" s="53"/>
      <c r="BH39" s="53"/>
      <c r="BI39" s="53"/>
      <c r="BJ39" s="53"/>
      <c r="BK39" s="53"/>
      <c r="BL39" s="53"/>
      <c r="BM39" s="53"/>
      <c r="BN39" s="53"/>
      <c r="BO39" s="53"/>
      <c r="BP39" s="53"/>
      <c r="BQ39" s="53"/>
      <c r="BR39" s="53"/>
      <c r="BS39" s="53"/>
      <c r="BT39" s="53"/>
      <c r="BU39" s="53"/>
      <c r="BV39" s="53"/>
      <c r="BW39" s="53"/>
      <c r="BX39" s="53"/>
      <c r="BY39" s="53"/>
      <c r="BZ39" s="53"/>
      <c r="CA39" s="53"/>
      <c r="CB39" s="53"/>
      <c r="CC39" s="53"/>
      <c r="CD39" s="53"/>
      <c r="CE39" s="53"/>
      <c r="CF39" s="53"/>
      <c r="CG39" s="53"/>
      <c r="CH39" s="53"/>
      <c r="CI39" s="53"/>
      <c r="CJ39" s="53"/>
      <c r="CK39" s="53"/>
      <c r="CL39" s="53"/>
      <c r="CM39" s="53"/>
      <c r="CN39" s="53"/>
      <c r="CO39" s="53"/>
      <c r="CP39" s="53"/>
      <c r="CQ39" s="53"/>
      <c r="CR39" s="53"/>
      <c r="CS39" s="53"/>
      <c r="CT39" s="53"/>
      <c r="CU39" s="53"/>
      <c r="CV39" s="53"/>
      <c r="CW39" s="53"/>
      <c r="CX39" s="53"/>
      <c r="CY39" s="53"/>
      <c r="CZ39" s="53"/>
      <c r="DA39" s="53"/>
    </row>
    <row r="40" spans="9:105">
      <c r="I40" s="53"/>
      <c r="J40" s="53"/>
      <c r="K40" s="53"/>
      <c r="L40" s="53"/>
      <c r="M40" s="53"/>
      <c r="N40" s="53"/>
      <c r="O40" s="53"/>
      <c r="P40" s="53"/>
      <c r="Q40" s="53"/>
      <c r="R40" s="53"/>
      <c r="S40" s="53"/>
      <c r="T40" s="53"/>
      <c r="U40" s="53"/>
      <c r="V40" s="53"/>
      <c r="W40" s="53"/>
      <c r="X40" s="53"/>
      <c r="Y40" s="53"/>
      <c r="Z40" s="53"/>
      <c r="AA40" s="53"/>
      <c r="AB40" s="53"/>
      <c r="AC40" s="53"/>
      <c r="AD40" s="53"/>
      <c r="AE40" s="53"/>
      <c r="AF40" s="53"/>
      <c r="AG40" s="53"/>
      <c r="AH40" s="53"/>
      <c r="AI40" s="53"/>
      <c r="AJ40" s="53"/>
      <c r="AK40" s="53"/>
      <c r="AL40" s="53"/>
      <c r="AM40" s="53"/>
      <c r="AN40" s="53"/>
      <c r="AO40" s="53"/>
      <c r="AP40" s="53"/>
      <c r="AQ40" s="53"/>
      <c r="AR40" s="53"/>
      <c r="AS40" s="53"/>
      <c r="AT40" s="53"/>
      <c r="AU40" s="53"/>
      <c r="AV40" s="53"/>
      <c r="AW40" s="53"/>
      <c r="AX40" s="53"/>
      <c r="AY40" s="53"/>
      <c r="AZ40" s="53"/>
      <c r="BA40" s="53"/>
      <c r="BB40" s="53"/>
      <c r="BC40" s="53"/>
      <c r="BD40" s="53"/>
      <c r="BE40" s="53"/>
      <c r="BF40" s="53"/>
      <c r="BG40" s="53"/>
      <c r="BH40" s="53"/>
      <c r="BI40" s="53"/>
      <c r="BJ40" s="53"/>
      <c r="BK40" s="53"/>
      <c r="BL40" s="53"/>
      <c r="BM40" s="53"/>
      <c r="BN40" s="53"/>
      <c r="BO40" s="53"/>
      <c r="BP40" s="53"/>
      <c r="BQ40" s="53"/>
      <c r="BR40" s="53"/>
      <c r="BS40" s="53"/>
      <c r="BT40" s="53"/>
      <c r="BU40" s="53"/>
      <c r="BV40" s="53"/>
      <c r="BW40" s="53"/>
      <c r="BX40" s="53"/>
      <c r="BY40" s="53"/>
      <c r="BZ40" s="53"/>
      <c r="CA40" s="53"/>
      <c r="CB40" s="53"/>
      <c r="CC40" s="53"/>
      <c r="CD40" s="53"/>
      <c r="CE40" s="53"/>
      <c r="CF40" s="53"/>
      <c r="CG40" s="53"/>
      <c r="CH40" s="53"/>
      <c r="CI40" s="53"/>
      <c r="CJ40" s="53"/>
      <c r="CK40" s="53"/>
      <c r="CL40" s="53"/>
      <c r="CM40" s="53"/>
      <c r="CN40" s="53"/>
      <c r="CO40" s="53"/>
      <c r="CP40" s="53"/>
      <c r="CQ40" s="53"/>
      <c r="CR40" s="53"/>
      <c r="CS40" s="53"/>
      <c r="CT40" s="53"/>
      <c r="CU40" s="53"/>
      <c r="CV40" s="53"/>
      <c r="CW40" s="53"/>
      <c r="CX40" s="53"/>
      <c r="CY40" s="53"/>
      <c r="CZ40" s="53"/>
      <c r="DA40" s="53"/>
    </row>
    <row r="41" spans="9:105">
      <c r="I41" s="53"/>
      <c r="J41" s="53"/>
      <c r="K41" s="53"/>
      <c r="L41" s="53"/>
      <c r="M41" s="53"/>
      <c r="N41" s="53"/>
      <c r="O41" s="53"/>
      <c r="P41" s="53"/>
      <c r="Q41" s="53"/>
      <c r="R41" s="53"/>
      <c r="S41" s="53"/>
      <c r="T41" s="53"/>
      <c r="U41" s="53"/>
      <c r="V41" s="53"/>
      <c r="W41" s="53"/>
      <c r="X41" s="53"/>
      <c r="Y41" s="53"/>
      <c r="Z41" s="53"/>
      <c r="AA41" s="53"/>
      <c r="AB41" s="53"/>
      <c r="AC41" s="53"/>
      <c r="AD41" s="53"/>
      <c r="AE41" s="53"/>
      <c r="AF41" s="53"/>
      <c r="AG41" s="53"/>
      <c r="AH41" s="53"/>
      <c r="AI41" s="53"/>
      <c r="AJ41" s="53"/>
      <c r="AK41" s="53"/>
      <c r="AL41" s="53"/>
      <c r="AM41" s="53"/>
      <c r="AN41" s="53"/>
      <c r="AO41" s="53"/>
      <c r="AP41" s="53"/>
      <c r="AQ41" s="53"/>
      <c r="AR41" s="53"/>
      <c r="AS41" s="53"/>
      <c r="AT41" s="53"/>
      <c r="AU41" s="53"/>
      <c r="AV41" s="53"/>
      <c r="AW41" s="53"/>
      <c r="AX41" s="53"/>
      <c r="AY41" s="53"/>
      <c r="AZ41" s="53"/>
      <c r="BA41" s="53"/>
      <c r="BB41" s="53"/>
      <c r="BC41" s="53"/>
      <c r="BD41" s="53"/>
      <c r="BE41" s="53"/>
      <c r="BF41" s="53"/>
      <c r="BG41" s="53"/>
      <c r="BH41" s="53"/>
      <c r="BI41" s="53"/>
      <c r="BJ41" s="53"/>
      <c r="BK41" s="53"/>
      <c r="BL41" s="53"/>
      <c r="BM41" s="53"/>
      <c r="BN41" s="53"/>
      <c r="BO41" s="53"/>
      <c r="BP41" s="53"/>
      <c r="BQ41" s="53"/>
      <c r="BR41" s="53"/>
      <c r="BS41" s="53"/>
      <c r="BT41" s="53"/>
      <c r="BU41" s="53"/>
      <c r="BV41" s="53"/>
      <c r="BW41" s="53"/>
      <c r="BX41" s="53"/>
      <c r="BY41" s="53"/>
      <c r="BZ41" s="53"/>
      <c r="CA41" s="53"/>
      <c r="CB41" s="53"/>
      <c r="CC41" s="53"/>
      <c r="CD41" s="53"/>
      <c r="CE41" s="53"/>
      <c r="CF41" s="53"/>
      <c r="CG41" s="53"/>
      <c r="CH41" s="53"/>
      <c r="CI41" s="53"/>
      <c r="CJ41" s="53"/>
      <c r="CK41" s="53"/>
      <c r="CL41" s="53"/>
      <c r="CM41" s="53"/>
      <c r="CN41" s="53"/>
      <c r="CO41" s="53"/>
      <c r="CP41" s="53"/>
      <c r="CQ41" s="53"/>
      <c r="CR41" s="53"/>
      <c r="CS41" s="53"/>
      <c r="CT41" s="53"/>
      <c r="CU41" s="53"/>
      <c r="CV41" s="53"/>
      <c r="CW41" s="53"/>
      <c r="CX41" s="53"/>
      <c r="CY41" s="53"/>
      <c r="CZ41" s="53"/>
      <c r="DA41" s="53"/>
    </row>
    <row r="42" spans="9:105">
      <c r="I42" s="53"/>
      <c r="J42" s="53"/>
      <c r="K42" s="53"/>
      <c r="L42" s="53"/>
      <c r="M42" s="53"/>
      <c r="N42" s="53"/>
      <c r="O42" s="53"/>
      <c r="P42" s="53"/>
      <c r="Q42" s="53"/>
      <c r="R42" s="53"/>
      <c r="S42" s="53"/>
      <c r="T42" s="53"/>
      <c r="U42" s="53"/>
      <c r="V42" s="53"/>
      <c r="W42" s="53"/>
      <c r="X42" s="53"/>
      <c r="Y42" s="53"/>
      <c r="Z42" s="53"/>
      <c r="AA42" s="53"/>
      <c r="AB42" s="53"/>
      <c r="AC42" s="53"/>
      <c r="AD42" s="53"/>
      <c r="AE42" s="53"/>
      <c r="AF42" s="53"/>
      <c r="AG42" s="53"/>
      <c r="AH42" s="53"/>
      <c r="AI42" s="53"/>
      <c r="AJ42" s="53"/>
      <c r="AK42" s="53"/>
      <c r="AL42" s="53"/>
      <c r="AM42" s="53"/>
      <c r="AN42" s="53"/>
      <c r="AO42" s="53"/>
      <c r="AP42" s="53"/>
      <c r="AQ42" s="53"/>
      <c r="AR42" s="53"/>
      <c r="AS42" s="53"/>
      <c r="AT42" s="53"/>
      <c r="AU42" s="53"/>
      <c r="AV42" s="53"/>
      <c r="AW42" s="53"/>
      <c r="AX42" s="53"/>
      <c r="AY42" s="53"/>
      <c r="AZ42" s="53"/>
      <c r="BA42" s="53"/>
      <c r="BB42" s="53"/>
      <c r="BC42" s="53"/>
      <c r="BD42" s="53"/>
      <c r="BE42" s="53"/>
      <c r="BF42" s="53"/>
      <c r="BG42" s="53"/>
      <c r="BH42" s="53"/>
      <c r="BI42" s="53"/>
      <c r="BJ42" s="53"/>
      <c r="BK42" s="53"/>
      <c r="BL42" s="53"/>
      <c r="BM42" s="53"/>
      <c r="BN42" s="53"/>
      <c r="BO42" s="53"/>
      <c r="BP42" s="53"/>
      <c r="BQ42" s="53"/>
      <c r="BR42" s="53"/>
      <c r="BS42" s="53"/>
      <c r="BT42" s="53"/>
      <c r="BU42" s="53"/>
      <c r="BV42" s="53"/>
      <c r="BW42" s="53"/>
      <c r="BX42" s="53"/>
      <c r="BY42" s="53"/>
      <c r="BZ42" s="53"/>
      <c r="CA42" s="53"/>
      <c r="CB42" s="53"/>
      <c r="CC42" s="53"/>
      <c r="CD42" s="53"/>
      <c r="CE42" s="53"/>
      <c r="CF42" s="53"/>
      <c r="CG42" s="53"/>
      <c r="CH42" s="53"/>
      <c r="CI42" s="53"/>
      <c r="CJ42" s="53"/>
      <c r="CK42" s="53"/>
      <c r="CL42" s="53"/>
      <c r="CM42" s="53"/>
      <c r="CN42" s="53"/>
      <c r="CO42" s="53"/>
      <c r="CP42" s="53"/>
      <c r="CQ42" s="53"/>
      <c r="CR42" s="53"/>
      <c r="CS42" s="53"/>
      <c r="CT42" s="53"/>
      <c r="CU42" s="53"/>
      <c r="CV42" s="53"/>
      <c r="CW42" s="53"/>
      <c r="CX42" s="53"/>
      <c r="CY42" s="53"/>
      <c r="CZ42" s="53"/>
      <c r="DA42" s="53"/>
    </row>
    <row r="43" spans="9:105">
      <c r="I43" s="53"/>
      <c r="J43" s="53"/>
      <c r="K43" s="53"/>
      <c r="L43" s="53"/>
      <c r="M43" s="53"/>
      <c r="N43" s="53"/>
      <c r="O43" s="53"/>
      <c r="P43" s="53"/>
      <c r="Q43" s="53"/>
      <c r="R43" s="53"/>
      <c r="S43" s="53"/>
      <c r="T43" s="53"/>
      <c r="U43" s="53"/>
      <c r="V43" s="53"/>
      <c r="W43" s="53"/>
      <c r="X43" s="53"/>
      <c r="Y43" s="53"/>
      <c r="Z43" s="53"/>
      <c r="AA43" s="53"/>
      <c r="AB43" s="53"/>
      <c r="AC43" s="53"/>
      <c r="AD43" s="53"/>
      <c r="AE43" s="53"/>
      <c r="AF43" s="53"/>
      <c r="AG43" s="53"/>
      <c r="AH43" s="53"/>
      <c r="AI43" s="53"/>
      <c r="AJ43" s="53"/>
      <c r="AK43" s="53"/>
      <c r="AL43" s="53"/>
      <c r="AM43" s="53"/>
      <c r="AN43" s="53"/>
      <c r="AO43" s="53"/>
      <c r="AP43" s="53"/>
      <c r="AQ43" s="53"/>
      <c r="AR43" s="53"/>
      <c r="AS43" s="53"/>
      <c r="AT43" s="53"/>
      <c r="AU43" s="53"/>
      <c r="AV43" s="53"/>
      <c r="AW43" s="53"/>
      <c r="AX43" s="53"/>
      <c r="AY43" s="53"/>
      <c r="AZ43" s="53"/>
      <c r="BA43" s="53"/>
      <c r="BB43" s="53"/>
      <c r="BC43" s="53"/>
      <c r="BD43" s="53"/>
      <c r="BE43" s="53"/>
      <c r="BF43" s="53"/>
      <c r="BG43" s="53"/>
      <c r="BH43" s="53"/>
      <c r="BI43" s="53"/>
      <c r="BJ43" s="53"/>
      <c r="BK43" s="53"/>
      <c r="BL43" s="53"/>
      <c r="BM43" s="53"/>
      <c r="BN43" s="53"/>
      <c r="BO43" s="53"/>
      <c r="BP43" s="53"/>
      <c r="BQ43" s="53"/>
      <c r="BR43" s="53"/>
      <c r="BS43" s="53"/>
      <c r="BT43" s="53"/>
      <c r="BU43" s="53"/>
      <c r="BV43" s="53"/>
      <c r="BW43" s="53"/>
      <c r="BX43" s="53"/>
      <c r="BY43" s="53"/>
      <c r="BZ43" s="53"/>
      <c r="CA43" s="53"/>
      <c r="CB43" s="53"/>
      <c r="CC43" s="53"/>
      <c r="CD43" s="53"/>
      <c r="CE43" s="53"/>
      <c r="CF43" s="53"/>
      <c r="CG43" s="53"/>
      <c r="CH43" s="53"/>
      <c r="CI43" s="53"/>
      <c r="CJ43" s="53"/>
      <c r="CK43" s="53"/>
      <c r="CL43" s="53"/>
      <c r="CM43" s="53"/>
      <c r="CN43" s="53"/>
      <c r="CO43" s="53"/>
      <c r="CP43" s="53"/>
      <c r="CQ43" s="53"/>
      <c r="CR43" s="53"/>
      <c r="CS43" s="53"/>
      <c r="CT43" s="53"/>
      <c r="CU43" s="53"/>
      <c r="CV43" s="53"/>
      <c r="CW43" s="53"/>
      <c r="CX43" s="53"/>
      <c r="CY43" s="53"/>
      <c r="CZ43" s="53"/>
      <c r="DA43" s="53"/>
    </row>
    <row r="44" spans="9:105">
      <c r="I44" s="53"/>
      <c r="J44" s="53"/>
      <c r="K44" s="53"/>
      <c r="L44" s="53"/>
      <c r="M44" s="53"/>
      <c r="N44" s="53"/>
      <c r="O44" s="53"/>
      <c r="P44" s="53"/>
      <c r="Q44" s="53"/>
      <c r="R44" s="53"/>
      <c r="S44" s="53"/>
      <c r="T44" s="53"/>
      <c r="U44" s="53"/>
      <c r="V44" s="53"/>
      <c r="W44" s="53"/>
      <c r="X44" s="53"/>
      <c r="Y44" s="53"/>
      <c r="Z44" s="53"/>
      <c r="AA44" s="53"/>
      <c r="AB44" s="53"/>
      <c r="AC44" s="53"/>
      <c r="AD44" s="53"/>
      <c r="AE44" s="53"/>
      <c r="AF44" s="53"/>
      <c r="AG44" s="53"/>
      <c r="AH44" s="53"/>
      <c r="AI44" s="53"/>
      <c r="AJ44" s="53"/>
      <c r="AK44" s="53"/>
      <c r="AL44" s="53"/>
      <c r="AM44" s="53"/>
      <c r="AN44" s="53"/>
      <c r="AO44" s="53"/>
      <c r="AP44" s="53"/>
      <c r="AQ44" s="53"/>
      <c r="AR44" s="53"/>
      <c r="AS44" s="53"/>
      <c r="AT44" s="53"/>
      <c r="AU44" s="53"/>
      <c r="AV44" s="53"/>
      <c r="AW44" s="53"/>
      <c r="AX44" s="53"/>
      <c r="AY44" s="53"/>
      <c r="AZ44" s="53"/>
      <c r="BA44" s="53"/>
      <c r="BB44" s="53"/>
      <c r="BC44" s="53"/>
      <c r="BD44" s="53"/>
      <c r="BE44" s="53"/>
      <c r="BF44" s="53"/>
      <c r="BG44" s="53"/>
      <c r="BH44" s="53"/>
      <c r="BI44" s="53"/>
      <c r="BJ44" s="53"/>
      <c r="BK44" s="53"/>
      <c r="BL44" s="53"/>
      <c r="BM44" s="53"/>
      <c r="BN44" s="53"/>
      <c r="BO44" s="53"/>
      <c r="BP44" s="53"/>
      <c r="BQ44" s="53"/>
      <c r="BR44" s="53"/>
      <c r="BS44" s="53"/>
      <c r="BT44" s="53"/>
      <c r="BU44" s="53"/>
      <c r="BV44" s="53"/>
      <c r="BW44" s="53"/>
      <c r="BX44" s="53"/>
      <c r="BY44" s="53"/>
      <c r="BZ44" s="53"/>
      <c r="CA44" s="53"/>
      <c r="CB44" s="53"/>
      <c r="CC44" s="53"/>
      <c r="CD44" s="53"/>
      <c r="CE44" s="53"/>
      <c r="CF44" s="53"/>
      <c r="CG44" s="53"/>
      <c r="CH44" s="53"/>
      <c r="CI44" s="53"/>
      <c r="CJ44" s="53"/>
      <c r="CK44" s="53"/>
      <c r="CL44" s="53"/>
      <c r="CM44" s="53"/>
      <c r="CN44" s="53"/>
      <c r="CO44" s="53"/>
      <c r="CP44" s="53"/>
      <c r="CQ44" s="53"/>
      <c r="CR44" s="53"/>
      <c r="CS44" s="53"/>
      <c r="CT44" s="53"/>
      <c r="CU44" s="53"/>
      <c r="CV44" s="53"/>
      <c r="CW44" s="53"/>
      <c r="CX44" s="53"/>
      <c r="CY44" s="53"/>
      <c r="CZ44" s="53"/>
      <c r="DA44" s="53"/>
    </row>
    <row r="45" spans="9:105">
      <c r="I45" s="53"/>
      <c r="J45" s="53"/>
      <c r="K45" s="53"/>
      <c r="L45" s="53"/>
      <c r="M45" s="53"/>
      <c r="N45" s="53"/>
      <c r="O45" s="53"/>
      <c r="P45" s="53"/>
      <c r="Q45" s="53"/>
      <c r="R45" s="53"/>
      <c r="S45" s="53"/>
      <c r="T45" s="53"/>
      <c r="U45" s="53"/>
      <c r="V45" s="53"/>
      <c r="W45" s="53"/>
      <c r="X45" s="53"/>
      <c r="Y45" s="53"/>
      <c r="Z45" s="53"/>
      <c r="AA45" s="53"/>
      <c r="AB45" s="53"/>
      <c r="AC45" s="53"/>
      <c r="AD45" s="53"/>
      <c r="AE45" s="53"/>
      <c r="AF45" s="53"/>
      <c r="AG45" s="53"/>
      <c r="AH45" s="53"/>
      <c r="AI45" s="53"/>
      <c r="AJ45" s="53"/>
      <c r="AK45" s="53"/>
      <c r="AL45" s="53"/>
      <c r="AM45" s="53"/>
      <c r="AN45" s="53"/>
      <c r="AO45" s="53"/>
      <c r="AP45" s="53"/>
      <c r="AQ45" s="53"/>
      <c r="AR45" s="53"/>
      <c r="AS45" s="53"/>
      <c r="AT45" s="53"/>
      <c r="AU45" s="53"/>
      <c r="AV45" s="53"/>
      <c r="AW45" s="53"/>
      <c r="AX45" s="53"/>
      <c r="AY45" s="53"/>
      <c r="AZ45" s="53"/>
      <c r="BA45" s="53"/>
      <c r="BB45" s="53"/>
      <c r="BC45" s="53"/>
      <c r="BD45" s="53"/>
      <c r="BE45" s="53"/>
      <c r="BF45" s="53"/>
      <c r="BG45" s="53"/>
      <c r="BH45" s="53"/>
      <c r="BI45" s="53"/>
      <c r="BJ45" s="53"/>
      <c r="BK45" s="53"/>
      <c r="BL45" s="53"/>
      <c r="BM45" s="53"/>
      <c r="BN45" s="53"/>
      <c r="BO45" s="53"/>
      <c r="BP45" s="53"/>
      <c r="BQ45" s="53"/>
      <c r="BR45" s="53"/>
      <c r="BS45" s="53"/>
      <c r="BT45" s="53"/>
      <c r="BU45" s="53"/>
      <c r="BV45" s="53"/>
      <c r="BW45" s="53"/>
      <c r="BX45" s="53"/>
      <c r="BY45" s="53"/>
      <c r="BZ45" s="53"/>
      <c r="CA45" s="53"/>
      <c r="CB45" s="53"/>
      <c r="CC45" s="53"/>
      <c r="CD45" s="53"/>
      <c r="CE45" s="53"/>
      <c r="CF45" s="53"/>
      <c r="CG45" s="53"/>
      <c r="CH45" s="53"/>
      <c r="CI45" s="53"/>
      <c r="CJ45" s="53"/>
      <c r="CK45" s="53"/>
      <c r="CL45" s="53"/>
      <c r="CM45" s="53"/>
      <c r="CN45" s="53"/>
      <c r="CO45" s="53"/>
      <c r="CP45" s="53"/>
      <c r="CQ45" s="53"/>
      <c r="CR45" s="53"/>
      <c r="CS45" s="53"/>
      <c r="CT45" s="53"/>
      <c r="CU45" s="53"/>
      <c r="CV45" s="53"/>
      <c r="CW45" s="53"/>
      <c r="CX45" s="53"/>
      <c r="CY45" s="53"/>
      <c r="CZ45" s="53"/>
      <c r="DA45" s="53"/>
    </row>
    <row r="46" spans="9:105">
      <c r="I46" s="53"/>
      <c r="K46" s="53"/>
      <c r="L46" s="53"/>
      <c r="M46" s="53"/>
      <c r="N46" s="53"/>
      <c r="O46" s="53"/>
      <c r="P46" s="53"/>
      <c r="Q46" s="53"/>
      <c r="R46" s="53"/>
      <c r="S46" s="53"/>
      <c r="T46" s="53"/>
      <c r="U46" s="53"/>
      <c r="V46" s="53"/>
      <c r="W46" s="53"/>
      <c r="X46" s="53"/>
      <c r="Y46" s="53"/>
      <c r="Z46" s="53"/>
      <c r="AA46" s="53"/>
      <c r="AB46" s="53"/>
      <c r="AC46" s="53"/>
      <c r="AD46" s="53"/>
      <c r="AE46" s="53"/>
      <c r="AF46" s="53"/>
      <c r="AG46" s="53"/>
      <c r="AH46" s="53"/>
      <c r="AI46" s="53"/>
      <c r="AJ46" s="53"/>
      <c r="AK46" s="53"/>
      <c r="AL46" s="53"/>
      <c r="AM46" s="53"/>
      <c r="AN46" s="53"/>
      <c r="AO46" s="53"/>
      <c r="AP46" s="53"/>
      <c r="AQ46" s="53"/>
      <c r="AR46" s="53"/>
      <c r="AS46" s="53"/>
      <c r="AT46" s="53"/>
      <c r="AU46" s="53"/>
      <c r="AV46" s="53"/>
      <c r="AW46" s="53"/>
      <c r="AX46" s="53"/>
      <c r="AY46" s="53"/>
      <c r="AZ46" s="53"/>
      <c r="BA46" s="53"/>
      <c r="BB46" s="53"/>
      <c r="BC46" s="53"/>
      <c r="BD46" s="53"/>
      <c r="BE46" s="53"/>
      <c r="BF46" s="53"/>
      <c r="BG46" s="53"/>
      <c r="BH46" s="53"/>
      <c r="BI46" s="53"/>
      <c r="BJ46" s="53"/>
      <c r="BK46" s="53"/>
      <c r="BL46" s="53"/>
      <c r="BM46" s="53"/>
      <c r="BN46" s="53"/>
      <c r="BO46" s="53"/>
      <c r="BP46" s="53"/>
      <c r="BQ46" s="53"/>
      <c r="BR46" s="53"/>
      <c r="BS46" s="53"/>
      <c r="BT46" s="53"/>
      <c r="BU46" s="53"/>
      <c r="BV46" s="53"/>
      <c r="BW46" s="53"/>
      <c r="BX46" s="53"/>
      <c r="BY46" s="53"/>
      <c r="BZ46" s="53"/>
      <c r="CA46" s="53"/>
      <c r="CB46" s="53"/>
      <c r="CC46" s="53"/>
      <c r="CD46" s="53"/>
      <c r="CE46" s="53"/>
      <c r="CF46" s="53"/>
      <c r="CG46" s="53"/>
      <c r="CH46" s="53"/>
      <c r="CI46" s="53"/>
      <c r="CJ46" s="53"/>
      <c r="CK46" s="53"/>
      <c r="CL46" s="53"/>
      <c r="CM46" s="53"/>
      <c r="CN46" s="53"/>
      <c r="CO46" s="53"/>
      <c r="CP46" s="53"/>
      <c r="CQ46" s="53"/>
      <c r="CR46" s="53"/>
      <c r="CS46" s="53"/>
      <c r="CT46" s="53"/>
      <c r="CU46" s="53"/>
      <c r="CV46" s="53"/>
      <c r="CW46" s="53"/>
      <c r="CX46" s="53"/>
      <c r="CY46" s="53"/>
      <c r="CZ46" s="53"/>
      <c r="DA46" s="53"/>
    </row>
    <row r="47" spans="9:105">
      <c r="I47" s="53"/>
      <c r="K47" s="53"/>
      <c r="L47" s="53"/>
      <c r="M47" s="53"/>
      <c r="N47" s="53"/>
      <c r="O47" s="53"/>
      <c r="P47" s="53"/>
      <c r="Q47" s="53"/>
      <c r="R47" s="53"/>
      <c r="S47" s="53"/>
      <c r="T47" s="53"/>
      <c r="U47" s="53"/>
      <c r="V47" s="53"/>
      <c r="W47" s="53"/>
      <c r="X47" s="53"/>
      <c r="Y47" s="53"/>
      <c r="Z47" s="53"/>
      <c r="AA47" s="53"/>
      <c r="AB47" s="53"/>
      <c r="AC47" s="53"/>
      <c r="AD47" s="53"/>
      <c r="AE47" s="53"/>
      <c r="AF47" s="53"/>
      <c r="AG47" s="53"/>
      <c r="AH47" s="53"/>
      <c r="AI47" s="53"/>
      <c r="AJ47" s="53"/>
      <c r="AK47" s="53"/>
      <c r="AL47" s="53"/>
      <c r="AM47" s="53"/>
      <c r="AN47" s="53"/>
      <c r="AO47" s="53"/>
      <c r="AP47" s="53"/>
      <c r="AQ47" s="53"/>
      <c r="AR47" s="53"/>
      <c r="AS47" s="53"/>
      <c r="AT47" s="53"/>
      <c r="AU47" s="53"/>
      <c r="AV47" s="53"/>
      <c r="AW47" s="53"/>
      <c r="AX47" s="53"/>
      <c r="AY47" s="53"/>
      <c r="AZ47" s="53"/>
      <c r="BA47" s="53"/>
      <c r="BB47" s="53"/>
      <c r="BC47" s="53"/>
      <c r="BD47" s="53"/>
      <c r="BE47" s="53"/>
      <c r="BF47" s="53"/>
      <c r="BG47" s="53"/>
      <c r="BH47" s="53"/>
      <c r="BI47" s="53"/>
      <c r="BJ47" s="53"/>
      <c r="BK47" s="53"/>
      <c r="BL47" s="53"/>
      <c r="BM47" s="53"/>
      <c r="BN47" s="53"/>
      <c r="BO47" s="53"/>
      <c r="BP47" s="53"/>
      <c r="BQ47" s="53"/>
      <c r="BR47" s="53"/>
      <c r="BS47" s="53"/>
      <c r="BT47" s="53"/>
      <c r="BU47" s="53"/>
      <c r="BV47" s="53"/>
      <c r="BW47" s="53"/>
      <c r="BX47" s="53"/>
      <c r="BY47" s="53"/>
      <c r="BZ47" s="53"/>
      <c r="CA47" s="53"/>
      <c r="CB47" s="53"/>
      <c r="CC47" s="53"/>
      <c r="CD47" s="53"/>
      <c r="CE47" s="53"/>
      <c r="CF47" s="53"/>
      <c r="CG47" s="53"/>
      <c r="CH47" s="53"/>
      <c r="CI47" s="53"/>
      <c r="CJ47" s="53"/>
      <c r="CK47" s="53"/>
      <c r="CL47" s="53"/>
      <c r="CM47" s="53"/>
      <c r="CN47" s="53"/>
      <c r="CO47" s="53"/>
      <c r="CP47" s="53"/>
      <c r="CQ47" s="53"/>
      <c r="CR47" s="53"/>
      <c r="CS47" s="53"/>
      <c r="CT47" s="53"/>
      <c r="CU47" s="53"/>
      <c r="CV47" s="53"/>
      <c r="CW47" s="53"/>
      <c r="CX47" s="53"/>
      <c r="CY47" s="53"/>
      <c r="CZ47" s="53"/>
      <c r="DA47" s="53"/>
    </row>
    <row r="48" spans="9:105">
      <c r="I48" s="53"/>
      <c r="K48" s="53"/>
      <c r="L48" s="53"/>
      <c r="M48" s="53"/>
      <c r="N48" s="53"/>
      <c r="O48" s="53"/>
      <c r="P48" s="53"/>
      <c r="Q48" s="53"/>
      <c r="R48" s="53"/>
      <c r="S48" s="53"/>
      <c r="T48" s="53"/>
      <c r="U48" s="53"/>
      <c r="V48" s="53"/>
      <c r="W48" s="53"/>
      <c r="X48" s="53"/>
      <c r="Y48" s="53"/>
      <c r="Z48" s="53"/>
      <c r="AA48" s="53"/>
      <c r="AB48" s="53"/>
      <c r="AC48" s="53"/>
      <c r="AD48" s="53"/>
      <c r="AE48" s="53"/>
      <c r="AF48" s="53"/>
      <c r="AG48" s="53"/>
      <c r="AH48" s="53"/>
      <c r="AI48" s="53"/>
      <c r="AJ48" s="53"/>
      <c r="AK48" s="53"/>
      <c r="AL48" s="53"/>
      <c r="AM48" s="53"/>
      <c r="AN48" s="53"/>
      <c r="AO48" s="53"/>
      <c r="AP48" s="53"/>
      <c r="AQ48" s="53"/>
      <c r="AR48" s="53"/>
      <c r="AS48" s="53"/>
      <c r="AT48" s="53"/>
      <c r="AU48" s="53"/>
      <c r="AV48" s="53"/>
      <c r="AW48" s="53"/>
      <c r="AX48" s="53"/>
      <c r="AY48" s="53"/>
      <c r="AZ48" s="53"/>
      <c r="BA48" s="53"/>
      <c r="BB48" s="53"/>
      <c r="BC48" s="53"/>
      <c r="BD48" s="53"/>
      <c r="BE48" s="53"/>
      <c r="BF48" s="53"/>
      <c r="BG48" s="53"/>
      <c r="BH48" s="53"/>
      <c r="BI48" s="53"/>
      <c r="BJ48" s="53"/>
      <c r="BK48" s="53"/>
      <c r="BL48" s="53"/>
      <c r="BM48" s="53"/>
      <c r="BN48" s="53"/>
      <c r="BO48" s="53"/>
      <c r="BP48" s="53"/>
      <c r="BQ48" s="53"/>
      <c r="BR48" s="53"/>
      <c r="BS48" s="53"/>
      <c r="BT48" s="53"/>
      <c r="BU48" s="53"/>
      <c r="BV48" s="53"/>
      <c r="BW48" s="53"/>
      <c r="BX48" s="53"/>
      <c r="BY48" s="53"/>
      <c r="BZ48" s="53"/>
      <c r="CA48" s="53"/>
      <c r="CB48" s="53"/>
      <c r="CC48" s="53"/>
      <c r="CD48" s="53"/>
      <c r="CE48" s="53"/>
      <c r="CF48" s="53"/>
      <c r="CG48" s="53"/>
      <c r="CH48" s="53"/>
      <c r="CI48" s="53"/>
      <c r="CJ48" s="53"/>
      <c r="CK48" s="53"/>
      <c r="CL48" s="53"/>
      <c r="CM48" s="53"/>
      <c r="CN48" s="53"/>
      <c r="CO48" s="53"/>
      <c r="CP48" s="53"/>
      <c r="CQ48" s="53"/>
      <c r="CR48" s="53"/>
      <c r="CS48" s="53"/>
      <c r="CT48" s="53"/>
      <c r="CU48" s="53"/>
      <c r="CV48" s="53"/>
      <c r="CW48" s="53"/>
      <c r="CX48" s="53"/>
      <c r="CY48" s="53"/>
      <c r="CZ48" s="53"/>
      <c r="DA48" s="53"/>
    </row>
  </sheetData>
  <mergeCells count="25">
    <mergeCell ref="A1:H1"/>
    <mergeCell ref="A2:H2"/>
    <mergeCell ref="A3:H3"/>
    <mergeCell ref="A4:C4"/>
    <mergeCell ref="A5:C5"/>
    <mergeCell ref="A7:H7"/>
    <mergeCell ref="G8:H8"/>
    <mergeCell ref="A13:C13"/>
    <mergeCell ref="A14:H14"/>
    <mergeCell ref="E15:H15"/>
    <mergeCell ref="E22:H22"/>
    <mergeCell ref="F23:H23"/>
    <mergeCell ref="A9:A10"/>
    <mergeCell ref="B9:B10"/>
    <mergeCell ref="C9:C10"/>
    <mergeCell ref="D9:D10"/>
    <mergeCell ref="E9:E10"/>
    <mergeCell ref="F9:F10"/>
    <mergeCell ref="G9:G10"/>
    <mergeCell ref="H9:H10"/>
    <mergeCell ref="A17:C17"/>
    <mergeCell ref="E20:F20"/>
    <mergeCell ref="G20:H20"/>
    <mergeCell ref="A21:B21"/>
    <mergeCell ref="F21:H21"/>
  </mergeCells>
  <printOptions horizontalCentered="1"/>
  <pageMargins left="0.118110236220472" right="0" top="0.27559055118110198" bottom="0.196850393700787" header="0.196850393700787" footer="0.196850393700787"/>
  <pageSetup fitToHeight="0" orientation="landscape" r:id="rId1"/>
  <headerFooter alignWithMargins="0"/>
  <drawing r:id="rId2"/>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249977111117893"/>
  </sheetPr>
  <dimension ref="A1:AK30"/>
  <sheetViews>
    <sheetView workbookViewId="0">
      <selection sqref="A1:K1"/>
    </sheetView>
  </sheetViews>
  <sheetFormatPr defaultColWidth="9.140625" defaultRowHeight="12.75"/>
  <cols>
    <col min="1" max="1" width="3.5703125" style="352" customWidth="1"/>
    <col min="2" max="2" width="12.28515625" style="352" customWidth="1"/>
    <col min="3" max="3" width="14.140625" style="352" hidden="1" customWidth="1"/>
    <col min="4" max="5" width="4.42578125" style="352" customWidth="1"/>
    <col min="6" max="6" width="2.28515625" style="352" customWidth="1"/>
    <col min="7" max="7" width="4.5703125" style="352" customWidth="1"/>
    <col min="8" max="9" width="2.28515625" style="352" customWidth="1"/>
    <col min="10" max="11" width="4.5703125" style="352" customWidth="1"/>
    <col min="12" max="12" width="2.28515625" style="352" customWidth="1"/>
    <col min="13" max="14" width="4.5703125" style="352" customWidth="1"/>
    <col min="15" max="15" width="3.42578125" style="352" customWidth="1"/>
    <col min="16" max="16" width="4.5703125" style="352" customWidth="1"/>
    <col min="17" max="17" width="4.42578125" style="352" customWidth="1"/>
    <col min="18" max="21" width="3.42578125" style="352" customWidth="1"/>
    <col min="22" max="29" width="4.5703125" style="352" customWidth="1"/>
    <col min="30" max="30" width="3.42578125" style="352" customWidth="1"/>
    <col min="31" max="33" width="4.5703125" style="352" customWidth="1"/>
    <col min="34" max="34" width="3.42578125" style="352" customWidth="1"/>
    <col min="35" max="35" width="11.42578125" style="352" customWidth="1"/>
    <col min="36" max="36" width="5.42578125" style="352" hidden="1" customWidth="1"/>
    <col min="37" max="16384" width="9.140625" style="352"/>
  </cols>
  <sheetData>
    <row r="1" spans="1:37" s="53" customFormat="1" ht="15">
      <c r="A1" s="2844" t="s">
        <v>1927</v>
      </c>
      <c r="B1" s="2844"/>
      <c r="C1" s="2844"/>
      <c r="D1" s="2844"/>
      <c r="E1" s="2844"/>
      <c r="F1" s="2844"/>
      <c r="G1" s="2844"/>
      <c r="H1" s="2844"/>
      <c r="I1" s="2844"/>
      <c r="J1" s="2844"/>
      <c r="K1" s="2844"/>
      <c r="L1" s="67"/>
      <c r="M1" s="67"/>
      <c r="N1" s="67"/>
      <c r="O1" s="2844" t="s">
        <v>0</v>
      </c>
      <c r="P1" s="2844"/>
      <c r="Q1" s="2844"/>
      <c r="R1" s="2844"/>
      <c r="S1" s="2844"/>
      <c r="T1" s="2844"/>
      <c r="U1" s="2844"/>
      <c r="V1" s="2844"/>
      <c r="W1" s="2844"/>
      <c r="X1" s="2844"/>
      <c r="Y1" s="2844"/>
      <c r="Z1" s="2844"/>
      <c r="AA1" s="2844"/>
      <c r="AB1" s="2844"/>
      <c r="AC1" s="2844"/>
      <c r="AD1" s="2844"/>
      <c r="AE1" s="2844"/>
      <c r="AF1" s="2844"/>
      <c r="AG1" s="2844"/>
      <c r="AH1" s="2844"/>
      <c r="AI1" s="2844"/>
    </row>
    <row r="2" spans="1:37" s="53" customFormat="1" ht="17.25" customHeight="1">
      <c r="A2" s="2844" t="s">
        <v>2563</v>
      </c>
      <c r="B2" s="2844"/>
      <c r="C2" s="2844"/>
      <c r="D2" s="2844"/>
      <c r="E2" s="2844"/>
      <c r="F2" s="2844"/>
      <c r="G2" s="2844"/>
      <c r="H2" s="2844"/>
      <c r="I2" s="2844"/>
      <c r="J2" s="2844"/>
      <c r="K2" s="2844"/>
      <c r="L2" s="67"/>
      <c r="M2" s="67"/>
      <c r="N2" s="67"/>
      <c r="O2" s="2844" t="s">
        <v>2942</v>
      </c>
      <c r="P2" s="2844"/>
      <c r="Q2" s="2844"/>
      <c r="R2" s="2844"/>
      <c r="S2" s="2844"/>
      <c r="T2" s="2844"/>
      <c r="U2" s="2844"/>
      <c r="V2" s="2844"/>
      <c r="W2" s="2844"/>
      <c r="X2" s="2844"/>
      <c r="Y2" s="2844"/>
      <c r="Z2" s="2844"/>
      <c r="AA2" s="2844"/>
      <c r="AB2" s="2844"/>
      <c r="AC2" s="2844"/>
      <c r="AD2" s="2844"/>
      <c r="AE2" s="2844"/>
      <c r="AF2" s="2844"/>
      <c r="AG2" s="2844"/>
      <c r="AH2" s="2844"/>
      <c r="AI2" s="2844"/>
      <c r="AJ2" s="67"/>
    </row>
    <row r="3" spans="1:37" ht="12" customHeight="1">
      <c r="A3" s="353"/>
      <c r="B3" s="353"/>
      <c r="C3" s="353"/>
      <c r="D3" s="353"/>
      <c r="E3" s="353"/>
      <c r="F3" s="353"/>
      <c r="G3" s="353"/>
      <c r="H3" s="351"/>
      <c r="I3" s="351"/>
      <c r="J3" s="351"/>
      <c r="K3" s="351"/>
      <c r="L3" s="351"/>
      <c r="M3" s="351"/>
      <c r="N3" s="351"/>
      <c r="O3" s="351"/>
      <c r="P3" s="351"/>
      <c r="Q3" s="351"/>
      <c r="R3" s="351"/>
      <c r="S3" s="351"/>
      <c r="T3" s="351"/>
      <c r="U3" s="351"/>
      <c r="V3" s="351"/>
      <c r="W3" s="363"/>
      <c r="X3" s="363"/>
      <c r="Y3" s="363"/>
      <c r="Z3" s="363"/>
      <c r="AA3" s="363"/>
      <c r="AB3" s="363"/>
      <c r="AC3" s="363"/>
      <c r="AD3" s="363"/>
      <c r="AE3" s="363"/>
      <c r="AF3" s="363"/>
      <c r="AG3" s="363"/>
      <c r="AH3" s="363"/>
      <c r="AI3" s="363"/>
      <c r="AJ3" s="363"/>
    </row>
    <row r="4" spans="1:37" ht="24" customHeight="1">
      <c r="A4" s="2864" t="s">
        <v>2943</v>
      </c>
      <c r="B4" s="2864"/>
      <c r="C4" s="2864"/>
      <c r="D4" s="2864"/>
      <c r="E4" s="2864"/>
      <c r="F4" s="2864"/>
      <c r="G4" s="2864"/>
      <c r="H4" s="2864"/>
      <c r="I4" s="2864"/>
      <c r="J4" s="2864"/>
      <c r="K4" s="2864"/>
      <c r="L4" s="2864"/>
      <c r="M4" s="2864"/>
      <c r="N4" s="2864"/>
      <c r="O4" s="2864"/>
      <c r="P4" s="2864"/>
      <c r="Q4" s="2864"/>
      <c r="R4" s="2864"/>
      <c r="S4" s="2864"/>
      <c r="T4" s="2864"/>
      <c r="U4" s="2864"/>
      <c r="V4" s="2864"/>
      <c r="W4" s="2864"/>
      <c r="X4" s="2864"/>
      <c r="Y4" s="2864"/>
      <c r="Z4" s="2864"/>
      <c r="AA4" s="2864"/>
      <c r="AB4" s="2864"/>
      <c r="AC4" s="2864"/>
      <c r="AD4" s="2864"/>
      <c r="AE4" s="2864"/>
      <c r="AF4" s="2864"/>
      <c r="AG4" s="2864"/>
      <c r="AH4" s="2864"/>
      <c r="AI4" s="2864"/>
      <c r="AJ4" s="2864"/>
    </row>
    <row r="5" spans="1:37" ht="12.75" customHeight="1">
      <c r="A5" s="2857" t="s">
        <v>623</v>
      </c>
      <c r="B5" s="2857" t="s">
        <v>356</v>
      </c>
      <c r="C5" s="2857" t="s">
        <v>9</v>
      </c>
      <c r="D5" s="2857" t="s">
        <v>2944</v>
      </c>
      <c r="E5" s="2857"/>
      <c r="F5" s="2857"/>
      <c r="G5" s="2857"/>
      <c r="H5" s="2857"/>
      <c r="I5" s="2857"/>
      <c r="J5" s="2857"/>
      <c r="K5" s="2857"/>
      <c r="L5" s="2857"/>
      <c r="M5" s="2857"/>
      <c r="N5" s="2857"/>
      <c r="O5" s="2857"/>
      <c r="P5" s="2857"/>
      <c r="Q5" s="2857"/>
      <c r="R5" s="2857"/>
      <c r="S5" s="2857"/>
      <c r="T5" s="2857"/>
      <c r="U5" s="2857"/>
      <c r="V5" s="2857"/>
      <c r="W5" s="2857"/>
      <c r="X5" s="2857"/>
      <c r="Y5" s="2857"/>
      <c r="Z5" s="2857"/>
      <c r="AA5" s="2857"/>
      <c r="AB5" s="2857"/>
      <c r="AC5" s="2857"/>
      <c r="AD5" s="2857"/>
      <c r="AE5" s="2857"/>
      <c r="AF5" s="2857"/>
      <c r="AG5" s="2857"/>
      <c r="AH5" s="2857"/>
      <c r="AI5" s="2858" t="s">
        <v>349</v>
      </c>
      <c r="AJ5" s="2860" t="s">
        <v>12</v>
      </c>
    </row>
    <row r="6" spans="1:37" ht="16.5" customHeight="1">
      <c r="A6" s="2857"/>
      <c r="B6" s="2857" t="s">
        <v>2945</v>
      </c>
      <c r="C6" s="2857"/>
      <c r="D6" s="354">
        <v>1</v>
      </c>
      <c r="E6" s="354">
        <v>2</v>
      </c>
      <c r="F6" s="354">
        <v>3</v>
      </c>
      <c r="G6" s="354">
        <v>4</v>
      </c>
      <c r="H6" s="354">
        <v>5</v>
      </c>
      <c r="I6" s="354">
        <v>6</v>
      </c>
      <c r="J6" s="354">
        <v>7</v>
      </c>
      <c r="K6" s="354">
        <v>8</v>
      </c>
      <c r="L6" s="354">
        <v>9</v>
      </c>
      <c r="M6" s="354">
        <v>10</v>
      </c>
      <c r="N6" s="354">
        <v>11</v>
      </c>
      <c r="O6" s="354">
        <v>12</v>
      </c>
      <c r="P6" s="354">
        <v>13</v>
      </c>
      <c r="Q6" s="354">
        <v>14</v>
      </c>
      <c r="R6" s="354">
        <v>15</v>
      </c>
      <c r="S6" s="354">
        <v>16</v>
      </c>
      <c r="T6" s="354">
        <v>17</v>
      </c>
      <c r="U6" s="354">
        <v>18</v>
      </c>
      <c r="V6" s="354">
        <v>19</v>
      </c>
      <c r="W6" s="354">
        <v>20</v>
      </c>
      <c r="X6" s="354">
        <v>21</v>
      </c>
      <c r="Y6" s="354">
        <v>22</v>
      </c>
      <c r="Z6" s="354">
        <v>23</v>
      </c>
      <c r="AA6" s="354">
        <v>24</v>
      </c>
      <c r="AB6" s="354">
        <v>25</v>
      </c>
      <c r="AC6" s="354">
        <v>26</v>
      </c>
      <c r="AD6" s="354">
        <v>27</v>
      </c>
      <c r="AE6" s="354">
        <v>28</v>
      </c>
      <c r="AF6" s="354">
        <v>29</v>
      </c>
      <c r="AG6" s="354">
        <v>30</v>
      </c>
      <c r="AH6" s="354">
        <v>31</v>
      </c>
      <c r="AI6" s="2859"/>
      <c r="AJ6" s="2861"/>
    </row>
    <row r="7" spans="1:37" ht="18.75" customHeight="1">
      <c r="A7" s="354">
        <v>1</v>
      </c>
      <c r="B7" s="339" t="s">
        <v>2946</v>
      </c>
      <c r="C7" s="355"/>
      <c r="D7" s="356"/>
      <c r="E7" s="356">
        <v>1200</v>
      </c>
      <c r="F7" s="356">
        <v>1000</v>
      </c>
      <c r="G7" s="356"/>
      <c r="H7" s="356"/>
      <c r="I7" s="356">
        <v>1700</v>
      </c>
      <c r="J7" s="356">
        <v>1500</v>
      </c>
      <c r="K7" s="356">
        <v>1700</v>
      </c>
      <c r="L7" s="356">
        <v>1600</v>
      </c>
      <c r="M7" s="356"/>
      <c r="N7" s="356">
        <v>1400</v>
      </c>
      <c r="O7" s="356"/>
      <c r="P7" s="356">
        <v>1600</v>
      </c>
      <c r="Q7" s="356">
        <v>1500</v>
      </c>
      <c r="R7" s="356">
        <v>1300</v>
      </c>
      <c r="S7" s="356">
        <v>1300</v>
      </c>
      <c r="T7" s="356">
        <v>1500</v>
      </c>
      <c r="U7" s="356">
        <v>1500</v>
      </c>
      <c r="V7" s="356">
        <v>1600</v>
      </c>
      <c r="W7" s="356">
        <v>1600</v>
      </c>
      <c r="X7" s="356">
        <v>1500</v>
      </c>
      <c r="Y7" s="356"/>
      <c r="Z7" s="356">
        <v>1400</v>
      </c>
      <c r="AA7" s="356">
        <v>1500</v>
      </c>
      <c r="AB7" s="356">
        <v>1500</v>
      </c>
      <c r="AC7" s="356">
        <v>1500</v>
      </c>
      <c r="AD7" s="356">
        <v>1400</v>
      </c>
      <c r="AE7" s="356">
        <v>1400</v>
      </c>
      <c r="AF7" s="356">
        <v>1300</v>
      </c>
      <c r="AG7" s="356">
        <v>1600</v>
      </c>
      <c r="AH7" s="356"/>
      <c r="AI7" s="364">
        <f>ROUND(SUM(D7:AH7),0)</f>
        <v>35100</v>
      </c>
      <c r="AJ7" s="365"/>
      <c r="AK7" s="366">
        <f>AI7/1000</f>
        <v>35.1</v>
      </c>
    </row>
    <row r="8" spans="1:37" ht="18.75" customHeight="1">
      <c r="A8" s="354">
        <v>2</v>
      </c>
      <c r="B8" s="339" t="s">
        <v>2947</v>
      </c>
      <c r="C8" s="355"/>
      <c r="D8" s="356">
        <v>1600</v>
      </c>
      <c r="E8" s="356">
        <v>1200</v>
      </c>
      <c r="F8" s="356">
        <v>1000</v>
      </c>
      <c r="G8" s="356"/>
      <c r="H8" s="356"/>
      <c r="I8" s="356">
        <v>1700</v>
      </c>
      <c r="J8" s="356">
        <v>1500</v>
      </c>
      <c r="K8" s="356">
        <v>1700</v>
      </c>
      <c r="L8" s="356">
        <v>1600</v>
      </c>
      <c r="M8" s="356">
        <v>1600</v>
      </c>
      <c r="N8" s="356">
        <v>1400</v>
      </c>
      <c r="O8" s="356"/>
      <c r="P8" s="356">
        <v>800</v>
      </c>
      <c r="Q8" s="356">
        <v>1500</v>
      </c>
      <c r="R8" s="356">
        <v>1300</v>
      </c>
      <c r="S8" s="356"/>
      <c r="T8" s="356">
        <v>1500</v>
      </c>
      <c r="U8" s="356">
        <v>1500</v>
      </c>
      <c r="V8" s="356">
        <v>1600</v>
      </c>
      <c r="W8" s="356"/>
      <c r="X8" s="356"/>
      <c r="Y8" s="356"/>
      <c r="Z8" s="356"/>
      <c r="AA8" s="356"/>
      <c r="AB8" s="356">
        <v>1500</v>
      </c>
      <c r="AC8" s="356">
        <v>1500</v>
      </c>
      <c r="AD8" s="356">
        <v>1400</v>
      </c>
      <c r="AE8" s="356">
        <v>1400</v>
      </c>
      <c r="AF8" s="356">
        <v>1300</v>
      </c>
      <c r="AG8" s="356">
        <v>1600</v>
      </c>
      <c r="AH8" s="356"/>
      <c r="AI8" s="364">
        <f t="shared" ref="AI8:AI15" si="0">ROUND(SUM(D8:AH8),0)</f>
        <v>30200</v>
      </c>
      <c r="AJ8" s="365"/>
      <c r="AK8" s="366"/>
    </row>
    <row r="9" spans="1:37" ht="18.75" customHeight="1">
      <c r="A9" s="354">
        <v>3</v>
      </c>
      <c r="B9" s="339" t="s">
        <v>300</v>
      </c>
      <c r="C9" s="355"/>
      <c r="D9" s="356">
        <v>1600</v>
      </c>
      <c r="E9" s="356">
        <v>1200</v>
      </c>
      <c r="F9" s="356">
        <v>1000</v>
      </c>
      <c r="G9" s="356"/>
      <c r="H9" s="356"/>
      <c r="I9" s="356">
        <v>1700</v>
      </c>
      <c r="J9" s="356">
        <v>1500</v>
      </c>
      <c r="K9" s="356">
        <v>1700</v>
      </c>
      <c r="L9" s="356">
        <v>1600</v>
      </c>
      <c r="M9" s="356">
        <v>1600</v>
      </c>
      <c r="N9" s="356"/>
      <c r="O9" s="356"/>
      <c r="P9" s="356">
        <v>1600</v>
      </c>
      <c r="Q9" s="356">
        <v>1500</v>
      </c>
      <c r="R9" s="356">
        <v>1300</v>
      </c>
      <c r="S9" s="356">
        <v>1300</v>
      </c>
      <c r="T9" s="356">
        <v>1500</v>
      </c>
      <c r="U9" s="356">
        <v>1500</v>
      </c>
      <c r="V9" s="356">
        <v>1600</v>
      </c>
      <c r="W9" s="356">
        <v>1600</v>
      </c>
      <c r="X9" s="356">
        <v>1500</v>
      </c>
      <c r="Y9" s="356"/>
      <c r="Z9" s="356">
        <v>1400</v>
      </c>
      <c r="AA9" s="356">
        <v>1500</v>
      </c>
      <c r="AB9" s="356">
        <v>1500</v>
      </c>
      <c r="AC9" s="356">
        <v>1500</v>
      </c>
      <c r="AD9" s="356">
        <v>1400</v>
      </c>
      <c r="AE9" s="356"/>
      <c r="AF9" s="356">
        <v>1300</v>
      </c>
      <c r="AG9" s="356">
        <v>1600</v>
      </c>
      <c r="AH9" s="356"/>
      <c r="AI9" s="364">
        <f t="shared" si="0"/>
        <v>35500</v>
      </c>
      <c r="AJ9" s="365"/>
      <c r="AK9" s="366">
        <f t="shared" ref="AK9:AK15" si="1">AI9/1000</f>
        <v>35.5</v>
      </c>
    </row>
    <row r="10" spans="1:37" ht="18.75" customHeight="1">
      <c r="A10" s="354">
        <v>4</v>
      </c>
      <c r="B10" s="339" t="s">
        <v>1656</v>
      </c>
      <c r="C10" s="355"/>
      <c r="D10" s="356">
        <v>1600</v>
      </c>
      <c r="E10" s="356">
        <v>1200</v>
      </c>
      <c r="F10" s="356">
        <v>1000</v>
      </c>
      <c r="G10" s="356"/>
      <c r="H10" s="356"/>
      <c r="I10" s="356"/>
      <c r="J10" s="356">
        <v>1500</v>
      </c>
      <c r="K10" s="356">
        <v>1700</v>
      </c>
      <c r="L10" s="356">
        <v>1600</v>
      </c>
      <c r="M10" s="356">
        <v>1600</v>
      </c>
      <c r="N10" s="356">
        <v>1400</v>
      </c>
      <c r="O10" s="356"/>
      <c r="P10" s="356">
        <v>1600</v>
      </c>
      <c r="Q10" s="356">
        <v>1500</v>
      </c>
      <c r="R10" s="356">
        <v>1300</v>
      </c>
      <c r="S10" s="356">
        <v>1300</v>
      </c>
      <c r="T10" s="356">
        <v>1500</v>
      </c>
      <c r="U10" s="356">
        <v>1500</v>
      </c>
      <c r="V10" s="356">
        <v>1600</v>
      </c>
      <c r="W10" s="356">
        <v>1600</v>
      </c>
      <c r="X10" s="356">
        <v>1500</v>
      </c>
      <c r="Y10" s="356"/>
      <c r="Z10" s="356">
        <v>1400</v>
      </c>
      <c r="AA10" s="356">
        <v>1500</v>
      </c>
      <c r="AB10" s="356">
        <v>1500</v>
      </c>
      <c r="AC10" s="356">
        <v>1500</v>
      </c>
      <c r="AD10" s="356"/>
      <c r="AE10" s="356">
        <v>1400</v>
      </c>
      <c r="AF10" s="356">
        <v>1300</v>
      </c>
      <c r="AG10" s="356">
        <v>1600</v>
      </c>
      <c r="AH10" s="356"/>
      <c r="AI10" s="364">
        <f t="shared" si="0"/>
        <v>35200</v>
      </c>
      <c r="AJ10" s="365"/>
      <c r="AK10" s="366">
        <f t="shared" si="1"/>
        <v>35.200000000000003</v>
      </c>
    </row>
    <row r="11" spans="1:37" ht="18.75" customHeight="1">
      <c r="A11" s="354">
        <v>5</v>
      </c>
      <c r="B11" s="339" t="s">
        <v>2369</v>
      </c>
      <c r="C11" s="355"/>
      <c r="D11" s="356">
        <v>1600</v>
      </c>
      <c r="E11" s="356">
        <v>1200</v>
      </c>
      <c r="F11" s="356">
        <v>1000</v>
      </c>
      <c r="G11" s="356"/>
      <c r="H11" s="356"/>
      <c r="I11" s="356">
        <v>1700</v>
      </c>
      <c r="J11" s="356">
        <v>1500</v>
      </c>
      <c r="K11" s="356">
        <v>1700</v>
      </c>
      <c r="L11" s="356">
        <v>1600</v>
      </c>
      <c r="M11" s="356">
        <v>1600</v>
      </c>
      <c r="N11" s="356">
        <v>1400</v>
      </c>
      <c r="O11" s="356"/>
      <c r="P11" s="356">
        <v>1600</v>
      </c>
      <c r="Q11" s="356">
        <v>1500</v>
      </c>
      <c r="R11" s="356">
        <v>1300</v>
      </c>
      <c r="S11" s="356"/>
      <c r="T11" s="356"/>
      <c r="U11" s="356"/>
      <c r="V11" s="356"/>
      <c r="W11" s="356"/>
      <c r="X11" s="356"/>
      <c r="Y11" s="356"/>
      <c r="Z11" s="356"/>
      <c r="AA11" s="356">
        <v>1500</v>
      </c>
      <c r="AB11" s="356">
        <v>1500</v>
      </c>
      <c r="AC11" s="356">
        <v>1500</v>
      </c>
      <c r="AD11" s="356">
        <v>1400</v>
      </c>
      <c r="AE11" s="356">
        <v>1400</v>
      </c>
      <c r="AF11" s="356">
        <v>1300</v>
      </c>
      <c r="AG11" s="356">
        <v>1600</v>
      </c>
      <c r="AH11" s="356"/>
      <c r="AI11" s="364">
        <f t="shared" si="0"/>
        <v>27900</v>
      </c>
      <c r="AJ11" s="365"/>
      <c r="AK11" s="366">
        <f t="shared" si="1"/>
        <v>27.9</v>
      </c>
    </row>
    <row r="12" spans="1:37" ht="18.75" customHeight="1">
      <c r="A12" s="354">
        <v>6</v>
      </c>
      <c r="B12" s="339" t="s">
        <v>2948</v>
      </c>
      <c r="C12" s="355"/>
      <c r="D12" s="356">
        <v>1600</v>
      </c>
      <c r="E12" s="356">
        <v>1200</v>
      </c>
      <c r="F12" s="356"/>
      <c r="G12" s="356"/>
      <c r="H12" s="356"/>
      <c r="I12" s="356">
        <v>1700</v>
      </c>
      <c r="J12" s="356">
        <v>1500</v>
      </c>
      <c r="K12" s="356">
        <v>1700</v>
      </c>
      <c r="L12" s="356">
        <v>1600</v>
      </c>
      <c r="M12" s="356">
        <v>1600</v>
      </c>
      <c r="N12" s="356">
        <v>1400</v>
      </c>
      <c r="O12" s="356"/>
      <c r="P12" s="356">
        <v>1600</v>
      </c>
      <c r="Q12" s="356">
        <v>1500</v>
      </c>
      <c r="R12" s="356">
        <v>1300</v>
      </c>
      <c r="S12" s="356">
        <v>1300</v>
      </c>
      <c r="T12" s="356">
        <v>1500</v>
      </c>
      <c r="U12" s="356"/>
      <c r="V12" s="356">
        <v>1600</v>
      </c>
      <c r="W12" s="356">
        <v>1600</v>
      </c>
      <c r="X12" s="356">
        <v>1500</v>
      </c>
      <c r="Y12" s="356"/>
      <c r="Z12" s="356">
        <v>1400</v>
      </c>
      <c r="AA12" s="356">
        <v>1500</v>
      </c>
      <c r="AB12" s="356">
        <v>1500</v>
      </c>
      <c r="AC12" s="356"/>
      <c r="AD12" s="356">
        <v>1400</v>
      </c>
      <c r="AE12" s="356">
        <v>1400</v>
      </c>
      <c r="AF12" s="356">
        <v>1300</v>
      </c>
      <c r="AG12" s="356">
        <v>1600</v>
      </c>
      <c r="AH12" s="356"/>
      <c r="AI12" s="364">
        <f t="shared" si="0"/>
        <v>34300</v>
      </c>
      <c r="AJ12" s="365"/>
      <c r="AK12" s="366">
        <f t="shared" si="1"/>
        <v>34.299999999999997</v>
      </c>
    </row>
    <row r="13" spans="1:37" ht="18.75" customHeight="1">
      <c r="A13" s="354">
        <v>7</v>
      </c>
      <c r="B13" s="339" t="s">
        <v>2949</v>
      </c>
      <c r="C13" s="355"/>
      <c r="D13" s="356">
        <v>1600</v>
      </c>
      <c r="E13" s="356">
        <v>1200</v>
      </c>
      <c r="F13" s="356">
        <v>1000</v>
      </c>
      <c r="G13" s="356"/>
      <c r="H13" s="356"/>
      <c r="I13" s="356">
        <v>1700</v>
      </c>
      <c r="J13" s="356">
        <v>1500</v>
      </c>
      <c r="K13" s="356">
        <v>1700</v>
      </c>
      <c r="L13" s="356">
        <v>1600</v>
      </c>
      <c r="M13" s="356">
        <v>1600</v>
      </c>
      <c r="N13" s="356"/>
      <c r="O13" s="356"/>
      <c r="P13" s="356">
        <v>1600</v>
      </c>
      <c r="Q13" s="356">
        <v>1500</v>
      </c>
      <c r="R13" s="356"/>
      <c r="S13" s="356">
        <v>1300</v>
      </c>
      <c r="T13" s="356">
        <v>1500</v>
      </c>
      <c r="U13" s="356">
        <v>1500</v>
      </c>
      <c r="V13" s="356">
        <v>1600</v>
      </c>
      <c r="W13" s="356">
        <v>1600</v>
      </c>
      <c r="X13" s="356">
        <v>1500</v>
      </c>
      <c r="Y13" s="356"/>
      <c r="Z13" s="356">
        <v>1400</v>
      </c>
      <c r="AA13" s="356">
        <v>1500</v>
      </c>
      <c r="AB13" s="356">
        <v>1500</v>
      </c>
      <c r="AC13" s="356">
        <v>1500</v>
      </c>
      <c r="AD13" s="356">
        <v>1400</v>
      </c>
      <c r="AE13" s="356">
        <v>1400</v>
      </c>
      <c r="AF13" s="356">
        <v>1300</v>
      </c>
      <c r="AG13" s="356">
        <v>1600</v>
      </c>
      <c r="AH13" s="356"/>
      <c r="AI13" s="364">
        <f t="shared" si="0"/>
        <v>35600</v>
      </c>
      <c r="AJ13" s="365"/>
      <c r="AK13" s="366">
        <f t="shared" si="1"/>
        <v>35.6</v>
      </c>
    </row>
    <row r="14" spans="1:37" ht="18.75" customHeight="1">
      <c r="A14" s="354">
        <v>8</v>
      </c>
      <c r="B14" s="339" t="s">
        <v>2950</v>
      </c>
      <c r="C14" s="355"/>
      <c r="D14" s="356">
        <v>1600</v>
      </c>
      <c r="E14" s="356">
        <v>1200</v>
      </c>
      <c r="F14" s="356">
        <v>1000</v>
      </c>
      <c r="G14" s="356"/>
      <c r="H14" s="356"/>
      <c r="I14" s="356">
        <v>1700</v>
      </c>
      <c r="J14" s="356">
        <v>1500</v>
      </c>
      <c r="K14" s="356">
        <v>1700</v>
      </c>
      <c r="L14" s="356">
        <v>1600</v>
      </c>
      <c r="M14" s="356">
        <v>1600</v>
      </c>
      <c r="N14" s="356">
        <v>1400</v>
      </c>
      <c r="O14" s="356"/>
      <c r="P14" s="356">
        <v>1600</v>
      </c>
      <c r="Q14" s="356"/>
      <c r="R14" s="356">
        <v>1300</v>
      </c>
      <c r="S14" s="356">
        <v>1300</v>
      </c>
      <c r="T14" s="356">
        <v>1500</v>
      </c>
      <c r="U14" s="356">
        <v>1500</v>
      </c>
      <c r="V14" s="356">
        <v>1600</v>
      </c>
      <c r="W14" s="356">
        <v>1600</v>
      </c>
      <c r="X14" s="356">
        <v>1500</v>
      </c>
      <c r="Y14" s="356"/>
      <c r="Z14" s="356">
        <v>1400</v>
      </c>
      <c r="AA14" s="356">
        <v>1500</v>
      </c>
      <c r="AB14" s="356">
        <v>1500</v>
      </c>
      <c r="AC14" s="356">
        <v>1500</v>
      </c>
      <c r="AD14" s="356">
        <v>1400</v>
      </c>
      <c r="AE14" s="356">
        <v>1400</v>
      </c>
      <c r="AF14" s="356">
        <v>1300</v>
      </c>
      <c r="AG14" s="356">
        <v>1600</v>
      </c>
      <c r="AH14" s="356"/>
      <c r="AI14" s="364">
        <f t="shared" si="0"/>
        <v>36800</v>
      </c>
      <c r="AJ14" s="365"/>
      <c r="AK14" s="366">
        <f t="shared" si="1"/>
        <v>36.799999999999997</v>
      </c>
    </row>
    <row r="15" spans="1:37" ht="18.75" customHeight="1">
      <c r="A15" s="354">
        <v>9</v>
      </c>
      <c r="B15" s="339" t="s">
        <v>129</v>
      </c>
      <c r="C15" s="355"/>
      <c r="D15" s="356">
        <v>1600</v>
      </c>
      <c r="E15" s="356">
        <v>1200</v>
      </c>
      <c r="F15" s="356">
        <v>1000</v>
      </c>
      <c r="G15" s="356"/>
      <c r="H15" s="356"/>
      <c r="I15" s="356">
        <v>1700</v>
      </c>
      <c r="J15" s="356">
        <v>1500</v>
      </c>
      <c r="K15" s="356">
        <v>1700</v>
      </c>
      <c r="L15" s="356">
        <v>1600</v>
      </c>
      <c r="M15" s="356"/>
      <c r="N15" s="356">
        <v>1400</v>
      </c>
      <c r="O15" s="356"/>
      <c r="P15" s="356">
        <v>1600</v>
      </c>
      <c r="Q15" s="356">
        <v>1500</v>
      </c>
      <c r="R15" s="356">
        <v>1300</v>
      </c>
      <c r="S15" s="356">
        <v>1300</v>
      </c>
      <c r="T15" s="356"/>
      <c r="U15" s="356">
        <v>1500</v>
      </c>
      <c r="V15" s="356"/>
      <c r="W15" s="356">
        <v>1600</v>
      </c>
      <c r="X15" s="356">
        <v>1500</v>
      </c>
      <c r="Y15" s="356"/>
      <c r="Z15" s="356">
        <v>1400</v>
      </c>
      <c r="AA15" s="356">
        <v>1500</v>
      </c>
      <c r="AB15" s="356">
        <v>1500</v>
      </c>
      <c r="AC15" s="356">
        <v>1500</v>
      </c>
      <c r="AD15" s="356"/>
      <c r="AE15" s="356"/>
      <c r="AF15" s="356"/>
      <c r="AG15" s="356"/>
      <c r="AH15" s="356"/>
      <c r="AI15" s="364">
        <f t="shared" si="0"/>
        <v>27900</v>
      </c>
      <c r="AJ15" s="365"/>
      <c r="AK15" s="366">
        <f t="shared" si="1"/>
        <v>27.9</v>
      </c>
    </row>
    <row r="16" spans="1:37" ht="16.5" customHeight="1">
      <c r="A16" s="2862" t="s">
        <v>525</v>
      </c>
      <c r="B16" s="2862"/>
      <c r="C16" s="357"/>
      <c r="D16" s="358">
        <f t="shared" ref="D16:AH16" si="2">SUM(D7:D15)</f>
        <v>12800</v>
      </c>
      <c r="E16" s="358">
        <f t="shared" si="2"/>
        <v>10800</v>
      </c>
      <c r="F16" s="358">
        <f t="shared" si="2"/>
        <v>8000</v>
      </c>
      <c r="G16" s="358">
        <f t="shared" si="2"/>
        <v>0</v>
      </c>
      <c r="H16" s="358">
        <f t="shared" si="2"/>
        <v>0</v>
      </c>
      <c r="I16" s="358">
        <f t="shared" si="2"/>
        <v>13600</v>
      </c>
      <c r="J16" s="358">
        <f t="shared" si="2"/>
        <v>13500</v>
      </c>
      <c r="K16" s="358">
        <f t="shared" si="2"/>
        <v>15300</v>
      </c>
      <c r="L16" s="358">
        <f t="shared" si="2"/>
        <v>14400</v>
      </c>
      <c r="M16" s="358">
        <f t="shared" si="2"/>
        <v>11200</v>
      </c>
      <c r="N16" s="358">
        <f t="shared" si="2"/>
        <v>9800</v>
      </c>
      <c r="O16" s="358">
        <f t="shared" si="2"/>
        <v>0</v>
      </c>
      <c r="P16" s="358">
        <f t="shared" si="2"/>
        <v>13600</v>
      </c>
      <c r="Q16" s="358">
        <f t="shared" si="2"/>
        <v>12000</v>
      </c>
      <c r="R16" s="358">
        <f t="shared" si="2"/>
        <v>10400</v>
      </c>
      <c r="S16" s="358">
        <f t="shared" si="2"/>
        <v>9100</v>
      </c>
      <c r="T16" s="358">
        <f t="shared" si="2"/>
        <v>10500</v>
      </c>
      <c r="U16" s="358">
        <f t="shared" si="2"/>
        <v>10500</v>
      </c>
      <c r="V16" s="358">
        <f t="shared" si="2"/>
        <v>11200</v>
      </c>
      <c r="W16" s="358">
        <f t="shared" si="2"/>
        <v>11200</v>
      </c>
      <c r="X16" s="358">
        <f t="shared" si="2"/>
        <v>10500</v>
      </c>
      <c r="Y16" s="358">
        <f t="shared" si="2"/>
        <v>0</v>
      </c>
      <c r="Z16" s="358">
        <f t="shared" si="2"/>
        <v>9800</v>
      </c>
      <c r="AA16" s="358">
        <f t="shared" si="2"/>
        <v>12000</v>
      </c>
      <c r="AB16" s="358">
        <f t="shared" si="2"/>
        <v>13500</v>
      </c>
      <c r="AC16" s="358">
        <f t="shared" si="2"/>
        <v>12000</v>
      </c>
      <c r="AD16" s="358">
        <f t="shared" si="2"/>
        <v>9800</v>
      </c>
      <c r="AE16" s="358">
        <f t="shared" si="2"/>
        <v>9800</v>
      </c>
      <c r="AF16" s="358">
        <f t="shared" si="2"/>
        <v>10400</v>
      </c>
      <c r="AG16" s="358">
        <f t="shared" si="2"/>
        <v>12800</v>
      </c>
      <c r="AH16" s="358">
        <f t="shared" si="2"/>
        <v>0</v>
      </c>
      <c r="AI16" s="367">
        <f>ROUND(SUM(AI7:AI15),0)</f>
        <v>298500</v>
      </c>
      <c r="AJ16" s="368"/>
    </row>
    <row r="17" spans="1:36" ht="16.5" customHeight="1">
      <c r="A17" s="359"/>
      <c r="B17" s="359"/>
      <c r="C17" s="359"/>
      <c r="D17" s="359"/>
      <c r="E17" s="359"/>
      <c r="F17" s="359"/>
      <c r="G17" s="359"/>
      <c r="H17" s="359"/>
      <c r="I17" s="359"/>
      <c r="J17" s="359"/>
      <c r="K17" s="359"/>
      <c r="L17" s="359"/>
      <c r="M17" s="359"/>
      <c r="N17" s="359"/>
      <c r="O17" s="359"/>
      <c r="P17" s="359"/>
      <c r="Q17" s="359"/>
      <c r="R17" s="359"/>
      <c r="S17" s="359"/>
      <c r="T17" s="359"/>
      <c r="U17" s="359"/>
      <c r="V17" s="359"/>
      <c r="W17" s="359"/>
      <c r="X17" s="359"/>
      <c r="Y17" s="359"/>
      <c r="Z17" s="359"/>
      <c r="AA17" s="359"/>
      <c r="AB17" s="359"/>
      <c r="AC17" s="359"/>
      <c r="AD17" s="359"/>
      <c r="AE17" s="359"/>
      <c r="AF17" s="359"/>
      <c r="AG17" s="359"/>
      <c r="AH17" s="359"/>
      <c r="AI17" s="369"/>
      <c r="AJ17" s="370"/>
    </row>
    <row r="18" spans="1:36" ht="14.25" customHeight="1">
      <c r="X18" s="2863" t="s">
        <v>2951</v>
      </c>
      <c r="Y18" s="2863"/>
      <c r="Z18" s="2863"/>
      <c r="AA18" s="2863"/>
      <c r="AB18" s="2863"/>
      <c r="AC18" s="2863"/>
      <c r="AD18" s="2863"/>
      <c r="AE18" s="2863"/>
      <c r="AF18" s="2863"/>
      <c r="AG18" s="2863"/>
      <c r="AH18" s="2863"/>
      <c r="AI18" s="2863"/>
      <c r="AJ18" s="2863"/>
    </row>
    <row r="19" spans="1:36" ht="15.75">
      <c r="B19" s="52" t="s">
        <v>12</v>
      </c>
      <c r="C19" s="52"/>
      <c r="E19" s="52"/>
      <c r="F19" s="52"/>
      <c r="H19" s="52"/>
      <c r="I19" s="52"/>
      <c r="J19" s="2714" t="s">
        <v>2952</v>
      </c>
      <c r="K19" s="2714"/>
      <c r="L19" s="2714"/>
      <c r="M19" s="2714"/>
      <c r="N19" s="2714"/>
      <c r="O19" s="2714"/>
      <c r="P19" s="2714"/>
      <c r="Q19" s="2714"/>
      <c r="R19" s="2714"/>
      <c r="S19" s="2714"/>
      <c r="T19" s="2714"/>
      <c r="U19" s="2714"/>
      <c r="V19" s="2714"/>
      <c r="W19" s="351"/>
      <c r="X19" s="351"/>
      <c r="Y19" s="351"/>
      <c r="Z19" s="2714" t="s">
        <v>612</v>
      </c>
      <c r="AA19" s="2714"/>
      <c r="AB19" s="2714"/>
      <c r="AC19" s="2714"/>
      <c r="AD19" s="2714"/>
      <c r="AE19" s="2714"/>
      <c r="AF19" s="2714"/>
      <c r="AG19" s="2714"/>
      <c r="AH19" s="2714"/>
      <c r="AI19" s="2714"/>
      <c r="AJ19" s="2714"/>
    </row>
    <row r="20" spans="1:36">
      <c r="A20" s="360" t="s">
        <v>536</v>
      </c>
      <c r="B20" s="361" t="s">
        <v>2953</v>
      </c>
      <c r="C20" s="360"/>
      <c r="Z20" s="360"/>
      <c r="AA20" s="360"/>
      <c r="AB20" s="360"/>
      <c r="AC20" s="360"/>
      <c r="AD20" s="360"/>
      <c r="AE20" s="360"/>
      <c r="AF20" s="360"/>
      <c r="AG20" s="360"/>
      <c r="AH20" s="360"/>
      <c r="AI20" s="360"/>
      <c r="AJ20" s="351"/>
    </row>
    <row r="21" spans="1:36">
      <c r="A21" s="360" t="s">
        <v>2954</v>
      </c>
      <c r="B21" s="361" t="s">
        <v>2955</v>
      </c>
      <c r="C21" s="360"/>
      <c r="Z21" s="360"/>
      <c r="AA21" s="360"/>
      <c r="AB21" s="360"/>
      <c r="AC21" s="360"/>
      <c r="AD21" s="360"/>
      <c r="AE21" s="360"/>
      <c r="AF21" s="360"/>
      <c r="AG21" s="360"/>
      <c r="AH21" s="360"/>
      <c r="AI21" s="360"/>
    </row>
    <row r="22" spans="1:36">
      <c r="A22" s="360" t="s">
        <v>2956</v>
      </c>
      <c r="B22" s="361" t="s">
        <v>2957</v>
      </c>
      <c r="C22" s="360"/>
      <c r="Z22" s="360"/>
      <c r="AA22" s="360"/>
      <c r="AB22" s="360"/>
      <c r="AC22" s="360"/>
      <c r="AD22" s="360"/>
      <c r="AE22" s="360"/>
      <c r="AF22" s="360"/>
      <c r="AG22" s="360"/>
      <c r="AH22" s="360"/>
      <c r="AI22" s="360"/>
    </row>
    <row r="23" spans="1:36">
      <c r="A23" s="360" t="s">
        <v>2958</v>
      </c>
      <c r="B23" s="361" t="s">
        <v>2959</v>
      </c>
      <c r="C23" s="360"/>
    </row>
    <row r="24" spans="1:36">
      <c r="A24" s="360" t="s">
        <v>2960</v>
      </c>
      <c r="B24" s="361" t="s">
        <v>2961</v>
      </c>
      <c r="C24" s="360"/>
    </row>
    <row r="25" spans="1:36" ht="15.75">
      <c r="A25" s="54" t="s">
        <v>2962</v>
      </c>
      <c r="B25" s="362" t="s">
        <v>2963</v>
      </c>
      <c r="C25" s="55"/>
      <c r="D25" s="72"/>
      <c r="E25" s="72"/>
      <c r="F25" s="72"/>
      <c r="G25" s="2856"/>
      <c r="H25" s="2856"/>
      <c r="I25" s="2856"/>
      <c r="J25" s="2856"/>
      <c r="K25" s="2856"/>
      <c r="L25" s="2856"/>
      <c r="M25" s="2856"/>
      <c r="N25" s="2856"/>
      <c r="O25" s="2856"/>
      <c r="P25" s="2856"/>
      <c r="Z25" s="2714"/>
      <c r="AA25" s="2714"/>
      <c r="AB25" s="2714"/>
      <c r="AC25" s="2714"/>
      <c r="AD25" s="2714"/>
      <c r="AE25" s="2714"/>
      <c r="AF25" s="2714"/>
      <c r="AG25" s="2714"/>
      <c r="AH25" s="2714"/>
      <c r="AI25" s="2714"/>
      <c r="AJ25" s="2714"/>
    </row>
    <row r="26" spans="1:36" ht="15.75">
      <c r="A26" s="54" t="s">
        <v>2964</v>
      </c>
      <c r="B26" s="362" t="s">
        <v>2965</v>
      </c>
      <c r="C26" s="55"/>
      <c r="D26" s="55"/>
      <c r="E26" s="55"/>
      <c r="F26" s="55"/>
    </row>
    <row r="27" spans="1:36">
      <c r="A27" s="360" t="s">
        <v>2966</v>
      </c>
      <c r="B27" s="361" t="s">
        <v>2967</v>
      </c>
    </row>
    <row r="28" spans="1:36" s="350" customFormat="1">
      <c r="A28" s="360" t="s">
        <v>2968</v>
      </c>
      <c r="B28" s="361" t="s">
        <v>2969</v>
      </c>
      <c r="C28" s="352"/>
      <c r="D28" s="352"/>
      <c r="E28" s="352"/>
      <c r="F28" s="352"/>
      <c r="G28" s="352"/>
      <c r="H28" s="352"/>
      <c r="I28" s="352"/>
      <c r="J28" s="352"/>
      <c r="K28" s="352"/>
      <c r="L28" s="352"/>
      <c r="M28" s="352"/>
      <c r="N28" s="352"/>
      <c r="O28" s="352"/>
      <c r="P28" s="352"/>
      <c r="Q28" s="352"/>
      <c r="R28" s="352"/>
      <c r="S28" s="352"/>
      <c r="T28" s="352"/>
      <c r="U28" s="352"/>
      <c r="V28" s="352"/>
      <c r="W28" s="352"/>
      <c r="X28" s="352"/>
      <c r="Y28" s="352"/>
      <c r="Z28" s="352"/>
      <c r="AA28" s="352"/>
      <c r="AB28" s="352"/>
      <c r="AC28" s="352"/>
      <c r="AD28" s="352"/>
      <c r="AE28" s="352"/>
      <c r="AF28" s="352"/>
      <c r="AG28" s="352"/>
      <c r="AH28" s="352"/>
      <c r="AI28" s="352"/>
      <c r="AJ28" s="352"/>
    </row>
    <row r="29" spans="1:36">
      <c r="A29" s="360" t="s">
        <v>2970</v>
      </c>
      <c r="B29" s="361" t="s">
        <v>2971</v>
      </c>
    </row>
    <row r="30" spans="1:36" s="351" customFormat="1">
      <c r="A30" s="352"/>
      <c r="B30" s="352"/>
      <c r="C30" s="352"/>
      <c r="D30" s="352"/>
      <c r="E30" s="352"/>
      <c r="F30" s="352"/>
      <c r="G30" s="352"/>
      <c r="H30" s="352"/>
      <c r="I30" s="352"/>
      <c r="J30" s="352"/>
      <c r="K30" s="352"/>
      <c r="L30" s="352"/>
      <c r="M30" s="352"/>
      <c r="N30" s="352"/>
      <c r="O30" s="352"/>
      <c r="P30" s="352"/>
      <c r="Q30" s="352"/>
      <c r="R30" s="352"/>
      <c r="S30" s="352"/>
      <c r="T30" s="352"/>
      <c r="U30" s="352"/>
      <c r="V30" s="352"/>
      <c r="W30" s="352"/>
      <c r="X30" s="352"/>
      <c r="Y30" s="352"/>
      <c r="Z30" s="352"/>
      <c r="AA30" s="352"/>
      <c r="AB30" s="352"/>
      <c r="AC30" s="352"/>
      <c r="AD30" s="352"/>
      <c r="AE30" s="352"/>
      <c r="AF30" s="352"/>
      <c r="AG30" s="352"/>
      <c r="AH30" s="352"/>
      <c r="AI30" s="352"/>
      <c r="AJ30" s="352"/>
    </row>
  </sheetData>
  <mergeCells count="17">
    <mergeCell ref="A1:K1"/>
    <mergeCell ref="O1:AI1"/>
    <mergeCell ref="A2:K2"/>
    <mergeCell ref="O2:AI2"/>
    <mergeCell ref="A4:AJ4"/>
    <mergeCell ref="G25:P25"/>
    <mergeCell ref="Z25:AJ25"/>
    <mergeCell ref="A5:A6"/>
    <mergeCell ref="B5:B6"/>
    <mergeCell ref="C5:C6"/>
    <mergeCell ref="AI5:AI6"/>
    <mergeCell ref="AJ5:AJ6"/>
    <mergeCell ref="D5:AH5"/>
    <mergeCell ref="A16:B16"/>
    <mergeCell ref="X18:AJ18"/>
    <mergeCell ref="J19:V19"/>
    <mergeCell ref="Z19:AJ19"/>
  </mergeCells>
  <pageMargins left="0.2" right="0.2" top="0.52" bottom="0.75" header="0.3" footer="0.3"/>
  <pageSetup scale="90" orientation="landscape"/>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249977111117893"/>
  </sheetPr>
  <dimension ref="A1:AJ30"/>
  <sheetViews>
    <sheetView workbookViewId="0">
      <selection sqref="A1:K1"/>
    </sheetView>
  </sheetViews>
  <sheetFormatPr defaultColWidth="9.140625" defaultRowHeight="12.75"/>
  <cols>
    <col min="1" max="1" width="3.5703125" style="335" customWidth="1"/>
    <col min="2" max="2" width="17.7109375" style="335" customWidth="1"/>
    <col min="3" max="3" width="14.140625" style="335" hidden="1" customWidth="1"/>
    <col min="4" max="34" width="3.28515625" style="335" customWidth="1"/>
    <col min="35" max="35" width="6.5703125" style="335" customWidth="1"/>
    <col min="36" max="36" width="5.42578125" style="335" customWidth="1"/>
    <col min="37" max="16384" width="9.140625" style="335"/>
  </cols>
  <sheetData>
    <row r="1" spans="1:36" ht="16.5">
      <c r="A1" s="2459" t="s">
        <v>1927</v>
      </c>
      <c r="B1" s="2459"/>
      <c r="C1" s="2459"/>
      <c r="D1" s="2459"/>
      <c r="E1" s="2459"/>
      <c r="F1" s="2459"/>
      <c r="G1" s="2459"/>
      <c r="H1" s="2459"/>
      <c r="I1" s="2459"/>
      <c r="J1" s="2459"/>
      <c r="K1" s="2459"/>
      <c r="L1" s="240"/>
      <c r="M1" s="240"/>
      <c r="N1" s="240"/>
      <c r="O1" s="2874" t="s">
        <v>0</v>
      </c>
      <c r="P1" s="2874"/>
      <c r="Q1" s="2874"/>
      <c r="R1" s="2874"/>
      <c r="S1" s="2874"/>
      <c r="T1" s="2874"/>
      <c r="U1" s="2874"/>
      <c r="V1" s="2874"/>
      <c r="W1" s="2874"/>
      <c r="X1" s="2874"/>
      <c r="Y1" s="2874"/>
      <c r="Z1" s="2874"/>
      <c r="AA1" s="2874"/>
      <c r="AB1" s="2874"/>
      <c r="AC1" s="2874"/>
      <c r="AD1" s="2874"/>
      <c r="AE1" s="2874"/>
      <c r="AF1" s="2874"/>
      <c r="AG1" s="2874"/>
      <c r="AH1" s="2874"/>
      <c r="AI1" s="2874"/>
      <c r="AJ1" s="240"/>
    </row>
    <row r="2" spans="1:36" ht="17.25" customHeight="1">
      <c r="A2" s="2875" t="s">
        <v>2563</v>
      </c>
      <c r="B2" s="2875"/>
      <c r="C2" s="2875"/>
      <c r="D2" s="2875"/>
      <c r="E2" s="2875"/>
      <c r="F2" s="2875"/>
      <c r="G2" s="2875"/>
      <c r="H2" s="2875"/>
      <c r="I2" s="2875"/>
      <c r="J2" s="2875"/>
      <c r="K2" s="2875"/>
      <c r="L2" s="239"/>
      <c r="M2" s="239"/>
      <c r="N2" s="239"/>
      <c r="O2" s="2459" t="s">
        <v>2972</v>
      </c>
      <c r="P2" s="2459"/>
      <c r="Q2" s="2459"/>
      <c r="R2" s="2459"/>
      <c r="S2" s="2459"/>
      <c r="T2" s="2459"/>
      <c r="U2" s="2459"/>
      <c r="V2" s="2459"/>
      <c r="W2" s="2459"/>
      <c r="X2" s="2459"/>
      <c r="Y2" s="2459"/>
      <c r="Z2" s="2459"/>
      <c r="AA2" s="2459"/>
      <c r="AB2" s="2459"/>
      <c r="AC2" s="2459"/>
      <c r="AD2" s="2459"/>
      <c r="AE2" s="2459"/>
      <c r="AF2" s="2459"/>
      <c r="AG2" s="2459"/>
      <c r="AH2" s="2459"/>
      <c r="AI2" s="2459"/>
      <c r="AJ2" s="239"/>
    </row>
    <row r="3" spans="1:36" ht="12" customHeight="1">
      <c r="A3" s="336"/>
      <c r="B3" s="336"/>
      <c r="C3" s="336"/>
      <c r="D3" s="336"/>
      <c r="E3" s="336"/>
      <c r="F3" s="336"/>
      <c r="G3" s="336"/>
      <c r="W3" s="171"/>
      <c r="X3" s="171"/>
      <c r="Y3" s="171"/>
      <c r="Z3" s="171"/>
      <c r="AA3" s="171"/>
      <c r="AB3" s="171"/>
      <c r="AC3" s="171"/>
      <c r="AD3" s="171"/>
      <c r="AE3" s="171"/>
      <c r="AF3" s="171"/>
      <c r="AG3" s="171"/>
      <c r="AH3" s="171"/>
      <c r="AI3" s="171"/>
      <c r="AJ3" s="171"/>
    </row>
    <row r="4" spans="1:36" ht="24" customHeight="1">
      <c r="A4" s="2290" t="s">
        <v>2973</v>
      </c>
      <c r="B4" s="2290"/>
      <c r="C4" s="2290"/>
      <c r="D4" s="2290"/>
      <c r="E4" s="2290"/>
      <c r="F4" s="2290"/>
      <c r="G4" s="2290"/>
      <c r="H4" s="2290"/>
      <c r="I4" s="2290"/>
      <c r="J4" s="2290"/>
      <c r="K4" s="2290"/>
      <c r="L4" s="2290"/>
      <c r="M4" s="2290"/>
      <c r="N4" s="2290"/>
      <c r="O4" s="2290"/>
      <c r="P4" s="2290"/>
      <c r="Q4" s="2290"/>
      <c r="R4" s="2290"/>
      <c r="S4" s="2290"/>
      <c r="T4" s="2290"/>
      <c r="U4" s="2290"/>
      <c r="V4" s="2290"/>
      <c r="W4" s="2290"/>
      <c r="X4" s="2290"/>
      <c r="Y4" s="2290"/>
      <c r="Z4" s="2290"/>
      <c r="AA4" s="2290"/>
      <c r="AB4" s="2290"/>
      <c r="AC4" s="2290"/>
      <c r="AD4" s="2290"/>
      <c r="AE4" s="2290"/>
      <c r="AF4" s="2290"/>
      <c r="AG4" s="2290"/>
      <c r="AH4" s="2290"/>
      <c r="AI4" s="2290"/>
      <c r="AJ4" s="2290"/>
    </row>
    <row r="5" spans="1:36" ht="12.75" customHeight="1">
      <c r="A5" s="2870" t="s">
        <v>623</v>
      </c>
      <c r="B5" s="2870" t="s">
        <v>356</v>
      </c>
      <c r="C5" s="2871" t="s">
        <v>9</v>
      </c>
      <c r="D5" s="2865" t="s">
        <v>2974</v>
      </c>
      <c r="E5" s="2866"/>
      <c r="F5" s="2866"/>
      <c r="G5" s="2866"/>
      <c r="H5" s="2866"/>
      <c r="I5" s="2866"/>
      <c r="J5" s="2866"/>
      <c r="K5" s="2866"/>
      <c r="L5" s="2866"/>
      <c r="M5" s="2866"/>
      <c r="N5" s="2866"/>
      <c r="O5" s="2866"/>
      <c r="P5" s="2866"/>
      <c r="Q5" s="2866"/>
      <c r="R5" s="2866"/>
      <c r="S5" s="2866"/>
      <c r="T5" s="2866"/>
      <c r="U5" s="2866"/>
      <c r="V5" s="2866"/>
      <c r="W5" s="2866"/>
      <c r="X5" s="2866"/>
      <c r="Y5" s="2866"/>
      <c r="Z5" s="2866"/>
      <c r="AA5" s="2866"/>
      <c r="AB5" s="2866"/>
      <c r="AC5" s="2866"/>
      <c r="AD5" s="2866"/>
      <c r="AE5" s="2866"/>
      <c r="AF5" s="2866"/>
      <c r="AG5" s="2866"/>
      <c r="AH5" s="2867"/>
      <c r="AI5" s="2873" t="s">
        <v>349</v>
      </c>
      <c r="AJ5" s="2873" t="s">
        <v>12</v>
      </c>
    </row>
    <row r="6" spans="1:36" ht="16.5" customHeight="1">
      <c r="A6" s="2870"/>
      <c r="B6" s="2870" t="s">
        <v>2945</v>
      </c>
      <c r="C6" s="2872"/>
      <c r="D6" s="338">
        <v>1</v>
      </c>
      <c r="E6" s="338">
        <v>2</v>
      </c>
      <c r="F6" s="338">
        <v>3</v>
      </c>
      <c r="G6" s="338">
        <v>4</v>
      </c>
      <c r="H6" s="338">
        <v>5</v>
      </c>
      <c r="I6" s="338">
        <v>6</v>
      </c>
      <c r="J6" s="338">
        <v>7</v>
      </c>
      <c r="K6" s="338">
        <v>8</v>
      </c>
      <c r="L6" s="338">
        <v>9</v>
      </c>
      <c r="M6" s="338">
        <v>10</v>
      </c>
      <c r="N6" s="338">
        <v>11</v>
      </c>
      <c r="O6" s="338">
        <v>12</v>
      </c>
      <c r="P6" s="338">
        <v>13</v>
      </c>
      <c r="Q6" s="338">
        <v>14</v>
      </c>
      <c r="R6" s="338">
        <v>15</v>
      </c>
      <c r="S6" s="338">
        <v>16</v>
      </c>
      <c r="T6" s="338">
        <v>17</v>
      </c>
      <c r="U6" s="338">
        <v>18</v>
      </c>
      <c r="V6" s="338">
        <v>19</v>
      </c>
      <c r="W6" s="338">
        <v>20</v>
      </c>
      <c r="X6" s="338">
        <v>21</v>
      </c>
      <c r="Y6" s="338">
        <v>22</v>
      </c>
      <c r="Z6" s="338">
        <v>23</v>
      </c>
      <c r="AA6" s="338">
        <v>24</v>
      </c>
      <c r="AB6" s="338">
        <v>25</v>
      </c>
      <c r="AC6" s="338">
        <v>26</v>
      </c>
      <c r="AD6" s="338">
        <v>27</v>
      </c>
      <c r="AE6" s="338">
        <v>28</v>
      </c>
      <c r="AF6" s="338">
        <v>29</v>
      </c>
      <c r="AG6" s="338">
        <v>30</v>
      </c>
      <c r="AH6" s="338">
        <v>31</v>
      </c>
      <c r="AI6" s="2870"/>
      <c r="AJ6" s="2870"/>
    </row>
    <row r="7" spans="1:36" ht="16.5" customHeight="1">
      <c r="A7" s="338">
        <v>1</v>
      </c>
      <c r="B7" s="339" t="s">
        <v>607</v>
      </c>
      <c r="C7" s="340"/>
      <c r="D7" s="341"/>
      <c r="E7" s="341"/>
      <c r="F7" s="341"/>
      <c r="G7" s="341" t="s">
        <v>536</v>
      </c>
      <c r="H7" s="341" t="s">
        <v>536</v>
      </c>
      <c r="I7" s="341"/>
      <c r="J7" s="341" t="s">
        <v>536</v>
      </c>
      <c r="K7" s="341" t="s">
        <v>536</v>
      </c>
      <c r="L7" s="341" t="s">
        <v>536</v>
      </c>
      <c r="M7" s="341"/>
      <c r="N7" s="341" t="s">
        <v>536</v>
      </c>
      <c r="O7" s="341" t="s">
        <v>536</v>
      </c>
      <c r="P7" s="341"/>
      <c r="Q7" s="341" t="s">
        <v>536</v>
      </c>
      <c r="R7" s="341" t="s">
        <v>536</v>
      </c>
      <c r="S7" s="341"/>
      <c r="T7" s="341" t="s">
        <v>536</v>
      </c>
      <c r="U7" s="341" t="s">
        <v>536</v>
      </c>
      <c r="V7" s="341" t="s">
        <v>536</v>
      </c>
      <c r="W7" s="341"/>
      <c r="X7" s="341"/>
      <c r="Y7" s="341"/>
      <c r="Z7" s="341"/>
      <c r="AA7" s="341" t="s">
        <v>536</v>
      </c>
      <c r="AB7" s="341" t="s">
        <v>536</v>
      </c>
      <c r="AC7" s="341" t="s">
        <v>536</v>
      </c>
      <c r="AD7" s="341" t="s">
        <v>536</v>
      </c>
      <c r="AE7" s="341" t="s">
        <v>536</v>
      </c>
      <c r="AF7" s="341" t="s">
        <v>536</v>
      </c>
      <c r="AG7" s="341"/>
      <c r="AH7" s="341" t="s">
        <v>536</v>
      </c>
      <c r="AI7" s="348">
        <f>COUNTIF(D7:AH7,"x")</f>
        <v>19</v>
      </c>
      <c r="AJ7" s="348"/>
    </row>
    <row r="8" spans="1:36" ht="16.5" customHeight="1">
      <c r="A8" s="338">
        <v>2</v>
      </c>
      <c r="B8" s="339" t="s">
        <v>2947</v>
      </c>
      <c r="C8" s="340"/>
      <c r="D8" s="341" t="s">
        <v>536</v>
      </c>
      <c r="E8" s="341"/>
      <c r="F8" s="341" t="s">
        <v>536</v>
      </c>
      <c r="G8" s="341" t="s">
        <v>536</v>
      </c>
      <c r="H8" s="341" t="s">
        <v>536</v>
      </c>
      <c r="I8" s="341"/>
      <c r="J8" s="341" t="s">
        <v>536</v>
      </c>
      <c r="K8" s="341" t="s">
        <v>536</v>
      </c>
      <c r="L8" s="341" t="s">
        <v>536</v>
      </c>
      <c r="M8" s="341"/>
      <c r="N8" s="341" t="s">
        <v>536</v>
      </c>
      <c r="O8" s="341" t="s">
        <v>536</v>
      </c>
      <c r="P8" s="341"/>
      <c r="Q8" s="341" t="s">
        <v>536</v>
      </c>
      <c r="R8" s="341" t="s">
        <v>536</v>
      </c>
      <c r="S8" s="341"/>
      <c r="T8" s="341" t="s">
        <v>536</v>
      </c>
      <c r="U8" s="341" t="s">
        <v>536</v>
      </c>
      <c r="V8" s="341" t="s">
        <v>536</v>
      </c>
      <c r="W8" s="341" t="s">
        <v>536</v>
      </c>
      <c r="X8" s="341"/>
      <c r="Y8" s="341" t="s">
        <v>536</v>
      </c>
      <c r="Z8" s="341"/>
      <c r="AA8" s="341" t="s">
        <v>536</v>
      </c>
      <c r="AB8" s="341" t="s">
        <v>536</v>
      </c>
      <c r="AC8" s="341" t="s">
        <v>536</v>
      </c>
      <c r="AD8" s="341" t="s">
        <v>536</v>
      </c>
      <c r="AE8" s="341"/>
      <c r="AF8" s="341" t="s">
        <v>536</v>
      </c>
      <c r="AG8" s="341"/>
      <c r="AH8" s="341" t="s">
        <v>536</v>
      </c>
      <c r="AI8" s="348">
        <f t="shared" ref="AI8:AI15" si="0">COUNTIF(D8:AH8,"x")</f>
        <v>22</v>
      </c>
      <c r="AJ8" s="348"/>
    </row>
    <row r="9" spans="1:36" ht="16.5" customHeight="1">
      <c r="A9" s="338">
        <v>3</v>
      </c>
      <c r="B9" s="339" t="s">
        <v>300</v>
      </c>
      <c r="C9" s="340"/>
      <c r="D9" s="341" t="s">
        <v>536</v>
      </c>
      <c r="E9" s="341"/>
      <c r="F9" s="341" t="s">
        <v>536</v>
      </c>
      <c r="G9" s="341" t="s">
        <v>536</v>
      </c>
      <c r="H9" s="341" t="s">
        <v>536</v>
      </c>
      <c r="I9" s="341"/>
      <c r="J9" s="341" t="s">
        <v>536</v>
      </c>
      <c r="K9" s="341" t="s">
        <v>536</v>
      </c>
      <c r="L9" s="341" t="s">
        <v>536</v>
      </c>
      <c r="M9" s="341"/>
      <c r="N9" s="341" t="s">
        <v>536</v>
      </c>
      <c r="O9" s="341" t="s">
        <v>536</v>
      </c>
      <c r="P9" s="341"/>
      <c r="Q9" s="341" t="s">
        <v>536</v>
      </c>
      <c r="R9" s="341" t="s">
        <v>536</v>
      </c>
      <c r="S9" s="341"/>
      <c r="T9" s="341" t="s">
        <v>536</v>
      </c>
      <c r="U9" s="341" t="s">
        <v>536</v>
      </c>
      <c r="V9" s="341" t="s">
        <v>536</v>
      </c>
      <c r="W9" s="341" t="s">
        <v>536</v>
      </c>
      <c r="X9" s="341" t="s">
        <v>536</v>
      </c>
      <c r="Y9" s="341" t="s">
        <v>536</v>
      </c>
      <c r="Z9" s="341" t="s">
        <v>536</v>
      </c>
      <c r="AA9" s="341" t="s">
        <v>536</v>
      </c>
      <c r="AB9" s="341" t="s">
        <v>536</v>
      </c>
      <c r="AC9" s="341" t="s">
        <v>536</v>
      </c>
      <c r="AD9" s="341"/>
      <c r="AE9" s="341" t="s">
        <v>536</v>
      </c>
      <c r="AF9" s="341" t="s">
        <v>536</v>
      </c>
      <c r="AG9" s="341"/>
      <c r="AH9" s="341" t="s">
        <v>536</v>
      </c>
      <c r="AI9" s="348">
        <f t="shared" si="0"/>
        <v>24</v>
      </c>
      <c r="AJ9" s="348"/>
    </row>
    <row r="10" spans="1:36" ht="16.5" customHeight="1">
      <c r="A10" s="338">
        <v>4</v>
      </c>
      <c r="B10" s="339" t="s">
        <v>1656</v>
      </c>
      <c r="C10" s="340"/>
      <c r="D10" s="341" t="s">
        <v>536</v>
      </c>
      <c r="E10" s="341"/>
      <c r="F10" s="341" t="s">
        <v>536</v>
      </c>
      <c r="G10" s="341" t="s">
        <v>536</v>
      </c>
      <c r="H10" s="341"/>
      <c r="I10" s="341"/>
      <c r="J10" s="341" t="s">
        <v>536</v>
      </c>
      <c r="K10" s="341" t="s">
        <v>536</v>
      </c>
      <c r="L10" s="341" t="s">
        <v>536</v>
      </c>
      <c r="M10" s="341"/>
      <c r="N10" s="341" t="s">
        <v>536</v>
      </c>
      <c r="O10" s="341"/>
      <c r="P10" s="341"/>
      <c r="Q10" s="341" t="s">
        <v>536</v>
      </c>
      <c r="R10" s="341" t="s">
        <v>536</v>
      </c>
      <c r="S10" s="341"/>
      <c r="T10" s="341" t="s">
        <v>536</v>
      </c>
      <c r="U10" s="341" t="s">
        <v>536</v>
      </c>
      <c r="V10" s="341"/>
      <c r="W10" s="341" t="s">
        <v>536</v>
      </c>
      <c r="X10" s="341" t="s">
        <v>536</v>
      </c>
      <c r="Y10" s="341" t="s">
        <v>536</v>
      </c>
      <c r="Z10" s="341" t="s">
        <v>536</v>
      </c>
      <c r="AA10" s="341" t="s">
        <v>536</v>
      </c>
      <c r="AB10" s="341" t="s">
        <v>536</v>
      </c>
      <c r="AC10" s="341" t="s">
        <v>536</v>
      </c>
      <c r="AD10" s="341" t="s">
        <v>536</v>
      </c>
      <c r="AE10" s="341" t="s">
        <v>536</v>
      </c>
      <c r="AF10" s="341" t="s">
        <v>536</v>
      </c>
      <c r="AG10" s="341"/>
      <c r="AH10" s="341" t="s">
        <v>536</v>
      </c>
      <c r="AI10" s="348">
        <f t="shared" si="0"/>
        <v>22</v>
      </c>
      <c r="AJ10" s="348"/>
    </row>
    <row r="11" spans="1:36" ht="16.5" customHeight="1">
      <c r="A11" s="338">
        <v>5</v>
      </c>
      <c r="B11" s="339" t="s">
        <v>2369</v>
      </c>
      <c r="C11" s="340"/>
      <c r="D11" s="341" t="s">
        <v>536</v>
      </c>
      <c r="E11" s="341"/>
      <c r="F11" s="341"/>
      <c r="G11" s="341" t="s">
        <v>536</v>
      </c>
      <c r="H11" s="341" t="s">
        <v>536</v>
      </c>
      <c r="I11" s="341"/>
      <c r="J11" s="341"/>
      <c r="K11" s="341"/>
      <c r="L11" s="341"/>
      <c r="M11" s="341"/>
      <c r="N11" s="341"/>
      <c r="O11" s="341" t="s">
        <v>536</v>
      </c>
      <c r="P11" s="341"/>
      <c r="Q11" s="341"/>
      <c r="R11" s="341"/>
      <c r="S11" s="341"/>
      <c r="T11" s="341"/>
      <c r="U11" s="341"/>
      <c r="V11" s="341"/>
      <c r="W11" s="341"/>
      <c r="X11" s="341"/>
      <c r="Y11" s="341"/>
      <c r="Z11" s="341" t="s">
        <v>536</v>
      </c>
      <c r="AA11" s="341" t="s">
        <v>536</v>
      </c>
      <c r="AB11" s="341" t="s">
        <v>536</v>
      </c>
      <c r="AC11" s="341" t="s">
        <v>536</v>
      </c>
      <c r="AD11" s="341" t="s">
        <v>536</v>
      </c>
      <c r="AE11" s="341" t="s">
        <v>536</v>
      </c>
      <c r="AF11" s="341" t="s">
        <v>536</v>
      </c>
      <c r="AG11" s="341"/>
      <c r="AH11" s="341" t="s">
        <v>536</v>
      </c>
      <c r="AI11" s="348">
        <f t="shared" si="0"/>
        <v>12</v>
      </c>
      <c r="AJ11" s="348"/>
    </row>
    <row r="12" spans="1:36" ht="16.5" customHeight="1">
      <c r="A12" s="338">
        <v>6</v>
      </c>
      <c r="B12" s="339" t="s">
        <v>2948</v>
      </c>
      <c r="C12" s="340"/>
      <c r="D12" s="341" t="s">
        <v>536</v>
      </c>
      <c r="E12" s="341"/>
      <c r="F12" s="341" t="s">
        <v>536</v>
      </c>
      <c r="G12" s="341"/>
      <c r="H12" s="341" t="s">
        <v>536</v>
      </c>
      <c r="I12" s="341"/>
      <c r="J12" s="341" t="s">
        <v>536</v>
      </c>
      <c r="K12" s="341" t="s">
        <v>536</v>
      </c>
      <c r="L12" s="341" t="s">
        <v>536</v>
      </c>
      <c r="M12" s="341"/>
      <c r="N12" s="341" t="s">
        <v>536</v>
      </c>
      <c r="O12" s="341" t="s">
        <v>536</v>
      </c>
      <c r="P12" s="341"/>
      <c r="Q12" s="341" t="s">
        <v>536</v>
      </c>
      <c r="R12" s="341" t="s">
        <v>536</v>
      </c>
      <c r="S12" s="341"/>
      <c r="T12" s="341" t="s">
        <v>536</v>
      </c>
      <c r="U12" s="341"/>
      <c r="V12" s="341" t="s">
        <v>536</v>
      </c>
      <c r="W12" s="341" t="s">
        <v>536</v>
      </c>
      <c r="X12" s="341" t="s">
        <v>536</v>
      </c>
      <c r="Y12" s="341" t="s">
        <v>536</v>
      </c>
      <c r="Z12" s="341" t="s">
        <v>536</v>
      </c>
      <c r="AA12" s="341" t="s">
        <v>536</v>
      </c>
      <c r="AB12" s="341" t="s">
        <v>536</v>
      </c>
      <c r="AC12" s="341" t="s">
        <v>536</v>
      </c>
      <c r="AD12" s="341" t="s">
        <v>536</v>
      </c>
      <c r="AE12" s="341" t="s">
        <v>536</v>
      </c>
      <c r="AF12" s="341" t="s">
        <v>536</v>
      </c>
      <c r="AG12" s="341"/>
      <c r="AH12" s="341" t="s">
        <v>536</v>
      </c>
      <c r="AI12" s="348">
        <f t="shared" si="0"/>
        <v>23</v>
      </c>
      <c r="AJ12" s="348"/>
    </row>
    <row r="13" spans="1:36" ht="16.5" customHeight="1">
      <c r="A13" s="338">
        <v>7</v>
      </c>
      <c r="B13" s="339" t="s">
        <v>2949</v>
      </c>
      <c r="C13" s="340"/>
      <c r="D13" s="341" t="s">
        <v>536</v>
      </c>
      <c r="E13" s="341"/>
      <c r="F13" s="341"/>
      <c r="G13" s="341" t="s">
        <v>536</v>
      </c>
      <c r="H13" s="341" t="s">
        <v>536</v>
      </c>
      <c r="I13" s="341"/>
      <c r="J13" s="341" t="s">
        <v>536</v>
      </c>
      <c r="K13" s="341" t="s">
        <v>536</v>
      </c>
      <c r="L13" s="341" t="s">
        <v>536</v>
      </c>
      <c r="M13" s="341"/>
      <c r="N13" s="341" t="s">
        <v>536</v>
      </c>
      <c r="O13" s="341" t="s">
        <v>536</v>
      </c>
      <c r="P13" s="341"/>
      <c r="Q13" s="341" t="s">
        <v>536</v>
      </c>
      <c r="R13" s="341" t="s">
        <v>536</v>
      </c>
      <c r="S13" s="341"/>
      <c r="T13" s="341" t="s">
        <v>536</v>
      </c>
      <c r="U13" s="341" t="s">
        <v>536</v>
      </c>
      <c r="V13" s="341" t="s">
        <v>536</v>
      </c>
      <c r="W13" s="341" t="s">
        <v>536</v>
      </c>
      <c r="X13" s="341" t="s">
        <v>536</v>
      </c>
      <c r="Y13" s="341" t="s">
        <v>536</v>
      </c>
      <c r="Z13" s="341" t="s">
        <v>536</v>
      </c>
      <c r="AA13" s="341" t="s">
        <v>536</v>
      </c>
      <c r="AB13" s="341" t="s">
        <v>536</v>
      </c>
      <c r="AC13" s="341" t="s">
        <v>536</v>
      </c>
      <c r="AD13" s="341" t="s">
        <v>536</v>
      </c>
      <c r="AE13" s="341" t="s">
        <v>536</v>
      </c>
      <c r="AF13" s="341" t="s">
        <v>536</v>
      </c>
      <c r="AG13" s="341"/>
      <c r="AH13" s="341" t="s">
        <v>536</v>
      </c>
      <c r="AI13" s="348">
        <f t="shared" si="0"/>
        <v>24</v>
      </c>
      <c r="AJ13" s="348"/>
    </row>
    <row r="14" spans="1:36" ht="16.5" customHeight="1">
      <c r="A14" s="338">
        <v>8</v>
      </c>
      <c r="B14" s="339" t="s">
        <v>2950</v>
      </c>
      <c r="C14" s="340"/>
      <c r="D14" s="341" t="s">
        <v>536</v>
      </c>
      <c r="E14" s="341"/>
      <c r="F14" s="341" t="s">
        <v>536</v>
      </c>
      <c r="G14" s="341" t="s">
        <v>536</v>
      </c>
      <c r="H14" s="341" t="s">
        <v>536</v>
      </c>
      <c r="I14" s="341"/>
      <c r="J14" s="341" t="s">
        <v>536</v>
      </c>
      <c r="K14" s="341"/>
      <c r="L14" s="341" t="s">
        <v>536</v>
      </c>
      <c r="M14" s="341"/>
      <c r="N14" s="341" t="s">
        <v>536</v>
      </c>
      <c r="O14" s="341" t="s">
        <v>536</v>
      </c>
      <c r="P14" s="341"/>
      <c r="Q14" s="341" t="s">
        <v>536</v>
      </c>
      <c r="R14" s="341" t="s">
        <v>536</v>
      </c>
      <c r="S14" s="341"/>
      <c r="T14" s="341" t="s">
        <v>536</v>
      </c>
      <c r="U14" s="341" t="s">
        <v>536</v>
      </c>
      <c r="V14" s="341" t="s">
        <v>536</v>
      </c>
      <c r="W14" s="341" t="s">
        <v>536</v>
      </c>
      <c r="X14" s="341" t="s">
        <v>536</v>
      </c>
      <c r="Y14" s="341" t="s">
        <v>536</v>
      </c>
      <c r="Z14" s="341" t="s">
        <v>536</v>
      </c>
      <c r="AA14" s="341" t="s">
        <v>536</v>
      </c>
      <c r="AB14" s="341" t="s">
        <v>536</v>
      </c>
      <c r="AC14" s="341" t="s">
        <v>536</v>
      </c>
      <c r="AD14" s="341"/>
      <c r="AE14" s="341" t="s">
        <v>536</v>
      </c>
      <c r="AF14" s="341" t="s">
        <v>536</v>
      </c>
      <c r="AG14" s="341"/>
      <c r="AH14" s="341" t="s">
        <v>536</v>
      </c>
      <c r="AI14" s="348">
        <f t="shared" si="0"/>
        <v>23</v>
      </c>
      <c r="AJ14" s="348"/>
    </row>
    <row r="15" spans="1:36" ht="16.5" customHeight="1">
      <c r="A15" s="338">
        <v>9</v>
      </c>
      <c r="B15" s="339" t="s">
        <v>2975</v>
      </c>
      <c r="C15" s="340"/>
      <c r="D15" s="341"/>
      <c r="E15" s="341"/>
      <c r="F15" s="341"/>
      <c r="G15" s="341"/>
      <c r="H15" s="341"/>
      <c r="I15" s="341"/>
      <c r="J15" s="341" t="s">
        <v>536</v>
      </c>
      <c r="K15" s="341"/>
      <c r="L15" s="341" t="s">
        <v>536</v>
      </c>
      <c r="M15" s="341"/>
      <c r="N15" s="341" t="s">
        <v>536</v>
      </c>
      <c r="O15" s="341"/>
      <c r="P15" s="341"/>
      <c r="Q15" s="341" t="s">
        <v>536</v>
      </c>
      <c r="R15" s="341" t="s">
        <v>536</v>
      </c>
      <c r="S15" s="341"/>
      <c r="T15" s="341"/>
      <c r="U15" s="341"/>
      <c r="V15" s="341"/>
      <c r="W15" s="341"/>
      <c r="X15" s="341"/>
      <c r="Y15" s="341"/>
      <c r="Z15" s="341" t="s">
        <v>536</v>
      </c>
      <c r="AA15" s="341" t="s">
        <v>536</v>
      </c>
      <c r="AB15" s="341" t="s">
        <v>536</v>
      </c>
      <c r="AC15" s="341" t="s">
        <v>536</v>
      </c>
      <c r="AD15" s="341" t="s">
        <v>536</v>
      </c>
      <c r="AE15" s="341" t="s">
        <v>536</v>
      </c>
      <c r="AF15" s="341"/>
      <c r="AG15" s="341"/>
      <c r="AH15" s="341"/>
      <c r="AI15" s="348">
        <f t="shared" si="0"/>
        <v>11</v>
      </c>
      <c r="AJ15" s="348"/>
    </row>
    <row r="16" spans="1:36" ht="16.5" customHeight="1">
      <c r="A16" s="2865" t="s">
        <v>525</v>
      </c>
      <c r="B16" s="2866"/>
      <c r="C16" s="342"/>
      <c r="D16" s="337">
        <f>COUNTIF(D7:D15,"X")</f>
        <v>7</v>
      </c>
      <c r="E16" s="337">
        <f t="shared" ref="E16:AH16" si="1">COUNTIF(E9:E15,"X")</f>
        <v>0</v>
      </c>
      <c r="F16" s="337">
        <f t="shared" si="1"/>
        <v>4</v>
      </c>
      <c r="G16" s="337">
        <f t="shared" si="1"/>
        <v>5</v>
      </c>
      <c r="H16" s="337">
        <f t="shared" si="1"/>
        <v>5</v>
      </c>
      <c r="I16" s="337">
        <f t="shared" si="1"/>
        <v>0</v>
      </c>
      <c r="J16" s="337">
        <f t="shared" si="1"/>
        <v>6</v>
      </c>
      <c r="K16" s="337">
        <f t="shared" si="1"/>
        <v>4</v>
      </c>
      <c r="L16" s="337">
        <f t="shared" si="1"/>
        <v>6</v>
      </c>
      <c r="M16" s="337">
        <f t="shared" si="1"/>
        <v>0</v>
      </c>
      <c r="N16" s="337">
        <f t="shared" si="1"/>
        <v>6</v>
      </c>
      <c r="O16" s="337">
        <f t="shared" si="1"/>
        <v>5</v>
      </c>
      <c r="P16" s="337">
        <f t="shared" si="1"/>
        <v>0</v>
      </c>
      <c r="Q16" s="337">
        <f t="shared" si="1"/>
        <v>6</v>
      </c>
      <c r="R16" s="337">
        <f t="shared" si="1"/>
        <v>6</v>
      </c>
      <c r="S16" s="337">
        <f t="shared" si="1"/>
        <v>0</v>
      </c>
      <c r="T16" s="337">
        <f t="shared" si="1"/>
        <v>5</v>
      </c>
      <c r="U16" s="337">
        <f t="shared" si="1"/>
        <v>4</v>
      </c>
      <c r="V16" s="337">
        <f t="shared" si="1"/>
        <v>4</v>
      </c>
      <c r="W16" s="337">
        <f t="shared" si="1"/>
        <v>5</v>
      </c>
      <c r="X16" s="337">
        <f t="shared" si="1"/>
        <v>5</v>
      </c>
      <c r="Y16" s="337">
        <f t="shared" si="1"/>
        <v>5</v>
      </c>
      <c r="Z16" s="337">
        <f t="shared" si="1"/>
        <v>7</v>
      </c>
      <c r="AA16" s="337">
        <f t="shared" si="1"/>
        <v>7</v>
      </c>
      <c r="AB16" s="337">
        <f t="shared" si="1"/>
        <v>7</v>
      </c>
      <c r="AC16" s="337">
        <f t="shared" si="1"/>
        <v>7</v>
      </c>
      <c r="AD16" s="337">
        <f t="shared" si="1"/>
        <v>5</v>
      </c>
      <c r="AE16" s="337">
        <f t="shared" si="1"/>
        <v>7</v>
      </c>
      <c r="AF16" s="337">
        <f t="shared" si="1"/>
        <v>6</v>
      </c>
      <c r="AG16" s="337">
        <f t="shared" si="1"/>
        <v>0</v>
      </c>
      <c r="AH16" s="337">
        <f t="shared" si="1"/>
        <v>6</v>
      </c>
      <c r="AI16" s="337">
        <f>SUM(AI7:AI15)</f>
        <v>180</v>
      </c>
      <c r="AJ16" s="349"/>
    </row>
    <row r="17" spans="1:36" ht="16.5" customHeight="1">
      <c r="A17" s="43"/>
      <c r="B17" s="43"/>
      <c r="C17" s="43"/>
      <c r="D17" s="43"/>
      <c r="E17" s="43"/>
      <c r="F17" s="43"/>
      <c r="G17" s="43"/>
      <c r="H17" s="43"/>
      <c r="I17" s="43"/>
      <c r="J17" s="43"/>
      <c r="K17" s="43"/>
      <c r="L17" s="43"/>
      <c r="M17" s="43"/>
      <c r="N17" s="43"/>
      <c r="O17" s="43"/>
      <c r="P17" s="43"/>
      <c r="Q17" s="43"/>
      <c r="R17" s="43"/>
      <c r="S17" s="43"/>
      <c r="T17" s="43"/>
      <c r="U17" s="43"/>
      <c r="V17" s="43"/>
      <c r="W17" s="43"/>
      <c r="X17" s="43"/>
      <c r="Y17" s="43"/>
      <c r="Z17" s="43"/>
      <c r="AA17" s="43"/>
      <c r="AB17" s="43"/>
      <c r="AC17" s="43"/>
      <c r="AD17" s="43"/>
      <c r="AE17" s="43"/>
      <c r="AF17" s="43"/>
      <c r="AG17" s="43"/>
      <c r="AH17" s="43"/>
      <c r="AI17" s="43"/>
      <c r="AJ17" s="28"/>
    </row>
    <row r="18" spans="1:36" ht="14.25" customHeight="1">
      <c r="X18" s="2868" t="s">
        <v>2976</v>
      </c>
      <c r="Y18" s="2868"/>
      <c r="Z18" s="2868"/>
      <c r="AA18" s="2868"/>
      <c r="AB18" s="2868"/>
      <c r="AC18" s="2868"/>
      <c r="AD18" s="2868"/>
      <c r="AE18" s="2868"/>
      <c r="AF18" s="2868"/>
      <c r="AG18" s="2868"/>
      <c r="AH18" s="2868"/>
      <c r="AI18" s="2868"/>
      <c r="AJ18" s="2868"/>
    </row>
    <row r="19" spans="1:36" ht="15.75">
      <c r="B19" s="176" t="s">
        <v>12</v>
      </c>
      <c r="C19" s="176"/>
      <c r="E19" s="176"/>
      <c r="F19" s="176"/>
      <c r="G19" s="176" t="s">
        <v>2952</v>
      </c>
      <c r="H19" s="176"/>
      <c r="I19" s="176"/>
      <c r="J19" s="176"/>
      <c r="K19" s="176"/>
      <c r="L19" s="176"/>
      <c r="M19" s="334"/>
      <c r="N19" s="334"/>
      <c r="O19" s="334"/>
      <c r="P19" s="334"/>
      <c r="Q19" s="334"/>
      <c r="R19" s="334"/>
      <c r="S19" s="334"/>
      <c r="T19" s="334"/>
      <c r="U19" s="334"/>
      <c r="V19" s="334"/>
      <c r="W19" s="334"/>
      <c r="X19" s="334"/>
      <c r="Y19" s="334"/>
      <c r="Z19" s="2552" t="s">
        <v>2977</v>
      </c>
      <c r="AA19" s="2552"/>
      <c r="AB19" s="2552"/>
      <c r="AC19" s="2552"/>
      <c r="AD19" s="2552"/>
      <c r="AE19" s="2552"/>
      <c r="AF19" s="2552"/>
      <c r="AG19" s="2552"/>
      <c r="AH19" s="2552"/>
      <c r="AI19" s="2552"/>
      <c r="AJ19" s="2552"/>
    </row>
    <row r="20" spans="1:36">
      <c r="A20" s="343" t="s">
        <v>536</v>
      </c>
      <c r="B20" s="344" t="s">
        <v>2953</v>
      </c>
      <c r="C20" s="343"/>
      <c r="Z20" s="343"/>
      <c r="AA20" s="343"/>
      <c r="AB20" s="343"/>
      <c r="AC20" s="343"/>
      <c r="AD20" s="343"/>
      <c r="AE20" s="343"/>
      <c r="AF20" s="343"/>
      <c r="AG20" s="343"/>
      <c r="AH20" s="343"/>
      <c r="AI20" s="343"/>
      <c r="AJ20" s="334"/>
    </row>
    <row r="21" spans="1:36">
      <c r="A21" s="343" t="s">
        <v>2954</v>
      </c>
      <c r="B21" s="344" t="s">
        <v>2955</v>
      </c>
      <c r="C21" s="343"/>
      <c r="Z21" s="343"/>
      <c r="AA21" s="343"/>
      <c r="AB21" s="343"/>
      <c r="AC21" s="343"/>
      <c r="AD21" s="343"/>
      <c r="AE21" s="343"/>
      <c r="AF21" s="343"/>
      <c r="AG21" s="343"/>
      <c r="AH21" s="343"/>
      <c r="AI21" s="343"/>
    </row>
    <row r="22" spans="1:36">
      <c r="A22" s="343" t="s">
        <v>2956</v>
      </c>
      <c r="B22" s="344" t="s">
        <v>2957</v>
      </c>
      <c r="C22" s="343"/>
      <c r="Z22" s="343"/>
      <c r="AA22" s="343"/>
      <c r="AB22" s="343"/>
      <c r="AC22" s="343"/>
      <c r="AD22" s="343"/>
      <c r="AE22" s="343"/>
      <c r="AF22" s="343"/>
      <c r="AG22" s="343"/>
      <c r="AH22" s="343"/>
      <c r="AI22" s="343"/>
    </row>
    <row r="23" spans="1:36">
      <c r="A23" s="343" t="s">
        <v>2958</v>
      </c>
      <c r="B23" s="344" t="s">
        <v>2959</v>
      </c>
      <c r="C23" s="343"/>
    </row>
    <row r="24" spans="1:36">
      <c r="A24" s="343" t="s">
        <v>2960</v>
      </c>
      <c r="B24" s="344" t="s">
        <v>2961</v>
      </c>
      <c r="C24" s="343"/>
    </row>
    <row r="25" spans="1:36" ht="15.75">
      <c r="A25" s="197" t="s">
        <v>2962</v>
      </c>
      <c r="B25" s="345" t="s">
        <v>2963</v>
      </c>
      <c r="C25" s="346"/>
      <c r="D25" s="347"/>
      <c r="E25" s="347"/>
      <c r="F25" s="347"/>
      <c r="G25" s="2869"/>
      <c r="H25" s="2869"/>
      <c r="I25" s="2869"/>
      <c r="J25" s="2869"/>
      <c r="K25" s="2869"/>
      <c r="L25" s="2869"/>
      <c r="M25" s="2869"/>
      <c r="N25" s="2869"/>
      <c r="O25" s="2869"/>
      <c r="P25" s="2869"/>
      <c r="Z25" s="2552"/>
      <c r="AA25" s="2552"/>
      <c r="AB25" s="2552"/>
      <c r="AC25" s="2552"/>
      <c r="AD25" s="2552"/>
      <c r="AE25" s="2552"/>
      <c r="AF25" s="2552"/>
      <c r="AG25" s="2552"/>
      <c r="AH25" s="2552"/>
      <c r="AI25" s="2552"/>
      <c r="AJ25" s="2552"/>
    </row>
    <row r="26" spans="1:36" ht="15.75">
      <c r="A26" s="197" t="s">
        <v>2964</v>
      </c>
      <c r="B26" s="345" t="s">
        <v>2965</v>
      </c>
      <c r="C26" s="346"/>
      <c r="D26" s="346"/>
      <c r="E26" s="346"/>
      <c r="F26" s="346"/>
    </row>
    <row r="27" spans="1:36">
      <c r="A27" s="343" t="s">
        <v>2966</v>
      </c>
      <c r="B27" s="344" t="s">
        <v>2967</v>
      </c>
    </row>
    <row r="28" spans="1:36" s="78" customFormat="1">
      <c r="A28" s="343" t="s">
        <v>2968</v>
      </c>
      <c r="B28" s="344" t="s">
        <v>2969</v>
      </c>
      <c r="C28" s="335"/>
      <c r="D28" s="335"/>
      <c r="E28" s="335"/>
      <c r="F28" s="335"/>
      <c r="G28" s="335"/>
      <c r="H28" s="335"/>
      <c r="I28" s="335"/>
      <c r="J28" s="335"/>
      <c r="K28" s="335"/>
      <c r="L28" s="335"/>
      <c r="M28" s="335"/>
      <c r="N28" s="335"/>
      <c r="O28" s="335"/>
      <c r="P28" s="335"/>
      <c r="Q28" s="335"/>
      <c r="R28" s="335"/>
      <c r="S28" s="335"/>
      <c r="T28" s="335"/>
      <c r="U28" s="335"/>
      <c r="V28" s="335"/>
      <c r="W28" s="335"/>
      <c r="X28" s="335"/>
      <c r="Y28" s="335"/>
      <c r="Z28" s="335"/>
      <c r="AA28" s="335"/>
      <c r="AB28" s="335"/>
      <c r="AC28" s="335"/>
      <c r="AD28" s="335"/>
      <c r="AE28" s="335"/>
      <c r="AF28" s="335"/>
      <c r="AG28" s="335"/>
      <c r="AH28" s="335"/>
      <c r="AI28" s="335"/>
      <c r="AJ28" s="335"/>
    </row>
    <row r="29" spans="1:36">
      <c r="A29" s="343" t="s">
        <v>2970</v>
      </c>
      <c r="B29" s="344" t="s">
        <v>2971</v>
      </c>
    </row>
    <row r="30" spans="1:36" s="334" customFormat="1">
      <c r="A30" s="335"/>
      <c r="B30" s="335"/>
      <c r="C30" s="335"/>
      <c r="D30" s="335"/>
      <c r="E30" s="335"/>
      <c r="F30" s="335"/>
      <c r="G30" s="335"/>
      <c r="H30" s="335"/>
      <c r="I30" s="335"/>
      <c r="J30" s="335"/>
      <c r="K30" s="335"/>
      <c r="L30" s="335"/>
      <c r="M30" s="335"/>
      <c r="N30" s="335"/>
      <c r="O30" s="335"/>
      <c r="P30" s="335"/>
      <c r="Q30" s="335"/>
      <c r="R30" s="335"/>
      <c r="S30" s="335"/>
      <c r="T30" s="335"/>
      <c r="U30" s="335"/>
      <c r="V30" s="335"/>
      <c r="W30" s="335"/>
      <c r="X30" s="335"/>
      <c r="Y30" s="335"/>
      <c r="Z30" s="335"/>
      <c r="AA30" s="335"/>
      <c r="AB30" s="335"/>
      <c r="AC30" s="335"/>
      <c r="AD30" s="335"/>
      <c r="AE30" s="335"/>
      <c r="AF30" s="335"/>
      <c r="AG30" s="335"/>
      <c r="AH30" s="335"/>
      <c r="AI30" s="335"/>
      <c r="AJ30" s="335"/>
    </row>
  </sheetData>
  <mergeCells count="16">
    <mergeCell ref="A1:K1"/>
    <mergeCell ref="O1:AI1"/>
    <mergeCell ref="A2:K2"/>
    <mergeCell ref="O2:AI2"/>
    <mergeCell ref="A4:AJ4"/>
    <mergeCell ref="D5:AH5"/>
    <mergeCell ref="A16:B16"/>
    <mergeCell ref="X18:AJ18"/>
    <mergeCell ref="Z19:AJ19"/>
    <mergeCell ref="G25:P25"/>
    <mergeCell ref="Z25:AJ25"/>
    <mergeCell ref="A5:A6"/>
    <mergeCell ref="B5:B6"/>
    <mergeCell ref="C5:C6"/>
    <mergeCell ref="AI5:AI6"/>
    <mergeCell ref="AJ5:AJ6"/>
  </mergeCells>
  <pageMargins left="0.2" right="0.2" top="0.52" bottom="0.75" header="0.3" footer="0.3"/>
  <pageSetup orientation="landscape"/>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O78"/>
  <sheetViews>
    <sheetView topLeftCell="A10" workbookViewId="0">
      <selection sqref="A1:B1"/>
    </sheetView>
  </sheetViews>
  <sheetFormatPr defaultColWidth="9.140625" defaultRowHeight="15.75"/>
  <cols>
    <col min="1" max="1" width="4.7109375" style="308" customWidth="1"/>
    <col min="2" max="2" width="43.42578125" style="308" customWidth="1"/>
    <col min="3" max="3" width="7.28515625" style="308" customWidth="1"/>
    <col min="4" max="4" width="8.7109375" style="308" customWidth="1"/>
    <col min="5" max="5" width="12.5703125" style="308" customWidth="1"/>
    <col min="6" max="6" width="8.7109375" style="308" customWidth="1"/>
    <col min="7" max="7" width="18.5703125" style="308" customWidth="1"/>
    <col min="8" max="8" width="7.5703125" style="308" customWidth="1"/>
    <col min="9" max="9" width="9.42578125" style="308" customWidth="1"/>
    <col min="10" max="10" width="13.140625" style="308" customWidth="1"/>
    <col min="11" max="11" width="18.5703125" style="308" customWidth="1"/>
    <col min="12" max="16384" width="9.140625" style="308"/>
  </cols>
  <sheetData>
    <row r="1" spans="1:15">
      <c r="A1" s="2877" t="s">
        <v>2978</v>
      </c>
      <c r="B1" s="2877"/>
    </row>
    <row r="2" spans="1:15" s="303" customFormat="1">
      <c r="A2" s="2878" t="s">
        <v>611</v>
      </c>
      <c r="B2" s="2878"/>
    </row>
    <row r="4" spans="1:15" s="304" customFormat="1" ht="22.5" customHeight="1">
      <c r="A4" s="2879" t="s">
        <v>2979</v>
      </c>
      <c r="B4" s="2879"/>
      <c r="C4" s="2879"/>
      <c r="D4" s="2879"/>
      <c r="E4" s="2879"/>
      <c r="F4" s="2879"/>
      <c r="G4" s="2879"/>
      <c r="H4" s="2879"/>
      <c r="I4" s="2879"/>
      <c r="J4" s="2879"/>
    </row>
    <row r="6" spans="1:15" s="305" customFormat="1" ht="65.25" customHeight="1">
      <c r="A6" s="309" t="s">
        <v>6</v>
      </c>
      <c r="B6" s="309" t="s">
        <v>2980</v>
      </c>
      <c r="C6" s="309" t="s">
        <v>2794</v>
      </c>
      <c r="D6" s="309" t="s">
        <v>2981</v>
      </c>
      <c r="E6" s="309" t="s">
        <v>2982</v>
      </c>
      <c r="F6" s="309" t="s">
        <v>2941</v>
      </c>
      <c r="G6" s="309" t="s">
        <v>2983</v>
      </c>
      <c r="H6" s="309" t="s">
        <v>2984</v>
      </c>
      <c r="I6" s="309" t="s">
        <v>2985</v>
      </c>
      <c r="J6" s="309" t="s">
        <v>12</v>
      </c>
    </row>
    <row r="7" spans="1:15" s="306" customFormat="1" ht="18.75" customHeight="1">
      <c r="A7" s="310" t="s">
        <v>1959</v>
      </c>
      <c r="B7" s="311" t="s">
        <v>2986</v>
      </c>
      <c r="C7" s="310" t="s">
        <v>2987</v>
      </c>
      <c r="D7" s="310"/>
      <c r="E7" s="310"/>
      <c r="F7" s="310"/>
      <c r="G7" s="312" t="e">
        <f>SUM(#REF!)</f>
        <v>#REF!</v>
      </c>
      <c r="H7" s="312"/>
      <c r="I7" s="320"/>
      <c r="J7" s="312"/>
    </row>
    <row r="8" spans="1:15" s="306" customFormat="1" ht="18.75" customHeight="1">
      <c r="A8" s="310" t="s">
        <v>1957</v>
      </c>
      <c r="B8" s="313" t="s">
        <v>2988</v>
      </c>
      <c r="C8" s="310" t="s">
        <v>2858</v>
      </c>
      <c r="D8" s="312"/>
      <c r="E8" s="312"/>
      <c r="F8" s="312"/>
      <c r="G8" s="312" t="e">
        <f>SUM(G9,G28,G31)</f>
        <v>#REF!</v>
      </c>
      <c r="H8" s="312"/>
      <c r="I8" s="320"/>
      <c r="J8" s="312"/>
    </row>
    <row r="9" spans="1:15" s="306" customFormat="1" ht="18.75" customHeight="1">
      <c r="A9" s="310">
        <v>1</v>
      </c>
      <c r="B9" s="313" t="s">
        <v>2989</v>
      </c>
      <c r="C9" s="310" t="s">
        <v>2858</v>
      </c>
      <c r="D9" s="312"/>
      <c r="E9" s="312"/>
      <c r="F9" s="312"/>
      <c r="G9" s="312" t="e">
        <f>SUM(G10,G23,G26,G27)</f>
        <v>#REF!</v>
      </c>
      <c r="H9" s="314"/>
      <c r="I9" s="320"/>
      <c r="J9" s="312"/>
    </row>
    <row r="10" spans="1:15" s="307" customFormat="1" ht="18.75" customHeight="1">
      <c r="A10" s="315">
        <v>1.1000000000000001</v>
      </c>
      <c r="B10" s="316" t="s">
        <v>2990</v>
      </c>
      <c r="C10" s="315" t="s">
        <v>2410</v>
      </c>
      <c r="D10" s="317" t="e">
        <f>SUM(D11:D22)</f>
        <v>#REF!</v>
      </c>
      <c r="E10" s="317" t="e">
        <f>SUM(E11:E22)</f>
        <v>#REF!</v>
      </c>
      <c r="F10" s="317"/>
      <c r="G10" s="317" t="e">
        <f>SUM(G11:G22)</f>
        <v>#REF!</v>
      </c>
      <c r="H10" s="317"/>
      <c r="I10" s="320"/>
      <c r="J10" s="317"/>
      <c r="L10" s="327" t="e">
        <f>+#REF!-'TH LƯƠNG NT1'!E10</f>
        <v>#REF!</v>
      </c>
    </row>
    <row r="11" spans="1:15" ht="18.75" customHeight="1">
      <c r="A11" s="318"/>
      <c r="B11" s="319" t="s">
        <v>2991</v>
      </c>
      <c r="C11" s="318" t="s">
        <v>2410</v>
      </c>
      <c r="D11" s="320" t="e">
        <f>+#REF!+#REF!+#REF!</f>
        <v>#REF!</v>
      </c>
      <c r="E11" s="320" t="e">
        <f>+'LƯƠNG KT'!#REF!+'LƯƠNG KT'!#REF!+'LƯƠNG KT'!#REF!</f>
        <v>#REF!</v>
      </c>
      <c r="F11" s="320">
        <v>1600</v>
      </c>
      <c r="G11" s="320" t="e">
        <f>F11*E11</f>
        <v>#REF!</v>
      </c>
      <c r="H11" s="320"/>
      <c r="I11" s="320"/>
      <c r="J11" s="320"/>
    </row>
    <row r="12" spans="1:15" ht="18.75" customHeight="1">
      <c r="A12" s="318"/>
      <c r="B12" s="319" t="s">
        <v>2992</v>
      </c>
      <c r="C12" s="318" t="s">
        <v>2410</v>
      </c>
      <c r="D12" s="320" t="e">
        <f>+#REF!</f>
        <v>#REF!</v>
      </c>
      <c r="E12" s="320" t="e">
        <f>+'LƯƠNG KT'!#REF!</f>
        <v>#REF!</v>
      </c>
      <c r="F12" s="320">
        <v>1900</v>
      </c>
      <c r="G12" s="320" t="e">
        <f t="shared" ref="G12:G22" si="0">F12*E12</f>
        <v>#REF!</v>
      </c>
      <c r="H12" s="320"/>
      <c r="I12" s="320"/>
      <c r="J12" s="320"/>
      <c r="L12" s="308" t="s">
        <v>2993</v>
      </c>
      <c r="M12" s="308" t="e">
        <f>+'LƯƠNG KT'!#REF!</f>
        <v>#REF!</v>
      </c>
      <c r="N12" s="325" t="e">
        <f>SUM(E11:E13)</f>
        <v>#REF!</v>
      </c>
      <c r="O12" s="325" t="e">
        <f>+M12-N12</f>
        <v>#REF!</v>
      </c>
    </row>
    <row r="13" spans="1:15" ht="18.75" customHeight="1">
      <c r="A13" s="318"/>
      <c r="B13" s="319" t="s">
        <v>2994</v>
      </c>
      <c r="C13" s="318" t="s">
        <v>2410</v>
      </c>
      <c r="D13" s="320" t="e">
        <f>+#REF!</f>
        <v>#REF!</v>
      </c>
      <c r="E13" s="320" t="e">
        <f>+'LƯƠNG KT'!#REF!</f>
        <v>#REF!</v>
      </c>
      <c r="F13" s="320">
        <v>1700</v>
      </c>
      <c r="G13" s="320" t="e">
        <f t="shared" si="0"/>
        <v>#REF!</v>
      </c>
      <c r="H13" s="320"/>
      <c r="I13" s="320"/>
      <c r="J13" s="320"/>
      <c r="L13" s="308" t="s">
        <v>2995</v>
      </c>
      <c r="M13" s="308" t="e">
        <f>+'LƯƠNG KT'!#REF!</f>
        <v>#REF!</v>
      </c>
      <c r="N13" s="325" t="e">
        <f>SUM(E14:E16)</f>
        <v>#REF!</v>
      </c>
      <c r="O13" s="325" t="e">
        <f>+M13-N13</f>
        <v>#REF!</v>
      </c>
    </row>
    <row r="14" spans="1:15" ht="18.75" customHeight="1">
      <c r="A14" s="318"/>
      <c r="B14" s="319" t="s">
        <v>2996</v>
      </c>
      <c r="C14" s="318" t="s">
        <v>2410</v>
      </c>
      <c r="D14" s="320" t="e">
        <f>+#REF!+#REF!+#REF!</f>
        <v>#REF!</v>
      </c>
      <c r="E14" s="320" t="e">
        <f>+'LƯƠNG KT'!#REF!+'LƯƠNG KT'!#REF!+'LƯƠNG KT'!#REF!</f>
        <v>#REF!</v>
      </c>
      <c r="F14" s="320">
        <v>1500</v>
      </c>
      <c r="G14" s="320" t="e">
        <f t="shared" si="0"/>
        <v>#REF!</v>
      </c>
      <c r="H14" s="320"/>
      <c r="I14" s="320"/>
      <c r="J14" s="320"/>
      <c r="L14" s="308" t="s">
        <v>2997</v>
      </c>
      <c r="M14" s="308" t="e">
        <f>+'LƯƠNG KT'!#REF!</f>
        <v>#REF!</v>
      </c>
      <c r="N14" s="325" t="e">
        <f>SUM(E17:E19)</f>
        <v>#REF!</v>
      </c>
      <c r="O14" s="325" t="e">
        <f>+M14-N14</f>
        <v>#REF!</v>
      </c>
    </row>
    <row r="15" spans="1:15" ht="18.75" customHeight="1">
      <c r="A15" s="318"/>
      <c r="B15" s="319" t="s">
        <v>2998</v>
      </c>
      <c r="C15" s="318" t="s">
        <v>2410</v>
      </c>
      <c r="D15" s="320" t="e">
        <f>+#REF!</f>
        <v>#REF!</v>
      </c>
      <c r="E15" s="321" t="e">
        <f>+'LƯƠNG KT'!#REF!</f>
        <v>#REF!</v>
      </c>
      <c r="F15" s="320">
        <v>1800</v>
      </c>
      <c r="G15" s="320" t="e">
        <f t="shared" si="0"/>
        <v>#REF!</v>
      </c>
      <c r="H15" s="320"/>
      <c r="I15" s="320"/>
      <c r="J15" s="320"/>
      <c r="L15" s="308" t="s">
        <v>2999</v>
      </c>
      <c r="M15" s="308" t="e">
        <f>+'LƯƠNG KT'!#REF!</f>
        <v>#REF!</v>
      </c>
      <c r="N15" s="325" t="e">
        <f>SUM(E20:E22)</f>
        <v>#REF!</v>
      </c>
      <c r="O15" s="325" t="e">
        <f>+M15-N15</f>
        <v>#REF!</v>
      </c>
    </row>
    <row r="16" spans="1:15" ht="18.75" customHeight="1">
      <c r="A16" s="318"/>
      <c r="B16" s="319" t="s">
        <v>3000</v>
      </c>
      <c r="C16" s="318" t="s">
        <v>2410</v>
      </c>
      <c r="D16" s="320" t="e">
        <f>+#REF!</f>
        <v>#REF!</v>
      </c>
      <c r="E16" s="320" t="e">
        <f>+'LƯƠNG KT'!#REF!</f>
        <v>#REF!</v>
      </c>
      <c r="F16" s="320">
        <v>1600</v>
      </c>
      <c r="G16" s="320" t="e">
        <f t="shared" si="0"/>
        <v>#REF!</v>
      </c>
      <c r="H16" s="320"/>
      <c r="I16" s="320"/>
      <c r="J16" s="320"/>
    </row>
    <row r="17" spans="1:14" ht="18.75" customHeight="1">
      <c r="A17" s="318"/>
      <c r="B17" s="319" t="s">
        <v>3001</v>
      </c>
      <c r="C17" s="318" t="s">
        <v>2410</v>
      </c>
      <c r="D17" s="320" t="e">
        <f>+#REF!+#REF!+#REF!</f>
        <v>#REF!</v>
      </c>
      <c r="E17" s="320" t="e">
        <f>+'LƯƠNG KT'!#REF!+'LƯƠNG KT'!#REF!+'LƯƠNG KT'!#REF!</f>
        <v>#REF!</v>
      </c>
      <c r="F17" s="320">
        <v>1400</v>
      </c>
      <c r="G17" s="320" t="e">
        <f t="shared" si="0"/>
        <v>#REF!</v>
      </c>
      <c r="H17" s="320"/>
      <c r="I17" s="320"/>
      <c r="J17" s="320"/>
      <c r="M17" s="308" t="e">
        <f>SUM(M12:M16)</f>
        <v>#REF!</v>
      </c>
      <c r="N17" s="308" t="e">
        <f>SUM(N12:N16)</f>
        <v>#REF!</v>
      </c>
    </row>
    <row r="18" spans="1:14" ht="18.75" customHeight="1">
      <c r="A18" s="318"/>
      <c r="B18" s="319" t="s">
        <v>3002</v>
      </c>
      <c r="C18" s="318" t="s">
        <v>2410</v>
      </c>
      <c r="D18" s="320" t="e">
        <f>+#REF!</f>
        <v>#REF!</v>
      </c>
      <c r="E18" s="320" t="e">
        <f>+'LƯƠNG KT'!#REF!</f>
        <v>#REF!</v>
      </c>
      <c r="F18" s="320">
        <v>1700</v>
      </c>
      <c r="G18" s="320" t="e">
        <f t="shared" si="0"/>
        <v>#REF!</v>
      </c>
      <c r="H18" s="320"/>
      <c r="I18" s="320"/>
      <c r="J18" s="320"/>
    </row>
    <row r="19" spans="1:14" ht="18.75" customHeight="1">
      <c r="A19" s="318"/>
      <c r="B19" s="319" t="s">
        <v>3003</v>
      </c>
      <c r="C19" s="318" t="s">
        <v>2410</v>
      </c>
      <c r="D19" s="320" t="e">
        <f>+#REF!</f>
        <v>#REF!</v>
      </c>
      <c r="E19" s="320" t="e">
        <f>+'LƯƠNG KT'!#REF!</f>
        <v>#REF!</v>
      </c>
      <c r="F19" s="320">
        <v>1500</v>
      </c>
      <c r="G19" s="320" t="e">
        <f t="shared" si="0"/>
        <v>#REF!</v>
      </c>
      <c r="H19" s="320"/>
      <c r="I19" s="320"/>
      <c r="J19" s="320"/>
    </row>
    <row r="20" spans="1:14" ht="18.75" customHeight="1">
      <c r="A20" s="318"/>
      <c r="B20" s="319" t="s">
        <v>3004</v>
      </c>
      <c r="C20" s="318" t="s">
        <v>2410</v>
      </c>
      <c r="D20" s="320" t="e">
        <f>+#REF!+#REF!+#REF!</f>
        <v>#REF!</v>
      </c>
      <c r="E20" s="320" t="e">
        <f>+'LƯƠNG KT'!#REF!+'LƯƠNG KT'!#REF!+'LƯƠNG KT'!#REF!</f>
        <v>#REF!</v>
      </c>
      <c r="F20" s="320">
        <v>1300</v>
      </c>
      <c r="G20" s="320" t="e">
        <f t="shared" si="0"/>
        <v>#REF!</v>
      </c>
      <c r="H20" s="320"/>
      <c r="I20" s="320"/>
      <c r="J20" s="320"/>
    </row>
    <row r="21" spans="1:14" ht="18.75" customHeight="1">
      <c r="A21" s="318"/>
      <c r="B21" s="319" t="s">
        <v>3005</v>
      </c>
      <c r="C21" s="318" t="s">
        <v>2410</v>
      </c>
      <c r="D21" s="320" t="e">
        <f>+#REF!</f>
        <v>#REF!</v>
      </c>
      <c r="E21" s="320" t="e">
        <f>+'LƯƠNG KT'!#REF!</f>
        <v>#REF!</v>
      </c>
      <c r="F21" s="320">
        <v>1600</v>
      </c>
      <c r="G21" s="320" t="e">
        <f t="shared" si="0"/>
        <v>#REF!</v>
      </c>
      <c r="H21" s="320"/>
      <c r="I21" s="320"/>
      <c r="J21" s="320"/>
    </row>
    <row r="22" spans="1:14" ht="18.75" customHeight="1">
      <c r="A22" s="318"/>
      <c r="B22" s="319" t="s">
        <v>3006</v>
      </c>
      <c r="C22" s="318" t="s">
        <v>2410</v>
      </c>
      <c r="D22" s="320" t="e">
        <f>+#REF!</f>
        <v>#REF!</v>
      </c>
      <c r="E22" s="320" t="e">
        <f>+'LƯƠNG KT'!#REF!</f>
        <v>#REF!</v>
      </c>
      <c r="F22" s="320">
        <v>1400</v>
      </c>
      <c r="G22" s="320" t="e">
        <f t="shared" si="0"/>
        <v>#REF!</v>
      </c>
      <c r="H22" s="320"/>
      <c r="I22" s="320"/>
      <c r="J22" s="320"/>
    </row>
    <row r="23" spans="1:14" s="307" customFormat="1" ht="18.75" customHeight="1">
      <c r="A23" s="315">
        <v>1.2</v>
      </c>
      <c r="B23" s="316" t="s">
        <v>3007</v>
      </c>
      <c r="C23" s="315" t="s">
        <v>2858</v>
      </c>
      <c r="D23" s="317" t="e">
        <f>SUM(D24:D25)</f>
        <v>#REF!</v>
      </c>
      <c r="E23" s="322"/>
      <c r="F23" s="317"/>
      <c r="G23" s="317" t="e">
        <f>SUM(G24:G25)</f>
        <v>#REF!</v>
      </c>
      <c r="H23" s="317"/>
      <c r="I23" s="317"/>
      <c r="J23" s="317"/>
    </row>
    <row r="24" spans="1:14" ht="18.75" customHeight="1">
      <c r="A24" s="318"/>
      <c r="B24" s="319" t="s">
        <v>3008</v>
      </c>
      <c r="C24" s="318" t="s">
        <v>2420</v>
      </c>
      <c r="D24" s="320" t="e">
        <f>+#REF!</f>
        <v>#REF!</v>
      </c>
      <c r="E24" s="323"/>
      <c r="F24" s="320">
        <v>25000</v>
      </c>
      <c r="G24" s="320" t="e">
        <f>F24*D24</f>
        <v>#REF!</v>
      </c>
      <c r="H24" s="320"/>
      <c r="I24" s="320"/>
      <c r="J24" s="320"/>
    </row>
    <row r="25" spans="1:14" ht="18.75" customHeight="1">
      <c r="A25" s="318"/>
      <c r="B25" s="319" t="s">
        <v>3009</v>
      </c>
      <c r="C25" s="318" t="s">
        <v>2420</v>
      </c>
      <c r="D25" s="320" t="e">
        <f>+#REF!</f>
        <v>#REF!</v>
      </c>
      <c r="E25" s="320"/>
      <c r="F25" s="320">
        <v>35000</v>
      </c>
      <c r="G25" s="320" t="e">
        <f>F25*D25</f>
        <v>#REF!</v>
      </c>
      <c r="H25" s="320"/>
      <c r="I25" s="320"/>
      <c r="J25" s="320"/>
    </row>
    <row r="26" spans="1:14" s="307" customFormat="1" ht="18.75" customHeight="1">
      <c r="A26" s="315">
        <v>1.3</v>
      </c>
      <c r="B26" s="316" t="s">
        <v>3010</v>
      </c>
      <c r="C26" s="315" t="s">
        <v>2420</v>
      </c>
      <c r="D26" s="317"/>
      <c r="E26" s="317"/>
      <c r="F26" s="317">
        <v>10000</v>
      </c>
      <c r="G26" s="317">
        <f>+D26*F26</f>
        <v>0</v>
      </c>
      <c r="H26" s="317"/>
      <c r="I26" s="317"/>
      <c r="J26" s="317"/>
    </row>
    <row r="27" spans="1:14" s="307" customFormat="1" ht="18.75" customHeight="1">
      <c r="A27" s="315">
        <v>1.4</v>
      </c>
      <c r="B27" s="316" t="s">
        <v>3011</v>
      </c>
      <c r="C27" s="315" t="s">
        <v>2420</v>
      </c>
      <c r="D27" s="324"/>
      <c r="E27" s="317"/>
      <c r="F27" s="317"/>
      <c r="G27" s="317" t="e">
        <f>SUM('LƯƠNG KT'!#REF!,'LƯƠNG KT'!#REF!,'LƯƠNG KT'!#REF!,'LƯƠNG KT'!#REF!,'LƯƠNG KT'!#REF!)</f>
        <v>#REF!</v>
      </c>
      <c r="H27" s="317"/>
      <c r="I27" s="317"/>
      <c r="J27" s="317"/>
    </row>
    <row r="28" spans="1:14" s="306" customFormat="1" ht="18.75" customHeight="1">
      <c r="A28" s="310">
        <v>2</v>
      </c>
      <c r="B28" s="313" t="s">
        <v>3012</v>
      </c>
      <c r="C28" s="310" t="s">
        <v>2858</v>
      </c>
      <c r="D28" s="312"/>
      <c r="E28" s="312"/>
      <c r="F28" s="312"/>
      <c r="G28" s="312" t="e">
        <f>SUM(G29,G30)</f>
        <v>#REF!</v>
      </c>
      <c r="H28" s="312"/>
      <c r="I28" s="312"/>
      <c r="J28" s="312"/>
    </row>
    <row r="29" spans="1:14" s="307" customFormat="1" ht="18.75" customHeight="1">
      <c r="A29" s="315">
        <v>2.1</v>
      </c>
      <c r="B29" s="316" t="s">
        <v>3013</v>
      </c>
      <c r="C29" s="315" t="s">
        <v>2858</v>
      </c>
      <c r="D29" s="317"/>
      <c r="E29" s="317"/>
      <c r="F29" s="317"/>
      <c r="G29" s="317" t="e">
        <f>SUM('LƯƠNG KT'!#REF!,'LƯƠNG KT'!#REF!,'LƯƠNG KT'!#REF!,'LƯƠNG KT'!#REF!,'LƯƠNG KT'!#REF!)</f>
        <v>#REF!</v>
      </c>
      <c r="H29" s="317"/>
      <c r="I29" s="317"/>
      <c r="J29" s="317"/>
    </row>
    <row r="30" spans="1:14" s="307" customFormat="1" ht="18.75" customHeight="1">
      <c r="A30" s="315">
        <v>2.2000000000000002</v>
      </c>
      <c r="B30" s="316" t="s">
        <v>3014</v>
      </c>
      <c r="C30" s="315" t="s">
        <v>2858</v>
      </c>
      <c r="D30" s="317"/>
      <c r="E30" s="317"/>
      <c r="F30" s="317"/>
      <c r="G30" s="317">
        <f>+F30*D30*31</f>
        <v>0</v>
      </c>
      <c r="H30" s="317"/>
      <c r="I30" s="317"/>
      <c r="J30" s="317"/>
    </row>
    <row r="31" spans="1:14" s="306" customFormat="1" ht="18.75" customHeight="1">
      <c r="A31" s="310">
        <v>3</v>
      </c>
      <c r="B31" s="313" t="s">
        <v>3015</v>
      </c>
      <c r="C31" s="310"/>
      <c r="D31" s="312"/>
      <c r="E31" s="312"/>
      <c r="F31" s="312"/>
      <c r="G31" s="312"/>
      <c r="H31" s="312"/>
      <c r="I31" s="312"/>
      <c r="J31" s="312"/>
    </row>
    <row r="32" spans="1:14" s="306" customFormat="1" ht="18.75" customHeight="1">
      <c r="A32" s="310" t="s">
        <v>1958</v>
      </c>
      <c r="B32" s="313" t="s">
        <v>3016</v>
      </c>
      <c r="C32" s="310" t="s">
        <v>2858</v>
      </c>
      <c r="D32" s="312"/>
      <c r="E32" s="312"/>
      <c r="F32" s="312"/>
      <c r="G32" s="312" t="e">
        <f>SUM(G33,G40,G51,G62,G65,G66)</f>
        <v>#REF!</v>
      </c>
      <c r="H32" s="312"/>
      <c r="I32" s="312"/>
      <c r="J32" s="312"/>
    </row>
    <row r="33" spans="1:10" s="306" customFormat="1" ht="18.75" customHeight="1">
      <c r="A33" s="310">
        <v>1</v>
      </c>
      <c r="B33" s="313" t="s">
        <v>3017</v>
      </c>
      <c r="C33" s="310" t="s">
        <v>2858</v>
      </c>
      <c r="D33" s="312"/>
      <c r="E33" s="312"/>
      <c r="F33" s="312"/>
      <c r="G33" s="312">
        <f>SUM(G35:G39)</f>
        <v>15883750</v>
      </c>
      <c r="H33" s="312"/>
      <c r="I33" s="312"/>
      <c r="J33" s="312"/>
    </row>
    <row r="34" spans="1:10" ht="18.75" customHeight="1">
      <c r="A34" s="318"/>
      <c r="B34" s="319" t="s">
        <v>3018</v>
      </c>
      <c r="C34" s="318" t="s">
        <v>2420</v>
      </c>
      <c r="D34" s="323"/>
      <c r="E34" s="320"/>
      <c r="F34" s="320"/>
      <c r="G34" s="325"/>
      <c r="H34" s="320"/>
      <c r="I34" s="320"/>
      <c r="J34" s="320"/>
    </row>
    <row r="35" spans="1:10" ht="18.75" customHeight="1">
      <c r="A35" s="318"/>
      <c r="B35" s="319" t="s">
        <v>3019</v>
      </c>
      <c r="C35" s="318" t="s">
        <v>2420</v>
      </c>
      <c r="D35" s="323">
        <v>309.43</v>
      </c>
      <c r="E35" s="320"/>
      <c r="F35" s="320">
        <v>25000</v>
      </c>
      <c r="G35" s="320">
        <f>+D35*F35</f>
        <v>7735750</v>
      </c>
      <c r="H35" s="320"/>
      <c r="I35" s="320"/>
      <c r="J35" s="320"/>
    </row>
    <row r="36" spans="1:10" ht="18.75" customHeight="1">
      <c r="A36" s="318"/>
      <c r="B36" s="319" t="s">
        <v>3020</v>
      </c>
      <c r="C36" s="318" t="s">
        <v>2420</v>
      </c>
      <c r="D36" s="320"/>
      <c r="E36" s="320"/>
      <c r="F36" s="320"/>
      <c r="G36" s="320"/>
      <c r="H36" s="320"/>
      <c r="I36" s="320"/>
      <c r="J36" s="320"/>
    </row>
    <row r="37" spans="1:10" ht="18.75" customHeight="1">
      <c r="A37" s="318"/>
      <c r="B37" s="319" t="s">
        <v>3021</v>
      </c>
      <c r="C37" s="318" t="s">
        <v>2420</v>
      </c>
      <c r="D37" s="323">
        <v>325.92</v>
      </c>
      <c r="E37" s="320"/>
      <c r="F37" s="320">
        <v>25000</v>
      </c>
      <c r="G37" s="320">
        <f>+D37*F37</f>
        <v>8148000</v>
      </c>
      <c r="H37" s="320"/>
      <c r="I37" s="320"/>
      <c r="J37" s="320"/>
    </row>
    <row r="38" spans="1:10" ht="18.75" customHeight="1">
      <c r="A38" s="318"/>
      <c r="B38" s="319" t="s">
        <v>3022</v>
      </c>
      <c r="C38" s="318" t="s">
        <v>2420</v>
      </c>
      <c r="D38" s="323"/>
      <c r="E38" s="320"/>
      <c r="F38" s="320">
        <v>25000</v>
      </c>
      <c r="G38" s="320">
        <f>+D38*F38</f>
        <v>0</v>
      </c>
      <c r="H38" s="320"/>
      <c r="I38" s="320"/>
      <c r="J38" s="320"/>
    </row>
    <row r="39" spans="1:10" ht="18.75" customHeight="1">
      <c r="A39" s="318"/>
      <c r="B39" s="319" t="s">
        <v>3023</v>
      </c>
      <c r="C39" s="318" t="s">
        <v>2420</v>
      </c>
      <c r="D39" s="323"/>
      <c r="E39" s="320"/>
      <c r="F39" s="320">
        <v>25000</v>
      </c>
      <c r="G39" s="320">
        <f>+D39*F39</f>
        <v>0</v>
      </c>
      <c r="H39" s="320"/>
      <c r="I39" s="320"/>
      <c r="J39" s="320"/>
    </row>
    <row r="40" spans="1:10" s="306" customFormat="1" ht="18.75" customHeight="1">
      <c r="A40" s="310">
        <v>2</v>
      </c>
      <c r="B40" s="313" t="s">
        <v>3024</v>
      </c>
      <c r="C40" s="310" t="s">
        <v>2858</v>
      </c>
      <c r="D40" s="326"/>
      <c r="E40" s="312"/>
      <c r="F40" s="312"/>
      <c r="G40" s="312">
        <f>SUM(G41:G50)</f>
        <v>0</v>
      </c>
      <c r="H40" s="312"/>
      <c r="I40" s="312"/>
      <c r="J40" s="312"/>
    </row>
    <row r="41" spans="1:10" ht="18.75" customHeight="1">
      <c r="A41" s="318"/>
      <c r="B41" s="319" t="s">
        <v>3025</v>
      </c>
      <c r="C41" s="318" t="s">
        <v>2420</v>
      </c>
      <c r="D41" s="323"/>
      <c r="E41" s="320"/>
      <c r="F41" s="320">
        <v>25000</v>
      </c>
      <c r="G41" s="320">
        <f t="shared" ref="G41:G48" si="1">+F41*D41</f>
        <v>0</v>
      </c>
      <c r="H41" s="320"/>
      <c r="I41" s="320"/>
      <c r="J41" s="320"/>
    </row>
    <row r="42" spans="1:10" ht="18.75" customHeight="1">
      <c r="A42" s="318"/>
      <c r="B42" s="319" t="s">
        <v>3026</v>
      </c>
      <c r="C42" s="318" t="s">
        <v>2420</v>
      </c>
      <c r="D42" s="323"/>
      <c r="E42" s="320"/>
      <c r="F42" s="320">
        <v>25000</v>
      </c>
      <c r="G42" s="320">
        <f t="shared" si="1"/>
        <v>0</v>
      </c>
      <c r="H42" s="320"/>
      <c r="I42" s="320"/>
      <c r="J42" s="320"/>
    </row>
    <row r="43" spans="1:10" ht="18.75" customHeight="1">
      <c r="A43" s="318"/>
      <c r="B43" s="319" t="s">
        <v>3027</v>
      </c>
      <c r="C43" s="318" t="s">
        <v>2420</v>
      </c>
      <c r="D43" s="323"/>
      <c r="E43" s="320"/>
      <c r="F43" s="320">
        <v>25000</v>
      </c>
      <c r="G43" s="320">
        <f t="shared" si="1"/>
        <v>0</v>
      </c>
      <c r="H43" s="320"/>
      <c r="I43" s="320"/>
      <c r="J43" s="320"/>
    </row>
    <row r="44" spans="1:10" ht="18.75" customHeight="1">
      <c r="A44" s="318"/>
      <c r="B44" s="319" t="s">
        <v>3028</v>
      </c>
      <c r="C44" s="318" t="s">
        <v>2420</v>
      </c>
      <c r="D44" s="323"/>
      <c r="E44" s="320"/>
      <c r="F44" s="320">
        <v>25000</v>
      </c>
      <c r="G44" s="320">
        <f t="shared" si="1"/>
        <v>0</v>
      </c>
      <c r="H44" s="320"/>
      <c r="I44" s="320"/>
      <c r="J44" s="320"/>
    </row>
    <row r="45" spans="1:10" ht="18.75" customHeight="1">
      <c r="A45" s="318"/>
      <c r="B45" s="319" t="s">
        <v>3029</v>
      </c>
      <c r="C45" s="318" t="s">
        <v>2420</v>
      </c>
      <c r="D45" s="323"/>
      <c r="E45" s="320"/>
      <c r="F45" s="320">
        <v>25000</v>
      </c>
      <c r="G45" s="320">
        <f t="shared" si="1"/>
        <v>0</v>
      </c>
      <c r="H45" s="320"/>
      <c r="I45" s="320"/>
      <c r="J45" s="320"/>
    </row>
    <row r="46" spans="1:10" ht="18.75" customHeight="1">
      <c r="A46" s="318"/>
      <c r="B46" s="319" t="s">
        <v>3030</v>
      </c>
      <c r="C46" s="318" t="s">
        <v>2420</v>
      </c>
      <c r="D46" s="323"/>
      <c r="E46" s="320"/>
      <c r="F46" s="320">
        <v>25000</v>
      </c>
      <c r="G46" s="320">
        <f t="shared" si="1"/>
        <v>0</v>
      </c>
      <c r="H46" s="320"/>
      <c r="I46" s="320"/>
      <c r="J46" s="320"/>
    </row>
    <row r="47" spans="1:10" ht="18.75" customHeight="1">
      <c r="A47" s="318"/>
      <c r="B47" s="319" t="s">
        <v>3031</v>
      </c>
      <c r="C47" s="318" t="s">
        <v>2420</v>
      </c>
      <c r="D47" s="323"/>
      <c r="E47" s="320"/>
      <c r="F47" s="320">
        <v>25000</v>
      </c>
      <c r="G47" s="320">
        <f t="shared" si="1"/>
        <v>0</v>
      </c>
      <c r="H47" s="320"/>
      <c r="I47" s="320"/>
      <c r="J47" s="320"/>
    </row>
    <row r="48" spans="1:10" ht="18.75" customHeight="1">
      <c r="A48" s="318"/>
      <c r="B48" s="319" t="s">
        <v>3032</v>
      </c>
      <c r="C48" s="318" t="s">
        <v>2420</v>
      </c>
      <c r="D48" s="320"/>
      <c r="E48" s="320"/>
      <c r="F48" s="320">
        <v>25000</v>
      </c>
      <c r="G48" s="320">
        <f t="shared" si="1"/>
        <v>0</v>
      </c>
      <c r="H48" s="320"/>
      <c r="I48" s="320"/>
      <c r="J48" s="320"/>
    </row>
    <row r="49" spans="1:10" ht="18.75" customHeight="1">
      <c r="A49" s="318"/>
      <c r="B49" s="319" t="s">
        <v>3033</v>
      </c>
      <c r="C49" s="318" t="s">
        <v>2420</v>
      </c>
      <c r="D49" s="320"/>
      <c r="E49" s="320"/>
      <c r="F49" s="320"/>
      <c r="G49" s="320"/>
      <c r="H49" s="320"/>
      <c r="I49" s="320"/>
      <c r="J49" s="320"/>
    </row>
    <row r="50" spans="1:10" ht="18.75" customHeight="1">
      <c r="A50" s="318"/>
      <c r="B50" s="319" t="s">
        <v>3034</v>
      </c>
      <c r="C50" s="318" t="s">
        <v>2420</v>
      </c>
      <c r="D50" s="320"/>
      <c r="E50" s="320"/>
      <c r="F50" s="320"/>
      <c r="G50" s="320"/>
      <c r="H50" s="320"/>
      <c r="I50" s="320"/>
      <c r="J50" s="320"/>
    </row>
    <row r="51" spans="1:10" s="306" customFormat="1" ht="18.75" customHeight="1">
      <c r="A51" s="310">
        <v>3</v>
      </c>
      <c r="B51" s="313" t="s">
        <v>3035</v>
      </c>
      <c r="C51" s="310" t="s">
        <v>2858</v>
      </c>
      <c r="D51" s="312"/>
      <c r="E51" s="312"/>
      <c r="F51" s="312"/>
      <c r="G51" s="312">
        <f>SUM(G52:G61)</f>
        <v>6588750</v>
      </c>
      <c r="H51" s="312"/>
      <c r="I51" s="312"/>
      <c r="J51" s="312"/>
    </row>
    <row r="52" spans="1:10" ht="18.75" customHeight="1">
      <c r="A52" s="318"/>
      <c r="B52" s="319" t="s">
        <v>3025</v>
      </c>
      <c r="C52" s="318" t="s">
        <v>2420</v>
      </c>
      <c r="D52" s="323">
        <v>67.98</v>
      </c>
      <c r="E52" s="320"/>
      <c r="F52" s="320">
        <v>25000</v>
      </c>
      <c r="G52" s="320">
        <f>+F52*D52</f>
        <v>1699500</v>
      </c>
      <c r="H52" s="320"/>
      <c r="I52" s="320"/>
      <c r="J52" s="320"/>
    </row>
    <row r="53" spans="1:10" ht="18.75" customHeight="1">
      <c r="A53" s="318"/>
      <c r="B53" s="319" t="s">
        <v>3026</v>
      </c>
      <c r="C53" s="318" t="s">
        <v>2420</v>
      </c>
      <c r="D53" s="323">
        <v>121.71</v>
      </c>
      <c r="E53" s="320"/>
      <c r="F53" s="320">
        <v>25000</v>
      </c>
      <c r="G53" s="320">
        <f>+F53*D53</f>
        <v>3042750</v>
      </c>
      <c r="H53" s="320"/>
      <c r="I53" s="320"/>
      <c r="J53" s="320"/>
    </row>
    <row r="54" spans="1:10" ht="18.75" customHeight="1">
      <c r="A54" s="318"/>
      <c r="B54" s="319" t="s">
        <v>3027</v>
      </c>
      <c r="C54" s="318" t="s">
        <v>2420</v>
      </c>
      <c r="D54" s="323"/>
      <c r="E54" s="320"/>
      <c r="F54" s="320">
        <v>25000</v>
      </c>
      <c r="G54" s="320">
        <f>+F54*D54</f>
        <v>0</v>
      </c>
      <c r="H54" s="320"/>
      <c r="I54" s="320"/>
      <c r="J54" s="320"/>
    </row>
    <row r="55" spans="1:10" ht="18.75" customHeight="1">
      <c r="A55" s="318"/>
      <c r="B55" s="319" t="s">
        <v>3028</v>
      </c>
      <c r="C55" s="318" t="s">
        <v>2420</v>
      </c>
      <c r="D55" s="323">
        <v>7.08</v>
      </c>
      <c r="E55" s="320"/>
      <c r="F55" s="320">
        <v>25000</v>
      </c>
      <c r="G55" s="320">
        <f>+F55*D55</f>
        <v>177000</v>
      </c>
      <c r="H55" s="320"/>
      <c r="I55" s="320"/>
      <c r="J55" s="320"/>
    </row>
    <row r="56" spans="1:10" ht="18.75" customHeight="1">
      <c r="A56" s="318"/>
      <c r="B56" s="319" t="s">
        <v>3029</v>
      </c>
      <c r="C56" s="318" t="s">
        <v>2420</v>
      </c>
      <c r="D56" s="323"/>
      <c r="E56" s="320"/>
      <c r="F56" s="320"/>
      <c r="G56" s="320"/>
      <c r="H56" s="320"/>
      <c r="I56" s="320"/>
      <c r="J56" s="320"/>
    </row>
    <row r="57" spans="1:10" ht="18.75" customHeight="1">
      <c r="A57" s="318"/>
      <c r="B57" s="319" t="s">
        <v>3030</v>
      </c>
      <c r="C57" s="318" t="s">
        <v>2420</v>
      </c>
      <c r="D57" s="323"/>
      <c r="E57" s="320"/>
      <c r="F57" s="320">
        <v>25000</v>
      </c>
      <c r="G57" s="320">
        <f>+D57*F57</f>
        <v>0</v>
      </c>
      <c r="H57" s="320"/>
      <c r="I57" s="320"/>
      <c r="J57" s="320"/>
    </row>
    <row r="58" spans="1:10" ht="18.75" customHeight="1">
      <c r="A58" s="318"/>
      <c r="B58" s="319" t="s">
        <v>3031</v>
      </c>
      <c r="C58" s="318" t="s">
        <v>2420</v>
      </c>
      <c r="D58" s="323">
        <f>31.83+34.95</f>
        <v>66.78</v>
      </c>
      <c r="E58" s="320"/>
      <c r="F58" s="320">
        <v>25000</v>
      </c>
      <c r="G58" s="320">
        <f>+D58*F58</f>
        <v>1669500</v>
      </c>
      <c r="H58" s="320"/>
      <c r="I58" s="320"/>
      <c r="J58" s="320"/>
    </row>
    <row r="59" spans="1:10" ht="18.75" customHeight="1">
      <c r="A59" s="318"/>
      <c r="B59" s="319" t="s">
        <v>3032</v>
      </c>
      <c r="C59" s="318" t="s">
        <v>2420</v>
      </c>
      <c r="D59" s="320"/>
      <c r="E59" s="320"/>
      <c r="F59" s="320"/>
      <c r="G59" s="320"/>
      <c r="H59" s="320"/>
      <c r="I59" s="320"/>
      <c r="J59" s="320"/>
    </row>
    <row r="60" spans="1:10" ht="18.75" customHeight="1">
      <c r="A60" s="318"/>
      <c r="B60" s="319" t="s">
        <v>3033</v>
      </c>
      <c r="C60" s="318" t="s">
        <v>2420</v>
      </c>
      <c r="D60" s="320"/>
      <c r="E60" s="320"/>
      <c r="F60" s="320"/>
      <c r="G60" s="320"/>
      <c r="H60" s="320"/>
      <c r="I60" s="320"/>
      <c r="J60" s="320"/>
    </row>
    <row r="61" spans="1:10" ht="18.75" customHeight="1">
      <c r="A61" s="318"/>
      <c r="B61" s="319" t="s">
        <v>3034</v>
      </c>
      <c r="C61" s="318" t="s">
        <v>2420</v>
      </c>
      <c r="D61" s="320"/>
      <c r="E61" s="320"/>
      <c r="F61" s="320"/>
      <c r="G61" s="320"/>
      <c r="H61" s="320"/>
      <c r="I61" s="320"/>
      <c r="J61" s="320"/>
    </row>
    <row r="62" spans="1:10" s="306" customFormat="1" ht="18.75" customHeight="1">
      <c r="A62" s="310">
        <v>4</v>
      </c>
      <c r="B62" s="313" t="s">
        <v>3036</v>
      </c>
      <c r="C62" s="310" t="s">
        <v>2858</v>
      </c>
      <c r="D62" s="312"/>
      <c r="E62" s="312"/>
      <c r="F62" s="312"/>
      <c r="G62" s="312">
        <f>SUM(G63:G64)</f>
        <v>0</v>
      </c>
      <c r="H62" s="312"/>
      <c r="I62" s="312"/>
      <c r="J62" s="312"/>
    </row>
    <row r="63" spans="1:10" ht="18.75" customHeight="1">
      <c r="A63" s="318"/>
      <c r="B63" s="319" t="s">
        <v>3037</v>
      </c>
      <c r="C63" s="318" t="s">
        <v>2420</v>
      </c>
      <c r="D63" s="320"/>
      <c r="E63" s="320"/>
      <c r="F63" s="320"/>
      <c r="G63" s="320"/>
      <c r="H63" s="320"/>
      <c r="I63" s="320"/>
      <c r="J63" s="320"/>
    </row>
    <row r="64" spans="1:10" ht="18.75" customHeight="1">
      <c r="A64" s="318"/>
      <c r="B64" s="319" t="s">
        <v>3034</v>
      </c>
      <c r="C64" s="318" t="s">
        <v>2420</v>
      </c>
      <c r="D64" s="320"/>
      <c r="E64" s="320"/>
      <c r="F64" s="320">
        <v>25000</v>
      </c>
      <c r="G64" s="320">
        <f>+F64*D64</f>
        <v>0</v>
      </c>
      <c r="H64" s="320"/>
      <c r="I64" s="320"/>
      <c r="J64" s="320"/>
    </row>
    <row r="65" spans="1:11" s="306" customFormat="1" ht="18.75" customHeight="1">
      <c r="A65" s="310">
        <v>5</v>
      </c>
      <c r="B65" s="313" t="s">
        <v>3038</v>
      </c>
      <c r="C65" s="310" t="s">
        <v>2858</v>
      </c>
      <c r="D65" s="326"/>
      <c r="E65" s="312"/>
      <c r="F65" s="312"/>
      <c r="G65" s="312"/>
      <c r="H65" s="312"/>
      <c r="I65" s="312"/>
      <c r="J65" s="312"/>
    </row>
    <row r="66" spans="1:11" s="306" customFormat="1" ht="18.75" customHeight="1">
      <c r="A66" s="328">
        <v>6</v>
      </c>
      <c r="B66" s="329" t="s">
        <v>3039</v>
      </c>
      <c r="C66" s="328" t="s">
        <v>2858</v>
      </c>
      <c r="D66" s="330"/>
      <c r="E66" s="330"/>
      <c r="F66" s="330"/>
      <c r="G66" s="330" t="e">
        <f>SUM('LƯƠNG BV9THUC'!#REF!)</f>
        <v>#REF!</v>
      </c>
      <c r="H66" s="330"/>
      <c r="I66" s="330"/>
      <c r="J66" s="330"/>
    </row>
    <row r="67" spans="1:11" s="306" customFormat="1" ht="18.75" customHeight="1">
      <c r="A67" s="328" t="s">
        <v>2359</v>
      </c>
      <c r="B67" s="329" t="s">
        <v>3040</v>
      </c>
      <c r="C67" s="328"/>
      <c r="D67" s="330"/>
      <c r="E67" s="330"/>
      <c r="F67" s="330"/>
      <c r="G67" s="330" t="e">
        <f>SUM('TRẠM CÁN'!T20)</f>
        <v>#REF!</v>
      </c>
      <c r="H67" s="330"/>
      <c r="I67" s="330"/>
      <c r="J67" s="330"/>
    </row>
    <row r="68" spans="1:11" s="306" customFormat="1" ht="18.75" customHeight="1">
      <c r="A68" s="331"/>
      <c r="B68" s="332" t="s">
        <v>3041</v>
      </c>
      <c r="C68" s="331" t="s">
        <v>2858</v>
      </c>
      <c r="D68" s="333"/>
      <c r="E68" s="333"/>
      <c r="F68" s="333"/>
      <c r="G68" s="333" t="e">
        <f>SUM(G7,G32,G8,G67)</f>
        <v>#REF!</v>
      </c>
      <c r="H68" s="333"/>
      <c r="I68" s="333"/>
      <c r="J68" s="333"/>
      <c r="K68" s="314" t="e">
        <f>+'LƯƠNG CNTT'!J105-'TH LƯƠNG NT1'!G68</f>
        <v>#REF!</v>
      </c>
    </row>
    <row r="69" spans="1:11">
      <c r="G69" s="325"/>
    </row>
    <row r="70" spans="1:11">
      <c r="F70" s="2880" t="e">
        <f>+#REF!</f>
        <v>#REF!</v>
      </c>
      <c r="G70" s="2880"/>
      <c r="H70" s="2880"/>
      <c r="I70" s="2880"/>
      <c r="J70" s="2880"/>
    </row>
    <row r="71" spans="1:11" s="306" customFormat="1" ht="19.5" customHeight="1">
      <c r="B71" s="2881" t="s">
        <v>1946</v>
      </c>
      <c r="C71" s="2881"/>
      <c r="D71" s="2881"/>
      <c r="F71" s="2876" t="s">
        <v>612</v>
      </c>
      <c r="G71" s="2876"/>
      <c r="H71" s="2876"/>
      <c r="I71" s="2876"/>
      <c r="J71" s="2876"/>
    </row>
    <row r="77" spans="1:11" s="306" customFormat="1">
      <c r="B77" s="2876"/>
      <c r="C77" s="2876"/>
      <c r="D77" s="2876"/>
      <c r="G77" s="2876" t="s">
        <v>613</v>
      </c>
      <c r="H77" s="2876"/>
      <c r="I77" s="2876"/>
    </row>
    <row r="78" spans="1:11" s="306" customFormat="1"/>
  </sheetData>
  <mergeCells count="8">
    <mergeCell ref="B77:D77"/>
    <mergeCell ref="G77:I77"/>
    <mergeCell ref="A1:B1"/>
    <mergeCell ref="A2:B2"/>
    <mergeCell ref="A4:J4"/>
    <mergeCell ref="F70:J70"/>
    <mergeCell ref="B71:D71"/>
    <mergeCell ref="F71:J71"/>
  </mergeCells>
  <pageMargins left="0.7" right="0" top="0.5" bottom="0.25" header="0.3" footer="0.3"/>
  <pageSetup paperSize="9" orientation="landscape"/>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6" tint="-0.249977111117893"/>
  </sheetPr>
  <dimension ref="A2:Y24"/>
  <sheetViews>
    <sheetView topLeftCell="A4" workbookViewId="0">
      <selection activeCell="F19" sqref="F19"/>
    </sheetView>
  </sheetViews>
  <sheetFormatPr defaultColWidth="9.140625" defaultRowHeight="15"/>
  <cols>
    <col min="1" max="1" width="4.7109375" style="265" customWidth="1"/>
    <col min="2" max="2" width="20.85546875" style="265" customWidth="1"/>
    <col min="3" max="3" width="27" style="265" customWidth="1"/>
    <col min="4" max="4" width="23" style="265" customWidth="1"/>
    <col min="5" max="5" width="19" style="265" customWidth="1"/>
    <col min="6" max="6" width="33.140625" style="265" customWidth="1"/>
    <col min="7" max="7" width="8.42578125" style="265" customWidth="1"/>
    <col min="8" max="8" width="12.85546875" style="265" customWidth="1"/>
    <col min="9" max="9" width="13.42578125" style="265" customWidth="1"/>
    <col min="10" max="11" width="7.85546875" style="265" customWidth="1"/>
    <col min="12" max="12" width="7.28515625" style="265" customWidth="1"/>
    <col min="13" max="13" width="7.42578125" style="265" customWidth="1"/>
    <col min="14" max="14" width="6.28515625" style="265" customWidth="1"/>
    <col min="15" max="15" width="5.7109375" style="265" customWidth="1"/>
    <col min="16" max="16" width="6" style="265" customWidth="1"/>
    <col min="17" max="17" width="4.85546875" style="265" customWidth="1"/>
    <col min="18" max="18" width="6" style="265" customWidth="1"/>
    <col min="19" max="19" width="6.5703125" style="265" customWidth="1"/>
    <col min="20" max="20" width="8.140625" style="265" customWidth="1"/>
    <col min="21" max="21" width="6" style="265" customWidth="1"/>
    <col min="22" max="22" width="8.140625" style="265" customWidth="1"/>
    <col min="23" max="23" width="15" style="265" customWidth="1"/>
    <col min="24" max="24" width="17.85546875" style="265" customWidth="1"/>
    <col min="25" max="25" width="12.85546875" style="265" customWidth="1"/>
    <col min="26" max="256" width="9.140625" style="265"/>
    <col min="257" max="257" width="4.7109375" style="265" customWidth="1"/>
    <col min="258" max="258" width="20.85546875" style="265" customWidth="1"/>
    <col min="259" max="259" width="27" style="265" customWidth="1"/>
    <col min="260" max="260" width="23" style="265" customWidth="1"/>
    <col min="261" max="261" width="19" style="265" customWidth="1"/>
    <col min="262" max="262" width="29.42578125" style="265" customWidth="1"/>
    <col min="263" max="263" width="8.42578125" style="265" customWidth="1"/>
    <col min="264" max="264" width="12.85546875" style="265" customWidth="1"/>
    <col min="265" max="265" width="13.42578125" style="265" customWidth="1"/>
    <col min="266" max="267" width="7.85546875" style="265" customWidth="1"/>
    <col min="268" max="268" width="7.28515625" style="265" customWidth="1"/>
    <col min="269" max="269" width="7.42578125" style="265" customWidth="1"/>
    <col min="270" max="270" width="6.28515625" style="265" customWidth="1"/>
    <col min="271" max="271" width="5.7109375" style="265" customWidth="1"/>
    <col min="272" max="272" width="6" style="265" customWidth="1"/>
    <col min="273" max="273" width="4.85546875" style="265" customWidth="1"/>
    <col min="274" max="274" width="6" style="265" customWidth="1"/>
    <col min="275" max="275" width="6.5703125" style="265" customWidth="1"/>
    <col min="276" max="276" width="8.140625" style="265" customWidth="1"/>
    <col min="277" max="277" width="6" style="265" customWidth="1"/>
    <col min="278" max="278" width="8.140625" style="265" customWidth="1"/>
    <col min="279" max="279" width="15" style="265" customWidth="1"/>
    <col min="280" max="280" width="17.85546875" style="265" customWidth="1"/>
    <col min="281" max="281" width="12.85546875" style="265" customWidth="1"/>
    <col min="282" max="512" width="9.140625" style="265"/>
    <col min="513" max="513" width="4.7109375" style="265" customWidth="1"/>
    <col min="514" max="514" width="20.85546875" style="265" customWidth="1"/>
    <col min="515" max="515" width="27" style="265" customWidth="1"/>
    <col min="516" max="516" width="23" style="265" customWidth="1"/>
    <col min="517" max="517" width="19" style="265" customWidth="1"/>
    <col min="518" max="518" width="29.42578125" style="265" customWidth="1"/>
    <col min="519" max="519" width="8.42578125" style="265" customWidth="1"/>
    <col min="520" max="520" width="12.85546875" style="265" customWidth="1"/>
    <col min="521" max="521" width="13.42578125" style="265" customWidth="1"/>
    <col min="522" max="523" width="7.85546875" style="265" customWidth="1"/>
    <col min="524" max="524" width="7.28515625" style="265" customWidth="1"/>
    <col min="525" max="525" width="7.42578125" style="265" customWidth="1"/>
    <col min="526" max="526" width="6.28515625" style="265" customWidth="1"/>
    <col min="527" max="527" width="5.7109375" style="265" customWidth="1"/>
    <col min="528" max="528" width="6" style="265" customWidth="1"/>
    <col min="529" max="529" width="4.85546875" style="265" customWidth="1"/>
    <col min="530" max="530" width="6" style="265" customWidth="1"/>
    <col min="531" max="531" width="6.5703125" style="265" customWidth="1"/>
    <col min="532" max="532" width="8.140625" style="265" customWidth="1"/>
    <col min="533" max="533" width="6" style="265" customWidth="1"/>
    <col min="534" max="534" width="8.140625" style="265" customWidth="1"/>
    <col min="535" max="535" width="15" style="265" customWidth="1"/>
    <col min="536" max="536" width="17.85546875" style="265" customWidth="1"/>
    <col min="537" max="537" width="12.85546875" style="265" customWidth="1"/>
    <col min="538" max="768" width="9.140625" style="265"/>
    <col min="769" max="769" width="4.7109375" style="265" customWidth="1"/>
    <col min="770" max="770" width="20.85546875" style="265" customWidth="1"/>
    <col min="771" max="771" width="27" style="265" customWidth="1"/>
    <col min="772" max="772" width="23" style="265" customWidth="1"/>
    <col min="773" max="773" width="19" style="265" customWidth="1"/>
    <col min="774" max="774" width="29.42578125" style="265" customWidth="1"/>
    <col min="775" max="775" width="8.42578125" style="265" customWidth="1"/>
    <col min="776" max="776" width="12.85546875" style="265" customWidth="1"/>
    <col min="777" max="777" width="13.42578125" style="265" customWidth="1"/>
    <col min="778" max="779" width="7.85546875" style="265" customWidth="1"/>
    <col min="780" max="780" width="7.28515625" style="265" customWidth="1"/>
    <col min="781" max="781" width="7.42578125" style="265" customWidth="1"/>
    <col min="782" max="782" width="6.28515625" style="265" customWidth="1"/>
    <col min="783" max="783" width="5.7109375" style="265" customWidth="1"/>
    <col min="784" max="784" width="6" style="265" customWidth="1"/>
    <col min="785" max="785" width="4.85546875" style="265" customWidth="1"/>
    <col min="786" max="786" width="6" style="265" customWidth="1"/>
    <col min="787" max="787" width="6.5703125" style="265" customWidth="1"/>
    <col min="788" max="788" width="8.140625" style="265" customWidth="1"/>
    <col min="789" max="789" width="6" style="265" customWidth="1"/>
    <col min="790" max="790" width="8.140625" style="265" customWidth="1"/>
    <col min="791" max="791" width="15" style="265" customWidth="1"/>
    <col min="792" max="792" width="17.85546875" style="265" customWidth="1"/>
    <col min="793" max="793" width="12.85546875" style="265" customWidth="1"/>
    <col min="794" max="1024" width="9.140625" style="265"/>
    <col min="1025" max="1025" width="4.7109375" style="265" customWidth="1"/>
    <col min="1026" max="1026" width="20.85546875" style="265" customWidth="1"/>
    <col min="1027" max="1027" width="27" style="265" customWidth="1"/>
    <col min="1028" max="1028" width="23" style="265" customWidth="1"/>
    <col min="1029" max="1029" width="19" style="265" customWidth="1"/>
    <col min="1030" max="1030" width="29.42578125" style="265" customWidth="1"/>
    <col min="1031" max="1031" width="8.42578125" style="265" customWidth="1"/>
    <col min="1032" max="1032" width="12.85546875" style="265" customWidth="1"/>
    <col min="1033" max="1033" width="13.42578125" style="265" customWidth="1"/>
    <col min="1034" max="1035" width="7.85546875" style="265" customWidth="1"/>
    <col min="1036" max="1036" width="7.28515625" style="265" customWidth="1"/>
    <col min="1037" max="1037" width="7.42578125" style="265" customWidth="1"/>
    <col min="1038" max="1038" width="6.28515625" style="265" customWidth="1"/>
    <col min="1039" max="1039" width="5.7109375" style="265" customWidth="1"/>
    <col min="1040" max="1040" width="6" style="265" customWidth="1"/>
    <col min="1041" max="1041" width="4.85546875" style="265" customWidth="1"/>
    <col min="1042" max="1042" width="6" style="265" customWidth="1"/>
    <col min="1043" max="1043" width="6.5703125" style="265" customWidth="1"/>
    <col min="1044" max="1044" width="8.140625" style="265" customWidth="1"/>
    <col min="1045" max="1045" width="6" style="265" customWidth="1"/>
    <col min="1046" max="1046" width="8.140625" style="265" customWidth="1"/>
    <col min="1047" max="1047" width="15" style="265" customWidth="1"/>
    <col min="1048" max="1048" width="17.85546875" style="265" customWidth="1"/>
    <col min="1049" max="1049" width="12.85546875" style="265" customWidth="1"/>
    <col min="1050" max="1280" width="9.140625" style="265"/>
    <col min="1281" max="1281" width="4.7109375" style="265" customWidth="1"/>
    <col min="1282" max="1282" width="20.85546875" style="265" customWidth="1"/>
    <col min="1283" max="1283" width="27" style="265" customWidth="1"/>
    <col min="1284" max="1284" width="23" style="265" customWidth="1"/>
    <col min="1285" max="1285" width="19" style="265" customWidth="1"/>
    <col min="1286" max="1286" width="29.42578125" style="265" customWidth="1"/>
    <col min="1287" max="1287" width="8.42578125" style="265" customWidth="1"/>
    <col min="1288" max="1288" width="12.85546875" style="265" customWidth="1"/>
    <col min="1289" max="1289" width="13.42578125" style="265" customWidth="1"/>
    <col min="1290" max="1291" width="7.85546875" style="265" customWidth="1"/>
    <col min="1292" max="1292" width="7.28515625" style="265" customWidth="1"/>
    <col min="1293" max="1293" width="7.42578125" style="265" customWidth="1"/>
    <col min="1294" max="1294" width="6.28515625" style="265" customWidth="1"/>
    <col min="1295" max="1295" width="5.7109375" style="265" customWidth="1"/>
    <col min="1296" max="1296" width="6" style="265" customWidth="1"/>
    <col min="1297" max="1297" width="4.85546875" style="265" customWidth="1"/>
    <col min="1298" max="1298" width="6" style="265" customWidth="1"/>
    <col min="1299" max="1299" width="6.5703125" style="265" customWidth="1"/>
    <col min="1300" max="1300" width="8.140625" style="265" customWidth="1"/>
    <col min="1301" max="1301" width="6" style="265" customWidth="1"/>
    <col min="1302" max="1302" width="8.140625" style="265" customWidth="1"/>
    <col min="1303" max="1303" width="15" style="265" customWidth="1"/>
    <col min="1304" max="1304" width="17.85546875" style="265" customWidth="1"/>
    <col min="1305" max="1305" width="12.85546875" style="265" customWidth="1"/>
    <col min="1306" max="1536" width="9.140625" style="265"/>
    <col min="1537" max="1537" width="4.7109375" style="265" customWidth="1"/>
    <col min="1538" max="1538" width="20.85546875" style="265" customWidth="1"/>
    <col min="1539" max="1539" width="27" style="265" customWidth="1"/>
    <col min="1540" max="1540" width="23" style="265" customWidth="1"/>
    <col min="1541" max="1541" width="19" style="265" customWidth="1"/>
    <col min="1542" max="1542" width="29.42578125" style="265" customWidth="1"/>
    <col min="1543" max="1543" width="8.42578125" style="265" customWidth="1"/>
    <col min="1544" max="1544" width="12.85546875" style="265" customWidth="1"/>
    <col min="1545" max="1545" width="13.42578125" style="265" customWidth="1"/>
    <col min="1546" max="1547" width="7.85546875" style="265" customWidth="1"/>
    <col min="1548" max="1548" width="7.28515625" style="265" customWidth="1"/>
    <col min="1549" max="1549" width="7.42578125" style="265" customWidth="1"/>
    <col min="1550" max="1550" width="6.28515625" style="265" customWidth="1"/>
    <col min="1551" max="1551" width="5.7109375" style="265" customWidth="1"/>
    <col min="1552" max="1552" width="6" style="265" customWidth="1"/>
    <col min="1553" max="1553" width="4.85546875" style="265" customWidth="1"/>
    <col min="1554" max="1554" width="6" style="265" customWidth="1"/>
    <col min="1555" max="1555" width="6.5703125" style="265" customWidth="1"/>
    <col min="1556" max="1556" width="8.140625" style="265" customWidth="1"/>
    <col min="1557" max="1557" width="6" style="265" customWidth="1"/>
    <col min="1558" max="1558" width="8.140625" style="265" customWidth="1"/>
    <col min="1559" max="1559" width="15" style="265" customWidth="1"/>
    <col min="1560" max="1560" width="17.85546875" style="265" customWidth="1"/>
    <col min="1561" max="1561" width="12.85546875" style="265" customWidth="1"/>
    <col min="1562" max="1792" width="9.140625" style="265"/>
    <col min="1793" max="1793" width="4.7109375" style="265" customWidth="1"/>
    <col min="1794" max="1794" width="20.85546875" style="265" customWidth="1"/>
    <col min="1795" max="1795" width="27" style="265" customWidth="1"/>
    <col min="1796" max="1796" width="23" style="265" customWidth="1"/>
    <col min="1797" max="1797" width="19" style="265" customWidth="1"/>
    <col min="1798" max="1798" width="29.42578125" style="265" customWidth="1"/>
    <col min="1799" max="1799" width="8.42578125" style="265" customWidth="1"/>
    <col min="1800" max="1800" width="12.85546875" style="265" customWidth="1"/>
    <col min="1801" max="1801" width="13.42578125" style="265" customWidth="1"/>
    <col min="1802" max="1803" width="7.85546875" style="265" customWidth="1"/>
    <col min="1804" max="1804" width="7.28515625" style="265" customWidth="1"/>
    <col min="1805" max="1805" width="7.42578125" style="265" customWidth="1"/>
    <col min="1806" max="1806" width="6.28515625" style="265" customWidth="1"/>
    <col min="1807" max="1807" width="5.7109375" style="265" customWidth="1"/>
    <col min="1808" max="1808" width="6" style="265" customWidth="1"/>
    <col min="1809" max="1809" width="4.85546875" style="265" customWidth="1"/>
    <col min="1810" max="1810" width="6" style="265" customWidth="1"/>
    <col min="1811" max="1811" width="6.5703125" style="265" customWidth="1"/>
    <col min="1812" max="1812" width="8.140625" style="265" customWidth="1"/>
    <col min="1813" max="1813" width="6" style="265" customWidth="1"/>
    <col min="1814" max="1814" width="8.140625" style="265" customWidth="1"/>
    <col min="1815" max="1815" width="15" style="265" customWidth="1"/>
    <col min="1816" max="1816" width="17.85546875" style="265" customWidth="1"/>
    <col min="1817" max="1817" width="12.85546875" style="265" customWidth="1"/>
    <col min="1818" max="2048" width="9.140625" style="265"/>
    <col min="2049" max="2049" width="4.7109375" style="265" customWidth="1"/>
    <col min="2050" max="2050" width="20.85546875" style="265" customWidth="1"/>
    <col min="2051" max="2051" width="27" style="265" customWidth="1"/>
    <col min="2052" max="2052" width="23" style="265" customWidth="1"/>
    <col min="2053" max="2053" width="19" style="265" customWidth="1"/>
    <col min="2054" max="2054" width="29.42578125" style="265" customWidth="1"/>
    <col min="2055" max="2055" width="8.42578125" style="265" customWidth="1"/>
    <col min="2056" max="2056" width="12.85546875" style="265" customWidth="1"/>
    <col min="2057" max="2057" width="13.42578125" style="265" customWidth="1"/>
    <col min="2058" max="2059" width="7.85546875" style="265" customWidth="1"/>
    <col min="2060" max="2060" width="7.28515625" style="265" customWidth="1"/>
    <col min="2061" max="2061" width="7.42578125" style="265" customWidth="1"/>
    <col min="2062" max="2062" width="6.28515625" style="265" customWidth="1"/>
    <col min="2063" max="2063" width="5.7109375" style="265" customWidth="1"/>
    <col min="2064" max="2064" width="6" style="265" customWidth="1"/>
    <col min="2065" max="2065" width="4.85546875" style="265" customWidth="1"/>
    <col min="2066" max="2066" width="6" style="265" customWidth="1"/>
    <col min="2067" max="2067" width="6.5703125" style="265" customWidth="1"/>
    <col min="2068" max="2068" width="8.140625" style="265" customWidth="1"/>
    <col min="2069" max="2069" width="6" style="265" customWidth="1"/>
    <col min="2070" max="2070" width="8.140625" style="265" customWidth="1"/>
    <col min="2071" max="2071" width="15" style="265" customWidth="1"/>
    <col min="2072" max="2072" width="17.85546875" style="265" customWidth="1"/>
    <col min="2073" max="2073" width="12.85546875" style="265" customWidth="1"/>
    <col min="2074" max="2304" width="9.140625" style="265"/>
    <col min="2305" max="2305" width="4.7109375" style="265" customWidth="1"/>
    <col min="2306" max="2306" width="20.85546875" style="265" customWidth="1"/>
    <col min="2307" max="2307" width="27" style="265" customWidth="1"/>
    <col min="2308" max="2308" width="23" style="265" customWidth="1"/>
    <col min="2309" max="2309" width="19" style="265" customWidth="1"/>
    <col min="2310" max="2310" width="29.42578125" style="265" customWidth="1"/>
    <col min="2311" max="2311" width="8.42578125" style="265" customWidth="1"/>
    <col min="2312" max="2312" width="12.85546875" style="265" customWidth="1"/>
    <col min="2313" max="2313" width="13.42578125" style="265" customWidth="1"/>
    <col min="2314" max="2315" width="7.85546875" style="265" customWidth="1"/>
    <col min="2316" max="2316" width="7.28515625" style="265" customWidth="1"/>
    <col min="2317" max="2317" width="7.42578125" style="265" customWidth="1"/>
    <col min="2318" max="2318" width="6.28515625" style="265" customWidth="1"/>
    <col min="2319" max="2319" width="5.7109375" style="265" customWidth="1"/>
    <col min="2320" max="2320" width="6" style="265" customWidth="1"/>
    <col min="2321" max="2321" width="4.85546875" style="265" customWidth="1"/>
    <col min="2322" max="2322" width="6" style="265" customWidth="1"/>
    <col min="2323" max="2323" width="6.5703125" style="265" customWidth="1"/>
    <col min="2324" max="2324" width="8.140625" style="265" customWidth="1"/>
    <col min="2325" max="2325" width="6" style="265" customWidth="1"/>
    <col min="2326" max="2326" width="8.140625" style="265" customWidth="1"/>
    <col min="2327" max="2327" width="15" style="265" customWidth="1"/>
    <col min="2328" max="2328" width="17.85546875" style="265" customWidth="1"/>
    <col min="2329" max="2329" width="12.85546875" style="265" customWidth="1"/>
    <col min="2330" max="2560" width="9.140625" style="265"/>
    <col min="2561" max="2561" width="4.7109375" style="265" customWidth="1"/>
    <col min="2562" max="2562" width="20.85546875" style="265" customWidth="1"/>
    <col min="2563" max="2563" width="27" style="265" customWidth="1"/>
    <col min="2564" max="2564" width="23" style="265" customWidth="1"/>
    <col min="2565" max="2565" width="19" style="265" customWidth="1"/>
    <col min="2566" max="2566" width="29.42578125" style="265" customWidth="1"/>
    <col min="2567" max="2567" width="8.42578125" style="265" customWidth="1"/>
    <col min="2568" max="2568" width="12.85546875" style="265" customWidth="1"/>
    <col min="2569" max="2569" width="13.42578125" style="265" customWidth="1"/>
    <col min="2570" max="2571" width="7.85546875" style="265" customWidth="1"/>
    <col min="2572" max="2572" width="7.28515625" style="265" customWidth="1"/>
    <col min="2573" max="2573" width="7.42578125" style="265" customWidth="1"/>
    <col min="2574" max="2574" width="6.28515625" style="265" customWidth="1"/>
    <col min="2575" max="2575" width="5.7109375" style="265" customWidth="1"/>
    <col min="2576" max="2576" width="6" style="265" customWidth="1"/>
    <col min="2577" max="2577" width="4.85546875" style="265" customWidth="1"/>
    <col min="2578" max="2578" width="6" style="265" customWidth="1"/>
    <col min="2579" max="2579" width="6.5703125" style="265" customWidth="1"/>
    <col min="2580" max="2580" width="8.140625" style="265" customWidth="1"/>
    <col min="2581" max="2581" width="6" style="265" customWidth="1"/>
    <col min="2582" max="2582" width="8.140625" style="265" customWidth="1"/>
    <col min="2583" max="2583" width="15" style="265" customWidth="1"/>
    <col min="2584" max="2584" width="17.85546875" style="265" customWidth="1"/>
    <col min="2585" max="2585" width="12.85546875" style="265" customWidth="1"/>
    <col min="2586" max="2816" width="9.140625" style="265"/>
    <col min="2817" max="2817" width="4.7109375" style="265" customWidth="1"/>
    <col min="2818" max="2818" width="20.85546875" style="265" customWidth="1"/>
    <col min="2819" max="2819" width="27" style="265" customWidth="1"/>
    <col min="2820" max="2820" width="23" style="265" customWidth="1"/>
    <col min="2821" max="2821" width="19" style="265" customWidth="1"/>
    <col min="2822" max="2822" width="29.42578125" style="265" customWidth="1"/>
    <col min="2823" max="2823" width="8.42578125" style="265" customWidth="1"/>
    <col min="2824" max="2824" width="12.85546875" style="265" customWidth="1"/>
    <col min="2825" max="2825" width="13.42578125" style="265" customWidth="1"/>
    <col min="2826" max="2827" width="7.85546875" style="265" customWidth="1"/>
    <col min="2828" max="2828" width="7.28515625" style="265" customWidth="1"/>
    <col min="2829" max="2829" width="7.42578125" style="265" customWidth="1"/>
    <col min="2830" max="2830" width="6.28515625" style="265" customWidth="1"/>
    <col min="2831" max="2831" width="5.7109375" style="265" customWidth="1"/>
    <col min="2832" max="2832" width="6" style="265" customWidth="1"/>
    <col min="2833" max="2833" width="4.85546875" style="265" customWidth="1"/>
    <col min="2834" max="2834" width="6" style="265" customWidth="1"/>
    <col min="2835" max="2835" width="6.5703125" style="265" customWidth="1"/>
    <col min="2836" max="2836" width="8.140625" style="265" customWidth="1"/>
    <col min="2837" max="2837" width="6" style="265" customWidth="1"/>
    <col min="2838" max="2838" width="8.140625" style="265" customWidth="1"/>
    <col min="2839" max="2839" width="15" style="265" customWidth="1"/>
    <col min="2840" max="2840" width="17.85546875" style="265" customWidth="1"/>
    <col min="2841" max="2841" width="12.85546875" style="265" customWidth="1"/>
    <col min="2842" max="3072" width="9.140625" style="265"/>
    <col min="3073" max="3073" width="4.7109375" style="265" customWidth="1"/>
    <col min="3074" max="3074" width="20.85546875" style="265" customWidth="1"/>
    <col min="3075" max="3075" width="27" style="265" customWidth="1"/>
    <col min="3076" max="3076" width="23" style="265" customWidth="1"/>
    <col min="3077" max="3077" width="19" style="265" customWidth="1"/>
    <col min="3078" max="3078" width="29.42578125" style="265" customWidth="1"/>
    <col min="3079" max="3079" width="8.42578125" style="265" customWidth="1"/>
    <col min="3080" max="3080" width="12.85546875" style="265" customWidth="1"/>
    <col min="3081" max="3081" width="13.42578125" style="265" customWidth="1"/>
    <col min="3082" max="3083" width="7.85546875" style="265" customWidth="1"/>
    <col min="3084" max="3084" width="7.28515625" style="265" customWidth="1"/>
    <col min="3085" max="3085" width="7.42578125" style="265" customWidth="1"/>
    <col min="3086" max="3086" width="6.28515625" style="265" customWidth="1"/>
    <col min="3087" max="3087" width="5.7109375" style="265" customWidth="1"/>
    <col min="3088" max="3088" width="6" style="265" customWidth="1"/>
    <col min="3089" max="3089" width="4.85546875" style="265" customWidth="1"/>
    <col min="3090" max="3090" width="6" style="265" customWidth="1"/>
    <col min="3091" max="3091" width="6.5703125" style="265" customWidth="1"/>
    <col min="3092" max="3092" width="8.140625" style="265" customWidth="1"/>
    <col min="3093" max="3093" width="6" style="265" customWidth="1"/>
    <col min="3094" max="3094" width="8.140625" style="265" customWidth="1"/>
    <col min="3095" max="3095" width="15" style="265" customWidth="1"/>
    <col min="3096" max="3096" width="17.85546875" style="265" customWidth="1"/>
    <col min="3097" max="3097" width="12.85546875" style="265" customWidth="1"/>
    <col min="3098" max="3328" width="9.140625" style="265"/>
    <col min="3329" max="3329" width="4.7109375" style="265" customWidth="1"/>
    <col min="3330" max="3330" width="20.85546875" style="265" customWidth="1"/>
    <col min="3331" max="3331" width="27" style="265" customWidth="1"/>
    <col min="3332" max="3332" width="23" style="265" customWidth="1"/>
    <col min="3333" max="3333" width="19" style="265" customWidth="1"/>
    <col min="3334" max="3334" width="29.42578125" style="265" customWidth="1"/>
    <col min="3335" max="3335" width="8.42578125" style="265" customWidth="1"/>
    <col min="3336" max="3336" width="12.85546875" style="265" customWidth="1"/>
    <col min="3337" max="3337" width="13.42578125" style="265" customWidth="1"/>
    <col min="3338" max="3339" width="7.85546875" style="265" customWidth="1"/>
    <col min="3340" max="3340" width="7.28515625" style="265" customWidth="1"/>
    <col min="3341" max="3341" width="7.42578125" style="265" customWidth="1"/>
    <col min="3342" max="3342" width="6.28515625" style="265" customWidth="1"/>
    <col min="3343" max="3343" width="5.7109375" style="265" customWidth="1"/>
    <col min="3344" max="3344" width="6" style="265" customWidth="1"/>
    <col min="3345" max="3345" width="4.85546875" style="265" customWidth="1"/>
    <col min="3346" max="3346" width="6" style="265" customWidth="1"/>
    <col min="3347" max="3347" width="6.5703125" style="265" customWidth="1"/>
    <col min="3348" max="3348" width="8.140625" style="265" customWidth="1"/>
    <col min="3349" max="3349" width="6" style="265" customWidth="1"/>
    <col min="3350" max="3350" width="8.140625" style="265" customWidth="1"/>
    <col min="3351" max="3351" width="15" style="265" customWidth="1"/>
    <col min="3352" max="3352" width="17.85546875" style="265" customWidth="1"/>
    <col min="3353" max="3353" width="12.85546875" style="265" customWidth="1"/>
    <col min="3354" max="3584" width="9.140625" style="265"/>
    <col min="3585" max="3585" width="4.7109375" style="265" customWidth="1"/>
    <col min="3586" max="3586" width="20.85546875" style="265" customWidth="1"/>
    <col min="3587" max="3587" width="27" style="265" customWidth="1"/>
    <col min="3588" max="3588" width="23" style="265" customWidth="1"/>
    <col min="3589" max="3589" width="19" style="265" customWidth="1"/>
    <col min="3590" max="3590" width="29.42578125" style="265" customWidth="1"/>
    <col min="3591" max="3591" width="8.42578125" style="265" customWidth="1"/>
    <col min="3592" max="3592" width="12.85546875" style="265" customWidth="1"/>
    <col min="3593" max="3593" width="13.42578125" style="265" customWidth="1"/>
    <col min="3594" max="3595" width="7.85546875" style="265" customWidth="1"/>
    <col min="3596" max="3596" width="7.28515625" style="265" customWidth="1"/>
    <col min="3597" max="3597" width="7.42578125" style="265" customWidth="1"/>
    <col min="3598" max="3598" width="6.28515625" style="265" customWidth="1"/>
    <col min="3599" max="3599" width="5.7109375" style="265" customWidth="1"/>
    <col min="3600" max="3600" width="6" style="265" customWidth="1"/>
    <col min="3601" max="3601" width="4.85546875" style="265" customWidth="1"/>
    <col min="3602" max="3602" width="6" style="265" customWidth="1"/>
    <col min="3603" max="3603" width="6.5703125" style="265" customWidth="1"/>
    <col min="3604" max="3604" width="8.140625" style="265" customWidth="1"/>
    <col min="3605" max="3605" width="6" style="265" customWidth="1"/>
    <col min="3606" max="3606" width="8.140625" style="265" customWidth="1"/>
    <col min="3607" max="3607" width="15" style="265" customWidth="1"/>
    <col min="3608" max="3608" width="17.85546875" style="265" customWidth="1"/>
    <col min="3609" max="3609" width="12.85546875" style="265" customWidth="1"/>
    <col min="3610" max="3840" width="9.140625" style="265"/>
    <col min="3841" max="3841" width="4.7109375" style="265" customWidth="1"/>
    <col min="3842" max="3842" width="20.85546875" style="265" customWidth="1"/>
    <col min="3843" max="3843" width="27" style="265" customWidth="1"/>
    <col min="3844" max="3844" width="23" style="265" customWidth="1"/>
    <col min="3845" max="3845" width="19" style="265" customWidth="1"/>
    <col min="3846" max="3846" width="29.42578125" style="265" customWidth="1"/>
    <col min="3847" max="3847" width="8.42578125" style="265" customWidth="1"/>
    <col min="3848" max="3848" width="12.85546875" style="265" customWidth="1"/>
    <col min="3849" max="3849" width="13.42578125" style="265" customWidth="1"/>
    <col min="3850" max="3851" width="7.85546875" style="265" customWidth="1"/>
    <col min="3852" max="3852" width="7.28515625" style="265" customWidth="1"/>
    <col min="3853" max="3853" width="7.42578125" style="265" customWidth="1"/>
    <col min="3854" max="3854" width="6.28515625" style="265" customWidth="1"/>
    <col min="3855" max="3855" width="5.7109375" style="265" customWidth="1"/>
    <col min="3856" max="3856" width="6" style="265" customWidth="1"/>
    <col min="3857" max="3857" width="4.85546875" style="265" customWidth="1"/>
    <col min="3858" max="3858" width="6" style="265" customWidth="1"/>
    <col min="3859" max="3859" width="6.5703125" style="265" customWidth="1"/>
    <col min="3860" max="3860" width="8.140625" style="265" customWidth="1"/>
    <col min="3861" max="3861" width="6" style="265" customWidth="1"/>
    <col min="3862" max="3862" width="8.140625" style="265" customWidth="1"/>
    <col min="3863" max="3863" width="15" style="265" customWidth="1"/>
    <col min="3864" max="3864" width="17.85546875" style="265" customWidth="1"/>
    <col min="3865" max="3865" width="12.85546875" style="265" customWidth="1"/>
    <col min="3866" max="4096" width="9.140625" style="265"/>
    <col min="4097" max="4097" width="4.7109375" style="265" customWidth="1"/>
    <col min="4098" max="4098" width="20.85546875" style="265" customWidth="1"/>
    <col min="4099" max="4099" width="27" style="265" customWidth="1"/>
    <col min="4100" max="4100" width="23" style="265" customWidth="1"/>
    <col min="4101" max="4101" width="19" style="265" customWidth="1"/>
    <col min="4102" max="4102" width="29.42578125" style="265" customWidth="1"/>
    <col min="4103" max="4103" width="8.42578125" style="265" customWidth="1"/>
    <col min="4104" max="4104" width="12.85546875" style="265" customWidth="1"/>
    <col min="4105" max="4105" width="13.42578125" style="265" customWidth="1"/>
    <col min="4106" max="4107" width="7.85546875" style="265" customWidth="1"/>
    <col min="4108" max="4108" width="7.28515625" style="265" customWidth="1"/>
    <col min="4109" max="4109" width="7.42578125" style="265" customWidth="1"/>
    <col min="4110" max="4110" width="6.28515625" style="265" customWidth="1"/>
    <col min="4111" max="4111" width="5.7109375" style="265" customWidth="1"/>
    <col min="4112" max="4112" width="6" style="265" customWidth="1"/>
    <col min="4113" max="4113" width="4.85546875" style="265" customWidth="1"/>
    <col min="4114" max="4114" width="6" style="265" customWidth="1"/>
    <col min="4115" max="4115" width="6.5703125" style="265" customWidth="1"/>
    <col min="4116" max="4116" width="8.140625" style="265" customWidth="1"/>
    <col min="4117" max="4117" width="6" style="265" customWidth="1"/>
    <col min="4118" max="4118" width="8.140625" style="265" customWidth="1"/>
    <col min="4119" max="4119" width="15" style="265" customWidth="1"/>
    <col min="4120" max="4120" width="17.85546875" style="265" customWidth="1"/>
    <col min="4121" max="4121" width="12.85546875" style="265" customWidth="1"/>
    <col min="4122" max="4352" width="9.140625" style="265"/>
    <col min="4353" max="4353" width="4.7109375" style="265" customWidth="1"/>
    <col min="4354" max="4354" width="20.85546875" style="265" customWidth="1"/>
    <col min="4355" max="4355" width="27" style="265" customWidth="1"/>
    <col min="4356" max="4356" width="23" style="265" customWidth="1"/>
    <col min="4357" max="4357" width="19" style="265" customWidth="1"/>
    <col min="4358" max="4358" width="29.42578125" style="265" customWidth="1"/>
    <col min="4359" max="4359" width="8.42578125" style="265" customWidth="1"/>
    <col min="4360" max="4360" width="12.85546875" style="265" customWidth="1"/>
    <col min="4361" max="4361" width="13.42578125" style="265" customWidth="1"/>
    <col min="4362" max="4363" width="7.85546875" style="265" customWidth="1"/>
    <col min="4364" max="4364" width="7.28515625" style="265" customWidth="1"/>
    <col min="4365" max="4365" width="7.42578125" style="265" customWidth="1"/>
    <col min="4366" max="4366" width="6.28515625" style="265" customWidth="1"/>
    <col min="4367" max="4367" width="5.7109375" style="265" customWidth="1"/>
    <col min="4368" max="4368" width="6" style="265" customWidth="1"/>
    <col min="4369" max="4369" width="4.85546875" style="265" customWidth="1"/>
    <col min="4370" max="4370" width="6" style="265" customWidth="1"/>
    <col min="4371" max="4371" width="6.5703125" style="265" customWidth="1"/>
    <col min="4372" max="4372" width="8.140625" style="265" customWidth="1"/>
    <col min="4373" max="4373" width="6" style="265" customWidth="1"/>
    <col min="4374" max="4374" width="8.140625" style="265" customWidth="1"/>
    <col min="4375" max="4375" width="15" style="265" customWidth="1"/>
    <col min="4376" max="4376" width="17.85546875" style="265" customWidth="1"/>
    <col min="4377" max="4377" width="12.85546875" style="265" customWidth="1"/>
    <col min="4378" max="4608" width="9.140625" style="265"/>
    <col min="4609" max="4609" width="4.7109375" style="265" customWidth="1"/>
    <col min="4610" max="4610" width="20.85546875" style="265" customWidth="1"/>
    <col min="4611" max="4611" width="27" style="265" customWidth="1"/>
    <col min="4612" max="4612" width="23" style="265" customWidth="1"/>
    <col min="4613" max="4613" width="19" style="265" customWidth="1"/>
    <col min="4614" max="4614" width="29.42578125" style="265" customWidth="1"/>
    <col min="4615" max="4615" width="8.42578125" style="265" customWidth="1"/>
    <col min="4616" max="4616" width="12.85546875" style="265" customWidth="1"/>
    <col min="4617" max="4617" width="13.42578125" style="265" customWidth="1"/>
    <col min="4618" max="4619" width="7.85546875" style="265" customWidth="1"/>
    <col min="4620" max="4620" width="7.28515625" style="265" customWidth="1"/>
    <col min="4621" max="4621" width="7.42578125" style="265" customWidth="1"/>
    <col min="4622" max="4622" width="6.28515625" style="265" customWidth="1"/>
    <col min="4623" max="4623" width="5.7109375" style="265" customWidth="1"/>
    <col min="4624" max="4624" width="6" style="265" customWidth="1"/>
    <col min="4625" max="4625" width="4.85546875" style="265" customWidth="1"/>
    <col min="4626" max="4626" width="6" style="265" customWidth="1"/>
    <col min="4627" max="4627" width="6.5703125" style="265" customWidth="1"/>
    <col min="4628" max="4628" width="8.140625" style="265" customWidth="1"/>
    <col min="4629" max="4629" width="6" style="265" customWidth="1"/>
    <col min="4630" max="4630" width="8.140625" style="265" customWidth="1"/>
    <col min="4631" max="4631" width="15" style="265" customWidth="1"/>
    <col min="4632" max="4632" width="17.85546875" style="265" customWidth="1"/>
    <col min="4633" max="4633" width="12.85546875" style="265" customWidth="1"/>
    <col min="4634" max="4864" width="9.140625" style="265"/>
    <col min="4865" max="4865" width="4.7109375" style="265" customWidth="1"/>
    <col min="4866" max="4866" width="20.85546875" style="265" customWidth="1"/>
    <col min="4867" max="4867" width="27" style="265" customWidth="1"/>
    <col min="4868" max="4868" width="23" style="265" customWidth="1"/>
    <col min="4869" max="4869" width="19" style="265" customWidth="1"/>
    <col min="4870" max="4870" width="29.42578125" style="265" customWidth="1"/>
    <col min="4871" max="4871" width="8.42578125" style="265" customWidth="1"/>
    <col min="4872" max="4872" width="12.85546875" style="265" customWidth="1"/>
    <col min="4873" max="4873" width="13.42578125" style="265" customWidth="1"/>
    <col min="4874" max="4875" width="7.85546875" style="265" customWidth="1"/>
    <col min="4876" max="4876" width="7.28515625" style="265" customWidth="1"/>
    <col min="4877" max="4877" width="7.42578125" style="265" customWidth="1"/>
    <col min="4878" max="4878" width="6.28515625" style="265" customWidth="1"/>
    <col min="4879" max="4879" width="5.7109375" style="265" customWidth="1"/>
    <col min="4880" max="4880" width="6" style="265" customWidth="1"/>
    <col min="4881" max="4881" width="4.85546875" style="265" customWidth="1"/>
    <col min="4882" max="4882" width="6" style="265" customWidth="1"/>
    <col min="4883" max="4883" width="6.5703125" style="265" customWidth="1"/>
    <col min="4884" max="4884" width="8.140625" style="265" customWidth="1"/>
    <col min="4885" max="4885" width="6" style="265" customWidth="1"/>
    <col min="4886" max="4886" width="8.140625" style="265" customWidth="1"/>
    <col min="4887" max="4887" width="15" style="265" customWidth="1"/>
    <col min="4888" max="4888" width="17.85546875" style="265" customWidth="1"/>
    <col min="4889" max="4889" width="12.85546875" style="265" customWidth="1"/>
    <col min="4890" max="5120" width="9.140625" style="265"/>
    <col min="5121" max="5121" width="4.7109375" style="265" customWidth="1"/>
    <col min="5122" max="5122" width="20.85546875" style="265" customWidth="1"/>
    <col min="5123" max="5123" width="27" style="265" customWidth="1"/>
    <col min="5124" max="5124" width="23" style="265" customWidth="1"/>
    <col min="5125" max="5125" width="19" style="265" customWidth="1"/>
    <col min="5126" max="5126" width="29.42578125" style="265" customWidth="1"/>
    <col min="5127" max="5127" width="8.42578125" style="265" customWidth="1"/>
    <col min="5128" max="5128" width="12.85546875" style="265" customWidth="1"/>
    <col min="5129" max="5129" width="13.42578125" style="265" customWidth="1"/>
    <col min="5130" max="5131" width="7.85546875" style="265" customWidth="1"/>
    <col min="5132" max="5132" width="7.28515625" style="265" customWidth="1"/>
    <col min="5133" max="5133" width="7.42578125" style="265" customWidth="1"/>
    <col min="5134" max="5134" width="6.28515625" style="265" customWidth="1"/>
    <col min="5135" max="5135" width="5.7109375" style="265" customWidth="1"/>
    <col min="5136" max="5136" width="6" style="265" customWidth="1"/>
    <col min="5137" max="5137" width="4.85546875" style="265" customWidth="1"/>
    <col min="5138" max="5138" width="6" style="265" customWidth="1"/>
    <col min="5139" max="5139" width="6.5703125" style="265" customWidth="1"/>
    <col min="5140" max="5140" width="8.140625" style="265" customWidth="1"/>
    <col min="5141" max="5141" width="6" style="265" customWidth="1"/>
    <col min="5142" max="5142" width="8.140625" style="265" customWidth="1"/>
    <col min="5143" max="5143" width="15" style="265" customWidth="1"/>
    <col min="5144" max="5144" width="17.85546875" style="265" customWidth="1"/>
    <col min="5145" max="5145" width="12.85546875" style="265" customWidth="1"/>
    <col min="5146" max="5376" width="9.140625" style="265"/>
    <col min="5377" max="5377" width="4.7109375" style="265" customWidth="1"/>
    <col min="5378" max="5378" width="20.85546875" style="265" customWidth="1"/>
    <col min="5379" max="5379" width="27" style="265" customWidth="1"/>
    <col min="5380" max="5380" width="23" style="265" customWidth="1"/>
    <col min="5381" max="5381" width="19" style="265" customWidth="1"/>
    <col min="5382" max="5382" width="29.42578125" style="265" customWidth="1"/>
    <col min="5383" max="5383" width="8.42578125" style="265" customWidth="1"/>
    <col min="5384" max="5384" width="12.85546875" style="265" customWidth="1"/>
    <col min="5385" max="5385" width="13.42578125" style="265" customWidth="1"/>
    <col min="5386" max="5387" width="7.85546875" style="265" customWidth="1"/>
    <col min="5388" max="5388" width="7.28515625" style="265" customWidth="1"/>
    <col min="5389" max="5389" width="7.42578125" style="265" customWidth="1"/>
    <col min="5390" max="5390" width="6.28515625" style="265" customWidth="1"/>
    <col min="5391" max="5391" width="5.7109375" style="265" customWidth="1"/>
    <col min="5392" max="5392" width="6" style="265" customWidth="1"/>
    <col min="5393" max="5393" width="4.85546875" style="265" customWidth="1"/>
    <col min="5394" max="5394" width="6" style="265" customWidth="1"/>
    <col min="5395" max="5395" width="6.5703125" style="265" customWidth="1"/>
    <col min="5396" max="5396" width="8.140625" style="265" customWidth="1"/>
    <col min="5397" max="5397" width="6" style="265" customWidth="1"/>
    <col min="5398" max="5398" width="8.140625" style="265" customWidth="1"/>
    <col min="5399" max="5399" width="15" style="265" customWidth="1"/>
    <col min="5400" max="5400" width="17.85546875" style="265" customWidth="1"/>
    <col min="5401" max="5401" width="12.85546875" style="265" customWidth="1"/>
    <col min="5402" max="5632" width="9.140625" style="265"/>
    <col min="5633" max="5633" width="4.7109375" style="265" customWidth="1"/>
    <col min="5634" max="5634" width="20.85546875" style="265" customWidth="1"/>
    <col min="5635" max="5635" width="27" style="265" customWidth="1"/>
    <col min="5636" max="5636" width="23" style="265" customWidth="1"/>
    <col min="5637" max="5637" width="19" style="265" customWidth="1"/>
    <col min="5638" max="5638" width="29.42578125" style="265" customWidth="1"/>
    <col min="5639" max="5639" width="8.42578125" style="265" customWidth="1"/>
    <col min="5640" max="5640" width="12.85546875" style="265" customWidth="1"/>
    <col min="5641" max="5641" width="13.42578125" style="265" customWidth="1"/>
    <col min="5642" max="5643" width="7.85546875" style="265" customWidth="1"/>
    <col min="5644" max="5644" width="7.28515625" style="265" customWidth="1"/>
    <col min="5645" max="5645" width="7.42578125" style="265" customWidth="1"/>
    <col min="5646" max="5646" width="6.28515625" style="265" customWidth="1"/>
    <col min="5647" max="5647" width="5.7109375" style="265" customWidth="1"/>
    <col min="5648" max="5648" width="6" style="265" customWidth="1"/>
    <col min="5649" max="5649" width="4.85546875" style="265" customWidth="1"/>
    <col min="5650" max="5650" width="6" style="265" customWidth="1"/>
    <col min="5651" max="5651" width="6.5703125" style="265" customWidth="1"/>
    <col min="5652" max="5652" width="8.140625" style="265" customWidth="1"/>
    <col min="5653" max="5653" width="6" style="265" customWidth="1"/>
    <col min="5654" max="5654" width="8.140625" style="265" customWidth="1"/>
    <col min="5655" max="5655" width="15" style="265" customWidth="1"/>
    <col min="5656" max="5656" width="17.85546875" style="265" customWidth="1"/>
    <col min="5657" max="5657" width="12.85546875" style="265" customWidth="1"/>
    <col min="5658" max="5888" width="9.140625" style="265"/>
    <col min="5889" max="5889" width="4.7109375" style="265" customWidth="1"/>
    <col min="5890" max="5890" width="20.85546875" style="265" customWidth="1"/>
    <col min="5891" max="5891" width="27" style="265" customWidth="1"/>
    <col min="5892" max="5892" width="23" style="265" customWidth="1"/>
    <col min="5893" max="5893" width="19" style="265" customWidth="1"/>
    <col min="5894" max="5894" width="29.42578125" style="265" customWidth="1"/>
    <col min="5895" max="5895" width="8.42578125" style="265" customWidth="1"/>
    <col min="5896" max="5896" width="12.85546875" style="265" customWidth="1"/>
    <col min="5897" max="5897" width="13.42578125" style="265" customWidth="1"/>
    <col min="5898" max="5899" width="7.85546875" style="265" customWidth="1"/>
    <col min="5900" max="5900" width="7.28515625" style="265" customWidth="1"/>
    <col min="5901" max="5901" width="7.42578125" style="265" customWidth="1"/>
    <col min="5902" max="5902" width="6.28515625" style="265" customWidth="1"/>
    <col min="5903" max="5903" width="5.7109375" style="265" customWidth="1"/>
    <col min="5904" max="5904" width="6" style="265" customWidth="1"/>
    <col min="5905" max="5905" width="4.85546875" style="265" customWidth="1"/>
    <col min="5906" max="5906" width="6" style="265" customWidth="1"/>
    <col min="5907" max="5907" width="6.5703125" style="265" customWidth="1"/>
    <col min="5908" max="5908" width="8.140625" style="265" customWidth="1"/>
    <col min="5909" max="5909" width="6" style="265" customWidth="1"/>
    <col min="5910" max="5910" width="8.140625" style="265" customWidth="1"/>
    <col min="5911" max="5911" width="15" style="265" customWidth="1"/>
    <col min="5912" max="5912" width="17.85546875" style="265" customWidth="1"/>
    <col min="5913" max="5913" width="12.85546875" style="265" customWidth="1"/>
    <col min="5914" max="6144" width="9.140625" style="265"/>
    <col min="6145" max="6145" width="4.7109375" style="265" customWidth="1"/>
    <col min="6146" max="6146" width="20.85546875" style="265" customWidth="1"/>
    <col min="6147" max="6147" width="27" style="265" customWidth="1"/>
    <col min="6148" max="6148" width="23" style="265" customWidth="1"/>
    <col min="6149" max="6149" width="19" style="265" customWidth="1"/>
    <col min="6150" max="6150" width="29.42578125" style="265" customWidth="1"/>
    <col min="6151" max="6151" width="8.42578125" style="265" customWidth="1"/>
    <col min="6152" max="6152" width="12.85546875" style="265" customWidth="1"/>
    <col min="6153" max="6153" width="13.42578125" style="265" customWidth="1"/>
    <col min="6154" max="6155" width="7.85546875" style="265" customWidth="1"/>
    <col min="6156" max="6156" width="7.28515625" style="265" customWidth="1"/>
    <col min="6157" max="6157" width="7.42578125" style="265" customWidth="1"/>
    <col min="6158" max="6158" width="6.28515625" style="265" customWidth="1"/>
    <col min="6159" max="6159" width="5.7109375" style="265" customWidth="1"/>
    <col min="6160" max="6160" width="6" style="265" customWidth="1"/>
    <col min="6161" max="6161" width="4.85546875" style="265" customWidth="1"/>
    <col min="6162" max="6162" width="6" style="265" customWidth="1"/>
    <col min="6163" max="6163" width="6.5703125" style="265" customWidth="1"/>
    <col min="6164" max="6164" width="8.140625" style="265" customWidth="1"/>
    <col min="6165" max="6165" width="6" style="265" customWidth="1"/>
    <col min="6166" max="6166" width="8.140625" style="265" customWidth="1"/>
    <col min="6167" max="6167" width="15" style="265" customWidth="1"/>
    <col min="6168" max="6168" width="17.85546875" style="265" customWidth="1"/>
    <col min="6169" max="6169" width="12.85546875" style="265" customWidth="1"/>
    <col min="6170" max="6400" width="9.140625" style="265"/>
    <col min="6401" max="6401" width="4.7109375" style="265" customWidth="1"/>
    <col min="6402" max="6402" width="20.85546875" style="265" customWidth="1"/>
    <col min="6403" max="6403" width="27" style="265" customWidth="1"/>
    <col min="6404" max="6404" width="23" style="265" customWidth="1"/>
    <col min="6405" max="6405" width="19" style="265" customWidth="1"/>
    <col min="6406" max="6406" width="29.42578125" style="265" customWidth="1"/>
    <col min="6407" max="6407" width="8.42578125" style="265" customWidth="1"/>
    <col min="6408" max="6408" width="12.85546875" style="265" customWidth="1"/>
    <col min="6409" max="6409" width="13.42578125" style="265" customWidth="1"/>
    <col min="6410" max="6411" width="7.85546875" style="265" customWidth="1"/>
    <col min="6412" max="6412" width="7.28515625" style="265" customWidth="1"/>
    <col min="6413" max="6413" width="7.42578125" style="265" customWidth="1"/>
    <col min="6414" max="6414" width="6.28515625" style="265" customWidth="1"/>
    <col min="6415" max="6415" width="5.7109375" style="265" customWidth="1"/>
    <col min="6416" max="6416" width="6" style="265" customWidth="1"/>
    <col min="6417" max="6417" width="4.85546875" style="265" customWidth="1"/>
    <col min="6418" max="6418" width="6" style="265" customWidth="1"/>
    <col min="6419" max="6419" width="6.5703125" style="265" customWidth="1"/>
    <col min="6420" max="6420" width="8.140625" style="265" customWidth="1"/>
    <col min="6421" max="6421" width="6" style="265" customWidth="1"/>
    <col min="6422" max="6422" width="8.140625" style="265" customWidth="1"/>
    <col min="6423" max="6423" width="15" style="265" customWidth="1"/>
    <col min="6424" max="6424" width="17.85546875" style="265" customWidth="1"/>
    <col min="6425" max="6425" width="12.85546875" style="265" customWidth="1"/>
    <col min="6426" max="6656" width="9.140625" style="265"/>
    <col min="6657" max="6657" width="4.7109375" style="265" customWidth="1"/>
    <col min="6658" max="6658" width="20.85546875" style="265" customWidth="1"/>
    <col min="6659" max="6659" width="27" style="265" customWidth="1"/>
    <col min="6660" max="6660" width="23" style="265" customWidth="1"/>
    <col min="6661" max="6661" width="19" style="265" customWidth="1"/>
    <col min="6662" max="6662" width="29.42578125" style="265" customWidth="1"/>
    <col min="6663" max="6663" width="8.42578125" style="265" customWidth="1"/>
    <col min="6664" max="6664" width="12.85546875" style="265" customWidth="1"/>
    <col min="6665" max="6665" width="13.42578125" style="265" customWidth="1"/>
    <col min="6666" max="6667" width="7.85546875" style="265" customWidth="1"/>
    <col min="6668" max="6668" width="7.28515625" style="265" customWidth="1"/>
    <col min="6669" max="6669" width="7.42578125" style="265" customWidth="1"/>
    <col min="6670" max="6670" width="6.28515625" style="265" customWidth="1"/>
    <col min="6671" max="6671" width="5.7109375" style="265" customWidth="1"/>
    <col min="6672" max="6672" width="6" style="265" customWidth="1"/>
    <col min="6673" max="6673" width="4.85546875" style="265" customWidth="1"/>
    <col min="6674" max="6674" width="6" style="265" customWidth="1"/>
    <col min="6675" max="6675" width="6.5703125" style="265" customWidth="1"/>
    <col min="6676" max="6676" width="8.140625" style="265" customWidth="1"/>
    <col min="6677" max="6677" width="6" style="265" customWidth="1"/>
    <col min="6678" max="6678" width="8.140625" style="265" customWidth="1"/>
    <col min="6679" max="6679" width="15" style="265" customWidth="1"/>
    <col min="6680" max="6680" width="17.85546875" style="265" customWidth="1"/>
    <col min="6681" max="6681" width="12.85546875" style="265" customWidth="1"/>
    <col min="6682" max="6912" width="9.140625" style="265"/>
    <col min="6913" max="6913" width="4.7109375" style="265" customWidth="1"/>
    <col min="6914" max="6914" width="20.85546875" style="265" customWidth="1"/>
    <col min="6915" max="6915" width="27" style="265" customWidth="1"/>
    <col min="6916" max="6916" width="23" style="265" customWidth="1"/>
    <col min="6917" max="6917" width="19" style="265" customWidth="1"/>
    <col min="6918" max="6918" width="29.42578125" style="265" customWidth="1"/>
    <col min="6919" max="6919" width="8.42578125" style="265" customWidth="1"/>
    <col min="6920" max="6920" width="12.85546875" style="265" customWidth="1"/>
    <col min="6921" max="6921" width="13.42578125" style="265" customWidth="1"/>
    <col min="6922" max="6923" width="7.85546875" style="265" customWidth="1"/>
    <col min="6924" max="6924" width="7.28515625" style="265" customWidth="1"/>
    <col min="6925" max="6925" width="7.42578125" style="265" customWidth="1"/>
    <col min="6926" max="6926" width="6.28515625" style="265" customWidth="1"/>
    <col min="6927" max="6927" width="5.7109375" style="265" customWidth="1"/>
    <col min="6928" max="6928" width="6" style="265" customWidth="1"/>
    <col min="6929" max="6929" width="4.85546875" style="265" customWidth="1"/>
    <col min="6930" max="6930" width="6" style="265" customWidth="1"/>
    <col min="6931" max="6931" width="6.5703125" style="265" customWidth="1"/>
    <col min="6932" max="6932" width="8.140625" style="265" customWidth="1"/>
    <col min="6933" max="6933" width="6" style="265" customWidth="1"/>
    <col min="6934" max="6934" width="8.140625" style="265" customWidth="1"/>
    <col min="6935" max="6935" width="15" style="265" customWidth="1"/>
    <col min="6936" max="6936" width="17.85546875" style="265" customWidth="1"/>
    <col min="6937" max="6937" width="12.85546875" style="265" customWidth="1"/>
    <col min="6938" max="7168" width="9.140625" style="265"/>
    <col min="7169" max="7169" width="4.7109375" style="265" customWidth="1"/>
    <col min="7170" max="7170" width="20.85546875" style="265" customWidth="1"/>
    <col min="7171" max="7171" width="27" style="265" customWidth="1"/>
    <col min="7172" max="7172" width="23" style="265" customWidth="1"/>
    <col min="7173" max="7173" width="19" style="265" customWidth="1"/>
    <col min="7174" max="7174" width="29.42578125" style="265" customWidth="1"/>
    <col min="7175" max="7175" width="8.42578125" style="265" customWidth="1"/>
    <col min="7176" max="7176" width="12.85546875" style="265" customWidth="1"/>
    <col min="7177" max="7177" width="13.42578125" style="265" customWidth="1"/>
    <col min="7178" max="7179" width="7.85546875" style="265" customWidth="1"/>
    <col min="7180" max="7180" width="7.28515625" style="265" customWidth="1"/>
    <col min="7181" max="7181" width="7.42578125" style="265" customWidth="1"/>
    <col min="7182" max="7182" width="6.28515625" style="265" customWidth="1"/>
    <col min="7183" max="7183" width="5.7109375" style="265" customWidth="1"/>
    <col min="7184" max="7184" width="6" style="265" customWidth="1"/>
    <col min="7185" max="7185" width="4.85546875" style="265" customWidth="1"/>
    <col min="7186" max="7186" width="6" style="265" customWidth="1"/>
    <col min="7187" max="7187" width="6.5703125" style="265" customWidth="1"/>
    <col min="7188" max="7188" width="8.140625" style="265" customWidth="1"/>
    <col min="7189" max="7189" width="6" style="265" customWidth="1"/>
    <col min="7190" max="7190" width="8.140625" style="265" customWidth="1"/>
    <col min="7191" max="7191" width="15" style="265" customWidth="1"/>
    <col min="7192" max="7192" width="17.85546875" style="265" customWidth="1"/>
    <col min="7193" max="7193" width="12.85546875" style="265" customWidth="1"/>
    <col min="7194" max="7424" width="9.140625" style="265"/>
    <col min="7425" max="7425" width="4.7109375" style="265" customWidth="1"/>
    <col min="7426" max="7426" width="20.85546875" style="265" customWidth="1"/>
    <col min="7427" max="7427" width="27" style="265" customWidth="1"/>
    <col min="7428" max="7428" width="23" style="265" customWidth="1"/>
    <col min="7429" max="7429" width="19" style="265" customWidth="1"/>
    <col min="7430" max="7430" width="29.42578125" style="265" customWidth="1"/>
    <col min="7431" max="7431" width="8.42578125" style="265" customWidth="1"/>
    <col min="7432" max="7432" width="12.85546875" style="265" customWidth="1"/>
    <col min="7433" max="7433" width="13.42578125" style="265" customWidth="1"/>
    <col min="7434" max="7435" width="7.85546875" style="265" customWidth="1"/>
    <col min="7436" max="7436" width="7.28515625" style="265" customWidth="1"/>
    <col min="7437" max="7437" width="7.42578125" style="265" customWidth="1"/>
    <col min="7438" max="7438" width="6.28515625" style="265" customWidth="1"/>
    <col min="7439" max="7439" width="5.7109375" style="265" customWidth="1"/>
    <col min="7440" max="7440" width="6" style="265" customWidth="1"/>
    <col min="7441" max="7441" width="4.85546875" style="265" customWidth="1"/>
    <col min="7442" max="7442" width="6" style="265" customWidth="1"/>
    <col min="7443" max="7443" width="6.5703125" style="265" customWidth="1"/>
    <col min="7444" max="7444" width="8.140625" style="265" customWidth="1"/>
    <col min="7445" max="7445" width="6" style="265" customWidth="1"/>
    <col min="7446" max="7446" width="8.140625" style="265" customWidth="1"/>
    <col min="7447" max="7447" width="15" style="265" customWidth="1"/>
    <col min="7448" max="7448" width="17.85546875" style="265" customWidth="1"/>
    <col min="7449" max="7449" width="12.85546875" style="265" customWidth="1"/>
    <col min="7450" max="7680" width="9.140625" style="265"/>
    <col min="7681" max="7681" width="4.7109375" style="265" customWidth="1"/>
    <col min="7682" max="7682" width="20.85546875" style="265" customWidth="1"/>
    <col min="7683" max="7683" width="27" style="265" customWidth="1"/>
    <col min="7684" max="7684" width="23" style="265" customWidth="1"/>
    <col min="7685" max="7685" width="19" style="265" customWidth="1"/>
    <col min="7686" max="7686" width="29.42578125" style="265" customWidth="1"/>
    <col min="7687" max="7687" width="8.42578125" style="265" customWidth="1"/>
    <col min="7688" max="7688" width="12.85546875" style="265" customWidth="1"/>
    <col min="7689" max="7689" width="13.42578125" style="265" customWidth="1"/>
    <col min="7690" max="7691" width="7.85546875" style="265" customWidth="1"/>
    <col min="7692" max="7692" width="7.28515625" style="265" customWidth="1"/>
    <col min="7693" max="7693" width="7.42578125" style="265" customWidth="1"/>
    <col min="7694" max="7694" width="6.28515625" style="265" customWidth="1"/>
    <col min="7695" max="7695" width="5.7109375" style="265" customWidth="1"/>
    <col min="7696" max="7696" width="6" style="265" customWidth="1"/>
    <col min="7697" max="7697" width="4.85546875" style="265" customWidth="1"/>
    <col min="7698" max="7698" width="6" style="265" customWidth="1"/>
    <col min="7699" max="7699" width="6.5703125" style="265" customWidth="1"/>
    <col min="7700" max="7700" width="8.140625" style="265" customWidth="1"/>
    <col min="7701" max="7701" width="6" style="265" customWidth="1"/>
    <col min="7702" max="7702" width="8.140625" style="265" customWidth="1"/>
    <col min="7703" max="7703" width="15" style="265" customWidth="1"/>
    <col min="7704" max="7704" width="17.85546875" style="265" customWidth="1"/>
    <col min="7705" max="7705" width="12.85546875" style="265" customWidth="1"/>
    <col min="7706" max="7936" width="9.140625" style="265"/>
    <col min="7937" max="7937" width="4.7109375" style="265" customWidth="1"/>
    <col min="7938" max="7938" width="20.85546875" style="265" customWidth="1"/>
    <col min="7939" max="7939" width="27" style="265" customWidth="1"/>
    <col min="7940" max="7940" width="23" style="265" customWidth="1"/>
    <col min="7941" max="7941" width="19" style="265" customWidth="1"/>
    <col min="7942" max="7942" width="29.42578125" style="265" customWidth="1"/>
    <col min="7943" max="7943" width="8.42578125" style="265" customWidth="1"/>
    <col min="7944" max="7944" width="12.85546875" style="265" customWidth="1"/>
    <col min="7945" max="7945" width="13.42578125" style="265" customWidth="1"/>
    <col min="7946" max="7947" width="7.85546875" style="265" customWidth="1"/>
    <col min="7948" max="7948" width="7.28515625" style="265" customWidth="1"/>
    <col min="7949" max="7949" width="7.42578125" style="265" customWidth="1"/>
    <col min="7950" max="7950" width="6.28515625" style="265" customWidth="1"/>
    <col min="7951" max="7951" width="5.7109375" style="265" customWidth="1"/>
    <col min="7952" max="7952" width="6" style="265" customWidth="1"/>
    <col min="7953" max="7953" width="4.85546875" style="265" customWidth="1"/>
    <col min="7954" max="7954" width="6" style="265" customWidth="1"/>
    <col min="7955" max="7955" width="6.5703125" style="265" customWidth="1"/>
    <col min="7956" max="7956" width="8.140625" style="265" customWidth="1"/>
    <col min="7957" max="7957" width="6" style="265" customWidth="1"/>
    <col min="7958" max="7958" width="8.140625" style="265" customWidth="1"/>
    <col min="7959" max="7959" width="15" style="265" customWidth="1"/>
    <col min="7960" max="7960" width="17.85546875" style="265" customWidth="1"/>
    <col min="7961" max="7961" width="12.85546875" style="265" customWidth="1"/>
    <col min="7962" max="8192" width="9.140625" style="265"/>
    <col min="8193" max="8193" width="4.7109375" style="265" customWidth="1"/>
    <col min="8194" max="8194" width="20.85546875" style="265" customWidth="1"/>
    <col min="8195" max="8195" width="27" style="265" customWidth="1"/>
    <col min="8196" max="8196" width="23" style="265" customWidth="1"/>
    <col min="8197" max="8197" width="19" style="265" customWidth="1"/>
    <col min="8198" max="8198" width="29.42578125" style="265" customWidth="1"/>
    <col min="8199" max="8199" width="8.42578125" style="265" customWidth="1"/>
    <col min="8200" max="8200" width="12.85546875" style="265" customWidth="1"/>
    <col min="8201" max="8201" width="13.42578125" style="265" customWidth="1"/>
    <col min="8202" max="8203" width="7.85546875" style="265" customWidth="1"/>
    <col min="8204" max="8204" width="7.28515625" style="265" customWidth="1"/>
    <col min="8205" max="8205" width="7.42578125" style="265" customWidth="1"/>
    <col min="8206" max="8206" width="6.28515625" style="265" customWidth="1"/>
    <col min="8207" max="8207" width="5.7109375" style="265" customWidth="1"/>
    <col min="8208" max="8208" width="6" style="265" customWidth="1"/>
    <col min="8209" max="8209" width="4.85546875" style="265" customWidth="1"/>
    <col min="8210" max="8210" width="6" style="265" customWidth="1"/>
    <col min="8211" max="8211" width="6.5703125" style="265" customWidth="1"/>
    <col min="8212" max="8212" width="8.140625" style="265" customWidth="1"/>
    <col min="8213" max="8213" width="6" style="265" customWidth="1"/>
    <col min="8214" max="8214" width="8.140625" style="265" customWidth="1"/>
    <col min="8215" max="8215" width="15" style="265" customWidth="1"/>
    <col min="8216" max="8216" width="17.85546875" style="265" customWidth="1"/>
    <col min="8217" max="8217" width="12.85546875" style="265" customWidth="1"/>
    <col min="8218" max="8448" width="9.140625" style="265"/>
    <col min="8449" max="8449" width="4.7109375" style="265" customWidth="1"/>
    <col min="8450" max="8450" width="20.85546875" style="265" customWidth="1"/>
    <col min="8451" max="8451" width="27" style="265" customWidth="1"/>
    <col min="8452" max="8452" width="23" style="265" customWidth="1"/>
    <col min="8453" max="8453" width="19" style="265" customWidth="1"/>
    <col min="8454" max="8454" width="29.42578125" style="265" customWidth="1"/>
    <col min="8455" max="8455" width="8.42578125" style="265" customWidth="1"/>
    <col min="8456" max="8456" width="12.85546875" style="265" customWidth="1"/>
    <col min="8457" max="8457" width="13.42578125" style="265" customWidth="1"/>
    <col min="8458" max="8459" width="7.85546875" style="265" customWidth="1"/>
    <col min="8460" max="8460" width="7.28515625" style="265" customWidth="1"/>
    <col min="8461" max="8461" width="7.42578125" style="265" customWidth="1"/>
    <col min="8462" max="8462" width="6.28515625" style="265" customWidth="1"/>
    <col min="8463" max="8463" width="5.7109375" style="265" customWidth="1"/>
    <col min="8464" max="8464" width="6" style="265" customWidth="1"/>
    <col min="8465" max="8465" width="4.85546875" style="265" customWidth="1"/>
    <col min="8466" max="8466" width="6" style="265" customWidth="1"/>
    <col min="8467" max="8467" width="6.5703125" style="265" customWidth="1"/>
    <col min="8468" max="8468" width="8.140625" style="265" customWidth="1"/>
    <col min="8469" max="8469" width="6" style="265" customWidth="1"/>
    <col min="8470" max="8470" width="8.140625" style="265" customWidth="1"/>
    <col min="8471" max="8471" width="15" style="265" customWidth="1"/>
    <col min="8472" max="8472" width="17.85546875" style="265" customWidth="1"/>
    <col min="8473" max="8473" width="12.85546875" style="265" customWidth="1"/>
    <col min="8474" max="8704" width="9.140625" style="265"/>
    <col min="8705" max="8705" width="4.7109375" style="265" customWidth="1"/>
    <col min="8706" max="8706" width="20.85546875" style="265" customWidth="1"/>
    <col min="8707" max="8707" width="27" style="265" customWidth="1"/>
    <col min="8708" max="8708" width="23" style="265" customWidth="1"/>
    <col min="8709" max="8709" width="19" style="265" customWidth="1"/>
    <col min="8710" max="8710" width="29.42578125" style="265" customWidth="1"/>
    <col min="8711" max="8711" width="8.42578125" style="265" customWidth="1"/>
    <col min="8712" max="8712" width="12.85546875" style="265" customWidth="1"/>
    <col min="8713" max="8713" width="13.42578125" style="265" customWidth="1"/>
    <col min="8714" max="8715" width="7.85546875" style="265" customWidth="1"/>
    <col min="8716" max="8716" width="7.28515625" style="265" customWidth="1"/>
    <col min="8717" max="8717" width="7.42578125" style="265" customWidth="1"/>
    <col min="8718" max="8718" width="6.28515625" style="265" customWidth="1"/>
    <col min="8719" max="8719" width="5.7109375" style="265" customWidth="1"/>
    <col min="8720" max="8720" width="6" style="265" customWidth="1"/>
    <col min="8721" max="8721" width="4.85546875" style="265" customWidth="1"/>
    <col min="8722" max="8722" width="6" style="265" customWidth="1"/>
    <col min="8723" max="8723" width="6.5703125" style="265" customWidth="1"/>
    <col min="8724" max="8724" width="8.140625" style="265" customWidth="1"/>
    <col min="8725" max="8725" width="6" style="265" customWidth="1"/>
    <col min="8726" max="8726" width="8.140625" style="265" customWidth="1"/>
    <col min="8727" max="8727" width="15" style="265" customWidth="1"/>
    <col min="8728" max="8728" width="17.85546875" style="265" customWidth="1"/>
    <col min="8729" max="8729" width="12.85546875" style="265" customWidth="1"/>
    <col min="8730" max="8960" width="9.140625" style="265"/>
    <col min="8961" max="8961" width="4.7109375" style="265" customWidth="1"/>
    <col min="8962" max="8962" width="20.85546875" style="265" customWidth="1"/>
    <col min="8963" max="8963" width="27" style="265" customWidth="1"/>
    <col min="8964" max="8964" width="23" style="265" customWidth="1"/>
    <col min="8965" max="8965" width="19" style="265" customWidth="1"/>
    <col min="8966" max="8966" width="29.42578125" style="265" customWidth="1"/>
    <col min="8967" max="8967" width="8.42578125" style="265" customWidth="1"/>
    <col min="8968" max="8968" width="12.85546875" style="265" customWidth="1"/>
    <col min="8969" max="8969" width="13.42578125" style="265" customWidth="1"/>
    <col min="8970" max="8971" width="7.85546875" style="265" customWidth="1"/>
    <col min="8972" max="8972" width="7.28515625" style="265" customWidth="1"/>
    <col min="8973" max="8973" width="7.42578125" style="265" customWidth="1"/>
    <col min="8974" max="8974" width="6.28515625" style="265" customWidth="1"/>
    <col min="8975" max="8975" width="5.7109375" style="265" customWidth="1"/>
    <col min="8976" max="8976" width="6" style="265" customWidth="1"/>
    <col min="8977" max="8977" width="4.85546875" style="265" customWidth="1"/>
    <col min="8978" max="8978" width="6" style="265" customWidth="1"/>
    <col min="8979" max="8979" width="6.5703125" style="265" customWidth="1"/>
    <col min="8980" max="8980" width="8.140625" style="265" customWidth="1"/>
    <col min="8981" max="8981" width="6" style="265" customWidth="1"/>
    <col min="8982" max="8982" width="8.140625" style="265" customWidth="1"/>
    <col min="8983" max="8983" width="15" style="265" customWidth="1"/>
    <col min="8984" max="8984" width="17.85546875" style="265" customWidth="1"/>
    <col min="8985" max="8985" width="12.85546875" style="265" customWidth="1"/>
    <col min="8986" max="9216" width="9.140625" style="265"/>
    <col min="9217" max="9217" width="4.7109375" style="265" customWidth="1"/>
    <col min="9218" max="9218" width="20.85546875" style="265" customWidth="1"/>
    <col min="9219" max="9219" width="27" style="265" customWidth="1"/>
    <col min="9220" max="9220" width="23" style="265" customWidth="1"/>
    <col min="9221" max="9221" width="19" style="265" customWidth="1"/>
    <col min="9222" max="9222" width="29.42578125" style="265" customWidth="1"/>
    <col min="9223" max="9223" width="8.42578125" style="265" customWidth="1"/>
    <col min="9224" max="9224" width="12.85546875" style="265" customWidth="1"/>
    <col min="9225" max="9225" width="13.42578125" style="265" customWidth="1"/>
    <col min="9226" max="9227" width="7.85546875" style="265" customWidth="1"/>
    <col min="9228" max="9228" width="7.28515625" style="265" customWidth="1"/>
    <col min="9229" max="9229" width="7.42578125" style="265" customWidth="1"/>
    <col min="9230" max="9230" width="6.28515625" style="265" customWidth="1"/>
    <col min="9231" max="9231" width="5.7109375" style="265" customWidth="1"/>
    <col min="9232" max="9232" width="6" style="265" customWidth="1"/>
    <col min="9233" max="9233" width="4.85546875" style="265" customWidth="1"/>
    <col min="9234" max="9234" width="6" style="265" customWidth="1"/>
    <col min="9235" max="9235" width="6.5703125" style="265" customWidth="1"/>
    <col min="9236" max="9236" width="8.140625" style="265" customWidth="1"/>
    <col min="9237" max="9237" width="6" style="265" customWidth="1"/>
    <col min="9238" max="9238" width="8.140625" style="265" customWidth="1"/>
    <col min="9239" max="9239" width="15" style="265" customWidth="1"/>
    <col min="9240" max="9240" width="17.85546875" style="265" customWidth="1"/>
    <col min="9241" max="9241" width="12.85546875" style="265" customWidth="1"/>
    <col min="9242" max="9472" width="9.140625" style="265"/>
    <col min="9473" max="9473" width="4.7109375" style="265" customWidth="1"/>
    <col min="9474" max="9474" width="20.85546875" style="265" customWidth="1"/>
    <col min="9475" max="9475" width="27" style="265" customWidth="1"/>
    <col min="9476" max="9476" width="23" style="265" customWidth="1"/>
    <col min="9477" max="9477" width="19" style="265" customWidth="1"/>
    <col min="9478" max="9478" width="29.42578125" style="265" customWidth="1"/>
    <col min="9479" max="9479" width="8.42578125" style="265" customWidth="1"/>
    <col min="9480" max="9480" width="12.85546875" style="265" customWidth="1"/>
    <col min="9481" max="9481" width="13.42578125" style="265" customWidth="1"/>
    <col min="9482" max="9483" width="7.85546875" style="265" customWidth="1"/>
    <col min="9484" max="9484" width="7.28515625" style="265" customWidth="1"/>
    <col min="9485" max="9485" width="7.42578125" style="265" customWidth="1"/>
    <col min="9486" max="9486" width="6.28515625" style="265" customWidth="1"/>
    <col min="9487" max="9487" width="5.7109375" style="265" customWidth="1"/>
    <col min="9488" max="9488" width="6" style="265" customWidth="1"/>
    <col min="9489" max="9489" width="4.85546875" style="265" customWidth="1"/>
    <col min="9490" max="9490" width="6" style="265" customWidth="1"/>
    <col min="9491" max="9491" width="6.5703125" style="265" customWidth="1"/>
    <col min="9492" max="9492" width="8.140625" style="265" customWidth="1"/>
    <col min="9493" max="9493" width="6" style="265" customWidth="1"/>
    <col min="9494" max="9494" width="8.140625" style="265" customWidth="1"/>
    <col min="9495" max="9495" width="15" style="265" customWidth="1"/>
    <col min="9496" max="9496" width="17.85546875" style="265" customWidth="1"/>
    <col min="9497" max="9497" width="12.85546875" style="265" customWidth="1"/>
    <col min="9498" max="9728" width="9.140625" style="265"/>
    <col min="9729" max="9729" width="4.7109375" style="265" customWidth="1"/>
    <col min="9730" max="9730" width="20.85546875" style="265" customWidth="1"/>
    <col min="9731" max="9731" width="27" style="265" customWidth="1"/>
    <col min="9732" max="9732" width="23" style="265" customWidth="1"/>
    <col min="9733" max="9733" width="19" style="265" customWidth="1"/>
    <col min="9734" max="9734" width="29.42578125" style="265" customWidth="1"/>
    <col min="9735" max="9735" width="8.42578125" style="265" customWidth="1"/>
    <col min="9736" max="9736" width="12.85546875" style="265" customWidth="1"/>
    <col min="9737" max="9737" width="13.42578125" style="265" customWidth="1"/>
    <col min="9738" max="9739" width="7.85546875" style="265" customWidth="1"/>
    <col min="9740" max="9740" width="7.28515625" style="265" customWidth="1"/>
    <col min="9741" max="9741" width="7.42578125" style="265" customWidth="1"/>
    <col min="9742" max="9742" width="6.28515625" style="265" customWidth="1"/>
    <col min="9743" max="9743" width="5.7109375" style="265" customWidth="1"/>
    <col min="9744" max="9744" width="6" style="265" customWidth="1"/>
    <col min="9745" max="9745" width="4.85546875" style="265" customWidth="1"/>
    <col min="9746" max="9746" width="6" style="265" customWidth="1"/>
    <col min="9747" max="9747" width="6.5703125" style="265" customWidth="1"/>
    <col min="9748" max="9748" width="8.140625" style="265" customWidth="1"/>
    <col min="9749" max="9749" width="6" style="265" customWidth="1"/>
    <col min="9750" max="9750" width="8.140625" style="265" customWidth="1"/>
    <col min="9751" max="9751" width="15" style="265" customWidth="1"/>
    <col min="9752" max="9752" width="17.85546875" style="265" customWidth="1"/>
    <col min="9753" max="9753" width="12.85546875" style="265" customWidth="1"/>
    <col min="9754" max="9984" width="9.140625" style="265"/>
    <col min="9985" max="9985" width="4.7109375" style="265" customWidth="1"/>
    <col min="9986" max="9986" width="20.85546875" style="265" customWidth="1"/>
    <col min="9987" max="9987" width="27" style="265" customWidth="1"/>
    <col min="9988" max="9988" width="23" style="265" customWidth="1"/>
    <col min="9989" max="9989" width="19" style="265" customWidth="1"/>
    <col min="9990" max="9990" width="29.42578125" style="265" customWidth="1"/>
    <col min="9991" max="9991" width="8.42578125" style="265" customWidth="1"/>
    <col min="9992" max="9992" width="12.85546875" style="265" customWidth="1"/>
    <col min="9993" max="9993" width="13.42578125" style="265" customWidth="1"/>
    <col min="9994" max="9995" width="7.85546875" style="265" customWidth="1"/>
    <col min="9996" max="9996" width="7.28515625" style="265" customWidth="1"/>
    <col min="9997" max="9997" width="7.42578125" style="265" customWidth="1"/>
    <col min="9998" max="9998" width="6.28515625" style="265" customWidth="1"/>
    <col min="9999" max="9999" width="5.7109375" style="265" customWidth="1"/>
    <col min="10000" max="10000" width="6" style="265" customWidth="1"/>
    <col min="10001" max="10001" width="4.85546875" style="265" customWidth="1"/>
    <col min="10002" max="10002" width="6" style="265" customWidth="1"/>
    <col min="10003" max="10003" width="6.5703125" style="265" customWidth="1"/>
    <col min="10004" max="10004" width="8.140625" style="265" customWidth="1"/>
    <col min="10005" max="10005" width="6" style="265" customWidth="1"/>
    <col min="10006" max="10006" width="8.140625" style="265" customWidth="1"/>
    <col min="10007" max="10007" width="15" style="265" customWidth="1"/>
    <col min="10008" max="10008" width="17.85546875" style="265" customWidth="1"/>
    <col min="10009" max="10009" width="12.85546875" style="265" customWidth="1"/>
    <col min="10010" max="10240" width="9.140625" style="265"/>
    <col min="10241" max="10241" width="4.7109375" style="265" customWidth="1"/>
    <col min="10242" max="10242" width="20.85546875" style="265" customWidth="1"/>
    <col min="10243" max="10243" width="27" style="265" customWidth="1"/>
    <col min="10244" max="10244" width="23" style="265" customWidth="1"/>
    <col min="10245" max="10245" width="19" style="265" customWidth="1"/>
    <col min="10246" max="10246" width="29.42578125" style="265" customWidth="1"/>
    <col min="10247" max="10247" width="8.42578125" style="265" customWidth="1"/>
    <col min="10248" max="10248" width="12.85546875" style="265" customWidth="1"/>
    <col min="10249" max="10249" width="13.42578125" style="265" customWidth="1"/>
    <col min="10250" max="10251" width="7.85546875" style="265" customWidth="1"/>
    <col min="10252" max="10252" width="7.28515625" style="265" customWidth="1"/>
    <col min="10253" max="10253" width="7.42578125" style="265" customWidth="1"/>
    <col min="10254" max="10254" width="6.28515625" style="265" customWidth="1"/>
    <col min="10255" max="10255" width="5.7109375" style="265" customWidth="1"/>
    <col min="10256" max="10256" width="6" style="265" customWidth="1"/>
    <col min="10257" max="10257" width="4.85546875" style="265" customWidth="1"/>
    <col min="10258" max="10258" width="6" style="265" customWidth="1"/>
    <col min="10259" max="10259" width="6.5703125" style="265" customWidth="1"/>
    <col min="10260" max="10260" width="8.140625" style="265" customWidth="1"/>
    <col min="10261" max="10261" width="6" style="265" customWidth="1"/>
    <col min="10262" max="10262" width="8.140625" style="265" customWidth="1"/>
    <col min="10263" max="10263" width="15" style="265" customWidth="1"/>
    <col min="10264" max="10264" width="17.85546875" style="265" customWidth="1"/>
    <col min="10265" max="10265" width="12.85546875" style="265" customWidth="1"/>
    <col min="10266" max="10496" width="9.140625" style="265"/>
    <col min="10497" max="10497" width="4.7109375" style="265" customWidth="1"/>
    <col min="10498" max="10498" width="20.85546875" style="265" customWidth="1"/>
    <col min="10499" max="10499" width="27" style="265" customWidth="1"/>
    <col min="10500" max="10500" width="23" style="265" customWidth="1"/>
    <col min="10501" max="10501" width="19" style="265" customWidth="1"/>
    <col min="10502" max="10502" width="29.42578125" style="265" customWidth="1"/>
    <col min="10503" max="10503" width="8.42578125" style="265" customWidth="1"/>
    <col min="10504" max="10504" width="12.85546875" style="265" customWidth="1"/>
    <col min="10505" max="10505" width="13.42578125" style="265" customWidth="1"/>
    <col min="10506" max="10507" width="7.85546875" style="265" customWidth="1"/>
    <col min="10508" max="10508" width="7.28515625" style="265" customWidth="1"/>
    <col min="10509" max="10509" width="7.42578125" style="265" customWidth="1"/>
    <col min="10510" max="10510" width="6.28515625" style="265" customWidth="1"/>
    <col min="10511" max="10511" width="5.7109375" style="265" customWidth="1"/>
    <col min="10512" max="10512" width="6" style="265" customWidth="1"/>
    <col min="10513" max="10513" width="4.85546875" style="265" customWidth="1"/>
    <col min="10514" max="10514" width="6" style="265" customWidth="1"/>
    <col min="10515" max="10515" width="6.5703125" style="265" customWidth="1"/>
    <col min="10516" max="10516" width="8.140625" style="265" customWidth="1"/>
    <col min="10517" max="10517" width="6" style="265" customWidth="1"/>
    <col min="10518" max="10518" width="8.140625" style="265" customWidth="1"/>
    <col min="10519" max="10519" width="15" style="265" customWidth="1"/>
    <col min="10520" max="10520" width="17.85546875" style="265" customWidth="1"/>
    <col min="10521" max="10521" width="12.85546875" style="265" customWidth="1"/>
    <col min="10522" max="10752" width="9.140625" style="265"/>
    <col min="10753" max="10753" width="4.7109375" style="265" customWidth="1"/>
    <col min="10754" max="10754" width="20.85546875" style="265" customWidth="1"/>
    <col min="10755" max="10755" width="27" style="265" customWidth="1"/>
    <col min="10756" max="10756" width="23" style="265" customWidth="1"/>
    <col min="10757" max="10757" width="19" style="265" customWidth="1"/>
    <col min="10758" max="10758" width="29.42578125" style="265" customWidth="1"/>
    <col min="10759" max="10759" width="8.42578125" style="265" customWidth="1"/>
    <col min="10760" max="10760" width="12.85546875" style="265" customWidth="1"/>
    <col min="10761" max="10761" width="13.42578125" style="265" customWidth="1"/>
    <col min="10762" max="10763" width="7.85546875" style="265" customWidth="1"/>
    <col min="10764" max="10764" width="7.28515625" style="265" customWidth="1"/>
    <col min="10765" max="10765" width="7.42578125" style="265" customWidth="1"/>
    <col min="10766" max="10766" width="6.28515625" style="265" customWidth="1"/>
    <col min="10767" max="10767" width="5.7109375" style="265" customWidth="1"/>
    <col min="10768" max="10768" width="6" style="265" customWidth="1"/>
    <col min="10769" max="10769" width="4.85546875" style="265" customWidth="1"/>
    <col min="10770" max="10770" width="6" style="265" customWidth="1"/>
    <col min="10771" max="10771" width="6.5703125" style="265" customWidth="1"/>
    <col min="10772" max="10772" width="8.140625" style="265" customWidth="1"/>
    <col min="10773" max="10773" width="6" style="265" customWidth="1"/>
    <col min="10774" max="10774" width="8.140625" style="265" customWidth="1"/>
    <col min="10775" max="10775" width="15" style="265" customWidth="1"/>
    <col min="10776" max="10776" width="17.85546875" style="265" customWidth="1"/>
    <col min="10777" max="10777" width="12.85546875" style="265" customWidth="1"/>
    <col min="10778" max="11008" width="9.140625" style="265"/>
    <col min="11009" max="11009" width="4.7109375" style="265" customWidth="1"/>
    <col min="11010" max="11010" width="20.85546875" style="265" customWidth="1"/>
    <col min="11011" max="11011" width="27" style="265" customWidth="1"/>
    <col min="11012" max="11012" width="23" style="265" customWidth="1"/>
    <col min="11013" max="11013" width="19" style="265" customWidth="1"/>
    <col min="11014" max="11014" width="29.42578125" style="265" customWidth="1"/>
    <col min="11015" max="11015" width="8.42578125" style="265" customWidth="1"/>
    <col min="11016" max="11016" width="12.85546875" style="265" customWidth="1"/>
    <col min="11017" max="11017" width="13.42578125" style="265" customWidth="1"/>
    <col min="11018" max="11019" width="7.85546875" style="265" customWidth="1"/>
    <col min="11020" max="11020" width="7.28515625" style="265" customWidth="1"/>
    <col min="11021" max="11021" width="7.42578125" style="265" customWidth="1"/>
    <col min="11022" max="11022" width="6.28515625" style="265" customWidth="1"/>
    <col min="11023" max="11023" width="5.7109375" style="265" customWidth="1"/>
    <col min="11024" max="11024" width="6" style="265" customWidth="1"/>
    <col min="11025" max="11025" width="4.85546875" style="265" customWidth="1"/>
    <col min="11026" max="11026" width="6" style="265" customWidth="1"/>
    <col min="11027" max="11027" width="6.5703125" style="265" customWidth="1"/>
    <col min="11028" max="11028" width="8.140625" style="265" customWidth="1"/>
    <col min="11029" max="11029" width="6" style="265" customWidth="1"/>
    <col min="11030" max="11030" width="8.140625" style="265" customWidth="1"/>
    <col min="11031" max="11031" width="15" style="265" customWidth="1"/>
    <col min="11032" max="11032" width="17.85546875" style="265" customWidth="1"/>
    <col min="11033" max="11033" width="12.85546875" style="265" customWidth="1"/>
    <col min="11034" max="11264" width="9.140625" style="265"/>
    <col min="11265" max="11265" width="4.7109375" style="265" customWidth="1"/>
    <col min="11266" max="11266" width="20.85546875" style="265" customWidth="1"/>
    <col min="11267" max="11267" width="27" style="265" customWidth="1"/>
    <col min="11268" max="11268" width="23" style="265" customWidth="1"/>
    <col min="11269" max="11269" width="19" style="265" customWidth="1"/>
    <col min="11270" max="11270" width="29.42578125" style="265" customWidth="1"/>
    <col min="11271" max="11271" width="8.42578125" style="265" customWidth="1"/>
    <col min="11272" max="11272" width="12.85546875" style="265" customWidth="1"/>
    <col min="11273" max="11273" width="13.42578125" style="265" customWidth="1"/>
    <col min="11274" max="11275" width="7.85546875" style="265" customWidth="1"/>
    <col min="11276" max="11276" width="7.28515625" style="265" customWidth="1"/>
    <col min="11277" max="11277" width="7.42578125" style="265" customWidth="1"/>
    <col min="11278" max="11278" width="6.28515625" style="265" customWidth="1"/>
    <col min="11279" max="11279" width="5.7109375" style="265" customWidth="1"/>
    <col min="11280" max="11280" width="6" style="265" customWidth="1"/>
    <col min="11281" max="11281" width="4.85546875" style="265" customWidth="1"/>
    <col min="11282" max="11282" width="6" style="265" customWidth="1"/>
    <col min="11283" max="11283" width="6.5703125" style="265" customWidth="1"/>
    <col min="11284" max="11284" width="8.140625" style="265" customWidth="1"/>
    <col min="11285" max="11285" width="6" style="265" customWidth="1"/>
    <col min="11286" max="11286" width="8.140625" style="265" customWidth="1"/>
    <col min="11287" max="11287" width="15" style="265" customWidth="1"/>
    <col min="11288" max="11288" width="17.85546875" style="265" customWidth="1"/>
    <col min="11289" max="11289" width="12.85546875" style="265" customWidth="1"/>
    <col min="11290" max="11520" width="9.140625" style="265"/>
    <col min="11521" max="11521" width="4.7109375" style="265" customWidth="1"/>
    <col min="11522" max="11522" width="20.85546875" style="265" customWidth="1"/>
    <col min="11523" max="11523" width="27" style="265" customWidth="1"/>
    <col min="11524" max="11524" width="23" style="265" customWidth="1"/>
    <col min="11525" max="11525" width="19" style="265" customWidth="1"/>
    <col min="11526" max="11526" width="29.42578125" style="265" customWidth="1"/>
    <col min="11527" max="11527" width="8.42578125" style="265" customWidth="1"/>
    <col min="11528" max="11528" width="12.85546875" style="265" customWidth="1"/>
    <col min="11529" max="11529" width="13.42578125" style="265" customWidth="1"/>
    <col min="11530" max="11531" width="7.85546875" style="265" customWidth="1"/>
    <col min="11532" max="11532" width="7.28515625" style="265" customWidth="1"/>
    <col min="11533" max="11533" width="7.42578125" style="265" customWidth="1"/>
    <col min="11534" max="11534" width="6.28515625" style="265" customWidth="1"/>
    <col min="11535" max="11535" width="5.7109375" style="265" customWidth="1"/>
    <col min="11536" max="11536" width="6" style="265" customWidth="1"/>
    <col min="11537" max="11537" width="4.85546875" style="265" customWidth="1"/>
    <col min="11538" max="11538" width="6" style="265" customWidth="1"/>
    <col min="11539" max="11539" width="6.5703125" style="265" customWidth="1"/>
    <col min="11540" max="11540" width="8.140625" style="265" customWidth="1"/>
    <col min="11541" max="11541" width="6" style="265" customWidth="1"/>
    <col min="11542" max="11542" width="8.140625" style="265" customWidth="1"/>
    <col min="11543" max="11543" width="15" style="265" customWidth="1"/>
    <col min="11544" max="11544" width="17.85546875" style="265" customWidth="1"/>
    <col min="11545" max="11545" width="12.85546875" style="265" customWidth="1"/>
    <col min="11546" max="11776" width="9.140625" style="265"/>
    <col min="11777" max="11777" width="4.7109375" style="265" customWidth="1"/>
    <col min="11778" max="11778" width="20.85546875" style="265" customWidth="1"/>
    <col min="11779" max="11779" width="27" style="265" customWidth="1"/>
    <col min="11780" max="11780" width="23" style="265" customWidth="1"/>
    <col min="11781" max="11781" width="19" style="265" customWidth="1"/>
    <col min="11782" max="11782" width="29.42578125" style="265" customWidth="1"/>
    <col min="11783" max="11783" width="8.42578125" style="265" customWidth="1"/>
    <col min="11784" max="11784" width="12.85546875" style="265" customWidth="1"/>
    <col min="11785" max="11785" width="13.42578125" style="265" customWidth="1"/>
    <col min="11786" max="11787" width="7.85546875" style="265" customWidth="1"/>
    <col min="11788" max="11788" width="7.28515625" style="265" customWidth="1"/>
    <col min="11789" max="11789" width="7.42578125" style="265" customWidth="1"/>
    <col min="11790" max="11790" width="6.28515625" style="265" customWidth="1"/>
    <col min="11791" max="11791" width="5.7109375" style="265" customWidth="1"/>
    <col min="11792" max="11792" width="6" style="265" customWidth="1"/>
    <col min="11793" max="11793" width="4.85546875" style="265" customWidth="1"/>
    <col min="11794" max="11794" width="6" style="265" customWidth="1"/>
    <col min="11795" max="11795" width="6.5703125" style="265" customWidth="1"/>
    <col min="11796" max="11796" width="8.140625" style="265" customWidth="1"/>
    <col min="11797" max="11797" width="6" style="265" customWidth="1"/>
    <col min="11798" max="11798" width="8.140625" style="265" customWidth="1"/>
    <col min="11799" max="11799" width="15" style="265" customWidth="1"/>
    <col min="11800" max="11800" width="17.85546875" style="265" customWidth="1"/>
    <col min="11801" max="11801" width="12.85546875" style="265" customWidth="1"/>
    <col min="11802" max="12032" width="9.140625" style="265"/>
    <col min="12033" max="12033" width="4.7109375" style="265" customWidth="1"/>
    <col min="12034" max="12034" width="20.85546875" style="265" customWidth="1"/>
    <col min="12035" max="12035" width="27" style="265" customWidth="1"/>
    <col min="12036" max="12036" width="23" style="265" customWidth="1"/>
    <col min="12037" max="12037" width="19" style="265" customWidth="1"/>
    <col min="12038" max="12038" width="29.42578125" style="265" customWidth="1"/>
    <col min="12039" max="12039" width="8.42578125" style="265" customWidth="1"/>
    <col min="12040" max="12040" width="12.85546875" style="265" customWidth="1"/>
    <col min="12041" max="12041" width="13.42578125" style="265" customWidth="1"/>
    <col min="12042" max="12043" width="7.85546875" style="265" customWidth="1"/>
    <col min="12044" max="12044" width="7.28515625" style="265" customWidth="1"/>
    <col min="12045" max="12045" width="7.42578125" style="265" customWidth="1"/>
    <col min="12046" max="12046" width="6.28515625" style="265" customWidth="1"/>
    <col min="12047" max="12047" width="5.7109375" style="265" customWidth="1"/>
    <col min="12048" max="12048" width="6" style="265" customWidth="1"/>
    <col min="12049" max="12049" width="4.85546875" style="265" customWidth="1"/>
    <col min="12050" max="12050" width="6" style="265" customWidth="1"/>
    <col min="12051" max="12051" width="6.5703125" style="265" customWidth="1"/>
    <col min="12052" max="12052" width="8.140625" style="265" customWidth="1"/>
    <col min="12053" max="12053" width="6" style="265" customWidth="1"/>
    <col min="12054" max="12054" width="8.140625" style="265" customWidth="1"/>
    <col min="12055" max="12055" width="15" style="265" customWidth="1"/>
    <col min="12056" max="12056" width="17.85546875" style="265" customWidth="1"/>
    <col min="12057" max="12057" width="12.85546875" style="265" customWidth="1"/>
    <col min="12058" max="12288" width="9.140625" style="265"/>
    <col min="12289" max="12289" width="4.7109375" style="265" customWidth="1"/>
    <col min="12290" max="12290" width="20.85546875" style="265" customWidth="1"/>
    <col min="12291" max="12291" width="27" style="265" customWidth="1"/>
    <col min="12292" max="12292" width="23" style="265" customWidth="1"/>
    <col min="12293" max="12293" width="19" style="265" customWidth="1"/>
    <col min="12294" max="12294" width="29.42578125" style="265" customWidth="1"/>
    <col min="12295" max="12295" width="8.42578125" style="265" customWidth="1"/>
    <col min="12296" max="12296" width="12.85546875" style="265" customWidth="1"/>
    <col min="12297" max="12297" width="13.42578125" style="265" customWidth="1"/>
    <col min="12298" max="12299" width="7.85546875" style="265" customWidth="1"/>
    <col min="12300" max="12300" width="7.28515625" style="265" customWidth="1"/>
    <col min="12301" max="12301" width="7.42578125" style="265" customWidth="1"/>
    <col min="12302" max="12302" width="6.28515625" style="265" customWidth="1"/>
    <col min="12303" max="12303" width="5.7109375" style="265" customWidth="1"/>
    <col min="12304" max="12304" width="6" style="265" customWidth="1"/>
    <col min="12305" max="12305" width="4.85546875" style="265" customWidth="1"/>
    <col min="12306" max="12306" width="6" style="265" customWidth="1"/>
    <col min="12307" max="12307" width="6.5703125" style="265" customWidth="1"/>
    <col min="12308" max="12308" width="8.140625" style="265" customWidth="1"/>
    <col min="12309" max="12309" width="6" style="265" customWidth="1"/>
    <col min="12310" max="12310" width="8.140625" style="265" customWidth="1"/>
    <col min="12311" max="12311" width="15" style="265" customWidth="1"/>
    <col min="12312" max="12312" width="17.85546875" style="265" customWidth="1"/>
    <col min="12313" max="12313" width="12.85546875" style="265" customWidth="1"/>
    <col min="12314" max="12544" width="9.140625" style="265"/>
    <col min="12545" max="12545" width="4.7109375" style="265" customWidth="1"/>
    <col min="12546" max="12546" width="20.85546875" style="265" customWidth="1"/>
    <col min="12547" max="12547" width="27" style="265" customWidth="1"/>
    <col min="12548" max="12548" width="23" style="265" customWidth="1"/>
    <col min="12549" max="12549" width="19" style="265" customWidth="1"/>
    <col min="12550" max="12550" width="29.42578125" style="265" customWidth="1"/>
    <col min="12551" max="12551" width="8.42578125" style="265" customWidth="1"/>
    <col min="12552" max="12552" width="12.85546875" style="265" customWidth="1"/>
    <col min="12553" max="12553" width="13.42578125" style="265" customWidth="1"/>
    <col min="12554" max="12555" width="7.85546875" style="265" customWidth="1"/>
    <col min="12556" max="12556" width="7.28515625" style="265" customWidth="1"/>
    <col min="12557" max="12557" width="7.42578125" style="265" customWidth="1"/>
    <col min="12558" max="12558" width="6.28515625" style="265" customWidth="1"/>
    <col min="12559" max="12559" width="5.7109375" style="265" customWidth="1"/>
    <col min="12560" max="12560" width="6" style="265" customWidth="1"/>
    <col min="12561" max="12561" width="4.85546875" style="265" customWidth="1"/>
    <col min="12562" max="12562" width="6" style="265" customWidth="1"/>
    <col min="12563" max="12563" width="6.5703125" style="265" customWidth="1"/>
    <col min="12564" max="12564" width="8.140625" style="265" customWidth="1"/>
    <col min="12565" max="12565" width="6" style="265" customWidth="1"/>
    <col min="12566" max="12566" width="8.140625" style="265" customWidth="1"/>
    <col min="12567" max="12567" width="15" style="265" customWidth="1"/>
    <col min="12568" max="12568" width="17.85546875" style="265" customWidth="1"/>
    <col min="12569" max="12569" width="12.85546875" style="265" customWidth="1"/>
    <col min="12570" max="12800" width="9.140625" style="265"/>
    <col min="12801" max="12801" width="4.7109375" style="265" customWidth="1"/>
    <col min="12802" max="12802" width="20.85546875" style="265" customWidth="1"/>
    <col min="12803" max="12803" width="27" style="265" customWidth="1"/>
    <col min="12804" max="12804" width="23" style="265" customWidth="1"/>
    <col min="12805" max="12805" width="19" style="265" customWidth="1"/>
    <col min="12806" max="12806" width="29.42578125" style="265" customWidth="1"/>
    <col min="12807" max="12807" width="8.42578125" style="265" customWidth="1"/>
    <col min="12808" max="12808" width="12.85546875" style="265" customWidth="1"/>
    <col min="12809" max="12809" width="13.42578125" style="265" customWidth="1"/>
    <col min="12810" max="12811" width="7.85546875" style="265" customWidth="1"/>
    <col min="12812" max="12812" width="7.28515625" style="265" customWidth="1"/>
    <col min="12813" max="12813" width="7.42578125" style="265" customWidth="1"/>
    <col min="12814" max="12814" width="6.28515625" style="265" customWidth="1"/>
    <col min="12815" max="12815" width="5.7109375" style="265" customWidth="1"/>
    <col min="12816" max="12816" width="6" style="265" customWidth="1"/>
    <col min="12817" max="12817" width="4.85546875" style="265" customWidth="1"/>
    <col min="12818" max="12818" width="6" style="265" customWidth="1"/>
    <col min="12819" max="12819" width="6.5703125" style="265" customWidth="1"/>
    <col min="12820" max="12820" width="8.140625" style="265" customWidth="1"/>
    <col min="12821" max="12821" width="6" style="265" customWidth="1"/>
    <col min="12822" max="12822" width="8.140625" style="265" customWidth="1"/>
    <col min="12823" max="12823" width="15" style="265" customWidth="1"/>
    <col min="12824" max="12824" width="17.85546875" style="265" customWidth="1"/>
    <col min="12825" max="12825" width="12.85546875" style="265" customWidth="1"/>
    <col min="12826" max="13056" width="9.140625" style="265"/>
    <col min="13057" max="13057" width="4.7109375" style="265" customWidth="1"/>
    <col min="13058" max="13058" width="20.85546875" style="265" customWidth="1"/>
    <col min="13059" max="13059" width="27" style="265" customWidth="1"/>
    <col min="13060" max="13060" width="23" style="265" customWidth="1"/>
    <col min="13061" max="13061" width="19" style="265" customWidth="1"/>
    <col min="13062" max="13062" width="29.42578125" style="265" customWidth="1"/>
    <col min="13063" max="13063" width="8.42578125" style="265" customWidth="1"/>
    <col min="13064" max="13064" width="12.85546875" style="265" customWidth="1"/>
    <col min="13065" max="13065" width="13.42578125" style="265" customWidth="1"/>
    <col min="13066" max="13067" width="7.85546875" style="265" customWidth="1"/>
    <col min="13068" max="13068" width="7.28515625" style="265" customWidth="1"/>
    <col min="13069" max="13069" width="7.42578125" style="265" customWidth="1"/>
    <col min="13070" max="13070" width="6.28515625" style="265" customWidth="1"/>
    <col min="13071" max="13071" width="5.7109375" style="265" customWidth="1"/>
    <col min="13072" max="13072" width="6" style="265" customWidth="1"/>
    <col min="13073" max="13073" width="4.85546875" style="265" customWidth="1"/>
    <col min="13074" max="13074" width="6" style="265" customWidth="1"/>
    <col min="13075" max="13075" width="6.5703125" style="265" customWidth="1"/>
    <col min="13076" max="13076" width="8.140625" style="265" customWidth="1"/>
    <col min="13077" max="13077" width="6" style="265" customWidth="1"/>
    <col min="13078" max="13078" width="8.140625" style="265" customWidth="1"/>
    <col min="13079" max="13079" width="15" style="265" customWidth="1"/>
    <col min="13080" max="13080" width="17.85546875" style="265" customWidth="1"/>
    <col min="13081" max="13081" width="12.85546875" style="265" customWidth="1"/>
    <col min="13082" max="13312" width="9.140625" style="265"/>
    <col min="13313" max="13313" width="4.7109375" style="265" customWidth="1"/>
    <col min="13314" max="13314" width="20.85546875" style="265" customWidth="1"/>
    <col min="13315" max="13315" width="27" style="265" customWidth="1"/>
    <col min="13316" max="13316" width="23" style="265" customWidth="1"/>
    <col min="13317" max="13317" width="19" style="265" customWidth="1"/>
    <col min="13318" max="13318" width="29.42578125" style="265" customWidth="1"/>
    <col min="13319" max="13319" width="8.42578125" style="265" customWidth="1"/>
    <col min="13320" max="13320" width="12.85546875" style="265" customWidth="1"/>
    <col min="13321" max="13321" width="13.42578125" style="265" customWidth="1"/>
    <col min="13322" max="13323" width="7.85546875" style="265" customWidth="1"/>
    <col min="13324" max="13324" width="7.28515625" style="265" customWidth="1"/>
    <col min="13325" max="13325" width="7.42578125" style="265" customWidth="1"/>
    <col min="13326" max="13326" width="6.28515625" style="265" customWidth="1"/>
    <col min="13327" max="13327" width="5.7109375" style="265" customWidth="1"/>
    <col min="13328" max="13328" width="6" style="265" customWidth="1"/>
    <col min="13329" max="13329" width="4.85546875" style="265" customWidth="1"/>
    <col min="13330" max="13330" width="6" style="265" customWidth="1"/>
    <col min="13331" max="13331" width="6.5703125" style="265" customWidth="1"/>
    <col min="13332" max="13332" width="8.140625" style="265" customWidth="1"/>
    <col min="13333" max="13333" width="6" style="265" customWidth="1"/>
    <col min="13334" max="13334" width="8.140625" style="265" customWidth="1"/>
    <col min="13335" max="13335" width="15" style="265" customWidth="1"/>
    <col min="13336" max="13336" width="17.85546875" style="265" customWidth="1"/>
    <col min="13337" max="13337" width="12.85546875" style="265" customWidth="1"/>
    <col min="13338" max="13568" width="9.140625" style="265"/>
    <col min="13569" max="13569" width="4.7109375" style="265" customWidth="1"/>
    <col min="13570" max="13570" width="20.85546875" style="265" customWidth="1"/>
    <col min="13571" max="13571" width="27" style="265" customWidth="1"/>
    <col min="13572" max="13572" width="23" style="265" customWidth="1"/>
    <col min="13573" max="13573" width="19" style="265" customWidth="1"/>
    <col min="13574" max="13574" width="29.42578125" style="265" customWidth="1"/>
    <col min="13575" max="13575" width="8.42578125" style="265" customWidth="1"/>
    <col min="13576" max="13576" width="12.85546875" style="265" customWidth="1"/>
    <col min="13577" max="13577" width="13.42578125" style="265" customWidth="1"/>
    <col min="13578" max="13579" width="7.85546875" style="265" customWidth="1"/>
    <col min="13580" max="13580" width="7.28515625" style="265" customWidth="1"/>
    <col min="13581" max="13581" width="7.42578125" style="265" customWidth="1"/>
    <col min="13582" max="13582" width="6.28515625" style="265" customWidth="1"/>
    <col min="13583" max="13583" width="5.7109375" style="265" customWidth="1"/>
    <col min="13584" max="13584" width="6" style="265" customWidth="1"/>
    <col min="13585" max="13585" width="4.85546875" style="265" customWidth="1"/>
    <col min="13586" max="13586" width="6" style="265" customWidth="1"/>
    <col min="13587" max="13587" width="6.5703125" style="265" customWidth="1"/>
    <col min="13588" max="13588" width="8.140625" style="265" customWidth="1"/>
    <col min="13589" max="13589" width="6" style="265" customWidth="1"/>
    <col min="13590" max="13590" width="8.140625" style="265" customWidth="1"/>
    <col min="13591" max="13591" width="15" style="265" customWidth="1"/>
    <col min="13592" max="13592" width="17.85546875" style="265" customWidth="1"/>
    <col min="13593" max="13593" width="12.85546875" style="265" customWidth="1"/>
    <col min="13594" max="13824" width="9.140625" style="265"/>
    <col min="13825" max="13825" width="4.7109375" style="265" customWidth="1"/>
    <col min="13826" max="13826" width="20.85546875" style="265" customWidth="1"/>
    <col min="13827" max="13827" width="27" style="265" customWidth="1"/>
    <col min="13828" max="13828" width="23" style="265" customWidth="1"/>
    <col min="13829" max="13829" width="19" style="265" customWidth="1"/>
    <col min="13830" max="13830" width="29.42578125" style="265" customWidth="1"/>
    <col min="13831" max="13831" width="8.42578125" style="265" customWidth="1"/>
    <col min="13832" max="13832" width="12.85546875" style="265" customWidth="1"/>
    <col min="13833" max="13833" width="13.42578125" style="265" customWidth="1"/>
    <col min="13834" max="13835" width="7.85546875" style="265" customWidth="1"/>
    <col min="13836" max="13836" width="7.28515625" style="265" customWidth="1"/>
    <col min="13837" max="13837" width="7.42578125" style="265" customWidth="1"/>
    <col min="13838" max="13838" width="6.28515625" style="265" customWidth="1"/>
    <col min="13839" max="13839" width="5.7109375" style="265" customWidth="1"/>
    <col min="13840" max="13840" width="6" style="265" customWidth="1"/>
    <col min="13841" max="13841" width="4.85546875" style="265" customWidth="1"/>
    <col min="13842" max="13842" width="6" style="265" customWidth="1"/>
    <col min="13843" max="13843" width="6.5703125" style="265" customWidth="1"/>
    <col min="13844" max="13844" width="8.140625" style="265" customWidth="1"/>
    <col min="13845" max="13845" width="6" style="265" customWidth="1"/>
    <col min="13846" max="13846" width="8.140625" style="265" customWidth="1"/>
    <col min="13847" max="13847" width="15" style="265" customWidth="1"/>
    <col min="13848" max="13848" width="17.85546875" style="265" customWidth="1"/>
    <col min="13849" max="13849" width="12.85546875" style="265" customWidth="1"/>
    <col min="13850" max="14080" width="9.140625" style="265"/>
    <col min="14081" max="14081" width="4.7109375" style="265" customWidth="1"/>
    <col min="14082" max="14082" width="20.85546875" style="265" customWidth="1"/>
    <col min="14083" max="14083" width="27" style="265" customWidth="1"/>
    <col min="14084" max="14084" width="23" style="265" customWidth="1"/>
    <col min="14085" max="14085" width="19" style="265" customWidth="1"/>
    <col min="14086" max="14086" width="29.42578125" style="265" customWidth="1"/>
    <col min="14087" max="14087" width="8.42578125" style="265" customWidth="1"/>
    <col min="14088" max="14088" width="12.85546875" style="265" customWidth="1"/>
    <col min="14089" max="14089" width="13.42578125" style="265" customWidth="1"/>
    <col min="14090" max="14091" width="7.85546875" style="265" customWidth="1"/>
    <col min="14092" max="14092" width="7.28515625" style="265" customWidth="1"/>
    <col min="14093" max="14093" width="7.42578125" style="265" customWidth="1"/>
    <col min="14094" max="14094" width="6.28515625" style="265" customWidth="1"/>
    <col min="14095" max="14095" width="5.7109375" style="265" customWidth="1"/>
    <col min="14096" max="14096" width="6" style="265" customWidth="1"/>
    <col min="14097" max="14097" width="4.85546875" style="265" customWidth="1"/>
    <col min="14098" max="14098" width="6" style="265" customWidth="1"/>
    <col min="14099" max="14099" width="6.5703125" style="265" customWidth="1"/>
    <col min="14100" max="14100" width="8.140625" style="265" customWidth="1"/>
    <col min="14101" max="14101" width="6" style="265" customWidth="1"/>
    <col min="14102" max="14102" width="8.140625" style="265" customWidth="1"/>
    <col min="14103" max="14103" width="15" style="265" customWidth="1"/>
    <col min="14104" max="14104" width="17.85546875" style="265" customWidth="1"/>
    <col min="14105" max="14105" width="12.85546875" style="265" customWidth="1"/>
    <col min="14106" max="14336" width="9.140625" style="265"/>
    <col min="14337" max="14337" width="4.7109375" style="265" customWidth="1"/>
    <col min="14338" max="14338" width="20.85546875" style="265" customWidth="1"/>
    <col min="14339" max="14339" width="27" style="265" customWidth="1"/>
    <col min="14340" max="14340" width="23" style="265" customWidth="1"/>
    <col min="14341" max="14341" width="19" style="265" customWidth="1"/>
    <col min="14342" max="14342" width="29.42578125" style="265" customWidth="1"/>
    <col min="14343" max="14343" width="8.42578125" style="265" customWidth="1"/>
    <col min="14344" max="14344" width="12.85546875" style="265" customWidth="1"/>
    <col min="14345" max="14345" width="13.42578125" style="265" customWidth="1"/>
    <col min="14346" max="14347" width="7.85546875" style="265" customWidth="1"/>
    <col min="14348" max="14348" width="7.28515625" style="265" customWidth="1"/>
    <col min="14349" max="14349" width="7.42578125" style="265" customWidth="1"/>
    <col min="14350" max="14350" width="6.28515625" style="265" customWidth="1"/>
    <col min="14351" max="14351" width="5.7109375" style="265" customWidth="1"/>
    <col min="14352" max="14352" width="6" style="265" customWidth="1"/>
    <col min="14353" max="14353" width="4.85546875" style="265" customWidth="1"/>
    <col min="14354" max="14354" width="6" style="265" customWidth="1"/>
    <col min="14355" max="14355" width="6.5703125" style="265" customWidth="1"/>
    <col min="14356" max="14356" width="8.140625" style="265" customWidth="1"/>
    <col min="14357" max="14357" width="6" style="265" customWidth="1"/>
    <col min="14358" max="14358" width="8.140625" style="265" customWidth="1"/>
    <col min="14359" max="14359" width="15" style="265" customWidth="1"/>
    <col min="14360" max="14360" width="17.85546875" style="265" customWidth="1"/>
    <col min="14361" max="14361" width="12.85546875" style="265" customWidth="1"/>
    <col min="14362" max="14592" width="9.140625" style="265"/>
    <col min="14593" max="14593" width="4.7109375" style="265" customWidth="1"/>
    <col min="14594" max="14594" width="20.85546875" style="265" customWidth="1"/>
    <col min="14595" max="14595" width="27" style="265" customWidth="1"/>
    <col min="14596" max="14596" width="23" style="265" customWidth="1"/>
    <col min="14597" max="14597" width="19" style="265" customWidth="1"/>
    <col min="14598" max="14598" width="29.42578125" style="265" customWidth="1"/>
    <col min="14599" max="14599" width="8.42578125" style="265" customWidth="1"/>
    <col min="14600" max="14600" width="12.85546875" style="265" customWidth="1"/>
    <col min="14601" max="14601" width="13.42578125" style="265" customWidth="1"/>
    <col min="14602" max="14603" width="7.85546875" style="265" customWidth="1"/>
    <col min="14604" max="14604" width="7.28515625" style="265" customWidth="1"/>
    <col min="14605" max="14605" width="7.42578125" style="265" customWidth="1"/>
    <col min="14606" max="14606" width="6.28515625" style="265" customWidth="1"/>
    <col min="14607" max="14607" width="5.7109375" style="265" customWidth="1"/>
    <col min="14608" max="14608" width="6" style="265" customWidth="1"/>
    <col min="14609" max="14609" width="4.85546875" style="265" customWidth="1"/>
    <col min="14610" max="14610" width="6" style="265" customWidth="1"/>
    <col min="14611" max="14611" width="6.5703125" style="265" customWidth="1"/>
    <col min="14612" max="14612" width="8.140625" style="265" customWidth="1"/>
    <col min="14613" max="14613" width="6" style="265" customWidth="1"/>
    <col min="14614" max="14614" width="8.140625" style="265" customWidth="1"/>
    <col min="14615" max="14615" width="15" style="265" customWidth="1"/>
    <col min="14616" max="14616" width="17.85546875" style="265" customWidth="1"/>
    <col min="14617" max="14617" width="12.85546875" style="265" customWidth="1"/>
    <col min="14618" max="14848" width="9.140625" style="265"/>
    <col min="14849" max="14849" width="4.7109375" style="265" customWidth="1"/>
    <col min="14850" max="14850" width="20.85546875" style="265" customWidth="1"/>
    <col min="14851" max="14851" width="27" style="265" customWidth="1"/>
    <col min="14852" max="14852" width="23" style="265" customWidth="1"/>
    <col min="14853" max="14853" width="19" style="265" customWidth="1"/>
    <col min="14854" max="14854" width="29.42578125" style="265" customWidth="1"/>
    <col min="14855" max="14855" width="8.42578125" style="265" customWidth="1"/>
    <col min="14856" max="14856" width="12.85546875" style="265" customWidth="1"/>
    <col min="14857" max="14857" width="13.42578125" style="265" customWidth="1"/>
    <col min="14858" max="14859" width="7.85546875" style="265" customWidth="1"/>
    <col min="14860" max="14860" width="7.28515625" style="265" customWidth="1"/>
    <col min="14861" max="14861" width="7.42578125" style="265" customWidth="1"/>
    <col min="14862" max="14862" width="6.28515625" style="265" customWidth="1"/>
    <col min="14863" max="14863" width="5.7109375" style="265" customWidth="1"/>
    <col min="14864" max="14864" width="6" style="265" customWidth="1"/>
    <col min="14865" max="14865" width="4.85546875" style="265" customWidth="1"/>
    <col min="14866" max="14866" width="6" style="265" customWidth="1"/>
    <col min="14867" max="14867" width="6.5703125" style="265" customWidth="1"/>
    <col min="14868" max="14868" width="8.140625" style="265" customWidth="1"/>
    <col min="14869" max="14869" width="6" style="265" customWidth="1"/>
    <col min="14870" max="14870" width="8.140625" style="265" customWidth="1"/>
    <col min="14871" max="14871" width="15" style="265" customWidth="1"/>
    <col min="14872" max="14872" width="17.85546875" style="265" customWidth="1"/>
    <col min="14873" max="14873" width="12.85546875" style="265" customWidth="1"/>
    <col min="14874" max="15104" width="9.140625" style="265"/>
    <col min="15105" max="15105" width="4.7109375" style="265" customWidth="1"/>
    <col min="15106" max="15106" width="20.85546875" style="265" customWidth="1"/>
    <col min="15107" max="15107" width="27" style="265" customWidth="1"/>
    <col min="15108" max="15108" width="23" style="265" customWidth="1"/>
    <col min="15109" max="15109" width="19" style="265" customWidth="1"/>
    <col min="15110" max="15110" width="29.42578125" style="265" customWidth="1"/>
    <col min="15111" max="15111" width="8.42578125" style="265" customWidth="1"/>
    <col min="15112" max="15112" width="12.85546875" style="265" customWidth="1"/>
    <col min="15113" max="15113" width="13.42578125" style="265" customWidth="1"/>
    <col min="15114" max="15115" width="7.85546875" style="265" customWidth="1"/>
    <col min="15116" max="15116" width="7.28515625" style="265" customWidth="1"/>
    <col min="15117" max="15117" width="7.42578125" style="265" customWidth="1"/>
    <col min="15118" max="15118" width="6.28515625" style="265" customWidth="1"/>
    <col min="15119" max="15119" width="5.7109375" style="265" customWidth="1"/>
    <col min="15120" max="15120" width="6" style="265" customWidth="1"/>
    <col min="15121" max="15121" width="4.85546875" style="265" customWidth="1"/>
    <col min="15122" max="15122" width="6" style="265" customWidth="1"/>
    <col min="15123" max="15123" width="6.5703125" style="265" customWidth="1"/>
    <col min="15124" max="15124" width="8.140625" style="265" customWidth="1"/>
    <col min="15125" max="15125" width="6" style="265" customWidth="1"/>
    <col min="15126" max="15126" width="8.140625" style="265" customWidth="1"/>
    <col min="15127" max="15127" width="15" style="265" customWidth="1"/>
    <col min="15128" max="15128" width="17.85546875" style="265" customWidth="1"/>
    <col min="15129" max="15129" width="12.85546875" style="265" customWidth="1"/>
    <col min="15130" max="15360" width="9.140625" style="265"/>
    <col min="15361" max="15361" width="4.7109375" style="265" customWidth="1"/>
    <col min="15362" max="15362" width="20.85546875" style="265" customWidth="1"/>
    <col min="15363" max="15363" width="27" style="265" customWidth="1"/>
    <col min="15364" max="15364" width="23" style="265" customWidth="1"/>
    <col min="15365" max="15365" width="19" style="265" customWidth="1"/>
    <col min="15366" max="15366" width="29.42578125" style="265" customWidth="1"/>
    <col min="15367" max="15367" width="8.42578125" style="265" customWidth="1"/>
    <col min="15368" max="15368" width="12.85546875" style="265" customWidth="1"/>
    <col min="15369" max="15369" width="13.42578125" style="265" customWidth="1"/>
    <col min="15370" max="15371" width="7.85546875" style="265" customWidth="1"/>
    <col min="15372" max="15372" width="7.28515625" style="265" customWidth="1"/>
    <col min="15373" max="15373" width="7.42578125" style="265" customWidth="1"/>
    <col min="15374" max="15374" width="6.28515625" style="265" customWidth="1"/>
    <col min="15375" max="15375" width="5.7109375" style="265" customWidth="1"/>
    <col min="15376" max="15376" width="6" style="265" customWidth="1"/>
    <col min="15377" max="15377" width="4.85546875" style="265" customWidth="1"/>
    <col min="15378" max="15378" width="6" style="265" customWidth="1"/>
    <col min="15379" max="15379" width="6.5703125" style="265" customWidth="1"/>
    <col min="15380" max="15380" width="8.140625" style="265" customWidth="1"/>
    <col min="15381" max="15381" width="6" style="265" customWidth="1"/>
    <col min="15382" max="15382" width="8.140625" style="265" customWidth="1"/>
    <col min="15383" max="15383" width="15" style="265" customWidth="1"/>
    <col min="15384" max="15384" width="17.85546875" style="265" customWidth="1"/>
    <col min="15385" max="15385" width="12.85546875" style="265" customWidth="1"/>
    <col min="15386" max="15616" width="9.140625" style="265"/>
    <col min="15617" max="15617" width="4.7109375" style="265" customWidth="1"/>
    <col min="15618" max="15618" width="20.85546875" style="265" customWidth="1"/>
    <col min="15619" max="15619" width="27" style="265" customWidth="1"/>
    <col min="15620" max="15620" width="23" style="265" customWidth="1"/>
    <col min="15621" max="15621" width="19" style="265" customWidth="1"/>
    <col min="15622" max="15622" width="29.42578125" style="265" customWidth="1"/>
    <col min="15623" max="15623" width="8.42578125" style="265" customWidth="1"/>
    <col min="15624" max="15624" width="12.85546875" style="265" customWidth="1"/>
    <col min="15625" max="15625" width="13.42578125" style="265" customWidth="1"/>
    <col min="15626" max="15627" width="7.85546875" style="265" customWidth="1"/>
    <col min="15628" max="15628" width="7.28515625" style="265" customWidth="1"/>
    <col min="15629" max="15629" width="7.42578125" style="265" customWidth="1"/>
    <col min="15630" max="15630" width="6.28515625" style="265" customWidth="1"/>
    <col min="15631" max="15631" width="5.7109375" style="265" customWidth="1"/>
    <col min="15632" max="15632" width="6" style="265" customWidth="1"/>
    <col min="15633" max="15633" width="4.85546875" style="265" customWidth="1"/>
    <col min="15634" max="15634" width="6" style="265" customWidth="1"/>
    <col min="15635" max="15635" width="6.5703125" style="265" customWidth="1"/>
    <col min="15636" max="15636" width="8.140625" style="265" customWidth="1"/>
    <col min="15637" max="15637" width="6" style="265" customWidth="1"/>
    <col min="15638" max="15638" width="8.140625" style="265" customWidth="1"/>
    <col min="15639" max="15639" width="15" style="265" customWidth="1"/>
    <col min="15640" max="15640" width="17.85546875" style="265" customWidth="1"/>
    <col min="15641" max="15641" width="12.85546875" style="265" customWidth="1"/>
    <col min="15642" max="15872" width="9.140625" style="265"/>
    <col min="15873" max="15873" width="4.7109375" style="265" customWidth="1"/>
    <col min="15874" max="15874" width="20.85546875" style="265" customWidth="1"/>
    <col min="15875" max="15875" width="27" style="265" customWidth="1"/>
    <col min="15876" max="15876" width="23" style="265" customWidth="1"/>
    <col min="15877" max="15877" width="19" style="265" customWidth="1"/>
    <col min="15878" max="15878" width="29.42578125" style="265" customWidth="1"/>
    <col min="15879" max="15879" width="8.42578125" style="265" customWidth="1"/>
    <col min="15880" max="15880" width="12.85546875" style="265" customWidth="1"/>
    <col min="15881" max="15881" width="13.42578125" style="265" customWidth="1"/>
    <col min="15882" max="15883" width="7.85546875" style="265" customWidth="1"/>
    <col min="15884" max="15884" width="7.28515625" style="265" customWidth="1"/>
    <col min="15885" max="15885" width="7.42578125" style="265" customWidth="1"/>
    <col min="15886" max="15886" width="6.28515625" style="265" customWidth="1"/>
    <col min="15887" max="15887" width="5.7109375" style="265" customWidth="1"/>
    <col min="15888" max="15888" width="6" style="265" customWidth="1"/>
    <col min="15889" max="15889" width="4.85546875" style="265" customWidth="1"/>
    <col min="15890" max="15890" width="6" style="265" customWidth="1"/>
    <col min="15891" max="15891" width="6.5703125" style="265" customWidth="1"/>
    <col min="15892" max="15892" width="8.140625" style="265" customWidth="1"/>
    <col min="15893" max="15893" width="6" style="265" customWidth="1"/>
    <col min="15894" max="15894" width="8.140625" style="265" customWidth="1"/>
    <col min="15895" max="15895" width="15" style="265" customWidth="1"/>
    <col min="15896" max="15896" width="17.85546875" style="265" customWidth="1"/>
    <col min="15897" max="15897" width="12.85546875" style="265" customWidth="1"/>
    <col min="15898" max="16128" width="9.140625" style="265"/>
    <col min="16129" max="16129" width="4.7109375" style="265" customWidth="1"/>
    <col min="16130" max="16130" width="20.85546875" style="265" customWidth="1"/>
    <col min="16131" max="16131" width="27" style="265" customWidth="1"/>
    <col min="16132" max="16132" width="23" style="265" customWidth="1"/>
    <col min="16133" max="16133" width="19" style="265" customWidth="1"/>
    <col min="16134" max="16134" width="29.42578125" style="265" customWidth="1"/>
    <col min="16135" max="16135" width="8.42578125" style="265" customWidth="1"/>
    <col min="16136" max="16136" width="12.85546875" style="265" customWidth="1"/>
    <col min="16137" max="16137" width="13.42578125" style="265" customWidth="1"/>
    <col min="16138" max="16139" width="7.85546875" style="265" customWidth="1"/>
    <col min="16140" max="16140" width="7.28515625" style="265" customWidth="1"/>
    <col min="16141" max="16141" width="7.42578125" style="265" customWidth="1"/>
    <col min="16142" max="16142" width="6.28515625" style="265" customWidth="1"/>
    <col min="16143" max="16143" width="5.7109375" style="265" customWidth="1"/>
    <col min="16144" max="16144" width="6" style="265" customWidth="1"/>
    <col min="16145" max="16145" width="4.85546875" style="265" customWidth="1"/>
    <col min="16146" max="16146" width="6" style="265" customWidth="1"/>
    <col min="16147" max="16147" width="6.5703125" style="265" customWidth="1"/>
    <col min="16148" max="16148" width="8.140625" style="265" customWidth="1"/>
    <col min="16149" max="16149" width="6" style="265" customWidth="1"/>
    <col min="16150" max="16150" width="8.140625" style="265" customWidth="1"/>
    <col min="16151" max="16151" width="15" style="265" customWidth="1"/>
    <col min="16152" max="16152" width="17.85546875" style="265" customWidth="1"/>
    <col min="16153" max="16153" width="12.85546875" style="265" customWidth="1"/>
    <col min="16154" max="16384" width="9.140625" style="265"/>
  </cols>
  <sheetData>
    <row r="2" spans="1:25" ht="16.5">
      <c r="A2" s="2891" t="s">
        <v>0</v>
      </c>
      <c r="B2" s="2891"/>
      <c r="C2" s="2891"/>
      <c r="D2" s="2891"/>
      <c r="E2" s="2891"/>
      <c r="F2" s="2891"/>
      <c r="G2" s="266"/>
      <c r="H2" s="266"/>
      <c r="I2" s="266"/>
      <c r="J2" s="289"/>
      <c r="L2" s="290"/>
      <c r="M2" s="290"/>
      <c r="N2" s="290"/>
      <c r="O2" s="290"/>
      <c r="P2" s="290"/>
      <c r="Q2" s="290"/>
      <c r="R2" s="290"/>
      <c r="S2" s="290"/>
      <c r="T2" s="290"/>
      <c r="U2" s="290"/>
      <c r="V2" s="290"/>
    </row>
    <row r="3" spans="1:25" ht="16.5">
      <c r="A3" s="2891" t="s">
        <v>1</v>
      </c>
      <c r="B3" s="2891"/>
      <c r="C3" s="2891"/>
      <c r="D3" s="2891"/>
      <c r="E3" s="2891"/>
      <c r="F3" s="2891"/>
      <c r="G3" s="267"/>
      <c r="H3" s="267"/>
      <c r="I3" s="267"/>
      <c r="J3" s="291"/>
      <c r="K3" s="292"/>
      <c r="M3" s="291"/>
      <c r="N3" s="291"/>
      <c r="O3" s="291"/>
      <c r="P3" s="291"/>
      <c r="Q3" s="291"/>
      <c r="R3" s="291"/>
      <c r="S3" s="291"/>
      <c r="T3" s="291"/>
      <c r="U3" s="291"/>
      <c r="V3" s="301"/>
    </row>
    <row r="4" spans="1:25" ht="16.5">
      <c r="A4" s="2892" t="s">
        <v>619</v>
      </c>
      <c r="B4" s="2891"/>
      <c r="C4" s="2891"/>
      <c r="D4" s="2891"/>
      <c r="E4" s="2891"/>
      <c r="F4" s="2891"/>
      <c r="G4" s="267"/>
      <c r="H4" s="267"/>
      <c r="I4" s="267"/>
      <c r="J4" s="291"/>
      <c r="K4" s="292"/>
      <c r="M4" s="291"/>
      <c r="N4" s="291"/>
      <c r="O4" s="291"/>
      <c r="P4" s="291"/>
      <c r="Q4" s="291"/>
      <c r="R4" s="291"/>
      <c r="S4" s="291"/>
      <c r="T4" s="291"/>
      <c r="U4" s="291"/>
      <c r="V4" s="301"/>
    </row>
    <row r="5" spans="1:25" ht="15.75">
      <c r="E5" s="268"/>
      <c r="F5" s="268"/>
      <c r="G5" s="268"/>
      <c r="H5" s="268"/>
      <c r="I5" s="268"/>
      <c r="J5" s="293"/>
      <c r="K5" s="294"/>
      <c r="L5" s="295"/>
      <c r="M5" s="296"/>
      <c r="N5" s="296"/>
      <c r="O5" s="296"/>
      <c r="P5" s="296"/>
      <c r="Q5" s="296"/>
      <c r="R5" s="296"/>
      <c r="S5" s="296"/>
      <c r="T5" s="296"/>
      <c r="U5" s="296"/>
      <c r="V5" s="301"/>
      <c r="W5" s="302">
        <f>1372+388</f>
        <v>1760</v>
      </c>
      <c r="X5" s="265">
        <f>W5*30000</f>
        <v>52800000</v>
      </c>
      <c r="Y5" s="265" t="e">
        <f>X5+#REF!+#REF!</f>
        <v>#REF!</v>
      </c>
    </row>
    <row r="6" spans="1:25" ht="15.75">
      <c r="A6" s="269" t="s">
        <v>3</v>
      </c>
      <c r="B6" s="270"/>
      <c r="C6" s="270"/>
      <c r="D6" s="269"/>
      <c r="E6" s="268"/>
      <c r="F6" s="268"/>
      <c r="G6" s="268"/>
      <c r="H6" s="268"/>
      <c r="I6" s="268"/>
      <c r="J6" s="293"/>
      <c r="K6" s="294"/>
      <c r="L6" s="295"/>
      <c r="M6" s="296"/>
      <c r="N6" s="296"/>
      <c r="O6" s="296"/>
      <c r="P6" s="296"/>
      <c r="Q6" s="296"/>
      <c r="R6" s="296"/>
      <c r="S6" s="296"/>
      <c r="T6" s="296"/>
      <c r="U6" s="296"/>
      <c r="V6" s="301"/>
      <c r="W6" s="302"/>
    </row>
    <row r="7" spans="1:25" ht="15.75">
      <c r="A7" s="2893" t="s">
        <v>2563</v>
      </c>
      <c r="B7" s="2893"/>
      <c r="C7" s="2893"/>
      <c r="D7" s="268"/>
      <c r="E7" s="268"/>
      <c r="F7" s="268"/>
      <c r="G7" s="268"/>
      <c r="H7" s="268"/>
      <c r="I7" s="268"/>
      <c r="J7" s="293"/>
      <c r="K7" s="294"/>
      <c r="L7" s="295"/>
      <c r="M7" s="296"/>
      <c r="N7" s="296"/>
      <c r="O7" s="296"/>
      <c r="P7" s="296"/>
      <c r="Q7" s="296"/>
      <c r="R7" s="296"/>
      <c r="S7" s="296"/>
      <c r="T7" s="296"/>
      <c r="U7" s="296"/>
      <c r="V7" s="301"/>
      <c r="W7" s="302"/>
    </row>
    <row r="8" spans="1:25" ht="15.75">
      <c r="A8" s="271"/>
      <c r="B8" s="271"/>
      <c r="C8" s="271"/>
      <c r="D8" s="268"/>
      <c r="E8" s="268"/>
      <c r="F8" s="268"/>
      <c r="G8" s="268"/>
      <c r="H8" s="268"/>
      <c r="I8" s="268"/>
      <c r="J8" s="293"/>
      <c r="K8" s="294"/>
      <c r="L8" s="295"/>
      <c r="M8" s="296"/>
      <c r="N8" s="296"/>
      <c r="O8" s="296"/>
      <c r="P8" s="296"/>
      <c r="Q8" s="296"/>
      <c r="R8" s="296"/>
      <c r="S8" s="296"/>
      <c r="T8" s="296"/>
      <c r="U8" s="296"/>
      <c r="V8" s="301"/>
      <c r="W8" s="302"/>
    </row>
    <row r="9" spans="1:25" ht="18.75">
      <c r="A9" s="2851" t="s">
        <v>3042</v>
      </c>
      <c r="B9" s="2894"/>
      <c r="C9" s="2894"/>
      <c r="D9" s="2894"/>
      <c r="E9" s="2894"/>
      <c r="F9" s="2894"/>
      <c r="G9" s="272"/>
      <c r="H9" s="272"/>
      <c r="I9" s="272"/>
      <c r="J9" s="272"/>
      <c r="K9" s="297"/>
      <c r="L9" s="297"/>
      <c r="M9" s="297"/>
      <c r="N9" s="297"/>
      <c r="O9" s="297"/>
      <c r="P9" s="297"/>
      <c r="Q9" s="297"/>
      <c r="R9" s="297"/>
      <c r="S9" s="297"/>
      <c r="T9" s="297"/>
      <c r="U9" s="297"/>
      <c r="V9" s="297"/>
    </row>
    <row r="10" spans="1:25" ht="15.75">
      <c r="A10" s="273"/>
      <c r="B10" s="274"/>
      <c r="C10" s="273"/>
      <c r="D10" s="273"/>
      <c r="E10" s="274"/>
      <c r="F10" s="274"/>
      <c r="G10" s="56"/>
      <c r="H10" s="57"/>
      <c r="I10" s="298"/>
    </row>
    <row r="11" spans="1:25">
      <c r="A11" s="2882" t="s">
        <v>6</v>
      </c>
      <c r="B11" s="2882" t="s">
        <v>3043</v>
      </c>
      <c r="C11" s="2882" t="s">
        <v>9</v>
      </c>
      <c r="D11" s="2882" t="s">
        <v>2727</v>
      </c>
      <c r="E11" s="2882" t="s">
        <v>2715</v>
      </c>
      <c r="F11" s="2882" t="s">
        <v>12</v>
      </c>
      <c r="G11" s="275"/>
      <c r="H11" s="276"/>
      <c r="I11" s="299"/>
    </row>
    <row r="12" spans="1:25">
      <c r="A12" s="2883"/>
      <c r="B12" s="2883"/>
      <c r="C12" s="2883"/>
      <c r="D12" s="2883"/>
      <c r="E12" s="2883"/>
      <c r="F12" s="2883"/>
      <c r="G12" s="277"/>
      <c r="H12" s="276"/>
      <c r="I12" s="299"/>
    </row>
    <row r="13" spans="1:25" ht="27.6" customHeight="1">
      <c r="A13" s="278">
        <v>1</v>
      </c>
      <c r="B13" s="279" t="s">
        <v>3044</v>
      </c>
      <c r="C13" s="280" t="s">
        <v>3045</v>
      </c>
      <c r="D13" s="281">
        <v>500000</v>
      </c>
      <c r="E13" s="278"/>
      <c r="F13" s="278"/>
      <c r="G13" s="282"/>
      <c r="H13" s="283"/>
      <c r="I13" s="300"/>
    </row>
    <row r="14" spans="1:25" ht="27.6" customHeight="1">
      <c r="A14" s="2886" t="s">
        <v>349</v>
      </c>
      <c r="B14" s="2886"/>
      <c r="C14" s="284"/>
      <c r="D14" s="285">
        <f>SUM(D13:D13)</f>
        <v>500000</v>
      </c>
      <c r="E14" s="60"/>
      <c r="F14" s="61"/>
      <c r="G14" s="282"/>
      <c r="H14" s="286"/>
      <c r="I14" s="300"/>
    </row>
    <row r="15" spans="1:25" ht="20.25" customHeight="1">
      <c r="A15" s="2887" t="s">
        <v>3046</v>
      </c>
      <c r="B15" s="2887"/>
      <c r="C15" s="2887"/>
      <c r="D15" s="2887"/>
      <c r="E15" s="2887"/>
      <c r="F15" s="2887"/>
    </row>
    <row r="16" spans="1:25" ht="18" customHeight="1">
      <c r="D16" s="2888" t="s">
        <v>3047</v>
      </c>
      <c r="E16" s="2888"/>
      <c r="F16" s="2888"/>
    </row>
    <row r="17" spans="1:6" ht="15.75">
      <c r="A17" s="2889" t="s">
        <v>3048</v>
      </c>
      <c r="B17" s="2889"/>
      <c r="C17" s="287" t="s">
        <v>3049</v>
      </c>
      <c r="D17" s="2890" t="s">
        <v>3050</v>
      </c>
      <c r="E17" s="2890"/>
      <c r="F17" s="287" t="s">
        <v>3051</v>
      </c>
    </row>
    <row r="20" spans="1:6" ht="42.75" customHeight="1"/>
    <row r="23" spans="1:6">
      <c r="A23" s="2884" t="s">
        <v>1924</v>
      </c>
      <c r="B23" s="2884"/>
      <c r="C23" s="288" t="s">
        <v>2775</v>
      </c>
      <c r="D23" s="2885"/>
      <c r="E23" s="2885"/>
      <c r="F23" s="288" t="s">
        <v>613</v>
      </c>
    </row>
    <row r="24" spans="1:6">
      <c r="C24" s="265" t="s">
        <v>1920</v>
      </c>
    </row>
  </sheetData>
  <mergeCells count="18">
    <mergeCell ref="A2:F2"/>
    <mergeCell ref="A3:F3"/>
    <mergeCell ref="A4:F4"/>
    <mergeCell ref="A7:C7"/>
    <mergeCell ref="A9:F9"/>
    <mergeCell ref="F11:F12"/>
    <mergeCell ref="A23:B23"/>
    <mergeCell ref="D23:E23"/>
    <mergeCell ref="A11:A12"/>
    <mergeCell ref="B11:B12"/>
    <mergeCell ref="C11:C12"/>
    <mergeCell ref="D11:D12"/>
    <mergeCell ref="E11:E12"/>
    <mergeCell ref="A14:B14"/>
    <mergeCell ref="A15:F15"/>
    <mergeCell ref="D16:F16"/>
    <mergeCell ref="A17:B17"/>
    <mergeCell ref="D17:E17"/>
  </mergeCells>
  <pageMargins left="0.7" right="0.7" top="0.75" bottom="0.75" header="0.3" footer="0.3"/>
  <pageSetup paperSize="9" orientation="landscape"/>
  <drawing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M28"/>
  <sheetViews>
    <sheetView showGridLines="0" topLeftCell="A10" zoomScaleSheetLayoutView="85" workbookViewId="0">
      <selection activeCell="H25" sqref="H25"/>
    </sheetView>
  </sheetViews>
  <sheetFormatPr defaultColWidth="9.140625" defaultRowHeight="16.5"/>
  <cols>
    <col min="1" max="1" width="6" style="240" customWidth="1"/>
    <col min="2" max="2" width="7" style="240" hidden="1" customWidth="1"/>
    <col min="3" max="3" width="5.7109375" style="240" hidden="1" customWidth="1"/>
    <col min="4" max="4" width="27.42578125" style="240" customWidth="1"/>
    <col min="5" max="5" width="14.5703125" style="240" customWidth="1"/>
    <col min="6" max="6" width="20.7109375" style="240" customWidth="1"/>
    <col min="7" max="7" width="16.85546875" style="240" customWidth="1"/>
    <col min="8" max="8" width="18.7109375" style="240" customWidth="1"/>
    <col min="9" max="9" width="10.28515625" style="240" customWidth="1"/>
    <col min="10" max="10" width="7.42578125" style="240" customWidth="1"/>
    <col min="11" max="11" width="10" style="240" customWidth="1"/>
    <col min="12" max="12" width="17.85546875" style="240" customWidth="1"/>
    <col min="13" max="13" width="15.7109375" style="240" customWidth="1"/>
    <col min="14" max="16384" width="9.140625" style="240"/>
  </cols>
  <sheetData>
    <row r="1" spans="1:13">
      <c r="A1" s="2459" t="s">
        <v>617</v>
      </c>
      <c r="B1" s="2459"/>
      <c r="C1" s="2459"/>
      <c r="D1" s="2459"/>
      <c r="E1" s="2459"/>
      <c r="F1" s="2459"/>
      <c r="G1" s="2459"/>
      <c r="H1" s="2459"/>
    </row>
    <row r="2" spans="1:13">
      <c r="A2" s="2459" t="s">
        <v>618</v>
      </c>
      <c r="B2" s="2459"/>
      <c r="C2" s="2459"/>
      <c r="D2" s="2459"/>
      <c r="E2" s="2459"/>
      <c r="F2" s="2459"/>
      <c r="G2" s="2459"/>
      <c r="H2" s="2459"/>
    </row>
    <row r="3" spans="1:13">
      <c r="A3" s="2899" t="s">
        <v>619</v>
      </c>
      <c r="B3" s="2459"/>
      <c r="C3" s="2459"/>
      <c r="D3" s="2459"/>
      <c r="E3" s="2459"/>
      <c r="F3" s="2459"/>
      <c r="G3" s="2459"/>
      <c r="H3" s="2459"/>
    </row>
    <row r="4" spans="1:13">
      <c r="A4" s="2896" t="s">
        <v>3</v>
      </c>
      <c r="B4" s="2896"/>
      <c r="C4" s="2896"/>
      <c r="D4" s="2896"/>
      <c r="E4" s="2896"/>
      <c r="F4" s="2896"/>
      <c r="G4" s="2896"/>
      <c r="H4" s="2896"/>
    </row>
    <row r="5" spans="1:13">
      <c r="A5" s="2459" t="s">
        <v>611</v>
      </c>
      <c r="B5" s="2459"/>
      <c r="C5" s="2459"/>
      <c r="D5" s="2459"/>
      <c r="E5" s="2459"/>
      <c r="F5" s="2459"/>
      <c r="G5" s="239"/>
      <c r="H5" s="239"/>
    </row>
    <row r="6" spans="1:13">
      <c r="A6" s="2459"/>
      <c r="B6" s="2459"/>
      <c r="C6" s="2459"/>
      <c r="D6" s="2459"/>
      <c r="E6" s="2459"/>
      <c r="F6" s="2459"/>
      <c r="G6" s="2459"/>
      <c r="H6" s="2459"/>
    </row>
    <row r="7" spans="1:13" ht="20.25">
      <c r="A7" s="2897" t="s">
        <v>3052</v>
      </c>
      <c r="B7" s="2897"/>
      <c r="C7" s="2897"/>
      <c r="D7" s="2897"/>
      <c r="E7" s="2897"/>
      <c r="F7" s="2897"/>
      <c r="G7" s="2897"/>
      <c r="H7" s="2897"/>
      <c r="I7" s="241"/>
    </row>
    <row r="8" spans="1:13">
      <c r="I8" s="251"/>
      <c r="J8" s="251">
        <v>31</v>
      </c>
    </row>
    <row r="9" spans="1:13" ht="31.5" customHeight="1">
      <c r="A9" s="137" t="s">
        <v>6</v>
      </c>
      <c r="B9" s="243" t="s">
        <v>624</v>
      </c>
      <c r="C9" s="2786" t="s">
        <v>2931</v>
      </c>
      <c r="D9" s="2787"/>
      <c r="E9" s="243" t="s">
        <v>2932</v>
      </c>
      <c r="F9" s="243" t="s">
        <v>2933</v>
      </c>
      <c r="G9" s="243" t="s">
        <v>2934</v>
      </c>
      <c r="H9" s="139" t="s">
        <v>2935</v>
      </c>
      <c r="I9" s="252"/>
    </row>
    <row r="10" spans="1:13" s="131" customFormat="1" ht="21.75" customHeight="1">
      <c r="A10" s="244">
        <v>1</v>
      </c>
      <c r="B10" s="245" t="s">
        <v>3053</v>
      </c>
      <c r="C10" s="135" t="s">
        <v>3054</v>
      </c>
      <c r="D10" s="135" t="s">
        <v>1867</v>
      </c>
      <c r="E10" s="135" t="s">
        <v>1868</v>
      </c>
      <c r="F10" s="246" t="e">
        <f>VLOOKUP(D10,'TRẠM CÁN'!$E$14:$X$17,16,0)</f>
        <v>#REF!</v>
      </c>
      <c r="G10" s="246" t="e">
        <f>VLOOKUP(D10,'TRẠM CÁN'!$E$14:$X$17,17,0)</f>
        <v>#REF!</v>
      </c>
      <c r="H10" s="247"/>
      <c r="I10" s="253"/>
      <c r="J10" s="254" t="s">
        <v>3055</v>
      </c>
      <c r="K10" s="255"/>
      <c r="L10" s="254"/>
      <c r="M10" s="255"/>
    </row>
    <row r="11" spans="1:13" s="131" customFormat="1" ht="21.75" customHeight="1">
      <c r="A11" s="244">
        <v>2</v>
      </c>
      <c r="B11" s="245"/>
      <c r="C11" s="135" t="s">
        <v>1850</v>
      </c>
      <c r="D11" s="135" t="s">
        <v>1871</v>
      </c>
      <c r="E11" s="135" t="s">
        <v>1868</v>
      </c>
      <c r="F11" s="246" t="e">
        <f>VLOOKUP(D11,'TRẠM CÁN'!$E$14:$X$17,16,0)</f>
        <v>#REF!</v>
      </c>
      <c r="G11" s="246" t="e">
        <f>VLOOKUP(D11,'TRẠM CÁN'!$E$14:$X$17,17,0)</f>
        <v>#REF!</v>
      </c>
      <c r="H11" s="247"/>
      <c r="I11" s="253"/>
      <c r="J11" s="254" t="s">
        <v>3056</v>
      </c>
      <c r="K11" s="255"/>
      <c r="L11" s="254"/>
      <c r="M11" s="255"/>
    </row>
    <row r="12" spans="1:13" s="131" customFormat="1" ht="21.75" customHeight="1">
      <c r="A12" s="244">
        <v>3</v>
      </c>
      <c r="B12" s="245" t="s">
        <v>1852</v>
      </c>
      <c r="C12" s="135"/>
      <c r="D12" s="135" t="s">
        <v>1875</v>
      </c>
      <c r="E12" s="135" t="s">
        <v>1868</v>
      </c>
      <c r="F12" s="246" t="e">
        <f>VLOOKUP(D12,'TRẠM CÁN'!$E$14:$X$17,16,0)</f>
        <v>#REF!</v>
      </c>
      <c r="G12" s="246" t="e">
        <f>VLOOKUP(D12,'TRẠM CÁN'!$E$14:$X$17,17,0)</f>
        <v>#REF!</v>
      </c>
      <c r="H12" s="247"/>
      <c r="I12" s="253"/>
      <c r="J12" s="254" t="s">
        <v>2936</v>
      </c>
      <c r="K12" s="255"/>
      <c r="L12" s="254"/>
      <c r="M12" s="255"/>
    </row>
    <row r="13" spans="1:13" s="131" customFormat="1" ht="21.75" customHeight="1">
      <c r="A13" s="244">
        <v>4</v>
      </c>
      <c r="B13" s="245" t="s">
        <v>1853</v>
      </c>
      <c r="C13" s="135"/>
      <c r="D13" s="135" t="s">
        <v>2804</v>
      </c>
      <c r="E13" s="135" t="s">
        <v>1868</v>
      </c>
      <c r="F13" s="246" t="e">
        <f>VLOOKUP(D13,'TRẠM CÁN'!$E$14:$X$17,16,0)</f>
        <v>#REF!</v>
      </c>
      <c r="G13" s="246" t="e">
        <f>VLOOKUP(D13,'TRẠM CÁN'!$E$14:$X$17,17,0)</f>
        <v>#REF!</v>
      </c>
      <c r="H13" s="247"/>
      <c r="I13" s="253"/>
      <c r="J13" s="254" t="s">
        <v>2936</v>
      </c>
      <c r="K13" s="255" t="s">
        <v>2937</v>
      </c>
      <c r="L13" s="254"/>
      <c r="M13" s="255"/>
    </row>
    <row r="14" spans="1:13" s="131" customFormat="1" ht="21.75" customHeight="1">
      <c r="A14" s="244">
        <v>5</v>
      </c>
      <c r="B14" s="245" t="s">
        <v>1853</v>
      </c>
      <c r="C14" s="135"/>
      <c r="D14" s="135" t="s">
        <v>1905</v>
      </c>
      <c r="E14" s="135" t="s">
        <v>1906</v>
      </c>
      <c r="F14" s="246" t="e">
        <f>VLOOKUP(D14,#REF!,8,0)</f>
        <v>#REF!</v>
      </c>
      <c r="G14" s="246" t="e">
        <f>VLOOKUP(D14,#REF!,9,0)</f>
        <v>#REF!</v>
      </c>
      <c r="H14" s="247"/>
      <c r="I14" s="253"/>
      <c r="J14" s="254" t="s">
        <v>2936</v>
      </c>
      <c r="K14" s="255" t="s">
        <v>2937</v>
      </c>
      <c r="L14" s="254"/>
      <c r="M14" s="255"/>
    </row>
    <row r="15" spans="1:13" s="131" customFormat="1" ht="21.75" customHeight="1">
      <c r="A15" s="244">
        <v>6</v>
      </c>
      <c r="B15" s="245" t="s">
        <v>3053</v>
      </c>
      <c r="C15" s="135" t="s">
        <v>3054</v>
      </c>
      <c r="D15" s="135" t="s">
        <v>1907</v>
      </c>
      <c r="E15" s="135" t="s">
        <v>1908</v>
      </c>
      <c r="F15" s="246" t="e">
        <f>VLOOKUP(D15,#REF!,8,0)</f>
        <v>#REF!</v>
      </c>
      <c r="G15" s="246" t="e">
        <f>VLOOKUP(D15,#REF!,9,0)</f>
        <v>#REF!</v>
      </c>
      <c r="H15" s="247"/>
      <c r="I15" s="253"/>
      <c r="J15" s="254" t="s">
        <v>3055</v>
      </c>
      <c r="K15" s="255"/>
      <c r="L15" s="254"/>
      <c r="M15" s="255"/>
    </row>
    <row r="16" spans="1:13" s="131" customFormat="1" ht="21.75" customHeight="1">
      <c r="A16" s="244">
        <v>7</v>
      </c>
      <c r="B16" s="245"/>
      <c r="C16" s="135" t="s">
        <v>1850</v>
      </c>
      <c r="D16" s="135" t="s">
        <v>51</v>
      </c>
      <c r="E16" s="135" t="s">
        <v>1908</v>
      </c>
      <c r="F16" s="246" t="e">
        <f>VLOOKUP(D16,#REF!,8,0)</f>
        <v>#REF!</v>
      </c>
      <c r="G16" s="246" t="e">
        <f>VLOOKUP(D16,#REF!,9,0)</f>
        <v>#REF!</v>
      </c>
      <c r="H16" s="247"/>
      <c r="I16" s="253"/>
      <c r="J16" s="254" t="s">
        <v>3056</v>
      </c>
      <c r="K16" s="255"/>
      <c r="L16" s="254"/>
      <c r="M16" s="255"/>
    </row>
    <row r="17" spans="1:13" s="131" customFormat="1" ht="21.75" customHeight="1">
      <c r="A17" s="244">
        <v>9</v>
      </c>
      <c r="B17" s="245" t="s">
        <v>1853</v>
      </c>
      <c r="C17" s="135"/>
      <c r="D17" s="135" t="s">
        <v>1911</v>
      </c>
      <c r="E17" s="135" t="s">
        <v>1908</v>
      </c>
      <c r="F17" s="246" t="e">
        <f>VLOOKUP(D17,#REF!,8,0)</f>
        <v>#REF!</v>
      </c>
      <c r="G17" s="246" t="e">
        <f>VLOOKUP(D17,#REF!,9,0)</f>
        <v>#REF!</v>
      </c>
      <c r="H17" s="247"/>
      <c r="I17" s="253"/>
      <c r="J17" s="254" t="s">
        <v>2936</v>
      </c>
      <c r="K17" s="255" t="s">
        <v>2937</v>
      </c>
      <c r="L17" s="254"/>
      <c r="M17" s="255"/>
    </row>
    <row r="18" spans="1:13" s="131" customFormat="1" ht="21.75" customHeight="1">
      <c r="A18" s="2785" t="s">
        <v>608</v>
      </c>
      <c r="B18" s="2785"/>
      <c r="C18" s="2785"/>
      <c r="D18" s="2785"/>
      <c r="E18" s="2785"/>
      <c r="F18" s="248" t="e">
        <f>SUM(F10:F17)</f>
        <v>#REF!</v>
      </c>
      <c r="G18" s="248" t="e">
        <f>SUM(G10:G17)</f>
        <v>#REF!</v>
      </c>
      <c r="H18" s="137"/>
      <c r="I18" s="256" t="e">
        <f>+#REF!/25</f>
        <v>#REF!</v>
      </c>
      <c r="J18" s="257"/>
      <c r="K18" s="255">
        <f>14*1200</f>
        <v>16800</v>
      </c>
      <c r="L18" s="258">
        <f>1700/31*26</f>
        <v>1425.8064516129</v>
      </c>
      <c r="M18" s="255"/>
    </row>
    <row r="19" spans="1:13" s="239" customFormat="1" ht="23.25" customHeight="1">
      <c r="A19" s="2898" t="s">
        <v>3057</v>
      </c>
      <c r="B19" s="2898"/>
      <c r="C19" s="2898"/>
      <c r="D19" s="2898"/>
      <c r="E19" s="2898"/>
      <c r="F19" s="2898"/>
      <c r="G19" s="2898"/>
      <c r="H19" s="2898"/>
      <c r="I19" s="249"/>
      <c r="J19" s="259"/>
      <c r="L19" s="260" t="e">
        <f>+L18/25+#REF!</f>
        <v>#REF!</v>
      </c>
    </row>
    <row r="20" spans="1:13" s="239" customFormat="1">
      <c r="E20" s="241"/>
      <c r="F20" s="241"/>
      <c r="G20" s="241"/>
      <c r="H20" s="241"/>
      <c r="I20" s="239">
        <f>900*14</f>
        <v>12600</v>
      </c>
      <c r="J20" s="259"/>
    </row>
    <row r="21" spans="1:13" ht="23.25" customHeight="1">
      <c r="A21" s="249"/>
      <c r="B21" s="249"/>
      <c r="D21" s="250"/>
      <c r="F21" s="2895" t="s">
        <v>3058</v>
      </c>
      <c r="G21" s="2895"/>
      <c r="H21" s="2895"/>
      <c r="I21" s="261"/>
      <c r="J21" s="262"/>
      <c r="K21" s="263" t="e">
        <f>+F18*20</f>
        <v>#REF!</v>
      </c>
      <c r="L21" s="264" t="e">
        <f>+'TRẠM CÁN'!U13</f>
        <v>#REF!</v>
      </c>
    </row>
    <row r="22" spans="1:13" s="239" customFormat="1" ht="23.25" customHeight="1">
      <c r="A22" s="239" t="s">
        <v>614</v>
      </c>
      <c r="E22" s="2896" t="s">
        <v>3059</v>
      </c>
      <c r="F22" s="2896"/>
      <c r="G22" s="2896"/>
      <c r="H22" s="242" t="s">
        <v>3060</v>
      </c>
      <c r="I22" s="241"/>
    </row>
    <row r="25" spans="1:13" ht="57.75" customHeight="1"/>
    <row r="27" spans="1:13" s="239" customFormat="1">
      <c r="A27" s="2459"/>
      <c r="B27" s="2459"/>
      <c r="C27" s="2459"/>
      <c r="D27" s="2459"/>
      <c r="E27" s="2459"/>
      <c r="F27" s="2459"/>
    </row>
    <row r="28" spans="1:13">
      <c r="I28" s="241"/>
    </row>
  </sheetData>
  <mergeCells count="14">
    <mergeCell ref="A1:H1"/>
    <mergeCell ref="A2:H2"/>
    <mergeCell ref="A3:H3"/>
    <mergeCell ref="A4:H4"/>
    <mergeCell ref="A5:F5"/>
    <mergeCell ref="F21:H21"/>
    <mergeCell ref="E22:G22"/>
    <mergeCell ref="A27:D27"/>
    <mergeCell ref="E27:F27"/>
    <mergeCell ref="A6:H6"/>
    <mergeCell ref="A7:H7"/>
    <mergeCell ref="C9:D9"/>
    <mergeCell ref="A18:E18"/>
    <mergeCell ref="A19:H19"/>
  </mergeCells>
  <printOptions horizontalCentered="1"/>
  <pageMargins left="0" right="0" top="0.59055118110236204" bottom="0.196850393700787" header="0.31496062992126" footer="0.31496062992126"/>
  <pageSetup paperSize="9" scale="90" orientation="portrait"/>
  <headerFooter>
    <oddFooter>&amp;R&amp;P</oddFooter>
  </headerFooter>
  <drawing r:id="rId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I36"/>
  <sheetViews>
    <sheetView workbookViewId="0">
      <selection activeCell="E13" sqref="E13"/>
    </sheetView>
  </sheetViews>
  <sheetFormatPr defaultColWidth="8.7109375" defaultRowHeight="16.5"/>
  <cols>
    <col min="1" max="1" width="14.7109375" style="204" customWidth="1"/>
    <col min="2" max="2" width="51.7109375" style="204" customWidth="1"/>
    <col min="3" max="3" width="35.7109375" style="205" customWidth="1"/>
    <col min="4" max="4" width="33.85546875" style="206" customWidth="1"/>
    <col min="5" max="5" width="28.28515625" style="204" customWidth="1"/>
    <col min="6" max="6" width="17.28515625" style="204" customWidth="1"/>
    <col min="7" max="7" width="34.7109375" style="204" customWidth="1"/>
    <col min="8" max="8" width="21.85546875" style="204" customWidth="1"/>
    <col min="9" max="9" width="15.7109375" style="204" customWidth="1"/>
    <col min="10" max="10" width="17.7109375" style="204" customWidth="1"/>
    <col min="11" max="253" width="8.7109375" style="204"/>
    <col min="254" max="254" width="6.85546875" style="204" customWidth="1"/>
    <col min="255" max="255" width="39.28515625" style="204" customWidth="1"/>
    <col min="256" max="256" width="9.28515625" style="204" customWidth="1"/>
    <col min="257" max="257" width="10.7109375" style="204" customWidth="1"/>
    <col min="258" max="258" width="15" style="204" customWidth="1"/>
    <col min="259" max="259" width="10.42578125" style="204" customWidth="1"/>
    <col min="260" max="260" width="20.42578125" style="204" customWidth="1"/>
    <col min="261" max="261" width="20.7109375" style="204" customWidth="1"/>
    <col min="262" max="262" width="11.140625" style="204" customWidth="1"/>
    <col min="263" max="263" width="24" style="204" customWidth="1"/>
    <col min="264" max="264" width="20.28515625" style="204" customWidth="1"/>
    <col min="265" max="265" width="14.85546875" style="204" customWidth="1"/>
    <col min="266" max="266" width="11.28515625" style="204" customWidth="1"/>
    <col min="267" max="509" width="8.7109375" style="204"/>
    <col min="510" max="510" width="6.85546875" style="204" customWidth="1"/>
    <col min="511" max="511" width="39.28515625" style="204" customWidth="1"/>
    <col min="512" max="512" width="9.28515625" style="204" customWidth="1"/>
    <col min="513" max="513" width="10.7109375" style="204" customWidth="1"/>
    <col min="514" max="514" width="15" style="204" customWidth="1"/>
    <col min="515" max="515" width="10.42578125" style="204" customWidth="1"/>
    <col min="516" max="516" width="20.42578125" style="204" customWidth="1"/>
    <col min="517" max="517" width="20.7109375" style="204" customWidth="1"/>
    <col min="518" max="518" width="11.140625" style="204" customWidth="1"/>
    <col min="519" max="519" width="24" style="204" customWidth="1"/>
    <col min="520" max="520" width="20.28515625" style="204" customWidth="1"/>
    <col min="521" max="521" width="14.85546875" style="204" customWidth="1"/>
    <col min="522" max="522" width="11.28515625" style="204" customWidth="1"/>
    <col min="523" max="765" width="8.7109375" style="204"/>
    <col min="766" max="766" width="6.85546875" style="204" customWidth="1"/>
    <col min="767" max="767" width="39.28515625" style="204" customWidth="1"/>
    <col min="768" max="768" width="9.28515625" style="204" customWidth="1"/>
    <col min="769" max="769" width="10.7109375" style="204" customWidth="1"/>
    <col min="770" max="770" width="15" style="204" customWidth="1"/>
    <col min="771" max="771" width="10.42578125" style="204" customWidth="1"/>
    <col min="772" max="772" width="20.42578125" style="204" customWidth="1"/>
    <col min="773" max="773" width="20.7109375" style="204" customWidth="1"/>
    <col min="774" max="774" width="11.140625" style="204" customWidth="1"/>
    <col min="775" max="775" width="24" style="204" customWidth="1"/>
    <col min="776" max="776" width="20.28515625" style="204" customWidth="1"/>
    <col min="777" max="777" width="14.85546875" style="204" customWidth="1"/>
    <col min="778" max="778" width="11.28515625" style="204" customWidth="1"/>
    <col min="779" max="1021" width="8.7109375" style="204"/>
    <col min="1022" max="1022" width="6.85546875" style="204" customWidth="1"/>
    <col min="1023" max="1023" width="39.28515625" style="204" customWidth="1"/>
    <col min="1024" max="1024" width="9.28515625" style="204" customWidth="1"/>
    <col min="1025" max="1025" width="10.7109375" style="204" customWidth="1"/>
    <col min="1026" max="1026" width="15" style="204" customWidth="1"/>
    <col min="1027" max="1027" width="10.42578125" style="204" customWidth="1"/>
    <col min="1028" max="1028" width="20.42578125" style="204" customWidth="1"/>
    <col min="1029" max="1029" width="20.7109375" style="204" customWidth="1"/>
    <col min="1030" max="1030" width="11.140625" style="204" customWidth="1"/>
    <col min="1031" max="1031" width="24" style="204" customWidth="1"/>
    <col min="1032" max="1032" width="20.28515625" style="204" customWidth="1"/>
    <col min="1033" max="1033" width="14.85546875" style="204" customWidth="1"/>
    <col min="1034" max="1034" width="11.28515625" style="204" customWidth="1"/>
    <col min="1035" max="1277" width="8.7109375" style="204"/>
    <col min="1278" max="1278" width="6.85546875" style="204" customWidth="1"/>
    <col min="1279" max="1279" width="39.28515625" style="204" customWidth="1"/>
    <col min="1280" max="1280" width="9.28515625" style="204" customWidth="1"/>
    <col min="1281" max="1281" width="10.7109375" style="204" customWidth="1"/>
    <col min="1282" max="1282" width="15" style="204" customWidth="1"/>
    <col min="1283" max="1283" width="10.42578125" style="204" customWidth="1"/>
    <col min="1284" max="1284" width="20.42578125" style="204" customWidth="1"/>
    <col min="1285" max="1285" width="20.7109375" style="204" customWidth="1"/>
    <col min="1286" max="1286" width="11.140625" style="204" customWidth="1"/>
    <col min="1287" max="1287" width="24" style="204" customWidth="1"/>
    <col min="1288" max="1288" width="20.28515625" style="204" customWidth="1"/>
    <col min="1289" max="1289" width="14.85546875" style="204" customWidth="1"/>
    <col min="1290" max="1290" width="11.28515625" style="204" customWidth="1"/>
    <col min="1291" max="1533" width="8.7109375" style="204"/>
    <col min="1534" max="1534" width="6.85546875" style="204" customWidth="1"/>
    <col min="1535" max="1535" width="39.28515625" style="204" customWidth="1"/>
    <col min="1536" max="1536" width="9.28515625" style="204" customWidth="1"/>
    <col min="1537" max="1537" width="10.7109375" style="204" customWidth="1"/>
    <col min="1538" max="1538" width="15" style="204" customWidth="1"/>
    <col min="1539" max="1539" width="10.42578125" style="204" customWidth="1"/>
    <col min="1540" max="1540" width="20.42578125" style="204" customWidth="1"/>
    <col min="1541" max="1541" width="20.7109375" style="204" customWidth="1"/>
    <col min="1542" max="1542" width="11.140625" style="204" customWidth="1"/>
    <col min="1543" max="1543" width="24" style="204" customWidth="1"/>
    <col min="1544" max="1544" width="20.28515625" style="204" customWidth="1"/>
    <col min="1545" max="1545" width="14.85546875" style="204" customWidth="1"/>
    <col min="1546" max="1546" width="11.28515625" style="204" customWidth="1"/>
    <col min="1547" max="1789" width="8.7109375" style="204"/>
    <col min="1790" max="1790" width="6.85546875" style="204" customWidth="1"/>
    <col min="1791" max="1791" width="39.28515625" style="204" customWidth="1"/>
    <col min="1792" max="1792" width="9.28515625" style="204" customWidth="1"/>
    <col min="1793" max="1793" width="10.7109375" style="204" customWidth="1"/>
    <col min="1794" max="1794" width="15" style="204" customWidth="1"/>
    <col min="1795" max="1795" width="10.42578125" style="204" customWidth="1"/>
    <col min="1796" max="1796" width="20.42578125" style="204" customWidth="1"/>
    <col min="1797" max="1797" width="20.7109375" style="204" customWidth="1"/>
    <col min="1798" max="1798" width="11.140625" style="204" customWidth="1"/>
    <col min="1799" max="1799" width="24" style="204" customWidth="1"/>
    <col min="1800" max="1800" width="20.28515625" style="204" customWidth="1"/>
    <col min="1801" max="1801" width="14.85546875" style="204" customWidth="1"/>
    <col min="1802" max="1802" width="11.28515625" style="204" customWidth="1"/>
    <col min="1803" max="2045" width="8.7109375" style="204"/>
    <col min="2046" max="2046" width="6.85546875" style="204" customWidth="1"/>
    <col min="2047" max="2047" width="39.28515625" style="204" customWidth="1"/>
    <col min="2048" max="2048" width="9.28515625" style="204" customWidth="1"/>
    <col min="2049" max="2049" width="10.7109375" style="204" customWidth="1"/>
    <col min="2050" max="2050" width="15" style="204" customWidth="1"/>
    <col min="2051" max="2051" width="10.42578125" style="204" customWidth="1"/>
    <col min="2052" max="2052" width="20.42578125" style="204" customWidth="1"/>
    <col min="2053" max="2053" width="20.7109375" style="204" customWidth="1"/>
    <col min="2054" max="2054" width="11.140625" style="204" customWidth="1"/>
    <col min="2055" max="2055" width="24" style="204" customWidth="1"/>
    <col min="2056" max="2056" width="20.28515625" style="204" customWidth="1"/>
    <col min="2057" max="2057" width="14.85546875" style="204" customWidth="1"/>
    <col min="2058" max="2058" width="11.28515625" style="204" customWidth="1"/>
    <col min="2059" max="2301" width="8.7109375" style="204"/>
    <col min="2302" max="2302" width="6.85546875" style="204" customWidth="1"/>
    <col min="2303" max="2303" width="39.28515625" style="204" customWidth="1"/>
    <col min="2304" max="2304" width="9.28515625" style="204" customWidth="1"/>
    <col min="2305" max="2305" width="10.7109375" style="204" customWidth="1"/>
    <col min="2306" max="2306" width="15" style="204" customWidth="1"/>
    <col min="2307" max="2307" width="10.42578125" style="204" customWidth="1"/>
    <col min="2308" max="2308" width="20.42578125" style="204" customWidth="1"/>
    <col min="2309" max="2309" width="20.7109375" style="204" customWidth="1"/>
    <col min="2310" max="2310" width="11.140625" style="204" customWidth="1"/>
    <col min="2311" max="2311" width="24" style="204" customWidth="1"/>
    <col min="2312" max="2312" width="20.28515625" style="204" customWidth="1"/>
    <col min="2313" max="2313" width="14.85546875" style="204" customWidth="1"/>
    <col min="2314" max="2314" width="11.28515625" style="204" customWidth="1"/>
    <col min="2315" max="2557" width="8.7109375" style="204"/>
    <col min="2558" max="2558" width="6.85546875" style="204" customWidth="1"/>
    <col min="2559" max="2559" width="39.28515625" style="204" customWidth="1"/>
    <col min="2560" max="2560" width="9.28515625" style="204" customWidth="1"/>
    <col min="2561" max="2561" width="10.7109375" style="204" customWidth="1"/>
    <col min="2562" max="2562" width="15" style="204" customWidth="1"/>
    <col min="2563" max="2563" width="10.42578125" style="204" customWidth="1"/>
    <col min="2564" max="2564" width="20.42578125" style="204" customWidth="1"/>
    <col min="2565" max="2565" width="20.7109375" style="204" customWidth="1"/>
    <col min="2566" max="2566" width="11.140625" style="204" customWidth="1"/>
    <col min="2567" max="2567" width="24" style="204" customWidth="1"/>
    <col min="2568" max="2568" width="20.28515625" style="204" customWidth="1"/>
    <col min="2569" max="2569" width="14.85546875" style="204" customWidth="1"/>
    <col min="2570" max="2570" width="11.28515625" style="204" customWidth="1"/>
    <col min="2571" max="2813" width="8.7109375" style="204"/>
    <col min="2814" max="2814" width="6.85546875" style="204" customWidth="1"/>
    <col min="2815" max="2815" width="39.28515625" style="204" customWidth="1"/>
    <col min="2816" max="2816" width="9.28515625" style="204" customWidth="1"/>
    <col min="2817" max="2817" width="10.7109375" style="204" customWidth="1"/>
    <col min="2818" max="2818" width="15" style="204" customWidth="1"/>
    <col min="2819" max="2819" width="10.42578125" style="204" customWidth="1"/>
    <col min="2820" max="2820" width="20.42578125" style="204" customWidth="1"/>
    <col min="2821" max="2821" width="20.7109375" style="204" customWidth="1"/>
    <col min="2822" max="2822" width="11.140625" style="204" customWidth="1"/>
    <col min="2823" max="2823" width="24" style="204" customWidth="1"/>
    <col min="2824" max="2824" width="20.28515625" style="204" customWidth="1"/>
    <col min="2825" max="2825" width="14.85546875" style="204" customWidth="1"/>
    <col min="2826" max="2826" width="11.28515625" style="204" customWidth="1"/>
    <col min="2827" max="3069" width="8.7109375" style="204"/>
    <col min="3070" max="3070" width="6.85546875" style="204" customWidth="1"/>
    <col min="3071" max="3071" width="39.28515625" style="204" customWidth="1"/>
    <col min="3072" max="3072" width="9.28515625" style="204" customWidth="1"/>
    <col min="3073" max="3073" width="10.7109375" style="204" customWidth="1"/>
    <col min="3074" max="3074" width="15" style="204" customWidth="1"/>
    <col min="3075" max="3075" width="10.42578125" style="204" customWidth="1"/>
    <col min="3076" max="3076" width="20.42578125" style="204" customWidth="1"/>
    <col min="3077" max="3077" width="20.7109375" style="204" customWidth="1"/>
    <col min="3078" max="3078" width="11.140625" style="204" customWidth="1"/>
    <col min="3079" max="3079" width="24" style="204" customWidth="1"/>
    <col min="3080" max="3080" width="20.28515625" style="204" customWidth="1"/>
    <col min="3081" max="3081" width="14.85546875" style="204" customWidth="1"/>
    <col min="3082" max="3082" width="11.28515625" style="204" customWidth="1"/>
    <col min="3083" max="3325" width="8.7109375" style="204"/>
    <col min="3326" max="3326" width="6.85546875" style="204" customWidth="1"/>
    <col min="3327" max="3327" width="39.28515625" style="204" customWidth="1"/>
    <col min="3328" max="3328" width="9.28515625" style="204" customWidth="1"/>
    <col min="3329" max="3329" width="10.7109375" style="204" customWidth="1"/>
    <col min="3330" max="3330" width="15" style="204" customWidth="1"/>
    <col min="3331" max="3331" width="10.42578125" style="204" customWidth="1"/>
    <col min="3332" max="3332" width="20.42578125" style="204" customWidth="1"/>
    <col min="3333" max="3333" width="20.7109375" style="204" customWidth="1"/>
    <col min="3334" max="3334" width="11.140625" style="204" customWidth="1"/>
    <col min="3335" max="3335" width="24" style="204" customWidth="1"/>
    <col min="3336" max="3336" width="20.28515625" style="204" customWidth="1"/>
    <col min="3337" max="3337" width="14.85546875" style="204" customWidth="1"/>
    <col min="3338" max="3338" width="11.28515625" style="204" customWidth="1"/>
    <col min="3339" max="3581" width="8.7109375" style="204"/>
    <col min="3582" max="3582" width="6.85546875" style="204" customWidth="1"/>
    <col min="3583" max="3583" width="39.28515625" style="204" customWidth="1"/>
    <col min="3584" max="3584" width="9.28515625" style="204" customWidth="1"/>
    <col min="3585" max="3585" width="10.7109375" style="204" customWidth="1"/>
    <col min="3586" max="3586" width="15" style="204" customWidth="1"/>
    <col min="3587" max="3587" width="10.42578125" style="204" customWidth="1"/>
    <col min="3588" max="3588" width="20.42578125" style="204" customWidth="1"/>
    <col min="3589" max="3589" width="20.7109375" style="204" customWidth="1"/>
    <col min="3590" max="3590" width="11.140625" style="204" customWidth="1"/>
    <col min="3591" max="3591" width="24" style="204" customWidth="1"/>
    <col min="3592" max="3592" width="20.28515625" style="204" customWidth="1"/>
    <col min="3593" max="3593" width="14.85546875" style="204" customWidth="1"/>
    <col min="3594" max="3594" width="11.28515625" style="204" customWidth="1"/>
    <col min="3595" max="3837" width="8.7109375" style="204"/>
    <col min="3838" max="3838" width="6.85546875" style="204" customWidth="1"/>
    <col min="3839" max="3839" width="39.28515625" style="204" customWidth="1"/>
    <col min="3840" max="3840" width="9.28515625" style="204" customWidth="1"/>
    <col min="3841" max="3841" width="10.7109375" style="204" customWidth="1"/>
    <col min="3842" max="3842" width="15" style="204" customWidth="1"/>
    <col min="3843" max="3843" width="10.42578125" style="204" customWidth="1"/>
    <col min="3844" max="3844" width="20.42578125" style="204" customWidth="1"/>
    <col min="3845" max="3845" width="20.7109375" style="204" customWidth="1"/>
    <col min="3846" max="3846" width="11.140625" style="204" customWidth="1"/>
    <col min="3847" max="3847" width="24" style="204" customWidth="1"/>
    <col min="3848" max="3848" width="20.28515625" style="204" customWidth="1"/>
    <col min="3849" max="3849" width="14.85546875" style="204" customWidth="1"/>
    <col min="3850" max="3850" width="11.28515625" style="204" customWidth="1"/>
    <col min="3851" max="4093" width="8.7109375" style="204"/>
    <col min="4094" max="4094" width="6.85546875" style="204" customWidth="1"/>
    <col min="4095" max="4095" width="39.28515625" style="204" customWidth="1"/>
    <col min="4096" max="4096" width="9.28515625" style="204" customWidth="1"/>
    <col min="4097" max="4097" width="10.7109375" style="204" customWidth="1"/>
    <col min="4098" max="4098" width="15" style="204" customWidth="1"/>
    <col min="4099" max="4099" width="10.42578125" style="204" customWidth="1"/>
    <col min="4100" max="4100" width="20.42578125" style="204" customWidth="1"/>
    <col min="4101" max="4101" width="20.7109375" style="204" customWidth="1"/>
    <col min="4102" max="4102" width="11.140625" style="204" customWidth="1"/>
    <col min="4103" max="4103" width="24" style="204" customWidth="1"/>
    <col min="4104" max="4104" width="20.28515625" style="204" customWidth="1"/>
    <col min="4105" max="4105" width="14.85546875" style="204" customWidth="1"/>
    <col min="4106" max="4106" width="11.28515625" style="204" customWidth="1"/>
    <col min="4107" max="4349" width="8.7109375" style="204"/>
    <col min="4350" max="4350" width="6.85546875" style="204" customWidth="1"/>
    <col min="4351" max="4351" width="39.28515625" style="204" customWidth="1"/>
    <col min="4352" max="4352" width="9.28515625" style="204" customWidth="1"/>
    <col min="4353" max="4353" width="10.7109375" style="204" customWidth="1"/>
    <col min="4354" max="4354" width="15" style="204" customWidth="1"/>
    <col min="4355" max="4355" width="10.42578125" style="204" customWidth="1"/>
    <col min="4356" max="4356" width="20.42578125" style="204" customWidth="1"/>
    <col min="4357" max="4357" width="20.7109375" style="204" customWidth="1"/>
    <col min="4358" max="4358" width="11.140625" style="204" customWidth="1"/>
    <col min="4359" max="4359" width="24" style="204" customWidth="1"/>
    <col min="4360" max="4360" width="20.28515625" style="204" customWidth="1"/>
    <col min="4361" max="4361" width="14.85546875" style="204" customWidth="1"/>
    <col min="4362" max="4362" width="11.28515625" style="204" customWidth="1"/>
    <col min="4363" max="4605" width="8.7109375" style="204"/>
    <col min="4606" max="4606" width="6.85546875" style="204" customWidth="1"/>
    <col min="4607" max="4607" width="39.28515625" style="204" customWidth="1"/>
    <col min="4608" max="4608" width="9.28515625" style="204" customWidth="1"/>
    <col min="4609" max="4609" width="10.7109375" style="204" customWidth="1"/>
    <col min="4610" max="4610" width="15" style="204" customWidth="1"/>
    <col min="4611" max="4611" width="10.42578125" style="204" customWidth="1"/>
    <col min="4612" max="4612" width="20.42578125" style="204" customWidth="1"/>
    <col min="4613" max="4613" width="20.7109375" style="204" customWidth="1"/>
    <col min="4614" max="4614" width="11.140625" style="204" customWidth="1"/>
    <col min="4615" max="4615" width="24" style="204" customWidth="1"/>
    <col min="4616" max="4616" width="20.28515625" style="204" customWidth="1"/>
    <col min="4617" max="4617" width="14.85546875" style="204" customWidth="1"/>
    <col min="4618" max="4618" width="11.28515625" style="204" customWidth="1"/>
    <col min="4619" max="4861" width="8.7109375" style="204"/>
    <col min="4862" max="4862" width="6.85546875" style="204" customWidth="1"/>
    <col min="4863" max="4863" width="39.28515625" style="204" customWidth="1"/>
    <col min="4864" max="4864" width="9.28515625" style="204" customWidth="1"/>
    <col min="4865" max="4865" width="10.7109375" style="204" customWidth="1"/>
    <col min="4866" max="4866" width="15" style="204" customWidth="1"/>
    <col min="4867" max="4867" width="10.42578125" style="204" customWidth="1"/>
    <col min="4868" max="4868" width="20.42578125" style="204" customWidth="1"/>
    <col min="4869" max="4869" width="20.7109375" style="204" customWidth="1"/>
    <col min="4870" max="4870" width="11.140625" style="204" customWidth="1"/>
    <col min="4871" max="4871" width="24" style="204" customWidth="1"/>
    <col min="4872" max="4872" width="20.28515625" style="204" customWidth="1"/>
    <col min="4873" max="4873" width="14.85546875" style="204" customWidth="1"/>
    <col min="4874" max="4874" width="11.28515625" style="204" customWidth="1"/>
    <col min="4875" max="5117" width="8.7109375" style="204"/>
    <col min="5118" max="5118" width="6.85546875" style="204" customWidth="1"/>
    <col min="5119" max="5119" width="39.28515625" style="204" customWidth="1"/>
    <col min="5120" max="5120" width="9.28515625" style="204" customWidth="1"/>
    <col min="5121" max="5121" width="10.7109375" style="204" customWidth="1"/>
    <col min="5122" max="5122" width="15" style="204" customWidth="1"/>
    <col min="5123" max="5123" width="10.42578125" style="204" customWidth="1"/>
    <col min="5124" max="5124" width="20.42578125" style="204" customWidth="1"/>
    <col min="5125" max="5125" width="20.7109375" style="204" customWidth="1"/>
    <col min="5126" max="5126" width="11.140625" style="204" customWidth="1"/>
    <col min="5127" max="5127" width="24" style="204" customWidth="1"/>
    <col min="5128" max="5128" width="20.28515625" style="204" customWidth="1"/>
    <col min="5129" max="5129" width="14.85546875" style="204" customWidth="1"/>
    <col min="5130" max="5130" width="11.28515625" style="204" customWidth="1"/>
    <col min="5131" max="5373" width="8.7109375" style="204"/>
    <col min="5374" max="5374" width="6.85546875" style="204" customWidth="1"/>
    <col min="5375" max="5375" width="39.28515625" style="204" customWidth="1"/>
    <col min="5376" max="5376" width="9.28515625" style="204" customWidth="1"/>
    <col min="5377" max="5377" width="10.7109375" style="204" customWidth="1"/>
    <col min="5378" max="5378" width="15" style="204" customWidth="1"/>
    <col min="5379" max="5379" width="10.42578125" style="204" customWidth="1"/>
    <col min="5380" max="5380" width="20.42578125" style="204" customWidth="1"/>
    <col min="5381" max="5381" width="20.7109375" style="204" customWidth="1"/>
    <col min="5382" max="5382" width="11.140625" style="204" customWidth="1"/>
    <col min="5383" max="5383" width="24" style="204" customWidth="1"/>
    <col min="5384" max="5384" width="20.28515625" style="204" customWidth="1"/>
    <col min="5385" max="5385" width="14.85546875" style="204" customWidth="1"/>
    <col min="5386" max="5386" width="11.28515625" style="204" customWidth="1"/>
    <col min="5387" max="5629" width="8.7109375" style="204"/>
    <col min="5630" max="5630" width="6.85546875" style="204" customWidth="1"/>
    <col min="5631" max="5631" width="39.28515625" style="204" customWidth="1"/>
    <col min="5632" max="5632" width="9.28515625" style="204" customWidth="1"/>
    <col min="5633" max="5633" width="10.7109375" style="204" customWidth="1"/>
    <col min="5634" max="5634" width="15" style="204" customWidth="1"/>
    <col min="5635" max="5635" width="10.42578125" style="204" customWidth="1"/>
    <col min="5636" max="5636" width="20.42578125" style="204" customWidth="1"/>
    <col min="5637" max="5637" width="20.7109375" style="204" customWidth="1"/>
    <col min="5638" max="5638" width="11.140625" style="204" customWidth="1"/>
    <col min="5639" max="5639" width="24" style="204" customWidth="1"/>
    <col min="5640" max="5640" width="20.28515625" style="204" customWidth="1"/>
    <col min="5641" max="5641" width="14.85546875" style="204" customWidth="1"/>
    <col min="5642" max="5642" width="11.28515625" style="204" customWidth="1"/>
    <col min="5643" max="5885" width="8.7109375" style="204"/>
    <col min="5886" max="5886" width="6.85546875" style="204" customWidth="1"/>
    <col min="5887" max="5887" width="39.28515625" style="204" customWidth="1"/>
    <col min="5888" max="5888" width="9.28515625" style="204" customWidth="1"/>
    <col min="5889" max="5889" width="10.7109375" style="204" customWidth="1"/>
    <col min="5890" max="5890" width="15" style="204" customWidth="1"/>
    <col min="5891" max="5891" width="10.42578125" style="204" customWidth="1"/>
    <col min="5892" max="5892" width="20.42578125" style="204" customWidth="1"/>
    <col min="5893" max="5893" width="20.7109375" style="204" customWidth="1"/>
    <col min="5894" max="5894" width="11.140625" style="204" customWidth="1"/>
    <col min="5895" max="5895" width="24" style="204" customWidth="1"/>
    <col min="5896" max="5896" width="20.28515625" style="204" customWidth="1"/>
    <col min="5897" max="5897" width="14.85546875" style="204" customWidth="1"/>
    <col min="5898" max="5898" width="11.28515625" style="204" customWidth="1"/>
    <col min="5899" max="6141" width="8.7109375" style="204"/>
    <col min="6142" max="6142" width="6.85546875" style="204" customWidth="1"/>
    <col min="6143" max="6143" width="39.28515625" style="204" customWidth="1"/>
    <col min="6144" max="6144" width="9.28515625" style="204" customWidth="1"/>
    <col min="6145" max="6145" width="10.7109375" style="204" customWidth="1"/>
    <col min="6146" max="6146" width="15" style="204" customWidth="1"/>
    <col min="6147" max="6147" width="10.42578125" style="204" customWidth="1"/>
    <col min="6148" max="6148" width="20.42578125" style="204" customWidth="1"/>
    <col min="6149" max="6149" width="20.7109375" style="204" customWidth="1"/>
    <col min="6150" max="6150" width="11.140625" style="204" customWidth="1"/>
    <col min="6151" max="6151" width="24" style="204" customWidth="1"/>
    <col min="6152" max="6152" width="20.28515625" style="204" customWidth="1"/>
    <col min="6153" max="6153" width="14.85546875" style="204" customWidth="1"/>
    <col min="6154" max="6154" width="11.28515625" style="204" customWidth="1"/>
    <col min="6155" max="6397" width="8.7109375" style="204"/>
    <col min="6398" max="6398" width="6.85546875" style="204" customWidth="1"/>
    <col min="6399" max="6399" width="39.28515625" style="204" customWidth="1"/>
    <col min="6400" max="6400" width="9.28515625" style="204" customWidth="1"/>
    <col min="6401" max="6401" width="10.7109375" style="204" customWidth="1"/>
    <col min="6402" max="6402" width="15" style="204" customWidth="1"/>
    <col min="6403" max="6403" width="10.42578125" style="204" customWidth="1"/>
    <col min="6404" max="6404" width="20.42578125" style="204" customWidth="1"/>
    <col min="6405" max="6405" width="20.7109375" style="204" customWidth="1"/>
    <col min="6406" max="6406" width="11.140625" style="204" customWidth="1"/>
    <col min="6407" max="6407" width="24" style="204" customWidth="1"/>
    <col min="6408" max="6408" width="20.28515625" style="204" customWidth="1"/>
    <col min="6409" max="6409" width="14.85546875" style="204" customWidth="1"/>
    <col min="6410" max="6410" width="11.28515625" style="204" customWidth="1"/>
    <col min="6411" max="6653" width="8.7109375" style="204"/>
    <col min="6654" max="6654" width="6.85546875" style="204" customWidth="1"/>
    <col min="6655" max="6655" width="39.28515625" style="204" customWidth="1"/>
    <col min="6656" max="6656" width="9.28515625" style="204" customWidth="1"/>
    <col min="6657" max="6657" width="10.7109375" style="204" customWidth="1"/>
    <col min="6658" max="6658" width="15" style="204" customWidth="1"/>
    <col min="6659" max="6659" width="10.42578125" style="204" customWidth="1"/>
    <col min="6660" max="6660" width="20.42578125" style="204" customWidth="1"/>
    <col min="6661" max="6661" width="20.7109375" style="204" customWidth="1"/>
    <col min="6662" max="6662" width="11.140625" style="204" customWidth="1"/>
    <col min="6663" max="6663" width="24" style="204" customWidth="1"/>
    <col min="6664" max="6664" width="20.28515625" style="204" customWidth="1"/>
    <col min="6665" max="6665" width="14.85546875" style="204" customWidth="1"/>
    <col min="6666" max="6666" width="11.28515625" style="204" customWidth="1"/>
    <col min="6667" max="6909" width="8.7109375" style="204"/>
    <col min="6910" max="6910" width="6.85546875" style="204" customWidth="1"/>
    <col min="6911" max="6911" width="39.28515625" style="204" customWidth="1"/>
    <col min="6912" max="6912" width="9.28515625" style="204" customWidth="1"/>
    <col min="6913" max="6913" width="10.7109375" style="204" customWidth="1"/>
    <col min="6914" max="6914" width="15" style="204" customWidth="1"/>
    <col min="6915" max="6915" width="10.42578125" style="204" customWidth="1"/>
    <col min="6916" max="6916" width="20.42578125" style="204" customWidth="1"/>
    <col min="6917" max="6917" width="20.7109375" style="204" customWidth="1"/>
    <col min="6918" max="6918" width="11.140625" style="204" customWidth="1"/>
    <col min="6919" max="6919" width="24" style="204" customWidth="1"/>
    <col min="6920" max="6920" width="20.28515625" style="204" customWidth="1"/>
    <col min="6921" max="6921" width="14.85546875" style="204" customWidth="1"/>
    <col min="6922" max="6922" width="11.28515625" style="204" customWidth="1"/>
    <col min="6923" max="7165" width="8.7109375" style="204"/>
    <col min="7166" max="7166" width="6.85546875" style="204" customWidth="1"/>
    <col min="7167" max="7167" width="39.28515625" style="204" customWidth="1"/>
    <col min="7168" max="7168" width="9.28515625" style="204" customWidth="1"/>
    <col min="7169" max="7169" width="10.7109375" style="204" customWidth="1"/>
    <col min="7170" max="7170" width="15" style="204" customWidth="1"/>
    <col min="7171" max="7171" width="10.42578125" style="204" customWidth="1"/>
    <col min="7172" max="7172" width="20.42578125" style="204" customWidth="1"/>
    <col min="7173" max="7173" width="20.7109375" style="204" customWidth="1"/>
    <col min="7174" max="7174" width="11.140625" style="204" customWidth="1"/>
    <col min="7175" max="7175" width="24" style="204" customWidth="1"/>
    <col min="7176" max="7176" width="20.28515625" style="204" customWidth="1"/>
    <col min="7177" max="7177" width="14.85546875" style="204" customWidth="1"/>
    <col min="7178" max="7178" width="11.28515625" style="204" customWidth="1"/>
    <col min="7179" max="7421" width="8.7109375" style="204"/>
    <col min="7422" max="7422" width="6.85546875" style="204" customWidth="1"/>
    <col min="7423" max="7423" width="39.28515625" style="204" customWidth="1"/>
    <col min="7424" max="7424" width="9.28515625" style="204" customWidth="1"/>
    <col min="7425" max="7425" width="10.7109375" style="204" customWidth="1"/>
    <col min="7426" max="7426" width="15" style="204" customWidth="1"/>
    <col min="7427" max="7427" width="10.42578125" style="204" customWidth="1"/>
    <col min="7428" max="7428" width="20.42578125" style="204" customWidth="1"/>
    <col min="7429" max="7429" width="20.7109375" style="204" customWidth="1"/>
    <col min="7430" max="7430" width="11.140625" style="204" customWidth="1"/>
    <col min="7431" max="7431" width="24" style="204" customWidth="1"/>
    <col min="7432" max="7432" width="20.28515625" style="204" customWidth="1"/>
    <col min="7433" max="7433" width="14.85546875" style="204" customWidth="1"/>
    <col min="7434" max="7434" width="11.28515625" style="204" customWidth="1"/>
    <col min="7435" max="7677" width="8.7109375" style="204"/>
    <col min="7678" max="7678" width="6.85546875" style="204" customWidth="1"/>
    <col min="7679" max="7679" width="39.28515625" style="204" customWidth="1"/>
    <col min="7680" max="7680" width="9.28515625" style="204" customWidth="1"/>
    <col min="7681" max="7681" width="10.7109375" style="204" customWidth="1"/>
    <col min="7682" max="7682" width="15" style="204" customWidth="1"/>
    <col min="7683" max="7683" width="10.42578125" style="204" customWidth="1"/>
    <col min="7684" max="7684" width="20.42578125" style="204" customWidth="1"/>
    <col min="7685" max="7685" width="20.7109375" style="204" customWidth="1"/>
    <col min="7686" max="7686" width="11.140625" style="204" customWidth="1"/>
    <col min="7687" max="7687" width="24" style="204" customWidth="1"/>
    <col min="7688" max="7688" width="20.28515625" style="204" customWidth="1"/>
    <col min="7689" max="7689" width="14.85546875" style="204" customWidth="1"/>
    <col min="7690" max="7690" width="11.28515625" style="204" customWidth="1"/>
    <col min="7691" max="7933" width="8.7109375" style="204"/>
    <col min="7934" max="7934" width="6.85546875" style="204" customWidth="1"/>
    <col min="7935" max="7935" width="39.28515625" style="204" customWidth="1"/>
    <col min="7936" max="7936" width="9.28515625" style="204" customWidth="1"/>
    <col min="7937" max="7937" width="10.7109375" style="204" customWidth="1"/>
    <col min="7938" max="7938" width="15" style="204" customWidth="1"/>
    <col min="7939" max="7939" width="10.42578125" style="204" customWidth="1"/>
    <col min="7940" max="7940" width="20.42578125" style="204" customWidth="1"/>
    <col min="7941" max="7941" width="20.7109375" style="204" customWidth="1"/>
    <col min="7942" max="7942" width="11.140625" style="204" customWidth="1"/>
    <col min="7943" max="7943" width="24" style="204" customWidth="1"/>
    <col min="7944" max="7944" width="20.28515625" style="204" customWidth="1"/>
    <col min="7945" max="7945" width="14.85546875" style="204" customWidth="1"/>
    <col min="7946" max="7946" width="11.28515625" style="204" customWidth="1"/>
    <col min="7947" max="8189" width="8.7109375" style="204"/>
    <col min="8190" max="8190" width="6.85546875" style="204" customWidth="1"/>
    <col min="8191" max="8191" width="39.28515625" style="204" customWidth="1"/>
    <col min="8192" max="8192" width="9.28515625" style="204" customWidth="1"/>
    <col min="8193" max="8193" width="10.7109375" style="204" customWidth="1"/>
    <col min="8194" max="8194" width="15" style="204" customWidth="1"/>
    <col min="8195" max="8195" width="10.42578125" style="204" customWidth="1"/>
    <col min="8196" max="8196" width="20.42578125" style="204" customWidth="1"/>
    <col min="8197" max="8197" width="20.7109375" style="204" customWidth="1"/>
    <col min="8198" max="8198" width="11.140625" style="204" customWidth="1"/>
    <col min="8199" max="8199" width="24" style="204" customWidth="1"/>
    <col min="8200" max="8200" width="20.28515625" style="204" customWidth="1"/>
    <col min="8201" max="8201" width="14.85546875" style="204" customWidth="1"/>
    <col min="8202" max="8202" width="11.28515625" style="204" customWidth="1"/>
    <col min="8203" max="8445" width="8.7109375" style="204"/>
    <col min="8446" max="8446" width="6.85546875" style="204" customWidth="1"/>
    <col min="8447" max="8447" width="39.28515625" style="204" customWidth="1"/>
    <col min="8448" max="8448" width="9.28515625" style="204" customWidth="1"/>
    <col min="8449" max="8449" width="10.7109375" style="204" customWidth="1"/>
    <col min="8450" max="8450" width="15" style="204" customWidth="1"/>
    <col min="8451" max="8451" width="10.42578125" style="204" customWidth="1"/>
    <col min="8452" max="8452" width="20.42578125" style="204" customWidth="1"/>
    <col min="8453" max="8453" width="20.7109375" style="204" customWidth="1"/>
    <col min="8454" max="8454" width="11.140625" style="204" customWidth="1"/>
    <col min="8455" max="8455" width="24" style="204" customWidth="1"/>
    <col min="8456" max="8456" width="20.28515625" style="204" customWidth="1"/>
    <col min="8457" max="8457" width="14.85546875" style="204" customWidth="1"/>
    <col min="8458" max="8458" width="11.28515625" style="204" customWidth="1"/>
    <col min="8459" max="8701" width="8.7109375" style="204"/>
    <col min="8702" max="8702" width="6.85546875" style="204" customWidth="1"/>
    <col min="8703" max="8703" width="39.28515625" style="204" customWidth="1"/>
    <col min="8704" max="8704" width="9.28515625" style="204" customWidth="1"/>
    <col min="8705" max="8705" width="10.7109375" style="204" customWidth="1"/>
    <col min="8706" max="8706" width="15" style="204" customWidth="1"/>
    <col min="8707" max="8707" width="10.42578125" style="204" customWidth="1"/>
    <col min="8708" max="8708" width="20.42578125" style="204" customWidth="1"/>
    <col min="8709" max="8709" width="20.7109375" style="204" customWidth="1"/>
    <col min="8710" max="8710" width="11.140625" style="204" customWidth="1"/>
    <col min="8711" max="8711" width="24" style="204" customWidth="1"/>
    <col min="8712" max="8712" width="20.28515625" style="204" customWidth="1"/>
    <col min="8713" max="8713" width="14.85546875" style="204" customWidth="1"/>
    <col min="8714" max="8714" width="11.28515625" style="204" customWidth="1"/>
    <col min="8715" max="8957" width="8.7109375" style="204"/>
    <col min="8958" max="8958" width="6.85546875" style="204" customWidth="1"/>
    <col min="8959" max="8959" width="39.28515625" style="204" customWidth="1"/>
    <col min="8960" max="8960" width="9.28515625" style="204" customWidth="1"/>
    <col min="8961" max="8961" width="10.7109375" style="204" customWidth="1"/>
    <col min="8962" max="8962" width="15" style="204" customWidth="1"/>
    <col min="8963" max="8963" width="10.42578125" style="204" customWidth="1"/>
    <col min="8964" max="8964" width="20.42578125" style="204" customWidth="1"/>
    <col min="8965" max="8965" width="20.7109375" style="204" customWidth="1"/>
    <col min="8966" max="8966" width="11.140625" style="204" customWidth="1"/>
    <col min="8967" max="8967" width="24" style="204" customWidth="1"/>
    <col min="8968" max="8968" width="20.28515625" style="204" customWidth="1"/>
    <col min="8969" max="8969" width="14.85546875" style="204" customWidth="1"/>
    <col min="8970" max="8970" width="11.28515625" style="204" customWidth="1"/>
    <col min="8971" max="9213" width="8.7109375" style="204"/>
    <col min="9214" max="9214" width="6.85546875" style="204" customWidth="1"/>
    <col min="9215" max="9215" width="39.28515625" style="204" customWidth="1"/>
    <col min="9216" max="9216" width="9.28515625" style="204" customWidth="1"/>
    <col min="9217" max="9217" width="10.7109375" style="204" customWidth="1"/>
    <col min="9218" max="9218" width="15" style="204" customWidth="1"/>
    <col min="9219" max="9219" width="10.42578125" style="204" customWidth="1"/>
    <col min="9220" max="9220" width="20.42578125" style="204" customWidth="1"/>
    <col min="9221" max="9221" width="20.7109375" style="204" customWidth="1"/>
    <col min="9222" max="9222" width="11.140625" style="204" customWidth="1"/>
    <col min="9223" max="9223" width="24" style="204" customWidth="1"/>
    <col min="9224" max="9224" width="20.28515625" style="204" customWidth="1"/>
    <col min="9225" max="9225" width="14.85546875" style="204" customWidth="1"/>
    <col min="9226" max="9226" width="11.28515625" style="204" customWidth="1"/>
    <col min="9227" max="9469" width="8.7109375" style="204"/>
    <col min="9470" max="9470" width="6.85546875" style="204" customWidth="1"/>
    <col min="9471" max="9471" width="39.28515625" style="204" customWidth="1"/>
    <col min="9472" max="9472" width="9.28515625" style="204" customWidth="1"/>
    <col min="9473" max="9473" width="10.7109375" style="204" customWidth="1"/>
    <col min="9474" max="9474" width="15" style="204" customWidth="1"/>
    <col min="9475" max="9475" width="10.42578125" style="204" customWidth="1"/>
    <col min="9476" max="9476" width="20.42578125" style="204" customWidth="1"/>
    <col min="9477" max="9477" width="20.7109375" style="204" customWidth="1"/>
    <col min="9478" max="9478" width="11.140625" style="204" customWidth="1"/>
    <col min="9479" max="9479" width="24" style="204" customWidth="1"/>
    <col min="9480" max="9480" width="20.28515625" style="204" customWidth="1"/>
    <col min="9481" max="9481" width="14.85546875" style="204" customWidth="1"/>
    <col min="9482" max="9482" width="11.28515625" style="204" customWidth="1"/>
    <col min="9483" max="9725" width="8.7109375" style="204"/>
    <col min="9726" max="9726" width="6.85546875" style="204" customWidth="1"/>
    <col min="9727" max="9727" width="39.28515625" style="204" customWidth="1"/>
    <col min="9728" max="9728" width="9.28515625" style="204" customWidth="1"/>
    <col min="9729" max="9729" width="10.7109375" style="204" customWidth="1"/>
    <col min="9730" max="9730" width="15" style="204" customWidth="1"/>
    <col min="9731" max="9731" width="10.42578125" style="204" customWidth="1"/>
    <col min="9732" max="9732" width="20.42578125" style="204" customWidth="1"/>
    <col min="9733" max="9733" width="20.7109375" style="204" customWidth="1"/>
    <col min="9734" max="9734" width="11.140625" style="204" customWidth="1"/>
    <col min="9735" max="9735" width="24" style="204" customWidth="1"/>
    <col min="9736" max="9736" width="20.28515625" style="204" customWidth="1"/>
    <col min="9737" max="9737" width="14.85546875" style="204" customWidth="1"/>
    <col min="9738" max="9738" width="11.28515625" style="204" customWidth="1"/>
    <col min="9739" max="9981" width="8.7109375" style="204"/>
    <col min="9982" max="9982" width="6.85546875" style="204" customWidth="1"/>
    <col min="9983" max="9983" width="39.28515625" style="204" customWidth="1"/>
    <col min="9984" max="9984" width="9.28515625" style="204" customWidth="1"/>
    <col min="9985" max="9985" width="10.7109375" style="204" customWidth="1"/>
    <col min="9986" max="9986" width="15" style="204" customWidth="1"/>
    <col min="9987" max="9987" width="10.42578125" style="204" customWidth="1"/>
    <col min="9988" max="9988" width="20.42578125" style="204" customWidth="1"/>
    <col min="9989" max="9989" width="20.7109375" style="204" customWidth="1"/>
    <col min="9990" max="9990" width="11.140625" style="204" customWidth="1"/>
    <col min="9991" max="9991" width="24" style="204" customWidth="1"/>
    <col min="9992" max="9992" width="20.28515625" style="204" customWidth="1"/>
    <col min="9993" max="9993" width="14.85546875" style="204" customWidth="1"/>
    <col min="9994" max="9994" width="11.28515625" style="204" customWidth="1"/>
    <col min="9995" max="10237" width="8.7109375" style="204"/>
    <col min="10238" max="10238" width="6.85546875" style="204" customWidth="1"/>
    <col min="10239" max="10239" width="39.28515625" style="204" customWidth="1"/>
    <col min="10240" max="10240" width="9.28515625" style="204" customWidth="1"/>
    <col min="10241" max="10241" width="10.7109375" style="204" customWidth="1"/>
    <col min="10242" max="10242" width="15" style="204" customWidth="1"/>
    <col min="10243" max="10243" width="10.42578125" style="204" customWidth="1"/>
    <col min="10244" max="10244" width="20.42578125" style="204" customWidth="1"/>
    <col min="10245" max="10245" width="20.7109375" style="204" customWidth="1"/>
    <col min="10246" max="10246" width="11.140625" style="204" customWidth="1"/>
    <col min="10247" max="10247" width="24" style="204" customWidth="1"/>
    <col min="10248" max="10248" width="20.28515625" style="204" customWidth="1"/>
    <col min="10249" max="10249" width="14.85546875" style="204" customWidth="1"/>
    <col min="10250" max="10250" width="11.28515625" style="204" customWidth="1"/>
    <col min="10251" max="10493" width="8.7109375" style="204"/>
    <col min="10494" max="10494" width="6.85546875" style="204" customWidth="1"/>
    <col min="10495" max="10495" width="39.28515625" style="204" customWidth="1"/>
    <col min="10496" max="10496" width="9.28515625" style="204" customWidth="1"/>
    <col min="10497" max="10497" width="10.7109375" style="204" customWidth="1"/>
    <col min="10498" max="10498" width="15" style="204" customWidth="1"/>
    <col min="10499" max="10499" width="10.42578125" style="204" customWidth="1"/>
    <col min="10500" max="10500" width="20.42578125" style="204" customWidth="1"/>
    <col min="10501" max="10501" width="20.7109375" style="204" customWidth="1"/>
    <col min="10502" max="10502" width="11.140625" style="204" customWidth="1"/>
    <col min="10503" max="10503" width="24" style="204" customWidth="1"/>
    <col min="10504" max="10504" width="20.28515625" style="204" customWidth="1"/>
    <col min="10505" max="10505" width="14.85546875" style="204" customWidth="1"/>
    <col min="10506" max="10506" width="11.28515625" style="204" customWidth="1"/>
    <col min="10507" max="10749" width="8.7109375" style="204"/>
    <col min="10750" max="10750" width="6.85546875" style="204" customWidth="1"/>
    <col min="10751" max="10751" width="39.28515625" style="204" customWidth="1"/>
    <col min="10752" max="10752" width="9.28515625" style="204" customWidth="1"/>
    <col min="10753" max="10753" width="10.7109375" style="204" customWidth="1"/>
    <col min="10754" max="10754" width="15" style="204" customWidth="1"/>
    <col min="10755" max="10755" width="10.42578125" style="204" customWidth="1"/>
    <col min="10756" max="10756" width="20.42578125" style="204" customWidth="1"/>
    <col min="10757" max="10757" width="20.7109375" style="204" customWidth="1"/>
    <col min="10758" max="10758" width="11.140625" style="204" customWidth="1"/>
    <col min="10759" max="10759" width="24" style="204" customWidth="1"/>
    <col min="10760" max="10760" width="20.28515625" style="204" customWidth="1"/>
    <col min="10761" max="10761" width="14.85546875" style="204" customWidth="1"/>
    <col min="10762" max="10762" width="11.28515625" style="204" customWidth="1"/>
    <col min="10763" max="11005" width="8.7109375" style="204"/>
    <col min="11006" max="11006" width="6.85546875" style="204" customWidth="1"/>
    <col min="11007" max="11007" width="39.28515625" style="204" customWidth="1"/>
    <col min="11008" max="11008" width="9.28515625" style="204" customWidth="1"/>
    <col min="11009" max="11009" width="10.7109375" style="204" customWidth="1"/>
    <col min="11010" max="11010" width="15" style="204" customWidth="1"/>
    <col min="11011" max="11011" width="10.42578125" style="204" customWidth="1"/>
    <col min="11012" max="11012" width="20.42578125" style="204" customWidth="1"/>
    <col min="11013" max="11013" width="20.7109375" style="204" customWidth="1"/>
    <col min="11014" max="11014" width="11.140625" style="204" customWidth="1"/>
    <col min="11015" max="11015" width="24" style="204" customWidth="1"/>
    <col min="11016" max="11016" width="20.28515625" style="204" customWidth="1"/>
    <col min="11017" max="11017" width="14.85546875" style="204" customWidth="1"/>
    <col min="11018" max="11018" width="11.28515625" style="204" customWidth="1"/>
    <col min="11019" max="11261" width="8.7109375" style="204"/>
    <col min="11262" max="11262" width="6.85546875" style="204" customWidth="1"/>
    <col min="11263" max="11263" width="39.28515625" style="204" customWidth="1"/>
    <col min="11264" max="11264" width="9.28515625" style="204" customWidth="1"/>
    <col min="11265" max="11265" width="10.7109375" style="204" customWidth="1"/>
    <col min="11266" max="11266" width="15" style="204" customWidth="1"/>
    <col min="11267" max="11267" width="10.42578125" style="204" customWidth="1"/>
    <col min="11268" max="11268" width="20.42578125" style="204" customWidth="1"/>
    <col min="11269" max="11269" width="20.7109375" style="204" customWidth="1"/>
    <col min="11270" max="11270" width="11.140625" style="204" customWidth="1"/>
    <col min="11271" max="11271" width="24" style="204" customWidth="1"/>
    <col min="11272" max="11272" width="20.28515625" style="204" customWidth="1"/>
    <col min="11273" max="11273" width="14.85546875" style="204" customWidth="1"/>
    <col min="11274" max="11274" width="11.28515625" style="204" customWidth="1"/>
    <col min="11275" max="11517" width="8.7109375" style="204"/>
    <col min="11518" max="11518" width="6.85546875" style="204" customWidth="1"/>
    <col min="11519" max="11519" width="39.28515625" style="204" customWidth="1"/>
    <col min="11520" max="11520" width="9.28515625" style="204" customWidth="1"/>
    <col min="11521" max="11521" width="10.7109375" style="204" customWidth="1"/>
    <col min="11522" max="11522" width="15" style="204" customWidth="1"/>
    <col min="11523" max="11523" width="10.42578125" style="204" customWidth="1"/>
    <col min="11524" max="11524" width="20.42578125" style="204" customWidth="1"/>
    <col min="11525" max="11525" width="20.7109375" style="204" customWidth="1"/>
    <col min="11526" max="11526" width="11.140625" style="204" customWidth="1"/>
    <col min="11527" max="11527" width="24" style="204" customWidth="1"/>
    <col min="11528" max="11528" width="20.28515625" style="204" customWidth="1"/>
    <col min="11529" max="11529" width="14.85546875" style="204" customWidth="1"/>
    <col min="11530" max="11530" width="11.28515625" style="204" customWidth="1"/>
    <col min="11531" max="11773" width="8.7109375" style="204"/>
    <col min="11774" max="11774" width="6.85546875" style="204" customWidth="1"/>
    <col min="11775" max="11775" width="39.28515625" style="204" customWidth="1"/>
    <col min="11776" max="11776" width="9.28515625" style="204" customWidth="1"/>
    <col min="11777" max="11777" width="10.7109375" style="204" customWidth="1"/>
    <col min="11778" max="11778" width="15" style="204" customWidth="1"/>
    <col min="11779" max="11779" width="10.42578125" style="204" customWidth="1"/>
    <col min="11780" max="11780" width="20.42578125" style="204" customWidth="1"/>
    <col min="11781" max="11781" width="20.7109375" style="204" customWidth="1"/>
    <col min="11782" max="11782" width="11.140625" style="204" customWidth="1"/>
    <col min="11783" max="11783" width="24" style="204" customWidth="1"/>
    <col min="11784" max="11784" width="20.28515625" style="204" customWidth="1"/>
    <col min="11785" max="11785" width="14.85546875" style="204" customWidth="1"/>
    <col min="11786" max="11786" width="11.28515625" style="204" customWidth="1"/>
    <col min="11787" max="12029" width="8.7109375" style="204"/>
    <col min="12030" max="12030" width="6.85546875" style="204" customWidth="1"/>
    <col min="12031" max="12031" width="39.28515625" style="204" customWidth="1"/>
    <col min="12032" max="12032" width="9.28515625" style="204" customWidth="1"/>
    <col min="12033" max="12033" width="10.7109375" style="204" customWidth="1"/>
    <col min="12034" max="12034" width="15" style="204" customWidth="1"/>
    <col min="12035" max="12035" width="10.42578125" style="204" customWidth="1"/>
    <col min="12036" max="12036" width="20.42578125" style="204" customWidth="1"/>
    <col min="12037" max="12037" width="20.7109375" style="204" customWidth="1"/>
    <col min="12038" max="12038" width="11.140625" style="204" customWidth="1"/>
    <col min="12039" max="12039" width="24" style="204" customWidth="1"/>
    <col min="12040" max="12040" width="20.28515625" style="204" customWidth="1"/>
    <col min="12041" max="12041" width="14.85546875" style="204" customWidth="1"/>
    <col min="12042" max="12042" width="11.28515625" style="204" customWidth="1"/>
    <col min="12043" max="12285" width="8.7109375" style="204"/>
    <col min="12286" max="12286" width="6.85546875" style="204" customWidth="1"/>
    <col min="12287" max="12287" width="39.28515625" style="204" customWidth="1"/>
    <col min="12288" max="12288" width="9.28515625" style="204" customWidth="1"/>
    <col min="12289" max="12289" width="10.7109375" style="204" customWidth="1"/>
    <col min="12290" max="12290" width="15" style="204" customWidth="1"/>
    <col min="12291" max="12291" width="10.42578125" style="204" customWidth="1"/>
    <col min="12292" max="12292" width="20.42578125" style="204" customWidth="1"/>
    <col min="12293" max="12293" width="20.7109375" style="204" customWidth="1"/>
    <col min="12294" max="12294" width="11.140625" style="204" customWidth="1"/>
    <col min="12295" max="12295" width="24" style="204" customWidth="1"/>
    <col min="12296" max="12296" width="20.28515625" style="204" customWidth="1"/>
    <col min="12297" max="12297" width="14.85546875" style="204" customWidth="1"/>
    <col min="12298" max="12298" width="11.28515625" style="204" customWidth="1"/>
    <col min="12299" max="12541" width="8.7109375" style="204"/>
    <col min="12542" max="12542" width="6.85546875" style="204" customWidth="1"/>
    <col min="12543" max="12543" width="39.28515625" style="204" customWidth="1"/>
    <col min="12544" max="12544" width="9.28515625" style="204" customWidth="1"/>
    <col min="12545" max="12545" width="10.7109375" style="204" customWidth="1"/>
    <col min="12546" max="12546" width="15" style="204" customWidth="1"/>
    <col min="12547" max="12547" width="10.42578125" style="204" customWidth="1"/>
    <col min="12548" max="12548" width="20.42578125" style="204" customWidth="1"/>
    <col min="12549" max="12549" width="20.7109375" style="204" customWidth="1"/>
    <col min="12550" max="12550" width="11.140625" style="204" customWidth="1"/>
    <col min="12551" max="12551" width="24" style="204" customWidth="1"/>
    <col min="12552" max="12552" width="20.28515625" style="204" customWidth="1"/>
    <col min="12553" max="12553" width="14.85546875" style="204" customWidth="1"/>
    <col min="12554" max="12554" width="11.28515625" style="204" customWidth="1"/>
    <col min="12555" max="12797" width="8.7109375" style="204"/>
    <col min="12798" max="12798" width="6.85546875" style="204" customWidth="1"/>
    <col min="12799" max="12799" width="39.28515625" style="204" customWidth="1"/>
    <col min="12800" max="12800" width="9.28515625" style="204" customWidth="1"/>
    <col min="12801" max="12801" width="10.7109375" style="204" customWidth="1"/>
    <col min="12802" max="12802" width="15" style="204" customWidth="1"/>
    <col min="12803" max="12803" width="10.42578125" style="204" customWidth="1"/>
    <col min="12804" max="12804" width="20.42578125" style="204" customWidth="1"/>
    <col min="12805" max="12805" width="20.7109375" style="204" customWidth="1"/>
    <col min="12806" max="12806" width="11.140625" style="204" customWidth="1"/>
    <col min="12807" max="12807" width="24" style="204" customWidth="1"/>
    <col min="12808" max="12808" width="20.28515625" style="204" customWidth="1"/>
    <col min="12809" max="12809" width="14.85546875" style="204" customWidth="1"/>
    <col min="12810" max="12810" width="11.28515625" style="204" customWidth="1"/>
    <col min="12811" max="13053" width="8.7109375" style="204"/>
    <col min="13054" max="13054" width="6.85546875" style="204" customWidth="1"/>
    <col min="13055" max="13055" width="39.28515625" style="204" customWidth="1"/>
    <col min="13056" max="13056" width="9.28515625" style="204" customWidth="1"/>
    <col min="13057" max="13057" width="10.7109375" style="204" customWidth="1"/>
    <col min="13058" max="13058" width="15" style="204" customWidth="1"/>
    <col min="13059" max="13059" width="10.42578125" style="204" customWidth="1"/>
    <col min="13060" max="13060" width="20.42578125" style="204" customWidth="1"/>
    <col min="13061" max="13061" width="20.7109375" style="204" customWidth="1"/>
    <col min="13062" max="13062" width="11.140625" style="204" customWidth="1"/>
    <col min="13063" max="13063" width="24" style="204" customWidth="1"/>
    <col min="13064" max="13064" width="20.28515625" style="204" customWidth="1"/>
    <col min="13065" max="13065" width="14.85546875" style="204" customWidth="1"/>
    <col min="13066" max="13066" width="11.28515625" style="204" customWidth="1"/>
    <col min="13067" max="13309" width="8.7109375" style="204"/>
    <col min="13310" max="13310" width="6.85546875" style="204" customWidth="1"/>
    <col min="13311" max="13311" width="39.28515625" style="204" customWidth="1"/>
    <col min="13312" max="13312" width="9.28515625" style="204" customWidth="1"/>
    <col min="13313" max="13313" width="10.7109375" style="204" customWidth="1"/>
    <col min="13314" max="13314" width="15" style="204" customWidth="1"/>
    <col min="13315" max="13315" width="10.42578125" style="204" customWidth="1"/>
    <col min="13316" max="13316" width="20.42578125" style="204" customWidth="1"/>
    <col min="13317" max="13317" width="20.7109375" style="204" customWidth="1"/>
    <col min="13318" max="13318" width="11.140625" style="204" customWidth="1"/>
    <col min="13319" max="13319" width="24" style="204" customWidth="1"/>
    <col min="13320" max="13320" width="20.28515625" style="204" customWidth="1"/>
    <col min="13321" max="13321" width="14.85546875" style="204" customWidth="1"/>
    <col min="13322" max="13322" width="11.28515625" style="204" customWidth="1"/>
    <col min="13323" max="13565" width="8.7109375" style="204"/>
    <col min="13566" max="13566" width="6.85546875" style="204" customWidth="1"/>
    <col min="13567" max="13567" width="39.28515625" style="204" customWidth="1"/>
    <col min="13568" max="13568" width="9.28515625" style="204" customWidth="1"/>
    <col min="13569" max="13569" width="10.7109375" style="204" customWidth="1"/>
    <col min="13570" max="13570" width="15" style="204" customWidth="1"/>
    <col min="13571" max="13571" width="10.42578125" style="204" customWidth="1"/>
    <col min="13572" max="13572" width="20.42578125" style="204" customWidth="1"/>
    <col min="13573" max="13573" width="20.7109375" style="204" customWidth="1"/>
    <col min="13574" max="13574" width="11.140625" style="204" customWidth="1"/>
    <col min="13575" max="13575" width="24" style="204" customWidth="1"/>
    <col min="13576" max="13576" width="20.28515625" style="204" customWidth="1"/>
    <col min="13577" max="13577" width="14.85546875" style="204" customWidth="1"/>
    <col min="13578" max="13578" width="11.28515625" style="204" customWidth="1"/>
    <col min="13579" max="13821" width="8.7109375" style="204"/>
    <col min="13822" max="13822" width="6.85546875" style="204" customWidth="1"/>
    <col min="13823" max="13823" width="39.28515625" style="204" customWidth="1"/>
    <col min="13824" max="13824" width="9.28515625" style="204" customWidth="1"/>
    <col min="13825" max="13825" width="10.7109375" style="204" customWidth="1"/>
    <col min="13826" max="13826" width="15" style="204" customWidth="1"/>
    <col min="13827" max="13827" width="10.42578125" style="204" customWidth="1"/>
    <col min="13828" max="13828" width="20.42578125" style="204" customWidth="1"/>
    <col min="13829" max="13829" width="20.7109375" style="204" customWidth="1"/>
    <col min="13830" max="13830" width="11.140625" style="204" customWidth="1"/>
    <col min="13831" max="13831" width="24" style="204" customWidth="1"/>
    <col min="13832" max="13832" width="20.28515625" style="204" customWidth="1"/>
    <col min="13833" max="13833" width="14.85546875" style="204" customWidth="1"/>
    <col min="13834" max="13834" width="11.28515625" style="204" customWidth="1"/>
    <col min="13835" max="14077" width="8.7109375" style="204"/>
    <col min="14078" max="14078" width="6.85546875" style="204" customWidth="1"/>
    <col min="14079" max="14079" width="39.28515625" style="204" customWidth="1"/>
    <col min="14080" max="14080" width="9.28515625" style="204" customWidth="1"/>
    <col min="14081" max="14081" width="10.7109375" style="204" customWidth="1"/>
    <col min="14082" max="14082" width="15" style="204" customWidth="1"/>
    <col min="14083" max="14083" width="10.42578125" style="204" customWidth="1"/>
    <col min="14084" max="14084" width="20.42578125" style="204" customWidth="1"/>
    <col min="14085" max="14085" width="20.7109375" style="204" customWidth="1"/>
    <col min="14086" max="14086" width="11.140625" style="204" customWidth="1"/>
    <col min="14087" max="14087" width="24" style="204" customWidth="1"/>
    <col min="14088" max="14088" width="20.28515625" style="204" customWidth="1"/>
    <col min="14089" max="14089" width="14.85546875" style="204" customWidth="1"/>
    <col min="14090" max="14090" width="11.28515625" style="204" customWidth="1"/>
    <col min="14091" max="14333" width="8.7109375" style="204"/>
    <col min="14334" max="14334" width="6.85546875" style="204" customWidth="1"/>
    <col min="14335" max="14335" width="39.28515625" style="204" customWidth="1"/>
    <col min="14336" max="14336" width="9.28515625" style="204" customWidth="1"/>
    <col min="14337" max="14337" width="10.7109375" style="204" customWidth="1"/>
    <col min="14338" max="14338" width="15" style="204" customWidth="1"/>
    <col min="14339" max="14339" width="10.42578125" style="204" customWidth="1"/>
    <col min="14340" max="14340" width="20.42578125" style="204" customWidth="1"/>
    <col min="14341" max="14341" width="20.7109375" style="204" customWidth="1"/>
    <col min="14342" max="14342" width="11.140625" style="204" customWidth="1"/>
    <col min="14343" max="14343" width="24" style="204" customWidth="1"/>
    <col min="14344" max="14344" width="20.28515625" style="204" customWidth="1"/>
    <col min="14345" max="14345" width="14.85546875" style="204" customWidth="1"/>
    <col min="14346" max="14346" width="11.28515625" style="204" customWidth="1"/>
    <col min="14347" max="14589" width="8.7109375" style="204"/>
    <col min="14590" max="14590" width="6.85546875" style="204" customWidth="1"/>
    <col min="14591" max="14591" width="39.28515625" style="204" customWidth="1"/>
    <col min="14592" max="14592" width="9.28515625" style="204" customWidth="1"/>
    <col min="14593" max="14593" width="10.7109375" style="204" customWidth="1"/>
    <col min="14594" max="14594" width="15" style="204" customWidth="1"/>
    <col min="14595" max="14595" width="10.42578125" style="204" customWidth="1"/>
    <col min="14596" max="14596" width="20.42578125" style="204" customWidth="1"/>
    <col min="14597" max="14597" width="20.7109375" style="204" customWidth="1"/>
    <col min="14598" max="14598" width="11.140625" style="204" customWidth="1"/>
    <col min="14599" max="14599" width="24" style="204" customWidth="1"/>
    <col min="14600" max="14600" width="20.28515625" style="204" customWidth="1"/>
    <col min="14601" max="14601" width="14.85546875" style="204" customWidth="1"/>
    <col min="14602" max="14602" width="11.28515625" style="204" customWidth="1"/>
    <col min="14603" max="14845" width="8.7109375" style="204"/>
    <col min="14846" max="14846" width="6.85546875" style="204" customWidth="1"/>
    <col min="14847" max="14847" width="39.28515625" style="204" customWidth="1"/>
    <col min="14848" max="14848" width="9.28515625" style="204" customWidth="1"/>
    <col min="14849" max="14849" width="10.7109375" style="204" customWidth="1"/>
    <col min="14850" max="14850" width="15" style="204" customWidth="1"/>
    <col min="14851" max="14851" width="10.42578125" style="204" customWidth="1"/>
    <col min="14852" max="14852" width="20.42578125" style="204" customWidth="1"/>
    <col min="14853" max="14853" width="20.7109375" style="204" customWidth="1"/>
    <col min="14854" max="14854" width="11.140625" style="204" customWidth="1"/>
    <col min="14855" max="14855" width="24" style="204" customWidth="1"/>
    <col min="14856" max="14856" width="20.28515625" style="204" customWidth="1"/>
    <col min="14857" max="14857" width="14.85546875" style="204" customWidth="1"/>
    <col min="14858" max="14858" width="11.28515625" style="204" customWidth="1"/>
    <col min="14859" max="15101" width="8.7109375" style="204"/>
    <col min="15102" max="15102" width="6.85546875" style="204" customWidth="1"/>
    <col min="15103" max="15103" width="39.28515625" style="204" customWidth="1"/>
    <col min="15104" max="15104" width="9.28515625" style="204" customWidth="1"/>
    <col min="15105" max="15105" width="10.7109375" style="204" customWidth="1"/>
    <col min="15106" max="15106" width="15" style="204" customWidth="1"/>
    <col min="15107" max="15107" width="10.42578125" style="204" customWidth="1"/>
    <col min="15108" max="15108" width="20.42578125" style="204" customWidth="1"/>
    <col min="15109" max="15109" width="20.7109375" style="204" customWidth="1"/>
    <col min="15110" max="15110" width="11.140625" style="204" customWidth="1"/>
    <col min="15111" max="15111" width="24" style="204" customWidth="1"/>
    <col min="15112" max="15112" width="20.28515625" style="204" customWidth="1"/>
    <col min="15113" max="15113" width="14.85546875" style="204" customWidth="1"/>
    <col min="15114" max="15114" width="11.28515625" style="204" customWidth="1"/>
    <col min="15115" max="15357" width="8.7109375" style="204"/>
    <col min="15358" max="15358" width="6.85546875" style="204" customWidth="1"/>
    <col min="15359" max="15359" width="39.28515625" style="204" customWidth="1"/>
    <col min="15360" max="15360" width="9.28515625" style="204" customWidth="1"/>
    <col min="15361" max="15361" width="10.7109375" style="204" customWidth="1"/>
    <col min="15362" max="15362" width="15" style="204" customWidth="1"/>
    <col min="15363" max="15363" width="10.42578125" style="204" customWidth="1"/>
    <col min="15364" max="15364" width="20.42578125" style="204" customWidth="1"/>
    <col min="15365" max="15365" width="20.7109375" style="204" customWidth="1"/>
    <col min="15366" max="15366" width="11.140625" style="204" customWidth="1"/>
    <col min="15367" max="15367" width="24" style="204" customWidth="1"/>
    <col min="15368" max="15368" width="20.28515625" style="204" customWidth="1"/>
    <col min="15369" max="15369" width="14.85546875" style="204" customWidth="1"/>
    <col min="15370" max="15370" width="11.28515625" style="204" customWidth="1"/>
    <col min="15371" max="15613" width="8.7109375" style="204"/>
    <col min="15614" max="15614" width="6.85546875" style="204" customWidth="1"/>
    <col min="15615" max="15615" width="39.28515625" style="204" customWidth="1"/>
    <col min="15616" max="15616" width="9.28515625" style="204" customWidth="1"/>
    <col min="15617" max="15617" width="10.7109375" style="204" customWidth="1"/>
    <col min="15618" max="15618" width="15" style="204" customWidth="1"/>
    <col min="15619" max="15619" width="10.42578125" style="204" customWidth="1"/>
    <col min="15620" max="15620" width="20.42578125" style="204" customWidth="1"/>
    <col min="15621" max="15621" width="20.7109375" style="204" customWidth="1"/>
    <col min="15622" max="15622" width="11.140625" style="204" customWidth="1"/>
    <col min="15623" max="15623" width="24" style="204" customWidth="1"/>
    <col min="15624" max="15624" width="20.28515625" style="204" customWidth="1"/>
    <col min="15625" max="15625" width="14.85546875" style="204" customWidth="1"/>
    <col min="15626" max="15626" width="11.28515625" style="204" customWidth="1"/>
    <col min="15627" max="15869" width="8.7109375" style="204"/>
    <col min="15870" max="15870" width="6.85546875" style="204" customWidth="1"/>
    <col min="15871" max="15871" width="39.28515625" style="204" customWidth="1"/>
    <col min="15872" max="15872" width="9.28515625" style="204" customWidth="1"/>
    <col min="15873" max="15873" width="10.7109375" style="204" customWidth="1"/>
    <col min="15874" max="15874" width="15" style="204" customWidth="1"/>
    <col min="15875" max="15875" width="10.42578125" style="204" customWidth="1"/>
    <col min="15876" max="15876" width="20.42578125" style="204" customWidth="1"/>
    <col min="15877" max="15877" width="20.7109375" style="204" customWidth="1"/>
    <col min="15878" max="15878" width="11.140625" style="204" customWidth="1"/>
    <col min="15879" max="15879" width="24" style="204" customWidth="1"/>
    <col min="15880" max="15880" width="20.28515625" style="204" customWidth="1"/>
    <col min="15881" max="15881" width="14.85546875" style="204" customWidth="1"/>
    <col min="15882" max="15882" width="11.28515625" style="204" customWidth="1"/>
    <col min="15883" max="16125" width="8.7109375" style="204"/>
    <col min="16126" max="16126" width="6.85546875" style="204" customWidth="1"/>
    <col min="16127" max="16127" width="39.28515625" style="204" customWidth="1"/>
    <col min="16128" max="16128" width="9.28515625" style="204" customWidth="1"/>
    <col min="16129" max="16129" width="10.7109375" style="204" customWidth="1"/>
    <col min="16130" max="16130" width="15" style="204" customWidth="1"/>
    <col min="16131" max="16131" width="10.42578125" style="204" customWidth="1"/>
    <col min="16132" max="16132" width="20.42578125" style="204" customWidth="1"/>
    <col min="16133" max="16133" width="20.7109375" style="204" customWidth="1"/>
    <col min="16134" max="16134" width="11.140625" style="204" customWidth="1"/>
    <col min="16135" max="16135" width="24" style="204" customWidth="1"/>
    <col min="16136" max="16136" width="20.28515625" style="204" customWidth="1"/>
    <col min="16137" max="16137" width="14.85546875" style="204" customWidth="1"/>
    <col min="16138" max="16138" width="11.28515625" style="204" customWidth="1"/>
    <col min="16139" max="16384" width="8.7109375" style="204"/>
  </cols>
  <sheetData>
    <row r="1" spans="1:9">
      <c r="A1" s="2840" t="s">
        <v>0</v>
      </c>
      <c r="B1" s="2840"/>
      <c r="C1" s="2840"/>
      <c r="D1" s="2840"/>
    </row>
    <row r="2" spans="1:9">
      <c r="A2" s="2840" t="s">
        <v>1968</v>
      </c>
      <c r="B2" s="2840"/>
      <c r="C2" s="2840"/>
      <c r="D2" s="2840"/>
    </row>
    <row r="3" spans="1:9" ht="13.9" customHeight="1">
      <c r="A3" s="2841" t="s">
        <v>619</v>
      </c>
      <c r="B3" s="2840"/>
      <c r="C3" s="2840"/>
      <c r="D3" s="2840"/>
    </row>
    <row r="4" spans="1:9" s="202" customFormat="1" ht="27" customHeight="1">
      <c r="A4" s="2842" t="s">
        <v>3</v>
      </c>
      <c r="B4" s="2842"/>
      <c r="C4" s="208"/>
      <c r="D4" s="209"/>
    </row>
    <row r="5" spans="1:9" s="202" customFormat="1" ht="16.899999999999999" customHeight="1">
      <c r="A5" s="2840" t="s">
        <v>3061</v>
      </c>
      <c r="B5" s="2840"/>
      <c r="C5" s="208"/>
      <c r="D5" s="209"/>
    </row>
    <row r="6" spans="1:9" ht="10.5" customHeight="1">
      <c r="C6" s="210"/>
      <c r="D6" s="211"/>
    </row>
    <row r="7" spans="1:9" s="202" customFormat="1" ht="29.25" customHeight="1">
      <c r="A7" s="2827" t="s">
        <v>3062</v>
      </c>
      <c r="B7" s="2827"/>
      <c r="C7" s="2827"/>
      <c r="D7" s="2827"/>
    </row>
    <row r="8" spans="1:9" ht="15.75" customHeight="1">
      <c r="A8" s="2842"/>
      <c r="B8" s="2842"/>
      <c r="C8" s="2842"/>
      <c r="D8" s="2842"/>
    </row>
    <row r="9" spans="1:9" ht="15.75" customHeight="1">
      <c r="A9" s="207"/>
      <c r="B9" s="207"/>
      <c r="C9" s="210"/>
      <c r="D9" s="213"/>
    </row>
    <row r="10" spans="1:9" s="203" customFormat="1" ht="21.75" customHeight="1">
      <c r="A10" s="214" t="s">
        <v>6</v>
      </c>
      <c r="B10" s="214" t="s">
        <v>2872</v>
      </c>
      <c r="C10" s="215" t="s">
        <v>3063</v>
      </c>
      <c r="D10" s="216" t="s">
        <v>12</v>
      </c>
      <c r="G10" s="217"/>
    </row>
    <row r="11" spans="1:9" ht="21.75" customHeight="1">
      <c r="A11" s="218">
        <v>1</v>
      </c>
      <c r="B11" s="219" t="s">
        <v>3064</v>
      </c>
      <c r="C11" s="220" t="e">
        <f>#REF!</f>
        <v>#REF!</v>
      </c>
      <c r="D11" s="221"/>
      <c r="E11" s="206"/>
      <c r="F11" s="219" t="s">
        <v>2914</v>
      </c>
      <c r="G11" s="222"/>
      <c r="H11" s="206"/>
    </row>
    <row r="12" spans="1:9" ht="21.75" customHeight="1">
      <c r="A12" s="218">
        <v>2</v>
      </c>
      <c r="B12" s="219" t="s">
        <v>2914</v>
      </c>
      <c r="C12" s="220">
        <f>'CV KHÁC'!F13</f>
        <v>4400000</v>
      </c>
      <c r="D12" s="221"/>
      <c r="E12" s="223"/>
      <c r="F12" s="219" t="s">
        <v>3065</v>
      </c>
      <c r="H12" s="224"/>
    </row>
    <row r="13" spans="1:9" ht="21.75" customHeight="1">
      <c r="A13" s="218">
        <v>3</v>
      </c>
      <c r="B13" s="219" t="s">
        <v>3066</v>
      </c>
      <c r="C13" s="220">
        <v>5000000</v>
      </c>
      <c r="D13" s="221"/>
      <c r="E13" s="223"/>
      <c r="F13" s="219" t="s">
        <v>3067</v>
      </c>
      <c r="G13" s="223"/>
    </row>
    <row r="14" spans="1:9" ht="21.75" customHeight="1">
      <c r="A14" s="218">
        <v>4</v>
      </c>
      <c r="B14" s="219" t="s">
        <v>3065</v>
      </c>
      <c r="C14" s="220">
        <f>'PCXĂNG XE'!J21</f>
        <v>3340000</v>
      </c>
      <c r="D14" s="221"/>
      <c r="E14" s="223"/>
      <c r="F14" s="206"/>
      <c r="G14" s="225"/>
      <c r="H14" s="226"/>
      <c r="I14" s="238"/>
    </row>
    <row r="15" spans="1:9" ht="21.75" customHeight="1">
      <c r="A15" s="2836" t="s">
        <v>2907</v>
      </c>
      <c r="B15" s="2836"/>
      <c r="C15" s="227" t="e">
        <f>SUM(C11:C14)</f>
        <v>#REF!</v>
      </c>
      <c r="D15" s="228"/>
      <c r="E15" s="206"/>
      <c r="F15" s="204">
        <f>12100+8985+16620+500+7611+4713+5000+5160</f>
        <v>60689</v>
      </c>
    </row>
    <row r="16" spans="1:9" ht="21.75" customHeight="1">
      <c r="A16" s="2838" t="s">
        <v>3068</v>
      </c>
      <c r="B16" s="2838"/>
      <c r="C16" s="2838"/>
      <c r="D16" s="2838"/>
    </row>
    <row r="17" spans="1:5" ht="18.75" customHeight="1">
      <c r="A17" s="229"/>
      <c r="B17" s="229"/>
      <c r="C17" s="2900" t="s">
        <v>2818</v>
      </c>
      <c r="D17" s="2900"/>
      <c r="E17" s="230"/>
    </row>
    <row r="18" spans="1:5" ht="4.1500000000000004" customHeight="1">
      <c r="A18" s="231"/>
      <c r="B18" s="231"/>
      <c r="C18" s="232"/>
      <c r="D18" s="233"/>
    </row>
    <row r="19" spans="1:5" s="202" customFormat="1">
      <c r="A19" s="234" t="s">
        <v>3069</v>
      </c>
      <c r="C19" s="235"/>
      <c r="D19" s="236"/>
    </row>
    <row r="20" spans="1:5">
      <c r="A20" s="231"/>
      <c r="B20" s="231"/>
      <c r="C20" s="232"/>
      <c r="D20" s="233"/>
    </row>
    <row r="21" spans="1:5">
      <c r="A21" s="231"/>
      <c r="B21" s="231"/>
      <c r="C21" s="232"/>
      <c r="D21" s="233"/>
    </row>
    <row r="22" spans="1:5">
      <c r="A22" s="231"/>
      <c r="B22" s="231"/>
      <c r="C22" s="232"/>
      <c r="D22" s="233"/>
    </row>
    <row r="23" spans="1:5">
      <c r="A23" s="231"/>
      <c r="B23" s="231"/>
      <c r="C23" s="232"/>
      <c r="D23" s="233"/>
    </row>
    <row r="24" spans="1:5" hidden="1">
      <c r="A24" s="231"/>
      <c r="B24" s="231"/>
      <c r="C24" s="236"/>
      <c r="D24" s="236"/>
    </row>
    <row r="25" spans="1:5" hidden="1">
      <c r="A25" s="231"/>
      <c r="B25" s="231"/>
      <c r="C25" s="232"/>
      <c r="D25" s="233"/>
    </row>
    <row r="26" spans="1:5" hidden="1">
      <c r="A26" s="231"/>
      <c r="B26" s="234"/>
      <c r="C26" s="235"/>
      <c r="D26" s="237"/>
    </row>
    <row r="27" spans="1:5" hidden="1"/>
    <row r="28" spans="1:5" hidden="1"/>
    <row r="29" spans="1:5" hidden="1"/>
    <row r="34" spans="5:6">
      <c r="E34" s="224"/>
      <c r="F34" s="224"/>
    </row>
    <row r="36" spans="5:6">
      <c r="E36" s="224"/>
      <c r="F36" s="224"/>
    </row>
  </sheetData>
  <mergeCells count="10">
    <mergeCell ref="A1:D1"/>
    <mergeCell ref="A2:D2"/>
    <mergeCell ref="A3:D3"/>
    <mergeCell ref="A4:B4"/>
    <mergeCell ref="A5:B5"/>
    <mergeCell ref="A7:D7"/>
    <mergeCell ref="A8:D8"/>
    <mergeCell ref="A15:B15"/>
    <mergeCell ref="A16:D16"/>
    <mergeCell ref="C17:D17"/>
  </mergeCells>
  <pageMargins left="0.31496062992126" right="0" top="0.74803149606299202" bottom="0.55118110236220497" header="0.31496062992126" footer="0.31496062992126"/>
  <pageSetup paperSize="9" orientation="landscape"/>
  <headerFooter>
    <oddFooter>&amp;RPage &amp;P/1</oddFooter>
  </headerFooter>
  <drawing r:id="rId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X50"/>
  <sheetViews>
    <sheetView showGridLines="0" topLeftCell="A34" zoomScaleSheetLayoutView="85" workbookViewId="0">
      <selection activeCell="W47" sqref="W47"/>
    </sheetView>
  </sheetViews>
  <sheetFormatPr defaultColWidth="9.140625" defaultRowHeight="15"/>
  <cols>
    <col min="1" max="1" width="6" style="158" customWidth="1"/>
    <col min="2" max="2" width="7" style="158" hidden="1" customWidth="1"/>
    <col min="3" max="3" width="5.7109375" style="158" hidden="1" customWidth="1"/>
    <col min="4" max="4" width="20.28515625" style="158" customWidth="1"/>
    <col min="5" max="5" width="14.5703125" style="158" customWidth="1"/>
    <col min="6" max="6" width="7.140625" style="158" customWidth="1"/>
    <col min="7" max="7" width="11.5703125" style="158" customWidth="1"/>
    <col min="8" max="8" width="3.85546875" style="158" hidden="1" customWidth="1"/>
    <col min="9" max="9" width="7.7109375" style="158" customWidth="1"/>
    <col min="10" max="10" width="11.5703125" style="159" customWidth="1"/>
    <col min="11" max="11" width="13.140625" style="158" hidden="1" customWidth="1"/>
    <col min="12" max="12" width="11.140625" style="158" hidden="1" customWidth="1"/>
    <col min="13" max="13" width="13.140625" style="158" hidden="1" customWidth="1"/>
    <col min="14" max="14" width="6.85546875" style="158" hidden="1" customWidth="1"/>
    <col min="15" max="15" width="9.140625" style="158" hidden="1" customWidth="1"/>
    <col min="16" max="16" width="11.42578125" style="158" hidden="1" customWidth="1"/>
    <col min="17" max="17" width="13.85546875" style="158" hidden="1" customWidth="1"/>
    <col min="18" max="18" width="13.5703125" style="158" customWidth="1"/>
    <col min="19" max="19" width="16.85546875" style="158" customWidth="1"/>
    <col min="20" max="20" width="10.28515625" style="158" customWidth="1"/>
    <col min="21" max="21" width="7.42578125" style="158" customWidth="1"/>
    <col min="22" max="22" width="10" style="158" customWidth="1"/>
    <col min="23" max="23" width="17.85546875" style="158" customWidth="1"/>
    <col min="24" max="24" width="15.7109375" style="158" customWidth="1"/>
    <col min="25" max="16384" width="9.140625" style="158"/>
  </cols>
  <sheetData>
    <row r="1" spans="1:24" ht="22.5" customHeight="1">
      <c r="A1" s="2335" t="s">
        <v>617</v>
      </c>
      <c r="B1" s="2335"/>
      <c r="C1" s="2335"/>
      <c r="D1" s="2335"/>
      <c r="E1" s="2335"/>
      <c r="F1" s="2335"/>
      <c r="G1" s="2335"/>
      <c r="H1" s="2335"/>
      <c r="I1" s="2335"/>
      <c r="J1" s="2335"/>
      <c r="K1" s="2335"/>
      <c r="L1" s="2335"/>
      <c r="M1" s="2335"/>
      <c r="N1" s="2335"/>
      <c r="O1" s="2335"/>
      <c r="P1" s="2335"/>
      <c r="Q1" s="2335"/>
      <c r="R1" s="2335"/>
      <c r="S1" s="2335"/>
    </row>
    <row r="2" spans="1:24" s="156" customFormat="1" ht="22.5" customHeight="1">
      <c r="A2" s="2335" t="s">
        <v>618</v>
      </c>
      <c r="B2" s="2335"/>
      <c r="C2" s="2335"/>
      <c r="D2" s="2335"/>
      <c r="E2" s="2335"/>
      <c r="F2" s="2335"/>
      <c r="G2" s="2335"/>
      <c r="H2" s="2335"/>
      <c r="I2" s="2335"/>
      <c r="J2" s="2335"/>
      <c r="K2" s="2335"/>
      <c r="L2" s="2335"/>
      <c r="M2" s="2335"/>
      <c r="N2" s="2335"/>
      <c r="O2" s="2335"/>
      <c r="P2" s="2335"/>
      <c r="Q2" s="2335"/>
      <c r="R2" s="2335"/>
      <c r="S2" s="2335"/>
    </row>
    <row r="3" spans="1:24" s="156" customFormat="1" ht="22.5" customHeight="1">
      <c r="A3" s="2911" t="s">
        <v>619</v>
      </c>
      <c r="B3" s="2335"/>
      <c r="C3" s="2335"/>
      <c r="D3" s="2335"/>
      <c r="E3" s="2335"/>
      <c r="F3" s="2335"/>
      <c r="G3" s="2335"/>
      <c r="H3" s="2335"/>
      <c r="I3" s="2335"/>
      <c r="J3" s="2335"/>
      <c r="K3" s="2335"/>
      <c r="L3" s="2335"/>
      <c r="M3" s="2335"/>
      <c r="N3" s="2335"/>
      <c r="O3" s="2335"/>
      <c r="P3" s="2335"/>
      <c r="Q3" s="2335"/>
      <c r="R3" s="2335"/>
      <c r="S3" s="2335"/>
    </row>
    <row r="4" spans="1:24" s="156" customFormat="1" ht="22.5" customHeight="1">
      <c r="A4" s="2912" t="s">
        <v>3</v>
      </c>
      <c r="B4" s="2912"/>
      <c r="C4" s="2912"/>
      <c r="D4" s="2912"/>
      <c r="E4" s="2912"/>
      <c r="F4" s="2912"/>
      <c r="G4" s="2912"/>
      <c r="H4" s="2912"/>
      <c r="I4" s="2912"/>
      <c r="J4" s="2912"/>
      <c r="K4" s="2912"/>
      <c r="L4" s="2912"/>
      <c r="M4" s="2912"/>
      <c r="N4" s="2912"/>
      <c r="O4" s="2912"/>
      <c r="P4" s="2912"/>
      <c r="Q4" s="2912"/>
      <c r="R4" s="2912"/>
      <c r="S4" s="2912"/>
    </row>
    <row r="5" spans="1:24" s="156" customFormat="1" ht="22.5" customHeight="1">
      <c r="A5" s="2335" t="s">
        <v>611</v>
      </c>
      <c r="B5" s="2335"/>
      <c r="C5" s="2335"/>
      <c r="D5" s="2335"/>
      <c r="E5" s="2335"/>
      <c r="F5" s="2335"/>
      <c r="G5" s="157"/>
      <c r="H5" s="157"/>
      <c r="I5" s="157"/>
      <c r="J5" s="157"/>
      <c r="K5" s="157"/>
      <c r="L5" s="157"/>
      <c r="M5" s="157"/>
      <c r="N5" s="157"/>
      <c r="O5" s="157"/>
      <c r="P5" s="157"/>
      <c r="Q5" s="157"/>
      <c r="R5" s="157"/>
      <c r="S5" s="157"/>
    </row>
    <row r="6" spans="1:24" s="156" customFormat="1" ht="22.5" customHeight="1">
      <c r="A6" s="2335"/>
      <c r="B6" s="2335"/>
      <c r="C6" s="2335"/>
      <c r="D6" s="2335"/>
      <c r="E6" s="2335"/>
      <c r="F6" s="2335"/>
      <c r="G6" s="2335"/>
      <c r="H6" s="2335"/>
      <c r="I6" s="2335"/>
      <c r="J6" s="2335"/>
      <c r="K6" s="2335"/>
      <c r="L6" s="2335"/>
      <c r="M6" s="2335"/>
      <c r="N6" s="2335"/>
      <c r="O6" s="2335"/>
      <c r="P6" s="2335"/>
      <c r="Q6" s="2335"/>
      <c r="R6" s="2335"/>
      <c r="S6" s="2335"/>
    </row>
    <row r="7" spans="1:24" ht="22.5" customHeight="1">
      <c r="A7" s="2336" t="s">
        <v>3070</v>
      </c>
      <c r="B7" s="2336"/>
      <c r="C7" s="2336"/>
      <c r="D7" s="2336"/>
      <c r="E7" s="2336"/>
      <c r="F7" s="2336"/>
      <c r="G7" s="2336"/>
      <c r="H7" s="2336"/>
      <c r="I7" s="2336"/>
      <c r="J7" s="2336"/>
      <c r="K7" s="2336"/>
      <c r="L7" s="2336"/>
      <c r="M7" s="2336"/>
      <c r="N7" s="2336"/>
      <c r="O7" s="2336"/>
      <c r="P7" s="2336"/>
      <c r="Q7" s="2336"/>
      <c r="R7" s="2336"/>
      <c r="S7" s="2336"/>
      <c r="T7" s="161"/>
    </row>
    <row r="8" spans="1:24" s="156" customFormat="1" ht="11.25">
      <c r="J8" s="177"/>
      <c r="S8" s="184"/>
      <c r="T8" s="184"/>
      <c r="U8" s="184">
        <v>31</v>
      </c>
    </row>
    <row r="9" spans="1:24" ht="15.75" customHeight="1">
      <c r="A9" s="2901" t="s">
        <v>6</v>
      </c>
      <c r="B9" s="2902" t="s">
        <v>624</v>
      </c>
      <c r="C9" s="2905" t="s">
        <v>3071</v>
      </c>
      <c r="D9" s="2906"/>
      <c r="E9" s="2902" t="s">
        <v>9</v>
      </c>
      <c r="F9" s="2901" t="s">
        <v>628</v>
      </c>
      <c r="G9" s="2901"/>
      <c r="H9" s="2901"/>
      <c r="I9" s="2901"/>
      <c r="J9" s="2901"/>
      <c r="K9" s="2901"/>
      <c r="L9" s="2903" t="s">
        <v>3072</v>
      </c>
      <c r="M9" s="2902" t="s">
        <v>3073</v>
      </c>
      <c r="N9" s="2902" t="s">
        <v>631</v>
      </c>
      <c r="O9" s="2666" t="s">
        <v>3074</v>
      </c>
      <c r="P9" s="2902" t="s">
        <v>3075</v>
      </c>
      <c r="Q9" s="2902" t="s">
        <v>3076</v>
      </c>
      <c r="R9" s="2902" t="s">
        <v>3077</v>
      </c>
      <c r="S9" s="2902" t="s">
        <v>2836</v>
      </c>
      <c r="T9" s="185"/>
    </row>
    <row r="10" spans="1:24" ht="50.25" customHeight="1">
      <c r="A10" s="2901"/>
      <c r="B10" s="2902"/>
      <c r="C10" s="2907"/>
      <c r="D10" s="2908"/>
      <c r="E10" s="2902"/>
      <c r="F10" s="163" t="s">
        <v>3078</v>
      </c>
      <c r="G10" s="163" t="s">
        <v>3079</v>
      </c>
      <c r="H10" s="163" t="s">
        <v>3080</v>
      </c>
      <c r="I10" s="162" t="s">
        <v>2399</v>
      </c>
      <c r="J10" s="179" t="s">
        <v>3081</v>
      </c>
      <c r="K10" s="163" t="s">
        <v>3082</v>
      </c>
      <c r="L10" s="2904"/>
      <c r="M10" s="2902"/>
      <c r="N10" s="2901"/>
      <c r="O10" s="2666"/>
      <c r="P10" s="2901"/>
      <c r="Q10" s="2901"/>
      <c r="R10" s="2901"/>
      <c r="S10" s="2901"/>
      <c r="T10" s="186"/>
      <c r="U10" s="159"/>
      <c r="W10" s="187"/>
    </row>
    <row r="11" spans="1:24" s="42" customFormat="1" ht="29.25" customHeight="1">
      <c r="A11" s="164">
        <v>1</v>
      </c>
      <c r="B11" s="165" t="s">
        <v>3053</v>
      </c>
      <c r="C11" s="166" t="s">
        <v>3054</v>
      </c>
      <c r="D11" s="167" t="s">
        <v>3083</v>
      </c>
      <c r="E11" s="167" t="s">
        <v>3084</v>
      </c>
      <c r="F11" s="168" t="e">
        <f>VLOOKUP(D11,'Chấm công XĂNG XE'!$C$11:$AJ$20,34,0)</f>
        <v>#N/A</v>
      </c>
      <c r="G11" s="169">
        <v>20000</v>
      </c>
      <c r="H11" s="168"/>
      <c r="I11" s="168" t="s">
        <v>2807</v>
      </c>
      <c r="J11" s="180" t="e">
        <f>F11*G11</f>
        <v>#N/A</v>
      </c>
      <c r="K11" s="180"/>
      <c r="L11" s="180"/>
      <c r="M11" s="180">
        <f>+K11+L11</f>
        <v>0</v>
      </c>
      <c r="N11" s="180"/>
      <c r="O11" s="180"/>
      <c r="P11" s="180"/>
      <c r="Q11" s="180">
        <f>M11-N11-P11</f>
        <v>0</v>
      </c>
      <c r="R11" s="188"/>
      <c r="S11" s="189"/>
      <c r="T11" s="190"/>
      <c r="U11" s="191" t="s">
        <v>3055</v>
      </c>
      <c r="V11" s="192"/>
      <c r="W11" s="191"/>
      <c r="X11" s="192"/>
    </row>
    <row r="12" spans="1:24" s="42" customFormat="1" ht="29.25" customHeight="1">
      <c r="A12" s="164">
        <v>2</v>
      </c>
      <c r="B12" s="165"/>
      <c r="C12" s="166" t="s">
        <v>1850</v>
      </c>
      <c r="D12" s="167" t="s">
        <v>3085</v>
      </c>
      <c r="E12" s="167" t="s">
        <v>3086</v>
      </c>
      <c r="F12" s="168">
        <f>VLOOKUP(D12,'Chấm công XĂNG XE'!$C$11:$AJ$20,34,0)</f>
        <v>14</v>
      </c>
      <c r="G12" s="169">
        <v>20000</v>
      </c>
      <c r="H12" s="168"/>
      <c r="I12" s="168" t="s">
        <v>2807</v>
      </c>
      <c r="J12" s="180">
        <f t="shared" ref="J12:J39" si="0">F12*G12</f>
        <v>280000</v>
      </c>
      <c r="K12" s="180"/>
      <c r="L12" s="180"/>
      <c r="M12" s="180">
        <f t="shared" ref="M12:M16" si="1">+K12+L12</f>
        <v>0</v>
      </c>
      <c r="N12" s="180"/>
      <c r="O12" s="180"/>
      <c r="P12" s="180"/>
      <c r="Q12" s="180">
        <f t="shared" ref="Q12:Q16" si="2">M12-N12-P12</f>
        <v>0</v>
      </c>
      <c r="R12" s="193"/>
      <c r="S12" s="189"/>
      <c r="T12" s="190"/>
      <c r="U12" s="191" t="s">
        <v>3056</v>
      </c>
      <c r="V12" s="192"/>
      <c r="W12" s="191"/>
      <c r="X12" s="192"/>
    </row>
    <row r="13" spans="1:24" s="42" customFormat="1" ht="29.25" customHeight="1">
      <c r="A13" s="164">
        <v>3</v>
      </c>
      <c r="B13" s="165"/>
      <c r="C13" s="166" t="s">
        <v>1850</v>
      </c>
      <c r="D13" s="167" t="s">
        <v>613</v>
      </c>
      <c r="E13" s="167" t="s">
        <v>1947</v>
      </c>
      <c r="F13" s="168">
        <f>VLOOKUP(D13,'Chấm công XĂNG XE'!$C$11:$AJ$20,34,0)</f>
        <v>14</v>
      </c>
      <c r="G13" s="169">
        <v>20000</v>
      </c>
      <c r="H13" s="168"/>
      <c r="I13" s="168" t="s">
        <v>2807</v>
      </c>
      <c r="J13" s="180">
        <f t="shared" si="0"/>
        <v>280000</v>
      </c>
      <c r="K13" s="180"/>
      <c r="L13" s="180"/>
      <c r="M13" s="180">
        <f t="shared" si="1"/>
        <v>0</v>
      </c>
      <c r="N13" s="180"/>
      <c r="O13" s="180"/>
      <c r="P13" s="180"/>
      <c r="Q13" s="180">
        <f t="shared" si="2"/>
        <v>0</v>
      </c>
      <c r="R13" s="193"/>
      <c r="S13" s="189"/>
      <c r="T13" s="190"/>
      <c r="U13" s="191" t="s">
        <v>3056</v>
      </c>
      <c r="V13" s="192"/>
      <c r="W13" s="191"/>
      <c r="X13" s="192"/>
    </row>
    <row r="14" spans="1:24" s="42" customFormat="1" ht="29.25" customHeight="1">
      <c r="A14" s="164">
        <v>4</v>
      </c>
      <c r="B14" s="165" t="s">
        <v>1852</v>
      </c>
      <c r="C14" s="166"/>
      <c r="D14" s="167" t="s">
        <v>3087</v>
      </c>
      <c r="E14" s="167" t="s">
        <v>3088</v>
      </c>
      <c r="F14" s="168" t="e">
        <f>VLOOKUP(D14,'Chấm công XĂNG XE'!$C$11:$AJ$20,34,0)</f>
        <v>#N/A</v>
      </c>
      <c r="G14" s="169">
        <v>20000</v>
      </c>
      <c r="H14" s="168"/>
      <c r="I14" s="168" t="s">
        <v>2807</v>
      </c>
      <c r="J14" s="180" t="e">
        <f t="shared" si="0"/>
        <v>#N/A</v>
      </c>
      <c r="K14" s="180"/>
      <c r="L14" s="180"/>
      <c r="M14" s="180">
        <f t="shared" si="1"/>
        <v>0</v>
      </c>
      <c r="N14" s="180"/>
      <c r="O14" s="180"/>
      <c r="P14" s="180"/>
      <c r="Q14" s="180">
        <f t="shared" si="2"/>
        <v>0</v>
      </c>
      <c r="R14" s="193"/>
      <c r="S14" s="189"/>
      <c r="T14" s="190"/>
      <c r="U14" s="191" t="s">
        <v>2936</v>
      </c>
      <c r="V14" s="192"/>
      <c r="W14" s="191"/>
      <c r="X14" s="192"/>
    </row>
    <row r="15" spans="1:24" s="42" customFormat="1" ht="29.25" customHeight="1">
      <c r="A15" s="164">
        <v>5</v>
      </c>
      <c r="B15" s="165" t="s">
        <v>1853</v>
      </c>
      <c r="C15" s="166"/>
      <c r="D15" s="167" t="s">
        <v>3089</v>
      </c>
      <c r="E15" s="167" t="s">
        <v>3090</v>
      </c>
      <c r="F15" s="168" t="e">
        <f>VLOOKUP(D15,'Chấm công XĂNG XE'!$C$11:$AJ$20,34,0)</f>
        <v>#N/A</v>
      </c>
      <c r="G15" s="169">
        <v>20000</v>
      </c>
      <c r="H15" s="168"/>
      <c r="I15" s="168" t="s">
        <v>2807</v>
      </c>
      <c r="J15" s="180" t="e">
        <f t="shared" si="0"/>
        <v>#N/A</v>
      </c>
      <c r="K15" s="180"/>
      <c r="L15" s="180"/>
      <c r="M15" s="180">
        <f t="shared" si="1"/>
        <v>0</v>
      </c>
      <c r="N15" s="180"/>
      <c r="O15" s="180"/>
      <c r="P15" s="180"/>
      <c r="Q15" s="180">
        <f t="shared" si="2"/>
        <v>0</v>
      </c>
      <c r="R15" s="193"/>
      <c r="S15" s="189"/>
      <c r="T15" s="190"/>
      <c r="U15" s="191" t="s">
        <v>2936</v>
      </c>
      <c r="V15" s="192" t="s">
        <v>2937</v>
      </c>
      <c r="W15" s="191"/>
      <c r="X15" s="192"/>
    </row>
    <row r="16" spans="1:24" s="42" customFormat="1" ht="29.25" customHeight="1">
      <c r="A16" s="164">
        <v>6</v>
      </c>
      <c r="B16" s="165" t="s">
        <v>1853</v>
      </c>
      <c r="C16" s="166"/>
      <c r="D16" s="167" t="s">
        <v>3091</v>
      </c>
      <c r="E16" s="167" t="s">
        <v>3092</v>
      </c>
      <c r="F16" s="168">
        <f>VLOOKUP(D16,'Chấm công XĂNG XE'!$C$11:$AJ$20,34,0)</f>
        <v>14</v>
      </c>
      <c r="G16" s="169">
        <v>20000</v>
      </c>
      <c r="H16" s="168"/>
      <c r="I16" s="168" t="s">
        <v>2807</v>
      </c>
      <c r="J16" s="180">
        <f t="shared" si="0"/>
        <v>280000</v>
      </c>
      <c r="K16" s="180"/>
      <c r="L16" s="180"/>
      <c r="M16" s="180">
        <f t="shared" si="1"/>
        <v>0</v>
      </c>
      <c r="N16" s="180"/>
      <c r="O16" s="180"/>
      <c r="P16" s="180"/>
      <c r="Q16" s="180">
        <f t="shared" si="2"/>
        <v>0</v>
      </c>
      <c r="R16" s="193"/>
      <c r="S16" s="189"/>
      <c r="T16" s="190"/>
      <c r="U16" s="191" t="s">
        <v>2936</v>
      </c>
      <c r="V16" s="192" t="s">
        <v>2937</v>
      </c>
      <c r="W16" s="191"/>
      <c r="X16" s="192"/>
    </row>
    <row r="17" spans="1:24" s="42" customFormat="1" ht="29.25" customHeight="1">
      <c r="A17" s="164">
        <v>7</v>
      </c>
      <c r="B17" s="165"/>
      <c r="C17" s="166" t="s">
        <v>1850</v>
      </c>
      <c r="D17" s="167" t="s">
        <v>3093</v>
      </c>
      <c r="E17" s="167" t="s">
        <v>3092</v>
      </c>
      <c r="F17" s="168">
        <f>VLOOKUP(D17,'Chấm công XĂNG XE'!$C$11:$AJ$20,34,0)</f>
        <v>14</v>
      </c>
      <c r="G17" s="169">
        <v>20000</v>
      </c>
      <c r="H17" s="168"/>
      <c r="I17" s="168" t="s">
        <v>2807</v>
      </c>
      <c r="J17" s="180">
        <f t="shared" si="0"/>
        <v>280000</v>
      </c>
      <c r="K17" s="180"/>
      <c r="L17" s="180"/>
      <c r="M17" s="180">
        <f t="shared" ref="M17:M21" si="3">+K17+L17</f>
        <v>0</v>
      </c>
      <c r="N17" s="180"/>
      <c r="O17" s="180"/>
      <c r="P17" s="180"/>
      <c r="Q17" s="180">
        <f t="shared" ref="Q17:Q21" si="4">M17-N17-P17</f>
        <v>0</v>
      </c>
      <c r="R17" s="193"/>
      <c r="S17" s="189"/>
      <c r="T17" s="190"/>
      <c r="U17" s="191" t="s">
        <v>3056</v>
      </c>
      <c r="V17" s="192"/>
      <c r="W17" s="191"/>
      <c r="X17" s="192"/>
    </row>
    <row r="18" spans="1:24" s="42" customFormat="1" ht="29.25" customHeight="1">
      <c r="A18" s="164">
        <v>8</v>
      </c>
      <c r="B18" s="165"/>
      <c r="C18" s="166" t="s">
        <v>1850</v>
      </c>
      <c r="D18" s="167" t="s">
        <v>3094</v>
      </c>
      <c r="E18" s="167" t="s">
        <v>3092</v>
      </c>
      <c r="F18" s="168" t="e">
        <f>VLOOKUP(D18,'Chấm công XĂNG XE'!$C$11:$AJ$20,34,0)</f>
        <v>#N/A</v>
      </c>
      <c r="G18" s="169">
        <v>20000</v>
      </c>
      <c r="H18" s="168"/>
      <c r="I18" s="168" t="s">
        <v>2807</v>
      </c>
      <c r="J18" s="180" t="e">
        <f t="shared" si="0"/>
        <v>#N/A</v>
      </c>
      <c r="K18" s="180"/>
      <c r="L18" s="180"/>
      <c r="M18" s="180">
        <f t="shared" si="3"/>
        <v>0</v>
      </c>
      <c r="N18" s="180"/>
      <c r="O18" s="180"/>
      <c r="P18" s="180"/>
      <c r="Q18" s="180">
        <f t="shared" si="4"/>
        <v>0</v>
      </c>
      <c r="R18" s="193"/>
      <c r="S18" s="189"/>
      <c r="T18" s="190"/>
      <c r="U18" s="191" t="s">
        <v>3056</v>
      </c>
      <c r="V18" s="192"/>
      <c r="W18" s="191"/>
      <c r="X18" s="192"/>
    </row>
    <row r="19" spans="1:24" s="42" customFormat="1" ht="29.25" customHeight="1">
      <c r="A19" s="164">
        <v>9</v>
      </c>
      <c r="B19" s="165" t="s">
        <v>1852</v>
      </c>
      <c r="C19" s="166"/>
      <c r="D19" s="167" t="s">
        <v>3095</v>
      </c>
      <c r="E19" s="167" t="s">
        <v>3092</v>
      </c>
      <c r="F19" s="168" t="e">
        <f>VLOOKUP(D19,'Chấm công XĂNG XE'!$C$11:$AJ$20,34,0)</f>
        <v>#N/A</v>
      </c>
      <c r="G19" s="169">
        <v>20000</v>
      </c>
      <c r="H19" s="168"/>
      <c r="I19" s="168" t="s">
        <v>2807</v>
      </c>
      <c r="J19" s="180" t="e">
        <f t="shared" si="0"/>
        <v>#N/A</v>
      </c>
      <c r="K19" s="180"/>
      <c r="L19" s="180"/>
      <c r="M19" s="180">
        <f t="shared" si="3"/>
        <v>0</v>
      </c>
      <c r="N19" s="180"/>
      <c r="O19" s="180"/>
      <c r="P19" s="180"/>
      <c r="Q19" s="180">
        <f t="shared" si="4"/>
        <v>0</v>
      </c>
      <c r="R19" s="193"/>
      <c r="S19" s="189"/>
      <c r="T19" s="190"/>
      <c r="U19" s="191" t="s">
        <v>2936</v>
      </c>
      <c r="V19" s="192"/>
      <c r="W19" s="191"/>
      <c r="X19" s="192"/>
    </row>
    <row r="20" spans="1:24" s="42" customFormat="1" ht="29.25" customHeight="1">
      <c r="A20" s="164">
        <v>10</v>
      </c>
      <c r="B20" s="165" t="s">
        <v>1853</v>
      </c>
      <c r="C20" s="166"/>
      <c r="D20" s="167" t="s">
        <v>3096</v>
      </c>
      <c r="E20" s="167" t="s">
        <v>3092</v>
      </c>
      <c r="F20" s="168" t="e">
        <f>VLOOKUP(D20,'Chấm công XĂNG XE'!$C$11:$AJ$20,34,0)</f>
        <v>#N/A</v>
      </c>
      <c r="G20" s="169">
        <v>20000</v>
      </c>
      <c r="H20" s="168"/>
      <c r="I20" s="168" t="s">
        <v>2807</v>
      </c>
      <c r="J20" s="180" t="e">
        <f t="shared" si="0"/>
        <v>#N/A</v>
      </c>
      <c r="K20" s="180"/>
      <c r="L20" s="180"/>
      <c r="M20" s="180">
        <f t="shared" si="3"/>
        <v>0</v>
      </c>
      <c r="N20" s="180"/>
      <c r="O20" s="180"/>
      <c r="P20" s="180"/>
      <c r="Q20" s="180">
        <f t="shared" si="4"/>
        <v>0</v>
      </c>
      <c r="R20" s="193"/>
      <c r="S20" s="189"/>
      <c r="T20" s="190"/>
      <c r="U20" s="191" t="s">
        <v>2936</v>
      </c>
      <c r="V20" s="192" t="s">
        <v>2937</v>
      </c>
      <c r="W20" s="191"/>
      <c r="X20" s="192"/>
    </row>
    <row r="21" spans="1:24" s="42" customFormat="1" ht="29.25" customHeight="1">
      <c r="A21" s="164">
        <v>11</v>
      </c>
      <c r="B21" s="165" t="s">
        <v>1853</v>
      </c>
      <c r="C21" s="166"/>
      <c r="D21" s="167" t="s">
        <v>3097</v>
      </c>
      <c r="E21" s="167" t="s">
        <v>3092</v>
      </c>
      <c r="F21" s="168" t="e">
        <f>VLOOKUP(D21,'Chấm công XĂNG XE'!$C$11:$AJ$20,34,0)</f>
        <v>#N/A</v>
      </c>
      <c r="G21" s="169">
        <v>20000</v>
      </c>
      <c r="H21" s="168"/>
      <c r="I21" s="168" t="s">
        <v>2807</v>
      </c>
      <c r="J21" s="180" t="e">
        <f t="shared" si="0"/>
        <v>#N/A</v>
      </c>
      <c r="K21" s="180"/>
      <c r="L21" s="180"/>
      <c r="M21" s="180">
        <f t="shared" si="3"/>
        <v>0</v>
      </c>
      <c r="N21" s="180"/>
      <c r="O21" s="180"/>
      <c r="P21" s="180"/>
      <c r="Q21" s="180">
        <f t="shared" si="4"/>
        <v>0</v>
      </c>
      <c r="R21" s="193"/>
      <c r="S21" s="189"/>
      <c r="T21" s="190"/>
      <c r="U21" s="191" t="s">
        <v>2936</v>
      </c>
      <c r="V21" s="192" t="s">
        <v>2937</v>
      </c>
      <c r="W21" s="191"/>
      <c r="X21" s="192"/>
    </row>
    <row r="22" spans="1:24" s="42" customFormat="1" ht="29.25" customHeight="1">
      <c r="A22" s="164">
        <v>12</v>
      </c>
      <c r="B22" s="165"/>
      <c r="C22" s="166" t="s">
        <v>1850</v>
      </c>
      <c r="D22" s="167" t="s">
        <v>3098</v>
      </c>
      <c r="E22" s="167" t="s">
        <v>3092</v>
      </c>
      <c r="F22" s="168">
        <f>VLOOKUP(D22,'Chấm công XĂNG XE'!$C$11:$AJ$20,34,0)</f>
        <v>14</v>
      </c>
      <c r="G22" s="169">
        <v>20000</v>
      </c>
      <c r="H22" s="168"/>
      <c r="I22" s="168" t="s">
        <v>2807</v>
      </c>
      <c r="J22" s="180">
        <f t="shared" si="0"/>
        <v>280000</v>
      </c>
      <c r="K22" s="180"/>
      <c r="L22" s="180"/>
      <c r="M22" s="180">
        <f t="shared" ref="M22:M33" si="5">+K22+L22</f>
        <v>0</v>
      </c>
      <c r="N22" s="180"/>
      <c r="O22" s="180"/>
      <c r="P22" s="180"/>
      <c r="Q22" s="180">
        <f t="shared" ref="Q22:Q33" si="6">M22-N22-P22</f>
        <v>0</v>
      </c>
      <c r="R22" s="193"/>
      <c r="S22" s="189"/>
      <c r="T22" s="190"/>
      <c r="U22" s="191" t="s">
        <v>3056</v>
      </c>
      <c r="V22" s="192"/>
      <c r="W22" s="191"/>
      <c r="X22" s="192"/>
    </row>
    <row r="23" spans="1:24" s="42" customFormat="1" ht="29.25" customHeight="1">
      <c r="A23" s="164">
        <v>13</v>
      </c>
      <c r="B23" s="165"/>
      <c r="C23" s="166" t="s">
        <v>1850</v>
      </c>
      <c r="D23" s="167" t="s">
        <v>3099</v>
      </c>
      <c r="E23" s="167" t="s">
        <v>3092</v>
      </c>
      <c r="F23" s="168" t="e">
        <f>VLOOKUP(D23,'Chấm công XĂNG XE'!$C$11:$AJ$20,34,0)</f>
        <v>#N/A</v>
      </c>
      <c r="G23" s="169">
        <v>20000</v>
      </c>
      <c r="H23" s="168"/>
      <c r="I23" s="168" t="s">
        <v>2807</v>
      </c>
      <c r="J23" s="180" t="e">
        <f t="shared" si="0"/>
        <v>#N/A</v>
      </c>
      <c r="K23" s="180"/>
      <c r="L23" s="180"/>
      <c r="M23" s="180">
        <f t="shared" si="5"/>
        <v>0</v>
      </c>
      <c r="N23" s="180"/>
      <c r="O23" s="180"/>
      <c r="P23" s="180"/>
      <c r="Q23" s="180">
        <f t="shared" si="6"/>
        <v>0</v>
      </c>
      <c r="R23" s="193"/>
      <c r="S23" s="189"/>
      <c r="T23" s="190"/>
      <c r="U23" s="191" t="s">
        <v>3056</v>
      </c>
      <c r="V23" s="192"/>
      <c r="W23" s="191"/>
      <c r="X23" s="192"/>
    </row>
    <row r="24" spans="1:24" s="42" customFormat="1" ht="29.25" customHeight="1">
      <c r="A24" s="164">
        <v>14</v>
      </c>
      <c r="B24" s="165" t="s">
        <v>1852</v>
      </c>
      <c r="C24" s="166"/>
      <c r="D24" s="167" t="s">
        <v>3100</v>
      </c>
      <c r="E24" s="167" t="s">
        <v>3092</v>
      </c>
      <c r="F24" s="168">
        <f>VLOOKUP(D24,'Chấm công XĂNG XE'!$C$11:$AJ$20,34,0)</f>
        <v>14</v>
      </c>
      <c r="G24" s="169">
        <v>20000</v>
      </c>
      <c r="H24" s="168"/>
      <c r="I24" s="168" t="s">
        <v>2807</v>
      </c>
      <c r="J24" s="180">
        <f t="shared" si="0"/>
        <v>280000</v>
      </c>
      <c r="K24" s="180"/>
      <c r="L24" s="180"/>
      <c r="M24" s="180">
        <f t="shared" si="5"/>
        <v>0</v>
      </c>
      <c r="N24" s="180"/>
      <c r="O24" s="180"/>
      <c r="P24" s="180"/>
      <c r="Q24" s="180">
        <f t="shared" si="6"/>
        <v>0</v>
      </c>
      <c r="R24" s="193"/>
      <c r="S24" s="189"/>
      <c r="T24" s="190"/>
      <c r="U24" s="191" t="s">
        <v>2936</v>
      </c>
      <c r="V24" s="192"/>
      <c r="W24" s="191"/>
      <c r="X24" s="192"/>
    </row>
    <row r="25" spans="1:24" s="42" customFormat="1" ht="29.25" customHeight="1">
      <c r="A25" s="164">
        <v>15</v>
      </c>
      <c r="B25" s="165" t="s">
        <v>1853</v>
      </c>
      <c r="C25" s="166"/>
      <c r="D25" s="167" t="s">
        <v>3101</v>
      </c>
      <c r="E25" s="167" t="s">
        <v>3092</v>
      </c>
      <c r="F25" s="168" t="e">
        <f>VLOOKUP(D25,'Chấm công XĂNG XE'!$C$11:$AJ$20,34,0)</f>
        <v>#N/A</v>
      </c>
      <c r="G25" s="169">
        <v>20000</v>
      </c>
      <c r="H25" s="168"/>
      <c r="I25" s="168" t="s">
        <v>2807</v>
      </c>
      <c r="J25" s="180" t="e">
        <f t="shared" ref="J25:J26" si="7">F25*G25</f>
        <v>#N/A</v>
      </c>
      <c r="K25" s="180"/>
      <c r="L25" s="180"/>
      <c r="M25" s="180">
        <f t="shared" ref="M25:M26" si="8">+K25+L25</f>
        <v>0</v>
      </c>
      <c r="N25" s="180"/>
      <c r="O25" s="180"/>
      <c r="P25" s="180"/>
      <c r="Q25" s="180">
        <f t="shared" ref="Q25:Q26" si="9">M25-N25-P25</f>
        <v>0</v>
      </c>
      <c r="R25" s="193"/>
      <c r="S25" s="189"/>
      <c r="T25" s="190"/>
      <c r="U25" s="191" t="s">
        <v>2936</v>
      </c>
      <c r="V25" s="192" t="s">
        <v>2937</v>
      </c>
      <c r="W25" s="191"/>
      <c r="X25" s="192"/>
    </row>
    <row r="26" spans="1:24" s="42" customFormat="1" ht="29.25" customHeight="1">
      <c r="A26" s="164">
        <v>16</v>
      </c>
      <c r="B26" s="165" t="s">
        <v>1853</v>
      </c>
      <c r="C26" s="166"/>
      <c r="D26" s="167" t="s">
        <v>3102</v>
      </c>
      <c r="E26" s="167" t="s">
        <v>1851</v>
      </c>
      <c r="F26" s="168" t="e">
        <f>VLOOKUP(D26,'Chấm công XĂNG XE'!$C$11:$AJ$20,34,0)</f>
        <v>#N/A</v>
      </c>
      <c r="G26" s="169">
        <v>20000</v>
      </c>
      <c r="H26" s="168"/>
      <c r="I26" s="168" t="s">
        <v>2807</v>
      </c>
      <c r="J26" s="180" t="e">
        <f t="shared" si="7"/>
        <v>#N/A</v>
      </c>
      <c r="K26" s="180"/>
      <c r="L26" s="180"/>
      <c r="M26" s="180">
        <f t="shared" si="8"/>
        <v>0</v>
      </c>
      <c r="N26" s="180"/>
      <c r="O26" s="180"/>
      <c r="P26" s="180"/>
      <c r="Q26" s="180">
        <f t="shared" si="9"/>
        <v>0</v>
      </c>
      <c r="R26" s="193"/>
      <c r="S26" s="189"/>
      <c r="T26" s="190"/>
      <c r="U26" s="191" t="s">
        <v>2936</v>
      </c>
      <c r="V26" s="192" t="s">
        <v>2937</v>
      </c>
      <c r="W26" s="191"/>
      <c r="X26" s="192"/>
    </row>
    <row r="27" spans="1:24" s="42" customFormat="1" ht="29.25" customHeight="1">
      <c r="A27" s="164">
        <v>17</v>
      </c>
      <c r="B27" s="165" t="s">
        <v>1853</v>
      </c>
      <c r="C27" s="166"/>
      <c r="D27" s="167" t="s">
        <v>3103</v>
      </c>
      <c r="E27" s="167" t="s">
        <v>1851</v>
      </c>
      <c r="F27" s="168">
        <f>VLOOKUP(D27,'Chấm công XĂNG XE'!$C$11:$AJ$20,34,0)</f>
        <v>31</v>
      </c>
      <c r="G27" s="169">
        <v>20000</v>
      </c>
      <c r="H27" s="168"/>
      <c r="I27" s="168" t="s">
        <v>2807</v>
      </c>
      <c r="J27" s="180">
        <f t="shared" si="0"/>
        <v>620000</v>
      </c>
      <c r="K27" s="180"/>
      <c r="L27" s="180"/>
      <c r="M27" s="180">
        <f t="shared" si="5"/>
        <v>0</v>
      </c>
      <c r="N27" s="180"/>
      <c r="O27" s="180"/>
      <c r="P27" s="180"/>
      <c r="Q27" s="180">
        <f t="shared" si="6"/>
        <v>0</v>
      </c>
      <c r="R27" s="193"/>
      <c r="S27" s="189"/>
      <c r="T27" s="190"/>
      <c r="U27" s="191" t="s">
        <v>2936</v>
      </c>
      <c r="V27" s="192" t="s">
        <v>2937</v>
      </c>
      <c r="W27" s="191"/>
      <c r="X27" s="192"/>
    </row>
    <row r="28" spans="1:24" s="42" customFormat="1" ht="29.25" customHeight="1">
      <c r="A28" s="164">
        <v>18</v>
      </c>
      <c r="B28" s="165" t="s">
        <v>1853</v>
      </c>
      <c r="C28" s="166"/>
      <c r="D28" s="167" t="s">
        <v>3104</v>
      </c>
      <c r="E28" s="167" t="s">
        <v>3105</v>
      </c>
      <c r="F28" s="168">
        <f>VLOOKUP(D28,'Chấm công XĂNG XE'!$C$11:$AJ$20,34,0)</f>
        <v>24</v>
      </c>
      <c r="G28" s="169">
        <v>20000</v>
      </c>
      <c r="H28" s="168"/>
      <c r="I28" s="168" t="s">
        <v>2807</v>
      </c>
      <c r="J28" s="180">
        <f t="shared" si="0"/>
        <v>480000</v>
      </c>
      <c r="K28" s="180"/>
      <c r="L28" s="180"/>
      <c r="M28" s="180">
        <f t="shared" si="5"/>
        <v>0</v>
      </c>
      <c r="N28" s="180"/>
      <c r="O28" s="180"/>
      <c r="P28" s="180"/>
      <c r="Q28" s="180">
        <f t="shared" si="6"/>
        <v>0</v>
      </c>
      <c r="R28" s="193"/>
      <c r="S28" s="189"/>
      <c r="T28" s="190"/>
      <c r="U28" s="191" t="s">
        <v>2936</v>
      </c>
      <c r="V28" s="192" t="s">
        <v>2937</v>
      </c>
      <c r="W28" s="191"/>
      <c r="X28" s="192"/>
    </row>
    <row r="29" spans="1:24" s="42" customFormat="1" ht="29.25" customHeight="1">
      <c r="A29" s="164">
        <v>19</v>
      </c>
      <c r="B29" s="165"/>
      <c r="C29" s="166" t="s">
        <v>1850</v>
      </c>
      <c r="D29" s="167" t="s">
        <v>3106</v>
      </c>
      <c r="E29" s="167" t="s">
        <v>1851</v>
      </c>
      <c r="F29" s="168" t="e">
        <f>VLOOKUP(D29,'Chấm công XĂNG XE'!$C$11:$AJ$20,34,0)</f>
        <v>#N/A</v>
      </c>
      <c r="G29" s="169">
        <v>20000</v>
      </c>
      <c r="H29" s="168"/>
      <c r="I29" s="168" t="s">
        <v>2807</v>
      </c>
      <c r="J29" s="180" t="e">
        <f t="shared" si="0"/>
        <v>#N/A</v>
      </c>
      <c r="K29" s="180"/>
      <c r="L29" s="180"/>
      <c r="M29" s="180">
        <f t="shared" si="5"/>
        <v>0</v>
      </c>
      <c r="N29" s="180"/>
      <c r="O29" s="180"/>
      <c r="P29" s="180"/>
      <c r="Q29" s="180">
        <f t="shared" si="6"/>
        <v>0</v>
      </c>
      <c r="R29" s="193"/>
      <c r="S29" s="189"/>
      <c r="T29" s="190"/>
      <c r="U29" s="191" t="s">
        <v>3056</v>
      </c>
      <c r="V29" s="192"/>
      <c r="W29" s="191"/>
      <c r="X29" s="192"/>
    </row>
    <row r="30" spans="1:24" s="42" customFormat="1" ht="29.25" customHeight="1">
      <c r="A30" s="164">
        <v>20</v>
      </c>
      <c r="B30" s="165"/>
      <c r="C30" s="166" t="s">
        <v>1850</v>
      </c>
      <c r="D30" s="167" t="s">
        <v>3107</v>
      </c>
      <c r="E30" s="167" t="s">
        <v>1851</v>
      </c>
      <c r="F30" s="168" t="e">
        <f>VLOOKUP(D30,'Chấm công XĂNG XE'!$C$11:$AJ$20,34,0)</f>
        <v>#N/A</v>
      </c>
      <c r="G30" s="169">
        <v>20000</v>
      </c>
      <c r="H30" s="168"/>
      <c r="I30" s="168" t="s">
        <v>2807</v>
      </c>
      <c r="J30" s="180" t="e">
        <f t="shared" si="0"/>
        <v>#N/A</v>
      </c>
      <c r="K30" s="180"/>
      <c r="L30" s="180"/>
      <c r="M30" s="180">
        <f t="shared" si="5"/>
        <v>0</v>
      </c>
      <c r="N30" s="180"/>
      <c r="O30" s="180"/>
      <c r="P30" s="180"/>
      <c r="Q30" s="180">
        <f t="shared" si="6"/>
        <v>0</v>
      </c>
      <c r="R30" s="193"/>
      <c r="S30" s="189"/>
      <c r="T30" s="190"/>
      <c r="U30" s="191" t="s">
        <v>3056</v>
      </c>
      <c r="V30" s="192"/>
      <c r="W30" s="191"/>
      <c r="X30" s="192"/>
    </row>
    <row r="31" spans="1:24" s="42" customFormat="1" ht="29.25" customHeight="1">
      <c r="A31" s="164">
        <v>21</v>
      </c>
      <c r="B31" s="165" t="s">
        <v>1852</v>
      </c>
      <c r="C31" s="166"/>
      <c r="D31" s="167" t="s">
        <v>3108</v>
      </c>
      <c r="E31" s="167" t="s">
        <v>1851</v>
      </c>
      <c r="F31" s="168" t="e">
        <f>VLOOKUP(D31,'Chấm công XĂNG XE'!$C$11:$AJ$20,34,0)</f>
        <v>#N/A</v>
      </c>
      <c r="G31" s="169">
        <v>20000</v>
      </c>
      <c r="H31" s="168"/>
      <c r="I31" s="168" t="s">
        <v>2807</v>
      </c>
      <c r="J31" s="180" t="e">
        <f t="shared" si="0"/>
        <v>#N/A</v>
      </c>
      <c r="K31" s="180"/>
      <c r="L31" s="180"/>
      <c r="M31" s="180">
        <f t="shared" si="5"/>
        <v>0</v>
      </c>
      <c r="N31" s="180"/>
      <c r="O31" s="180"/>
      <c r="P31" s="180"/>
      <c r="Q31" s="180">
        <f t="shared" si="6"/>
        <v>0</v>
      </c>
      <c r="R31" s="193"/>
      <c r="S31" s="189"/>
      <c r="T31" s="190"/>
      <c r="U31" s="191" t="s">
        <v>2936</v>
      </c>
      <c r="V31" s="192"/>
      <c r="W31" s="191"/>
      <c r="X31" s="192"/>
    </row>
    <row r="32" spans="1:24" s="42" customFormat="1" ht="29.25" customHeight="1">
      <c r="A32" s="164">
        <v>22</v>
      </c>
      <c r="B32" s="165" t="s">
        <v>1853</v>
      </c>
      <c r="C32" s="166"/>
      <c r="D32" s="167" t="s">
        <v>3109</v>
      </c>
      <c r="E32" s="167" t="s">
        <v>3110</v>
      </c>
      <c r="F32" s="168" t="e">
        <f>VLOOKUP(D32,'Chấm công XĂNG XE'!$C$11:$AJ$20,34,0)</f>
        <v>#N/A</v>
      </c>
      <c r="G32" s="169">
        <v>20000</v>
      </c>
      <c r="H32" s="168"/>
      <c r="I32" s="168" t="s">
        <v>2807</v>
      </c>
      <c r="J32" s="180" t="e">
        <f t="shared" si="0"/>
        <v>#N/A</v>
      </c>
      <c r="K32" s="180"/>
      <c r="L32" s="180"/>
      <c r="M32" s="180">
        <f t="shared" si="5"/>
        <v>0</v>
      </c>
      <c r="N32" s="180"/>
      <c r="O32" s="180"/>
      <c r="P32" s="180"/>
      <c r="Q32" s="180">
        <f t="shared" si="6"/>
        <v>0</v>
      </c>
      <c r="R32" s="193"/>
      <c r="S32" s="189"/>
      <c r="T32" s="190"/>
      <c r="U32" s="191" t="s">
        <v>2936</v>
      </c>
      <c r="V32" s="192" t="s">
        <v>2937</v>
      </c>
      <c r="W32" s="191"/>
      <c r="X32" s="192"/>
    </row>
    <row r="33" spans="1:24" s="42" customFormat="1" ht="29.25" customHeight="1">
      <c r="A33" s="164">
        <v>23</v>
      </c>
      <c r="B33" s="165" t="s">
        <v>1853</v>
      </c>
      <c r="C33" s="166"/>
      <c r="D33" s="167" t="s">
        <v>3111</v>
      </c>
      <c r="E33" s="167" t="s">
        <v>3112</v>
      </c>
      <c r="F33" s="168">
        <f>VLOOKUP(D33,'Chấm công XĂNG XE'!$C$11:$AJ$20,34,0)</f>
        <v>14</v>
      </c>
      <c r="G33" s="169">
        <v>20000</v>
      </c>
      <c r="H33" s="168"/>
      <c r="I33" s="168" t="s">
        <v>2807</v>
      </c>
      <c r="J33" s="180">
        <f t="shared" si="0"/>
        <v>280000</v>
      </c>
      <c r="K33" s="180"/>
      <c r="L33" s="180"/>
      <c r="M33" s="180">
        <f t="shared" si="5"/>
        <v>0</v>
      </c>
      <c r="N33" s="180"/>
      <c r="O33" s="180"/>
      <c r="P33" s="180"/>
      <c r="Q33" s="180">
        <f t="shared" si="6"/>
        <v>0</v>
      </c>
      <c r="R33" s="193"/>
      <c r="S33" s="189"/>
      <c r="T33" s="190"/>
      <c r="U33" s="191" t="s">
        <v>2936</v>
      </c>
      <c r="V33" s="192" t="s">
        <v>2937</v>
      </c>
      <c r="W33" s="191"/>
      <c r="X33" s="192"/>
    </row>
    <row r="34" spans="1:24" s="42" customFormat="1" ht="29.25" customHeight="1">
      <c r="A34" s="164">
        <v>24</v>
      </c>
      <c r="B34" s="165" t="s">
        <v>1853</v>
      </c>
      <c r="C34" s="166"/>
      <c r="D34" s="167" t="s">
        <v>3113</v>
      </c>
      <c r="E34" s="167" t="s">
        <v>3114</v>
      </c>
      <c r="F34" s="168" t="e">
        <f>VLOOKUP(D34,'Chấm công XĂNG XE'!$C$11:$AJ$20,34,0)</f>
        <v>#N/A</v>
      </c>
      <c r="G34" s="169">
        <v>20000</v>
      </c>
      <c r="H34" s="168"/>
      <c r="I34" s="168" t="s">
        <v>2807</v>
      </c>
      <c r="J34" s="180" t="e">
        <f t="shared" si="0"/>
        <v>#N/A</v>
      </c>
      <c r="K34" s="180"/>
      <c r="L34" s="180"/>
      <c r="M34" s="180">
        <f t="shared" ref="M34:M39" si="10">+K34+L34</f>
        <v>0</v>
      </c>
      <c r="N34" s="180"/>
      <c r="O34" s="180"/>
      <c r="P34" s="180"/>
      <c r="Q34" s="180">
        <f t="shared" ref="Q34:Q39" si="11">M34-N34-P34</f>
        <v>0</v>
      </c>
      <c r="R34" s="193"/>
      <c r="S34" s="189"/>
      <c r="T34" s="190"/>
      <c r="U34" s="191" t="s">
        <v>2936</v>
      </c>
      <c r="V34" s="192" t="s">
        <v>2937</v>
      </c>
      <c r="W34" s="191"/>
      <c r="X34" s="192"/>
    </row>
    <row r="35" spans="1:24" s="42" customFormat="1" ht="29.25" customHeight="1">
      <c r="A35" s="164">
        <v>25</v>
      </c>
      <c r="B35" s="165" t="s">
        <v>1853</v>
      </c>
      <c r="C35" s="166"/>
      <c r="D35" s="167" t="s">
        <v>3115</v>
      </c>
      <c r="E35" s="167" t="s">
        <v>3116</v>
      </c>
      <c r="F35" s="168" t="e">
        <f>VLOOKUP(D35,'Chấm công XĂNG XE'!$C$11:$AJ$20,34,0)</f>
        <v>#N/A</v>
      </c>
      <c r="G35" s="169">
        <v>20000</v>
      </c>
      <c r="H35" s="168"/>
      <c r="I35" s="168" t="s">
        <v>2807</v>
      </c>
      <c r="J35" s="180" t="e">
        <f t="shared" si="0"/>
        <v>#N/A</v>
      </c>
      <c r="K35" s="180"/>
      <c r="L35" s="180"/>
      <c r="M35" s="180">
        <f t="shared" si="10"/>
        <v>0</v>
      </c>
      <c r="N35" s="180"/>
      <c r="O35" s="180"/>
      <c r="P35" s="180"/>
      <c r="Q35" s="180">
        <f t="shared" si="11"/>
        <v>0</v>
      </c>
      <c r="R35" s="193"/>
      <c r="S35" s="189"/>
      <c r="T35" s="190"/>
      <c r="U35" s="191" t="s">
        <v>2936</v>
      </c>
      <c r="V35" s="192" t="s">
        <v>2937</v>
      </c>
      <c r="W35" s="191"/>
      <c r="X35" s="192"/>
    </row>
    <row r="36" spans="1:24" s="42" customFormat="1" ht="29.25" customHeight="1">
      <c r="A36" s="164">
        <v>26</v>
      </c>
      <c r="B36" s="165"/>
      <c r="C36" s="166" t="s">
        <v>1850</v>
      </c>
      <c r="D36" s="167" t="s">
        <v>1907</v>
      </c>
      <c r="E36" s="167" t="s">
        <v>3117</v>
      </c>
      <c r="F36" s="168" t="e">
        <f>VLOOKUP(D36,'Chấm công XĂNG XE'!$C$11:$AJ$20,34,0)</f>
        <v>#N/A</v>
      </c>
      <c r="G36" s="169">
        <v>20000</v>
      </c>
      <c r="H36" s="168"/>
      <c r="I36" s="168" t="s">
        <v>2807</v>
      </c>
      <c r="J36" s="180" t="e">
        <f t="shared" si="0"/>
        <v>#N/A</v>
      </c>
      <c r="K36" s="180"/>
      <c r="L36" s="180"/>
      <c r="M36" s="180">
        <f t="shared" si="10"/>
        <v>0</v>
      </c>
      <c r="N36" s="180"/>
      <c r="O36" s="180"/>
      <c r="P36" s="180"/>
      <c r="Q36" s="180">
        <f t="shared" si="11"/>
        <v>0</v>
      </c>
      <c r="R36" s="193"/>
      <c r="S36" s="189"/>
      <c r="T36" s="190"/>
      <c r="U36" s="191" t="s">
        <v>3056</v>
      </c>
      <c r="V36" s="192"/>
      <c r="W36" s="191"/>
      <c r="X36" s="192"/>
    </row>
    <row r="37" spans="1:24" s="42" customFormat="1" ht="29.25" customHeight="1">
      <c r="A37" s="164">
        <v>27</v>
      </c>
      <c r="B37" s="165"/>
      <c r="C37" s="166" t="s">
        <v>1850</v>
      </c>
      <c r="D37" s="167" t="s">
        <v>1905</v>
      </c>
      <c r="E37" s="167" t="s">
        <v>3118</v>
      </c>
      <c r="F37" s="168" t="e">
        <f>VLOOKUP(D37,'Chấm công XĂNG XE'!$C$11:$AJ$20,34,0)</f>
        <v>#N/A</v>
      </c>
      <c r="G37" s="169">
        <v>20000</v>
      </c>
      <c r="H37" s="168"/>
      <c r="I37" s="168" t="s">
        <v>2807</v>
      </c>
      <c r="J37" s="180" t="e">
        <f t="shared" si="0"/>
        <v>#N/A</v>
      </c>
      <c r="K37" s="180"/>
      <c r="L37" s="180"/>
      <c r="M37" s="180">
        <f t="shared" si="10"/>
        <v>0</v>
      </c>
      <c r="N37" s="180"/>
      <c r="O37" s="180"/>
      <c r="P37" s="180"/>
      <c r="Q37" s="180">
        <f t="shared" si="11"/>
        <v>0</v>
      </c>
      <c r="R37" s="193"/>
      <c r="S37" s="189"/>
      <c r="T37" s="190"/>
      <c r="U37" s="191" t="s">
        <v>3056</v>
      </c>
      <c r="V37" s="192"/>
      <c r="W37" s="191"/>
      <c r="X37" s="192"/>
    </row>
    <row r="38" spans="1:24" s="42" customFormat="1" ht="29.25" customHeight="1">
      <c r="A38" s="164">
        <v>28</v>
      </c>
      <c r="B38" s="165" t="s">
        <v>1852</v>
      </c>
      <c r="C38" s="166"/>
      <c r="D38" s="167" t="s">
        <v>51</v>
      </c>
      <c r="E38" s="167" t="s">
        <v>3119</v>
      </c>
      <c r="F38" s="168" t="e">
        <f>VLOOKUP(D38,'Chấm công XĂNG XE'!$C$11:$AJ$20,34,0)</f>
        <v>#N/A</v>
      </c>
      <c r="G38" s="169">
        <v>20000</v>
      </c>
      <c r="H38" s="168"/>
      <c r="I38" s="168" t="s">
        <v>2807</v>
      </c>
      <c r="J38" s="180" t="e">
        <f t="shared" si="0"/>
        <v>#N/A</v>
      </c>
      <c r="K38" s="180"/>
      <c r="L38" s="180"/>
      <c r="M38" s="180">
        <f t="shared" si="10"/>
        <v>0</v>
      </c>
      <c r="N38" s="180"/>
      <c r="O38" s="180"/>
      <c r="P38" s="180"/>
      <c r="Q38" s="180">
        <f t="shared" si="11"/>
        <v>0</v>
      </c>
      <c r="R38" s="193"/>
      <c r="S38" s="189"/>
      <c r="T38" s="190"/>
      <c r="U38" s="191" t="s">
        <v>2936</v>
      </c>
      <c r="V38" s="192"/>
      <c r="W38" s="191"/>
      <c r="X38" s="192">
        <f>677*20</f>
        <v>13540</v>
      </c>
    </row>
    <row r="39" spans="1:24" s="42" customFormat="1" ht="29.25" customHeight="1">
      <c r="A39" s="164">
        <v>29</v>
      </c>
      <c r="B39" s="165" t="s">
        <v>1853</v>
      </c>
      <c r="C39" s="166"/>
      <c r="D39" s="167" t="s">
        <v>1911</v>
      </c>
      <c r="E39" s="167" t="s">
        <v>3120</v>
      </c>
      <c r="F39" s="168" t="e">
        <f>VLOOKUP(D39,'Chấm công XĂNG XE'!$C$11:$AJ$20,34,0)</f>
        <v>#N/A</v>
      </c>
      <c r="G39" s="169">
        <v>20000</v>
      </c>
      <c r="H39" s="168"/>
      <c r="I39" s="168" t="s">
        <v>2807</v>
      </c>
      <c r="J39" s="180" t="e">
        <f t="shared" si="0"/>
        <v>#N/A</v>
      </c>
      <c r="K39" s="180"/>
      <c r="L39" s="180"/>
      <c r="M39" s="180">
        <f t="shared" si="10"/>
        <v>0</v>
      </c>
      <c r="N39" s="180"/>
      <c r="O39" s="180"/>
      <c r="P39" s="180"/>
      <c r="Q39" s="180">
        <f t="shared" si="11"/>
        <v>0</v>
      </c>
      <c r="R39" s="193"/>
      <c r="S39" s="189"/>
      <c r="T39" s="190"/>
      <c r="U39" s="191" t="s">
        <v>2936</v>
      </c>
      <c r="V39" s="192" t="s">
        <v>2937</v>
      </c>
      <c r="W39" s="191"/>
      <c r="X39" s="192"/>
    </row>
    <row r="40" spans="1:24" s="42" customFormat="1" ht="29.25" customHeight="1">
      <c r="A40" s="2901" t="s">
        <v>608</v>
      </c>
      <c r="B40" s="2901"/>
      <c r="C40" s="2901"/>
      <c r="D40" s="2901"/>
      <c r="E40" s="2901"/>
      <c r="F40" s="170" t="e">
        <f>SUM(F11:F39)</f>
        <v>#N/A</v>
      </c>
      <c r="G40" s="170"/>
      <c r="H40" s="162"/>
      <c r="I40" s="162"/>
      <c r="J40" s="181" t="e">
        <f t="shared" ref="J40:Q40" si="12">SUM(J11:J39)</f>
        <v>#N/A</v>
      </c>
      <c r="K40" s="181">
        <f t="shared" si="12"/>
        <v>0</v>
      </c>
      <c r="L40" s="181">
        <f t="shared" si="12"/>
        <v>0</v>
      </c>
      <c r="M40" s="181">
        <f t="shared" si="12"/>
        <v>0</v>
      </c>
      <c r="N40" s="181">
        <f t="shared" si="12"/>
        <v>0</v>
      </c>
      <c r="O40" s="181">
        <f t="shared" si="12"/>
        <v>0</v>
      </c>
      <c r="P40" s="181">
        <f t="shared" si="12"/>
        <v>0</v>
      </c>
      <c r="Q40" s="181">
        <f t="shared" si="12"/>
        <v>0</v>
      </c>
      <c r="R40" s="162"/>
      <c r="S40" s="162"/>
      <c r="T40" s="194">
        <f>+Q40/25</f>
        <v>0</v>
      </c>
      <c r="U40" s="195"/>
      <c r="V40" s="192">
        <f>14*1200</f>
        <v>16800</v>
      </c>
      <c r="W40" s="196">
        <f>1700/31*26</f>
        <v>1425.8064516129</v>
      </c>
      <c r="X40" s="192"/>
    </row>
    <row r="41" spans="1:24" s="157" customFormat="1" ht="15.75" customHeight="1">
      <c r="A41" s="2910" t="s">
        <v>3121</v>
      </c>
      <c r="B41" s="2910"/>
      <c r="C41" s="2910"/>
      <c r="D41" s="2910"/>
      <c r="E41" s="2910"/>
      <c r="F41" s="2910"/>
      <c r="G41" s="2910"/>
      <c r="H41" s="2910"/>
      <c r="I41" s="2910"/>
      <c r="J41" s="2910"/>
      <c r="K41" s="2910"/>
      <c r="L41" s="2910"/>
      <c r="M41" s="2910"/>
      <c r="N41" s="2910"/>
      <c r="O41" s="2910"/>
      <c r="P41" s="2910"/>
      <c r="Q41" s="2910"/>
      <c r="R41" s="2910"/>
      <c r="S41" s="2910"/>
      <c r="T41" s="197"/>
      <c r="U41" s="198"/>
      <c r="W41" s="199" t="e">
        <f>+W40/25+#REF!</f>
        <v>#REF!</v>
      </c>
    </row>
    <row r="42" spans="1:24" s="157" customFormat="1" ht="14.25">
      <c r="E42" s="171"/>
      <c r="F42" s="171"/>
      <c r="G42" s="171"/>
      <c r="H42" s="171"/>
      <c r="I42" s="171"/>
      <c r="J42" s="171"/>
      <c r="K42" s="171"/>
      <c r="L42" s="171"/>
      <c r="M42" s="171"/>
      <c r="N42" s="171"/>
      <c r="O42" s="171"/>
      <c r="P42" s="171"/>
      <c r="Q42" s="171"/>
      <c r="T42" s="157">
        <f>900*14</f>
        <v>12600</v>
      </c>
      <c r="U42" s="198"/>
    </row>
    <row r="43" spans="1:24" ht="15" customHeight="1">
      <c r="A43" s="172"/>
      <c r="B43" s="172"/>
      <c r="D43" s="173"/>
      <c r="F43" s="174"/>
      <c r="J43" s="2909" t="s">
        <v>2753</v>
      </c>
      <c r="K43" s="2909"/>
      <c r="L43" s="2909"/>
      <c r="M43" s="2909"/>
      <c r="N43" s="2909"/>
      <c r="O43" s="2909"/>
      <c r="P43" s="2909"/>
      <c r="Q43" s="2909"/>
      <c r="R43" s="2909"/>
      <c r="S43" s="2909"/>
      <c r="T43" s="182"/>
      <c r="U43" s="200"/>
      <c r="V43" s="201" t="e">
        <f>+F40*20</f>
        <v>#N/A</v>
      </c>
    </row>
    <row r="44" spans="1:24" ht="15.75">
      <c r="A44" s="2552" t="s">
        <v>1921</v>
      </c>
      <c r="B44" s="2552"/>
      <c r="C44" s="2552"/>
      <c r="D44" s="2552"/>
      <c r="E44" s="2807" t="s">
        <v>616</v>
      </c>
      <c r="F44" s="2807"/>
      <c r="G44" s="176"/>
      <c r="H44" s="176"/>
      <c r="I44" s="176" t="s">
        <v>3060</v>
      </c>
      <c r="J44" s="176"/>
      <c r="K44" s="176"/>
      <c r="L44" s="176"/>
      <c r="M44" s="176"/>
      <c r="N44" s="2552" t="s">
        <v>612</v>
      </c>
      <c r="O44" s="2552"/>
      <c r="P44" s="2552"/>
      <c r="Q44" s="2552"/>
      <c r="R44" s="2552"/>
      <c r="S44" s="2552"/>
      <c r="T44" s="175"/>
      <c r="U44" s="176"/>
    </row>
    <row r="47" spans="1:24" ht="57.75" customHeight="1"/>
    <row r="49" spans="1:20" s="157" customFormat="1" ht="14.25">
      <c r="A49" s="2335" t="s">
        <v>1924</v>
      </c>
      <c r="B49" s="2335"/>
      <c r="C49" s="2335"/>
      <c r="D49" s="2335"/>
      <c r="E49" s="2335" t="s">
        <v>2775</v>
      </c>
      <c r="F49" s="2335"/>
      <c r="J49" s="183"/>
      <c r="Q49" s="2335" t="s">
        <v>613</v>
      </c>
      <c r="R49" s="2335"/>
      <c r="S49" s="2335"/>
    </row>
    <row r="50" spans="1:20">
      <c r="Q50" s="2335"/>
      <c r="R50" s="2335"/>
      <c r="S50" s="2335"/>
      <c r="T50" s="160"/>
    </row>
  </sheetData>
  <mergeCells count="30">
    <mergeCell ref="A1:S1"/>
    <mergeCell ref="A2:S2"/>
    <mergeCell ref="A3:S3"/>
    <mergeCell ref="A4:S4"/>
    <mergeCell ref="A5:F5"/>
    <mergeCell ref="N44:S44"/>
    <mergeCell ref="A49:D49"/>
    <mergeCell ref="E49:F49"/>
    <mergeCell ref="Q49:S49"/>
    <mergeCell ref="A6:S6"/>
    <mergeCell ref="A7:S7"/>
    <mergeCell ref="F9:K9"/>
    <mergeCell ref="A40:E40"/>
    <mergeCell ref="A41:S41"/>
    <mergeCell ref="Q50:S50"/>
    <mergeCell ref="A9:A10"/>
    <mergeCell ref="B9:B10"/>
    <mergeCell ref="E9:E10"/>
    <mergeCell ref="L9:L10"/>
    <mergeCell ref="M9:M10"/>
    <mergeCell ref="N9:N10"/>
    <mergeCell ref="O9:O10"/>
    <mergeCell ref="P9:P10"/>
    <mergeCell ref="Q9:Q10"/>
    <mergeCell ref="R9:R10"/>
    <mergeCell ref="S9:S10"/>
    <mergeCell ref="C9:D10"/>
    <mergeCell ref="J43:S43"/>
    <mergeCell ref="A44:D44"/>
    <mergeCell ref="E44:F44"/>
  </mergeCells>
  <printOptions horizontalCentered="1"/>
  <pageMargins left="0" right="0" top="0.78740157480314998" bottom="0.196850393700787" header="0.31496062992126" footer="0.31496062992126"/>
  <pageSetup paperSize="9" scale="90" orientation="portrait"/>
  <headerFooter>
    <oddFooter>&amp;R&amp;P</oddFooter>
  </headerFooter>
  <drawing r:id="rId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30A0"/>
  </sheetPr>
  <dimension ref="A1:BJ63"/>
  <sheetViews>
    <sheetView topLeftCell="A7" workbookViewId="0">
      <pane xSplit="4" ySplit="5" topLeftCell="K12" activePane="bottomRight" state="frozen"/>
      <selection pane="topRight"/>
      <selection pane="bottomLeft"/>
      <selection pane="bottomRight" activeCell="AB19" sqref="AB19"/>
    </sheetView>
  </sheetViews>
  <sheetFormatPr defaultColWidth="9.140625" defaultRowHeight="15"/>
  <cols>
    <col min="1" max="1" width="3.140625" style="28" customWidth="1"/>
    <col min="2" max="2" width="6.42578125" style="28" customWidth="1"/>
    <col min="3" max="3" width="23" style="28" customWidth="1"/>
    <col min="4" max="4" width="13.140625" style="28" customWidth="1"/>
    <col min="5" max="33" width="5" style="28" customWidth="1"/>
    <col min="34" max="34" width="4.7109375" style="28" customWidth="1"/>
    <col min="35" max="35" width="4.7109375" style="28" hidden="1" customWidth="1"/>
    <col min="36" max="36" width="6.140625" style="28" customWidth="1"/>
    <col min="37" max="37" width="5.85546875" style="28" hidden="1" customWidth="1"/>
    <col min="38" max="38" width="11" style="28" customWidth="1"/>
    <col min="39" max="47" width="9.140625" style="28" hidden="1" customWidth="1"/>
    <col min="48" max="48" width="1.5703125" style="28" customWidth="1"/>
    <col min="49" max="49" width="10.140625" style="28" customWidth="1"/>
    <col min="50" max="16384" width="9.140625" style="28"/>
  </cols>
  <sheetData>
    <row r="1" spans="2:49" s="26" customFormat="1" ht="15.6" customHeight="1">
      <c r="B1" s="2287" t="s">
        <v>617</v>
      </c>
      <c r="C1" s="2287"/>
      <c r="D1" s="2287"/>
      <c r="E1" s="2287"/>
      <c r="F1" s="2287"/>
      <c r="G1" s="2287"/>
      <c r="H1" s="2287"/>
      <c r="I1" s="2287"/>
      <c r="J1" s="2287"/>
      <c r="K1" s="2287"/>
      <c r="L1" s="2287"/>
      <c r="M1" s="2287"/>
      <c r="N1" s="2287"/>
      <c r="O1" s="2287"/>
      <c r="P1" s="2287"/>
      <c r="Q1" s="2287"/>
      <c r="R1" s="2287"/>
      <c r="S1" s="2287"/>
      <c r="T1" s="2287"/>
      <c r="U1" s="2287"/>
      <c r="V1" s="2287"/>
      <c r="W1" s="2287"/>
      <c r="X1" s="2287"/>
      <c r="Y1" s="2287"/>
      <c r="Z1" s="2287"/>
      <c r="AA1" s="2287"/>
      <c r="AB1" s="2287"/>
      <c r="AC1" s="2287"/>
      <c r="AD1" s="2287"/>
      <c r="AE1" s="2287"/>
      <c r="AF1" s="2287"/>
      <c r="AG1" s="2287"/>
      <c r="AH1" s="2287"/>
      <c r="AI1" s="2287"/>
      <c r="AJ1" s="2287"/>
      <c r="AK1" s="2287"/>
      <c r="AL1" s="2287"/>
      <c r="AO1" s="29">
        <v>1</v>
      </c>
      <c r="AP1" s="29">
        <v>2</v>
      </c>
      <c r="AQ1" s="29">
        <v>3</v>
      </c>
      <c r="AR1" s="29">
        <v>4</v>
      </c>
      <c r="AS1" s="29">
        <v>5</v>
      </c>
      <c r="AT1" s="29">
        <v>6</v>
      </c>
      <c r="AU1" s="29">
        <v>7</v>
      </c>
    </row>
    <row r="2" spans="2:49" s="26" customFormat="1" ht="15.75">
      <c r="B2" s="2287" t="s">
        <v>618</v>
      </c>
      <c r="C2" s="2287"/>
      <c r="D2" s="2287"/>
      <c r="E2" s="2287"/>
      <c r="F2" s="2287"/>
      <c r="G2" s="2287"/>
      <c r="H2" s="2287"/>
      <c r="I2" s="2287"/>
      <c r="J2" s="2287"/>
      <c r="K2" s="2287"/>
      <c r="L2" s="2287"/>
      <c r="M2" s="2287"/>
      <c r="N2" s="2287"/>
      <c r="O2" s="2287"/>
      <c r="P2" s="2287"/>
      <c r="Q2" s="2287"/>
      <c r="R2" s="2287"/>
      <c r="S2" s="2287"/>
      <c r="T2" s="2287"/>
      <c r="U2" s="2287"/>
      <c r="V2" s="2287"/>
      <c r="W2" s="2287"/>
      <c r="X2" s="2287"/>
      <c r="Y2" s="2287"/>
      <c r="Z2" s="2287"/>
      <c r="AA2" s="2287"/>
      <c r="AB2" s="2287"/>
      <c r="AC2" s="2287"/>
      <c r="AD2" s="2287"/>
      <c r="AE2" s="2287"/>
      <c r="AF2" s="2287"/>
      <c r="AG2" s="2287"/>
      <c r="AH2" s="2287"/>
      <c r="AI2" s="2287"/>
      <c r="AJ2" s="2287"/>
      <c r="AK2" s="2287"/>
      <c r="AL2" s="2287"/>
      <c r="AO2" s="29" t="s">
        <v>554</v>
      </c>
      <c r="AP2" s="29" t="s">
        <v>2820</v>
      </c>
      <c r="AQ2" s="29" t="s">
        <v>2821</v>
      </c>
      <c r="AR2" s="29" t="s">
        <v>2822</v>
      </c>
      <c r="AS2" s="29" t="s">
        <v>212</v>
      </c>
      <c r="AT2" s="29" t="s">
        <v>2823</v>
      </c>
      <c r="AU2" s="29" t="s">
        <v>2824</v>
      </c>
    </row>
    <row r="3" spans="2:49" s="26" customFormat="1" ht="15.75">
      <c r="B3" s="2923" t="s">
        <v>619</v>
      </c>
      <c r="C3" s="2287"/>
      <c r="D3" s="2287"/>
      <c r="E3" s="2287"/>
      <c r="F3" s="2287"/>
      <c r="G3" s="2287"/>
      <c r="H3" s="2287"/>
      <c r="I3" s="2287"/>
      <c r="J3" s="2287"/>
      <c r="K3" s="2287"/>
      <c r="L3" s="2287"/>
      <c r="M3" s="2287"/>
      <c r="N3" s="2287"/>
      <c r="O3" s="2287"/>
      <c r="P3" s="2287"/>
      <c r="Q3" s="2287"/>
      <c r="R3" s="2287"/>
      <c r="S3" s="2287"/>
      <c r="T3" s="2287"/>
      <c r="U3" s="2287"/>
      <c r="V3" s="2287"/>
      <c r="W3" s="2287"/>
      <c r="X3" s="2287"/>
      <c r="Y3" s="2287"/>
      <c r="Z3" s="2287"/>
      <c r="AA3" s="2287"/>
      <c r="AB3" s="2287"/>
      <c r="AC3" s="2287"/>
      <c r="AD3" s="2287"/>
      <c r="AE3" s="2287"/>
      <c r="AF3" s="2287"/>
      <c r="AG3" s="2287"/>
      <c r="AH3" s="2287"/>
      <c r="AI3" s="2287"/>
      <c r="AJ3" s="2287"/>
      <c r="AK3" s="2287"/>
      <c r="AL3" s="2287"/>
      <c r="AO3" s="29"/>
      <c r="AP3" s="29"/>
      <c r="AQ3" s="29"/>
      <c r="AR3" s="29"/>
      <c r="AS3" s="29"/>
      <c r="AT3" s="29"/>
      <c r="AU3" s="29"/>
    </row>
    <row r="4" spans="2:49" s="26" customFormat="1" ht="15.75">
      <c r="B4" s="2287" t="s">
        <v>2978</v>
      </c>
      <c r="C4" s="2287"/>
      <c r="D4" s="2287"/>
      <c r="E4" s="2287"/>
      <c r="F4" s="2287"/>
      <c r="G4" s="2287"/>
      <c r="H4" s="2287"/>
      <c r="I4" s="2287"/>
      <c r="J4" s="2287"/>
      <c r="K4" s="2287"/>
      <c r="L4" s="29"/>
      <c r="M4" s="29"/>
      <c r="N4" s="29"/>
      <c r="O4" s="29"/>
      <c r="P4" s="29"/>
      <c r="Q4" s="29"/>
      <c r="R4" s="29"/>
      <c r="S4" s="29"/>
      <c r="T4" s="29"/>
      <c r="U4" s="29"/>
      <c r="V4" s="29"/>
      <c r="W4" s="29"/>
      <c r="X4" s="29"/>
      <c r="Y4" s="29"/>
      <c r="Z4" s="29"/>
      <c r="AA4" s="29"/>
      <c r="AB4" s="29"/>
      <c r="AC4" s="29"/>
      <c r="AD4" s="29"/>
      <c r="AE4" s="29"/>
      <c r="AF4" s="29"/>
      <c r="AG4" s="29"/>
      <c r="AH4" s="29"/>
      <c r="AI4" s="29"/>
      <c r="AJ4" s="29"/>
      <c r="AK4" s="29"/>
      <c r="AL4" s="29"/>
      <c r="AO4" s="29"/>
      <c r="AP4" s="29"/>
      <c r="AQ4" s="29"/>
      <c r="AR4" s="29"/>
      <c r="AS4" s="29"/>
      <c r="AT4" s="29"/>
      <c r="AU4" s="29"/>
    </row>
    <row r="5" spans="2:49" s="26" customFormat="1" ht="15.75">
      <c r="B5" s="2287" t="s">
        <v>611</v>
      </c>
      <c r="C5" s="2287"/>
      <c r="D5" s="2287"/>
      <c r="E5" s="2287"/>
      <c r="F5" s="2287"/>
      <c r="G5" s="2287"/>
      <c r="H5" s="2287"/>
      <c r="I5" s="2287"/>
      <c r="J5" s="2287"/>
      <c r="K5" s="2287"/>
      <c r="L5" s="29"/>
      <c r="M5" s="29"/>
      <c r="N5" s="29"/>
      <c r="O5" s="29"/>
      <c r="P5" s="29"/>
      <c r="Q5" s="29"/>
      <c r="R5" s="29"/>
      <c r="S5" s="29"/>
      <c r="T5" s="29"/>
      <c r="U5" s="29"/>
      <c r="V5" s="29"/>
      <c r="W5" s="29"/>
      <c r="X5" s="29"/>
      <c r="Y5" s="29"/>
      <c r="Z5" s="29"/>
      <c r="AA5" s="29"/>
      <c r="AB5" s="29"/>
      <c r="AC5" s="29"/>
      <c r="AD5" s="29"/>
      <c r="AE5" s="29"/>
      <c r="AF5" s="29"/>
      <c r="AG5" s="29"/>
      <c r="AH5" s="29"/>
      <c r="AI5" s="29"/>
      <c r="AJ5" s="29"/>
      <c r="AK5" s="29"/>
      <c r="AL5" s="29"/>
      <c r="AO5" s="29"/>
      <c r="AP5" s="29"/>
      <c r="AQ5" s="29"/>
      <c r="AR5" s="29"/>
      <c r="AS5" s="29"/>
      <c r="AT5" s="29"/>
      <c r="AU5" s="29"/>
    </row>
    <row r="6" spans="2:49" ht="18.75">
      <c r="E6" s="2290" t="s">
        <v>2825</v>
      </c>
      <c r="F6" s="2290"/>
      <c r="G6" s="2290"/>
      <c r="H6" s="2290"/>
      <c r="I6" s="2290"/>
      <c r="J6" s="2290"/>
      <c r="K6" s="2290"/>
      <c r="L6" s="2290"/>
      <c r="M6" s="2290"/>
      <c r="N6" s="2290"/>
      <c r="O6" s="2290"/>
      <c r="P6" s="2290"/>
      <c r="Q6" s="2290"/>
      <c r="R6" s="2290"/>
      <c r="S6" s="2290"/>
      <c r="T6" s="2290"/>
      <c r="U6" s="2290"/>
      <c r="V6" s="2290"/>
      <c r="W6" s="2290"/>
      <c r="X6" s="2290"/>
      <c r="Y6" s="2290"/>
      <c r="Z6" s="2290"/>
      <c r="AA6" s="2290"/>
      <c r="AB6" s="2290"/>
      <c r="AC6" s="2290"/>
      <c r="AD6" s="2290"/>
      <c r="AE6" s="2290"/>
      <c r="AF6" s="2290"/>
      <c r="AG6" s="2290"/>
      <c r="AH6" s="2290"/>
      <c r="AI6" s="2290"/>
    </row>
    <row r="7" spans="2:49" ht="16.5" customHeight="1">
      <c r="B7" s="2272" t="s">
        <v>2826</v>
      </c>
      <c r="C7" s="2272"/>
      <c r="D7" s="43">
        <v>2025</v>
      </c>
      <c r="E7" s="2282" t="str">
        <f>"Tháng "&amp;IF(LEN($D$8)=1,"0"&amp;$D$8,$D$8)&amp;" năm "&amp;D7</f>
        <v>Tháng 04 năm 2025</v>
      </c>
      <c r="F7" s="2282"/>
      <c r="G7" s="2282"/>
      <c r="H7" s="2282"/>
      <c r="I7" s="2282"/>
      <c r="J7" s="2282"/>
      <c r="K7" s="2282"/>
      <c r="L7" s="2282"/>
      <c r="M7" s="2282"/>
      <c r="N7" s="2282"/>
      <c r="O7" s="2282"/>
      <c r="P7" s="2282"/>
      <c r="Q7" s="2282"/>
      <c r="R7" s="2282"/>
      <c r="S7" s="2282"/>
      <c r="T7" s="2282"/>
      <c r="U7" s="2282"/>
      <c r="V7" s="2282"/>
      <c r="W7" s="2282"/>
      <c r="X7" s="2282"/>
      <c r="Y7" s="2282"/>
      <c r="Z7" s="2282"/>
      <c r="AA7" s="2282"/>
      <c r="AB7" s="2282"/>
      <c r="AC7" s="2282"/>
      <c r="AD7" s="2282"/>
      <c r="AE7" s="2282"/>
      <c r="AF7" s="2282"/>
      <c r="AG7" s="2282"/>
      <c r="AH7" s="2282"/>
      <c r="AI7" s="2282"/>
    </row>
    <row r="8" spans="2:49">
      <c r="B8" s="2920" t="s">
        <v>2827</v>
      </c>
      <c r="C8" s="2920"/>
      <c r="D8" s="43">
        <v>4</v>
      </c>
    </row>
    <row r="9" spans="2:49" ht="22.5" customHeight="1">
      <c r="B9" s="2914" t="s">
        <v>6</v>
      </c>
      <c r="C9" s="2916" t="s">
        <v>3122</v>
      </c>
      <c r="D9" s="2918" t="s">
        <v>9</v>
      </c>
      <c r="E9" s="36">
        <v>1</v>
      </c>
      <c r="F9" s="36">
        <v>2</v>
      </c>
      <c r="G9" s="36">
        <v>3</v>
      </c>
      <c r="H9" s="36">
        <v>4</v>
      </c>
      <c r="I9" s="36">
        <v>5</v>
      </c>
      <c r="J9" s="36">
        <v>6</v>
      </c>
      <c r="K9" s="36">
        <v>7</v>
      </c>
      <c r="L9" s="36">
        <v>8</v>
      </c>
      <c r="M9" s="36">
        <v>9</v>
      </c>
      <c r="N9" s="36">
        <v>10</v>
      </c>
      <c r="O9" s="36">
        <v>11</v>
      </c>
      <c r="P9" s="36">
        <v>12</v>
      </c>
      <c r="Q9" s="36">
        <v>13</v>
      </c>
      <c r="R9" s="36">
        <v>14</v>
      </c>
      <c r="S9" s="36">
        <v>15</v>
      </c>
      <c r="T9" s="36">
        <v>16</v>
      </c>
      <c r="U9" s="36">
        <v>17</v>
      </c>
      <c r="V9" s="36">
        <v>18</v>
      </c>
      <c r="W9" s="36">
        <v>19</v>
      </c>
      <c r="X9" s="36">
        <v>20</v>
      </c>
      <c r="Y9" s="36">
        <v>21</v>
      </c>
      <c r="Z9" s="36">
        <v>22</v>
      </c>
      <c r="AA9" s="36">
        <v>23</v>
      </c>
      <c r="AB9" s="36">
        <v>24</v>
      </c>
      <c r="AC9" s="36">
        <v>25</v>
      </c>
      <c r="AD9" s="36">
        <v>26</v>
      </c>
      <c r="AE9" s="36">
        <v>27</v>
      </c>
      <c r="AF9" s="36">
        <v>28</v>
      </c>
      <c r="AG9" s="36">
        <f>IF(DAY(DATE(D7,D8+1,1)-1)&lt;29,"",29)</f>
        <v>29</v>
      </c>
      <c r="AH9" s="36">
        <v>30</v>
      </c>
      <c r="AI9" s="36">
        <v>31</v>
      </c>
      <c r="AJ9" s="2903" t="s">
        <v>529</v>
      </c>
      <c r="AK9" s="2903" t="s">
        <v>2828</v>
      </c>
      <c r="AL9" s="2903" t="s">
        <v>12</v>
      </c>
    </row>
    <row r="10" spans="2:49" ht="42" customHeight="1">
      <c r="B10" s="2915"/>
      <c r="C10" s="2917"/>
      <c r="D10" s="2919"/>
      <c r="E10" s="144" t="str">
        <f t="shared" ref="E10:AI10" si="0">IF(E9="","",HLOOKUP(WEEKDAY(DATE($D$7,$D$8,E9)),$AO$1:$AU$2,2,0))</f>
        <v>Ba</v>
      </c>
      <c r="F10" s="144" t="str">
        <f t="shared" si="0"/>
        <v>Tư</v>
      </c>
      <c r="G10" s="144" t="str">
        <f t="shared" si="0"/>
        <v>Năm</v>
      </c>
      <c r="H10" s="144" t="str">
        <f t="shared" si="0"/>
        <v>Sáu</v>
      </c>
      <c r="I10" s="144" t="str">
        <f t="shared" si="0"/>
        <v>Bảy</v>
      </c>
      <c r="J10" s="144" t="str">
        <f t="shared" si="0"/>
        <v>CN</v>
      </c>
      <c r="K10" s="144" t="str">
        <f t="shared" si="0"/>
        <v>Hai</v>
      </c>
      <c r="L10" s="144" t="str">
        <f t="shared" si="0"/>
        <v>Ba</v>
      </c>
      <c r="M10" s="144" t="str">
        <f t="shared" si="0"/>
        <v>Tư</v>
      </c>
      <c r="N10" s="144" t="str">
        <f t="shared" si="0"/>
        <v>Năm</v>
      </c>
      <c r="O10" s="144" t="str">
        <f t="shared" si="0"/>
        <v>Sáu</v>
      </c>
      <c r="P10" s="144" t="str">
        <f t="shared" si="0"/>
        <v>Bảy</v>
      </c>
      <c r="Q10" s="144" t="str">
        <f t="shared" si="0"/>
        <v>CN</v>
      </c>
      <c r="R10" s="144" t="str">
        <f t="shared" si="0"/>
        <v>Hai</v>
      </c>
      <c r="S10" s="144" t="str">
        <f t="shared" si="0"/>
        <v>Ba</v>
      </c>
      <c r="T10" s="144" t="str">
        <f t="shared" si="0"/>
        <v>Tư</v>
      </c>
      <c r="U10" s="144" t="str">
        <f t="shared" si="0"/>
        <v>Năm</v>
      </c>
      <c r="V10" s="144" t="str">
        <f t="shared" si="0"/>
        <v>Sáu</v>
      </c>
      <c r="W10" s="144" t="str">
        <f t="shared" si="0"/>
        <v>Bảy</v>
      </c>
      <c r="X10" s="144" t="str">
        <f t="shared" si="0"/>
        <v>CN</v>
      </c>
      <c r="Y10" s="144" t="str">
        <f t="shared" si="0"/>
        <v>Hai</v>
      </c>
      <c r="Z10" s="144" t="str">
        <f t="shared" si="0"/>
        <v>Ba</v>
      </c>
      <c r="AA10" s="144" t="str">
        <f t="shared" si="0"/>
        <v>Tư</v>
      </c>
      <c r="AB10" s="144" t="str">
        <f t="shared" si="0"/>
        <v>Năm</v>
      </c>
      <c r="AC10" s="144" t="str">
        <f t="shared" si="0"/>
        <v>Sáu</v>
      </c>
      <c r="AD10" s="144" t="str">
        <f t="shared" si="0"/>
        <v>Bảy</v>
      </c>
      <c r="AE10" s="144" t="str">
        <f t="shared" si="0"/>
        <v>CN</v>
      </c>
      <c r="AF10" s="144" t="str">
        <f t="shared" si="0"/>
        <v>Hai</v>
      </c>
      <c r="AG10" s="36" t="str">
        <f t="shared" si="0"/>
        <v>Ba</v>
      </c>
      <c r="AH10" s="36" t="str">
        <f t="shared" si="0"/>
        <v>Tư</v>
      </c>
      <c r="AI10" s="36" t="str">
        <f t="shared" si="0"/>
        <v>Năm</v>
      </c>
      <c r="AJ10" s="2904"/>
      <c r="AK10" s="2904"/>
      <c r="AL10" s="2904"/>
    </row>
    <row r="11" spans="2:49" s="27" customFormat="1" ht="21.75" customHeight="1">
      <c r="B11" s="143" t="s">
        <v>2408</v>
      </c>
      <c r="C11" s="145" t="s">
        <v>3123</v>
      </c>
      <c r="D11" s="146"/>
      <c r="E11" s="147">
        <f t="shared" ref="E11:W11" si="1">COUNTIF(E12:E30,"X")+COUNTIF(E12:E30,"P")</f>
        <v>19</v>
      </c>
      <c r="F11" s="147">
        <f t="shared" si="1"/>
        <v>19</v>
      </c>
      <c r="G11" s="147">
        <f t="shared" si="1"/>
        <v>19</v>
      </c>
      <c r="H11" s="147">
        <f t="shared" si="1"/>
        <v>19</v>
      </c>
      <c r="I11" s="147">
        <f t="shared" si="1"/>
        <v>19</v>
      </c>
      <c r="J11" s="147">
        <f t="shared" si="1"/>
        <v>0</v>
      </c>
      <c r="K11" s="147">
        <f t="shared" si="1"/>
        <v>19</v>
      </c>
      <c r="L11" s="147">
        <f t="shared" si="1"/>
        <v>19</v>
      </c>
      <c r="M11" s="147">
        <f t="shared" si="1"/>
        <v>19</v>
      </c>
      <c r="N11" s="147">
        <f t="shared" si="1"/>
        <v>19</v>
      </c>
      <c r="O11" s="147">
        <f t="shared" si="1"/>
        <v>19</v>
      </c>
      <c r="P11" s="147">
        <f t="shared" si="1"/>
        <v>19</v>
      </c>
      <c r="Q11" s="147">
        <f t="shared" si="1"/>
        <v>0</v>
      </c>
      <c r="R11" s="147">
        <f t="shared" si="1"/>
        <v>19</v>
      </c>
      <c r="S11" s="147">
        <f t="shared" si="1"/>
        <v>19</v>
      </c>
      <c r="T11" s="147">
        <f t="shared" si="1"/>
        <v>19</v>
      </c>
      <c r="U11" s="147">
        <f t="shared" si="1"/>
        <v>19</v>
      </c>
      <c r="V11" s="147">
        <f t="shared" si="1"/>
        <v>19</v>
      </c>
      <c r="W11" s="147">
        <f t="shared" si="1"/>
        <v>19</v>
      </c>
      <c r="X11" s="147">
        <f>COUNTIF(X12:X30,"X")+COUNTIF(X12:X30,"P")+COUNTIF(X12:X30,"PT")+COUNTIF(X12:X30,"TT")</f>
        <v>0</v>
      </c>
      <c r="Y11" s="147">
        <f t="shared" ref="Y11:AI11" si="2">COUNTIF(Y12:Y30,"X")+COUNTIF(Y12:Y30,"P")+COUNTIF(Y12:Y30,"PT")+COUNTIF(Y12:Y30,"TT")</f>
        <v>19</v>
      </c>
      <c r="Z11" s="147">
        <f t="shared" si="2"/>
        <v>19</v>
      </c>
      <c r="AA11" s="147">
        <f t="shared" si="2"/>
        <v>19</v>
      </c>
      <c r="AB11" s="147">
        <f t="shared" si="2"/>
        <v>19</v>
      </c>
      <c r="AC11" s="147">
        <f t="shared" si="2"/>
        <v>19</v>
      </c>
      <c r="AD11" s="147">
        <f t="shared" si="2"/>
        <v>19</v>
      </c>
      <c r="AE11" s="147">
        <f t="shared" si="2"/>
        <v>0</v>
      </c>
      <c r="AF11" s="147">
        <f t="shared" si="2"/>
        <v>19</v>
      </c>
      <c r="AG11" s="147">
        <f t="shared" si="2"/>
        <v>19</v>
      </c>
      <c r="AH11" s="147">
        <f t="shared" si="2"/>
        <v>19</v>
      </c>
      <c r="AI11" s="147">
        <f t="shared" si="2"/>
        <v>0</v>
      </c>
      <c r="AJ11" s="151">
        <f>SUM(AJ12:AJ30)</f>
        <v>494</v>
      </c>
      <c r="AK11" s="151">
        <f>SUM(AK12:AK30)</f>
        <v>0</v>
      </c>
      <c r="AL11" s="151"/>
      <c r="AM11" s="151">
        <f t="shared" ref="AM11:AU11" si="3">SUM(AM12:AM30)</f>
        <v>0</v>
      </c>
      <c r="AN11" s="151">
        <f t="shared" si="3"/>
        <v>0</v>
      </c>
      <c r="AO11" s="151">
        <f t="shared" si="3"/>
        <v>0</v>
      </c>
      <c r="AP11" s="151">
        <f t="shared" si="3"/>
        <v>0</v>
      </c>
      <c r="AQ11" s="151">
        <f t="shared" si="3"/>
        <v>0</v>
      </c>
      <c r="AR11" s="151">
        <f t="shared" si="3"/>
        <v>0</v>
      </c>
      <c r="AS11" s="151">
        <f t="shared" si="3"/>
        <v>0</v>
      </c>
      <c r="AT11" s="151">
        <f t="shared" si="3"/>
        <v>0</v>
      </c>
      <c r="AU11" s="151">
        <f t="shared" si="3"/>
        <v>0</v>
      </c>
    </row>
    <row r="12" spans="2:49" ht="21.75" customHeight="1">
      <c r="B12" s="36">
        <v>1</v>
      </c>
      <c r="C12" s="37" t="s">
        <v>3083</v>
      </c>
      <c r="D12" s="37" t="s">
        <v>3084</v>
      </c>
      <c r="E12" s="36" t="str">
        <f>IF(WEEKDAY(DATE($D$7,$D$8,E$9),2)&gt;'[5]Khai báo'!$B$4,"","X")</f>
        <v>X</v>
      </c>
      <c r="F12" s="36" t="str">
        <f>IF(WEEKDAY(DATE($D$7,$D$8,F$9),2)&gt;'[5]Khai báo'!$B$4,"","X")</f>
        <v>X</v>
      </c>
      <c r="G12" s="36" t="str">
        <f>IF(WEEKDAY(DATE($D$7,$D$8,G$9),2)&gt;'[5]Khai báo'!$B$4,"","X")</f>
        <v>X</v>
      </c>
      <c r="H12" s="36" t="str">
        <f>IF(WEEKDAY(DATE($D$7,$D$8,H$9),2)&gt;'[5]Khai báo'!$B$4,"","X")</f>
        <v>X</v>
      </c>
      <c r="I12" s="36" t="str">
        <f>IF(WEEKDAY(DATE($D$7,$D$8,I$9),2)&gt;'[5]Khai báo'!$B$4,"","X")</f>
        <v>X</v>
      </c>
      <c r="J12" s="36" t="str">
        <f>IF(WEEKDAY(DATE($D$7,$D$8,J$9),2)&gt;'[5]Khai báo'!$B$4,"","X")</f>
        <v/>
      </c>
      <c r="K12" s="36" t="str">
        <f>IF(WEEKDAY(DATE($D$7,$D$8,K$9),2)&gt;'[5]Khai báo'!$B$4,"","X")</f>
        <v>X</v>
      </c>
      <c r="L12" s="36" t="str">
        <f>IF(WEEKDAY(DATE($D$7,$D$8,L$9),2)&gt;'[5]Khai báo'!$B$4,"","X")</f>
        <v>X</v>
      </c>
      <c r="M12" s="36" t="str">
        <f>IF(WEEKDAY(DATE($D$7,$D$8,M$9),2)&gt;'[5]Khai báo'!$B$4,"","X")</f>
        <v>X</v>
      </c>
      <c r="N12" s="36" t="str">
        <f>IF(WEEKDAY(DATE($D$7,$D$8,N$9),2)&gt;'[5]Khai báo'!$B$4,"","X")</f>
        <v>X</v>
      </c>
      <c r="O12" s="36" t="str">
        <f>IF(WEEKDAY(DATE($D$7,$D$8,O$9),2)&gt;'[5]Khai báo'!$B$4,"","X")</f>
        <v>X</v>
      </c>
      <c r="P12" s="36" t="str">
        <f>IF(WEEKDAY(DATE($D$7,$D$8,P$9),2)&gt;'[5]Khai báo'!$B$4,"","X")</f>
        <v>X</v>
      </c>
      <c r="Q12" s="36" t="str">
        <f>IF(WEEKDAY(DATE($D$7,$D$8,Q$9),2)&gt;'[5]Khai báo'!$B$4,"","X")</f>
        <v/>
      </c>
      <c r="R12" s="36" t="str">
        <f>IF(WEEKDAY(DATE($D$7,$D$8,R$9),2)&gt;'[5]Khai báo'!$B$4,"","X")</f>
        <v>X</v>
      </c>
      <c r="S12" s="36" t="str">
        <f>IF(WEEKDAY(DATE($D$7,$D$8,S$9),2)&gt;'[5]Khai báo'!$B$4,"","X")</f>
        <v>X</v>
      </c>
      <c r="T12" s="36" t="str">
        <f>IF(WEEKDAY(DATE($D$7,$D$8,T$9),2)&gt;'[5]Khai báo'!$B$4,"","X")</f>
        <v>X</v>
      </c>
      <c r="U12" s="36" t="str">
        <f>IF(WEEKDAY(DATE($D$7,$D$8,U$9),2)&gt;'[5]Khai báo'!$B$4,"","X")</f>
        <v>X</v>
      </c>
      <c r="V12" s="36" t="str">
        <f>IF(WEEKDAY(DATE($D$7,$D$8,V$9),2)&gt;'[5]Khai báo'!$B$4,"","X")</f>
        <v>X</v>
      </c>
      <c r="W12" s="36" t="str">
        <f>IF(WEEKDAY(DATE($D$7,$D$8,W$9),2)&gt;'[5]Khai báo'!$B$4,"","X")</f>
        <v>X</v>
      </c>
      <c r="X12" s="36" t="str">
        <f>IF(WEEKDAY(DATE($D$7,$D$8,X$9),2)&gt;'[5]Khai báo'!$B$4,"","X")</f>
        <v/>
      </c>
      <c r="Y12" s="36" t="str">
        <f>IF(WEEKDAY(DATE($D$7,$D$8,Y$9),2)&gt;'[5]Khai báo'!$B$4,"","X")</f>
        <v>X</v>
      </c>
      <c r="Z12" s="36" t="str">
        <f>IF(WEEKDAY(DATE($D$7,$D$8,Z$9),2)&gt;'[5]Khai báo'!$B$4,"","X")</f>
        <v>X</v>
      </c>
      <c r="AA12" s="36" t="str">
        <f>IF(WEEKDAY(DATE($D$7,$D$8,AA$9),2)&gt;'[5]Khai báo'!$B$4,"","X")</f>
        <v>X</v>
      </c>
      <c r="AB12" s="36" t="str">
        <f>IF(WEEKDAY(DATE($D$7,$D$8,AB$9),2)&gt;'[5]Khai báo'!$B$4,"","X")</f>
        <v>X</v>
      </c>
      <c r="AC12" s="36" t="str">
        <f>IF(WEEKDAY(DATE($D$7,$D$8,AC$9),2)&gt;'[5]Khai báo'!$B$4,"","X")</f>
        <v>X</v>
      </c>
      <c r="AD12" s="36" t="str">
        <f>IF(WEEKDAY(DATE($D$7,$D$8,AD$9),2)&gt;'[5]Khai báo'!$B$4,"","X")</f>
        <v>X</v>
      </c>
      <c r="AE12" s="36" t="str">
        <f>IF(WEEKDAY(DATE($D$7,$D$8,AE$9),2)&gt;'[5]Khai báo'!$B$4,"","X")</f>
        <v/>
      </c>
      <c r="AF12" s="36" t="str">
        <f>IF(WEEKDAY(DATE($D$7,$D$8,AF$9),2)&gt;'[5]Khai báo'!$B$4,"","X")</f>
        <v>X</v>
      </c>
      <c r="AG12" s="36" t="str">
        <f>IF(WEEKDAY(DATE($D$7,$D$8,AG$9),2)&gt;'[5]Khai báo'!$B$4,"","X")</f>
        <v>X</v>
      </c>
      <c r="AH12" s="36" t="str">
        <f>IF(WEEKDAY(DATE($D$7,$D$8,AH$9),2)&gt;'[5]Khai báo'!$B$4,"","X")</f>
        <v>X</v>
      </c>
      <c r="AI12" s="36"/>
      <c r="AJ12" s="45">
        <f>COUNTIF(E12:AI12,"X")+COUNTIF(E12:AI12,"P")+COUNTIF(E12:AI12,"PT")</f>
        <v>26</v>
      </c>
      <c r="AK12" s="45">
        <f>COUNTIF(E12:AI12,"TT")</f>
        <v>0</v>
      </c>
      <c r="AL12" s="45"/>
      <c r="AW12" s="141" t="e">
        <f>+AK12-#REF!</f>
        <v>#REF!</v>
      </c>
    </row>
    <row r="13" spans="2:49" ht="21.75" customHeight="1">
      <c r="B13" s="36">
        <v>2</v>
      </c>
      <c r="C13" s="37" t="s">
        <v>3085</v>
      </c>
      <c r="D13" s="37" t="s">
        <v>3086</v>
      </c>
      <c r="E13" s="36" t="str">
        <f>IF(WEEKDAY(DATE($D$7,$D$8,E$9),2)&gt;'[5]Khai báo'!$B$4,"","X")</f>
        <v>X</v>
      </c>
      <c r="F13" s="36" t="str">
        <f>IF(WEEKDAY(DATE($D$7,$D$8,F$9),2)&gt;'[5]Khai báo'!$B$4,"","X")</f>
        <v>X</v>
      </c>
      <c r="G13" s="36" t="str">
        <f>IF(WEEKDAY(DATE($D$7,$D$8,G$9),2)&gt;'[5]Khai báo'!$B$4,"","X")</f>
        <v>X</v>
      </c>
      <c r="H13" s="36" t="str">
        <f>IF(WEEKDAY(DATE($D$7,$D$8,H$9),2)&gt;'[5]Khai báo'!$B$4,"","X")</f>
        <v>X</v>
      </c>
      <c r="I13" s="36" t="str">
        <f>IF(WEEKDAY(DATE($D$7,$D$8,I$9),2)&gt;'[5]Khai báo'!$B$4,"","X")</f>
        <v>X</v>
      </c>
      <c r="J13" s="36" t="str">
        <f>IF(WEEKDAY(DATE($D$7,$D$8,J$9),2)&gt;'[5]Khai báo'!$B$4,"","X")</f>
        <v/>
      </c>
      <c r="K13" s="36" t="str">
        <f>IF(WEEKDAY(DATE($D$7,$D$8,K$9),2)&gt;'[5]Khai báo'!$B$4,"","X")</f>
        <v>X</v>
      </c>
      <c r="L13" s="36" t="str">
        <f>IF(WEEKDAY(DATE($D$7,$D$8,L$9),2)&gt;'[5]Khai báo'!$B$4,"","X")</f>
        <v>X</v>
      </c>
      <c r="M13" s="36" t="str">
        <f>IF(WEEKDAY(DATE($D$7,$D$8,M$9),2)&gt;'[5]Khai báo'!$B$4,"","X")</f>
        <v>X</v>
      </c>
      <c r="N13" s="36" t="str">
        <f>IF(WEEKDAY(DATE($D$7,$D$8,N$9),2)&gt;'[5]Khai báo'!$B$4,"","X")</f>
        <v>X</v>
      </c>
      <c r="O13" s="36" t="str">
        <f>IF(WEEKDAY(DATE($D$7,$D$8,O$9),2)&gt;'[5]Khai báo'!$B$4,"","X")</f>
        <v>X</v>
      </c>
      <c r="P13" s="36" t="str">
        <f>IF(WEEKDAY(DATE($D$7,$D$8,P$9),2)&gt;'[5]Khai báo'!$B$4,"","X")</f>
        <v>X</v>
      </c>
      <c r="Q13" s="36" t="str">
        <f>IF(WEEKDAY(DATE($D$7,$D$8,Q$9),2)&gt;'[5]Khai báo'!$B$4,"","X")</f>
        <v/>
      </c>
      <c r="R13" s="36" t="str">
        <f>IF(WEEKDAY(DATE($D$7,$D$8,R$9),2)&gt;'[5]Khai báo'!$B$4,"","X")</f>
        <v>X</v>
      </c>
      <c r="S13" s="36" t="str">
        <f>IF(WEEKDAY(DATE($D$7,$D$8,S$9),2)&gt;'[5]Khai báo'!$B$4,"","X")</f>
        <v>X</v>
      </c>
      <c r="T13" s="36" t="str">
        <f>IF(WEEKDAY(DATE($D$7,$D$8,T$9),2)&gt;'[5]Khai báo'!$B$4,"","X")</f>
        <v>X</v>
      </c>
      <c r="U13" s="36" t="str">
        <f>IF(WEEKDAY(DATE($D$7,$D$8,U$9),2)&gt;'[5]Khai báo'!$B$4,"","X")</f>
        <v>X</v>
      </c>
      <c r="V13" s="36" t="str">
        <f>IF(WEEKDAY(DATE($D$7,$D$8,V$9),2)&gt;'[5]Khai báo'!$B$4,"","X")</f>
        <v>X</v>
      </c>
      <c r="W13" s="36" t="str">
        <f>IF(WEEKDAY(DATE($D$7,$D$8,W$9),2)&gt;'[5]Khai báo'!$B$4,"","X")</f>
        <v>X</v>
      </c>
      <c r="X13" s="36" t="str">
        <f>IF(WEEKDAY(DATE($D$7,$D$8,X$9),2)&gt;'[5]Khai báo'!$B$4,"","X")</f>
        <v/>
      </c>
      <c r="Y13" s="36" t="str">
        <f>IF(WEEKDAY(DATE($D$7,$D$8,Y$9),2)&gt;'[5]Khai báo'!$B$4,"","X")</f>
        <v>X</v>
      </c>
      <c r="Z13" s="36" t="str">
        <f>IF(WEEKDAY(DATE($D$7,$D$8,Z$9),2)&gt;'[5]Khai báo'!$B$4,"","X")</f>
        <v>X</v>
      </c>
      <c r="AA13" s="36" t="s">
        <v>2962</v>
      </c>
      <c r="AB13" s="36" t="s">
        <v>2962</v>
      </c>
      <c r="AC13" s="36" t="s">
        <v>2962</v>
      </c>
      <c r="AD13" s="36" t="str">
        <f>IF(WEEKDAY(DATE($D$7,$D$8,AD$9),2)&gt;'[5]Khai báo'!$B$4,"","X")</f>
        <v>X</v>
      </c>
      <c r="AE13" s="36" t="str">
        <f>IF(WEEKDAY(DATE($D$7,$D$8,AE$9),2)&gt;'[5]Khai báo'!$B$4,"","X")</f>
        <v/>
      </c>
      <c r="AF13" s="36" t="str">
        <f>IF(WEEKDAY(DATE($D$7,$D$8,AF$9),2)&gt;'[5]Khai báo'!$B$4,"","X")</f>
        <v>X</v>
      </c>
      <c r="AG13" s="36" t="str">
        <f>IF(WEEKDAY(DATE($D$7,$D$8,AG$9),2)&gt;'[5]Khai báo'!$B$4,"","X")</f>
        <v>X</v>
      </c>
      <c r="AH13" s="36" t="str">
        <f>IF(WEEKDAY(DATE($D$7,$D$8,AH$9),2)&gt;'[5]Khai báo'!$B$4,"","X")</f>
        <v>X</v>
      </c>
      <c r="AI13" s="36"/>
      <c r="AJ13" s="45">
        <f t="shared" ref="AJ13:AJ30" si="4">COUNTIF(E13:AI13,"X")+COUNTIF(E13:AI13,"P")+COUNTIF(E13:AI13,"PT")</f>
        <v>26</v>
      </c>
      <c r="AK13" s="45">
        <f t="shared" ref="AK13:AK30" si="5">COUNTIF(E13:AI13,"TT")</f>
        <v>0</v>
      </c>
      <c r="AL13" s="45"/>
      <c r="AW13" s="141" t="e">
        <f>+AK13-#REF!</f>
        <v>#REF!</v>
      </c>
    </row>
    <row r="14" spans="2:49" ht="21.75" customHeight="1">
      <c r="B14" s="36">
        <v>3</v>
      </c>
      <c r="C14" s="37" t="s">
        <v>613</v>
      </c>
      <c r="D14" s="37" t="s">
        <v>1947</v>
      </c>
      <c r="E14" s="36" t="str">
        <f>IF(WEEKDAY(DATE($D$7,$D$8,E$9),2)&gt;'[5]Khai báo'!$B$4,"","X")</f>
        <v>X</v>
      </c>
      <c r="F14" s="36" t="str">
        <f>IF(WEEKDAY(DATE($D$7,$D$8,F$9),2)&gt;'[5]Khai báo'!$B$4,"","X")</f>
        <v>X</v>
      </c>
      <c r="G14" s="36" t="str">
        <f>IF(WEEKDAY(DATE($D$7,$D$8,G$9),2)&gt;'[5]Khai báo'!$B$4,"","X")</f>
        <v>X</v>
      </c>
      <c r="H14" s="36" t="str">
        <f>IF(WEEKDAY(DATE($D$7,$D$8,H$9),2)&gt;'[5]Khai báo'!$B$4,"","X")</f>
        <v>X</v>
      </c>
      <c r="I14" s="36" t="str">
        <f>IF(WEEKDAY(DATE($D$7,$D$8,I$9),2)&gt;'[5]Khai báo'!$B$4,"","X")</f>
        <v>X</v>
      </c>
      <c r="J14" s="36" t="str">
        <f>IF(WEEKDAY(DATE($D$7,$D$8,J$9),2)&gt;'[5]Khai báo'!$B$4,"","X")</f>
        <v/>
      </c>
      <c r="K14" s="36" t="str">
        <f>IF(WEEKDAY(DATE($D$7,$D$8,K$9),2)&gt;'[5]Khai báo'!$B$4,"","X")</f>
        <v>X</v>
      </c>
      <c r="L14" s="36" t="str">
        <f>IF(WEEKDAY(DATE($D$7,$D$8,L$9),2)&gt;'[5]Khai báo'!$B$4,"","X")</f>
        <v>X</v>
      </c>
      <c r="M14" s="36" t="str">
        <f>IF(WEEKDAY(DATE($D$7,$D$8,M$9),2)&gt;'[5]Khai báo'!$B$4,"","X")</f>
        <v>X</v>
      </c>
      <c r="N14" s="36" t="str">
        <f>IF(WEEKDAY(DATE($D$7,$D$8,N$9),2)&gt;'[5]Khai báo'!$B$4,"","X")</f>
        <v>X</v>
      </c>
      <c r="O14" s="36" t="str">
        <f>IF(WEEKDAY(DATE($D$7,$D$8,O$9),2)&gt;'[5]Khai báo'!$B$4,"","X")</f>
        <v>X</v>
      </c>
      <c r="P14" s="36" t="str">
        <f>IF(WEEKDAY(DATE($D$7,$D$8,P$9),2)&gt;'[5]Khai báo'!$B$4,"","X")</f>
        <v>X</v>
      </c>
      <c r="Q14" s="36" t="str">
        <f>IF(WEEKDAY(DATE($D$7,$D$8,Q$9),2)&gt;'[5]Khai báo'!$B$4,"","X")</f>
        <v/>
      </c>
      <c r="R14" s="36" t="str">
        <f>IF(WEEKDAY(DATE($D$7,$D$8,R$9),2)&gt;'[5]Khai báo'!$B$4,"","X")</f>
        <v>X</v>
      </c>
      <c r="S14" s="36" t="str">
        <f>IF(WEEKDAY(DATE($D$7,$D$8,S$9),2)&gt;'[5]Khai báo'!$B$4,"","X")</f>
        <v>X</v>
      </c>
      <c r="T14" s="36" t="str">
        <f>IF(WEEKDAY(DATE($D$7,$D$8,T$9),2)&gt;'[5]Khai báo'!$B$4,"","X")</f>
        <v>X</v>
      </c>
      <c r="U14" s="36" t="str">
        <f>IF(WEEKDAY(DATE($D$7,$D$8,U$9),2)&gt;'[5]Khai báo'!$B$4,"","X")</f>
        <v>X</v>
      </c>
      <c r="V14" s="36" t="str">
        <f>IF(WEEKDAY(DATE($D$7,$D$8,V$9),2)&gt;'[5]Khai báo'!$B$4,"","X")</f>
        <v>X</v>
      </c>
      <c r="W14" s="36" t="str">
        <f>IF(WEEKDAY(DATE($D$7,$D$8,W$9),2)&gt;'[5]Khai báo'!$B$4,"","X")</f>
        <v>X</v>
      </c>
      <c r="X14" s="36" t="str">
        <f>IF(WEEKDAY(DATE($D$7,$D$8,X$9),2)&gt;'[5]Khai báo'!$B$4,"","X")</f>
        <v/>
      </c>
      <c r="Y14" s="36" t="str">
        <f>IF(WEEKDAY(DATE($D$7,$D$8,Y$9),2)&gt;'[5]Khai báo'!$B$4,"","X")</f>
        <v>X</v>
      </c>
      <c r="Z14" s="36" t="s">
        <v>2962</v>
      </c>
      <c r="AA14" s="36" t="s">
        <v>2962</v>
      </c>
      <c r="AB14" s="36" t="s">
        <v>2962</v>
      </c>
      <c r="AC14" s="36" t="str">
        <f>IF(WEEKDAY(DATE($D$7,$D$8,AC$9),2)&gt;'[5]Khai báo'!$B$4,"","X")</f>
        <v>X</v>
      </c>
      <c r="AD14" s="36" t="str">
        <f>IF(WEEKDAY(DATE($D$7,$D$8,AD$9),2)&gt;'[5]Khai báo'!$B$4,"","X")</f>
        <v>X</v>
      </c>
      <c r="AE14" s="36" t="str">
        <f>IF(WEEKDAY(DATE($D$7,$D$8,AE$9),2)&gt;'[5]Khai báo'!$B$4,"","X")</f>
        <v/>
      </c>
      <c r="AF14" s="36" t="str">
        <f>IF(WEEKDAY(DATE($D$7,$D$8,AF$9),2)&gt;'[5]Khai báo'!$B$4,"","X")</f>
        <v>X</v>
      </c>
      <c r="AG14" s="36" t="str">
        <f>IF(WEEKDAY(DATE($D$7,$D$8,AG$9),2)&gt;'[5]Khai báo'!$B$4,"","X")</f>
        <v>X</v>
      </c>
      <c r="AH14" s="36" t="str">
        <f>IF(WEEKDAY(DATE($D$7,$D$8,AH$9),2)&gt;'[5]Khai báo'!$B$4,"","X")</f>
        <v>X</v>
      </c>
      <c r="AI14" s="36"/>
      <c r="AJ14" s="45">
        <f t="shared" si="4"/>
        <v>26</v>
      </c>
      <c r="AK14" s="45">
        <f t="shared" si="5"/>
        <v>0</v>
      </c>
      <c r="AL14" s="45"/>
      <c r="AW14" s="141" t="e">
        <f>+AK14-#REF!</f>
        <v>#REF!</v>
      </c>
    </row>
    <row r="15" spans="2:49" ht="21.75" customHeight="1">
      <c r="B15" s="36">
        <v>4</v>
      </c>
      <c r="C15" s="148" t="s">
        <v>3087</v>
      </c>
      <c r="D15" s="148" t="s">
        <v>3088</v>
      </c>
      <c r="E15" s="36" t="str">
        <f>IF(WEEKDAY(DATE($D$7,$D$8,E$9),2)&gt;'[5]Khai báo'!$B$4,"","X")</f>
        <v>X</v>
      </c>
      <c r="F15" s="36" t="str">
        <f>IF(WEEKDAY(DATE($D$7,$D$8,F$9),2)&gt;'[5]Khai báo'!$B$4,"","X")</f>
        <v>X</v>
      </c>
      <c r="G15" s="36" t="str">
        <f>IF(WEEKDAY(DATE($D$7,$D$8,G$9),2)&gt;'[5]Khai báo'!$B$4,"","X")</f>
        <v>X</v>
      </c>
      <c r="H15" s="36" t="str">
        <f>IF(WEEKDAY(DATE($D$7,$D$8,H$9),2)&gt;'[5]Khai báo'!$B$4,"","X")</f>
        <v>X</v>
      </c>
      <c r="I15" s="36" t="str">
        <f>IF(WEEKDAY(DATE($D$7,$D$8,I$9),2)&gt;'[5]Khai báo'!$B$4,"","X")</f>
        <v>X</v>
      </c>
      <c r="J15" s="36" t="str">
        <f>IF(WEEKDAY(DATE($D$7,$D$8,J$9),2)&gt;'[5]Khai báo'!$B$4,"","X")</f>
        <v/>
      </c>
      <c r="K15" s="36" t="str">
        <f>IF(WEEKDAY(DATE($D$7,$D$8,K$9),2)&gt;'[5]Khai báo'!$B$4,"","X")</f>
        <v>X</v>
      </c>
      <c r="L15" s="36" t="str">
        <f>IF(WEEKDAY(DATE($D$7,$D$8,L$9),2)&gt;'[5]Khai báo'!$B$4,"","X")</f>
        <v>X</v>
      </c>
      <c r="M15" s="36" t="str">
        <f>IF(WEEKDAY(DATE($D$7,$D$8,M$9),2)&gt;'[5]Khai báo'!$B$4,"","X")</f>
        <v>X</v>
      </c>
      <c r="N15" s="36" t="str">
        <f>IF(WEEKDAY(DATE($D$7,$D$8,N$9),2)&gt;'[5]Khai báo'!$B$4,"","X")</f>
        <v>X</v>
      </c>
      <c r="O15" s="36" t="str">
        <f>IF(WEEKDAY(DATE($D$7,$D$8,O$9),2)&gt;'[5]Khai báo'!$B$4,"","X")</f>
        <v>X</v>
      </c>
      <c r="P15" s="36" t="str">
        <f>IF(WEEKDAY(DATE($D$7,$D$8,P$9),2)&gt;'[5]Khai báo'!$B$4,"","X")</f>
        <v>X</v>
      </c>
      <c r="Q15" s="36" t="str">
        <f>IF(WEEKDAY(DATE($D$7,$D$8,Q$9),2)&gt;'[5]Khai báo'!$B$4,"","X")</f>
        <v/>
      </c>
      <c r="R15" s="36" t="str">
        <f>IF(WEEKDAY(DATE($D$7,$D$8,R$9),2)&gt;'[5]Khai báo'!$B$4,"","X")</f>
        <v>X</v>
      </c>
      <c r="S15" s="36" t="str">
        <f>IF(WEEKDAY(DATE($D$7,$D$8,S$9),2)&gt;'[5]Khai báo'!$B$4,"","X")</f>
        <v>X</v>
      </c>
      <c r="T15" s="36" t="str">
        <f>IF(WEEKDAY(DATE($D$7,$D$8,T$9),2)&gt;'[5]Khai báo'!$B$4,"","X")</f>
        <v>X</v>
      </c>
      <c r="U15" s="36" t="str">
        <f>IF(WEEKDAY(DATE($D$7,$D$8,U$9),2)&gt;'[5]Khai báo'!$B$4,"","X")</f>
        <v>X</v>
      </c>
      <c r="V15" s="36" t="str">
        <f>IF(WEEKDAY(DATE($D$7,$D$8,V$9),2)&gt;'[5]Khai báo'!$B$4,"","X")</f>
        <v>X</v>
      </c>
      <c r="W15" s="36" t="str">
        <f>IF(WEEKDAY(DATE($D$7,$D$8,W$9),2)&gt;'[5]Khai báo'!$B$4,"","X")</f>
        <v>X</v>
      </c>
      <c r="X15" s="36" t="str">
        <f>IF(WEEKDAY(DATE($D$7,$D$8,X$9),2)&gt;'[5]Khai báo'!$B$4,"","X")</f>
        <v/>
      </c>
      <c r="Y15" s="36" t="str">
        <f>IF(WEEKDAY(DATE($D$7,$D$8,Y$9),2)&gt;'[5]Khai báo'!$B$4,"","X")</f>
        <v>X</v>
      </c>
      <c r="Z15" s="36" t="str">
        <f>IF(WEEKDAY(DATE($D$7,$D$8,Z$9),2)&gt;'[5]Khai báo'!$B$4,"","X")</f>
        <v>X</v>
      </c>
      <c r="AA15" s="36" t="str">
        <f>IF(WEEKDAY(DATE($D$7,$D$8,AA$9),2)&gt;'[5]Khai báo'!$B$4,"","X")</f>
        <v>X</v>
      </c>
      <c r="AB15" s="36" t="str">
        <f>IF(WEEKDAY(DATE($D$7,$D$8,AB$9),2)&gt;'[5]Khai báo'!$B$4,"","X")</f>
        <v>X</v>
      </c>
      <c r="AC15" s="36" t="str">
        <f>IF(WEEKDAY(DATE($D$7,$D$8,AC$9),2)&gt;'[5]Khai báo'!$B$4,"","X")</f>
        <v>X</v>
      </c>
      <c r="AD15" s="36" t="str">
        <f>IF(WEEKDAY(DATE($D$7,$D$8,AD$9),2)&gt;'[5]Khai báo'!$B$4,"","X")</f>
        <v>X</v>
      </c>
      <c r="AE15" s="36" t="str">
        <f>IF(WEEKDAY(DATE($D$7,$D$8,AE$9),2)&gt;'[5]Khai báo'!$B$4,"","X")</f>
        <v/>
      </c>
      <c r="AF15" s="36" t="str">
        <f>IF(WEEKDAY(DATE($D$7,$D$8,AF$9),2)&gt;'[5]Khai báo'!$B$4,"","X")</f>
        <v>X</v>
      </c>
      <c r="AG15" s="36" t="str">
        <f>IF(WEEKDAY(DATE($D$7,$D$8,AG$9),2)&gt;'[5]Khai báo'!$B$4,"","X")</f>
        <v>X</v>
      </c>
      <c r="AH15" s="36" t="str">
        <f>IF(WEEKDAY(DATE($D$7,$D$8,AH$9),2)&gt;'[5]Khai báo'!$B$4,"","X")</f>
        <v>X</v>
      </c>
      <c r="AI15" s="36"/>
      <c r="AJ15" s="45">
        <f t="shared" si="4"/>
        <v>26</v>
      </c>
      <c r="AK15" s="45">
        <f t="shared" si="5"/>
        <v>0</v>
      </c>
      <c r="AL15" s="45"/>
      <c r="AW15" s="141" t="e">
        <f>+AK15-#REF!</f>
        <v>#REF!</v>
      </c>
    </row>
    <row r="16" spans="2:49" ht="21.75" customHeight="1">
      <c r="B16" s="36">
        <v>5</v>
      </c>
      <c r="C16" s="148" t="s">
        <v>3089</v>
      </c>
      <c r="D16" s="148" t="s">
        <v>3090</v>
      </c>
      <c r="E16" s="36" t="str">
        <f>IF(WEEKDAY(DATE($D$7,$D$8,E$9),2)&gt;'[5]Khai báo'!$B$4,"","X")</f>
        <v>X</v>
      </c>
      <c r="F16" s="36" t="str">
        <f>IF(WEEKDAY(DATE($D$7,$D$8,F$9),2)&gt;'[5]Khai báo'!$B$4,"","X")</f>
        <v>X</v>
      </c>
      <c r="G16" s="36" t="str">
        <f>IF(WEEKDAY(DATE($D$7,$D$8,G$9),2)&gt;'[5]Khai báo'!$B$4,"","X")</f>
        <v>X</v>
      </c>
      <c r="H16" s="36" t="str">
        <f>IF(WEEKDAY(DATE($D$7,$D$8,H$9),2)&gt;'[5]Khai báo'!$B$4,"","X")</f>
        <v>X</v>
      </c>
      <c r="I16" s="36" t="str">
        <f>IF(WEEKDAY(DATE($D$7,$D$8,I$9),2)&gt;'[5]Khai báo'!$B$4,"","X")</f>
        <v>X</v>
      </c>
      <c r="J16" s="36" t="str">
        <f>IF(WEEKDAY(DATE($D$7,$D$8,J$9),2)&gt;'[5]Khai báo'!$B$4,"","X")</f>
        <v/>
      </c>
      <c r="K16" s="36" t="str">
        <f>IF(WEEKDAY(DATE($D$7,$D$8,K$9),2)&gt;'[5]Khai báo'!$B$4,"","X")</f>
        <v>X</v>
      </c>
      <c r="L16" s="36" t="str">
        <f>IF(WEEKDAY(DATE($D$7,$D$8,L$9),2)&gt;'[5]Khai báo'!$B$4,"","X")</f>
        <v>X</v>
      </c>
      <c r="M16" s="36" t="str">
        <f>IF(WEEKDAY(DATE($D$7,$D$8,M$9),2)&gt;'[5]Khai báo'!$B$4,"","X")</f>
        <v>X</v>
      </c>
      <c r="N16" s="36" t="str">
        <f>IF(WEEKDAY(DATE($D$7,$D$8,N$9),2)&gt;'[5]Khai báo'!$B$4,"","X")</f>
        <v>X</v>
      </c>
      <c r="O16" s="36" t="str">
        <f>IF(WEEKDAY(DATE($D$7,$D$8,O$9),2)&gt;'[5]Khai báo'!$B$4,"","X")</f>
        <v>X</v>
      </c>
      <c r="P16" s="36" t="str">
        <f>IF(WEEKDAY(DATE($D$7,$D$8,P$9),2)&gt;'[5]Khai báo'!$B$4,"","X")</f>
        <v>X</v>
      </c>
      <c r="Q16" s="36" t="str">
        <f>IF(WEEKDAY(DATE($D$7,$D$8,Q$9),2)&gt;'[5]Khai báo'!$B$4,"","X")</f>
        <v/>
      </c>
      <c r="R16" s="36" t="str">
        <f>IF(WEEKDAY(DATE($D$7,$D$8,R$9),2)&gt;'[5]Khai báo'!$B$4,"","X")</f>
        <v>X</v>
      </c>
      <c r="S16" s="36" t="str">
        <f>IF(WEEKDAY(DATE($D$7,$D$8,S$9),2)&gt;'[5]Khai báo'!$B$4,"","X")</f>
        <v>X</v>
      </c>
      <c r="T16" s="36" t="str">
        <f>IF(WEEKDAY(DATE($D$7,$D$8,T$9),2)&gt;'[5]Khai báo'!$B$4,"","X")</f>
        <v>X</v>
      </c>
      <c r="U16" s="36" t="str">
        <f>IF(WEEKDAY(DATE($D$7,$D$8,U$9),2)&gt;'[5]Khai báo'!$B$4,"","X")</f>
        <v>X</v>
      </c>
      <c r="V16" s="36" t="str">
        <f>IF(WEEKDAY(DATE($D$7,$D$8,V$9),2)&gt;'[5]Khai báo'!$B$4,"","X")</f>
        <v>X</v>
      </c>
      <c r="W16" s="36" t="str">
        <f>IF(WEEKDAY(DATE($D$7,$D$8,W$9),2)&gt;'[5]Khai báo'!$B$4,"","X")</f>
        <v>X</v>
      </c>
      <c r="X16" s="36" t="str">
        <f>IF(WEEKDAY(DATE($D$7,$D$8,X$9),2)&gt;'[5]Khai báo'!$B$4,"","X")</f>
        <v/>
      </c>
      <c r="Y16" s="36" t="str">
        <f>IF(WEEKDAY(DATE($D$7,$D$8,Y$9),2)&gt;'[5]Khai báo'!$B$4,"","X")</f>
        <v>X</v>
      </c>
      <c r="Z16" s="36" t="str">
        <f>IF(WEEKDAY(DATE($D$7,$D$8,Z$9),2)&gt;'[5]Khai báo'!$B$4,"","X")</f>
        <v>X</v>
      </c>
      <c r="AA16" s="36" t="str">
        <f>IF(WEEKDAY(DATE($D$7,$D$8,AA$9),2)&gt;'[5]Khai báo'!$B$4,"","X")</f>
        <v>X</v>
      </c>
      <c r="AB16" s="36" t="str">
        <f>IF(WEEKDAY(DATE($D$7,$D$8,AB$9),2)&gt;'[5]Khai báo'!$B$4,"","X")</f>
        <v>X</v>
      </c>
      <c r="AC16" s="36" t="str">
        <f>IF(WEEKDAY(DATE($D$7,$D$8,AC$9),2)&gt;'[5]Khai báo'!$B$4,"","X")</f>
        <v>X</v>
      </c>
      <c r="AD16" s="36" t="str">
        <f>IF(WEEKDAY(DATE($D$7,$D$8,AD$9),2)&gt;'[5]Khai báo'!$B$4,"","X")</f>
        <v>X</v>
      </c>
      <c r="AE16" s="36" t="str">
        <f>IF(WEEKDAY(DATE($D$7,$D$8,AE$9),2)&gt;'[5]Khai báo'!$B$4,"","X")</f>
        <v/>
      </c>
      <c r="AF16" s="36" t="str">
        <f>IF(WEEKDAY(DATE($D$7,$D$8,AF$9),2)&gt;'[5]Khai báo'!$B$4,"","X")</f>
        <v>X</v>
      </c>
      <c r="AG16" s="36" t="str">
        <f>IF(WEEKDAY(DATE($D$7,$D$8,AG$9),2)&gt;'[5]Khai báo'!$B$4,"","X")</f>
        <v>X</v>
      </c>
      <c r="AH16" s="36" t="str">
        <f>IF(WEEKDAY(DATE($D$7,$D$8,AH$9),2)&gt;'[5]Khai báo'!$B$4,"","X")</f>
        <v>X</v>
      </c>
      <c r="AI16" s="36"/>
      <c r="AJ16" s="45">
        <f t="shared" si="4"/>
        <v>26</v>
      </c>
      <c r="AK16" s="45">
        <f t="shared" si="5"/>
        <v>0</v>
      </c>
      <c r="AL16" s="45"/>
      <c r="AW16" s="141" t="e">
        <f>+AK16-#REF!</f>
        <v>#REF!</v>
      </c>
    </row>
    <row r="17" spans="2:49" ht="21.75" customHeight="1">
      <c r="B17" s="36">
        <v>6</v>
      </c>
      <c r="C17" s="37" t="s">
        <v>3124</v>
      </c>
      <c r="D17" s="37" t="s">
        <v>3125</v>
      </c>
      <c r="E17" s="36" t="str">
        <f>IF(WEEKDAY(DATE($D$7,$D$8,E$9),2)&gt;'[5]Khai báo'!$B$4,"","X")</f>
        <v>X</v>
      </c>
      <c r="F17" s="36" t="str">
        <f>IF(WEEKDAY(DATE($D$7,$D$8,F$9),2)&gt;'[5]Khai báo'!$B$4,"","X")</f>
        <v>X</v>
      </c>
      <c r="G17" s="36" t="str">
        <f>IF(WEEKDAY(DATE($D$7,$D$8,G$9),2)&gt;'[5]Khai báo'!$B$4,"","X")</f>
        <v>X</v>
      </c>
      <c r="H17" s="36" t="str">
        <f>IF(WEEKDAY(DATE($D$7,$D$8,H$9),2)&gt;'[5]Khai báo'!$B$4,"","X")</f>
        <v>X</v>
      </c>
      <c r="I17" s="36" t="str">
        <f>IF(WEEKDAY(DATE($D$7,$D$8,I$9),2)&gt;'[5]Khai báo'!$B$4,"","X")</f>
        <v>X</v>
      </c>
      <c r="J17" s="36" t="str">
        <f>IF(WEEKDAY(DATE($D$7,$D$8,J$9),2)&gt;'[5]Khai báo'!$B$4,"","X")</f>
        <v/>
      </c>
      <c r="K17" s="36" t="str">
        <f>IF(WEEKDAY(DATE($D$7,$D$8,K$9),2)&gt;'[5]Khai báo'!$B$4,"","X")</f>
        <v>X</v>
      </c>
      <c r="L17" s="36" t="str">
        <f>IF(WEEKDAY(DATE($D$7,$D$8,L$9),2)&gt;'[5]Khai báo'!$B$4,"","X")</f>
        <v>X</v>
      </c>
      <c r="M17" s="36" t="str">
        <f>IF(WEEKDAY(DATE($D$7,$D$8,M$9),2)&gt;'[5]Khai báo'!$B$4,"","X")</f>
        <v>X</v>
      </c>
      <c r="N17" s="36" t="str">
        <f>IF(WEEKDAY(DATE($D$7,$D$8,N$9),2)&gt;'[5]Khai báo'!$B$4,"","X")</f>
        <v>X</v>
      </c>
      <c r="O17" s="36" t="str">
        <f>IF(WEEKDAY(DATE($D$7,$D$8,O$9),2)&gt;'[5]Khai báo'!$B$4,"","X")</f>
        <v>X</v>
      </c>
      <c r="P17" s="36" t="str">
        <f>IF(WEEKDAY(DATE($D$7,$D$8,P$9),2)&gt;'[5]Khai báo'!$B$4,"","X")</f>
        <v>X</v>
      </c>
      <c r="Q17" s="36" t="str">
        <f>IF(WEEKDAY(DATE($D$7,$D$8,Q$9),2)&gt;'[5]Khai báo'!$B$4,"","X")</f>
        <v/>
      </c>
      <c r="R17" s="36" t="str">
        <f>IF(WEEKDAY(DATE($D$7,$D$8,R$9),2)&gt;'[5]Khai báo'!$B$4,"","X")</f>
        <v>X</v>
      </c>
      <c r="S17" s="36" t="str">
        <f>IF(WEEKDAY(DATE($D$7,$D$8,S$9),2)&gt;'[5]Khai báo'!$B$4,"","X")</f>
        <v>X</v>
      </c>
      <c r="T17" s="36" t="str">
        <f>IF(WEEKDAY(DATE($D$7,$D$8,T$9),2)&gt;'[5]Khai báo'!$B$4,"","X")</f>
        <v>X</v>
      </c>
      <c r="U17" s="36" t="str">
        <f>IF(WEEKDAY(DATE($D$7,$D$8,U$9),2)&gt;'[5]Khai báo'!$B$4,"","X")</f>
        <v>X</v>
      </c>
      <c r="V17" s="36" t="str">
        <f>IF(WEEKDAY(DATE($D$7,$D$8,V$9),2)&gt;'[5]Khai báo'!$B$4,"","X")</f>
        <v>X</v>
      </c>
      <c r="W17" s="36" t="str">
        <f>IF(WEEKDAY(DATE($D$7,$D$8,W$9),2)&gt;'[5]Khai báo'!$B$4,"","X")</f>
        <v>X</v>
      </c>
      <c r="X17" s="36" t="str">
        <f>IF(WEEKDAY(DATE($D$7,$D$8,X$9),2)&gt;'[5]Khai báo'!$B$4,"","X")</f>
        <v/>
      </c>
      <c r="Y17" s="36" t="str">
        <f>IF(WEEKDAY(DATE($D$7,$D$8,Y$9),2)&gt;'[5]Khai báo'!$B$4,"","X")</f>
        <v>X</v>
      </c>
      <c r="Z17" s="36" t="str">
        <f>IF(WEEKDAY(DATE($D$7,$D$8,Z$9),2)&gt;'[5]Khai báo'!$B$4,"","X")</f>
        <v>X</v>
      </c>
      <c r="AA17" s="36" t="str">
        <f>IF(WEEKDAY(DATE($D$7,$D$8,AA$9),2)&gt;'[5]Khai báo'!$B$4,"","X")</f>
        <v>X</v>
      </c>
      <c r="AB17" s="36" t="str">
        <f>IF(WEEKDAY(DATE($D$7,$D$8,AB$9),2)&gt;'[5]Khai báo'!$B$4,"","X")</f>
        <v>X</v>
      </c>
      <c r="AC17" s="36" t="str">
        <f>IF(WEEKDAY(DATE($D$7,$D$8,AC$9),2)&gt;'[5]Khai báo'!$B$4,"","X")</f>
        <v>X</v>
      </c>
      <c r="AD17" s="36" t="str">
        <f>IF(WEEKDAY(DATE($D$7,$D$8,AD$9),2)&gt;'[5]Khai báo'!$B$4,"","X")</f>
        <v>X</v>
      </c>
      <c r="AE17" s="36" t="str">
        <f>IF(WEEKDAY(DATE($D$7,$D$8,AE$9),2)&gt;'[5]Khai báo'!$B$4,"","X")</f>
        <v/>
      </c>
      <c r="AF17" s="36" t="str">
        <f>IF(WEEKDAY(DATE($D$7,$D$8,AF$9),2)&gt;'[5]Khai báo'!$B$4,"","X")</f>
        <v>X</v>
      </c>
      <c r="AG17" s="36" t="str">
        <f>IF(WEEKDAY(DATE($D$7,$D$8,AG$9),2)&gt;'[5]Khai báo'!$B$4,"","X")</f>
        <v>X</v>
      </c>
      <c r="AH17" s="36" t="str">
        <f>IF(WEEKDAY(DATE($D$7,$D$8,AH$9),2)&gt;'[5]Khai báo'!$B$4,"","X")</f>
        <v>X</v>
      </c>
      <c r="AI17" s="36"/>
      <c r="AJ17" s="45">
        <f t="shared" si="4"/>
        <v>26</v>
      </c>
      <c r="AK17" s="45">
        <f t="shared" si="5"/>
        <v>0</v>
      </c>
      <c r="AL17" s="45"/>
      <c r="AW17" s="141" t="e">
        <f>+AK17-#REF!</f>
        <v>#REF!</v>
      </c>
    </row>
    <row r="18" spans="2:49" ht="21.75" customHeight="1">
      <c r="B18" s="36">
        <v>7</v>
      </c>
      <c r="C18" s="37" t="s">
        <v>3044</v>
      </c>
      <c r="D18" s="37" t="s">
        <v>1868</v>
      </c>
      <c r="E18" s="36" t="str">
        <f>IF(WEEKDAY(DATE($D$7,$D$8,E$9),2)&gt;'[5]Khai báo'!$B$4,"","X")</f>
        <v>X</v>
      </c>
      <c r="F18" s="36" t="str">
        <f>IF(WEEKDAY(DATE($D$7,$D$8,F$9),2)&gt;'[5]Khai báo'!$B$4,"","X")</f>
        <v>X</v>
      </c>
      <c r="G18" s="36" t="str">
        <f>IF(WEEKDAY(DATE($D$7,$D$8,G$9),2)&gt;'[5]Khai báo'!$B$4,"","X")</f>
        <v>X</v>
      </c>
      <c r="H18" s="36" t="str">
        <f>IF(WEEKDAY(DATE($D$7,$D$8,H$9),2)&gt;'[5]Khai báo'!$B$4,"","X")</f>
        <v>X</v>
      </c>
      <c r="I18" s="36" t="str">
        <f>IF(WEEKDAY(DATE($D$7,$D$8,I$9),2)&gt;'[5]Khai báo'!$B$4,"","X")</f>
        <v>X</v>
      </c>
      <c r="J18" s="36" t="str">
        <f>IF(WEEKDAY(DATE($D$7,$D$8,J$9),2)&gt;'[5]Khai báo'!$B$4,"","X")</f>
        <v/>
      </c>
      <c r="K18" s="36" t="str">
        <f>IF(WEEKDAY(DATE($D$7,$D$8,K$9),2)&gt;'[5]Khai báo'!$B$4,"","X")</f>
        <v>X</v>
      </c>
      <c r="L18" s="36" t="str">
        <f>IF(WEEKDAY(DATE($D$7,$D$8,L$9),2)&gt;'[5]Khai báo'!$B$4,"","X")</f>
        <v>X</v>
      </c>
      <c r="M18" s="36" t="str">
        <f>IF(WEEKDAY(DATE($D$7,$D$8,M$9),2)&gt;'[5]Khai báo'!$B$4,"","X")</f>
        <v>X</v>
      </c>
      <c r="N18" s="36" t="str">
        <f>IF(WEEKDAY(DATE($D$7,$D$8,N$9),2)&gt;'[5]Khai báo'!$B$4,"","X")</f>
        <v>X</v>
      </c>
      <c r="O18" s="36" t="str">
        <f>IF(WEEKDAY(DATE($D$7,$D$8,O$9),2)&gt;'[5]Khai báo'!$B$4,"","X")</f>
        <v>X</v>
      </c>
      <c r="P18" s="36" t="str">
        <f>IF(WEEKDAY(DATE($D$7,$D$8,P$9),2)&gt;'[5]Khai báo'!$B$4,"","X")</f>
        <v>X</v>
      </c>
      <c r="Q18" s="36" t="str">
        <f>IF(WEEKDAY(DATE($D$7,$D$8,Q$9),2)&gt;'[5]Khai báo'!$B$4,"","X")</f>
        <v/>
      </c>
      <c r="R18" s="36" t="str">
        <f>IF(WEEKDAY(DATE($D$7,$D$8,R$9),2)&gt;'[5]Khai báo'!$B$4,"","X")</f>
        <v>X</v>
      </c>
      <c r="S18" s="36" t="str">
        <f>IF(WEEKDAY(DATE($D$7,$D$8,S$9),2)&gt;'[5]Khai báo'!$B$4,"","X")</f>
        <v>X</v>
      </c>
      <c r="T18" s="36" t="str">
        <f>IF(WEEKDAY(DATE($D$7,$D$8,T$9),2)&gt;'[5]Khai báo'!$B$4,"","X")</f>
        <v>X</v>
      </c>
      <c r="U18" s="36" t="str">
        <f>IF(WEEKDAY(DATE($D$7,$D$8,U$9),2)&gt;'[5]Khai báo'!$B$4,"","X")</f>
        <v>X</v>
      </c>
      <c r="V18" s="36" t="str">
        <f>IF(WEEKDAY(DATE($D$7,$D$8,V$9),2)&gt;'[5]Khai báo'!$B$4,"","X")</f>
        <v>X</v>
      </c>
      <c r="W18" s="36" t="str">
        <f>IF(WEEKDAY(DATE($D$7,$D$8,W$9),2)&gt;'[5]Khai báo'!$B$4,"","X")</f>
        <v>X</v>
      </c>
      <c r="X18" s="36" t="str">
        <f>IF(WEEKDAY(DATE($D$7,$D$8,X$9),2)&gt;'[5]Khai báo'!$B$4,"","X")</f>
        <v/>
      </c>
      <c r="Y18" s="36" t="str">
        <f>IF(WEEKDAY(DATE($D$7,$D$8,Y$9),2)&gt;'[5]Khai báo'!$B$4,"","X")</f>
        <v>X</v>
      </c>
      <c r="Z18" s="36" t="str">
        <f>IF(WEEKDAY(DATE($D$7,$D$8,Z$9),2)&gt;'[5]Khai báo'!$B$4,"","X")</f>
        <v>X</v>
      </c>
      <c r="AA18" s="36" t="str">
        <f>IF(WEEKDAY(DATE($D$7,$D$8,AA$9),2)&gt;'[5]Khai báo'!$B$4,"","X")</f>
        <v>X</v>
      </c>
      <c r="AB18" s="36" t="str">
        <f>IF(WEEKDAY(DATE($D$7,$D$8,AB$9),2)&gt;'[5]Khai báo'!$B$4,"","X")</f>
        <v>X</v>
      </c>
      <c r="AC18" s="36" t="str">
        <f>IF(WEEKDAY(DATE($D$7,$D$8,AC$9),2)&gt;'[5]Khai báo'!$B$4,"","X")</f>
        <v>X</v>
      </c>
      <c r="AD18" s="36" t="str">
        <f>IF(WEEKDAY(DATE($D$7,$D$8,AD$9),2)&gt;'[5]Khai báo'!$B$4,"","X")</f>
        <v>X</v>
      </c>
      <c r="AE18" s="36" t="str">
        <f>IF(WEEKDAY(DATE($D$7,$D$8,AE$9),2)&gt;'[5]Khai báo'!$B$4,"","X")</f>
        <v/>
      </c>
      <c r="AF18" s="36" t="str">
        <f>IF(WEEKDAY(DATE($D$7,$D$8,AF$9),2)&gt;'[5]Khai báo'!$B$4,"","X")</f>
        <v>X</v>
      </c>
      <c r="AG18" s="36" t="str">
        <f>IF(WEEKDAY(DATE($D$7,$D$8,AG$9),2)&gt;'[5]Khai báo'!$B$4,"","X")</f>
        <v>X</v>
      </c>
      <c r="AH18" s="36" t="str">
        <f>IF(WEEKDAY(DATE($D$7,$D$8,AH$9),2)&gt;'[5]Khai báo'!$B$4,"","X")</f>
        <v>X</v>
      </c>
      <c r="AI18" s="36"/>
      <c r="AJ18" s="45">
        <f t="shared" si="4"/>
        <v>26</v>
      </c>
      <c r="AK18" s="45">
        <f t="shared" si="5"/>
        <v>0</v>
      </c>
      <c r="AL18" s="45"/>
      <c r="AW18" s="141" t="e">
        <f>+AK18-#REF!</f>
        <v>#REF!</v>
      </c>
    </row>
    <row r="19" spans="2:49" ht="21.75" customHeight="1">
      <c r="B19" s="36">
        <v>8</v>
      </c>
      <c r="C19" s="37" t="s">
        <v>3126</v>
      </c>
      <c r="D19" s="37" t="s">
        <v>3127</v>
      </c>
      <c r="E19" s="36" t="str">
        <f>IF(WEEKDAY(DATE($D$7,$D$8,E$9),2)&gt;'[5]Khai báo'!$B$4,"","X")</f>
        <v>X</v>
      </c>
      <c r="F19" s="36" t="str">
        <f>IF(WEEKDAY(DATE($D$7,$D$8,F$9),2)&gt;'[5]Khai báo'!$B$4,"","X")</f>
        <v>X</v>
      </c>
      <c r="G19" s="36" t="str">
        <f>IF(WEEKDAY(DATE($D$7,$D$8,G$9),2)&gt;'[5]Khai báo'!$B$4,"","X")</f>
        <v>X</v>
      </c>
      <c r="H19" s="36" t="str">
        <f>IF(WEEKDAY(DATE($D$7,$D$8,H$9),2)&gt;'[5]Khai báo'!$B$4,"","X")</f>
        <v>X</v>
      </c>
      <c r="I19" s="36" t="str">
        <f>IF(WEEKDAY(DATE($D$7,$D$8,I$9),2)&gt;'[5]Khai báo'!$B$4,"","X")</f>
        <v>X</v>
      </c>
      <c r="J19" s="36" t="str">
        <f>IF(WEEKDAY(DATE($D$7,$D$8,J$9),2)&gt;'[5]Khai báo'!$B$4,"","X")</f>
        <v/>
      </c>
      <c r="K19" s="36" t="str">
        <f>IF(WEEKDAY(DATE($D$7,$D$8,K$9),2)&gt;'[5]Khai báo'!$B$4,"","X")</f>
        <v>X</v>
      </c>
      <c r="L19" s="36" t="str">
        <f>IF(WEEKDAY(DATE($D$7,$D$8,L$9),2)&gt;'[5]Khai báo'!$B$4,"","X")</f>
        <v>X</v>
      </c>
      <c r="M19" s="36" t="str">
        <f>IF(WEEKDAY(DATE($D$7,$D$8,M$9),2)&gt;'[5]Khai báo'!$B$4,"","X")</f>
        <v>X</v>
      </c>
      <c r="N19" s="36" t="str">
        <f>IF(WEEKDAY(DATE($D$7,$D$8,N$9),2)&gt;'[5]Khai báo'!$B$4,"","X")</f>
        <v>X</v>
      </c>
      <c r="O19" s="36" t="str">
        <f>IF(WEEKDAY(DATE($D$7,$D$8,O$9),2)&gt;'[5]Khai báo'!$B$4,"","X")</f>
        <v>X</v>
      </c>
      <c r="P19" s="36" t="str">
        <f>IF(WEEKDAY(DATE($D$7,$D$8,P$9),2)&gt;'[5]Khai báo'!$B$4,"","X")</f>
        <v>X</v>
      </c>
      <c r="Q19" s="36" t="str">
        <f>IF(WEEKDAY(DATE($D$7,$D$8,Q$9),2)&gt;'[5]Khai báo'!$B$4,"","X")</f>
        <v/>
      </c>
      <c r="R19" s="36" t="str">
        <f>IF(WEEKDAY(DATE($D$7,$D$8,R$9),2)&gt;'[5]Khai báo'!$B$4,"","X")</f>
        <v>X</v>
      </c>
      <c r="S19" s="36" t="str">
        <f>IF(WEEKDAY(DATE($D$7,$D$8,S$9),2)&gt;'[5]Khai báo'!$B$4,"","X")</f>
        <v>X</v>
      </c>
      <c r="T19" s="36" t="str">
        <f>IF(WEEKDAY(DATE($D$7,$D$8,T$9),2)&gt;'[5]Khai báo'!$B$4,"","X")</f>
        <v>X</v>
      </c>
      <c r="U19" s="36" t="str">
        <f>IF(WEEKDAY(DATE($D$7,$D$8,U$9),2)&gt;'[5]Khai báo'!$B$4,"","X")</f>
        <v>X</v>
      </c>
      <c r="V19" s="36" t="str">
        <f>IF(WEEKDAY(DATE($D$7,$D$8,V$9),2)&gt;'[5]Khai báo'!$B$4,"","X")</f>
        <v>X</v>
      </c>
      <c r="W19" s="36" t="str">
        <f>IF(WEEKDAY(DATE($D$7,$D$8,W$9),2)&gt;'[5]Khai báo'!$B$4,"","X")</f>
        <v>X</v>
      </c>
      <c r="X19" s="36" t="str">
        <f>IF(WEEKDAY(DATE($D$7,$D$8,X$9),2)&gt;'[5]Khai báo'!$B$4,"","X")</f>
        <v/>
      </c>
      <c r="Y19" s="36" t="str">
        <f>IF(WEEKDAY(DATE($D$7,$D$8,Y$9),2)&gt;'[5]Khai báo'!$B$4,"","X")</f>
        <v>X</v>
      </c>
      <c r="Z19" s="36" t="str">
        <f>IF(WEEKDAY(DATE($D$7,$D$8,Z$9),2)&gt;'[5]Khai báo'!$B$4,"","X")</f>
        <v>X</v>
      </c>
      <c r="AA19" s="36" t="str">
        <f>IF(WEEKDAY(DATE($D$7,$D$8,AA$9),2)&gt;'[5]Khai báo'!$B$4,"","X")</f>
        <v>X</v>
      </c>
      <c r="AB19" s="36" t="str">
        <f>IF(WEEKDAY(DATE($D$7,$D$8,AB$9),2)&gt;'[5]Khai báo'!$B$4,"","X")</f>
        <v>X</v>
      </c>
      <c r="AC19" s="36" t="str">
        <f>IF(WEEKDAY(DATE($D$7,$D$8,AC$9),2)&gt;'[5]Khai báo'!$B$4,"","X")</f>
        <v>X</v>
      </c>
      <c r="AD19" s="36" t="str">
        <f>IF(WEEKDAY(DATE($D$7,$D$8,AD$9),2)&gt;'[5]Khai báo'!$B$4,"","X")</f>
        <v>X</v>
      </c>
      <c r="AE19" s="36" t="str">
        <f>IF(WEEKDAY(DATE($D$7,$D$8,AE$9),2)&gt;'[5]Khai báo'!$B$4,"","X")</f>
        <v/>
      </c>
      <c r="AF19" s="36" t="str">
        <f>IF(WEEKDAY(DATE($D$7,$D$8,AF$9),2)&gt;'[5]Khai báo'!$B$4,"","X")</f>
        <v>X</v>
      </c>
      <c r="AG19" s="36" t="str">
        <f>IF(WEEKDAY(DATE($D$7,$D$8,AG$9),2)&gt;'[5]Khai báo'!$B$4,"","X")</f>
        <v>X</v>
      </c>
      <c r="AH19" s="36" t="str">
        <f>IF(WEEKDAY(DATE($D$7,$D$8,AH$9),2)&gt;'[5]Khai báo'!$B$4,"","X")</f>
        <v>X</v>
      </c>
      <c r="AI19" s="36"/>
      <c r="AJ19" s="45">
        <f t="shared" si="4"/>
        <v>26</v>
      </c>
      <c r="AK19" s="45">
        <f t="shared" si="5"/>
        <v>0</v>
      </c>
      <c r="AL19" s="45"/>
      <c r="AW19" s="141" t="e">
        <f>+AK19-#REF!</f>
        <v>#REF!</v>
      </c>
    </row>
    <row r="20" spans="2:49" ht="21.75" customHeight="1">
      <c r="B20" s="36">
        <v>9</v>
      </c>
      <c r="C20" s="37" t="s">
        <v>3128</v>
      </c>
      <c r="D20" s="37" t="s">
        <v>3105</v>
      </c>
      <c r="E20" s="36" t="str">
        <f>IF(WEEKDAY(DATE($D$7,$D$8,E$9),2)&gt;'[5]Khai báo'!$B$4,"","X")</f>
        <v>X</v>
      </c>
      <c r="F20" s="36" t="str">
        <f>IF(WEEKDAY(DATE($D$7,$D$8,F$9),2)&gt;'[5]Khai báo'!$B$4,"","X")</f>
        <v>X</v>
      </c>
      <c r="G20" s="36" t="str">
        <f>IF(WEEKDAY(DATE($D$7,$D$8,G$9),2)&gt;'[5]Khai báo'!$B$4,"","X")</f>
        <v>X</v>
      </c>
      <c r="H20" s="36" t="str">
        <f>IF(WEEKDAY(DATE($D$7,$D$8,H$9),2)&gt;'[5]Khai báo'!$B$4,"","X")</f>
        <v>X</v>
      </c>
      <c r="I20" s="36" t="str">
        <f>IF(WEEKDAY(DATE($D$7,$D$8,I$9),2)&gt;'[5]Khai báo'!$B$4,"","X")</f>
        <v>X</v>
      </c>
      <c r="J20" s="36" t="str">
        <f>IF(WEEKDAY(DATE($D$7,$D$8,J$9),2)&gt;'[5]Khai báo'!$B$4,"","X")</f>
        <v/>
      </c>
      <c r="K20" s="36" t="str">
        <f>IF(WEEKDAY(DATE($D$7,$D$8,K$9),2)&gt;'[5]Khai báo'!$B$4,"","X")</f>
        <v>X</v>
      </c>
      <c r="L20" s="36" t="str">
        <f>IF(WEEKDAY(DATE($D$7,$D$8,L$9),2)&gt;'[5]Khai báo'!$B$4,"","X")</f>
        <v>X</v>
      </c>
      <c r="M20" s="36" t="str">
        <f>IF(WEEKDAY(DATE($D$7,$D$8,M$9),2)&gt;'[5]Khai báo'!$B$4,"","X")</f>
        <v>X</v>
      </c>
      <c r="N20" s="36" t="str">
        <f>IF(WEEKDAY(DATE($D$7,$D$8,N$9),2)&gt;'[5]Khai báo'!$B$4,"","X")</f>
        <v>X</v>
      </c>
      <c r="O20" s="36" t="str">
        <f>IF(WEEKDAY(DATE($D$7,$D$8,O$9),2)&gt;'[5]Khai báo'!$B$4,"","X")</f>
        <v>X</v>
      </c>
      <c r="P20" s="36" t="str">
        <f>IF(WEEKDAY(DATE($D$7,$D$8,P$9),2)&gt;'[5]Khai báo'!$B$4,"","X")</f>
        <v>X</v>
      </c>
      <c r="Q20" s="36" t="str">
        <f>IF(WEEKDAY(DATE($D$7,$D$8,Q$9),2)&gt;'[5]Khai báo'!$B$4,"","X")</f>
        <v/>
      </c>
      <c r="R20" s="36" t="str">
        <f>IF(WEEKDAY(DATE($D$7,$D$8,R$9),2)&gt;'[5]Khai báo'!$B$4,"","X")</f>
        <v>X</v>
      </c>
      <c r="S20" s="36" t="str">
        <f>IF(WEEKDAY(DATE($D$7,$D$8,S$9),2)&gt;'[5]Khai báo'!$B$4,"","X")</f>
        <v>X</v>
      </c>
      <c r="T20" s="36" t="str">
        <f>IF(WEEKDAY(DATE($D$7,$D$8,T$9),2)&gt;'[5]Khai báo'!$B$4,"","X")</f>
        <v>X</v>
      </c>
      <c r="U20" s="36" t="str">
        <f>IF(WEEKDAY(DATE($D$7,$D$8,U$9),2)&gt;'[5]Khai báo'!$B$4,"","X")</f>
        <v>X</v>
      </c>
      <c r="V20" s="36" t="str">
        <f>IF(WEEKDAY(DATE($D$7,$D$8,V$9),2)&gt;'[5]Khai báo'!$B$4,"","X")</f>
        <v>X</v>
      </c>
      <c r="W20" s="36" t="str">
        <f>IF(WEEKDAY(DATE($D$7,$D$8,W$9),2)&gt;'[5]Khai báo'!$B$4,"","X")</f>
        <v>X</v>
      </c>
      <c r="X20" s="36" t="str">
        <f>IF(WEEKDAY(DATE($D$7,$D$8,X$9),2)&gt;'[5]Khai báo'!$B$4,"","X")</f>
        <v/>
      </c>
      <c r="Y20" s="36" t="str">
        <f>IF(WEEKDAY(DATE($D$7,$D$8,Y$9),2)&gt;'[5]Khai báo'!$B$4,"","X")</f>
        <v>X</v>
      </c>
      <c r="Z20" s="36" t="str">
        <f>IF(WEEKDAY(DATE($D$7,$D$8,Z$9),2)&gt;'[5]Khai báo'!$B$4,"","X")</f>
        <v>X</v>
      </c>
      <c r="AA20" s="36" t="str">
        <f>IF(WEEKDAY(DATE($D$7,$D$8,AA$9),2)&gt;'[5]Khai báo'!$B$4,"","X")</f>
        <v>X</v>
      </c>
      <c r="AB20" s="36" t="str">
        <f>IF(WEEKDAY(DATE($D$7,$D$8,AB$9),2)&gt;'[5]Khai báo'!$B$4,"","X")</f>
        <v>X</v>
      </c>
      <c r="AC20" s="36" t="str">
        <f>IF(WEEKDAY(DATE($D$7,$D$8,AC$9),2)&gt;'[5]Khai báo'!$B$4,"","X")</f>
        <v>X</v>
      </c>
      <c r="AD20" s="36" t="str">
        <f>IF(WEEKDAY(DATE($D$7,$D$8,AD$9),2)&gt;'[5]Khai báo'!$B$4,"","X")</f>
        <v>X</v>
      </c>
      <c r="AE20" s="36" t="str">
        <f>IF(WEEKDAY(DATE($D$7,$D$8,AE$9),2)&gt;'[5]Khai báo'!$B$4,"","X")</f>
        <v/>
      </c>
      <c r="AF20" s="36" t="str">
        <f>IF(WEEKDAY(DATE($D$7,$D$8,AF$9),2)&gt;'[5]Khai báo'!$B$4,"","X")</f>
        <v>X</v>
      </c>
      <c r="AG20" s="36" t="str">
        <f>IF(WEEKDAY(DATE($D$7,$D$8,AG$9),2)&gt;'[5]Khai báo'!$B$4,"","X")</f>
        <v>X</v>
      </c>
      <c r="AH20" s="36" t="str">
        <f>IF(WEEKDAY(DATE($D$7,$D$8,AH$9),2)&gt;'[5]Khai báo'!$B$4,"","X")</f>
        <v>X</v>
      </c>
      <c r="AI20" s="36"/>
      <c r="AJ20" s="45">
        <f t="shared" si="4"/>
        <v>26</v>
      </c>
      <c r="AK20" s="45">
        <f t="shared" si="5"/>
        <v>0</v>
      </c>
      <c r="AL20" s="45"/>
      <c r="AW20" s="141" t="e">
        <f>+AK20-#REF!</f>
        <v>#REF!</v>
      </c>
    </row>
    <row r="21" spans="2:49" ht="21.75" customHeight="1">
      <c r="B21" s="36">
        <v>10</v>
      </c>
      <c r="C21" s="37" t="s">
        <v>3091</v>
      </c>
      <c r="D21" s="37" t="s">
        <v>3092</v>
      </c>
      <c r="E21" s="36" t="str">
        <f>IF(WEEKDAY(DATE($D$7,$D$8,E$9),2)&gt;'[5]Khai báo'!$B$4,"","X")</f>
        <v>X</v>
      </c>
      <c r="F21" s="36" t="str">
        <f>IF(WEEKDAY(DATE($D$7,$D$8,F$9),2)&gt;'[5]Khai báo'!$B$4,"","X")</f>
        <v>X</v>
      </c>
      <c r="G21" s="36" t="str">
        <f>IF(WEEKDAY(DATE($D$7,$D$8,G$9),2)&gt;'[5]Khai báo'!$B$4,"","X")</f>
        <v>X</v>
      </c>
      <c r="H21" s="36" t="str">
        <f>IF(WEEKDAY(DATE($D$7,$D$8,H$9),2)&gt;'[5]Khai báo'!$B$4,"","X")</f>
        <v>X</v>
      </c>
      <c r="I21" s="36" t="str">
        <f>IF(WEEKDAY(DATE($D$7,$D$8,I$9),2)&gt;'[5]Khai báo'!$B$4,"","X")</f>
        <v>X</v>
      </c>
      <c r="J21" s="36" t="str">
        <f>IF(WEEKDAY(DATE($D$7,$D$8,J$9),2)&gt;'[5]Khai báo'!$B$4,"","X")</f>
        <v/>
      </c>
      <c r="K21" s="36" t="str">
        <f>IF(WEEKDAY(DATE($D$7,$D$8,K$9),2)&gt;'[5]Khai báo'!$B$4,"","X")</f>
        <v>X</v>
      </c>
      <c r="L21" s="36" t="str">
        <f>IF(WEEKDAY(DATE($D$7,$D$8,L$9),2)&gt;'[5]Khai báo'!$B$4,"","X")</f>
        <v>X</v>
      </c>
      <c r="M21" s="36" t="str">
        <f>IF(WEEKDAY(DATE($D$7,$D$8,M$9),2)&gt;'[5]Khai báo'!$B$4,"","X")</f>
        <v>X</v>
      </c>
      <c r="N21" s="36" t="str">
        <f>IF(WEEKDAY(DATE($D$7,$D$8,N$9),2)&gt;'[5]Khai báo'!$B$4,"","X")</f>
        <v>X</v>
      </c>
      <c r="O21" s="36" t="str">
        <f>IF(WEEKDAY(DATE($D$7,$D$8,O$9),2)&gt;'[5]Khai báo'!$B$4,"","X")</f>
        <v>X</v>
      </c>
      <c r="P21" s="36" t="str">
        <f>IF(WEEKDAY(DATE($D$7,$D$8,P$9),2)&gt;'[5]Khai báo'!$B$4,"","X")</f>
        <v>X</v>
      </c>
      <c r="Q21" s="36" t="str">
        <f>IF(WEEKDAY(DATE($D$7,$D$8,Q$9),2)&gt;'[5]Khai báo'!$B$4,"","X")</f>
        <v/>
      </c>
      <c r="R21" s="36" t="str">
        <f>IF(WEEKDAY(DATE($D$7,$D$8,R$9),2)&gt;'[5]Khai báo'!$B$4,"","X")</f>
        <v>X</v>
      </c>
      <c r="S21" s="36" t="str">
        <f>IF(WEEKDAY(DATE($D$7,$D$8,S$9),2)&gt;'[5]Khai báo'!$B$4,"","X")</f>
        <v>X</v>
      </c>
      <c r="T21" s="36" t="str">
        <f>IF(WEEKDAY(DATE($D$7,$D$8,T$9),2)&gt;'[5]Khai báo'!$B$4,"","X")</f>
        <v>X</v>
      </c>
      <c r="U21" s="36" t="str">
        <f>IF(WEEKDAY(DATE($D$7,$D$8,U$9),2)&gt;'[5]Khai báo'!$B$4,"","X")</f>
        <v>X</v>
      </c>
      <c r="V21" s="36" t="str">
        <f>IF(WEEKDAY(DATE($D$7,$D$8,V$9),2)&gt;'[5]Khai báo'!$B$4,"","X")</f>
        <v>X</v>
      </c>
      <c r="W21" s="36" t="str">
        <f>IF(WEEKDAY(DATE($D$7,$D$8,W$9),2)&gt;'[5]Khai báo'!$B$4,"","X")</f>
        <v>X</v>
      </c>
      <c r="X21" s="36" t="str">
        <f>IF(WEEKDAY(DATE($D$7,$D$8,X$9),2)&gt;'[5]Khai báo'!$B$4,"","X")</f>
        <v/>
      </c>
      <c r="Y21" s="36" t="str">
        <f>IF(WEEKDAY(DATE($D$7,$D$8,Y$9),2)&gt;'[5]Khai báo'!$B$4,"","X")</f>
        <v>X</v>
      </c>
      <c r="Z21" s="36" t="str">
        <f>IF(WEEKDAY(DATE($D$7,$D$8,Z$9),2)&gt;'[5]Khai báo'!$B$4,"","X")</f>
        <v>X</v>
      </c>
      <c r="AA21" s="36" t="str">
        <f>IF(WEEKDAY(DATE($D$7,$D$8,AA$9),2)&gt;'[5]Khai báo'!$B$4,"","X")</f>
        <v>X</v>
      </c>
      <c r="AB21" s="36" t="str">
        <f>IF(WEEKDAY(DATE($D$7,$D$8,AB$9),2)&gt;'[5]Khai báo'!$B$4,"","X")</f>
        <v>X</v>
      </c>
      <c r="AC21" s="36" t="str">
        <f>IF(WEEKDAY(DATE($D$7,$D$8,AC$9),2)&gt;'[5]Khai báo'!$B$4,"","X")</f>
        <v>X</v>
      </c>
      <c r="AD21" s="36" t="str">
        <f>IF(WEEKDAY(DATE($D$7,$D$8,AD$9),2)&gt;'[5]Khai báo'!$B$4,"","X")</f>
        <v>X</v>
      </c>
      <c r="AE21" s="36" t="str">
        <f>IF(WEEKDAY(DATE($D$7,$D$8,AE$9),2)&gt;'[5]Khai báo'!$B$4,"","X")</f>
        <v/>
      </c>
      <c r="AF21" s="36" t="str">
        <f>IF(WEEKDAY(DATE($D$7,$D$8,AF$9),2)&gt;'[5]Khai báo'!$B$4,"","X")</f>
        <v>X</v>
      </c>
      <c r="AG21" s="36" t="str">
        <f>IF(WEEKDAY(DATE($D$7,$D$8,AG$9),2)&gt;'[5]Khai báo'!$B$4,"","X")</f>
        <v>X</v>
      </c>
      <c r="AH21" s="36" t="str">
        <f>IF(WEEKDAY(DATE($D$7,$D$8,AH$9),2)&gt;'[5]Khai báo'!$B$4,"","X")</f>
        <v>X</v>
      </c>
      <c r="AI21" s="36"/>
      <c r="AJ21" s="45">
        <f t="shared" si="4"/>
        <v>26</v>
      </c>
      <c r="AK21" s="45">
        <f t="shared" si="5"/>
        <v>0</v>
      </c>
      <c r="AL21" s="45"/>
      <c r="AW21" s="141" t="e">
        <f>+AK21-#REF!</f>
        <v>#REF!</v>
      </c>
    </row>
    <row r="22" spans="2:49" ht="21.75" customHeight="1">
      <c r="B22" s="36">
        <v>11</v>
      </c>
      <c r="C22" s="37" t="s">
        <v>3093</v>
      </c>
      <c r="D22" s="37" t="s">
        <v>3092</v>
      </c>
      <c r="E22" s="36" t="str">
        <f>IF(WEEKDAY(DATE($D$7,$D$8,E$9),2)&gt;'[5]Khai báo'!$B$4,"","X")</f>
        <v>X</v>
      </c>
      <c r="F22" s="36" t="str">
        <f>IF(WEEKDAY(DATE($D$7,$D$8,F$9),2)&gt;'[5]Khai báo'!$B$4,"","X")</f>
        <v>X</v>
      </c>
      <c r="G22" s="36" t="str">
        <f>IF(WEEKDAY(DATE($D$7,$D$8,G$9),2)&gt;'[5]Khai báo'!$B$4,"","X")</f>
        <v>X</v>
      </c>
      <c r="H22" s="36" t="str">
        <f>IF(WEEKDAY(DATE($D$7,$D$8,H$9),2)&gt;'[5]Khai báo'!$B$4,"","X")</f>
        <v>X</v>
      </c>
      <c r="I22" s="36" t="str">
        <f>IF(WEEKDAY(DATE($D$7,$D$8,I$9),2)&gt;'[5]Khai báo'!$B$4,"","X")</f>
        <v>X</v>
      </c>
      <c r="J22" s="36" t="str">
        <f>IF(WEEKDAY(DATE($D$7,$D$8,J$9),2)&gt;'[5]Khai báo'!$B$4,"","X")</f>
        <v/>
      </c>
      <c r="K22" s="36" t="str">
        <f>IF(WEEKDAY(DATE($D$7,$D$8,K$9),2)&gt;'[5]Khai báo'!$B$4,"","X")</f>
        <v>X</v>
      </c>
      <c r="L22" s="36" t="str">
        <f>IF(WEEKDAY(DATE($D$7,$D$8,L$9),2)&gt;'[5]Khai báo'!$B$4,"","X")</f>
        <v>X</v>
      </c>
      <c r="M22" s="36" t="str">
        <f>IF(WEEKDAY(DATE($D$7,$D$8,M$9),2)&gt;'[5]Khai báo'!$B$4,"","X")</f>
        <v>X</v>
      </c>
      <c r="N22" s="36" t="str">
        <f>IF(WEEKDAY(DATE($D$7,$D$8,N$9),2)&gt;'[5]Khai báo'!$B$4,"","X")</f>
        <v>X</v>
      </c>
      <c r="O22" s="36" t="str">
        <f>IF(WEEKDAY(DATE($D$7,$D$8,O$9),2)&gt;'[5]Khai báo'!$B$4,"","X")</f>
        <v>X</v>
      </c>
      <c r="P22" s="36" t="str">
        <f>IF(WEEKDAY(DATE($D$7,$D$8,P$9),2)&gt;'[5]Khai báo'!$B$4,"","X")</f>
        <v>X</v>
      </c>
      <c r="Q22" s="36" t="str">
        <f>IF(WEEKDAY(DATE($D$7,$D$8,Q$9),2)&gt;'[5]Khai báo'!$B$4,"","X")</f>
        <v/>
      </c>
      <c r="R22" s="36" t="str">
        <f>IF(WEEKDAY(DATE($D$7,$D$8,R$9),2)&gt;'[5]Khai báo'!$B$4,"","X")</f>
        <v>X</v>
      </c>
      <c r="S22" s="36" t="str">
        <f>IF(WEEKDAY(DATE($D$7,$D$8,S$9),2)&gt;'[5]Khai báo'!$B$4,"","X")</f>
        <v>X</v>
      </c>
      <c r="T22" s="36" t="str">
        <f>IF(WEEKDAY(DATE($D$7,$D$8,T$9),2)&gt;'[5]Khai báo'!$B$4,"","X")</f>
        <v>X</v>
      </c>
      <c r="U22" s="36" t="str">
        <f>IF(WEEKDAY(DATE($D$7,$D$8,U$9),2)&gt;'[5]Khai báo'!$B$4,"","X")</f>
        <v>X</v>
      </c>
      <c r="V22" s="36" t="str">
        <f>IF(WEEKDAY(DATE($D$7,$D$8,V$9),2)&gt;'[5]Khai báo'!$B$4,"","X")</f>
        <v>X</v>
      </c>
      <c r="W22" s="36" t="str">
        <f>IF(WEEKDAY(DATE($D$7,$D$8,W$9),2)&gt;'[5]Khai báo'!$B$4,"","X")</f>
        <v>X</v>
      </c>
      <c r="X22" s="36" t="str">
        <f>IF(WEEKDAY(DATE($D$7,$D$8,X$9),2)&gt;'[5]Khai báo'!$B$4,"","X")</f>
        <v/>
      </c>
      <c r="Y22" s="36" t="str">
        <f>IF(WEEKDAY(DATE($D$7,$D$8,Y$9),2)&gt;'[5]Khai báo'!$B$4,"","X")</f>
        <v>X</v>
      </c>
      <c r="Z22" s="36" t="str">
        <f>IF(WEEKDAY(DATE($D$7,$D$8,Z$9),2)&gt;'[5]Khai báo'!$B$4,"","X")</f>
        <v>X</v>
      </c>
      <c r="AA22" s="36" t="str">
        <f>IF(WEEKDAY(DATE($D$7,$D$8,AA$9),2)&gt;'[5]Khai báo'!$B$4,"","X")</f>
        <v>X</v>
      </c>
      <c r="AB22" s="36" t="str">
        <f>IF(WEEKDAY(DATE($D$7,$D$8,AB$9),2)&gt;'[5]Khai báo'!$B$4,"","X")</f>
        <v>X</v>
      </c>
      <c r="AC22" s="36" t="str">
        <f>IF(WEEKDAY(DATE($D$7,$D$8,AC$9),2)&gt;'[5]Khai báo'!$B$4,"","X")</f>
        <v>X</v>
      </c>
      <c r="AD22" s="36" t="str">
        <f>IF(WEEKDAY(DATE($D$7,$D$8,AD$9),2)&gt;'[5]Khai báo'!$B$4,"","X")</f>
        <v>X</v>
      </c>
      <c r="AE22" s="36" t="str">
        <f>IF(WEEKDAY(DATE($D$7,$D$8,AE$9),2)&gt;'[5]Khai báo'!$B$4,"","X")</f>
        <v/>
      </c>
      <c r="AF22" s="36" t="str">
        <f>IF(WEEKDAY(DATE($D$7,$D$8,AF$9),2)&gt;'[5]Khai báo'!$B$4,"","X")</f>
        <v>X</v>
      </c>
      <c r="AG22" s="36" t="str">
        <f>IF(WEEKDAY(DATE($D$7,$D$8,AG$9),2)&gt;'[5]Khai báo'!$B$4,"","X")</f>
        <v>X</v>
      </c>
      <c r="AH22" s="36" t="str">
        <f>IF(WEEKDAY(DATE($D$7,$D$8,AH$9),2)&gt;'[5]Khai báo'!$B$4,"","X")</f>
        <v>X</v>
      </c>
      <c r="AI22" s="36"/>
      <c r="AJ22" s="45">
        <f t="shared" si="4"/>
        <v>26</v>
      </c>
      <c r="AK22" s="45">
        <f t="shared" si="5"/>
        <v>0</v>
      </c>
      <c r="AL22" s="45"/>
      <c r="AW22" s="141" t="e">
        <f>+AK22-#REF!</f>
        <v>#REF!</v>
      </c>
    </row>
    <row r="23" spans="2:49" ht="21.75" customHeight="1">
      <c r="B23" s="36">
        <v>12</v>
      </c>
      <c r="C23" s="37" t="s">
        <v>3094</v>
      </c>
      <c r="D23" s="37" t="s">
        <v>3092</v>
      </c>
      <c r="E23" s="36" t="str">
        <f>IF(WEEKDAY(DATE($D$7,$D$8,E$9),2)&gt;'[5]Khai báo'!$B$4,"","X")</f>
        <v>X</v>
      </c>
      <c r="F23" s="36" t="str">
        <f>IF(WEEKDAY(DATE($D$7,$D$8,F$9),2)&gt;'[5]Khai báo'!$B$4,"","X")</f>
        <v>X</v>
      </c>
      <c r="G23" s="36" t="str">
        <f>IF(WEEKDAY(DATE($D$7,$D$8,G$9),2)&gt;'[5]Khai báo'!$B$4,"","X")</f>
        <v>X</v>
      </c>
      <c r="H23" s="36" t="str">
        <f>IF(WEEKDAY(DATE($D$7,$D$8,H$9),2)&gt;'[5]Khai báo'!$B$4,"","X")</f>
        <v>X</v>
      </c>
      <c r="I23" s="36" t="str">
        <f>IF(WEEKDAY(DATE($D$7,$D$8,I$9),2)&gt;'[5]Khai báo'!$B$4,"","X")</f>
        <v>X</v>
      </c>
      <c r="J23" s="36" t="str">
        <f>IF(WEEKDAY(DATE($D$7,$D$8,J$9),2)&gt;'[5]Khai báo'!$B$4,"","X")</f>
        <v/>
      </c>
      <c r="K23" s="36" t="str">
        <f>IF(WEEKDAY(DATE($D$7,$D$8,K$9),2)&gt;'[5]Khai báo'!$B$4,"","X")</f>
        <v>X</v>
      </c>
      <c r="L23" s="36" t="str">
        <f>IF(WEEKDAY(DATE($D$7,$D$8,L$9),2)&gt;'[5]Khai báo'!$B$4,"","X")</f>
        <v>X</v>
      </c>
      <c r="M23" s="36" t="str">
        <f>IF(WEEKDAY(DATE($D$7,$D$8,M$9),2)&gt;'[5]Khai báo'!$B$4,"","X")</f>
        <v>X</v>
      </c>
      <c r="N23" s="36" t="str">
        <f>IF(WEEKDAY(DATE($D$7,$D$8,N$9),2)&gt;'[5]Khai báo'!$B$4,"","X")</f>
        <v>X</v>
      </c>
      <c r="O23" s="36" t="str">
        <f>IF(WEEKDAY(DATE($D$7,$D$8,O$9),2)&gt;'[5]Khai báo'!$B$4,"","X")</f>
        <v>X</v>
      </c>
      <c r="P23" s="36" t="str">
        <f>IF(WEEKDAY(DATE($D$7,$D$8,P$9),2)&gt;'[5]Khai báo'!$B$4,"","X")</f>
        <v>X</v>
      </c>
      <c r="Q23" s="36" t="str">
        <f>IF(WEEKDAY(DATE($D$7,$D$8,Q$9),2)&gt;'[5]Khai báo'!$B$4,"","X")</f>
        <v/>
      </c>
      <c r="R23" s="36" t="str">
        <f>IF(WEEKDAY(DATE($D$7,$D$8,R$9),2)&gt;'[5]Khai báo'!$B$4,"","X")</f>
        <v>X</v>
      </c>
      <c r="S23" s="36" t="str">
        <f>IF(WEEKDAY(DATE($D$7,$D$8,S$9),2)&gt;'[5]Khai báo'!$B$4,"","X")</f>
        <v>X</v>
      </c>
      <c r="T23" s="36" t="str">
        <f>IF(WEEKDAY(DATE($D$7,$D$8,T$9),2)&gt;'[5]Khai báo'!$B$4,"","X")</f>
        <v>X</v>
      </c>
      <c r="U23" s="36" t="str">
        <f>IF(WEEKDAY(DATE($D$7,$D$8,U$9),2)&gt;'[5]Khai báo'!$B$4,"","X")</f>
        <v>X</v>
      </c>
      <c r="V23" s="36" t="str">
        <f>IF(WEEKDAY(DATE($D$7,$D$8,V$9),2)&gt;'[5]Khai báo'!$B$4,"","X")</f>
        <v>X</v>
      </c>
      <c r="W23" s="36" t="str">
        <f>IF(WEEKDAY(DATE($D$7,$D$8,W$9),2)&gt;'[5]Khai báo'!$B$4,"","X")</f>
        <v>X</v>
      </c>
      <c r="X23" s="36" t="str">
        <f>IF(WEEKDAY(DATE($D$7,$D$8,X$9),2)&gt;'[5]Khai báo'!$B$4,"","X")</f>
        <v/>
      </c>
      <c r="Y23" s="36" t="str">
        <f>IF(WEEKDAY(DATE($D$7,$D$8,Y$9),2)&gt;'[5]Khai báo'!$B$4,"","X")</f>
        <v>X</v>
      </c>
      <c r="Z23" s="36" t="str">
        <f>IF(WEEKDAY(DATE($D$7,$D$8,Z$9),2)&gt;'[5]Khai báo'!$B$4,"","X")</f>
        <v>X</v>
      </c>
      <c r="AA23" s="36" t="str">
        <f>IF(WEEKDAY(DATE($D$7,$D$8,AA$9),2)&gt;'[5]Khai báo'!$B$4,"","X")</f>
        <v>X</v>
      </c>
      <c r="AB23" s="36" t="str">
        <f>IF(WEEKDAY(DATE($D$7,$D$8,AB$9),2)&gt;'[5]Khai báo'!$B$4,"","X")</f>
        <v>X</v>
      </c>
      <c r="AC23" s="36" t="str">
        <f>IF(WEEKDAY(DATE($D$7,$D$8,AC$9),2)&gt;'[5]Khai báo'!$B$4,"","X")</f>
        <v>X</v>
      </c>
      <c r="AD23" s="36" t="str">
        <f>IF(WEEKDAY(DATE($D$7,$D$8,AD$9),2)&gt;'[5]Khai báo'!$B$4,"","X")</f>
        <v>X</v>
      </c>
      <c r="AE23" s="36" t="str">
        <f>IF(WEEKDAY(DATE($D$7,$D$8,AE$9),2)&gt;'[5]Khai báo'!$B$4,"","X")</f>
        <v/>
      </c>
      <c r="AF23" s="36" t="str">
        <f>IF(WEEKDAY(DATE($D$7,$D$8,AF$9),2)&gt;'[5]Khai báo'!$B$4,"","X")</f>
        <v>X</v>
      </c>
      <c r="AG23" s="36" t="str">
        <f>IF(WEEKDAY(DATE($D$7,$D$8,AG$9),2)&gt;'[5]Khai báo'!$B$4,"","X")</f>
        <v>X</v>
      </c>
      <c r="AH23" s="36" t="str">
        <f>IF(WEEKDAY(DATE($D$7,$D$8,AH$9),2)&gt;'[5]Khai báo'!$B$4,"","X")</f>
        <v>X</v>
      </c>
      <c r="AI23" s="36"/>
      <c r="AJ23" s="45">
        <f t="shared" si="4"/>
        <v>26</v>
      </c>
      <c r="AK23" s="45">
        <f t="shared" si="5"/>
        <v>0</v>
      </c>
      <c r="AL23" s="45"/>
      <c r="AW23" s="141" t="e">
        <f>+AK23-#REF!</f>
        <v>#REF!</v>
      </c>
    </row>
    <row r="24" spans="2:49" ht="21.75" customHeight="1">
      <c r="B24" s="36">
        <v>13</v>
      </c>
      <c r="C24" s="37" t="s">
        <v>3095</v>
      </c>
      <c r="D24" s="37" t="s">
        <v>3092</v>
      </c>
      <c r="E24" s="36" t="str">
        <f>IF(WEEKDAY(DATE($D$7,$D$8,E$9),2)&gt;'[5]Khai báo'!$B$4,"","X")</f>
        <v>X</v>
      </c>
      <c r="F24" s="36" t="str">
        <f>IF(WEEKDAY(DATE($D$7,$D$8,F$9),2)&gt;'[5]Khai báo'!$B$4,"","X")</f>
        <v>X</v>
      </c>
      <c r="G24" s="36" t="str">
        <f>IF(WEEKDAY(DATE($D$7,$D$8,G$9),2)&gt;'[5]Khai báo'!$B$4,"","X")</f>
        <v>X</v>
      </c>
      <c r="H24" s="36" t="str">
        <f>IF(WEEKDAY(DATE($D$7,$D$8,H$9),2)&gt;'[5]Khai báo'!$B$4,"","X")</f>
        <v>X</v>
      </c>
      <c r="I24" s="36" t="str">
        <f>IF(WEEKDAY(DATE($D$7,$D$8,I$9),2)&gt;'[5]Khai báo'!$B$4,"","X")</f>
        <v>X</v>
      </c>
      <c r="J24" s="36" t="str">
        <f>IF(WEEKDAY(DATE($D$7,$D$8,J$9),2)&gt;'[5]Khai báo'!$B$4,"","X")</f>
        <v/>
      </c>
      <c r="K24" s="36" t="str">
        <f>IF(WEEKDAY(DATE($D$7,$D$8,K$9),2)&gt;'[5]Khai báo'!$B$4,"","X")</f>
        <v>X</v>
      </c>
      <c r="L24" s="36" t="str">
        <f>IF(WEEKDAY(DATE($D$7,$D$8,L$9),2)&gt;'[5]Khai báo'!$B$4,"","X")</f>
        <v>X</v>
      </c>
      <c r="M24" s="36" t="str">
        <f>IF(WEEKDAY(DATE($D$7,$D$8,M$9),2)&gt;'[5]Khai báo'!$B$4,"","X")</f>
        <v>X</v>
      </c>
      <c r="N24" s="36" t="str">
        <f>IF(WEEKDAY(DATE($D$7,$D$8,N$9),2)&gt;'[5]Khai báo'!$B$4,"","X")</f>
        <v>X</v>
      </c>
      <c r="O24" s="36" t="str">
        <f>IF(WEEKDAY(DATE($D$7,$D$8,O$9),2)&gt;'[5]Khai báo'!$B$4,"","X")</f>
        <v>X</v>
      </c>
      <c r="P24" s="36" t="str">
        <f>IF(WEEKDAY(DATE($D$7,$D$8,P$9),2)&gt;'[5]Khai báo'!$B$4,"","X")</f>
        <v>X</v>
      </c>
      <c r="Q24" s="36" t="str">
        <f>IF(WEEKDAY(DATE($D$7,$D$8,Q$9),2)&gt;'[5]Khai báo'!$B$4,"","X")</f>
        <v/>
      </c>
      <c r="R24" s="36" t="str">
        <f>IF(WEEKDAY(DATE($D$7,$D$8,R$9),2)&gt;'[5]Khai báo'!$B$4,"","X")</f>
        <v>X</v>
      </c>
      <c r="S24" s="36" t="str">
        <f>IF(WEEKDAY(DATE($D$7,$D$8,S$9),2)&gt;'[5]Khai báo'!$B$4,"","X")</f>
        <v>X</v>
      </c>
      <c r="T24" s="36" t="str">
        <f>IF(WEEKDAY(DATE($D$7,$D$8,T$9),2)&gt;'[5]Khai báo'!$B$4,"","X")</f>
        <v>X</v>
      </c>
      <c r="U24" s="36" t="str">
        <f>IF(WEEKDAY(DATE($D$7,$D$8,U$9),2)&gt;'[5]Khai báo'!$B$4,"","X")</f>
        <v>X</v>
      </c>
      <c r="V24" s="36" t="str">
        <f>IF(WEEKDAY(DATE($D$7,$D$8,V$9),2)&gt;'[5]Khai báo'!$B$4,"","X")</f>
        <v>X</v>
      </c>
      <c r="W24" s="36" t="str">
        <f>IF(WEEKDAY(DATE($D$7,$D$8,W$9),2)&gt;'[5]Khai báo'!$B$4,"","X")</f>
        <v>X</v>
      </c>
      <c r="X24" s="36" t="str">
        <f>IF(WEEKDAY(DATE($D$7,$D$8,X$9),2)&gt;'[5]Khai báo'!$B$4,"","X")</f>
        <v/>
      </c>
      <c r="Y24" s="36" t="str">
        <f>IF(WEEKDAY(DATE($D$7,$D$8,Y$9),2)&gt;'[5]Khai báo'!$B$4,"","X")</f>
        <v>X</v>
      </c>
      <c r="Z24" s="36" t="str">
        <f>IF(WEEKDAY(DATE($D$7,$D$8,Z$9),2)&gt;'[5]Khai báo'!$B$4,"","X")</f>
        <v>X</v>
      </c>
      <c r="AA24" s="36" t="str">
        <f>IF(WEEKDAY(DATE($D$7,$D$8,AA$9),2)&gt;'[5]Khai báo'!$B$4,"","X")</f>
        <v>X</v>
      </c>
      <c r="AB24" s="36" t="str">
        <f>IF(WEEKDAY(DATE($D$7,$D$8,AB$9),2)&gt;'[5]Khai báo'!$B$4,"","X")</f>
        <v>X</v>
      </c>
      <c r="AC24" s="36" t="str">
        <f>IF(WEEKDAY(DATE($D$7,$D$8,AC$9),2)&gt;'[5]Khai báo'!$B$4,"","X")</f>
        <v>X</v>
      </c>
      <c r="AD24" s="36" t="str">
        <f>IF(WEEKDAY(DATE($D$7,$D$8,AD$9),2)&gt;'[5]Khai báo'!$B$4,"","X")</f>
        <v>X</v>
      </c>
      <c r="AE24" s="36" t="str">
        <f>IF(WEEKDAY(DATE($D$7,$D$8,AE$9),2)&gt;'[5]Khai báo'!$B$4,"","X")</f>
        <v/>
      </c>
      <c r="AF24" s="36" t="str">
        <f>IF(WEEKDAY(DATE($D$7,$D$8,AF$9),2)&gt;'[5]Khai báo'!$B$4,"","X")</f>
        <v>X</v>
      </c>
      <c r="AG24" s="36" t="str">
        <f>IF(WEEKDAY(DATE($D$7,$D$8,AG$9),2)&gt;'[5]Khai báo'!$B$4,"","X")</f>
        <v>X</v>
      </c>
      <c r="AH24" s="36" t="str">
        <f>IF(WEEKDAY(DATE($D$7,$D$8,AH$9),2)&gt;'[5]Khai báo'!$B$4,"","X")</f>
        <v>X</v>
      </c>
      <c r="AI24" s="36"/>
      <c r="AJ24" s="45">
        <f t="shared" si="4"/>
        <v>26</v>
      </c>
      <c r="AK24" s="45">
        <f t="shared" si="5"/>
        <v>0</v>
      </c>
      <c r="AL24" s="45"/>
      <c r="AW24" s="141" t="e">
        <f>+AK24-#REF!</f>
        <v>#REF!</v>
      </c>
    </row>
    <row r="25" spans="2:49" ht="21.75" customHeight="1">
      <c r="B25" s="36">
        <v>14</v>
      </c>
      <c r="C25" s="148" t="s">
        <v>3096</v>
      </c>
      <c r="D25" s="37" t="s">
        <v>3092</v>
      </c>
      <c r="E25" s="36" t="str">
        <f>IF(WEEKDAY(DATE($D$7,$D$8,E$9),2)&gt;'[5]Khai báo'!$B$4,"","X")</f>
        <v>X</v>
      </c>
      <c r="F25" s="36" t="str">
        <f>IF(WEEKDAY(DATE($D$7,$D$8,F$9),2)&gt;'[5]Khai báo'!$B$4,"","X")</f>
        <v>X</v>
      </c>
      <c r="G25" s="36" t="str">
        <f>IF(WEEKDAY(DATE($D$7,$D$8,G$9),2)&gt;'[5]Khai báo'!$B$4,"","X")</f>
        <v>X</v>
      </c>
      <c r="H25" s="36" t="str">
        <f>IF(WEEKDAY(DATE($D$7,$D$8,H$9),2)&gt;'[5]Khai báo'!$B$4,"","X")</f>
        <v>X</v>
      </c>
      <c r="I25" s="36" t="str">
        <f>IF(WEEKDAY(DATE($D$7,$D$8,I$9),2)&gt;'[5]Khai báo'!$B$4,"","X")</f>
        <v>X</v>
      </c>
      <c r="J25" s="36" t="str">
        <f>IF(WEEKDAY(DATE($D$7,$D$8,J$9),2)&gt;'[5]Khai báo'!$B$4,"","X")</f>
        <v/>
      </c>
      <c r="K25" s="36" t="str">
        <f>IF(WEEKDAY(DATE($D$7,$D$8,K$9),2)&gt;'[5]Khai báo'!$B$4,"","X")</f>
        <v>X</v>
      </c>
      <c r="L25" s="36" t="str">
        <f>IF(WEEKDAY(DATE($D$7,$D$8,L$9),2)&gt;'[5]Khai báo'!$B$4,"","X")</f>
        <v>X</v>
      </c>
      <c r="M25" s="36" t="str">
        <f>IF(WEEKDAY(DATE($D$7,$D$8,M$9),2)&gt;'[5]Khai báo'!$B$4,"","X")</f>
        <v>X</v>
      </c>
      <c r="N25" s="36" t="str">
        <f>IF(WEEKDAY(DATE($D$7,$D$8,N$9),2)&gt;'[5]Khai báo'!$B$4,"","X")</f>
        <v>X</v>
      </c>
      <c r="O25" s="36" t="str">
        <f>IF(WEEKDAY(DATE($D$7,$D$8,O$9),2)&gt;'[5]Khai báo'!$B$4,"","X")</f>
        <v>X</v>
      </c>
      <c r="P25" s="36" t="str">
        <f>IF(WEEKDAY(DATE($D$7,$D$8,P$9),2)&gt;'[5]Khai báo'!$B$4,"","X")</f>
        <v>X</v>
      </c>
      <c r="Q25" s="36" t="str">
        <f>IF(WEEKDAY(DATE($D$7,$D$8,Q$9),2)&gt;'[5]Khai báo'!$B$4,"","X")</f>
        <v/>
      </c>
      <c r="R25" s="36" t="str">
        <f>IF(WEEKDAY(DATE($D$7,$D$8,R$9),2)&gt;'[5]Khai báo'!$B$4,"","X")</f>
        <v>X</v>
      </c>
      <c r="S25" s="36" t="str">
        <f>IF(WEEKDAY(DATE($D$7,$D$8,S$9),2)&gt;'[5]Khai báo'!$B$4,"","X")</f>
        <v>X</v>
      </c>
      <c r="T25" s="36" t="str">
        <f>IF(WEEKDAY(DATE($D$7,$D$8,T$9),2)&gt;'[5]Khai báo'!$B$4,"","X")</f>
        <v>X</v>
      </c>
      <c r="U25" s="36" t="str">
        <f>IF(WEEKDAY(DATE($D$7,$D$8,U$9),2)&gt;'[5]Khai báo'!$B$4,"","X")</f>
        <v>X</v>
      </c>
      <c r="V25" s="36" t="str">
        <f>IF(WEEKDAY(DATE($D$7,$D$8,V$9),2)&gt;'[5]Khai báo'!$B$4,"","X")</f>
        <v>X</v>
      </c>
      <c r="W25" s="36" t="str">
        <f>IF(WEEKDAY(DATE($D$7,$D$8,W$9),2)&gt;'[5]Khai báo'!$B$4,"","X")</f>
        <v>X</v>
      </c>
      <c r="X25" s="36" t="str">
        <f>IF(WEEKDAY(DATE($D$7,$D$8,X$9),2)&gt;'[5]Khai báo'!$B$4,"","X")</f>
        <v/>
      </c>
      <c r="Y25" s="36" t="str">
        <f>IF(WEEKDAY(DATE($D$7,$D$8,Y$9),2)&gt;'[5]Khai báo'!$B$4,"","X")</f>
        <v>X</v>
      </c>
      <c r="Z25" s="36" t="str">
        <f>IF(WEEKDAY(DATE($D$7,$D$8,Z$9),2)&gt;'[5]Khai báo'!$B$4,"","X")</f>
        <v>X</v>
      </c>
      <c r="AA25" s="36" t="str">
        <f>IF(WEEKDAY(DATE($D$7,$D$8,AA$9),2)&gt;'[5]Khai báo'!$B$4,"","X")</f>
        <v>X</v>
      </c>
      <c r="AB25" s="36" t="str">
        <f>IF(WEEKDAY(DATE($D$7,$D$8,AB$9),2)&gt;'[5]Khai báo'!$B$4,"","X")</f>
        <v>X</v>
      </c>
      <c r="AC25" s="36" t="str">
        <f>IF(WEEKDAY(DATE($D$7,$D$8,AC$9),2)&gt;'[5]Khai báo'!$B$4,"","X")</f>
        <v>X</v>
      </c>
      <c r="AD25" s="36" t="str">
        <f>IF(WEEKDAY(DATE($D$7,$D$8,AD$9),2)&gt;'[5]Khai báo'!$B$4,"","X")</f>
        <v>X</v>
      </c>
      <c r="AE25" s="36" t="str">
        <f>IF(WEEKDAY(DATE($D$7,$D$8,AE$9),2)&gt;'[5]Khai báo'!$B$4,"","X")</f>
        <v/>
      </c>
      <c r="AF25" s="36" t="str">
        <f>IF(WEEKDAY(DATE($D$7,$D$8,AF$9),2)&gt;'[5]Khai báo'!$B$4,"","X")</f>
        <v>X</v>
      </c>
      <c r="AG25" s="36" t="str">
        <f>IF(WEEKDAY(DATE($D$7,$D$8,AG$9),2)&gt;'[5]Khai báo'!$B$4,"","X")</f>
        <v>X</v>
      </c>
      <c r="AH25" s="36" t="str">
        <f>IF(WEEKDAY(DATE($D$7,$D$8,AH$9),2)&gt;'[5]Khai báo'!$B$4,"","X")</f>
        <v>X</v>
      </c>
      <c r="AI25" s="36"/>
      <c r="AJ25" s="45">
        <f t="shared" si="4"/>
        <v>26</v>
      </c>
      <c r="AK25" s="45">
        <f t="shared" si="5"/>
        <v>0</v>
      </c>
      <c r="AL25" s="45"/>
      <c r="AW25" s="141" t="e">
        <f>+AK25-#REF!</f>
        <v>#REF!</v>
      </c>
    </row>
    <row r="26" spans="2:49" ht="21.75" customHeight="1">
      <c r="B26" s="36">
        <v>15</v>
      </c>
      <c r="C26" s="37" t="s">
        <v>3097</v>
      </c>
      <c r="D26" s="37" t="s">
        <v>3092</v>
      </c>
      <c r="E26" s="36" t="str">
        <f>IF(WEEKDAY(DATE($D$7,$D$8,E$9),2)&gt;'[5]Khai báo'!$B$4,"","X")</f>
        <v>X</v>
      </c>
      <c r="F26" s="36" t="str">
        <f>IF(WEEKDAY(DATE($D$7,$D$8,F$9),2)&gt;'[5]Khai báo'!$B$4,"","X")</f>
        <v>X</v>
      </c>
      <c r="G26" s="36" t="str">
        <f>IF(WEEKDAY(DATE($D$7,$D$8,G$9),2)&gt;'[5]Khai báo'!$B$4,"","X")</f>
        <v>X</v>
      </c>
      <c r="H26" s="36" t="str">
        <f>IF(WEEKDAY(DATE($D$7,$D$8,H$9),2)&gt;'[5]Khai báo'!$B$4,"","X")</f>
        <v>X</v>
      </c>
      <c r="I26" s="36" t="str">
        <f>IF(WEEKDAY(DATE($D$7,$D$8,I$9),2)&gt;'[5]Khai báo'!$B$4,"","X")</f>
        <v>X</v>
      </c>
      <c r="J26" s="36" t="str">
        <f>IF(WEEKDAY(DATE($D$7,$D$8,J$9),2)&gt;'[5]Khai báo'!$B$4,"","X")</f>
        <v/>
      </c>
      <c r="K26" s="36" t="str">
        <f>IF(WEEKDAY(DATE($D$7,$D$8,K$9),2)&gt;'[5]Khai báo'!$B$4,"","X")</f>
        <v>X</v>
      </c>
      <c r="L26" s="36" t="str">
        <f>IF(WEEKDAY(DATE($D$7,$D$8,L$9),2)&gt;'[5]Khai báo'!$B$4,"","X")</f>
        <v>X</v>
      </c>
      <c r="M26" s="36" t="str">
        <f>IF(WEEKDAY(DATE($D$7,$D$8,M$9),2)&gt;'[5]Khai báo'!$B$4,"","X")</f>
        <v>X</v>
      </c>
      <c r="N26" s="36" t="str">
        <f>IF(WEEKDAY(DATE($D$7,$D$8,N$9),2)&gt;'[5]Khai báo'!$B$4,"","X")</f>
        <v>X</v>
      </c>
      <c r="O26" s="36" t="str">
        <f>IF(WEEKDAY(DATE($D$7,$D$8,O$9),2)&gt;'[5]Khai báo'!$B$4,"","X")</f>
        <v>X</v>
      </c>
      <c r="P26" s="36" t="str">
        <f>IF(WEEKDAY(DATE($D$7,$D$8,P$9),2)&gt;'[5]Khai báo'!$B$4,"","X")</f>
        <v>X</v>
      </c>
      <c r="Q26" s="36" t="str">
        <f>IF(WEEKDAY(DATE($D$7,$D$8,Q$9),2)&gt;'[5]Khai báo'!$B$4,"","X")</f>
        <v/>
      </c>
      <c r="R26" s="36" t="str">
        <f>IF(WEEKDAY(DATE($D$7,$D$8,R$9),2)&gt;'[5]Khai báo'!$B$4,"","X")</f>
        <v>X</v>
      </c>
      <c r="S26" s="36" t="str">
        <f>IF(WEEKDAY(DATE($D$7,$D$8,S$9),2)&gt;'[5]Khai báo'!$B$4,"","X")</f>
        <v>X</v>
      </c>
      <c r="T26" s="36" t="str">
        <f>IF(WEEKDAY(DATE($D$7,$D$8,T$9),2)&gt;'[5]Khai báo'!$B$4,"","X")</f>
        <v>X</v>
      </c>
      <c r="U26" s="36" t="str">
        <f>IF(WEEKDAY(DATE($D$7,$D$8,U$9),2)&gt;'[5]Khai báo'!$B$4,"","X")</f>
        <v>X</v>
      </c>
      <c r="V26" s="36" t="str">
        <f>IF(WEEKDAY(DATE($D$7,$D$8,V$9),2)&gt;'[5]Khai báo'!$B$4,"","X")</f>
        <v>X</v>
      </c>
      <c r="W26" s="36" t="str">
        <f>IF(WEEKDAY(DATE($D$7,$D$8,W$9),2)&gt;'[5]Khai báo'!$B$4,"","X")</f>
        <v>X</v>
      </c>
      <c r="X26" s="36" t="str">
        <f>IF(WEEKDAY(DATE($D$7,$D$8,X$9),2)&gt;'[5]Khai báo'!$B$4,"","X")</f>
        <v/>
      </c>
      <c r="Y26" s="36" t="str">
        <f>IF(WEEKDAY(DATE($D$7,$D$8,Y$9),2)&gt;'[5]Khai báo'!$B$4,"","X")</f>
        <v>X</v>
      </c>
      <c r="Z26" s="36" t="str">
        <f>IF(WEEKDAY(DATE($D$7,$D$8,Z$9),2)&gt;'[5]Khai báo'!$B$4,"","X")</f>
        <v>X</v>
      </c>
      <c r="AA26" s="36" t="str">
        <f>IF(WEEKDAY(DATE($D$7,$D$8,AA$9),2)&gt;'[5]Khai báo'!$B$4,"","X")</f>
        <v>X</v>
      </c>
      <c r="AB26" s="36" t="str">
        <f>IF(WEEKDAY(DATE($D$7,$D$8,AB$9),2)&gt;'[5]Khai báo'!$B$4,"","X")</f>
        <v>X</v>
      </c>
      <c r="AC26" s="36" t="str">
        <f>IF(WEEKDAY(DATE($D$7,$D$8,AC$9),2)&gt;'[5]Khai báo'!$B$4,"","X")</f>
        <v>X</v>
      </c>
      <c r="AD26" s="36" t="str">
        <f>IF(WEEKDAY(DATE($D$7,$D$8,AD$9),2)&gt;'[5]Khai báo'!$B$4,"","X")</f>
        <v>X</v>
      </c>
      <c r="AE26" s="36" t="str">
        <f>IF(WEEKDAY(DATE($D$7,$D$8,AE$9),2)&gt;'[5]Khai báo'!$B$4,"","X")</f>
        <v/>
      </c>
      <c r="AF26" s="36" t="str">
        <f>IF(WEEKDAY(DATE($D$7,$D$8,AF$9),2)&gt;'[5]Khai báo'!$B$4,"","X")</f>
        <v>X</v>
      </c>
      <c r="AG26" s="36" t="str">
        <f>IF(WEEKDAY(DATE($D$7,$D$8,AG$9),2)&gt;'[5]Khai báo'!$B$4,"","X")</f>
        <v>X</v>
      </c>
      <c r="AH26" s="36" t="str">
        <f>IF(WEEKDAY(DATE($D$7,$D$8,AH$9),2)&gt;'[5]Khai báo'!$B$4,"","X")</f>
        <v>X</v>
      </c>
      <c r="AI26" s="36"/>
      <c r="AJ26" s="45">
        <f t="shared" si="4"/>
        <v>26</v>
      </c>
      <c r="AK26" s="45">
        <f t="shared" si="5"/>
        <v>0</v>
      </c>
      <c r="AL26" s="45"/>
      <c r="AW26" s="141" t="e">
        <f>+AK26-#REF!</f>
        <v>#REF!</v>
      </c>
    </row>
    <row r="27" spans="2:49" ht="21.75" customHeight="1">
      <c r="B27" s="36">
        <v>16</v>
      </c>
      <c r="C27" s="37" t="s">
        <v>3098</v>
      </c>
      <c r="D27" s="37" t="s">
        <v>3092</v>
      </c>
      <c r="E27" s="36" t="str">
        <f>IF(WEEKDAY(DATE($D$7,$D$8,E$9),2)&gt;'[5]Khai báo'!$B$4,"","X")</f>
        <v>X</v>
      </c>
      <c r="F27" s="36" t="str">
        <f>IF(WEEKDAY(DATE($D$7,$D$8,F$9),2)&gt;'[5]Khai báo'!$B$4,"","X")</f>
        <v>X</v>
      </c>
      <c r="G27" s="36" t="str">
        <f>IF(WEEKDAY(DATE($D$7,$D$8,G$9),2)&gt;'[5]Khai báo'!$B$4,"","X")</f>
        <v>X</v>
      </c>
      <c r="H27" s="36" t="str">
        <f>IF(WEEKDAY(DATE($D$7,$D$8,H$9),2)&gt;'[5]Khai báo'!$B$4,"","X")</f>
        <v>X</v>
      </c>
      <c r="I27" s="36" t="str">
        <f>IF(WEEKDAY(DATE($D$7,$D$8,I$9),2)&gt;'[5]Khai báo'!$B$4,"","X")</f>
        <v>X</v>
      </c>
      <c r="J27" s="36" t="str">
        <f>IF(WEEKDAY(DATE($D$7,$D$8,J$9),2)&gt;'[5]Khai báo'!$B$4,"","X")</f>
        <v/>
      </c>
      <c r="K27" s="36" t="str">
        <f>IF(WEEKDAY(DATE($D$7,$D$8,K$9),2)&gt;'[5]Khai báo'!$B$4,"","X")</f>
        <v>X</v>
      </c>
      <c r="L27" s="36" t="str">
        <f>IF(WEEKDAY(DATE($D$7,$D$8,L$9),2)&gt;'[5]Khai báo'!$B$4,"","X")</f>
        <v>X</v>
      </c>
      <c r="M27" s="36" t="str">
        <f>IF(WEEKDAY(DATE($D$7,$D$8,M$9),2)&gt;'[5]Khai báo'!$B$4,"","X")</f>
        <v>X</v>
      </c>
      <c r="N27" s="36" t="str">
        <f>IF(WEEKDAY(DATE($D$7,$D$8,N$9),2)&gt;'[5]Khai báo'!$B$4,"","X")</f>
        <v>X</v>
      </c>
      <c r="O27" s="36" t="str">
        <f>IF(WEEKDAY(DATE($D$7,$D$8,O$9),2)&gt;'[5]Khai báo'!$B$4,"","X")</f>
        <v>X</v>
      </c>
      <c r="P27" s="36" t="str">
        <f>IF(WEEKDAY(DATE($D$7,$D$8,P$9),2)&gt;'[5]Khai báo'!$B$4,"","X")</f>
        <v>X</v>
      </c>
      <c r="Q27" s="36" t="str">
        <f>IF(WEEKDAY(DATE($D$7,$D$8,Q$9),2)&gt;'[5]Khai báo'!$B$4,"","X")</f>
        <v/>
      </c>
      <c r="R27" s="36" t="str">
        <f>IF(WEEKDAY(DATE($D$7,$D$8,R$9),2)&gt;'[5]Khai báo'!$B$4,"","X")</f>
        <v>X</v>
      </c>
      <c r="S27" s="36" t="str">
        <f>IF(WEEKDAY(DATE($D$7,$D$8,S$9),2)&gt;'[5]Khai báo'!$B$4,"","X")</f>
        <v>X</v>
      </c>
      <c r="T27" s="36" t="str">
        <f>IF(WEEKDAY(DATE($D$7,$D$8,T$9),2)&gt;'[5]Khai báo'!$B$4,"","X")</f>
        <v>X</v>
      </c>
      <c r="U27" s="36" t="str">
        <f>IF(WEEKDAY(DATE($D$7,$D$8,U$9),2)&gt;'[5]Khai báo'!$B$4,"","X")</f>
        <v>X</v>
      </c>
      <c r="V27" s="36" t="str">
        <f>IF(WEEKDAY(DATE($D$7,$D$8,V$9),2)&gt;'[5]Khai báo'!$B$4,"","X")</f>
        <v>X</v>
      </c>
      <c r="W27" s="36" t="str">
        <f>IF(WEEKDAY(DATE($D$7,$D$8,W$9),2)&gt;'[5]Khai báo'!$B$4,"","X")</f>
        <v>X</v>
      </c>
      <c r="X27" s="36" t="str">
        <f>IF(WEEKDAY(DATE($D$7,$D$8,X$9),2)&gt;'[5]Khai báo'!$B$4,"","X")</f>
        <v/>
      </c>
      <c r="Y27" s="36" t="str">
        <f>IF(WEEKDAY(DATE($D$7,$D$8,Y$9),2)&gt;'[5]Khai báo'!$B$4,"","X")</f>
        <v>X</v>
      </c>
      <c r="Z27" s="36" t="str">
        <f>IF(WEEKDAY(DATE($D$7,$D$8,Z$9),2)&gt;'[5]Khai báo'!$B$4,"","X")</f>
        <v>X</v>
      </c>
      <c r="AA27" s="36" t="str">
        <f>IF(WEEKDAY(DATE($D$7,$D$8,AA$9),2)&gt;'[5]Khai báo'!$B$4,"","X")</f>
        <v>X</v>
      </c>
      <c r="AB27" s="36" t="str">
        <f>IF(WEEKDAY(DATE($D$7,$D$8,AB$9),2)&gt;'[5]Khai báo'!$B$4,"","X")</f>
        <v>X</v>
      </c>
      <c r="AC27" s="36" t="str">
        <f>IF(WEEKDAY(DATE($D$7,$D$8,AC$9),2)&gt;'[5]Khai báo'!$B$4,"","X")</f>
        <v>X</v>
      </c>
      <c r="AD27" s="36" t="str">
        <f>IF(WEEKDAY(DATE($D$7,$D$8,AD$9),2)&gt;'[5]Khai báo'!$B$4,"","X")</f>
        <v>X</v>
      </c>
      <c r="AE27" s="36" t="str">
        <f>IF(WEEKDAY(DATE($D$7,$D$8,AE$9),2)&gt;'[5]Khai báo'!$B$4,"","X")</f>
        <v/>
      </c>
      <c r="AF27" s="36" t="str">
        <f>IF(WEEKDAY(DATE($D$7,$D$8,AF$9),2)&gt;'[5]Khai báo'!$B$4,"","X")</f>
        <v>X</v>
      </c>
      <c r="AG27" s="36" t="str">
        <f>IF(WEEKDAY(DATE($D$7,$D$8,AG$9),2)&gt;'[5]Khai báo'!$B$4,"","X")</f>
        <v>X</v>
      </c>
      <c r="AH27" s="36" t="str">
        <f>IF(WEEKDAY(DATE($D$7,$D$8,AH$9),2)&gt;'[5]Khai báo'!$B$4,"","X")</f>
        <v>X</v>
      </c>
      <c r="AI27" s="36"/>
      <c r="AJ27" s="45">
        <f t="shared" si="4"/>
        <v>26</v>
      </c>
      <c r="AK27" s="45">
        <f t="shared" si="5"/>
        <v>0</v>
      </c>
      <c r="AL27" s="45"/>
      <c r="AW27" s="141" t="e">
        <f>+AK27-#REF!</f>
        <v>#REF!</v>
      </c>
    </row>
    <row r="28" spans="2:49" ht="21.75" customHeight="1">
      <c r="B28" s="36">
        <v>17</v>
      </c>
      <c r="C28" s="37" t="s">
        <v>3099</v>
      </c>
      <c r="D28" s="37" t="s">
        <v>3092</v>
      </c>
      <c r="E28" s="36" t="str">
        <f>IF(WEEKDAY(DATE($D$7,$D$8,E$9),2)&gt;'[5]Khai báo'!$B$4,"","X")</f>
        <v>X</v>
      </c>
      <c r="F28" s="36" t="str">
        <f>IF(WEEKDAY(DATE($D$7,$D$8,F$9),2)&gt;'[5]Khai báo'!$B$4,"","X")</f>
        <v>X</v>
      </c>
      <c r="G28" s="36" t="str">
        <f>IF(WEEKDAY(DATE($D$7,$D$8,G$9),2)&gt;'[5]Khai báo'!$B$4,"","X")</f>
        <v>X</v>
      </c>
      <c r="H28" s="36" t="str">
        <f>IF(WEEKDAY(DATE($D$7,$D$8,H$9),2)&gt;'[5]Khai báo'!$B$4,"","X")</f>
        <v>X</v>
      </c>
      <c r="I28" s="36" t="str">
        <f>IF(WEEKDAY(DATE($D$7,$D$8,I$9),2)&gt;'[5]Khai báo'!$B$4,"","X")</f>
        <v>X</v>
      </c>
      <c r="J28" s="36" t="str">
        <f>IF(WEEKDAY(DATE($D$7,$D$8,J$9),2)&gt;'[5]Khai báo'!$B$4,"","X")</f>
        <v/>
      </c>
      <c r="K28" s="36" t="str">
        <f>IF(WEEKDAY(DATE($D$7,$D$8,K$9),2)&gt;'[5]Khai báo'!$B$4,"","X")</f>
        <v>X</v>
      </c>
      <c r="L28" s="36" t="str">
        <f>IF(WEEKDAY(DATE($D$7,$D$8,L$9),2)&gt;'[5]Khai báo'!$B$4,"","X")</f>
        <v>X</v>
      </c>
      <c r="M28" s="36" t="str">
        <f>IF(WEEKDAY(DATE($D$7,$D$8,M$9),2)&gt;'[5]Khai báo'!$B$4,"","X")</f>
        <v>X</v>
      </c>
      <c r="N28" s="36" t="str">
        <f>IF(WEEKDAY(DATE($D$7,$D$8,N$9),2)&gt;'[5]Khai báo'!$B$4,"","X")</f>
        <v>X</v>
      </c>
      <c r="O28" s="36" t="str">
        <f>IF(WEEKDAY(DATE($D$7,$D$8,O$9),2)&gt;'[5]Khai báo'!$B$4,"","X")</f>
        <v>X</v>
      </c>
      <c r="P28" s="36" t="str">
        <f>IF(WEEKDAY(DATE($D$7,$D$8,P$9),2)&gt;'[5]Khai báo'!$B$4,"","X")</f>
        <v>X</v>
      </c>
      <c r="Q28" s="36" t="str">
        <f>IF(WEEKDAY(DATE($D$7,$D$8,Q$9),2)&gt;'[5]Khai báo'!$B$4,"","X")</f>
        <v/>
      </c>
      <c r="R28" s="36" t="str">
        <f>IF(WEEKDAY(DATE($D$7,$D$8,R$9),2)&gt;'[5]Khai báo'!$B$4,"","X")</f>
        <v>X</v>
      </c>
      <c r="S28" s="36" t="str">
        <f>IF(WEEKDAY(DATE($D$7,$D$8,S$9),2)&gt;'[5]Khai báo'!$B$4,"","X")</f>
        <v>X</v>
      </c>
      <c r="T28" s="36" t="str">
        <f>IF(WEEKDAY(DATE($D$7,$D$8,T$9),2)&gt;'[5]Khai báo'!$B$4,"","X")</f>
        <v>X</v>
      </c>
      <c r="U28" s="36" t="str">
        <f>IF(WEEKDAY(DATE($D$7,$D$8,U$9),2)&gt;'[5]Khai báo'!$B$4,"","X")</f>
        <v>X</v>
      </c>
      <c r="V28" s="36" t="str">
        <f>IF(WEEKDAY(DATE($D$7,$D$8,V$9),2)&gt;'[5]Khai báo'!$B$4,"","X")</f>
        <v>X</v>
      </c>
      <c r="W28" s="36" t="str">
        <f>IF(WEEKDAY(DATE($D$7,$D$8,W$9),2)&gt;'[5]Khai báo'!$B$4,"","X")</f>
        <v>X</v>
      </c>
      <c r="X28" s="36" t="str">
        <f>IF(WEEKDAY(DATE($D$7,$D$8,X$9),2)&gt;'[5]Khai báo'!$B$4,"","X")</f>
        <v/>
      </c>
      <c r="Y28" s="36" t="str">
        <f>IF(WEEKDAY(DATE($D$7,$D$8,Y$9),2)&gt;'[5]Khai báo'!$B$4,"","X")</f>
        <v>X</v>
      </c>
      <c r="Z28" s="36" t="str">
        <f>IF(WEEKDAY(DATE($D$7,$D$8,Z$9),2)&gt;'[5]Khai báo'!$B$4,"","X")</f>
        <v>X</v>
      </c>
      <c r="AA28" s="36" t="str">
        <f>IF(WEEKDAY(DATE($D$7,$D$8,AA$9),2)&gt;'[5]Khai báo'!$B$4,"","X")</f>
        <v>X</v>
      </c>
      <c r="AB28" s="36" t="str">
        <f>IF(WEEKDAY(DATE($D$7,$D$8,AB$9),2)&gt;'[5]Khai báo'!$B$4,"","X")</f>
        <v>X</v>
      </c>
      <c r="AC28" s="36" t="str">
        <f>IF(WEEKDAY(DATE($D$7,$D$8,AC$9),2)&gt;'[5]Khai báo'!$B$4,"","X")</f>
        <v>X</v>
      </c>
      <c r="AD28" s="36" t="str">
        <f>IF(WEEKDAY(DATE($D$7,$D$8,AD$9),2)&gt;'[5]Khai báo'!$B$4,"","X")</f>
        <v>X</v>
      </c>
      <c r="AE28" s="36" t="str">
        <f>IF(WEEKDAY(DATE($D$7,$D$8,AE$9),2)&gt;'[5]Khai báo'!$B$4,"","X")</f>
        <v/>
      </c>
      <c r="AF28" s="36" t="str">
        <f>IF(WEEKDAY(DATE($D$7,$D$8,AF$9),2)&gt;'[5]Khai báo'!$B$4,"","X")</f>
        <v>X</v>
      </c>
      <c r="AG28" s="36" t="str">
        <f>IF(WEEKDAY(DATE($D$7,$D$8,AG$9),2)&gt;'[5]Khai báo'!$B$4,"","X")</f>
        <v>X</v>
      </c>
      <c r="AH28" s="36" t="str">
        <f>IF(WEEKDAY(DATE($D$7,$D$8,AH$9),2)&gt;'[5]Khai báo'!$B$4,"","X")</f>
        <v>X</v>
      </c>
      <c r="AI28" s="36"/>
      <c r="AJ28" s="45">
        <f t="shared" si="4"/>
        <v>26</v>
      </c>
      <c r="AK28" s="45">
        <f t="shared" si="5"/>
        <v>0</v>
      </c>
      <c r="AL28" s="45"/>
      <c r="AW28" s="141" t="e">
        <f>+AK28-#REF!</f>
        <v>#REF!</v>
      </c>
    </row>
    <row r="29" spans="2:49" ht="21.75" customHeight="1">
      <c r="B29" s="36">
        <v>18</v>
      </c>
      <c r="C29" s="37" t="s">
        <v>3100</v>
      </c>
      <c r="D29" s="37" t="s">
        <v>3092</v>
      </c>
      <c r="E29" s="36" t="str">
        <f>IF(WEEKDAY(DATE($D$7,$D$8,E$9),2)&gt;'[5]Khai báo'!$B$4,"","X")</f>
        <v>X</v>
      </c>
      <c r="F29" s="36" t="str">
        <f>IF(WEEKDAY(DATE($D$7,$D$8,F$9),2)&gt;'[5]Khai báo'!$B$4,"","X")</f>
        <v>X</v>
      </c>
      <c r="G29" s="36" t="str">
        <f>IF(WEEKDAY(DATE($D$7,$D$8,G$9),2)&gt;'[5]Khai báo'!$B$4,"","X")</f>
        <v>X</v>
      </c>
      <c r="H29" s="36" t="str">
        <f>IF(WEEKDAY(DATE($D$7,$D$8,H$9),2)&gt;'[5]Khai báo'!$B$4,"","X")</f>
        <v>X</v>
      </c>
      <c r="I29" s="36" t="str">
        <f>IF(WEEKDAY(DATE($D$7,$D$8,I$9),2)&gt;'[5]Khai báo'!$B$4,"","X")</f>
        <v>X</v>
      </c>
      <c r="J29" s="36" t="str">
        <f>IF(WEEKDAY(DATE($D$7,$D$8,J$9),2)&gt;'[5]Khai báo'!$B$4,"","X")</f>
        <v/>
      </c>
      <c r="K29" s="36" t="str">
        <f>IF(WEEKDAY(DATE($D$7,$D$8,K$9),2)&gt;'[5]Khai báo'!$B$4,"","X")</f>
        <v>X</v>
      </c>
      <c r="L29" s="36" t="str">
        <f>IF(WEEKDAY(DATE($D$7,$D$8,L$9),2)&gt;'[5]Khai báo'!$B$4,"","X")</f>
        <v>X</v>
      </c>
      <c r="M29" s="36" t="str">
        <f>IF(WEEKDAY(DATE($D$7,$D$8,M$9),2)&gt;'[5]Khai báo'!$B$4,"","X")</f>
        <v>X</v>
      </c>
      <c r="N29" s="36" t="str">
        <f>IF(WEEKDAY(DATE($D$7,$D$8,N$9),2)&gt;'[5]Khai báo'!$B$4,"","X")</f>
        <v>X</v>
      </c>
      <c r="O29" s="36" t="str">
        <f>IF(WEEKDAY(DATE($D$7,$D$8,O$9),2)&gt;'[5]Khai báo'!$B$4,"","X")</f>
        <v>X</v>
      </c>
      <c r="P29" s="36" t="str">
        <f>IF(WEEKDAY(DATE($D$7,$D$8,P$9),2)&gt;'[5]Khai báo'!$B$4,"","X")</f>
        <v>X</v>
      </c>
      <c r="Q29" s="36" t="str">
        <f>IF(WEEKDAY(DATE($D$7,$D$8,Q$9),2)&gt;'[5]Khai báo'!$B$4,"","X")</f>
        <v/>
      </c>
      <c r="R29" s="36" t="str">
        <f>IF(WEEKDAY(DATE($D$7,$D$8,R$9),2)&gt;'[5]Khai báo'!$B$4,"","X")</f>
        <v>X</v>
      </c>
      <c r="S29" s="36" t="str">
        <f>IF(WEEKDAY(DATE($D$7,$D$8,S$9),2)&gt;'[5]Khai báo'!$B$4,"","X")</f>
        <v>X</v>
      </c>
      <c r="T29" s="36" t="str">
        <f>IF(WEEKDAY(DATE($D$7,$D$8,T$9),2)&gt;'[5]Khai báo'!$B$4,"","X")</f>
        <v>X</v>
      </c>
      <c r="U29" s="36" t="str">
        <f>IF(WEEKDAY(DATE($D$7,$D$8,U$9),2)&gt;'[5]Khai báo'!$B$4,"","X")</f>
        <v>X</v>
      </c>
      <c r="V29" s="36" t="str">
        <f>IF(WEEKDAY(DATE($D$7,$D$8,V$9),2)&gt;'[5]Khai báo'!$B$4,"","X")</f>
        <v>X</v>
      </c>
      <c r="W29" s="36" t="str">
        <f>IF(WEEKDAY(DATE($D$7,$D$8,W$9),2)&gt;'[5]Khai báo'!$B$4,"","X")</f>
        <v>X</v>
      </c>
      <c r="X29" s="36" t="str">
        <f>IF(WEEKDAY(DATE($D$7,$D$8,X$9),2)&gt;'[5]Khai báo'!$B$4,"","X")</f>
        <v/>
      </c>
      <c r="Y29" s="36" t="str">
        <f>IF(WEEKDAY(DATE($D$7,$D$8,Y$9),2)&gt;'[5]Khai báo'!$B$4,"","X")</f>
        <v>X</v>
      </c>
      <c r="Z29" s="36" t="str">
        <f>IF(WEEKDAY(DATE($D$7,$D$8,Z$9),2)&gt;'[5]Khai báo'!$B$4,"","X")</f>
        <v>X</v>
      </c>
      <c r="AA29" s="36" t="str">
        <f>IF(WEEKDAY(DATE($D$7,$D$8,AA$9),2)&gt;'[5]Khai báo'!$B$4,"","X")</f>
        <v>X</v>
      </c>
      <c r="AB29" s="36" t="str">
        <f>IF(WEEKDAY(DATE($D$7,$D$8,AB$9),2)&gt;'[5]Khai báo'!$B$4,"","X")</f>
        <v>X</v>
      </c>
      <c r="AC29" s="36" t="str">
        <f>IF(WEEKDAY(DATE($D$7,$D$8,AC$9),2)&gt;'[5]Khai báo'!$B$4,"","X")</f>
        <v>X</v>
      </c>
      <c r="AD29" s="36" t="str">
        <f>IF(WEEKDAY(DATE($D$7,$D$8,AD$9),2)&gt;'[5]Khai báo'!$B$4,"","X")</f>
        <v>X</v>
      </c>
      <c r="AE29" s="36" t="str">
        <f>IF(WEEKDAY(DATE($D$7,$D$8,AE$9),2)&gt;'[5]Khai báo'!$B$4,"","X")</f>
        <v/>
      </c>
      <c r="AF29" s="36" t="str">
        <f>IF(WEEKDAY(DATE($D$7,$D$8,AF$9),2)&gt;'[5]Khai báo'!$B$4,"","X")</f>
        <v>X</v>
      </c>
      <c r="AG29" s="36" t="str">
        <f>IF(WEEKDAY(DATE($D$7,$D$8,AG$9),2)&gt;'[5]Khai báo'!$B$4,"","X")</f>
        <v>X</v>
      </c>
      <c r="AH29" s="36" t="str">
        <f>IF(WEEKDAY(DATE($D$7,$D$8,AH$9),2)&gt;'[5]Khai báo'!$B$4,"","X")</f>
        <v>X</v>
      </c>
      <c r="AI29" s="36"/>
      <c r="AJ29" s="45">
        <f t="shared" si="4"/>
        <v>26</v>
      </c>
      <c r="AK29" s="45">
        <f t="shared" si="5"/>
        <v>0</v>
      </c>
      <c r="AL29" s="45"/>
      <c r="AW29" s="141" t="e">
        <f>+AK29-#REF!</f>
        <v>#REF!</v>
      </c>
    </row>
    <row r="30" spans="2:49" ht="21.75" customHeight="1">
      <c r="B30" s="36">
        <v>19</v>
      </c>
      <c r="C30" s="148" t="s">
        <v>3101</v>
      </c>
      <c r="D30" s="37" t="s">
        <v>3092</v>
      </c>
      <c r="E30" s="36" t="str">
        <f>IF(WEEKDAY(DATE($D$7,$D$8,E$9),2)&gt;'[5]Khai báo'!$B$4,"","X")</f>
        <v>X</v>
      </c>
      <c r="F30" s="36" t="str">
        <f>IF(WEEKDAY(DATE($D$7,$D$8,F$9),2)&gt;'[5]Khai báo'!$B$4,"","X")</f>
        <v>X</v>
      </c>
      <c r="G30" s="36" t="str">
        <f>IF(WEEKDAY(DATE($D$7,$D$8,G$9),2)&gt;'[5]Khai báo'!$B$4,"","X")</f>
        <v>X</v>
      </c>
      <c r="H30" s="36" t="str">
        <f>IF(WEEKDAY(DATE($D$7,$D$8,H$9),2)&gt;'[5]Khai báo'!$B$4,"","X")</f>
        <v>X</v>
      </c>
      <c r="I30" s="36" t="str">
        <f>IF(WEEKDAY(DATE($D$7,$D$8,I$9),2)&gt;'[5]Khai báo'!$B$4,"","X")</f>
        <v>X</v>
      </c>
      <c r="J30" s="36" t="str">
        <f>IF(WEEKDAY(DATE($D$7,$D$8,J$9),2)&gt;'[5]Khai báo'!$B$4,"","X")</f>
        <v/>
      </c>
      <c r="K30" s="36" t="str">
        <f>IF(WEEKDAY(DATE($D$7,$D$8,K$9),2)&gt;'[5]Khai báo'!$B$4,"","X")</f>
        <v>X</v>
      </c>
      <c r="L30" s="36" t="str">
        <f>IF(WEEKDAY(DATE($D$7,$D$8,L$9),2)&gt;'[5]Khai báo'!$B$4,"","X")</f>
        <v>X</v>
      </c>
      <c r="M30" s="36" t="str">
        <f>IF(WEEKDAY(DATE($D$7,$D$8,M$9),2)&gt;'[5]Khai báo'!$B$4,"","X")</f>
        <v>X</v>
      </c>
      <c r="N30" s="36" t="str">
        <f>IF(WEEKDAY(DATE($D$7,$D$8,N$9),2)&gt;'[5]Khai báo'!$B$4,"","X")</f>
        <v>X</v>
      </c>
      <c r="O30" s="36" t="str">
        <f>IF(WEEKDAY(DATE($D$7,$D$8,O$9),2)&gt;'[5]Khai báo'!$B$4,"","X")</f>
        <v>X</v>
      </c>
      <c r="P30" s="36" t="str">
        <f>IF(WEEKDAY(DATE($D$7,$D$8,P$9),2)&gt;'[5]Khai báo'!$B$4,"","X")</f>
        <v>X</v>
      </c>
      <c r="Q30" s="36" t="str">
        <f>IF(WEEKDAY(DATE($D$7,$D$8,Q$9),2)&gt;'[5]Khai báo'!$B$4,"","X")</f>
        <v/>
      </c>
      <c r="R30" s="36" t="str">
        <f>IF(WEEKDAY(DATE($D$7,$D$8,R$9),2)&gt;'[5]Khai báo'!$B$4,"","X")</f>
        <v>X</v>
      </c>
      <c r="S30" s="36" t="str">
        <f>IF(WEEKDAY(DATE($D$7,$D$8,S$9),2)&gt;'[5]Khai báo'!$B$4,"","X")</f>
        <v>X</v>
      </c>
      <c r="T30" s="36" t="str">
        <f>IF(WEEKDAY(DATE($D$7,$D$8,T$9),2)&gt;'[5]Khai báo'!$B$4,"","X")</f>
        <v>X</v>
      </c>
      <c r="U30" s="36" t="str">
        <f>IF(WEEKDAY(DATE($D$7,$D$8,U$9),2)&gt;'[5]Khai báo'!$B$4,"","X")</f>
        <v>X</v>
      </c>
      <c r="V30" s="36" t="str">
        <f>IF(WEEKDAY(DATE($D$7,$D$8,V$9),2)&gt;'[5]Khai báo'!$B$4,"","X")</f>
        <v>X</v>
      </c>
      <c r="W30" s="36" t="str">
        <f>IF(WEEKDAY(DATE($D$7,$D$8,W$9),2)&gt;'[5]Khai báo'!$B$4,"","X")</f>
        <v>X</v>
      </c>
      <c r="X30" s="36" t="str">
        <f>IF(WEEKDAY(DATE($D$7,$D$8,X$9),2)&gt;'[5]Khai báo'!$B$4,"","X")</f>
        <v/>
      </c>
      <c r="Y30" s="36" t="str">
        <f>IF(WEEKDAY(DATE($D$7,$D$8,Y$9),2)&gt;'[5]Khai báo'!$B$4,"","X")</f>
        <v>X</v>
      </c>
      <c r="Z30" s="36" t="str">
        <f>IF(WEEKDAY(DATE($D$7,$D$8,Z$9),2)&gt;'[5]Khai báo'!$B$4,"","X")</f>
        <v>X</v>
      </c>
      <c r="AA30" s="36" t="str">
        <f>IF(WEEKDAY(DATE($D$7,$D$8,AA$9),2)&gt;'[5]Khai báo'!$B$4,"","X")</f>
        <v>X</v>
      </c>
      <c r="AB30" s="36" t="str">
        <f>IF(WEEKDAY(DATE($D$7,$D$8,AB$9),2)&gt;'[5]Khai báo'!$B$4,"","X")</f>
        <v>X</v>
      </c>
      <c r="AC30" s="36" t="str">
        <f>IF(WEEKDAY(DATE($D$7,$D$8,AC$9),2)&gt;'[5]Khai báo'!$B$4,"","X")</f>
        <v>X</v>
      </c>
      <c r="AD30" s="36" t="str">
        <f>IF(WEEKDAY(DATE($D$7,$D$8,AD$9),2)&gt;'[5]Khai báo'!$B$4,"","X")</f>
        <v>X</v>
      </c>
      <c r="AE30" s="36" t="str">
        <f>IF(WEEKDAY(DATE($D$7,$D$8,AE$9),2)&gt;'[5]Khai báo'!$B$4,"","X")</f>
        <v/>
      </c>
      <c r="AF30" s="36" t="str">
        <f>IF(WEEKDAY(DATE($D$7,$D$8,AF$9),2)&gt;'[5]Khai báo'!$B$4,"","X")</f>
        <v>X</v>
      </c>
      <c r="AG30" s="36" t="str">
        <f>IF(WEEKDAY(DATE($D$7,$D$8,AG$9),2)&gt;'[5]Khai báo'!$B$4,"","X")</f>
        <v>X</v>
      </c>
      <c r="AH30" s="36" t="str">
        <f>IF(WEEKDAY(DATE($D$7,$D$8,AH$9),2)&gt;'[5]Khai báo'!$B$4,"","X")</f>
        <v>X</v>
      </c>
      <c r="AI30" s="36"/>
      <c r="AJ30" s="45">
        <f t="shared" si="4"/>
        <v>26</v>
      </c>
      <c r="AK30" s="45">
        <f t="shared" si="5"/>
        <v>0</v>
      </c>
      <c r="AL30" s="45"/>
      <c r="AW30" s="141" t="e">
        <f>+AK30-#REF!</f>
        <v>#REF!</v>
      </c>
    </row>
    <row r="31" spans="2:49" s="27" customFormat="1" ht="21.75" customHeight="1">
      <c r="B31" s="147" t="s">
        <v>2805</v>
      </c>
      <c r="C31" s="149" t="s">
        <v>2325</v>
      </c>
      <c r="D31" s="149"/>
      <c r="E31" s="147">
        <f>COUNTIF(E32:E38,"X")+COUNTIF(E32:E38,"P")+COUNTIF(E32:E38,"PT")+COUNTIF(E32:E38,"TT")</f>
        <v>7</v>
      </c>
      <c r="F31" s="147">
        <f t="shared" ref="F31:AH31" si="6">COUNTIF(F32:F38,"X")+COUNTIF(F32:F38,"P")+COUNTIF(F32:F38,"PT")+COUNTIF(F32:F38,"TT")</f>
        <v>7</v>
      </c>
      <c r="G31" s="147">
        <f t="shared" si="6"/>
        <v>7</v>
      </c>
      <c r="H31" s="147">
        <f t="shared" si="6"/>
        <v>7</v>
      </c>
      <c r="I31" s="147">
        <f t="shared" si="6"/>
        <v>7</v>
      </c>
      <c r="J31" s="147">
        <f t="shared" si="6"/>
        <v>0</v>
      </c>
      <c r="K31" s="147">
        <f t="shared" si="6"/>
        <v>7</v>
      </c>
      <c r="L31" s="147">
        <f t="shared" si="6"/>
        <v>7</v>
      </c>
      <c r="M31" s="147">
        <f t="shared" si="6"/>
        <v>7</v>
      </c>
      <c r="N31" s="147">
        <f t="shared" si="6"/>
        <v>7</v>
      </c>
      <c r="O31" s="147">
        <f t="shared" si="6"/>
        <v>7</v>
      </c>
      <c r="P31" s="147">
        <f t="shared" si="6"/>
        <v>7</v>
      </c>
      <c r="Q31" s="147">
        <f t="shared" si="6"/>
        <v>0</v>
      </c>
      <c r="R31" s="147">
        <f t="shared" si="6"/>
        <v>7</v>
      </c>
      <c r="S31" s="147">
        <f t="shared" si="6"/>
        <v>7</v>
      </c>
      <c r="T31" s="147">
        <f t="shared" si="6"/>
        <v>7</v>
      </c>
      <c r="U31" s="147">
        <f t="shared" si="6"/>
        <v>7</v>
      </c>
      <c r="V31" s="147">
        <f t="shared" si="6"/>
        <v>7</v>
      </c>
      <c r="W31" s="147">
        <f t="shared" si="6"/>
        <v>7</v>
      </c>
      <c r="X31" s="147">
        <f t="shared" si="6"/>
        <v>0</v>
      </c>
      <c r="Y31" s="147">
        <f t="shared" si="6"/>
        <v>7</v>
      </c>
      <c r="Z31" s="147">
        <f t="shared" si="6"/>
        <v>7</v>
      </c>
      <c r="AA31" s="147">
        <f t="shared" si="6"/>
        <v>7</v>
      </c>
      <c r="AB31" s="147">
        <f t="shared" si="6"/>
        <v>7</v>
      </c>
      <c r="AC31" s="147">
        <f t="shared" si="6"/>
        <v>7</v>
      </c>
      <c r="AD31" s="147">
        <f t="shared" si="6"/>
        <v>7</v>
      </c>
      <c r="AE31" s="147">
        <f t="shared" si="6"/>
        <v>0</v>
      </c>
      <c r="AF31" s="147">
        <f t="shared" si="6"/>
        <v>7</v>
      </c>
      <c r="AG31" s="147">
        <f t="shared" si="6"/>
        <v>7</v>
      </c>
      <c r="AH31" s="147">
        <f t="shared" si="6"/>
        <v>7</v>
      </c>
      <c r="AI31" s="147"/>
      <c r="AJ31" s="152">
        <f>SUM(AJ32:AJ38)</f>
        <v>182</v>
      </c>
      <c r="AK31" s="152">
        <f t="shared" ref="AK31" si="7">SUM(AK32:AK38)</f>
        <v>0</v>
      </c>
      <c r="AL31" s="152"/>
      <c r="AW31" s="141" t="e">
        <f>+AK31-#REF!</f>
        <v>#REF!</v>
      </c>
    </row>
    <row r="32" spans="2:49" ht="21.75" customHeight="1">
      <c r="B32" s="36">
        <v>1</v>
      </c>
      <c r="C32" s="37" t="s">
        <v>3129</v>
      </c>
      <c r="D32" s="37" t="s">
        <v>1851</v>
      </c>
      <c r="E32" s="36" t="str">
        <f>IF(WEEKDAY(DATE($D$7,$D$8,E$9),2)&gt;'[5]Khai báo'!$B$4,"","X")</f>
        <v>X</v>
      </c>
      <c r="F32" s="36" t="str">
        <f>IF(WEEKDAY(DATE($D$7,$D$8,F$9),2)&gt;'[5]Khai báo'!$B$4,"","X")</f>
        <v>X</v>
      </c>
      <c r="G32" s="36" t="str">
        <f>IF(WEEKDAY(DATE($D$7,$D$8,G$9),2)&gt;'[5]Khai báo'!$B$4,"","X")</f>
        <v>X</v>
      </c>
      <c r="H32" s="36" t="str">
        <f>IF(WEEKDAY(DATE($D$7,$D$8,H$9),2)&gt;'[5]Khai báo'!$B$4,"","X")</f>
        <v>X</v>
      </c>
      <c r="I32" s="36" t="str">
        <f>IF(WEEKDAY(DATE($D$7,$D$8,I$9),2)&gt;'[5]Khai báo'!$B$4,"","X")</f>
        <v>X</v>
      </c>
      <c r="J32" s="36" t="str">
        <f>IF(WEEKDAY(DATE($D$7,$D$8,J$9),2)&gt;'[5]Khai báo'!$B$4,"","X")</f>
        <v/>
      </c>
      <c r="K32" s="36" t="str">
        <f>IF(WEEKDAY(DATE($D$7,$D$8,K$9),2)&gt;'[5]Khai báo'!$B$4,"","X")</f>
        <v>X</v>
      </c>
      <c r="L32" s="36" t="str">
        <f>IF(WEEKDAY(DATE($D$7,$D$8,L$9),2)&gt;'[5]Khai báo'!$B$4,"","X")</f>
        <v>X</v>
      </c>
      <c r="M32" s="36" t="str">
        <f>IF(WEEKDAY(DATE($D$7,$D$8,M$9),2)&gt;'[5]Khai báo'!$B$4,"","X")</f>
        <v>X</v>
      </c>
      <c r="N32" s="36" t="str">
        <f>IF(WEEKDAY(DATE($D$7,$D$8,N$9),2)&gt;'[5]Khai báo'!$B$4,"","X")</f>
        <v>X</v>
      </c>
      <c r="O32" s="36" t="str">
        <f>IF(WEEKDAY(DATE($D$7,$D$8,O$9),2)&gt;'[5]Khai báo'!$B$4,"","X")</f>
        <v>X</v>
      </c>
      <c r="P32" s="36" t="str">
        <f>IF(WEEKDAY(DATE($D$7,$D$8,P$9),2)&gt;'[5]Khai báo'!$B$4,"","X")</f>
        <v>X</v>
      </c>
      <c r="Q32" s="36" t="str">
        <f>IF(WEEKDAY(DATE($D$7,$D$8,Q$9),2)&gt;'[5]Khai báo'!$B$4,"","X")</f>
        <v/>
      </c>
      <c r="R32" s="36" t="str">
        <f>IF(WEEKDAY(DATE($D$7,$D$8,R$9),2)&gt;'[5]Khai báo'!$B$4,"","X")</f>
        <v>X</v>
      </c>
      <c r="S32" s="36" t="str">
        <f>IF(WEEKDAY(DATE($D$7,$D$8,S$9),2)&gt;'[5]Khai báo'!$B$4,"","X")</f>
        <v>X</v>
      </c>
      <c r="T32" s="36" t="str">
        <f>IF(WEEKDAY(DATE($D$7,$D$8,T$9),2)&gt;'[5]Khai báo'!$B$4,"","X")</f>
        <v>X</v>
      </c>
      <c r="U32" s="36" t="str">
        <f>IF(WEEKDAY(DATE($D$7,$D$8,U$9),2)&gt;'[5]Khai báo'!$B$4,"","X")</f>
        <v>X</v>
      </c>
      <c r="V32" s="36" t="str">
        <f>IF(WEEKDAY(DATE($D$7,$D$8,V$9),2)&gt;'[5]Khai báo'!$B$4,"","X")</f>
        <v>X</v>
      </c>
      <c r="W32" s="36" t="str">
        <f>IF(WEEKDAY(DATE($D$7,$D$8,W$9),2)&gt;'[5]Khai báo'!$B$4,"","X")</f>
        <v>X</v>
      </c>
      <c r="X32" s="36" t="str">
        <f>IF(WEEKDAY(DATE($D$7,$D$8,X$9),2)&gt;'[5]Khai báo'!$B$4,"","X")</f>
        <v/>
      </c>
      <c r="Y32" s="36" t="str">
        <f>IF(WEEKDAY(DATE($D$7,$D$8,Y$9),2)&gt;'[5]Khai báo'!$B$4,"","X")</f>
        <v>X</v>
      </c>
      <c r="Z32" s="36" t="str">
        <f>IF(WEEKDAY(DATE($D$7,$D$8,Z$9),2)&gt;'[5]Khai báo'!$B$4,"","X")</f>
        <v>X</v>
      </c>
      <c r="AA32" s="36" t="str">
        <f>IF(WEEKDAY(DATE($D$7,$D$8,AA$9),2)&gt;'[5]Khai báo'!$B$4,"","X")</f>
        <v>X</v>
      </c>
      <c r="AB32" s="36" t="str">
        <f>IF(WEEKDAY(DATE($D$7,$D$8,AB$9),2)&gt;'[5]Khai báo'!$B$4,"","X")</f>
        <v>X</v>
      </c>
      <c r="AC32" s="36" t="str">
        <f>IF(WEEKDAY(DATE($D$7,$D$8,AC$9),2)&gt;'[5]Khai báo'!$B$4,"","X")</f>
        <v>X</v>
      </c>
      <c r="AD32" s="36" t="str">
        <f>IF(WEEKDAY(DATE($D$7,$D$8,AD$9),2)&gt;'[5]Khai báo'!$B$4,"","X")</f>
        <v>X</v>
      </c>
      <c r="AE32" s="36" t="str">
        <f>IF(WEEKDAY(DATE($D$7,$D$8,AE$9),2)&gt;'[5]Khai báo'!$B$4,"","X")</f>
        <v/>
      </c>
      <c r="AF32" s="36" t="str">
        <f>IF(WEEKDAY(DATE($D$7,$D$8,AF$9),2)&gt;'[5]Khai báo'!$B$4,"","X")</f>
        <v>X</v>
      </c>
      <c r="AG32" s="36" t="str">
        <f>IF(WEEKDAY(DATE($D$7,$D$8,AG$9),2)&gt;'[5]Khai báo'!$B$4,"","X")</f>
        <v>X</v>
      </c>
      <c r="AH32" s="36" t="str">
        <f>IF(WEEKDAY(DATE($D$7,$D$8,AH$9),2)&gt;'[5]Khai báo'!$B$4,"","X")</f>
        <v>X</v>
      </c>
      <c r="AI32" s="36"/>
      <c r="AJ32" s="45">
        <f>COUNTIF(E32:AI32,"X")+COUNTIF(E32:AI32,"P")+COUNTIF(E32:AI32,"PT")</f>
        <v>26</v>
      </c>
      <c r="AK32" s="45">
        <f>COUNTIF(E32:AI32,"TT")</f>
        <v>0</v>
      </c>
      <c r="AL32" s="45"/>
      <c r="AW32" s="141" t="e">
        <f>+AK32-#REF!</f>
        <v>#REF!</v>
      </c>
    </row>
    <row r="33" spans="2:62" ht="21.75" customHeight="1">
      <c r="B33" s="36">
        <v>2</v>
      </c>
      <c r="C33" s="148" t="s">
        <v>3102</v>
      </c>
      <c r="D33" s="37" t="s">
        <v>1851</v>
      </c>
      <c r="E33" s="36" t="str">
        <f>IF(WEEKDAY(DATE($D$7,$D$8,E$9),2)&gt;'[5]Khai báo'!$B$4,"","X")</f>
        <v>X</v>
      </c>
      <c r="F33" s="36" t="str">
        <f>IF(WEEKDAY(DATE($D$7,$D$8,F$9),2)&gt;'[5]Khai báo'!$B$4,"","X")</f>
        <v>X</v>
      </c>
      <c r="G33" s="36" t="str">
        <f>IF(WEEKDAY(DATE($D$7,$D$8,G$9),2)&gt;'[5]Khai báo'!$B$4,"","X")</f>
        <v>X</v>
      </c>
      <c r="H33" s="36" t="str">
        <f>IF(WEEKDAY(DATE($D$7,$D$8,H$9),2)&gt;'[5]Khai báo'!$B$4,"","X")</f>
        <v>X</v>
      </c>
      <c r="I33" s="36" t="str">
        <f>IF(WEEKDAY(DATE($D$7,$D$8,I$9),2)&gt;'[5]Khai báo'!$B$4,"","X")</f>
        <v>X</v>
      </c>
      <c r="J33" s="36" t="str">
        <f>IF(WEEKDAY(DATE($D$7,$D$8,J$9),2)&gt;'[5]Khai báo'!$B$4,"","X")</f>
        <v/>
      </c>
      <c r="K33" s="36" t="str">
        <f>IF(WEEKDAY(DATE($D$7,$D$8,K$9),2)&gt;'[5]Khai báo'!$B$4,"","X")</f>
        <v>X</v>
      </c>
      <c r="L33" s="36" t="str">
        <f>IF(WEEKDAY(DATE($D$7,$D$8,L$9),2)&gt;'[5]Khai báo'!$B$4,"","X")</f>
        <v>X</v>
      </c>
      <c r="M33" s="36" t="str">
        <f>IF(WEEKDAY(DATE($D$7,$D$8,M$9),2)&gt;'[5]Khai báo'!$B$4,"","X")</f>
        <v>X</v>
      </c>
      <c r="N33" s="36" t="str">
        <f>IF(WEEKDAY(DATE($D$7,$D$8,N$9),2)&gt;'[5]Khai báo'!$B$4,"","X")</f>
        <v>X</v>
      </c>
      <c r="O33" s="36" t="str">
        <f>IF(WEEKDAY(DATE($D$7,$D$8,O$9),2)&gt;'[5]Khai báo'!$B$4,"","X")</f>
        <v>X</v>
      </c>
      <c r="P33" s="36" t="str">
        <f>IF(WEEKDAY(DATE($D$7,$D$8,P$9),2)&gt;'[5]Khai báo'!$B$4,"","X")</f>
        <v>X</v>
      </c>
      <c r="Q33" s="36" t="str">
        <f>IF(WEEKDAY(DATE($D$7,$D$8,Q$9),2)&gt;'[5]Khai báo'!$B$4,"","X")</f>
        <v/>
      </c>
      <c r="R33" s="36" t="str">
        <f>IF(WEEKDAY(DATE($D$7,$D$8,R$9),2)&gt;'[5]Khai báo'!$B$4,"","X")</f>
        <v>X</v>
      </c>
      <c r="S33" s="36" t="str">
        <f>IF(WEEKDAY(DATE($D$7,$D$8,S$9),2)&gt;'[5]Khai báo'!$B$4,"","X")</f>
        <v>X</v>
      </c>
      <c r="T33" s="36" t="str">
        <f>IF(WEEKDAY(DATE($D$7,$D$8,T$9),2)&gt;'[5]Khai báo'!$B$4,"","X")</f>
        <v>X</v>
      </c>
      <c r="U33" s="36" t="str">
        <f>IF(WEEKDAY(DATE($D$7,$D$8,U$9),2)&gt;'[5]Khai báo'!$B$4,"","X")</f>
        <v>X</v>
      </c>
      <c r="V33" s="36" t="str">
        <f>IF(WEEKDAY(DATE($D$7,$D$8,V$9),2)&gt;'[5]Khai báo'!$B$4,"","X")</f>
        <v>X</v>
      </c>
      <c r="W33" s="36" t="str">
        <f>IF(WEEKDAY(DATE($D$7,$D$8,W$9),2)&gt;'[5]Khai báo'!$B$4,"","X")</f>
        <v>X</v>
      </c>
      <c r="X33" s="36" t="str">
        <f>IF(WEEKDAY(DATE($D$7,$D$8,X$9),2)&gt;'[5]Khai báo'!$B$4,"","X")</f>
        <v/>
      </c>
      <c r="Y33" s="36" t="str">
        <f>IF(WEEKDAY(DATE($D$7,$D$8,Y$9),2)&gt;'[5]Khai báo'!$B$4,"","X")</f>
        <v>X</v>
      </c>
      <c r="Z33" s="36" t="str">
        <f>IF(WEEKDAY(DATE($D$7,$D$8,Z$9),2)&gt;'[5]Khai báo'!$B$4,"","X")</f>
        <v>X</v>
      </c>
      <c r="AA33" s="36" t="str">
        <f>IF(WEEKDAY(DATE($D$7,$D$8,AA$9),2)&gt;'[5]Khai báo'!$B$4,"","X")</f>
        <v>X</v>
      </c>
      <c r="AB33" s="36" t="str">
        <f>IF(WEEKDAY(DATE($D$7,$D$8,AB$9),2)&gt;'[5]Khai báo'!$B$4,"","X")</f>
        <v>X</v>
      </c>
      <c r="AC33" s="36" t="str">
        <f>IF(WEEKDAY(DATE($D$7,$D$8,AC$9),2)&gt;'[5]Khai báo'!$B$4,"","X")</f>
        <v>X</v>
      </c>
      <c r="AD33" s="36" t="str">
        <f>IF(WEEKDAY(DATE($D$7,$D$8,AD$9),2)&gt;'[5]Khai báo'!$B$4,"","X")</f>
        <v>X</v>
      </c>
      <c r="AE33" s="36" t="str">
        <f>IF(WEEKDAY(DATE($D$7,$D$8,AE$9),2)&gt;'[5]Khai báo'!$B$4,"","X")</f>
        <v/>
      </c>
      <c r="AF33" s="36" t="str">
        <f>IF(WEEKDAY(DATE($D$7,$D$8,AF$9),2)&gt;'[5]Khai báo'!$B$4,"","X")</f>
        <v>X</v>
      </c>
      <c r="AG33" s="36" t="str">
        <f>IF(WEEKDAY(DATE($D$7,$D$8,AG$9),2)&gt;'[5]Khai báo'!$B$4,"","X")</f>
        <v>X</v>
      </c>
      <c r="AH33" s="36" t="str">
        <f>IF(WEEKDAY(DATE($D$7,$D$8,AH$9),2)&gt;'[5]Khai báo'!$B$4,"","X")</f>
        <v>X</v>
      </c>
      <c r="AI33" s="36"/>
      <c r="AJ33" s="45">
        <f t="shared" ref="AJ33:AJ38" si="8">COUNTIF(E33:AI33,"X")+COUNTIF(E33:AI33,"P")+COUNTIF(E33:AI33,"PT")</f>
        <v>26</v>
      </c>
      <c r="AK33" s="45">
        <f t="shared" ref="AK33:AK34" si="9">COUNTIF(E33:AI33,"TT")</f>
        <v>0</v>
      </c>
      <c r="AL33" s="45"/>
      <c r="AW33" s="141" t="e">
        <f>+AK33-#REF!</f>
        <v>#REF!</v>
      </c>
    </row>
    <row r="34" spans="2:62" s="142" customFormat="1" ht="21.75" customHeight="1">
      <c r="B34" s="36">
        <v>3</v>
      </c>
      <c r="C34" s="150" t="s">
        <v>3103</v>
      </c>
      <c r="D34" s="150" t="s">
        <v>1851</v>
      </c>
      <c r="E34" s="36" t="str">
        <f>IF(WEEKDAY(DATE($D$7,$D$8,E$9),2)&gt;'[5]Khai báo'!$B$4,"","X")</f>
        <v>X</v>
      </c>
      <c r="F34" s="36" t="str">
        <f>IF(WEEKDAY(DATE($D$7,$D$8,F$9),2)&gt;'[5]Khai báo'!$B$4,"","X")</f>
        <v>X</v>
      </c>
      <c r="G34" s="36" t="str">
        <f>IF(WEEKDAY(DATE($D$7,$D$8,G$9),2)&gt;'[5]Khai báo'!$B$4,"","X")</f>
        <v>X</v>
      </c>
      <c r="H34" s="36" t="str">
        <f>IF(WEEKDAY(DATE($D$7,$D$8,H$9),2)&gt;'[5]Khai báo'!$B$4,"","X")</f>
        <v>X</v>
      </c>
      <c r="I34" s="36" t="str">
        <f>IF(WEEKDAY(DATE($D$7,$D$8,I$9),2)&gt;'[5]Khai báo'!$B$4,"","X")</f>
        <v>X</v>
      </c>
      <c r="J34" s="36" t="str">
        <f>IF(WEEKDAY(DATE($D$7,$D$8,J$9),2)&gt;'[5]Khai báo'!$B$4,"","X")</f>
        <v/>
      </c>
      <c r="K34" s="36" t="str">
        <f>IF(WEEKDAY(DATE($D$7,$D$8,K$9),2)&gt;'[5]Khai báo'!$B$4,"","X")</f>
        <v>X</v>
      </c>
      <c r="L34" s="36" t="str">
        <f>IF(WEEKDAY(DATE($D$7,$D$8,L$9),2)&gt;'[5]Khai báo'!$B$4,"","X")</f>
        <v>X</v>
      </c>
      <c r="M34" s="36" t="str">
        <f>IF(WEEKDAY(DATE($D$7,$D$8,M$9),2)&gt;'[5]Khai báo'!$B$4,"","X")</f>
        <v>X</v>
      </c>
      <c r="N34" s="36" t="str">
        <f>IF(WEEKDAY(DATE($D$7,$D$8,N$9),2)&gt;'[5]Khai báo'!$B$4,"","X")</f>
        <v>X</v>
      </c>
      <c r="O34" s="36" t="str">
        <f>IF(WEEKDAY(DATE($D$7,$D$8,O$9),2)&gt;'[5]Khai báo'!$B$4,"","X")</f>
        <v>X</v>
      </c>
      <c r="P34" s="36" t="str">
        <f>IF(WEEKDAY(DATE($D$7,$D$8,P$9),2)&gt;'[5]Khai báo'!$B$4,"","X")</f>
        <v>X</v>
      </c>
      <c r="Q34" s="36" t="str">
        <f>IF(WEEKDAY(DATE($D$7,$D$8,Q$9),2)&gt;'[5]Khai báo'!$B$4,"","X")</f>
        <v/>
      </c>
      <c r="R34" s="36" t="str">
        <f>IF(WEEKDAY(DATE($D$7,$D$8,R$9),2)&gt;'[5]Khai báo'!$B$4,"","X")</f>
        <v>X</v>
      </c>
      <c r="S34" s="36" t="str">
        <f>IF(WEEKDAY(DATE($D$7,$D$8,S$9),2)&gt;'[5]Khai báo'!$B$4,"","X")</f>
        <v>X</v>
      </c>
      <c r="T34" s="36" t="str">
        <f>IF(WEEKDAY(DATE($D$7,$D$8,T$9),2)&gt;'[5]Khai báo'!$B$4,"","X")</f>
        <v>X</v>
      </c>
      <c r="U34" s="36" t="str">
        <f>IF(WEEKDAY(DATE($D$7,$D$8,U$9),2)&gt;'[5]Khai báo'!$B$4,"","X")</f>
        <v>X</v>
      </c>
      <c r="V34" s="36" t="str">
        <f>IF(WEEKDAY(DATE($D$7,$D$8,V$9),2)&gt;'[5]Khai báo'!$B$4,"","X")</f>
        <v>X</v>
      </c>
      <c r="W34" s="36" t="str">
        <f>IF(WEEKDAY(DATE($D$7,$D$8,W$9),2)&gt;'[5]Khai báo'!$B$4,"","X")</f>
        <v>X</v>
      </c>
      <c r="X34" s="36" t="str">
        <f>IF(WEEKDAY(DATE($D$7,$D$8,X$9),2)&gt;'[5]Khai báo'!$B$4,"","X")</f>
        <v/>
      </c>
      <c r="Y34" s="36" t="str">
        <f>IF(WEEKDAY(DATE($D$7,$D$8,Y$9),2)&gt;'[5]Khai báo'!$B$4,"","X")</f>
        <v>X</v>
      </c>
      <c r="Z34" s="36" t="str">
        <f>IF(WEEKDAY(DATE($D$7,$D$8,Z$9),2)&gt;'[5]Khai báo'!$B$4,"","X")</f>
        <v>X</v>
      </c>
      <c r="AA34" s="36" t="str">
        <f>IF(WEEKDAY(DATE($D$7,$D$8,AA$9),2)&gt;'[5]Khai báo'!$B$4,"","X")</f>
        <v>X</v>
      </c>
      <c r="AB34" s="36" t="str">
        <f>IF(WEEKDAY(DATE($D$7,$D$8,AB$9),2)&gt;'[5]Khai báo'!$B$4,"","X")</f>
        <v>X</v>
      </c>
      <c r="AC34" s="36" t="str">
        <f>IF(WEEKDAY(DATE($D$7,$D$8,AC$9),2)&gt;'[5]Khai báo'!$B$4,"","X")</f>
        <v>X</v>
      </c>
      <c r="AD34" s="36" t="str">
        <f>IF(WEEKDAY(DATE($D$7,$D$8,AD$9),2)&gt;'[5]Khai báo'!$B$4,"","X")</f>
        <v>X</v>
      </c>
      <c r="AE34" s="36" t="str">
        <f>IF(WEEKDAY(DATE($D$7,$D$8,AE$9),2)&gt;'[5]Khai báo'!$B$4,"","X")</f>
        <v/>
      </c>
      <c r="AF34" s="36" t="str">
        <f>IF(WEEKDAY(DATE($D$7,$D$8,AF$9),2)&gt;'[5]Khai báo'!$B$4,"","X")</f>
        <v>X</v>
      </c>
      <c r="AG34" s="36" t="str">
        <f>IF(WEEKDAY(DATE($D$7,$D$8,AG$9),2)&gt;'[5]Khai báo'!$B$4,"","X")</f>
        <v>X</v>
      </c>
      <c r="AH34" s="36" t="str">
        <f>IF(WEEKDAY(DATE($D$7,$D$8,AH$9),2)&gt;'[5]Khai báo'!$B$4,"","X")</f>
        <v>X</v>
      </c>
      <c r="AI34" s="36"/>
      <c r="AJ34" s="45">
        <f t="shared" si="8"/>
        <v>26</v>
      </c>
      <c r="AK34" s="153">
        <f t="shared" si="9"/>
        <v>0</v>
      </c>
      <c r="AL34" s="153"/>
      <c r="AW34" s="141" t="e">
        <f>+AK34-#REF!</f>
        <v>#REF!</v>
      </c>
    </row>
    <row r="35" spans="2:62" ht="21.75" customHeight="1">
      <c r="B35" s="36">
        <v>4</v>
      </c>
      <c r="C35" s="37" t="s">
        <v>3104</v>
      </c>
      <c r="D35" s="37" t="s">
        <v>3105</v>
      </c>
      <c r="E35" s="36" t="str">
        <f>IF(WEEKDAY(DATE($D$7,$D$8,E$9),2)&gt;'[5]Khai báo'!$B$4,"","X")</f>
        <v>X</v>
      </c>
      <c r="F35" s="36" t="str">
        <f>IF(WEEKDAY(DATE($D$7,$D$8,F$9),2)&gt;'[5]Khai báo'!$B$4,"","X")</f>
        <v>X</v>
      </c>
      <c r="G35" s="36" t="str">
        <f>IF(WEEKDAY(DATE($D$7,$D$8,G$9),2)&gt;'[5]Khai báo'!$B$4,"","X")</f>
        <v>X</v>
      </c>
      <c r="H35" s="36" t="str">
        <f>IF(WEEKDAY(DATE($D$7,$D$8,H$9),2)&gt;'[5]Khai báo'!$B$4,"","X")</f>
        <v>X</v>
      </c>
      <c r="I35" s="36" t="str">
        <f>IF(WEEKDAY(DATE($D$7,$D$8,I$9),2)&gt;'[5]Khai báo'!$B$4,"","X")</f>
        <v>X</v>
      </c>
      <c r="J35" s="36" t="str">
        <f>IF(WEEKDAY(DATE($D$7,$D$8,J$9),2)&gt;'[5]Khai báo'!$B$4,"","X")</f>
        <v/>
      </c>
      <c r="K35" s="36" t="str">
        <f>IF(WEEKDAY(DATE($D$7,$D$8,K$9),2)&gt;'[5]Khai báo'!$B$4,"","X")</f>
        <v>X</v>
      </c>
      <c r="L35" s="36" t="str">
        <f>IF(WEEKDAY(DATE($D$7,$D$8,L$9),2)&gt;'[5]Khai báo'!$B$4,"","X")</f>
        <v>X</v>
      </c>
      <c r="M35" s="36" t="str">
        <f>IF(WEEKDAY(DATE($D$7,$D$8,M$9),2)&gt;'[5]Khai báo'!$B$4,"","X")</f>
        <v>X</v>
      </c>
      <c r="N35" s="36" t="str">
        <f>IF(WEEKDAY(DATE($D$7,$D$8,N$9),2)&gt;'[5]Khai báo'!$B$4,"","X")</f>
        <v>X</v>
      </c>
      <c r="O35" s="36" t="str">
        <f>IF(WEEKDAY(DATE($D$7,$D$8,O$9),2)&gt;'[5]Khai báo'!$B$4,"","X")</f>
        <v>X</v>
      </c>
      <c r="P35" s="36" t="str">
        <f>IF(WEEKDAY(DATE($D$7,$D$8,P$9),2)&gt;'[5]Khai báo'!$B$4,"","X")</f>
        <v>X</v>
      </c>
      <c r="Q35" s="36" t="str">
        <f>IF(WEEKDAY(DATE($D$7,$D$8,Q$9),2)&gt;'[5]Khai báo'!$B$4,"","X")</f>
        <v/>
      </c>
      <c r="R35" s="36" t="str">
        <f>IF(WEEKDAY(DATE($D$7,$D$8,R$9),2)&gt;'[5]Khai báo'!$B$4,"","X")</f>
        <v>X</v>
      </c>
      <c r="S35" s="36" t="str">
        <f>IF(WEEKDAY(DATE($D$7,$D$8,S$9),2)&gt;'[5]Khai báo'!$B$4,"","X")</f>
        <v>X</v>
      </c>
      <c r="T35" s="36" t="str">
        <f>IF(WEEKDAY(DATE($D$7,$D$8,T$9),2)&gt;'[5]Khai báo'!$B$4,"","X")</f>
        <v>X</v>
      </c>
      <c r="U35" s="36" t="str">
        <f>IF(WEEKDAY(DATE($D$7,$D$8,U$9),2)&gt;'[5]Khai báo'!$B$4,"","X")</f>
        <v>X</v>
      </c>
      <c r="V35" s="36" t="str">
        <f>IF(WEEKDAY(DATE($D$7,$D$8,V$9),2)&gt;'[5]Khai báo'!$B$4,"","X")</f>
        <v>X</v>
      </c>
      <c r="W35" s="36" t="str">
        <f>IF(WEEKDAY(DATE($D$7,$D$8,W$9),2)&gt;'[5]Khai báo'!$B$4,"","X")</f>
        <v>X</v>
      </c>
      <c r="X35" s="36" t="str">
        <f>IF(WEEKDAY(DATE($D$7,$D$8,X$9),2)&gt;'[5]Khai báo'!$B$4,"","X")</f>
        <v/>
      </c>
      <c r="Y35" s="36" t="str">
        <f>IF(WEEKDAY(DATE($D$7,$D$8,Y$9),2)&gt;'[5]Khai báo'!$B$4,"","X")</f>
        <v>X</v>
      </c>
      <c r="Z35" s="36" t="str">
        <f>IF(WEEKDAY(DATE($D$7,$D$8,Z$9),2)&gt;'[5]Khai báo'!$B$4,"","X")</f>
        <v>X</v>
      </c>
      <c r="AA35" s="36" t="str">
        <f>IF(WEEKDAY(DATE($D$7,$D$8,AA$9),2)&gt;'[5]Khai báo'!$B$4,"","X")</f>
        <v>X</v>
      </c>
      <c r="AB35" s="36" t="str">
        <f>IF(WEEKDAY(DATE($D$7,$D$8,AB$9),2)&gt;'[5]Khai báo'!$B$4,"","X")</f>
        <v>X</v>
      </c>
      <c r="AC35" s="36" t="str">
        <f>IF(WEEKDAY(DATE($D$7,$D$8,AC$9),2)&gt;'[5]Khai báo'!$B$4,"","X")</f>
        <v>X</v>
      </c>
      <c r="AD35" s="36" t="str">
        <f>IF(WEEKDAY(DATE($D$7,$D$8,AD$9),2)&gt;'[5]Khai báo'!$B$4,"","X")</f>
        <v>X</v>
      </c>
      <c r="AE35" s="36" t="str">
        <f>IF(WEEKDAY(DATE($D$7,$D$8,AE$9),2)&gt;'[5]Khai báo'!$B$4,"","X")</f>
        <v/>
      </c>
      <c r="AF35" s="36" t="str">
        <f>IF(WEEKDAY(DATE($D$7,$D$8,AF$9),2)&gt;'[5]Khai báo'!$B$4,"","X")</f>
        <v>X</v>
      </c>
      <c r="AG35" s="36" t="str">
        <f>IF(WEEKDAY(DATE($D$7,$D$8,AG$9),2)&gt;'[5]Khai báo'!$B$4,"","X")</f>
        <v>X</v>
      </c>
      <c r="AH35" s="36" t="str">
        <f>IF(WEEKDAY(DATE($D$7,$D$8,AH$9),2)&gt;'[5]Khai báo'!$B$4,"","X")</f>
        <v>X</v>
      </c>
      <c r="AI35" s="36"/>
      <c r="AJ35" s="45">
        <f t="shared" si="8"/>
        <v>26</v>
      </c>
      <c r="AK35" s="45">
        <f t="shared" ref="AK35:AK37" si="10">COUNTIF(E35:AI35,"TT")</f>
        <v>0</v>
      </c>
      <c r="AL35" s="45"/>
      <c r="AW35" s="141" t="e">
        <f>+AK35-#REF!</f>
        <v>#REF!</v>
      </c>
      <c r="AX35" s="28">
        <v>1</v>
      </c>
      <c r="BI35" s="28">
        <f>6+6.25+4.2*2</f>
        <v>20.65</v>
      </c>
    </row>
    <row r="36" spans="2:62" ht="21.75" customHeight="1">
      <c r="B36" s="36">
        <v>5</v>
      </c>
      <c r="C36" s="37" t="s">
        <v>3106</v>
      </c>
      <c r="D36" s="37" t="s">
        <v>1851</v>
      </c>
      <c r="E36" s="36" t="str">
        <f>IF(WEEKDAY(DATE($D$7,$D$8,E$9),2)&gt;'[5]Khai báo'!$B$4,"","X")</f>
        <v>X</v>
      </c>
      <c r="F36" s="36" t="str">
        <f>IF(WEEKDAY(DATE($D$7,$D$8,F$9),2)&gt;'[5]Khai báo'!$B$4,"","X")</f>
        <v>X</v>
      </c>
      <c r="G36" s="36" t="str">
        <f>IF(WEEKDAY(DATE($D$7,$D$8,G$9),2)&gt;'[5]Khai báo'!$B$4,"","X")</f>
        <v>X</v>
      </c>
      <c r="H36" s="36" t="str">
        <f>IF(WEEKDAY(DATE($D$7,$D$8,H$9),2)&gt;'[5]Khai báo'!$B$4,"","X")</f>
        <v>X</v>
      </c>
      <c r="I36" s="36" t="str">
        <f>IF(WEEKDAY(DATE($D$7,$D$8,I$9),2)&gt;'[5]Khai báo'!$B$4,"","X")</f>
        <v>X</v>
      </c>
      <c r="J36" s="36" t="str">
        <f>IF(WEEKDAY(DATE($D$7,$D$8,J$9),2)&gt;'[5]Khai báo'!$B$4,"","X")</f>
        <v/>
      </c>
      <c r="K36" s="36" t="str">
        <f>IF(WEEKDAY(DATE($D$7,$D$8,K$9),2)&gt;'[5]Khai báo'!$B$4,"","X")</f>
        <v>X</v>
      </c>
      <c r="L36" s="36" t="str">
        <f>IF(WEEKDAY(DATE($D$7,$D$8,L$9),2)&gt;'[5]Khai báo'!$B$4,"","X")</f>
        <v>X</v>
      </c>
      <c r="M36" s="36" t="str">
        <f>IF(WEEKDAY(DATE($D$7,$D$8,M$9),2)&gt;'[5]Khai báo'!$B$4,"","X")</f>
        <v>X</v>
      </c>
      <c r="N36" s="36" t="str">
        <f>IF(WEEKDAY(DATE($D$7,$D$8,N$9),2)&gt;'[5]Khai báo'!$B$4,"","X")</f>
        <v>X</v>
      </c>
      <c r="O36" s="36" t="str">
        <f>IF(WEEKDAY(DATE($D$7,$D$8,O$9),2)&gt;'[5]Khai báo'!$B$4,"","X")</f>
        <v>X</v>
      </c>
      <c r="P36" s="36" t="str">
        <f>IF(WEEKDAY(DATE($D$7,$D$8,P$9),2)&gt;'[5]Khai báo'!$B$4,"","X")</f>
        <v>X</v>
      </c>
      <c r="Q36" s="36" t="str">
        <f>IF(WEEKDAY(DATE($D$7,$D$8,Q$9),2)&gt;'[5]Khai báo'!$B$4,"","X")</f>
        <v/>
      </c>
      <c r="R36" s="36" t="str">
        <f>IF(WEEKDAY(DATE($D$7,$D$8,R$9),2)&gt;'[5]Khai báo'!$B$4,"","X")</f>
        <v>X</v>
      </c>
      <c r="S36" s="36" t="str">
        <f>IF(WEEKDAY(DATE($D$7,$D$8,S$9),2)&gt;'[5]Khai báo'!$B$4,"","X")</f>
        <v>X</v>
      </c>
      <c r="T36" s="36" t="str">
        <f>IF(WEEKDAY(DATE($D$7,$D$8,T$9),2)&gt;'[5]Khai báo'!$B$4,"","X")</f>
        <v>X</v>
      </c>
      <c r="U36" s="36" t="str">
        <f>IF(WEEKDAY(DATE($D$7,$D$8,U$9),2)&gt;'[5]Khai báo'!$B$4,"","X")</f>
        <v>X</v>
      </c>
      <c r="V36" s="36" t="str">
        <f>IF(WEEKDAY(DATE($D$7,$D$8,V$9),2)&gt;'[5]Khai báo'!$B$4,"","X")</f>
        <v>X</v>
      </c>
      <c r="W36" s="36" t="str">
        <f>IF(WEEKDAY(DATE($D$7,$D$8,W$9),2)&gt;'[5]Khai báo'!$B$4,"","X")</f>
        <v>X</v>
      </c>
      <c r="X36" s="36" t="str">
        <f>IF(WEEKDAY(DATE($D$7,$D$8,X$9),2)&gt;'[5]Khai báo'!$B$4,"","X")</f>
        <v/>
      </c>
      <c r="Y36" s="36" t="str">
        <f>IF(WEEKDAY(DATE($D$7,$D$8,Y$9),2)&gt;'[5]Khai báo'!$B$4,"","X")</f>
        <v>X</v>
      </c>
      <c r="Z36" s="36" t="str">
        <f>IF(WEEKDAY(DATE($D$7,$D$8,Z$9),2)&gt;'[5]Khai báo'!$B$4,"","X")</f>
        <v>X</v>
      </c>
      <c r="AA36" s="36" t="str">
        <f>IF(WEEKDAY(DATE($D$7,$D$8,AA$9),2)&gt;'[5]Khai báo'!$B$4,"","X")</f>
        <v>X</v>
      </c>
      <c r="AB36" s="36" t="str">
        <f>IF(WEEKDAY(DATE($D$7,$D$8,AB$9),2)&gt;'[5]Khai báo'!$B$4,"","X")</f>
        <v>X</v>
      </c>
      <c r="AC36" s="36" t="str">
        <f>IF(WEEKDAY(DATE($D$7,$D$8,AC$9),2)&gt;'[5]Khai báo'!$B$4,"","X")</f>
        <v>X</v>
      </c>
      <c r="AD36" s="36" t="str">
        <f>IF(WEEKDAY(DATE($D$7,$D$8,AD$9),2)&gt;'[5]Khai báo'!$B$4,"","X")</f>
        <v>X</v>
      </c>
      <c r="AE36" s="36" t="str">
        <f>IF(WEEKDAY(DATE($D$7,$D$8,AE$9),2)&gt;'[5]Khai báo'!$B$4,"","X")</f>
        <v/>
      </c>
      <c r="AF36" s="36" t="str">
        <f>IF(WEEKDAY(DATE($D$7,$D$8,AF$9),2)&gt;'[5]Khai báo'!$B$4,"","X")</f>
        <v>X</v>
      </c>
      <c r="AG36" s="36" t="str">
        <f>IF(WEEKDAY(DATE($D$7,$D$8,AG$9),2)&gt;'[5]Khai báo'!$B$4,"","X")</f>
        <v>X</v>
      </c>
      <c r="AH36" s="36" t="str">
        <f>IF(WEEKDAY(DATE($D$7,$D$8,AH$9),2)&gt;'[5]Khai báo'!$B$4,"","X")</f>
        <v>X</v>
      </c>
      <c r="AI36" s="36"/>
      <c r="AJ36" s="45">
        <f t="shared" si="8"/>
        <v>26</v>
      </c>
      <c r="AK36" s="45">
        <f t="shared" si="10"/>
        <v>0</v>
      </c>
      <c r="AL36" s="45"/>
      <c r="AW36" s="141" t="e">
        <f>+AK36-#REF!</f>
        <v>#REF!</v>
      </c>
    </row>
    <row r="37" spans="2:62" ht="21.75" customHeight="1">
      <c r="B37" s="36">
        <v>6</v>
      </c>
      <c r="C37" s="148" t="s">
        <v>3107</v>
      </c>
      <c r="D37" s="37" t="s">
        <v>1851</v>
      </c>
      <c r="E37" s="36" t="str">
        <f>IF(WEEKDAY(DATE($D$7,$D$8,E$9),2)&gt;'[5]Khai báo'!$B$4,"","X")</f>
        <v>X</v>
      </c>
      <c r="F37" s="36" t="str">
        <f>IF(WEEKDAY(DATE($D$7,$D$8,F$9),2)&gt;'[5]Khai báo'!$B$4,"","X")</f>
        <v>X</v>
      </c>
      <c r="G37" s="36" t="str">
        <f>IF(WEEKDAY(DATE($D$7,$D$8,G$9),2)&gt;'[5]Khai báo'!$B$4,"","X")</f>
        <v>X</v>
      </c>
      <c r="H37" s="36" t="str">
        <f>IF(WEEKDAY(DATE($D$7,$D$8,H$9),2)&gt;'[5]Khai báo'!$B$4,"","X")</f>
        <v>X</v>
      </c>
      <c r="I37" s="36" t="str">
        <f>IF(WEEKDAY(DATE($D$7,$D$8,I$9),2)&gt;'[5]Khai báo'!$B$4,"","X")</f>
        <v>X</v>
      </c>
      <c r="J37" s="36" t="str">
        <f>IF(WEEKDAY(DATE($D$7,$D$8,J$9),2)&gt;'[5]Khai báo'!$B$4,"","X")</f>
        <v/>
      </c>
      <c r="K37" s="36" t="str">
        <f>IF(WEEKDAY(DATE($D$7,$D$8,K$9),2)&gt;'[5]Khai báo'!$B$4,"","X")</f>
        <v>X</v>
      </c>
      <c r="L37" s="36" t="str">
        <f>IF(WEEKDAY(DATE($D$7,$D$8,L$9),2)&gt;'[5]Khai báo'!$B$4,"","X")</f>
        <v>X</v>
      </c>
      <c r="M37" s="36" t="str">
        <f>IF(WEEKDAY(DATE($D$7,$D$8,M$9),2)&gt;'[5]Khai báo'!$B$4,"","X")</f>
        <v>X</v>
      </c>
      <c r="N37" s="36" t="str">
        <f>IF(WEEKDAY(DATE($D$7,$D$8,N$9),2)&gt;'[5]Khai báo'!$B$4,"","X")</f>
        <v>X</v>
      </c>
      <c r="O37" s="36" t="str">
        <f>IF(WEEKDAY(DATE($D$7,$D$8,O$9),2)&gt;'[5]Khai báo'!$B$4,"","X")</f>
        <v>X</v>
      </c>
      <c r="P37" s="36" t="str">
        <f>IF(WEEKDAY(DATE($D$7,$D$8,P$9),2)&gt;'[5]Khai báo'!$B$4,"","X")</f>
        <v>X</v>
      </c>
      <c r="Q37" s="36" t="str">
        <f>IF(WEEKDAY(DATE($D$7,$D$8,Q$9),2)&gt;'[5]Khai báo'!$B$4,"","X")</f>
        <v/>
      </c>
      <c r="R37" s="36" t="str">
        <f>IF(WEEKDAY(DATE($D$7,$D$8,R$9),2)&gt;'[5]Khai báo'!$B$4,"","X")</f>
        <v>X</v>
      </c>
      <c r="S37" s="36" t="str">
        <f>IF(WEEKDAY(DATE($D$7,$D$8,S$9),2)&gt;'[5]Khai báo'!$B$4,"","X")</f>
        <v>X</v>
      </c>
      <c r="T37" s="36" t="str">
        <f>IF(WEEKDAY(DATE($D$7,$D$8,T$9),2)&gt;'[5]Khai báo'!$B$4,"","X")</f>
        <v>X</v>
      </c>
      <c r="U37" s="36" t="str">
        <f>IF(WEEKDAY(DATE($D$7,$D$8,U$9),2)&gt;'[5]Khai báo'!$B$4,"","X")</f>
        <v>X</v>
      </c>
      <c r="V37" s="36" t="str">
        <f>IF(WEEKDAY(DATE($D$7,$D$8,V$9),2)&gt;'[5]Khai báo'!$B$4,"","X")</f>
        <v>X</v>
      </c>
      <c r="W37" s="36" t="str">
        <f>IF(WEEKDAY(DATE($D$7,$D$8,W$9),2)&gt;'[5]Khai báo'!$B$4,"","X")</f>
        <v>X</v>
      </c>
      <c r="X37" s="36" t="str">
        <f>IF(WEEKDAY(DATE($D$7,$D$8,X$9),2)&gt;'[5]Khai báo'!$B$4,"","X")</f>
        <v/>
      </c>
      <c r="Y37" s="36" t="str">
        <f>IF(WEEKDAY(DATE($D$7,$D$8,Y$9),2)&gt;'[5]Khai báo'!$B$4,"","X")</f>
        <v>X</v>
      </c>
      <c r="Z37" s="36" t="str">
        <f>IF(WEEKDAY(DATE($D$7,$D$8,Z$9),2)&gt;'[5]Khai báo'!$B$4,"","X")</f>
        <v>X</v>
      </c>
      <c r="AA37" s="36" t="str">
        <f>IF(WEEKDAY(DATE($D$7,$D$8,AA$9),2)&gt;'[5]Khai báo'!$B$4,"","X")</f>
        <v>X</v>
      </c>
      <c r="AB37" s="36" t="str">
        <f>IF(WEEKDAY(DATE($D$7,$D$8,AB$9),2)&gt;'[5]Khai báo'!$B$4,"","X")</f>
        <v>X</v>
      </c>
      <c r="AC37" s="36" t="str">
        <f>IF(WEEKDAY(DATE($D$7,$D$8,AC$9),2)&gt;'[5]Khai báo'!$B$4,"","X")</f>
        <v>X</v>
      </c>
      <c r="AD37" s="36" t="str">
        <f>IF(WEEKDAY(DATE($D$7,$D$8,AD$9),2)&gt;'[5]Khai báo'!$B$4,"","X")</f>
        <v>X</v>
      </c>
      <c r="AE37" s="36" t="str">
        <f>IF(WEEKDAY(DATE($D$7,$D$8,AE$9),2)&gt;'[5]Khai báo'!$B$4,"","X")</f>
        <v/>
      </c>
      <c r="AF37" s="36" t="str">
        <f>IF(WEEKDAY(DATE($D$7,$D$8,AF$9),2)&gt;'[5]Khai báo'!$B$4,"","X")</f>
        <v>X</v>
      </c>
      <c r="AG37" s="36" t="str">
        <f>IF(WEEKDAY(DATE($D$7,$D$8,AG$9),2)&gt;'[5]Khai báo'!$B$4,"","X")</f>
        <v>X</v>
      </c>
      <c r="AH37" s="36" t="str">
        <f>IF(WEEKDAY(DATE($D$7,$D$8,AH$9),2)&gt;'[5]Khai báo'!$B$4,"","X")</f>
        <v>X</v>
      </c>
      <c r="AI37" s="36"/>
      <c r="AJ37" s="45">
        <f t="shared" si="8"/>
        <v>26</v>
      </c>
      <c r="AK37" s="45">
        <f t="shared" si="10"/>
        <v>0</v>
      </c>
      <c r="AL37" s="45"/>
      <c r="AW37" s="141" t="e">
        <f>+AK37-#REF!</f>
        <v>#REF!</v>
      </c>
    </row>
    <row r="38" spans="2:62" ht="21.75" customHeight="1">
      <c r="B38" s="36">
        <v>7</v>
      </c>
      <c r="C38" s="148" t="s">
        <v>3108</v>
      </c>
      <c r="D38" s="37" t="s">
        <v>1851</v>
      </c>
      <c r="E38" s="36" t="str">
        <f>IF(WEEKDAY(DATE($D$7,$D$8,E$9),2)&gt;'[5]Khai báo'!$B$4,"","X")</f>
        <v>X</v>
      </c>
      <c r="F38" s="36" t="str">
        <f>IF(WEEKDAY(DATE($D$7,$D$8,F$9),2)&gt;'[5]Khai báo'!$B$4,"","X")</f>
        <v>X</v>
      </c>
      <c r="G38" s="36" t="str">
        <f>IF(WEEKDAY(DATE($D$7,$D$8,G$9),2)&gt;'[5]Khai báo'!$B$4,"","X")</f>
        <v>X</v>
      </c>
      <c r="H38" s="36" t="str">
        <f>IF(WEEKDAY(DATE($D$7,$D$8,H$9),2)&gt;'[5]Khai báo'!$B$4,"","X")</f>
        <v>X</v>
      </c>
      <c r="I38" s="36" t="str">
        <f>IF(WEEKDAY(DATE($D$7,$D$8,I$9),2)&gt;'[5]Khai báo'!$B$4,"","X")</f>
        <v>X</v>
      </c>
      <c r="J38" s="36" t="str">
        <f>IF(WEEKDAY(DATE($D$7,$D$8,J$9),2)&gt;'[5]Khai báo'!$B$4,"","X")</f>
        <v/>
      </c>
      <c r="K38" s="36" t="str">
        <f>IF(WEEKDAY(DATE($D$7,$D$8,K$9),2)&gt;'[5]Khai báo'!$B$4,"","X")</f>
        <v>X</v>
      </c>
      <c r="L38" s="36" t="str">
        <f>IF(WEEKDAY(DATE($D$7,$D$8,L$9),2)&gt;'[5]Khai báo'!$B$4,"","X")</f>
        <v>X</v>
      </c>
      <c r="M38" s="36" t="str">
        <f>IF(WEEKDAY(DATE($D$7,$D$8,M$9),2)&gt;'[5]Khai báo'!$B$4,"","X")</f>
        <v>X</v>
      </c>
      <c r="N38" s="36" t="str">
        <f>IF(WEEKDAY(DATE($D$7,$D$8,N$9),2)&gt;'[5]Khai báo'!$B$4,"","X")</f>
        <v>X</v>
      </c>
      <c r="O38" s="36" t="str">
        <f>IF(WEEKDAY(DATE($D$7,$D$8,O$9),2)&gt;'[5]Khai báo'!$B$4,"","X")</f>
        <v>X</v>
      </c>
      <c r="P38" s="36" t="str">
        <f>IF(WEEKDAY(DATE($D$7,$D$8,P$9),2)&gt;'[5]Khai báo'!$B$4,"","X")</f>
        <v>X</v>
      </c>
      <c r="Q38" s="36" t="str">
        <f>IF(WEEKDAY(DATE($D$7,$D$8,Q$9),2)&gt;'[5]Khai báo'!$B$4,"","X")</f>
        <v/>
      </c>
      <c r="R38" s="36" t="str">
        <f>IF(WEEKDAY(DATE($D$7,$D$8,R$9),2)&gt;'[5]Khai báo'!$B$4,"","X")</f>
        <v>X</v>
      </c>
      <c r="S38" s="36" t="str">
        <f>IF(WEEKDAY(DATE($D$7,$D$8,S$9),2)&gt;'[5]Khai báo'!$B$4,"","X")</f>
        <v>X</v>
      </c>
      <c r="T38" s="36" t="str">
        <f>IF(WEEKDAY(DATE($D$7,$D$8,T$9),2)&gt;'[5]Khai báo'!$B$4,"","X")</f>
        <v>X</v>
      </c>
      <c r="U38" s="36" t="str">
        <f>IF(WEEKDAY(DATE($D$7,$D$8,U$9),2)&gt;'[5]Khai báo'!$B$4,"","X")</f>
        <v>X</v>
      </c>
      <c r="V38" s="36" t="str">
        <f>IF(WEEKDAY(DATE($D$7,$D$8,V$9),2)&gt;'[5]Khai báo'!$B$4,"","X")</f>
        <v>X</v>
      </c>
      <c r="W38" s="36" t="str">
        <f>IF(WEEKDAY(DATE($D$7,$D$8,W$9),2)&gt;'[5]Khai báo'!$B$4,"","X")</f>
        <v>X</v>
      </c>
      <c r="X38" s="36" t="str">
        <f>IF(WEEKDAY(DATE($D$7,$D$8,X$9),2)&gt;'[5]Khai báo'!$B$4,"","X")</f>
        <v/>
      </c>
      <c r="Y38" s="36" t="str">
        <f>IF(WEEKDAY(DATE($D$7,$D$8,Y$9),2)&gt;'[5]Khai báo'!$B$4,"","X")</f>
        <v>X</v>
      </c>
      <c r="Z38" s="36" t="str">
        <f>IF(WEEKDAY(DATE($D$7,$D$8,Z$9),2)&gt;'[5]Khai báo'!$B$4,"","X")</f>
        <v>X</v>
      </c>
      <c r="AA38" s="36" t="str">
        <f>IF(WEEKDAY(DATE($D$7,$D$8,AA$9),2)&gt;'[5]Khai báo'!$B$4,"","X")</f>
        <v>X</v>
      </c>
      <c r="AB38" s="36" t="str">
        <f>IF(WEEKDAY(DATE($D$7,$D$8,AB$9),2)&gt;'[5]Khai báo'!$B$4,"","X")</f>
        <v>X</v>
      </c>
      <c r="AC38" s="36" t="str">
        <f>IF(WEEKDAY(DATE($D$7,$D$8,AC$9),2)&gt;'[5]Khai báo'!$B$4,"","X")</f>
        <v>X</v>
      </c>
      <c r="AD38" s="36" t="str">
        <f>IF(WEEKDAY(DATE($D$7,$D$8,AD$9),2)&gt;'[5]Khai báo'!$B$4,"","X")</f>
        <v>X</v>
      </c>
      <c r="AE38" s="36" t="str">
        <f>IF(WEEKDAY(DATE($D$7,$D$8,AE$9),2)&gt;'[5]Khai báo'!$B$4,"","X")</f>
        <v/>
      </c>
      <c r="AF38" s="36" t="str">
        <f>IF(WEEKDAY(DATE($D$7,$D$8,AF$9),2)&gt;'[5]Khai báo'!$B$4,"","X")</f>
        <v>X</v>
      </c>
      <c r="AG38" s="36" t="str">
        <f>IF(WEEKDAY(DATE($D$7,$D$8,AG$9),2)&gt;'[5]Khai báo'!$B$4,"","X")</f>
        <v>X</v>
      </c>
      <c r="AH38" s="36" t="str">
        <f>IF(WEEKDAY(DATE($D$7,$D$8,AH$9),2)&gt;'[5]Khai báo'!$B$4,"","X")</f>
        <v>X</v>
      </c>
      <c r="AI38" s="36"/>
      <c r="AJ38" s="45">
        <f t="shared" si="8"/>
        <v>26</v>
      </c>
      <c r="AK38" s="45">
        <f t="shared" ref="AK38" si="11">COUNTIF(E38:AI38,"TT")</f>
        <v>0</v>
      </c>
      <c r="AL38" s="45"/>
      <c r="AW38" s="141" t="e">
        <f>+AK38-#REF!</f>
        <v>#REF!</v>
      </c>
    </row>
    <row r="39" spans="2:62" s="27" customFormat="1" ht="21.75" customHeight="1">
      <c r="B39" s="147" t="s">
        <v>2428</v>
      </c>
      <c r="C39" s="40" t="s">
        <v>3130</v>
      </c>
      <c r="D39" s="40"/>
      <c r="E39" s="147">
        <f>COUNTIF(E40:E43,"X")+COUNTIF(E40:E43,"P")+COUNTIF(E40:E43,"PT")+COUNTIF(E40:E43,"TT")</f>
        <v>4</v>
      </c>
      <c r="F39" s="147">
        <f t="shared" ref="F39:AH39" si="12">COUNTIF(F40:F43,"X")+COUNTIF(F40:F43,"P")+COUNTIF(F40:F43,"PT")+COUNTIF(F40:F43,"TT")</f>
        <v>4</v>
      </c>
      <c r="G39" s="147">
        <f t="shared" si="12"/>
        <v>4</v>
      </c>
      <c r="H39" s="147">
        <f t="shared" si="12"/>
        <v>4</v>
      </c>
      <c r="I39" s="147">
        <f t="shared" si="12"/>
        <v>4</v>
      </c>
      <c r="J39" s="147">
        <f t="shared" si="12"/>
        <v>0</v>
      </c>
      <c r="K39" s="147">
        <f t="shared" si="12"/>
        <v>4</v>
      </c>
      <c r="L39" s="147">
        <f t="shared" si="12"/>
        <v>4</v>
      </c>
      <c r="M39" s="147">
        <f t="shared" si="12"/>
        <v>3</v>
      </c>
      <c r="N39" s="147">
        <f t="shared" si="12"/>
        <v>3</v>
      </c>
      <c r="O39" s="147">
        <f t="shared" si="12"/>
        <v>3</v>
      </c>
      <c r="P39" s="147">
        <f t="shared" si="12"/>
        <v>3</v>
      </c>
      <c r="Q39" s="147">
        <f t="shared" si="12"/>
        <v>0</v>
      </c>
      <c r="R39" s="147">
        <f t="shared" si="12"/>
        <v>3</v>
      </c>
      <c r="S39" s="147">
        <f t="shared" si="12"/>
        <v>3</v>
      </c>
      <c r="T39" s="147">
        <f t="shared" si="12"/>
        <v>3</v>
      </c>
      <c r="U39" s="147">
        <f t="shared" si="12"/>
        <v>3</v>
      </c>
      <c r="V39" s="147">
        <f t="shared" si="12"/>
        <v>3</v>
      </c>
      <c r="W39" s="147">
        <f t="shared" si="12"/>
        <v>4</v>
      </c>
      <c r="X39" s="147">
        <f t="shared" si="12"/>
        <v>0</v>
      </c>
      <c r="Y39" s="147">
        <f t="shared" si="12"/>
        <v>4</v>
      </c>
      <c r="Z39" s="147">
        <f t="shared" si="12"/>
        <v>4</v>
      </c>
      <c r="AA39" s="147">
        <f t="shared" si="12"/>
        <v>4</v>
      </c>
      <c r="AB39" s="147">
        <f t="shared" si="12"/>
        <v>4</v>
      </c>
      <c r="AC39" s="147">
        <f t="shared" si="12"/>
        <v>4</v>
      </c>
      <c r="AD39" s="147">
        <f t="shared" si="12"/>
        <v>4</v>
      </c>
      <c r="AE39" s="147">
        <f t="shared" si="12"/>
        <v>0</v>
      </c>
      <c r="AF39" s="147">
        <f t="shared" si="12"/>
        <v>4</v>
      </c>
      <c r="AG39" s="147">
        <f t="shared" si="12"/>
        <v>4</v>
      </c>
      <c r="AH39" s="147">
        <f t="shared" si="12"/>
        <v>4</v>
      </c>
      <c r="AI39" s="147"/>
      <c r="AJ39" s="152">
        <f>SUM(AJ40:AJ43)</f>
        <v>95</v>
      </c>
      <c r="AK39" s="152">
        <f>SUM(AK40:AK43)</f>
        <v>0</v>
      </c>
      <c r="AL39" s="152"/>
      <c r="AW39" s="141" t="e">
        <f>+AK39-#REF!</f>
        <v>#REF!</v>
      </c>
      <c r="BI39" s="27">
        <f>20+7+4+5</f>
        <v>36</v>
      </c>
    </row>
    <row r="40" spans="2:62" ht="21.75" customHeight="1">
      <c r="B40" s="36">
        <v>1</v>
      </c>
      <c r="C40" s="148" t="s">
        <v>3109</v>
      </c>
      <c r="D40" s="148" t="s">
        <v>3110</v>
      </c>
      <c r="E40" s="36" t="str">
        <f>IF(WEEKDAY(DATE($D$7,$D$8,E$9),2)&gt;'[5]Khai báo'!$B$4,"","X")</f>
        <v>X</v>
      </c>
      <c r="F40" s="36" t="str">
        <f>IF(WEEKDAY(DATE($D$7,$D$8,F$9),2)&gt;'[5]Khai báo'!$B$4,"","X")</f>
        <v>X</v>
      </c>
      <c r="G40" s="36" t="str">
        <f>IF(WEEKDAY(DATE($D$7,$D$8,G$9),2)&gt;'[5]Khai báo'!$B$4,"","X")</f>
        <v>X</v>
      </c>
      <c r="H40" s="36" t="str">
        <f>IF(WEEKDAY(DATE($D$7,$D$8,H$9),2)&gt;'[5]Khai báo'!$B$4,"","X")</f>
        <v>X</v>
      </c>
      <c r="I40" s="36" t="str">
        <f>IF(WEEKDAY(DATE($D$7,$D$8,I$9),2)&gt;'[5]Khai báo'!$B$4,"","X")</f>
        <v>X</v>
      </c>
      <c r="J40" s="36" t="str">
        <f>IF(WEEKDAY(DATE($D$7,$D$8,J$9),2)&gt;'[5]Khai báo'!$B$4,"","X")</f>
        <v/>
      </c>
      <c r="K40" s="36" t="str">
        <f>IF(WEEKDAY(DATE($D$7,$D$8,K$9),2)&gt;'[5]Khai báo'!$B$4,"","X")</f>
        <v>X</v>
      </c>
      <c r="L40" s="36" t="str">
        <f>IF(WEEKDAY(DATE($D$7,$D$8,L$9),2)&gt;'[5]Khai báo'!$B$4,"","X")</f>
        <v>X</v>
      </c>
      <c r="M40" s="36" t="str">
        <f>IF(WEEKDAY(DATE($D$7,$D$8,M$9),2)&gt;'[5]Khai báo'!$B$4,"","X")</f>
        <v>X</v>
      </c>
      <c r="N40" s="36" t="str">
        <f>IF(WEEKDAY(DATE($D$7,$D$8,N$9),2)&gt;'[5]Khai báo'!$B$4,"","X")</f>
        <v>X</v>
      </c>
      <c r="O40" s="36" t="str">
        <f>IF(WEEKDAY(DATE($D$7,$D$8,O$9),2)&gt;'[5]Khai báo'!$B$4,"","X")</f>
        <v>X</v>
      </c>
      <c r="P40" s="36" t="str">
        <f>IF(WEEKDAY(DATE($D$7,$D$8,P$9),2)&gt;'[5]Khai báo'!$B$4,"","X")</f>
        <v>X</v>
      </c>
      <c r="Q40" s="36" t="str">
        <f>IF(WEEKDAY(DATE($D$7,$D$8,Q$9),2)&gt;'[5]Khai báo'!$B$4,"","X")</f>
        <v/>
      </c>
      <c r="R40" s="36" t="str">
        <f>IF(WEEKDAY(DATE($D$7,$D$8,R$9),2)&gt;'[5]Khai báo'!$B$4,"","X")</f>
        <v>X</v>
      </c>
      <c r="S40" s="36" t="str">
        <f>IF(WEEKDAY(DATE($D$7,$D$8,S$9),2)&gt;'[5]Khai báo'!$B$4,"","X")</f>
        <v>X</v>
      </c>
      <c r="T40" s="36" t="str">
        <f>IF(WEEKDAY(DATE($D$7,$D$8,T$9),2)&gt;'[5]Khai báo'!$B$4,"","X")</f>
        <v>X</v>
      </c>
      <c r="U40" s="36" t="str">
        <f>IF(WEEKDAY(DATE($D$7,$D$8,U$9),2)&gt;'[5]Khai báo'!$B$4,"","X")</f>
        <v>X</v>
      </c>
      <c r="V40" s="36" t="str">
        <f>IF(WEEKDAY(DATE($D$7,$D$8,V$9),2)&gt;'[5]Khai báo'!$B$4,"","X")</f>
        <v>X</v>
      </c>
      <c r="W40" s="36" t="str">
        <f>IF(WEEKDAY(DATE($D$7,$D$8,W$9),2)&gt;'[5]Khai báo'!$B$4,"","X")</f>
        <v>X</v>
      </c>
      <c r="X40" s="36" t="str">
        <f>IF(WEEKDAY(DATE($D$7,$D$8,X$9),2)&gt;'[5]Khai báo'!$B$4,"","X")</f>
        <v/>
      </c>
      <c r="Y40" s="36" t="str">
        <f>IF(WEEKDAY(DATE($D$7,$D$8,Y$9),2)&gt;'[5]Khai báo'!$B$4,"","X")</f>
        <v>X</v>
      </c>
      <c r="Z40" s="36" t="str">
        <f>IF(WEEKDAY(DATE($D$7,$D$8,Z$9),2)&gt;'[5]Khai báo'!$B$4,"","X")</f>
        <v>X</v>
      </c>
      <c r="AA40" s="36" t="str">
        <f>IF(WEEKDAY(DATE($D$7,$D$8,AA$9),2)&gt;'[5]Khai báo'!$B$4,"","X")</f>
        <v>X</v>
      </c>
      <c r="AB40" s="36" t="str">
        <f>IF(WEEKDAY(DATE($D$7,$D$8,AB$9),2)&gt;'[5]Khai báo'!$B$4,"","X")</f>
        <v>X</v>
      </c>
      <c r="AC40" s="36" t="str">
        <f>IF(WEEKDAY(DATE($D$7,$D$8,AC$9),2)&gt;'[5]Khai báo'!$B$4,"","X")</f>
        <v>X</v>
      </c>
      <c r="AD40" s="36" t="str">
        <f>IF(WEEKDAY(DATE($D$7,$D$8,AD$9),2)&gt;'[5]Khai báo'!$B$4,"","X")</f>
        <v>X</v>
      </c>
      <c r="AE40" s="36" t="str">
        <f>IF(WEEKDAY(DATE($D$7,$D$8,AE$9),2)&gt;'[5]Khai báo'!$B$4,"","X")</f>
        <v/>
      </c>
      <c r="AF40" s="36" t="str">
        <f>IF(WEEKDAY(DATE($D$7,$D$8,AF$9),2)&gt;'[5]Khai báo'!$B$4,"","X")</f>
        <v>X</v>
      </c>
      <c r="AG40" s="36" t="str">
        <f>IF(WEEKDAY(DATE($D$7,$D$8,AG$9),2)&gt;'[5]Khai báo'!$B$4,"","X")</f>
        <v>X</v>
      </c>
      <c r="AH40" s="36" t="str">
        <f>IF(WEEKDAY(DATE($D$7,$D$8,AH$9),2)&gt;'[5]Khai báo'!$B$4,"","X")</f>
        <v>X</v>
      </c>
      <c r="AI40" s="36"/>
      <c r="AJ40" s="45">
        <f>COUNTIF(E40:AI40,"X")+COUNTIF(E40:AI40,"P")+COUNTIF(E40:AI40,"PT")</f>
        <v>26</v>
      </c>
      <c r="AK40" s="45">
        <f>COUNTIF(E40:AI40,"TT")</f>
        <v>0</v>
      </c>
      <c r="AL40" s="45"/>
      <c r="AW40" s="141" t="e">
        <f>+AK40-#REF!</f>
        <v>#REF!</v>
      </c>
    </row>
    <row r="41" spans="2:62" ht="21.75" customHeight="1">
      <c r="B41" s="36">
        <v>2</v>
      </c>
      <c r="C41" s="148" t="s">
        <v>3111</v>
      </c>
      <c r="D41" s="148" t="s">
        <v>3112</v>
      </c>
      <c r="E41" s="36" t="str">
        <f>IF(WEEKDAY(DATE($D$7,$D$8,E$9),2)&gt;'[5]Khai báo'!$B$4,"","X")</f>
        <v>X</v>
      </c>
      <c r="F41" s="36" t="str">
        <f>IF(WEEKDAY(DATE($D$7,$D$8,F$9),2)&gt;'[5]Khai báo'!$B$4,"","X")</f>
        <v>X</v>
      </c>
      <c r="G41" s="36" t="str">
        <f>IF(WEEKDAY(DATE($D$7,$D$8,G$9),2)&gt;'[5]Khai báo'!$B$4,"","X")</f>
        <v>X</v>
      </c>
      <c r="H41" s="36" t="str">
        <f>IF(WEEKDAY(DATE($D$7,$D$8,H$9),2)&gt;'[5]Khai báo'!$B$4,"","X")</f>
        <v>X</v>
      </c>
      <c r="I41" s="36" t="str">
        <f>IF(WEEKDAY(DATE($D$7,$D$8,I$9),2)&gt;'[5]Khai báo'!$B$4,"","X")</f>
        <v>X</v>
      </c>
      <c r="J41" s="36" t="str">
        <f>IF(WEEKDAY(DATE($D$7,$D$8,J$9),2)&gt;'[5]Khai báo'!$B$4,"","X")</f>
        <v/>
      </c>
      <c r="K41" s="36" t="str">
        <f>IF(WEEKDAY(DATE($D$7,$D$8,K$9),2)&gt;'[5]Khai báo'!$B$4,"","X")</f>
        <v>X</v>
      </c>
      <c r="L41" s="36" t="str">
        <f>IF(WEEKDAY(DATE($D$7,$D$8,L$9),2)&gt;'[5]Khai báo'!$B$4,"","X")</f>
        <v>X</v>
      </c>
      <c r="M41" s="36" t="str">
        <f>IF(WEEKDAY(DATE($D$7,$D$8,M$9),2)&gt;'[5]Khai báo'!$B$4,"","X")</f>
        <v>X</v>
      </c>
      <c r="N41" s="36" t="str">
        <f>IF(WEEKDAY(DATE($D$7,$D$8,N$9),2)&gt;'[5]Khai báo'!$B$4,"","X")</f>
        <v>X</v>
      </c>
      <c r="O41" s="36" t="str">
        <f>IF(WEEKDAY(DATE($D$7,$D$8,O$9),2)&gt;'[5]Khai báo'!$B$4,"","X")</f>
        <v>X</v>
      </c>
      <c r="P41" s="36" t="str">
        <f>IF(WEEKDAY(DATE($D$7,$D$8,P$9),2)&gt;'[5]Khai báo'!$B$4,"","X")</f>
        <v>X</v>
      </c>
      <c r="Q41" s="36" t="str">
        <f>IF(WEEKDAY(DATE($D$7,$D$8,Q$9),2)&gt;'[5]Khai báo'!$B$4,"","X")</f>
        <v/>
      </c>
      <c r="R41" s="36" t="str">
        <f>IF(WEEKDAY(DATE($D$7,$D$8,R$9),2)&gt;'[5]Khai báo'!$B$4,"","X")</f>
        <v>X</v>
      </c>
      <c r="S41" s="36" t="str">
        <f>IF(WEEKDAY(DATE($D$7,$D$8,S$9),2)&gt;'[5]Khai báo'!$B$4,"","X")</f>
        <v>X</v>
      </c>
      <c r="T41" s="36" t="str">
        <f>IF(WEEKDAY(DATE($D$7,$D$8,T$9),2)&gt;'[5]Khai báo'!$B$4,"","X")</f>
        <v>X</v>
      </c>
      <c r="U41" s="36" t="str">
        <f>IF(WEEKDAY(DATE($D$7,$D$8,U$9),2)&gt;'[5]Khai báo'!$B$4,"","X")</f>
        <v>X</v>
      </c>
      <c r="V41" s="36" t="str">
        <f>IF(WEEKDAY(DATE($D$7,$D$8,V$9),2)&gt;'[5]Khai báo'!$B$4,"","X")</f>
        <v>X</v>
      </c>
      <c r="W41" s="36" t="str">
        <f>IF(WEEKDAY(DATE($D$7,$D$8,W$9),2)&gt;'[5]Khai báo'!$B$4,"","X")</f>
        <v>X</v>
      </c>
      <c r="X41" s="36" t="str">
        <f>IF(WEEKDAY(DATE($D$7,$D$8,X$9),2)&gt;'[5]Khai báo'!$B$4,"","X")</f>
        <v/>
      </c>
      <c r="Y41" s="36" t="str">
        <f>IF(WEEKDAY(DATE($D$7,$D$8,Y$9),2)&gt;'[5]Khai báo'!$B$4,"","X")</f>
        <v>X</v>
      </c>
      <c r="Z41" s="36" t="str">
        <f>IF(WEEKDAY(DATE($D$7,$D$8,Z$9),2)&gt;'[5]Khai báo'!$B$4,"","X")</f>
        <v>X</v>
      </c>
      <c r="AA41" s="36" t="str">
        <f>IF(WEEKDAY(DATE($D$7,$D$8,AA$9),2)&gt;'[5]Khai báo'!$B$4,"","X")</f>
        <v>X</v>
      </c>
      <c r="AB41" s="36" t="str">
        <f>IF(WEEKDAY(DATE($D$7,$D$8,AB$9),2)&gt;'[5]Khai báo'!$B$4,"","X")</f>
        <v>X</v>
      </c>
      <c r="AC41" s="36" t="str">
        <f>IF(WEEKDAY(DATE($D$7,$D$8,AC$9),2)&gt;'[5]Khai báo'!$B$4,"","X")</f>
        <v>X</v>
      </c>
      <c r="AD41" s="36" t="str">
        <f>IF(WEEKDAY(DATE($D$7,$D$8,AD$9),2)&gt;'[5]Khai báo'!$B$4,"","X")</f>
        <v>X</v>
      </c>
      <c r="AE41" s="36" t="str">
        <f>IF(WEEKDAY(DATE($D$7,$D$8,AE$9),2)&gt;'[5]Khai báo'!$B$4,"","X")</f>
        <v/>
      </c>
      <c r="AF41" s="36" t="str">
        <f>IF(WEEKDAY(DATE($D$7,$D$8,AF$9),2)&gt;'[5]Khai báo'!$B$4,"","X")</f>
        <v>X</v>
      </c>
      <c r="AG41" s="36" t="str">
        <f>IF(WEEKDAY(DATE($D$7,$D$8,AG$9),2)&gt;'[5]Khai báo'!$B$4,"","X")</f>
        <v>X</v>
      </c>
      <c r="AH41" s="36" t="str">
        <f>IF(WEEKDAY(DATE($D$7,$D$8,AH$9),2)&gt;'[5]Khai báo'!$B$4,"","X")</f>
        <v>X</v>
      </c>
      <c r="AI41" s="36"/>
      <c r="AJ41" s="45">
        <f t="shared" ref="AJ41:AJ45" si="13">COUNTIF(E41:AI41,"X")+COUNTIF(E41:AI41,"P")+COUNTIF(E41:AI41,"PT")</f>
        <v>26</v>
      </c>
      <c r="AK41" s="45">
        <f>COUNTIF(E41:AI41,"TT")</f>
        <v>0</v>
      </c>
      <c r="AL41" s="45"/>
      <c r="AW41" s="141" t="e">
        <f>+AK41-#REF!</f>
        <v>#REF!</v>
      </c>
    </row>
    <row r="42" spans="2:62" ht="21.75" customHeight="1">
      <c r="B42" s="36">
        <v>3</v>
      </c>
      <c r="C42" s="37" t="s">
        <v>3113</v>
      </c>
      <c r="D42" s="148" t="s">
        <v>3114</v>
      </c>
      <c r="E42" s="36" t="str">
        <f>IF(WEEKDAY(DATE($D$7,$D$8,E$9),2)&gt;'[5]Khai báo'!$B$4,"","X")</f>
        <v>X</v>
      </c>
      <c r="F42" s="36" t="str">
        <f>IF(WEEKDAY(DATE($D$7,$D$8,F$9),2)&gt;'[5]Khai báo'!$B$4,"","X")</f>
        <v>X</v>
      </c>
      <c r="G42" s="36" t="str">
        <f>IF(WEEKDAY(DATE($D$7,$D$8,G$9),2)&gt;'[5]Khai báo'!$B$4,"","X")</f>
        <v>X</v>
      </c>
      <c r="H42" s="36" t="str">
        <f>IF(WEEKDAY(DATE($D$7,$D$8,H$9),2)&gt;'[5]Khai báo'!$B$4,"","X")</f>
        <v>X</v>
      </c>
      <c r="I42" s="36" t="str">
        <f>IF(WEEKDAY(DATE($D$7,$D$8,I$9),2)&gt;'[5]Khai báo'!$B$4,"","X")</f>
        <v>X</v>
      </c>
      <c r="J42" s="36" t="str">
        <f>IF(WEEKDAY(DATE($D$7,$D$8,J$9),2)&gt;'[5]Khai báo'!$B$4,"","X")</f>
        <v/>
      </c>
      <c r="K42" s="36" t="str">
        <f>IF(WEEKDAY(DATE($D$7,$D$8,K$9),2)&gt;'[5]Khai báo'!$B$4,"","X")</f>
        <v>X</v>
      </c>
      <c r="L42" s="36" t="str">
        <f>IF(WEEKDAY(DATE($D$7,$D$8,L$9),2)&gt;'[5]Khai báo'!$B$4,"","X")</f>
        <v>X</v>
      </c>
      <c r="M42" s="36" t="str">
        <f>IF(WEEKDAY(DATE($D$7,$D$8,M$9),2)&gt;'[5]Khai báo'!$B$4,"","X")</f>
        <v>X</v>
      </c>
      <c r="N42" s="36" t="str">
        <f>IF(WEEKDAY(DATE($D$7,$D$8,N$9),2)&gt;'[5]Khai báo'!$B$4,"","X")</f>
        <v>X</v>
      </c>
      <c r="O42" s="36" t="str">
        <f>IF(WEEKDAY(DATE($D$7,$D$8,O$9),2)&gt;'[5]Khai báo'!$B$4,"","X")</f>
        <v>X</v>
      </c>
      <c r="P42" s="36" t="str">
        <f>IF(WEEKDAY(DATE($D$7,$D$8,P$9),2)&gt;'[5]Khai báo'!$B$4,"","X")</f>
        <v>X</v>
      </c>
      <c r="Q42" s="36" t="str">
        <f>IF(WEEKDAY(DATE($D$7,$D$8,Q$9),2)&gt;'[5]Khai báo'!$B$4,"","X")</f>
        <v/>
      </c>
      <c r="R42" s="36" t="str">
        <f>IF(WEEKDAY(DATE($D$7,$D$8,R$9),2)&gt;'[5]Khai báo'!$B$4,"","X")</f>
        <v>X</v>
      </c>
      <c r="S42" s="36" t="str">
        <f>IF(WEEKDAY(DATE($D$7,$D$8,S$9),2)&gt;'[5]Khai báo'!$B$4,"","X")</f>
        <v>X</v>
      </c>
      <c r="T42" s="36" t="str">
        <f>IF(WEEKDAY(DATE($D$7,$D$8,T$9),2)&gt;'[5]Khai báo'!$B$4,"","X")</f>
        <v>X</v>
      </c>
      <c r="U42" s="36" t="str">
        <f>IF(WEEKDAY(DATE($D$7,$D$8,U$9),2)&gt;'[5]Khai báo'!$B$4,"","X")</f>
        <v>X</v>
      </c>
      <c r="V42" s="36" t="str">
        <f>IF(WEEKDAY(DATE($D$7,$D$8,V$9),2)&gt;'[5]Khai báo'!$B$4,"","X")</f>
        <v>X</v>
      </c>
      <c r="W42" s="36" t="str">
        <f>IF(WEEKDAY(DATE($D$7,$D$8,W$9),2)&gt;'[5]Khai báo'!$B$4,"","X")</f>
        <v>X</v>
      </c>
      <c r="X42" s="36" t="str">
        <f>IF(WEEKDAY(DATE($D$7,$D$8,X$9),2)&gt;'[5]Khai báo'!$B$4,"","X")</f>
        <v/>
      </c>
      <c r="Y42" s="36" t="str">
        <f>IF(WEEKDAY(DATE($D$7,$D$8,Y$9),2)&gt;'[5]Khai báo'!$B$4,"","X")</f>
        <v>X</v>
      </c>
      <c r="Z42" s="36" t="str">
        <f>IF(WEEKDAY(DATE($D$7,$D$8,Z$9),2)&gt;'[5]Khai báo'!$B$4,"","X")</f>
        <v>X</v>
      </c>
      <c r="AA42" s="36" t="str">
        <f>IF(WEEKDAY(DATE($D$7,$D$8,AA$9),2)&gt;'[5]Khai báo'!$B$4,"","X")</f>
        <v>X</v>
      </c>
      <c r="AB42" s="36" t="str">
        <f>IF(WEEKDAY(DATE($D$7,$D$8,AB$9),2)&gt;'[5]Khai báo'!$B$4,"","X")</f>
        <v>X</v>
      </c>
      <c r="AC42" s="36" t="str">
        <f>IF(WEEKDAY(DATE($D$7,$D$8,AC$9),2)&gt;'[5]Khai báo'!$B$4,"","X")</f>
        <v>X</v>
      </c>
      <c r="AD42" s="36" t="str">
        <f>IF(WEEKDAY(DATE($D$7,$D$8,AD$9),2)&gt;'[5]Khai báo'!$B$4,"","X")</f>
        <v>X</v>
      </c>
      <c r="AE42" s="36" t="str">
        <f>IF(WEEKDAY(DATE($D$7,$D$8,AE$9),2)&gt;'[5]Khai báo'!$B$4,"","X")</f>
        <v/>
      </c>
      <c r="AF42" s="36" t="str">
        <f>IF(WEEKDAY(DATE($D$7,$D$8,AF$9),2)&gt;'[5]Khai báo'!$B$4,"","X")</f>
        <v>X</v>
      </c>
      <c r="AG42" s="36" t="str">
        <f>IF(WEEKDAY(DATE($D$7,$D$8,AG$9),2)&gt;'[5]Khai báo'!$B$4,"","X")</f>
        <v>X</v>
      </c>
      <c r="AH42" s="36" t="str">
        <f>IF(WEEKDAY(DATE($D$7,$D$8,AH$9),2)&gt;'[5]Khai báo'!$B$4,"","X")</f>
        <v>X</v>
      </c>
      <c r="AI42" s="36"/>
      <c r="AJ42" s="45">
        <f t="shared" si="13"/>
        <v>26</v>
      </c>
      <c r="AK42" s="45">
        <f>COUNTIF(E42:AI42,"TT")</f>
        <v>0</v>
      </c>
      <c r="AL42" s="45"/>
      <c r="AW42" s="141" t="e">
        <f>+AK42-#REF!</f>
        <v>#REF!</v>
      </c>
    </row>
    <row r="43" spans="2:62" ht="21.75" customHeight="1">
      <c r="B43" s="36">
        <v>4</v>
      </c>
      <c r="C43" s="37" t="s">
        <v>3115</v>
      </c>
      <c r="D43" s="148" t="s">
        <v>3116</v>
      </c>
      <c r="E43" s="36" t="str">
        <f>IF(WEEKDAY(DATE($D$7,$D$8,E$9),2)&gt;'[5]Khai báo'!$B$4,"","X")</f>
        <v>X</v>
      </c>
      <c r="F43" s="36" t="str">
        <f>IF(WEEKDAY(DATE($D$7,$D$8,F$9),2)&gt;'[5]Khai báo'!$B$4,"","X")</f>
        <v>X</v>
      </c>
      <c r="G43" s="36" t="str">
        <f>IF(WEEKDAY(DATE($D$7,$D$8,G$9),2)&gt;'[5]Khai báo'!$B$4,"","X")</f>
        <v>X</v>
      </c>
      <c r="H43" s="36" t="str">
        <f>IF(WEEKDAY(DATE($D$7,$D$8,H$9),2)&gt;'[5]Khai báo'!$B$4,"","X")</f>
        <v>X</v>
      </c>
      <c r="I43" s="36" t="str">
        <f>IF(WEEKDAY(DATE($D$7,$D$8,I$9),2)&gt;'[5]Khai báo'!$B$4,"","X")</f>
        <v>X</v>
      </c>
      <c r="J43" s="36" t="str">
        <f>IF(WEEKDAY(DATE($D$7,$D$8,J$9),2)&gt;'[5]Khai báo'!$B$4,"","X")</f>
        <v/>
      </c>
      <c r="K43" s="36" t="str">
        <f>IF(WEEKDAY(DATE($D$7,$D$8,K$9),2)&gt;'[5]Khai báo'!$B$4,"","X")</f>
        <v>X</v>
      </c>
      <c r="L43" s="36" t="str">
        <f>IF(WEEKDAY(DATE($D$7,$D$8,L$9),2)&gt;'[5]Khai báo'!$B$4,"","X")</f>
        <v>X</v>
      </c>
      <c r="M43" s="36" t="s">
        <v>2954</v>
      </c>
      <c r="N43" s="36" t="s">
        <v>2954</v>
      </c>
      <c r="O43" s="36" t="s">
        <v>2954</v>
      </c>
      <c r="P43" s="36" t="s">
        <v>2954</v>
      </c>
      <c r="Q43" s="36"/>
      <c r="R43" s="36" t="s">
        <v>2954</v>
      </c>
      <c r="S43" s="36" t="s">
        <v>2954</v>
      </c>
      <c r="T43" s="36" t="s">
        <v>2954</v>
      </c>
      <c r="U43" s="36" t="s">
        <v>2954</v>
      </c>
      <c r="V43" s="36" t="s">
        <v>2954</v>
      </c>
      <c r="W43" s="36" t="s">
        <v>2962</v>
      </c>
      <c r="X43" s="36" t="str">
        <f>IF(WEEKDAY(DATE($D$7,$D$8,X$9),2)&gt;'[5]Khai báo'!$B$4,"","X")</f>
        <v/>
      </c>
      <c r="Y43" s="36" t="s">
        <v>2962</v>
      </c>
      <c r="Z43" s="36" t="s">
        <v>2962</v>
      </c>
      <c r="AA43" s="36" t="s">
        <v>2962</v>
      </c>
      <c r="AB43" s="36" t="s">
        <v>2962</v>
      </c>
      <c r="AC43" s="36" t="s">
        <v>2962</v>
      </c>
      <c r="AD43" s="36" t="s">
        <v>2962</v>
      </c>
      <c r="AE43" s="36" t="str">
        <f>IF(WEEKDAY(DATE($D$7,$D$8,AE$9),2)&gt;'[5]Khai báo'!$B$4,"","X")</f>
        <v/>
      </c>
      <c r="AF43" s="36" t="s">
        <v>2962</v>
      </c>
      <c r="AG43" s="36" t="s">
        <v>2962</v>
      </c>
      <c r="AH43" s="36" t="s">
        <v>2962</v>
      </c>
      <c r="AI43" s="36"/>
      <c r="AJ43" s="45">
        <f t="shared" si="13"/>
        <v>17</v>
      </c>
      <c r="AK43" s="45">
        <f>COUNTIF(E43:AI43,"TT")</f>
        <v>0</v>
      </c>
      <c r="AL43" s="45"/>
      <c r="AW43" s="141" t="e">
        <f>+AK43-#REF!</f>
        <v>#REF!</v>
      </c>
    </row>
    <row r="44" spans="2:62" s="27" customFormat="1" ht="21.75" customHeight="1">
      <c r="B44" s="147" t="s">
        <v>2905</v>
      </c>
      <c r="C44" s="40" t="s">
        <v>3131</v>
      </c>
      <c r="D44" s="40"/>
      <c r="E44" s="147">
        <f>COUNTIF(E45:E45,"X")+COUNTIF(E45:E45,"P")+COUNTIF(E45:E45,"PT")</f>
        <v>1</v>
      </c>
      <c r="F44" s="147">
        <f t="shared" ref="F44:AH44" si="14">COUNTIF(F45:F45,"X")+COUNTIF(F45:F45,"P")+COUNTIF(F45:F45,"PT")</f>
        <v>1</v>
      </c>
      <c r="G44" s="147">
        <f t="shared" si="14"/>
        <v>1</v>
      </c>
      <c r="H44" s="147">
        <f t="shared" si="14"/>
        <v>1</v>
      </c>
      <c r="I44" s="147">
        <f t="shared" si="14"/>
        <v>1</v>
      </c>
      <c r="J44" s="147">
        <f t="shared" si="14"/>
        <v>0</v>
      </c>
      <c r="K44" s="147">
        <f t="shared" si="14"/>
        <v>1</v>
      </c>
      <c r="L44" s="147">
        <f t="shared" si="14"/>
        <v>1</v>
      </c>
      <c r="M44" s="147">
        <f t="shared" si="14"/>
        <v>1</v>
      </c>
      <c r="N44" s="147">
        <f t="shared" si="14"/>
        <v>1</v>
      </c>
      <c r="O44" s="147">
        <f t="shared" si="14"/>
        <v>1</v>
      </c>
      <c r="P44" s="147">
        <f t="shared" si="14"/>
        <v>1</v>
      </c>
      <c r="Q44" s="147">
        <f t="shared" si="14"/>
        <v>0</v>
      </c>
      <c r="R44" s="147">
        <f t="shared" si="14"/>
        <v>1</v>
      </c>
      <c r="S44" s="147">
        <f t="shared" si="14"/>
        <v>1</v>
      </c>
      <c r="T44" s="147">
        <f t="shared" si="14"/>
        <v>1</v>
      </c>
      <c r="U44" s="147">
        <f t="shared" si="14"/>
        <v>1</v>
      </c>
      <c r="V44" s="147">
        <f t="shared" si="14"/>
        <v>1</v>
      </c>
      <c r="W44" s="147">
        <f t="shared" si="14"/>
        <v>1</v>
      </c>
      <c r="X44" s="147">
        <f t="shared" si="14"/>
        <v>0</v>
      </c>
      <c r="Y44" s="147">
        <f t="shared" si="14"/>
        <v>1</v>
      </c>
      <c r="Z44" s="147">
        <f t="shared" si="14"/>
        <v>1</v>
      </c>
      <c r="AA44" s="147">
        <f t="shared" si="14"/>
        <v>1</v>
      </c>
      <c r="AB44" s="147">
        <f t="shared" si="14"/>
        <v>1</v>
      </c>
      <c r="AC44" s="147">
        <f t="shared" si="14"/>
        <v>1</v>
      </c>
      <c r="AD44" s="147">
        <f t="shared" si="14"/>
        <v>1</v>
      </c>
      <c r="AE44" s="147">
        <f t="shared" si="14"/>
        <v>0</v>
      </c>
      <c r="AF44" s="147">
        <f t="shared" si="14"/>
        <v>1</v>
      </c>
      <c r="AG44" s="147">
        <f t="shared" si="14"/>
        <v>1</v>
      </c>
      <c r="AH44" s="147">
        <f t="shared" si="14"/>
        <v>1</v>
      </c>
      <c r="AI44" s="147"/>
      <c r="AJ44" s="152">
        <f>SUM(AJ45)</f>
        <v>26</v>
      </c>
      <c r="AK44" s="152">
        <f t="shared" ref="AK44" si="15">SUM(AK45)</f>
        <v>0</v>
      </c>
      <c r="AL44" s="152"/>
      <c r="AW44" s="141" t="e">
        <f>+AK44-#REF!</f>
        <v>#REF!</v>
      </c>
      <c r="BI44" s="27">
        <f>4+6+19+5+1+22+2</f>
        <v>59</v>
      </c>
    </row>
    <row r="45" spans="2:62" ht="21.75" customHeight="1">
      <c r="B45" s="36">
        <v>1</v>
      </c>
      <c r="C45" s="37" t="s">
        <v>3132</v>
      </c>
      <c r="D45" s="37" t="s">
        <v>3133</v>
      </c>
      <c r="E45" s="36" t="str">
        <f>IF(WEEKDAY(DATE($D$7,$D$8,E$9),2)&gt;'[5]Khai báo'!$B$4,"","X")</f>
        <v>X</v>
      </c>
      <c r="F45" s="36" t="str">
        <f>IF(WEEKDAY(DATE($D$7,$D$8,F$9),2)&gt;'[5]Khai báo'!$B$4,"","X")</f>
        <v>X</v>
      </c>
      <c r="G45" s="36" t="str">
        <f>IF(WEEKDAY(DATE($D$7,$D$8,G$9),2)&gt;'[5]Khai báo'!$B$4,"","X")</f>
        <v>X</v>
      </c>
      <c r="H45" s="36" t="str">
        <f>IF(WEEKDAY(DATE($D$7,$D$8,H$9),2)&gt;'[5]Khai báo'!$B$4,"","X")</f>
        <v>X</v>
      </c>
      <c r="I45" s="36" t="str">
        <f>IF(WEEKDAY(DATE($D$7,$D$8,I$9),2)&gt;'[5]Khai báo'!$B$4,"","X")</f>
        <v>X</v>
      </c>
      <c r="J45" s="36" t="str">
        <f>IF(WEEKDAY(DATE($D$7,$D$8,J$9),2)&gt;'[5]Khai báo'!$B$4,"","X")</f>
        <v/>
      </c>
      <c r="K45" s="36" t="s">
        <v>2962</v>
      </c>
      <c r="L45" s="36" t="s">
        <v>2962</v>
      </c>
      <c r="M45" s="36" t="s">
        <v>2962</v>
      </c>
      <c r="N45" s="36" t="s">
        <v>2962</v>
      </c>
      <c r="O45" s="36" t="str">
        <f>IF(WEEKDAY(DATE($D$7,$D$8,O$9),2)&gt;'[5]Khai báo'!$B$4,"","X")</f>
        <v>X</v>
      </c>
      <c r="P45" s="36" t="str">
        <f>IF(WEEKDAY(DATE($D$7,$D$8,P$9),2)&gt;'[5]Khai báo'!$B$4,"","X")</f>
        <v>X</v>
      </c>
      <c r="Q45" s="36" t="str">
        <f>IF(WEEKDAY(DATE($D$7,$D$8,Q$9),2)&gt;'[5]Khai báo'!$B$4,"","X")</f>
        <v/>
      </c>
      <c r="R45" s="36" t="str">
        <f>IF(WEEKDAY(DATE($D$7,$D$8,R$9),2)&gt;'[5]Khai báo'!$B$4,"","X")</f>
        <v>X</v>
      </c>
      <c r="S45" s="36" t="str">
        <f>IF(WEEKDAY(DATE($D$7,$D$8,S$9),2)&gt;'[5]Khai báo'!$B$4,"","X")</f>
        <v>X</v>
      </c>
      <c r="T45" s="36" t="str">
        <f>IF(WEEKDAY(DATE($D$7,$D$8,T$9),2)&gt;'[5]Khai báo'!$B$4,"","X")</f>
        <v>X</v>
      </c>
      <c r="U45" s="36" t="str">
        <f>IF(WEEKDAY(DATE($D$7,$D$8,U$9),2)&gt;'[5]Khai báo'!$B$4,"","X")</f>
        <v>X</v>
      </c>
      <c r="V45" s="36" t="str">
        <f>IF(WEEKDAY(DATE($D$7,$D$8,V$9),2)&gt;'[5]Khai báo'!$B$4,"","X")</f>
        <v>X</v>
      </c>
      <c r="W45" s="36" t="str">
        <f>IF(WEEKDAY(DATE($D$7,$D$8,W$9),2)&gt;'[5]Khai báo'!$B$4,"","X")</f>
        <v>X</v>
      </c>
      <c r="X45" s="36" t="str">
        <f>IF(WEEKDAY(DATE($D$7,$D$8,X$9),2)&gt;'[5]Khai báo'!$B$4,"","X")</f>
        <v/>
      </c>
      <c r="Y45" s="36" t="str">
        <f>IF(WEEKDAY(DATE($D$7,$D$8,Y$9),2)&gt;'[5]Khai báo'!$B$4,"","X")</f>
        <v>X</v>
      </c>
      <c r="Z45" s="36" t="str">
        <f>IF(WEEKDAY(DATE($D$7,$D$8,Z$9),2)&gt;'[5]Khai báo'!$B$4,"","X")</f>
        <v>X</v>
      </c>
      <c r="AA45" s="36" t="str">
        <f>IF(WEEKDAY(DATE($D$7,$D$8,AA$9),2)&gt;'[5]Khai báo'!$B$4,"","X")</f>
        <v>X</v>
      </c>
      <c r="AB45" s="36" t="str">
        <f>IF(WEEKDAY(DATE($D$7,$D$8,AB$9),2)&gt;'[5]Khai báo'!$B$4,"","X")</f>
        <v>X</v>
      </c>
      <c r="AC45" s="36" t="str">
        <f>IF(WEEKDAY(DATE($D$7,$D$8,AC$9),2)&gt;'[5]Khai báo'!$B$4,"","X")</f>
        <v>X</v>
      </c>
      <c r="AD45" s="36" t="str">
        <f>IF(WEEKDAY(DATE($D$7,$D$8,AD$9),2)&gt;'[5]Khai báo'!$B$4,"","X")</f>
        <v>X</v>
      </c>
      <c r="AE45" s="36" t="str">
        <f>IF(WEEKDAY(DATE($D$7,$D$8,AE$9),2)&gt;'[5]Khai báo'!$B$4,"","X")</f>
        <v/>
      </c>
      <c r="AF45" s="36" t="str">
        <f>IF(WEEKDAY(DATE($D$7,$D$8,AF$9),2)&gt;'[5]Khai báo'!$B$4,"","X")</f>
        <v>X</v>
      </c>
      <c r="AG45" s="36" t="str">
        <f>IF(WEEKDAY(DATE($D$7,$D$8,AG$9),2)&gt;'[5]Khai báo'!$B$4,"","X")</f>
        <v>X</v>
      </c>
      <c r="AH45" s="36" t="str">
        <f>IF(WEEKDAY(DATE($D$7,$D$8,AH$9),2)&gt;'[5]Khai báo'!$B$4,"","X")</f>
        <v>X</v>
      </c>
      <c r="AI45" s="36"/>
      <c r="AJ45" s="45">
        <f t="shared" si="13"/>
        <v>26</v>
      </c>
      <c r="AK45" s="45">
        <f>COUNTIF(E45:AI45,"TT")</f>
        <v>0</v>
      </c>
      <c r="AL45" s="45"/>
      <c r="AW45" s="141" t="e">
        <f>+AK45-#REF!</f>
        <v>#REF!</v>
      </c>
    </row>
    <row r="46" spans="2:62" s="27" customFormat="1" ht="21.75" customHeight="1">
      <c r="B46" s="147" t="s">
        <v>3134</v>
      </c>
      <c r="C46" s="40" t="s">
        <v>3135</v>
      </c>
      <c r="D46" s="40"/>
      <c r="E46" s="147">
        <f t="shared" ref="E46:AH46" si="16">COUNTIF(E47:E50,"X")+COUNTIF(E47:E50,"P")</f>
        <v>4</v>
      </c>
      <c r="F46" s="147">
        <f t="shared" si="16"/>
        <v>4</v>
      </c>
      <c r="G46" s="147">
        <f t="shared" si="16"/>
        <v>4</v>
      </c>
      <c r="H46" s="147">
        <f t="shared" si="16"/>
        <v>4</v>
      </c>
      <c r="I46" s="147">
        <f t="shared" si="16"/>
        <v>4</v>
      </c>
      <c r="J46" s="147">
        <f t="shared" si="16"/>
        <v>0</v>
      </c>
      <c r="K46" s="147">
        <f t="shared" si="16"/>
        <v>4</v>
      </c>
      <c r="L46" s="147">
        <f t="shared" si="16"/>
        <v>4</v>
      </c>
      <c r="M46" s="147">
        <f t="shared" si="16"/>
        <v>4</v>
      </c>
      <c r="N46" s="147">
        <f t="shared" si="16"/>
        <v>4</v>
      </c>
      <c r="O46" s="147">
        <f t="shared" si="16"/>
        <v>4</v>
      </c>
      <c r="P46" s="147">
        <f t="shared" si="16"/>
        <v>4</v>
      </c>
      <c r="Q46" s="147">
        <f t="shared" si="16"/>
        <v>0</v>
      </c>
      <c r="R46" s="147">
        <f t="shared" si="16"/>
        <v>4</v>
      </c>
      <c r="S46" s="147">
        <f t="shared" si="16"/>
        <v>4</v>
      </c>
      <c r="T46" s="147">
        <f t="shared" si="16"/>
        <v>4</v>
      </c>
      <c r="U46" s="147">
        <f t="shared" si="16"/>
        <v>3</v>
      </c>
      <c r="V46" s="147">
        <f t="shared" si="16"/>
        <v>3</v>
      </c>
      <c r="W46" s="147">
        <f t="shared" si="16"/>
        <v>3</v>
      </c>
      <c r="X46" s="147">
        <f t="shared" si="16"/>
        <v>0</v>
      </c>
      <c r="Y46" s="147">
        <f t="shared" si="16"/>
        <v>3</v>
      </c>
      <c r="Z46" s="147">
        <f t="shared" si="16"/>
        <v>3</v>
      </c>
      <c r="AA46" s="147">
        <f t="shared" si="16"/>
        <v>3</v>
      </c>
      <c r="AB46" s="147">
        <f t="shared" si="16"/>
        <v>3</v>
      </c>
      <c r="AC46" s="147">
        <f t="shared" si="16"/>
        <v>3</v>
      </c>
      <c r="AD46" s="147">
        <f t="shared" si="16"/>
        <v>3</v>
      </c>
      <c r="AE46" s="147">
        <f t="shared" si="16"/>
        <v>0</v>
      </c>
      <c r="AF46" s="147">
        <f t="shared" si="16"/>
        <v>3</v>
      </c>
      <c r="AG46" s="147">
        <f t="shared" si="16"/>
        <v>3</v>
      </c>
      <c r="AH46" s="147">
        <f t="shared" si="16"/>
        <v>3</v>
      </c>
      <c r="AI46" s="147"/>
      <c r="AJ46" s="152">
        <f>SUM(AJ47:AJ50)</f>
        <v>92</v>
      </c>
      <c r="AK46" s="152">
        <f>SUM(AK47:AK50)</f>
        <v>0</v>
      </c>
      <c r="AL46" s="152"/>
      <c r="AW46" s="141" t="e">
        <f>+AK46-#REF!</f>
        <v>#REF!</v>
      </c>
      <c r="BJ46" s="27">
        <f>54+30+50</f>
        <v>134</v>
      </c>
    </row>
    <row r="47" spans="2:62" ht="21.75" customHeight="1">
      <c r="B47" s="36">
        <v>1</v>
      </c>
      <c r="C47" s="148" t="s">
        <v>1907</v>
      </c>
      <c r="D47" s="148" t="s">
        <v>3136</v>
      </c>
      <c r="E47" s="36" t="str">
        <f>IF(WEEKDAY(DATE($D$7,$D$8,E$9),2)&gt;'[5]Khai báo'!$B$4,"","X")</f>
        <v>X</v>
      </c>
      <c r="F47" s="36" t="str">
        <f>IF(WEEKDAY(DATE($D$7,$D$8,F$9),2)&gt;'[5]Khai báo'!$B$4,"","X")</f>
        <v>X</v>
      </c>
      <c r="G47" s="36" t="str">
        <f>IF(WEEKDAY(DATE($D$7,$D$8,G$9),2)&gt;'[5]Khai báo'!$B$4,"","X")</f>
        <v>X</v>
      </c>
      <c r="H47" s="36" t="str">
        <f>IF(WEEKDAY(DATE($D$7,$D$8,H$9),2)&gt;'[5]Khai báo'!$B$4,"","X")</f>
        <v>X</v>
      </c>
      <c r="I47" s="36" t="str">
        <f>IF(WEEKDAY(DATE($D$7,$D$8,I$9),2)&gt;'[5]Khai báo'!$B$4,"","X")</f>
        <v>X</v>
      </c>
      <c r="J47" s="36" t="str">
        <f>IF(WEEKDAY(DATE($D$7,$D$8,J$9),2)&gt;'[5]Khai báo'!$B$4,"","X")</f>
        <v/>
      </c>
      <c r="K47" s="36" t="str">
        <f>IF(WEEKDAY(DATE($D$7,$D$8,K$9),2)&gt;'[5]Khai báo'!$B$4,"","X")</f>
        <v>X</v>
      </c>
      <c r="L47" s="36" t="str">
        <f>IF(WEEKDAY(DATE($D$7,$D$8,L$9),2)&gt;'[5]Khai báo'!$B$4,"","X")</f>
        <v>X</v>
      </c>
      <c r="M47" s="36" t="str">
        <f>IF(WEEKDAY(DATE($D$7,$D$8,M$9),2)&gt;'[5]Khai báo'!$B$4,"","X")</f>
        <v>X</v>
      </c>
      <c r="N47" s="36" t="str">
        <f>IF(WEEKDAY(DATE($D$7,$D$8,N$9),2)&gt;'[5]Khai báo'!$B$4,"","X")</f>
        <v>X</v>
      </c>
      <c r="O47" s="36" t="str">
        <f>IF(WEEKDAY(DATE($D$7,$D$8,O$9),2)&gt;'[5]Khai báo'!$B$4,"","X")</f>
        <v>X</v>
      </c>
      <c r="P47" s="36" t="str">
        <f>IF(WEEKDAY(DATE($D$7,$D$8,P$9),2)&gt;'[5]Khai báo'!$B$4,"","X")</f>
        <v>X</v>
      </c>
      <c r="Q47" s="36" t="str">
        <f>IF(WEEKDAY(DATE($D$7,$D$8,Q$9),2)&gt;'[5]Khai báo'!$B$4,"","X")</f>
        <v/>
      </c>
      <c r="R47" s="36" t="str">
        <f>IF(WEEKDAY(DATE($D$7,$D$8,R$9),2)&gt;'[5]Khai báo'!$B$4,"","X")</f>
        <v>X</v>
      </c>
      <c r="S47" s="36" t="str">
        <f>IF(WEEKDAY(DATE($D$7,$D$8,S$9),2)&gt;'[5]Khai báo'!$B$4,"","X")</f>
        <v>X</v>
      </c>
      <c r="T47" s="36" t="str">
        <f>IF(WEEKDAY(DATE($D$7,$D$8,T$9),2)&gt;'[5]Khai báo'!$B$4,"","X")</f>
        <v>X</v>
      </c>
      <c r="U47" s="36"/>
      <c r="V47" s="36"/>
      <c r="W47" s="36"/>
      <c r="X47" s="36"/>
      <c r="Y47" s="36"/>
      <c r="Z47" s="36"/>
      <c r="AA47" s="36"/>
      <c r="AB47" s="36"/>
      <c r="AC47" s="36"/>
      <c r="AD47" s="36"/>
      <c r="AE47" s="36"/>
      <c r="AF47" s="36"/>
      <c r="AG47" s="36"/>
      <c r="AH47" s="36"/>
      <c r="AI47" s="36"/>
      <c r="AJ47" s="45">
        <f t="shared" ref="AJ47:AJ50" si="17">COUNTIF(E47:AI47,"X")+COUNTIF(E47:AI47,"P")+COUNTIF(E47:AI47,"PT")</f>
        <v>14</v>
      </c>
      <c r="AK47" s="45">
        <f t="shared" ref="AK47:AK50" si="18">COUNTIF(E47:AI47,"TT")</f>
        <v>0</v>
      </c>
      <c r="AL47" s="45"/>
      <c r="AW47" s="141" t="e">
        <f>+AK47-#REF!</f>
        <v>#REF!</v>
      </c>
    </row>
    <row r="48" spans="2:62" ht="21.75" customHeight="1">
      <c r="B48" s="36">
        <v>2</v>
      </c>
      <c r="C48" s="37" t="s">
        <v>1905</v>
      </c>
      <c r="D48" s="148" t="s">
        <v>3137</v>
      </c>
      <c r="E48" s="36" t="str">
        <f>IF(WEEKDAY(DATE($D$7,$D$8,E$9),2)&gt;'[5]Khai báo'!$B$4,"","X")</f>
        <v>X</v>
      </c>
      <c r="F48" s="36" t="str">
        <f>IF(WEEKDAY(DATE($D$7,$D$8,F$9),2)&gt;'[5]Khai báo'!$B$4,"","X")</f>
        <v>X</v>
      </c>
      <c r="G48" s="36" t="str">
        <f>IF(WEEKDAY(DATE($D$7,$D$8,G$9),2)&gt;'[5]Khai báo'!$B$4,"","X")</f>
        <v>X</v>
      </c>
      <c r="H48" s="36" t="str">
        <f>IF(WEEKDAY(DATE($D$7,$D$8,H$9),2)&gt;'[5]Khai báo'!$B$4,"","X")</f>
        <v>X</v>
      </c>
      <c r="I48" s="36" t="str">
        <f>IF(WEEKDAY(DATE($D$7,$D$8,I$9),2)&gt;'[5]Khai báo'!$B$4,"","X")</f>
        <v>X</v>
      </c>
      <c r="J48" s="36" t="str">
        <f>IF(WEEKDAY(DATE($D$7,$D$8,J$9),2)&gt;'[5]Khai báo'!$B$4,"","X")</f>
        <v/>
      </c>
      <c r="K48" s="36" t="str">
        <f>IF(WEEKDAY(DATE($D$7,$D$8,K$9),2)&gt;'[5]Khai báo'!$B$4,"","X")</f>
        <v>X</v>
      </c>
      <c r="L48" s="36" t="str">
        <f>IF(WEEKDAY(DATE($D$7,$D$8,L$9),2)&gt;'[5]Khai báo'!$B$4,"","X")</f>
        <v>X</v>
      </c>
      <c r="M48" s="36" t="str">
        <f>IF(WEEKDAY(DATE($D$7,$D$8,M$9),2)&gt;'[5]Khai báo'!$B$4,"","X")</f>
        <v>X</v>
      </c>
      <c r="N48" s="36" t="str">
        <f>IF(WEEKDAY(DATE($D$7,$D$8,N$9),2)&gt;'[5]Khai báo'!$B$4,"","X")</f>
        <v>X</v>
      </c>
      <c r="O48" s="36" t="str">
        <f>IF(WEEKDAY(DATE($D$7,$D$8,O$9),2)&gt;'[5]Khai báo'!$B$4,"","X")</f>
        <v>X</v>
      </c>
      <c r="P48" s="36" t="str">
        <f>IF(WEEKDAY(DATE($D$7,$D$8,P$9),2)&gt;'[5]Khai báo'!$B$4,"","X")</f>
        <v>X</v>
      </c>
      <c r="Q48" s="36" t="str">
        <f>IF(WEEKDAY(DATE($D$7,$D$8,Q$9),2)&gt;'[5]Khai báo'!$B$4,"","X")</f>
        <v/>
      </c>
      <c r="R48" s="36" t="str">
        <f>IF(WEEKDAY(DATE($D$7,$D$8,R$9),2)&gt;'[5]Khai báo'!$B$4,"","X")</f>
        <v>X</v>
      </c>
      <c r="S48" s="36" t="str">
        <f>IF(WEEKDAY(DATE($D$7,$D$8,S$9),2)&gt;'[5]Khai báo'!$B$4,"","X")</f>
        <v>X</v>
      </c>
      <c r="T48" s="36" t="str">
        <f>IF(WEEKDAY(DATE($D$7,$D$8,T$9),2)&gt;'[5]Khai báo'!$B$4,"","X")</f>
        <v>X</v>
      </c>
      <c r="U48" s="36" t="str">
        <f>IF(WEEKDAY(DATE($D$7,$D$8,U$9),2)&gt;'[5]Khai báo'!$B$4,"","X")</f>
        <v>X</v>
      </c>
      <c r="V48" s="36" t="str">
        <f>IF(WEEKDAY(DATE($D$7,$D$8,V$9),2)&gt;'[5]Khai báo'!$B$4,"","X")</f>
        <v>X</v>
      </c>
      <c r="W48" s="36" t="str">
        <f>IF(WEEKDAY(DATE($D$7,$D$8,W$9),2)&gt;'[5]Khai báo'!$B$4,"","X")</f>
        <v>X</v>
      </c>
      <c r="X48" s="36" t="str">
        <f>IF(WEEKDAY(DATE($D$7,$D$8,X$9),2)&gt;'[5]Khai báo'!$B$4,"","X")</f>
        <v/>
      </c>
      <c r="Y48" s="36" t="str">
        <f>IF(WEEKDAY(DATE($D$7,$D$8,Y$9),2)&gt;'[5]Khai báo'!$B$4,"","X")</f>
        <v>X</v>
      </c>
      <c r="Z48" s="36" t="str">
        <f>IF(WEEKDAY(DATE($D$7,$D$8,Z$9),2)&gt;'[5]Khai báo'!$B$4,"","X")</f>
        <v>X</v>
      </c>
      <c r="AA48" s="36" t="str">
        <f>IF(WEEKDAY(DATE($D$7,$D$8,AA$9),2)&gt;'[5]Khai báo'!$B$4,"","X")</f>
        <v>X</v>
      </c>
      <c r="AB48" s="36" t="str">
        <f>IF(WEEKDAY(DATE($D$7,$D$8,AB$9),2)&gt;'[5]Khai báo'!$B$4,"","X")</f>
        <v>X</v>
      </c>
      <c r="AC48" s="36" t="str">
        <f>IF(WEEKDAY(DATE($D$7,$D$8,AC$9),2)&gt;'[5]Khai báo'!$B$4,"","X")</f>
        <v>X</v>
      </c>
      <c r="AD48" s="36" t="str">
        <f>IF(WEEKDAY(DATE($D$7,$D$8,AD$9),2)&gt;'[5]Khai báo'!$B$4,"","X")</f>
        <v>X</v>
      </c>
      <c r="AE48" s="36" t="str">
        <f>IF(WEEKDAY(DATE($D$7,$D$8,AE$9),2)&gt;'[5]Khai báo'!$B$4,"","X")</f>
        <v/>
      </c>
      <c r="AF48" s="36" t="str">
        <f>IF(WEEKDAY(DATE($D$7,$D$8,AF$9),2)&gt;'[5]Khai báo'!$B$4,"","X")</f>
        <v>X</v>
      </c>
      <c r="AG48" s="36" t="str">
        <f>IF(WEEKDAY(DATE($D$7,$D$8,AG$9),2)&gt;'[5]Khai báo'!$B$4,"","X")</f>
        <v>X</v>
      </c>
      <c r="AH48" s="36" t="str">
        <f>IF(WEEKDAY(DATE($D$7,$D$8,AH$9),2)&gt;'[5]Khai báo'!$B$4,"","X")</f>
        <v>X</v>
      </c>
      <c r="AI48" s="36"/>
      <c r="AJ48" s="45">
        <f t="shared" si="17"/>
        <v>26</v>
      </c>
      <c r="AK48" s="45">
        <f t="shared" si="18"/>
        <v>0</v>
      </c>
      <c r="AL48" s="45"/>
      <c r="AW48" s="141" t="e">
        <f>+AK48-#REF!</f>
        <v>#REF!</v>
      </c>
    </row>
    <row r="49" spans="1:50" ht="21.75" customHeight="1">
      <c r="B49" s="36">
        <v>3</v>
      </c>
      <c r="C49" s="37" t="s">
        <v>51</v>
      </c>
      <c r="D49" s="148" t="s">
        <v>3136</v>
      </c>
      <c r="E49" s="36" t="str">
        <f>IF(WEEKDAY(DATE($D$7,$D$8,E$9),2)&gt;'[5]Khai báo'!$B$4,"","X")</f>
        <v>X</v>
      </c>
      <c r="F49" s="36" t="str">
        <f>IF(WEEKDAY(DATE($D$7,$D$8,F$9),2)&gt;'[5]Khai báo'!$B$4,"","X")</f>
        <v>X</v>
      </c>
      <c r="G49" s="36" t="str">
        <f>IF(WEEKDAY(DATE($D$7,$D$8,G$9),2)&gt;'[5]Khai báo'!$B$4,"","X")</f>
        <v>X</v>
      </c>
      <c r="H49" s="36" t="str">
        <f>IF(WEEKDAY(DATE($D$7,$D$8,H$9),2)&gt;'[5]Khai báo'!$B$4,"","X")</f>
        <v>X</v>
      </c>
      <c r="I49" s="36" t="str">
        <f>IF(WEEKDAY(DATE($D$7,$D$8,I$9),2)&gt;'[5]Khai báo'!$B$4,"","X")</f>
        <v>X</v>
      </c>
      <c r="J49" s="36" t="str">
        <f>IF(WEEKDAY(DATE($D$7,$D$8,J$9),2)&gt;'[5]Khai báo'!$B$4,"","X")</f>
        <v/>
      </c>
      <c r="K49" s="36" t="str">
        <f>IF(WEEKDAY(DATE($D$7,$D$8,K$9),2)&gt;'[5]Khai báo'!$B$4,"","X")</f>
        <v>X</v>
      </c>
      <c r="L49" s="36" t="str">
        <f>IF(WEEKDAY(DATE($D$7,$D$8,L$9),2)&gt;'[5]Khai báo'!$B$4,"","X")</f>
        <v>X</v>
      </c>
      <c r="M49" s="36" t="str">
        <f>IF(WEEKDAY(DATE($D$7,$D$8,M$9),2)&gt;'[5]Khai báo'!$B$4,"","X")</f>
        <v>X</v>
      </c>
      <c r="N49" s="36" t="str">
        <f>IF(WEEKDAY(DATE($D$7,$D$8,N$9),2)&gt;'[5]Khai báo'!$B$4,"","X")</f>
        <v>X</v>
      </c>
      <c r="O49" s="36" t="str">
        <f>IF(WEEKDAY(DATE($D$7,$D$8,O$9),2)&gt;'[5]Khai báo'!$B$4,"","X")</f>
        <v>X</v>
      </c>
      <c r="P49" s="36" t="str">
        <f>IF(WEEKDAY(DATE($D$7,$D$8,P$9),2)&gt;'[5]Khai báo'!$B$4,"","X")</f>
        <v>X</v>
      </c>
      <c r="Q49" s="36" t="str">
        <f>IF(WEEKDAY(DATE($D$7,$D$8,Q$9),2)&gt;'[5]Khai báo'!$B$4,"","X")</f>
        <v/>
      </c>
      <c r="R49" s="36" t="str">
        <f>IF(WEEKDAY(DATE($D$7,$D$8,R$9),2)&gt;'[5]Khai báo'!$B$4,"","X")</f>
        <v>X</v>
      </c>
      <c r="S49" s="36" t="str">
        <f>IF(WEEKDAY(DATE($D$7,$D$8,S$9),2)&gt;'[5]Khai báo'!$B$4,"","X")</f>
        <v>X</v>
      </c>
      <c r="T49" s="36" t="str">
        <f>IF(WEEKDAY(DATE($D$7,$D$8,T$9),2)&gt;'[5]Khai báo'!$B$4,"","X")</f>
        <v>X</v>
      </c>
      <c r="U49" s="36" t="str">
        <f>IF(WEEKDAY(DATE($D$7,$D$8,U$9),2)&gt;'[5]Khai báo'!$B$4,"","X")</f>
        <v>X</v>
      </c>
      <c r="V49" s="36" t="str">
        <f>IF(WEEKDAY(DATE($D$7,$D$8,V$9),2)&gt;'[5]Khai báo'!$B$4,"","X")</f>
        <v>X</v>
      </c>
      <c r="W49" s="36" t="str">
        <f>IF(WEEKDAY(DATE($D$7,$D$8,W$9),2)&gt;'[5]Khai báo'!$B$4,"","X")</f>
        <v>X</v>
      </c>
      <c r="X49" s="36" t="str">
        <f>IF(WEEKDAY(DATE($D$7,$D$8,X$9),2)&gt;'[5]Khai báo'!$B$4,"","X")</f>
        <v/>
      </c>
      <c r="Y49" s="36" t="str">
        <f>IF(WEEKDAY(DATE($D$7,$D$8,Y$9),2)&gt;'[5]Khai báo'!$B$4,"","X")</f>
        <v>X</v>
      </c>
      <c r="Z49" s="36" t="str">
        <f>IF(WEEKDAY(DATE($D$7,$D$8,Z$9),2)&gt;'[5]Khai báo'!$B$4,"","X")</f>
        <v>X</v>
      </c>
      <c r="AA49" s="36" t="str">
        <f>IF(WEEKDAY(DATE($D$7,$D$8,AA$9),2)&gt;'[5]Khai báo'!$B$4,"","X")</f>
        <v>X</v>
      </c>
      <c r="AB49" s="36" t="str">
        <f>IF(WEEKDAY(DATE($D$7,$D$8,AB$9),2)&gt;'[5]Khai báo'!$B$4,"","X")</f>
        <v>X</v>
      </c>
      <c r="AC49" s="36" t="str">
        <f>IF(WEEKDAY(DATE($D$7,$D$8,AC$9),2)&gt;'[5]Khai báo'!$B$4,"","X")</f>
        <v>X</v>
      </c>
      <c r="AD49" s="36" t="str">
        <f>IF(WEEKDAY(DATE($D$7,$D$8,AD$9),2)&gt;'[5]Khai báo'!$B$4,"","X")</f>
        <v>X</v>
      </c>
      <c r="AE49" s="36" t="str">
        <f>IF(WEEKDAY(DATE($D$7,$D$8,AE$9),2)&gt;'[5]Khai báo'!$B$4,"","X")</f>
        <v/>
      </c>
      <c r="AF49" s="36" t="str">
        <f>IF(WEEKDAY(DATE($D$7,$D$8,AF$9),2)&gt;'[5]Khai báo'!$B$4,"","X")</f>
        <v>X</v>
      </c>
      <c r="AG49" s="36" t="str">
        <f>IF(WEEKDAY(DATE($D$7,$D$8,AG$9),2)&gt;'[5]Khai báo'!$B$4,"","X")</f>
        <v>X</v>
      </c>
      <c r="AH49" s="36" t="str">
        <f>IF(WEEKDAY(DATE($D$7,$D$8,AH$9),2)&gt;'[5]Khai báo'!$B$4,"","X")</f>
        <v>X</v>
      </c>
      <c r="AI49" s="36"/>
      <c r="AJ49" s="45">
        <f t="shared" si="17"/>
        <v>26</v>
      </c>
      <c r="AK49" s="45">
        <f t="shared" si="18"/>
        <v>0</v>
      </c>
      <c r="AL49" s="45"/>
      <c r="AW49" s="141" t="e">
        <f>+AK49-#REF!</f>
        <v>#REF!</v>
      </c>
      <c r="AX49" s="28" t="e">
        <f>+#REF!/60</f>
        <v>#REF!</v>
      </c>
    </row>
    <row r="50" spans="1:50" ht="21.75" customHeight="1">
      <c r="B50" s="36">
        <v>4</v>
      </c>
      <c r="C50" s="37" t="s">
        <v>1911</v>
      </c>
      <c r="D50" s="148" t="s">
        <v>3136</v>
      </c>
      <c r="E50" s="36" t="str">
        <f>IF(WEEKDAY(DATE($D$7,$D$8,E$9),2)&gt;'[5]Khai báo'!$B$4,"","X")</f>
        <v>X</v>
      </c>
      <c r="F50" s="36" t="str">
        <f>IF(WEEKDAY(DATE($D$7,$D$8,F$9),2)&gt;'[5]Khai báo'!$B$4,"","X")</f>
        <v>X</v>
      </c>
      <c r="G50" s="36" t="str">
        <f>IF(WEEKDAY(DATE($D$7,$D$8,G$9),2)&gt;'[5]Khai báo'!$B$4,"","X")</f>
        <v>X</v>
      </c>
      <c r="H50" s="36" t="str">
        <f>IF(WEEKDAY(DATE($D$7,$D$8,H$9),2)&gt;'[5]Khai báo'!$B$4,"","X")</f>
        <v>X</v>
      </c>
      <c r="I50" s="36" t="str">
        <f>IF(WEEKDAY(DATE($D$7,$D$8,I$9),2)&gt;'[5]Khai báo'!$B$4,"","X")</f>
        <v>X</v>
      </c>
      <c r="J50" s="36" t="str">
        <f>IF(WEEKDAY(DATE($D$7,$D$8,J$9),2)&gt;'[5]Khai báo'!$B$4,"","X")</f>
        <v/>
      </c>
      <c r="K50" s="36" t="str">
        <f>IF(WEEKDAY(DATE($D$7,$D$8,K$9),2)&gt;'[5]Khai báo'!$B$4,"","X")</f>
        <v>X</v>
      </c>
      <c r="L50" s="36" t="str">
        <f>IF(WEEKDAY(DATE($D$7,$D$8,L$9),2)&gt;'[5]Khai báo'!$B$4,"","X")</f>
        <v>X</v>
      </c>
      <c r="M50" s="36" t="str">
        <f>IF(WEEKDAY(DATE($D$7,$D$8,M$9),2)&gt;'[5]Khai báo'!$B$4,"","X")</f>
        <v>X</v>
      </c>
      <c r="N50" s="36" t="str">
        <f>IF(WEEKDAY(DATE($D$7,$D$8,N$9),2)&gt;'[5]Khai báo'!$B$4,"","X")</f>
        <v>X</v>
      </c>
      <c r="O50" s="36" t="str">
        <f>IF(WEEKDAY(DATE($D$7,$D$8,O$9),2)&gt;'[5]Khai báo'!$B$4,"","X")</f>
        <v>X</v>
      </c>
      <c r="P50" s="36" t="str">
        <f>IF(WEEKDAY(DATE($D$7,$D$8,P$9),2)&gt;'[5]Khai báo'!$B$4,"","X")</f>
        <v>X</v>
      </c>
      <c r="Q50" s="36" t="str">
        <f>IF(WEEKDAY(DATE($D$7,$D$8,Q$9),2)&gt;'[5]Khai báo'!$B$4,"","X")</f>
        <v/>
      </c>
      <c r="R50" s="36" t="str">
        <f>IF(WEEKDAY(DATE($D$7,$D$8,R$9),2)&gt;'[5]Khai báo'!$B$4,"","X")</f>
        <v>X</v>
      </c>
      <c r="S50" s="36" t="str">
        <f>IF(WEEKDAY(DATE($D$7,$D$8,S$9),2)&gt;'[5]Khai báo'!$B$4,"","X")</f>
        <v>X</v>
      </c>
      <c r="T50" s="36" t="str">
        <f>IF(WEEKDAY(DATE($D$7,$D$8,T$9),2)&gt;'[5]Khai báo'!$B$4,"","X")</f>
        <v>X</v>
      </c>
      <c r="U50" s="36" t="str">
        <f>IF(WEEKDAY(DATE($D$7,$D$8,U$9),2)&gt;'[5]Khai báo'!$B$4,"","X")</f>
        <v>X</v>
      </c>
      <c r="V50" s="36" t="str">
        <f>IF(WEEKDAY(DATE($D$7,$D$8,V$9),2)&gt;'[5]Khai báo'!$B$4,"","X")</f>
        <v>X</v>
      </c>
      <c r="W50" s="36" t="str">
        <f>IF(WEEKDAY(DATE($D$7,$D$8,W$9),2)&gt;'[5]Khai báo'!$B$4,"","X")</f>
        <v>X</v>
      </c>
      <c r="X50" s="36" t="str">
        <f>IF(WEEKDAY(DATE($D$7,$D$8,X$9),2)&gt;'[5]Khai báo'!$B$4,"","X")</f>
        <v/>
      </c>
      <c r="Y50" s="36" t="str">
        <f>IF(WEEKDAY(DATE($D$7,$D$8,Y$9),2)&gt;'[5]Khai báo'!$B$4,"","X")</f>
        <v>X</v>
      </c>
      <c r="Z50" s="36" t="str">
        <f>IF(WEEKDAY(DATE($D$7,$D$8,Z$9),2)&gt;'[5]Khai báo'!$B$4,"","X")</f>
        <v>X</v>
      </c>
      <c r="AA50" s="36" t="str">
        <f>IF(WEEKDAY(DATE($D$7,$D$8,AA$9),2)&gt;'[5]Khai báo'!$B$4,"","X")</f>
        <v>X</v>
      </c>
      <c r="AB50" s="36" t="str">
        <f>IF(WEEKDAY(DATE($D$7,$D$8,AB$9),2)&gt;'[5]Khai báo'!$B$4,"","X")</f>
        <v>X</v>
      </c>
      <c r="AC50" s="36" t="str">
        <f>IF(WEEKDAY(DATE($D$7,$D$8,AC$9),2)&gt;'[5]Khai báo'!$B$4,"","X")</f>
        <v>X</v>
      </c>
      <c r="AD50" s="36" t="str">
        <f>IF(WEEKDAY(DATE($D$7,$D$8,AD$9),2)&gt;'[5]Khai báo'!$B$4,"","X")</f>
        <v>X</v>
      </c>
      <c r="AE50" s="36" t="str">
        <f>IF(WEEKDAY(DATE($D$7,$D$8,AE$9),2)&gt;'[5]Khai báo'!$B$4,"","X")</f>
        <v/>
      </c>
      <c r="AF50" s="36" t="str">
        <f>IF(WEEKDAY(DATE($D$7,$D$8,AF$9),2)&gt;'[5]Khai báo'!$B$4,"","X")</f>
        <v>X</v>
      </c>
      <c r="AG50" s="36" t="str">
        <f>IF(WEEKDAY(DATE($D$7,$D$8,AG$9),2)&gt;'[5]Khai báo'!$B$4,"","X")</f>
        <v>X</v>
      </c>
      <c r="AH50" s="36" t="str">
        <f>IF(WEEKDAY(DATE($D$7,$D$8,AH$9),2)&gt;'[5]Khai báo'!$B$4,"","X")</f>
        <v>X</v>
      </c>
      <c r="AI50" s="36"/>
      <c r="AJ50" s="45">
        <f t="shared" si="17"/>
        <v>26</v>
      </c>
      <c r="AK50" s="45">
        <f t="shared" si="18"/>
        <v>0</v>
      </c>
      <c r="AL50" s="45"/>
      <c r="AW50" s="141" t="e">
        <f>+AK50-#REF!</f>
        <v>#REF!</v>
      </c>
    </row>
    <row r="51" spans="1:50" s="27" customFormat="1" ht="21.75" customHeight="1">
      <c r="B51" s="2921" t="s">
        <v>2829</v>
      </c>
      <c r="C51" s="2922"/>
      <c r="D51" s="39"/>
      <c r="E51" s="40">
        <f t="shared" ref="E51:AJ51" si="19">SUM(E44,E39,E31,E11,E46)</f>
        <v>35</v>
      </c>
      <c r="F51" s="40">
        <f t="shared" si="19"/>
        <v>35</v>
      </c>
      <c r="G51" s="40">
        <f t="shared" si="19"/>
        <v>35</v>
      </c>
      <c r="H51" s="40">
        <f t="shared" si="19"/>
        <v>35</v>
      </c>
      <c r="I51" s="40">
        <f t="shared" si="19"/>
        <v>35</v>
      </c>
      <c r="J51" s="40">
        <f t="shared" si="19"/>
        <v>0</v>
      </c>
      <c r="K51" s="40">
        <f t="shared" si="19"/>
        <v>35</v>
      </c>
      <c r="L51" s="40">
        <f t="shared" si="19"/>
        <v>35</v>
      </c>
      <c r="M51" s="40">
        <f t="shared" si="19"/>
        <v>34</v>
      </c>
      <c r="N51" s="40">
        <f t="shared" si="19"/>
        <v>34</v>
      </c>
      <c r="O51" s="40">
        <f t="shared" si="19"/>
        <v>34</v>
      </c>
      <c r="P51" s="40">
        <f t="shared" si="19"/>
        <v>34</v>
      </c>
      <c r="Q51" s="40">
        <f t="shared" si="19"/>
        <v>0</v>
      </c>
      <c r="R51" s="40">
        <f t="shared" si="19"/>
        <v>34</v>
      </c>
      <c r="S51" s="40">
        <f t="shared" si="19"/>
        <v>34</v>
      </c>
      <c r="T51" s="40">
        <f t="shared" si="19"/>
        <v>34</v>
      </c>
      <c r="U51" s="40">
        <f t="shared" si="19"/>
        <v>33</v>
      </c>
      <c r="V51" s="40">
        <f t="shared" si="19"/>
        <v>33</v>
      </c>
      <c r="W51" s="40">
        <f t="shared" si="19"/>
        <v>34</v>
      </c>
      <c r="X51" s="40">
        <f t="shared" si="19"/>
        <v>0</v>
      </c>
      <c r="Y51" s="40">
        <f t="shared" si="19"/>
        <v>34</v>
      </c>
      <c r="Z51" s="40">
        <f t="shared" si="19"/>
        <v>34</v>
      </c>
      <c r="AA51" s="40">
        <f t="shared" si="19"/>
        <v>34</v>
      </c>
      <c r="AB51" s="40">
        <f t="shared" si="19"/>
        <v>34</v>
      </c>
      <c r="AC51" s="40">
        <f t="shared" si="19"/>
        <v>34</v>
      </c>
      <c r="AD51" s="40">
        <f t="shared" si="19"/>
        <v>34</v>
      </c>
      <c r="AE51" s="40">
        <f t="shared" si="19"/>
        <v>0</v>
      </c>
      <c r="AF51" s="40">
        <f t="shared" si="19"/>
        <v>34</v>
      </c>
      <c r="AG51" s="40">
        <f t="shared" si="19"/>
        <v>34</v>
      </c>
      <c r="AH51" s="40">
        <f t="shared" si="19"/>
        <v>34</v>
      </c>
      <c r="AI51" s="40">
        <f t="shared" si="19"/>
        <v>0</v>
      </c>
      <c r="AJ51" s="154">
        <f t="shared" si="19"/>
        <v>889</v>
      </c>
      <c r="AK51" s="40">
        <f>SUM(AK44,AK39,AK31,AK11)</f>
        <v>0</v>
      </c>
      <c r="AL51" s="40"/>
      <c r="AW51" s="27">
        <f>18*7</f>
        <v>126</v>
      </c>
    </row>
    <row r="52" spans="1:50" ht="14.45" customHeight="1">
      <c r="A52" s="2273" t="s">
        <v>2554</v>
      </c>
      <c r="B52" s="2273"/>
      <c r="C52" s="28" t="s">
        <v>2830</v>
      </c>
      <c r="AJ52" s="155"/>
      <c r="AK52" s="155"/>
      <c r="AL52" s="155"/>
    </row>
    <row r="53" spans="1:50" ht="15.75">
      <c r="C53" s="41" t="s">
        <v>3138</v>
      </c>
      <c r="Z53" s="41"/>
      <c r="AA53" s="2913"/>
      <c r="AB53" s="2913"/>
      <c r="AC53" s="2913"/>
      <c r="AD53" s="2913"/>
      <c r="AE53" s="2913"/>
      <c r="AF53" s="2913"/>
      <c r="AG53" s="2913"/>
      <c r="AH53" s="2913"/>
      <c r="AI53" s="2913"/>
      <c r="AJ53" s="2913"/>
      <c r="AK53" s="2913"/>
      <c r="AL53" s="2913"/>
    </row>
    <row r="54" spans="1:50" s="26" customFormat="1" ht="16.5" hidden="1" customHeight="1">
      <c r="C54" s="41" t="s">
        <v>3139</v>
      </c>
      <c r="D54" s="41"/>
      <c r="AA54" s="2913"/>
      <c r="AB54" s="2913"/>
      <c r="AC54" s="2913"/>
      <c r="AD54" s="2913"/>
      <c r="AE54" s="2913"/>
      <c r="AF54" s="2913"/>
      <c r="AG54" s="2913"/>
      <c r="AH54" s="2913"/>
      <c r="AI54" s="2913"/>
      <c r="AJ54" s="2913"/>
      <c r="AK54" s="2913"/>
      <c r="AL54" s="2913"/>
    </row>
    <row r="55" spans="1:50" s="26" customFormat="1" ht="16.5" customHeight="1">
      <c r="C55" s="41" t="s">
        <v>3140</v>
      </c>
      <c r="D55" s="41"/>
      <c r="AA55" s="2913"/>
      <c r="AB55" s="2913"/>
      <c r="AC55" s="2913"/>
      <c r="AD55" s="2913"/>
      <c r="AE55" s="2913"/>
      <c r="AF55" s="2913"/>
      <c r="AG55" s="2913"/>
      <c r="AH55" s="2913"/>
      <c r="AI55" s="2913"/>
      <c r="AJ55" s="2913"/>
      <c r="AK55" s="2913"/>
      <c r="AL55" s="2913"/>
      <c r="AW55" s="26">
        <f>18*8</f>
        <v>144</v>
      </c>
    </row>
    <row r="56" spans="1:50" s="26" customFormat="1" ht="16.5" customHeight="1">
      <c r="C56" s="41"/>
      <c r="D56" s="41"/>
      <c r="AA56" s="2913"/>
      <c r="AB56" s="2913"/>
      <c r="AC56" s="2913"/>
      <c r="AD56" s="2913"/>
      <c r="AE56" s="2913"/>
      <c r="AF56" s="2913"/>
      <c r="AG56" s="2913"/>
      <c r="AH56" s="2913"/>
      <c r="AI56" s="2913"/>
      <c r="AJ56" s="2913"/>
      <c r="AK56" s="2913"/>
      <c r="AL56" s="2913"/>
    </row>
    <row r="57" spans="1:50" s="26" customFormat="1" ht="16.5" customHeight="1">
      <c r="C57" s="41"/>
      <c r="D57" s="41"/>
      <c r="AA57" s="2913" t="s">
        <v>3141</v>
      </c>
      <c r="AB57" s="2913"/>
      <c r="AC57" s="2913"/>
      <c r="AD57" s="2913"/>
      <c r="AE57" s="2913"/>
      <c r="AF57" s="2913"/>
      <c r="AG57" s="2913"/>
      <c r="AH57" s="2913"/>
      <c r="AI57" s="2913"/>
      <c r="AJ57" s="2913"/>
      <c r="AK57" s="2913"/>
      <c r="AL57" s="2913"/>
    </row>
    <row r="58" spans="1:50" ht="15.75">
      <c r="B58" s="2282"/>
      <c r="C58" s="2273"/>
      <c r="D58" s="42"/>
      <c r="E58" s="26" t="s">
        <v>2831</v>
      </c>
      <c r="K58" s="26"/>
      <c r="L58" s="26"/>
      <c r="M58" s="26"/>
      <c r="N58" s="26"/>
      <c r="O58" s="26"/>
      <c r="P58" s="26"/>
      <c r="Q58" s="26"/>
      <c r="R58" s="26" t="s">
        <v>2952</v>
      </c>
      <c r="S58" s="26"/>
      <c r="T58" s="26"/>
      <c r="U58" s="26"/>
      <c r="V58" s="26"/>
      <c r="W58" s="26"/>
      <c r="X58" s="26"/>
      <c r="Y58" s="26"/>
      <c r="Z58" s="2287" t="s">
        <v>612</v>
      </c>
      <c r="AA58" s="2287"/>
      <c r="AB58" s="2287"/>
      <c r="AC58" s="2287"/>
      <c r="AD58" s="2287"/>
      <c r="AE58" s="2287"/>
      <c r="AF58" s="2287"/>
      <c r="AG58" s="2287"/>
      <c r="AH58" s="2287"/>
      <c r="AI58" s="2287"/>
      <c r="AJ58" s="2287"/>
      <c r="AK58" s="2287"/>
      <c r="AL58" s="2287"/>
    </row>
    <row r="63" spans="1:50">
      <c r="Z63" s="2272" t="s">
        <v>613</v>
      </c>
      <c r="AA63" s="2272"/>
      <c r="AB63" s="2272"/>
      <c r="AC63" s="2272"/>
      <c r="AD63" s="2272"/>
      <c r="AE63" s="2272"/>
      <c r="AF63" s="2272"/>
      <c r="AG63" s="2272"/>
      <c r="AH63" s="2272"/>
      <c r="AI63" s="2272"/>
      <c r="AJ63" s="2272"/>
      <c r="AK63" s="2272"/>
      <c r="AL63" s="2272"/>
    </row>
  </sheetData>
  <mergeCells count="25">
    <mergeCell ref="B1:AL1"/>
    <mergeCell ref="B2:AL2"/>
    <mergeCell ref="B3:AL3"/>
    <mergeCell ref="B4:K4"/>
    <mergeCell ref="B5:K5"/>
    <mergeCell ref="E6:AI6"/>
    <mergeCell ref="B7:C7"/>
    <mergeCell ref="E7:AI7"/>
    <mergeCell ref="B8:C8"/>
    <mergeCell ref="B51:C51"/>
    <mergeCell ref="AA57:AL57"/>
    <mergeCell ref="B58:C58"/>
    <mergeCell ref="Z58:AL58"/>
    <mergeCell ref="Z63:AL63"/>
    <mergeCell ref="B9:B10"/>
    <mergeCell ref="C9:C10"/>
    <mergeCell ref="D9:D10"/>
    <mergeCell ref="AJ9:AJ10"/>
    <mergeCell ref="AK9:AK10"/>
    <mergeCell ref="AL9:AL10"/>
    <mergeCell ref="A52:B52"/>
    <mergeCell ref="AA53:AL53"/>
    <mergeCell ref="AA54:AL54"/>
    <mergeCell ref="AA55:AL55"/>
    <mergeCell ref="AA56:AL56"/>
  </mergeCells>
  <printOptions horizontalCentered="1"/>
  <pageMargins left="0.118110236220472" right="0.31496062992126" top="0.55118110236220497" bottom="0.74803149606299202" header="0.31496062992126" footer="0.31496062992126"/>
  <pageSetup paperSize="9" scale="65" orientation="landscape"/>
  <drawing r:id="rId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30A0"/>
  </sheetPr>
  <dimension ref="A1:AV31"/>
  <sheetViews>
    <sheetView workbookViewId="0">
      <selection activeCell="B3" sqref="B3:AK3"/>
    </sheetView>
  </sheetViews>
  <sheetFormatPr defaultColWidth="9.140625" defaultRowHeight="15"/>
  <cols>
    <col min="1" max="1" width="3.140625" style="28" customWidth="1"/>
    <col min="2" max="2" width="6.42578125" style="28" customWidth="1"/>
    <col min="3" max="3" width="25.42578125" style="28" customWidth="1"/>
    <col min="4" max="4" width="13" style="28" customWidth="1"/>
    <col min="5" max="33" width="5" style="28" customWidth="1"/>
    <col min="34" max="34" width="4.7109375" style="28" customWidth="1"/>
    <col min="35" max="35" width="4.7109375" style="28" hidden="1" customWidth="1"/>
    <col min="36" max="36" width="7.7109375" style="28" customWidth="1"/>
    <col min="37" max="37" width="7.5703125" style="28" customWidth="1"/>
    <col min="38" max="46" width="9.140625" style="28" hidden="1" customWidth="1"/>
    <col min="47" max="47" width="1.5703125" style="28" customWidth="1"/>
    <col min="48" max="48" width="10.140625" style="28" customWidth="1"/>
    <col min="49" max="16384" width="9.140625" style="28"/>
  </cols>
  <sheetData>
    <row r="1" spans="1:48" s="26" customFormat="1" ht="27.75" customHeight="1">
      <c r="A1" s="85"/>
      <c r="B1" s="2676" t="s">
        <v>617</v>
      </c>
      <c r="C1" s="2676"/>
      <c r="D1" s="2676"/>
      <c r="E1" s="2676"/>
      <c r="F1" s="2676"/>
      <c r="G1" s="2676"/>
      <c r="H1" s="2676"/>
      <c r="I1" s="2676"/>
      <c r="J1" s="2676"/>
      <c r="K1" s="2676"/>
      <c r="L1" s="2676"/>
      <c r="M1" s="2676"/>
      <c r="N1" s="2676"/>
      <c r="O1" s="2676"/>
      <c r="P1" s="2676"/>
      <c r="Q1" s="2676"/>
      <c r="R1" s="2676"/>
      <c r="S1" s="2676"/>
      <c r="T1" s="2676"/>
      <c r="U1" s="2676"/>
      <c r="V1" s="2676"/>
      <c r="W1" s="2676"/>
      <c r="X1" s="2676"/>
      <c r="Y1" s="2676"/>
      <c r="Z1" s="2676"/>
      <c r="AA1" s="2676"/>
      <c r="AB1" s="2676"/>
      <c r="AC1" s="2676"/>
      <c r="AD1" s="2676"/>
      <c r="AE1" s="2676"/>
      <c r="AF1" s="2676"/>
      <c r="AG1" s="2676"/>
      <c r="AH1" s="2676"/>
      <c r="AI1" s="2676"/>
      <c r="AJ1" s="2676"/>
      <c r="AK1" s="2676"/>
      <c r="AL1" s="85"/>
      <c r="AN1" s="29">
        <v>1</v>
      </c>
      <c r="AO1" s="29">
        <v>2</v>
      </c>
      <c r="AP1" s="29">
        <v>3</v>
      </c>
      <c r="AQ1" s="29">
        <v>4</v>
      </c>
      <c r="AR1" s="29">
        <v>5</v>
      </c>
      <c r="AS1" s="29">
        <v>6</v>
      </c>
      <c r="AT1" s="29">
        <v>7</v>
      </c>
    </row>
    <row r="2" spans="1:48" s="26" customFormat="1" ht="23.25" customHeight="1">
      <c r="A2" s="85"/>
      <c r="B2" s="2676" t="s">
        <v>618</v>
      </c>
      <c r="C2" s="2676"/>
      <c r="D2" s="2676"/>
      <c r="E2" s="2676"/>
      <c r="F2" s="2676"/>
      <c r="G2" s="2676"/>
      <c r="H2" s="2676"/>
      <c r="I2" s="2676"/>
      <c r="J2" s="2676"/>
      <c r="K2" s="2676"/>
      <c r="L2" s="2676"/>
      <c r="M2" s="2676"/>
      <c r="N2" s="2676"/>
      <c r="O2" s="2676"/>
      <c r="P2" s="2676"/>
      <c r="Q2" s="2676"/>
      <c r="R2" s="2676"/>
      <c r="S2" s="2676"/>
      <c r="T2" s="2676"/>
      <c r="U2" s="2676"/>
      <c r="V2" s="2676"/>
      <c r="W2" s="2676"/>
      <c r="X2" s="2676"/>
      <c r="Y2" s="2676"/>
      <c r="Z2" s="2676"/>
      <c r="AA2" s="2676"/>
      <c r="AB2" s="2676"/>
      <c r="AC2" s="2676"/>
      <c r="AD2" s="2676"/>
      <c r="AE2" s="2676"/>
      <c r="AF2" s="2676"/>
      <c r="AG2" s="2676"/>
      <c r="AH2" s="2676"/>
      <c r="AI2" s="2676"/>
      <c r="AJ2" s="2676"/>
      <c r="AK2" s="2676"/>
      <c r="AL2" s="85"/>
      <c r="AN2" s="29" t="s">
        <v>554</v>
      </c>
      <c r="AO2" s="29" t="s">
        <v>2820</v>
      </c>
      <c r="AP2" s="29" t="s">
        <v>2821</v>
      </c>
      <c r="AQ2" s="29" t="s">
        <v>2822</v>
      </c>
      <c r="AR2" s="29" t="s">
        <v>212</v>
      </c>
      <c r="AS2" s="29" t="s">
        <v>2823</v>
      </c>
      <c r="AT2" s="29" t="s">
        <v>2824</v>
      </c>
    </row>
    <row r="3" spans="1:48" s="26" customFormat="1" ht="16.5">
      <c r="A3" s="85"/>
      <c r="B3" s="2780" t="s">
        <v>619</v>
      </c>
      <c r="C3" s="2676"/>
      <c r="D3" s="2676"/>
      <c r="E3" s="2676"/>
      <c r="F3" s="2676"/>
      <c r="G3" s="2676"/>
      <c r="H3" s="2676"/>
      <c r="I3" s="2676"/>
      <c r="J3" s="2676"/>
      <c r="K3" s="2676"/>
      <c r="L3" s="2676"/>
      <c r="M3" s="2676"/>
      <c r="N3" s="2676"/>
      <c r="O3" s="2676"/>
      <c r="P3" s="2676"/>
      <c r="Q3" s="2676"/>
      <c r="R3" s="2676"/>
      <c r="S3" s="2676"/>
      <c r="T3" s="2676"/>
      <c r="U3" s="2676"/>
      <c r="V3" s="2676"/>
      <c r="W3" s="2676"/>
      <c r="X3" s="2676"/>
      <c r="Y3" s="2676"/>
      <c r="Z3" s="2676"/>
      <c r="AA3" s="2676"/>
      <c r="AB3" s="2676"/>
      <c r="AC3" s="2676"/>
      <c r="AD3" s="2676"/>
      <c r="AE3" s="2676"/>
      <c r="AF3" s="2676"/>
      <c r="AG3" s="2676"/>
      <c r="AH3" s="2676"/>
      <c r="AI3" s="2676"/>
      <c r="AJ3" s="2676"/>
      <c r="AK3" s="2676"/>
      <c r="AL3" s="85"/>
      <c r="AN3" s="29"/>
      <c r="AO3" s="29"/>
      <c r="AP3" s="29"/>
      <c r="AQ3" s="29"/>
      <c r="AR3" s="29"/>
      <c r="AS3" s="29"/>
      <c r="AT3" s="29"/>
    </row>
    <row r="4" spans="1:48" s="26" customFormat="1" ht="16.5">
      <c r="A4" s="85"/>
      <c r="B4" s="2855" t="s">
        <v>3</v>
      </c>
      <c r="C4" s="2855"/>
      <c r="D4" s="2855"/>
      <c r="E4" s="2855"/>
      <c r="F4" s="2855"/>
      <c r="G4" s="2855"/>
      <c r="H4" s="2855"/>
      <c r="I4" s="2855"/>
      <c r="J4" s="2855"/>
      <c r="K4" s="2855"/>
      <c r="L4" s="58"/>
      <c r="M4" s="58"/>
      <c r="N4" s="58"/>
      <c r="O4" s="58"/>
      <c r="P4" s="58"/>
      <c r="Q4" s="58"/>
      <c r="R4" s="58"/>
      <c r="S4" s="58"/>
      <c r="T4" s="58"/>
      <c r="U4" s="58"/>
      <c r="V4" s="58"/>
      <c r="W4" s="58"/>
      <c r="X4" s="58"/>
      <c r="Y4" s="58"/>
      <c r="Z4" s="58"/>
      <c r="AA4" s="58"/>
      <c r="AB4" s="58"/>
      <c r="AC4" s="58"/>
      <c r="AD4" s="58"/>
      <c r="AE4" s="58"/>
      <c r="AF4" s="58"/>
      <c r="AG4" s="58"/>
      <c r="AH4" s="58"/>
      <c r="AI4" s="58"/>
      <c r="AJ4" s="58"/>
      <c r="AK4" s="58"/>
      <c r="AL4" s="85"/>
      <c r="AN4" s="29"/>
      <c r="AO4" s="29"/>
      <c r="AP4" s="29"/>
      <c r="AQ4" s="29"/>
      <c r="AR4" s="29"/>
      <c r="AS4" s="29"/>
      <c r="AT4" s="29"/>
    </row>
    <row r="5" spans="1:48" s="26" customFormat="1" ht="16.5">
      <c r="A5" s="85"/>
      <c r="B5" s="2676" t="s">
        <v>3061</v>
      </c>
      <c r="C5" s="2676"/>
      <c r="D5" s="2676"/>
      <c r="E5" s="2676"/>
      <c r="F5" s="2676"/>
      <c r="G5" s="2676"/>
      <c r="H5" s="2676"/>
      <c r="I5" s="2676"/>
      <c r="J5" s="2676"/>
      <c r="K5" s="2676"/>
      <c r="L5" s="58"/>
      <c r="M5" s="58"/>
      <c r="N5" s="58"/>
      <c r="O5" s="58"/>
      <c r="P5" s="58"/>
      <c r="Q5" s="58"/>
      <c r="R5" s="58"/>
      <c r="S5" s="58"/>
      <c r="T5" s="58"/>
      <c r="U5" s="58"/>
      <c r="V5" s="58"/>
      <c r="W5" s="58"/>
      <c r="X5" s="58"/>
      <c r="Y5" s="58"/>
      <c r="Z5" s="58"/>
      <c r="AA5" s="58"/>
      <c r="AB5" s="58"/>
      <c r="AC5" s="58"/>
      <c r="AD5" s="58"/>
      <c r="AE5" s="58"/>
      <c r="AF5" s="58"/>
      <c r="AG5" s="58"/>
      <c r="AH5" s="58"/>
      <c r="AI5" s="58"/>
      <c r="AJ5" s="58"/>
      <c r="AK5" s="58"/>
      <c r="AL5" s="85"/>
      <c r="AN5" s="29"/>
      <c r="AO5" s="29"/>
      <c r="AP5" s="29"/>
      <c r="AQ5" s="29"/>
      <c r="AR5" s="29"/>
      <c r="AS5" s="29"/>
      <c r="AT5" s="29"/>
    </row>
    <row r="6" spans="1:48" ht="20.25">
      <c r="A6" s="86"/>
      <c r="B6" s="86"/>
      <c r="C6" s="86"/>
      <c r="D6" s="86"/>
      <c r="E6" s="2924" t="s">
        <v>3142</v>
      </c>
      <c r="F6" s="2924"/>
      <c r="G6" s="2924"/>
      <c r="H6" s="2924"/>
      <c r="I6" s="2924"/>
      <c r="J6" s="2924"/>
      <c r="K6" s="2924"/>
      <c r="L6" s="2924"/>
      <c r="M6" s="2924"/>
      <c r="N6" s="2924"/>
      <c r="O6" s="2924"/>
      <c r="P6" s="2924"/>
      <c r="Q6" s="2924"/>
      <c r="R6" s="2924"/>
      <c r="S6" s="2924"/>
      <c r="T6" s="2924"/>
      <c r="U6" s="2924"/>
      <c r="V6" s="2924"/>
      <c r="W6" s="2924"/>
      <c r="X6" s="2924"/>
      <c r="Y6" s="2924"/>
      <c r="Z6" s="2924"/>
      <c r="AA6" s="2924"/>
      <c r="AB6" s="2924"/>
      <c r="AC6" s="2924"/>
      <c r="AD6" s="2924"/>
      <c r="AE6" s="2924"/>
      <c r="AF6" s="2924"/>
      <c r="AG6" s="2924"/>
      <c r="AH6" s="2924"/>
      <c r="AI6" s="2924"/>
      <c r="AJ6" s="86"/>
      <c r="AK6" s="86"/>
      <c r="AL6" s="86"/>
    </row>
    <row r="7" spans="1:48" ht="16.5" customHeight="1">
      <c r="A7" s="86"/>
      <c r="B7" s="2676" t="s">
        <v>2826</v>
      </c>
      <c r="C7" s="2676"/>
      <c r="D7" s="58">
        <v>2025</v>
      </c>
      <c r="E7" s="2775" t="str">
        <f>"Tháng "&amp;IF(LEN($D$8)=1,"0"&amp;$D$8,$D$8)&amp;" năm "&amp;D7</f>
        <v>Tháng 05 năm 2025</v>
      </c>
      <c r="F7" s="2775"/>
      <c r="G7" s="2775"/>
      <c r="H7" s="2775"/>
      <c r="I7" s="2775"/>
      <c r="J7" s="2775"/>
      <c r="K7" s="2775"/>
      <c r="L7" s="2775"/>
      <c r="M7" s="2775"/>
      <c r="N7" s="2775"/>
      <c r="O7" s="2775"/>
      <c r="P7" s="2775"/>
      <c r="Q7" s="2775"/>
      <c r="R7" s="2775"/>
      <c r="S7" s="2775"/>
      <c r="T7" s="2775"/>
      <c r="U7" s="2775"/>
      <c r="V7" s="2775"/>
      <c r="W7" s="2775"/>
      <c r="X7" s="2775"/>
      <c r="Y7" s="2775"/>
      <c r="Z7" s="2775"/>
      <c r="AA7" s="2775"/>
      <c r="AB7" s="2775"/>
      <c r="AC7" s="2775"/>
      <c r="AD7" s="2775"/>
      <c r="AE7" s="2775"/>
      <c r="AF7" s="2775"/>
      <c r="AG7" s="2775"/>
      <c r="AH7" s="2775"/>
      <c r="AI7" s="2775"/>
      <c r="AJ7" s="86"/>
      <c r="AK7" s="86"/>
      <c r="AL7" s="86"/>
    </row>
    <row r="8" spans="1:48" ht="16.5">
      <c r="A8" s="86"/>
      <c r="B8" s="2925" t="s">
        <v>2827</v>
      </c>
      <c r="C8" s="2925"/>
      <c r="D8" s="58">
        <v>5</v>
      </c>
      <c r="E8" s="86"/>
      <c r="F8" s="86"/>
      <c r="G8" s="86"/>
      <c r="H8" s="86"/>
      <c r="I8" s="86"/>
      <c r="J8" s="86"/>
      <c r="K8" s="86"/>
      <c r="L8" s="86"/>
      <c r="M8" s="86"/>
      <c r="N8" s="86"/>
      <c r="O8" s="86"/>
      <c r="P8" s="86"/>
      <c r="Q8" s="86"/>
      <c r="R8" s="86"/>
      <c r="S8" s="86"/>
      <c r="T8" s="86"/>
      <c r="U8" s="86"/>
      <c r="V8" s="86"/>
      <c r="W8" s="86"/>
      <c r="X8" s="86"/>
      <c r="Y8" s="86"/>
      <c r="Z8" s="86"/>
      <c r="AA8" s="86"/>
      <c r="AB8" s="86"/>
      <c r="AC8" s="86"/>
      <c r="AD8" s="86"/>
      <c r="AE8" s="86"/>
      <c r="AF8" s="86"/>
      <c r="AG8" s="86"/>
      <c r="AH8" s="86"/>
      <c r="AI8" s="86"/>
      <c r="AJ8" s="86"/>
      <c r="AK8" s="86"/>
      <c r="AL8" s="86"/>
    </row>
    <row r="9" spans="1:48" ht="22.5" customHeight="1">
      <c r="A9" s="86"/>
      <c r="B9" s="2805" t="s">
        <v>6</v>
      </c>
      <c r="C9" s="2795" t="s">
        <v>356</v>
      </c>
      <c r="D9" s="2790" t="s">
        <v>9</v>
      </c>
      <c r="E9" s="132">
        <v>1</v>
      </c>
      <c r="F9" s="132">
        <v>2</v>
      </c>
      <c r="G9" s="132">
        <v>3</v>
      </c>
      <c r="H9" s="132">
        <v>4</v>
      </c>
      <c r="I9" s="132">
        <v>5</v>
      </c>
      <c r="J9" s="132">
        <v>6</v>
      </c>
      <c r="K9" s="132">
        <v>7</v>
      </c>
      <c r="L9" s="132">
        <v>8</v>
      </c>
      <c r="M9" s="132">
        <v>9</v>
      </c>
      <c r="N9" s="132">
        <v>10</v>
      </c>
      <c r="O9" s="132">
        <v>11</v>
      </c>
      <c r="P9" s="132">
        <v>12</v>
      </c>
      <c r="Q9" s="132">
        <v>13</v>
      </c>
      <c r="R9" s="132">
        <v>14</v>
      </c>
      <c r="S9" s="132">
        <v>15</v>
      </c>
      <c r="T9" s="132">
        <v>16</v>
      </c>
      <c r="U9" s="132">
        <v>17</v>
      </c>
      <c r="V9" s="132">
        <v>18</v>
      </c>
      <c r="W9" s="132">
        <v>19</v>
      </c>
      <c r="X9" s="132">
        <v>20</v>
      </c>
      <c r="Y9" s="132">
        <v>21</v>
      </c>
      <c r="Z9" s="132">
        <v>22</v>
      </c>
      <c r="AA9" s="132">
        <v>23</v>
      </c>
      <c r="AB9" s="132">
        <v>24</v>
      </c>
      <c r="AC9" s="132">
        <v>25</v>
      </c>
      <c r="AD9" s="132">
        <v>26</v>
      </c>
      <c r="AE9" s="132">
        <v>27</v>
      </c>
      <c r="AF9" s="132">
        <v>28</v>
      </c>
      <c r="AG9" s="132">
        <f>IF(DAY(DATE(D7,D8+1,1)-1)&lt;29,"",29)</f>
        <v>29</v>
      </c>
      <c r="AH9" s="132">
        <v>30</v>
      </c>
      <c r="AI9" s="132">
        <v>31</v>
      </c>
      <c r="AJ9" s="2790" t="s">
        <v>529</v>
      </c>
      <c r="AK9" s="2790" t="s">
        <v>12</v>
      </c>
      <c r="AL9" s="86"/>
    </row>
    <row r="10" spans="1:48" ht="42" customHeight="1">
      <c r="A10" s="86"/>
      <c r="B10" s="2806"/>
      <c r="C10" s="2796"/>
      <c r="D10" s="2791"/>
      <c r="E10" s="133" t="str">
        <f t="shared" ref="E10:AI10" si="0">IF(E9="","",HLOOKUP(WEEKDAY(DATE($D$7,$D$8,E9)),$AN$1:$AT$2,2,0))</f>
        <v>Năm</v>
      </c>
      <c r="F10" s="133" t="str">
        <f t="shared" si="0"/>
        <v>Sáu</v>
      </c>
      <c r="G10" s="133" t="str">
        <f t="shared" si="0"/>
        <v>Bảy</v>
      </c>
      <c r="H10" s="133" t="str">
        <f t="shared" si="0"/>
        <v>CN</v>
      </c>
      <c r="I10" s="133" t="str">
        <f t="shared" si="0"/>
        <v>Hai</v>
      </c>
      <c r="J10" s="133" t="str">
        <f t="shared" si="0"/>
        <v>Ba</v>
      </c>
      <c r="K10" s="133" t="str">
        <f t="shared" si="0"/>
        <v>Tư</v>
      </c>
      <c r="L10" s="133" t="str">
        <f t="shared" si="0"/>
        <v>Năm</v>
      </c>
      <c r="M10" s="133" t="str">
        <f t="shared" si="0"/>
        <v>Sáu</v>
      </c>
      <c r="N10" s="133" t="str">
        <f t="shared" si="0"/>
        <v>Bảy</v>
      </c>
      <c r="O10" s="133" t="str">
        <f t="shared" si="0"/>
        <v>CN</v>
      </c>
      <c r="P10" s="133" t="str">
        <f t="shared" si="0"/>
        <v>Hai</v>
      </c>
      <c r="Q10" s="133" t="str">
        <f t="shared" si="0"/>
        <v>Ba</v>
      </c>
      <c r="R10" s="133" t="str">
        <f t="shared" si="0"/>
        <v>Tư</v>
      </c>
      <c r="S10" s="133" t="str">
        <f t="shared" si="0"/>
        <v>Năm</v>
      </c>
      <c r="T10" s="133" t="str">
        <f t="shared" si="0"/>
        <v>Sáu</v>
      </c>
      <c r="U10" s="133" t="str">
        <f t="shared" si="0"/>
        <v>Bảy</v>
      </c>
      <c r="V10" s="133" t="str">
        <f t="shared" si="0"/>
        <v>CN</v>
      </c>
      <c r="W10" s="133" t="str">
        <f t="shared" si="0"/>
        <v>Hai</v>
      </c>
      <c r="X10" s="133" t="str">
        <f t="shared" si="0"/>
        <v>Ba</v>
      </c>
      <c r="Y10" s="133" t="str">
        <f t="shared" si="0"/>
        <v>Tư</v>
      </c>
      <c r="Z10" s="133" t="str">
        <f t="shared" si="0"/>
        <v>Năm</v>
      </c>
      <c r="AA10" s="133" t="str">
        <f t="shared" si="0"/>
        <v>Sáu</v>
      </c>
      <c r="AB10" s="133" t="str">
        <f t="shared" si="0"/>
        <v>Bảy</v>
      </c>
      <c r="AC10" s="133" t="str">
        <f t="shared" si="0"/>
        <v>CN</v>
      </c>
      <c r="AD10" s="133" t="str">
        <f t="shared" si="0"/>
        <v>Hai</v>
      </c>
      <c r="AE10" s="133" t="str">
        <f t="shared" si="0"/>
        <v>Ba</v>
      </c>
      <c r="AF10" s="133" t="str">
        <f t="shared" si="0"/>
        <v>Tư</v>
      </c>
      <c r="AG10" s="132" t="str">
        <f t="shared" si="0"/>
        <v>Năm</v>
      </c>
      <c r="AH10" s="132" t="str">
        <f t="shared" si="0"/>
        <v>Sáu</v>
      </c>
      <c r="AI10" s="132" t="str">
        <f t="shared" si="0"/>
        <v>Bảy</v>
      </c>
      <c r="AJ10" s="2791"/>
      <c r="AK10" s="2791"/>
      <c r="AL10" s="86"/>
    </row>
    <row r="11" spans="1:48" ht="24.75" customHeight="1">
      <c r="A11" s="86"/>
      <c r="B11" s="132">
        <v>1</v>
      </c>
      <c r="C11" s="134" t="s">
        <v>3085</v>
      </c>
      <c r="D11" s="134" t="s">
        <v>2855</v>
      </c>
      <c r="E11" s="132" t="s">
        <v>536</v>
      </c>
      <c r="F11" s="132" t="s">
        <v>536</v>
      </c>
      <c r="G11" s="132" t="s">
        <v>536</v>
      </c>
      <c r="H11" s="132" t="s">
        <v>536</v>
      </c>
      <c r="I11" s="132" t="s">
        <v>536</v>
      </c>
      <c r="J11" s="132" t="s">
        <v>536</v>
      </c>
      <c r="K11" s="132" t="s">
        <v>536</v>
      </c>
      <c r="L11" s="132" t="s">
        <v>536</v>
      </c>
      <c r="M11" s="132" t="s">
        <v>536</v>
      </c>
      <c r="N11" s="132" t="s">
        <v>536</v>
      </c>
      <c r="O11" s="132" t="s">
        <v>536</v>
      </c>
      <c r="P11" s="132" t="s">
        <v>536</v>
      </c>
      <c r="Q11" s="132" t="s">
        <v>536</v>
      </c>
      <c r="R11" s="132" t="s">
        <v>536</v>
      </c>
      <c r="S11" s="132"/>
      <c r="T11" s="132"/>
      <c r="U11" s="132"/>
      <c r="V11" s="132"/>
      <c r="W11" s="132"/>
      <c r="X11" s="132"/>
      <c r="Y11" s="132"/>
      <c r="Z11" s="132"/>
      <c r="AA11" s="132"/>
      <c r="AB11" s="132"/>
      <c r="AC11" s="132"/>
      <c r="AD11" s="132"/>
      <c r="AE11" s="132"/>
      <c r="AF11" s="132"/>
      <c r="AG11" s="132"/>
      <c r="AH11" s="132"/>
      <c r="AI11" s="132"/>
      <c r="AJ11" s="95">
        <f t="shared" ref="AJ11:AJ20" si="1">COUNTIF(E11:AI11,"X")+COUNTIF(E11:AI11,"P")+COUNTIF(E11:AI11,"PT")</f>
        <v>14</v>
      </c>
      <c r="AK11" s="95"/>
      <c r="AL11" s="86"/>
      <c r="AV11" s="141" t="e">
        <f>+#REF!-#REF!</f>
        <v>#REF!</v>
      </c>
    </row>
    <row r="12" spans="1:48" ht="24.75" customHeight="1">
      <c r="A12" s="86"/>
      <c r="B12" s="132">
        <v>2</v>
      </c>
      <c r="C12" s="134" t="s">
        <v>613</v>
      </c>
      <c r="D12" s="134" t="s">
        <v>3143</v>
      </c>
      <c r="E12" s="132" t="s">
        <v>536</v>
      </c>
      <c r="F12" s="132" t="s">
        <v>536</v>
      </c>
      <c r="G12" s="132" t="s">
        <v>536</v>
      </c>
      <c r="H12" s="132" t="s">
        <v>536</v>
      </c>
      <c r="I12" s="132" t="s">
        <v>536</v>
      </c>
      <c r="J12" s="132" t="s">
        <v>536</v>
      </c>
      <c r="K12" s="132" t="s">
        <v>536</v>
      </c>
      <c r="L12" s="132" t="s">
        <v>536</v>
      </c>
      <c r="M12" s="132" t="s">
        <v>536</v>
      </c>
      <c r="N12" s="132" t="s">
        <v>536</v>
      </c>
      <c r="O12" s="132" t="s">
        <v>536</v>
      </c>
      <c r="P12" s="132" t="s">
        <v>536</v>
      </c>
      <c r="Q12" s="132" t="s">
        <v>536</v>
      </c>
      <c r="R12" s="132" t="s">
        <v>536</v>
      </c>
      <c r="S12" s="132"/>
      <c r="T12" s="132"/>
      <c r="U12" s="132"/>
      <c r="V12" s="132"/>
      <c r="W12" s="132"/>
      <c r="X12" s="132"/>
      <c r="Y12" s="132"/>
      <c r="Z12" s="132"/>
      <c r="AA12" s="132"/>
      <c r="AB12" s="132"/>
      <c r="AC12" s="132"/>
      <c r="AD12" s="132"/>
      <c r="AE12" s="132"/>
      <c r="AF12" s="132"/>
      <c r="AG12" s="132"/>
      <c r="AH12" s="132"/>
      <c r="AI12" s="132"/>
      <c r="AJ12" s="95">
        <f t="shared" si="1"/>
        <v>14</v>
      </c>
      <c r="AK12" s="95"/>
      <c r="AL12" s="86"/>
      <c r="AV12" s="141" t="e">
        <f>+#REF!-#REF!</f>
        <v>#REF!</v>
      </c>
    </row>
    <row r="13" spans="1:48" ht="24.75" customHeight="1">
      <c r="A13" s="86"/>
      <c r="B13" s="132">
        <v>3</v>
      </c>
      <c r="C13" s="135" t="s">
        <v>3111</v>
      </c>
      <c r="D13" s="135" t="s">
        <v>2856</v>
      </c>
      <c r="E13" s="132" t="s">
        <v>536</v>
      </c>
      <c r="F13" s="132" t="s">
        <v>536</v>
      </c>
      <c r="G13" s="132" t="s">
        <v>536</v>
      </c>
      <c r="H13" s="132" t="s">
        <v>536</v>
      </c>
      <c r="I13" s="132" t="s">
        <v>536</v>
      </c>
      <c r="J13" s="132" t="s">
        <v>536</v>
      </c>
      <c r="K13" s="132" t="s">
        <v>536</v>
      </c>
      <c r="L13" s="132" t="s">
        <v>536</v>
      </c>
      <c r="M13" s="132" t="s">
        <v>536</v>
      </c>
      <c r="N13" s="132" t="s">
        <v>536</v>
      </c>
      <c r="O13" s="132" t="s">
        <v>536</v>
      </c>
      <c r="P13" s="132" t="s">
        <v>536</v>
      </c>
      <c r="Q13" s="132" t="s">
        <v>536</v>
      </c>
      <c r="R13" s="132" t="s">
        <v>536</v>
      </c>
      <c r="S13" s="132"/>
      <c r="T13" s="132"/>
      <c r="U13" s="132"/>
      <c r="V13" s="132"/>
      <c r="W13" s="132"/>
      <c r="X13" s="132"/>
      <c r="Y13" s="132"/>
      <c r="Z13" s="132"/>
      <c r="AA13" s="132"/>
      <c r="AB13" s="132"/>
      <c r="AC13" s="132"/>
      <c r="AD13" s="132"/>
      <c r="AE13" s="132"/>
      <c r="AF13" s="132"/>
      <c r="AG13" s="132"/>
      <c r="AH13" s="132"/>
      <c r="AI13" s="132"/>
      <c r="AJ13" s="95">
        <f t="shared" si="1"/>
        <v>14</v>
      </c>
      <c r="AK13" s="95"/>
      <c r="AL13" s="86"/>
      <c r="AV13" s="141" t="e">
        <f>+#REF!-#REF!</f>
        <v>#REF!</v>
      </c>
    </row>
    <row r="14" spans="1:48" ht="24.75" customHeight="1">
      <c r="A14" s="86"/>
      <c r="B14" s="132">
        <v>4</v>
      </c>
      <c r="C14" s="134" t="s">
        <v>3091</v>
      </c>
      <c r="D14" s="134" t="s">
        <v>2856</v>
      </c>
      <c r="E14" s="132" t="s">
        <v>536</v>
      </c>
      <c r="F14" s="132" t="s">
        <v>536</v>
      </c>
      <c r="G14" s="132" t="s">
        <v>536</v>
      </c>
      <c r="H14" s="132" t="s">
        <v>536</v>
      </c>
      <c r="I14" s="132" t="s">
        <v>536</v>
      </c>
      <c r="J14" s="132" t="s">
        <v>536</v>
      </c>
      <c r="K14" s="132" t="s">
        <v>536</v>
      </c>
      <c r="L14" s="132" t="s">
        <v>536</v>
      </c>
      <c r="M14" s="132" t="s">
        <v>536</v>
      </c>
      <c r="N14" s="132" t="s">
        <v>536</v>
      </c>
      <c r="O14" s="132" t="s">
        <v>536</v>
      </c>
      <c r="P14" s="132" t="s">
        <v>536</v>
      </c>
      <c r="Q14" s="132" t="s">
        <v>536</v>
      </c>
      <c r="R14" s="132" t="s">
        <v>536</v>
      </c>
      <c r="S14" s="132"/>
      <c r="T14" s="132"/>
      <c r="U14" s="132"/>
      <c r="V14" s="132"/>
      <c r="W14" s="132"/>
      <c r="X14" s="132"/>
      <c r="Y14" s="132"/>
      <c r="Z14" s="132"/>
      <c r="AA14" s="132"/>
      <c r="AB14" s="132"/>
      <c r="AC14" s="132"/>
      <c r="AD14" s="132"/>
      <c r="AE14" s="132"/>
      <c r="AF14" s="132"/>
      <c r="AG14" s="132"/>
      <c r="AH14" s="132"/>
      <c r="AI14" s="132"/>
      <c r="AJ14" s="95">
        <f t="shared" si="1"/>
        <v>14</v>
      </c>
      <c r="AK14" s="95"/>
      <c r="AL14" s="86"/>
      <c r="AV14" s="141" t="e">
        <f>+#REF!-#REF!</f>
        <v>#REF!</v>
      </c>
    </row>
    <row r="15" spans="1:48" ht="24.75" customHeight="1">
      <c r="A15" s="86"/>
      <c r="B15" s="132">
        <v>5</v>
      </c>
      <c r="C15" s="134" t="s">
        <v>3093</v>
      </c>
      <c r="D15" s="134" t="s">
        <v>2856</v>
      </c>
      <c r="E15" s="132" t="s">
        <v>536</v>
      </c>
      <c r="F15" s="132" t="s">
        <v>536</v>
      </c>
      <c r="G15" s="132" t="s">
        <v>536</v>
      </c>
      <c r="H15" s="132" t="s">
        <v>536</v>
      </c>
      <c r="I15" s="132" t="s">
        <v>536</v>
      </c>
      <c r="J15" s="132" t="s">
        <v>536</v>
      </c>
      <c r="K15" s="132" t="s">
        <v>536</v>
      </c>
      <c r="L15" s="132" t="s">
        <v>536</v>
      </c>
      <c r="M15" s="132" t="s">
        <v>536</v>
      </c>
      <c r="N15" s="132" t="s">
        <v>536</v>
      </c>
      <c r="O15" s="132" t="s">
        <v>536</v>
      </c>
      <c r="P15" s="132" t="s">
        <v>536</v>
      </c>
      <c r="Q15" s="132" t="s">
        <v>536</v>
      </c>
      <c r="R15" s="132" t="s">
        <v>536</v>
      </c>
      <c r="S15" s="132"/>
      <c r="T15" s="132"/>
      <c r="U15" s="132"/>
      <c r="V15" s="132"/>
      <c r="W15" s="132"/>
      <c r="X15" s="132"/>
      <c r="Y15" s="132"/>
      <c r="Z15" s="132"/>
      <c r="AA15" s="132"/>
      <c r="AB15" s="132"/>
      <c r="AC15" s="132"/>
      <c r="AD15" s="132"/>
      <c r="AE15" s="132"/>
      <c r="AF15" s="132"/>
      <c r="AG15" s="132"/>
      <c r="AH15" s="132"/>
      <c r="AI15" s="132"/>
      <c r="AJ15" s="95">
        <f t="shared" si="1"/>
        <v>14</v>
      </c>
      <c r="AK15" s="95"/>
      <c r="AL15" s="86"/>
      <c r="AV15" s="141" t="e">
        <f>+#REF!-#REF!</f>
        <v>#REF!</v>
      </c>
    </row>
    <row r="16" spans="1:48" ht="24.75" customHeight="1">
      <c r="A16" s="86"/>
      <c r="B16" s="132">
        <v>6</v>
      </c>
      <c r="C16" s="134" t="s">
        <v>3098</v>
      </c>
      <c r="D16" s="134" t="s">
        <v>2856</v>
      </c>
      <c r="E16" s="132" t="s">
        <v>536</v>
      </c>
      <c r="F16" s="132" t="s">
        <v>536</v>
      </c>
      <c r="G16" s="132" t="s">
        <v>536</v>
      </c>
      <c r="H16" s="132" t="s">
        <v>536</v>
      </c>
      <c r="I16" s="132" t="s">
        <v>536</v>
      </c>
      <c r="J16" s="132" t="s">
        <v>536</v>
      </c>
      <c r="K16" s="132" t="s">
        <v>536</v>
      </c>
      <c r="L16" s="132" t="s">
        <v>536</v>
      </c>
      <c r="M16" s="132" t="s">
        <v>536</v>
      </c>
      <c r="N16" s="132" t="s">
        <v>536</v>
      </c>
      <c r="O16" s="132" t="s">
        <v>536</v>
      </c>
      <c r="P16" s="132" t="s">
        <v>536</v>
      </c>
      <c r="Q16" s="132" t="s">
        <v>536</v>
      </c>
      <c r="R16" s="132" t="s">
        <v>536</v>
      </c>
      <c r="S16" s="132"/>
      <c r="T16" s="132"/>
      <c r="U16" s="132"/>
      <c r="V16" s="132"/>
      <c r="W16" s="132"/>
      <c r="X16" s="132"/>
      <c r="Y16" s="132"/>
      <c r="Z16" s="132"/>
      <c r="AA16" s="132"/>
      <c r="AB16" s="132"/>
      <c r="AC16" s="132"/>
      <c r="AD16" s="132"/>
      <c r="AE16" s="132"/>
      <c r="AF16" s="132"/>
      <c r="AG16" s="132"/>
      <c r="AH16" s="132"/>
      <c r="AI16" s="132"/>
      <c r="AJ16" s="95">
        <f t="shared" si="1"/>
        <v>14</v>
      </c>
      <c r="AK16" s="95"/>
      <c r="AL16" s="86"/>
      <c r="AV16" s="141" t="e">
        <f>+#REF!-#REF!</f>
        <v>#REF!</v>
      </c>
    </row>
    <row r="17" spans="1:48" ht="24.75" customHeight="1">
      <c r="A17" s="86"/>
      <c r="B17" s="132">
        <v>7</v>
      </c>
      <c r="C17" s="135" t="s">
        <v>3100</v>
      </c>
      <c r="D17" s="134" t="s">
        <v>2864</v>
      </c>
      <c r="E17" s="132" t="s">
        <v>536</v>
      </c>
      <c r="F17" s="132" t="s">
        <v>536</v>
      </c>
      <c r="G17" s="132" t="s">
        <v>536</v>
      </c>
      <c r="H17" s="132" t="s">
        <v>536</v>
      </c>
      <c r="I17" s="132" t="s">
        <v>536</v>
      </c>
      <c r="J17" s="132" t="s">
        <v>536</v>
      </c>
      <c r="K17" s="132" t="s">
        <v>536</v>
      </c>
      <c r="L17" s="132" t="s">
        <v>536</v>
      </c>
      <c r="M17" s="132" t="s">
        <v>536</v>
      </c>
      <c r="N17" s="132" t="s">
        <v>536</v>
      </c>
      <c r="O17" s="132" t="s">
        <v>536</v>
      </c>
      <c r="P17" s="132" t="s">
        <v>536</v>
      </c>
      <c r="Q17" s="132" t="s">
        <v>536</v>
      </c>
      <c r="R17" s="132" t="s">
        <v>536</v>
      </c>
      <c r="S17" s="132"/>
      <c r="T17" s="132"/>
      <c r="U17" s="132"/>
      <c r="V17" s="132"/>
      <c r="W17" s="132"/>
      <c r="X17" s="132"/>
      <c r="Y17" s="132"/>
      <c r="Z17" s="132"/>
      <c r="AA17" s="132"/>
      <c r="AB17" s="132"/>
      <c r="AC17" s="132"/>
      <c r="AD17" s="132"/>
      <c r="AE17" s="132"/>
      <c r="AF17" s="132"/>
      <c r="AG17" s="132"/>
      <c r="AH17" s="132"/>
      <c r="AI17" s="132"/>
      <c r="AJ17" s="95">
        <f t="shared" si="1"/>
        <v>14</v>
      </c>
      <c r="AK17" s="95"/>
      <c r="AL17" s="86"/>
      <c r="AV17" s="141" t="e">
        <f>+#REF!-#REF!</f>
        <v>#REF!</v>
      </c>
    </row>
    <row r="18" spans="1:48" ht="24.75" customHeight="1">
      <c r="A18" s="86"/>
      <c r="B18" s="132">
        <v>8</v>
      </c>
      <c r="C18" s="134" t="s">
        <v>3144</v>
      </c>
      <c r="D18" s="134" t="s">
        <v>2864</v>
      </c>
      <c r="E18" s="132" t="s">
        <v>536</v>
      </c>
      <c r="F18" s="132" t="s">
        <v>536</v>
      </c>
      <c r="G18" s="132" t="s">
        <v>536</v>
      </c>
      <c r="H18" s="132" t="s">
        <v>536</v>
      </c>
      <c r="I18" s="132" t="s">
        <v>536</v>
      </c>
      <c r="J18" s="132" t="s">
        <v>536</v>
      </c>
      <c r="K18" s="132" t="s">
        <v>536</v>
      </c>
      <c r="L18" s="132" t="s">
        <v>536</v>
      </c>
      <c r="M18" s="132" t="s">
        <v>536</v>
      </c>
      <c r="N18" s="132" t="s">
        <v>536</v>
      </c>
      <c r="O18" s="132" t="s">
        <v>536</v>
      </c>
      <c r="P18" s="132" t="s">
        <v>536</v>
      </c>
      <c r="Q18" s="132" t="s">
        <v>536</v>
      </c>
      <c r="R18" s="132" t="s">
        <v>536</v>
      </c>
      <c r="S18" s="132"/>
      <c r="T18" s="132"/>
      <c r="U18" s="132"/>
      <c r="V18" s="132"/>
      <c r="W18" s="132"/>
      <c r="X18" s="132"/>
      <c r="Y18" s="132"/>
      <c r="Z18" s="132"/>
      <c r="AA18" s="132"/>
      <c r="AB18" s="132"/>
      <c r="AC18" s="132"/>
      <c r="AD18" s="132"/>
      <c r="AE18" s="132"/>
      <c r="AF18" s="132"/>
      <c r="AG18" s="132"/>
      <c r="AH18" s="132"/>
      <c r="AI18" s="132"/>
      <c r="AJ18" s="95">
        <f t="shared" si="1"/>
        <v>14</v>
      </c>
      <c r="AK18" s="95"/>
      <c r="AL18" s="86"/>
      <c r="AV18" s="141" t="e">
        <f>+#REF!-#REF!</f>
        <v>#REF!</v>
      </c>
    </row>
    <row r="19" spans="1:48" ht="24.75" customHeight="1">
      <c r="A19" s="86"/>
      <c r="B19" s="132">
        <v>9</v>
      </c>
      <c r="C19" s="134" t="s">
        <v>3103</v>
      </c>
      <c r="D19" s="134" t="s">
        <v>1851</v>
      </c>
      <c r="E19" s="132" t="s">
        <v>536</v>
      </c>
      <c r="F19" s="132" t="s">
        <v>536</v>
      </c>
      <c r="G19" s="132" t="s">
        <v>536</v>
      </c>
      <c r="H19" s="132" t="s">
        <v>536</v>
      </c>
      <c r="I19" s="132" t="s">
        <v>536</v>
      </c>
      <c r="J19" s="132" t="s">
        <v>536</v>
      </c>
      <c r="K19" s="132" t="s">
        <v>536</v>
      </c>
      <c r="L19" s="132" t="s">
        <v>536</v>
      </c>
      <c r="M19" s="132" t="s">
        <v>536</v>
      </c>
      <c r="N19" s="132" t="s">
        <v>536</v>
      </c>
      <c r="O19" s="132" t="s">
        <v>536</v>
      </c>
      <c r="P19" s="132" t="s">
        <v>536</v>
      </c>
      <c r="Q19" s="132" t="s">
        <v>536</v>
      </c>
      <c r="R19" s="132" t="s">
        <v>536</v>
      </c>
      <c r="S19" s="132" t="s">
        <v>536</v>
      </c>
      <c r="T19" s="132" t="s">
        <v>536</v>
      </c>
      <c r="U19" s="132" t="s">
        <v>536</v>
      </c>
      <c r="V19" s="132" t="s">
        <v>536</v>
      </c>
      <c r="W19" s="132" t="s">
        <v>536</v>
      </c>
      <c r="X19" s="132" t="s">
        <v>536</v>
      </c>
      <c r="Y19" s="132" t="s">
        <v>536</v>
      </c>
      <c r="Z19" s="132" t="s">
        <v>536</v>
      </c>
      <c r="AA19" s="132" t="s">
        <v>536</v>
      </c>
      <c r="AB19" s="132" t="s">
        <v>536</v>
      </c>
      <c r="AC19" s="132" t="s">
        <v>536</v>
      </c>
      <c r="AD19" s="132" t="s">
        <v>536</v>
      </c>
      <c r="AE19" s="132" t="s">
        <v>536</v>
      </c>
      <c r="AF19" s="132" t="s">
        <v>536</v>
      </c>
      <c r="AG19" s="132" t="s">
        <v>536</v>
      </c>
      <c r="AH19" s="132" t="s">
        <v>536</v>
      </c>
      <c r="AI19" s="132" t="s">
        <v>536</v>
      </c>
      <c r="AJ19" s="95">
        <f t="shared" si="1"/>
        <v>31</v>
      </c>
      <c r="AK19" s="95"/>
      <c r="AL19" s="86"/>
      <c r="AV19" s="141" t="e">
        <f>+#REF!-#REF!</f>
        <v>#REF!</v>
      </c>
    </row>
    <row r="20" spans="1:48" ht="24.75" customHeight="1">
      <c r="A20" s="86"/>
      <c r="B20" s="132">
        <v>10</v>
      </c>
      <c r="C20" s="134" t="s">
        <v>3104</v>
      </c>
      <c r="D20" s="134" t="s">
        <v>1851</v>
      </c>
      <c r="E20" s="132" t="s">
        <v>536</v>
      </c>
      <c r="F20" s="132" t="s">
        <v>536</v>
      </c>
      <c r="G20" s="132" t="s">
        <v>536</v>
      </c>
      <c r="H20" s="132" t="s">
        <v>536</v>
      </c>
      <c r="I20" s="132" t="s">
        <v>536</v>
      </c>
      <c r="J20" s="132" t="s">
        <v>536</v>
      </c>
      <c r="K20" s="132"/>
      <c r="L20" s="132"/>
      <c r="M20" s="132"/>
      <c r="N20" s="132"/>
      <c r="O20" s="132"/>
      <c r="P20" s="132"/>
      <c r="Q20" s="132"/>
      <c r="R20" s="132" t="s">
        <v>536</v>
      </c>
      <c r="S20" s="132" t="s">
        <v>536</v>
      </c>
      <c r="T20" s="132" t="s">
        <v>536</v>
      </c>
      <c r="U20" s="132" t="s">
        <v>536</v>
      </c>
      <c r="V20" s="132" t="s">
        <v>536</v>
      </c>
      <c r="W20" s="132" t="s">
        <v>536</v>
      </c>
      <c r="X20" s="132" t="s">
        <v>536</v>
      </c>
      <c r="Y20" s="132" t="s">
        <v>536</v>
      </c>
      <c r="Z20" s="132" t="s">
        <v>536</v>
      </c>
      <c r="AA20" s="132" t="s">
        <v>536</v>
      </c>
      <c r="AB20" s="132" t="s">
        <v>536</v>
      </c>
      <c r="AC20" s="132" t="s">
        <v>536</v>
      </c>
      <c r="AD20" s="132" t="s">
        <v>536</v>
      </c>
      <c r="AE20" s="132" t="s">
        <v>536</v>
      </c>
      <c r="AF20" s="132" t="s">
        <v>536</v>
      </c>
      <c r="AG20" s="132" t="s">
        <v>536</v>
      </c>
      <c r="AH20" s="132" t="s">
        <v>536</v>
      </c>
      <c r="AI20" s="132" t="s">
        <v>536</v>
      </c>
      <c r="AJ20" s="95">
        <f t="shared" si="1"/>
        <v>24</v>
      </c>
      <c r="AK20" s="95"/>
      <c r="AL20" s="86"/>
      <c r="AV20" s="141" t="e">
        <f>+#REF!-#REF!</f>
        <v>#REF!</v>
      </c>
    </row>
    <row r="21" spans="1:48" s="27" customFormat="1" ht="24.75" customHeight="1">
      <c r="A21" s="85"/>
      <c r="B21" s="2781" t="s">
        <v>2829</v>
      </c>
      <c r="C21" s="2783"/>
      <c r="D21" s="136"/>
      <c r="E21" s="137">
        <f>COUNTIF(E11:E20,"X")+COUNTIF(E11:E20,"P")</f>
        <v>10</v>
      </c>
      <c r="F21" s="137">
        <f t="shared" ref="F21:AI21" si="2">COUNTIF(F11:F20,"X")+COUNTIF(F11:F20,"P")</f>
        <v>10</v>
      </c>
      <c r="G21" s="137">
        <f t="shared" si="2"/>
        <v>10</v>
      </c>
      <c r="H21" s="137">
        <f t="shared" si="2"/>
        <v>10</v>
      </c>
      <c r="I21" s="137">
        <f t="shared" si="2"/>
        <v>10</v>
      </c>
      <c r="J21" s="137">
        <f t="shared" si="2"/>
        <v>10</v>
      </c>
      <c r="K21" s="137">
        <f t="shared" si="2"/>
        <v>9</v>
      </c>
      <c r="L21" s="137">
        <f t="shared" si="2"/>
        <v>9</v>
      </c>
      <c r="M21" s="137">
        <f t="shared" si="2"/>
        <v>9</v>
      </c>
      <c r="N21" s="137">
        <f t="shared" si="2"/>
        <v>9</v>
      </c>
      <c r="O21" s="137">
        <f t="shared" si="2"/>
        <v>9</v>
      </c>
      <c r="P21" s="137">
        <f t="shared" si="2"/>
        <v>9</v>
      </c>
      <c r="Q21" s="137">
        <f t="shared" si="2"/>
        <v>9</v>
      </c>
      <c r="R21" s="137">
        <f t="shared" si="2"/>
        <v>10</v>
      </c>
      <c r="S21" s="137">
        <f t="shared" si="2"/>
        <v>2</v>
      </c>
      <c r="T21" s="137">
        <f t="shared" si="2"/>
        <v>2</v>
      </c>
      <c r="U21" s="137">
        <f t="shared" si="2"/>
        <v>2</v>
      </c>
      <c r="V21" s="137">
        <f t="shared" si="2"/>
        <v>2</v>
      </c>
      <c r="W21" s="137">
        <f t="shared" si="2"/>
        <v>2</v>
      </c>
      <c r="X21" s="137">
        <f t="shared" si="2"/>
        <v>2</v>
      </c>
      <c r="Y21" s="137">
        <f t="shared" si="2"/>
        <v>2</v>
      </c>
      <c r="Z21" s="137">
        <f t="shared" si="2"/>
        <v>2</v>
      </c>
      <c r="AA21" s="137">
        <f t="shared" si="2"/>
        <v>2</v>
      </c>
      <c r="AB21" s="137">
        <f t="shared" si="2"/>
        <v>2</v>
      </c>
      <c r="AC21" s="137">
        <f t="shared" si="2"/>
        <v>2</v>
      </c>
      <c r="AD21" s="137">
        <f t="shared" si="2"/>
        <v>2</v>
      </c>
      <c r="AE21" s="137">
        <f t="shared" si="2"/>
        <v>2</v>
      </c>
      <c r="AF21" s="137">
        <f t="shared" si="2"/>
        <v>2</v>
      </c>
      <c r="AG21" s="137">
        <f t="shared" si="2"/>
        <v>2</v>
      </c>
      <c r="AH21" s="137">
        <f t="shared" si="2"/>
        <v>2</v>
      </c>
      <c r="AI21" s="137">
        <f t="shared" si="2"/>
        <v>2</v>
      </c>
      <c r="AJ21" s="138">
        <f>SUM(AJ11:AJ20)</f>
        <v>167</v>
      </c>
      <c r="AK21" s="139"/>
      <c r="AL21" s="85"/>
      <c r="AV21" s="27">
        <f>18*7</f>
        <v>126</v>
      </c>
    </row>
    <row r="22" spans="1:48" ht="21.75" customHeight="1">
      <c r="A22" s="2855" t="s">
        <v>2554</v>
      </c>
      <c r="B22" s="2855"/>
      <c r="C22" s="86" t="s">
        <v>2830</v>
      </c>
      <c r="D22" s="86"/>
      <c r="E22" s="86"/>
      <c r="F22" s="86"/>
      <c r="G22" s="86"/>
      <c r="H22" s="86"/>
      <c r="I22" s="86"/>
      <c r="J22" s="86"/>
      <c r="K22" s="86"/>
      <c r="L22" s="86"/>
      <c r="M22" s="86"/>
      <c r="N22" s="86"/>
      <c r="O22" s="86"/>
      <c r="P22" s="86"/>
      <c r="Q22" s="86"/>
      <c r="R22" s="86"/>
      <c r="S22" s="86"/>
      <c r="T22" s="86"/>
      <c r="U22" s="86"/>
      <c r="V22" s="86"/>
      <c r="W22" s="86"/>
      <c r="X22" s="86"/>
      <c r="Y22" s="86"/>
      <c r="Z22" s="86"/>
      <c r="AA22" s="86"/>
      <c r="AB22" s="86"/>
      <c r="AC22" s="86"/>
      <c r="AD22" s="86"/>
      <c r="AE22" s="86"/>
      <c r="AF22" s="86"/>
      <c r="AG22" s="86"/>
      <c r="AH22" s="86"/>
      <c r="AI22" s="86"/>
      <c r="AJ22" s="140"/>
      <c r="AK22" s="140"/>
      <c r="AL22" s="86"/>
    </row>
    <row r="23" spans="1:48" s="26" customFormat="1" ht="16.5" customHeight="1">
      <c r="A23" s="85"/>
      <c r="B23" s="85"/>
      <c r="C23" s="86"/>
      <c r="D23" s="86"/>
      <c r="E23" s="85"/>
      <c r="F23" s="85"/>
      <c r="G23" s="85"/>
      <c r="H23" s="85"/>
      <c r="I23" s="85"/>
      <c r="J23" s="85"/>
      <c r="K23" s="85"/>
      <c r="L23" s="85"/>
      <c r="M23" s="85"/>
      <c r="N23" s="85"/>
      <c r="O23" s="85"/>
      <c r="P23" s="85"/>
      <c r="Q23" s="85"/>
      <c r="R23" s="85"/>
      <c r="S23" s="85"/>
      <c r="T23" s="85"/>
      <c r="U23" s="85"/>
      <c r="V23" s="85"/>
      <c r="W23" s="85"/>
      <c r="X23" s="85"/>
      <c r="Y23" s="85"/>
      <c r="Z23" s="85"/>
      <c r="AA23" s="2775" t="s">
        <v>3145</v>
      </c>
      <c r="AB23" s="2775"/>
      <c r="AC23" s="2775"/>
      <c r="AD23" s="2775"/>
      <c r="AE23" s="2775"/>
      <c r="AF23" s="2775"/>
      <c r="AG23" s="2775"/>
      <c r="AH23" s="2775"/>
      <c r="AI23" s="2775"/>
      <c r="AJ23" s="2775"/>
      <c r="AK23" s="2775"/>
      <c r="AL23" s="2775"/>
    </row>
    <row r="24" spans="1:48" ht="22.5" customHeight="1">
      <c r="A24" s="86"/>
      <c r="B24" s="2676" t="s">
        <v>614</v>
      </c>
      <c r="C24" s="2676"/>
      <c r="D24" s="2676"/>
      <c r="E24" s="85"/>
      <c r="F24" s="85"/>
      <c r="G24" s="85" t="s">
        <v>2831</v>
      </c>
      <c r="H24" s="85"/>
      <c r="I24" s="86"/>
      <c r="J24" s="85"/>
      <c r="K24" s="85"/>
      <c r="L24" s="85"/>
      <c r="M24" s="85"/>
      <c r="N24" s="85"/>
      <c r="O24" s="85" t="s">
        <v>2737</v>
      </c>
      <c r="P24" s="85"/>
      <c r="Q24" s="85"/>
      <c r="R24" s="86"/>
      <c r="S24" s="85"/>
      <c r="T24" s="85"/>
      <c r="U24" s="85"/>
      <c r="V24" s="85"/>
      <c r="W24" s="85"/>
      <c r="X24" s="85" t="s">
        <v>2478</v>
      </c>
      <c r="Y24" s="86"/>
      <c r="Z24" s="85"/>
      <c r="AA24" s="85"/>
      <c r="AB24" s="85"/>
      <c r="AC24" s="85"/>
      <c r="AD24" s="85"/>
      <c r="AE24" s="85"/>
      <c r="AF24" s="85" t="s">
        <v>612</v>
      </c>
      <c r="AG24" s="85"/>
      <c r="AH24" s="85"/>
      <c r="AI24" s="85"/>
      <c r="AJ24" s="85"/>
      <c r="AK24" s="85"/>
      <c r="AL24" s="85"/>
    </row>
    <row r="31" spans="1:48" ht="21" customHeight="1">
      <c r="AE31" s="2272" t="s">
        <v>613</v>
      </c>
      <c r="AF31" s="2272"/>
      <c r="AG31" s="2272"/>
      <c r="AH31" s="2272"/>
      <c r="AI31" s="2272"/>
      <c r="AJ31" s="2272"/>
    </row>
  </sheetData>
  <mergeCells count="19">
    <mergeCell ref="B1:AK1"/>
    <mergeCell ref="B2:AK2"/>
    <mergeCell ref="B3:AK3"/>
    <mergeCell ref="B4:K4"/>
    <mergeCell ref="B5:K5"/>
    <mergeCell ref="E6:AI6"/>
    <mergeCell ref="B7:C7"/>
    <mergeCell ref="E7:AI7"/>
    <mergeCell ref="B8:C8"/>
    <mergeCell ref="B21:C21"/>
    <mergeCell ref="A22:B22"/>
    <mergeCell ref="AA23:AL23"/>
    <mergeCell ref="B24:D24"/>
    <mergeCell ref="AE31:AJ31"/>
    <mergeCell ref="B9:B10"/>
    <mergeCell ref="C9:C10"/>
    <mergeCell ref="D9:D10"/>
    <mergeCell ref="AJ9:AJ10"/>
    <mergeCell ref="AK9:AK10"/>
  </mergeCells>
  <printOptions horizontalCentered="1"/>
  <pageMargins left="0.118110236220472" right="0.31496062992126" top="0.55118110236220497" bottom="0.74803149606299202" header="0.31496062992126" footer="0.31496062992126"/>
  <pageSetup paperSize="9" scale="65" orientation="landscape"/>
  <drawing r:id="rId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X32"/>
  <sheetViews>
    <sheetView showGridLines="0" zoomScaleSheetLayoutView="85" workbookViewId="0">
      <selection activeCell="A11" sqref="A11:XFD20"/>
    </sheetView>
  </sheetViews>
  <sheetFormatPr defaultColWidth="9.140625" defaultRowHeight="16.5"/>
  <cols>
    <col min="1" max="1" width="6" style="99" customWidth="1"/>
    <col min="2" max="2" width="7" style="99" hidden="1" customWidth="1"/>
    <col min="3" max="3" width="5.7109375" style="99" hidden="1" customWidth="1"/>
    <col min="4" max="4" width="25" style="99" customWidth="1"/>
    <col min="5" max="5" width="14.5703125" style="99" customWidth="1"/>
    <col min="6" max="6" width="7.140625" style="99" customWidth="1"/>
    <col min="7" max="7" width="9.5703125" style="99" customWidth="1"/>
    <col min="8" max="8" width="3.85546875" style="99" hidden="1" customWidth="1"/>
    <col min="9" max="9" width="7.7109375" style="99" customWidth="1"/>
    <col min="10" max="10" width="13.28515625" style="100" customWidth="1"/>
    <col min="11" max="11" width="13.140625" style="99" hidden="1" customWidth="1"/>
    <col min="12" max="12" width="11.140625" style="99" hidden="1" customWidth="1"/>
    <col min="13" max="13" width="13.140625" style="99" hidden="1" customWidth="1"/>
    <col min="14" max="14" width="6.85546875" style="99" hidden="1" customWidth="1"/>
    <col min="15" max="15" width="9.140625" style="99" hidden="1" customWidth="1"/>
    <col min="16" max="16" width="11.42578125" style="99" hidden="1" customWidth="1"/>
    <col min="17" max="17" width="13.85546875" style="99" hidden="1" customWidth="1"/>
    <col min="18" max="18" width="13.5703125" style="99" customWidth="1"/>
    <col min="19" max="19" width="13.7109375" style="99" customWidth="1"/>
    <col min="20" max="20" width="10.28515625" style="99" customWidth="1"/>
    <col min="21" max="21" width="7.42578125" style="99" customWidth="1"/>
    <col min="22" max="22" width="10" style="99" customWidth="1"/>
    <col min="23" max="23" width="17.85546875" style="99" customWidth="1"/>
    <col min="24" max="24" width="15.7109375" style="99" customWidth="1"/>
    <col min="25" max="16384" width="9.140625" style="99"/>
  </cols>
  <sheetData>
    <row r="1" spans="1:24" ht="22.5" customHeight="1">
      <c r="A1" s="2926" t="s">
        <v>617</v>
      </c>
      <c r="B1" s="2926"/>
      <c r="C1" s="2926"/>
      <c r="D1" s="2926"/>
      <c r="E1" s="2926"/>
      <c r="F1" s="2926"/>
      <c r="G1" s="2926"/>
      <c r="H1" s="2926"/>
      <c r="I1" s="2926"/>
      <c r="J1" s="2926"/>
      <c r="K1" s="2926"/>
      <c r="L1" s="2926"/>
      <c r="M1" s="2926"/>
      <c r="N1" s="2926"/>
      <c r="O1" s="2926"/>
      <c r="P1" s="2926"/>
      <c r="Q1" s="2926"/>
      <c r="R1" s="2926"/>
      <c r="S1" s="2926"/>
    </row>
    <row r="2" spans="1:24" ht="22.5" customHeight="1">
      <c r="A2" s="2926" t="s">
        <v>618</v>
      </c>
      <c r="B2" s="2926"/>
      <c r="C2" s="2926"/>
      <c r="D2" s="2926"/>
      <c r="E2" s="2926"/>
      <c r="F2" s="2926"/>
      <c r="G2" s="2926"/>
      <c r="H2" s="2926"/>
      <c r="I2" s="2926"/>
      <c r="J2" s="2926"/>
      <c r="K2" s="2926"/>
      <c r="L2" s="2926"/>
      <c r="M2" s="2926"/>
      <c r="N2" s="2926"/>
      <c r="O2" s="2926"/>
      <c r="P2" s="2926"/>
      <c r="Q2" s="2926"/>
      <c r="R2" s="2926"/>
      <c r="S2" s="2926"/>
    </row>
    <row r="3" spans="1:24" ht="22.5" customHeight="1">
      <c r="A3" s="2936" t="s">
        <v>619</v>
      </c>
      <c r="B3" s="2926"/>
      <c r="C3" s="2926"/>
      <c r="D3" s="2926"/>
      <c r="E3" s="2926"/>
      <c r="F3" s="2926"/>
      <c r="G3" s="2926"/>
      <c r="H3" s="2926"/>
      <c r="I3" s="2926"/>
      <c r="J3" s="2926"/>
      <c r="K3" s="2926"/>
      <c r="L3" s="2926"/>
      <c r="M3" s="2926"/>
      <c r="N3" s="2926"/>
      <c r="O3" s="2926"/>
      <c r="P3" s="2926"/>
      <c r="Q3" s="2926"/>
      <c r="R3" s="2926"/>
      <c r="S3" s="2926"/>
    </row>
    <row r="4" spans="1:24" ht="22.5" customHeight="1">
      <c r="A4" s="2937" t="s">
        <v>3</v>
      </c>
      <c r="B4" s="2937"/>
      <c r="C4" s="2937"/>
      <c r="D4" s="2937"/>
      <c r="E4" s="2937"/>
      <c r="F4" s="2937"/>
      <c r="G4" s="2937"/>
      <c r="H4" s="2937"/>
      <c r="I4" s="2937"/>
      <c r="J4" s="2937"/>
      <c r="K4" s="2937"/>
      <c r="L4" s="2937"/>
      <c r="M4" s="2937"/>
      <c r="N4" s="2937"/>
      <c r="O4" s="2937"/>
      <c r="P4" s="2937"/>
      <c r="Q4" s="2937"/>
      <c r="R4" s="2937"/>
      <c r="S4" s="2937"/>
    </row>
    <row r="5" spans="1:24" ht="22.5" customHeight="1">
      <c r="A5" s="2926" t="s">
        <v>3061</v>
      </c>
      <c r="B5" s="2926"/>
      <c r="C5" s="2926"/>
      <c r="D5" s="2926"/>
      <c r="E5" s="2926"/>
      <c r="F5" s="2926"/>
      <c r="G5" s="98"/>
      <c r="H5" s="98"/>
      <c r="I5" s="98"/>
      <c r="J5" s="98"/>
      <c r="K5" s="98"/>
      <c r="L5" s="98"/>
      <c r="M5" s="98"/>
      <c r="N5" s="98"/>
      <c r="O5" s="98"/>
      <c r="P5" s="98"/>
      <c r="Q5" s="98"/>
      <c r="R5" s="98"/>
      <c r="S5" s="98"/>
    </row>
    <row r="6" spans="1:24" ht="22.5" customHeight="1">
      <c r="A6" s="2926"/>
      <c r="B6" s="2926"/>
      <c r="C6" s="2926"/>
      <c r="D6" s="2926"/>
      <c r="E6" s="2926"/>
      <c r="F6" s="2926"/>
      <c r="G6" s="2926"/>
      <c r="H6" s="2926"/>
      <c r="I6" s="2926"/>
      <c r="J6" s="2926"/>
      <c r="K6" s="2926"/>
      <c r="L6" s="2926"/>
      <c r="M6" s="2926"/>
      <c r="N6" s="2926"/>
      <c r="O6" s="2926"/>
      <c r="P6" s="2926"/>
      <c r="Q6" s="2926"/>
      <c r="R6" s="2926"/>
      <c r="S6" s="2926"/>
    </row>
    <row r="7" spans="1:24" ht="22.5" customHeight="1">
      <c r="A7" s="2934" t="s">
        <v>3146</v>
      </c>
      <c r="B7" s="2934"/>
      <c r="C7" s="2934"/>
      <c r="D7" s="2934"/>
      <c r="E7" s="2934"/>
      <c r="F7" s="2934"/>
      <c r="G7" s="2934"/>
      <c r="H7" s="2934"/>
      <c r="I7" s="2934"/>
      <c r="J7" s="2934"/>
      <c r="K7" s="2934"/>
      <c r="L7" s="2934"/>
      <c r="M7" s="2934"/>
      <c r="N7" s="2934"/>
      <c r="O7" s="2934"/>
      <c r="P7" s="2934"/>
      <c r="Q7" s="2934"/>
      <c r="R7" s="2934"/>
      <c r="S7" s="2934"/>
      <c r="T7" s="101"/>
    </row>
    <row r="8" spans="1:24">
      <c r="S8" s="116"/>
      <c r="T8" s="116"/>
      <c r="U8" s="116">
        <v>31</v>
      </c>
    </row>
    <row r="9" spans="1:24" ht="15.75" customHeight="1">
      <c r="A9" s="2927" t="s">
        <v>6</v>
      </c>
      <c r="B9" s="2928" t="s">
        <v>624</v>
      </c>
      <c r="C9" s="2929" t="s">
        <v>3071</v>
      </c>
      <c r="D9" s="2930"/>
      <c r="E9" s="2928" t="s">
        <v>9</v>
      </c>
      <c r="F9" s="2927" t="s">
        <v>628</v>
      </c>
      <c r="G9" s="2927"/>
      <c r="H9" s="2927"/>
      <c r="I9" s="2927"/>
      <c r="J9" s="2927"/>
      <c r="K9" s="2927"/>
      <c r="L9" s="2795" t="s">
        <v>3072</v>
      </c>
      <c r="M9" s="2928" t="s">
        <v>3073</v>
      </c>
      <c r="N9" s="2928" t="s">
        <v>631</v>
      </c>
      <c r="O9" s="2928" t="s">
        <v>3074</v>
      </c>
      <c r="P9" s="2928" t="s">
        <v>3075</v>
      </c>
      <c r="Q9" s="2928" t="s">
        <v>3076</v>
      </c>
      <c r="R9" s="2928" t="s">
        <v>3077</v>
      </c>
      <c r="S9" s="2928" t="s">
        <v>2836</v>
      </c>
      <c r="T9" s="117"/>
    </row>
    <row r="10" spans="1:24" ht="50.25" customHeight="1">
      <c r="A10" s="2927"/>
      <c r="B10" s="2928"/>
      <c r="C10" s="2931"/>
      <c r="D10" s="2932"/>
      <c r="E10" s="2928"/>
      <c r="F10" s="103" t="s">
        <v>3078</v>
      </c>
      <c r="G10" s="103" t="s">
        <v>3079</v>
      </c>
      <c r="H10" s="103" t="s">
        <v>3080</v>
      </c>
      <c r="I10" s="102" t="s">
        <v>2399</v>
      </c>
      <c r="J10" s="112" t="s">
        <v>3081</v>
      </c>
      <c r="K10" s="103" t="s">
        <v>3082</v>
      </c>
      <c r="L10" s="2796"/>
      <c r="M10" s="2928"/>
      <c r="N10" s="2927"/>
      <c r="O10" s="2928"/>
      <c r="P10" s="2927"/>
      <c r="Q10" s="2927"/>
      <c r="R10" s="2927"/>
      <c r="S10" s="2927"/>
      <c r="T10" s="88"/>
      <c r="U10" s="100"/>
      <c r="W10" s="118"/>
    </row>
    <row r="11" spans="1:24" s="84" customFormat="1" ht="24.75" customHeight="1">
      <c r="A11" s="104">
        <v>1</v>
      </c>
      <c r="B11" s="105" t="s">
        <v>3053</v>
      </c>
      <c r="C11" s="92" t="s">
        <v>3054</v>
      </c>
      <c r="D11" s="92" t="s">
        <v>3085</v>
      </c>
      <c r="E11" s="92" t="s">
        <v>2855</v>
      </c>
      <c r="F11" s="106">
        <f>VLOOKUP(D11,'Chấm công XĂNG XE'!C11:$AJ$20,34,0)</f>
        <v>14</v>
      </c>
      <c r="G11" s="107">
        <v>20000</v>
      </c>
      <c r="H11" s="106"/>
      <c r="I11" s="106" t="s">
        <v>2807</v>
      </c>
      <c r="J11" s="113">
        <f t="shared" ref="J11:J20" si="0">F11*G11</f>
        <v>280000</v>
      </c>
      <c r="K11" s="113"/>
      <c r="L11" s="113"/>
      <c r="M11" s="113">
        <f t="shared" ref="M11:M20" si="1">+K11+L11</f>
        <v>0</v>
      </c>
      <c r="N11" s="113"/>
      <c r="O11" s="113"/>
      <c r="P11" s="113"/>
      <c r="Q11" s="113">
        <f t="shared" ref="Q11:Q20" si="2">M11-N11-P11</f>
        <v>0</v>
      </c>
      <c r="R11" s="119"/>
      <c r="S11" s="120"/>
      <c r="T11" s="121"/>
      <c r="U11" s="122" t="s">
        <v>3055</v>
      </c>
      <c r="V11" s="123"/>
      <c r="W11" s="122"/>
      <c r="X11" s="123"/>
    </row>
    <row r="12" spans="1:24" s="84" customFormat="1" ht="24.75" customHeight="1">
      <c r="A12" s="104">
        <v>2</v>
      </c>
      <c r="B12" s="105"/>
      <c r="C12" s="92" t="s">
        <v>1850</v>
      </c>
      <c r="D12" s="92" t="s">
        <v>613</v>
      </c>
      <c r="E12" s="92" t="s">
        <v>3143</v>
      </c>
      <c r="F12" s="106">
        <f>VLOOKUP(D12,'Chấm công XĂNG XE'!C12:$AJ$20,34,0)</f>
        <v>14</v>
      </c>
      <c r="G12" s="107">
        <v>20000</v>
      </c>
      <c r="H12" s="106"/>
      <c r="I12" s="106" t="s">
        <v>2807</v>
      </c>
      <c r="J12" s="113">
        <f t="shared" si="0"/>
        <v>280000</v>
      </c>
      <c r="K12" s="113"/>
      <c r="L12" s="113"/>
      <c r="M12" s="113">
        <f t="shared" si="1"/>
        <v>0</v>
      </c>
      <c r="N12" s="113"/>
      <c r="O12" s="113"/>
      <c r="P12" s="113"/>
      <c r="Q12" s="113">
        <f t="shared" si="2"/>
        <v>0</v>
      </c>
      <c r="R12" s="89"/>
      <c r="S12" s="120"/>
      <c r="T12" s="121"/>
      <c r="U12" s="122" t="s">
        <v>3056</v>
      </c>
      <c r="V12" s="123"/>
      <c r="W12" s="122"/>
      <c r="X12" s="123"/>
    </row>
    <row r="13" spans="1:24" s="84" customFormat="1" ht="24.75" customHeight="1">
      <c r="A13" s="104">
        <v>3</v>
      </c>
      <c r="B13" s="105"/>
      <c r="C13" s="92" t="s">
        <v>1850</v>
      </c>
      <c r="D13" s="92" t="s">
        <v>3111</v>
      </c>
      <c r="E13" s="92" t="s">
        <v>2856</v>
      </c>
      <c r="F13" s="106">
        <f>VLOOKUP(D13,'Chấm công XĂNG XE'!C13:$AJ$20,34,0)</f>
        <v>14</v>
      </c>
      <c r="G13" s="107">
        <v>20000</v>
      </c>
      <c r="H13" s="106"/>
      <c r="I13" s="106" t="s">
        <v>2807</v>
      </c>
      <c r="J13" s="113">
        <f t="shared" si="0"/>
        <v>280000</v>
      </c>
      <c r="K13" s="113"/>
      <c r="L13" s="113"/>
      <c r="M13" s="113">
        <f t="shared" si="1"/>
        <v>0</v>
      </c>
      <c r="N13" s="113"/>
      <c r="O13" s="113"/>
      <c r="P13" s="113"/>
      <c r="Q13" s="113">
        <f t="shared" si="2"/>
        <v>0</v>
      </c>
      <c r="R13" s="89"/>
      <c r="S13" s="120"/>
      <c r="T13" s="121"/>
      <c r="U13" s="122" t="s">
        <v>3056</v>
      </c>
      <c r="V13" s="123"/>
      <c r="W13" s="122"/>
      <c r="X13" s="123"/>
    </row>
    <row r="14" spans="1:24" s="84" customFormat="1" ht="24.75" customHeight="1">
      <c r="A14" s="104">
        <v>4</v>
      </c>
      <c r="B14" s="105" t="s">
        <v>1852</v>
      </c>
      <c r="C14" s="92"/>
      <c r="D14" s="92" t="s">
        <v>3091</v>
      </c>
      <c r="E14" s="92" t="s">
        <v>2856</v>
      </c>
      <c r="F14" s="106">
        <f>VLOOKUP(D14,'Chấm công XĂNG XE'!C14:$AJ$20,34,0)</f>
        <v>14</v>
      </c>
      <c r="G14" s="107">
        <v>20000</v>
      </c>
      <c r="H14" s="106"/>
      <c r="I14" s="106" t="s">
        <v>2807</v>
      </c>
      <c r="J14" s="113">
        <f t="shared" si="0"/>
        <v>280000</v>
      </c>
      <c r="K14" s="113"/>
      <c r="L14" s="113"/>
      <c r="M14" s="113">
        <f t="shared" si="1"/>
        <v>0</v>
      </c>
      <c r="N14" s="113"/>
      <c r="O14" s="113"/>
      <c r="P14" s="113"/>
      <c r="Q14" s="113">
        <f t="shared" si="2"/>
        <v>0</v>
      </c>
      <c r="R14" s="89"/>
      <c r="S14" s="120"/>
      <c r="T14" s="121"/>
      <c r="U14" s="122" t="s">
        <v>2936</v>
      </c>
      <c r="V14" s="123"/>
      <c r="W14" s="122"/>
      <c r="X14" s="123"/>
    </row>
    <row r="15" spans="1:24" s="84" customFormat="1" ht="24.75" customHeight="1">
      <c r="A15" s="104">
        <v>5</v>
      </c>
      <c r="B15" s="105" t="s">
        <v>1853</v>
      </c>
      <c r="C15" s="92"/>
      <c r="D15" s="92" t="s">
        <v>3093</v>
      </c>
      <c r="E15" s="92" t="s">
        <v>2856</v>
      </c>
      <c r="F15" s="106">
        <f>VLOOKUP(D15,'Chấm công XĂNG XE'!C15:$AJ$20,34,0)</f>
        <v>14</v>
      </c>
      <c r="G15" s="107">
        <v>20000</v>
      </c>
      <c r="H15" s="106"/>
      <c r="I15" s="106" t="s">
        <v>2807</v>
      </c>
      <c r="J15" s="113">
        <f t="shared" si="0"/>
        <v>280000</v>
      </c>
      <c r="K15" s="113"/>
      <c r="L15" s="113"/>
      <c r="M15" s="113">
        <f t="shared" si="1"/>
        <v>0</v>
      </c>
      <c r="N15" s="113"/>
      <c r="O15" s="113"/>
      <c r="P15" s="113"/>
      <c r="Q15" s="113">
        <f t="shared" si="2"/>
        <v>0</v>
      </c>
      <c r="R15" s="89"/>
      <c r="S15" s="120"/>
      <c r="T15" s="121"/>
      <c r="U15" s="122" t="s">
        <v>2936</v>
      </c>
      <c r="V15" s="123" t="s">
        <v>2937</v>
      </c>
      <c r="W15" s="122"/>
      <c r="X15" s="123"/>
    </row>
    <row r="16" spans="1:24" s="84" customFormat="1" ht="24.75" customHeight="1">
      <c r="A16" s="104">
        <v>6</v>
      </c>
      <c r="B16" s="105" t="s">
        <v>1853</v>
      </c>
      <c r="C16" s="92"/>
      <c r="D16" s="92" t="s">
        <v>3098</v>
      </c>
      <c r="E16" s="92" t="s">
        <v>2856</v>
      </c>
      <c r="F16" s="106">
        <f>VLOOKUP(D16,'Chấm công XĂNG XE'!C16:$AJ$20,34,0)</f>
        <v>14</v>
      </c>
      <c r="G16" s="107">
        <v>20000</v>
      </c>
      <c r="H16" s="106"/>
      <c r="I16" s="106" t="s">
        <v>2807</v>
      </c>
      <c r="J16" s="113">
        <f t="shared" si="0"/>
        <v>280000</v>
      </c>
      <c r="K16" s="113"/>
      <c r="L16" s="113"/>
      <c r="M16" s="113">
        <f t="shared" si="1"/>
        <v>0</v>
      </c>
      <c r="N16" s="113"/>
      <c r="O16" s="113"/>
      <c r="P16" s="113"/>
      <c r="Q16" s="113">
        <f t="shared" si="2"/>
        <v>0</v>
      </c>
      <c r="R16" s="89"/>
      <c r="S16" s="120"/>
      <c r="T16" s="121"/>
      <c r="U16" s="122" t="s">
        <v>2936</v>
      </c>
      <c r="V16" s="123" t="s">
        <v>2937</v>
      </c>
      <c r="W16" s="122"/>
      <c r="X16" s="123"/>
    </row>
    <row r="17" spans="1:24" s="84" customFormat="1" ht="24.75" customHeight="1">
      <c r="A17" s="104">
        <v>7</v>
      </c>
      <c r="B17" s="105"/>
      <c r="C17" s="92" t="s">
        <v>1850</v>
      </c>
      <c r="D17" s="92" t="s">
        <v>3100</v>
      </c>
      <c r="E17" s="92" t="s">
        <v>2864</v>
      </c>
      <c r="F17" s="106">
        <f>VLOOKUP(D17,'Chấm công XĂNG XE'!C17:$AJ$20,34,0)</f>
        <v>14</v>
      </c>
      <c r="G17" s="107">
        <v>20000</v>
      </c>
      <c r="H17" s="106"/>
      <c r="I17" s="106" t="s">
        <v>2807</v>
      </c>
      <c r="J17" s="113">
        <f t="shared" si="0"/>
        <v>280000</v>
      </c>
      <c r="K17" s="113"/>
      <c r="L17" s="113"/>
      <c r="M17" s="113">
        <f t="shared" si="1"/>
        <v>0</v>
      </c>
      <c r="N17" s="113"/>
      <c r="O17" s="113"/>
      <c r="P17" s="113"/>
      <c r="Q17" s="113">
        <f t="shared" si="2"/>
        <v>0</v>
      </c>
      <c r="R17" s="89"/>
      <c r="S17" s="120"/>
      <c r="T17" s="121"/>
      <c r="U17" s="122" t="s">
        <v>3056</v>
      </c>
      <c r="V17" s="123"/>
      <c r="W17" s="122"/>
      <c r="X17" s="123"/>
    </row>
    <row r="18" spans="1:24" s="84" customFormat="1" ht="24.75" customHeight="1">
      <c r="A18" s="104">
        <v>8</v>
      </c>
      <c r="B18" s="105"/>
      <c r="C18" s="92" t="s">
        <v>1850</v>
      </c>
      <c r="D18" s="92" t="s">
        <v>3144</v>
      </c>
      <c r="E18" s="92" t="s">
        <v>2864</v>
      </c>
      <c r="F18" s="106">
        <f>VLOOKUP(D18,'Chấm công XĂNG XE'!C18:$AJ$20,34,0)</f>
        <v>14</v>
      </c>
      <c r="G18" s="107">
        <v>20000</v>
      </c>
      <c r="H18" s="106"/>
      <c r="I18" s="106" t="s">
        <v>2807</v>
      </c>
      <c r="J18" s="113">
        <f t="shared" si="0"/>
        <v>280000</v>
      </c>
      <c r="K18" s="113"/>
      <c r="L18" s="113"/>
      <c r="M18" s="113">
        <f t="shared" si="1"/>
        <v>0</v>
      </c>
      <c r="N18" s="113"/>
      <c r="O18" s="113"/>
      <c r="P18" s="113"/>
      <c r="Q18" s="113">
        <f t="shared" si="2"/>
        <v>0</v>
      </c>
      <c r="R18" s="89"/>
      <c r="S18" s="120"/>
      <c r="T18" s="121"/>
      <c r="U18" s="122" t="s">
        <v>3056</v>
      </c>
      <c r="V18" s="123"/>
      <c r="W18" s="122"/>
      <c r="X18" s="123"/>
    </row>
    <row r="19" spans="1:24" s="84" customFormat="1" ht="24.75" customHeight="1">
      <c r="A19" s="104">
        <v>9</v>
      </c>
      <c r="B19" s="105" t="s">
        <v>1852</v>
      </c>
      <c r="C19" s="92"/>
      <c r="D19" s="92" t="s">
        <v>3103</v>
      </c>
      <c r="E19" s="92" t="s">
        <v>1851</v>
      </c>
      <c r="F19" s="106">
        <f>VLOOKUP(D19,'Chấm công XĂNG XE'!C19:$AJ$20,34,0)</f>
        <v>31</v>
      </c>
      <c r="G19" s="107">
        <v>20000</v>
      </c>
      <c r="H19" s="106"/>
      <c r="I19" s="106" t="s">
        <v>2807</v>
      </c>
      <c r="J19" s="113">
        <f t="shared" si="0"/>
        <v>620000</v>
      </c>
      <c r="K19" s="113"/>
      <c r="L19" s="113"/>
      <c r="M19" s="113">
        <f t="shared" si="1"/>
        <v>0</v>
      </c>
      <c r="N19" s="113"/>
      <c r="O19" s="113"/>
      <c r="P19" s="113"/>
      <c r="Q19" s="113">
        <f t="shared" si="2"/>
        <v>0</v>
      </c>
      <c r="R19" s="89"/>
      <c r="S19" s="120"/>
      <c r="T19" s="121"/>
      <c r="U19" s="122" t="s">
        <v>2936</v>
      </c>
      <c r="V19" s="123"/>
      <c r="W19" s="122"/>
      <c r="X19" s="123"/>
    </row>
    <row r="20" spans="1:24" s="84" customFormat="1" ht="24.75" customHeight="1">
      <c r="A20" s="104">
        <v>10</v>
      </c>
      <c r="B20" s="105" t="s">
        <v>1853</v>
      </c>
      <c r="C20" s="92"/>
      <c r="D20" s="92" t="s">
        <v>3104</v>
      </c>
      <c r="E20" s="92" t="s">
        <v>1851</v>
      </c>
      <c r="F20" s="106">
        <f>VLOOKUP(D20,'Chấm công XĂNG XE'!C20:$AJ$20,34,0)</f>
        <v>24</v>
      </c>
      <c r="G20" s="107">
        <v>20000</v>
      </c>
      <c r="H20" s="106"/>
      <c r="I20" s="106" t="s">
        <v>2807</v>
      </c>
      <c r="J20" s="113">
        <f t="shared" si="0"/>
        <v>480000</v>
      </c>
      <c r="K20" s="113"/>
      <c r="L20" s="113"/>
      <c r="M20" s="113">
        <f t="shared" si="1"/>
        <v>0</v>
      </c>
      <c r="N20" s="113"/>
      <c r="O20" s="113"/>
      <c r="P20" s="113"/>
      <c r="Q20" s="113">
        <f t="shared" si="2"/>
        <v>0</v>
      </c>
      <c r="R20" s="89"/>
      <c r="S20" s="120"/>
      <c r="T20" s="121"/>
      <c r="U20" s="122" t="s">
        <v>2936</v>
      </c>
      <c r="V20" s="123" t="s">
        <v>2937</v>
      </c>
      <c r="W20" s="122"/>
      <c r="X20" s="123"/>
    </row>
    <row r="21" spans="1:24" s="84" customFormat="1" ht="29.25" customHeight="1">
      <c r="A21" s="2927" t="s">
        <v>608</v>
      </c>
      <c r="B21" s="2927"/>
      <c r="C21" s="2927"/>
      <c r="D21" s="2927"/>
      <c r="E21" s="2927"/>
      <c r="F21" s="108">
        <f>SUM(F11:F20)</f>
        <v>167</v>
      </c>
      <c r="G21" s="108"/>
      <c r="H21" s="102"/>
      <c r="I21" s="102"/>
      <c r="J21" s="114">
        <f t="shared" ref="J21:Q21" si="3">SUM(J11:J20)</f>
        <v>3340000</v>
      </c>
      <c r="K21" s="114">
        <f t="shared" si="3"/>
        <v>0</v>
      </c>
      <c r="L21" s="114">
        <f t="shared" si="3"/>
        <v>0</v>
      </c>
      <c r="M21" s="114">
        <f t="shared" si="3"/>
        <v>0</v>
      </c>
      <c r="N21" s="114">
        <f t="shared" si="3"/>
        <v>0</v>
      </c>
      <c r="O21" s="114">
        <f t="shared" si="3"/>
        <v>0</v>
      </c>
      <c r="P21" s="114">
        <f t="shared" si="3"/>
        <v>0</v>
      </c>
      <c r="Q21" s="114">
        <f t="shared" si="3"/>
        <v>0</v>
      </c>
      <c r="R21" s="102"/>
      <c r="S21" s="102"/>
      <c r="T21" s="124">
        <f>+Q21/25</f>
        <v>0</v>
      </c>
      <c r="U21" s="125"/>
      <c r="V21" s="123">
        <f>14*1200</f>
        <v>16800</v>
      </c>
      <c r="W21" s="126">
        <f>1700/31*26</f>
        <v>1425.8064516129</v>
      </c>
      <c r="X21" s="123"/>
    </row>
    <row r="22" spans="1:24" s="98" customFormat="1" ht="15.75" customHeight="1">
      <c r="A22" s="2935" t="s">
        <v>3147</v>
      </c>
      <c r="B22" s="2935"/>
      <c r="C22" s="2935"/>
      <c r="D22" s="2935"/>
      <c r="E22" s="2935"/>
      <c r="F22" s="2935"/>
      <c r="G22" s="2935"/>
      <c r="H22" s="2935"/>
      <c r="I22" s="2935"/>
      <c r="J22" s="2935"/>
      <c r="K22" s="2935"/>
      <c r="L22" s="2935"/>
      <c r="M22" s="2935"/>
      <c r="N22" s="2935"/>
      <c r="O22" s="2935"/>
      <c r="P22" s="2935"/>
      <c r="Q22" s="2935"/>
      <c r="R22" s="2935"/>
      <c r="S22" s="2935"/>
      <c r="T22" s="109"/>
      <c r="U22" s="127"/>
      <c r="W22" s="128" t="e">
        <f>+W21/25+#REF!</f>
        <v>#REF!</v>
      </c>
    </row>
    <row r="23" spans="1:24" s="98" customFormat="1">
      <c r="E23" s="101"/>
      <c r="F23" s="101"/>
      <c r="G23" s="101"/>
      <c r="H23" s="101"/>
      <c r="I23" s="101"/>
      <c r="J23" s="101"/>
      <c r="K23" s="101"/>
      <c r="L23" s="101"/>
      <c r="M23" s="101"/>
      <c r="N23" s="101"/>
      <c r="O23" s="101"/>
      <c r="P23" s="101"/>
      <c r="Q23" s="101"/>
      <c r="T23" s="98">
        <f>900*14</f>
        <v>12600</v>
      </c>
      <c r="U23" s="127"/>
    </row>
    <row r="24" spans="1:24" ht="15" customHeight="1">
      <c r="A24" s="109"/>
      <c r="B24" s="109"/>
      <c r="D24" s="110"/>
      <c r="F24" s="111"/>
      <c r="I24" s="2933" t="s">
        <v>2818</v>
      </c>
      <c r="J24" s="2933"/>
      <c r="K24" s="2933"/>
      <c r="L24" s="2933"/>
      <c r="M24" s="2933"/>
      <c r="N24" s="2933"/>
      <c r="O24" s="2933"/>
      <c r="P24" s="2933"/>
      <c r="Q24" s="2933"/>
      <c r="R24" s="2933"/>
      <c r="S24" s="2933"/>
      <c r="T24" s="129"/>
      <c r="U24" s="130"/>
      <c r="V24" s="118">
        <f>+F21*20</f>
        <v>3340</v>
      </c>
    </row>
    <row r="25" spans="1:24">
      <c r="A25" s="2926" t="s">
        <v>2860</v>
      </c>
      <c r="B25" s="2926"/>
      <c r="C25" s="2926"/>
      <c r="D25" s="2926"/>
      <c r="E25" s="98"/>
      <c r="F25" s="2926" t="s">
        <v>2478</v>
      </c>
      <c r="G25" s="2926"/>
      <c r="H25" s="2926"/>
      <c r="I25" s="2926"/>
      <c r="J25" s="98"/>
      <c r="K25" s="98"/>
      <c r="L25" s="98"/>
      <c r="M25" s="98"/>
      <c r="N25" s="2926" t="s">
        <v>612</v>
      </c>
      <c r="O25" s="2926"/>
      <c r="P25" s="2926"/>
      <c r="Q25" s="2926"/>
      <c r="R25" s="2926"/>
      <c r="S25" s="2926"/>
      <c r="T25" s="101"/>
      <c r="U25" s="98"/>
    </row>
    <row r="28" spans="1:24" ht="57.75" customHeight="1"/>
    <row r="30" spans="1:24" s="98" customFormat="1">
      <c r="A30" s="2926"/>
      <c r="B30" s="2926"/>
      <c r="C30" s="2926"/>
      <c r="D30" s="2926"/>
      <c r="E30" s="2926"/>
      <c r="F30" s="2926"/>
      <c r="J30" s="115"/>
      <c r="Q30" s="2926" t="s">
        <v>613</v>
      </c>
      <c r="R30" s="2926"/>
      <c r="S30" s="2926"/>
    </row>
    <row r="31" spans="1:24">
      <c r="Q31" s="2926"/>
      <c r="R31" s="2926"/>
      <c r="S31" s="2926"/>
      <c r="T31" s="101"/>
    </row>
    <row r="32" spans="1:24" s="98" customFormat="1">
      <c r="A32" s="98" t="s">
        <v>614</v>
      </c>
      <c r="F32" s="2926" t="s">
        <v>2938</v>
      </c>
      <c r="G32" s="2926"/>
      <c r="H32" s="2926"/>
      <c r="I32" s="2926"/>
      <c r="J32" s="115"/>
      <c r="R32" s="2926" t="s">
        <v>616</v>
      </c>
      <c r="S32" s="2926"/>
    </row>
  </sheetData>
  <mergeCells count="32">
    <mergeCell ref="A1:S1"/>
    <mergeCell ref="A2:S2"/>
    <mergeCell ref="A3:S3"/>
    <mergeCell ref="A4:S4"/>
    <mergeCell ref="A5:F5"/>
    <mergeCell ref="A6:S6"/>
    <mergeCell ref="A7:S7"/>
    <mergeCell ref="F9:K9"/>
    <mergeCell ref="A21:E21"/>
    <mergeCell ref="A22:S22"/>
    <mergeCell ref="A25:D25"/>
    <mergeCell ref="F25:I25"/>
    <mergeCell ref="N25:S25"/>
    <mergeCell ref="A30:D30"/>
    <mergeCell ref="E30:F30"/>
    <mergeCell ref="Q30:S30"/>
    <mergeCell ref="Q31:S31"/>
    <mergeCell ref="F32:I32"/>
    <mergeCell ref="R32:S32"/>
    <mergeCell ref="A9:A10"/>
    <mergeCell ref="B9:B10"/>
    <mergeCell ref="E9:E10"/>
    <mergeCell ref="L9:L10"/>
    <mergeCell ref="M9:M10"/>
    <mergeCell ref="N9:N10"/>
    <mergeCell ref="O9:O10"/>
    <mergeCell ref="P9:P10"/>
    <mergeCell ref="Q9:Q10"/>
    <mergeCell ref="R9:R10"/>
    <mergeCell ref="S9:S10"/>
    <mergeCell ref="C9:D10"/>
    <mergeCell ref="I24:S24"/>
  </mergeCells>
  <printOptions horizontalCentered="1"/>
  <pageMargins left="0" right="0" top="0.78740157480314998" bottom="0.196850393700787" header="0.31496062992126" footer="0.31496062992126"/>
  <pageSetup paperSize="9" scale="90" orientation="portrait"/>
  <headerFooter>
    <oddFooter>&amp;R&amp;P</oddFooter>
  </headerFooter>
  <drawing r:id="rId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CQ51"/>
  <sheetViews>
    <sheetView workbookViewId="0">
      <selection activeCell="A19" sqref="A19:XFD19"/>
    </sheetView>
  </sheetViews>
  <sheetFormatPr defaultColWidth="9" defaultRowHeight="15.75"/>
  <cols>
    <col min="1" max="1" width="25.140625" style="54" customWidth="1"/>
    <col min="2" max="2" width="14" style="54" hidden="1" customWidth="1"/>
    <col min="3" max="3" width="24.28515625" style="55" customWidth="1"/>
    <col min="4" max="4" width="24" style="56" customWidth="1"/>
    <col min="5" max="5" width="27.85546875" style="56" customWidth="1"/>
    <col min="6" max="6" width="27.42578125" style="56" customWidth="1"/>
    <col min="7" max="7" width="26.85546875" style="57" customWidth="1"/>
    <col min="8" max="17" width="9" style="55"/>
    <col min="18" max="18" width="12.85546875" style="55" customWidth="1"/>
    <col min="19" max="16384" width="9" style="55"/>
  </cols>
  <sheetData>
    <row r="1" spans="1:95" s="6" customFormat="1">
      <c r="A1" s="2731" t="s">
        <v>0</v>
      </c>
      <c r="B1" s="2731"/>
      <c r="C1" s="2731"/>
      <c r="D1" s="2731"/>
      <c r="E1" s="2731"/>
      <c r="F1" s="2731"/>
      <c r="G1" s="2731"/>
      <c r="H1" s="7"/>
      <c r="I1" s="7"/>
      <c r="J1" s="7"/>
      <c r="K1" s="7"/>
      <c r="L1" s="7"/>
      <c r="M1" s="7"/>
      <c r="N1" s="7"/>
      <c r="O1" s="7"/>
      <c r="P1" s="7"/>
      <c r="Q1" s="7"/>
      <c r="R1" s="7"/>
      <c r="S1" s="7"/>
      <c r="T1" s="7"/>
      <c r="U1" s="7"/>
    </row>
    <row r="2" spans="1:95" s="6" customFormat="1">
      <c r="A2" s="2731" t="s">
        <v>1968</v>
      </c>
      <c r="B2" s="2731"/>
      <c r="C2" s="2731"/>
      <c r="D2" s="2731"/>
      <c r="E2" s="2731"/>
      <c r="F2" s="2731"/>
      <c r="G2" s="2731"/>
      <c r="H2" s="7"/>
      <c r="I2" s="7"/>
      <c r="J2" s="7"/>
      <c r="K2" s="7"/>
      <c r="L2" s="7"/>
      <c r="M2" s="7"/>
      <c r="N2" s="7"/>
      <c r="O2" s="7"/>
      <c r="P2" s="7"/>
      <c r="Q2" s="7"/>
      <c r="R2" s="7"/>
      <c r="S2" s="7"/>
      <c r="T2" s="7"/>
      <c r="U2" s="7"/>
    </row>
    <row r="3" spans="1:95" s="6" customFormat="1">
      <c r="A3" s="2732" t="s">
        <v>619</v>
      </c>
      <c r="B3" s="2731"/>
      <c r="C3" s="2731"/>
      <c r="D3" s="2731"/>
      <c r="E3" s="2731"/>
      <c r="F3" s="2731"/>
      <c r="G3" s="2731"/>
      <c r="H3" s="7"/>
      <c r="I3" s="7"/>
      <c r="J3" s="7"/>
      <c r="K3" s="7"/>
      <c r="L3" s="7"/>
      <c r="M3" s="7"/>
      <c r="N3" s="7"/>
      <c r="O3" s="7"/>
      <c r="P3" s="7"/>
      <c r="Q3" s="7"/>
      <c r="R3" s="7"/>
      <c r="S3" s="7"/>
      <c r="T3" s="7"/>
      <c r="U3" s="7"/>
    </row>
    <row r="4" spans="1:95" s="28" customFormat="1" ht="24" customHeight="1">
      <c r="A4" s="2946" t="s">
        <v>2709</v>
      </c>
      <c r="B4" s="2273"/>
      <c r="C4" s="2273"/>
      <c r="D4" s="2273"/>
      <c r="E4" s="27"/>
      <c r="F4" s="27"/>
      <c r="G4" s="27"/>
      <c r="H4" s="27"/>
      <c r="I4" s="27"/>
      <c r="J4" s="27"/>
      <c r="K4" s="27"/>
      <c r="L4" s="27"/>
      <c r="M4" s="76"/>
      <c r="N4" s="77"/>
      <c r="O4" s="78"/>
      <c r="P4" s="76"/>
      <c r="Q4" s="76"/>
      <c r="R4" s="80"/>
      <c r="S4" s="81"/>
      <c r="U4" s="82"/>
    </row>
    <row r="5" spans="1:95" s="28" customFormat="1" ht="15.75" customHeight="1">
      <c r="A5" s="2947" t="s">
        <v>3327</v>
      </c>
      <c r="B5" s="2676"/>
      <c r="C5" s="2676"/>
      <c r="D5" s="2676"/>
      <c r="F5" s="42"/>
      <c r="J5" s="42"/>
      <c r="K5" s="79"/>
      <c r="M5" s="76"/>
      <c r="N5" s="76"/>
      <c r="P5" s="76"/>
      <c r="Q5" s="76"/>
      <c r="R5" s="80"/>
      <c r="S5" s="81"/>
      <c r="U5" s="82"/>
    </row>
    <row r="7" spans="1:95" ht="18.75">
      <c r="A7" s="2940" t="s">
        <v>3483</v>
      </c>
      <c r="B7" s="2851"/>
      <c r="C7" s="2851"/>
      <c r="D7" s="2851"/>
      <c r="E7" s="2851"/>
      <c r="F7" s="2851"/>
      <c r="G7" s="2851"/>
    </row>
    <row r="8" spans="1:95">
      <c r="A8" s="59"/>
      <c r="B8" s="59"/>
      <c r="C8" s="59"/>
      <c r="D8" s="59"/>
      <c r="E8" s="59"/>
      <c r="F8" s="59"/>
      <c r="G8" s="59"/>
    </row>
    <row r="9" spans="1:95" ht="15" customHeight="1">
      <c r="A9" s="2886" t="s">
        <v>6</v>
      </c>
      <c r="B9" s="2886" t="s">
        <v>625</v>
      </c>
      <c r="C9" s="2938" t="s">
        <v>3148</v>
      </c>
      <c r="D9" s="2939" t="s">
        <v>3149</v>
      </c>
      <c r="E9" s="2939" t="s">
        <v>3150</v>
      </c>
      <c r="F9" s="2945" t="s">
        <v>3151</v>
      </c>
      <c r="G9" s="2939" t="s">
        <v>3152</v>
      </c>
    </row>
    <row r="10" spans="1:95" ht="21" customHeight="1">
      <c r="A10" s="2886"/>
      <c r="B10" s="2886"/>
      <c r="C10" s="2938"/>
      <c r="D10" s="2939"/>
      <c r="E10" s="2939"/>
      <c r="F10" s="2939"/>
      <c r="G10" s="2939"/>
      <c r="R10" s="55">
        <f>12345679*36</f>
        <v>444444444</v>
      </c>
    </row>
    <row r="11" spans="1:95" ht="10.5" customHeight="1">
      <c r="A11" s="2886"/>
      <c r="B11" s="2886"/>
      <c r="C11" s="2938"/>
      <c r="D11" s="2939"/>
      <c r="E11" s="2939"/>
      <c r="F11" s="2939"/>
      <c r="G11" s="2939"/>
    </row>
    <row r="12" spans="1:95" ht="18.75" customHeight="1">
      <c r="A12" s="2129">
        <v>1</v>
      </c>
      <c r="B12" s="2115"/>
      <c r="C12" s="2130" t="s">
        <v>54</v>
      </c>
      <c r="D12" s="2134">
        <v>25.761904761904763</v>
      </c>
      <c r="E12" s="2132">
        <v>25000</v>
      </c>
      <c r="F12" s="2132">
        <f>D12*E12</f>
        <v>644047.61904761905</v>
      </c>
      <c r="G12" s="2116"/>
    </row>
    <row r="13" spans="1:95" ht="18.75" customHeight="1">
      <c r="A13" s="2129">
        <v>3</v>
      </c>
      <c r="B13" s="2115"/>
      <c r="C13" s="2130" t="s">
        <v>3484</v>
      </c>
      <c r="D13" s="2134">
        <v>125</v>
      </c>
      <c r="E13" s="2132">
        <v>25000</v>
      </c>
      <c r="F13" s="2132">
        <f t="shared" ref="F13:F15" si="0">D13*E13</f>
        <v>3125000</v>
      </c>
      <c r="G13" s="2116"/>
    </row>
    <row r="14" spans="1:95" ht="18.75" customHeight="1">
      <c r="A14" s="2129">
        <v>4</v>
      </c>
      <c r="B14" s="2115"/>
      <c r="C14" s="2130" t="s">
        <v>3485</v>
      </c>
      <c r="D14" s="2134">
        <v>200</v>
      </c>
      <c r="E14" s="2132">
        <v>25000</v>
      </c>
      <c r="F14" s="2132">
        <f t="shared" si="0"/>
        <v>5000000</v>
      </c>
      <c r="G14" s="2116"/>
    </row>
    <row r="15" spans="1:95" s="52" customFormat="1" ht="18.75" customHeight="1">
      <c r="A15" s="2129">
        <v>5</v>
      </c>
      <c r="B15" s="62"/>
      <c r="C15" s="2131" t="s">
        <v>3486</v>
      </c>
      <c r="D15" s="2135">
        <v>195.33333333333343</v>
      </c>
      <c r="E15" s="2132">
        <v>25000</v>
      </c>
      <c r="F15" s="2132">
        <f t="shared" si="0"/>
        <v>4883333.3333333358</v>
      </c>
      <c r="G15" s="63"/>
      <c r="H15" s="55"/>
      <c r="I15" s="55"/>
      <c r="J15" s="55"/>
      <c r="K15" s="55"/>
      <c r="L15" s="55"/>
      <c r="M15" s="55"/>
      <c r="N15" s="55"/>
      <c r="O15" s="55"/>
      <c r="P15" s="55"/>
      <c r="Q15" s="55"/>
      <c r="R15" s="55"/>
      <c r="S15" s="55"/>
      <c r="T15" s="55"/>
      <c r="U15" s="55"/>
      <c r="V15" s="55"/>
      <c r="W15" s="55"/>
      <c r="X15" s="55"/>
      <c r="Y15" s="55"/>
      <c r="Z15" s="55"/>
      <c r="AA15" s="55"/>
      <c r="AB15" s="55"/>
      <c r="AC15" s="55"/>
      <c r="AD15" s="55"/>
      <c r="AE15" s="55"/>
      <c r="AF15" s="55"/>
      <c r="AG15" s="55"/>
      <c r="AH15" s="55"/>
      <c r="AI15" s="55"/>
      <c r="AJ15" s="55"/>
      <c r="AK15" s="55"/>
      <c r="AL15" s="55"/>
      <c r="AM15" s="55"/>
      <c r="AN15" s="55"/>
      <c r="AO15" s="55"/>
      <c r="AP15" s="55"/>
      <c r="AQ15" s="55"/>
      <c r="AR15" s="55"/>
      <c r="AS15" s="55"/>
      <c r="AT15" s="55"/>
      <c r="AU15" s="55"/>
      <c r="AV15" s="55"/>
      <c r="AW15" s="55"/>
      <c r="AX15" s="55"/>
      <c r="AY15" s="55"/>
      <c r="AZ15" s="55"/>
      <c r="BA15" s="55"/>
      <c r="BB15" s="55"/>
      <c r="BC15" s="55"/>
      <c r="BD15" s="55"/>
      <c r="BE15" s="55"/>
      <c r="BF15" s="55"/>
      <c r="BG15" s="55"/>
      <c r="BH15" s="55"/>
      <c r="BI15" s="55"/>
      <c r="BJ15" s="55"/>
      <c r="BK15" s="55"/>
      <c r="BL15" s="55"/>
      <c r="BM15" s="55"/>
      <c r="BN15" s="55"/>
      <c r="BO15" s="55"/>
      <c r="BP15" s="55"/>
      <c r="BQ15" s="55"/>
      <c r="BR15" s="55"/>
      <c r="BS15" s="55"/>
      <c r="BT15" s="55"/>
      <c r="BU15" s="55"/>
      <c r="BV15" s="55"/>
      <c r="BW15" s="55"/>
      <c r="BX15" s="55"/>
      <c r="BY15" s="55"/>
      <c r="BZ15" s="55"/>
      <c r="CA15" s="55"/>
      <c r="CB15" s="55"/>
      <c r="CC15" s="55"/>
      <c r="CD15" s="55"/>
      <c r="CE15" s="55"/>
      <c r="CF15" s="55"/>
      <c r="CG15" s="55"/>
      <c r="CH15" s="55"/>
      <c r="CI15" s="55"/>
      <c r="CJ15" s="55"/>
      <c r="CK15" s="55"/>
      <c r="CL15" s="55"/>
      <c r="CM15" s="55"/>
      <c r="CN15" s="55"/>
      <c r="CO15" s="55"/>
      <c r="CP15" s="55"/>
      <c r="CQ15" s="55"/>
    </row>
    <row r="16" spans="1:95" s="52" customFormat="1" ht="22.5" customHeight="1">
      <c r="A16" s="2886" t="s">
        <v>349</v>
      </c>
      <c r="B16" s="2886"/>
      <c r="C16" s="2886"/>
      <c r="D16" s="2136">
        <f>SUM(D12:D15)</f>
        <v>546.09523809523819</v>
      </c>
      <c r="E16" s="64"/>
      <c r="F16" s="2133">
        <f>SUM(F12:F15)</f>
        <v>13652380.952380955</v>
      </c>
      <c r="G16" s="65"/>
      <c r="H16" s="55"/>
      <c r="I16" s="55"/>
      <c r="J16" s="55">
        <f>133.28*25</f>
        <v>3332</v>
      </c>
      <c r="K16" s="55"/>
      <c r="L16" s="55"/>
      <c r="M16" s="55"/>
      <c r="N16" s="55"/>
      <c r="O16" s="55"/>
      <c r="P16" s="55"/>
      <c r="Q16" s="55"/>
      <c r="R16" s="55"/>
      <c r="S16" s="55"/>
      <c r="T16" s="55"/>
      <c r="U16" s="55"/>
      <c r="V16" s="55"/>
      <c r="W16" s="55"/>
      <c r="X16" s="55"/>
      <c r="Y16" s="55"/>
      <c r="Z16" s="55"/>
      <c r="AA16" s="55"/>
      <c r="AB16" s="55"/>
      <c r="AC16" s="55"/>
      <c r="AD16" s="55"/>
      <c r="AE16" s="55"/>
      <c r="AF16" s="55"/>
      <c r="AG16" s="55"/>
      <c r="AH16" s="55"/>
      <c r="AI16" s="55"/>
      <c r="AJ16" s="55"/>
      <c r="AK16" s="55"/>
      <c r="AL16" s="55"/>
      <c r="AM16" s="55"/>
      <c r="AN16" s="55"/>
      <c r="AO16" s="55"/>
      <c r="AP16" s="55"/>
      <c r="AQ16" s="55"/>
      <c r="AR16" s="55"/>
      <c r="AS16" s="55"/>
      <c r="AT16" s="55"/>
      <c r="AU16" s="55"/>
      <c r="AV16" s="55"/>
      <c r="AW16" s="55"/>
      <c r="AX16" s="55"/>
      <c r="AY16" s="55"/>
      <c r="AZ16" s="55"/>
      <c r="BA16" s="55"/>
      <c r="BB16" s="55"/>
      <c r="BC16" s="55"/>
      <c r="BD16" s="55"/>
      <c r="BE16" s="55"/>
      <c r="BF16" s="55"/>
      <c r="BG16" s="55"/>
      <c r="BH16" s="55"/>
      <c r="BI16" s="55"/>
      <c r="BJ16" s="55"/>
      <c r="BK16" s="55"/>
      <c r="BL16" s="55"/>
      <c r="BM16" s="55"/>
      <c r="BN16" s="55"/>
      <c r="BO16" s="55"/>
      <c r="BP16" s="55"/>
      <c r="BQ16" s="55"/>
      <c r="BR16" s="55"/>
      <c r="BS16" s="55"/>
      <c r="BT16" s="55"/>
      <c r="BU16" s="55"/>
      <c r="BV16" s="55"/>
      <c r="BW16" s="55"/>
      <c r="BX16" s="55"/>
      <c r="BY16" s="55"/>
      <c r="BZ16" s="55"/>
      <c r="CA16" s="55"/>
      <c r="CB16" s="55"/>
      <c r="CC16" s="55"/>
      <c r="CD16" s="55"/>
      <c r="CE16" s="55"/>
      <c r="CF16" s="55"/>
      <c r="CG16" s="55"/>
      <c r="CH16" s="55"/>
      <c r="CI16" s="55"/>
      <c r="CJ16" s="55"/>
      <c r="CK16" s="55"/>
      <c r="CL16" s="55"/>
      <c r="CM16" s="55"/>
      <c r="CN16" s="55"/>
      <c r="CO16" s="55"/>
      <c r="CP16" s="55"/>
      <c r="CQ16" s="55"/>
    </row>
    <row r="17" spans="1:95" s="52" customFormat="1" ht="25.5" customHeight="1">
      <c r="A17" s="2941" t="s">
        <v>3489</v>
      </c>
      <c r="B17" s="2886"/>
      <c r="C17" s="2886"/>
      <c r="D17" s="2886"/>
      <c r="E17" s="2886"/>
      <c r="F17" s="2886"/>
      <c r="G17" s="2886"/>
      <c r="H17" s="55"/>
      <c r="I17" s="55"/>
      <c r="J17" s="55"/>
      <c r="K17" s="55"/>
      <c r="L17" s="55"/>
      <c r="M17" s="55"/>
      <c r="N17" s="55"/>
      <c r="O17" s="55"/>
      <c r="P17" s="55"/>
      <c r="Q17" s="55"/>
      <c r="R17" s="55"/>
      <c r="S17" s="55"/>
      <c r="T17" s="55"/>
      <c r="U17" s="55"/>
      <c r="V17" s="55"/>
      <c r="W17" s="55"/>
      <c r="X17" s="55"/>
      <c r="Y17" s="55"/>
      <c r="Z17" s="55"/>
      <c r="AA17" s="55"/>
      <c r="AB17" s="55"/>
      <c r="AC17" s="55"/>
      <c r="AD17" s="55"/>
      <c r="AE17" s="55"/>
      <c r="AF17" s="55"/>
      <c r="AG17" s="55"/>
      <c r="AH17" s="55"/>
      <c r="AI17" s="55"/>
      <c r="AJ17" s="55"/>
      <c r="AK17" s="55"/>
      <c r="AL17" s="55"/>
      <c r="AM17" s="55"/>
      <c r="AN17" s="55"/>
      <c r="AO17" s="55"/>
      <c r="AP17" s="55"/>
      <c r="AQ17" s="55"/>
      <c r="AR17" s="55"/>
      <c r="AS17" s="55"/>
      <c r="AT17" s="55"/>
      <c r="AU17" s="55"/>
      <c r="AV17" s="55"/>
      <c r="AW17" s="55"/>
      <c r="AX17" s="55"/>
      <c r="AY17" s="55"/>
      <c r="AZ17" s="55"/>
      <c r="BA17" s="55"/>
      <c r="BB17" s="55"/>
      <c r="BC17" s="55"/>
      <c r="BD17" s="55"/>
      <c r="BE17" s="55"/>
      <c r="BF17" s="55"/>
      <c r="BG17" s="55"/>
      <c r="BH17" s="55"/>
      <c r="BI17" s="55"/>
      <c r="BJ17" s="55"/>
      <c r="BK17" s="55"/>
      <c r="BL17" s="55"/>
      <c r="BM17" s="55"/>
      <c r="BN17" s="55"/>
      <c r="BO17" s="55"/>
      <c r="BP17" s="55"/>
      <c r="BQ17" s="55"/>
      <c r="BR17" s="55"/>
      <c r="BS17" s="55"/>
      <c r="BT17" s="55"/>
      <c r="BU17" s="55"/>
      <c r="BV17" s="55"/>
      <c r="BW17" s="55"/>
      <c r="BX17" s="55"/>
      <c r="BY17" s="55"/>
      <c r="BZ17" s="55"/>
      <c r="CA17" s="55"/>
      <c r="CB17" s="55"/>
      <c r="CC17" s="55"/>
      <c r="CD17" s="55"/>
      <c r="CE17" s="55"/>
      <c r="CF17" s="55"/>
      <c r="CG17" s="55"/>
      <c r="CH17" s="55"/>
      <c r="CI17" s="55"/>
      <c r="CJ17" s="55"/>
      <c r="CK17" s="55"/>
      <c r="CL17" s="55"/>
      <c r="CM17" s="55"/>
      <c r="CN17" s="55"/>
      <c r="CO17" s="55"/>
      <c r="CP17" s="55"/>
      <c r="CQ17" s="55"/>
    </row>
    <row r="18" spans="1:95" s="52" customFormat="1">
      <c r="F18" s="2942" t="s">
        <v>3473</v>
      </c>
      <c r="G18" s="2943"/>
    </row>
    <row r="19" spans="1:95" ht="18.75" customHeight="1">
      <c r="A19" s="2944" t="s">
        <v>614</v>
      </c>
      <c r="B19" s="2714"/>
      <c r="C19" s="2137" t="s">
        <v>3487</v>
      </c>
      <c r="D19" s="2137" t="s">
        <v>616</v>
      </c>
      <c r="E19" s="2138" t="s">
        <v>2737</v>
      </c>
      <c r="F19" s="2137" t="s">
        <v>2478</v>
      </c>
      <c r="G19" s="2137" t="s">
        <v>612</v>
      </c>
    </row>
    <row r="20" spans="1:95" ht="21" customHeight="1">
      <c r="H20" s="53"/>
      <c r="I20" s="53"/>
      <c r="J20" s="53"/>
      <c r="K20" s="53"/>
      <c r="L20" s="53"/>
      <c r="M20" s="53"/>
      <c r="N20" s="53"/>
      <c r="O20" s="53"/>
      <c r="P20" s="53"/>
      <c r="Q20" s="53"/>
      <c r="R20" s="53"/>
      <c r="S20" s="53"/>
      <c r="T20" s="53"/>
      <c r="U20" s="53"/>
      <c r="V20" s="53"/>
      <c r="W20" s="53"/>
      <c r="X20" s="53"/>
      <c r="Y20" s="53"/>
      <c r="Z20" s="53"/>
      <c r="AA20" s="53"/>
      <c r="AB20" s="53"/>
      <c r="AC20" s="53"/>
      <c r="AD20" s="53"/>
      <c r="AE20" s="53"/>
      <c r="AF20" s="53"/>
      <c r="AG20" s="53"/>
      <c r="AH20" s="53"/>
      <c r="AI20" s="53"/>
      <c r="AJ20" s="53"/>
      <c r="AK20" s="53"/>
      <c r="AL20" s="53"/>
      <c r="AM20" s="53"/>
      <c r="AN20" s="53"/>
      <c r="AO20" s="53"/>
      <c r="AP20" s="53"/>
      <c r="AQ20" s="53"/>
      <c r="AR20" s="53"/>
      <c r="AS20" s="53"/>
      <c r="AT20" s="53"/>
      <c r="AU20" s="53"/>
      <c r="AV20" s="53"/>
      <c r="AW20" s="53"/>
      <c r="AX20" s="53"/>
      <c r="AY20" s="53"/>
      <c r="AZ20" s="53"/>
      <c r="BA20" s="53"/>
      <c r="BB20" s="53"/>
      <c r="BC20" s="53"/>
      <c r="BD20" s="53"/>
      <c r="BE20" s="53"/>
      <c r="BF20" s="53"/>
      <c r="BG20" s="53"/>
      <c r="BH20" s="53"/>
      <c r="BI20" s="53"/>
      <c r="BJ20" s="53"/>
      <c r="BK20" s="53"/>
      <c r="BL20" s="53"/>
      <c r="BM20" s="53"/>
      <c r="BN20" s="53"/>
      <c r="BO20" s="53"/>
      <c r="BP20" s="53"/>
      <c r="BQ20" s="53"/>
      <c r="BR20" s="53"/>
      <c r="BS20" s="53"/>
      <c r="BT20" s="53"/>
      <c r="BU20" s="53"/>
      <c r="BV20" s="53"/>
      <c r="BW20" s="53"/>
      <c r="BX20" s="53"/>
      <c r="BY20" s="53"/>
      <c r="BZ20" s="53"/>
      <c r="CA20" s="53"/>
      <c r="CB20" s="53"/>
      <c r="CC20" s="53"/>
      <c r="CD20" s="53"/>
      <c r="CE20" s="53"/>
      <c r="CF20" s="53"/>
      <c r="CG20" s="53"/>
      <c r="CH20" s="53"/>
      <c r="CI20" s="53"/>
      <c r="CJ20" s="53"/>
      <c r="CK20" s="53"/>
      <c r="CL20" s="53"/>
      <c r="CM20" s="53"/>
      <c r="CN20" s="53"/>
      <c r="CO20" s="53"/>
      <c r="CP20" s="53"/>
      <c r="CQ20" s="53"/>
    </row>
    <row r="21" spans="1:95" s="53" customFormat="1" ht="15.75" customHeight="1">
      <c r="A21" s="67"/>
      <c r="B21" s="67"/>
      <c r="C21" s="67"/>
      <c r="D21" s="392"/>
    </row>
    <row r="22" spans="1:95" s="53" customFormat="1" ht="54.75" customHeight="1">
      <c r="A22" s="67"/>
      <c r="B22" s="67"/>
      <c r="C22" s="67"/>
      <c r="D22" s="67"/>
      <c r="E22" s="67"/>
    </row>
    <row r="23" spans="1:95" s="53" customFormat="1" ht="15">
      <c r="A23" s="68"/>
      <c r="B23" s="68"/>
      <c r="D23" s="69"/>
      <c r="E23" s="69"/>
    </row>
    <row r="24" spans="1:95" s="53" customFormat="1" ht="15">
      <c r="A24" s="70"/>
      <c r="B24" s="70"/>
      <c r="C24" s="2844"/>
      <c r="D24" s="2844"/>
      <c r="E24" s="69"/>
      <c r="G24" s="70"/>
    </row>
    <row r="25" spans="1:95" s="53" customFormat="1" ht="15">
      <c r="A25" s="68"/>
      <c r="B25" s="68"/>
      <c r="D25" s="71"/>
      <c r="E25" s="71"/>
    </row>
    <row r="26" spans="1:95" s="53" customFormat="1" ht="15">
      <c r="A26" s="72"/>
      <c r="B26" s="72"/>
      <c r="D26" s="73"/>
      <c r="E26" s="73"/>
    </row>
    <row r="27" spans="1:95" s="53" customFormat="1" ht="15">
      <c r="C27" s="74"/>
      <c r="E27" s="72"/>
    </row>
    <row r="28" spans="1:95">
      <c r="A28" s="52"/>
      <c r="B28" s="52"/>
      <c r="C28" s="52"/>
      <c r="I28" s="53"/>
      <c r="J28" s="53"/>
      <c r="K28" s="53"/>
      <c r="L28" s="53"/>
      <c r="M28" s="53"/>
      <c r="N28" s="53"/>
      <c r="O28" s="53"/>
      <c r="P28" s="53"/>
      <c r="Q28" s="53"/>
      <c r="R28" s="53"/>
      <c r="S28" s="53"/>
      <c r="T28" s="53"/>
      <c r="U28" s="53"/>
      <c r="V28" s="53"/>
      <c r="W28" s="53"/>
      <c r="X28" s="53"/>
      <c r="Y28" s="53"/>
      <c r="Z28" s="53"/>
      <c r="AA28" s="53"/>
      <c r="AB28" s="53"/>
      <c r="AC28" s="53"/>
      <c r="AD28" s="53"/>
      <c r="AE28" s="53"/>
      <c r="AF28" s="53"/>
      <c r="AG28" s="53"/>
      <c r="AH28" s="53"/>
      <c r="AI28" s="53"/>
      <c r="AJ28" s="53"/>
      <c r="AK28" s="53"/>
      <c r="AL28" s="53"/>
      <c r="AM28" s="53"/>
      <c r="AN28" s="53"/>
      <c r="AO28" s="53"/>
      <c r="AP28" s="53"/>
      <c r="AQ28" s="53"/>
      <c r="AR28" s="53"/>
      <c r="AS28" s="53"/>
      <c r="AT28" s="53"/>
      <c r="AU28" s="53"/>
      <c r="AV28" s="53"/>
      <c r="AW28" s="53"/>
      <c r="AX28" s="53"/>
      <c r="AY28" s="53"/>
      <c r="AZ28" s="53"/>
      <c r="BA28" s="53"/>
      <c r="BB28" s="53"/>
      <c r="BC28" s="53"/>
      <c r="BD28" s="53"/>
      <c r="BE28" s="53"/>
      <c r="BF28" s="53"/>
      <c r="BG28" s="53"/>
      <c r="BH28" s="53"/>
      <c r="BI28" s="53"/>
      <c r="BJ28" s="53"/>
      <c r="BK28" s="53"/>
      <c r="BL28" s="53"/>
      <c r="BM28" s="53"/>
      <c r="BN28" s="53"/>
      <c r="BO28" s="53"/>
      <c r="BP28" s="53"/>
      <c r="BQ28" s="53"/>
      <c r="BR28" s="53"/>
      <c r="BS28" s="53"/>
      <c r="BT28" s="53"/>
      <c r="BU28" s="53"/>
      <c r="BV28" s="53"/>
      <c r="BW28" s="53"/>
      <c r="BX28" s="53"/>
      <c r="BY28" s="53"/>
      <c r="BZ28" s="53"/>
      <c r="CA28" s="53"/>
      <c r="CB28" s="53"/>
      <c r="CC28" s="53"/>
      <c r="CD28" s="53"/>
      <c r="CE28" s="53"/>
      <c r="CF28" s="53"/>
      <c r="CG28" s="53"/>
      <c r="CH28" s="53"/>
      <c r="CI28" s="53"/>
      <c r="CJ28" s="53"/>
      <c r="CK28" s="53"/>
      <c r="CL28" s="53"/>
      <c r="CM28" s="53"/>
      <c r="CN28" s="53"/>
      <c r="CO28" s="53"/>
      <c r="CP28" s="53"/>
      <c r="CQ28" s="53"/>
    </row>
    <row r="29" spans="1:95" s="52" customFormat="1">
      <c r="A29" s="75"/>
      <c r="B29" s="75"/>
      <c r="C29" s="75"/>
      <c r="D29" s="75"/>
      <c r="E29" s="75"/>
      <c r="I29" s="53"/>
      <c r="J29" s="53"/>
      <c r="K29" s="53"/>
      <c r="L29" s="53"/>
      <c r="M29" s="53"/>
      <c r="N29" s="53"/>
      <c r="O29" s="53"/>
      <c r="P29" s="53"/>
      <c r="Q29" s="53"/>
      <c r="R29" s="53"/>
      <c r="S29" s="53"/>
      <c r="T29" s="53"/>
      <c r="U29" s="53"/>
      <c r="V29" s="53"/>
      <c r="W29" s="53"/>
      <c r="X29" s="53"/>
      <c r="Y29" s="53"/>
      <c r="Z29" s="53"/>
      <c r="AA29" s="53"/>
      <c r="AB29" s="53"/>
      <c r="AC29" s="53"/>
      <c r="AD29" s="53"/>
      <c r="AE29" s="53"/>
      <c r="AF29" s="53"/>
      <c r="AG29" s="53"/>
      <c r="AH29" s="53"/>
      <c r="AI29" s="53"/>
      <c r="AJ29" s="53"/>
      <c r="AK29" s="53"/>
      <c r="AL29" s="53"/>
      <c r="AM29" s="53"/>
      <c r="AN29" s="53"/>
      <c r="AO29" s="53"/>
      <c r="AP29" s="53"/>
      <c r="AQ29" s="53"/>
      <c r="AR29" s="53"/>
      <c r="AS29" s="53"/>
      <c r="AT29" s="53"/>
      <c r="AU29" s="53"/>
      <c r="AV29" s="53"/>
      <c r="AW29" s="53"/>
      <c r="AX29" s="53"/>
      <c r="AY29" s="53"/>
      <c r="AZ29" s="53"/>
      <c r="BA29" s="53"/>
      <c r="BB29" s="53"/>
      <c r="BC29" s="53"/>
      <c r="BD29" s="53"/>
      <c r="BE29" s="53"/>
      <c r="BF29" s="53"/>
      <c r="BG29" s="53"/>
      <c r="BH29" s="53"/>
      <c r="BI29" s="53"/>
      <c r="BJ29" s="53"/>
      <c r="BK29" s="53"/>
      <c r="BL29" s="53"/>
      <c r="BM29" s="53"/>
      <c r="BN29" s="53"/>
      <c r="BO29" s="53"/>
      <c r="BP29" s="53"/>
      <c r="BQ29" s="53"/>
      <c r="BR29" s="53"/>
      <c r="BS29" s="53"/>
      <c r="BT29" s="53"/>
      <c r="BU29" s="53"/>
      <c r="BV29" s="53"/>
      <c r="BW29" s="53"/>
      <c r="BX29" s="53"/>
      <c r="BY29" s="53"/>
      <c r="BZ29" s="53"/>
      <c r="CA29" s="53"/>
      <c r="CB29" s="53"/>
      <c r="CC29" s="53"/>
      <c r="CD29" s="53"/>
      <c r="CE29" s="53"/>
      <c r="CF29" s="53"/>
      <c r="CG29" s="53"/>
      <c r="CH29" s="53"/>
      <c r="CI29" s="53"/>
      <c r="CJ29" s="53"/>
      <c r="CK29" s="53"/>
      <c r="CL29" s="53"/>
      <c r="CM29" s="53"/>
      <c r="CN29" s="53"/>
      <c r="CO29" s="53"/>
      <c r="CP29" s="53"/>
      <c r="CQ29" s="53"/>
    </row>
    <row r="30" spans="1:95">
      <c r="I30" s="53"/>
      <c r="J30" s="53"/>
      <c r="K30" s="53"/>
      <c r="L30" s="53"/>
      <c r="M30" s="53"/>
      <c r="N30" s="53"/>
      <c r="O30" s="53"/>
      <c r="P30" s="53"/>
      <c r="Q30" s="53"/>
      <c r="R30" s="53"/>
      <c r="S30" s="53"/>
      <c r="T30" s="53"/>
      <c r="U30" s="53"/>
      <c r="V30" s="53"/>
      <c r="W30" s="53"/>
      <c r="X30" s="53"/>
      <c r="Y30" s="53"/>
      <c r="Z30" s="53"/>
      <c r="AA30" s="53"/>
      <c r="AB30" s="53"/>
      <c r="AC30" s="53"/>
      <c r="AD30" s="53"/>
      <c r="AE30" s="53"/>
      <c r="AF30" s="53"/>
      <c r="AG30" s="53"/>
      <c r="AH30" s="53"/>
      <c r="AI30" s="53"/>
      <c r="AJ30" s="53"/>
      <c r="AK30" s="53"/>
      <c r="AL30" s="53"/>
      <c r="AM30" s="53"/>
      <c r="AN30" s="53"/>
      <c r="AO30" s="53"/>
      <c r="AP30" s="53"/>
      <c r="AQ30" s="53"/>
      <c r="AR30" s="53"/>
      <c r="AS30" s="53"/>
      <c r="AT30" s="53"/>
      <c r="AU30" s="53"/>
      <c r="AV30" s="53"/>
      <c r="AW30" s="53"/>
      <c r="AX30" s="53"/>
      <c r="AY30" s="53"/>
      <c r="AZ30" s="53"/>
      <c r="BA30" s="53"/>
      <c r="BB30" s="53"/>
      <c r="BC30" s="53"/>
      <c r="BD30" s="53"/>
      <c r="BE30" s="53"/>
      <c r="BF30" s="53"/>
      <c r="BG30" s="53"/>
      <c r="BH30" s="53"/>
      <c r="BI30" s="53"/>
      <c r="BJ30" s="53"/>
      <c r="BK30" s="53"/>
      <c r="BL30" s="53"/>
      <c r="BM30" s="53"/>
      <c r="BN30" s="53"/>
      <c r="BO30" s="53"/>
      <c r="BP30" s="53"/>
      <c r="BQ30" s="53"/>
      <c r="BR30" s="53"/>
      <c r="BS30" s="53"/>
      <c r="BT30" s="53"/>
      <c r="BU30" s="53"/>
      <c r="BV30" s="53"/>
      <c r="BW30" s="53"/>
      <c r="BX30" s="53"/>
      <c r="BY30" s="53"/>
      <c r="BZ30" s="53"/>
      <c r="CA30" s="53"/>
      <c r="CB30" s="53"/>
      <c r="CC30" s="53"/>
      <c r="CD30" s="53"/>
      <c r="CE30" s="53"/>
      <c r="CF30" s="53"/>
      <c r="CG30" s="53"/>
      <c r="CH30" s="53"/>
      <c r="CI30" s="53"/>
      <c r="CJ30" s="53"/>
      <c r="CK30" s="53"/>
      <c r="CL30" s="53"/>
      <c r="CM30" s="53"/>
      <c r="CN30" s="53"/>
      <c r="CO30" s="53"/>
      <c r="CP30" s="53"/>
      <c r="CQ30" s="53"/>
    </row>
    <row r="31" spans="1:95">
      <c r="I31" s="53"/>
      <c r="J31" s="53"/>
      <c r="K31" s="53"/>
      <c r="L31" s="53"/>
      <c r="M31" s="53"/>
      <c r="N31" s="53"/>
      <c r="O31" s="53"/>
      <c r="P31" s="53"/>
      <c r="Q31" s="53"/>
      <c r="R31" s="53"/>
      <c r="S31" s="53"/>
      <c r="T31" s="53"/>
      <c r="U31" s="53"/>
      <c r="V31" s="53"/>
      <c r="W31" s="53"/>
      <c r="X31" s="53"/>
      <c r="Y31" s="53"/>
      <c r="Z31" s="53"/>
      <c r="AA31" s="53"/>
      <c r="AB31" s="53"/>
      <c r="AC31" s="53"/>
      <c r="AD31" s="53"/>
      <c r="AE31" s="53"/>
      <c r="AF31" s="53"/>
      <c r="AG31" s="53"/>
      <c r="AH31" s="53"/>
      <c r="AI31" s="53"/>
      <c r="AJ31" s="53"/>
      <c r="AK31" s="53"/>
      <c r="AL31" s="53"/>
      <c r="AM31" s="53"/>
      <c r="AN31" s="53"/>
      <c r="AO31" s="53"/>
      <c r="AP31" s="53"/>
      <c r="AQ31" s="53"/>
      <c r="AR31" s="53"/>
      <c r="AS31" s="53"/>
      <c r="AT31" s="53"/>
      <c r="AU31" s="53"/>
      <c r="AV31" s="53"/>
      <c r="AW31" s="53"/>
      <c r="AX31" s="53"/>
      <c r="AY31" s="53"/>
      <c r="AZ31" s="53"/>
      <c r="BA31" s="53"/>
      <c r="BB31" s="53"/>
      <c r="BC31" s="53"/>
      <c r="BD31" s="53"/>
      <c r="BE31" s="53"/>
      <c r="BF31" s="53"/>
      <c r="BG31" s="53"/>
      <c r="BH31" s="53"/>
      <c r="BI31" s="53"/>
      <c r="BJ31" s="53"/>
      <c r="BK31" s="53"/>
      <c r="BL31" s="53"/>
      <c r="BM31" s="53"/>
      <c r="BN31" s="53"/>
      <c r="BO31" s="53"/>
      <c r="BP31" s="53"/>
      <c r="BQ31" s="53"/>
      <c r="BR31" s="53"/>
      <c r="BS31" s="53"/>
      <c r="BT31" s="53"/>
      <c r="BU31" s="53"/>
      <c r="BV31" s="53"/>
      <c r="BW31" s="53"/>
      <c r="BX31" s="53"/>
      <c r="BY31" s="53"/>
      <c r="BZ31" s="53"/>
      <c r="CA31" s="53"/>
      <c r="CB31" s="53"/>
      <c r="CC31" s="53"/>
      <c r="CD31" s="53"/>
      <c r="CE31" s="53"/>
      <c r="CF31" s="53"/>
      <c r="CG31" s="53"/>
      <c r="CH31" s="53"/>
      <c r="CI31" s="53"/>
      <c r="CJ31" s="53"/>
      <c r="CK31" s="53"/>
      <c r="CL31" s="53"/>
      <c r="CM31" s="53"/>
      <c r="CN31" s="53"/>
      <c r="CO31" s="53"/>
      <c r="CP31" s="53"/>
      <c r="CQ31" s="53"/>
    </row>
    <row r="32" spans="1:95">
      <c r="I32" s="53"/>
      <c r="J32" s="53"/>
      <c r="K32" s="53"/>
      <c r="L32" s="53"/>
      <c r="M32" s="53"/>
      <c r="N32" s="53"/>
      <c r="O32" s="53"/>
      <c r="P32" s="53"/>
      <c r="Q32" s="53"/>
      <c r="R32" s="53"/>
      <c r="S32" s="53"/>
      <c r="T32" s="53"/>
      <c r="U32" s="53"/>
      <c r="V32" s="53"/>
      <c r="W32" s="53"/>
      <c r="X32" s="53"/>
      <c r="Y32" s="53"/>
      <c r="Z32" s="53"/>
      <c r="AA32" s="53"/>
      <c r="AB32" s="53"/>
      <c r="AC32" s="53"/>
      <c r="AD32" s="53"/>
      <c r="AE32" s="53"/>
      <c r="AF32" s="53"/>
      <c r="AG32" s="53"/>
      <c r="AH32" s="53"/>
      <c r="AI32" s="53"/>
      <c r="AJ32" s="53"/>
      <c r="AK32" s="53"/>
      <c r="AL32" s="53"/>
      <c r="AM32" s="53"/>
      <c r="AN32" s="53"/>
      <c r="AO32" s="53"/>
      <c r="AP32" s="53"/>
      <c r="AQ32" s="53"/>
      <c r="AR32" s="53"/>
      <c r="AS32" s="53"/>
      <c r="AT32" s="53"/>
      <c r="AU32" s="53"/>
      <c r="AV32" s="53"/>
      <c r="AW32" s="53"/>
      <c r="AX32" s="53"/>
      <c r="AY32" s="53"/>
      <c r="AZ32" s="53"/>
      <c r="BA32" s="53"/>
      <c r="BB32" s="53"/>
      <c r="BC32" s="53"/>
      <c r="BD32" s="53"/>
      <c r="BE32" s="53"/>
      <c r="BF32" s="53"/>
      <c r="BG32" s="53"/>
      <c r="BH32" s="53"/>
      <c r="BI32" s="53"/>
      <c r="BJ32" s="53"/>
      <c r="BK32" s="53"/>
      <c r="BL32" s="53"/>
      <c r="BM32" s="53"/>
      <c r="BN32" s="53"/>
      <c r="BO32" s="53"/>
      <c r="BP32" s="53"/>
      <c r="BQ32" s="53"/>
      <c r="BR32" s="53"/>
      <c r="BS32" s="53"/>
      <c r="BT32" s="53"/>
      <c r="BU32" s="53"/>
      <c r="BV32" s="53"/>
      <c r="BW32" s="53"/>
      <c r="BX32" s="53"/>
      <c r="BY32" s="53"/>
      <c r="BZ32" s="53"/>
      <c r="CA32" s="53"/>
      <c r="CB32" s="53"/>
      <c r="CC32" s="53"/>
      <c r="CD32" s="53"/>
      <c r="CE32" s="53"/>
      <c r="CF32" s="53"/>
      <c r="CG32" s="53"/>
      <c r="CH32" s="53"/>
      <c r="CI32" s="53"/>
      <c r="CJ32" s="53"/>
      <c r="CK32" s="53"/>
      <c r="CL32" s="53"/>
      <c r="CM32" s="53"/>
      <c r="CN32" s="53"/>
      <c r="CO32" s="53"/>
      <c r="CP32" s="53"/>
      <c r="CQ32" s="53"/>
    </row>
    <row r="33" spans="8:95">
      <c r="H33" s="53"/>
      <c r="I33" s="53"/>
      <c r="J33" s="53"/>
      <c r="K33" s="53"/>
      <c r="L33" s="53"/>
      <c r="M33" s="53"/>
      <c r="N33" s="53"/>
      <c r="O33" s="53"/>
      <c r="P33" s="53"/>
      <c r="Q33" s="53"/>
      <c r="R33" s="53"/>
      <c r="S33" s="53"/>
      <c r="T33" s="53"/>
      <c r="U33" s="53"/>
      <c r="V33" s="53"/>
      <c r="W33" s="53"/>
      <c r="X33" s="53"/>
      <c r="Y33" s="53"/>
      <c r="Z33" s="53"/>
      <c r="AA33" s="53"/>
      <c r="AB33" s="53"/>
      <c r="AC33" s="53"/>
      <c r="AD33" s="53"/>
      <c r="AE33" s="53"/>
      <c r="AF33" s="53"/>
      <c r="AG33" s="53"/>
      <c r="AH33" s="53"/>
      <c r="AI33" s="53"/>
      <c r="AJ33" s="53"/>
      <c r="AK33" s="53"/>
      <c r="AL33" s="53"/>
      <c r="AM33" s="53"/>
      <c r="AN33" s="53"/>
      <c r="AO33" s="53"/>
      <c r="AP33" s="53"/>
      <c r="AQ33" s="53"/>
      <c r="AR33" s="53"/>
      <c r="AS33" s="53"/>
      <c r="AT33" s="53"/>
      <c r="AU33" s="53"/>
      <c r="AV33" s="53"/>
      <c r="AW33" s="53"/>
      <c r="AX33" s="53"/>
      <c r="AY33" s="53"/>
      <c r="AZ33" s="53"/>
      <c r="BA33" s="53"/>
      <c r="BB33" s="53"/>
      <c r="BC33" s="53"/>
      <c r="BD33" s="53"/>
      <c r="BE33" s="53"/>
      <c r="BF33" s="53"/>
      <c r="BG33" s="53"/>
      <c r="BH33" s="53"/>
      <c r="BI33" s="53"/>
      <c r="BJ33" s="53"/>
      <c r="BK33" s="53"/>
      <c r="BL33" s="53"/>
      <c r="BM33" s="53"/>
      <c r="BN33" s="53"/>
      <c r="BO33" s="53"/>
      <c r="BP33" s="53"/>
      <c r="BQ33" s="53"/>
      <c r="BR33" s="53"/>
      <c r="BS33" s="53"/>
      <c r="BT33" s="53"/>
      <c r="BU33" s="53"/>
      <c r="BV33" s="53"/>
      <c r="BW33" s="53"/>
      <c r="BX33" s="53"/>
      <c r="BY33" s="53"/>
      <c r="BZ33" s="53"/>
      <c r="CA33" s="53"/>
      <c r="CB33" s="53"/>
      <c r="CC33" s="53"/>
      <c r="CD33" s="53"/>
      <c r="CE33" s="53"/>
      <c r="CF33" s="53"/>
      <c r="CG33" s="53"/>
      <c r="CH33" s="53"/>
      <c r="CI33" s="53"/>
      <c r="CJ33" s="53"/>
      <c r="CK33" s="53"/>
      <c r="CL33" s="53"/>
      <c r="CM33" s="53"/>
      <c r="CN33" s="53"/>
      <c r="CO33" s="53"/>
      <c r="CP33" s="53"/>
      <c r="CQ33" s="53"/>
    </row>
    <row r="34" spans="8:95">
      <c r="H34" s="53"/>
      <c r="I34" s="53"/>
      <c r="J34" s="53"/>
      <c r="K34" s="53"/>
      <c r="L34" s="53"/>
      <c r="M34" s="53"/>
      <c r="N34" s="53"/>
      <c r="O34" s="53"/>
      <c r="P34" s="53"/>
      <c r="Q34" s="53"/>
      <c r="R34" s="53"/>
      <c r="S34" s="53"/>
      <c r="T34" s="53"/>
      <c r="U34" s="53"/>
      <c r="V34" s="53"/>
      <c r="W34" s="53"/>
      <c r="X34" s="53"/>
      <c r="Y34" s="53"/>
      <c r="Z34" s="53"/>
      <c r="AA34" s="53"/>
      <c r="AB34" s="53"/>
      <c r="AC34" s="53"/>
      <c r="AD34" s="53"/>
      <c r="AE34" s="53"/>
      <c r="AF34" s="53"/>
      <c r="AG34" s="53"/>
      <c r="AH34" s="53"/>
      <c r="AI34" s="53"/>
      <c r="AJ34" s="53"/>
      <c r="AK34" s="53"/>
      <c r="AL34" s="53"/>
      <c r="AM34" s="53"/>
      <c r="AN34" s="53"/>
      <c r="AO34" s="53"/>
      <c r="AP34" s="53"/>
      <c r="AQ34" s="53"/>
      <c r="AR34" s="53"/>
      <c r="AS34" s="53"/>
      <c r="AT34" s="53"/>
      <c r="AU34" s="53"/>
      <c r="AV34" s="53"/>
      <c r="AW34" s="53"/>
      <c r="AX34" s="53"/>
      <c r="AY34" s="53"/>
      <c r="AZ34" s="53"/>
      <c r="BA34" s="53"/>
      <c r="BB34" s="53"/>
      <c r="BC34" s="53"/>
      <c r="BD34" s="53"/>
      <c r="BE34" s="53"/>
      <c r="BF34" s="53"/>
      <c r="BG34" s="53"/>
      <c r="BH34" s="53"/>
      <c r="BI34" s="53"/>
      <c r="BJ34" s="53"/>
      <c r="BK34" s="53"/>
      <c r="BL34" s="53"/>
      <c r="BM34" s="53"/>
      <c r="BN34" s="53"/>
      <c r="BO34" s="53"/>
      <c r="BP34" s="53"/>
      <c r="BQ34" s="53"/>
      <c r="BR34" s="53"/>
      <c r="BS34" s="53"/>
      <c r="BT34" s="53"/>
      <c r="BU34" s="53"/>
      <c r="BV34" s="53"/>
      <c r="BW34" s="53"/>
      <c r="BX34" s="53"/>
      <c r="BY34" s="53"/>
      <c r="BZ34" s="53"/>
      <c r="CA34" s="53"/>
      <c r="CB34" s="53"/>
      <c r="CC34" s="53"/>
      <c r="CD34" s="53"/>
      <c r="CE34" s="53"/>
      <c r="CF34" s="53"/>
      <c r="CG34" s="53"/>
      <c r="CH34" s="53"/>
      <c r="CI34" s="53"/>
      <c r="CJ34" s="53"/>
      <c r="CK34" s="53"/>
      <c r="CL34" s="53"/>
      <c r="CM34" s="53"/>
      <c r="CN34" s="53"/>
      <c r="CO34" s="53"/>
      <c r="CP34" s="53"/>
      <c r="CQ34" s="53"/>
    </row>
    <row r="35" spans="8:95">
      <c r="H35" s="53"/>
      <c r="I35" s="53"/>
      <c r="J35" s="53"/>
      <c r="K35" s="53"/>
      <c r="L35" s="53"/>
      <c r="M35" s="53"/>
      <c r="N35" s="53"/>
      <c r="O35" s="53"/>
      <c r="P35" s="53"/>
      <c r="Q35" s="53"/>
      <c r="R35" s="53"/>
      <c r="S35" s="53"/>
      <c r="T35" s="53"/>
      <c r="U35" s="53"/>
      <c r="V35" s="53"/>
      <c r="W35" s="53"/>
      <c r="X35" s="53"/>
      <c r="Y35" s="53"/>
      <c r="Z35" s="53"/>
      <c r="AA35" s="53"/>
      <c r="AB35" s="53"/>
      <c r="AC35" s="53"/>
      <c r="AD35" s="53"/>
      <c r="AE35" s="53"/>
      <c r="AF35" s="53"/>
      <c r="AG35" s="53"/>
      <c r="AH35" s="53"/>
      <c r="AI35" s="53"/>
      <c r="AJ35" s="53"/>
      <c r="AK35" s="53"/>
      <c r="AL35" s="53"/>
      <c r="AM35" s="53"/>
      <c r="AN35" s="53"/>
      <c r="AO35" s="53"/>
      <c r="AP35" s="53"/>
      <c r="AQ35" s="53"/>
      <c r="AR35" s="53"/>
      <c r="AS35" s="53"/>
      <c r="AT35" s="53"/>
      <c r="AU35" s="53"/>
      <c r="AV35" s="53"/>
      <c r="AW35" s="53"/>
      <c r="AX35" s="53"/>
      <c r="AY35" s="53"/>
      <c r="AZ35" s="53"/>
      <c r="BA35" s="53"/>
      <c r="BB35" s="53"/>
      <c r="BC35" s="53"/>
      <c r="BD35" s="53"/>
      <c r="BE35" s="53"/>
      <c r="BF35" s="53"/>
      <c r="BG35" s="53"/>
      <c r="BH35" s="53"/>
      <c r="BI35" s="53"/>
      <c r="BJ35" s="53"/>
      <c r="BK35" s="53"/>
      <c r="BL35" s="53"/>
      <c r="BM35" s="53"/>
      <c r="BN35" s="53"/>
      <c r="BO35" s="53"/>
      <c r="BP35" s="53"/>
      <c r="BQ35" s="53"/>
      <c r="BR35" s="53"/>
      <c r="BS35" s="53"/>
      <c r="BT35" s="53"/>
      <c r="BU35" s="53"/>
      <c r="BV35" s="53"/>
      <c r="BW35" s="53"/>
      <c r="BX35" s="53"/>
      <c r="BY35" s="53"/>
      <c r="BZ35" s="53"/>
      <c r="CA35" s="53"/>
      <c r="CB35" s="53"/>
      <c r="CC35" s="53"/>
      <c r="CD35" s="53"/>
      <c r="CE35" s="53"/>
      <c r="CF35" s="53"/>
      <c r="CG35" s="53"/>
      <c r="CH35" s="53"/>
      <c r="CI35" s="53"/>
      <c r="CJ35" s="53"/>
      <c r="CK35" s="53"/>
      <c r="CL35" s="53"/>
      <c r="CM35" s="53"/>
      <c r="CN35" s="53"/>
      <c r="CO35" s="53"/>
      <c r="CP35" s="53"/>
      <c r="CQ35" s="53"/>
    </row>
    <row r="36" spans="8:95">
      <c r="H36" s="53"/>
      <c r="I36" s="53"/>
      <c r="J36" s="53"/>
      <c r="K36" s="53"/>
      <c r="L36" s="53"/>
      <c r="M36" s="53"/>
      <c r="N36" s="53"/>
      <c r="O36" s="53"/>
      <c r="P36" s="53"/>
      <c r="Q36" s="53"/>
      <c r="R36" s="53"/>
      <c r="S36" s="53"/>
      <c r="T36" s="53"/>
      <c r="U36" s="53"/>
      <c r="V36" s="53"/>
      <c r="W36" s="53"/>
      <c r="X36" s="53"/>
      <c r="Y36" s="53"/>
      <c r="Z36" s="53"/>
      <c r="AA36" s="53"/>
      <c r="AB36" s="53"/>
      <c r="AC36" s="53"/>
      <c r="AD36" s="53"/>
      <c r="AE36" s="53"/>
      <c r="AF36" s="53"/>
      <c r="AG36" s="53"/>
      <c r="AH36" s="53"/>
      <c r="AI36" s="53"/>
      <c r="AJ36" s="53"/>
      <c r="AK36" s="53"/>
      <c r="AL36" s="53"/>
      <c r="AM36" s="53"/>
      <c r="AN36" s="53"/>
      <c r="AO36" s="53"/>
      <c r="AP36" s="53"/>
      <c r="AQ36" s="53"/>
      <c r="AR36" s="53"/>
      <c r="AS36" s="53"/>
      <c r="AT36" s="53"/>
      <c r="AU36" s="53"/>
      <c r="AV36" s="53"/>
      <c r="AW36" s="53"/>
      <c r="AX36" s="53"/>
      <c r="AY36" s="53"/>
      <c r="AZ36" s="53"/>
      <c r="BA36" s="53"/>
      <c r="BB36" s="53"/>
      <c r="BC36" s="53"/>
      <c r="BD36" s="53"/>
      <c r="BE36" s="53"/>
      <c r="BF36" s="53"/>
      <c r="BG36" s="53"/>
      <c r="BH36" s="53"/>
      <c r="BI36" s="53"/>
      <c r="BJ36" s="53"/>
      <c r="BK36" s="53"/>
      <c r="BL36" s="53"/>
      <c r="BM36" s="53"/>
      <c r="BN36" s="53"/>
      <c r="BO36" s="53"/>
      <c r="BP36" s="53"/>
      <c r="BQ36" s="53"/>
      <c r="BR36" s="53"/>
      <c r="BS36" s="53"/>
      <c r="BT36" s="53"/>
      <c r="BU36" s="53"/>
      <c r="BV36" s="53"/>
      <c r="BW36" s="53"/>
      <c r="BX36" s="53"/>
      <c r="BY36" s="53"/>
      <c r="BZ36" s="53"/>
      <c r="CA36" s="53"/>
      <c r="CB36" s="53"/>
      <c r="CC36" s="53"/>
      <c r="CD36" s="53"/>
      <c r="CE36" s="53"/>
      <c r="CF36" s="53"/>
      <c r="CG36" s="53"/>
      <c r="CH36" s="53"/>
      <c r="CI36" s="53"/>
      <c r="CJ36" s="53"/>
      <c r="CK36" s="53"/>
      <c r="CL36" s="53"/>
      <c r="CM36" s="53"/>
      <c r="CN36" s="53"/>
      <c r="CO36" s="53"/>
      <c r="CP36" s="53"/>
      <c r="CQ36" s="53"/>
    </row>
    <row r="37" spans="8:95">
      <c r="H37" s="53"/>
      <c r="I37" s="53"/>
      <c r="J37" s="53"/>
      <c r="K37" s="53"/>
      <c r="L37" s="53"/>
      <c r="M37" s="53"/>
      <c r="N37" s="53"/>
      <c r="O37" s="53"/>
      <c r="P37" s="53"/>
      <c r="Q37" s="53"/>
      <c r="R37" s="53"/>
      <c r="S37" s="53"/>
      <c r="T37" s="53"/>
      <c r="U37" s="53"/>
      <c r="V37" s="53"/>
      <c r="W37" s="53"/>
      <c r="X37" s="53"/>
      <c r="Y37" s="53"/>
      <c r="Z37" s="53"/>
      <c r="AA37" s="53"/>
      <c r="AB37" s="53"/>
      <c r="AC37" s="53"/>
      <c r="AD37" s="53"/>
      <c r="AE37" s="53"/>
      <c r="AF37" s="53"/>
      <c r="AG37" s="53"/>
      <c r="AH37" s="53"/>
      <c r="AI37" s="53"/>
      <c r="AJ37" s="53"/>
      <c r="AK37" s="53"/>
      <c r="AL37" s="53"/>
      <c r="AM37" s="53"/>
      <c r="AN37" s="53"/>
      <c r="AO37" s="53"/>
      <c r="AP37" s="53"/>
      <c r="AQ37" s="53"/>
      <c r="AR37" s="53"/>
      <c r="AS37" s="53"/>
      <c r="AT37" s="53"/>
      <c r="AU37" s="53"/>
      <c r="AV37" s="53"/>
      <c r="AW37" s="53"/>
      <c r="AX37" s="53"/>
      <c r="AY37" s="53"/>
      <c r="AZ37" s="53"/>
      <c r="BA37" s="53"/>
      <c r="BB37" s="53"/>
      <c r="BC37" s="53"/>
      <c r="BD37" s="53"/>
      <c r="BE37" s="53"/>
      <c r="BF37" s="53"/>
      <c r="BG37" s="53"/>
      <c r="BH37" s="53"/>
      <c r="BI37" s="53"/>
      <c r="BJ37" s="53"/>
      <c r="BK37" s="53"/>
      <c r="BL37" s="53"/>
      <c r="BM37" s="53"/>
      <c r="BN37" s="53"/>
      <c r="BO37" s="53"/>
      <c r="BP37" s="53"/>
      <c r="BQ37" s="53"/>
      <c r="BR37" s="53"/>
      <c r="BS37" s="53"/>
      <c r="BT37" s="53"/>
      <c r="BU37" s="53"/>
      <c r="BV37" s="53"/>
      <c r="BW37" s="53"/>
      <c r="BX37" s="53"/>
      <c r="BY37" s="53"/>
      <c r="BZ37" s="53"/>
      <c r="CA37" s="53"/>
      <c r="CB37" s="53"/>
      <c r="CC37" s="53"/>
      <c r="CD37" s="53"/>
      <c r="CE37" s="53"/>
      <c r="CF37" s="53"/>
      <c r="CG37" s="53"/>
      <c r="CH37" s="53"/>
      <c r="CI37" s="53"/>
      <c r="CJ37" s="53"/>
      <c r="CK37" s="53"/>
      <c r="CL37" s="53"/>
      <c r="CM37" s="53"/>
      <c r="CN37" s="53"/>
      <c r="CO37" s="53"/>
      <c r="CP37" s="53"/>
      <c r="CQ37" s="53"/>
    </row>
    <row r="38" spans="8:95">
      <c r="H38" s="53"/>
      <c r="I38" s="53"/>
      <c r="J38" s="53"/>
      <c r="K38" s="53"/>
      <c r="L38" s="53"/>
      <c r="M38" s="53"/>
      <c r="N38" s="53"/>
      <c r="O38" s="53"/>
      <c r="P38" s="53"/>
      <c r="Q38" s="53"/>
      <c r="R38" s="53"/>
      <c r="S38" s="53"/>
      <c r="T38" s="53"/>
      <c r="U38" s="53"/>
      <c r="V38" s="53"/>
      <c r="W38" s="53"/>
      <c r="X38" s="53"/>
      <c r="Y38" s="53"/>
      <c r="Z38" s="53"/>
      <c r="AA38" s="53"/>
      <c r="AB38" s="53"/>
      <c r="AC38" s="53"/>
      <c r="AD38" s="53"/>
      <c r="AE38" s="53"/>
      <c r="AF38" s="53"/>
      <c r="AG38" s="53"/>
      <c r="AH38" s="53"/>
      <c r="AI38" s="53"/>
      <c r="AJ38" s="53"/>
      <c r="AK38" s="53"/>
      <c r="AL38" s="53"/>
      <c r="AM38" s="53"/>
      <c r="AN38" s="53"/>
      <c r="AO38" s="53"/>
      <c r="AP38" s="53"/>
      <c r="AQ38" s="53"/>
      <c r="AR38" s="53"/>
      <c r="AS38" s="53"/>
      <c r="AT38" s="53"/>
      <c r="AU38" s="53"/>
      <c r="AV38" s="53"/>
      <c r="AW38" s="53"/>
      <c r="AX38" s="53"/>
      <c r="AY38" s="53"/>
      <c r="AZ38" s="53"/>
      <c r="BA38" s="53"/>
      <c r="BB38" s="53"/>
      <c r="BC38" s="53"/>
      <c r="BD38" s="53"/>
      <c r="BE38" s="53"/>
      <c r="BF38" s="53"/>
      <c r="BG38" s="53"/>
      <c r="BH38" s="53"/>
      <c r="BI38" s="53"/>
      <c r="BJ38" s="53"/>
      <c r="BK38" s="53"/>
      <c r="BL38" s="53"/>
      <c r="BM38" s="53"/>
      <c r="BN38" s="53"/>
      <c r="BO38" s="53"/>
      <c r="BP38" s="53"/>
      <c r="BQ38" s="53"/>
      <c r="BR38" s="53"/>
      <c r="BS38" s="53"/>
      <c r="BT38" s="53"/>
      <c r="BU38" s="53"/>
      <c r="BV38" s="53"/>
      <c r="BW38" s="53"/>
      <c r="BX38" s="53"/>
      <c r="BY38" s="53"/>
      <c r="BZ38" s="53"/>
      <c r="CA38" s="53"/>
      <c r="CB38" s="53"/>
      <c r="CC38" s="53"/>
      <c r="CD38" s="53"/>
      <c r="CE38" s="53"/>
      <c r="CF38" s="53"/>
      <c r="CG38" s="53"/>
      <c r="CH38" s="53"/>
      <c r="CI38" s="53"/>
      <c r="CJ38" s="53"/>
      <c r="CK38" s="53"/>
      <c r="CL38" s="53"/>
      <c r="CM38" s="53"/>
      <c r="CN38" s="53"/>
      <c r="CO38" s="53"/>
      <c r="CP38" s="53"/>
      <c r="CQ38" s="53"/>
    </row>
    <row r="39" spans="8:95">
      <c r="H39" s="53"/>
      <c r="I39" s="53"/>
      <c r="J39" s="53"/>
      <c r="K39" s="53"/>
      <c r="L39" s="53"/>
      <c r="M39" s="53"/>
      <c r="N39" s="53"/>
      <c r="O39" s="53"/>
      <c r="P39" s="53"/>
      <c r="Q39" s="53"/>
      <c r="R39" s="53"/>
      <c r="S39" s="53"/>
      <c r="T39" s="53"/>
      <c r="U39" s="53"/>
      <c r="V39" s="53"/>
      <c r="W39" s="53"/>
      <c r="X39" s="53"/>
      <c r="Y39" s="53"/>
      <c r="Z39" s="53"/>
      <c r="AA39" s="53"/>
      <c r="AB39" s="53"/>
      <c r="AC39" s="53"/>
      <c r="AD39" s="53"/>
      <c r="AE39" s="53"/>
      <c r="AF39" s="53"/>
      <c r="AG39" s="53"/>
      <c r="AH39" s="53"/>
      <c r="AI39" s="53"/>
      <c r="AJ39" s="53"/>
      <c r="AK39" s="53"/>
      <c r="AL39" s="53"/>
      <c r="AM39" s="53"/>
      <c r="AN39" s="53"/>
      <c r="AO39" s="53"/>
      <c r="AP39" s="53"/>
      <c r="AQ39" s="53"/>
      <c r="AR39" s="53"/>
      <c r="AS39" s="53"/>
      <c r="AT39" s="53"/>
      <c r="AU39" s="53"/>
      <c r="AV39" s="53"/>
      <c r="AW39" s="53"/>
      <c r="AX39" s="53"/>
      <c r="AY39" s="53"/>
      <c r="AZ39" s="53"/>
      <c r="BA39" s="53"/>
      <c r="BB39" s="53"/>
      <c r="BC39" s="53"/>
      <c r="BD39" s="53"/>
      <c r="BE39" s="53"/>
      <c r="BF39" s="53"/>
      <c r="BG39" s="53"/>
      <c r="BH39" s="53"/>
      <c r="BI39" s="53"/>
      <c r="BJ39" s="53"/>
      <c r="BK39" s="53"/>
      <c r="BL39" s="53"/>
      <c r="BM39" s="53"/>
      <c r="BN39" s="53"/>
      <c r="BO39" s="53"/>
      <c r="BP39" s="53"/>
      <c r="BQ39" s="53"/>
      <c r="BR39" s="53"/>
      <c r="BS39" s="53"/>
      <c r="BT39" s="53"/>
      <c r="BU39" s="53"/>
      <c r="BV39" s="53"/>
      <c r="BW39" s="53"/>
      <c r="BX39" s="53"/>
      <c r="BY39" s="53"/>
      <c r="BZ39" s="53"/>
      <c r="CA39" s="53"/>
      <c r="CB39" s="53"/>
      <c r="CC39" s="53"/>
      <c r="CD39" s="53"/>
      <c r="CE39" s="53"/>
      <c r="CF39" s="53"/>
      <c r="CG39" s="53"/>
      <c r="CH39" s="53"/>
      <c r="CI39" s="53"/>
      <c r="CJ39" s="53"/>
      <c r="CK39" s="53"/>
      <c r="CL39" s="53"/>
      <c r="CM39" s="53"/>
      <c r="CN39" s="53"/>
      <c r="CO39" s="53"/>
      <c r="CP39" s="53"/>
      <c r="CQ39" s="53"/>
    </row>
    <row r="40" spans="8:95">
      <c r="H40" s="53"/>
      <c r="I40" s="53"/>
      <c r="J40" s="53"/>
      <c r="K40" s="53"/>
      <c r="L40" s="53"/>
      <c r="M40" s="53"/>
      <c r="N40" s="53"/>
      <c r="O40" s="53"/>
      <c r="P40" s="53"/>
      <c r="Q40" s="53"/>
      <c r="R40" s="53"/>
      <c r="S40" s="53"/>
      <c r="T40" s="53"/>
      <c r="U40" s="53"/>
      <c r="V40" s="53"/>
      <c r="W40" s="53"/>
      <c r="X40" s="53"/>
      <c r="Y40" s="53"/>
      <c r="Z40" s="53"/>
      <c r="AA40" s="53"/>
      <c r="AB40" s="53"/>
      <c r="AC40" s="53"/>
      <c r="AD40" s="53"/>
      <c r="AE40" s="53"/>
      <c r="AF40" s="53"/>
      <c r="AG40" s="53"/>
      <c r="AH40" s="53"/>
      <c r="AI40" s="53"/>
      <c r="AJ40" s="53"/>
      <c r="AK40" s="53"/>
      <c r="AL40" s="53"/>
      <c r="AM40" s="53"/>
      <c r="AN40" s="53"/>
      <c r="AO40" s="53"/>
      <c r="AP40" s="53"/>
      <c r="AQ40" s="53"/>
      <c r="AR40" s="53"/>
      <c r="AS40" s="53"/>
      <c r="AT40" s="53"/>
      <c r="AU40" s="53"/>
      <c r="AV40" s="53"/>
      <c r="AW40" s="53"/>
      <c r="AX40" s="53"/>
      <c r="AY40" s="53"/>
      <c r="AZ40" s="53"/>
      <c r="BA40" s="53"/>
      <c r="BB40" s="53"/>
      <c r="BC40" s="53"/>
      <c r="BD40" s="53"/>
      <c r="BE40" s="53"/>
      <c r="BF40" s="53"/>
      <c r="BG40" s="53"/>
      <c r="BH40" s="53"/>
      <c r="BI40" s="53"/>
      <c r="BJ40" s="53"/>
      <c r="BK40" s="53"/>
      <c r="BL40" s="53"/>
      <c r="BM40" s="53"/>
      <c r="BN40" s="53"/>
      <c r="BO40" s="53"/>
      <c r="BP40" s="53"/>
      <c r="BQ40" s="53"/>
      <c r="BR40" s="53"/>
      <c r="BS40" s="53"/>
      <c r="BT40" s="53"/>
      <c r="BU40" s="53"/>
      <c r="BV40" s="53"/>
      <c r="BW40" s="53"/>
      <c r="BX40" s="53"/>
      <c r="BY40" s="53"/>
      <c r="BZ40" s="53"/>
      <c r="CA40" s="53"/>
      <c r="CB40" s="53"/>
      <c r="CC40" s="53"/>
      <c r="CD40" s="53"/>
      <c r="CE40" s="53"/>
      <c r="CF40" s="53"/>
      <c r="CG40" s="53"/>
      <c r="CH40" s="53"/>
      <c r="CI40" s="53"/>
      <c r="CJ40" s="53"/>
      <c r="CK40" s="53"/>
      <c r="CL40" s="53"/>
      <c r="CM40" s="53"/>
      <c r="CN40" s="53"/>
      <c r="CO40" s="53"/>
      <c r="CP40" s="53"/>
      <c r="CQ40" s="53"/>
    </row>
    <row r="41" spans="8:95">
      <c r="H41" s="53"/>
      <c r="I41" s="53"/>
      <c r="J41" s="53"/>
      <c r="K41" s="53"/>
      <c r="L41" s="53"/>
      <c r="M41" s="53"/>
      <c r="N41" s="53"/>
      <c r="O41" s="53"/>
      <c r="P41" s="53"/>
      <c r="Q41" s="53"/>
      <c r="R41" s="53"/>
      <c r="S41" s="53"/>
      <c r="T41" s="53"/>
      <c r="U41" s="53"/>
      <c r="V41" s="53"/>
      <c r="W41" s="53"/>
      <c r="X41" s="53"/>
      <c r="Y41" s="53"/>
      <c r="Z41" s="53"/>
      <c r="AA41" s="53"/>
      <c r="AB41" s="53"/>
      <c r="AC41" s="53"/>
      <c r="AD41" s="53"/>
      <c r="AE41" s="53"/>
      <c r="AF41" s="53"/>
      <c r="AG41" s="53"/>
      <c r="AH41" s="53"/>
      <c r="AI41" s="53"/>
      <c r="AJ41" s="53"/>
      <c r="AK41" s="53"/>
      <c r="AL41" s="53"/>
      <c r="AM41" s="53"/>
      <c r="AN41" s="53"/>
      <c r="AO41" s="53"/>
      <c r="AP41" s="53"/>
      <c r="AQ41" s="53"/>
      <c r="AR41" s="53"/>
      <c r="AS41" s="53"/>
      <c r="AT41" s="53"/>
      <c r="AU41" s="53"/>
      <c r="AV41" s="53"/>
      <c r="AW41" s="53"/>
      <c r="AX41" s="53"/>
      <c r="AY41" s="53"/>
      <c r="AZ41" s="53"/>
      <c r="BA41" s="53"/>
      <c r="BB41" s="53"/>
      <c r="BC41" s="53"/>
      <c r="BD41" s="53"/>
      <c r="BE41" s="53"/>
      <c r="BF41" s="53"/>
      <c r="BG41" s="53"/>
      <c r="BH41" s="53"/>
      <c r="BI41" s="53"/>
      <c r="BJ41" s="53"/>
      <c r="BK41" s="53"/>
      <c r="BL41" s="53"/>
      <c r="BM41" s="53"/>
      <c r="BN41" s="53"/>
      <c r="BO41" s="53"/>
      <c r="BP41" s="53"/>
      <c r="BQ41" s="53"/>
      <c r="BR41" s="53"/>
      <c r="BS41" s="53"/>
      <c r="BT41" s="53"/>
      <c r="BU41" s="53"/>
      <c r="BV41" s="53"/>
      <c r="BW41" s="53"/>
      <c r="BX41" s="53"/>
      <c r="BY41" s="53"/>
      <c r="BZ41" s="53"/>
      <c r="CA41" s="53"/>
      <c r="CB41" s="53"/>
      <c r="CC41" s="53"/>
      <c r="CD41" s="53"/>
      <c r="CE41" s="53"/>
      <c r="CF41" s="53"/>
      <c r="CG41" s="53"/>
      <c r="CH41" s="53"/>
      <c r="CI41" s="53"/>
      <c r="CJ41" s="53"/>
      <c r="CK41" s="53"/>
      <c r="CL41" s="53"/>
      <c r="CM41" s="53"/>
      <c r="CN41" s="53"/>
      <c r="CO41" s="53"/>
      <c r="CP41" s="53"/>
      <c r="CQ41" s="53"/>
    </row>
    <row r="42" spans="8:95">
      <c r="H42" s="53"/>
      <c r="I42" s="53"/>
      <c r="J42" s="53"/>
      <c r="K42" s="53"/>
      <c r="L42" s="53"/>
      <c r="M42" s="53"/>
      <c r="N42" s="53"/>
      <c r="O42" s="53"/>
      <c r="P42" s="53"/>
      <c r="Q42" s="53"/>
      <c r="R42" s="53"/>
      <c r="S42" s="53"/>
      <c r="T42" s="53"/>
      <c r="U42" s="53"/>
      <c r="V42" s="53"/>
      <c r="W42" s="53"/>
      <c r="X42" s="53"/>
      <c r="Y42" s="53"/>
      <c r="Z42" s="53"/>
      <c r="AA42" s="53"/>
      <c r="AB42" s="53"/>
      <c r="AC42" s="53"/>
      <c r="AD42" s="53"/>
      <c r="AE42" s="53"/>
      <c r="AF42" s="53"/>
      <c r="AG42" s="53"/>
      <c r="AH42" s="53"/>
      <c r="AI42" s="53"/>
      <c r="AJ42" s="53"/>
      <c r="AK42" s="53"/>
      <c r="AL42" s="53"/>
      <c r="AM42" s="53"/>
      <c r="AN42" s="53"/>
      <c r="AO42" s="53"/>
      <c r="AP42" s="53"/>
      <c r="AQ42" s="53"/>
      <c r="AR42" s="53"/>
      <c r="AS42" s="53"/>
      <c r="AT42" s="53"/>
      <c r="AU42" s="53"/>
      <c r="AV42" s="53"/>
      <c r="AW42" s="53"/>
      <c r="AX42" s="53"/>
      <c r="AY42" s="53"/>
      <c r="AZ42" s="53"/>
      <c r="BA42" s="53"/>
      <c r="BB42" s="53"/>
      <c r="BC42" s="53"/>
      <c r="BD42" s="53"/>
      <c r="BE42" s="53"/>
      <c r="BF42" s="53"/>
      <c r="BG42" s="53"/>
      <c r="BH42" s="53"/>
      <c r="BI42" s="53"/>
      <c r="BJ42" s="53"/>
      <c r="BK42" s="53"/>
      <c r="BL42" s="53"/>
      <c r="BM42" s="53"/>
      <c r="BN42" s="53"/>
      <c r="BO42" s="53"/>
      <c r="BP42" s="53"/>
      <c r="BQ42" s="53"/>
      <c r="BR42" s="53"/>
      <c r="BS42" s="53"/>
      <c r="BT42" s="53"/>
      <c r="BU42" s="53"/>
      <c r="BV42" s="53"/>
      <c r="BW42" s="53"/>
      <c r="BX42" s="53"/>
      <c r="BY42" s="53"/>
      <c r="BZ42" s="53"/>
      <c r="CA42" s="53"/>
      <c r="CB42" s="53"/>
      <c r="CC42" s="53"/>
      <c r="CD42" s="53"/>
      <c r="CE42" s="53"/>
      <c r="CF42" s="53"/>
      <c r="CG42" s="53"/>
      <c r="CH42" s="53"/>
      <c r="CI42" s="53"/>
      <c r="CJ42" s="53"/>
      <c r="CK42" s="53"/>
      <c r="CL42" s="53"/>
      <c r="CM42" s="53"/>
      <c r="CN42" s="53"/>
      <c r="CO42" s="53"/>
      <c r="CP42" s="53"/>
      <c r="CQ42" s="53"/>
    </row>
    <row r="43" spans="8:95">
      <c r="H43" s="53"/>
      <c r="I43" s="53"/>
      <c r="J43" s="53"/>
      <c r="K43" s="53"/>
      <c r="L43" s="53"/>
      <c r="M43" s="53"/>
      <c r="N43" s="53"/>
      <c r="O43" s="53"/>
      <c r="P43" s="53"/>
      <c r="Q43" s="53"/>
      <c r="R43" s="53"/>
      <c r="S43" s="53"/>
      <c r="T43" s="53"/>
      <c r="U43" s="53"/>
      <c r="V43" s="53"/>
      <c r="W43" s="53"/>
      <c r="X43" s="53"/>
      <c r="Y43" s="53"/>
      <c r="Z43" s="53"/>
      <c r="AA43" s="53"/>
      <c r="AB43" s="53"/>
      <c r="AC43" s="53"/>
      <c r="AD43" s="53"/>
      <c r="AE43" s="53"/>
      <c r="AF43" s="53"/>
      <c r="AG43" s="53"/>
      <c r="AH43" s="53"/>
      <c r="AI43" s="53"/>
      <c r="AJ43" s="53"/>
      <c r="AK43" s="53"/>
      <c r="AL43" s="53"/>
      <c r="AM43" s="53"/>
      <c r="AN43" s="53"/>
      <c r="AO43" s="53"/>
      <c r="AP43" s="53"/>
      <c r="AQ43" s="53"/>
      <c r="AR43" s="53"/>
      <c r="AS43" s="53"/>
      <c r="AT43" s="53"/>
      <c r="AU43" s="53"/>
      <c r="AV43" s="53"/>
      <c r="AW43" s="53"/>
      <c r="AX43" s="53"/>
      <c r="AY43" s="53"/>
      <c r="AZ43" s="53"/>
      <c r="BA43" s="53"/>
      <c r="BB43" s="53"/>
      <c r="BC43" s="53"/>
      <c r="BD43" s="53"/>
      <c r="BE43" s="53"/>
      <c r="BF43" s="53"/>
      <c r="BG43" s="53"/>
      <c r="BH43" s="53"/>
      <c r="BI43" s="53"/>
      <c r="BJ43" s="53"/>
      <c r="BK43" s="53"/>
      <c r="BL43" s="53"/>
      <c r="BM43" s="53"/>
      <c r="BN43" s="53"/>
      <c r="BO43" s="53"/>
      <c r="BP43" s="53"/>
      <c r="BQ43" s="53"/>
      <c r="BR43" s="53"/>
      <c r="BS43" s="53"/>
      <c r="BT43" s="53"/>
      <c r="BU43" s="53"/>
      <c r="BV43" s="53"/>
      <c r="BW43" s="53"/>
      <c r="BX43" s="53"/>
      <c r="BY43" s="53"/>
      <c r="BZ43" s="53"/>
      <c r="CA43" s="53"/>
      <c r="CB43" s="53"/>
      <c r="CC43" s="53"/>
      <c r="CD43" s="53"/>
      <c r="CE43" s="53"/>
      <c r="CF43" s="53"/>
      <c r="CG43" s="53"/>
      <c r="CH43" s="53"/>
      <c r="CI43" s="53"/>
      <c r="CJ43" s="53"/>
      <c r="CK43" s="53"/>
      <c r="CL43" s="53"/>
      <c r="CM43" s="53"/>
      <c r="CN43" s="53"/>
      <c r="CO43" s="53"/>
      <c r="CP43" s="53"/>
      <c r="CQ43" s="53"/>
    </row>
    <row r="44" spans="8:95">
      <c r="H44" s="53"/>
      <c r="I44" s="53"/>
      <c r="J44" s="53"/>
      <c r="K44" s="53"/>
      <c r="L44" s="53"/>
      <c r="M44" s="53"/>
      <c r="N44" s="53"/>
      <c r="O44" s="53"/>
      <c r="P44" s="53"/>
      <c r="Q44" s="53"/>
      <c r="R44" s="53"/>
      <c r="S44" s="53"/>
      <c r="T44" s="53"/>
      <c r="U44" s="53"/>
      <c r="V44" s="53"/>
      <c r="W44" s="53"/>
      <c r="X44" s="53"/>
      <c r="Y44" s="53"/>
      <c r="Z44" s="53"/>
      <c r="AA44" s="53"/>
      <c r="AB44" s="53"/>
      <c r="AC44" s="53"/>
      <c r="AD44" s="53"/>
      <c r="AE44" s="53"/>
      <c r="AF44" s="53"/>
      <c r="AG44" s="53"/>
      <c r="AH44" s="53"/>
      <c r="AI44" s="53"/>
      <c r="AJ44" s="53"/>
      <c r="AK44" s="53"/>
      <c r="AL44" s="53"/>
      <c r="AM44" s="53"/>
      <c r="AN44" s="53"/>
      <c r="AO44" s="53"/>
      <c r="AP44" s="53"/>
      <c r="AQ44" s="53"/>
      <c r="AR44" s="53"/>
      <c r="AS44" s="53"/>
      <c r="AT44" s="53"/>
      <c r="AU44" s="53"/>
      <c r="AV44" s="53"/>
      <c r="AW44" s="53"/>
      <c r="AX44" s="53"/>
      <c r="AY44" s="53"/>
      <c r="AZ44" s="53"/>
      <c r="BA44" s="53"/>
      <c r="BB44" s="53"/>
      <c r="BC44" s="53"/>
      <c r="BD44" s="53"/>
      <c r="BE44" s="53"/>
      <c r="BF44" s="53"/>
      <c r="BG44" s="53"/>
      <c r="BH44" s="53"/>
      <c r="BI44" s="53"/>
      <c r="BJ44" s="53"/>
      <c r="BK44" s="53"/>
      <c r="BL44" s="53"/>
      <c r="BM44" s="53"/>
      <c r="BN44" s="53"/>
      <c r="BO44" s="53"/>
      <c r="BP44" s="53"/>
      <c r="BQ44" s="53"/>
      <c r="BR44" s="53"/>
      <c r="BS44" s="53"/>
      <c r="BT44" s="53"/>
      <c r="BU44" s="53"/>
      <c r="BV44" s="53"/>
      <c r="BW44" s="53"/>
      <c r="BX44" s="53"/>
      <c r="BY44" s="53"/>
      <c r="BZ44" s="53"/>
      <c r="CA44" s="53"/>
      <c r="CB44" s="53"/>
      <c r="CC44" s="53"/>
      <c r="CD44" s="53"/>
      <c r="CE44" s="53"/>
      <c r="CF44" s="53"/>
      <c r="CG44" s="53"/>
      <c r="CH44" s="53"/>
      <c r="CI44" s="53"/>
      <c r="CJ44" s="53"/>
      <c r="CK44" s="53"/>
      <c r="CL44" s="53"/>
      <c r="CM44" s="53"/>
      <c r="CN44" s="53"/>
      <c r="CO44" s="53"/>
      <c r="CP44" s="53"/>
      <c r="CQ44" s="53"/>
    </row>
    <row r="45" spans="8:95">
      <c r="H45" s="53"/>
      <c r="I45" s="53"/>
      <c r="J45" s="53"/>
      <c r="K45" s="53"/>
      <c r="L45" s="53"/>
      <c r="M45" s="53"/>
      <c r="N45" s="53"/>
      <c r="O45" s="53"/>
      <c r="P45" s="53"/>
      <c r="Q45" s="53"/>
      <c r="R45" s="53"/>
      <c r="S45" s="53"/>
      <c r="T45" s="53"/>
      <c r="U45" s="53"/>
      <c r="V45" s="53"/>
      <c r="W45" s="53"/>
      <c r="X45" s="53"/>
      <c r="Y45" s="53"/>
      <c r="Z45" s="53"/>
      <c r="AA45" s="53"/>
      <c r="AB45" s="53"/>
      <c r="AC45" s="53"/>
      <c r="AD45" s="53"/>
      <c r="AE45" s="53"/>
      <c r="AF45" s="53"/>
      <c r="AG45" s="53"/>
      <c r="AH45" s="53"/>
      <c r="AI45" s="53"/>
      <c r="AJ45" s="53"/>
      <c r="AK45" s="53"/>
      <c r="AL45" s="53"/>
      <c r="AM45" s="53"/>
      <c r="AN45" s="53"/>
      <c r="AO45" s="53"/>
      <c r="AP45" s="53"/>
      <c r="AQ45" s="53"/>
      <c r="AR45" s="53"/>
      <c r="AS45" s="53"/>
      <c r="AT45" s="53"/>
      <c r="AU45" s="53"/>
      <c r="AV45" s="53"/>
      <c r="AW45" s="53"/>
      <c r="AX45" s="53"/>
      <c r="AY45" s="53"/>
      <c r="AZ45" s="53"/>
      <c r="BA45" s="53"/>
      <c r="BB45" s="53"/>
      <c r="BC45" s="53"/>
      <c r="BD45" s="53"/>
      <c r="BE45" s="53"/>
      <c r="BF45" s="53"/>
      <c r="BG45" s="53"/>
      <c r="BH45" s="53"/>
      <c r="BI45" s="53"/>
      <c r="BJ45" s="53"/>
      <c r="BK45" s="53"/>
      <c r="BL45" s="53"/>
      <c r="BM45" s="53"/>
      <c r="BN45" s="53"/>
      <c r="BO45" s="53"/>
      <c r="BP45" s="53"/>
      <c r="BQ45" s="53"/>
      <c r="BR45" s="53"/>
      <c r="BS45" s="53"/>
      <c r="BT45" s="53"/>
      <c r="BU45" s="53"/>
      <c r="BV45" s="53"/>
      <c r="BW45" s="53"/>
      <c r="BX45" s="53"/>
      <c r="BY45" s="53"/>
      <c r="BZ45" s="53"/>
      <c r="CA45" s="53"/>
      <c r="CB45" s="53"/>
      <c r="CC45" s="53"/>
      <c r="CD45" s="53"/>
      <c r="CE45" s="53"/>
      <c r="CF45" s="53"/>
      <c r="CG45" s="53"/>
      <c r="CH45" s="53"/>
      <c r="CI45" s="53"/>
      <c r="CJ45" s="53"/>
      <c r="CK45" s="53"/>
      <c r="CL45" s="53"/>
      <c r="CM45" s="53"/>
      <c r="CN45" s="53"/>
      <c r="CO45" s="53"/>
      <c r="CP45" s="53"/>
      <c r="CQ45" s="53"/>
    </row>
    <row r="46" spans="8:95">
      <c r="H46" s="53"/>
      <c r="I46" s="53"/>
      <c r="J46" s="53"/>
      <c r="K46" s="53"/>
      <c r="L46" s="53"/>
      <c r="M46" s="53"/>
      <c r="N46" s="53"/>
      <c r="O46" s="53"/>
      <c r="P46" s="53"/>
      <c r="Q46" s="53"/>
      <c r="R46" s="53"/>
      <c r="S46" s="53"/>
      <c r="T46" s="53"/>
      <c r="U46" s="53"/>
      <c r="V46" s="53"/>
      <c r="W46" s="53"/>
      <c r="X46" s="53"/>
      <c r="Y46" s="53"/>
      <c r="Z46" s="53"/>
      <c r="AA46" s="53"/>
      <c r="AB46" s="53"/>
      <c r="AC46" s="53"/>
      <c r="AD46" s="53"/>
      <c r="AE46" s="53"/>
      <c r="AF46" s="53"/>
      <c r="AG46" s="53"/>
      <c r="AH46" s="53"/>
      <c r="AI46" s="53"/>
      <c r="AJ46" s="53"/>
      <c r="AK46" s="53"/>
      <c r="AL46" s="53"/>
      <c r="AM46" s="53"/>
      <c r="AN46" s="53"/>
      <c r="AO46" s="53"/>
      <c r="AP46" s="53"/>
      <c r="AQ46" s="53"/>
      <c r="AR46" s="53"/>
      <c r="AS46" s="53"/>
      <c r="AT46" s="53"/>
      <c r="AU46" s="53"/>
      <c r="AV46" s="53"/>
      <c r="AW46" s="53"/>
      <c r="AX46" s="53"/>
      <c r="AY46" s="53"/>
      <c r="AZ46" s="53"/>
      <c r="BA46" s="53"/>
      <c r="BB46" s="53"/>
      <c r="BC46" s="53"/>
      <c r="BD46" s="53"/>
      <c r="BE46" s="53"/>
      <c r="BF46" s="53"/>
      <c r="BG46" s="53"/>
      <c r="BH46" s="53"/>
      <c r="BI46" s="53"/>
      <c r="BJ46" s="53"/>
      <c r="BK46" s="53"/>
      <c r="BL46" s="53"/>
      <c r="BM46" s="53"/>
      <c r="BN46" s="53"/>
      <c r="BO46" s="53"/>
      <c r="BP46" s="53"/>
      <c r="BQ46" s="53"/>
      <c r="BR46" s="53"/>
      <c r="BS46" s="53"/>
      <c r="BT46" s="53"/>
      <c r="BU46" s="53"/>
      <c r="BV46" s="53"/>
      <c r="BW46" s="53"/>
      <c r="BX46" s="53"/>
      <c r="BY46" s="53"/>
      <c r="BZ46" s="53"/>
      <c r="CA46" s="53"/>
      <c r="CB46" s="53"/>
      <c r="CC46" s="53"/>
      <c r="CD46" s="53"/>
      <c r="CE46" s="53"/>
      <c r="CF46" s="53"/>
      <c r="CG46" s="53"/>
      <c r="CH46" s="53"/>
      <c r="CI46" s="53"/>
      <c r="CJ46" s="53"/>
      <c r="CK46" s="53"/>
      <c r="CL46" s="53"/>
      <c r="CM46" s="53"/>
      <c r="CN46" s="53"/>
      <c r="CO46" s="53"/>
      <c r="CP46" s="53"/>
      <c r="CQ46" s="53"/>
    </row>
    <row r="47" spans="8:95">
      <c r="H47" s="53"/>
      <c r="I47" s="53"/>
      <c r="J47" s="53"/>
      <c r="K47" s="53"/>
      <c r="L47" s="53"/>
      <c r="M47" s="53"/>
      <c r="N47" s="53"/>
      <c r="O47" s="53"/>
      <c r="P47" s="53"/>
      <c r="Q47" s="53"/>
      <c r="R47" s="53"/>
      <c r="S47" s="53"/>
      <c r="T47" s="53"/>
      <c r="U47" s="53"/>
      <c r="V47" s="53"/>
      <c r="W47" s="53"/>
      <c r="X47" s="53"/>
      <c r="Y47" s="53"/>
      <c r="Z47" s="53"/>
      <c r="AA47" s="53"/>
      <c r="AB47" s="53"/>
      <c r="AC47" s="53"/>
      <c r="AD47" s="53"/>
      <c r="AE47" s="53"/>
      <c r="AF47" s="53"/>
      <c r="AG47" s="53"/>
      <c r="AH47" s="53"/>
      <c r="AI47" s="53"/>
      <c r="AJ47" s="53"/>
      <c r="AK47" s="53"/>
      <c r="AL47" s="53"/>
      <c r="AM47" s="53"/>
      <c r="AN47" s="53"/>
      <c r="AO47" s="53"/>
      <c r="AP47" s="53"/>
      <c r="AQ47" s="53"/>
      <c r="AR47" s="53"/>
      <c r="AS47" s="53"/>
      <c r="AT47" s="53"/>
      <c r="AU47" s="53"/>
      <c r="AV47" s="53"/>
      <c r="AW47" s="53"/>
      <c r="AX47" s="53"/>
      <c r="AY47" s="53"/>
      <c r="AZ47" s="53"/>
      <c r="BA47" s="53"/>
      <c r="BB47" s="53"/>
      <c r="BC47" s="53"/>
      <c r="BD47" s="53"/>
      <c r="BE47" s="53"/>
      <c r="BF47" s="53"/>
      <c r="BG47" s="53"/>
      <c r="BH47" s="53"/>
      <c r="BI47" s="53"/>
      <c r="BJ47" s="53"/>
      <c r="BK47" s="53"/>
      <c r="BL47" s="53"/>
      <c r="BM47" s="53"/>
      <c r="BN47" s="53"/>
      <c r="BO47" s="53"/>
      <c r="BP47" s="53"/>
      <c r="BQ47" s="53"/>
      <c r="BR47" s="53"/>
      <c r="BS47" s="53"/>
      <c r="BT47" s="53"/>
      <c r="BU47" s="53"/>
      <c r="BV47" s="53"/>
      <c r="BW47" s="53"/>
      <c r="BX47" s="53"/>
      <c r="BY47" s="53"/>
      <c r="BZ47" s="53"/>
      <c r="CA47" s="53"/>
      <c r="CB47" s="53"/>
      <c r="CC47" s="53"/>
      <c r="CD47" s="53"/>
      <c r="CE47" s="53"/>
      <c r="CF47" s="53"/>
      <c r="CG47" s="53"/>
      <c r="CH47" s="53"/>
      <c r="CI47" s="53"/>
      <c r="CJ47" s="53"/>
      <c r="CK47" s="53"/>
      <c r="CL47" s="53"/>
      <c r="CM47" s="53"/>
      <c r="CN47" s="53"/>
      <c r="CO47" s="53"/>
      <c r="CP47" s="53"/>
      <c r="CQ47" s="53"/>
    </row>
    <row r="48" spans="8:95">
      <c r="H48" s="53"/>
      <c r="I48" s="53"/>
      <c r="J48" s="53"/>
      <c r="K48" s="53"/>
      <c r="L48" s="53"/>
      <c r="M48" s="53"/>
      <c r="N48" s="53"/>
      <c r="O48" s="53"/>
      <c r="P48" s="53"/>
      <c r="Q48" s="53"/>
      <c r="R48" s="53"/>
      <c r="S48" s="53"/>
      <c r="T48" s="53"/>
      <c r="U48" s="53"/>
      <c r="V48" s="53"/>
      <c r="W48" s="53"/>
      <c r="X48" s="53"/>
      <c r="Y48" s="53"/>
      <c r="Z48" s="53"/>
      <c r="AA48" s="53"/>
      <c r="AB48" s="53"/>
      <c r="AC48" s="53"/>
      <c r="AD48" s="53"/>
      <c r="AE48" s="53"/>
      <c r="AF48" s="53"/>
      <c r="AG48" s="53"/>
      <c r="AH48" s="53"/>
      <c r="AI48" s="53"/>
      <c r="AJ48" s="53"/>
      <c r="AK48" s="53"/>
      <c r="AL48" s="53"/>
      <c r="AM48" s="53"/>
      <c r="AN48" s="53"/>
      <c r="AO48" s="53"/>
      <c r="AP48" s="53"/>
      <c r="AQ48" s="53"/>
      <c r="AR48" s="53"/>
      <c r="AS48" s="53"/>
      <c r="AT48" s="53"/>
      <c r="AU48" s="53"/>
      <c r="AV48" s="53"/>
      <c r="AW48" s="53"/>
      <c r="AX48" s="53"/>
      <c r="AY48" s="53"/>
      <c r="AZ48" s="53"/>
      <c r="BA48" s="53"/>
      <c r="BB48" s="53"/>
      <c r="BC48" s="53"/>
      <c r="BD48" s="53"/>
      <c r="BE48" s="53"/>
      <c r="BF48" s="53"/>
      <c r="BG48" s="53"/>
      <c r="BH48" s="53"/>
      <c r="BI48" s="53"/>
      <c r="BJ48" s="53"/>
      <c r="BK48" s="53"/>
      <c r="BL48" s="53"/>
      <c r="BM48" s="53"/>
      <c r="BN48" s="53"/>
      <c r="BO48" s="53"/>
      <c r="BP48" s="53"/>
      <c r="BQ48" s="53"/>
      <c r="BR48" s="53"/>
      <c r="BS48" s="53"/>
      <c r="BT48" s="53"/>
      <c r="BU48" s="53"/>
      <c r="BV48" s="53"/>
      <c r="BW48" s="53"/>
      <c r="BX48" s="53"/>
      <c r="BY48" s="53"/>
      <c r="BZ48" s="53"/>
      <c r="CA48" s="53"/>
      <c r="CB48" s="53"/>
      <c r="CC48" s="53"/>
      <c r="CD48" s="53"/>
      <c r="CE48" s="53"/>
      <c r="CF48" s="53"/>
      <c r="CG48" s="53"/>
      <c r="CH48" s="53"/>
      <c r="CI48" s="53"/>
      <c r="CJ48" s="53"/>
      <c r="CK48" s="53"/>
      <c r="CL48" s="53"/>
      <c r="CM48" s="53"/>
      <c r="CN48" s="53"/>
      <c r="CO48" s="53"/>
      <c r="CP48" s="53"/>
      <c r="CQ48" s="53"/>
    </row>
    <row r="49" spans="8:95">
      <c r="H49" s="53"/>
      <c r="I49" s="53"/>
      <c r="J49" s="53"/>
      <c r="K49" s="53"/>
      <c r="L49" s="53"/>
      <c r="M49" s="53"/>
      <c r="N49" s="53"/>
      <c r="O49" s="53"/>
      <c r="P49" s="53"/>
      <c r="Q49" s="53"/>
      <c r="R49" s="53"/>
      <c r="S49" s="53"/>
      <c r="T49" s="53"/>
      <c r="U49" s="53"/>
      <c r="V49" s="53"/>
      <c r="W49" s="53"/>
      <c r="X49" s="53"/>
      <c r="Y49" s="53"/>
      <c r="Z49" s="53"/>
      <c r="AA49" s="53"/>
      <c r="AB49" s="53"/>
      <c r="AC49" s="53"/>
      <c r="AD49" s="53"/>
      <c r="AE49" s="53"/>
      <c r="AF49" s="53"/>
      <c r="AG49" s="53"/>
      <c r="AH49" s="53"/>
      <c r="AI49" s="53"/>
      <c r="AJ49" s="53"/>
      <c r="AK49" s="53"/>
      <c r="AL49" s="53"/>
      <c r="AM49" s="53"/>
      <c r="AN49" s="53"/>
      <c r="AO49" s="53"/>
      <c r="AP49" s="53"/>
      <c r="AQ49" s="53"/>
      <c r="AR49" s="53"/>
      <c r="AS49" s="53"/>
      <c r="AT49" s="53"/>
      <c r="AU49" s="53"/>
      <c r="AV49" s="53"/>
      <c r="AW49" s="53"/>
      <c r="AX49" s="53"/>
      <c r="AY49" s="53"/>
      <c r="AZ49" s="53"/>
      <c r="BA49" s="53"/>
      <c r="BB49" s="53"/>
      <c r="BC49" s="53"/>
      <c r="BD49" s="53"/>
      <c r="BE49" s="53"/>
      <c r="BF49" s="53"/>
      <c r="BG49" s="53"/>
      <c r="BH49" s="53"/>
      <c r="BI49" s="53"/>
      <c r="BJ49" s="53"/>
      <c r="BK49" s="53"/>
      <c r="BL49" s="53"/>
      <c r="BM49" s="53"/>
      <c r="BN49" s="53"/>
      <c r="BO49" s="53"/>
      <c r="BP49" s="53"/>
      <c r="BQ49" s="53"/>
      <c r="BR49" s="53"/>
      <c r="BS49" s="53"/>
      <c r="BT49" s="53"/>
      <c r="BU49" s="53"/>
      <c r="BV49" s="53"/>
      <c r="BW49" s="53"/>
      <c r="BX49" s="53"/>
      <c r="BY49" s="53"/>
      <c r="BZ49" s="53"/>
      <c r="CA49" s="53"/>
      <c r="CB49" s="53"/>
      <c r="CC49" s="53"/>
      <c r="CD49" s="53"/>
      <c r="CE49" s="53"/>
      <c r="CF49" s="53"/>
      <c r="CG49" s="53"/>
      <c r="CH49" s="53"/>
      <c r="CI49" s="53"/>
      <c r="CJ49" s="53"/>
      <c r="CK49" s="53"/>
      <c r="CL49" s="53"/>
      <c r="CM49" s="53"/>
      <c r="CN49" s="53"/>
      <c r="CO49" s="53"/>
      <c r="CP49" s="53"/>
      <c r="CQ49" s="53"/>
    </row>
    <row r="50" spans="8:95">
      <c r="H50" s="53"/>
      <c r="I50" s="53"/>
      <c r="J50" s="53"/>
      <c r="K50" s="53"/>
      <c r="L50" s="53"/>
      <c r="M50" s="53"/>
      <c r="N50" s="53"/>
      <c r="O50" s="53"/>
      <c r="P50" s="53"/>
      <c r="Q50" s="53"/>
      <c r="R50" s="53"/>
      <c r="S50" s="53"/>
      <c r="T50" s="53"/>
      <c r="U50" s="53"/>
      <c r="V50" s="53"/>
      <c r="W50" s="53"/>
      <c r="X50" s="53"/>
      <c r="Y50" s="53"/>
      <c r="Z50" s="53"/>
      <c r="AA50" s="53"/>
      <c r="AB50" s="53"/>
      <c r="AC50" s="53"/>
      <c r="AD50" s="53"/>
      <c r="AE50" s="53"/>
      <c r="AF50" s="53"/>
      <c r="AG50" s="53"/>
      <c r="AH50" s="53"/>
      <c r="AI50" s="53"/>
      <c r="AJ50" s="53"/>
      <c r="AK50" s="53"/>
      <c r="AL50" s="53"/>
      <c r="AM50" s="53"/>
      <c r="AN50" s="53"/>
      <c r="AO50" s="53"/>
      <c r="AP50" s="53"/>
      <c r="AQ50" s="53"/>
      <c r="AR50" s="53"/>
      <c r="AS50" s="53"/>
      <c r="AT50" s="53"/>
      <c r="AU50" s="53"/>
      <c r="AV50" s="53"/>
      <c r="AW50" s="53"/>
      <c r="AX50" s="53"/>
      <c r="AY50" s="53"/>
      <c r="AZ50" s="53"/>
      <c r="BA50" s="53"/>
      <c r="BB50" s="53"/>
      <c r="BC50" s="53"/>
      <c r="BD50" s="53"/>
      <c r="BE50" s="53"/>
      <c r="BF50" s="53"/>
      <c r="BG50" s="53"/>
      <c r="BH50" s="53"/>
      <c r="BI50" s="53"/>
      <c r="BJ50" s="53"/>
      <c r="BK50" s="53"/>
      <c r="BL50" s="53"/>
      <c r="BM50" s="53"/>
      <c r="BN50" s="53"/>
      <c r="BO50" s="53"/>
      <c r="BP50" s="53"/>
      <c r="BQ50" s="53"/>
      <c r="BR50" s="53"/>
      <c r="BS50" s="53"/>
      <c r="BT50" s="53"/>
      <c r="BU50" s="53"/>
      <c r="BV50" s="53"/>
      <c r="BW50" s="53"/>
      <c r="BX50" s="53"/>
      <c r="BY50" s="53"/>
      <c r="BZ50" s="53"/>
      <c r="CA50" s="53"/>
      <c r="CB50" s="53"/>
      <c r="CC50" s="53"/>
      <c r="CD50" s="53"/>
      <c r="CE50" s="53"/>
      <c r="CF50" s="53"/>
      <c r="CG50" s="53"/>
      <c r="CH50" s="53"/>
      <c r="CI50" s="53"/>
      <c r="CJ50" s="53"/>
      <c r="CK50" s="53"/>
      <c r="CL50" s="53"/>
      <c r="CM50" s="53"/>
      <c r="CN50" s="53"/>
      <c r="CO50" s="53"/>
      <c r="CP50" s="53"/>
      <c r="CQ50" s="53"/>
    </row>
    <row r="51" spans="8:95">
      <c r="H51" s="53"/>
      <c r="I51" s="53"/>
      <c r="J51" s="53"/>
      <c r="K51" s="53"/>
      <c r="L51" s="53"/>
      <c r="M51" s="53"/>
      <c r="N51" s="53"/>
      <c r="O51" s="53"/>
      <c r="P51" s="53"/>
      <c r="Q51" s="53"/>
      <c r="R51" s="53"/>
      <c r="S51" s="53"/>
      <c r="T51" s="53"/>
      <c r="U51" s="53"/>
      <c r="V51" s="53"/>
      <c r="W51" s="53"/>
      <c r="X51" s="53"/>
      <c r="Y51" s="53"/>
      <c r="Z51" s="53"/>
      <c r="AA51" s="53"/>
      <c r="AB51" s="53"/>
      <c r="AC51" s="53"/>
      <c r="AD51" s="53"/>
      <c r="AE51" s="53"/>
      <c r="AF51" s="53"/>
      <c r="AG51" s="53"/>
      <c r="AH51" s="53"/>
      <c r="AI51" s="53"/>
      <c r="AJ51" s="53"/>
      <c r="AK51" s="53"/>
      <c r="AL51" s="53"/>
      <c r="AM51" s="53"/>
      <c r="AN51" s="53"/>
      <c r="AO51" s="53"/>
      <c r="AP51" s="53"/>
      <c r="AQ51" s="53"/>
      <c r="AR51" s="53"/>
      <c r="AS51" s="53"/>
      <c r="AT51" s="53"/>
      <c r="AU51" s="53"/>
      <c r="AV51" s="53"/>
      <c r="AW51" s="53"/>
      <c r="AX51" s="53"/>
      <c r="AY51" s="53"/>
      <c r="AZ51" s="53"/>
      <c r="BA51" s="53"/>
      <c r="BB51" s="53"/>
      <c r="BC51" s="53"/>
      <c r="BD51" s="53"/>
      <c r="BE51" s="53"/>
      <c r="BF51" s="53"/>
      <c r="BG51" s="53"/>
      <c r="BH51" s="53"/>
      <c r="BI51" s="53"/>
      <c r="BJ51" s="53"/>
      <c r="BK51" s="53"/>
      <c r="BL51" s="53"/>
      <c r="BM51" s="53"/>
      <c r="BN51" s="53"/>
      <c r="BO51" s="53"/>
      <c r="BP51" s="53"/>
      <c r="BQ51" s="53"/>
      <c r="BR51" s="53"/>
      <c r="BS51" s="53"/>
      <c r="BT51" s="53"/>
      <c r="BU51" s="53"/>
      <c r="BV51" s="53"/>
      <c r="BW51" s="53"/>
      <c r="BX51" s="53"/>
      <c r="BY51" s="53"/>
      <c r="BZ51" s="53"/>
      <c r="CA51" s="53"/>
      <c r="CB51" s="53"/>
      <c r="CC51" s="53"/>
      <c r="CD51" s="53"/>
      <c r="CE51" s="53"/>
      <c r="CF51" s="53"/>
      <c r="CG51" s="53"/>
      <c r="CH51" s="53"/>
      <c r="CI51" s="53"/>
      <c r="CJ51" s="53"/>
      <c r="CK51" s="53"/>
      <c r="CL51" s="53"/>
      <c r="CM51" s="53"/>
      <c r="CN51" s="53"/>
      <c r="CO51" s="53"/>
      <c r="CP51" s="53"/>
      <c r="CQ51" s="53"/>
    </row>
  </sheetData>
  <mergeCells count="18">
    <mergeCell ref="A1:G1"/>
    <mergeCell ref="A2:G2"/>
    <mergeCell ref="A3:G3"/>
    <mergeCell ref="A4:D4"/>
    <mergeCell ref="A5:D5"/>
    <mergeCell ref="A7:G7"/>
    <mergeCell ref="A16:C16"/>
    <mergeCell ref="A17:G17"/>
    <mergeCell ref="F18:G18"/>
    <mergeCell ref="A19:B19"/>
    <mergeCell ref="E9:E11"/>
    <mergeCell ref="F9:F11"/>
    <mergeCell ref="G9:G11"/>
    <mergeCell ref="C24:D24"/>
    <mergeCell ref="A9:A11"/>
    <mergeCell ref="B9:B11"/>
    <mergeCell ref="C9:C11"/>
    <mergeCell ref="D9:D11"/>
  </mergeCells>
  <pageMargins left="0.67" right="0.2" top="0.43" bottom="0.7" header="0.28999999999999998" footer="0.5"/>
  <pageSetup fitToHeight="0" orientation="landscape"/>
  <headerFooter alignWithMargins="0"/>
  <drawing r:id="rId1"/>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30A0"/>
  </sheetPr>
  <dimension ref="B1:AW24"/>
  <sheetViews>
    <sheetView topLeftCell="A4" workbookViewId="0">
      <selection activeCell="E6" sqref="E6:AI6"/>
    </sheetView>
  </sheetViews>
  <sheetFormatPr defaultColWidth="9.140625" defaultRowHeight="15"/>
  <cols>
    <col min="1" max="1" width="3.140625" style="28" customWidth="1"/>
    <col min="2" max="2" width="6.42578125" style="28" customWidth="1"/>
    <col min="3" max="3" width="19.28515625" style="28" customWidth="1"/>
    <col min="4" max="4" width="13.140625" style="28" customWidth="1"/>
    <col min="5" max="33" width="5" style="28" customWidth="1"/>
    <col min="34" max="35" width="4.7109375" style="28" customWidth="1"/>
    <col min="36" max="36" width="5.85546875" style="28" customWidth="1"/>
    <col min="37" max="37" width="5.85546875" style="28" hidden="1" customWidth="1"/>
    <col min="38" max="38" width="7.5703125" style="28" customWidth="1"/>
    <col min="39" max="47" width="9.140625" style="28" hidden="1" customWidth="1"/>
    <col min="48" max="48" width="1.5703125" style="28" customWidth="1"/>
    <col min="49" max="16384" width="9.140625" style="28"/>
  </cols>
  <sheetData>
    <row r="1" spans="2:49" s="26" customFormat="1" ht="15.6" customHeight="1">
      <c r="B1" s="2287" t="s">
        <v>617</v>
      </c>
      <c r="C1" s="2287"/>
      <c r="D1" s="2287"/>
      <c r="E1" s="2287"/>
      <c r="F1" s="2287"/>
      <c r="G1" s="2287"/>
      <c r="H1" s="2287"/>
      <c r="I1" s="2287"/>
      <c r="J1" s="2287"/>
      <c r="K1" s="2287"/>
      <c r="L1" s="2287"/>
      <c r="M1" s="2287"/>
      <c r="N1" s="2287"/>
      <c r="O1" s="2287"/>
      <c r="P1" s="2287"/>
      <c r="Q1" s="2287"/>
      <c r="R1" s="2287"/>
      <c r="S1" s="2287"/>
      <c r="T1" s="2287"/>
      <c r="U1" s="2287"/>
      <c r="V1" s="2287"/>
      <c r="W1" s="2287"/>
      <c r="X1" s="2287"/>
      <c r="Y1" s="2287"/>
      <c r="Z1" s="2287"/>
      <c r="AA1" s="2287"/>
      <c r="AB1" s="2287"/>
      <c r="AC1" s="2287"/>
      <c r="AD1" s="2287"/>
      <c r="AE1" s="2287"/>
      <c r="AF1" s="2287"/>
      <c r="AG1" s="2287"/>
      <c r="AH1" s="2287"/>
      <c r="AI1" s="2287"/>
      <c r="AJ1" s="2287"/>
      <c r="AK1" s="2287"/>
      <c r="AL1" s="2287"/>
      <c r="AO1" s="48">
        <v>1</v>
      </c>
      <c r="AP1" s="48">
        <v>2</v>
      </c>
      <c r="AQ1" s="48">
        <v>3</v>
      </c>
      <c r="AR1" s="48">
        <v>4</v>
      </c>
      <c r="AS1" s="48">
        <v>5</v>
      </c>
      <c r="AT1" s="49">
        <v>6</v>
      </c>
      <c r="AU1" s="49">
        <v>7</v>
      </c>
    </row>
    <row r="2" spans="2:49" s="26" customFormat="1" ht="15.75">
      <c r="B2" s="2287" t="s">
        <v>618</v>
      </c>
      <c r="C2" s="2287"/>
      <c r="D2" s="2287"/>
      <c r="E2" s="2287"/>
      <c r="F2" s="2287"/>
      <c r="G2" s="2287"/>
      <c r="H2" s="2287"/>
      <c r="I2" s="2287"/>
      <c r="J2" s="2287"/>
      <c r="K2" s="2287"/>
      <c r="L2" s="2287"/>
      <c r="M2" s="2287"/>
      <c r="N2" s="2287"/>
      <c r="O2" s="2287"/>
      <c r="P2" s="2287"/>
      <c r="Q2" s="2287"/>
      <c r="R2" s="2287"/>
      <c r="S2" s="2287"/>
      <c r="T2" s="2287"/>
      <c r="U2" s="2287"/>
      <c r="V2" s="2287"/>
      <c r="W2" s="2287"/>
      <c r="X2" s="2287"/>
      <c r="Y2" s="2287"/>
      <c r="Z2" s="2287"/>
      <c r="AA2" s="2287"/>
      <c r="AB2" s="2287"/>
      <c r="AC2" s="2287"/>
      <c r="AD2" s="2287"/>
      <c r="AE2" s="2287"/>
      <c r="AF2" s="2287"/>
      <c r="AG2" s="2287"/>
      <c r="AH2" s="2287"/>
      <c r="AI2" s="2287"/>
      <c r="AJ2" s="2287"/>
      <c r="AK2" s="2287"/>
      <c r="AL2" s="2287"/>
      <c r="AO2" s="48" t="s">
        <v>554</v>
      </c>
      <c r="AP2" s="48" t="s">
        <v>2820</v>
      </c>
      <c r="AQ2" s="48" t="s">
        <v>2821</v>
      </c>
      <c r="AR2" s="48" t="s">
        <v>2822</v>
      </c>
      <c r="AS2" s="48" t="s">
        <v>212</v>
      </c>
      <c r="AT2" s="49" t="s">
        <v>2823</v>
      </c>
      <c r="AU2" s="49" t="s">
        <v>2824</v>
      </c>
    </row>
    <row r="3" spans="2:49" s="26" customFormat="1" ht="15.75">
      <c r="B3" s="2923" t="s">
        <v>619</v>
      </c>
      <c r="C3" s="2287"/>
      <c r="D3" s="2287"/>
      <c r="E3" s="2287"/>
      <c r="F3" s="2287"/>
      <c r="G3" s="2287"/>
      <c r="H3" s="2287"/>
      <c r="I3" s="2287"/>
      <c r="J3" s="2287"/>
      <c r="K3" s="2287"/>
      <c r="L3" s="2287"/>
      <c r="M3" s="2287"/>
      <c r="N3" s="2287"/>
      <c r="O3" s="2287"/>
      <c r="P3" s="2287"/>
      <c r="Q3" s="2287"/>
      <c r="R3" s="2287"/>
      <c r="S3" s="2287"/>
      <c r="T3" s="2287"/>
      <c r="U3" s="2287"/>
      <c r="V3" s="2287"/>
      <c r="W3" s="2287"/>
      <c r="X3" s="2287"/>
      <c r="Y3" s="2287"/>
      <c r="Z3" s="2287"/>
      <c r="AA3" s="2287"/>
      <c r="AB3" s="2287"/>
      <c r="AC3" s="2287"/>
      <c r="AD3" s="2287"/>
      <c r="AE3" s="2287"/>
      <c r="AF3" s="2287"/>
      <c r="AG3" s="2287"/>
      <c r="AH3" s="2287"/>
      <c r="AI3" s="2287"/>
      <c r="AJ3" s="2287"/>
      <c r="AK3" s="2287"/>
      <c r="AL3" s="2287"/>
      <c r="AO3" s="48"/>
      <c r="AP3" s="48"/>
      <c r="AQ3" s="48"/>
      <c r="AR3" s="48"/>
      <c r="AS3" s="48"/>
      <c r="AT3" s="49"/>
      <c r="AU3" s="49"/>
    </row>
    <row r="4" spans="2:49" s="26" customFormat="1" ht="15.75">
      <c r="B4" s="2287" t="s">
        <v>2978</v>
      </c>
      <c r="C4" s="2287"/>
      <c r="D4" s="2287"/>
      <c r="E4" s="2287"/>
      <c r="F4" s="2287"/>
      <c r="G4" s="2287"/>
      <c r="H4" s="2287"/>
      <c r="I4" s="2287"/>
      <c r="J4" s="2287"/>
      <c r="K4" s="2287"/>
      <c r="L4" s="29"/>
      <c r="M4" s="29"/>
      <c r="N4" s="29"/>
      <c r="O4" s="29"/>
      <c r="P4" s="29"/>
      <c r="Q4" s="29"/>
      <c r="R4" s="29"/>
      <c r="S4" s="29"/>
      <c r="T4" s="29"/>
      <c r="U4" s="29"/>
      <c r="V4" s="29"/>
      <c r="W4" s="29"/>
      <c r="X4" s="29"/>
      <c r="Y4" s="29"/>
      <c r="Z4" s="29"/>
      <c r="AA4" s="29"/>
      <c r="AB4" s="29"/>
      <c r="AC4" s="29"/>
      <c r="AD4" s="29"/>
      <c r="AE4" s="29"/>
      <c r="AF4" s="29"/>
      <c r="AG4" s="29"/>
      <c r="AH4" s="29"/>
      <c r="AI4" s="29"/>
      <c r="AJ4" s="29"/>
      <c r="AK4" s="29"/>
      <c r="AL4" s="29"/>
      <c r="AO4" s="48"/>
      <c r="AP4" s="48"/>
      <c r="AQ4" s="48"/>
      <c r="AR4" s="48"/>
      <c r="AS4" s="48"/>
      <c r="AT4" s="49"/>
      <c r="AU4" s="49"/>
    </row>
    <row r="5" spans="2:49" s="26" customFormat="1" ht="15.75">
      <c r="B5" s="2287" t="s">
        <v>611</v>
      </c>
      <c r="C5" s="2287"/>
      <c r="D5" s="2287"/>
      <c r="E5" s="2287"/>
      <c r="F5" s="2287"/>
      <c r="G5" s="2287"/>
      <c r="H5" s="2287"/>
      <c r="I5" s="2287"/>
      <c r="J5" s="2287"/>
      <c r="K5" s="2287"/>
      <c r="L5" s="29"/>
      <c r="M5" s="29"/>
      <c r="N5" s="29"/>
      <c r="O5" s="29"/>
      <c r="P5" s="29"/>
      <c r="Q5" s="29"/>
      <c r="R5" s="29"/>
      <c r="S5" s="29"/>
      <c r="T5" s="29"/>
      <c r="U5" s="29"/>
      <c r="V5" s="29"/>
      <c r="W5" s="29"/>
      <c r="X5" s="29"/>
      <c r="Y5" s="29"/>
      <c r="Z5" s="29"/>
      <c r="AA5" s="29"/>
      <c r="AB5" s="29"/>
      <c r="AC5" s="29"/>
      <c r="AD5" s="29"/>
      <c r="AE5" s="29"/>
      <c r="AF5" s="29"/>
      <c r="AG5" s="29"/>
      <c r="AH5" s="29"/>
      <c r="AI5" s="29"/>
      <c r="AJ5" s="29"/>
      <c r="AK5" s="29"/>
      <c r="AL5" s="29"/>
      <c r="AO5" s="48"/>
      <c r="AP5" s="48"/>
      <c r="AQ5" s="48"/>
      <c r="AR5" s="48"/>
      <c r="AS5" s="48"/>
      <c r="AT5" s="49"/>
      <c r="AU5" s="49"/>
    </row>
    <row r="6" spans="2:49" ht="18.75">
      <c r="E6" s="2290" t="s">
        <v>3153</v>
      </c>
      <c r="F6" s="2290"/>
      <c r="G6" s="2290"/>
      <c r="H6" s="2290"/>
      <c r="I6" s="2290"/>
      <c r="J6" s="2290"/>
      <c r="K6" s="2290"/>
      <c r="L6" s="2290"/>
      <c r="M6" s="2290"/>
      <c r="N6" s="2290"/>
      <c r="O6" s="2290"/>
      <c r="P6" s="2290"/>
      <c r="Q6" s="2290"/>
      <c r="R6" s="2290"/>
      <c r="S6" s="2290"/>
      <c r="T6" s="2290"/>
      <c r="U6" s="2290"/>
      <c r="V6" s="2290"/>
      <c r="W6" s="2290"/>
      <c r="X6" s="2290"/>
      <c r="Y6" s="2290"/>
      <c r="Z6" s="2290"/>
      <c r="AA6" s="2290"/>
      <c r="AB6" s="2290"/>
      <c r="AC6" s="2290"/>
      <c r="AD6" s="2290"/>
      <c r="AE6" s="2290"/>
      <c r="AF6" s="2290"/>
      <c r="AG6" s="2290"/>
      <c r="AH6" s="2290"/>
      <c r="AI6" s="2290"/>
      <c r="AO6" s="50"/>
      <c r="AP6" s="50"/>
      <c r="AQ6" s="50"/>
      <c r="AR6" s="50"/>
      <c r="AS6" s="50"/>
    </row>
    <row r="7" spans="2:49" ht="16.5" customHeight="1">
      <c r="B7" s="30"/>
      <c r="C7" s="31"/>
      <c r="D7" s="31"/>
      <c r="E7" s="2282"/>
      <c r="F7" s="2282"/>
      <c r="G7" s="2282"/>
      <c r="H7" s="2282"/>
      <c r="I7" s="2282"/>
      <c r="J7" s="2282"/>
      <c r="K7" s="2282"/>
      <c r="L7" s="2282"/>
      <c r="M7" s="2282"/>
      <c r="N7" s="2282"/>
      <c r="O7" s="2282"/>
      <c r="P7" s="2282"/>
      <c r="Q7" s="2282"/>
      <c r="R7" s="2282"/>
      <c r="S7" s="2282"/>
      <c r="T7" s="2282"/>
      <c r="U7" s="2282"/>
      <c r="V7" s="2282"/>
      <c r="W7" s="2282"/>
      <c r="X7" s="2282"/>
      <c r="Y7" s="2282"/>
      <c r="Z7" s="2282"/>
      <c r="AA7" s="2282"/>
      <c r="AB7" s="2282"/>
      <c r="AC7" s="2282"/>
      <c r="AD7" s="2282"/>
      <c r="AE7" s="2282"/>
      <c r="AF7" s="2282"/>
      <c r="AG7" s="2282"/>
      <c r="AH7" s="2282"/>
      <c r="AI7" s="2282"/>
    </row>
    <row r="8" spans="2:49">
      <c r="B8" s="30"/>
      <c r="C8" s="31"/>
      <c r="D8" s="31"/>
    </row>
    <row r="9" spans="2:49" ht="40.5" customHeight="1">
      <c r="B9" s="32" t="s">
        <v>6</v>
      </c>
      <c r="C9" s="33" t="s">
        <v>356</v>
      </c>
      <c r="D9" s="34" t="s">
        <v>9</v>
      </c>
      <c r="E9" s="35">
        <v>1</v>
      </c>
      <c r="F9" s="35">
        <v>2</v>
      </c>
      <c r="G9" s="35">
        <v>3</v>
      </c>
      <c r="H9" s="35">
        <v>4</v>
      </c>
      <c r="I9" s="35">
        <v>5</v>
      </c>
      <c r="J9" s="35">
        <v>6</v>
      </c>
      <c r="K9" s="35">
        <v>7</v>
      </c>
      <c r="L9" s="35">
        <v>8</v>
      </c>
      <c r="M9" s="35">
        <v>9</v>
      </c>
      <c r="N9" s="35">
        <v>10</v>
      </c>
      <c r="O9" s="35">
        <v>11</v>
      </c>
      <c r="P9" s="35">
        <v>12</v>
      </c>
      <c r="Q9" s="35">
        <v>13</v>
      </c>
      <c r="R9" s="35">
        <v>14</v>
      </c>
      <c r="S9" s="35">
        <v>15</v>
      </c>
      <c r="T9" s="35">
        <v>16</v>
      </c>
      <c r="U9" s="35">
        <v>17</v>
      </c>
      <c r="V9" s="35">
        <v>18</v>
      </c>
      <c r="W9" s="35">
        <v>19</v>
      </c>
      <c r="X9" s="35">
        <v>20</v>
      </c>
      <c r="Y9" s="35">
        <v>21</v>
      </c>
      <c r="Z9" s="35">
        <v>22</v>
      </c>
      <c r="AA9" s="35">
        <v>23</v>
      </c>
      <c r="AB9" s="35">
        <v>24</v>
      </c>
      <c r="AC9" s="35">
        <v>25</v>
      </c>
      <c r="AD9" s="35">
        <v>26</v>
      </c>
      <c r="AE9" s="35">
        <v>27</v>
      </c>
      <c r="AF9" s="35">
        <v>28</v>
      </c>
      <c r="AG9" s="35">
        <v>29</v>
      </c>
      <c r="AH9" s="35">
        <v>30</v>
      </c>
      <c r="AI9" s="35">
        <v>31</v>
      </c>
      <c r="AJ9" s="44" t="s">
        <v>530</v>
      </c>
      <c r="AK9" s="44" t="s">
        <v>2828</v>
      </c>
      <c r="AL9" s="44" t="s">
        <v>12</v>
      </c>
    </row>
    <row r="10" spans="2:49" ht="21.75" customHeight="1">
      <c r="B10" s="36">
        <v>1</v>
      </c>
      <c r="C10" s="37" t="s">
        <v>3104</v>
      </c>
      <c r="D10" s="37" t="s">
        <v>1851</v>
      </c>
      <c r="E10" s="36" t="s">
        <v>536</v>
      </c>
      <c r="F10" s="36" t="s">
        <v>536</v>
      </c>
      <c r="G10" s="36" t="s">
        <v>536</v>
      </c>
      <c r="H10" s="36" t="s">
        <v>536</v>
      </c>
      <c r="I10" s="36" t="s">
        <v>536</v>
      </c>
      <c r="J10" s="36" t="s">
        <v>536</v>
      </c>
      <c r="K10" s="36" t="s">
        <v>536</v>
      </c>
      <c r="L10" s="36" t="s">
        <v>536</v>
      </c>
      <c r="M10" s="36" t="s">
        <v>536</v>
      </c>
      <c r="N10" s="36" t="s">
        <v>536</v>
      </c>
      <c r="O10" s="36" t="s">
        <v>536</v>
      </c>
      <c r="P10" s="36" t="s">
        <v>536</v>
      </c>
      <c r="Q10" s="36" t="s">
        <v>536</v>
      </c>
      <c r="R10" s="36" t="s">
        <v>536</v>
      </c>
      <c r="S10" s="36" t="s">
        <v>536</v>
      </c>
      <c r="T10" s="36" t="s">
        <v>536</v>
      </c>
      <c r="U10" s="36" t="s">
        <v>536</v>
      </c>
      <c r="V10" s="36" t="s">
        <v>536</v>
      </c>
      <c r="W10" s="36" t="s">
        <v>536</v>
      </c>
      <c r="X10" s="36" t="s">
        <v>536</v>
      </c>
      <c r="Y10" s="36" t="s">
        <v>536</v>
      </c>
      <c r="Z10" s="36" t="s">
        <v>536</v>
      </c>
      <c r="AA10" s="36" t="s">
        <v>536</v>
      </c>
      <c r="AB10" s="36" t="s">
        <v>536</v>
      </c>
      <c r="AC10" s="36" t="s">
        <v>536</v>
      </c>
      <c r="AD10" s="36" t="s">
        <v>536</v>
      </c>
      <c r="AE10" s="36" t="s">
        <v>536</v>
      </c>
      <c r="AF10" s="36" t="s">
        <v>536</v>
      </c>
      <c r="AG10" s="36" t="s">
        <v>536</v>
      </c>
      <c r="AH10" s="36" t="s">
        <v>536</v>
      </c>
      <c r="AI10" s="36" t="s">
        <v>536</v>
      </c>
      <c r="AJ10" s="45">
        <f>COUNTIF(E10:AI10,"X")+COUNTIF(E10:AI10,"P")</f>
        <v>31</v>
      </c>
      <c r="AK10" s="45">
        <f>COUNTIF(E10:AI10,"TT")</f>
        <v>0</v>
      </c>
      <c r="AL10" s="45"/>
      <c r="AW10" s="51" t="s">
        <v>3154</v>
      </c>
    </row>
    <row r="11" spans="2:49" ht="21.75" customHeight="1">
      <c r="B11" s="36">
        <v>2</v>
      </c>
      <c r="C11" s="37" t="s">
        <v>3155</v>
      </c>
      <c r="D11" s="37" t="s">
        <v>1851</v>
      </c>
      <c r="E11" s="36" t="s">
        <v>536</v>
      </c>
      <c r="F11" s="36" t="s">
        <v>536</v>
      </c>
      <c r="G11" s="36" t="s">
        <v>536</v>
      </c>
      <c r="H11" s="36" t="s">
        <v>536</v>
      </c>
      <c r="I11" s="36" t="s">
        <v>536</v>
      </c>
      <c r="J11" s="36" t="s">
        <v>536</v>
      </c>
      <c r="K11" s="36" t="s">
        <v>536</v>
      </c>
      <c r="L11" s="36" t="s">
        <v>536</v>
      </c>
      <c r="M11" s="36" t="s">
        <v>536</v>
      </c>
      <c r="N11" s="36" t="s">
        <v>536</v>
      </c>
      <c r="O11" s="36" t="s">
        <v>536</v>
      </c>
      <c r="P11" s="36" t="s">
        <v>536</v>
      </c>
      <c r="Q11" s="36" t="s">
        <v>536</v>
      </c>
      <c r="R11" s="36" t="s">
        <v>536</v>
      </c>
      <c r="S11" s="36" t="s">
        <v>536</v>
      </c>
      <c r="T11" s="36" t="s">
        <v>536</v>
      </c>
      <c r="U11" s="36" t="s">
        <v>536</v>
      </c>
      <c r="V11" s="36" t="s">
        <v>536</v>
      </c>
      <c r="W11" s="36" t="s">
        <v>536</v>
      </c>
      <c r="X11" s="36" t="s">
        <v>536</v>
      </c>
      <c r="Y11" s="36" t="s">
        <v>536</v>
      </c>
      <c r="Z11" s="36" t="s">
        <v>536</v>
      </c>
      <c r="AA11" s="36" t="s">
        <v>536</v>
      </c>
      <c r="AB11" s="36" t="s">
        <v>536</v>
      </c>
      <c r="AC11" s="36" t="s">
        <v>536</v>
      </c>
      <c r="AD11" s="36" t="s">
        <v>536</v>
      </c>
      <c r="AE11" s="36" t="s">
        <v>536</v>
      </c>
      <c r="AF11" s="36" t="s">
        <v>536</v>
      </c>
      <c r="AG11" s="36" t="s">
        <v>536</v>
      </c>
      <c r="AH11" s="36" t="s">
        <v>536</v>
      </c>
      <c r="AI11" s="36" t="s">
        <v>536</v>
      </c>
      <c r="AJ11" s="45">
        <f>COUNTIF(E11:AI11,"X")+COUNTIF(E11:AI11,"P")</f>
        <v>31</v>
      </c>
      <c r="AK11" s="45">
        <f>COUNTIF(E11:AI11,"TT")</f>
        <v>0</v>
      </c>
      <c r="AL11" s="45"/>
      <c r="AW11" s="51" t="s">
        <v>3156</v>
      </c>
    </row>
    <row r="12" spans="2:49" ht="21.75" customHeight="1">
      <c r="B12" s="36">
        <v>3</v>
      </c>
      <c r="C12" s="38" t="s">
        <v>3102</v>
      </c>
      <c r="D12" s="37" t="s">
        <v>1851</v>
      </c>
      <c r="E12" s="36" t="s">
        <v>536</v>
      </c>
      <c r="F12" s="36" t="s">
        <v>536</v>
      </c>
      <c r="G12" s="36" t="s">
        <v>536</v>
      </c>
      <c r="H12" s="36" t="s">
        <v>536</v>
      </c>
      <c r="I12" s="36" t="s">
        <v>536</v>
      </c>
      <c r="J12" s="36" t="s">
        <v>536</v>
      </c>
      <c r="K12" s="36" t="s">
        <v>536</v>
      </c>
      <c r="L12" s="36" t="s">
        <v>536</v>
      </c>
      <c r="M12" s="36" t="s">
        <v>536</v>
      </c>
      <c r="N12" s="36" t="s">
        <v>536</v>
      </c>
      <c r="O12" s="36" t="s">
        <v>536</v>
      </c>
      <c r="P12" s="36" t="s">
        <v>536</v>
      </c>
      <c r="Q12" s="36" t="s">
        <v>536</v>
      </c>
      <c r="R12" s="36" t="s">
        <v>536</v>
      </c>
      <c r="S12" s="36" t="s">
        <v>536</v>
      </c>
      <c r="T12" s="36" t="s">
        <v>536</v>
      </c>
      <c r="U12" s="36" t="s">
        <v>536</v>
      </c>
      <c r="V12" s="36" t="s">
        <v>536</v>
      </c>
      <c r="W12" s="36" t="s">
        <v>536</v>
      </c>
      <c r="X12" s="36" t="s">
        <v>536</v>
      </c>
      <c r="Y12" s="36" t="s">
        <v>536</v>
      </c>
      <c r="Z12" s="36" t="s">
        <v>536</v>
      </c>
      <c r="AA12" s="36"/>
      <c r="AB12" s="36"/>
      <c r="AC12" s="36"/>
      <c r="AD12" s="36"/>
      <c r="AE12" s="36"/>
      <c r="AF12" s="36"/>
      <c r="AG12" s="36"/>
      <c r="AH12" s="36"/>
      <c r="AI12" s="36"/>
      <c r="AJ12" s="45">
        <f t="shared" ref="AJ12:AJ15" si="0">COUNTIF(E12:AI12,"X")+COUNTIF(E12:AI12,"P")</f>
        <v>22</v>
      </c>
      <c r="AK12" s="45">
        <f t="shared" ref="AK12:AK13" si="1">COUNTIF(E12:AI12,"TT")</f>
        <v>0</v>
      </c>
      <c r="AL12" s="45"/>
      <c r="AW12" s="51" t="s">
        <v>3157</v>
      </c>
    </row>
    <row r="13" spans="2:49" ht="21.75" customHeight="1">
      <c r="B13" s="36">
        <v>4</v>
      </c>
      <c r="C13" s="37" t="s">
        <v>3103</v>
      </c>
      <c r="D13" s="37" t="s">
        <v>1851</v>
      </c>
      <c r="E13" s="36" t="s">
        <v>536</v>
      </c>
      <c r="F13" s="36" t="s">
        <v>536</v>
      </c>
      <c r="G13" s="36" t="s">
        <v>536</v>
      </c>
      <c r="H13" s="36" t="s">
        <v>536</v>
      </c>
      <c r="I13" s="36" t="s">
        <v>536</v>
      </c>
      <c r="J13" s="36" t="s">
        <v>536</v>
      </c>
      <c r="K13" s="36" t="s">
        <v>536</v>
      </c>
      <c r="L13" s="36" t="s">
        <v>536</v>
      </c>
      <c r="M13" s="36" t="s">
        <v>536</v>
      </c>
      <c r="N13" s="36"/>
      <c r="O13" s="36"/>
      <c r="P13" s="36"/>
      <c r="Q13" s="36"/>
      <c r="R13" s="36"/>
      <c r="S13" s="36"/>
      <c r="T13" s="36"/>
      <c r="U13" s="36"/>
      <c r="V13" s="36" t="s">
        <v>536</v>
      </c>
      <c r="W13" s="36" t="s">
        <v>536</v>
      </c>
      <c r="X13" s="36" t="s">
        <v>536</v>
      </c>
      <c r="Y13" s="36" t="s">
        <v>536</v>
      </c>
      <c r="Z13" s="36" t="s">
        <v>536</v>
      </c>
      <c r="AA13" s="36" t="s">
        <v>536</v>
      </c>
      <c r="AB13" s="36" t="s">
        <v>536</v>
      </c>
      <c r="AC13" s="36" t="s">
        <v>536</v>
      </c>
      <c r="AD13" s="36" t="s">
        <v>536</v>
      </c>
      <c r="AE13" s="36" t="s">
        <v>536</v>
      </c>
      <c r="AF13" s="36" t="s">
        <v>536</v>
      </c>
      <c r="AG13" s="36" t="s">
        <v>536</v>
      </c>
      <c r="AH13" s="36" t="s">
        <v>536</v>
      </c>
      <c r="AI13" s="36" t="s">
        <v>536</v>
      </c>
      <c r="AJ13" s="45">
        <f t="shared" si="0"/>
        <v>23</v>
      </c>
      <c r="AK13" s="45">
        <f t="shared" si="1"/>
        <v>0</v>
      </c>
      <c r="AL13" s="45"/>
      <c r="AW13" s="51" t="s">
        <v>2346</v>
      </c>
    </row>
    <row r="14" spans="2:49" ht="21.75" customHeight="1">
      <c r="B14" s="36">
        <v>5</v>
      </c>
      <c r="C14" s="37" t="s">
        <v>3106</v>
      </c>
      <c r="D14" s="37" t="s">
        <v>1851</v>
      </c>
      <c r="E14" s="36" t="s">
        <v>536</v>
      </c>
      <c r="F14" s="36" t="s">
        <v>536</v>
      </c>
      <c r="G14" s="36" t="s">
        <v>536</v>
      </c>
      <c r="H14" s="36" t="s">
        <v>536</v>
      </c>
      <c r="I14" s="36" t="s">
        <v>536</v>
      </c>
      <c r="J14" s="36" t="s">
        <v>536</v>
      </c>
      <c r="K14" s="36" t="s">
        <v>536</v>
      </c>
      <c r="L14" s="36"/>
      <c r="M14" s="36"/>
      <c r="N14" s="36"/>
      <c r="O14" s="36"/>
      <c r="P14" s="36"/>
      <c r="Q14" s="36"/>
      <c r="R14" s="36"/>
      <c r="S14" s="36"/>
      <c r="T14" s="36"/>
      <c r="U14" s="36"/>
      <c r="V14" s="36"/>
      <c r="W14" s="36"/>
      <c r="X14" s="36"/>
      <c r="Y14" s="36"/>
      <c r="Z14" s="36"/>
      <c r="AA14" s="36" t="s">
        <v>536</v>
      </c>
      <c r="AB14" s="36" t="s">
        <v>536</v>
      </c>
      <c r="AC14" s="36" t="s">
        <v>536</v>
      </c>
      <c r="AD14" s="36" t="s">
        <v>536</v>
      </c>
      <c r="AE14" s="36" t="s">
        <v>536</v>
      </c>
      <c r="AF14" s="36" t="s">
        <v>536</v>
      </c>
      <c r="AG14" s="36" t="s">
        <v>536</v>
      </c>
      <c r="AH14" s="36" t="s">
        <v>536</v>
      </c>
      <c r="AI14" s="36" t="s">
        <v>536</v>
      </c>
      <c r="AJ14" s="45">
        <f t="shared" si="0"/>
        <v>16</v>
      </c>
      <c r="AK14" s="45">
        <f t="shared" ref="AK14" si="2">COUNTIF(E14:AI14,"TT")</f>
        <v>0</v>
      </c>
      <c r="AL14" s="45"/>
      <c r="AW14" s="51" t="s">
        <v>2838</v>
      </c>
    </row>
    <row r="15" spans="2:49" ht="21.75" customHeight="1">
      <c r="B15" s="36">
        <v>6</v>
      </c>
      <c r="C15" s="37" t="s">
        <v>3107</v>
      </c>
      <c r="D15" s="37" t="s">
        <v>1851</v>
      </c>
      <c r="E15" s="36" t="s">
        <v>536</v>
      </c>
      <c r="F15" s="36" t="s">
        <v>536</v>
      </c>
      <c r="G15" s="36" t="s">
        <v>536</v>
      </c>
      <c r="H15" s="36" t="s">
        <v>536</v>
      </c>
      <c r="I15" s="36" t="s">
        <v>536</v>
      </c>
      <c r="J15" s="36" t="s">
        <v>536</v>
      </c>
      <c r="K15" s="36" t="s">
        <v>536</v>
      </c>
      <c r="L15" s="36" t="s">
        <v>536</v>
      </c>
      <c r="M15" s="36" t="s">
        <v>536</v>
      </c>
      <c r="N15" s="36" t="s">
        <v>536</v>
      </c>
      <c r="O15" s="36" t="s">
        <v>536</v>
      </c>
      <c r="P15" s="36" t="s">
        <v>536</v>
      </c>
      <c r="Q15" s="36" t="s">
        <v>536</v>
      </c>
      <c r="R15" s="36" t="s">
        <v>536</v>
      </c>
      <c r="S15" s="36" t="s">
        <v>536</v>
      </c>
      <c r="T15" s="36" t="s">
        <v>536</v>
      </c>
      <c r="U15" s="36" t="s">
        <v>536</v>
      </c>
      <c r="V15" s="36" t="s">
        <v>536</v>
      </c>
      <c r="W15" s="36" t="s">
        <v>536</v>
      </c>
      <c r="X15" s="36" t="s">
        <v>536</v>
      </c>
      <c r="Y15" s="36" t="s">
        <v>536</v>
      </c>
      <c r="Z15" s="36" t="s">
        <v>536</v>
      </c>
      <c r="AA15" s="36" t="s">
        <v>536</v>
      </c>
      <c r="AB15" s="36" t="s">
        <v>536</v>
      </c>
      <c r="AC15" s="36" t="s">
        <v>536</v>
      </c>
      <c r="AD15" s="36" t="s">
        <v>536</v>
      </c>
      <c r="AE15" s="36" t="s">
        <v>536</v>
      </c>
      <c r="AF15" s="36" t="s">
        <v>536</v>
      </c>
      <c r="AG15" s="36" t="s">
        <v>536</v>
      </c>
      <c r="AH15" s="36" t="s">
        <v>536</v>
      </c>
      <c r="AI15" s="36" t="s">
        <v>536</v>
      </c>
      <c r="AJ15" s="45">
        <f t="shared" si="0"/>
        <v>31</v>
      </c>
      <c r="AK15" s="45">
        <f t="shared" ref="AK15" si="3">COUNTIF(E15:AI15,"TT")</f>
        <v>0</v>
      </c>
      <c r="AL15" s="45"/>
      <c r="AW15" s="51" t="s">
        <v>3158</v>
      </c>
    </row>
    <row r="16" spans="2:49" s="27" customFormat="1" ht="21.75" customHeight="1">
      <c r="B16" s="2921" t="s">
        <v>2829</v>
      </c>
      <c r="C16" s="2922"/>
      <c r="D16" s="39"/>
      <c r="E16" s="40">
        <f t="shared" ref="E16:S16" si="4">COUNTIF(E10:E15,"x")</f>
        <v>6</v>
      </c>
      <c r="F16" s="40">
        <f t="shared" si="4"/>
        <v>6</v>
      </c>
      <c r="G16" s="40">
        <f t="shared" si="4"/>
        <v>6</v>
      </c>
      <c r="H16" s="40">
        <f t="shared" si="4"/>
        <v>6</v>
      </c>
      <c r="I16" s="40">
        <f t="shared" si="4"/>
        <v>6</v>
      </c>
      <c r="J16" s="40">
        <f t="shared" si="4"/>
        <v>6</v>
      </c>
      <c r="K16" s="40">
        <f t="shared" si="4"/>
        <v>6</v>
      </c>
      <c r="L16" s="40">
        <f t="shared" si="4"/>
        <v>5</v>
      </c>
      <c r="M16" s="40">
        <f t="shared" si="4"/>
        <v>5</v>
      </c>
      <c r="N16" s="40">
        <f t="shared" si="4"/>
        <v>4</v>
      </c>
      <c r="O16" s="40">
        <f t="shared" si="4"/>
        <v>4</v>
      </c>
      <c r="P16" s="40">
        <f t="shared" si="4"/>
        <v>4</v>
      </c>
      <c r="Q16" s="40">
        <f t="shared" si="4"/>
        <v>4</v>
      </c>
      <c r="R16" s="40">
        <f t="shared" si="4"/>
        <v>4</v>
      </c>
      <c r="S16" s="40">
        <f t="shared" si="4"/>
        <v>4</v>
      </c>
      <c r="T16" s="40">
        <f t="shared" ref="T16:AI16" si="5">COUNTIF(T10:T15,"x")</f>
        <v>4</v>
      </c>
      <c r="U16" s="40">
        <f t="shared" si="5"/>
        <v>4</v>
      </c>
      <c r="V16" s="40">
        <f t="shared" si="5"/>
        <v>5</v>
      </c>
      <c r="W16" s="40">
        <f t="shared" si="5"/>
        <v>5</v>
      </c>
      <c r="X16" s="40">
        <f t="shared" si="5"/>
        <v>5</v>
      </c>
      <c r="Y16" s="40">
        <f t="shared" si="5"/>
        <v>5</v>
      </c>
      <c r="Z16" s="40">
        <f t="shared" si="5"/>
        <v>5</v>
      </c>
      <c r="AA16" s="40">
        <f t="shared" si="5"/>
        <v>5</v>
      </c>
      <c r="AB16" s="40">
        <f t="shared" si="5"/>
        <v>5</v>
      </c>
      <c r="AC16" s="40">
        <f t="shared" si="5"/>
        <v>5</v>
      </c>
      <c r="AD16" s="40">
        <f t="shared" si="5"/>
        <v>5</v>
      </c>
      <c r="AE16" s="40">
        <f t="shared" si="5"/>
        <v>5</v>
      </c>
      <c r="AF16" s="40">
        <f t="shared" si="5"/>
        <v>5</v>
      </c>
      <c r="AG16" s="40">
        <f t="shared" si="5"/>
        <v>5</v>
      </c>
      <c r="AH16" s="40">
        <f t="shared" si="5"/>
        <v>5</v>
      </c>
      <c r="AI16" s="40">
        <f t="shared" si="5"/>
        <v>5</v>
      </c>
      <c r="AJ16" s="46">
        <f>SUM(AJ10:AJ15)</f>
        <v>154</v>
      </c>
      <c r="AK16" s="40" t="e">
        <f>SUM(#REF!,#REF!)</f>
        <v>#REF!</v>
      </c>
      <c r="AL16" s="40"/>
    </row>
    <row r="17" spans="2:38">
      <c r="C17" s="28" t="s">
        <v>2554</v>
      </c>
      <c r="D17" s="28" t="s">
        <v>2830</v>
      </c>
      <c r="AJ17" s="47"/>
      <c r="AK17" s="47"/>
      <c r="AL17" s="47"/>
    </row>
    <row r="18" spans="2:38" s="26" customFormat="1" ht="16.5" customHeight="1">
      <c r="C18" s="41"/>
      <c r="D18" s="41"/>
      <c r="AA18" s="2913" t="s">
        <v>3159</v>
      </c>
      <c r="AB18" s="2913"/>
      <c r="AC18" s="2913"/>
      <c r="AD18" s="2913"/>
      <c r="AE18" s="2913"/>
      <c r="AF18" s="2913"/>
      <c r="AG18" s="2913"/>
      <c r="AH18" s="2913"/>
      <c r="AI18" s="2913"/>
      <c r="AJ18" s="2913"/>
      <c r="AK18" s="2913"/>
      <c r="AL18" s="2913"/>
    </row>
    <row r="19" spans="2:38" ht="15.75">
      <c r="B19" s="2282"/>
      <c r="C19" s="2273"/>
      <c r="D19" s="42"/>
      <c r="E19" s="26" t="s">
        <v>2831</v>
      </c>
      <c r="K19" s="26"/>
      <c r="L19" s="26"/>
      <c r="M19" s="26"/>
      <c r="N19" s="26"/>
      <c r="O19" s="26"/>
      <c r="P19" s="26"/>
      <c r="Q19" s="26"/>
      <c r="R19" s="26" t="s">
        <v>2952</v>
      </c>
      <c r="S19" s="26"/>
      <c r="T19" s="26"/>
      <c r="U19" s="26"/>
      <c r="V19" s="26"/>
      <c r="W19" s="26"/>
      <c r="X19" s="26"/>
      <c r="Y19" s="26"/>
      <c r="Z19" s="2287" t="s">
        <v>612</v>
      </c>
      <c r="AA19" s="2287"/>
      <c r="AB19" s="2287"/>
      <c r="AC19" s="2287"/>
      <c r="AD19" s="2287"/>
      <c r="AE19" s="2287"/>
      <c r="AF19" s="2287"/>
      <c r="AG19" s="2287"/>
      <c r="AH19" s="2287"/>
      <c r="AI19" s="2287"/>
      <c r="AJ19" s="2287"/>
      <c r="AK19" s="2287"/>
      <c r="AL19" s="2287"/>
    </row>
    <row r="24" spans="2:38">
      <c r="Z24" s="2272" t="s">
        <v>613</v>
      </c>
      <c r="AA24" s="2272"/>
      <c r="AB24" s="2272"/>
      <c r="AC24" s="2272"/>
      <c r="AD24" s="2272"/>
      <c r="AE24" s="2272"/>
      <c r="AF24" s="2272"/>
      <c r="AG24" s="2272"/>
      <c r="AH24" s="2272"/>
      <c r="AI24" s="2272"/>
      <c r="AJ24" s="2272"/>
      <c r="AK24" s="2272"/>
      <c r="AL24" s="2272"/>
    </row>
  </sheetData>
  <mergeCells count="12">
    <mergeCell ref="B1:AL1"/>
    <mergeCell ref="B2:AL2"/>
    <mergeCell ref="B3:AL3"/>
    <mergeCell ref="B4:K4"/>
    <mergeCell ref="B5:K5"/>
    <mergeCell ref="Z24:AL24"/>
    <mergeCell ref="E6:AI6"/>
    <mergeCell ref="E7:AI7"/>
    <mergeCell ref="B16:C16"/>
    <mergeCell ref="AA18:AL18"/>
    <mergeCell ref="B19:C19"/>
    <mergeCell ref="Z19:AL19"/>
  </mergeCells>
  <printOptions horizontalCentered="1"/>
  <pageMargins left="0.118110236220472" right="0.31496062992126" top="0.55118110236220497" bottom="0.74803149606299202" header="0.31496062992126" footer="0.31496062992126"/>
  <pageSetup paperSize="9" scale="65" orientation="landscape"/>
  <drawing r:id="rId1"/>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U41"/>
  <sheetViews>
    <sheetView workbookViewId="0">
      <selection sqref="A1:L1"/>
    </sheetView>
  </sheetViews>
  <sheetFormatPr defaultColWidth="9.140625" defaultRowHeight="12.75"/>
  <cols>
    <col min="1" max="1" width="4.140625" style="8" customWidth="1"/>
    <col min="2" max="2" width="13.85546875" style="8" customWidth="1"/>
    <col min="3" max="33" width="3.28515625" style="8" customWidth="1"/>
    <col min="34" max="34" width="7.7109375" style="9" customWidth="1"/>
    <col min="35" max="35" width="7.5703125" style="8" customWidth="1"/>
    <col min="36" max="16384" width="9.140625" style="8"/>
  </cols>
  <sheetData>
    <row r="1" spans="1:47" s="1" customFormat="1" ht="18" customHeight="1">
      <c r="A1" s="2953" t="s">
        <v>1927</v>
      </c>
      <c r="B1" s="2953"/>
      <c r="C1" s="2953"/>
      <c r="D1" s="2953"/>
      <c r="E1" s="2953"/>
      <c r="F1" s="2953"/>
      <c r="G1" s="2953"/>
      <c r="H1" s="2953"/>
      <c r="I1" s="2953"/>
      <c r="J1" s="2953"/>
      <c r="K1" s="2953"/>
      <c r="L1" s="2953"/>
      <c r="O1" s="2953" t="s">
        <v>3160</v>
      </c>
      <c r="P1" s="2953"/>
      <c r="Q1" s="2953"/>
      <c r="R1" s="2953"/>
      <c r="S1" s="2953"/>
      <c r="T1" s="2953"/>
      <c r="U1" s="2953"/>
      <c r="V1" s="2953"/>
      <c r="W1" s="2953"/>
      <c r="X1" s="2953"/>
      <c r="Y1" s="2953"/>
      <c r="Z1" s="2953"/>
      <c r="AA1" s="2953"/>
      <c r="AB1" s="2953"/>
      <c r="AC1" s="2953"/>
      <c r="AD1" s="2953"/>
      <c r="AE1" s="2953"/>
      <c r="AF1" s="2953"/>
      <c r="AG1" s="2953"/>
      <c r="AH1" s="2953"/>
    </row>
    <row r="2" spans="1:47" s="1" customFormat="1" ht="18" customHeight="1">
      <c r="A2" s="2953" t="s">
        <v>3161</v>
      </c>
      <c r="B2" s="2953"/>
      <c r="C2" s="2953"/>
      <c r="D2" s="2953"/>
      <c r="E2" s="2953"/>
      <c r="F2" s="2953"/>
      <c r="G2" s="2953"/>
      <c r="H2" s="2953"/>
      <c r="I2" s="2953"/>
      <c r="J2" s="2953"/>
      <c r="K2" s="2953"/>
      <c r="L2" s="2953"/>
      <c r="O2" s="2953" t="s">
        <v>3162</v>
      </c>
      <c r="P2" s="2953"/>
      <c r="Q2" s="2953"/>
      <c r="R2" s="2953"/>
      <c r="S2" s="2953"/>
      <c r="T2" s="2953"/>
      <c r="U2" s="2953"/>
      <c r="V2" s="2953"/>
      <c r="W2" s="2953"/>
      <c r="X2" s="2953"/>
      <c r="Y2" s="2953"/>
      <c r="Z2" s="2953"/>
      <c r="AA2" s="2953"/>
      <c r="AB2" s="2953"/>
      <c r="AC2" s="2953"/>
      <c r="AD2" s="2953"/>
      <c r="AE2" s="2953"/>
      <c r="AF2" s="2953"/>
      <c r="AG2" s="2953"/>
      <c r="AH2" s="2953"/>
    </row>
    <row r="3" spans="1:47" s="2" customFormat="1">
      <c r="AH3" s="21"/>
    </row>
    <row r="4" spans="1:47" s="2" customFormat="1" ht="20.25" customHeight="1">
      <c r="A4" s="2295" t="s">
        <v>3163</v>
      </c>
      <c r="B4" s="2295"/>
      <c r="C4" s="2295"/>
      <c r="D4" s="2295"/>
      <c r="E4" s="2295"/>
      <c r="F4" s="2295"/>
      <c r="G4" s="2295"/>
      <c r="H4" s="2295"/>
      <c r="I4" s="2295"/>
      <c r="J4" s="2295"/>
      <c r="K4" s="2295"/>
      <c r="L4" s="2295"/>
      <c r="M4" s="2295"/>
      <c r="N4" s="2295"/>
      <c r="O4" s="2295"/>
      <c r="P4" s="2295"/>
      <c r="Q4" s="2295"/>
      <c r="R4" s="2295"/>
      <c r="S4" s="2295"/>
      <c r="T4" s="2295"/>
      <c r="U4" s="2295"/>
      <c r="V4" s="2295"/>
      <c r="W4" s="2295"/>
      <c r="X4" s="2295"/>
      <c r="Y4" s="2295"/>
      <c r="Z4" s="2295"/>
      <c r="AA4" s="2295"/>
      <c r="AB4" s="2295"/>
      <c r="AC4" s="2295"/>
      <c r="AD4" s="2295"/>
      <c r="AE4" s="2295"/>
      <c r="AF4" s="2295"/>
      <c r="AG4" s="2295"/>
      <c r="AH4" s="2295"/>
    </row>
    <row r="5" spans="1:47" ht="15">
      <c r="A5" s="10"/>
      <c r="B5" s="10"/>
      <c r="C5" s="10"/>
      <c r="D5" s="10"/>
      <c r="E5" s="10"/>
      <c r="F5" s="10"/>
      <c r="G5" s="10"/>
      <c r="H5" s="10"/>
      <c r="I5" s="10"/>
      <c r="J5" s="10"/>
      <c r="K5" s="10"/>
      <c r="L5" s="10"/>
      <c r="M5" s="10"/>
      <c r="N5" s="10"/>
      <c r="O5" s="10"/>
      <c r="P5" s="10"/>
      <c r="Q5" s="10"/>
      <c r="R5" s="10"/>
      <c r="S5" s="10"/>
      <c r="T5" s="10"/>
      <c r="U5" s="10"/>
      <c r="V5" s="10"/>
      <c r="W5" s="10"/>
      <c r="X5" s="10"/>
      <c r="Y5" s="10"/>
      <c r="Z5" s="10"/>
      <c r="AA5" s="10"/>
      <c r="AB5" s="10"/>
      <c r="AC5" s="10"/>
      <c r="AD5" s="10"/>
      <c r="AE5" s="10"/>
      <c r="AF5" s="10"/>
      <c r="AG5" s="10"/>
      <c r="AH5" s="10"/>
    </row>
    <row r="6" spans="1:47" s="3" customFormat="1" ht="16.5" customHeight="1">
      <c r="A6" s="2950" t="s">
        <v>623</v>
      </c>
      <c r="B6" s="11" t="s">
        <v>356</v>
      </c>
      <c r="C6" s="2950" t="s">
        <v>2974</v>
      </c>
      <c r="D6" s="2950"/>
      <c r="E6" s="2950"/>
      <c r="F6" s="2950"/>
      <c r="G6" s="2950"/>
      <c r="H6" s="2950"/>
      <c r="I6" s="2950"/>
      <c r="J6" s="2950"/>
      <c r="K6" s="2950"/>
      <c r="L6" s="2950"/>
      <c r="M6" s="2950"/>
      <c r="N6" s="2950"/>
      <c r="O6" s="2950"/>
      <c r="P6" s="2950"/>
      <c r="Q6" s="2950"/>
      <c r="R6" s="2950"/>
      <c r="S6" s="2950"/>
      <c r="T6" s="2950"/>
      <c r="U6" s="2950"/>
      <c r="V6" s="2950"/>
      <c r="W6" s="2950"/>
      <c r="X6" s="2950"/>
      <c r="Y6" s="2950"/>
      <c r="Z6" s="2950"/>
      <c r="AA6" s="2950"/>
      <c r="AB6" s="2950"/>
      <c r="AC6" s="2950"/>
      <c r="AD6" s="2950"/>
      <c r="AE6" s="2950"/>
      <c r="AF6" s="2950"/>
      <c r="AG6" s="2950"/>
      <c r="AH6" s="2952" t="s">
        <v>3164</v>
      </c>
      <c r="AI6" s="2950" t="s">
        <v>12</v>
      </c>
    </row>
    <row r="7" spans="1:47" s="4" customFormat="1" ht="16.5" customHeight="1">
      <c r="A7" s="2950"/>
      <c r="B7" s="11" t="s">
        <v>1935</v>
      </c>
      <c r="C7" s="12">
        <v>1</v>
      </c>
      <c r="D7" s="12">
        <v>2</v>
      </c>
      <c r="E7" s="12">
        <v>3</v>
      </c>
      <c r="F7" s="12">
        <v>4</v>
      </c>
      <c r="G7" s="12">
        <v>5</v>
      </c>
      <c r="H7" s="12">
        <v>6</v>
      </c>
      <c r="I7" s="12">
        <v>7</v>
      </c>
      <c r="J7" s="12">
        <v>8</v>
      </c>
      <c r="K7" s="12">
        <v>9</v>
      </c>
      <c r="L7" s="12">
        <v>10</v>
      </c>
      <c r="M7" s="12">
        <v>11</v>
      </c>
      <c r="N7" s="12">
        <v>12</v>
      </c>
      <c r="O7" s="12">
        <v>13</v>
      </c>
      <c r="P7" s="12">
        <v>14</v>
      </c>
      <c r="Q7" s="12">
        <v>15</v>
      </c>
      <c r="R7" s="12">
        <v>16</v>
      </c>
      <c r="S7" s="12">
        <v>17</v>
      </c>
      <c r="T7" s="12">
        <v>18</v>
      </c>
      <c r="U7" s="12">
        <v>19</v>
      </c>
      <c r="V7" s="12">
        <v>20</v>
      </c>
      <c r="W7" s="12">
        <v>21</v>
      </c>
      <c r="X7" s="12">
        <v>22</v>
      </c>
      <c r="Y7" s="12">
        <v>23</v>
      </c>
      <c r="Z7" s="12">
        <v>24</v>
      </c>
      <c r="AA7" s="12">
        <v>25</v>
      </c>
      <c r="AB7" s="12">
        <v>26</v>
      </c>
      <c r="AC7" s="12">
        <v>27</v>
      </c>
      <c r="AD7" s="12">
        <v>28</v>
      </c>
      <c r="AE7" s="12">
        <v>29</v>
      </c>
      <c r="AF7" s="12">
        <v>30</v>
      </c>
      <c r="AG7" s="12"/>
      <c r="AH7" s="2952"/>
      <c r="AI7" s="2950"/>
      <c r="AJ7" s="8"/>
      <c r="AK7" s="8"/>
      <c r="AL7" s="8"/>
      <c r="AM7" s="8"/>
      <c r="AN7" s="8"/>
      <c r="AO7" s="8"/>
      <c r="AP7" s="8"/>
      <c r="AQ7" s="8"/>
      <c r="AR7" s="8"/>
      <c r="AS7" s="8"/>
      <c r="AT7" s="8"/>
      <c r="AU7" s="8"/>
    </row>
    <row r="8" spans="1:47" s="3" customFormat="1" ht="16.5" customHeight="1">
      <c r="A8" s="12">
        <v>1</v>
      </c>
      <c r="B8" s="13" t="s">
        <v>3165</v>
      </c>
      <c r="C8" s="14" t="s">
        <v>554</v>
      </c>
      <c r="D8" s="14" t="s">
        <v>536</v>
      </c>
      <c r="E8" s="14" t="s">
        <v>536</v>
      </c>
      <c r="F8" s="14" t="s">
        <v>536</v>
      </c>
      <c r="G8" s="14" t="s">
        <v>536</v>
      </c>
      <c r="H8" s="14" t="s">
        <v>536</v>
      </c>
      <c r="I8" s="14" t="s">
        <v>536</v>
      </c>
      <c r="J8" s="14" t="s">
        <v>554</v>
      </c>
      <c r="K8" s="14" t="s">
        <v>536</v>
      </c>
      <c r="L8" s="14" t="s">
        <v>536</v>
      </c>
      <c r="M8" s="14" t="s">
        <v>536</v>
      </c>
      <c r="N8" s="14" t="s">
        <v>536</v>
      </c>
      <c r="O8" s="14" t="s">
        <v>536</v>
      </c>
      <c r="P8" s="14" t="s">
        <v>536</v>
      </c>
      <c r="Q8" s="14" t="s">
        <v>554</v>
      </c>
      <c r="R8" s="14" t="s">
        <v>536</v>
      </c>
      <c r="S8" s="14" t="s">
        <v>536</v>
      </c>
      <c r="T8" s="14" t="s">
        <v>536</v>
      </c>
      <c r="U8" s="14" t="s">
        <v>536</v>
      </c>
      <c r="V8" s="14" t="s">
        <v>536</v>
      </c>
      <c r="W8" s="14" t="s">
        <v>536</v>
      </c>
      <c r="X8" s="14" t="s">
        <v>554</v>
      </c>
      <c r="Y8" s="14" t="s">
        <v>536</v>
      </c>
      <c r="Z8" s="14" t="s">
        <v>536</v>
      </c>
      <c r="AA8" s="14" t="s">
        <v>536</v>
      </c>
      <c r="AB8" s="14" t="s">
        <v>536</v>
      </c>
      <c r="AC8" s="14" t="s">
        <v>536</v>
      </c>
      <c r="AD8" s="14" t="s">
        <v>536</v>
      </c>
      <c r="AE8" s="14" t="s">
        <v>554</v>
      </c>
      <c r="AF8" s="14" t="s">
        <v>536</v>
      </c>
      <c r="AG8" s="14"/>
      <c r="AH8" s="22">
        <f t="shared" ref="AH8:AH18" si="0">COUNTIF(C8:AG8,"x")</f>
        <v>25</v>
      </c>
      <c r="AI8" s="23"/>
      <c r="AJ8" s="8"/>
      <c r="AK8" s="8"/>
      <c r="AL8" s="8"/>
      <c r="AM8" s="8"/>
      <c r="AN8" s="8"/>
      <c r="AO8" s="8"/>
      <c r="AP8" s="8"/>
      <c r="AQ8" s="8"/>
      <c r="AR8" s="8"/>
      <c r="AS8" s="8"/>
      <c r="AT8" s="8"/>
      <c r="AU8" s="8"/>
    </row>
    <row r="9" spans="1:47" s="3" customFormat="1" ht="16.5" customHeight="1">
      <c r="A9" s="12">
        <v>2</v>
      </c>
      <c r="B9" s="13" t="s">
        <v>913</v>
      </c>
      <c r="C9" s="14" t="s">
        <v>554</v>
      </c>
      <c r="D9" s="14" t="s">
        <v>536</v>
      </c>
      <c r="E9" s="14" t="s">
        <v>536</v>
      </c>
      <c r="F9" s="14" t="s">
        <v>536</v>
      </c>
      <c r="G9" s="14" t="s">
        <v>536</v>
      </c>
      <c r="H9" s="14" t="s">
        <v>536</v>
      </c>
      <c r="I9" s="14" t="s">
        <v>536</v>
      </c>
      <c r="J9" s="14" t="s">
        <v>554</v>
      </c>
      <c r="K9" s="14" t="s">
        <v>536</v>
      </c>
      <c r="L9" s="14" t="s">
        <v>536</v>
      </c>
      <c r="M9" s="14" t="s">
        <v>536</v>
      </c>
      <c r="N9" s="14" t="s">
        <v>536</v>
      </c>
      <c r="O9" s="14" t="s">
        <v>536</v>
      </c>
      <c r="P9" s="14" t="s">
        <v>536</v>
      </c>
      <c r="Q9" s="14" t="s">
        <v>554</v>
      </c>
      <c r="R9" s="14" t="s">
        <v>536</v>
      </c>
      <c r="S9" s="14" t="s">
        <v>536</v>
      </c>
      <c r="T9" s="14" t="s">
        <v>536</v>
      </c>
      <c r="U9" s="14" t="s">
        <v>536</v>
      </c>
      <c r="V9" s="14" t="s">
        <v>536</v>
      </c>
      <c r="W9" s="14" t="s">
        <v>536</v>
      </c>
      <c r="X9" s="14" t="s">
        <v>554</v>
      </c>
      <c r="Y9" s="14" t="s">
        <v>536</v>
      </c>
      <c r="Z9" s="14" t="s">
        <v>536</v>
      </c>
      <c r="AA9" s="14" t="s">
        <v>536</v>
      </c>
      <c r="AB9" s="14" t="s">
        <v>536</v>
      </c>
      <c r="AC9" s="14" t="s">
        <v>536</v>
      </c>
      <c r="AD9" s="14" t="s">
        <v>536</v>
      </c>
      <c r="AE9" s="14" t="s">
        <v>554</v>
      </c>
      <c r="AF9" s="14" t="s">
        <v>536</v>
      </c>
      <c r="AG9" s="14"/>
      <c r="AH9" s="22">
        <f t="shared" si="0"/>
        <v>25</v>
      </c>
      <c r="AI9" s="23"/>
      <c r="AJ9" s="8"/>
      <c r="AK9" s="8"/>
      <c r="AL9" s="8"/>
      <c r="AM9" s="8"/>
      <c r="AN9" s="8"/>
      <c r="AO9" s="8"/>
      <c r="AP9" s="8"/>
      <c r="AQ9" s="8"/>
      <c r="AR9" s="8"/>
      <c r="AS9" s="8"/>
      <c r="AT9" s="8"/>
      <c r="AU9" s="8"/>
    </row>
    <row r="10" spans="1:47" s="3" customFormat="1" ht="16.5" customHeight="1">
      <c r="A10" s="12">
        <v>3</v>
      </c>
      <c r="B10" s="13" t="s">
        <v>228</v>
      </c>
      <c r="C10" s="14" t="s">
        <v>554</v>
      </c>
      <c r="D10" s="14" t="s">
        <v>536</v>
      </c>
      <c r="E10" s="14" t="s">
        <v>536</v>
      </c>
      <c r="F10" s="14" t="s">
        <v>536</v>
      </c>
      <c r="G10" s="14" t="s">
        <v>536</v>
      </c>
      <c r="H10" s="14" t="s">
        <v>536</v>
      </c>
      <c r="I10" s="14" t="s">
        <v>536</v>
      </c>
      <c r="J10" s="14" t="s">
        <v>554</v>
      </c>
      <c r="K10" s="14" t="s">
        <v>536</v>
      </c>
      <c r="L10" s="14" t="s">
        <v>536</v>
      </c>
      <c r="M10" s="14" t="s">
        <v>536</v>
      </c>
      <c r="N10" s="14" t="s">
        <v>536</v>
      </c>
      <c r="O10" s="14" t="s">
        <v>536</v>
      </c>
      <c r="P10" s="14" t="s">
        <v>536</v>
      </c>
      <c r="Q10" s="14" t="s">
        <v>554</v>
      </c>
      <c r="R10" s="14" t="s">
        <v>536</v>
      </c>
      <c r="S10" s="14" t="s">
        <v>536</v>
      </c>
      <c r="T10" s="14" t="s">
        <v>536</v>
      </c>
      <c r="U10" s="14" t="s">
        <v>536</v>
      </c>
      <c r="V10" s="14" t="s">
        <v>536</v>
      </c>
      <c r="W10" s="14" t="s">
        <v>536</v>
      </c>
      <c r="X10" s="14" t="s">
        <v>554</v>
      </c>
      <c r="Y10" s="14" t="s">
        <v>536</v>
      </c>
      <c r="Z10" s="14" t="s">
        <v>536</v>
      </c>
      <c r="AA10" s="14" t="s">
        <v>536</v>
      </c>
      <c r="AB10" s="14" t="s">
        <v>536</v>
      </c>
      <c r="AC10" s="14" t="s">
        <v>536</v>
      </c>
      <c r="AD10" s="14" t="s">
        <v>536</v>
      </c>
      <c r="AE10" s="14" t="s">
        <v>554</v>
      </c>
      <c r="AF10" s="14" t="s">
        <v>536</v>
      </c>
      <c r="AG10" s="14"/>
      <c r="AH10" s="22">
        <f t="shared" si="0"/>
        <v>25</v>
      </c>
      <c r="AI10" s="23"/>
      <c r="AJ10" s="8"/>
      <c r="AK10" s="8"/>
      <c r="AL10" s="8"/>
      <c r="AM10" s="8"/>
      <c r="AN10" s="8"/>
      <c r="AO10" s="8"/>
      <c r="AP10" s="8"/>
      <c r="AQ10" s="8"/>
      <c r="AR10" s="8"/>
      <c r="AS10" s="8"/>
      <c r="AT10" s="8"/>
      <c r="AU10" s="8"/>
    </row>
    <row r="11" spans="1:47" s="3" customFormat="1" ht="16.5" customHeight="1">
      <c r="A11" s="12">
        <v>4</v>
      </c>
      <c r="B11" s="13" t="s">
        <v>3166</v>
      </c>
      <c r="C11" s="14" t="s">
        <v>554</v>
      </c>
      <c r="D11" s="14" t="s">
        <v>536</v>
      </c>
      <c r="E11" s="14" t="s">
        <v>536</v>
      </c>
      <c r="F11" s="14" t="s">
        <v>536</v>
      </c>
      <c r="G11" s="14" t="s">
        <v>536</v>
      </c>
      <c r="H11" s="14" t="s">
        <v>536</v>
      </c>
      <c r="I11" s="14" t="s">
        <v>536</v>
      </c>
      <c r="J11" s="14" t="s">
        <v>554</v>
      </c>
      <c r="K11" s="14" t="s">
        <v>536</v>
      </c>
      <c r="L11" s="14" t="s">
        <v>536</v>
      </c>
      <c r="M11" s="14" t="s">
        <v>536</v>
      </c>
      <c r="N11" s="14" t="s">
        <v>536</v>
      </c>
      <c r="O11" s="14" t="s">
        <v>536</v>
      </c>
      <c r="P11" s="14" t="s">
        <v>536</v>
      </c>
      <c r="Q11" s="14" t="s">
        <v>554</v>
      </c>
      <c r="R11" s="14" t="s">
        <v>536</v>
      </c>
      <c r="S11" s="14" t="s">
        <v>536</v>
      </c>
      <c r="T11" s="14" t="s">
        <v>536</v>
      </c>
      <c r="U11" s="14" t="s">
        <v>536</v>
      </c>
      <c r="V11" s="14" t="s">
        <v>536</v>
      </c>
      <c r="W11" s="14" t="s">
        <v>536</v>
      </c>
      <c r="X11" s="14" t="s">
        <v>554</v>
      </c>
      <c r="Y11" s="14" t="s">
        <v>536</v>
      </c>
      <c r="Z11" s="14" t="s">
        <v>536</v>
      </c>
      <c r="AA11" s="14" t="s">
        <v>536</v>
      </c>
      <c r="AB11" s="14" t="s">
        <v>536</v>
      </c>
      <c r="AC11" s="14" t="s">
        <v>536</v>
      </c>
      <c r="AD11" s="14" t="s">
        <v>536</v>
      </c>
      <c r="AE11" s="14" t="s">
        <v>554</v>
      </c>
      <c r="AF11" s="14" t="s">
        <v>536</v>
      </c>
      <c r="AG11" s="14"/>
      <c r="AH11" s="22">
        <f t="shared" si="0"/>
        <v>25</v>
      </c>
      <c r="AI11" s="23"/>
      <c r="AJ11" s="8"/>
      <c r="AK11" s="8"/>
      <c r="AL11" s="8"/>
      <c r="AM11" s="8"/>
      <c r="AN11" s="8"/>
      <c r="AO11" s="8"/>
      <c r="AP11" s="8"/>
      <c r="AQ11" s="8"/>
      <c r="AR11" s="8"/>
      <c r="AS11" s="8"/>
      <c r="AT11" s="8"/>
      <c r="AU11" s="8"/>
    </row>
    <row r="12" spans="1:47" s="3" customFormat="1" ht="16.5" customHeight="1">
      <c r="A12" s="12">
        <v>5</v>
      </c>
      <c r="B12" s="13" t="s">
        <v>54</v>
      </c>
      <c r="C12" s="14" t="s">
        <v>554</v>
      </c>
      <c r="D12" s="14" t="s">
        <v>536</v>
      </c>
      <c r="E12" s="14" t="s">
        <v>536</v>
      </c>
      <c r="F12" s="14" t="s">
        <v>536</v>
      </c>
      <c r="G12" s="14" t="s">
        <v>536</v>
      </c>
      <c r="H12" s="14" t="s">
        <v>536</v>
      </c>
      <c r="I12" s="14" t="s">
        <v>536</v>
      </c>
      <c r="J12" s="14" t="s">
        <v>554</v>
      </c>
      <c r="K12" s="14" t="s">
        <v>536</v>
      </c>
      <c r="L12" s="14" t="s">
        <v>536</v>
      </c>
      <c r="M12" s="14" t="s">
        <v>536</v>
      </c>
      <c r="N12" s="14" t="s">
        <v>536</v>
      </c>
      <c r="O12" s="14" t="s">
        <v>536</v>
      </c>
      <c r="P12" s="14" t="s">
        <v>536</v>
      </c>
      <c r="Q12" s="14" t="s">
        <v>554</v>
      </c>
      <c r="R12" s="14" t="s">
        <v>536</v>
      </c>
      <c r="S12" s="14" t="s">
        <v>536</v>
      </c>
      <c r="T12" s="14" t="s">
        <v>536</v>
      </c>
      <c r="U12" s="14" t="s">
        <v>536</v>
      </c>
      <c r="V12" s="14" t="s">
        <v>536</v>
      </c>
      <c r="W12" s="14" t="s">
        <v>536</v>
      </c>
      <c r="X12" s="14" t="s">
        <v>554</v>
      </c>
      <c r="Y12" s="14" t="s">
        <v>536</v>
      </c>
      <c r="Z12" s="14" t="s">
        <v>536</v>
      </c>
      <c r="AA12" s="14" t="s">
        <v>536</v>
      </c>
      <c r="AB12" s="14" t="s">
        <v>536</v>
      </c>
      <c r="AC12" s="14" t="s">
        <v>536</v>
      </c>
      <c r="AD12" s="14" t="s">
        <v>536</v>
      </c>
      <c r="AE12" s="14" t="s">
        <v>554</v>
      </c>
      <c r="AF12" s="14" t="s">
        <v>536</v>
      </c>
      <c r="AG12" s="14"/>
      <c r="AH12" s="22">
        <f t="shared" si="0"/>
        <v>25</v>
      </c>
      <c r="AI12" s="23"/>
      <c r="AJ12" s="8"/>
      <c r="AK12" s="8"/>
      <c r="AL12" s="8"/>
      <c r="AM12" s="8"/>
      <c r="AN12" s="8"/>
      <c r="AO12" s="8"/>
      <c r="AP12" s="8"/>
      <c r="AQ12" s="8"/>
      <c r="AR12" s="8"/>
      <c r="AS12" s="8"/>
      <c r="AT12" s="8"/>
      <c r="AU12" s="8"/>
    </row>
    <row r="13" spans="1:47" s="3" customFormat="1" ht="16.5" customHeight="1">
      <c r="A13" s="12">
        <v>6</v>
      </c>
      <c r="B13" s="13" t="s">
        <v>708</v>
      </c>
      <c r="C13" s="14" t="s">
        <v>554</v>
      </c>
      <c r="D13" s="14" t="s">
        <v>536</v>
      </c>
      <c r="E13" s="14" t="s">
        <v>536</v>
      </c>
      <c r="F13" s="14" t="s">
        <v>536</v>
      </c>
      <c r="G13" s="14" t="s">
        <v>536</v>
      </c>
      <c r="H13" s="14" t="s">
        <v>536</v>
      </c>
      <c r="I13" s="14" t="s">
        <v>536</v>
      </c>
      <c r="J13" s="14" t="s">
        <v>554</v>
      </c>
      <c r="K13" s="14" t="s">
        <v>536</v>
      </c>
      <c r="L13" s="14" t="s">
        <v>536</v>
      </c>
      <c r="M13" s="14" t="s">
        <v>536</v>
      </c>
      <c r="N13" s="14" t="s">
        <v>536</v>
      </c>
      <c r="O13" s="14" t="s">
        <v>536</v>
      </c>
      <c r="P13" s="14" t="s">
        <v>536</v>
      </c>
      <c r="Q13" s="14" t="s">
        <v>554</v>
      </c>
      <c r="R13" s="14" t="s">
        <v>536</v>
      </c>
      <c r="S13" s="14" t="s">
        <v>536</v>
      </c>
      <c r="T13" s="14" t="s">
        <v>536</v>
      </c>
      <c r="U13" s="14" t="s">
        <v>536</v>
      </c>
      <c r="V13" s="14" t="s">
        <v>536</v>
      </c>
      <c r="W13" s="14" t="s">
        <v>536</v>
      </c>
      <c r="X13" s="14" t="s">
        <v>554</v>
      </c>
      <c r="Y13" s="14" t="s">
        <v>536</v>
      </c>
      <c r="Z13" s="14" t="s">
        <v>536</v>
      </c>
      <c r="AA13" s="14" t="s">
        <v>536</v>
      </c>
      <c r="AB13" s="14" t="s">
        <v>536</v>
      </c>
      <c r="AC13" s="14" t="s">
        <v>536</v>
      </c>
      <c r="AD13" s="14" t="s">
        <v>536</v>
      </c>
      <c r="AE13" s="14" t="s">
        <v>554</v>
      </c>
      <c r="AF13" s="14" t="s">
        <v>536</v>
      </c>
      <c r="AG13" s="14"/>
      <c r="AH13" s="22">
        <f t="shared" si="0"/>
        <v>25</v>
      </c>
      <c r="AI13" s="23"/>
      <c r="AJ13" s="8"/>
      <c r="AK13" s="8"/>
      <c r="AL13" s="8"/>
      <c r="AM13" s="8"/>
      <c r="AN13" s="8"/>
      <c r="AO13" s="8"/>
      <c r="AP13" s="8"/>
      <c r="AQ13" s="8"/>
      <c r="AR13" s="8"/>
      <c r="AS13" s="8"/>
      <c r="AT13" s="8"/>
      <c r="AU13" s="8"/>
    </row>
    <row r="14" spans="1:47" s="3" customFormat="1" ht="16.5" customHeight="1">
      <c r="A14" s="12">
        <v>7</v>
      </c>
      <c r="B14" s="13" t="s">
        <v>3167</v>
      </c>
      <c r="C14" s="14" t="s">
        <v>554</v>
      </c>
      <c r="D14" s="14" t="s">
        <v>536</v>
      </c>
      <c r="E14" s="14" t="s">
        <v>536</v>
      </c>
      <c r="F14" s="14" t="s">
        <v>536</v>
      </c>
      <c r="G14" s="14" t="s">
        <v>536</v>
      </c>
      <c r="H14" s="14" t="s">
        <v>536</v>
      </c>
      <c r="I14" s="14" t="s">
        <v>536</v>
      </c>
      <c r="J14" s="14" t="s">
        <v>554</v>
      </c>
      <c r="K14" s="14" t="s">
        <v>536</v>
      </c>
      <c r="L14" s="14" t="s">
        <v>536</v>
      </c>
      <c r="M14" s="14" t="s">
        <v>536</v>
      </c>
      <c r="N14" s="14" t="s">
        <v>536</v>
      </c>
      <c r="O14" s="14" t="s">
        <v>536</v>
      </c>
      <c r="P14" s="14" t="s">
        <v>536</v>
      </c>
      <c r="Q14" s="14" t="s">
        <v>554</v>
      </c>
      <c r="R14" s="14" t="s">
        <v>536</v>
      </c>
      <c r="S14" s="14" t="s">
        <v>536</v>
      </c>
      <c r="T14" s="14" t="s">
        <v>536</v>
      </c>
      <c r="U14" s="14" t="s">
        <v>536</v>
      </c>
      <c r="V14" s="14" t="s">
        <v>536</v>
      </c>
      <c r="W14" s="14" t="s">
        <v>536</v>
      </c>
      <c r="X14" s="14" t="s">
        <v>554</v>
      </c>
      <c r="Y14" s="14" t="s">
        <v>536</v>
      </c>
      <c r="Z14" s="14" t="s">
        <v>536</v>
      </c>
      <c r="AA14" s="14" t="s">
        <v>536</v>
      </c>
      <c r="AB14" s="14" t="s">
        <v>536</v>
      </c>
      <c r="AC14" s="14" t="s">
        <v>536</v>
      </c>
      <c r="AD14" s="14" t="s">
        <v>536</v>
      </c>
      <c r="AE14" s="14" t="s">
        <v>554</v>
      </c>
      <c r="AF14" s="14" t="s">
        <v>536</v>
      </c>
      <c r="AG14" s="14"/>
      <c r="AH14" s="22">
        <f t="shared" si="0"/>
        <v>25</v>
      </c>
      <c r="AI14" s="23"/>
      <c r="AJ14" s="8"/>
      <c r="AK14" s="8"/>
      <c r="AL14" s="8"/>
      <c r="AM14" s="8"/>
      <c r="AN14" s="8"/>
      <c r="AO14" s="8"/>
      <c r="AP14" s="8"/>
      <c r="AQ14" s="8"/>
      <c r="AR14" s="8"/>
      <c r="AS14" s="8"/>
      <c r="AT14" s="8"/>
      <c r="AU14" s="8"/>
    </row>
    <row r="15" spans="1:47" s="3" customFormat="1" ht="16.5" customHeight="1">
      <c r="A15" s="12">
        <v>8</v>
      </c>
      <c r="B15" s="13" t="s">
        <v>3168</v>
      </c>
      <c r="C15" s="14" t="s">
        <v>554</v>
      </c>
      <c r="D15" s="14" t="s">
        <v>536</v>
      </c>
      <c r="E15" s="14" t="s">
        <v>536</v>
      </c>
      <c r="F15" s="14" t="s">
        <v>536</v>
      </c>
      <c r="G15" s="14" t="s">
        <v>536</v>
      </c>
      <c r="H15" s="14" t="s">
        <v>536</v>
      </c>
      <c r="I15" s="14" t="s">
        <v>536</v>
      </c>
      <c r="J15" s="14" t="s">
        <v>554</v>
      </c>
      <c r="K15" s="14" t="s">
        <v>536</v>
      </c>
      <c r="L15" s="14" t="s">
        <v>536</v>
      </c>
      <c r="M15" s="14" t="s">
        <v>536</v>
      </c>
      <c r="N15" s="14" t="s">
        <v>536</v>
      </c>
      <c r="O15" s="14" t="s">
        <v>536</v>
      </c>
      <c r="P15" s="14" t="s">
        <v>536</v>
      </c>
      <c r="Q15" s="14" t="s">
        <v>554</v>
      </c>
      <c r="R15" s="14" t="s">
        <v>536</v>
      </c>
      <c r="S15" s="14" t="s">
        <v>536</v>
      </c>
      <c r="T15" s="14" t="s">
        <v>536</v>
      </c>
      <c r="U15" s="14" t="s">
        <v>536</v>
      </c>
      <c r="V15" s="14" t="s">
        <v>536</v>
      </c>
      <c r="W15" s="14" t="s">
        <v>536</v>
      </c>
      <c r="X15" s="14" t="s">
        <v>554</v>
      </c>
      <c r="Y15" s="14" t="s">
        <v>536</v>
      </c>
      <c r="Z15" s="14" t="s">
        <v>536</v>
      </c>
      <c r="AA15" s="14" t="s">
        <v>536</v>
      </c>
      <c r="AB15" s="14" t="s">
        <v>536</v>
      </c>
      <c r="AC15" s="14" t="s">
        <v>536</v>
      </c>
      <c r="AD15" s="14" t="s">
        <v>536</v>
      </c>
      <c r="AE15" s="14" t="s">
        <v>554</v>
      </c>
      <c r="AF15" s="14" t="s">
        <v>536</v>
      </c>
      <c r="AG15" s="14"/>
      <c r="AH15" s="22">
        <f t="shared" si="0"/>
        <v>25</v>
      </c>
      <c r="AI15" s="23"/>
      <c r="AJ15" s="8"/>
      <c r="AK15" s="8"/>
      <c r="AL15" s="8"/>
      <c r="AM15" s="8"/>
      <c r="AN15" s="8"/>
      <c r="AO15" s="8"/>
      <c r="AP15" s="8"/>
      <c r="AQ15" s="8"/>
      <c r="AR15" s="8"/>
      <c r="AS15" s="8"/>
      <c r="AT15" s="8"/>
      <c r="AU15" s="8"/>
    </row>
    <row r="16" spans="1:47" s="3" customFormat="1" ht="16.5" customHeight="1">
      <c r="A16" s="12">
        <v>9</v>
      </c>
      <c r="B16" s="13" t="s">
        <v>2334</v>
      </c>
      <c r="C16" s="14" t="s">
        <v>554</v>
      </c>
      <c r="D16" s="14" t="s">
        <v>536</v>
      </c>
      <c r="E16" s="14" t="s">
        <v>536</v>
      </c>
      <c r="F16" s="14" t="s">
        <v>536</v>
      </c>
      <c r="G16" s="14" t="s">
        <v>536</v>
      </c>
      <c r="H16" s="14" t="s">
        <v>536</v>
      </c>
      <c r="I16" s="14" t="s">
        <v>536</v>
      </c>
      <c r="J16" s="14" t="s">
        <v>554</v>
      </c>
      <c r="K16" s="14" t="s">
        <v>536</v>
      </c>
      <c r="L16" s="14" t="s">
        <v>536</v>
      </c>
      <c r="M16" s="14" t="s">
        <v>536</v>
      </c>
      <c r="N16" s="14" t="s">
        <v>536</v>
      </c>
      <c r="O16" s="14" t="s">
        <v>536</v>
      </c>
      <c r="P16" s="14" t="s">
        <v>536</v>
      </c>
      <c r="Q16" s="14" t="s">
        <v>554</v>
      </c>
      <c r="R16" s="14" t="s">
        <v>536</v>
      </c>
      <c r="S16" s="14" t="s">
        <v>536</v>
      </c>
      <c r="T16" s="14" t="s">
        <v>536</v>
      </c>
      <c r="U16" s="14" t="s">
        <v>536</v>
      </c>
      <c r="V16" s="14" t="s">
        <v>536</v>
      </c>
      <c r="W16" s="14" t="s">
        <v>536</v>
      </c>
      <c r="X16" s="14" t="s">
        <v>554</v>
      </c>
      <c r="Y16" s="14" t="s">
        <v>536</v>
      </c>
      <c r="Z16" s="14" t="s">
        <v>536</v>
      </c>
      <c r="AA16" s="14" t="s">
        <v>536</v>
      </c>
      <c r="AB16" s="14" t="s">
        <v>536</v>
      </c>
      <c r="AC16" s="14" t="s">
        <v>536</v>
      </c>
      <c r="AD16" s="14" t="s">
        <v>536</v>
      </c>
      <c r="AE16" s="14" t="s">
        <v>554</v>
      </c>
      <c r="AF16" s="14" t="s">
        <v>536</v>
      </c>
      <c r="AG16" s="14"/>
      <c r="AH16" s="22">
        <f t="shared" si="0"/>
        <v>25</v>
      </c>
      <c r="AI16" s="23"/>
      <c r="AJ16" s="8"/>
      <c r="AK16" s="8"/>
      <c r="AL16" s="8"/>
      <c r="AM16" s="8"/>
      <c r="AN16" s="8"/>
      <c r="AO16" s="8"/>
      <c r="AP16" s="8"/>
      <c r="AQ16" s="8"/>
      <c r="AR16" s="8"/>
      <c r="AS16" s="8"/>
      <c r="AT16" s="8"/>
      <c r="AU16" s="8"/>
    </row>
    <row r="17" spans="1:47" s="3" customFormat="1" ht="16.5" customHeight="1">
      <c r="A17" s="12">
        <v>10</v>
      </c>
      <c r="B17" s="15" t="s">
        <v>311</v>
      </c>
      <c r="C17" s="14" t="s">
        <v>554</v>
      </c>
      <c r="D17" s="14" t="s">
        <v>536</v>
      </c>
      <c r="E17" s="14" t="s">
        <v>536</v>
      </c>
      <c r="F17" s="14" t="s">
        <v>536</v>
      </c>
      <c r="G17" s="14" t="s">
        <v>536</v>
      </c>
      <c r="H17" s="14" t="s">
        <v>536</v>
      </c>
      <c r="I17" s="14" t="s">
        <v>536</v>
      </c>
      <c r="J17" s="14" t="s">
        <v>554</v>
      </c>
      <c r="K17" s="14" t="s">
        <v>536</v>
      </c>
      <c r="L17" s="14" t="s">
        <v>536</v>
      </c>
      <c r="M17" s="14" t="s">
        <v>536</v>
      </c>
      <c r="N17" s="14" t="s">
        <v>536</v>
      </c>
      <c r="O17" s="14" t="s">
        <v>536</v>
      </c>
      <c r="P17" s="14" t="s">
        <v>536</v>
      </c>
      <c r="Q17" s="14" t="s">
        <v>554</v>
      </c>
      <c r="R17" s="14" t="s">
        <v>536</v>
      </c>
      <c r="S17" s="14" t="s">
        <v>536</v>
      </c>
      <c r="T17" s="14" t="s">
        <v>536</v>
      </c>
      <c r="U17" s="14" t="s">
        <v>536</v>
      </c>
      <c r="V17" s="14" t="s">
        <v>536</v>
      </c>
      <c r="W17" s="14" t="s">
        <v>536</v>
      </c>
      <c r="X17" s="14" t="s">
        <v>554</v>
      </c>
      <c r="Y17" s="14" t="s">
        <v>536</v>
      </c>
      <c r="Z17" s="14" t="s">
        <v>536</v>
      </c>
      <c r="AA17" s="14" t="s">
        <v>536</v>
      </c>
      <c r="AB17" s="14" t="s">
        <v>536</v>
      </c>
      <c r="AC17" s="14" t="s">
        <v>536</v>
      </c>
      <c r="AD17" s="14" t="s">
        <v>536</v>
      </c>
      <c r="AE17" s="14" t="s">
        <v>554</v>
      </c>
      <c r="AF17" s="14" t="s">
        <v>536</v>
      </c>
      <c r="AG17" s="14"/>
      <c r="AH17" s="22">
        <f t="shared" si="0"/>
        <v>25</v>
      </c>
      <c r="AI17" s="23"/>
      <c r="AJ17" s="8"/>
      <c r="AK17" s="8"/>
      <c r="AL17" s="8"/>
      <c r="AM17" s="8"/>
      <c r="AN17" s="8"/>
      <c r="AO17" s="8"/>
      <c r="AP17" s="8"/>
      <c r="AQ17" s="8"/>
      <c r="AR17" s="8"/>
      <c r="AS17" s="8"/>
      <c r="AT17" s="8"/>
      <c r="AU17" s="8"/>
    </row>
    <row r="18" spans="1:47" s="3" customFormat="1" ht="16.5" customHeight="1">
      <c r="A18" s="12">
        <v>11</v>
      </c>
      <c r="B18" s="16" t="s">
        <v>3169</v>
      </c>
      <c r="C18" s="14" t="s">
        <v>554</v>
      </c>
      <c r="D18" s="14" t="s">
        <v>536</v>
      </c>
      <c r="E18" s="14" t="s">
        <v>536</v>
      </c>
      <c r="F18" s="14" t="s">
        <v>536</v>
      </c>
      <c r="G18" s="14" t="s">
        <v>536</v>
      </c>
      <c r="H18" s="14" t="s">
        <v>536</v>
      </c>
      <c r="I18" s="14" t="s">
        <v>536</v>
      </c>
      <c r="J18" s="14" t="s">
        <v>554</v>
      </c>
      <c r="K18" s="14" t="s">
        <v>536</v>
      </c>
      <c r="L18" s="14" t="s">
        <v>536</v>
      </c>
      <c r="M18" s="14" t="s">
        <v>536</v>
      </c>
      <c r="N18" s="14" t="s">
        <v>536</v>
      </c>
      <c r="O18" s="14" t="s">
        <v>536</v>
      </c>
      <c r="P18" s="14" t="s">
        <v>536</v>
      </c>
      <c r="Q18" s="14" t="s">
        <v>554</v>
      </c>
      <c r="R18" s="14" t="s">
        <v>536</v>
      </c>
      <c r="S18" s="14" t="s">
        <v>536</v>
      </c>
      <c r="T18" s="14" t="s">
        <v>536</v>
      </c>
      <c r="U18" s="14" t="s">
        <v>536</v>
      </c>
      <c r="V18" s="14" t="s">
        <v>536</v>
      </c>
      <c r="W18" s="14" t="s">
        <v>536</v>
      </c>
      <c r="X18" s="14" t="s">
        <v>554</v>
      </c>
      <c r="Y18" s="14" t="s">
        <v>536</v>
      </c>
      <c r="Z18" s="14" t="s">
        <v>536</v>
      </c>
      <c r="AA18" s="14" t="s">
        <v>536</v>
      </c>
      <c r="AB18" s="14" t="s">
        <v>536</v>
      </c>
      <c r="AC18" s="14" t="s">
        <v>536</v>
      </c>
      <c r="AD18" s="14" t="s">
        <v>536</v>
      </c>
      <c r="AE18" s="14" t="s">
        <v>554</v>
      </c>
      <c r="AF18" s="14" t="s">
        <v>536</v>
      </c>
      <c r="AG18" s="14"/>
      <c r="AH18" s="22">
        <f t="shared" si="0"/>
        <v>25</v>
      </c>
      <c r="AI18" s="23"/>
      <c r="AJ18" s="8"/>
      <c r="AK18" s="8"/>
      <c r="AL18" s="8"/>
      <c r="AM18" s="8"/>
      <c r="AN18" s="8"/>
      <c r="AO18" s="8"/>
      <c r="AP18" s="8"/>
      <c r="AQ18" s="8"/>
      <c r="AR18" s="8"/>
      <c r="AS18" s="8"/>
      <c r="AT18" s="8"/>
      <c r="AU18" s="8"/>
    </row>
    <row r="19" spans="1:47" s="5" customFormat="1" ht="16.5" customHeight="1">
      <c r="A19" s="2950" t="s">
        <v>349</v>
      </c>
      <c r="B19" s="2950"/>
      <c r="C19" s="17"/>
      <c r="D19" s="17"/>
      <c r="E19" s="17"/>
      <c r="F19" s="17"/>
      <c r="G19" s="17"/>
      <c r="H19" s="17"/>
      <c r="I19" s="17"/>
      <c r="J19" s="17"/>
      <c r="K19" s="17"/>
      <c r="L19" s="17"/>
      <c r="M19" s="17"/>
      <c r="N19" s="17"/>
      <c r="O19" s="17"/>
      <c r="P19" s="17"/>
      <c r="Q19" s="17"/>
      <c r="R19" s="17"/>
      <c r="S19" s="17"/>
      <c r="T19" s="17"/>
      <c r="U19" s="17"/>
      <c r="V19" s="17"/>
      <c r="W19" s="17"/>
      <c r="X19" s="17"/>
      <c r="Y19" s="17"/>
      <c r="Z19" s="17"/>
      <c r="AA19" s="17"/>
      <c r="AB19" s="17"/>
      <c r="AC19" s="17"/>
      <c r="AD19" s="17"/>
      <c r="AE19" s="17"/>
      <c r="AF19" s="17"/>
      <c r="AG19" s="17"/>
      <c r="AH19" s="24">
        <f>SUM(AH8:AH18)</f>
        <v>275</v>
      </c>
      <c r="AI19" s="25"/>
      <c r="AJ19" s="2"/>
      <c r="AK19" s="2"/>
      <c r="AL19" s="2"/>
      <c r="AM19" s="2"/>
      <c r="AN19" s="2"/>
      <c r="AO19" s="2"/>
      <c r="AP19" s="2"/>
      <c r="AQ19" s="2"/>
      <c r="AR19" s="2"/>
      <c r="AS19" s="2"/>
      <c r="AT19" s="2"/>
      <c r="AU19" s="2"/>
    </row>
    <row r="20" spans="1:47" s="6" customFormat="1" ht="17.25" customHeight="1">
      <c r="B20" s="18" t="s">
        <v>3170</v>
      </c>
      <c r="C20" s="8"/>
      <c r="D20" s="8"/>
      <c r="E20" s="8"/>
      <c r="F20" s="8"/>
      <c r="G20" s="8"/>
      <c r="H20" s="8"/>
      <c r="I20" s="8"/>
      <c r="J20" s="8"/>
      <c r="K20" s="8"/>
      <c r="L20" s="8"/>
      <c r="M20" s="8"/>
      <c r="AJ20" s="8"/>
      <c r="AK20" s="8"/>
      <c r="AL20" s="8"/>
      <c r="AM20" s="8"/>
      <c r="AN20" s="8"/>
      <c r="AO20" s="8"/>
      <c r="AP20" s="8"/>
      <c r="AQ20" s="8"/>
      <c r="AR20" s="8"/>
      <c r="AS20" s="8"/>
      <c r="AT20" s="8"/>
      <c r="AU20" s="8"/>
    </row>
    <row r="21" spans="1:47" s="6" customFormat="1" ht="17.25" customHeight="1">
      <c r="B21" s="19"/>
      <c r="T21" s="20"/>
      <c r="U21" s="20"/>
      <c r="V21" s="20"/>
      <c r="W21" s="2951" t="e">
        <f>#REF!</f>
        <v>#REF!</v>
      </c>
      <c r="X21" s="2951"/>
      <c r="Y21" s="2951"/>
      <c r="Z21" s="2951"/>
      <c r="AA21" s="2951"/>
      <c r="AB21" s="2951"/>
      <c r="AC21" s="2951"/>
      <c r="AD21" s="2951"/>
      <c r="AE21" s="2951"/>
      <c r="AF21" s="2951"/>
      <c r="AG21" s="2951"/>
      <c r="AH21" s="2951"/>
      <c r="AI21" s="2951"/>
      <c r="AJ21" s="8"/>
      <c r="AK21" s="8"/>
      <c r="AL21" s="8"/>
      <c r="AM21" s="8"/>
      <c r="AN21" s="8"/>
      <c r="AO21" s="8"/>
      <c r="AP21" s="8"/>
      <c r="AQ21" s="8"/>
      <c r="AR21" s="8"/>
      <c r="AS21" s="8"/>
      <c r="AT21" s="8"/>
      <c r="AU21" s="8"/>
    </row>
    <row r="22" spans="1:47" s="7" customFormat="1" ht="17.25" customHeight="1">
      <c r="H22" s="2731" t="s">
        <v>3171</v>
      </c>
      <c r="I22" s="2731"/>
      <c r="J22" s="2731"/>
      <c r="K22" s="2731"/>
      <c r="L22" s="2731"/>
      <c r="M22" s="2731"/>
      <c r="N22" s="2731"/>
      <c r="O22" s="2731"/>
      <c r="P22" s="2731"/>
      <c r="Q22" s="2731"/>
      <c r="R22" s="2731"/>
      <c r="S22" s="2731"/>
      <c r="T22" s="2731"/>
      <c r="U22" s="2731"/>
      <c r="V22" s="2731"/>
      <c r="W22" s="2731" t="e">
        <f>#REF!</f>
        <v>#REF!</v>
      </c>
      <c r="X22" s="2731"/>
      <c r="Y22" s="2731"/>
      <c r="Z22" s="2731"/>
      <c r="AA22" s="2731"/>
      <c r="AB22" s="2731"/>
      <c r="AC22" s="2731"/>
      <c r="AD22" s="2731"/>
      <c r="AE22" s="2731"/>
      <c r="AF22" s="2731"/>
      <c r="AG22" s="2731"/>
      <c r="AH22" s="2731"/>
      <c r="AI22" s="2731"/>
      <c r="AJ22" s="2"/>
      <c r="AK22" s="2"/>
      <c r="AL22" s="2"/>
      <c r="AM22" s="2"/>
      <c r="AN22" s="2"/>
      <c r="AO22" s="2"/>
      <c r="AP22" s="2"/>
      <c r="AQ22" s="2"/>
      <c r="AR22" s="2"/>
      <c r="AS22" s="2"/>
      <c r="AT22" s="2"/>
      <c r="AU22" s="2"/>
    </row>
    <row r="29" spans="1:47" ht="15.75">
      <c r="C29" s="2948"/>
      <c r="D29" s="2948"/>
      <c r="E29" s="2948"/>
      <c r="F29" s="2948"/>
      <c r="G29" s="2948"/>
      <c r="H29" s="2948"/>
      <c r="I29" s="2948"/>
      <c r="J29" s="2948"/>
      <c r="K29" s="2948"/>
      <c r="L29" s="2948"/>
      <c r="O29" s="6"/>
      <c r="P29" s="6"/>
      <c r="Q29" s="6"/>
      <c r="R29" s="6"/>
      <c r="S29" s="6"/>
      <c r="Z29" s="2949"/>
      <c r="AA29" s="2949"/>
      <c r="AB29" s="2949"/>
      <c r="AC29" s="2949"/>
      <c r="AD29" s="2949"/>
      <c r="AE29" s="2949"/>
    </row>
    <row r="30" spans="1:47" s="6" customFormat="1" ht="18.75" customHeight="1">
      <c r="C30" s="2949"/>
      <c r="D30" s="2949"/>
      <c r="E30" s="2949"/>
      <c r="F30" s="2949"/>
      <c r="G30" s="2949"/>
      <c r="H30" s="2949"/>
      <c r="I30" s="2949"/>
      <c r="J30" s="2949"/>
      <c r="K30" s="2949"/>
      <c r="L30" s="2949"/>
      <c r="M30" s="2949"/>
      <c r="X30" s="2731"/>
      <c r="Y30" s="2731"/>
      <c r="Z30" s="2731"/>
      <c r="AA30" s="2731"/>
      <c r="AB30" s="2731"/>
      <c r="AC30" s="2731"/>
      <c r="AD30" s="2731"/>
      <c r="AE30" s="2731"/>
      <c r="AF30" s="2731"/>
    </row>
    <row r="38" spans="2:34" ht="17.25" customHeight="1">
      <c r="AH38" s="3"/>
    </row>
    <row r="39" spans="2:34" ht="17.25" customHeight="1"/>
    <row r="40" spans="2:34" ht="12.75" customHeight="1"/>
    <row r="41" spans="2:34">
      <c r="B41" s="18"/>
    </row>
  </sheetData>
  <mergeCells count="17">
    <mergeCell ref="A1:L1"/>
    <mergeCell ref="O1:AH1"/>
    <mergeCell ref="A2:L2"/>
    <mergeCell ref="O2:AH2"/>
    <mergeCell ref="A4:AH4"/>
    <mergeCell ref="C29:L29"/>
    <mergeCell ref="Z29:AE29"/>
    <mergeCell ref="C30:M30"/>
    <mergeCell ref="X30:AF30"/>
    <mergeCell ref="A6:A7"/>
    <mergeCell ref="C6:AG6"/>
    <mergeCell ref="A19:B19"/>
    <mergeCell ref="W21:AI21"/>
    <mergeCell ref="H22:V22"/>
    <mergeCell ref="W22:AI22"/>
    <mergeCell ref="AH6:AH7"/>
    <mergeCell ref="AI6:AI7"/>
  </mergeCells>
  <conditionalFormatting sqref="C8:AG18">
    <cfRule type="cellIs" dxfId="0" priority="1" stopIfTrue="1" operator="notBetween">
      <formula>"X"</formula>
      <formula>"CN"</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57</vt:i4>
      </vt:variant>
      <vt:variant>
        <vt:lpstr>Named Ranges</vt:lpstr>
      </vt:variant>
      <vt:variant>
        <vt:i4>69</vt:i4>
      </vt:variant>
    </vt:vector>
  </HeadingPairs>
  <TitlesOfParts>
    <vt:vector size="126" baseType="lpstr">
      <vt:lpstr>thưởng 300</vt:lpstr>
      <vt:lpstr>PLC   (2)</vt:lpstr>
      <vt:lpstr>PCNC BUN </vt:lpstr>
      <vt:lpstr>LƯƠNG GIA THUỘC THÁNG 11</vt:lpstr>
      <vt:lpstr>CHẤM CÔNG Axit</vt:lpstr>
      <vt:lpstr>MỦ XIRUM</vt:lpstr>
      <vt:lpstr>MỦ DÂY</vt:lpstr>
      <vt:lpstr>DS CN MOI UP</vt:lpstr>
      <vt:lpstr>BCSX T6 CHỈNH SỬA</vt:lpstr>
      <vt:lpstr>CÔNG CHĂM SÓC</vt:lpstr>
      <vt:lpstr>BCSX T6</vt:lpstr>
      <vt:lpstr>TTTX</vt:lpstr>
      <vt:lpstr>CHẤM CÔNG XĂNG</vt:lpstr>
      <vt:lpstr>Thanh toán mủ dây</vt:lpstr>
      <vt:lpstr>THUÊ TNCN</vt:lpstr>
      <vt:lpstr>Phụ cấp người việt</vt:lpstr>
      <vt:lpstr>chấm công  nv đội 6</vt:lpstr>
      <vt:lpstr>Phu cấp cây non</vt:lpstr>
      <vt:lpstr>Biểu 2 TH MỦ dây</vt:lpstr>
      <vt:lpstr>Biểu 1 TH CÔNG</vt:lpstr>
      <vt:lpstr>Biểu 2 TH MỦ TẠP</vt:lpstr>
      <vt:lpstr>sản lượng</vt:lpstr>
      <vt:lpstr>CHẤM CÔNG </vt:lpstr>
      <vt:lpstr>Công cây non</vt:lpstr>
      <vt:lpstr>THCKT</vt:lpstr>
      <vt:lpstr>PLC  </vt:lpstr>
      <vt:lpstr>bảng kê công</vt:lpstr>
      <vt:lpstr>Đội 3</vt:lpstr>
      <vt:lpstr>Đ3 - TC</vt:lpstr>
      <vt:lpstr>Đ3 - XC</vt:lpstr>
      <vt:lpstr>Đội 4</vt:lpstr>
      <vt:lpstr>Đội 5</vt:lpstr>
      <vt:lpstr>Đội 5 - KV71ha</vt:lpstr>
      <vt:lpstr>Đội 6</vt:lpstr>
      <vt:lpstr>TRẠM CÁN</vt:lpstr>
      <vt:lpstr>LƯƠNG KT</vt:lpstr>
      <vt:lpstr>LƯƠNG CNTT</vt:lpstr>
      <vt:lpstr>BCC BẢO VỆ</vt:lpstr>
      <vt:lpstr>LƯƠNG BV9THUC</vt:lpstr>
      <vt:lpstr>CÁCH TÍNH LƯƠNG</vt:lpstr>
      <vt:lpstr>THPT</vt:lpstr>
      <vt:lpstr>BẢNG PHÂN TOÁN</vt:lpstr>
      <vt:lpstr>BẢNG PHÂN TOÁN </vt:lpstr>
      <vt:lpstr>CV KHÁC</vt:lpstr>
      <vt:lpstr>THMSC</vt:lpstr>
      <vt:lpstr>CCCNSCM</vt:lpstr>
      <vt:lpstr>TH LƯƠNG NT1</vt:lpstr>
      <vt:lpstr>Vigo</vt:lpstr>
      <vt:lpstr>DS NỘP THUẾ</vt:lpstr>
      <vt:lpstr>BẢNG PHÂN TOÁN (2)</vt:lpstr>
      <vt:lpstr>PC XĂNG XE</vt:lpstr>
      <vt:lpstr>Chấm công CB</vt:lpstr>
      <vt:lpstr>Chấm công XĂNG XE</vt:lpstr>
      <vt:lpstr>PCXĂNG XE</vt:lpstr>
      <vt:lpstr>KTCB</vt:lpstr>
      <vt:lpstr>Chấm công BV</vt:lpstr>
      <vt:lpstr>CCBVL</vt:lpstr>
      <vt:lpstr>'BCSX T6'!Print_Area</vt:lpstr>
      <vt:lpstr>'Biểu 1 TH CÔNG'!Print_Area</vt:lpstr>
      <vt:lpstr>'Biểu 2 TH MỦ dây'!Print_Area</vt:lpstr>
      <vt:lpstr>'Biểu 2 TH MỦ TẠP'!Print_Area</vt:lpstr>
      <vt:lpstr>CCBVL!Print_Area</vt:lpstr>
      <vt:lpstr>CCCNSCM!Print_Area</vt:lpstr>
      <vt:lpstr>'CV KHÁC'!Print_Area</vt:lpstr>
      <vt:lpstr>'chấm công  nv đội 6'!Print_Area</vt:lpstr>
      <vt:lpstr>'CHẤM CÔNG XĂNG'!Print_Area</vt:lpstr>
      <vt:lpstr>'Đ3 - TC'!Print_Area</vt:lpstr>
      <vt:lpstr>'Đ3 - XC'!Print_Area</vt:lpstr>
      <vt:lpstr>'Đội 3'!Print_Area</vt:lpstr>
      <vt:lpstr>'Đội 4'!Print_Area</vt:lpstr>
      <vt:lpstr>'Đội 5'!Print_Area</vt:lpstr>
      <vt:lpstr>'Đội 5 - KV71ha'!Print_Area</vt:lpstr>
      <vt:lpstr>'Đội 6'!Print_Area</vt:lpstr>
      <vt:lpstr>KTCB!Print_Area</vt:lpstr>
      <vt:lpstr>'LƯƠNG GIA THUỘC THÁNG 11'!Print_Area</vt:lpstr>
      <vt:lpstr>'Phụ cấp người việt'!Print_Area</vt:lpstr>
      <vt:lpstr>'sản lượng'!Print_Area</vt:lpstr>
      <vt:lpstr>TTTX!Print_Area</vt:lpstr>
      <vt:lpstr>'Thanh toán mủ dây'!Print_Area</vt:lpstr>
      <vt:lpstr>THMSC!Print_Area</vt:lpstr>
      <vt:lpstr>'TRẠM CÁN'!Print_Area</vt:lpstr>
      <vt:lpstr>'bảng kê công'!Print_Titles</vt:lpstr>
      <vt:lpstr>'BẢNG PHÂN TOÁN'!Print_Titles</vt:lpstr>
      <vt:lpstr>'BẢNG PHÂN TOÁN '!Print_Titles</vt:lpstr>
      <vt:lpstr>'BẢNG PHÂN TOÁN (2)'!Print_Titles</vt:lpstr>
      <vt:lpstr>'BCSX T6'!Print_Titles</vt:lpstr>
      <vt:lpstr>'BCSX T6 CHỈNH SỬA'!Print_Titles</vt:lpstr>
      <vt:lpstr>'Biểu 1 TH CÔNG'!Print_Titles</vt:lpstr>
      <vt:lpstr>'Biểu 2 TH MỦ dây'!Print_Titles</vt:lpstr>
      <vt:lpstr>'Biểu 2 TH MỦ TẠP'!Print_Titles</vt:lpstr>
      <vt:lpstr>'CÁCH TÍNH LƯƠNG'!Print_Titles</vt:lpstr>
      <vt:lpstr>CCBVL!Print_Titles</vt:lpstr>
      <vt:lpstr>'Công cây non'!Print_Titles</vt:lpstr>
      <vt:lpstr>'CV KHÁC'!Print_Titles</vt:lpstr>
      <vt:lpstr>'CHẤM CÔNG '!Print_Titles</vt:lpstr>
      <vt:lpstr>'chấm công  nv đội 6'!Print_Titles</vt:lpstr>
      <vt:lpstr>'CHẤM CÔNG Axit'!Print_Titles</vt:lpstr>
      <vt:lpstr>'Chấm công BV'!Print_Titles</vt:lpstr>
      <vt:lpstr>'Chấm công CB'!Print_Titles</vt:lpstr>
      <vt:lpstr>'Chấm công XĂNG XE'!Print_Titles</vt:lpstr>
      <vt:lpstr>'DS CN MOI UP'!Print_Titles</vt:lpstr>
      <vt:lpstr>'DS NỘP THUẾ'!Print_Titles</vt:lpstr>
      <vt:lpstr>'Đ3 - TC'!Print_Titles</vt:lpstr>
      <vt:lpstr>'Đ3 - XC'!Print_Titles</vt:lpstr>
      <vt:lpstr>'Đội 3'!Print_Titles</vt:lpstr>
      <vt:lpstr>'Đội 4'!Print_Titles</vt:lpstr>
      <vt:lpstr>'Đội 5'!Print_Titles</vt:lpstr>
      <vt:lpstr>'Đội 5 - KV71ha'!Print_Titles</vt:lpstr>
      <vt:lpstr>'Đội 6'!Print_Titles</vt:lpstr>
      <vt:lpstr>KTCB!Print_Titles</vt:lpstr>
      <vt:lpstr>'LƯƠNG BV9THUC'!Print_Titles</vt:lpstr>
      <vt:lpstr>'LƯƠNG CNTT'!Print_Titles</vt:lpstr>
      <vt:lpstr>'LƯƠNG GIA THUỘC THÁNG 11'!Print_Titles</vt:lpstr>
      <vt:lpstr>'LƯƠNG KT'!Print_Titles</vt:lpstr>
      <vt:lpstr>'MỦ DÂY'!Print_Titles</vt:lpstr>
      <vt:lpstr>'MỦ XIRUM'!Print_Titles</vt:lpstr>
      <vt:lpstr>'PC XĂNG XE'!Print_Titles</vt:lpstr>
      <vt:lpstr>'PCNC BUN '!Print_Titles</vt:lpstr>
      <vt:lpstr>'PCXĂNG XE'!Print_Titles</vt:lpstr>
      <vt:lpstr>'sản lượng'!Print_Titles</vt:lpstr>
      <vt:lpstr>'TH LƯƠNG NT1'!Print_Titles</vt:lpstr>
      <vt:lpstr>'Thanh toán mủ dây'!Print_Titles</vt:lpstr>
      <vt:lpstr>THCKT!Print_Titles</vt:lpstr>
      <vt:lpstr>THPT!Print_Titles</vt:lpstr>
      <vt:lpstr>'thưởng 300'!Print_Titles</vt:lpstr>
      <vt:lpstr>'TRẠM CÁN'!Print_Titles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ldtlqsg</dc:creator>
  <cp:lastModifiedBy>pc</cp:lastModifiedBy>
  <cp:lastPrinted>2025-07-04T06:56:16Z</cp:lastPrinted>
  <dcterms:created xsi:type="dcterms:W3CDTF">2016-08-22T04:16:00Z</dcterms:created>
  <dcterms:modified xsi:type="dcterms:W3CDTF">2026-01-27T02:27:55Z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961F4183088D4E28B2841495CE95CFD3_12</vt:lpwstr>
  </property>
  <property fmtid="{D5CDD505-2E9C-101B-9397-08002B2CF9AE}" pid="3" name="KSOProductBuildVer">
    <vt:lpwstr>1033-12.2.0.21179</vt:lpwstr>
  </property>
</Properties>
</file>